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Usuario\Desktop\Nacho-toto-todo\Nacho\Gaceta\"/>
    </mc:Choice>
  </mc:AlternateContent>
  <xr:revisionPtr revIDLastSave="0" documentId="8_{BE7C95BD-710E-4841-9739-6B984329C948}" xr6:coauthVersionLast="47" xr6:coauthVersionMax="47" xr10:uidLastSave="{00000000-0000-0000-0000-000000000000}"/>
  <bookViews>
    <workbookView xWindow="-108" yWindow="-108" windowWidth="23256" windowHeight="12576" xr2:uid="{00000000-000D-0000-FFFF-FFFF00000000}"/>
  </bookViews>
  <sheets>
    <sheet name="Índice anual" sheetId="1" r:id="rId1"/>
    <sheet name="Fuentes y criterio" sheetId="2" r:id="rId2"/>
  </sheets>
  <calcPr calcId="191029" forceFullCalc="1"/>
</workbook>
</file>

<file path=xl/calcChain.xml><?xml version="1.0" encoding="utf-8"?>
<calcChain xmlns="http://schemas.openxmlformats.org/spreadsheetml/2006/main">
  <c r="F484" i="2" l="1"/>
  <c r="F483" i="2"/>
  <c r="F482" i="2"/>
  <c r="F481" i="2"/>
  <c r="F480" i="2"/>
  <c r="F479" i="2"/>
  <c r="F478" i="2"/>
  <c r="F477" i="2"/>
  <c r="F476" i="2"/>
  <c r="F475" i="2"/>
  <c r="F474" i="2"/>
  <c r="F473" i="2"/>
  <c r="F472" i="2"/>
  <c r="F471" i="2"/>
  <c r="F470" i="2"/>
  <c r="F469" i="2"/>
  <c r="F468" i="2"/>
  <c r="F467" i="2"/>
  <c r="F466" i="2"/>
  <c r="F465" i="2"/>
  <c r="F464" i="2"/>
  <c r="F463" i="2"/>
  <c r="F462" i="2"/>
  <c r="F461" i="2"/>
  <c r="F460" i="2"/>
  <c r="F459" i="2"/>
  <c r="F458" i="2"/>
  <c r="F457" i="2"/>
  <c r="F456" i="2"/>
  <c r="F455" i="2"/>
  <c r="F454" i="2"/>
  <c r="F453" i="2"/>
  <c r="F452" i="2"/>
  <c r="F451" i="2"/>
  <c r="F450" i="2"/>
  <c r="F449" i="2"/>
  <c r="F448" i="2"/>
  <c r="F447" i="2"/>
  <c r="F446" i="2"/>
  <c r="F445" i="2"/>
  <c r="F444" i="2"/>
  <c r="F443" i="2"/>
  <c r="F442" i="2"/>
  <c r="F441" i="2"/>
  <c r="F440" i="2"/>
  <c r="F439" i="2"/>
  <c r="F438" i="2"/>
  <c r="F437" i="2"/>
  <c r="F436" i="2"/>
  <c r="F435" i="2"/>
  <c r="F434" i="2"/>
  <c r="F433" i="2"/>
  <c r="F432" i="2"/>
  <c r="F431" i="2"/>
  <c r="F430" i="2"/>
  <c r="F429" i="2"/>
  <c r="F428" i="2"/>
  <c r="F427" i="2"/>
  <c r="F426" i="2"/>
  <c r="F425" i="2"/>
  <c r="F424" i="2"/>
  <c r="F423" i="2"/>
  <c r="F422" i="2"/>
  <c r="F421" i="2"/>
  <c r="F420" i="2"/>
  <c r="F419" i="2"/>
  <c r="F418" i="2"/>
  <c r="F417" i="2"/>
  <c r="F416" i="2"/>
  <c r="F415" i="2"/>
  <c r="F414" i="2"/>
  <c r="F413" i="2"/>
  <c r="F412" i="2"/>
  <c r="F411" i="2"/>
  <c r="F410" i="2"/>
  <c r="F409" i="2"/>
  <c r="F408" i="2"/>
  <c r="F407" i="2"/>
  <c r="F406" i="2"/>
  <c r="F405" i="2"/>
  <c r="F404" i="2"/>
  <c r="F403" i="2"/>
  <c r="F402" i="2"/>
  <c r="F401" i="2"/>
  <c r="F400" i="2"/>
  <c r="F399" i="2"/>
  <c r="F398" i="2"/>
  <c r="F397" i="2"/>
  <c r="F396" i="2"/>
  <c r="F395" i="2"/>
  <c r="F394" i="2"/>
  <c r="F393" i="2"/>
  <c r="F392" i="2"/>
  <c r="F391" i="2"/>
  <c r="F390" i="2"/>
  <c r="F389" i="2"/>
  <c r="F388" i="2"/>
  <c r="F387" i="2"/>
  <c r="F386" i="2"/>
  <c r="F385" i="2"/>
  <c r="F384" i="2"/>
  <c r="F383" i="2"/>
  <c r="F382" i="2"/>
  <c r="F381" i="2"/>
  <c r="F380" i="2"/>
  <c r="F379" i="2"/>
  <c r="F378" i="2"/>
  <c r="F377" i="2"/>
  <c r="F376" i="2"/>
  <c r="F375" i="2"/>
  <c r="F374" i="2"/>
  <c r="F373" i="2"/>
  <c r="F372" i="2"/>
  <c r="F371" i="2"/>
  <c r="F370" i="2"/>
  <c r="F369" i="2"/>
  <c r="F368" i="2"/>
  <c r="F367" i="2"/>
  <c r="F366" i="2"/>
  <c r="F365" i="2"/>
  <c r="F364" i="2"/>
  <c r="F363" i="2"/>
  <c r="F362" i="2"/>
  <c r="F361" i="2"/>
  <c r="F360" i="2"/>
  <c r="F359" i="2"/>
  <c r="F358" i="2"/>
  <c r="F357" i="2"/>
  <c r="F356" i="2"/>
  <c r="F355" i="2"/>
  <c r="F354" i="2"/>
  <c r="F353" i="2"/>
  <c r="F352" i="2"/>
  <c r="F351" i="2"/>
  <c r="F350" i="2"/>
  <c r="F349" i="2"/>
  <c r="F348" i="2"/>
  <c r="F347" i="2"/>
  <c r="F346" i="2"/>
  <c r="F345" i="2"/>
  <c r="F344" i="2"/>
  <c r="F343" i="2"/>
  <c r="F342" i="2"/>
  <c r="F341" i="2"/>
  <c r="F340" i="2"/>
  <c r="F339" i="2"/>
  <c r="F338" i="2"/>
  <c r="F337" i="2"/>
  <c r="F336" i="2"/>
  <c r="F335" i="2"/>
  <c r="F334" i="2"/>
  <c r="F333" i="2"/>
  <c r="F332" i="2"/>
  <c r="F331" i="2"/>
  <c r="F330" i="2"/>
  <c r="F329" i="2"/>
  <c r="F328" i="2"/>
  <c r="F327" i="2"/>
  <c r="F326" i="2"/>
  <c r="F325" i="2"/>
  <c r="F324" i="2"/>
  <c r="F323" i="2"/>
  <c r="F322" i="2"/>
  <c r="F321" i="2"/>
  <c r="F320" i="2"/>
  <c r="F319" i="2"/>
  <c r="F318" i="2"/>
  <c r="F317" i="2"/>
  <c r="F316" i="2"/>
  <c r="F315" i="2"/>
  <c r="F314" i="2"/>
  <c r="F313" i="2"/>
  <c r="F312" i="2"/>
  <c r="F311" i="2"/>
  <c r="F310" i="2"/>
  <c r="F309" i="2"/>
  <c r="F308" i="2"/>
  <c r="F307" i="2"/>
  <c r="F306" i="2"/>
  <c r="F305" i="2"/>
  <c r="F304" i="2"/>
  <c r="F303" i="2"/>
  <c r="F302" i="2"/>
  <c r="F301" i="2"/>
  <c r="F300" i="2"/>
  <c r="F299" i="2"/>
  <c r="F298" i="2"/>
  <c r="F297" i="2"/>
  <c r="F296" i="2"/>
  <c r="F295" i="2"/>
  <c r="F294" i="2"/>
  <c r="F293" i="2"/>
  <c r="F292" i="2"/>
  <c r="F291" i="2"/>
  <c r="F290" i="2"/>
  <c r="F289" i="2"/>
  <c r="F288" i="2"/>
  <c r="F287" i="2"/>
  <c r="F286" i="2"/>
  <c r="F285" i="2"/>
  <c r="F284" i="2"/>
  <c r="F283" i="2"/>
  <c r="F282" i="2"/>
  <c r="F281" i="2"/>
  <c r="F280" i="2"/>
  <c r="F279" i="2"/>
  <c r="F278" i="2"/>
  <c r="F277" i="2"/>
  <c r="F276" i="2"/>
  <c r="F275" i="2"/>
  <c r="F274" i="2"/>
  <c r="F273" i="2"/>
  <c r="F272" i="2"/>
  <c r="F271" i="2"/>
  <c r="F270" i="2"/>
  <c r="F269" i="2"/>
  <c r="F268" i="2"/>
  <c r="F267" i="2"/>
  <c r="F266" i="2"/>
  <c r="F265" i="2"/>
  <c r="F264" i="2"/>
  <c r="F263" i="2"/>
  <c r="F262" i="2"/>
  <c r="F261" i="2"/>
  <c r="F260" i="2"/>
  <c r="F259" i="2"/>
  <c r="F258" i="2"/>
  <c r="F257" i="2"/>
  <c r="F256" i="2"/>
  <c r="F255" i="2"/>
  <c r="F254" i="2"/>
  <c r="F253" i="2"/>
  <c r="F252" i="2"/>
  <c r="F251" i="2"/>
  <c r="F250" i="2"/>
  <c r="F249" i="2"/>
  <c r="F248" i="2"/>
  <c r="F247" i="2"/>
  <c r="F246" i="2"/>
  <c r="F245" i="2"/>
  <c r="F244" i="2"/>
  <c r="F243" i="2"/>
  <c r="F242" i="2"/>
  <c r="F241" i="2"/>
  <c r="F240" i="2"/>
  <c r="F239" i="2"/>
  <c r="F238" i="2"/>
  <c r="F237" i="2"/>
  <c r="F236" i="2"/>
  <c r="F235" i="2"/>
  <c r="F234" i="2"/>
  <c r="F233" i="2"/>
  <c r="F232" i="2"/>
  <c r="F231" i="2"/>
  <c r="F230" i="2"/>
  <c r="F229" i="2"/>
  <c r="F228" i="2"/>
  <c r="F227" i="2"/>
  <c r="F226" i="2"/>
  <c r="F225" i="2"/>
  <c r="F224" i="2"/>
  <c r="F223" i="2"/>
  <c r="F222" i="2"/>
  <c r="F221" i="2"/>
  <c r="F220" i="2"/>
  <c r="F219" i="2"/>
  <c r="F218" i="2"/>
  <c r="F217" i="2"/>
  <c r="F216" i="2"/>
  <c r="F215" i="2"/>
  <c r="F214" i="2"/>
  <c r="F213" i="2"/>
  <c r="F212" i="2"/>
  <c r="F211" i="2"/>
  <c r="F210" i="2"/>
  <c r="F209" i="2"/>
  <c r="F208" i="2"/>
  <c r="F207" i="2"/>
  <c r="F206" i="2"/>
  <c r="F205" i="2"/>
  <c r="F204" i="2"/>
  <c r="F203" i="2"/>
  <c r="F202" i="2"/>
  <c r="F201" i="2"/>
  <c r="F200" i="2"/>
  <c r="F199" i="2"/>
  <c r="F198" i="2"/>
  <c r="F197" i="2"/>
  <c r="F196" i="2"/>
  <c r="F195" i="2"/>
  <c r="F194" i="2"/>
  <c r="F193" i="2"/>
  <c r="F192" i="2"/>
  <c r="F191" i="2"/>
  <c r="F190" i="2"/>
  <c r="F189" i="2"/>
  <c r="F188" i="2"/>
  <c r="F187" i="2"/>
  <c r="F186" i="2"/>
  <c r="F185" i="2"/>
  <c r="F184" i="2"/>
  <c r="F183" i="2"/>
  <c r="F182" i="2"/>
  <c r="F181" i="2"/>
  <c r="F180" i="2"/>
  <c r="F179" i="2"/>
  <c r="F178" i="2"/>
  <c r="F177" i="2"/>
  <c r="F176" i="2"/>
  <c r="F175" i="2"/>
  <c r="F174" i="2"/>
  <c r="F173" i="2"/>
  <c r="F172" i="2"/>
  <c r="F171" i="2"/>
  <c r="F170" i="2"/>
  <c r="F169" i="2"/>
  <c r="F168" i="2"/>
  <c r="F167" i="2"/>
  <c r="F166" i="2"/>
  <c r="F165" i="2"/>
  <c r="F164" i="2"/>
  <c r="F163" i="2"/>
  <c r="F162" i="2"/>
  <c r="F161" i="2"/>
  <c r="F160" i="2"/>
  <c r="F159" i="2"/>
  <c r="F158" i="2"/>
  <c r="F157" i="2"/>
  <c r="F156" i="2"/>
  <c r="F155" i="2"/>
  <c r="F154" i="2"/>
  <c r="F153" i="2"/>
  <c r="F152" i="2"/>
  <c r="F151" i="2"/>
  <c r="F150" i="2"/>
  <c r="F149" i="2"/>
  <c r="F148" i="2"/>
  <c r="F147" i="2"/>
  <c r="F146" i="2"/>
  <c r="F145" i="2"/>
  <c r="F144" i="2"/>
  <c r="F143" i="2"/>
  <c r="F142" i="2"/>
  <c r="F141" i="2"/>
  <c r="F140" i="2"/>
  <c r="F139" i="2"/>
  <c r="F138" i="2"/>
  <c r="F137" i="2"/>
  <c r="F136" i="2"/>
  <c r="F135" i="2"/>
  <c r="F134" i="2"/>
  <c r="F133" i="2"/>
  <c r="F132" i="2"/>
  <c r="F131" i="2"/>
  <c r="F130" i="2"/>
  <c r="F129" i="2"/>
  <c r="F128" i="2"/>
  <c r="F127" i="2"/>
  <c r="F126" i="2"/>
  <c r="F125" i="2"/>
  <c r="F124" i="2"/>
  <c r="F123" i="2"/>
  <c r="F122" i="2"/>
  <c r="F121" i="2"/>
  <c r="F120" i="2"/>
  <c r="F119" i="2"/>
  <c r="F118" i="2"/>
  <c r="F117" i="2"/>
  <c r="F116" i="2"/>
  <c r="F115" i="2"/>
  <c r="F114" i="2"/>
  <c r="F113" i="2"/>
  <c r="F112" i="2"/>
  <c r="F111" i="2"/>
  <c r="F110" i="2"/>
  <c r="F109" i="2"/>
  <c r="F108" i="2"/>
  <c r="F107" i="2"/>
  <c r="F106" i="2"/>
  <c r="F105" i="2"/>
  <c r="F104" i="2"/>
  <c r="F103" i="2"/>
  <c r="F102" i="2"/>
  <c r="F101" i="2"/>
  <c r="F100" i="2"/>
  <c r="F99" i="2"/>
  <c r="F98" i="2"/>
  <c r="F97" i="2"/>
  <c r="F96" i="2"/>
  <c r="F95" i="2"/>
  <c r="F94" i="2"/>
  <c r="F93" i="2"/>
  <c r="F92" i="2"/>
  <c r="F91" i="2"/>
  <c r="F90" i="2"/>
  <c r="F89" i="2"/>
  <c r="F88" i="2"/>
  <c r="F87" i="2"/>
  <c r="F86" i="2"/>
  <c r="F85" i="2"/>
  <c r="F84" i="2"/>
  <c r="F83" i="2"/>
  <c r="F82" i="2"/>
  <c r="F81" i="2"/>
  <c r="F80" i="2"/>
  <c r="F79" i="2"/>
  <c r="F78" i="2"/>
  <c r="F77" i="2"/>
  <c r="F76" i="2"/>
  <c r="F75" i="2"/>
  <c r="F74" i="2"/>
  <c r="F73" i="2"/>
  <c r="F72" i="2"/>
  <c r="F71" i="2"/>
  <c r="F70" i="2"/>
  <c r="F69" i="2"/>
  <c r="F68" i="2"/>
  <c r="F67" i="2"/>
  <c r="F66" i="2"/>
  <c r="F65" i="2"/>
  <c r="F64" i="2"/>
  <c r="F63" i="2"/>
  <c r="F62" i="2"/>
  <c r="F61" i="2"/>
  <c r="F60" i="2"/>
  <c r="F59" i="2"/>
  <c r="F58" i="2"/>
  <c r="F57" i="2"/>
  <c r="F56" i="2"/>
  <c r="F55" i="2"/>
  <c r="F54" i="2"/>
  <c r="F53" i="2"/>
  <c r="F52" i="2"/>
  <c r="F51" i="2"/>
  <c r="F50" i="2"/>
  <c r="F49" i="2"/>
  <c r="F48" i="2"/>
  <c r="F47" i="2"/>
  <c r="F46" i="2"/>
  <c r="F45" i="2"/>
  <c r="F44" i="2"/>
  <c r="F43" i="2"/>
  <c r="F42" i="2"/>
  <c r="F41" i="2"/>
  <c r="F40" i="2"/>
  <c r="F39" i="2"/>
  <c r="F38" i="2"/>
  <c r="F37" i="2"/>
  <c r="F36" i="2"/>
  <c r="F35" i="2"/>
  <c r="F34" i="2"/>
  <c r="F33" i="2"/>
  <c r="F32" i="2"/>
  <c r="F31" i="2"/>
  <c r="F30" i="2"/>
  <c r="F29" i="2"/>
  <c r="F28" i="2"/>
  <c r="F27" i="2"/>
  <c r="F26" i="2"/>
  <c r="F25" i="2"/>
  <c r="F24" i="2"/>
  <c r="F23" i="2"/>
  <c r="F22" i="2"/>
  <c r="F21" i="2"/>
  <c r="F20" i="2"/>
  <c r="F19" i="2"/>
  <c r="F18" i="2"/>
  <c r="F17" i="2"/>
  <c r="F16" i="2"/>
  <c r="F15" i="2"/>
  <c r="F14" i="2"/>
  <c r="F13" i="2"/>
  <c r="F12" i="2"/>
  <c r="F11" i="2"/>
  <c r="F10" i="2"/>
  <c r="F9" i="2"/>
  <c r="F8" i="2"/>
  <c r="F7" i="2"/>
  <c r="F6" i="2"/>
  <c r="F5" i="2"/>
  <c r="J18634" i="1"/>
  <c r="J18633" i="1"/>
  <c r="J18632" i="1"/>
  <c r="J18631" i="1"/>
  <c r="J18630" i="1"/>
  <c r="J18629" i="1"/>
  <c r="J18628" i="1"/>
  <c r="J18627" i="1"/>
  <c r="J18626" i="1"/>
  <c r="J18625" i="1"/>
  <c r="J18624" i="1"/>
  <c r="J18623" i="1"/>
  <c r="J18622" i="1"/>
  <c r="J18621" i="1"/>
  <c r="J18620" i="1"/>
  <c r="J18619" i="1"/>
  <c r="J18618" i="1"/>
  <c r="J18617" i="1"/>
  <c r="J18616" i="1"/>
  <c r="J18615" i="1"/>
  <c r="J18614" i="1"/>
  <c r="J18613" i="1"/>
  <c r="J18612" i="1"/>
  <c r="J18611" i="1"/>
  <c r="J18610" i="1"/>
  <c r="J18609" i="1"/>
  <c r="J18608" i="1"/>
  <c r="J18607" i="1"/>
  <c r="J18606" i="1"/>
  <c r="J18605" i="1"/>
  <c r="J18604" i="1"/>
  <c r="J18603" i="1"/>
  <c r="J18602" i="1"/>
  <c r="J18601" i="1"/>
  <c r="J18600" i="1"/>
  <c r="J18599" i="1"/>
  <c r="J18598" i="1"/>
  <c r="J18597" i="1"/>
  <c r="J18596" i="1"/>
  <c r="J18595" i="1"/>
  <c r="J18594" i="1"/>
  <c r="J18593" i="1"/>
  <c r="J18592" i="1"/>
  <c r="J18591" i="1"/>
  <c r="J18590" i="1"/>
  <c r="J18589" i="1"/>
  <c r="J18588" i="1"/>
  <c r="J18587" i="1"/>
  <c r="J18586" i="1"/>
  <c r="J18585" i="1"/>
  <c r="J18584" i="1"/>
  <c r="J18583" i="1"/>
  <c r="J18582" i="1"/>
  <c r="J18581" i="1"/>
  <c r="J18580" i="1"/>
  <c r="J18579" i="1"/>
  <c r="J18578" i="1"/>
  <c r="J18577" i="1"/>
  <c r="J18576" i="1"/>
  <c r="J18575" i="1"/>
  <c r="J18574" i="1"/>
  <c r="J18573" i="1"/>
  <c r="J18572" i="1"/>
  <c r="J18571" i="1"/>
  <c r="J18570" i="1"/>
  <c r="J18569" i="1"/>
  <c r="J18568" i="1"/>
  <c r="J18567" i="1"/>
  <c r="J18566" i="1"/>
  <c r="J18565" i="1"/>
  <c r="J18564" i="1"/>
  <c r="J18563" i="1"/>
  <c r="J18562" i="1"/>
  <c r="J18561" i="1"/>
  <c r="J18560" i="1"/>
  <c r="J18559" i="1"/>
  <c r="J18558" i="1"/>
  <c r="J18557" i="1"/>
  <c r="J18556" i="1"/>
  <c r="J18555" i="1"/>
  <c r="J18554" i="1"/>
  <c r="J18553" i="1"/>
  <c r="J18552" i="1"/>
  <c r="J18551" i="1"/>
  <c r="J18550" i="1"/>
  <c r="J18549" i="1"/>
  <c r="J18548" i="1"/>
  <c r="J18547" i="1"/>
  <c r="J18546" i="1"/>
  <c r="J18545" i="1"/>
  <c r="J18544" i="1"/>
  <c r="J18543" i="1"/>
  <c r="J18542" i="1"/>
  <c r="J18541" i="1"/>
  <c r="J18540" i="1"/>
  <c r="J18539" i="1"/>
  <c r="J18538" i="1"/>
  <c r="J18537" i="1"/>
  <c r="J18536" i="1"/>
  <c r="J18535" i="1"/>
  <c r="J18534" i="1"/>
  <c r="J18533" i="1"/>
  <c r="J18532" i="1"/>
  <c r="J18531" i="1"/>
  <c r="J18530" i="1"/>
  <c r="J18529" i="1"/>
  <c r="J18528" i="1"/>
  <c r="J18527" i="1"/>
  <c r="J18526" i="1"/>
  <c r="J18525" i="1"/>
  <c r="J18524" i="1"/>
  <c r="J18523" i="1"/>
  <c r="J18522" i="1"/>
  <c r="J18521" i="1"/>
  <c r="J18520" i="1"/>
  <c r="J18519" i="1"/>
  <c r="J18518" i="1"/>
  <c r="J18517" i="1"/>
  <c r="J18516" i="1"/>
  <c r="J18515" i="1"/>
  <c r="J18514" i="1"/>
  <c r="J18513" i="1"/>
  <c r="J18512" i="1"/>
  <c r="J18511" i="1"/>
  <c r="J18510" i="1"/>
  <c r="J18509" i="1"/>
  <c r="J18508" i="1"/>
  <c r="J18507" i="1"/>
  <c r="J18506" i="1"/>
  <c r="J18505" i="1"/>
  <c r="J18504" i="1"/>
  <c r="J18503" i="1"/>
  <c r="J18502" i="1"/>
  <c r="J18501" i="1"/>
  <c r="J18500" i="1"/>
  <c r="J18499" i="1"/>
  <c r="J18498" i="1"/>
  <c r="J18497" i="1"/>
  <c r="J18496" i="1"/>
  <c r="J18495" i="1"/>
  <c r="J18494" i="1"/>
  <c r="J18493" i="1"/>
  <c r="J18492" i="1"/>
  <c r="J18491" i="1"/>
  <c r="J18490" i="1"/>
  <c r="J18489" i="1"/>
  <c r="J18488" i="1"/>
  <c r="J18487" i="1"/>
  <c r="J18486" i="1"/>
  <c r="J18485" i="1"/>
  <c r="J18484" i="1"/>
  <c r="J18483" i="1"/>
  <c r="J18482" i="1"/>
  <c r="J18481" i="1"/>
  <c r="J18480" i="1"/>
  <c r="J18479" i="1"/>
  <c r="J18478" i="1"/>
  <c r="J18477" i="1"/>
  <c r="J18476" i="1"/>
  <c r="J18475" i="1"/>
  <c r="J18474" i="1"/>
  <c r="J18473" i="1"/>
  <c r="J18472" i="1"/>
  <c r="J18471" i="1"/>
  <c r="J18470" i="1"/>
  <c r="J18469" i="1"/>
  <c r="J18468" i="1"/>
  <c r="J18467" i="1"/>
  <c r="J18466" i="1"/>
  <c r="J18465" i="1"/>
  <c r="J18464" i="1"/>
  <c r="J18463" i="1"/>
  <c r="J18462" i="1"/>
  <c r="J18461" i="1"/>
  <c r="J18460" i="1"/>
  <c r="J18459" i="1"/>
  <c r="J18458" i="1"/>
  <c r="J18457" i="1"/>
  <c r="J18456" i="1"/>
  <c r="J18455" i="1"/>
  <c r="J18454" i="1"/>
  <c r="J18453" i="1"/>
  <c r="J18452" i="1"/>
  <c r="J18451" i="1"/>
  <c r="J18450" i="1"/>
  <c r="J18449" i="1"/>
  <c r="J18448" i="1"/>
  <c r="J18447" i="1"/>
  <c r="J18446" i="1"/>
  <c r="J18445" i="1"/>
  <c r="J18444" i="1"/>
  <c r="J18443" i="1"/>
  <c r="J18442" i="1"/>
  <c r="J18441" i="1"/>
  <c r="J18440" i="1"/>
  <c r="J18439" i="1"/>
  <c r="J18438" i="1"/>
  <c r="J18437" i="1"/>
  <c r="J18436" i="1"/>
  <c r="J18435" i="1"/>
  <c r="J18434" i="1"/>
  <c r="J18433" i="1"/>
  <c r="J18432" i="1"/>
  <c r="J18431" i="1"/>
  <c r="J18430" i="1"/>
  <c r="J18429" i="1"/>
  <c r="J18428" i="1"/>
  <c r="J18427" i="1"/>
  <c r="J18426" i="1"/>
  <c r="J18425" i="1"/>
  <c r="J18424" i="1"/>
  <c r="J18423" i="1"/>
  <c r="J18422" i="1"/>
  <c r="J18421" i="1"/>
  <c r="J18420" i="1"/>
  <c r="J18419" i="1"/>
  <c r="J18418" i="1"/>
  <c r="J18417" i="1"/>
  <c r="J18416" i="1"/>
  <c r="J18415" i="1"/>
  <c r="J18414" i="1"/>
  <c r="J18413" i="1"/>
  <c r="J18412" i="1"/>
  <c r="J18411" i="1"/>
  <c r="J18410" i="1"/>
  <c r="J18409" i="1"/>
  <c r="J18408" i="1"/>
  <c r="J18407" i="1"/>
  <c r="J18406" i="1"/>
  <c r="J18405" i="1"/>
  <c r="J18404" i="1"/>
  <c r="J18403" i="1"/>
  <c r="J18402" i="1"/>
  <c r="J18401" i="1"/>
  <c r="J18400" i="1"/>
  <c r="J18399" i="1"/>
  <c r="J18398" i="1"/>
  <c r="J18397" i="1"/>
  <c r="J18396" i="1"/>
  <c r="J18395" i="1"/>
  <c r="J18394" i="1"/>
  <c r="J18393" i="1"/>
  <c r="J18392" i="1"/>
  <c r="J18391" i="1"/>
  <c r="J18390" i="1"/>
  <c r="J18389" i="1"/>
  <c r="J18388" i="1"/>
  <c r="J18387" i="1"/>
  <c r="J18386" i="1"/>
  <c r="J18385" i="1"/>
  <c r="J18384" i="1"/>
  <c r="J18383" i="1"/>
  <c r="J18382" i="1"/>
  <c r="J18381" i="1"/>
  <c r="J18380" i="1"/>
  <c r="J18379" i="1"/>
  <c r="J18378" i="1"/>
  <c r="J18377" i="1"/>
  <c r="J18376" i="1"/>
  <c r="J18375" i="1"/>
  <c r="J18374" i="1"/>
  <c r="J18373" i="1"/>
  <c r="J18372" i="1"/>
  <c r="J18371" i="1"/>
  <c r="J18370" i="1"/>
  <c r="J18369" i="1"/>
  <c r="J18368" i="1"/>
  <c r="J18367" i="1"/>
  <c r="J18366" i="1"/>
  <c r="J18365" i="1"/>
  <c r="J18364" i="1"/>
  <c r="J18363" i="1"/>
  <c r="J18362" i="1"/>
  <c r="J18361" i="1"/>
  <c r="J18360" i="1"/>
  <c r="J18359" i="1"/>
  <c r="J18358" i="1"/>
  <c r="J18357" i="1"/>
  <c r="J18356" i="1"/>
  <c r="J18355" i="1"/>
  <c r="J18354" i="1"/>
  <c r="J18353" i="1"/>
  <c r="J18352" i="1"/>
  <c r="J18351" i="1"/>
  <c r="J18350" i="1"/>
  <c r="J18349" i="1"/>
  <c r="J18348" i="1"/>
  <c r="J18347" i="1"/>
  <c r="J18346" i="1"/>
  <c r="J18345" i="1"/>
  <c r="J18344" i="1"/>
  <c r="J18343" i="1"/>
  <c r="J18342" i="1"/>
  <c r="J18341" i="1"/>
  <c r="J18340" i="1"/>
  <c r="J18339" i="1"/>
  <c r="J18338" i="1"/>
  <c r="J18337" i="1"/>
  <c r="J18336" i="1"/>
  <c r="J18335" i="1"/>
  <c r="J18334" i="1"/>
  <c r="J18333" i="1"/>
  <c r="J18332" i="1"/>
  <c r="J18331" i="1"/>
  <c r="J18330" i="1"/>
  <c r="J18329" i="1"/>
  <c r="J18328" i="1"/>
  <c r="J18327" i="1"/>
  <c r="J18326" i="1"/>
  <c r="J18325" i="1"/>
  <c r="J18324" i="1"/>
  <c r="J18323" i="1"/>
  <c r="J18322" i="1"/>
  <c r="J18321" i="1"/>
  <c r="J18320" i="1"/>
  <c r="J18319" i="1"/>
  <c r="J18318" i="1"/>
  <c r="J18317" i="1"/>
  <c r="J18316" i="1"/>
  <c r="J18315" i="1"/>
  <c r="J18314" i="1"/>
  <c r="J18313" i="1"/>
  <c r="J18312" i="1"/>
  <c r="J18311" i="1"/>
  <c r="J18310" i="1"/>
  <c r="J18309" i="1"/>
  <c r="J18308" i="1"/>
  <c r="J18307" i="1"/>
  <c r="J18306" i="1"/>
  <c r="J18305" i="1"/>
  <c r="J18304" i="1"/>
  <c r="J18303" i="1"/>
  <c r="J18302" i="1"/>
  <c r="J18301" i="1"/>
  <c r="J18300" i="1"/>
  <c r="J18299" i="1"/>
  <c r="J18298" i="1"/>
  <c r="J18297" i="1"/>
  <c r="J18296" i="1"/>
  <c r="J18295" i="1"/>
  <c r="J18294" i="1"/>
  <c r="J18293" i="1"/>
  <c r="J18292" i="1"/>
  <c r="J18291" i="1"/>
  <c r="J18290" i="1"/>
  <c r="J18289" i="1"/>
  <c r="J18288" i="1"/>
  <c r="J18287" i="1"/>
  <c r="J18286" i="1"/>
  <c r="J18285" i="1"/>
  <c r="J18284" i="1"/>
  <c r="J18283" i="1"/>
  <c r="J18282" i="1"/>
  <c r="J18281" i="1"/>
  <c r="J18280" i="1"/>
  <c r="J18279" i="1"/>
  <c r="J18278" i="1"/>
  <c r="J18277" i="1"/>
  <c r="J18276" i="1"/>
  <c r="J18275" i="1"/>
  <c r="J18274" i="1"/>
  <c r="J18273" i="1"/>
  <c r="J18272" i="1"/>
  <c r="J18271" i="1"/>
  <c r="J18270" i="1"/>
  <c r="J18269" i="1"/>
  <c r="J18268" i="1"/>
  <c r="J18267" i="1"/>
  <c r="J18266" i="1"/>
  <c r="J18265" i="1"/>
  <c r="J18264" i="1"/>
  <c r="J18263" i="1"/>
  <c r="J18262" i="1"/>
  <c r="J18261" i="1"/>
  <c r="J18260" i="1"/>
  <c r="J18259" i="1"/>
  <c r="J18258" i="1"/>
  <c r="J18257" i="1"/>
  <c r="J18256" i="1"/>
  <c r="J18255" i="1"/>
  <c r="J18254" i="1"/>
  <c r="J18253" i="1"/>
  <c r="J18252" i="1"/>
  <c r="J18251" i="1"/>
  <c r="J18250" i="1"/>
  <c r="J18249" i="1"/>
  <c r="J18248" i="1"/>
  <c r="J18247" i="1"/>
  <c r="J18246" i="1"/>
  <c r="J18245" i="1"/>
  <c r="J18244" i="1"/>
  <c r="J18243" i="1"/>
  <c r="J18242" i="1"/>
  <c r="J18241" i="1"/>
  <c r="J18240" i="1"/>
  <c r="J18239" i="1"/>
  <c r="J18238" i="1"/>
  <c r="J18237" i="1"/>
  <c r="J18236" i="1"/>
  <c r="J18235" i="1"/>
  <c r="J18234" i="1"/>
  <c r="J18233" i="1"/>
  <c r="J18232" i="1"/>
  <c r="J18231" i="1"/>
  <c r="J18230" i="1"/>
  <c r="J18229" i="1"/>
  <c r="J18228" i="1"/>
  <c r="J18227" i="1"/>
  <c r="J18226" i="1"/>
  <c r="J18225" i="1"/>
  <c r="J18224" i="1"/>
  <c r="J18223" i="1"/>
  <c r="J18222" i="1"/>
  <c r="J18221" i="1"/>
  <c r="J18220" i="1"/>
  <c r="J18219" i="1"/>
  <c r="J18218" i="1"/>
  <c r="J18217" i="1"/>
  <c r="J18216" i="1"/>
  <c r="J18215" i="1"/>
  <c r="J18214" i="1"/>
  <c r="J18213" i="1"/>
  <c r="J18212" i="1"/>
  <c r="J18211" i="1"/>
  <c r="J18210" i="1"/>
  <c r="J18209" i="1"/>
  <c r="J18208" i="1"/>
  <c r="J18207" i="1"/>
  <c r="J18206" i="1"/>
  <c r="J18205" i="1"/>
  <c r="J18204" i="1"/>
  <c r="J18203" i="1"/>
  <c r="J18202" i="1"/>
  <c r="J18201" i="1"/>
  <c r="J18200" i="1"/>
  <c r="J18199" i="1"/>
  <c r="J18198" i="1"/>
  <c r="J18197" i="1"/>
  <c r="J18196" i="1"/>
  <c r="J18195" i="1"/>
  <c r="J18194" i="1"/>
  <c r="J18193" i="1"/>
  <c r="J18192" i="1"/>
  <c r="J18191" i="1"/>
  <c r="J18190" i="1"/>
  <c r="J18189" i="1"/>
  <c r="J18188" i="1"/>
  <c r="J18187" i="1"/>
  <c r="J18186" i="1"/>
  <c r="J18185" i="1"/>
  <c r="J18184" i="1"/>
  <c r="J18183" i="1"/>
  <c r="J18182" i="1"/>
  <c r="J18181" i="1"/>
  <c r="J18180" i="1"/>
  <c r="J18179" i="1"/>
  <c r="J18178" i="1"/>
  <c r="J18177" i="1"/>
  <c r="J18176" i="1"/>
  <c r="J18175" i="1"/>
  <c r="J18174" i="1"/>
  <c r="J18173" i="1"/>
  <c r="J18172" i="1"/>
  <c r="J18171" i="1"/>
  <c r="J18170" i="1"/>
  <c r="J18169" i="1"/>
  <c r="J18168" i="1"/>
  <c r="J18167" i="1"/>
  <c r="J18166" i="1"/>
  <c r="J18165" i="1"/>
  <c r="J18164" i="1"/>
  <c r="J18163" i="1"/>
  <c r="J18162" i="1"/>
  <c r="J18161" i="1"/>
  <c r="J18160" i="1"/>
  <c r="J18159" i="1"/>
  <c r="J18158" i="1"/>
  <c r="J18157" i="1"/>
  <c r="J18156" i="1"/>
  <c r="J18155" i="1"/>
  <c r="J18154" i="1"/>
  <c r="J18153" i="1"/>
  <c r="J18152" i="1"/>
  <c r="J18151" i="1"/>
  <c r="J18150" i="1"/>
  <c r="J18149" i="1"/>
  <c r="J18148" i="1"/>
  <c r="J18147" i="1"/>
  <c r="J18146" i="1"/>
  <c r="J18145" i="1"/>
  <c r="J18144" i="1"/>
  <c r="J18143" i="1"/>
  <c r="J18142" i="1"/>
  <c r="J18141" i="1"/>
  <c r="J18140" i="1"/>
  <c r="J18139" i="1"/>
  <c r="J18138" i="1"/>
  <c r="J18137" i="1"/>
  <c r="J18136" i="1"/>
  <c r="J18135" i="1"/>
  <c r="J18134" i="1"/>
  <c r="J18133" i="1"/>
  <c r="J18132" i="1"/>
  <c r="J18131" i="1"/>
  <c r="J18130" i="1"/>
  <c r="J18129" i="1"/>
  <c r="J18128" i="1"/>
  <c r="J18127" i="1"/>
  <c r="J18126" i="1"/>
  <c r="J18125" i="1"/>
  <c r="J18124" i="1"/>
  <c r="J18123" i="1"/>
  <c r="J18122" i="1"/>
  <c r="J18121" i="1"/>
  <c r="J18120" i="1"/>
  <c r="J18119" i="1"/>
  <c r="J18118" i="1"/>
  <c r="J18117" i="1"/>
  <c r="J18116" i="1"/>
  <c r="J18115" i="1"/>
  <c r="J18114" i="1"/>
  <c r="J18113" i="1"/>
  <c r="J18112" i="1"/>
  <c r="J18111" i="1"/>
  <c r="J18110" i="1"/>
  <c r="J18109" i="1"/>
  <c r="J18108" i="1"/>
  <c r="J18107" i="1"/>
  <c r="J18106" i="1"/>
  <c r="J18105" i="1"/>
  <c r="J18104" i="1"/>
  <c r="J18103" i="1"/>
  <c r="J18102" i="1"/>
  <c r="J18101" i="1"/>
  <c r="J18100" i="1"/>
  <c r="J18099" i="1"/>
  <c r="J18098" i="1"/>
  <c r="J18097" i="1"/>
  <c r="J18096" i="1"/>
  <c r="J18095" i="1"/>
  <c r="J18094" i="1"/>
  <c r="J18093" i="1"/>
  <c r="J18092" i="1"/>
  <c r="J18091" i="1"/>
  <c r="J18090" i="1"/>
  <c r="J18089" i="1"/>
  <c r="J18088" i="1"/>
  <c r="J18087" i="1"/>
  <c r="J18086" i="1"/>
  <c r="J18085" i="1"/>
  <c r="J18084" i="1"/>
  <c r="J18083" i="1"/>
  <c r="J18082" i="1"/>
  <c r="J18081" i="1"/>
  <c r="J18080" i="1"/>
  <c r="J18079" i="1"/>
  <c r="J18078" i="1"/>
  <c r="J18077" i="1"/>
  <c r="J18076" i="1"/>
  <c r="J18075" i="1"/>
  <c r="J18074" i="1"/>
  <c r="J18073" i="1"/>
  <c r="J18072" i="1"/>
  <c r="J18071" i="1"/>
  <c r="J18070" i="1"/>
  <c r="J18069" i="1"/>
  <c r="J18068" i="1"/>
  <c r="J18067" i="1"/>
  <c r="J18066" i="1"/>
  <c r="J18065" i="1"/>
  <c r="J18064" i="1"/>
  <c r="J18063" i="1"/>
  <c r="J18062" i="1"/>
  <c r="J18061" i="1"/>
  <c r="J18060" i="1"/>
  <c r="J18059" i="1"/>
  <c r="J18058" i="1"/>
  <c r="J18057" i="1"/>
  <c r="J18056" i="1"/>
  <c r="J18055" i="1"/>
  <c r="J18054" i="1"/>
  <c r="J18053" i="1"/>
  <c r="J18052" i="1"/>
  <c r="J18051" i="1"/>
  <c r="J18050" i="1"/>
  <c r="J18049" i="1"/>
  <c r="J18048" i="1"/>
  <c r="J18047" i="1"/>
  <c r="J18046" i="1"/>
  <c r="J18045" i="1"/>
  <c r="J18044" i="1"/>
  <c r="J18043" i="1"/>
  <c r="J18042" i="1"/>
  <c r="J18041" i="1"/>
  <c r="J18040" i="1"/>
  <c r="J18039" i="1"/>
  <c r="J18038" i="1"/>
  <c r="J18037" i="1"/>
  <c r="J18036" i="1"/>
  <c r="J18035" i="1"/>
  <c r="J18034" i="1"/>
  <c r="J18033" i="1"/>
  <c r="J18032" i="1"/>
  <c r="J18031" i="1"/>
  <c r="J18030" i="1"/>
  <c r="J18029" i="1"/>
  <c r="J18028" i="1"/>
  <c r="J18027" i="1"/>
  <c r="J18026" i="1"/>
  <c r="J18025" i="1"/>
  <c r="J18024" i="1"/>
  <c r="J18023" i="1"/>
  <c r="J18022" i="1"/>
  <c r="J18021" i="1"/>
  <c r="J18020" i="1"/>
  <c r="J18019" i="1"/>
  <c r="J18018" i="1"/>
  <c r="J18017" i="1"/>
  <c r="J18016" i="1"/>
  <c r="J18015" i="1"/>
  <c r="J18014" i="1"/>
  <c r="J18013" i="1"/>
  <c r="J18012" i="1"/>
  <c r="J18011" i="1"/>
  <c r="J18010" i="1"/>
  <c r="J18009" i="1"/>
  <c r="J18008" i="1"/>
  <c r="J18007" i="1"/>
  <c r="J18006" i="1"/>
  <c r="J18005" i="1"/>
  <c r="J18004" i="1"/>
  <c r="J18003" i="1"/>
  <c r="J18002" i="1"/>
  <c r="J18001" i="1"/>
  <c r="J18000" i="1"/>
  <c r="J17999" i="1"/>
  <c r="J17998" i="1"/>
  <c r="J17997" i="1"/>
  <c r="J17996" i="1"/>
  <c r="J17995" i="1"/>
  <c r="J17994" i="1"/>
  <c r="J17993" i="1"/>
  <c r="J17992" i="1"/>
  <c r="J17991" i="1"/>
  <c r="J17990" i="1"/>
  <c r="J17989" i="1"/>
  <c r="J17988" i="1"/>
  <c r="J17987" i="1"/>
  <c r="J17986" i="1"/>
  <c r="J17985" i="1"/>
  <c r="J17984" i="1"/>
  <c r="J17983" i="1"/>
  <c r="J17982" i="1"/>
  <c r="J17981" i="1"/>
  <c r="J17980" i="1"/>
  <c r="J17979" i="1"/>
  <c r="J17978" i="1"/>
  <c r="J17977" i="1"/>
  <c r="J17976" i="1"/>
  <c r="J17975" i="1"/>
  <c r="J17974" i="1"/>
  <c r="J17973" i="1"/>
  <c r="J17972" i="1"/>
  <c r="J17971" i="1"/>
  <c r="J17970" i="1"/>
  <c r="J17969" i="1"/>
  <c r="J17968" i="1"/>
  <c r="J17967" i="1"/>
  <c r="J17966" i="1"/>
  <c r="J17965" i="1"/>
  <c r="J17964" i="1"/>
  <c r="J17963" i="1"/>
  <c r="J17962" i="1"/>
  <c r="J17961" i="1"/>
  <c r="J17960" i="1"/>
  <c r="J17959" i="1"/>
  <c r="J17958" i="1"/>
  <c r="J17957" i="1"/>
  <c r="J17956" i="1"/>
  <c r="J17955" i="1"/>
  <c r="J17954" i="1"/>
  <c r="J17953" i="1"/>
  <c r="J17952" i="1"/>
  <c r="J17951" i="1"/>
  <c r="J17950" i="1"/>
  <c r="J17949" i="1"/>
  <c r="J17948" i="1"/>
  <c r="J17947" i="1"/>
  <c r="J17946" i="1"/>
  <c r="J17945" i="1"/>
  <c r="J17944" i="1"/>
  <c r="J17943" i="1"/>
  <c r="J17942" i="1"/>
  <c r="J17941" i="1"/>
  <c r="J17940" i="1"/>
  <c r="J17939" i="1"/>
  <c r="J17938" i="1"/>
  <c r="J17937" i="1"/>
  <c r="J17936" i="1"/>
  <c r="J17935" i="1"/>
  <c r="J17934" i="1"/>
  <c r="J17933" i="1"/>
  <c r="J17932" i="1"/>
  <c r="J17931" i="1"/>
  <c r="J17930" i="1"/>
  <c r="J17929" i="1"/>
  <c r="J17928" i="1"/>
  <c r="J17927" i="1"/>
  <c r="J17926" i="1"/>
  <c r="J17925" i="1"/>
  <c r="J17924" i="1"/>
  <c r="J17923" i="1"/>
  <c r="J17922" i="1"/>
  <c r="J17921" i="1"/>
  <c r="J17920" i="1"/>
  <c r="J17919" i="1"/>
  <c r="J17918" i="1"/>
  <c r="J17917" i="1"/>
  <c r="J17916" i="1"/>
  <c r="J17915" i="1"/>
  <c r="J17914" i="1"/>
  <c r="J17913" i="1"/>
  <c r="J17912" i="1"/>
  <c r="J17911" i="1"/>
  <c r="J17910" i="1"/>
  <c r="J17909" i="1"/>
  <c r="J17908" i="1"/>
  <c r="J17907" i="1"/>
  <c r="J17906" i="1"/>
  <c r="J17905" i="1"/>
  <c r="J17904" i="1"/>
  <c r="J17903" i="1"/>
  <c r="J17902" i="1"/>
  <c r="J17901" i="1"/>
  <c r="J17900" i="1"/>
  <c r="J17899" i="1"/>
  <c r="J17898" i="1"/>
  <c r="J17897" i="1"/>
  <c r="J17896" i="1"/>
  <c r="J17895" i="1"/>
  <c r="J17894" i="1"/>
  <c r="J17893" i="1"/>
  <c r="J17892" i="1"/>
  <c r="J17891" i="1"/>
  <c r="J17890" i="1"/>
  <c r="J17889" i="1"/>
  <c r="J17888" i="1"/>
  <c r="J17887" i="1"/>
  <c r="J17886" i="1"/>
  <c r="J17885" i="1"/>
  <c r="J17884" i="1"/>
  <c r="J17883" i="1"/>
  <c r="J17882" i="1"/>
  <c r="J17881" i="1"/>
  <c r="J17880" i="1"/>
  <c r="J17879" i="1"/>
  <c r="J17878" i="1"/>
  <c r="J17877" i="1"/>
  <c r="J17876" i="1"/>
  <c r="J17875" i="1"/>
  <c r="J17874" i="1"/>
  <c r="J17873" i="1"/>
  <c r="J17872" i="1"/>
  <c r="J17871" i="1"/>
  <c r="J17870" i="1"/>
  <c r="J17869" i="1"/>
  <c r="J17868" i="1"/>
  <c r="J17867" i="1"/>
  <c r="J17866" i="1"/>
  <c r="J17865" i="1"/>
  <c r="J17864" i="1"/>
  <c r="J17863" i="1"/>
  <c r="J17862" i="1"/>
  <c r="J17861" i="1"/>
  <c r="J17860" i="1"/>
  <c r="J17859" i="1"/>
  <c r="J17858" i="1"/>
  <c r="J17857" i="1"/>
  <c r="J17856" i="1"/>
  <c r="J17855" i="1"/>
  <c r="J17854" i="1"/>
  <c r="J17853" i="1"/>
  <c r="J17852" i="1"/>
  <c r="J17851" i="1"/>
  <c r="J17850" i="1"/>
  <c r="J17849" i="1"/>
  <c r="J17848" i="1"/>
  <c r="J17847" i="1"/>
  <c r="J17846" i="1"/>
  <c r="J17845" i="1"/>
  <c r="J17844" i="1"/>
  <c r="J17843" i="1"/>
  <c r="J17842" i="1"/>
  <c r="J17841" i="1"/>
  <c r="J17840" i="1"/>
  <c r="J17839" i="1"/>
  <c r="J17838" i="1"/>
  <c r="J17837" i="1"/>
  <c r="J17836" i="1"/>
  <c r="J17835" i="1"/>
  <c r="J17834" i="1"/>
  <c r="J17833" i="1"/>
  <c r="J17832" i="1"/>
  <c r="J17831" i="1"/>
  <c r="J17830" i="1"/>
  <c r="J17829" i="1"/>
  <c r="J17828" i="1"/>
  <c r="J17827" i="1"/>
  <c r="J17826" i="1"/>
  <c r="J17825" i="1"/>
  <c r="J17824" i="1"/>
  <c r="J17823" i="1"/>
  <c r="J17822" i="1"/>
  <c r="J17821" i="1"/>
  <c r="J17820" i="1"/>
  <c r="J17819" i="1"/>
  <c r="J17818" i="1"/>
  <c r="J17817" i="1"/>
  <c r="J17816" i="1"/>
  <c r="J17815" i="1"/>
  <c r="J17814" i="1"/>
  <c r="J17813" i="1"/>
  <c r="J17812" i="1"/>
  <c r="J17811" i="1"/>
  <c r="J17810" i="1"/>
  <c r="J17809" i="1"/>
  <c r="J17808" i="1"/>
  <c r="J17807" i="1"/>
  <c r="J17806" i="1"/>
  <c r="J17805" i="1"/>
  <c r="J17804" i="1"/>
  <c r="J17803" i="1"/>
  <c r="J17802" i="1"/>
  <c r="J17801" i="1"/>
  <c r="J17800" i="1"/>
  <c r="J17799" i="1"/>
  <c r="J17798" i="1"/>
  <c r="J17797" i="1"/>
  <c r="J17796" i="1"/>
  <c r="J17795" i="1"/>
  <c r="J17794" i="1"/>
  <c r="J17793" i="1"/>
  <c r="J17792" i="1"/>
  <c r="J17791" i="1"/>
  <c r="J17790" i="1"/>
  <c r="J17789" i="1"/>
  <c r="J17788" i="1"/>
  <c r="J17787" i="1"/>
  <c r="J17786" i="1"/>
  <c r="J17785" i="1"/>
  <c r="J17784" i="1"/>
  <c r="J17783" i="1"/>
  <c r="J17782" i="1"/>
  <c r="J17781" i="1"/>
  <c r="J17780" i="1"/>
  <c r="J17779" i="1"/>
  <c r="J17778" i="1"/>
  <c r="J17777" i="1"/>
  <c r="J17776" i="1"/>
  <c r="J17775" i="1"/>
  <c r="J17774" i="1"/>
  <c r="J17773" i="1"/>
  <c r="J17772" i="1"/>
  <c r="J17771" i="1"/>
  <c r="J17770" i="1"/>
  <c r="J17769" i="1"/>
  <c r="J17768" i="1"/>
  <c r="J17767" i="1"/>
  <c r="J17766" i="1"/>
  <c r="J17765" i="1"/>
  <c r="J17764" i="1"/>
  <c r="J17763" i="1"/>
  <c r="J17762" i="1"/>
  <c r="J17761" i="1"/>
  <c r="J17760" i="1"/>
  <c r="J17759" i="1"/>
  <c r="J17758" i="1"/>
  <c r="J17757" i="1"/>
  <c r="J17756" i="1"/>
  <c r="J17755" i="1"/>
  <c r="J17754" i="1"/>
  <c r="J17753" i="1"/>
  <c r="J17752" i="1"/>
  <c r="J17751" i="1"/>
  <c r="J17750" i="1"/>
  <c r="J17749" i="1"/>
  <c r="J17748" i="1"/>
  <c r="J17747" i="1"/>
  <c r="J17746" i="1"/>
  <c r="J17745" i="1"/>
  <c r="J17744" i="1"/>
  <c r="J17743" i="1"/>
  <c r="J17742" i="1"/>
  <c r="J17741" i="1"/>
  <c r="J17740" i="1"/>
  <c r="J17739" i="1"/>
  <c r="J17738" i="1"/>
  <c r="J17737" i="1"/>
  <c r="J17736" i="1"/>
  <c r="J17735" i="1"/>
  <c r="J17734" i="1"/>
  <c r="J17733" i="1"/>
  <c r="J17732" i="1"/>
  <c r="J17731" i="1"/>
  <c r="J17730" i="1"/>
  <c r="J17729" i="1"/>
  <c r="J17728" i="1"/>
  <c r="J17727" i="1"/>
  <c r="J17726" i="1"/>
  <c r="J17725" i="1"/>
  <c r="J17724" i="1"/>
  <c r="J17723" i="1"/>
  <c r="J17722" i="1"/>
  <c r="J17721" i="1"/>
  <c r="J17720" i="1"/>
  <c r="J17719" i="1"/>
  <c r="J17718" i="1"/>
  <c r="J17717" i="1"/>
  <c r="J17716" i="1"/>
  <c r="J17715" i="1"/>
  <c r="J17714" i="1"/>
  <c r="J17713" i="1"/>
  <c r="J17712" i="1"/>
  <c r="J17711" i="1"/>
  <c r="J17710" i="1"/>
  <c r="J17709" i="1"/>
  <c r="J17708" i="1"/>
  <c r="J17707" i="1"/>
  <c r="J17706" i="1"/>
  <c r="J17705" i="1"/>
  <c r="J17704" i="1"/>
  <c r="J17703" i="1"/>
  <c r="J17702" i="1"/>
  <c r="J17701" i="1"/>
  <c r="J17700" i="1"/>
  <c r="J17699" i="1"/>
  <c r="J17698" i="1"/>
  <c r="J17697" i="1"/>
  <c r="J17696" i="1"/>
  <c r="J17695" i="1"/>
  <c r="J17694" i="1"/>
  <c r="J17693" i="1"/>
  <c r="J17692" i="1"/>
  <c r="J17691" i="1"/>
  <c r="J17690" i="1"/>
  <c r="J17689" i="1"/>
  <c r="J17688" i="1"/>
  <c r="J17687" i="1"/>
  <c r="J17686" i="1"/>
  <c r="J17685" i="1"/>
  <c r="J17684" i="1"/>
  <c r="J17683" i="1"/>
  <c r="J17682" i="1"/>
  <c r="J17681" i="1"/>
  <c r="J17680" i="1"/>
  <c r="J17679" i="1"/>
  <c r="J17678" i="1"/>
  <c r="J17677" i="1"/>
  <c r="J17676" i="1"/>
  <c r="J17675" i="1"/>
  <c r="J17674" i="1"/>
  <c r="J17673" i="1"/>
  <c r="J17672" i="1"/>
  <c r="J17671" i="1"/>
  <c r="J17670" i="1"/>
  <c r="J17669" i="1"/>
  <c r="J17668" i="1"/>
  <c r="J17667" i="1"/>
  <c r="J17666" i="1"/>
  <c r="J17665" i="1"/>
  <c r="J17664" i="1"/>
  <c r="J17663" i="1"/>
  <c r="J17662" i="1"/>
  <c r="J17661" i="1"/>
  <c r="J17660" i="1"/>
  <c r="J17659" i="1"/>
  <c r="J17658" i="1"/>
  <c r="J17657" i="1"/>
  <c r="J17656" i="1"/>
  <c r="J17655" i="1"/>
  <c r="J17654" i="1"/>
  <c r="J17653" i="1"/>
  <c r="J17652" i="1"/>
  <c r="J17651" i="1"/>
  <c r="J17650" i="1"/>
  <c r="J17649" i="1"/>
  <c r="J17648" i="1"/>
  <c r="J17647" i="1"/>
  <c r="J17646" i="1"/>
  <c r="J17645" i="1"/>
  <c r="J17644" i="1"/>
  <c r="J17643" i="1"/>
  <c r="J17642" i="1"/>
  <c r="J17641" i="1"/>
  <c r="J17640" i="1"/>
  <c r="J17639" i="1"/>
  <c r="J17638" i="1"/>
  <c r="J17637" i="1"/>
  <c r="J17636" i="1"/>
  <c r="J17635" i="1"/>
  <c r="J17634" i="1"/>
  <c r="J17633" i="1"/>
  <c r="J17632" i="1"/>
  <c r="J17631" i="1"/>
  <c r="J17630" i="1"/>
  <c r="J17629" i="1"/>
  <c r="J17628" i="1"/>
  <c r="J17627" i="1"/>
  <c r="J17626" i="1"/>
  <c r="J17625" i="1"/>
  <c r="J17624" i="1"/>
  <c r="J17623" i="1"/>
  <c r="J17622" i="1"/>
  <c r="J17621" i="1"/>
  <c r="J17620" i="1"/>
  <c r="J17619" i="1"/>
  <c r="J17618" i="1"/>
  <c r="J17617" i="1"/>
  <c r="J17616" i="1"/>
  <c r="J17615" i="1"/>
  <c r="J17614" i="1"/>
  <c r="J17613" i="1"/>
  <c r="J17612" i="1"/>
  <c r="J17611" i="1"/>
  <c r="J17610" i="1"/>
  <c r="J17609" i="1"/>
  <c r="J17608" i="1"/>
  <c r="J17607" i="1"/>
  <c r="J17606" i="1"/>
  <c r="J17605" i="1"/>
  <c r="J17604" i="1"/>
  <c r="J17603" i="1"/>
  <c r="J17602" i="1"/>
  <c r="J17601" i="1"/>
  <c r="J17600" i="1"/>
  <c r="J17599" i="1"/>
  <c r="J17598" i="1"/>
  <c r="J17597" i="1"/>
  <c r="J17596" i="1"/>
  <c r="J17595" i="1"/>
  <c r="J17594" i="1"/>
  <c r="J17593" i="1"/>
  <c r="J17592" i="1"/>
  <c r="J17591" i="1"/>
  <c r="J17590" i="1"/>
  <c r="J17589" i="1"/>
  <c r="J17588" i="1"/>
  <c r="J17587" i="1"/>
  <c r="J17586" i="1"/>
  <c r="J17585" i="1"/>
  <c r="J17584" i="1"/>
  <c r="J17583" i="1"/>
  <c r="J17582" i="1"/>
  <c r="J17581" i="1"/>
  <c r="J17580" i="1"/>
  <c r="J17579" i="1"/>
  <c r="J17578" i="1"/>
  <c r="J17577" i="1"/>
  <c r="J17576" i="1"/>
  <c r="J17575" i="1"/>
  <c r="J17574" i="1"/>
  <c r="J17573" i="1"/>
  <c r="J17572" i="1"/>
  <c r="J17571" i="1"/>
  <c r="J17570" i="1"/>
  <c r="J17569" i="1"/>
  <c r="J17568" i="1"/>
  <c r="J17567" i="1"/>
  <c r="J17566" i="1"/>
  <c r="J17565" i="1"/>
  <c r="J17564" i="1"/>
  <c r="J17563" i="1"/>
  <c r="J17562" i="1"/>
  <c r="J17561" i="1"/>
  <c r="J17560" i="1"/>
  <c r="J17559" i="1"/>
  <c r="J17558" i="1"/>
  <c r="J17557" i="1"/>
  <c r="J17556" i="1"/>
  <c r="J17555" i="1"/>
  <c r="J17554" i="1"/>
  <c r="J17553" i="1"/>
  <c r="J17552" i="1"/>
  <c r="J17551" i="1"/>
  <c r="J17550" i="1"/>
  <c r="J17549" i="1"/>
  <c r="J17548" i="1"/>
  <c r="J17547" i="1"/>
  <c r="J17546" i="1"/>
  <c r="J17545" i="1"/>
  <c r="J17544" i="1"/>
  <c r="J17543" i="1"/>
  <c r="J17542" i="1"/>
  <c r="J17541" i="1"/>
  <c r="J17540" i="1"/>
  <c r="J17539" i="1"/>
  <c r="J17538" i="1"/>
  <c r="J17537" i="1"/>
  <c r="J17536" i="1"/>
  <c r="J17535" i="1"/>
  <c r="J17534" i="1"/>
  <c r="J17533" i="1"/>
  <c r="J17532" i="1"/>
  <c r="J17531" i="1"/>
  <c r="J17530" i="1"/>
  <c r="J17529" i="1"/>
  <c r="J17528" i="1"/>
  <c r="J17527" i="1"/>
  <c r="J17526" i="1"/>
  <c r="J17525" i="1"/>
  <c r="J17524" i="1"/>
  <c r="J17523" i="1"/>
  <c r="J17522" i="1"/>
  <c r="J17521" i="1"/>
  <c r="J17520" i="1"/>
  <c r="J17519" i="1"/>
  <c r="J17518" i="1"/>
  <c r="J17517" i="1"/>
  <c r="J17516" i="1"/>
  <c r="J17515" i="1"/>
  <c r="J17514" i="1"/>
  <c r="J17513" i="1"/>
  <c r="J17512" i="1"/>
  <c r="J17511" i="1"/>
  <c r="J17510" i="1"/>
  <c r="J17509" i="1"/>
  <c r="J17508" i="1"/>
  <c r="J17507" i="1"/>
  <c r="J17506" i="1"/>
  <c r="J17505" i="1"/>
  <c r="J17504" i="1"/>
  <c r="J17503" i="1"/>
  <c r="J17502" i="1"/>
  <c r="J17501" i="1"/>
  <c r="J17500" i="1"/>
  <c r="J17499" i="1"/>
  <c r="J17498" i="1"/>
  <c r="J17497" i="1"/>
  <c r="J17496" i="1"/>
  <c r="J17495" i="1"/>
  <c r="J17494" i="1"/>
  <c r="J17493" i="1"/>
  <c r="J17492" i="1"/>
  <c r="J17491" i="1"/>
  <c r="J17490" i="1"/>
  <c r="J17489" i="1"/>
  <c r="J17488" i="1"/>
  <c r="J17487" i="1"/>
  <c r="J17486" i="1"/>
  <c r="J17485" i="1"/>
  <c r="J17484" i="1"/>
  <c r="J17483" i="1"/>
  <c r="J17482" i="1"/>
  <c r="J17481" i="1"/>
  <c r="J17480" i="1"/>
  <c r="J17479" i="1"/>
  <c r="J17478" i="1"/>
  <c r="J17477" i="1"/>
  <c r="J17476" i="1"/>
  <c r="J17475" i="1"/>
  <c r="J17474" i="1"/>
  <c r="J17473" i="1"/>
  <c r="J17472" i="1"/>
  <c r="J17471" i="1"/>
  <c r="J17470" i="1"/>
  <c r="J17469" i="1"/>
  <c r="J17468" i="1"/>
  <c r="J17467" i="1"/>
  <c r="J17466" i="1"/>
  <c r="J17465" i="1"/>
  <c r="J17464" i="1"/>
  <c r="J17463" i="1"/>
  <c r="J17462" i="1"/>
  <c r="J17461" i="1"/>
  <c r="J17460" i="1"/>
  <c r="J17459" i="1"/>
  <c r="J17458" i="1"/>
  <c r="J17457" i="1"/>
  <c r="J17456" i="1"/>
  <c r="J17455" i="1"/>
  <c r="J17454" i="1"/>
  <c r="J17453" i="1"/>
  <c r="J17452" i="1"/>
  <c r="J17451" i="1"/>
  <c r="J17450" i="1"/>
  <c r="J17449" i="1"/>
  <c r="J17448" i="1"/>
  <c r="J17447" i="1"/>
  <c r="J17446" i="1"/>
  <c r="J17445" i="1"/>
  <c r="J17444" i="1"/>
  <c r="J17443" i="1"/>
  <c r="J17442" i="1"/>
  <c r="J17441" i="1"/>
  <c r="J17440" i="1"/>
  <c r="J17439" i="1"/>
  <c r="J17438" i="1"/>
  <c r="J17437" i="1"/>
  <c r="J17436" i="1"/>
  <c r="J17435" i="1"/>
  <c r="J17434" i="1"/>
  <c r="J17433" i="1"/>
  <c r="J17432" i="1"/>
  <c r="J17431" i="1"/>
  <c r="J17430" i="1"/>
  <c r="J17429" i="1"/>
  <c r="J17428" i="1"/>
  <c r="J17427" i="1"/>
  <c r="J17426" i="1"/>
  <c r="J17425" i="1"/>
  <c r="J17424" i="1"/>
  <c r="J17423" i="1"/>
  <c r="J17422" i="1"/>
  <c r="J17421" i="1"/>
  <c r="J17420" i="1"/>
  <c r="J17419" i="1"/>
  <c r="J17418" i="1"/>
  <c r="J17417" i="1"/>
  <c r="J17416" i="1"/>
  <c r="J17415" i="1"/>
  <c r="J17414" i="1"/>
  <c r="J17413" i="1"/>
  <c r="J17412" i="1"/>
  <c r="J17411" i="1"/>
  <c r="J17410" i="1"/>
  <c r="J17409" i="1"/>
  <c r="J17408" i="1"/>
  <c r="J17407" i="1"/>
  <c r="J17406" i="1"/>
  <c r="J17405" i="1"/>
  <c r="J17404" i="1"/>
  <c r="J17403" i="1"/>
  <c r="J17402" i="1"/>
  <c r="J17401" i="1"/>
  <c r="J17400" i="1"/>
  <c r="J17399" i="1"/>
  <c r="J17398" i="1"/>
  <c r="J17397" i="1"/>
  <c r="J17396" i="1"/>
  <c r="J17395" i="1"/>
  <c r="J17394" i="1"/>
  <c r="J17393" i="1"/>
  <c r="J17392" i="1"/>
  <c r="J17391" i="1"/>
  <c r="J17390" i="1"/>
  <c r="J17389" i="1"/>
  <c r="J17388" i="1"/>
  <c r="J17387" i="1"/>
  <c r="J17386" i="1"/>
  <c r="J17385" i="1"/>
  <c r="J17384" i="1"/>
  <c r="J17383" i="1"/>
  <c r="J17382" i="1"/>
  <c r="J17381" i="1"/>
  <c r="J17380" i="1"/>
  <c r="J17379" i="1"/>
  <c r="J17378" i="1"/>
  <c r="J17377" i="1"/>
  <c r="J17376" i="1"/>
  <c r="J17375" i="1"/>
  <c r="J17374" i="1"/>
  <c r="J17373" i="1"/>
  <c r="J17372" i="1"/>
  <c r="J17371" i="1"/>
  <c r="J17370" i="1"/>
  <c r="J17369" i="1"/>
  <c r="J17368" i="1"/>
  <c r="J17367" i="1"/>
  <c r="J17366" i="1"/>
  <c r="J17365" i="1"/>
  <c r="J17364" i="1"/>
  <c r="J17363" i="1"/>
  <c r="J17362" i="1"/>
  <c r="J17361" i="1"/>
  <c r="J17360" i="1"/>
  <c r="J17359" i="1"/>
  <c r="J17358" i="1"/>
  <c r="J17357" i="1"/>
  <c r="J17356" i="1"/>
  <c r="J17355" i="1"/>
  <c r="J17354" i="1"/>
  <c r="J17353" i="1"/>
  <c r="J17352" i="1"/>
  <c r="J17351" i="1"/>
  <c r="J17350" i="1"/>
  <c r="J17349" i="1"/>
  <c r="J17348" i="1"/>
  <c r="J17347" i="1"/>
  <c r="J17346" i="1"/>
  <c r="J17345" i="1"/>
  <c r="J17344" i="1"/>
  <c r="J17343" i="1"/>
  <c r="J17342" i="1"/>
  <c r="J17341" i="1"/>
  <c r="J17340" i="1"/>
  <c r="J17339" i="1"/>
  <c r="J17338" i="1"/>
  <c r="J17337" i="1"/>
  <c r="J17336" i="1"/>
  <c r="J17335" i="1"/>
  <c r="J17334" i="1"/>
  <c r="J17333" i="1"/>
  <c r="J17332" i="1"/>
  <c r="J17331" i="1"/>
  <c r="J17330" i="1"/>
  <c r="J17329" i="1"/>
  <c r="J17328" i="1"/>
  <c r="J17327" i="1"/>
  <c r="J17326" i="1"/>
  <c r="J17325" i="1"/>
  <c r="J17324" i="1"/>
  <c r="J17323" i="1"/>
  <c r="J17322" i="1"/>
  <c r="J17321" i="1"/>
  <c r="J17320" i="1"/>
  <c r="J17319" i="1"/>
  <c r="J17318" i="1"/>
  <c r="J17317" i="1"/>
  <c r="J17316" i="1"/>
  <c r="J17315" i="1"/>
  <c r="J17314" i="1"/>
  <c r="J17313" i="1"/>
  <c r="J17312" i="1"/>
  <c r="J17311" i="1"/>
  <c r="J17310" i="1"/>
  <c r="J17309" i="1"/>
  <c r="J17308" i="1"/>
  <c r="J17307" i="1"/>
  <c r="J17306" i="1"/>
  <c r="J17305" i="1"/>
  <c r="J17304" i="1"/>
  <c r="J17303" i="1"/>
  <c r="J17302" i="1"/>
  <c r="J17301" i="1"/>
  <c r="J17300" i="1"/>
  <c r="J17299" i="1"/>
  <c r="J17298" i="1"/>
  <c r="J17297" i="1"/>
  <c r="J17296" i="1"/>
  <c r="J17295" i="1"/>
  <c r="J17294" i="1"/>
  <c r="J17293" i="1"/>
  <c r="J17292" i="1"/>
  <c r="J17291" i="1"/>
  <c r="J17290" i="1"/>
  <c r="J17289" i="1"/>
  <c r="J17288" i="1"/>
  <c r="J17287" i="1"/>
  <c r="J17286" i="1"/>
  <c r="J17285" i="1"/>
  <c r="J17284" i="1"/>
  <c r="J17283" i="1"/>
  <c r="J17282" i="1"/>
  <c r="J17281" i="1"/>
  <c r="J17280" i="1"/>
  <c r="J17279" i="1"/>
  <c r="J17278" i="1"/>
  <c r="J17277" i="1"/>
  <c r="J17276" i="1"/>
  <c r="J17275" i="1"/>
  <c r="J17274" i="1"/>
  <c r="J17273" i="1"/>
  <c r="J17272" i="1"/>
  <c r="J17271" i="1"/>
  <c r="J17270" i="1"/>
  <c r="J17269" i="1"/>
  <c r="J17268" i="1"/>
  <c r="J17267" i="1"/>
  <c r="J17266" i="1"/>
  <c r="J17265" i="1"/>
  <c r="J17264" i="1"/>
  <c r="J17263" i="1"/>
  <c r="J17262" i="1"/>
  <c r="J17261" i="1"/>
  <c r="J17260" i="1"/>
  <c r="J17259" i="1"/>
  <c r="J17258" i="1"/>
  <c r="J17257" i="1"/>
  <c r="J17256" i="1"/>
  <c r="J17255" i="1"/>
  <c r="J17254" i="1"/>
  <c r="J17253" i="1"/>
  <c r="J17252" i="1"/>
  <c r="J17251" i="1"/>
  <c r="J17250" i="1"/>
  <c r="J17249" i="1"/>
  <c r="J17248" i="1"/>
  <c r="J17247" i="1"/>
  <c r="J17246" i="1"/>
  <c r="J17245" i="1"/>
  <c r="J17244" i="1"/>
  <c r="J17243" i="1"/>
  <c r="J17242" i="1"/>
  <c r="J17241" i="1"/>
  <c r="J17240" i="1"/>
  <c r="J17239" i="1"/>
  <c r="J17238" i="1"/>
  <c r="J17237" i="1"/>
  <c r="J17236" i="1"/>
  <c r="J17235" i="1"/>
  <c r="J17234" i="1"/>
  <c r="J17233" i="1"/>
  <c r="J17232" i="1"/>
  <c r="J17231" i="1"/>
  <c r="J17230" i="1"/>
  <c r="J17229" i="1"/>
  <c r="J17228" i="1"/>
  <c r="J17227" i="1"/>
  <c r="J17226" i="1"/>
  <c r="J17225" i="1"/>
  <c r="J17224" i="1"/>
  <c r="J17223" i="1"/>
  <c r="J17222" i="1"/>
  <c r="J17221" i="1"/>
  <c r="J17220" i="1"/>
  <c r="J17219" i="1"/>
  <c r="J17218" i="1"/>
  <c r="J17217" i="1"/>
  <c r="J17216" i="1"/>
  <c r="J17215" i="1"/>
  <c r="J17214" i="1"/>
  <c r="J17213" i="1"/>
  <c r="J17212" i="1"/>
  <c r="J17211" i="1"/>
  <c r="J17210" i="1"/>
  <c r="J17209" i="1"/>
  <c r="J17208" i="1"/>
  <c r="J17207" i="1"/>
  <c r="J17206" i="1"/>
  <c r="J17205" i="1"/>
  <c r="J17204" i="1"/>
  <c r="J17203" i="1"/>
  <c r="J17202" i="1"/>
  <c r="J17201" i="1"/>
  <c r="J17200" i="1"/>
  <c r="J17199" i="1"/>
  <c r="J17198" i="1"/>
  <c r="J17197" i="1"/>
  <c r="J17196" i="1"/>
  <c r="J17195" i="1"/>
  <c r="J17194" i="1"/>
  <c r="J17193" i="1"/>
  <c r="J17192" i="1"/>
  <c r="J17191" i="1"/>
  <c r="J17190" i="1"/>
  <c r="J17189" i="1"/>
  <c r="J17188" i="1"/>
  <c r="J17187" i="1"/>
  <c r="J17186" i="1"/>
  <c r="J17185" i="1"/>
  <c r="J17184" i="1"/>
  <c r="J17183" i="1"/>
  <c r="J17182" i="1"/>
  <c r="J17181" i="1"/>
  <c r="J17180" i="1"/>
  <c r="J17179" i="1"/>
  <c r="J17178" i="1"/>
  <c r="J17177" i="1"/>
  <c r="J17176" i="1"/>
  <c r="J17175" i="1"/>
  <c r="J17174" i="1"/>
  <c r="J17173" i="1"/>
  <c r="J17172" i="1"/>
  <c r="J17171" i="1"/>
  <c r="J17170" i="1"/>
  <c r="J17169" i="1"/>
  <c r="J17168" i="1"/>
  <c r="J17167" i="1"/>
  <c r="J17166" i="1"/>
  <c r="J17165" i="1"/>
  <c r="J17164" i="1"/>
  <c r="J17163" i="1"/>
  <c r="J17162" i="1"/>
  <c r="J17161" i="1"/>
  <c r="J17160" i="1"/>
  <c r="J17159" i="1"/>
  <c r="J17158" i="1"/>
  <c r="J17157" i="1"/>
  <c r="J17156" i="1"/>
  <c r="J17155" i="1"/>
  <c r="J17154" i="1"/>
  <c r="J17153" i="1"/>
  <c r="J17152" i="1"/>
  <c r="J17151" i="1"/>
  <c r="J17150" i="1"/>
  <c r="J17149" i="1"/>
  <c r="J17148" i="1"/>
  <c r="J17147" i="1"/>
  <c r="J17146" i="1"/>
  <c r="J17145" i="1"/>
  <c r="J17144" i="1"/>
  <c r="J17143" i="1"/>
  <c r="J17142" i="1"/>
  <c r="J17141" i="1"/>
  <c r="J17140" i="1"/>
  <c r="J17139" i="1"/>
  <c r="J17138" i="1"/>
  <c r="J17137" i="1"/>
  <c r="J17136" i="1"/>
  <c r="J17135" i="1"/>
  <c r="J17134" i="1"/>
  <c r="J17133" i="1"/>
  <c r="J17132" i="1"/>
  <c r="J17131" i="1"/>
  <c r="J17130" i="1"/>
  <c r="J17129" i="1"/>
  <c r="J17128" i="1"/>
  <c r="J17127" i="1"/>
  <c r="J17126" i="1"/>
  <c r="J17125" i="1"/>
  <c r="J17124" i="1"/>
  <c r="J17123" i="1"/>
  <c r="J17122" i="1"/>
  <c r="J17121" i="1"/>
  <c r="J17120" i="1"/>
  <c r="J17119" i="1"/>
  <c r="J17118" i="1"/>
  <c r="J17117" i="1"/>
  <c r="J17116" i="1"/>
  <c r="J17115" i="1"/>
  <c r="J17114" i="1"/>
  <c r="J17113" i="1"/>
  <c r="J17112" i="1"/>
  <c r="J17111" i="1"/>
  <c r="J17110" i="1"/>
  <c r="J17109" i="1"/>
  <c r="J17108" i="1"/>
  <c r="J17107" i="1"/>
  <c r="J17106" i="1"/>
  <c r="J17105" i="1"/>
  <c r="J17104" i="1"/>
  <c r="J17103" i="1"/>
  <c r="J17102" i="1"/>
  <c r="J17101" i="1"/>
  <c r="J17100" i="1"/>
  <c r="J17099" i="1"/>
  <c r="J17098" i="1"/>
  <c r="J17097" i="1"/>
  <c r="J17096" i="1"/>
  <c r="J17095" i="1"/>
  <c r="J17094" i="1"/>
  <c r="J17093" i="1"/>
  <c r="J17092" i="1"/>
  <c r="J17091" i="1"/>
  <c r="J17090" i="1"/>
  <c r="J17089" i="1"/>
  <c r="J17088" i="1"/>
  <c r="J17087" i="1"/>
  <c r="J17086" i="1"/>
  <c r="J17085" i="1"/>
  <c r="J17084" i="1"/>
  <c r="J17083" i="1"/>
  <c r="J17082" i="1"/>
  <c r="J17081" i="1"/>
  <c r="J17080" i="1"/>
  <c r="J17079" i="1"/>
  <c r="J17078" i="1"/>
  <c r="J17077" i="1"/>
  <c r="J17076" i="1"/>
  <c r="J17075" i="1"/>
  <c r="J17074" i="1"/>
  <c r="J17073" i="1"/>
  <c r="J17072" i="1"/>
  <c r="J17071" i="1"/>
  <c r="J17070" i="1"/>
  <c r="J17069" i="1"/>
  <c r="J17068" i="1"/>
  <c r="J17067" i="1"/>
  <c r="J17066" i="1"/>
  <c r="J17065" i="1"/>
  <c r="J17064" i="1"/>
  <c r="J17063" i="1"/>
  <c r="J17062" i="1"/>
  <c r="J17061" i="1"/>
  <c r="J17060" i="1"/>
  <c r="J17059" i="1"/>
  <c r="J17058" i="1"/>
  <c r="J17057" i="1"/>
  <c r="J17056" i="1"/>
  <c r="J17055" i="1"/>
  <c r="J17054" i="1"/>
  <c r="J17053" i="1"/>
  <c r="J17052" i="1"/>
  <c r="J17051" i="1"/>
  <c r="J17050" i="1"/>
  <c r="J17049" i="1"/>
  <c r="J17048" i="1"/>
  <c r="J17047" i="1"/>
  <c r="J17046" i="1"/>
  <c r="J17045" i="1"/>
  <c r="J17044" i="1"/>
  <c r="J17043" i="1"/>
  <c r="J17042" i="1"/>
  <c r="J17041" i="1"/>
  <c r="J17040" i="1"/>
  <c r="J17039" i="1"/>
  <c r="J17038" i="1"/>
  <c r="J17037" i="1"/>
  <c r="J17036" i="1"/>
  <c r="J17035" i="1"/>
  <c r="J17034" i="1"/>
  <c r="J17033" i="1"/>
  <c r="J17032" i="1"/>
  <c r="J17031" i="1"/>
  <c r="J17030" i="1"/>
  <c r="J17029" i="1"/>
  <c r="J17028" i="1"/>
  <c r="J17027" i="1"/>
  <c r="J17026" i="1"/>
  <c r="J17025" i="1"/>
  <c r="J17024" i="1"/>
  <c r="J17023" i="1"/>
  <c r="J17022" i="1"/>
  <c r="J17021" i="1"/>
  <c r="J17020" i="1"/>
  <c r="J17019" i="1"/>
  <c r="J17018" i="1"/>
  <c r="J17017" i="1"/>
  <c r="J17016" i="1"/>
  <c r="J17015" i="1"/>
  <c r="J17014" i="1"/>
  <c r="J17013" i="1"/>
  <c r="J17012" i="1"/>
  <c r="J17011" i="1"/>
  <c r="J17010" i="1"/>
  <c r="J17009" i="1"/>
  <c r="J17008" i="1"/>
  <c r="J17007" i="1"/>
  <c r="J17006" i="1"/>
  <c r="J17005" i="1"/>
  <c r="J17004" i="1"/>
  <c r="J17003" i="1"/>
  <c r="J17002" i="1"/>
  <c r="J17001" i="1"/>
  <c r="J17000" i="1"/>
  <c r="J16999" i="1"/>
  <c r="J16998" i="1"/>
  <c r="J16997" i="1"/>
  <c r="J16996" i="1"/>
  <c r="J16995" i="1"/>
  <c r="J16994" i="1"/>
  <c r="J16993" i="1"/>
  <c r="J16992" i="1"/>
  <c r="J16991" i="1"/>
  <c r="J16990" i="1"/>
  <c r="J16989" i="1"/>
  <c r="J16988" i="1"/>
  <c r="J16987" i="1"/>
  <c r="J16986" i="1"/>
  <c r="J16985" i="1"/>
  <c r="J16984" i="1"/>
  <c r="J16983" i="1"/>
  <c r="J16982" i="1"/>
  <c r="J16981" i="1"/>
  <c r="J16980" i="1"/>
  <c r="J16979" i="1"/>
  <c r="J16978" i="1"/>
  <c r="J16977" i="1"/>
  <c r="J16976" i="1"/>
  <c r="J16975" i="1"/>
  <c r="J16974" i="1"/>
  <c r="J16973" i="1"/>
  <c r="J16972" i="1"/>
  <c r="J16971" i="1"/>
  <c r="J16970" i="1"/>
  <c r="J16969" i="1"/>
  <c r="J16968" i="1"/>
  <c r="J16967" i="1"/>
  <c r="J16966" i="1"/>
  <c r="J16965" i="1"/>
  <c r="J16964" i="1"/>
  <c r="J16963" i="1"/>
  <c r="J16962" i="1"/>
  <c r="J16961" i="1"/>
  <c r="J16960" i="1"/>
  <c r="J16959" i="1"/>
  <c r="J16958" i="1"/>
  <c r="J16957" i="1"/>
  <c r="J16956" i="1"/>
  <c r="J16955" i="1"/>
  <c r="J16954" i="1"/>
  <c r="J16953" i="1"/>
  <c r="J16952" i="1"/>
  <c r="J16951" i="1"/>
  <c r="J16950" i="1"/>
  <c r="J16949" i="1"/>
  <c r="J16948" i="1"/>
  <c r="J16947" i="1"/>
  <c r="J16946" i="1"/>
  <c r="J16945" i="1"/>
  <c r="J16944" i="1"/>
  <c r="J16943" i="1"/>
  <c r="J16942" i="1"/>
  <c r="J16941" i="1"/>
  <c r="J16940" i="1"/>
  <c r="J16939" i="1"/>
  <c r="J16938" i="1"/>
  <c r="J16937" i="1"/>
  <c r="J16936" i="1"/>
  <c r="J16935" i="1"/>
  <c r="J16934" i="1"/>
  <c r="J16933" i="1"/>
  <c r="J16932" i="1"/>
  <c r="J16931" i="1"/>
  <c r="J16930" i="1"/>
  <c r="J16929" i="1"/>
  <c r="J16928" i="1"/>
  <c r="J16927" i="1"/>
  <c r="J16926" i="1"/>
  <c r="J16925" i="1"/>
  <c r="J16924" i="1"/>
  <c r="J16923" i="1"/>
  <c r="J16922" i="1"/>
  <c r="J16921" i="1"/>
  <c r="J16920" i="1"/>
  <c r="J16919" i="1"/>
  <c r="J16918" i="1"/>
  <c r="J16917" i="1"/>
  <c r="J16916" i="1"/>
  <c r="J16915" i="1"/>
  <c r="J16914" i="1"/>
  <c r="J16913" i="1"/>
  <c r="J16912" i="1"/>
  <c r="J16911" i="1"/>
  <c r="J16910" i="1"/>
  <c r="J16909" i="1"/>
  <c r="J16908" i="1"/>
  <c r="J16907" i="1"/>
  <c r="J16906" i="1"/>
  <c r="J16905" i="1"/>
  <c r="J16904" i="1"/>
  <c r="J16903" i="1"/>
  <c r="J16902" i="1"/>
  <c r="J16901" i="1"/>
  <c r="J16900" i="1"/>
  <c r="J16899" i="1"/>
  <c r="J16898" i="1"/>
  <c r="J16897" i="1"/>
  <c r="J16896" i="1"/>
  <c r="J16895" i="1"/>
  <c r="J16894" i="1"/>
  <c r="J16893" i="1"/>
  <c r="J16892" i="1"/>
  <c r="J16891" i="1"/>
  <c r="J16890" i="1"/>
  <c r="J16889" i="1"/>
  <c r="J16888" i="1"/>
  <c r="J16887" i="1"/>
  <c r="J16886" i="1"/>
  <c r="J16885" i="1"/>
  <c r="J16884" i="1"/>
  <c r="J16883" i="1"/>
  <c r="J16882" i="1"/>
  <c r="J16881" i="1"/>
  <c r="J16880" i="1"/>
  <c r="J16879" i="1"/>
  <c r="J16878" i="1"/>
  <c r="J16877" i="1"/>
  <c r="J16876" i="1"/>
  <c r="J16875" i="1"/>
  <c r="J16874" i="1"/>
  <c r="J16873" i="1"/>
  <c r="J16872" i="1"/>
  <c r="J16871" i="1"/>
  <c r="J16870" i="1"/>
  <c r="J16869" i="1"/>
  <c r="J16868" i="1"/>
  <c r="J16867" i="1"/>
  <c r="J16866" i="1"/>
  <c r="J16865" i="1"/>
  <c r="J16864" i="1"/>
  <c r="J16863" i="1"/>
  <c r="J16862" i="1"/>
  <c r="J16861" i="1"/>
  <c r="J16860" i="1"/>
  <c r="J16859" i="1"/>
  <c r="J16858" i="1"/>
  <c r="J16857" i="1"/>
  <c r="J16856" i="1"/>
  <c r="J16855" i="1"/>
  <c r="J16854" i="1"/>
  <c r="J16853" i="1"/>
  <c r="J16852" i="1"/>
  <c r="J16851" i="1"/>
  <c r="J16850" i="1"/>
  <c r="J16849" i="1"/>
  <c r="J16848" i="1"/>
  <c r="J16847" i="1"/>
  <c r="J16846" i="1"/>
  <c r="J16845" i="1"/>
  <c r="J16844" i="1"/>
  <c r="J16843" i="1"/>
  <c r="J16842" i="1"/>
  <c r="J16841" i="1"/>
  <c r="J16840" i="1"/>
  <c r="J16839" i="1"/>
  <c r="J16838" i="1"/>
  <c r="J16837" i="1"/>
  <c r="J16836" i="1"/>
  <c r="J16835" i="1"/>
  <c r="J16834" i="1"/>
  <c r="J16833" i="1"/>
  <c r="J16832" i="1"/>
  <c r="J16831" i="1"/>
  <c r="J16830" i="1"/>
  <c r="J16829" i="1"/>
  <c r="J16828" i="1"/>
  <c r="J16827" i="1"/>
  <c r="J16826" i="1"/>
  <c r="J16825" i="1"/>
  <c r="J16824" i="1"/>
  <c r="J16823" i="1"/>
  <c r="J16822" i="1"/>
  <c r="J16821" i="1"/>
  <c r="J16820" i="1"/>
  <c r="J16819" i="1"/>
  <c r="J16818" i="1"/>
  <c r="J16817" i="1"/>
  <c r="J16816" i="1"/>
  <c r="J16815" i="1"/>
  <c r="J16814" i="1"/>
  <c r="J16813" i="1"/>
  <c r="J16812" i="1"/>
  <c r="J16811" i="1"/>
  <c r="J16810" i="1"/>
  <c r="J16809" i="1"/>
  <c r="J16808" i="1"/>
  <c r="J16807" i="1"/>
  <c r="J16806" i="1"/>
  <c r="J16805" i="1"/>
  <c r="J16804" i="1"/>
  <c r="J16803" i="1"/>
  <c r="J16802" i="1"/>
  <c r="J16801" i="1"/>
  <c r="J16800" i="1"/>
  <c r="J16799" i="1"/>
  <c r="J16798" i="1"/>
  <c r="J16797" i="1"/>
  <c r="J16796" i="1"/>
  <c r="J16795" i="1"/>
  <c r="J16794" i="1"/>
  <c r="J16793" i="1"/>
  <c r="J16792" i="1"/>
  <c r="J16791" i="1"/>
  <c r="J16790" i="1"/>
  <c r="J16789" i="1"/>
  <c r="J16788" i="1"/>
  <c r="J16787" i="1"/>
  <c r="J16786" i="1"/>
  <c r="J16785" i="1"/>
  <c r="J16784" i="1"/>
  <c r="J16783" i="1"/>
  <c r="J16782" i="1"/>
  <c r="J16781" i="1"/>
  <c r="J16780" i="1"/>
  <c r="J16779" i="1"/>
  <c r="J16778" i="1"/>
  <c r="J16777" i="1"/>
  <c r="J16776" i="1"/>
  <c r="J16775" i="1"/>
  <c r="J16774" i="1"/>
  <c r="J16773" i="1"/>
  <c r="J16772" i="1"/>
  <c r="J16771" i="1"/>
  <c r="J16770" i="1"/>
  <c r="J16769" i="1"/>
  <c r="J16768" i="1"/>
  <c r="J16767" i="1"/>
  <c r="J16766" i="1"/>
  <c r="J16765" i="1"/>
  <c r="J16764" i="1"/>
  <c r="J16763" i="1"/>
  <c r="J16762" i="1"/>
  <c r="J16761" i="1"/>
  <c r="J16760" i="1"/>
  <c r="J16759" i="1"/>
  <c r="J16758" i="1"/>
  <c r="J16757" i="1"/>
  <c r="J16756" i="1"/>
  <c r="J16755" i="1"/>
  <c r="J16754" i="1"/>
  <c r="J16753" i="1"/>
  <c r="J16752" i="1"/>
  <c r="J16751" i="1"/>
  <c r="J16750" i="1"/>
  <c r="J16749" i="1"/>
  <c r="J16748" i="1"/>
  <c r="J16747" i="1"/>
  <c r="J16746" i="1"/>
  <c r="J16745" i="1"/>
  <c r="J16744" i="1"/>
  <c r="J16743" i="1"/>
  <c r="J16742" i="1"/>
  <c r="J16741" i="1"/>
  <c r="J16740" i="1"/>
  <c r="J16739" i="1"/>
  <c r="J16738" i="1"/>
  <c r="J16737" i="1"/>
  <c r="J16736" i="1"/>
  <c r="J16735" i="1"/>
  <c r="J16734" i="1"/>
  <c r="J16733" i="1"/>
  <c r="J16732" i="1"/>
  <c r="J16731" i="1"/>
  <c r="J16730" i="1"/>
  <c r="J16729" i="1"/>
  <c r="J16728" i="1"/>
  <c r="J16727" i="1"/>
  <c r="J16726" i="1"/>
  <c r="J16725" i="1"/>
  <c r="J16724" i="1"/>
  <c r="J16723" i="1"/>
  <c r="J16722" i="1"/>
  <c r="J16721" i="1"/>
  <c r="J16720" i="1"/>
  <c r="J16719" i="1"/>
  <c r="J16718" i="1"/>
  <c r="J16717" i="1"/>
  <c r="J16716" i="1"/>
  <c r="J16715" i="1"/>
  <c r="J16714" i="1"/>
  <c r="J16713" i="1"/>
  <c r="J16712" i="1"/>
  <c r="J16711" i="1"/>
  <c r="J16710" i="1"/>
  <c r="J16709" i="1"/>
  <c r="J16708" i="1"/>
  <c r="J16707" i="1"/>
  <c r="J16706" i="1"/>
  <c r="J16705" i="1"/>
  <c r="J16704" i="1"/>
  <c r="J16703" i="1"/>
  <c r="J16702" i="1"/>
  <c r="J16701" i="1"/>
  <c r="J16700" i="1"/>
  <c r="J16699" i="1"/>
  <c r="J16698" i="1"/>
  <c r="J16697" i="1"/>
  <c r="J16696" i="1"/>
  <c r="J16695" i="1"/>
  <c r="J16694" i="1"/>
  <c r="J16693" i="1"/>
  <c r="J16692" i="1"/>
  <c r="J16691" i="1"/>
  <c r="J16690" i="1"/>
  <c r="J16689" i="1"/>
  <c r="J16688" i="1"/>
  <c r="J16687" i="1"/>
  <c r="J16686" i="1"/>
  <c r="J16685" i="1"/>
  <c r="J16684" i="1"/>
  <c r="J16683" i="1"/>
  <c r="J16682" i="1"/>
  <c r="J16681" i="1"/>
  <c r="J16680" i="1"/>
  <c r="J16679" i="1"/>
  <c r="J16678" i="1"/>
  <c r="J16677" i="1"/>
  <c r="J16676" i="1"/>
  <c r="J16675" i="1"/>
  <c r="J16674" i="1"/>
  <c r="J16673" i="1"/>
  <c r="J16672" i="1"/>
  <c r="J16671" i="1"/>
  <c r="J16670" i="1"/>
  <c r="J16669" i="1"/>
  <c r="J16668" i="1"/>
  <c r="J16667" i="1"/>
  <c r="J16666" i="1"/>
  <c r="J16665" i="1"/>
  <c r="J16664" i="1"/>
  <c r="J16663" i="1"/>
  <c r="J16662" i="1"/>
  <c r="J16661" i="1"/>
  <c r="J16660" i="1"/>
  <c r="J16659" i="1"/>
  <c r="J16658" i="1"/>
  <c r="J16657" i="1"/>
  <c r="J16656" i="1"/>
  <c r="J16655" i="1"/>
  <c r="J16654" i="1"/>
  <c r="J16653" i="1"/>
  <c r="J16652" i="1"/>
  <c r="J16651" i="1"/>
  <c r="J16650" i="1"/>
  <c r="J16649" i="1"/>
  <c r="J16648" i="1"/>
  <c r="J16647" i="1"/>
  <c r="J16646" i="1"/>
  <c r="J16645" i="1"/>
  <c r="J16644" i="1"/>
  <c r="J16643" i="1"/>
  <c r="J16642" i="1"/>
  <c r="J16641" i="1"/>
  <c r="J16640" i="1"/>
  <c r="J16639" i="1"/>
  <c r="J16638" i="1"/>
  <c r="J16637" i="1"/>
  <c r="J16636" i="1"/>
  <c r="J16635" i="1"/>
  <c r="J16634" i="1"/>
  <c r="J16633" i="1"/>
  <c r="J16632" i="1"/>
  <c r="J16631" i="1"/>
  <c r="J16630" i="1"/>
  <c r="J16629" i="1"/>
  <c r="J16628" i="1"/>
  <c r="J16627" i="1"/>
  <c r="J16626" i="1"/>
  <c r="J16625" i="1"/>
  <c r="J16624" i="1"/>
  <c r="J16623" i="1"/>
  <c r="J16622" i="1"/>
  <c r="J16621" i="1"/>
  <c r="J16620" i="1"/>
  <c r="J16619" i="1"/>
  <c r="J16618" i="1"/>
  <c r="J16617" i="1"/>
  <c r="J16616" i="1"/>
  <c r="J16615" i="1"/>
  <c r="J16614" i="1"/>
  <c r="J16613" i="1"/>
  <c r="J16612" i="1"/>
  <c r="J16611" i="1"/>
  <c r="J16610" i="1"/>
  <c r="J16609" i="1"/>
  <c r="J16608" i="1"/>
  <c r="J16607" i="1"/>
  <c r="J16606" i="1"/>
  <c r="J16605" i="1"/>
  <c r="J16604" i="1"/>
  <c r="J16603" i="1"/>
  <c r="J16602" i="1"/>
  <c r="J16601" i="1"/>
  <c r="J16600" i="1"/>
  <c r="J16599" i="1"/>
  <c r="J16598" i="1"/>
  <c r="J16597" i="1"/>
  <c r="J16596" i="1"/>
  <c r="J16595" i="1"/>
  <c r="J16594" i="1"/>
  <c r="J16593" i="1"/>
  <c r="J16592" i="1"/>
  <c r="J16591" i="1"/>
  <c r="J16590" i="1"/>
  <c r="J16589" i="1"/>
  <c r="J16588" i="1"/>
  <c r="J16587" i="1"/>
  <c r="J16586" i="1"/>
  <c r="J16585" i="1"/>
  <c r="J16584" i="1"/>
  <c r="J16583" i="1"/>
  <c r="J16582" i="1"/>
  <c r="J16581" i="1"/>
  <c r="J16580" i="1"/>
  <c r="J16579" i="1"/>
  <c r="J16578" i="1"/>
  <c r="J16577" i="1"/>
  <c r="J16576" i="1"/>
  <c r="J16575" i="1"/>
  <c r="J16574" i="1"/>
  <c r="J16573" i="1"/>
  <c r="J16572" i="1"/>
  <c r="J16571" i="1"/>
  <c r="J16570" i="1"/>
  <c r="J16569" i="1"/>
  <c r="J16568" i="1"/>
  <c r="J16567" i="1"/>
  <c r="J16566" i="1"/>
  <c r="J16565" i="1"/>
  <c r="J16564" i="1"/>
  <c r="J16563" i="1"/>
  <c r="J16562" i="1"/>
  <c r="J16561" i="1"/>
  <c r="J16560" i="1"/>
  <c r="J16559" i="1"/>
  <c r="J16558" i="1"/>
  <c r="J16557" i="1"/>
  <c r="J16556" i="1"/>
  <c r="J16555" i="1"/>
  <c r="J16554" i="1"/>
  <c r="J16553" i="1"/>
  <c r="J16552" i="1"/>
  <c r="J16551" i="1"/>
  <c r="J16550" i="1"/>
  <c r="J16549" i="1"/>
  <c r="J16548" i="1"/>
  <c r="J16547" i="1"/>
  <c r="J16546" i="1"/>
  <c r="J16545" i="1"/>
  <c r="J16544" i="1"/>
  <c r="J16543" i="1"/>
  <c r="J16542" i="1"/>
  <c r="J16541" i="1"/>
  <c r="J16540" i="1"/>
  <c r="J16539" i="1"/>
  <c r="J16538" i="1"/>
  <c r="J16537" i="1"/>
  <c r="J16536" i="1"/>
  <c r="J16535" i="1"/>
  <c r="J16534" i="1"/>
  <c r="J16533" i="1"/>
  <c r="J16532" i="1"/>
  <c r="J16531" i="1"/>
  <c r="J16530" i="1"/>
  <c r="J16529" i="1"/>
  <c r="J16528" i="1"/>
  <c r="J16527" i="1"/>
  <c r="J16526" i="1"/>
  <c r="J16525" i="1"/>
  <c r="J16524" i="1"/>
  <c r="J16523" i="1"/>
  <c r="J16522" i="1"/>
  <c r="J16521" i="1"/>
  <c r="J16520" i="1"/>
  <c r="J16519" i="1"/>
  <c r="J16518" i="1"/>
  <c r="J16517" i="1"/>
  <c r="J16516" i="1"/>
  <c r="J16515" i="1"/>
  <c r="J16514" i="1"/>
  <c r="J16513" i="1"/>
  <c r="J16512" i="1"/>
  <c r="J16511" i="1"/>
  <c r="J16510" i="1"/>
  <c r="J16509" i="1"/>
  <c r="J16508" i="1"/>
  <c r="J16507" i="1"/>
  <c r="J16506" i="1"/>
  <c r="J16505" i="1"/>
  <c r="J16504" i="1"/>
  <c r="J16503" i="1"/>
  <c r="J16502" i="1"/>
  <c r="J16501" i="1"/>
  <c r="J16500" i="1"/>
  <c r="J16499" i="1"/>
  <c r="J16498" i="1"/>
  <c r="J16497" i="1"/>
  <c r="J16496" i="1"/>
  <c r="J16495" i="1"/>
  <c r="J16494" i="1"/>
  <c r="J16493" i="1"/>
  <c r="J16492" i="1"/>
  <c r="J16491" i="1"/>
  <c r="J16490" i="1"/>
  <c r="J16489" i="1"/>
  <c r="J16488" i="1"/>
  <c r="J16487" i="1"/>
  <c r="J16486" i="1"/>
  <c r="J16485" i="1"/>
  <c r="J16484" i="1"/>
  <c r="J16483" i="1"/>
  <c r="J16482" i="1"/>
  <c r="J16481" i="1"/>
  <c r="J16480" i="1"/>
  <c r="J16479" i="1"/>
  <c r="J16478" i="1"/>
  <c r="J16477" i="1"/>
  <c r="J16476" i="1"/>
  <c r="J16475" i="1"/>
  <c r="J16474" i="1"/>
  <c r="J16473" i="1"/>
  <c r="J16472" i="1"/>
  <c r="J16471" i="1"/>
  <c r="J16470" i="1"/>
  <c r="J16469" i="1"/>
  <c r="J16468" i="1"/>
  <c r="J16467" i="1"/>
  <c r="J16466" i="1"/>
  <c r="J16465" i="1"/>
  <c r="J16464" i="1"/>
  <c r="J16463" i="1"/>
  <c r="J16462" i="1"/>
  <c r="J16461" i="1"/>
  <c r="J16460" i="1"/>
  <c r="J16459" i="1"/>
  <c r="J16458" i="1"/>
  <c r="J16457" i="1"/>
  <c r="J16456" i="1"/>
  <c r="J16455" i="1"/>
  <c r="J16454" i="1"/>
  <c r="J16453" i="1"/>
  <c r="J16452" i="1"/>
  <c r="J16451" i="1"/>
  <c r="J16450" i="1"/>
  <c r="J16449" i="1"/>
  <c r="J16448" i="1"/>
  <c r="J16447" i="1"/>
  <c r="J16446" i="1"/>
  <c r="J16445" i="1"/>
  <c r="J16444" i="1"/>
  <c r="J16443" i="1"/>
  <c r="J16442" i="1"/>
  <c r="J16441" i="1"/>
  <c r="J16440" i="1"/>
  <c r="J16439" i="1"/>
  <c r="J16438" i="1"/>
  <c r="J16437" i="1"/>
  <c r="J16436" i="1"/>
  <c r="J16435" i="1"/>
  <c r="J16434" i="1"/>
  <c r="J16433" i="1"/>
  <c r="J16432" i="1"/>
  <c r="J16431" i="1"/>
  <c r="J16430" i="1"/>
  <c r="J16429" i="1"/>
  <c r="J16428" i="1"/>
  <c r="J16427" i="1"/>
  <c r="J16426" i="1"/>
  <c r="J16425" i="1"/>
  <c r="J16424" i="1"/>
  <c r="J16423" i="1"/>
  <c r="J16422" i="1"/>
  <c r="J16421" i="1"/>
  <c r="J16420" i="1"/>
  <c r="J16419" i="1"/>
  <c r="J16418" i="1"/>
  <c r="J16417" i="1"/>
  <c r="J16416" i="1"/>
  <c r="J16415" i="1"/>
  <c r="J16414" i="1"/>
  <c r="J16413" i="1"/>
  <c r="J16412" i="1"/>
  <c r="J16411" i="1"/>
  <c r="J16410" i="1"/>
  <c r="J16409" i="1"/>
  <c r="J16408" i="1"/>
  <c r="J16407" i="1"/>
  <c r="J16406" i="1"/>
  <c r="J16405" i="1"/>
  <c r="J16404" i="1"/>
  <c r="J16403" i="1"/>
  <c r="J16402" i="1"/>
  <c r="J16401" i="1"/>
  <c r="J16400" i="1"/>
  <c r="J16399" i="1"/>
  <c r="J16398" i="1"/>
  <c r="J16397" i="1"/>
  <c r="J16396" i="1"/>
  <c r="J16395" i="1"/>
  <c r="J16394" i="1"/>
  <c r="J16393" i="1"/>
  <c r="J16392" i="1"/>
  <c r="J16391" i="1"/>
  <c r="J16390" i="1"/>
  <c r="J16389" i="1"/>
  <c r="J16388" i="1"/>
  <c r="J16387" i="1"/>
  <c r="J16386" i="1"/>
  <c r="J16385" i="1"/>
  <c r="J16384" i="1"/>
  <c r="J16383" i="1"/>
  <c r="J16382" i="1"/>
  <c r="J16381" i="1"/>
  <c r="J16380" i="1"/>
  <c r="J16379" i="1"/>
  <c r="J16378" i="1"/>
  <c r="J16377" i="1"/>
  <c r="J16376" i="1"/>
  <c r="J16375" i="1"/>
  <c r="J16374" i="1"/>
  <c r="J16373" i="1"/>
  <c r="J16372" i="1"/>
  <c r="J16371" i="1"/>
  <c r="J16370" i="1"/>
  <c r="J16369" i="1"/>
  <c r="J16368" i="1"/>
  <c r="J16367" i="1"/>
  <c r="J16366" i="1"/>
  <c r="J16365" i="1"/>
  <c r="J16364" i="1"/>
  <c r="J16363" i="1"/>
  <c r="J16362" i="1"/>
  <c r="J16361" i="1"/>
  <c r="J16360" i="1"/>
  <c r="J16359" i="1"/>
  <c r="J16358" i="1"/>
  <c r="J16357" i="1"/>
  <c r="J16356" i="1"/>
  <c r="J16355" i="1"/>
  <c r="J16354" i="1"/>
  <c r="J16353" i="1"/>
  <c r="J16352" i="1"/>
  <c r="J16351" i="1"/>
  <c r="J16350" i="1"/>
  <c r="J16349" i="1"/>
  <c r="J16348" i="1"/>
  <c r="J16347" i="1"/>
  <c r="J16346" i="1"/>
  <c r="J16345" i="1"/>
  <c r="J16344" i="1"/>
  <c r="J16343" i="1"/>
  <c r="J16342" i="1"/>
  <c r="J16341" i="1"/>
  <c r="J16340" i="1"/>
  <c r="J16339" i="1"/>
  <c r="J16338" i="1"/>
  <c r="J16337" i="1"/>
  <c r="J16336" i="1"/>
  <c r="J16335" i="1"/>
  <c r="J16334" i="1"/>
  <c r="J16333" i="1"/>
  <c r="J16332" i="1"/>
  <c r="J16331" i="1"/>
  <c r="J16330" i="1"/>
  <c r="J16329" i="1"/>
  <c r="J16328" i="1"/>
  <c r="J16327" i="1"/>
  <c r="J16326" i="1"/>
  <c r="J16325" i="1"/>
  <c r="J16324" i="1"/>
  <c r="J16323" i="1"/>
  <c r="J16322" i="1"/>
  <c r="J16321" i="1"/>
  <c r="J16320" i="1"/>
  <c r="J16319" i="1"/>
  <c r="J16318" i="1"/>
  <c r="J16317" i="1"/>
  <c r="J16316" i="1"/>
  <c r="J16315" i="1"/>
  <c r="J16314" i="1"/>
  <c r="J16313" i="1"/>
  <c r="J16312" i="1"/>
  <c r="J16311" i="1"/>
  <c r="J16310" i="1"/>
  <c r="J16309" i="1"/>
  <c r="J16308" i="1"/>
  <c r="J16307" i="1"/>
  <c r="J16306" i="1"/>
  <c r="J16305" i="1"/>
  <c r="J16304" i="1"/>
  <c r="J16303" i="1"/>
  <c r="J16302" i="1"/>
  <c r="J16301" i="1"/>
  <c r="J16300" i="1"/>
  <c r="J16299" i="1"/>
  <c r="J16298" i="1"/>
  <c r="J16297" i="1"/>
  <c r="J16296" i="1"/>
  <c r="J16295" i="1"/>
  <c r="J16294" i="1"/>
  <c r="J16293" i="1"/>
  <c r="J16292" i="1"/>
  <c r="J16291" i="1"/>
  <c r="J16290" i="1"/>
  <c r="J16289" i="1"/>
  <c r="J16288" i="1"/>
  <c r="J16287" i="1"/>
  <c r="J16286" i="1"/>
  <c r="J16285" i="1"/>
  <c r="J16284" i="1"/>
  <c r="J16283" i="1"/>
  <c r="J16282" i="1"/>
  <c r="J16281" i="1"/>
  <c r="J16280" i="1"/>
  <c r="J16279" i="1"/>
  <c r="J16278" i="1"/>
  <c r="J16277" i="1"/>
  <c r="J16276" i="1"/>
  <c r="J16275" i="1"/>
  <c r="J16274" i="1"/>
  <c r="J16273" i="1"/>
  <c r="J16272" i="1"/>
  <c r="J16271" i="1"/>
  <c r="J16270" i="1"/>
  <c r="J16269" i="1"/>
  <c r="J16268" i="1"/>
  <c r="J16267" i="1"/>
  <c r="J16266" i="1"/>
  <c r="J16265" i="1"/>
  <c r="J16264" i="1"/>
  <c r="J16263" i="1"/>
  <c r="J16262" i="1"/>
  <c r="J16261" i="1"/>
  <c r="J16260" i="1"/>
  <c r="J16259" i="1"/>
  <c r="J16258" i="1"/>
  <c r="J16257" i="1"/>
  <c r="J16256" i="1"/>
  <c r="J16255" i="1"/>
  <c r="J16254" i="1"/>
  <c r="J16253" i="1"/>
  <c r="J16252" i="1"/>
  <c r="J16251" i="1"/>
  <c r="J16250" i="1"/>
  <c r="J16249" i="1"/>
  <c r="J16248" i="1"/>
  <c r="J16247" i="1"/>
  <c r="J16246" i="1"/>
  <c r="J16245" i="1"/>
  <c r="J16244" i="1"/>
  <c r="J16243" i="1"/>
  <c r="J16242" i="1"/>
  <c r="J16241" i="1"/>
  <c r="J16240" i="1"/>
  <c r="J16239" i="1"/>
  <c r="J16238" i="1"/>
  <c r="J16237" i="1"/>
  <c r="J16236" i="1"/>
  <c r="J16235" i="1"/>
  <c r="J16234" i="1"/>
  <c r="J16233" i="1"/>
  <c r="J16232" i="1"/>
  <c r="J16231" i="1"/>
  <c r="J16230" i="1"/>
  <c r="J16229" i="1"/>
  <c r="J16228" i="1"/>
  <c r="J16227" i="1"/>
  <c r="J16226" i="1"/>
  <c r="J16225" i="1"/>
  <c r="J16224" i="1"/>
  <c r="J16223" i="1"/>
  <c r="J16222" i="1"/>
  <c r="J16221" i="1"/>
  <c r="J16220" i="1"/>
  <c r="J16219" i="1"/>
  <c r="J16218" i="1"/>
  <c r="J16217" i="1"/>
  <c r="J16216" i="1"/>
  <c r="J16215" i="1"/>
  <c r="J16214" i="1"/>
  <c r="J16213" i="1"/>
  <c r="J16212" i="1"/>
  <c r="J16211" i="1"/>
  <c r="J16210" i="1"/>
  <c r="J16209" i="1"/>
  <c r="J16208" i="1"/>
  <c r="J16207" i="1"/>
  <c r="J16206" i="1"/>
  <c r="J16205" i="1"/>
  <c r="J16204" i="1"/>
  <c r="J16203" i="1"/>
  <c r="J16202" i="1"/>
  <c r="J16201" i="1"/>
  <c r="J16200" i="1"/>
  <c r="J16199" i="1"/>
  <c r="J16198" i="1"/>
  <c r="J16197" i="1"/>
  <c r="J16196" i="1"/>
  <c r="J16195" i="1"/>
  <c r="J16194" i="1"/>
  <c r="J16193" i="1"/>
  <c r="J16192" i="1"/>
  <c r="J16191" i="1"/>
  <c r="J16190" i="1"/>
  <c r="J16189" i="1"/>
  <c r="J16188" i="1"/>
  <c r="J16187" i="1"/>
  <c r="J16186" i="1"/>
  <c r="J16185" i="1"/>
  <c r="J16184" i="1"/>
  <c r="J16183" i="1"/>
  <c r="J16182" i="1"/>
  <c r="J16181" i="1"/>
  <c r="J16180" i="1"/>
  <c r="J16179" i="1"/>
  <c r="J16178" i="1"/>
  <c r="J16177" i="1"/>
  <c r="J16176" i="1"/>
  <c r="J16175" i="1"/>
  <c r="J16174" i="1"/>
  <c r="J16173" i="1"/>
  <c r="J16172" i="1"/>
  <c r="J16171" i="1"/>
  <c r="J16170" i="1"/>
  <c r="J16169" i="1"/>
  <c r="J16168" i="1"/>
  <c r="J16167" i="1"/>
  <c r="J16166" i="1"/>
  <c r="J16165" i="1"/>
  <c r="J16164" i="1"/>
  <c r="J16163" i="1"/>
  <c r="J16162" i="1"/>
  <c r="J16161" i="1"/>
  <c r="J16160" i="1"/>
  <c r="J16159" i="1"/>
  <c r="J16158" i="1"/>
  <c r="J16157" i="1"/>
  <c r="J16156" i="1"/>
  <c r="J16155" i="1"/>
  <c r="J16154" i="1"/>
  <c r="J16153" i="1"/>
  <c r="J16152" i="1"/>
  <c r="J16151" i="1"/>
  <c r="J16150" i="1"/>
  <c r="J16149" i="1"/>
  <c r="J16148" i="1"/>
  <c r="J16147" i="1"/>
  <c r="J16146" i="1"/>
  <c r="J16145" i="1"/>
  <c r="J16144" i="1"/>
  <c r="J16143" i="1"/>
  <c r="J16142" i="1"/>
  <c r="J16141" i="1"/>
  <c r="J16140" i="1"/>
  <c r="J16139" i="1"/>
  <c r="J16138" i="1"/>
  <c r="J16137" i="1"/>
  <c r="J16136" i="1"/>
  <c r="J16135" i="1"/>
  <c r="J16134" i="1"/>
  <c r="J16133" i="1"/>
  <c r="J16132" i="1"/>
  <c r="J16131" i="1"/>
  <c r="J16130" i="1"/>
  <c r="J16129" i="1"/>
  <c r="J16128" i="1"/>
  <c r="J16127" i="1"/>
  <c r="J16126" i="1"/>
  <c r="J16125" i="1"/>
  <c r="J16124" i="1"/>
  <c r="J16123" i="1"/>
  <c r="J16122" i="1"/>
  <c r="J16121" i="1"/>
  <c r="J16120" i="1"/>
  <c r="J16119" i="1"/>
  <c r="J16118" i="1"/>
  <c r="J16117" i="1"/>
  <c r="J16116" i="1"/>
  <c r="J16115" i="1"/>
  <c r="J16114" i="1"/>
  <c r="J16113" i="1"/>
  <c r="J16112" i="1"/>
  <c r="J16111" i="1"/>
  <c r="J16110" i="1"/>
  <c r="J16109" i="1"/>
  <c r="J16108" i="1"/>
  <c r="J16107" i="1"/>
  <c r="J16106" i="1"/>
  <c r="J16105" i="1"/>
  <c r="J16104" i="1"/>
  <c r="J16103" i="1"/>
  <c r="J16102" i="1"/>
  <c r="J16101" i="1"/>
  <c r="J16100" i="1"/>
  <c r="J16099" i="1"/>
  <c r="J16098" i="1"/>
  <c r="J16097" i="1"/>
  <c r="J16096" i="1"/>
  <c r="J16095" i="1"/>
  <c r="J16094" i="1"/>
  <c r="J16093" i="1"/>
  <c r="J16092" i="1"/>
  <c r="J16091" i="1"/>
  <c r="J16090" i="1"/>
  <c r="J16089" i="1"/>
  <c r="J16088" i="1"/>
  <c r="J16087" i="1"/>
  <c r="J16086" i="1"/>
  <c r="J16085" i="1"/>
  <c r="J16084" i="1"/>
  <c r="J16083" i="1"/>
  <c r="J16082" i="1"/>
  <c r="J16081" i="1"/>
  <c r="J16080" i="1"/>
  <c r="J16079" i="1"/>
  <c r="J16078" i="1"/>
  <c r="J16077" i="1"/>
  <c r="J16076" i="1"/>
  <c r="J16075" i="1"/>
  <c r="J16074" i="1"/>
  <c r="J16073" i="1"/>
  <c r="J16072" i="1"/>
  <c r="J16071" i="1"/>
  <c r="J16070" i="1"/>
  <c r="J16069" i="1"/>
  <c r="J16068" i="1"/>
  <c r="J16067" i="1"/>
  <c r="J16066" i="1"/>
  <c r="J16065" i="1"/>
  <c r="J16064" i="1"/>
  <c r="J16063" i="1"/>
  <c r="J16062" i="1"/>
  <c r="J16061" i="1"/>
  <c r="J16060" i="1"/>
  <c r="J16059" i="1"/>
  <c r="J16058" i="1"/>
  <c r="J16057" i="1"/>
  <c r="J16056" i="1"/>
  <c r="J16055" i="1"/>
  <c r="J16054" i="1"/>
  <c r="J16053" i="1"/>
  <c r="J16052" i="1"/>
  <c r="J16051" i="1"/>
  <c r="J16050" i="1"/>
  <c r="J16049" i="1"/>
  <c r="J16048" i="1"/>
  <c r="J16047" i="1"/>
  <c r="J16046" i="1"/>
  <c r="J16045" i="1"/>
  <c r="J16044" i="1"/>
  <c r="J16043" i="1"/>
  <c r="J16042" i="1"/>
  <c r="J16041" i="1"/>
  <c r="J16040" i="1"/>
  <c r="J16039" i="1"/>
  <c r="J16038" i="1"/>
  <c r="J16037" i="1"/>
  <c r="J16036" i="1"/>
  <c r="J16035" i="1"/>
  <c r="J16034" i="1"/>
  <c r="J16033" i="1"/>
  <c r="J16032" i="1"/>
  <c r="J16031" i="1"/>
  <c r="J16030" i="1"/>
  <c r="J16029" i="1"/>
  <c r="J16028" i="1"/>
  <c r="J16027" i="1"/>
  <c r="J16026" i="1"/>
  <c r="J16025" i="1"/>
  <c r="J16024" i="1"/>
  <c r="J16023" i="1"/>
  <c r="J16022" i="1"/>
  <c r="J16021" i="1"/>
  <c r="J16020" i="1"/>
  <c r="J16019" i="1"/>
  <c r="J16018" i="1"/>
  <c r="J16017" i="1"/>
  <c r="J16016" i="1"/>
  <c r="J16015" i="1"/>
  <c r="J16014" i="1"/>
  <c r="J16013" i="1"/>
  <c r="J16012" i="1"/>
  <c r="J16011" i="1"/>
  <c r="J16010" i="1"/>
  <c r="J16009" i="1"/>
  <c r="J16008" i="1"/>
  <c r="J16007" i="1"/>
  <c r="J16006" i="1"/>
  <c r="J16005" i="1"/>
  <c r="J16004" i="1"/>
  <c r="J16003" i="1"/>
  <c r="J16002" i="1"/>
  <c r="J16001" i="1"/>
  <c r="J16000" i="1"/>
  <c r="J15999" i="1"/>
  <c r="J15998" i="1"/>
  <c r="J15997" i="1"/>
  <c r="J15996" i="1"/>
  <c r="J15995" i="1"/>
  <c r="J15994" i="1"/>
  <c r="J15993" i="1"/>
  <c r="J15992" i="1"/>
  <c r="J15991" i="1"/>
  <c r="J15990" i="1"/>
  <c r="J15989" i="1"/>
  <c r="J15988" i="1"/>
  <c r="J15987" i="1"/>
  <c r="J15986" i="1"/>
  <c r="J15985" i="1"/>
  <c r="J15984" i="1"/>
  <c r="J15983" i="1"/>
  <c r="J15982" i="1"/>
  <c r="J15981" i="1"/>
  <c r="J15980" i="1"/>
  <c r="J15979" i="1"/>
  <c r="J15978" i="1"/>
  <c r="J15977" i="1"/>
  <c r="J15976" i="1"/>
  <c r="J15975" i="1"/>
  <c r="J15974" i="1"/>
  <c r="J15973" i="1"/>
  <c r="J15972" i="1"/>
  <c r="J15971" i="1"/>
  <c r="J15970" i="1"/>
  <c r="J15969" i="1"/>
  <c r="J15968" i="1"/>
  <c r="J15967" i="1"/>
  <c r="J15966" i="1"/>
  <c r="J15965" i="1"/>
  <c r="J15964" i="1"/>
  <c r="J15963" i="1"/>
  <c r="J15962" i="1"/>
  <c r="J15961" i="1"/>
  <c r="J15960" i="1"/>
  <c r="J15959" i="1"/>
  <c r="J15958" i="1"/>
  <c r="J15957" i="1"/>
  <c r="J15956" i="1"/>
  <c r="J15955" i="1"/>
  <c r="J15954" i="1"/>
  <c r="J15953" i="1"/>
  <c r="J15952" i="1"/>
  <c r="J15951" i="1"/>
  <c r="J15950" i="1"/>
  <c r="J15949" i="1"/>
  <c r="J15948" i="1"/>
  <c r="J15947" i="1"/>
  <c r="J15946" i="1"/>
  <c r="J15945" i="1"/>
  <c r="J15944" i="1"/>
  <c r="J15943" i="1"/>
  <c r="J15942" i="1"/>
  <c r="J15941" i="1"/>
  <c r="J15940" i="1"/>
  <c r="J15939" i="1"/>
  <c r="J15938" i="1"/>
  <c r="J15937" i="1"/>
  <c r="J15936" i="1"/>
  <c r="J15935" i="1"/>
  <c r="J15934" i="1"/>
  <c r="J15933" i="1"/>
  <c r="J15932" i="1"/>
  <c r="J15931" i="1"/>
  <c r="J15930" i="1"/>
  <c r="J15929" i="1"/>
  <c r="J15928" i="1"/>
  <c r="J15927" i="1"/>
  <c r="J15926" i="1"/>
  <c r="J15925" i="1"/>
  <c r="J15924" i="1"/>
  <c r="J15923" i="1"/>
  <c r="J15922" i="1"/>
  <c r="J15921" i="1"/>
  <c r="J15920" i="1"/>
  <c r="J15919" i="1"/>
  <c r="J15918" i="1"/>
  <c r="J15917" i="1"/>
  <c r="J15916" i="1"/>
  <c r="J15915" i="1"/>
  <c r="J15914" i="1"/>
  <c r="J15913" i="1"/>
  <c r="J15912" i="1"/>
  <c r="J15911" i="1"/>
  <c r="J15910" i="1"/>
  <c r="J15909" i="1"/>
  <c r="J15908" i="1"/>
  <c r="J15907" i="1"/>
  <c r="J15906" i="1"/>
  <c r="J15905" i="1"/>
  <c r="J15904" i="1"/>
  <c r="J15903" i="1"/>
  <c r="J15902" i="1"/>
  <c r="J15901" i="1"/>
  <c r="J15900" i="1"/>
  <c r="J15899" i="1"/>
  <c r="J15898" i="1"/>
  <c r="J15897" i="1"/>
  <c r="J15896" i="1"/>
  <c r="J15895" i="1"/>
  <c r="J15894" i="1"/>
  <c r="J15893" i="1"/>
  <c r="J15892" i="1"/>
  <c r="J15891" i="1"/>
  <c r="J15890" i="1"/>
  <c r="J15889" i="1"/>
  <c r="J15888" i="1"/>
  <c r="J15887" i="1"/>
  <c r="J15886" i="1"/>
  <c r="J15885" i="1"/>
  <c r="J15884" i="1"/>
  <c r="J15883" i="1"/>
  <c r="J15882" i="1"/>
  <c r="J15881" i="1"/>
  <c r="J15880" i="1"/>
  <c r="J15879" i="1"/>
  <c r="J15878" i="1"/>
  <c r="J15877" i="1"/>
  <c r="J15876" i="1"/>
  <c r="J15875" i="1"/>
  <c r="J15874" i="1"/>
  <c r="J15873" i="1"/>
  <c r="J15872" i="1"/>
  <c r="J15871" i="1"/>
  <c r="J15870" i="1"/>
  <c r="J15869" i="1"/>
  <c r="J15868" i="1"/>
  <c r="J15867" i="1"/>
  <c r="J15866" i="1"/>
  <c r="J15865" i="1"/>
  <c r="J15864" i="1"/>
  <c r="J15863" i="1"/>
  <c r="J15862" i="1"/>
  <c r="J15861" i="1"/>
  <c r="J15860" i="1"/>
  <c r="J15859" i="1"/>
  <c r="J15858" i="1"/>
  <c r="J15857" i="1"/>
  <c r="J15856" i="1"/>
  <c r="J15855" i="1"/>
  <c r="J15854" i="1"/>
  <c r="J15853" i="1"/>
  <c r="J15852" i="1"/>
  <c r="J15851" i="1"/>
  <c r="J15850" i="1"/>
  <c r="J15849" i="1"/>
  <c r="J15848" i="1"/>
  <c r="J15847" i="1"/>
  <c r="J15846" i="1"/>
  <c r="J15845" i="1"/>
  <c r="J15844" i="1"/>
  <c r="J15843" i="1"/>
  <c r="J15842" i="1"/>
  <c r="J15841" i="1"/>
  <c r="J15840" i="1"/>
  <c r="J15839" i="1"/>
  <c r="J15838" i="1"/>
  <c r="J15837" i="1"/>
  <c r="J15836" i="1"/>
  <c r="J15835" i="1"/>
  <c r="J15834" i="1"/>
  <c r="J15833" i="1"/>
  <c r="J15832" i="1"/>
  <c r="J15831" i="1"/>
  <c r="J15830" i="1"/>
  <c r="J15829" i="1"/>
  <c r="J15828" i="1"/>
  <c r="J15827" i="1"/>
  <c r="J15826" i="1"/>
  <c r="J15825" i="1"/>
  <c r="J15824" i="1"/>
  <c r="J15823" i="1"/>
  <c r="J15822" i="1"/>
  <c r="J15821" i="1"/>
  <c r="J15820" i="1"/>
  <c r="J15819" i="1"/>
  <c r="J15818" i="1"/>
  <c r="J15817" i="1"/>
  <c r="J15816" i="1"/>
  <c r="J15815" i="1"/>
  <c r="J15814" i="1"/>
  <c r="J15813" i="1"/>
  <c r="J15812" i="1"/>
  <c r="J15811" i="1"/>
  <c r="J15810" i="1"/>
  <c r="J15809" i="1"/>
  <c r="J15808" i="1"/>
  <c r="J15807" i="1"/>
  <c r="J15806" i="1"/>
  <c r="J15805" i="1"/>
  <c r="J15804" i="1"/>
  <c r="J15803" i="1"/>
  <c r="J15802" i="1"/>
  <c r="J15801" i="1"/>
  <c r="J15800" i="1"/>
  <c r="J15799" i="1"/>
  <c r="J15798" i="1"/>
  <c r="J15797" i="1"/>
  <c r="J15796" i="1"/>
  <c r="J15795" i="1"/>
  <c r="J15794" i="1"/>
  <c r="J15793" i="1"/>
  <c r="J15792" i="1"/>
  <c r="J15791" i="1"/>
  <c r="J15790" i="1"/>
  <c r="J15789" i="1"/>
  <c r="J15788" i="1"/>
  <c r="J15787" i="1"/>
  <c r="J15786" i="1"/>
  <c r="J15785" i="1"/>
  <c r="J15784" i="1"/>
  <c r="J15783" i="1"/>
  <c r="J15782" i="1"/>
  <c r="J15781" i="1"/>
  <c r="J15780" i="1"/>
  <c r="J15779" i="1"/>
  <c r="J15778" i="1"/>
  <c r="J15777" i="1"/>
  <c r="J15776" i="1"/>
  <c r="J15775" i="1"/>
  <c r="J15774" i="1"/>
  <c r="J15773" i="1"/>
  <c r="J15772" i="1"/>
  <c r="J15771" i="1"/>
  <c r="J15770" i="1"/>
  <c r="J15769" i="1"/>
  <c r="J15768" i="1"/>
  <c r="J15767" i="1"/>
  <c r="J15766" i="1"/>
  <c r="J15765" i="1"/>
  <c r="J15764" i="1"/>
  <c r="J15763" i="1"/>
  <c r="J15762" i="1"/>
  <c r="J15761" i="1"/>
  <c r="J15760" i="1"/>
  <c r="J15759" i="1"/>
  <c r="J15758" i="1"/>
  <c r="J15757" i="1"/>
  <c r="J15756" i="1"/>
  <c r="J15755" i="1"/>
  <c r="J15754" i="1"/>
  <c r="J15753" i="1"/>
  <c r="J15752" i="1"/>
  <c r="J15751" i="1"/>
  <c r="J15750" i="1"/>
  <c r="J15749" i="1"/>
  <c r="J15748" i="1"/>
  <c r="J15747" i="1"/>
  <c r="J15746" i="1"/>
  <c r="J15745" i="1"/>
  <c r="J15744" i="1"/>
  <c r="J15743" i="1"/>
  <c r="J15742" i="1"/>
  <c r="J15741" i="1"/>
  <c r="J15740" i="1"/>
  <c r="J15739" i="1"/>
  <c r="J15738" i="1"/>
  <c r="J15737" i="1"/>
  <c r="J15736" i="1"/>
  <c r="J15735" i="1"/>
  <c r="J15734" i="1"/>
  <c r="J15733" i="1"/>
  <c r="J15732" i="1"/>
  <c r="J15731" i="1"/>
  <c r="J15730" i="1"/>
  <c r="J15729" i="1"/>
  <c r="J15728" i="1"/>
  <c r="J15727" i="1"/>
  <c r="J15726" i="1"/>
  <c r="J15725" i="1"/>
  <c r="J15724" i="1"/>
  <c r="J15723" i="1"/>
  <c r="J15722" i="1"/>
  <c r="J15721" i="1"/>
  <c r="J15720" i="1"/>
  <c r="J15719" i="1"/>
  <c r="J15718" i="1"/>
  <c r="J15717" i="1"/>
  <c r="J15716" i="1"/>
  <c r="J15715" i="1"/>
  <c r="J15714" i="1"/>
  <c r="J15713" i="1"/>
  <c r="J15712" i="1"/>
  <c r="J15711" i="1"/>
  <c r="J15710" i="1"/>
  <c r="J15709" i="1"/>
  <c r="J15708" i="1"/>
  <c r="J15707" i="1"/>
  <c r="J15706" i="1"/>
  <c r="J15705" i="1"/>
  <c r="J15704" i="1"/>
  <c r="J15703" i="1"/>
  <c r="J15702" i="1"/>
  <c r="J15701" i="1"/>
  <c r="J15700" i="1"/>
  <c r="J15699" i="1"/>
  <c r="J15698" i="1"/>
  <c r="J15697" i="1"/>
  <c r="J15696" i="1"/>
  <c r="J15695" i="1"/>
  <c r="J15694" i="1"/>
  <c r="J15693" i="1"/>
  <c r="J15692" i="1"/>
  <c r="J15691" i="1"/>
  <c r="J15690" i="1"/>
  <c r="J15689" i="1"/>
  <c r="J15688" i="1"/>
  <c r="J15687" i="1"/>
  <c r="J15686" i="1"/>
  <c r="J15685" i="1"/>
  <c r="J15684" i="1"/>
  <c r="J15683" i="1"/>
  <c r="J15682" i="1"/>
  <c r="J15681" i="1"/>
  <c r="J15680" i="1"/>
  <c r="J15679" i="1"/>
  <c r="J15678" i="1"/>
  <c r="J15677" i="1"/>
  <c r="J15676" i="1"/>
  <c r="J15675" i="1"/>
  <c r="J15674" i="1"/>
  <c r="J15673" i="1"/>
  <c r="J15672" i="1"/>
  <c r="J15671" i="1"/>
  <c r="J15670" i="1"/>
  <c r="J15669" i="1"/>
  <c r="J15668" i="1"/>
  <c r="J15667" i="1"/>
  <c r="J15666" i="1"/>
  <c r="J15665" i="1"/>
  <c r="J15664" i="1"/>
  <c r="J15663" i="1"/>
  <c r="J15662" i="1"/>
  <c r="J15661" i="1"/>
  <c r="J15660" i="1"/>
  <c r="J15659" i="1"/>
  <c r="J15658" i="1"/>
  <c r="J15657" i="1"/>
  <c r="J15656" i="1"/>
  <c r="J15655" i="1"/>
  <c r="J15654" i="1"/>
  <c r="J15653" i="1"/>
  <c r="J15652" i="1"/>
  <c r="J15651" i="1"/>
  <c r="J15650" i="1"/>
  <c r="J15649" i="1"/>
  <c r="J15648" i="1"/>
  <c r="J15647" i="1"/>
  <c r="J15646" i="1"/>
  <c r="J15645" i="1"/>
  <c r="J15644" i="1"/>
  <c r="J15643" i="1"/>
  <c r="J15642" i="1"/>
  <c r="J15641" i="1"/>
  <c r="J15640" i="1"/>
  <c r="J15639" i="1"/>
  <c r="J15638" i="1"/>
  <c r="J15637" i="1"/>
  <c r="J15636" i="1"/>
  <c r="J15635" i="1"/>
  <c r="J15634" i="1"/>
  <c r="J15633" i="1"/>
  <c r="J15632" i="1"/>
  <c r="J15631" i="1"/>
  <c r="J15630" i="1"/>
  <c r="J15629" i="1"/>
  <c r="J15628" i="1"/>
  <c r="J15627" i="1"/>
  <c r="J15626" i="1"/>
  <c r="J15625" i="1"/>
  <c r="J15624" i="1"/>
  <c r="J15623" i="1"/>
  <c r="J15622" i="1"/>
  <c r="J15621" i="1"/>
  <c r="J15620" i="1"/>
  <c r="J15619" i="1"/>
  <c r="J15618" i="1"/>
  <c r="J15617" i="1"/>
  <c r="J15616" i="1"/>
  <c r="J15615" i="1"/>
  <c r="J15614" i="1"/>
  <c r="J15613" i="1"/>
  <c r="J15612" i="1"/>
  <c r="J15611" i="1"/>
  <c r="J15610" i="1"/>
  <c r="J15609" i="1"/>
  <c r="J15608" i="1"/>
  <c r="J15607" i="1"/>
  <c r="J15606" i="1"/>
  <c r="J15605" i="1"/>
  <c r="J15604" i="1"/>
  <c r="J15603" i="1"/>
  <c r="J15602" i="1"/>
  <c r="J15601" i="1"/>
  <c r="J15600" i="1"/>
  <c r="J15599" i="1"/>
  <c r="J15598" i="1"/>
  <c r="J15597" i="1"/>
  <c r="J15596" i="1"/>
  <c r="J15595" i="1"/>
  <c r="J15594" i="1"/>
  <c r="J15593" i="1"/>
  <c r="J15592" i="1"/>
  <c r="J15591" i="1"/>
  <c r="J15590" i="1"/>
  <c r="J15589" i="1"/>
  <c r="J15588" i="1"/>
  <c r="J15587" i="1"/>
  <c r="J15586" i="1"/>
  <c r="J15585" i="1"/>
  <c r="J15584" i="1"/>
  <c r="J15583" i="1"/>
  <c r="J15582" i="1"/>
  <c r="J15581" i="1"/>
  <c r="J15580" i="1"/>
  <c r="J15579" i="1"/>
  <c r="J15578" i="1"/>
  <c r="J15577" i="1"/>
  <c r="J15576" i="1"/>
  <c r="J15575" i="1"/>
  <c r="J15574" i="1"/>
  <c r="J15573" i="1"/>
  <c r="J15572" i="1"/>
  <c r="J15571" i="1"/>
  <c r="J15570" i="1"/>
  <c r="J15569" i="1"/>
  <c r="J15568" i="1"/>
  <c r="J15567" i="1"/>
  <c r="J15566" i="1"/>
  <c r="J15565" i="1"/>
  <c r="J15564" i="1"/>
  <c r="J15563" i="1"/>
  <c r="J15562" i="1"/>
  <c r="J15561" i="1"/>
  <c r="J15560" i="1"/>
  <c r="J15559" i="1"/>
  <c r="J15558" i="1"/>
  <c r="J15557" i="1"/>
  <c r="J15556" i="1"/>
  <c r="J15555" i="1"/>
  <c r="J15554" i="1"/>
  <c r="J15553" i="1"/>
  <c r="J15552" i="1"/>
  <c r="J15551" i="1"/>
  <c r="J15550" i="1"/>
  <c r="J15549" i="1"/>
  <c r="J15548" i="1"/>
  <c r="J15547" i="1"/>
  <c r="J15546" i="1"/>
  <c r="J15545" i="1"/>
  <c r="J15544" i="1"/>
  <c r="J15543" i="1"/>
  <c r="J15542" i="1"/>
  <c r="J15541" i="1"/>
  <c r="J15540" i="1"/>
  <c r="J15539" i="1"/>
  <c r="J15538" i="1"/>
  <c r="J15537" i="1"/>
  <c r="J15536" i="1"/>
  <c r="J15535" i="1"/>
  <c r="J15534" i="1"/>
  <c r="J15533" i="1"/>
  <c r="J15532" i="1"/>
  <c r="J15531" i="1"/>
  <c r="J15530" i="1"/>
  <c r="J15529" i="1"/>
  <c r="J15528" i="1"/>
  <c r="J15527" i="1"/>
  <c r="J15526" i="1"/>
  <c r="J15525" i="1"/>
  <c r="J15524" i="1"/>
  <c r="J15523" i="1"/>
  <c r="J15522" i="1"/>
  <c r="J15521" i="1"/>
  <c r="J15520" i="1"/>
  <c r="J15519" i="1"/>
  <c r="J15518" i="1"/>
  <c r="J15517" i="1"/>
  <c r="J15516" i="1"/>
  <c r="J15515" i="1"/>
  <c r="J15514" i="1"/>
  <c r="J15513" i="1"/>
  <c r="J15512" i="1"/>
  <c r="J15511" i="1"/>
  <c r="J15510" i="1"/>
  <c r="J15509" i="1"/>
  <c r="J15508" i="1"/>
  <c r="J15507" i="1"/>
  <c r="J15506" i="1"/>
  <c r="J15505" i="1"/>
  <c r="J15504" i="1"/>
  <c r="J15503" i="1"/>
  <c r="J15502" i="1"/>
  <c r="J15501" i="1"/>
  <c r="J15500" i="1"/>
  <c r="J15499" i="1"/>
  <c r="J15498" i="1"/>
  <c r="J15497" i="1"/>
  <c r="J15496" i="1"/>
  <c r="J15495" i="1"/>
  <c r="J15494" i="1"/>
  <c r="J15493" i="1"/>
  <c r="J15492" i="1"/>
  <c r="J15491" i="1"/>
  <c r="J15490" i="1"/>
  <c r="J15489" i="1"/>
  <c r="J15488" i="1"/>
  <c r="J15487" i="1"/>
  <c r="J15486" i="1"/>
  <c r="J15485" i="1"/>
  <c r="J15484" i="1"/>
  <c r="J15483" i="1"/>
  <c r="J15482" i="1"/>
  <c r="J15481" i="1"/>
  <c r="J15480" i="1"/>
  <c r="J15479" i="1"/>
  <c r="J15478" i="1"/>
  <c r="J15477" i="1"/>
  <c r="J15476" i="1"/>
  <c r="J15475" i="1"/>
  <c r="J15474" i="1"/>
  <c r="J15473" i="1"/>
  <c r="J15472" i="1"/>
  <c r="J15471" i="1"/>
  <c r="J15470" i="1"/>
  <c r="J15469" i="1"/>
  <c r="J15468" i="1"/>
  <c r="J15467" i="1"/>
  <c r="J15466" i="1"/>
  <c r="J15465" i="1"/>
  <c r="J15464" i="1"/>
  <c r="J15463" i="1"/>
  <c r="J15462" i="1"/>
  <c r="J15461" i="1"/>
  <c r="J15460" i="1"/>
  <c r="J15459" i="1"/>
  <c r="J15458" i="1"/>
  <c r="J15457" i="1"/>
  <c r="J15456" i="1"/>
  <c r="J15455" i="1"/>
  <c r="J15454" i="1"/>
  <c r="J15453" i="1"/>
  <c r="J15452" i="1"/>
  <c r="J15451" i="1"/>
  <c r="J15450" i="1"/>
  <c r="J15449" i="1"/>
  <c r="J15448" i="1"/>
  <c r="J15447" i="1"/>
  <c r="J15446" i="1"/>
  <c r="J15445" i="1"/>
  <c r="J15444" i="1"/>
  <c r="J15443" i="1"/>
  <c r="J15442" i="1"/>
  <c r="J15441" i="1"/>
  <c r="J15440" i="1"/>
  <c r="J15439" i="1"/>
  <c r="J15438" i="1"/>
  <c r="J15437" i="1"/>
  <c r="J15436" i="1"/>
  <c r="J15435" i="1"/>
  <c r="J15434" i="1"/>
  <c r="J15433" i="1"/>
  <c r="J15432" i="1"/>
  <c r="J15431" i="1"/>
  <c r="J15430" i="1"/>
  <c r="J15429" i="1"/>
  <c r="J15428" i="1"/>
  <c r="J15427" i="1"/>
  <c r="J15426" i="1"/>
  <c r="J15425" i="1"/>
  <c r="J15424" i="1"/>
  <c r="J15423" i="1"/>
  <c r="J15422" i="1"/>
  <c r="J15421" i="1"/>
  <c r="J15420" i="1"/>
  <c r="J15419" i="1"/>
  <c r="J15418" i="1"/>
  <c r="J15417" i="1"/>
  <c r="J15416" i="1"/>
  <c r="J15415" i="1"/>
  <c r="J15414" i="1"/>
  <c r="J15413" i="1"/>
  <c r="J15412" i="1"/>
  <c r="J15411" i="1"/>
  <c r="J15410" i="1"/>
  <c r="J15409" i="1"/>
  <c r="J15408" i="1"/>
  <c r="J15407" i="1"/>
  <c r="J15406" i="1"/>
  <c r="J15405" i="1"/>
  <c r="J15404" i="1"/>
  <c r="J15403" i="1"/>
  <c r="J15402" i="1"/>
  <c r="J15401" i="1"/>
  <c r="J15400" i="1"/>
  <c r="J15399" i="1"/>
  <c r="J15398" i="1"/>
  <c r="J15397" i="1"/>
  <c r="J15396" i="1"/>
  <c r="J15395" i="1"/>
  <c r="J15394" i="1"/>
  <c r="J15393" i="1"/>
  <c r="J15392" i="1"/>
  <c r="J15391" i="1"/>
  <c r="J15390" i="1"/>
  <c r="J15389" i="1"/>
  <c r="J15388" i="1"/>
  <c r="J15387" i="1"/>
  <c r="J15386" i="1"/>
  <c r="J15385" i="1"/>
  <c r="J15384" i="1"/>
  <c r="J15383" i="1"/>
  <c r="J15382" i="1"/>
  <c r="J15381" i="1"/>
  <c r="J15380" i="1"/>
  <c r="J15379" i="1"/>
  <c r="J15378" i="1"/>
  <c r="J15377" i="1"/>
  <c r="J15376" i="1"/>
  <c r="J15375" i="1"/>
  <c r="J15374" i="1"/>
  <c r="J15373" i="1"/>
  <c r="J15372" i="1"/>
  <c r="J15371" i="1"/>
  <c r="J15370" i="1"/>
  <c r="J15369" i="1"/>
  <c r="J15368" i="1"/>
  <c r="J15367" i="1"/>
  <c r="J15366" i="1"/>
  <c r="J15365" i="1"/>
  <c r="J15364" i="1"/>
  <c r="J15363" i="1"/>
  <c r="J15362" i="1"/>
  <c r="J15361" i="1"/>
  <c r="J15360" i="1"/>
  <c r="J15359" i="1"/>
  <c r="J15358" i="1"/>
  <c r="J15357" i="1"/>
  <c r="J15356" i="1"/>
  <c r="J15355" i="1"/>
  <c r="J15354" i="1"/>
  <c r="J15353" i="1"/>
  <c r="J15352" i="1"/>
  <c r="J15351" i="1"/>
  <c r="J15350" i="1"/>
  <c r="J15349" i="1"/>
  <c r="J15348" i="1"/>
  <c r="J15347" i="1"/>
  <c r="J15346" i="1"/>
  <c r="J15345" i="1"/>
  <c r="J15344" i="1"/>
  <c r="J15343" i="1"/>
  <c r="J15342" i="1"/>
  <c r="J15341" i="1"/>
  <c r="J15340" i="1"/>
  <c r="J15339" i="1"/>
  <c r="J15338" i="1"/>
  <c r="J15337" i="1"/>
  <c r="J15336" i="1"/>
  <c r="J15335" i="1"/>
  <c r="J15334" i="1"/>
  <c r="J15333" i="1"/>
  <c r="J15332" i="1"/>
  <c r="J15331" i="1"/>
  <c r="J15330" i="1"/>
  <c r="J15329" i="1"/>
  <c r="J15328" i="1"/>
  <c r="J15327" i="1"/>
  <c r="J15326" i="1"/>
  <c r="J15325" i="1"/>
  <c r="J15324" i="1"/>
  <c r="J15323" i="1"/>
  <c r="J15322" i="1"/>
  <c r="J15321" i="1"/>
  <c r="J15320" i="1"/>
  <c r="J15319" i="1"/>
  <c r="J15318" i="1"/>
  <c r="J15317" i="1"/>
  <c r="J15316" i="1"/>
  <c r="J15315" i="1"/>
  <c r="J15314" i="1"/>
  <c r="J15313" i="1"/>
  <c r="J15312" i="1"/>
  <c r="J15311" i="1"/>
  <c r="J15310" i="1"/>
  <c r="J15309" i="1"/>
  <c r="J15308" i="1"/>
  <c r="J15307" i="1"/>
  <c r="J15306" i="1"/>
  <c r="J15305" i="1"/>
  <c r="J15304" i="1"/>
  <c r="J15303" i="1"/>
  <c r="J15302" i="1"/>
  <c r="J15301" i="1"/>
  <c r="J15300" i="1"/>
  <c r="J15299" i="1"/>
  <c r="J15298" i="1"/>
  <c r="J15297" i="1"/>
  <c r="J15296" i="1"/>
  <c r="J15295" i="1"/>
  <c r="J15294" i="1"/>
  <c r="J15293" i="1"/>
  <c r="J15292" i="1"/>
  <c r="J15291" i="1"/>
  <c r="J15290" i="1"/>
  <c r="J15289" i="1"/>
  <c r="J15288" i="1"/>
  <c r="J15287" i="1"/>
  <c r="J15286" i="1"/>
  <c r="J15285" i="1"/>
  <c r="J15284" i="1"/>
  <c r="J15283" i="1"/>
  <c r="J15282" i="1"/>
  <c r="J15281" i="1"/>
  <c r="J15280" i="1"/>
  <c r="J15279" i="1"/>
  <c r="J15278" i="1"/>
  <c r="J15277" i="1"/>
  <c r="J15276" i="1"/>
  <c r="J15275" i="1"/>
  <c r="J15274" i="1"/>
  <c r="J15273" i="1"/>
  <c r="J15272" i="1"/>
  <c r="J15271" i="1"/>
  <c r="J15270" i="1"/>
  <c r="J15269" i="1"/>
  <c r="J15268" i="1"/>
  <c r="J15267" i="1"/>
  <c r="J15266" i="1"/>
  <c r="J15265" i="1"/>
  <c r="J15264" i="1"/>
  <c r="J15263" i="1"/>
  <c r="J15262" i="1"/>
  <c r="J15261" i="1"/>
  <c r="J15260" i="1"/>
  <c r="J15259" i="1"/>
  <c r="J15258" i="1"/>
  <c r="J15257" i="1"/>
  <c r="J15256" i="1"/>
  <c r="J15255" i="1"/>
  <c r="J15254" i="1"/>
  <c r="J15253" i="1"/>
  <c r="J15252" i="1"/>
  <c r="J15251" i="1"/>
  <c r="J15250" i="1"/>
  <c r="J15249" i="1"/>
  <c r="J15248" i="1"/>
  <c r="J15247" i="1"/>
  <c r="J15246" i="1"/>
  <c r="J15245" i="1"/>
  <c r="J15244" i="1"/>
  <c r="J15243" i="1"/>
  <c r="J15242" i="1"/>
  <c r="J15241" i="1"/>
  <c r="J15240" i="1"/>
  <c r="J15239" i="1"/>
  <c r="J15238" i="1"/>
  <c r="J15237" i="1"/>
  <c r="J15236" i="1"/>
  <c r="J15235" i="1"/>
  <c r="J15234" i="1"/>
  <c r="J15233" i="1"/>
  <c r="J15232" i="1"/>
  <c r="J15231" i="1"/>
  <c r="J15230" i="1"/>
  <c r="J15229" i="1"/>
  <c r="J15228" i="1"/>
  <c r="J15227" i="1"/>
  <c r="J15226" i="1"/>
  <c r="J15225" i="1"/>
  <c r="J15224" i="1"/>
  <c r="J15223" i="1"/>
  <c r="J15222" i="1"/>
  <c r="J15221" i="1"/>
  <c r="J15220" i="1"/>
  <c r="J15219" i="1"/>
  <c r="J15218" i="1"/>
  <c r="J15217" i="1"/>
  <c r="J15216" i="1"/>
  <c r="J15215" i="1"/>
  <c r="J15214" i="1"/>
  <c r="J15213" i="1"/>
  <c r="J15212" i="1"/>
  <c r="J15211" i="1"/>
  <c r="J15210" i="1"/>
  <c r="J15209" i="1"/>
  <c r="J15208" i="1"/>
  <c r="J15207" i="1"/>
  <c r="J15206" i="1"/>
  <c r="J15205" i="1"/>
  <c r="J15204" i="1"/>
  <c r="J15203" i="1"/>
  <c r="J15202" i="1"/>
  <c r="J15201" i="1"/>
  <c r="J15200" i="1"/>
  <c r="J15199" i="1"/>
  <c r="J15198" i="1"/>
  <c r="J15197" i="1"/>
  <c r="J15196" i="1"/>
  <c r="J15195" i="1"/>
  <c r="J15194" i="1"/>
  <c r="J15193" i="1"/>
  <c r="J15192" i="1"/>
  <c r="J15191" i="1"/>
  <c r="J15190" i="1"/>
  <c r="J15189" i="1"/>
  <c r="J15188" i="1"/>
  <c r="J15187" i="1"/>
  <c r="J15186" i="1"/>
  <c r="J15185" i="1"/>
  <c r="J15184" i="1"/>
  <c r="J15183" i="1"/>
  <c r="J15182" i="1"/>
  <c r="J15181" i="1"/>
  <c r="J15180" i="1"/>
  <c r="J15179" i="1"/>
  <c r="J15178" i="1"/>
  <c r="J15177" i="1"/>
  <c r="J15176" i="1"/>
  <c r="J15175" i="1"/>
  <c r="J15174" i="1"/>
  <c r="J15173" i="1"/>
  <c r="J15172" i="1"/>
  <c r="J15171" i="1"/>
  <c r="J15170" i="1"/>
  <c r="J15169" i="1"/>
  <c r="J15168" i="1"/>
  <c r="J15167" i="1"/>
  <c r="J15166" i="1"/>
  <c r="J15165" i="1"/>
  <c r="J15164" i="1"/>
  <c r="J15163" i="1"/>
  <c r="J15162" i="1"/>
  <c r="J15161" i="1"/>
  <c r="J15160" i="1"/>
  <c r="J15159" i="1"/>
  <c r="J15158" i="1"/>
  <c r="J15157" i="1"/>
  <c r="J15156" i="1"/>
  <c r="J15155" i="1"/>
  <c r="J15154" i="1"/>
  <c r="J15153" i="1"/>
  <c r="J15152" i="1"/>
  <c r="J15151" i="1"/>
  <c r="J15150" i="1"/>
  <c r="J15149" i="1"/>
  <c r="J15148" i="1"/>
  <c r="J15147" i="1"/>
  <c r="J15146" i="1"/>
  <c r="J15145" i="1"/>
  <c r="J15144" i="1"/>
  <c r="J15143" i="1"/>
  <c r="J15142" i="1"/>
  <c r="J15141" i="1"/>
  <c r="J15140" i="1"/>
  <c r="J15139" i="1"/>
  <c r="J15138" i="1"/>
  <c r="J15137" i="1"/>
  <c r="J15136" i="1"/>
  <c r="J15135" i="1"/>
  <c r="J15134" i="1"/>
  <c r="J15133" i="1"/>
  <c r="J15132" i="1"/>
  <c r="J15131" i="1"/>
  <c r="J15130" i="1"/>
  <c r="J15129" i="1"/>
  <c r="J15128" i="1"/>
  <c r="J15127" i="1"/>
  <c r="J15126" i="1"/>
  <c r="J15125" i="1"/>
  <c r="J15124" i="1"/>
  <c r="J15123" i="1"/>
  <c r="J15122" i="1"/>
  <c r="J15121" i="1"/>
  <c r="J15120" i="1"/>
  <c r="J15119" i="1"/>
  <c r="J15118" i="1"/>
  <c r="J15117" i="1"/>
  <c r="J15116" i="1"/>
  <c r="J15115" i="1"/>
  <c r="J15114" i="1"/>
  <c r="J15113" i="1"/>
  <c r="J15112" i="1"/>
  <c r="J15111" i="1"/>
  <c r="J15110" i="1"/>
  <c r="J15109" i="1"/>
  <c r="J15108" i="1"/>
  <c r="J15107" i="1"/>
  <c r="J15106" i="1"/>
  <c r="J15105" i="1"/>
  <c r="J15104" i="1"/>
  <c r="J15103" i="1"/>
  <c r="J15102" i="1"/>
  <c r="J15101" i="1"/>
  <c r="J15100" i="1"/>
  <c r="J15099" i="1"/>
  <c r="J15098" i="1"/>
  <c r="J15097" i="1"/>
  <c r="J15096" i="1"/>
  <c r="J15095" i="1"/>
  <c r="J15094" i="1"/>
  <c r="J15093" i="1"/>
  <c r="J15092" i="1"/>
  <c r="J15091" i="1"/>
  <c r="J15090" i="1"/>
  <c r="J15089" i="1"/>
  <c r="J15088" i="1"/>
  <c r="J15087" i="1"/>
  <c r="J15086" i="1"/>
  <c r="J15085" i="1"/>
  <c r="J15084" i="1"/>
  <c r="J15083" i="1"/>
  <c r="J15082" i="1"/>
  <c r="J15081" i="1"/>
  <c r="J15080" i="1"/>
  <c r="J15079" i="1"/>
  <c r="J15078" i="1"/>
  <c r="J15077" i="1"/>
  <c r="J15076" i="1"/>
  <c r="J15075" i="1"/>
  <c r="J15074" i="1"/>
  <c r="J15073" i="1"/>
  <c r="J15072" i="1"/>
  <c r="J15071" i="1"/>
  <c r="J15070" i="1"/>
  <c r="J15069" i="1"/>
  <c r="J15068" i="1"/>
  <c r="J15067" i="1"/>
  <c r="J15066" i="1"/>
  <c r="J15065" i="1"/>
  <c r="J15064" i="1"/>
  <c r="J15063" i="1"/>
  <c r="J15062" i="1"/>
  <c r="J15061" i="1"/>
  <c r="J15060" i="1"/>
  <c r="J15059" i="1"/>
  <c r="J15058" i="1"/>
  <c r="J15057" i="1"/>
  <c r="J15056" i="1"/>
  <c r="J15055" i="1"/>
  <c r="J15054" i="1"/>
  <c r="J15053" i="1"/>
  <c r="J15052" i="1"/>
  <c r="J15051" i="1"/>
  <c r="J15050" i="1"/>
  <c r="J15049" i="1"/>
  <c r="J15048" i="1"/>
  <c r="J15047" i="1"/>
  <c r="J15046" i="1"/>
  <c r="J15045" i="1"/>
  <c r="J15044" i="1"/>
  <c r="J15043" i="1"/>
  <c r="J15042" i="1"/>
  <c r="J15041" i="1"/>
  <c r="J15040" i="1"/>
  <c r="J15039" i="1"/>
  <c r="J15038" i="1"/>
  <c r="J15037" i="1"/>
  <c r="J15036" i="1"/>
  <c r="J15035" i="1"/>
  <c r="J15034" i="1"/>
  <c r="J15033" i="1"/>
  <c r="J15032" i="1"/>
  <c r="J15031" i="1"/>
  <c r="J15030" i="1"/>
  <c r="J15029" i="1"/>
  <c r="J15028" i="1"/>
  <c r="J15027" i="1"/>
  <c r="J15026" i="1"/>
  <c r="J15025" i="1"/>
  <c r="J15024" i="1"/>
  <c r="J15023" i="1"/>
  <c r="J15022" i="1"/>
  <c r="J15021" i="1"/>
  <c r="J15020" i="1"/>
  <c r="J15019" i="1"/>
  <c r="J15018" i="1"/>
  <c r="J15017" i="1"/>
  <c r="J15016" i="1"/>
  <c r="J15015" i="1"/>
  <c r="J15014" i="1"/>
  <c r="J15013" i="1"/>
  <c r="J15012" i="1"/>
  <c r="J15011" i="1"/>
  <c r="J15010" i="1"/>
  <c r="J15009" i="1"/>
  <c r="J15008" i="1"/>
  <c r="J15007" i="1"/>
  <c r="J15006" i="1"/>
  <c r="J15005" i="1"/>
  <c r="J15004" i="1"/>
  <c r="J15003" i="1"/>
  <c r="J15002" i="1"/>
  <c r="J15001" i="1"/>
  <c r="J15000" i="1"/>
  <c r="J14999" i="1"/>
  <c r="J14998" i="1"/>
  <c r="J14997" i="1"/>
  <c r="J14996" i="1"/>
  <c r="J14995" i="1"/>
  <c r="J14994" i="1"/>
  <c r="J14993" i="1"/>
  <c r="J14992" i="1"/>
  <c r="J14991" i="1"/>
  <c r="J14990" i="1"/>
  <c r="J14989" i="1"/>
  <c r="J14988" i="1"/>
  <c r="J14987" i="1"/>
  <c r="J14986" i="1"/>
  <c r="J14985" i="1"/>
  <c r="J14984" i="1"/>
  <c r="J14983" i="1"/>
  <c r="J14982" i="1"/>
  <c r="J14981" i="1"/>
  <c r="J14980" i="1"/>
  <c r="J14979" i="1"/>
  <c r="J14978" i="1"/>
  <c r="J14977" i="1"/>
  <c r="J14976" i="1"/>
  <c r="J14975" i="1"/>
  <c r="J14974" i="1"/>
  <c r="J14973" i="1"/>
  <c r="J14972" i="1"/>
  <c r="J14971" i="1"/>
  <c r="J14970" i="1"/>
  <c r="J14969" i="1"/>
  <c r="J14968" i="1"/>
  <c r="J14967" i="1"/>
  <c r="J14966" i="1"/>
  <c r="J14965" i="1"/>
  <c r="J14964" i="1"/>
  <c r="J14963" i="1"/>
  <c r="J14962" i="1"/>
  <c r="J14961" i="1"/>
  <c r="J14960" i="1"/>
  <c r="J14959" i="1"/>
  <c r="J14958" i="1"/>
  <c r="J14957" i="1"/>
  <c r="J14956" i="1"/>
  <c r="J14955" i="1"/>
  <c r="J14954" i="1"/>
  <c r="J14953" i="1"/>
  <c r="J14952" i="1"/>
  <c r="J14951" i="1"/>
  <c r="J14950" i="1"/>
  <c r="J14949" i="1"/>
  <c r="J14948" i="1"/>
  <c r="J14947" i="1"/>
  <c r="J14946" i="1"/>
  <c r="J14945" i="1"/>
  <c r="J14944" i="1"/>
  <c r="J14943" i="1"/>
  <c r="J14942" i="1"/>
  <c r="J14941" i="1"/>
  <c r="J14940" i="1"/>
  <c r="J14939" i="1"/>
  <c r="J14938" i="1"/>
  <c r="J14937" i="1"/>
  <c r="J14936" i="1"/>
  <c r="J14935" i="1"/>
  <c r="J14934" i="1"/>
  <c r="J14933" i="1"/>
  <c r="J14932" i="1"/>
  <c r="J14931" i="1"/>
  <c r="J14930" i="1"/>
  <c r="J14929" i="1"/>
  <c r="J14928" i="1"/>
  <c r="J14927" i="1"/>
  <c r="J14926" i="1"/>
  <c r="J14925" i="1"/>
  <c r="J14924" i="1"/>
  <c r="J14923" i="1"/>
  <c r="J14922" i="1"/>
  <c r="J14921" i="1"/>
  <c r="J14920" i="1"/>
  <c r="J14919" i="1"/>
  <c r="J14918" i="1"/>
  <c r="J14917" i="1"/>
  <c r="J14916" i="1"/>
  <c r="J14915" i="1"/>
  <c r="J14914" i="1"/>
  <c r="J14913" i="1"/>
  <c r="J14912" i="1"/>
  <c r="J14911" i="1"/>
  <c r="J14910" i="1"/>
  <c r="J14909" i="1"/>
  <c r="J14908" i="1"/>
  <c r="J14907" i="1"/>
  <c r="J14906" i="1"/>
  <c r="J14905" i="1"/>
  <c r="J14904" i="1"/>
  <c r="J14903" i="1"/>
  <c r="J14902" i="1"/>
  <c r="J14901" i="1"/>
  <c r="J14900" i="1"/>
  <c r="J14899" i="1"/>
  <c r="J14898" i="1"/>
  <c r="J14897" i="1"/>
  <c r="J14896" i="1"/>
  <c r="J14895" i="1"/>
  <c r="J14894" i="1"/>
  <c r="J14893" i="1"/>
  <c r="J14892" i="1"/>
  <c r="J14891" i="1"/>
  <c r="J14890" i="1"/>
  <c r="J14889" i="1"/>
  <c r="J14888" i="1"/>
  <c r="J14887" i="1"/>
  <c r="J14886" i="1"/>
  <c r="J14885" i="1"/>
  <c r="J14884" i="1"/>
  <c r="J14883" i="1"/>
  <c r="J14882" i="1"/>
  <c r="J14881" i="1"/>
  <c r="J14880" i="1"/>
  <c r="J14879" i="1"/>
  <c r="J14878" i="1"/>
  <c r="J14877" i="1"/>
  <c r="J14876" i="1"/>
  <c r="J14875" i="1"/>
  <c r="J14874" i="1"/>
  <c r="J14873" i="1"/>
  <c r="J14872" i="1"/>
  <c r="J14871" i="1"/>
  <c r="J14870" i="1"/>
  <c r="J14869" i="1"/>
  <c r="J14868" i="1"/>
  <c r="J14867" i="1"/>
  <c r="J14866" i="1"/>
  <c r="J14865" i="1"/>
  <c r="J14864" i="1"/>
  <c r="J14863" i="1"/>
  <c r="J14862" i="1"/>
  <c r="J14861" i="1"/>
  <c r="J14860" i="1"/>
  <c r="J14859" i="1"/>
  <c r="J14858" i="1"/>
  <c r="J14857" i="1"/>
  <c r="J14856" i="1"/>
  <c r="J14855" i="1"/>
  <c r="J14854" i="1"/>
  <c r="J14853" i="1"/>
  <c r="J14852" i="1"/>
  <c r="J14851" i="1"/>
  <c r="J14850" i="1"/>
  <c r="J14849" i="1"/>
  <c r="J14848" i="1"/>
  <c r="J14847" i="1"/>
  <c r="J14846" i="1"/>
  <c r="J14845" i="1"/>
  <c r="J14844" i="1"/>
  <c r="J14843" i="1"/>
  <c r="J14842" i="1"/>
  <c r="J14841" i="1"/>
  <c r="J14840" i="1"/>
  <c r="J14839" i="1"/>
  <c r="J14838" i="1"/>
  <c r="J14837" i="1"/>
  <c r="J14836" i="1"/>
  <c r="J14835" i="1"/>
  <c r="J14834" i="1"/>
  <c r="J14833" i="1"/>
  <c r="J14832" i="1"/>
  <c r="J14831" i="1"/>
  <c r="J14830" i="1"/>
  <c r="J14829" i="1"/>
  <c r="J14828" i="1"/>
  <c r="J14827" i="1"/>
  <c r="J14826" i="1"/>
  <c r="J14825" i="1"/>
  <c r="J14824" i="1"/>
  <c r="J14823" i="1"/>
  <c r="J14822" i="1"/>
  <c r="J14821" i="1"/>
  <c r="J14820" i="1"/>
  <c r="J14819" i="1"/>
  <c r="J14818" i="1"/>
  <c r="J14817" i="1"/>
  <c r="J14816" i="1"/>
  <c r="J14815" i="1"/>
  <c r="J14814" i="1"/>
  <c r="J14813" i="1"/>
  <c r="J14812" i="1"/>
  <c r="J14811" i="1"/>
  <c r="J14810" i="1"/>
  <c r="J14809" i="1"/>
  <c r="J14808" i="1"/>
  <c r="J14807" i="1"/>
  <c r="J14806" i="1"/>
  <c r="J14805" i="1"/>
  <c r="J14804" i="1"/>
  <c r="J14803" i="1"/>
  <c r="J14802" i="1"/>
  <c r="J14801" i="1"/>
  <c r="J14800" i="1"/>
  <c r="J14799" i="1"/>
  <c r="J14798" i="1"/>
  <c r="J14797" i="1"/>
  <c r="J14796" i="1"/>
  <c r="J14795" i="1"/>
  <c r="J14794" i="1"/>
  <c r="J14793" i="1"/>
  <c r="J14792" i="1"/>
  <c r="J14791" i="1"/>
  <c r="J14790" i="1"/>
  <c r="J14789" i="1"/>
  <c r="J14788" i="1"/>
  <c r="J14787" i="1"/>
  <c r="J14786" i="1"/>
  <c r="J14785" i="1"/>
  <c r="J14784" i="1"/>
  <c r="J14783" i="1"/>
  <c r="J14782" i="1"/>
  <c r="J14781" i="1"/>
  <c r="J14780" i="1"/>
  <c r="J14779" i="1"/>
  <c r="J14778" i="1"/>
  <c r="J14777" i="1"/>
  <c r="J14776" i="1"/>
  <c r="J14775" i="1"/>
  <c r="J14774" i="1"/>
  <c r="J14773" i="1"/>
  <c r="J14772" i="1"/>
  <c r="J14771" i="1"/>
  <c r="J14770" i="1"/>
  <c r="J14769" i="1"/>
  <c r="J14768" i="1"/>
  <c r="J14767" i="1"/>
  <c r="J14766" i="1"/>
  <c r="J14765" i="1"/>
  <c r="J14764" i="1"/>
  <c r="J14763" i="1"/>
  <c r="J14762" i="1"/>
  <c r="J14761" i="1"/>
  <c r="J14760" i="1"/>
  <c r="J14759" i="1"/>
  <c r="J14758" i="1"/>
  <c r="J14757" i="1"/>
  <c r="J14756" i="1"/>
  <c r="J14755" i="1"/>
  <c r="J14754" i="1"/>
  <c r="J14753" i="1"/>
  <c r="J14752" i="1"/>
  <c r="J14751" i="1"/>
  <c r="J14750" i="1"/>
  <c r="J14749" i="1"/>
  <c r="J14748" i="1"/>
  <c r="J14747" i="1"/>
  <c r="J14746" i="1"/>
  <c r="J14745" i="1"/>
  <c r="J14744" i="1"/>
  <c r="J14743" i="1"/>
  <c r="J14742" i="1"/>
  <c r="J14741" i="1"/>
  <c r="J14740" i="1"/>
  <c r="J14739" i="1"/>
  <c r="J14738" i="1"/>
  <c r="J14737" i="1"/>
  <c r="J14736" i="1"/>
  <c r="J14735" i="1"/>
  <c r="J14734" i="1"/>
  <c r="J14733" i="1"/>
  <c r="J14732" i="1"/>
  <c r="J14731" i="1"/>
  <c r="J14730" i="1"/>
  <c r="J14729" i="1"/>
  <c r="J14728" i="1"/>
  <c r="J14727" i="1"/>
  <c r="J14726" i="1"/>
  <c r="J14725" i="1"/>
  <c r="J14724" i="1"/>
  <c r="J14723" i="1"/>
  <c r="J14722" i="1"/>
  <c r="J14721" i="1"/>
  <c r="J14720" i="1"/>
  <c r="J14719" i="1"/>
  <c r="J14718" i="1"/>
  <c r="J14717" i="1"/>
  <c r="J14716" i="1"/>
  <c r="J14715" i="1"/>
  <c r="J14714" i="1"/>
  <c r="J14713" i="1"/>
  <c r="J14712" i="1"/>
  <c r="J14711" i="1"/>
  <c r="J14710" i="1"/>
  <c r="J14709" i="1"/>
  <c r="J14708" i="1"/>
  <c r="J14707" i="1"/>
  <c r="J14706" i="1"/>
  <c r="J14705" i="1"/>
  <c r="J14704" i="1"/>
  <c r="J14703" i="1"/>
  <c r="J14702" i="1"/>
  <c r="J14701" i="1"/>
  <c r="J14700" i="1"/>
  <c r="J14699" i="1"/>
  <c r="J14698" i="1"/>
  <c r="J14697" i="1"/>
  <c r="J14696" i="1"/>
  <c r="J14695" i="1"/>
  <c r="J14694" i="1"/>
  <c r="J14693" i="1"/>
  <c r="J14692" i="1"/>
  <c r="J14691" i="1"/>
  <c r="J14690" i="1"/>
  <c r="J14689" i="1"/>
  <c r="J14688" i="1"/>
  <c r="J14687" i="1"/>
  <c r="J14686" i="1"/>
  <c r="J14685" i="1"/>
  <c r="J14684" i="1"/>
  <c r="J14683" i="1"/>
  <c r="J14682" i="1"/>
  <c r="J14681" i="1"/>
  <c r="J14680" i="1"/>
  <c r="J14679" i="1"/>
  <c r="J14678" i="1"/>
  <c r="J14677" i="1"/>
  <c r="J14676" i="1"/>
  <c r="J14675" i="1"/>
  <c r="J14674" i="1"/>
  <c r="J14673" i="1"/>
  <c r="J14672" i="1"/>
  <c r="J14671" i="1"/>
  <c r="J14670" i="1"/>
  <c r="J14669" i="1"/>
  <c r="J14668" i="1"/>
  <c r="J14667" i="1"/>
  <c r="J14666" i="1"/>
  <c r="J14665" i="1"/>
  <c r="J14664" i="1"/>
  <c r="J14663" i="1"/>
  <c r="J14662" i="1"/>
  <c r="J14661" i="1"/>
  <c r="J14660" i="1"/>
  <c r="J14659" i="1"/>
  <c r="J14658" i="1"/>
  <c r="J14657" i="1"/>
  <c r="J14656" i="1"/>
  <c r="J14655" i="1"/>
  <c r="J14654" i="1"/>
  <c r="J14653" i="1"/>
  <c r="J14652" i="1"/>
  <c r="J14651" i="1"/>
  <c r="J14650" i="1"/>
  <c r="J14649" i="1"/>
  <c r="J14648" i="1"/>
  <c r="J14647" i="1"/>
  <c r="J14646" i="1"/>
  <c r="J14645" i="1"/>
  <c r="J14644" i="1"/>
  <c r="J14643" i="1"/>
  <c r="J14642" i="1"/>
  <c r="J14641" i="1"/>
  <c r="J14640" i="1"/>
  <c r="J14639" i="1"/>
  <c r="J14638" i="1"/>
  <c r="J14637" i="1"/>
  <c r="J14636" i="1"/>
  <c r="J14635" i="1"/>
  <c r="J14634" i="1"/>
  <c r="J14633" i="1"/>
  <c r="J14632" i="1"/>
  <c r="J14631" i="1"/>
  <c r="J14630" i="1"/>
  <c r="J14629" i="1"/>
  <c r="J14628" i="1"/>
  <c r="J14627" i="1"/>
  <c r="J14626" i="1"/>
  <c r="J14625" i="1"/>
  <c r="J14624" i="1"/>
  <c r="J14623" i="1"/>
  <c r="J14622" i="1"/>
  <c r="J14621" i="1"/>
  <c r="J14620" i="1"/>
  <c r="J14619" i="1"/>
  <c r="J14618" i="1"/>
  <c r="J14617" i="1"/>
  <c r="J14616" i="1"/>
  <c r="J14615" i="1"/>
  <c r="J14614" i="1"/>
  <c r="J14613" i="1"/>
  <c r="J14612" i="1"/>
  <c r="J14611" i="1"/>
  <c r="J14610" i="1"/>
  <c r="J14609" i="1"/>
  <c r="J14608" i="1"/>
  <c r="J14607" i="1"/>
  <c r="J14606" i="1"/>
  <c r="J14605" i="1"/>
  <c r="J14604" i="1"/>
  <c r="J14603" i="1"/>
  <c r="J14602" i="1"/>
  <c r="J14601" i="1"/>
  <c r="J14600" i="1"/>
  <c r="J14599" i="1"/>
  <c r="J14598" i="1"/>
  <c r="J14597" i="1"/>
  <c r="J14596" i="1"/>
  <c r="J14595" i="1"/>
  <c r="J14594" i="1"/>
  <c r="J14593" i="1"/>
  <c r="J14592" i="1"/>
  <c r="J14591" i="1"/>
  <c r="J14590" i="1"/>
  <c r="J14589" i="1"/>
  <c r="J14588" i="1"/>
  <c r="J14587" i="1"/>
  <c r="J14586" i="1"/>
  <c r="J14585" i="1"/>
  <c r="J14584" i="1"/>
  <c r="J14583" i="1"/>
  <c r="J14582" i="1"/>
  <c r="J14581" i="1"/>
  <c r="J14580" i="1"/>
  <c r="J14579" i="1"/>
  <c r="J14578" i="1"/>
  <c r="J14577" i="1"/>
  <c r="J14576" i="1"/>
  <c r="J14575" i="1"/>
  <c r="J14574" i="1"/>
  <c r="J14573" i="1"/>
  <c r="J14572" i="1"/>
  <c r="J14571" i="1"/>
  <c r="J14570" i="1"/>
  <c r="J14569" i="1"/>
  <c r="J14568" i="1"/>
  <c r="J14567" i="1"/>
  <c r="J14566" i="1"/>
  <c r="J14565" i="1"/>
  <c r="J14564" i="1"/>
  <c r="J14563" i="1"/>
  <c r="J14562" i="1"/>
  <c r="J14561" i="1"/>
  <c r="J14560" i="1"/>
  <c r="J14559" i="1"/>
  <c r="J14558" i="1"/>
  <c r="J14557" i="1"/>
  <c r="J14556" i="1"/>
  <c r="J14555" i="1"/>
  <c r="J14554" i="1"/>
  <c r="J14553" i="1"/>
  <c r="J14552" i="1"/>
  <c r="J14551" i="1"/>
  <c r="J14550" i="1"/>
  <c r="J14549" i="1"/>
  <c r="J14548" i="1"/>
  <c r="J14547" i="1"/>
  <c r="J14546" i="1"/>
  <c r="J14545" i="1"/>
  <c r="J14544" i="1"/>
  <c r="J14543" i="1"/>
  <c r="J14542" i="1"/>
  <c r="J14541" i="1"/>
  <c r="J14540" i="1"/>
  <c r="J14539" i="1"/>
  <c r="J14538" i="1"/>
  <c r="J14537" i="1"/>
  <c r="J14536" i="1"/>
  <c r="J14535" i="1"/>
  <c r="J14534" i="1"/>
  <c r="J14533" i="1"/>
  <c r="J14532" i="1"/>
  <c r="J14531" i="1"/>
  <c r="J14530" i="1"/>
  <c r="J14529" i="1"/>
  <c r="J14528" i="1"/>
  <c r="J14527" i="1"/>
  <c r="J14526" i="1"/>
  <c r="J14525" i="1"/>
  <c r="J14524" i="1"/>
  <c r="J14523" i="1"/>
  <c r="J14522" i="1"/>
  <c r="J14521" i="1"/>
  <c r="J14520" i="1"/>
  <c r="J14519" i="1"/>
  <c r="J14518" i="1"/>
  <c r="J14517" i="1"/>
  <c r="J14516" i="1"/>
  <c r="J14515" i="1"/>
  <c r="J14514" i="1"/>
  <c r="J14513" i="1"/>
  <c r="J14512" i="1"/>
  <c r="J14511" i="1"/>
  <c r="J14510" i="1"/>
  <c r="J14509" i="1"/>
  <c r="J14508" i="1"/>
  <c r="J14507" i="1"/>
  <c r="J14506" i="1"/>
  <c r="J14505" i="1"/>
  <c r="J14504" i="1"/>
  <c r="J14503" i="1"/>
  <c r="J14502" i="1"/>
  <c r="J14501" i="1"/>
  <c r="J14500" i="1"/>
  <c r="J14499" i="1"/>
  <c r="J14498" i="1"/>
  <c r="J14497" i="1"/>
  <c r="J14496" i="1"/>
  <c r="J14495" i="1"/>
  <c r="J14494" i="1"/>
  <c r="J14493" i="1"/>
  <c r="J14492" i="1"/>
  <c r="J14491" i="1"/>
  <c r="J14490" i="1"/>
  <c r="J14489" i="1"/>
  <c r="J14488" i="1"/>
  <c r="J14487" i="1"/>
  <c r="J14486" i="1"/>
  <c r="J14485" i="1"/>
  <c r="J14484" i="1"/>
  <c r="J14483" i="1"/>
  <c r="J14482" i="1"/>
  <c r="J14481" i="1"/>
  <c r="J14480" i="1"/>
  <c r="J14479" i="1"/>
  <c r="J14478" i="1"/>
  <c r="J14477" i="1"/>
  <c r="J14476" i="1"/>
  <c r="J14475" i="1"/>
  <c r="J14474" i="1"/>
  <c r="J14473" i="1"/>
  <c r="J14472" i="1"/>
  <c r="J14471" i="1"/>
  <c r="J14470" i="1"/>
  <c r="J14469" i="1"/>
  <c r="J14468" i="1"/>
  <c r="J14467" i="1"/>
  <c r="J14466" i="1"/>
  <c r="J14465" i="1"/>
  <c r="J14464" i="1"/>
  <c r="J14463" i="1"/>
  <c r="J14462" i="1"/>
  <c r="J14461" i="1"/>
  <c r="J14460" i="1"/>
  <c r="J14459" i="1"/>
  <c r="J14458" i="1"/>
  <c r="J14457" i="1"/>
  <c r="J14456" i="1"/>
  <c r="J14455" i="1"/>
  <c r="J14454" i="1"/>
  <c r="J14453" i="1"/>
  <c r="J14452" i="1"/>
  <c r="J14451" i="1"/>
  <c r="J14450" i="1"/>
  <c r="J14449" i="1"/>
  <c r="J14448" i="1"/>
  <c r="J14447" i="1"/>
  <c r="J14446" i="1"/>
  <c r="J14445" i="1"/>
  <c r="J14444" i="1"/>
  <c r="J14443" i="1"/>
  <c r="J14442" i="1"/>
  <c r="J14441" i="1"/>
  <c r="J14440" i="1"/>
  <c r="J14439" i="1"/>
  <c r="J14438" i="1"/>
  <c r="J14437" i="1"/>
  <c r="J14436" i="1"/>
  <c r="J14435" i="1"/>
  <c r="J14434" i="1"/>
  <c r="J14433" i="1"/>
  <c r="J14432" i="1"/>
  <c r="J14431" i="1"/>
  <c r="J14430" i="1"/>
  <c r="J14429" i="1"/>
  <c r="J14428" i="1"/>
  <c r="J14427" i="1"/>
  <c r="J14426" i="1"/>
  <c r="J14425" i="1"/>
  <c r="J14424" i="1"/>
  <c r="J14423" i="1"/>
  <c r="J14422" i="1"/>
  <c r="J14421" i="1"/>
  <c r="J14420" i="1"/>
  <c r="J14419" i="1"/>
  <c r="J14418" i="1"/>
  <c r="J14417" i="1"/>
  <c r="J14416" i="1"/>
  <c r="J14415" i="1"/>
  <c r="J14414" i="1"/>
  <c r="J14413" i="1"/>
  <c r="J14412" i="1"/>
  <c r="J14411" i="1"/>
  <c r="J14410" i="1"/>
  <c r="J14409" i="1"/>
  <c r="J14408" i="1"/>
  <c r="J14407" i="1"/>
  <c r="J14406" i="1"/>
  <c r="J14405" i="1"/>
  <c r="J14404" i="1"/>
  <c r="J14403" i="1"/>
  <c r="J14402" i="1"/>
  <c r="J14401" i="1"/>
  <c r="J14400" i="1"/>
  <c r="J14399" i="1"/>
  <c r="J14398" i="1"/>
  <c r="J14397" i="1"/>
  <c r="J14396" i="1"/>
  <c r="J14395" i="1"/>
  <c r="J14394" i="1"/>
  <c r="J14393" i="1"/>
  <c r="J14392" i="1"/>
  <c r="J14391" i="1"/>
  <c r="J14390" i="1"/>
  <c r="J14389" i="1"/>
  <c r="J14388" i="1"/>
  <c r="J14387" i="1"/>
  <c r="J14386" i="1"/>
  <c r="J14385" i="1"/>
  <c r="J14384" i="1"/>
  <c r="J14383" i="1"/>
  <c r="J14382" i="1"/>
  <c r="J14381" i="1"/>
  <c r="J14380" i="1"/>
  <c r="J14379" i="1"/>
  <c r="J14378" i="1"/>
  <c r="J14377" i="1"/>
  <c r="J14376" i="1"/>
  <c r="J14375" i="1"/>
  <c r="J14374" i="1"/>
  <c r="J14373" i="1"/>
  <c r="J14372" i="1"/>
  <c r="J14371" i="1"/>
  <c r="J14370" i="1"/>
  <c r="J14369" i="1"/>
  <c r="J14368" i="1"/>
  <c r="J14367" i="1"/>
  <c r="J14366" i="1"/>
  <c r="J14365" i="1"/>
  <c r="J14364" i="1"/>
  <c r="J14363" i="1"/>
  <c r="J14362" i="1"/>
  <c r="J14361" i="1"/>
  <c r="J14360" i="1"/>
  <c r="J14359" i="1"/>
  <c r="J14358" i="1"/>
  <c r="J14357" i="1"/>
  <c r="J14356" i="1"/>
  <c r="J14355" i="1"/>
  <c r="J14354" i="1"/>
  <c r="J14353" i="1"/>
  <c r="J14352" i="1"/>
  <c r="J14351" i="1"/>
  <c r="J14350" i="1"/>
  <c r="J14349" i="1"/>
  <c r="J14348" i="1"/>
  <c r="J14347" i="1"/>
  <c r="J14346" i="1"/>
  <c r="J14345" i="1"/>
  <c r="J14344" i="1"/>
  <c r="J14343" i="1"/>
  <c r="J14342" i="1"/>
  <c r="J14341" i="1"/>
  <c r="J14340" i="1"/>
  <c r="J14339" i="1"/>
  <c r="J14338" i="1"/>
  <c r="J14337" i="1"/>
  <c r="J14336" i="1"/>
  <c r="J14335" i="1"/>
  <c r="J14334" i="1"/>
  <c r="J14333" i="1"/>
  <c r="J14332" i="1"/>
  <c r="J14331" i="1"/>
  <c r="J14330" i="1"/>
  <c r="J14329" i="1"/>
  <c r="J14328" i="1"/>
  <c r="J14327" i="1"/>
  <c r="J14326" i="1"/>
  <c r="J14325" i="1"/>
  <c r="J14324" i="1"/>
  <c r="J14323" i="1"/>
  <c r="J14322" i="1"/>
  <c r="J14321" i="1"/>
  <c r="J14320" i="1"/>
  <c r="J14319" i="1"/>
  <c r="J14318" i="1"/>
  <c r="J14317" i="1"/>
  <c r="J14316" i="1"/>
  <c r="J14315" i="1"/>
  <c r="J14314" i="1"/>
  <c r="J14313" i="1"/>
  <c r="J14312" i="1"/>
  <c r="J14311" i="1"/>
  <c r="J14310" i="1"/>
  <c r="J14309" i="1"/>
  <c r="J14308" i="1"/>
  <c r="J14307" i="1"/>
  <c r="J14306" i="1"/>
  <c r="J14305" i="1"/>
  <c r="J14304" i="1"/>
  <c r="J14303" i="1"/>
  <c r="J14302" i="1"/>
  <c r="J14301" i="1"/>
  <c r="J14300" i="1"/>
  <c r="J14299" i="1"/>
  <c r="J14298" i="1"/>
  <c r="J14297" i="1"/>
  <c r="J14296" i="1"/>
  <c r="J14295" i="1"/>
  <c r="J14294" i="1"/>
  <c r="J14293" i="1"/>
  <c r="J14292" i="1"/>
  <c r="J14291" i="1"/>
  <c r="J14290" i="1"/>
  <c r="J14289" i="1"/>
  <c r="J14288" i="1"/>
  <c r="J14287" i="1"/>
  <c r="J14286" i="1"/>
  <c r="J14285" i="1"/>
  <c r="J14284" i="1"/>
  <c r="J14283" i="1"/>
  <c r="J14282" i="1"/>
  <c r="J14281" i="1"/>
  <c r="J14280" i="1"/>
  <c r="J14279" i="1"/>
  <c r="J14278" i="1"/>
  <c r="J14277" i="1"/>
  <c r="J14276" i="1"/>
  <c r="J14275" i="1"/>
  <c r="J14274" i="1"/>
  <c r="J14273" i="1"/>
  <c r="J14272" i="1"/>
  <c r="J14271" i="1"/>
  <c r="J14270" i="1"/>
  <c r="J14269" i="1"/>
  <c r="J14268" i="1"/>
  <c r="J14267" i="1"/>
  <c r="J14266" i="1"/>
  <c r="J14265" i="1"/>
  <c r="J14264" i="1"/>
  <c r="J14263" i="1"/>
  <c r="J14262" i="1"/>
  <c r="J14261" i="1"/>
  <c r="J14260" i="1"/>
  <c r="J14259" i="1"/>
  <c r="J14258" i="1"/>
  <c r="J14257" i="1"/>
  <c r="J14256" i="1"/>
  <c r="J14255" i="1"/>
  <c r="J14254" i="1"/>
  <c r="J14253" i="1"/>
  <c r="J14252" i="1"/>
  <c r="J14251" i="1"/>
  <c r="J14250" i="1"/>
  <c r="J14249" i="1"/>
  <c r="J14248" i="1"/>
  <c r="J14247" i="1"/>
  <c r="J14246" i="1"/>
  <c r="J14245" i="1"/>
  <c r="J14244" i="1"/>
  <c r="J14243" i="1"/>
  <c r="J14242" i="1"/>
  <c r="J14241" i="1"/>
  <c r="J14240" i="1"/>
  <c r="J14239" i="1"/>
  <c r="J14238" i="1"/>
  <c r="J14237" i="1"/>
  <c r="J14236" i="1"/>
  <c r="J14235" i="1"/>
  <c r="J14234" i="1"/>
  <c r="J14233" i="1"/>
  <c r="J14232" i="1"/>
  <c r="J14231" i="1"/>
  <c r="J14230" i="1"/>
  <c r="J14229" i="1"/>
  <c r="J14228" i="1"/>
  <c r="J14227" i="1"/>
  <c r="J14226" i="1"/>
  <c r="J14225" i="1"/>
  <c r="J14224" i="1"/>
  <c r="J14223" i="1"/>
  <c r="J14222" i="1"/>
  <c r="J14221" i="1"/>
  <c r="J14220" i="1"/>
  <c r="J14219" i="1"/>
  <c r="J14218" i="1"/>
  <c r="J14217" i="1"/>
  <c r="J14216" i="1"/>
  <c r="J14215" i="1"/>
  <c r="J14214" i="1"/>
  <c r="J14213" i="1"/>
  <c r="J14212" i="1"/>
  <c r="J14211" i="1"/>
  <c r="J14210" i="1"/>
  <c r="J14209" i="1"/>
  <c r="J14208" i="1"/>
  <c r="J14207" i="1"/>
  <c r="J14206" i="1"/>
  <c r="J14205" i="1"/>
  <c r="J14204" i="1"/>
  <c r="J14203" i="1"/>
  <c r="J14202" i="1"/>
  <c r="J14201" i="1"/>
  <c r="J14200" i="1"/>
  <c r="J14199" i="1"/>
  <c r="J14198" i="1"/>
  <c r="J14197" i="1"/>
  <c r="J14196" i="1"/>
  <c r="J14195" i="1"/>
  <c r="J14194" i="1"/>
  <c r="J14193" i="1"/>
  <c r="J14192" i="1"/>
  <c r="J14191" i="1"/>
  <c r="J14190" i="1"/>
  <c r="J14189" i="1"/>
  <c r="J14188" i="1"/>
  <c r="J14187" i="1"/>
  <c r="J14186" i="1"/>
  <c r="J14185" i="1"/>
  <c r="J14184" i="1"/>
  <c r="J14183" i="1"/>
  <c r="J14182" i="1"/>
  <c r="J14181" i="1"/>
  <c r="J14180" i="1"/>
  <c r="J14179" i="1"/>
  <c r="J14178" i="1"/>
  <c r="J14177" i="1"/>
  <c r="J14176" i="1"/>
  <c r="J14175" i="1"/>
  <c r="J14174" i="1"/>
  <c r="J14173" i="1"/>
  <c r="J14172" i="1"/>
  <c r="J14171" i="1"/>
  <c r="J14170" i="1"/>
  <c r="J14169" i="1"/>
  <c r="J14168" i="1"/>
  <c r="J14167" i="1"/>
  <c r="J14166" i="1"/>
  <c r="J14165" i="1"/>
  <c r="J14164" i="1"/>
  <c r="J14163" i="1"/>
  <c r="J14162" i="1"/>
  <c r="J14161" i="1"/>
  <c r="J14160" i="1"/>
  <c r="J14159" i="1"/>
  <c r="J14158" i="1"/>
  <c r="J14157" i="1"/>
  <c r="J14156" i="1"/>
  <c r="J14155" i="1"/>
  <c r="J14154" i="1"/>
  <c r="J14153" i="1"/>
  <c r="J14152" i="1"/>
  <c r="J14151" i="1"/>
  <c r="J14150" i="1"/>
  <c r="J14149" i="1"/>
  <c r="J14148" i="1"/>
  <c r="J14147" i="1"/>
  <c r="J14146" i="1"/>
  <c r="J14145" i="1"/>
  <c r="J14144" i="1"/>
  <c r="J14143" i="1"/>
  <c r="J14142" i="1"/>
  <c r="J14141" i="1"/>
  <c r="J14140" i="1"/>
  <c r="J14139" i="1"/>
  <c r="J14138" i="1"/>
  <c r="J14137" i="1"/>
  <c r="J14136" i="1"/>
  <c r="J14135" i="1"/>
  <c r="J14134" i="1"/>
  <c r="J14133" i="1"/>
  <c r="J14132" i="1"/>
  <c r="J14131" i="1"/>
  <c r="J14130" i="1"/>
  <c r="J14129" i="1"/>
  <c r="J14128" i="1"/>
  <c r="J14127" i="1"/>
  <c r="J14126" i="1"/>
  <c r="J14125" i="1"/>
  <c r="J14124" i="1"/>
  <c r="J14123" i="1"/>
  <c r="J14122" i="1"/>
  <c r="J14121" i="1"/>
  <c r="J14120" i="1"/>
  <c r="J14119" i="1"/>
  <c r="J14118" i="1"/>
  <c r="J14117" i="1"/>
  <c r="J14116" i="1"/>
  <c r="J14115" i="1"/>
  <c r="J14114" i="1"/>
  <c r="J14113" i="1"/>
  <c r="J14112" i="1"/>
  <c r="J14111" i="1"/>
  <c r="J14110" i="1"/>
  <c r="J14109" i="1"/>
  <c r="J14108" i="1"/>
  <c r="J14107" i="1"/>
  <c r="J14106" i="1"/>
  <c r="J14105" i="1"/>
  <c r="J14104" i="1"/>
  <c r="J14103" i="1"/>
  <c r="J14102" i="1"/>
  <c r="J14101" i="1"/>
  <c r="J14100" i="1"/>
  <c r="J14099" i="1"/>
  <c r="J14098" i="1"/>
  <c r="J14097" i="1"/>
  <c r="J14096" i="1"/>
  <c r="J14095" i="1"/>
  <c r="J14094" i="1"/>
  <c r="J14093" i="1"/>
  <c r="J14092" i="1"/>
  <c r="J14091" i="1"/>
  <c r="J14090" i="1"/>
  <c r="J14089" i="1"/>
  <c r="J14088" i="1"/>
  <c r="J14087" i="1"/>
  <c r="J14086" i="1"/>
  <c r="J14085" i="1"/>
  <c r="J14084" i="1"/>
  <c r="J14083" i="1"/>
  <c r="J14082" i="1"/>
  <c r="J14081" i="1"/>
  <c r="J14080" i="1"/>
  <c r="J14079" i="1"/>
  <c r="J14078" i="1"/>
  <c r="J14077" i="1"/>
  <c r="J14076" i="1"/>
  <c r="J14075" i="1"/>
  <c r="J14074" i="1"/>
  <c r="J14073" i="1"/>
  <c r="J14072" i="1"/>
  <c r="J14071" i="1"/>
  <c r="J14070" i="1"/>
  <c r="J14069" i="1"/>
  <c r="J14068" i="1"/>
  <c r="J14067" i="1"/>
  <c r="J14066" i="1"/>
  <c r="J14065" i="1"/>
  <c r="J14064" i="1"/>
  <c r="J14063" i="1"/>
  <c r="J14062" i="1"/>
  <c r="J14061" i="1"/>
  <c r="J14060" i="1"/>
  <c r="J14059" i="1"/>
  <c r="J14058" i="1"/>
  <c r="J14057" i="1"/>
  <c r="J14056" i="1"/>
  <c r="J14055" i="1"/>
  <c r="J14054" i="1"/>
  <c r="J14053" i="1"/>
  <c r="J14052" i="1"/>
  <c r="J14051" i="1"/>
  <c r="J14050" i="1"/>
  <c r="J14049" i="1"/>
  <c r="J14048" i="1"/>
  <c r="J14047" i="1"/>
  <c r="J14046" i="1"/>
  <c r="J14045" i="1"/>
  <c r="J14044" i="1"/>
  <c r="J14043" i="1"/>
  <c r="J14042" i="1"/>
  <c r="J14041" i="1"/>
  <c r="J14040" i="1"/>
  <c r="J14039" i="1"/>
  <c r="J14038" i="1"/>
  <c r="J14037" i="1"/>
  <c r="J14036" i="1"/>
  <c r="J14035" i="1"/>
  <c r="J14034" i="1"/>
  <c r="J14033" i="1"/>
  <c r="J14032" i="1"/>
  <c r="J14031" i="1"/>
  <c r="J14030" i="1"/>
  <c r="J14029" i="1"/>
  <c r="J14028" i="1"/>
  <c r="J14027" i="1"/>
  <c r="J14026" i="1"/>
  <c r="J14025" i="1"/>
  <c r="J14024" i="1"/>
  <c r="J14023" i="1"/>
  <c r="J14022" i="1"/>
  <c r="J14021" i="1"/>
  <c r="J14020" i="1"/>
  <c r="J14019" i="1"/>
  <c r="J14018" i="1"/>
  <c r="J14017" i="1"/>
  <c r="J14016" i="1"/>
  <c r="J14015" i="1"/>
  <c r="J14014" i="1"/>
  <c r="J14013" i="1"/>
  <c r="J14012" i="1"/>
  <c r="J14011" i="1"/>
  <c r="J14010" i="1"/>
  <c r="J14009" i="1"/>
  <c r="J14008" i="1"/>
  <c r="J14007" i="1"/>
  <c r="J14006" i="1"/>
  <c r="J14005" i="1"/>
  <c r="J14004" i="1"/>
  <c r="J14003" i="1"/>
  <c r="J14002" i="1"/>
  <c r="J14001" i="1"/>
  <c r="J14000" i="1"/>
  <c r="J13999" i="1"/>
  <c r="J13998" i="1"/>
  <c r="J13997" i="1"/>
  <c r="J13996" i="1"/>
  <c r="J13995" i="1"/>
  <c r="J13994" i="1"/>
  <c r="J13993" i="1"/>
  <c r="J13992" i="1"/>
  <c r="J13991" i="1"/>
  <c r="J13990" i="1"/>
  <c r="J13989" i="1"/>
  <c r="J13988" i="1"/>
  <c r="J13987" i="1"/>
  <c r="J13986" i="1"/>
  <c r="J13985" i="1"/>
  <c r="J13984" i="1"/>
  <c r="J13983" i="1"/>
  <c r="J13982" i="1"/>
  <c r="J13981" i="1"/>
  <c r="J13980" i="1"/>
  <c r="J13979" i="1"/>
  <c r="J13978" i="1"/>
  <c r="J13977" i="1"/>
  <c r="J13976" i="1"/>
  <c r="J13975" i="1"/>
  <c r="J13974" i="1"/>
  <c r="J13973" i="1"/>
  <c r="J13972" i="1"/>
  <c r="J13971" i="1"/>
  <c r="J13970" i="1"/>
  <c r="J13969" i="1"/>
  <c r="J13968" i="1"/>
  <c r="J13967" i="1"/>
  <c r="J13966" i="1"/>
  <c r="J13965" i="1"/>
  <c r="J13964" i="1"/>
  <c r="J13963" i="1"/>
  <c r="J13962" i="1"/>
  <c r="J13961" i="1"/>
  <c r="J13960" i="1"/>
  <c r="J13959" i="1"/>
  <c r="J13958" i="1"/>
  <c r="J13957" i="1"/>
  <c r="J13956" i="1"/>
  <c r="J13955" i="1"/>
  <c r="J13954" i="1"/>
  <c r="J13953" i="1"/>
  <c r="J13952" i="1"/>
  <c r="J13951" i="1"/>
  <c r="J13950" i="1"/>
  <c r="J13949" i="1"/>
  <c r="J13948" i="1"/>
  <c r="J13947" i="1"/>
  <c r="J13946" i="1"/>
  <c r="J13945" i="1"/>
  <c r="J13944" i="1"/>
  <c r="J13943" i="1"/>
  <c r="J13942" i="1"/>
  <c r="J13941" i="1"/>
  <c r="J13940" i="1"/>
  <c r="J13939" i="1"/>
  <c r="J13938" i="1"/>
  <c r="J13937" i="1"/>
  <c r="J13936" i="1"/>
  <c r="J13935" i="1"/>
  <c r="J13934" i="1"/>
  <c r="J13933" i="1"/>
  <c r="J13932" i="1"/>
  <c r="J13931" i="1"/>
  <c r="J13930" i="1"/>
  <c r="J13929" i="1"/>
  <c r="J13928" i="1"/>
  <c r="J13927" i="1"/>
  <c r="J13926" i="1"/>
  <c r="J13925" i="1"/>
  <c r="J13924" i="1"/>
  <c r="J13923" i="1"/>
  <c r="J13922" i="1"/>
  <c r="J13921" i="1"/>
  <c r="J13920" i="1"/>
  <c r="J13919" i="1"/>
  <c r="J13918" i="1"/>
  <c r="J13917" i="1"/>
  <c r="J13916" i="1"/>
  <c r="J13915" i="1"/>
  <c r="J13914" i="1"/>
  <c r="J13913" i="1"/>
  <c r="J13912" i="1"/>
  <c r="J13911" i="1"/>
  <c r="J13910" i="1"/>
  <c r="J13909" i="1"/>
  <c r="J13908" i="1"/>
  <c r="J13907" i="1"/>
  <c r="J13906" i="1"/>
  <c r="J13905" i="1"/>
  <c r="J13904" i="1"/>
  <c r="J13903" i="1"/>
  <c r="J13902" i="1"/>
  <c r="J13901" i="1"/>
  <c r="J13900" i="1"/>
  <c r="J13899" i="1"/>
  <c r="J13898" i="1"/>
  <c r="J13897" i="1"/>
  <c r="J13896" i="1"/>
  <c r="J13895" i="1"/>
  <c r="J13894" i="1"/>
  <c r="J13893" i="1"/>
  <c r="J13892" i="1"/>
  <c r="J13891" i="1"/>
  <c r="J13890" i="1"/>
  <c r="J13889" i="1"/>
  <c r="J13888" i="1"/>
  <c r="J13887" i="1"/>
  <c r="J13886" i="1"/>
  <c r="J13885" i="1"/>
  <c r="J13884" i="1"/>
  <c r="J13883" i="1"/>
  <c r="J13882" i="1"/>
  <c r="J13881" i="1"/>
  <c r="J13880" i="1"/>
  <c r="J13879" i="1"/>
  <c r="J13878" i="1"/>
  <c r="J13877" i="1"/>
  <c r="J13876" i="1"/>
  <c r="J13875" i="1"/>
  <c r="J13874" i="1"/>
  <c r="J13873" i="1"/>
  <c r="J13872" i="1"/>
  <c r="J13871" i="1"/>
  <c r="J13870" i="1"/>
  <c r="J13869" i="1"/>
  <c r="J13868" i="1"/>
  <c r="J13867" i="1"/>
  <c r="J13866" i="1"/>
  <c r="J13865" i="1"/>
  <c r="J13864" i="1"/>
  <c r="J13863" i="1"/>
  <c r="J13862" i="1"/>
  <c r="J13861" i="1"/>
  <c r="J13860" i="1"/>
  <c r="J13859" i="1"/>
  <c r="J13858" i="1"/>
  <c r="J13857" i="1"/>
  <c r="J13856" i="1"/>
  <c r="J13855" i="1"/>
  <c r="J13854" i="1"/>
  <c r="J13853" i="1"/>
  <c r="J13852" i="1"/>
  <c r="J13851" i="1"/>
  <c r="J13850" i="1"/>
  <c r="J13849" i="1"/>
  <c r="J13848" i="1"/>
  <c r="J13847" i="1"/>
  <c r="J13846" i="1"/>
  <c r="J13845" i="1"/>
  <c r="J13844" i="1"/>
  <c r="J13843" i="1"/>
  <c r="J13842" i="1"/>
  <c r="J13841" i="1"/>
  <c r="J13840" i="1"/>
  <c r="J13839" i="1"/>
  <c r="J13838" i="1"/>
  <c r="J13837" i="1"/>
  <c r="J13836" i="1"/>
  <c r="J13835" i="1"/>
  <c r="J13834" i="1"/>
  <c r="J13833" i="1"/>
  <c r="J13832" i="1"/>
  <c r="J13831" i="1"/>
  <c r="J13830" i="1"/>
  <c r="J13829" i="1"/>
  <c r="J13828" i="1"/>
  <c r="J13827" i="1"/>
  <c r="J13826" i="1"/>
  <c r="J13825" i="1"/>
  <c r="J13824" i="1"/>
  <c r="J13823" i="1"/>
  <c r="J13822" i="1"/>
  <c r="J13821" i="1"/>
  <c r="J13820" i="1"/>
  <c r="J13819" i="1"/>
  <c r="J13818" i="1"/>
  <c r="J13817" i="1"/>
  <c r="J13816" i="1"/>
  <c r="J13815" i="1"/>
  <c r="J13814" i="1"/>
  <c r="J13813" i="1"/>
  <c r="J13812" i="1"/>
  <c r="J13811" i="1"/>
  <c r="J13810" i="1"/>
  <c r="J13809" i="1"/>
  <c r="J13808" i="1"/>
  <c r="J13807" i="1"/>
  <c r="J13806" i="1"/>
  <c r="J13805" i="1"/>
  <c r="J13804" i="1"/>
  <c r="J13803" i="1"/>
  <c r="J13802" i="1"/>
  <c r="J13801" i="1"/>
  <c r="J13800" i="1"/>
  <c r="J13799" i="1"/>
  <c r="J13798" i="1"/>
  <c r="J13797" i="1"/>
  <c r="J13796" i="1"/>
  <c r="J13795" i="1"/>
  <c r="J13794" i="1"/>
  <c r="J13793" i="1"/>
  <c r="J13792" i="1"/>
  <c r="J13791" i="1"/>
  <c r="J13790" i="1"/>
  <c r="J13789" i="1"/>
  <c r="J13788" i="1"/>
  <c r="J13787" i="1"/>
  <c r="J13786" i="1"/>
  <c r="J13785" i="1"/>
  <c r="J13784" i="1"/>
  <c r="J13783" i="1"/>
  <c r="J13782" i="1"/>
  <c r="J13781" i="1"/>
  <c r="J13780" i="1"/>
  <c r="J13779" i="1"/>
  <c r="J13778" i="1"/>
  <c r="J13777" i="1"/>
  <c r="J13776" i="1"/>
  <c r="J13775" i="1"/>
  <c r="J13774" i="1"/>
  <c r="J13773" i="1"/>
  <c r="J13772" i="1"/>
  <c r="J13771" i="1"/>
  <c r="J13770" i="1"/>
  <c r="J13769" i="1"/>
  <c r="J13768" i="1"/>
  <c r="J13767" i="1"/>
  <c r="J13766" i="1"/>
  <c r="J13765" i="1"/>
  <c r="J13764" i="1"/>
  <c r="J13763" i="1"/>
  <c r="J13762" i="1"/>
  <c r="J13761" i="1"/>
  <c r="J13760" i="1"/>
  <c r="J13759" i="1"/>
  <c r="J13758" i="1"/>
  <c r="J13757" i="1"/>
  <c r="J13756" i="1"/>
  <c r="J13755" i="1"/>
  <c r="J13754" i="1"/>
  <c r="J13753" i="1"/>
  <c r="J13752" i="1"/>
  <c r="J13751" i="1"/>
  <c r="J13750" i="1"/>
  <c r="J13749" i="1"/>
  <c r="J13748" i="1"/>
  <c r="J13747" i="1"/>
  <c r="J13746" i="1"/>
  <c r="J13745" i="1"/>
  <c r="J13744" i="1"/>
  <c r="J13743" i="1"/>
  <c r="J13742" i="1"/>
  <c r="J13741" i="1"/>
  <c r="J13740" i="1"/>
  <c r="J13739" i="1"/>
  <c r="J13738" i="1"/>
  <c r="J13737" i="1"/>
  <c r="J13736" i="1"/>
  <c r="J13735" i="1"/>
  <c r="J13734" i="1"/>
  <c r="J13733" i="1"/>
  <c r="J13732" i="1"/>
  <c r="J13731" i="1"/>
  <c r="J13730" i="1"/>
  <c r="J13729" i="1"/>
  <c r="J13728" i="1"/>
  <c r="J13727" i="1"/>
  <c r="J13726" i="1"/>
  <c r="J13725" i="1"/>
  <c r="J13724" i="1"/>
  <c r="J13723" i="1"/>
  <c r="J13722" i="1"/>
  <c r="J13721" i="1"/>
  <c r="J13720" i="1"/>
  <c r="J13719" i="1"/>
  <c r="J13718" i="1"/>
  <c r="J13717" i="1"/>
  <c r="J13716" i="1"/>
  <c r="J13715" i="1"/>
  <c r="J13714" i="1"/>
  <c r="J13713" i="1"/>
  <c r="J13712" i="1"/>
  <c r="J13711" i="1"/>
  <c r="J13710" i="1"/>
  <c r="J13709" i="1"/>
  <c r="J13708" i="1"/>
  <c r="J13707" i="1"/>
  <c r="J13706" i="1"/>
  <c r="J13705" i="1"/>
  <c r="J13704" i="1"/>
  <c r="J13703" i="1"/>
  <c r="J13702" i="1"/>
  <c r="J13701" i="1"/>
  <c r="J13700" i="1"/>
  <c r="J13699" i="1"/>
  <c r="J13698" i="1"/>
  <c r="J13697" i="1"/>
  <c r="J13696" i="1"/>
  <c r="J13695" i="1"/>
  <c r="J13694" i="1"/>
  <c r="J13693" i="1"/>
  <c r="J13692" i="1"/>
  <c r="J13691" i="1"/>
  <c r="J13690" i="1"/>
  <c r="J13689" i="1"/>
  <c r="J13688" i="1"/>
  <c r="J13687" i="1"/>
  <c r="J13686" i="1"/>
  <c r="J13685" i="1"/>
  <c r="J13684" i="1"/>
  <c r="J13683" i="1"/>
  <c r="J13682" i="1"/>
  <c r="J13681" i="1"/>
  <c r="J13680" i="1"/>
  <c r="J13679" i="1"/>
  <c r="J13678" i="1"/>
  <c r="J13677" i="1"/>
  <c r="J13676" i="1"/>
  <c r="J13675" i="1"/>
  <c r="J13674" i="1"/>
  <c r="J13673" i="1"/>
  <c r="J13672" i="1"/>
  <c r="J13671" i="1"/>
  <c r="J13670" i="1"/>
  <c r="J13669" i="1"/>
  <c r="J13668" i="1"/>
  <c r="J13667" i="1"/>
  <c r="J13666" i="1"/>
  <c r="J13665" i="1"/>
  <c r="J13664" i="1"/>
  <c r="J13663" i="1"/>
  <c r="J13662" i="1"/>
  <c r="J13661" i="1"/>
  <c r="J13660" i="1"/>
  <c r="J13659" i="1"/>
  <c r="J13658" i="1"/>
  <c r="J13657" i="1"/>
  <c r="J13656" i="1"/>
  <c r="J13655" i="1"/>
  <c r="J13654" i="1"/>
  <c r="J13653" i="1"/>
  <c r="J13652" i="1"/>
  <c r="J13651" i="1"/>
  <c r="J13650" i="1"/>
  <c r="J13649" i="1"/>
  <c r="J13648" i="1"/>
  <c r="J13647" i="1"/>
  <c r="J13646" i="1"/>
  <c r="J13645" i="1"/>
  <c r="J13644" i="1"/>
  <c r="J13643" i="1"/>
  <c r="J13642" i="1"/>
  <c r="J13641" i="1"/>
  <c r="J13640" i="1"/>
  <c r="J13639" i="1"/>
  <c r="J13638" i="1"/>
  <c r="J13637" i="1"/>
  <c r="J13636" i="1"/>
  <c r="J13635" i="1"/>
  <c r="J13634" i="1"/>
  <c r="J13633" i="1"/>
  <c r="J13632" i="1"/>
  <c r="J13631" i="1"/>
  <c r="J13630" i="1"/>
  <c r="J13629" i="1"/>
  <c r="J13628" i="1"/>
  <c r="J13627" i="1"/>
  <c r="J13626" i="1"/>
  <c r="J13625" i="1"/>
  <c r="J13624" i="1"/>
  <c r="J13623" i="1"/>
  <c r="J13622" i="1"/>
  <c r="J13621" i="1"/>
  <c r="J13620" i="1"/>
  <c r="J13619" i="1"/>
  <c r="J13618" i="1"/>
  <c r="J13617" i="1"/>
  <c r="J13616" i="1"/>
  <c r="J13615" i="1"/>
  <c r="J13614" i="1"/>
  <c r="J13613" i="1"/>
  <c r="J13612" i="1"/>
  <c r="J13611" i="1"/>
  <c r="J13610" i="1"/>
  <c r="J13609" i="1"/>
  <c r="J13608" i="1"/>
  <c r="J13607" i="1"/>
  <c r="J13606" i="1"/>
  <c r="J13605" i="1"/>
  <c r="J13604" i="1"/>
  <c r="J13603" i="1"/>
  <c r="J13602" i="1"/>
  <c r="J13601" i="1"/>
  <c r="J13600" i="1"/>
  <c r="J13599" i="1"/>
  <c r="J13598" i="1"/>
  <c r="J13597" i="1"/>
  <c r="J13596" i="1"/>
  <c r="J13595" i="1"/>
  <c r="J13594" i="1"/>
  <c r="J13593" i="1"/>
  <c r="J13592" i="1"/>
  <c r="J13591" i="1"/>
  <c r="J13590" i="1"/>
  <c r="J13589" i="1"/>
  <c r="J13588" i="1"/>
  <c r="J13587" i="1"/>
  <c r="J13586" i="1"/>
  <c r="J13585" i="1"/>
  <c r="J13584" i="1"/>
  <c r="J13583" i="1"/>
  <c r="J13582" i="1"/>
  <c r="J13581" i="1"/>
  <c r="J13580" i="1"/>
  <c r="J13579" i="1"/>
  <c r="J13578" i="1"/>
  <c r="J13577" i="1"/>
  <c r="J13576" i="1"/>
  <c r="J13575" i="1"/>
  <c r="J13574" i="1"/>
  <c r="J13573" i="1"/>
  <c r="J13572" i="1"/>
  <c r="J13571" i="1"/>
  <c r="J13570" i="1"/>
  <c r="J13569" i="1"/>
  <c r="J13568" i="1"/>
  <c r="J13567" i="1"/>
  <c r="J13566" i="1"/>
  <c r="J13565" i="1"/>
  <c r="J13564" i="1"/>
  <c r="J13563" i="1"/>
  <c r="J13562" i="1"/>
  <c r="J13561" i="1"/>
  <c r="J13560" i="1"/>
  <c r="J13559" i="1"/>
  <c r="J13558" i="1"/>
  <c r="J13557" i="1"/>
  <c r="J13556" i="1"/>
  <c r="J13555" i="1"/>
  <c r="J13554" i="1"/>
  <c r="J13553" i="1"/>
  <c r="J13552" i="1"/>
  <c r="J13551" i="1"/>
  <c r="J13550" i="1"/>
  <c r="J13549" i="1"/>
  <c r="J13548" i="1"/>
  <c r="J13547" i="1"/>
  <c r="J13546" i="1"/>
  <c r="J13545" i="1"/>
  <c r="J13544" i="1"/>
  <c r="J13543" i="1"/>
  <c r="J13542" i="1"/>
  <c r="J13541" i="1"/>
  <c r="J13540" i="1"/>
  <c r="J13539" i="1"/>
  <c r="J13538" i="1"/>
  <c r="J13537" i="1"/>
  <c r="J13536" i="1"/>
  <c r="J13535" i="1"/>
  <c r="J13534" i="1"/>
  <c r="J13533" i="1"/>
  <c r="J13532" i="1"/>
  <c r="J13531" i="1"/>
  <c r="J13530" i="1"/>
  <c r="J13529" i="1"/>
  <c r="J13528" i="1"/>
  <c r="J13527" i="1"/>
  <c r="J13526" i="1"/>
  <c r="J13525" i="1"/>
  <c r="J13524" i="1"/>
  <c r="J13523" i="1"/>
  <c r="J13522" i="1"/>
  <c r="J13521" i="1"/>
  <c r="J13520" i="1"/>
  <c r="J13519" i="1"/>
  <c r="J13518" i="1"/>
  <c r="J13517" i="1"/>
  <c r="J13516" i="1"/>
  <c r="J13515" i="1"/>
  <c r="J13514" i="1"/>
  <c r="J13513" i="1"/>
  <c r="J13512" i="1"/>
  <c r="J13511" i="1"/>
  <c r="J13510" i="1"/>
  <c r="J13509" i="1"/>
  <c r="J13508" i="1"/>
  <c r="J13507" i="1"/>
  <c r="J13506" i="1"/>
  <c r="J13505" i="1"/>
  <c r="J13504" i="1"/>
  <c r="J13503" i="1"/>
  <c r="J13502" i="1"/>
  <c r="J13501" i="1"/>
  <c r="J13500" i="1"/>
  <c r="J13499" i="1"/>
  <c r="J13498" i="1"/>
  <c r="J13497" i="1"/>
  <c r="J13496" i="1"/>
  <c r="J13495" i="1"/>
  <c r="J13494" i="1"/>
  <c r="J13493" i="1"/>
  <c r="J13492" i="1"/>
  <c r="J13491" i="1"/>
  <c r="J13490" i="1"/>
  <c r="J13489" i="1"/>
  <c r="J13488" i="1"/>
  <c r="J13487" i="1"/>
  <c r="J13486" i="1"/>
  <c r="J13485" i="1"/>
  <c r="J13484" i="1"/>
  <c r="J13483" i="1"/>
  <c r="J13482" i="1"/>
  <c r="J13481" i="1"/>
  <c r="J13480" i="1"/>
  <c r="J13479" i="1"/>
  <c r="J13478" i="1"/>
  <c r="J13477" i="1"/>
  <c r="J13476" i="1"/>
  <c r="J13475" i="1"/>
  <c r="J13474" i="1"/>
  <c r="J13473" i="1"/>
  <c r="J13472" i="1"/>
  <c r="J13471" i="1"/>
  <c r="J13470" i="1"/>
  <c r="J13469" i="1"/>
  <c r="J13468" i="1"/>
  <c r="J13467" i="1"/>
  <c r="J13466" i="1"/>
  <c r="J13465" i="1"/>
  <c r="J13464" i="1"/>
  <c r="J13463" i="1"/>
  <c r="J13462" i="1"/>
  <c r="J13461" i="1"/>
  <c r="J13460" i="1"/>
  <c r="J13459" i="1"/>
  <c r="J13458" i="1"/>
  <c r="J13457" i="1"/>
  <c r="J13456" i="1"/>
  <c r="J13455" i="1"/>
  <c r="J13454" i="1"/>
  <c r="J13453" i="1"/>
  <c r="J13452" i="1"/>
  <c r="J13451" i="1"/>
  <c r="J13450" i="1"/>
  <c r="J13449" i="1"/>
  <c r="J13448" i="1"/>
  <c r="J13447" i="1"/>
  <c r="J13446" i="1"/>
  <c r="J13445" i="1"/>
  <c r="J13444" i="1"/>
  <c r="J13443" i="1"/>
  <c r="J13442" i="1"/>
  <c r="J13441" i="1"/>
  <c r="J13440" i="1"/>
  <c r="J13439" i="1"/>
  <c r="J13438" i="1"/>
  <c r="J13437" i="1"/>
  <c r="J13436" i="1"/>
  <c r="J13435" i="1"/>
  <c r="J13434" i="1"/>
  <c r="J13433" i="1"/>
  <c r="J13432" i="1"/>
  <c r="J13431" i="1"/>
  <c r="J13430" i="1"/>
  <c r="J13429" i="1"/>
  <c r="J13428" i="1"/>
  <c r="J13427" i="1"/>
  <c r="J13426" i="1"/>
  <c r="J13425" i="1"/>
  <c r="J13424" i="1"/>
  <c r="J13423" i="1"/>
  <c r="J13422" i="1"/>
  <c r="J13421" i="1"/>
  <c r="J13420" i="1"/>
  <c r="J13419" i="1"/>
  <c r="J13418" i="1"/>
  <c r="J13417" i="1"/>
  <c r="J13416" i="1"/>
  <c r="J13415" i="1"/>
  <c r="J13414" i="1"/>
  <c r="J13413" i="1"/>
  <c r="J13412" i="1"/>
  <c r="J13411" i="1"/>
  <c r="J13410" i="1"/>
  <c r="J13409" i="1"/>
  <c r="J13408" i="1"/>
  <c r="J13407" i="1"/>
  <c r="J13406" i="1"/>
  <c r="J13405" i="1"/>
  <c r="J13404" i="1"/>
  <c r="J13403" i="1"/>
  <c r="J13402" i="1"/>
  <c r="J13401" i="1"/>
  <c r="J13400" i="1"/>
  <c r="J13399" i="1"/>
  <c r="J13398" i="1"/>
  <c r="J13397" i="1"/>
  <c r="J13396" i="1"/>
  <c r="J13395" i="1"/>
  <c r="J13394" i="1"/>
  <c r="J13393" i="1"/>
  <c r="J13392" i="1"/>
  <c r="J13391" i="1"/>
  <c r="J13390" i="1"/>
  <c r="J13389" i="1"/>
  <c r="J13388" i="1"/>
  <c r="J13387" i="1"/>
  <c r="J13386" i="1"/>
  <c r="J13385" i="1"/>
  <c r="J13384" i="1"/>
  <c r="J13383" i="1"/>
  <c r="J13382" i="1"/>
  <c r="J13381" i="1"/>
  <c r="J13380" i="1"/>
  <c r="J13379" i="1"/>
  <c r="J13378" i="1"/>
  <c r="J13377" i="1"/>
  <c r="J13376" i="1"/>
  <c r="J13375" i="1"/>
  <c r="J13374" i="1"/>
  <c r="J13373" i="1"/>
  <c r="J13372" i="1"/>
  <c r="J13371" i="1"/>
  <c r="J13370" i="1"/>
  <c r="J13369" i="1"/>
  <c r="J13368" i="1"/>
  <c r="J13367" i="1"/>
  <c r="J13366" i="1"/>
  <c r="J13365" i="1"/>
  <c r="J13364" i="1"/>
  <c r="J13363" i="1"/>
  <c r="J13362" i="1"/>
  <c r="J13361" i="1"/>
  <c r="J13360" i="1"/>
  <c r="J13359" i="1"/>
  <c r="J13358" i="1"/>
  <c r="J13357" i="1"/>
  <c r="J13356" i="1"/>
  <c r="J13355" i="1"/>
  <c r="J13354" i="1"/>
  <c r="J13353" i="1"/>
  <c r="J13352" i="1"/>
  <c r="J13351" i="1"/>
  <c r="J13350" i="1"/>
  <c r="J13349" i="1"/>
  <c r="J13348" i="1"/>
  <c r="J13347" i="1"/>
  <c r="J13346" i="1"/>
  <c r="J13345" i="1"/>
  <c r="J13344" i="1"/>
  <c r="J13343" i="1"/>
  <c r="J13342" i="1"/>
  <c r="J13341" i="1"/>
  <c r="J13340" i="1"/>
  <c r="J13339" i="1"/>
  <c r="J13338" i="1"/>
  <c r="J13337" i="1"/>
  <c r="J13336" i="1"/>
  <c r="J13335" i="1"/>
  <c r="J13334" i="1"/>
  <c r="J13333" i="1"/>
  <c r="J13332" i="1"/>
  <c r="J13331" i="1"/>
  <c r="J13330" i="1"/>
  <c r="J13329" i="1"/>
  <c r="J13328" i="1"/>
  <c r="J13327" i="1"/>
  <c r="J13326" i="1"/>
  <c r="J13325" i="1"/>
  <c r="J13324" i="1"/>
  <c r="J13323" i="1"/>
  <c r="J13322" i="1"/>
  <c r="J13321" i="1"/>
  <c r="J13320" i="1"/>
  <c r="J13319" i="1"/>
  <c r="J13318" i="1"/>
  <c r="J13317" i="1"/>
  <c r="J13316" i="1"/>
  <c r="J13315" i="1"/>
  <c r="J13314" i="1"/>
  <c r="J13313" i="1"/>
  <c r="J13312" i="1"/>
  <c r="J13311" i="1"/>
  <c r="J13310" i="1"/>
  <c r="J13309" i="1"/>
  <c r="J13308" i="1"/>
  <c r="J13307" i="1"/>
  <c r="J13306" i="1"/>
  <c r="J13305" i="1"/>
  <c r="J13304" i="1"/>
  <c r="J13303" i="1"/>
  <c r="J13302" i="1"/>
  <c r="J13301" i="1"/>
  <c r="J13300" i="1"/>
  <c r="J13299" i="1"/>
  <c r="J13298" i="1"/>
  <c r="J13297" i="1"/>
  <c r="J13296" i="1"/>
  <c r="J13295" i="1"/>
  <c r="J13294" i="1"/>
  <c r="J13293" i="1"/>
  <c r="J13292" i="1"/>
  <c r="J13291" i="1"/>
  <c r="J13290" i="1"/>
  <c r="J13289" i="1"/>
  <c r="J13288" i="1"/>
  <c r="J13287" i="1"/>
  <c r="J13286" i="1"/>
  <c r="J13285" i="1"/>
  <c r="J13284" i="1"/>
  <c r="J13283" i="1"/>
  <c r="J13282" i="1"/>
  <c r="J13281" i="1"/>
  <c r="J13280" i="1"/>
  <c r="J13279" i="1"/>
  <c r="J13278" i="1"/>
  <c r="J13277" i="1"/>
  <c r="J13276" i="1"/>
  <c r="J13275" i="1"/>
  <c r="J13274" i="1"/>
  <c r="J13273" i="1"/>
  <c r="J13272" i="1"/>
  <c r="J13271" i="1"/>
  <c r="J13270" i="1"/>
  <c r="J13269" i="1"/>
  <c r="J13268" i="1"/>
  <c r="J13267" i="1"/>
  <c r="J13266" i="1"/>
  <c r="J13265" i="1"/>
  <c r="J13264" i="1"/>
  <c r="J13263" i="1"/>
  <c r="J13262" i="1"/>
  <c r="J13261" i="1"/>
  <c r="J13260" i="1"/>
  <c r="J13259" i="1"/>
  <c r="J13258" i="1"/>
  <c r="J13257" i="1"/>
  <c r="J13256" i="1"/>
  <c r="J13255" i="1"/>
  <c r="J13254" i="1"/>
  <c r="J13253" i="1"/>
  <c r="J13252" i="1"/>
  <c r="J13251" i="1"/>
  <c r="J13250" i="1"/>
  <c r="J13249" i="1"/>
  <c r="J13248" i="1"/>
  <c r="J13247" i="1"/>
  <c r="J13246" i="1"/>
  <c r="J13245" i="1"/>
  <c r="J13244" i="1"/>
  <c r="J13243" i="1"/>
  <c r="J13242" i="1"/>
  <c r="J13241" i="1"/>
  <c r="J13240" i="1"/>
  <c r="J13239" i="1"/>
  <c r="J13238" i="1"/>
  <c r="J13237" i="1"/>
  <c r="J13236" i="1"/>
  <c r="J13235" i="1"/>
  <c r="J13234" i="1"/>
  <c r="J13233" i="1"/>
  <c r="J13232" i="1"/>
  <c r="J13231" i="1"/>
  <c r="J13230" i="1"/>
  <c r="J13229" i="1"/>
  <c r="J13228" i="1"/>
  <c r="J13227" i="1"/>
  <c r="J13226" i="1"/>
  <c r="J13225" i="1"/>
  <c r="J13224" i="1"/>
  <c r="J13223" i="1"/>
  <c r="J13222" i="1"/>
  <c r="J13221" i="1"/>
  <c r="J13220" i="1"/>
  <c r="J13219" i="1"/>
  <c r="J13218" i="1"/>
  <c r="J13217" i="1"/>
  <c r="J13216" i="1"/>
  <c r="J13215" i="1"/>
  <c r="J13214" i="1"/>
  <c r="J13213" i="1"/>
  <c r="J13212" i="1"/>
  <c r="J13211" i="1"/>
  <c r="J13210" i="1"/>
  <c r="J13209" i="1"/>
  <c r="J13208" i="1"/>
  <c r="J13207" i="1"/>
  <c r="J13206" i="1"/>
  <c r="J13205" i="1"/>
  <c r="J13204" i="1"/>
  <c r="J13203" i="1"/>
  <c r="J13202" i="1"/>
  <c r="J13201" i="1"/>
  <c r="J13200" i="1"/>
  <c r="J13199" i="1"/>
  <c r="J13198" i="1"/>
  <c r="J13197" i="1"/>
  <c r="J13196" i="1"/>
  <c r="J13195" i="1"/>
  <c r="J13194" i="1"/>
  <c r="J13193" i="1"/>
  <c r="J13192" i="1"/>
  <c r="J13191" i="1"/>
  <c r="J13190" i="1"/>
  <c r="J13189" i="1"/>
  <c r="J13188" i="1"/>
  <c r="J13187" i="1"/>
  <c r="J13186" i="1"/>
  <c r="J13185" i="1"/>
  <c r="J13184" i="1"/>
  <c r="J13183" i="1"/>
  <c r="J13182" i="1"/>
  <c r="J13181" i="1"/>
  <c r="J13180" i="1"/>
  <c r="J13179" i="1"/>
  <c r="J13178" i="1"/>
  <c r="J13177" i="1"/>
  <c r="J13176" i="1"/>
  <c r="J13175" i="1"/>
  <c r="J13174" i="1"/>
  <c r="J13173" i="1"/>
  <c r="J13172" i="1"/>
  <c r="J13171" i="1"/>
  <c r="J13170" i="1"/>
  <c r="J13169" i="1"/>
  <c r="J13168" i="1"/>
  <c r="J13167" i="1"/>
  <c r="J13166" i="1"/>
  <c r="J13165" i="1"/>
  <c r="J13164" i="1"/>
  <c r="J13163" i="1"/>
  <c r="J13162" i="1"/>
  <c r="J13161" i="1"/>
  <c r="J13160" i="1"/>
  <c r="J13159" i="1"/>
  <c r="J13158" i="1"/>
  <c r="J13157" i="1"/>
  <c r="J13156" i="1"/>
  <c r="J13155" i="1"/>
  <c r="J13154" i="1"/>
  <c r="J13153" i="1"/>
  <c r="J13152" i="1"/>
  <c r="J13151" i="1"/>
  <c r="J13150" i="1"/>
  <c r="J13149" i="1"/>
  <c r="J13148" i="1"/>
  <c r="J13147" i="1"/>
  <c r="J13146" i="1"/>
  <c r="J13145" i="1"/>
  <c r="J13144" i="1"/>
  <c r="J13143" i="1"/>
  <c r="J13142" i="1"/>
  <c r="J13141" i="1"/>
  <c r="J13140" i="1"/>
  <c r="J13139" i="1"/>
  <c r="J13138" i="1"/>
  <c r="J13137" i="1"/>
  <c r="J13136" i="1"/>
  <c r="J13135" i="1"/>
  <c r="J13134" i="1"/>
  <c r="J13133" i="1"/>
  <c r="J13132" i="1"/>
  <c r="J13131" i="1"/>
  <c r="J13130" i="1"/>
  <c r="J13129" i="1"/>
  <c r="J13128" i="1"/>
  <c r="J13127" i="1"/>
  <c r="J13126" i="1"/>
  <c r="J13125" i="1"/>
  <c r="J13124" i="1"/>
  <c r="J13123" i="1"/>
  <c r="J13122" i="1"/>
  <c r="J13121" i="1"/>
  <c r="J13120" i="1"/>
  <c r="J13119" i="1"/>
  <c r="J13118" i="1"/>
  <c r="J13117" i="1"/>
  <c r="J13116" i="1"/>
  <c r="J13115" i="1"/>
  <c r="J13114" i="1"/>
  <c r="J13113" i="1"/>
  <c r="J13112" i="1"/>
  <c r="J13111" i="1"/>
  <c r="J13110" i="1"/>
  <c r="J13109" i="1"/>
  <c r="J13108" i="1"/>
  <c r="J13107" i="1"/>
  <c r="J13106" i="1"/>
  <c r="J13105" i="1"/>
  <c r="J13104" i="1"/>
  <c r="J13103" i="1"/>
  <c r="J13102" i="1"/>
  <c r="J13101" i="1"/>
  <c r="J13100" i="1"/>
  <c r="J13099" i="1"/>
  <c r="J13098" i="1"/>
  <c r="J13097" i="1"/>
  <c r="J13096" i="1"/>
  <c r="J13095" i="1"/>
  <c r="J13094" i="1"/>
  <c r="J13093" i="1"/>
  <c r="J13092" i="1"/>
  <c r="J13091" i="1"/>
  <c r="J13090" i="1"/>
  <c r="J13089" i="1"/>
  <c r="J13088" i="1"/>
  <c r="J13087" i="1"/>
  <c r="J13086" i="1"/>
  <c r="J13085" i="1"/>
  <c r="J13084" i="1"/>
  <c r="J13083" i="1"/>
  <c r="J13082" i="1"/>
  <c r="J13081" i="1"/>
  <c r="J13080" i="1"/>
  <c r="J13079" i="1"/>
  <c r="J13078" i="1"/>
  <c r="J13077" i="1"/>
  <c r="J13076" i="1"/>
  <c r="J13075" i="1"/>
  <c r="J13074" i="1"/>
  <c r="J13073" i="1"/>
  <c r="J13072" i="1"/>
  <c r="J13071" i="1"/>
  <c r="J13070" i="1"/>
  <c r="J13069" i="1"/>
  <c r="J13068" i="1"/>
  <c r="J13067" i="1"/>
  <c r="J13066" i="1"/>
  <c r="J13065" i="1"/>
  <c r="J13064" i="1"/>
  <c r="J13063" i="1"/>
  <c r="J13062" i="1"/>
  <c r="J13061" i="1"/>
  <c r="J13060" i="1"/>
  <c r="J13059" i="1"/>
  <c r="J13058" i="1"/>
  <c r="J13057" i="1"/>
  <c r="J13056" i="1"/>
  <c r="J13055" i="1"/>
  <c r="J13054" i="1"/>
  <c r="J13053" i="1"/>
  <c r="J13052" i="1"/>
  <c r="J13051" i="1"/>
  <c r="J13050" i="1"/>
  <c r="J13049" i="1"/>
  <c r="J13048" i="1"/>
  <c r="J13047" i="1"/>
  <c r="J13046" i="1"/>
  <c r="J13045" i="1"/>
  <c r="J13044" i="1"/>
  <c r="J13043" i="1"/>
  <c r="J13042" i="1"/>
  <c r="J13041" i="1"/>
  <c r="J13040" i="1"/>
  <c r="J13039" i="1"/>
  <c r="J13038" i="1"/>
  <c r="J13037" i="1"/>
  <c r="J13036" i="1"/>
  <c r="J13035" i="1"/>
  <c r="J13034" i="1"/>
  <c r="J13033" i="1"/>
  <c r="J13032" i="1"/>
  <c r="J13031" i="1"/>
  <c r="J13030" i="1"/>
  <c r="J13029" i="1"/>
  <c r="J13028" i="1"/>
  <c r="J13027" i="1"/>
  <c r="J13026" i="1"/>
  <c r="J13025" i="1"/>
  <c r="J13024" i="1"/>
  <c r="J13023" i="1"/>
  <c r="J13022" i="1"/>
  <c r="J13021" i="1"/>
  <c r="J13020" i="1"/>
  <c r="J13019" i="1"/>
  <c r="J13018" i="1"/>
  <c r="J13017" i="1"/>
  <c r="J13016" i="1"/>
  <c r="J13015" i="1"/>
  <c r="J13014" i="1"/>
  <c r="J13013" i="1"/>
  <c r="J13012" i="1"/>
  <c r="J13011" i="1"/>
  <c r="J13010" i="1"/>
  <c r="J13009" i="1"/>
  <c r="J13008" i="1"/>
  <c r="J13007" i="1"/>
  <c r="J13006" i="1"/>
  <c r="J13005" i="1"/>
  <c r="J13004" i="1"/>
  <c r="J13003" i="1"/>
  <c r="J13002" i="1"/>
  <c r="J13001" i="1"/>
  <c r="J13000" i="1"/>
  <c r="J12999" i="1"/>
  <c r="J12998" i="1"/>
  <c r="J12997" i="1"/>
  <c r="J12996" i="1"/>
  <c r="J12995" i="1"/>
  <c r="J12994" i="1"/>
  <c r="J12993" i="1"/>
  <c r="J12992" i="1"/>
  <c r="J12991" i="1"/>
  <c r="J12990" i="1"/>
  <c r="J12989" i="1"/>
  <c r="J12988" i="1"/>
  <c r="J12987" i="1"/>
  <c r="J12986" i="1"/>
  <c r="J12985" i="1"/>
  <c r="J12984" i="1"/>
  <c r="J12983" i="1"/>
  <c r="J12982" i="1"/>
  <c r="J12981" i="1"/>
  <c r="J12980" i="1"/>
  <c r="J12979" i="1"/>
  <c r="J12978" i="1"/>
  <c r="J12977" i="1"/>
  <c r="J12976" i="1"/>
  <c r="J12975" i="1"/>
  <c r="J12974" i="1"/>
  <c r="J12973" i="1"/>
  <c r="J12972" i="1"/>
  <c r="J12971" i="1"/>
  <c r="J12970" i="1"/>
  <c r="J12969" i="1"/>
  <c r="J12968" i="1"/>
  <c r="J12967" i="1"/>
  <c r="J12966" i="1"/>
  <c r="J12965" i="1"/>
  <c r="J12964" i="1"/>
  <c r="J12963" i="1"/>
  <c r="J12962" i="1"/>
  <c r="J12961" i="1"/>
  <c r="J12960" i="1"/>
  <c r="J12959" i="1"/>
  <c r="J12958" i="1"/>
  <c r="J12957" i="1"/>
  <c r="J12956" i="1"/>
  <c r="J12955" i="1"/>
  <c r="J12954" i="1"/>
  <c r="J12953" i="1"/>
  <c r="J12952" i="1"/>
  <c r="J12951" i="1"/>
  <c r="J12950" i="1"/>
  <c r="J12949" i="1"/>
  <c r="J12948" i="1"/>
  <c r="J12947" i="1"/>
  <c r="J12946" i="1"/>
  <c r="J12945" i="1"/>
  <c r="J12944" i="1"/>
  <c r="J12943" i="1"/>
  <c r="J12942" i="1"/>
  <c r="J12941" i="1"/>
  <c r="J12940" i="1"/>
  <c r="J12939" i="1"/>
  <c r="J12938" i="1"/>
  <c r="J12937" i="1"/>
  <c r="J12936" i="1"/>
  <c r="J12935" i="1"/>
  <c r="J12934" i="1"/>
  <c r="J12933" i="1"/>
  <c r="J12932" i="1"/>
  <c r="J12931" i="1"/>
  <c r="J12930" i="1"/>
  <c r="J12929" i="1"/>
  <c r="J12928" i="1"/>
  <c r="J12927" i="1"/>
  <c r="J12926" i="1"/>
  <c r="J12925" i="1"/>
  <c r="J12924" i="1"/>
  <c r="J12923" i="1"/>
  <c r="J12922" i="1"/>
  <c r="J12921" i="1"/>
  <c r="J12920" i="1"/>
  <c r="J12919" i="1"/>
  <c r="J12918" i="1"/>
  <c r="J12917" i="1"/>
  <c r="J12916" i="1"/>
  <c r="J12915" i="1"/>
  <c r="J12914" i="1"/>
  <c r="J12913" i="1"/>
  <c r="J12912" i="1"/>
  <c r="J12911" i="1"/>
  <c r="J12910" i="1"/>
  <c r="J12909" i="1"/>
  <c r="J12908" i="1"/>
  <c r="J12907" i="1"/>
  <c r="J12906" i="1"/>
  <c r="J12905" i="1"/>
  <c r="J12904" i="1"/>
  <c r="J12903" i="1"/>
  <c r="J12902" i="1"/>
  <c r="J12901" i="1"/>
  <c r="J12900" i="1"/>
  <c r="J12899" i="1"/>
  <c r="J12898" i="1"/>
  <c r="J12897" i="1"/>
  <c r="J12896" i="1"/>
  <c r="J12895" i="1"/>
  <c r="J12894" i="1"/>
  <c r="J12893" i="1"/>
  <c r="J12892" i="1"/>
  <c r="J12891" i="1"/>
  <c r="J12890" i="1"/>
  <c r="J12889" i="1"/>
  <c r="J12888" i="1"/>
  <c r="J12887" i="1"/>
  <c r="J12886" i="1"/>
  <c r="J12885" i="1"/>
  <c r="J12884" i="1"/>
  <c r="J12883" i="1"/>
  <c r="J12882" i="1"/>
  <c r="J12881" i="1"/>
  <c r="J12880" i="1"/>
  <c r="J12879" i="1"/>
  <c r="J12878" i="1"/>
  <c r="J12877" i="1"/>
  <c r="J12876" i="1"/>
  <c r="J12875" i="1"/>
  <c r="J12874" i="1"/>
  <c r="J12873" i="1"/>
  <c r="J12872" i="1"/>
  <c r="J12871" i="1"/>
  <c r="J12870" i="1"/>
  <c r="J12869" i="1"/>
  <c r="J12868" i="1"/>
  <c r="J12867" i="1"/>
  <c r="J12866" i="1"/>
  <c r="J12865" i="1"/>
  <c r="J12864" i="1"/>
  <c r="J12863" i="1"/>
  <c r="J12862" i="1"/>
  <c r="J12861" i="1"/>
  <c r="J12860" i="1"/>
  <c r="J12859" i="1"/>
  <c r="J12858" i="1"/>
  <c r="J12857" i="1"/>
  <c r="J12856" i="1"/>
  <c r="J12855" i="1"/>
  <c r="J12854" i="1"/>
  <c r="J12853" i="1"/>
  <c r="J12852" i="1"/>
  <c r="J12851" i="1"/>
  <c r="J12850" i="1"/>
  <c r="J12849" i="1"/>
  <c r="J12848" i="1"/>
  <c r="J12847" i="1"/>
  <c r="J12846" i="1"/>
  <c r="J12845" i="1"/>
  <c r="J12844" i="1"/>
  <c r="J12843" i="1"/>
  <c r="J12842" i="1"/>
  <c r="J12841" i="1"/>
  <c r="J12840" i="1"/>
  <c r="J12839" i="1"/>
  <c r="J12838" i="1"/>
  <c r="J12837" i="1"/>
  <c r="J12836" i="1"/>
  <c r="J12835" i="1"/>
  <c r="J12834" i="1"/>
  <c r="J12833" i="1"/>
  <c r="J12832" i="1"/>
  <c r="J12831" i="1"/>
  <c r="J12830" i="1"/>
  <c r="J12829" i="1"/>
  <c r="J12828" i="1"/>
  <c r="J12827" i="1"/>
  <c r="J12826" i="1"/>
  <c r="J12825" i="1"/>
  <c r="J12824" i="1"/>
  <c r="J12823" i="1"/>
  <c r="J12822" i="1"/>
  <c r="J12821" i="1"/>
  <c r="J12820" i="1"/>
  <c r="J12819" i="1"/>
  <c r="J12818" i="1"/>
  <c r="J12817" i="1"/>
  <c r="J12816" i="1"/>
  <c r="J12815" i="1"/>
  <c r="J12814" i="1"/>
  <c r="J12813" i="1"/>
  <c r="J12812" i="1"/>
  <c r="J12811" i="1"/>
  <c r="J12810" i="1"/>
  <c r="J12809" i="1"/>
  <c r="J12808" i="1"/>
  <c r="J12807" i="1"/>
  <c r="J12806" i="1"/>
  <c r="J12805" i="1"/>
  <c r="J12804" i="1"/>
  <c r="J12803" i="1"/>
  <c r="J12802" i="1"/>
  <c r="J12801" i="1"/>
  <c r="J12800" i="1"/>
  <c r="J12799" i="1"/>
  <c r="J12798" i="1"/>
  <c r="J12797" i="1"/>
  <c r="J12796" i="1"/>
  <c r="J12795" i="1"/>
  <c r="J12794" i="1"/>
  <c r="J12793" i="1"/>
  <c r="J12792" i="1"/>
  <c r="J12791" i="1"/>
  <c r="J12790" i="1"/>
  <c r="J12789" i="1"/>
  <c r="J12788" i="1"/>
  <c r="J12787" i="1"/>
  <c r="J12786" i="1"/>
  <c r="J12785" i="1"/>
  <c r="J12784" i="1"/>
  <c r="J12783" i="1"/>
  <c r="J12782" i="1"/>
  <c r="J12781" i="1"/>
  <c r="J12780" i="1"/>
  <c r="J12779" i="1"/>
  <c r="J12778" i="1"/>
  <c r="J12777" i="1"/>
  <c r="J12776" i="1"/>
  <c r="J12775" i="1"/>
  <c r="J12774" i="1"/>
  <c r="J12773" i="1"/>
  <c r="J12772" i="1"/>
  <c r="J12771" i="1"/>
  <c r="J12770" i="1"/>
  <c r="J12769" i="1"/>
  <c r="J12768" i="1"/>
  <c r="J12767" i="1"/>
  <c r="J12766" i="1"/>
  <c r="J12765" i="1"/>
  <c r="J12764" i="1"/>
  <c r="J12763" i="1"/>
  <c r="J12762" i="1"/>
  <c r="J12761" i="1"/>
  <c r="J12760" i="1"/>
  <c r="J12759" i="1"/>
  <c r="J12758" i="1"/>
  <c r="J12757" i="1"/>
  <c r="J12756" i="1"/>
  <c r="J12755" i="1"/>
  <c r="J12754" i="1"/>
  <c r="J12753" i="1"/>
  <c r="J12752" i="1"/>
  <c r="J12751" i="1"/>
  <c r="J12750" i="1"/>
  <c r="J12749" i="1"/>
  <c r="J12748" i="1"/>
  <c r="J12747" i="1"/>
  <c r="J12746" i="1"/>
  <c r="J12745" i="1"/>
  <c r="J12744" i="1"/>
  <c r="J12743" i="1"/>
  <c r="J12742" i="1"/>
  <c r="J12741" i="1"/>
  <c r="J12740" i="1"/>
  <c r="J12739" i="1"/>
  <c r="J12738" i="1"/>
  <c r="J12737" i="1"/>
  <c r="J12736" i="1"/>
  <c r="J12735" i="1"/>
  <c r="J12734" i="1"/>
  <c r="J12733" i="1"/>
  <c r="J12732" i="1"/>
  <c r="J12731" i="1"/>
  <c r="J12730" i="1"/>
  <c r="J12729" i="1"/>
  <c r="J12728" i="1"/>
  <c r="J12727" i="1"/>
  <c r="J12726" i="1"/>
  <c r="J12725" i="1"/>
  <c r="J12724" i="1"/>
  <c r="J12723" i="1"/>
  <c r="J12722" i="1"/>
  <c r="J12721" i="1"/>
  <c r="J12720" i="1"/>
  <c r="J12719" i="1"/>
  <c r="J12718" i="1"/>
  <c r="J12717" i="1"/>
  <c r="J12716" i="1"/>
  <c r="J12715" i="1"/>
  <c r="J12714" i="1"/>
  <c r="J12713" i="1"/>
  <c r="J12712" i="1"/>
  <c r="J12711" i="1"/>
  <c r="J12710" i="1"/>
  <c r="J12709" i="1"/>
  <c r="J12708" i="1"/>
  <c r="J12707" i="1"/>
  <c r="J12706" i="1"/>
  <c r="J12705" i="1"/>
  <c r="J12704" i="1"/>
  <c r="J12703" i="1"/>
  <c r="J12702" i="1"/>
  <c r="J12701" i="1"/>
  <c r="J12700" i="1"/>
  <c r="J12699" i="1"/>
  <c r="J12698" i="1"/>
  <c r="J12697" i="1"/>
  <c r="J12696" i="1"/>
  <c r="J12695" i="1"/>
  <c r="J12694" i="1"/>
  <c r="J12693" i="1"/>
  <c r="J12692" i="1"/>
  <c r="J12691" i="1"/>
  <c r="J12690" i="1"/>
  <c r="J12689" i="1"/>
  <c r="J12688" i="1"/>
  <c r="J12687" i="1"/>
  <c r="J12686" i="1"/>
  <c r="J12685" i="1"/>
  <c r="J12684" i="1"/>
  <c r="J12683" i="1"/>
  <c r="J12682" i="1"/>
  <c r="J12681" i="1"/>
  <c r="J12680" i="1"/>
  <c r="J12679" i="1"/>
  <c r="J12678" i="1"/>
  <c r="J12677" i="1"/>
  <c r="J12676" i="1"/>
  <c r="J12675" i="1"/>
  <c r="J12674" i="1"/>
  <c r="J12673" i="1"/>
  <c r="J12672" i="1"/>
  <c r="J12671" i="1"/>
  <c r="J12670" i="1"/>
  <c r="J12669" i="1"/>
  <c r="J12668" i="1"/>
  <c r="J12667" i="1"/>
  <c r="J12666" i="1"/>
  <c r="J12665" i="1"/>
  <c r="J12664" i="1"/>
  <c r="J12663" i="1"/>
  <c r="J12662" i="1"/>
  <c r="J12661" i="1"/>
  <c r="J12660" i="1"/>
  <c r="J12659" i="1"/>
  <c r="J12658" i="1"/>
  <c r="J12657" i="1"/>
  <c r="J12656" i="1"/>
  <c r="J12655" i="1"/>
  <c r="J12654" i="1"/>
  <c r="J12653" i="1"/>
  <c r="J12652" i="1"/>
  <c r="J12651" i="1"/>
  <c r="J12650" i="1"/>
  <c r="J12649" i="1"/>
  <c r="J12648" i="1"/>
  <c r="J12647" i="1"/>
  <c r="J12646" i="1"/>
  <c r="J12645" i="1"/>
  <c r="J12644" i="1"/>
  <c r="J12643" i="1"/>
  <c r="J12642" i="1"/>
  <c r="J12641" i="1"/>
  <c r="J12640" i="1"/>
  <c r="J12639" i="1"/>
  <c r="J12638" i="1"/>
  <c r="J12637" i="1"/>
  <c r="J12636" i="1"/>
  <c r="J12635" i="1"/>
  <c r="J12634" i="1"/>
  <c r="J12633" i="1"/>
  <c r="J12632" i="1"/>
  <c r="J12631" i="1"/>
  <c r="J12630" i="1"/>
  <c r="J12629" i="1"/>
  <c r="J12628" i="1"/>
  <c r="J12627" i="1"/>
  <c r="J12626" i="1"/>
  <c r="J12625" i="1"/>
  <c r="J12624" i="1"/>
  <c r="J12623" i="1"/>
  <c r="J12622" i="1"/>
  <c r="J12621" i="1"/>
  <c r="J12620" i="1"/>
  <c r="J12619" i="1"/>
  <c r="J12618" i="1"/>
  <c r="J12617" i="1"/>
  <c r="J12616" i="1"/>
  <c r="J12615" i="1"/>
  <c r="J12614" i="1"/>
  <c r="J12613" i="1"/>
  <c r="J12612" i="1"/>
  <c r="J12611" i="1"/>
  <c r="J12610" i="1"/>
  <c r="J12609" i="1"/>
  <c r="J12608" i="1"/>
  <c r="J12607" i="1"/>
  <c r="J12606" i="1"/>
  <c r="J12605" i="1"/>
  <c r="J12604" i="1"/>
  <c r="J12603" i="1"/>
  <c r="J12602" i="1"/>
  <c r="J12601" i="1"/>
  <c r="J12600" i="1"/>
  <c r="J12599" i="1"/>
  <c r="J12598" i="1"/>
  <c r="J12597" i="1"/>
  <c r="J12596" i="1"/>
  <c r="J12595" i="1"/>
  <c r="J12594" i="1"/>
  <c r="J12593" i="1"/>
  <c r="J12592" i="1"/>
  <c r="J12591" i="1"/>
  <c r="J12590" i="1"/>
  <c r="J12589" i="1"/>
  <c r="J12588" i="1"/>
  <c r="J12587" i="1"/>
  <c r="J12586" i="1"/>
  <c r="J12585" i="1"/>
  <c r="J12584" i="1"/>
  <c r="J12583" i="1"/>
  <c r="J12582" i="1"/>
  <c r="J12581" i="1"/>
  <c r="J12580" i="1"/>
  <c r="J12579" i="1"/>
  <c r="J12578" i="1"/>
  <c r="J12577" i="1"/>
  <c r="J12576" i="1"/>
  <c r="J12575" i="1"/>
  <c r="J12574" i="1"/>
  <c r="J12573" i="1"/>
  <c r="J12572" i="1"/>
  <c r="J12571" i="1"/>
  <c r="J12570" i="1"/>
  <c r="J12569" i="1"/>
  <c r="J12568" i="1"/>
  <c r="J12567" i="1"/>
  <c r="J12566" i="1"/>
  <c r="J12565" i="1"/>
  <c r="J12564" i="1"/>
  <c r="J12563" i="1"/>
  <c r="J12562" i="1"/>
  <c r="J12561" i="1"/>
  <c r="J12560" i="1"/>
  <c r="J12559" i="1"/>
  <c r="J12558" i="1"/>
  <c r="J12557" i="1"/>
  <c r="J12556" i="1"/>
  <c r="J12555" i="1"/>
  <c r="J12554" i="1"/>
  <c r="J12553" i="1"/>
  <c r="J12552" i="1"/>
  <c r="J12551" i="1"/>
  <c r="J12550" i="1"/>
  <c r="J12549" i="1"/>
  <c r="J12548" i="1"/>
  <c r="J12547" i="1"/>
  <c r="J12546" i="1"/>
  <c r="J12545" i="1"/>
  <c r="J12544" i="1"/>
  <c r="J12543" i="1"/>
  <c r="J12542" i="1"/>
  <c r="J12541" i="1"/>
  <c r="J12540" i="1"/>
  <c r="J12539" i="1"/>
  <c r="J12538" i="1"/>
  <c r="J12537" i="1"/>
  <c r="J12536" i="1"/>
  <c r="J12535" i="1"/>
  <c r="J12534" i="1"/>
  <c r="J12533" i="1"/>
  <c r="J12532" i="1"/>
  <c r="J12531" i="1"/>
  <c r="J12530" i="1"/>
  <c r="J12529" i="1"/>
  <c r="J12528" i="1"/>
  <c r="J12527" i="1"/>
  <c r="J12526" i="1"/>
  <c r="J12525" i="1"/>
  <c r="J12524" i="1"/>
  <c r="J12523" i="1"/>
  <c r="J12522" i="1"/>
  <c r="J12521" i="1"/>
  <c r="J12520" i="1"/>
  <c r="J12519" i="1"/>
  <c r="J12518" i="1"/>
  <c r="J12517" i="1"/>
  <c r="J12516" i="1"/>
  <c r="J12515" i="1"/>
  <c r="J12514" i="1"/>
  <c r="J12513" i="1"/>
  <c r="J12512" i="1"/>
  <c r="J12511" i="1"/>
  <c r="J12510" i="1"/>
  <c r="J12509" i="1"/>
  <c r="J12508" i="1"/>
  <c r="J12507" i="1"/>
  <c r="J12506" i="1"/>
  <c r="J12505" i="1"/>
  <c r="J12504" i="1"/>
  <c r="J12503" i="1"/>
  <c r="J12502" i="1"/>
  <c r="J12501" i="1"/>
  <c r="J12500" i="1"/>
  <c r="J12499" i="1"/>
  <c r="J12498" i="1"/>
  <c r="J12497" i="1"/>
  <c r="J12496" i="1"/>
  <c r="J12495" i="1"/>
  <c r="J12494" i="1"/>
  <c r="J12493" i="1"/>
  <c r="J12492" i="1"/>
  <c r="J12491" i="1"/>
  <c r="J12490" i="1"/>
  <c r="J12489" i="1"/>
  <c r="J12488" i="1"/>
  <c r="J12487" i="1"/>
  <c r="J12486" i="1"/>
  <c r="J12485" i="1"/>
  <c r="J12484" i="1"/>
  <c r="J12483" i="1"/>
  <c r="J12482" i="1"/>
  <c r="J12481" i="1"/>
  <c r="J12480" i="1"/>
  <c r="J12479" i="1"/>
  <c r="J12478" i="1"/>
  <c r="J12477" i="1"/>
  <c r="J12476" i="1"/>
  <c r="J12475" i="1"/>
  <c r="J12474" i="1"/>
  <c r="J12473" i="1"/>
  <c r="J12472" i="1"/>
  <c r="J12471" i="1"/>
  <c r="J12470" i="1"/>
  <c r="J12469" i="1"/>
  <c r="J12468" i="1"/>
  <c r="J12467" i="1"/>
  <c r="J12466" i="1"/>
  <c r="J12465" i="1"/>
  <c r="J12464" i="1"/>
  <c r="J12463" i="1"/>
  <c r="J12462" i="1"/>
  <c r="J12461" i="1"/>
  <c r="J12460" i="1"/>
  <c r="J12459" i="1"/>
  <c r="J12458" i="1"/>
  <c r="J12457" i="1"/>
  <c r="J12456" i="1"/>
  <c r="J12455" i="1"/>
  <c r="J12454" i="1"/>
  <c r="J12453" i="1"/>
  <c r="J12452" i="1"/>
  <c r="J12451" i="1"/>
  <c r="J12450" i="1"/>
  <c r="J12449" i="1"/>
  <c r="J12448" i="1"/>
  <c r="J12447" i="1"/>
  <c r="J12446" i="1"/>
  <c r="J12445" i="1"/>
  <c r="J12444" i="1"/>
  <c r="J12443" i="1"/>
  <c r="J12442" i="1"/>
  <c r="J12441" i="1"/>
  <c r="J12440" i="1"/>
  <c r="J12439" i="1"/>
  <c r="J12438" i="1"/>
  <c r="J12437" i="1"/>
  <c r="J12436" i="1"/>
  <c r="J12435" i="1"/>
  <c r="J12434" i="1"/>
  <c r="J12433" i="1"/>
  <c r="J12432" i="1"/>
  <c r="J12431" i="1"/>
  <c r="J12430" i="1"/>
  <c r="J12429" i="1"/>
  <c r="J12428" i="1"/>
  <c r="J12427" i="1"/>
  <c r="J12426" i="1"/>
  <c r="J12425" i="1"/>
  <c r="J12424" i="1"/>
  <c r="J12423" i="1"/>
  <c r="J12422" i="1"/>
  <c r="J12421" i="1"/>
  <c r="J12420" i="1"/>
  <c r="J12419" i="1"/>
  <c r="J12418" i="1"/>
  <c r="J12417" i="1"/>
  <c r="J12416" i="1"/>
  <c r="J12415" i="1"/>
  <c r="J12414" i="1"/>
  <c r="J12413" i="1"/>
  <c r="J12412" i="1"/>
  <c r="J12411" i="1"/>
  <c r="J12410" i="1"/>
  <c r="J12409" i="1"/>
  <c r="J12408" i="1"/>
  <c r="J12407" i="1"/>
  <c r="J12406" i="1"/>
  <c r="J12405" i="1"/>
  <c r="J12404" i="1"/>
  <c r="J12403" i="1"/>
  <c r="J12402" i="1"/>
  <c r="J12401" i="1"/>
  <c r="J12400" i="1"/>
  <c r="J12399" i="1"/>
  <c r="J12398" i="1"/>
  <c r="J12397" i="1"/>
  <c r="J12396" i="1"/>
  <c r="J12395" i="1"/>
  <c r="J12394" i="1"/>
  <c r="J12393" i="1"/>
  <c r="J12392" i="1"/>
  <c r="J12391" i="1"/>
  <c r="J12390" i="1"/>
  <c r="J12389" i="1"/>
  <c r="J12388" i="1"/>
  <c r="J12387" i="1"/>
  <c r="J12386" i="1"/>
  <c r="J12385" i="1"/>
  <c r="J12384" i="1"/>
  <c r="J12383" i="1"/>
  <c r="J12382" i="1"/>
  <c r="J12381" i="1"/>
  <c r="J12380" i="1"/>
  <c r="J12379" i="1"/>
  <c r="J12378" i="1"/>
  <c r="J12377" i="1"/>
  <c r="J12376" i="1"/>
  <c r="J12375" i="1"/>
  <c r="J12374" i="1"/>
  <c r="J12373" i="1"/>
  <c r="J12372" i="1"/>
  <c r="J12371" i="1"/>
  <c r="J12370" i="1"/>
  <c r="J12369" i="1"/>
  <c r="J12368" i="1"/>
  <c r="J12367" i="1"/>
  <c r="J12366" i="1"/>
  <c r="J12365" i="1"/>
  <c r="J12364" i="1"/>
  <c r="J12363" i="1"/>
  <c r="J12362" i="1"/>
  <c r="J12361" i="1"/>
  <c r="J12360" i="1"/>
  <c r="J12359" i="1"/>
  <c r="J12358" i="1"/>
  <c r="J12357" i="1"/>
  <c r="J12356" i="1"/>
  <c r="J12355" i="1"/>
  <c r="J12354" i="1"/>
  <c r="J12353" i="1"/>
  <c r="J12352" i="1"/>
  <c r="J12351" i="1"/>
  <c r="J12350" i="1"/>
  <c r="J12349" i="1"/>
  <c r="J12348" i="1"/>
  <c r="J12347" i="1"/>
  <c r="J12346" i="1"/>
  <c r="J12345" i="1"/>
  <c r="J12344" i="1"/>
  <c r="J12343" i="1"/>
  <c r="J12342" i="1"/>
  <c r="J12341" i="1"/>
  <c r="J12340" i="1"/>
  <c r="J12339" i="1"/>
  <c r="J12338" i="1"/>
  <c r="J12337" i="1"/>
  <c r="J12336" i="1"/>
  <c r="J12335" i="1"/>
  <c r="J12334" i="1"/>
  <c r="J12333" i="1"/>
  <c r="J12332" i="1"/>
  <c r="J12331" i="1"/>
  <c r="J12330" i="1"/>
  <c r="J12329" i="1"/>
  <c r="J12328" i="1"/>
  <c r="J12327" i="1"/>
  <c r="J12326" i="1"/>
  <c r="J12325" i="1"/>
  <c r="J12324" i="1"/>
  <c r="J12323" i="1"/>
  <c r="J12322" i="1"/>
  <c r="J12321" i="1"/>
  <c r="J12320" i="1"/>
  <c r="J12319" i="1"/>
  <c r="J12318" i="1"/>
  <c r="J12317" i="1"/>
  <c r="J12316" i="1"/>
  <c r="J12315" i="1"/>
  <c r="J12314" i="1"/>
  <c r="J12313" i="1"/>
  <c r="J12312" i="1"/>
  <c r="J12311" i="1"/>
  <c r="J12310" i="1"/>
  <c r="J12309" i="1"/>
  <c r="J12308" i="1"/>
  <c r="J12307" i="1"/>
  <c r="J12306" i="1"/>
  <c r="J12305" i="1"/>
  <c r="J12304" i="1"/>
  <c r="J12303" i="1"/>
  <c r="J12302" i="1"/>
  <c r="J12301" i="1"/>
  <c r="J12300" i="1"/>
  <c r="J12299" i="1"/>
  <c r="J12298" i="1"/>
  <c r="J12297" i="1"/>
  <c r="J12296" i="1"/>
  <c r="J12295" i="1"/>
  <c r="J12294" i="1"/>
  <c r="J12293" i="1"/>
  <c r="J12292" i="1"/>
  <c r="J12291" i="1"/>
  <c r="J12290" i="1"/>
  <c r="J12289" i="1"/>
  <c r="J12288" i="1"/>
  <c r="J12287" i="1"/>
  <c r="J12286" i="1"/>
  <c r="J12285" i="1"/>
  <c r="J12284" i="1"/>
  <c r="J12283" i="1"/>
  <c r="J12282" i="1"/>
  <c r="J12281" i="1"/>
  <c r="J12280" i="1"/>
  <c r="J12279" i="1"/>
  <c r="J12278" i="1"/>
  <c r="J12277" i="1"/>
  <c r="J12276" i="1"/>
  <c r="J12275" i="1"/>
  <c r="J12274" i="1"/>
  <c r="J12273" i="1"/>
  <c r="J12272" i="1"/>
  <c r="J12271" i="1"/>
  <c r="J12270" i="1"/>
  <c r="J12269" i="1"/>
  <c r="J12268" i="1"/>
  <c r="J12267" i="1"/>
  <c r="J12266" i="1"/>
  <c r="J12265" i="1"/>
  <c r="J12264" i="1"/>
  <c r="J12263" i="1"/>
  <c r="J12262" i="1"/>
  <c r="J12261" i="1"/>
  <c r="J12260" i="1"/>
  <c r="J12259" i="1"/>
  <c r="J12258" i="1"/>
  <c r="J12257" i="1"/>
  <c r="J12256" i="1"/>
  <c r="J12255" i="1"/>
  <c r="J12254" i="1"/>
  <c r="J12253" i="1"/>
  <c r="J12252" i="1"/>
  <c r="J12251" i="1"/>
  <c r="J12250" i="1"/>
  <c r="J12249" i="1"/>
  <c r="J12248" i="1"/>
  <c r="J12247" i="1"/>
  <c r="J12246" i="1"/>
  <c r="J12245" i="1"/>
  <c r="J12244" i="1"/>
  <c r="J12243" i="1"/>
  <c r="J12242" i="1"/>
  <c r="J12241" i="1"/>
  <c r="J12240" i="1"/>
  <c r="J12239" i="1"/>
  <c r="J12238" i="1"/>
  <c r="J12237" i="1"/>
  <c r="J12236" i="1"/>
  <c r="J12235" i="1"/>
  <c r="J12234" i="1"/>
  <c r="J12233" i="1"/>
  <c r="J12232" i="1"/>
  <c r="J12231" i="1"/>
  <c r="J12230" i="1"/>
  <c r="J12229" i="1"/>
  <c r="J12228" i="1"/>
  <c r="J12227" i="1"/>
  <c r="J12226" i="1"/>
  <c r="J12225" i="1"/>
  <c r="J12224" i="1"/>
  <c r="J12223" i="1"/>
  <c r="J12222" i="1"/>
  <c r="J12221" i="1"/>
  <c r="J12220" i="1"/>
  <c r="J12219" i="1"/>
  <c r="J12218" i="1"/>
  <c r="J12217" i="1"/>
  <c r="J12216" i="1"/>
  <c r="J12215" i="1"/>
  <c r="J12214" i="1"/>
  <c r="J12213" i="1"/>
  <c r="J12212" i="1"/>
  <c r="J12211" i="1"/>
  <c r="J12210" i="1"/>
  <c r="J12209" i="1"/>
  <c r="J12208" i="1"/>
  <c r="J12207" i="1"/>
  <c r="J12206" i="1"/>
  <c r="J12205" i="1"/>
  <c r="J12204" i="1"/>
  <c r="J12203" i="1"/>
  <c r="J12202" i="1"/>
  <c r="J12201" i="1"/>
  <c r="J12200" i="1"/>
  <c r="J12199" i="1"/>
  <c r="J12198" i="1"/>
  <c r="J12197" i="1"/>
  <c r="J12196" i="1"/>
  <c r="J12195" i="1"/>
  <c r="J12194" i="1"/>
  <c r="J12193" i="1"/>
  <c r="J12192" i="1"/>
  <c r="J12191" i="1"/>
  <c r="J12190" i="1"/>
  <c r="J12189" i="1"/>
  <c r="J12188" i="1"/>
  <c r="J12187" i="1"/>
  <c r="J12186" i="1"/>
  <c r="J12185" i="1"/>
  <c r="J12184" i="1"/>
  <c r="J12183" i="1"/>
  <c r="J12182" i="1"/>
  <c r="J12181" i="1"/>
  <c r="J12180" i="1"/>
  <c r="J12179" i="1"/>
  <c r="J12178" i="1"/>
  <c r="J12177" i="1"/>
  <c r="J12176" i="1"/>
  <c r="J12175" i="1"/>
  <c r="J12174" i="1"/>
  <c r="J12173" i="1"/>
  <c r="J12172" i="1"/>
  <c r="J12171" i="1"/>
  <c r="J12170" i="1"/>
  <c r="J12169" i="1"/>
  <c r="J12168" i="1"/>
  <c r="J12167" i="1"/>
  <c r="J12166" i="1"/>
  <c r="J12165" i="1"/>
  <c r="J12164" i="1"/>
  <c r="J12163" i="1"/>
  <c r="J12162" i="1"/>
  <c r="J12161" i="1"/>
  <c r="J12160" i="1"/>
  <c r="J12159" i="1"/>
  <c r="J12158" i="1"/>
  <c r="J12157" i="1"/>
  <c r="J12156" i="1"/>
  <c r="J12155" i="1"/>
  <c r="J12154" i="1"/>
  <c r="J12153" i="1"/>
  <c r="J12152" i="1"/>
  <c r="J12151" i="1"/>
  <c r="J12150" i="1"/>
  <c r="J12149" i="1"/>
  <c r="J12148" i="1"/>
  <c r="J12147" i="1"/>
  <c r="J12146" i="1"/>
  <c r="J12145" i="1"/>
  <c r="J12144" i="1"/>
  <c r="J12143" i="1"/>
  <c r="J12142" i="1"/>
  <c r="J12141" i="1"/>
  <c r="J12140" i="1"/>
  <c r="J12139" i="1"/>
  <c r="J12138" i="1"/>
  <c r="J12137" i="1"/>
  <c r="J12136" i="1"/>
  <c r="J12135" i="1"/>
  <c r="J12134" i="1"/>
  <c r="J12133" i="1"/>
  <c r="J12132" i="1"/>
  <c r="J12131" i="1"/>
  <c r="J12130" i="1"/>
  <c r="J12129" i="1"/>
  <c r="J12128" i="1"/>
  <c r="J12127" i="1"/>
  <c r="J12126" i="1"/>
  <c r="J12125" i="1"/>
  <c r="J12124" i="1"/>
  <c r="J12123" i="1"/>
  <c r="J12122" i="1"/>
  <c r="J12121" i="1"/>
  <c r="J12120" i="1"/>
  <c r="J12119" i="1"/>
  <c r="J12118" i="1"/>
  <c r="J12117" i="1"/>
  <c r="J12116" i="1"/>
  <c r="J12115" i="1"/>
  <c r="J12114" i="1"/>
  <c r="J12113" i="1"/>
  <c r="J12112" i="1"/>
  <c r="J12111" i="1"/>
  <c r="J12110" i="1"/>
  <c r="J12109" i="1"/>
  <c r="J12108" i="1"/>
  <c r="J12107" i="1"/>
  <c r="J12106" i="1"/>
  <c r="J12105" i="1"/>
  <c r="J12104" i="1"/>
  <c r="J12103" i="1"/>
  <c r="J12102" i="1"/>
  <c r="J12101" i="1"/>
  <c r="J12100" i="1"/>
  <c r="J12099" i="1"/>
  <c r="J12098" i="1"/>
  <c r="J12097" i="1"/>
  <c r="J12096" i="1"/>
  <c r="J12095" i="1"/>
  <c r="J12094" i="1"/>
  <c r="J12093" i="1"/>
  <c r="J12092" i="1"/>
  <c r="J12091" i="1"/>
  <c r="J12090" i="1"/>
  <c r="J12089" i="1"/>
  <c r="J12088" i="1"/>
  <c r="J12087" i="1"/>
  <c r="J12086" i="1"/>
  <c r="J12085" i="1"/>
  <c r="J12084" i="1"/>
  <c r="J12083" i="1"/>
  <c r="J12082" i="1"/>
  <c r="J12081" i="1"/>
  <c r="J12080" i="1"/>
  <c r="J12079" i="1"/>
  <c r="J12078" i="1"/>
  <c r="J12077" i="1"/>
  <c r="J12076" i="1"/>
  <c r="J12075" i="1"/>
  <c r="J12074" i="1"/>
  <c r="J12073" i="1"/>
  <c r="J12072" i="1"/>
  <c r="J12071" i="1"/>
  <c r="J12070" i="1"/>
  <c r="J12069" i="1"/>
  <c r="J12068" i="1"/>
  <c r="J12067" i="1"/>
  <c r="J12066" i="1"/>
  <c r="J12065" i="1"/>
  <c r="J12064" i="1"/>
  <c r="J12063" i="1"/>
  <c r="J12062" i="1"/>
  <c r="J12061" i="1"/>
  <c r="J12060" i="1"/>
  <c r="J12059" i="1"/>
  <c r="J12058" i="1"/>
  <c r="J12057" i="1"/>
  <c r="J12056" i="1"/>
  <c r="J12055" i="1"/>
  <c r="J12054" i="1"/>
  <c r="J12053" i="1"/>
  <c r="J12052" i="1"/>
  <c r="J12051" i="1"/>
  <c r="J12050" i="1"/>
  <c r="J12049" i="1"/>
  <c r="J12048" i="1"/>
  <c r="J12047" i="1"/>
  <c r="J12046" i="1"/>
  <c r="J12045" i="1"/>
  <c r="J12044" i="1"/>
  <c r="J12043" i="1"/>
  <c r="J12042" i="1"/>
  <c r="J12041" i="1"/>
  <c r="J12040" i="1"/>
  <c r="J12039" i="1"/>
  <c r="J12038" i="1"/>
  <c r="J12037" i="1"/>
  <c r="J12036" i="1"/>
  <c r="J12035" i="1"/>
  <c r="J12034" i="1"/>
  <c r="J12033" i="1"/>
  <c r="J12032" i="1"/>
  <c r="J12031" i="1"/>
  <c r="J12030" i="1"/>
  <c r="J12029" i="1"/>
  <c r="J12028" i="1"/>
  <c r="J12027" i="1"/>
  <c r="J12026" i="1"/>
  <c r="J12025" i="1"/>
  <c r="J12024" i="1"/>
  <c r="J12023" i="1"/>
  <c r="J12022" i="1"/>
  <c r="J12021" i="1"/>
  <c r="J12020" i="1"/>
  <c r="J12019" i="1"/>
  <c r="J12018" i="1"/>
  <c r="J12017" i="1"/>
  <c r="J12016" i="1"/>
  <c r="J12015" i="1"/>
  <c r="J12014" i="1"/>
  <c r="J12013" i="1"/>
  <c r="J12012" i="1"/>
  <c r="J12011" i="1"/>
  <c r="J12010" i="1"/>
  <c r="J12009" i="1"/>
  <c r="J12008" i="1"/>
  <c r="J12007" i="1"/>
  <c r="J12006" i="1"/>
  <c r="J12005" i="1"/>
  <c r="J12004" i="1"/>
  <c r="J12003" i="1"/>
  <c r="J12002" i="1"/>
  <c r="J12001" i="1"/>
  <c r="J12000" i="1"/>
  <c r="J11999" i="1"/>
  <c r="J11998" i="1"/>
  <c r="J11997" i="1"/>
  <c r="J11996" i="1"/>
  <c r="J11995" i="1"/>
  <c r="J11994" i="1"/>
  <c r="J11993" i="1"/>
  <c r="J11992" i="1"/>
  <c r="J11991" i="1"/>
  <c r="J11990" i="1"/>
  <c r="J11989" i="1"/>
  <c r="J11988" i="1"/>
  <c r="J11987" i="1"/>
  <c r="J11986" i="1"/>
  <c r="J11985" i="1"/>
  <c r="J11984" i="1"/>
  <c r="J11983" i="1"/>
  <c r="J11982" i="1"/>
  <c r="J11981" i="1"/>
  <c r="J11980" i="1"/>
  <c r="J11979" i="1"/>
  <c r="J11978" i="1"/>
  <c r="J11977" i="1"/>
  <c r="J11976" i="1"/>
  <c r="J11975" i="1"/>
  <c r="J11974" i="1"/>
  <c r="J11973" i="1"/>
  <c r="J11972" i="1"/>
  <c r="J11971" i="1"/>
  <c r="J11970" i="1"/>
  <c r="J11969" i="1"/>
  <c r="J11968" i="1"/>
  <c r="J11967" i="1"/>
  <c r="J11966" i="1"/>
  <c r="J11965" i="1"/>
  <c r="J11964" i="1"/>
  <c r="J11963" i="1"/>
  <c r="J11962" i="1"/>
  <c r="J11961" i="1"/>
  <c r="J11960" i="1"/>
  <c r="J11959" i="1"/>
  <c r="J11958" i="1"/>
  <c r="J11957" i="1"/>
  <c r="J11956" i="1"/>
  <c r="J11955" i="1"/>
  <c r="J11954" i="1"/>
  <c r="J11953" i="1"/>
  <c r="J11952" i="1"/>
  <c r="J11951" i="1"/>
  <c r="J11950" i="1"/>
  <c r="J11949" i="1"/>
  <c r="J11948" i="1"/>
  <c r="J11947" i="1"/>
  <c r="J11946" i="1"/>
  <c r="J11945" i="1"/>
  <c r="J11944" i="1"/>
  <c r="J11943" i="1"/>
  <c r="J11942" i="1"/>
  <c r="J11941" i="1"/>
  <c r="J11940" i="1"/>
  <c r="J11939" i="1"/>
  <c r="J11938" i="1"/>
  <c r="J11937" i="1"/>
  <c r="J11936" i="1"/>
  <c r="J11935" i="1"/>
  <c r="J11934" i="1"/>
  <c r="J11933" i="1"/>
  <c r="J11932" i="1"/>
  <c r="J11931" i="1"/>
  <c r="J11930" i="1"/>
  <c r="J11929" i="1"/>
  <c r="J11928" i="1"/>
  <c r="J11927" i="1"/>
  <c r="J11926" i="1"/>
  <c r="J11925" i="1"/>
  <c r="J11924" i="1"/>
  <c r="J11923" i="1"/>
  <c r="J11922" i="1"/>
  <c r="J11921" i="1"/>
  <c r="J11920" i="1"/>
  <c r="J11919" i="1"/>
  <c r="J11918" i="1"/>
  <c r="J11917" i="1"/>
  <c r="J11916" i="1"/>
  <c r="J11915" i="1"/>
  <c r="J11914" i="1"/>
  <c r="J11913" i="1"/>
  <c r="J11912" i="1"/>
  <c r="J11911" i="1"/>
  <c r="J11910" i="1"/>
  <c r="J11909" i="1"/>
  <c r="J11908" i="1"/>
  <c r="J11907" i="1"/>
  <c r="J11906" i="1"/>
  <c r="J11905" i="1"/>
  <c r="J11904" i="1"/>
  <c r="J11903" i="1"/>
  <c r="J11902" i="1"/>
  <c r="J11901" i="1"/>
  <c r="J11900" i="1"/>
  <c r="J11899" i="1"/>
  <c r="J11898" i="1"/>
  <c r="J11897" i="1"/>
  <c r="J11896" i="1"/>
  <c r="J11895" i="1"/>
  <c r="J11894" i="1"/>
  <c r="J11893" i="1"/>
  <c r="J11892" i="1"/>
  <c r="J11891" i="1"/>
  <c r="J11890" i="1"/>
  <c r="J11889" i="1"/>
  <c r="J11888" i="1"/>
  <c r="J11887" i="1"/>
  <c r="J11886" i="1"/>
  <c r="J11885" i="1"/>
  <c r="J11884" i="1"/>
  <c r="J11883" i="1"/>
  <c r="J11882" i="1"/>
  <c r="J11881" i="1"/>
  <c r="J11880" i="1"/>
  <c r="J11879" i="1"/>
  <c r="J11878" i="1"/>
  <c r="J11877" i="1"/>
  <c r="J11876" i="1"/>
  <c r="J11875" i="1"/>
  <c r="J11874" i="1"/>
  <c r="J11873" i="1"/>
  <c r="J11872" i="1"/>
  <c r="J11871" i="1"/>
  <c r="J11870" i="1"/>
  <c r="J11869" i="1"/>
  <c r="J11868" i="1"/>
  <c r="J11867" i="1"/>
  <c r="J11866" i="1"/>
  <c r="J11865" i="1"/>
  <c r="J11864" i="1"/>
  <c r="J11863" i="1"/>
  <c r="J11862" i="1"/>
  <c r="J11861" i="1"/>
  <c r="J11860" i="1"/>
  <c r="J11859" i="1"/>
  <c r="J11858" i="1"/>
  <c r="J11857" i="1"/>
  <c r="J11856" i="1"/>
  <c r="J11855" i="1"/>
  <c r="J11854" i="1"/>
  <c r="J11853" i="1"/>
  <c r="J11852" i="1"/>
  <c r="J11851" i="1"/>
  <c r="J11850" i="1"/>
  <c r="J11849" i="1"/>
  <c r="J11848" i="1"/>
  <c r="J11847" i="1"/>
  <c r="J11846" i="1"/>
  <c r="J11845" i="1"/>
  <c r="J11844" i="1"/>
  <c r="J11843" i="1"/>
  <c r="J11842" i="1"/>
  <c r="J11841" i="1"/>
  <c r="J11840" i="1"/>
  <c r="J11839" i="1"/>
  <c r="J11838" i="1"/>
  <c r="J11837" i="1"/>
  <c r="J11836" i="1"/>
  <c r="J11835" i="1"/>
  <c r="J11834" i="1"/>
  <c r="J11833" i="1"/>
  <c r="J11832" i="1"/>
  <c r="J11831" i="1"/>
  <c r="J11830" i="1"/>
  <c r="J11829" i="1"/>
  <c r="J11828" i="1"/>
  <c r="J11827" i="1"/>
  <c r="J11826" i="1"/>
  <c r="J11825" i="1"/>
  <c r="J11824" i="1"/>
  <c r="J11823" i="1"/>
  <c r="J11822" i="1"/>
  <c r="J11821" i="1"/>
  <c r="J11820" i="1"/>
  <c r="J11819" i="1"/>
  <c r="J11818" i="1"/>
  <c r="J11817" i="1"/>
  <c r="J11816" i="1"/>
  <c r="J11815" i="1"/>
  <c r="J11814" i="1"/>
  <c r="J11813" i="1"/>
  <c r="J11812" i="1"/>
  <c r="J11811" i="1"/>
  <c r="J11810" i="1"/>
  <c r="J11809" i="1"/>
  <c r="J11808" i="1"/>
  <c r="J11807" i="1"/>
  <c r="J11806" i="1"/>
  <c r="J11805" i="1"/>
  <c r="J11804" i="1"/>
  <c r="J11803" i="1"/>
  <c r="J11802" i="1"/>
  <c r="J11801" i="1"/>
  <c r="J11800" i="1"/>
  <c r="J11799" i="1"/>
  <c r="J11798" i="1"/>
  <c r="J11797" i="1"/>
  <c r="J11796" i="1"/>
  <c r="J11795" i="1"/>
  <c r="J11794" i="1"/>
  <c r="J11793" i="1"/>
  <c r="J11792" i="1"/>
  <c r="J11791" i="1"/>
  <c r="J11790" i="1"/>
  <c r="J11789" i="1"/>
  <c r="J11788" i="1"/>
  <c r="J11787" i="1"/>
  <c r="J11786" i="1"/>
  <c r="J11785" i="1"/>
  <c r="J11784" i="1"/>
  <c r="J11783" i="1"/>
  <c r="J11782" i="1"/>
  <c r="J11781" i="1"/>
  <c r="J11780" i="1"/>
  <c r="J11779" i="1"/>
  <c r="J11778" i="1"/>
  <c r="J11777" i="1"/>
  <c r="J11776" i="1"/>
  <c r="J11775" i="1"/>
  <c r="J11774" i="1"/>
  <c r="J11773" i="1"/>
  <c r="J11772" i="1"/>
  <c r="J11771" i="1"/>
  <c r="J11770" i="1"/>
  <c r="J11769" i="1"/>
  <c r="J11768" i="1"/>
  <c r="J11767" i="1"/>
  <c r="J11766" i="1"/>
  <c r="J11765" i="1"/>
  <c r="J11764" i="1"/>
  <c r="J11763" i="1"/>
  <c r="J11762" i="1"/>
  <c r="J11761" i="1"/>
  <c r="J11760" i="1"/>
  <c r="J11759" i="1"/>
  <c r="J11758" i="1"/>
  <c r="J11757" i="1"/>
  <c r="J11756" i="1"/>
  <c r="J11755" i="1"/>
  <c r="J11754" i="1"/>
  <c r="J11753" i="1"/>
  <c r="J11752" i="1"/>
  <c r="J11751" i="1"/>
  <c r="J11750" i="1"/>
  <c r="J11749" i="1"/>
  <c r="J11748" i="1"/>
  <c r="J11747" i="1"/>
  <c r="J11746" i="1"/>
  <c r="J11745" i="1"/>
  <c r="J11744" i="1"/>
  <c r="J11743" i="1"/>
  <c r="J11742" i="1"/>
  <c r="J11741" i="1"/>
  <c r="J11740" i="1"/>
  <c r="J11739" i="1"/>
  <c r="J11738" i="1"/>
  <c r="J11737" i="1"/>
  <c r="J11736" i="1"/>
  <c r="J11735" i="1"/>
  <c r="J11734" i="1"/>
  <c r="J11733" i="1"/>
  <c r="J11732" i="1"/>
  <c r="J11731" i="1"/>
  <c r="J11730" i="1"/>
  <c r="J11729" i="1"/>
  <c r="J11728" i="1"/>
  <c r="J11727" i="1"/>
  <c r="J11726" i="1"/>
  <c r="J11725" i="1"/>
  <c r="J11724" i="1"/>
  <c r="J11723" i="1"/>
  <c r="J11722" i="1"/>
  <c r="J11721" i="1"/>
  <c r="J11720" i="1"/>
  <c r="J11719" i="1"/>
  <c r="J11718" i="1"/>
  <c r="J11717" i="1"/>
  <c r="J11716" i="1"/>
  <c r="J11715" i="1"/>
  <c r="J11714" i="1"/>
  <c r="J11713" i="1"/>
  <c r="J11712" i="1"/>
  <c r="J11711" i="1"/>
  <c r="J11710" i="1"/>
  <c r="J11709" i="1"/>
  <c r="J11708" i="1"/>
  <c r="J11707" i="1"/>
  <c r="J11706" i="1"/>
  <c r="J11705" i="1"/>
  <c r="J11704" i="1"/>
  <c r="J11703" i="1"/>
  <c r="J11702" i="1"/>
  <c r="J11701" i="1"/>
  <c r="J11700" i="1"/>
  <c r="J11699" i="1"/>
  <c r="J11698" i="1"/>
  <c r="J11697" i="1"/>
  <c r="J11696" i="1"/>
  <c r="J11695" i="1"/>
  <c r="J11694" i="1"/>
  <c r="J11693" i="1"/>
  <c r="J11692" i="1"/>
  <c r="J11691" i="1"/>
  <c r="J11690" i="1"/>
  <c r="J11689" i="1"/>
  <c r="J11688" i="1"/>
  <c r="J11687" i="1"/>
  <c r="J11686" i="1"/>
  <c r="J11685" i="1"/>
  <c r="J11684" i="1"/>
  <c r="J11683" i="1"/>
  <c r="J11682" i="1"/>
  <c r="J11681" i="1"/>
  <c r="J11680" i="1"/>
  <c r="J11679" i="1"/>
  <c r="J11678" i="1"/>
  <c r="J11677" i="1"/>
  <c r="J11676" i="1"/>
  <c r="J11675" i="1"/>
  <c r="J11674" i="1"/>
  <c r="J11673" i="1"/>
  <c r="J11672" i="1"/>
  <c r="J11671" i="1"/>
  <c r="J11670" i="1"/>
  <c r="J11669" i="1"/>
  <c r="J11668" i="1"/>
  <c r="J11667" i="1"/>
  <c r="J11666" i="1"/>
  <c r="J11665" i="1"/>
  <c r="J11664" i="1"/>
  <c r="J11663" i="1"/>
  <c r="J11662" i="1"/>
  <c r="J11661" i="1"/>
  <c r="J11660" i="1"/>
  <c r="J11659" i="1"/>
  <c r="J11658" i="1"/>
  <c r="J11657" i="1"/>
  <c r="J11656" i="1"/>
  <c r="J11655" i="1"/>
  <c r="J11654" i="1"/>
  <c r="J11653" i="1"/>
  <c r="J11652" i="1"/>
  <c r="J11651" i="1"/>
  <c r="J11650" i="1"/>
  <c r="J11649" i="1"/>
  <c r="J11648" i="1"/>
  <c r="J11647" i="1"/>
  <c r="J11646" i="1"/>
  <c r="J11645" i="1"/>
  <c r="J11644" i="1"/>
  <c r="J11643" i="1"/>
  <c r="J11642" i="1"/>
  <c r="J11641" i="1"/>
  <c r="J11640" i="1"/>
  <c r="J11639" i="1"/>
  <c r="J11638" i="1"/>
  <c r="J11637" i="1"/>
  <c r="J11636" i="1"/>
  <c r="J11635" i="1"/>
  <c r="J11634" i="1"/>
  <c r="J11633" i="1"/>
  <c r="J11632" i="1"/>
  <c r="J11631" i="1"/>
  <c r="J11630" i="1"/>
  <c r="J11629" i="1"/>
  <c r="J11628" i="1"/>
  <c r="J11627" i="1"/>
  <c r="J11626" i="1"/>
  <c r="J11625" i="1"/>
  <c r="J11624" i="1"/>
  <c r="J11623" i="1"/>
  <c r="J11622" i="1"/>
  <c r="J11621" i="1"/>
  <c r="J11620" i="1"/>
  <c r="J11619" i="1"/>
  <c r="J11618" i="1"/>
  <c r="J11617" i="1"/>
  <c r="J11616" i="1"/>
  <c r="J11615" i="1"/>
  <c r="J11614" i="1"/>
  <c r="J11613" i="1"/>
  <c r="J11612" i="1"/>
  <c r="J11611" i="1"/>
  <c r="J11610" i="1"/>
  <c r="J11609" i="1"/>
  <c r="J11608" i="1"/>
  <c r="J11607" i="1"/>
  <c r="J11606" i="1"/>
  <c r="J11605" i="1"/>
  <c r="J11604" i="1"/>
  <c r="J11603" i="1"/>
  <c r="J11602" i="1"/>
  <c r="J11601" i="1"/>
  <c r="J11600" i="1"/>
  <c r="J11599" i="1"/>
  <c r="J11598" i="1"/>
  <c r="J11597" i="1"/>
  <c r="J11596" i="1"/>
  <c r="J11595" i="1"/>
  <c r="J11594" i="1"/>
  <c r="J11593" i="1"/>
  <c r="J11592" i="1"/>
  <c r="J11591" i="1"/>
  <c r="J11590" i="1"/>
  <c r="J11589" i="1"/>
  <c r="J11588" i="1"/>
  <c r="J11587" i="1"/>
  <c r="J11586" i="1"/>
  <c r="J11585" i="1"/>
  <c r="J11584" i="1"/>
  <c r="J11583" i="1"/>
  <c r="J11582" i="1"/>
  <c r="J11581" i="1"/>
  <c r="J11580" i="1"/>
  <c r="J11579" i="1"/>
  <c r="J11578" i="1"/>
  <c r="J11577" i="1"/>
  <c r="J11576" i="1"/>
  <c r="J11575" i="1"/>
  <c r="J11574" i="1"/>
  <c r="J11573" i="1"/>
  <c r="J11572" i="1"/>
  <c r="J11571" i="1"/>
  <c r="J11570" i="1"/>
  <c r="J11569" i="1"/>
  <c r="J11568" i="1"/>
  <c r="J11567" i="1"/>
  <c r="J11566" i="1"/>
  <c r="J11565" i="1"/>
  <c r="J11564" i="1"/>
  <c r="J11563" i="1"/>
  <c r="J11562" i="1"/>
  <c r="J11561" i="1"/>
  <c r="J11560" i="1"/>
  <c r="J11559" i="1"/>
  <c r="J11558" i="1"/>
  <c r="J11557" i="1"/>
  <c r="J11556" i="1"/>
  <c r="J11555" i="1"/>
  <c r="J11554" i="1"/>
  <c r="J11553" i="1"/>
  <c r="J11552" i="1"/>
  <c r="J11551" i="1"/>
  <c r="J11550" i="1"/>
  <c r="J11549" i="1"/>
  <c r="J11548" i="1"/>
  <c r="J11547" i="1"/>
  <c r="J11546" i="1"/>
  <c r="J11545" i="1"/>
  <c r="J11544" i="1"/>
  <c r="J11543" i="1"/>
  <c r="J11542" i="1"/>
  <c r="J11541" i="1"/>
  <c r="J11540" i="1"/>
  <c r="J11539" i="1"/>
  <c r="J11538" i="1"/>
  <c r="J11537" i="1"/>
  <c r="J11536" i="1"/>
  <c r="J11535" i="1"/>
  <c r="J11534" i="1"/>
  <c r="J11533" i="1"/>
  <c r="J11532" i="1"/>
  <c r="J11531" i="1"/>
  <c r="J11530" i="1"/>
  <c r="J11529" i="1"/>
  <c r="J11528" i="1"/>
  <c r="J11527" i="1"/>
  <c r="J11526" i="1"/>
  <c r="J11525" i="1"/>
  <c r="J11524" i="1"/>
  <c r="J11523" i="1"/>
  <c r="J11522" i="1"/>
  <c r="J11521" i="1"/>
  <c r="J11520" i="1"/>
  <c r="J11519" i="1"/>
  <c r="J11518" i="1"/>
  <c r="J11517" i="1"/>
  <c r="J11516" i="1"/>
  <c r="J11515" i="1"/>
  <c r="J11514" i="1"/>
  <c r="J11513" i="1"/>
  <c r="J11512" i="1"/>
  <c r="J11511" i="1"/>
  <c r="J11510" i="1"/>
  <c r="J11509" i="1"/>
  <c r="J11508" i="1"/>
  <c r="J11507" i="1"/>
  <c r="J11506" i="1"/>
  <c r="J11505" i="1"/>
  <c r="J11504" i="1"/>
  <c r="J11503" i="1"/>
  <c r="J11502" i="1"/>
  <c r="J11501" i="1"/>
  <c r="J11500" i="1"/>
  <c r="J11499" i="1"/>
  <c r="J11498" i="1"/>
  <c r="J11497" i="1"/>
  <c r="J11496" i="1"/>
  <c r="J11495" i="1"/>
  <c r="J11494" i="1"/>
  <c r="J11493" i="1"/>
  <c r="J11492" i="1"/>
  <c r="J11491" i="1"/>
  <c r="J11490" i="1"/>
  <c r="J11489" i="1"/>
  <c r="J11488" i="1"/>
  <c r="J11487" i="1"/>
  <c r="J11486" i="1"/>
  <c r="J11485" i="1"/>
  <c r="J11484" i="1"/>
  <c r="J11483" i="1"/>
  <c r="J11482" i="1"/>
  <c r="J11481" i="1"/>
  <c r="J11480" i="1"/>
  <c r="J11479" i="1"/>
  <c r="J11478" i="1"/>
  <c r="J11477" i="1"/>
  <c r="J11476" i="1"/>
  <c r="J11475" i="1"/>
  <c r="J11474" i="1"/>
  <c r="J11473" i="1"/>
  <c r="J11472" i="1"/>
  <c r="J11471" i="1"/>
  <c r="J11470" i="1"/>
  <c r="J11469" i="1"/>
  <c r="J11468" i="1"/>
  <c r="J11467" i="1"/>
  <c r="J11466" i="1"/>
  <c r="J11465" i="1"/>
  <c r="J11464" i="1"/>
  <c r="J11463" i="1"/>
  <c r="J11462" i="1"/>
  <c r="J11461" i="1"/>
  <c r="J11460" i="1"/>
  <c r="J11459" i="1"/>
  <c r="J11458" i="1"/>
  <c r="J11457" i="1"/>
  <c r="J11456" i="1"/>
  <c r="J11455" i="1"/>
  <c r="J11454" i="1"/>
  <c r="J11453" i="1"/>
  <c r="J11452" i="1"/>
  <c r="J11451" i="1"/>
  <c r="J11450" i="1"/>
  <c r="J11449" i="1"/>
  <c r="J11448" i="1"/>
  <c r="J11447" i="1"/>
  <c r="J11446" i="1"/>
  <c r="J11445" i="1"/>
  <c r="J11444" i="1"/>
  <c r="J11443" i="1"/>
  <c r="J11442" i="1"/>
  <c r="J11441" i="1"/>
  <c r="J11440" i="1"/>
  <c r="J11439" i="1"/>
  <c r="J11438" i="1"/>
  <c r="J11437" i="1"/>
  <c r="J11436" i="1"/>
  <c r="J11435" i="1"/>
  <c r="J11434" i="1"/>
  <c r="J11433" i="1"/>
  <c r="J11432" i="1"/>
  <c r="J11431" i="1"/>
  <c r="J11430" i="1"/>
  <c r="J11429" i="1"/>
  <c r="J11428" i="1"/>
  <c r="J11427" i="1"/>
  <c r="J11426" i="1"/>
  <c r="J11425" i="1"/>
  <c r="J11424" i="1"/>
  <c r="J11423" i="1"/>
  <c r="J11422" i="1"/>
  <c r="J11421" i="1"/>
  <c r="J11420" i="1"/>
  <c r="J11419" i="1"/>
  <c r="J11418" i="1"/>
  <c r="J11417" i="1"/>
  <c r="J11416" i="1"/>
  <c r="J11415" i="1"/>
  <c r="J11414" i="1"/>
  <c r="J11413" i="1"/>
  <c r="J11412" i="1"/>
  <c r="J11411" i="1"/>
  <c r="J11410" i="1"/>
  <c r="J11409" i="1"/>
  <c r="J11408" i="1"/>
  <c r="J11407" i="1"/>
  <c r="J11406" i="1"/>
  <c r="J11405" i="1"/>
  <c r="J11404" i="1"/>
  <c r="J11403" i="1"/>
  <c r="J11402" i="1"/>
  <c r="J11401" i="1"/>
  <c r="J11400" i="1"/>
  <c r="J11399" i="1"/>
  <c r="J11398" i="1"/>
  <c r="J11397" i="1"/>
  <c r="J11396" i="1"/>
  <c r="J11395" i="1"/>
  <c r="J11394" i="1"/>
  <c r="J11393" i="1"/>
  <c r="J11392" i="1"/>
  <c r="J11391" i="1"/>
  <c r="J11390" i="1"/>
  <c r="J11389" i="1"/>
  <c r="J11388" i="1"/>
  <c r="J11387" i="1"/>
  <c r="J11386" i="1"/>
  <c r="J11385" i="1"/>
  <c r="J11384" i="1"/>
  <c r="J11383" i="1"/>
  <c r="J11382" i="1"/>
  <c r="J11381" i="1"/>
  <c r="J11380" i="1"/>
  <c r="J11379" i="1"/>
  <c r="J11378" i="1"/>
  <c r="J11377" i="1"/>
  <c r="J11376" i="1"/>
  <c r="J11375" i="1"/>
  <c r="J11374" i="1"/>
  <c r="J11373" i="1"/>
  <c r="J11372" i="1"/>
  <c r="J11371" i="1"/>
  <c r="J11370" i="1"/>
  <c r="J11369" i="1"/>
  <c r="J11368" i="1"/>
  <c r="J11367" i="1"/>
  <c r="J11366" i="1"/>
  <c r="J11365" i="1"/>
  <c r="J11364" i="1"/>
  <c r="J11363" i="1"/>
  <c r="J11362" i="1"/>
  <c r="J11361" i="1"/>
  <c r="J11360" i="1"/>
  <c r="J11359" i="1"/>
  <c r="J11358" i="1"/>
  <c r="J11357" i="1"/>
  <c r="J11356" i="1"/>
  <c r="J11355" i="1"/>
  <c r="J11354" i="1"/>
  <c r="J11353" i="1"/>
  <c r="J11352" i="1"/>
  <c r="J11351" i="1"/>
  <c r="J11350" i="1"/>
  <c r="J11349" i="1"/>
  <c r="J11348" i="1"/>
  <c r="J11347" i="1"/>
  <c r="J11346" i="1"/>
  <c r="J11345" i="1"/>
  <c r="J11344" i="1"/>
  <c r="J11343" i="1"/>
  <c r="J11342" i="1"/>
  <c r="J11341" i="1"/>
  <c r="J11340" i="1"/>
  <c r="J11339" i="1"/>
  <c r="J11338" i="1"/>
  <c r="J11337" i="1"/>
  <c r="J11336" i="1"/>
  <c r="J11335" i="1"/>
  <c r="J11334" i="1"/>
  <c r="J11333" i="1"/>
  <c r="J11332" i="1"/>
  <c r="J11331" i="1"/>
  <c r="J11330" i="1"/>
  <c r="J11329" i="1"/>
  <c r="J11328" i="1"/>
  <c r="J11327" i="1"/>
  <c r="J11326" i="1"/>
  <c r="J11325" i="1"/>
  <c r="J11324" i="1"/>
  <c r="J11323" i="1"/>
  <c r="J11322" i="1"/>
  <c r="J11321" i="1"/>
  <c r="J11320" i="1"/>
  <c r="J11319" i="1"/>
  <c r="J11318" i="1"/>
  <c r="J11317" i="1"/>
  <c r="J11316" i="1"/>
  <c r="J11315" i="1"/>
  <c r="J11314" i="1"/>
  <c r="J11313" i="1"/>
  <c r="J11312" i="1"/>
  <c r="J11311" i="1"/>
  <c r="J11310" i="1"/>
  <c r="J11309" i="1"/>
  <c r="J11308" i="1"/>
  <c r="J11307" i="1"/>
  <c r="J11306" i="1"/>
  <c r="J11305" i="1"/>
  <c r="J11304" i="1"/>
  <c r="J11303" i="1"/>
  <c r="J11302" i="1"/>
  <c r="J11301" i="1"/>
  <c r="J11300" i="1"/>
  <c r="J11299" i="1"/>
  <c r="J11298" i="1"/>
  <c r="J11297" i="1"/>
  <c r="J11296" i="1"/>
  <c r="J11295" i="1"/>
  <c r="J11294" i="1"/>
  <c r="J11293" i="1"/>
  <c r="J11292" i="1"/>
  <c r="J11291" i="1"/>
  <c r="J11290" i="1"/>
  <c r="J11289" i="1"/>
  <c r="J11288" i="1"/>
  <c r="J11287" i="1"/>
  <c r="J11286" i="1"/>
  <c r="J11285" i="1"/>
  <c r="J11284" i="1"/>
  <c r="J11283" i="1"/>
  <c r="J11282" i="1"/>
  <c r="J11281" i="1"/>
  <c r="J11280" i="1"/>
  <c r="J11279" i="1"/>
  <c r="J11278" i="1"/>
  <c r="J11277" i="1"/>
  <c r="J11276" i="1"/>
  <c r="J11275" i="1"/>
  <c r="J11274" i="1"/>
  <c r="J11273" i="1"/>
  <c r="J11272" i="1"/>
  <c r="J11271" i="1"/>
  <c r="J11270" i="1"/>
  <c r="J11269" i="1"/>
  <c r="J11268" i="1"/>
  <c r="J11267" i="1"/>
  <c r="J11266" i="1"/>
  <c r="J11265" i="1"/>
  <c r="J11264" i="1"/>
  <c r="J11263" i="1"/>
  <c r="J11262" i="1"/>
  <c r="J11261" i="1"/>
  <c r="J11260" i="1"/>
  <c r="J11259" i="1"/>
  <c r="J11258" i="1"/>
  <c r="J11257" i="1"/>
  <c r="J11256" i="1"/>
  <c r="J11255" i="1"/>
  <c r="J11254" i="1"/>
  <c r="J11253" i="1"/>
  <c r="J11252" i="1"/>
  <c r="J11251" i="1"/>
  <c r="J11250" i="1"/>
  <c r="J11249" i="1"/>
  <c r="J11248" i="1"/>
  <c r="J11247" i="1"/>
  <c r="J11246" i="1"/>
  <c r="J11245" i="1"/>
  <c r="J11244" i="1"/>
  <c r="J11243" i="1"/>
  <c r="J11242" i="1"/>
  <c r="J11241" i="1"/>
  <c r="J11240" i="1"/>
  <c r="J11239" i="1"/>
  <c r="J11238" i="1"/>
  <c r="J11237" i="1"/>
  <c r="J11236" i="1"/>
  <c r="J11235" i="1"/>
  <c r="J11234" i="1"/>
  <c r="J11233" i="1"/>
  <c r="J11232" i="1"/>
  <c r="J11231" i="1"/>
  <c r="J11230" i="1"/>
  <c r="J11229" i="1"/>
  <c r="J11228" i="1"/>
  <c r="J11227" i="1"/>
  <c r="J11226" i="1"/>
  <c r="J11225" i="1"/>
  <c r="J11224" i="1"/>
  <c r="J11223" i="1"/>
  <c r="J11222" i="1"/>
  <c r="J11221" i="1"/>
  <c r="J11220" i="1"/>
  <c r="J11219" i="1"/>
  <c r="J11218" i="1"/>
  <c r="J11217" i="1"/>
  <c r="J11216" i="1"/>
  <c r="J11215" i="1"/>
  <c r="J11214" i="1"/>
  <c r="J11213" i="1"/>
  <c r="J11212" i="1"/>
  <c r="J11211" i="1"/>
  <c r="J11210" i="1"/>
  <c r="J11209" i="1"/>
  <c r="J11208" i="1"/>
  <c r="J11207" i="1"/>
  <c r="J11206" i="1"/>
  <c r="J11205" i="1"/>
  <c r="J11204" i="1"/>
  <c r="J11203" i="1"/>
  <c r="J11202" i="1"/>
  <c r="J11201" i="1"/>
  <c r="J11200" i="1"/>
  <c r="J11199" i="1"/>
  <c r="J11198" i="1"/>
  <c r="J11197" i="1"/>
  <c r="J11196" i="1"/>
  <c r="J11195" i="1"/>
  <c r="J11194" i="1"/>
  <c r="J11193" i="1"/>
  <c r="J11192" i="1"/>
  <c r="J11191" i="1"/>
  <c r="J11190" i="1"/>
  <c r="J11189" i="1"/>
  <c r="J11188" i="1"/>
  <c r="J11187" i="1"/>
  <c r="J11186" i="1"/>
  <c r="J11185" i="1"/>
  <c r="J11184" i="1"/>
  <c r="J11183" i="1"/>
  <c r="J11182" i="1"/>
  <c r="J11181" i="1"/>
  <c r="J11180" i="1"/>
  <c r="J11179" i="1"/>
  <c r="J11178" i="1"/>
  <c r="J11177" i="1"/>
  <c r="J11176" i="1"/>
  <c r="J11175" i="1"/>
  <c r="J11174" i="1"/>
  <c r="J11173" i="1"/>
  <c r="J11172" i="1"/>
  <c r="J11171" i="1"/>
  <c r="J11170" i="1"/>
  <c r="J11169" i="1"/>
  <c r="J11168" i="1"/>
  <c r="J11167" i="1"/>
  <c r="J11166" i="1"/>
  <c r="J11165" i="1"/>
  <c r="J11164" i="1"/>
  <c r="J11163" i="1"/>
  <c r="J11162" i="1"/>
  <c r="J11161" i="1"/>
  <c r="J11160" i="1"/>
  <c r="J11159" i="1"/>
  <c r="J11158" i="1"/>
  <c r="J11157" i="1"/>
  <c r="J11156" i="1"/>
  <c r="J11155" i="1"/>
  <c r="J11154" i="1"/>
  <c r="J11153" i="1"/>
  <c r="J11152" i="1"/>
  <c r="J11151" i="1"/>
  <c r="J11150" i="1"/>
  <c r="J11149" i="1"/>
  <c r="J11148" i="1"/>
  <c r="J11147" i="1"/>
  <c r="J11146" i="1"/>
  <c r="J11145" i="1"/>
  <c r="J11144" i="1"/>
  <c r="J11143" i="1"/>
  <c r="J11142" i="1"/>
  <c r="J11141" i="1"/>
  <c r="J11140" i="1"/>
  <c r="J11139" i="1"/>
  <c r="J11138" i="1"/>
  <c r="J11137" i="1"/>
  <c r="J11136" i="1"/>
  <c r="J11135" i="1"/>
  <c r="J11134" i="1"/>
  <c r="J11133" i="1"/>
  <c r="J11132" i="1"/>
  <c r="J11131" i="1"/>
  <c r="J11130" i="1"/>
  <c r="J11129" i="1"/>
  <c r="J11128" i="1"/>
  <c r="J11127" i="1"/>
  <c r="J11126" i="1"/>
  <c r="J11125" i="1"/>
  <c r="J11124" i="1"/>
  <c r="J11123" i="1"/>
  <c r="J11122" i="1"/>
  <c r="J11121" i="1"/>
  <c r="J11120" i="1"/>
  <c r="J11119" i="1"/>
  <c r="J11118" i="1"/>
  <c r="J11117" i="1"/>
  <c r="J11116" i="1"/>
  <c r="J11115" i="1"/>
  <c r="J11114" i="1"/>
  <c r="J11113" i="1"/>
  <c r="J11112" i="1"/>
  <c r="J11111" i="1"/>
  <c r="J11110" i="1"/>
  <c r="J11109" i="1"/>
  <c r="J11108" i="1"/>
  <c r="J11107" i="1"/>
  <c r="J11106" i="1"/>
  <c r="J11105" i="1"/>
  <c r="J11104" i="1"/>
  <c r="J11103" i="1"/>
  <c r="J11102" i="1"/>
  <c r="J11101" i="1"/>
  <c r="J11100" i="1"/>
  <c r="J11099" i="1"/>
  <c r="J11098" i="1"/>
  <c r="J11097" i="1"/>
  <c r="J11096" i="1"/>
  <c r="J11095" i="1"/>
  <c r="J11094" i="1"/>
  <c r="J11093" i="1"/>
  <c r="J11092" i="1"/>
  <c r="J11091" i="1"/>
  <c r="J11090" i="1"/>
  <c r="J11089" i="1"/>
  <c r="J11088" i="1"/>
  <c r="J11087" i="1"/>
  <c r="J11086" i="1"/>
  <c r="J11085" i="1"/>
  <c r="J11084" i="1"/>
  <c r="J11083" i="1"/>
  <c r="J11082" i="1"/>
  <c r="J11081" i="1"/>
  <c r="J11080" i="1"/>
  <c r="J11079" i="1"/>
  <c r="J11078" i="1"/>
  <c r="J11077" i="1"/>
  <c r="J11076" i="1"/>
  <c r="J11075" i="1"/>
  <c r="J11074" i="1"/>
  <c r="J11073" i="1"/>
  <c r="J11072" i="1"/>
  <c r="J11071" i="1"/>
  <c r="J11070" i="1"/>
  <c r="J11069" i="1"/>
  <c r="J11068" i="1"/>
  <c r="J11067" i="1"/>
  <c r="J11066" i="1"/>
  <c r="J11065" i="1"/>
  <c r="J11064" i="1"/>
  <c r="J11063" i="1"/>
  <c r="J11062" i="1"/>
  <c r="J11061" i="1"/>
  <c r="J11060" i="1"/>
  <c r="J11059" i="1"/>
  <c r="J11058" i="1"/>
  <c r="J11057" i="1"/>
  <c r="J11056" i="1"/>
  <c r="J11055" i="1"/>
  <c r="J11054" i="1"/>
  <c r="J11053" i="1"/>
  <c r="J11052" i="1"/>
  <c r="J11051" i="1"/>
  <c r="J11050" i="1"/>
  <c r="J11049" i="1"/>
  <c r="J11048" i="1"/>
  <c r="J11047" i="1"/>
  <c r="J11046" i="1"/>
  <c r="J11045" i="1"/>
  <c r="J11044" i="1"/>
  <c r="J11043" i="1"/>
  <c r="J11042" i="1"/>
  <c r="J11041" i="1"/>
  <c r="J11040" i="1"/>
  <c r="J11039" i="1"/>
  <c r="J11038" i="1"/>
  <c r="J11037" i="1"/>
  <c r="J11036" i="1"/>
  <c r="J11035" i="1"/>
  <c r="J11034" i="1"/>
  <c r="J11033" i="1"/>
  <c r="J11032" i="1"/>
  <c r="J11031" i="1"/>
  <c r="J11030" i="1"/>
  <c r="J11029" i="1"/>
  <c r="J11028" i="1"/>
  <c r="J11027" i="1"/>
  <c r="J11026" i="1"/>
  <c r="J11025" i="1"/>
  <c r="J11024" i="1"/>
  <c r="J11023" i="1"/>
  <c r="J11022" i="1"/>
  <c r="J11021" i="1"/>
  <c r="J11020" i="1"/>
  <c r="J11019" i="1"/>
  <c r="J11018" i="1"/>
  <c r="J11017" i="1"/>
  <c r="J11016" i="1"/>
  <c r="J11015" i="1"/>
  <c r="J11014" i="1"/>
  <c r="J11013" i="1"/>
  <c r="J11012" i="1"/>
  <c r="J11011" i="1"/>
  <c r="J11010" i="1"/>
  <c r="J11009" i="1"/>
  <c r="J11008" i="1"/>
  <c r="J11007" i="1"/>
  <c r="J11006" i="1"/>
  <c r="J11005" i="1"/>
  <c r="J11004" i="1"/>
  <c r="J11003" i="1"/>
  <c r="J11002" i="1"/>
  <c r="J11001" i="1"/>
  <c r="J11000" i="1"/>
  <c r="J10999" i="1"/>
  <c r="J10998" i="1"/>
  <c r="J10997" i="1"/>
  <c r="J10996" i="1"/>
  <c r="J10995" i="1"/>
  <c r="J10994" i="1"/>
  <c r="J10993" i="1"/>
  <c r="J10992" i="1"/>
  <c r="J10991" i="1"/>
  <c r="J10990" i="1"/>
  <c r="J10989" i="1"/>
  <c r="J10988" i="1"/>
  <c r="J10987" i="1"/>
  <c r="J10986" i="1"/>
  <c r="J10985" i="1"/>
  <c r="J10984" i="1"/>
  <c r="J10983" i="1"/>
  <c r="J10982" i="1"/>
  <c r="J10981" i="1"/>
  <c r="J10980" i="1"/>
  <c r="J10979" i="1"/>
  <c r="J10978" i="1"/>
  <c r="J10977" i="1"/>
  <c r="J10976" i="1"/>
  <c r="J10975" i="1"/>
  <c r="J10974" i="1"/>
  <c r="J10973" i="1"/>
  <c r="J10972" i="1"/>
  <c r="J10971" i="1"/>
  <c r="J10970" i="1"/>
  <c r="J10969" i="1"/>
  <c r="J10968" i="1"/>
  <c r="J10967" i="1"/>
  <c r="J10966" i="1"/>
  <c r="J10965" i="1"/>
  <c r="J10964" i="1"/>
  <c r="J10963" i="1"/>
  <c r="J10962" i="1"/>
  <c r="J10961" i="1"/>
  <c r="J10960" i="1"/>
  <c r="J10959" i="1"/>
  <c r="J10958" i="1"/>
  <c r="J10957" i="1"/>
  <c r="J10956" i="1"/>
  <c r="J10955" i="1"/>
  <c r="J10954" i="1"/>
  <c r="J10953" i="1"/>
  <c r="J10952" i="1"/>
  <c r="J10951" i="1"/>
  <c r="J10950" i="1"/>
  <c r="J10949" i="1"/>
  <c r="J10948" i="1"/>
  <c r="J10947" i="1"/>
  <c r="J10946" i="1"/>
  <c r="J10945" i="1"/>
  <c r="J10944" i="1"/>
  <c r="J10943" i="1"/>
  <c r="J10942" i="1"/>
  <c r="J10941" i="1"/>
  <c r="J10940" i="1"/>
  <c r="J10939" i="1"/>
  <c r="J10938" i="1"/>
  <c r="J10937" i="1"/>
  <c r="J10936" i="1"/>
  <c r="J10935" i="1"/>
  <c r="J10934" i="1"/>
  <c r="J10933" i="1"/>
  <c r="J10932" i="1"/>
  <c r="J10931" i="1"/>
  <c r="J10930" i="1"/>
  <c r="J10929" i="1"/>
  <c r="J10928" i="1"/>
  <c r="J10927" i="1"/>
  <c r="J10926" i="1"/>
  <c r="J10925" i="1"/>
  <c r="J10924" i="1"/>
  <c r="J10923" i="1"/>
  <c r="J10922" i="1"/>
  <c r="J10921" i="1"/>
  <c r="J10920" i="1"/>
  <c r="J10919" i="1"/>
  <c r="J10918" i="1"/>
  <c r="J10917" i="1"/>
  <c r="J10916" i="1"/>
  <c r="J10915" i="1"/>
  <c r="J10914" i="1"/>
  <c r="J10913" i="1"/>
  <c r="J10912" i="1"/>
  <c r="J10911" i="1"/>
  <c r="J10910" i="1"/>
  <c r="J10909" i="1"/>
  <c r="J10908" i="1"/>
  <c r="J10907" i="1"/>
  <c r="J10906" i="1"/>
  <c r="J10905" i="1"/>
  <c r="J10904" i="1"/>
  <c r="J10903" i="1"/>
  <c r="J10902" i="1"/>
  <c r="J10901" i="1"/>
  <c r="J10900" i="1"/>
  <c r="J10899" i="1"/>
  <c r="J10898" i="1"/>
  <c r="J10897" i="1"/>
  <c r="J10896" i="1"/>
  <c r="J10895" i="1"/>
  <c r="J10894" i="1"/>
  <c r="J10893" i="1"/>
  <c r="J10892" i="1"/>
  <c r="J10891" i="1"/>
  <c r="J10890" i="1"/>
  <c r="J10889" i="1"/>
  <c r="J10888" i="1"/>
  <c r="J10887" i="1"/>
  <c r="J10886" i="1"/>
  <c r="J10885" i="1"/>
  <c r="J10884" i="1"/>
  <c r="J10883" i="1"/>
  <c r="J10882" i="1"/>
  <c r="J10881" i="1"/>
  <c r="J10880" i="1"/>
  <c r="J10879" i="1"/>
  <c r="J10878" i="1"/>
  <c r="J10877" i="1"/>
  <c r="J10876" i="1"/>
  <c r="J10875" i="1"/>
  <c r="J10874" i="1"/>
  <c r="J10873" i="1"/>
  <c r="J10872" i="1"/>
  <c r="J10871" i="1"/>
  <c r="J10870" i="1"/>
  <c r="J10869" i="1"/>
  <c r="J10868" i="1"/>
  <c r="J10867" i="1"/>
  <c r="J10866" i="1"/>
  <c r="J10865" i="1"/>
  <c r="J10864" i="1"/>
  <c r="J10863" i="1"/>
  <c r="J10862" i="1"/>
  <c r="J10861" i="1"/>
  <c r="J10860" i="1"/>
  <c r="J10859" i="1"/>
  <c r="J10858" i="1"/>
  <c r="J10857" i="1"/>
  <c r="J10856" i="1"/>
  <c r="J10855" i="1"/>
  <c r="J10854" i="1"/>
  <c r="J10853" i="1"/>
  <c r="J10852" i="1"/>
  <c r="J10851" i="1"/>
  <c r="J10850" i="1"/>
  <c r="J10849" i="1"/>
  <c r="J10848" i="1"/>
  <c r="J10847" i="1"/>
  <c r="J10846" i="1"/>
  <c r="J10845" i="1"/>
  <c r="J10844" i="1"/>
  <c r="J10843" i="1"/>
  <c r="J10842" i="1"/>
  <c r="J10841" i="1"/>
  <c r="J10840" i="1"/>
  <c r="J10839" i="1"/>
  <c r="J10838" i="1"/>
  <c r="J10837" i="1"/>
  <c r="J10836" i="1"/>
  <c r="J10835" i="1"/>
  <c r="J10834" i="1"/>
  <c r="J10833" i="1"/>
  <c r="J10832" i="1"/>
  <c r="J10831" i="1"/>
  <c r="J10830" i="1"/>
  <c r="J10829" i="1"/>
  <c r="J10828" i="1"/>
  <c r="J10827" i="1"/>
  <c r="J10826" i="1"/>
  <c r="J10825" i="1"/>
  <c r="J10824" i="1"/>
  <c r="J10823" i="1"/>
  <c r="J10822" i="1"/>
  <c r="J10821" i="1"/>
  <c r="J10820" i="1"/>
  <c r="J10819" i="1"/>
  <c r="J10818" i="1"/>
  <c r="J10817" i="1"/>
  <c r="J10816" i="1"/>
  <c r="J10815" i="1"/>
  <c r="J10814" i="1"/>
  <c r="J10813" i="1"/>
  <c r="J10812" i="1"/>
  <c r="J10811" i="1"/>
  <c r="J10810" i="1"/>
  <c r="J10809" i="1"/>
  <c r="J10808" i="1"/>
  <c r="J10807" i="1"/>
  <c r="J10806" i="1"/>
  <c r="J10805" i="1"/>
  <c r="J10804" i="1"/>
  <c r="J10803" i="1"/>
  <c r="J10802" i="1"/>
  <c r="J10801" i="1"/>
  <c r="J10800" i="1"/>
  <c r="J10799" i="1"/>
  <c r="J10798" i="1"/>
  <c r="J10797" i="1"/>
  <c r="J10796" i="1"/>
  <c r="J10795" i="1"/>
  <c r="J10794" i="1"/>
  <c r="J10793" i="1"/>
  <c r="J10792" i="1"/>
  <c r="J10791" i="1"/>
  <c r="J10790" i="1"/>
  <c r="J10789" i="1"/>
  <c r="J10788" i="1"/>
  <c r="J10787" i="1"/>
  <c r="J10786" i="1"/>
  <c r="J10785" i="1"/>
  <c r="J10784" i="1"/>
  <c r="J10783" i="1"/>
  <c r="J10782" i="1"/>
  <c r="J10781" i="1"/>
  <c r="J10780" i="1"/>
  <c r="J10779" i="1"/>
  <c r="J10778" i="1"/>
  <c r="J10777" i="1"/>
  <c r="J10776" i="1"/>
  <c r="J10775" i="1"/>
  <c r="J10774" i="1"/>
  <c r="J10773" i="1"/>
  <c r="J10772" i="1"/>
  <c r="J10771" i="1"/>
  <c r="J10770" i="1"/>
  <c r="J10769" i="1"/>
  <c r="J10768" i="1"/>
  <c r="J10767" i="1"/>
  <c r="J10766" i="1"/>
  <c r="J10765" i="1"/>
  <c r="J10764" i="1"/>
  <c r="J10763" i="1"/>
  <c r="J10762" i="1"/>
  <c r="J10761" i="1"/>
  <c r="J10760" i="1"/>
  <c r="J10759" i="1"/>
  <c r="J10758" i="1"/>
  <c r="J10757" i="1"/>
  <c r="J10756" i="1"/>
  <c r="J10755" i="1"/>
  <c r="J10754" i="1"/>
  <c r="J10753" i="1"/>
  <c r="J10752" i="1"/>
  <c r="J10751" i="1"/>
  <c r="J10750" i="1"/>
  <c r="J10749" i="1"/>
  <c r="J10748" i="1"/>
  <c r="J10747" i="1"/>
  <c r="J10746" i="1"/>
  <c r="J10745" i="1"/>
  <c r="J10744" i="1"/>
  <c r="J10743" i="1"/>
  <c r="J10742" i="1"/>
  <c r="J10741" i="1"/>
  <c r="J10740" i="1"/>
  <c r="J10739" i="1"/>
  <c r="J10738" i="1"/>
  <c r="J10737" i="1"/>
  <c r="J10736" i="1"/>
  <c r="J10735" i="1"/>
  <c r="J10734" i="1"/>
  <c r="J10733" i="1"/>
  <c r="J10732" i="1"/>
  <c r="J10731" i="1"/>
  <c r="J10730" i="1"/>
  <c r="J10729" i="1"/>
  <c r="J10728" i="1"/>
  <c r="J10727" i="1"/>
  <c r="J10726" i="1"/>
  <c r="J10725" i="1"/>
  <c r="J10724" i="1"/>
  <c r="J10723" i="1"/>
  <c r="J10722" i="1"/>
  <c r="J10721" i="1"/>
  <c r="J10720" i="1"/>
  <c r="J10719" i="1"/>
  <c r="J10718" i="1"/>
  <c r="J10717" i="1"/>
  <c r="J10716" i="1"/>
  <c r="J10715" i="1"/>
  <c r="J10714" i="1"/>
  <c r="J10713" i="1"/>
  <c r="J10712" i="1"/>
  <c r="J10711" i="1"/>
  <c r="J10710" i="1"/>
  <c r="J10709" i="1"/>
  <c r="J10708" i="1"/>
  <c r="J10707" i="1"/>
  <c r="J10706" i="1"/>
  <c r="J10705" i="1"/>
  <c r="J10704" i="1"/>
  <c r="J10703" i="1"/>
  <c r="J10702" i="1"/>
  <c r="J10701" i="1"/>
  <c r="J10700" i="1"/>
  <c r="J10699" i="1"/>
  <c r="J10698" i="1"/>
  <c r="J10697" i="1"/>
  <c r="J10696" i="1"/>
  <c r="J10695" i="1"/>
  <c r="J10694" i="1"/>
  <c r="J10693" i="1"/>
  <c r="J10692" i="1"/>
  <c r="J10691" i="1"/>
  <c r="J10690" i="1"/>
  <c r="J10689" i="1"/>
  <c r="J10688" i="1"/>
  <c r="J10687" i="1"/>
  <c r="J10686" i="1"/>
  <c r="J10685" i="1"/>
  <c r="J10684" i="1"/>
  <c r="J10683" i="1"/>
  <c r="J10682" i="1"/>
  <c r="J10681" i="1"/>
  <c r="J10680" i="1"/>
  <c r="J10679" i="1"/>
  <c r="J10678" i="1"/>
  <c r="J10677" i="1"/>
  <c r="J10676" i="1"/>
  <c r="J10675" i="1"/>
  <c r="J10674" i="1"/>
  <c r="J10673" i="1"/>
  <c r="J10672" i="1"/>
  <c r="J10671" i="1"/>
  <c r="J10670" i="1"/>
  <c r="J10669" i="1"/>
  <c r="J10668" i="1"/>
  <c r="J10667" i="1"/>
  <c r="J10666" i="1"/>
  <c r="J10665" i="1"/>
  <c r="J10664" i="1"/>
  <c r="J10663" i="1"/>
  <c r="J10662" i="1"/>
  <c r="J10661" i="1"/>
  <c r="J10660" i="1"/>
  <c r="J10659" i="1"/>
  <c r="J10658" i="1"/>
  <c r="J10657" i="1"/>
  <c r="J10656" i="1"/>
  <c r="J10655" i="1"/>
  <c r="J10654" i="1"/>
  <c r="J10653" i="1"/>
  <c r="J10652" i="1"/>
  <c r="J10651" i="1"/>
  <c r="J10650" i="1"/>
  <c r="J10649" i="1"/>
  <c r="J10648" i="1"/>
  <c r="J10647" i="1"/>
  <c r="J10646" i="1"/>
  <c r="J10645" i="1"/>
  <c r="J10644" i="1"/>
  <c r="J10643" i="1"/>
  <c r="J10642" i="1"/>
  <c r="J10641" i="1"/>
  <c r="J10640" i="1"/>
  <c r="J10639" i="1"/>
  <c r="J10638" i="1"/>
  <c r="J10637" i="1"/>
  <c r="J10636" i="1"/>
  <c r="J10635" i="1"/>
  <c r="J10634" i="1"/>
  <c r="J10633" i="1"/>
  <c r="J10632" i="1"/>
  <c r="J10631" i="1"/>
  <c r="J10630" i="1"/>
  <c r="J10629" i="1"/>
  <c r="J10628" i="1"/>
  <c r="J10627" i="1"/>
  <c r="J10626" i="1"/>
  <c r="J10625" i="1"/>
  <c r="J10624" i="1"/>
  <c r="J10623" i="1"/>
  <c r="J10622" i="1"/>
  <c r="J10621" i="1"/>
  <c r="J10620" i="1"/>
  <c r="J10619" i="1"/>
  <c r="J10618" i="1"/>
  <c r="J10617" i="1"/>
  <c r="J10616" i="1"/>
  <c r="J10615" i="1"/>
  <c r="J10614" i="1"/>
  <c r="J10613" i="1"/>
  <c r="J10612" i="1"/>
  <c r="J10611" i="1"/>
  <c r="J10610" i="1"/>
  <c r="J10609" i="1"/>
  <c r="J10608" i="1"/>
  <c r="J10607" i="1"/>
  <c r="J10606" i="1"/>
  <c r="J10605" i="1"/>
  <c r="J10604" i="1"/>
  <c r="J10603" i="1"/>
  <c r="J10602" i="1"/>
  <c r="J10601" i="1"/>
  <c r="J10600" i="1"/>
  <c r="J10599" i="1"/>
  <c r="J10598" i="1"/>
  <c r="J10597" i="1"/>
  <c r="J10596" i="1"/>
  <c r="J10595" i="1"/>
  <c r="J10594" i="1"/>
  <c r="J10593" i="1"/>
  <c r="J10592" i="1"/>
  <c r="J10591" i="1"/>
  <c r="J10590" i="1"/>
  <c r="J10589" i="1"/>
  <c r="J10588" i="1"/>
  <c r="J10587" i="1"/>
  <c r="J10586" i="1"/>
  <c r="J10585" i="1"/>
  <c r="J10584" i="1"/>
  <c r="J10583" i="1"/>
  <c r="J10582" i="1"/>
  <c r="J10581" i="1"/>
  <c r="J10580" i="1"/>
  <c r="J10579" i="1"/>
  <c r="J10578" i="1"/>
  <c r="J10577" i="1"/>
  <c r="J10576" i="1"/>
  <c r="J10575" i="1"/>
  <c r="J10574" i="1"/>
  <c r="J10573" i="1"/>
  <c r="J10572" i="1"/>
  <c r="J10571" i="1"/>
  <c r="J10570" i="1"/>
  <c r="J10569" i="1"/>
  <c r="J10568" i="1"/>
  <c r="J10567" i="1"/>
  <c r="J10566" i="1"/>
  <c r="J10565" i="1"/>
  <c r="J10564" i="1"/>
  <c r="J10563" i="1"/>
  <c r="J10562" i="1"/>
  <c r="J10561" i="1"/>
  <c r="J10560" i="1"/>
  <c r="J10559" i="1"/>
  <c r="J10558" i="1"/>
  <c r="J10557" i="1"/>
  <c r="J10556" i="1"/>
  <c r="J10555" i="1"/>
  <c r="J10554" i="1"/>
  <c r="J10553" i="1"/>
  <c r="J10552" i="1"/>
  <c r="J10551" i="1"/>
  <c r="J10550" i="1"/>
  <c r="J10549" i="1"/>
  <c r="J10548" i="1"/>
  <c r="J10547" i="1"/>
  <c r="J10546" i="1"/>
  <c r="J10545" i="1"/>
  <c r="J10544" i="1"/>
  <c r="J10543" i="1"/>
  <c r="J10542" i="1"/>
  <c r="J10541" i="1"/>
  <c r="J10540" i="1"/>
  <c r="J10539" i="1"/>
  <c r="J10538" i="1"/>
  <c r="J10537" i="1"/>
  <c r="J10536" i="1"/>
  <c r="J10535" i="1"/>
  <c r="J10534" i="1"/>
  <c r="J10533" i="1"/>
  <c r="J10532" i="1"/>
  <c r="J10531" i="1"/>
  <c r="J10530" i="1"/>
  <c r="J10529" i="1"/>
  <c r="J10528" i="1"/>
  <c r="J10527" i="1"/>
  <c r="J10526" i="1"/>
  <c r="J10525" i="1"/>
  <c r="J10524" i="1"/>
  <c r="J10523" i="1"/>
  <c r="J10522" i="1"/>
  <c r="J10521" i="1"/>
  <c r="J10520" i="1"/>
  <c r="J10519" i="1"/>
  <c r="J10518" i="1"/>
  <c r="J10517" i="1"/>
  <c r="J10516" i="1"/>
  <c r="J10515" i="1"/>
  <c r="J10514" i="1"/>
  <c r="J10513" i="1"/>
  <c r="J10512" i="1"/>
  <c r="J10511" i="1"/>
  <c r="J10510" i="1"/>
  <c r="J10509" i="1"/>
  <c r="J10508" i="1"/>
  <c r="J10507" i="1"/>
  <c r="J10506" i="1"/>
  <c r="J10505" i="1"/>
  <c r="J10504" i="1"/>
  <c r="J10503" i="1"/>
  <c r="J10502" i="1"/>
  <c r="J10501" i="1"/>
  <c r="J10500" i="1"/>
  <c r="J10499" i="1"/>
  <c r="J10498" i="1"/>
  <c r="J10497" i="1"/>
  <c r="J10496" i="1"/>
  <c r="J10495" i="1"/>
  <c r="J10494" i="1"/>
  <c r="J10493" i="1"/>
  <c r="J10492" i="1"/>
  <c r="J10491" i="1"/>
  <c r="J10490" i="1"/>
  <c r="J10489" i="1"/>
  <c r="J10488" i="1"/>
  <c r="J10487" i="1"/>
  <c r="J10486" i="1"/>
  <c r="J10485" i="1"/>
  <c r="J10484" i="1"/>
  <c r="J10483" i="1"/>
  <c r="J10482" i="1"/>
  <c r="J10481" i="1"/>
  <c r="J10480" i="1"/>
  <c r="J10479" i="1"/>
  <c r="J10478" i="1"/>
  <c r="J10477" i="1"/>
  <c r="J10476" i="1"/>
  <c r="J10475" i="1"/>
  <c r="J10474" i="1"/>
  <c r="J10473" i="1"/>
  <c r="J10472" i="1"/>
  <c r="J10471" i="1"/>
  <c r="J10470" i="1"/>
  <c r="J10469" i="1"/>
  <c r="J10468" i="1"/>
  <c r="J10467" i="1"/>
  <c r="J10466" i="1"/>
  <c r="J10465" i="1"/>
  <c r="J10464" i="1"/>
  <c r="J10463" i="1"/>
  <c r="J10462" i="1"/>
  <c r="J10461" i="1"/>
  <c r="J10460" i="1"/>
  <c r="J10459" i="1"/>
  <c r="J10458" i="1"/>
  <c r="J10457" i="1"/>
  <c r="J10456" i="1"/>
  <c r="J10455" i="1"/>
  <c r="J10454" i="1"/>
  <c r="J10453" i="1"/>
  <c r="J10452" i="1"/>
  <c r="J10451" i="1"/>
  <c r="J10450" i="1"/>
  <c r="J10449" i="1"/>
  <c r="J10448" i="1"/>
  <c r="J10447" i="1"/>
  <c r="J10446" i="1"/>
  <c r="J10445" i="1"/>
  <c r="J10444" i="1"/>
  <c r="J10443" i="1"/>
  <c r="J10442" i="1"/>
  <c r="J10441" i="1"/>
  <c r="J10440" i="1"/>
  <c r="J10439" i="1"/>
  <c r="J10438" i="1"/>
  <c r="J10437" i="1"/>
  <c r="J10436" i="1"/>
  <c r="J10435" i="1"/>
  <c r="J10434" i="1"/>
  <c r="J10433" i="1"/>
  <c r="J10432" i="1"/>
  <c r="J10431" i="1"/>
  <c r="J10430" i="1"/>
  <c r="J10429" i="1"/>
  <c r="J10428" i="1"/>
  <c r="J10427" i="1"/>
  <c r="J10426" i="1"/>
  <c r="J10425" i="1"/>
  <c r="J10424" i="1"/>
  <c r="J10423" i="1"/>
  <c r="J10422" i="1"/>
  <c r="J10421" i="1"/>
  <c r="J10420" i="1"/>
  <c r="J10419" i="1"/>
  <c r="J10418" i="1"/>
  <c r="J10417" i="1"/>
  <c r="J10416" i="1"/>
  <c r="J10415" i="1"/>
  <c r="J10414" i="1"/>
  <c r="J10413" i="1"/>
  <c r="J10412" i="1"/>
  <c r="J10411" i="1"/>
  <c r="J10410" i="1"/>
  <c r="J10409" i="1"/>
  <c r="J10408" i="1"/>
  <c r="J10407" i="1"/>
  <c r="J10406" i="1"/>
  <c r="J10405" i="1"/>
  <c r="J10404" i="1"/>
  <c r="J10403" i="1"/>
  <c r="J10402" i="1"/>
  <c r="J10401" i="1"/>
  <c r="J10400" i="1"/>
  <c r="J10399" i="1"/>
  <c r="J10398" i="1"/>
  <c r="J10397" i="1"/>
  <c r="J10396" i="1"/>
  <c r="J10395" i="1"/>
  <c r="J10394" i="1"/>
  <c r="J10393" i="1"/>
  <c r="J10392" i="1"/>
  <c r="J10391" i="1"/>
  <c r="J10390" i="1"/>
  <c r="J10389" i="1"/>
  <c r="J10388" i="1"/>
  <c r="J10387" i="1"/>
  <c r="J10386" i="1"/>
  <c r="J10385" i="1"/>
  <c r="J10384" i="1"/>
  <c r="J10383" i="1"/>
  <c r="J10382" i="1"/>
  <c r="J10381" i="1"/>
  <c r="J10380" i="1"/>
  <c r="J10379" i="1"/>
  <c r="J10378" i="1"/>
  <c r="J10377" i="1"/>
  <c r="J10376" i="1"/>
  <c r="J10375" i="1"/>
  <c r="J10374" i="1"/>
  <c r="J10373" i="1"/>
  <c r="J10372" i="1"/>
  <c r="J10371" i="1"/>
  <c r="J10370" i="1"/>
  <c r="J10369" i="1"/>
  <c r="J10368" i="1"/>
  <c r="J10367" i="1"/>
  <c r="J10366" i="1"/>
  <c r="J10365" i="1"/>
  <c r="J10364" i="1"/>
  <c r="J10363" i="1"/>
  <c r="J10362" i="1"/>
  <c r="J10361" i="1"/>
  <c r="J10360" i="1"/>
  <c r="J10359" i="1"/>
  <c r="J10358" i="1"/>
  <c r="J10357" i="1"/>
  <c r="J10356" i="1"/>
  <c r="J10355" i="1"/>
  <c r="J10354" i="1"/>
  <c r="J10353" i="1"/>
  <c r="J10352" i="1"/>
  <c r="J10351" i="1"/>
  <c r="J10350" i="1"/>
  <c r="J10349" i="1"/>
  <c r="J10348" i="1"/>
  <c r="J10347" i="1"/>
  <c r="J10346" i="1"/>
  <c r="J10345" i="1"/>
  <c r="J10344" i="1"/>
  <c r="J10343" i="1"/>
  <c r="J10342" i="1"/>
  <c r="J10341" i="1"/>
  <c r="J10340" i="1"/>
  <c r="J10339" i="1"/>
  <c r="J10338" i="1"/>
  <c r="J10337" i="1"/>
  <c r="J10336" i="1"/>
  <c r="J10335" i="1"/>
  <c r="J10334" i="1"/>
  <c r="J10333" i="1"/>
  <c r="J10332" i="1"/>
  <c r="J10331" i="1"/>
  <c r="J10330" i="1"/>
  <c r="J10329" i="1"/>
  <c r="J10328" i="1"/>
  <c r="J10327" i="1"/>
  <c r="J10326" i="1"/>
  <c r="J10325" i="1"/>
  <c r="J10324" i="1"/>
  <c r="J10323" i="1"/>
  <c r="J10322" i="1"/>
  <c r="J10321" i="1"/>
  <c r="J10320" i="1"/>
  <c r="J10319" i="1"/>
  <c r="J10318" i="1"/>
  <c r="J10317" i="1"/>
  <c r="J10316" i="1"/>
  <c r="J10315" i="1"/>
  <c r="J10314" i="1"/>
  <c r="J10313" i="1"/>
  <c r="J10312" i="1"/>
  <c r="J10311" i="1"/>
  <c r="J10310" i="1"/>
  <c r="J10309" i="1"/>
  <c r="J10308" i="1"/>
  <c r="J10307" i="1"/>
  <c r="J10306" i="1"/>
  <c r="J10305" i="1"/>
  <c r="J10304" i="1"/>
  <c r="J10303" i="1"/>
  <c r="J10302" i="1"/>
  <c r="J10301" i="1"/>
  <c r="J10300" i="1"/>
  <c r="J10299" i="1"/>
  <c r="J10298" i="1"/>
  <c r="J10297" i="1"/>
  <c r="J10296" i="1"/>
  <c r="J10295" i="1"/>
  <c r="J10294" i="1"/>
  <c r="J10293" i="1"/>
  <c r="J10292" i="1"/>
  <c r="J10291" i="1"/>
  <c r="J10290" i="1"/>
  <c r="J10289" i="1"/>
  <c r="J10288" i="1"/>
  <c r="J10287" i="1"/>
  <c r="J10286" i="1"/>
  <c r="J10285" i="1"/>
  <c r="J10284" i="1"/>
  <c r="J10283" i="1"/>
  <c r="J10282" i="1"/>
  <c r="J10281" i="1"/>
  <c r="J10280" i="1"/>
  <c r="J10279" i="1"/>
  <c r="J10278" i="1"/>
  <c r="J10277" i="1"/>
  <c r="J10276" i="1"/>
  <c r="J10275" i="1"/>
  <c r="J10274" i="1"/>
  <c r="J10273" i="1"/>
  <c r="J10272" i="1"/>
  <c r="J10271" i="1"/>
  <c r="J10270" i="1"/>
  <c r="J10269" i="1"/>
  <c r="J10268" i="1"/>
  <c r="J10267" i="1"/>
  <c r="J10266" i="1"/>
  <c r="J10265" i="1"/>
  <c r="J10264" i="1"/>
  <c r="J10263" i="1"/>
  <c r="J10262" i="1"/>
  <c r="J10261" i="1"/>
  <c r="J10260" i="1"/>
  <c r="J10259" i="1"/>
  <c r="J10258" i="1"/>
  <c r="J10257" i="1"/>
  <c r="J10256" i="1"/>
  <c r="J10255" i="1"/>
  <c r="J10254" i="1"/>
  <c r="J10253" i="1"/>
  <c r="J10252" i="1"/>
  <c r="J10251" i="1"/>
  <c r="J10250" i="1"/>
  <c r="J10249" i="1"/>
  <c r="J10248" i="1"/>
  <c r="J10247" i="1"/>
  <c r="J10246" i="1"/>
  <c r="J10245" i="1"/>
  <c r="J10244" i="1"/>
  <c r="J10243" i="1"/>
  <c r="J10242" i="1"/>
  <c r="J10241" i="1"/>
  <c r="J10240" i="1"/>
  <c r="J10239" i="1"/>
  <c r="J10238" i="1"/>
  <c r="J10237" i="1"/>
  <c r="J10236" i="1"/>
  <c r="J10235" i="1"/>
  <c r="J10234" i="1"/>
  <c r="J10233" i="1"/>
  <c r="J10232" i="1"/>
  <c r="J10231" i="1"/>
  <c r="J10230" i="1"/>
  <c r="J10229" i="1"/>
  <c r="J10228" i="1"/>
  <c r="J10227" i="1"/>
  <c r="J10226" i="1"/>
  <c r="J10225" i="1"/>
  <c r="J10224" i="1"/>
  <c r="J10223" i="1"/>
  <c r="J10222" i="1"/>
  <c r="J10221" i="1"/>
  <c r="J10220" i="1"/>
  <c r="J10219" i="1"/>
  <c r="J10218" i="1"/>
  <c r="J10217" i="1"/>
  <c r="J10216" i="1"/>
  <c r="J10215" i="1"/>
  <c r="J10214" i="1"/>
  <c r="J10213" i="1"/>
  <c r="J10212" i="1"/>
  <c r="J10211" i="1"/>
  <c r="J10210" i="1"/>
  <c r="J10209" i="1"/>
  <c r="J10208" i="1"/>
  <c r="J10207" i="1"/>
  <c r="J10206" i="1"/>
  <c r="J10205" i="1"/>
  <c r="J10204" i="1"/>
  <c r="J10203" i="1"/>
  <c r="J10202" i="1"/>
  <c r="J10201" i="1"/>
  <c r="J10200" i="1"/>
  <c r="J10199" i="1"/>
  <c r="J10198" i="1"/>
  <c r="J10197" i="1"/>
  <c r="J10196" i="1"/>
  <c r="J10195" i="1"/>
  <c r="J10194" i="1"/>
  <c r="J10193" i="1"/>
  <c r="J10192" i="1"/>
  <c r="J10191" i="1"/>
  <c r="J10190" i="1"/>
  <c r="J10189" i="1"/>
  <c r="J10188" i="1"/>
  <c r="J10187" i="1"/>
  <c r="J10186" i="1"/>
  <c r="J10185" i="1"/>
  <c r="J10184" i="1"/>
  <c r="J10183" i="1"/>
  <c r="J10182" i="1"/>
  <c r="J10181" i="1"/>
  <c r="J10180" i="1"/>
  <c r="J10179" i="1"/>
  <c r="J10178" i="1"/>
  <c r="J10177" i="1"/>
  <c r="J10176" i="1"/>
  <c r="J10175" i="1"/>
  <c r="J10174" i="1"/>
  <c r="J10173" i="1"/>
  <c r="J10172" i="1"/>
  <c r="J10171" i="1"/>
  <c r="J10170" i="1"/>
  <c r="J10169" i="1"/>
  <c r="J10168" i="1"/>
  <c r="J10167" i="1"/>
  <c r="J10166" i="1"/>
  <c r="J10165" i="1"/>
  <c r="J10164" i="1"/>
  <c r="J10163" i="1"/>
  <c r="J10162" i="1"/>
  <c r="J10161" i="1"/>
  <c r="J10160" i="1"/>
  <c r="J10159" i="1"/>
  <c r="J10158" i="1"/>
  <c r="J10157" i="1"/>
  <c r="J10156" i="1"/>
  <c r="J10155" i="1"/>
  <c r="J10154" i="1"/>
  <c r="J10153" i="1"/>
  <c r="J10152" i="1"/>
  <c r="J10151" i="1"/>
  <c r="J10150" i="1"/>
  <c r="J10149" i="1"/>
  <c r="J10148" i="1"/>
  <c r="J10147" i="1"/>
  <c r="J10146" i="1"/>
  <c r="J10145" i="1"/>
  <c r="J10144" i="1"/>
  <c r="J10143" i="1"/>
  <c r="J10142" i="1"/>
  <c r="J10141" i="1"/>
  <c r="J10140" i="1"/>
  <c r="J10139" i="1"/>
  <c r="J10138" i="1"/>
  <c r="J10137" i="1"/>
  <c r="J10136" i="1"/>
  <c r="J10135" i="1"/>
  <c r="J10134" i="1"/>
  <c r="J10133" i="1"/>
  <c r="J10132" i="1"/>
  <c r="J10131" i="1"/>
  <c r="J10130" i="1"/>
  <c r="J10129" i="1"/>
  <c r="J10128" i="1"/>
  <c r="J10127" i="1"/>
  <c r="J10126" i="1"/>
  <c r="J10125" i="1"/>
  <c r="J10124" i="1"/>
  <c r="J10123" i="1"/>
  <c r="J10122" i="1"/>
  <c r="J10121" i="1"/>
  <c r="J10120" i="1"/>
  <c r="J10119" i="1"/>
  <c r="J10118" i="1"/>
  <c r="J10117" i="1"/>
  <c r="J10116" i="1"/>
  <c r="J10115" i="1"/>
  <c r="J10114" i="1"/>
  <c r="J10113" i="1"/>
  <c r="J10112" i="1"/>
  <c r="J10111" i="1"/>
  <c r="J10110" i="1"/>
  <c r="J10109" i="1"/>
  <c r="J10108" i="1"/>
  <c r="J10107" i="1"/>
  <c r="J10106" i="1"/>
  <c r="J10105" i="1"/>
  <c r="J10104" i="1"/>
  <c r="J10103" i="1"/>
  <c r="J10102" i="1"/>
  <c r="J10101" i="1"/>
  <c r="J10100" i="1"/>
  <c r="J10099" i="1"/>
  <c r="J10098" i="1"/>
  <c r="J10097" i="1"/>
  <c r="J10096" i="1"/>
  <c r="J10095" i="1"/>
  <c r="J10094" i="1"/>
  <c r="J10093" i="1"/>
  <c r="J10092" i="1"/>
  <c r="J10091" i="1"/>
  <c r="J10090" i="1"/>
  <c r="J10089" i="1"/>
  <c r="J10088" i="1"/>
  <c r="J10087" i="1"/>
  <c r="J10086" i="1"/>
  <c r="J10085" i="1"/>
  <c r="J10084" i="1"/>
  <c r="J10083" i="1"/>
  <c r="J10082" i="1"/>
  <c r="J10081" i="1"/>
  <c r="J10080" i="1"/>
  <c r="J10079" i="1"/>
  <c r="J10078" i="1"/>
  <c r="J10077" i="1"/>
  <c r="J10076" i="1"/>
  <c r="J10075" i="1"/>
  <c r="J10074" i="1"/>
  <c r="J10073" i="1"/>
  <c r="J10072" i="1"/>
  <c r="J10071" i="1"/>
  <c r="J10070" i="1"/>
  <c r="J10069" i="1"/>
  <c r="J10068" i="1"/>
  <c r="J10067" i="1"/>
  <c r="J10066" i="1"/>
  <c r="J10065" i="1"/>
  <c r="J10064" i="1"/>
  <c r="J10063" i="1"/>
  <c r="J10062" i="1"/>
  <c r="J10061" i="1"/>
  <c r="J10060" i="1"/>
  <c r="J10059" i="1"/>
  <c r="J10058" i="1"/>
  <c r="J10057" i="1"/>
  <c r="J10056" i="1"/>
  <c r="J10055" i="1"/>
  <c r="J10054" i="1"/>
  <c r="J10053" i="1"/>
  <c r="J10052" i="1"/>
  <c r="J10051" i="1"/>
  <c r="J10050" i="1"/>
  <c r="J10049" i="1"/>
  <c r="J10048" i="1"/>
  <c r="J10047" i="1"/>
  <c r="J10046" i="1"/>
  <c r="J10045" i="1"/>
  <c r="J10044" i="1"/>
  <c r="J10043" i="1"/>
  <c r="J10042" i="1"/>
  <c r="J10041" i="1"/>
  <c r="J10040" i="1"/>
  <c r="J10039" i="1"/>
  <c r="J10038" i="1"/>
  <c r="J10037" i="1"/>
  <c r="J10036" i="1"/>
  <c r="J10035" i="1"/>
  <c r="J10034" i="1"/>
  <c r="J10033" i="1"/>
  <c r="J10032" i="1"/>
  <c r="J10031" i="1"/>
  <c r="J10030" i="1"/>
  <c r="J10029" i="1"/>
  <c r="J10028" i="1"/>
  <c r="J10027" i="1"/>
  <c r="J10026" i="1"/>
  <c r="J10025" i="1"/>
  <c r="J10024" i="1"/>
  <c r="J10023" i="1"/>
  <c r="J10022" i="1"/>
  <c r="J10021" i="1"/>
  <c r="J10020" i="1"/>
  <c r="J10019" i="1"/>
  <c r="J10018" i="1"/>
  <c r="J10017" i="1"/>
  <c r="J10016" i="1"/>
  <c r="J10015" i="1"/>
  <c r="J10014" i="1"/>
  <c r="J10013" i="1"/>
  <c r="J10012" i="1"/>
  <c r="J10011" i="1"/>
  <c r="J10010" i="1"/>
  <c r="J10009" i="1"/>
  <c r="J10008" i="1"/>
  <c r="J10007" i="1"/>
  <c r="J10006" i="1"/>
  <c r="J10005" i="1"/>
  <c r="J10004" i="1"/>
  <c r="J10003" i="1"/>
  <c r="J10002" i="1"/>
  <c r="J10001" i="1"/>
  <c r="J10000" i="1"/>
  <c r="J9999" i="1"/>
  <c r="J9998" i="1"/>
  <c r="J9997" i="1"/>
  <c r="J9996" i="1"/>
  <c r="J9995" i="1"/>
  <c r="J9994" i="1"/>
  <c r="J9993" i="1"/>
  <c r="J9992" i="1"/>
  <c r="J9991" i="1"/>
  <c r="J9990" i="1"/>
  <c r="J9989" i="1"/>
  <c r="J9988" i="1"/>
  <c r="J9987" i="1"/>
  <c r="J9986" i="1"/>
  <c r="J9985" i="1"/>
  <c r="J9984" i="1"/>
  <c r="J9983" i="1"/>
  <c r="J9982" i="1"/>
  <c r="J9981" i="1"/>
  <c r="J9980" i="1"/>
  <c r="J9979" i="1"/>
  <c r="J9978" i="1"/>
  <c r="J9977" i="1"/>
  <c r="J9976" i="1"/>
  <c r="J9975" i="1"/>
  <c r="J9974" i="1"/>
  <c r="J9973" i="1"/>
  <c r="J9972" i="1"/>
  <c r="J9971" i="1"/>
  <c r="J9970" i="1"/>
  <c r="J9969" i="1"/>
  <c r="J9968" i="1"/>
  <c r="J9967" i="1"/>
  <c r="J9966" i="1"/>
  <c r="J9965" i="1"/>
  <c r="J9964" i="1"/>
  <c r="J9963" i="1"/>
  <c r="J9962" i="1"/>
  <c r="J9961" i="1"/>
  <c r="J9960" i="1"/>
  <c r="J9959" i="1"/>
  <c r="J9958" i="1"/>
  <c r="J9957" i="1"/>
  <c r="J9956" i="1"/>
  <c r="J9955" i="1"/>
  <c r="J9954" i="1"/>
  <c r="J9953" i="1"/>
  <c r="J9952" i="1"/>
  <c r="J9951" i="1"/>
  <c r="J9950" i="1"/>
  <c r="J9949" i="1"/>
  <c r="J9948" i="1"/>
  <c r="J9947" i="1"/>
  <c r="J9946" i="1"/>
  <c r="J9945" i="1"/>
  <c r="J9944" i="1"/>
  <c r="J9943" i="1"/>
  <c r="J9942" i="1"/>
  <c r="J9941" i="1"/>
  <c r="J9940" i="1"/>
  <c r="J9939" i="1"/>
  <c r="J9938" i="1"/>
  <c r="J9937" i="1"/>
  <c r="J9936" i="1"/>
  <c r="J9935" i="1"/>
  <c r="J9934" i="1"/>
  <c r="J9933" i="1"/>
  <c r="J9932" i="1"/>
  <c r="J9931" i="1"/>
  <c r="J9930" i="1"/>
  <c r="J9929" i="1"/>
  <c r="J9928" i="1"/>
  <c r="J9927" i="1"/>
  <c r="J9926" i="1"/>
  <c r="J9925" i="1"/>
  <c r="J9924" i="1"/>
  <c r="J9923" i="1"/>
  <c r="J9922" i="1"/>
  <c r="J9921" i="1"/>
  <c r="J9920" i="1"/>
  <c r="J9919" i="1"/>
  <c r="J9918" i="1"/>
  <c r="J9917" i="1"/>
  <c r="J9916" i="1"/>
  <c r="J9915" i="1"/>
  <c r="J9914" i="1"/>
  <c r="J9913" i="1"/>
  <c r="J9912" i="1"/>
  <c r="J9911" i="1"/>
  <c r="J9910" i="1"/>
  <c r="J9909" i="1"/>
  <c r="J9908" i="1"/>
  <c r="J9907" i="1"/>
  <c r="J9906" i="1"/>
  <c r="J9905" i="1"/>
  <c r="J9904" i="1"/>
  <c r="J9903" i="1"/>
  <c r="J9902" i="1"/>
  <c r="J9901" i="1"/>
  <c r="J9900" i="1"/>
  <c r="J9899" i="1"/>
  <c r="J9898" i="1"/>
  <c r="J9897" i="1"/>
  <c r="J9896" i="1"/>
  <c r="J9895" i="1"/>
  <c r="J9894" i="1"/>
  <c r="J9893" i="1"/>
  <c r="J9892" i="1"/>
  <c r="J9891" i="1"/>
  <c r="J9890" i="1"/>
  <c r="J9889" i="1"/>
  <c r="J9888" i="1"/>
  <c r="J9887" i="1"/>
  <c r="J9886" i="1"/>
  <c r="J9885" i="1"/>
  <c r="J9884" i="1"/>
  <c r="J9883" i="1"/>
  <c r="J9882" i="1"/>
  <c r="J9881" i="1"/>
  <c r="J9880" i="1"/>
  <c r="J9879" i="1"/>
  <c r="J9878" i="1"/>
  <c r="J9877" i="1"/>
  <c r="J9876" i="1"/>
  <c r="J9875" i="1"/>
  <c r="J9874" i="1"/>
  <c r="J9873" i="1"/>
  <c r="J9872" i="1"/>
  <c r="J9871" i="1"/>
  <c r="J9870" i="1"/>
  <c r="J9869" i="1"/>
  <c r="J9868" i="1"/>
  <c r="J9867" i="1"/>
  <c r="J9866" i="1"/>
  <c r="J9865" i="1"/>
  <c r="J9864" i="1"/>
  <c r="J9863" i="1"/>
  <c r="J9862" i="1"/>
  <c r="J9861" i="1"/>
  <c r="J9860" i="1"/>
  <c r="J9859" i="1"/>
  <c r="J9858" i="1"/>
  <c r="J9857" i="1"/>
  <c r="J9856" i="1"/>
  <c r="J9855" i="1"/>
  <c r="J9854" i="1"/>
  <c r="J9853" i="1"/>
  <c r="J9852" i="1"/>
  <c r="J9851" i="1"/>
  <c r="J9850" i="1"/>
  <c r="J9849" i="1"/>
  <c r="J9848" i="1"/>
  <c r="J9847" i="1"/>
  <c r="J9846" i="1"/>
  <c r="J9845" i="1"/>
  <c r="J9844" i="1"/>
  <c r="J9843" i="1"/>
  <c r="J9842" i="1"/>
  <c r="J9841" i="1"/>
  <c r="J9840" i="1"/>
  <c r="J9839" i="1"/>
  <c r="J9838" i="1"/>
  <c r="J9837" i="1"/>
  <c r="J9836" i="1"/>
  <c r="J9835" i="1"/>
  <c r="J9834" i="1"/>
  <c r="J9833" i="1"/>
  <c r="J9832" i="1"/>
  <c r="J9831" i="1"/>
  <c r="J9830" i="1"/>
  <c r="J9829" i="1"/>
  <c r="J9828" i="1"/>
  <c r="J9827" i="1"/>
  <c r="J9826" i="1"/>
  <c r="J9825" i="1"/>
  <c r="J9824" i="1"/>
  <c r="J9823" i="1"/>
  <c r="J9822" i="1"/>
  <c r="J9821" i="1"/>
  <c r="J9820" i="1"/>
  <c r="J9819" i="1"/>
  <c r="J9818" i="1"/>
  <c r="J9817" i="1"/>
  <c r="J9816" i="1"/>
  <c r="J9815" i="1"/>
  <c r="J9814" i="1"/>
  <c r="J9813" i="1"/>
  <c r="J9812" i="1"/>
  <c r="J9811" i="1"/>
  <c r="J9810" i="1"/>
  <c r="J9809" i="1"/>
  <c r="J9808" i="1"/>
  <c r="J9807" i="1"/>
  <c r="J9806" i="1"/>
  <c r="J9805" i="1"/>
  <c r="J9804" i="1"/>
  <c r="J9803" i="1"/>
  <c r="J9802" i="1"/>
  <c r="J9801" i="1"/>
  <c r="J9800" i="1"/>
  <c r="J9799" i="1"/>
  <c r="J9798" i="1"/>
  <c r="J9797" i="1"/>
  <c r="J9796" i="1"/>
  <c r="J9795" i="1"/>
  <c r="J9794" i="1"/>
  <c r="J9793" i="1"/>
  <c r="J9792" i="1"/>
  <c r="J9791" i="1"/>
  <c r="J9790" i="1"/>
  <c r="J9789" i="1"/>
  <c r="J9788" i="1"/>
  <c r="J9787" i="1"/>
  <c r="J9786" i="1"/>
  <c r="J9785" i="1"/>
  <c r="J9784" i="1"/>
  <c r="J9783" i="1"/>
  <c r="J9782" i="1"/>
  <c r="J9781" i="1"/>
  <c r="J9780" i="1"/>
  <c r="J9779" i="1"/>
  <c r="J9778" i="1"/>
  <c r="J9777" i="1"/>
  <c r="J9776" i="1"/>
  <c r="J9775" i="1"/>
  <c r="J9774" i="1"/>
  <c r="J9773" i="1"/>
  <c r="J9772" i="1"/>
  <c r="J9771" i="1"/>
  <c r="J9770" i="1"/>
  <c r="J9769" i="1"/>
  <c r="J9768" i="1"/>
  <c r="J9767" i="1"/>
  <c r="J9766" i="1"/>
  <c r="J9765" i="1"/>
  <c r="J9764" i="1"/>
  <c r="J9763" i="1"/>
  <c r="J9762" i="1"/>
  <c r="J9761" i="1"/>
  <c r="J9760" i="1"/>
  <c r="J9759" i="1"/>
  <c r="J9758" i="1"/>
  <c r="J9757" i="1"/>
  <c r="J9756" i="1"/>
  <c r="J9755" i="1"/>
  <c r="J9754" i="1"/>
  <c r="J9753" i="1"/>
  <c r="J9752" i="1"/>
  <c r="J9751" i="1"/>
  <c r="J9750" i="1"/>
  <c r="J9749" i="1"/>
  <c r="J9748" i="1"/>
  <c r="J9747" i="1"/>
  <c r="J9746" i="1"/>
  <c r="J9745" i="1"/>
  <c r="J9744" i="1"/>
  <c r="J9743" i="1"/>
  <c r="J9742" i="1"/>
  <c r="J9741" i="1"/>
  <c r="J9740" i="1"/>
  <c r="J9739" i="1"/>
  <c r="J9738" i="1"/>
  <c r="J9737" i="1"/>
  <c r="J9736" i="1"/>
  <c r="J9735" i="1"/>
  <c r="J9734" i="1"/>
  <c r="J9733" i="1"/>
  <c r="J9732" i="1"/>
  <c r="J9731" i="1"/>
  <c r="J9730" i="1"/>
  <c r="J9729" i="1"/>
  <c r="J9728" i="1"/>
  <c r="J9727" i="1"/>
  <c r="J9726" i="1"/>
  <c r="J9725" i="1"/>
  <c r="J9724" i="1"/>
  <c r="J9723" i="1"/>
  <c r="J9722" i="1"/>
  <c r="J9721" i="1"/>
  <c r="J9720" i="1"/>
  <c r="J9719" i="1"/>
  <c r="J9718" i="1"/>
  <c r="J9717" i="1"/>
  <c r="J9716" i="1"/>
  <c r="J9715" i="1"/>
  <c r="J9714" i="1"/>
  <c r="J9713" i="1"/>
  <c r="J9712" i="1"/>
  <c r="J9711" i="1"/>
  <c r="J9710" i="1"/>
  <c r="J9709" i="1"/>
  <c r="J9708" i="1"/>
  <c r="J9707" i="1"/>
  <c r="J9706" i="1"/>
  <c r="J9705" i="1"/>
  <c r="J9704" i="1"/>
  <c r="J9703" i="1"/>
  <c r="J9702" i="1"/>
  <c r="J9701" i="1"/>
  <c r="J9700" i="1"/>
  <c r="J9699" i="1"/>
  <c r="J9698" i="1"/>
  <c r="J9697" i="1"/>
  <c r="J9696" i="1"/>
  <c r="J9695" i="1"/>
  <c r="J9694" i="1"/>
  <c r="J9693" i="1"/>
  <c r="J9692" i="1"/>
  <c r="J9691" i="1"/>
  <c r="J9690" i="1"/>
  <c r="J9689" i="1"/>
  <c r="J9688" i="1"/>
  <c r="J9687" i="1"/>
  <c r="J9686" i="1"/>
  <c r="J9685" i="1"/>
  <c r="J9684" i="1"/>
  <c r="J9683" i="1"/>
  <c r="J9682" i="1"/>
  <c r="J9681" i="1"/>
  <c r="J9680" i="1"/>
  <c r="J9679" i="1"/>
  <c r="J9678" i="1"/>
  <c r="J9677" i="1"/>
  <c r="J9676" i="1"/>
  <c r="J9675" i="1"/>
  <c r="J9674" i="1"/>
  <c r="J9673" i="1"/>
  <c r="J9672" i="1"/>
  <c r="J9671" i="1"/>
  <c r="J9670" i="1"/>
  <c r="J9669" i="1"/>
  <c r="J9668" i="1"/>
  <c r="J9667" i="1"/>
  <c r="J9666" i="1"/>
  <c r="J9665" i="1"/>
  <c r="J9664" i="1"/>
  <c r="J9663" i="1"/>
  <c r="J9662" i="1"/>
  <c r="J9661" i="1"/>
  <c r="J9660" i="1"/>
  <c r="J9659" i="1"/>
  <c r="J9658" i="1"/>
  <c r="J9657" i="1"/>
  <c r="J9656" i="1"/>
  <c r="J9655" i="1"/>
  <c r="J9654" i="1"/>
  <c r="J9653" i="1"/>
  <c r="J9652" i="1"/>
  <c r="J9651" i="1"/>
  <c r="J9650" i="1"/>
  <c r="J9649" i="1"/>
  <c r="J9648" i="1"/>
  <c r="J9647" i="1"/>
  <c r="J9646" i="1"/>
  <c r="J9645" i="1"/>
  <c r="J9644" i="1"/>
  <c r="J9643" i="1"/>
  <c r="J9642" i="1"/>
  <c r="J9641" i="1"/>
  <c r="J9640" i="1"/>
  <c r="J9639" i="1"/>
  <c r="J9638" i="1"/>
  <c r="J9637" i="1"/>
  <c r="J9636" i="1"/>
  <c r="J9635" i="1"/>
  <c r="J9634" i="1"/>
  <c r="J9633" i="1"/>
  <c r="J9632" i="1"/>
  <c r="J9631" i="1"/>
  <c r="J9630" i="1"/>
  <c r="J9629" i="1"/>
  <c r="J9628" i="1"/>
  <c r="J9627" i="1"/>
  <c r="J9626" i="1"/>
  <c r="J9625" i="1"/>
  <c r="J9624" i="1"/>
  <c r="J9623" i="1"/>
  <c r="J9622" i="1"/>
  <c r="J9621" i="1"/>
  <c r="J9620" i="1"/>
  <c r="J9619" i="1"/>
  <c r="J9618" i="1"/>
  <c r="J9617" i="1"/>
  <c r="J9616" i="1"/>
  <c r="J9615" i="1"/>
  <c r="J9614" i="1"/>
  <c r="J9613" i="1"/>
  <c r="J9612" i="1"/>
  <c r="J9611" i="1"/>
  <c r="J9610" i="1"/>
  <c r="J9609" i="1"/>
  <c r="J9608" i="1"/>
  <c r="J9607" i="1"/>
  <c r="J9606" i="1"/>
  <c r="J9605" i="1"/>
  <c r="J9604" i="1"/>
  <c r="J9603" i="1"/>
  <c r="J9602" i="1"/>
  <c r="J9601" i="1"/>
  <c r="J9600" i="1"/>
  <c r="J9599" i="1"/>
  <c r="J9598" i="1"/>
  <c r="J9597" i="1"/>
  <c r="J9596" i="1"/>
  <c r="J9595" i="1"/>
  <c r="J9594" i="1"/>
  <c r="J9593" i="1"/>
  <c r="J9592" i="1"/>
  <c r="J9591" i="1"/>
  <c r="J9590" i="1"/>
  <c r="J9589" i="1"/>
  <c r="J9588" i="1"/>
  <c r="J9587" i="1"/>
  <c r="J9586" i="1"/>
  <c r="J9585" i="1"/>
  <c r="J9584" i="1"/>
  <c r="J9583" i="1"/>
  <c r="J9582" i="1"/>
  <c r="J9581" i="1"/>
  <c r="J9580" i="1"/>
  <c r="J9579" i="1"/>
  <c r="J9578" i="1"/>
  <c r="J9577" i="1"/>
  <c r="J9576" i="1"/>
  <c r="J9575" i="1"/>
  <c r="J9574" i="1"/>
  <c r="J9573" i="1"/>
  <c r="J9572" i="1"/>
  <c r="J9571" i="1"/>
  <c r="J9570" i="1"/>
  <c r="J9569" i="1"/>
  <c r="J9568" i="1"/>
  <c r="J9567" i="1"/>
  <c r="J9566" i="1"/>
  <c r="J9565" i="1"/>
  <c r="J9564" i="1"/>
  <c r="J9563" i="1"/>
  <c r="J9562" i="1"/>
  <c r="J9561" i="1"/>
  <c r="J9560" i="1"/>
  <c r="J9559" i="1"/>
  <c r="J9558" i="1"/>
  <c r="J9557" i="1"/>
  <c r="J9556" i="1"/>
  <c r="J9555" i="1"/>
  <c r="J9554" i="1"/>
  <c r="J9553" i="1"/>
  <c r="J9552" i="1"/>
  <c r="J9551" i="1"/>
  <c r="J9550" i="1"/>
  <c r="J9549" i="1"/>
  <c r="J9548" i="1"/>
  <c r="J9547" i="1"/>
  <c r="J9546" i="1"/>
  <c r="J9545" i="1"/>
  <c r="J9544" i="1"/>
  <c r="J9543" i="1"/>
  <c r="J9542" i="1"/>
  <c r="J9541" i="1"/>
  <c r="J9540" i="1"/>
  <c r="J9539" i="1"/>
  <c r="J9538" i="1"/>
  <c r="J9537" i="1"/>
  <c r="J9536" i="1"/>
  <c r="J9535" i="1"/>
  <c r="J9534" i="1"/>
  <c r="J9533" i="1"/>
  <c r="J9532" i="1"/>
  <c r="J9531" i="1"/>
  <c r="J9530" i="1"/>
  <c r="J9529" i="1"/>
  <c r="J9528" i="1"/>
  <c r="J9527" i="1"/>
  <c r="J9526" i="1"/>
  <c r="J9525" i="1"/>
  <c r="J9524" i="1"/>
  <c r="J9523" i="1"/>
  <c r="J9522" i="1"/>
  <c r="J9521" i="1"/>
  <c r="J9520" i="1"/>
  <c r="J9519" i="1"/>
  <c r="J9518" i="1"/>
  <c r="J9517" i="1"/>
  <c r="J9516" i="1"/>
  <c r="J9515" i="1"/>
  <c r="J9514" i="1"/>
  <c r="J9513" i="1"/>
  <c r="J9512" i="1"/>
  <c r="J9511" i="1"/>
  <c r="J9510" i="1"/>
  <c r="J9509" i="1"/>
  <c r="J9508" i="1"/>
  <c r="J9507" i="1"/>
  <c r="J9506" i="1"/>
  <c r="J9505" i="1"/>
  <c r="J9504" i="1"/>
  <c r="J9503" i="1"/>
  <c r="J9502" i="1"/>
  <c r="J9501" i="1"/>
  <c r="J9500" i="1"/>
  <c r="J9499" i="1"/>
  <c r="J9498" i="1"/>
  <c r="J9497" i="1"/>
  <c r="J9496" i="1"/>
  <c r="J9495" i="1"/>
  <c r="J9494" i="1"/>
  <c r="J9493" i="1"/>
  <c r="J9492" i="1"/>
  <c r="J9491" i="1"/>
  <c r="J9490" i="1"/>
  <c r="J9489" i="1"/>
  <c r="J9488" i="1"/>
  <c r="J9487" i="1"/>
  <c r="J9486" i="1"/>
  <c r="J9485" i="1"/>
  <c r="J9484" i="1"/>
  <c r="J9483" i="1"/>
  <c r="J9482" i="1"/>
  <c r="J9481" i="1"/>
  <c r="J9480" i="1"/>
  <c r="J9479" i="1"/>
  <c r="J9478" i="1"/>
  <c r="J9477" i="1"/>
  <c r="J9476" i="1"/>
  <c r="J9475" i="1"/>
  <c r="J9474" i="1"/>
  <c r="J9473" i="1"/>
  <c r="J9472" i="1"/>
  <c r="J9471" i="1"/>
  <c r="J9470" i="1"/>
  <c r="J9469" i="1"/>
  <c r="J9468" i="1"/>
  <c r="J9467" i="1"/>
  <c r="J9466" i="1"/>
  <c r="J9465" i="1"/>
  <c r="J9464" i="1"/>
  <c r="J9463" i="1"/>
  <c r="J9462" i="1"/>
  <c r="J9461" i="1"/>
  <c r="J9460" i="1"/>
  <c r="J9459" i="1"/>
  <c r="J9458" i="1"/>
  <c r="J9457" i="1"/>
  <c r="J9456" i="1"/>
  <c r="J9455" i="1"/>
  <c r="J9454" i="1"/>
  <c r="J9453" i="1"/>
  <c r="J9452" i="1"/>
  <c r="J9451" i="1"/>
  <c r="J9450" i="1"/>
  <c r="J9449" i="1"/>
  <c r="J9448" i="1"/>
  <c r="J9447" i="1"/>
  <c r="J9446" i="1"/>
  <c r="J9445" i="1"/>
  <c r="J9444" i="1"/>
  <c r="J9443" i="1"/>
  <c r="J9442" i="1"/>
  <c r="J9441" i="1"/>
  <c r="J9440" i="1"/>
  <c r="J9439" i="1"/>
  <c r="J9438" i="1"/>
  <c r="J9437" i="1"/>
  <c r="J9436" i="1"/>
  <c r="J9435" i="1"/>
  <c r="J9434" i="1"/>
  <c r="J9433" i="1"/>
  <c r="J9432" i="1"/>
  <c r="J9431" i="1"/>
  <c r="J9430" i="1"/>
  <c r="J9429" i="1"/>
  <c r="J9428" i="1"/>
  <c r="J9427" i="1"/>
  <c r="J9426" i="1"/>
  <c r="J9425" i="1"/>
  <c r="J9424" i="1"/>
  <c r="J9423" i="1"/>
  <c r="J9422" i="1"/>
  <c r="J9421" i="1"/>
  <c r="J9420" i="1"/>
  <c r="J9419" i="1"/>
  <c r="J9418" i="1"/>
  <c r="J9417" i="1"/>
  <c r="J9416" i="1"/>
  <c r="J9415" i="1"/>
  <c r="J9414" i="1"/>
  <c r="J9413" i="1"/>
  <c r="J9412" i="1"/>
  <c r="J9411" i="1"/>
  <c r="J9410" i="1"/>
  <c r="J9409" i="1"/>
  <c r="J9408" i="1"/>
  <c r="J9407" i="1"/>
  <c r="J9406" i="1"/>
  <c r="J9405" i="1"/>
  <c r="J9404" i="1"/>
  <c r="J9403" i="1"/>
  <c r="J9402" i="1"/>
  <c r="J9401" i="1"/>
  <c r="J9400" i="1"/>
  <c r="J9399" i="1"/>
  <c r="J9398" i="1"/>
  <c r="J9397" i="1"/>
  <c r="J9396" i="1"/>
  <c r="J9395" i="1"/>
  <c r="J9394" i="1"/>
  <c r="J9393" i="1"/>
  <c r="J9392" i="1"/>
  <c r="J9391" i="1"/>
  <c r="J9390" i="1"/>
  <c r="J9389" i="1"/>
  <c r="J9388" i="1"/>
  <c r="J9387" i="1"/>
  <c r="J9386" i="1"/>
  <c r="J9385" i="1"/>
  <c r="J9384" i="1"/>
  <c r="J9383" i="1"/>
  <c r="J9382" i="1"/>
  <c r="J9381" i="1"/>
  <c r="J9380" i="1"/>
  <c r="J9379" i="1"/>
  <c r="J9378" i="1"/>
  <c r="J9377" i="1"/>
  <c r="J9376" i="1"/>
  <c r="J9375" i="1"/>
  <c r="J9374" i="1"/>
  <c r="J9373" i="1"/>
  <c r="J9372" i="1"/>
  <c r="J9371" i="1"/>
  <c r="J9370" i="1"/>
  <c r="J9369" i="1"/>
  <c r="J9368" i="1"/>
  <c r="J9367" i="1"/>
  <c r="J9366" i="1"/>
  <c r="J9365" i="1"/>
  <c r="J9364" i="1"/>
  <c r="J9363" i="1"/>
  <c r="J9362" i="1"/>
  <c r="J9361" i="1"/>
  <c r="J9360" i="1"/>
  <c r="J9359" i="1"/>
  <c r="J9358" i="1"/>
  <c r="J9357" i="1"/>
  <c r="J9356" i="1"/>
  <c r="J9355" i="1"/>
  <c r="J9354" i="1"/>
  <c r="J9353" i="1"/>
  <c r="J9352" i="1"/>
  <c r="J9351" i="1"/>
  <c r="J9350" i="1"/>
  <c r="J9349" i="1"/>
  <c r="J9348" i="1"/>
  <c r="J9347" i="1"/>
  <c r="J9346" i="1"/>
  <c r="J9345" i="1"/>
  <c r="J9344" i="1"/>
  <c r="J9343" i="1"/>
  <c r="J9342" i="1"/>
  <c r="J9341" i="1"/>
  <c r="J9340" i="1"/>
  <c r="J9339" i="1"/>
  <c r="J9338" i="1"/>
  <c r="J9337" i="1"/>
  <c r="J9336" i="1"/>
  <c r="J9335" i="1"/>
  <c r="J9334" i="1"/>
  <c r="J9333" i="1"/>
  <c r="J9332" i="1"/>
  <c r="J9331" i="1"/>
  <c r="J9330" i="1"/>
  <c r="J9329" i="1"/>
  <c r="J9328" i="1"/>
  <c r="J9327" i="1"/>
  <c r="J9326" i="1"/>
  <c r="J9325" i="1"/>
  <c r="J9324" i="1"/>
  <c r="J9323" i="1"/>
  <c r="J9322" i="1"/>
  <c r="J9321" i="1"/>
  <c r="J9320" i="1"/>
  <c r="J9319" i="1"/>
  <c r="J9318" i="1"/>
  <c r="J9317" i="1"/>
  <c r="J9316" i="1"/>
  <c r="J9315" i="1"/>
  <c r="J9314" i="1"/>
  <c r="J9313" i="1"/>
  <c r="J9312" i="1"/>
  <c r="J9311" i="1"/>
  <c r="J9310" i="1"/>
  <c r="J9309" i="1"/>
  <c r="J9308" i="1"/>
  <c r="J9307" i="1"/>
  <c r="J9306" i="1"/>
  <c r="J9305" i="1"/>
  <c r="J9304" i="1"/>
  <c r="J9303" i="1"/>
  <c r="J9302" i="1"/>
  <c r="J9301" i="1"/>
  <c r="J9300" i="1"/>
  <c r="J9299" i="1"/>
  <c r="J9298" i="1"/>
  <c r="J9297" i="1"/>
  <c r="J9296" i="1"/>
  <c r="J9295" i="1"/>
  <c r="J9294" i="1"/>
  <c r="J9293" i="1"/>
  <c r="J9292" i="1"/>
  <c r="J9291" i="1"/>
  <c r="J9290" i="1"/>
  <c r="J9289" i="1"/>
  <c r="J9288" i="1"/>
  <c r="J9287" i="1"/>
  <c r="J9286" i="1"/>
  <c r="J9285" i="1"/>
  <c r="J9284" i="1"/>
  <c r="J9283" i="1"/>
  <c r="J9282" i="1"/>
  <c r="J9281" i="1"/>
  <c r="J9280" i="1"/>
  <c r="J9279" i="1"/>
  <c r="J9278" i="1"/>
  <c r="J9277" i="1"/>
  <c r="J9276" i="1"/>
  <c r="J9275" i="1"/>
  <c r="J9274" i="1"/>
  <c r="J9273" i="1"/>
  <c r="J9272" i="1"/>
  <c r="J9271" i="1"/>
  <c r="J9270" i="1"/>
  <c r="J9269" i="1"/>
  <c r="J9268" i="1"/>
  <c r="J9267" i="1"/>
  <c r="J9266" i="1"/>
  <c r="J9265" i="1"/>
  <c r="J9264" i="1"/>
  <c r="J9263" i="1"/>
  <c r="J9262" i="1"/>
  <c r="J9261" i="1"/>
  <c r="J9260" i="1"/>
  <c r="J9259" i="1"/>
  <c r="J9258" i="1"/>
  <c r="J9257" i="1"/>
  <c r="J9256" i="1"/>
  <c r="J9255" i="1"/>
  <c r="J9254" i="1"/>
  <c r="J9253" i="1"/>
  <c r="J9252" i="1"/>
  <c r="J9251" i="1"/>
  <c r="J9250" i="1"/>
  <c r="J9249" i="1"/>
  <c r="J9248" i="1"/>
  <c r="J9247" i="1"/>
  <c r="J9246" i="1"/>
  <c r="J9245" i="1"/>
  <c r="J9244" i="1"/>
  <c r="J9243" i="1"/>
  <c r="J9242" i="1"/>
  <c r="J9241" i="1"/>
  <c r="J9240" i="1"/>
  <c r="J9239" i="1"/>
  <c r="J9238" i="1"/>
  <c r="J9237" i="1"/>
  <c r="J9236" i="1"/>
  <c r="J9235" i="1"/>
  <c r="J9234" i="1"/>
  <c r="J9233" i="1"/>
  <c r="J9232" i="1"/>
  <c r="J9231" i="1"/>
  <c r="J9230" i="1"/>
  <c r="J9229" i="1"/>
  <c r="J9228" i="1"/>
  <c r="J9227" i="1"/>
  <c r="J9226" i="1"/>
  <c r="J9225" i="1"/>
  <c r="J9224" i="1"/>
  <c r="J9223" i="1"/>
  <c r="J9222" i="1"/>
  <c r="J9221" i="1"/>
  <c r="J9220" i="1"/>
  <c r="J9219" i="1"/>
  <c r="J9218" i="1"/>
  <c r="J9217" i="1"/>
  <c r="J9216" i="1"/>
  <c r="J9215" i="1"/>
  <c r="J9214" i="1"/>
  <c r="J9213" i="1"/>
  <c r="J9212" i="1"/>
  <c r="J9211" i="1"/>
  <c r="J9210" i="1"/>
  <c r="J9209" i="1"/>
  <c r="J9208" i="1"/>
  <c r="J9207" i="1"/>
  <c r="J9206" i="1"/>
  <c r="J9205" i="1"/>
  <c r="J9204" i="1"/>
  <c r="J9203" i="1"/>
  <c r="J9202" i="1"/>
  <c r="J9201" i="1"/>
  <c r="J9200" i="1"/>
  <c r="J9199" i="1"/>
  <c r="J9198" i="1"/>
  <c r="J9197" i="1"/>
  <c r="J9196" i="1"/>
  <c r="J9195" i="1"/>
  <c r="J9194" i="1"/>
  <c r="J9193" i="1"/>
  <c r="J9192" i="1"/>
  <c r="J9191" i="1"/>
  <c r="J9190" i="1"/>
  <c r="J9189" i="1"/>
  <c r="J9188" i="1"/>
  <c r="J9187" i="1"/>
  <c r="J9186" i="1"/>
  <c r="J9185" i="1"/>
  <c r="J9184" i="1"/>
  <c r="J9183" i="1"/>
  <c r="J9182" i="1"/>
  <c r="J9181" i="1"/>
  <c r="J9180" i="1"/>
  <c r="J9179" i="1"/>
  <c r="J9178" i="1"/>
  <c r="J9177" i="1"/>
  <c r="J9176" i="1"/>
  <c r="J9175" i="1"/>
  <c r="J9174" i="1"/>
  <c r="J9173" i="1"/>
  <c r="J9172" i="1"/>
  <c r="J9171" i="1"/>
  <c r="J9170" i="1"/>
  <c r="J9169" i="1"/>
  <c r="J9168" i="1"/>
  <c r="J9167" i="1"/>
  <c r="J9166" i="1"/>
  <c r="J9165" i="1"/>
  <c r="J9164" i="1"/>
  <c r="J9163" i="1"/>
  <c r="J9162" i="1"/>
  <c r="J9161" i="1"/>
  <c r="J9160" i="1"/>
  <c r="J9159" i="1"/>
  <c r="J9158" i="1"/>
  <c r="J9157" i="1"/>
  <c r="J9156" i="1"/>
  <c r="J9155" i="1"/>
  <c r="J9154" i="1"/>
  <c r="J9153" i="1"/>
  <c r="J9152" i="1"/>
  <c r="J9151" i="1"/>
  <c r="J9150" i="1"/>
  <c r="J9149" i="1"/>
  <c r="J9148" i="1"/>
  <c r="J9147" i="1"/>
  <c r="J9146" i="1"/>
  <c r="J9145" i="1"/>
  <c r="J9144" i="1"/>
  <c r="J9143" i="1"/>
  <c r="J9142" i="1"/>
  <c r="J9141" i="1"/>
  <c r="J9140" i="1"/>
  <c r="J9139" i="1"/>
  <c r="J9138" i="1"/>
  <c r="J9137" i="1"/>
  <c r="J9136" i="1"/>
  <c r="J9135" i="1"/>
  <c r="J9134" i="1"/>
  <c r="J9133" i="1"/>
  <c r="J9132" i="1"/>
  <c r="J9131" i="1"/>
  <c r="J9130" i="1"/>
  <c r="J9129" i="1"/>
  <c r="J9128" i="1"/>
  <c r="J9127" i="1"/>
  <c r="J9126" i="1"/>
  <c r="J9125" i="1"/>
  <c r="J9124" i="1"/>
  <c r="J9123" i="1"/>
  <c r="J9122" i="1"/>
  <c r="J9121" i="1"/>
  <c r="J9120" i="1"/>
  <c r="J9119" i="1"/>
  <c r="J9118" i="1"/>
  <c r="J9117" i="1"/>
  <c r="J9116" i="1"/>
  <c r="J9115" i="1"/>
  <c r="J9114" i="1"/>
  <c r="J9113" i="1"/>
  <c r="J9112" i="1"/>
  <c r="J9111" i="1"/>
  <c r="J9110" i="1"/>
  <c r="J9109" i="1"/>
  <c r="J9108" i="1"/>
  <c r="J9107" i="1"/>
  <c r="J9106" i="1"/>
  <c r="J9105" i="1"/>
  <c r="J9104" i="1"/>
  <c r="J9103" i="1"/>
  <c r="J9102" i="1"/>
  <c r="J9101" i="1"/>
  <c r="J9100" i="1"/>
  <c r="J9099" i="1"/>
  <c r="J9098" i="1"/>
  <c r="J9097" i="1"/>
  <c r="J9096" i="1"/>
  <c r="J9095" i="1"/>
  <c r="J9094" i="1"/>
  <c r="J9093" i="1"/>
  <c r="J9092" i="1"/>
  <c r="J9091" i="1"/>
  <c r="J9090" i="1"/>
  <c r="J9089" i="1"/>
  <c r="J9088" i="1"/>
  <c r="J9087" i="1"/>
  <c r="J9086" i="1"/>
  <c r="J9085" i="1"/>
  <c r="J9084" i="1"/>
  <c r="J9083" i="1"/>
  <c r="J9082" i="1"/>
  <c r="J9081" i="1"/>
  <c r="J9080" i="1"/>
  <c r="J9079" i="1"/>
  <c r="J9078" i="1"/>
  <c r="J9077" i="1"/>
  <c r="J9076" i="1"/>
  <c r="J9075" i="1"/>
  <c r="J9074" i="1"/>
  <c r="J9073" i="1"/>
  <c r="J9072" i="1"/>
  <c r="J9071" i="1"/>
  <c r="J9070" i="1"/>
  <c r="J9069" i="1"/>
  <c r="J9068" i="1"/>
  <c r="J9067" i="1"/>
  <c r="J9066" i="1"/>
  <c r="J9065" i="1"/>
  <c r="J9064" i="1"/>
  <c r="J9063" i="1"/>
  <c r="J9062" i="1"/>
  <c r="J9061" i="1"/>
  <c r="J9060" i="1"/>
  <c r="J9059" i="1"/>
  <c r="J9058" i="1"/>
  <c r="J9057" i="1"/>
  <c r="J9056" i="1"/>
  <c r="J9055" i="1"/>
  <c r="J9054" i="1"/>
  <c r="J9053" i="1"/>
  <c r="J9052" i="1"/>
  <c r="J9051" i="1"/>
  <c r="J9050" i="1"/>
  <c r="J9049" i="1"/>
  <c r="J9048" i="1"/>
  <c r="J9047" i="1"/>
  <c r="J9046" i="1"/>
  <c r="J9045" i="1"/>
  <c r="J9044" i="1"/>
  <c r="J9043" i="1"/>
  <c r="J9042" i="1"/>
  <c r="J9041" i="1"/>
  <c r="J9040" i="1"/>
  <c r="J9039" i="1"/>
  <c r="J9038" i="1"/>
  <c r="J9037" i="1"/>
  <c r="J9036" i="1"/>
  <c r="J9035" i="1"/>
  <c r="J9034" i="1"/>
  <c r="J9033" i="1"/>
  <c r="J9032" i="1"/>
  <c r="J9031" i="1"/>
  <c r="J9030" i="1"/>
  <c r="J9029" i="1"/>
  <c r="J9028" i="1"/>
  <c r="J9027" i="1"/>
  <c r="J9026" i="1"/>
  <c r="J9025" i="1"/>
  <c r="J9024" i="1"/>
  <c r="J9023" i="1"/>
  <c r="J9022" i="1"/>
  <c r="J9021" i="1"/>
  <c r="J9020" i="1"/>
  <c r="J9019" i="1"/>
  <c r="J9018" i="1"/>
  <c r="J9017" i="1"/>
  <c r="J9016" i="1"/>
  <c r="J9015" i="1"/>
  <c r="J9014" i="1"/>
  <c r="J9013" i="1"/>
  <c r="J9012" i="1"/>
  <c r="J9011" i="1"/>
  <c r="J9010" i="1"/>
  <c r="J9009" i="1"/>
  <c r="J9008" i="1"/>
  <c r="J9007" i="1"/>
  <c r="J9006" i="1"/>
  <c r="J9005" i="1"/>
  <c r="J9004" i="1"/>
  <c r="J9003" i="1"/>
  <c r="J9002" i="1"/>
  <c r="J9001" i="1"/>
  <c r="J9000" i="1"/>
  <c r="J8999" i="1"/>
  <c r="J8998" i="1"/>
  <c r="J8997" i="1"/>
  <c r="J8996" i="1"/>
  <c r="J8995" i="1"/>
  <c r="J8994" i="1"/>
  <c r="J8993" i="1"/>
  <c r="J8992" i="1"/>
  <c r="J8991" i="1"/>
  <c r="J8990" i="1"/>
  <c r="J8989" i="1"/>
  <c r="J8988" i="1"/>
  <c r="J8987" i="1"/>
  <c r="J8986" i="1"/>
  <c r="J8985" i="1"/>
  <c r="J8984" i="1"/>
  <c r="J8983" i="1"/>
  <c r="J8982" i="1"/>
  <c r="J8981" i="1"/>
  <c r="J8980" i="1"/>
  <c r="J8979" i="1"/>
  <c r="J8978" i="1"/>
  <c r="J8977" i="1"/>
  <c r="J8976" i="1"/>
  <c r="J8975" i="1"/>
  <c r="J8974" i="1"/>
  <c r="J8973" i="1"/>
  <c r="J8972" i="1"/>
  <c r="J8971" i="1"/>
  <c r="J8970" i="1"/>
  <c r="J8969" i="1"/>
  <c r="J8968" i="1"/>
  <c r="J8967" i="1"/>
  <c r="J8966" i="1"/>
  <c r="J8965" i="1"/>
  <c r="J8964" i="1"/>
  <c r="J8963" i="1"/>
  <c r="J8962" i="1"/>
  <c r="J8961" i="1"/>
  <c r="J8960" i="1"/>
  <c r="J8959" i="1"/>
  <c r="J8958" i="1"/>
  <c r="J8957" i="1"/>
  <c r="J8956" i="1"/>
  <c r="J8955" i="1"/>
  <c r="J8954" i="1"/>
  <c r="J8953" i="1"/>
  <c r="J8952" i="1"/>
  <c r="J8951" i="1"/>
  <c r="J8950" i="1"/>
  <c r="J8949" i="1"/>
  <c r="J8948" i="1"/>
  <c r="J8947" i="1"/>
  <c r="J8946" i="1"/>
  <c r="J8945" i="1"/>
  <c r="J8944" i="1"/>
  <c r="J8943" i="1"/>
  <c r="J8942" i="1"/>
  <c r="J8941" i="1"/>
  <c r="J8940" i="1"/>
  <c r="J8939" i="1"/>
  <c r="J8938" i="1"/>
  <c r="J8937" i="1"/>
  <c r="J8936" i="1"/>
  <c r="J8935" i="1"/>
  <c r="J8934" i="1"/>
  <c r="J8933" i="1"/>
  <c r="J8932" i="1"/>
  <c r="J8931" i="1"/>
  <c r="J8930" i="1"/>
  <c r="J8929" i="1"/>
  <c r="J8928" i="1"/>
  <c r="J8927" i="1"/>
  <c r="J8926" i="1"/>
  <c r="J8925" i="1"/>
  <c r="J8924" i="1"/>
  <c r="J8923" i="1"/>
  <c r="J8922" i="1"/>
  <c r="J8921" i="1"/>
  <c r="J8920" i="1"/>
  <c r="J8919" i="1"/>
  <c r="J8918" i="1"/>
  <c r="J8917" i="1"/>
  <c r="J8916" i="1"/>
  <c r="J8915" i="1"/>
  <c r="J8914" i="1"/>
  <c r="J8913" i="1"/>
  <c r="J8912" i="1"/>
  <c r="J8911" i="1"/>
  <c r="J8910" i="1"/>
  <c r="J8909" i="1"/>
  <c r="J8908" i="1"/>
  <c r="J8907" i="1"/>
  <c r="J8906" i="1"/>
  <c r="J8905" i="1"/>
  <c r="J8904" i="1"/>
  <c r="J8903" i="1"/>
  <c r="J8902" i="1"/>
  <c r="J8901" i="1"/>
  <c r="J8900" i="1"/>
  <c r="J8899" i="1"/>
  <c r="J8898" i="1"/>
  <c r="J8897" i="1"/>
  <c r="J8896" i="1"/>
  <c r="J8895" i="1"/>
  <c r="J8894" i="1"/>
  <c r="J8893" i="1"/>
  <c r="J8892" i="1"/>
  <c r="J8891" i="1"/>
  <c r="J8890" i="1"/>
  <c r="J8889" i="1"/>
  <c r="J8888" i="1"/>
  <c r="J8887" i="1"/>
  <c r="J8886" i="1"/>
  <c r="J8885" i="1"/>
  <c r="J8884" i="1"/>
  <c r="J8883" i="1"/>
  <c r="J8882" i="1"/>
  <c r="J8881" i="1"/>
  <c r="J8880" i="1"/>
  <c r="J8879" i="1"/>
  <c r="J8878" i="1"/>
  <c r="J8877" i="1"/>
  <c r="J8876" i="1"/>
  <c r="J8875" i="1"/>
  <c r="J8874" i="1"/>
  <c r="J8873" i="1"/>
  <c r="J8872" i="1"/>
  <c r="J8871" i="1"/>
  <c r="J8870" i="1"/>
  <c r="J8869" i="1"/>
  <c r="J8868" i="1"/>
  <c r="J8867" i="1"/>
  <c r="J8866" i="1"/>
  <c r="J8865" i="1"/>
  <c r="J8864" i="1"/>
  <c r="J8863" i="1"/>
  <c r="J8862" i="1"/>
  <c r="J8861" i="1"/>
  <c r="J8860" i="1"/>
  <c r="J8859" i="1"/>
  <c r="J8858" i="1"/>
  <c r="J8857" i="1"/>
  <c r="J8856" i="1"/>
  <c r="J8855" i="1"/>
  <c r="J8854" i="1"/>
  <c r="J8853" i="1"/>
  <c r="J8852" i="1"/>
  <c r="J8851" i="1"/>
  <c r="J8850" i="1"/>
  <c r="J8849" i="1"/>
  <c r="J8848" i="1"/>
  <c r="J8847" i="1"/>
  <c r="J8846" i="1"/>
  <c r="J8845" i="1"/>
  <c r="J8844" i="1"/>
  <c r="J8843" i="1"/>
  <c r="J8842" i="1"/>
  <c r="J8841" i="1"/>
  <c r="J8840" i="1"/>
  <c r="J8839" i="1"/>
  <c r="J8838" i="1"/>
  <c r="J8837" i="1"/>
  <c r="J8836" i="1"/>
  <c r="J8835" i="1"/>
  <c r="J8834" i="1"/>
  <c r="J8833" i="1"/>
  <c r="J8832" i="1"/>
  <c r="J8831" i="1"/>
  <c r="J8830" i="1"/>
  <c r="J8829" i="1"/>
  <c r="J8828" i="1"/>
  <c r="J8827" i="1"/>
  <c r="J8826" i="1"/>
  <c r="J8825" i="1"/>
  <c r="J8824" i="1"/>
  <c r="J8823" i="1"/>
  <c r="J8822" i="1"/>
  <c r="J8821" i="1"/>
  <c r="J8820" i="1"/>
  <c r="J8819" i="1"/>
  <c r="J8818" i="1"/>
  <c r="J8817" i="1"/>
  <c r="J8816" i="1"/>
  <c r="J8815" i="1"/>
  <c r="J8814" i="1"/>
  <c r="J8813" i="1"/>
  <c r="J8812" i="1"/>
  <c r="J8811" i="1"/>
  <c r="J8810" i="1"/>
  <c r="J8809" i="1"/>
  <c r="J8808" i="1"/>
  <c r="J8807" i="1"/>
  <c r="J8806" i="1"/>
  <c r="J8805" i="1"/>
  <c r="J8804" i="1"/>
  <c r="J8803" i="1"/>
  <c r="J8802" i="1"/>
  <c r="J8801" i="1"/>
  <c r="J8800" i="1"/>
  <c r="J8799" i="1"/>
  <c r="J8798" i="1"/>
  <c r="J8797" i="1"/>
  <c r="J8796" i="1"/>
  <c r="J8795" i="1"/>
  <c r="J8794" i="1"/>
  <c r="J8793" i="1"/>
  <c r="J8792" i="1"/>
  <c r="J8791" i="1"/>
  <c r="J8790" i="1"/>
  <c r="J8789" i="1"/>
  <c r="J8788" i="1"/>
  <c r="J8787" i="1"/>
  <c r="J8786" i="1"/>
  <c r="J8785" i="1"/>
  <c r="J8784" i="1"/>
  <c r="J8783" i="1"/>
  <c r="J8782" i="1"/>
  <c r="J8781" i="1"/>
  <c r="J8780" i="1"/>
  <c r="J8779" i="1"/>
  <c r="J8778" i="1"/>
  <c r="J8777" i="1"/>
  <c r="J8776" i="1"/>
  <c r="J8775" i="1"/>
  <c r="J8774" i="1"/>
  <c r="J8773" i="1"/>
  <c r="J8772" i="1"/>
  <c r="J8771" i="1"/>
  <c r="J8770" i="1"/>
  <c r="J8769" i="1"/>
  <c r="J8768" i="1"/>
  <c r="J8767" i="1"/>
  <c r="J8766" i="1"/>
  <c r="J8765" i="1"/>
  <c r="J8764" i="1"/>
  <c r="J8763" i="1"/>
  <c r="J8762" i="1"/>
  <c r="J8761" i="1"/>
  <c r="J8760" i="1"/>
  <c r="J8759" i="1"/>
  <c r="J8758" i="1"/>
  <c r="J8757" i="1"/>
  <c r="J8756" i="1"/>
  <c r="J8755" i="1"/>
  <c r="J8754" i="1"/>
  <c r="J8753" i="1"/>
  <c r="J8752" i="1"/>
  <c r="J8751" i="1"/>
  <c r="J8750" i="1"/>
  <c r="J8749" i="1"/>
  <c r="J8748" i="1"/>
  <c r="J8747" i="1"/>
  <c r="J8746" i="1"/>
  <c r="J8745" i="1"/>
  <c r="J8744" i="1"/>
  <c r="J8743" i="1"/>
  <c r="J8742" i="1"/>
  <c r="J8741" i="1"/>
  <c r="J8740" i="1"/>
  <c r="J8739" i="1"/>
  <c r="J8738" i="1"/>
  <c r="J8737" i="1"/>
  <c r="J8736" i="1"/>
  <c r="J8735" i="1"/>
  <c r="J8734" i="1"/>
  <c r="J8733" i="1"/>
  <c r="J8732" i="1"/>
  <c r="J8731" i="1"/>
  <c r="J8730" i="1"/>
  <c r="J8729" i="1"/>
  <c r="J8728" i="1"/>
  <c r="J8727" i="1"/>
  <c r="J8726" i="1"/>
  <c r="J8725" i="1"/>
  <c r="J8724" i="1"/>
  <c r="J8723" i="1"/>
  <c r="J8722" i="1"/>
  <c r="J8721" i="1"/>
  <c r="J8720" i="1"/>
  <c r="J8719" i="1"/>
  <c r="J8718" i="1"/>
  <c r="J8717" i="1"/>
  <c r="J8716" i="1"/>
  <c r="J8715" i="1"/>
  <c r="J8714" i="1"/>
  <c r="J8713" i="1"/>
  <c r="J8712" i="1"/>
  <c r="J8711" i="1"/>
  <c r="J8710" i="1"/>
  <c r="J8709" i="1"/>
  <c r="J8708" i="1"/>
  <c r="J8707" i="1"/>
  <c r="J8706" i="1"/>
  <c r="J8705" i="1"/>
  <c r="J8704" i="1"/>
  <c r="J8703" i="1"/>
  <c r="J8702" i="1"/>
  <c r="J8701" i="1"/>
  <c r="J8700" i="1"/>
  <c r="J8699" i="1"/>
  <c r="J8698" i="1"/>
  <c r="J8697" i="1"/>
  <c r="J8696" i="1"/>
  <c r="J8695" i="1"/>
  <c r="J8694" i="1"/>
  <c r="J8693" i="1"/>
  <c r="J8692" i="1"/>
  <c r="J8691" i="1"/>
  <c r="J8690" i="1"/>
  <c r="J8689" i="1"/>
  <c r="J8688" i="1"/>
  <c r="J8687" i="1"/>
  <c r="J8686" i="1"/>
  <c r="J8685" i="1"/>
  <c r="J8684" i="1"/>
  <c r="J8683" i="1"/>
  <c r="J8682" i="1"/>
  <c r="J8681" i="1"/>
  <c r="J8680" i="1"/>
  <c r="J8679" i="1"/>
  <c r="J8678" i="1"/>
  <c r="J8677" i="1"/>
  <c r="J8676" i="1"/>
  <c r="J8675" i="1"/>
  <c r="J8674" i="1"/>
  <c r="J8673" i="1"/>
  <c r="J8672" i="1"/>
  <c r="J8671" i="1"/>
  <c r="J8670" i="1"/>
  <c r="J8669" i="1"/>
  <c r="J8668" i="1"/>
  <c r="J8667" i="1"/>
  <c r="J8666" i="1"/>
  <c r="J8665" i="1"/>
  <c r="J8664" i="1"/>
  <c r="J8663" i="1"/>
  <c r="J8662" i="1"/>
  <c r="J8661" i="1"/>
  <c r="J8660" i="1"/>
  <c r="J8659" i="1"/>
  <c r="J8658" i="1"/>
  <c r="J8657" i="1"/>
  <c r="J8656" i="1"/>
  <c r="J8655" i="1"/>
  <c r="J8654" i="1"/>
  <c r="J8653" i="1"/>
  <c r="J8652" i="1"/>
  <c r="J8651" i="1"/>
  <c r="J8650" i="1"/>
  <c r="J8649" i="1"/>
  <c r="J8648" i="1"/>
  <c r="J8647" i="1"/>
  <c r="J8646" i="1"/>
  <c r="J8645" i="1"/>
  <c r="J8644" i="1"/>
  <c r="J8643" i="1"/>
  <c r="J8642" i="1"/>
  <c r="J8641" i="1"/>
  <c r="J8640" i="1"/>
  <c r="J8639" i="1"/>
  <c r="J8638" i="1"/>
  <c r="J8637" i="1"/>
  <c r="J8636" i="1"/>
  <c r="J8635" i="1"/>
  <c r="J8634" i="1"/>
  <c r="J8633" i="1"/>
  <c r="J8632" i="1"/>
  <c r="J8631" i="1"/>
  <c r="J8630" i="1"/>
  <c r="J8629" i="1"/>
  <c r="J8628" i="1"/>
  <c r="J8627" i="1"/>
  <c r="J8626" i="1"/>
  <c r="J8625" i="1"/>
  <c r="J8624" i="1"/>
  <c r="J8623" i="1"/>
  <c r="J8622" i="1"/>
  <c r="J8621" i="1"/>
  <c r="J8620" i="1"/>
  <c r="J8619" i="1"/>
  <c r="J8618" i="1"/>
  <c r="J8617" i="1"/>
  <c r="J8616" i="1"/>
  <c r="J8615" i="1"/>
  <c r="J8614" i="1"/>
  <c r="J8613" i="1"/>
  <c r="J8612" i="1"/>
  <c r="J8611" i="1"/>
  <c r="J8610" i="1"/>
  <c r="J8609" i="1"/>
  <c r="J8608" i="1"/>
  <c r="J8607" i="1"/>
  <c r="J8606" i="1"/>
  <c r="J8605" i="1"/>
  <c r="J8604" i="1"/>
  <c r="J8603" i="1"/>
  <c r="J8602" i="1"/>
  <c r="J8601" i="1"/>
  <c r="J8600" i="1"/>
  <c r="J8599" i="1"/>
  <c r="J8598" i="1"/>
  <c r="J8597" i="1"/>
  <c r="J8596" i="1"/>
  <c r="J8595" i="1"/>
  <c r="J8594" i="1"/>
  <c r="J8593" i="1"/>
  <c r="J8592" i="1"/>
  <c r="J8591" i="1"/>
  <c r="J8590" i="1"/>
  <c r="J8589" i="1"/>
  <c r="J8588" i="1"/>
  <c r="J8587" i="1"/>
  <c r="J8586" i="1"/>
  <c r="J8585" i="1"/>
  <c r="J8584" i="1"/>
  <c r="J8583" i="1"/>
  <c r="J8582" i="1"/>
  <c r="J8581" i="1"/>
  <c r="J8580" i="1"/>
  <c r="J8579" i="1"/>
  <c r="J8578" i="1"/>
  <c r="J8577" i="1"/>
  <c r="J8576" i="1"/>
  <c r="J8575" i="1"/>
  <c r="J8574" i="1"/>
  <c r="J8573" i="1"/>
  <c r="J8572" i="1"/>
  <c r="J8571" i="1"/>
  <c r="J8570" i="1"/>
  <c r="J8569" i="1"/>
  <c r="J8568" i="1"/>
  <c r="J8567" i="1"/>
  <c r="J8566" i="1"/>
  <c r="J8565" i="1"/>
  <c r="J8564" i="1"/>
  <c r="J8563" i="1"/>
  <c r="J8562" i="1"/>
  <c r="J8561" i="1"/>
  <c r="J8560" i="1"/>
  <c r="J8559" i="1"/>
  <c r="J8558" i="1"/>
  <c r="J8557" i="1"/>
  <c r="J8556" i="1"/>
  <c r="J8555" i="1"/>
  <c r="J8554" i="1"/>
  <c r="J8553" i="1"/>
  <c r="J8552" i="1"/>
  <c r="J8551" i="1"/>
  <c r="J8550" i="1"/>
  <c r="J8549" i="1"/>
  <c r="J8548" i="1"/>
  <c r="J8547" i="1"/>
  <c r="J8546" i="1"/>
  <c r="J8545" i="1"/>
  <c r="J8544" i="1"/>
  <c r="J8543" i="1"/>
  <c r="J8542" i="1"/>
  <c r="J8541" i="1"/>
  <c r="J8540" i="1"/>
  <c r="J8539" i="1"/>
  <c r="J8538" i="1"/>
  <c r="J8537" i="1"/>
  <c r="J8536" i="1"/>
  <c r="J8535" i="1"/>
  <c r="J8534" i="1"/>
  <c r="J8533" i="1"/>
  <c r="J8532" i="1"/>
  <c r="J8531" i="1"/>
  <c r="J8530" i="1"/>
  <c r="J8529" i="1"/>
  <c r="J8528" i="1"/>
  <c r="J8527" i="1"/>
  <c r="J8526" i="1"/>
  <c r="J8525" i="1"/>
  <c r="J8524" i="1"/>
  <c r="J8523" i="1"/>
  <c r="J8522" i="1"/>
  <c r="J8521" i="1"/>
  <c r="J8520" i="1"/>
  <c r="J8519" i="1"/>
  <c r="J8518" i="1"/>
  <c r="J8517" i="1"/>
  <c r="J8516" i="1"/>
  <c r="J8515" i="1"/>
  <c r="J8514" i="1"/>
  <c r="J8513" i="1"/>
  <c r="J8512" i="1"/>
  <c r="J8511" i="1"/>
  <c r="J8510" i="1"/>
  <c r="J8509" i="1"/>
  <c r="J8508" i="1"/>
  <c r="J8507" i="1"/>
  <c r="J8506" i="1"/>
  <c r="J8505" i="1"/>
  <c r="J8504" i="1"/>
  <c r="J8503" i="1"/>
  <c r="J8502" i="1"/>
  <c r="J8501" i="1"/>
  <c r="J8500" i="1"/>
  <c r="J8499" i="1"/>
  <c r="J8498" i="1"/>
  <c r="J8497" i="1"/>
  <c r="J8496" i="1"/>
  <c r="J8495" i="1"/>
  <c r="J8494" i="1"/>
  <c r="J8493" i="1"/>
  <c r="J8492" i="1"/>
  <c r="J8491" i="1"/>
  <c r="J8490" i="1"/>
  <c r="J8489" i="1"/>
  <c r="J8488" i="1"/>
  <c r="J8487" i="1"/>
  <c r="J8486" i="1"/>
  <c r="J8485" i="1"/>
  <c r="J8484" i="1"/>
  <c r="J8483" i="1"/>
  <c r="J8482" i="1"/>
  <c r="J8481" i="1"/>
  <c r="J8480" i="1"/>
  <c r="J8479" i="1"/>
  <c r="J8478" i="1"/>
  <c r="J8477" i="1"/>
  <c r="J8476" i="1"/>
  <c r="J8475" i="1"/>
  <c r="J8474" i="1"/>
  <c r="J8473" i="1"/>
  <c r="J8472" i="1"/>
  <c r="J8471" i="1"/>
  <c r="J8470" i="1"/>
  <c r="J8469" i="1"/>
  <c r="J8468" i="1"/>
  <c r="J8467" i="1"/>
  <c r="J8466" i="1"/>
  <c r="J8465" i="1"/>
  <c r="J8464" i="1"/>
  <c r="J8463" i="1"/>
  <c r="J8462" i="1"/>
  <c r="J8461" i="1"/>
  <c r="J8460" i="1"/>
  <c r="J8459" i="1"/>
  <c r="J8458" i="1"/>
  <c r="J8457" i="1"/>
  <c r="J8456" i="1"/>
  <c r="J8455" i="1"/>
  <c r="J8454" i="1"/>
  <c r="J8453" i="1"/>
  <c r="J8452" i="1"/>
  <c r="J8451" i="1"/>
  <c r="J8450" i="1"/>
  <c r="J8449" i="1"/>
  <c r="J8448" i="1"/>
  <c r="J8447" i="1"/>
  <c r="J8446" i="1"/>
  <c r="J8445" i="1"/>
  <c r="J8444" i="1"/>
  <c r="J8443" i="1"/>
  <c r="J8442" i="1"/>
  <c r="J8441" i="1"/>
  <c r="J8440" i="1"/>
  <c r="J8439" i="1"/>
  <c r="J8438" i="1"/>
  <c r="J8437" i="1"/>
  <c r="J8436" i="1"/>
  <c r="J8435" i="1"/>
  <c r="J8434" i="1"/>
  <c r="J8433" i="1"/>
  <c r="J8432" i="1"/>
  <c r="J8431" i="1"/>
  <c r="J8430" i="1"/>
  <c r="J8429" i="1"/>
  <c r="J8428" i="1"/>
  <c r="J8427" i="1"/>
  <c r="J8426" i="1"/>
  <c r="J8425" i="1"/>
  <c r="J8424" i="1"/>
  <c r="J8423" i="1"/>
  <c r="J8422" i="1"/>
  <c r="J8421" i="1"/>
  <c r="J8420" i="1"/>
  <c r="J8419" i="1"/>
  <c r="J8418" i="1"/>
  <c r="J8417" i="1"/>
  <c r="J8416" i="1"/>
  <c r="J8415" i="1"/>
  <c r="J8414" i="1"/>
  <c r="J8413" i="1"/>
  <c r="J8412" i="1"/>
  <c r="J8411" i="1"/>
  <c r="J8410" i="1"/>
  <c r="J8409" i="1"/>
  <c r="J8408" i="1"/>
  <c r="J8407" i="1"/>
  <c r="J8406" i="1"/>
  <c r="J8405" i="1"/>
  <c r="J8404" i="1"/>
  <c r="J8403" i="1"/>
  <c r="J8402" i="1"/>
  <c r="J8401" i="1"/>
  <c r="J8400" i="1"/>
  <c r="J8399" i="1"/>
  <c r="J8398" i="1"/>
  <c r="J8397" i="1"/>
  <c r="J8396" i="1"/>
  <c r="J8395" i="1"/>
  <c r="J8394" i="1"/>
  <c r="J8393" i="1"/>
  <c r="J8392" i="1"/>
  <c r="J8391" i="1"/>
  <c r="J8390" i="1"/>
  <c r="J8389" i="1"/>
  <c r="J8388" i="1"/>
  <c r="J8387" i="1"/>
  <c r="J8386" i="1"/>
  <c r="J8385" i="1"/>
  <c r="J8384" i="1"/>
  <c r="J8383" i="1"/>
  <c r="J8382" i="1"/>
  <c r="J8381" i="1"/>
  <c r="J8380" i="1"/>
  <c r="J8379" i="1"/>
  <c r="J8378" i="1"/>
  <c r="J8377" i="1"/>
  <c r="J8376" i="1"/>
  <c r="J8375" i="1"/>
  <c r="J8374" i="1"/>
  <c r="J8373" i="1"/>
  <c r="J8372" i="1"/>
  <c r="J8371" i="1"/>
  <c r="J8370" i="1"/>
  <c r="J8369" i="1"/>
  <c r="J8368" i="1"/>
  <c r="J8367" i="1"/>
  <c r="J8366" i="1"/>
  <c r="J8365" i="1"/>
  <c r="J8364" i="1"/>
  <c r="J8363" i="1"/>
  <c r="J8362" i="1"/>
  <c r="J8361" i="1"/>
  <c r="J8360" i="1"/>
  <c r="J8359" i="1"/>
  <c r="J8358" i="1"/>
  <c r="J8357" i="1"/>
  <c r="J8356" i="1"/>
  <c r="J8355" i="1"/>
  <c r="J8354" i="1"/>
  <c r="J8353" i="1"/>
  <c r="J8352" i="1"/>
  <c r="J8351" i="1"/>
  <c r="J8350" i="1"/>
  <c r="J8349" i="1"/>
  <c r="J8348" i="1"/>
  <c r="J8347" i="1"/>
  <c r="J8346" i="1"/>
  <c r="J8345" i="1"/>
  <c r="J8344" i="1"/>
  <c r="J8343" i="1"/>
  <c r="J8342" i="1"/>
  <c r="J8341" i="1"/>
  <c r="J8340" i="1"/>
  <c r="J8339" i="1"/>
  <c r="J8338" i="1"/>
  <c r="J8337" i="1"/>
  <c r="J8336" i="1"/>
  <c r="J8335" i="1"/>
  <c r="J8334" i="1"/>
  <c r="J8333" i="1"/>
  <c r="J8332" i="1"/>
  <c r="J8331" i="1"/>
  <c r="J8330" i="1"/>
  <c r="J8329" i="1"/>
  <c r="J8328" i="1"/>
  <c r="J8327" i="1"/>
  <c r="J8326" i="1"/>
  <c r="J8325" i="1"/>
  <c r="J8324" i="1"/>
  <c r="J8323" i="1"/>
  <c r="J8322" i="1"/>
  <c r="J8321" i="1"/>
  <c r="J8320" i="1"/>
  <c r="J8319" i="1"/>
  <c r="J8318" i="1"/>
  <c r="J8317" i="1"/>
  <c r="J8316" i="1"/>
  <c r="J8315" i="1"/>
  <c r="J8314" i="1"/>
  <c r="J8313" i="1"/>
  <c r="J8312" i="1"/>
  <c r="J8311" i="1"/>
  <c r="J8310" i="1"/>
  <c r="J8309" i="1"/>
  <c r="J8308" i="1"/>
  <c r="J8307" i="1"/>
  <c r="J8306" i="1"/>
  <c r="J8305" i="1"/>
  <c r="J8304" i="1"/>
  <c r="J8303" i="1"/>
  <c r="J8302" i="1"/>
  <c r="J8301" i="1"/>
  <c r="J8300" i="1"/>
  <c r="J8299" i="1"/>
  <c r="J8298" i="1"/>
  <c r="J8297" i="1"/>
  <c r="J8296" i="1"/>
  <c r="J8295" i="1"/>
  <c r="J8294" i="1"/>
  <c r="J8293" i="1"/>
  <c r="J8292" i="1"/>
  <c r="J8291" i="1"/>
  <c r="J8290" i="1"/>
  <c r="J8289" i="1"/>
  <c r="J8288" i="1"/>
  <c r="J8287" i="1"/>
  <c r="J8286" i="1"/>
  <c r="J8285" i="1"/>
  <c r="J8284" i="1"/>
  <c r="J8283" i="1"/>
  <c r="J8282" i="1"/>
  <c r="J8281" i="1"/>
  <c r="J8280" i="1"/>
  <c r="J8279" i="1"/>
  <c r="J8278" i="1"/>
  <c r="J8277" i="1"/>
  <c r="J8276" i="1"/>
  <c r="J8275" i="1"/>
  <c r="J8274" i="1"/>
  <c r="J8273" i="1"/>
  <c r="J8272" i="1"/>
  <c r="J8271" i="1"/>
  <c r="J8270" i="1"/>
  <c r="J8269" i="1"/>
  <c r="J8268" i="1"/>
  <c r="J8267" i="1"/>
  <c r="J8266" i="1"/>
  <c r="J8265" i="1"/>
  <c r="J8264" i="1"/>
  <c r="J8263" i="1"/>
  <c r="J8262" i="1"/>
  <c r="J8261" i="1"/>
  <c r="J8260" i="1"/>
  <c r="J8259" i="1"/>
  <c r="J8258" i="1"/>
  <c r="J8257" i="1"/>
  <c r="J8256" i="1"/>
  <c r="J8255" i="1"/>
  <c r="J8254" i="1"/>
  <c r="J8253" i="1"/>
  <c r="J8252" i="1"/>
  <c r="J8251" i="1"/>
  <c r="J8250" i="1"/>
  <c r="J8249" i="1"/>
  <c r="J8248" i="1"/>
  <c r="J8247" i="1"/>
  <c r="J8246" i="1"/>
  <c r="J8245" i="1"/>
  <c r="J8244" i="1"/>
  <c r="J8243" i="1"/>
  <c r="J8242" i="1"/>
  <c r="J8241" i="1"/>
  <c r="J8240" i="1"/>
  <c r="J8239" i="1"/>
  <c r="J8238" i="1"/>
  <c r="J8237" i="1"/>
  <c r="J8236" i="1"/>
  <c r="J8235" i="1"/>
  <c r="J8234" i="1"/>
  <c r="J8233" i="1"/>
  <c r="J8232" i="1"/>
  <c r="J8231" i="1"/>
  <c r="J8230" i="1"/>
  <c r="J8229" i="1"/>
  <c r="J8228" i="1"/>
  <c r="J8227" i="1"/>
  <c r="J8226" i="1"/>
  <c r="J8225" i="1"/>
  <c r="J8224" i="1"/>
  <c r="J8223" i="1"/>
  <c r="J8222" i="1"/>
  <c r="J8221" i="1"/>
  <c r="J8220" i="1"/>
  <c r="J8219" i="1"/>
  <c r="J8218" i="1"/>
  <c r="J8217" i="1"/>
  <c r="J8216" i="1"/>
  <c r="J8215" i="1"/>
  <c r="J8214" i="1"/>
  <c r="J8213" i="1"/>
  <c r="J8212" i="1"/>
  <c r="J8211" i="1"/>
  <c r="J8210" i="1"/>
  <c r="J8209" i="1"/>
  <c r="J8208" i="1"/>
  <c r="J8207" i="1"/>
  <c r="J8206" i="1"/>
  <c r="J8205" i="1"/>
  <c r="J8204" i="1"/>
  <c r="J8203" i="1"/>
  <c r="J8202" i="1"/>
  <c r="J8201" i="1"/>
  <c r="J8200" i="1"/>
  <c r="J8199" i="1"/>
  <c r="J8198" i="1"/>
  <c r="J8197" i="1"/>
  <c r="J8196" i="1"/>
  <c r="J8195" i="1"/>
  <c r="J8194" i="1"/>
  <c r="J8193" i="1"/>
  <c r="J8192" i="1"/>
  <c r="J8191" i="1"/>
  <c r="J8190" i="1"/>
  <c r="J8189" i="1"/>
  <c r="J8188" i="1"/>
  <c r="J8187" i="1"/>
  <c r="J8186" i="1"/>
  <c r="J8185" i="1"/>
  <c r="J8184" i="1"/>
  <c r="J8183" i="1"/>
  <c r="J8182" i="1"/>
  <c r="J8181" i="1"/>
  <c r="J8180" i="1"/>
  <c r="J8179" i="1"/>
  <c r="J8178" i="1"/>
  <c r="J8177" i="1"/>
  <c r="J8176" i="1"/>
  <c r="J8175" i="1"/>
  <c r="J8174" i="1"/>
  <c r="J8173" i="1"/>
  <c r="J8172" i="1"/>
  <c r="J8171" i="1"/>
  <c r="J8170" i="1"/>
  <c r="J8169" i="1"/>
  <c r="J8168" i="1"/>
  <c r="J8167" i="1"/>
  <c r="J8166" i="1"/>
  <c r="J8165" i="1"/>
  <c r="J8164" i="1"/>
  <c r="J8163" i="1"/>
  <c r="J8162" i="1"/>
  <c r="J8161" i="1"/>
  <c r="J8160" i="1"/>
  <c r="J8159" i="1"/>
  <c r="J8158" i="1"/>
  <c r="J8157" i="1"/>
  <c r="J8156" i="1"/>
  <c r="J8155" i="1"/>
  <c r="J8154" i="1"/>
  <c r="J8153" i="1"/>
  <c r="J8152" i="1"/>
  <c r="J8151" i="1"/>
  <c r="J8150" i="1"/>
  <c r="J8149" i="1"/>
  <c r="J8148" i="1"/>
  <c r="J8147" i="1"/>
  <c r="J8146" i="1"/>
  <c r="J8145" i="1"/>
  <c r="J8144" i="1"/>
  <c r="J8143" i="1"/>
  <c r="J8142" i="1"/>
  <c r="J8141" i="1"/>
  <c r="J8140" i="1"/>
  <c r="J8139" i="1"/>
  <c r="J8138" i="1"/>
  <c r="J8137" i="1"/>
  <c r="J8136" i="1"/>
  <c r="J8135" i="1"/>
  <c r="J8134" i="1"/>
  <c r="J8133" i="1"/>
  <c r="J8132" i="1"/>
  <c r="J8131" i="1"/>
  <c r="J8130" i="1"/>
  <c r="J8129" i="1"/>
  <c r="J8128" i="1"/>
  <c r="J8127" i="1"/>
  <c r="J8126" i="1"/>
  <c r="J8125" i="1"/>
  <c r="J8124" i="1"/>
  <c r="J8123" i="1"/>
  <c r="J8122" i="1"/>
  <c r="J8121" i="1"/>
  <c r="J8120" i="1"/>
  <c r="J8119" i="1"/>
  <c r="J8118" i="1"/>
  <c r="J8117" i="1"/>
  <c r="J8116" i="1"/>
  <c r="J8115" i="1"/>
  <c r="J8114" i="1"/>
  <c r="J8113" i="1"/>
  <c r="J8112" i="1"/>
  <c r="J8111" i="1"/>
  <c r="J8110" i="1"/>
  <c r="J8109" i="1"/>
  <c r="J8108" i="1"/>
  <c r="J8107" i="1"/>
  <c r="J8106" i="1"/>
  <c r="J8105" i="1"/>
  <c r="J8104" i="1"/>
  <c r="J8103" i="1"/>
  <c r="J8102" i="1"/>
  <c r="J8101" i="1"/>
  <c r="J8100" i="1"/>
  <c r="J8099" i="1"/>
  <c r="J8098" i="1"/>
  <c r="J8097" i="1"/>
  <c r="J8096" i="1"/>
  <c r="J8095" i="1"/>
  <c r="J8094" i="1"/>
  <c r="J8093" i="1"/>
  <c r="J8092" i="1"/>
  <c r="J8091" i="1"/>
  <c r="J8090" i="1"/>
  <c r="J8089" i="1"/>
  <c r="J8088" i="1"/>
  <c r="J8087" i="1"/>
  <c r="J8086" i="1"/>
  <c r="J8085" i="1"/>
  <c r="J8084" i="1"/>
  <c r="J8083" i="1"/>
  <c r="J8082" i="1"/>
  <c r="J8081" i="1"/>
  <c r="J8080" i="1"/>
  <c r="J8079" i="1"/>
  <c r="J8078" i="1"/>
  <c r="J8077" i="1"/>
  <c r="J8076" i="1"/>
  <c r="J8075" i="1"/>
  <c r="J8074" i="1"/>
  <c r="J8073" i="1"/>
  <c r="J8072" i="1"/>
  <c r="J8071" i="1"/>
  <c r="J8070" i="1"/>
  <c r="J8069" i="1"/>
  <c r="J8068" i="1"/>
  <c r="J8067" i="1"/>
  <c r="J8066" i="1"/>
  <c r="J8065" i="1"/>
  <c r="J8064" i="1"/>
  <c r="J8063" i="1"/>
  <c r="J8062" i="1"/>
  <c r="J8061" i="1"/>
  <c r="J8060" i="1"/>
  <c r="J8059" i="1"/>
  <c r="J8058" i="1"/>
  <c r="J8057" i="1"/>
  <c r="J8056" i="1"/>
  <c r="J8055" i="1"/>
  <c r="J8054" i="1"/>
  <c r="J8053" i="1"/>
  <c r="J8052" i="1"/>
  <c r="J8051" i="1"/>
  <c r="J8050" i="1"/>
  <c r="J8049" i="1"/>
  <c r="J8048" i="1"/>
  <c r="J8047" i="1"/>
  <c r="J8046" i="1"/>
  <c r="J8045" i="1"/>
  <c r="J8044" i="1"/>
  <c r="J8043" i="1"/>
  <c r="J8042" i="1"/>
  <c r="J8041" i="1"/>
  <c r="J8040" i="1"/>
  <c r="J8039" i="1"/>
  <c r="J8038" i="1"/>
  <c r="J8037" i="1"/>
  <c r="J8036" i="1"/>
  <c r="J8035" i="1"/>
  <c r="J8034" i="1"/>
  <c r="J8033" i="1"/>
  <c r="J8032" i="1"/>
  <c r="J8031" i="1"/>
  <c r="J8030" i="1"/>
  <c r="J8029" i="1"/>
  <c r="J8028" i="1"/>
  <c r="J8027" i="1"/>
  <c r="J8026" i="1"/>
  <c r="J8025" i="1"/>
  <c r="J8024" i="1"/>
  <c r="J8023" i="1"/>
  <c r="J8022" i="1"/>
  <c r="J8021" i="1"/>
  <c r="J8020" i="1"/>
  <c r="J8019" i="1"/>
  <c r="J8018" i="1"/>
  <c r="J8017" i="1"/>
  <c r="J8016" i="1"/>
  <c r="J8015" i="1"/>
  <c r="J8014" i="1"/>
  <c r="J8013" i="1"/>
  <c r="J8012" i="1"/>
  <c r="J8011" i="1"/>
  <c r="J8010" i="1"/>
  <c r="J8009" i="1"/>
  <c r="J8008" i="1"/>
  <c r="J8007" i="1"/>
  <c r="J8006" i="1"/>
  <c r="J8005" i="1"/>
  <c r="J8004" i="1"/>
  <c r="J8003" i="1"/>
  <c r="J8002" i="1"/>
  <c r="J8001" i="1"/>
  <c r="J8000" i="1"/>
  <c r="J7999" i="1"/>
  <c r="J7998" i="1"/>
  <c r="J7997" i="1"/>
  <c r="J7996" i="1"/>
  <c r="J7995" i="1"/>
  <c r="J7994" i="1"/>
  <c r="J7993" i="1"/>
  <c r="J7992" i="1"/>
  <c r="J7991" i="1"/>
  <c r="J7990" i="1"/>
  <c r="J7989" i="1"/>
  <c r="J7988" i="1"/>
  <c r="J7987" i="1"/>
  <c r="J7986" i="1"/>
  <c r="J7985" i="1"/>
  <c r="J7984" i="1"/>
  <c r="J7983" i="1"/>
  <c r="J7982" i="1"/>
  <c r="J7981" i="1"/>
  <c r="J7980" i="1"/>
  <c r="J7979" i="1"/>
  <c r="J7978" i="1"/>
  <c r="J7977" i="1"/>
  <c r="J7976" i="1"/>
  <c r="J7975" i="1"/>
  <c r="J7974" i="1"/>
  <c r="J7973" i="1"/>
  <c r="J7972" i="1"/>
  <c r="J7971" i="1"/>
  <c r="J7970" i="1"/>
  <c r="J7969" i="1"/>
  <c r="J7968" i="1"/>
  <c r="J7967" i="1"/>
  <c r="J7966" i="1"/>
  <c r="J7965" i="1"/>
  <c r="J7964" i="1"/>
  <c r="J7963" i="1"/>
  <c r="J7962" i="1"/>
  <c r="J7961" i="1"/>
  <c r="J7960" i="1"/>
  <c r="J7959" i="1"/>
  <c r="J7958" i="1"/>
  <c r="J7957" i="1"/>
  <c r="J7956" i="1"/>
  <c r="J7955" i="1"/>
  <c r="J7954" i="1"/>
  <c r="J7953" i="1"/>
  <c r="J7952" i="1"/>
  <c r="J7951" i="1"/>
  <c r="J7950" i="1"/>
  <c r="J7949" i="1"/>
  <c r="J7948" i="1"/>
  <c r="J7947" i="1"/>
  <c r="J7946" i="1"/>
  <c r="J7945" i="1"/>
  <c r="J7944" i="1"/>
  <c r="J7943" i="1"/>
  <c r="J7942" i="1"/>
  <c r="J7941" i="1"/>
  <c r="J7940" i="1"/>
  <c r="J7939" i="1"/>
  <c r="J7938" i="1"/>
  <c r="J7937" i="1"/>
  <c r="J7936" i="1"/>
  <c r="J7935" i="1"/>
  <c r="J7934" i="1"/>
  <c r="J7933" i="1"/>
  <c r="J7932" i="1"/>
  <c r="J7931" i="1"/>
  <c r="J7930" i="1"/>
  <c r="J7929" i="1"/>
  <c r="J7928" i="1"/>
  <c r="J7927" i="1"/>
  <c r="J7926" i="1"/>
  <c r="J7925" i="1"/>
  <c r="J7924" i="1"/>
  <c r="J7923" i="1"/>
  <c r="J7922" i="1"/>
  <c r="J7921" i="1"/>
  <c r="J7920" i="1"/>
  <c r="J7919" i="1"/>
  <c r="J7918" i="1"/>
  <c r="J7917" i="1"/>
  <c r="J7916" i="1"/>
  <c r="J7915" i="1"/>
  <c r="J7914" i="1"/>
  <c r="J7913" i="1"/>
  <c r="J7912" i="1"/>
  <c r="J7911" i="1"/>
  <c r="J7910" i="1"/>
  <c r="J7909" i="1"/>
  <c r="J7908" i="1"/>
  <c r="J7907" i="1"/>
  <c r="J7906" i="1"/>
  <c r="J7905" i="1"/>
  <c r="J7904" i="1"/>
  <c r="J7903" i="1"/>
  <c r="J7902" i="1"/>
  <c r="J7901" i="1"/>
  <c r="J7900" i="1"/>
  <c r="J7899" i="1"/>
  <c r="J7898" i="1"/>
  <c r="J7897" i="1"/>
  <c r="J7896" i="1"/>
  <c r="J7895" i="1"/>
  <c r="J7894" i="1"/>
  <c r="J7893" i="1"/>
  <c r="J7892" i="1"/>
  <c r="J7891" i="1"/>
  <c r="J7890" i="1"/>
  <c r="J7889" i="1"/>
  <c r="J7888" i="1"/>
  <c r="J7887" i="1"/>
  <c r="J7886" i="1"/>
  <c r="J7885" i="1"/>
  <c r="J7884" i="1"/>
  <c r="J7883" i="1"/>
  <c r="J7882" i="1"/>
  <c r="J7881" i="1"/>
  <c r="J7880" i="1"/>
  <c r="J7879" i="1"/>
  <c r="J7878" i="1"/>
  <c r="J7877" i="1"/>
  <c r="J7876" i="1"/>
  <c r="J7875" i="1"/>
  <c r="J7874" i="1"/>
  <c r="J7873" i="1"/>
  <c r="J7872" i="1"/>
  <c r="J7871" i="1"/>
  <c r="J7870" i="1"/>
  <c r="J7869" i="1"/>
  <c r="J7868" i="1"/>
  <c r="J7867" i="1"/>
  <c r="J7866" i="1"/>
  <c r="J7865" i="1"/>
  <c r="J7864" i="1"/>
  <c r="J7863" i="1"/>
  <c r="J7862" i="1"/>
  <c r="J7861" i="1"/>
  <c r="J7860" i="1"/>
  <c r="J7859" i="1"/>
  <c r="J7858" i="1"/>
  <c r="J7857" i="1"/>
  <c r="J7856" i="1"/>
  <c r="J7855" i="1"/>
  <c r="J7854" i="1"/>
  <c r="J7853" i="1"/>
  <c r="J7852" i="1"/>
  <c r="J7851" i="1"/>
  <c r="J7850" i="1"/>
  <c r="J7849" i="1"/>
  <c r="J7848" i="1"/>
  <c r="J7847" i="1"/>
  <c r="J7846" i="1"/>
  <c r="J7845" i="1"/>
  <c r="J7844" i="1"/>
  <c r="J7843" i="1"/>
  <c r="J7842" i="1"/>
  <c r="J7841" i="1"/>
  <c r="J7840" i="1"/>
  <c r="J7839" i="1"/>
  <c r="J7838" i="1"/>
  <c r="J7837" i="1"/>
  <c r="J7836" i="1"/>
  <c r="J7835" i="1"/>
  <c r="J7834" i="1"/>
  <c r="J7833" i="1"/>
  <c r="J7832" i="1"/>
  <c r="J7831" i="1"/>
  <c r="J7830" i="1"/>
  <c r="J7829" i="1"/>
  <c r="J7828" i="1"/>
  <c r="J7827" i="1"/>
  <c r="J7826" i="1"/>
  <c r="J7825" i="1"/>
  <c r="J7824" i="1"/>
  <c r="J7823" i="1"/>
  <c r="J7822" i="1"/>
  <c r="J7821" i="1"/>
  <c r="J7820" i="1"/>
  <c r="J7819" i="1"/>
  <c r="J7818" i="1"/>
  <c r="J7817" i="1"/>
  <c r="J7816" i="1"/>
  <c r="J7815" i="1"/>
  <c r="J7814" i="1"/>
  <c r="J7813" i="1"/>
  <c r="J7812" i="1"/>
  <c r="J7811" i="1"/>
  <c r="J7810" i="1"/>
  <c r="J7809" i="1"/>
  <c r="J7808" i="1"/>
  <c r="J7807" i="1"/>
  <c r="J7806" i="1"/>
  <c r="J7805" i="1"/>
  <c r="J7804" i="1"/>
  <c r="J7803" i="1"/>
  <c r="J7802" i="1"/>
  <c r="J7801" i="1"/>
  <c r="J7800" i="1"/>
  <c r="J7799" i="1"/>
  <c r="J7798" i="1"/>
  <c r="J7797" i="1"/>
  <c r="J7796" i="1"/>
  <c r="J7795" i="1"/>
  <c r="J7794" i="1"/>
  <c r="J7793" i="1"/>
  <c r="J7792" i="1"/>
  <c r="J7791" i="1"/>
  <c r="J7790" i="1"/>
  <c r="J7789" i="1"/>
  <c r="J7788" i="1"/>
  <c r="J7787" i="1"/>
  <c r="J7786" i="1"/>
  <c r="J7785" i="1"/>
  <c r="J7784" i="1"/>
  <c r="J7783" i="1"/>
  <c r="J7782" i="1"/>
  <c r="J7781" i="1"/>
  <c r="J7780" i="1"/>
  <c r="J7779" i="1"/>
  <c r="J7778" i="1"/>
  <c r="J7777" i="1"/>
  <c r="J7776" i="1"/>
  <c r="J7775" i="1"/>
  <c r="J7774" i="1"/>
  <c r="J7773" i="1"/>
  <c r="J7772" i="1"/>
  <c r="J7771" i="1"/>
  <c r="J7770" i="1"/>
  <c r="J7769" i="1"/>
  <c r="J7768" i="1"/>
  <c r="J7767" i="1"/>
  <c r="J7766" i="1"/>
  <c r="J7765" i="1"/>
  <c r="J7764" i="1"/>
  <c r="J7763" i="1"/>
  <c r="J7762" i="1"/>
  <c r="J7761" i="1"/>
  <c r="J7760" i="1"/>
  <c r="J7759" i="1"/>
  <c r="J7758" i="1"/>
  <c r="J7757" i="1"/>
  <c r="J7756" i="1"/>
  <c r="J7755" i="1"/>
  <c r="J7754" i="1"/>
  <c r="J7753" i="1"/>
  <c r="J7752" i="1"/>
  <c r="J7751" i="1"/>
  <c r="J7750" i="1"/>
  <c r="J7749" i="1"/>
  <c r="J7748" i="1"/>
  <c r="J7747" i="1"/>
  <c r="J7746" i="1"/>
  <c r="J7745" i="1"/>
  <c r="J7744" i="1"/>
  <c r="J7743" i="1"/>
  <c r="J7742" i="1"/>
  <c r="J7741" i="1"/>
  <c r="J7740" i="1"/>
  <c r="J7739" i="1"/>
  <c r="J7738" i="1"/>
  <c r="J7737" i="1"/>
  <c r="J7736" i="1"/>
  <c r="J7735" i="1"/>
  <c r="J7734" i="1"/>
  <c r="J7733" i="1"/>
  <c r="J7732" i="1"/>
  <c r="J7731" i="1"/>
  <c r="J7730" i="1"/>
  <c r="J7729" i="1"/>
  <c r="J7728" i="1"/>
  <c r="J7727" i="1"/>
  <c r="J7726" i="1"/>
  <c r="J7725" i="1"/>
  <c r="J7724" i="1"/>
  <c r="J7723" i="1"/>
  <c r="J7722" i="1"/>
  <c r="J7721" i="1"/>
  <c r="J7720" i="1"/>
  <c r="J7719" i="1"/>
  <c r="J7718" i="1"/>
  <c r="J7717" i="1"/>
  <c r="J7716" i="1"/>
  <c r="J7715" i="1"/>
  <c r="J7714" i="1"/>
  <c r="J7713" i="1"/>
  <c r="J7712" i="1"/>
  <c r="J7711" i="1"/>
  <c r="J7710" i="1"/>
  <c r="J7709" i="1"/>
  <c r="J7708" i="1"/>
  <c r="J7707" i="1"/>
  <c r="J7706" i="1"/>
  <c r="J7705" i="1"/>
  <c r="J7704" i="1"/>
  <c r="J7703" i="1"/>
  <c r="J7702" i="1"/>
  <c r="J7701" i="1"/>
  <c r="J7700" i="1"/>
  <c r="J7699" i="1"/>
  <c r="J7698" i="1"/>
  <c r="J7697" i="1"/>
  <c r="J7696" i="1"/>
  <c r="J7695" i="1"/>
  <c r="J7694" i="1"/>
  <c r="J7693" i="1"/>
  <c r="J7692" i="1"/>
  <c r="J7691" i="1"/>
  <c r="J7690" i="1"/>
  <c r="J7689" i="1"/>
  <c r="J7688" i="1"/>
  <c r="J7687" i="1"/>
  <c r="J7686" i="1"/>
  <c r="J7685" i="1"/>
  <c r="J7684" i="1"/>
  <c r="J7683" i="1"/>
  <c r="J7682" i="1"/>
  <c r="J7681" i="1"/>
  <c r="J7680" i="1"/>
  <c r="J7679" i="1"/>
  <c r="J7678" i="1"/>
  <c r="J7677" i="1"/>
  <c r="J7676" i="1"/>
  <c r="J7675" i="1"/>
  <c r="J7674" i="1"/>
  <c r="J7673" i="1"/>
  <c r="J7672" i="1"/>
  <c r="J7671" i="1"/>
  <c r="J7670" i="1"/>
  <c r="J7669" i="1"/>
  <c r="J7668" i="1"/>
  <c r="J7667" i="1"/>
  <c r="J7666" i="1"/>
  <c r="J7665" i="1"/>
  <c r="J7664" i="1"/>
  <c r="J7663" i="1"/>
  <c r="J7662" i="1"/>
  <c r="J7661" i="1"/>
  <c r="J7660" i="1"/>
  <c r="J7659" i="1"/>
  <c r="J7658" i="1"/>
  <c r="J7657" i="1"/>
  <c r="J7656" i="1"/>
  <c r="J7655" i="1"/>
  <c r="J7654" i="1"/>
  <c r="J7653" i="1"/>
  <c r="J7652" i="1"/>
  <c r="J7651" i="1"/>
  <c r="J7650" i="1"/>
  <c r="J7649" i="1"/>
  <c r="J7648" i="1"/>
  <c r="J7647" i="1"/>
  <c r="J7646" i="1"/>
  <c r="J7645" i="1"/>
  <c r="J7644" i="1"/>
  <c r="J7643" i="1"/>
  <c r="J7642" i="1"/>
  <c r="J7641" i="1"/>
  <c r="J7640" i="1"/>
  <c r="J7639" i="1"/>
  <c r="J7638" i="1"/>
  <c r="J7637" i="1"/>
  <c r="J7636" i="1"/>
  <c r="J7635" i="1"/>
  <c r="J7634" i="1"/>
  <c r="J7633" i="1"/>
  <c r="J7632" i="1"/>
  <c r="J7631" i="1"/>
  <c r="J7630" i="1"/>
  <c r="J7629" i="1"/>
  <c r="J7628" i="1"/>
  <c r="J7627" i="1"/>
  <c r="J7626" i="1"/>
  <c r="J7625" i="1"/>
  <c r="J7624" i="1"/>
  <c r="J7623" i="1"/>
  <c r="J7622" i="1"/>
  <c r="J7621" i="1"/>
  <c r="J7620" i="1"/>
  <c r="J7619" i="1"/>
  <c r="J7618" i="1"/>
  <c r="J7617" i="1"/>
  <c r="J7616" i="1"/>
  <c r="J7615" i="1"/>
  <c r="J7614" i="1"/>
  <c r="J7613" i="1"/>
  <c r="J7612" i="1"/>
  <c r="J7611" i="1"/>
  <c r="J7610" i="1"/>
  <c r="J7609" i="1"/>
  <c r="J7608" i="1"/>
  <c r="J7607" i="1"/>
  <c r="J7606" i="1"/>
  <c r="J7605" i="1"/>
  <c r="J7604" i="1"/>
  <c r="J7603" i="1"/>
  <c r="J7602" i="1"/>
  <c r="J7601" i="1"/>
  <c r="J7600" i="1"/>
  <c r="J7599" i="1"/>
  <c r="J7598" i="1"/>
  <c r="J7597" i="1"/>
  <c r="J7596" i="1"/>
  <c r="J7595" i="1"/>
  <c r="J7594" i="1"/>
  <c r="J7593" i="1"/>
  <c r="J7592" i="1"/>
  <c r="J7591" i="1"/>
  <c r="J7590" i="1"/>
  <c r="J7589" i="1"/>
  <c r="J7588" i="1"/>
  <c r="J7587" i="1"/>
  <c r="J7586" i="1"/>
  <c r="J7585" i="1"/>
  <c r="J7584" i="1"/>
  <c r="J7583" i="1"/>
  <c r="J7582" i="1"/>
  <c r="J7581" i="1"/>
  <c r="J7580" i="1"/>
  <c r="J7579" i="1"/>
  <c r="J7578" i="1"/>
  <c r="J7577" i="1"/>
  <c r="J7576" i="1"/>
  <c r="J7575" i="1"/>
  <c r="J7574" i="1"/>
  <c r="J7573" i="1"/>
  <c r="J7572" i="1"/>
  <c r="J7571" i="1"/>
  <c r="J7570" i="1"/>
  <c r="J7569" i="1"/>
  <c r="J7568" i="1"/>
  <c r="J7567" i="1"/>
  <c r="J7566" i="1"/>
  <c r="J7565" i="1"/>
  <c r="J7564" i="1"/>
  <c r="J7563" i="1"/>
  <c r="J7562" i="1"/>
  <c r="J7561" i="1"/>
  <c r="J7560" i="1"/>
  <c r="J7559" i="1"/>
  <c r="J7558" i="1"/>
  <c r="J7557" i="1"/>
  <c r="J7556" i="1"/>
  <c r="J7555" i="1"/>
  <c r="J7554" i="1"/>
  <c r="J7553" i="1"/>
  <c r="J7552" i="1"/>
  <c r="J7551" i="1"/>
  <c r="J7550" i="1"/>
  <c r="J7549" i="1"/>
  <c r="J7548" i="1"/>
  <c r="J7547" i="1"/>
  <c r="J7546" i="1"/>
  <c r="J7545" i="1"/>
  <c r="J7544" i="1"/>
  <c r="J7543" i="1"/>
  <c r="J7542" i="1"/>
  <c r="J7541" i="1"/>
  <c r="J7540" i="1"/>
  <c r="J7539" i="1"/>
  <c r="J7538" i="1"/>
  <c r="J7537" i="1"/>
  <c r="J7536" i="1"/>
  <c r="J7535" i="1"/>
  <c r="J7534" i="1"/>
  <c r="J7533" i="1"/>
  <c r="J7532" i="1"/>
  <c r="J7531" i="1"/>
  <c r="J7530" i="1"/>
  <c r="J7529" i="1"/>
  <c r="J7528" i="1"/>
  <c r="J7527" i="1"/>
  <c r="J7526" i="1"/>
  <c r="J7525" i="1"/>
  <c r="J7524" i="1"/>
  <c r="J7523" i="1"/>
  <c r="J7522" i="1"/>
  <c r="J7521" i="1"/>
  <c r="J7520" i="1"/>
  <c r="J7519" i="1"/>
  <c r="J7518" i="1"/>
  <c r="J7517" i="1"/>
  <c r="J7516" i="1"/>
  <c r="J7515" i="1"/>
  <c r="J7514" i="1"/>
  <c r="J7513" i="1"/>
  <c r="J7512" i="1"/>
  <c r="J7511" i="1"/>
  <c r="J7510" i="1"/>
  <c r="J7509" i="1"/>
  <c r="J7508" i="1"/>
  <c r="J7507" i="1"/>
  <c r="J7506" i="1"/>
  <c r="J7505" i="1"/>
  <c r="J7504" i="1"/>
  <c r="J7503" i="1"/>
  <c r="J7502" i="1"/>
  <c r="J7501" i="1"/>
  <c r="J7500" i="1"/>
  <c r="J7499" i="1"/>
  <c r="J7498" i="1"/>
  <c r="J7497" i="1"/>
  <c r="J7496" i="1"/>
  <c r="J7495" i="1"/>
  <c r="J7494" i="1"/>
  <c r="J7493" i="1"/>
  <c r="J7492" i="1"/>
  <c r="J7491" i="1"/>
  <c r="J7490" i="1"/>
  <c r="J7489" i="1"/>
  <c r="J7488" i="1"/>
  <c r="J7487" i="1"/>
  <c r="J7486" i="1"/>
  <c r="J7485" i="1"/>
  <c r="J7484" i="1"/>
  <c r="J7483" i="1"/>
  <c r="J7482" i="1"/>
  <c r="J7481" i="1"/>
  <c r="J7480" i="1"/>
  <c r="J7479" i="1"/>
  <c r="J7478" i="1"/>
  <c r="J7477" i="1"/>
  <c r="J7476" i="1"/>
  <c r="J7475" i="1"/>
  <c r="J7474" i="1"/>
  <c r="J7473" i="1"/>
  <c r="J7472" i="1"/>
  <c r="J7471" i="1"/>
  <c r="J7470" i="1"/>
  <c r="J7469" i="1"/>
  <c r="J7468" i="1"/>
  <c r="J7467" i="1"/>
  <c r="J7466" i="1"/>
  <c r="J7465" i="1"/>
  <c r="J7464" i="1"/>
  <c r="J7463" i="1"/>
  <c r="J7462" i="1"/>
  <c r="J7461" i="1"/>
  <c r="J7460" i="1"/>
  <c r="J7459" i="1"/>
  <c r="J7458" i="1"/>
  <c r="J7457" i="1"/>
  <c r="J7456" i="1"/>
  <c r="J7455" i="1"/>
  <c r="J7454" i="1"/>
  <c r="J7453" i="1"/>
  <c r="J7452" i="1"/>
  <c r="J7451" i="1"/>
  <c r="J7450" i="1"/>
  <c r="J7449" i="1"/>
  <c r="J7448" i="1"/>
  <c r="J7447" i="1"/>
  <c r="J7446" i="1"/>
  <c r="J7445" i="1"/>
  <c r="J7444" i="1"/>
  <c r="J7443" i="1"/>
  <c r="J7442" i="1"/>
  <c r="J7441" i="1"/>
  <c r="J7440" i="1"/>
  <c r="J7439" i="1"/>
  <c r="J7438" i="1"/>
  <c r="J7437" i="1"/>
  <c r="J7436" i="1"/>
  <c r="J7435" i="1"/>
  <c r="J7434" i="1"/>
  <c r="J7433" i="1"/>
  <c r="J7432" i="1"/>
  <c r="J7431" i="1"/>
  <c r="J7430" i="1"/>
  <c r="J7429" i="1"/>
  <c r="J7428" i="1"/>
  <c r="J7427" i="1"/>
  <c r="J7426" i="1"/>
  <c r="J7425" i="1"/>
  <c r="J7424" i="1"/>
  <c r="J7423" i="1"/>
  <c r="J7422" i="1"/>
  <c r="J7421" i="1"/>
  <c r="J7420" i="1"/>
  <c r="J7419" i="1"/>
  <c r="J7418" i="1"/>
  <c r="J7417" i="1"/>
  <c r="J7416" i="1"/>
  <c r="J7415" i="1"/>
  <c r="J7414" i="1"/>
  <c r="J7413" i="1"/>
  <c r="J7412" i="1"/>
  <c r="J7411" i="1"/>
  <c r="J7410" i="1"/>
  <c r="J7409" i="1"/>
  <c r="J7408" i="1"/>
  <c r="J7407" i="1"/>
  <c r="J7406" i="1"/>
  <c r="J7405" i="1"/>
  <c r="J7404" i="1"/>
  <c r="J7403" i="1"/>
  <c r="J7402" i="1"/>
  <c r="J7401" i="1"/>
  <c r="J7400" i="1"/>
  <c r="J7399" i="1"/>
  <c r="J7398" i="1"/>
  <c r="J7397" i="1"/>
  <c r="J7396" i="1"/>
  <c r="J7395" i="1"/>
  <c r="J7394" i="1"/>
  <c r="J7393" i="1"/>
  <c r="J7392" i="1"/>
  <c r="J7391" i="1"/>
  <c r="J7390" i="1"/>
  <c r="J7389" i="1"/>
  <c r="J7388" i="1"/>
  <c r="J7387" i="1"/>
  <c r="J7386" i="1"/>
  <c r="J7385" i="1"/>
  <c r="J7384" i="1"/>
  <c r="J7383" i="1"/>
  <c r="J7382" i="1"/>
  <c r="J7381" i="1"/>
  <c r="J7380" i="1"/>
  <c r="J7379" i="1"/>
  <c r="J7378" i="1"/>
  <c r="J7377" i="1"/>
  <c r="J7376" i="1"/>
  <c r="J7375" i="1"/>
  <c r="J7374" i="1"/>
  <c r="J7373" i="1"/>
  <c r="J7372" i="1"/>
  <c r="J7371" i="1"/>
  <c r="J7370" i="1"/>
  <c r="J7369" i="1"/>
  <c r="J7368" i="1"/>
  <c r="J7367" i="1"/>
  <c r="J7366" i="1"/>
  <c r="J7365" i="1"/>
  <c r="J7364" i="1"/>
  <c r="J7363" i="1"/>
  <c r="J7362" i="1"/>
  <c r="J7361" i="1"/>
  <c r="J7360" i="1"/>
  <c r="J7359" i="1"/>
  <c r="J7358" i="1"/>
  <c r="J7357" i="1"/>
  <c r="J7356" i="1"/>
  <c r="J7355" i="1"/>
  <c r="J7354" i="1"/>
  <c r="J7353" i="1"/>
  <c r="J7352" i="1"/>
  <c r="J7351" i="1"/>
  <c r="J7350" i="1"/>
  <c r="J7349" i="1"/>
  <c r="J7348" i="1"/>
  <c r="J7347" i="1"/>
  <c r="J7346" i="1"/>
  <c r="J7345" i="1"/>
  <c r="J7344" i="1"/>
  <c r="J7343" i="1"/>
  <c r="J7342" i="1"/>
  <c r="J7341" i="1"/>
  <c r="J7340" i="1"/>
  <c r="J7339" i="1"/>
  <c r="J7338" i="1"/>
  <c r="J7337" i="1"/>
  <c r="J7336" i="1"/>
  <c r="J7335" i="1"/>
  <c r="J7334" i="1"/>
  <c r="J7333" i="1"/>
  <c r="J7332" i="1"/>
  <c r="J7331" i="1"/>
  <c r="J7330" i="1"/>
  <c r="J7329" i="1"/>
  <c r="J7328" i="1"/>
  <c r="J7327" i="1"/>
  <c r="J7326" i="1"/>
  <c r="J7325" i="1"/>
  <c r="J7324" i="1"/>
  <c r="J7323" i="1"/>
  <c r="J7322" i="1"/>
  <c r="J7321" i="1"/>
  <c r="J7320" i="1"/>
  <c r="J7319" i="1"/>
  <c r="J7318" i="1"/>
  <c r="J7317" i="1"/>
  <c r="J7316" i="1"/>
  <c r="J7315" i="1"/>
  <c r="J7314" i="1"/>
  <c r="J7313" i="1"/>
  <c r="J7312" i="1"/>
  <c r="J7311" i="1"/>
  <c r="J7310" i="1"/>
  <c r="J7309" i="1"/>
  <c r="J7308" i="1"/>
  <c r="J7307" i="1"/>
  <c r="J7306" i="1"/>
  <c r="J7305" i="1"/>
  <c r="J7304" i="1"/>
  <c r="J7303" i="1"/>
  <c r="J7302" i="1"/>
  <c r="J7301" i="1"/>
  <c r="J7300" i="1"/>
  <c r="J7299" i="1"/>
  <c r="J7298" i="1"/>
  <c r="J7297" i="1"/>
  <c r="J7296" i="1"/>
  <c r="J7295" i="1"/>
  <c r="J7294" i="1"/>
  <c r="J7293" i="1"/>
  <c r="J7292" i="1"/>
  <c r="J7291" i="1"/>
  <c r="J7290" i="1"/>
  <c r="J7289" i="1"/>
  <c r="J7288" i="1"/>
  <c r="J7287" i="1"/>
  <c r="J7286" i="1"/>
  <c r="J7285" i="1"/>
  <c r="J7284" i="1"/>
  <c r="J7283" i="1"/>
  <c r="J7282" i="1"/>
  <c r="J7281" i="1"/>
  <c r="J7280" i="1"/>
  <c r="J7279" i="1"/>
  <c r="J7278" i="1"/>
  <c r="J7277" i="1"/>
  <c r="J7276" i="1"/>
  <c r="J7275" i="1"/>
  <c r="J7274" i="1"/>
  <c r="J7273" i="1"/>
  <c r="J7272" i="1"/>
  <c r="J7271" i="1"/>
  <c r="J7270" i="1"/>
  <c r="J7269" i="1"/>
  <c r="J7268" i="1"/>
  <c r="J7267" i="1"/>
  <c r="J7266" i="1"/>
  <c r="J7265" i="1"/>
  <c r="J7264" i="1"/>
  <c r="J7263" i="1"/>
  <c r="J7262" i="1"/>
  <c r="J7261" i="1"/>
  <c r="J7260" i="1"/>
  <c r="J7259" i="1"/>
  <c r="J7258" i="1"/>
  <c r="J7257" i="1"/>
  <c r="J7256" i="1"/>
  <c r="J7255" i="1"/>
  <c r="J7254" i="1"/>
  <c r="J7253" i="1"/>
  <c r="J7252" i="1"/>
  <c r="J7251" i="1"/>
  <c r="J7250" i="1"/>
  <c r="J7249" i="1"/>
  <c r="J7248" i="1"/>
  <c r="J7247" i="1"/>
  <c r="J7246" i="1"/>
  <c r="J7245" i="1"/>
  <c r="J7244" i="1"/>
  <c r="J7243" i="1"/>
  <c r="J7242" i="1"/>
  <c r="J7241" i="1"/>
  <c r="J7240" i="1"/>
  <c r="J7239" i="1"/>
  <c r="J7238" i="1"/>
  <c r="J7237" i="1"/>
  <c r="J7236" i="1"/>
  <c r="J7235" i="1"/>
  <c r="J7234" i="1"/>
  <c r="J7233" i="1"/>
  <c r="J7232" i="1"/>
  <c r="J7231" i="1"/>
  <c r="J7230" i="1"/>
  <c r="J7229" i="1"/>
  <c r="J7228" i="1"/>
  <c r="J7227" i="1"/>
  <c r="J7226" i="1"/>
  <c r="J7225" i="1"/>
  <c r="J7224" i="1"/>
  <c r="J7223" i="1"/>
  <c r="J7222" i="1"/>
  <c r="J7221" i="1"/>
  <c r="J7220" i="1"/>
  <c r="J7219" i="1"/>
  <c r="J7218" i="1"/>
  <c r="J7217" i="1"/>
  <c r="J7216" i="1"/>
  <c r="J7215" i="1"/>
  <c r="J7214" i="1"/>
  <c r="J7213" i="1"/>
  <c r="J7212" i="1"/>
  <c r="J7211" i="1"/>
  <c r="J7210" i="1"/>
  <c r="J7209" i="1"/>
  <c r="J7208" i="1"/>
  <c r="J7207" i="1"/>
  <c r="J7206" i="1"/>
  <c r="J7205" i="1"/>
  <c r="J7204" i="1"/>
  <c r="J7203" i="1"/>
  <c r="J7202" i="1"/>
  <c r="J7201" i="1"/>
  <c r="J7200" i="1"/>
  <c r="J7199" i="1"/>
  <c r="J7198" i="1"/>
  <c r="J7197" i="1"/>
  <c r="J7196" i="1"/>
  <c r="J7195" i="1"/>
  <c r="J7194" i="1"/>
  <c r="J7193" i="1"/>
  <c r="J7192" i="1"/>
  <c r="J7191" i="1"/>
  <c r="J7190" i="1"/>
  <c r="J7189" i="1"/>
  <c r="J7188" i="1"/>
  <c r="J7187" i="1"/>
  <c r="J7186" i="1"/>
  <c r="J7185" i="1"/>
  <c r="J7184" i="1"/>
  <c r="J7183" i="1"/>
  <c r="J7182" i="1"/>
  <c r="J7181" i="1"/>
  <c r="J7180" i="1"/>
  <c r="J7179" i="1"/>
  <c r="J7178" i="1"/>
  <c r="J7177" i="1"/>
  <c r="J7176" i="1"/>
  <c r="J7175" i="1"/>
  <c r="J7174" i="1"/>
  <c r="J7173" i="1"/>
  <c r="J7172" i="1"/>
  <c r="J7171" i="1"/>
  <c r="J7170" i="1"/>
  <c r="J7169" i="1"/>
  <c r="J7168" i="1"/>
  <c r="J7167" i="1"/>
  <c r="J7166" i="1"/>
  <c r="J7165" i="1"/>
  <c r="J7164" i="1"/>
  <c r="J7163" i="1"/>
  <c r="J7162" i="1"/>
  <c r="J7161" i="1"/>
  <c r="J7160" i="1"/>
  <c r="J7159" i="1"/>
  <c r="J7158" i="1"/>
  <c r="J7157" i="1"/>
  <c r="J7156" i="1"/>
  <c r="J7155" i="1"/>
  <c r="J7154" i="1"/>
  <c r="J7153" i="1"/>
  <c r="J7152" i="1"/>
  <c r="J7151" i="1"/>
  <c r="J7150" i="1"/>
  <c r="J7149" i="1"/>
  <c r="J7148" i="1"/>
  <c r="J7147" i="1"/>
  <c r="J7146" i="1"/>
  <c r="J7145" i="1"/>
  <c r="J7144" i="1"/>
  <c r="J7143" i="1"/>
  <c r="J7142" i="1"/>
  <c r="J7141" i="1"/>
  <c r="J7140" i="1"/>
  <c r="J7139" i="1"/>
  <c r="J7138" i="1"/>
  <c r="J7137" i="1"/>
  <c r="J7136" i="1"/>
  <c r="J7135" i="1"/>
  <c r="J7134" i="1"/>
  <c r="J7133" i="1"/>
  <c r="J7132" i="1"/>
  <c r="J7131" i="1"/>
  <c r="J7130" i="1"/>
  <c r="J7129" i="1"/>
  <c r="J7128" i="1"/>
  <c r="J7127" i="1"/>
  <c r="J7126" i="1"/>
  <c r="J7125" i="1"/>
  <c r="J7124" i="1"/>
  <c r="J7123" i="1"/>
  <c r="J7122" i="1"/>
  <c r="J7121" i="1"/>
  <c r="J7120" i="1"/>
  <c r="J7119" i="1"/>
  <c r="J7118" i="1"/>
  <c r="J7117" i="1"/>
  <c r="J7116" i="1"/>
  <c r="J7115" i="1"/>
  <c r="J7114" i="1"/>
  <c r="J7113" i="1"/>
  <c r="J7112" i="1"/>
  <c r="J7111" i="1"/>
  <c r="J7110" i="1"/>
  <c r="J7109" i="1"/>
  <c r="J7108" i="1"/>
  <c r="J7107" i="1"/>
  <c r="J7106" i="1"/>
  <c r="J7105" i="1"/>
  <c r="J7104" i="1"/>
  <c r="J7103" i="1"/>
  <c r="J7102" i="1"/>
  <c r="J7101" i="1"/>
  <c r="J7100" i="1"/>
  <c r="J7099" i="1"/>
  <c r="J7098" i="1"/>
  <c r="J7097" i="1"/>
  <c r="J7096" i="1"/>
  <c r="J7095" i="1"/>
  <c r="J7094" i="1"/>
  <c r="J7093" i="1"/>
  <c r="J7092" i="1"/>
  <c r="J7091" i="1"/>
  <c r="J7090" i="1"/>
  <c r="J7089" i="1"/>
  <c r="J7088" i="1"/>
  <c r="J7087" i="1"/>
  <c r="J7086" i="1"/>
  <c r="J7085" i="1"/>
  <c r="J7084" i="1"/>
  <c r="J7083" i="1"/>
  <c r="J7082" i="1"/>
  <c r="J7081" i="1"/>
  <c r="J7080" i="1"/>
  <c r="J7079" i="1"/>
  <c r="J7078" i="1"/>
  <c r="J7077" i="1"/>
  <c r="J7076" i="1"/>
  <c r="J7075" i="1"/>
  <c r="J7074" i="1"/>
  <c r="J7073" i="1"/>
  <c r="J7072" i="1"/>
  <c r="J7071" i="1"/>
  <c r="J7070" i="1"/>
  <c r="J7069" i="1"/>
  <c r="J7068" i="1"/>
  <c r="J7067" i="1"/>
  <c r="J7066" i="1"/>
  <c r="J7065" i="1"/>
  <c r="J7064" i="1"/>
  <c r="J7063" i="1"/>
  <c r="J7062" i="1"/>
  <c r="J7061" i="1"/>
  <c r="J7060" i="1"/>
  <c r="J7059" i="1"/>
  <c r="J7058" i="1"/>
  <c r="J7057" i="1"/>
  <c r="J7056" i="1"/>
  <c r="J7055" i="1"/>
  <c r="J7054" i="1"/>
  <c r="J7053" i="1"/>
  <c r="J7052" i="1"/>
  <c r="J7051" i="1"/>
  <c r="J7050" i="1"/>
  <c r="J7049" i="1"/>
  <c r="J7048" i="1"/>
  <c r="J7047" i="1"/>
  <c r="J7046" i="1"/>
  <c r="J7045" i="1"/>
  <c r="J7044" i="1"/>
  <c r="J7043" i="1"/>
  <c r="J7042" i="1"/>
  <c r="J7041" i="1"/>
  <c r="J7040" i="1"/>
  <c r="J7039" i="1"/>
  <c r="J7038" i="1"/>
  <c r="J7037" i="1"/>
  <c r="J7036" i="1"/>
  <c r="J7035" i="1"/>
  <c r="J7034" i="1"/>
  <c r="J7033" i="1"/>
  <c r="J7032" i="1"/>
  <c r="J7031" i="1"/>
  <c r="J7030" i="1"/>
  <c r="J7029" i="1"/>
  <c r="J7028" i="1"/>
  <c r="J7027" i="1"/>
  <c r="J7026" i="1"/>
  <c r="J7025" i="1"/>
  <c r="J7024" i="1"/>
  <c r="J7023" i="1"/>
  <c r="J7022" i="1"/>
  <c r="J7021" i="1"/>
  <c r="J7020" i="1"/>
  <c r="J7019" i="1"/>
  <c r="J7018" i="1"/>
  <c r="J7017" i="1"/>
  <c r="J7016" i="1"/>
  <c r="J7015" i="1"/>
  <c r="J7014" i="1"/>
  <c r="J7013" i="1"/>
  <c r="J7012" i="1"/>
  <c r="J7011" i="1"/>
  <c r="J7010" i="1"/>
  <c r="J7009" i="1"/>
  <c r="J7008" i="1"/>
  <c r="J7007" i="1"/>
  <c r="J7006" i="1"/>
  <c r="J7005" i="1"/>
  <c r="J7004" i="1"/>
  <c r="J7003" i="1"/>
  <c r="J7002" i="1"/>
  <c r="J7001" i="1"/>
  <c r="J7000" i="1"/>
  <c r="J6999" i="1"/>
  <c r="J6998" i="1"/>
  <c r="J6997" i="1"/>
  <c r="J6996" i="1"/>
  <c r="J6995" i="1"/>
  <c r="J6994" i="1"/>
  <c r="J6993" i="1"/>
  <c r="J6992" i="1"/>
  <c r="J6991" i="1"/>
  <c r="J6990" i="1"/>
  <c r="J6989" i="1"/>
  <c r="J6988" i="1"/>
  <c r="J6987" i="1"/>
  <c r="J6986" i="1"/>
  <c r="J6985" i="1"/>
  <c r="J6984" i="1"/>
  <c r="J6983" i="1"/>
  <c r="J6982" i="1"/>
  <c r="J6981" i="1"/>
  <c r="J6980" i="1"/>
  <c r="J6979" i="1"/>
  <c r="J6978" i="1"/>
  <c r="J6977" i="1"/>
  <c r="J6976" i="1"/>
  <c r="J6975" i="1"/>
  <c r="J6974" i="1"/>
  <c r="J6973" i="1"/>
  <c r="J6972" i="1"/>
  <c r="J6971" i="1"/>
  <c r="J6970" i="1"/>
  <c r="J6969" i="1"/>
  <c r="J6968" i="1"/>
  <c r="J6967" i="1"/>
  <c r="J6966" i="1"/>
  <c r="J6965" i="1"/>
  <c r="J6964" i="1"/>
  <c r="J6963" i="1"/>
  <c r="J6962" i="1"/>
  <c r="J6961" i="1"/>
  <c r="J6960" i="1"/>
  <c r="J6959" i="1"/>
  <c r="J6958" i="1"/>
  <c r="J6957" i="1"/>
  <c r="J6956" i="1"/>
  <c r="J6955" i="1"/>
  <c r="J6954" i="1"/>
  <c r="J6953" i="1"/>
  <c r="J6952" i="1"/>
  <c r="J6951" i="1"/>
  <c r="J6950" i="1"/>
  <c r="J6949" i="1"/>
  <c r="J6948" i="1"/>
  <c r="J6947" i="1"/>
  <c r="J6946" i="1"/>
  <c r="J6945" i="1"/>
  <c r="J6944" i="1"/>
  <c r="J6943" i="1"/>
  <c r="J6942" i="1"/>
  <c r="J6941" i="1"/>
  <c r="J6940" i="1"/>
  <c r="J6939" i="1"/>
  <c r="J6938" i="1"/>
  <c r="J6937" i="1"/>
  <c r="J6936" i="1"/>
  <c r="J6935" i="1"/>
  <c r="J6934" i="1"/>
  <c r="J6933" i="1"/>
  <c r="J6932" i="1"/>
  <c r="J6931" i="1"/>
  <c r="J6930" i="1"/>
  <c r="J6929" i="1"/>
  <c r="J6928" i="1"/>
  <c r="J6927" i="1"/>
  <c r="J6926" i="1"/>
  <c r="J6925" i="1"/>
  <c r="J6924" i="1"/>
  <c r="J6923" i="1"/>
  <c r="J6922" i="1"/>
  <c r="J6921" i="1"/>
  <c r="J6920" i="1"/>
  <c r="J6919" i="1"/>
  <c r="J6918" i="1"/>
  <c r="J6917" i="1"/>
  <c r="J6916" i="1"/>
  <c r="J6915" i="1"/>
  <c r="J6914" i="1"/>
  <c r="J6913" i="1"/>
  <c r="J6912" i="1"/>
  <c r="J6911" i="1"/>
  <c r="J6910" i="1"/>
  <c r="J6909" i="1"/>
  <c r="J6908" i="1"/>
  <c r="J6907" i="1"/>
  <c r="J6906" i="1"/>
  <c r="J6905" i="1"/>
  <c r="J6904" i="1"/>
  <c r="J6903" i="1"/>
  <c r="J6902" i="1"/>
  <c r="J6901" i="1"/>
  <c r="J6900" i="1"/>
  <c r="J6899" i="1"/>
  <c r="J6898" i="1"/>
  <c r="J6897" i="1"/>
  <c r="J6896" i="1"/>
  <c r="J6895" i="1"/>
  <c r="J6894" i="1"/>
  <c r="J6893" i="1"/>
  <c r="J6892" i="1"/>
  <c r="J6891" i="1"/>
  <c r="J6890" i="1"/>
  <c r="J6889" i="1"/>
  <c r="J6888" i="1"/>
  <c r="J6887" i="1"/>
  <c r="J6886" i="1"/>
  <c r="J6885" i="1"/>
  <c r="J6884" i="1"/>
  <c r="J6883" i="1"/>
  <c r="J6882" i="1"/>
  <c r="J6881" i="1"/>
  <c r="J6880" i="1"/>
  <c r="J6879" i="1"/>
  <c r="J6878" i="1"/>
  <c r="J6877" i="1"/>
  <c r="J6876" i="1"/>
  <c r="J6875" i="1"/>
  <c r="J6874" i="1"/>
  <c r="J6873" i="1"/>
  <c r="J6872" i="1"/>
  <c r="J6871" i="1"/>
  <c r="J6870" i="1"/>
  <c r="J6869" i="1"/>
  <c r="J6868" i="1"/>
  <c r="J6867" i="1"/>
  <c r="J6866" i="1"/>
  <c r="J6865" i="1"/>
  <c r="J6864" i="1"/>
  <c r="J6863" i="1"/>
  <c r="J6862" i="1"/>
  <c r="J6861" i="1"/>
  <c r="J6860" i="1"/>
  <c r="J6859" i="1"/>
  <c r="J6858" i="1"/>
  <c r="J6857" i="1"/>
  <c r="J6856" i="1"/>
  <c r="J6855" i="1"/>
  <c r="J6854" i="1"/>
  <c r="J6853" i="1"/>
  <c r="J6852" i="1"/>
  <c r="J6851" i="1"/>
  <c r="J6850" i="1"/>
  <c r="J6849" i="1"/>
  <c r="J6848" i="1"/>
  <c r="J6847" i="1"/>
  <c r="J6846" i="1"/>
  <c r="J6845" i="1"/>
  <c r="J6844" i="1"/>
  <c r="J6843" i="1"/>
  <c r="J6842" i="1"/>
  <c r="J6841" i="1"/>
  <c r="J6840" i="1"/>
  <c r="J6839" i="1"/>
  <c r="J6838" i="1"/>
  <c r="J6837" i="1"/>
  <c r="J6836" i="1"/>
  <c r="J6835" i="1"/>
  <c r="J6834" i="1"/>
  <c r="J6833" i="1"/>
  <c r="J6832" i="1"/>
  <c r="J6831" i="1"/>
  <c r="J6830" i="1"/>
  <c r="J6829" i="1"/>
  <c r="J6828" i="1"/>
  <c r="J6827" i="1"/>
  <c r="J6826" i="1"/>
  <c r="J6825" i="1"/>
  <c r="J6824" i="1"/>
  <c r="J6823" i="1"/>
  <c r="J6822" i="1"/>
  <c r="J6821" i="1"/>
  <c r="J6820" i="1"/>
  <c r="J6819" i="1"/>
  <c r="J6818" i="1"/>
  <c r="J6817" i="1"/>
  <c r="J6816" i="1"/>
  <c r="J6815" i="1"/>
  <c r="J6814" i="1"/>
  <c r="J6813" i="1"/>
  <c r="J6812" i="1"/>
  <c r="J6811" i="1"/>
  <c r="J6810" i="1"/>
  <c r="J6809" i="1"/>
  <c r="J6808" i="1"/>
  <c r="J6807" i="1"/>
  <c r="J6806" i="1"/>
  <c r="J6805" i="1"/>
  <c r="J6804" i="1"/>
  <c r="J6803" i="1"/>
  <c r="J6802" i="1"/>
  <c r="J6801" i="1"/>
  <c r="J6800" i="1"/>
  <c r="J6799" i="1"/>
  <c r="J6798" i="1"/>
  <c r="J6797" i="1"/>
  <c r="J6796" i="1"/>
  <c r="J6795" i="1"/>
  <c r="J6794" i="1"/>
  <c r="J6793" i="1"/>
  <c r="J6792" i="1"/>
  <c r="J6791" i="1"/>
  <c r="J6790" i="1"/>
  <c r="J6789" i="1"/>
  <c r="J6788" i="1"/>
  <c r="J6787" i="1"/>
  <c r="J6786" i="1"/>
  <c r="J6785" i="1"/>
  <c r="J6784" i="1"/>
  <c r="J6783" i="1"/>
  <c r="J6782" i="1"/>
  <c r="J6781" i="1"/>
  <c r="J6780" i="1"/>
  <c r="J6779" i="1"/>
  <c r="J6778" i="1"/>
  <c r="J6777" i="1"/>
  <c r="J6776" i="1"/>
  <c r="J6775" i="1"/>
  <c r="J6774" i="1"/>
  <c r="J6773" i="1"/>
  <c r="J6772" i="1"/>
  <c r="J6771" i="1"/>
  <c r="J6770" i="1"/>
  <c r="J6769" i="1"/>
  <c r="J6768" i="1"/>
  <c r="J6767" i="1"/>
  <c r="J6766" i="1"/>
  <c r="J6765" i="1"/>
  <c r="J6764" i="1"/>
  <c r="J6763" i="1"/>
  <c r="J6762" i="1"/>
  <c r="J6761" i="1"/>
  <c r="J6760" i="1"/>
  <c r="J6759" i="1"/>
  <c r="J6758" i="1"/>
  <c r="J6757" i="1"/>
  <c r="J6756" i="1"/>
  <c r="J6755" i="1"/>
  <c r="J6754" i="1"/>
  <c r="J6753" i="1"/>
  <c r="J6752" i="1"/>
  <c r="J6751" i="1"/>
  <c r="J6750" i="1"/>
  <c r="J6749" i="1"/>
  <c r="J6748" i="1"/>
  <c r="J6747" i="1"/>
  <c r="J6746" i="1"/>
  <c r="J6745" i="1"/>
  <c r="J6744" i="1"/>
  <c r="J6743" i="1"/>
  <c r="J6742" i="1"/>
  <c r="J6741" i="1"/>
  <c r="J6740" i="1"/>
  <c r="J6739" i="1"/>
  <c r="J6738" i="1"/>
  <c r="J6737" i="1"/>
  <c r="J6736" i="1"/>
  <c r="J6735" i="1"/>
  <c r="J6734" i="1"/>
  <c r="J6733" i="1"/>
  <c r="J6732" i="1"/>
  <c r="J6731" i="1"/>
  <c r="J6730" i="1"/>
  <c r="J6729" i="1"/>
  <c r="J6728" i="1"/>
  <c r="J6727" i="1"/>
  <c r="J6726" i="1"/>
  <c r="J6725" i="1"/>
  <c r="J6724" i="1"/>
  <c r="J6723" i="1"/>
  <c r="J6722" i="1"/>
  <c r="J6721" i="1"/>
  <c r="J6720" i="1"/>
  <c r="J6719" i="1"/>
  <c r="J6718" i="1"/>
  <c r="J6717" i="1"/>
  <c r="J6716" i="1"/>
  <c r="J6715" i="1"/>
  <c r="J6714" i="1"/>
  <c r="J6713" i="1"/>
  <c r="J6712" i="1"/>
  <c r="J6711" i="1"/>
  <c r="J6710" i="1"/>
  <c r="J6709" i="1"/>
  <c r="J6708" i="1"/>
  <c r="J6707" i="1"/>
  <c r="J6706" i="1"/>
  <c r="J6705" i="1"/>
  <c r="J6704" i="1"/>
  <c r="J6703" i="1"/>
  <c r="J6702" i="1"/>
  <c r="J6701" i="1"/>
  <c r="J6700" i="1"/>
  <c r="J6699" i="1"/>
  <c r="J6698" i="1"/>
  <c r="J6697" i="1"/>
  <c r="J6696" i="1"/>
  <c r="J6695" i="1"/>
  <c r="J6694" i="1"/>
  <c r="J6693" i="1"/>
  <c r="J6692" i="1"/>
  <c r="J6691" i="1"/>
  <c r="J6690" i="1"/>
  <c r="J6689" i="1"/>
  <c r="J6688" i="1"/>
  <c r="J6687" i="1"/>
  <c r="J6686" i="1"/>
  <c r="J6685" i="1"/>
  <c r="J6684" i="1"/>
  <c r="J6683" i="1"/>
  <c r="J6682" i="1"/>
  <c r="J6681" i="1"/>
  <c r="J6680" i="1"/>
  <c r="J6679" i="1"/>
  <c r="J6678" i="1"/>
  <c r="J6677" i="1"/>
  <c r="J6676" i="1"/>
  <c r="J6675" i="1"/>
  <c r="J6674" i="1"/>
  <c r="J6673" i="1"/>
  <c r="J6672" i="1"/>
  <c r="J6671" i="1"/>
  <c r="J6670" i="1"/>
  <c r="J6669" i="1"/>
  <c r="J6668" i="1"/>
  <c r="J6667" i="1"/>
  <c r="J6666" i="1"/>
  <c r="J6665" i="1"/>
  <c r="J6664" i="1"/>
  <c r="J6663" i="1"/>
  <c r="J6662" i="1"/>
  <c r="J6661" i="1"/>
  <c r="J6660" i="1"/>
  <c r="J6659" i="1"/>
  <c r="J6658" i="1"/>
  <c r="J6657" i="1"/>
  <c r="J6656" i="1"/>
  <c r="J6655" i="1"/>
  <c r="J6654" i="1"/>
  <c r="J6653" i="1"/>
  <c r="J6652" i="1"/>
  <c r="J6651" i="1"/>
  <c r="J6650" i="1"/>
  <c r="J6649" i="1"/>
  <c r="J6648" i="1"/>
  <c r="J6647" i="1"/>
  <c r="J6646" i="1"/>
  <c r="J6645" i="1"/>
  <c r="J6644" i="1"/>
  <c r="J6643" i="1"/>
  <c r="J6642" i="1"/>
  <c r="J6641" i="1"/>
  <c r="J6640" i="1"/>
  <c r="J6639" i="1"/>
  <c r="J6638" i="1"/>
  <c r="J6637" i="1"/>
  <c r="J6636" i="1"/>
  <c r="J6635" i="1"/>
  <c r="J6634" i="1"/>
  <c r="J6633" i="1"/>
  <c r="J6632" i="1"/>
  <c r="J6631" i="1"/>
  <c r="J6630" i="1"/>
  <c r="J6629" i="1"/>
  <c r="J6628" i="1"/>
  <c r="J6627" i="1"/>
  <c r="J6626" i="1"/>
  <c r="J6625" i="1"/>
  <c r="J6624" i="1"/>
  <c r="J6623" i="1"/>
  <c r="J6622" i="1"/>
  <c r="J6621" i="1"/>
  <c r="J6620" i="1"/>
  <c r="J6619" i="1"/>
  <c r="J6618" i="1"/>
  <c r="J6617" i="1"/>
  <c r="J6616" i="1"/>
  <c r="J6615" i="1"/>
  <c r="J6614" i="1"/>
  <c r="J6613" i="1"/>
  <c r="J6612" i="1"/>
  <c r="J6611" i="1"/>
  <c r="J6610" i="1"/>
  <c r="J6609" i="1"/>
  <c r="J6608" i="1"/>
  <c r="J6607" i="1"/>
  <c r="J6606" i="1"/>
  <c r="J6605" i="1"/>
  <c r="J6604" i="1"/>
  <c r="J6603" i="1"/>
  <c r="J6602" i="1"/>
  <c r="J6601" i="1"/>
  <c r="J6600" i="1"/>
  <c r="J6599" i="1"/>
  <c r="J6598" i="1"/>
  <c r="J6597" i="1"/>
  <c r="J6596" i="1"/>
  <c r="J6595" i="1"/>
  <c r="J6594" i="1"/>
  <c r="J6593" i="1"/>
  <c r="J6592" i="1"/>
  <c r="J6591" i="1"/>
  <c r="J6590" i="1"/>
  <c r="J6589" i="1"/>
  <c r="J6588" i="1"/>
  <c r="J6587" i="1"/>
  <c r="J6586" i="1"/>
  <c r="J6585" i="1"/>
  <c r="J6584" i="1"/>
  <c r="J6583" i="1"/>
  <c r="J6582" i="1"/>
  <c r="J6581" i="1"/>
  <c r="J6580" i="1"/>
  <c r="J6579" i="1"/>
  <c r="J6578" i="1"/>
  <c r="J6577" i="1"/>
  <c r="J6576" i="1"/>
  <c r="J6575" i="1"/>
  <c r="J6574" i="1"/>
  <c r="J6573" i="1"/>
  <c r="J6572" i="1"/>
  <c r="J6571" i="1"/>
  <c r="J6570" i="1"/>
  <c r="J6569" i="1"/>
  <c r="J6568" i="1"/>
  <c r="J6567" i="1"/>
  <c r="J6566" i="1"/>
  <c r="J6565" i="1"/>
  <c r="J6564" i="1"/>
  <c r="J6563" i="1"/>
  <c r="J6562" i="1"/>
  <c r="J6561" i="1"/>
  <c r="J6560" i="1"/>
  <c r="J6559" i="1"/>
  <c r="J6558" i="1"/>
  <c r="J6557" i="1"/>
  <c r="J6556" i="1"/>
  <c r="J6555" i="1"/>
  <c r="J6554" i="1"/>
  <c r="J6553" i="1"/>
  <c r="J6552" i="1"/>
  <c r="J6551" i="1"/>
  <c r="J6550" i="1"/>
  <c r="J6549" i="1"/>
  <c r="J6548" i="1"/>
  <c r="J6547" i="1"/>
  <c r="J6546" i="1"/>
  <c r="J6545" i="1"/>
  <c r="J6544" i="1"/>
  <c r="J6543" i="1"/>
  <c r="J6542" i="1"/>
  <c r="J6541" i="1"/>
  <c r="J6540" i="1"/>
  <c r="J6539" i="1"/>
  <c r="J6538" i="1"/>
  <c r="J6537" i="1"/>
  <c r="J6536" i="1"/>
  <c r="J6535" i="1"/>
  <c r="J6534" i="1"/>
  <c r="J6533" i="1"/>
  <c r="J6532" i="1"/>
  <c r="J6531" i="1"/>
  <c r="J6530" i="1"/>
  <c r="J6529" i="1"/>
  <c r="J6528" i="1"/>
  <c r="J6527" i="1"/>
  <c r="J6526" i="1"/>
  <c r="J6525" i="1"/>
  <c r="J6524" i="1"/>
  <c r="J6523" i="1"/>
  <c r="J6522" i="1"/>
  <c r="J6521" i="1"/>
  <c r="J6520" i="1"/>
  <c r="J6519" i="1"/>
  <c r="J6518" i="1"/>
  <c r="J6517" i="1"/>
  <c r="J6516" i="1"/>
  <c r="J6515" i="1"/>
  <c r="J6514" i="1"/>
  <c r="J6513" i="1"/>
  <c r="J6512" i="1"/>
  <c r="J6511" i="1"/>
  <c r="J6510" i="1"/>
  <c r="J6509" i="1"/>
  <c r="J6508" i="1"/>
  <c r="J6507" i="1"/>
  <c r="J6506" i="1"/>
  <c r="J6505" i="1"/>
  <c r="J6504" i="1"/>
  <c r="J6503" i="1"/>
  <c r="J6502" i="1"/>
  <c r="J6501" i="1"/>
  <c r="J6500" i="1"/>
  <c r="J6499" i="1"/>
  <c r="J6498" i="1"/>
  <c r="J6497" i="1"/>
  <c r="J6496" i="1"/>
  <c r="J6495" i="1"/>
  <c r="J6494" i="1"/>
  <c r="J6493" i="1"/>
  <c r="J6492" i="1"/>
  <c r="J6491" i="1"/>
  <c r="J6490" i="1"/>
  <c r="J6489" i="1"/>
  <c r="J6488" i="1"/>
  <c r="J6487" i="1"/>
  <c r="J6486" i="1"/>
  <c r="J6485" i="1"/>
  <c r="J6484" i="1"/>
  <c r="J6483" i="1"/>
  <c r="J6482" i="1"/>
  <c r="J6481" i="1"/>
  <c r="J6480" i="1"/>
  <c r="J6479" i="1"/>
  <c r="J6478" i="1"/>
  <c r="J6477" i="1"/>
  <c r="J6476" i="1"/>
  <c r="J6475" i="1"/>
  <c r="J6474" i="1"/>
  <c r="J6473" i="1"/>
  <c r="J6472" i="1"/>
  <c r="J6471" i="1"/>
  <c r="J6470" i="1"/>
  <c r="J6469" i="1"/>
  <c r="J6468" i="1"/>
  <c r="J6467" i="1"/>
  <c r="J6466" i="1"/>
  <c r="J6465" i="1"/>
  <c r="J6464" i="1"/>
  <c r="J6463" i="1"/>
  <c r="J6462" i="1"/>
  <c r="J6461" i="1"/>
  <c r="J6460" i="1"/>
  <c r="J6459" i="1"/>
  <c r="J6458" i="1"/>
  <c r="J6457" i="1"/>
  <c r="J6456" i="1"/>
  <c r="J6455" i="1"/>
  <c r="J6454" i="1"/>
  <c r="J6453" i="1"/>
  <c r="J6452" i="1"/>
  <c r="J6451" i="1"/>
  <c r="J6450" i="1"/>
  <c r="J6449" i="1"/>
  <c r="J6448" i="1"/>
  <c r="J6447" i="1"/>
  <c r="J6446" i="1"/>
  <c r="J6445" i="1"/>
  <c r="J6444" i="1"/>
  <c r="J6443" i="1"/>
  <c r="J6442" i="1"/>
  <c r="J6441" i="1"/>
  <c r="J6440" i="1"/>
  <c r="J6439" i="1"/>
  <c r="J6438" i="1"/>
  <c r="J6437" i="1"/>
  <c r="J6436" i="1"/>
  <c r="J6435" i="1"/>
  <c r="J6434" i="1"/>
  <c r="J6433" i="1"/>
  <c r="J6432" i="1"/>
  <c r="J6431" i="1"/>
  <c r="J6430" i="1"/>
  <c r="J6429" i="1"/>
  <c r="J6428" i="1"/>
  <c r="J6427" i="1"/>
  <c r="J6426" i="1"/>
  <c r="J6425" i="1"/>
  <c r="J6424" i="1"/>
  <c r="J6423" i="1"/>
  <c r="J6422" i="1"/>
  <c r="J6421" i="1"/>
  <c r="J6420" i="1"/>
  <c r="J6419" i="1"/>
  <c r="J6418" i="1"/>
  <c r="J6417" i="1"/>
  <c r="J6416" i="1"/>
  <c r="J6415" i="1"/>
  <c r="J6414" i="1"/>
  <c r="J6413" i="1"/>
  <c r="J6412" i="1"/>
  <c r="J6411" i="1"/>
  <c r="J6410" i="1"/>
  <c r="J6409" i="1"/>
  <c r="J6408" i="1"/>
  <c r="J6407" i="1"/>
  <c r="J6406" i="1"/>
  <c r="J6405" i="1"/>
  <c r="J6404" i="1"/>
  <c r="J6403" i="1"/>
  <c r="J6402" i="1"/>
  <c r="J6401" i="1"/>
  <c r="J6400" i="1"/>
  <c r="J6399" i="1"/>
  <c r="J6398" i="1"/>
  <c r="J6397" i="1"/>
  <c r="J6396" i="1"/>
  <c r="J6395" i="1"/>
  <c r="J6394" i="1"/>
  <c r="J6393" i="1"/>
  <c r="J6392" i="1"/>
  <c r="J6391" i="1"/>
  <c r="J6390" i="1"/>
  <c r="J6389" i="1"/>
  <c r="J6388" i="1"/>
  <c r="J6387" i="1"/>
  <c r="J6386" i="1"/>
  <c r="J6385" i="1"/>
  <c r="J6384" i="1"/>
  <c r="J6383" i="1"/>
  <c r="J6382" i="1"/>
  <c r="J6381" i="1"/>
  <c r="J6380" i="1"/>
  <c r="J6379" i="1"/>
  <c r="J6378" i="1"/>
  <c r="J6377" i="1"/>
  <c r="J6376" i="1"/>
  <c r="J6375" i="1"/>
  <c r="J6374" i="1"/>
  <c r="J6373" i="1"/>
  <c r="J6372" i="1"/>
  <c r="J6371" i="1"/>
  <c r="J6370" i="1"/>
  <c r="J6369" i="1"/>
  <c r="J6368" i="1"/>
  <c r="J6367" i="1"/>
  <c r="J6366" i="1"/>
  <c r="J6365" i="1"/>
  <c r="J6364" i="1"/>
  <c r="J6363" i="1"/>
  <c r="J6362" i="1"/>
  <c r="J6361" i="1"/>
  <c r="J6360" i="1"/>
  <c r="J6359" i="1"/>
  <c r="J6358" i="1"/>
  <c r="J6357" i="1"/>
  <c r="J6356" i="1"/>
  <c r="J6355" i="1"/>
  <c r="J6354" i="1"/>
  <c r="J6353" i="1"/>
  <c r="J6352" i="1"/>
  <c r="J6351" i="1"/>
  <c r="J6350" i="1"/>
  <c r="J6349" i="1"/>
  <c r="J6348" i="1"/>
  <c r="J6347" i="1"/>
  <c r="J6346" i="1"/>
  <c r="J6345" i="1"/>
  <c r="J6344" i="1"/>
  <c r="J6343" i="1"/>
  <c r="J6342" i="1"/>
  <c r="J6341" i="1"/>
  <c r="J6340" i="1"/>
  <c r="J6339" i="1"/>
  <c r="J6338" i="1"/>
  <c r="J6337" i="1"/>
  <c r="J6336" i="1"/>
  <c r="J6335" i="1"/>
  <c r="J6334" i="1"/>
  <c r="J6333" i="1"/>
  <c r="J6332" i="1"/>
  <c r="J6331" i="1"/>
  <c r="J6330" i="1"/>
  <c r="J6329" i="1"/>
  <c r="J6328" i="1"/>
  <c r="J6327" i="1"/>
  <c r="J6326" i="1"/>
  <c r="J6325" i="1"/>
  <c r="J6324" i="1"/>
  <c r="J6323" i="1"/>
  <c r="J6322" i="1"/>
  <c r="J6321" i="1"/>
  <c r="J6320" i="1"/>
  <c r="J6319" i="1"/>
  <c r="J6318" i="1"/>
  <c r="J6317" i="1"/>
  <c r="J6316" i="1"/>
  <c r="J6315" i="1"/>
  <c r="J6314" i="1"/>
  <c r="J6313" i="1"/>
  <c r="J6312" i="1"/>
  <c r="J6311" i="1"/>
  <c r="J6310" i="1"/>
  <c r="J6309" i="1"/>
  <c r="J6308" i="1"/>
  <c r="J6307" i="1"/>
  <c r="J6306" i="1"/>
  <c r="J6305" i="1"/>
  <c r="J6304" i="1"/>
  <c r="J6303" i="1"/>
  <c r="J6302" i="1"/>
  <c r="J6301" i="1"/>
  <c r="J6300" i="1"/>
  <c r="J6299" i="1"/>
  <c r="J6298" i="1"/>
  <c r="J6297" i="1"/>
  <c r="J6296" i="1"/>
  <c r="J6295" i="1"/>
  <c r="J6294" i="1"/>
  <c r="J6293" i="1"/>
  <c r="J6292" i="1"/>
  <c r="J6291" i="1"/>
  <c r="J6290" i="1"/>
  <c r="J6289" i="1"/>
  <c r="J6288" i="1"/>
  <c r="J6287" i="1"/>
  <c r="J6286" i="1"/>
  <c r="J6285" i="1"/>
  <c r="J6284" i="1"/>
  <c r="J6283" i="1"/>
  <c r="J6282" i="1"/>
  <c r="J6281" i="1"/>
  <c r="J6280" i="1"/>
  <c r="J6279" i="1"/>
  <c r="J6278" i="1"/>
  <c r="J6277" i="1"/>
  <c r="J6276" i="1"/>
  <c r="J6275" i="1"/>
  <c r="J6274" i="1"/>
  <c r="J6273" i="1"/>
  <c r="J6272" i="1"/>
  <c r="J6271" i="1"/>
  <c r="J6270" i="1"/>
  <c r="J6269" i="1"/>
  <c r="J6268" i="1"/>
  <c r="J6267" i="1"/>
  <c r="J6266" i="1"/>
  <c r="J6265" i="1"/>
  <c r="J6264" i="1"/>
  <c r="J6263" i="1"/>
  <c r="J6262" i="1"/>
  <c r="J6261" i="1"/>
  <c r="J6260" i="1"/>
  <c r="J6259" i="1"/>
  <c r="J6258" i="1"/>
  <c r="J6257" i="1"/>
  <c r="J6256" i="1"/>
  <c r="J6255" i="1"/>
  <c r="J6254" i="1"/>
  <c r="J6253" i="1"/>
  <c r="J6252" i="1"/>
  <c r="J6251" i="1"/>
  <c r="J6250" i="1"/>
  <c r="J6249" i="1"/>
  <c r="J6248" i="1"/>
  <c r="J6247" i="1"/>
  <c r="J6246" i="1"/>
  <c r="J6245" i="1"/>
  <c r="J6244" i="1"/>
  <c r="J6243" i="1"/>
  <c r="J6242" i="1"/>
  <c r="J6241" i="1"/>
  <c r="J6240" i="1"/>
  <c r="J6239" i="1"/>
  <c r="J6238" i="1"/>
  <c r="J6237" i="1"/>
  <c r="J6236" i="1"/>
  <c r="J6235" i="1"/>
  <c r="J6234" i="1"/>
  <c r="J6233" i="1"/>
  <c r="J6232" i="1"/>
  <c r="J6231" i="1"/>
  <c r="J6230" i="1"/>
  <c r="J6229" i="1"/>
  <c r="J6228" i="1"/>
  <c r="J6227" i="1"/>
  <c r="J6226" i="1"/>
  <c r="J6225" i="1"/>
  <c r="J6224" i="1"/>
  <c r="J6223" i="1"/>
  <c r="J6222" i="1"/>
  <c r="J6221" i="1"/>
  <c r="J6220" i="1"/>
  <c r="J6219" i="1"/>
  <c r="J6218" i="1"/>
  <c r="J6217" i="1"/>
  <c r="J6216" i="1"/>
  <c r="J6215" i="1"/>
  <c r="J6214" i="1"/>
  <c r="J6213" i="1"/>
  <c r="J6212" i="1"/>
  <c r="J6211" i="1"/>
  <c r="J6210" i="1"/>
  <c r="J6209" i="1"/>
  <c r="J6208" i="1"/>
  <c r="J6207" i="1"/>
  <c r="J6206" i="1"/>
  <c r="J6205" i="1"/>
  <c r="J6204" i="1"/>
  <c r="J6203" i="1"/>
  <c r="J6202" i="1"/>
  <c r="J6201" i="1"/>
  <c r="J6200" i="1"/>
  <c r="J6199" i="1"/>
  <c r="J6198" i="1"/>
  <c r="J6197" i="1"/>
  <c r="J6196" i="1"/>
  <c r="J6195" i="1"/>
  <c r="J6194" i="1"/>
  <c r="J6193" i="1"/>
  <c r="J6192" i="1"/>
  <c r="J6191" i="1"/>
  <c r="J6190" i="1"/>
  <c r="J6189" i="1"/>
  <c r="J6188" i="1"/>
  <c r="J6187" i="1"/>
  <c r="J6186" i="1"/>
  <c r="J6185" i="1"/>
  <c r="J6184" i="1"/>
  <c r="J6183" i="1"/>
  <c r="J6182" i="1"/>
  <c r="J6181" i="1"/>
  <c r="J6180" i="1"/>
  <c r="J6179" i="1"/>
  <c r="J6178" i="1"/>
  <c r="J6177" i="1"/>
  <c r="J6176" i="1"/>
  <c r="J6175" i="1"/>
  <c r="J6174" i="1"/>
  <c r="J6173" i="1"/>
  <c r="J6172" i="1"/>
  <c r="J6171" i="1"/>
  <c r="J6170" i="1"/>
  <c r="J6169" i="1"/>
  <c r="J6168" i="1"/>
  <c r="J6167" i="1"/>
  <c r="J6166" i="1"/>
  <c r="J6165" i="1"/>
  <c r="J6164" i="1"/>
  <c r="J6163" i="1"/>
  <c r="J6162" i="1"/>
  <c r="J6161" i="1"/>
  <c r="J6160" i="1"/>
  <c r="J6159" i="1"/>
  <c r="J6158" i="1"/>
  <c r="J6157" i="1"/>
  <c r="J6156" i="1"/>
  <c r="J6155" i="1"/>
  <c r="J6154" i="1"/>
  <c r="J6153" i="1"/>
  <c r="J6152" i="1"/>
  <c r="J6151" i="1"/>
  <c r="J6150" i="1"/>
  <c r="J6149" i="1"/>
  <c r="J6148" i="1"/>
  <c r="J6147" i="1"/>
  <c r="J6146" i="1"/>
  <c r="J6145" i="1"/>
  <c r="J6144" i="1"/>
  <c r="J6143" i="1"/>
  <c r="J6142" i="1"/>
  <c r="J6141" i="1"/>
  <c r="J6140" i="1"/>
  <c r="J6139" i="1"/>
  <c r="J6138" i="1"/>
  <c r="J6137" i="1"/>
  <c r="J6136" i="1"/>
  <c r="J6135" i="1"/>
  <c r="J6134" i="1"/>
  <c r="J6133" i="1"/>
  <c r="J6132" i="1"/>
  <c r="J6131" i="1"/>
  <c r="J6130" i="1"/>
  <c r="J6129" i="1"/>
  <c r="J6128" i="1"/>
  <c r="J6127" i="1"/>
  <c r="J6126" i="1"/>
  <c r="J6125" i="1"/>
  <c r="J6124" i="1"/>
  <c r="J6123" i="1"/>
  <c r="J6122" i="1"/>
  <c r="J6121" i="1"/>
  <c r="J6120" i="1"/>
  <c r="J6119" i="1"/>
  <c r="J6118" i="1"/>
  <c r="J6117" i="1"/>
  <c r="J6116" i="1"/>
  <c r="J6115" i="1"/>
  <c r="J6114" i="1"/>
  <c r="J6113" i="1"/>
  <c r="J6112" i="1"/>
  <c r="J6111" i="1"/>
  <c r="J6110" i="1"/>
  <c r="J6109" i="1"/>
  <c r="J6108" i="1"/>
  <c r="J6107" i="1"/>
  <c r="J6106" i="1"/>
  <c r="J6105" i="1"/>
  <c r="J6104" i="1"/>
  <c r="J6103" i="1"/>
  <c r="J6102" i="1"/>
  <c r="J6101" i="1"/>
  <c r="J6100" i="1"/>
  <c r="J6099" i="1"/>
  <c r="J6098" i="1"/>
  <c r="J6097" i="1"/>
  <c r="J6096" i="1"/>
  <c r="J6095" i="1"/>
  <c r="J6094" i="1"/>
  <c r="J6093" i="1"/>
  <c r="J6092" i="1"/>
  <c r="J6091" i="1"/>
  <c r="J6090" i="1"/>
  <c r="J6089" i="1"/>
  <c r="J6088" i="1"/>
  <c r="J6087" i="1"/>
  <c r="J6086" i="1"/>
  <c r="J6085" i="1"/>
  <c r="J6084" i="1"/>
  <c r="J6083" i="1"/>
  <c r="J6082" i="1"/>
  <c r="J6081" i="1"/>
  <c r="J6080" i="1"/>
  <c r="J6079" i="1"/>
  <c r="J6078" i="1"/>
  <c r="J6077" i="1"/>
  <c r="J6076" i="1"/>
  <c r="J6075" i="1"/>
  <c r="J6074" i="1"/>
  <c r="J6073" i="1"/>
  <c r="J6072" i="1"/>
  <c r="J6071" i="1"/>
  <c r="J6070" i="1"/>
  <c r="J6069" i="1"/>
  <c r="J6068" i="1"/>
  <c r="J6067" i="1"/>
  <c r="J6066" i="1"/>
  <c r="J6065" i="1"/>
  <c r="J6064" i="1"/>
  <c r="J6063" i="1"/>
  <c r="J6062" i="1"/>
  <c r="J6061" i="1"/>
  <c r="J6060" i="1"/>
  <c r="J6059" i="1"/>
  <c r="J6058" i="1"/>
  <c r="J6057" i="1"/>
  <c r="J6056" i="1"/>
  <c r="J6055" i="1"/>
  <c r="J6054" i="1"/>
  <c r="J6053" i="1"/>
  <c r="J6052" i="1"/>
  <c r="J6051" i="1"/>
  <c r="J6050" i="1"/>
  <c r="J6049" i="1"/>
  <c r="J6048" i="1"/>
  <c r="J6047" i="1"/>
  <c r="J6046" i="1"/>
  <c r="J6045" i="1"/>
  <c r="J6044" i="1"/>
  <c r="J6043" i="1"/>
  <c r="J6042" i="1"/>
  <c r="J6041" i="1"/>
  <c r="J6040" i="1"/>
  <c r="J6039" i="1"/>
  <c r="J6038" i="1"/>
  <c r="J6037" i="1"/>
  <c r="J6036" i="1"/>
  <c r="J6035" i="1"/>
  <c r="J6034" i="1"/>
  <c r="J6033" i="1"/>
  <c r="J6032" i="1"/>
  <c r="J6031" i="1"/>
  <c r="J6030" i="1"/>
  <c r="J6029" i="1"/>
  <c r="J6028" i="1"/>
  <c r="J6027" i="1"/>
  <c r="J6026" i="1"/>
  <c r="J6025" i="1"/>
  <c r="J6024" i="1"/>
  <c r="J6023" i="1"/>
  <c r="J6022" i="1"/>
  <c r="J6021" i="1"/>
  <c r="J6020" i="1"/>
  <c r="J6019" i="1"/>
  <c r="J6018" i="1"/>
  <c r="J6017" i="1"/>
  <c r="J6016" i="1"/>
  <c r="J6015" i="1"/>
  <c r="J6014" i="1"/>
  <c r="J6013" i="1"/>
  <c r="J6012" i="1"/>
  <c r="J6011" i="1"/>
  <c r="J6010" i="1"/>
  <c r="J6009" i="1"/>
  <c r="J6008" i="1"/>
  <c r="J6007" i="1"/>
  <c r="J6006" i="1"/>
  <c r="J6005" i="1"/>
  <c r="J6004" i="1"/>
  <c r="J6003" i="1"/>
  <c r="J6002" i="1"/>
  <c r="J6001" i="1"/>
  <c r="J6000" i="1"/>
  <c r="J5999" i="1"/>
  <c r="J5998" i="1"/>
  <c r="J5997" i="1"/>
  <c r="J5996" i="1"/>
  <c r="J5995" i="1"/>
  <c r="J5994" i="1"/>
  <c r="J5993" i="1"/>
  <c r="J5992" i="1"/>
  <c r="J5991" i="1"/>
  <c r="J5990" i="1"/>
  <c r="J5989" i="1"/>
  <c r="J5988" i="1"/>
  <c r="J5987" i="1"/>
  <c r="J5986" i="1"/>
  <c r="J5985" i="1"/>
  <c r="J5984" i="1"/>
  <c r="J5983" i="1"/>
  <c r="J5982" i="1"/>
  <c r="J5981" i="1"/>
  <c r="J5980" i="1"/>
  <c r="J5979" i="1"/>
  <c r="J5978" i="1"/>
  <c r="J5977" i="1"/>
  <c r="J5976" i="1"/>
  <c r="J5975" i="1"/>
  <c r="J5974" i="1"/>
  <c r="J5973" i="1"/>
  <c r="J5972" i="1"/>
  <c r="J5971" i="1"/>
  <c r="J5970" i="1"/>
  <c r="J5969" i="1"/>
  <c r="J5968" i="1"/>
  <c r="J5967" i="1"/>
  <c r="J5966" i="1"/>
  <c r="J5965" i="1"/>
  <c r="J5964" i="1"/>
  <c r="J5963" i="1"/>
  <c r="J5962" i="1"/>
  <c r="J5961" i="1"/>
  <c r="J5960" i="1"/>
  <c r="J5959" i="1"/>
  <c r="J5958" i="1"/>
  <c r="J5957" i="1"/>
  <c r="J5956" i="1"/>
  <c r="J5955" i="1"/>
  <c r="J5954" i="1"/>
  <c r="J5953" i="1"/>
  <c r="J5952" i="1"/>
  <c r="J5951" i="1"/>
  <c r="J5950" i="1"/>
  <c r="J5949" i="1"/>
  <c r="J5948" i="1"/>
  <c r="J5947" i="1"/>
  <c r="J5946" i="1"/>
  <c r="J5945" i="1"/>
  <c r="J5944" i="1"/>
  <c r="J5943" i="1"/>
  <c r="J5942" i="1"/>
  <c r="J5941" i="1"/>
  <c r="J5940" i="1"/>
  <c r="J5939" i="1"/>
  <c r="J5938" i="1"/>
  <c r="J5937" i="1"/>
  <c r="J5936" i="1"/>
  <c r="J5935" i="1"/>
  <c r="J5934" i="1"/>
  <c r="J5933" i="1"/>
  <c r="J5932" i="1"/>
  <c r="J5931" i="1"/>
  <c r="J5930" i="1"/>
  <c r="J5929" i="1"/>
  <c r="J5928" i="1"/>
  <c r="J5927" i="1"/>
  <c r="J5926" i="1"/>
  <c r="J5925" i="1"/>
  <c r="J5924" i="1"/>
  <c r="J5923" i="1"/>
  <c r="J5922" i="1"/>
  <c r="J5921" i="1"/>
  <c r="J5920" i="1"/>
  <c r="J5919" i="1"/>
  <c r="J5918" i="1"/>
  <c r="J5917" i="1"/>
  <c r="J5916" i="1"/>
  <c r="J5915" i="1"/>
  <c r="J5914" i="1"/>
  <c r="J5913" i="1"/>
  <c r="J5912" i="1"/>
  <c r="J5911" i="1"/>
  <c r="J5910" i="1"/>
  <c r="J5909" i="1"/>
  <c r="J5908" i="1"/>
  <c r="J5907" i="1"/>
  <c r="J5906" i="1"/>
  <c r="J5905" i="1"/>
  <c r="J5904" i="1"/>
  <c r="J5903" i="1"/>
  <c r="J5902" i="1"/>
  <c r="J5901" i="1"/>
  <c r="J5900" i="1"/>
  <c r="J5899" i="1"/>
  <c r="J5898" i="1"/>
  <c r="J5897" i="1"/>
  <c r="J5896" i="1"/>
  <c r="J5895" i="1"/>
  <c r="J5894" i="1"/>
  <c r="J5893" i="1"/>
  <c r="J5892" i="1"/>
  <c r="J5891" i="1"/>
  <c r="J5890" i="1"/>
  <c r="J5889" i="1"/>
  <c r="J5888" i="1"/>
  <c r="J5887" i="1"/>
  <c r="J5886" i="1"/>
  <c r="J5885" i="1"/>
  <c r="J5884" i="1"/>
  <c r="J5883" i="1"/>
  <c r="J5882" i="1"/>
  <c r="J5881" i="1"/>
  <c r="J5880" i="1"/>
  <c r="J5879" i="1"/>
  <c r="J5878" i="1"/>
  <c r="J5877" i="1"/>
  <c r="J5876" i="1"/>
  <c r="J5875" i="1"/>
  <c r="J5874" i="1"/>
  <c r="J5873" i="1"/>
  <c r="J5872" i="1"/>
  <c r="J5871" i="1"/>
  <c r="J5870" i="1"/>
  <c r="J5869" i="1"/>
  <c r="J5868" i="1"/>
  <c r="J5867" i="1"/>
  <c r="J5866" i="1"/>
  <c r="J5865" i="1"/>
  <c r="J5864" i="1"/>
  <c r="J5863" i="1"/>
  <c r="J5862" i="1"/>
  <c r="J5861" i="1"/>
  <c r="J5860" i="1"/>
  <c r="J5859" i="1"/>
  <c r="J5858" i="1"/>
  <c r="J5857" i="1"/>
  <c r="J5856" i="1"/>
  <c r="J5855" i="1"/>
  <c r="J5854" i="1"/>
  <c r="J5853" i="1"/>
  <c r="J5852" i="1"/>
  <c r="J5851" i="1"/>
  <c r="J5850" i="1"/>
  <c r="J5849" i="1"/>
  <c r="J5848" i="1"/>
  <c r="J5847" i="1"/>
  <c r="J5846" i="1"/>
  <c r="J5845" i="1"/>
  <c r="J5844" i="1"/>
  <c r="J5843" i="1"/>
  <c r="J5842" i="1"/>
  <c r="J5841" i="1"/>
  <c r="J5840" i="1"/>
  <c r="J5839" i="1"/>
  <c r="J5838" i="1"/>
  <c r="J5837" i="1"/>
  <c r="J5836" i="1"/>
  <c r="J5835" i="1"/>
  <c r="J5834" i="1"/>
  <c r="J5833" i="1"/>
  <c r="J5832" i="1"/>
  <c r="J5831" i="1"/>
  <c r="J5830" i="1"/>
  <c r="J5829" i="1"/>
  <c r="J5828" i="1"/>
  <c r="J5827" i="1"/>
  <c r="J5826" i="1"/>
  <c r="J5825" i="1"/>
  <c r="J5824" i="1"/>
  <c r="J5823" i="1"/>
  <c r="J5822" i="1"/>
  <c r="J5821" i="1"/>
  <c r="J5820" i="1"/>
  <c r="J5819" i="1"/>
  <c r="J5818" i="1"/>
  <c r="J5817" i="1"/>
  <c r="J5816" i="1"/>
  <c r="J5815" i="1"/>
  <c r="J5814" i="1"/>
  <c r="J5813" i="1"/>
  <c r="J5812" i="1"/>
  <c r="J5811" i="1"/>
  <c r="J5810" i="1"/>
  <c r="J5809" i="1"/>
  <c r="J5808" i="1"/>
  <c r="J5807" i="1"/>
  <c r="J5806" i="1"/>
  <c r="J5805" i="1"/>
  <c r="J5804" i="1"/>
  <c r="J5803" i="1"/>
  <c r="J5802" i="1"/>
  <c r="J5801" i="1"/>
  <c r="J5800" i="1"/>
  <c r="J5799" i="1"/>
  <c r="J5798" i="1"/>
  <c r="J5797" i="1"/>
  <c r="J5796" i="1"/>
  <c r="J5795" i="1"/>
  <c r="J5794" i="1"/>
  <c r="J5793" i="1"/>
  <c r="J5792" i="1"/>
  <c r="J5791" i="1"/>
  <c r="J5790" i="1"/>
  <c r="J5789" i="1"/>
  <c r="J5788" i="1"/>
  <c r="J5787" i="1"/>
  <c r="J5786" i="1"/>
  <c r="J5785" i="1"/>
  <c r="J5784" i="1"/>
  <c r="J5783" i="1"/>
  <c r="J5782" i="1"/>
  <c r="J5781" i="1"/>
  <c r="J5780" i="1"/>
  <c r="J5779" i="1"/>
  <c r="J5778" i="1"/>
  <c r="J5777" i="1"/>
  <c r="J5776" i="1"/>
  <c r="J5775" i="1"/>
  <c r="J5774" i="1"/>
  <c r="J5773" i="1"/>
  <c r="J5772" i="1"/>
  <c r="J5771" i="1"/>
  <c r="J5770" i="1"/>
  <c r="J5769" i="1"/>
  <c r="J5768" i="1"/>
  <c r="J5767" i="1"/>
  <c r="J5766" i="1"/>
  <c r="J5765" i="1"/>
  <c r="J5764" i="1"/>
  <c r="J5763" i="1"/>
  <c r="J5762" i="1"/>
  <c r="J5761" i="1"/>
  <c r="J5760" i="1"/>
  <c r="J5759" i="1"/>
  <c r="J5758" i="1"/>
  <c r="J5757" i="1"/>
  <c r="J5756" i="1"/>
  <c r="J5755" i="1"/>
  <c r="J5754" i="1"/>
  <c r="J5753" i="1"/>
  <c r="J5752" i="1"/>
  <c r="J5751" i="1"/>
  <c r="J5750" i="1"/>
  <c r="J5749" i="1"/>
  <c r="J5748" i="1"/>
  <c r="J5747" i="1"/>
  <c r="J5746" i="1"/>
  <c r="J5745" i="1"/>
  <c r="J5744" i="1"/>
  <c r="J5743" i="1"/>
  <c r="J5742" i="1"/>
  <c r="J5741" i="1"/>
  <c r="J5740" i="1"/>
  <c r="J5739" i="1"/>
  <c r="J5738" i="1"/>
  <c r="J5737" i="1"/>
  <c r="J5736" i="1"/>
  <c r="J5735" i="1"/>
  <c r="J5734" i="1"/>
  <c r="J5733" i="1"/>
  <c r="J5732" i="1"/>
  <c r="J5731" i="1"/>
  <c r="J5730" i="1"/>
  <c r="J5729" i="1"/>
  <c r="J5728" i="1"/>
  <c r="J5727" i="1"/>
  <c r="J5726" i="1"/>
  <c r="J5725" i="1"/>
  <c r="J5724" i="1"/>
  <c r="J5723" i="1"/>
  <c r="J5722" i="1"/>
  <c r="J5721" i="1"/>
  <c r="J5720" i="1"/>
  <c r="J5719" i="1"/>
  <c r="J5718" i="1"/>
  <c r="J5717" i="1"/>
  <c r="J5716" i="1"/>
  <c r="J5715" i="1"/>
  <c r="J5714" i="1"/>
  <c r="J5713" i="1"/>
  <c r="J5712" i="1"/>
  <c r="J5711" i="1"/>
  <c r="J5710" i="1"/>
  <c r="J5709" i="1"/>
  <c r="J5708" i="1"/>
  <c r="J5707" i="1"/>
  <c r="J5706" i="1"/>
  <c r="J5705" i="1"/>
  <c r="J5704" i="1"/>
  <c r="J5703" i="1"/>
  <c r="J5702" i="1"/>
  <c r="J5701" i="1"/>
  <c r="J5700" i="1"/>
  <c r="J5699" i="1"/>
  <c r="J5698" i="1"/>
  <c r="J5697" i="1"/>
  <c r="J5696" i="1"/>
  <c r="J5695" i="1"/>
  <c r="J5694" i="1"/>
  <c r="J5693" i="1"/>
  <c r="J5692" i="1"/>
  <c r="J5691" i="1"/>
  <c r="J5690" i="1"/>
  <c r="J5689" i="1"/>
  <c r="J5688" i="1"/>
  <c r="J5687" i="1"/>
  <c r="J5686" i="1"/>
  <c r="J5685" i="1"/>
  <c r="J5684" i="1"/>
  <c r="J5683" i="1"/>
  <c r="J5682" i="1"/>
  <c r="J5681" i="1"/>
  <c r="J5680" i="1"/>
  <c r="J5679" i="1"/>
  <c r="J5678" i="1"/>
  <c r="J5677" i="1"/>
  <c r="J5676" i="1"/>
  <c r="J5675" i="1"/>
  <c r="J5674" i="1"/>
  <c r="J5673" i="1"/>
  <c r="J5672" i="1"/>
  <c r="J5671" i="1"/>
  <c r="J5670" i="1"/>
  <c r="J5669" i="1"/>
  <c r="J5668" i="1"/>
  <c r="J5667" i="1"/>
  <c r="J5666" i="1"/>
  <c r="J5665" i="1"/>
  <c r="J5664" i="1"/>
  <c r="J5663" i="1"/>
  <c r="J5662" i="1"/>
  <c r="J5661" i="1"/>
  <c r="J5660" i="1"/>
  <c r="J5659" i="1"/>
  <c r="J5658" i="1"/>
  <c r="J5657" i="1"/>
  <c r="J5656" i="1"/>
  <c r="J5655" i="1"/>
  <c r="J5654" i="1"/>
  <c r="J5653" i="1"/>
  <c r="J5652" i="1"/>
  <c r="J5651" i="1"/>
  <c r="J5650" i="1"/>
  <c r="J5649" i="1"/>
  <c r="J5648" i="1"/>
  <c r="J5647" i="1"/>
  <c r="J5646" i="1"/>
  <c r="J5645" i="1"/>
  <c r="J5644" i="1"/>
  <c r="J5643" i="1"/>
  <c r="J5642" i="1"/>
  <c r="J5641" i="1"/>
  <c r="J5640" i="1"/>
  <c r="J5639" i="1"/>
  <c r="J5638" i="1"/>
  <c r="J5637" i="1"/>
  <c r="J5636" i="1"/>
  <c r="J5635" i="1"/>
  <c r="J5634" i="1"/>
  <c r="J5633" i="1"/>
  <c r="J5632" i="1"/>
  <c r="J5631" i="1"/>
  <c r="J5630" i="1"/>
  <c r="J5629" i="1"/>
  <c r="J5628" i="1"/>
  <c r="J5627" i="1"/>
  <c r="J5626" i="1"/>
  <c r="J5625" i="1"/>
  <c r="J5624" i="1"/>
  <c r="J5623" i="1"/>
  <c r="J5622" i="1"/>
  <c r="J5621" i="1"/>
  <c r="J5620" i="1"/>
  <c r="J5619" i="1"/>
  <c r="J5618" i="1"/>
  <c r="J5617" i="1"/>
  <c r="J5616" i="1"/>
  <c r="J5615" i="1"/>
  <c r="J5614" i="1"/>
  <c r="J5613" i="1"/>
  <c r="J5612" i="1"/>
  <c r="J5611" i="1"/>
  <c r="J5610" i="1"/>
  <c r="J5609" i="1"/>
  <c r="J5608" i="1"/>
  <c r="J5607" i="1"/>
  <c r="J5606" i="1"/>
  <c r="J5605" i="1"/>
  <c r="J5604" i="1"/>
  <c r="J5603" i="1"/>
  <c r="J5602" i="1"/>
  <c r="J5601" i="1"/>
  <c r="J5600" i="1"/>
  <c r="J5599" i="1"/>
  <c r="J5598" i="1"/>
  <c r="J5597" i="1"/>
  <c r="J5596" i="1"/>
  <c r="J5595" i="1"/>
  <c r="J5594" i="1"/>
  <c r="J5593" i="1"/>
  <c r="J5592" i="1"/>
  <c r="J5591" i="1"/>
  <c r="J5590" i="1"/>
  <c r="J5589" i="1"/>
  <c r="J5588" i="1"/>
  <c r="J5587" i="1"/>
  <c r="J5586" i="1"/>
  <c r="J5585" i="1"/>
  <c r="J5584" i="1"/>
  <c r="J5583" i="1"/>
  <c r="J5582" i="1"/>
  <c r="J5581" i="1"/>
  <c r="J5580" i="1"/>
  <c r="J5579" i="1"/>
  <c r="J5578" i="1"/>
  <c r="J5577" i="1"/>
  <c r="J5576" i="1"/>
  <c r="J5575" i="1"/>
  <c r="J5574" i="1"/>
  <c r="J5573" i="1"/>
  <c r="J5572" i="1"/>
  <c r="J5571" i="1"/>
  <c r="J5570" i="1"/>
  <c r="J5569" i="1"/>
  <c r="J5568" i="1"/>
  <c r="J5567" i="1"/>
  <c r="J5566" i="1"/>
  <c r="J5565" i="1"/>
  <c r="J5564" i="1"/>
  <c r="J5563" i="1"/>
  <c r="J5562" i="1"/>
  <c r="J5561" i="1"/>
  <c r="J5560" i="1"/>
  <c r="J5559" i="1"/>
  <c r="J5558" i="1"/>
  <c r="J5557" i="1"/>
  <c r="J5556" i="1"/>
  <c r="J5555" i="1"/>
  <c r="J5554" i="1"/>
  <c r="J5553" i="1"/>
  <c r="J5552" i="1"/>
  <c r="J5551" i="1"/>
  <c r="J5550" i="1"/>
  <c r="J5549" i="1"/>
  <c r="J5548" i="1"/>
  <c r="J5547" i="1"/>
  <c r="J5546" i="1"/>
  <c r="J5545" i="1"/>
  <c r="J5544" i="1"/>
  <c r="J5543" i="1"/>
  <c r="J5542" i="1"/>
  <c r="J5541" i="1"/>
  <c r="J5540" i="1"/>
  <c r="J5539" i="1"/>
  <c r="J5538" i="1"/>
  <c r="J5537" i="1"/>
  <c r="J5536" i="1"/>
  <c r="J5535" i="1"/>
  <c r="J5534" i="1"/>
  <c r="J5533" i="1"/>
  <c r="J5532" i="1"/>
  <c r="J5531" i="1"/>
  <c r="J5530" i="1"/>
  <c r="J5529" i="1"/>
  <c r="J5528" i="1"/>
  <c r="J5527" i="1"/>
  <c r="J5526" i="1"/>
  <c r="J5525" i="1"/>
  <c r="J5524" i="1"/>
  <c r="J5523" i="1"/>
  <c r="J5522" i="1"/>
  <c r="J5521" i="1"/>
  <c r="J5520" i="1"/>
  <c r="J5519" i="1"/>
  <c r="J5518" i="1"/>
  <c r="J5517" i="1"/>
  <c r="J5516" i="1"/>
  <c r="J5515" i="1"/>
  <c r="J5514" i="1"/>
  <c r="J5513" i="1"/>
  <c r="J5512" i="1"/>
  <c r="J5511" i="1"/>
  <c r="J5510" i="1"/>
  <c r="J5509" i="1"/>
  <c r="J5508" i="1"/>
  <c r="J5507" i="1"/>
  <c r="J5506" i="1"/>
  <c r="J5505" i="1"/>
  <c r="J5504" i="1"/>
  <c r="J5503" i="1"/>
  <c r="J5502" i="1"/>
  <c r="J5501" i="1"/>
  <c r="J5500" i="1"/>
  <c r="J5499" i="1"/>
  <c r="J5498" i="1"/>
  <c r="J5497" i="1"/>
  <c r="J5496" i="1"/>
  <c r="J5495" i="1"/>
  <c r="J5494" i="1"/>
  <c r="J5493" i="1"/>
  <c r="J5492" i="1"/>
  <c r="J5491" i="1"/>
  <c r="J5490" i="1"/>
  <c r="J5489" i="1"/>
  <c r="J5488" i="1"/>
  <c r="J5487" i="1"/>
  <c r="J5486" i="1"/>
  <c r="J5485" i="1"/>
  <c r="J5484" i="1"/>
  <c r="J5483" i="1"/>
  <c r="J5482" i="1"/>
  <c r="J5481" i="1"/>
  <c r="J5480" i="1"/>
  <c r="J5479" i="1"/>
  <c r="J5478" i="1"/>
  <c r="J5477" i="1"/>
  <c r="J5476" i="1"/>
  <c r="J5475" i="1"/>
  <c r="J5474" i="1"/>
  <c r="J5473" i="1"/>
  <c r="J5472" i="1"/>
  <c r="J5471" i="1"/>
  <c r="J5470" i="1"/>
  <c r="J5469" i="1"/>
  <c r="J5468" i="1"/>
  <c r="J5467" i="1"/>
  <c r="J5466" i="1"/>
  <c r="J5465" i="1"/>
  <c r="J5464" i="1"/>
  <c r="J5463" i="1"/>
  <c r="J5462" i="1"/>
  <c r="J5461" i="1"/>
  <c r="J5460" i="1"/>
  <c r="J5459" i="1"/>
  <c r="J5458" i="1"/>
  <c r="J5457" i="1"/>
  <c r="J5456" i="1"/>
  <c r="J5455" i="1"/>
  <c r="J5454" i="1"/>
  <c r="J5453" i="1"/>
  <c r="J5452" i="1"/>
  <c r="J5451" i="1"/>
  <c r="J5450" i="1"/>
  <c r="J5449" i="1"/>
  <c r="J5448" i="1"/>
  <c r="J5447" i="1"/>
  <c r="J5446" i="1"/>
  <c r="J5445" i="1"/>
  <c r="J5444" i="1"/>
  <c r="J5443" i="1"/>
  <c r="J5442" i="1"/>
  <c r="J5441" i="1"/>
  <c r="J5440" i="1"/>
  <c r="J5439" i="1"/>
  <c r="J5438" i="1"/>
  <c r="J5437" i="1"/>
  <c r="J5436" i="1"/>
  <c r="J5435" i="1"/>
  <c r="J5434" i="1"/>
  <c r="J5433" i="1"/>
  <c r="J5432" i="1"/>
  <c r="J5431" i="1"/>
  <c r="J5430" i="1"/>
  <c r="J5429" i="1"/>
  <c r="J5428" i="1"/>
  <c r="J5427" i="1"/>
  <c r="J5426" i="1"/>
  <c r="J5425" i="1"/>
  <c r="J5424" i="1"/>
  <c r="J5423" i="1"/>
  <c r="J5422" i="1"/>
  <c r="J5421" i="1"/>
  <c r="J5420" i="1"/>
  <c r="J5419" i="1"/>
  <c r="J5418" i="1"/>
  <c r="J5417" i="1"/>
  <c r="J5416" i="1"/>
  <c r="J5415" i="1"/>
  <c r="J5414" i="1"/>
  <c r="J5413" i="1"/>
  <c r="J5412" i="1"/>
  <c r="J5411" i="1"/>
  <c r="J5410" i="1"/>
  <c r="J5409" i="1"/>
  <c r="J5408" i="1"/>
  <c r="J5407" i="1"/>
  <c r="J5406" i="1"/>
  <c r="J5405" i="1"/>
  <c r="J5404" i="1"/>
  <c r="J5403" i="1"/>
  <c r="J5402" i="1"/>
  <c r="J5401" i="1"/>
  <c r="J5400" i="1"/>
  <c r="J5399" i="1"/>
  <c r="J5398" i="1"/>
  <c r="J5397" i="1"/>
  <c r="J5396" i="1"/>
  <c r="J5395" i="1"/>
  <c r="J5394" i="1"/>
  <c r="J5393" i="1"/>
  <c r="J5392" i="1"/>
  <c r="J5391" i="1"/>
  <c r="J5390" i="1"/>
  <c r="J5389" i="1"/>
  <c r="J5388" i="1"/>
  <c r="J5387" i="1"/>
  <c r="J5386" i="1"/>
  <c r="J5385" i="1"/>
  <c r="J5384" i="1"/>
  <c r="J5383" i="1"/>
  <c r="J5382" i="1"/>
  <c r="J5381" i="1"/>
  <c r="J5380" i="1"/>
  <c r="J5379" i="1"/>
  <c r="J5378" i="1"/>
  <c r="J5377" i="1"/>
  <c r="J5376" i="1"/>
  <c r="J5375" i="1"/>
  <c r="J5374" i="1"/>
  <c r="J5373" i="1"/>
  <c r="J5372" i="1"/>
  <c r="J5371" i="1"/>
  <c r="J5370" i="1"/>
  <c r="J5369" i="1"/>
  <c r="J5368" i="1"/>
  <c r="J5367" i="1"/>
  <c r="J5366" i="1"/>
  <c r="J5365" i="1"/>
  <c r="J5364" i="1"/>
  <c r="J5363" i="1"/>
  <c r="J5362" i="1"/>
  <c r="J5361" i="1"/>
  <c r="J5360" i="1"/>
  <c r="J5359" i="1"/>
  <c r="J5358" i="1"/>
  <c r="J5357" i="1"/>
  <c r="J5356" i="1"/>
  <c r="J5355" i="1"/>
  <c r="J5354" i="1"/>
  <c r="J5353" i="1"/>
  <c r="J5352" i="1"/>
  <c r="J5351" i="1"/>
  <c r="J5350" i="1"/>
  <c r="J5349" i="1"/>
  <c r="J5348" i="1"/>
  <c r="J5347" i="1"/>
  <c r="J5346" i="1"/>
  <c r="J5345" i="1"/>
  <c r="J5344" i="1"/>
  <c r="J5343" i="1"/>
  <c r="J5342" i="1"/>
  <c r="J5341" i="1"/>
  <c r="J5340" i="1"/>
  <c r="J5339" i="1"/>
  <c r="J5338" i="1"/>
  <c r="J5337" i="1"/>
  <c r="J5336" i="1"/>
  <c r="J5335" i="1"/>
  <c r="J5334" i="1"/>
  <c r="J5333" i="1"/>
  <c r="J5332" i="1"/>
  <c r="J5331" i="1"/>
  <c r="J5330" i="1"/>
  <c r="J5329" i="1"/>
  <c r="J5328" i="1"/>
  <c r="J5327" i="1"/>
  <c r="J5326" i="1"/>
  <c r="J5325" i="1"/>
  <c r="J5324" i="1"/>
  <c r="J5323" i="1"/>
  <c r="J5322" i="1"/>
  <c r="J5321" i="1"/>
  <c r="J5320" i="1"/>
  <c r="J5319" i="1"/>
  <c r="J5318" i="1"/>
  <c r="J5317" i="1"/>
  <c r="J5316" i="1"/>
  <c r="J5315" i="1"/>
  <c r="J5314" i="1"/>
  <c r="J5313" i="1"/>
  <c r="J5312" i="1"/>
  <c r="J5311" i="1"/>
  <c r="J5310" i="1"/>
  <c r="J5309" i="1"/>
  <c r="J5308" i="1"/>
  <c r="J5307" i="1"/>
  <c r="J5306" i="1"/>
  <c r="J5305" i="1"/>
  <c r="J5304" i="1"/>
  <c r="J5303" i="1"/>
  <c r="J5302" i="1"/>
  <c r="J5301" i="1"/>
  <c r="J5300" i="1"/>
  <c r="J5299" i="1"/>
  <c r="J5298" i="1"/>
  <c r="J5297" i="1"/>
  <c r="J5296" i="1"/>
  <c r="J5295" i="1"/>
  <c r="J5294" i="1"/>
  <c r="J5293" i="1"/>
  <c r="J5292" i="1"/>
  <c r="J5291" i="1"/>
  <c r="J5290" i="1"/>
  <c r="J5289" i="1"/>
  <c r="J5288" i="1"/>
  <c r="J5287" i="1"/>
  <c r="J5286" i="1"/>
  <c r="J5285" i="1"/>
  <c r="J5284" i="1"/>
  <c r="J5283" i="1"/>
  <c r="J5282" i="1"/>
  <c r="J5281" i="1"/>
  <c r="J5280" i="1"/>
  <c r="J5279" i="1"/>
  <c r="J5278" i="1"/>
  <c r="J5277" i="1"/>
  <c r="J5276" i="1"/>
  <c r="J5275" i="1"/>
  <c r="J5274" i="1"/>
  <c r="J5273" i="1"/>
  <c r="J5272" i="1"/>
  <c r="J5271" i="1"/>
  <c r="J5270" i="1"/>
  <c r="J5269" i="1"/>
  <c r="J5268" i="1"/>
  <c r="J5267" i="1"/>
  <c r="J5266" i="1"/>
  <c r="J5265" i="1"/>
  <c r="J5264" i="1"/>
  <c r="J5263" i="1"/>
  <c r="J5262" i="1"/>
  <c r="J5261" i="1"/>
  <c r="J5260" i="1"/>
  <c r="J5259" i="1"/>
  <c r="J5258" i="1"/>
  <c r="J5257" i="1"/>
  <c r="J5256" i="1"/>
  <c r="J5255" i="1"/>
  <c r="J5254" i="1"/>
  <c r="J5253" i="1"/>
  <c r="J5252" i="1"/>
  <c r="J5251" i="1"/>
  <c r="J5250" i="1"/>
  <c r="J5249" i="1"/>
  <c r="J5248" i="1"/>
  <c r="J5247" i="1"/>
  <c r="J5246" i="1"/>
  <c r="J5245" i="1"/>
  <c r="J5244" i="1"/>
  <c r="J5243" i="1"/>
  <c r="J5242" i="1"/>
  <c r="J5241" i="1"/>
  <c r="J5240" i="1"/>
  <c r="J5239" i="1"/>
  <c r="J5238" i="1"/>
  <c r="J5237" i="1"/>
  <c r="J5236" i="1"/>
  <c r="J5235" i="1"/>
  <c r="J5234" i="1"/>
  <c r="J5233" i="1"/>
  <c r="J5232" i="1"/>
  <c r="J5231" i="1"/>
  <c r="J5230" i="1"/>
  <c r="J5229" i="1"/>
  <c r="J5228" i="1"/>
  <c r="J5227" i="1"/>
  <c r="J5226" i="1"/>
  <c r="J5225" i="1"/>
  <c r="J5224" i="1"/>
  <c r="J5223" i="1"/>
  <c r="J5222" i="1"/>
  <c r="J5221" i="1"/>
  <c r="J5220" i="1"/>
  <c r="J5219" i="1"/>
  <c r="J5218" i="1"/>
  <c r="J5217" i="1"/>
  <c r="J5216" i="1"/>
  <c r="J5215" i="1"/>
  <c r="J5214" i="1"/>
  <c r="J5213" i="1"/>
  <c r="J5212" i="1"/>
  <c r="J5211" i="1"/>
  <c r="J5210" i="1"/>
  <c r="J5209" i="1"/>
  <c r="J5208" i="1"/>
  <c r="J5207" i="1"/>
  <c r="J5206" i="1"/>
  <c r="J5205" i="1"/>
  <c r="J5204" i="1"/>
  <c r="J5203" i="1"/>
  <c r="J5202" i="1"/>
  <c r="J5201" i="1"/>
  <c r="J5200" i="1"/>
  <c r="J5199" i="1"/>
  <c r="J5198" i="1"/>
  <c r="J5197" i="1"/>
  <c r="J5196" i="1"/>
  <c r="J5195" i="1"/>
  <c r="J5194" i="1"/>
  <c r="J5193" i="1"/>
  <c r="J5192" i="1"/>
  <c r="J5191" i="1"/>
  <c r="J5190" i="1"/>
  <c r="J5189" i="1"/>
  <c r="J5188" i="1"/>
  <c r="J5187" i="1"/>
  <c r="J5186" i="1"/>
  <c r="J5185" i="1"/>
  <c r="J5184" i="1"/>
  <c r="J5183" i="1"/>
  <c r="J5182" i="1"/>
  <c r="J5181" i="1"/>
  <c r="J5180" i="1"/>
  <c r="J5179" i="1"/>
  <c r="J5178" i="1"/>
  <c r="J5177" i="1"/>
  <c r="J5176" i="1"/>
  <c r="J5175" i="1"/>
  <c r="J5174" i="1"/>
  <c r="J5173" i="1"/>
  <c r="J5172" i="1"/>
  <c r="J5171" i="1"/>
  <c r="J5170" i="1"/>
  <c r="J5169" i="1"/>
  <c r="J5168" i="1"/>
  <c r="J5167" i="1"/>
  <c r="J5166" i="1"/>
  <c r="J5165" i="1"/>
  <c r="J5164" i="1"/>
  <c r="J5163" i="1"/>
  <c r="J5162" i="1"/>
  <c r="J5161" i="1"/>
  <c r="J5160" i="1"/>
  <c r="J5159" i="1"/>
  <c r="J5158" i="1"/>
  <c r="J5157" i="1"/>
  <c r="J5156" i="1"/>
  <c r="J5155" i="1"/>
  <c r="J5154" i="1"/>
  <c r="J5153" i="1"/>
  <c r="J5152" i="1"/>
  <c r="J5151" i="1"/>
  <c r="J5150" i="1"/>
  <c r="J5149" i="1"/>
  <c r="J5148" i="1"/>
  <c r="J5147" i="1"/>
  <c r="J5146" i="1"/>
  <c r="J5145" i="1"/>
  <c r="J5144" i="1"/>
  <c r="J5143" i="1"/>
  <c r="J5142" i="1"/>
  <c r="J5141" i="1"/>
  <c r="J5140" i="1"/>
  <c r="J5139" i="1"/>
  <c r="J5138" i="1"/>
  <c r="J5137" i="1"/>
  <c r="J5136" i="1"/>
  <c r="J5135" i="1"/>
  <c r="J5134" i="1"/>
  <c r="J5133" i="1"/>
  <c r="J5132" i="1"/>
  <c r="J5131" i="1"/>
  <c r="J5130" i="1"/>
  <c r="J5129" i="1"/>
  <c r="J5128" i="1"/>
  <c r="J5127" i="1"/>
  <c r="J5126" i="1"/>
  <c r="J5125" i="1"/>
  <c r="J5124" i="1"/>
  <c r="J5123" i="1"/>
  <c r="J5122" i="1"/>
  <c r="J5121" i="1"/>
  <c r="J5120" i="1"/>
  <c r="J5119" i="1"/>
  <c r="J5118" i="1"/>
  <c r="J5117" i="1"/>
  <c r="J5116" i="1"/>
  <c r="J5115" i="1"/>
  <c r="J5114" i="1"/>
  <c r="J5113" i="1"/>
  <c r="J5112" i="1"/>
  <c r="J5111" i="1"/>
  <c r="J5110" i="1"/>
  <c r="J5109" i="1"/>
  <c r="J5108" i="1"/>
  <c r="J5107" i="1"/>
  <c r="J5106" i="1"/>
  <c r="J5105" i="1"/>
  <c r="J5104" i="1"/>
  <c r="J5103" i="1"/>
  <c r="J5102" i="1"/>
  <c r="J5101" i="1"/>
  <c r="J5100" i="1"/>
  <c r="J5099" i="1"/>
  <c r="J5098" i="1"/>
  <c r="J5097" i="1"/>
  <c r="J5096" i="1"/>
  <c r="J5095" i="1"/>
  <c r="J5094" i="1"/>
  <c r="J5093" i="1"/>
  <c r="J5092" i="1"/>
  <c r="J5091" i="1"/>
  <c r="J5090" i="1"/>
  <c r="J5089" i="1"/>
  <c r="J5088" i="1"/>
  <c r="J5087" i="1"/>
  <c r="J5086" i="1"/>
  <c r="J5085" i="1"/>
  <c r="J5084" i="1"/>
  <c r="J5083" i="1"/>
  <c r="J5082" i="1"/>
  <c r="J5081" i="1"/>
  <c r="J5080" i="1"/>
  <c r="J5079" i="1"/>
  <c r="J5078" i="1"/>
  <c r="J5077" i="1"/>
  <c r="J5076" i="1"/>
  <c r="J5075" i="1"/>
  <c r="J5074" i="1"/>
  <c r="J5073" i="1"/>
  <c r="J5072" i="1"/>
  <c r="J5071" i="1"/>
  <c r="J5070" i="1"/>
  <c r="J5069" i="1"/>
  <c r="J5068" i="1"/>
  <c r="J5067" i="1"/>
  <c r="J5066" i="1"/>
  <c r="J5065" i="1"/>
  <c r="J5064" i="1"/>
  <c r="J5063" i="1"/>
  <c r="J5062" i="1"/>
  <c r="J5061" i="1"/>
  <c r="J5060" i="1"/>
  <c r="J5059" i="1"/>
  <c r="J5058" i="1"/>
  <c r="J5057" i="1"/>
  <c r="J5056" i="1"/>
  <c r="J5055" i="1"/>
  <c r="J5054" i="1"/>
  <c r="J5053" i="1"/>
  <c r="J5052" i="1"/>
  <c r="J5051" i="1"/>
  <c r="J5050" i="1"/>
  <c r="J5049" i="1"/>
  <c r="J5048" i="1"/>
  <c r="J5047" i="1"/>
  <c r="J5046" i="1"/>
  <c r="J5045" i="1"/>
  <c r="J5044" i="1"/>
  <c r="J5043" i="1"/>
  <c r="J5042" i="1"/>
  <c r="J5041" i="1"/>
  <c r="J5040" i="1"/>
  <c r="J5039" i="1"/>
  <c r="J5038" i="1"/>
  <c r="J5037" i="1"/>
  <c r="J5036" i="1"/>
  <c r="J5035" i="1"/>
  <c r="J5034" i="1"/>
  <c r="J5033" i="1"/>
  <c r="J5032" i="1"/>
  <c r="J5031" i="1"/>
  <c r="J5030" i="1"/>
  <c r="J5029" i="1"/>
  <c r="J5028" i="1"/>
  <c r="J5027" i="1"/>
  <c r="J5026" i="1"/>
  <c r="J5025" i="1"/>
  <c r="J5024" i="1"/>
  <c r="J5023" i="1"/>
  <c r="J5022" i="1"/>
  <c r="J5021" i="1"/>
  <c r="J5020" i="1"/>
  <c r="J5019" i="1"/>
  <c r="J5018" i="1"/>
  <c r="J5017" i="1"/>
  <c r="J5016" i="1"/>
  <c r="J5015" i="1"/>
  <c r="J5014" i="1"/>
  <c r="J5013" i="1"/>
  <c r="J5012" i="1"/>
  <c r="J5011" i="1"/>
  <c r="J5010" i="1"/>
  <c r="J5009" i="1"/>
  <c r="J5008" i="1"/>
  <c r="J5007" i="1"/>
  <c r="J5006" i="1"/>
  <c r="J5005" i="1"/>
  <c r="J5004" i="1"/>
  <c r="J5003" i="1"/>
  <c r="J5002" i="1"/>
  <c r="J5001" i="1"/>
  <c r="J5000" i="1"/>
  <c r="J4999" i="1"/>
  <c r="J4998" i="1"/>
  <c r="J4997" i="1"/>
  <c r="J4996" i="1"/>
  <c r="J4995" i="1"/>
  <c r="J4994" i="1"/>
  <c r="J4993" i="1"/>
  <c r="J4992" i="1"/>
  <c r="J4991" i="1"/>
  <c r="J4990" i="1"/>
  <c r="J4989" i="1"/>
  <c r="J4988" i="1"/>
  <c r="J4987" i="1"/>
  <c r="J4986" i="1"/>
  <c r="J4985" i="1"/>
  <c r="J4984" i="1"/>
  <c r="J4983" i="1"/>
  <c r="J4982" i="1"/>
  <c r="J4981" i="1"/>
  <c r="J4980" i="1"/>
  <c r="J4979" i="1"/>
  <c r="J4978" i="1"/>
  <c r="J4977" i="1"/>
  <c r="J4976" i="1"/>
  <c r="J4975" i="1"/>
  <c r="J4974" i="1"/>
  <c r="J4973" i="1"/>
  <c r="J4972" i="1"/>
  <c r="J4971" i="1"/>
  <c r="J4970" i="1"/>
  <c r="J4969" i="1"/>
  <c r="J4968" i="1"/>
  <c r="J4967" i="1"/>
  <c r="J4966" i="1"/>
  <c r="J4965" i="1"/>
  <c r="J4964" i="1"/>
  <c r="J4963" i="1"/>
  <c r="J4962" i="1"/>
  <c r="J4961" i="1"/>
  <c r="J4960" i="1"/>
  <c r="J4959" i="1"/>
  <c r="J4958" i="1"/>
  <c r="J4957" i="1"/>
  <c r="J4956" i="1"/>
  <c r="J4955" i="1"/>
  <c r="J4954" i="1"/>
  <c r="J4953" i="1"/>
  <c r="J4952" i="1"/>
  <c r="J4951" i="1"/>
  <c r="J4950" i="1"/>
  <c r="J4949" i="1"/>
  <c r="J4948" i="1"/>
  <c r="J4947" i="1"/>
  <c r="J4946" i="1"/>
  <c r="J4945" i="1"/>
  <c r="J4944" i="1"/>
  <c r="J4943" i="1"/>
  <c r="J4942" i="1"/>
  <c r="J4941" i="1"/>
  <c r="J4940" i="1"/>
  <c r="J4939" i="1"/>
  <c r="J4938" i="1"/>
  <c r="J4937" i="1"/>
  <c r="J4936" i="1"/>
  <c r="J4935" i="1"/>
  <c r="J4934" i="1"/>
  <c r="J4933" i="1"/>
  <c r="J4932" i="1"/>
  <c r="J4931" i="1"/>
  <c r="J4930" i="1"/>
  <c r="J4929" i="1"/>
  <c r="J4928" i="1"/>
  <c r="J4927" i="1"/>
  <c r="J4926" i="1"/>
  <c r="J4925" i="1"/>
  <c r="J4924" i="1"/>
  <c r="J4923" i="1"/>
  <c r="J4922" i="1"/>
  <c r="J4921" i="1"/>
  <c r="J4920" i="1"/>
  <c r="J4919" i="1"/>
  <c r="J4918" i="1"/>
  <c r="J4917" i="1"/>
  <c r="J4916" i="1"/>
  <c r="J4915" i="1"/>
  <c r="J4914" i="1"/>
  <c r="J4913" i="1"/>
  <c r="J4912" i="1"/>
  <c r="J4911" i="1"/>
  <c r="J4910" i="1"/>
  <c r="J4909" i="1"/>
  <c r="J4908" i="1"/>
  <c r="J4907" i="1"/>
  <c r="J4906" i="1"/>
  <c r="J4905" i="1"/>
  <c r="J4904" i="1"/>
  <c r="J4903" i="1"/>
  <c r="J4902" i="1"/>
  <c r="J4901" i="1"/>
  <c r="J4900" i="1"/>
  <c r="J4899" i="1"/>
  <c r="J4898" i="1"/>
  <c r="J4897" i="1"/>
  <c r="J4896" i="1"/>
  <c r="J4895" i="1"/>
  <c r="J4894" i="1"/>
  <c r="J4893" i="1"/>
  <c r="J4892" i="1"/>
  <c r="J4891" i="1"/>
  <c r="J4890" i="1"/>
  <c r="J4889" i="1"/>
  <c r="J4888" i="1"/>
  <c r="J4887" i="1"/>
  <c r="J4886" i="1"/>
  <c r="J4885" i="1"/>
  <c r="J4884" i="1"/>
  <c r="J4883" i="1"/>
  <c r="J4882" i="1"/>
  <c r="J4881" i="1"/>
  <c r="J4880" i="1"/>
  <c r="J4879" i="1"/>
  <c r="J4878" i="1"/>
  <c r="J4877" i="1"/>
  <c r="J4876" i="1"/>
  <c r="J4875" i="1"/>
  <c r="J4874" i="1"/>
  <c r="J4873" i="1"/>
  <c r="J4872" i="1"/>
  <c r="J4871" i="1"/>
  <c r="J4870" i="1"/>
  <c r="J4869" i="1"/>
  <c r="J4868" i="1"/>
  <c r="J4867" i="1"/>
  <c r="J4866" i="1"/>
  <c r="J4865" i="1"/>
  <c r="J4864" i="1"/>
  <c r="J4863" i="1"/>
  <c r="J4862" i="1"/>
  <c r="J4861" i="1"/>
  <c r="J4860" i="1"/>
  <c r="J4859" i="1"/>
  <c r="J4858" i="1"/>
  <c r="J4857" i="1"/>
  <c r="J4856" i="1"/>
  <c r="J4855" i="1"/>
  <c r="J4854" i="1"/>
  <c r="J4853" i="1"/>
  <c r="J4852" i="1"/>
  <c r="J4851" i="1"/>
  <c r="J4850" i="1"/>
  <c r="J4849" i="1"/>
  <c r="J4848" i="1"/>
  <c r="J4847" i="1"/>
  <c r="J4846" i="1"/>
  <c r="J4845" i="1"/>
  <c r="J4844" i="1"/>
  <c r="J4843" i="1"/>
  <c r="J4842" i="1"/>
  <c r="J4841" i="1"/>
  <c r="J4840" i="1"/>
  <c r="J4839" i="1"/>
  <c r="J4838" i="1"/>
  <c r="J4837" i="1"/>
  <c r="J4836" i="1"/>
  <c r="J4835" i="1"/>
  <c r="J4834" i="1"/>
  <c r="J4833" i="1"/>
  <c r="J4832" i="1"/>
  <c r="J4831" i="1"/>
  <c r="J4830" i="1"/>
  <c r="J4829" i="1"/>
  <c r="J4828" i="1"/>
  <c r="J4827" i="1"/>
  <c r="J4826" i="1"/>
  <c r="J4825" i="1"/>
  <c r="J4824" i="1"/>
  <c r="J4823" i="1"/>
  <c r="J4822" i="1"/>
  <c r="J4821" i="1"/>
  <c r="J4820" i="1"/>
  <c r="J4819" i="1"/>
  <c r="J4818" i="1"/>
  <c r="J4817" i="1"/>
  <c r="J4816" i="1"/>
  <c r="J4815" i="1"/>
  <c r="J4814" i="1"/>
  <c r="J4813" i="1"/>
  <c r="J4812" i="1"/>
  <c r="J4811" i="1"/>
  <c r="J4810" i="1"/>
  <c r="J4809" i="1"/>
  <c r="J4808" i="1"/>
  <c r="J4807" i="1"/>
  <c r="J4806" i="1"/>
  <c r="J4805" i="1"/>
  <c r="J4804" i="1"/>
  <c r="J4803" i="1"/>
  <c r="J4802" i="1"/>
  <c r="J4801" i="1"/>
  <c r="J4800" i="1"/>
  <c r="J4799" i="1"/>
  <c r="J4798" i="1"/>
  <c r="J4797" i="1"/>
  <c r="J4796" i="1"/>
  <c r="J4795" i="1"/>
  <c r="J4794" i="1"/>
  <c r="J4793" i="1"/>
  <c r="J4792" i="1"/>
  <c r="J4791" i="1"/>
  <c r="J4790" i="1"/>
  <c r="J4789" i="1"/>
  <c r="J4788" i="1"/>
  <c r="J4787" i="1"/>
  <c r="J4786" i="1"/>
  <c r="J4785" i="1"/>
  <c r="J4784" i="1"/>
  <c r="J4783" i="1"/>
  <c r="J4782" i="1"/>
  <c r="J4781" i="1"/>
  <c r="J4780" i="1"/>
  <c r="J4779" i="1"/>
  <c r="J4778" i="1"/>
  <c r="J4777" i="1"/>
  <c r="J4776" i="1"/>
  <c r="J4775" i="1"/>
  <c r="J4774" i="1"/>
  <c r="J4773" i="1"/>
  <c r="J4772" i="1"/>
  <c r="J4771" i="1"/>
  <c r="J4770" i="1"/>
  <c r="J4769" i="1"/>
  <c r="J4768" i="1"/>
  <c r="J4767" i="1"/>
  <c r="J4766" i="1"/>
  <c r="J4765" i="1"/>
  <c r="J4764" i="1"/>
  <c r="J4763" i="1"/>
  <c r="J4762" i="1"/>
  <c r="J4761" i="1"/>
  <c r="J4760" i="1"/>
  <c r="J4759" i="1"/>
  <c r="J4758" i="1"/>
  <c r="J4757" i="1"/>
  <c r="J4756" i="1"/>
  <c r="J4755" i="1"/>
  <c r="J4754" i="1"/>
  <c r="J4753" i="1"/>
  <c r="J4752" i="1"/>
  <c r="J4751" i="1"/>
  <c r="J4750" i="1"/>
  <c r="J4749" i="1"/>
  <c r="J4748" i="1"/>
  <c r="J4747" i="1"/>
  <c r="J4746" i="1"/>
  <c r="J4745" i="1"/>
  <c r="J4744" i="1"/>
  <c r="J4743" i="1"/>
  <c r="J4742" i="1"/>
  <c r="J4741" i="1"/>
  <c r="J4740" i="1"/>
  <c r="J4739" i="1"/>
  <c r="J4738" i="1"/>
  <c r="J4737" i="1"/>
  <c r="J4736" i="1"/>
  <c r="J4735" i="1"/>
  <c r="J4734" i="1"/>
  <c r="J4733" i="1"/>
  <c r="J4732" i="1"/>
  <c r="J4731" i="1"/>
  <c r="J4730" i="1"/>
  <c r="J4729" i="1"/>
  <c r="J4728" i="1"/>
  <c r="J4727" i="1"/>
  <c r="J4726" i="1"/>
  <c r="J4725" i="1"/>
  <c r="J4724" i="1"/>
  <c r="J4723" i="1"/>
  <c r="J4722" i="1"/>
  <c r="J4721" i="1"/>
  <c r="J4720" i="1"/>
  <c r="J4719" i="1"/>
  <c r="J4718" i="1"/>
  <c r="J4717" i="1"/>
  <c r="J4716" i="1"/>
  <c r="J4715" i="1"/>
  <c r="J4714" i="1"/>
  <c r="J4713" i="1"/>
  <c r="J4712" i="1"/>
  <c r="J4711" i="1"/>
  <c r="J4710" i="1"/>
  <c r="J4709" i="1"/>
  <c r="J4708" i="1"/>
  <c r="J4707" i="1"/>
  <c r="J4706" i="1"/>
  <c r="J4705" i="1"/>
  <c r="J4704" i="1"/>
  <c r="J4703" i="1"/>
  <c r="J4702" i="1"/>
  <c r="J4701" i="1"/>
  <c r="J4700" i="1"/>
  <c r="J4699" i="1"/>
  <c r="J4698" i="1"/>
  <c r="J4697" i="1"/>
  <c r="J4696" i="1"/>
  <c r="J4695" i="1"/>
  <c r="J4694" i="1"/>
  <c r="J4693" i="1"/>
  <c r="J4692" i="1"/>
  <c r="J4691" i="1"/>
  <c r="J4690" i="1"/>
  <c r="J4689" i="1"/>
  <c r="J4688" i="1"/>
  <c r="J4687" i="1"/>
  <c r="J4686" i="1"/>
  <c r="J4685" i="1"/>
  <c r="J4684" i="1"/>
  <c r="J4683" i="1"/>
  <c r="J4682" i="1"/>
  <c r="J4681" i="1"/>
  <c r="J4680" i="1"/>
  <c r="J4679" i="1"/>
  <c r="J4678" i="1"/>
  <c r="J4677" i="1"/>
  <c r="J4676" i="1"/>
  <c r="J4675" i="1"/>
  <c r="J4674" i="1"/>
  <c r="J4673" i="1"/>
  <c r="J4672" i="1"/>
  <c r="J4671" i="1"/>
  <c r="J4670" i="1"/>
  <c r="J4669" i="1"/>
  <c r="J4668" i="1"/>
  <c r="J4667" i="1"/>
  <c r="J4666" i="1"/>
  <c r="J4665" i="1"/>
  <c r="J4664" i="1"/>
  <c r="J4663" i="1"/>
  <c r="J4662" i="1"/>
  <c r="J4661" i="1"/>
  <c r="J4660" i="1"/>
  <c r="J4659" i="1"/>
  <c r="J4658" i="1"/>
  <c r="J4657" i="1"/>
  <c r="J4656" i="1"/>
  <c r="J4655" i="1"/>
  <c r="J4654" i="1"/>
  <c r="J4653" i="1"/>
  <c r="J4652" i="1"/>
  <c r="J4651" i="1"/>
  <c r="J4650" i="1"/>
  <c r="J4649" i="1"/>
  <c r="J4648" i="1"/>
  <c r="J4647" i="1"/>
  <c r="J4646" i="1"/>
  <c r="J4645" i="1"/>
  <c r="J4644" i="1"/>
  <c r="J4643" i="1"/>
  <c r="J4642" i="1"/>
  <c r="J4641" i="1"/>
  <c r="J4640" i="1"/>
  <c r="J4639" i="1"/>
  <c r="J4638" i="1"/>
  <c r="J4637" i="1"/>
  <c r="J4636" i="1"/>
  <c r="J4635" i="1"/>
  <c r="J4634" i="1"/>
  <c r="J4633" i="1"/>
  <c r="J4632" i="1"/>
  <c r="J4631" i="1"/>
  <c r="J4630" i="1"/>
  <c r="J4629" i="1"/>
  <c r="J4628" i="1"/>
  <c r="J4627" i="1"/>
  <c r="J4626" i="1"/>
  <c r="J4625" i="1"/>
  <c r="J4624" i="1"/>
  <c r="J4623" i="1"/>
  <c r="J4622" i="1"/>
  <c r="J4621" i="1"/>
  <c r="J4620" i="1"/>
  <c r="J4619" i="1"/>
  <c r="J4618" i="1"/>
  <c r="J4617" i="1"/>
  <c r="J4616" i="1"/>
  <c r="J4615" i="1"/>
  <c r="J4614" i="1"/>
  <c r="J4613" i="1"/>
  <c r="J4612" i="1"/>
  <c r="J4611" i="1"/>
  <c r="J4610" i="1"/>
  <c r="J4609" i="1"/>
  <c r="J4608" i="1"/>
  <c r="J4607" i="1"/>
  <c r="J4606" i="1"/>
  <c r="J4605" i="1"/>
  <c r="J4604" i="1"/>
  <c r="J4603" i="1"/>
  <c r="J4602" i="1"/>
  <c r="J4601" i="1"/>
  <c r="J4600" i="1"/>
  <c r="J4599" i="1"/>
  <c r="J4598" i="1"/>
  <c r="J4597" i="1"/>
  <c r="J4596" i="1"/>
  <c r="J4595" i="1"/>
  <c r="J4594" i="1"/>
  <c r="J4593" i="1"/>
  <c r="J4592" i="1"/>
  <c r="J4591" i="1"/>
  <c r="J4590" i="1"/>
  <c r="J4589" i="1"/>
  <c r="J4588" i="1"/>
  <c r="J4587" i="1"/>
  <c r="J4586" i="1"/>
  <c r="J4585" i="1"/>
  <c r="J4584" i="1"/>
  <c r="J4583" i="1"/>
  <c r="J4582" i="1"/>
  <c r="J4581" i="1"/>
  <c r="J4580" i="1"/>
  <c r="J4579" i="1"/>
  <c r="J4578" i="1"/>
  <c r="J4577" i="1"/>
  <c r="J4576" i="1"/>
  <c r="J4575" i="1"/>
  <c r="J4574" i="1"/>
  <c r="J4573" i="1"/>
  <c r="J4572" i="1"/>
  <c r="J4571" i="1"/>
  <c r="J4570" i="1"/>
  <c r="J4569" i="1"/>
  <c r="J4568" i="1"/>
  <c r="J4567" i="1"/>
  <c r="J4566" i="1"/>
  <c r="J4565" i="1"/>
  <c r="J4564" i="1"/>
  <c r="J4563" i="1"/>
  <c r="J4562" i="1"/>
  <c r="J4561" i="1"/>
  <c r="J4560" i="1"/>
  <c r="J4559" i="1"/>
  <c r="J4558" i="1"/>
  <c r="J4557" i="1"/>
  <c r="J4556" i="1"/>
  <c r="J4555" i="1"/>
  <c r="J4554" i="1"/>
  <c r="J4553" i="1"/>
  <c r="J4552" i="1"/>
  <c r="J4551" i="1"/>
  <c r="J4550" i="1"/>
  <c r="J4549" i="1"/>
  <c r="J4548" i="1"/>
  <c r="J4547" i="1"/>
  <c r="J4546" i="1"/>
  <c r="J4545" i="1"/>
  <c r="J4544" i="1"/>
  <c r="J4543" i="1"/>
  <c r="J4542" i="1"/>
  <c r="J4541" i="1"/>
  <c r="J4540" i="1"/>
  <c r="J4539" i="1"/>
  <c r="J4538" i="1"/>
  <c r="J4537" i="1"/>
  <c r="J4536" i="1"/>
  <c r="J4535" i="1"/>
  <c r="J4534" i="1"/>
  <c r="J4533" i="1"/>
  <c r="J4532" i="1"/>
  <c r="J4531" i="1"/>
  <c r="J4530" i="1"/>
  <c r="J4529" i="1"/>
  <c r="J4528" i="1"/>
  <c r="J4527" i="1"/>
  <c r="J4526" i="1"/>
  <c r="J4525" i="1"/>
  <c r="J4524" i="1"/>
  <c r="J4523" i="1"/>
  <c r="J4522" i="1"/>
  <c r="J4521" i="1"/>
  <c r="J4520" i="1"/>
  <c r="J4519" i="1"/>
  <c r="J4518" i="1"/>
  <c r="J4517" i="1"/>
  <c r="J4516" i="1"/>
  <c r="J4515" i="1"/>
  <c r="J4514" i="1"/>
  <c r="J4513" i="1"/>
  <c r="J4512" i="1"/>
  <c r="J4511" i="1"/>
  <c r="J4510" i="1"/>
  <c r="J4509" i="1"/>
  <c r="J4508" i="1"/>
  <c r="J4507" i="1"/>
  <c r="J4506" i="1"/>
  <c r="J4505" i="1"/>
  <c r="J4504" i="1"/>
  <c r="J4503" i="1"/>
  <c r="J4502" i="1"/>
  <c r="J4501" i="1"/>
  <c r="J4500" i="1"/>
  <c r="J4499" i="1"/>
  <c r="J4498" i="1"/>
  <c r="J4497" i="1"/>
  <c r="J4496" i="1"/>
  <c r="J4495" i="1"/>
  <c r="J4494" i="1"/>
  <c r="J4493" i="1"/>
  <c r="J4492" i="1"/>
  <c r="J4491" i="1"/>
  <c r="J4490" i="1"/>
  <c r="J4489" i="1"/>
  <c r="J4488" i="1"/>
  <c r="J4487" i="1"/>
  <c r="J4486" i="1"/>
  <c r="J4485" i="1"/>
  <c r="J4484" i="1"/>
  <c r="J4483" i="1"/>
  <c r="J4482" i="1"/>
  <c r="J4481" i="1"/>
  <c r="J4480" i="1"/>
  <c r="J4479" i="1"/>
  <c r="J4478" i="1"/>
  <c r="J4477" i="1"/>
  <c r="J4476" i="1"/>
  <c r="J4475" i="1"/>
  <c r="J4474" i="1"/>
  <c r="J4473" i="1"/>
  <c r="J4472" i="1"/>
  <c r="J4471" i="1"/>
  <c r="J4470" i="1"/>
  <c r="J4469" i="1"/>
  <c r="J4468" i="1"/>
  <c r="J4467" i="1"/>
  <c r="J4466" i="1"/>
  <c r="J4465" i="1"/>
  <c r="J4464" i="1"/>
  <c r="J4463" i="1"/>
  <c r="J4462" i="1"/>
  <c r="J4461" i="1"/>
  <c r="J4460" i="1"/>
  <c r="J4459" i="1"/>
  <c r="J4458" i="1"/>
  <c r="J4457" i="1"/>
  <c r="J4456" i="1"/>
  <c r="J4455" i="1"/>
  <c r="J4454" i="1"/>
  <c r="J4453" i="1"/>
  <c r="J4452" i="1"/>
  <c r="J4451" i="1"/>
  <c r="J4450" i="1"/>
  <c r="J4449" i="1"/>
  <c r="J4448" i="1"/>
  <c r="J4447" i="1"/>
  <c r="J4446" i="1"/>
  <c r="J4445" i="1"/>
  <c r="J4444" i="1"/>
  <c r="J4443" i="1"/>
  <c r="J4442" i="1"/>
  <c r="J4441" i="1"/>
  <c r="J4440" i="1"/>
  <c r="J4439" i="1"/>
  <c r="J4438" i="1"/>
  <c r="J4437" i="1"/>
  <c r="J4436" i="1"/>
  <c r="J4435" i="1"/>
  <c r="J4434" i="1"/>
  <c r="J4433" i="1"/>
  <c r="J4432" i="1"/>
  <c r="J4431" i="1"/>
  <c r="J4430" i="1"/>
  <c r="J4429" i="1"/>
  <c r="J4428" i="1"/>
  <c r="J4427" i="1"/>
  <c r="J4426" i="1"/>
  <c r="J4425" i="1"/>
  <c r="J4424" i="1"/>
  <c r="J4423" i="1"/>
  <c r="J4422" i="1"/>
  <c r="J4421" i="1"/>
  <c r="J4420" i="1"/>
  <c r="J4419" i="1"/>
  <c r="J4418" i="1"/>
  <c r="J4417" i="1"/>
  <c r="J4416" i="1"/>
  <c r="J4415" i="1"/>
  <c r="J4414" i="1"/>
  <c r="J4413" i="1"/>
  <c r="J4412" i="1"/>
  <c r="J4411" i="1"/>
  <c r="J4410" i="1"/>
  <c r="J4409" i="1"/>
  <c r="J4408" i="1"/>
  <c r="J4407" i="1"/>
  <c r="J4406" i="1"/>
  <c r="J4405" i="1"/>
  <c r="J4404" i="1"/>
  <c r="J4403" i="1"/>
  <c r="J4402" i="1"/>
  <c r="J4401" i="1"/>
  <c r="J4400" i="1"/>
  <c r="J4399" i="1"/>
  <c r="J4398" i="1"/>
  <c r="J4397" i="1"/>
  <c r="J4396" i="1"/>
  <c r="J4395" i="1"/>
  <c r="J4394" i="1"/>
  <c r="J4393" i="1"/>
  <c r="J4392" i="1"/>
  <c r="J4391" i="1"/>
  <c r="J4390" i="1"/>
  <c r="J4389" i="1"/>
  <c r="J4388" i="1"/>
  <c r="J4387" i="1"/>
  <c r="J4386" i="1"/>
  <c r="J4385" i="1"/>
  <c r="J4384" i="1"/>
  <c r="J4383" i="1"/>
  <c r="J4382" i="1"/>
  <c r="J4381" i="1"/>
  <c r="J4380" i="1"/>
  <c r="J4379" i="1"/>
  <c r="J4378" i="1"/>
  <c r="J4377" i="1"/>
  <c r="J4376" i="1"/>
  <c r="J4375" i="1"/>
  <c r="J4374" i="1"/>
  <c r="J4373" i="1"/>
  <c r="J4372" i="1"/>
  <c r="J4371" i="1"/>
  <c r="J4370" i="1"/>
  <c r="J4369" i="1"/>
  <c r="J4368" i="1"/>
  <c r="J4367" i="1"/>
  <c r="J4366" i="1"/>
  <c r="J4365" i="1"/>
  <c r="J4364" i="1"/>
  <c r="J4363" i="1"/>
  <c r="J4362" i="1"/>
  <c r="J4361" i="1"/>
  <c r="J4360" i="1"/>
  <c r="J4359" i="1"/>
  <c r="J4358" i="1"/>
  <c r="J4357" i="1"/>
  <c r="J4356" i="1"/>
  <c r="J4355" i="1"/>
  <c r="J4354" i="1"/>
  <c r="J4353" i="1"/>
  <c r="J4352" i="1"/>
  <c r="J4351" i="1"/>
  <c r="J4350" i="1"/>
  <c r="J4349" i="1"/>
  <c r="J4348" i="1"/>
  <c r="J4347" i="1"/>
  <c r="J4346" i="1"/>
  <c r="J4345" i="1"/>
  <c r="J4344" i="1"/>
  <c r="J4343" i="1"/>
  <c r="J4342" i="1"/>
  <c r="J4341" i="1"/>
  <c r="J4340" i="1"/>
  <c r="J4339" i="1"/>
  <c r="J4338" i="1"/>
  <c r="J4337" i="1"/>
  <c r="J4336" i="1"/>
  <c r="J4335" i="1"/>
  <c r="J4334" i="1"/>
  <c r="J4333" i="1"/>
  <c r="J4332" i="1"/>
  <c r="J4331" i="1"/>
  <c r="J4330" i="1"/>
  <c r="J4329" i="1"/>
  <c r="J4328" i="1"/>
  <c r="J4327" i="1"/>
  <c r="J4326" i="1"/>
  <c r="J4325" i="1"/>
  <c r="J4324" i="1"/>
  <c r="J4323" i="1"/>
  <c r="J4322" i="1"/>
  <c r="J4321" i="1"/>
  <c r="J4320" i="1"/>
  <c r="J4319" i="1"/>
  <c r="J4318" i="1"/>
  <c r="J4317" i="1"/>
  <c r="J4316" i="1"/>
  <c r="J4315" i="1"/>
  <c r="J4314" i="1"/>
  <c r="J4313" i="1"/>
  <c r="J4312" i="1"/>
  <c r="J4311" i="1"/>
  <c r="J4310" i="1"/>
  <c r="J4309" i="1"/>
  <c r="J4308" i="1"/>
  <c r="J4307" i="1"/>
  <c r="J4306" i="1"/>
  <c r="J4305" i="1"/>
  <c r="J4304" i="1"/>
  <c r="J4303" i="1"/>
  <c r="J4302" i="1"/>
  <c r="J4301" i="1"/>
  <c r="J4300" i="1"/>
  <c r="J4299" i="1"/>
  <c r="J4298" i="1"/>
  <c r="J4297" i="1"/>
  <c r="J4296" i="1"/>
  <c r="J4295" i="1"/>
  <c r="J4294" i="1"/>
  <c r="J4293" i="1"/>
  <c r="J4292" i="1"/>
  <c r="J4291" i="1"/>
  <c r="J4290" i="1"/>
  <c r="J4289" i="1"/>
  <c r="J4288" i="1"/>
  <c r="J4287" i="1"/>
  <c r="J4286" i="1"/>
  <c r="J4285" i="1"/>
  <c r="J4284" i="1"/>
  <c r="J4283" i="1"/>
  <c r="J4282" i="1"/>
  <c r="J4281" i="1"/>
  <c r="J4280" i="1"/>
  <c r="J4279" i="1"/>
  <c r="J4278" i="1"/>
  <c r="J4277" i="1"/>
  <c r="J4276" i="1"/>
  <c r="J4275" i="1"/>
  <c r="J4274" i="1"/>
  <c r="J4273" i="1"/>
  <c r="J4272" i="1"/>
  <c r="J4271" i="1"/>
  <c r="J4270" i="1"/>
  <c r="J4269" i="1"/>
  <c r="J4268" i="1"/>
  <c r="J4267" i="1"/>
  <c r="J4266" i="1"/>
  <c r="J4265" i="1"/>
  <c r="J4264" i="1"/>
  <c r="J4263" i="1"/>
  <c r="J4262" i="1"/>
  <c r="J4261" i="1"/>
  <c r="J4260" i="1"/>
  <c r="J4259" i="1"/>
  <c r="J4258" i="1"/>
  <c r="J4257" i="1"/>
  <c r="J4256" i="1"/>
  <c r="J4255" i="1"/>
  <c r="J4254" i="1"/>
  <c r="J4253" i="1"/>
  <c r="J4252" i="1"/>
  <c r="J4251" i="1"/>
  <c r="J4250" i="1"/>
  <c r="J4249" i="1"/>
  <c r="J4248" i="1"/>
  <c r="J4247" i="1"/>
  <c r="J4246" i="1"/>
  <c r="J4245" i="1"/>
  <c r="J4244" i="1"/>
  <c r="J4243" i="1"/>
  <c r="J4242" i="1"/>
  <c r="J4241" i="1"/>
  <c r="J4240" i="1"/>
  <c r="J4239" i="1"/>
  <c r="J4238" i="1"/>
  <c r="J4237" i="1"/>
  <c r="J4236" i="1"/>
  <c r="J4235" i="1"/>
  <c r="J4234" i="1"/>
  <c r="J4233" i="1"/>
  <c r="J4232" i="1"/>
  <c r="J4231" i="1"/>
  <c r="J4230" i="1"/>
  <c r="J4229" i="1"/>
  <c r="J4228" i="1"/>
  <c r="J4227" i="1"/>
  <c r="J4226" i="1"/>
  <c r="J4225" i="1"/>
  <c r="J4224" i="1"/>
  <c r="J4223" i="1"/>
  <c r="J4222" i="1"/>
  <c r="J4221" i="1"/>
  <c r="J4220" i="1"/>
  <c r="J4219" i="1"/>
  <c r="J4218" i="1"/>
  <c r="J4217" i="1"/>
  <c r="J4216" i="1"/>
  <c r="J4215" i="1"/>
  <c r="J4214" i="1"/>
  <c r="J4213" i="1"/>
  <c r="J4212" i="1"/>
  <c r="J4211" i="1"/>
  <c r="J4210" i="1"/>
  <c r="J4209" i="1"/>
  <c r="J4208" i="1"/>
  <c r="J4207" i="1"/>
  <c r="J4206" i="1"/>
  <c r="J4205" i="1"/>
  <c r="J4204" i="1"/>
  <c r="J4203" i="1"/>
  <c r="J4202" i="1"/>
  <c r="J4201" i="1"/>
  <c r="J4200" i="1"/>
  <c r="J4199" i="1"/>
  <c r="J4198" i="1"/>
  <c r="J4197" i="1"/>
  <c r="J4196" i="1"/>
  <c r="J4195" i="1"/>
  <c r="J4194" i="1"/>
  <c r="J4193" i="1"/>
  <c r="J4192" i="1"/>
  <c r="J4191" i="1"/>
  <c r="J4190" i="1"/>
  <c r="J4189" i="1"/>
  <c r="J4188" i="1"/>
  <c r="J4187" i="1"/>
  <c r="J4186" i="1"/>
  <c r="J4185" i="1"/>
  <c r="J4184" i="1"/>
  <c r="J4183" i="1"/>
  <c r="J4182" i="1"/>
  <c r="J4181" i="1"/>
  <c r="J4180" i="1"/>
  <c r="J4179" i="1"/>
  <c r="J4178" i="1"/>
  <c r="J4177" i="1"/>
  <c r="J4176" i="1"/>
  <c r="J4175" i="1"/>
  <c r="J4174" i="1"/>
  <c r="J4173" i="1"/>
  <c r="J4172" i="1"/>
  <c r="J4171" i="1"/>
  <c r="J4170" i="1"/>
  <c r="J4169" i="1"/>
  <c r="J4168" i="1"/>
  <c r="J4167" i="1"/>
  <c r="J4166" i="1"/>
  <c r="J4165" i="1"/>
  <c r="J4164" i="1"/>
  <c r="J4163" i="1"/>
  <c r="J4162" i="1"/>
  <c r="J4161" i="1"/>
  <c r="J4160" i="1"/>
  <c r="J4159" i="1"/>
  <c r="J4158" i="1"/>
  <c r="J4157" i="1"/>
  <c r="J4156" i="1"/>
  <c r="J4155" i="1"/>
  <c r="J4154" i="1"/>
  <c r="J4153" i="1"/>
  <c r="J4152" i="1"/>
  <c r="J4151" i="1"/>
  <c r="J4150" i="1"/>
  <c r="J4149" i="1"/>
  <c r="J4148" i="1"/>
  <c r="J4147" i="1"/>
  <c r="J4146" i="1"/>
  <c r="J4145" i="1"/>
  <c r="J4144" i="1"/>
  <c r="J4143" i="1"/>
  <c r="J4142" i="1"/>
  <c r="J4141" i="1"/>
  <c r="J4140" i="1"/>
  <c r="J4139" i="1"/>
  <c r="J4138" i="1"/>
  <c r="J4137" i="1"/>
  <c r="J4136" i="1"/>
  <c r="J4135" i="1"/>
  <c r="J4134" i="1"/>
  <c r="J4133" i="1"/>
  <c r="J4132" i="1"/>
  <c r="J4131" i="1"/>
  <c r="J4130" i="1"/>
  <c r="J4129" i="1"/>
  <c r="J4128" i="1"/>
  <c r="J4127" i="1"/>
  <c r="J4126" i="1"/>
  <c r="J4125" i="1"/>
  <c r="J4124" i="1"/>
  <c r="J4123" i="1"/>
  <c r="J4122" i="1"/>
  <c r="J4121" i="1"/>
  <c r="J4120" i="1"/>
  <c r="J4119" i="1"/>
  <c r="J4118" i="1"/>
  <c r="J4117" i="1"/>
  <c r="J4116" i="1"/>
  <c r="J4115" i="1"/>
  <c r="J4114" i="1"/>
  <c r="J4113" i="1"/>
  <c r="J4112" i="1"/>
  <c r="J4111" i="1"/>
  <c r="J4110" i="1"/>
  <c r="J4109" i="1"/>
  <c r="J4108" i="1"/>
  <c r="J4107" i="1"/>
  <c r="J4106" i="1"/>
  <c r="J4105" i="1"/>
  <c r="J4104" i="1"/>
  <c r="J4103" i="1"/>
  <c r="J4102" i="1"/>
  <c r="J4101" i="1"/>
  <c r="J4100" i="1"/>
  <c r="J4099" i="1"/>
  <c r="J4098" i="1"/>
  <c r="J4097" i="1"/>
  <c r="J4096" i="1"/>
  <c r="J4095" i="1"/>
  <c r="J4094" i="1"/>
  <c r="J4093" i="1"/>
  <c r="J4092" i="1"/>
  <c r="J4091" i="1"/>
  <c r="J4090" i="1"/>
  <c r="J4089" i="1"/>
  <c r="J4088" i="1"/>
  <c r="J4087" i="1"/>
  <c r="J4086" i="1"/>
  <c r="J4085" i="1"/>
  <c r="J4084" i="1"/>
  <c r="J4083" i="1"/>
  <c r="J4082" i="1"/>
  <c r="J4081" i="1"/>
  <c r="J4080" i="1"/>
  <c r="J4079" i="1"/>
  <c r="J4078" i="1"/>
  <c r="J4077" i="1"/>
  <c r="J4076" i="1"/>
  <c r="J4075" i="1"/>
  <c r="J4074" i="1"/>
  <c r="J4073" i="1"/>
  <c r="J4072" i="1"/>
  <c r="J4071" i="1"/>
  <c r="J4070" i="1"/>
  <c r="J4069" i="1"/>
  <c r="J4068" i="1"/>
  <c r="J4067" i="1"/>
  <c r="J4066" i="1"/>
  <c r="J4065" i="1"/>
  <c r="J4064" i="1"/>
  <c r="J4063" i="1"/>
  <c r="J4062" i="1"/>
  <c r="J4061" i="1"/>
  <c r="J4060" i="1"/>
  <c r="J4059" i="1"/>
  <c r="J4058" i="1"/>
  <c r="J4057" i="1"/>
  <c r="J4056" i="1"/>
  <c r="J4055" i="1"/>
  <c r="J4054" i="1"/>
  <c r="J4053" i="1"/>
  <c r="J4052" i="1"/>
  <c r="J4051" i="1"/>
  <c r="J4050" i="1"/>
  <c r="J4049" i="1"/>
  <c r="J4048" i="1"/>
  <c r="J4047" i="1"/>
  <c r="J4046" i="1"/>
  <c r="J4045" i="1"/>
  <c r="J4044" i="1"/>
  <c r="J4043" i="1"/>
  <c r="J4042" i="1"/>
  <c r="J4041" i="1"/>
  <c r="J4040" i="1"/>
  <c r="J4039" i="1"/>
  <c r="J4038" i="1"/>
  <c r="J4037" i="1"/>
  <c r="J4036" i="1"/>
  <c r="J4035" i="1"/>
  <c r="J4034" i="1"/>
  <c r="J4033" i="1"/>
  <c r="J4032" i="1"/>
  <c r="J4031" i="1"/>
  <c r="J4030" i="1"/>
  <c r="J4029" i="1"/>
  <c r="J4028" i="1"/>
  <c r="J4027" i="1"/>
  <c r="J4026" i="1"/>
  <c r="J4025" i="1"/>
  <c r="J4024" i="1"/>
  <c r="J4023" i="1"/>
  <c r="J4022" i="1"/>
  <c r="J4021" i="1"/>
  <c r="J4020" i="1"/>
  <c r="J4019" i="1"/>
  <c r="J4018" i="1"/>
  <c r="J4017" i="1"/>
  <c r="J4016" i="1"/>
  <c r="J4015" i="1"/>
  <c r="J4014" i="1"/>
  <c r="J4013" i="1"/>
  <c r="J4012" i="1"/>
  <c r="J4011" i="1"/>
  <c r="J4010" i="1"/>
  <c r="J4009" i="1"/>
  <c r="J4008" i="1"/>
  <c r="J4007" i="1"/>
  <c r="J4006" i="1"/>
  <c r="J4005" i="1"/>
  <c r="J4004" i="1"/>
  <c r="J4003" i="1"/>
  <c r="J4002" i="1"/>
  <c r="J4001" i="1"/>
  <c r="J4000" i="1"/>
  <c r="J3999" i="1"/>
  <c r="J3998" i="1"/>
  <c r="J3997" i="1"/>
  <c r="J3996" i="1"/>
  <c r="J3995" i="1"/>
  <c r="J3994" i="1"/>
  <c r="J3993" i="1"/>
  <c r="J3992" i="1"/>
  <c r="J3991" i="1"/>
  <c r="J3990" i="1"/>
  <c r="J3989" i="1"/>
  <c r="J3988" i="1"/>
  <c r="J3987" i="1"/>
  <c r="J3986" i="1"/>
  <c r="J3985" i="1"/>
  <c r="J3984" i="1"/>
  <c r="J3983" i="1"/>
  <c r="J3982" i="1"/>
  <c r="J3981" i="1"/>
  <c r="J3980" i="1"/>
  <c r="J3979" i="1"/>
  <c r="J3978" i="1"/>
  <c r="J3977" i="1"/>
  <c r="J3976" i="1"/>
  <c r="J3975" i="1"/>
  <c r="J3974" i="1"/>
  <c r="J3973" i="1"/>
  <c r="J3972" i="1"/>
  <c r="J3971" i="1"/>
  <c r="J3970" i="1"/>
  <c r="J3969" i="1"/>
  <c r="J3968" i="1"/>
  <c r="J3967" i="1"/>
  <c r="J3966" i="1"/>
  <c r="J3965" i="1"/>
  <c r="J3964" i="1"/>
  <c r="J3963" i="1"/>
  <c r="J3962" i="1"/>
  <c r="J3961" i="1"/>
  <c r="J3960" i="1"/>
  <c r="J3959" i="1"/>
  <c r="J3958" i="1"/>
  <c r="J3957" i="1"/>
  <c r="J3956" i="1"/>
  <c r="J3955" i="1"/>
  <c r="J3954" i="1"/>
  <c r="J3953" i="1"/>
  <c r="J3952" i="1"/>
  <c r="J3951" i="1"/>
  <c r="J3950" i="1"/>
  <c r="J3949" i="1"/>
  <c r="J3948" i="1"/>
  <c r="J3947" i="1"/>
  <c r="J3946" i="1"/>
  <c r="J3945" i="1"/>
  <c r="J3944" i="1"/>
  <c r="J3943" i="1"/>
  <c r="J3942" i="1"/>
  <c r="J3941" i="1"/>
  <c r="J3940" i="1"/>
  <c r="J3939" i="1"/>
  <c r="J3938" i="1"/>
  <c r="J3937" i="1"/>
  <c r="J3936" i="1"/>
  <c r="J3935" i="1"/>
  <c r="J3934" i="1"/>
  <c r="J3933" i="1"/>
  <c r="J3932" i="1"/>
  <c r="J3931" i="1"/>
  <c r="J3930" i="1"/>
  <c r="J3929" i="1"/>
  <c r="J3928" i="1"/>
  <c r="J3927" i="1"/>
  <c r="J3926" i="1"/>
  <c r="J3925" i="1"/>
  <c r="J3924" i="1"/>
  <c r="J3923" i="1"/>
  <c r="J3922" i="1"/>
  <c r="J3921" i="1"/>
  <c r="J3920" i="1"/>
  <c r="J3919" i="1"/>
  <c r="J3918" i="1"/>
  <c r="J3917" i="1"/>
  <c r="J3916" i="1"/>
  <c r="J3915" i="1"/>
  <c r="J3914" i="1"/>
  <c r="J3913" i="1"/>
  <c r="J3912" i="1"/>
  <c r="J3911" i="1"/>
  <c r="J3910" i="1"/>
  <c r="J3909" i="1"/>
  <c r="J3908" i="1"/>
  <c r="J3907" i="1"/>
  <c r="J3906" i="1"/>
  <c r="J3905" i="1"/>
  <c r="J3904" i="1"/>
  <c r="J3903" i="1"/>
  <c r="J3902" i="1"/>
  <c r="J3901" i="1"/>
  <c r="J3900" i="1"/>
  <c r="J3899" i="1"/>
  <c r="J3898" i="1"/>
  <c r="J3897" i="1"/>
  <c r="J3896" i="1"/>
  <c r="J3895" i="1"/>
  <c r="J3894" i="1"/>
  <c r="J3893" i="1"/>
  <c r="J3892" i="1"/>
  <c r="J3891" i="1"/>
  <c r="J3890" i="1"/>
  <c r="J3889" i="1"/>
  <c r="J3888" i="1"/>
  <c r="J3887" i="1"/>
  <c r="J3886" i="1"/>
  <c r="J3885" i="1"/>
  <c r="J3884" i="1"/>
  <c r="J3883" i="1"/>
  <c r="J3882" i="1"/>
  <c r="J3881" i="1"/>
  <c r="J3880" i="1"/>
  <c r="J3879" i="1"/>
  <c r="J3878" i="1"/>
  <c r="J3877" i="1"/>
  <c r="J3876" i="1"/>
  <c r="J3875" i="1"/>
  <c r="J3874" i="1"/>
  <c r="J3873" i="1"/>
  <c r="J3872" i="1"/>
  <c r="J3871" i="1"/>
  <c r="J3870" i="1"/>
  <c r="J3869" i="1"/>
  <c r="J3868" i="1"/>
  <c r="J3867" i="1"/>
  <c r="J3866" i="1"/>
  <c r="J3865" i="1"/>
  <c r="J3864" i="1"/>
  <c r="J3863" i="1"/>
  <c r="J3862" i="1"/>
  <c r="J3861" i="1"/>
  <c r="J3860" i="1"/>
  <c r="J3859" i="1"/>
  <c r="J3858" i="1"/>
  <c r="J3857" i="1"/>
  <c r="J3856" i="1"/>
  <c r="J3855" i="1"/>
  <c r="J3854" i="1"/>
  <c r="J3853" i="1"/>
  <c r="J3852" i="1"/>
  <c r="J3851" i="1"/>
  <c r="J3850" i="1"/>
  <c r="J3849" i="1"/>
  <c r="J3848" i="1"/>
  <c r="J3847" i="1"/>
  <c r="J3846" i="1"/>
  <c r="J3845" i="1"/>
  <c r="J3844" i="1"/>
  <c r="J3843" i="1"/>
  <c r="J3842" i="1"/>
  <c r="J3841" i="1"/>
  <c r="J3840" i="1"/>
  <c r="J3839" i="1"/>
  <c r="J3838" i="1"/>
  <c r="J3837" i="1"/>
  <c r="J3836" i="1"/>
  <c r="J3835" i="1"/>
  <c r="J3834" i="1"/>
  <c r="J3833" i="1"/>
  <c r="J3832" i="1"/>
  <c r="J3831" i="1"/>
  <c r="J3830" i="1"/>
  <c r="J3829" i="1"/>
  <c r="J3828" i="1"/>
  <c r="J3827" i="1"/>
  <c r="J3826" i="1"/>
  <c r="J3825" i="1"/>
  <c r="J3824" i="1"/>
  <c r="J3823" i="1"/>
  <c r="J3822" i="1"/>
  <c r="J3821" i="1"/>
  <c r="J3820" i="1"/>
  <c r="J3819" i="1"/>
  <c r="J3818" i="1"/>
  <c r="J3817" i="1"/>
  <c r="J3816" i="1"/>
  <c r="J3815" i="1"/>
  <c r="J3814" i="1"/>
  <c r="J3813" i="1"/>
  <c r="J3812" i="1"/>
  <c r="J3811" i="1"/>
  <c r="J3810" i="1"/>
  <c r="J3809" i="1"/>
  <c r="J3808" i="1"/>
  <c r="J3807" i="1"/>
  <c r="J3806" i="1"/>
  <c r="J3805" i="1"/>
  <c r="J3804" i="1"/>
  <c r="J3803" i="1"/>
  <c r="J3802" i="1"/>
  <c r="J3801" i="1"/>
  <c r="J3800" i="1"/>
  <c r="J3799" i="1"/>
  <c r="J3798" i="1"/>
  <c r="J3797" i="1"/>
  <c r="J3796" i="1"/>
  <c r="J3795" i="1"/>
  <c r="J3794" i="1"/>
  <c r="J3793" i="1"/>
  <c r="J3792" i="1"/>
  <c r="J3791" i="1"/>
  <c r="J3790" i="1"/>
  <c r="J3789" i="1"/>
  <c r="J3788" i="1"/>
  <c r="J3787" i="1"/>
  <c r="J3786" i="1"/>
  <c r="J3785" i="1"/>
  <c r="J3784" i="1"/>
  <c r="J3783" i="1"/>
  <c r="J3782" i="1"/>
  <c r="J3781" i="1"/>
  <c r="J3780" i="1"/>
  <c r="J3779" i="1"/>
  <c r="J3778" i="1"/>
  <c r="J3777" i="1"/>
  <c r="J3776" i="1"/>
  <c r="J3775" i="1"/>
  <c r="J3774" i="1"/>
  <c r="J3773" i="1"/>
  <c r="J3772" i="1"/>
  <c r="J3771" i="1"/>
  <c r="J3770" i="1"/>
  <c r="J3769" i="1"/>
  <c r="J3768" i="1"/>
  <c r="J3767" i="1"/>
  <c r="J3766" i="1"/>
  <c r="J3765" i="1"/>
  <c r="J3764" i="1"/>
  <c r="J3763" i="1"/>
  <c r="J3762" i="1"/>
  <c r="J3761" i="1"/>
  <c r="J3760" i="1"/>
  <c r="J3759" i="1"/>
  <c r="J3758" i="1"/>
  <c r="J3757" i="1"/>
  <c r="J3756" i="1"/>
  <c r="J3755" i="1"/>
  <c r="J3754" i="1"/>
  <c r="J3753" i="1"/>
  <c r="J3752" i="1"/>
  <c r="J3751" i="1"/>
  <c r="J3750" i="1"/>
  <c r="J3749" i="1"/>
  <c r="J3748" i="1"/>
  <c r="J3747" i="1"/>
  <c r="J3746" i="1"/>
  <c r="J3745" i="1"/>
  <c r="J3744" i="1"/>
  <c r="J3743" i="1"/>
  <c r="J3742" i="1"/>
  <c r="J3741" i="1"/>
  <c r="J3740" i="1"/>
  <c r="J3739" i="1"/>
  <c r="J3738" i="1"/>
  <c r="J3737" i="1"/>
  <c r="J3736" i="1"/>
  <c r="J3735" i="1"/>
  <c r="J3734" i="1"/>
  <c r="J3733" i="1"/>
  <c r="J3732" i="1"/>
  <c r="J3731" i="1"/>
  <c r="J3730" i="1"/>
  <c r="J3729" i="1"/>
  <c r="J3728" i="1"/>
  <c r="J3727" i="1"/>
  <c r="J3726" i="1"/>
  <c r="J3725" i="1"/>
  <c r="J3724" i="1"/>
  <c r="J3723" i="1"/>
  <c r="J3722" i="1"/>
  <c r="J3721" i="1"/>
  <c r="J3720" i="1"/>
  <c r="J3719" i="1"/>
  <c r="J3718" i="1"/>
  <c r="J3717" i="1"/>
  <c r="J3716" i="1"/>
  <c r="J3715" i="1"/>
  <c r="J3714" i="1"/>
  <c r="J3713" i="1"/>
  <c r="J3712" i="1"/>
  <c r="J3711" i="1"/>
  <c r="J3710" i="1"/>
  <c r="J3709" i="1"/>
  <c r="J3708" i="1"/>
  <c r="J3707" i="1"/>
  <c r="J3706" i="1"/>
  <c r="J3705" i="1"/>
  <c r="J3704" i="1"/>
  <c r="J3703" i="1"/>
  <c r="J3702" i="1"/>
  <c r="J3701" i="1"/>
  <c r="J3700" i="1"/>
  <c r="J3699" i="1"/>
  <c r="J3698" i="1"/>
  <c r="J3697" i="1"/>
  <c r="J3696" i="1"/>
  <c r="J3695" i="1"/>
  <c r="J3694" i="1"/>
  <c r="J3693" i="1"/>
  <c r="J3692" i="1"/>
  <c r="J3691" i="1"/>
  <c r="J3690" i="1"/>
  <c r="J3689" i="1"/>
  <c r="J3688" i="1"/>
  <c r="J3687" i="1"/>
  <c r="J3686" i="1"/>
  <c r="J3685" i="1"/>
  <c r="J3684" i="1"/>
  <c r="J3683" i="1"/>
  <c r="J3682" i="1"/>
  <c r="J3681" i="1"/>
  <c r="J3680" i="1"/>
  <c r="J3679" i="1"/>
  <c r="J3678" i="1"/>
  <c r="J3677" i="1"/>
  <c r="J3676" i="1"/>
  <c r="J3675" i="1"/>
  <c r="J3674" i="1"/>
  <c r="J3673" i="1"/>
  <c r="J3672" i="1"/>
  <c r="J3671" i="1"/>
  <c r="J3670" i="1"/>
  <c r="J3669" i="1"/>
  <c r="J3668" i="1"/>
  <c r="J3667" i="1"/>
  <c r="J3666" i="1"/>
  <c r="J3665" i="1"/>
  <c r="J3664" i="1"/>
  <c r="J3663" i="1"/>
  <c r="J3662" i="1"/>
  <c r="J3661" i="1"/>
  <c r="J3660" i="1"/>
  <c r="J3659" i="1"/>
  <c r="J3658" i="1"/>
  <c r="J3657" i="1"/>
  <c r="J3656" i="1"/>
  <c r="J3655" i="1"/>
  <c r="J3654" i="1"/>
  <c r="J3653" i="1"/>
  <c r="J3652" i="1"/>
  <c r="J3651" i="1"/>
  <c r="J3650" i="1"/>
  <c r="J3649" i="1"/>
  <c r="J3648" i="1"/>
  <c r="J3647" i="1"/>
  <c r="J3646" i="1"/>
  <c r="J3645" i="1"/>
  <c r="J3644" i="1"/>
  <c r="J3643" i="1"/>
  <c r="J3642" i="1"/>
  <c r="J3641" i="1"/>
  <c r="J3640" i="1"/>
  <c r="J3639" i="1"/>
  <c r="J3638" i="1"/>
  <c r="J3637" i="1"/>
  <c r="J3636" i="1"/>
  <c r="J3635" i="1"/>
  <c r="J3634" i="1"/>
  <c r="J3633" i="1"/>
  <c r="J3632" i="1"/>
  <c r="J3631" i="1"/>
  <c r="J3630" i="1"/>
  <c r="J3629" i="1"/>
  <c r="J3628" i="1"/>
  <c r="J3627" i="1"/>
  <c r="J3626" i="1"/>
  <c r="J3625" i="1"/>
  <c r="J3624" i="1"/>
  <c r="J3623" i="1"/>
  <c r="J3622" i="1"/>
  <c r="J3621" i="1"/>
  <c r="J3620" i="1"/>
  <c r="J3619" i="1"/>
  <c r="J3618" i="1"/>
  <c r="J3617" i="1"/>
  <c r="J3616" i="1"/>
  <c r="J3615" i="1"/>
  <c r="J3614" i="1"/>
  <c r="J3613" i="1"/>
  <c r="J3612" i="1"/>
  <c r="J3611" i="1"/>
  <c r="J3610" i="1"/>
  <c r="J3609" i="1"/>
  <c r="J3608" i="1"/>
  <c r="J3607" i="1"/>
  <c r="J3606" i="1"/>
  <c r="J3605" i="1"/>
  <c r="J3604" i="1"/>
  <c r="J3603" i="1"/>
  <c r="J3602" i="1"/>
  <c r="J3601" i="1"/>
  <c r="J3600" i="1"/>
  <c r="J3599" i="1"/>
  <c r="J3598" i="1"/>
  <c r="J3597" i="1"/>
  <c r="J3596" i="1"/>
  <c r="J3595" i="1"/>
  <c r="J3594" i="1"/>
  <c r="J3593" i="1"/>
  <c r="J3592" i="1"/>
  <c r="J3591" i="1"/>
  <c r="J3590" i="1"/>
  <c r="J3589" i="1"/>
  <c r="J3588" i="1"/>
  <c r="J3587" i="1"/>
  <c r="J3586" i="1"/>
  <c r="J3585" i="1"/>
  <c r="J3584" i="1"/>
  <c r="J3583" i="1"/>
  <c r="J3582" i="1"/>
  <c r="J3581" i="1"/>
  <c r="J3580" i="1"/>
  <c r="J3579" i="1"/>
  <c r="J3578" i="1"/>
  <c r="J3577" i="1"/>
  <c r="J3576" i="1"/>
  <c r="J3575" i="1"/>
  <c r="J3574" i="1"/>
  <c r="J3573" i="1"/>
  <c r="J3572" i="1"/>
  <c r="J3571" i="1"/>
  <c r="J3570" i="1"/>
  <c r="J3569" i="1"/>
  <c r="J3568" i="1"/>
  <c r="J3567" i="1"/>
  <c r="J3566" i="1"/>
  <c r="J3565" i="1"/>
  <c r="J3564" i="1"/>
  <c r="J3563" i="1"/>
  <c r="J3562" i="1"/>
  <c r="J3561" i="1"/>
  <c r="J3560" i="1"/>
  <c r="J3559" i="1"/>
  <c r="J3558" i="1"/>
  <c r="J3557" i="1"/>
  <c r="J3556" i="1"/>
  <c r="J3555" i="1"/>
  <c r="J3554" i="1"/>
  <c r="J3553" i="1"/>
  <c r="J3552" i="1"/>
  <c r="J3551" i="1"/>
  <c r="J3550" i="1"/>
  <c r="J3549" i="1"/>
  <c r="J3548" i="1"/>
  <c r="J3547" i="1"/>
  <c r="J3546" i="1"/>
  <c r="J3545" i="1"/>
  <c r="J3544" i="1"/>
  <c r="J3543" i="1"/>
  <c r="J3542" i="1"/>
  <c r="J3541" i="1"/>
  <c r="J3540" i="1"/>
  <c r="J3539" i="1"/>
  <c r="J3538" i="1"/>
  <c r="J3537" i="1"/>
  <c r="J3536" i="1"/>
  <c r="J3535" i="1"/>
  <c r="J3534" i="1"/>
  <c r="J3533" i="1"/>
  <c r="J3532" i="1"/>
  <c r="J3531" i="1"/>
  <c r="J3530" i="1"/>
  <c r="J3529" i="1"/>
  <c r="J3528" i="1"/>
  <c r="J3527" i="1"/>
  <c r="J3526" i="1"/>
  <c r="J3525" i="1"/>
  <c r="J3524" i="1"/>
  <c r="J3523" i="1"/>
  <c r="J3522" i="1"/>
  <c r="J3521" i="1"/>
  <c r="J3520" i="1"/>
  <c r="J3519" i="1"/>
  <c r="J3518" i="1"/>
  <c r="J3517" i="1"/>
  <c r="J3516" i="1"/>
  <c r="J3515" i="1"/>
  <c r="J3514" i="1"/>
  <c r="J3513" i="1"/>
  <c r="J3512" i="1"/>
  <c r="J3511" i="1"/>
  <c r="J3510" i="1"/>
  <c r="J3509" i="1"/>
  <c r="J3508" i="1"/>
  <c r="J3507" i="1"/>
  <c r="J3506" i="1"/>
  <c r="J3505" i="1"/>
  <c r="J3504" i="1"/>
  <c r="J3503" i="1"/>
  <c r="J3502" i="1"/>
  <c r="J3501" i="1"/>
  <c r="J3500" i="1"/>
  <c r="J3499" i="1"/>
  <c r="J3498" i="1"/>
  <c r="J3497" i="1"/>
  <c r="J3496" i="1"/>
  <c r="J3495" i="1"/>
  <c r="J3494" i="1"/>
  <c r="J3493" i="1"/>
  <c r="J3492" i="1"/>
  <c r="J3491" i="1"/>
  <c r="J3490" i="1"/>
  <c r="J3489" i="1"/>
  <c r="J3488" i="1"/>
  <c r="J3487" i="1"/>
  <c r="J3486" i="1"/>
  <c r="J3485" i="1"/>
  <c r="J3484" i="1"/>
  <c r="J3483" i="1"/>
  <c r="J3482" i="1"/>
  <c r="J3481" i="1"/>
  <c r="J3480" i="1"/>
  <c r="J3479" i="1"/>
  <c r="J3478" i="1"/>
  <c r="J3477" i="1"/>
  <c r="J3476" i="1"/>
  <c r="J3475" i="1"/>
  <c r="J3474" i="1"/>
  <c r="J3473" i="1"/>
  <c r="J3472" i="1"/>
  <c r="J3471" i="1"/>
  <c r="J3470" i="1"/>
  <c r="J3469" i="1"/>
  <c r="J3468" i="1"/>
  <c r="J3467" i="1"/>
  <c r="J3466" i="1"/>
  <c r="J3465" i="1"/>
  <c r="J3464" i="1"/>
  <c r="J3463" i="1"/>
  <c r="J3462" i="1"/>
  <c r="J3461" i="1"/>
  <c r="J3460" i="1"/>
  <c r="J3459" i="1"/>
  <c r="J3458" i="1"/>
  <c r="J3457" i="1"/>
  <c r="J3456" i="1"/>
  <c r="J3455" i="1"/>
  <c r="J3454" i="1"/>
  <c r="J3453" i="1"/>
  <c r="J3452" i="1"/>
  <c r="J3451" i="1"/>
  <c r="J3450" i="1"/>
  <c r="J3449" i="1"/>
  <c r="J3448" i="1"/>
  <c r="J3447" i="1"/>
  <c r="J3446" i="1"/>
  <c r="J3445" i="1"/>
  <c r="J3444" i="1"/>
  <c r="J3443" i="1"/>
  <c r="J3442" i="1"/>
  <c r="J3441" i="1"/>
  <c r="J3440" i="1"/>
  <c r="J3439" i="1"/>
  <c r="J3438" i="1"/>
  <c r="J3437" i="1"/>
  <c r="J3436" i="1"/>
  <c r="J3435" i="1"/>
  <c r="J3434" i="1"/>
  <c r="J3433" i="1"/>
  <c r="J3432" i="1"/>
  <c r="J3431" i="1"/>
  <c r="J3430" i="1"/>
  <c r="J3429" i="1"/>
  <c r="J3428" i="1"/>
  <c r="J3427" i="1"/>
  <c r="J3426" i="1"/>
  <c r="J3425" i="1"/>
  <c r="J3424" i="1"/>
  <c r="J3423" i="1"/>
  <c r="J3422" i="1"/>
  <c r="J3421" i="1"/>
  <c r="J3420" i="1"/>
  <c r="J3419" i="1"/>
  <c r="J3418" i="1"/>
  <c r="J3417" i="1"/>
  <c r="J3416" i="1"/>
  <c r="J3415" i="1"/>
  <c r="J3414" i="1"/>
  <c r="J3413" i="1"/>
  <c r="J3412" i="1"/>
  <c r="J3411" i="1"/>
  <c r="J3410" i="1"/>
  <c r="J3409" i="1"/>
  <c r="J3408" i="1"/>
  <c r="J3407" i="1"/>
  <c r="J3406" i="1"/>
  <c r="J3405" i="1"/>
  <c r="J3404" i="1"/>
  <c r="J3403" i="1"/>
  <c r="J3402" i="1"/>
  <c r="J3401" i="1"/>
  <c r="J3400" i="1"/>
  <c r="J3399" i="1"/>
  <c r="J3398" i="1"/>
  <c r="J3397" i="1"/>
  <c r="J3396" i="1"/>
  <c r="J3395" i="1"/>
  <c r="J3394" i="1"/>
  <c r="J3393" i="1"/>
  <c r="J3392" i="1"/>
  <c r="J3391" i="1"/>
  <c r="J3390" i="1"/>
  <c r="J3389" i="1"/>
  <c r="J3388" i="1"/>
  <c r="J3387" i="1"/>
  <c r="J3386" i="1"/>
  <c r="J3385" i="1"/>
  <c r="J3384" i="1"/>
  <c r="J3383" i="1"/>
  <c r="J3382" i="1"/>
  <c r="J3381" i="1"/>
  <c r="J3380" i="1"/>
  <c r="J3379" i="1"/>
  <c r="J3378" i="1"/>
  <c r="J3377" i="1"/>
  <c r="J3376" i="1"/>
  <c r="J3375" i="1"/>
  <c r="J3374" i="1"/>
  <c r="J3373" i="1"/>
  <c r="J3372" i="1"/>
  <c r="J3371" i="1"/>
  <c r="J3370" i="1"/>
  <c r="J3369" i="1"/>
  <c r="J3368" i="1"/>
  <c r="J3367" i="1"/>
  <c r="J3366" i="1"/>
  <c r="J3365" i="1"/>
  <c r="J3364" i="1"/>
  <c r="J3363" i="1"/>
  <c r="J3362" i="1"/>
  <c r="J3361" i="1"/>
  <c r="J3360" i="1"/>
  <c r="J3359" i="1"/>
  <c r="J3358" i="1"/>
  <c r="J3357" i="1"/>
  <c r="J3356" i="1"/>
  <c r="J3355" i="1"/>
  <c r="J3354" i="1"/>
  <c r="J3353" i="1"/>
  <c r="J3352" i="1"/>
  <c r="J3351" i="1"/>
  <c r="J3350" i="1"/>
  <c r="J3349" i="1"/>
  <c r="J3348" i="1"/>
  <c r="J3347" i="1"/>
  <c r="J3346" i="1"/>
  <c r="J3345" i="1"/>
  <c r="J3344" i="1"/>
  <c r="J3343" i="1"/>
  <c r="J3342" i="1"/>
  <c r="J3341" i="1"/>
  <c r="J3340" i="1"/>
  <c r="J3339" i="1"/>
  <c r="J3338" i="1"/>
  <c r="J3337" i="1"/>
  <c r="J3336" i="1"/>
  <c r="J3335" i="1"/>
  <c r="J3334" i="1"/>
  <c r="J3333" i="1"/>
  <c r="J3332" i="1"/>
  <c r="J3331" i="1"/>
  <c r="J3330" i="1"/>
  <c r="J3329" i="1"/>
  <c r="J3328" i="1"/>
  <c r="J3327" i="1"/>
  <c r="J3326" i="1"/>
  <c r="J3325" i="1"/>
  <c r="J3324" i="1"/>
  <c r="J3323" i="1"/>
  <c r="J3322" i="1"/>
  <c r="J3321" i="1"/>
  <c r="J3320" i="1"/>
  <c r="J3319" i="1"/>
  <c r="J3318" i="1"/>
  <c r="J3317" i="1"/>
  <c r="J3316" i="1"/>
  <c r="J3315" i="1"/>
  <c r="J3314" i="1"/>
  <c r="J3313" i="1"/>
  <c r="J3312" i="1"/>
  <c r="J3311" i="1"/>
  <c r="J3310" i="1"/>
  <c r="J3309" i="1"/>
  <c r="J3308" i="1"/>
  <c r="J3307" i="1"/>
  <c r="J3306" i="1"/>
  <c r="J3305" i="1"/>
  <c r="J3304" i="1"/>
  <c r="J3303" i="1"/>
  <c r="J3302" i="1"/>
  <c r="J3301" i="1"/>
  <c r="J3300" i="1"/>
  <c r="J3299" i="1"/>
  <c r="J3298" i="1"/>
  <c r="J3297" i="1"/>
  <c r="J3296" i="1"/>
  <c r="J3295" i="1"/>
  <c r="J3294" i="1"/>
  <c r="J3293" i="1"/>
  <c r="J3292" i="1"/>
  <c r="J3291" i="1"/>
  <c r="J3290" i="1"/>
  <c r="J3289" i="1"/>
  <c r="J3288" i="1"/>
  <c r="J3287" i="1"/>
  <c r="J3286" i="1"/>
  <c r="J3285" i="1"/>
  <c r="J3284" i="1"/>
  <c r="J3283" i="1"/>
  <c r="J3282" i="1"/>
  <c r="J3281" i="1"/>
  <c r="J3280" i="1"/>
  <c r="J3279" i="1"/>
  <c r="J3278" i="1"/>
  <c r="J3277" i="1"/>
  <c r="J3276" i="1"/>
  <c r="J3275" i="1"/>
  <c r="J3274" i="1"/>
  <c r="J3273" i="1"/>
  <c r="J3272" i="1"/>
  <c r="J3271" i="1"/>
  <c r="J3270" i="1"/>
  <c r="J3269" i="1"/>
  <c r="J3268" i="1"/>
  <c r="J3267" i="1"/>
  <c r="J3266" i="1"/>
  <c r="J3265" i="1"/>
  <c r="J3264" i="1"/>
  <c r="J3263" i="1"/>
  <c r="J3262" i="1"/>
  <c r="J3261" i="1"/>
  <c r="J3260" i="1"/>
  <c r="J3259" i="1"/>
  <c r="J3258" i="1"/>
  <c r="J3257" i="1"/>
  <c r="J3256" i="1"/>
  <c r="J3255" i="1"/>
  <c r="J3254" i="1"/>
  <c r="J3253" i="1"/>
  <c r="J3252" i="1"/>
  <c r="J3251" i="1"/>
  <c r="J3250" i="1"/>
  <c r="J3249" i="1"/>
  <c r="J3248" i="1"/>
  <c r="J3247" i="1"/>
  <c r="J3246" i="1"/>
  <c r="J3245" i="1"/>
  <c r="J3244" i="1"/>
  <c r="J3243" i="1"/>
  <c r="J3242" i="1"/>
  <c r="J3241" i="1"/>
  <c r="J3240" i="1"/>
  <c r="J3239" i="1"/>
  <c r="J3238" i="1"/>
  <c r="J3237" i="1"/>
  <c r="J3236" i="1"/>
  <c r="J3235" i="1"/>
  <c r="J3234" i="1"/>
  <c r="J3233" i="1"/>
  <c r="J3232" i="1"/>
  <c r="J3231" i="1"/>
  <c r="J3230" i="1"/>
  <c r="J3229" i="1"/>
  <c r="J3228" i="1"/>
  <c r="J3227" i="1"/>
  <c r="J3226" i="1"/>
  <c r="J3225" i="1"/>
  <c r="J3224" i="1"/>
  <c r="J3223" i="1"/>
  <c r="J3222" i="1"/>
  <c r="J3221" i="1"/>
  <c r="J3220" i="1"/>
  <c r="J3219" i="1"/>
  <c r="J3218" i="1"/>
  <c r="J3217" i="1"/>
  <c r="J3216" i="1"/>
  <c r="J3215" i="1"/>
  <c r="J3214" i="1"/>
  <c r="J3213" i="1"/>
  <c r="J3212" i="1"/>
  <c r="J3211" i="1"/>
  <c r="J3210" i="1"/>
  <c r="J3209" i="1"/>
  <c r="J3208" i="1"/>
  <c r="J3207" i="1"/>
  <c r="J3206" i="1"/>
  <c r="J3205" i="1"/>
  <c r="J3204" i="1"/>
  <c r="J3203" i="1"/>
  <c r="J3202" i="1"/>
  <c r="J3201" i="1"/>
  <c r="J3200" i="1"/>
  <c r="J3199" i="1"/>
  <c r="J3198" i="1"/>
  <c r="J3197" i="1"/>
  <c r="J3196" i="1"/>
  <c r="J3195" i="1"/>
  <c r="J3194" i="1"/>
  <c r="J3193" i="1"/>
  <c r="J3192" i="1"/>
  <c r="J3191" i="1"/>
  <c r="J3190" i="1"/>
  <c r="J3189" i="1"/>
  <c r="J3188" i="1"/>
  <c r="J3187" i="1"/>
  <c r="J3186" i="1"/>
  <c r="J3185" i="1"/>
  <c r="J3184" i="1"/>
  <c r="J3183" i="1"/>
  <c r="J3182" i="1"/>
  <c r="J3181" i="1"/>
  <c r="J3180" i="1"/>
  <c r="J3179" i="1"/>
  <c r="J3178" i="1"/>
  <c r="J3177" i="1"/>
  <c r="J3176" i="1"/>
  <c r="J3175" i="1"/>
  <c r="J3174" i="1"/>
  <c r="J3173" i="1"/>
  <c r="J3172" i="1"/>
  <c r="J3171" i="1"/>
  <c r="J3170" i="1"/>
  <c r="J3169" i="1"/>
  <c r="J3168" i="1"/>
  <c r="J3167" i="1"/>
  <c r="J3166" i="1"/>
  <c r="J3165" i="1"/>
  <c r="J3164" i="1"/>
  <c r="J3163" i="1"/>
  <c r="J3162" i="1"/>
  <c r="J3161" i="1"/>
  <c r="J3160" i="1"/>
  <c r="J3159" i="1"/>
  <c r="J3158" i="1"/>
  <c r="J3157" i="1"/>
  <c r="J3156" i="1"/>
  <c r="J3155" i="1"/>
  <c r="J3154" i="1"/>
  <c r="J3153" i="1"/>
  <c r="J3152" i="1"/>
  <c r="J3151" i="1"/>
  <c r="J3150" i="1"/>
  <c r="J3149" i="1"/>
  <c r="J3148" i="1"/>
  <c r="J3147" i="1"/>
  <c r="J3146" i="1"/>
  <c r="J3145" i="1"/>
  <c r="J3144" i="1"/>
  <c r="J3143" i="1"/>
  <c r="J3142" i="1"/>
  <c r="J3141" i="1"/>
  <c r="J3140" i="1"/>
  <c r="J3139" i="1"/>
  <c r="J3138" i="1"/>
  <c r="J3137" i="1"/>
  <c r="J3136" i="1"/>
  <c r="J3135" i="1"/>
  <c r="J3134" i="1"/>
  <c r="J3133" i="1"/>
  <c r="J3132" i="1"/>
  <c r="J3131" i="1"/>
  <c r="J3130" i="1"/>
  <c r="J3129" i="1"/>
  <c r="J3128" i="1"/>
  <c r="J3127" i="1"/>
  <c r="J3126" i="1"/>
  <c r="J3125" i="1"/>
  <c r="J3124" i="1"/>
  <c r="J3123" i="1"/>
  <c r="J3122" i="1"/>
  <c r="J3121" i="1"/>
  <c r="J3120" i="1"/>
  <c r="J3119" i="1"/>
  <c r="J3118" i="1"/>
  <c r="J3117" i="1"/>
  <c r="J3116" i="1"/>
  <c r="J3115" i="1"/>
  <c r="J3114" i="1"/>
  <c r="J3113" i="1"/>
  <c r="J3112" i="1"/>
  <c r="J3111" i="1"/>
  <c r="J3110" i="1"/>
  <c r="J3109" i="1"/>
  <c r="J3108" i="1"/>
  <c r="J3107" i="1"/>
  <c r="J3106" i="1"/>
  <c r="J3105" i="1"/>
  <c r="J3104" i="1"/>
  <c r="J3103" i="1"/>
  <c r="J3102" i="1"/>
  <c r="J3101" i="1"/>
  <c r="J3100" i="1"/>
  <c r="J3099" i="1"/>
  <c r="J3098" i="1"/>
  <c r="J3097" i="1"/>
  <c r="J3096" i="1"/>
  <c r="J3095" i="1"/>
  <c r="J3094" i="1"/>
  <c r="J3093" i="1"/>
  <c r="J3092" i="1"/>
  <c r="J3091" i="1"/>
  <c r="J3090" i="1"/>
  <c r="J3089" i="1"/>
  <c r="J3088" i="1"/>
  <c r="J3087" i="1"/>
  <c r="J3086" i="1"/>
  <c r="J3085" i="1"/>
  <c r="J3084" i="1"/>
  <c r="J3083" i="1"/>
  <c r="J3082" i="1"/>
  <c r="J3081" i="1"/>
  <c r="J3080" i="1"/>
  <c r="J3079" i="1"/>
  <c r="J3078" i="1"/>
  <c r="J3077" i="1"/>
  <c r="J3076" i="1"/>
  <c r="J3075" i="1"/>
  <c r="J3074" i="1"/>
  <c r="J3073" i="1"/>
  <c r="J3072" i="1"/>
  <c r="J3071" i="1"/>
  <c r="J3070" i="1"/>
  <c r="J3069" i="1"/>
  <c r="J3068" i="1"/>
  <c r="J3067" i="1"/>
  <c r="J3066" i="1"/>
  <c r="J3065" i="1"/>
  <c r="J3064" i="1"/>
  <c r="J3063" i="1"/>
  <c r="J3062" i="1"/>
  <c r="J3061" i="1"/>
  <c r="J3060" i="1"/>
  <c r="J3059" i="1"/>
  <c r="J3058" i="1"/>
  <c r="J3057" i="1"/>
  <c r="J3056" i="1"/>
  <c r="J3055" i="1"/>
  <c r="J3054" i="1"/>
  <c r="J3053" i="1"/>
  <c r="J3052" i="1"/>
  <c r="J3051" i="1"/>
  <c r="J3050" i="1"/>
  <c r="J3049" i="1"/>
  <c r="J3048" i="1"/>
  <c r="J3047" i="1"/>
  <c r="J3046" i="1"/>
  <c r="J3045" i="1"/>
  <c r="J3044" i="1"/>
  <c r="J3043" i="1"/>
  <c r="J3042" i="1"/>
  <c r="J3041" i="1"/>
  <c r="J3040" i="1"/>
  <c r="J3039" i="1"/>
  <c r="J3038" i="1"/>
  <c r="J3037" i="1"/>
  <c r="J3036" i="1"/>
  <c r="J3035" i="1"/>
  <c r="J3034" i="1"/>
  <c r="J3033" i="1"/>
  <c r="J3032" i="1"/>
  <c r="J3031" i="1"/>
  <c r="J3030" i="1"/>
  <c r="J3029" i="1"/>
  <c r="J3028" i="1"/>
  <c r="J3027" i="1"/>
  <c r="J3026" i="1"/>
  <c r="J3025" i="1"/>
  <c r="J3024" i="1"/>
  <c r="J3023" i="1"/>
  <c r="J3022" i="1"/>
  <c r="J3021" i="1"/>
  <c r="J3020" i="1"/>
  <c r="J3019" i="1"/>
  <c r="J3018" i="1"/>
  <c r="J3017" i="1"/>
  <c r="J3016" i="1"/>
  <c r="J3015" i="1"/>
  <c r="J3014" i="1"/>
  <c r="J3013" i="1"/>
  <c r="J3012" i="1"/>
  <c r="J3011" i="1"/>
  <c r="J3010" i="1"/>
  <c r="J3009" i="1"/>
  <c r="J3008" i="1"/>
  <c r="J3007" i="1"/>
  <c r="J3006" i="1"/>
  <c r="J3005" i="1"/>
  <c r="J3004" i="1"/>
  <c r="J3003" i="1"/>
  <c r="J3002" i="1"/>
  <c r="J3001" i="1"/>
  <c r="J3000" i="1"/>
  <c r="J2999" i="1"/>
  <c r="J2998" i="1"/>
  <c r="J2997" i="1"/>
  <c r="J2996" i="1"/>
  <c r="J2995" i="1"/>
  <c r="J2994" i="1"/>
  <c r="J2993" i="1"/>
  <c r="J2992" i="1"/>
  <c r="J2991" i="1"/>
  <c r="J2990" i="1"/>
  <c r="J2989" i="1"/>
  <c r="J2988" i="1"/>
  <c r="J2987" i="1"/>
  <c r="J2986" i="1"/>
  <c r="J2985" i="1"/>
  <c r="J2984" i="1"/>
  <c r="J2983" i="1"/>
  <c r="J2982" i="1"/>
  <c r="J2981" i="1"/>
  <c r="J2980" i="1"/>
  <c r="J2979" i="1"/>
  <c r="J2978" i="1"/>
  <c r="J2977" i="1"/>
  <c r="J2976" i="1"/>
  <c r="J2975" i="1"/>
  <c r="J2974" i="1"/>
  <c r="J2973" i="1"/>
  <c r="J2972" i="1"/>
  <c r="J2971" i="1"/>
  <c r="J2970" i="1"/>
  <c r="J2969" i="1"/>
  <c r="J2968" i="1"/>
  <c r="J2967" i="1"/>
  <c r="J2966" i="1"/>
  <c r="J2965" i="1"/>
  <c r="J2964" i="1"/>
  <c r="J2963" i="1"/>
  <c r="J2962" i="1"/>
  <c r="J2961" i="1"/>
  <c r="J2960" i="1"/>
  <c r="J2959" i="1"/>
  <c r="J2958" i="1"/>
  <c r="J2957" i="1"/>
  <c r="J2956" i="1"/>
  <c r="J2955" i="1"/>
  <c r="J2954" i="1"/>
  <c r="J2953" i="1"/>
  <c r="J2952" i="1"/>
  <c r="J2951" i="1"/>
  <c r="J2950" i="1"/>
  <c r="J2949" i="1"/>
  <c r="J2948" i="1"/>
  <c r="J2947" i="1"/>
  <c r="J2946" i="1"/>
  <c r="J2945" i="1"/>
  <c r="J2944" i="1"/>
  <c r="J2943" i="1"/>
  <c r="J2942" i="1"/>
  <c r="J2941" i="1"/>
  <c r="J2940" i="1"/>
  <c r="J2939" i="1"/>
  <c r="J2938" i="1"/>
  <c r="J2937" i="1"/>
  <c r="J2936" i="1"/>
  <c r="J2935" i="1"/>
  <c r="J2934" i="1"/>
  <c r="J2933" i="1"/>
  <c r="J2932" i="1"/>
  <c r="J2931" i="1"/>
  <c r="J2930" i="1"/>
  <c r="J2929" i="1"/>
  <c r="J2928" i="1"/>
  <c r="J2927" i="1"/>
  <c r="J2926" i="1"/>
  <c r="J2925" i="1"/>
  <c r="J2924" i="1"/>
  <c r="J2923" i="1"/>
  <c r="J2922" i="1"/>
  <c r="J2921" i="1"/>
  <c r="J2920" i="1"/>
  <c r="J2919" i="1"/>
  <c r="J2918" i="1"/>
  <c r="J2917" i="1"/>
  <c r="J2916" i="1"/>
  <c r="J2915" i="1"/>
  <c r="J2914" i="1"/>
  <c r="J2913" i="1"/>
  <c r="J2912" i="1"/>
  <c r="J2911" i="1"/>
  <c r="J2910" i="1"/>
  <c r="J2909" i="1"/>
  <c r="J2908" i="1"/>
  <c r="J2907" i="1"/>
  <c r="J2906" i="1"/>
  <c r="J2905" i="1"/>
  <c r="J2904" i="1"/>
  <c r="J2903" i="1"/>
  <c r="J2902" i="1"/>
  <c r="J2901" i="1"/>
  <c r="J2900" i="1"/>
  <c r="J2899" i="1"/>
  <c r="J2898" i="1"/>
  <c r="J2897" i="1"/>
  <c r="J2896" i="1"/>
  <c r="J2895" i="1"/>
  <c r="J2894" i="1"/>
  <c r="J2893" i="1"/>
  <c r="J2892" i="1"/>
  <c r="J2891" i="1"/>
  <c r="J2890" i="1"/>
  <c r="J2889" i="1"/>
  <c r="J2888" i="1"/>
  <c r="J2887" i="1"/>
  <c r="J2886" i="1"/>
  <c r="J2885" i="1"/>
  <c r="J2884" i="1"/>
  <c r="J2883" i="1"/>
  <c r="J2882" i="1"/>
  <c r="J2881" i="1"/>
  <c r="J2880" i="1"/>
  <c r="J2879" i="1"/>
  <c r="J2878" i="1"/>
  <c r="J2877" i="1"/>
  <c r="J2876" i="1"/>
  <c r="J2875" i="1"/>
  <c r="J2874" i="1"/>
  <c r="J2873" i="1"/>
  <c r="J2872" i="1"/>
  <c r="J2871" i="1"/>
  <c r="J2870" i="1"/>
  <c r="J2869" i="1"/>
  <c r="J2868" i="1"/>
  <c r="J2867" i="1"/>
  <c r="J2866" i="1"/>
  <c r="J2865" i="1"/>
  <c r="J2864" i="1"/>
  <c r="J2863" i="1"/>
  <c r="J2862" i="1"/>
  <c r="J2861" i="1"/>
  <c r="J2860" i="1"/>
  <c r="J2859" i="1"/>
  <c r="J2858" i="1"/>
  <c r="J2857" i="1"/>
  <c r="J2856" i="1"/>
  <c r="J2855" i="1"/>
  <c r="J2854" i="1"/>
  <c r="J2853" i="1"/>
  <c r="J2852" i="1"/>
  <c r="J2851" i="1"/>
  <c r="J2850" i="1"/>
  <c r="J2849" i="1"/>
  <c r="J2848" i="1"/>
  <c r="J2847" i="1"/>
  <c r="J2846" i="1"/>
  <c r="J2845" i="1"/>
  <c r="J2844" i="1"/>
  <c r="J2843" i="1"/>
  <c r="J2842" i="1"/>
  <c r="J2841" i="1"/>
  <c r="J2840" i="1"/>
  <c r="J2839" i="1"/>
  <c r="J2838" i="1"/>
  <c r="J2837" i="1"/>
  <c r="J2836" i="1"/>
  <c r="J2835" i="1"/>
  <c r="J2834" i="1"/>
  <c r="J2833" i="1"/>
  <c r="J2832" i="1"/>
  <c r="J2831" i="1"/>
  <c r="J2830" i="1"/>
  <c r="J2829" i="1"/>
  <c r="J2828" i="1"/>
  <c r="J2827" i="1"/>
  <c r="J2826" i="1"/>
  <c r="J2825" i="1"/>
  <c r="J2824" i="1"/>
  <c r="J2823" i="1"/>
  <c r="J2822" i="1"/>
  <c r="J2821" i="1"/>
  <c r="J2820" i="1"/>
  <c r="J2819" i="1"/>
  <c r="J2818" i="1"/>
  <c r="J2817" i="1"/>
  <c r="J2816" i="1"/>
  <c r="J2815" i="1"/>
  <c r="J2814" i="1"/>
  <c r="J2813" i="1"/>
  <c r="J2812" i="1"/>
  <c r="J2811" i="1"/>
  <c r="J2810" i="1"/>
  <c r="J2809" i="1"/>
  <c r="J2808" i="1"/>
  <c r="J2807" i="1"/>
  <c r="J2806" i="1"/>
  <c r="J2805" i="1"/>
  <c r="J2804" i="1"/>
  <c r="J2803" i="1"/>
  <c r="J2802" i="1"/>
  <c r="J2801" i="1"/>
  <c r="J2800" i="1"/>
  <c r="J2799" i="1"/>
  <c r="J2798" i="1"/>
  <c r="J2797" i="1"/>
  <c r="J2796" i="1"/>
  <c r="J2795" i="1"/>
  <c r="J2794" i="1"/>
  <c r="J2793" i="1"/>
  <c r="J2792" i="1"/>
  <c r="J2791" i="1"/>
  <c r="J2790" i="1"/>
  <c r="J2789" i="1"/>
  <c r="J2788" i="1"/>
  <c r="J2787" i="1"/>
  <c r="J2786" i="1"/>
  <c r="J2785" i="1"/>
  <c r="J2784" i="1"/>
  <c r="J2783" i="1"/>
  <c r="J2782" i="1"/>
  <c r="J2781" i="1"/>
  <c r="J2780" i="1"/>
  <c r="J2779" i="1"/>
  <c r="J2778" i="1"/>
  <c r="J2777" i="1"/>
  <c r="J2776" i="1"/>
  <c r="J2775" i="1"/>
  <c r="J2774" i="1"/>
  <c r="J2773" i="1"/>
  <c r="J2772" i="1"/>
  <c r="J2771" i="1"/>
  <c r="J2770" i="1"/>
  <c r="J2769" i="1"/>
  <c r="J2768" i="1"/>
  <c r="J2767" i="1"/>
  <c r="J2766" i="1"/>
  <c r="J2765" i="1"/>
  <c r="J2764" i="1"/>
  <c r="J2763" i="1"/>
  <c r="J2762" i="1"/>
  <c r="J2761" i="1"/>
  <c r="J2760" i="1"/>
  <c r="J2759" i="1"/>
  <c r="J2758" i="1"/>
  <c r="J2757" i="1"/>
  <c r="J2756" i="1"/>
  <c r="J2755" i="1"/>
  <c r="J2754" i="1"/>
  <c r="J2753" i="1"/>
  <c r="J2752" i="1"/>
  <c r="J2751" i="1"/>
  <c r="J2750" i="1"/>
  <c r="J2749" i="1"/>
  <c r="J2748" i="1"/>
  <c r="J2747" i="1"/>
  <c r="J2746" i="1"/>
  <c r="J2745" i="1"/>
  <c r="J2744" i="1"/>
  <c r="J2743" i="1"/>
  <c r="J2742" i="1"/>
  <c r="J2741" i="1"/>
  <c r="J2740" i="1"/>
  <c r="J2739" i="1"/>
  <c r="J2738" i="1"/>
  <c r="J2737" i="1"/>
  <c r="J2736" i="1"/>
  <c r="J2735" i="1"/>
  <c r="J2734" i="1"/>
  <c r="J2733" i="1"/>
  <c r="J2732" i="1"/>
  <c r="J2731" i="1"/>
  <c r="J2730" i="1"/>
  <c r="J2729" i="1"/>
  <c r="J2728" i="1"/>
  <c r="J2727" i="1"/>
  <c r="J2726" i="1"/>
  <c r="J2725" i="1"/>
  <c r="J2724" i="1"/>
  <c r="J2723" i="1"/>
  <c r="J2722" i="1"/>
  <c r="J2721" i="1"/>
  <c r="J2720" i="1"/>
  <c r="J2719" i="1"/>
  <c r="J2718" i="1"/>
  <c r="J2717" i="1"/>
  <c r="J2716" i="1"/>
  <c r="J2715" i="1"/>
  <c r="J2714" i="1"/>
  <c r="J2713" i="1"/>
  <c r="J2712" i="1"/>
  <c r="J2711" i="1"/>
  <c r="J2710" i="1"/>
  <c r="J2709" i="1"/>
  <c r="J2708" i="1"/>
  <c r="J2707" i="1"/>
  <c r="J2706" i="1"/>
  <c r="J2705" i="1"/>
  <c r="J2704" i="1"/>
  <c r="J2703" i="1"/>
  <c r="J2702" i="1"/>
  <c r="J2701" i="1"/>
  <c r="J2700" i="1"/>
  <c r="J2699" i="1"/>
  <c r="J2698" i="1"/>
  <c r="J2697" i="1"/>
  <c r="J2696" i="1"/>
  <c r="J2695" i="1"/>
  <c r="J2694" i="1"/>
  <c r="J2693" i="1"/>
  <c r="J2692" i="1"/>
  <c r="J2691" i="1"/>
  <c r="J2690" i="1"/>
  <c r="J2689" i="1"/>
  <c r="J2688" i="1"/>
  <c r="J2687" i="1"/>
  <c r="J2686" i="1"/>
  <c r="J2685" i="1"/>
  <c r="J2684" i="1"/>
  <c r="J2683" i="1"/>
  <c r="J2682" i="1"/>
  <c r="J2681" i="1"/>
  <c r="J2680" i="1"/>
  <c r="J2679" i="1"/>
  <c r="J2678" i="1"/>
  <c r="J2677" i="1"/>
  <c r="J2676" i="1"/>
  <c r="J2675" i="1"/>
  <c r="J2674" i="1"/>
  <c r="J2673" i="1"/>
  <c r="J2672" i="1"/>
  <c r="J2671" i="1"/>
  <c r="J2670" i="1"/>
  <c r="J2669" i="1"/>
  <c r="J2668" i="1"/>
  <c r="J2667" i="1"/>
  <c r="J2666" i="1"/>
  <c r="J2665" i="1"/>
  <c r="J2664" i="1"/>
  <c r="J2663" i="1"/>
  <c r="J2662" i="1"/>
  <c r="J2661" i="1"/>
  <c r="J2660" i="1"/>
  <c r="J2659" i="1"/>
  <c r="J2658" i="1"/>
  <c r="J2657" i="1"/>
  <c r="J2656" i="1"/>
  <c r="J2655" i="1"/>
  <c r="J2654" i="1"/>
  <c r="J2653" i="1"/>
  <c r="J2652" i="1"/>
  <c r="J2651" i="1"/>
  <c r="J2650" i="1"/>
  <c r="J2649" i="1"/>
  <c r="J2648" i="1"/>
  <c r="J2647" i="1"/>
  <c r="J2646" i="1"/>
  <c r="J2645" i="1"/>
  <c r="J2644" i="1"/>
  <c r="J2643" i="1"/>
  <c r="J2642" i="1"/>
  <c r="J2641" i="1"/>
  <c r="J2640" i="1"/>
  <c r="J2639" i="1"/>
  <c r="J2638" i="1"/>
  <c r="J2637" i="1"/>
  <c r="J2636" i="1"/>
  <c r="J2635" i="1"/>
  <c r="J2634" i="1"/>
  <c r="J2633" i="1"/>
  <c r="J2632" i="1"/>
  <c r="J2631" i="1"/>
  <c r="J2630" i="1"/>
  <c r="J2629" i="1"/>
  <c r="J2628" i="1"/>
  <c r="J2627" i="1"/>
  <c r="J2626" i="1"/>
  <c r="J2625" i="1"/>
  <c r="J2624" i="1"/>
  <c r="J2623" i="1"/>
  <c r="J2622" i="1"/>
  <c r="J2621" i="1"/>
  <c r="J2620" i="1"/>
  <c r="J2619" i="1"/>
  <c r="J2618" i="1"/>
  <c r="J2617" i="1"/>
  <c r="J2616" i="1"/>
  <c r="J2615" i="1"/>
  <c r="J2614" i="1"/>
  <c r="J2613" i="1"/>
  <c r="J2612" i="1"/>
  <c r="J2611" i="1"/>
  <c r="J2610" i="1"/>
  <c r="J2609" i="1"/>
  <c r="J2608" i="1"/>
  <c r="J2607" i="1"/>
  <c r="J2606" i="1"/>
  <c r="J2605" i="1"/>
  <c r="J2604" i="1"/>
  <c r="J2603" i="1"/>
  <c r="J2602" i="1"/>
  <c r="J2601" i="1"/>
  <c r="J2600" i="1"/>
  <c r="J2599" i="1"/>
  <c r="J2598" i="1"/>
  <c r="J2597" i="1"/>
  <c r="J2596" i="1"/>
  <c r="J2595" i="1"/>
  <c r="J2594" i="1"/>
  <c r="J2593" i="1"/>
  <c r="J2592" i="1"/>
  <c r="J2591" i="1"/>
  <c r="J2590" i="1"/>
  <c r="J2589" i="1"/>
  <c r="J2588" i="1"/>
  <c r="J2587" i="1"/>
  <c r="J2586" i="1"/>
  <c r="J2585" i="1"/>
  <c r="J2584" i="1"/>
  <c r="J2583" i="1"/>
  <c r="J2582" i="1"/>
  <c r="J2581" i="1"/>
  <c r="J2580" i="1"/>
  <c r="J2579" i="1"/>
  <c r="J2578" i="1"/>
  <c r="J2577" i="1"/>
  <c r="J2576" i="1"/>
  <c r="J2575" i="1"/>
  <c r="J2574" i="1"/>
  <c r="J2573" i="1"/>
  <c r="J2572" i="1"/>
  <c r="J2571" i="1"/>
  <c r="J2570" i="1"/>
  <c r="J2569" i="1"/>
  <c r="J2568" i="1"/>
  <c r="J2567" i="1"/>
  <c r="J2566" i="1"/>
  <c r="J2565" i="1"/>
  <c r="J2564" i="1"/>
  <c r="J2563" i="1"/>
  <c r="J2562" i="1"/>
  <c r="J2561" i="1"/>
  <c r="J2560" i="1"/>
  <c r="J2559" i="1"/>
  <c r="J2558" i="1"/>
  <c r="J2557" i="1"/>
  <c r="J2556" i="1"/>
  <c r="J2555" i="1"/>
  <c r="J2554" i="1"/>
  <c r="J2553" i="1"/>
  <c r="J2552" i="1"/>
  <c r="J2551" i="1"/>
  <c r="J2550" i="1"/>
  <c r="J2549" i="1"/>
  <c r="J2548" i="1"/>
  <c r="J2547" i="1"/>
  <c r="J2546" i="1"/>
  <c r="J2545" i="1"/>
  <c r="J2544" i="1"/>
  <c r="J2543" i="1"/>
  <c r="J2542" i="1"/>
  <c r="J2541" i="1"/>
  <c r="J2540" i="1"/>
  <c r="J2539" i="1"/>
  <c r="J2538" i="1"/>
  <c r="J2537" i="1"/>
  <c r="J2536" i="1"/>
  <c r="J2535" i="1"/>
  <c r="J2534" i="1"/>
  <c r="J2533" i="1"/>
  <c r="J2532" i="1"/>
  <c r="J2531" i="1"/>
  <c r="J2530" i="1"/>
  <c r="J2529" i="1"/>
  <c r="J2528" i="1"/>
  <c r="J2527" i="1"/>
  <c r="J2526" i="1"/>
  <c r="J2525" i="1"/>
  <c r="J2524" i="1"/>
  <c r="J2523" i="1"/>
  <c r="J2522" i="1"/>
  <c r="J2521" i="1"/>
  <c r="J2520" i="1"/>
  <c r="J2519" i="1"/>
  <c r="J2518" i="1"/>
  <c r="J2517" i="1"/>
  <c r="J2516" i="1"/>
  <c r="J2515" i="1"/>
  <c r="J2514" i="1"/>
  <c r="J2513" i="1"/>
  <c r="J2512" i="1"/>
  <c r="J2511" i="1"/>
  <c r="J2510" i="1"/>
  <c r="J2509" i="1"/>
  <c r="J2508" i="1"/>
  <c r="J2507" i="1"/>
  <c r="J2506" i="1"/>
  <c r="J2505" i="1"/>
  <c r="J2504" i="1"/>
  <c r="J2503" i="1"/>
  <c r="J2502" i="1"/>
  <c r="J2501" i="1"/>
  <c r="J2500" i="1"/>
  <c r="J2499" i="1"/>
  <c r="J2498" i="1"/>
  <c r="J2497" i="1"/>
  <c r="J2496" i="1"/>
  <c r="J2495" i="1"/>
  <c r="J2494" i="1"/>
  <c r="J2493" i="1"/>
  <c r="J2492" i="1"/>
  <c r="J2491" i="1"/>
  <c r="J2490" i="1"/>
  <c r="J2489" i="1"/>
  <c r="J2488" i="1"/>
  <c r="J2487" i="1"/>
  <c r="J2486" i="1"/>
  <c r="J2485" i="1"/>
  <c r="J2484" i="1"/>
  <c r="J2483" i="1"/>
  <c r="J2482" i="1"/>
  <c r="J2481" i="1"/>
  <c r="J2480" i="1"/>
  <c r="J2479" i="1"/>
  <c r="J2478" i="1"/>
  <c r="J2477" i="1"/>
  <c r="J2476" i="1"/>
  <c r="J2475" i="1"/>
  <c r="J2474" i="1"/>
  <c r="J2473" i="1"/>
  <c r="J2472" i="1"/>
  <c r="J2471" i="1"/>
  <c r="J2470" i="1"/>
  <c r="J2469" i="1"/>
  <c r="J2468" i="1"/>
  <c r="J2467" i="1"/>
  <c r="J2466" i="1"/>
  <c r="J2465" i="1"/>
  <c r="J2464" i="1"/>
  <c r="J2463" i="1"/>
  <c r="J2462" i="1"/>
  <c r="J2461" i="1"/>
  <c r="J2460" i="1"/>
  <c r="J2459" i="1"/>
  <c r="J2458" i="1"/>
  <c r="J2457" i="1"/>
  <c r="J2456" i="1"/>
  <c r="J2455" i="1"/>
  <c r="J2454" i="1"/>
  <c r="J2453" i="1"/>
  <c r="J2452" i="1"/>
  <c r="J2451" i="1"/>
  <c r="J2450" i="1"/>
  <c r="J2449" i="1"/>
  <c r="J2448" i="1"/>
  <c r="J2447" i="1"/>
  <c r="J2446" i="1"/>
  <c r="J2445" i="1"/>
  <c r="J2444" i="1"/>
  <c r="J2443" i="1"/>
  <c r="J2442" i="1"/>
  <c r="J2441" i="1"/>
  <c r="J2440" i="1"/>
  <c r="J2439" i="1"/>
  <c r="J2438" i="1"/>
  <c r="J2437" i="1"/>
  <c r="J2436" i="1"/>
  <c r="J2435" i="1"/>
  <c r="J2434" i="1"/>
  <c r="J2433" i="1"/>
  <c r="J2432" i="1"/>
  <c r="J2431" i="1"/>
  <c r="J2430" i="1"/>
  <c r="J2429" i="1"/>
  <c r="J2428" i="1"/>
  <c r="J2427" i="1"/>
  <c r="J2426" i="1"/>
  <c r="J2425" i="1"/>
  <c r="J2424" i="1"/>
  <c r="J2423" i="1"/>
  <c r="J2422" i="1"/>
  <c r="J2421" i="1"/>
  <c r="J2420" i="1"/>
  <c r="J2419" i="1"/>
  <c r="J2418" i="1"/>
  <c r="J2417" i="1"/>
  <c r="J2416" i="1"/>
  <c r="J2415" i="1"/>
  <c r="J2414" i="1"/>
  <c r="J2413" i="1"/>
  <c r="J2412" i="1"/>
  <c r="J2411" i="1"/>
  <c r="J2410" i="1"/>
  <c r="J2409" i="1"/>
  <c r="J2408" i="1"/>
  <c r="J2407" i="1"/>
  <c r="J2406" i="1"/>
  <c r="J2405" i="1"/>
  <c r="J2404" i="1"/>
  <c r="J2403" i="1"/>
  <c r="J2402" i="1"/>
  <c r="J2401" i="1"/>
  <c r="J2400" i="1"/>
  <c r="J2399" i="1"/>
  <c r="J2398" i="1"/>
  <c r="J2397" i="1"/>
  <c r="J2396" i="1"/>
  <c r="J2395" i="1"/>
  <c r="J2394" i="1"/>
  <c r="J2393" i="1"/>
  <c r="J2392" i="1"/>
  <c r="J2391" i="1"/>
  <c r="J2390" i="1"/>
  <c r="J2389" i="1"/>
  <c r="J2388" i="1"/>
  <c r="J2387" i="1"/>
  <c r="J2386" i="1"/>
  <c r="J2385" i="1"/>
  <c r="J2384" i="1"/>
  <c r="J2383" i="1"/>
  <c r="J2382" i="1"/>
  <c r="J2381" i="1"/>
  <c r="J2380" i="1"/>
  <c r="J2379" i="1"/>
  <c r="J2378" i="1"/>
  <c r="J2377" i="1"/>
  <c r="J2376" i="1"/>
  <c r="J2375" i="1"/>
  <c r="J2374" i="1"/>
  <c r="J2373" i="1"/>
  <c r="J2372" i="1"/>
  <c r="J2371" i="1"/>
  <c r="J2370" i="1"/>
  <c r="J2369" i="1"/>
  <c r="J2368" i="1"/>
  <c r="J2367" i="1"/>
  <c r="J2366" i="1"/>
  <c r="J2365" i="1"/>
  <c r="J2364" i="1"/>
  <c r="J2363" i="1"/>
  <c r="J2362" i="1"/>
  <c r="J2361" i="1"/>
  <c r="J2360" i="1"/>
  <c r="J2359" i="1"/>
  <c r="J2358" i="1"/>
  <c r="J2357" i="1"/>
  <c r="J2356" i="1"/>
  <c r="J2355" i="1"/>
  <c r="J2354" i="1"/>
  <c r="J2353" i="1"/>
  <c r="J2352" i="1"/>
  <c r="J2351" i="1"/>
  <c r="J2350" i="1"/>
  <c r="J2349" i="1"/>
  <c r="J2348" i="1"/>
  <c r="J2347" i="1"/>
  <c r="J2346" i="1"/>
  <c r="J2345" i="1"/>
  <c r="J2344" i="1"/>
  <c r="J2343" i="1"/>
  <c r="J2342" i="1"/>
  <c r="J2341" i="1"/>
  <c r="J2340" i="1"/>
  <c r="J2339" i="1"/>
  <c r="J2338" i="1"/>
  <c r="J2337" i="1"/>
  <c r="J2336" i="1"/>
  <c r="J2335" i="1"/>
  <c r="J2334" i="1"/>
  <c r="J2333" i="1"/>
  <c r="J2332" i="1"/>
  <c r="J2331" i="1"/>
  <c r="J2330" i="1"/>
  <c r="J2329" i="1"/>
  <c r="J2328" i="1"/>
  <c r="J2327" i="1"/>
  <c r="J2326" i="1"/>
  <c r="J2325" i="1"/>
  <c r="J2324" i="1"/>
  <c r="J2323" i="1"/>
  <c r="J2322" i="1"/>
  <c r="J2321" i="1"/>
  <c r="J2320" i="1"/>
  <c r="J2319" i="1"/>
  <c r="J2318" i="1"/>
  <c r="J2317" i="1"/>
  <c r="J2316" i="1"/>
  <c r="J2315" i="1"/>
  <c r="J2314" i="1"/>
  <c r="J2313" i="1"/>
  <c r="J2312" i="1"/>
  <c r="J2311" i="1"/>
  <c r="J2310" i="1"/>
  <c r="J2309" i="1"/>
  <c r="J2308" i="1"/>
  <c r="J2307" i="1"/>
  <c r="J2306" i="1"/>
  <c r="J2305" i="1"/>
  <c r="J2304" i="1"/>
  <c r="J2303" i="1"/>
  <c r="J2302" i="1"/>
  <c r="J2301" i="1"/>
  <c r="J2300" i="1"/>
  <c r="J2299" i="1"/>
  <c r="J2298" i="1"/>
  <c r="J2297" i="1"/>
  <c r="J2296" i="1"/>
  <c r="J2295" i="1"/>
  <c r="J2294" i="1"/>
  <c r="J2293" i="1"/>
  <c r="J2292" i="1"/>
  <c r="J2291" i="1"/>
  <c r="J2290" i="1"/>
  <c r="J2289" i="1"/>
  <c r="J2288" i="1"/>
  <c r="J2287" i="1"/>
  <c r="J2286" i="1"/>
  <c r="J2285" i="1"/>
  <c r="J2284" i="1"/>
  <c r="J2283" i="1"/>
  <c r="J2282" i="1"/>
  <c r="J2281" i="1"/>
  <c r="J2280" i="1"/>
  <c r="J2279" i="1"/>
  <c r="J2278" i="1"/>
  <c r="J2277" i="1"/>
  <c r="J2276" i="1"/>
  <c r="J2275" i="1"/>
  <c r="J2274" i="1"/>
  <c r="J2273" i="1"/>
  <c r="J2272" i="1"/>
  <c r="J2271" i="1"/>
  <c r="J2270" i="1"/>
  <c r="J2269" i="1"/>
  <c r="J2268" i="1"/>
  <c r="J2267" i="1"/>
  <c r="J2266" i="1"/>
  <c r="J2265" i="1"/>
  <c r="J2264" i="1"/>
  <c r="J2263" i="1"/>
  <c r="J2262" i="1"/>
  <c r="J2261" i="1"/>
  <c r="J2260" i="1"/>
  <c r="J2259" i="1"/>
  <c r="J2258" i="1"/>
  <c r="J2257" i="1"/>
  <c r="J2256" i="1"/>
  <c r="J2255" i="1"/>
  <c r="J2254" i="1"/>
  <c r="J2253" i="1"/>
  <c r="J2252" i="1"/>
  <c r="J2251" i="1"/>
  <c r="J2250" i="1"/>
  <c r="J2249" i="1"/>
  <c r="J2248" i="1"/>
  <c r="J2247" i="1"/>
  <c r="J2246" i="1"/>
  <c r="J2245" i="1"/>
  <c r="J2244" i="1"/>
  <c r="J2243" i="1"/>
  <c r="J2242" i="1"/>
  <c r="J2241" i="1"/>
  <c r="J2240" i="1"/>
  <c r="J2239" i="1"/>
  <c r="J2238" i="1"/>
  <c r="J2237" i="1"/>
  <c r="J2236" i="1"/>
  <c r="J2235" i="1"/>
  <c r="J2234" i="1"/>
  <c r="J2233" i="1"/>
  <c r="J2232" i="1"/>
  <c r="J2231" i="1"/>
  <c r="J2230" i="1"/>
  <c r="J2229" i="1"/>
  <c r="J2228" i="1"/>
  <c r="J2227" i="1"/>
  <c r="J2226" i="1"/>
  <c r="J2225" i="1"/>
  <c r="J2224" i="1"/>
  <c r="J2223" i="1"/>
  <c r="J2222" i="1"/>
  <c r="J2221" i="1"/>
  <c r="J2220" i="1"/>
  <c r="J2219" i="1"/>
  <c r="J2218" i="1"/>
  <c r="J2217" i="1"/>
  <c r="J2216" i="1"/>
  <c r="J2215" i="1"/>
  <c r="J2214" i="1"/>
  <c r="J2213" i="1"/>
  <c r="J2212" i="1"/>
  <c r="J2211" i="1"/>
  <c r="J2210" i="1"/>
  <c r="J2209" i="1"/>
  <c r="J2208" i="1"/>
  <c r="J2207" i="1"/>
  <c r="J2206" i="1"/>
  <c r="J2205" i="1"/>
  <c r="J2204" i="1"/>
  <c r="J2203" i="1"/>
  <c r="J2202" i="1"/>
  <c r="J2201" i="1"/>
  <c r="J2200" i="1"/>
  <c r="J2199" i="1"/>
  <c r="J2198" i="1"/>
  <c r="J2197" i="1"/>
  <c r="J2196" i="1"/>
  <c r="J2195" i="1"/>
  <c r="J2194" i="1"/>
  <c r="J2193" i="1"/>
  <c r="J2192" i="1"/>
  <c r="J2191" i="1"/>
  <c r="J2190" i="1"/>
  <c r="J2189" i="1"/>
  <c r="J2188" i="1"/>
  <c r="J2187" i="1"/>
  <c r="J2186" i="1"/>
  <c r="J2185" i="1"/>
  <c r="J2184" i="1"/>
  <c r="J2183" i="1"/>
  <c r="J2182" i="1"/>
  <c r="J2181" i="1"/>
  <c r="J2180" i="1"/>
  <c r="J2179" i="1"/>
  <c r="J2178" i="1"/>
  <c r="J2177" i="1"/>
  <c r="J2176" i="1"/>
  <c r="J2175" i="1"/>
  <c r="J2174" i="1"/>
  <c r="J2173" i="1"/>
  <c r="J2172" i="1"/>
  <c r="J2171" i="1"/>
  <c r="J2170" i="1"/>
  <c r="J2169" i="1"/>
  <c r="J2168" i="1"/>
  <c r="J2167" i="1"/>
  <c r="J2166" i="1"/>
  <c r="J2165" i="1"/>
  <c r="J2164" i="1"/>
  <c r="J2163" i="1"/>
  <c r="J2162" i="1"/>
  <c r="J2161" i="1"/>
  <c r="J2160" i="1"/>
  <c r="J2159" i="1"/>
  <c r="J2158" i="1"/>
  <c r="J2157" i="1"/>
  <c r="J2156" i="1"/>
  <c r="J2155" i="1"/>
  <c r="J2154" i="1"/>
  <c r="J2153" i="1"/>
  <c r="J2152" i="1"/>
  <c r="J2151" i="1"/>
  <c r="J2150" i="1"/>
  <c r="J2149" i="1"/>
  <c r="J2148" i="1"/>
  <c r="J2147" i="1"/>
  <c r="J2146" i="1"/>
  <c r="J2145" i="1"/>
  <c r="J2144" i="1"/>
  <c r="J2143" i="1"/>
  <c r="J2142" i="1"/>
  <c r="J2141" i="1"/>
  <c r="J2140" i="1"/>
  <c r="J2139" i="1"/>
  <c r="J2138" i="1"/>
  <c r="J2137" i="1"/>
  <c r="J2136" i="1"/>
  <c r="J2135" i="1"/>
  <c r="J2134" i="1"/>
  <c r="J2133" i="1"/>
  <c r="J2132" i="1"/>
  <c r="J2131" i="1"/>
  <c r="J2130" i="1"/>
  <c r="J2129" i="1"/>
  <c r="J2128" i="1"/>
  <c r="J2127" i="1"/>
  <c r="J2126" i="1"/>
  <c r="J2125" i="1"/>
  <c r="J2124" i="1"/>
  <c r="J2123" i="1"/>
  <c r="J2122" i="1"/>
  <c r="J2121" i="1"/>
  <c r="J2120" i="1"/>
  <c r="J2119" i="1"/>
  <c r="J2118" i="1"/>
  <c r="J2117" i="1"/>
  <c r="J2116" i="1"/>
  <c r="J2115" i="1"/>
  <c r="J2114" i="1"/>
  <c r="J2113" i="1"/>
  <c r="J2112" i="1"/>
  <c r="J2111" i="1"/>
  <c r="J2110" i="1"/>
  <c r="J2109" i="1"/>
  <c r="J2108" i="1"/>
  <c r="J2107" i="1"/>
  <c r="J2106" i="1"/>
  <c r="J2105" i="1"/>
  <c r="J2104" i="1"/>
  <c r="J2103" i="1"/>
  <c r="J2102" i="1"/>
  <c r="J2101" i="1"/>
  <c r="J2100" i="1"/>
  <c r="J2099" i="1"/>
  <c r="J2098" i="1"/>
  <c r="J2097" i="1"/>
  <c r="J2096" i="1"/>
  <c r="J2095" i="1"/>
  <c r="J2094" i="1"/>
  <c r="J2093" i="1"/>
  <c r="J2092" i="1"/>
  <c r="J2091" i="1"/>
  <c r="J2090" i="1"/>
  <c r="J2089" i="1"/>
  <c r="J2088" i="1"/>
  <c r="J2087" i="1"/>
  <c r="J2086" i="1"/>
  <c r="J2085" i="1"/>
  <c r="J2084" i="1"/>
  <c r="J2083" i="1"/>
  <c r="J2082" i="1"/>
  <c r="J2081" i="1"/>
  <c r="J2080" i="1"/>
  <c r="J2079" i="1"/>
  <c r="J2078" i="1"/>
  <c r="J2077" i="1"/>
  <c r="J2076" i="1"/>
  <c r="J2075" i="1"/>
  <c r="J2074" i="1"/>
  <c r="J2073" i="1"/>
  <c r="J2072" i="1"/>
  <c r="J2071" i="1"/>
  <c r="J2070" i="1"/>
  <c r="J2069" i="1"/>
  <c r="J2068" i="1"/>
  <c r="J2067" i="1"/>
  <c r="J2066" i="1"/>
  <c r="J2065" i="1"/>
  <c r="J2064" i="1"/>
  <c r="J2063" i="1"/>
  <c r="J2062" i="1"/>
  <c r="J2061" i="1"/>
  <c r="J2060" i="1"/>
  <c r="J2059" i="1"/>
  <c r="J2058" i="1"/>
  <c r="J2057" i="1"/>
  <c r="J2056" i="1"/>
  <c r="J2055" i="1"/>
  <c r="J2054" i="1"/>
  <c r="J2053" i="1"/>
  <c r="J2052" i="1"/>
  <c r="J2051" i="1"/>
  <c r="J2050" i="1"/>
  <c r="J2049" i="1"/>
  <c r="J2048" i="1"/>
  <c r="J2047" i="1"/>
  <c r="J2046" i="1"/>
  <c r="J2045" i="1"/>
  <c r="J2044" i="1"/>
  <c r="J2043" i="1"/>
  <c r="J2042" i="1"/>
  <c r="J2041" i="1"/>
  <c r="J2040" i="1"/>
  <c r="J2039" i="1"/>
  <c r="J2038" i="1"/>
  <c r="J2037" i="1"/>
  <c r="J2036" i="1"/>
  <c r="J2035" i="1"/>
  <c r="J2034" i="1"/>
  <c r="J2033" i="1"/>
  <c r="J2032" i="1"/>
  <c r="J2031" i="1"/>
  <c r="J2030" i="1"/>
  <c r="J2029" i="1"/>
  <c r="J2028" i="1"/>
  <c r="J2027" i="1"/>
  <c r="J2026" i="1"/>
  <c r="J2025" i="1"/>
  <c r="J2024" i="1"/>
  <c r="J2023" i="1"/>
  <c r="J2022" i="1"/>
  <c r="J2021" i="1"/>
  <c r="J2020" i="1"/>
  <c r="J2019" i="1"/>
  <c r="J2018" i="1"/>
  <c r="J2017" i="1"/>
  <c r="J2016" i="1"/>
  <c r="J2015" i="1"/>
  <c r="J2014" i="1"/>
  <c r="J2013" i="1"/>
  <c r="J2012" i="1"/>
  <c r="J2011" i="1"/>
  <c r="J2010" i="1"/>
  <c r="J2009" i="1"/>
  <c r="J2008" i="1"/>
  <c r="J2007" i="1"/>
  <c r="J2006" i="1"/>
  <c r="J2005" i="1"/>
  <c r="J2004" i="1"/>
  <c r="J2003" i="1"/>
  <c r="J2002" i="1"/>
  <c r="J2001" i="1"/>
  <c r="J2000" i="1"/>
  <c r="J1999" i="1"/>
  <c r="J1998" i="1"/>
  <c r="J1997" i="1"/>
  <c r="J1996" i="1"/>
  <c r="J1995" i="1"/>
  <c r="J1994" i="1"/>
  <c r="J1993" i="1"/>
  <c r="J1992" i="1"/>
  <c r="J1991" i="1"/>
  <c r="J1990" i="1"/>
  <c r="J1989" i="1"/>
  <c r="J1988" i="1"/>
  <c r="J1987" i="1"/>
  <c r="J1986" i="1"/>
  <c r="J1985" i="1"/>
  <c r="J1984" i="1"/>
  <c r="J1983" i="1"/>
  <c r="J1982" i="1"/>
  <c r="J1981" i="1"/>
  <c r="J1980" i="1"/>
  <c r="J1979" i="1"/>
  <c r="J1978" i="1"/>
  <c r="J1977" i="1"/>
  <c r="J1976" i="1"/>
  <c r="J1975" i="1"/>
  <c r="J1974" i="1"/>
  <c r="J1973" i="1"/>
  <c r="J1972" i="1"/>
  <c r="J1971" i="1"/>
  <c r="J1970" i="1"/>
  <c r="J1969" i="1"/>
  <c r="J1968" i="1"/>
  <c r="J1967" i="1"/>
  <c r="J1966" i="1"/>
  <c r="J1965" i="1"/>
  <c r="J1964" i="1"/>
  <c r="J1963" i="1"/>
  <c r="J1962" i="1"/>
  <c r="J1961" i="1"/>
  <c r="J1960" i="1"/>
  <c r="J1959" i="1"/>
  <c r="J1958" i="1"/>
  <c r="J1957" i="1"/>
  <c r="J1956" i="1"/>
  <c r="J1955" i="1"/>
  <c r="J1954" i="1"/>
  <c r="J1953" i="1"/>
  <c r="J1952" i="1"/>
  <c r="J1951" i="1"/>
  <c r="J1950" i="1"/>
  <c r="J1949" i="1"/>
  <c r="J1948" i="1"/>
  <c r="J1947" i="1"/>
  <c r="J1946" i="1"/>
  <c r="J1945" i="1"/>
  <c r="J1944" i="1"/>
  <c r="J1943" i="1"/>
  <c r="J1942" i="1"/>
  <c r="J1941" i="1"/>
  <c r="J1940" i="1"/>
  <c r="J1939" i="1"/>
  <c r="J1938" i="1"/>
  <c r="J1937" i="1"/>
  <c r="J1936" i="1"/>
  <c r="J1935" i="1"/>
  <c r="J1934" i="1"/>
  <c r="J1933" i="1"/>
  <c r="J1932" i="1"/>
  <c r="J1931" i="1"/>
  <c r="J1930" i="1"/>
  <c r="J1929" i="1"/>
  <c r="J1928" i="1"/>
  <c r="J1927" i="1"/>
  <c r="J1926" i="1"/>
  <c r="J1925" i="1"/>
  <c r="J1924" i="1"/>
  <c r="J1923" i="1"/>
  <c r="J1922" i="1"/>
  <c r="J1921" i="1"/>
  <c r="J1920" i="1"/>
  <c r="J1919" i="1"/>
  <c r="J1918" i="1"/>
  <c r="J1917" i="1"/>
  <c r="J1916" i="1"/>
  <c r="J1915" i="1"/>
  <c r="J1914" i="1"/>
  <c r="J1913" i="1"/>
  <c r="J1912" i="1"/>
  <c r="J1911" i="1"/>
  <c r="J1910" i="1"/>
  <c r="J1909" i="1"/>
  <c r="J1908" i="1"/>
  <c r="J1907" i="1"/>
  <c r="J1906" i="1"/>
  <c r="J1905" i="1"/>
  <c r="J1904" i="1"/>
  <c r="J1903" i="1"/>
  <c r="J1902" i="1"/>
  <c r="J1901" i="1"/>
  <c r="J1900" i="1"/>
  <c r="J1899" i="1"/>
  <c r="J1898" i="1"/>
  <c r="J1897" i="1"/>
  <c r="J1896" i="1"/>
  <c r="J1895" i="1"/>
  <c r="J1894" i="1"/>
  <c r="J1893" i="1"/>
  <c r="J1892" i="1"/>
  <c r="J1891" i="1"/>
  <c r="J1890" i="1"/>
  <c r="J1889" i="1"/>
  <c r="J1888" i="1"/>
  <c r="J1887" i="1"/>
  <c r="J1886" i="1"/>
  <c r="J1885" i="1"/>
  <c r="J1884" i="1"/>
  <c r="J1883" i="1"/>
  <c r="J1882" i="1"/>
  <c r="J1881" i="1"/>
  <c r="J1880" i="1"/>
  <c r="J1879" i="1"/>
  <c r="J1878" i="1"/>
  <c r="J1877" i="1"/>
  <c r="J1876" i="1"/>
  <c r="J1875" i="1"/>
  <c r="J1874" i="1"/>
  <c r="J1873" i="1"/>
  <c r="J1872" i="1"/>
  <c r="J1871" i="1"/>
  <c r="J1870" i="1"/>
  <c r="J1869" i="1"/>
  <c r="J1868" i="1"/>
  <c r="J1867" i="1"/>
  <c r="J1866" i="1"/>
  <c r="J1865" i="1"/>
  <c r="J1864" i="1"/>
  <c r="J1863" i="1"/>
  <c r="J1862" i="1"/>
  <c r="J1861" i="1"/>
  <c r="J1860" i="1"/>
  <c r="J1859" i="1"/>
  <c r="J1858" i="1"/>
  <c r="J1857" i="1"/>
  <c r="J1856" i="1"/>
  <c r="J1855" i="1"/>
  <c r="J1854" i="1"/>
  <c r="J1853" i="1"/>
  <c r="J1852" i="1"/>
  <c r="J1851" i="1"/>
  <c r="J1850" i="1"/>
  <c r="J1849" i="1"/>
  <c r="J1848" i="1"/>
  <c r="J1847" i="1"/>
  <c r="J1846" i="1"/>
  <c r="J1845" i="1"/>
  <c r="J1844" i="1"/>
  <c r="J1843" i="1"/>
  <c r="J1842" i="1"/>
  <c r="J1841" i="1"/>
  <c r="J1840" i="1"/>
  <c r="J1839" i="1"/>
  <c r="J1838" i="1"/>
  <c r="J1837" i="1"/>
  <c r="J1836" i="1"/>
  <c r="J1835" i="1"/>
  <c r="J1834" i="1"/>
  <c r="J1833" i="1"/>
  <c r="J1832" i="1"/>
  <c r="J1831" i="1"/>
  <c r="J1830" i="1"/>
  <c r="J1829" i="1"/>
  <c r="J1828" i="1"/>
  <c r="J1827" i="1"/>
  <c r="J1826" i="1"/>
  <c r="J1825" i="1"/>
  <c r="J1824" i="1"/>
  <c r="J1823" i="1"/>
  <c r="J1822" i="1"/>
  <c r="J1821" i="1"/>
  <c r="J1820" i="1"/>
  <c r="J1819" i="1"/>
  <c r="J1818" i="1"/>
  <c r="J1817" i="1"/>
  <c r="J1816" i="1"/>
  <c r="J1815" i="1"/>
  <c r="J1814" i="1"/>
  <c r="J1813" i="1"/>
  <c r="J1812" i="1"/>
  <c r="J1811" i="1"/>
  <c r="J1810" i="1"/>
  <c r="J1809" i="1"/>
  <c r="J1808" i="1"/>
  <c r="J1807" i="1"/>
  <c r="J1806" i="1"/>
  <c r="J1805" i="1"/>
  <c r="J1804" i="1"/>
  <c r="J1803" i="1"/>
  <c r="J1802" i="1"/>
  <c r="J1801" i="1"/>
  <c r="J1800" i="1"/>
  <c r="J1799" i="1"/>
  <c r="J1798" i="1"/>
  <c r="J1797" i="1"/>
  <c r="J1796" i="1"/>
  <c r="J1795" i="1"/>
  <c r="J1794" i="1"/>
  <c r="J1793" i="1"/>
  <c r="J1792" i="1"/>
  <c r="J1791" i="1"/>
  <c r="J1790" i="1"/>
  <c r="J1789" i="1"/>
  <c r="J1788" i="1"/>
  <c r="J1787" i="1"/>
  <c r="J1786" i="1"/>
  <c r="J1785" i="1"/>
  <c r="J1784" i="1"/>
  <c r="J1783" i="1"/>
  <c r="J1782" i="1"/>
  <c r="J1781" i="1"/>
  <c r="J1780" i="1"/>
  <c r="J1779" i="1"/>
  <c r="J1778" i="1"/>
  <c r="J1777" i="1"/>
  <c r="J1776" i="1"/>
  <c r="J1775" i="1"/>
  <c r="J1774" i="1"/>
  <c r="J1773" i="1"/>
  <c r="J1772" i="1"/>
  <c r="J1771" i="1"/>
  <c r="J1770" i="1"/>
  <c r="J1769" i="1"/>
  <c r="J1768" i="1"/>
  <c r="J1767" i="1"/>
  <c r="J1766" i="1"/>
  <c r="J1765" i="1"/>
  <c r="J1764" i="1"/>
  <c r="J1763" i="1"/>
  <c r="J1762" i="1"/>
  <c r="J1761" i="1"/>
  <c r="J1760" i="1"/>
  <c r="J1759" i="1"/>
  <c r="J1758" i="1"/>
  <c r="J1757" i="1"/>
  <c r="J1756" i="1"/>
  <c r="J1755" i="1"/>
  <c r="J1754" i="1"/>
  <c r="J1753" i="1"/>
  <c r="J1752" i="1"/>
  <c r="J1751" i="1"/>
  <c r="J1750" i="1"/>
  <c r="J1749" i="1"/>
  <c r="J1748" i="1"/>
  <c r="J1747" i="1"/>
  <c r="J1746" i="1"/>
  <c r="J1745" i="1"/>
  <c r="J1744" i="1"/>
  <c r="J1743" i="1"/>
  <c r="J1742" i="1"/>
  <c r="J1741" i="1"/>
  <c r="J1740" i="1"/>
  <c r="J1739" i="1"/>
  <c r="J1738" i="1"/>
  <c r="J1737" i="1"/>
  <c r="J1736" i="1"/>
  <c r="J1735" i="1"/>
  <c r="J1734" i="1"/>
  <c r="J1733" i="1"/>
  <c r="J1732" i="1"/>
  <c r="J1731" i="1"/>
  <c r="J1730" i="1"/>
  <c r="J1729" i="1"/>
  <c r="J1728" i="1"/>
  <c r="J1727" i="1"/>
  <c r="J1726" i="1"/>
  <c r="J1725" i="1"/>
  <c r="J1724" i="1"/>
  <c r="J1723" i="1"/>
  <c r="J1722" i="1"/>
  <c r="J1721" i="1"/>
  <c r="J1720" i="1"/>
  <c r="J1719" i="1"/>
  <c r="J1718" i="1"/>
  <c r="J1717" i="1"/>
  <c r="J1716" i="1"/>
  <c r="J1715" i="1"/>
  <c r="J1714" i="1"/>
  <c r="J1713" i="1"/>
  <c r="J1712" i="1"/>
  <c r="J1711" i="1"/>
  <c r="J1710" i="1"/>
  <c r="J1709" i="1"/>
  <c r="J1708" i="1"/>
  <c r="J1707" i="1"/>
  <c r="J1706" i="1"/>
  <c r="J1705" i="1"/>
  <c r="J1704" i="1"/>
  <c r="J1703" i="1"/>
  <c r="J1702" i="1"/>
  <c r="J1701" i="1"/>
  <c r="J1700" i="1"/>
  <c r="J1699" i="1"/>
  <c r="J1698" i="1"/>
  <c r="J1697" i="1"/>
  <c r="J1696" i="1"/>
  <c r="J1695" i="1"/>
  <c r="J1694" i="1"/>
  <c r="J1693" i="1"/>
  <c r="J1692" i="1"/>
  <c r="J1691" i="1"/>
  <c r="J1690" i="1"/>
  <c r="J1689" i="1"/>
  <c r="J1688" i="1"/>
  <c r="J1687" i="1"/>
  <c r="J1686" i="1"/>
  <c r="J1685" i="1"/>
  <c r="J1684" i="1"/>
  <c r="J1683" i="1"/>
  <c r="J1682" i="1"/>
  <c r="J1681" i="1"/>
  <c r="J1680" i="1"/>
  <c r="J1679" i="1"/>
  <c r="J1678" i="1"/>
  <c r="J1677" i="1"/>
  <c r="J1676" i="1"/>
  <c r="J1675" i="1"/>
  <c r="J1674" i="1"/>
  <c r="J1673" i="1"/>
  <c r="J1672" i="1"/>
  <c r="J1671" i="1"/>
  <c r="J1670" i="1"/>
  <c r="J1669" i="1"/>
  <c r="J1668" i="1"/>
  <c r="J1667" i="1"/>
  <c r="J1666" i="1"/>
  <c r="J1665" i="1"/>
  <c r="J1664" i="1"/>
  <c r="J1663" i="1"/>
  <c r="J1662" i="1"/>
  <c r="J1661" i="1"/>
  <c r="J1660" i="1"/>
  <c r="J1659" i="1"/>
  <c r="J1658" i="1"/>
  <c r="J1657" i="1"/>
  <c r="J1656" i="1"/>
  <c r="J1655" i="1"/>
  <c r="J1654" i="1"/>
  <c r="J1653" i="1"/>
  <c r="J1652" i="1"/>
  <c r="J1651" i="1"/>
  <c r="J1650" i="1"/>
  <c r="J1649" i="1"/>
  <c r="J1648" i="1"/>
  <c r="J1647" i="1"/>
  <c r="J1646" i="1"/>
  <c r="J1645" i="1"/>
  <c r="J1644" i="1"/>
  <c r="J1643" i="1"/>
  <c r="J1642" i="1"/>
  <c r="J1641" i="1"/>
  <c r="J1640" i="1"/>
  <c r="J1639" i="1"/>
  <c r="J1638" i="1"/>
  <c r="J1637" i="1"/>
  <c r="J1636" i="1"/>
  <c r="J1635" i="1"/>
  <c r="J1634" i="1"/>
  <c r="J1633" i="1"/>
  <c r="J1632" i="1"/>
  <c r="J1631" i="1"/>
  <c r="J1630" i="1"/>
  <c r="J1629" i="1"/>
  <c r="J1628" i="1"/>
  <c r="J1627" i="1"/>
  <c r="J1626" i="1"/>
  <c r="J1625" i="1"/>
  <c r="J1624" i="1"/>
  <c r="J1623" i="1"/>
  <c r="J1622" i="1"/>
  <c r="J1621" i="1"/>
  <c r="J1620" i="1"/>
  <c r="J1619" i="1"/>
  <c r="J1618" i="1"/>
  <c r="J1617" i="1"/>
  <c r="J1616" i="1"/>
  <c r="J1615" i="1"/>
  <c r="J1614" i="1"/>
  <c r="J1613" i="1"/>
  <c r="J1612" i="1"/>
  <c r="J1611" i="1"/>
  <c r="J1610" i="1"/>
  <c r="J1609" i="1"/>
  <c r="J1608" i="1"/>
  <c r="J1607" i="1"/>
  <c r="J1606" i="1"/>
  <c r="J1605" i="1"/>
  <c r="J1604" i="1"/>
  <c r="J1603" i="1"/>
  <c r="J1602" i="1"/>
  <c r="J1601" i="1"/>
  <c r="J1600" i="1"/>
  <c r="J1599" i="1"/>
  <c r="J1598" i="1"/>
  <c r="J1597" i="1"/>
  <c r="J1596" i="1"/>
  <c r="J1595" i="1"/>
  <c r="J1594" i="1"/>
  <c r="J1593" i="1"/>
  <c r="J1592" i="1"/>
  <c r="J1591" i="1"/>
  <c r="J1590" i="1"/>
  <c r="J1589" i="1"/>
  <c r="J1588" i="1"/>
  <c r="J1587" i="1"/>
  <c r="J1586" i="1"/>
  <c r="J1585" i="1"/>
  <c r="J1584" i="1"/>
  <c r="J1583" i="1"/>
  <c r="J1582" i="1"/>
  <c r="J1581" i="1"/>
  <c r="J1580" i="1"/>
  <c r="J1579" i="1"/>
  <c r="J1578" i="1"/>
  <c r="J1577" i="1"/>
  <c r="J1576" i="1"/>
  <c r="J1575" i="1"/>
  <c r="J1574" i="1"/>
  <c r="J1573" i="1"/>
  <c r="J1572" i="1"/>
  <c r="J1571" i="1"/>
  <c r="J1570" i="1"/>
  <c r="J1569" i="1"/>
  <c r="J1568" i="1"/>
  <c r="J1567" i="1"/>
  <c r="J1566" i="1"/>
  <c r="J1565" i="1"/>
  <c r="J1564" i="1"/>
  <c r="J1563" i="1"/>
  <c r="J1562" i="1"/>
  <c r="J1561" i="1"/>
  <c r="J1560" i="1"/>
  <c r="J1559" i="1"/>
  <c r="J1558" i="1"/>
  <c r="J1557" i="1"/>
  <c r="J1556" i="1"/>
  <c r="J1555" i="1"/>
  <c r="J1554" i="1"/>
  <c r="J1553" i="1"/>
  <c r="J1552" i="1"/>
  <c r="J1551" i="1"/>
  <c r="J1550" i="1"/>
  <c r="J1549" i="1"/>
  <c r="J1548" i="1"/>
  <c r="J1547" i="1"/>
  <c r="J1546" i="1"/>
  <c r="J1545" i="1"/>
  <c r="J1544" i="1"/>
  <c r="J1543" i="1"/>
  <c r="J1542" i="1"/>
  <c r="J1541" i="1"/>
  <c r="J1540" i="1"/>
  <c r="J1539" i="1"/>
  <c r="J1538" i="1"/>
  <c r="J1537" i="1"/>
  <c r="J1536" i="1"/>
  <c r="J1535" i="1"/>
  <c r="J1534" i="1"/>
  <c r="J1533" i="1"/>
  <c r="J1532" i="1"/>
  <c r="J1531" i="1"/>
  <c r="J1530" i="1"/>
  <c r="J1529" i="1"/>
  <c r="J1528" i="1"/>
  <c r="J1527" i="1"/>
  <c r="J1526" i="1"/>
  <c r="J1525" i="1"/>
  <c r="J1524" i="1"/>
  <c r="J1523" i="1"/>
  <c r="J1522" i="1"/>
  <c r="J1521" i="1"/>
  <c r="J1520" i="1"/>
  <c r="J1519" i="1"/>
  <c r="J1518" i="1"/>
  <c r="J1517" i="1"/>
  <c r="J1516" i="1"/>
  <c r="J1515" i="1"/>
  <c r="J1514" i="1"/>
  <c r="J1513" i="1"/>
  <c r="J1512" i="1"/>
  <c r="J1511" i="1"/>
  <c r="J1510" i="1"/>
  <c r="J1509" i="1"/>
  <c r="J1508" i="1"/>
  <c r="J1507" i="1"/>
  <c r="J1506" i="1"/>
  <c r="J1505" i="1"/>
  <c r="J1504" i="1"/>
  <c r="J1503" i="1"/>
  <c r="J1502" i="1"/>
  <c r="J1501" i="1"/>
  <c r="J1500" i="1"/>
  <c r="J1499" i="1"/>
  <c r="J1498" i="1"/>
  <c r="J1497" i="1"/>
  <c r="J1496" i="1"/>
  <c r="J1495" i="1"/>
  <c r="J1494" i="1"/>
  <c r="J1493" i="1"/>
  <c r="J1492" i="1"/>
  <c r="J1491" i="1"/>
  <c r="J1490" i="1"/>
  <c r="J1489" i="1"/>
  <c r="J1488" i="1"/>
  <c r="J1487" i="1"/>
  <c r="J1486" i="1"/>
  <c r="J1485" i="1"/>
  <c r="J1484" i="1"/>
  <c r="J1483" i="1"/>
  <c r="J1482" i="1"/>
  <c r="J1481" i="1"/>
  <c r="J1480" i="1"/>
  <c r="J1479" i="1"/>
  <c r="J1478" i="1"/>
  <c r="J1477" i="1"/>
  <c r="J1476" i="1"/>
  <c r="J1475" i="1"/>
  <c r="J1474" i="1"/>
  <c r="J1473" i="1"/>
  <c r="J1472" i="1"/>
  <c r="J1471" i="1"/>
  <c r="J1470" i="1"/>
  <c r="J1469" i="1"/>
  <c r="J1468" i="1"/>
  <c r="J1467" i="1"/>
  <c r="J1466" i="1"/>
  <c r="J1465" i="1"/>
  <c r="J1464" i="1"/>
  <c r="J1463" i="1"/>
  <c r="J1462" i="1"/>
  <c r="J1461" i="1"/>
  <c r="J1460" i="1"/>
  <c r="J1459" i="1"/>
  <c r="J1458" i="1"/>
  <c r="J1457" i="1"/>
  <c r="J1456" i="1"/>
  <c r="J1455" i="1"/>
  <c r="J1454" i="1"/>
  <c r="J1453" i="1"/>
  <c r="J1452" i="1"/>
  <c r="J1451" i="1"/>
  <c r="J1450" i="1"/>
  <c r="J1449" i="1"/>
  <c r="J1448" i="1"/>
  <c r="J1447" i="1"/>
  <c r="J1446" i="1"/>
  <c r="J1445" i="1"/>
  <c r="J1444" i="1"/>
  <c r="J1443" i="1"/>
  <c r="J1442" i="1"/>
  <c r="J1441" i="1"/>
  <c r="J1440" i="1"/>
  <c r="J1439" i="1"/>
  <c r="J1438" i="1"/>
  <c r="J1437" i="1"/>
  <c r="J1436" i="1"/>
  <c r="J1435" i="1"/>
  <c r="J1434" i="1"/>
  <c r="J1433" i="1"/>
  <c r="J1432" i="1"/>
  <c r="J1431" i="1"/>
  <c r="J1430" i="1"/>
  <c r="J1429" i="1"/>
  <c r="J1428" i="1"/>
  <c r="J1427" i="1"/>
  <c r="J1426" i="1"/>
  <c r="J1425" i="1"/>
  <c r="J1424" i="1"/>
  <c r="J1423" i="1"/>
  <c r="J1422" i="1"/>
  <c r="J1421" i="1"/>
  <c r="J1420" i="1"/>
  <c r="J1419" i="1"/>
  <c r="J1418" i="1"/>
  <c r="J1417" i="1"/>
  <c r="J1416" i="1"/>
  <c r="J1415" i="1"/>
  <c r="J1414" i="1"/>
  <c r="J1413" i="1"/>
  <c r="J1412" i="1"/>
  <c r="J1411" i="1"/>
  <c r="J1410" i="1"/>
  <c r="J1409" i="1"/>
  <c r="J1408" i="1"/>
  <c r="J1407" i="1"/>
  <c r="J1406" i="1"/>
  <c r="J1405" i="1"/>
  <c r="J1404" i="1"/>
  <c r="J1403" i="1"/>
  <c r="J1402" i="1"/>
  <c r="J1401" i="1"/>
  <c r="J1400" i="1"/>
  <c r="J1399" i="1"/>
  <c r="J1398" i="1"/>
  <c r="J1397" i="1"/>
  <c r="J1396" i="1"/>
  <c r="J1395" i="1"/>
  <c r="J1394" i="1"/>
  <c r="J1393" i="1"/>
  <c r="J1392" i="1"/>
  <c r="J1391" i="1"/>
  <c r="J1390" i="1"/>
  <c r="J1389" i="1"/>
  <c r="J1388" i="1"/>
  <c r="J1387" i="1"/>
  <c r="J1386" i="1"/>
  <c r="J1385" i="1"/>
  <c r="J1384" i="1"/>
  <c r="J1383" i="1"/>
  <c r="J1382" i="1"/>
  <c r="J1381" i="1"/>
  <c r="J1380" i="1"/>
  <c r="J1379" i="1"/>
  <c r="J1378" i="1"/>
  <c r="J1377" i="1"/>
  <c r="J1376" i="1"/>
  <c r="J1375" i="1"/>
  <c r="J1374" i="1"/>
  <c r="J1373" i="1"/>
  <c r="J1372" i="1"/>
  <c r="J1371" i="1"/>
  <c r="J1370" i="1"/>
  <c r="J1369" i="1"/>
  <c r="J1368" i="1"/>
  <c r="J1367" i="1"/>
  <c r="J1366" i="1"/>
  <c r="J1365" i="1"/>
  <c r="J1364" i="1"/>
  <c r="J1363" i="1"/>
  <c r="J1362" i="1"/>
  <c r="J1361" i="1"/>
  <c r="J1360" i="1"/>
  <c r="J1359" i="1"/>
  <c r="J1358" i="1"/>
  <c r="J1357" i="1"/>
  <c r="J1356" i="1"/>
  <c r="J1355" i="1"/>
  <c r="J1354" i="1"/>
  <c r="J1353" i="1"/>
  <c r="J1352" i="1"/>
  <c r="J1351" i="1"/>
  <c r="J1350" i="1"/>
  <c r="J1349" i="1"/>
  <c r="J1348" i="1"/>
  <c r="J1347" i="1"/>
  <c r="J1346" i="1"/>
  <c r="J1345" i="1"/>
  <c r="J1344" i="1"/>
  <c r="J1343" i="1"/>
  <c r="J1342" i="1"/>
  <c r="J1341" i="1"/>
  <c r="J1340" i="1"/>
  <c r="J1339" i="1"/>
  <c r="J1338" i="1"/>
  <c r="J1337" i="1"/>
  <c r="J1336" i="1"/>
  <c r="J1335" i="1"/>
  <c r="J1334" i="1"/>
  <c r="J1333" i="1"/>
  <c r="J1332" i="1"/>
  <c r="J1331" i="1"/>
  <c r="J1330" i="1"/>
  <c r="J1329" i="1"/>
  <c r="J1328" i="1"/>
  <c r="J1327" i="1"/>
  <c r="J1326" i="1"/>
  <c r="J1325" i="1"/>
  <c r="J1324" i="1"/>
  <c r="J1323" i="1"/>
  <c r="J1322" i="1"/>
  <c r="J1321" i="1"/>
  <c r="J1320" i="1"/>
  <c r="J1319" i="1"/>
  <c r="J1318" i="1"/>
  <c r="J1317" i="1"/>
  <c r="J1316" i="1"/>
  <c r="J1315" i="1"/>
  <c r="J1314" i="1"/>
  <c r="J1313" i="1"/>
  <c r="J1312" i="1"/>
  <c r="J1311" i="1"/>
  <c r="J1310" i="1"/>
  <c r="J1309" i="1"/>
  <c r="J1308" i="1"/>
  <c r="J1307" i="1"/>
  <c r="J1306" i="1"/>
  <c r="J1305" i="1"/>
  <c r="J1304" i="1"/>
  <c r="J1303" i="1"/>
  <c r="J1302" i="1"/>
  <c r="J1301" i="1"/>
  <c r="J1300" i="1"/>
  <c r="J1299" i="1"/>
  <c r="J1298" i="1"/>
  <c r="J1297" i="1"/>
  <c r="J1296" i="1"/>
  <c r="J1295" i="1"/>
  <c r="J1294" i="1"/>
  <c r="J1293" i="1"/>
  <c r="J1292" i="1"/>
  <c r="J1291" i="1"/>
  <c r="J1290" i="1"/>
  <c r="J1289" i="1"/>
  <c r="J1288" i="1"/>
  <c r="J1287" i="1"/>
  <c r="J1286" i="1"/>
  <c r="J1285" i="1"/>
  <c r="J1284" i="1"/>
  <c r="J1283" i="1"/>
  <c r="J1282" i="1"/>
  <c r="J1281" i="1"/>
  <c r="J1280" i="1"/>
  <c r="J1279" i="1"/>
  <c r="J1278" i="1"/>
  <c r="J1277" i="1"/>
  <c r="J1276" i="1"/>
  <c r="J1275" i="1"/>
  <c r="J1274" i="1"/>
  <c r="J1273" i="1"/>
  <c r="J1272" i="1"/>
  <c r="J1271" i="1"/>
  <c r="J1270" i="1"/>
  <c r="J1269" i="1"/>
  <c r="J1268" i="1"/>
  <c r="J1267" i="1"/>
  <c r="J1266" i="1"/>
  <c r="J1265" i="1"/>
  <c r="J1264" i="1"/>
  <c r="J1263" i="1"/>
  <c r="J1262" i="1"/>
  <c r="J1261" i="1"/>
  <c r="J1260" i="1"/>
  <c r="J1259" i="1"/>
  <c r="J1258" i="1"/>
  <c r="J1257" i="1"/>
  <c r="J1256" i="1"/>
  <c r="J1255" i="1"/>
  <c r="J1254" i="1"/>
  <c r="J1253" i="1"/>
  <c r="J1252" i="1"/>
  <c r="J1251" i="1"/>
  <c r="J1250" i="1"/>
  <c r="J1249" i="1"/>
  <c r="J1248" i="1"/>
  <c r="J1247" i="1"/>
  <c r="J1246" i="1"/>
  <c r="J1245" i="1"/>
  <c r="J1244" i="1"/>
  <c r="J1243" i="1"/>
  <c r="J1242" i="1"/>
  <c r="J1241" i="1"/>
  <c r="J1240" i="1"/>
  <c r="J1239" i="1"/>
  <c r="J1238" i="1"/>
  <c r="J1237" i="1"/>
  <c r="J1236" i="1"/>
  <c r="J1235" i="1"/>
  <c r="J1234" i="1"/>
  <c r="J1233" i="1"/>
  <c r="J1232" i="1"/>
  <c r="J1231" i="1"/>
  <c r="J1230" i="1"/>
  <c r="J1229" i="1"/>
  <c r="J1228" i="1"/>
  <c r="J1227" i="1"/>
  <c r="J1226" i="1"/>
  <c r="J1225" i="1"/>
  <c r="J1224" i="1"/>
  <c r="J1223" i="1"/>
  <c r="J1222" i="1"/>
  <c r="J1221" i="1"/>
  <c r="J1220" i="1"/>
  <c r="J1219" i="1"/>
  <c r="J1218" i="1"/>
  <c r="J1217" i="1"/>
  <c r="J1216" i="1"/>
  <c r="J1215" i="1"/>
  <c r="J1214" i="1"/>
  <c r="J1213" i="1"/>
  <c r="J1212" i="1"/>
  <c r="J1211" i="1"/>
  <c r="J1210" i="1"/>
  <c r="J1209" i="1"/>
  <c r="J1208" i="1"/>
  <c r="J1207" i="1"/>
  <c r="J1206" i="1"/>
  <c r="J1205" i="1"/>
  <c r="J1204" i="1"/>
  <c r="J1203" i="1"/>
  <c r="J1202" i="1"/>
  <c r="J1201" i="1"/>
  <c r="J1200" i="1"/>
  <c r="J1199" i="1"/>
  <c r="J1198" i="1"/>
  <c r="J1197" i="1"/>
  <c r="J1196" i="1"/>
  <c r="J1195" i="1"/>
  <c r="J1194" i="1"/>
  <c r="J1193" i="1"/>
  <c r="J1192" i="1"/>
  <c r="J1191" i="1"/>
  <c r="J1190" i="1"/>
  <c r="J1189" i="1"/>
  <c r="J1188" i="1"/>
  <c r="J1187" i="1"/>
  <c r="J1186" i="1"/>
  <c r="J1185" i="1"/>
  <c r="J1184" i="1"/>
  <c r="J1183" i="1"/>
  <c r="J1182" i="1"/>
  <c r="J1181" i="1"/>
  <c r="J1180" i="1"/>
  <c r="J1179" i="1"/>
  <c r="J1178" i="1"/>
  <c r="J1177" i="1"/>
  <c r="J1176" i="1"/>
  <c r="J1175" i="1"/>
  <c r="J1174" i="1"/>
  <c r="J1173" i="1"/>
  <c r="J1172" i="1"/>
  <c r="J1171" i="1"/>
  <c r="J1170" i="1"/>
  <c r="J1169" i="1"/>
  <c r="J1168" i="1"/>
  <c r="J1167" i="1"/>
  <c r="J1166" i="1"/>
  <c r="J1165" i="1"/>
  <c r="J1164" i="1"/>
  <c r="J1163" i="1"/>
  <c r="J1162" i="1"/>
  <c r="J1161" i="1"/>
  <c r="J1160" i="1"/>
  <c r="J1159" i="1"/>
  <c r="J1158" i="1"/>
  <c r="J1157" i="1"/>
  <c r="J1156" i="1"/>
  <c r="J1155" i="1"/>
  <c r="J1154" i="1"/>
  <c r="J1153" i="1"/>
  <c r="J1152" i="1"/>
  <c r="J1151" i="1"/>
  <c r="J1150" i="1"/>
  <c r="J1149" i="1"/>
  <c r="J1148" i="1"/>
  <c r="J1147" i="1"/>
  <c r="J1146" i="1"/>
  <c r="J1145" i="1"/>
  <c r="J1144" i="1"/>
  <c r="J1143" i="1"/>
  <c r="J1142" i="1"/>
  <c r="J1141" i="1"/>
  <c r="J1140" i="1"/>
  <c r="J1139" i="1"/>
  <c r="J1138" i="1"/>
  <c r="J1137" i="1"/>
  <c r="J1136" i="1"/>
  <c r="J1135" i="1"/>
  <c r="J1134" i="1"/>
  <c r="J1133" i="1"/>
  <c r="J1132" i="1"/>
  <c r="J1131" i="1"/>
  <c r="J1130" i="1"/>
  <c r="J1129" i="1"/>
  <c r="J1128" i="1"/>
  <c r="J1127" i="1"/>
  <c r="J1126" i="1"/>
  <c r="J1125" i="1"/>
  <c r="J1124" i="1"/>
  <c r="J1123" i="1"/>
  <c r="J1122" i="1"/>
  <c r="J1121" i="1"/>
  <c r="J1120" i="1"/>
  <c r="J1119" i="1"/>
  <c r="J1118" i="1"/>
  <c r="J1117" i="1"/>
  <c r="J1116" i="1"/>
  <c r="J1115" i="1"/>
  <c r="J1114" i="1"/>
  <c r="J1113" i="1"/>
  <c r="J1112" i="1"/>
  <c r="J1111" i="1"/>
  <c r="J1110" i="1"/>
  <c r="J1109" i="1"/>
  <c r="J1108" i="1"/>
  <c r="J1107" i="1"/>
  <c r="J1106" i="1"/>
  <c r="J1105" i="1"/>
  <c r="J1104" i="1"/>
  <c r="J1103" i="1"/>
  <c r="J1102" i="1"/>
  <c r="J1101" i="1"/>
  <c r="J1100" i="1"/>
  <c r="J1099" i="1"/>
  <c r="J1098" i="1"/>
  <c r="J1097" i="1"/>
  <c r="J1096" i="1"/>
  <c r="J1095" i="1"/>
  <c r="J1094" i="1"/>
  <c r="J1093" i="1"/>
  <c r="J1092" i="1"/>
  <c r="J1091" i="1"/>
  <c r="J1090" i="1"/>
  <c r="J1089" i="1"/>
  <c r="J1088" i="1"/>
  <c r="J1087" i="1"/>
  <c r="J1086" i="1"/>
  <c r="J1085" i="1"/>
  <c r="J1084" i="1"/>
  <c r="J1083" i="1"/>
  <c r="J1082" i="1"/>
  <c r="J1081" i="1"/>
  <c r="J1080" i="1"/>
  <c r="J1079" i="1"/>
  <c r="J1078" i="1"/>
  <c r="J1077" i="1"/>
  <c r="J1076" i="1"/>
  <c r="J1075" i="1"/>
  <c r="J1074" i="1"/>
  <c r="J1073" i="1"/>
  <c r="J1072" i="1"/>
  <c r="J1071" i="1"/>
  <c r="J1070" i="1"/>
  <c r="J1069" i="1"/>
  <c r="J1068" i="1"/>
  <c r="J1067" i="1"/>
  <c r="J1066" i="1"/>
  <c r="J1065" i="1"/>
  <c r="J1064" i="1"/>
  <c r="J1063" i="1"/>
  <c r="J1062" i="1"/>
  <c r="J1061" i="1"/>
  <c r="J1060" i="1"/>
  <c r="J1059" i="1"/>
  <c r="J1058" i="1"/>
  <c r="J1057" i="1"/>
  <c r="J1056" i="1"/>
  <c r="J1055" i="1"/>
  <c r="J1054" i="1"/>
  <c r="J1053" i="1"/>
  <c r="J1052" i="1"/>
  <c r="J1051" i="1"/>
  <c r="J1050" i="1"/>
  <c r="J1049" i="1"/>
  <c r="J1048" i="1"/>
  <c r="J1047" i="1"/>
  <c r="J1046" i="1"/>
  <c r="J1045" i="1"/>
  <c r="J1044" i="1"/>
  <c r="J1043" i="1"/>
  <c r="J1042" i="1"/>
  <c r="J1041" i="1"/>
  <c r="J1040" i="1"/>
  <c r="J1039" i="1"/>
  <c r="J1038" i="1"/>
  <c r="J1037" i="1"/>
  <c r="J1036" i="1"/>
  <c r="J1035" i="1"/>
  <c r="J1034" i="1"/>
  <c r="J1033" i="1"/>
  <c r="J1032" i="1"/>
  <c r="J1031" i="1"/>
  <c r="J1030" i="1"/>
  <c r="J1029" i="1"/>
  <c r="J1028" i="1"/>
  <c r="J1027" i="1"/>
  <c r="J1026" i="1"/>
  <c r="J1025" i="1"/>
  <c r="J1024" i="1"/>
  <c r="J1023" i="1"/>
  <c r="J1022" i="1"/>
  <c r="J1021" i="1"/>
  <c r="J1020" i="1"/>
  <c r="J1019" i="1"/>
  <c r="J1018" i="1"/>
  <c r="J1017" i="1"/>
  <c r="J1016" i="1"/>
  <c r="J1015" i="1"/>
  <c r="J1014" i="1"/>
  <c r="J1013" i="1"/>
  <c r="J1012" i="1"/>
  <c r="J1011" i="1"/>
  <c r="J1010" i="1"/>
  <c r="J1009" i="1"/>
  <c r="J1008" i="1"/>
  <c r="J1007" i="1"/>
  <c r="J1006" i="1"/>
  <c r="J1005" i="1"/>
  <c r="J1004" i="1"/>
  <c r="J1003" i="1"/>
  <c r="J1002" i="1"/>
  <c r="J1001" i="1"/>
  <c r="J1000" i="1"/>
  <c r="J999" i="1"/>
  <c r="J998" i="1"/>
  <c r="J997" i="1"/>
  <c r="J996" i="1"/>
  <c r="J995" i="1"/>
  <c r="J994" i="1"/>
  <c r="J993" i="1"/>
  <c r="J992" i="1"/>
  <c r="J991" i="1"/>
  <c r="J990" i="1"/>
  <c r="J989" i="1"/>
  <c r="J988" i="1"/>
  <c r="J987" i="1"/>
  <c r="J986" i="1"/>
  <c r="J985" i="1"/>
  <c r="J984" i="1"/>
  <c r="J983" i="1"/>
  <c r="J982" i="1"/>
  <c r="J981" i="1"/>
  <c r="J980" i="1"/>
  <c r="J979" i="1"/>
  <c r="J978" i="1"/>
  <c r="J977" i="1"/>
  <c r="J976" i="1"/>
  <c r="J975" i="1"/>
  <c r="J974" i="1"/>
  <c r="J973" i="1"/>
  <c r="J972" i="1"/>
  <c r="J971" i="1"/>
  <c r="J970" i="1"/>
  <c r="J969" i="1"/>
  <c r="J968" i="1"/>
  <c r="J967" i="1"/>
  <c r="J966" i="1"/>
  <c r="J965" i="1"/>
  <c r="J964" i="1"/>
  <c r="J963" i="1"/>
  <c r="J962" i="1"/>
  <c r="J961" i="1"/>
  <c r="J960" i="1"/>
  <c r="J959" i="1"/>
  <c r="J958" i="1"/>
  <c r="J957" i="1"/>
  <c r="J956" i="1"/>
  <c r="J955" i="1"/>
  <c r="J954" i="1"/>
  <c r="J953" i="1"/>
  <c r="J952" i="1"/>
  <c r="J951" i="1"/>
  <c r="J950" i="1"/>
  <c r="J949" i="1"/>
  <c r="J948" i="1"/>
  <c r="J947" i="1"/>
  <c r="J946" i="1"/>
  <c r="J945" i="1"/>
  <c r="J944" i="1"/>
  <c r="J943" i="1"/>
  <c r="J942" i="1"/>
  <c r="J941" i="1"/>
  <c r="J940" i="1"/>
  <c r="J939" i="1"/>
  <c r="J938" i="1"/>
  <c r="J937" i="1"/>
  <c r="J936" i="1"/>
  <c r="J935" i="1"/>
  <c r="J934" i="1"/>
  <c r="J933" i="1"/>
  <c r="J932" i="1"/>
  <c r="J931" i="1"/>
  <c r="J930" i="1"/>
  <c r="J929" i="1"/>
  <c r="J928" i="1"/>
  <c r="J927" i="1"/>
  <c r="J926" i="1"/>
  <c r="J925" i="1"/>
  <c r="J924" i="1"/>
  <c r="J923" i="1"/>
  <c r="J922" i="1"/>
  <c r="J921" i="1"/>
  <c r="J920" i="1"/>
  <c r="J919" i="1"/>
  <c r="J918" i="1"/>
  <c r="J917" i="1"/>
  <c r="J916" i="1"/>
  <c r="J915" i="1"/>
  <c r="J914" i="1"/>
  <c r="J913" i="1"/>
  <c r="J912" i="1"/>
  <c r="J911" i="1"/>
  <c r="J910" i="1"/>
  <c r="J909" i="1"/>
  <c r="J908" i="1"/>
  <c r="J907" i="1"/>
  <c r="J906" i="1"/>
  <c r="J905" i="1"/>
  <c r="J904" i="1"/>
  <c r="J903" i="1"/>
  <c r="J902" i="1"/>
  <c r="J901" i="1"/>
  <c r="J900" i="1"/>
  <c r="J899" i="1"/>
  <c r="J898" i="1"/>
  <c r="J897" i="1"/>
  <c r="J896" i="1"/>
  <c r="J895" i="1"/>
  <c r="J894" i="1"/>
  <c r="J893" i="1"/>
  <c r="J892" i="1"/>
  <c r="J891" i="1"/>
  <c r="J890" i="1"/>
  <c r="J889" i="1"/>
  <c r="J888" i="1"/>
  <c r="J887" i="1"/>
  <c r="J886" i="1"/>
  <c r="J885" i="1"/>
  <c r="J884" i="1"/>
  <c r="J883" i="1"/>
  <c r="J882" i="1"/>
  <c r="J881" i="1"/>
  <c r="J880" i="1"/>
  <c r="J879" i="1"/>
  <c r="J878" i="1"/>
  <c r="J877" i="1"/>
  <c r="J876" i="1"/>
  <c r="J875" i="1"/>
  <c r="J874" i="1"/>
  <c r="J873" i="1"/>
  <c r="J872" i="1"/>
  <c r="J871" i="1"/>
  <c r="J870" i="1"/>
  <c r="J869" i="1"/>
  <c r="J868" i="1"/>
  <c r="J867" i="1"/>
  <c r="J866" i="1"/>
  <c r="J865" i="1"/>
  <c r="J864" i="1"/>
  <c r="J863" i="1"/>
  <c r="J862" i="1"/>
  <c r="J861" i="1"/>
  <c r="J860" i="1"/>
  <c r="J859" i="1"/>
  <c r="J858" i="1"/>
  <c r="J857" i="1"/>
  <c r="J856" i="1"/>
  <c r="J855" i="1"/>
  <c r="J854" i="1"/>
  <c r="J853" i="1"/>
  <c r="J852" i="1"/>
  <c r="J851" i="1"/>
  <c r="J850" i="1"/>
  <c r="J849" i="1"/>
  <c r="J848" i="1"/>
  <c r="J847" i="1"/>
  <c r="J846" i="1"/>
  <c r="J845" i="1"/>
  <c r="J844" i="1"/>
  <c r="J843" i="1"/>
  <c r="J842" i="1"/>
  <c r="J841" i="1"/>
  <c r="J840" i="1"/>
  <c r="J839" i="1"/>
  <c r="J838" i="1"/>
  <c r="J837" i="1"/>
  <c r="J836" i="1"/>
  <c r="J835" i="1"/>
  <c r="J834" i="1"/>
  <c r="J833" i="1"/>
  <c r="J832" i="1"/>
  <c r="J831" i="1"/>
  <c r="J830" i="1"/>
  <c r="J829" i="1"/>
  <c r="J828" i="1"/>
  <c r="J827" i="1"/>
  <c r="J826" i="1"/>
  <c r="J825" i="1"/>
  <c r="J824" i="1"/>
  <c r="J823" i="1"/>
  <c r="J822" i="1"/>
  <c r="J821" i="1"/>
  <c r="J820" i="1"/>
  <c r="J819" i="1"/>
  <c r="J818" i="1"/>
  <c r="J817" i="1"/>
  <c r="J816" i="1"/>
  <c r="J815" i="1"/>
  <c r="J814" i="1"/>
  <c r="J813" i="1"/>
  <c r="J812" i="1"/>
  <c r="J811" i="1"/>
  <c r="J810" i="1"/>
  <c r="J809" i="1"/>
  <c r="J808" i="1"/>
  <c r="J807" i="1"/>
  <c r="J806" i="1"/>
  <c r="J805" i="1"/>
  <c r="J804" i="1"/>
  <c r="J803" i="1"/>
  <c r="J802" i="1"/>
  <c r="J801" i="1"/>
  <c r="J800" i="1"/>
  <c r="J799" i="1"/>
  <c r="J798" i="1"/>
  <c r="J797" i="1"/>
  <c r="J796" i="1"/>
  <c r="J795" i="1"/>
  <c r="J794" i="1"/>
  <c r="J793" i="1"/>
  <c r="J792" i="1"/>
  <c r="J791" i="1"/>
  <c r="J790" i="1"/>
  <c r="J789" i="1"/>
  <c r="J788" i="1"/>
  <c r="J787" i="1"/>
  <c r="J786" i="1"/>
  <c r="J785" i="1"/>
  <c r="J784" i="1"/>
  <c r="J783" i="1"/>
  <c r="J782" i="1"/>
  <c r="J781" i="1"/>
  <c r="J780" i="1"/>
  <c r="J779" i="1"/>
  <c r="J778" i="1"/>
  <c r="J777" i="1"/>
  <c r="J776" i="1"/>
  <c r="J775" i="1"/>
  <c r="J774" i="1"/>
  <c r="J773" i="1"/>
  <c r="J772" i="1"/>
  <c r="J771" i="1"/>
  <c r="J770" i="1"/>
  <c r="J769" i="1"/>
  <c r="J768" i="1"/>
  <c r="J767" i="1"/>
  <c r="J766" i="1"/>
  <c r="J765" i="1"/>
  <c r="J764" i="1"/>
  <c r="J763" i="1"/>
  <c r="J762" i="1"/>
  <c r="J761" i="1"/>
  <c r="J760" i="1"/>
  <c r="J759" i="1"/>
  <c r="J758" i="1"/>
  <c r="J757" i="1"/>
  <c r="J756" i="1"/>
  <c r="J755" i="1"/>
  <c r="J754" i="1"/>
  <c r="J753" i="1"/>
  <c r="J752" i="1"/>
  <c r="J751" i="1"/>
  <c r="J750" i="1"/>
  <c r="J749" i="1"/>
  <c r="J748" i="1"/>
  <c r="J747" i="1"/>
  <c r="J746" i="1"/>
  <c r="J745" i="1"/>
  <c r="J744" i="1"/>
  <c r="J743" i="1"/>
  <c r="J742" i="1"/>
  <c r="J741" i="1"/>
  <c r="J740" i="1"/>
  <c r="J739" i="1"/>
  <c r="J738" i="1"/>
  <c r="J737" i="1"/>
  <c r="J736" i="1"/>
  <c r="J735" i="1"/>
  <c r="J734" i="1"/>
  <c r="J733" i="1"/>
  <c r="J732" i="1"/>
  <c r="J731" i="1"/>
  <c r="J730" i="1"/>
  <c r="J729" i="1"/>
  <c r="J728" i="1"/>
  <c r="J727" i="1"/>
  <c r="J726" i="1"/>
  <c r="J725" i="1"/>
  <c r="J724" i="1"/>
  <c r="J723" i="1"/>
  <c r="J722" i="1"/>
  <c r="J721" i="1"/>
  <c r="J720" i="1"/>
  <c r="J719" i="1"/>
  <c r="J718" i="1"/>
  <c r="J717" i="1"/>
  <c r="J716" i="1"/>
  <c r="J715" i="1"/>
  <c r="J714" i="1"/>
  <c r="J713" i="1"/>
  <c r="J712" i="1"/>
  <c r="J711" i="1"/>
  <c r="J710" i="1"/>
  <c r="J709" i="1"/>
  <c r="J708" i="1"/>
  <c r="J707" i="1"/>
  <c r="J706" i="1"/>
  <c r="J705" i="1"/>
  <c r="J704" i="1"/>
  <c r="J703" i="1"/>
  <c r="J702" i="1"/>
  <c r="J701" i="1"/>
  <c r="J700" i="1"/>
  <c r="J699" i="1"/>
  <c r="J698" i="1"/>
  <c r="J697" i="1"/>
  <c r="J696" i="1"/>
  <c r="J695" i="1"/>
  <c r="J694" i="1"/>
  <c r="J693" i="1"/>
  <c r="J692" i="1"/>
  <c r="J691" i="1"/>
  <c r="J690" i="1"/>
  <c r="J689" i="1"/>
  <c r="J688" i="1"/>
  <c r="J687" i="1"/>
  <c r="J686" i="1"/>
  <c r="J685" i="1"/>
  <c r="J684" i="1"/>
  <c r="J683" i="1"/>
  <c r="J682" i="1"/>
  <c r="J681" i="1"/>
  <c r="J680" i="1"/>
  <c r="J679" i="1"/>
  <c r="J678" i="1"/>
  <c r="J677" i="1"/>
  <c r="J676" i="1"/>
  <c r="J675" i="1"/>
  <c r="J674" i="1"/>
  <c r="J673" i="1"/>
  <c r="J672" i="1"/>
  <c r="J671" i="1"/>
  <c r="J670" i="1"/>
  <c r="J669" i="1"/>
  <c r="J668" i="1"/>
  <c r="J667" i="1"/>
  <c r="J666" i="1"/>
  <c r="J665" i="1"/>
  <c r="J664" i="1"/>
  <c r="J663" i="1"/>
  <c r="J662" i="1"/>
  <c r="J661" i="1"/>
  <c r="J660" i="1"/>
  <c r="J659" i="1"/>
  <c r="J658" i="1"/>
  <c r="J657" i="1"/>
  <c r="J656" i="1"/>
  <c r="J655" i="1"/>
  <c r="J654" i="1"/>
  <c r="J653" i="1"/>
  <c r="J652" i="1"/>
  <c r="J651" i="1"/>
  <c r="J650" i="1"/>
  <c r="J649" i="1"/>
  <c r="J648" i="1"/>
  <c r="J647" i="1"/>
  <c r="J646" i="1"/>
  <c r="J645" i="1"/>
  <c r="J644" i="1"/>
  <c r="J643" i="1"/>
  <c r="J642" i="1"/>
  <c r="J641" i="1"/>
  <c r="J640" i="1"/>
  <c r="J639" i="1"/>
  <c r="J638" i="1"/>
  <c r="J637" i="1"/>
  <c r="J636" i="1"/>
  <c r="J635" i="1"/>
  <c r="J634" i="1"/>
  <c r="J633" i="1"/>
  <c r="J632" i="1"/>
  <c r="J631" i="1"/>
  <c r="J630" i="1"/>
  <c r="J629" i="1"/>
  <c r="J628" i="1"/>
  <c r="J627" i="1"/>
  <c r="J626" i="1"/>
  <c r="J625" i="1"/>
  <c r="J624" i="1"/>
  <c r="J623" i="1"/>
  <c r="J622" i="1"/>
  <c r="J621" i="1"/>
  <c r="J620" i="1"/>
  <c r="J619" i="1"/>
  <c r="J618" i="1"/>
  <c r="J617" i="1"/>
  <c r="J616" i="1"/>
  <c r="J615" i="1"/>
  <c r="J614" i="1"/>
  <c r="J613" i="1"/>
  <c r="J612" i="1"/>
  <c r="J611" i="1"/>
  <c r="J610" i="1"/>
  <c r="J609" i="1"/>
  <c r="J608" i="1"/>
  <c r="J607" i="1"/>
  <c r="J606" i="1"/>
  <c r="J605" i="1"/>
  <c r="J604" i="1"/>
  <c r="J603" i="1"/>
  <c r="J602" i="1"/>
  <c r="J601" i="1"/>
  <c r="J600" i="1"/>
  <c r="J599" i="1"/>
  <c r="J598" i="1"/>
  <c r="J597" i="1"/>
  <c r="J596" i="1"/>
  <c r="J595" i="1"/>
  <c r="J594" i="1"/>
  <c r="J593" i="1"/>
  <c r="J592" i="1"/>
  <c r="J591" i="1"/>
  <c r="J590" i="1"/>
  <c r="J589" i="1"/>
  <c r="J588" i="1"/>
  <c r="J587" i="1"/>
  <c r="J586" i="1"/>
  <c r="J585" i="1"/>
  <c r="J584" i="1"/>
  <c r="J583" i="1"/>
  <c r="J582" i="1"/>
  <c r="J581" i="1"/>
  <c r="J580" i="1"/>
  <c r="J579" i="1"/>
  <c r="J578" i="1"/>
  <c r="J577" i="1"/>
  <c r="J576" i="1"/>
  <c r="J575" i="1"/>
  <c r="J574" i="1"/>
  <c r="J573" i="1"/>
  <c r="J572" i="1"/>
  <c r="J571" i="1"/>
  <c r="J570" i="1"/>
  <c r="J569" i="1"/>
  <c r="J568" i="1"/>
  <c r="J567" i="1"/>
  <c r="J566" i="1"/>
  <c r="J565" i="1"/>
  <c r="J564" i="1"/>
  <c r="J563" i="1"/>
  <c r="J562" i="1"/>
  <c r="J561" i="1"/>
  <c r="J560" i="1"/>
  <c r="J559" i="1"/>
  <c r="J558" i="1"/>
  <c r="J557" i="1"/>
  <c r="J556" i="1"/>
  <c r="J555" i="1"/>
  <c r="J554" i="1"/>
  <c r="J553" i="1"/>
  <c r="J552" i="1"/>
  <c r="J551" i="1"/>
  <c r="J550" i="1"/>
  <c r="J549" i="1"/>
  <c r="J548" i="1"/>
  <c r="J547" i="1"/>
  <c r="J546" i="1"/>
  <c r="J545" i="1"/>
  <c r="J544" i="1"/>
  <c r="J543" i="1"/>
  <c r="J542" i="1"/>
  <c r="J541" i="1"/>
  <c r="J540" i="1"/>
  <c r="J539" i="1"/>
  <c r="J538" i="1"/>
  <c r="J537" i="1"/>
  <c r="J536" i="1"/>
  <c r="J535" i="1"/>
  <c r="J534" i="1"/>
  <c r="J533" i="1"/>
  <c r="J532" i="1"/>
  <c r="J531" i="1"/>
  <c r="J530" i="1"/>
  <c r="J529" i="1"/>
  <c r="J528" i="1"/>
  <c r="J527" i="1"/>
  <c r="J526" i="1"/>
  <c r="J525" i="1"/>
  <c r="J524" i="1"/>
  <c r="J523" i="1"/>
  <c r="J522" i="1"/>
  <c r="J521" i="1"/>
  <c r="J520" i="1"/>
  <c r="J519" i="1"/>
  <c r="J518" i="1"/>
  <c r="J517" i="1"/>
  <c r="J516" i="1"/>
  <c r="J515" i="1"/>
  <c r="J514" i="1"/>
  <c r="J513" i="1"/>
  <c r="J512" i="1"/>
  <c r="J511" i="1"/>
  <c r="J510" i="1"/>
  <c r="J509" i="1"/>
  <c r="J508" i="1"/>
  <c r="J507" i="1"/>
  <c r="J506" i="1"/>
  <c r="J505" i="1"/>
  <c r="J504" i="1"/>
  <c r="J503" i="1"/>
  <c r="J502" i="1"/>
  <c r="J501" i="1"/>
  <c r="J500" i="1"/>
  <c r="J499" i="1"/>
  <c r="J498" i="1"/>
  <c r="J497" i="1"/>
  <c r="J496" i="1"/>
  <c r="J495" i="1"/>
  <c r="J494" i="1"/>
  <c r="J493" i="1"/>
  <c r="J492" i="1"/>
  <c r="J491" i="1"/>
  <c r="J490" i="1"/>
  <c r="J489" i="1"/>
  <c r="J488" i="1"/>
  <c r="J487" i="1"/>
  <c r="J486" i="1"/>
  <c r="J485" i="1"/>
  <c r="J484" i="1"/>
  <c r="J483" i="1"/>
  <c r="J482" i="1"/>
  <c r="J481" i="1"/>
  <c r="J480" i="1"/>
  <c r="J479" i="1"/>
  <c r="J478" i="1"/>
  <c r="J477" i="1"/>
  <c r="J476" i="1"/>
  <c r="J475" i="1"/>
  <c r="J474" i="1"/>
  <c r="J473" i="1"/>
  <c r="J472" i="1"/>
  <c r="J471" i="1"/>
  <c r="J470" i="1"/>
  <c r="J469" i="1"/>
  <c r="J468" i="1"/>
  <c r="J467" i="1"/>
  <c r="J466" i="1"/>
  <c r="J465" i="1"/>
  <c r="J464" i="1"/>
  <c r="J463" i="1"/>
  <c r="J462" i="1"/>
  <c r="J461" i="1"/>
  <c r="J460" i="1"/>
  <c r="J459" i="1"/>
  <c r="J458" i="1"/>
  <c r="J457" i="1"/>
  <c r="J456" i="1"/>
  <c r="J455" i="1"/>
  <c r="J454" i="1"/>
  <c r="J453" i="1"/>
  <c r="J452" i="1"/>
  <c r="J451" i="1"/>
  <c r="J450" i="1"/>
  <c r="J449" i="1"/>
  <c r="J448" i="1"/>
  <c r="J447" i="1"/>
  <c r="J446" i="1"/>
  <c r="J445" i="1"/>
  <c r="J444" i="1"/>
  <c r="J443" i="1"/>
  <c r="J442" i="1"/>
  <c r="J441" i="1"/>
  <c r="J440" i="1"/>
  <c r="J439" i="1"/>
  <c r="J438" i="1"/>
  <c r="J437" i="1"/>
  <c r="J436" i="1"/>
  <c r="J435" i="1"/>
  <c r="J434" i="1"/>
  <c r="J433" i="1"/>
  <c r="J432" i="1"/>
  <c r="J431" i="1"/>
  <c r="J430" i="1"/>
  <c r="J429" i="1"/>
  <c r="J428" i="1"/>
  <c r="J427" i="1"/>
  <c r="J426" i="1"/>
  <c r="J425" i="1"/>
  <c r="J424" i="1"/>
  <c r="J423" i="1"/>
  <c r="J422" i="1"/>
  <c r="J421" i="1"/>
  <c r="J420" i="1"/>
  <c r="J419" i="1"/>
  <c r="J418" i="1"/>
  <c r="J417" i="1"/>
  <c r="J416" i="1"/>
  <c r="J415" i="1"/>
  <c r="J414" i="1"/>
  <c r="J413" i="1"/>
  <c r="J412" i="1"/>
  <c r="J411" i="1"/>
  <c r="J410" i="1"/>
  <c r="J409" i="1"/>
  <c r="J408" i="1"/>
  <c r="J407" i="1"/>
  <c r="J406" i="1"/>
  <c r="J405" i="1"/>
  <c r="J404" i="1"/>
  <c r="J403" i="1"/>
  <c r="J402" i="1"/>
  <c r="J401" i="1"/>
  <c r="J400" i="1"/>
  <c r="J399" i="1"/>
  <c r="J398" i="1"/>
  <c r="J397" i="1"/>
  <c r="J396" i="1"/>
  <c r="J395" i="1"/>
  <c r="J394" i="1"/>
  <c r="J393" i="1"/>
  <c r="J392" i="1"/>
  <c r="J391" i="1"/>
  <c r="J390" i="1"/>
  <c r="J389" i="1"/>
  <c r="J388" i="1"/>
  <c r="J387" i="1"/>
  <c r="J386" i="1"/>
  <c r="J385" i="1"/>
  <c r="J384" i="1"/>
  <c r="J383" i="1"/>
  <c r="J382" i="1"/>
  <c r="J381" i="1"/>
  <c r="J380" i="1"/>
  <c r="J379" i="1"/>
  <c r="J378" i="1"/>
  <c r="J377" i="1"/>
  <c r="J376" i="1"/>
  <c r="J375" i="1"/>
  <c r="J374" i="1"/>
  <c r="J373" i="1"/>
  <c r="J372" i="1"/>
  <c r="J371" i="1"/>
  <c r="J370" i="1"/>
  <c r="J369" i="1"/>
  <c r="J368" i="1"/>
  <c r="J367" i="1"/>
  <c r="J366" i="1"/>
  <c r="J365" i="1"/>
  <c r="J364" i="1"/>
  <c r="J363" i="1"/>
  <c r="J362" i="1"/>
  <c r="J361" i="1"/>
  <c r="J360" i="1"/>
  <c r="J359" i="1"/>
  <c r="J358" i="1"/>
  <c r="J357" i="1"/>
  <c r="J356" i="1"/>
  <c r="J355" i="1"/>
  <c r="J354" i="1"/>
  <c r="J353" i="1"/>
  <c r="J352" i="1"/>
  <c r="J351" i="1"/>
  <c r="J350" i="1"/>
  <c r="J349" i="1"/>
  <c r="J348" i="1"/>
  <c r="J347" i="1"/>
  <c r="J346" i="1"/>
  <c r="J345" i="1"/>
  <c r="J344" i="1"/>
  <c r="J343" i="1"/>
  <c r="J342" i="1"/>
  <c r="J341" i="1"/>
  <c r="J340" i="1"/>
  <c r="J339" i="1"/>
  <c r="J338" i="1"/>
  <c r="J337" i="1"/>
  <c r="J336" i="1"/>
  <c r="J335" i="1"/>
  <c r="J334" i="1"/>
  <c r="J333" i="1"/>
  <c r="J332" i="1"/>
  <c r="J331" i="1"/>
  <c r="J330" i="1"/>
  <c r="J329" i="1"/>
  <c r="J328" i="1"/>
  <c r="J327" i="1"/>
  <c r="J326" i="1"/>
  <c r="J325" i="1"/>
  <c r="J324" i="1"/>
  <c r="J323" i="1"/>
  <c r="J322" i="1"/>
  <c r="J321" i="1"/>
  <c r="J320" i="1"/>
  <c r="J319" i="1"/>
  <c r="J318" i="1"/>
  <c r="J317" i="1"/>
  <c r="J316" i="1"/>
  <c r="J315" i="1"/>
  <c r="J314" i="1"/>
  <c r="J313" i="1"/>
  <c r="J312" i="1"/>
  <c r="J311" i="1"/>
  <c r="J310" i="1"/>
  <c r="J309" i="1"/>
  <c r="J308" i="1"/>
  <c r="J307" i="1"/>
  <c r="J306" i="1"/>
  <c r="J305" i="1"/>
  <c r="J304" i="1"/>
  <c r="J303" i="1"/>
  <c r="J302" i="1"/>
  <c r="J301" i="1"/>
  <c r="J300" i="1"/>
  <c r="J299" i="1"/>
  <c r="J298" i="1"/>
  <c r="J297" i="1"/>
  <c r="J296" i="1"/>
  <c r="J295" i="1"/>
  <c r="J294" i="1"/>
  <c r="J293" i="1"/>
  <c r="J292" i="1"/>
  <c r="J291" i="1"/>
  <c r="J290" i="1"/>
  <c r="J289" i="1"/>
  <c r="J288" i="1"/>
  <c r="J287" i="1"/>
  <c r="J286" i="1"/>
  <c r="J285" i="1"/>
  <c r="J284" i="1"/>
  <c r="J283" i="1"/>
  <c r="J282" i="1"/>
  <c r="J281" i="1"/>
  <c r="J280" i="1"/>
  <c r="J279" i="1"/>
  <c r="J278" i="1"/>
  <c r="J277" i="1"/>
  <c r="J276" i="1"/>
  <c r="J275" i="1"/>
  <c r="J274" i="1"/>
  <c r="J273" i="1"/>
  <c r="J272" i="1"/>
  <c r="J271" i="1"/>
  <c r="J270" i="1"/>
  <c r="J269" i="1"/>
  <c r="J268" i="1"/>
  <c r="J267" i="1"/>
  <c r="J266" i="1"/>
  <c r="J265" i="1"/>
  <c r="J264" i="1"/>
  <c r="J263" i="1"/>
  <c r="J262" i="1"/>
  <c r="J261" i="1"/>
  <c r="J260" i="1"/>
  <c r="J259" i="1"/>
  <c r="J258" i="1"/>
  <c r="J257" i="1"/>
  <c r="J256" i="1"/>
  <c r="J255" i="1"/>
  <c r="J254" i="1"/>
  <c r="J253" i="1"/>
  <c r="J252" i="1"/>
  <c r="J251" i="1"/>
  <c r="J250" i="1"/>
  <c r="J249" i="1"/>
  <c r="J248" i="1"/>
  <c r="J247" i="1"/>
  <c r="J246" i="1"/>
  <c r="J245" i="1"/>
  <c r="J244" i="1"/>
  <c r="J243" i="1"/>
  <c r="J242" i="1"/>
  <c r="J241" i="1"/>
  <c r="J240" i="1"/>
  <c r="J239" i="1"/>
  <c r="J238" i="1"/>
  <c r="J237" i="1"/>
  <c r="J236" i="1"/>
  <c r="J235" i="1"/>
  <c r="J234" i="1"/>
  <c r="J233" i="1"/>
  <c r="J232" i="1"/>
  <c r="J231" i="1"/>
  <c r="J230" i="1"/>
  <c r="J229" i="1"/>
  <c r="J228" i="1"/>
  <c r="J227" i="1"/>
  <c r="J226" i="1"/>
  <c r="J225" i="1"/>
  <c r="J224" i="1"/>
  <c r="J223" i="1"/>
  <c r="J222" i="1"/>
  <c r="J221" i="1"/>
  <c r="J220" i="1"/>
  <c r="J219" i="1"/>
  <c r="J218" i="1"/>
  <c r="J217" i="1"/>
  <c r="J216" i="1"/>
  <c r="J215" i="1"/>
  <c r="J214" i="1"/>
  <c r="J213" i="1"/>
  <c r="J212" i="1"/>
  <c r="J211" i="1"/>
  <c r="J210" i="1"/>
  <c r="J209" i="1"/>
  <c r="J208" i="1"/>
  <c r="J207" i="1"/>
  <c r="J206" i="1"/>
  <c r="J205" i="1"/>
  <c r="J204" i="1"/>
  <c r="J203" i="1"/>
  <c r="J202" i="1"/>
  <c r="J201" i="1"/>
  <c r="J200" i="1"/>
  <c r="J199" i="1"/>
  <c r="J198" i="1"/>
  <c r="J197" i="1"/>
  <c r="J196" i="1"/>
  <c r="J195" i="1"/>
  <c r="J194" i="1"/>
  <c r="J193" i="1"/>
  <c r="J192" i="1"/>
  <c r="J191" i="1"/>
  <c r="J190" i="1"/>
  <c r="J189" i="1"/>
  <c r="J188" i="1"/>
  <c r="J187" i="1"/>
  <c r="J186" i="1"/>
  <c r="J185" i="1"/>
  <c r="J184" i="1"/>
  <c r="J183" i="1"/>
  <c r="J182" i="1"/>
  <c r="J181" i="1"/>
  <c r="J180" i="1"/>
  <c r="J179" i="1"/>
  <c r="J178" i="1"/>
  <c r="J177" i="1"/>
  <c r="J176" i="1"/>
  <c r="J175" i="1"/>
  <c r="J174" i="1"/>
  <c r="J173" i="1"/>
  <c r="J172" i="1"/>
  <c r="J171" i="1"/>
  <c r="J170" i="1"/>
  <c r="J169" i="1"/>
  <c r="J168" i="1"/>
  <c r="J167" i="1"/>
  <c r="J166" i="1"/>
  <c r="J165" i="1"/>
  <c r="J164" i="1"/>
  <c r="J163" i="1"/>
  <c r="J162" i="1"/>
  <c r="J161" i="1"/>
  <c r="J160" i="1"/>
  <c r="J159" i="1"/>
  <c r="J158" i="1"/>
  <c r="J157" i="1"/>
  <c r="J156" i="1"/>
  <c r="J155" i="1"/>
  <c r="J154" i="1"/>
  <c r="J153" i="1"/>
  <c r="J152" i="1"/>
  <c r="J151" i="1"/>
  <c r="J150" i="1"/>
  <c r="J149" i="1"/>
  <c r="J148" i="1"/>
  <c r="J147" i="1"/>
  <c r="J146" i="1"/>
  <c r="J145" i="1"/>
  <c r="J144" i="1"/>
  <c r="J143" i="1"/>
  <c r="J142" i="1"/>
  <c r="J141" i="1"/>
  <c r="J140" i="1"/>
  <c r="J139" i="1"/>
  <c r="J138" i="1"/>
  <c r="J137" i="1"/>
  <c r="J136" i="1"/>
  <c r="J135" i="1"/>
  <c r="J134" i="1"/>
  <c r="J133" i="1"/>
  <c r="J132" i="1"/>
  <c r="J131" i="1"/>
  <c r="J130" i="1"/>
  <c r="J129" i="1"/>
  <c r="J128" i="1"/>
  <c r="J127" i="1"/>
  <c r="J126" i="1"/>
  <c r="J125" i="1"/>
  <c r="J124" i="1"/>
  <c r="J123" i="1"/>
  <c r="J122" i="1"/>
  <c r="J121" i="1"/>
  <c r="J120" i="1"/>
  <c r="J119" i="1"/>
  <c r="J118" i="1"/>
  <c r="J117" i="1"/>
  <c r="J116" i="1"/>
  <c r="J115" i="1"/>
  <c r="J114" i="1"/>
  <c r="J113" i="1"/>
  <c r="J112" i="1"/>
  <c r="J111" i="1"/>
  <c r="J110" i="1"/>
  <c r="J109" i="1"/>
  <c r="J108" i="1"/>
  <c r="J107" i="1"/>
  <c r="J106" i="1"/>
  <c r="J105" i="1"/>
  <c r="J104" i="1"/>
  <c r="J103" i="1"/>
  <c r="J102" i="1"/>
  <c r="J101" i="1"/>
  <c r="J100" i="1"/>
  <c r="J99" i="1"/>
  <c r="J98" i="1"/>
  <c r="J97" i="1"/>
  <c r="J96" i="1"/>
  <c r="J95" i="1"/>
  <c r="J94" i="1"/>
  <c r="J93" i="1"/>
  <c r="J92" i="1"/>
  <c r="J91" i="1"/>
  <c r="J90" i="1"/>
  <c r="J89" i="1"/>
  <c r="J88" i="1"/>
  <c r="J87" i="1"/>
  <c r="J86" i="1"/>
  <c r="J85" i="1"/>
  <c r="J84" i="1"/>
  <c r="J83" i="1"/>
  <c r="J82" i="1"/>
  <c r="J81" i="1"/>
  <c r="J80" i="1"/>
  <c r="J79" i="1"/>
  <c r="J78" i="1"/>
  <c r="J77" i="1"/>
  <c r="J76" i="1"/>
  <c r="J75" i="1"/>
  <c r="J74" i="1"/>
  <c r="J73" i="1"/>
  <c r="J72" i="1"/>
  <c r="J71" i="1"/>
  <c r="J70" i="1"/>
  <c r="J69" i="1"/>
  <c r="J68" i="1"/>
  <c r="J67" i="1"/>
  <c r="J66" i="1"/>
  <c r="J65" i="1"/>
  <c r="J64" i="1"/>
  <c r="J63" i="1"/>
  <c r="J62" i="1"/>
  <c r="J61" i="1"/>
  <c r="J60" i="1"/>
  <c r="J59" i="1"/>
  <c r="J58" i="1"/>
  <c r="J57" i="1"/>
  <c r="J56" i="1"/>
  <c r="J55" i="1"/>
  <c r="J54" i="1"/>
  <c r="J53" i="1"/>
  <c r="J52" i="1"/>
  <c r="J51" i="1"/>
  <c r="J50" i="1"/>
  <c r="J49" i="1"/>
  <c r="J48" i="1"/>
  <c r="J47" i="1"/>
  <c r="J46" i="1"/>
  <c r="J45" i="1"/>
  <c r="J44" i="1"/>
  <c r="J43" i="1"/>
  <c r="J42" i="1"/>
  <c r="J41" i="1"/>
  <c r="J40" i="1"/>
  <c r="J39" i="1"/>
  <c r="J38" i="1"/>
  <c r="J37" i="1"/>
  <c r="J36" i="1"/>
  <c r="J35" i="1"/>
  <c r="J34" i="1"/>
  <c r="J33" i="1"/>
  <c r="J32" i="1"/>
  <c r="J31" i="1"/>
  <c r="J30" i="1"/>
  <c r="J29" i="1"/>
  <c r="J28" i="1"/>
  <c r="J27" i="1"/>
  <c r="J26" i="1"/>
  <c r="J25" i="1"/>
  <c r="J24" i="1"/>
  <c r="J23" i="1"/>
  <c r="J22" i="1"/>
  <c r="J21" i="1"/>
  <c r="J20" i="1"/>
  <c r="J19" i="1"/>
  <c r="J18" i="1"/>
  <c r="J17" i="1"/>
  <c r="J16" i="1"/>
  <c r="J15" i="1"/>
  <c r="J14" i="1"/>
  <c r="J13" i="1"/>
  <c r="J12" i="1"/>
  <c r="J11" i="1"/>
  <c r="J10" i="1"/>
  <c r="J9" i="1"/>
  <c r="J8" i="1"/>
  <c r="J7" i="1"/>
</calcChain>
</file>

<file path=xl/sharedStrings.xml><?xml version="1.0" encoding="utf-8"?>
<sst xmlns="http://schemas.openxmlformats.org/spreadsheetml/2006/main" count="187762" uniqueCount="38435">
  <si>
    <t>Índice onomástico anual · Gacetas oficiales de 1834</t>
  </si>
  <si>
    <t>Del 1 de enero al 31 de diciembre de 1834 · Gaceta de Madrid</t>
  </si>
  <si>
    <t>Aviso: índice generado a partir del OCR de facsímiles históricos. Las grafías y lecturas dudosas deben cotejarse con la página enlazada.</t>
  </si>
  <si>
    <t>18628 menciones · 480 archivos oficiales · 2012 páginas digitalizadas</t>
  </si>
  <si>
    <t>Apellidos y nombre (orden estimado)</t>
  </si>
  <si>
    <t>Nombre leído</t>
  </si>
  <si>
    <t>Motivo de aparición</t>
  </si>
  <si>
    <t>Organismo o sección</t>
  </si>
  <si>
    <t>Fecha</t>
  </si>
  <si>
    <t>Publicación y nº</t>
  </si>
  <si>
    <t>Página</t>
  </si>
  <si>
    <t>Observaciones</t>
  </si>
  <si>
    <t>Extracto original OCR</t>
  </si>
  <si>
    <t>Facsímil (página)</t>
  </si>
  <si>
    <t>Estado de lectura</t>
  </si>
  <si>
    <t>A'onso, González</t>
  </si>
  <si>
    <t>González A'onso</t>
  </si>
  <si>
    <t>Mención en noticia o disposición</t>
  </si>
  <si>
    <t>Noticias y disposiciones</t>
  </si>
  <si>
    <t>17/08/1834</t>
  </si>
  <si>
    <t>Gaceta de Madrid n.º 182 · suplemento</t>
  </si>
  <si>
    <t>PDF p. 3</t>
  </si>
  <si>
    <t>Nombre detectado automáticamente; cotejar si se va a citar</t>
  </si>
  <si>
    <t>…ta de los presentados por D. Cipriano la qu* haya pasado el término fatal, si puede llamarse asi el que fija el regla Riea electo por BArgo*, y de los documentos justificativos, opinaba debían mento ” aprobarse. Asi se acordó. E± Sr. González A'onso: «Parecerá increíble -que.yo sea el án&lt;"co qúe ha*- . La misma comisión, en vista de los presentados porD. Jacinto Romara- ya tomado la palabra en contra de! dictámen de la comisión , y acaso se atri te, electo por Vizcaya, y de los documentos que acompañaba, no hallando buirá á temeridad por mi pa…</t>
  </si>
  <si>
    <t>Lectura OCR</t>
  </si>
  <si>
    <t>A'var</t>
  </si>
  <si>
    <t>19/10/1834</t>
  </si>
  <si>
    <t>Gaceta de Madrid n.º 247 · suplemento</t>
  </si>
  <si>
    <t>PDF p. 5</t>
  </si>
  <si>
    <t>…sión que no podia1 meaos de presentar lar dos-cuestiones á un tiempo, y que una opinaba para fundar su voto en un asunto dé los tfias interesantes. vez qué-habia necesidad de contraer un empréstito . como pata realizar este sé El Sr. A'var/z Guerra: «La comisión hubiera querido tener presentes necesitaba contar Con las'plazas extrangeras, mal te conseguiría semejante ob cuando dió el informe las ideas que ha manifestado ahora él Sr. Secretario del jeto., si no sé eiripezabá por resolver aquella cuestión inevitable al considerar De-pa…</t>
  </si>
  <si>
    <t>A, Alejandro Tomas de Moraes</t>
  </si>
  <si>
    <t>Alejandro Tomas de Moraes A</t>
  </si>
  <si>
    <t>23/04/1834</t>
  </si>
  <si>
    <t>Gaceta de Madrid n.º 62</t>
  </si>
  <si>
    <t>PDF p. 1</t>
  </si>
  <si>
    <t>Lectura automática dudosa; cotejar el facsímil</t>
  </si>
  <si>
    <t>…mano.czEn Aranjuez á 21 de Abril de 1834--= bre de S. M. Fidelísima la Reina Doña María de la Gloria, ha A D. Nicolás María Garelly. enviado como ministro en misión extraordinaria cerca de la Reina nuestra Señora aL Sr. consejero D. Alejandro Tomas de Moraes * A nombre de mi augusta Hija la Reina Doña Isabel rr he Sarniento, el cual ha tenido la honra de presentar á S. M. la Reina venido en nombrar secretario de la sección de Guerra del Consejo Gobernadora sus credenciales: y S. M. se ha servido mandar, en Real, instituido por mi decreto de 24 de Marzo últ…</t>
  </si>
  <si>
    <t>Revisar OCR</t>
  </si>
  <si>
    <t>A, Angel</t>
  </si>
  <si>
    <t>Angel A</t>
  </si>
  <si>
    <t>Anuncios</t>
  </si>
  <si>
    <t>11/06/1834</t>
  </si>
  <si>
    <t>Gaceta de Madrid n.º 114</t>
  </si>
  <si>
    <t>…artamentos a repart.r entre el vecindario las grupos, y para su alcance y total exterminio dejo loo carab.neros de la co sumas necesarias par» cubrir el déficit que resulte para sostepey tas escuelas de lumna al mando del capitán D. Angel A rao, par.fquc los en todas riitjribferá y segunda enseñanza , y las elementales, al médica * reccionfts. Lo qne tengo el honor de manifestar á E- para ei superior ven ' ÍLspecto al attícúlo 14, que trara del derecho de sello sobre letras de cam cimiento, y se persuada V. E. de las ventajas qué repo…</t>
  </si>
  <si>
    <t>A, Cario</t>
  </si>
  <si>
    <t>Cario A</t>
  </si>
  <si>
    <t>Noticia política o diplomática</t>
  </si>
  <si>
    <t>05/09/1834</t>
  </si>
  <si>
    <t>Gaceta de Madrid n.º 203 · suplemento</t>
  </si>
  <si>
    <t>…midero como vital y esencial absoluta ta llegar ai extremo de prevalerse de ella para defender io» derechos que prc—‘ mente para un gobierno icprocnlatjvo. En toda» la» naciones que 1c tienen es tende tener á la corona el Infante D. Cario». A mí me pirCvC que c»tc c» el c»ta una de ias primera» cuestione» que se han tratado E.n toda» ellas , por de abuso que menos debemos temer , porque los dciechos ac la Rüina nuestra cirlo asi t he vi»to una escena idéntica. Se han presentado los mirolros dicien Señora no se hallan afianzados en el aí…</t>
  </si>
  <si>
    <t>A, D Angel</t>
  </si>
  <si>
    <t>D Angel A</t>
  </si>
  <si>
    <t>…los departamentos a repart.r entre el vecindario las grupos, y para su alcance y total exterminio dejo loo carab.neros de la co sumas necesarias par» cubrir el déficit que resulte para sostepey tas escuelas de lumna al mando del capitán D. Angel A rao, par.fquc los en todas riitjribferá y segunda enseñanza , y las elementales, al médica * reccionfts. Lo qne tengo el honor de manifestar á E- para ei superior ven ' ÍLspecto al attícúlo 14, que trara del derecho de sello sobre letras de cam cimiento, y se persuada V. E. de las ventajas qué repo…</t>
  </si>
  <si>
    <t>Á, D José Paco Canoras</t>
  </si>
  <si>
    <t>D José Paco Canoras Á</t>
  </si>
  <si>
    <t>Noticias extranjeras</t>
  </si>
  <si>
    <t>09/07/1834</t>
  </si>
  <si>
    <t>Gaceta de Madrid n.º 142</t>
  </si>
  <si>
    <t>…ra de principios.. novzMC|A os ílubiia. No por cierto: la Francia no sufriría sola el embate de sus enemigos, el cual Sr. I). Joaquín Carrasco. r por otra parte tiene bastante vigor para resistir■,victoriosamente. La Bélgica, por Sr. D. José Paco Canoras. ■Á el norte, la Suiza por el este, entrarían con nosotros en-la lucha. Una neutra Sr- D. Miguel Chacón. lidad de papel impuesta á estpsdos países que gravitan en nuestra órbita políti ca , seria reemplazada al primer cañonazo por una alianzá que nacería ya fot- PIOVTVCIA OB BXtCKtOHA» mada de la misma…</t>
  </si>
  <si>
    <t>A, Ercmo Sr</t>
  </si>
  <si>
    <t>Ercmo Sr A</t>
  </si>
  <si>
    <t>08/06/1834</t>
  </si>
  <si>
    <t>Gaceta de Madrid n.º 111 · extraordinaria</t>
  </si>
  <si>
    <t>…en Bayona dice al Excmo Sr. Secretario de Y S. M. I. el Duque de Braganza, Regente del reino de Portu Estado y del Despacho, con fecha 3 del corriente, lo que sigue : = gal y de los Algarbes, á nombre de la Reina Doña María ii, á Don Ercmo. Sr. — A las diez de la noche acaba el Sr. Subprefecto de pa Cristóbal Pedro de Moraes Sarmentó, del Consejo de S. M. Fidelí sarme la comunicación que tengo el honor de trasladar á V. E. = sima , Hidalgo Caballero de la Casa Real, Comendador de la Orden .•Bayona 3 de Junio de l834.=Sr. Cónsul: Con arreglo á las…</t>
  </si>
  <si>
    <t>A, Femando Fernandez PROVINCIA DE VALEUC</t>
  </si>
  <si>
    <t>Femando Fernandez PROVINCIA DE VALEUC A</t>
  </si>
  <si>
    <t>Operaciones o servicios militares</t>
  </si>
  <si>
    <t>Noticias militares</t>
  </si>
  <si>
    <t>01/11/1834</t>
  </si>
  <si>
    <t>Gaceta de Madrid n.º 260</t>
  </si>
  <si>
    <t>…resultado de la acción que no ha dejado de proporcionar venta otros cuatro se mantenía estacionaria. jas de bastante entidad, y no puedo menos de recomendar á V. E. á los gefes de los cuerpos, el coronel del provincial de Córdoha D. Femando Fernandez PROVINCIA DE VALEUC1A. de Rodas, y el comandante de escuadrón D. José,Benavides, asi como á todos los oficiales y tropas de los mismos que con ci mayor entusiasmo han corres-1 En los dias 22,23,24y25 del presente fallecieron en aqudla capital 24 pondído á mis deseos, y han sabido superar las fatigas y privaciones de esta pe…</t>
  </si>
  <si>
    <t>A, Francisco</t>
  </si>
  <si>
    <t>Francisco A</t>
  </si>
  <si>
    <t>04/11/1834</t>
  </si>
  <si>
    <t>Gaceta de Madrid n.º 263</t>
  </si>
  <si>
    <t>PDF p. 4</t>
  </si>
  <si>
    <t>…lde mayor de Talavera de la Reina - á D. Manuel Martínez, alcalde mayor de Villadiego: á Parte sanitario de 29 de Octubre. D. Manuel Ruiz de Montoya, corregidor de Verin: á D. Francisco de Paula Rog, -trdde m-,mr de San Felipe: á D. Francisco A ntnnio_Macho Ville gas , alcalde mayor de Villarejo de Fuentes: á D. Antonio María Ortiz, al Pueblos. Días. Enfermos. Curador Fallecidos calde mavor de Fuente del Maestre: á D. Remigio Romero Prieto, alcalde mayor de Dona Mencía: á D. Manuel García Saez Santander “alcalde mayor Casasola...... ., 15…</t>
  </si>
  <si>
    <t>A, Francisco de Paula Antonio S</t>
  </si>
  <si>
    <t>Francisco de Paula Antonio S A</t>
  </si>
  <si>
    <t>12/07/1834</t>
  </si>
  <si>
    <t>Gaceta de Madrid n.º 145</t>
  </si>
  <si>
    <t>…as hoy de Génova anuncian la llegada de D. Miguel á aquel S. M. la Reina Gobernadora............................................................. puerto , á bordo de la fragata inglesa Stag. (Monitor.) S. A. el Sermo. Sr. Infante D. Francisco de Paula Antonio......... S. A. la Serma. Sra. Infanta Doña Luisa Carlota, su Esposa. (L). . Han entrado dé Bélgica eh Francia durante el año de 1833 , 79 cabezas El primer Secretario de Estado y del Despacho................................ 3000 dé ganado de asta entre bueyes, vacas y terneras; 219 carneros; 809 cerdos y El Secretar…</t>
  </si>
  <si>
    <t>A, Francisco Javier de Mariátegui</t>
  </si>
  <si>
    <t>Francisco Javier de Mariátegui A</t>
  </si>
  <si>
    <t>07/06/1834</t>
  </si>
  <si>
    <t>Gaceta de Madrid n.º 109 · suplemento</t>
  </si>
  <si>
    <t>PDF p. 2</t>
  </si>
  <si>
    <t>…e todas armas , au lo demas de tintas por D. José García Pelayo. toridades eclesiásticas, militares y civiles, y demas caballeros de primera dis El proyecto de este catafalco era del Sr. arquitecto mayor de esta M. H. V. tinción. D. Francisco Javier de Mariátegui. A los costados y huecos de las capillas asistieron dos religiosos de cada una A los alrededores del catafalco y en los sitios de costumbre se colocaron de las comunidades de la corre: todo lo cual formaba el conjunto mas lucido centinelas de la Guardia Real de alabarderos, dando las de las puertas exteri…</t>
  </si>
  <si>
    <t>A, Gobernadora</t>
  </si>
  <si>
    <t>Gobernadora A</t>
  </si>
  <si>
    <t>Nombramiento o servicio público</t>
  </si>
  <si>
    <t>13/02/1834</t>
  </si>
  <si>
    <t>Gaceta de Madrid n.º 20</t>
  </si>
  <si>
    <t>…m I obedecer á sus gefes. ' m barco el Sr. corregidor y el muv ilustre ayuntamiento demostrar en todo lo | gi mariscal Soult, ministro de Guerra, refiere circunstanciadamente todo posible su adhesión á £. M. Doña Isabel ii y a la Reina Gobernadora. A [lo ocurrido en el nombramiento de que trata el Sr. Larabit, v después de re- este tin, puesto de acuerdo el cuerpo municipal con el Iimq. Sr. obispo y el Ibalir toda* las proposiciones que este ha establecido, procura demostrar que no cabildo de la santa iglesia catedral, \ acomp fudo de Vas aut-…</t>
  </si>
  <si>
    <t>A, GonzaUzi</t>
  </si>
  <si>
    <t>GonzaUzi A</t>
  </si>
  <si>
    <t>11/11/1834</t>
  </si>
  <si>
    <t>Gaceta de Madrid n.º 270 · suplemento</t>
  </si>
  <si>
    <t>…or la provincia de Zaragoza. cemos pane de ellos tenemos que someternos á las decisiones de la mayoría; y En seguida tomó la palabra y dijo llegado el triste caso de que esta pretenda abusar de sus fuerzas, seria necesario El Sr, Secretario GonzaUzi « A la mesa se ha presentado la siguiente acudir á otros medios. Espero que no llegaremos en España á vetaos en este proposición. Pedimos se determine que no se podrá pedir que se declare se ten- . caos; pero si ¿al es el temor de ios señores autores de ia proposición, cierta ga por, discutida ninguna mat…</t>
  </si>
  <si>
    <t>A, Infanta Dona</t>
  </si>
  <si>
    <t>Infanta Dona A</t>
  </si>
  <si>
    <t>España</t>
  </si>
  <si>
    <t>19/07/1834</t>
  </si>
  <si>
    <t>Gaceta de Madrid n.º 152</t>
  </si>
  <si>
    <t>…úan sin la menor novedad en su impor- se muchos á la facción rebelde: en nombre de mi excelsa Hija Doña portante salud. „ Isabel ii, he venido en suprimir dicho convento de S. Francisco de Del mismo beneficio disfrutan SS. AA- la Sra. Infanta Dona A bandeóle Bilbao; y mando que con respecto á sus bienes, edificio María Luisa y el Sr. Infante D. Francisco de Paula. y efectos destinados al culto se proceda según mis Reales decretos De Real orden lo participo á V. E. para su satisfacción y efec de 28 de Marzo y 10 de Abril últimos. Tendréislo ent…</t>
  </si>
  <si>
    <t>A, José María</t>
  </si>
  <si>
    <t>José María A</t>
  </si>
  <si>
    <t>Gaceta de Madrid n.º 182</t>
  </si>
  <si>
    <t>…ciudad que oportunamente se ha destruido ¿ b neficio de medidas D. Amonio Araujo , D. Juan de Cosío, D. Nicolás Mena, D. Pedro Tajonetamurias, aislando el mal en su origen, de que V- t. tiene cumplido conoci ra, D. Eduardo Valle, D. José María A bel la, D. Anacido Martí, D. Ma miento. En dos pueblos ma* de la provincia se han presentada uno ó dos casos nuel Fuertes , D. Joaquín Acevedo , D. Manuel de Lucas, D. Angel Domín sospechosos, que hasta ahora no resultan caracterizados, y de este modo confio guez de. Soto, D. José Moreno, D. Franci…</t>
  </si>
  <si>
    <t>Á, José Paco Canoras</t>
  </si>
  <si>
    <t>José Paco Canoras Á</t>
  </si>
  <si>
    <t>…e principios.. novzMC|A os ílubiia. No por cierto: la Francia no sufriría sola el embate de sus enemigos, el cual Sr. I). Joaquín Carrasco. r por otra parte tiene bastante vigor para resistir■,victoriosamente. La Bélgica, por Sr. D. José Paco Canoras. ■Á el norte, la Suiza por el este, entrarían con nosotros en-la lucha. Una neutra Sr- D. Miguel Chacón. lidad de papel impuesta á estpsdos países que gravitan en nuestra órbita políti ca , seria reemplazada al primer cañonazo por una alianzá que nacería ya fot- PIOVTVCIA OB BXtCKtOHA» mada de la misma…</t>
  </si>
  <si>
    <t>A, José Piquer</t>
  </si>
  <si>
    <t>José Piquer A</t>
  </si>
  <si>
    <t>…efecto. Los que al mismo tiecppo que la música obraba todo el efecto apetecible , tuviese el colocados en los costados habían sido ejecutados por D. José Ornes, y los de vestíbulo la magestad que exigía el objeto. los frentes por D. José Piquer. A derecha e izquierda de este ingreso, se hallaba un arco espacioso que Sobre la arquivoha del arco en fachada principal se colocó un escudo de servia de paso interior para las capillas. armas Reales de España, sostenido por dos mancebos, obra del mencionado El vestíbulo estuvo iluminado por dos cand…</t>
  </si>
  <si>
    <t>A, Juan</t>
  </si>
  <si>
    <t>Juan A</t>
  </si>
  <si>
    <t>21/07/1834</t>
  </si>
  <si>
    <t>Gaceta de Madrid n.º 154</t>
  </si>
  <si>
    <t>…os Sres. Rodríguez Paterna, González (Don pa de estos mismos cuerpos: asi como al teniente graduado y alférez D, Juta 'Antonio), Polo (D. José Miguel), Cuevas, Mcdrano, Ma: l i ncz de la Rosa, Lacera., y al de igual grado y clase D. Juan A roce na , ambos excedentes , y vizconde de S. Simón , marques de F.spinardo , Redondo, Cáceres , Latorre, que desempeñaban en la columna los encargos de aposentador y ayudante 4e García de la Mata , cOnde de Adaneto, y Fuster. Inmediatamente se inscribie la plana mayor -. añade dicho coronel que se…</t>
  </si>
  <si>
    <t>A, Marques de Guadaleszar</t>
  </si>
  <si>
    <t>Marques de Guadaleszar A</t>
  </si>
  <si>
    <t>Actividad económica o mercantil</t>
  </si>
  <si>
    <t>11/07/1834</t>
  </si>
  <si>
    <t>Gaceta de Madrid n.º 144</t>
  </si>
  <si>
    <t>…onvenio preliminar de amita t cd, comento y navegación concluido el 11 de Marzo de 1833 entre la ELECCION DE PROCURADORES DEL REINO. ' Francia y la república de Venezuela. rXOVTHCIA OS CÓXDOIA. ¿uis Ftlipe , rey de loe franceses. Sr. Marques de Guadaleszar. A lodos los presentes y venideros, salud.' Sr. D. José María Pedrajas. Hacemos saber que entre No* y la república de Venezuela se ha concluido Sr. Conde de las Navas. un convenio preliminar de amistad, comercio y navegación, firmado en Cara Sr. D. Pedro Alcalá Zamora. cas él día 11 del mes de Marzo d…</t>
  </si>
  <si>
    <t>A, Mattel'</t>
  </si>
  <si>
    <t>Mattel' A</t>
  </si>
  <si>
    <t>24/12/1834</t>
  </si>
  <si>
    <t>Gaceta de Madrid n.º 314 · suplemento</t>
  </si>
  <si>
    <t>…ón , que había sido verbal la que acudir los agentes, procuradores &amp;c.; y que la comisión en este pumo no reclamación, porque siendo por escrito, es claro que había de haber recaído había tenido todo el conocimiento necesario. El Sr. Mattel'. «A su tiempo, y cuando se haya de tratar de los dos pri ella. sobreuna resolución de Torremejía contestó que con tal de que constase en el meros particulares que propone la comisión, se podrán hacer todas esas indica El Sr. marques ciones, y el Estamento las tomará en consideración ó no. Yo creo que J…</t>
  </si>
  <si>
    <t>A, MINISTERIO DE LO INTERIOR</t>
  </si>
  <si>
    <t>MINISTERIO DE LO INTERIOR A</t>
  </si>
  <si>
    <t>18/06/1834</t>
  </si>
  <si>
    <t>Gaceta de Madrid n.º 121</t>
  </si>
  <si>
    <t>…dificultad en que se votasen algunos fondos para los infelices no. = Carabanchel 16 de Junio de 1834. = Al marques de Valverde. polacos refugiados actualmente en Inglaterra. Esta respuesta fue acogida por la Cámara con aprobación general. MINISTERIO DE LO INTERIOR. A consecuencia de una propuesta de M. C. Grant se nombró una comi Meal orden. sión para examinar un proyecto de comunicación entre Inglaterra y la Indis por medio de barcos de vapor. He dado cuenta á S. M. la Reina Gobernadora de la exposición Igualmente se ocupó la Cámara en varias leyes interesante…</t>
  </si>
  <si>
    <t>A, Nicolás María Garelly</t>
  </si>
  <si>
    <t>Nicolás María Garelly A</t>
  </si>
  <si>
    <t>17/05/1834</t>
  </si>
  <si>
    <t>Gaceta de Madrid n.º 86</t>
  </si>
  <si>
    <t>…insoga. Tendréislo entendido , y lo. comunicareis á las facultades de la corona para remediar los males de sus súbditos irlandeses* quien corresponda.=Está rubricado de la Real mano.=En Aranjuez (Courier.') a 14 de Mayo de 1834—Á D. Nicolás María Garelly. A consecuencia del decreto antecedente han sido nombrados al ____Escriben de Falmouth que ha llegado allí el Orestcs , que salió de Lisboa e) 22 de Abril y de Oporto el 25. Las noticias que da de Lisboa son que las caldes mayores interinos de Jerez de la Fron: a D. Isaac Bachiller operaciones militar…</t>
  </si>
  <si>
    <t>A, Pedro</t>
  </si>
  <si>
    <t>Pedro A</t>
  </si>
  <si>
    <t>31/07/1834</t>
  </si>
  <si>
    <t>Gaceta de Madrid n.º 164</t>
  </si>
  <si>
    <t>…!/r pies. La altura por D. Miooel Centín-ion.............................. ............................. ............... JÍO00 la parte del cabo de Taganrog á N. E. 45* La aldea de TurzofFa N; O. E. ¿° Mangarate, á S. Ef 26-J. ' D. Pedro A&lt;f«o f Remon.:............................................................. .500 D J. G&gt;....................... ¿............. ................................................. 40 En U extremidad meridional de la lengua de tierra (Rossa) de Petrucbi- Un Señora que no da el nombre....................…</t>
  </si>
  <si>
    <t>A, Rafael</t>
  </si>
  <si>
    <t>Rafael A</t>
  </si>
  <si>
    <t>20/10/1834</t>
  </si>
  <si>
    <t>Gaceta de Madrid n.º 248</t>
  </si>
  <si>
    <t>…. Según parte que con fecha 15 del presente da el gobernador civil y el' Ciudad-Peal 13 de Octubre. presidente de la junta de Sanidad de esta provincia, el dia 19 del propio mes El subteniente del regimiento provincial de Córdoba D. Rafael A riza, se cantaria el Je Deurn en su capital, mediante i que en los tres dias últi acompañado de los Urbanos D. Juan José y Eulogio Calbo, encontraron en mos no había ocurrido ninguna invasión ni fallecimiento, y que los pocos uno de los puntos mas escabrosos de la sierra Gorda á una partida en cuya…</t>
  </si>
  <si>
    <t>A, Sectetario.del Despacho de Hacien</t>
  </si>
  <si>
    <t>Sectetario.del Despacho de Hacien A</t>
  </si>
  <si>
    <t>30/12/1834</t>
  </si>
  <si>
    <t>Gaceta de Madrid n.º 320 · suplemento</t>
  </si>
  <si>
    <t>…uce la Guerra no pueden verificarse inmediatamente, sino con el tiempo y a medida sor no tendrá mas sueldo que 803 rs.: Yo creo que ninguno. Por io demás es- que ocurran, las vacantes. - - f*Oy de araúsi'do'con lo que ba dicho el Sr. Sectetario.del Despacho de Hacien «A la -primera clase corresponden la supresión del comisario, del picadqr, da: la f«*n*ben ¡qhe propone la comisión sus economías1* no-es á.propóaito para rde idos capellanes, la redacción de la gran masa,.y sobre todo la sujeción á -el .presupuesto'des año tenidero.,ptter muchas de ellas se muestran sol…</t>
  </si>
  <si>
    <t>A, Tabeau</t>
  </si>
  <si>
    <t>Tabeau A</t>
  </si>
  <si>
    <t>01/10/1834</t>
  </si>
  <si>
    <t>Gaceta de Madrid n.º 229</t>
  </si>
  <si>
    <t>…de un arancel común, y repartimiento de lo sis pies. S. S. fue recibido á su entrada, y acompañado á su salida por el en que producen los derechos, á prorateo de la población. cargado de Negocios del Rey de los franceses y por el cardenal Tabeau. A su Hasta aqui en estos proyectos de alianza comercial no hemos visto hacer vuelta al palacio Quirínal, el Papa fue aclamado por el pueblo con grandes ningún papel i la Prusia, que hoy es el centro de la asociación alemana. En muestras de adhesión y respeto. 1828 se presentó en la escena, y concluyó…</t>
  </si>
  <si>
    <t>A, Winchelsea</t>
  </si>
  <si>
    <t>Winchelsea A</t>
  </si>
  <si>
    <t>09/08/1834</t>
  </si>
  <si>
    <t>Gaceta de Madrid n.º 174</t>
  </si>
  <si>
    <t>…, cuya larguísimo discurso: ya ha recibido contestación, y no obstante quiere replicar: adopción se ha creído de absoluta necesidad antes de que se cierre el Parla- nada es mas contrario al órden. meato. (Globe and Traveller.) El conde Winchelsea- «A lo menos se me concederá que nO he hecho preguntas por espíritu de partido: mi único objeto ha sido obtener una decla El doctor Bowring salió ayer de Lóndrcs con dirección á París, donde ración de principios del actual ministerio,” debe desempeñar las comisiones de que está encargado, (Jdl) E¡ marq…</t>
  </si>
  <si>
    <t>A-provecho</t>
  </si>
  <si>
    <t>07/09/1834</t>
  </si>
  <si>
    <t>Gaceta de Madrid n.º 205</t>
  </si>
  <si>
    <t>…f de CorreQS. Para Canarias........ ...... 38a iyo qS. Para ludias........... ...... 4oa &gt;a* too. GACETA DE MADRID. ARTICULO DE OFICIO. tubquia. ■\ Constantino fia 28 de Julio. S. M. tí Rfi-t* miesíra-Señorau su augusta Madre' la Reina A-provecho la salida de un correo para anunciaros que la rebelión de Siria Gobernadora y la Serma, Sra. Infanta Doña María Luisa, continúan toma un carácter muy sério. Ibrahím-baja tendrá mucho trabaja para sostener sin novedad en su importante salud en el Real sitio del Pardo. se , porque en muchos puntos, y pr…</t>
  </si>
  <si>
    <t>A-solicitud</t>
  </si>
  <si>
    <t>…' l ■ , . . "Extracto del .pair¥e reiÍ&lt;ttT3o,fb* *í'¿&lt;S|feett,ador c¡»il dé-la prQviritia de B*- Parti ranitarh thiót. jnuHosyut tit il a* iitm. dsjózD.' Martín dí ílfieda^kóñ fécfii'tl® 19 de-julio actusl;,. ^.v.- / . ■t . Kwjim Sr.: 'A-solicitud de alguno» pueblos, prévios los informesquo Tueblés. ‘Días. , BnférmoSv Ctnadés. Fallecidos. me bao acreditadoia utilidadde la medida, he concedido los repartimientos ■i. . í &gt;. V de algunga tcrrenosbaldíos, hacienda que los icpartoshayatt recaído siempre • ' ' . «personas qqe tanque no^de muchoa'posi…</t>
  </si>
  <si>
    <t>A.e, Jusé Miguel</t>
  </si>
  <si>
    <t>Jusé Miguel A.e</t>
  </si>
  <si>
    <t>27/03/1834</t>
  </si>
  <si>
    <t>Gaceta de Madrid n.º 38</t>
  </si>
  <si>
    <t>PDF p. 6</t>
  </si>
  <si>
    <t>…e observaciones id o1o¿k is sunre la cap.iCidad dp ios sordo complacerle, e^rihio este sumario de |js h.i/.Ta* de *u c&lt; ir.p.mero de armas. mudo*ed emn parade 1807.a-, deasa 16a osrs.tracen t.*¿pastaV ¿‘-neniesv 12 e*n . rama.por D. Jusé Miguel A.e-, Un tomo en íi.°, Aunque e&lt;u o!»ra no Ce ;m¿ :e a nías que una ve/ en bevúu en 1527, no des -------h. arre mar ara ,osv Je ensenar a hafriar a ^s sor Jo-mudos , arte verdaderamente inspirado por .a virtud . de nido en su origen , como iodos sanen, j. d »’n*imo mon¿emerece un lucir entre lo* os i.ot…</t>
  </si>
  <si>
    <t>A.trggyt</t>
  </si>
  <si>
    <t>28/10/1834</t>
  </si>
  <si>
    <t>Gaceta de Madrid n.º 256</t>
  </si>
  <si>
    <t>…difliyá'tseniiPHibrar.át)^ ViccntcGiroiá YÍffefeíandbS’, ;c&lt;lní!gfd(?f- (S: Jáefl : ~jiaráJ. la áe teniente1 ebrregiddr de Midridj ^uebl&lt;4., . Días; Enfermo^. t Carados. ¡fálíccidQS. . á 'ETMIguel de tos R-iofe1? irOtti’fe'^n' J¿;D.'"A.trggyt*erÍ!aiidez tjar-é ^ . ' 1 • K - • ; •• . ■ r . —..... 14-i‘.. j vacante'tkjfir ,pfe^áUUi-^e’ tj&gt;~de r9fñé¿ítc‘de• Al ^Tásisfen:té(tcícfttwté ^AíLtliinridé^Scviltt y’ rJ¿tt¿--partt ía c^&amp;Tnélo: . Del vocioda— , l *s«jííracíoii^cle tí. Jtáé t?^a4eda, á ü:. V^IcarccL* Támbicn ha TeBÍ;Í6 Jí'‘tü'■:*JJ3_…</t>
  </si>
  <si>
    <t>Aaisson</t>
  </si>
  <si>
    <t>18/03/1834</t>
  </si>
  <si>
    <t>Gaceta de Madrid n.º 34</t>
  </si>
  <si>
    <t>…..ir4j \ . E. la bizarría w-ofi que se ^oncujeron dos se leí anta la sesión, suspendiendo hasta la del sabado pruximo el decidir ñus oficiales y trepa. La peidioa ce los enemigos resulta por ahora ser de 15 sobre la propuesta dei Sr. Aaisson. fniiCitos y un excesivo numero de heridas que condujeron consigo, ha»¡ nadóse ESPAÑA. entre lr&gt;» muerto» un oficial según pa.ccia p&lt;‘r su trage. Signifique a \ . K. que en aquella gloriosa jornada hubo vaóos oficiales e individuos üe tropa que »e Madrid 17 de Marzo. señalaron por su valor entusiast…</t>
  </si>
  <si>
    <t>Aalttd</t>
  </si>
  <si>
    <t>30/09/1834</t>
  </si>
  <si>
    <t>Gaceta de Madrid n.º 228</t>
  </si>
  <si>
    <t>…S. A. R. ct duque de Or.eaer* tro «xtranger(is, pegando el derecho que en ella se estaldace. dio uty almuerao, i que avinieron los ofi»;ial-s generales, brindando S. M. a U Ai Jtr¿si3íllte de la '«[tita de Araftácles dice el Sr, Secretario’ Aalttd del comandxnTe oe las tropas del campo»</t>
  </si>
  <si>
    <t>Aapíroz, Antonio</t>
  </si>
  <si>
    <t>Antonio Aapíroz</t>
  </si>
  <si>
    <t>31/12/1834</t>
  </si>
  <si>
    <t>Gaceta de Madrid n.º 321</t>
  </si>
  <si>
    <t>…rigodones ae la Nstma, Citara, Scnámhula, para piano d guitarra^ la columna móvil de la Galera con TecEá de hoy me dice lo que copio: k-i cad* una: Se sallárán en Madrld ra et almacen de múxlca dc ¿odre, carrera de El Sr. coronel D. Antonio Aapíroz, comandante dé las tropas del bsjó cor- San Gerónimo, nñm. 23, con la Instrucción y recreo pára píanopór todos los tobos de las plézas saleadas ile las óperas éias laodenut , y para saiayDt facilidad están las notas regimiento, pn oficio de anoche m* dice lo que copitír En la-glbriosa: jornada nume…</t>
  </si>
  <si>
    <t>Aapíroz, D Antonio</t>
  </si>
  <si>
    <t>D Antonio Aapíroz</t>
  </si>
  <si>
    <t>…ndas de rigodones ae la Nstma, Citara, Scnámhula, para piano d guitarra^ la columna móvil de la Galera con TecEá de hoy me dice lo que copio: k-i cad* una: Se sallárán en Madrld ra et almacen de múxlca dc ¿odre, carrera de El Sr. coronel D. Antonio Aapíroz, comandante dé las tropas del bsjó cor- San Gerónimo, nñm. 23, con la Instrucción y recreo pára píanopór todos los tobos de las plézas saleadas ile las óperas éias laodenut , y para saiayDt facilidad están las notas regimiento, pn oficio de anoche m* dice lo que copitír En la-glbriosa: jornada nume…</t>
  </si>
  <si>
    <t>Aazmta, Principe</t>
  </si>
  <si>
    <t>Principe Aazmta</t>
  </si>
  <si>
    <t>11/12/1834</t>
  </si>
  <si>
    <t>Gaceta de Madrid n.º 300</t>
  </si>
  <si>
    <t>…ón en todas las provincias del Imperio. Convenio y contrato matrimonial entre S. Ai. la Señora Doña Ataría r r. Art. 3ü. Mientras el regente toma el mando, en su ausencia ó impe Reina ae Portugal v Je los Algarves , r S. A. R. el Sr. Principe Aazmta dimento, ejercerá el supremo poder el ministro de Estado del Imperio, y en Carlos Pugenio Aaroleon, Du.¡ue ae Leutktemberg r Santa Cruz, Prin ausencia ó por impedimento de este, el de Justicia. cipe de hichstett, primer Par hereditaria del reino de Baviera. Arf. 31. La regencia actual ejercerá el m…</t>
  </si>
  <si>
    <t>Abad, Manuel</t>
  </si>
  <si>
    <t>Manuel Abad</t>
  </si>
  <si>
    <t>Gaceta de Madrid n.º 110</t>
  </si>
  <si>
    <t>…antener su influencia en Suiza. cal del supremo tribunal de Espana-é Indias, con la calidad de pre {Mensajero*) sidente, á D. Rodrigo María Moscoso, y á D. José del N alíe y Re— INGLATERRA. fart, abobados del colegio de Madrid; á D. Manuel Abad, primer Landre* 28 de Mayo,escribano de Cunara del supremo tribunal de España é Indias, y á D. Jor^e Martínez, relator del misino. I codiciólo entendido, y dis- Fondo* fubVsco*. Tres por 100 consolidados 02f* pond’eis lo necesario á su cumplimiento.=L st.i i u rieado de la JL al .M. Stanley , sir J…</t>
  </si>
  <si>
    <t>Abadía, Antonio Martcl y</t>
  </si>
  <si>
    <t>Antonio Martcl y Abadía</t>
  </si>
  <si>
    <t>01/07/1834</t>
  </si>
  <si>
    <t>Gaceta de Madrid n.º 134</t>
  </si>
  <si>
    <t>…allero, propietario.con respecto i la Francia hace que.su enemistad ó malevolenciaaea muy peligro Sr.-D. Miguel Calderón de la Barca, propietario.sa .para nosotros; porque pueden hostigarnos par el Mediodía, mientras nosotros Sr. D. Antonio Martcl y Abadía, propittarib.tenemos que defendernos por el Norte. Toda nuestra lucha , toda nuestra glo ría, todo nuestro porvenir están en. nuestras fronteras del Norte y del Este. Por estas.pqertas.c$.:par donde entramos en el coso, pero no podemos hacerlo Parte recibido en la secretaría de Estado y del Despach…</t>
  </si>
  <si>
    <t>Abadía, D Antonio Martcl y</t>
  </si>
  <si>
    <t>D Antonio Martcl y Abadía</t>
  </si>
  <si>
    <t>…Caballero, propietario.con respecto i la Francia hace que.su enemistad ó malevolenciaaea muy peligro Sr.-D. Miguel Calderón de la Barca, propietario.sa .para nosotros; porque pueden hostigarnos par el Mediodía, mientras nosotros Sr. D. Antonio Martcl y Abadía, propittarib.tenemos que defendernos por el Norte. Toda nuestra lucha , toda nuestra glo ría, todo nuestro porvenir están en. nuestras fronteras del Norte y del Este. Por estas.pqertas.c$.:par donde entramos en el coso, pero no podemos hacerlo Parte recibido en la secretaría de Estado y del Despach…</t>
  </si>
  <si>
    <t>Abadía, D Francisco Javier</t>
  </si>
  <si>
    <t>D Francisco Javier Abadía</t>
  </si>
  <si>
    <t>20/04/1834</t>
  </si>
  <si>
    <t>Gaceta de Madrid n.º 59</t>
  </si>
  <si>
    <t>…Real de España é In ta expedición no se embarcarán nuevas tropas, ni se hará otra cosa dias creado por mi decreto de 24 de Marzo último vengo en nom mas que aumentar con 4^ hombres la guarnición de Argel. Se cree brar al teniente general D. Francisco Javier Abadía, á los maris que dentro de algunas semanas pasará á Africa el duque dp Orleans, cales de campo D. Felipe Montes y D. Gaspar Dirucl y á Don y aun asegura un Diario ministerial que se le confiará Al mando Tomas González de Carvajal, ministro que fue del suprimido con del ejército. sejo de la Guerra.…</t>
  </si>
  <si>
    <t>Abadía, Federico</t>
  </si>
  <si>
    <t>Federico Abadía</t>
  </si>
  <si>
    <t>14/09/1834</t>
  </si>
  <si>
    <t>Gaceta de Madrid n.º 212</t>
  </si>
  <si>
    <t>…á quien suponía habría llegado ó estaría próximo ¿ tocar en mento: de cargar; y mi ayudante el alférez de granaderos i caballo de la guardia Briviesca, se trasladase con la fuerza que allí se hubiese reunido á la Berzosa, y Real D. Federico Abadía, dió la ótdcn al coronel Amor de que lo verificase yo continué rápidamente sobre este pueblo con.mi pequeña columna. - , con la fuerza de su mando; pero nuestra caballería, aménazada por su frente «Como el encuentro de los rebeldes se habia verificado en el punto de por la enemiga, y acribillada po…</t>
  </si>
  <si>
    <t>Abadía, Francisco Javier</t>
  </si>
  <si>
    <t>Francisco Javier Abadía</t>
  </si>
  <si>
    <t>…España é In ta expedición no se embarcarán nuevas tropas, ni se hará otra cosa dias creado por mi decreto de 24 de Marzo último vengo en nom mas que aumentar con 4^ hombres la guarnición de Argel. Se cree brar al teniente general D. Francisco Javier Abadía, á los maris que dentro de algunas semanas pasará á Africa el duque dp Orleans, cales de campo D. Felipe Montes y D. Gaspar Dirucl y á Don y aun asegura un Diario ministerial que se le confiará Al mando Tomas González de Carvajal, ministro que fue del suprimido con del ejército. sejo de la Guerra.…</t>
  </si>
  <si>
    <t>Abadía, Javier</t>
  </si>
  <si>
    <t>Javier Abadía</t>
  </si>
  <si>
    <t>…drid 20 de Abril de 1834-mJosé García Herreros; D. José Ayuso. e Imáz.=Sr. presidente del tribunal supremo de Hacienda. la de al marques de de Nueva Espa Para la Reunión Guerra al general decano; á loa PARTE NO OFICIAL. Francisco teniente Javier Abadía; D. ña, mariscales de campo D- Felipe Montes y D. Gaspar Diruel, y á NOTICIAS EXTRANGERAS. y D. Tomás González Carvajal, ministro que fue del suprimido Con sejo de la Guerra. INGLATERRA. Para la de Hacienda á D. Antonio Martinez, decano; D. Fran Lóndres 8 de Abril. cisco López Alcáraz; D. Jacobo Ma…</t>
  </si>
  <si>
    <t>Abajo, Sebastian</t>
  </si>
  <si>
    <t>Sebastian Abajo</t>
  </si>
  <si>
    <t>16/12/1834</t>
  </si>
  <si>
    <t>Gaceta de Madrid n.º 305</t>
  </si>
  <si>
    <t>…Loecbes, se cita por término de 15 dias á los que te crean con derecho á los bienes que han quedado por fallecimiento de Doña Manuela Gomes, y no salió de palacio hasta mas de las seis. Se dice que en estas tres horas ha viuda de D. Sebastian Abajo, vecina que rué de esta corte* ¿ fin de qúe acudan á de estado encerrado con el Rey conferenciando los dos solos. (Idem.) ducirle al citado juzgado y escribanía; en inteligencia que de n« hacerlo se seguirán lot ) autos de testamentaria según su estado, y Jes parará perjuicio. -r—Por providencia de…</t>
  </si>
  <si>
    <t>Abar</t>
  </si>
  <si>
    <t>15/08/1834</t>
  </si>
  <si>
    <t>Gaceta de Madrid n.º 180 · suplemento</t>
  </si>
  <si>
    <t>…o Gobierno p3ra clavar el puñal en la pa virtud habia nombrado las comisiones ordinarias siguientes: tria. Es cierto, señor, que c&gt;ta responsabilidad no pé&gt;a sobre el actual mi Del Interior: Sres. Accvcdo , Ochoa , Riva-hcrrera , Caballero, Abar nisterio, porque sus empi.’-tdos han debido su nombramiento á circunstancias ques, conde de las Navas y Calderón de la Barca. anteriores á la ¿poca aciaga en que los ministros eran tan facciosos como e”.o&gt;. De Guerra: Sres. Serrano, Butrón, Hubert, Rodríguez Paterna, Me- , Pero e*jj triste experien…</t>
  </si>
  <si>
    <t>Abar-'irs</t>
  </si>
  <si>
    <t>…gajes. Compárense estos con los principios ros suele hasta pagarsejrtir de España; pues todavía no se han olvidado de que de los diplomáticos." . _ era señora de nqoftímas minas. Asi , pues, no tengo datos suficientes para juz El Sr. Abar-'irs: « A lo expuesto por el Sr. Torrera:jía solo añadiré que gar si será bastante lo que propone la comisión. entuna época en que hasta los mas grandes Monarcas y Emperadores viajan de «Respecto á los agregados mi opinión es que conviene darles alguna su - incógnito con toda comodidad, no es necesario…</t>
  </si>
  <si>
    <t>Abarg'ues</t>
  </si>
  <si>
    <t>05/08/1834</t>
  </si>
  <si>
    <t>Gaceta de Madrid n.º 169 · suplemento</t>
  </si>
  <si>
    <t>…el proyecto vuelva á l*_comision para que El Sr. Redonda pronunció un larguísima discurso, que no pudo oirte por esta lo reforme en el sentido indicado.” la poca voz del orador. Sin embargo , por loque pudo percibirse se cóttoció Sr. Abarg'ues: La comisión no ha tenido necesidad de tomar ideas .pres * que siguiendo la misma mircha que los Señores Procuradores que le habían tadas de los pufelicisus-extrangeros, ouando^a pedido la lrberwd,de-rtrrprenta: L precedido; irapugfeó la tóulidadtLI proyectoípor considerar inopqguno ex los diarios…</t>
  </si>
  <si>
    <t>Abarguct</t>
  </si>
  <si>
    <t>23/08/1834</t>
  </si>
  <si>
    <t>Gaceta de Madrid n.º 189 · suplemento</t>
  </si>
  <si>
    <t>…s muy terminante, y darle mas extensión creo serla individual es la que mas le llama la atención. Yo no veo que la ley prohíba faltar á lo que dice,” la admisión del Sr. Vadillo: tenemos un medio conciliador, cual es ampliarle Si Sr. Abarguct: «Esté es un caso verdaderamente extraordinario y que el término.*’ debe llamar la atención del Estamento. Cuando la benemérita provincia de Cá El Sr. Medrano: »La comisión ha considerado la cuestión bajo el punto diz nombró al Sr. Vadillo, no creyó que hubiese alguna ley expresa que pre que debía.…</t>
  </si>
  <si>
    <t>Abargueí</t>
  </si>
  <si>
    <t>26/09/1834</t>
  </si>
  <si>
    <t>Gaceta de Madrid n.º 224 · suplemento</t>
  </si>
  <si>
    <t>…i 12 propuesto por el Gobierno,.y al cual adhiere la minoría de la com-sion ** millones de reales solamente, y otros que han hablado en el mismo sentido hin dicho que estas no percibieron un cuarto, y que los 10 ó 12 millones El Sr. Abargueí : «Mis dignos compañeros, los Sres. Tórremejia v Palarea, han hablado ya tanto sobréta odiosidad del empréstito de Guebhard, que fueron una anticipación del Gobierno francés para vestir las milicias provin creo nada hay que añadir; pero sin embargo, haré una ligera observación , y ciales y cuerpos…</t>
  </si>
  <si>
    <t>Abargues</t>
  </si>
  <si>
    <t>01/09/1834</t>
  </si>
  <si>
    <t>Gaceta de Madrid n.º 199 · suplemento</t>
  </si>
  <si>
    <t>…se hubie&gt;en «o hay ningún* rtzon para ello. Asi pues mi dictamen es que debe mandarse trasladado de sus canongías ac rúa les á otras vacantes. v sobreseer en los citados juicios pendientes, y que queden en ei estado en que se «El Sr. Abargues impugnó al Sr. preopinante, é insistió en fa idea del se hallen actualmente" ñor Torremejú, de que no debía declararse ninguna exención í favor de los » El Sr. Serrano : «Las razones que ha expuesto el Sr. preopinante tendrían canónigos de Santiago porque disfrutaban bastante renta, y aun podían en…</t>
  </si>
  <si>
    <t>09/10/1834</t>
  </si>
  <si>
    <t>Gaceta de Madrid n.º 237 · suplemento</t>
  </si>
  <si>
    <t>…mentos, i fin de que aparezca mas justificada la opi nazas, y aun asi los principales cuerpos del Estado la rechazaron en cuanto nión de la comisión.” pudieron: que Ja consulta del Consejo se quemó porque era enteramente opues El Sr. Abargues: •&gt;Cuando el gran Cárlos tn bajó al sepulcro, dejó á ta á la introducción de tal ley , y se desterró al presidente Ronquillo: que las la nación española fuerte y robusta; pero son tantos los vicios del despotismo, Córtes en que se presentó, no fueron reunidas como prevenían las leyes fun que toda l…</t>
  </si>
  <si>
    <t>…á contestar se han pedido informes á corporaciones y personas respetables de las provin el Gobierno-” cias sobre la conducta de los empleados, y las contestaciones les han sido poco Se volvió á leer la proposición á petición del Sr. Abargues, y el Sr. Me favorables, considerándolos como facciosos. Sin embargo de esto, ninguna diano manifestó le parecía contraria al artículo 31 del Estatuto. medida se ha tomado hasta ahora sobre e! particular. Al aumentarse los males El Sr. Secretario del Despacho de lo Interior: "Insisto á nombre del d…</t>
  </si>
  <si>
    <t>18/10/1834</t>
  </si>
  <si>
    <t>Gaceta de Madrid n.º 246 · suplemento</t>
  </si>
  <si>
    <t>…an puesto siendo legítimos: de este modo se ga. No es la legitimidad la que puede dar entrada en La actualidad á los actos somete i la discusión.” &gt; en cuestión , sino la conveniencia. En este concepto diré luego cómo se me fi El Sr. Abargues: «Poco hay que añadir habiendo óido los discursos de gura qae debería redactarse este artículo. De los términos en que este se halla los Sres. Arguelles, Alcalá Galiano y otros Sres. Procuradores, para hacer concebido , resulta un error , que es confirmar, lo que no puede ser la inten ver qué la cu…</t>
  </si>
  <si>
    <t>19/11/1834</t>
  </si>
  <si>
    <t>Gaceta de Madrid n.º 278 · suplemento</t>
  </si>
  <si>
    <t>…s, individuos que oduidos del alistamiento ios notoriamente conocidos por desafectos al Gobier no debiesen, serlo, y en otros se excluiría acaso á todos los que .debiesen estar . no representativo.” inscritos.. • , . .. - &gt;■ ¡-El Sr. Abargues -. »La adición que acaba de oír el Estamento es del ma ’iPor esto, para satisfacer los deseos de los Sres. Procuradores, mé parece yor interés y utilidad. La guerra civil que actualmente aflige á la Península que no hay medio mejor que el propuesto por el Gobierno. Ya el Sr. Cuesta puede ser una guerra di…</t>
  </si>
  <si>
    <t>19/12/1834</t>
  </si>
  <si>
    <t>Gaceta de Madrid n.º 309 · suplemento</t>
  </si>
  <si>
    <t>…tos Padres la cantidad de 12 millones, y que cree que el Es García, Romarate, Butrón , Garay, Laborda, Polo y Monge, Camps y So tamento debe hacer ahora lo mismo.” ler, San Simón, A rango, Ayala, Ferrer, Marques de Someruelos. El Sr. Abargues: «Siempre tendré placer en rendir un homenage á nues Señores que desaprobaron: Llano Chavarri, Samponts, Palaudarias, Puig, tra augusta Riuna Gobernadora por habernos restituido las leyes fundamenta Istúríz, conde de las Navas, Caballero, Ciscar, Fontagud Gargolio, Galwe\, les de la monarquía, anun…</t>
  </si>
  <si>
    <t>…cto no había razón mantenerle: Rentas'tiene en el priorato de S. Juan, y eso ya lo veremos en para asignar cantidad alguna al Infante D. Sebastian. otro lugar. Por consiguiente ,si la Nación está tan cargada y tan vejada, y no El Sr. Abargues manifestó que había mil razones para que al Infante Don sotros tenemos obligación de aliviarla, no permitiendo que pesen sobre ella Sebastian no se le diese absolutamente nada: que sin entrar á hacer la pintura mas cargas que las que en justicia debe llevar, repito que no asistiendo esta al de la d…</t>
  </si>
  <si>
    <t>…»rrasco, Chacón , Claros, González ( D. Antonio), Marín , Llano del Despacho h«n creido de su deber vindicar de ella al Sr. Infante; si bien Chavarrí, Torren1», Ulloa, Istúríz, Vahiüo, López de Pedr.ijis, conde de la* creo que el Sr. Abargues no haya tenido por objeto dirigir contra esa augusta Navas, Sánchez Toscano, Florez, Belmonte, Caballero, C«no Manuel, Cha persona tan no merecida acusación.” cón , Serrano ( D GineO, Porret, Ferrer, Pizarro, HeroÜa , Serrano ( Don El Sr. Abargues, para deshacer equivocaciones, dijo que había asegu…</t>
  </si>
  <si>
    <t>31/08/1834</t>
  </si>
  <si>
    <t>Gaceta de Madrid n.º 198 · suplemento</t>
  </si>
  <si>
    <t>…-; que deben ser el »Ha dicho también el Sr- González que todos los publicistas están de norte y guia de los legisladores.” acuerdo en que aun cuando las leyes no ¡deban tener efecto retroactivo , debe Después de haber hablado el Sr. Abargues contra el art. 2.° que se dis sujetarse este principio al de utilidad y de conveniencia pública. Tan al con- cutía, se preguntó, á petición del Sr.üchoa, si el punto estaba suficientemente trario &lt;-*, q.&lt;e no &lt;• virti. un-eolo publicista que haya sostenido esa doctrina : y discutido, y se declaró q…</t>
  </si>
  <si>
    <t>Abargues, El Sr</t>
  </si>
  <si>
    <t>El Sr Abargues</t>
  </si>
  <si>
    <t>…s no haya tenido por objeto dirigir contra esa augusta Navas, Sánchez Toscano, Florez, Belmonte, Caballero, C«no Manuel, Cha persona tan no merecida acusación.” cón , Serrano ( D GineO, Porret, Ferrer, Pizarro, HeroÜa , Serrano ( Don El Sr. Abargues, para deshacer equivocaciones, dijo que había asegu Francisco) , Acuña , Diez González, Blanco, Mantilla , manques de M jnterado que D. Sebastian estaba mas cerca de D. Miguel que de U Reina; pero vírgen, Ciscar, Bucesta, Olmedilla, Calderón de la Birca, Fontagud G»tvoque lo había dicho sencillamen…</t>
  </si>
  <si>
    <t>Abarques</t>
  </si>
  <si>
    <t>29/08/1834</t>
  </si>
  <si>
    <t>Gaceta de Madrid n.º 195 · suplemento</t>
  </si>
  <si>
    <t>…es, sino de pregun «Por otra parte es un principio general de justicia que en el estableci tarse sí el asunto se halla suficientemente discutido.” miento de una imposición debe atenderse, tanto al estado &lt;JcJ que la ha de dar, El Sr. Abarques: «No es mi ánimo entrar en la—cuestión sobre el ori ¿omo al de quien la ha de recibir. Aplicando este principio ai caso presente, pe gen verdadero ó falso de ese tributo , y la injusticia con que se exige, ni sobre rnos la diferencia entre los contribuyentes y los que perciben Ja contribución. las…</t>
  </si>
  <si>
    <t>29/11/1834</t>
  </si>
  <si>
    <t>Gaceta de Madrid n.º 288 · suplemento</t>
  </si>
  <si>
    <t>…Caballero.—Abdon Ruiz de Car r ion.mG mes María Serrano.zc trucción de la nueva carretera de Valencia á esta corte, llamada de las Cabri José Cuevas.” llas. Nada mas evidente que la utilidad, ó mejor la necesidad de caminos en El Sr. Abarques: ”I.os que hemos tenido el honor de firmar la petición España; pero ni tampoco mas cierto, que bien .continúe el sistema seguido que acaba de oír el Estamento, no desconocemos ni la necesidad de proteger ia hasta ahora, de costear las obras públicas aquellos pueblos ó provincias en cu clase product…</t>
  </si>
  <si>
    <t>30/08/1834</t>
  </si>
  <si>
    <t>Gaceta de Madrid n.º 196 · suplemento</t>
  </si>
  <si>
    <t>…no. Supongo que el objeto de los Sres. peticionarios es que la ley que esa comisión, supuesto que el Gobierno ha remediado ya los demas extremos.** piden tenga todas las circunstancias necesarias para constituir una buena ley. El Sr. Abarques: «He pedido la palabra, no para entrar en la cuestión Pero ¿en qué consiste esta bondad? Esto es lo que debieran añadir. Y ¿de qué. de si el mal es contagioso ó lío, sino para apoyar la petición, á fin de que do. servirá toda su bondad si no se observase? este modo se puedan cortar las providencias…</t>
  </si>
  <si>
    <t>Abascal, Manuel</t>
  </si>
  <si>
    <t>Manuel Abascal</t>
  </si>
  <si>
    <t>…te* consideración. — támen de la comisión.” El Sr Secretario del Despacho de Estado: «Voy meramente á satis Resúmen, facer el deseo de S. S., sin entrar en la cuestión política. El consejo de Go bierno nombró portero mayor suyo ¿ D. Manuel Abascal, que ha servido Sueldos......... ........................................ 3.026,000 muchos años en la secretaria de Estado con excelente conducta y comporta Gastos de escritorio......... ...................... 56,000 miento, que le acarreó muchos padecimientos en los últimos diez años. Se le nombró…</t>
  </si>
  <si>
    <t>Abase, Manuel</t>
  </si>
  <si>
    <t>Manuel Abase</t>
  </si>
  <si>
    <t>27/09/1834</t>
  </si>
  <si>
    <t>Gaceta de Madrid n.º 225</t>
  </si>
  <si>
    <t>….. Córdoba- tancias: h-n de tener tirulo Real de sus exámenes. 8/13. 400.... Murcia. ------Sí c ita a todos los que se creáo con derecho á los bienes que han quedado por muer te de D iña Teresa Sánchez Beato, y k los de su marido D. Manuel Abase? I, para que 7,906. 400.... Algccirai en el preciso término de H dias comparezcan á usar de él, ante el Sr. Norzagaray, por 15,881. 400.... Cádiz. la escribanta de Quintas, donde se ba radicado la testamentan*de aquella; apercibidos 14,856. 400.... Idem. que de no hacerlo les párará perjuicio, 12,9…</t>
  </si>
  <si>
    <t>AbeHemos, Miguel Falcon</t>
  </si>
  <si>
    <t>Miguel Falcon AbeHemos</t>
  </si>
  <si>
    <t>12/12/1834</t>
  </si>
  <si>
    <t>Gaceta de Madrid n.º 301</t>
  </si>
  <si>
    <t>…alvache y Moya, alcalde mavor merece ser acusado y castigado como traidor, porque viola un pacto y un ju de Tarragona; á D. Ramón Fernandez Broto, alcalde mayor de Potes; á ramento. D. José El ola, alcalde mayor de Conccntaina; a D. Miguel Falcon AbeHemos visto en un periódico contemporáneo censurar repetidas veces lian, alcalde mayor de Albaida; á D. Jos-- Luis García, alcalde mayor de y con la mas injusta acrimonia la conducta del duque de Palmclla; y sin Chiva; a D. Francisco de Paula Caballero Infante, alcalde mayor de Don guardar consideración…</t>
  </si>
  <si>
    <t>Abella, Pedro Josef</t>
  </si>
  <si>
    <t>Pedro Josef Abella</t>
  </si>
  <si>
    <t>21/01/1834</t>
  </si>
  <si>
    <t>Gaceta de Madrid n.º 10</t>
  </si>
  <si>
    <t>…con toda suerte de Bcndíc Temes. En la iglc&gt;u de San? í‘ , Qnesada. (id. id. de) í ; ta María de Monserrate y de Santiago todos los sacerdotes, por di&gt;po&gt;icion deL, J Redopdel». (el ayúntámierito de) Sr. auditor de U sagrada Rota D. Pedro Josef Abella )j Navarro, celebraron í.' Riaza. (unos vecinos de) por DUcve dias consecutivos el santo saenfiosb de la misa J mientras preparaban Ripoll; &lt;W ¿tealdté máyóry ayumamieñrp ¡dé), ^ unas solemnes exequias que se verificaron el rí^dd^coF-ncnte cr. dicha iglesia, Rota.' (el comandante dé amias y todos l…</t>
  </si>
  <si>
    <t>Abellan, Miguel Falcon</t>
  </si>
  <si>
    <t>Miguel Falcon Abellan</t>
  </si>
  <si>
    <t>30/05/1834</t>
  </si>
  <si>
    <t>Gaceta de Madrid n.º 99</t>
  </si>
  <si>
    <t>…a universidad de Charkoff tiene una dotación de 52 profesores y empleaddas: para la de Alba de Tormes á D. Benigno Martínez Vidal: para dos , y el número de estudiantes asciende á 464. El año anterior SO de los úl la de Albaida á D. Miguel Falcon Abellan : para la de Alniendra- timos acabaron sus cursos, y se retiraron sin exigir diplomas; 87los recibieron. lejo á D. José Galvez Cañero: para la del Barco de Avila á D. José En la universidad de Cassan hay 209 profesores y empleados, y el mismo número de estudiantes. En la universidad de Dorpat hay 6…</t>
  </si>
  <si>
    <t>Aberdeen</t>
  </si>
  <si>
    <t>…el pago de todas las pensiones liquidadas ó que tido el duque de Wellington, sir Rolrerto Peel, sír 'Edmundo Knatchbull, Se liquíden por servicios anteriores al citado dia l.° de Enero de 1836, respec Me. Goulbur.n , Mr. Herries, lord Aberdeen, el conde de Rotslyn, los lores to'á las cuales se continuarán, observando los reglamentos que en el dia Cowley y Maryborough, y_sir Enrique Hardingé. Estos probablemente son rigen. _ ^ los elementos de que va á componerse el nuevo ministerio. Lord Holla nd, Art 2.° «Para remunerar los servicios qu…</t>
  </si>
  <si>
    <t>Abérgde</t>
  </si>
  <si>
    <t>…go; j cin c) mismo caso que yo pienyo que se halla el ir. Martínez de la parte esté mal ordenada. La utilidad dél jurado es innegable; y no porqué4’M* sombra; como i la de todas las cotas, té hayan cometido delecto* ¿ ¡¿justi JO Sr. Abérgde* volvió i lomar la palabra para manifestar en contesta cias, debe «{educirse que no ea venltjoto. . . ción al Sé. Toreno, qoe ta objeto 'no había sido decir precisamente que en los «Creo qué en iguales términoé que el Sr. Santafé se ha expresado elSr. Re dlaaio* drQbtn dé entonces sa leía que el Sr…</t>
  </si>
  <si>
    <t>Abnal</t>
  </si>
  <si>
    <t>06/03/1834</t>
  </si>
  <si>
    <t>Gaceta de Madrid n.º 29</t>
  </si>
  <si>
    <t>…conocimiento de S. M. L Dios guarde á V. E.zr IDBH DB IOS Sesión del dia 18. Cuartel general de Cartazo i J8 de Febrero de 1834-=Excmo. Sr^sEI conde de Sal daña.=Excmo. Sr. D. Agustín José Freiré. (Diario mercantil de Cádiz.') El conde Abnal lee el informe de la comisión que ha examinado el pro yecto de ley relativo al aumento del cuerpo de gendarmas. La Cámara manda Madrid S de Marzo. que se imprima y distribuya para discutirlo en ia sesión del dia 21 del cor— •xieote. El ayuntamiento y vecindario del valle de Peñametera la alta ha di…</t>
  </si>
  <si>
    <t>Aboin, Santos</t>
  </si>
  <si>
    <t>Santos Aboin</t>
  </si>
  <si>
    <t>…día de Agosto de este año. .ayuntamiento; de D. Juan Tejero, racionero de esta santa iglesia catedral; de Ó. Luis Arrabal, procurador del común; del procurador de la tierra que se Julle en turno para asistir al ayuntamiento, y de D. Santos Aboin, coronel, Indice de los Reales decretos y órdenes publicados en este periddüo en todo #/| y de D. Carlos Mirle, individuos de comercio, desempeñando las funciones de mes anterior. tesorero D. Santos Aboin , y las de secretario D. Luis Arrabal. Siendo el ob Real orden organizando la Real audiencia d…</t>
  </si>
  <si>
    <t>…dia de Agosto de este año. .ayuntamiento; de D. Juan Tejero, racionero de esta santa iglesia catedral; de Ó. Luis Arrabal, procurador del común; del procurador de la tierra que se Julle en turno para asistir al ayuntamiento, y de D. Santos Aboin, coronel, Indice de los Reales decretos y órdenes publicados en este periddüo en todo #/| y de D. Carlos Mirle, individuos de comercio, desempeñando las funciones de mes anterior. tesorero D. Santos Aboin , y las de secretario D. Luis Arrabal. Siendo el ob Real orden organizando la Real audiencia d…</t>
  </si>
  <si>
    <t>Abollo, María del Cármen</t>
  </si>
  <si>
    <t>María del Cármen Abollo</t>
  </si>
  <si>
    <t>15/07/1834</t>
  </si>
  <si>
    <t>Gaceta de Madrid n.º 148</t>
  </si>
  <si>
    <t>…bla en seguida de escuelas y sociedades económicas, advirtiendo que la de I808 en Madrid, ha cabido en suerte con el primer extracto de la de este de aquella ciudad ha admitido, la propuesta hecha por D. Francisco Motada de día i Doña María del Cármen Abollo&gt; hija del teniente de infantería D. Ao» abrir en ella por ahora una clase pública de aritmética, y dar mas adelante, si dresj muerto en el campo del honor. fuese conveniente, un curso de matemáticas. J Continúa el buen estado de la cárcel de la misma, y la junta de Caridad si gue cumpliendo su enca…</t>
  </si>
  <si>
    <t>Abraham</t>
  </si>
  <si>
    <t>03/12/1834</t>
  </si>
  <si>
    <t>Gaceta de Madrid n.º 292</t>
  </si>
  <si>
    <t>…os ciudadanos de LonJrc*-, después de haber recibido á los principales individuos de la nobleza y del co y espero que bajo la dirección de vuestro achual primer magistrado, el gobier mercio. Al salir de la iglesia, acompañado del arzobispo Abraham, visitó el no de S. M. tendrá la honra de merecer y recibir el apoyo de esta ilustrada monasterio del Salvador, y en seguida los cuarteles, la cárcel pública, el liceo, capital.” el gimnasio, las escuelas, el hospicio de huérfanos y otros varios establecimien Lord Palmerston' «Uno de los principale…</t>
  </si>
  <si>
    <t>Abrigue</t>
  </si>
  <si>
    <t>11/09/1834</t>
  </si>
  <si>
    <t>Gaceta de Madrid n.º 209 · suplemento</t>
  </si>
  <si>
    <t>…n pro 7 en contra, 7 por tonto la tetiro.” bana. El Gobierno ha traído ya «obre Verme y tantos mil finales de Ingla E1 Sr. Miguel Polo hizo lo mismo. terra , y otros 69 de Francia; y mientras se fe hacen esa inculpaciones, aca El Sr. Abrigue* subió á la tribuna, por lo cual 7 haber, dirigido la pa ba de contratar, por «m artículo adicional al tratado de 22 «fe Abril, qtm labra al Sr. Presidente, volviendo por consiguiente la opatda á la tribuna da la Inglaterra fe suministrará armas y pertrechos de guerra, pora sostener la los taquígra…</t>
  </si>
  <si>
    <t>Abril, Se</t>
  </si>
  <si>
    <t>Se Abril</t>
  </si>
  <si>
    <t>02/05/1834</t>
  </si>
  <si>
    <t>Gaceta de Madrid n.º 71</t>
  </si>
  <si>
    <t>…ara que si lo tiene ¿ Dias. anterior. Invadidos. Curados. Fallecidos, bien se sirva elevarlo al de la Rbina nuestra señora. Dios &amp;c. Ciudad-Rea! 29 Graves. Leves, Barutcll. dede Abril 1834-=Excmo. Antonio Sr.= Juan 20 90 = Excmo. Sr. Se Abril 7 9 5 4 universal Estado la Guerra. de decretario y del Despacho 87 Id. 21 12 3 4 2 Id. 22 77 6 4 18 3 El expresado comandante genera! de la Mancha, con fecha del 27 anuncia Id. 23 66 3 15 17 3 el abatimiento en que han caído los miserables partidarios del Pretendiente, al paso que se ha reanimado…</t>
  </si>
  <si>
    <t>Abrió</t>
  </si>
  <si>
    <t>14/01/1834</t>
  </si>
  <si>
    <t>Gaceta de Madrid n.º 7</t>
  </si>
  <si>
    <t>…da la obra á 34 rs. en pasta y 28 en rústica, el 19 de Octubre último para la adjudicación áe premios en celebridad de los en Madrid en las librerías de Cuesta y Sánchez, y en us provincias con el aumeoto dias de la Reina nuestra Señora. Abrió La sesión el Excmo. Sr. duque de Gor, de un real en tomo en los sitios siguientes: Cádiz, Hurtal y Compañía: Sevilla, Hi dalgo: Santiago, Rey Romero: Vailadolid, Rodríguez: Valencia, Mallen y Berard; y segundo director de la sociedad, con un elocuente discurso, en el cual, después en Barcelona en la d…</t>
  </si>
  <si>
    <t>Abroano, Rufo</t>
  </si>
  <si>
    <t>Rufo Abroano</t>
  </si>
  <si>
    <t>12/06/1834</t>
  </si>
  <si>
    <t>Gaceta de Madrid n.º 115 · suplemento</t>
  </si>
  <si>
    <t>…nte de Irati, donde se Exorno. Sr.: En la madrugada de este día me da parte el espitan del «gihallaban los armeros y*el abad de Burguete/director del laboratorio de Ja pól Uiíento infantería de Mallorca, teniente coronel graduado D. Rufo Abroano vora, los cuales habiendo podido divisar nuestra columna con alguna anticipa de que en la persecución á los dispersos de la acción del 5 les había cogido ción, se fugaron, sin haber tenido-euro recurso que internarse en Francia, hasta un caballo cerca de Arete y muerto uno de ellos. &lt;cuya frontera…</t>
  </si>
  <si>
    <t>Abtrrategui, Tetira Angeles</t>
  </si>
  <si>
    <t>Tetira Angeles Abtrrategui</t>
  </si>
  <si>
    <t>…a Piedad Vilches El capitán general de .Aragón con fecha de 7 del corriente da parte de loa- y Espejo. Otra como premio extraordinario de dibujo á Doña María1 de los 1&gt;er sido pasados por las armas en la mañana del 3 en Teruel el capitán Tetira-" Angeles Abtrrategui y á Doña María Josefa Abarrátegui. Otra igual por el do D. Antonio Borras y Josef Beltran, voluntarlo realista de Torreblanca, bordado con sedas sobre el papel á Doña María de los Dolores Vilches y pertenecientes á la facción de Morella. Que en Alcañíz el día 6, y en Calata— Espejo. yud el P habían s…</t>
  </si>
  <si>
    <t>Abuin</t>
  </si>
  <si>
    <t>04/07/1834</t>
  </si>
  <si>
    <t>Gaceta de Madrid n.º 137</t>
  </si>
  <si>
    <t>…os cuales ha querido asociarse José Bo- El capitán general de Castilla la Vieja , con fecha de 30 del pasado desdó naparte, han determinado reunirse para señalar un día, en que se dé un convi Búrgos, dice i este ministerio que el coronel Abuin , desde‘Covarrubias cotí te al general Mina antes de su salida de Lóndres para Madrid. {Id.) fecha del 29, le daba parte de que un destacamento de su caballería había logrado avistar una partida de facciosos,' matánddles 2 y dispersando los restantes, di ■ ■ ■ M. Dupin, préndente de la Cámara de Di…</t>
  </si>
  <si>
    <t>Abuin, D Saturnino</t>
  </si>
  <si>
    <t>D Saturnino Abuin</t>
  </si>
  <si>
    <t>07/04/1834</t>
  </si>
  <si>
    <t>Gaceta de Madrid n.º 46</t>
  </si>
  <si>
    <t>…as á la observación del pais. 48 á 5o rs. arroba: vino, á 20 id.: aguardiente, £ 30 id'. El comandante general de Burgos en 2 del actual, refiriéndose á Valencia.—Alicante. Trigo, de 165 á 172 rs. el caliiz: ce i un-t piarte del- coronel D- Saturnino Abuin, dado en el día ante bada , de 56 á 60 id.-; vino añejo, de 7 £ 8 rs. cántaro: de la últi rior desde Retuerta, dice que habiendo recibido este gefe en Bar- ma cosecha, á 4 id. badillo del Mercado ; la noticia de que 100 rebeldes de caballería Denla. Trigo, £ 52'rs. fanega: cebada, á 24 id.: maíz, á…</t>
  </si>
  <si>
    <t>Acaba</t>
  </si>
  <si>
    <t>06/09/1834</t>
  </si>
  <si>
    <t>Gaceta de Madrid n.º 204 · suplemento</t>
  </si>
  <si>
    <t>…s sin que parezca posible que pueda libertarse de ella, ó que no sucumba á la fa tado y del Despacho de la Guerra.” / tiga, pues no tiene un momento de descansó, y solo á esto debe hasta ahora i ho haber sido aprehendido. "Excmo. Sr.: Acaba de llegar una partida del cuartel general: viene ua "Lo que esporo se servirá v. E. hacer presente i S. M. la Reina Gober correo con pliegos del general en gefe que pasa á esa corte, por lo que me abs nadora. tengo de dar noticias á V- E. de la parte de los Pirineos, pues el general ca "Dios guarde á…</t>
  </si>
  <si>
    <t>19/05/1834</t>
  </si>
  <si>
    <t>Gaceta de Madrid n.º 88</t>
  </si>
  <si>
    <t>…. comandante general El mismo capitán general de Castilla la Vieja dice fo siguiente: ^ de las provincias Vascongadas. * Excmo. Sr.: El comandante de armas de Medina.del campo con fecha 11 del actual, me dice lo siguiente: Excmo. Sr.: Acaba de recibir el caballero cor No habiendo, recibido el capitán general interino de Castilla la Vieja en regidor de esta villa oficios de las justicias de Paradinas, Orc.pjó, Bobjdjlla Bti’gos el parte de la ventajosa acción dada por el brigadier iViarte á las fac Madrigas y Carpió manifestando la aparic…</t>
  </si>
  <si>
    <t>Acabamos</t>
  </si>
  <si>
    <t>27/05/1834</t>
  </si>
  <si>
    <t>Gaceta de Madrid n.º 96</t>
  </si>
  <si>
    <t>…cibido uní contestación deí gobier no de Berna, que pueda cerciorarla sobre si una reunión extraordinaria de la Dieu es realmente necesaria Zurich 29 de Abril de 1834* Por Real decreto de 50 de Marzo último se sirvió S- AI. la P. D. Acabamos de recibir del consejo ejecutivo-de Berna con fecha 28 de Rf.ina Gobernadora conceder honores de alcalde del crimen de la Abril, el aviso satisfactorio de que dicho consejo , atendido» los votos de los audiencia de Sevilla á D. Eugenio Javalquinto y Portillo, alcalde Estados confederados creyendo nece…</t>
  </si>
  <si>
    <t>Acabo</t>
  </si>
  <si>
    <t>21/08/1834</t>
  </si>
  <si>
    <t>Gaceta de Madrid n.º 187</t>
  </si>
  <si>
    <t>…e aseguran. No sabiendo qué movimiento emprender, y hallándo Comandancia general de Guipúzcoa. = Ejercitó de operaciones del norte me sin comunicación de V. E dí del comándame de armas de Durango, á de España—3.a división rrExcmo Sr.: Acabo de entrar en esta villa; habién quien escribí anoche, envío á V. E. el dador, haciéndole responsable de la en dome adelantado con un piquete de caballería, y serán las siete de la tarde pa trega de este oficio. De este modo podré acaso recibir temprano ia» órdenes ra cuando entre toda la división Los…</t>
  </si>
  <si>
    <t>24/09/1834</t>
  </si>
  <si>
    <t>Gaceta de Madrid n.º 222</t>
  </si>
  <si>
    <t>…salida &gt; al par que el oficial de y del Despacho de la Guerra.0 artillería y deníts individuos de estaarma han dirigido sus fuegos con el mayor acierto, Los 30 Urbanos que han: sido armados, se han presentado' non la ma j «Excmo. Sr.: Acabo de recibir un parte del brigadier IX Fermín Iriarte, yor decisión ! sostener los puntos que se les señalasen: para la defensa, cuyo fecha' de ayer en Medina da Pomar, que dice asi: Excmo. Sr. i Las facc ones acontecimiento pongo en noticia de V. S. para su inteligencia y satisfacción, reunidas de Cast…</t>
  </si>
  <si>
    <t>…nterino de Castilla la Vieja dice á este ministe Promueve eñ aquella capital todas las mejoras posibles en punto á policía rio lo siguiente.: - . urbana, y cada día son mas ostensibles los buenos efeqtos de las medidas que Kxcmo. Sr.: Acabo de, recibir un oficio del alcalde de Villahoz , fecha de se adoptan. ayer, en que me dice lo siguiente,En esta tarde , siendo como las cinco.de Se van venciendo las dificultades que presenta la construcción de cemente ella, se han presentado en esta villa de 20 4 24 facciosos, capitaneados por rios ¿a…</t>
  </si>
  <si>
    <t>Acaso</t>
  </si>
  <si>
    <t>…lambren por agradecí miento- Paz Patarra, Santofé 7 Montevírgén: 7 en contra loa Sres. Medrana, Miguel todo lo cual apoyo el artículo.” Pido 7 Vega 7 Rio. El Sr. Secretario del OeCfacka de Eitado: V El mjnóterkt ha «ficho, El Sr. Caballero-. *&gt; Acaso algunos señora que han pedido la palabra en desde los primeras días, que conocía la utilidad de la instilación de la Milicia pro ó «n contra Qo habrán tenido presente que por los Sres. peticionario* m ocha na. El ministerio poede hablar en esta materia con tanca- mas seguridad, ha reformado el artí…</t>
  </si>
  <si>
    <t>Acaso, Caballero</t>
  </si>
  <si>
    <t>Caballero Acaso</t>
  </si>
  <si>
    <t>…gan lambren por agradecí miento- Paz Patarra, Santofé 7 Montevírgén: 7 en contra loa Sres. Medrana, Miguel todo lo cual apoyo el artículo.” Pido 7 Vega 7 Rio. El Sr. Secretario del OeCfacka de Eitado: V El mjnóterkt ha «ficho, El Sr. Caballero-. *&gt; Acaso algunos señora que han pedido la palabra en desde los primeras días, que conocía la utilidad de la instilación de la Milicia pro ó «n contra Qo habrán tenido presente que por los Sres. peticionario* m ocha na. El ministerio poede hablar en esta materia con tanca- mas seguridad, ha reformado el artí…</t>
  </si>
  <si>
    <t>Acciones, Baldomero</t>
  </si>
  <si>
    <t>Baldomero Acciones</t>
  </si>
  <si>
    <t>25/10/1834</t>
  </si>
  <si>
    <t>Gaceta de Madrid n.º 253</t>
  </si>
  <si>
    <t>….100. dad.”Todo lo que tengo el honor de trasladar á V'. E. para su superior cono Id. sin interes. 11#, 11#, # y 11# a varias fs. 6 vol.: 11# 4 11 d. f. i prima de # p. 100. cimiento. Dios &amp;c. Plencia 16 de Octubre de 1834~Excmo. Sr.=Baldomero Acciones del banco español, 00. Espartero.=Excpío. Sr. Secretario de Estado y del Despacho di la Guerra.” CAMBIOS. El gobernador de Bilbao con fecha de 15 del actual dice á este ministe Amsterdam, 00. Paris, 16-4. Cádiz, 14 i f b. Sevilla, i b. Bajuna, 00. Alicante, acorto pla Coruña , f d. Valencia, id. id. ri…</t>
  </si>
  <si>
    <t>Acciones, Fzancisco JEspoz y Milpa</t>
  </si>
  <si>
    <t>Fzancisco JEspoz y Milpa Acciones</t>
  </si>
  <si>
    <t>23/12/1834</t>
  </si>
  <si>
    <t>Gaceta de Madrid n.º 313</t>
  </si>
  <si>
    <t>…adp: 21^- á.60 d. f. ó vol. Peuc^a negociabJede 5 p. 100 a paj:el. 00. Proclama del general en ge/e del ejército de operaciones del Norte y'xivey Id. sin Interes, f2 a 60 d. f. ó vol.: 12£ íd. id., á prima de 4 p. 100* de Navarra D. Fzancisco JEspoz y Milpa* Acciones del banco español, 00. CASfBftoa. Al ejército de su mando y á los habitantes de Navarra: «Valientes que Amsterdam, 00. París , 16-7 á 3. Cádiz, i á i d. Sevilla, i b. operáis á mis órdenes. En un mismo día y casi á la propia hora habéis hecho Bay&lt;ina, 00. Alican te, a corro pla Coruña, 4 a 1 id. Valenc…</t>
  </si>
  <si>
    <t>Acciones, Juan Manuel Ballesteros</t>
  </si>
  <si>
    <t>Juan Manuel Ballesteros Acciones</t>
  </si>
  <si>
    <t>08/07/1834</t>
  </si>
  <si>
    <t>Gaceta de Madrid n.º 141</t>
  </si>
  <si>
    <t>…imientos de la Vales Reales rio consol Idados,.20- 4 22 d. f. 6 vol. obra titulada Minerva de la juventud» que publica «n esta corte el licenciada Deuda negociable de S p. 100 á papel, 00. Id. sin Interes, 12$ á varias fs. ó vol. D. Juan Manuel Ballesteros. Acciones del banco «pañol, 00. damos. Amsrerdam, 00. París, 16-2. Cádií, 1*R SevBU.ih, Bayona, 00. Alicante, i oorto pla- Corulla, | 4 Valencia, ifd. ESTADO SANITARIO DEL RUNO. Burdeos, 00. xo, $ d. Granada ,$id. Zaragoza, fd, HamburgO, 00, Barcelona, a pa. fs., Málaga, id. id, OescsKato de tetras, Lóndrcs, o0…</t>
  </si>
  <si>
    <t>Accvcdo</t>
  </si>
  <si>
    <t>25/09/1834</t>
  </si>
  <si>
    <t>Gaceta de Madrid n.º 223 · suplemento</t>
  </si>
  <si>
    <t>…ablecer su salud, según le estaba ordenado por el facul de este punto en algún modo , y habiendo visto que seria muy costoso el dia tativo. v. • ■ . rio que se propone, y que nó podría salir sino después de tres ó mas dias, co El Sr. Accvcdo dijo: que el Estamento debía ser.muy canto en conceder mo sucedía con el .de. las anteriores Córtes, desistió de ello. Por tamo-, aunque tales licencias; pues aunque no dutjaba de la exactitud de esta instancia, el ac yo no hallo inconveniente en que esta proposición pase á la comisión de Go ceder…</t>
  </si>
  <si>
    <t>Ace, María del Pilar</t>
  </si>
  <si>
    <t>María del Pilar Ace</t>
  </si>
  <si>
    <t>28/04/1834</t>
  </si>
  <si>
    <t>Gaceta de Madrid n.º 67</t>
  </si>
  <si>
    <t>…de l834~Excmo. Sr.=Francisco RamoneL.=Excclcnsingular habilidad en el bellísimo arte-de Ja música, acompañando también un tísimo Sr. primer Secretario de Estado y del Descacho. dúo del pirata, que cantaron muy bien las señoritas Doña María del Pilar Ace- "bal y Doña, Dolores St. Maxent, siguiendo otro dúo de instrumentos en que El capitán general de Extremadura desde el cuartel general de la Guards, igualmente tocó la señorita Basabe.Toda la concurrencia, que fue numerosísima en la Beira alta, con fecha 23 del actual, dice que todos convienen en qu…</t>
  </si>
  <si>
    <t>Acele, Miguel</t>
  </si>
  <si>
    <t>Miguel Acele</t>
  </si>
  <si>
    <t>Gaceta de Madrid n.º 198</t>
  </si>
  <si>
    <t>…cidamente, felicitamos ya en te tratado para que las armas cayesen de la mano de los portugueses. otra Ocasión áV. E. con las mas rendidas gracias. Y ahora lo hacemos de “llue «Hallábase otro Pretendiente en el cuartel general de D. Miguel. Acele vo por los progresos realizados durante vuestra administración en circunstan radamente buscó asilo á bordo de un navio ingles, y á los pocos dias estaba en cias tan difíciles y desalentadoras-, que aseguran al país los frutos de la gran re Lóndres. Desde entonces se ha complicado la situación; t).…</t>
  </si>
  <si>
    <t>Acevcdo</t>
  </si>
  <si>
    <t>02/10/1834</t>
  </si>
  <si>
    <t>Gaceta de Madrid n.º 230 · suplemento</t>
  </si>
  <si>
    <t>…préstitos , asi como tos billete* llwnadoa de premio.v al 4, con lo que consigue evitar ese descrédito y moderar el fondo” ' El Sr. Tetrdb-. nMc ha prerenido casi enteramente el Sr. Atocha; por ' Habiéndose dado por satisfecho el Sr. Acevcdo, se voto el articulo y lá quetolosfisdiré wjpihas observaciones. Etv la derrota general qne ha sufri quedó aprobado. do le Nación, toé parece que ñ noesde rigorosa justicia, por lo menos serás Az*. 9.a El fonda de aasoHiaadoti se aplicará exclusivamente á la deuda</t>
  </si>
  <si>
    <t>Acevcdó</t>
  </si>
  <si>
    <t>…r; pero no he podido memas, respecto de los agregados y secretarios, se les daba una cantidad fija, cualquie llevado de la justicia de las razones que he expuesto.” 1 ra que fuete la distancia del parage adonde se les enviaba. El Sr. Acevcdó: «Nada tengo que añadir áiw^observaciones hechas por «De consiguiente dos son los puntos que se deben examinar: l.° Si esa su el Sr. Torremejía. Cuando,el Gobierno españorpoiu ser pródigo, estaba bien ma señalada por legua puede-rebajarse. 2.° Si ha de fijarse' también una escala lo fuese; pero aho…</t>
  </si>
  <si>
    <t>Acevé, González</t>
  </si>
  <si>
    <t>González Acevé</t>
  </si>
  <si>
    <t>…y antes por el con ya se ha hablado, sostenido en la chancillería de Valladolíd y detp’ües eri él trario veo que es llegado el caso de que el Estamento apoye esta petición, consejo de Castilla, consta que pasó á ver el terreno é! Sr. González Acevé-. como lo espero.” do , defensor de los fueros de Castilla , y se convenció de que era imposible se El Sr. marques de Falces \ »*No trie levanto para hablar en contra de hubiese dado allí tal batalla , pues nó solo no podía maniobrar la caballería, la petición que se presenta. Propietario en la provi…</t>
  </si>
  <si>
    <t>Acevedo</t>
  </si>
  <si>
    <t>…ó contribuciones—&lt;-Qe qué manera se cubren estas se demnización que equivale á lo mismo. gún las leyes fundamentales de lalación ! Se cubren, dice la ley fundamental,- Declarado el punto suficientemente discutido, á petición del Sr. Acevedo votándolas las Córtes. Las-Górtes, accediendo á esta parte del artículo se halla se acordó que se votase por partes el artículo, y se aprobó la primera concebi rían con el mencionado descubierto y en la necesidad de gravar á la nacíon da en estos términos: «Los actuales individuos del venerable cab…</t>
  </si>
  <si>
    <t>04/10/1834</t>
  </si>
  <si>
    <t>Gaceta de Madrid n.º 232</t>
  </si>
  <si>
    <t>…ia, Echarri oficio en que el obispo, Presidente de esta Cámara, avisa que S. M. F. se ha Aranaz é lrurzun concluidos ó muy adelantados los trabajos de su fortificación. dignado nombrarle ministro de lo Interior: asimismo otro del Sr. Acevedo, El 27 permanecía aun en Pamplona dicho general. El general Lorenzo en Esteministro de lo Interior, participando á la Cámara la hora en que ha fallecido lia, ^donde había llegado persiguiendo á Zumalacarregui desde Picadillo. El S. M. I. el duque de Braganza, y otro del duque de Pálmela, en que not…</t>
  </si>
  <si>
    <t>07/08/1834</t>
  </si>
  <si>
    <t>Gaceta de Madrid n.º 172 · suplemento</t>
  </si>
  <si>
    <t>…, pun conato^el potfer absoltfto el quitar todo eHnflujo á Jas dases que naturalmente tos tamtáeomuy interesantes. debían sostener al trono; como si no aspirase á otro objeto que á oprimir por Después de algunas observaciones del Sr. Acevedo, que no pudieron oir-* igual. se bien, tomó la palabra el Sr. Secretario de Estado. »Como principio general está bien lo que dice la comisión; pero como Sr. Secretario de Estado: «La discusión va probando cada vez mas lo ya be dicho en Us discusiones anteriores , no'conviene expresar estos principi…</t>
  </si>
  <si>
    <t>…artir absdliiYo el quitar todo el‘influjo á las áases qué naturalmente tos tambienmuy interesantes. ~ .......... debían sostener al trono; conjo si no aspirase á otro objeto que á oprimir por^ Después de algunas observaciones del Sr. Acevedo, que no pudieron oir igual. se bien, tomó la palabra el Sr. Secretario de Estado. «Como principio general está bien ló que dice la comisión; pero como Sr. Secretaria de Estado: «La discusión va probando cada vez mas lo ya he dicho en Us discusiones anteriores , no conviene expresar estos principios…</t>
  </si>
  <si>
    <t>07/10/1834</t>
  </si>
  <si>
    <t>Gaceta de Madrid n.º 235 · suplemento</t>
  </si>
  <si>
    <t>…de la comisión,en el grave asunto que ocupa ahora la atención del Esta proposición antecedente, la cual aplaudiendo la nueva prueba de celo dada por mento , confesaría semejante cargo muy superior á mis fuerzas , si una combi el Sr. Acevedo, opinaba sin embargo que no debía hacerse excitación alguna nación de circunstancias favorables no viniese á mi apoyo y cambiase una cues al efecto á los Sres. Procuradores ausentes, y que por lo tanto no debía apro tión á primera vista árdua y escabrosa, en una de la'mas sencilla y fácil icsobarse…</t>
  </si>
  <si>
    <t>…que propuspelGobierno, como fundado mejor en la con Carlos x renunció y su bijoí pues no renunció el-que i similitud de Cirios • veniencia pública.*’ llaman Henrique V; lo que ha bccho* decir á lá brillante imaginación de Cha El Sr. Acevedo babfó en favordeldictámendc la comisión .pronuncian teaubriand que no veta un tronó vacante en Francia^ sino nna nma vacante en do un largo discurso del que no se oyó nada en la tribuna de- los taquígrafos. vi panteón de St* Denís. No apeló la Francia á las lejas de los Traucos * ni ¿ \ El §r. Pres…</t>
  </si>
  <si>
    <t>…neamente, ¿á quién no se espero habrá también en ta vótacietaj y este conocimiento ha sido el que ha le alcanza que D. Cárlos tendría Corles compuestas de prelados, de grandes y obligado á 1a comisión á desechar la proposición dd Sr. Acevedo, pues si bien de todo género de personas, de sus adictos y de aquellos á quienes hubiese fa estaba dictada-por tas miras mas puras, dignas de tan patriota y benemérito in vorecido , que votanan en su favor y le declararían por Rey legítimo de la dividuo , 1a comisión creyó que era un modo indirecto…</t>
  </si>
  <si>
    <t>09/11/1834</t>
  </si>
  <si>
    <t>Gaceta de Madrid n.º 268</t>
  </si>
  <si>
    <t>…8 de ídem* Todos los periódicos hablan hcfy con mayor interes que nunca sobre la situación de las cosas en el Oriente. Una correspondencia privada del Morning Herald anuncia que Mehe- Aprobada el acta de la última sesión, leyó el secretario Acevedo la lis ta de los empleados y dependientes de la Cámara. met-Alí ha dirigido á los cónsules de Francia y de Inglaterra una nota en Se dió cuenta de las exposiciones de varios ayuntamientos. que expone difusamente los agravios que ha recibido de la Puerta y la Rusia. El Sr. Avila presento una proposició…</t>
  </si>
  <si>
    <t>10/11/1834</t>
  </si>
  <si>
    <t>Gaceta de Madrid n.º 269</t>
  </si>
  <si>
    <t>…reglamenta se observe; la Cámara puede exposiciones, acordando que* aquellos y estas pasasen á las respectivas comi alterarlo según le parezca; por tanto voy á consultarla, y si quisiese que se siones. discuta , se hará asi.” El “Sr. Acevedo, secretario, leyó el siguiente informe de la comisión de En consecuencia preguntó á la Cámara si, dispensando lo prevenido en &lt;1 Legislación, acerca de la exclusión del ex-infante D. Miguel y sus descendien reglamento, acordaba que el dictamen de la comisión que se acababa de aprotes de la sucesión…</t>
  </si>
  <si>
    <t>12/09/1834</t>
  </si>
  <si>
    <t>Gaceta de Madrid n.º 210 · suplemento</t>
  </si>
  <si>
    <t>…ee inconveniente ninguno en venir, sus familias no temerán ya una desgracig •de quedar vacilante. imaginaria, y ellos podrán sernos útiles con sus luces.” ”Bajo este punto de v¡6ta quisiera, pues, que ya qu* “ fe promovido Oda El Sr. Acevedo deshizo una equivocación. discusión, ¡tuviese el resultado que be dicho entes, á saben .que se dÜElarase EJ Sr- Caballero: v Yo no diré mas que dos palabras para hacer ob por el Estamento que hay-casos en que la no presentación -fie loa Crpcfeadoeservar el poco acuerdo que noto en las expresiones d…</t>
  </si>
  <si>
    <t>…este dia la discusión referida, y se deje para el martes , tam reglamento; y habiéndose preguntado si había lugar á votar, se acordó que poco tendremos nada que hacer dicho lunes.” sí, y que se hiciese por partes, como propuso el Sr. Acevedo; quedando en El Sr. Palarea. «Apoyo la idea expresada por el Sr. Carrasco. Es ver consecuencia aprobadas la 1.a, 4*a 7 5.*# y desechadas la 2.a, 3.a y 6.a en los dad que el asunto de Hacienda , de que se trata, es urgentísimo; pero también términos siguientes: es importantísimo, y tanto, que de ¿l…</t>
  </si>
  <si>
    <t>14/10/1834</t>
  </si>
  <si>
    <t>Gaceta de Madrid n.º 242 · suplemento</t>
  </si>
  <si>
    <t>…arro. = Vicente Vázquez Moscoso. = El marqués de Montesa. = E1 conde de El Sr. Secretario del Despacho de Estado: «Esta petición dictada por Adanero.” un sentimiento verdaderamente nacional, y por lo tanto honroso, arreglada á El Sr. Acevedo subió á la tribuna, y pronunció un breve discurso en fa nuestras antiguas leyes y á varias declaraciones hechas en las Córtes, y muy se vor de la petición, el cual no se le pudo oír. ñaladamente después de la elevación de Cárlos i al trono, está conforme con El Sr. Mediano preguntó si iba á procede…</t>
  </si>
  <si>
    <t>15/10/1834</t>
  </si>
  <si>
    <t>Gaceta de Madrid n.º 243 · suplemento</t>
  </si>
  <si>
    <t>…osición ofende JtJa secretaría, á Se pregamÓ si él puntó estaba suficientemente -discutido,-y-declarado que la comisión y al Estamento , que no está sü¡eto á deliberaciones de particula sí , y puesta a votación la proposición del Sr. Acevedo, fue aprobada. res. Debería devolverse á su autor sin hacer mas uso de ella. El Sr. Presidente: »S¡ no hay alguna reclamación en contra, lodbs esos »Mc es sensible marcar personas: no conozco al Sr. Echevarría; pero me documentos se pasarán á la comisión de Corrección de estilo , para que dirija pa…</t>
  </si>
  <si>
    <t>16/10/1834</t>
  </si>
  <si>
    <t>Gaceta de Madrid n.º 244 · suplemento</t>
  </si>
  <si>
    <t>…n el Estamento con pro que recae, ni se señala Í3 posesión de los señores otorgantes. Yo lo creo; pero testa de presentir los poderes en cuanto los recibiese; pero que en cuanto á los tío se justifica legalmente. Me parece que el Sr. Acevedo ha considerado como documentos justificativos de sus rentas, como apareciese solo una escritura de una imposición de censo la escritura de que se trata. No lo es. las imposicio coucesion otorgada por los electores de su provincia en favor de dicho Señor, nes de censos exigen condiciones que no está…</t>
  </si>
  <si>
    <t>…no asignarle nada; y por lo mismo muy poderoso para proceder de este modo con dicho Infante, cual era el ha desapruebo el dictámen de la comisión.” ! llarse fuera de España, y precisamente en Italia, donde estaba también el exEl Sr. Acevedo hizo una pregunta que no pudo entendérsele bien, pero Infante D. Miguel. Hizo otras varias reflexiones; y concluyó diciendo que que al parecer era reducida á si el Infante O- Sebastian había jurado ¿ la Ruina mientras el Infante D. Sebastian no prestase el juramento debido al Estatuto nuestra Señor…</t>
  </si>
  <si>
    <t>…ra justificar su actitud legal. No es una razón contra esto el que La comisión de lo interior puso en noticia del mismo haber nombrado tenga sus fondos en pais extrangero; pues la causa por que los tiene todo el para su decano al Sr. Acevedo, y para su secretario al Sr. Calderón de la mundo la sabe, que es por haber estado emigrado. Me parece que el nombre Barca. Igualmente quedó enterado. de Vadillo basta para probar que el tener sus fondos en Francia no es por También lo quedó de una exposición del Sr. D. Jacobo Flores, electo efecto…</t>
  </si>
  <si>
    <t>Gaceta de Madrid n.º 313 · suplemento</t>
  </si>
  <si>
    <t>…a legislatura; piles son «unasdesti San Petersburgó, encargado 809 rs.: gastos 109. nadas i gastos eventuales, que pueden verificarse ó no, y ser tnayom ó de Berlín 6ll9 rs.: gastos 63. menor cúántía.” Viena 609 re: gastos 69. El Sr. Acevedo pidió que se fijase la cantidad. La comisión decúr que reuniendo el carácter de cónsules generales con la El Sr. Secretario Caballero leyó dicho presupuesto que asciende 4 4 mi 'dotación de 6l&gt;9 rs., resultaba una diferencia á favor del erario de lti9 rs¡ llones 29 reales. El Sr. marques de Torreme…</t>
  </si>
  <si>
    <t>…es; mas hasta el dia no se han presentado cencia á un Sr. Procurador, no por un mal personal, sino por otro motivo á ejecutarlo.” que le llamaba la atención.” El Sr. Caballero: «Yo creo que no nos debe ocupar la cuestión de si El Sr. Acevedo : «Mi ánimo no ha sido atacar al Sr. Latorre; yo ha. será mas ó menos costoso el diario propuesto, porque todavía no lo sabemos. hecho reflexiones generales.” La Redacción de la Gaceta cuesta lo menos 833 rs., porque tiene ocho taquí El Sr. López: «Yo no me contraigo precisamente á la persona del S…</t>
  </si>
  <si>
    <t>27/08/1834</t>
  </si>
  <si>
    <t>Gaceta de Madrid n.º 193 · suplemento</t>
  </si>
  <si>
    <t>…discusión. . Puestoávotacion si el Estamento aprobaba que se imprimiesen , se acor liberar sobre ella, se resolvió también por‘la negativas ■ . Se presentó la siguiente petición, suscrita por varios Sres. Procuradores dó asi. El Sr. Acevedo manifestó que estando señalado el jueves para la discusión relativa á revisión del reglamento por las Córtes Señora : El Estamento de Procuradores del reino cree de su deber acudir de la petición sobre el Voto de Santiago, y presentándose hoy por el Gobierno á V. M. exponiendo la necesidad-dé que e…</t>
  </si>
  <si>
    <t>27/11/1834</t>
  </si>
  <si>
    <t>Gaceta de Madrid n.º 286 · suplemento</t>
  </si>
  <si>
    <t>…. re D. Juan.Plandolit. miento provincial de Mondofiedo; y aunque hasta ahora no se ha presentado Oviedo.eeD. José Serrano Salas. sus poderes existen en el ministerio de lo Interior.4’ Gu¡púzcoa.=D. José Joaquín dé Mariítegui. El Sr. Acevedo manifestóle» motivos porque no se había presentado el Sr. Procurador, electo por Oviedo, D. José SerrañoSalas. Señores cuyos poderes han sido desaprobados, y se ignora su reemplazo. El Sr. marques de Montesa manifestó que el Sr. Procurador electo por la Teruel. eeD. Juan Romero Alpuente. provincia…</t>
  </si>
  <si>
    <t>28/12/1834</t>
  </si>
  <si>
    <t>Gaceta de Madrid n.º 318 · suplemento</t>
  </si>
  <si>
    <t>PDF p. 8</t>
  </si>
  <si>
    <t>…ques de Valladares, Calderón Collantes, Crespo Tejada, «Sentaré antes como principio general de todos los presupuestos el emi Navia Osorio , conde de Toreno, Orense, Redondo, Montenegro, Cuesta, tido por mi dignísimo compañero el Sr. Acevedo, á saber: que yo desearía, Pardo Bazan , Llórente, Cáceres , Crespo Rascón, Onís , Trueba Cosío , Vi- para evitar males en lo sucesivo, que los Sres. Secretarios del Despacho (no li llaláz , Cosío, Alclcndcz, González Perez, conde de Huts, López del Baño, mitándome solo al de Guerra) no disfrutasen…</t>
  </si>
  <si>
    <t>…ra no tener que volver á tratar del asunto con motivo de El Sr. Martimz de la Rosa'. «El otro dia, cuando se presentó á nom quejas ni redamaciones.” bre de varios Sres. Procuradores, y después de haber pasado por todos los trá El Sr. Acevedo subió á la tribuna y pronunció un discurso que no se pu mites del reglamento, la petición de que se trata ahora, tuve c! honor de ma do oír completamente por el defecto natural de su voz,i,y que giró sobre lo nifestar que el Gobierno se había ocupado ya de este asunto , y que un mes ó ridículo que…</t>
  </si>
  <si>
    <t>…de las que marca la ley: to En seguida se declaró el punto suficientemente discutido, y habiendo pe dos Iremos abandonado nuestras familias, y hemos venido á cumplir aquí los dido la palabra el Sr. Domecq, se hizo presente por el Sr. Acevedo qwe no deberes de tales. Asi que, si el electo Procurador que ha ráerecido la confian ponía usar de ella estando ya hecha tal declaración: pero el Sr. Vicepre^Hente za de su provincia tiene las cualidades legales , que venga aquí; y si no quiere hizo leer el articulo 76 del reglamento, yj:oncedió l…</t>
  </si>
  <si>
    <t>Acevedo, Ace El Sr</t>
  </si>
  <si>
    <t>Ace El Sr Acevedo</t>
  </si>
  <si>
    <t>…, sin perjuicio de que en el mo ma fecha. Enhorabuena; pero qn el dia la comisión no puede dar su dictamen do que hallare oportuno justificase sü aptitud legal., mas que con arreglo á La presentada. En cuanto á lo que ha dicho el Sr. Ace— El Sr. Acevedo dijo que había sido uno de los electores que habían teni vedo respecto del escándalo que resultaría de desechar al Sr. Arguelles, diré que do pino en el nombramiento del Sr. D. Agustín Arguelles, y de los que fir- si se tratase de vulnerar las cualidades morales de dicho señor, no dudo que re minn…</t>
  </si>
  <si>
    <t>Acevedo, D Manuel María</t>
  </si>
  <si>
    <t>D Manuel María Acevedo</t>
  </si>
  <si>
    <t>13/08/1834</t>
  </si>
  <si>
    <t>Gaceta de Madrid n.º 178</t>
  </si>
  <si>
    <t>…abel ii , bajo este nombre , hechas por el director Vuelta y Flo trumental , leyó uno de los secretarios el discurso, de que se habia encargado el res. El baile duró hasta la una , hora en que se retiraron para entregarse al sue~ Sr. D. Manuel María Acevedo, vicedirector de la sociedad, y que dejó traba fio, pensando darse de nuevo en los subsecuentes días al goce de los placeres jado antes de venir á desempeñar las funciones de Procurador á Cortes. El ob que les inspiraba el entusiasmo ardiente por Isabel ii. jeto de este elocuente discurso era traza…</t>
  </si>
  <si>
    <t>Acevedo, Joaquín</t>
  </si>
  <si>
    <t>Joaquín Acevedo</t>
  </si>
  <si>
    <t>…s, aislando el mal en su origen, de que V- t. tiene cumplido conoci ra, D. Eduardo Valle, D. José María A bel la, D. Anacido Martí, D. Ma miento. En dos pueblos ma* de la provincia se han presentada uno ó dos casos nuel Fuertes , D. Joaquín Acevedo , D. Manuel de Lucas, D. Angel Domín sospechosos, que hasta ahora no resultan caracterizados, y de este modo confio guez de. Soto, D. José Moreno, D. Francisco Javier Garay, D. Joaquín en poder preservar ¿ estos pueblos de tan horrible azote. García, D. José de Vivero y D. Antonio Bcloso: en álgebr…</t>
  </si>
  <si>
    <t>Acevedo, Manuel María</t>
  </si>
  <si>
    <t>Manuel María Acevedo</t>
  </si>
  <si>
    <t>…ii , bajo este nombre , hechas por el director Vuelta y Flo trumental , leyó uno de los secretarios el discurso, de que se habia encargado el res. El baile duró hasta la una , hora en que se retiraron para entregarse al sue~ Sr. D. Manuel María Acevedo, vicedirector de la sociedad, y que dejó traba fio, pensando darse de nuevo en los subsecuentes días al goce de los placeres jado antes de venir á desempeñar las funciones de Procurador á Cortes. El ob que les inspiraba el entusiasmo ardiente por Isabel ii. jeto de este elocuente discurso era traza…</t>
  </si>
  <si>
    <t>Acevedo, Medrano El Sr</t>
  </si>
  <si>
    <t>Medrano El Sr Acevedo</t>
  </si>
  <si>
    <t>…Isa conferido, también hay otros fe quienes safe sav te estoy d¡e acuerdo cpn lo expresado por el St. Acevedo , -que me parece no hemos por noticias ..públicas fes dificultades que hasta fe presenta fe. rodean ha comprendido el -Sr. Medrano. El Sr- Acevedo ha querido decir , ai po para po haber venido á.ocupar su lugar,en el Estamento-, en cuyo casó se enr me engaño, que no deben considerarse en igual caso los que han expuesr- cuentran el Sr. Arguelles y el Sr. marques de Viljacampo. Pero como iguajr tp que no vienen por enfermedad 4 otras -causas j…</t>
  </si>
  <si>
    <t>Acevedo-f</t>
  </si>
  <si>
    <t>21/11/1834</t>
  </si>
  <si>
    <t>Gaceta de Madrid n.º 280 · suplemento</t>
  </si>
  <si>
    <t>…étodos^deJestámo* ; pues solo un profundo estu ChazaHijs-ít í ¡Y Vyifcy; y-y y-Y Y,:;;&gt;&gt;&gt;?&gt; r-!¡ , •, dio, sólidas xfiltiides ó leyes pueden .poner freno á lina pasión mherente al co- No fue tomada en consideración la adición del Sr. Acevedo-f. ñión humano. ‘ ' ’r’ .' ....... ' - - ' - • El Sr. Prtjidenüi »Pasado mafiaóa,in se hutíiese concluido yaladiscu- »EYque se coócede í los; gobernadores civileseneste artículo, de ser tas sion del proyecto dé ley para la Organización dé la Milicia urbana,-se verifidecisiones sin'apelaran-, 'los expo…</t>
  </si>
  <si>
    <t>Acevedodethizo</t>
  </si>
  <si>
    <t>…nto sobre 130 resortes todos de la fuerza, la .violencia, la intriga y el engaño en tantas con Procuradores , número suficiente para las votaciones. tiendas que se han suscitado por los tronos, ¿s* dirá que intervenía en estar El Sr. Acevedodethizo algunas equivocaciones. violencias el derecho divino 1 Hable ia historia de España.</t>
  </si>
  <si>
    <t>Aceves, José María Gómez y</t>
  </si>
  <si>
    <t>José María Gómez y Aceves</t>
  </si>
  <si>
    <t>…regimiento de Soria ^ y á la hora en que escribía dicho coman na á D. José Carrizo de Liado, regente de Carríon de CaUtráya; para él do dante ignoraba aué la pérdida del enemigo: solo supo que llevaban uno de ca la lsla de Leoná D. José María Gómez y Aceves; para ú'j^é Gijon á Don ballería gravemente herido; Los rebeldes exigieron diferentes multas al ayuntar .Pedro Saavcdra y Pardo; para él de Miranda de Ebro á D. Pantalón Félix miento y á los particulares, llevándose en rehenes algunos de estos hasta efec Galilea; para el de Sedaño á D. Julián Zabal…</t>
  </si>
  <si>
    <t>Acheson</t>
  </si>
  <si>
    <t>Gaceta de Madrid n.º 115</t>
  </si>
  <si>
    <t>…na diputación de irlandeses, individuos de la Cámara de los Comunes, El Presidente, con beneplácito de.la Cámara, nombra la» coroisiope»qtU) han de examinar dos proyectos de ley, uno relativo á-factlitar'aJ,gobierno¿0.y$linclusos lord Acheson y los señores G. Evans y O’Grady han tenido una con ferencia relativa á la cuestión de diezmos con eí vizconde Althorp , M. Stanley, francos para celebrar el cuarto aniversario de las ocurrencias- de-julio „ y xiTtq, 4 facilitarle 1203 francos para concluir .las .obras comenzarla» en los edificios,M. Lit…</t>
  </si>
  <si>
    <t>Acízedo</t>
  </si>
  <si>
    <t>…roce El Sr. conde de las Hava$\ «Las peticiones no son consideradas tales der á Ja votación, el Sr. Secretario Belda empe2Ó la lectura de la petición. desde el momento en que se firman, sino desde que se entregan al Presidente El Sr. Acízedo pidió la palabra, y dijo que á entender estaba dema* para que sigan ios trámites que previene el reglamento. De consiguiente la la lectura de la parte expositiva, puesto que esta no iba á votarse y sí la últi oportunidad de la petición está demostrada, y mucho mas cuando no se sabia ma parte de Ja…</t>
  </si>
  <si>
    <t>Acompaño</t>
  </si>
  <si>
    <t>04/03/1834</t>
  </si>
  <si>
    <t>Gaceta de Madrid n.º 28</t>
  </si>
  <si>
    <t>…los de sertores de la facción, debían ser remitidos á Vitoria, habiendo dispuesto dis^ El subdelegado de Córdoba remite el parte siguiente: tribuir el producto de la tfenta de los caballo* entre los' valientes que concuí-* Excmo. Sr.: Acompaño á V. E. copia de la manifestación que hace la rieron con el capitán Bravo á la sorpresa de la referida partida; y coil el fin dé junta de la Real casa de misericordia de esta ciudad relativa á los muchos men evitar la exacción violenta intentada por los rebeldes para cortlprtfiñeter U ju digos que…</t>
  </si>
  <si>
    <t>…atro, ra civil de esta clase. (Crónica constitucional dt Lisboa.) Sin embargo la Gaceta de Francia triunfa con nuestros males y calami dades públicas, asegurando que *&gt;Ia lid será mas larga y duradera en (as provin limo, y Excmo. Sr.= Acompaño á V. E.. la declaración original del ex cias infestadas del espíritu de la discordia en el norte de España.” Ya lo vere infante D. Miguel, cuya topia señalada cóíi ct núm. 3 , dirigí inclusa en tñi ofi mos y muy pronto. Cuando el cáncer se ha reducido á un espacio limitado, es cio de 30 del pasado:…</t>
  </si>
  <si>
    <t>26/11/1834</t>
  </si>
  <si>
    <t>Gaceta de Madrid n.º 285</t>
  </si>
  <si>
    <t>…el Despacho de la Gue.rra. Lo| suscríptores k los Nuevas principios de economía política, ó ¿e la riqueza en sus relaciones con la población, por J. C. L. S/monde de SiMnondí, rraducidi&gt;s ul ca— Capitanía general de Aragoo=Excmo. Sr.: Acompaño á V. E. para co tellano puf D. Francisco Jerez y Varona, acudirán a recoger el ultimo cuaderno en nocimiento de S. M. copia del parte que en este momento recibo del brigadier Madrid a la librería de Viana Razóla, y en los demus puntos .'e las provincias donde Linares. La muerte del cabecilla Mancho…</t>
  </si>
  <si>
    <t>27/04/1834</t>
  </si>
  <si>
    <t>Gaceta de Madrid n.º 66</t>
  </si>
  <si>
    <t>…riente remite el capitán general de Aragón lo» parte» zapatos, y se notó un impulso que fue creciendo con satisfacción de todos los siguientes: individuos de este ejército que miraban no sin envidia la suerte de los que ea Excmo. Sr.: Acompaño á V. E. copia del parte del gobernador de Jaca, otros puntos combatían victoriosamente con las facciones. por el que veri V. E. que al fin Caracol y su facJon se han visto obligados á Vimos que cñtta otros auxilios llegaron disimuladamente remesas de dine- refugiarse en Francia. Por el buen espírit…</t>
  </si>
  <si>
    <t>Acorto, Ivaleocía Alicante</t>
  </si>
  <si>
    <t>Ivaleocía Alicante Acorto</t>
  </si>
  <si>
    <t>15/03/1834</t>
  </si>
  <si>
    <t>Gaceta de Madrid n.º 33</t>
  </si>
  <si>
    <t>…que reconozcan el sitio en que se cometiese el crimen, registrando los con CAMBIO*. tiguos » y seguirán el rastro de los malhechores hasta entregarlos en manos de Amsterdam , oo. París 15-19. . Cádiz é b. iSerill» par. Id. A d $ d. Ivaleocía Alicante Acorto pía— C&lt;*rufia oo. Bayona, la justicia. Esta obligación será extensiva á todos los pueblos situados en un 1 ÍZaragota Id. Granada 20 par. | d. , 00. Burdeos radio de cuatro leguas, para lo cual se pasaran oportunamente avisos de unos Hamburgo, oo. Barcelona A pesos fs. Málaga par. iDescucnto de letm…</t>
  </si>
  <si>
    <t>Acto</t>
  </si>
  <si>
    <t>…a y suprime toda contribución qué no esté división , cón fecha l.° del actual, me da él parte «guíente : « Excrno. Sr.: Des comprendida en la presénte ley.’&gt;‘ , de el 26 del próximo pasado, que regresó á Villafranca el comandante general Acto continuo autoriza la Cámara el cobro de ciertos arbitrios, que unidos 'de“la división, después de haber reconocido parte del monte Andar por el es redituarán, según cálculo, en el año de 1835, 20 millones y medio dé francos. trecho de Pieneta, aburas de Ataun y aldea de Aya, donde había pernoctado…</t>
  </si>
  <si>
    <t>Acuita</t>
  </si>
  <si>
    <t>25/12/1834</t>
  </si>
  <si>
    <t>Gaceta de Madrid n.º 315 · suplemento</t>
  </si>
  <si>
    <t>…isposiciones • maxñnurtf en el precio?&lt;fe loatrigos4 70:iU.- vn., es bien seguro que este cuso : tomadas sob^ él asunto por, el ánstno.”' . - ■■ ■? no es llegado, pues aunque haya trigos que se paguen i esté precio, son losado El Sr. Acuita: »No hallo inconveniente por mi parte en querse hága lo . primcn calidaa que sirveri solimente pira aliménto de |as geútcs más acomoqoe propone S. S. Nuestro deseo és que el monumento mis grandioso de Cir 1 dadas, al miamo tietnpoque los de -segunda y tercera clase que abastecen las ios tu, qué .hi…</t>
  </si>
  <si>
    <t>Acuña</t>
  </si>
  <si>
    <t>Gaceta de Madrid n.º 268 · suplemento</t>
  </si>
  <si>
    <t>…M.. le salve: por evitar otros males le dieron mes, era de opinión que debían aprobarle. Asi se acordó. ! esos facultades. Un decreto de las Cortes declaraba nulos todos los empréstito» En seguida juraron y tomaron asienjo dicho Sr. Acuña y el Sr. D. Fran que se contratáran sin su anuencia; pero esta disposición no tuvo la publicidad cisco Javier Istúriz, Procurador por la provincia de Cádiz. necesaria. No trato de condenar este acuerdo ni ios demas actos memorable» de El Sr. Presidente anunció que iba á continuar la discusión acerca…</t>
  </si>
  <si>
    <t>«aificío» qae tiene ta'Nscion, como acaba fe suceder c¿íí '.'Vf t, 1^^JfTl#|!«|» de ?alcet apoy6 lo expuesto pot el Sr. Acuña, añadiendo tinopla y de Tánger. Per todo lo cual se pruebaquo nAfe wLfeautfc^fcifeífeTV.¿atrito oHsesuíciSnas que/probaban que los privilegio» concedidos por Olavide i pTiíiitn »|t(ff apMeárla obteí'vKÍoO del Sr. AfffieUovy qüc.w purae abo■ los colono».dé Sierra Morena* se Ies habían convergido mas…</t>
  </si>
  <si>
    <t>Gaceta de Madrid n.º 285 · suplemento</t>
  </si>
  <si>
    <t>…do mano el Gobierno dé la autorización ble que el reemplazo del afio'siguió)le se hará por el nuevo método : y nó pi* de que se trata.” ' ?• '' rece necesario incluir esta circunstancia' en el articulo quese discute. Creopor ' Et'Sr. Acuña: primer deber que ae noe ba impuesto por nuestros lo mismo que mas bien se tcguiriaperjuicio que provecho de ligarse Jas mano#, comitentes es el de procurar que las cóntribuciones no graviten sobre ellos mas para cualquier ¡caso, repentino que pudiera ocurrir, en que tuviese necesidad el qué lo que…</t>
  </si>
  <si>
    <t>Acuña, D Pedro</t>
  </si>
  <si>
    <t>D Pedro Acuña</t>
  </si>
  <si>
    <t>21/05/1834</t>
  </si>
  <si>
    <t>Gaceta de Madrid n.º 90</t>
  </si>
  <si>
    <t>…edo manifestar á V. E. en cumplimiento de nicación con Castilla por Orense, por medio del camino que arranca desde lo que se me está mandado. Dios &amp;c. Logroño 16 de Mayo de 1= Esce— aquella población, y que dejó trazado el Excmo. Sr. D. Pedro Acuña, de lentísimo. Sr. = Joaquín de Quiñones. := Excmo. Sr. Secretario de Estado y del buena memoria para Pontevedra. No menos importante e» abrir desde esta un Despacho de la Guerra. camino para el puerto de Marín, sobre lo cual llama ia atención del gobierno. La operación de la quinta se halla felizm…</t>
  </si>
  <si>
    <t>Acuña, Pascual Méndez</t>
  </si>
  <si>
    <t>Pascual Méndez Acuña</t>
  </si>
  <si>
    <t>…cutir los artículos, y todos quedan aprobados: después por 110 vo cisco Delgado y Ayala, í D. Cipriano de la Riva. Asimismo se. ha servido tos contra 5 aprueba también el todo de la ley, que con algunas modificaciones trasladar á D. Pascual Méndez Acuña, oidor de la audiencia de Sevilla, í igual «deja en vigor las facultades que el edicto de Junio de 1778 concede á los cón plaza de la de Albacete; á D. José Mariano de Olañe la., electo alcalde del cri sules de Francia en las escitas de Levante para que en los casos determinados men de la de Aragón…</t>
  </si>
  <si>
    <t>18/04/1834</t>
  </si>
  <si>
    <t>Gaceta de Madrid n.º 57</t>
  </si>
  <si>
    <t>…imo en semejan creada por mi decreto de 26 de Enero último, he venido en nom tes casos. brar en clase de oidores á D. Ramón José de Mendiola , oidor de 2. a Demostrada la'nccesidad de convocar lis Córtes, aun mas la de Granada; á D. Pascual Méndez Acuña, que lo es de la de fácilmente se prueba que lo que se ha hecho no ha sido sino res Sevilla; á D. JoséValdenebro de la misma; á D. Lorenzo Casaux, tablecer nuestras antiguas leyes fundamentales; coordinándolas de oidor de la audiencia de Granada, y á D. Buenaventura Asensi, ¡tal manera que adquiera…</t>
  </si>
  <si>
    <t>Acuña, Pedro</t>
  </si>
  <si>
    <t>Pedro Acuña</t>
  </si>
  <si>
    <t>…manifestar á V. E. en cumplimiento de nicación con Castilla por Orense, por medio del camino que arranca desde lo que se me está mandado. Dios &amp;c. Logroño 16 de Mayo de 1= Esce— aquella población, y que dejó trazado el Excmo. Sr. D. Pedro Acuña, de lentísimo. Sr. = Joaquín de Quiñones. := Excmo. Sr. Secretario de Estado y del buena memoria para Pontevedra. No menos importante e» abrir desde esta un Despacho de la Guerra. camino para el puerto de Marín, sobre lo cual llama ia atención del gobierno. La operación de la quinta se halla felizm…</t>
  </si>
  <si>
    <t>Acustln</t>
  </si>
  <si>
    <t>Gaceta de Madrid n.º 196</t>
  </si>
  <si>
    <t>…colas.Esrerripa, D. Pedro Obando, D. Mateo Obregon, D. Luis Toledano. D Blas de xiliares para pasar nos, y otros usos de ésta naturaleza &amp;c. &amp;c.; en cónsecuen- , Toro, D. Vicente Navarro, D. Pedro Montenegro D. Santiago Uarraza, D. Acustln cía, « de inferir que en dichos manuscritos ó recopilación de documentos se de los Arcos, D. «francisco Cosío y, p. Mariano Azcue; los de D. Luis Cabreiano V podrá» hallar cuanto se desea. { ' . D. Amonio Parra . ayudas de oratorio 1 y los de D. Luis Branchi y D. Juan Narédo. ■ ,JEI exámen jnas pro…</t>
  </si>
  <si>
    <t>Adams, M J...Q</t>
  </si>
  <si>
    <t>M J...Q Adams</t>
  </si>
  <si>
    <t>30/07/1834</t>
  </si>
  <si>
    <t>Gaceta de Madrid n.º 163</t>
  </si>
  <si>
    <t>…sciplinadas que la Puerta tiene en Asia, y dignos de su persona, y del pueblo á cuya independencia habia tan poderosa del monte Tauro, á cuya falda están acampadas las avanzadas de Ibrahim. mente-contribuido la espada del ilustre general. M- J...Q Adams informó al 1 - El territorio comprendido entre el mar de Mármara y la cadena de alturas Congreso de oficio de una pérdida tan dolorosa , y espontáneamente se formó de Caramtnia, aunque gobernado por los agentes del Sultán, te puede consi una comisión que propusiese las muestras de respeto y aprecio…</t>
  </si>
  <si>
    <t>Adan</t>
  </si>
  <si>
    <t>13/09/1834</t>
  </si>
  <si>
    <t>Gaceta de Madrid n.º 211</t>
  </si>
  <si>
    <t>…bílps"talentos,y al y¡gor , qoéi'ya se apaga, de mis fuerzas, fin fin, wYritnJtÓ amigo y favorecedoxz=Sl/go.’&gt; ■'"*"!l yjúedoiasegu rasos'/ señores•, qde contó •hé'comenzado ini vida pública , ási lí ^-,..-PysgtJ»»;gantiri Bruto, capitán Adan».r hetnorTecíbido papehS'dfrBue acabaré , dedicado sleWpréá mirar pór Ibs tiritereses de está ‘ciudad y condado. nos-Aires que alcanzan hasta el 7 de Junio inclusive. Permitidme que otra vez os tribute, rendidas gracias por vuestra felicitación, y El gobernador Viatptyrtí había, hocbo ditnisjoníde…</t>
  </si>
  <si>
    <t>Adanero</t>
  </si>
  <si>
    <t>PDF p. 7</t>
  </si>
  <si>
    <t>…llagarcía, Montenegro, Cuesta, Llórente, vos que tiene el Real patrimonio en las provincias de la antigua corona de Melendaé, González Perez, conde de Hust, López del Baño, Martí, Campi Aragón.” llo, DejPedro, conde de Almodovar, conde Adanero, Alvarez García', Ro- Se cerró la sesión á las cuatro. marate ) Butrón, Laborda, Polo y Monge, Del Rey , Campa, San Simón, Arañgo, AyalaSres. que desaprobaron el artículo: Istñriz, Zamora, conde de las Navas, Ao/ar. En la sesión de 21 del actual, colum. ta, lín* 11 y 15. donde se dice qtu Acuña, Mo…</t>
  </si>
  <si>
    <t>Adelaida</t>
  </si>
  <si>
    <t>19/04/1834</t>
  </si>
  <si>
    <t>Gaceta de Madrid n.º 58</t>
  </si>
  <si>
    <t>…ador fue con rantías constitucionales, el art. 291 pesó con toda. .su fuerza sobre ducido sucesivamente á las de la Reina y de hS. AA. RR- el Üunuestras libertades constitucionales, y pareció entonces una ano queisdeíNemours y la princesa Adelaida. malía: vosotros mismos lo'conoceis. Pues bien, la carta de 1814 f"/^á-coches del Rey, que habían ido i buscar al señor embajadaba garantías á tos compradores de bienes nacionales; pero ¿que 3&amp;$dj£im£weiirie á palacio, volvieron i conducirle.á la casa de la podía hacer un individuo en presencia del…</t>
  </si>
  <si>
    <t>Adelbourg</t>
  </si>
  <si>
    <t>Gaceta de Madrid n.º 209</t>
  </si>
  <si>
    <t>…Constantlnopla 29 de Julio. El Mariscal Marmont obtuvo el 27 una audiencia del Sultán , que le fia 1 ( fRANCIA. - ';--; recibido con muchas atenciones, y le ha regalado una caja de tabaco guarneci da de diamantee, como también al Sr. Adelbourg, priqier dragomán del inter París 31 de Agosta. &lt; , , nuncio de Austria que le acompañaba. Ha visitado í las principales dignida des del impétio.: , El Correo Belga del 2f dice que el duque de Broglie y su familia habían Hemos tenido algunos temblores desterra bastante fuertes el 27 i las tres lleg…</t>
  </si>
  <si>
    <t>Adelbourg, Mr</t>
  </si>
  <si>
    <t>Mr Adelbourg</t>
  </si>
  <si>
    <t>04/09/1834</t>
  </si>
  <si>
    <t>Gaceta de Madrid n.º 202</t>
  </si>
  <si>
    <t>…de París, que como era de esperar, están llenos de comentarios trató con mucha distinción y le regaló una caja guarnecida de brillantes; acom sobre la respuesta de Luis Felipe á la contestación que ha dado la Cámara de pañaba al mariscal Mr. Adelbourg primer dragomán del internuncio de Aus Diputados al discurso del trono. El Monitor no publica ninguna noticia tele tria , y S. A. le dió otra caja igual i la de aquel. gráfica de Bayona, acerca de los sucesos de la guerra en el otro lado de los Pi Él mismo día 27 se sintió en esta un terremoto; mas…</t>
  </si>
  <si>
    <t>Ademas</t>
  </si>
  <si>
    <t>…omo-| los Propios y Arbitrios, debiendo conocer en adelante de los asuntos contencio ro Escovar. = Luis Miranda-rcAlonso Josef de Vargas^=Narcuo García. sos de estos ramos los tribunales ordinarios breve y sumariamente, según pre Señora: Ademas de haber estado siempre animado, no solo por deber, sino viene la ley 3.*, tít. 16, lib. 7.° de la Novísima Recopilación, y observándo ■por inclinación, de los sentimientos de amor y lealtad á vuestra augusta Hija se todos los trámites legales en los juicios de propiedad y de posesión. Tendréis- nuest…</t>
  </si>
  <si>
    <t>23/09/1834</t>
  </si>
  <si>
    <t>Gaceta de Madrid n.º 221</t>
  </si>
  <si>
    <t>…do el Rey tome Jos días del Príncipe Real. Este, habiendo vuelto de su excursión marítima, las riendas del gobierno. d¡6 con tan plausible motivo un gran convite en palacio, que fue honrado con la presencia de SS. MM. ei Rey y la Reina. Ademas de los festejos públicos ue se hicieron, hubo muchos convites particulares. El R.ey dió SuO botellas ___ =Mr. Aragó está ahora en Lóndres de camino para Edimburgo, donde ha 2 e vino á los pobres enfermos de la ciudad, y la Reina uña considerable súma de celebrarse una reunión* de sabios la semina próxima.…</t>
  </si>
  <si>
    <t>Ademas, López</t>
  </si>
  <si>
    <t>López Ademas</t>
  </si>
  <si>
    <t>Gaceta de Madrid n.º 229 · suplemento</t>
  </si>
  <si>
    <t>…probar que tenia á la sazón 25'afios el Sr. Calderón, La misma comisión dió cuenta de que habiendo examinado la exposición pues de 21 se han recibido.” del Sr. condé de Saceda, electo Procurador por la provincia de Navarra, en El Sr. López «Ademas de lo que han expuesto los Srés. Caballero y la cual solicita,se le exonere de este cargo, en razón de las enfermedades que Palarea, diré que por la ley de Partida no se necesitan mas que 17 años de padece; era de dictámen qué se accedieseá esta solicitud, pasándose el oportu edad para ser abogado: 25…</t>
  </si>
  <si>
    <t>Ademas, Presidente</t>
  </si>
  <si>
    <t>Presidente Ademas</t>
  </si>
  <si>
    <t>…os Sres. PaUrea y Montenegro*. ó bien continuado en los que antes de aquella época tenían, y que permanecie Id. á la de Poderes: el Sr. Cuevas. ron fieles á sus principios hasta la última agonía del sistema de libertad? «Estos El Sr. Presidente. «Ademas de estas comisiones falta nombrar otras re españoles han de llevar sobre sí este sambenito en premio de*servicios, para que lativas á recaudador*. Las que se han designado ahora van á ocuparse solo del no puedan obtener los miamos destinos cuandoel Gobierno tenga por convenien examen de los presupuest…</t>
  </si>
  <si>
    <t>Adinero</t>
  </si>
  <si>
    <t>…iones administrativas con las legisla ques de Torremejía-, Martí, Campillo, De Pedro, Anayá , Tejada, Latqrre, tivas y-las judiciales. ¿Y qué ha resultado de ella? Que ní la potestad judicial conde de Almodovar, Ciscar , Orlóla , conde Adinero, Alvarez García, Aoha tenido la necesaria independencia para ser la guarda y fiel ejecutora de las marate, Butrón, Garay, Libordá, Hernández Velasco, Polo y Monge, Del leyes; ni la administración há podido atenderla su objeto con la firmeza nece Rey , Camps y Soler, San Simón, Arango, Ayala , Vised…</t>
  </si>
  <si>
    <t>ADMINISTRACIONES, NÚMEROS PREMIOS</t>
  </si>
  <si>
    <t>NÚMEROS PREMIOS ADMINISTRACIONES</t>
  </si>
  <si>
    <t>30/11/1834</t>
  </si>
  <si>
    <t>Gaceta de Madrid n.º 289</t>
  </si>
  <si>
    <t>…nes dandi han cabido ios 22 premie/ de esta guarnición. Es de V. su amigo Q. B. S, M—Fermín de Iracheta.” mayores de los 800 que comprende el sorteo de este dia. «Son copiaste Peralta Al de Noviembre de 1834 = Fermín de Iracheta, comandante.” NÚMEROS. PREMIOS. ADMINISTRACIONES: S. M. se ha enterado con la mayar satisfacción de la heroica defensa de Peralta por sus beneméritos, valientes y decididos Urbanos; y siendo su Real 10,361. 8000 ps. fs.... ........... Zaragoza. voluntad darles pruebas de su alta gratitud, ha prevenido al general en gefe 21,276. 1000..............…</t>
  </si>
  <si>
    <t>Admitirá</t>
  </si>
  <si>
    <t>01/06/1834</t>
  </si>
  <si>
    <t>Gaceta de Madrid n.º 102</t>
  </si>
  <si>
    <t>…aV2?" Publicará las vacantes que deberán comunicarle los reveren Las criminales esperanzas de la usurpación están del todo perdi dos obispos, cabildos y tri bunales. , das, y la confianza de los leales al trono de nuestra adorada Reina 3“ Admitirá memoriales para las plazas y beneficios eclesiásti Doña Isabel u , ha sido coronada por el éxito mas feliz. Los Pre cos que haya de consultar, prefijando termino para la presentación tendientes á las coronas de España y Portugal han visto demostrada la nulidad de sus insensatos provectos, que no ha…</t>
  </si>
  <si>
    <t>ADORA, GOBERN</t>
  </si>
  <si>
    <t>GOBERN ADORA</t>
  </si>
  <si>
    <t>…y dispondrá guerra, sin perjuicio de las ventajas á que tengan «lerecho por el lo («inveniente á su cumplimiento. Dada en Aranjuez á 2/5 «le Abril reglamento del Monte pió militar y órdenes posteriores, serán aten de 1834.=YO LA REINA GOBERN ADORA.=Nicolas María Ga- didas del modo posible ron pensiones ó auxilios, según los rasos, por reíly, = V. M. ronrade la empresa del canal de Tamarite á D. Anto el fondo de temporalidades. nio Gassó y Calafell, D. José Sagrista y D. Narciso Mercader, y en 6V Esta última gracia será igualmente aplirable á…</t>
  </si>
  <si>
    <t>Adornáronse</t>
  </si>
  <si>
    <t>16/08/1834</t>
  </si>
  <si>
    <t>Gaceta de Madrid n.º 181</t>
  </si>
  <si>
    <t>…Rcahcr—Damas, Ailbauld de y de sus arrabales abandonó sus casas para acompañar á su augusta Reina, al Erisis, de Sjlvandy, de Ran é, Bignon, A. Leprevost, Pas&gt;jr , Chasies, Fir— libertador de Portugal y á ia digna esposa de este Príncipe. Adornáronse las min Did. .t , Lacrosse , Las Cases (hijo) , Keratry , Tupinier , Barada , Pen.il, puertas y balcones; locáronse ia* campanas de todos los templos, y este pue Th.ers, Wuslembera, Ducos, Her»é , Roul , Bmithier, Aubert, Guestier jo blo, siempre el mismo, siempre constante, repujó con igual entusiasmo…</t>
  </si>
  <si>
    <t>Adtt, Jtta</t>
  </si>
  <si>
    <t>Jtta Adtt</t>
  </si>
  <si>
    <t>23/06/1834</t>
  </si>
  <si>
    <t>Gaceta de Madrid n.º 126</t>
  </si>
  <si>
    <t>…emadura, y dando el frente"* wdritl' HeftpflAe Joró Gíef zto dáklcnde ior4fltezcc&lt;s ccmejdtfler d* cuenro p*ii» U infantería constaba de tres diviiionfci. " / Kfkbti) ■ i..:- vb i.."-' • »:' . "!ll Lí R»«Pt*#ád(ylM ’tMliKtfidé^po D. Jtta*Adtt* ' !'"1</t>
  </si>
  <si>
    <t>Aeevedo</t>
  </si>
  <si>
    <t>21/12/1834</t>
  </si>
  <si>
    <t>Gaceta de Madrid n.º 311 · suplemento</t>
  </si>
  <si>
    <t>…conde dé las Navas, de que acostumbran 4 hablar con tanta franqueza, no El Sr. marques de Falces, como de la comisión , contestó que la observa lo bao hecho con la que debe hacerse en puntos tan cardinales. Yo encuentro ción del Sr. Aeevedo no correspondía á este párrafo, y podria hacerse cuando el de que se trata reducido 4 si se ha de autorizar al Gobierno al efecto que se tratase del sistema de jubi[aciones ó retiros que proponía la comisión, y en solicita, vagamente ó por un término dado. Respecto 4 si las pensiones de gracia el c…</t>
  </si>
  <si>
    <t>Aeika, Ii</t>
  </si>
  <si>
    <t>Ii Aeika</t>
  </si>
  <si>
    <t>19/08/1834</t>
  </si>
  <si>
    <t>Gaceta de Madrid n.º 185</t>
  </si>
  <si>
    <t>…o artes y d¿ scñof*s «/Estoy quc seguró, os apresurareis á cooperará los «fuerzo*; Ventanas y sin asori' alguno, toda se reedificó de nutro, quedan do i la perfec- , cion su sala;, con- wcelepte dosel los dos retratos .de nuestra Señora Ii Aeika que me propongo,hacer con este objeto. Tengo, pues., el .honor de invitados: i y sú Mádre.^ .gobernadora, la mesa y cojín, la mesa, cortinas déficit tro y 1.° «-A darme á conocer de un modo exacto y detaüadpeí objeto habitual dé los trabajos de Vuestra sociedad, y las ocupaciones especiales 4 que d…</t>
  </si>
  <si>
    <t>Afanusl, Cano</t>
  </si>
  <si>
    <t>Cano Afanusl</t>
  </si>
  <si>
    <t>Gaceta de Madrid n.º 202 · suplemento</t>
  </si>
  <si>
    <t>…bado él delito rés los goces de una categoría de esta clase. Hé aquí el origen. No hay dere del Infante , y por esto quisiera que S. E. explicase mas.” cho, hay actitud legal , y esto no llega i tener carácter de derecho hasta El Sr. Cano Afanusl - "La comisión habla de documentos extraídos 4 que una nación, por las mismas causas que la han obligado á fijar las leyes de ocultados, y. sienta la proposición de que de ellos resultaría U comprobación la sucesión, adopta el reconocimiento del inmediato sucesor para eviur los referida^ ' . males mas pe…</t>
  </si>
  <si>
    <t>Afedrano</t>
  </si>
  <si>
    <t>12/10/1834</t>
  </si>
  <si>
    <t>Gaceta de Madrid n.º 240 · suplemento</t>
  </si>
  <si>
    <t>…e negocio á la comisión para que prendidas en el mismo caso que el ejército y marina; y el Sr. Presidenre dijo, proppnga la resolución definitiva.” que Bailándose todavía en la secretaría dicha petición, no Babia inconveniente SI Sr. Afedrano: n En lq exposición que se ha presentado se dice que no «n que se le agregara esta adición. Asi se acordó.’’ ( . es posible acompañar un documento oficial, en razón de que el tribunal no El Sr. D. Pedro Canals y Mayor, Procurador por las Islas Baleares, pidió lo facilita: en el mismo caso estará Ec…</t>
  </si>
  <si>
    <t>Afedrano'</t>
  </si>
  <si>
    <t>22/09/1834</t>
  </si>
  <si>
    <t>Gaceta de Madrid n.º 220 · suplemento</t>
  </si>
  <si>
    <t>…n ha tenido para dar su dictamen en cuya virtud me opongo al dictámen de la comiaion en cuanto á anularse el acto los términos en que lo ha hecho, pues no consta del expediente la conducta en cuestión ” del gobernador civil. _ El Sr. Afedrano': «Esta es una cuestión de palabras. Yo no sé cómo los «Si la comisión al dar su dictamen en un negocio tan delicado y de la señores que se han opuesto al dictámen de la comisión pueden entender que el mayor entidad pasase por ciertas, al parecer, pequeneces, no podría menos de acto de que se trata…</t>
  </si>
  <si>
    <t>AfffieUovy</t>
  </si>
  <si>
    <t>…sto pot el Sr. Acuña, añadiendo tinopla y de Tánger. Per todo lo cual se pruebaquo nAfe wLfeautfc^fcifeífeTV.¿atrito oHsesuíciSnas que/probaban que los privilegio» concedidos por Olavide i pTiíiitn »|t(ff apMeárla obteí'vKÍoO del Sr. AfffieUovy qüc.w purae abo■ los colono».dé Sierra Morena* se Ies habían convergido mas bien en cargas por íir la cottttibucioa forzosa . la parte voluntaria debe subsistir; pues todavía efecto de la administración vmgteje de tutela que se ejercía sobre laa poblaciotiene muchos objetos útiles en que emplearse;…</t>
  </si>
  <si>
    <t>Afícuci</t>
  </si>
  <si>
    <t>24/10/1834</t>
  </si>
  <si>
    <t>Gaceta de Madrid n.º 252</t>
  </si>
  <si>
    <t>…esdeñe estt» Emperador'al rñayor genera! pTüsiano de Roederer el órden de Santa Ana de consejo, porque es H de un hombre moribundo, Pot !r&gt; que ha^ca mi hermáne» primera clase,,guarnecido de diamantes; y al gefc del estado iravnt general Afícuci r ,i mi, fue tan descuidada nuestra rducacirm. que lleca mm 2 la edad del tercer cuerpo del ejército prüsnino, coronel de Reyher, el mismo urden de viril hnH-üwioQO* todavía en un catado de ccuftplctj íanorancia. 1-iabterwion» segunda claie,'guarnecido de Brillantes, comó timbien al cosopet Je Woos…</t>
  </si>
  <si>
    <t>Afltonio</t>
  </si>
  <si>
    <t>03/06/1834</t>
  </si>
  <si>
    <t>Gaceta de Madrid n.º 105</t>
  </si>
  <si>
    <t>…* periódicos titulado* ''(l Hnhtrsal^ el. Nacional, el £te la mediafirma.X.Nwh. /ó-Í * ’ ‘ dé lá opinion-y tl l iemeb. (Id.) ^ r " ' x ~f i las derechos de caza y pesca, yílgs oMensujas vigentes-en lái" Real decreto concediendo a D. Afltonio de-Ealiót honore* de la Real audien- . materia, (/a.) ' ■ : , *■ . ' »’J Ja.*/ ,'V.. -¡ ■••' ';■&gt;!• Í-. : ,v- -'VU __^ nombrando ,|*|* 4# dos plazasVacantes deayudante cfelaRial cabale-J Real órdeu ítotobrando subdelegado ^principal, de policiá de h provincia de •riza en los cuartel1¿ Kwilaida y de…</t>
  </si>
  <si>
    <t>Afonde, Polo</t>
  </si>
  <si>
    <t>Polo Afonde</t>
  </si>
  <si>
    <t>12/11/1834</t>
  </si>
  <si>
    <t>Gaceta de Madrid n.º 271 · suplemento</t>
  </si>
  <si>
    <t>…nge, como indivi ataque de sús enemigos, es preciso que haya en/ellos-mayor número de Mili duo de la comisión encargado de sostener su dictámen.” cianos , que esten las armas en manos de hombres robustos y ,capaces de batirse; El Sr. Polo Afonde: «No hay en realidad njngun individuo de la comi y es claro que nadie lo podría.hacer esto mejor que las jornaleros, acostum sión encargado directamente dé sostener el dictamen, sino que todos tnancomti brados al trabajo y á la fatiga. Asi que yo desearía que jio se exigiese dicha na dame tuc lo es…</t>
  </si>
  <si>
    <t>Afonde, Polo y</t>
  </si>
  <si>
    <t>Polo y Afonde</t>
  </si>
  <si>
    <t>21/10/1834</t>
  </si>
  <si>
    <t>Gaceta de Madrid n.º 249 · suplemento</t>
  </si>
  <si>
    <t>…Chacon.=Pedro Alcalá Zamora.=:Francisco Diez González =2 Córtes ha presentado ya al Estamento una porción de trabados de la mayor Joaquín Cáceres. consideración, como es el de la deuda exterior, los presupuestos y la relativa El Sr. Polo y Afonde : **He tomado la palabra en contra de esta petición, á moneda, con otra porción de disposiciones y arreglos. El Secretario del Des no para manifestar que sea inoportuna , sino para decir francamente que la con* pacho de Hacienda cumplirá su palabra de presentar al Estamento los trabajos sidero impr…</t>
  </si>
  <si>
    <t>Aforalrs</t>
  </si>
  <si>
    <t>…o pide con presencia de da—, tiva dignidad, y «puede considerarse excesiva la de 5u© ducados que se com tos incontrovertibles, y no pasemos adelante.” puta eñ el cálculo que dejo expresado para los augustos hijos de SS. AA- ma El Sr. Aforalrs: «Como de la comisión, tengo que tomar la palabra, yores de siete años, declarados Infan es de España por su augusto lio el señor aunque con mucho sentimiento, por verme obligado á rebatir los argumento* D. Fernando vn* Ciertamente que no. La subsistencia de tan augustas pegonas de individuos á que…</t>
  </si>
  <si>
    <t>Afoscoso</t>
  </si>
  <si>
    <t>06/08/1834</t>
  </si>
  <si>
    <t>Gaceta de Madrid n.º 170 · suplemento</t>
  </si>
  <si>
    <t>…e la ver tamento no debe apartarse de todo cuanto tienda á hacer mas decorosa su con dadera libertad contra la usurpación y la tiranía. testación.” i , «Se habla también de las relaciones amistosa? que existen entre el gobierno / Sr. Afoscoso, Secretario de lo Interior: «Me había propuesto no tomar la de la Reina nuestra Señora ~y las Potencias aliadas. Tambicn tne parece esto palabra en esta discusión; pero ya que el Sr. Caballero ha tocado uña cuestión diminuto. La causa española es justísima, tiene por apoyo las leyes, por sanción re…</t>
  </si>
  <si>
    <t>Africa, Gosllamada</t>
  </si>
  <si>
    <t>Gosllamada Africa</t>
  </si>
  <si>
    <t>26/05/1834</t>
  </si>
  <si>
    <t>Gaceta de Madrid n.º 95</t>
  </si>
  <si>
    <t>…tenares de aldeas. hombre que ha hecho tan eminentes servicios á U Grecia, ha puesto de su le «Diré también acerca de los trigos conducidos á Roma , que la provincia tra en el título, que le nombra gran cruz de la misma órden. El doctor Gosllamada Africa propia , era la que por su fecundidad ponderaban tanto los ro se , que ha mostrado tanto zelo y bizarría durante su residencia es aquel país, manos. Se sabe que el territorio de Hipona era fértil; pero observaban los an ha sido Dombrado caballero de dicha órden. (ir. de i*\) tiguos que era mayor es…</t>
  </si>
  <si>
    <t>Aftduaga, José</t>
  </si>
  <si>
    <t>José Aftduaga</t>
  </si>
  <si>
    <t>16/07/1834</t>
  </si>
  <si>
    <t>Gaceta de Madrid n.º 149</t>
  </si>
  <si>
    <t>….0 á 21 rs. rama y 24 De los tres fallecidos, uno fue invadido ocho dias hi, y la enfermedad en rústica. degeneró en tifus, al cual ha sucumbido. La mayor parte de los que boy se —-—Arte de escribir por reglas y sin muestras, por D. José Aftduaga; segunda edición, anotan como invadidos, lo fue ayer tarde después de remitido el parte. cuyaaumentadautilidadconyvariasventajasnotas,tieney bienhechaacreditadasde órden superioruna largaen experiencia,el año de Í7yi.constaEsta deobra,,u» PROVINCIA DE MURCIA. tomo en 4.0, adornado de varias estampa…</t>
  </si>
  <si>
    <t>Ag'cdt</t>
  </si>
  <si>
    <t>23/11/1834</t>
  </si>
  <si>
    <t>Gaceta de Madrid n.º 282 · suplemento</t>
  </si>
  <si>
    <t>…r el establecido anteriormente. Yo lo comprendo asi; dose concluido ayer la del art. 12, se procedería á la del 13. por consiguiente en la parte relativa á las elecciones sucesivas no encuentro in Se dió cuenta de una adición del Sr. Ag'cdt ai art. 12 que dice asi: conveniente en que se diga que se proveerán ias vacantes por el método ex «No estando expresado en el art/12 quién ha de nombrar los individuos presado.” ! de cada clase, que deben componer el consejo de dsse plica, pido al Estamento El Sr. Chacón: «Lo mismo dice el artícul…</t>
  </si>
  <si>
    <t>Ag, Montes de Oca</t>
  </si>
  <si>
    <t>Montes de Oca Ag</t>
  </si>
  <si>
    <t>19/09/1834</t>
  </si>
  <si>
    <t>Gaceta de Madrid n.º 217</t>
  </si>
  <si>
    <t>…idem.... 15 00 : 2 ta perpetua de ídem 34$------------ •------------------------------------ V illahot... . ... 6 A lü ídem. ... -------- 60 6 9 Villa/ranca de ___La contestación del gabinete de las Tullerías á la nota en que el ministro Montes de Oca. 28 Ag. á 1.® Set. 22 00 2 de Pruda pedia se reintegrase á Mr. Bardewisch en su destino de cónsul da V ilUlocnez..... Hasta 9 Setiemb. 40 12 ' 1 Ba)Ont, no ha tardado mucho. Villanasur. ..... Idem................... 80 28 i Mr. de Rigny se funda para negarse á reintegrar i Mr. Bardewisch en Villalbos......…</t>
  </si>
  <si>
    <t>Agiñiiri'Aígfl</t>
  </si>
  <si>
    <t>…lla ciudad:algunos facultativas, cuya ■ V presencia será de.mucha utilidad: finalmente acompaña los siguientes PROVINCIA BE OVIEDO. . \ ... ” ' "'JÍiciBOi Sf. Conde'.de Toreno, por unanimidad 'de voto*. Partes sanitarios. ! ’ .Sr D. Agiñiiri'Aígfl^ilü-;:-— - , -\ ^ Sr. í&gt;. IteftuéLMaría de Acevcdo. ._r Pueblos. Diai. Enfermo*. Curado*. Fallecidos. \ _ ír.-í). Alvaro Ftórez &amp;ttadí' ' . ; jfc í&gt;. Jósé Lorenzo Salas. ‘ PROVINCIA DE ÍONTirV*DR&gt;to Orihuela. . . . .. 29 Junio á 1.a Julio.. . . .... 232 39 21 Sr, D, Miguel Pardo Bazan- Albatera. .…</t>
  </si>
  <si>
    <t>Agnirrlí, Antonio</t>
  </si>
  <si>
    <t>Antonio Agnirrlí</t>
  </si>
  <si>
    <t>10/12/1834</t>
  </si>
  <si>
    <t>Gaceta de Madrid n.º 299</t>
  </si>
  <si>
    <t>…causados en la conservación de la bi blioteca en todo el afió próximo pasado-, ... .. » •&gt; 11 W 99 9» *» 99 V» »» &gt;1 ” •• 99 *9 11 .Idem idem en reparos.de la escuela de dibujo, por tes de pliegos', completo de la gratificación 4 Don Antonio Agnirrlí por tin. estado general de escuólasf luces para las juntas, y billetes de la lotería. 4$ * ® 26 8 _ 31 118 , 12 99 9» 9* 9» 240 6 ídem del restó del premio pecuniario de Una me moria sobre'agricultura......... ................................. 34 68 68 99 « n m 28 . 99 99 198 99 99 Idem í la impren…</t>
  </si>
  <si>
    <t>Agosto, Cárlos Ataría Isidro de Borbon</t>
  </si>
  <si>
    <t>Cárlos Ataría Isidro de Borbon Agosto</t>
  </si>
  <si>
    <t>…UPLEMENTO A LA GACETA DE MADRID DEL LUNES 1? DE SETIEMBRE DE ¿834. Dictamen de la cótnision del Estamento de Próctves del reino sobre el expe Irritado S. M. con tal desacato se sirvió expedir la Real orden de 30 de diente del Sr. D. Cárlos Ataría Isidro de Borbon. Agosto, en que recapitulando por sus fechas todas las contestaciones que habían mediado, y órdenes que en su vísta se le habían comunicado, concluía man Señores: En cumplimiento de la augusta promesa «pie S. M. se dignó ha dándole: «que inmediatamente eligiese alguno de los medios que se le habían cer á l…</t>
  </si>
  <si>
    <t>Agosto, D Cárlos Ataría Isidro de Borbon</t>
  </si>
  <si>
    <t>D Cárlos Ataría Isidro de Borbon Agosto</t>
  </si>
  <si>
    <t>SUPLEMENTO A LA GACETA DE MADRID DEL LUNES 1? DE SETIEMBRE DE ¿834. Dictamen de la cótnision del Estamento de Próctves del reino sobre el expe Irritado S. M. con tal desacato se sirvió expedir la Real orden de 30 de diente del Sr. D. Cárlos Ataría Isidro de Borbon. Agosto, en que recapitulando por sus fechas todas las contestaciones que habían mediado, y órdenes que en su vísta se le habían comunicado, concluía man Señores: En cumplimiento de la augusta promesa «pie S. M. se dignó ha dándole: «que inmediatamente eligiese alguno de los medios que se le habían cer á l…</t>
  </si>
  <si>
    <t>Agradeciendo, Mtdrano</t>
  </si>
  <si>
    <t>Mtdrano Agradeciendo</t>
  </si>
  <si>
    <t>03/09/1834</t>
  </si>
  <si>
    <t>Gaceta de Madrid n.º 201 · suplemento</t>
  </si>
  <si>
    <t>…amen que el Estamento no debe ocuparse de ellos sin haber pre dro Jacobo Pizarro, electo Procurador por la provincia de Huclva, con los sentado su dictamen la comisión. documentos justificativos de su aptitud legal para serlo. El Sr. Mtdrano\ Agradeciendo al Sr. preopinante el cargo que ha hecho Se dió cuenta de un dictamen de la comisión de Poderes, en que mani á la comisión, debo manifestarle que no es exacto, porque esta no haya pro festaba que habiéndose concedido término en la ¡unta preparatoria del 23 de puesto su dictamen de un modo positivo.…</t>
  </si>
  <si>
    <t>Agreda</t>
  </si>
  <si>
    <t>Gaceta de Madrid n.º 232 · suplemento</t>
  </si>
  <si>
    <t>…duciría este descuento ó sacrificio que yo lución del Estamento,.de no haber tomado en'consideración la adición presen pretendo hagan los qbe disfrutan sueldo. Por último debe advertirse que yo no tada en la sesión de ayer por el Sr. Agreda respecto á empréstito/ pretendo que se les prive de esta parte, sino que se les pida como por via de El Sr. Presidente manifestó que antes de pasarse á la disensión de los préstamo, reintegrable después en los años que parezca oportuno fijar, y con asuntos señalados para la sesión del dia, se iba á…</t>
  </si>
  <si>
    <t>06/12/1834</t>
  </si>
  <si>
    <t>Gaceta de Madrid n.º 295 · suplemento</t>
  </si>
  <si>
    <t>…interino de Guerra. Parece, según el informe de la comisión lo largo que es el dictámen sobre el presupuesto de su ramo.” que acabamos de oir, que se ha pedido una lista de los que reciben pensiones Se dió cuenta de un pficio del Sr. Agreda , individuo de la comisión en por este ^ministerio. Yo quisiera, pues, preguntar á dicho Sr. Secretario del cargada de examinar los dos proyectos de ley sobre moneda, manifestando no Despacho si seria posible que la tuviéramos dentro de tan corto tiempo, que haberle avisado hasta ayer á las nueve j…</t>
  </si>
  <si>
    <t>Gaceta de Madrid n.º 299 · suplemento</t>
  </si>
  <si>
    <t>…eclararse que El art. Si, en fin, faculta al Gobierno para dar los reglamentos ¿ ¡ns- quedaba definitivamente admitido,. Asi se acordó. tTMCC'OOrt &lt;jue séan necesarios para llevar á efecto esta ley. Se leyó el voto particular del Sr. Agreda, individuo de la comisión en Solamente en el art. 5.° hubiera echado de menos alguna otra excepción cargada de examinar los proyectos de ley sobre moneda, con respecto al dic temporal, é hija de las^. circunstancias; pero lejos de proponerla , se congratula támen de dicha comisión que se presentó y…</t>
  </si>
  <si>
    <t>…rias de nuestros la Nación.” guerreros; pero que en su concepto debía sustituirse un nombre mas análogo No se tomó en consideración. y propio de la época presente, como el que proponía la comisión. También se leyó h que sigue del Sr. Agreda: «Pido que al primer pár El Sr. Secretario del Despacho de lo Interior insistió en apoyar la pala rafo del art 6 ° se añida: En las capitales de provincia y poblaciones que pa bra trozos , porque la de tercios 1c parecía impropia, tratándose de pequeños san de 3u¿) almas podrán ios ayuntamientos no…</t>
  </si>
  <si>
    <t>22/11/1834</t>
  </si>
  <si>
    <t>Gaceta de Madrid n.º 281 · suplemento</t>
  </si>
  <si>
    <t>…onsideraciones la comisión ha hecho dichas adi los caballos necesarios para una escuadra. El Gobierno no tiene, pues, incon ciones ó modificaciones/’ veniente en que se fije el número de 4O á 60 caballos por compañía; y respec El Sr. Agreda: «Voy á hablar, no para oponerme á la sustancia , sino to á los demas puntos, estamos acordes.” mas bien á las palabras de una de las adiciones de la comisión. Yo estoy siem El Sr. Galwey hizo algunas reflexiones sobre el pfrrafo 2.°, y dijo que pre contra el mal uso de las palabras en las leyes. P…</t>
  </si>
  <si>
    <t>…ndose en seguida el artículo redacta cho consejo; y por lo tanto creo que no hay necesidad de ia ad;c~on de que *e do nuevamente por la comisión. trata.” F.l S&lt;*. Secretario del Despacho de Estado manifestó que seria mas cotiveEl Sr. Agreda: «Me parece que el Sr. marques de Esptnardo proceje nien'e decir en los artículos de esta l*y que no en ios artículos anteriores. con una equivocación. Está aprobado ya por el Estamento que se aumen Conformándose la comisión con esta iaea , se declaró el punto suficientemente te un individuo de cad…</t>
  </si>
  <si>
    <t>…, se verá el primer año si corresponde al objeto; y si no es asi, las Quedó aprobado el artículo en los términos propuestos en el proyecto del Cortes podrán 'modificarlo luego que se reúnan.” Gobierno, que son los siguientes : El Sr. Agreda-. «Las muchas opiniones que se han manifestado en la Art. 21. Los reglamentos establecerán. las recompensas, resarcimientos y discusión de este artículo demuestran la importancia de la materia y las difi auxilios que correspondan á los urbanos empleados en estos varios servicios por cultades que presenta.…</t>
  </si>
  <si>
    <t>25/11/1834</t>
  </si>
  <si>
    <t>Gaceta de Madrid n.º 284 · suplemento</t>
  </si>
  <si>
    <t>El Sr. Agreda: »&gt;Mis parece que falta algo en este articulo, yes expresa! • El Sr. Secretario del Despacho de lo interior: «Observo que la cortil* d qué clase de* delitos se ba de imponer cada una de las penas señaladas; y sí sion ha suprimida la- palabra individuo t y el1' Gobierno no puede consentir én. bien i…</t>
  </si>
  <si>
    <t>….. ■ los Miliciahds urhanos, se adher¡a at dictimen de la TiOmision. Gpbiernoadopta, y lacomi- l$l Sr, Alcalá Galiatto: -Erieí caso do deberse uniformar los Milicia ston conviene en expresar la ideá de ésta en los término* que «L Sr. Agreda nos urbanos, me alegrarla que fuese cdn una btus ó un vestido sencillo de poco,presenta*'eldesaparece la Contrariedad ¿¡ué iba 4 hacer al articuló del Gobierno; tosté; pero de todós modos es preciso que reflexione el Estamento que si se Nádiecon tilas dolor que yo ha visto losgravísimos inconfenien…</t>
  </si>
  <si>
    <t>Agu, F</t>
  </si>
  <si>
    <t>F Agu</t>
  </si>
  <si>
    <t>…ontinuó distinguen; pero no siendo asi, no puede resultar tal escándalo. Tampoco pue El Sr. Acete Jo: «Creo ocioso hablar de Jas virtudes y méritos del señor de resultar ofensa ninguna á la provincia, porque ni la provincia ni el señor F&gt; Agu tin Arguelles, cuyo nombre es tan conocido en el Estamento, en Es D. Agustín Argiielles tienen la culpa de que este carezca de la circunstancia pina y aun en toda Europa, y.superfino mencionar la confianza constJntc que de que se trata. Si acaso hay alguna culpa (permítaseme decirlo) será de los ha…</t>
  </si>
  <si>
    <t>Aguado</t>
  </si>
  <si>
    <t>17/09/1834</t>
  </si>
  <si>
    <t>Gaceta de Madrid n.º 215 · suplemento</t>
  </si>
  <si>
    <t>…los señores de la cotnision lo han confesado ají, obligatonsl ministro Roy á .prohibir que se emitiesen mas rentas perpetuas. y lo confesarán mas aprobándose cualquiera de sus dictámenes; pues las urgen {Que autorización tenia el Sr. ,Aguado para emitir este papel ! Es cierto que cias son tales , que si lis Córtes po acuden á socorrer al‘Gobierno. con dinero, viéndoseacosado por el tribunal presento cierta órden autógrafa ^lel Rey; y llegará el mes de~Nosfembre ó.Diciembre , yse bailará aquel enteramente des* ¡adúnde estuvo estáórden d…</t>
  </si>
  <si>
    <t>…conozca .el ter reconocimiento del mencionado empréstito, entraron los franceses a comprar rible efecto que ha causado; pues es seguro que si se le hubiera preguntado al esté papely y pasó de Guebhard á Konsen. Posteriormente el Sr. Aguado, que comerciante que tenga el mas pequeño giro, lo hubiera dicho, y el Ministro fue el que se encargó de dicho empréstito, le dió esa nueva conversión. No debía conocerlo. Se ha usado mucho también de un argumento, que no deja me meteré en formar la apología del buen ó mal uso que se hiciese de est…</t>
  </si>
  <si>
    <t>29/04/1834</t>
  </si>
  <si>
    <t>Gaceta de Madrid n.º 68</t>
  </si>
  <si>
    <t>…l, todos los cuales se disputaban'la gloria de extermi En la extracción celebrada en el día de hoy han salido agraciados los nú nar á la facción. El expresado comandante general de Córdoba recomienda al meros siguientes: referido teniente Aguado y al porta-estandarte Padial, que concurrió tan efi 7, 43, 51,30 7 44cazmente á la acción, de la cual da parte el comandante general de la Mancha. El premio de 2500 rs. vn. concedido en cada extracción á las huérfanas de militares y patriotas que murieron en defensa de la justa causa de la pación Sci…</t>
  </si>
  <si>
    <t>Aguado, Antonio López</t>
  </si>
  <si>
    <t>Antonio López Aguado</t>
  </si>
  <si>
    <t>25/04/1834</t>
  </si>
  <si>
    <t>Gaceta de Madrid n.º 64</t>
  </si>
  <si>
    <t>…e él por los Sres. D. Fran mará la sociedad económica, y tomará á su cargo la conservación cisco Bustamante, D. José Agustín de Larramendi, D. Amonio Gutiér de las fuentes y paseos públicos, el establecimiento de una escuela rez, D. Antonio López Aguado, D. Pedro Miranda y D. Juan Calixto de de niñas, y la promoción de otros objetos de utilidad y recreo que Ojeda. Pocos negocios son capaces de llamar la atencioqdel público con costeó en otro tiempo. mas interes que el que Forma el objeto de estas Memorias, y cuando se leen los nombres de los autor…</t>
  </si>
  <si>
    <t>Aguado, D Fermín</t>
  </si>
  <si>
    <t>D Fermín Aguado</t>
  </si>
  <si>
    <t>13/04/1834</t>
  </si>
  <si>
    <t>Gaceta de Madrid n.º 52</t>
  </si>
  <si>
    <t>…Isa reí. n. Dios guarde áVmd. muchos años. Segovia lo de Abril da de Aguilar: Murcia Benedicto: Pamplona, Longás: Sal ama oca B an co : Sevilla , Hidalgo y compañía : Santiago, viuda de Compañei: Valen ele 1834.=Antonio Casaseca.=Sr. D. Fermín Aguado, comandan cia, Mallen y Berard: Valladolid, Roldan: Zaragoza, Yagüe: Palma te de armas del Real Sitio de S. Ildcfonso.crLo que comunico li (Mallorca), Guasp. teralmente á V. E. para su satisfacción, asegurándole que í pesar ------Prontuario de las ordenanzas militares, que comprende la instruc ción…</t>
  </si>
  <si>
    <t>Aguado, D Joaquín Alvarez</t>
  </si>
  <si>
    <t>D Joaquín Alvarez Aguado</t>
  </si>
  <si>
    <t>06/05/1834</t>
  </si>
  <si>
    <t>Gaceta de Madrid n.º 75</t>
  </si>
  <si>
    <t>…ha mandado que no se pague ningún derecho por el Ha sido digna de todo elogio la inimitable eficacia y zelo del comandante entierro y bautismo de .los expósitos;-y que después de concknda la lactancia, D. Antonio Valderrama y del teniente D. Joaquín Alvarez Aguado, de que se entreguen á sus nodrizas para que los eduquen por un moderado estipendio, ya tiene hecho referencia en sus anteriores partes: no menos recomendable ha y con la obligación de presentarlos cuando sea conveniente, Sido el comportamiento del cabo l.° del provincial de Sevilla Francisco Rebo1…</t>
  </si>
  <si>
    <t>Aguado, Dioirsio</t>
  </si>
  <si>
    <t>Dioirsio Aguado</t>
  </si>
  <si>
    <t>25/03/1834</t>
  </si>
  <si>
    <t>Gaceta de Madrid n.º 37</t>
  </si>
  <si>
    <t>…ministro jubilado del Consejo supreu.o de Indias. Cuaderno 5 0 Se hallara eo Ja libre glona.=rExcmo. 4&gt;r. Secretario de Estado y del Despacho de Fomento general ría dtr ¿ v i.d • ue Ouiroga. del reino. — y cuela deguit .era, por D. Dioirsio Aguado, a.'J edición, corregida y aumenta da. Se hallará en e¿ia corte, calle angosta de Majadentos, núm. 13, guitarrería de Nota de los fallecidoi tn la ciudad de Granada en loe dias que 4 conti C cipo, ia u.i¿ma se encuentran las demas obras de Aguado ; de otros varios aunuación se expresan* twi . ¿ , —…</t>
  </si>
  <si>
    <t>Aguado, Fermín</t>
  </si>
  <si>
    <t>Fermín Aguado</t>
  </si>
  <si>
    <t>…reí. n. Dios guarde áVmd. muchos años. Segovia lo de Abril da de Aguilar: Murcia Benedicto: Pamplona, Longás: Sal ama oca B an co : Sevilla , Hidalgo y compañía : Santiago, viuda de Compañei: Valen ele 1834.=Antonio Casaseca.=Sr. D. Fermín Aguado, comandan cia, Mallen y Berard: Valladolid, Roldan: Zaragoza, Yagüe: Palma te de armas del Real Sitio de S. Ildcfonso.crLo que comunico li (Mallorca), Guasp. teralmente á V. E. para su satisfacción, asegurándole que í pesar ------Prontuario de las ordenanzas militares, que comprende la instruc ción…</t>
  </si>
  <si>
    <t>Aguado, Joaquín Alvafez</t>
  </si>
  <si>
    <t>Joaquín Alvafez Aguado</t>
  </si>
  <si>
    <t>…4 2 » 524 hombres de su gavilla, habia invadido aquella provincia por la 'parte que confina con el valle de la Alcudia; pero que el teniente del "provincial de Pia- Parte de los enfermar de ta villa dt Puente Don Gonzalo. senciá D. Joaquín Alvafez Aguado, auxiliado con 18 caballos al mando del Existencia del dia porta del 3.° ligeros D. Manuel María Padial, procedentes de las columnas de Dias- anterior. Invadidos. Curados. Fallecidos. la Mancha , los Urbanos de los pueblos que mas adelante se mencionan y va rios vecinos de los mismos, pudieron alca…</t>
  </si>
  <si>
    <t>Aguado, Joaquín Alvarez</t>
  </si>
  <si>
    <t>Joaquín Alvarez Aguado</t>
  </si>
  <si>
    <t>…o que no se pague ningún derecho por el Ha sido digna de todo elogio la inimitable eficacia y zelo del comandante entierro y bautismo de .los expósitos;-y que después de concknda la lactancia, D. Antonio Valderrama y del teniente D. Joaquín Alvarez Aguado, de que se entreguen á sus nodrizas para que los eduquen por un moderado estipendio, ya tiene hecho referencia en sus anteriores partes: no menos recomendable ha y con la obligación de presentarlos cuando sea conveniente, Sido el comportamiento del cabo l.° del provincial de Sevilla Francisco Rebo1…</t>
  </si>
  <si>
    <t>Aguado, Manuel</t>
  </si>
  <si>
    <t>Manuel Aguado</t>
  </si>
  <si>
    <t>21/04/1834</t>
  </si>
  <si>
    <t>Gaceta de Madrid n.º 60</t>
  </si>
  <si>
    <t>…l se establecerán un mes. dos clases para hombres y una para mugeres. ■---- Por providencia del señor Jiménez Navarro, teniente de corregi Se remiten al gobierno para su aprobación los estatutos de la dor de esta villa, se cita á D. Manuel Aguado, vecino de esta corte, proyectada sociedad económica, redactados por el secretario y ofi para que dentro del término perentorio de 1$ dias se presente en el jua gado de dicho Sr. teniente, y escribanía vacante de La-Madrld, para hacial de aquella subdelegacion, en la cual no hay ni un solo expe cer…</t>
  </si>
  <si>
    <t>Agüero, Alateo</t>
  </si>
  <si>
    <t>Alateo Agüero</t>
  </si>
  <si>
    <t>04/01/1834</t>
  </si>
  <si>
    <t>Gaceta de Madrid n.º 3</t>
  </si>
  <si>
    <t>…siqnes de localidad! Ellas solas podrías disputar á S. Sebastian el honor Excmo. Sr.: S. M. la Reina Gobernadora se ha dignado dirigir, con esta que se le dispensa con el mismo fundamento que tendría Aícobendas para dis f fecha á D. Alateo Agüero, por conducto de esta primera secretaría de Estado putarlo á Madrid; pero si acaso hiciese alianza con esas pasioncillas, como de mí cargo, ei Real decreto siguiente: En atencion á las circunstancias que Otras veces, la autoridad que debiera representar, y no representa, todos los in concurren en D…</t>
  </si>
  <si>
    <t>Aguiar</t>
  </si>
  <si>
    <t>07/11/1834</t>
  </si>
  <si>
    <t>Gaceta de Madrid n.º 266</t>
  </si>
  <si>
    <t>…se admitió á discusión la propuesta del Sr. Barklamy relativa á los Fl CZJnh* and Traveiler del,15, deL corriente parece temer un próximo empleados. rompipiiento entre la Puerta y el Egipto, y casi pide claramente la interven El-Sr. Aguiar leyó el dictamen de la comisión de legislación respecto á las ción de las Potencias interesad asen evitar las consecuencias de semejante suceso. propuestas hechas por los Sres. Silva, Retid uñe, Earreto y Soasa, para que ..Aunque las noticias directas que tenemos de Consrantinopla y Alejm- se decla…</t>
  </si>
  <si>
    <t>Agúiar</t>
  </si>
  <si>
    <t>…á la. comisión, para-que en vista de todo lo 1834=Sebastian Eugenio Vela, secretario. ' redactase de nuevo; los Sres. Sousa , Miranda, Barjona y Leonel hablaron éh favor de ia opinión que había manifestado el Sr. Vasconcellos; el Sr. Agúiar dijo, que no se oponía con tal que se votase por partes, porque era muy com plexa la propuesta de dicho SrvVasconcelIos, y podría haber quien votase por ESTADO SANITARIO DEL REINO. parte de ella , y por otra no. Asi se verificó, y quedó aprobada en todas sus partes, salva la redacción y las adicion…</t>
  </si>
  <si>
    <t>Aguiiar, Martínez</t>
  </si>
  <si>
    <t>Martínez Aguiiar</t>
  </si>
  <si>
    <t>…e varios Semaneros, y algunos autores clasicos, por et padre Dias. Varonee. Hembras. ambos sexos. Total. Fr. M. Vasera, del orden de ia Merced calzada. Se vende en esta corte en la librería de Razóla, y eu Málaga en U de la viuda d.* Martínez Aguiiar, á real: puede ir eo 15 de Marzo... 2 2 8. carta. 16 id................. I 2 10. — — Un baile en casa de Abrante*: diálogo eo verso por D. Antoolo García Gutiérrez. Se vende á a rs. en Madrid eo la librrrU de Escamina ; igual precio en Cádiz en 17 id.................. 1 2 10. la de Hurta! y compañí…</t>
  </si>
  <si>
    <t>Aguilar, Juan</t>
  </si>
  <si>
    <t>Juan Aguilar</t>
  </si>
  <si>
    <t>18/09/1834</t>
  </si>
  <si>
    <t>Gaceta de Madrid n.º 216</t>
  </si>
  <si>
    <t>…es: á media legua de Lequeitio se em «Por lo que respecta a la calle de Artecale, el capitán comandante, des pezaron á descubrir todas las fuerzas enemigas, que situadas unas sobre las po pués que fue batida su puerta, dejando al sargento 2.° Juan Aguilar y 8 solr siciones inmediatas al pueblo de lsparter, y otras sobre los caminos de Mon- dados en la casa primera de su derecha, pudo retirarse con tres soldados á la dejar á Moroté y Goizaburuaga, trataban de envolverme á favor de esta línea segunda línea, donde se hizo fuerte, y arrolló á los que en p…</t>
  </si>
  <si>
    <t>Aguilera, Antonio Aquilino</t>
  </si>
  <si>
    <t>Antonio Aquilino Aguilera</t>
  </si>
  <si>
    <t>29/10/1834</t>
  </si>
  <si>
    <t>Gaceta de Madrid n.º 257</t>
  </si>
  <si>
    <t>…erir que lo ejecute la villa: habiéndote dignado igualmente pura el destino que obtenía de secretario del gobierno civil de la provincia de mandar con respecto á lá casa de la compañía de Filipinas, que se recomiende Zaragoza , a D. Antonio Aquilino Aguilera, oficial de la sección de guerra al ministerio de Hacienda la comunicación de la órden conveniente al efecto. del consejo Real de España e Indias. El ayuntamiento de la villa de Elche de la Sierra ha hecho presente los Por fallecimiento de D. Ambrosio de Velascoy Ordeño , secretario del beneficios…</t>
  </si>
  <si>
    <t>Aguilera, José</t>
  </si>
  <si>
    <t>José Aguilera</t>
  </si>
  <si>
    <t>…goSa; á D. Francisco iez Gueíra, he venido en nombrarle para la plaza de decano de lá GalveZ Fernandez y á D. José Alonso Villastnte, que son tam sección de Fomento del Consejo Real dé España é Indias, vacan bién de la misma, y á D. José Aguilera, elerto para el consejo te p6f promoción de D. José María Moscoso de Altamira á la Se de Navarra; y para fiscales á D. Francisco de Paula Sierra, magis cretaria del Dtepacho de dicho famó.=Tendréh&gt;ló entendido, y lo trado cesante, de ló civil, y dé lo criminal á D. Migncl Nájera Comunicareis á quie…</t>
  </si>
  <si>
    <t>Aguilera, Josef</t>
  </si>
  <si>
    <t>Josef Aguilera</t>
  </si>
  <si>
    <t>11/02/1834</t>
  </si>
  <si>
    <t>Gaceta de Madrid n.º 19</t>
  </si>
  <si>
    <t>…Joaquin Olál , D. Ignacio y Villela Polo, La Reina nuestra Señora Doña Isabel ii, y S.M la Reina Gobernadora, en su luear á D. Pedro García del Valle, audiror de Guerra de Pamplona, á [ siguen $in novedad en su importante salud. D. Josef Aguilera y á D.-Fulgencio Barrera. Tendráse entendido en la Cáma ra para su cumplimiento.zzEstá rubricado de la Real mano.zrEn Palacio a 9 Del mismo beneficio disfrutan SS. A A. RJL los Sermos. Sres. Infantes. de Febrero de 1834..=Ai Presidente del Consejo y Cámara de Casulla. ‘ Por separación d«! alcalde de…</t>
  </si>
  <si>
    <t>Aguillar</t>
  </si>
  <si>
    <t>…icación para que C^maraSj el ejercito v todos los ciudidanos honrados están en perfecro acuer la Cámara hiciese de ella el uso conveniente. do y unión, cual es oai o irreconciliable a ID. Miguel, guerra eterna ai j-¿r— Convino el Sr. Aguillar en que el artículo estaba bien concebido;.mas que tema de absolutismo r á la tiranía que el representa. {Voces de todos los convenía redactarlo de otro modo para evitar toda duda: «Las antiguas O r- puntos de la Cámara: Apoyado! Apoyado!) tes, añadió, ofrecían al que matase un lobo 4^ reís de premi…</t>
  </si>
  <si>
    <t>…la propuesta de dicho SrvVasconcelIos, y podría haber quien votase por ESTADO SANITARIO DEL REINO. parte de ella , y por otra no. Asi se verificó, y quedó aprobada en todas sus partes, salva la redacción y las adiciones. La. del Sr. Aguillar fue retirada por PROVINCIA BB BADAJOZ. su autor, y aunque la reprodujo el Sr. Leonel, no fue admitida por la Camara. ' En 4 del actual.no ex istia ningún enfermo con síntomas sospechosos en La segunda adición propuesta por el Sr. Aguillar se reservó jtara después la capital de esta provincia, sin q…</t>
  </si>
  <si>
    <t>Aguirrc, Florentino</t>
  </si>
  <si>
    <t>Florentino Aguirrc</t>
  </si>
  <si>
    <t>08/10/1834</t>
  </si>
  <si>
    <t>Gaceta de Madrid n.º 236</t>
  </si>
  <si>
    <t>…pilado de Queluz el arzobispo de Lacede- resano con un tal Aguilar, muy carlista, y 10 ó 12 foragidos, que empezaron monia , acompañado del beneficiado Joaquín Eleuterio de 'Souza Negrao y de á robar caballerías. Perseguidos por D. Florentino Aguirrc, comandante de la otros eclesiásticos, conduciendo en un coche de casa Real el corazón de S. M. I. compañía de seguridad , ha sido cogido uno: los demas han dejado capas y otros el Sr. Duque de»Braganza , el cual fue depositado en U Real capilla del pala efectos, y se han metido en el monte Cubilla…</t>
  </si>
  <si>
    <t>Aguirre</t>
  </si>
  <si>
    <t>…tó sus individuos.” que en España habla habido dos gobiernos á fines del año, 23: «expresión El Sr, conde de las Aravas: «Los mismos que fueron electores en la pri añadió, que S- S. tuvo por subversiva, y debo decir que no fue el Sr. Aguirre mera junta, lo han sido en la segunda: de consiguiente igual confianza tendrán Solarte quien la emitió, sino yo. En cuanto á los demas puntos de la cuestión* en el Secretario y escrutador. La elección ha sido á pluralidad de votos. me abstengo de hablar.” « La ley de elecciones previene que luego q…</t>
  </si>
  <si>
    <t>Aguírre, Antonio Encuo y</t>
  </si>
  <si>
    <t>Antonio Encuo y Aguírre</t>
  </si>
  <si>
    <t>…había entrado en Guanijua'o sin opodeion , y la tranquilidad se D. Juan Perez Piinentel : para la de Autol á D. Antonio Mediano, y para la habla restablecido en todo el país. El 2u de Octubre llegó á Méjico con 4-28 de Cebolla a D. Antonio Encuo y Aguírre. prisioneros, y anunció en una proclama que reasumía el gobierno civil, aun que parece inclinado á no derramar sangre. Sin embargo, se dice que dejará el También se ha dignado nombrar, á consulta d« la Cámara, para la rara de poder ejecutivo el vicepresidente de la república, y que su intención es r…</t>
  </si>
  <si>
    <t>Aguirre, Antonio Martínez Ibarrola y</t>
  </si>
  <si>
    <t>Antonio Martínez Ibarrola y Aguirre</t>
  </si>
  <si>
    <t>29/03/1834</t>
  </si>
  <si>
    <t>Gaceta de Madrid n.º 39</t>
  </si>
  <si>
    <t>…o da parte de lá vigorosa í&gt;. foA María Rodas, á D. Juan Antoha SemoUnos: pdr»la de Ciempozue- resistencia hecha1 por la guarnición, de Orduña contra las facciones de SopeUna, ;fo®, vacante por la.de ,£&gt;. Felipe Arráez y. Gómez,» D. Antonio Martínez Ibarrola y Aguirre, que fueron á atacarla en dos dias consecutivos. Estos bao* GÜ; para la de Peñaranda de Duero á. D. Antonio María de Mofeta: para la didos, no habiendo, podido nada contra aquella benemérita guarnición, se retira ^fe ^TroyoTde Puerco i D. 4ucnayentura pla.v¿: para la de Nules a D. To- ron después h…</t>
  </si>
  <si>
    <t>Aguirre, D José</t>
  </si>
  <si>
    <t>D José Aguirre</t>
  </si>
  <si>
    <t>11/10/1834</t>
  </si>
  <si>
    <t>Gaceta de Madrid n.º 239</t>
  </si>
  <si>
    <t>…amente la enfermedad que afligía 4 sus vecindarios; y comandante D. Antonio fobar i el 2.° comandante D. Manuel Argüelles ¡ el - que en los demas puntos invadidos continuaba la enfermedad con benignidad teniente coronel graduado, capitán D. José Aguirre; los capitanes D. José según, resulta del siguiente María Gurrea y D. Félix Miranda; el capitán graduado, teniente D. Antonio Parte sanitario. Sánchez; el teniente.graduado, subteniente D. Juan Moreno; los subtenientes D..Juan Orus y D. José Erefias; los sargentos primeros Manuel Chutos y Gui llerm…</t>
  </si>
  <si>
    <t>Aguirre, Florencio</t>
  </si>
  <si>
    <t>Florencio Aguirre</t>
  </si>
  <si>
    <t>08/08/1834</t>
  </si>
  <si>
    <t>Gaceta de Madrid n.º 173</t>
  </si>
  <si>
    <t>…úa siendo epidémico; pero no se anuncia ningún fusilado el 28 á las dos de la tarde el faccioso aprehendido por el capitán efe la caso desgraciado, sin embargo de los vómitos y diarreas que muchas veces acom compañía de.seguridid D. Florencio Aguirre; v que en Soria lo fueron igual pañan la erupción. mente el día 23 i las diez de la maruna , Epifamo Ortega, titulado segundo Fiebres catarrales ó irritaciones no febriles de la membrana mucosa de las comandante de la partida de la muerte , y Andrés García , teniente de la fac fosas nasales y de lo…</t>
  </si>
  <si>
    <t>Aguirre, Florentin</t>
  </si>
  <si>
    <t>Florentin Aguirre</t>
  </si>
  <si>
    <t>Gaceta de Madrid n.º 247</t>
  </si>
  <si>
    <t>…os ningún motivo de intervenir en la expresión dido con su caballo y armas por el teniente de caballería de la compañía d* de opiniones individuales de algunos de los convidados, manifestadas, bien sea seguridad de esta provincia D. Florentin Aguirre. por medio de canciones, ó bien enarbolandó banderas. Mas si semejantes reu niones tomasen el carácter de sociedades, y de ello resultase amenazado el re Ssirgos 14 de Octubre. poso de nuestros vecinos, nosotros no dejaríamos de adoptar inmediatamente las medidas convenientes para impedir aquellas.…</t>
  </si>
  <si>
    <t>Aguirre, José</t>
  </si>
  <si>
    <t>José Aguirre</t>
  </si>
  <si>
    <t>…a enfermedad que afligía 4 sus vecindarios; y comandante D. Antonio fobar i el 2.° comandante D. Manuel Argüelles ¡ el - que en los demas puntos invadidos continuaba la enfermedad con benignidad teniente coronel graduado, capitán D. José Aguirre; los capitanes D. José según, resulta del siguiente María Gurrea y D. Félix Miranda; el capitán graduado, teniente D. Antonio Parte sanitario. Sánchez; el teniente.graduado, subteniente D. Juan Moreno; los subtenientes D..Juan Orus y D. José Erefias; los sargentos primeros Manuel Chutos y Gui llerm…</t>
  </si>
  <si>
    <t>23/07/1834</t>
  </si>
  <si>
    <t>Gaceta de Madrid n.º 156</t>
  </si>
  <si>
    <t>…hemosgeneralizarimpuestorus elopenosdeber efectos.de desarrollarleEn él seycneurntrahexponerle D. Antonio Colomar, coqio médico vocal consultor. detalladas todas sus circunstancias y medías que pueden conducir á la perfecta cur»- D. José Aguirre, id. id. cton de un rápida y alarmante enfermedad. Se,vende á real en la librería de Hurta* Puede ir y la de la viuda de Cruz. en carta ¡ y está recomendado por la juniá o* t&gt;. Antonia Folgado, en la clase de cirugía-médica, id, do 1 . &gt; . Sanidad. El Dr. J2. José Nansa, médico-cirujano , ida id. S…</t>
  </si>
  <si>
    <t>Aguirre, Ramón</t>
  </si>
  <si>
    <t>Ramón Aguirre</t>
  </si>
  <si>
    <t>…tentativa de nuevos enemigos , y general gefe de la plana mayor ya citado, de los capitanes adictos á la misma apoyando rms operaciones verifique mi marcha , evitando la recta dirección par* D. Miguel Cormano, D Marcelo Fregenal, D. Ramón Aguirre , teniente del ocultar mejor el designio, s;n embargo de ia» dificultades que ofrecía U ocuReal xuerpp de artillería , y teniente D. Blas Royo: del, brigadier barón de ridad y un terreno t,n montañoso y quebrado: ai amanecer de hoy me encon Meer, de los coroneles D. Tomas de Yat'to , D. Joaquín Bay…</t>
  </si>
  <si>
    <t>Agúrlar, Cristóbal</t>
  </si>
  <si>
    <t>Cristóbal Agúrlar</t>
  </si>
  <si>
    <t>…sión á la sata de juntas, y sus in efectos.'El coronel Yarto recomienda al teniente coronel capitán de carabine dividuos dicten cuenta por turno de lo, i 4 poderes que habian examinado y ros D. Rafael Midon, al teniente de Borbon D. Cristóbal Agúrlar y i los al encontraban corrientes, en conformidad al artículo 12 del reglamento; y en féreces D. Francisco Abreu y D. Juan Osorio , y i todos los individuos de Uor seguida fueron aprobados los de los Sres. Rodríguez Paterna, González (Don pa de estos mismos cuerpos: asi como al teniente graduado y al…</t>
  </si>
  <si>
    <t>Agus</t>
  </si>
  <si>
    <t>24/04/1834</t>
  </si>
  <si>
    <t>Gaceta de Madrid n.º 63</t>
  </si>
  <si>
    <t>…bosquejo lo que puedo manifestar á V. E. en cumpli urbanos que lo fueron el Lie. D. José Izquierdo; el legista Don miento de mi oferta, jorque estoy persuadido que no es dable á José González Elipe; José Antonio Sánchez de Avila; D. Agus pluma alguna describir con exactitud el relevante espíritu de esta tín Burgos, alférez retirado; Luis Díaz Pallares, cesante de poli población en favor de la justa causa desde el anuncio de la separa cía ; Francisco Mira; Antonio López Blanco; Pedro Galiana, y ción del Locho de Villarubia, por exag…</t>
  </si>
  <si>
    <t>Agustín</t>
  </si>
  <si>
    <t>…de nnrr el Danubio, el Mein y el viejo i D. Pedro José de Tripiana: para la de Getafe á D. Francis Rhin. Una turba de incendiarios que han cometido muchas atrocidades en U ve co Herrero Blanco: para la de Carrion de los Condes a D. Agustín cindad de Landshut y Frcising, ha aparecido también en nuestras cercanías, y Gómez Inguanzo: para la de Bandé á D. Miguel Ortega: para la de en Munich mismo han tratado dé prender fuego á varias casas, pero se les ha cogido antes de qué pudieran causar daños notables. De esto ha nacido la vozLo&gt;ja…</t>
  </si>
  <si>
    <t>18/07/1834</t>
  </si>
  <si>
    <t>Gaceta de Madrid n.º 151</t>
  </si>
  <si>
    <t>…drnígo: este se retiró á los bosques inmediatos, hasta queyendo asi otros capitales del «xtrapgcro i fecundar nuestra España. advirtiendo que la columna de Sodupe al mando del capetas del provincial &lt;h Sevilla \%df Julio* Logroño D. Agustín se Trício estaba próxima ya á incorporárseme, atacada támoíen por fuerzas superíojg; con este motivo reunida que me fue _tqd* la JRm/ acadertia Je médidna yebrugía Je Setifla\ Córdoba y Extremadura* fuqrzs cargué á la bayonetaála^faccion, y á las .voces de riva la Éúgjira «c El Sr. vicepresidente d…</t>
  </si>
  <si>
    <t>…se les anunció en Real or En Aranjuez á 2¡J de Mayo de 11154. = A D. Nicolás María Garelly. den de 12 de este mes. 2’ El acto de la promulgación se verificará con todas las Forma lie venido en jubilar á D. Vicente García Diaz y á D. Agustín lidades acostumbradas hasta ahora en la Je las leves del Reino: le Castellanos, ministros de la Real audiencia de Asturias, con sus ho yéndose íntegramente los artículos del Estatuto Rf.al, y' la Convoca nores V sueldo que les corresponda, según clasificación. Tendréislo toria á Cortes por los Secr…</t>
  </si>
  <si>
    <t>Agustín, Manuel de la Concha y D</t>
  </si>
  <si>
    <t>Manuel de la Concha y D Agustín</t>
  </si>
  <si>
    <t>13/03/1834</t>
  </si>
  <si>
    <t>Gaceta de Madrid n.º 32</t>
  </si>
  <si>
    <t>…^d. Valencia id. mendación y aprecio de V. E. el comandante de escuadrón D. Joaquín Somo BurdeosHamburgo,, 00.00. Barcelonazo par. á pesos fs. GranadaMálaga | 1 áId.par* DescuentoZaragoza } de&lt;L letras za, los ayudantes de campo D. Manuel de la Concha y D. Agustín la Cerda, Londres á 90 dia* I b. ¡Santander par. á 4 p. zoo al afio. que voluntariamente se unieron 4 la caballería en el acto de dar la carga, cuyo 87b Bilbao par. [Santiago 1 d* servicio han seguido prestando siempre que se ha ofrecido en la persecución del dia siguiente; el de igual clase D. Joa…</t>
  </si>
  <si>
    <t>Agustina, Mama</t>
  </si>
  <si>
    <t>Mama Agustina</t>
  </si>
  <si>
    <t>21/06/1834</t>
  </si>
  <si>
    <t>Gaceta de Madrid n.º 124</t>
  </si>
  <si>
    <t>…en concepto de Kéredéíos 6 acreedores, se conslderen íon dérecho á los plén«i'per , Se;han dictado algunas providencias para mejorar las cárceles dé los, pueblos, tenecientes ai abintestato formado á vj^túd&gt; del fallecimiento de.Doña Mama Agustina y^^ ^^ ^ capiial , que^amcnazan iuina, sé ha dispuesto ia pronta repara Rviizjuzgadode y.porQuesada,la escribaníavecina quedefueBorreguerode ésta corte;y Leort,paraeá..elque precisolo deduzcanterminaen elde referida30 días; ción de un trozo dé pared. bajo apercibimiento que pasado dicho término sin v…</t>
  </si>
  <si>
    <t>Agustm, An Samper de Noviembre de IBiq</t>
  </si>
  <si>
    <t>An Samper de Noviembre de IBiq Agustm</t>
  </si>
  <si>
    <t>Gaceta de Madrid n.º 295</t>
  </si>
  <si>
    <t>…recibidos por las columnas que Regimiento caballería de Botbon, 5.° de l::iea.=Soldado, Antonio Ló los esperan para completar su destrucción. pez, el caballo herido. «Los partes de ayer y antes de ayer que he recibido del coronel D. An Samper 23 de Noviembre de IBiq.^Agustm Nogucras.=:Es copiaj=:Gctonio Van Halen y comandante de armas de Solsona, continúan informán rónimo Váidas. dome del mal estado en que se encuentran Caragol y demas cabecillas qué se le han unido en la alta montaña; pues súdente está descalza, llena de miseria y poseída del mayor espanto por experi…</t>
  </si>
  <si>
    <t>Ahhorp</t>
  </si>
  <si>
    <t>Fallecimiento o necrología</t>
  </si>
  <si>
    <t>…dor, la presencia del obispo acompañado de sit clero, aguardando á las puertas del monasterio, y la iluminación de la igle sia, todo hacía interesante esta magnífica solemnidad. El pueblo todavía duda . El conde Spencer, padre de lord Ahhorp, que murió el 10 del corriente, ba de la llegada del Monarca y escuchaba con silencio la primera noticia había nacido en l.° de Setiembre de 1"58, v tenia 77 años de edad. Era que se le diese, cuando viendo al obispo con la cruz y el agua bendita, que 'caballero de la orden de la JarTetiera, y habí…</t>
  </si>
  <si>
    <t>Ahora</t>
  </si>
  <si>
    <t>08/02/1834</t>
  </si>
  <si>
    <t>Gaceta de Madrid n.º 18</t>
  </si>
  <si>
    <t>…P. M. R. y de todos los reli giosos de esa nuestra provincia, que exhorten y aconsejen la dicha tranquilidad, Exposiciones 4 S. M. la Reís. Gobernadora. la obediencia y reconocimiento a,la Reina y su gobierno, y aun les prediquen Señora: Ahora que por la llegada del bergantín de guerra Guadaleti se ha fa obligación que de ello tienen en conciencia. Dadas en nuestro convento de confirmado la tristísima noticia que tenia enlutados nuestros corazones; ahora que Madrid á 5 de Febrero de 1834* sin consuelo corren las lágrimas del español patr…</t>
  </si>
  <si>
    <t>15/09/1834</t>
  </si>
  <si>
    <t>Gaceta de Madrid n.º 213</t>
  </si>
  <si>
    <t>…e de 1834~Excmo. Sr.—J. Manso. reunido, ni el cansancio de la tropa que comenzó su movimiento desde Foncea á las cuatro y media de la mañana, y llevaba ya doce horas de fatiga, per Capitanía general de Castilla la Vieja. — Erbio. Sr.: Ahora que son las mitía pasar mas adelante. cinco de la mañana parto para el valle de Cuartango para empujar á los faccio La fuerza que presentó él enemigo durante la acción se puede asegurar sin sos que pudieron repasar el Ebro y alcanzarlos en su fuga, ó hacer que caigan en duda alguna que excedía dé I…</t>
  </si>
  <si>
    <t>18/01/1834</t>
  </si>
  <si>
    <t>Gaceta de Madrid n.º 9</t>
  </si>
  <si>
    <t>…r.: Con fecha de hov dico al ca | niente acerca del sorteo ó modo de cubrir el vacio que resulte. pitán general de esta isla de h.uba lo siguiente: Todo lo cual comunico á V". E. de Real orden para que dándote la con — ** Exorno. Sr.; Ahora que de un modo autentico recibió V. F. po: e! ber | veniente publicidad, disponga y active su cumplimiento. Dios guarde á V. E. gantín de guerra Gvadaisfe la funesta noticia de la muerte del Rev nuestro | muchos años. Madrid 16 de Enero de l834»^^airco- Señor (Q. E. E. G.), y que en oficio de 5 del…</t>
  </si>
  <si>
    <t>…e la 4*a división de este cjército saE» copu.^F.I marques de Rodil. Los eremigos han tomado según las noticias que he adquirido la dirección de Marquina; en consecuencia me diri jo á pernoctar á Elgoibar, y V. S. procurará Excmo. Sr.: Ahora que puedo hacerlo con toda certeza, manifestaré a hacerlo en Elorrio comunicándose conmigo ;sta noche aprovechando sin embar V- E, que desde que supo el Pretendiente la ¡dea del genera) Rodil de visitar go cualquier coyuntura ó circunstancias que se ofrezcan por la izquierda en di lo en el Bastan,…</t>
  </si>
  <si>
    <t>28/05/1834</t>
  </si>
  <si>
    <t>Gaceta de Madrid n.º 97</t>
  </si>
  <si>
    <t>…terará S. M. de la fuecza con que cuenta el ejército de S. M. F-. y dircccíottte asunto, y ha contestad*^ que no podía hacerld porque era parte dé-un plan ’ nes en que va ¿¡petar* tmaniobrando yo también paralelamente cor. las co general. Ahora que van á quedar concluidos dichos establecimientos, pido que lumnas del br. duqúe de Terccira , y el Sr. .Conde de. Salda ña hacia V illavi— í» ellos se establezca un sistema 4c cuenta, y razón, dando cuenta anualmente c¿t&gt;sa, Yelves ó Campo mayor, secun meló prescriban, los - afro v un lentos car…</t>
  </si>
  <si>
    <t>Ahumada, José Leocadio</t>
  </si>
  <si>
    <t>José Leocadio Ahumada</t>
  </si>
  <si>
    <t>…a de los distritos que les están asignados, el presupuesto habla también de cuatro Peñafiel á D. Angel Esteban de la Fuente: para Jal de Piedrabita á nuevos distiitos organizados en los últimos años, á saber: el distrito de la Ru D. José Leocadio Ahumada: para la de Padrón á D. Antonio Galle sia blanca, el de Odessa, el del Cáucaso y el de la Siberia. (G. dt las postor go Moron: para la de Rioseco á D. José Velasco de Castro: para la de Francfort.) de Vigo á D. Antonio Arteagaj para feyle Cambados á D. Ricardo «AVIESA. Bovo; para la de Ujijar á D.…</t>
  </si>
  <si>
    <t>Ai'giielles</t>
  </si>
  <si>
    <t>…«Así que no puedo persuadirme que á pesar de las reflexiones del d: trá ratees que constituyen este censo consieri3tivo , no veo una razón para que el men de la comisión, repetidas, explicadas y estudiada» por el Sr. Mcdrano, sea Sr. Ai'giielles en lo sucesivo fuese grav.,do con la contribución de frotas civi rechazado «1 Sr. D. Agustín Arguelles, r no dudo sjuc este ocupará en el Es les. El Sr. ArgCfrlles dt*fruJa esta renta, v de ella puede disponer , porque la h* tamento el digno lugar qne le cortcsponde." adquirido por uno de los medio…</t>
  </si>
  <si>
    <t>Ai, Agustín</t>
  </si>
  <si>
    <t>Agustín Ai</t>
  </si>
  <si>
    <t>…rimero de Cámara al q¡úc la des mera señal; que el Emperador Nicolás ha concedido ocho años empeñaba en el mismo D. Andrés Ramón de Abuin; y para lia de plazo á la Turquía para pagar su deuda; qué un alboroto serio, de capellán á D. Agustín Ai taza, que también U obtenía. Ifl li cuyos instigadores se ignoran, ha estallado en Bagdad y en Kuri</t>
  </si>
  <si>
    <t>AI, Istúrix</t>
  </si>
  <si>
    <t>Istúrix AI</t>
  </si>
  <si>
    <t>16/11/1834</t>
  </si>
  <si>
    <t>Gaceta de Madrid n.º 275 · suplemento</t>
  </si>
  <si>
    <t>…enda propues signadas en esta ley , serán considerados como hijos de familia, y podrán alis ta por el Sr. Ministro de lo Interior.” tarse en esta Milicia.” El Sr. Secretario del Despacho de lo Interior: «Quisiera que en la adi El Sr. Istúrix.• «AI hacer esta adición he creído que los individuos de ción se explícase mas la idea de ciudades populosas; porque hay provincias de signados en ella son personas que ofrecen todas las garantías que se exigen á los España en que poblaciones de 69 almas pueden considerarse como por populo hijos de famil…</t>
  </si>
  <si>
    <t>Ai, Romero</t>
  </si>
  <si>
    <t>Romero Ai</t>
  </si>
  <si>
    <t>Gaceta de Madrid n.º 222 · suplemento</t>
  </si>
  <si>
    <t>…tario de las casas que se A petición del Sr. conde de las Navas se leyó por el Sr. Latorre, indi expresan , ni tampoco de la masada. Y una prueba positiva de que no es dueño viduo de la comisión, la exposición con que acompañó el Sr. Romero Ai- de ellas, es que en la misma escritura su sobrino las cede ea administración á puente sus nuevos documentos. su tío para qué disfrute los productos; en el concepto dé que si exceden de la Ei Sr. conde de las Navas: «Voy á partir de un principio que me pa asignación de los 123 rs. señalados , devuelva…</t>
  </si>
  <si>
    <t>Aí.-irguts</t>
  </si>
  <si>
    <t>31/10/1834</t>
  </si>
  <si>
    <t>Gaceta de Madrid n.º 259 · suplemento</t>
  </si>
  <si>
    <t>F.i Sr. Aí.-irguts: «Ls petición que ahora se discute en ti Estamento es blos de aquella costa, 7 ha podido examinar los pleitos de esta naturaleza , si es conforme á los principios de razón y de justicia, y por lo mismo no debe du cierto que no solo no se perjudica al cabildo con el prodigioso incremento que dar un…</t>
  </si>
  <si>
    <t>Aíaix, Bruno</t>
  </si>
  <si>
    <t>Bruno Aíaix</t>
  </si>
  <si>
    <t>…on provecho suyo en todos conceptos. Me prometo felices rebultados batalion del citado regimiento de la Guardia , u! mando de! primer v.r&gt; n L . bndel establecimiento de tan benéfica asociación, á cuyos individuos les anima un le D. Bruno Aíaix, se dirigieran sobie la izquierda del rwsm'; que ! - ¡2 v¡ vehemente deseo de contribuir á mejorar la triste condición de esta desgraciada zadores á caballo de U Guardia, mandados por el valiente Excmo. Sr. ;n.; clase de la sociedad, por aquellos medios que dicta una caridad ilustrada, y que ques d…</t>
  </si>
  <si>
    <t>Aiaola, González</t>
  </si>
  <si>
    <t>González Aiaola</t>
  </si>
  <si>
    <t>30/01/1834</t>
  </si>
  <si>
    <t>Gaceta de Madrid n.º 14</t>
  </si>
  <si>
    <t>…UNCIOS. el cual, tomando Ja dirección del Carrascal, habia pasado en dispersión por las Ensayo sobre el hombre: poema de Pope, traducido cfet Inglés por D. Gregorio I inmediaciones de Tafalla, perseguido por las tropas del citado brigadier. González Aiaola, Un cuaderno en 8.°, edición de 1821 , á 4 rs. rústica. Trata esta I obra en 1as cuatro epístolas que contiene escritas por el mayor poeta filósofo al sabio | Bollogbroke; i,°, de la naturaleza y estado del hombre con respecto al universo; A.p Con fecha del 22 escribe el general en gefe desde Pampl…</t>
  </si>
  <si>
    <t>Aíartel</t>
  </si>
  <si>
    <t>…icación de que se hacía mérito en cesita son documentos.” el dictámen de la comisión; y asi se verificó. El Sr. Serrano insistió en lo dicho anteriormente. SÍ Sr. Ochoa: «Por el contexto de esta certificación sabemos que se ha El Sr. Aíartel: «Me parece que se han alegado dos causas, por las cuales fallado esa causa, pero ignoramos la sentencia, lo que no nos saca de dudas. no puede el Sr. Echevarría entrar en el Estamento: 1.a que no Ha acreditado A un hombre no sé le puede llamar .procesado criminalmente porque esté con arreglo á la…</t>
  </si>
  <si>
    <t>AíeJrano</t>
  </si>
  <si>
    <t>02/08/1834</t>
  </si>
  <si>
    <t>Gaceta de Madrid n.º 166 · suplemento</t>
  </si>
  <si>
    <t>…e extremo, y con ello quedará solventada la duda, y cesaráotAs jan: ]por coniigiiiente bá ^cido debía dar crédito á la palabra de un Sr. Pro- discusión.” eurádot, apoyada pór £a certificación de facultativo. Esto, sin embargo, no Sr. AíeJrano: ^La comisión ha presentado en el extracto lo mismo que que el Esfárñénto, si lo tuviese por Conveniente, estableciese nuevo la certificación dice; y en alia nada habla de curable ni incurable. ($. S. leyói ié¿t¿4o jpáza examinar'lis excusas de los que tengan á bien hacerlas. La comi- parte del inf…</t>
  </si>
  <si>
    <t>Aigny</t>
  </si>
  <si>
    <t>…se dice-que hay razones para creer que .el almirante «pede. * "-Ir- ■ ■ \ ' Roussin no quiere aceptar el ministerfo de Mai ina, que ¿e lo encargó cuando •No debéis olvidar que Francia dió el ejemplo en él último siglo, y que ’ et almirante Aigny pasó al de Negocios extrangeros. . . ' modebeíS déjtriifccotnpkta Una obra que principé un gobierno, que no era .El Correo del Mosa contiene sin breve del Papa dirigido,! loe.obispo* de •Bícn se que sé labia de ecOOoínía. La semana próxima disentiréis algunas Bélgica, en que S. &amp; aprueba su proyect…</t>
  </si>
  <si>
    <t>Aiilon, Luis López de la Torre</t>
  </si>
  <si>
    <t>Luis López de la Torre Aiilon</t>
  </si>
  <si>
    <t>15/02/1834</t>
  </si>
  <si>
    <t>Gaceta de Madrid n.º 21</t>
  </si>
  <si>
    <t>…re lo-, cuales se dincu ci brigadier (,)raa desde Puente la Rema, \ ..'i En atención 4 la aptitud y demas recomendables circunstancias que con columna de 1"&gt;m hombres al mando del brigadier Linares, que hab.a sa.iC » ce curren en D. Luis López de la Torre Aiilon, oficial 6.° de la primer j secre Zaragoza v estaba cer«.a de ^os. taría del Despacho, se ha dignado la Reina Gobernadora, en nombre de Mi augusta Hija la Reina nuestra Señora Dona Isabel 11, nombrarle secretario El comandante general interino de !a provincia de Burgos, con fe„ha q de de la embajad…</t>
  </si>
  <si>
    <t>Aimard</t>
  </si>
  <si>
    <t>…stablecido, eran obrero* filiados en las Art. 3“ Dirigiéndose su creación al fomento general del reino, sociedades secretas de los anarquistas. dependerá inmediatamente de la Secretaría de Estado y del Despa Luego que el valiente general Aimard supo con un dia de anticipación el cho del mismo ramo, que se halla á vuestro interino rargo; y por ataque que se preparaba , acordó las medidas convenientes en unión con el pre la propia Secretaría se romunicarán mis Reales resoluciones concer fecto , destacó un piquete de tropas para la custodia…</t>
  </si>
  <si>
    <t>Ainat, Francisco</t>
  </si>
  <si>
    <t>Francisco Ainat</t>
  </si>
  <si>
    <t>24/06/1834</t>
  </si>
  <si>
    <t>Gaceta de Madrid n.º 127</t>
  </si>
  <si>
    <t>…........g* Totaf!...-1 io ESPAÑA. Quedan existentes para-mafiana, 13. 'Cádiz 17 de Junio. Alremitir estos documentos al Ministerio el alcalde mayor de Oca lía Capitanía dtl puerto, 13. dr Junio. Ayer entró el bergantín ingles Dt- D. Francisco Ainat, y ratificar ñi contenido segbb’ótras noticias dé Mora qué korah, opilan Timoteo Stark , procedente de Lisboa en dos dias. Dice el ca habla recibida, manifiesta con fecha de ayer Í2 qué en' Téhlblóque yen todos pitán que todas las tropas de D. Pedro regresaban á Lisboa; que el dia 12 de los pueblos…</t>
  </si>
  <si>
    <t>Aínhifc</t>
  </si>
  <si>
    <t>…rcelona, &amp; ps. fs., Malaga* ¿ b. Descuento de letras, 4 90 días, Londres. 1 i id. Santander* id. a 4 p. 100 al año. ■ Bocas-calles y casas, particularmente á la guerrilla que mandaba el teniente 38* a £ pac. .Bilbao, Santiago * * d. ‘Aínhifc i Figurándome que los rebeldes trataban de retirarse por un flanco del ^'pueblo con dirección á Lérin, mandé flanquearlos por la caballería y resto de la columna; validos los facciosos de la oscuridad de la madrugada, forzaban ANUNCIOS. su marcha por la faldá de la sierra; sin embargo fue alcanzada…</t>
  </si>
  <si>
    <t>Aínwma</t>
  </si>
  <si>
    <t>La vanguardia, al del mariscal de campo D. Francisco Sanjuanena.' Continué-sobre ellosccn los bata* Rnet de! Príncipe, Aínwma , Gerona, La 37 á la del brigadier D. 1: rancheo de Paula Figueras. 200 cazadores de Isabel n y 3o caballos, habiendo legrado alcanzarlo* á las Seguía. la,artillería á la del coronel Eb José Ulloa. seis du la tarde'cn las alturas sobre Ezraua á la derecha dei camino real &gt; don Y por último ia cabal…</t>
  </si>
  <si>
    <t>Aíonge, Polo y</t>
  </si>
  <si>
    <t>Polo y Aíonge</t>
  </si>
  <si>
    <t>15/11/1834</t>
  </si>
  <si>
    <t>Gaceta de Madrid n.º 274 · suplemento</t>
  </si>
  <si>
    <t>…e la cuestión, piedad; y por esto se ha creído que el tipo de la propiedad es como el tipo y que lo mismo le había sucedido al Sr. Llano Chavarri. normal del valor de los derechos político». Es claro, pues, que para que ia ley El Sr. Polo y Aíonge: «He pedido la palabra, como individuo de ía sea análoga en rodas sus partes, y para que estas simpaticen unas con otras, comisión , para hablar de las cinco variaciones que ha hecho la misma en el ar deben ser llamados á defender tes leyes patrias los mi»mo» á quienes se han tículo 3.° que se disc…</t>
  </si>
  <si>
    <t>Aitón, D Miguel</t>
  </si>
  <si>
    <t>D Miguel Aitón</t>
  </si>
  <si>
    <t>…en Alacon, dedonde Tengo, asimismo la satisfacción de comunicarle que por nuestra, huyó precipitadamente, dejando los ranchos que tenia cociendo, ai parte, no ha.habido la mas mínima novedad. saber que seis aproximaba xl teniente coronel D. Miguel Aitón con la mitad de los cazadores del regí mico to,.de Mallorca. Que én el mismo dia' 14 persiguió en los puertos de Bflocytc: Extracto de las últimas noticias recibidas en el ministerio del el espitan D. Isidro Rebollo-con ia otra mitad de los mismos ca Fomento acerca del estado de la celebración de l…</t>
  </si>
  <si>
    <t>Aitón, Miguel</t>
  </si>
  <si>
    <t>Miguel Aitón</t>
  </si>
  <si>
    <t>…n, dedonde Tengo, asimismo la satisfacción de comunicarle que por nuestra, huyó precipitadamente, dejando los ranchos que tenia cociendo, ai parte, no ha.habido la mas mínima novedad. saber que seis aproximaba xl teniente coronel D. Miguel Aitón con la mitad de los cazadores del regí mico to,.de Mallorca. Que én el mismo dia' 14 persiguió en los puertos de Bflocytc: Extracto de las últimas noticias recibidas en el ministerio del el espitan D. Isidro Rebollo-con ia otra mitad de los mismos ca Fomento acerca del estado de la celebración de l…</t>
  </si>
  <si>
    <t>Aizpun, Manuel</t>
  </si>
  <si>
    <t>Manuel Aizpun</t>
  </si>
  <si>
    <t>10/06/1834</t>
  </si>
  <si>
    <t>Gaceta de Madrid n.º 113</t>
  </si>
  <si>
    <t>…as de la metrópoli á tomar parte en la em á D. Silvestre Mimendia, vicario interino de Legorreta; i D. José presa , para la cual se calcula necesario un fondo de 1203 libras esterlinas. Con María Oses» beneficiado de Barasoaih; á D. Manuel Aizpun, bene este dinero deben comprarse cuatro buques de vapor de la fuerza de 200 ccbaUoS cada uno, y destinarse uno para hacer la travesía de Inglaterra á Alejandría,ficiado de Cizur la mayor; á D. Juan Echeverría, beneficiado de los y ¡os tres réstantes para ser empicados en Ja costa oriental del Istm…</t>
  </si>
  <si>
    <t>Aj, Cárlos La</t>
  </si>
  <si>
    <t>Cárlos La Aj</t>
  </si>
  <si>
    <t>…neral de los archivos mozos del Bastan, de Ansa, de Estiribar, de Erro, de Amescoa, y de otros del reino; Vaudet, miembro del Instituto; Guevard, miembro del Instituto; valles .comarcanos se niegan á tomar las armas en defensa de D. Cárlos. La Aj[ignet , miembro del Instituto; Chatnpollion-Fígeac, conservador en el de-' junta rebelde cree que no es .prudente-violentarlos, recelando, que se refu paiyaRiyjito de manuscritos de la biblioteca Real; FaurieL,.conservador adjunto gien á Francia. En esta última ^¡mporada solp los mozos.de las galla…</t>
  </si>
  <si>
    <t>AJurtmez</t>
  </si>
  <si>
    <t>…que en la discusión se han atacado alguno» puntas de ios que pro me airev?:¿ a si.pl car que se abrevie e»ta discusión pasando al punto principal.” pone el Gobierno; se han d-fe: dido otros; y es claro que debía ser c.z cate L.I Sr. AJurtmez d? lít liosa y Secretario de Estado: «Esta discusión modo la d scusion , pues no pod.a ser de otro. Permítame b. O. que diga qu*- parece leve á primera v¡»ta ; pero aunque no fuese m«¡s que por el mero hecho los argumentos que en contra de e»to se han hecho , mas bien pueden iiam-irse de prolongars…</t>
  </si>
  <si>
    <t>Al, Antonio</t>
  </si>
  <si>
    <t>Antonio Al</t>
  </si>
  <si>
    <t>…brero de 18 34-* I do, dsndn cuenta á S. M. cada 24 horas del estado en que se hallare. 1 He venido en exonerar de las plazas que sirven en la Real audiencia de Mi1 Lasauca á de ella D- drid los ministros Cavia, Alfonso D. José , D. Antonio 1 Al expedir mi Real decreto de 16 de Febrero próximo pasado que con- Suarez en 5u José D- Domingo Pinuaga; Femando y nombro y D. Galindo, j tiene las tases de la organización y servicio de la Milicia urbana, tuve á bien 1 lugar á Du José Alonso,.que lo es supernumerario de la misma: á D. Rafael I manda…</t>
  </si>
  <si>
    <t>…convenientes para ia felicidad el del Sr. marques de Villacampo; remitidos ambos por el Gobierno. de la patria, y que no duda serán acogidas por los representantes de los pue— El Estamento quedó enterado de una exposición de! Sr. D. Antonio Al bl os, ofreciendo al Gobierno aquel auxilio que debe esperar y tiene derecho cántara Navarro, electo Procurador por Málaga, manifestando estarse restable á reclamar de los hombres enviados por los mismos pueblos para mirar por sus ciendo de una enfermedad en Archidona , y que asi que lo esté se pre…</t>
  </si>
  <si>
    <t>Al, D Antonio</t>
  </si>
  <si>
    <t>D Antonio Al</t>
  </si>
  <si>
    <t>…ree convenientes para ia felicidad el del Sr. marques de Villacampo; remitidos ambos por el Gobierno. de la patria, y que no duda serán acogidas por los representantes de los pue— El Estamento quedó enterado de una exposición de! Sr. D. Antonio Al bl os, ofreciendo al Gobierno aquel auxilio que debe esperar y tiene derecho cántara Navarro, electo Procurador por Málaga, manifestando estarse restable á reclamar de los hombres enviados por los mismos pueblos para mirar por sus ciendo de una enfermedad en Archidona , y que asi que lo esté se pre…</t>
  </si>
  <si>
    <t>Al, D Juan Romero</t>
  </si>
  <si>
    <t>D Juan Romero Al</t>
  </si>
  <si>
    <t>10/08/1834</t>
  </si>
  <si>
    <t>Gaceta de Madrid n.º 175 · suplemento</t>
  </si>
  <si>
    <t>…stinto de la propia conservación. También se aprobó despiies de una leve discusión el dictámén de la comi Afortunadamente el gabinete de S. M. R, ligado con vínculos especiales sión para que «e concediese «Itérmino de 4-0 dias al Sr. D. Juan Romero Al- con el gobierno de S. M. F., bahía reclamado pocos dias antes dé mi entrada puente, electo por Teruel, para presentar los documentos juslificativus de sa en el ministerio una respuesta categórica acerca de las miras é intenciones del renta. t • - Gobierno español respecto del reconocimiento de Doña…</t>
  </si>
  <si>
    <t>Gaceta de Madrid n.º 225 · suplemento</t>
  </si>
  <si>
    <t>…mbrando al Sr. D. Manuel Cor esto gastaron el producto de los empréstitos, poniendo al ejército cual nunca tinas. se vió ; pero luego era una lástima ver cómo en la reacción de 1823 robaban A la misma se mandó pasar un oficio del Sr. D. Juan Romero Al puen por esos caminos á los soldados todas las prendas que tenían y eran nuevas, ha te, pidiendo se le devolviesen los poderes que habia presentado por la provin biendo alguno corr dar ó~Tre5 uniformes, cosa que nunca había sucedido antes. cia de Teruel, por.ser inútiles en la secretaría, 7 hacerte…</t>
  </si>
  <si>
    <t>Al, D Manuel</t>
  </si>
  <si>
    <t>D Manuel Al</t>
  </si>
  <si>
    <t>…la anterior quedó El Sr. Chacón: «Si el Sr, Medrano se toma la molestia de leer el artícu aprobada. lo 13 del dictamen de la comisión, vera en él expresada su idea.” (Leyó dicho Se mandaron,'pasar ¿ la comisión de Poderes los del Sr. D. Manuel Al- artículo). varez García, electo procurador por la provincia de Valbdolid, con los do £1 Sr. Medrano: «Se habla del articulo 13 del Gobierno, no del de la cumentos justificativos de su^aptíiud legal. comisión.” Se mandó pasar á la comisión de Gobierno interior una exposición de El Sr. Chacón: «El Sr…</t>
  </si>
  <si>
    <t>Al, Duque de Riv.ss</t>
  </si>
  <si>
    <t>Duque de Riv.ss Al</t>
  </si>
  <si>
    <t>…tros juramentos , á lo que en casos semejantes practi 2.° La exclusión de todo derecho al trono español, de su descendencia. En caron vuestros mayores.” cuanto al primer objeto creo que no cabe duda, y creo que tampoco cabe en El Sr. Duque de Riv.ss. « Al verme tomtr la palabra en contra del dic- el segundo. El Sr. Secretario del Despacho, lo ha demostrado suficientemente tímen d; la comisión, m: lisonjeo que ninguno de cuantos me escuchan po fundado en una porción de argumentos, de que tendré que valerme, porque drá imagintr que voy á combatir el p…</t>
  </si>
  <si>
    <t>AL, GOBERNADORA</t>
  </si>
  <si>
    <t>GOBERNADORA AL</t>
  </si>
  <si>
    <t>Gaceta de Madrid n.º 278</t>
  </si>
  <si>
    <t>…otioce al eootraiio, de eciieido coa^vomtrai', que d'pacto federal existente i Tüsmieío solicitaren. Real Sitio del Pardo 18 de Noviembre de es una alianza ofensiva y defensíva entre -las 22 cantones soberano* de ia Sui1834.=YOLA REINA GOBERNADORA^ AL marques de Yal- y que la Confederación, en sus selaaones con las cortes extrangeras, debe verda, Mayordomo mayor.. , ¡y.- obrar con energía siempre que su honor y derechos colectivas, o las particu lares de alguno de sus miembros padezcan menoscabo j pero1 también es indis pensable que dando ocurra…</t>
  </si>
  <si>
    <t>Al, Iriarte</t>
  </si>
  <si>
    <t>Iriarte Al</t>
  </si>
  <si>
    <t>…e á su favor la presunción de que el yerro no es voluntario, y qüe conductos diferentes se le uniese por JBarambio; mas ninguno de estos avisos llegó desea enmendarlo si fuese dable. Veremos con gtisto probada la ilegalidad de al brigadier Iriarte. Al llegar el general Espartero á Orozco se encontró que no cualquier hecho, porque estamos ciertos de que se reparará el maL £1 ciudadano estaban allí los enemigos, y que habían pedido raciones para que se las lleva honrado, el sincero amigo de la libertad, el portugués sensato, que á costa de sen á u…</t>
  </si>
  <si>
    <t>Al, Jamin</t>
  </si>
  <si>
    <t>Jamin Al</t>
  </si>
  <si>
    <t>02/04/1834</t>
  </si>
  <si>
    <t>Gaceta de Madrid n.º 41</t>
  </si>
  <si>
    <t>…al discurso del Rey. podéis separarlo de su destino. , »Si el gobierno ha ostentado fuerzas capaces de intimidar á los El Sr. Dubois: Aqui no hay magistrados. facciosos, se ha dicho que asustaba á los ciudadanos, que difundía El Sr. Jamin-. Al orden el ministro. el terror por la ciudad,que ponia á toda la nación en cuidado, que Voces en los extremos : Al órdeñ! al órden 1 daba sobrado valor á aquellos facciosos, y que promovía los albo Muchas voces: Al orador de ayer se debió llamar al órden. rotos situando en las plazas una fuerza que l…</t>
  </si>
  <si>
    <t>Al, Joaquín Borrás de Cabezón</t>
  </si>
  <si>
    <t>Joaquín Borrás de Cabezón Al</t>
  </si>
  <si>
    <t>21/09/1834</t>
  </si>
  <si>
    <t>Gaceta de Madrid n.º 219</t>
  </si>
  <si>
    <t>…adas, fértiles taría de la dirección del ramo, al oficial cuarto de ella D. José María Blanco, y consumidoras , y facilita la comunicación general de que carecian las salina* y) para ésta resulta al capitán graduado de infantería D. Joaquín Borrás. de Cabezón. Al propio tiempo, y con el fin de utilizar el puerto de Cumillas, se -ha mandado que se abra un ramal de comunicación desde el. mismo á un A propuesta de la Dirección general de correos se ha servido S. M. la punto del camino aprobado, antes de llegar á Treceño. Reina Gobernadora conferir la administr…</t>
  </si>
  <si>
    <t>Al, José</t>
  </si>
  <si>
    <t>José Al</t>
  </si>
  <si>
    <t>…parte contribuir en cuanto me sea posible en favor de ia humanidad afligi Ha reunido dos veces la Sociedad económica á fin de promover el arbolado, da &gt; me dediqué á leer cuantos autores he podido encontrar que tratan de la en y D. José Al faro, individuo de la misma, ha puesto i su disposición un ter fermedad , tanto sobre ««ntomatologia , cuanto de los métodos curativo* reno inmediato 4 la ciudad para plantar en él árboles. puestos en práctica hasta el d.a, resultando de todos ellos ser poco eficaces prin Al paso del gobernador civ…</t>
  </si>
  <si>
    <t>Al, Juan Ajuqnio</t>
  </si>
  <si>
    <t>Juan Ajuqnio Al</t>
  </si>
  <si>
    <t>…deshonra de su muger y la su Accediendo S. M. la Reiva Gobernadora á repetidas instancias del subde ya: inconveniente que no se tocará aprobando la prdpoücion en los término* legado principal de Fomento de la provincia de Sevilla D. Juan Ajuqnio Al qp^rpUa. ha-hecha. . magro, y en consideración at quebranto que experimenta en su salud, se ha ; JJjJ Sr. tjuquf de CrÜlon sostiene el parecer del Sr. Boyer; el Sr. conde Des- servido admitirle por Real decreto de 11 del corriente la dimisión «re per es ^ debe acceder á la proposición del Sr. Boyer…</t>
  </si>
  <si>
    <t>Al, Juan José Aguavera.es</t>
  </si>
  <si>
    <t>Juan José Aguavera.es Al</t>
  </si>
  <si>
    <t>…también el te nes de Montalvan. niente coronel D. Rafael Midon que se hallaba en seguimiento de dicho Ca- »Lo que elevo al superior conocimiento de V. E. Dios guarde á V. E. mu ragol. chos años. Alcañiz y Abril 21 de 1834—Excmo. Sr.=Juan José Aguavera.es » Al feliz éxito de esta Operación ha contribuido la celeridad con que el te Excmo. Sr. capitán general de Aragón.” =Es copia.=Ezpelcta. niente coronel D. Víctor Zavala , capitán del provincial de Búrgos, con su co lumna de ISO hombres de dicho cuerpo y del 12 de Enea de-infantería, apa Gobierno militar…</t>
  </si>
  <si>
    <t>Al, Juan Romero</t>
  </si>
  <si>
    <t>Juan Romero Al</t>
  </si>
  <si>
    <t>…to de la propia conservación. También se aprobó despiies de una leve discusión el dictámén de la comi Afortunadamente el gabinete de S. M. R, ligado con vínculos especiales sión para que «e concediese «Itérmino de 4-0 dias al Sr. D. Juan Romero Al- con el gobierno de S. M. F., bahía reclamado pocos dias antes dé mi entrada puente, electo por Teruel, para presentar los documentos juslificativus de sa en el ministerio una respuesta categórica acerca de las miras é intenciones del renta. t • - Gobierno español respecto del reconocimiento de Doña…</t>
  </si>
  <si>
    <t>…ndo al Sr. D. Manuel Cor esto gastaron el producto de los empréstitos, poniendo al ejército cual nunca tinas. se vió ; pero luego era una lástima ver cómo en la reacción de 1823 robaban A la misma se mandó pasar un oficio del Sr. D. Juan Romero Al puen por esos caminos á los soldados todas las prendas que tenían y eran nuevas, ha te, pidiendo se le devolviesen los poderes que habia presentado por la provin biendo alguno corr dar ó~Tre5 uniformes, cosa que nunca había sucedido antes. cia de Teruel, por.ser inútiles en la secretaría, 7 hacerte…</t>
  </si>
  <si>
    <t>Al, Manuel</t>
  </si>
  <si>
    <t>Manuel Al</t>
  </si>
  <si>
    <t>…nterior quedó El Sr. Chacón: «Si el Sr, Medrano se toma la molestia de leer el artícu aprobada. lo 13 del dictamen de la comisión, vera en él expresada su idea.” (Leyó dicho Se mandaron,'pasar ¿ la comisión de Poderes los del Sr. D. Manuel Al- artículo). varez García, electo procurador por la provincia de Valbdolid, con los do £1 Sr. Medrano: «Se habla del articulo 13 del Gobierno, no del de la cumentos justificativos de su^aptíiud legal. comisión.” Se mandó pasar á la comisión de Gobierno interior una exposición de El Sr. Chacón: «El Sr…</t>
  </si>
  <si>
    <t>Al, Pedro Su'arez</t>
  </si>
  <si>
    <t>Pedro Su'arez Al</t>
  </si>
  <si>
    <t>26/06/1834</t>
  </si>
  <si>
    <t>Gaceta de Madrid n.º 129</t>
  </si>
  <si>
    <t>…ntoñaoa, se citadé Junio de 1834—Excmo. Sr.=Francisco de Paula Alcalá.mExcmo. Sr. ca- \ D« Doña heredera Concepción María Mariano de D. García, López, Juan viuda y JÍUui general de Apagón.” Medra no, D. Andrés González, de Gómez, D. Pedro Su'arez Al varado , D. Juan del I Corral, y demas acreedores á la testáméntaría de Doña Donata González, para que en i el termino de 30 días acudan á continuar sus reclamaciones, y usar de lasaccionc^ que j les convenga .apercibidos que en su defecto les parará perjuicio. I Deseando la diputacioo de comercio…</t>
  </si>
  <si>
    <t>Al, Presidente</t>
  </si>
  <si>
    <t>Presidente Al</t>
  </si>
  <si>
    <t>…se pedido por algunos ores. Procuradores que se preguntase si el ****//•/.) Concluiré, Sres. t ya aue el.auditorio parece no está contento:.... punto estaba suficientemente discutido; y hecha esta pregunta, resultó no estarle* El Sr. Presidente -. Al qrdén, Señor: si V. S. tiene que reclamar algo El Sr. Latorre manifestó que las razones alegadas por los Sres. preopinan contra el auditorio, pida V* S. la lectura del artículo del reglamento que es tes le habían hecho creer estaba ya. el punto bastante dilucidado; y que por lo. pecialmente habla d…</t>
  </si>
  <si>
    <t>08/11/1834</t>
  </si>
  <si>
    <t>Gaceta de Madrid n.º 267 · suplemento</t>
  </si>
  <si>
    <t>…ecoro; ha oido las reclamaciones de sus súbditos; las ha to do...... En una palabra, se causa un mal á la Nación sin ventaja ni utilidad al mado en consideración como lo hubiera hecho el Gobierno español en igual guna.” caso. F.l Sr. Presidente• «Al paso que siento la desaprobación de! Sr. Minis ' »El Gobierno francés no nos hará la guerra por este empréstito, ni ser tro de Estado, respecto del nombramiento de la com-.s.^n que ha salido de es virá esto de base para destruir las buenas relaciones policios con la España; es te Estamento para for…</t>
  </si>
  <si>
    <t>Al, Ramón</t>
  </si>
  <si>
    <t>Ramón Al</t>
  </si>
  <si>
    <t>Gaceta de Madrid n.º 220</t>
  </si>
  <si>
    <t>…aron á un patio y destruyeron todos los este- ministerio , que en el corregimiento dé Lérida ha sido aprehendido y muebles, sillas', tablasr pianos, harpas &amp;c. A las doce y media de la noche fusilado en aquella plaza el cabecilla D. Ramón Al doma, teniente coronel pusieron fuego al segundo piso , y en pocas horas el edificio fue presa de las que fue, el que parece estaba destinado por los facciosos para gobernador de llamas. la misma. A pesar de esto una muchedumbre considerable miraba con los brazos cruzados una acción tan criminal, n…</t>
  </si>
  <si>
    <t>Al, Romero</t>
  </si>
  <si>
    <t>Romero Al</t>
  </si>
  <si>
    <t>24/07/1834</t>
  </si>
  <si>
    <t>Gaceta de Madrid n.º 157</t>
  </si>
  <si>
    <t>…....................................................... 1000 ciónj desaprobaos tps poderes del Sr. PaUrea. D. Esteban Alvarez Neyra 60 rs. mensuales, y ha entregado por el Ea seguida preseiuó la comisión su dictámen sobre los del Sr. Romero Al- presente..................................................................................................... 60 puente, opinando que tampoco debían aprobarse, porque la renta que expresa Una Señora , ínterin dure la enfermedad, 28 rs, mensuales, y ha en la escritura de transacion son alimentos, y…</t>
  </si>
  <si>
    <t>Al, Semtafi</t>
  </si>
  <si>
    <t>Semtafi Al</t>
  </si>
  <si>
    <t>…confianza que Babia depositado el Estamento en los individuos de «Respecto al párrafo en que habla la comisión de tas relaciones ami\t&lt; *s la comisión,” que exi-fen entre el gobierno* de. 5. M. y el de Francia, Inglaterra, el ac Sr. Semtafi- «Al tomar la palabra en contra de la comisión no es por S M. Fidelísima y otros, y al defentace de !cs asuntos de Portugalen esre qué yo crya que mis fuerzas sean suficiente* para combatirla : lo hago única mente pira dar un justo desahogo á los sentimirntos de mi cm.ircn. punto me p-ircce que la comil…</t>
  </si>
  <si>
    <t>Alacalá, Agustín</t>
  </si>
  <si>
    <t>Agustín Alacalá</t>
  </si>
  <si>
    <t>01/03/1834</t>
  </si>
  <si>
    <t>Gaceta de Madrid n.º 27</t>
  </si>
  <si>
    <t>…ANUNCIOS. verificarlo les parará perjuicio. -7—-Por providencia del alcaide mayor de Arganda del Rey, provincia de Toledo, # cita ó todos los acreedores que se consideren con derecho á los bienes de Antonfa En las estamperías de D. Agustín Alacalá, calle de Carretas ¿frente -á la de Maja- Pelayo, natural de la villa de la Vega, provincia de Santander, viuda de Manuék derltos; de los Suizo*, calle de Atocha ; de la caite dei Cármen , frente á la del Oli del C-*mpo, para que en el término de un mes se presenten ante el referido alcalde vo; de…</t>
  </si>
  <si>
    <t>Alai, D Isidro</t>
  </si>
  <si>
    <t>D Isidro Alai</t>
  </si>
  <si>
    <t>/ 5C6 ' , tos producto» de rentas para gastos extraordinarios del Ministerio de su cargo y Excmo, Sr.: El brigadier D. Isidro Alai*» gcfe.de la plana mayor de la 3.a del de Instrucción pública, y se anula y suprime toda contribución qué no esté división , cón fecha l.° del actual, me da él parte «guíente : « Excrno. Sr.: Des comprendida en la presénte ley.’&gt;‘ , de el 26 del próximo pasado, que regresó á Villafranca el comandan…</t>
  </si>
  <si>
    <t>Alai, Isidro</t>
  </si>
  <si>
    <t>Isidro Alai</t>
  </si>
  <si>
    <t>AlaiiáGaliaiñqnós</t>
  </si>
  <si>
    <t>…stamento se deshacer una; equivocación: otro Sr. Procurador reclarrjó el órden r eFSí. 'condígne acoger'esta* petición énfavor ide’esja,clase desgraciada;, resuenen por lo de de las Navas pidió asimismo la palabra, como tambienél Sr. AlaiiáGaliaiñqnós en este recintc/lps ácéntos de la simpatía qué debe unümos con esta cla- no, parareqtificár equivocaciones; / habiendo manifestado él Sr. Presidente que aé'beiiémérita." " li ■ , y • : . .--i estaba pTohibidó interrumpir i ningún orador, él Sr. Alcalá! Galíatfó'píaíó El Tr. Bendicho: «Convengo con…</t>
  </si>
  <si>
    <t>Alaix</t>
  </si>
  <si>
    <t>…rme de su certeza, á media noche.Be recibido la comu continúa el batallón 7.® de 7U0 reclutas, los mas sin armar, y todos sin vestir nicación triplicada que trascribo í V. E. al respaldo, por lo que he dado ór- ni equipar. den al brigadier Alaix para que se me incorpore en este punto con el objeto de &gt;,La fidelidad de este ejército sigue inalterable, no obstante que tengo que que los movimientos ulteriores que dependen de las órdenes de V. E. puedan tomar algunas medidas fuertes contra varios oficiales que so pretexto de enfer tener mas pr…</t>
  </si>
  <si>
    <t>Alaix, D Isidro</t>
  </si>
  <si>
    <t>D Isidro Alaix</t>
  </si>
  <si>
    <t>…por ahora. Cuartel, general, de Aldaz 27 de de la suya, pues la restante se dirigió sobre Elizondo al cargo del gefe de la Agosto de 1834 ¿ 1“ se“ de Ia tardc.=El marques de Rodil.=Sr. brigadier plana mayor de la división 4-* *1 brigadier D. Isidro Alaix, perteneciente á Jáuregui.=Es copia.” las órdenes del referido Sr. Jáureguí, cuyo celo, interes y conocimientos me ayudan y sirven extraordinariamente en la presehte persecución. La vanguar •» Excmo. Sr.: Consiguiente á mi parte de ayer hice tránsito aquí hoy con dia también pernoctó ayer en Erice,…</t>
  </si>
  <si>
    <t>Alaix, Isidro</t>
  </si>
  <si>
    <t>Isidro Alaix</t>
  </si>
  <si>
    <t>…. Cuartel, general, de Aldaz 27 de de la suya, pues la restante se dirigió sobre Elizondo al cargo del gefe de la Agosto de 1834 ¿ 1“ se“ de Ia tardc.=El marques de Rodil.=Sr. brigadier plana mayor de la división 4-* *1 brigadier D. Isidro Alaix, perteneciente á Jáuregui.=Es copia.” las órdenes del referido Sr. Jáureguí, cuyo celo, interes y conocimientos me ayudan y sirven extraordinariamente en la presehte persecución. La vanguar •» Excmo. Sr.: Consiguiente á mi parte de ayer hice tránsito aquí hoy con dia también pernoctó ayer en Erice,…</t>
  </si>
  <si>
    <t>Alaiz, Bruno</t>
  </si>
  <si>
    <t>Bruno Alaiz</t>
  </si>
  <si>
    <t>…pérdida posible Cuatro columnas fueron destinadas a esta operación: la 1.a compuesta de dos batallones, segundo del 4-° regimiento de INGLATERRA. la Guardia Real, y el segundo de Extremadura, á las órdenes del coronel co mandante D. Bruno Alaiz, formaron nuestra derecha con instrucciones de en Londres 26 de Setiembre. volver la izquierda del enemigo; la del centro, ó llámese la de ataque, la com ponían ei segundo batallón del regimiento de Córdoba, tan conocido en esta Fondos públicos. Tres por 100 consolidados 904. ? campaña como temido…</t>
  </si>
  <si>
    <t>Alaman</t>
  </si>
  <si>
    <t>…entre algunas de ellas, que aparece una especie de Hacienda ; del Sr. Mozo para el de Guerra y Marina, y del Sr. Portugal de confusión, que no deja entender el carácter del sistema penal. No se.ve tam para ministro de Cultos. El Sr. Alaman, primer ministro en tiempo de Busta- poco que el legislador haya fijado claramente el máximum y mínimum de mante, desterrado después por Santana, y que ahora permanecía oculto, es cada una de ellas, y cuando se llega á su aplicación ó á las infracciones que uno de los principales de la camarilla ,…</t>
  </si>
  <si>
    <t>Alargues</t>
  </si>
  <si>
    <t>…un puede ser muy bien «pac ei Secretorio det ' me gusto.mas; me suena mejor , 7 sobre todo a apañóla.” * Despicho, á qu-en este amalo correspomfe , esté abosa mismo trabajando el El Sr. Ortiz de Vrtaeco: » Habiéndome prcced.do el Sr. Alargues en la proyecto de ley para presentarlo al Estamento; podiendo los señores Procura— parte histórica 7 apologética de esta institución , seria inútil molestar al Ená dora hacer entonces la obecrvacsaoa que estimen conveniente*, pora ítorrar* rcenlo sobre el particular. Me limitaré púa i decir que no…</t>
  </si>
  <si>
    <t>Alaría</t>
  </si>
  <si>
    <t>…, caballero de la urden tículo 26. - de Crr-to , oficial mayor de la secretaria de Estado de Negocios c\trjneerns, Art. 32. - Queda suprimido el consejo de Estado de que habla el título .3.°, ministro comisionado ad koc por b. M. Doña Alaría 11 , Reina de Portuzai v capitulo 7.° dé la Constitución. de los Algarves, revestido y autorizado con los plenos poderes necesarios: Por tanto, mandamos á todas las autoridades á quienes incumbe el cono «Y el conde Esteban Alejan, gentilhombre de camara de b. M. biv.ira, ofi cimiento y ejecución de…</t>
  </si>
  <si>
    <t>Alaria</t>
  </si>
  <si>
    <t>…de S. E. «n un día de estos su viage para Rusia, pasando antes por Bucharesr. Se lee en el Cork. Her.ild lo siguiente: El enganche de recluta* para el La prisión del rebelde K.adi-Kizan se verificó de la manera siguiente: tcúo de Doña Alaria ha cesado en esta ciudad, porque va »e tiene eí numero •«Se sabia que este rebelde había podido refugiarse á Irán luego que tuvo roti- hc&gt;mbres que se necesitaban. Lá primera dm»ion, compuerta de excelemes. fmoros, va á embarcarse cuanto ante», v ia segunda lo verificara en Toda I4 se qa d,el firma…</t>
  </si>
  <si>
    <t>Alava</t>
  </si>
  <si>
    <t>Gaceta de Madrid n.º 217 · suplemento</t>
  </si>
  <si>
    <t>…posición explícita no alejase el riesgo de una falsa telar , conde de Santana, conde de Humanes, Sr. Carvajaj, marques de la Can interpretación ? Por todo esto soy de Opinión qúe el artículo debe redactárte delaria , Sr. Bardají, Sr. Alava, conde de Monterron , conde de Villafuertes, en los términos que lo he propuesto.” conde de S. Román, Sr. Navarro y Sangran , obispo de Teruel, conde de Cu Después de una ligera discusión entre los Sres. obispo Vallejo y mar ba, Sr. Atvarez Guerra, duque de Noblejas, marques de Malpica, Sr. Nkvar-…</t>
  </si>
  <si>
    <t>…270.022 3334 - Habíéa4oso ptesra»4&lt;í sí Sr. Éi%dM 4- *4aé, y tomado asiento mknr divididas en cuanto i sii teassocimientó ó ño reconocimiento, ói cuanto i su toas te lett^díc&amp;o diot¿ra¿n# .£tfQcíüido esté acta pídió la pjlábta el Sr. Alava* legitimidad ó justicia, todas he Opiniones han convenido en desaprobar d modo y conceda!* PW «l Si* pissideote, dijo: . , , con que estos empréstitos se. han hecho. ^'/ Jy. ^fity^rs^itnto mucbítinio tener que llamar la ateacton del ilus ••Entre los que han sido designados aparece un ihistre Ihóccí…</t>
  </si>
  <si>
    <t>…r adelante ios planes mas^onveoiemes 4-rk feíiciitkd d® '!3' *■' ' Jíabiendo salido del salón el Sr.- BúrgQs, se votó enseguida la mocíon Nación, estan(conformes en la necesidad de proporcionar .recursos, qüe es lo - hecha por el Sr. Alava , y quedó aprobada. mas urgente; y asi no veo que existe da éontradiccioa-queha indicado*el &gt;éfioz &gt; Abierta la discusión sobre la totalidad del proyecto de ley que acababa de preopinante.”.- . » • -• leerse, dijo El Sr. duque de Rivas: «No pido la palabra para entrar en el fondo de&gt; El Sr. conde d…</t>
  </si>
  <si>
    <t>Alava, Manuel María Arbizu y</t>
  </si>
  <si>
    <t>Manuel María Arbizu y Alava</t>
  </si>
  <si>
    <t>Gaceta de Madrid n.º 41 · suplemento</t>
  </si>
  <si>
    <t>…Indias del su- De los diferentes partes que el comandante general de Vizcaya .premo Tribunal de España é Indias, instituido por mi decreto de 24 el brigadier D- Baldomcro Espartero ha remitido al ministerio de de Marzo último, i D. Manuel María Arbizu y Alava; á Don la Guerra: resultan los siguientes detalles: Manuel Genaro Viilota; á D. Manuel Plácido Berriozabal; al Sabedor que la facción de Luqui y Latorre se hallaba en Orozmarques de Piedras-Blancas y 4 D. Juan José Recacho, y para co en número de 800 á 13 hombres, hizo que el día 15 se diri fiscal…</t>
  </si>
  <si>
    <t>Alava, Miguel</t>
  </si>
  <si>
    <t>Miguel Alava</t>
  </si>
  <si>
    <t>…ección de Estado á D. En nocer , y adoptando las demás disposiciones necesarias para que sin sebio de Bardají, decano; D. Ignacio de_ la Pezuela; D. José Pi- la menor dilación ni obstáculo quede instalado y en ejercicio de zarro; D. Miguel Alava ; D- Agustín Arguelles. sus funciones judiciales. De Real órden lo comunico á V. E. para Para la de Gracia y Justicia á D. Ramón López Pelegrin, su inteligencia, y que se sirva disponer su cumplimiento. Dios decano; D. José Cafranga; D. Vicente Gano Manuel; D. Manuel uarde á V. E. muchos anos.’Madr…</t>
  </si>
  <si>
    <t>Albano, Agustín</t>
  </si>
  <si>
    <t>Agustín Albano</t>
  </si>
  <si>
    <t>Gaceta de Madrid n.º 314</t>
  </si>
  <si>
    <t>…luña da parte dé que las.operaciones mimente los respetuosos votos que en nombre de la Real academia portuguesa . litares qué con. tanto acierto y pericia ha combinado y ejecutado en el corre viene hóy i exponer su diputacion.=El doctor Agustín Albano dé Silveira gimiento de Tortosa y orillas del Ebro el brigadier D. José María Col ubi han Pintó, encargado interino de la dirección de la academia de Marina y Co producido el aniquilamiento de las numerosas gavillas de rebeldes que no ha mercio. mucho tiempo, aÜigian aquel país. Respuesta de S. M.…</t>
  </si>
  <si>
    <t>Albarado, Juan de Mata</t>
  </si>
  <si>
    <t>Juan de Mata Albarado</t>
  </si>
  <si>
    <t>…ento de fuerzas, ocupar el terreno durante la primavera , y conservar teareas; á D. Agustin Armendariz para Tuy; á D. Francisco Mon- nuestro ejército sobre las armas, ínterin el de Holanda permanezca en pie de íeo para Taboada; á D. Juan de Mata Albarado para Sarria; á guerra como hasta 'aquí. «Cree asimismo el gobierno que sin excedernos mucho de los presupuestos D. Buenaventura Alvarado para la Puebla de Tribes; á D. Joaquín debemos mantener sobre las armas la fuerza en que nuestro ejército se halla Rorieali para Villalon, y á D. Antonio Valenzue…</t>
  </si>
  <si>
    <t>Albemárle, He</t>
  </si>
  <si>
    <t>He Albemárle</t>
  </si>
  <si>
    <t>Gaceta de Madrid n.º 237</t>
  </si>
  <si>
    <t>…presente por los departa que se resolvió prorogar el Parlamento. Después rceibió S. M. al vizconde Melbourne , vizconde Palmerston, mentos de Francia para informar al gobierno sobre el estado actual de la Mr. Rice, Mr. Grant» a! conde He Albemárle, á Mr. Scrjcant Arabin &gt; al ca educación en punto á lenguas vivas. pitán Ross y á otros varios. (Courier.) vi célebre barón Dupuytren ha vuelto á caer enfermo y se halla en un El lord canciller prorogará' el jueves próximo el Parlamento hasta 23 estado que da grande inquietud a sus amigos. de Novie…</t>
  </si>
  <si>
    <t>Alberom</t>
  </si>
  <si>
    <t>…ino, llamó en segunda linea á La casa de Orleans, excluyendo á los Borboncs de España. Esta provi **1 gobierno de la compañía de la India parece no haber olvidado la má dencia no bastó aun para evitar las sutilezas é intrigas del cardenal Alberom, xima de si vis pacem para belUim , porque no perdona medidas para poner «1 cual durante la menor edad de Luis xv amenazó á la Francia con una guer «1 país en estado de defensa. En efecto , está haciendo reconocimientos milifa- ra de sucesión que fue neutralizada-poj:, la formación de La triple ali…</t>
  </si>
  <si>
    <t>Albert, Jaime</t>
  </si>
  <si>
    <t>Jaime Albert</t>
  </si>
  <si>
    <t>…conspiración. Es hi^b del célebre ma y Fraixel, regidor.=.Antonio Oliva, regidor. =Joscf Llach , diputado. =Jaime riscal de este nombre. Tricoupi, último ministro de Estado, ha salido para re Moragas* diputado.zcFrancisco Vidal, diputado. = Jaime Albert, diputado.= presentar al Rey Otón en nuestra corte. Narciso Antonio Pastors, síndico procurador generah=Francisco Baltá, síndico ____ Por noticias recibidas de Buenos-Aires se sabe que ha estallado allí una I pertonero.=Juan Perez Claras, secretario. espantosa insurrección, coh motivo de haber apro…</t>
  </si>
  <si>
    <t>Alberti, Jaime</t>
  </si>
  <si>
    <t>Jaime Alberti</t>
  </si>
  <si>
    <t>01/05/1834</t>
  </si>
  <si>
    <t>Gaceta de Madrid n.º 70</t>
  </si>
  <si>
    <t>…e el gefe de la columna insistía que se quedase en Astudillo. Aunque poco leves y 5 contusos do Soria, hallándose en el número de los segundos al cade importante en si, pl resultado de este movimiento prueba sin embargo que en te D. Jaime Alberti , y en el de los terceros el subteniente D Nicolás de Paz; todas partes, y en todas ecfcdcs se encuentran fieles defensores de la Reina un herido de Zaragoza; 2 muertos , 3 heridos graves y 2 leves de cazadores de nuestra Señora, que sabrán á toda costa sostener los legítimos derechos de su Ciudad-…</t>
  </si>
  <si>
    <t>Alberti, Joaquín</t>
  </si>
  <si>
    <t>Joaquín Alberti</t>
  </si>
  <si>
    <t>…ndante genera! de Asturias avisa con la misma fecha hallarse aquel ll Fax, herido . v D. Jo-*e Antonio luri rt: D. Manuel Espada: D. Sumías principado en completa tranquilidad , y que los facciosos que compusieron las Chaquetón ; D. Joaquín Alberti, D. Angel Prat. D. Nicolás fiedano; D- Luij</t>
  </si>
  <si>
    <t>Alberto</t>
  </si>
  <si>
    <t>….el Emperador y la Emperatriz, acompa atjjebntrii d» la*cienciasü ñados Asi Principe Guillermo, hijo del Rey, del Principe hereditario de Ru ALpié del retrato sa Iceetfaioferipcien latina , escrita por el escfattccádo; na, y del&lt; Príncipe Alberto. ¡ ' cuanto^rudito Dr. D. José Agustín Caballero r . - Por la noche asistió toda la corte al baile de suscripción; el Emperador ¡pmPer-mtHentrm lU¿ttrisimnm§mt IX 0. D. Janntctm Jpb. Díaz. iba vestido efe paisano, sin otro distintivo mas que/una decoración c* el fita £ epoda et Randa , bujnt Habemen…</t>
  </si>
  <si>
    <t>Alberto, Carlos</t>
  </si>
  <si>
    <t>Carlos Alberto</t>
  </si>
  <si>
    <t>13/07/1834</t>
  </si>
  <si>
    <t>Gaceta de Madrid n.º 146</t>
  </si>
  <si>
    <t>…ebra 21 de Junio. . .. Itfim 6. Hé aqui las explicaciones dadas por M.‘ Rigaud al consejo representativo de El publico, que estaba enteramente engolfado en las fiestas del matrimonio Ginebra sobre la diputación federal enviada al Rey Carlos Alberto: de la princésa SaVU^.ha sido sorprendido de repente por los rumores que crrcu&lt;- M. Dufour pregunta al presidente si podrá hacer una comunicación al con ( lan acerca, dq nuev*s_desayenencias suscitadas entre los gabinetes de Francia e sejo con motivo deífe^diputteion enviada cerca del Rer de Cerdcñ…</t>
  </si>
  <si>
    <t>Alborno, Carrillo</t>
  </si>
  <si>
    <t>Carrillo Alborno</t>
  </si>
  <si>
    <t>PDF p. 11</t>
  </si>
  <si>
    <t>…ó suprimirla.” 59 á 3,650 como gozan ahora. El Sr. Secretario del Despacho de Hacienda: «No hay inconveniente en «Se deja un solo portero con el sueldo de 3,650 rs. que le señala el pre ello: se pasará dicha nota.” i supuesto. El Sr. Carrillo Alborno*.: "» La comisión habla, de este punto en U segun «Eh el archivo se suprime el oficial supernumerario. — da parte de su dictámen. . Se hace cargo de la junta ^mencionada y de todos los «La total economía de este artículo será 159,120.” demas puntos relatiros á este asunto." El Sr. Secretario del De…</t>
  </si>
  <si>
    <t>Albornoz, Carrillo</t>
  </si>
  <si>
    <t>Carrillo Albornoz</t>
  </si>
  <si>
    <t>10/10/1834</t>
  </si>
  <si>
    <t>Gaceta de Madrid n.º 238 · suplemento</t>
  </si>
  <si>
    <t>…Espinardo.=Juan de ToUJo.erEl conde de Alpacho, si la ley no se hubiera votado con una equivocación de parte de un Pro modovar.rzPedro Alcalá Zamora. curador, y que después no se ha salvado; tratamos de una ley que no tiene el El Sr. Carrillo Albornoz apoyó la petición manifestando que no solo era carácter de tal, pues estamos discutiendo sobre ella: me explicaré. No tiene ca por el ínteres de la clase militar por lo que la creía útil, sino también por la rácter de ley esto: una porción de Procuradores firmaron la adición, que no se economía que…</t>
  </si>
  <si>
    <t>…aña , y se tratará de superar otras dificultades que no son ahora de la cues esta idea, seria fácil expresarla en el artículo sin variar su esencia." tión* Esto mismo prueba que es necesario adoptar ei sistema propuesto por el El Sr. Carrillo Albornoz manifestó que los individuos de la comisión no Gobierno, por la urgencia de ja quinta, y de ponerla en disposición de servir tenían dificultad en admitir la ¡dea del Sr. marques de Tojremejia, y que para epanto antes; y bien convencida de esto la comisión, há honrado con su apro lo sucesivo se form…</t>
  </si>
  <si>
    <t>Albrado, Narciso</t>
  </si>
  <si>
    <t>Narciso Albrado</t>
  </si>
  <si>
    <t>Gaceta de Madrid n.º 169</t>
  </si>
  <si>
    <t>…muchos jornaleros, á los cuales se ha emplea del Gobierno. Mi deber era facilitárselo al momento, y con este objeto luego do después en la reparación de un camino desde dicha ciudad al caserío de que se me presentó el arquitecto D. Narciso Albrado, que á propuesta mía Campicl, haciéndole carretero, cuando antes era casi intransitable aun para ias envió á esta capital la Real academia de S. Fernando, dispuse que pasara i re caballerías. conocer aquel terreno para ver sí era posible dar mas ensanche á las márgenes En el término de la misma ciu…</t>
  </si>
  <si>
    <t>Albuin</t>
  </si>
  <si>
    <t>…ue mas se aproximan, las Buponep de 500 hom bres entre infantería y caballería, y que tenia avisos confidenciales que eran El presidente.de la ¡unta superior de Sanidad de la referida provincia y el perseguido» activamente por el coronel Albuin, gobernador civil dé la misma avisan, en oficio de 5 del corriente, que laagtifd pública de aquella capital continuaba en el mismo estado que manifestó eaej Por otros partes recibidos en e! mismo ministerio se sabe que ademas de último parte; y que en toda la ciudad existían 20 enfermas con sintoní…</t>
  </si>
  <si>
    <t>14/04/1834</t>
  </si>
  <si>
    <t>Gaceta de Madrid n.º 53</t>
  </si>
  <si>
    <t>…cción de el 9 por la boche en Alb'étgueríá. El géhehál sfijitleb subsistía en Basilio, que fue expelida de Rioja, se reunieron en número de 100; Valencia de Alcintárá. Los miguelistas,- qtie lévkbtando el blo y perseguidos por el coronel Albuin, hubieron de pasar á la iz queo dé Márvaon, se retiraron á Castel Davidé, permanecían allí. quierda del Duero, y fueron los que corrieron por tierra de Sepúl-, Seiscientos miguelistas, de la clase de milicianos, procedentes de veda» habiéndolos ahuyentado el teniente ooronel Azpiroz, que sa Sántaré…</t>
  </si>
  <si>
    <t>16/05/1834</t>
  </si>
  <si>
    <t>Gaceta de Madrid n.º 85</t>
  </si>
  <si>
    <t>…ras, como las de Yo creo salir mañana hacia los pinares de Canicosa en combinación con el mas del autor, se venden en la librería de la viuda de Quiroga, y en Barcelona en la portería del seminario episcopal y librería de Sierra. coronel Albuin y comandante de la provincia de Soria, á ver si logramos dar - —La mineralogía en general y en particular de España. Obra en que se describen ti* golpe decisivo á le» facciosos, lo que se servirá V. S. avisar á los Excelen todos Jos minerales* como piedras preciosas, minas, y Cuantas curiosidades enc…</t>
  </si>
  <si>
    <t>17/07/1834</t>
  </si>
  <si>
    <t>Gaceta de Madrid n.º 150</t>
  </si>
  <si>
    <t>…gon, á quien considero digno de una particular distinción de S. M.', y el ministerio el parte siguiente: todo de ella á ios .conocimientos militares, valor, entusiasmo y decisión de ios nEscmo. Sr. Por resultas dei alcance que el coronel Albuin dió í los rebel brillantes gefes, oficiales y soldados que componen estas tres columnas, refirién des sobre judes , atravesaron en la no.he ¿el 9, 49 caballos por Jas enmediacio dome en un todo, respecto á la columna de Castilla la Nueva, á las recomen nes de Cetina á la Cara de la Vieja, y en el m…</t>
  </si>
  <si>
    <t>…o mjgeres de edad como -de 40 años, cu han demostrado' los individuos dél regimiento provincial de Granada y carabi raron dos, quedó una convaleciente, murieron dos. Cuatro anciano» con el neros. La pérdida del Trompeta, según el coronel Albuin, y como V. E. mismo régimen, curó uno, quedó otro convaleciente, y dos en estado de gra también sabe, es de cuantía, y por lo mismo espero tendrá la bondad de apoyar vedad En el estado álgido cinco mueeres tomaron tres escrúpulos en hora y la» recomendación» que eí comandante de las provincias hace…</t>
  </si>
  <si>
    <t>Albuín, D Saturníne</t>
  </si>
  <si>
    <t>D Saturníne Albuín</t>
  </si>
  <si>
    <t>17/04/1834</t>
  </si>
  <si>
    <t>Gaceta de Madrid n.º 56 · suplemento</t>
  </si>
  <si>
    <t>El coronel D. Saturníne^ Albuín coa fecha de ayer desde Xer- replegado los urbanos de infantería á la casa del pósito con el ma ma me da el parte que í la letra copio: yor órden y serenidad, asi como también á las otras dos casas, que «Esta mañana emprendí la marcha desde pineda de Trasmonte *e creyeron susceptibles de defensa. .…</t>
  </si>
  <si>
    <t>Albuin, D Saturnino</t>
  </si>
  <si>
    <t>D Saturnino Albuin</t>
  </si>
  <si>
    <t>Gaceta de Madrid n.º 230</t>
  </si>
  <si>
    <t>…eneral de Castilla la Vieja con fecha del 26 desde VilTarcayo El 13 y los días anteriores tuvieron largas conferencias con el almirante remite el siguiente parte: ' de Rigni los embajadores de Austria y de Prusia. Excrno. Sr.: El coronel D. Saturnino Albuin, comandante de la 2 1 bri __ Acaban de llegar á París‘el duque de Cadaval, ministro de D. Miguel, y gada de operaciones en la sierra, con fecha 17 del corriente, me dice lo que sigue desde Covarrubias: »Excmo Sr.: Antes de amanecer salí ayer de Huertassu hermano el duque de Lafoens con sus numexoaa…</t>
  </si>
  <si>
    <t>…ne-., cuyo espíritu ha mudado enteramente en fiavor de los legítimo* 6,494........... ------ 500....................... .... Idem, derechos de U Rejna nuestra Señora. d 1,854......------ 500....................... .. .. Cádiz. El coronel D. Saturnino Albuin con fecha de 11 desde S. Cristóbal de 2,195........... ......... 500.....................; .... Madrid. Ibeas h ace referencia de la incansable persecución que practica contra la insig- 7,280............ .... 500.................. . . ., Valencia. fjificante facción de Merino; la que ni prospera ni…</t>
  </si>
  <si>
    <t>…que los lo que sigue: Excmo. Sr.: No ha ocurrido novedad en esta ciudad restantes lo estarían muy en brevey sus inmediaciones digna del superior conocimiento de V. E. El Falencia 12. Eran 271 quintos los entregados en aquel depó coronel D. Saturnino Albuin desde Rabanera con fecha 1/ del sito de los 285 que es el ¡cupo de la provincia. corriente me dice lo siguiente: «Marchando desde la aldea del Pi Ponrevedra 12. Estaban ya reunidos en aquella caja 300 hom nar hacia el Quintanar de la Sierra, tuve noticias en el camino que bres aguardando se present…</t>
  </si>
  <si>
    <t>…los siguientes dias 13 y 14 ocurriese novedad alguna en la D. Bartolomé Amor, que acudió de Navarra por orden del general en gefe salud del pueblo. Y que en Ojen el dia 1S solo habia cinco enfermos de males marques de Moncayo, el coronel D. Saturnino Albuin y otros gefes que con comunes, á saber: dos de calenturas catarrales, otros dos de tercianas, y el res las fuerzas que tenían tomaron parte en la mas activa persecución de los fac tante de dolores pleuríticos. ciosos , que no han podido parar ni un momento en un solo punto. El comandante general de l…</t>
  </si>
  <si>
    <t>26/08/1834</t>
  </si>
  <si>
    <t>Gaceta de Madrid n.º 192</t>
  </si>
  <si>
    <t>…Talmouth, Mount-Cashell, Colviüe.of Cubross , Pens- El capitán general de Castilla la Vieja con fecha de 21 del corriente trasla hurst, Bexley, Wynfond, Brook and Warsvik, Wicklow, Gascoyne, Sa- da i este ministerio un parte del coronel D. Saturnino Albuin., gefe de la se litbury, Beltnore, Wilton, Sandwich, Prudhoe, Glen-gall. (Por#.) gunda brigada de operaciones, por el que resulta que el coronel D. Ignacio de Hoyos, gefe de la plana mayor de la misma, con 50 caballos cayó á las seis FRANCIA. de la tarde sobre el pueblo de Barbadillo del Pez, donde…</t>
  </si>
  <si>
    <t>Albuín, D Saturnino</t>
  </si>
  <si>
    <t>D Saturnino Albuín</t>
  </si>
  <si>
    <t>…la provincia de Burgos en 24 del corriente In C'facio de algunos dias ha corrido la sangre en León, habiendo tenido la auto serta el parte que sig&lt;W: ridad que reprimir con la fuerza los atentados de una turba seducida por ma El coronel D. Saturnino Albuín , con fecha de ayer, desde Hcrrcia de TÍlignos instigadores; y aquella ciudad*tan opulenta, tan dichosa, tjue habia re suerga me dice lo siguiente : cobrado con el desarrollo de su industria su antiguo esplendor y grandeza, se Tengo la satisfacción de anunciar i V. S. que á las nueve de hoy he bati…</t>
  </si>
  <si>
    <t>30/04/1834</t>
  </si>
  <si>
    <t>Gaceta de Madrid n.º 69</t>
  </si>
  <si>
    <t>…e les ordenaba con una rapi perior conocimiento de V. E. que en esta ciudad no ocurre novedad que me dez extraordinaria, habiendo quedado sumamente satisfecho y complacido de rezca la atención de V. E. su im'portante servicio. El coronel D. Saturnino Albuin me da parte detallado de la acción que «Suplico á V. S. se sirva hacer presente á la superioridad.las fatigas -y de tuvo con la facción del perjuro Merino en las inmediaciones de Herrera de Rio cisión de los valientes militares que componen esta columna, para que llegando Pisuerga, el cual, para co…</t>
  </si>
  <si>
    <t>Albuin, EIcoronel D Siturnino</t>
  </si>
  <si>
    <t>EIcoronel D Siturnino Albuin</t>
  </si>
  <si>
    <t>/ 632 ' v j nEtcnjo. Sr. :EIcoronel D. Siturnino Albuin desde Molino» de Duero BROVINCIa US CA.utH. / coa fecha 5 del actual me dice lo siguiente: Exctno. Sr. : Emprendiendo mi marcha esta madrugada desde el Quintanar de la Sierra, me dirigí á los espesí Parto sanitario dt la ciudad dt Algeceras. simos- pinares, pasando por Regumiel, Dirruelo y Cobaleda…</t>
  </si>
  <si>
    <t>Albuín, Saturníne</t>
  </si>
  <si>
    <t>Saturníne Albuín</t>
  </si>
  <si>
    <t>Albuin, Saturnino</t>
  </si>
  <si>
    <t>Saturnino Albuin</t>
  </si>
  <si>
    <t>…e Castilla la Vieja con fecha del 26 desde VilTarcayo El 13 y los días anteriores tuvieron largas conferencias con el almirante remite el siguiente parte: ' de Rigni los embajadores de Austria y de Prusia. Excrno. Sr.: El coronel D. Saturnino Albuin, comandante de la 2 1 bri __ Acaban de llegar á París‘el duque de Cadaval, ministro de D. Miguel, y gada de operaciones en la sierra, con fecha 17 del corriente, me dice lo que sigue desde Covarrubias: »Excmo Sr.: Antes de amanecer salí ayer de Huertassu hermano el duque de Lafoens con sus numexoaa…</t>
  </si>
  <si>
    <t>Albuín, Saturnino</t>
  </si>
  <si>
    <t>Saturnino Albuín</t>
  </si>
  <si>
    <t>-enetrabíll Jctefcoíiyüyíes;* córreos y .vivanderos j-hasta el corazón de Portugal, . ronel D. Saturnino Albuín, que 4 m¡ salida de Aranda confinó conmigo en donde se hallaba el general Rodil. - y venir por distinto camino con ,parle de su fuerza 4 caer hoy en este punto para por la &lt;ijeV Algarbe entraba en ^dértola el brigadier Serrano con las V obrar de común acuerdo según las circunstancias, me he detenid…</t>
  </si>
  <si>
    <t>…yo espíritu ha mudado enteramente en fiavor de los legítimo* 6,494........... ------ 500....................... .... Idem, derechos de U Rejna nuestra Señora. d 1,854......------ 500....................... .. .. Cádiz. El coronel D. Saturnino Albuin con fecha de 11 desde S. Cristóbal de 2,195........... ......... 500.....................; .... Madrid. Ibeas h ace referencia de la incansable persecución que practica contra la insig- 7,280............ .... 500.................. . . ., Valencia. fjificante facción de Merino; la que ni prospera ni…</t>
  </si>
  <si>
    <t>…lo que sigue: Excmo. Sr.: No ha ocurrido novedad en esta ciudad restantes lo estarían muy en brevey sus inmediaciones digna del superior conocimiento de V. E. El Falencia 12. Eran 271 quintos los entregados en aquel depó coronel D. Saturnino Albuin desde Rabanera con fecha 1/ del sito de los 285 que es el ¡cupo de la provincia. corriente me dice lo siguiente: «Marchando desde la aldea del Pi Ponrevedra 12. Estaban ya reunidos en aquella caja 300 hom nar hacia el Quintanar de la Sierra, tuve noticias en el camino que bres aguardando se present…</t>
  </si>
  <si>
    <t>…ientes dias 13 y 14 ocurriese novedad alguna en la D. Bartolomé Amor, que acudió de Navarra por orden del general en gefe salud del pueblo. Y que en Ojen el dia 1S solo habia cinco enfermos de males marques de Moncayo, el coronel D. Saturnino Albuin y otros gefes que con comunes, á saber: dos de calenturas catarrales, otros dos de tercianas, y el res las fuerzas que tenían tomaron parte en la mas activa persecución de los fac tante de dolores pleuríticos. ciosos , que no han podido parar ni un momento en un solo punto. El comandante general de l…</t>
  </si>
  <si>
    <t>…h, Mount-Cashell, Colviüe.of Cubross , Pens- El capitán general de Castilla la Vieja con fecha de 21 del corriente trasla hurst, Bexley, Wynfond, Brook and Warsvik, Wicklow, Gascoyne, Sa- da i este ministerio un parte del coronel D. Saturnino Albuin., gefe de la se litbury, Beltnore, Wilton, Sandwich, Prudhoe, Glen-gall. (Por#.) gunda brigada de operaciones, por el que resulta que el coronel D. Ignacio de Hoyos, gefe de la plana mayor de la misma, con 50 caballos cayó á las seis FRANCIA. de la tarde sobre el pueblo de Barbadillo del Pez, donde…</t>
  </si>
  <si>
    <t>…incia de Burgos en 24 del corriente In C'facio de algunos dias ha corrido la sangre en León, habiendo tenido la auto serta el parte que sig&lt;W: ridad que reprimir con la fuerza los atentados de una turba seducida por ma El coronel D. Saturnino Albuín , con fecha de ayer, desde Hcrrcia de TÍlignos instigadores; y aquella ciudad*tan opulenta, tan dichosa, tjue habia re suerga me dice lo siguiente : cobrado con el desarrollo de su industria su antiguo esplendor y grandeza, se Tengo la satisfacción de anunciar i V. S. que á las nueve de hoy he bati…</t>
  </si>
  <si>
    <t>…denaba con una rapi perior conocimiento de V. E. que en esta ciudad no ocurre novedad que me dez extraordinaria, habiendo quedado sumamente satisfecho y complacido de rezca la atención de V. E. su im'portante servicio. El coronel D. Saturnino Albuin me da parte detallado de la acción que «Suplico á V. S. se sirva hacer presente á la superioridad.las fatigas -y de tuvo con la facción del perjuro Merino en las inmediaciones de Herrera de Rio cisión de los valientes militares que componen esta columna, para que llegando Pisuerga, el cual, para co…</t>
  </si>
  <si>
    <t>…es. otros profesores, y acaso descubrir un medicamento capaz de resistir á tan «Acabo de llegar y de reunirme en este pueblo (Hortigüela) con el coro cruel azote. En el primer período del mal, cuando los enfermos solo sentían nel D. Saturnino Albuin, quien ha encontrado muy acertados mis movimien vaidos, laxitud y diarrea, he suministrado los polvos de la viborera ec los ni tos, y de cuyos conocimientos espero aprender mucho. Los que adquirí ayeT ños en dosis de sets á ocho granos, v en seguida una taza de te, á la hora una del coronel D. Manu…</t>
  </si>
  <si>
    <t>Albuin, Siturnino</t>
  </si>
  <si>
    <t>Siturnino Albuin</t>
  </si>
  <si>
    <t>Albuinse</t>
  </si>
  <si>
    <t>…y que todas tes partes de ja sierra, no han podido todavía^jucer progresos. He las noticias estaban contestes de que-habian experimentado mucha pérdida en la acción con el brigadier Iriarte, quedándose los oficiadispuesto que el coronel Albuinse dedique excliwivamente á per seguirlas y destruirlas en su origen, ya las halle reunidas, ya sepa les sin sus maletas. radas, cuidando particularmente de. ex terminarlas* y le he dado ór El capitán general de Aragón en 15 de Abril actual manifiesdenes ¿ instrucciones terminantes' de atacarlas y bat…</t>
  </si>
  <si>
    <t>Album</t>
  </si>
  <si>
    <t>…or los profesores es el siguiente: para El capitán general de Castilla la Vieja con fecha 4 de! actual desde Due las irritaciones gastrointestinales,abstinencia, dieta vegetal ó animal, bebidas ñas trasmite el siguiente parle del coronel Album: opiadas, gomosas ó aciduladas, aplicaciones emolientes, como medios baños, «Excmo. Sr.:. Con fecha 3ü dei pasado dije á V. F.. desde Mahamud lo fomentos ó cataplasmas; emisiones de sangre locales, ya con. ventosas ó sangui - siguiente: Habiendo recibido esta mañana noticias en O’vaTrubias que los…</t>
  </si>
  <si>
    <t>Alburnoht, Francisco Santiago y D Jaime</t>
  </si>
  <si>
    <t>Francisco Santiago y D Jaime Alburnoht</t>
  </si>
  <si>
    <t>07/01/1834</t>
  </si>
  <si>
    <t>Gaceta de Madrid n.º 4</t>
  </si>
  <si>
    <t>…asi á sus apóstoles, y dejándolo consignado en todas las páginas del las por la buena di/eccion del valiente coronel Oria y sus gefes de batallones sagrado Evangelio. »»Siendo ésto asi, dice, ¿cjué horror no deben -causarnos los Don Francisco Santiago y D. Jaime Alburnoht. .hombrÜsrque bajo pretexto 4c hacer cesar los males 4c la religión, que no exis La fuerza enemiga estableada en Asarta ocupaba sus posiciones inexpugna ten , se atreven á correr á las armas, y a insurreccionarse contra, la autoridad bles con los tres batallones restantes de navarros y dos de alaves…</t>
  </si>
  <si>
    <t>Alburnoht, Jaime</t>
  </si>
  <si>
    <t>Jaime Alburnoht</t>
  </si>
  <si>
    <t>…ejándolo consignado en todas las páginas del las por la buena di/eccion del valiente coronel Oria y sus gefes de batallones sagrado Evangelio. »»Siendo ésto asi, dice, ¿cjué horror no deben -causarnos los Don Francisco Santiago y D. Jaime Alburnoht. .hombrÜsrque bajo pretexto 4c hacer cesar los males 4c la religión, que no exis La fuerza enemiga estableada en Asarta ocupaba sus posiciones inexpugna ten , se atreven á correr á las armas, y a insurreccionarse contra, la autoridad bles con los tres batallones restantes de navarros y dos de alaves…</t>
  </si>
  <si>
    <t>Alburnot, D Jaime</t>
  </si>
  <si>
    <t>D Jaime Alburnot</t>
  </si>
  <si>
    <t>10/04/1834</t>
  </si>
  <si>
    <t>Gaceta de Madrid n.º 49 · suplemento</t>
  </si>
  <si>
    <t>…endía su retirada, y que heridos, cuyo número y clase no puede designarse por no permi no debía perder tiempo en la movilidad y colocación de mis fuer tir el terreno, ni haberme detenido en hallarlos, pediendo asegu zas, mandé al coronel D. Jaime Alburnot, primer comandante rar que se vieron 6 de los primeros, y varios de los segundos fue del batallón de voluntarios de Navarra, 6° ligero, que con él y ron conducidos por Armandoz, Verrueta y Azpileneta , trastor los 20 caballos de la Albuhera se anticipase á tomar el indicado nándole el proyecto de s…</t>
  </si>
  <si>
    <t>Alburnot, Jaime</t>
  </si>
  <si>
    <t>Jaime Alburnot</t>
  </si>
  <si>
    <t>…retirada, y que heridos, cuyo número y clase no puede designarse por no permi no debía perder tiempo en la movilidad y colocación de mis fuer tir el terreno, ni haberme detenido en hallarlos, pediendo asegu zas, mandé al coronel D. Jaime Alburnot, primer comandante rar que se vieron 6 de los primeros, y varios de los segundos fue del batallón de voluntarios de Navarra, 6° ligero, que con él y ron conducidos por Armandoz, Verrueta y Azpileneta , trastor los 20 caballos de la Albuhera se anticipase á tomar el indicado nándole el proyecto de s…</t>
  </si>
  <si>
    <t>Alcaide, Agustín</t>
  </si>
  <si>
    <t>Agustín Alcaide</t>
  </si>
  <si>
    <t>14/08/1834</t>
  </si>
  <si>
    <t>Gaceta de Madrid n.º 179</t>
  </si>
  <si>
    <t>…Ramón María FonSeca : en clase de alcaldes 4 Don de París, los cuales á cada revolución se hacen notar por su espíritu turbulen Juan de Serilla,4 D. Salvador María Quiroga, que lo son de la to, anárquico y antirclígioso! misma, 4 D. Agustín Alcaide, 4 D. Manuel' Alvarado y 4 D. Leo E&lt; arzobispo de Cantorbery habla con energía contra la adopción del bilí. £1 lord canciller ¿pova la segunda lectura del bilí, diciendo.que po tienenardo Gil de la Cue6ta; y para- fiscales á D. Diego González Alonso, necesidad de recordar su objeto k pues o bastant…</t>
  </si>
  <si>
    <t>Alcalá</t>
  </si>
  <si>
    <t>…intc/lps ácéntos de la simpatía qué debe unümos con esta cla- no, parareqtificár equivocaciones; / habiendo manifestado él Sr. Presidente que aé'beiiémérita." " li ■ , y • : . .--i estaba pTohibidó interrumpir i ningún orador, él Sr. Alcalá! Galíatfó'píaíó El Tr. Bendicho: «Convengo con las opinionej^dql Sr. preopinante en qu« continuase,el Sr. Bendicho, quien después de úna corta pausa continuó), er¡ls¡iít¿\la empleomanía, que yo también detestó pojr mis principios; y es »€on estas .interrupciones he perdido el hilo de mbdiscurso, mu…</t>
  </si>
  <si>
    <t>…tafacultad de preSe d'¿tribu* cron 15b ejemplares del proyecto de Código criminal, remi sentar nuevos documentos, ó arreglarlos á lo prevenido en el reglamento. tidos por el Gobierno para los Sres. Procuradores. Extendiéndose el Sr. Alcalá á discurrir acerca de la renta propia, se le El Estamento quedó enterado de un oficio del Sr. Secretario del Despa previno por ci Sr presidente que este era punto ya decidido, y de que como cho de lo Interior, en que le manifestaba que no pudiendo presentarse el Sr. be- tal no podía volverse á trat…</t>
  </si>
  <si>
    <t>Alcalá-Zamora</t>
  </si>
  <si>
    <t>…Uo.St. Procurador pidió que volviese el expediente á la comjsion; á lo me equivocaré.” ■, r ' '■ ; , / : que contestó el Sr. Trucha no podía tener lugar esta propuesta, por estar y* J57 5r. Visedo: *&gt;El argumento que ha hecho-el Sr. Alcalá-Zamora .«s ¿el oesaptobado^i dictámen de la misma. mismo que pensaba yo hacer; y creo que la reunión de los selectores no es otra Lo» Srp. Domecq , Falces y otros dijeron que desaprobado el dictamen cosa que repetición-de las juntas. Por ejemplo; una diputación provincial, un de la cflfrmíon, y admitido p…</t>
  </si>
  <si>
    <t>AlcaláGaliano</t>
  </si>
  <si>
    <t>17/10/1834</t>
  </si>
  <si>
    <t>Gaceta de Madrid n.º 245 · suplemento</t>
  </si>
  <si>
    <t>…e- para.obtener ciertos empleos. .. fior Préndente del Consejo de Ministros, que los empleos nosozí una propie» «Podré preguntar ahora; «por qué se prefiérenosos hombres dudosos á tos •dad dé lo* individuos que los desempeñan. El Sr. AlcaláGaliano, entre otros, que están mas comprometidos por nuestra .libertad? Vemos.que estos empica» ba contestado! victoriosamente á este argumento. El principio nó es. rigorosamente dos no solp defendieron con un valor heroico nuestras instituciones, sino que «acto; pues si bien es verdad que losempleós no e…</t>
  </si>
  <si>
    <t>Alcalde, José</t>
  </si>
  <si>
    <t>José Alcalde</t>
  </si>
  <si>
    <t>Gaceta de Madrid n.º 205 · suplemento</t>
  </si>
  <si>
    <t>…lí!üel O' T nos posible los intereses particulares. Est.e principio de equidad , de ‘]uSTicia'y ' '.‘José FSaneíSeo-Muguiro é Iribarren, pór Navarra. de conveniencia",Sis ,cl que allana la'senda á las reformas, y el que se ha pro D. José Alcalde, por Pontevedra. puesto segilir S- M. No podía por lo tanto echaren pitido que parte de lo? D. José Valladares , por id. productos de esta’* exacción-estaban destinados al culto; que en otra. parte de Marques de Monsalud , por Sevilla. ios mismobee^qtfrq^a l^subsistomáe-de ^igunos-ministros delsant…</t>
  </si>
  <si>
    <t>Alcalde, José Manuel</t>
  </si>
  <si>
    <t>José Manuel Alcalde</t>
  </si>
  <si>
    <t>&lt;Sríjo f electo por Córdoba ,, con las documentos justificativos y una exposición no lo hizo, como éste exige , en U sesión inmediata, sino que dejó una ínter» de D. José Manuel Alcalde, electo por Pontevedra, relativa á sus rentas. media» La comisión no se halla autorizada para salvar este articulo, y evitar La comisión de poderes, en vista de los presentados por D. Cipriano la qu* haya pasado el término fatal, si puede llamarse asi el que fija el regla Riea electo por BArgo*, y…</t>
  </si>
  <si>
    <t>Gaceta de Madrid n.º 185 · suplemento</t>
  </si>
  <si>
    <t>…que les había hecho suspender su presentación , y Se dió cuenta del dictámen de la comisión de poderes en que manifes que aquella estaba allanada con no estar sus nombres en la lista dé los auto taba que habiendo examinado'los de D. José Manuel Alcalde, electo Procu rizados para permanecer en sus destinos y dejar de asistir á las sesiones. rador por la provincia de Pontevedra , opinaba que no debían aprobarse por El Sr. Presidente anunció que iba L preceder á la lectura de la memo ser su renta eclesiástica, y no de bienes propios, por lo que debí…</t>
  </si>
  <si>
    <t>Alcanadre, Ramón En</t>
  </si>
  <si>
    <t>Ramón En Alcanadre</t>
  </si>
  <si>
    <t>…l brigadier L&gt;. Narciso López con su bri «Aun no he recibido noticias directas del comandante de Vicente, y por gada ¿ igualmente la mayor parte de la infantería. consecuencia ignoro los detalles de la acción; pero según parte de D. Ramón. «En Alcanadre recibí un oficio del alcalde de Sesma diciéndome que ni Estéban Masilla, alcalde de Pancorvo y sargento de sus Urbanos de caballería,, el brigadier Marcilla ni ninguna caballería nuestra había pasado por allí; con la facción ha sido enteramente sorprendida y derrotada en la Molina con mu—, tinué mi…</t>
  </si>
  <si>
    <t>Alcántara, Carrera</t>
  </si>
  <si>
    <t>Carrera Alcántara</t>
  </si>
  <si>
    <t>24/05/1834</t>
  </si>
  <si>
    <t>Gaceta de Madrid n.º 93</t>
  </si>
  <si>
    <t>…as que me siguen por la ruta dicha, llevando el se echados de sus posiciones y mancharon en diférentes direcciones. ñor general harón de Carondelet la de Zarza la Mayor á pasar por En esto apareció por el Otro lado la columna.del coronel Carrera Alcántara con la división de caballería, balerías de^rttllería, muni qtte condujo sil moví miento- con el valor, tino y-pericia que tiene ciones de reserva, provisiones y cuanto pertenece al material de tan acreditado,'y contribuyó en gran parte al éxito del encuentro y á este ejército, ya que sus operacione…</t>
  </si>
  <si>
    <t>Alcántara, D Pedro</t>
  </si>
  <si>
    <t>D Pedro Alcántara</t>
  </si>
  <si>
    <t>…n el sepulcro sé levantara de repente!..—. Mas ¡oh desgracia del En el siempre infausto dia 24 de Setiembre dé 1834 murió el augusto género humano!..— ¡Después de tantos traba jos_y de tanta gloria; ¿árido la Duque de Braganza el Sr. D. Pedro Alcántara, Rey de Portugal,'Emperador grande ob/a de la regeneración estaba completa, cuando tantos inmarcesibles del Brasil, restaurador de la libertad dé su.patria y del usurpado trono de su lauros debían adornar las sienes del héroe para quien solo ellos eran digna co augusta Hija, en cuyo nombre desempeñ…</t>
  </si>
  <si>
    <t>Alcántara, Pedro</t>
  </si>
  <si>
    <t>Pedro Alcántara</t>
  </si>
  <si>
    <t>…sepulcro sé levantara de repente!..—. Mas ¡oh desgracia del En el siempre infausto dia 24 de Setiembre dé 1834 murió el augusto género humano!..— ¡Después de tantos traba jos_y de tanta gloria; ¿árido la Duque de Braganza el Sr. D. Pedro Alcántara, Rey de Portugal,'Emperador grande ob/a de la regeneración estaba completa, cuando tantos inmarcesibles del Brasil, restaurador de la libertad dé su.patria y del usurpado trono de su lauros debían adornar las sienes del héroe para quien solo ellos eran digna co augusta Hija, en cuyo nombre desempeñ…</t>
  </si>
  <si>
    <t>Alcántara, Redro</t>
  </si>
  <si>
    <t>Redro Alcántara</t>
  </si>
  <si>
    <t>Gaceta de Madrid n.º 109</t>
  </si>
  <si>
    <t>…riedad de los trages, la extrañeza de la arquitectura y el con .ra en Rio-Janeiro, encargado de Negocios de la Reina nuestra Se traste de las posiciones. Han asistido á este baile muchos árabes que no habían ñora cerca de S. M. L D. Redro Alcántara ii. puesto los pies en Argel desde la conquista, y aunque aquí las gentes por, lo general son naturalmente poco comunicativas, no podían sin embargo disimu lar la agradable impresión que recibían £ vista de un espectáculo tan nuevo para ellos. t ¡Real crien comunicada por la primera secretaria de '…</t>
  </si>
  <si>
    <t>Alcanzados</t>
  </si>
  <si>
    <t>14/07/1834</t>
  </si>
  <si>
    <t>Gaceta de Madrid n.º 147</t>
  </si>
  <si>
    <t>…. -453 120 9 El capitán general de Aragón con fecha 10 del presente por extraordina rio remite á este Ministerio el parte del gobernador deCalatayud, que es como Carpió.................... 4 á 6 ídem. .. 79 29 16 sigue: «&gt; Excmo. Sr.: Alcanzados los rebeldes en Huerta í las cuatro de la ma drugada por Albuin , han sido vivamente perseguidos; han dejado ocho muer Castro del Rio... Idem idem.... 228 54 70 tos , muchas armas y morriones hasta el término de Alconcbel. Signen la di rección de Cuenca; y en Judes han sido nuevamente alcanzados, y que…</t>
  </si>
  <si>
    <t>Alcázar, Antonio</t>
  </si>
  <si>
    <t>Antonio Alcázar</t>
  </si>
  <si>
    <t>…r la católica España, si prematuramente la privó del inmortal tida de infantería y algunos caballos al mando del teniente de caballería de lal Fernando vil, la socorrió con el gobierno de la heroína, su última muy cara y Albuhera D. Antonio Alcázar, logró éste batir y dispersar á la gavilla de fac-1 amada Esposa &amp; M. la Reina Gobernadora, la admirable Cristina, uno de ciosos capitaneada por el cabecilla Eguia, quienes á pesar de hallarse parapeta- I los portentos en que el Supremo Hacedor se complace en ostentar que su poder dos en el pueblo…</t>
  </si>
  <si>
    <t>Alcorisa, Fernando</t>
  </si>
  <si>
    <t>Fernando Alcorisa</t>
  </si>
  <si>
    <t>15/05/1834</t>
  </si>
  <si>
    <t>Gaceta de Madrid n.º 84 · suplemento</t>
  </si>
  <si>
    <t>…para impedirle esta retirada y obligarle a bat.rsc. Batea y Pincll al invadir aquellos pueblos Carnicer: ei capitán de la compañía En efecto , habiendo este alcanzado y destruido al enemigo, dio al capitán de voluntarios de Batea D. Fernando Alcorisa, que con toda su fuerza s« en ^en&lt;vExcrno ^ La decantada faceion del cabecilla Carnicer acaba de ser des cerró en el fuerte de aquella villa, resistiéndole contra los ataques de los fac ciosos, cuya defensa dirigió también el teniente de Bailen D Ignacio Aspert, truida por las tropas de S. M. la Re…</t>
  </si>
  <si>
    <t>Aldao, Antonio Andeiro y</t>
  </si>
  <si>
    <t>Antonio Andeiro y Aldao</t>
  </si>
  <si>
    <t>20/08/1834</t>
  </si>
  <si>
    <t>Gaceta de Madrid n.º 186</t>
  </si>
  <si>
    <t>…iones. Es indudable que los habitantes ó las tropas son los autores la audiencia de Granada , vacante por fallecimiento de D. Manuel del incendio; no se sabe sin embargo s¡ este incendio puede compararse con el José de Vilcbes, á D. Antonio Andeiro y Aldao , alcalde del crimen de Tartarbazarzick, pero se cree que en ambos pueblos el descontento ha pro de la de Barcelona. venido de la organización de la milicia* {Sdettsagero.) Por otro de la misma fecha se exonera á D. Juan María Ruano y á D. Joaquín de Zengotita de las plazas de oidores que servían e…</t>
  </si>
  <si>
    <t>Aldave, José Antonio</t>
  </si>
  <si>
    <t>José Antonio Aldave</t>
  </si>
  <si>
    <t>…rio de Salinas de Los negociantes de'Lóndres han recibido de Calcuta un proyecto en for Monreal; á D. Pedro Miguel Irañeta, vicario de Huarte Araquil; ma de circular relativo á establecer una comunicación entre las Indias orien á D. José Antonio Aldave, rector de Ziga, á D. Pedro Beistegui, tales y Europa por medio de buques de vapor. Al proyecto acompaña una nota vicario de Astigarraga: á D. Andrés Velaz, vicario de Abarzuza; en que se persuade á los capitalistas de la metrópoli á tomar parte en la em á D. Silvestre Mimendia, vicario interino de…</t>
  </si>
  <si>
    <t>Aldeire</t>
  </si>
  <si>
    <t>I r ■7*r ■ „ í r • Hería , una para defender e{ pueate,'otra en la plaza y frente a dicha-puerta, Béas de Gua&lt;Kx, Ar*tu*4el Rey, Aldeire, Algarinejo, Al Hendía» Alburiasy Ja última cubriendo la calle y avenida Je la fortaleza. .. . las y Grabada, habiendo fallecido en esta última ciudad enlot días, 9, |0, 11 Encargado ya el Sr. conde de la defensa-dc~ la villa» se ordenó inmediata*» y 12 del actual 5S personas» inclusos 23 párvulos,…</t>
  </si>
  <si>
    <t>Aldini, Giovanni</t>
  </si>
  <si>
    <t>Giovanni Aldini</t>
  </si>
  <si>
    <t>…ciedad Real académica de ciencias ha nombrado al Sr, Nicolo Cac- sociedades científicas, con 149 individuos. (Litterary Gazzete.) ciatore miembro de la sección de astronomía, dignidad que había quedado vacante desde la muerte-del caballero Giovanni Aldini, el mismo que descu FRANCIA. brió el ingenioso medio de exponerse duránte un cuarto de hora entero á la ac Parts 19 de Agosto. ción de un fuego ardiente sin se itir la mas leve incomodidad. (G. de Verona.} cXmara de los pares.__Concluye la sesión del 9 de Agosto. 2* acoles 7 de Agp. to. — l El marq…</t>
  </si>
  <si>
    <t>Alej.mdro'Miranda</t>
  </si>
  <si>
    <t>…umna, emprendí con la mayor celeridad mi marcha-, redoblando!» tán D. Antonio Cándano,"d^ teniente D. Ramón Veiasco y del porta gra todo lo posible, y á mi llegada á el , me encomie con 30 soldados de infantería duado de teniente D. Alej.mdro'Miranda , los cuales se reunieron instantánea de la Princesa del destacamento de Peñaranda con 8 de caballería del regimien mente : despaché un posta al comandante del Burgo de (Xma , mandándole sa to del Rey, l.° de linea, mandados por los bizarros subtenientes D. Vicente lir con toda su fuerza, á socorre…</t>
  </si>
  <si>
    <t>Alej.mdro'Miranda, D</t>
  </si>
  <si>
    <t>D Alej.mdro'Miranda</t>
  </si>
  <si>
    <t>…de mi columna, emprendí con la mayor celeridad mi marcha-, redoblando!» tán D. Antonio Cándano,"d^ teniente D. Ramón Veiasco y del porta gra todo lo posible, y á mi llegada á el , me encomie con 30 soldados de infantería duado de teniente D. Alej.mdro'Miranda , los cuales se reunieron instantánea de la Princesa del destacamento de Peñaranda con 8 de caballería del regimien mente : despaché un posta al comandante del Burgo de (Xma , mandándole sa to del Rey, l.° de linea, mandados por los bizarros subtenientes D. Vicente lir con toda su fuerza, á socorre…</t>
  </si>
  <si>
    <t>Alejan, Esteban</t>
  </si>
  <si>
    <t>Esteban Alejan</t>
  </si>
  <si>
    <t>…or b. M. Doña Alaría 11 , Reina de Portuzai v capitulo 7.° dé la Constitución. de los Algarves, revestido y autorizado con los plenos poderes necesarios: Por tanto, mandamos á todas las autoridades á quienes incumbe el cono «Y el conde Esteban Alejan, gentilhombre de camara de b. M. biv.ira, ofi cimiento y ejecución de las referidas mudanzas y adiciones, que las cumplan cial de la Legión de honor, comendador de la orden imperial de la Corona y hagan cumplir y guardar según su serie y tenor. El secretario Üel Despacho de hierro, y de la orden Re…</t>
  </si>
  <si>
    <t>Alejandra</t>
  </si>
  <si>
    <t>Gaceta de Madrid n.º 238</t>
  </si>
  <si>
    <t>…, como por el saber generalmente guerra de siete años. En el gran salón de las conchas se dariuna fundón á la difundido de ros habitantes, su cultivo de las artesl dé la paz,,sus adelantos ea manera de la de 1829, caando/estuvo U Emperatriz Alejandra en Berlín. La las ciencias y literatura, y sobre todo por su conducta de sensatez , prudencia llegada de la corte de Rusia es muy déseada, porque no riendo Berlín una cíu- y mesura con que sin disminuir la energía popular, camina 'sosegada y circuínr</t>
  </si>
  <si>
    <t>Alejandro</t>
  </si>
  <si>
    <t>01/02/1834</t>
  </si>
  <si>
    <t>Gaceta de Madrid n.º 15</t>
  </si>
  <si>
    <t>…nes y Igualmente ha tenido á bien nombrar para la plaza de fiscal de la Real au de Italia, manifestando de paso que en el año de 1808 propuso á Napoleón el diencia de Madrid, creada por Real decreto de 26 del actual, á D. Marcial Emperador Alejandro, ademas de darle la península española y la italiana, y re Antonio López , abogado del colegio de esta corte. conocer el ascendiente que ejercia en Alemania , cederle la Albania, la Bosnia, k Morea y las islas dependientes de Turquía, con tal que le dejase á ¿1 el resto También se ha dignado conced…</t>
  </si>
  <si>
    <t>08/09/1834</t>
  </si>
  <si>
    <t>Gaceta de Madrid n.º 206</t>
  </si>
  <si>
    <t>…l para tratar los negocios que plan de Instrucción pr imaria del reino; lialdendo tenido á tríen con pucdjn ocurrir entre las dos naciones, la Puerta ha nombrado por su represen ferir el caigo de secretario de la misma comisión á D. Alejandro tante en aquella corte á Mustafá-reschid-etbendi (Vficial mayor del ministerio \ Olivan en consideración a sus méritos y circunstancias. Ten-Iréis! &gt; de Negocios exirangeros), y Nuri-ctFcmJi, y Ruh-Eddim- Edén di» el prime , entendido, y dispondréis lo necesario a su cumplí miento. — Está ru— ro en…</t>
  </si>
  <si>
    <t>09/12/1834</t>
  </si>
  <si>
    <t>Gaceta de Madrid n.º 298</t>
  </si>
  <si>
    <t>…uecia, inserta en el Diario^ de S. Petershtrgo: , ’ .Total de gastos.......................'.... 12,549.270,912 »&gt;M¡ señor hermano: Las relaciones de intima amistad que constantemen _ Puteadas. .___ te han existido entre S. M. el Emperador Alejandro y yo, y á las que V. M. L se ha dignado suscribir desde su advenimiento al trono, probándome su buena . Provincias del Continente................. 6,877494,269 voluntad con acciones; que yo sé apreciar, me dictan el deber de asociarme á . IdCm/deLl tramar.;,...........................................…</t>
  </si>
  <si>
    <t>…Setiembre, setta un brillante testimonio del interés que m: inspira el hornenage tributado por la amistad fraternal y el respeto público á la memoria del' i «Rico d conservatorio de París de todos los medios necesarios, á suK39fo Emperador Alejandro. x 1 mento, podrá competir,.y lo decimos sin temor de-exagerar, con todo loque «Jle ordenado al conde que.renueve en mi nombre á V. M. I., y espero existe de mas brillante en este ramo. Porque ¡cuántos talentos superiores no que Os hallas .-.convencido de ello, las seguridades de la amistad sincera…</t>
  </si>
  <si>
    <t>…á la Puerta, y por la cual declara el gabinete ingles que se opondrá á to -..Los oficiales, sargentos y sóldados del regimiento de granaderos de U da nueva hostilidad entre Mehemet-Alí y la Puerta, en vista de las circuns guardia Emperador Alejandro, enviados a S. Peter^burgo para asistir ú la in tancias críticas del'Oriente. auguración de la columna erigida en memoria del último Emperador, voiverán en breve todos condecorados y con medallas. F.l Emperador Nicolás les ha Idem 2 de Setiembre. hevho dar regalos y fiestas, y de consiguiente vuelv…</t>
  </si>
  <si>
    <t>14/05/1834</t>
  </si>
  <si>
    <t>Gaceta de Madrid n.º 83</t>
  </si>
  <si>
    <t>…equivocaciones en que La Puerta en fin ha nombrado los dos hospedares de Valaquía y de Mol han incurrido los oradores que acaban de hablar: manifiesta las causas que el davia. F.l primero es el príncipe Stourdra, y el segundo el príncipe Alejandro gobierno ha tenido para proponer.esta ley, y pide que la Cámara la apruebe. Ghiltai (Observador austríaco0 Por no haber suficiente número de Pares se levanta la sesión. INGLATERRA. cÁ-MAra de ios diputados.__Sesión de ídem* Lóndres 29 de Abril. Fondos públicos. Tres por 1UQ consolidados 92. M. Etie…</t>
  </si>
  <si>
    <t>…: rían inmediatamente á estas dos naciones, verificándose de este modo la divi , &gt;&gt;Uno de los mas constantes anhelos de- nuestro muy querido hermano el sión en dos sistemas políticos qüe acabamos de indicar; qúe entonces debiendo Emperador Alejandro, de gloriosa memoria, y que Nos experimentamos en la Sajonia seguir las huellas de los gobiernos constitucionales, seria el sajón re igual grado, era el de mejorar la Situación, tanto de los oficiajes superiores y prensible si ño tuviese constantemente-en París un'enviado activo y vigilante subalte…</t>
  </si>
  <si>
    <t>…ipa en este instante está destinada 1 es sente á S. M. la Reina Gobernadora. Dios guarde a V. E. muchos tablecer el bloqueo de la isla de Satnos, de modo que pueda interceptar todas años. Ciudad-Rodrigo 19 de Mayo de 1834.=Excmo. Sr.=Alejandro las comunicaciones de esta isla con el exterior. A este efecto, el comandante González Villalobos. en gefe de la flota, ha recibido de S. M. todas las instrucciones necesarias. Se da este informe al Sr. embajador para que tenga entendido que apenas Las tropas que de Galicia y de las inmediaciones de Ci…</t>
  </si>
  <si>
    <t>Gaceta de Madrid n.º 224</t>
  </si>
  <si>
    <t>…la dirección de las montañas' del Cáucaso, desda Alcañiz........ 8 á 12 idem.... 321 137 59 las orillas del mar Negro hasta las del.Caspio. Nuestro* escoceses, sin embargo, Gfea.;.......... 12 i 15 ídem... 68 23 4 obtuvieron del Emperador Alejandro, privilegios, bastante jimportantes que los Hijar.......... 4.4 11 idem.... 151 00 28 pusieron á cubierto de las violencias dé aquellos incómodos vecinos! rescataron Mazalton............. 00 2 00 00 de su poder como hasta unos 30 infelices que habían sido hecho -prisioneros Obouj...................…</t>
  </si>
  <si>
    <t>…pero el Gobierno tiene Londres, determinó enviar algunos de sus discípulos á Sellengiusfc, en S.bei'a. que agraciar con franquicias á aquellos periódicos meramente instructivos por A su tránsito por S. Pelersburgo los recibió el Emperador Alejandro en au la necesidad que hay de difundir las luces , y porque siendo estas empresas mas diencia particular, les prometió protección y auxilio, les concedió ademas su costosas y menos lucrativas que las otras, necesitan para sostenerse de la pro terreno , y contribuyó con ”9 rublos á la construcción d…</t>
  </si>
  <si>
    <t>27/10/1834</t>
  </si>
  <si>
    <t>Gaceta de Madrid n.º 255</t>
  </si>
  <si>
    <t>…ile, o*w¡ to M íiZxmrj* catfa •mrjt. á* *ad» «r r» «c-*£Uií*aoir de ios- rAfas, y do I,-&gt; que tiene relación con la memoria de nú queardo besñasao, el dtfus&amp;t» Mi «¿¿Zitiv Cfijif*' jafrC? imo^rj iTíh. I^V, -í .ytf aO p!XU|UaiCil¿ Emperador Alejandro. -í—**", CinMfeiidfra A?rraásu «a -usf áíaei. £^íT&amp; *&gt;fe ¿-..ca, y ggr&gt;jicn&lt;tfi&gt; ei Sul- -El monumento que . la Rusta agradecida ha erigido á »•&gt; gloria, =» ¿¡rr- t*a ** gr^fí\arae^n£ ipe- sasr-a. erXz*. ¡fjt 'e priva dd apoyo que pono des» nombrel La divina Pfividencca te ha dignado hacer qae «a es…</t>
  </si>
  <si>
    <t>28/11/1834</t>
  </si>
  <si>
    <t>Gaceta de Madrid n.º 287</t>
  </si>
  <si>
    <t>…ldo, én donde él arzobispo ofició de pontifical. Uno de los1 secretarios pa. Asi fue que en 1812 la conferencia del Rey, entonces Príncipe Real, con delarzóbispo, el canónigo'Generé; leyó los estatutos de la universidad, el de el Emperador Alejandro en Abo, salvó la Europa y la Rusia, fes probable que creto de instalación, y la bula elel Papa relativa i esto. El abate de Ram, la Sueciá se mantendrá neutral. , rector,, magnifico, subió en seguida al púlpito, y pronunció'en latín el dis curso de abertura. Loé ajúsfente* le oyeran con mucho place…</t>
  </si>
  <si>
    <t>Alejandro, Cárlos</t>
  </si>
  <si>
    <t>Cárlos Alejandro</t>
  </si>
  <si>
    <t>…comisión superior, compuesta de los Sres. Robert, capitán de na entre la gran duquesa María Nikxdajevva, nacida en 1819, hija del Empera vio, director de los movimientos del puente de Tolon ; Esmenard, comisario dor Nicolás, y el Príncipe Cárlos Alejandro, nacido en 1818, gran Duque déla Marina, encargado del detalle de los presidios; Garibon, capitán de hereditario de Sajonia-Wcunar, (.idi). fragata, ayudante mayor de la Marina; Herail y Ollivier, tenientes de navio, van á salir el L"de Diciembre próximo para Port-Vendre (Pirineos orientales), ____…</t>
  </si>
  <si>
    <t>Alejandro, Marcial Emperador</t>
  </si>
  <si>
    <t>Marcial Emperador Alejandro</t>
  </si>
  <si>
    <t>…tados alemanes y Igualmente ha tenido á bien nombrar para la plaza de fiscal de la Real au de Italia, manifestando de paso que en el año de 1808 propuso á Napoleón el diencia de Madrid, creada por Real decreto de 26 del actual, á D. Marcial Emperador Alejandro, ademas de darle la península española y la italiana, y re Antonio López , abogado del colegio de esta corte. conocer el ascendiente que ejercia en Alemania , cederle la Albania, la Bosnia, k Morea y las islas dependientes de Turquía, con tal que le dejase á ¿1 el resto También se ha dignado conced…</t>
  </si>
  <si>
    <t>Alejo</t>
  </si>
  <si>
    <t>Gaceta de Madrid n.º 320</t>
  </si>
  <si>
    <t>…dos los acontecimientos El ge queño ramal á la villa de este nombre; S. M. la Reina Gobernadora neral austríaco de Wissiak ha manifestado varias veces la mucha salísi j^cion se ha servido mandar que el ayudante segundo de caminos D. Alejo queje causa la tranquilidad de que actualmente disfrutamos, y el buen estado Andrade Yañez proceda á practicar los reconoeimieiitos, formar los * de la tropa de la Confederación, (forreo alemmf planos, descripción y presupuesto de las obras que aquel derrotero exija liajo la base de que el camino n…</t>
  </si>
  <si>
    <t>AlEl</t>
  </si>
  <si>
    <t>01/08/1834</t>
  </si>
  <si>
    <t>Gaceta de Madrid n.º 165</t>
  </si>
  <si>
    <t>…re la observancia de la disciplina militar, y bierno consintiese en publicar un papel de esta naturaleza, perdería la confianza que no irrite alos habitantes. ; y el derecho i recibir una correspondencia oficial. Es verdad que el lord AlEl estado de la Botnia inspira reflexiones Muy sérías. Los desórdenes van thorp autorizó al lord lugar-teniente de Irlanda para que confiase a M. OGonen ¡aumento, y se trata de poner i toda la provincia en estado de sitio. (Ci nell que el bilí que los ministros se proponían presentar este año para con…</t>
  </si>
  <si>
    <t>Alema, En</t>
  </si>
  <si>
    <t>En Alema</t>
  </si>
  <si>
    <t>…a de los es 20 millones de volúmenes. Las bibliotecas de alquiler, y las sociedades ó ga tragos originados por la enfermedad del cólera, que ha afligido á esta capital y binetes de lectura ofrecen grandes recursos para la lectura general. En Alema dolorosamente aflige á las provincias. En su consecuencia se observarán para las nia se cuentan 109 gabinetes literarios: en muchos Estados se forman biblio cobranzas las reglas siguientes: tecas ambulantes, que se trasportan mensualmente de pueblo á pueblo. Una de 1. a Los propietarios de acciones…</t>
  </si>
  <si>
    <t>Alemania, Pe</t>
  </si>
  <si>
    <t>Pe Alemania</t>
  </si>
  <si>
    <t>…n desear que nos hubiese dado una completa tra pertenece á las bellas letras. En la feria de Pascua do 1825 salieron á luz en ducción de id Eneida. ------ Para junta de acreedores á los bienes que han quedado por fallecimiento de D. Pe Alemania 42 dramas y 113 novelas: en la feria de S. Miguel 39 poemas y dro Asila, vecino y maestro arquitecto que fue en esta corte, ha señalado eUSr. Bal 188 novelas. Antes de 1829 habia producido la Rusia 2U0 composiciones lí sera ef día 20 del corriente mes á las nueve en punto de su mañana en su casa-ha…</t>
  </si>
  <si>
    <t>Alemberr</t>
  </si>
  <si>
    <t>25/08/1834</t>
  </si>
  <si>
    <t>Gaceta de Madrid n.º 191</t>
  </si>
  <si>
    <t>…del mes-de la fecha hubo en Sftrgos 4&amp;Í enfer- * •adelantado *en esta materia en los últimos tiempos, y cuán celebres se han hecho en kdos f de fa»curies curaron 79,Fallecieron 47, y entraron en convalecencia ella los nombres de D.'Alemberr, La GraRge, La Place y otros, conocerán la Importan 77; en los dias 17 Y 13 y 1£ del mismo fallecieron én Roa 60 personas, ha cia■ -lósrftocionoy utilidad de estephfíosuphicaeestudio. et mathematícah Antonii Eximen! preábiteri valenbiendo sido casi igual el número de las invadidas; y en Araada fuer…</t>
  </si>
  <si>
    <t>Alen, Francisco</t>
  </si>
  <si>
    <t>Francisco Alen</t>
  </si>
  <si>
    <t>…ará y desenvolverá su recíproca prosperidad. El tri por el ayudante del mismo cuerpo D- José Marta Marches! ¿n unión con et bunal de comercio cuenta entre sus mas sagrados deberes el estudio de los riie- capitán de la plana mayor D. Francisco Alen, saliesen á reconocerlos: el fuego dios qút sírvan para llenar tan importante objeto. La obra cotj que habéis en-. hecho sobre nuestra descubierta no dejó duda de ser los facciosos que en núme Tiqueado los archivos de vuestra patria, no será estéril; y confiamos que se ro de 3SCO á 4¿5 hombres y 30…</t>
  </si>
  <si>
    <t>Alenza, Leonardo</t>
  </si>
  <si>
    <t>Leonardo Alenza</t>
  </si>
  <si>
    <t>…ba sobre el ático otro sotabanco de corta altura, y con fesores D. José Tomas, D: José Piquer y D. José Gines: los bajos-relieves fue cluía la composición con una pirámide truncada cuadrangular , que aparecía ser ron pintados por D. Leonardo Alenza: el resto de la pintura del catafalco y de piedra berroqueña, con cuatro grandes arcos semicirculares abiertos en los coro, que como queda dicho, era imitado á piedra de Colmenar y berroqueña, frentes de ella, teniendo en su base la pirámide 18i pies en cuadro, y de al estuvo á cargo de D. Francisc…</t>
  </si>
  <si>
    <t>Alero, Bernardo</t>
  </si>
  <si>
    <t>Bernardo Alero</t>
  </si>
  <si>
    <t>10/05/1834</t>
  </si>
  <si>
    <t>Gaceta de Madrid n.º 79</t>
  </si>
  <si>
    <t>…cciones : prévias las justificaciones necesarias, en Guipúzcoa, viuda de José Antonio Jáuregtii, asesinado en Arri jt ha dignado S. M. la Reina Gobernadora conceder sobre los fondos ba, dos reales de vellón diarios: á la viuda de D. Bernardo Alero- &lt;]e la mitra de León, y de las prebendas, canonjías y beneficios de rio, teniente graduado de la columna mpvil de carabineros de Ara eclesiásticos extrañados, las viudedades siguientes ; A Agueda Naida, gón, situada en el punto de Capayroso, muerto en acción el 6 de vecina de Logrdño, viuda de Pedr…</t>
  </si>
  <si>
    <t>Alfaeeme, Tomas</t>
  </si>
  <si>
    <t>Tomas Alfaeeme</t>
  </si>
  <si>
    <t>22/05/1834</t>
  </si>
  <si>
    <t>Gaceta de Madrid n.º 91</t>
  </si>
  <si>
    <t>…en que contribuyen a la perfección, y una novena llena de unción para todos los meses. inmediata relación su cuartel general con el del general Anieo, situado en Va Secunda edición con tres estampas, aumentada por su autor el Dr. D. Tomas Alfaeeme, doctoral de la Real c-ipilla de la Encarnación. Se vende en Madrid en la librería de lencia de Alcántara, nueve leguas distante de Castel-o-b.unco. En toda la Brun y en la d* Hurtado a 8 rs. en pasta común, lien fina, y 16 en tafilete. En la» Bcíra alta no ocurría la menor novedad, según asegura e…</t>
  </si>
  <si>
    <t>Alfhorp'</t>
  </si>
  <si>
    <t>…siguiente: «Aqui no nos alarman los preparati vos de ia Rusia en el mar Negro: lo que ocupa ciertamente nuestra atención JAndres 2S de Diciembre. es el saber cuál será el resultado del congreso que debe reunirse en esta capital; lord Alfhorp' ha pasado una circular á las juntas de fábricas y obrerías de- y por otra parte si el gobierno francés se pondrá ó no de acuerdo con las Ci9</t>
  </si>
  <si>
    <t>Alfo, Ramón Marín</t>
  </si>
  <si>
    <t>Ramón Marín Alfo</t>
  </si>
  <si>
    <t>…se anuncie fuego en algún punto se avi Mata" nueva á D. Simón Benavides: para la de Coin á D. Francisco se á los cuarteles , y se cubran principalmente las calles que dan vista á la cár María Sánchez Castilla: para la de Totana á D. Ramón Marín Alfo- cel , que en el dia encierra algunos reos de crímenes políticos. El bíaroa de Rufcea: para la de Alcañiees á D. Fernando de Galarza: para la de Mel- fin , administrador de la Real casa y de la colonia de Scbleáshcim, ha recibi «ar-daFerroemal á D. Jo6é Diez Andaluz: para la de Setjjueros á do órden…</t>
  </si>
  <si>
    <t>Alfon, Ó</t>
  </si>
  <si>
    <t>Ó Alfon</t>
  </si>
  <si>
    <t>01/04/1834</t>
  </si>
  <si>
    <t>Gaceta de Madrid n.º 40</t>
  </si>
  <si>
    <t>…ores sacerdotes para oo hacerse reos en la santa misa y oficio divino, con algunos actos al fin para la cia, con objeto de poner á cubierto de aquel peligro los- restantes preparación y acción de gracias i la misa. Obra del limo. Sr. Ó. Alfon pueblos de Ja provincia, ha dispuesto en sesión extraordinaria, te so de Llgorlo, obispo de 9ta. Agata 8tc. Se vendé’A 6 rs. en pasta en la nida la noche: de este dia, decretar la incomunicación con dicha libreril de Sánchez y en la de Cuesta, y en Cádiz en la de Hortal y villa, y lá inadmisión de…</t>
  </si>
  <si>
    <t>Alfonso</t>
  </si>
  <si>
    <t>02/01/1834</t>
  </si>
  <si>
    <t>Gaceta de Madrid n.º 1</t>
  </si>
  <si>
    <t>…ostilidades. El comandante -anees á persuasión de de suceder las hembras á falta de varón en la posesión de la coronal! lo es por los cónsules inglés y americano, y en vista de los maleque pudieran resultar la ley fundamental del Sr. Alfonso el Sábío, que aunque alterada por él Señor á las propiedades y personas de sus conciudadanos, ha cosentido en suspender Fel ipe v, ó no debió producir efecto alguno dicha alteración, ó se ha resta todo procedimiento hasta la llegada del almirante Macku con la escuadra de blecido ya después aquella…</t>
  </si>
  <si>
    <t>05/10/1834</t>
  </si>
  <si>
    <t>Gaceta de Madrid n.º 233 · suplemento</t>
  </si>
  <si>
    <t>…mediante la intercesión del reino, el Ezcmo. Sr. conde Armildez de Toledo. santo Apóstol, entre los cuales puede servir de cita particular la confirmación De otro por el que el Sr- Presidente del Consejo de Ministros traslada del Rey Alfonso xi, en que refiere la protección del santo en sus batallas con una Real órden comunicada al Sr. D. Antonio Cano Manuel, en la que S. M. Albohacen, Rey de marruecos, y con el Rey de Granada cerca de Tarifa. la Reina Gobernadora le concede la licencia que babia solicitado para- pasar nPor lo demas, a…</t>
  </si>
  <si>
    <t>PDF p. 9</t>
  </si>
  <si>
    <t>…oceder á arrestar á algunos que ter de inmovilidad, por decirlo asi, que d si ngue a ras máximas fundamenta aparecían mas comprometidos; no era el Gobierno quien ios había inscrito en les ; y he aqui la razón por que las de! ¿ley D. Alfonso han cedido su lugar al la lista , no el que ios había puesto en las que circularon para las provincias: tiempo y al olvido; d^pues de haber sido el cócbgo que llenó de admiración será calumnioso, será lo que se quiera; pero entre tanto que los tribunales y asombro á U Europa entera , ha venido á pa…</t>
  </si>
  <si>
    <t>…que son inocentes también lo es que tienen que sufrir la pena que les im ta del Rey, y con consentimiento de la Nación. pone el delito de su padre. Cúlpese áeste, y no á la Nación, de la resolución ••Posteriormente al tiempo del Emperador Alfonso vi, y por muerte do que recaiga sobre ellos. su hijo D. Sancho, sucedió Doña Urraca, la que fue reconocida en las Cortes «Veamos ahora cuáles son las banderas de nuestra augusta Reina Isadel reino, y ocupó el trono en 1109 en el siglo xti. Se verificó esto también sel 11, de la augusta Hija de Fern…</t>
  </si>
  <si>
    <t>…4 V. E- para lo* en la santa iglesia catedral , que en otro tiempo fue una fortaleza, y en cuya efectos que le tengo indicados. I.o que tengo ei honor de trasladar a V. K pa* torre coronada de almenas tuvo su custodia el Rey niño D. Alfonso mostrado ra su superior conocimiento, y que se sirva elevarlo al de S. M. la Rljva Re desde allí á su competidor vencido, por cuya fidelidad conserva Avila como genta Gobernadora, debiendo añadir con e^te motivo , que el bn¿aCier coro blasón y timbre de sus heroicas armas la representación de este…</t>
  </si>
  <si>
    <t>y SUPLEMENTO• • ' A LA GACETA DE MADRID DEL VIERNES 29 DE AGOSTO DE 1834CORTES. derecho-fundamental-de4s4ibcrtad ctvif etr diferentes leyes, así come la esta» bleció D. Alfonso el Sabio en la ley l.m, título 22, Partida 4-4 ■ aquel ilustro MTAKBMTO DB PXOC0XADOXB*. legislador estableció »que la libertad civil es el poderío que ha lodo Home na* Setion del dia 28 de Agostm. tuialmente de facer lo que quiere ; solo que fuerza ó derecho de ley non gel® embargue.” $t abrió i i…</t>
  </si>
  <si>
    <t>…en dos parles, di ni citaban consignados í lá iglesia en virtud de un principiargrpelnl, sino co ciéndose en la primera: «que sea abolido para siempre el Voto de Santiago , y mo donativos voluntados, y así lo estuvieron hasta que D. Alfonso el Sabio queden exentas las provincias de pagar -este tributo’- ; y en la segunda : «con fijó este punto en la ley^ de su primera Partida, y aun esta ley general no tuvo donándose los atrasos que están pendientes por este ramo*’ , y si el Estamento entero y cumplido efecto hasta el reinado de. D. J…</t>
  </si>
  <si>
    <t>…s, desde elgafiatt que con una pala y un picó ib.c el caminó por donde está en Jospulmonés. Tuni posar de toílb , los aires te donaroú por el‘Empe transitan los coches, hastael magnate que ya dentro de ellos, y jxjr eso, no rador D. Alfonso al gran prior dé S. Jüaít-; y -esté derecho todavía en él día hay remedio, las reformas se harán, ó bién lenta y progresivamente, como es ‘ se está ejerciendo, y ya que no'han podido imponer una contribución por él de esperar, ó bien-derramando‘ríos de sangre. ' alté, la han impuesto por sus produc…</t>
  </si>
  <si>
    <t>Alfonso-Saavedra</t>
  </si>
  <si>
    <t>05/07/1834</t>
  </si>
  <si>
    <t>Gaceta de Madrid n.º 138</t>
  </si>
  <si>
    <t>…tin, al subteniente ragona D. Antonio Satorra con fecha de 10 de Junio anterior. del mismo cuerpo D. Casimiro Morillo, al capitán D. Ramón Contí y al Se ocupa en examinar prolijamente el proyecto sobre la continuación de teniente D. Alfonso-Saavedra , del provincial de Segovia. las obras del pantano de Ulldecona , y en la inspección de las tareas de la jun ta’encargada de las mismas. El comandante militar de Logroño con fecha 30 de Junio manifiesta á La contaduría de propios sigue despachando sin el menor atraso los nego este ministerio, que s…</t>
  </si>
  <si>
    <t>Alfonso-Saavedra, D</t>
  </si>
  <si>
    <t>D Alfonso-Saavedra</t>
  </si>
  <si>
    <t>…Díaz Martin, al subteniente ragona D. Antonio Satorra con fecha de 10 de Junio anterior. del mismo cuerpo D. Casimiro Morillo, al capitán D. Ramón Contí y al Se ocupa en examinar prolijamente el proyecto sobre la continuación de teniente D. Alfonso-Saavedra , del provincial de Segovia. las obras del pantano de Ulldecona , y en la inspección de las tareas de la jun ta’encargada de las mismas. El comandante militar de Logroño con fecha 30 de Junio manifiesta á La contaduría de propios sigue despachando sin el menor atraso los nego este ministerio, que s…</t>
  </si>
  <si>
    <t>Algunos</t>
  </si>
  <si>
    <t>…ronde las ,llamas.mas de La29violenciacasas, algunosde! incendiomiles deeratiendastan grandey todoqueel se consideraba feliz el que se libertaba de él sin llevarse njda consigo. S. M. la Reina nuestra Señora y su augusta Madre la Reina Algunos centenares de'habitante* acampan actualmente al rededor de U Gobernadora, corno la Señora Infanta Doña María Luisa, continúan ciudad , é imploran la caridad pública; se cree que lfo personas á lo menos sin novedad en su importante salud en el Real Sitio de San Il han sido víctimas de estos incendio…</t>
  </si>
  <si>
    <t>Gaceta de Madrid n.º 284</t>
  </si>
  <si>
    <t>…lmirante Villaumez y á Mr. Delabordére. El 15 tuvo el mariscal Gerard {(jiote.') una audiencia del Rey, é igualmente la tuvieron el almirante Jacob y el duque de Choiseul. El siguiente día recibió S. M. al conde de Mont^livct, al duque __Algunos piensan que Mr. Bajríng será nombrado canciller del Echiquier, de Bassano, al mariscal Gerard y á Mr. Carlos Dupin. aunque otros creen que el destinado á este ministerio es Mr. Aberpromby. Se habla de lord J. Russeil para llevar la voz del gobierno en la Cámara de los ____ Un periódico publica la l…</t>
  </si>
  <si>
    <t>Gaceta de Madrid n.º 286</t>
  </si>
  <si>
    <t>…Rigny está asimismo dos objetos se reducen á un cofrecito ó cajoncito para guardar joyas y diaman encargado interinamente del ministerio de Marina. (Diario de París.} tes^ y í un taburetillo que parece ser enteramente obra de la Reina. Algunos antes de esta remesa, S. M. él .Rey había recibido en su palacio á Mr. T'Kmt T’lCint, con quien se entretuvo mucho tiempo hablando sobré los Varinc. jornaleros, extendiendo en.un prado en los alrededores de Bourg unos escombro*, han hallado muchas piezas de oro españolas de dos duros contrabajos de…</t>
  </si>
  <si>
    <t>Algunos, IIotTmann</t>
  </si>
  <si>
    <t>IIotTmann Algunos</t>
  </si>
  <si>
    <t>20/06/1834</t>
  </si>
  <si>
    <t>Gaceta de Madrid n.º 123</t>
  </si>
  <si>
    <t>…gobierno portugués de 18 de Abril, pór el cud testar contra la conducta de los 15 diputados que se han negado ayer á dar sus se hacen importantes modificaciones en los géneros de industria extranjera imvotos sobre la admisión del Sr. IIotTmann. Algunos de dichos diputados han -portados á Lisboa y Oporto. Í'iedidoantes han'insistidoque no se le eñconcedieseqtie se oyeseU palabrala protestaal orador;del Sr.peroTromler,otros variosy se tomaserepresen-en arreglarEl generalalgunosVan-Halennegocios depasafamilia:á Españael gobiernocon la correspondientele…</t>
  </si>
  <si>
    <t>Alhaem</t>
  </si>
  <si>
    <t>…del corriente habían sido invadidas 153 personas, curaron 215 tenta bibliotecas públicas, y CórJoba tenia nada menos que ocho, las cuales y fallecieron 64, quedando existentes 575 enfermos: dice ademas que entre los enriqueció el Rey Alhaem con dOU volúmenes. En ella' no solo eran admiti 23 pdeblos de la provincia que sufrían igual calamidad, en algunos iba esta en dos los que iban á leer, s’ino también los que deseaban asistir á las conferencias aumento, y en bastantes disminuían sus estragos. de los sabios. Los filósofos abrían escu…</t>
  </si>
  <si>
    <t>Alianza, Santa</t>
  </si>
  <si>
    <t>Santa Alianza</t>
  </si>
  <si>
    <t>…odrá piana; para la de Melgar de Fernamental £ D- José Diez Andaluz ; para la dé recúrdar sin sentirse avergonzado: período en que la Inglaterra obsequiaba £ la Sequeros £ D. Lucas Fernandez de Mombelrrán; para la de Vitigudino £ Don Santa Alianza; se inclinaba ante los fuertes, y volvía Ta espalda á loj^débilcs; Felipe Puente; para la de Etttrxmbasaguas £ D. Vicente Ramón deCagigal; hacia la corte á los opresores, y no permitía £ los- oprimidos que recobrasen su1 para la de Brihuega £ D, Andrés Ruiz; para la déChinchillaá D, Jhsé Mar libert…</t>
  </si>
  <si>
    <t>Alibcrt</t>
  </si>
  <si>
    <t>Gaceta de Madrid n.º 311</t>
  </si>
  <si>
    <t>…, director en gefe de la instrucción médi ca. Mehemct-Alí no pierde ocasión de trasportar á este hermoso país las luces Escribeq de S. Petersburgo 13 de Noviembre:europeas. Un jóven árabe acaba de traducir á su lengua la obra del barón Alibcrt sobre las enfermedades cutáneas. (G, de Francia.') «Por mf infórme del ministro del Interior sabemos que 18 órdenes ca tólicos romanas poseen en Rusia 113 conventos. El .número de los frailes as ciende á 2200, el cual ha disminuido en 189 desde 1832. En las escuelas di ___Un periódico alemau public…</t>
  </si>
  <si>
    <t>Alicante</t>
  </si>
  <si>
    <t>…cciones del banco español, 00. 4^4 23 id................... 3 7 4 14- CAMBIO*. 24 id................... 5 7 ' 6 18.. Sevilla par. (Cádiz b. í 00. París 25 id.................... 10 9 5 24. Amsterdam, Valencia par á 4 b. * Corulla d. Alicante á corto pla | Bayona, 00. Burdeos $ 00* zo par. Granada i| id. Zaragoza $ d. Observación. En el número de fallecidos están inclusos lo» de lo» hospi- Hambnrgo, 00. Barcelona i pesos fs. Málaga $ b. Descuento de tetras 1 par* Santander á 4 p. 100 al alio. ] | b. d» Santiago 1 | tales y los de toda c…</t>
  </si>
  <si>
    <t>…añol, 00. jlarcal de Alava, comunicándole que los facciosos batidos sobre Aramayona , CAMBIOS. por el brigadier Jáuregui se dirigían unos hacia el ralle de Arratia y poblacio Amsterdam 00. Paris , 16. [Cádiz £ b. Sevilla £ d. s £ d. Alicante ácorto pla-iCorufia &lt;x&gt;. Valencia par. Bayona, nes de Dima , otros bacía Elorrio, verificándolo otra porción hacia Marquina; I '.Granada zo par. , * Id. Zaragoza 00. Burdeos | d. y que habiéndose incorporado en la tarde de aquel dia en dicho pueblo de Vi Hamburgo , 00. Barcelona á pesos fs.'Málaga…</t>
  </si>
  <si>
    <t>…gió desde el puente de Caparroso el capitán D. Rafael Midon , coman CAMBIOS. dante de Ja columna móvil de carabineros, de los cuales resulta que los faccio Amsterdam, 00. París 16-1. Cádiz i b. Sevilla 4 d. Valencia par. Coruña } d. . Alicante á corto pla 00.sos reunidos en Lumbier, habían dividido sus^ fuerzas á la aproximación de nues Bayona, Granada íd. Zaragoza zo par. 00. ij Burdeos, | á I d. tras tropas , marchando dos batallones con parte de su caballería sobre Sangüesa, Hamburgo, 00. * Barcelona á pesos ft. Málaga | b. Descuento…</t>
  </si>
  <si>
    <t>…asta Vilvestre, y el canal de riego de Villagodio, que| principiando al S. O. de CAMBIOS. Fresno de la Rivera, y corriendo el espacio de tres leguas, vendría á tenmnai?- Amsterdam, 00. 1 París* 16-2. Cádiz* l}b. Sevilla, } b. 00. d. Alicante, 4 corto pla Coruña, par. Valencia, | end mismo Valderaduey. Bayona, 00. id. id. d. Burdeos, Granada, Zaragoza* g zo, 4 d. Al tenor de lo que se previene en los artículos l.° y 2.® de la Real órden Hambürgo, 00. Barcelona* 4 ps. fs.* Málaga, i id. Descuento de letras* de 18 de Mayo último , he exci…</t>
  </si>
  <si>
    <t>…a del sargento aduanero llamado Larrandí; en la que se han hallado CAEMOS. documentos que acreditan Ja inteligencia con el maestro de postas de la misma Amsterdam, 00. i París-, 16-2. Cádfc-r 1¿ á j b. Sevilla, i b. Bayona . 00. -d. Alicante,-a ¿ corto pla Coruña, par. Valencia, 00. Puebla y otro de Armiñon sobre cobranza de productos de las cadenas, á quie Burdeos. zo, par. 1 Granada-, d. id. Zaragoza ¿ nes he dispuesto se forme sumaria. Hamburgo-, 00. Barcelona, á ps. fs.. Málaga, £ id. Descuento de letras,, Londres, á 90 dias,' í á…</t>
  </si>
  <si>
    <t>Alicante, Bayona</t>
  </si>
  <si>
    <t>Bayona Alicante</t>
  </si>
  <si>
    <t>…dos de poca consideración. Al día siguiente se volvieion á presentar á la misma hora con la fuerza Amsterdara, 00. París, t6-2. Cádiz, 1 b. „ Sevilla, ¿ b. de dos batallones coronando las alturas tituladas de Slo* Domingo, desde-don Bayona. 00. Alicante, a corto pla C »ruña, | d. Valencia, par. de estuvieron haciendo mucho fuego fuera del alcance, sin contestarles la pla BurdeosHamburgo,. 00. 00. Barcelona,zo, $ d. á ps. fs.. Granada.,Malaga, ¿3 id.id. Zaragoza,Descuent ided. letras, za m*s que algunas guerrillas que se avanzaron. En esta situació…</t>
  </si>
  <si>
    <t>Aligue</t>
  </si>
  <si>
    <t>…ecorosa, cual cor se'regla alguna'general sobreveste punto,- dejándose al juicio del Estamento el respondía al Gobierno español. determinar en cada caso particular lo que creyese conveniente. La conducta observada por el príncipe D. Aligue! desde que manifestó _ Este dictámen suscitó una discusión entre varios Sres. Procuradores, que D. Cirio: sus provectos de usurpación, y muy especialmente la aXttud amena dando al fin aprobado. zadora y hostil que Había tomado contra la legítima Soberana-de España, de | Si Sr. Florez. Estrada, i no…</t>
  </si>
  <si>
    <t>Aligue, D</t>
  </si>
  <si>
    <t>D Aligue</t>
  </si>
  <si>
    <t>…ena fé; decorosa, cual cor se'regla alguna'general sobreveste punto,- dejándose al juicio del Estamento el respondía al Gobierno español. determinar en cada caso particular lo que creyese conveniente. La conducta observada por el príncipe D. Aligue! desde que manifestó _ Este dictámen suscitó una discusión entre varios Sres. Procuradores, que D. Cirio: sus provectos de usurpación, y muy especialmente la aXttud amena dando al fin aprobado. zadora y hostil que Había tomado contra la legítima Soberana-de España, de | Si Sr. Florez. Estrada, i no…</t>
  </si>
  <si>
    <t>Alihorp</t>
  </si>
  <si>
    <t>…tenida por él mínisterioen la Cámara de los Comunes! la noche del 27 último , ha animado i los especuladores de fondos públicos, y | hecho subir ios consolidados á N -A loe locas. Santa Fe, que siempre se creyó 1 ___ _Sabemos que lord Alihorp manifestó i los diputados reunidos en su casa mas ezpuesta i caer en manos de Oamarra y Flores por erecto de esta nueva la posición en que se hallaba &lt;1 ministerio de resultas de la mocioti del coronel* reTolucíon.-Sin ta ntier es detestado ya por Ja mayoría de los bogoranos, y el 28 Evans para sup…</t>
  </si>
  <si>
    <t>Alise, D Gabriel Gui</t>
  </si>
  <si>
    <t>D Gabriel Gui Alise</t>
  </si>
  <si>
    <t>16/04/1834</t>
  </si>
  <si>
    <t>Gaceta de Madrid n.º 55</t>
  </si>
  <si>
    <t>…a de Castilla por desafecto Madrid en el establecimiento geográfico del heredero de D. Juan López, á la Reina nuestra Señora. La aprehensión de este traidor fue ve en la calle del Principe. rificada por el subteniente graduado de capitán D. Gabriel Gui- ----- Alise ó el candor premiado. Comedia en un acto arreglada al teatro espafiol. Se vende en esta corte en la librería de Razóla , y eD Barcelona bert de aquel cuerpo, cuyo bizarro comportamiento recomienda en la de Torner, á 3 rs. el expresado capitán general, asi como á los soldados Miguel Cano, ----- Por…</t>
  </si>
  <si>
    <t>Alise, Gabriel Gui</t>
  </si>
  <si>
    <t>Gabriel Gui Alise</t>
  </si>
  <si>
    <t>…tilla por desafecto Madrid en el establecimiento geográfico del heredero de D. Juan López, á la Reina nuestra Señora. La aprehensión de este traidor fue ve en la calle del Principe. rificada por el subteniente graduado de capitán D. Gabriel Gui- ----- Alise ó el candor premiado. Comedia en un acto arreglada al teatro espafiol. Se vende en esta corte en la librería de Razóla , y eD Barcelona bert de aquel cuerpo, cuyo bizarro comportamiento recomienda en la de Torner, á 3 rs. el expresado capitán general, asi como á los soldados Miguel Cano, ----- Por…</t>
  </si>
  <si>
    <t>Alix, Juan</t>
  </si>
  <si>
    <t>Juan Alix</t>
  </si>
  <si>
    <t>05/05/1834</t>
  </si>
  <si>
    <t>Gaceta de Madrid n.º 74</t>
  </si>
  <si>
    <t>…o Henares, en Granada: desde 25 de Junio i 20 Negro y el de Azof.............................................}Idem * provisionalmentede Setiembre. La Nueva-Orleans y el Mississipí............................. Idem Idem. Graena. . D. Juan Alix, los Santos: 1.a temporada desde 1.® i fin de Ju Méjico. ................................. ............... ...................... Idem ídem. nio: 2.® desde 15 de Agosto á 30 de Setiembre. Los puertas de la Noruega desde Cristiansand hasta) ,, . , Zanjaron. D. Miguel Baldovi, en Granada; desde l.® d…</t>
  </si>
  <si>
    <t>Allende</t>
  </si>
  <si>
    <t>03/11/1834</t>
  </si>
  <si>
    <t>Gaceta de Madrid n.º 262</t>
  </si>
  <si>
    <t>…el gobierno guardat la mc)or armonía y evitar un sentido se escribió á todos los departamentos. Tanta era la insolencia y el rompimiento, ofreció á Gamarra qué cuando fuese necesario poner alguna descaro de los conjurados, que el coronel Allende, que estaba encargido del fuerza en campaña lo colocaría al frente de ella, ts te ofrecimiento fue aunu- Estado Mavor Nacional, daba ordenes á nombre del gobierno sin habérselas tido con transporte de alegría, no se sí sincero, y desde luego se empezaron siquiera consultado, y el gefe de la repúbli…</t>
  </si>
  <si>
    <t>…nemérito señor general de división D. Mariano de colera, ha publicado con este motivo una órden del día, de áa cual cita Nccochea por comandante~en gefe de las tropas que estaba11 en Lima: para remos el siguiente extracto. que el coronel Allende encargado del E. M. N. viniese á esta plaza: para que »E1 teniente general previene i la división que se han manifestado algu "niciéie lo mismo lá escolta del gobierno, y para que el coronel Zubiaga fuese nos casos de cólera en el distrito de Bauca, ocupado por un destacamento dd Separado del mando…</t>
  </si>
  <si>
    <t>09/09/1834</t>
  </si>
  <si>
    <t>Gaceta de Madrid n.º 207</t>
  </si>
  <si>
    <t>…rma útil y provechosa, nunca se experimentarán dé .lleno sus ven miento de plemencíL' . .. tajas, hasta que se reconozca generalmente que en el goce segurado las liberta La rendición de las tropas facciosas se debió al parecer al coronel Allende, da del pueblo se ha de:encontrar el mejor preservativo del órden, la! adminis antiguo edecán del general Miller, que durante algún tiempo estuvo cu. cortración de uff buen gobierno, y la autoridad de las leyes. respondcnciacon él para pasársele, y esto evitó la efusión de mucha sangre, y «Señores:…</t>
  </si>
  <si>
    <t>…te en aquella academia. {Debates.) ■portantc , porque Vathi por su situación es la ciudad de mas influjo en la isla. La escuadra otomana ha establecido el bloqueo en regla. Cruza con mu F.l duque de Frías, embajador español, y el Sr. Allende srofvierett anWcha vigilancia por delante de los principales pumos de la isla , sobre todo por ayer de Londres: el barón de Rothschild se c.1 -era mañana. la parte del Norte. Los 13 soldados, enviados hace poco de Esmirna á EscaUjNoVa , han recibido árdea de embarcarse para ir i Samos. Se hacen tod…</t>
  </si>
  <si>
    <t>Allende, D Manuel González</t>
  </si>
  <si>
    <t>D Manuel González Allende</t>
  </si>
  <si>
    <t>Gaceta de Madrid n.º 263 · suplemento</t>
  </si>
  <si>
    <t>…nfrac Se preguntó en seguida si el Estamento creía que se hubiese faltado al re ción que decían haberse cometido en la elección hecha para el reemplazo del glamento , o no; y no habiendo votado ningún Sr. Procurador por la afirma Sr. D. Manuel González Allende por la provincia de Zamora. tiva , quedó declarado que no se habia faltado. Se dió cuenta de urt oficio de la comisión nombrada para el cxámen del Ei Sr. Secretario Trueba puso en noticia del Estamento que habiendo ma proyecto de ley sobre expropiación ó enagenacion forzosa por causa de utili nifes…</t>
  </si>
  <si>
    <t>Allende, González</t>
  </si>
  <si>
    <t>González Allende</t>
  </si>
  <si>
    <t>…tir. Observo que los Sres. Procuradores que impug en la junta electoral primera, de que formó parte, resultaron nombrados el Se nan el dictámen recorren el círculo de errores que i primera vista detuvieron ñor generalsButron y el Sr. González Allende , de cuya acertada elección, por á la comisión; pero examinado detenidamente el asunto se verá con evidencia respecto á las circunstancias personales de los sugetos elegido!, nadie ha tenido qtle la elección de Zamora para ser válida no necesita indulgencia ni disimulo, que decir. Me parece, pues,…</t>
  </si>
  <si>
    <t>Allende, Manuel González</t>
  </si>
  <si>
    <t>Manuel González Allende</t>
  </si>
  <si>
    <t>…c Se preguntó en seguida si el Estamento creía que se hubiese faltado al re ción que decían haberse cometido en la elección hecha para el reemplazo del glamento , o no; y no habiendo votado ningún Sr. Procurador por la afirma Sr. D. Manuel González Allende por la provincia de Zamora. tiva , quedó declarado que no se habia faltado. Se dió cuenta de urt oficio de la comisión nombrada para el cxámen del Ei Sr. Secretario Trueba puso en noticia del Estamento que habiendo ma proyecto de ley sobre expropiación ó enagenacion forzosa por causa de utili nifes…</t>
  </si>
  <si>
    <t>14/11/1834</t>
  </si>
  <si>
    <t>Gaceta de Madrid n.º 273 · suplemento</t>
  </si>
  <si>
    <t>…c un mismo cuerpo para defender la justa causa nuestra, que no es la suya. Es ción por la provincia de Zamora: que en la segunda para reemplazar al Señor necesario no perder de vista esta consideración; nosotros no decimos que se D. Manuel González Allende, se presentó D. Fernando Gálarza, que había susciten persecuciones, que se exciten rencores, que se abran nuevas causas; de sucedido al alcalde mayor, y sido elegido por el partido , fundándose este para cimos que no pueden defender U misma causa hombres de ideas opuestas y hacerlo en que al referi…</t>
  </si>
  <si>
    <t>…se trata aquí de calificar ni el espíritu brado por su decano al Sr. Bution, y por secretario al Sr. Carrillo. de la representación ni la falta que cometen los individuos que representan. Yo Se dió cuenta de una eiposicion en que D. Manuel González Allende, entiendo que esta representación hecha por tres individuos no puede tener otro electo Procurador por Ja provincia de Zamora, hacia presente al Estamento resultado que el que se recomiende al Gobierno por el Estamento. No trata que no podia admitir el encargo de Procurador,porque sus rentas no son…</t>
  </si>
  <si>
    <t>…rdó. del Estado*, establecieron la independencia judicial, y marcaron reglas á loe También se aprobó otro dictamen en que la misma comisión expresaba tribunales para que no abusaran de su potestad. habar exam-nado fe instancia de D. Manuel González Allende, electa Procu La ubi i dad pública cuando lo exigiese con prévia indemnización, las rador por U provincia de Zamora, en fe que pedia se le exonerare de este car contribuciones, votadas por las Cortes, los perjuicios de. tercero y las pena* go por no ser sus rentas de las comprendidas en el Estatuto…</t>
  </si>
  <si>
    <t>Alluc, Antonio</t>
  </si>
  <si>
    <t>Antonio Alluc</t>
  </si>
  <si>
    <t>…al colegio de Tauromaquia de Sevilla, creadoj por Real orden de 28 de Marzo de 1830. Reales decretos. 2. ° Los productos del arbitrio de 200 rs. en cada corrida de toros que ie | He venido en jubilar al R. Patriarca de las Indias D. Antonio Alluc; verifique en las capitales de provincia y en las ciudades en que hav establecí- I liombrando para esta dignidad y para las que le están anejas á D. Manuel Fray- das maestranzas, de 160 en las demas ciudades y villas, y de 100 por cada cor- I lie, obispo de Sigüenza. Tendréólo entendido, y dispondr…</t>
  </si>
  <si>
    <t>Almagro, Imn Amonio</t>
  </si>
  <si>
    <t>Imn Amonio Almagro</t>
  </si>
  <si>
    <t>…e Corfú, que el gobierno griego había man Perez Seoane, a O. Eviris'o Paevo de Urr-esr pira la de oidor, vacante en la dado prender -30 personas mas como cómplices en la conspiración de Zavalla,' mdiencia de Sevilla por salida dé D. .Imn Amonio Almagro, 4 D. Isidoro Colocorroní y Kaliopulos. Estas prisiones se habían hecho sin dar motivo á Saenz derVeiasco, oidor cesante: y para la de alcalde del crimen de ía Real ninguna inquietud de parte del-pueblo, pues reina la mayor tranquilidad, y las audiencia de Citalufia, vacante también por salida de D…</t>
  </si>
  <si>
    <t>Almagro, Juan Antonio</t>
  </si>
  <si>
    <t>Juan Antonio Almagro</t>
  </si>
  <si>
    <t>…lzada, (el ayuntamiento de) ladas en Jos últimos tratados, se han terminado, conviniéndose Las partes con Segnrvfe. (el aicalde mayor de) tratantes en arreglarse amistosamente, y sin dar lugar á ulteriores disposiciones Sevilla. (D. Juan Antonio Almagro, ministro de la Real audiencia de) estrepitosas. (&lt;Globo.) Idem, (la sociedad económica de) ____De Odesa escriben que la escuadra rusa va inmediatamente á hacerse á U Idem, (el tribunal de comercio de) vela en virtud de las últimas órdenes recibidas de ¿&gt;. Peicrsburgo. Por muchas Siruela. (el alcal…</t>
  </si>
  <si>
    <t>13/05/1834</t>
  </si>
  <si>
    <t>Gaceta de Madrid n.º 82</t>
  </si>
  <si>
    <t>…propias familias. Estado sanitario di la villa de Puente D. Gonzalo. Existencia del día Extracto del parte remitido por el subdelegado de Fomento de la provincia Dias. anterior. , Invadidos. Total. Curados. Fallecidos. de Sevilla D. Juan Antonio Almagro, con fecha de 31 de Marzo último. Ma continuado instruyendo los expedientes formados en solicitud de ter Graves. Leves, , renos pertenecientes á propios y baldíos. í.° 14 n 3 17 2 1 Ha procurado conciliar los intereses de las diversas clases de jornaleros y criadores de ganados en cuanto al aprovec…</t>
  </si>
  <si>
    <t>Almansa, Indalecio</t>
  </si>
  <si>
    <t>Indalecio Almansa</t>
  </si>
  <si>
    <t>…uales, apenas se apoderan de ia fuerza , persiguen á los cristianos con Burgos vengo ftn nombrar por la clase de oidores á D. Eugenio toda especie de vejaciones. Asi han llegado estos á ser los defensores naturales Manuel Cuervo, D. Indalecio Almansa, D. Juan de Ortega, Don del Sultán, el cual lo mejor que puede hacer ahora es emancipar á la poblacioñ Joaquín María López de Ayqda y D. Mariano de la Bodega; por la cristiana de;la.Bosnia, como ha hecho ya en todo él resto de la Turquía, dar de alcaldes á D. francisco Sainz Pardo, D. Cipriano de l…</t>
  </si>
  <si>
    <t>Almarza, Manuel</t>
  </si>
  <si>
    <t>Manuel Almarza</t>
  </si>
  <si>
    <t>…illas; pero indagaré quienes son los mas visibles de los que han perecido. Ademas lian dejado en nuestro poder 11 pri sioneros, entre los que se cuenta el ex-teniente coronel retirado y coronel en REAL LOTERIA MODERNA. la Facción D. Manuel Almarza, mas de 3uU fusiles, municiones , cananas, 25 Noticia de los pu'blot y administraciones donde han cabido los 20 premios caballos, dos andas de montar, seis cajas de guerra, todos los equipijes, sus mayores de fos Su2 %uc comprende ei sorteo de este dia , inclusas las dos papeles de correspondencia…</t>
  </si>
  <si>
    <t>Almeida, Gregorio</t>
  </si>
  <si>
    <t>Gregorio Almeida</t>
  </si>
  <si>
    <t>…a D. José Marfa Lima; Lie. D. Francisco carse sino á ¡as que tienen relación con mi ministerio á causa de la naturaleza José de Quesada; el alcalde de la Santa hermandad D. Angel Caballero; Doét de sus trabajos. Mariano González; D. Gregorio Almeida, nosotros y varias personas mas: «O* suplico además que me hagáis saber-* !.°S¡ existen en vutótro depar y por Ja listá que tema en su poder de todos los pobres de solemnidad y ver tamento otras sociedades sábias, de cualquier género que sean; y en este caso, gonzantes que con anticipación había fo…</t>
  </si>
  <si>
    <t>Almendro, Bartolomé Felipe</t>
  </si>
  <si>
    <t>Bartolomé Felipe Almendro</t>
  </si>
  <si>
    <t>…amente de hacer sospechoso á la opinión Piedra y Urrutia, alcalde mayor de la Isla de León; a D. Hilario Graccs* al pública á un portugués, altamente apreciado en Francia y en Inglaterra por calde mayor de Sala de los Infantes; á D. Bartolomé Felipe Almendro, al sus luces y por los eficaces -servicios que ha hecho en favor de la causa de la calde mayor de Mérida; á D. Juan Nepomuccno Hidalgo, alcalde mayor de libertad de su patria. Llcrena; á D. Juan Barago» alcalde mayor de Alcántara, y a D. Eusebio Es «Cuáles son los hechos que se citan para fundar e…</t>
  </si>
  <si>
    <t>Almería, Aimería</t>
  </si>
  <si>
    <t>Aimería Almería</t>
  </si>
  <si>
    <t>Gaceta de Madrid n.º 84</t>
  </si>
  <si>
    <t>…lpueme, Ayora , Carlet, Catarroja, Chi sa de Segura, Consentaina, Denia, Elche, Gandía, Jijona, Monovar, Novel- va , Enguera, Liria , Moneada, Murviedro, San Felipe, Sueca, Valencia, Vi da , Ónteniente , Orihuela , Pego! llar del Arzobispo. Aimería. Almería, Berja, Canjayar, Gergal, Huercalovera, Purchena, . Zamora. Alcafiices , Benavente, Bermillo de Sayago, Fuente el Sauce, Sorras, Velez-rubio, Vera. Puebla de Sánabria, Toro, Zamora. Qvifdo, (ó principado de Astúrias.) Avilés, Belmonte, Cangas de Onís, Zaragoza. La Almunia, Ateca , Belchite , Borja…</t>
  </si>
  <si>
    <t>Almeyda, José Gabriel</t>
  </si>
  <si>
    <t>José Gabriel Almeyda</t>
  </si>
  <si>
    <t>18/08/1834</t>
  </si>
  <si>
    <t>Gaceta de Madrid n.º 184</t>
  </si>
  <si>
    <t>…escribano y las dos personas que conduzcan das monedas, r subido á zález Ferregur, presidente: regidores alférez Real D. Félix Quintero: fiel eje dicho tablado, romperá la voir-uno de los reyes de armas con la palabra de si cutor D. José Gabriel Almeyda, D. José María Lima, gentilhombre de Cá lencio que la repetirá por tres veces, y el otro la de vid por las mismas fres mara de S. M. con entrada» y síndico procurador general D. José María Mon- veces, y concluida ^ el señor alférez Real dirá: Castilla, Castilla, Castilla. terresi, á celebrar cabild…</t>
  </si>
  <si>
    <t>Almonací, Rafael</t>
  </si>
  <si>
    <t>Rafael Almonací</t>
  </si>
  <si>
    <t>…propósito para el cultivo, y dar luego lipe Puente: para Ja de Entrambasaguas á Di Vicente Ramón de Ca su dictámen al Rey. Deben encontrarse tierras de esta especie a la distancia de jigal ; y para la de Sigüenza, en comisión, á D. Rafael Almonací y seis leguas al Norte, Este y Oeste de Munich, en las cuales se dice que el go Mora. bierno trata de establecer colonias de labradores. Roma 12 Je Agosto. PARTE NO OFICIAL. Mr. Gouriefif, ministro de Rusia en esta capital, ha salido de ella á usar de la licencia que tenia concedida: de este modo se…</t>
  </si>
  <si>
    <t>Almonte</t>
  </si>
  <si>
    <t>Gaceta de Madrid n.º 203</t>
  </si>
  <si>
    <t>…ador, fue hecho prisionero , y en el acto pasado por las armas , después de haber recibido los auxilios espirituales. Los ropcalescs que me acompañan mos trare n en esta octsion su bizarría y decisión , como igualmente el capitán Don Almonte.......... .. 23 á 26 de Ae.. 15 13 3 Mariano Sanz. A mi llegada á este punto acababan de marchar 30 raciones La Palma......... .. 24 á 27 idem. . . 12 7 4 de todas especies, de las que he logrado apoderarme , y he devuelto al pueblo. S. Juan del Puerto. Idem idem......... 3 2 1 _ Dios guarde á V. E. muchos a…</t>
  </si>
  <si>
    <t>Almoradí, Antonio María Montenegro</t>
  </si>
  <si>
    <t>Antonio María Montenegro Almoradí</t>
  </si>
  <si>
    <t>…ulio.. . . .... 232 39 21 Sr, D, Miguel Pardo Bazan- Albatera. . .'. . 30 Junio á 2 ‘ Sr. D. José Aicalde. Julio.............. 122 9 18 Sr. D. José Valladares- Callosa de Segura. 28 á 30 Jumo# 43 28 1 Sr. p. Sebastian Cuesta. Sr. D. Antonio María Montenegro. Almoradí..,. . 2/ á 29 .ídem. 217 ¥ 2 • PROVINCIA DE TARaAnONA. Bigastro............ . 28 á 30 ídem. 12 8 2 fe, P. Alberto Valdric, marques de TorreraejU. Sr. D. Ramón de Ciscar. Dolores............ . 27 á 29 ídem. 78 19 2 Sr. P. Pedro Marti. PROVINCIA BE TERCER. Rojales........... . 30 Junio á 1.a Julio.....…</t>
  </si>
  <si>
    <t>Almoradí, D Antonio María Montenegro</t>
  </si>
  <si>
    <t>D Antonio María Montenegro Almoradí</t>
  </si>
  <si>
    <t>….a Julio.. . . .... 232 39 21 Sr, D, Miguel Pardo Bazan- Albatera. . .'. . 30 Junio á 2 ‘ Sr. D. José Aicalde. Julio.............. 122 9 18 Sr. D. José Valladares- Callosa de Segura. 28 á 30 Jumo# 43 28 1 Sr. p. Sebastian Cuesta. Sr. D. Antonio María Montenegro. Almoradí..,. . 2/ á 29 .ídem. 217 ¥ 2 • PROVINCIA DE TARaAnONA. Bigastro............ . 28 á 30 ídem. 12 8 2 fe, P. Alberto Valdric, marques de TorreraejU. Sr. D. Ramón de Ciscar. Dolores............ . 27 á 29 ídem. 78 19 2 Sr. P. Pedro Marti. PROVINCIA BE TERCER. Rojales........... . 30 Junio á 1.a Julio.....…</t>
  </si>
  <si>
    <t>Alomo</t>
  </si>
  <si>
    <t>…mar de mí. Los que sores su y os, el Rey IX Pedro en las Córtcs de Valiadolid á 28 de Noviembre me conocen , y saben la exactitud con que siempre procuro citar los hechos, de la era de 1389, insertando la confirmación de su padre D. Alomo xt; Don me haián por lo menos la justicia de dudar; pero los demas se hallan auto Henrique 11 en su provisión dada en la misma ciudad de Valiadolid á 8 de rizados para censurar con mas ó menos indulgencia, según el carácter y prin Febrero, era de I4IÓ; D. Henrique m en la suya de l.° de Jubo de 14&lt;…</t>
  </si>
  <si>
    <t>Alomo, González</t>
  </si>
  <si>
    <t>González Alomo</t>
  </si>
  <si>
    <t>Gaceta de Madrid n.º 163 · suplemento</t>
  </si>
  <si>
    <t>…á en el caso de aprobar los poderes del referido uno» compañeros tan digno* de representar i esta nación magnánima. El pri Sr. Alvanez de Sotomayor. f mer uso que debo hacer de esre honor es pedir al Estamento se voten gracias El Sr. González Alomo tomó la palabra: «No creo oportuno que volva al dícno Presidente interino, que con tinto acierto ha dirigido nuestros prime-' mos á discutir sobre la palabra bienes propios. Acaso se presentará algupa oca ros trabajo*." sión en que se discuta con mas amplitud, y se desenvuelvan las ideas que ya se…</t>
  </si>
  <si>
    <t>Alomo, Josef</t>
  </si>
  <si>
    <t>Josef Alomo</t>
  </si>
  <si>
    <t>…l mano.rrEn Palacio i 7 de Febrero de ití34-=Al Presidente del (Continuación del conreo anterior.} Consejo y Cámara de Castilla. AUSTRIA. Vejígo en nombrar para plaza supernumeraria de la audiencia de Madrid á I esa 16 tic Enero. D. Josef Alomo, oidor cesante. Tcndríse entendido en la Cámara para su cutre- Todos los plenipotenciarios de los Estados alemanes han llegado y* á esta | plimiento.=Está rubricado de U Real/nano^=En Palacio á 9 de Febrero de capital. F.I día 13 de este mes se reunió á las tres de la tarde el congreso mi 1834 =A1…</t>
  </si>
  <si>
    <t>Alómo, Julian</t>
  </si>
  <si>
    <t>Julian Alómo</t>
  </si>
  <si>
    <t>…Junio i las nueve los oficiala con arregló á los estatutos de la Aragonesa ty habiendo sido ele de su mañana en la sala que celebra las suyas el banco español de S. Fernando* Lo gido presidente el M. R. obispo de aquella diócesis D. Julian Alómo. ' que se itace sáber á dichos acreedores para que concurran por sí 6 por representante» de que se crean asistidos, en inteligencia á deducir nó ve que de el derecho Siguen instruyéndose loa expedienta relativos á establecimientos piadosos ry legítimos i ; ' juicio. rificarlo les parará per cárceles…</t>
  </si>
  <si>
    <t>Alon</t>
  </si>
  <si>
    <t>…te pasaporte, emprendieron su marcha aceleradamente no al coronel comandante de Mondoñedo D. Ramón Pardiña, para el pueblo de Sobradillo, desde donde-después de un pequeño que con la sección ligera mandada por el teniente coronel D. Alon- descanso, sacaron guias para el pueblo de Frejeneda, con ánimo sin jo'Villaron pasase á apoderarse del referido depósito. Esta opera duda de ocultar su dirección; pues á cosa de medía legua hicieron ción fue protegida como era debido, y tuvo el efecto que era de un movimiento retrógrado dirigiéndos…</t>
  </si>
  <si>
    <t>Alon, D</t>
  </si>
  <si>
    <t>D Alon</t>
  </si>
  <si>
    <t>…spondiente pasaporte, emprendieron su marcha aceleradamente no al coronel comandante de Mondoñedo D. Ramón Pardiña, para el pueblo de Sobradillo, desde donde-después de un pequeño que con la sección ligera mandada por el teniente coronel D. Alon- descanso, sacaron guias para el pueblo de Frejeneda, con ánimo sin jo'Villaron pasase á apoderarse del referido depósito. Esta opera duda de ocultar su dirección; pues á cosa de medía legua hicieron ción fue protegida como era debido, y tuvo el efecto que era de un movimiento retrógrado dirigiéndos…</t>
  </si>
  <si>
    <t>Alon, Joaqirfn</t>
  </si>
  <si>
    <t>Joaqirfn Alon</t>
  </si>
  <si>
    <t>…nada tenia que rezelar. Yo que Fernando Coroner; de los alféreces de la misma D. Rafael de Castro, P. Ma venia á retaguardia observando los movimientos del enemigo no creí conve nuel labro, P. Juan Cíñate», D. Jo&gt;e Ramón Mackena, D. Joaqirfn Alon niente abandonar aquel punto en tales circunstancias, y mandé ai general Mos so, D. Francisco de Paula Encobar, D. Antonio Moraüues, D. Anselmo Blastoso, de U plana mayor, que pasase' á vanguardia y eligiese la primera ser, D. Antonio Bciuii y D. Manuel Pavía, avadante de órdenes del barón &lt;ft posi…</t>
  </si>
  <si>
    <t>Alongé', Polo y</t>
  </si>
  <si>
    <t>Polo y Alongé'</t>
  </si>
  <si>
    <t>…tanto dd proyecto del Gobierno, como que puede lo mas puéde lo menos , mejor podrá la Reina en el día , ó ei Go del dictámen de la comisión, dijp bierno mismo, dar tina ley, que sin mezclarse en nada con este decreto, dé cier El Sr. Polo y Alongé'■ «La vanacion que se observa en él artículo pro tos derechos á los compradores que han sido despojados, y que aun no están to puesto por Ía-comisíon está reducida al segundo párrafo, y á lo siguiente. En talmente reintegrados, porque se trata de efectos pendientes de aquella ley. Por el proyecto de ley.…</t>
  </si>
  <si>
    <t>Alongé, Polo y</t>
  </si>
  <si>
    <t>Polo y Alongé</t>
  </si>
  <si>
    <t>…tas podrán recaer en cualquiera de los inscritos en la Milicia Se leyeron el art. 13 del proyecto del Gobierno y el del dictamen de la urbana, siempre que reúnan las calidades siguientes: comisión. w* 1.a Ser mayor de 25 años. El Sr. Polo y Alongé : «Después de haberse Leído el art. 13 dei provee-* 2.4 Contribuir con una cuota doble de la señalada para ser urbano, ó ha to de&gt; ley correspondiente al de la comisión, y sentaib por base el br. Secreta ber servido en el ejército, marina ó milicias provinciales, y hallarse retirado rio de lo Inter…</t>
  </si>
  <si>
    <t>…o y el de la comisión; otro sorteo que ocurriese, si las circunstancias fueran tale- que lo exigiesen.” y tomando la palabra como individuo de esta , dijo El Sr. Secretario del Despacho de lo Interior'. "Me parece que si el se El Sr. Polo y Alongé: «Tres son las variaciones que ha propuesto la co ñor preopinante hiciere una adición sobre el punto que ha indicado, podria misión á este artículo. La una creo que no admite discusión, por cuanto ya es pasarse á la comisión.” tá adoptada por el Sr. Secretario de lo Interior en otro artículo, y es…</t>
  </si>
  <si>
    <t>Alonso</t>
  </si>
  <si>
    <t>…no existían sucesión de las hembras. códigos españoles; porque el primer cuerpo legal que hubo en España después «En virtud de este derecho sucede Doña Isabel ai trono; se reconoce ésa de la restauración, fue un bosquejo que hizo D. Alonso el Sabio, como el que bija primogénita á falta de varón; reconocimiento que no tuvo efecto pof’isfc* suele hacer un pintor al trazar un magnífico cuadro; y en este bosquejo ya se ber nacido el Infante D. Juan; muere «te malogrado Príncipe» y vuelve-Doña ven llamadas á suceder las hembras, no por im…</t>
  </si>
  <si>
    <t>…período que los ingleses dose en la conveniencia pública, en lo mal que habia gobernado el reino. llaman su glorieta rtvoltuion, expulsó la naciop del trono á toda la familia «Del mismo modo los Infantes de la Cerda en tiempo de D. Alonso el de Jacobo 11, y sentó en ella al príncipe de Orange. Desde entonces comen Sabio, quedaron excluidos en su totalidad de la sucesión del reino. Asi se de zó en ella la gran prosperidad, la ilustración que todos admiramos en esa claró en una junta que se celebró en Toledo, y en donde llevó la palab…</t>
  </si>
  <si>
    <t>…tes obligaciones de su carrera política no le enterrada en la parroquia de Miedes, pueblo cercano á Calatayud, la Infanta apartaron nunca, ni del cultivo de las letras, ni de las investigaciones eruditas Doña Leonor, hija dél Rey D. Alonso el Sabio. En el mismo tomo se halla 4 que era tan aficionado. El público ha visto ya con sumo aprecio sus obras explicada una inscripción que se encontró en Bolívar, y es el epitafio de un obis impresas, como son, ademas de las ya mencionadas, un Ensayo de .traduc po llamado Alvaro, desconocido has…</t>
  </si>
  <si>
    <t>08/05/1834</t>
  </si>
  <si>
    <t>Gaceta de Madrid n.º 77</t>
  </si>
  <si>
    <t>…casa contigua ¿ la aguja, que duró hasta tarde* niente de caballería D- Martin Ramírez con sus 27 caballos, y orden de cor tar al enemigo la retirada hacia la G-mebrosa, echándole hacia aru izquierda, en donde estaba* el teniente coronel Alonso y corre el rio Guadalupe bastante crecido. Puesto á la cabeza de los ”0 hombres ycspntcs, y habiendo dado tiem Al amanecer, el estruendoso mido de 21 cañonazos volvió á llamar estos po para que las alas tomasen sus respectivas posiciones, marche por la anta habitantes i las diversiones y al placer: s…</t>
  </si>
  <si>
    <t>Gaceta de Madrid n.º 175</t>
  </si>
  <si>
    <t>…principales de la ciudad por ¡resultado á su debido tiempo. concesión de la Reina de Aragón doña María, como Gobernadora y lugar te* La comisión dé hacendados que nombré para que con presencia de las le niente de su marido el Sr. D. Alonso v, fecha en Barcelona e! 27 de Agosto yes y costumbre del país me propusiese las medidas que deban dictarse para qué de 1453; sus rentas según lo cobrado en 1832, ascienden á 31,786 rs. 22 se guarde á la propiedad el debido respeto, ha presentado ya sus trabajos qué mrs. de vellón , procedentes de…</t>
  </si>
  <si>
    <t>13/06/1834</t>
  </si>
  <si>
    <t>Gaceta de Madrid n.º 116</t>
  </si>
  <si>
    <t>…- I&gt;.,t. D. Vicente Salbey, D. Manuel BJazquez , D. Fernando Herrera , Uommgo Lcoral la Nueva. Se han señalado para el sulo y único rema te L-1 di a 1.1 del pró paris, Juan Sala, Doña'Marra Josefa Moreno, y i los hijos menores de D. Alonso ximo níés de Julio' í 1 as drice dé su mañana en los estrados dé la Ordenación de dieha T(irres, y ¿n el caso que alguno de estos haya fallecido*á sus respectivos herederos y Cipirama general, enicuye secretaria está de manifiesto el pliejo.de condiciones.; sucesores, para que-dentro del preciso, ú…</t>
  </si>
  <si>
    <t>…estandartes Reales de sello y pendón y la bandera Real. Rompió la marcha varón hi non oviese, la fija mayor heredase el reino----El E. 'ice radar Rey precedida de un piquete de infantería y caballería con toda la comitiva de cos D. Alonso el x publica la ley fundamental de la corona, llamando la kem- \ tumbre, y C£K¿ndola cuerpos de infantería v caballería de esta guarnición, bra á falta de varón. ; hasta llegar ¿ la plaza Real, donde alzando el pendón al alférez mayor, dijo El 2.° trasparente figuraba la ciudad de Granada y sus j:e…</t>
  </si>
  <si>
    <t>…añadiré que la santa hermandad es como las tiras en los tribunales. En el día. Después de la batalla de las Navas en Sierra Morena, que fue dada por no hay tale* tiras en lo^ procesos, pero se cobran sus derechos. Lo mismo su el Rey Alonso vm de Castilla ix de León, y D. Sancho m de Navarra, se cede con la santa hermandad: no persigue á los malhechores, peto cobra. Los creyó que llegarían á cesar las calamidades que afligían al país; pero no sucedió derechos; y no solo el de asadura, sino otro que se paga en Toledo al entrar así, pue…</t>
  </si>
  <si>
    <t>…n 18 millones de El Pretendiente ha pasado á Vizcaya por el Elorrio con toda su gente, reales, es de aprovechamiento de dichas tres villas, trayendo su origen dé la ceperseguido por las tropas. (Boletín de Alava.) sión que el Rey D. Alonso el Sábio hizo á su hija Doña Beatriz, Reina de Portugal, de las villas de Moron, Serpa y Dora; y como esta última era en tonces aldea de Aroche, quedó en contienda entre las villas, habiendo adqui Madrid 16 de Agosto. rido después derecho á su disfrute la de Encinasola. Las desgracias que siempre h…</t>
  </si>
  <si>
    <t>…ladase á Lóndres el director actual, para que examinándolo todo, y adoptando Olvidada casi totalmente la astronomía en Espafia desde el tiempo del cuanto juzgase oportuno y conveniente del observatorio de Greenwich, no ca Sr- Rey D. Alonso el Sabio, y deseoso de su restauración el inmortal Don reciese el nuestro de aquellos requisitos que dan á aquel tanta preferencia entre Jorge Juan, propuso y obtuvo del Rey la creación de este observatorio, que los mas célebres de Europa. Aprovechóse esta favorable coyuntura para la ad en el año.d…</t>
  </si>
  <si>
    <t>18/05/1834</t>
  </si>
  <si>
    <t>Gaceta de Madrid n.º 87</t>
  </si>
  <si>
    <t>…villa D Manuel Amor».o homes buenos , i quienes ¿espites se llamó procuradores, &lt;fcda tiempos muy Fraile, 14 Urbanos de la misma, y 2b del lugar de Hornillos: los raiientes v anteriores á la redacción de las Partid^: pues el Rey D. Alonso el Sabio no denodados carabineros en número de 50 á 6&lt;J hombres han manifestado un hizo en ellas mas que poner por escrito lo que ya estaba en uso. valor sin igual, pidiendo 1.1 cargi á la bayoneta a ‘•u comandante, qu-en .u Si la libertad es antigua, como dice madama Stacl, en ningpna parte lo fre…</t>
  </si>
  <si>
    <t>…una sucesión gratuita^ y El Sr. Presidente: «Si hubiera venido directamente al -Estamento una me contraigo al origen de esta exacción. ■, petición hecha por un particular, roe; hubiera en todo arreglado al reglamento; «El Sr. Rcy D. Alonso el Empéradot donó á la órden de 5. 'Juan la v¡- peto este puéblo no hoce peticion, sino que da razones en apoyo de ia que se Ua de Consuegra con mctstillo.Sime hubiera acordado, hubiera traído él discute, file parece que hay dos puntos que eóosiderair aqiti: 1.® ii estasrazones ¿ libro de sui prrvi…</t>
  </si>
  <si>
    <t>Alonso, Antonio</t>
  </si>
  <si>
    <t>Antonio Alonso</t>
  </si>
  <si>
    <t>…, en nombre de su au regidor.^josef Luis de Bidaurreta, regidor.—Dionisio Echagoe-zrJuan Ignacio gusta Hija la Reina Doña Isabel ii , que üna comisión, compuesta de Don de Urruzola , síndico procurador general.=Lorenzo de Alzate, secretario. Antonio Alonso, director general de Rentas, de.D. Agustín Rodríguez, di rector interino de las mismas, y de D. Antonio María de Scijas, vocal de la Señora: Cuando V. M. principió á difundir los vivificantes rayos de su be junta de Aranceles, examine el estado actual de esta renta y los medios que neficencia sobre…</t>
  </si>
  <si>
    <t>…la de _la_lglesi» deTrtanda , no duraría un mes. Tam Un sugeto de la~ caliere Segó vi a.... ■... .tt .7................. 4® poco convendríadisolverParlamento, porque de esta solución no resulta Sres. directores generala de rentas D. Antonio Alonso, D. José ría mas ventaja á los torys que el aumento de 20 ó 25 votos, cosa que para Aranalde., D. Agustín Rodríguez y D. Domingo Torra................ .. 2000 nada les sirve ” D. Joaquín Garay Arrave , por ahora.............................................. 100 VXANCIA. D. José Ventura de Aguirre S…</t>
  </si>
  <si>
    <t>Alonso, Claudio</t>
  </si>
  <si>
    <t>Claudio Alonso</t>
  </si>
  <si>
    <t>…los ascensos de escala y nombrar ha dignado acceder á que en la villa de S. Ccbrian de Castro se celebre un mer para la resulta de oficial 3-° 2.° á D. Jacinto de Salas iy Quiroga. cado los miércoles de cada semana. Por muerte de D. Claudio Alonso, oficial 3-° l.° del gobierno civil de Asimismo, y conforme con el dictamen del gobernador civil de Gerona, Guadalajara, ha sido promovido á este destino el oficial 3.° 2.° del de Ponte se ha servido S. M. conceder un mercado los lunes de cada semana á S. Feliu vedra D. José María Bremon , y para l…</t>
  </si>
  <si>
    <t>Alonso, D</t>
  </si>
  <si>
    <t>D Alonso</t>
  </si>
  <si>
    <t>…rtantes obligaciones de su carrera política no le enterrada en la parroquia de Miedes, pueblo cercano á Calatayud, la Infanta apartaron nunca, ni del cultivo de las letras, ni de las investigaciones eruditas Doña Leonor, hija dél Rey D. Alonso el Sabio. En el mismo tomo se halla 4 que era tan aficionado. El público ha visto ya con sumo aprecio sus obras explicada una inscripción que se encontró en Bolívar, y es el epitafio de un obis impresas, como son, ademas de las ya mencionadas, un Ensayo de .traduc po llamado Alvaro, desconocido has…</t>
  </si>
  <si>
    <t>…res principales de la ciudad por ¡resultado á su debido tiempo. concesión de la Reina de Aragón doña María, como Gobernadora y lugar te* La comisión dé hacendados que nombré para que con presencia de las le niente de su marido el Sr. D. Alonso v, fecha en Barcelona e! 27 de Agosto yes y costumbre del país me propusiese las medidas que deban dictarse para qué de 1453; sus rentas según lo cobrado en 1832, ascienden á 31,786 rs. 22 se guarde á la propiedad el debido respeto, ha presentado ya sus trabajos qué mrs. de vellón , procedentes de…</t>
  </si>
  <si>
    <t>…do en 18 millones de El Pretendiente ha pasado á Vizcaya por el Elorrio con toda su gente, reales, es de aprovechamiento de dichas tres villas, trayendo su origen dé la ceperseguido por las tropas. (Boletín de Alava.) sión que el Rey D. Alonso el Sábio hizo á su hija Doña Beatriz, Reina de Portugal, de las villas de Moron, Serpa y Dora; y como esta última era en tonces aldea de Aroche, quedó en contienda entre las villas, habiendo adqui Madrid 16 de Agosto. rido después derecho á su disfrute la de Encinasola. Las desgracias que siempre h…</t>
  </si>
  <si>
    <t>…no. ladase á Lóndres el director actual, para que examinándolo todo, y adoptando Olvidada casi totalmente la astronomía en Espafia desde el tiempo del cuanto juzgase oportuno y conveniente del observatorio de Greenwich, no ca Sr- Rey D. Alonso el Sabio, y deseoso de su restauración el inmortal Don reciese el nuestro de aquellos requisitos que dan á aquel tanta preferencia entre Jorge Juan, propuso y obtuvo del Rey la creación de este observatorio, que los mas célebres de Europa. Aprovechóse esta favorable coyuntura para la ad en el año.d…</t>
  </si>
  <si>
    <t>…csti villa D Manuel Amor».o homes buenos , i quienes ¿espites se llamó procuradores, &lt;fcda tiempos muy Fraile, 14 Urbanos de la misma, y 2b del lugar de Hornillos: los raiientes v anteriores á la redacción de las Partid^: pues el Rey D. Alonso el Sabio no denodados carabineros en número de 50 á 6&lt;J hombres han manifestado un hizo en ellas mas que poner por escrito lo que ya estaba en uso. valor sin igual, pidiendo 1.1 cargi á la bayoneta a ‘•u comandante, qu-en .u Si la libertad es antigua, como dice madama Stacl, en ningpna parte lo fre…</t>
  </si>
  <si>
    <t>Alonso, D Antonio</t>
  </si>
  <si>
    <t>D Antonio Alonso</t>
  </si>
  <si>
    <t>…renacimiento de concordia: floree»**'' inteligencia , y efectos consiguientes. Dios guarde á V. muchos años. Aladríd 2 miento de ciencias y artes necesarias á una bien dirigida sociedad: plantificación I de Enero de l834«=Búrgosc=Sr. D. Antonio Alonso. de leyes y planes útiles al Estado; y un incesante maternal desvelo por la pros peridad de sus vasallos: tales eran las predicciones que la España y la Europa MINISTERIO DEL FOMENTO GENERAL DEL REINO. entera preconizaban , poseídas de una profunda admiración. Tuvieron por fin Exorno* Sr.: El ayuntamie…</t>
  </si>
  <si>
    <t>Alonso, D Diego González</t>
  </si>
  <si>
    <t>D Diego González Alonso</t>
  </si>
  <si>
    <t>…xtraordinarias , y ba provincia di -/rrrrTT ria ver á toda la Europa que estaba sostenido por el pueblo, y no por una fac Sr. D. Rufino García Carrasco. ción militar. Por último, exigia el generalísimo que todas las brigadas, sin Sr. D. Diego González Alonso. .excepción alguna, fuesen mandadas por un oficial francés. Sr. D. Agustín García Atocha. Todos estos dictámenes fueron desechados por EL Miguel y por sus amigos y consejeros , Tos cuales reducían sus raciocinios al siguiente silogismo: Bourmont PROVINCIA DB CASTBICON SB AA |U|A, tomó á Argel: el qu…</t>
  </si>
  <si>
    <t>Alonso, D Tomas</t>
  </si>
  <si>
    <t>D Tomas Alonso</t>
  </si>
  <si>
    <t>…nte, y pronto fue seguido del otro. tivas voces ae mando. ' Destaqué inmediatamente la mitad de U infantería por mi izquierda, á les Se continuó la carrera por todo el pueblo en medio de la alegría universal, órdenes del teniente coronel D. Tomas Alonso, capitán del referido regimien concurso innumerable , y estruendo de los tiros, que por todas partes se oían; to de mi mando, á ocupar el barranco y cerros por donde habían de intentar concluyéndose á. las oraciones, á cuyo tiempo principiaron los fuegos artificia su retirada; por mi derecha destaq…</t>
  </si>
  <si>
    <t>Alonso, D Tomás</t>
  </si>
  <si>
    <t>D Tomás Alonso</t>
  </si>
  <si>
    <t>…,049............ .... 500.......................... ............ Madrid. pañía de granaderos y algunos fusileros, la mandaba el capitán con grado de 1,526............ .... 500.......................... ......... .. Idem. teniente coronel D. Tomás Alonso, y el que tenia á sus órdenes á los subte nientes D. Salvador Vital, propuesto ya para teniente y ejerciendo funciones de tal, y D. Joaquín Moscoso. En la sección que quedó conmigo en el centro, compuesta de mis cazadores y algunos fusileros, venían el capitán D. Mateo bolsa de hoy á las tres de la…</t>
  </si>
  <si>
    <t>Alonso, Diego Gómez</t>
  </si>
  <si>
    <t>Diego Gómez Alonso</t>
  </si>
  <si>
    <t>…da , por Ciudad Real. ■. &gt; basta que haya ,50 para deliberar y que sean válidas las resoluciones; pero creo D. Manuel Gutiérrez de Caviedes, por la Coruña.que no puede menos de tomarse este punto en consideración, porque la ausen D. Diego Gómez Alonso, por Cáceres. cia de tantos Sres. Procuradores ofrece dos inconvenientes: el uno, verse pri D. Gregorio García , por Guadalajara.mado el Estamento de las luces que forzosamente acumularía su presencia, y el D. José María de Monreal, por Navarra. otro que las provincias no tienen completa la represe…</t>
  </si>
  <si>
    <t>Alonso, Diego González</t>
  </si>
  <si>
    <t>Diego González Alonso</t>
  </si>
  <si>
    <t>…ordinarias , y ba provincia di -/rrrrTT ria ver á toda la Europa que estaba sostenido por el pueblo, y no por una fac Sr. D. Rufino García Carrasco. ción militar. Por último, exigia el generalísimo que todas las brigadas, sin Sr. D. Diego González Alonso. .excepción alguna, fuesen mandadas por un oficial francés. Sr. D. Agustín García Atocha. Todos estos dictámenes fueron desechados por EL Miguel y por sus amigos y consejeros , Tos cuales reducían sus raciocinios al siguiente silogismo: Bourmont PROVINCIA DB CASTBICON SB AA |U|A, tomó á Argel: el qu…</t>
  </si>
  <si>
    <t>…aide, 4 D. Manuel' Alvarado y 4 D. Leo E&lt; arzobispo de Cantorbery habla con energía contra la adopción del bilí. £1 lord canciller ¿pova la segunda lectura del bilí, diciendo.que po tienenardo Gil de la Cue6ta; y para- fiscales á D. Diego González Alonso, necesidad de recordar su objeto k pues o bastante conocido. Cree que si se adop de lo civil, y i D. José Gamarra y.Cambronera, de lo criminal, Y ta esta med dt las universidades quizá no la cumplirán con \* buena' voluntad» es mi voluntad que todos los ministros ocupen el lugar que les cor que ser…</t>
  </si>
  <si>
    <t>Alonso, Francisco</t>
  </si>
  <si>
    <t>Francisco Alonso</t>
  </si>
  <si>
    <t>06/06/1834</t>
  </si>
  <si>
    <t>Gaceta de Madrid n.º 108</t>
  </si>
  <si>
    <t>…Sr.czAgustin Nogueras.^ niente D. Ramón de Rosas, de la compañij de Laredo, el subteniente Dt. Jo ¿uno. Sr. capitán general de este ejército. sé Ignacio de la Puente, comandante de ios taz.idores de ia Princesa, el de igual clase D. Francisco Alonso, el comandante de .os cazadores de Salaman El comandante general de las provincias Vascongadas dice, con fecha de ca, se comportaron con heroicidad, singularizándose en jig^n modo Canipi.lo, Si del pasado, que deseando exterminar las partidas de facciosos que con el Puente y Alonso. El teniente D.…</t>
  </si>
  <si>
    <t>Alonso, González</t>
  </si>
  <si>
    <t>González Alonso</t>
  </si>
  <si>
    <t>…oridad para pro todos los datos que tiene el Gobierno, por los capitanes generales que con tanta mover la felicidad común.” lealtad y denuedo están sosteniendo la legítima causa , por las autoridades de Se preguntó á petición del Sr. González Alonso que los períodos des Jas provincias, y por el poder judicial, sabe que se está conspirando contra un aprobados volviesen á la comisión, y leyéndose el.articulo 78 nofué admitida, régimen templado y legal, y que muchos de los enemigos, cubriéndose con una quedándose en que no volviesen á la comisión…</t>
  </si>
  <si>
    <t>…toridad para pro todos los datos que tiene el Gobierno, por los capitanes generales que con tanta mover la felicidad común.” lealtad y denuedo están sosteniendo la legítima causa , por Us autoridades de Se preguntó á petición del Sr. González Alonso que los períodos des las provincias, y por el poder judicial , sabe que se está conspirando contra un aprobados volviesen á la comisión, y leyéndose el artículo 78 no fué admitida* régimen templado y legal, y que muchos de los enemigos, cubriéndose con una quedándose en que no volviesen á la comisi…</t>
  </si>
  <si>
    <t>…lo á los documentos que ha presentado y acompañan al expe las juntas preparatorias hasta después de constituido el Estamento. Pero es pre diente/” ciso tener presente que esto» trám tes solo se entienden de ios presuntos Procu El Sr. González Alonso: «Pido que se suspenda la resolución de este radores que se hallan presentes , y de ningún modo de los que están ausentes. dictámen hasta que se resuelva el del Sr. Alvarez So toma y or, por la analogía A los presentes se les permite deliberar y discutir sobre los poderes, y aun que tienen entre sí…</t>
  </si>
  <si>
    <t>…cen para siempre las leyes fundamentales y ia prosperidad de la bajos del mismo. nación , manifestados en la contestación al discurso del trono. El Excmo Sr. Secretario de Ja Guerra continuó diciendo que no dudaba A propuesta del Sr. González Alonso se acordó que el Estamento que que ambos Sres. Próceres citados tendrían grande satisfacción al saber que es daba enterado con satisfacción y gratitud. taba vencida la dificultad que les había hecho suspender su presentación , y Se dió cuenta del dictámen de la comisión de poderes en que manifes qu…</t>
  </si>
  <si>
    <t>…e juzga los negocios relativos á ella misma y á los súbditos del mino presenten los documentos justificativos que la ley señala. Rey, pues sus privilegios están identificados con los de la nación, para que . Sobre los poderes del Sr. González Alonso fue de dictámen la Comisión en vuestra causa se templase la justicia con la misericordia. que no se aprobasen; y esto dió lugar á que el interesado tomase la palabra «Esta Cámara ha oído vuestras súplicas, mandado que os presentaseis á la para manifestar que poseía la renta propia necesaria para se…</t>
  </si>
  <si>
    <t>Gaceta de Madrid n.º 192 · suplemento</t>
  </si>
  <si>
    <t>…ento, nos ceñimos únicamente á decir sí conviene Sr. conde de Adanero, y para secretario al Sr. La Torre. ó no. Si las comisiones apoyasen la petición, seria una especie de prevención qué Se dió cuenta de una exposición en que el Sr. González Alonso, Procura se.quería hacer al Estamento, y en mi concepto una injuria. Ademas, si una dor por' la provincia de Cáceres, después de hacer presente que no eta posible comisión apoyase una petición , los individuos de ella no podrían menos de probar su aptitud legal, solicitaba que en consecuencia se le…</t>
  </si>
  <si>
    <t>…como verdaderamente propierario, y me conformo con el dictamen de la co También quedó enterado de -un oficio del Sr. Secretario de lo Interior, misión. en que acompañaba la planta dada á la Secretaría y dependencias del mismo El Sr. González Alonso hizo leet el art. 36 de la Real Convocatoria y Estamento. deshizo una ligera equivocación, con lo cual se dió -el asunto por suficiente— Se mandó pasar i la comisión de Poderes un oficio del Gohíerno , acom mente discutido y se aprobó el dictamen de la comisión. pañando la. exposición hecha por D J…</t>
  </si>
  <si>
    <t>Alonso, José</t>
  </si>
  <si>
    <t>José Alonso</t>
  </si>
  <si>
    <t>…ión de ministros de la Real audiencia de Madrid, he venido en nombrar á D. Joaquín de la Escalera; á Don Gerónimo Manuel Caballero; á D. Ramón Vicente; á D. Fermín PARTE NO OFICIAL. Gil de Linares; á D. Juan Modesto de la Mota; á D. José Alonso; á D. Fra neisco Verea y Cornejo; á D. Francisco Crespo y Rascón y NOTICIAS EXTR AXGERAS. á I). Miguel Moreno, que lo son de la misma; á D. José Francisco ValtléS y Posada, oidor decano déla audiencia de Asturias; á Don Francisco García Chave*, oidor de la de Sevilla; á D. Jaime Perera INGLATERRA.…</t>
  </si>
  <si>
    <t>20/03/1834</t>
  </si>
  <si>
    <t>Gaceta de Madrid n.º 35</t>
  </si>
  <si>
    <t>…iliado completamente y desplegado un gran zelo y ses, también improrogablc. decisión por la causa de S. M.; y que su compañero ci comisionado regio de Art. 3.° Pasados dichos términos sin h^ber cumplido los ayuntamientos! Vizcaya D. José Alonso estuvo á su lado constantemente. con lo prevenido en los artículos ameriq^P&gt; adoptaré contra ellos las provi S. M., que espera ansiosa las noticias de (os que se hayan distinguido en dencias correspondientes. aquel glorioso suceso, se ¿a dignado mandar se envíen desde luego, como se ha Art- 4.0 bi…</t>
  </si>
  <si>
    <t>24/11/1834</t>
  </si>
  <si>
    <t>Gaceta de Madrid n.º 283</t>
  </si>
  <si>
    <t>…os de las escribanías enagenadas, que no deben continuar como de drid; á D. Antonio Uhac, de la de Galicia; á D. Aliguel Antonio dominio privado por mas tiempo que el necesario para hacer efec Zumalacarregui, de la de Burgos; y á D. José Alonso, ministro de tivas las indemnizaciones, atendida la naturaleza e importancia de la de Madrid y comisario regio de Vizcaya. Tendréislo entendido, y estos oficios. Tendréislo entendido, y lo comunicareis á quien cor- lo comunicareis á quien corres ponda. = Está rubricado de la Real responda.=Está rub…</t>
  </si>
  <si>
    <t>Alonso, Juan</t>
  </si>
  <si>
    <t>Juan Alonso</t>
  </si>
  <si>
    <t>…cho horas de fuego, en que el pañías de cazadores del Príncipe, mandadas por sus dignos capitanes O. Vicen enemigo se convenció de que no le era posible apoderarse del pueblo, saquear te Riva y D- Pedro Gisver; la de Almansa, por D. Juan Alonso, y la de le é incendiarle (para cuyo fin trajo 14 carros de paja), se puso en fuga, reti Gerona, por. D» Francisco Osct; y todas bajo las órdenes del brigadier D. Mar rándose con precipitación por los montes de Anguba y Zúrraga, con dirección nuel de Betfedicto. 'El batallón de Gerona fue colocado…</t>
  </si>
  <si>
    <t>Alonso, Manuel</t>
  </si>
  <si>
    <t>Manuel Alonso</t>
  </si>
  <si>
    <t>…e rhiMatájaa'palla a I). Ildefonso' jUerena. tefeiela fuere eclesiástico^ se le ocuparán rnTU ■ beneficiado de Quintana;"JJ. Martin Domínguez, beneficiado de Vi-- tiempo Úue-durare la reclusión en-un conVeiñov» m iajuaite liatói; D. Manuel Alonso, capellán de Salinas de Aña na; D. Isido dos años repasará de seis. 4* Eos qué á sabienda* j1 [ópn*. • ro Azcué, capellán salmista de la colegial de Valpuesta; D. Fraocis- taren láfcásaén qué vivan, a otro edífiéío qué tuv , Cándido Marín, capellán de Fresneda de la Sierra; y D. Melchor sicion, bie…</t>
  </si>
  <si>
    <t>Alonso, Rcy D</t>
  </si>
  <si>
    <t>Rcy D Alonso</t>
  </si>
  <si>
    <t>…ar ; es una sucesión gratuita^ y El Sr. Presidente: «Si hubiera venido directamente al -Estamento una me contraigo al origen de esta exacción. ■, petición hecha por un particular, roe; hubiera en todo arreglado al reglamento; «El Sr. Rcy D. Alonso el Empéradot donó á la órden de 5. 'Juan la v¡- peto este puéblo no hoce peticion, sino que da razones en apoyo de ia que se Ua de Consuegra con mctstillo.Sime hubiera acordado, hubiera traído él discute, file parece que hay dos puntos que eóosiderair aqiti: 1.® ii estasrazones ¿ libro de sui prrvi…</t>
  </si>
  <si>
    <t>Alonso, Tomas</t>
  </si>
  <si>
    <t>Tomas Alonso</t>
  </si>
  <si>
    <t>…ronto fue seguido del otro. tivas voces ae mando. ' Destaqué inmediatamente la mitad de U infantería por mi izquierda, á les Se continuó la carrera por todo el pueblo en medio de la alegría universal, órdenes del teniente coronel D. Tomas Alonso, capitán del referido regimien concurso innumerable , y estruendo de los tiros, que por todas partes se oían; to de mi mando, á ocupar el barranco y cerros por donde habían de intentar concluyéndose á. las oraciones, á cuyo tiempo principiaron los fuegos artificia su retirada; por mi derecha destaq…</t>
  </si>
  <si>
    <t>Alonso, Tomás</t>
  </si>
  <si>
    <t>Tomás Alonso</t>
  </si>
  <si>
    <t>…........ .... 500.......................... ............ Madrid. pañía de granaderos y algunos fusileros, la mandaba el capitán con grado de 1,526............ .... 500.......................... ......... .. Idem. teniente coronel D. Tomás Alonso, y el que tenia á sus órdenes á los subte nientes D. Salvador Vital, propuesto ya para teniente y ejerciendo funciones de tal, y D. Joaquín Moscoso. En la sección que quedó conmigo en el centro, compuesta de mis cazadores y algunos fusileros, venían el capitán D. Mateo bolsa de hoy á las tres de la…</t>
  </si>
  <si>
    <t>Alor, ViUanueva y</t>
  </si>
  <si>
    <t>ViUanueva y Alor</t>
  </si>
  <si>
    <t>…edida que se los' El Sr. sondeóle las Navas-., «Yo tio\be acriminado.á la cpmisión por pase la contaduría general. ' ».; £ ¡ *•: que en el dictamen actual no haya Usado el Ih»w^ rigor.-que otras veces, lis i Se leyó un oficio del Sr. ViUanueva y Alor , Trocu rador por la provin dicho que los poderes se han, presentado, confundiendo esto con las pruebas da cia de Badajoz, mánifestánde» al Estamento que aunque se hallaba ausenté, no- calidad; peyó ahora se trata dejas pruebas de la propiedad de la renta, y aquí , queria dejar de tener parte en la…</t>
  </si>
  <si>
    <t>Alpalne</t>
  </si>
  <si>
    <t>03/10/1834</t>
  </si>
  <si>
    <t>Gaceta de Madrid n.º 231</t>
  </si>
  <si>
    <t>…x'quo en él valle dé Lorenzana se hallaba la salud pública en el mismo estado, que .. bdbia manifestado ca cl último parte. , ." * •• • Aparece delparte queen 413; del mes próximopasado da «gobernador civil, que ep AJbalaté del i Arzobispo, Alpalne , Hijar, Lledó y Mazalccm no '7;f'-ví^taápyjNciA/PB^iiir^íA,' v. ' había ocurrido liliimytnenté invasión ni fallecimiento alguno :queen otros^p pueblos de la'tñbrnaprovincia scguiacl inal su-cur&amp;o ordinario: que no había Según avisan" su gobernador civil y, el.presidente dé la Junta de Sanidad reci…</t>
  </si>
  <si>
    <t>Alpuenfé, Romero</t>
  </si>
  <si>
    <t>Romero Alpuenfé</t>
  </si>
  <si>
    <t>/ ’’ y ^ ■» _ ? -tedétráctasoenfitéatíró. El Sr. Romero Alpuenfé ta./wtfpiw.di tí-eaio, J» sobre la totalidad, oo excluye de manera alguna el qoe se baya de sevuír ■yiétféli fin da la ley. ; 3f"Cuái es el fin de «te ¡ No hay mas que verlaespo- discutiendo cadt.:hiro.de lor artfcnlos. , sicíonqtie precede al Estatuto Rbal para- convencerse dc dlo. Dg comi- » lQaé…</t>
  </si>
  <si>
    <t>Alpuenie, Romero</t>
  </si>
  <si>
    <t>Romero Alpuenie</t>
  </si>
  <si>
    <t>…te con el país; y concluyó diciendo que con arreglo al Estatuto Real te de b;cnes propios, sean rústicos, urbanos, fabriles ó agrícolas, ¿cómo quiete y Real Convocatoria , la comisión había fundado bien su dxtimen. decirse que el Sr. Romero Alpuenie tiene los requisitos necesarios? Señor, que El Sr. Chatón: «No he pedido la palabra para enriar de lleno en la la ley no ha hablado de esa renta. No me toca á mí decir- si la ley ha hecho cuestión ; solo sí para llamar la atención dei Estamento y leer el artículo l^. bien ó mal; lo que digo es que…</t>
  </si>
  <si>
    <t>Alpuente, D Juan Romero</t>
  </si>
  <si>
    <t>D Juan Romero Alpuente</t>
  </si>
  <si>
    <t>…itntt de presentación Je Jar. perior á la que hasta aquí hemos obtenido. comentos. .yTodas estas consideraciones me han obligado á hacer la expresada indi cación, por la cual pido al Estamento se sirva acordar que todo Procurador Sr. D- Juan Romero Alpuente, por Teruel. electo que en el término preciso de veinte dias después de esta resolución no Sr. D. Agustín Alvaréz de Sotomayor, por Córdoba. se presente personalmente,6 dé razón de las causas legítimas que le impidan Sres. Procuradores creados Príeeret por S. M.hacerlo, se le coniidere excluido del…</t>
  </si>
  <si>
    <t>AlpUente, D Ramón González</t>
  </si>
  <si>
    <t>D Ramón González AlpUente</t>
  </si>
  <si>
    <t>…tas hacfcr incursiones en las gargantas de los montes que debía atacar por el centro: la 3.a compuesta de la 1.a compañía de Borbon, y en el valle; pero les será casi imposible recibir nada de Francia, mientras que mandada por el teniente D. Ramón González AlpUente, con un oficial y 49 Rodil podrá en lo sucesivo hacer venir mucho mas cómodamente que ames hombres de Castilla , que marcharon hácia el camino de Oña para impedir á por el peso único de Irun todo lo que nos compra para el uso de su ejército. los rebeldes el paso del Ebro, quedándose el mencionado 2…</t>
  </si>
  <si>
    <t>Alpüente, D Ramón González</t>
  </si>
  <si>
    <t>D Ramón González Alpüente</t>
  </si>
  <si>
    <t>…ero no por eso dejó,de quedando en aquel valle Basilio, Ibarrola y Aguifrc con 700 hom seguir á la cabeza de su columna, circunstancia que le hace reco bres, salí ayer mañana de este pueblo con las dos columnas de mi mendable. El teniente D. Ramón González Alpüente, y de la mando, á las órdenes del coronel D. Leoncio de la Barcena y te misma graduación el subteniente D. Ramón Dáviia, de la 1.* de niente coronel D. Miguel Cosío, dirigiéndome al pueblo de Bó Borbon, se portaron con valor. El capitán D. Joaquín Díaz de veda con la primera de ellas mientras el co…</t>
  </si>
  <si>
    <t>Alpuente, Juan</t>
  </si>
  <si>
    <t>Juan Alpuente</t>
  </si>
  <si>
    <t>…e haber examinado los documentos ción no varían ni mejoran su posición actual. Dichos documentos son los tes nuevamente presentados por D. Juan Romero AlpUente , electo Procurador tamentos por los cuales se le declara heredero de D. Juan Alpuente, y las dos por la provincia de Teruel; y de que consistiendo la mejora de los mismos cartas de pago , en que cree que la comisión se fundó para dar su dictámen. En respecto de los que anteriormente había presentado en sola una escritura da este juicio se equivoca; pues como la comisión vió que las…</t>
  </si>
  <si>
    <t>AlpUente, Juan Romero</t>
  </si>
  <si>
    <t>Juan Romero AlpUente</t>
  </si>
  <si>
    <t>…ón del Estamento , los documentos de que ha hecho presenta La comisión de.Poderes dtó cuenta de haber examinado los documentos ción no varían ni mejoran su posición actual. Dichos documentos son los tes nuevamente presentados por D. Juan Romero AlpUente , electo Procurador tamentos por los cuales se le declara heredero de D. Juan Alpuente, y las dos por la provincia de Teruel; y de que consistiendo la mejora de los mismos cartas de pago , en que cree que la comisión se fundó para dar su dictámen. En respecto de los que anteriormente había presenta…</t>
  </si>
  <si>
    <t>Alpuente, Juan Romero</t>
  </si>
  <si>
    <t>Juan Romero Alpuente</t>
  </si>
  <si>
    <t>…era siempre que antes sean estimados; ¿ por qué? hipotecaria: no creo pues se necesite mas examen de documentos para acredi Porque los compra, es dueño de ellos, es deudor de cierta cantidad á la muger. tar que la renta propia de D. Juan Romero Alpuente es Ja que pide ei Es Por eso se han admitido aquí , y por mí se aprobarán iodos los que se .presen tatuto Real. Si la convocatoria señala como medio de poder acreditar ten en este ca&gt;o. V^mos á Ja cuestión esta rema jos recibos del pjgo de la cpntnbucion de frutos civiles, verda «Señores, el Estatu…</t>
  </si>
  <si>
    <t>AlpUente, Ramón González</t>
  </si>
  <si>
    <t>Ramón González AlpUente</t>
  </si>
  <si>
    <t>…r incursiones en las gargantas de los montes que debía atacar por el centro: la 3.a compuesta de la 1.a compañía de Borbon, y en el valle; pero les será casi imposible recibir nada de Francia, mientras que mandada por el teniente D. Ramón González AlpUente, con un oficial y 49 Rodil podrá en lo sucesivo hacer venir mucho mas cómodamente que ames hombres de Castilla , que marcharon hácia el camino de Oña para impedir á por el peso único de Irun todo lo que nos compra para el uso de su ejército. los rebeldes el paso del Ebro, quedándose el mencionado 2…</t>
  </si>
  <si>
    <t>Alpüente, Ramón González</t>
  </si>
  <si>
    <t>Ramón González Alpüente</t>
  </si>
  <si>
    <t>…r eso dejó,de quedando en aquel valle Basilio, Ibarrola y Aguifrc con 700 hom seguir á la cabeza de su columna, circunstancia que le hace reco bres, salí ayer mañana de este pueblo con las dos columnas de mi mendable. El teniente D. Ramón González Alpüente, y de la mando, á las órdenes del coronel D. Leoncio de la Barcena y te misma graduación el subteniente D. Ramón Dáviia, de la 1.* de niente coronel D. Miguel Cosío, dirigiéndome al pueblo de Bó Borbon, se portaron con valor. El capitán D. Joaquín Díaz de veda con la primera de ellas mientras el co…</t>
  </si>
  <si>
    <t>Alpuente, Remero</t>
  </si>
  <si>
    <t>Remero Alpuente</t>
  </si>
  <si>
    <t>…clara y terminante para el ca del Estatuto Real. (Lo leyó.) En váta del párrafo 2." de este artículo, pa so, porque induje cierta cUse de bieDes, y excluye otros. Sí U ley dice que rece que no hay duda en que debe ser admitido él Sr. Remero Alpuente, ni para ser Procurador á Córtes se necesita tal clase de bienes, es claro que exclu en que sus documentos sen legítimos. El Sr. Medrano no ha negado que el ye los demas; y esta es una lógica que nad^e me puede rechazar. Por consi Sr. Romero Alpuentf^ tiene una lenta propia de 12$ rs.; lo que ha ii…</t>
  </si>
  <si>
    <t>Alpuente, Romeio</t>
  </si>
  <si>
    <t>Romeio Alpuente</t>
  </si>
  <si>
    <t>…esentado u$a escritura, ton la cual quiere justificar que po 1 El Sr. Vega y Rio hizo presente que sentra mucho tomar la palabra see una renta anual de J29 r&gt;.; pero en ella, á mi modo de ver , no cumplo para hablar en contia del Sr. Romeio Alpuente; mas que sin embargo no po con el objeto que se propone, ni llena U indicación del Estatuto Real , que día prescindir del sentido literal del Estatuto Real y Rea! Conv&lt; caior,a¿ es la base primordial á que debemos atenernos en estos casos. El alimentista que la escritura presentada de ningún modo p…</t>
  </si>
  <si>
    <t>Alpuente, Romero</t>
  </si>
  <si>
    <t>Romero Alpuente</t>
  </si>
  <si>
    <t>…onstituye una hi Durante la discusión de este dictamen cedió el Sr. vicepresidente la poteca especial para seguridad del pago de la expresada renta. Podrá serio; silla de la presidencia al Sr_Secretario González. mas en el dia el Sr. Romero Alpuente no es propietario de las casas que se A petición del Sr. conde de las Navas se leyó por el Sr. Latorre, indi expresan , ni tampoco de la masada. Y una prueba positiva de que no es dueño viduo de la comisión, la exposición con que acompañó el Sr. Romero Ai- de ellas, es que en la misma escritura su…</t>
  </si>
  <si>
    <t>…s la posesión civil, natural, real y corporal de todos los bienes de dia con e) Sr. Omi veros, á quien la comisión no conocía. Ahora que todos un mayorazgo se trasmite al inmediato sucesor por d ministerio de la Jey al conocen al Sr. Romero Alpuente, es necesario no tener presentes sus servi fallecimiento dé su antecesor. ¿Sucede lo mismo con esta renta? No. Cuando cios y demas, sino solo un individuo que se va á examinar si está en el caso se trata del usufructo es lo m amo que si se d*jera que la prop:edsd está en que la ley señala. Es una c…</t>
  </si>
  <si>
    <t>…os.? Ademas, el artículo 55 dice (leyó); pero mas adelanta ■ ’let'Uato me Opongo aLdictámen de la comisión.” t ™ce qde ate proyecto 6 propuesta puede ser proyecto dé ley, en cuyq caso no rf El Sr. Serrano (D. Gnú/); «Sedice que d Sr. Romero Alpuente está rnomronda nihgtmaide lo que el reglamento ha querido expresar. Elartícaenpo*e*ioadeamarenta antulde 123 rs. Esta cualidad puede entenderse de lo 75 dice (lo leyó): i mi entender todoesto vena sobre el modo de discutir'' tteaTSbddsí .bato , 6 innato. El Sr. Romero Alpuente no estaba en poseaion…</t>
  </si>
  <si>
    <t>28/09/1834</t>
  </si>
  <si>
    <t>Gaceta de Madrid n.º 226 · suplemento</t>
  </si>
  <si>
    <t>…de la comisión , quedó apro Se mandaron pasar á la comisión de Poderes los presentados con los do bado. cumentos justificativos de su aptitud legal por D. Joaquín de Palaudarias, La comisión de Poderes, en vista de un oficio del Sr. Romero Alpuente, electo Procurador por la provincia de Barcelona. en que solicitaba se le devolviesen sus poderes y documentos , era de parecer , El Estamento quedó enterado de un oficio en que la comisión de Poderes que no había inconveniente en entregárselos bajo su correspondiente recibo. participa haber nombra…</t>
  </si>
  <si>
    <t>Alpuentf, Romero</t>
  </si>
  <si>
    <t>Romero Alpuentf</t>
  </si>
  <si>
    <t>…ni para ser Procurador á Córtes se necesita tal clase de bienes, es claro que exclu en que sus documentos sen legítimos. El Sr. Medrano no ha negado que el ye los demas; y esta es una lógica que nad^e me puede rechazar. Por consi Sr. Romero Alpuentf^ tiene una lenta propia de 12$ rs.; lo que ha iiecho guiente, yo veo todas las c pectes eqjivoCddas por el Sr. Romero Alpuente. S. S. es presentar esta renta de un modo en que dice encuentra ccnfu»ion, Confieso su superioridad, su ciencia, sus talentos venero su larga practica en pero ha confesado…</t>
  </si>
  <si>
    <t>Alpuetito, Romero</t>
  </si>
  <si>
    <t>Romero Alpuetito</t>
  </si>
  <si>
    <t>…ño del dominio directo, que ha vendado sus bienes, y el Sr. Medrano ha sentado muy bien que tos ha y todos los vecinos en aquel la? hacienda no tienen mas que ei dominio útil- vend.do, y por consiguiente ya no son suyos: luego el Sr. Romero Alpuetito luego ninguno de estos puede ser Procurador, y en este caso entre nosotros . no está en ei caso que fija la ley. *^Los comerciantes (leyó) lo ind earm por habrá muchos. Pero, como'digo, estando acreditada esta rentá por un docu las cartas de pago.” ¿Se presenta alguna carta de pago por este señor?…</t>
  </si>
  <si>
    <t>Althorp</t>
  </si>
  <si>
    <t>Gaceta de Madrid n.º 166</t>
  </si>
  <si>
    <t>…omercio que ñau llegado de Constantinopla, de fecha de 26 ■ Yarin. individüo) A la Cárttara de lo* Cmnufte* f ctrté p»^ya dbt&amp;t- . del mes pasado, dicen que se hacen muchas contratas para la pronta habilita* guidas han dlrigido i'lord Althorp lá siguiente cattqi fogíntole que cóAáhiá* se en el ministerio. Dice asi: *Milbfdi qonVenCidbs de,qbé'laA*Z y cion dd ejército y la armada turca. dad del imperio británico pueden ser iloStéúidfea pórVv De resultas de estás disposiciones, el precio de lot paños comunes y de -los cueros h* subido con…</t>
  </si>
  <si>
    <t>03/07/1834</t>
  </si>
  <si>
    <t>Gaceta de Madrid n.º 136</t>
  </si>
  <si>
    <t>…Lansdown , lord presidente. tantes son siervos ó esclavos) sean convocados por un ukase para reunirse en Conde de Carlisle , lord del sello privado, colegios electorales; pero las mejoras de todas clases que indefectiblemente van lord Althorp, canciller del echiquier. á hacerse en España y Portugal, serán imitadas por otros gobiernos y por otros lord Holland, ducado de lancaster. países de Europa, los cuales , sin obrar quizás ninguna variación en la forma lord Palmerston, ministro de Estado, de sus instituciones, serán llevados por una…</t>
  </si>
  <si>
    <t>…berano , y que. le dirigía la alocución de costumbre, rompió en de importancia. Este suceso ha dado lugar a variaciones cn ei ministerio, por clamores unánimes de gozo y hoveras prolongados largo tiempo. El Empera la promoción de lord Althorp a la dignidad hereditaria de Par del Reino* y dor al salir de la iglesia fue I visitar, acompañado del obispo, las habitaciones no hay duda que será difícil reemplazarle en el alto cargo de canciller del que un tiempo ocupó el Czar Miguel Tcodorovich, y en seguida en medio de echiquier, y de orador…</t>
  </si>
  <si>
    <t>…s situaciones en que se puede considerar al oficial; en que I geaud en el desafío que este tuvo con M. Dulong. casos se le podrá dejar en servicio pasivo, y volver de este al activo, y moti -En la sesión de este dia ha presentado lord Althorp el presupuesto del vos por qué puede ser reformado.” Se manda volver á la comisión el ultimo próximo año económico en U cámara de los Comunes, haciendo ver en un párrafo del artículo l.°, y se levanta la sesión. * k largo discurso el estado floreciente de las rentas publicas, y anunciando una ídem…</t>
  </si>
  <si>
    <t>05/04/1834</t>
  </si>
  <si>
    <t>Gaceta de Madrid n.º 44</t>
  </si>
  <si>
    <t>…imismo la voluntad de S. M. que no se coloque en lo su cesivo á ningún individuo en las contadurías de Propios que no Fondos públicos. Tres por 100 consolidados 91§. haya sido empleado de, este ramo, mientras existan cesantes del Lord Althorp sufre un ataque de gota que le ha impedido asá* mismo, según 7a se dispuso para, los empicados «n general por di til i algunas sesiones del Parlamento. ferentes Reales resoluciones. ____ El príncipe de Talleyrand visita diariamente i nuestro minis Considerando finalmente S.M. qua las clases de escr…</t>
  </si>
  <si>
    <t>06/04/1834</t>
  </si>
  <si>
    <t>Gaceta de Madrid n.º 45</t>
  </si>
  <si>
    <t>…muchas reflexiones, excretándome á dfccir que se opuso nuestro gobierno á la ocupación militar de Lisboa, cósa la:ley es constitucional' y necesaria; que será eficaz é indispensable que.apenas podíamosuesperar. Las objeciones -de lord Althorp no para bien de la revolución de julio , para prosperidad del comer tanto fueron contra el principio deantervéncion , cuanto sobre la cio , para descanso de la guardia nacional, para que las familias vidificultad de pedir á las Cámaras el suplemento de gastos necesarios van con alguna comodidad y r…</t>
  </si>
  <si>
    <t>…chosos en esta heróica villa, del canciller del echiqitier , que se considera ot general como un documento las-autoridades de las prorktcias no den- pasaportes potra" rCgretiir a que debe producir una imprctou agradable!. Propone lord Althorp en su prelas personas que íalíeíhn de dht despnes def áí) dé JuniQiJItímo. Do Supdetto 1» reducción de varios derecha» ,'qoe- arinque de poca ce**¡dcnc,oo R«lórden h comunico ¿ V. S- para su inteligencia y cumplimiento. por ta importancia da sudáfra, mm sin erahargo-mny pcsfudicide» 4 cierras Dios…</t>
  </si>
  <si>
    <t>…o el titular en el caso previsto en el artículo 3.° Nueva-Orieans. El presidente Santana continuaba todavía en la capital. «Con todo el poseedor del mayorazgo podrá con consentimiento de su mu_Hé aquí una copia de la circular que lord Althorp ha enviado á los dípu- ger, disponer de los bienes para establecer ios hijos de ambos dentro de los lí- | tados de la Cámara de los Cómunes que suelen votar con el ministerio. mites del código civil.” Downing-Street 9 de Enero de 1834* «Muy^Sr. mió; Debiéndose tratar ‘"En seguida se aprueba el todo…</t>
  </si>
  <si>
    <t>…ombra la» coroisiope»qtU) han de examinar dos proyectos de ley, uno relativo á-factlitar'aJ,gobierno¿0.y$linclusos lord Acheson y los señores G. Evans y O’Grady han tenido una con ferencia relativa á la cuestión de diezmos con eí vizconde Althorp , M. Stanley, francos para celebrar el cuarto aniversario de las ocurrencias- de-julio „ y xiTtq, 4 facilitarle 1203 francos para concluir .las .obras comenzarla» en los edificios,M. Littleton y M. S. Rice. (Calobe.) que la facultad de medicina posee eaPnrij.-- , , , Al- ALilouet lee el informe de…</t>
  </si>
  <si>
    <t>mmmmiémmmmmm.. i 5° tes y compatibles con el servicio publico. Al efecto por una circular de esta ídem de ios DiPUTADOs._^JWrbtf de ídem. fiiañana se han reunido unos 240 miembros de la Cámara de los Comunes $n casa de lord Althorp, el cual después de haberles explicado sus intenciones y Se da cuenta de varias exposiciones de particulares, entre ellas de una en Jas de sus compañeros sobre la hacienda» y ahorro que meditaba sin deftlmen— - .que el !3ty Beau, doctor en medicina y vecino de Paris, pide que en cada cuarto del ser…</t>
  </si>
  <si>
    <t>…nsentsdlmfi. . tib-pueden reemplazarse, y en consecuencia cargará el peso de los negocios pú la expulsión de los refugiados que, abusando de la hospitalidad, han tomado blicos que han de tratarse en la Cámara de los Comunes sobre lord Althorp y una parte activa en el movimiento contra la Saboya. M, Spring-K-ice. El desempeño de su alto destino es difícil; pero sin embargo — I expulsión, qufe ya en parto" se Tía yáftificadñi/tBl viRinf de anteriores' eófifSifHÓs que su cbftlura-y Ijt -§rq«*z»c»o^i*pe ÉJev^pán adrante lastíantes idnriÉliiF|…</t>
  </si>
  <si>
    <t>19/06/1834</t>
  </si>
  <si>
    <t>Gaceta de Madrid n.º 122</t>
  </si>
  <si>
    <t>…ablar. conjeturas á que. ha dado ya lugar el documento de que tratamos. Hay sin M. Ward contesta que persiste en su mcicion, y habiendo entonces pro embargo algunas máximas fundamentales que debemos fijar , porque hacen ho puesto lord Althorp que se votase lo que se llama la cuestión precedente, quep nor á una política que hemos defendido , y porque al mismo tiempo sirven dó esta aprobada por una mayoría de 276 votos. de contestación á amigos demasiado exaltados, y á adversarios desleales. La cuádruple alianza, en el estado actual de Eu…</t>
  </si>
  <si>
    <t>Gaceta de Madrid n.º 280</t>
  </si>
  <si>
    <t>…sposiciones de la materia, previniéndose á los gobernadores tiempo se había retirado de la vida pública. Le sucede en la dignidad de Par civiles que sin Real facultad no dispongan de los fondos de los Pósitos, Su hijo primogénito lord Althorp, canciller del echiquier, que por lo común asiste a las discusiones de la.-Conara de los Comunes. La entrada de lord Al.y hagan sean reintegrados inmediatamente de las partidas que no ha thorp en la Ornara de los Pares será causa tal vez de que ha va alguna variayan sido sacadas de ellos en virtud…</t>
  </si>
  <si>
    <t>25/07/1834</t>
  </si>
  <si>
    <t>Gaceta de Madrid n.º 158</t>
  </si>
  <si>
    <t>…Melbourne, el lord canciller , lord John Rnsell, los ilustre» este fin. Spring Rice, C. Grant, E. EUice y J. Abercombry, han estado ayer á visi Art. 113. Dichos Comisionados régios serán nombrados por S. M. tar al conde Grey y al vizconde Althorp. (Times.') en virtud de un decreto especial, comunicado á las Cortes por el FRANCIA. Secretario del Despacho respectivo; y solo jxxlrán tomar parte en las discusiones concernientes á la platería para que hayan sido ex París 17 de Julio. presamente autorizados. Tanja de hoy. Cinco por 100 consolidado…</t>
  </si>
  <si>
    <t>26/07/1834</t>
  </si>
  <si>
    <t>Gaceta de Madrid n.º 159</t>
  </si>
  <si>
    <t>…iéndose de sus simparías personales. por D. Miguel , hav mas que suficiente para reconocer que la.hacienda de Por La nación hallará en e'te arreglo un m'ri’oterio mas“qnido; porque tugal está en el mejor pie posible. Xíelbourne y lord Althorp h-m caminado "siempre de acuerdo’én^el minbterioó Algunos miguelistas se fian embarcado en el bercintin F. scorfion con di Públicas son las opiniones liberales del segundo, v cuanto desea qd^ la ñacfori rección á Inglaterra. Kmre ellos se halla D. Raimundo Piñeiro, último go prc^Fese; ambas covo se…</t>
  </si>
  <si>
    <t>27/02/1834</t>
  </si>
  <si>
    <t>Gaceta de Madrid n.º 26</t>
  </si>
  <si>
    <t>…tíCulo 3.®, título 1.*® de dicha nueva ordenanza, no se consienta ni tolere que los lóndves 7 de Febrero. dependientes del ramo turben á ios propietarios , reconocidos como tales, en el En la Cámara de los Comunes dijo Mr. Hume á lord Althorp se sirviese libre uso y ejercicio de sus funcion«*&amp;jSjrtiúniÉale$ etnÉB£,naiWés de su ' dedarftjgfrancamenttS^qi su^Aarcsoi^iprataboltrrloifeíñr^iiestos &lt;fe "puertafc y' Vennenc&amp;r fi¿. _ \ !|i\^ q ?T' .tanas^Sl ministrojpomest#, cm&amp;cotnó en 1%-*m£&gt;cionú4el preopinante* se tia2. a Que en ^naturaleza…</t>
  </si>
  <si>
    <t>27/06/1834</t>
  </si>
  <si>
    <t>Gaceta de Madrid n.º 130</t>
  </si>
  <si>
    <t>…fin de impedir su ulterior propagación en Tal ha sido la constante práctica desgobierno ruso desde Pedro el Grande; tre las clases dedisadas al trabajo. fundir y hacer una sola masa, en lo posible, de la Europa y la Rusia; y para Lord Althorp dijo que no se necesitaba de largos discursos para convencer esto llamar á los occidentales á Rusia, y dejar á los rusos viajar y establecerse i la Cámara quje la embriaguez era un vicio, y vicio muy trascendental, pero en el Occidente. A esta práctica ha debido la Rusia su engrandecimiento en el q…</t>
  </si>
  <si>
    <t>27/07/1834</t>
  </si>
  <si>
    <t>Gaceta de Madrid n.º 160</t>
  </si>
  <si>
    <t>…ión de un ministerio cualquiera. El Constitucional paga el tributo de res LSndres 15 de Julio. peto y dé buena memoriíí á la adminis.traccion de lord Grey, cuya vida políti Sabemos que M. Hume y sus amigos expresaron sus deseos á lord Althorp ca, dice, ha sido siempre franca, llena de buena fé, y dignamente coronada de qué'Continuase en la dirección de los negocios en la Cámara de los Comu con la grande obra de la reforma. nes, y-qué: muchos individuos del partido whig se proponían hacer lo mismo. (Cotirirr.) ____ La gaceta de Médena an…</t>
  </si>
  <si>
    <t>28/07/1834</t>
  </si>
  <si>
    <t>Gaceta de Madrid n.º 161</t>
  </si>
  <si>
    <t>…(Diario de Partí.) todo esto fue que habiendo M.'t&lt;&gt;,CqnpeU hecho.anja moción en la Cámara de los Comunes gara que .se praentasen los papeles que he dicho eran reservados, ' m . éoédfá^t'initirbit MMfií.ii txssjteiÑm :^t • Jürua, lord Althorp creyó (¿omprame»idó‘él éxito *el brfiaé'rép'reii'oñ, f ñWfenvió Urétwnciadé liéeoletaríadeL détfného qua regenubUaHnbtéodole vistó-ebcla</t>
  </si>
  <si>
    <t>29/07/1834</t>
  </si>
  <si>
    <t>Gaceta de Madrid n.º 162</t>
  </si>
  <si>
    <t>…vida privada, retiro que yo considero como una ealamtdad para en el servicio de’su Soberano , mientras pudieran hacerlo siij deshonor, eran este país, de quien lord Grey era el ornamento y la gloria. Si-, milores: des *\ú disputa lord Althorp y lord Grey: yo no veo ninguna cosa-capaz de jus pués de 50 años no ha amanecido para Ja Inglaterra un día mas funesto que tificar su renuncia en el estado actual de los negocios públicos, la cual verda aquel en que se ha anunciado á los ingleses la dimisión de mi ilustre amigo; deramente roe so:pren…</t>
  </si>
  <si>
    <t>30/06/1834</t>
  </si>
  <si>
    <t>Gaceta de Madrid n.º 133</t>
  </si>
  <si>
    <t>…bienes de la Iglesia de mara aprobará por su parte esta medida.” Después de'una discusión, en que ha Irlanda, no para destinarlos a objetos extraños, sino para extender la divina blaron varios diputados y el ministro de Hacienda lord Althorp, el dictamen verdad del Evangelio, fin primordial efe la Iglesia.' - '*’• ¿ - *■' d&amp; 11 comisión fue-aprobado. - vV* *• \ v •. \ » v ■*, . &gt; Sobre estos principios de M. Peel he fundado yo la necesidad del nombra miento de la comisión. Mi opinión franca-en esta materia es que la Iglesia de ____ El…</t>
  </si>
  <si>
    <t>Althotp</t>
  </si>
  <si>
    <t>…que todavía no se ha resuelto cosa alguna respecto á las va ciudadanos.” riaciones que es indispensable hacer en el ministerio por consecuencia de Asistían á la apertura del tribunal el marques de Lansdown, ministro la entrada de lord Althotp en la Cámara de los Pares. Con todo sabemos de Inglaterra, y el embajador de Turquía. que los ministros han instado á Mr. bprin y Rice para que mude de ministe rio ; pero; que este no se muestra propenso á acceder á estas instancias. Si Varios diarios han anunciado, copiándolo del Mcnsagero de ayer…</t>
  </si>
  <si>
    <t>Althprp</t>
  </si>
  <si>
    <t>…sentad, en 1a *ó*«IB6A, última sesión del Parlamento-, peto dicha autorización no pasó de esto. Sin em bargo, M. Littleton no se contuvo en estos términos , y divulgó de manera Crilttanla 19 dejunia. los Secretos gabinete, que el lord Althprp creyó imposible la presentación Se ha encontrado la ternura pasada en las minas de Kongsberg tur peda del bilí en el estado en que *e encontraba. Se ha censatario la autortracion da</t>
  </si>
  <si>
    <t>…e es preciso salvar contra tu propia vo da comercial en Europa, y dejarán nn excedente para la liquidación de la deu luntad. ,. da que han contraído nuestros comerciantes con el banco de los Estados-Uni Eos nombres de lord Grey j lord Althprp , y de sus compañeros, queda dos; Solo el algodón ascenderá este año á 60 millones de dolara, y no debe et rán inscritos e/i «f libro dé f».historia con el lauro de haber acabado la gran comercio al banco arriba de 52 millones de dotara; abora veremos como V# reforma del Parlamente, que abre una nu…</t>
  </si>
  <si>
    <t>Altorp</t>
  </si>
  <si>
    <t>02/12/1834</t>
  </si>
  <si>
    <t>Gaceta de Madrid n.º 291</t>
  </si>
  <si>
    <t>…ía caído en mi poder, cuando para salvarse se diseminó por un lord Spencer. Entonces al conferenciar el vizconde Melbourne con S. M. para. gran barranco montuoso, si ia nocbe-cateramente cerrada no hubiere hecho imel Reemplazo de lord Altorp, el Rey le manifestó desde el principio su inten jtosible recoger el fruto de la victoria. En Santa Cruz, Orbizo y San Román ción dé mudar todo el ministerio, y de encargar al duque de Wellington del hémds sorprendido los hospitales del enemigo, de los cuales he sacado a nues nombramiento de otro n…</t>
  </si>
  <si>
    <t>Alva</t>
  </si>
  <si>
    <t>12/04/1834</t>
  </si>
  <si>
    <t>Gaceta de Madrid n.º 51</t>
  </si>
  <si>
    <t>…lo todo en un breve ar tomo m. Madrid, 1833. tículo , exhortamos á los lectores á que lean las excelentes reflexio Comprende este tomo las vidas de dos varones, tan opuestos nes del biógrafo en la página 242 acerca del proceso de D. Alva en sus caracteres y en sus géneros de vida , como en Iqs fines que ro de Lum. Posteriormente á la impresión de esta obra, ha adqui se propusieron y á que consagraron su existencia: y este contraste rido la Real academia de la Historia nuevos documentos, de los no es el que menos dehe contribuir á a…</t>
  </si>
  <si>
    <t>Alva, Juan</t>
  </si>
  <si>
    <t>Juan Alva</t>
  </si>
  <si>
    <t>…la audiencia de Búrgos, y á D. José López de CoZar y i Eli atención á los extensos conocimientos en la ciencia de la D. António Fernandez del Castillo, oidores cesantes con sueldo: administración y demas cualidades1 que adornan á D. Juan Alva- por la clase de alcaldes á D. Andrés MasegoSa; á D. Francisco iez Gueíra, he venido en nombrarle para la plaza de decano de lá GalveZ Fernandez y á D. José Alonso Villastnte, que son tam sección de Fomento del Consejo Real dé España é Indias, vacan bién de la misma, y á D. José Aguilera, elerto par…</t>
  </si>
  <si>
    <t>Alvar</t>
  </si>
  <si>
    <t>Gaceta de Madrid n.º 228 · suplemento</t>
  </si>
  <si>
    <t>…loa mismos, firmado - El Sr. Presidínte: «No pudiéndose pasar á la discusión dpi artículo in por ¿I j pot «I Sr Ftorv Entrada. mediato según el reglamento, se suspende esta dtscusioo, lo mismo que la se Fad p*rtkui*r de las Sru. D. Alvar* ¿*7pr#s Estrada, y ¡margues dt sión pública, para pasar á la sesión secreta. Mañana se abrirá la sesos púbika á las d er para continuar la discusión pendiente,” Mmettoírpem, Ciérrase U sesión. Se levantó á las doce. TmmSé* la» Mividuo* &lt;ju« awtrifcra &lt;pM &lt;1 «orado del Exiuscnto EN LA IMPRENTA REAL</t>
  </si>
  <si>
    <t>Alvar, Antonio María</t>
  </si>
  <si>
    <t>Antonio María Alvar</t>
  </si>
  <si>
    <t>…cimiento. Obras se hallan dé venta tn ei despacho de la imprenta Real, Dios guarde á V. E. muchos años. Málaga 12 de Marzo de 1834-=Exce- Cartilla para los labradores que quieran hacer azúcar de uva, por D. Luis Proust, lentísimo Sr.=Antonio María Alvar«z.=:Excmo. Sr. Secretario de Estado y del publicada por D. Gregorio Gonzaiez AraoU. Un cuaderno en 8.a, edición de 1806, á Despacho del Fomento general del reino. a rs. en rústica. ‘ Nota. Del parte que se cita resulta que el día 4 de Marzo quedarori exis —Arte de curtir, Instrucción general de cur…</t>
  </si>
  <si>
    <t>Alvarado, Buenaventura</t>
  </si>
  <si>
    <t>Buenaventura Alvarado</t>
  </si>
  <si>
    <t>…tro ejército sobre las armas, ínterin el de Holanda permanezca en pie de íeo para Taboada; á D. Juan de Mata Albarado para Sarria; á guerra como hasta 'aquí. «Cree asimismo el gobierno que sin excedernos mucho de los presupuestos D. Buenaventura Alvarado para la Puebla de Tribes; á D. Joaquín debemos mantener sobre las armas la fuerza en que nuestro ejército se halla Rorieali para Villalon, y á D. Antonio Valenzuela para Val de Ca actualmente , por la reunión de los que estaban con licencia temporal, sin per balleros. juicio de dar nuevas licencias…</t>
  </si>
  <si>
    <t>Alvarcz, Pablo Manuel</t>
  </si>
  <si>
    <t>Pablo Manuel Alvarcz</t>
  </si>
  <si>
    <t>Gaceta de Madrid n.º 270</t>
  </si>
  <si>
    <t>…do vacante la plaza de oficial primero de la contaduría Nota. En ei. resto de la provincia no ocurría novedad. de Propios de la provincia de Cuenca por renuncia de D. Ignacio María Uzcudun, se ha dignado S. M. nombrar para ella á D. Pablo Manuel Alvarcz, que es oficial tercero de la contaduría del mismo ramo de Búrgos; y para esta íkax lotería uodekna. resulta á D. Cesáreo Arquellada, escribiente que fue de la de Granada. Noticia de los pueblos y administraciones donde han cabido los 16 premiar, mayores de los 1200 que comprende el sorteo de este…</t>
  </si>
  <si>
    <t>Alvare, AguMÍo Mcñoz</t>
  </si>
  <si>
    <t>AguMÍo Mcñoz Alvare</t>
  </si>
  <si>
    <t>Gaceta de Madrid n.º 226</t>
  </si>
  <si>
    <t>…to en 8.^, k 10 rs. pasra y 8 pergamino.^* Sexto Aurelio Vietor de loé varones^ilustres romanos ¡ traducido al castellano « ilue Según parte que su gobernador civil-da en fecha 18 del actual, en los va trado cqn alguna» notas por D. AguMÍo Mcñoz Alvare*: obra muy util y i prrq»óslso llas de Lorenzana y Riotorto ya no habia ningún enfermo de cuidado; en San para que empiecen ios niños ep las clases de latinidad el ejercicio del la t/aJucclon. l^n Ad&amp;no cuuron «eailé el dia á hasta él 14 dél mes dé la-fécha ó enfermos y tomitolatina íeñéUputta8.®,…</t>
  </si>
  <si>
    <t>Alvarez, D Manuel María</t>
  </si>
  <si>
    <t>D Manuel María Alvarez</t>
  </si>
  <si>
    <t>…del mismo nombre auxiliase sin salir acercaban á la provincia-de Santander por la parle de Reioosa, se dirigió á Villdeau radio al vecindario de aquel pueblo, imponiendo respeto á k&gt;s facciosos lUrcayo, en cuyo punto supo por di-coronel D. Manuel María Alvarez^ co Ijtoa este paso, y protegiendo en gran parte el cumplimiento de la orden que mandante de la coúimn? que estaba en boncillo, que Cuevillas y Villalobos dado para que se retirasen a Santoña todos los quechesróarines y barcos habían sido derrotados, y que los restos de sus facciones caminaban por…</t>
  </si>
  <si>
    <t>Alvarez, Elias</t>
  </si>
  <si>
    <t>Elias Alvarez</t>
  </si>
  <si>
    <t>…o con la mis ma orden, y por la derecha al capitán ilimitado D. Francisco Mediavilla y al Madrid 2B dt Abril. teniente retirado D. Juan José del Arenal, siguiendo yo con el subteniente .Don José del Busto y los sargentos segundos D. Elias Alvarez, D. Félix ^ionF.n celebridad del cumpleaños de S. M. la Reina Gobernadora se vistió real y D. Anselmo Miranda, y el resto de la columna por el centro con direc ayer la corte de gala con uniforme , y hubo en el Real sitio de Aranjuez besa ción á la villa. A la entrada de esta , rompió el fuego la de…</t>
  </si>
  <si>
    <t>Alvarez, Francisco de Paula</t>
  </si>
  <si>
    <t>Francisco de Paula Alvarez</t>
  </si>
  <si>
    <t>…eados , y 539 estudiantes. En la época de la presentación del presupuesto , la bles: para la de Alcalá la Real á D. Benito Romero: para la de Ca- universidad de Kiew, creada por el ukase imperial del 8 (20) de Noviensbiis zorla á D. Francisco de Paula Alvarez: para la de Fuente de Can de 1833 , no estaba todavía completamente organizada, y de consiguiente el tos á D. Antonio José de la Moneda y Ayala : para la de Hellin á presupuesto no ha podido hacer aun mención de ella. El número total de es D. Gregorio Marau: para la de Rivadeo á D. Alonso Sánchez d…</t>
  </si>
  <si>
    <t>Alvarez, José María</t>
  </si>
  <si>
    <t>José María Alvarez</t>
  </si>
  <si>
    <t>06/11/1834</t>
  </si>
  <si>
    <t>Gaceta de Madrid n.º 265</t>
  </si>
  <si>
    <t>…guez;Hortal; Sevilla,Lugo, en la de Pujt»l} Bilbao, en la de García; Santiago , en la de Rey Romero; Cor uña, ca PROVINCIA DE CASTELLON DE.IA PLANA. la de Calve-te; y en Vitoria, en la de Barrio. ' ' El Atrecho ReAl He España por D. José María Alvarez , anunciado en el núme^ ro 264 de la Gaceta; se halla también de Venta en la librer ía de Sojo. ' * Según parte de 3D del mes anterior, el cólera seguid su curso ordinario en ----- -Por providencia del Sr. de Cqitazar, se cita por término de 30 días k los acreedo Jo» JS.gwbjos de dicha provincia*qu…</t>
  </si>
  <si>
    <t>Alvarez, Manuel</t>
  </si>
  <si>
    <t>Manuel Alvarez</t>
  </si>
  <si>
    <t>29/06/1834</t>
  </si>
  <si>
    <t>Gaceta de Madrid n.º 132</t>
  </si>
  <si>
    <t>…eclesiásticos de las cuatro órdenes militares.Daño. L&lt;&gt;s primeros recibirán por la tesorería de la Real Casa el sueldo de 120 rs. de vn. al año, y 100 los segundos, y la restante cantidad • Hallándome satisfecha del modo con que D. Manuel Alvarez hasta completar la de 200 rs. la recibirán de la mesa maestral. García lia desempeñado en comisión una de las direcciones genera 3V Los capellanes de honor que desempeñasen los empleos, de les de Rentas, lie venido en nombrarle intendente de primera clase juez de la Capilla, receptor y sacristán ma…</t>
  </si>
  <si>
    <t>Alvarez, Manuel María</t>
  </si>
  <si>
    <t>Manuel María Alvarez</t>
  </si>
  <si>
    <t>…mo nombre auxiliase sin salir acercaban á la provincia-de Santander por la parle de Reioosa, se dirigió á Villdeau radio al vecindario de aquel pueblo, imponiendo respeto á k&gt;s facciosos lUrcayo, en cuyo punto supo por di-coronel D. Manuel María Alvarez^ co Ijtoa este paso, y protegiendo en gran parte el cumplimiento de la orden que mandante de la coúimn? que estaba en boncillo, que Cuevillas y Villalobos dado para que se retirasen a Santoña todos los quechesróarines y barcos habían sido derrotados, y que los restos de sus facciones caminaban por…</t>
  </si>
  <si>
    <t>Alvarez, Pinto</t>
  </si>
  <si>
    <t>Pinto Alvarez</t>
  </si>
  <si>
    <t>Gaceta de Madrid n.º 18 · suplemento</t>
  </si>
  <si>
    <t>…ad. (Crónica constitueimai de Idrita de 28 de Enero.) Lisboa 3 de Fe Itero» —— Corre la voz en la capital que D. Miguel ha resuelto salir de Santara* con alguna artillería , publicando antes una proclama en que diga que abando El brigadier Pinto Alvarez avisa desde Marvaon con fecha 2 de Enero na la plaza, no por rcccJo que tenga del enemigo, sino para libertar de ia epi último,que á pesar de los esfuerzos de la tropa de D. Miguel,permanecía due demia sus heles soldados. ño de aquella plaza; pues siempre que se había aproximado á ella había huido…</t>
  </si>
  <si>
    <t>Alvarez, Vicente</t>
  </si>
  <si>
    <t>Vicente Alvarez</t>
  </si>
  <si>
    <t>…o á este destino el oficial 3.° 2.° del de Ponte se ha servido S. M. conceder un mercado los lunes de cada semana á S. Feliu vedra D. José María Bremon , y para la plaza que este deja, ha tenido á bien de Guixols. S. M. nombrar á D. Vicente Alvarez, abogado de la Real audiencia de Ga licia. A propuesta del gobernador civil de Valladolid ha tenido á bien S. M. mandar que la feria que debía celebrarse en aquella ciudad el 29 de Setiembre S. M. se ha servido jubilar con arreglo al Real decreto de 3 de Abril de se difiera por diez días para que a…</t>
  </si>
  <si>
    <t>Alvarez.Sotomayor, Diego</t>
  </si>
  <si>
    <t>Diego Alvarez.Sotomayor</t>
  </si>
  <si>
    <t>…gena , y por dominar sobre unos inmensos terrenos vírgenes, tales casa hospital Real de S. Lázaro, extramuros de la misma ciudad. como los que forman ias aguas en la parte inferior de su curso, propios para Ejecutoria á' favór de D. Diego Alvarez.Sotomayor , cura que fue.de los toda clase de producciones; y el tercero por su posición á ia falda de ia rica Carabanches. vertiente dei priorato, por sus grandes establecimientos de industria y comer Privilegio de hidalguía á favor de D. Juan Bautista Oncto, vecino del cio , y por su inmediación ai puerto…</t>
  </si>
  <si>
    <t>Alvaro</t>
  </si>
  <si>
    <t>…ón, si(no han querido .verse reducidos á la nada, han tenido que ocurrencia, conservándose la. mayor "tranquilidad en los habitantes. El goberna hacer protestación de fidelidad á l‘a monarquía dé Julio con stfs'Simpatías y es dor D. Alvaro, según notiáas, había dicho á sus amigos de confianza que.¿1 no peranzas. Nosotros anunciamos con extraordinario placer jas elecciones de la cedería mientras D. Miguel remase en Portugal. Es bien notable que se ¿segu capital, porque nos parecen" una prenda segura del espíritu que'animará á todos ía…</t>
  </si>
  <si>
    <t>…ués el renombre de Magnánimo por . Este intrépido oficial no ha sosegado hasta dar alcance al ene sus gloriosas empresas en Italia, hace un papel muy subalterno al migo, y su primer encuentro ha sido tan denodado como glorioso de D. Alvaro en la lucha que sostuvo á favor de sus hermanos los á las armas que manda, según verá V. E. por la copia del pane Infantes contra el Rey de Castilla. que ha remirido y acompaño á V. E.; no dudando que le servirá En efecto, Luna peleaba contra las pretensiones ambiciosas de de la mayor satisfacción…</t>
  </si>
  <si>
    <t>26/10/1834</t>
  </si>
  <si>
    <t>Gaceta de Madrid n.º 254 · suplemento</t>
  </si>
  <si>
    <t>…Sr. Presidente mamfeiró que el dia 19 del corriente hábil recibido del Albaidj y el conde González Cástejon, y por la de los Sre*. Procuradores Tos Eterno. Sr. E). Javier de Burgos um expo.icion que contenü la prtKc^ra que Sre«. D. Alvaro hlorcz fji'traHa , marques^de Mon?er!'r¿cn , D. Agustín Argue S. E. hacia contra la drcísión tomida por el Esramrnto en la anterior se»ion; lles, D. Antonio Alexia Cjaliano y P- Mariano Carrillo de Albornoz. cuya protesta preguntó al Estamento si le parecía que se le/ese en sesión pú Se mandó pasar…</t>
  </si>
  <si>
    <t>Alvat-i</t>
  </si>
  <si>
    <t>…ueldo de 6u9 rs., y es probable que estos señores preficrm judicial y la administrativa ó consultiva. Esta es, pues, la idea creadora-; digá este al de. Su9 rs. que les corresponde como consejeros.” moslo asi, de este consejo. hl Sr. Alvat-i z García: «Los Sres. Palarea y conde de Toreno, que me «Con solo anunciar esta-idea, se demuestra la conveniencia de que haya han precedido, han aclarado en parte la duda que á mí me ocurriá. Sin embar un consejo dónde se-reúnan las luces de ks personas que han sobresalido-en di go, me queda otra p…</t>
  </si>
  <si>
    <t>Alvatez, Antonio</t>
  </si>
  <si>
    <t>Antonio Alvatez</t>
  </si>
  <si>
    <t>28/06/1834</t>
  </si>
  <si>
    <t>Gaceta de Madrid n.º 131</t>
  </si>
  <si>
    <t>…men de este último será decisivo, y el comisario providen focar en , su origen: esta rebelión; y siendo uha de ellas la salida del teniente ciara con arreglo i él. Si los peritos discordes no se conviniesen en la elección «oropel D. Antonio Alvatez, comandante de armas del Puente, la verificó de un tercero que merezca la confianza de ambos, entonces las partes de la tro acompañado de&gt; ha "Urbanos del mismo pueblo y Miragentl, y tuvo la suerte pa y de la provisión nombrarán cada cual otro perito mas, cuyos cuatro sugede encontrar ún grupo de a…</t>
  </si>
  <si>
    <t>Alvear, Diego</t>
  </si>
  <si>
    <t>Diego Alvear</t>
  </si>
  <si>
    <t>…pidiéndole el cor alfabeto español con notas y adiciones , por D. Manuel Codorrtiu, prime? médico de respondiente título. ’ ejército fice. fice. Esta obra, acaso una de las mejores que hasta el día se ñan,escrito en Ha oficiado £ D. Diego Alvear, vecino de Montiila, para que le facilite medicina, es de grande utilidad no solo á rodas las clases de profesores del arre de cu rar r sino también á los aficionados A medicinas domesticas, pues se halla exenta del un diseño de una prensa hidráulica que existe en su poder aplicable á la mo absolut…</t>
  </si>
  <si>
    <t>Alver, Alejo</t>
  </si>
  <si>
    <t>Alejo Alver</t>
  </si>
  <si>
    <t>…■••' ';■&gt;!• Í-. : ,v- -'VU __^ nombrando ,|*|* 4# dos plazasVacantes deayudante cfelaRial cabale-J Real órdeu ítotobrando subdelegado ^principal, de policiá de h provincia de •riza en los cuartel1¿ Kwilaida y de cochas con muí» á D. Alejo Alver yá D- Joaquín'Jurado. 77)' _ , ■ ' ■; ■ —i__-‘hOmbéanck&gt; á Marios Lazino, esCribaaiyde Navalntoral de la Meta, noReal órden sobre introducir en el ejército el sutenta de instiTKÍcionprimariá tariO dé los reinos. (iVjím. 91.) ¡ de Valle jo. (Id) . • . , ' . VJ '- iítectftand» íráncos de portes los B…</t>
  </si>
  <si>
    <t>Alzaga</t>
  </si>
  <si>
    <t>…;pédesta 1 también dé mármol. Tiene lascara general Félix Alzaga. El artículo fue denunciado á los tribunales como libelo vuelta hacia el lado izquierdo; le cubre ima túnica senatorial; Cuyos pliegues infamatorio; y convencido el general Alzaga de haberle escrito, fue sentencia sossfcnidot por;áwbfii&lt;l6rtfzós se críizári jóbte!el pechó, y so actitud es la de up do á pagar una multa de 5UJ pesos. De esta.providencia dada el 31 de Mayo -orador! que diríger-fe palabra á una’aáámbléa pública con calma y meditación, apeló Alzaga á un tribunal sup…</t>
  </si>
  <si>
    <t>Alzaga, Félix</t>
  </si>
  <si>
    <t>Félix Alzaga</t>
  </si>
  <si>
    <t>…cómó él deseaba retirarse al seno de ja vida privada con la sola ■iiWfripcion: -Jórgé OarifliÜg riaéWítt'.lT de Abril de I77t&gt;: nutrió en 8 dé "recompensa de una reputación sin mancha, pedia que, la Cámara citase i su acusador el general Félix Alzaga . mandándole presentar los documento» en que apoyaba su artículo, y que á él se le diese el tiempo necesario pqra defender su J«!s:maobr;HaTtt«s^íüahtdSJés del eñt'eftHiiiiérita, con él calor del alma y 1 conducta cómo funcionario público. , -vroaiéifacciorisá) dél'bOfaztíh. Éníálzádqlóqr^u pfopiOf…</t>
  </si>
  <si>
    <t>Ama, León</t>
  </si>
  <si>
    <t>León Ama</t>
  </si>
  <si>
    <t>31/05/1834</t>
  </si>
  <si>
    <t>Gaceta de Madrid n.º 100</t>
  </si>
  <si>
    <t>…a 4 p, 100deal letra*,año. había aparecido en ella á mediado* del mes actual, sin que hasta aquella fecha Vio Bilbaof | &lt;L Santiago y { do ofreciese cuidado. ca ANUNCIOS. . Ai*waldtl Elector. Se hallará de venta en 1* imprenta ¿e D. León Ama- &gt;¡t^, plazuela de.Qelenque) y en la librería de Doña María Antonia de Sojo, - . Seis vais para guitarra sacados de la ópera Norma, i 6 fs., y para fiauta S J, Ver dadera galop, sacada de la ópera Ana Bolina, para plano a i. Rigodones sacadas de calle de Carretas, á 4 rs.'va. dícña ópera para plano.…</t>
  </si>
  <si>
    <t>Amado, José Rodríguez Tiso y</t>
  </si>
  <si>
    <t>José Rodríguez Tiso y Amado</t>
  </si>
  <si>
    <t>…es abusos, dividiendo’la dehesa entre los dichos pueblos. F.scmo. Sr. conde de Colomera.........................'....................................... 320 Con este motivo he dado comisión para que reuniéndose en el sitio que se D. José Rodríguez Tiso y Amado....................................................... 120 señale los alcaldes, regidores y mayordomos de las Vi 1 las de Aroche , Mora y El Excmo. Sr. duque del Infantado, por ro^no del contador de su casa Encinasola, como se previene por el capítulo 21 de la citada concordia de 14 D. Manuel González, entregó para socorro de los pobres enfermo» de Oct…</t>
  </si>
  <si>
    <t>Amador, Belix</t>
  </si>
  <si>
    <t>Belix Amador</t>
  </si>
  <si>
    <t>…as novedad particular. reales eu rústica y 22 en pasta. ------Pan y toros. Un cuaderno en 16.° de buen papel é impresión. Se hallará á 2 rea-» les rústica en la librería de Hurtado. ■ •Manifiesto sobre el cólera—morbo, por el Dr. D. Belix Amador, consultor del ejercito y jubilado en esta corte: en esta obrita se explica la causa productora de diebo ESTADO SANITARIO DEL REINO. morbo; Us partes del cuerpo en que ejerce su* primeros estragos; los Síntomas que acompañan á cada uno de sus cuatro períodos; las dos diferencias de estados álgidos…</t>
  </si>
  <si>
    <t>Amador, Félix</t>
  </si>
  <si>
    <t>Félix Amador</t>
  </si>
  <si>
    <t>…estro Señor á sus dominios. aili abogados que tengan ínteres en dilatarla. Las partes defienden ellas mismas su causa, y presentan sus pruebas y testigos. Rara vea es un orador interrum Método curativo del cólera—morbo por el Dr. D. Félix Amador, el cual ha produ pido, aunque los discursos suelen durar algunas horas; poseen una verdadera cido los mas felices resultados en esta corte. Se vende en la librería de Sojo calle ae Car elocuencia, y son atrevidos y noble* en tu expresión,&gt;y dignos y enérgicos en retas , en la de la viuda de Cruz f…</t>
  </si>
  <si>
    <t>Amador, Salvador</t>
  </si>
  <si>
    <t>Salvador Amador</t>
  </si>
  <si>
    <t>…carnaval, á 5. Noches de carnaval, ó colección En arquitectura fueron premiados en 1.a clase con una medalla de oro Don de piezas para bailes de sociedad, puestas p.tra piano y guitarra,"á 10. Se hallará eu Francisco Henriqucz y D. Salvador Amador por haber parecido igualmente dig Madridy en Vailadoliden los almacenesen la libreríade músicade Rodrigue2.de Hermoso y Carrafa : en Cádiz en el de Moya, nas las obras que presentaron, y en 2.a con una medalla de plata D. Nicolás *------Por providencia del supremo consejo de Hacienda se cita al due…</t>
  </si>
  <si>
    <t>Amali, María Joséfi</t>
  </si>
  <si>
    <t>María Joséfi Amali</t>
  </si>
  <si>
    <t>…e la archiduquesa '.Federica Sofíii dé Pueblos. • ' Pias. ;./.i 1 Enfermos. 1 Curados. Fallecido!. Ba viera, de la’ Princesa Auñalia Augusta, esposa del Príncipe Juan Neponüiceno: de Sajorna, hermano de la difunta Reina de España Doña María Joséfi Amali»;ry.de lá Princesa Isabel Luisa, esposa del Principé heredero de Prusia. Fuentenovilla.. 18 á 23 Óctiibre. ' 39 ‘ 29 2 . En. Í8oy fue flecho Prínc^ fie Vénecia , y adoptado como MJS por el Illana............ 17 á 24 ídem.... , 21 16 00 Emferador Napoleón, que le declaró heredero del reinó de Italia…</t>
  </si>
  <si>
    <t>Amalia</t>
  </si>
  <si>
    <t>…en el cual se determina »el modo de liquidar y pagar los.créditos su^ llegada k España á consecuencia*del decreto df: amnistía , que-llamó á la pa qué resulten contra la casa Real de Carlos x.” tria ramios desgraciado?, manifestó Doña Amalia un eficaz deseo de reconci Por ijo haber suficiente númeyo de diputados se'Ievanta la sesión. liarse cóñ la Santa Iglesia católica apostólica romana : pidió ál M. R. cardenal • IDEM BB IOS 7AKK8.__ Setion del día 12. arzobispo de Toledo se dignase recibir su profesión de la fé católica, y á S. M. l…</t>
  </si>
  <si>
    <t>…dei dia II. bles noticias^ adoptando por consiguiente las respectivas juntas mu Otra. Cuando se anunció en la Oaceta, nútn. 39, el vlage de ta cor nicipal» ltó medidas y precauciones que para semejantes casos prca- beta de vapor Reina Amalia, propia de la Real compañía del Guadal quivir , se omitid la circunstancia de que los precios y demás condicio criben los-reglamentos y órdenes del ramo, y con especialidad la nes de trasporte, son distinto* hasta Bilbao que ios que se anuncia roa 4» 23 4* Setiembre del año 'últimoy 13 de Febrero a…</t>
  </si>
  <si>
    <t>Gaceta de Madrid n.º 305 · suplemento</t>
  </si>
  <si>
    <t>…él las tormentas políticas; y á la Nación.por demasiado,.flaca, es ,1a escriturado (orgáda por cl Se. D. Féroatado vu en favor que deja la líberjtad á sus Procuradores de mirar por sus- intereses, sin que ea de su Esposa la.Reina Doña Amalia para eí caso de que le sobreviviese. Hallán ningún caso pueda verse comprometido el decoró de la corona. dome en aquella época encargado de un ramo de la administración, como tal «Supuesto , pues, que en esta discusión cabe la misma libertad absoluta tuve que tomar conocimiento de la escritura de q…</t>
  </si>
  <si>
    <t>23/10/1834</t>
  </si>
  <si>
    <t>Gaceta de Madrid n.º 251</t>
  </si>
  <si>
    <t>…sión alguna desde el día iá del corriente. millones de reís, la cual será-reducida a ÍA-mitad en el caso en que S. M. I. determine fijar su residencia fuera de estos reinos. PROVINCIA DI TARRAGONA. 2. ° «J^ue sc dé á S. A. I. la Princesa Amalia yma pensión mensual de 4-009 reís. ‘ j. . .. ' ¥*arte sanitario Jet día 14 de Octubre; 3. ° »’Quc en el caso de variar las circunstancias, ó por fallecimiento de estas augustas personas, ó por otro cualquier motivo, las Cortes resolverán y Pueblos. Dias. Enfermos. Curados. F*ilec¿do*&gt; providenciara…</t>
  </si>
  <si>
    <t>…ngua castellana , por O. Jacobo Saguenlza ; un tomo en 8-13 Be vende en ia librería de Sojo á 4 rs. en rústica y 6 en pasta. vtijtua de.cadivcret» artoai, prisioneros» equipagcs# caballos y otros efectos: ■ .i L% corbeta de vjpor Reina Amalia, propia de la Real compaftia del Guadalqui vpor.aJUésfia parte eolo hemos tenido un corto número de heridos* K| P°r m®“ vir, ampliará su vtage para la Coruña y Santander basta Bilbao, anunciado en la Ga ñor de esta brillante jornada no me es posible detallar , pues .concluida la a§— ceta oúm. 35, a…</t>
  </si>
  <si>
    <t>Amalia, Augusta</t>
  </si>
  <si>
    <t>Augusta Amalia</t>
  </si>
  <si>
    <t>…, Du del gobierno. El Sri Jervir manifestó en un breve discurso que la comisión que de Leuchtemberg, de gloriosa memoria, v la muy alta y muy excelente encargada de liquidar las sumas que se adeudan á los oficiales debe p'roceder Señora Augusta Amalia, Princesa Real de Baviera. con mucha cautela para evitar toda sorpresa; con este motivo hicieron presen «El ministro comisionado por S. AL la Rema de Portugal y de los.Al— te algunos Diputados que todavía estaban sirviendo destinos, tanto civiles co garves declaro que dicha augusta Señora había apr…</t>
  </si>
  <si>
    <t>Amalia, Isabel María y Doña María</t>
  </si>
  <si>
    <t>Isabel María y Doña María Amalia</t>
  </si>
  <si>
    <t>…ión acaba de darme por medio de sus representantes, paga con usura to tribuna destinada para SS. MM. la Reina y la Duquesa de Braganza, SS. AA* dos los sacrificios que tengo hechos por, su causa. Yo os ruego que hagais co la Sra. Doña Isabel María y Doña María Amalia, la marquesa camarera ma nocer á las Córtes mi reconocimiento, y que estoy pronto á continuar gustoso yor, y las damas de SS. MM. y A A. A la derecha del trono sobre el pavi eri jan importante y delicado, encargo, sacrificando hasta el último trance mi mento de la sala estaban las sillas que debían…</t>
  </si>
  <si>
    <t>Amalia, Mana Josefa</t>
  </si>
  <si>
    <t>Mana Josefa Amalia</t>
  </si>
  <si>
    <t>…e la imprenta Real. I id.: aguardiente, a l^'id. ,’ Oración fúnebre en las solemnes honras celebradas en el día 3 de Julio de 1829 por ~‘-TátJrugona. Trigo,:á48 rs. cuartera: centeno, 4 32 id.: cebada, 4 20 id.: el alma de £&gt;. M. Doña Mana Josefa Amalia en la catedral de Crudad-Rodrigo, que maíz., á 24 id.: habichuelas, á 4® id.: avellanas/ á Stí id.: arroz, átí re. quin pronuncio s» confesor el limo. Sr. D. Pedro Ramírez de la Piscina. Ua cuaderno e* edición de rústica. o maybr, 1829. á 2 rs. tal : aceite , á 42 rs. arroba: algarrobas ,43 id.: vi…</t>
  </si>
  <si>
    <t>Amalia, María</t>
  </si>
  <si>
    <t>María Amalia</t>
  </si>
  <si>
    <t>…or medio de sus representantes, paga con usura to tribuna destinada para SS. MM. la Reina y la Duquesa de Braganza, SS. AA* dos los sacrificios que tengo hechos por, su causa. Yo os ruego que hagais co la Sra. Doña Isabel María y Doña María Amalia, la marquesa camarera ma nocer á las Córtes mi reconocimiento, y que estoy pronto á continuar gustoso yor, y las damas de SS. MM. y A A. A la derecha del trono sobre el pavi eri jan importante y delicado, encargo, sacrificando hasta el último trance mi mento de la sala estaban las sillas que debían…</t>
  </si>
  <si>
    <t>Amaña</t>
  </si>
  <si>
    <t>…e que ligioso acto. trata de pensiones gratuitas por no haber suficiente número de diputados. Se A las once de la mañana llegó á las puertas de dicha iglesia en su carroza levanta la sesión. el Excmo. Sr. comisario, acompañado de Doña Amaña, sus hijos y esposo: _El ministro de la Instrucción pública acaba de autorizar á 28 jóvenes po salió á recibirlos el cura párroco de Santa María la Real de la Almudena , por lacos refugiados en Poitiers para que puedan matricularse gratuitamente en la hallarse indispuesto el de S. Ginés, con el cle…</t>
  </si>
  <si>
    <t>Amar</t>
  </si>
  <si>
    <t>…dió licencia á Mehcmet-Alí para ir á Fran guipuzcoanos en las inmediaciones de Segura. Concluye el general cu gefe di cia á visitar su familia; pero el virey le hizo unas promesas tan halagüeñas para ciendo que según noticias del coronel Amar 'desde Peralta, ha .mejorado el que no marchase, que tuvo que ceder M. de Cerisy. H1 “do recompensado espíritu público desde la última expedición; que habían pasado por el mismo dándosele un terreno á la orilla del canal de. Mahmondiey, y Meheraet-Alí Peralta con dirección al perecer á Cataluña dos…</t>
  </si>
  <si>
    <t>Amar, Felice</t>
  </si>
  <si>
    <t>Felice Amar</t>
  </si>
  <si>
    <t>…n fueron atacados, causando al enemigo la pér - — De Jesu-Christi Ecelesia tractatus. Pars prima, contínens e[us suminarium hiuodida de 4 muertos y bastantes heridos , contándole entre los primeros el fa- ricum: auccore limo. T&gt;. D. Felice Amar» archíepiscopo palmj’remi &amp;c.; Barcimme es mis 11 rs. Este cada el uno en rustica. de las estu universidades por el -tnoso Gervasio de Castrillo; añadiendo á V. S. que los pormenores de esta typismo compendioJ. Ver-laguercastellano1830. Dosquetomosse mandóen 8.áusar en plan brillante acción han dej…</t>
  </si>
  <si>
    <t>Amar, Félix Torres</t>
  </si>
  <si>
    <t>Félix Torres Amar</t>
  </si>
  <si>
    <t>…el caso ex - —Los suseriptores á ta a.* edición de la Sagrada Biblia en latín y castellano, tra traordinario de hallarse el reino sin Rey ni heredero de la corona: pero debip ducida por el ilustríslmo Sr. obispo ele.tode Astorga D. Félix Torres Amar, podrán' que á la de Búrgos el tomo recoger imprenta á del aotiguo Testamento, a.0haber recurrido la junta central á lo que previene la ley 3.* del título 15 de acudir los los dos del los dos de Es- de los, contiene Paralipdmenoq, Reyes, cuatro libros la 2.a partida para el caso mas análogo, cuales…</t>
  </si>
  <si>
    <t>Amarillas</t>
  </si>
  <si>
    <t>12/08/1834</t>
  </si>
  <si>
    <t>Gaceta de Madrid n.º 177 · suplemento</t>
  </si>
  <si>
    <t>…r sus papeles y Conformándose el Estamento con el dictámen de la comisión de Poderesdocumentos. se aprobaron los de los Sres. Procuradores-siguientes: D. José'V’ilIanueva, Don El Sr. duque de Rivas contestó que la proposición del Sr. Amarillas es Ma reos Martin, D. Ventura Mena y D. José Ciarós, por la provincia de Ba taba bien clara, porque precisamente concluía diciendo, que al Gobierno com- dajoz; D. Pedro Bermudez del Villar, por la.de la Coruña; y D. Francisco ¡Se petia decir los Próceres que estaban en el caso de no poder venir por…</t>
  </si>
  <si>
    <t>Amat</t>
  </si>
  <si>
    <t>Gaceta de Madrid n.º 271</t>
  </si>
  <si>
    <t>…61,401 habitantes; en el dia puede evaluar Los suserlptores 4 la Colección de estampas, arreglada Ala nueva edición de la se la población en 8 millones, de los cuales son protestantes 1.5009, y cató Biblia, traducida por el limo. Sr. Amat. pueden recoger las correspondientes al to mo 3.° del antiguo Testamento, que acaba de publicarse en la imprenta y almacén de licos 6.S009. Entre los protestantes no hay mas que 6009 que pertenezcan á libros que fue de Fuentenebro, calle de Fuencacral, nüm. 6, donde únicamente conti la Iglesia angli…</t>
  </si>
  <si>
    <t>Amat, D Félix Torres</t>
  </si>
  <si>
    <t>D Félix Torres Amat</t>
  </si>
  <si>
    <t>…ue se presentaron las jóvenes matanceras, con Los susctlptores 4 la segunda edición de la Santa Biblia en latín V castellano, tándose mas de ciento útiles, para bailar $ y 3 la par que lucieron sus hermosos traducida por el limo. Sr. D. Félix Torres Amat, obispo de Astorga. podtñn acudirñ talles con la elegancia y riqueza de sus vestidos y adornos, lucieron aun mas la imprenta de Borgos 4 recoger el romo 3.° del antiguo Testamento y adelantar él im los sentimientos que las animaban, manifestándolos cón la elección que hi porte del 4.0, que es el úl…</t>
  </si>
  <si>
    <t>Amat, Félix</t>
  </si>
  <si>
    <t>Félix Amat</t>
  </si>
  <si>
    <t>18/02/1834</t>
  </si>
  <si>
    <t>Gaceta de Madrid n.º 22</t>
  </si>
  <si>
    <t>…rales como los pajjjculares; y deseando acelerar Jos beneficios que deben resul tar de esta medida, he tenido á bien nombrar para la expresada comisión espe Excmo. Sr. : He dado cuenta á S. M la Runa Gobernadora de una ins cial á D. Félix Amat, obispo electo de Astorga; á D. Diego Ciemencm , mi tancia de 1)- Viente chiivo, corregidor subvic.cgado de Renr.,s ce L’Croño, nistro honorario del Consejo supremo de Hacienda; y a I). Juan Nicumo Ga en solicitud de que se dolare no haber incompalib. idad entre e. ;N:r^iív' dd llego, canónigo de l…</t>
  </si>
  <si>
    <t>…................. lao lio. Tara el Itemo.......... ....... 3*io ifto 8o. de Córreos. Para Uananas........ ....... 38o I (jü yS. Para ludias.............. ....... 4°° aoo xoo. GACETA DE Af AlDRID. ARTICULO DE OFICIO. po de Astorga D. Félix Amat; al R. obispo de Huesca D. Lorenzo Ramo de San Blas; al R. obispo que fue de Cartagena D. Antonio La Reina nuestra Señora Doña Isabel ir, y S. M. la Reina Posadas; al R. obispo que fue de Mallorca D. Pedro González VaGobernadora , siguen en el Real sitio de Aranjuez sin novedad llejo; al R. obispo…</t>
  </si>
  <si>
    <t>Amat, Félix Torres</t>
  </si>
  <si>
    <t>Félix Torres Amat</t>
  </si>
  <si>
    <t>…e presentaron las jóvenes matanceras, con Los susctlptores 4 la segunda edición de la Santa Biblia en latín V castellano, tándose mas de ciento útiles, para bailar $ y 3 la par que lucieron sus hermosos traducida por el limo. Sr. D. Félix Torres Amat, obispo de Astorga. podtñn acudirñ talles con la elegancia y riqueza de sus vestidos y adornos, lucieron aun mas la imprenta de Borgos 4 recoger el romo 3.° del antiguo Testamento y adelantar él im los sentimientos que las animaban, manifestándolos cón la elección que hi porte del 4.0, que es el úl…</t>
  </si>
  <si>
    <t>Amat, Pedro Rico y</t>
  </si>
  <si>
    <t>Pedro Rico y Amat</t>
  </si>
  <si>
    <t>…Flaza, cura del Carpió. Celebró el limo. Sr. obispo de Oajaca, asistiendo los Excmos. Sres. Patriar ca de las Indias y obispo de Tortosa, y los limos. Sres. obispos de Canarias y de Orihuela; y pronunció la oración fúnebre el Dr. D. Pedro Rico y Amat, predicador de S M. - ■ . , - Presidió el Excmo. Sr gobernador civil de esta provincia á la cabeza del El Excmo. ayuntamiento de Madrid celebró en los dias 2(5 y 17 del mis ayuntamiento, por quien fueron convidados los Excmos. Sres. Secretarios de mo mes de Mayo sus exequias en el grandioso templo…</t>
  </si>
  <si>
    <t>Amat, Torres</t>
  </si>
  <si>
    <t>Torres Amat</t>
  </si>
  <si>
    <t>04/02/1834</t>
  </si>
  <si>
    <t>Gaceta de Madrid n.º 16</t>
  </si>
  <si>
    <t>…ispo de Pálmira: un tomo en 8.° a 14 rs, en pasta. Véndese en la librería de la ▼luda de Qulruga, y en Btrcelona en la de Sierra. En las misrhas se hallarán laj plá &gt; Vttrdun. ticas y sermones del limo, Sr. Climent: la Hitiia del Sr. Torres Amat: el Arte de toSegún noticia* recibidas en Vitoria el 31, parece que el general en gefe se vir en pdnt con lot hombres \ el Curso de fiiosoJia , de la 5 a edición &amp;c. Al . fluHaba el 3tí er»~Ecínuri, y los ratos de la facción que huia del Pirineo, en — ■■■Dúcroááffg italiano espuHolx compuesto y fie…</t>
  </si>
  <si>
    <t>Amau, D Pedro</t>
  </si>
  <si>
    <t>D Pedro Amau</t>
  </si>
  <si>
    <t>…os Amsterdam, 00. París, 16-4- Cádiz* 1| b. Sevilla* i b. tenida por la partida del regimiento infantería, &lt;S¡° ligero, al mando del Bayona, 00. Alicante, acorto pla Coruña, * d. Valencia, id. Id. 'catKt&amp;n D. Lucas Pineiro, y del teniente D. Pedro Amau, quienes nada me Burdeos, 00. zo, * b. Granada, Id. id. Zaragoza , $ 4* SdepToh que desear, despreciando el fuego que los enemigos dirigían de las Hambufgo, 00. Barcelona, &amp; ps. fs., Malaga* ¿ b. Descuento de letras, 4 90 días, Londres. 1 i id. Santander* id. a 4 p. 100 al año. ■ Bocas-calles y cas…</t>
  </si>
  <si>
    <t>Amau, Pedro</t>
  </si>
  <si>
    <t>Pedro Amau</t>
  </si>
  <si>
    <t>…dam, 00. París, 16-4- Cádiz* 1| b. Sevilla* i b. tenida por la partida del regimiento infantería, &lt;S¡° ligero, al mando del Bayona, 00. Alicante, acorto pla Coruña, * d. Valencia, id. Id. 'catKt&amp;n D. Lucas Pineiro, y del teniente D. Pedro Amau, quienes nada me Burdeos, 00. zo, * b. Granada, Id. id. Zaragoza , $ 4* SdepToh que desear, despreciando el fuego que los enemigos dirigían de las Hambufgo, 00. Barcelona, &amp; ps. fs., Malaga* ¿ b. Descuento de letras, 4 90 días, Londres. 1 i id. Santander* id. a 4 p. 100 al año. ■ Bocas-calles y cas…</t>
  </si>
  <si>
    <t>Ambos</t>
  </si>
  <si>
    <t>…m , 00. París 16 4 r6-i. Cádiz *4 * b. Sevilla í d. che del 3 en Greño, tres leguas de Maestú en la direcion de Salvatierra. Bayona, 00. Alicante á corto pla Corulla. | d. Valencia par. Burd-os, 00. zo par. Granada id. Zaragoza | d. Ambos gefes salieron á perseguirlos, con el fin de completar su dispersión, H jmburgo, 00. Barcelona 4 pesos fs. Málaga i á 4 b. Descuerno de Ierras que ha principiado. A la llegada del coronel Tolrá á S. Román huyeron en Lóodres á 90 días J 4 1 b. Santander par. 4 4 p. zoo al afio. diferentes direccione…</t>
  </si>
  <si>
    <t>Ambrosio</t>
  </si>
  <si>
    <t>…é Irigoyen. autoridades en los pueblos de su respectiva jurisdicción, harán reconocer los ar tículos presentables, y marcar y sellar el cajón, caja, tonel, bulto 6 pliego que S. M. la Reína Gobernadora ha tenido á bien nombrar á D. Ambrosio los contenga, y devolverlos en esta forma al dueño, con una certificación que de Eguia é Irigoyen comisario regio de la provincia de Guipúzcoa, con di ob exprese lo que contiene cada cajón 6 bulto sellado, y asegure estar elaborados jeto de que inquiera lo que juzgue conveniente sobre los delitos de co…</t>
  </si>
  <si>
    <t>América, Malcolm</t>
  </si>
  <si>
    <t>Malcolm América</t>
  </si>
  <si>
    <t>…os empleados en la Real fábrica de cigarros de) bable que esta providencia nace de no haber atendido el gabinete ruso las ob Almansa. (el alcalde mayor y ayuntamiento de) servaciones de la corte de Londres, y también lo es que el almirante Malcolm. América, 14 de línea, (el coronel, gefe , oficiales y tropa del regimiento de) bloqueará et paso de Los Dardáñelos, si la Puerta no escucha el contenido dé Arévalo. (el ayuntamiento de) Jas notas de Inglaterra y Francia con respecto al tratado que ha Hecho con lá Arnedo. (el alcalde mayor y ayuntamiento de…</t>
  </si>
  <si>
    <t>Amescuas</t>
  </si>
  <si>
    <t>Gaceta de Madrid n.º 165 · suplemento</t>
  </si>
  <si>
    <t>…e su co mi particular gratitud el bizarrísimo primer batailoQ del 6° ligero de infan nocido celo por el servicio de la Ruina, siendo mi intención doblar las tería , con la 1.a compañía de cazadores del regimiento infantería de la Reina, Amescuas en seguida por los puertos de Vicuña , Opacha y Muoiain , á fin de 2. ° de línea, que á mi vanguardia hicieron prodigios de valor, tomando el obligar á los enemigos con una batida general á salir de aquellas guaridas, y puerto de Olazagoitia equivalente á una brecha muy impracticable. que su grueso…</t>
  </si>
  <si>
    <t>Amigo, El</t>
  </si>
  <si>
    <t>El Amigo</t>
  </si>
  <si>
    <t>11/01/1834</t>
  </si>
  <si>
    <t>Gaceta de Madrid n.º 6</t>
  </si>
  <si>
    <t>…on , Etiennc, Guillon, Jacqueminot,Vicnnet, Duffauh, y el resultado no puede ser otro sino un menoscabo para la industria francesa Bignon y Odier. Se levanta la sesión. é inglesa que irá en aumento á la par del desafecto del Gran Señor. ____ El Amigo del pueblo de Berna repite la voz general de que el gran con El almiranteRoussin ha podido conocerlo mejor que ningún otro, pues no sejo del cantón de Fribourg ha decretado el establecimiento de una constitución se le ha ocultado que el comercio francés ha sostenido con trabajo durante los federativa,…</t>
  </si>
  <si>
    <t>Amirillas, Jas</t>
  </si>
  <si>
    <t>Jas Amirillas</t>
  </si>
  <si>
    <t>…ó se le 'permitiera prestar por po documentos que. los que se mencionan en e! dictimeiiHeido^ y que entre ellos der especial, S. E.Je jien©hecho en só ánásno.de coadyuvar al bien de la Na no se halla la cónsulu que citó c! Excmo. Sr. Jas Amirillas. ción, y no faltará á él aunque_$&amp;. desplome el firmamento. Enterada el Esu-? Manifestando este Excmo. Sr. que convendría qut*\¿ tuviera pre*ente es tti&amp;ttr acordó se dijesebaberaido esta «nuH&amp;stactofl con agrado* te fiocuttKrUo, se acordó se pidiese al Gobierno, y se fntprhpiese cón e‘ * ¿Jtb-Eapmo…</t>
  </si>
  <si>
    <t>Amo, Benito</t>
  </si>
  <si>
    <t>Benito Amo</t>
  </si>
  <si>
    <t>…n á buscar al enemigo después de 21 dias de incesantes vasen , sin empeñar acción alguna , mientras yo me enteraba del movimientos y de marchas de ocho y mas leguas con que ha acu terreno. Los tenientes adictos á esta plana mayor D. Benito Amo dido esta brigada á los puntos y objetos á que V. E. se ha digna res y D. Antonio Pelaez, á quienes encargué el cumplimiento de do destinarla; siéndome muy sensible que una fatal ocurrencia, hi mis órdenes, me participaron estaba formado en columna á la fal ja de esta especie de guerra y del inmens…</t>
  </si>
  <si>
    <t>Amoi</t>
  </si>
  <si>
    <t>…hallaría dicho general ca gefe en Lería para pro teger á Linares, y su convoy, habiendo prevenido al general Lorenzo marcha» ____ El periódico Etendard que se publicaba en Roterdam, ha sido suprimi el día 7 á Merídigorria , y ai coronel Amoi que desde Falces se dirigiese á Lardo después de la prisión de su editor M. Thompson. Este, según el diario de raga , adonde el general en gefe pasó con la brigada de Oráa y la de reserva, Haya, es acusado de haber tenido correspondencia con algunos de los minis mientras que Linares debía efectuarl…</t>
  </si>
  <si>
    <t>Amonio</t>
  </si>
  <si>
    <t>Gaceta de Madrid n.º 236 · suplemento</t>
  </si>
  <si>
    <t>…idores. Por mas que éstas leyes lleven el sello característico del siglo gues, Belda, López, Osea, Vicedo, Carrasco, Chacón, Somoza, Otaros, en que. .se-establecieron, ello es que forman parte de nuestxcs-códígos,-y que González (D. Amonio) , Mario, García Atocha, García Carrasco , Domecq, como jueces y como legisladores no podríamos menos de respetarlas hasta que Ulloa, Trucha, Alcalá Zamora, López Pedraza, conde de las Navas , Bel- otras nuevas las derogasen y condenasen al olvido. &lt;Pero quién no ve al lado monte, Caballero , Cano…</t>
  </si>
  <si>
    <t>…plaudido este sentimiento generoso de V. M.; pero la Manuel (padre), Vera, Visedo , Belda, Abargues , Paco Cánovas , Chacón, amnistía no satisface todavía él voto público, porque bien sea perdón ú olvi Carrasco, Somoza, González (D. Amonio), Mena, Claié*, Marín, Villa- do »los empleados de aquella época llevan una mancha de imaginario crimen nueva, Torreas, Chavan-i, Rivaherrera, l.arriva , García Carrasco, Atocha, que los aleja de los destinos que sirvieron con honor y fidelidad. La justicia y UUoa, Domecq , Tosquellas , Cuevas, Mig…</t>
  </si>
  <si>
    <t>…se dicha dotación, Los que desaprobaron.fücTbn los Sres, Otazu, Rodríguez Paterna, Ro £ menos que no se demostrara ser insuficiente lo que quería señalarle para aten dríguez Vera, Belda, Osea , Visedo , Chacón , CUrós , González (D. Amonio), der al decoro y esplendor del troco. Mis ideas , señores, en cate punto son de Marín, Mena, Llano Cbavam, Totrcm, Sampoqts. Palaudirias, Lar riba, que el trono se parezca al sol con respecto á las estrellas, y quiero que aquel Rivah'errefa, marques de Vil lacampo , Ontiveros, Domecq, Montes de Oc…</t>
  </si>
  <si>
    <t>Amonio, González CD</t>
  </si>
  <si>
    <t>González CD Amonio</t>
  </si>
  <si>
    <t>…roveer las vacantes en ellos, y «El Sr. González ha dicho que podía computarse en 20 ó 30 los indivi concluyó manifestando que aprobaba el artículo. duos de las catedrales: en sola la de Santiago tengo idea de que hay 20 digni El Sr. González CD. Amonio): «El artículo 6.° no debía ocupat la dades, inclusos los cardenales; 4ó canongías y 2zj penitenciarios, confesores de atención del Estamento, porque parecé que las mismas reservas se deben hacer peregrinos; y esto después de escasear mucho la concurrencia de peregrinos á del derecho que tienen los…</t>
  </si>
  <si>
    <t>Amonto</t>
  </si>
  <si>
    <t>…eú la ¡sociedad culta, y no pueden dispensarse. Tal es tener carAbargúeS , fieldá, Osea , Visedo, Carrasco , Chacón, Sorooza, Tejar, Clarós, ruage y otras cosas por el mismo estilo, para no hacer, respecto de los demas, González (D. Amonto), Maritl, Mena;, Uarióy Sámponts, Palaudarias, Puig, un papel desairado. El ejemplo citado por el Sr. Torremejía de no tener aqui XarTÍva .Klvahérrera, marquesde Villacampo» García CarrascO , Ontivcros, los oficiales de Secretaria mas que 4t‘® **•» advierte el Gobierno que redunda Dotnecq, UlloarMo…</t>
  </si>
  <si>
    <t>Amor</t>
  </si>
  <si>
    <t>…que lo e.- el ly, y tomó el matizo de las fuerzas de Navarra, reuniendo las columnas del ta¿.igualmente del de los que pertenecen al de esta capital, para que oyendo á brigadier Oráa y del coronel Barrena, con las cuales y la dei coronel Amor sé Jos ayuntamientos me manifiesten en qué pueblos hay necesidad de establecer hallaba en Esteila el 22 para continuar el dia siguiente sobre los facciosos que maestros, y qué arbitrios existen ó pueden adoptarse para su dotación. se habían retirado al Valle de Araquíi. El brigadier Linares crin la…</t>
  </si>
  <si>
    <t>Gaceta de Madrid n.º 2 · extraordinaria</t>
  </si>
  <si>
    <t>…as en Vizcaya por la rapidez y acertados movimientos del ejército de operaciones del norte de España al mando del general Valdés, han producido la disper sión de las fuerzas de Zavala y Latorre, cuyos restos fueron batidos por el coronel Amor," según aparece del siguiente parte de este gefe al expresado general. «Ejército de operaciones.^Columna volante.— Excmo. Sr..- Dije á V. E. en mi parte anterior que seguiría la marcha en persecución de la facción de los cabecillas Zavala, Latorre y demas, visto el entusiasmo y disposición de la tr…</t>
  </si>
  <si>
    <t>Gaceta de Madrid n.º 16 · suplemento</t>
  </si>
  <si>
    <t>…S. manifestárselo asi á dicho Sr. coro nel. De resultas de mi marcha á Lumbier se dividieron los enemigos en tres trozos, diri giéndose uno á Sangüesa , al que ha perseguido constantemente el brigadier Oráa con su bri gada, y el coronel Amor con la caballería, habiendo tomado varios prisioneros, caballos y armas, y continúa sobre ella hasta lográr su exterminio. La piiilcipal as- diiluít» al Dasian, ailumjv, uiwntliiú v.1 gcucidl LülCU/u l3 primfHl división, y yo con la segunda por cerros, sin caminos y en un tiempo infernal con tres c…</t>
  </si>
  <si>
    <t>…e la tarde, que á las cuatro de ayer tarde pasaron con unos 300 caballería estaba i la parte de Lumbier, lo avisé al brigadier D. Dionisio Ma— caballos y dos compañías de infantería por el pueblo de Lerga con direccipn á riella y coronel Amor ,que con las brigadas de su ipando s?. habían dirigido Tafalla, saldré mañana al amanecer para dicha ciudad, con el objeto de ata hácia el valle de Olza y tomaron la dirección de Lumbier, y siguen hoy la de cados, si tengo fa suerte dé encontrarlo^, ó perseguirlos hastahacerles salir de Tafalla hab…</t>
  </si>
  <si>
    <t>…e pondrán á continua rentes ocasiones les hicieron retroceder con precipitación y verción , añade que el 4 emprendería de nuevo las operaciones con el güenza de su empeño decidido, á que fue consiguiente la perdidamismo vigor. El coronel Amor con su columna de infantería y horrorosa que sufrieron durante cuatro horas del mortífero fueaocaballería procedente de Rioja, donde concurrió á la derrota y ex que se sostuvo, hasta que yo ordené se replegase á otra posición depulsión del cabecilla Basilio García, se acababa de unir al general ret…</t>
  </si>
  <si>
    <t>…lo que invita 1.® v 3 del corriente desde S. Vicente de Arana v Ugartc- Araquil , las bizar á la sociedad á que señale el origen-de este privilegio y proponga d medio de ras tropas de la columna de su mando v tic la cahaHena del coronel Amor ha destruirle y de acrecentar la población, concillando al propio tiempo los inte bían logrado dispersar los facciosos que perseguían , y .1 ios que no habían podi reses de los actuales dueños. E»t« abuso' ha sido causa de que en muchas dehe do obligar á combatir huyendo en divagas direcciones.</t>
  </si>
  <si>
    <t>…e Bohorques y Guiraldez. El general en gefe del ejército de operaciones desde su cuartel general de Finalmente, repartió la sociedad varios tornos de hilar lanas á algunas ni Vitoria manifiesta con fecha del 9 &lt;jue la columna del coronel Amor, después ñas pobres para estimular la enseñanza que dicho cuerpo tiene establecida en el de haber pernoctado la noche anterior en Orozco* se había dirigido sobre Bil Albaicin. bao en la mañana de aquel dia, sin haber tenido novedad en su marcha: que Concluido este acto, el P. Fr. Juan de Hinojosa,…</t>
  </si>
  <si>
    <t>…taría próximo ¿ tocar en mento: de cargar; y mi ayudante el alférez de granaderos i caballo de la guardia Briviesca, se trasladase con la fuerza que allí se hubiese reunido á la Berzosa, y Real D. Federico Abadía, dió la ótdcn al coronel Amor de que lo verificase yo continué rápidamente sobre este pueblo con.mi pequeña columna. - , con la fuerza de su mando; pero nuestra caballería, aménazada por su frente «Como el encuentro de los rebeldes se habia verificado en el punto de por la enemiga, y acribillada por el fuego del batallón que la fl…</t>
  </si>
  <si>
    <t>…onserva Avila como genta Gobernadora, debiendo añadir con e^te motivo , que el bn¿aCier coro blasón y timbre de sus heroicas armas la representación de este suceso. ne. I Oraa con la brigada de su mando r s&lt;&gt;',o la caballer a del coronel Amor, acto segundo de la proclamación se ejecuta en la plaza pública, y desde continúa la activa persecución de los batallones rebeldes 3.° v 4-°» y su caba allí se va al Real alcázar, sobre cuyos altos muros se verifica la tercera, que llería compuerta de I 5f» caballos, en muy mal estado, y que huven…</t>
  </si>
  <si>
    <t>Gaceta de Madrid n.º 245</t>
  </si>
  <si>
    <t>…los Arcos por el N. de Logroño, paralelamente al Pajares solo había sido invadida una persona, la cual habla muerto» Ebro, y pasó este rio en la mañana del 11 por el vado de Tronconegro, en contrando con las fuerzas avanzadas del coronel Amor, comandante general, PROVINCIA DE BURGOS. de las dos Riojas: ei 12 salió de Uñones; y pasando á la vista de Haro, sin detenerte, repasó el mismo río, dirigiéndose por la Bastida á la montaña. Parte sanitario de 11 de Octubre. El general Córdoba llegó en su_seguimiento el 12 á Logroño , y al ama nec…</t>
  </si>
  <si>
    <t>22/03/1834</t>
  </si>
  <si>
    <t>Gaceta de Madrid n.º 36</t>
  </si>
  <si>
    <t>…luidas. ......................... .. 4^0. El mismo comandante militar de Logroño avisaba que el dia 18 habia lie-* Id. abiertas en piedra viva.................... ..................................... 4^- gado ¿ aquella ciudad el coronel Amor con 250 infantes y 50 caballos para Id. en tierra y laja........................................................................... 2000. perseguir á la facción de Basilio, lo que verificaba en el momento saliendo para Id. en tierxa...................................................................…</t>
  </si>
  <si>
    <t>…n su , ,-.-El gran duque de Hesse Darmstadt ha nombrado al príncipe Emiliano de enjumna conduciendo un convoy de varios efectos que venia de Aragón para el He&amp;se, presidente de la primera Cámara de los Estados. ejercito, mindo al coronel Amor con la caballería que está á sus órdenes qua saliese el día 4 hacia la ribera á perseguir la enemiga que estaba en aquel pun , _ M. Cabet se embarcó el 3 del actual en Ostende para Inglaterra. to, adviniéndole que el 6 se hallaría dicho general ca gefe en Lería para pro teger á Linares, y su convoy…</t>
  </si>
  <si>
    <t>25/02/1834</t>
  </si>
  <si>
    <t>Gaceta de Madrid n.º 25</t>
  </si>
  <si>
    <t>…anto Partes recibidos en la Secretaría de £stado y del Despacho de Id Guerra. porque su autoridad se limita al término de este vecindario.*1 Después dtf teta acertada providencia, da cuenta el mismo subdelegado de Según parte del coronel Amor, comandante de las tropas que ptotecen en otras proyectadas ¿n favor del comercio: tales como el establecimiento de. mer Estella la fortificación del convento de S. Francisco de dicha ciudad, que ha de cado franoO que solicita la villa de Cieza, y el de una ¡unta de comercio en la servir en ella de…</t>
  </si>
  <si>
    <t>…as fuerzas rebeldes de Guipúzcoa, Alava-y jCampezu, cayó sobre el convoy-que iba escoltado por una compañía de in Navarra, y con ellas el Pretendiente, con.el objeto de impedir que se Heve á fantería y lut) caballos, al mando del coronel Amor, cerca de Cenicero, apo efecto la enunciada fortificación. El mismo..d¡a -11, como i las dos de la tar derándose de partq de él, y entrando el resto en Logroño. afe , se presentaron en las alturas inmediatas a esta población dos columnas con En esta acción fue arrojado de la silla de una estocada V…</t>
  </si>
  <si>
    <t>…'c&gt;o. 'El comandante militar de Logroño manifiesta en 23 del actual que el día -------Por providencia del intendente de la provincia de Salamanca se sacan á pública L^^Urior se hallaban en Haro las columnas del brigadier 1 oirá y coronel Amor subasta dus casas sitasen la m sma ciudad, ia uua eu la calle de Cabrera, señalada I para continuar su movimiento, el primero hacia Mae»tú y el segundo hac¿a conmero,el oúm.y tasada10 eny tasada14,183enrs 20.645El pnegors- 1 dey condicionesla otra en UestáCuestade manifiestodel Carmenen , lasinsecr…</t>
  </si>
  <si>
    <t>…to Real que nos asegura nues del general Espartero y coronel Carrera, habiendo marchado el «fia anterior tra libertad con el restablecimiento de nuestras leyes fundamentales. Coruna hacia Guipúzcoa las del brigadier Jattregui. El coronel Amor coo su cabella 23 de Julio de 1834* = El conde de Cartagena.” ría Se adelantó 4 Vitoria, de donde el 27 salía un gran convoy de víveres para (a Borunda. Badajoz 26 de Julio. En Vizcaya han quedado los brigadieres Bedoya é Inarte con algunas fuer Después de ejecutada la sentencia de muerte á que la…</t>
  </si>
  <si>
    <t>Gaceta de Madrid n.º 197 · extraordinaria</t>
  </si>
  <si>
    <t>…s de ventaja , aunque yo haga marchas extraor F.n vista de este oficio he prevenido á las brigadas de caballería del man dinarias. El coronel Barrena, bien empleado y dividido en las avenidas precisas, do del brigadier Marcilla y coronel Amor, salgan para recorrer los puntos puede hacer un gran servicio. que indica el general Anleo, el cual ha marchado hácia Erice; habiendo sabi Mis cuidados son de que por entre columna y columna, á una distancia do que el brigadier Figueras se había dirigido por Zubiri. de,á legua puedan contramarchar:…</t>
  </si>
  <si>
    <t>Amor, Bartolomé</t>
  </si>
  <si>
    <t>Bartolomé Amor</t>
  </si>
  <si>
    <t>…ber inmediatamente ía sitili con algunaj precipitación: la caballería enemiga en este momento se puso en ción ue nuestras tropas y la dirección de los rebelde», dispuse que los decidi marcha'sobre la brigada del mando del coronel D. Bartolomé Amor que tenia dos y entusiasmados Urbanos de Pancorvo con ua piquete de caballería mar? i su frente; el batallón enemigo de nuestra derecha se aproximaba rápidamente chasen hacia aquella parte. Igualmente dispuse que el coronel teniente coronel sobre la brigada del brigadier Marcilla: me pareció entonc…</t>
  </si>
  <si>
    <t>Gaceta de Madrid n.º 183 · extraordinaria</t>
  </si>
  <si>
    <t>…: la bri muchos años. Cuartel general de Muez 3 de Agosto de 1834-=Excmo. Sr.= gada- de,la 4-1, al mando del Sr. coronel Carrera, y la caballería del del Señor José Ramcn Rodil—Excmo. Sr. Secretario de Estado y del Despacho de la D. Bartolomé Amor, en Barnidano, cubrían el camino del valle de Allin por Guerra. la orilla dérécBa tfel rio Baquedano, y servían de reserva en segunda línea á la 5.*: la división al cargo del Bxcmo. Sr. mariscal de campo D. Manuel Loren El comandante de armas de Tolosa D. Elias Iturriza con fecha de 7 del zo, ocupa…</t>
  </si>
  <si>
    <t>…del corriente, los únicos cinco enfermos que resultaron existentes en el 13. José Raiceas, el brigadier, coronel de Borbon, D. Carlos Tolra, el coronel dia 10, sin que en los siguientes dias 13 y 14 ocurriese novedad alguna en la D. Bartolomé Amor, que acudió de Navarra por orden del general en gefe salud del pueblo. Y que en Ojen el dia 1S solo habia cinco enfermos de males marques de Moncayo, el coronel D. Saturnino Albuin y otros gefes que con comunes, á saber: dos de calenturas catarrales, otros dos de tercianas, y el res las fuerzas que…</t>
  </si>
  <si>
    <t>Amor, D Bartolomé</t>
  </si>
  <si>
    <t>D Bartolomé Amor</t>
  </si>
  <si>
    <t>…to de saber inmediatamente ía sitili con algunaj precipitación: la caballería enemiga en este momento se puso en ción ue nuestras tropas y la dirección de los rebelde», dispuse que los decidi marcha'sobre la brigada del mando del coronel D. Bartolomé Amor que tenia dos y entusiasmados Urbanos de Pancorvo con ua piquete de caballería mar? i su frente; el batallón enemigo de nuestra derecha se aproximaba rápidamente chasen hacia aquella parte. Igualmente dispuse que el coronel teniente coronel sobre la brigada del brigadier Marcilla: me pareció entonc…</t>
  </si>
  <si>
    <t>Ámorós</t>
  </si>
  <si>
    <t>…tar, á que concurrieron muchos ex— hausen , que se había anunciado para el 5 de este mes, ha- experimentado un trangeros y señoras muy adornadas. ligero retardo á causa de ciertos obstáculos eu las resoluciones del congreso de El coronel Ámorós ha establecido en el campo un gimnasio á la manera Viena,que desaparecerán pronto. Antes de la llegada del presidente no se del que dirige en París, y al cual es admitido el público los lunes, miércoles publicará lo resuelto por' dicho-congreso. y viernes. Es de admirar la destreza y agilidad que d…</t>
  </si>
  <si>
    <t>Amsrerdam, Gobernadora</t>
  </si>
  <si>
    <t>Gobernadora Amsrerdam</t>
  </si>
  <si>
    <t>…, comisario general déla Santa Cruza- Acciones del banco español, 00. Ha vicepresidente á D. Manuel Silvestre Armero, y secretario á D. Juan Fram cisco Fon tan, cuyas elecciones han merecido todas la aprobación de S.M. la ■anuos. Reina Gobernadora. Amsrerdam, 09. París, 16-í. (Cádír, Sevilla, # b. Sayona, 00. Alicante, ácorto pía- Corufia* id« Valencia, -Burdeoa* 00. zo,£&lt;U [Granada,Jid. Zaragoza, . Hatnburgo, 00. Barcclona, 4 ov fr* Málaga, i£ Í&lt;L descuento de' latraa. el gobernador del parte remitido civil de por Extracto 4 90 diax, la-provincia de-C…</t>
  </si>
  <si>
    <t>Amsterdam, José</t>
  </si>
  <si>
    <t>José Amsterdam</t>
  </si>
  <si>
    <t>…II* a varias fs. ó vol., 4 prima de * p. 100. 7 Accione, del banco español, 00. A- propuesta también de la dirección general de Minas, se ha dignado CAMBIOS. S, M. conferir la tesorería dé la inspección del distrito de Granada á D. José Amsterdam , 00. París , 16—I i 6. Cid Ja, 1* b. Sevilla, ib. Antonio de Eábregas, mandando suprimir la' plaza de oficial escribieñte con' Bayona, 00. Alicante. 4 corto pla- Cañifla,. id. . Valencia, *.14. Zaragoza {4 49 rs. , y que quéde reducida la dotación de la tesorería á 89 anuales. ■ Burdeos,Haniburgo,…</t>
  </si>
  <si>
    <t>Amsterdam, Lorenzo CAMBIOS</t>
  </si>
  <si>
    <t>Lorenzo CAMBIOS Amsterdam</t>
  </si>
  <si>
    <t>…no haberse recibido el parte oficial; pero se sabe que la Id. sin interes, oa. Acciones del banco español, 00. facción 'se había dirigido posteriormente hácia Salinas, 'cerca de Puente la .Reina, continuando en su seguimiento el general Lorenzo. CAMBIOS. Amsterdam, 00. [Alicante i corto plá- Granada f d. Con fecha. l.° del actual el capitán general de Valencia mani Bayooa, 00. I zo par á $ d. Málaga par. fiesta que el general Hore toma las mas enérgicas disposiciones pa Burdeos, 00. Barcelona i pesos ft. Santander Id. Ha en burgo , 00. 1 $ b. Santiago 1 d. r…</t>
  </si>
  <si>
    <t>Amsterdam, Secreta</t>
  </si>
  <si>
    <t>Secreta Amsterdam</t>
  </si>
  <si>
    <t>…ufriesen la misma suqrtc los restantes , según-el Acciones del banco español • 00. Buen espíritu de lós habitantes de aquella comarca. Dios &amp;c. .Zaragoza 10 de CAMtMTOS. Setiembre de ig34-=Excmo. SrmeEl condé de Ezpeleta.=dExcmo. Sr. Secreta Amsterdam , 00. París, 16-2 i 5. Cádiz, 14 i |B. Sevilla, 4 b. Bayona , 00. Alicante, ^ corto pla Coruña, | d. Valenoia, ¿4- id» rio Sitado y-del Despacho de la^Guerra. Burdeos. 00* zo,-Jb. Granada, id. Id. Zaragoza J¡ A. Hamburgo, 00. Barcelona, 4 ps. fs., Málaga,-f b, Descuento de letras, *XAndics« A 90 dí…</t>
  </si>
  <si>
    <t>An, Francisco Márcotegui y D Pedro</t>
  </si>
  <si>
    <t>Francisco Márcotegui y D Pedro An</t>
  </si>
  <si>
    <t>04/05/1834</t>
  </si>
  <si>
    <t>Gaceta de Madrid n.º 73</t>
  </si>
  <si>
    <t>…fino raso blanco perla. En la cúpula de los comisarios del ilustre ayuntamiento conservaron el orden progresivo de hay una'boca de jarrón de oro cincelado sobre fondo escarlata y azul Cristina, la marcha los ayudantes de la plaza D. Francisco Márcotegui y D. Pedro An y éíicima un grupo de 15 plumas que forma un penacho blanco-cisne dej¡DÍs djSeatrop’F.l retrato ,/ípcho g«Jt^RSJ5l^:i^4'H#tpr^r®tíesent^5)U RiUSÁseh;tonio Pilma, , — W . —’orrr J-‘\ " SXJT* ■'?' r H&amp;Ja ¡nóehé d4 8HíU&amp;.fstlferez,rejtí,jlquelen.qsta ocastop: «do lo ha om- ¿da en án sofá co£r£Íf\heiarti…</t>
  </si>
  <si>
    <t>An, Pedro</t>
  </si>
  <si>
    <t>Pedro An</t>
  </si>
  <si>
    <t>…la cúpula de los comisarios del ilustre ayuntamiento conservaron el orden progresivo de hay una'boca de jarrón de oro cincelado sobre fondo escarlata y azul Cristina, la marcha los ayudantes de la plaza D. Francisco Márcotegui y D. Pedro An y éíicima un grupo de 15 plumas que forma un penacho blanco-cisne dej¡DÍs djSeatrop’F.l retrato ,/ípcho g«Jt^RSJ5l^:i^4'H#tpr^r®tíesent^5)U RiUSÁseh;tonio Pilma, , — W . —’orrr J-‘\ " SXJT* ■'?' r H&amp;Ja ¡nóehé d4 8HíU&amp;.fstlferez,rejtí,jlquelen.qsta ocastop: «do lo ha om- ¿da en án sofá co£r£Íf\heiarti…</t>
  </si>
  <si>
    <t>Ana, D José Ramón Rodil</t>
  </si>
  <si>
    <t>D José Ramón Rodil Ana</t>
  </si>
  <si>
    <t>…la alta eStipracion y perfecta consideración con que soy vuestra diputación en la Dieta instrucciones eventuales acerca da éste punto.”' 'de V. E. mu? atentó Venerador, y muir Obligado,Duque dé Terceí- (Id.) ; ra.=Hmo. y Eterno. Sr. D. José Ramón Rodil. 1 Ana amenazas de los gobierna* alemanes tienen, efecto. Hace algunos «fias que sqé detenidos en.la frontera,lpii viajeros que;se.dirigían al Votataerg y Á la 'El Iteio. Sr. obispo de Salamanca ha felicitado í S. M. la Renta Gober Xzxnbardta sin- llevar pasaportes tjqlot ministros exteangeros. En&lt;?hiavcn…</t>
  </si>
  <si>
    <t>Ana, Infanta Doña</t>
  </si>
  <si>
    <t>Infanta Doña Ana</t>
  </si>
  <si>
    <t>…embargo, allí están las cordilleras mas ex* Doña Isabel María. S. M. I. recibió á S» A., y entrando en el carruage en su tensas y las sierras mas fragosas del reino: pues la que separa el Alentcjo dq compañía y en la de la Serma. Sra. Infanta Doña Ana, se dirigió á Benfica, los Algarbes es demasiado pequeña y despoblada para servir de foco á una guer-* allí se despidió de SS. AA., y regresó á Queloz, adonde llegó á la* cuatro, ra civil de esta clase. (Crónica constitucional dt Lisboa.) Sin embargo la Gaceta de Francia triunfa con nuestros males…</t>
  </si>
  <si>
    <t>…ubourg piensa es Idem 19. tar largo tiempo en Nápoles, porque su familia irá en seguida. Los muchos cor éeos que salen y entran dan bastante que pensar al público, y tiene los ánimos A las tres y media de la tarde, S. A. la Serma.Sra. Infanta Doña Ana. el en alguna ansiedad. No es de extrañar que se haya repetido la noticia de que duque de Palmella, barón de RendufFc y el caballero Pereira, á nombre de la 'el Rey de Nápoles pensaba dar una constitución 4 su pueblo. El que haya ob sociedad que se propone dar un baile al duque de Tercera el 24 del…</t>
  </si>
  <si>
    <t>Ana, José Ramón Rodil</t>
  </si>
  <si>
    <t>José Ramón Rodil Ana</t>
  </si>
  <si>
    <t>…alta eStipracion y perfecta consideración con que soy vuestra diputación en la Dieta instrucciones eventuales acerca da éste punto.”' 'de V. E. mu? atentó Venerador, y muir Obligado,Duque dé Terceí- (Id.) ; ra.=Hmo. y Eterno. Sr. D. José Ramón Rodil. 1 Ana amenazas de los gobierna* alemanes tienen, efecto. Hace algunos «fias que sqé detenidos en.la frontera,lpii viajeros que;se.dirigían al Votataerg y Á la 'El Iteio. Sr. obispo de Salamanca ha felicitado í S. M. la Renta Gober Xzxnbardta sin- llevar pasaportes tjqlot ministros exteangeros. En&lt;?hiavcn…</t>
  </si>
  <si>
    <t>Añadiré, González</t>
  </si>
  <si>
    <t>González Añadiré</t>
  </si>
  <si>
    <t>20/12/1834</t>
  </si>
  <si>
    <t>Gaceta de Madrid n.º 310 · suplemento</t>
  </si>
  <si>
    <t>…bramientos, tomé mas informes, y me encontré con que la perdona tan. re ma cantidad. Del año 30 acá ha habido rebajas, pero ni con mucho las que comendada estaba encausada por dos motivos, el uno por malversación de cau piensa el Sr. González. Añadiré que en muchis ocasiones estos embajadores y dales, y el otro por de^ifecto al actual or-jen d; cosas; un minuto mas, y se ministros plenipotenciarios reciben de su córte algunos auxilios para gastos im hubiera hecho una elección en extremo desicertada, y contra la que se hubiera previstos ó por otr…</t>
  </si>
  <si>
    <t>AÑAÍ, ESP</t>
  </si>
  <si>
    <t>ESP AÑAÍ</t>
  </si>
  <si>
    <t>…u hijo. Contesta el Presidente que ya lo ha- »Todps los oficiales y tropa de ota columna sc han portado con .el valor y hecho, y levantó lá sesión. ■ . • , : entusiasmo que tanto tiene acreditado el ejército de r la Reina nuestra'Señora, ESP AÑAÍ ' ’ debiendo- recomendar á V. S. particularmente ál teniente del&lt;5-°¿deligeros Blas Moraq, que después de dar yo una cuchillada en la-cara al traidor Bárba- . Madrid- 29 de Abril. dillo, lefitacó bizarramente dejándole muerto, siguiendo sin detenerse á la carga El general Rodil desde el cuartel gen…</t>
  </si>
  <si>
    <t>Ananz, Miguel</t>
  </si>
  <si>
    <t>Miguel Ananz</t>
  </si>
  <si>
    <t>13/12/1834</t>
  </si>
  <si>
    <t>Gaceta de Madrid n.º 302</t>
  </si>
  <si>
    <t>…sin,mi noticia pudo hacia Ontoria de Valdearados, í cuyp pueblo pasó inmediatamente dicho sehaber. . ' ' ^ fior oficial con 20 hombres de su destacamento, acompañándole SgualjnrLnte Lo¡ js»r futro» prmmtros- en calidad de Urbanos D. Miguel Ananz, administrador interino de ^Rentas Manuel Juppno. de Peñaranda, y Fausto Vela, vecino del mismo pueblo; y habiendo tomado Su criada. las noticias convenientes, é informado de que en dicho puebjo de Óntprja se Francisco Vicente. tenia por casa sospechosa la de uno conocido por el Cabrero, la cerco c…</t>
  </si>
  <si>
    <t>Anaya</t>
  </si>
  <si>
    <t>…zcoa se hicieron en virtud de.íij rlo al Se. Galivey: de, otro de la de Rentas provinciales en qué asimismo parti promulgación del Estatuto Real; se declararon nulas,,y :á pesar de eso dijo, - cipaba había nombrado decano suyo al Sr. Anaya,, y secretario al Sr- marques la comisión dispénsese. De congiguieqt?, en,, la última sesión so vieron, tras ,, ¿eMontcvírggn; y .de otro del Sr. Secretario del Despacho; de lo Interior, ha ejemplos en que la comisión .manifestó esa indulgencia,, y por lo miatno quír , ciendo presente que según con…</t>
  </si>
  <si>
    <t>Anaya, D Julián</t>
  </si>
  <si>
    <t>D Julián Anaya</t>
  </si>
  <si>
    <t>…cán y del mayordomo de la Reina se di Sr. D. Miguel de la Torre, hacendado. rigió al palacio de S. James. Después de un corto descanso salió para Wind— Sr. D. Francisco Crespo y Tejada, propietario y comerciante. sor. {Post.) " ^ Sr. D. Julián Anaya , hacendado. -------------------.— ~ mili lll li _________ , *Bl capitán ©. Olpps^del cuerpo de ingenieros, ha sido nombrado secre tario particular del nuevo primer lord del almirantazgo. {Herald.) Partts rteibidos tn la Sserstaría ds Estado y dtl Dtspacho ds laGmrra. , Varir* amigos de la libertad…</t>
  </si>
  <si>
    <t>Anaya, Gregorio</t>
  </si>
  <si>
    <t>Gregorio Anaya</t>
  </si>
  <si>
    <t>…a y Pardo; para él de Miranda de Ebro á D. Pantalón Félix miento y á los particulares, llevándose en rehenes algunos de estos hasta efec Galilea; para el de Sedaño á D. Julián Zabalburu; para?el de Santillana del tuarlas. \ Mar á D. Gregorio Anaya jipará el de Sala de Infantes ¿ D. Juan Eriales, que ^E1 comandante del fuerte elogia el valor y serenidad de toda la guarni lo es de Villafranca Montes de Oca ; para el de Villadiego á D. Pedro Es ción y de los Urbanos de Tafalla, distinguiendo al alcalde. D.Manuel Gurrea, pinosa, que lo es de Aus…</t>
  </si>
  <si>
    <t>Anaya, Julián</t>
  </si>
  <si>
    <t>Julián Anaya</t>
  </si>
  <si>
    <t>…y del mayordomo de la Reina se di Sr. D. Miguel de la Torre, hacendado. rigió al palacio de S. James. Después de un corto descanso salió para Wind— Sr. D. Francisco Crespo y Tejada, propietario y comerciante. sor. {Post.) " ^ Sr. D. Julián Anaya , hacendado. -------------------.— ~ mili lll li _________ , *Bl capitán ©. Olpps^del cuerpo de ingenieros, ha sido nombrado secre tario particular del nuevo primer lord del almirantazgo. {Herald.) Partts rteibidos tn la Sserstaría ds Estado y dtl Dtspacho ds laGmrra. , Varir* amigos de la libertad…</t>
  </si>
  <si>
    <t>Anchorena, Nicolás</t>
  </si>
  <si>
    <t>Nicolás Anchorena</t>
  </si>
  <si>
    <t>…y en la conciliación de los ánimos el fomento de su riqueza y prosperidad ta de Francia por un joven sordo-mudo, discípulo de Mr. Paulmier. futura. ^ El domingo 30 de Noviembre los sordo-mudos, en número de mas dd La renuncia de D. Nicolás Anchorena dice asi: 50, se reunieron en un banquete para celebrar la fiesta del aniversario de su ^"Señores Representantes: El infrascrito acaba de recibir una nota del padre el abate de L’Epée. El presidente del festín era Berthier, profesor (sordo Sr. ministro de Gobierno, su fecha 31 de Agosto próximo pas…</t>
  </si>
  <si>
    <t>Anciarenas</t>
  </si>
  <si>
    <t>09/04/1834</t>
  </si>
  <si>
    <t>Gaceta de Madrid n.º 48</t>
  </si>
  <si>
    <t>…bastan estos amaños para explicar Eerlin 13 de Mario. los extraordinarios armamentos de la Puerta , pues no es-probable que se determinen las Potencias á emplear contra la Tuíquía las Se cree que no será muy larga la ausencia del ministro Anciarenas en el lugar de los protocolos. llon. El asunto de Luxemburgo relamo á M. Hanno, ha excita No tiene la Puerta temor ninguno sobre este puntó, y eso es do aquí el mas vivo ínteres. ?Se ha elogiado mucho la firmeza del lo que la ha determinado á recibir con moderación las enérgicas general Dumoulin ,…</t>
  </si>
  <si>
    <t>Ancillon</t>
  </si>
  <si>
    <t>…Isabel ii. Matanzas 7 de Diciembre de 1833-zzSeñor.i.zz A L. R. P- de V. M.zrFrancisco Narvaez, gobernador.^Antonio María Las- Berlín IX de Enero. cano de Palacios , alcalde primero.zzjosef María de Torres, y Lima, alcalde se El ministro Ancillon continúa siempre indispuesto; y aunque su enferme gundo.=Juan de Dios Gómez, regidor alférez Real.nGerónimo Esteres, re dad, como hemos dicho anteriormente, no sea de cuidado, sin embarco le im gidor alguacil mayor.cz Josef de Fuente , regidor aicilde provincial.zr Tomas posibilita para ponerse en…</t>
  </si>
  <si>
    <t>09/05/1834</t>
  </si>
  <si>
    <t>Gaceta de Madrid n.º 78</t>
  </si>
  <si>
    <t>…ramo, en que antes entendían los intendentes corno ra. Las fortalezas están todas provistas abundantemente de municione-*. Se e— subdelegados do la renta, y fallaban ron acuerdo de asesor, han de pera dentro de aleunas semanas al ministro Ancillon; entre tanto . e¡ ministro pasar á los St%hdelegadns de Fomento, que no le tienen, ó lian de se conde Lottum despacha interinamente el ministerio de Nervio* extranjero*. guir despachándose por aquellos funcionarios. Y S. M., teniendo ni Se Han remondo de alffun tiempo á esta parte todos |&gt;&gt;i obstác…</t>
  </si>
  <si>
    <t>Ancizu, Juan José</t>
  </si>
  <si>
    <t>Juan José Ancizu</t>
  </si>
  <si>
    <t>Gaceta de Madrid n.º 244</t>
  </si>
  <si>
    <t>…nado dispensar á D. José y D. Antonio Tomé de Ondar- laga, á D. Vicente Santiago Masarnau; mandando se tengan presentes los mé reta la gracia que han solicitado de poner en su fábrica de cera , establecida en ritos contraídos por D. Juan José Ancizu en el desempeño de la cátedra de esta corte, f\ escudo de las armas Reales, pagando previamente el servicio de materia farmacéutica en el expresado colegio, para las vacantes que ocurran 440O re. señalado por Real orden de 31 de Julio oe 1827 en favor de la caja en el mismo , &lt;5 en las de química d…</t>
  </si>
  <si>
    <t>Anckarnoard</t>
  </si>
  <si>
    <t>…r un encargado de Ne gocios. (Gaceta de Estado ele Prusia.) SUECIA. PARTE NO OFICIAL. Stockolmo 17 de Junio. NOTICIAS EXTRANGERAS. Hace algunos dias que se dice que una diputación compuesta de mis-hac personas se ha presentado al barón Anckarnoard, de quien hasta ahora nada se ha tratado en la Píela, manifestándole el deseo que generalmente se tenia (Continuación del correo anterior.) de que se sirviese presentar á S. M. las peticiones de muchas provincias de con sideración , firmadas' de mas de 29 personas, y que sq dirigen á solicitar la m…</t>
  </si>
  <si>
    <t>Andechaga, Castor</t>
  </si>
  <si>
    <t>Castor Andechaga</t>
  </si>
  <si>
    <t>…todo cuanto .hablan robado en Villarcayo, todos los documentos de la junta de Castilla, y dos baúles Henos de diferente la junta de Sanidad y el gobernador civil de esta provincia, que el día ló fue papeles, la correspondencia de D. Castor Andechaga, una carga de cartuchos, ■invadida en*la capital una mqger; que falleció una. persona, y quedaban exis varios fusiles , 18 caballos y muías, y multitud de raciones dé carne y vino; en tentes 6 con síntomas sospechosos: finalmente, que desde el día 6 al 9 del tre los muertos'se citcntan varios ofici…</t>
  </si>
  <si>
    <t>Andinagoitia, D Martin</t>
  </si>
  <si>
    <t>D Martin Andinagoitia</t>
  </si>
  <si>
    <t>…la Holanda. La llegada de una escuadra francesa á guientes de los capturados en las aguas de Lequeitio por la fragata Perla: Don las costas de Cataluña anuncia ya la ejecución de una parte de lo convenido Juan Bautista Arana, cx-coronel, D. Martin Andinagoitia, presbítero, Don últimamente; y se dice que en caso de que se necesitase una intervención mas Tomas Cortesana, D. Félix Antonio Barrueta y Juan Bautista Dialadineta; activa se verificaría por naedio del Portugal. habiéndose conducido los restantes presos ¿Santander, de donde pasarán á Ceu El prínci…</t>
  </si>
  <si>
    <t>Andinagoitia, Martin</t>
  </si>
  <si>
    <t>Martin Andinagoitia</t>
  </si>
  <si>
    <t>…da. La llegada de una escuadra francesa á guientes de los capturados en las aguas de Lequeitio por la fragata Perla: Don las costas de Cataluña anuncia ya la ejecución de una parte de lo convenido Juan Bautista Arana, cx-coronel, D. Martin Andinagoitia, presbítero, Don últimamente; y se dice que en caso de que se necesitase una intervención mas Tomas Cortesana, D. Félix Antonio Barrueta y Juan Bautista Dialadineta; activa se verificaría por naedio del Portugal. habiéndose conducido los restantes presos ¿Santander, de donde pasarán á Ceu El prínci…</t>
  </si>
  <si>
    <t>Andna, Pedro</t>
  </si>
  <si>
    <t>Pedro Andna</t>
  </si>
  <si>
    <t>Gaceta de Madrid n.º 36 · suplemento</t>
  </si>
  <si>
    <t>…ra á unos 40 ca llos de diferentes cuerpos , conociendo lo crítico de la situación , dispuse que dáveres facciosos, que se ha enterrado á otros en distintos pueblos, y que ea mi ayudante D. Miguel de Osma con otro de estado mayor D. Pedro Andna- ellos dejaron abandonados algunos heridos, llevándose otros. n¡, y el subteniente de artillería D. Antonio Bulnes se pusiesen á la cabeza de Los partes parciales hacen honorífica mención de cuantoilero expuesto, y ellos; y en unión con la tropa de Pozo, desalojaron á los facciosos con tai fe no dud…</t>
  </si>
  <si>
    <t>Andrade, Francisco</t>
  </si>
  <si>
    <t>Francisco Andrade</t>
  </si>
  <si>
    <t>…traspasadas con escándalo en las leyes de reformas eclesiásticas, y las de ostra del limo. Sr. obispo de Sonora, Dr. D. Angel Mjr.jao Morales, F; bachi cismo que sancionó y llevó al cabo con perjuicio de muchas beneméritas y ller D. Francisco Andrade pronuncio un J/omu oratorio andigo a! objeto, honradas familias que fueron envueltas en la desgracia de los desterrados , lle en el que con bastante propiedad comparo la Mtuacion de los tres |uveni&gt; he vando la horfandad y lagrimas hasta los últimos rincones de nuestra afligida breos, que en medio…</t>
  </si>
  <si>
    <t>Andrade, Jupn Muñoz y</t>
  </si>
  <si>
    <t>Jupn Muñoz y Andrade</t>
  </si>
  <si>
    <t>…ios del reino, é instituyendo en la misiva dose á su relevo por los nuevamente elegidos hasta que esten doel destino de contador general de ellos, vengo en conferirlo al tinados uno y otro. oficial del ministerio de vuestro cargo D. Jupn Muñoz y Andrade, en atención á sus méritos y circunstanciis. Tendréislo enten PARTE NO OFICIAL. dido, y dispondréis lo necesario para su cumplimiento. = Está ru bricado de la Real mano.=En Aranjuez á 14 de Abril de 1834-= NOTICIAS EXTRANGERAS. A D. Javier de Burgos. (Continuación del correo anterior.) MINISTERIO D…</t>
  </si>
  <si>
    <t>Andrea, Antonio</t>
  </si>
  <si>
    <t>Antonio Andrea</t>
  </si>
  <si>
    <t>…o. estaban las tropas me obligaron á tocar llamáda para que se reuniesen , opera Ocho soldados de infantería al mando del subteniente graduado de te ción que se hizo muy pesada por lo manifestado. No nie es posible dar una niente D. Antonio Andrea, tuvieron parte en esta gloriosa operación, pues la noticia exacta de la gran pérdida que han tenido los facciosos, porque la maypr infantería que conducía con el mayor órden y celeridad el teniente de lá Guar la sufrieron en un bosque que dejamos á retaguardia; puedo si asegurar á V. £. dia Real D…</t>
  </si>
  <si>
    <t>Andrea, Miguel de Foixá y</t>
  </si>
  <si>
    <t>Miguel de Foixá y Andrea</t>
  </si>
  <si>
    <t>01/12/1834</t>
  </si>
  <si>
    <t>Gaceta de Madrid n.º 290</t>
  </si>
  <si>
    <t>…unos sin la Coexistencia' Reales decretos exonerando á D. Serafín Chavier del gobierno civil de la prode los otros. Por otra parte la utilidad! de ios bancos de comercio es tan noto . vínqia de Gerona , y nombrando en su lugar á D. Miguel de Foixá y Andrea ria por el modo prodigioso con que facilita’ las operaciones mercantiles, eco- ------ nombrando al conde de Cabarrús, gobernador civil que era de la provin n©miwodo_el t¡empo,y el trabajo , que Í£ ¡sociedad anhela el momento de ver cia de Palencia, para la de Valladolid. los instituidos en esta pla…</t>
  </si>
  <si>
    <t>Andrés</t>
  </si>
  <si>
    <t>…os enfermos, aquel establecimiento; y mandar sean repuestos en sus plazas de médicos de nú y meneJterosos.de esta capital con motivo de las enfermedades que se pa-&gt; mero de los Reales hospitales de esta corte D. Antonio Sirven! y D. Andrés decen. •„ Melendez; y en las dé cirujanos de los mismos D. Valentin Alvarez y Don Rs. vn. Miguel Sacristán. D. M. de R............................................................................................ 60 D. León Ponce........................................................................…</t>
  </si>
  <si>
    <t>Andrés, Juan</t>
  </si>
  <si>
    <t>Juan Andrés</t>
  </si>
  <si>
    <t>…e manifestase la enfermedad. Disertación sobre las causas de los pocos progresos que hacen las ciencias en estos ^ “vaoVIÑélA DB GUAUAXZ JARA tiempos . dicha en la Real academia de ciencias y buenas letras da Mantua, por el abate D. Juan Andrés; traducida del italiano por P. Cirios Andrés. Segunda edición, Según avisoique;con. fecIra de / del actual da su gobernador civil aparece año de 1788. encuaderno en 8.» marqutlU a 2 rs, rama y 2 en rustica, Bate pequeño que.en lriepar no habí*.ocurrido caso alguno sospechoso mas que los dosanun- op…</t>
  </si>
  <si>
    <t>…los días 13,14 y 15 , de las cuales murieron 10* ■ -—Instituciones detradm philosophicis et mathematícís insrituendis. Ufttomo tfn 8.*, edición de 1796, á 7 xs. rama y 3 en rústica, fin este tomo, dirigido por Exiraeno á su amigo D. Juan Andrés, y que puede considerarse como una introducción al estudio de provincia se iogroSo. la filosofía, da el autpr excelentes reglas para su objeto. En los otros Sbs, que son de un curso de filosofía, y comprenden la dialéctica y la metafísica, sigue taft‘ excelente Su gobernador civil dice con fecha 18…</t>
  </si>
  <si>
    <t>Andreu, Antonio</t>
  </si>
  <si>
    <t>Antonio Andreu</t>
  </si>
  <si>
    <t>12/05/1834</t>
  </si>
  <si>
    <t>Gaceta de Madrid n.º 81</t>
  </si>
  <si>
    <t>…teniente coronel D. José Larrevillas, herido levemente, y D. Fran ea el momento en que- está mas unida al solio de sus Reyes por el amor y los cisco García, también ilimitados, y de los subtenientes de la misma clase beneficios? D. Antonio Andreu, graduado de teniente, que aunque herido de gravedad En España ni ha habido ¿rf/íV ni la habrá. Este nombre no puede aplicarse en una pierna no quiso retirarse de la arfiion; D. Miguel Gómez, D. Fernan á una situación, triste á la verdad, pues al cabo son españoles los que han mo do Gil y D. Alejo…</t>
  </si>
  <si>
    <t>Andriani, D Luis María</t>
  </si>
  <si>
    <t>D Luis María Andriani</t>
  </si>
  <si>
    <t>02/06/1834</t>
  </si>
  <si>
    <t>Gaceta de Madrid n.º 103</t>
  </si>
  <si>
    <t>…ido una magnífica cuadra con 100 pesebre» y la correspondiente nacionales ni voluntarios realistas, ha logrado su enérgico gobernador el Exce cochera, á fin de qüe-mediante un corto alquiler se pueda colocar el ganado y lentísimo Sr. D. Luis María Andriani, que lleguen los alistados en aquella carruajes de los que gusten tenerlos toda la temporada, y, á este fin se ha 4 112 infantes y 16 caballos. .............. abierto un extenso paseo de coches; los hay también muy buenos-para la gente Se ha dado curso 4 varios expedientes relativos 4 instrucción p…</t>
  </si>
  <si>
    <t>Andriani, Luis</t>
  </si>
  <si>
    <t>Luis Andriani</t>
  </si>
  <si>
    <t>Gaceta de Madrid n.º 242</t>
  </si>
  <si>
    <t>…de é ignominiosamente abandonada luego por la fuga mas coronel D. Pantaleon dd Yerro, mi gefe de estado mayor; al alférez de la completa, que terminó en dispersión y desorden, habría terminado por la to Guardia Real.de infantería D. Luis Andriani v,ai comisario honorario Don tal destrucción de los enemigos de nuestra adorada Rüin a , si media hora que Manuel Booafus, que no se separo de mi lado ¡ al Urbano de caballería de Ma-</t>
  </si>
  <si>
    <t>Andriani, Luis María</t>
  </si>
  <si>
    <t>Luis María Andriani</t>
  </si>
  <si>
    <t>…una magnífica cuadra con 100 pesebre» y la correspondiente nacionales ni voluntarios realistas, ha logrado su enérgico gobernador el Exce cochera, á fin de qüe-mediante un corto alquiler se pueda colocar el ganado y lentísimo Sr. D. Luis María Andriani, que lleguen los alistados en aquella carruajes de los que gusten tenerlos toda la temporada, y, á este fin se ha 4 112 infantes y 16 caballos. .............. abierto un extenso paseo de coches; los hay también muy buenos-para la gente Se ha dado curso 4 varios expedientes relativos 4 instrucción p…</t>
  </si>
  <si>
    <t>Angel</t>
  </si>
  <si>
    <t>…io, miembro de la junta (1), fueron muertos en su dUJsasQ anatscimonto. i . — fuga, y hechos pri^iorierOs el pagador D. Manuel Barrena, el/recaudador de -&gt;}'■ ■ -1 ■'v ^ ;.................... rentas decimales D. Clémcrite Arbizu, D. Angel La rumbe, D, Martín Ortiz Art 1? Abrirá la maVcha una partida de caballería. Seguirán cuatro pa- de Piriedo, vecino dé Madrid, D. Juan Bautista. Dombrazas*, hijo del titula— lafrvneros'y los lacayos con el banquillo para que S. M. F. bajé riel coche. 'ÍA 'Sfegdirín los másicoi-dc las'Kciiies caballeri…</t>
  </si>
  <si>
    <t>…bre un punto interesante y urgente. Se ha.mandado pasar á la,comision de utilidad pública.* i ' Milicia urbana el proyecto de_ ley sobre este asunto, y desearía que.se reco Se mandó/pasar á la comisión de Marina una exposición de D. Angel mendase al acreditado celo de sus individuos que le despachasen con urgencia, Val'dés, espitad de fragata de ia Real Armada, á la que acompañaba una obra en atención á ser iin pumo capital, y en las actuales circunstancias dé suma compuesta-por él misino con ¿1 título de Sistema naval, y varias obs…</t>
  </si>
  <si>
    <t>Angel, Ramón</t>
  </si>
  <si>
    <t>Ramón Angel</t>
  </si>
  <si>
    <t>…Estado, se añada oiro decla de la villa de Gausin á D. Josef Antonio Cires : pira la de Lorca á D. Joscf I rando «que todos los secretarios del Despacho pueden tomar parte en las deli López Pclegrin, y para la de Ciudad-Rodrigo a D. Ramón Angel de1 las [ beraciones del consejo de Estado siempre que aquellas no versen sobre asuntos Cuevas. ! judiciales.” La Cámara adhiere al parecer de la comisión. El mismo señor conde presenta el artículo 3.° (ahora redactado de S&gt; M. la Rkiva Gobernadora, teniendo presente e'. mérito literario y de-Inuevo; en él…</t>
  </si>
  <si>
    <t>ANGERAS, Mano A NOtTCIÁS EXTR</t>
  </si>
  <si>
    <t>Mano A NOtTCIÁS EXTR ANGERAS</t>
  </si>
  <si>
    <t>…que el* tribuÜjt se mctinaba'á'fiivbr'd. ’loa ácótádpai' " - Ha habido'una aCciót». entre los maihotxs y kfifanfier, que byPARTE NO; OFICIAL. traria-á estos óhimiwy de loa coaíés harí mna-to Iflbldrioi, ipaedando j^rftiwbñero el teniente Mano. ' ^ 5A 1 NOtTCIÁS EXTR ANGERAS, Los mainotas forman un jneUo nlnge y fanáticór'^éa lós cadAsforí-’ a enríenpor la abundanciamuge res y ni&amp;os.de espíasSe quesabeseenbollanMainaportodotodaslo páAéstque ppa en el xmiíaícério, (Continuación dcl cortfp.íntcrior.) - El PelopOfteloy la Romelia se muestran inqmttÓA ^CyVtas de lédd^clñfé…</t>
  </si>
  <si>
    <t>Angustio, D.'Manuel</t>
  </si>
  <si>
    <t>D.'Manuel Angustio</t>
  </si>
  <si>
    <t>…ia de Soria y columna móvil órdenes del capitán D. Carlos Gxson Oneill, de la columna de Castilla la Nue de la mi-&gt;rm, con fecha lo def actual desee Cetina remite á este ministerio el va, y dos compañías de zapadores aL mando del capitán D.'Manuel Angustio, -parre siguiente: ^«Excmo. Sr.: Siguiendo la persecución de los malvado*, deir gefe ide la columna de GuádaUjira, tuvieron que dividirse para la persecución pues de la derrota de ellos que ruve la gloria de que mis va lien res hiciesen ca en columnas paralelas y á veces divergentes, habiendo sido…</t>
  </si>
  <si>
    <t>Angustio, Manuel</t>
  </si>
  <si>
    <t>Manuel Angustio</t>
  </si>
  <si>
    <t>…ria y columna móvil órdenes del capitán D. Carlos Gxson Oneill, de la columna de Castilla la Nue de la mi-&gt;rm, con fecha lo def actual desee Cetina remite á este ministerio el va, y dos compañías de zapadores aL mando del capitán D.'Manuel Angustio, -parre siguiente: ^«Excmo. Sr.: Siguiendo la persecución de los malvado*, deir gefe ide la columna de GuádaUjira, tuvieron que dividirse para la persecución pues de la derrota de ellos que ruve la gloria de que mis va lien res hiciesen ca en columnas paralelas y á veces divergentes, habiendo sido…</t>
  </si>
  <si>
    <t>Anieo</t>
  </si>
  <si>
    <t>…os consejos espirituales nándose el modo de asegurar un paso expedito por dicho no para poner en que contribuyen a la perfección, y una novena llena de unción para todos los meses. inmediata relación su cuartel general con el del general Anieo, situado en Va Secunda edición con tres estampas, aumentada por su autor el Dr. D. Tomas Alfaeeme, doctoral de la Real c-ipilla de la Encarnación. Se vende en Madrid en la librería de lencia de Alcántara, nueve leguas distante de Castel-o-b.unco. En toda la Brun y en la d* Hurtado a 8 rs. en pasta…</t>
  </si>
  <si>
    <t>Anión, Antonio</t>
  </si>
  <si>
    <t>Antonio Anión</t>
  </si>
  <si>
    <t>…iempo para eyer so que las dos mitades, mandadas por el expresado teniente de húsares D. Valen bre el cabecilla Locho; tal fue la velocidad con que verificó su paso al vecino tín Fernandez de la Maza, y la, otra. por. el. capitán D. Antonio Anión , í las reino de Portugal. órdenes las tres del teniente coronel D. Eustaquio S. Cristóbal, marchaban Detalles de la derrota del rebelde Merino, anunciada en la Gaceta de ayer. con la disciplina, orden y acierto debido, pues sus cotiunSdanícssc hallaban Comandancia general de la provincia de Búrgos…</t>
  </si>
  <si>
    <t>Anión, D Antonio</t>
  </si>
  <si>
    <t>D Antonio Anión</t>
  </si>
  <si>
    <t>…vieron tiempo para eyer so que las dos mitades, mandadas por el expresado teniente de húsares D. Valen bre el cabecilla Locho; tal fue la velocidad con que verificó su paso al vecino tín Fernandez de la Maza, y la, otra. por. el. capitán D. Antonio Anión , í las reino de Portugal. órdenes las tres del teniente coronel D. Eustaquio S. Cristóbal, marchaban Detalles de la derrota del rebelde Merino, anunciada en la Gaceta de ayer. con la disciplina, orden y acierto debido, pues sus cotiunSdanícssc hallaban Comandancia general de la provincia de Búrgos…</t>
  </si>
  <si>
    <t>Anionio</t>
  </si>
  <si>
    <t>14/12/1834</t>
  </si>
  <si>
    <t>Gaceta de Madrid n.º 303</t>
  </si>
  <si>
    <t>…: ya hemos anunciado de del Excmo. Sr. presidente de tos Estados Unidos Mejicanos. Por ella se im un modo bastante claro que ningún hombre de estado podía permanecer tres pondrá ese superior Gobierno de la elevación del ciudadano general Anionio meses en el ministerio de ia Oran Bretaña, si no seguía el espíritu de reforLópez de. Santana, á la suprema magistratura de la Federación mejicana por el ma, pues esta cuestión ocupa todos los ánimos, y separándose de ella, se vesufragio general de los Estados, y asimismo del estado satisfactorio d…</t>
  </si>
  <si>
    <t>Anisson</t>
  </si>
  <si>
    <t>08/03/1834</t>
  </si>
  <si>
    <t>Gaceta de Madrid n.º 30</t>
  </si>
  <si>
    <t>…njasicattas,,qpe se han rccibido de, Viena aseguran que lo» negocio» bienes raíces concedidos con-e»ta. cláusula para formarrentas de mayorazgos.” que en el dia se tratan en, el congreso de .ministro» son todos relativos al co El Sr. Anisson propone «que se modi6quc el art. 219 de la ordenanza dé mercio y aduana».de,la,Alemania en general; teniendo presente para este arre montea que limita la facultad de romper terrenos arbolados.” La Cámara acuerglo 1 os.inlcreses de la.Holanda y de la Bélgica , principalmente en la parte de , -da, qu…</t>
  </si>
  <si>
    <t>…que se hubiera internado mas en la bahía, y hubiese Tenido todavía Ja póírora particulares. á bordo, hubiera podido voUrse la escuadra que está anclada en ella, quedando Losares. Estancelin y Gauthier apoyan la proposición que el Sr. Anisson al mismo tiempo arFuinada la ciudad.” {Monitor.') há hecho pata que sea libre ¿ todos romper y cultivar las tierras arboladas. La Cámara toma en consideración la propuesta. ESPAÑA. Prosigue la discusión sobre atribuciones de los ayuntamientos, y se aprue Mahon {isla de Menorca) 1.a de AÍarZO* ban L…</t>
  </si>
  <si>
    <t>Anisson-Dupcrron</t>
  </si>
  <si>
    <t>…ón, y aprueba ia elec p^rie de ayer s.;jrc ia acción q^c el mismo día con la columna de mi ción del Sr. Vaictte, el cual.jura y toma asiento inmediatamente. m-tndo en el pu-.no de U -w , donde los Tebcldcs aiavesc» fue.on com- El Sr. Anisson-Dupcrron manibesta ios fundamentos que tiene para pro p.etarncme Ix.tuio», acompaño a V. K ia lí»ta ác muertos, herico. y con poner á la Cámara «declare enteramente libre la facultad de romper y poner tusos q.&lt;e tupieron ¡os dilcrcate» p&gt;qucies de q^.e »e compone ia pic.itada co en cultivo los. terrenos arb…</t>
  </si>
  <si>
    <t>AnJeo</t>
  </si>
  <si>
    <t>11/08/1834</t>
  </si>
  <si>
    <t>Gaceta de Madrid n.º 176</t>
  </si>
  <si>
    <t>…as que ellos cifran en una ciega obediencia á las hasta el 4 del corriente. Resulta de ellos que Ja*.fuerzas de aquel ejército 9e leyes fundamentales que nos dirigen y gobiernan. habían dividido en tres cuerpos; uno, al mando del general AnJeo, estaba en Tañ identificados están los habitantes de Santa María del Rosario, todos cargado de observar y hostilizar al grueso de la facción que con Zumalacarrey cada únó en particular con los derechos de S. M. la Reina proclamada, que gui á la cabeza se hallaba á las faldas de ia sierra de Andíai.…</t>
  </si>
  <si>
    <t>Anleo</t>
  </si>
  <si>
    <t>Gaceta de Madrid n.º 204</t>
  </si>
  <si>
    <t>…dirigía ai valle de Erro, subdirididas sus lo para 12 meses, se sigue que en el espacio de dicho tiempo da la prensa 5760 fuerza1' en vanas columnas. obras nuevas distribuidas en 32,5 18 volúmenes, y por la cuenta que hemos he El general Anleo parece seguía la persecución de Zumalacarregui á la par cho de los S00 ejemplares para cada obra , salen 26.2080 pliegos impresos. te de Segura, y el brigadier higueras par U Baranda. Dios guarde á V. E. mu chos años. Pamplona 29 de Agosto de 183d-=E.xcmo. Sr.=sL. El conde de Armildez de Toledo. __…</t>
  </si>
  <si>
    <t>…uí, y y pongan la mayor actividad en verificar los que creen mas convenientes. las columnas de los coroneles Carrera é Inarte, é igualmente le acompaña el «La división de vanguardia sé que estuvo ayer á la parte de Salvatierra, y general Anleo; y ha destinado á perseguir á Zumalaearrcgui , ademas de la di la del general Lorenzo por la derecha de la Borunda por donde parece; seguía visión de vanguardia, las divisiones de Lorenzo y Gómez Ansa, mandando es Zumalacarrcgui con parte de su fuerza, siendo muchos los facciosos que por tas el gen…</t>
  </si>
  <si>
    <t>…oda etiqueta, y duró hasta las ocho de la noche. El 6 salió de Pamplona el general en gefe del ejército del Norte con di** Se iluminó la ciudad como la anterior, y el baile terminó á la una y media. reccion al Bastan , dejando al general Anleo en observación de las Atnescuas, Las colgaduras, banderas y arcos subsistieron el tercer dia sin embargo de donde el 4se hallaba Zumalacarregui; y al brigadier Figueras en Irurzun : aquel la lluvia. Varias jóvenes, bajo el nombre de ninfas rosarenses que adoptaron, y este con las correspondientes i…</t>
  </si>
  <si>
    <t>…nitudes; y satisfe do , y solo sé que hace dos días estaba en Tolosa r la división de vanguardia es cho el concurso con la práctica y aplicaciones que se le pidieron, se dió fio al tá sobre Salvatierra, y la columna del mando del general Anleo ha pa&gt;ado por examen de este dia. e^te punto á las diez de esta mañana en persecución de Zumalacarregui , que En el segundo el mismo Barba trató de la aplicación del álgebra á la geo con cinco batallones se hallaba esta mañana á las seis en Lecumherrj pronto metría; Foguet de Los principios del cál…</t>
  </si>
  <si>
    <t>24/08/1834</t>
  </si>
  <si>
    <t>Gaceta de Madrid n.º 190</t>
  </si>
  <si>
    <t>…hácia la pacificación de la Península. asegura que las fuerzas que iban con Zumalacarrcgui se han dividido en do* El tratado, tan conforme á la verdadera política de la Francia, que V. M. ha cuerpos, uno de los cuales perdigue el general Anleo, y otro el brigadier Fjconcluido con el Rey de la Gran lircl.lííi, ¡a Reina de'España ,y la Reina gucras, de quien ha recibido el parle siguiente.= *» Excmo. Sr. : Pasan ai hospi de Portugal, debe por otra parte ejercer el mas saludable influjo en el resta tal militar de esa plaza 27 enfermos de la…</t>
  </si>
  <si>
    <t>Gaceta de Madrid n.º 193</t>
  </si>
  <si>
    <t>…Estalla la división de vanguardia, y én seguida marchó ha temer intentasen alguna sorpresa en esta villa con objeto de proveerse de las municiones y demas efectos que existen en depósito en ellas, y asi me trasladécia Muríeta. El general Anleo con las divisiones de su mando llegó ayer á las cuatro sin hacer descanso alguno , de suerte que a las dos de la tarde habia ya llegado de la tarde i Estella, donde pernoctó, sín saber el movimiento que habrá ve aqui; según parece continúan tranquilos en sus posiciones; yo desde aquí obser varé sus…</t>
  </si>
  <si>
    <t>…Gal¡cia. = Habitantes de la capitanía general de este de las provincias Vascongidas , dependientes también de su mando Un grueso fidelísimo retoo.=s'&gt;Unos poco* españoles, mal avenidos con el paternal gobier cuerpo, al cargo del general Anleo, compuesto de una división de infantería, no de S. M. la Rhina nuestra Señora , en el momento de haberse desarrollado una brigad t de ia misma arma unida á la de caballería , gran parte de esta, y notablemente la terrible enfermedad del cólera en la capital de la monarquía, alguna artillería, debía…</t>
  </si>
  <si>
    <t>…as 25 sendas ó uniones de las miomas duelas: Supuesta la verdad de Por la parte de Lumbier en Navarra, las tropas al mando del brigadier los hechos, de los que no es permitido dudar, este es un verdadero arcano, pa Figueras y del general Anleo marchaban sobre Zumalacarregui, que se dirigía ra cuya comprensión no bastan nuestros conocimientos fmco-matcmáticoS. al Roncal , adonde debía hallarse el coronel Barrena-, el de igual clase Amor Si seeun ellos se quisiera uno detener un instante á examinar la teoría del con su caballería se habia…</t>
  </si>
  <si>
    <t>…su mayor parte , y la otra con dicho Pretendiente en dirección de Segara. Es cuanto por el momento puedo decir i V. E., sin que tenga noticia A mi paso por Aramayona me informaron que Castor con 400 hombres ha de las columnas del general Anleo y brigadier Figueras, cuya muestra de su bía permanecido allí todo ayer, y que hoy á las siete de la mañana subió i existencia me prometo y anhelo por momentos. los alto de mi izquierda en dirección de Elorrio, seguramente para regresar i Dios &amp;c. Cuartel general de Zumarraga 20 de Agosto de 1834 á l…</t>
  </si>
  <si>
    <t>…Lorenzo habrá llegado esta , filó la noche .pasada por la izquierdade este valle, atravesando el de Basabura mañana i Lumbier, y Anlco igualmente: todos decididos á continuar la perse mayor hácia Lecumbérri, adonde mando venga el general-Anleo y brigadier cución. De V. E. solo he recibido una1, comunicación del 20 desde Tolosa. Figueras para que continúen la persecución de este caudillo, dirigiéndome yo Barrena estaba en el Roncal. Carondelefy Martilla siguen también el movi sobre el Pretendiente, á fin de no dejarlo parar según me he prop…</t>
  </si>
  <si>
    <t>Anleo, D Juan González</t>
  </si>
  <si>
    <t>D Juan González Anleo</t>
  </si>
  <si>
    <t>…uales, y por los puertos de Belate é inmediato Africa, y el de igual número del de S. Fernando, sirviendo también de apoyo de Urtiaga venga mañana á Eugui, pues yo la verificaré al mismo Eugui sevun y reserva á la columna del Sr. general D. Juan González Anleo, que pernoc las noticias que tenga sobre la marcha, de la situación del Pretendiente, que es tó en Lecumberri, haciéndolo aquel en Santisteban con la mitad de la fuerza nuestro objeto único y exclusivo por ahora. Cuartel, general, de Aldaz 27 de de la suya, pues la restante se dirigió sobre Elizond…</t>
  </si>
  <si>
    <t>…pequeñas fuerzas que los excitasen á acometerle Habién la que inserté á V. E. en mi parte del Lu á las doce del dia, como tampoco dose empeñado sucesivamente todas las fuerzas de Zumalacar.tegui en número de la columna del Excmo. Sr. D. Juan González Anleo, á quienes repetí de 5$ hombres, mandados por el mismo, fueron vencidas y dispersadas por mis órdenes de que en combinación y sin ella so ocupasen de perseguir , batir, 2500 hombres á las Órdenes del general Espartero, sostenido por el general destruir y aniquilar al mencionado Zumalacarrcgui , pue…</t>
  </si>
  <si>
    <t>Anleo, Juan González</t>
  </si>
  <si>
    <t>Juan González Anleo</t>
  </si>
  <si>
    <t>…batería de montaña de la 2.a división al mando del teniente del Real sucesivos para seguirlos de todos modos un descansar; pues que el mariscal de cuerpo de artillería D. José Lasala, hizo disparos muy oportunos que contri campo D. Juan González Anleo con las divisiones 3.a y la de caballería, i buyeron á la fuga y desorden de las columnas enemigas de nuestra izquierda, cuya cabeza se hallan los de igual clase D. Luis Fernandez de Córdoba y el ba conduciéndose con su acostumbrado valor el coronel graduado comandante ac rón de Carondelet, con las…</t>
  </si>
  <si>
    <t>…por los puertos de Belate é inmediato Africa, y el de igual número del de S. Fernando, sirviendo también de apoyo de Urtiaga venga mañana á Eugui, pues yo la verificaré al mismo Eugui sevun y reserva á la columna del Sr. general D. Juan González Anleo, que pernoc las noticias que tenga sobre la marcha, de la situación del Pretendiente, que es tó en Lecumberri, haciéndolo aquel en Santisteban con la mitad de la fuerza nuestro objeto único y exclusivo por ahora. Cuartel, general, de Aldaz 27 de de la suya, pues la restante se dirigió sobre Elizond…</t>
  </si>
  <si>
    <t>09/06/1834</t>
  </si>
  <si>
    <t>Gaceta de Madrid n.º 112</t>
  </si>
  <si>
    <t>…era; y á fin de Ve tez. Málaga. Trigo, de 4$ £ 4^ TS- fanega: cebada, de 25 á 26 id.: garimpulsar todo, y darle el órden que he acordado conelSr. segundo general de * banzos, 4 60 id.: maíz, á 28 Íd.: habas, 4 36 id.este ejército D. Juan González Anleo:, y el gefe de estado mayor del mismo, Sevilla. (Provincia de)__Carmona (30 de Abril.) Trigo, de 42 á 46 rs.coronel D. Juan de Tena, quedan hasta que salga la referida vanguardia ó úl fanega: cebada, de 24 á 26 id.tima división , en el estado de marcha antes expresado; para el cual me rigió Erija.…</t>
  </si>
  <si>
    <t>…eñas fuerzas que los excitasen á acometerle Habién la que inserté á V. E. en mi parte del Lu á las doce del dia, como tampoco dose empeñado sucesivamente todas las fuerzas de Zumalacar.tegui en número de la columna del Excmo. Sr. D. Juan González Anleo, á quienes repetí de 5$ hombres, mandados por el mismo, fueron vencidas y dispersadas por mis órdenes de que en combinación y sin ella so ocupasen de perseguir , batir, 2500 hombres á las Órdenes del general Espartero, sostenido por el general destruir y aniquilar al mencionado Zumalacarrcgui , pue…</t>
  </si>
  <si>
    <t>Anoche</t>
  </si>
  <si>
    <t>…enemiga intentaba pasar, el Ebro,. y no - í ' - : r . . -I ' puedo nienos .de .hacer un elogio-de'la bella conducta de los referidos cazadores Urbanos, é individuos del resguardo; voy á salir -par* Pancprbo. En esta ciudad Excmo. Sr.: Anoche &amp; las diez se tne'ptesentó él .'álfcáide .'de ’Viirarelic’iié iKi'ha ocurrido .novedad importante que comunicar á ’V» E. ni de la provincia pidiendo auxilio, porque-esperaba que en ella intentar ianJos' facciosos ocupar he recibido partes que merezcan su atención. Dios &amp;c. su pueblo, y como los vecinos s…</t>
  </si>
  <si>
    <t>…e el resto de la isla era, en 2ü de Marzo último, el mas lisonjero que en igual Mayo actual desde Burgos dice á este ministerio lo que sigue : estación se ha presentado, pues por lo regular reinan en ella enfermedades es « Excmo. Sr.: Anoche regresé de Lerma , según digo á V. E. en oficio se tacionales , mientras que en el día , lejos de suceder lo mismo , ha ocurrido el parado, después de tomar algunas disposiciones para activar la persecución y hecho notable que en una población de 112,023 almas solo hubiese entrado ea destrucción de…</t>
  </si>
  <si>
    <t>Ansa, D Joaquín Gómez y</t>
  </si>
  <si>
    <t>D Joaquín Gómez y Ansa</t>
  </si>
  <si>
    <t>…a compañía de fusileros del mencionado 1 J® de la Reina; cuyo fecha iie ayer lo siguiente: movimiento siguió también lleno de honor y de tos mejores deseos el preci «Deseando S. M.- la- Ruina Gobernadora dar un nuevo testimo tado general D. Joaquín Gómez y Ansa, quedando asimismo en reserva y al nio público de los sentimientos religiosos que la animan, y propor cuidado del parque y provisiones las seis compañías restantes del indicado pri cionar un solemne desagravio á la piedad nacional, ultrajada en la mer batallón de la Reina de infantería, ocupando el…</t>
  </si>
  <si>
    <t>…onteras, dispuse que el primer batallón , mandado ministerio e! parte siguiente : por el comandante D- José Crehuet y el. benemérito brigadier coronel de la Excmo. Sr.: El brigadier D- Diego Pacheco con fecha 8 del actual dice al Reina D. Joaquín Gómez y Ansa , marchase á desalojar al enemigo de las ele comandante general interino del distrito de la provincia de Cáceres lo siguiente: vadas montañas que ocupaba^sobre nuestra izquierda, mientras el, 2.° batallón, Por mi parte de ayer dije á V. S. salía á las tres de la madrugada en persecu conducido por s…</t>
  </si>
  <si>
    <t>Ansa, Joaquín Gómez y</t>
  </si>
  <si>
    <t>Joaquín Gómez y Ansa</t>
  </si>
  <si>
    <t>…ía de fusileros del mencionado 1 J® de la Reina; cuyo fecha iie ayer lo siguiente: movimiento siguió también lleno de honor y de tos mejores deseos el preci «Deseando S. M.- la- Ruina Gobernadora dar un nuevo testimo tado general D. Joaquín Gómez y Ansa, quedando asimismo en reserva y al nio público de los sentimientos religiosos que la animan, y propor cuidado del parque y provisiones las seis compañías restantes del indicado pri cionar un solemne desagravio á la piedad nacional, ultrajada en la mer batallón de la Reina de infantería, ocupando el…</t>
  </si>
  <si>
    <t>…s, dispuse que el primer batallón , mandado ministerio e! parte siguiente : por el comandante D- José Crehuet y el. benemérito brigadier coronel de la Excmo. Sr.: El brigadier D- Diego Pacheco con fecha 8 del actual dice al Reina D. Joaquín Gómez y Ansa , marchase á desalojar al enemigo de las ele comandante general interino del distrito de la provincia de Cáceres lo siguiente: vadas montañas que ocupaba^sobre nuestra izquierda, mientras el, 2.° batallón, Por mi parte de ayer dije á V. S. salía á las tres de la madrugada en persecu conducido por s…</t>
  </si>
  <si>
    <t>…de Tolosa D. Elias Iturriza con fecha de 7 del zo, ocupaba el centro de dicho Baquedano, cubriendo yo la izquierda con la corriente dice al gobernador de S. Sebastian lo que sigue: 1.a división, confiada al Sr. mariscal de campo D. Joaquín Gómez y Ansa, En este momento que son las once de la noche recibo par medio de un en Zudarre, la que según las tentativas de los facciosos, podía ser también te- propio el aviso siguiente: »He perseguido hoy á Zumalacarregui, que Con el serva dé cualquiera de las otras divisiones. grueso de la facción estuvo en…</t>
  </si>
  <si>
    <t>Anselministerio, Antonio</t>
  </si>
  <si>
    <t>Antonio Anselministerio</t>
  </si>
  <si>
    <t>27/12/1834</t>
  </si>
  <si>
    <t>Gaceta de Madrid n.º 317</t>
  </si>
  <si>
    <t>…al comandante D. Vicen te Llorens, situado en la izquierda del Ebro, verifico dicho gefe en los días 18 El capitán general.de Valencia con fecha 23 de Diciembre remite á este y 19, y en unión con el comandante de armas de Irise!, D. Antonio Anselministerio el parte siguiente. me , una escrupulosa batida en, varios puntos del priorato ; la cual ha produ Excmo Sr. En el correo anterior di parte á V. E. de que el Serrador y cido muy felices resultados, pues es considerable el número de los que se pre otros cabecillas habiah entrado en la villa de Alcora…</t>
  </si>
  <si>
    <t>Anselmo</t>
  </si>
  <si>
    <t>…o retirar varias veces ios ti acción de esta mañana, como en todas las demas de la actual campaña , ha pres radores de vanguardia, y matando al oficial que mandaba la guerrilla, por lo tado el comandante de la columna guipuzcoana D. Anselmo lnurrigarro, ni. que viéndolo empeñado de tal manera dispuse hacerlo retirar, y desde este pun Jas df este benemérito cuerpo, que con el mayor arrojo y decisión acudió con to ya se hizo general el ataque : el enemigo avanzó con todas sus fuerzas hasta toda prontitud para apoyar á sus camaradas de l…</t>
  </si>
  <si>
    <t>Anselmo, Juan</t>
  </si>
  <si>
    <t>Juan Anselmo</t>
  </si>
  <si>
    <t>…de toda nación que quiera politana iglesia de Tarragona; D. Mateo Ochoa de Antesana y D. Pedio de conservarla^ Ofendería la justicia, y ultrajaría la dignidad del gabinete britá Garramiola, presbíteros beneficiados de Ondarroa, y D. Juan Anselmo (je nico éjqqe Supusiese que este podría obrar ¿on parcialidad contra unos dere Aróstegui, beneficiado de Lequeitio, se ha servido mandar S. M. la Ruina chos sancionados y generalmente reconocidos. El mismo ministerio tavy, que Gobernadora, por diferentes Reales órdenes, que se les ocupen1 desde lu…</t>
  </si>
  <si>
    <t>Ansíe</t>
  </si>
  <si>
    <t>…s. De Real Orden lo comunico á V. S. para su inteligencia y efectos corres- Han llegado á Nueva-Orleans otros 22. desterrados de Meneo, l [pondienres á su cumplimiento. Dios guarde á V, S. muchos años. Madrid 12 cuales se hada el general Ansíe, que fue el caudillo principó de !a rebebo Idé Marzo de l834^csBúrgo$.=rSr. subdelegado de Fomento de..... contra Santana. E&gt; cuanto se sabe en el dia del estado desgraciada en que subsiste la Ame En algunas provincias se ha dudado si los empleados de las subdelegaciones rica rebelde. (Cartas parti…</t>
  </si>
  <si>
    <t>Ansioso</t>
  </si>
  <si>
    <t>23/01/1834</t>
  </si>
  <si>
    <t>Gaceta de Madrid n.º 11</t>
  </si>
  <si>
    <t>…MiMSTBftIO DE LA ít’EUA, I dia , en razón de los cuatro maravedís en libra de carne de la suministrada á los confinados enfermos en el hospital de aquella villa , por haber contratado con la Capitanía general de Andalueía.=Excmo. Sr.: Ansioso como el que ma* dirección de Caminos libre de todo pago la provisión de este artículo. Dios &amp;c. por los triunfos y glorias de nuestra excelsa Reina y de su augusta Madre, Madrid 18 de Noviembre de I833.^Búcgos.=Sr. director general de Caminos. por cuyo mejor servicio hago alarde de sacrificarme gus…</t>
  </si>
  <si>
    <t>Ansurcs, D Pedro</t>
  </si>
  <si>
    <t>D Pedro Ansurcs</t>
  </si>
  <si>
    <t>…as y media de cebada. Tod*s.el.as han s»do ad tobal Linares de Butrón. quiridas de bienhechores, y resulta haber socorrido en todo el expresado año á 61$ enfermos de ambos sexos que causaron 62 o estancias. Fue fundado por el Sr. conde D. Pedro Ansurcs el año 11:1, hallándose en la actualidad b.ijo la vigilancia y dirección de seis caballeros cofrade* que lo son de la clase D. José Ramón Rodil y Pompillo, marques de Rodil, Procer del Rei principal de esta población. no, cabaMeho-grstr cruz de las Reales-órdenes de Carlos m, americana de ]&gt;.i- Afe…</t>
  </si>
  <si>
    <t>Ansurcs, Pedro</t>
  </si>
  <si>
    <t>Pedro Ansurcs</t>
  </si>
  <si>
    <t>…edia de cebada. Tod*s.el.as han s»do ad tobal Linares de Butrón. quiridas de bienhechores, y resulta haber socorrido en todo el expresado año á 61$ enfermos de ambos sexos que causaron 62 o estancias. Fue fundado por el Sr. conde D. Pedro Ansurcs el año 11:1, hallándose en la actualidad b.ijo la vigilancia y dirección de seis caballeros cofrade* que lo son de la clase D. José Ramón Rodil y Pompillo, marques de Rodil, Procer del Rei principal de esta población. no, cabaMeho-grstr cruz de las Reales-órdenes de Carlos m, americana de ]&gt;.i- Afe…</t>
  </si>
  <si>
    <t>Antes</t>
  </si>
  <si>
    <t>…D. Saturnino Albuin, comandante de la 2 1 bri __ Acaban de llegar á París‘el duque de Cadaval, ministro de D. Miguel, y gada de operaciones en la sierra, con fecha 17 del corriente, me dice lo que sigue desde Covarrubias: »Excmo Sr.: Antes de amanecer salí ayer de Huertassu hermano el duque de Lafoens con sus numexoaas familias. de Rey, y caí sobre E-pejon, creyerido, según noticias, que Merino con toda su facción se hallaba en el monte inmediato; pero avísalo sin duda de mi t.a junta de sanldjd de Bayona ha resuelto que las importacion…</t>
  </si>
  <si>
    <t>…o no obstante, yo quiero garantías en las leyes, tío en derecho de elevar peticiones á su Soberano; qué es ilegítimo todo acto por las personas. el cual quiera este quebrantar las leyes fundamentales de la nación; y otras dos Sr. Caballero' Antes de concretarme at art. 1.® de la petición que hoy ó tres leyes sancionadas ya en la Constitución inglesa, y establecidas de un redama las luces del Estamento, creo necesario hacer notar á mis dienos com modo muy diferente á como Jo han hecho los franceses, y á como ellos han pañeros de procuración que…</t>
  </si>
  <si>
    <t>…a general de Castilla la Vieja. =Excmo. Sr.=El coronel Don noUA de coxBRCio._Cofrazet0» Je Af¡y í las tret de la tarde. Saturnino Abuin, gefe de la 27 brigada, me dice desde Tejada con fecha 5 del corriente lo que sigue.e=»Excmo. Sr.: Antes de amanecer he emprendido la ERECTOS PVBLICOl. marcha por la huella ,,y pista que dejaba la faccion'del rebelde Merino; llegué Inscripciones en el gruí libro á S p. 100» 00. 4 Castro Ceniza , atravesé los montes de Orá, Dehesa de Cabreros, Carrascal Títulos al portador del S p. 100,604 á 3i d. f. ó vo…</t>
  </si>
  <si>
    <t>…Junio que el conde de Oysonville, capitán de navio, sertados en el Moming-Post. tomaría el mando de la fragata la Sirena. £Monitor.) El eonde Grey: ¡ Acaso los hechos referidos en el artículo los recibió V. de maro de algún noble lord! ------ Antes de la llegada de Gerónimo Bonaparte i Bruselas se trataba de com M. B.ttlerstori: Milord, declaro positivamente que no. prar en su nombre una magnífica posesión á las inmediaciones de la ciudad, El conde Grey. M. Bittlerston se ha reconocido responsable de todos los pero después que ha llegado, se ha cre…</t>
  </si>
  <si>
    <t>Gaceta de Madrid n.º 95 · suplemento</t>
  </si>
  <si>
    <t>…e las operaciones que voy a cmprendcr sobre el A*en’ej &gt;, desean*!-* que Capitanía general de Extremadura "Ejército de operaciones de Portugal." sea de la :ipmb rcion Je S. M. la aucusta Ri-.ina Caobcrnadora. D..»s gu.rdc aExcmo. Sr. : Antes de ayer retrocedo el Pictendicnte a Fvor.i de la direeu*&gt;n V. E. miKihos anos. Cuartel general de Valcmu Je A.cantara a ¿2 de Mí*o que había tomado al Algarbe, ignorándose el verdadero motivo de coa ret.r.ide U&gt;.'Á =Kx^mo. br.=Jo*e Ramón Rodii.^F.^mu. br. be^retano de da : se cree que permanece allí t…</t>
  </si>
  <si>
    <t>Antes, Caballero'</t>
  </si>
  <si>
    <t>Caballero' Antes</t>
  </si>
  <si>
    <t>…pero no obstante, yo quiero garantías en las leyes, tío en derecho de elevar peticiones á su Soberano; qué es ilegítimo todo acto por las personas. el cual quiera este quebrantar las leyes fundamentales de la nación; y otras dos Sr. Caballero' Antes de concretarme at art. 1.® de la petición que hoy ó tres leyes sancionadas ya en la Constitución inglesa, y establecidas de un redama las luces del Estamento, creo necesario hacer notar á mis dienos com modo muy diferente á como Jo han hecho los franceses, y á como ellos han pañeros de procuración que…</t>
  </si>
  <si>
    <t>Anto</t>
  </si>
  <si>
    <t>…rocuradores se mandó to de su obligación. que pasase i la comisión para 1ue 1* redactase de nuevo.” «Contrayéndome á la cuestión presente, no puedo menos de recordar que La comisión de Poderes dió cuenta de haber examinado los de D. Anto el actual Ministerio es el que ba fundado la Milicia urbana tal como existe: nio María Montenegro por la provincia de Pontevedra,y hallándolos confor no diré que sea tan numerosa cómo seria de desear, ni tampoco que su institución mes era de parecer que se aprobasen. El Estamento adhirió á este dic…</t>
  </si>
  <si>
    <t>PDF p. 10</t>
  </si>
  <si>
    <t>…e remito á los principios Los que aprobaron fueron los Sres. Rodríguez Vera, Vicedo , Be Ida, que ha enunciado en este lugar vanas veces, para coniestár ahora á su obje Osea, López, Abargues, Chacón, Carrasco , Somoza, González ( D. Anto ción. £1 nos ba dicho que es siempre muy expuesto á error el querer hacer nio ), CUrós, Marín , Villanueva , García Carrasco , Atocha , Ultoa , Cuevas, aplicaciones de máximas generales á ocurrencias particulares y determinadas. Si Alcalá Zamora, conde de las N*vas, Bermudez, C-roo Manuel (hijo), C…</t>
  </si>
  <si>
    <t>Gaceta de Madrid n.º 249</t>
  </si>
  <si>
    <t>…itirá en aquel dia to llas las proposiciones que se hubiesen hecho al examen de una co Un capitán. misión compuesta de D. Antonio Martínez, Procer del reino; Don Un teniente. José Ventura de Aguirre Solarte, Procurador del reino: D. Anto Dos subtenientes. nio Barata, director de la Real caja de Amortización; D. Domingo Sargento primero.................... 1 ^e Torres, director de Tentas provinciales; D. Joaquín Liaño, in Una compañía. . . Sargentos segundos.............................. 4 tendente general mili.ar; D. Andrés Caballero,…</t>
  </si>
  <si>
    <t>…empresa, los mismos ingenieros que las mejoras, llamó desde luégo su atención la construcción del canal de ilirijan, auxiliados cuando mas de algunos subalternos, podrán ir Tamarite, y se ocupaba de ella cuando se le presentaron D. Anto haciendo sucesivamente por trozos el trazado detallado del canal, la nio Gassó y Calafell, D. José Sagrista y D. Narciso Mercader, ofre determinación del número, formas, dimensiones y calidad de las ciendo realizarla bajo ciertas bases á nombre de una compañía, cu obras que corresponden á cada uno…</t>
  </si>
  <si>
    <t>…te pió militar y órdenes posteriores, serán aten de 1834.=YO LA REINA GOBERN ADORA.=Nicolas María Ga- didas del modo posible ron pensiones ó auxilios, según los rasos, por reíly, = V. M. ronrade la empresa del canal de Tamarite á D. Anto el fondo de temporalidades. nio Gassó y Calafell, D. José Sagrista y D. Narciso Mercader, y en 6V Esta última gracia será igualmente aplirable á las viudas y su nombre á la compañía que representan. familias de los milicianos Urbanos que murieren en defensa del orden públi,co ó del legítimo trono d…</t>
  </si>
  <si>
    <t>…ntín'Fernandez de &gt;&gt;£n ej momento ordené que dos mitades al mando del teniente coronel la Maza, de húsares, y el capitán de caballería D. Antonio Antoo, con todo D. Valentín Fernandez de la Maza, y- otra de reserva al del capitán D. Anto los demas oficiales á que hace referencia, á quienes. considero acreedores á lá nio Antón quedasen á retaguardia al mando del teniente coronel D. Eustaquio recompensas que S. M. la Reina Gobernadora se digne dispensarles según M S. Cristóbal , previniéndole siguiese constantemente mis movimientos, y yo…</t>
  </si>
  <si>
    <t>Anto, D</t>
  </si>
  <si>
    <t>D Anto</t>
  </si>
  <si>
    <t>…D. Valentín'Fernandez de &gt;&gt;£n ej momento ordené que dos mitades al mando del teniente coronel la Maza, de húsares, y el capitán de caballería D. Antonio Antoo, con todo D. Valentín Fernandez de la Maza, y- otra de reserva al del capitán D. Anto los demas oficiales á que hace referencia, á quienes. considero acreedores á lá nio Antón quedasen á retaguardia al mando del teniente coronel D. Eustaquio recompensas que S. M. la Reina Gobernadora se digne dispensarles según M S. Cristóbal , previniéndole siguiese constantemente mis movimientos, y yo…</t>
  </si>
  <si>
    <t>Anto, D Pedro</t>
  </si>
  <si>
    <t>D Pedro Anto</t>
  </si>
  <si>
    <t>…en de la comisión mista, las de siguió la discusión por la provincia de Murcia. sobre el proyecto de ley- EbSr. Presidente anunció que iba á continuar la discusión acerca del pro Se mandaron pasar á la comisión de Poderes los del Sr. D. Pedro Anto yecto de ley modificado pot el Estamento de ilustres Proceres, relativo á la nio Acuña, electo Procurador por la provincia de Jaén, igualmente que los deuda extraDgera y empréstito de 400 millones. documentos justificativos de su aptitud legal. El Sr. Trueba. «No puedo menos de confesar mi sorpresa…</t>
  </si>
  <si>
    <t>Anto, Mariano</t>
  </si>
  <si>
    <t>Mariano Anto</t>
  </si>
  <si>
    <t>…tu hostil al ministerio. y para oidor de la audiencia de Granada , cuya plaza se halla vacante por nom A esto contesta el Globo que lejos de encontrarse la Inglaterra en esta bramiento para otro destino de D Antonio de Heredia, £ D. Mariano Anto nulidad política qué le achaca John-Bull, nunca ha sido mayor su considera nio Collado, alcalde del crimen de la de'Valencia. ción exterior, y el rango que como Potencia de primer órden ocupa en la es cala de las naciones. Dice que es muy insignificante que lor embajadores de las córtes extrangeras…</t>
  </si>
  <si>
    <t>Anto, Pedro</t>
  </si>
  <si>
    <t>Pedro Anto</t>
  </si>
  <si>
    <t>…e la comisión mista, las de siguió la discusión por la provincia de Murcia. sobre el proyecto de ley- EbSr. Presidente anunció que iba á continuar la discusión acerca del pro Se mandaron pasar á la comisión de Poderes los del Sr. D. Pedro Anto yecto de ley modificado pot el Estamento de ilustres Proceres, relativo á la nio Acuña, electo Procurador por la provincia de Jaén, igualmente que los deuda extraDgera y empréstito de 400 millones. documentos justificativos de su aptitud legal. El Sr. Trueba. «No puedo menos de confesar mi sorpresa…</t>
  </si>
  <si>
    <t>Antofúo</t>
  </si>
  <si>
    <t>…so que no tienen ni los ciatos ni los conocimientos que Rodríguez Vera, Abargues!, Belda, Xopez, Vicedo, Carrasco, Chacón, ¿1 posee. En cuanto al empréstito de Guebhard, no hizo muy bien el Góbierno Paco Cánovas, Clarós,González (D. Antofúo), Marin , Llano Chavarri, Tor de considerarlo corno deuda que debía reconocerse. ¡Cómo pudo creer que el reas y Miralda, Atocha,Cuevas, Tosquellas, Alcalá Zamora , Pedrazas, con ^Estamento lo aprobase! En mi concepto jamas debió figurársele, porque enton de de las Navas, Bermudcz de Villar, Belmont…</t>
  </si>
  <si>
    <t>Antohombres</t>
  </si>
  <si>
    <t>…s declaraciones Por decretos de l.° de Octubre se ha dignado S. M. Ja JR-rina Gobernaque acabamos de ver del otro lado del canal de Irlanda, y aun en estepais, por dora nombrar canónigos de lá-Santa iglesia catedral de Valencia á D. Antohombres que no conocen lo qué Hacen, por hombres que nos conducirían á una lucha cruel y desastrosa , por hombres qúe no ven que aun cuando logra nio Martínez de Velasco v.D, Gregorio Sanz de VtUavieja, curas propios que fueron de las parroquias de Santiago y S. José de esta corte.- ,sen un triunfo tempora…</t>
  </si>
  <si>
    <t>Antomo, EratíeiícodePaiUz</t>
  </si>
  <si>
    <t>EratíeiícodePaiUz Antomo</t>
  </si>
  <si>
    <t>…el -^-Pqr provideacja del Su déRpraagjray , téoíewecorreeldo# de esta yilfa, y por Concedienda 4. DoKdAmalií, Éeüpa, Pilar, Maruná, bija del' Serma Señor trámelo 6í,034¿ «trode Í00 petos no consqjtiifnln iláim»ii ¿ $$Q ' Infante D. EratíeiícodePaiUz Antomo, la banda de la Real órden de da pesoé ¿aaa uno consolidado* núme/ot 27^78 f tZ,12?9i lodos d«i ifio de IttL que lula ma» noble* de la Reina María lCm¿u%Núm. 255.) sido rétenJdos y tecUmadot* cotdo de U pertenencia de D. Cosme de Moni oará aae Pr0Tt5to.deácrmanaioaido por &amp; M,;l? RmÍNA,Gobernadora,…</t>
  </si>
  <si>
    <t>Antón</t>
  </si>
  <si>
    <t>…o go- tínez Bustamante-, pjtra lá de Piedrahita á'D. José Remigio Gótricz; pira la de , hiernó;}abaridonabá £ nuestra antigua aliada la Puerta en manos de- los rusos; Betanzos £ D. Gregorio Goyane» y Balboa; para la de Cazáila £' D. Antón» DO iiripedfa los’denátrbsos acontecimientos que condujeron al trinado de Andri- María Cúnelos y Lanuza; y para el corregimiento de Reino» £ D; Aaxbhió nópól¡s;eré fránquitá éspectadora de la.conquista de Argel ^enviaba nuestras Alvaro Campaner. " " étCuadráü para riiaffchar-Sl pabelloi^ ingles en las…</t>
  </si>
  <si>
    <t>Anton.o</t>
  </si>
  <si>
    <t>10/09/1834</t>
  </si>
  <si>
    <t>Gaceta de Madrid n.º 208 · suplemento</t>
  </si>
  <si>
    <t>…culo, equival Pidieron la palabra en contra los Sres. marques de la Gándara, Vega y dría á decir que las contribuciones solo, deberían ser de la clase de directas Si - Rio, Mantilla y Serrano (D. Gines), y en pró el Sr. González (D. Anton.o). fuese posible esto , seria una ventaja; peto la.experiencia ba acreditado que no, EI Sr. marquet déla Gándara :»Hí pedido la palabra , no contra el y que los pueblos prefieren en muchas ocasione* lea iodirecus, abundando yo fondo del artículo, sino solo para hacér algunas observaciones sobre su r…</t>
  </si>
  <si>
    <t>Antonia</t>
  </si>
  <si>
    <t>…nos. Si nosotros hubiéramos llegado á tiempo con nuestras fuerzas, y D. Cir mayor pausa y circunspección de lo que se intenta ” ios hubiese sido un prisionero, seria entonces justo inculpar al (Gobierno de no El Sr. trónzale z ( D. Antonia), par¿ deshacer una equivocación, dijo: haber cumplido con su deber. «que lo que había asegurado era que calculando los sueldos que tienen los di n No hubo, pues , falta por su parte. Estaba ciertamente nombrado ya ferentes embajadores, ministros plenipotenciarios y residentes de Francia, cos nuest…</t>
  </si>
  <si>
    <t>Antonio</t>
  </si>
  <si>
    <t>…idor de Alcali de Henares, se y las demas retribuidas por )ás niñas. Habiéndome inanifestado un vecino de la villa de Btguera que én la testa aumcMcbi nlli ci número de enfermos sospechosos, de los cuales habían falle mentaría de D. Antonio dtl Rio obraban ciertos íoddós en favor de las escue cido 25 en Li última semana o que en Fuentidurña de T¿jo no había QCurridft las de primeras letras de’Ja misma, después de tomados varios conocimientos nihgurt ca*o de colera desde el 23 á 2~drí propio mee antes pr&gt;r el contrarío, declararon sus…</t>
  </si>
  <si>
    <t>…fallo. Se nos ha he Zamora, Orense, marques de Espinardo , marques de Falces, Ulloa, Butrón, cho presente que aprobándose el artículo tal como se presenta, resultará un dé Villanueva, Ochoa, Lasanta, Trucha, Caballero, González (D. Antonio), ficit que tendrán que cubrir los.pueblos: se ha dicho también que la renta ecle Sonioza, Marin, Fuster, Calderón de la Barca, Cuevas, Subercase , Torráis y siástica es muy superior á las demás del Estado. Esta idea tiene algo de cierto Miralda, marques de Torremejía, Polo y Monge, Tosquellas y Sr…</t>
  </si>
  <si>
    <t>…ace mas de tres siglos á Carlos v para que sirvieran de ley perpetua, Villanueva, Ruiz de Carrion, Cuevas, Lasanta , Belda , Trueba, Caballero, según su expresión misma, y se verá que la España estaba mas adelantada quo González (D. Antonio), y Sr. Presidente conde de Almodobar. la Francia y la Inglaterra. «Y por qué se perdió entonces ia libertad? No lo Los que desaprobaron fueron los Sres. Domecq, Agreda, Fleix, Serrano olvidemos: porque se creyó que se podia dividir la causa del trono de la de la (D. Ginés), González (D. Juan Gualb…</t>
  </si>
  <si>
    <t>04/08/1834</t>
  </si>
  <si>
    <t>Gaceta de Madrid n.º 168 · suplemento</t>
  </si>
  <si>
    <t>…n la razan ¡y ' El Sr. Secretario Caballero leyó dicha lista, á saber: en pro, Sres. López y justicia. Hay una desigualdad, y esta existeen la naturaleza, y no puedeatters Diez- González, de la comisión , Gi I vTrueba , González (D. Antonio), Gon mediarse; mas hay otra, hija de la ley, que tiene muchísima, mayor influencia zález Alonso, Caballero, Florez Estrada y Cbácon. En contra» Sres) Medrana, en los individuos, y cuyos perjuicios son incalculables.La,legislac¡ondebf cqfcq Latofre, marques de Falces, Santafé, Redondo, Vega, Coton,…</t>
  </si>
  <si>
    <t>…er que'quisiese ran , cotidi 'de Monterrón, duijué de NoMejas, conde dé Ofalie, conde de 'tomar:la palabra, y no habiéndolo, dijo el Sr. Secretario marques de Guadal- f arsent, D. Ignacio de la Pézuela, conde de Pinofial', obispo D.- Antonio aáíílí qüe pedía aTEstamento qué ademas déla propuesta del Gobierno admi- Po,adas-, D. José María Puig, conde de Prieguf, cond,e de PufioníOstro, con* Ttida piór tá comisión se añadiese la adición que proponía el Consejo de Gó- de de Pino hermoso, D. Manuel José Quintarla ,duque de lio vas, coríHe…</t>
  </si>
  <si>
    <t>…tra parte, es española. Y a que de este cargo por hallarse imposibilitado de desempeñarte. los empleados'tienen defendidos sus destinos por los pechos del valiente ejérci ■ - A la misma se pasaron los documentos y poderes del Sr. D. Antonio de to y Milicia urbana, que pelean con gloria en el campo de batalla, no pare Búrgos Tello, electo Procurador por la provincia de Málaga; j los poderes cerá injusto que contribuyan á cubrir las necesidades de los mismos defensores presentados por el Sr. marques de Villacampo, que lo es por la de Búrgo…</t>
  </si>
  <si>
    <t>…io que ha tomado la discusión , creo que en lo Mantilla, Cano Manuel (hijo) , Blanco, Belmonte, Somoza , Acevedo, Cá— •ustancial tanto los Sres. que han impugnado como nosotros, estamos confor ccres , Toledo , Trucha , González ( D. Antonio) , Villalaz , Subercase , Ormes , lo estamos efectivamente en las bases del proyecto , y solo diferimos tíz de Vclasco, Polo, De Pedro, Laborda, marques de Someruelos, García en la oportunidad ó inoportunidad de ellas y en el modo de enunciarlas. En Carrasco, Torrens, Calderón de la Barca, conde de…</t>
  </si>
  <si>
    <t>05/11/1834</t>
  </si>
  <si>
    <t>Gaceta de Madrid n.º 264</t>
  </si>
  <si>
    <t>…as politéc REALES DECRETOS. nicas de Francia; los discípulos de estas escuelas no formarán mas que una cla se, que sera igual á la segunda clase de Berlín, de modo que los mejores dis Accediendo á los deseos que me ha manifestado D. Antonio cípulos de las escuelas provinciales puedan estar directamente en la primera Remon Zarco del Valle, he venido en admitirle su dimisión de la clase de la capitaL Secretaría del Despacho de la Guerra, que tenia á su cargo: quedan BELGICA. do muv satisfecha del celo y lealtad con que la ha desempeñado…</t>
  </si>
  <si>
    <t>…sobre la diferencia material que ha establecido bernador de lá plaza de Málaga al mariscal de campo D. Juan José en la posición política de la Turquía «on respecto a las demás Po San-Llorente, en reemplazo del de la propia clase D. Antonio tencias de Europa, y á la Inglaterra con especialidad, el tratado de Marta Alvarez, que pasa de comandante general de las islas Cana alianza concluido ^con la Rusia , declara el embajador la necesidad rias en relevo de D. Francisco Tomas Morales, á quien S. M. ha en que se halla por lo tanto el gab…</t>
  </si>
  <si>
    <t>…uegos de toda especie; &gt;e depararon 2\J cañonazos desde lo «recia. d alto dd Jacobs Stein, Después de puesto el sol hubo alegres banquetes, ca los Ñaufita 10 de Julio. «uales se propusieron los brindis siguientes : »&gt;A.’ S. M. el Rey Antonio, padre de sus fieles sajones.** •Othoo, por la gracia de Dios, Rey de Oréela. *&gt;A1 excelente príncipe bedenco , co-regente, que h.^c tanto bien, r tra «¿Habiendo pido 4 nuestro consejo de Ministros, 4 propuesta del de lo In ta con tanta bondad á los dichosos y con tanta generosidad a los desdichado…</t>
  </si>
  <si>
    <t>…rrafo Milicia urbana existían ya en diferentes provincias cuerpos particulares, orga en cuestión tal como esta lo habia reformado. nizados de distintos-modos en todas ellas, i los cuales fue preciso dejar en tal El .Sr. González (D. Antonio) leyó el párrafo siguiente del proyecto, estado, porque de lo contrario hubiera re-ultado una notable confusión, «i se que dice .asi : «El fomento y mas ventajosa organización de la Milicia urbana, hubiere tratado de aplicarles el reglamento que se dió en general para toda es otro de los,objetos de…</t>
  </si>
  <si>
    <t>…ón , puede causar males gravísimos manteniendo á los pueblos en una ex Siguió una discusión en que tomaron parte los Sres. González Alonso y pectativa penosa , en una incertidumbre cruel.... ¿Y no puede aprovecharse de González ( D. Antonio), y declarado el puato suficientemente discutido so estas mismas armas el partido opuesto! «Tener agentes que exciten el desórdeh, pidió se votase por partes el párrafo. y empujar hécia la anarquía para caer en el despotismo!-. Es menester no Asi se hizo resultando aprobada la primera en estos térm…</t>
  </si>
  <si>
    <t>…ción, puede causar males gravísimos manteniendo á los pueblos en una ex Siguió una discusión en que tomaron parte los Sres. González Alonso y pectativa penosa , en una incertidumbre cruel.... &lt;Y no puede aprovecharse de González (D. Antonio), y declarado el punto suficientemente disentido *0 estas mismas armas el partido opuesto? ¿Tener agentes que exciten el desórden, pidió se votase por partes el párrafo. y empujar hácia la anarquía para caer en el despotismo?... Es menester no Asi se hizo resultando aprobada la primera en estos tér…</t>
  </si>
  <si>
    <t>…n nom ción ordinaria, admitiéndose á loé interesados ha apelaciones para brar á D. Francisco Delgado para regente; para oidores áD. Anto énté los respectivos tribunales superiores. nio Neira y Marin, á1 D. Juan García del Pozo, á D. Antonio,MarAr*.- 4? Los juicios que se entablen después de publicad» la abo quez Osorio, á D. Jorge Martines, í D. Ramón López Vázquez; lición del Voto, á virtud de pactos ó convenios anteriores, se sus-/ para alcaldes del crimen á D. Pedro Gómez Hermosa, á D. Pedro fáticiárán en igual foVma áttte los mism…</t>
  </si>
  <si>
    <t>Gaceta de Madrid n.º 266 · suplemento</t>
  </si>
  <si>
    <t>…ener el honor de leer nes, ¿se darían por nulos, lo» pagos que le hub!¿en hecho los contribuyentes? al Estamento.* ‘ 5 ‘ / De ninguna manera. Podrá también decirse, aunque no tengo presente si hizo -:&gt; TiISr. Secretario González (D. Antonio) leyó, la lista de los señores también valer este argumento el Sr. preopinante , que reconociendo este em qué ’tetaUh la palabra en pro y en contra, siendo los primeros los Sres. Ferrcr, préstito, se autoriza al Pretendiente para que contraiga otros; pero obsérvele la Trúéba y Goniytlc*, y los segu…</t>
  </si>
  <si>
    <t>…nal qurj denté del Consejo dé Ministros. han sido amnistiados. UINKSTHH.IO HE GRACIA Y JUSTICIA. Enterada S. M. la Reina Gobernadora de lo expuesto por esa Direccioa j eñe ral en 21 de Diciembre último, se ha servido mandar que á D. Antonio! Reai orden. ? erez de Meca, ex-diputado de las Cortes de la época constitucional, cotn-i Sabedora S. M. de que todavía es considerable el número de eclesiásticos prendido en el Real decreto de amnistía de 23 de Octubre último , se le de-1 que después de haber abandonado su iglesia subsisten con lo…</t>
  </si>
  <si>
    <t>…azones que sé han manifestado en la discusion, y hallándose este ausente, se Los Sres. que dijeron que no fueron los siguientes: Abargues, Belda, abstuviese de verificarlo.” 1 » López, Visedo, Carrasco, Chapón, Somoza, .González (D. Antonio), Ato El Sr. Presidente-. «la comisión,'desde luego que vió que el indivi cha, García Carrasco, Ulloa, Galiano, Cuevas, Alcalá Zamora, López Peduo encargado por la misma para sostener el dictamen, no se hallaba en dis draza, conde de las Návas, Sánchez Toscano, Caballero, Cano Manuel y Cha posición…</t>
  </si>
  <si>
    <t>Gaceta de Madrid n.º 207 · suplemento</t>
  </si>
  <si>
    <t>…os fundsmentales puede producir funestas consecuencias, que vamente se suspenderán estos derechos, y sufrirán las consecuencias.” deben evitarse, no haciendo semejante enunciación en las circunstancias actuales. El Sr. Croníatcz (D. Antonio}: -Como uno de los individuos que han El Sr. Truria : -No pienso cansar la atención del Estamento, y mucho - firmado la petición , y el articulo red «ciado nuevamente, haré algunas refle ■tunos'cuando el artículo de que se trata es, á mi entender, upa verdad incon- xiones para ttanquilizar al Sr. c…</t>
  </si>
  <si>
    <t>…a' rm mdicacon n n he rehice- otro nb- , terna , Cano Manuel (padre) ^ V sedo , Beda, LopeZ , Vitoria, Abarüueif ¡ero que el de conloar todas Ijs op n ones que fnt pirecixn las irúrmas en el Cánovas, Chacen', Carrasco, £jonza!ez (D. Antonio), Claro», Marín, Vnui fondo de la cuestión, y que solo diferían en alguna parte del ’ariiculo. La nueva , Torren», García Carrasco^ Atocha , UHoa, Cuevas , marques de Mon- K.unda parte de este conpie.iia t/í' cosjs. peote.^ion de &lt;a ley; premio datenuevn, A'calá i conde de las Navas, Vázquez, Cano…</t>
  </si>
  <si>
    <t>…n 12 Buen esposo, modelo de padres y. Rey incomparable, la posteridad le de Octubre de 1798 eri el palacio de Queluz, y fue aclamado solamente Infan pagará un tributo, no sospechoso, dé admiración. te por haberle precedido el Sr. D. Antonio, Príncipe de Beira. Fueron sus Tan grande en la muerte como en la vida, no pudieron los sofismas de la padres el Sr. D. Juan vi y la Sra. Doña Carlota Joaquina de Borbon, hija esperanza ofuscar su razón; todos vejan mejoría en su salud, y él solo veía la del Rey católico Cárlos iv. eternidad. Prepa…</t>
  </si>
  <si>
    <t>…a mejorar su suerte, y que En seguida se procedió á la votación del artículo, y quedó aprobado. esta mejora recayese mejor que en los capitales en los ¡mereces, porque justa Se le^o la siguiente proposición de los Sres. González (D. Antonio), con mente sobre estos habían sido las reclamaciones, al ver que los de la deuda de de de las Navas y Trueba. Francia habían sido atendidos y pagados, al paso que nada se había satisfecho á los «La deuda pasiva pasará sucesivamente á deuda activa en el término de de Inglaterra. Esta es la razón po…</t>
  </si>
  <si>
    <t>…segu nda ello: si se pretende que se señale dia para tal discusión á fin de que los Secrc- _ parte del arlículo creo que está de mas.” tarios del Despacho vengan al Estamento á tratar en él materias de Gobierno, El Sr. González (D. Antonio): «Ha dicho el Sr. marques de Falces no puedo Consentirlo. En el caso de que se necesite saber el número de tro que en vez de-gastar tiempo en discusiones poco importantes , seria mejor pas, los medios que se han empleado y demas , ~sr et~ ministro de la Guerra que el Estamento se ocupase en otras…</t>
  </si>
  <si>
    <t>…os mandatarios. ■cerca de las diferentes redacciones del articulo, presentadas por algunos seño «Con todo, como nunca insistiré en atenerlos simples: términos, siem res Procuradores , quedando al fin admitida la del Sr. González (D. Antonio), pre que las ideas te conserven , no me negaré á qpe se rectifique el artículo concebida en estos términos: ’ ■ ' quitando la redundancia que puqda haber en él, y dejándole reducido i lo si i » Los españoles son igualmente admisibles i todos los empleos del Estado; guiente: «Todos los españoles ti…</t>
  </si>
  <si>
    <t>…ba de lo cual mani curso, Ó si por el contrario lá retiraban; y después dé unas ligera* observaciones festó que entre las personas nombradas por S. M. para componer el ilustre Es hechas por los Sr.es. Palarea, Chacón, y González (D. Antonio), te decidió se ta faento de Próceres, casi una tercera parte eran militares; que en el Consejo suspendiera el dar curso á la antecedente petición hasta qUe el-Gobierno pre Real de España é Indias, ademas de los correspondientes á la sección de guer sentara su proyecto: de ley para comparar uno con…</t>
  </si>
  <si>
    <t>…r, señores, que hasta la línea que puede llegar el ministerio , sin faltar £ las cual nunca Jo pedirían los Secretarios del Despacho.” reglas del decoro, ha llegado; pero esa línea no la pasará. El Gobierno puede El Sr. González (D. Antonio): «Como uno de los peticionarios, no fjecir que desea entrar en esta cuestión , para resolverla de una vez, de: un mo tendría dificultad en convenir con las opiniones del Sr. Martínez de la Rosa si do imparcial y equitativo; puede decirlo esto á la faz de la Nación, y en el viese que se presentaban…</t>
  </si>
  <si>
    <t>…stán discordes, y no basta que intente uno la conciliación y ceda; es preciso los artículos 132 y 133 , asi como el 94. del reglamento. que cedan ambos. Es claro que cediendo uno se facilita la accesión del otro; El Sr. González (D. Antonio)-. »Para rectificar un hecho me haré cargo , pero no siempre basta esto para conseguir el resultado. de la petición (la leyó). Según hah manifestado los Sres, Secretarios del Des ’&gt;El primer objeto de la petición, que era intentar la reconciliación , abrir pacho, el Gobierno ha tomado ya varias med…</t>
  </si>
  <si>
    <t>11/03/1834</t>
  </si>
  <si>
    <t>Gaceta de Madrid n.º 31</t>
  </si>
  <si>
    <t>…; I de 1808 en Madrid, ha cabido en suelte con el primer extracto de la de este léase ley 6.a, tit. 9.0, tfb, i.° | £n la lío. n, del art. 2 0 de la Real orden del ministerio del Fomento general] di¿ 4 Dv&gt;ña María Teruel, hija de D. Antonio, capitán del regimiento infan del Reino loierta en U Gaceta núm. 30, en donde se dice, que fueron por semencia | tería de linea de Sonta Fe, muerto en el campo del honor. debe leerse, que fueron detpeseidox por sentencie. 1 EN LA IMFRENT Ar RKAL.</t>
  </si>
  <si>
    <t>…esaparezca esa prevencioa contra la Milicia urbana; esta institución m pro los Sus. Afargues, Ortiz f Velíseo, Polo 7 Monge, conde de las Navas, halla dema-iado justificada por los hechos, para que los que cuan comprome González (D. Antonio}, García Carrasco, marqua de Esptnardo,,.Truefa, tidos á defender el actual sistema, lo bagan lambren por agradecí miento- Paz Patarra, Santofé 7 Montevírgén: 7 en contra loa Sres. Medrana, Miguel todo lo cual apoyo el artículo.” Pido 7 Vega 7 Rio. El Sr. Secretario del OeCfacka de Eitado: V El mjn…</t>
  </si>
  <si>
    <t>…enfermedad: que eni-Tibenys, Beaisanet, Mora de Ebro , la Galera y M¡« "Del regimiento Infantería do,Córdoba, 10 de línea, el coronel primer rabet había cesado enteramente la enfermedad que afligía 4 sus vecindarios; y comandante D. Antonio fobar i el 2.° comandante D. Manuel Argüelles ¡ el - que en los demas puntos invadidos continuaba la enfermedad con benignidad teniente coronel graduado, capitán D. José Aguirre; los capitanes D. José según, resulta del siguiente María Gurrea y D. Félix Miranda; el capitán graduado, teniente D. Ant…</t>
  </si>
  <si>
    <t>…á que sea apro de la comisión que hayan~~babUda con tal carácter. = Conde de las Navn^: 1 bada esta proposición , pues 1* considero atentatoria a la libertad deHos Procu Ferrer-=; Acuft*. =l«úriz. =i Álcali Galiano. = González ( D. Antonio.) == radora y á Ú del Estamento en general, y ademas contraria al reglamento, Trucha- debiendo cuando mas seguir la suerte que U petición presentada sobre El Sr, Presidente: «El reglamento no dice nada respecto del modo dé las nráctoan de cae.”</t>
  </si>
  <si>
    <t>…arla, presentándola como se estableció en las Córtes de de ley presentado por él Gobierno para la organización general de la Milicia 1822, y reducida á los términos siguientes, en que la leyó el Sr. Secretario urbana. » González (D. Antonio): - Se leyó diebo proyecto, concebido en los términos siguientes: «Pedimos al Estamento que declare que no se podrá pedir se tenga por 1' discutida ninguna materia, petición ó proyecto de ley, sin qué hayan hablado á lo menos sobre ella tres Pmcuradorcs en. pro y trés en contra, si los hubiere Artí…</t>
  </si>
  <si>
    <t>Gaceta de Madrid n.º 300 · suplemento</t>
  </si>
  <si>
    <t>…traba inconve sido encontradas con meditación y conocimiento interno de que los tesoros niente en acceder á los deseos del Sr. Ministro. estaban escondidos en un punto determinado; y efectivamente en la ley se ha El Sr. González (D. Antonio): «Me veo en la necesidad de oponerme bla solo de los que han sido descubiertos por casualidad cuando se está traba á la modificación hecha por la comisión, porque juzgo que es mas conveniente jando en un campo, ahondando unos cimientos; derribaUms^pna casa, ó ejecu este artículo tal como está en e…</t>
  </si>
  <si>
    <t>…an concedido á los cónyuges de Se leyó el artículo 3.° del proyecto del Gobierno, y después de algunas rechos preciosos que les estimulan í promover el aumento de los intereses de ligeras observaciones hechas por el Sr. González (D. Antonio), á que satisfiy la familia , y les recompensan su conducta virtuosa. El derecho de la mitad zo e[ Sr. Secretario del Despacho de Gracia y Justicia quedó aprobado en estos de los gananciales, ese derecho desconocido en la legislación romana, introdu términos: cido por el Fuero Juzgo, adoptado despu…</t>
  </si>
  <si>
    <t>…la ppsesiopi hasta set veqcidosen vándoles ett* derecho en ej ¡término citado, pesadl e! cual sin -presentarse í ' juicio.” ; acreditar la legitima pertencae»-.4*4ót--b¡ct&gt;esvquedábiadclEstado. Leído el art. 5.® el Sr..González (D. Antonio) observó que m qn el ar El Sr. Istúriz repuso que en exacto lo expuesto por el Sr. Secrctario del , tículo S.°, ni en .ninguno del prpyecto.de ley, como ni tampoco en el dictá- . Despacho; pero que uq buque que naufraga no debe considerarse desamparado men de la comisión, veia te pusiese un freno p…</t>
  </si>
  <si>
    <t>…mponen las siguientes comi meter á la deliberación del tutaniento de íIusítl» Friere* la conducta del mal siones : avon cj.ido Principe, como íiab.j prometido en la *o.emne sesión de apertura De Hacienda. Excmos. Sres. Martínez ( D. Antonio ) ; D. Jacobo María de la-» Corte» gcncraie» del Remo. En »u o msetu.::w&gt;a , y por hallarse dicho "deParga; marques de Heredia conde de Ofalia; conde de Sástago; conde de Sr. Ministro de Gracia y Justicia acompañando a M. ia Reina Goberna Parsent; Sr. Posadas; Sr. González Carvajal. dora, encared&gt;a…</t>
  </si>
  <si>
    <t>…ue me he levantado á manifestar e&gt;ca institución, se hubiera planteado desde luego con mayor órden y concier de palabra mi opinión.” to; pero no ha sido asi. Las mismas circunstancias, ese anhelo de todos, la de Mí Sr. OottzalfZ (D. Antonio): "Yo crseñores, que la denominación fensa de una causa que presentaba dos objetos tan gloriosos, como son el sos de Guardia nacional, de que se trata, no hubiera ocupado por tanto tiempo tenimiento dej trono y la rlefema de la libertad, creó muchos cuerpos de vo la atención del Estamento, ni mu^ho…</t>
  </si>
  <si>
    <t>…fueron los siguientes: Cano Manuel, Rodrí expresar en este articulo primero el objeto de dicha institución en términos guez Verá, Abargues, Peída, López, Osea, V¡sedo , Carrasco, Chacón. Cla claros y terminantes.”. ros, González (D. Antonio), Marín, Atocha, García Carrasco, Ontiveros, ' El Sr. Secretaria del Despacho de Estado'. «Ha dicho el señor preopi Domecq, Galiana, Montes de Oca, Isturiz, Cuevas, Zamora, Pedrazas, Navas, nante que el ministerio aprobó ia denominación de que se trata, cuando se Toscano, Bel monte, Caballero1, Can…</t>
  </si>
  <si>
    <t>Gaceta de Madrid n.º 301 · suplemento</t>
  </si>
  <si>
    <t>…corresponda, según clasificación.” poseedor, por ejemplo, á quien se había despojado i virtud de la doctrina ad Se leyó el art. 22, ^ mitida éñ el tribunal privativo de mostrencos, estará autorizado en virtud de Mi Sr. González {D. Antonio): «Para presentar algunas observaciones esta ley para reclamar el reintegro en la posesión. En el progreso del juicio se acerca del artículo, me haré cargo de varios casos particulares que pueden tratara por parte suya de acreditar si son ó no bastantes los títulos, según el ocurrir al juzgado de m…</t>
  </si>
  <si>
    <t>…Antonio Bay mandaban las guerrillas primeras unidos á las compañías de ——Discurso pronunciado en la Real iglesia de S. Isidro de esta corre, por el doctor cazadores de Africa, que mandaron el teniente D. Fermín Zaso y el alférez D. Antonio de posada Rubin de Celis, canónigo de la misma, et día 20 de NoviemD. Joaquín Olea (herido). bre de 1^03 en el aniversario de los militares españoles: un cuaderno en 8.°, edi Cuando mis rápidas operaciones me lo permitan remitiré ¿ V. E. una no ciónra acordóde 1804con, S.á $M.rs. see&amp; publicase,rústic…</t>
  </si>
  <si>
    <t>Gaceta de Madrid n.º 178 · suplemento</t>
  </si>
  <si>
    <t>…l penas infamatorias, trasmitidas á los hijos, que es uno de los absurdos que he compuesta de los Sres. Cano Manuel (padre), Lasanta , López, González redamos de los siglos bárbaros; asi como limitadas á ciertos casos las confis (D. Antonio), Laborda , Martell, Fleix , Claros y Redondo. caciones, que sin utilidad del erario, recaen también sobre la inocencia. Se Entraron a jurar y tomaron ¿siento los Sres. Marin, Mena , Claros y Vi- notarán tal vez otras ventajas indicadas por la práctica , la observación y las llanueva, concluido lo…</t>
  </si>
  <si>
    <t>13/11/1834</t>
  </si>
  <si>
    <t>Gaceta de Madrid n.º 272</t>
  </si>
  <si>
    <t>…s Cámaras de la unión y por la universidad (le segunda y tercera enseñanza de Barcelona du legislaturas de los Estados sobre reformas religiosas, se someterán á la aproba rante el período constitucional; y. de otra del presbítero D. Antonio ción ó reprobación del futuro congreso general, suspendiéndose entre tanto Bover, haciendo igual pretensión para los que obtuvo en teología en sus efectos. la propia universidad el año de 1823. Enterada S. M., y confor 5.® La guarnición ofrece respetar y sostener en sus respectivos puestos al mándo…</t>
  </si>
  <si>
    <t>Gaceta de Madrid n.º 272 · suplemento</t>
  </si>
  <si>
    <t>…o se daría importancia á las palabras, como tampoco si no se El Sr. Alcalá Galiano pidió se leyese la fórmula del juramento. (Se leyó.) manifestase pn empeño en querer reproducirlas. El Gobierno no se desdeña de El Sr. González ( D. Antonio)'. «El Sr. preopinante ha padecido la adoptar las reformas útiles que hicieron las anteriores Cortes, porque no obra equivocación de ‘suponer que mi adición estaba conforme con el art. 2ó del por espíritu de partido; pero no acepta todas sus operaciones como una heren proyecto de ley presentado por…</t>
  </si>
  <si>
    <t>…a seguridad que da vestir el un*forme y da» mandándose expresar en ella que el Sr. conde de las Navas adhirió á la llevar una escarapela que los iguale á los afectos al Gobierno* representativo* adición hecha por el Sr. González (D. Antonio) al art. l.° del proyecto de ¿qué seria entonces! ley sobre Milicia urbana; pero no conforme la redactó la segunda vez su autor, »&gt;Se dice, Señores, que estamos en tiempo de olvidar rencores pasados; suprimiendo la palabra constitucional. que es necesaria la conciliación, y hasta olvidarnos de los…</t>
  </si>
  <si>
    <t>…s Gobiernos se relajaban; siempre que Los Señores que lo desaprobaron fueron los que siguen: Rodríguez Vera# pretendían restituirles al antiguo vigor, apelaban á esta medida que producía Abarques, López, Osea, Carrasco, González (D. Antonio), Marín , Atocha# resultados infalibles. García Carrasco, On ti ve ros, Domecq, Montes de Oca, Alcalá. Galiano, I*— •♦Pues bien, señores, cuando nuestro pueblo llegue á sentir los benéficos túriz, Cuevas, Zamora, Pedrajas, conde de las Navas, Sánchez Tosca no, Belefeerrs de las actuales institucion…</t>
  </si>
  <si>
    <t>Gaceta de Madrid n.º 303 · suplemento</t>
  </si>
  <si>
    <t>…, proporcionándoles economías en todos los gastos, y particularmente en López, O.ca, Visedo, Carrasco, Chacón, Sómoza, Martin del Tejar, Ciaros, los de sus Príncipes. Las economías no deben empezar por estos, y menos en González (D. Antonio), Marín, Mena, Llano Chavarri, Torrens, Samponts, la aurora de un Gobierno libre. Las comisiones que han examinado los demas Palaudarias, Puig, Larri va, Riva Herrera, Marques de Villacampo, Ontive-' presupuestos han partido de este principio, y reconociendo que hemos hereda ros, Domecq, Ulloa, Gai…</t>
  </si>
  <si>
    <t>…nio de este año. . ■ . siete paisanos que me han acompañado en calidad de guias durante toda la no che y dia de hoy , cuyos individuos son, Juan de Palafox, Juan Manuel Te En los propios términos se "ha 'Concedido igual permiso í D. Antonio" jedor, Antonio Tejedor, Joaquín Pascual, Francisco Diaz, Pío Castaño, y Perdió para publicar en Barcelona otro periódico con el título de el Catulatf, Viviano Torres.” . . Cuyo parte tengo el honor de elevar á las superiores manos de V. E. para que llegue á noticia de S. M ; y me persuado que con…</t>
  </si>
  <si>
    <t>…e asi, y que no pertenece á tal categoría, como los Los que aprobaron fuefon los Sres. Rodríguez Vera, Abargues, Bclda, caminos Reales que van de un extremo á otro del Reino, ó desde )a capital Visedo, Carrasco, Claros, González (D. Antonio), Marín, Llano Chavxrcomo centro á los extremos. ri, Torrees, Palaudarias, Puig , Atocha , GaroaXlarrasco, Domecq, Alcalá «Hay varias obras, tales como las de los puertos de mar, y entre Galiano , Cuevas, Pedrajas, conde de las Navas , Belmente, Caballero, Cano ellas el Grao de Valencia , el puerto…</t>
  </si>
  <si>
    <t>…ilicia nacional en tiempo de BftTAHgKTO DE SEÍJORES PROCURADORAS. la Constitución; y que tan pronto como ahora se abrió el alistamiento p*ra ¡a Milicia urbana, corrieron á alistarseSesión del dia 14 de Noviembre. El Sr. González (D. Antonio) contestó que y* había dicho también en su discurso que los que se alistaban en tales poblaciones mostraban la mayor de Se abrió á las once y cuarto. cisión , y daban ia mejor prueba de su adhesión á las instituciones, que nos ri Leída ei acta de ia anterior quedó aprobada. gen , pues tenían el ene…</t>
  </si>
  <si>
    <t>PDF p. 12</t>
  </si>
  <si>
    <t>…o de hacerlos á nadie; solo si he manifestado las razones que yo. tenia para usar en otras legislaturas anteriores, que con gloria suya.no tuvieron la menor dis tales ejemplos.” — cusión sobre este punto. ' ■ - J El Sr. Gontalez (D. Antonio)'. «Tengo que rectificar dos equivocacio «Se dice por el Sr. Secretario de Estado que es indispensable al prestigio nes- La . una es que cuando'hablé de las rentas y asignaciones respecto de In que debe tener la cDtona en las monarquías constitucionales ese fausto, ese de glaterra, Francia y Portug…</t>
  </si>
  <si>
    <t>PDF p. 13</t>
  </si>
  <si>
    <t>…después se habia convenido Lo* que desaprobaron fuqron los Sres. Otazu, Abarque*, Belda, López, en rébajaíla" 4 30’,’ pira ver si podiá aplicarse ése mismo secreto i otrarebaja V¡Mdo,-Carrasco;, Somoza, Tejar, Claro», González f D. Antonio), Marín, mayor.”.' ’ , ' Llano ChayamyTorrens, Samponts, Palandarixs, Puig, Larri va, Rrvaherrera, v El Sr. Stcretario del Despacho de Hacienda: «Atmqueno ea costrmv- marques de Villacampo, Onliveros, Domecq, Uiloa, Afolé Galiano , Montes fcre , ni pedir Sus secretos á btrCL. ni esté revelarlos; aq…</t>
  </si>
  <si>
    <t>…ús familias; los espa ga, marques de Mancera y de Mal pica, duque de Noblejas, D. Manuel José ñoles, señor, todos son guerreros, todos están dpp$» dej^spíritp. necesariopara Quintana, D. Manuel García Herreros, conde del Mcmtijo, D. Antonio sufrir privacionesv, pata arrostrar los peligros yt la muerte ppr su paírjz./Pnjft— .Martínez ,rpn4¡» de Ofiaté ,;CCndffde Gla vi jo, conde de Guendulain, D. Ig bas tenemos de ello repetidas, y no acudamos á las crónicas y á los tiempos nacio de la Pezúéla, £&gt;V jacoboñiarfa de Parga, conde de Sta.…</t>
  </si>
  <si>
    <t>…echo con arreglo é los principios fundansentaW. Esta psesogatiEl Sr. secretario Belda manifestó teman la palabra en pro lotSrea. Trne- vs de nuestros antepasados la tenesaqa nosotros consignada en los articulas 3f, ba y González (D. Antonio), y en contra los Srcs. conde de Toreno, mar 3S y Só dql Estatuto Real, y no creo que los Procuradora del afio 1834 ques de Torremejía, y Miguel Polo. deben ceder é ios anteriores de otros siglos en .celo para ejercerla. .Por *Mo h El Sr. Mortal: «Creo que según el articuló 92 del reglamento debe r…</t>
  </si>
  <si>
    <t>17/12/1834</t>
  </si>
  <si>
    <t>Gaceta de Madrid n.º 306 · suplemento</t>
  </si>
  <si>
    <t>…nte otro caso particularj que no solo tie— . ._*Y lo misino opina)y debejdecir con respecto á la adición presentada al hélogar en Cataluña, sino en,toda la Nación, á saber: lat donaciones que exmisdló artículo por elSr. González (D. Antonio), porque quedando la Caja eedéñ de 500 maravedís dé OTp, cada un#de los cuales, según los peritos en déAEtoórtizacióió sus agénte*‘pórei te proyecto de ley sin privilegio alguno Xa mitéfiftj íepreseniab* la Cantídad de-50 rs. Vñ.r donaciones i&lt;jue íi lejr de tóbtt responsabilidad y costas,&lt;Sitaráh…</t>
  </si>
  <si>
    <t>…señalar i un intendente Los qué apróbardñ fueron los Sres. Abargues, Brida, López , Osea, Vi— un sueldo reduqido! Júzguese, aunque con la distancia inmensa que hay de uno sedo , Carrasco . Chacón , Sómoza, Tejar, Oarós, González (D. Antonio), 4 otro ejemplo, si en donde reside el inmerso poder de hacer todos los nom— Marín, Llano Chavarri, Torrens, Samponts, Palaudarias,Puig,Ontivcros, Al brandemos civiles, militares, eclesiásticos y políticos, de ictervenir únicamen calá Galtanó, Istúríz, Pedrajas, conde de la Navas, Sánchez' Tosca n…</t>
  </si>
  <si>
    <t>…Cosa es decirlo, ea,, la discu.- MI Sr. topee li&gt;*Yo no he dicho que toda proposición, una vez tomada sion, y otra hacerlo.” . _■ . , , en consideración ;hayaforzosamentede pasar ála cóáíísióü; pero sí qúe debe Mi Sr. González. (D. Antonio)-. »Se van i leer varias prógosjejanré, que verificarse esto-Con aqueljas cuya importancia esf comb la nde la presente; y exi pasarán! la comisión.” -. - ! .. í jo el cumplimiento del art.- 95 del reglamento, ‘qúéeí1 lápaúta qüe nós -debe - El Sr: Secretario del Despacho de Estado manifestó que po…</t>
  </si>
  <si>
    <t>…en ía espita! ci nicipal de Sanidad de ella, y lo son D. Francisco Ñuño, alcalde presidenta íólera-morbo asiático, no puede dejar de manifestar queel carácter y número de jy. Joscf García y D. Pedro María de León, curas ecónomos; D. Antonio enfermos y fallecidos debe-infundir sospecha de existir en la actualidad alguna Mellizo, regidor decano de*este ayuntamiento, vocal; D. Antonio Ortuño, sín causa extraña que produce en estos últimos dias aliteración en la salud pública.' dico del común; D. Antonio Gallego, presbítero, vocal; D. Cri…</t>
  </si>
  <si>
    <t>Gaceta de Madrid n.º 216 · suplemento</t>
  </si>
  <si>
    <t>…s muy ligeramente ios medios directos que en esta importan* oision pendiente sobre Haciende, principiada ayer. Tenían la palabra en pro tt materia podrían adoptarse, , del dictimen de ia mayoría ds la comisión las Sres. González (D. Antonio), «Hay otros también qu« * aunque ¿ndtrccra, fiopor «so dejxrían-da pro» 1</t>
  </si>
  <si>
    <t>…. ‘ sente ocasión de ganar un 50, un &lt;50, un 70 por 10U , no darán su dinero por «Tengo también noticia1 de otro abuso. Las encomiendas del Sr.' Infante temor de que después no sea reconocida la deuda. Cuando laEuropj vea la reli D. Antonio desde su muerte se han administrado por su albacea testamentario giosidad con que procede la Nación española reconociendo los créditos justos,.y el Sr. D- Fernando vii, cuya testamentaria h? durado largo tiempo, y según desechando solo los que proceden de un principio falso, nuestro crédito se afia…</t>
  </si>
  <si>
    <t>18/12/1834</t>
  </si>
  <si>
    <t>Gaceta de Madrid n.º 308 · suplemento</t>
  </si>
  <si>
    <t>…trono y las libertades patrias.” Los Sres. que desaprobaron fueron los siguientes: Abargues, Belda, López, El Sr. Palarea para deshacer equivocaciones: «Yo no me he contradicho; Visedo, Carrasco , Somoza, Tejar, Clarós, González (D. Antonio)-, Marín, Id-qúe he querido decir es, que con las economías adoptadas bastarían los 30 Samponts, Palaudarias, Puig, Ontiveros , Istúriz, Pedrajas, Navas, Tqscano, millones que propone la comisión y adopta el-Gobtemo, en vez de los 3 5 que Caballero , Cano Manuel y Chacón, Manrique , Fcrrer, Pizarra…</t>
  </si>
  <si>
    <t>…: Cumpli adopten. mentando las superiores disposiciones de V. E., salí de esta plaza á las cuatro M- Luneau impugna el dictémen de la comisión, y la tendencia y objeto de la mañana de hoy con los subtenientes D. Santiago Cabria y D. Antonio de las solicitudes. Lorenzo, 100 individuos de tropa , todos de mi regimiento, y 20 de! de Ca M-. Duplo contesta á todos sus argumentos, y demuestra que no se ha con taluña', 6.° de ligeros de caballería, al mando del capitán graduado D. Juan tradicho respecto del discurso que pronunció en la sesión de 29…</t>
  </si>
  <si>
    <t>…obado por este ep l.° de Octubre; y no habiendo puesto de las cantidades que la ¡unta de Urgel habia recibido, en lo que no te ingresado cantidad''alguna en el tesoro público hasta el afio de 1824 , si se ex nia duda era eñ que á D. Antonio ligarte sé le habían dado ocho millones pa ceptúa alguna que otra de no gtatt importancia, que entró en Noviembre de ra pagar algunos Acreedores: que la sanción dada por S. M. i este empréstiro, 1833,leconsidero1 al menos de igual qaturaleza_que todos los sucesivos, cuya fue, por decirlo asi, arran…</t>
  </si>
  <si>
    <t>…, hubiera tomado las medidas convenientes. Sí el Sr. Ministro de gues, Belda, López, Osea, Visedo, Carrasco, Chacón, Clarós, Martin del Hacienda se sirve hacer alguna explicación, quedará terminado este negocio.” Tejar, González (D. Antonio), Marín, Mena, Larriva, Riva Herrera, mar El Sr. Secretario del Despacho de Hacienda: « Ayer cuando ocurrió la dis ques de Villacampo, García Carrasco, Ontiveros, Domecq, Ulloa, Montes de cusión desagradable no me levanté ni tomé la palabra: de consiguiente podria Oca, Míquel Polo, Tosqucllas, Medr…</t>
  </si>
  <si>
    <t>…na inculpación muy grave; y aunque Los señores que desaprobaron fueron: Rodríguez Vera”, Abargues, Osea, se desvanezca por sí misma, como falta de apoyo y fundamento, los Secretarios Vísedo , C»rrasco, Chacón , Claros, González ( D. Antonio), Marín , Llano del Despacho h«n creido de su deber vindicar de ella al Sr. Infante; si bien Chavarrí, Torren1», Ulloa, Istúríz, Vahiüo, López de Pedr.ijis, conde de la* creo que el Sr. Abargues no haya tenido por objeto dirigir contra esa augusta Navas, Sánchez Toscano, Florez, Belmonte, Caballero…</t>
  </si>
  <si>
    <t>…arnición del otro lado de la tribu de Hadjut, prueba y lo comunicareis á quien correspondaj=Está rubricado de la Real que no tenemos nada que temer de parte de los árabes. Todo pues, mano. = En Aranjuez á 18 de Abril de 1834&lt; = A D. Antonio favorece ahora al gobierno para tomar una resolución definitiva; y Remon Zarco del Valle. esta es la ocasión de disipar todas las sospechas que había desper tado la marcha equívoca que ha seguido hasta aquí, y de probar PARTE NO OFICIAL. que ningún trato secreto le impide el colonizar la regencia d…</t>
  </si>
  <si>
    <t>…lo baria presente si el Estamento Ha tenido particular satisfacción en hallar prevenidos en parte sus deseos por el 5r. Secretario de aquel Despacho, que ha reducido á 8-465,147 rs. el pre lo permitía- El Sr. Secretario González (D. Antonio) que habia leído el acta, dijo que supuesto que en el año anterior fue de 12.523,500 rs. «Es verdad que este ahorro efectivo de 4-075,147 rs. no aparece i prime se podria insertar su voto en la de mañana. £1 Sr. Chacón pidió que se hiciese también mención de su voto, confor ra vista, porque el impo…</t>
  </si>
  <si>
    <t>…2213 plazas de tropa, entre ellas 4^9 caballos do de los Santos y i D. José Cecilio de la Rosa, alcaldes mas an y 12 primeros ayudantes de la clase de capitanes , destinados al tiguos de la de Sevilla: por la clase de alcaldes á D. Antonio de detall de las 12 comandancias. La facilidad que tiene este cuerpo Sierra, que lo es de la de Granada; á D. Pedro Jacobo Pizarro, para su reemplazo, y la circunstancia de ser soldados hechos casi fiscal electo del crimen de la de Sevilla; á D. Joaquín Beneito y todos los individuos que se empeñan en…</t>
  </si>
  <si>
    <t>…os D. Rafael Midon, habiéndose reunido pluralidad abso'uta de sufragios para segundo Secretario partiesen al galope para lograr su alcance, mientras que la segunda compañía se pioccd ó á segunda votación entre ¡os Sres. González (D. Antonio) y mar- de granaderos dé la Guardia Real ale infantería y los carabineros de la misma ,«pifa dc/Xqrrvmcgía , que habían reunido 15 y 14 re&gt;peci.vameme ; pero ha arma pasaban el rio Aragón , efectuándolo con agua á la cintura para sostener biendo resultado ciiipatc dc 33 votos cada uno, por hallarse…</t>
  </si>
  <si>
    <t>…a Gaceta de Augsbttrgo copia un parte deViena del 26 úl Para la sección de Indias á D. Manuel de la Bodega, decano; timo , qué entre otras cosas contiene lo siguiente: Se sabe que el D- Ramón Gil de la Cffidra; D. Gaspar Vigodet; D. Antonio congreso de ministros celebrará esta semana una sesión general, á Daban y Urrutia; D. Luis de UrrcjqlajD. Joaquín Carrion y que debe concurrir M. Ancillon. Las providencias que van i to Moreno. marse serán tales, que basten á desmentir los rumores injuriosos es Y para la plaza de secretario de dich…</t>
  </si>
  <si>
    <t>…retirado D. Francisco Octavio de Toledo, regidor con Racine, Moliere, Fenelon y demas célebres escritores del siglo que pudo llamar vocal. de oro la Francia, parecía como indispensable para que.con mas rapidez y exactitud El Sr. D. Antonio ds Padua Domínguez, teniente de cazadora de la Mi se fíjase ia opinión acerca del justo mérito de tantas obras maestras; por consiguiente se omite recomendarla con pomposas frases á los amantes de la poesía. licia Urbana de ata capital, vocal. —— Arte de fabricar el salitre y la pólvora, escrito y…</t>
  </si>
  <si>
    <t>…ó pendiente la indicación que guido los mismos trámites; y concluyó diciendo que el Estamento-no obraba por iba á leerse. espíritu de partido, y que no debía sacrificar ninguna de sus prerogarivas. (So El Sr. Secretario González (D. Antonio) leyó dicha indicación, conce leyó el artículo 95 del reglamento.) bida en estos términos: ( El Sr. Marques de Falces: ” No hay situación mas delicada que aquella «Que deCida él Estamento si se baila ó no en el caso de que se baga la en que se trata de defender una cama que tiene contra sí la razón…</t>
  </si>
  <si>
    <t>…r el cc(o y sentimientos pa Los Señores que la desaprobaron fueron los siguientes: Rodríguez Vera, trióticos del Sr. López, es la de que al Gobierno le es muy ventajoso el ór Abargues, Belda , López , Carrasco, Chacón , González (D. Antonio), Ato den de Ja discusión que S. S. ha proppestp; porque de no hacerse asi vamos cha , García Carrasco, Ulloa, Cuevas, conde de las Navas, Alcalá Zamora, á tropezar con la dificultad de su primer artículo. Esto es claro, es evidente; Pedrajas, Belmonte, Caballero, Cano Manuel (hijo), Toledo, Pizarr…</t>
  </si>
  <si>
    <t>25/01/1834</t>
  </si>
  <si>
    <t>Gaceta de Madrid n.º 12</t>
  </si>
  <si>
    <t>…n el de papel rayado, tczry.prescribe elGeie supremo del Estado,que es la Reina Gobernadora, cu- caile——Elementosde la Cruz,de ágeografíaizo rs. laastronómicacolección enteray tísica,encuadernadaescritos porá lael rústica,coronel D. Antonio jf^^°bcitud se emplea en buscar todos los medios de hacer nuestra felicidad, y Montenegro. Esta obra, para cuya perfección no se ha perdonado gasto ni ttabajo, [de levantar á la España al alto grado de gloria de que es susceptible una nación reúne las circunstancias de ser un libro elemental, en el…</t>
  </si>
  <si>
    <t>…los diversos puntos en »En el afio de 1767; se erigieron las nuevas poblaciones de Sierra Morena que se rozaban intereses particulares. y Andalucía, para lo cual suministró: el Real erario mas de 35 millones en El Sr. González ( D. Antonio) manifestó qué puesto que el Gobierno metálico, y Otro tanto en ornamentos, vasos sagrados y otros varios efectos y se mostraba dispuesto 4 hacer lo que en el fondo se pedia en la petición, no ■ ganados, procedentes de las temporalidades ocupadas á los jesuítas. insistiría en manifestar las razones…</t>
  </si>
  <si>
    <t>26/04/1834</t>
  </si>
  <si>
    <t>Gaceta de Madrid n.º 65</t>
  </si>
  <si>
    <t>…reunirá á su hermosura utilidades considerables para mera trata de calenturas en común, la segunda de iofiamactoaes y la tercera de varias enfermedades, traducido, corregido y aumentado porlos gastos de policía urbana. el doctor D. Antonio La vedan , profesor de medicina y cirugía: un tomo, En Alba prosigue su incansable junta mejorando y empedran en 4.0 se Dallará á 34 rs. en pasta en la librería de Hurtado. do sus calles, en las cuales han construido 54-Ü varas de aceras de ——O* terramento parcial y una muerte a-apuesta , d la Religio…</t>
  </si>
  <si>
    <t>…erosas de ate principio se seguirá que crezca á los ojos de las gues , Belda , López, Osea, Vicedo, Carrasco, Chacón , Paco Cánovas, Cla demás, Náciones el concepto que hayan formado de nuestra restauración políti ros , González (D. Antonio), Marin, Torrens y Miralda, Ullóa, Atocha, ca ; siendo mayores 1» garantías de afabilidad y de órden; cesando toda espe García Carrasco, Alcalá Zamora, Pedrajas, conde de las Navas, Belmonte, cie de recritmnaciona por lo pasado; y entrando con paso firme en el camino Caballero, Cano Manuel (hijo),…</t>
  </si>
  <si>
    <t>…tas instituciones populares (.,. ) qae todo cargo público , debe leerse que en las insti tuciones Populares (...) todo cargo público. Id. colum. 9&lt;a lio. 6?* en ve* de decirlo Sres. que se abstuvieron de votar: Belda , González (D. Antonio), l^ase oirto. Trueba. Idem en la del 22, colum. t.S lín» 33« donde se dice El Sr. marques de Torre* Se leyó la siguiente adición del Sr. Galwey i «Pido que en la presente tnejía , Idase El Sr. marques de Espinar do. Idem en la sesión de ayer del Estamento de ilustres Proceres, pág. 4*a* líns. 13 y…</t>
  </si>
  <si>
    <t>Gaceta de Madrid n.º 160 · suplemento</t>
  </si>
  <si>
    <t>V' SÜPLEÉENTO A LA CACETA l&gt;F, MADRID DEL DOMINGO 27 DE JULIO DE I834. —------------ ■ - ' —-A' CORTES. González (D. Antonio) y Trueba, por SS, 5&lt;5 y 51 votos. Los domas votos se repartieron en la forma siguiente: BSTAMBNTO DE SEÑORES PROCURADORES. Sres. Belda 27; marques de Torremejía 5; Diez González 13; marques dé Sesión del 26 de Julio. Espinardo 12; marques de Falces 6; González Alonso 4; Serrano 4» Val óne 7; Fleix…</t>
  </si>
  <si>
    <t>…pues nosotros, lejos át imitar aquel sistema, que guiado como por un Belda , López, Visedo , Carrasco, Cnacon, Paco Cánovas, Somoza, Claros, espíritu de .vértigo, lodo lo atropellaba y todo lo desconocía , nos rehusamos González (D. Antonio) , Marín, Mena, García Atocha, García Carrasco, so'o á unos empréstitos que reconocidos chocarían con todas las máximas de Domecq, Ülloa, Cuevas, Tosqucllas, Alcali Ztmora, Pedrajis» Bermuder justicia, y serian únicamente desastrosos para nuestro pais. del Villar , Belmonte, Cabjllero, Cano Manuel…</t>
  </si>
  <si>
    <t>…tes á manos muertas. pensíon; y habiéndose preguntado st se suspendería esta discusión, se resolvió No habiendo ningún Sr. Procurador que tomase la.palabra en contra de 1* que sí. petición, habló á favor de ella el Sr. González ( D. Antonio), apenando Jo Se pasó á discutir otra petición sobre redención de censos, que había sido dicho por el Sr. Clarós, y manifestando que solo se proponía en elia ia reno examinada por las comisiones de lo Interior, Hacienda y Consolidación , las vación de las leyes dadas en tiempo de ^Carlos iv sobre l…</t>
  </si>
  <si>
    <t>…laba en el ejército del Norte. Santiago de Cuba.ee D. Pedro Echavarria y Ogaban. El Sr. Ayala dijo que el Sr. Saint Yuste habla salido ya d« PuertorPrín Guada lajara. = D. Francisco Morales. cipe para Marsella. I El Sr. González (D. Antonio) manifestó que la casualidad de haber lle Señores cuya elección consta, por las actas, y que han avisado hallarse en gado á esta capital.el Sr. Scoane facilitaría la contestación que se esperaba al ofi fermos. cio que se habia pasado sobre su renuncia, cuya dilación habia sido efecto de Granada. e=…</t>
  </si>
  <si>
    <t>Gaceta de Madrid n.º 317 · suplemento</t>
  </si>
  <si>
    <t>…us conciudadanos será el objeto constante de sus deberes; en esta virtud: tendría de hablar no abriéndose la discusión mas; no en otro caso. »&gt;Los Procuradores del reino piden respetuosamente á V. M. que se digne El Sr. González (D. Antonio) expresó que creía inútil se entrase en una proponer, una ley de ayutamientos con la brevedad que exige la conveniencia discusión que ya no tenia objeto , mediante que la opinión emitida por el Señor pública, el ínteres del trono y bienestar de los pueblos; suspendiéndose entre Secretario del Despa…</t>
  </si>
  <si>
    <t>…lo manifestará desde luego, sus El mismo comandante de armas manifiesta que sospechando de la conducta pendiendo su admisión. En este caso el proveedor hará dar noticia de ello al de D. José déla Torre, y sus hijos D.^ Miguel. y D. Antonio, y del religio Comisario de Guerra respectivo, quien pasará inmediatamente á fe provisión , y so de S. Juan'de Dios Fri Juan "Veredas, y que acaso podrían aumentar el reconocerá ó hará reconocer á su presencia el género sobre que recaiga fe queja, número de los sublevados, pasó 4 sus casas y les pr…</t>
  </si>
  <si>
    <t>…oo reconocimiento de fuese nominal, resultó de ella quedar desaprobado por 58 votos contra 44, aquel; y ahora se nos viene diciendo que por haber separado este empréstito, habiéndose abstenido de votar los Sres. Belda, González (D. Antonio), Marse ha de cargar á la Nación con la enorme suma de los intereses de los demas. tel, Palarea, Trueba, Melendez, conde de Hust, y Butrón. Bajo de este aspecto^ considerando yo el articulo propuesto por el Gobierno Los señores que aprobaran fueron los siguientes: Rodriguez Paterna, como un término…</t>
  </si>
  <si>
    <t>…camidad en que la comisión hacia ber sido tres ó cuatro meses Ministros, salen con un sueldo de 603 rs.; lo cual la rebaja de 354,710 rs. ascendería á una suma considerable si se mudasen muchos Ministros. Yo creo El Sr,González. (D. Antonio) «En este capítulo el Sr. Secretario de la que con el régimen actual no es posible que la arbitrariedad llegue á tales tér Guerra ha hecho algunas economías según aparece de la Gaceta de antes de minos, pues podría ser infinito el número de Ministros. ayer: de consiguiente no podrá continuar como e…</t>
  </si>
  <si>
    <t>…ha hecho una observación muy oportuna. La petición El Sr. Secretario Trueba manifestó habían pedido la palabra en pró de I* *10 ei mas que sobre la abolición del Voto de Santiago: el proyecto del Go petición los Sres- González ( D. Antonio) , López, Accvedo y Caballero, y bierno tiene mas artículos, abraza otros extremos. Se me dirá, quizá , que este en contra ninguno. es un caso imprevisto. No señor; nosotros tenemos una regla, de la que do nos Sr. González ( D. Antonio'): «Cuando se trata de una petición que tiené podemos separar t…</t>
  </si>
  <si>
    <t>…ue uno reclama y de lo que otro ha de de H.ust, Domínguez, López , Ftprez Estrada , Alcalá Zamora, Orense, Bui - pagar; se trata de un deslinde que corresponde hacerlo al poder judicial , y en trón , Trueba, Caballero y González (D. Antonio). Total 36. que no puede entrar el Gobierno ¡sin faltar á sus. deberes, ni el Estamento tam Se leyó una' indicación del Sr. Lasanta que decía asi : ..Pido que se de poco; porque rozándose derechos individuales toca al poder judicial, á este clare que la cosecha de este año no está sujeta á la prest…</t>
  </si>
  <si>
    <t>…ón del pais, y es la Gándara, conde de las Navas, Domínguez , Belmente, Qhacon , Calderón de que voy á decir. Yo suplico, señores, al' Estamento que si el Gobierno de® la Barca , Cario Manuel ( hijo), Fernandez Blitnco, González (D. Antonio), S. M. no toma las medidas mas fuertes, mas enérgicas y positivas para sacar Pizarro , Cahaljero, Alcalá Galiano , y Onís. Las comisiones de lo Interior, nos del caos én que está el país, pido, digo al Estamento que se dirija en de de Gracia y Justicia y de Estado, por las que había pasado con arr…</t>
  </si>
  <si>
    <t>Antonio'</t>
  </si>
  <si>
    <t>…documen A petición del Sr. Palarea se leyó el art. 14 del tít. 3.° del Estatuto to que acredite haber adquirido esta renta , aun cuando no se poseyese al tiem Real. po de la elección , ya está barrenada ia ley. El'Sr. González ( D. Antonio') «Siento mucho no estar de acuerdo con «Siento que esta circunstancia me haya obligado á tomar la palabra; 7 el dictámen de la mayoría de la comisión; mas no me es posible, porque creo tolo lo he hecho en defensa del Gobierno, para probar quía lejos de haber la que está fundado en principios erróne…</t>
  </si>
  <si>
    <t>…dad **á las penas impuestas* y condenaciones hechas por las autoridades El Sr. Serrano opinó que podía evitarse este inconveniente poniendo la competentes.” expresión empicado público, en que se comprendían todos. El Sr González (D. Antonio')’. «El Sr. preopinante acaba de manifes Sr. Domecq : «Las condiciones esenciales de toda ley son cuatro1.a No tar que se haLla conforme en cuanto al fondo del artículo, y que solo presen contener ningún principio falso: 2.a no sentar tampoco ningún principio in ta observaciones sobre su redacción ;…</t>
  </si>
  <si>
    <t>…4i3» presentando demandas. Se pre cataron otas, y se siguieron los li- sición del Sr. González no tiene cabida en este provecto.''' tigios. que eran consiguientes: como se toma en consideración en esta ley la ad El Sr. González ( D. Antonio')-. «Para rectificar un hecho, diré que quisición de ios bienes, y no se hace mención de la incapacidad de las perso cuando yo he considerado los bienes referidos como mostrencos, me he hecho nas qu(3 los adquirieron, se debería hacer una indicación, diciendo que las que cargo de que mediante la inc…</t>
  </si>
  <si>
    <t>…mis los benéficos' deseos de V. M,, que haciendo la prosperidad de sus pueblos, lle mos sentimientos que los Sres. Procuradores en beneficio de la Nación.” vará hasta la inmortalidad su augusto y glorioso nombre: El Sr. González (D. Antonio')-. ” En-virtud de lo expuesto por el Señor ‘ «Pide á "V. M. el Estamento de Procuradores del Reino se digne acoger Secretario de Estado no tengo inconveniente por'mi parte , como peticionario, benignamente ésta reverente petición, declarando ¿n su virtud suprimida des en qne sé suspenda la discusió…</t>
  </si>
  <si>
    <t>…e con dolor, de dar franc3 y terminante pone al documento que le da., la aptitud legal. mente su parecer en los términos en que lo ha hecho." «He pedido al Sr. Presidente se leyese íntegro, para hacer ver que los El Sr. González (D. Antonio'): «No quiero detenerme en hacer una primeros propietarios de Asturias le hacen la obligación, no solo en común, relación de los méritos V virtudes que distinguen al Sr. D. Agustín Arguelles, sino cada uno m solidum, de los 128 rs. anuales que exigen el Estatuto, porque no es este el lugar de ocupar…</t>
  </si>
  <si>
    <t>…tesoro en tierra sin trabajo ni peligro quedó aprobado. ninguno!” Se leyó el párrafo 4*° referente á la adición del Sr. González (D. An El Sr. Istúriz: «Lo propuesto en la adición del Sr. Ferrer y en eí dictonio).El Sr. González (D. Antonio'): «Me parece que la comisión, al exten dichotámen aldeEstamentola comisión, á sobresaber:laquemisma,los buquesme afirmannáufragosmas noy masson mostrencos.en lo que yaPorhe der su dietámen, ha padecido una equivocación, y me haré cargo de los fun consecuencia mi opinión siempre ha sido y es que ese…</t>
  </si>
  <si>
    <t>…Es un principio, que no puede renunciar un cargo el que no lo tiene, y que su aptitud legal, para en su vista resolver lo conveniente.” acaso no lo podrá tener; porque teniendo imposibilidad de obtenerle, ¿cómo hl Sr. Gonzuzlez (D. Antonio'): «Para evitar que se alargue mas la dis lo ha de renunciar ? De consiguiente no puede concederse la renuncia del cargo cusión, haré algunas aclaraciones. El coronel Seoane estuvo emigrado todo el de Procurador al que todavía no ha probado su'aptitud para obtenerle: mien tiempo de la reacción, y vo…</t>
  </si>
  <si>
    <t>…renuncia de este Sr. Procurador , y se diesen las órdenes para proce ben examinarla, y no limitarse á decir simplemente, si conviene ó no discu der á nueva elección. tirla , sino manifestar si la aprueban ó no. El Sr. González. ( D. Antonio') «Antes de que se proceda á votar el El Sr. Ochoax «El Sr. preopinante sienta la proposición de que las co dictámen de la comisión me parece del caso dar una idea de los motivos que misiones deben extender su dictámen á decir si aprueban ó no la petición que ban obligado al Sr. marques de Monsalud…</t>
  </si>
  <si>
    <t>…onio) , López, Accvedo y Caballero, y bierno tiene mas artículos, abraza otros extremos. Se me dirá, quizá , que este en contra ninguno. es un caso imprevisto. No señor; nosotros tenemos una regla, de la que do nos Sr. González ( D. Antonio'): «Cuando se trata de una petición que tiené podemos separar tina línea, de que no debemos salir : nosotros no podemos salir por objeto la conveniencia y la justicia de la abolición de una contribución ¿el reglamento; y aunque fuera el presente un caso imprevisto, yo contesta onerosa, no sera super…</t>
  </si>
  <si>
    <t>Antonio'Seoane</t>
  </si>
  <si>
    <t>…ificativos de su aptitud legal. claridad.” i La'comisión de Poderes dió cuenta de su dictamen en que manifestaba El Sr. Presidente: «Para no alargar esta discusión y aprovechar el tiem que habiendo visto la exposición del coronel D. Antonio'Seoane , electo Pro- po que necesitamos para otros objetos, me parece que con arreglo á lo indica cifrador por la provincia de Sevilla, para que se le admita la renuncia que ha do por el Sr. Domecq, esta en el órden que se acuerde que el señor de que se cia de este cargo, á causa de-haber «ido-destinado d…</t>
  </si>
  <si>
    <t>Antonio'Seoane, D</t>
  </si>
  <si>
    <t>D Antonio'Seoane</t>
  </si>
  <si>
    <t>…yor justificativos de su aptitud legal. claridad.” i La'comisión de Poderes dió cuenta de su dictamen en que manifestaba El Sr. Presidente: «Para no alargar esta discusión y aprovechar el tiem que habiendo visto la exposición del coronel D. Antonio'Seoane , electo Pro- po que necesitamos para otros objetos, me parece que con arreglo á lo indica cifrador por la provincia de Sevilla, para que se le admita la renuncia que ha do por el Sr. Domecq, esta en el órden que se acuerde que el señor de que se cia de este cargo, á causa de-haber «ido-destinado d…</t>
  </si>
  <si>
    <t>Antonio, Aliguel</t>
  </si>
  <si>
    <t>Aliguel Antonio</t>
  </si>
  <si>
    <t>…o las indemnizaciones que hubieren de recibir los due D. Francisco Verea y Cornejo, regehte de la Real audiencia de Ma ños de las escribanías enagenadas, que no deben continuar como de drid; á D. Antonio Uhac, de la de Galicia; á D. Aliguel Antonio dominio privado por mas tiempo que el necesario para hacer efec Zumalacarregui, de la de Burgos; y á D. José Alonso, ministro de tivas las indemnizaciones, atendida la naturaleza e importancia de la de Madrid y comisario regio de Vizcaya. Tendréislo entendido, y estos oficios. Tendréislo entendido,…</t>
  </si>
  <si>
    <t>Antonio, D</t>
  </si>
  <si>
    <t>D Antonio</t>
  </si>
  <si>
    <t>…l espíritu pá— del el bizarro qapitan real de la guardia infantería Leopoldo los primeros 0. ÓJonell deí alféreces , los cuerpo Davila mismo Rafael CU- blLo notablemente mejorado dc*dc la puboedoon det estatuto Real qoe testa-1 , D. D Antonio blcce nuestras antiguas leyes, nada deja qué desear, prometiéndome po¿ lo taavifo v IX Joaquin Vihillongaj'los alféreces de la guardia-real provincial, to que se conservará sin alteraciori U tranquilidad púbit^ de Cita p roe uncía.D. Ángel Arcilla y IX Rafael Requejo, el brigada del propio cuerpo D…</t>
  </si>
  <si>
    <t>…r. Prócer que'quisiese ran , cotidi 'de Monterrón, duijué de NoMejas, conde dé Ofalie, conde de 'tomar:la palabra, y no habiéndolo, dijo el Sr. Secretario marques de Guadal- f arsent, D. Ignacio de la Pézuela, conde de Pinofial', obispo D.- Antonio aáíílí qüe pedía aTEstamento qué ademas déla propuesta del Gobierno admi- Po,adas-, D. José María Puig, conde de Prieguf, cond,e de PufioníOstro, con* Ttida piór tá comisión se añadiese la adición que proponía el Consejo de Gó- de de Pino hermoso, D. Manuel José Quintarla ,duque de lio vas, coríHe…</t>
  </si>
  <si>
    <t>…de otra parte, es española. Y a que de este cargo por hallarse imposibilitado de desempeñarte. los empleados'tienen defendidos sus destinos por los pechos del valiente ejérci ■ - A la misma se pasaron los documentos y poderes del Sr. D. Antonio de to y Milicia urbana, que pelean con gloria en el campo de batalla, no pare Búrgos Tello, electo Procurador por la provincia de Málaga; j los poderes cerá injusto que contribuyan á cubrir las necesidades de los mismos defensores presentados por el Sr. marques de Villacampo, que lo es por la de Búrgo…</t>
  </si>
  <si>
    <t>…ió en 12 Buen esposo, modelo de padres y. Rey incomparable, la posteridad le de Octubre de 1798 eri el palacio de Queluz, y fue aclamado solamente Infan pagará un tributo, no sospechoso, dé admiración. te por haberle precedido el Sr. D. Antonio, Príncipe de Beira. Fueron sus Tan grande en la muerte como en la vida, no pudieron los sofismas de la padres el Sr. D. Juan vi y la Sra. Doña Carlota Joaquina de Borbon, hija esperanza ofuscar su razón; todos vejan mejoría en su salud, y él solo veía la del Rey católico Cárlos iv. eternidad. Prepa…</t>
  </si>
  <si>
    <t>…rra. de la enfermedad: que eni-Tibenys, Beaisanet, Mora de Ebro , la Galera y M¡« "Del regimiento Infantería do,Córdoba, 10 de línea, el coronel primer rabet había cesado enteramente la enfermedad que afligía 4 sus vecindarios; y comandante D. Antonio fobar i el 2.° comandante D. Manuel Argüelles ¡ el - que en los demas puntos invadidos continuaba la enfermedad con benignidad teniente coronel graduado, capitán D. José Aguirre; los capitanes D. José según, resulta del siguiente María Gurrea y D. Félix Miranda; el capitán graduado, teniente D. Ant…</t>
  </si>
  <si>
    <t>…ería retirado D. Francisco Octavio de Toledo, regidor con Racine, Moliere, Fenelon y demas célebres escritores del siglo que pudo llamar vocal. de oro la Francia, parecía como indispensable para que.con mas rapidez y exactitud El Sr. D. Antonio ds Padua Domínguez, teniente de cazadora de la Mi se fíjase ia opinión acerca del justo mérito de tantas obras maestras; por consiguiente se omite recomendarla con pomposas frases á los amantes de la poesía. licia Urbana de ata capital, vocal. —— Arte de fabricar el salitre y la pólvora, escrito y…</t>
  </si>
  <si>
    <t>…dos, y en el de papel rayado, tczry.prescribe elGeie supremo del Estado,que es la Reina Gobernadora, cu- caile——Elementosde la Cruz,de ágeografíaizo rs. laastronómicacolección enteray tísica,encuadernadaescritos porá lael rústica,coronel D. Antonio jf^^°bcitud se emplea en buscar todos los medios de hacer nuestra felicidad, y Montenegro. Esta obra, para cuya perfección no se ha perdonado gasto ni ttabajo, [de levantar á la España al alto grado de gloria de que es susceptible una nación reúne las circunstancias de ser un libro elemental, en el…</t>
  </si>
  <si>
    <t>…ad, que reunirá á su hermosura utilidades considerables para mera trata de calenturas en común, la segunda de iofiamactoaes y la tercera de varias enfermedades, traducido, corregido y aumentado porlos gastos de policía urbana. el doctor D. Antonio La vedan , profesor de medicina y cirugía: un tomo, En Alba prosigue su incansable junta mejorando y empedran en 4.0 se Dallará á 34 rs. en pasta en la librería de Hurtado. do sus calles, en las cuales han construido 54-Ü varas de aceras de ——O* terramento parcial y una muerte a-apuesta , d la Religio…</t>
  </si>
  <si>
    <t>Antonio, Domingo</t>
  </si>
  <si>
    <t>Domingo Antonio</t>
  </si>
  <si>
    <t>…López Reorden Con que han de intervenir en su régimen. (Prúm. 42.) quena plaxa de oficial en la secretaria del fomento, v mandando que Don -— mandando que se forme el reglamento pata el Consejo Bical de España Joaquín Rodríguez y D. Domingo Antonio \ eca de Se^anc sean reco é Indias, elevándole después á conocimiento de S. M. (Suplemento d id.) mendados eficazmente al ministerio de Hacienda y al de Gracia y Justi | átales decretos nombrando presidente, miqistre^ y fiscales de} supremo tribu cia. (Id.) nal de España c Indias. (Id.) j Reales de…</t>
  </si>
  <si>
    <t>…López Reorden Con que han de intervenir en su régimen. (Prúm. 42.) quena plaza de oficial en la secretaria del fomento, v mandando que Don -— mandando que se forme el reglamento pata el Consejo Bical de España Joaquín Rodríguez y D. Domingo Antonio \ eca de Seojne sean reco é Indias, elevándole después á conocimiento de S. M. (Suplemento d id.) mendados eficazmente al ministerio de Hacienda y al de Gracia y Justi | átales decretos nombrando presidente, miqistre^ y fiscales de} supremo tribu cia. (Id.) nal de España c Indias. (Id.) j Reales de…</t>
  </si>
  <si>
    <t>Antonio, Francisco de I-aula</t>
  </si>
  <si>
    <t>Francisco de I-aula Antonio</t>
  </si>
  <si>
    <t>…privad? du-ect^r de i- a fe m.r.. a. j,»'r.c ( • t..’. .e-.-rv,» mo Dona Amalia, Felipa, Filar,'Mariana, ni i sobrina, hija de mi i i\qssler y al comcjé'a privado de Icga-feon Ec-fe fe-« de l:fe.; - fe axhado henflano el infante D. Francisco de I-aula Antonio, tuve á ’ piies dftjhaber cang/cado sus respectivos poder» i iua determinado . « ■ . cítii» ►«&gt;. rcs.e&gt;rv,índoíC'.rjl*'fi-art. ariiculps-» h, ía 1 Doña bien excelsa Hija en de hii nombre conferirla, Isabkl el duq^c l.° b. A. Articulo d? Saj^pia-O'A'-vrr-ífe ifei &gt;.e fe í¡ v' M d nobj.es banda de Il…</t>
  </si>
  <si>
    <t>Antonio, Francisco de Paula</t>
  </si>
  <si>
    <t>Francisco de Paula Antonio</t>
  </si>
  <si>
    <t>…nadora Art. ARTICULO DE OFICIO. ii Hija la Doña Jsarel con su Reina augusta á la derecha; y á'Ja i izquierda, en el mismo estrado y á alguna distancia, el Serenisiiro Oficio recibido en el ministerio de lo Interior. Señor luíante D. Francisco de Paula Antonio: á uno v otra larin Excino. Sr.: S. M. la Reina nuestra Señora, y su augusta Ma del Trono en pie los Secretarios del Despacho; detras de las Peno-' dre la Reina Gobernadora, como también la Señora Infanta Doña ñas Reales los Gefes de Palacio, las Damas de honor ¡y personas de María twsa, continúan…</t>
  </si>
  <si>
    <t>0*0 - \ í 'rfr D. Francisco de Paula Antonio.; y puesto en pie S. A., le recibirá" , José Garda Suelto, ministró.honorariodeila',Raaldutlíjertcia dé Msel debi'ío juramento en.la forma siguiente: ¿ Juráis guardarfiilididad dt^d, pase, inmediatamerfté íf ía /ciiAlaií ae'Pdrnjitóná ¿oñ'elcarácter y obeilitrw.in.ji lo. augusta Rema nuestra Señora…</t>
  </si>
  <si>
    <t>Antonio, Infante D Francisco de Paula</t>
  </si>
  <si>
    <t>Infante D Francisco de Paula Antonio</t>
  </si>
  <si>
    <t>…s continuar la carga al gran galope, y á fuerza de agui Rs. vn. jonear mucho los caballos conseguí milar 8 enemigos y cogerles I 0 caballos, por ción de armas y efectos , y dispersarlos completamente ; pud»endo ^asegurar 4 Sermo. Sr. Infante D¡ Francisco de Paula Antonio y su augusta es V. E. que por ningún lado pasaban de tres los reunidos, siendo enteramente posa Doña Luisa Carlota.............................................................................. 50000 opuestas las direcciones que han podido tomar : este ha sido el resultado Excmo. Sr. conde de Sta. C^l…</t>
  </si>
  <si>
    <t>Antonio, Jnan</t>
  </si>
  <si>
    <t>Jnan Antonio</t>
  </si>
  <si>
    <t>Gaceta de Madrid n.º 199</t>
  </si>
  <si>
    <t>…as pueblos invadidos era menor ci número ciones. (Id) de casos funestos. Reai decreto nombrando-i vario» «ugetos para plaza* vacante» en la magistra PROVINCIA DE NAVARRA. tura. (iViím- D4.) Vf Real órden mandando se den gracias i D. Jnan Antonio de laTorrv por ha En oficios de 18 y 22 del actual,dice el Excmo. Sr. conde Armíldez, qu* ber solicitado se 1c admitan tres hijos en clase de voluntarios en al Real en la ciudad de Corella y en la villa de' Cintruénigo iba cediendo notable servicio- (id.) mente la enfermedad: que en la de Firero, cont…</t>
  </si>
  <si>
    <t>Antonio, Jo e</t>
  </si>
  <si>
    <t>Jo e Antonio</t>
  </si>
  <si>
    <t>…D. Miguel Azígra ; D. darlos Fanch ; D. í oren/r* Smuhs. Soria , 9.° de linca =1 enicntc , D 1c nací o V: ñcd alféreces , D. Nicolás de El comandante genera! de Asturias avisa con la misma fecha hallarse aquel ll Fax, herido . v D. Jo-*e Antonio luri rt: D. Manuel Espada: D. Sumías principado en completa tranquilidad , y que los facciosos que compusieron las Chaquetón ; D. Joaquín Alberti, D. Angel Prat. D. Nicolás fiedano; D- Luij</t>
  </si>
  <si>
    <t>Antonio, Josef</t>
  </si>
  <si>
    <t>Josef Antonio</t>
  </si>
  <si>
    <t>…han escrito, so , y entre las descargas de la tropa que también vitoreaba á S. M. con extra impreso y publicado de orden de la poluta: termina diciendo que el proyecto ordinario júbilo. En seguida se sirvió en casa del corregidor D. Josef Antonio ejecuta lo que nunca se atrevió á hacer la restauración, y-J por lo mismo vota Morales, y á sus expensas, un exquisito refresco, á que fueron convidadas todas contra el proyecto del gobierno, contra el de la comisión y contra la propues las autoridades y los coroneles y oficialidad de los regimient…</t>
  </si>
  <si>
    <t>Antonio, Juan</t>
  </si>
  <si>
    <t>Juan Antonio</t>
  </si>
  <si>
    <t>…reto de 2¡i de A dril último conlerir la suhdelegacion de r omento de la jirovincia de Albacete, que obtenía el primero, á Don Jorge Gisbert, y la de la provincia de \ alenria, que estaba al car REALES DECRETOS. go del segundo, á D. Juan Antonio (iastejon. En atención á los distinguidos méritos y servicios, y á las de Por Real derroto de 511 de Abril último, se ha dignailo S. M. lamas circunstancias que adornan al teniente general conde de Guaqui; y queriendo darle un testimonio público de mi Real aprecio, Reina Gobernadora promover al sub…</t>
  </si>
  <si>
    <t>03/04/1834</t>
  </si>
  <si>
    <t>Gaceta de Madrid n.º 42</t>
  </si>
  <si>
    <t>…s, las riquezas , las virtudes;, todo lo reputan_por , D. Canuto Regoyos, í). Eegiro Blanchar ,'p. Luis Blanchar, Don enemigo, cuya destrucción les es necesaria, para conseguir su plaii'r Ignacio' 3e Eguilloz, D. Pablo de Beitia, D. Juan Antonio, de ‘ de 1823, que es pasearse sobre las, ruinas de.España como una tri-,, Salla, D. Justo de- Acha, D. Pedro Pick, EX Pedro Toluaga, bu de tártaros sobre los. desiertos de Escitia. Aquel horrendo plan - O. Julián Unzueta, D. Julián de Ugaldc y D. Pío de Éguizabál. que desbarató la prudencia de Fer…</t>
  </si>
  <si>
    <t>…de las cortes de Munich y de Berlín: debe re su acordada de 23 de Mayo último, acerca d.e la instancia que diri emplazarle el señor Rizo Nerocelo», hombrerde probidad muy acreditada, y gió V. E. éñ 10 de Marzo anterior, en la que D. Juan Antonio de estimado generalmente en toda Grecia. Posee grandes talentos, y goza ya la Torre, teniente de infantería amnistiado y retirado en esa capital, de una excelente reputación como escritor. Se ha confiado interinamente la solicita se le admitan én el Real servicio en clase de voluntarios, y plaza de Pr…</t>
  </si>
  <si>
    <t>…en el Cal De Puerto Real con fecha 7 de este mes escriben lo„ siguiente: vario de Güefies con la columna al mando del capitán del provincial de Ovie ft»Uooe capitalistas franceses con la cooperación de algunos españoles han ve do D. Juan Antonio fiazcuenz, á quien de antemano tenia dadas, instrucciones nido i establecer aejui una industria que debe ser de mucha utilidad para este sobre el particular. £&gt; pueblo: una téfinena do azúcar. Eate establecimiento podrá dar ocupación á un *1 Atacado por «numerables grupos de los rebeldes sostuve de…</t>
  </si>
  <si>
    <t>Antonio, Justa</t>
  </si>
  <si>
    <t>Justa Antonio</t>
  </si>
  <si>
    <t>…aldes del crimen de* las audiencias, he venido en último, vengo en nombrarle paradla canongia de la santa metropolita^ mandar, qué en las capitales de provincia se" establezca el compe- na iglesia de Sevilla, vacante pór muene.de D. Justa Antonio;3ef teUt£,n&amp;i)ero de jueces inferiores. Y señalo para la chillad de -Bar Urizar é Ibarrola,. Tendréislo entendido, y lo comunicaréis i quieti celona-cuatro; para la de Granada tres; tiara, la de Sevilla cuatro; eorresjionda.—Está rubricado de la Real mano.=En el Pardo a í G de para la de Zaragoza d…</t>
  </si>
  <si>
    <t>Antonio, Miguel y D</t>
  </si>
  <si>
    <t>Miguel y D Antonio</t>
  </si>
  <si>
    <t>…d requeridas , lo manifestará desde luego, sus El mismo comandante de armas manifiesta que sospechando de la conducta pendiendo su admisión. En este caso el proveedor hará dar noticia de ello al de D. José déla Torre, y sus hijos D.^ Miguel. y D. Antonio, y del religio Comisario de Guerra respectivo, quien pasará inmediatamente á fe provisión , y so de S. Juan'de Dios Fri Juan "Veredas, y que acaso podrían aumentar el reconocerá ó hará reconocer á su presencia el género sobre que recaiga fe queja, número de los sublevados, pasó 4 sus casas y les pr…</t>
  </si>
  <si>
    <t>Antonio, O</t>
  </si>
  <si>
    <t>O Antonio</t>
  </si>
  <si>
    <t>…Joaquina de Borbon, hija esperanza ofuscar su razón; todos vejan mejoría en su salud, y él solo veía la del Rey católico Cárlos iv. eternidad. Preparóse pues á ella cori la mas edificante resignación, y después de Por muerte del Príncipe O. Antonio en el año de 1800 vino a ser Don hechas las disposiciones de cristiano, cada uno de sus últimos momentos basta Pedro inmediato sucesor al trono, y como tal denominado Príncipe de Beira. ba para hacer un héroe. Son públicas, están grabadas en todos - los corazones la Providencia justifica siempre su…</t>
  </si>
  <si>
    <t>Antonio, Oonzciltz</t>
  </si>
  <si>
    <t>Oonzciltz Antonio</t>
  </si>
  <si>
    <t>…as sus partes con el primer artículo del pro- los Estados en el año 19; que esto lo hizo en tiempq/Éffque se observaba el yecto de ley del Ciobier r o.” código fundamental, que no permitía la enagenacáfe de ninguna parte de la El Sr. Oonzciltz Antonio?) «Había pemsdo no lomar la palabra eii monarquía, y que por consiguiente no anuló e^tíalado que se había hecho en la discusión de cite articulo, yotquc teinia montar la alrncion del Estamento el gobierno anterior. Peto, señores, de un hecho particular no se pueden de después de haberse hablado uni…</t>
  </si>
  <si>
    <t>Antonio, P</t>
  </si>
  <si>
    <t>P Antonio</t>
  </si>
  <si>
    <t>16/01/1834</t>
  </si>
  <si>
    <t>Gaceta de Madrid n.º 8</t>
  </si>
  <si>
    <t>…Reina Goberna fatigable zelrt de-Us tiopas, renueva frecuentemente los triunfos de su constante dora , según se anunció en este periódico , van llegando á las provincias en que fidelidad, en cuva prueba debo decir á V. £. que el comandante P. Antonio deben ejercer suS funciones , y empiezan i desempeñarlas después de haber pres Arpiroz , del 5.° libero , ha balido y dispersado completamente á la facción del tado el juramento que previene el Real decreto de 30 de Noviembre últin\p, cabecilla D. Antonio Valles, que se suponía de 200 hombres , en…</t>
  </si>
  <si>
    <t>Antonio, Pedro</t>
  </si>
  <si>
    <t>Pedro Antonio</t>
  </si>
  <si>
    <t>…ad de) »E1 gabinete imperial, según todas sus combinaciones políticas, no cok&gt;Ca Montemayor de Córdoba, (el alcalde mayor y ayuntamiento de) lá conservación de la Puerta Otomana en una segunda línea\ todo al contrario, Moraleja. (D. Pedro Antonio de) nuestro gobierno ha creído constantemente que la referida conservación es una Moxecre. (el alcalde mayor y ayuntamiento de) de las cuestiones de la mayor importancia- En este concepto, nosotros cutamos Muía, (el ayuntamiento de) dispuestos á sostener esta afección siempre que se nos dé motivo por…</t>
  </si>
  <si>
    <t>Antonio, Santiago Cabria y D</t>
  </si>
  <si>
    <t>Santiago Cabria y D Antonio</t>
  </si>
  <si>
    <t>…delinea — Excmo. Sr,: Cumpli adopten. mentando las superiores disposiciones de V. E., salí de esta plaza á las cuatro M- Luneau impugna el dictémen de la comisión, y la tendencia y objeto de la mañana de hoy con los subtenientes D. Santiago Cabria y D. Antonio de las solicitudes. Lorenzo, 100 individuos de tropa , todos de mi regimiento, y 20 de! de Ca M-. Duplo contesta á todos sus argumentos, y demuestra que no se ha con taluña', 6.° de ligeros de caballería, al mando del capitán graduado D. Juan tradicho respecto del discurso que pronunció en la sesión de 29…</t>
  </si>
  <si>
    <t>Antonio.Gar</t>
  </si>
  <si>
    <t>…te ep 25 de Julio último, en el cual y á instancia de sps hermanos D. Casimiro y Doña á visitarlos; pero el primer rumor que hirió sus oidos al llegar á Kuebischa, María, se ha mandado citar á su.vjuo* DonadOra Recuero y su hijo D. Antonio.Gar cía Recuero, cuyo paradero se ignora; para que en el término de 30 días contados residencia del gefe de aquella tribu, fue el grito de los ulemás, que desde lo* desde el en que se publ ique este Anuncio en Já Gaceta, comparezcan en debida forma minaretes de sus mezquitas anunciaban al pueblo que er…</t>
  </si>
  <si>
    <t>AntoniomarquillaJosef</t>
  </si>
  <si>
    <t>…a ahora infalible, con la quina tomada por un método absolutamente] nuevo y distinto del que se ha usado comunmente. Por D. Tadeo Lsfuente: un tonto] El subdelegado principal de Fomento de la provincia de Badajoz ha dado enque 8.°D. AntoniomarquillaJosef, ediciónCabaniliesde 1805demostró, A 10 rs.en enlas rústica.—Descripciónlecciones públicas deldeafiolasplaütas]de i8oi,I parte al ministerio de Fomento de haberse verificado en aquella ciudad el dia 3 precedida de los principios elementales de la botánica. Un tomo eo 4.0 en dps vuld-l del actual la…</t>
  </si>
  <si>
    <t>Antonioy</t>
  </si>
  <si>
    <t>Gaceta de Madrid n.º 210</t>
  </si>
  <si>
    <t>…tades del almirante, y.otros puntos relativos á la navega física, déla trida y groseras[c&lt;jstumbrés'.'de íbs habitantes 'de la‘Finlandia. cióndeS. mercantilM-* detarchivoen tiempodel demaestreguerra;racionalcopiadasde porCataluña,D. Antonioy deldeRealCapmanty generalpor órdende la Bajo-el nombre de EuTrOsina, ha publicado una señora un poemaUitulado Corona de Aragón, y vertidas.Jlneral y fielmente por ei m sno del idioma latinó y JeSan Cristóbal. La jó’ven mtiía pseudóhimá'eélebí'a -á este gran saritó’én versos inosino al castellano, c…</t>
  </si>
  <si>
    <t>Antonjojr</t>
  </si>
  <si>
    <t>…ilicia urbana:” ... Verificada la .votación resultó desaprobada, dicha adición por 75 .votos El Sr. Caballero ley0. la petición, y los dictámenes de las comisiones por contra 37, habiéndose abstenido de votar »iol.-(Sr. González (D. Antonjojr que había pasado.,'.y ;qae opinaban no había inconveniente en que se discutiese total 113. . ? ; ,/H en público, sobre-.que.se suprima el impuesto en el vino que pagan las provin Los que la aprobaron fueron Jos Sne. Abargues, López, Visedo, Tonens cias de VaIenc¿a , Ai»rante y Castellon de ia Plana…</t>
  </si>
  <si>
    <t>Antoo, Antonio</t>
  </si>
  <si>
    <t>Antonio Antoo</t>
  </si>
  <si>
    <t>…dos en una altura del mismo camino. Cataluña , el teniente graduado de teniente coronel D. Valentín'Fernandez de &gt;&gt;£n ej momento ordené que dos mitades al mando del teniente coronel la Maza, de húsares, y el capitán de caballería D. Antonio Antoo, con todo D. Valentín Fernandez de la Maza, y- otra de reserva al del capitán D. Anto los demas oficiales á que hace referencia, á quienes. considero acreedores á lá nio Antón quedasen á retaguardia al mando del teniente coronel D. Eustaquio recompensas que S. M. la Reina Gobernadora se digne dispe…</t>
  </si>
  <si>
    <t>Antpm, ErartCteco de Paulai</t>
  </si>
  <si>
    <t>ErartCteco de Paulai Antpm</t>
  </si>
  <si>
    <t>…el -^-Pqr providencja del ÓTi déRprragmsy , téoíewecorreeldo# de esta vilfa, y por Concediendo 4. DoKíAmalia, Éeüpa, Pilar, Maruná, bija del' Serma Señor trámelo 6í,034¿ «trode Í00 petos no consqjtiifnln iláim»ii ¿ $$Q ' Infante D. ErartCteco de Paulai Antpm&amp;, la banda de la Real órden de da pesoé ¿aaa uno consolidado* núme/ot 27^78 f tZ,12?9i lodos dd ifio de IttL qué lula ma» noble* de la Reina María Xtuub tlvárf. 255.) sido rétenJdps y ted*madot&lt; cotdo de U pertenencia de D. Cosme de Moni oirá ooe PrQTCCto.de,torísaaaiocada por &amp; M,;l? Rjajua Gobern…</t>
  </si>
  <si>
    <t>Anujo, Francisco</t>
  </si>
  <si>
    <t>Francisco Anujo</t>
  </si>
  <si>
    <t>…tas del mismo y otros, que á todo favor del proyecto. escape venia á dar aviso de nuestra llegada á estos de Serpa. M. Merlin extraña que habiendo parecido demasiado rigoroso el código pe En seguida los entregue al sargento mayor D. Francisco Anujo, que de nal desde que se dió á luz , ahora se quieran agravar las penas que aquel impo órden del barón de Sa da Bandeira me acompaña en esta expedición como en ne. Juzga que en las leyes del año 4 y el año 13 tiene el gobierno suficiente la anterior, encargándole los tratase con toda política á pes…</t>
  </si>
  <si>
    <t>ANUNCIOS, Des</t>
  </si>
  <si>
    <t>Des ANUNCIOS</t>
  </si>
  <si>
    <t>Gaceta de Madrid n.º 281</t>
  </si>
  <si>
    <t>…ander, 1 id. 4 4 p* 100 al año* bre de'1834'=Excmo.Sr.=:El mariscal de campo Joaquín de lbarra. = Exce Bilbao, 4 d. Santiago , 1 d. lentísimo Sr. ministio de la Guerra. Capitanía general de los reinos de Valencia y Murcía.=Excmo. Sr.=Des- ANUNCIOS. de. mi último parte no he dejado de perseguir las facciones de los tres reinos reunidas, marchando noche y dia para darles alcance, no tanto porque ellos No habiéndose realizado el dia 18 del presente mes Ja subxsra de los documento* 16 de que general se anunció dei en la Gaceta policía mismo, el super…</t>
  </si>
  <si>
    <t>ANUNCIOS, ESPAÑA Madrid de Noviembre</t>
  </si>
  <si>
    <t>ESPAÑA Madrid de Noviembre ANUNCIOS</t>
  </si>
  <si>
    <t>…s-Gaz.ette.) Burdeos,Hamburgo,00. 00. Barcelona,io , í b. á fs.,Mai*g.,Gr-na.ia, ¿ id.b. id. Zaragoz*Descuento, $ilta letra4,l d. lótvdres, a 90 días, $ a $ id. iSjnrandir, 1 id. a 4 p. 100 ai añ . 38f. Bilbao , 4 á. [Santiago, 1 d. ESPAÑA. Madrid 25 de Noviembre. ANUNCIOS, Partes recibidos en la secretaría de Estado y del Despacho de la Gue.rra. Lo| suscríptores k los Nuevas principios de economía política, ó ¿e la riqueza en sus relaciones con la población, por J. C. L. S/monde de SiMnondí, rraducidi&gt;s ul ca— Capitanía general de Aragoo=Excmo. Sr.: Acompaño á V. E.…</t>
  </si>
  <si>
    <t>ANUNCIOS, Femando Lorenzo y Mar</t>
  </si>
  <si>
    <t>Femando Lorenzo y Mar ANUNCIOS</t>
  </si>
  <si>
    <t>…genera 1, mariscal de campo D. Francisco Ferraz. *d. Santiago, 14. El Sr. alcalde mayor l.° L&gt;. José- Enjuto, hasta el dia 3 del corriente que fue atacado de la enfermedad reinante. El Sr. provisor y vicario general del obispado D. Femando Lorenzo y Mar ANUNCIOS. tin, vocal. El Sr. D. Juan Soto, vocal por la clase del comercio. El Sr. D. Francisco Garcerán, médico vocal consultor, hasta el dia 2 del Ofirmt quw tt hsiinn tU v*nt* tn tí dtxpneho d* U ímpttnts Rtmk •articule que falleció. El Sr. D. Serafin García, médico vocal consultor, hartad 7 que falleció.…</t>
  </si>
  <si>
    <t>Anvat, D Félix</t>
  </si>
  <si>
    <t>D Félix Anvat</t>
  </si>
  <si>
    <t>…con sus —-Peticidad de la muerte cristiana , meditada en ocho dl»s de refrlro tí ejercidos es fuerzas i Lumbier, al general Lorenzo en persecución de los que tomaron la pirituales. Obra con que se preparó para la muerte el limo. Sr. D. Félix Anvat, ar Ldrreccion de los Pirineos, y al brigadier üráa de los que se encaminaron i zobispo de Pálmira: un tomo en 8.° a 14 rs, en pasta. Véndese en la librería de la ▼luda de Qulruga, y en Btrcelona en la de Sierra. En las misrhas se hallarán laj plá &gt; Vttrdun. ticas y sermones del limo, Sr. Climent:…</t>
  </si>
  <si>
    <t>Anvat, Félix</t>
  </si>
  <si>
    <t>Félix Anvat</t>
  </si>
  <si>
    <t>…sus —-Peticidad de la muerte cristiana , meditada en ocho dl»s de refrlro tí ejercidos es fuerzas i Lumbier, al general Lorenzo en persecución de los que tomaron la pirituales. Obra con que se preparó para la muerte el limo. Sr. D. Félix Anvat, ar Ldrreccion de los Pirineos, y al brigadier üráa de los que se encaminaron i zobispo de Pálmira: un tomo en 8.° a 14 rs, en pasta. Véndese en la librería de la ▼luda de Qulruga, y en Btrcelona en la de Sierra. En las misrhas se hallarán laj plá &gt; Vttrdun. ticas y sermones del limo, Sr. Climent:…</t>
  </si>
  <si>
    <t>Aoiz</t>
  </si>
  <si>
    <t>…en gefe una relación nominal de los heridos, cuyo valor desgraciado no necaito reco de fecha de 21 del actual desde Olazagoitia, que el primero se hallaba hacia mendar á. V. E. Dios &amp;c. desidia 21 de Setiembre de 1834* — Exento. Sr.= Aoiz y el segundo hacía Eugui. En tanto el general en gefe habia hecho for Manuel 0-Doylec=Excmo- Sr. general en gefe del ejército de operación» del tificar dicho punto Je Olazagoitia en el camino de Vitoria á Pamplona por la Norte.’' Borunda, entre' Salvatierra y Echarriaranaz, y destruir con barrenos lo…</t>
  </si>
  <si>
    <t>Aparicio, Josef</t>
  </si>
  <si>
    <t>Josef Aparicio</t>
  </si>
  <si>
    <t>…año contendrá solamente piezas de canto, á solo y concertantes, con partido premios á los- niños mas-sobresalieiite bajo la dirección del preceptor acompañamiento de piano forte extractadas de las últimas óperas ejecutadas en los D. Josef Aparicio. De acuerdo con el cura párroco y ayuntamiento se escogió primeros teatros de Italia, y de lasque se darán en adelante: el día 1$ de cada mes, principiando por el corriente, se publicará el cuaderno de esta clase que tendrá, el ly de Noviembre últimb, aniversario del nacimiento de nuestfá augusta mas d…</t>
  </si>
  <si>
    <t>Aparicio, Juan Muñiz y</t>
  </si>
  <si>
    <t>Juan Muñiz y Aparicio</t>
  </si>
  <si>
    <t>…Sala, quienes ademas de haber resca visión necesaria de harinas se ha remediado en parte á beneficio de la comisión tado. toda la correspondencia y demas que los facciosos habían detenido , han que dije &amp; V. E. había conferido á D. Juan Muñiz y Aparicio, vecino'de Ga— cogido uno de ellos, 3 caballos, y algunas ropas, huyendo los demas precipi laroza , no obstante de que ha encontrado algunas resistencias para el arreglo tadamente al monte en que había mayor fuerza. El faccioso aprehendido Tori- que ha hecho; pero al fin todas se*van venciendo con…</t>
  </si>
  <si>
    <t>Apoyo, Palarea</t>
  </si>
  <si>
    <t>Palarea Apoyo</t>
  </si>
  <si>
    <t>…da, y se deje para el martes , tam reglamento; y habiéndose preguntado si había lugar á votar, se acordó que poco tendremos nada que hacer dicho lunes.” sí, y que se hiciese por partes, como propuso el Sr. Acevedo; quedando en El Sr. Palarea. «Apoyo la idea expresada por el Sr. Carrasco. Es ver consecuencia aprobadas la 1.a, 4*a 7 5.*# y desechadas la 2.a, 3.a y 6.a en los dad que el asunto de Hacienda , de que se trata, es urgentísimo; pero también términos siguientes: es importantísimo, y tanto, que de ¿l depende en gran parte la felicidad de l…</t>
  </si>
  <si>
    <t>Appody</t>
  </si>
  <si>
    <t>…ra, con d.bBjeto afe évfhtretó» miles, tuvo á bien redamar del Gobier Se habla de un tratado hecho en Parb póT la mediado» dd eahafador no portugués, pót^aiedio de sti ministro en Lisboa, qué no se diese tuso y la cooperación del conde Appody, entre tí Austria, la Francia y la acogida ni pi%fé(idim álos individuos que se presentasen eti Ptortú- Runa. Se dice que por este tratado se obligiui respectivamente tas tnk Poiengil ain paátpartwuén regla Jo losdnpjltapes genemtesó gobernadores i mantepler la paz en el Oriente. (Carreo Alemán.) c…</t>
  </si>
  <si>
    <t>Aprobación</t>
  </si>
  <si>
    <t>…á sus demas Estados. ¿De qué le serviría común/reinó la mayor armonía, y todos contribuimos unidos Con noble emu ahora estando separado de él por las pociones del virev; habiendo perdido el lación y con la mejor voluntad al bien general/' {Aprobación general.') Archipiélago y la Morca , y estando va reducido su influjo sobre Trípoli y 1 .iContinúa*el examen de los demas párrafos del proyecto, y después de una nez á los simples homenages que recibe siempre que sube al trono de estos breve discusión quedan todos aprobados sin alterarlos en cosa'a…</t>
  </si>
  <si>
    <t>Aprove</t>
  </si>
  <si>
    <t>…., entrar todos los individuos en particular que lo componen: oficiales y soldados, to en él, at gozar de ningunos derechos políticos ni civiles: se les prohíbe con-, dos se han hecho acreedores ¿ la gratitud de su patria y de su Rey. Aprove servar ó adquirir bienes, sei cual fuese el título porque lo hicieren, ó la natu cho con mucho gusto, señores, esta favorable ocasión para manifestaros el raleza de aquellos: los bienes patrimoniales y particulares del ex-infante Don verdadero aprecio que os profeso». * ' ~ Miguel, sean de laclase…</t>
  </si>
  <si>
    <t>Aprovecho</t>
  </si>
  <si>
    <t>04/04/1834</t>
  </si>
  <si>
    <t>Gaceta de Madrid n.º 43</t>
  </si>
  <si>
    <t>…ja ha trasladado á este mi que ha recibido del coronel Fernandez del Pozo, comandante de nisterio el siguiente parte del corregidor de la Puebla de Sanabria. la columna móvil de Guadalajara, dice, que perseguido el rebelde Excmo. Sr.: Aprovecho el momento de la salida del correo Carnicer en todas direcciones por la referida columna y las proce para decir áV. E., sin perjuicio de hacerlo por extraordinario lue dentes de Cuenca, Aragón y Valencia, se veia aquel cabecilla en go que tenga un exacto detalle, que á las doce de hoy se me avisó,…</t>
  </si>
  <si>
    <t>…s. Suspendiendo, pues, Parte recibido tn el ministerio de ¡o Interior. lodo gasto de composición de los que actualmente existen , voy á promover sin demora la ejecución de esta obra interesante bajo muchas consideraciones. Excmn. Sr.: Aprovecho la ocasión que me proporciona el regreso del ex Las repetidas providencias acordadas contra los ladrones que infestaban estatraordinario conductor de las .Reales órdenes circulares de 24 del corriente campiña,y el establecimiento de la partida de persecución á las órdenes de case,para poner en el supe…</t>
  </si>
  <si>
    <t>Aprovechó, Alcalá Galiana</t>
  </si>
  <si>
    <t>Alcalá Galiana Aprovechó</t>
  </si>
  <si>
    <t>…ordinarios, y solo cuan- presenta él Sr. Gai ¡ano, 'con relacionáis cuestión que nos ocupa. Mas dirá: do lo exija una necesidad muy imperiosa.” _ _ _ . una de las ventajas de estaforraa de Gobierno secomprueba precisamente por El Sr. Alcalá Galiana-. «Aprovechó esta ocasión, quizá única, para ex- ; esta misnudiscusion, por este modo de debatir en público'las cuestiones en ijue presar miopinion contraria ádas prohibiciones en tódos ramos, nosolo como se interesa la-felicidad y subsistencia de los pueblos. De estos debates, como represendmtn.de tina gfomn^'…</t>
  </si>
  <si>
    <t>Aprovecho, Presidente'</t>
  </si>
  <si>
    <t>Presidente' Aprovecho</t>
  </si>
  <si>
    <t>…no sión por artículos del proyecto de ley para la organización de la Milicia ur debe pasar á la comisión la adición, pues esta la adopta por suya-*' bana; pero que antes de pasar á la del 2.a artículo se iba á leer una adición El Sr. Presidente'. «Aprovecho esta ocasión que me proporciona el in al l.° hecha por el Sr. González. I dividuo de la comisión 4 fin de decir al Estamento que las comisiones tienen ~ Se leyó dicha adición, que es como sigue: «Esta Milicia tiene por objeto facultad para variar, aumentar , disminuir y cambiar lo que quieran en lo…</t>
  </si>
  <si>
    <t>Ar, Agustín</t>
  </si>
  <si>
    <t>Agustín Ar</t>
  </si>
  <si>
    <t>Gaceta de Madrid n.º 302 · suplemento</t>
  </si>
  <si>
    <t>…iese pedida tando este punto sujeto al art. 92 del reglamento, no tenemos necesidad de la palabra. aguardar a aprobar el art. l.°, y podemos entrar directamente á examinar el A la comisión de Poderes se mandaron pasar los del Sr. D. Agustín Ar- presupuesto de bt casa Real. No incurriremos en otro de los inconvenientes que ielles, procurador por la provincia de Oviedo, que los presentaba confoime han manifestado algunos señores, a saber.1 que sería necesario votar un presu lo que prometió cuando fue admitido en el Estamento. puesto supleto…</t>
  </si>
  <si>
    <t>…resentarlos comisión. El espíritu de la ley se halla cumplido en la independencia misma de nuevo.” del Sr. Argiielles, pues posee su renta del modo mas completo. Pero digo por El Sr. conde de Jas Navas: «Señor: hacer el elogio de D. Agustín Ar un momento: si el espíritu de la ley fuere dudoso, ¡no hay una regla general guelles para la defensa de sus documentos, me parece excusado después de lo qué establece que en caso de duda se dicte la decisión mas favorable á la per que los demas Sres. preopinantes han dicho: su nombre solo basta par…</t>
  </si>
  <si>
    <t>…ro queremos que su mo odiosas; pero puesto én la precisión de defender la comisión, no puedo marcha sea franca; queremos se nos- diga la verdad; queremos haya premio y -mióos de citar estos casos particulares. Hace pocos dias que D. Agustín Ar castigo; premio para los valientes que lo sacrifican todo, hasta su existencia,, guelles probó no la posesión de las fincas, sirio solamente de la reñía; pero la en las aras del trono y de la patria, y castigo para los verdugos que los asesi posesión del,Sr. Procurador de que tratamos esta eñ un ca…</t>
  </si>
  <si>
    <t>Ar, Casirñirode Pando</t>
  </si>
  <si>
    <t>Casirñirode Pando Ar</t>
  </si>
  <si>
    <t>…éiWréUfá Séfioia. ■’&gt; '&gt;«'.■ ti comandanfí gérieíat deí prinErpíáb dé AstárÍM da jarte i este mtimter La sociedad económica’está.fmVnando un pTafne4t!rbíé, Ia ¡nrtrúóciotl &lt;ju8 con río ¿el encuentro-que tuvo el teniente gridli'do D. Casirñirode Pando Ar- viene promover en aquel pais, y fiabaja ademas^rtf* váríóf ‘obfetos de ,utilidad líeilps,, subteniente dé la compañía de seguridad, con el cabecilla Baiña. Sabe— pública; para todo lo cual le facilita él gpbei'nádórlóVdafos y notlcjgpnecésariat. consiss- cash ba (dispuesto ftábíffté de la upa de-la…</t>
  </si>
  <si>
    <t>Ar, D Agustín</t>
  </si>
  <si>
    <t>D Agustín Ar</t>
  </si>
  <si>
    <t>…tuviese pedida tando este punto sujeto al art. 92 del reglamento, no tenemos necesidad de la palabra. aguardar a aprobar el art. l.°, y podemos entrar directamente á examinar el A la comisión de Poderes se mandaron pasar los del Sr. D. Agustín Ar- presupuesto de bt casa Real. No incurriremos en otro de los inconvenientes que ielles, procurador por la provincia de Oviedo, que los presentaba confoime han manifestado algunos señores, a saber.1 que sería necesario votar un presu lo que prometió cuando fue admitido en el Estamento. puesto supleto…</t>
  </si>
  <si>
    <t>Ar, Domingo</t>
  </si>
  <si>
    <t>Domingo Ar</t>
  </si>
  <si>
    <t>I 8¿7 ^ Sabedora de esto la autoridad del distrito dispuso que D. Domingo Ar se padecía en aquella capital seguia&gt; su curso ascendente: que los facultativos món* pasase á la playa .referida con ocho hombres de su partida á sorprender que el comandante generálde Murcia había enviado á imitación de la juma de Caniguí, y conducirle muerto ó vivo á la ciudad. Habiéndole encontr…</t>
  </si>
  <si>
    <t>Ar, Saturnino</t>
  </si>
  <si>
    <t>Saturnino Ar</t>
  </si>
  <si>
    <t>…y los cabecillas lbarrola y Lans con sus destacamento, y la junta principió hasta él fin dél Combate-;-pero al recomeíidarloá á tqjlos etí cuerpo, &gt; con su escolta de guias. ■r no debó dejar dé nombrar especialmente al benemérito sargento Saturnino Ar-, «Inútil seria’recomendar á V. E. la constancia j sufrimiento con que ha guinariz, á los cabos Juan García y. Manuel' Rüíz, y al carabinero Angel sobrellevado «sita- guarnición las privaciones propias a un cerco de 12 dias, en Sainz, atravesado de un balazo, pues todos dieron grandes pruebas de arr…</t>
  </si>
  <si>
    <t>Ar-spe</t>
  </si>
  <si>
    <t>…núm. 1siendo mi conta— que hacer huir vergonzosamente por todas parta al Pretendiente, desacredi tacion la marcada con el tándolo hasta con los mismos que le siguen y con los pueblos, cortándole los Desde Tolos* el 21 informé al, conde Ar-spe del resultado de nvs operaprogresos de su influencia y de sus deseos, siendo los míos acabar pronto con ciona, y He lo importante que era su vigilancia .ppr la frontera en caso de tomarlo ó alejarlo para siempre d»nuatro suelo; lo que no me parece difícil intentar refugiarse á Francia el Pietendiente y…</t>
  </si>
  <si>
    <t>Aragd</t>
  </si>
  <si>
    <t>Gaceta de Madrid n.º 56</t>
  </si>
  <si>
    <t>…esea de hacer permanente é indestructible la jus mandaba havueltoá Méjico, donde na se hallagcaeral algunaque ta libertad que las lucés del siglo redaman , y de que sietrfpre ha .quterti jSbttctse al ítettte dé las tropas pero él general Aragd, nues Sido digna la nación española por su amor y lealtad á sús Reyes, tro compatriota! ha aceptada el manda del ejército, y se espera que y poí los sacrificios que ha hecho á favor de la independencia pro se córten lo* progresos de la insurrección, • pia y la legitimidad dé! tfOno? La Reina Gobefn…</t>
  </si>
  <si>
    <t>Aragón</t>
  </si>
  <si>
    <t>…e Diciembre. x Los facciosos de Vizcaya unidos á los de Guipúzcoa, reducidos todos á| La fidelísima ciudad de Borja, una de las de voto en Cortes en el reino de unos 10 hombres, se dirigían el 4 del corriente á Oñate, huyendo del general [ Aragón, dió cumplimiento al Real decreto que manda proclamar á Doña Isa- Valdés, que los había arrojado de la primera de aquellas provincias, y los per bul ii con toda la solemnidad que era de esperar de sus leales habitantes. En seguía vivamente. la mañana del 9 del pasado un repique general de campanas…</t>
  </si>
  <si>
    <t>Aragón, José</t>
  </si>
  <si>
    <t>José Aragón</t>
  </si>
  <si>
    <t>…no quedaba ningún enfermo : desde 20 á 25 D.! Francisco Perez de Lucía : para la alcaldía mayor de Santafé á D. Juan del mismo curó una en Cerecemos del Carrizal, y fallecieron dos; y desde el de Dios Guzman: para la de Agreda á D. José Aragón: para la de Lerma á 21 á 24 del propio mes curó una y falleció otra en Tzbara. D- Juan Víctor Navarro: para la de Antequera á D. Pedro Henrique Monte ro: para el corrcglmicrito de Cuenca á D. Antonio Lafuentc: para el de Alcaere á D. Pinta león iVitini: para el de Barbastro á D. Anselmo Baquedano:…</t>
  </si>
  <si>
    <t>Araktcheiew</t>
  </si>
  <si>
    <t>…las viudas y huér * París 7 dt Junio. ' fanos de los maestros pobres de su arte. S. M. la Reina Gobernadora ha sabi do con satisfacción particular este rasgo de beneficencia, y se ha servida man Por disposición testamentaria del general Araktcheiew se han depositado dar se publique en la Gaceta. en el banco de S. Petersburgo 50$ rublos, que permanecerán allí 93 años, acu mulándose los intereses dé los intereses sin que se toque á ellos. Diez años an tes de cumplir el plazo señalado, es decir en 191*5, abrirá la academia de San La Gaceta de Fr…</t>
  </si>
  <si>
    <t>Aralgunos</t>
  </si>
  <si>
    <t>…invadir á Castilla, atravesando de nuevo el Ebro por el vado hubiesen llegado los rebeldes. de Revenga, á pesar de la altura de las aguas, que les ocasionó la.pérdida de «Terminada esta operación ó atrojados de Castilla, lleva el brigadier Aralgunos hombres. Igualmente constan á V. E. mis disposiciones para averiguar nar la órden de atender á las Merindades y Encartaciones, ohrando en combi la situación de los rebeldes; y que la columna al mando del 2.° comandante nación con la 3.* brigada del mando del coronel Quintam. También he dj-io de Bor…</t>
  </si>
  <si>
    <t>Aramburu</t>
  </si>
  <si>
    <t>…ticos de la provincia de Ca tama rea pre Nájera. (el alcalde mayor y ayuntamiento de) sentan mal aspecto. Su gobernador D. Felipe Figueroa ha juntado tropas para Noya.' (el ayuntamiento de) destruir el gobierno, y de otro lado el general Aramburu iba á oponerse á Fi Peñaranda de Bracamonte. (el alcalde mayor y ayuntamiento de) gueroa con la milicia que tenia á su disposición. El Sr. Heredia, gobernador Pedro Manrique y los 25 pueblos de su jurisdicción, (el ayuntamiento de) de Tucuman, trató de conciliar á estos dos rivales de intenciones t…</t>
  </si>
  <si>
    <t>Araña</t>
  </si>
  <si>
    <t>…, con el objeto de circuir el terreno en que se hallaban la que estaba mezclada con cloruro de sodium, á fin de neutralizar las emanacio diputación y los batallones de Aguirrc, Ibarzabal y Urrejola y el comandante nes maléficas. general Araña, cortándoles toda retirada: operación que no tuvo completo re En aquel momento mismo se daba parte á la autoridad de que en el pozo sultado, porque avisados, y viéndose perdidos, la juma se escapó por cerca de de una casa situada en la calle de S. Honorato, núm. 63 , se ocultaba un ca Zunguruza hac…</t>
  </si>
  <si>
    <t>Arana, Francisco</t>
  </si>
  <si>
    <t>Francisco Arana</t>
  </si>
  <si>
    <t>…agaray, teniente de cor que continuarán las explicaciones. (D, de Paris.) regidor de esta villa, refrendada del escribano Sank y BaVea, que en el preciso y pe rentorio término de 30 días lo verifiquen al síndico de dicho concurso D. Francisco Arana, que vive en la Caba baja, núm. 21, cuarto principal, con los documentos jus ------El príncipe de Talleyrand llegó ayer á esta capital: apenas se habia apear tificativosrará perjuicioqiie califiquen sus respectivos créditos; prevenidos que de no hacerlo les pa do, cuando un.ayudante de campo del Re…</t>
  </si>
  <si>
    <t>Aranalde, José</t>
  </si>
  <si>
    <t>José Aranalde</t>
  </si>
  <si>
    <t>…Dios guarde á V. S. muchos años. .Avila 2V de Febrero de 1834-=José ^ nombrando ministro de Hacienda en propiedad á D. José de Iroáz. (AfOJ López Requena.=Sr. corregidor de esta ciudad. J___ nombrando director general de Rentas á D. José Aranalde. (Z¿&gt; I __ suprimiendo, jos empleos de direqtof y mayor general de ja Real Axmada l y )j junta de góbiefno de iii , y creando una Real jimia superior de gobicr- | Partes recibidos en la secretaría de Estado-y del Despacho de la Guerra. no y administración de la Reaj Arpiada, (¿i.) : á ‘ 1 El comanda…</t>
  </si>
  <si>
    <t>Aranalde, Josef</t>
  </si>
  <si>
    <t>Josef Aranalde</t>
  </si>
  <si>
    <t>…beranía-, cuyo depósito la está encargado: no ignora el uso de ellos que En consideración á, los buenos servicies y al zelo y lealtad que ha manifes han hecho sus ¡augustos predecesores en circunstancias menos imperio£is.que tado D. Josef Aranalde durante el tiempo que ha despachado interinamente ej las presentes, y por hechos que nd.presentaban la gravedad , el escándalo ni las ministerio deHaéíendá, lie venido en conferirle, á nombre de mi muy amada consecuencias pata -la Religión -y el Estado, de k» que desgraciadamente se Hija 'Doña Isax…</t>
  </si>
  <si>
    <t>Aranda</t>
  </si>
  <si>
    <t>Gaceta de Madrid n.º 159 · suplemento</t>
  </si>
  <si>
    <t>…ación resulto lo siguiente; Sres. Santafé 3o v»aos; Aranda presidencia del seSor rosada. 38;Caio Manuel 26; Espinardo 11; Atocha 12: Redondo 2"'; Giraldo 4. Se abrió la sesión á las once y cuarto. Por consiguiente quedó electo el Sr. Aranda, v a&gt;mo los Sre*. marques de Se presentó á la resolución del Estamento el dictamen de la comisión de Ebpí nardo v G« raido no reunieron mas de 11 votos, qu ron excluidos de la Poderes, relativo á los del Sr. Lasanta , que la referida comisión hallaba ar subsiguiente votación en virtud del articulo…</t>
  </si>
  <si>
    <t>Arando, L Rodrigo</t>
  </si>
  <si>
    <t>L Rodrigo Arando</t>
  </si>
  <si>
    <t>…ma sanoiomqtie clpoder Sr. Vf. Juan Manuel Subrié. sea tan interesado como el «pueblo en la conservación del pacto fundamental; y Sr. Marques de Falces. qutf^&amp; facciones 1)0 pueHcO atacar:!) dignidad Real sin atacar al mismo tiem Sr. L&gt;. Rodrigo Arando po et acta donstitutiva de nuestras libertades , del mismo modo que el trono Sr« D. Francisco de Paula Serrano. no ludria atentar ;c£&gt;ntra la$ Carta rila atentar contra svk mismos derechos1.' / «Los hechos comprueban la teoría. ¿Qué hacemos hace tres años? Defen der la Carta. La hemos defendido éot…</t>
  </si>
  <si>
    <t>Arango</t>
  </si>
  <si>
    <t>…mos presentado, y que yo El Sr. Galiano deshizo varias equivocaciones que manifestó haber pade no dudo que el Estamento tomará en consideración.” cido el Sr. Secretario del Despacho de Hacienda. Este no tuvo á bien el hacerlo. El Sr. Arango pidió se preguntase si el asunto estaba suficientemente dis Después de leído el articulo 6-° en la forma que habla sido aprobado por cutido. Se originó con este motivo up corto, pero vivo, debate, en que toma jel Estamento de ilustres Próceres (Véase el Suplemento á la Gaceta del do ron parte vario…</t>
  </si>
  <si>
    <t>…presentantes del pueblo, atamos aquí para sostener sus el voto de este Sr. y el de otros Sres. Procuradores había sido contrario á la derechos y libertad: es menester, pues, que' en las discusiones se observe lo que propuesta del Sr. Arango. dice la proposición, para que no vengamos á ser coartados en la manifestación Se dió cuenta de1 una memoria de D. Rafael Castañeda,.comandante de de nuestras opiniones por un partido cualquiera. No digo que estemos en ese Urbanos, en que hace varias-observación» sobre la ley de Milicia urbana caso;…</t>
  </si>
  <si>
    <t>…se asi, y después en e^al reconocimiento público, no tendremos otro premio que darle que colocar la discusión por artículos se harán las modificaciones qué el Estamento acuerde.” á sudado á sus ehetnigo» ó á süs verdtrgpsf---- El Sr. Arango se levantó para hablar; y dudando qué era lo que se iba á «Pensemos, señores, detenidamente el triste resultado que esto debería discutir, el Sr. Presidente dijo: «El proyecto del Gobierno es el que está se»- producir. La desconfianza, eí ¿«gusto, lo que es peor, cl'petigro de los leales, fialado p…</t>
  </si>
  <si>
    <t>…ta do la w*ion de 10 do ra que tocar á las leyes. La Francia lleva muchos años de esta institución, na Setiembre, en que se acordó por el Estamento. cida desde el año de 80 y modificada.succsivameatc. y todavía están dando nue MI Sr. Arango: «Yo siento que nos entretengamos en una cuestión* vas deposiciones y decretos. Volúmenes forman los que hay sobre el arreglo de voces; pero no puedo menos de conocer los inconvenientes que este juego de Ja misma, sin que tenga nada de extraño , porque las leyes no nacen desde voces ha producido an…</t>
  </si>
  <si>
    <t>…lct coa otros dos batallones ciudad , de rigoroso uniforme, y el cuerpo diplomático extrangero-: dirigiendo de la Reina de infantería, y un escuadrón de carabineros de costas y fronteras. el baile ocho caballetas escogidos por el Sr. Arango, quienes desempeñaron es El ejército sigue observando la conducta mas recomendable y una disciplina te encargo con suma urbanidad y delicadeza. Los adornos de los salones y la admirable , sin haber ocurrido baja alguna en la fuerza efectiva , y solo l* do brillantez con que estaban iluminados eran…</t>
  </si>
  <si>
    <t>29/12/1834</t>
  </si>
  <si>
    <t>Gaceta de Madrid n.º 319 · suplemento</t>
  </si>
  <si>
    <t>…cerse todas tafr reformas y economías posi caciones. .jÉ3 bles , sin que prodaaeatn ninguna mala consecuencia. ^ «Soy También bastante nuevo,,en el ramo, porque ha estado segregado de «Lo momo digo con respeto á la indicación del Sr. Arango, relativa á ministerio de la Guerra desde el año 24; y como por otra parte es bien no los -sobresueldos que cobran losgefe» de la guardia Real desde capitan para ar torio que todos los reglamentos se han abandonado las mas veces, no podrí riba., repitiendo que en tales reducciones se podrá entrar s…</t>
  </si>
  <si>
    <t>Arango, Anastasio Carrillo y</t>
  </si>
  <si>
    <t>Anastasio Carrillo y Arango</t>
  </si>
  <si>
    <t>…muchas tropas de refresco, y él mismo va ahora á juntár Excmo. Sr. presidente, gobernador y espitan general.=Excmo. Sr. Don sele con una escuadra para ayudar con su consejo y experiencia á la pacifica José Ricardo O-Firrill ==Sr. D. Anastasio Carrillo y Arango, alcalde ordinación de Siria. Hoy se ha verificado su salida del puerto, acompañado del coro ri&lt;i.=:Conde de Santoven¡a.=Coronel D. Francisco de Verlasco.zrPrior del con nel Campbell, cónsul general de Inglaterra, y se dice que Ibrahim-bajá está vento de Santo Domingo.=:D. Joaquín Gomez.=D. Narciso…</t>
  </si>
  <si>
    <t>Arango, Andrés</t>
  </si>
  <si>
    <t>Andrés Arango</t>
  </si>
  <si>
    <t>…l desacierto de abandonar pna de las garantías de la elección de la provincia de la Habana que ha recaído en los Sres. D. J uan del órden. No quiero decir con esto qup estemos en el caso que los ingleses, ni Montalvo y Castillo y D. Andrés Arango; y la de la provincia de Puerto ¡que podamos dar este paso agigantado; par el contrario croo que escandalizaré; Príncipe verificada en favor del Sr. D. José Serapio Mojarrieta, á muchos, y que causaría la ruina de infinitas familias en el estado en que nos La comisión del presupuesto de la casa Rea…</t>
  </si>
  <si>
    <t>Gaceta de Madrid n.º 257 · suplemento</t>
  </si>
  <si>
    <t>…in duda por un error involun Esde aposento de Madridque se-verificaron es deuda con ínteres, y arfo* tario. , capitales se entregaron al crédito público con arreglo á I» drenen» que npm Lo taimo opinaba con respecto í los del Sr. D. Andrés Arango, elec en dicha época. ' to Procurador por I* Habana, de cuya elección constaba per él acta.pero que Art- 3.° Igualmente re declaran legítimas la» campea» j «anta debiera</t>
  </si>
  <si>
    <t>Arango, D Anastasio Carrillo y</t>
  </si>
  <si>
    <t>D Anastasio Carrillo y Arango</t>
  </si>
  <si>
    <t>…ijo muchas tropas de refresco, y él mismo va ahora á juntár Excmo. Sr. presidente, gobernador y espitan general.=Excmo. Sr. Don sele con una escuadra para ayudar con su consejo y experiencia á la pacifica José Ricardo O-Firrill ==Sr. D. Anastasio Carrillo y Arango, alcalde ordinación de Siria. Hoy se ha verificado su salida del puerto, acompañado del coro ri&lt;i.=:Conde de Santoven¡a.=Coronel D. Francisco de Verlasco.zrPrior del con nel Campbell, cónsul general de Inglaterra, y se dice que Ibrahim-bajá está vento de Santo Domingo.=:D. Joaquín Gomez.=D. Narciso…</t>
  </si>
  <si>
    <t>Arango, D Andrés</t>
  </si>
  <si>
    <t>D Andrés Arango</t>
  </si>
  <si>
    <t>…ho sin duda por un error involun Esde aposento de Madridque se-verificaron es deuda con ínteres, y arfo* tario. , capitales se entregaron al crédito público con arreglo á I» drenen» que npm Lo taimo opinaba con respecto í los del Sr. D. Andrés Arango, elec en dicha época. ' to Procurador por I* Habana, de cuya elección constaba per él acta.pero que Art- 3.° Igualmente re declaran legítimas la» campea» j «anta debiera</t>
  </si>
  <si>
    <t>Arango, D Francisco</t>
  </si>
  <si>
    <t>D Francisco Arango</t>
  </si>
  <si>
    <t>…rar aquellos bienes como libres y desvinculados para usar Se dió cuenta de un oficio del Sr. Secretario de lo Interior en que comn- de ellos como le pareciese; que es lo que se concede 4 ios que cumplan con ri¡calla que el Excmo. Sr. D. Francisco Arango , Prócer del Reino, había so él reintegró, en virtud de la ley que se está discutiendo.” licitado de S. M. se le eximiese de la presentación al Estamento por el tiem El Sr, Secretario del Despacho de Gracia y Justicia, tomando la palabra po que durase su comisión en la isla de Cuba, 4 que se había…</t>
  </si>
  <si>
    <t>…o l* do brillantez con que estaban iluminados eran en verdad sorprendentes. muy pocos enfermos en la disponible. No nos acordamos de haber visto en la Habana $araovde tanta suntuosidad; y nos complacemos en afirmar que el Eterno. Sr. D. Francisco Arango, tan digno de las alabanzas de los habaneros por su constante solicitud en favor del país que se gloría de contarle entre sus hijos predilectos , ha dado nuevo moti ANUNCIOS. vo en esta notable ocasión al buen concepto que merece á sus compatriotas, y hecho inequívoca ostentación de los principios…</t>
  </si>
  <si>
    <t>Arango, Francisco</t>
  </si>
  <si>
    <t>Francisco Arango</t>
  </si>
  <si>
    <t>…Estado; conde de Cartagena, teniente general de los no Liñan, obis|&gt;o electo de Teruel; marques de Jura Real; D. Justo Reales ejércitos, capitán general de Galicia; marques de Moni ayo, María lbar Navarro, del Consejo de Estado; D. Francisco Arango, teniente general de los Reales ejércitos,-capitán general, de Castilla individuo del suprimido Gvnsejo de Indias; conde de VillanueVa. la Vieja; D. Francisco Javier Caro, del Consejo de Gobierno; Don intendente de la Habana; marques de la Candelaria de Yara rabo; Joaqoin López Sicilia, arzobispo d…</t>
  </si>
  <si>
    <t>…aquellos bienes como libres y desvinculados para usar Se dió cuenta de un oficio del Sr. Secretario de lo Interior en que comn- de ellos como le pareciese; que es lo que se concede 4 ios que cumplan con ri¡calla que el Excmo. Sr. D. Francisco Arango , Prócer del Reino, había so él reintegró, en virtud de la ley que se está discutiendo.” licitado de S. M. se le eximiese de la presentación al Estamento por el tiem El Sr, Secretario del Despacho de Gracia y Justicia, tomando la palabra po que durase su comisión en la isla de Cuba, 4 que se había…</t>
  </si>
  <si>
    <t>…do brillantez con que estaban iluminados eran en verdad sorprendentes. muy pocos enfermos en la disponible. No nos acordamos de haber visto en la Habana $araovde tanta suntuosidad; y nos complacemos en afirmar que el Eterno. Sr. D. Francisco Arango, tan digno de las alabanzas de los habaneros por su constante solicitud en favor del país que se gloría de contarle entre sus hijos predilectos , ha dado nuevo moti ANUNCIOS. vo en esta notable ocasión al buen concepto que merece á sus compatriotas, y hecho inequívoca ostentación de los principios…</t>
  </si>
  <si>
    <t>Arango, José</t>
  </si>
  <si>
    <t>José Arango</t>
  </si>
  <si>
    <t>…che y las malezas del terreno para ta del regidor alférez Real D. Juan de Dios Gómez, la del Sr. comandante fugarse, dejando en poder de la columna de Santoña 21 prisioneros, 25 fusi del resguardo, la del Sr. intendente honorario D. José Arango, la del cura les y dos cajas de municiones. párroco D. Manuel Francisco García, la de O. Félix Pujadas, la de Ü. Luis Terminada esta expedición supo Aznar que los sublevados proyectában una López Yillavicencio, 3a del Sr. D. Luis Shoemaker, cónsul de los Estados- reunión general .entre La Nestosa y…</t>
  </si>
  <si>
    <t>Aranjuez</t>
  </si>
  <si>
    <t>…i ijp. GACETA DE MADRID. ARTICULO DE OFICIO. cepciones en él expresadas. Tendréislo entendido, y dispondréis lo necesario á su cumplí mi ento.=Está rubricado de la Real mano,=En La Reina nuestra Señora Doña Isabel ii, y S. M. la Reina Aranjuez á 20 de Mayo de 18,34.=A D. Francisco Martínez de ia Gobernadora, siguen en el Real sitio de Aranjuez sin novedad Rosa, Presidente de mi Consejo de Ministros. en su imjiortanie salud. MINISTERIO DEL INTERIOR. Del m ismo beneficio disfrutan SS, A A. RR. los Sermos, Se Reales órdenes. ñores Infantes.…</t>
  </si>
  <si>
    <t>Araño, Me</t>
  </si>
  <si>
    <t>Me Araño</t>
  </si>
  <si>
    <t>…exposición del Sr. D. Agustín Alvarez de Sotomayor. {Véase la se El Sr. Presidente di jo • «'Pasado mañana lunes se reunirá el Estamento sión de ayer.') con el objeto de oir la memoria que presentará el Sr. Secretario del Dc&gt;paEl Sr. Me Araño: «La comisión tiene poco que añadir á lo que expone_ .cho de Oficia y Justicia, por lo" TcUinvcTaT ministerio de su cargo , á las diex en IU dictamen: es una cuestión puramente reglamentaria. No se trata de cali de la mañana. Mañana no habrá se»ion: las comisiones podrán aprovecharse de ficar los d…</t>
  </si>
  <si>
    <t>Araoz</t>
  </si>
  <si>
    <t>…al dé Castilla la Vieja en 22 del actual traslada á este gase el.-batalLon avanzado del Príncipe al punto de Beustus: mas al empreña ministerio el parte que con fecha del dia anterior fe dió desdé Soncillo el der su movimiento el comandante Araoz, los enemigos que se mantenían en marques de Campoverde, coronel del provincial de Granada, cuyo tenor es las inmediaciones, cobraron osadía, y vinieron á la carga sobre dicho batallón el siguiente: «Excmo. Sr.: Ésta tarde a las tres, he logrado alcanzar al cabe hasta la mitad del monte que se deja…</t>
  </si>
  <si>
    <t>Araoz, D JS-amon</t>
  </si>
  <si>
    <t>D JS-amon Araoz</t>
  </si>
  <si>
    <t>…yle con 33 se encaminaba á Peñacerrada y los demas pasos regimiento -del Príncipe á ocupar dicha altura, lo que ejecutó haciendo que de la sierra á donde aquel se dirigía en su retirada. avanzase su segundo, batallón al mando del comandante D. JS-amon Araoz, # á .sostener las cómpa&amp;ías de. .cazadores. que se habian adelantado , batiéndose El. brigadier Obregon, desde Si Leonardo, con fecha 14 del corriente par contra fuerzas muy -.superiores hasta .el monte de Gallarraga. El enemigo ticipa al capitán general de Castilla que habiendo perseguido con mov…</t>
  </si>
  <si>
    <t>Araoz, JS-amon</t>
  </si>
  <si>
    <t>JS-amon Araoz</t>
  </si>
  <si>
    <t>…se encaminaba á Peñacerrada y los demas pasos regimiento -del Príncipe á ocupar dicha altura, lo que ejecutó haciendo que de la sierra á donde aquel se dirigía en su retirada. avanzase su segundo, batallón al mando del comandante D. JS-amon Araoz, # á .sostener las cómpa&amp;ías de. .cazadores. que se habian adelantado , batiéndose El. brigadier Obregon, desde Si Leonardo, con fecha 14 del corriente par contra fuerzas muy -.superiores hasta .el monte de Gallarraga. El enemigo ticipa al capitán general de Castilla que habiendo perseguido con mov…</t>
  </si>
  <si>
    <t>Araujo, Amonio</t>
  </si>
  <si>
    <t>Amonio Araujo</t>
  </si>
  <si>
    <t>…logrado este beneficio. St&gt;lo á Zalamea se comunicó el contagio por providen- Manuel Magniller. Fueron examinados de aritmética D- Andrés de Castro, cras de aquella ciudad que oportunamente se ha destruido ¿ b neficio de medidas D. Amonio Araujo , D. Juan de Cosío, D. Nicolás Mena, D. Pedro Tajonetamurias, aislando el mal en su origen, de que V- t. tiene cumplido conoci ra, D. Eduardo Valle, D. José María A bel la, D. Anacido Martí, D. Ma miento. En dos pueblos ma* de la provincia se han presentada uno ó dos casos nuel Fuertes , D. Joaquín…</t>
  </si>
  <si>
    <t>Araujo, Gervasio</t>
  </si>
  <si>
    <t>Gervasio Araujo</t>
  </si>
  <si>
    <t>…amo, su mejor manejo y administración. Las dos subdelegacio món Tajoncra;-en trigonometría plana D. Angel Hernández, D. Miguel nes que había en esta establecidas en Ay amonte y dracena han quedado las Rúa , D. Francisco Villamil, D. Gervasio Araujo, y dichos D. Pablo Carcamismas, con la diferencia que desde l.° del corriente cada una ha de adminis fio, D. Andrés de Castro, D. Pedro y D. Robustiano Pequeño, D. José Sán trar á los pueblos de los partidos judiciales establecidos últimamente , y quitada- chez y D.. Ramón Tajonera; en trigonometrí…</t>
  </si>
  <si>
    <t>Araujo, Luis de Mata y</t>
  </si>
  <si>
    <t>Luis de Mata y Araujo</t>
  </si>
  <si>
    <t>…ario de Es principiaste, dispuesto sobre el que compuso en lengua portuguesa el R. V. Fr. Die tado y del Despacho de la Guerra. go de Mello y Meneses, profesor de lengua latina en Lisboa« variado y aumentado considerablemente por D. Luis de Mata y Araujo, catedrático de latinidad y retórica, é individuo examinador de la Real academia latina. Are. Quinta edición que contiene El general 2.° cabo de Extremadura en 13 del presente mes avisa £ este mi- 4 mas el epitome de Ja parte de retórica llamada elocueion ó conocimiento de tropos nisterio que la fa…</t>
  </si>
  <si>
    <t>Arbizu, Clémcrite</t>
  </si>
  <si>
    <t>Clémcrite Arbizu</t>
  </si>
  <si>
    <t>…nta á D. Benito del Rio, miembro de la junta (1), fueron muertos en su dUJsasQ anatscimonto. i . — fuga, y hechos pri^iorierOs el pagador D. Manuel Barrena, el/recaudador de -&gt;}'■ ■ -1 ■'v ^ ;.................... rentas decimales D. Clémcrite Arbizu, D. Angel La rumbe, D, Martín Ortiz Art 1? Abrirá la maVcha una partida de caballería. Seguirán cuatro pa- de Piriedo, vecino dé Madrid, D. Juan Bautista. Dombrazas*, hijo del titula— lafrvneros'y los lacayos con el banquillo para que S. M. F. bajé riel coche. 'ÍA 'Sfegdirín los másicoi-dc las'Kcii…</t>
  </si>
  <si>
    <t>Arbizu, José María</t>
  </si>
  <si>
    <t>José María Arbizu</t>
  </si>
  <si>
    <t>…n , ¿qué mas podemos desear sino la conservación de la ¿arta? Este Un sugeto que no ha querido dar su nombre...................................... 32o es el gobiernd que con tanto placer se prometían nuestros padres en los glorio D. José María Arbizu............................. 500 sos diside 1^89! Q&gt;curccido entre, las sangrientas orgias de 1793 , sofocado Sra. viuda de Teran é hijos. . ............................................................... 320 bajo espeso del despotismo impefiál, lo hemos descubierto completamente en D- José Manuel de Torre.....................…</t>
  </si>
  <si>
    <t>Arcaya, D Manuel María Parts de Setiembre</t>
  </si>
  <si>
    <t>D Manuel María Parts de Setiembre Arcaya</t>
  </si>
  <si>
    <t>…por el brigadier gefe de la 1.a brigada barón de Meer, y era la que debía envolver la derecha del enemigo, al mismo tiempo que formaba nuestra reserva: la 4*a se componía de las com pañías de carabineros á las órdenes del segundo comandante D. Manuel María Parts 28 de Setiembre. Arcaya, desplegada en guerrillas al frente las otras. «Con gritos descompasados pretendió la multitud facciosa situada á nues Lonja de ayer. Cinco por 100 consolidados 104 fir. 95 c. Fondos espa tro frente arredrar el denuedo de nuestros valientes; pero despreciados y hecha ñoles: renta de España al 3 por…</t>
  </si>
  <si>
    <t>Arcaya, Manuel María Parts de Setiembre</t>
  </si>
  <si>
    <t>Manuel María Parts de Setiembre Arcaya</t>
  </si>
  <si>
    <t>…adier gefe de la 1.a brigada barón de Meer, y era la que debía envolver la derecha del enemigo, al mismo tiempo que formaba nuestra reserva: la 4*a se componía de las com pañías de carabineros á las órdenes del segundo comandante D. Manuel María Parts 28 de Setiembre. Arcaya, desplegada en guerrillas al frente las otras. «Con gritos descompasados pretendió la multitud facciosa situada á nues Lonja de ayer. Cinco por 100 consolidados 104 fir. 95 c. Fondos espa tro frente arredrar el denuedo de nuestros valientes; pero despreciados y hecha ñoles: renta de España al 3 por…</t>
  </si>
  <si>
    <t>Arcedo, León</t>
  </si>
  <si>
    <t>León Arcedo</t>
  </si>
  <si>
    <t>…, se ve a esfo» vecu*» en un ci&gt;nt.i'uo m&lt;-&gt; i.n.c* 'o, que si bien neccwno hda que lo» urbanos de caballería hicieron en 11 de Noviembre ai .mando de por la multiUid de rado&gt; que tiene el no en la extensión de cualio leguas, no ’D. León Arcedo ; la oferta que hizo entonces la compañía de infante» de acom- por eso dejj de ser digno del mayor eiogio. ■ c-v.-.—^ v -- • -!-!</t>
  </si>
  <si>
    <t>Arcos</t>
  </si>
  <si>
    <t>…da la cortesa-' con las denlas columnas que operan contra jas bandas de Merino. nía del prelado que ta habita. También ha visto loa de Twíckenham j Richmond, f la casa recientemente comprada'por Sir G* Pocock, que un -tiempo . El coronel Arcos desda Santo Domingo de 1» Calzada con fecha del 29</t>
  </si>
  <si>
    <t>Arcos, Nicolás Pulido</t>
  </si>
  <si>
    <t>Nicolás Pulido Arcos</t>
  </si>
  <si>
    <t>22/10/1834</t>
  </si>
  <si>
    <t>Gaceta de Madrid n.º 250</t>
  </si>
  <si>
    <t>…randes empleados del imperio, deseando que todos los petsonages noríficas , y se hizo en la forma siguiente. presentes tratasen á los príncipes con la distinción debida á su clase. Los bo Sala de modelos de yeso. Primer premio: á D. Nicolás Pulido Arcos, por yardos de la comitiva de los hospodares fueron admitidos á su vez á la presen el Germánico de espaldas, cuadro núm. 3. Segundo; á D. Ramón Garzón, cia del Gran Señor, y recibieron muchos testimonios de su benevolencia. Al por la cabeza de Laoocon, núm. 4Ó. salir los Príncipes de la audiencia t…</t>
  </si>
  <si>
    <t>Arcüc</t>
  </si>
  <si>
    <t>…la suer de tener 129 reales de renta anual, y considera que esa es bastante para pro te: el Estaménto debe gloriarse de tener en su seno individuo tan benemérito; porcionar la independencia requerida. Pues si se demuestra que el Sr. Arcüc— lo abandono en la confianza de que pronto será admitido, y tendré la dulce lies tiene esa renta anual, ¡qué hay que dudar? El Estatuto Real dice qua satisfacción de sentarme al lado de tan digno compañero.” tenga renta propia, y no dice que tenga renta emanada de bienej propios; de El Sr. López: «…</t>
  </si>
  <si>
    <t>Ardtigo</t>
  </si>
  <si>
    <t>…de la guerra, la comisión; pero que á. pesar dé eso insótia en que el por su parte no tendría no sobran los oficiales que sobrarían en tiempo de paz.” incon^nfcnte en que se votase desde luego, previa U anterior manifestación. El Sr. Ardtigo: «Yo echo menos en ei informe de la comisión ciertas in El Sr. Trucha expuso que comq Secretario del Estamento podia atestiguar dicaciones que avanzarían las reformas que nos proponemos;, que La mesa había publicado en efecto la votación. «Entre otras, noto que no ha hablado de la desproporción que…</t>
  </si>
  <si>
    <t>Árellanoj</t>
  </si>
  <si>
    <t>…uarse, rae participa que guientes: noticioso á su llegada á aquél punto de que una partida de aduanero* manda- . Art, i.® «El matrimonio propuesto por Si M. I. el Duque de Briagapza, da ’por-los titulados teniente coronel Plaza y capitán Árellanoj que tanto* 'consentido y confirmado por S. AL la Reina dé Portugal y de los Algarves, perjuicios causalxtn obstruyendo comunicaciones, asesinando á-cuaüla* personas Doña María ti, entre la misma augusta Señora y S. A. R. el Príncipe Aut deambos sexos se dirigían á plintos fortificados, y cometiendo…</t>
  </si>
  <si>
    <t>Argaiz, Pedro Alcántara</t>
  </si>
  <si>
    <t>Pedro Alcántara Argaiz</t>
  </si>
  <si>
    <t>…el Consejo de Gobierno y del de Ministros, dad provino del gran calor que hacia y la violencia del viento nordeste que so* reconocer el nuevo Estado de Bélgica; se ha dignado S. M. nombrar piaba el domingo. (Diario de Aramur.') á D. Pedro Alcántara Argaiz para que pase á la corte de Bruselas, en calidad de encargado de Negocios, cerca de S. M. el Rey Leo 1VC1ATERRA. poldo. Portjmovth 24 de Junio. El almirante &gt;íapier ha llegado esta mañana í las ocho en la Braganzat La Reina Gobernadora por Real decreto de 24 de Junio próxi fragata cogida á la escua…</t>
  </si>
  <si>
    <t>Arganda, XX Saturnino Albuin Dio e</t>
  </si>
  <si>
    <t>XX Saturnino Albuin Dio e Arganda</t>
  </si>
  <si>
    <t>…es todavía no han regresado , pudiendo ase gurar á V. E. que por ahora ha quedado todo esto tranquilo , excepto lo de la El gobernador civil mañiéestá que la enfermedad que aflige el pueblo de sierra', en cuya persecución anda el coronel XX Saturnino Albuin. Dio* &amp;e&gt;” Arganda causaba.graves. estragos; quq había dictado varias providencias para auxiliar £ dicha población; que en otros pueblo; de la provincia se babijin aianifestado caso# sospechoso! . y. concluye acompañando el si guien» Extracto del parte remitido por el gobernador civil de la provincia do Pattrtumitari…</t>
  </si>
  <si>
    <t>ArgCfrlles</t>
  </si>
  <si>
    <t>…sión, repetidas, explicadas y estudiada» por el Sr. Mcdrano, sea Sr. Ai'giielles en lo sucesivo fuese grav.,do con la contribución de frotas civi rechazado «1 Sr. D. Agustín Arguelles, r no dudo sjuc este ocupará en el Es les. El Sr. ArgCfrlles dt*fruJa esta renta, v de ella puede disponer , porque la h* tamento el digno lugar qne le cortcsponde." adquirido por uno de los medio* leoíómos que establecer la ley , cual es La do El Sr. Medrana: «No me esforzaré en probar la posición desventajosa en nación, lan legitimo como el de la coanpu: d…</t>
  </si>
  <si>
    <t>Argflellre</t>
  </si>
  <si>
    <t>El Sr. SacMOrio del Despacho de Haciende mnifeti que habtfadnee y* El Sr. Argflellre rogó al Sr. Montevírgen retirase su moción, exponien tratado el asunto referido con mucha detención en ambos Estamentos, y sien do que en la disensión podrían explayarse las razones que tenia la comisión pa do notorio lo urgente de sil resolución, podia eviurse el pase del ful”™1» i b ra presentar…</t>
  </si>
  <si>
    <t>Argíiclles</t>
  </si>
  <si>
    <t>…ron ha producido funestos efectos 4 nuestro crédito; y el Sr. Secre comisión , me impide entrar de lleno en él, por lo que solo diré que la opi tario ¿e Hacienda ha manifestado haberse remediado en parte, tanto por la re nión del Sr. Argíiclles en evte punto era no cerrar la puerta 4 las reclamacio solución del Estamento de Proceres, cuanto por la modificación del art. 6 o nes de los interesados que hubiesen dado cantidades,-‘pues lo de que se trata es del proyecto. Permítame S. S. que yo no adopte el tanto, y dé todo su valor la nulidad…</t>
  </si>
  <si>
    <t>Argíídlés</t>
  </si>
  <si>
    <t>…, porque parece ageno del Gobierno el que sea él quien haga su «K1 Gobierno actual no ignora estos hechos, que con su acostumbrada propia apología; pero debo decir que cabalmente ha sido en este.punto el mi erudición haicitadó el Sr. Argíídlés; pero bién examinados, no hay ninguno nisterio tan ssvero , que principió por suprimir el ministro que había en aque-r de ellos*'que-tenga una"completa analogía con nuestra actual situación. El Gi&gt;- lia corte con el sueldo de 123 duros, y há nombrado, para encargado en ella bíernof recuérda los süó…</t>
  </si>
  <si>
    <t>Argiielie</t>
  </si>
  <si>
    <t>…sta el Vístula, fue art. 14-dice que para ser Procurador se necesita tener la renta de 128 rv Y rechazado del Congreso de su Nación, en donde hizo un papel tan sobresalien pregunto yo ahora: estos -120 rs. que se hm consignado al Sr. Argiielie*, -á te en todos los que han existido desde el afio 1810, porque no se observaron quien pertenecen5, ¿de quién son propios: ¿quién tiene la propiedad de esta todos los ápices que la comisión se persuade prescribe una ley reglamentaria renta? El Sr. Arguelles. Dice la comisión: «no se sabe si estos…</t>
  </si>
  <si>
    <t>Argiielles</t>
  </si>
  <si>
    <t>.y . . ■ ■ ; .. " ron par* que pueda ser excluido, y mucho menos cuando esto capital se halla mp m&lt; prueba á-mí que es mas qua suficiente para el objeto que.sa pretende afianzado con bienes di consideración. El Sr. Argiielles puede disponer de di— ' encl. Estatuto , pues no cs solo para los tres años que dure la procuración cha renta, y no se le puede dar,;una facilitad mayor que esta , qüé’és' igual á la delSr.'Argüellés ,'dno para toda su vida; Durante esta rio puede ya faltarlo qup tiene cualquier otro propietario. T…</t>
  </si>
  <si>
    <t>…tas en un c'-d g^, ni *u&gt; prácticas parlamentarias en un re tatito mas cuanto que siendo el reglamento por su naturaleza revocable, es sus glamento. ceptible de mejoras y enmiendas según diariamente se presenten, pues e* impo «El Sr. Argiielles ha hecho un elogio del Gobierno, que el ministerio le nible que rengamos la presunción de prevenir todos los casos que pueden ocur agradece, manifestando que se adelantó á prever la necesidad de fijar ciertas rir. Por lo tanto apoyo enteramente la petición que nos ocupa.” ¿ reglas, y las consignó e…</t>
  </si>
  <si>
    <t>…mento. En cuanto al sueldo del capitán del mismo cuerpo, la baso S. M. la Reina en lo que me parece'justo. 6 principio, que debe regir, está ya admitida.” «En primer lugar la base en que ha fundado su Opinión el señor preopi * El Sr. Argiielles manifestó que en este caso estaba conforme. nante noes exacta , porque si S. S, tiene noticia del sueldo que disfrutan en El Sr. Secretario del Despacho de Hacienda: «Añadiré dos palabras á Francia los prefectos y los generales én los términos que ha manifestado, yo lo que ácaba de decir el Sr. Sec…</t>
  </si>
  <si>
    <t>Argiielles, Agustín</t>
  </si>
  <si>
    <t>Agustín Argiielles</t>
  </si>
  <si>
    <t>…o pue El Sr. Acete Jo: «Creo ocioso hablar de Jas virtudes y méritos del señor de resultar ofensa ninguna á la provincia, porque ni la provincia ni el señor F&gt; Agu tin Arguelles, cuyo nombre es tan conocido en el Estamento, en Es D. Agustín Argiielles tienen la culpa de que este carezca de la circunstancia pina y aun en toda Europa, y.superfino mencionar la confianza constJntc que de que se trata. Si acaso hay alguna culpa (permítaseme decirlo) será de los ha mere ido á la provincia desde las inmortales Cortes constituyentes, en que electores, q…</t>
  </si>
  <si>
    <t>…és de lo qué establece que en caso de duda se dicte la decisión mas favorable á la per que los demas Sres. preopinantes han dicho: su nombre solo basta para hacer la sona de que se trata! justicia debida á su mérito. El nombre de D. Agustín Argiielles es europeo, «Si yo viese en el Estatuto Real, como ven algunos, ó en el 35 de la es del mundo entero, y modelo de las virtudes cívicas. De consiguiente excuso ley electoral, menos respetable para mí que el Estatuto Real,¡pues es una extenderme mas sobre este punto, y solo me limitaré i responder al…</t>
  </si>
  <si>
    <t>Argos, Ajó</t>
  </si>
  <si>
    <t>Ajó Argos</t>
  </si>
  <si>
    <t>…la excisa á 763 Jiras; pero es menester acordarse TVauyüa 6 Je Setiembre. de queda 1833 los derechos, cuya abolición recaía sobre la excisa, no debía verificarse riño -en el trimestre del msmo año de 1833 que acabó el 10 de Oc EL Rey Ajó ¿ Argos, su residencia de verano, vino aquí á pasar alga- tubre, era re» dias, y saldrá mañana para trasladarse por Epidaura á Atenas; lili se de- Tejas................ .. 37,008 t*sdt¿5. M. j Ks dins, y visitará después'la R anadia. Lus ministros de la Guer Jabones. .......... 593,08® ra yiAe, lo hacerte…</t>
  </si>
  <si>
    <t>Argoti, Pedro</t>
  </si>
  <si>
    <t>Pedro Argoti</t>
  </si>
  <si>
    <t>…flanco izquierdo: no tardaron los rebeldes en desplegar una numerosa línea valiente capitán D. Antonio Zumeta, la de los tenientes D. Miguel Ibarreta de tiradores sobre nuestros puntos, siendo careado el de la derecha con intre y D. Pedro Argoti, y la del hijo del capitán D. Miguel , de edad de 15 años, pidez por fuerzas considerables y cabal 1ería , Io que le obl.có á ceder la posición, que fue uno de los primeros que entraron en la casa. Este bizarro joven y su aunque después de haber hecho una \igorosa resistencia, haciendo comprar biea…</t>
  </si>
  <si>
    <t>ArgSellfeí, José Carita</t>
  </si>
  <si>
    <t>José Carita ArgSellfeí</t>
  </si>
  <si>
    <t>…-Oónsejo. (Id.) ___ _ nombrando á'.B/PrActlCo Basurto s«r«ario de laseccion de Marinadé] ■■ i Consejo. expresado (Id.) ,' f. .. £ ’ ■ fnmistíóí&gt;de desRwtiebto ■ ’ nombrando ddl mendionido Consejo la sédcíón N CI Ojp. f ) A N Y í! D. José Carita ArgSellfeí, D. JOsfr dé- Hetedi», D* J«*» Jai* Batiqneri - y 1&gt;. Vicente ^ififeWíkriiaO.* (/rfO'-oc ; • y.» j disponiendo se aumente ia fuerza de infantería f caballería del cuerpo de carabineros de costas y fronteras. (Iti.f • ■. ' =—- Obras que se hallan He venta en el despacho de la imprenta Real. ___^ aut…</t>
  </si>
  <si>
    <t>Argtielfes</t>
  </si>
  <si>
    <t>…coostsdoéi ccooómWo-pc£m^ pública, córíiervadora del buen órden .M ífo es pites exacta la medida que .sé!., ¿as, que no son propias de este lugar. quiere aplicar de la,economía familiar ó doméstica á la economía poúbfe en ! v «El Sr. Argtielfes ha sido el último de Iq*i señores quo han impugnado un Estado; porque este tiene ciertos dcberéi indí^peiisables, que obligan áque el dictamen de la comisión éon aquel estilo decoroso quetinto le honrar V $e considere antes la escala de los gastos, que es, la que contiene la primera «Ha empezado S.…</t>
  </si>
  <si>
    <t>Argtielles, Casimiro de Pando</t>
  </si>
  <si>
    <t>Casimiro de Pando Argtielles</t>
  </si>
  <si>
    <t>…rroy de qué iban poseídos. ^ cienda, bástales que se les asegure la libertad civil, y que nadie' La citada columna fue dirigida, como práctico en el terreno, pueda impedirles gozardel fruto de sus afanes. por él teniente retirado D. Casimiro de Pando Argtielles, á quien El voto del impuesto es al mismo tiempo libertad civil y fue recomienda dicho comandante general, asi como al subteniente de ro político. Es libertad civil, porque asegura á los particulares de carabineros D. Pablo Pascual, y á los individuos de tropa el sarque no pagarán mas de lo que sus…</t>
  </si>
  <si>
    <t>ArgublJes</t>
  </si>
  <si>
    <t>…las contri- que se examinaban á la. luz de la razón solo se encontraban ventas y molinos da buciones é impuestos qs una de ellas. Otra: concurrir á la formación de las viento. S. S. con su profunda elocuencia ha convenido con el Sr. ArgublJes en leyes, ¿tía opuesto el reglamento algún obstáculo á esto? Las discusiones sobro un principio, explayándose después en probar su utilidad, culi ei el de.que con* empréstitos extrangeros, las leyes sobre abolición del voto de Santiago , y so viene mucho que los Sres. Secretarios del Despacho pueda…</t>
  </si>
  <si>
    <t>Argue</t>
  </si>
  <si>
    <t>…a, cho de Hacienda ) que el arreglo de la deuda interior tan necesario , tan recla si as¡ puede llamarse, á los acreedores extrangeros á expensas de los del infe mado por las circunstancias, que ha producido tan justo calor en el Sr. Argue rior. No es una suma insignificante lo que debe resultar de la deuda excluida; lles , calor que no puede tener otro origen que el vivo deseo del bien y la ma pero son infinitas las familias que gimen en la miseria por ello, y en medio de yor felicidad de la patria; creía, digo , que este asunto tan…</t>
  </si>
  <si>
    <t>Argüe</t>
  </si>
  <si>
    <t>…s establecimientos que ha citado, deberán también tenerse se cometqn las mayores injusticias, y ha habido administrador, no hace mucho presentes/’ tiempo, que dijo que el dia que quisiera su amp se cerrarían los camines, y que El Sr. Argüe lies: «Mediante ia respuesta que ha dado el Sr. Secretario todo lo que hay allí es de su amo. del Despacho, me veo en la necesidad de apoyar la petición de que se trata. »Asi es que si el administrador quiere abrir un pozo en una tierra mía, Sin embargo no se crea que me satisface solo lo que en el…</t>
  </si>
  <si>
    <t>Argüe.le</t>
  </si>
  <si>
    <t>…solo conrra el espíritu de y aconsejar á S. M. lo que juzgasen conveniente aT b.en del h tad-\ h.u.t en &gt;u p.i:tY. el i'ru'u'.-o de una ficción, slr.o centra las miomas pasiones nobles y Enterre i ó n ; pero el discur.o del señor Diputado Argüe.le», Heno, rruvi c .-ñero-.5 te- f * - -o que pac leu ag’taf i la* asambleas delibe— 16s qué pronuncia S. S., de mérito y sabeT , hace mdispeusab c que ci m:ni&gt;;c- nntM .o» ce.:..» ci hombre necesita para no precipitarse el saludable freno de fio manifieste sus observaciones sobre la materia. Ni podrí…</t>
  </si>
  <si>
    <t>Argüe.le, Diputado</t>
  </si>
  <si>
    <t>Diputado Argüe.le</t>
  </si>
  <si>
    <t>…, no solo conrra el espíritu de y aconsejar á S. M. lo que juzgasen conveniente aT b.en del h tad-\ h.u.t en &gt;u p.i:tY. el i'ru'u'.-o de una ficción, slr.o centra las miomas pasiones nobles y Enterre i ó n ; pero el discur.o del señor Diputado Argüe.le», Heno, rruvi c .-ñero-.5 te- f * - -o que pac leu ag’taf i la* asambleas delibe— 16s qué pronuncia S. S., de mérito y sabeT , hace mdispeusab c que ci m:ni&gt;;c- nntM .o» ce.:..» ci hombre necesita para no precipitarse el saludable freno de fio manifieste sus observaciones sobre la materia. Ni podrí…</t>
  </si>
  <si>
    <t>ArgüeHes, José Canga</t>
  </si>
  <si>
    <t>José Canga ArgüeHes</t>
  </si>
  <si>
    <t>…tica y 26 en racha. Real pendón tres dias á la expectación pública con guardia y centinelas cons tantes de caballeros cadetes; la cual constó en las cuatro noches en que ha are* Diccionario de Hacienda con aplicación k España por D. José Canga ArgüeHes, dido desde tas seis hasta lasüonce de 53 vasos de distintos colores y simétrica ministro del Consejo Real de España é Indias: cuaderno 7.° Se vende en la librería de la viuda de Quiroga. mente colocados, ademas de 100 bombas y varios hachones, todo con mucho SP16 T «legancia , merced al zelo y act…</t>
  </si>
  <si>
    <t>ArgüelIes</t>
  </si>
  <si>
    <t>…ento lo acordaba asi. Hizo ademas leer lo* arts. 88 y 89 á la idea del Sr. Secretario del Despacho de Hacienda, con tanta mas razón, del reglamento. cuanto por algunas expresiones de S. S. en sesiones anteriores podría creerse El Sr.'ArgüelIes manifestó que la comisión mista no habia tenido noti que el Estamento dilataba dar recursos al Gobierno. cia de la intención del señor individuo de ella Carrillo de Albornoz de fundar El Sr. Secretario del Despacho de Hacienda contestó que no había ex por escrito su voto particular, pues entonces h…</t>
  </si>
  <si>
    <t>Arguella</t>
  </si>
  <si>
    <t>…s. Este campo tiene ti es caminos, el hubo una casi unanimidad en la votación. Pqr cohsiguiénte ahora atamos eñ camino de en medio, el de la derecha y el de la izquierda. Aquí no hay más el casó que.indicó ayer mi digno amigo -el Sr. Arguella, de vencer las difi medio que el que divide loa dos extremos, unos que quieren á Isabel ir, y cultades quese presenten en la ejecución de tan itñportante medida. Lo» qué otros qué no. Asi es que sí el éqrro se dispone á marchar, y no Ha de trope tienen alguna experiencia de la marcha que se sigue'…</t>
  </si>
  <si>
    <t>…jarse péfr^a precio dé la fanega á 50 ó 52 rs. Esto prueba, cotilo siempre, que allí, don- petición. , _— je hay cátestíá¿ acude al momento' el interes individual, y proporciona la Declarado el punto suficientemente discutido, el Sr. Arguella pidió se 'sbtináhiéiá: -• votase la petición por parres, si era posible, á cansa de que S. S. se oponía á - ' hPor cóhsigmente el objetado la petición está conseguido; pues no puedo la primera, al paso que aprobaría la segunda. figurarme que séá que de un modo absoluto se cierre la puerta en todos…</t>
  </si>
  <si>
    <t>Arguelle</t>
  </si>
  <si>
    <t>…; porque la falta que S. S. habia notado en el documento de apro »E1 Sr. Galiano empezó por lamentarse dé la falta de asistencia del dig bación, no importa nada; el Monarca no rubricaba mas que los decretos y las no Procurador el Sr. Arguelle?, y todos participamos de ese sentimiento: y yó consultas del Consejo; las resoluciones, por graves que sean, las rubrica un Se mas si cabe que ninguno, porque hubiera deseado admirar la elocuencia de este cretario del Despacho, y en las escritas de su letra ni siquiera las firma, i Y se orador en…</t>
  </si>
  <si>
    <t>Arguellej</t>
  </si>
  <si>
    <t>…an á la hembra dos, á aliviarlo, como lo hace con cuantos males llegan á su noticia. Yo por mi terceras partes de la consignación hecha al varón.” parte estoy íntimamente-convencido de que si S. M. hubiese oido .exactamente el Él Sr. Arguellej: «El Sr. Secretario de Estado ha creido que yo he di estado de sus pueblos, S. M. misma hubiera bechó una rebaja aun mas conside rigido un reproche al Gobierno por haber usado de ejemplos del extrangero rable que nosotras en esa cantidad que se pinta como tan necesaria para el es en vez de tomarlos…</t>
  </si>
  <si>
    <t>Arguelles</t>
  </si>
  <si>
    <t>…servicio, espe de entre todas sus partes el mas intimo enlace y coherencia. cialmente los de estado mayor. Además con respecto á otro Sr. Procurador, No se oculta al Gobierno de S. M., que cualquiera novedad inconsidera que es el Sr. Arguelles, se sabe que estaba en Lóndres , y no es extraño que la da bastaría para acarrearle graves desabrimientos en una materia de suyo delica misma falta de comunicaciones frecuentes por la d.stancia jr otras circunstan da, capaz de herir las costumbres y preocupaciones nacionales; pero sr las leyes cias…</t>
  </si>
  <si>
    <t>…S. M. se opuso, pues, al empréstito de Guebhard, misión en su mayoría , podría con su irresistible elocuencia explanar las razo contraído por las regencias facciosas, y lo declaró de antemano nulo y de nin nes en que se funda. EL Sr. Arguelles, á quien aludo, se halla postrado en ca gún valor. E!s preciso no perder de vista esta circunstancia, asi como la del mo ma; y si bien su indisposición no es tan grave que pueda dar susto á sus ami do con que después fue aprobado. Cuando se aprobó, S. M. se hallaba en un gos, nos privará por dos ó…</t>
  </si>
  <si>
    <t>…Martí, Campillo, Anaya, Crespo Tejada, conde de Atmodóvar, El Sr,- Alcalá Galiano: «Suplicaría i mi colega el Sr. marques de Mon Ciscar y Oriola, Súbercase , Aguirre Solarte, Rómarate, G-aray , Caiñps, San tevírgen que siendo el Sr. Arguelles el encargado de hacer el resúmen de las Simón, Arango, Ayala. razones que sé han manifestado en la discusion, y hallándose este ausente, se Los Sres. que dijeron que no fueron los siguientes: Abargues, Belda, abstuviese de verificarlo.” 1 » López, Visedo, Carrasco, Chapón, Somoza, .González (D. Ant…</t>
  </si>
  <si>
    <t>…comprendido el -Sr. Medrano. El Sr- Acevedo ha querido decir , ai po para po haber venido á.ocupar su lugar,en el Estamento-, en cuyo casó se enr me engaño, que no deben considerarse en igual caso los que han expuesr- cuentran el Sr. Arguelles y el Sr. marques de Viljacampo. Pero como iguajr tp que no vienen por enfermedad 4 otras -causas j 9UC lf* que han ex - micutefiay,'Sres. Procuradores electos que ni ee fen presentado, ni menos fen cusado diciendo abiertamente que -po venían aL Estamento por temor ,al cóle dicho los motivos que fe im…</t>
  </si>
  <si>
    <t>…os, no obstante de que estaría in nimiento, y aun con cierta ventaja que nos de el crédito adquirido. Sobre esre clinado, si fuese posible hacerlo, á que se supiera antes ctjá 1 es el estado ver punto hablaré aun mas claro que el Sr. Arguelles, pues citare las ventas verifi dadero del país y del elemento de la deuda interior fafia d«‘ poder votar con cada^ de 182 i á 1823. El Gobierno, at presentar el arreglo de esa deud^ inte pleno conocimiento. Ya he oido las razones que ha dado el Sr. Secretario del rior, las traera aquí y dirá su opi…</t>
  </si>
  <si>
    <t>…os de sostener la prerogativa Real, yo opino que debería votarse este ley que deberemos observar mientras no se altere.” asunto y decidirse por el Estamento.” El Sr, marques de Tórremejfa: «El art. 92 del reglamento que han In El Sr. Arguelles; «Desearía que el Sr. Secretario tuviese la bondad de vocado los Sres. marques de Someruelos y Trueba Cosío, es terminante en cuan leer de nuevo la proposición (se leyó). He pedido la palabra para apoyarla, to á que cualquiera proyecto de ley debe discutirse primero en su totalidad , y porque me pa…</t>
  </si>
  <si>
    <t>de indicar el Sr. Arguelles, tal vez podría creerse que yo Be tratado" de cotnr «El captivo de haber-entendido la proposición en los términos en que se , batír la libertad de los Sres. Procuradores, y oponerme á que usen de ella'céln ha hecho, y que han parecido disonantes al Sr. Domecq, ya se ha manifestado toda latitud. .Nu…</t>
  </si>
  <si>
    <t>…en que quedan votados, U corona se ha tiempo, causando muchos males, á una especie de culto supersticioso ó idólatra, lla autorizada para cobrarlos: no hay, pues , sanción Rcal é mi modo de en como dijo muy oportunamente ayer el Sr. Arguelles , á un artículo del regla tender. Ademas , habiéndo_se aludido á lo que se verifica., en otros países, no mento. ¡En las circunstancias en que nos hallamos, estamos en el caso de de veo tampoco &lt;s»a sanción Real; pues aprobados los^i^cstfpueátos por Jas Cama- mostrar la aprobación de los presupuest…</t>
  </si>
  <si>
    <t>…ase sü aptitud legal., mas que con arreglo á La presentada. En cuanto á lo que ha dicho el Sr. Ace— El Sr. Acevedo dijo que había sido uno de los electores que habían teni vedo respecto del escándalo que resultaría de desechar al Sr. Arguelles, diré que do pino en el nombramiento del Sr. D. Agustín Arguelles, y de los que fir- si se tratase de vulnerar las cualidades morales de dicho señor, no dudo que re minn U escritura de cesión á su favor. Pidió que se leyese dicha escritura; y sultaría un escándalo, porque son bien públicas y notori…</t>
  </si>
  <si>
    <t>…viduos que estamos- aquí esa renta; y los que se la lian Constituido se! han ligado de una manera irrevo— no podemos disponer dé nuestros bienes, pues con ellos hemos justificado nues- . cable. De consiguiente la independencia dé!Sr. Arguelles , suficientemente ci- , tras rentas.. Resultando,, pues, del arr.l^ del Estatuto ^Real y del 36 de meutada en sus virtudes cívicas,.está garantida ademas del modo mas solemne, la ley de las elecciones, que la renta que posee el Sr. Arguelles es legítima, y aun más allá del tiempo que requiere el Es…</t>
  </si>
  <si>
    <t>…zones que han expuesto nester para su tranquilidad y su dicha: &gt; *lófc ‘éfetiWFtféfiores que tráh hablado contra él d'Ctámen de la comisión. «Dijo ayer el'Sr. Galiano que si se trataba de beneficios personales, á. S. VHa dicho el Sr. Arguelles que siente Sí:S. que hablándose aqui de cues- los reconocía; y que respecto de beneficios generales, la Nación había recibido 7fibiréfc empañólas,*vayamos como á mendigar ejemplos extrangeros; reflexión muchos de la corona. El Ministerio no sé valdrá de este argumento. Los bene ■qué tlehé-su'origen…</t>
  </si>
  <si>
    <t>…es, 7 hacerlo con aque que no deben dejar de existir. Se ha suscitado una cuestión acerca de la miseria lla templanza y moderación que acostumbra. " pública comparativamente en dos distinras épocas; y se ha sostenido con razo «Él Sr. Arguelles ha dicho que no alcanzaba ni comprendía por qué se' nes encontradas uoo.y otro parecer. No voy á entrar en este exámen; pero no hacia esta diferencia entre la asignación de la Reina Gobernadora 7 la de puedo menos de ínanifestar que lo que dijo ayer el Sr. Secretario del Despa S. M. Doña Isabel ii.…</t>
  </si>
  <si>
    <t>…ce ? ; qué medio se ha tanto mas, cnanto no se nos han presentado datos exactos acerca de si la can deescojer para verificar esa conservación! ¿Será por ventura este medio el de tidad propuesta es absolutamente necesaria ó no. El Sr. Arguelles ha esforzado imponer enormes contribuciones sobre un pueblo , á quien las desgracias y des mas mis argumentos sobre el. particular. conciertos , ya políticos, ya naturales, han reducido á no poder subvenir í esto; «Otra equivocación ha sido el haber dicho S. S. que ha encontrado muy que no. solo no…</t>
  </si>
  <si>
    <t>…os gastos, y sin Sres. Procuradores, mas instruidos que yo en esta metería, nunca pueden pasar perjuicio de que mis ideas son de economías y reformas.” de la cuarta parte. La Nación, por grande que sea su prosperidad, no ha de El Sr. Arguelles: «Entro con el mayor disgusto en una discusión que dar al Rey reinante mas que 40 millones , por consiguiente que lo que ahora en todos tiempos ha llevado consigo muchos inconvenientes. El exámen de se trata de señalar á S. M. la Reina Gobernadora, no se puede considerar co los presupueitos general…</t>
  </si>
  <si>
    <t>…ra de la Reina. ...................................... 640,1100 tangible, según la expresión que un.Sr. Procurador ha usado, y que ha repe Consignación del Infante D. Cirios...................................... 1.65u,000 tido el Sr. Arguelles. De esta reflexión deduzco la impugnación á un argu Cuya cantidad se puede rebajar, lo mismo que la siguiente, mento del Sr. Caballero: y aunque no guarde el mismo órden que han segui que es la de su Esposa Daña María Francisca............................... 600,000 do los Sres. Procuradores que han im…</t>
  </si>
  <si>
    <t>…nal.’* ñoles en un centro común , á obligarlos í que redoblen sus sacrificios, si es En seguida renunciaron la palabra varios señores que La tenian pedida ce necesario, para la salvación de la patria. diéndola para que hablase el Sr. Arguelles; 1 «En cuanto al número de personas que puedan considerarse crmpréndidjs El Sr. Arguelles: (El tono bajo con que este Sr. Procurador empezó su en la petición, yo no tengo los ditos suficientes para hacer un cálcuí.i aproxi discurso, y el sitio en que estaba colocado, no permitió oírse gran parte de…</t>
  </si>
  <si>
    <t>…constante para lo sucesivo.” que proponen como tan respetable á los demas¡ Hé aquí, señores, por qué con ¿I ír. Montes dé Oca: "El Sr. Domecq tenia ayer la palabra: de consi oportunidad y con el tino que acostumbra, manifestó el Sr. Arguelles que da guiente debe considerársele como que está hablando. Y si es:o es asi, ¡quién debian mendigarse en naciones extrañas esta ciase de argumentos, tendrá derecho i interrumpirle &gt; Si en atención 4 la hora suspendió su discurso, «Alegóse también contra toda asignación mayor que ¡U de 24 millones,…</t>
  </si>
  <si>
    <t>…cto. Porque empezando El Secretario Trueba leyó el artículo l.° (véase la sesión de ayer ló), y por la expresión de siendo legítimos, parece que todo lo que se tizo entonces dijo: 'iLos peticionarios ban acogido la indicación del Sr. Arguelles, y en su se debe practicar ahora; lo cual e&gt;tá en contradicción con lo que se ha mani virtud han creído conveniente redactar el art. l.° del modo siguiente. En vez festado relativo á que de aquel sisterm solo debemos tomir lo que nos convén de decir se declaran legítimas, han puesto siendo legítimo…</t>
  </si>
  <si>
    <t>…nconveniente. consigaientc que solo se entenderá el art. con los que efectivamente eran em »?Se dice que la aplicación del principio aprobado ayer tiene inconve pleados en 3u de Setiembre de 1823. niente. Cierto es esto , y ya el Sr. Arguelles indicó algunos. No los hemos di »Siendo esto asi, el Gobierno lo adopta , porque se sabe ya cuáles son los simulado; pero sí hemos dicho que están compensados superabundantementc derechos anteriores y posteriores á esta época; se sabe cuáles son las personas y con las ventajas que producirá dicha a…</t>
  </si>
  <si>
    <t>…erza extrangera te vieron privadosdc~mr~dcs- por el Estamento su adición. A lo que accedió este, aprobándola acto continuo* tinos y de seguir al Gobierno.” No se tomó en consideración por el Estamento otra de los Sres. Caballe El Sr. Arguelles: «Deseosísimo yo de cooperar á la pronta terminación ro, Ulloa y Butrón, concebida en estos términos: «En virtud de lo que el de este asunto, y habiendo visto con sumo placer le mucho que ha ilustrado Estamento acaba de aprobar, pedimos que se prevenga por &lt;1 Gobierno que no la materia con su expli…</t>
  </si>
  <si>
    <t>…to del Gobierno para la asignación del na Gobernadora no puede lisonjearse menos de estar al frente de esta Nación. Sermo. Sr. Infante D. Francisco, por lo que la había reducido á los 3 millo «La Nación española, como ha dicho el Sr. Arguelles, salvó el trono de nes y 500d reales, y que ademas no era conforme con nuestras antiguas prác S. Femando y de Cárlos ut; y no solo le salvó, sino que volvió i colocar en ticas. él á la misma persona que le ocupaba. El Sr. conde de las Navas: «Cansado sería ya volver á repetir las ra «En La situació…</t>
  </si>
  <si>
    <t>…uando no traía otro origen legítimo que los sentimientos d« Se declaró el punto suficientemente discutido; y antes de procederse á la generosidad del Monarca que la concedió , fue desaprobada la propuesta del votación premunió el Sr. Arguelles si la asignación de que se trataba era mera Gobierno. mente gratuita, ó si tenia á ella el Sr. Infante D. Sebastian algún derecho anr El Sr. Presidente anunció que el Estamento se reuniría mañana á las once tenor; y el Sr Miquel Polo, á nombre de la comisión, contestó que habiendo para tratar del p…</t>
  </si>
  <si>
    <t>…Me doy tanto mas el parabién, cuanto en la época «Aunque la comisión nó está conforme en este puntó, pues que de nue anterior, en que la España disfrutó del^Gobiemo representativo, se planteó ve señores, huafro han disentido, el Sr. Arguelles, sin tener una opinión fija, una miUtucion*ttiteramente semejante, la cual no produjo ios buenos efectos .solo dice que se inclinaba á que se nombrasen rsolo encargados de negocios, á que se deseaban , y halló tal oposición, que lejos de fcer útil, fue hasta perjudi causa de la conducta que han obs…</t>
  </si>
  <si>
    <t>…irla con este, motivo, por no gastos de los Estados-Un ¡dos y los de Francia con los nuestros: á lo primeros haber nombrado un agente btstante activo y celoso que hubiera prevenido los ya ha respondido satistectOriamente el'mismo Sr. Arguelles. intentos del Frctendiente, q facilitado su aprchcnMon. Me parece que esta sería »H*y mucha diferencia entre ambos Gobiernos., Esas repúblicas, como la ocasión menos á propósito para esigir la responsabilidad a un Ministro; por roda república, no tiene ciertos gastos de que no es dado prescindir en…</t>
  </si>
  <si>
    <t>…, quela~peticion que entonces hice, es igual á la que ahora se que el cargo de Procurador impone, si el reglamento dq se enmienda; digo que discute.55 es imposible, Señores, y. no nos alucinemos en eL tiempo en que vivimos. Yo El Sr. Arguelles preguntó á los Sres. secretarios del Estamento si ante debo hacer una protesta, con tanta mas confianza, cuanto que los Sres. Procu riormente se había hecho otra petición con el mismo objeto, y si había recaí radores que ademas tienen el carácter de Secretarios del Despacho, no pueden do resolución…</t>
  </si>
  <si>
    <t>…os resultados. Y habiendo ya estos gpn, anteriores a dicha época. o no entraré en un examen detallado, inas correctivos tan eficaces, tan poderosos, {por qué se han de exigir mas trabas propio del estudio constante y detenido del Sr. Arguelles qué de mis conoci inútiles en el reglamento: Pero aun hay otro correctivo, que acaso parece es mientos en la materia; pero e*os datos y noticias de lo que pasaba en las Cor él menor, y es indisputablemente de los mas eficaces, porque su influencia to tes de Aragón , mas exactos, mis circunstanciado…</t>
  </si>
  <si>
    <t>…l bien) tiene una traba muy grande en exigirse 1-2 individuos para que sociedad. Este es el objeto del ve ta* se tiága usó do él; y que esto perjudica á la iniciativa del cuerpo "representativo, «A otra cosa ha aludido también el Sr. Arguelles, mirándola como ga que S- S: ha calificado, de esencial á este. No admito el principio de un modo rantía de la misma especie, que es la de poderse reunir en los mismos indivi tan absoluto, como decir que'sea tm derecho esencial que existe envtodos los duos el carácter de Procuradores á Cortes, *y e…</t>
  </si>
  <si>
    <t>…stado está ci quiere que sean realmente útiles al país, y un firme apoyo del mismo Go tando i cada momento, ha producido un bien importan} isimo; y cuerna que bierno. ahora voy á hacerme cargo de otra de las cosas que ha dicho el Sr. Arguelles, «No puedo omitir una reflexión que se me habia pasado; pero que pensé citando un hecho acaecido cabalmente en esa misma Inglaterra, donde se cono hacerla desde el momento que oí el discurso del Sr. Secretario del Despacho de Estado. Ha dicho S. S. que las Cámaras bajo Carlos x no tenían la iniciat…</t>
  </si>
  <si>
    <t>…el Sr. Galiano, por e'l que se precipitó, si no jan demasiado,,y se rompe todo lo que modera el movimiento. Yo quisiera acaeció la revolución del afio de 30: puesto que, ha añadido dicho señor, si que-ise imitara-en esTo al digno Sr. Arguelles; jamas se advierte en sus discursos mal ap he entendido, tuvieron las Cámaras en el ministerio de Polignac que niqgíína recriminación «i personalidad; costumbre suyá antigua desde las pri- negar el presupuesto, no hallando otro medio de mostrar su desagrado. Todo xpéras Górte&amp;*&gt;ei* donde aun no ten…</t>
  </si>
  <si>
    <t>…tiendo cuán doloroso debe ser ei que en esta discusión se nerlo , y ha podido hacerlo. He dicho esto para corroborar lo que ha manifes haya manifestado por algunos señores cierta acrimonia; cuando el (gobier tado oportunamente,el Sr. Arguelles, sobre la suma de barreras que tiene el no venia decidido, no solo á apoyar, sino á adoptar esta petición de varios se Gobierno contra ese fantasma de anarquía, en el casa de llegar ¿ ser real y ñores Procuradores como un medio para que todos los poderes se vayan enten verdadero. diendo, y se rcstd…</t>
  </si>
  <si>
    <t>…iosa, aunque si se quiere haya yo propia nación el espíritu religioso. usado de mas ó rnenos ingenio en expresarme, según ha tenido la bondad do 1 «Basta esta insinuación para mostrar la necesidad de proceder con el ma indicar el,Sr. Arguelles; sino qúe es exactísima. El sumo Pontífice reúne las yor pulso y detenimiento en materia tan delicada y de tanta- trascendencia en: dos calidades de gefe visible de la Iglesia, y de Monarca temporal; y bajo,esta una Nación como la española.” última consideración es igual á todos los demas Soberanos…</t>
  </si>
  <si>
    <t>…ha equivocado- el verdadero punto.de teísta de. la cues sion que estuviese mas en su lugar; y tamo mas cuanto, como ha dicho y re tión. Ha dicho S. S. que no debemos gratitud ni reconotimiento alguno á dichas conocido muy bien el Sr. Arguelles, no debe entrar en las discusiones sobre Cortes- Cierto, y en este punto estamos-de’acuerdo, pues no solo no les debe estos negocios legislativos nada que se .parezca á resentimiento ó pasión. Aho mos gratitud ni reconocimiento alguno, sino'sentimientos muy diferentes; pe ra, ademas, no sé trata de…</t>
  </si>
  <si>
    <t>…e la comisión: que se fijasen reglas generales que sirviesen para todos los ministerios: esto se J.a Que cuando se presente el presupuesto de 1836 se acompañe una noti ria mas justo , mas equitativo, mas imparcial y decoroso.” El Sr. Arguelles: «La comisión está tan conforme con e! principio esta cia detallada de lo que hayan importado en todos conceptos los ingresos de esta secretaría de la interpretación de lenguas en el quinquenio que termina en blecido por el Sr. Secretario de Estado, que con la simple lectura de su dicta men se cono…</t>
  </si>
  <si>
    <t>…echos al Esta de Su abatimiento, y por eso propuso la rebaja que se ha lerdo. S. S. no ha'da do en todas las carreras, sin separación unas de otras.7’ do ninguna razón suficiente para convencernos de que no haya tenido acierto El Sr. Arguelles: «Puesto que el Estamento está inclinado á adoptar esta la comisión en este punto; sólo ha. dicho que la práctica y la costumbre son medida que por una y otra parte se invoca, se puede decir que el máximum de los fundamentos de la"tarifa que rige. Si esta razón fuese bastante, todas las co sueldos…</t>
  </si>
  <si>
    <t>…por el presupuesto de Guerra, y que por el de Estado no cobra « Respecto de los sueldos y gastos de esta corporación, tratándose de per rá nada.” ®" sonas que han llegado al término de su carrera, que han ocupado los primeros íl Sr. Arguelles“: «La rebaja de los fOíl rs. consiste en la que propone destinos del Estado, y aun sido algunos consejeros del que tenia este nombre, la comisión de lu9 rs. á dos consejeros, y de otros 109 á dos secretarios del y cuya suspensión equivale á una muerte perpetua, justo es que esten dotados mismo cons…</t>
  </si>
  <si>
    <t>…ber en los testamentos, llamada (s¡ no me equivoco) para los santos Lugares ó sión está cumplido , y creo que también )o estará el dei Estamento.” la casa santa de Jerusalen. Estos fondos se administran por dichas órdenes, las El Sr. Arguelles: «Respecto á la redención de cautivos, debo manifestar cuales dan las cuentas de lo que producen.' En cierta ocasión se trató de que se que me parece há ya mucho tiempo que no se han hecho tales cautivos, y que administrasen por el Estado,ó con su inmediata intervención; y esta mudanza por tanto, s…</t>
  </si>
  <si>
    <t>…stema qué habia úlolmfln!&amp;?«pericncia no ser el mas acertado. Maní fes- ' x&amp;r?1STO9iffi&amp;50ffy dSHrwssaaa «natos-«maos, y "en ■wmra-wqui nesse verificaba esta, y la contestación" original’ ' es "la siguiente’ (la*" "leyó).” —De Él Sr. Arguelles se opuso 4 la petíciolt, Manifestando no hacerlo al espi todo lo cual resulta qué: se da una cuenta exacta del empleo dé estos fon.dos; y rito de ella, sino sofó al modo con que estaba redactada. Dijo que era preciso que por consiguiente el Gobierno no tiene inconveniente en presentarla cuan no dej…</t>
  </si>
  <si>
    <t>…mirada la cuestión potestad Real ha pedido bulas á Roma , que aunque ha delegado al parecer sus bajo este punto de vista, todos estamos de acuerdo. derechos , lo ha hecho solamente por no meterse en disputas desagradables, y «El Sr. Arguelles ha sentado en su discurso otre principio, para mí In ha impetrado de la Silla apostó ica un permiso que siempre ha tenido dere contestable; hallándome yo muy conforme con su doctrina, á saoer: que cual cho de ejercer. Asi, pues, no deben valer esos escrúpulos para oponerse á que quiera que sea !a f…</t>
  </si>
  <si>
    <t>…eparado lo que ha de ponerse en publicó con la cédula correspondiente y demas documentos anejos; Ocurrieron ais. tugar.. algunas otras incidencias; y habiendo sobrevenido la guerra , se quedaron lo» «Hay también (como ha dicho el‘Sr. Arguelles) algunas capellanías que biena en manos de sus poseedores. tiepen aneja la cura de almas. Qe existen algunas no hay duda; pero ¡puede de » Es pues claro que la potestad temporal jamas ha dudado, ni los hotñbres cirse hoy cuántas sean! El Gobierno deberá averiguarlo; pero esto exige rnu- mas eminent…</t>
  </si>
  <si>
    <t>…o que lo c*té; y por tanto nos : »yo soy aqui el Rey ; el Rey no tiene aqui parte ninguna; el que quie no apruebo la petición tal como se presenta/’ ra pasar ha de pagar ”; arrogándose el dérecho de imponer tributos. Si son ca El Sr. Arguelles: ”Para tomar parte en esta discusión desearía que e! se bezas de ganado menor , se pagan 10 mrs. por cabeza cuando no llegan á cien ñor Presidente del Consejo de Ministros tuviese la bondad de decirnos &gt;i cree to ; y en llegando, dos cabezas, las mejores, como asi lo dicen las ejecutorias que el Sr…</t>
  </si>
  <si>
    <t>…ipp estos jovenes acaso habrian quedado reducidos á la clase de cesantes, El Sr. Secretario del Despacho de Xa Guerra r «Contestando á lo qu privándose ademaba muestro ejército de tantos dignos militares que se están ha dicho el. Sr. Arguelles, repetiré lo que ya he manifestado otras veces, £ sa formando en.el día, y podrán ser útiles en el de mañana» Por consiguiente la ber, que el presupuestó no es obra mia, sino que ya lo he encontrado formade comisión ha créido que no debía entrarse por ahora en dichas reducciones, por pero que no me…</t>
  </si>
  <si>
    <t>…puede decir lo que de otras muchas cosas que te - El Sr. Calderón Collanter: «Al oir lo que ha dicho el Sr. Secretario do nemos que arreglar,-porque es otro de los legados que nos han dejado las ad Guerra, y lo que ha indicado el,Sr. Arguelles, se habrá creído acaso que en ministraciones anteriores. citar yo los regimientos, de que he hecho mención, he tenido el objeto de „Se puede, pues, reducir á dos cuestiones: primera, si se han de suprimir ofender á-Ios-deraas. Lejos de eso be indicado que todos estos sostuvieron &lt;■ con estos cuerpo…</t>
  </si>
  <si>
    <t>…as oportuno que se votase este punto en los términos y gratificaciones de la plana mayor del Real cuerpo de artillería. que ha indicado el Sr. Secretario de la Guerra.” La comisión proponía en este artículo un abono de 609 rs. El Sr. Arguelles: «En materias de administración siempre parto de ua El Sr- Vázquez Moscoso: »En este artículo he disentido de la comisión principio, y es que deben recaer las economías sobre los destinos inútiles, y de Guerra respecto á los sueldos de ios inspectores del cuerpo de artillería y de quedar bien dotad…</t>
  </si>
  <si>
    <t>…a de alabarderos se llama á este cuerpo ./- "Enhorabuena que el gefe ó capitán de Guardias de la Persona por su i a compañía de Guardias de Corps. alta dignidad y la importancia de sus funciones disfrute el sueldo de su gerar- El Sr. Arguelles-. "La discusión que ha precedido me obliga á aspirar á quía militar, lo hallo justo, y no me opongo en manera alguna; pero no se ha que se hagan ciaras aclaraciones importantes. Coincido enteramente con toco ga de esto regla general, pues los ayudantes del cuerpo de Guardias, que son cuanto se puede deci…</t>
  </si>
  <si>
    <t>…del sueldo que disfrutan en El Sr. Secretario del Despacho de Hacienda: «Añadiré dos palabras á Francia los prefectos y los generales én los términos que ha manifestado, yo lo que ácaba de decir el Sr. Secretario de la Guerra. El Sr. Arguelles ha dicho las tengo muy diferentes.' Los sueldos que tienen en aquella Nación, no digo muy oportunamente que hay economías que deben verificarse inmediatamente, los mariscales, sino los generales de las divisiones, es superior al que les ésiá y otras que no pueden tener efecto de pronto. Es uña verd…</t>
  </si>
  <si>
    <t>…enderse á mas térritoiio. Se les vé á los facciosos pasar Ti JV. conde de tai Navas: « El Sr. MedrinbbTmanifestado que-la-pe------ ' repisar el Ebro, atacar un convoy, y coger parte-de-él-á-pgsáFHeTfM esfuersesión de la renta del Sr. Arguelles no era tan ventajosa como la del señor de zos de un digno gele que.mandaba su escolta y de los de esta misma escolta. El que serrata. No diré si era.mas ó menos ventajosa: solo haré presente que ei gefe y los soldados no han podido hacer mas. Amor , cuyo mérito es bien co dictamen de la comisión fu…</t>
  </si>
  <si>
    <t>Gaceta de Madrid n.º 321 · suplemento</t>
  </si>
  <si>
    <t>…ho que al del Estado, sacrifican el país a sonal del mismo, quiero solamente llamar la atención del Gobierno y del Es fuerza de exacciones injustas.” . ■ ¡? tamento sobre dicha administración, es decir , sobre la contabilidad. El Sr. Arguelles: «El giro que ha tomado ésta discusión es lo único «Señores, la mayor parte de los abusos en todos los ramos vienen de la que me mueve á tomar la palabra. falta de la contabilidad; asi que, lejos de proponer ninguna rebaja, yo quisiera, «Sin hacer la censura ni la apología de los reglamentos que ex…</t>
  </si>
  <si>
    <t>Arguelles, Agustín</t>
  </si>
  <si>
    <t>Agustín Arguelles</t>
  </si>
  <si>
    <t>…as islas Baleares, y de los documen Sr. marques de Villacampo, por Burgos. ' ' ’ tas justificativos de sus rentas, opinaba que debían aprobarse por estar confor D. Antonio Ayarza , por Valencia. mes á lo prevenido. Asi se acordó. D. Agustín Arguelles, por Oviedo.^ ’ Concluido el despacho, tomó la palabra-el Sr. Medrano para presentar una D. Saturnino Calderón, por Orense. indicación. D. Francisco de Paula Crespo Rascón, por Salamanca. ’ El Sr. Medrano-. »Voy á hacer al Estamento una indicación, que no sé D. Mauricio Cárlos de Onís', por id. (Es…</t>
  </si>
  <si>
    <t>…favqr de las víctimas de los alborotos de Abril ulti mo en París y León. ____ Las noticias de Siria, como nuestros lectores podrán observar, son extre madamente Contradictorias, y las que insertan los papeles alemanes parecen -——Don Agustín Arguelles, ha llegado á París viniendo de Londres, y'se di muy exageradas. Tenemos á ¡a vista dos versiones, y de ambas resulta que la ce que marcha i Madrid para desempeñar su encargo de individuo del Esta paz se ha restablecido. El correo de León contiene una caria del *4 de Alejan mento de Procuradores. d…</t>
  </si>
  <si>
    <t>…dose con el tuye la renta^que la ley de elecciones y Estatuto Rjbai requieren. dictamen de la comisión, opinaba que en atención á los méritos relevantes «Por lo tanto , la comisión no ha podido menos de dar su dictamen ar del Sr. D. Agustín Arguelles, y á que la ley no pudo prevenir un caso tan reglado á la ley. Se dirá que los otorgantes reformarán la escritura con la mis cx raor.hnario, se le admitiese en el Estamento, sin perjuicio de que en el mo ma fecha. Enhorabuena; pero qn el dia la comisión no puede dar su dictamen do que hallare oport…</t>
  </si>
  <si>
    <t>…: «No sé si es mas desagradable el haber tenido que de las personas; pero por desgracia es imposible. Verdaderamente que para se emitir el dictámen en la comisión, que la necesidad de sostenerlo ahora, pare parar esta cuestión de D. Agustín Arguelles, cuya conducta política está en ciendo que es meramente por el deseo de excluir de este recinto á un hombre lazada con la historia de la Nación española, seria menester que se recusasen, tan benemérito y recomendable. Creo que todos los que me escuchan, harán no solo los Procuradores presentes, sin…</t>
  </si>
  <si>
    <t>…siones. De suerte que si fuera Se abrió á la* once, y leida el acta de la anterior, quedó aprobada. posible que en Inglaterra se dijese no hay ejército, nadie podía reclamar eí ------En seguida entró á jurar y tomó asiento el Sr. D. Agustín Arguelles, (derecho á los empleos-, y tq? por esese destruye el órden público, no siendo Procurador por la provincia de Oviedo-. , posible que la prudencia del Cuerpo legislativo de aquel país , tan interesado Se mandaron pasar á la comisión de Poderes los testimonios de las actas ¡en el bien de él, incurrie…</t>
  </si>
  <si>
    <t>Arguelles, D Agustín</t>
  </si>
  <si>
    <t>D Agustín Arguelles</t>
  </si>
  <si>
    <t>…ase que es menester que tenga la capacidad legal el individuo, actual á las 10 de su mañana; y el Estamento quedó enterado. i La tiene el de que se trata? No señor: pues todo lo dgmac hacer perder Se dió cuenta de otro oficio del Sr. D- Agustín Arguelles, electo Procu tiempo al Estamento y á la comisión.” rador por la provincia de Oviedo, en que expresaba que sus poderes se habían El Sr. Domecq. «La comisión ha dado tres dictámenes: l.° que se pidie quedado con su cquipage, y que mientras llegan presentaba los documentos de sen al Gobierno los ante…</t>
  </si>
  <si>
    <t>…rmándose con el tuye la renta^que la ley de elecciones y Estatuto Rjbai requieren. dictamen de la comisión, opinaba que en atención á los méritos relevantes «Por lo tanto , la comisión no ha podido menos de dar su dictamen ar del Sr. D. Agustín Arguelles, y á que la ley no pudo prevenir un caso tan reglado á la ley. Se dirá que los otorgantes reformarán la escritura con la mis cx raor.hnario, se le admitiese en el Estamento, sin perjuicio de que en el mo ma fecha. Enhorabuena; pero qn el dia la comisión no puede dar su dictamen do que hallare oport…</t>
  </si>
  <si>
    <t>…comisiones. De suerte que si fuera Se abrió á la* once, y leida el acta de la anterior, quedó aprobada. posible que en Inglaterra se dijese no hay ejército, nadie podía reclamar eí ------En seguida entró á jurar y tomó asiento el Sr. D. Agustín Arguelles, (derecho á los empleos-, y tq? por esese destruye el órden público, no siendo Procurador por la provincia de Oviedo-. , posible que la prudencia del Cuerpo legislativo de aquel país , tan interesado Se mandaron pasar á la comisión de Poderes los testimonios de las actas ¡en el bien de él, incurrie…</t>
  </si>
  <si>
    <t>Arguelles, D Dionisio</t>
  </si>
  <si>
    <t>D Dionisio Arguelles</t>
  </si>
  <si>
    <t>02/07/1834</t>
  </si>
  <si>
    <t>Gaceta de Madrid n.º 135</t>
  </si>
  <si>
    <t>…dencia de unas facciones que por tanto na de particular mención la valentía con que el teniente coronel D. Francisco tiempo han desolado aquel país, que por su proximidad á este principado, Curado, el capitán D. Antonio Rey, y el teniente D. Dionisio Arguelles donde no han podido sostenerse, han obligado ¿ adoptar constantes medidas de cargaron ¿ la cabera de sus compañías así como el arrojo de los sargentos pri precaución. meros, graduados de alféreces, D. José Corsoy D. Mariano Mir; y los segundos El espíritu público de los habitantes de la misma provi…</t>
  </si>
  <si>
    <t>Argüelles, D Manuel</t>
  </si>
  <si>
    <t>D Manuel Argüelles</t>
  </si>
  <si>
    <t>…s, Beaisanet, Mora de Ebro , la Galera y M¡« "Del regimiento Infantería do,Córdoba, 10 de línea, el coronel primer rabet había cesado enteramente la enfermedad que afligía 4 sus vecindarios; y comandante D. Antonio fobar i el 2.° comandante D. Manuel Argüelles ¡ el - que en los demas puntos invadidos continuaba la enfermedad con benignidad teniente coronel graduado, capitán D. José Aguirre; los capitanes D. José según, resulta del siguiente María Gurrea y D. Félix Miranda; el capitán graduado, teniente D. Antonio Parte sanitario. Sánchez; el teniente.gra…</t>
  </si>
  <si>
    <t>Arguelles, Dionisio</t>
  </si>
  <si>
    <t>Dionisio Arguelles</t>
  </si>
  <si>
    <t>…unas facciones que por tanto na de particular mención la valentía con que el teniente coronel D. Francisco tiempo han desolado aquel país, que por su proximidad á este principado, Curado, el capitán D. Antonio Rey, y el teniente D. Dionisio Arguelles donde no han podido sostenerse, han obligado ¿ adoptar constantes medidas de cargaron ¿ la cabera de sus compañías así como el arrojo de los sargentos pri precaución. meros, graduados de alféreces, D. José Corsoy D. Mariano Mir; y los segundos El espíritu público de los habitantes de la misma provi…</t>
  </si>
  <si>
    <t>…edad de D. Domingo de parte de este dia a las doce y media ya sabrá V. E. que la facción ha repasado Orta , las arrancó de raíz, haciendo el destrozo mas grande , cogiendo en ellas el Ebro dirigiéndose á S. Vicente. Los Tenientes D. Dionisio Arguelles, dei Á su familia, que se componía entre chicos y grandes en número cic 13 blan l.° de ligeros, y D. Vicente Salvador, del de húsares, han llenado su deber.” cos, los cuales salieron heridos, sacándolos de debajo de los escombros de la Lo qúe traslado á V. É. para su conocimiento y satisfacción de…</t>
  </si>
  <si>
    <t>Arguelles, Diputado</t>
  </si>
  <si>
    <t>Diputado Arguelles</t>
  </si>
  <si>
    <t>…empos, en que con ciones. vertidos los hombres en guerreros, pagaban ese tributo al siglo, que ahora ofen «Me parece poT consiguiente, que aunque en la expresión ha estado leja de nuestro oido, cuanto trias nuestros labios. no el Sr. Diputado Arguelles de conrenir ern lo que ha propuesto el Go «También seria molesto entrar ahora en la comparación de lo que se bierno, en el fondo no es asi; nos acercamos mucho; al menos yo lo creo, 7 asignaba al Príncipe, y la moneda en que se hacia; no digo yo del valor de las me sirve de satisfacción. monedas actua…</t>
  </si>
  <si>
    <t>…reales/* delirio d«| hombre á aspirar á obtener la dignidad suprema; aparece como in-v ' ElSr Secretario del Despacho de Estado-. »Ha dicho con razcn el dispensable la necesidad de que conserve el trono aquel esplendor que ha.me "Sr. Diputado Arguelles que esta discusión, es grave y espinosa. Lo es, porque nester para cautivar La obediencia y veneración de ios pueblos , y qaroer mas ijempre que sé trata de imponer cargas i los pueblos, por nías precisas, por fácilmente su benéfico influjo. toas necesarias, por más convenientes* qué sean, siempre…</t>
  </si>
  <si>
    <t>Arguelles, Jóse Canga</t>
  </si>
  <si>
    <t>Jóse Canga Arguelles</t>
  </si>
  <si>
    <t>…34-= A ñores Infantes. D. José Vázquez Figueroa. Para las plazas de ministros de la sección de Fomento del con Reales decretos. A sejo Real de España é Indias , creado por mi Real decreto de 24 de Marzo último, vengo en nombrar á D. Jóse Canga Arguelles, He venido en jubilar á D. Juan Crisóstomo de Frias y á Don D. José de Heredia, D. Justo José Banqueri y D. Vicente Gon José María Cherif, oidores de la Real audiencia de Sevilla, con zález Arnao. Tendréislo entendido, y lo comunicareis á quien corel sueldo que les corresponda por clasificación. Te…</t>
  </si>
  <si>
    <t>Arguelles, Josef Canga</t>
  </si>
  <si>
    <t>Josef Canga Arguelles</t>
  </si>
  <si>
    <t>09/01/1834</t>
  </si>
  <si>
    <t>Gaceta de Madrid n.º 5</t>
  </si>
  <si>
    <t>…glada al teatro español por A. G. Se vende á 4 rs. en y Piferrer. en Barcelona rústica en la librería en la de de Calleja, prana muerte del Sr. D. Fernando vn (Q. E. E. G.), felicita á S. M. por el con por de Haciendo, aplicación D. Josef Canga Arguelles, á España, ——Diccionario advenimiento al trono de la Reina nuestra Señora Doña Isabel h , bajo la ministro jubi ado del consejo supremo de las ladias. Esta obra, que es U primera de tutela de su augusta Madre, anuncia les dias prósperos y gloriosos que se pre su clase que se ha escrito eo España, s…</t>
  </si>
  <si>
    <t>…éndose esmerado á porfia el ayuntamiento, la guarni de la imprenta Real. ción y todos los habitantes en demostrar su júbilo, y la parte que tomaban en tan plausible ceremonia. Diccionario de Hacienda con aplicación ó España , por D. Josef Canga Arguelles, mioistro jubilado del consejo de Indias. Cuaderno 3.0 Se halUrá en la librería de la En el ministerio del Fomento general del reino se han recibido las prime viuda____ Ouiade Quiroga.de las madres para criar á sus hijos, ó medicina domestica de la primera ras comunicaciones que, después de su inst…</t>
  </si>
  <si>
    <t>Arguelles, Juan</t>
  </si>
  <si>
    <t>Juan Arguelles</t>
  </si>
  <si>
    <t>…naron la arbitrariedad en favor de las conquistas , y compra fusiles que he comprado, único armamento que he podido proporron la gloria, como los antiguos romanos y los franceses de nues cinar. El Oficial conductor de este pliego D. Juan Arguelles , tros días, á costa de la libertad. uno de los que m- acompañan desde mi emigración de Españas Nuestra manera de pensar está justificada con la época misma podrá informar á V. Al. circunstanciadamente del estado de esto, «n que se ha promulgado el Estatuto Real. En efecto, ¡cuándo he Oficiales y T…</t>
  </si>
  <si>
    <t>Arguelles, Manuel</t>
  </si>
  <si>
    <t>Manuel Arguelles</t>
  </si>
  <si>
    <t>…tisfactorios resultados que me propuse, pues que en esta hora de las ocho de la noche se me ha presentado el subteniente de dicha compunja de se en aquella capital existían 20 enfermos de cólicos: que en Requena , y parti guridad D. Manuel Arguelles con la placentera noticia de que su columna, que cularmente en Iniesta v Barajas de Meló v Horcajo, era Hablante considerable es la que dió vista á los faccioso* en los montes de Morein, y los cargó intré el número de fallecimientos, y que de los otros seis pueblos de aqucilj pro pidamente, dio mue…</t>
  </si>
  <si>
    <t>Argüelles, Manuel</t>
  </si>
  <si>
    <t>Manuel Argüelles</t>
  </si>
  <si>
    <t>…t, Mora de Ebro , la Galera y M¡« "Del regimiento Infantería do,Córdoba, 10 de línea, el coronel primer rabet había cesado enteramente la enfermedad que afligía 4 sus vecindarios; y comandante D. Antonio fobar i el 2.° comandante D. Manuel Argüelles ¡ el - que en los demas puntos invadidos continuaba la enfermedad con benignidad teniente coronel graduado, capitán D. José Aguirre; los capitanes D. José según, resulta del siguiente María Gurrea y D. Félix Miranda; el capitán graduado, teniente D. Antonio Parte sanitario. Sánchez; el teniente.gra…</t>
  </si>
  <si>
    <t>Argüellet</t>
  </si>
  <si>
    <t>…ue no se pudo percibir, y ¿ la Se declaró el asunto suficientemente discutido, y se puso i rotación el que contestó en breves palabras el Sr. Secretaria de Estado. párrafo del proyecto del- Gobierno en los términos siguientes JE! Sr. Argüellet: «El Sr. Istúriz principió por una especie de reconven «Consejo de Gobierno (520,500 rs. vn.” No se aprobó. ción irónica, dirigida í la comisión; y digo irónica, no en sentido ofensivo, En seguida se votó el dictámen de la comisión, reducido á proponer que sino eO el regular y propio de la libertad…</t>
  </si>
  <si>
    <t>Arguera, Juan</t>
  </si>
  <si>
    <t>Juan Arguera</t>
  </si>
  <si>
    <t>…voluntaria; pero por los partes que re batallón ligero voluntarios de Isabel n de Reus D. Manuel de Lapuente: el cibió en aquella villa supo que habia retrocedido en dirección de Cabases, con capitán de los voluntarios de Falset D. Juan Arguera: cLtenieme del batallón ánimo al parecer de repasar el Ebro por Flix, y que el general segundo cabo de tiradores de Isabel ii y sus tiradores por el valor con que se batieron en iba en su alcance para impedirle esta retirada y obligarle a bat.rsc. Batea y Pincll al invadir aquellos pueblos Carnicer…</t>
  </si>
  <si>
    <t>ArgüeUes</t>
  </si>
  <si>
    <t>…enunciadas, tampoco se necesitan grandes esfuerzos para rc51.Tío piidim6s;:pu&lt;Ísí convenirnos en tal parecer, y por nuestra pártese pro- hacerlas valer. Todo Gobierno de hecho, es decir, todo Gobierno qué tiene 'p'usó^sf yoto del Sr. ArgüeUes, reducido á que dejando el anículo del pro)ec- las riendas del Estado en la mano, y que se halla reconocido interior y exte- ‘tb'yá discutido y aprobado por ambos Estamentos tal como está, se trate des- fiormente, debe reputarse legitimo: el Rey, desde el momento que salió de 'pbes Csta cuestión co…</t>
  </si>
  <si>
    <t>Argüidas, Juan Bautista</t>
  </si>
  <si>
    <t>Juan Bautista Argüidas</t>
  </si>
  <si>
    <t>…e los mejicanos.'Algunos comerciantes y otras s=Luis José Orbegoso. personas adelantan mensualmente Ubres de intereses 1803 pesos para que el gobierno pueda hacer frente á sus obligaciones el primer año. El general Bra El eorotul D. Juan Bautista Argüidas £ la división de operaciones. vo ha vuelto á Méjico, y Canalizo ha sido nombrado gobernador de Querétaro. (Jinies.) Conciudadanos: Habéis abierto una campaña sin ejemplo en la historia de las revoluciones: habéis abandonado vuestras casas, vuestras familias y vuestros Tenemos noticias de Rio-Janeiro que…</t>
  </si>
  <si>
    <t>Arguimbau, Felipe</t>
  </si>
  <si>
    <t>Felipe Arguimbau</t>
  </si>
  <si>
    <t>Gaceta de Madrid n.º 235</t>
  </si>
  <si>
    <t>…ndice de los Peales decretos y drdtnes publicados sn este porfídico Jurante PRO VINCÍA BE IBON. el mes anterior. - ¡ \ - , Dice su gobernador civil con fecha 28 de Setiembre próximo pasaáo que Rea! orden concediendo á la viuda de D. Felipe Arguimbau el sueldo de tér en aquella provincia no hacia grandes estragos el calera: que dicha enfermedad niente que disfrutaba *u difunto-marido. (Niám;-199.) - — - se había extinguido en Molina Seca; pero que se había declarado en Ponferra- Real decreto resolviendo que una comisión se ocupe en la formación…</t>
  </si>
  <si>
    <t>Arias, Pedro</t>
  </si>
  <si>
    <t>Pedro Arias</t>
  </si>
  <si>
    <t>…por nuestra parte que la de S. M. la Reina Gobernadora. Dios guarde á V. E. muchos de cuatro de los últimos, entre ellos eL primer comandante del años. Cuartel general de Vitoria 17 de Abril de 1834-^Excelenregimiento de Almansa D. Pedro Arias. tísimo Sr. = El marques de Moncayo. == Excmo. Sr. Secretario de Los enemigos se retiraron á Morga, dejando en nuestro poder Estado y del Despacho de la Guerra. 29 raciones, algunas armas y otros efectos. Sin embargo de que la noche ya se aproximaba hubiera continuado la persecución; mas El mismo ge…</t>
  </si>
  <si>
    <t>Arif</t>
  </si>
  <si>
    <t>…subsisten entre ella- y los venientemente situadas; y finalmente con la parte principal de di demas países. Constantinopla 2i&gt; de Marzo de IftS/j.rrKl reis-effendi, El Adj. chas fuerzas se han compuesto las columnas del mando del brigadier Arif. ': / ' i., : Iriarte, y dej coronel Carrera, que el 6 del corriente emprendieron ItRVSlA. • ’ , sus operaciones, sobre los confines de Vizcaya. El brigadier Iriarte Berlín 17 de Abril. ' deshizo á Castor, en cuya persecución sigue; y el coronel Carrera se unió al general Espartero, habiéndose obten…</t>
  </si>
  <si>
    <t>Arispe</t>
  </si>
  <si>
    <t>…e renuncia tácitamente al gran deseo de una restauración que el Rey de no menos eficaz. Sin embargo , no pueden desaprobarse las órdenes que se han los Paises-B*jos parecía alimentar siempre , aun cuando un gran número de dado al general Arispe para concentrar el cordon de observación , evitando de acontecimientos concurriah á presentarla como imposible. (7¿L) este modo toda agresión que venga del territorio francés , cerrando el paso á los carlistas, y privándole» de recursos, ____La Gaceta de los Grisones habla en términos violentos con…</t>
  </si>
  <si>
    <t>Ariza, Rafael</t>
  </si>
  <si>
    <t>Rafael Ariza</t>
  </si>
  <si>
    <t>…. .... Grapada. .primero de dichos dos pueblos,^ há sido completamente derrotada y destruida 13,136.................... 1000....,.,............ Cádiz. por el capitán D. Lorenzo Benitez y por el teniente del provincial de Córdo ba D. Rafael Ariza, que con 4 Urbanos de la Calzada de Calatrava y las co lumnas de su mando lograron alcanzar á dicha facción en el barranco de la Hoz, jurisdicción del Viso, dqnde quedaron muertos en el campo 14 de los »oisa de coMEncio—Cotizarion de hoy á las tres de la tardé. \7 que la componían, y entre ellos ei…</t>
  </si>
  <si>
    <t>Arizministro, Simón</t>
  </si>
  <si>
    <t>Simón Arizministro</t>
  </si>
  <si>
    <t>…de esta fuerza unida.” Escriben de Burdeos con fecha 21 de Mayo , que habiendo salido de aquel Después de reconocer lo que debe la instrucción pública á los esfuerzos del puerto para Portugal Fr. Francisco Manuel Gómez Negrete y D. Simón Arizministro encargado de este ramo, se queja de que la revolución de Julio haya mendi (a) Bidaondo, agentes de la junta revolucionaria de Navarra, y no ha olvidado en la instrucción pública el tributo que debia á la Francia y á la hu biendo podido desembarcar en las costas de aquel reino, han tenido que regre…</t>
  </si>
  <si>
    <t>Arjspe</t>
  </si>
  <si>
    <t>…ción inglesa. En/la lucha empeñada sobre, cues-, á salir: hoy^yara Áscaip.ynOlewej y á látardepástirá SfSain júán de I*¡¿ en tienes de grande interés, se ha visto al Montea mantener el fiel ítelabalanza donde todavía ífe halla el general Arjspe, y desde allí piensa regresar mañana entre los partidos. Es verdad que el miníSÍerio se ha debilitado pdr la separa á Behovia, A.ndaya y Bifutón. También ha pasado noy revista á la guardia ción de un gefe ¡lustre; pero su renmjála noha debido á Intrigas sordas ni á nacional ,á lá-cual se había agre…</t>
  </si>
  <si>
    <t>Armendariz, Agustin</t>
  </si>
  <si>
    <t>Agustin Armendariz</t>
  </si>
  <si>
    <t>…de Pal » El gobierno cree que en las circunstancias actuales.es prudenteljia#ny»r ma y Vinuesa pata Laliu; á D. Manuel de Cuadros para Puen- este aumento de fuerzas, ocupar el terreno durante la primavera , y conservar teareas; á D. Agustin Armendariz para Tuy; á D. Francisco Mon- nuestro ejército sobre las armas, ínterin el de Holanda permanezca en pie de íeo para Taboada; á D. Juan de Mata Albarado para Sarria; á guerra como hasta 'aquí. «Cree asimismo el gobierno que sin excedernos mucho de los presupuestos D. Buenaventura Alvarado para la Pu…</t>
  </si>
  <si>
    <t>Armero, Manuel Silvestre</t>
  </si>
  <si>
    <t>Manuel Silvestre Armero</t>
  </si>
  <si>
    <t>…al contado: 124 y 13 á varias fie. rol. -sr firme-, 124 y MI eaelas f. o.toI., a prima de 4 p. 10Q. J tísimo Sr. D. Manuel Fernandez Vareta, comisario general déla Santa Cruza- Acciones del banco español, 00. Ha vicepresidente á D. Manuel Silvestre Armero, y secretario á D. Juan Fram cisco Fon tan, cuyas elecciones han merecido todas la aprobación de S.M. la ■anuos. Reina Gobernadora. Amsrerdam, 09. París, 16-í. (Cádír, Sevilla, # b. Sayona, 00. Alicante, ácorto pía- Corufia* id« Valencia, -Burdeoa* 00. zo,£&lt;U [Granada,Jid. Zaragoza, . Hatnburgo, 00…</t>
  </si>
  <si>
    <t>…extender fuera de ellos supremo de Hacienda, instituido por mi Real decreto de de su jurisdicción. Marzo último, á D. José María Fernandez de Córdoba , D. Ma Art. S.° Los corregidores y alcaldes mayores de los pueblos nuel Pardo, D. Manuel Silvestre Armero, D. Gonzalo de Ueredia, D. José Rafael Villapol, D. Joaquín Fernandez Compani, (I) La división judicial de partidos, coo expresión de los pueblos que D. Marcelino de la Torre, D Ramón Macia de Lleopart, Don cada uno de aquellos comprende, y de su población respectiva, se ven Diego Martin Villodres…</t>
  </si>
  <si>
    <t>Armildcz</t>
  </si>
  <si>
    <t>…vilb de Fuente la Peña nó haba ocurrido en et dia de U fe I cha' ninguna invasión: qüé lüégó qué recibiese' k» 2üS rs. que b' piedad dé ...... PaOVlNCIA DB NAVARRA. . . —i .!*■ . Con fecha 29 de Ágoato último dice el Excmo.:Sr.' conde Armildcz dé S. M. se haba dignado conceder paré alivio de los pueblos que en aquella pro-^ Tolédar, que en Ir villa de Corle* se habia manifestado el cólera, y qué seguá* vinca' *e veían afligidas del cótiré,' atendería-£ b' rdiseria en que se hallaba la avisó* párticulares sé hallaban en et mismo'carolo* p…</t>
  </si>
  <si>
    <t>Armíldez</t>
  </si>
  <si>
    <t>…nombrando-i vario» «ugetos para plaza* vacante» en la magistra PROVINCIA DE NAVARRA. tura. (iViím- D4.) Vf Real órden mandando se den gracias i D. Jnan Antonio de laTorrv por ha En oficios de 18 y 22 del actual,dice el Excmo. Sr. conde Armíldez, qu* ber solicitado se 1c admitan tres hijos en clase de voluntarios en al Real en la ciudad de Corella y en la villa de' Cintruénigo iba cediendo notable servicio- (id.) mente la enfermedad: que en la de Firero, continuaba todavía su período as _____ mandando que se impongan multa» á ¡os individuo…</t>
  </si>
  <si>
    <t>Armildez</t>
  </si>
  <si>
    <t>…ersecución -tropas-de-SantoEa y de-Santander. i duya cabeza marcha-» ts el paasandante general de La provincia. 1 PROVINCIA BE -HUESCA. ‘Con oficio de B del presenté remi te su gobernador jcivil el -siguiente Según parre queda el conde Armildez desde Pamplona, con fachada 7, ; * - Partí sanitario. le decía el genéral en gefe desde Eliaondo él S , que Sabia Eecho fortificar V - . '* ' 'para asegurar aquel ptrrno un edificio proporcionado al efecto, que quedaría guarnecido y provisto para una buena defensa , i cuyo apoyo^sbrana en el“ va Tu…</t>
  </si>
  <si>
    <t>…tes de esta villa, como U divi zadores de la Guardia Real y artillería, ligera , después de haber dejado las ins na Misericordia se ha dignado aliviarnos de la terrible enfermedad que nos ha I trucciones competentes al Excmo. Sr. conde Armildez sobre los movimientos afligido en el espacio de 21 dias, y por lo tanto en acción de gracias al Todo I que deben ejecutar las tropas que queden en Navarra para seguir las persecucio- poderoso, ha dispuesto la junta municipal de Sanidad celebrar tan singular be* I Iciones de Jos batallones que la de…</t>
  </si>
  <si>
    <t>…2, PROVINCIA DE NAVARRA. 13 y 14 habiap fallecido en aquella capital 30 personas, curando 9 y quedan do enfermas 43; y que en los 21 pueblos de la misma provincia, que habían Del oficio que con fecha 9 del presente ha remitido el conde Armildez sido invadidos, iba á menos la enfermedad excepto en algún otro, en que to de Toledo, resulta que en Coreila, Cintrucnigo y Filero habia desaparecido davía causaba algún estrago. casi enteramente la enfermedad que se padecía; que habían sido invadidas la ciudad de Sangüesa y las villas de Arguedas,…</t>
  </si>
  <si>
    <t>Gaceta de Madrid n.º 189</t>
  </si>
  <si>
    <t>…ales y profanos , que hacían / Madrid 22 de Agosto, "voto de renunciar. Considerados bajo el aspecto político eran como cuerpos fuera de la nación, indiferentes al bien ó at mal de sus conciudadanos; y sir Según parte del general conde Armildez desde Pamplona, el general Atvviendo eficazmente al gobierno despótico ó tirano si de él esperaban favores y leo, encargado de la persecución de Zumalacarregui, maivhú sohre él el I4 /-consideración. A su influencia, tanto mas peligrosa cuanto mas oculta, sobre desde Irutzun por Lecumberri al valle…</t>
  </si>
  <si>
    <t>Armona, D Domingo</t>
  </si>
  <si>
    <t>D Domingo Armona</t>
  </si>
  <si>
    <t>…aminado la proposición hecha /por la Cámara de Diputados prendido por un comisario de policía, acompañado de alguna tropa de la par respecto á las alteraciones que deben hacerte al decreto de 23 de Julio de 1834 tida del teniente coronel D. Domingo Armona destinada i perseguir los mal que extingue el papel moneda: hablaron vario» Pares, ya en favor ya en contra hechores en esta isla. del parecer de la comisión, y la Cámara aprobó dicho dictámen* Un mes antes habia sido pregonado Caniguí como, ladrón y asesino fa Pasóse después á escrutinio para eleg…</t>
  </si>
  <si>
    <t>Armona, Domingo</t>
  </si>
  <si>
    <t>Domingo Armona</t>
  </si>
  <si>
    <t>…la proposición hecha /por la Cámara de Diputados prendido por un comisario de policía, acompañado de alguna tropa de la par respecto á las alteraciones que deben hacerte al decreto de 23 de Julio de 1834 tida del teniente coronel D. Domingo Armona destinada i perseguir los mal que extingue el papel moneda: hablaron vario» Pares, ya en favor ya en contra hechores en esta isla. del parecer de la comisión, y la Cámara aprobó dicho dictámen* Un mes antes habia sido pregonado Caniguí como, ladrón y asesino fa Pasóse después á escrutinio para eleg…</t>
  </si>
  <si>
    <t>Arnat, Joaquín Diaz Ribago y D Miguel</t>
  </si>
  <si>
    <t>Joaquín Diaz Ribago y D Miguel Arnat</t>
  </si>
  <si>
    <t>…e 30 hombres de Extremadura, al cargo del capitán D. Pedro Murías , 60 de Castilla , á las órdenes del teniente graduado de capi Sayona 6 di Sttitmbrr. tán D. José María Choribit, y tres compañías de Borbon á las de los capitanes D. Joaquín Diaz Ribago y D. Miguel Arnat, y del teniente D- José Regí no Se asegura que la junta carlista llegó el dia 3 del corriente con su escolta Mijares. a las alturas de Urdax huyendo de Elizondo , por temor de la columna de Jáu- La caballería avanzó desde luego sobre el pueblo, y cumpliendo exacta regui que seguía hácia Aranaz. Sie…</t>
  </si>
  <si>
    <t>Arnat, Miguel</t>
  </si>
  <si>
    <t>Miguel Arnat</t>
  </si>
  <si>
    <t>…ra, al cargo del capitán D. Pedro Murías , 60 de Castilla , á las órdenes del teniente graduado de capi Sayona 6 di Sttitmbrr. tán D. José María Choribit, y tres compañías de Borbon á las de los capitanes D. Joaquín Diaz Ribago y D. Miguel Arnat, y del teniente D- José Regí no Se asegura que la junta carlista llegó el dia 3 del corriente con su escolta Mijares. a las alturas de Urdax huyendo de Elizondo , por temor de la columna de Jáu- La caballería avanzó desde luego sobre el pueblo, y cumpliendo exacta regui que seguía hácia Aranaz. Sie…</t>
  </si>
  <si>
    <t>Arnau, Pedro</t>
  </si>
  <si>
    <t>Pedro Arnau</t>
  </si>
  <si>
    <t>…del regimientp del Infante, 5.° de línea, D. Isidro Pigem; al referido capitán D. Lucas Pineiro; á los te . Habiéndose declarado Vacante la plaza de oficial segundo de la contadu nientes D. Joaquín Taubia, con grado de capitán; á D. Pedro Arnau, y á los ría de Propios de Orense, se ha dignado S. M. conceder el ascenso i ella al subtenientes del 12 de línea D. Carlos Senesplcda, que desempeñando las fun oficial tercero D. Roque Soriano, y nombrar para cata resulta á D. Pedro de ciones de ayudante contribuyó al buen éxito de esta sorpresa;…</t>
  </si>
  <si>
    <t>Aroetller, Blas</t>
  </si>
  <si>
    <t>Blas Aroetller</t>
  </si>
  <si>
    <t>…k-venta-de un solo objeto de comercio, comoTas sedería*-de—fceoñ 7Tas~cíntas orden deT9 de"Febrero de El^dibuiti es de D. Nicolás García, y el • de Sr/ Etienne, las indianas de Rúan, los paños de Sedan, de. Elbeuf y de grabado de D. Blas Aroetller, que le ha Concluido en poco mas do un año. So Louvpers. halla de venta ca la Rcal Calcografía, á 30 rs. So las orillas del Ródano se establecen los genoveses con sus frutas, secas . y sus fastas; los perfumistas de GrafFe, los cerveceros de Leop , los jaboneros y cordeleros de Marsella, los especi…</t>
  </si>
  <si>
    <t>Arounspcrg</t>
  </si>
  <si>
    <t>…en el departamento de Gaceta promete á la Orecia, que :a verdadera cau^a de la ..epirik.íun de la Justicia, y nuestro ministro y secretario en el departamento de Negocios ex- hombre de Estado se debe á la influencia de Ru-&gt;;a. El conde Arounspcrg* trar.gero , están encargados, cada uno en lo que le concierne, de ejecutar la ex trguo ministro de Biviera en el departamenío del Interior, era gcnérolmeilfi presada pullicacion. tetrmado, y nunca se pu&gt;o en duda su prob'dad y desinterés: dejo el Ritnsstcfio Dado en nuestro palacio de Tullerías e!…</t>
  </si>
  <si>
    <t>Arquellada, Cesáreo</t>
  </si>
  <si>
    <t>Cesáreo Arquellada</t>
  </si>
  <si>
    <t>…ia de Cuenca por renuncia de D. Ignacio María Uzcudun, se ha dignado S. M. nombrar para ella á D. Pablo Manuel Alvarcz, que es oficial tercero de la contaduría del mismo ramo de Búrgos; y para esta íkax lotería uodekna. resulta á D. Cesáreo Arquellada, escribiente que fue de la de Granada. Noticia de los pueblos y administraciones donde han cabido los 16 premiar, mayores de los 1200 que comprende el sorteo de este dia. Para la plaza de oficial tercero de la contaduría de Propios de Lérida, vacante por dimisión de D. José de Saqui y Estevanes, ha…</t>
  </si>
  <si>
    <t>Arquimhau, Felipe</t>
  </si>
  <si>
    <t>Felipe Arquimhau</t>
  </si>
  <si>
    <t>…es favorable. Santana tiene en la ciudad dos millones de dolars, que se Doña ¡María Antonia de Soria, acogiéndose bajo su Soberano ampa propone enviar por la costa cuando tenga bastantes tropas para escoltarlos. ro, como viuda de D. Felipe Arquimhau, teniente que fue del re- (Jdem.) imiento infantería de Extremadura; el cual, habiendo sido apre- ntAMCLA. endido por las hordas del rebelde Zumalacarregui, fue fusilado in Parir 19 de Agosta. humanamente por haberse resistido á tomar partido con ellas, que dando la exponente en la mayor horfandad…</t>
  </si>
  <si>
    <t>Arrave, Joaquín Garay</t>
  </si>
  <si>
    <t>Joaquín Garay Arrave</t>
  </si>
  <si>
    <t>…Sres. directores generala de rentas D. Antonio Alonso, D. José ría mas ventaja á los torys que el aumento de 20 ó 25 votos, cosa que para Aranalde., D. Agustín Rodríguez y D. Domingo Torra................ .. 2000 nada les sirve ” D. Joaquín Garay Arrave , por ahora.............................................. 100 VXANCIA. D. José Ventura de Aguirre Solarte.................................................. 4^00 Kxcmo. Sr. marques de Cerralvo........................................................... 6000 París 11 dt Julio. D. M. y A. T. H. mensual…</t>
  </si>
  <si>
    <t>Arredondo, Gabaldon Luis</t>
  </si>
  <si>
    <t>Gabaldon Luis Arredondo</t>
  </si>
  <si>
    <t>…ritura. que se dirigirán la fallecieron clusive ciudad 7 personas, y que en el Real hospicio de la misma concejo. en expresado de juez dias, ?'rancoslos casosde 20 porte, primero del el término al . en convalecencia. daban 197 de D. Gabaldon Luis Arredondo, fallecimiento de que fue capitán la Guar y —Por dia Real de infantería, y dé su hermana Dolía Isabel Gabaldon, ha pretendido Don PROVINCIA DE FALENCIA. Luis Gabaldon, hijo natural del primero, *• le declara por heredero de aquello*, en ■tención 4 carecer ambos de legitimo* Con fite motivo W Cira*…</t>
  </si>
  <si>
    <t>Arriaga, María Antonia</t>
  </si>
  <si>
    <t>María Antonia Arriaga</t>
  </si>
  <si>
    <t>…hecho en cada uno de los ramos que abraza tan la Reika. nuestra Señora que en esta ocasión se presentó en la muralla con una vasta dependencia, y lo que se prepara con madurez para conseguir en lo posi carabina y bayoneta armada Doña María Antonia Arriaga, esposa de D. Víc ble la perfección, no se puede dejar de conocer la distancia que media ya en tor Fernandez, preceptor de gramática y Urbano de esta villa, cuyo heroísmo tre lo que eramos hace seis meses y lo que somos en el dia. enterneció á la tropa y Urbanos encendiendo sus ánimos , resuellos e…</t>
  </si>
  <si>
    <t>Arriaz</t>
  </si>
  <si>
    <t>…onuncian blico, contiene entre otras muchas composiciones la preciosa oda titulada Profecía del arengas largas y animadas hasta que se ventile la cuestión bajo todos sus aspec Pirineos y el hermoso Himno de la victoria con que el Sr. Arriaz* celebró la entrada tos. En seguida el cacique, que es el presidente de la junta, da su opiniou, y de nuestras tropas en Madrid, y la vergonzosa fuga del usurpador Bonaparte, á con secuencia del glorioso triunfo de Bailen. Acompaña el mismo discurso que en la refe las somete al voto de la asamblea…</t>
  </si>
  <si>
    <t>Arríaza, Juan Bautista</t>
  </si>
  <si>
    <t>Juan Bautista Arríaza</t>
  </si>
  <si>
    <t>…nte. Epístola á Fanni sobre el asedio de la 3Sla Gaditana en 1823; por D. Juan Raurista de Arríaza. Un cuaderno en 8.° marquilla que puede ir en carta, a 2 rs. rústica. , PROVINCIA DB TERÜHI. ——El dos de Mayo. Himno patriótico de D. Juan Bautista Arríaza, dispuesto para escena con la adición de un monólogo, por el mismo autor. Un cuaderno en 8.°, edi .üv; Segua.parte.de 8 del presente ponsta que desde 4 ¿4 dclroiimo sola, ha-, ción— Gr*m4ti¿i-dedé 1814 &lt; 4 12 lacuartoslenguarústica.inglesa, que contiene reglas fáciles para su pronunciación fallecid…</t>
  </si>
  <si>
    <t>Arrisueño</t>
  </si>
  <si>
    <t>…las esposas, en lugar de despedirse con lágrimas de sus hijos o maridos, qu* SU proyecto. Cerca de las diez de la noche llegó á esta plaza el teniente iban á correr los azares de la guerra, los estimulaban á la pelea con tanto re coronel Arrisueño á preguntar al presidente de parte de Gamarra el motivo gocijo como habrían podido tener el dia de sus bodas. Se complacían cn.prtr? de su venida al Callao y del alboroto en que se hallaba el pueblo. El presi- ¿«ociar las-refriegas, comunicando su entusiasmo á los guerreros, y premiando ' detííe co…</t>
  </si>
  <si>
    <t>Arró.pide, Juan</t>
  </si>
  <si>
    <t>Juan Arró.pide</t>
  </si>
  <si>
    <t>…os, gefe de las montañas de Jerusalen, condenado á ias galeras de S. Juan Que el capitán del 1.® de línea D. Manuel Vivero, y el teniente &lt;t«t S.® li de Acre por haber quebrantado la prohibición referida. El numero de insur geros D. Juan Arró.pide siguiesen con otra de refuerzo ; y al bizarro coronel gentes que se levantaron en aquella parte de Siria se valuaba en unos 253 D. Ignacio de Hotos confié la reserva compuesta de otras dos mitades al cargo hombre-»: pero luego prendió el fuego de la insurrección erpre los árabes ane del teniente de…</t>
  </si>
  <si>
    <t>Arroyo, Castor y</t>
  </si>
  <si>
    <t>Castor y Arroyo</t>
  </si>
  <si>
    <t>…erencias, parece se disponían á penetrar gadier Fojá, y otra del provincial de Cuenca, dependiente de Moté I en las meriridades de Castilla, apoyando la irrupción qué hacia Ha; en cuya plaza se hallaba el general Hore, comandante general Castor y Arroyo que se adelantaban en dirección de la Lievana. del norte del reino de Valencia. En el de Aragón no había mas par El bizarro brigadier Iriarte que manda en dichas merindades mar tida que la de Conesa, que sorprendida por el coronel Rebollo á chaba á su encuentro, mientras otras fuerzas destacadas de…</t>
  </si>
  <si>
    <t>Art, Francisco</t>
  </si>
  <si>
    <t>Francisco Art</t>
  </si>
  <si>
    <t>…lud. Procuradores del Reino en quienes ha de recaer la elección deS. M. Del mismo beneficio disfrutan SS. AA. la Serma. Señora Infanta para Presidente y Vicepresidente de dicho Estamento. Doña María Luisa, y el-Sermo. Sr. Infante D. Francisco. Art. 30. La votación se hará de esta suerte: Se colocará ana . De Real orden lo participo í V. E. para su satisfacción y efec urna sobre la mesa en la que cada uno de los Procuradores depositará tos oportunos. cinco cédulas con los Dombres de cinco Procuradores del Reino, cu Dios guqrde á V. E. muchos años. Sa…</t>
  </si>
  <si>
    <t>Art, Francisco de Paula</t>
  </si>
  <si>
    <t>Francisco de Paula Art</t>
  </si>
  <si>
    <t>20/07/1834</t>
  </si>
  <si>
    <t>Gaceta de Madrid n.º 153</t>
  </si>
  <si>
    <t>…previa la compe tente formación de causa, a los que con la asonada ó tumulto bayas Del miaño beneficio disfrutan SS. AA. la Señora Infanta Doña cometido asesinatos, incendios, rollos ú otros delitos. María Luisa y el Sr. Infante D. Francisco de Paula. Art. 7? Todo empleado de cualquiera clase que sea aprehendi do en un grupo sedicioso, después de tas intimaciones de ja autori De Real orden lo participo á V. E. para su satisfacción y efec dad, sin mas que justificarle aquel hecho, quedará privado de.su tos oportunos. Dios guarde á Y. E. muchos años. S…</t>
  </si>
  <si>
    <t>Art, Go</t>
  </si>
  <si>
    <t>Go Art</t>
  </si>
  <si>
    <t>06/07/1834</t>
  </si>
  <si>
    <t>Gaceta de Madrid n.º 139</t>
  </si>
  <si>
    <t>…obtenido mayor nú mero de votos en esta. Oficio recibido en el ministerio de lo Interior. Art. 37. Igualmente el destino de archivero se desempeñará por turno entre los directores. Excmo. Sr.: SS. MM. la Reina nuestra Señora y la Reina Go Art. 38. Las elecciones se harán por votación á propuesta de la bernadora, como también S. A. la Sra, Infanta Doña María Luisa, Di reccion. continúan sin novedad en su importante salad. Lo que de Real or Art. 39. La votación sobre los asuntos discutidos se hará por él den participo á V. É. pará su satisfacción…</t>
  </si>
  <si>
    <t>Art, Infanta Doña María Luisa</t>
  </si>
  <si>
    <t>Infanta Doña María Luisa Art</t>
  </si>
  <si>
    <t>….rocld.t,s pu- ei Estamento d ^-procureuhjrsé con S. M. sü augusta Hija. radores, volverá á este dé lio j.reyerto, ,i tin .le que pueda'discuftrTambién goza dé perfecta salud en el expresado Real Sitio la lo de nuevo. ' • Se mía. Sra. Infanta. Doña María Luisa. Art. 12b. Si desjiues de esta segunda discusión no refaluten’ * confirnies uno y otro Estamento, se en'en !erá ■ brechado veetOj v no podra volver .t tratarse le el en aquel! i legiáatara. " Art/127. Todo lo concerniente al r.odo le reunirse uno* y'.TtfS Cqnqluye ei Reglamento para el régimen j' gobiern…</t>
  </si>
  <si>
    <t>Art, Infante D Francisco</t>
  </si>
  <si>
    <t>Infante D Francisco Art</t>
  </si>
  <si>
    <t>…portante salud. Procuradores del Reino en quienes ha de recaer la elección deS. M. Del mismo beneficio disfrutan SS. AA. la Serma. Señora Infanta para Presidente y Vicepresidente de dicho Estamento. Doña María Luisa, y el-Sermo. Sr. Infante D. Francisco. Art. 30. La votación se hará de esta suerte: Se colocará ana . De Real orden lo participo í V. E. para su satisfacción y efec urna sobre la mesa en la que cada uno de los Procuradores depositará tos oportunos. cinco cédulas con los Dombres de cinco Procuradores del Reino, cu Dios guqrde á V. E. muchos años. Sa…</t>
  </si>
  <si>
    <t>Art, Infante D Francisco de Paula</t>
  </si>
  <si>
    <t>Infante D Francisco de Paula Art</t>
  </si>
  <si>
    <t>…n imponerse, previa la compe tente formación de causa, a los que con la asonada ó tumulto bayas Del miaño beneficio disfrutan SS. AA. la Señora Infanta Doña cometido asesinatos, incendios, rollos ú otros delitos. María Luisa y el Sr. Infante D. Francisco de Paula. Art. 7? Todo empleado de cualquiera clase que sea aprehendi do en un grupo sedicioso, después de tas intimaciones de ja autori De Real orden lo participo á V. E. para su satisfacción y efec dad, sin mas que justificarle aquel hecho, quedará privado de.su tos oportunos. Dios guarde á Y. E. muchos años. S…</t>
  </si>
  <si>
    <t>Art, José María Mostoso de Altamira</t>
  </si>
  <si>
    <t>José María Mostoso de Altamira Art</t>
  </si>
  <si>
    <t>…ndido, y dispondréis lo necesario á su cumplimiento*^ particular de alalino ó algunos de sus individuos, no se permiíirá Está rubricado de la Real mano. = En S. Ildefonso á 17 de Julio leer ningún vi iscurso escrito. de 1854. = A D. José María Mostoso de Altamira. Art. ál). Cada Prócer tendrá el derecho de hablar desde la tribu na, ó puesto en pie delante del asiento que ocupe. MINISTERIO DE ESTADO. Art. ál. Cuando el Presidente del Estamento quiera usar de su derecho de hablar en calidad de Prócer, delierá dejar su asiento, y Circular remitida por la primará Sec…</t>
  </si>
  <si>
    <t>Art, María Luisa</t>
  </si>
  <si>
    <t>María Luisa Art</t>
  </si>
  <si>
    <t>…ei Estamento d ^-procureuhjrsé con S. M. sü augusta Hija. radores, volverá á este dé lio j.reyerto, ,i tin .le que pueda'discuftrTambién goza dé perfecta salud en el expresado Real Sitio la lo de nuevo. ' • Se mía. Sra. Infanta. Doña María Luisa. Art. 12b. Si desjiues de esta segunda discusión no refaluten’ * confirnies uno y otro Estamento, se en'en !erá ■ brechado veetOj v no podra volver .t tratarse le el en aquel! i legiáatara. " Art/127. Todo lo concerniente al r.odo le reunirse uno* y'.TtfS Cqnqluye ei Reglamento para el régimen j' gobiern…</t>
  </si>
  <si>
    <t>Art, Mariano</t>
  </si>
  <si>
    <t>Mariano Art</t>
  </si>
  <si>
    <t>…8 de Mayo de 1828 que rige do, en atención al quebranto de su salud; nombrando para suceder- provisoriamente la libertad de imprenta hasta la sanción de la ley permanente. le al agente fiscal D. José Ibañez, y para esta resulta a D. Mariano Art. l.° Ningún periódico ni papel suelto podrá imprimirse sin llevar ci Muñoz y López. nombre del editor, que será responsable en todo abuso de la libertad de im prenta que se note en su contenido. 2. ° Siendo los asuntos políticos materia de discusión grave y seria, queda prohibido el tratarlas de otr…</t>
  </si>
  <si>
    <t>Art, Nico</t>
  </si>
  <si>
    <t>Nico Art</t>
  </si>
  <si>
    <t>22/12/1834</t>
  </si>
  <si>
    <t>Gaceta de Madrid n.º 312</t>
  </si>
  <si>
    <t>…ses que podría haber que pagar en la hemet-Alí tiene un miedo espantosó á los rusos; lo ha probado en mas de una una ó la otra de dichas plazas, se fijará ulteriormente. ocasión, y sobre todo en esta. A quien quiere agradar es al Emperador Nico Art. lá. El contratante tendrá el derecho de determinar la pro lás; pues ciertamente no es por dar gusto á Luis Felipe ni á los franceses por porción , en la cual entenderá domiciliar en cada una de las plazas lo que hace tantos gastos, se muestra tan político, y honra de tal modo á un indicadas en el a…</t>
  </si>
  <si>
    <t>Art, Valentín</t>
  </si>
  <si>
    <t>Valentín Art</t>
  </si>
  <si>
    <t>…al asesinato político.” (Viva aprobación.) . 4 Payana 8 de Junio. / Fueron reprobadas las modificaciones, y adoptado el articulo fi.° como igualmente los que siguen: . ‘ ' Ha sido preso en esta ciudad Vicente de Gírate, criado de D. Valentín Art. ó.° «Serán condenados á trabajos forzados por tiempo determinado los Verásteguí, que bajo el falso nombre de Juan Berain trataba-de introducirse en individuos qué fen uu movimiento insurreccional sé apoderasen con amenazas ó España y estaba oculto en esta ciudad tres dias hacia, siendo portador de…</t>
  </si>
  <si>
    <t>Artal, José</t>
  </si>
  <si>
    <t>José Artal</t>
  </si>
  <si>
    <t>…diencia á preceptos que recilla Hidalgo, alcalde mayor de Jerez de los Caballeros; a D. José Fer su conciencia no tiene por legítimos, y á la que jamás dió expreso asenso: nandez Míluego, alcalde mayor de Fregenal de la Sierra; á D. José Artal, al solo aquel que reconoce la autoridad, y después la desprecia y quisiese destruir, calde mayor de Garrobiilas; á D. Manuel Calvache y Moya, alcalde mavor merece ser acusado y castigado como traidor, porque viola un pacto y un ju de Tarragona; á D. Ramón Fernandez Broto, alcalde mayor de Potes; á…</t>
  </si>
  <si>
    <t>Arteagaj, Antonio</t>
  </si>
  <si>
    <t>Antonio Arteagaj</t>
  </si>
  <si>
    <t>…José Leocadio Ahumada: para la de Padrón á D. Antonio Galle sia blanca, el de Odessa, el del Cáucaso y el de la Siberia. (G. dt las postor go Moron: para la de Rioseco á D. José Velasco de Castro: para la de Francfort.) de Vigo á D. Antonio Arteagaj para feyle Cambados á D. Ricardo «AVIESA. Bovo; para la de Ujijar á D. José de Navas García : para la de Ta— Munich 2 de Mayo. rancon á D. Manuel de los Ríos Gómez de Salazar: para la de Oli- Ya se han puesto en ejecución las medidas adoptadas contra los suizos, y venza á D. Diego Alvarez Osorio; y…</t>
  </si>
  <si>
    <t>Arteta, Mariano Valero y</t>
  </si>
  <si>
    <t>Mariano Valero y Arteta</t>
  </si>
  <si>
    <t>…ón, libertad y gloria que nuestra Isabel nos prepara, siguiendo las huellas Extracto det parte remitido por el gobernador civil de tí provincia de Lé dé la inmortal Cristina, que con mano benéfica ^protectora nos prodiga los rida D. Mariano Valero y Arteta cpn fecha de 30 de Juqio último. mayores bienes por medio de sus sabias disposiciones, que girando i destruir En esia provincia ifo es ei agua tan escasa como éd otras, mas no está la ignorancia, va cimentando ¿n las bases sólidas'de la ilustración , suGobíer- bien aprovechada „ y á pesar de su abu…</t>
  </si>
  <si>
    <t>…itantes Su llegada á este puerto fue también motivo de una fiesta en la 'Extracto del parte remitido por el gobernador civil de ia provincia de Lé cual tomaron parte las embarcaciones de comercio ancladas en bahía. Todos los rida D. Mariano Valero y Arteta con fecha 31 de Mavo último. capitanes empavesaron para manifestar ai-almirante su agradecimiento por el Ha remitido al Gobierno para su resolución un informe sobre las ventajas pronto socorro que aquel ha prestado á la marina mercante en todas las cir ,de conceder á los pueblos de aquella provinci…</t>
  </si>
  <si>
    <t>…onceda á esta última provincia una parte de los 2 rs. en fanega de sal que Extracto del parte remitido por el gobernador civil de la provincial de pagan los habitantes por la que consumen, y que hasta ahora nunca han sido' Lérida D. Mariano Valero y Arteta, con fecha de 30 de Abril anterior. empleada en beneficio de los misma. Continúa averiguando los medios qne serian menos gravosos i los pueblos para conseguir la libre fabricación, tráfico y consumo dé los aguardienta quo serian tan útiles en aquella provincia. Con fecha 24 del corriente avisa el p…</t>
  </si>
  <si>
    <t>Artiaga, Bartolomé</t>
  </si>
  <si>
    <t>Bartolomé Artiaga</t>
  </si>
  <si>
    <t>…en las iglesias los en cierre a en las ermitas que haya fue . D. A. B. y su esposa.................................................................... 500 ra de pobladoobligándoles también de este modo indirecto á que procedan á D. Bartolomé Artiaga, 5i)0 rs. por ahora, y 6ü mensuales mientras la. construcción de cementerios. dure la enfermedad desde l.° de Agosto................................... S00 Se organiza en e&gt;ta capital la 5.a compañía de infantería dé la Milicia ur D. M. y B., por ahora 40 rs., y 20 mensuales mientras dure la en ban…</t>
  </si>
  <si>
    <t>Articulo</t>
  </si>
  <si>
    <t>…justicias dé los pueblós donde tenían su domicilía los au *; sentes,-y las de aquellos donde tuvieren bienes, abrirán desde luego, De las comisiones de propincua .... bajo su responsabilidad , con citación del procurador síndico general, Articulo .1 ? En cada capital de provincia se establecerá una co unabreve información sumaria, en la qué de público ó por hecho» misión compuesta del gobernador civil,’ presidente; del párroco domdeterminados conste iá fuga é incorporación á las facciones. de no haya mas que pno, ó del que elija el mismo go…</t>
  </si>
  <si>
    <t>Artículo, D José Racnon</t>
  </si>
  <si>
    <t>D José Racnon Artículo</t>
  </si>
  <si>
    <t>Gaceta de Madrid n.º 104 · extraordinaria</t>
  </si>
  <si>
    <t>…as comprendidas en * de las consideraciones con que tengo la honra de ser de V. E. &amp;c. = El duque ella , convino para llevarla á efecto en los siguiente» artículos de ejecución: de Terceira. = Azerujo 22 de Mayo ¿c 1834- = Excmo. Sr. D. José Racnon ' Artículo l.° Se expedirán inmediatamente órdenes á todos los comandan Rodil.» tes de plazas y fuer/as en campaña, y á todas las autoridades que reconozcan aun el gobierno del Sr. D. Miguel, para que inmediatamente se sometan al De esta suerte se ha verificado que mientras los partidarios de la usurpa— gobie…</t>
  </si>
  <si>
    <t>Artículo, José Racnon</t>
  </si>
  <si>
    <t>José Racnon Artículo</t>
  </si>
  <si>
    <t>…omprendidas en * de las consideraciones con que tengo la honra de ser de V. E. &amp;c. = El duque ella , convino para llevarla á efecto en los siguiente» artículos de ejecución: de Terceira. = Azerujo 22 de Mayo ¿c 1834- = Excmo. Sr. D. José Racnon ' Artículo l.° Se expedirán inmediatamente órdenes á todos los comandan Rodil.» tes de plazas y fuer/as en campaña, y á todas las autoridades que reconozcan aun el gobierno del Sr. D. Miguel, para que inmediatamente se sometan al De esta suerte se ha verificado que mientras los partidarios de la usurpa— gobie…</t>
  </si>
  <si>
    <t>Arto-aumentaban, Ahdreé</t>
  </si>
  <si>
    <t>Ahdreé Arto-aumentaban</t>
  </si>
  <si>
    <t>…desde su cuartel general de Hato, avisa no haber novedad, y qué id de iré! censos, el uno perpetuo de 2 mré. vn. inusles perteneciente 4 D- Franciicti Tí. fai la, el otro redimible de 23,651 rs. 26 mrs. 4 favor del nwytaraagó de D. Ahdreé Arto-aumentaban con celeridad las defensás principiadas para impedir él pisó del Ebro. gados detpuet en Otra de la calle deSre. Inés, distinguida con tV'nÍm76 en7a‘¿a’nrané SITADO SANITARIO DEÍ, &amp;EWO. ,* ■ . jL,hospitalque etlde'«1ladiaFasionperaeneeede eiráá corte,U. Reul4arcbieoftadíafin de que ensacrainentalel…</t>
  </si>
  <si>
    <t>Artola, Juan Ignacio</t>
  </si>
  <si>
    <t>Juan Ignacio Artola</t>
  </si>
  <si>
    <t>…ardia dos. que sigue la propia ruta y di gento de la 1.a Mariano Landa y el voluntario de la 4-a Juan Rodríguez, el chos tránsitos, siendo cl mío de mañana 9 á Trujíllo, el de pisado lo á Casas subteniente de celadores de Vergara D. Juan Ignacio Artola, los granaderos dpi Puerto ó Almaraz, el 11 á Oropesa , él 12 á Talavcra de U Reina, el 13 del batallón de S. Fernando Juan Manso y Joaquín Gaspar, y contusos cl ca descanso allí, á no mandar lo contrario S, M- Dio* 3tc. zador Juan Martínez y Manuel San Juan,-'ambos del citado batallón. »En todos l…</t>
  </si>
  <si>
    <t>Gaceta de Madrid n.º 55 · suplemento</t>
  </si>
  <si>
    <t>…y del Despacho de la Guerra. parte , á pesar de que los valientes celadores se mezclaron con los enemigos. Estos merecen premio, Excmo Sr., y principalmente El 10 por la mañana salió el general Quesada de Puente la el subteniente D. Juan Ignacio Artola. que los mandaba. También Reina para Tudela, en combinación con el brigadier Linares para merecen recomendación las seis compañías de S. Fernando. La me caer sobre la facción de Zumalacarregui. recen sus gefes y oficiales, y principalmente el comandante Don Jaime Burgués, que viendo que no podía lle…</t>
  </si>
  <si>
    <t>Aruestro</t>
  </si>
  <si>
    <t>…p■« V:J- J). Juaa i Dios guarde á V. E. muchos años. Puerto-Rico \\ de Noviembre de 1833. Gualbctlo Cionz.alez. =: Excmo. Sr. =z Miguel de la Torre. = Excmo. Sr. Secretario de Estado y del Expon. ,i S. dir. /.» Rb u Cl: Despacho. Señora: Aruestro obispé abad AEala la Real . Excmo. Sr.: He. recibido la Real orden que se ha servido V. F.. comuni miento que le lia causado la muer 'e vuestro icg-.o : cante con fecha 8 de Octubre último , y entcrájoine con suma satiaf.ts. J&gt;'ti de byV E. P. ID.), no puede menc-s de ,.t-'cir j A . M ^ que la Rein…</t>
  </si>
  <si>
    <t>Arvia, Rafael Martínez</t>
  </si>
  <si>
    <t>Rafael Martínez Arvia</t>
  </si>
  <si>
    <t>…lítica bastante pura, y su honradez y probidad su D- Pedro Goossens.................................................................. ............. 320 ficientemente conocidas, para que se creyese obligado á contestar a un ataque D. Rafael Martínez Arvia................................................. bajo y cobarde, solo digno del mas alto desprecio. Desde el gran número de Doña M. C. y R........................................................ .......................... 200 derrotas que ha experimentado el partido tory, tanto en el sistema de politice Un sugeto que no quiso dar el nombre.......…</t>
  </si>
  <si>
    <t>Arycrve, Joaquín</t>
  </si>
  <si>
    <t>Joaquín Arycrve</t>
  </si>
  <si>
    <t>…m.ir.iU-'tar a \ - K. que ame-, de a\r: / iv go , cumpieafvn de S. M. dores. Dios ¿toe. Lidon 26 de Abril de 1834, 3 l3*1 °cho de la noche.c=Ex- la Ruina Recenta y Gobernadora , ^ enr1' .• en H torreón mas alto de este •^«ttísimo Sr. Joaquín Arycrve. = Excmo. Sr. Capitán general del reino de castillo el pabellónpabe. C'piñ &gt;1 , saludándole v ah:m «id* !e cm triple salva de arri- =£s copia.=Ézpeleta. llena. La -.tuarv: pilsi nhr K. armo en la explanada á las seis de la tarde, llin * p- Tedios Sitadones, enteros ove. ínter* rr “Columna móvil.crEx…</t>
  </si>
  <si>
    <t>Aryiieiles</t>
  </si>
  <si>
    <t>…o nombre no se puede niaocillar, sino al mismo Estamento, y el muchos propietarios, y que asciende á la cantidad que la ley requiere: por ella escándalo que causaría á España y á toda Europa el oir que L). Agustín Ar se ve que el Sr. Aryiieiles no puede ser excluido. EL Estatuto Reai en el guelles, tan conocido desde las columnas de Hércules hasta el Vístula, fue art. 14-dice que para ser Procurador se necesita tener la renta de 128 rv Y rechazado del Congreso de su Nación, en donde hizo un papel tan sobresalien pregunto yo ahora: estos -…</t>
  </si>
  <si>
    <t>Asegura, Agustín</t>
  </si>
  <si>
    <t>Agustín Asegura</t>
  </si>
  <si>
    <t>25/06/1834</t>
  </si>
  <si>
    <t>Gaceta de Madrid n.º 128</t>
  </si>
  <si>
    <t>…n Villar de Arnedo, i fin vincia de Valencia, tenia principiada en virtud de mis indicaciones anteriores de proporcionar riego á los campos del término de Nidria les. una Operación combinada con el gobernador de Tortosa y coronel D. Agustín Asegura que la cosecha parece que será abundante de resultas de la* Hurtase Nogueras, sobre el pueito de Bcceyte y Pozos de la nieve , en los que se habían Ha pedido á los ayuntamientos informes sobre el estado de las fábricas, f reunido todas las facciones del bajo Aragón , y las de las fronteras de Valen…</t>
  </si>
  <si>
    <t>Asegura, D Agustín</t>
  </si>
  <si>
    <t>D Agustín Asegura</t>
  </si>
  <si>
    <t>…tanque en Villar de Arnedo, i fin vincia de Valencia, tenia principiada en virtud de mis indicaciones anteriores de proporcionar riego á los campos del término de Nidria les. una Operación combinada con el gobernador de Tortosa y coronel D. Agustín Asegura que la cosecha parece que será abundante de resultas de la* Hurtase Nogueras, sobre el pueito de Bcceyte y Pozos de la nieve , en los que se habían Ha pedido á los ayuntamientos informes sobre el estado de las fábricas, f reunido todas las facciones del bajo Aragón , y las de las fronteras de Valen…</t>
  </si>
  <si>
    <t>ASEL, I</t>
  </si>
  <si>
    <t>I ASEL</t>
  </si>
  <si>
    <t>29/05/1834</t>
  </si>
  <si>
    <t>Gaceta de Madrid n.º 98</t>
  </si>
  <si>
    <t>…as extrangeras. Con una mano ha destruido las fac Condiciona estipuladas entre el teniente general de los Reala ejércitos da ciones intestinas, y con la otra se resiste á las exigencias de los gabinetes que S. M. Católica la Sra. Doña I9ASEL ti, y general en gefe del de operación» quieren intervenir en sus negocios. »Toca pues á la Francia sostener i la Con en Portugal D. José Ramón Rodil, y el coronel Rodrigo de Souza Curella de federación helvética en la línea de política que ha adoptado, tan distante de la Cartllho, comandante de la…</t>
  </si>
  <si>
    <t>AsenHa, Pascual</t>
  </si>
  <si>
    <t>Pascual AsenHa</t>
  </si>
  <si>
    <t>20/05/1834</t>
  </si>
  <si>
    <t>Gaceta de Madrid n.º 89</t>
  </si>
  <si>
    <t>…quese bagan iguales investigaciones en toda la pro Ha comunicado la Real ordeft de 12dé Abril para la reunión de Us citevincia para obtener su estadística geológica,. ; -dros de botámea-y agricultura, encargandosi^conservacion á D. Pascual AsenHa dispuesto que se aumente el número de regidores de aquella capital, por ' sio, y á la universidad literaria la contribución para los gastos, y se^ instruye no haber bastantes para el despacho de los negocios , y ha hecho que recaiga la expediente sobre este asunto. elección en personas de arraigo,…</t>
  </si>
  <si>
    <t>Asensi, Buenaventura</t>
  </si>
  <si>
    <t>Buenaventura Asensi</t>
  </si>
  <si>
    <t>…ácilmente se prueba que lo que se ha hecho no ha sido sino res Sevilla; á D. JoséValdenebro de la misma; á D. Lorenzo Casaux, tablecer nuestras antiguas leyes fundamentales; coordinándolas de oidor de la audiencia de Granada, y á D. Buenaventura Asensi, ¡tal manera que adquieran para sí mayor vigor y fuerza, en prove- que lo es de la misma: en clase de alcaldes del crimen á D. Ma ¡che» común del trono y de los pueblos. Ninguna disposición ¡m- nuel Romero Briones, alcalde de la de Granada, á D. Andrés Iportante se halla en el Estatuto que no se en…</t>
  </si>
  <si>
    <t>Asensio, Franciíco Bclda y</t>
  </si>
  <si>
    <t>Franciíco Bclda y Asensio</t>
  </si>
  <si>
    <t>…a de no tomar en consideración las adiciones que so secretario. = Ferriiin Caballero , Procurador secretario.=Tclesforo de Ttueba ., hicieron» una sobre preferir para los empréstitos á ios españoles» y otra para Cosío, Procurador secretario =Franciíco Bclda y Asensio, Procurador secreta «que se negociasen las ¿cerones en Madrid; acordándose asimismo que no se ex rio. = fes copia.=González, Procurador secretario: == Caballero, procurador presase en el acta» para que no constase por escrito en la secretaría; y que solo secretario. - V . 'fuese un recuerdo para-el…</t>
  </si>
  <si>
    <t>Aseó</t>
  </si>
  <si>
    <t>…s expósitoi; la instrucción en la lectura bajo el método de Va— inérito cpntraido por los gefes que los han dirigido, y muy particularmente lie jo; la reunión de señoras distinguidas y benéficas qu» ve presten á este latidapor el alcalde Aseó, herido en' la acción. Dios nuestro Señor guarde á V. E. ble fin; la agregación de fondos de cofradías y hermandad» que no leagan ob muchos años. Cuenca 26 de Julio de 1834- = Excmo. Sr. = Ventura de Cór jeto lan útil; el encargo á las hijas de la’caridad cuando pueda ser conveniente, doba. =Excmo.…</t>
  </si>
  <si>
    <t>Asi, Carlos</t>
  </si>
  <si>
    <t>Carlos Asi</t>
  </si>
  <si>
    <t>…asco, Polo y Monge, y Trueba Cosío. ____ de Guebhard, se verían obligados nuestros sucesores en otro cambio político á Se aprobó la siguiente proposición del Sr. conde de las Navas: «Pido que reconocer los empréstitos que hiciera D. Carlos. Asi, pues, el Gobierno'de se ponga á votación el artículo tal como le presenta el. voto particular de la bió contar con estos dos extremos al tiempo de proponer su proyecto; proyec minoría de la comisión.” to que prescindiendo del primer artículo, que nunca hubiera aprobado yo, en En su consecuencia se…</t>
  </si>
  <si>
    <t>Asi, Isabel</t>
  </si>
  <si>
    <t>Isabel Asi</t>
  </si>
  <si>
    <t>…aciones únicas de que es susceptible esta cues porque creo que ahora se fijará otra asignación á U Reina Regenta, con ar tión, deducir números. Pues bien, múdense las cantidades; póngase en el que reglo á la qus se señale á S. M. Doña Isabel 11. Asi que el Estamento no de ha dicho 24, 20; y 20 en el que ha dicho 24, f se verá que los díscur&gt;o* que be ocuparse de cs'e asunto hasta que la Comisión hava presentado su dietámen.” dan perfectamente lo mismo que.estaban" antes. Prueba de que entre sus argu El Sr. CaltierOfi Callantes : »&gt;La posición…</t>
  </si>
  <si>
    <t>Asi, Rtpori</t>
  </si>
  <si>
    <t>Rtpori Asi</t>
  </si>
  <si>
    <t>Gaceta de Madrid n.º 288</t>
  </si>
  <si>
    <t>…er en ¿1 bien sea la jurispru whjgs , en que entrarían el duque de Wellington, sir Roberto Pcel, lord Stan dencia , la medicina ó la cirugía, y aun de ser admitido como candidato pre ley, sir James Graham, el dfrque de Richmond y lord Rtpori. Asi formado dicador. Mandamos á todas las, personas interesadas en este particular que atien el ministerio, no hay duda que reuniría, á hombres de grandes talentos, expe dan al susodicho decreta riencia y ranga En virtud dcl pleno poder especial de S. Adolfo Altea. ,tX,a; r Til Cottrief dice /que no ha…</t>
  </si>
  <si>
    <t>Asimismo</t>
  </si>
  <si>
    <t>…ninguno; pues aunque dientes ai ayuntamiento de dicha villa hasta el 20 del presente mes. habían sido invadidas cinco personas no daban rezelo alguno.” -------En virtud de providencia del Sr. de Norzagaray, del consejo de S. M., teniente Asimismo dice con la propia fecha lo siguiente: ”Excmo. Sr.: La enfer corregidorlás de Ortiz,de seestacitavilla, Mama, refrendaday emplazadelá escribanotodos los quedel númerose crean d,econla derechomisma *D.á unaNicope medad estacional sigue sin notable alteración ni disminución, como observará queña vinc…</t>
  </si>
  <si>
    <t>Asimismo, Cipriano de la Riva</t>
  </si>
  <si>
    <t>Cipriano de la Riva Asimismo</t>
  </si>
  <si>
    <t>…pida la palabra sobre ei todo del proyecto, pasa la del crimen de la audiencia de Valladolid, vacante por promoción de D. Fran Cámara á discutir los artículos, y todos quedan aprobados: después por 110 vo cisco Delgado y Ayala, í D. Cipriano de la Riva. Asimismo se. ha servido tos contra 5 aprueba también el todo de la ley, que con algunas modificaciones trasladar á D. Pascual Méndez Acuña, oidor de la audiencia de Sevilla, í igual «deja en vigor las facultades que el edicto de Junio de 1778 concede á los cón plaza de la de Albacete; á D. José Mariano de O…</t>
  </si>
  <si>
    <t>Asimismo, Ildefonso Qcon</t>
  </si>
  <si>
    <t>Ildefonso Qcon Asimismo</t>
  </si>
  <si>
    <t>…ó en Marieta á las siete, y siguiendo su veloz marcha con uno , habiendo recibido Gómez dos contusiones. También ha sido herido llegó á Larrea sumamente fatigado á las diez y media de la noche, y peroexto el subteniente de Borbon D. Ildefonso Qcon. Asimismo me dice que se han en aquel punto, donde encontró á Uranga y otros facciosos alaveses y navar distinguido muy particularmente los individuos que expresa la adjunta relación, ros , retrocediendo desde allí los vizcaínos á su provincia. que por no dilatar mas este escrito acompaño á V. E- por separad…</t>
  </si>
  <si>
    <t>Asimismo, José García Suelto</t>
  </si>
  <si>
    <t>José García Suelto Asimismo</t>
  </si>
  <si>
    <t>…ora se ha servido separar de la plaza del cd^fe rejo de Navarra á D. Leoncio Ladrón de Cegama, nombrando en su lugar^ D. Antonio Mediano, alcalde de la Real corte de aquel reino; y para esta re ESTADO SANITARIO DEL REINO. sulta á D. José García Suelto. Asimismo ha tenido á bien separar de la plaza de teniente de asistente d« PROVINCIA DE AVILA Sevilla á D. José Maceda, y nombrar para la misma á D. Manuel ValcarceL Con fecha 11 del actual dice su gobernador civil que én la villa de Na vas del Marques no se había presentado ningún caso de colera en los cuat…</t>
  </si>
  <si>
    <t>Asimismo, Ramón Ciscar</t>
  </si>
  <si>
    <t>Ramón Ciscar Asimismo</t>
  </si>
  <si>
    <t>…e Tarragona y Barcelona, por las cuales habían sido elec Estamento de Proceres, se imprimiría y repartiría. tos Procuradores los Sres. D. Guillermo Oliver y D. Ignacio S. Pons y Bar El Estamento quedó enterado. lú en reemplazo de D. Ramón Ciscar. Asimismo acompañaba una exposición EL Sr^ conde de las Navas dijo: «Quisiera aprovechar la ocasión de es del referido Oliver renunciando su efergo, por no permitírselo desempeñar sus tar presente el Sr. Ministro de lo Interior pa a que contestara á una pregunta. circunstancias actuales, nacidas de los infin…</t>
  </si>
  <si>
    <t>Asistieron</t>
  </si>
  <si>
    <t>…raré por mi parte ayudarles en cuanto sea posible. _Sahemra por noticias de Petcrsburgo que el 13 del pasado se celebró con 2. ® «Hacer publicar todos los años, bajo los auspicios del gobierno, una ;ran pompa el aniversario de la Emperatriz. Asistieron* los oficios divinos en colección compuesta de algunas de las memorias mas importantes presentadas á f a catedral S. M. el Emperador, toda la familia Real, consejeros, senadores, las principales sociedades sábias del reino , y ademas una relación sumaria de los autoridades de mar y tierra, y otros emple…</t>
  </si>
  <si>
    <t>Asroedo</t>
  </si>
  <si>
    <t>…otalidad del nuevo fondo creado que redituara ei ínteres activay oirá pasiva: que en cuanto i intereses nadase decía , y que en su con de 5 por 100. cepto no podía quedar asi: que era menester fijar este punto, y cuál había de El Sr. Asroedo: «No comprendo ate artículo, y para poder sotarle qui ser la stierte de los intereses del papel de las Córte* desde que debieron pagarse siera aclarase su contato el Sr. Secretario de Hacienda.” hasta el año 3:5 ; y concluyó diciendo era de parecer se hiciera esta adición al El Se. Secretario del D…</t>
  </si>
  <si>
    <t>Asuero, Luis</t>
  </si>
  <si>
    <t>Luis Asuero</t>
  </si>
  <si>
    <t>Gaceta de Madrid n.º 267</t>
  </si>
  <si>
    <t>…ataluña dice no haber novedad. cido igual número, y continuando en cama dos enfermos. El comandante militar de la provincia de Soria en 4 de Noviembre par PROVINCIA DE ZARAGOZA. ticipa que el comandante de armas del Burgo de Osma D. Luis Asuero, con una columna compuesta de 4$ infantes del primer regimiento de la Guardia Desde 28 á 31 de Octubre último fueron invadidas 9 personas en la caReal de infantería y 4 Urbanos de dicho pueblo, atacó al entrar la noche del iital de esta provincia, curaron 7, fallecieron 4&gt; y quedaban 12 enfermas: e…</t>
  </si>
  <si>
    <t>Asustin.íc</t>
  </si>
  <si>
    <t>…obaLl Galcttív caizdjHb. cómoconciliadore* entre la$ dosTfttótííjnaji-y; pK»pusicron/al cofide Agustín reconocida ^Tpsjñtmelaritas^j'm^ hriM-éntado^ir Iá ptazn paiatratqr crin , el scñado, üe Üevádo'etf'treaBfo'^r^el paddíjl yel conde^Asustin.íc émjbar- - quéd|«&lt;¿TM!ó; lifefc.ifilttí^ljpatajo*JejióÜ’ÍW'W. y í in piftido, en'S.-—'J- «jne 5|ij&lt;ilereii rj!tir4í¿e ipRomeita por élástmó'cfé Conoto, Ajtodos les .c cóidüw'ii teJainócíieVidqíljdD.ái lóS'retidetiitiaí .y al senado muy embaraza dos ni/csta medida,^gób£zña.mcnps, seguro de lograí Sii…</t>
  </si>
  <si>
    <t>Át, Gobernadora</t>
  </si>
  <si>
    <t>Gobernadora Át</t>
  </si>
  <si>
    <t>…a de las personas que la merezcan. Ademas lo» concurrentes tendrán la ocasión de dar i conocer su» géneros, RiaUi Órdenes, ^ . * cae el público loa aprecie y busque y y de que repita coa elogio el nombre He dado cuenta i S, M. )a Reina Gobernadora Át un expedíante instrui át íos aftíficea» A los que obtengan premió 6 mención se les dará un ejemplar do en la decretaría del Despacho de Hfeclenda y en esta de mi cargo, sobre la ¿normó relación de la exposición pública y de las calificaciones y premios, aprobación del reglamento formado para el rég…</t>
  </si>
  <si>
    <t>Atares</t>
  </si>
  <si>
    <t>…sente; marques de Alcañiccs, au bles las sesiones. sente; obispo electo de Almería, enfermo; D. Jua» Alvarez Guerra, presen El Sr. duque de Rivas manifestó que la Secretaría del Estamento estaba te; marques de las Amarillas, id.; conde Atares, ausente; duque dé Bailen* convencida de esta verdad; pero que deseando que las actas tuviesen la exten presente; obispó de Barcelona, enfermo; D. Eusebio Borda jí y Azara, pffcjcbsión debida, supuesto que aun no había un periódico oficial que publicase las te; duque de Alba, presente; arzobispo de…</t>
  </si>
  <si>
    <t>Ataría</t>
  </si>
  <si>
    <t>…regente. Si hubiere empate decidirá la suerte. Conde de VillareaL” Art. 2y. El 'Gobierno general señalará un mismo dia para esta elección en todas las provincias del Imperio. Convenio y contrato matrimonial entre S. Ai. la Señora Doña Ataría r r. Art. 3ü. Mientras el regente toma el mando, en su ausencia ó impe Reina ae Portugal v Je los Algarves , r S. A. R. el Sr. Principe Aazmta dimento, ejercerá el supremo poder el ministro de Estado del Imperio, y en Carlos Pugenio Aaroleon, Du.¡ue ae Leutktemberg r Santa Cruz, Prin ausencia ó por…</t>
  </si>
  <si>
    <t>Atejo, Martin</t>
  </si>
  <si>
    <t>Martin Atejo</t>
  </si>
  <si>
    <t>…ación, ninguna de aquellas pretensio de Extremadura¿f se clta-á D; Jote Viceote de-$aizs» B. Francisco yodé Rodríguez, nes de ingenio y sutileza que son tan comunes en los escritores de este género, Francisco Garría, Manóte Cas», D. Martin Atejo, Bu PuJgehcio Jtegiup t .Ramón,Qn4&lt; , mloguez, José Hato, Juah López, Manuela,Puerto, Tomasa Lopez, Manutea P “‘ ñon, María Várgaá, Vicenta Poerto, D. Aotohlo Lácslleydémas períroait^ ’ (1) La presente edlcldtrd* eita óbte consta de 4 tetaos en «.*, y se vende en ' robadasarroyo deleo Puercoel más…</t>
  </si>
  <si>
    <t>Atendiendo</t>
  </si>
  <si>
    <t>…coso de Altemano.=En Riofrio á 12 de Agosto de 1834.=A D. José María Mos mira. =Sr. presidente de la junta de Sanidad de Madrid y su pro toso de AlUmira. vincia. ministerio de lo interior. Reales órdenes. PARTE NO OFICIAL. Eximo. Sr.: Atendiendo á que por la divina Misericordia dis minuyó ya considerablemente la enfermedad que lia afligido á esta NOTICIAS EXTRANGERAS. lacróle» -vrHir «ret tñes ártrertor y prcserite; y conviniendo que pa ra cuando llegue su próxima probable extinción esten toiuadas to das las providencias necesarias jora el…</t>
  </si>
  <si>
    <t>Atendiendo, Cnacon</t>
  </si>
  <si>
    <t>Cnacon Atendiendo</t>
  </si>
  <si>
    <t>…del artículo 96 te decía Art. 4*® Los intereses devengados y no pagados de la deuda con: a da des que no podía discutirse «a»ta ia sesión inmediata. de 1820 i 1323 y loe billete» 1 i ¿nudo* de premio, se capital ¿ar . por una Ei Sr. Cnacon «Atendiendo á lo que ha expuesto e! Sr. M'ni'irn He Ha cuadras ¿urna parte en los cuarenta año* comprendidos desde l.° de Enero de cienda, no tengo inconveniente en ret*rar la preposición como auto» de el¡a." 1835 i 31 de Diciembre de 1874 » formando 4^ knes , que por sorteos anua El Sr. C t tallero: " No me o…</t>
  </si>
  <si>
    <t>Atendiendo, Nicolás Alaría Garelly</t>
  </si>
  <si>
    <t>Nicolás Alaría Garelly Atendiendo</t>
  </si>
  <si>
    <t>…Real mano-En el Pardo á 19 de Noviembre de 1834.=A entendido; y lo CQmtínicareis á quien corresponda para su cumpli miento. = Está Ttthrlcatlo de la Real mano.=En el Pardo á 19 de No D. Nicolás Alaría Garelly. viembre dé 1854.=A D. Nicolás Alaría Garelly. • 0 Atendiendo á los méritos y servicios prestados en favor de la Deseando que no sufra retraso la administración de Justicia Iglesia y del listado j«or el presbítero D. Alanuel López Cepero, y en primera.instancia por la supresión de :k&gt;g juzgados de provincia á usando de la reser\;a contenida en mi Real_ decret…</t>
  </si>
  <si>
    <t>ATERRA, Leo VC</t>
  </si>
  <si>
    <t>Leo VC ATERRA</t>
  </si>
  <si>
    <t>…so* reconocer el nuevo Estado de Bélgica; se ha dignado S. M. nombrar piaba el domingo. (Diario de Aramur.') á D. Pedro Alcántara Argaiz para que pase á la corte de Bruselas, en calidad de encargado de Negocios, cerca de S. M. el Rey Leo 1VC1ATERRA. poldo. Portjmovth 24 de Junio. El almirante &gt;íapier ha llegado esta mañana í las ocho en la Braganzat La Reina Gobernadora por Real decreto de 24 de Junio próxi fragata cogida á la escuadra de D. Miguel.. La Braganza ha echado el ancla mo pasado se dignó conceder honores de magistrado de la Real au…</t>
  </si>
  <si>
    <t>Atfaro, Henrique y</t>
  </si>
  <si>
    <t>Henrique y Atfaro</t>
  </si>
  <si>
    <t>…despachos del ministro ruso en Italia , que se cree son relativos 'Vv. á los negocios de España. ' Señora: Seria fattar á uno de los deberes mas sagrados, sí vuestra ciudad de ____Por cartas de Bamberg se sabe que los restos del Emperador Henrique y Atfaro, última población “del reino de Castilla, y que siempre ha conservado Cunegunda han sido colocados con gran solemnidad en un monumento de ilesa su lealtad á los Reyes vuestros progenitores, no manifestase cuanto fue mármol. su pesar por la pérdida de vuestro augusto Esposo, y cuanto su júbilo poste…</t>
  </si>
  <si>
    <t>AtgCelles</t>
  </si>
  <si>
    <t>…-A,qw?. si se .npúesenporbastaote motivo ■, empresa al- CHabiéndose indicado alllegaraqui que sentaba discutiendo la totalidad «U0« se acometería. ‘Para,e&gt;o¿uedecoatar el Mipistso opn la cooperación de de la petición, concluyó el-Sr. AtgCelles): liut'Ofistes , asi como estás cuenUn con su celo y , sabiduría; », «Digo., pues, que en j¡u totalidad la apoyo^sin perjuicio de aquellas mot -Esta medida, «¿ores, al paso g*te de alta política, lá,coqs¡dero tam- difeaclones que, se. crean convenientes cuando se descienda á tratar de cada ar Úúen…</t>
  </si>
  <si>
    <t>Atnar</t>
  </si>
  <si>
    <t>…endo sin detenerse la acción, y á 'pesar de Jas fuerzas destinadas á e*tc objeto del modo siguiente: un cuerpo de infantería la* itmtceriolei posiciones que había que vencer, me decid! i no despreciar el y caballería \\ mando del brigadier Atnar ocupa todos los pueblo» que forman •rdor de éstos valientes, y dar una lección i semejantes malvados, ordenando el contorno de dichos pira íes; otro de ambas atinas al mando de i coronel Al que el primer batallón de infantería de Soria con dos piezas de artillería sos bum está encargado de ia• pers…</t>
  </si>
  <si>
    <t>Atnar, D Pedro</t>
  </si>
  <si>
    <t>D Pedro Atnar</t>
  </si>
  <si>
    <t>25/05/1834</t>
  </si>
  <si>
    <t>Gaceta de Madrid n.º 94</t>
  </si>
  <si>
    <t>…sacrificios imaginables juró haberlos en aquellos nía qpe felizmente existe entre., el' gobierno (le S- Sdr -C. y de Si-M. Fidelúmomentos para sostener el trono de la ilustre heredera del jamas olvidado sima,.á solicitar del Sr. brigadier D. Pedro- Atnar,, . comandapte.de Ja fuer Fernando, cuyo Voto ha sidO'general. ' ' za dé'carabineros estacionada en la fróntera, aumentase la tropa gue ya había El caballero alférez Real D. Manuel Sánjusr habia convidado7, para; Una en esta ciudad, por persuadirme que obrando así pe.hacia un gran.servicio.á1 uno b…</t>
  </si>
  <si>
    <t>Atnar, Pedro</t>
  </si>
  <si>
    <t>Pedro Atnar</t>
  </si>
  <si>
    <t>…os imaginables juró haberlos en aquellos nía qpe felizmente existe entre., el' gobierno (le S- Sdr -C. y de Si-M. Fidelúmomentos para sostener el trono de la ilustre heredera del jamas olvidado sima,.á solicitar del Sr. brigadier D. Pedro- Atnar,, . comandapte.de Ja fuer Fernando, cuyo Voto ha sidO'general. ' ' za dé'carabineros estacionada en la fróntera, aumentase la tropa gue ya había El caballero alférez Real D. Manuel Sánjusr habia convidado7, para; Una en esta ciudad, por persuadirme que obrando así pe.hacia un gran.servicio.á1 uno b…</t>
  </si>
  <si>
    <t>Atocbáexpuso, García</t>
  </si>
  <si>
    <t>García Atocbáexpuso</t>
  </si>
  <si>
    <t>…estaba ya decidida coohaber bir. Creo que debe ser igual la suerte de ios compradores, nacíocal a que la de •probado el a«.i3.° (elcuat leyó). _ los. prestamista* extraDgerofy asi como. lo. ba sido pora'todos en este tiempo 1 El Sr. García Atocbáexpuso que el art. 3.° leído por el Sr. Santafé no. pasado, pues lodos hemos padecido y sufrido infioitas.pétd¡das. Por lo trato yo era el que estaba aprobado por el Estamento, i la que contestó, el Sr. Santafé me opongo á que se la abonen dichos interése,, ó se tes mejore en ata parte que él habia votado…</t>
  </si>
  <si>
    <t>Atocha</t>
  </si>
  <si>
    <t>…ya y se encontró posibilidad para ello.” la anterior en que ataba refundida. El Sr. marques de Montévírgen: «Me parece que se puede conciliar el No se tomó cn consideración la siguiente del Sr. Crespo Tejada: «Las justo deseo del Sr. Atocha por un medio que someto á las luces del Gobierno, obligación» de la deuda pasiva se compondrán de la que resulten de la liqui y qne se puede sdoptar si no tiene inconveniente, á saber; capitalizadas los in dación de la deuda actual y los interesa de los bonos de Cortes. Para su amor tereses de los…</t>
  </si>
  <si>
    <t>18/11/1834</t>
  </si>
  <si>
    <t>Gaceta de Madrid n.º 277 · suplemento</t>
  </si>
  <si>
    <t>…que lo mismo pueden hacer los em público y otras atenciones no menos sagradas por el servicio en dicha Milicia, pleados españoles, que no son de peor condición'que los extrangeroX. dijo que por esto mismo se oponía 4 la idea del Sr. Atocha: que cada indivi «Que no tienen tiempo, se dirá. Tiempo tienen, si s«ñór, y lo tuvieron duo y cada clase servia respectivamente y contribuía al Estado, y por consi en jotra ocasión. Hablo de la época fetix del sistema constitucional, que midió guiente prestaba á la sociedad mayores ó menores servic…</t>
  </si>
  <si>
    <t>…ebía; Sierra; el S r, Redondo. González Alonso; Chacón; Carrasco; 0*«ci; López; Vitoria; To-queila»; Zú- Coik luida esta votación se levf» 1.» hst.i d c ti n.; 1 v a de los wi nec&gt; candi dalos fíiga; Cano Manuel (hijo); Delmonte; Caballero; Atocha; Diez Gonabez; par. » P res ¡den;e v \'.^presiden te . J saber : Viluefia; Mantilla: Ézpeleta; Paco Cánovas j Truebu; conde de Almoiiojr; bre.. cor: le de . Mmodovur por ó5 votos; Lasanta 56 :: .Medran 1 ; A-' ri Butrón; Laborda; Ortiz de Velasco; marques de Falces; Aranda; Cano Ma da ir 0 ; S,mi i…</t>
  </si>
  <si>
    <t>Atocha, García</t>
  </si>
  <si>
    <t>García Atocha</t>
  </si>
  <si>
    <t>…l para que se liquide á unos primero que Este era el artículo en que podía reclamaría; mas yo no tengo ningún interes á otros.”......... cn ello.” '' El Sr. Crespo de Tejada: «Sin perjuicio de que se dé toda la latitud posible El Sr. García Atocha : «Me parece muy justo el que los capitalistas que para la conversión, aunque sea de un afio, los intereses de (a deuda activa que han desembolsado su dinero para sostener la causa de/nuestra libertad, se les se reconozca han de principiar á correr desde 1.° de Enero; para pagarlos su resarza de ta…</t>
  </si>
  <si>
    <t>…udicaba á los drían presentarse. Si hoy damos 100 rs., mañana pos vendrán pidiendo mas con interesa de la deuda interior, pues tenían atos ana hipoteca ó garantía en lo* la misma justicia.” hiena nacionales, aunque sea remota. El Sr. García Atocha: «Todas las cosas son mas ó menos justas relativa Después de un ligero debate en que hablaron muy pocas palabras los mente. En esta veo yo mas justicia que en ninguna otra con quien pueda com Srra. Crespo Tejada, Rivaherrera, y Secretario del De:pacho de Hacienda se pararse; porque si los tenedores…</t>
  </si>
  <si>
    <t>…ículo. del Norte y en Roma que él tiene» Conviene, pues, sobre manera, mirando Se declaró el punto suficientemente discutido; y habiéndose pedido por el estas cosas bajo la política de Talleyrand y Grey, que las personas que empu Señor García Atocha y otros varios Sres. que la votación fuese nominal, mani ñen las armas puedan responder con sus opiniones del uso que hagan de ellas. festó el Sr. Secretario de lo Interior que estando conformes todos en los párrafos Yo no trato de que á los sugetos á-que se refiere la adición estén privados de del a…</t>
  </si>
  <si>
    <t>Attayanno</t>
  </si>
  <si>
    <t>…prima con tienda abierta; armeros y fabricantes desarmas de fuego; En la última erupción del Vesubio, un poco antes’ de la explosión que abrillantadores de piedras finas y esmaltadores; botilleras; bordado Consumióíel palacio del Príncipe Attayanno , una señora inglesa estaba sacan res ; hornos de yizcochas; caldereros; carpinteros; cerrajeros; charo- ■ do un disefio.de los primeros fenómenos que presenta el volcan, la cual si tar da una hora Mas en- retirarse hubiera perdido la vida. La pequeña poblaciónlistas; carpinteros de ribera; constru…</t>
  </si>
  <si>
    <t>Atthorp</t>
  </si>
  <si>
    <t>…R. los Sentios. Sres. Infantes. mocion fue desechada. Para sueldos de oBciales empleados en el almirantazgo y gastos de oficinas pidió el ministerio 104*551 libras esterlinas, lo que fue aprobado. MINISTERIO HE GRACIA T JUSTICIA. Lord Atthorp, hablando del impoesto sobre casas, dijo que la reducción hecha el año pasado había sido de 24^$ libras esterlinas, y que en el presente Real orden., seria de l.tíOO de la misma moneda. Excmo. Sr.: Enterada S. M. la Reina Gobernadora de k) expuesto por ____ Los periódicos de Caracas que alcanzan ha…</t>
  </si>
  <si>
    <t>Atvviendo</t>
  </si>
  <si>
    <t>…rid 22 de Agosto, "voto de renunciar. Considerados bajo el aspecto político eran como cuerpos fuera de la nación, indiferentes al bien ó at mal de sus conciudadanos; y sir Según parte del general conde Armildez desde Pamplona, el general Atvviendo eficazmente al gobierno despótico ó tirano si de él esperaban favores y leo, encargado de la persecución de Zumalacarregui, maivhú sohre él el I4 /-consideración. A su influencia, tanto mas peligrosa cuanto mas oculta, sobre desde Irutzun por Lecumberri al valle de Ulzamy; elbrigadier Figueras, con…</t>
  </si>
  <si>
    <t>Auckland</t>
  </si>
  <si>
    <t>…erán llevados por una necesidad inevitable á recoger tam lord Melbourne, ministro de lo Interior. - bién el fruto de las reformas, cuyo ejemplo les habrá dado la Península. (Globe.) Honorable T. S. Hice, ministro de las Colonias, lord Auckland, primer lord del Almirantazgo. ------ Ciento treinta mil libras esterlinas han sido adjudicadas á la escuadra de Honorable C. Grant, presidente de la junta de cuenta y razón, la Reina de Portugal como valor de los buques miguelislas apresados en el lord John Russell, pagador general del ejército. g…</t>
  </si>
  <si>
    <t>…Gresstde armonía, se verificará luego que SS. MM- vuelvan de Ostende. le en gefe de las tropas, 3458 ; Mr. Remt-; dÍTector general"de artillería, 39; ■Con este motivo se hacen grandes preparativos; y creemos que las fiestas que 'lord Auckland, director de moneda y comercio, 29; duque de Devorrshire, acompañarán á esta ceremonia, serán mas brillantes que todas las que se han lord Chambelán, 3058; •lordWélesley.pIord irria^Ordómo, 2^36; conde de fcect¿ Íutíta aquí. {Independiente.') Albemarle, maestre de caballería, 3350.; piarques de "Wi…</t>
  </si>
  <si>
    <t>06/10/1834</t>
  </si>
  <si>
    <t>Gaceta de Madrid n.º 234</t>
  </si>
  <si>
    <t>…tinguen. Lord Duncannon , pariente y ras evacuarán los Estados de la Iglesia. Asi se cumplirá el proyecto de Casimir amigo de lord Melboume, tiene las mismas opiniones que este, pero és mas joven r de mayor resolución y valentía. Lord Auckland, pariente de lord Brpug- Perrier, que fue imposible realizar durante su vida á causa de que se exigía la evacuación de Ancona sin la salida de las tropas austríacas. La desconfianza que ham , uno de los fundadores de la universidad de Lóndres, de ánimo ardiente existia entre los gobiernos absolutos…</t>
  </si>
  <si>
    <t>14/06/1834</t>
  </si>
  <si>
    <t>Gaceta de Madrid n.º 117</t>
  </si>
  <si>
    <t>…ecretario de las Colonias. ta?, sobre cuyo punto permanecen Austria y Prusia absolutamente separadas. Lord Mulgrave, de Correos, sin asiento en el gabinete. 3.° Que las fuerzas militares de la Confederación se aumenrarán con cada Lord Auckland , primer lord del Almirantazgo. «no de los Contingentes, hasta el efectivo de guerra. Lord Carlisie, lord del‘Sello privado. 4*° EL principio de la extradición seráuniversalmcnte admitido en todos los M. Eli¡cc conserva su plaza, con asiento en el gabinete. Estados confederados, y apljcado no solo…</t>
  </si>
  <si>
    <t>…sdown, lord presidente del Consejo; el conde de MrlPARTE NO OFICIAL. graver lord del sello privado; vizconde Ducannon ; vizconde Palmerston; Mr. Spring-Rice, secretarios del Despacho del Interior, de Estado y de las Cóio-^ nial.; lord Auckland, primer lord del Almirantazgo; el honorableCárlosGrantj NOTICIAS EXTRANGERAS. lord Hoiland, canciller del ducado Lancaster; el honorable Eduardo JÉlííce, ministro de la Guerra, y el honorable J. Abercrombv , director de la moneda. El conde de Mulgrave entregó el sello privado á S. M., y lo mismo hi…</t>
  </si>
  <si>
    <t>Audrv</t>
  </si>
  <si>
    <t>…n fin las leyes fundamentales que ha exasperar á los jornaleros: enumera las terribles consecuencias que resultarían conquistado; y se manifiesta tan opuesta á esas teorías ciegas, que desentendién •i se realizasen lo&gt; deseos del Sr. Audrv, pues si hubiese facultad de deliberar á dose del estado de las costumbres y de los ánimos, quisieran precipitarla en la cada instante sobre la forma de gobierno, sena imposible dirigir un Estado. peligrosa senda de innovaciones sin término ni medida, como distante de toda I "¿Cuál será , añade, la…</t>
  </si>
  <si>
    <t>Audry</t>
  </si>
  <si>
    <t>…imientos, y amenazan á un mismo tiempo al espíritu de lamilla, al de El Sr. Burthe, ministro de Justicia, hace presente que la sociedad que elo recho de propiedad, y á los progresos de la industria y de la libertad del tra gia el Sr. Audry, es una asociación republicana que aspira únicamente ¿ tras bajo. (Aprobado.) tornar las leves fundamentales del Estado; que no contenta con asestar sus ti «La adtividad del gobierno, la energía de la magistratura, el valor de ros contra el gobierno, quiere que se haga respecto á la propiedad una d…</t>
  </si>
  <si>
    <t>Augusta</t>
  </si>
  <si>
    <t>03/08/1834</t>
  </si>
  <si>
    <t>Gaceta de Madrid n.º 167 · suplemento</t>
  </si>
  <si>
    <t>…convocado las Córtes generales, y que lencio. c . está resuelta á hacer en beneficio de la nación todas la? reformas convenientes: »La reserva que exige este importantísimo asunto no le permitía mani desde el momento en que esta Reina Augusta, cuyo nombre está ya enlazado festar su opmionde una manera auténtica, solemne. El Gobierno ha dado ins i tantos y tan gratos recuerdos, se ha dignado restablecer las antiguas leyes, trucciones á los agentes diplomáticos de S. M. en f/mdres y en París para no acomodándolas á las necesidades y exige…</t>
  </si>
  <si>
    <t>Augusta, Auñalia</t>
  </si>
  <si>
    <t>Auñalia Augusta</t>
  </si>
  <si>
    <t>…a mayor del Rey Maximiliano José., hermana del actual Rey .de Baviéfa Luis, de la actual Emperatriz dé Austria , de la archiduquesa '.Federica Sofíii dé Pueblos. • ' Pias. ;./.i 1 Enfermos. 1 Curados. Fallecido!. Ba viera, de la’ Princesa Auñalia Augusta, esposa del Príncipe Juan Neponüiceno: de Sajorna, hermano de la difunta Reina de España Doña María Joséfi Amali»;ry.de lá Princesa Isabel Luisa, esposa del Principé heredero de Prusia. Fuentenovilla.. 18 á 23 Óctiibre. ' 39 ‘ 29 2 . En. Í8oy fue flecho Prínc^ fie Vénecia , y adoptado como MJS por…</t>
  </si>
  <si>
    <t>Augusto</t>
  </si>
  <si>
    <t>…_*provmcias, debida XeopaldotSqyand, oficial mayor &lt;fe la secretaría de Estado y de Negocies cxa vuestro .patriotismo y maduro consejo, fundará sobre «tur-nos-cimientos la. 1 trapgeros ,-con Jos .poderes de S. A. R. el Serenísimo Príncipe Augusto, Du— libertad é independencia nacional, fuertemente escudada por la-monarquía re ■ que de LeUtchembeüg y Santa Cruz, y Príncipe de Kchstett, para la celebra presentativa , que esssegutGMpoyo y lianza de tan preciosos tSijeros. ción de sus nupcias xon S. M. F. Doña.María 11, Reina dé Portugal; dispe…</t>
  </si>
  <si>
    <t>…fecha 3 de Octubre del presente año de 1834, se conside Secretario de Estado y del Despacho de la Guerra. rará, dicha asignación independiente de la dotación señalad» para S. AL la Reina su augusta consorte. Art. 3.° «S. A. R. el Príncipe Augusto, Duque de Leuchtemberg y Santa Cruz, promete darse por satisfecho con la asignación que en los términos *BA L IOTBKIA MODERNA. arriba enunciados se le otorga, sin introducir pretensión alguna sobre la. do tación en.bienes que por leyes de Portugal constituya la dote de la Reina, ni Noticia de los p…</t>
  </si>
  <si>
    <t>…jaro que haga un nido común á varias honra en nombre de sus comitentes de felicitar á V. M. por el feliz enlace qnc hembras; ha encontrado una especie de cuclillo y una cotorra que tiene la V. M. acaba de contraer con S. A. S. el Príncipe Augusto, duque de Leuchmisma costumbre. Ha observado igualmente que varios pájaros anidan todo el temberg y de Santa Cruz. El júbilo y entusiasmo patriótico con que la inmen año, y entre otros las gaviotas y chotacabras. sa población de esta ciudad ha aplaudido tan fausto acontecimiento, son cono En la cla…</t>
  </si>
  <si>
    <t>…a de Genova. Esta escursion (Z). de Francfort.) á Génova en las actuales circunstancias da mucho en que pensar. (Mensagero de las Cámaras.) INGLATERRA. . - Escriben de Berlín 28 de Setiembre: Léndrcs i i de Setiembre• S. A. R. el Príncipe Augusto ha tenido ayer la desgracia de romperse el Se espera que Mr. de Talleyrand llegará aquí á fines de este mes. tobillo del pie izquierdo de una caída de caballo, y de magullarse las costillas del mismo lado. Pero los médicos aseguran que se restablecerá, perfectamente, _Casi todos los embajadores cer…</t>
  </si>
  <si>
    <t>…, barón Frevilic, conde Roy y conde d'ArgOut. Se levanta la sesión. falta del inmortal Regente, Padre de la patria y verdadero amigo de ios por tugueses. . . , .:í* címaxa'db los'niPUTAnos^.JVrion de idem. - »M¡ casamiento con el Príncipe Augusto, Duqute de Leuchtemberg y de Santa Cruz, ajustado y concluido bajo lós mas fausttwy felices auspicios, con Leída y aprobada"ti acta deja última(sesión^ se da cuenta de varaos in- sincero asenso y.gentral aplauso de la'nacion, me dió otra prueba del imóf y fosmes de la comisión de Poderes ,"y en con…</t>
  </si>
  <si>
    <t>Augustor</t>
  </si>
  <si>
    <t>…®.desgraciashan sucumbidosobreestá augustauno trasfamt-otro Xalas, deprimeraAlejandría*fue fundaday s? historiapor Tolomcoes vetdaderamenreSqter, cércl-delamentable390 a ños pata,inteslasde Jaletras.era mjpiu^oQqc* jeckmjte^ptccl príncipe Augustor hermano de cristiana. La fundó para el uso de aña academia que había -fasfftiiidtVthi Ale tí pnttoSSpditi* una Swá de cábaffe^ que Ka Jgcho ttw/tí pot su vida; pero jandría 4 la cual, favorecida por sus sucesores con continuas adiciones de }«brc«, óo inspir^ ^inoroadc coawferaqc^w ac hiro, en fin,…</t>
  </si>
  <si>
    <t>AUhorp</t>
  </si>
  <si>
    <t>…divorcio; por consiguiente queda anulada ia ley efectb,^l ministerio ha vuelto £ conseguir la^mayoría, y esta sin duda sosten de 8 de Mayo de 1816.” La Cámara aprueba el artículo, y acto continuo en drá^ apoyar» los proyectos del lord AUhorp en favor de una reforma mode votación secreta, y por 191 votos contra lUÜ aprueba la proposición que se rada, en, la Real hacienda. (Sun.) convertirá en ley. ; _ 'ÉÍ Ppiaria de Ltfxembungo cuenta del modo siguiente la prisión de M.. Sr. Giraud. Pido la palabra para hacer una pregunta á los Sres. mi…</t>
  </si>
  <si>
    <t>AUhorpse</t>
  </si>
  <si>
    <t>30/10/1834</t>
  </si>
  <si>
    <t>Gaceta de Madrid n.º 258</t>
  </si>
  <si>
    <t>…estar por nn acto de clemencia .m» princi coritraban en el lugar del Incendio, dando disposiciones, j al frente de los pios de humanidad que he heredado de mi augusto Padre, de felfa aiqmprij, -íAp9i^rtosv-al^uS&gt;afl-sAS'tiAbajo6. Lord AUhorpse distinguía particularmente, ..principios que expresa, /particularmente me.recibiendo en 1óc.fi]t|fóifc!]m»taQ-- f ^üidasido de qtíe sdsdrateá toda costa la sala de Westminster, y gritando'i t*» 'de su preciosa existencia; usando de la atribución contenida en 7P lo* txftttben»; «No «tendáis á la Cám…</t>
  </si>
  <si>
    <t>Aun, Segunda</t>
  </si>
  <si>
    <t>Segunda Aun</t>
  </si>
  <si>
    <t>Gaceta de Madrid n.º 306</t>
  </si>
  <si>
    <t>GACETA DE MADRID. ARTICULO DE OFICIO* solutamentedinarios porqueinsuficientesestudiosamentepara salvarfueronal inutilizadospaís, y lo sonparaigualmentesiempre. los extraor S. M. la Reina nuestra Señora, su augusta Madre la Reina Segunda. Aun cuando hubiese medios y elementos para reparar el estado de disolución é inmoralidad en que se halla el pais, para. Soldar las divisiones Gobernadora y la Serma. Sra. Infanta Doña María Luisa, continúan y resentimientos de los federales entre; sí, para contener la insolencia de los sin novedad en s…</t>
  </si>
  <si>
    <t>Aunque</t>
  </si>
  <si>
    <t>…ceremonia una ehaquetita azul y unos pantalones blancos. Juró repetidas ve Zaragoza D. Pedro Clemente Ligues con fecha de 12 de Julio anterior. ces por todos los Santos del cíelo, que la amable Kángatura era la única muger Excmo. Sr.: Aunque según indicó á V. E. mi antecesor en el parta men digna de entrar en la hamaca de un marino como ¿1. (Diario de FiladelJiaJ) sual de Mayo se había reanimado bastante la esperanza de los labradores con las lluvias copiosas del mismo mes, ha sido en algunos partidos la cosecha mas escasa de lo que se…</t>
  </si>
  <si>
    <t>…Napier.- D. Miguel no Trinará en Portugal. Ignoramos si con esto se Estado y del Despacho de ia Guerra. divertirán mucho los amigos de D. Cárlos; pero afirmamos que D. Carlos no reinará en España. (Diario de los Debates.) Excmo. Sr.: Aunque no he recibido ninguna comunicación del Excmo. Sr. general en gefe ni de W*s demas generales, por noticias cxtrajudiciales bastante En uno de los últimos números del periódico intitulado Bibliografía de fidedignas, he sabido que el Pretendiente se había dirigido aver á Roncesralles, Francia, se dic…</t>
  </si>
  <si>
    <t>…contra los rebeldes en las inmedia-, drigue/ I-ito, mis ordenanzas, que se componen de patriotas mon dones de Astigarraga y Oyarzun en los términos siguientes : tados, y los cinco soldados de caballería con su cabo que me Excmo. Sr.: Aunque en el día de ayer anuncié á V. E. en acompañan. sumado, para que tuviera conocimiento del suceso y cansancio de A la compañía de cazadores de S Fernando debo recomendar la tropa de que he podido disponer , que batí al tercer batallón de también , y á sus dignos oficiales el teniente graduado de cap…</t>
  </si>
  <si>
    <t>…y del Despacho de la Guerra. cia desde el año de 1807; que está casado con francesa desde 1815 , y natura lizado francés por Real orden de 2\ de Diciembre de 1818; que posee una Ejército de operaciones del Norte de España. Excmo. Sr. : Aunque según 1 casa en París y* paga 800 francos de contribución; que desde 18 l L a 1810 se me ha sido posible he dado parte á V. F. de''los movimientos hecho* por las I ha dedicado á enseñar en particular varios ramos de medicina; que en 181 9 tropas de mi mando desde el 15 de Enero que sai: de Vitoria…</t>
  </si>
  <si>
    <t>…te ge- mi familia y á mí,” peral del principado de Asturias, se ha dignado agraciarle con la El Presidente de la Cámara de los Diputados M. Dupin dirigió á S. M. el gran cruz americana de Isabel la Católica. discurso siguiente : «Señor: Aunque por recomendación expresa de V. M. nos esté vedado manifestar la expresión de nuestra sincera alegría, no por eso harán menos no table el día del santo de V. M. los muchos actos de beneficencia que habéis PARTE NO OFICIAL* hecho, y que tanto prueban la bondad del carácter francés, como también la e…</t>
  </si>
  <si>
    <t>…r entusiasmo. Extracto del parte remitido por el gobernador civil de la prest» da de Ta- ‘ rsei D. Joaquín Mootesoro y Moreno coa facha de $ de JalieacUtL 1j misma Gacetaanuncia que el príncipe Real de Prusia, la princesa Escoto. Sr.: Aunque en alguno» pueblo» de ia prenrincán han desaparecida su espoet-y el principe heredero Henrique de los Países-Bajos, hijo del principa totalmente las cosechas de cereales y otras «ion motivo de repetidas padrinean de O tange , han llegado i Petethóff; donde actualmente reside la corte: El cé- te coa…</t>
  </si>
  <si>
    <t>Aunqúe, Gobernadora</t>
  </si>
  <si>
    <t>Gobernadora Aunqúe</t>
  </si>
  <si>
    <t>…cía. -de Tortosa el faccioso Jacinto Buish, todos los cuales fueron aprehendidos con laá armas en la mano , que volvieron í tomar después de haber sido generosa La misma con todas sus dependencias. , mente indultados por S. M. la Reina Gobernadora. Aunqúe no se haga especificación de algunos ramos, debe entenderse que pertenecen al fomento todos los que tengan conexión con los expresados. -. Capitanía general de los reinos de Valencia y Murcia. = Plana mayor.= 4-a Por el artículo '/b, de la Real instrucción de los subdelegados, la su ;E«crjio. Sr.:…</t>
  </si>
  <si>
    <t>Aunque, Medran</t>
  </si>
  <si>
    <t>Medran Aunque</t>
  </si>
  <si>
    <t>…n si no se mueve discu en cuanto á que- los depósitos de cienos medicamentos no han sido tan abun sión: insisto pues en que se continúe, y se vote.” dantes, como era de esperar, no diré que no haya sido asi; pero ningún pueblo El Sr. Medran** ”Aunque he pedido , la palabra en contra de la peti en el mundo puede tener, esos depósitos de medicina en la abundancia que eran ción , no es para hablar en sentido contrario al en que ha hablado el Sr. pre necesarios cuando se presentó el mal. La cuestión es. si Sé han adoptado todas opinante, y á las só…</t>
  </si>
  <si>
    <t>Aunque, Torrentejía</t>
  </si>
  <si>
    <t>Torrentejía Aunque</t>
  </si>
  <si>
    <t>…r dificultad ea El Sr. Gúnzale i ( O. Antonio): «Habiendo firmado la petición de que ■probar el artículo en los tétennos en que se halla redactado.” se trata , y habiendo acordado con (os demas individuos que la han htmado que El Sr. Torrentejía «Aunque la discusión de los varios articulo! que en el artículo que acaba de leerse podria sufrir interpretación., lo picscnto con esta petición se contienen ha sido un poco, pro!'ja, siempre resulten de ella está pequeña diferencia: «Todos los españoles son igualmente, admisibles ea loe dos ventajas; la prim…</t>
  </si>
  <si>
    <t>Aunque, Vicepreiidente</t>
  </si>
  <si>
    <t>Vicepreiidente Aunque</t>
  </si>
  <si>
    <t>…ese ahorro, y suprimiendo las plazas de vi ahora no podemos menos de acordar lo que propone. El año próximo con ma* gías y torreros según vacaren.” datos se podrá resolver lo que se crea justo; pero por ahora me parece no esta El Sr. Vicepreiidente ■■ «Aunque la idea de la comisión sea esa, no está mos en el caso de hacer en el momento esta corta economía, pues recae sobre bastante clara, y puede creerse que propone el ahorro que indica para el actual sueldos mezquinos y miserables.” presupuesto.” ■ ■ 5 Se declaró el punto suficientemente discutido , y pue…</t>
  </si>
  <si>
    <t>AUorp</t>
  </si>
  <si>
    <t>…la guarnición; la compañíadé granaderos defr$g¿miento de la Ha »Elbill de represión contra la Irlanda ha sido presentado á t? Cámara de bana, un piquete de Barcelona y otro de lanceros del Rey. El acto se llevó á Jos comunes por lord AUorp., y las modificaciones que ha hecho él ministerio cfcctf con la pompa y solemnidad acostumbradas. en las cláusulas relativas i las comisiones militares y asambleas populares, Jo aseguran una gran mayoría. El mismo M.O’Conncli se ha explicado en tér ALOCUCION. minos sobre el nuevo ministro de Jo Inte…</t>
  </si>
  <si>
    <t>Aureliinó-dsBeruete</t>
  </si>
  <si>
    <t>…wka, y á N, Q. E. 38° eJ cabo oriental del, ija de, Mioná. • D. Blas JHéndízafcal...................... ..................................................... En la punta septentrional dd'banco de arena’griega tiene 1» valízacrnra D. Aureliinó-dsBeruete..................................................................... ' 520 , " D. Jaime Ccfiola.. ...................................... . —......................... 2000 encarnada con banderola del mismo color, en fondo de !/r pies. La altura por D. Miooel Centín-ion.............................. ............................. ............... JÍO00 la parte del cabo…</t>
  </si>
  <si>
    <t>Auscha</t>
  </si>
  <si>
    <t>…a misma razón los del Sr. Otazu. vieron respectivamente 34, 17, 1. v 2U votos, no verificándose por lo tamo Se leyó la lista de los Sres, Procuradores que aver prestaron juramento en la la elección , y si solo , quedar eximido el Sr. Auscha. sesión régia, y son los siguientes: Rodríguez Paterna; González; Po'u: Cueva; Se procedí», a nueva votación entre ios otrn&gt; tres Sres., quedando si fin Mediano; vizconde de S. Simón; marques de Eduardo; Redondo; Cacercs electo el :Sr. Sanlafe por c'ó votos. obreniend0 1S ci Sr Cano M uní:: v 16 Lat…</t>
  </si>
  <si>
    <t>Autttn</t>
  </si>
  <si>
    <t>…co, á petar de que '5»í Curoplin;icuto en la parte que le toca. Dios guarde á V. muchos añoL el general Bravo y un corto número de descomentos se ^afuetean por .Qpope**£c Jé Marzo de 1834-—Zarco. al gobierno. Ha sido arrestado'el coronel Autttn por suponérsele cómplice C9 una conspiración, cuyo objeto era la independencia ide la ^rovjifcLi de ' .Siendo la rapidez en los movimientos de las tropas el medio mas eficaz de jiobo.) oátgtjwifhr su fuerza, no puede menos de contribuir á este objeto importanií- MUSIA. cl.:auxilir: de los carros, e…</t>
  </si>
  <si>
    <t>Autunio</t>
  </si>
  <si>
    <t>…Quiroga.de las madres para criar á sus hijos, ó medicina domestica de la primera ras comunicaciones que, después de su instalación, dirige al mismo el capitán infancia: obra, que con varias adiciones de'un médico español, publica D. Autunio general de Filipinas D. Pascual Enrile, cuyas Techas alcanzan hasta 16 de Ages M^rla González y Crespo, bachiller en filosofía y en derecho civil, Individuo d- ‘a to det año próximo pasado. antigua academia de medicina y cieocias naturales de Madrid, y corresponsal de Ja Se gozaba en aquellas islas…</t>
  </si>
  <si>
    <t>Aver</t>
  </si>
  <si>
    <t>…stablecimientos públicos""de'''ínteres gSñerál sitos en la capital”; hablan Partes recibidos en íd secretaria de Estado y del Despacho de la Guerra. MM. Joufó&amp;Q * Legrand, Martin, Escbasseriaux y^Duscré, solicitando que no Excmo. Sr.: Aver permanecían en Evora D. Carlos y D. Miguel con las se acceda á las rebajas que propone la comisión; pero La Cámara aprueba los fuerzas que les acompañan: al parecer consisten en ~‘3 hombres de codas clases, capítulos conformándose con la propuesta de aquella. linea, milicia y voluntarios, entre ell…</t>
  </si>
  <si>
    <t>AVerbna, Eugenio</t>
  </si>
  <si>
    <t>Eugenio AVerbna</t>
  </si>
  <si>
    <t>…e mariscal de la corte al conde Pedro tenemos una fe profunda en la monarquía de J ulip, y en sus altos destinos, y Goüs. opinamos que está bastante arraigada para que puedan hacerle mella hombres El mismo día (8 de Noviembre) el conde Eugenio AVerbna, hermano que no sean aptos para dirigir la Francia. Asi es que ni ensalzaremos al nue del conde Rodolfo de Werona, caballerizo de la corte, fue nombrado caba vo gabinete en los primeros dias de su administración, ni tampoco le prodi llerizo mayor de S. M. el Emperador en lugar del ya difunto Prínci…</t>
  </si>
  <si>
    <t>Aviiés</t>
  </si>
  <si>
    <t>…orand, y M. Dupin, hacen algunas observaciones respecto á varios artícu siva con Portugal. los del proyecto, y la Cámara aprueba los artículos 3.°, 4-° y tres párrafos de! Las noticias de Lisboa del 14 dicen que los progresos del general Aviiés en 5.°, en los cuales se determinan «los casos en que el oficial no empleado se ha Tras-os—montes son muy favorables á la causa de la Reina, y que Morillo, el lla apto para serio, y algunas de las circunstancias en que el oficial que se halla -capitán general de Galicia, le auxilia con todo su pode…</t>
  </si>
  <si>
    <t>Avila</t>
  </si>
  <si>
    <t>…es de la Cámara. met-Alí ha dirigido á los cónsules de Francia y de Inglaterra una nota en Se dió cuenta de las exposiciones de varios ayuntamientos. que expone difusamente los agravios que ha recibido de la Puerta y la Rusia. El Sr. Avila presento una proposición, «pid¿éndo que se nombrase una Está pronto á declarar la guerra á entrambas Potencias si la Francia y la In comisión especial que se encargare de clasificar los empleos públicos.” glaterra le autorizan para hacerlo. Sus propios recursos le bastan para sostener El ministro d…</t>
  </si>
  <si>
    <t>Avila, Clemente Arias y</t>
  </si>
  <si>
    <t>Clemente Arias y Avila</t>
  </si>
  <si>
    <t>…puntos de qúe trataban, ó para tpmár conocimiento de ellas, pues siendo solo • El Estamento quedó' enterado de -haher údopombrsdpiescrlbletite del ataba pa» este efecto, tp^sba.ql Estamento, y po 4 una qotnisipo, y que por lo mo D. Clemente Arias y Avila,¡en. reemplazo de~D, José- Maesa SeBCpqrsé tapjtp le parecía tjiúul que dichas, memorias glaseo, 4 -sus, respetivas co ha renunciada su plazamisiones. latpbieu lo quedó de “ó*- exposición de!:Sf: £&gt;• fieyyrbno Paez Jarrtiillo, EI Sr. Secretario de lo Interior pidió se leyese el art. 36 del Estatuto…</t>
  </si>
  <si>
    <t>Aviles</t>
  </si>
  <si>
    <t>…pasaron la barca de Pe- Debe hacerse otra reflexión.' Lope no debió su celebridad á sus comedla siño, causándole gran pérdida el conde de Villaflor. históricas ni í las divinas, en las cuales se notan la mayor parte dé los des El general Aviles, comandante de la provincia deTras-os-montes dice des atinos censurados por Cervantes, sino á las que entonces se llamaron de capj de Braganza el 25 al gobernador de Ciudad-Rodrigo que toda aquella provin- espada, como la Esclava de su guian, la Mozas de cántaro, De corsario i cia como la dc entxe…</t>
  </si>
  <si>
    <t>…nifiesto la Según las últimas noticias, Miranda y Braganza, en Tras-os-Montes, han í: fidelidad del ejército, y el amor al órden y al Soberano de la guardia nacional, sido ocupadas por algunos pedristas, á cuyo frente se halla el general Aviles; h acreedora siempre á la gratitud de sus conciudadanos. una columna española al mando del brigadier comandante de carabineros de | Unas 100 personas han sido presas en estos dias. costas y fronteras D- Pedro Aznar, había penetrado en aquella provinciaPor el último parte del general Rodil su fecha…</t>
  </si>
  <si>
    <t>Axibus</t>
  </si>
  <si>
    <t>…eral de aquella época. Algunos Mo «líos -se hallaban encerrados en un desfiladero. Se les envió un piquete para que narcas tuvimos que se empeñaron en proteger las letras; mas el imperio de la ae rindiesen; pero al adelantarse el capitán Axibus para conferenciar con el ciencia cuesta mucho de establecer, y necesita largo tiempo para arraigarse. Es gjefe de los insurgentes, este le pasó la espada á traición, y le mató. En esto verdad que D. Juan m protegió á los, sabios, y que por aquel tieiyipO fue Por «1 teniente Mauromichalis mandó hace…</t>
  </si>
  <si>
    <t>Ayajga, José Ciscar Ír D Antonio</t>
  </si>
  <si>
    <t>José Ciscar Ír D Antonio Ayajga</t>
  </si>
  <si>
    <t>…ia, y el amor de la tucion á St.D.D. Manuel Joaquín Tarancon. m Soberano, y la confianza de la misma en su» .intencionen aumentaba de día aa dia. (¿Monitor."} provincia db vaibncia. Sr. D. Pedro Fuster. J Sr. D. Juan Subclase. r. D. José Ciscar. | Ír. D Antonio Ayajga, j) Madrid k, dr Julio. Sf. D. Ildefonso Diez dé Rivera» conde dtAlmorÍ0*pi. ttBOCrptt DE PROCURADORES DE¿ REINO. Sé. D. Abdon Ruiz de Carrú». provincia db Suva. ■sovikcia a S. D. Jacinto d« Roñante,</t>
  </si>
  <si>
    <t>Ayala</t>
  </si>
  <si>
    <t>…su reemplazo. El Sr. marques de Montesa manifestó que el Sr. Procurador electo por la Teruel. eeD. Juan Romero Alpuente. provincia dé Soria So hallaba en el ejército del Norte. Santiago de Cuba.ee D. Pedro Echavarria y Ogaban. El Sr. Ayala dijo que el Sr. Saint Yuste habla salido ya d« PuertorPrín Guada lajara. = D. Francisco Morales. cipe para Marsella. I El Sr. González (D. Antonio) manifestó que la casualidad de haber lle Señores cuya elección consta, por las actas, y que han avisado hallarse en gado á esta capital.el Sr. Scoane f…</t>
  </si>
  <si>
    <t>Ayala, Antonio José de la Moneda y</t>
  </si>
  <si>
    <t>Antonio José de la Moneda y Ayala</t>
  </si>
  <si>
    <t>…a de Ca- universidad de Kiew, creada por el ukase imperial del 8 (20) de Noviensbiis zorla á D. Francisco de Paula Alvarez: para la de Fuente de Can de 1833 , no estaba todavía completamente organizada, y de consiguiente el tos á D. Antonio José de la Moneda y Ayala : para la de Hellin á presupuesto no ha podido hacer aun mención de ella. El número total de es D. Gregorio Marau: para la de Rivadeo á D. Alonso Sánchez de tudiantes asciende i 4609. Ademas de estas seis universidades superiores y efe Pando: para la de Carballó á D. José Vázquez de Parga: para la…</t>
  </si>
  <si>
    <t>Ayala, Pedro Echavarria y Ogaban El Sr</t>
  </si>
  <si>
    <t>Pedro Echavarria y Ogaban El Sr Ayala</t>
  </si>
  <si>
    <t>…n sido desaprobados, y se ignora su reemplazo. El Sr. marques de Montesa manifestó que el Sr. Procurador electo por la Teruel. eeD. Juan Romero Alpuente. provincia dé Soria So hallaba en el ejército del Norte. Santiago de Cuba.ee D. Pedro Echavarria y Ogaban. El Sr. Ayala dijo que el Sr. Saint Yuste habla salido ya d« PuertorPrín Guada lajara. = D. Francisco Morales. cipe para Marsella. I El Sr. González (D. Antonio) manifestó que la casualidad de haber lle Señores cuya elección consta, por las actas, y que han avisado hallarse en gado á esta capital.el Sr. Scoane f…</t>
  </si>
  <si>
    <t>Ayarza</t>
  </si>
  <si>
    <t>…yecto no ha creado una nueva legislación sino para los yes, era de dictámen1 que bebían aprobarse. Asi se acordó. bienes mostrenco*; e&gt;to es, tesoros hallados, los ganados extraviados ó al¡rari— Entró á jurar y tomó asiento dicho Sr. Ayarza. ^ nos, las co»as abandonadas cuyos dueños no parecen, y no han sido ocupadas, El Sr. Presidente anunció que iba á continuarle la discusión por artíce los j|b¡ntestatos Esta naturaleza de cosas no se ha variad-, ni se ha tratado lo* del proyecto de ley sobre bienes mostrencos, y que habiéndose concl…</t>
  </si>
  <si>
    <t>Ayarza, Antonio</t>
  </si>
  <si>
    <t>Antonio Ayarza</t>
  </si>
  <si>
    <t>…presentados por el'Sr. D. José Camps y Soler, electo Procurador por las islas Baleares, y de los documen Sr. marques de Villacampo, por Burgos. ' ' ’ tas justificativos de sus rentas, opinaba que debían aprobarse por estar confor D. Antonio Ayarza , por Valencia. mes á lo prevenido. Asi se acordó. D. Agustín Arguelles, por Oviedo.^ ’ Concluido el despacho, tomó la palabra-el Sr. Medrano para presentar una D. Saturnino Calderón, por Orense. indicación. D. Francisco de Paula Crespo Rascón, por Salamanca. ’ El Sr. Medrano-. »Voy á hacer al Esta…</t>
  </si>
  <si>
    <t>…ses. tienen dueño conocido; pero U naturaleza de dicnosb'cncs no ha variado. Los La comisión de Poderes dio cuenta de que habiendo examinado los del que reconocen dueño, aunque du loso , se dejm en manos de sus actuales posee Sr. D. Antonio Ayarza”, electo Procurador por la provincia de Valencia, y dores, y tanto mas si cuentan con una posesión de siglos, como en el caso que los del Sr. X*. Rafael Faustino'Sanz, que lo es por la de ValUdolid , con los se ha citado. documentos justificativos de.su aptitud legal, y hallándolos arreglados á. la…</t>
  </si>
  <si>
    <t>Ayarzá, Antonio</t>
  </si>
  <si>
    <t>Antonio Ayarzá</t>
  </si>
  <si>
    <t>…nombrafcnicnto de S. M. para Terminando con esto esté incidente, leyó el Sr. González un oficio recibi Presidente y Vicepresidente del Estamento, con lo qué levantó lá fcéskm a las do en la secretaría, por el cual avisaba el Sr. D. Antonio Ayarzá, Procurador doce, advirtiendo á los Sres; Procuradores se les avisaría por loé porteros él día por Valencia, haber enfermado al trasladarse á esta corte, por lo que había te y hora de la inmediata. jido que suspender su viage en Mógente, desde donde escríbu; y por lo tanto Adición. Para rectificar…</t>
  </si>
  <si>
    <t>Ayarza, D Antonio</t>
  </si>
  <si>
    <t>D Antonio Ayarza</t>
  </si>
  <si>
    <t>…tereses. tienen dueño conocido; pero U naturaleza de dicnosb'cncs no ha variado. Los La comisión de Poderes dio cuenta de que habiendo examinado los del que reconocen dueño, aunque du loso , se dejm en manos de sus actuales posee Sr. D. Antonio Ayarza”, electo Procurador por la provincia de Valencia, y dores, y tanto mas si cuentan con una posesión de siglos, como en el caso que los del Sr. X*. Rafael Faustino'Sanz, que lo es por la de ValUdolid , con los se ha citado. documentos justificativos de.su aptitud legal, y hallándolos arreglados á. la…</t>
  </si>
  <si>
    <t>Ayarzá, D Antonio</t>
  </si>
  <si>
    <t>D Antonio Ayarzá</t>
  </si>
  <si>
    <t>…s él nombrafcnicnto de S. M. para Terminando con esto esté incidente, leyó el Sr. González un oficio recibi Presidente y Vicepresidente del Estamento, con lo qué levantó lá fcéskm a las do en la secretaría, por el cual avisaba el Sr. D. Antonio Ayarzá, Procurador doce, advirtiendo á los Sres; Procuradores se les avisaría por loé porteros él día por Valencia, haber enfermado al trasladarse á esta corte, por lo que había te y hora de la inmediata. jido que suspender su viage en Mógente, desde donde escríbu; y por lo tanto Adición. Para rectificar…</t>
  </si>
  <si>
    <t>Ayer</t>
  </si>
  <si>
    <t>02/11/1834</t>
  </si>
  <si>
    <t>Gaceta de Madrid n.º 261</t>
  </si>
  <si>
    <t>…ratar á los prisioneros, se adopfófótr’nié&amp;ídas, «Jico que se publica en Naúplia, lo que sigue: , r ¡,. d fin &amp;£ qúc Ta posición, de. todo individuo., condenado á la pena de exporta— wEstamos aquí muy alegres desde la llegada del Rey. Ayer hubo una ‘ cíoti, se especificase exactamente desde el' día de su sentencia hasta el de su hermosísima fiesta en el Acrópolis. S. M., rodeado de una gran muchedumbre instalación definitiva en. Siberia. En consecuencia, el gobierno ruso expidió de gente-JC^Jtasladp cop toda pompa ájlicho^átio. El mo…</t>
  </si>
  <si>
    <t>…s con su cuerpo y una compañía de . El pane á que se refiere el anterior oficio dice asi: Comandancia general de 'Alcázar: los 44 caballos del 5.® y ó.° de ligeros, al mando'del teniente Don .operaciones del bajo Aragon. =:Excmo. Sr.: Ayer salí de Fontanete en segui Hermenegildo González, los situé en disposición de podef aprovecharme de miento del .rebelde Carnicer; Jo perseguí por pinares y cara postraviesos hasta ellos. Ortels, en donde hice noche después de quince horas de marcha, ca la cual al Doscientos y tantos soldados de la…</t>
  </si>
  <si>
    <t>Gaceta de Madrid n.º 171 · extraordinaria</t>
  </si>
  <si>
    <t>…acompañan , se conducen á mi satisfacción. Dios &amp;c. Cuartel general de Zudaire 3ü de Julio de 1834» á las doce de la noche. == Excmo. Sr. = José Ramón Rodil- =z Excmo. Sr. Secretario de Estado y del Despacho ¿e la Guerra. Excmo. Sr.=Ayer! anuncié i V. E. que nueve batallones facciosos quedaban embos cados i retaguardia de! puerto de Artaza y los inmediatos de Urra, Gollano , Baquedano y Zudaire. Confirmadasestas noticias, resolví dejarlos, sin inquietarlos en sus posiciones, previniendo á los señores generales Lorenzo y Espartero q…</t>
  </si>
  <si>
    <t>…amistosas cuerpo de ocupación de Africa, que con gran satfcfacccion suya han existido hasta ahora, y que desea mantener para siempre) estaba obligada á dar, por medio de la Dierik federativa, qup'~ék Argel 2 de Mayo de 1834- Sr. mariscal: Ayer se ha celebrado en Argel kuórgáno constitucional, esta declaración franca y sincera para no dejar,*! el aniversario del nacimiento del Rey con fiestas y diversiones notables por la alto directorio la menor duda acerca de sus sentimientos y sus rcsoluciooes. franca alegría que animaba i las diferent…</t>
  </si>
  <si>
    <t>07/12/1834</t>
  </si>
  <si>
    <t>Gaceta de Madrid n.º 296</t>
  </si>
  <si>
    <t>…a 15 ó 2o hombre» por* diferente» pueblo» y en varia» dirección». Dios &amp;C. hótsÁ se cóeeícló^jCotizaeioH de hoy á las ieil de Ut tarde, Parte que se tita en el anterior ojicio. «TECToi áváuedt. -Cólilmfri del bajó Arágoñ.:üExcmo. Sr.: Ayer á las sieté de la noche IfuctlpcioM» en el gran libro 1 í p. 100. 00. pisó el cabecilla Cabrera por Torre del Connote, y Salió á las ocho con direc TítuUis al portador del i p. 100, 00. ción á Moñroyo: solo le acompañan 7 caballos y 13 Infante», lo que me ha Inscripciones en él gran libro i 4 P* 10…</t>
  </si>
  <si>
    <t>…o demas no ofrecen el mayor interes.” Vaidés había salido para el mismo país. Parte que se cita en el anterior oficio. Habiendo entregado el mando del cuerpo de ejército de Navarra el tenien Columna móvil del Guadalope. =r Excmo. Sr.: Ayer á Jas doce del día te general marques de Rodil al mariscal de campo conde de Armtldez, v ha tuve aviso al llegar á la Fresneda de que todas las {acciones reunidas en núnye- biéndose agravado los males de este General, se encargó de aquel el 4 del cor ro de 8¡U hombres , mandadas por los principales…</t>
  </si>
  <si>
    <t>…e.nrr:xemo.de Eguia.rrrPor la diputaciónSr. Secre La. Rjsxn A nuestra Señora Doña Isasel ii , y S. M. la Rxiha Goberna tario de Estado y del Despacho de Gracia y Justicia, dora , siguen sin ñor edad en su importante salud. Excmo. Sr.: Ayer noche tuve la satisfacción de recibir con el oficio de Del mismo beneficio disfrutan-SS. AA. RR.. los Sermos. Sres. Infantes^ V. E. de 30 de Noviembre el juego de monedas de plata acuñadas ¿oo n$$tivo de la proclamación de la Reina nuestra Señora Doña Isabel ii verificada en la heroica villa de Mad…</t>
  </si>
  <si>
    <t>…on despejo la resolución de varios problemas gadier D. Carlos Tolrá me dice con fecha 12 del corriente desde la Guardia lo sobre la esfera armilar y sobre el globo terrestre, y disolvió varias dificultades su - que sigup : Excmo. Sr.: Ayer á las dos de la tarde desfilaron por frente de Ota geridas por el concurso sobre arreglo de cuentas corrientes con ínteres, j des villa una columna enemiga mandada por los rebeldes Vlllareal y Arreytío : su cuento de letras, pagarés á la orden, ó sean vates de comercio, habiendo ade fuerza podia se…</t>
  </si>
  <si>
    <t>…de! misterio probabilidades de ser elegidos que en las actuales circunstancias. con que se ba preparado esta expedición, corren voces de que va á dar un gran golpe. ■——f-*- Miguel está decidido á pasar á Austria. Los consejos del Emperador Ayer ha llegado una fragata francesa con pliegos urgentes para el almiran debieron inspirarle una conducta absolutamente diversa 3é la que ha seguido. te ingles. Inmediatamente ha salido un barco de vapor para llevar estos plie La fortuna con que cuenta le proporcionará medios de satisfacer los capricho…</t>
  </si>
  <si>
    <t>Ayer, Alcalá Galiana</t>
  </si>
  <si>
    <t>Alcalá Galiana Ayer</t>
  </si>
  <si>
    <t>…os si -blo Heredia por asuntos urgentes de familia, y el Sr. D. Joaquín Tosquellss por haber recibido la noticia del fallecimiento de su padre y á fin de arreglar guientes: , ..................... ARTÍCULO UNICO. sus negocios. El Sr. Alcalá Galiana-. ^ Ayer no asistió á la sesión mi digno compañe .Fu tanto que se discuten sin interrupción, y aprueban los presupuestos ro y amigo el Sr. Istúriz por hallarse indispuesto, y habiéndose tocado en cita de gastos é Ingresos presentados por el Gobierno para el ano próximo de 1835, un punto en que estaba intere…</t>
  </si>
  <si>
    <t>Ayer, Alcalá Galianos</t>
  </si>
  <si>
    <t>Alcalá Galianos Ayer</t>
  </si>
  <si>
    <t>…una palabra, «Guebhard, como todos los capitalistas, no fian sus capitales■ sino con se salva ¿1 principio, y no se menoscaba el crédito del Estado.” cierta seguridad y esperanza de buen resultado, y no entregarían su dinero á El Sr. Alcalá Galianos «Ayer abusé por largo tiempo de la atención , una autoridad dudosa. Por ato con mil escusas y pretextos dejaron de entre del Estamento; hoy Seré mucho mas breve, y tanto mas cuanto tuve-la des gar las cantidades estipuladas; mas apenas vieron sentado en su trono al Mo gracia de cansar al Congrao sin la b…</t>
  </si>
  <si>
    <t>Ayer, I S.C</t>
  </si>
  <si>
    <t>I S.C Ayer</t>
  </si>
  <si>
    <t>…........ ................................................................. , 540 ESPAÑA. El Sr. D. Mateo de Norzagaray, teniente de corregidor de esta he Valladolid 25 de Julio.. roica villa................................... 500 Doña I. S.C.......................................................................................... 20 Ayer ha publicado nuestro comandante .general la siguiente alocución: Doña M. D. P................................................................................. .. - 20 ««Soldados, Milicianos urbanos: hoy es el día mas memorable para la na La comunidad de PP. trinitarios calzados.....................…</t>
  </si>
  <si>
    <t>Ayer, JOié S.inta</t>
  </si>
  <si>
    <t>JOié S.inta Ayer</t>
  </si>
  <si>
    <t>Gaceta de Madrid n.º 167</t>
  </si>
  <si>
    <t>…pa¡s” * “ V?;.■■, . - V;\ * El cantan general de Valencia con fecha del 28 del mes próximo pasado ,- lee en el Guardia tiacion*t de Marsella de 16 de Jnlíor ‘ \ • c* -dipe í'qsye mido tejió lo que sigue: «Excrcio.-Sr^rELbrigadier D. JOié_S.inta «Ayer %e-Jpary,*ri$5a4p ün suceso muy triste, que aéqtquó;íh^peodr^n^, . Cru^Vinteniante general de la parte del Éste desde las montañas entre Zote enn un todo de la política y flodeyfri oe soministrar ocasion al espírjrujfef:j ritacy Piqble^eiry^A del actual me dice lo que copio:=Excmo. Sr. ir: Hiblen-…</t>
  </si>
  <si>
    <t>Ayer, José López Juana Pinilla</t>
  </si>
  <si>
    <t>José López Juana Pinilla Ayer</t>
  </si>
  <si>
    <t>…on sejo de la Guerra. INGLATERRA. Para la de Hacienda á D. Antonio Martinez, decano; D. Fran Lóndres 8 de Abril. cisco López Alcáraz; D. Jacobo María de Parga; D. Niceto de Fondos públicos. Tres por 100 consolidados 90 • Larreta; D. José López Juana Pinilla. Ayer llegó á esta ciudad el nuevo embajador de España , conde Para la de Marina á D. Martin Fernandez de Navarrete, deca de Floridablanca. Hoy, acompañado del caballero Vial, ha hecho no; D. Agustín Perales; D. Miguel Moreno- una visita á lord Palmerston, y el 16 será presentado á S. M. Un Para la de Fo…</t>
  </si>
  <si>
    <t>Ayer, Mi</t>
  </si>
  <si>
    <t>Mi Ayer</t>
  </si>
  <si>
    <t>…te. «_Por la primera vez, unos pichones-correos acaban de hacer el viage de Nadie ignora en Europa que al advenimiento al trono de nuestra amada Amberes á París. Reina Doña Isabel ii , no solo no fue reconocida por el gobierno de D. Mi Ayer mañana á las nueve seis pichones, pertenecientes á una persona de Am guel , sino que el Pretendiente estaba en el territorio que poseía aquel Príncipe, beres establecida en París, fueron despachados en la primera de las dos ciuda era tratado en él como Rey de España, y se le per&amp;iitia organizar tro…</t>
  </si>
  <si>
    <t>Ayerbe, D Joaquín</t>
  </si>
  <si>
    <t>D Joaquín Ayerbe</t>
  </si>
  <si>
    <t>…a cuantos enemigos bailase á la iz El capitán genera! de Aragón remire con fecha 26 las siguientes copias de quierda del mismo camino, y una compañía de celadores saliendo de Villa- los partes del brigadier Linares y del teniente coronel D. Joaquín Ayerbe. frartca reconocer las elevadas asperezas del cerro de Aralar. Todas estas tropas Segunda columna de operaciones de Aragón.=Hxcmo. Sr.: Cuando me se me habían de reunir en el pueblo de Arriba, á donde me dirigí con las de disponía en la noche de ayer para emprender un movimiento sobre la línea del m…</t>
  </si>
  <si>
    <t>…lá Lumbier 24 de Abril de 1834*= Cristóbal Linares de Butrón.—Es copia. valesPenda Realesnegociableno consolidados,de 5 p. 100 £ 00.papel, 00. sEzpeleta. Id. sin Ínteres, 00. Acciones del banco español, 00. ^ CAMBIOS. Eí teniente coronel D. Joaquín Ayerbe , me dice con fecha de ayer lo que Amsterdam, 00. Paris, 16. Cádiz, | b. Sevilla, par. Bayona,00. Alicante, pla i corto d. ± Curuña, d. Valencia, | sigue: zo , i d. 00. Burdeos, Granada, id. f id. Zaragoza, j Las armas de la Reina nuestra Señora siempre vencedoras han conseguido 00. Hamburgo, £ ps.…</t>
  </si>
  <si>
    <t>Ayerbe, Joaquín</t>
  </si>
  <si>
    <t>Joaquín Ayerbe</t>
  </si>
  <si>
    <t>…s enemigos bailase á la iz El capitán genera! de Aragón remire con fecha 26 las siguientes copias de quierda del mismo camino, y una compañía de celadores saliendo de Villa- los partes del brigadier Linares y del teniente coronel D. Joaquín Ayerbe. frartca reconocer las elevadas asperezas del cerro de Aralar. Todas estas tropas Segunda columna de operaciones de Aragón.=Hxcmo. Sr.: Cuando me se me habían de reunir en el pueblo de Arriba, á donde me dirigí con las de disponía en la noche de ayer para emprender un movimiento sobre la línea del m…</t>
  </si>
  <si>
    <t>…er 24 de Abril de 1834*= Cristóbal Linares de Butrón.—Es copia. valesPenda Realesnegociableno consolidados,de 5 p. 100 £ 00.papel, 00. sEzpeleta. Id. sin Ínteres, 00. Acciones del banco español, 00. ^ CAMBIOS. Eí teniente coronel D. Joaquín Ayerbe , me dice con fecha de ayer lo que Amsterdam, 00. Paris, 16. Cádiz, | b. Sevilla, par. Bayona,00. Alicante, pla i corto d. ± Curuña, d. Valencia, | sigue: zo , i d. 00. Burdeos, Granada, id. f id. Zaragoza, j Las armas de la Reina nuestra Señora siempre vencedoras han conseguido 00. Hamburgo, £ ps.…</t>
  </si>
  <si>
    <t>Ayervc</t>
  </si>
  <si>
    <t>…tado y del Despacho de la Guerra. diez de la mañana le avisté á un cuarto de legua de Anadón, que con unos 37 caballos y 6 ú 8 de á pie subían la sierra que está tocando al pueblo: al momento Detalles de la acción de Lidon por el comandante Ayervc anunciada en la dispuse le siguiese el capitán de caballería D. Amonio Martin, y yo con los jaceta de l.° de Mayo. 2S fusileros y 12 granaderos de la Guardia Real (única tropa que llevaba de mi cofumna, pues me dejé á esta atrás, como dije ayer á V. E., para mejor po El capitán general de Aragón co…</t>
  </si>
  <si>
    <t>Aylmer</t>
  </si>
  <si>
    <t>13/10/1834</t>
  </si>
  <si>
    <t>Gaceta de Madrid n.º 241</t>
  </si>
  <si>
    <t>…una nación considerada en guerra , v que Los tres secretarios del Despacho, lores Palmerston y Ducannon y Ttír* otros ejemplos recientes atestiguan esa misma predisposición en favor de aquella Rice, son irlandeses: también lo son lord Aylmer, gobernador general del franquicia » abrigando su pabellón en las cosías vecinas , el gobierno supremo de Canadá*, lord Clare, gobernador de Bombay; marques de Sligo, gobernador de la república ha acordado decretar los artículos siguientes sin perjuicio de reca Jamaica; el general Bourke , gobernad…</t>
  </si>
  <si>
    <t>Ayudantet</t>
  </si>
  <si>
    <t>…Mecision en los campos de Lumbier pelotones de dispersos íjue cometen vejaciones de toda especie, y es preciso ani ¿1 a.., ac u CcUu. quilar para garantir sólidamente la quietud pública de aquel país, la cftat se res Plana mayor general. Ayudantet capitán D. Femando de Norxagaray: tablece generalmente en todos los puntos del Principado , siendo cada dia mas Ídem idem de campo, alféiez D. Manuel de Larrain. inútiles los esfuerzos de los malvados que intentan alterarla, por el buen espí Guardia Real de i.¡if.intcrM.=Cap;tan&lt;s , D. Leopoldo O-D…</t>
  </si>
  <si>
    <t>Ayuso, Manuel Barrio</t>
  </si>
  <si>
    <t>Manuel Barrio Ayuso</t>
  </si>
  <si>
    <t>…esas de los muros de la plaza. tados desagradables. Eile desenlace ventajoso es debido muy parejcuíarmente al■ I El general concluye su parle oficial diciendo: «no recomiendo en particu- incansable zelo del subdelegado de policía D. Manuel Barrio Ayuso, y del I laf 4 ninguno de los valientes que combatieron en este glorioso dia , porque comandante dé las armas D. Rafael Sánchez Saravia , que han permanectdb; ■ teidos dieron pruebas de la mas decidida lealtad y bravura: mas de 600 coro- imperturbables en tan críticas circunstancias: y con la misma…</t>
  </si>
  <si>
    <t>Ayuso, Pedro</t>
  </si>
  <si>
    <t>Pedro Ayuso</t>
  </si>
  <si>
    <t>Gaceta de Madrid n.º 195</t>
  </si>
  <si>
    <t>…o S. M„ queriendo cese tal escándalo, prohíbe desde ahora la publicaciónGómez Becerra: en clase de oidores á D. Antonio Cortés y Zavala, de dichos papeles, bien sean iinpresosó manuscritos, s’i no están autoá D. Vicente Pereda, á D. Pedro Ayuso, que lo son de la misma, á rizados con las precisas formalidades de la ley: los ciegos ó ¡lefsonasD. Manuel Leonardo Vizmanos, fiscal del crimen de dicha audiencia, que los pregonen serán arrestadlas v expulsados en la misma hora á P- Gas|&gt;ar Ondovilla, que lo era de la de Barcelona, á D. Félix de…</t>
  </si>
  <si>
    <t>Azaguirre, Manuel</t>
  </si>
  <si>
    <t>Manuel Azaguirre</t>
  </si>
  <si>
    <t>…óximos al camino de Miranda, los cuales llenaron completa che; soldados Mariano Baza, Domingo Fernandez, Manuel O .ono, Francisco mente su objeto, pues de los cuatro que bajaron, Alejo Valle y José Pérez, na Díaz, de ia Princesa; sargento 27 Manuel Azaguirre , el de igual clase (Jeró turales el primero de Saliníllas , y el segundo de Leza, fueron pasados por nimo de Oruña; cal*o&gt; Manuel del Cueto, Pedro de La Sierra , Francisco Garlas armas, mientras que Esteban y Manuel, naturales de Haro, murieron el rru, Juan dél Campo, Romualdo Díaz; soldados Jo&gt;e…</t>
  </si>
  <si>
    <t>Azango</t>
  </si>
  <si>
    <t>…ignos compañeros de comisión. reales. La comisión después de analizar las diversas partidas proponía una reba También apelo i los mismos para recordar al Sr. Rodríguez Vera mi opinión ja de 1.710,256 rs. vn. en esta parte. 1 - El Sr. Azango: «Yo solo haré una ligera observación. El actual espitan "Cuando se trató del portero de Guerra dije que no.podía convenir en de guardias es capitán general; de consiguiente goza 1209 re. de neldo. Por que un portero tuviese-129 rs,, mientras yo con 4® años de servicio solo ten esto yo no hallo raz…</t>
  </si>
  <si>
    <t>Azara</t>
  </si>
  <si>
    <t>22/08/1834</t>
  </si>
  <si>
    <t>Gaceta de Madrid n.º 188</t>
  </si>
  <si>
    <t>…as ilustre de la repú blica romana; la sagacidad y destreza con que el autor ha sabido hacer á un misino’ Su gobernador civil con fecha dei 19 acompaña el siguiente tiempo agradable c instructiva su obra, y la maestría coa que el Sr. Azara supo tras ladarla a nuestro iJimnu; desde luego podra asegurarse que es una dé las mas selectas y Parte sanitario. eruditas que posee la imprenta Real. ——Historia He los Sacramento*, donde se refiere el modo observado por la Iglesia en Pueblos. Días. Invadidos. Curados. Fallecíd upnsr-&gt;!e*su celebr…</t>
  </si>
  <si>
    <t>Azara, D Eusebip Bsrdají y</t>
  </si>
  <si>
    <t>D Eusebip Bsrdají y Azara</t>
  </si>
  <si>
    <t>…a de este ios gefes del cuerpo por 5.° «Los viudos. Gon hijos.tnenores. conducta del gobernador .civil deda provincia.” «Los nombrados para servicio extraordinario podrán ser reemplazados por Leído este artículo obeérvó el Bremo. Sr. D. Eusebip Bsrdají y Azara otros urbanos del mismo batallón ó compañía que se presten á ello.» que refiriéndose á batallón ó escuadrón el verbo podrán del principio de diebo También lodueel-art. 19, poniendo en lugar de tina provincia la enmien artículo, debería ponerse-en singular diciéndose podrá, en lo que acordó el da de…</t>
  </si>
  <si>
    <t>Azara, EusebioBardají y</t>
  </si>
  <si>
    <t>EusebioBardají y Azara</t>
  </si>
  <si>
    <t>Gaceta de Madrid n.º 158 · suplemento</t>
  </si>
  <si>
    <t>…ncias creadas en beneficio de algunaa-Rrovincias;-le#’’-1 láavarrelérpítriarca de las Indias; conde de Venadito; D. Ignacio de la Pezuemuchas trabas que se han quitado al desarrollo de la riqueza públi la; D. Juan Alvarez Guerra; D. EusebioBardají y Azara ; conde González Castejon; P. Ramón Gil de la Cuadra; marques de Montealegre, conde de Oñate; ca , el alivio concedido á los pueblos de varias exacciones onerosas, marques tic StarCruz; obispo de Córdoba; D. Justo María Ibar-Navarro; du y otras mejoras que se están preparando, os mostrarán mi solíc…</t>
  </si>
  <si>
    <t>Azara, Eusebip Bsrdají y</t>
  </si>
  <si>
    <t>Eusebip Bsrdají y Azara</t>
  </si>
  <si>
    <t>…este ios gefes del cuerpo por 5.° «Los viudos. Gon hijos.tnenores. conducta del gobernador .civil deda provincia.” «Los nombrados para servicio extraordinario podrán ser reemplazados por Leído este artículo obeérvó el Bremo. Sr. D. Eusebip Bsrdají y Azara otros urbanos del mismo batallón ó compañía que se presten á ello.» que refiriéndose á batallón ó escuadrón el verbo podrán del principio de diebo También lodueel-art. 19, poniendo en lugar de tina provincia la enmien artículo, debería ponerse-en singular diciéndose podrá, en lo que acordó el da de…</t>
  </si>
  <si>
    <t>Azevedo</t>
  </si>
  <si>
    <t>…ste que mi voto proposiciones hechas por los Sres. Silva Sánchez, barón de Rendúffe, Barreto es que lo apruebo una y cien veces si fuese necesario.” Férráz y Sotisa Azev¿dó para que se declaré que el ex-infante p. Miguel y sus El Sr. Azevedo leyó el artículo l.° del proyecto, y fue aprobado uná deseen«frentes quedan excluidos de la sucesión de la corona portuguesa, y para nimemente y ri(n ninguna discusión, asi como el 21* El 3.° ¡dio lugar-a mu que se le destierre del territorio de Portugal, de los Algarbes y sas dominios, chas y muy…</t>
  </si>
  <si>
    <t>…vocales de ios consejos de arrimón. Se han tomado, v se van a tomar rodas las medidas de precaución; que se trataba en este artículo, fuesen letrados. mas contra-jos pertuibadoies internos llamo también la atención -de esta Cá El Sr. Azevedo presentó el artículo redactado de distinto modo y con mara, á fin de que no se renueven ios horrores de la guerra civil. El gobierno algunas alteraciones; el Sr. Tavares Carballo se opuso a algunas de las adi necesita, pues, que se le autorice piara emplear medidas extruooLnaruc, tanto ciones, sost…</t>
  </si>
  <si>
    <t>Azígra, Miguel</t>
  </si>
  <si>
    <t>Miguel Azígra</t>
  </si>
  <si>
    <t>….¡if.intcrM.=Cap;tan&lt;s , D. Leopoldo O-DonelJ; D. Luis ritu tjue reina en los habitantes , y las activas y enérgicas disposiciones do las García Luna; teniente*, D. José Faldera; D. José Oriol Despajo!: alférez -autoridades. ccs, D. Miguel Azígra ; D. darlos Fanch ; D. í oren/r* Smuhs. Soria , 9.° de linca =1 enicntc , D 1c nací o V: ñcd alféreces , D. Nicolás de El comandante genera! de Asturias avisa con la misma fecha hallarse aquel ll Fax, herido . v D. Jo-*e Antonio luri rt: D. Manuel Espada: D. Sumías principado en completa tranquilid…</t>
  </si>
  <si>
    <t>Azm-in</t>
  </si>
  <si>
    <t>…uencia que las presentes estipulaciones, ____ El Correo fr unces dice lo siguienre-: -»La Gaceta de Auvsburgo dando fci revestidas con el sello dei Estado, se publiquen en todos los puntos donde con noticia de haberse separado el conde Azm-in^pcrg &lt;’e la prcsi.it ncia dei consejo venga, insertándolas en el Buiet.n de tas leyes á fin de que se hagan notorias á de gobierno del Rey Oion, atribuye este suceso a la amistad íntima deí conde todo* en general y á cada uno en particular. con el enviado británico, fiin embargo es mas probable por…</t>
  </si>
  <si>
    <t>Aznar</t>
  </si>
  <si>
    <t>iiccho al brigadier Aznar, estrechándole^ que acelere su marcha detrás de los individuo? ton todos canónigo*; y tienjt cada uno casa separada, formando toda* facciosos,, y al coronel Mir, que como anuncié á V, E. ayer, marchó esta mauna población. / . ' . . , ñana con 3i)0 infantas y 2S caballos en dirección de Puentelarrá,…</t>
  </si>
  <si>
    <t>20/09/1834</t>
  </si>
  <si>
    <t>Gaceta de Madrid n.º 218</t>
  </si>
  <si>
    <t>…ia del estilo, no es posible ex da, ha bajado á Haro, dedóbdésé rtsiituia hicia los montes de Oca. En tas En presar ni en este género ni con aquella versificación lo* movimiento* tapidas y cartaciones deben, obrar la* fuerzas del brigadier Aznar ; las del general Espe desordenados dél corazón ó de la fantasía, que son.propios dé la lírica exaltad*. tera estaban también en movimicnto sobre el valle de Amtió. El gépcral 'én Un buen poeta, traduciría muy bien en ua rosnasaoe h oda de Horacio Dense «efe con lar tropss de su inmediato mando se…</t>
  </si>
  <si>
    <t>Aznar, Antonio</t>
  </si>
  <si>
    <t>Antonio Aznar</t>
  </si>
  <si>
    <t>…ecompensas á que los ¡considere de fuego nada había conseguido, acudió al medio de la intima acreedores, concediendo desde luego la cruz de S. Fernando al co ción , que lo hizo en los términos que comprende la copia núme mandante D. Antonio Aznar, una pensión de 6 rs. diarios sobre ro l.°, la que fue contestada según se expresa á continuación de La el fondo de temporalidades á la jóven hermana del malogrado sar .misma copia* gento 2° Andrés Luis de Gordejuela, y autorizando al expresado Esta decisión , y la noticia que sfn duda tuvo de la a…</t>
  </si>
  <si>
    <t>Aznar, D Pedro</t>
  </si>
  <si>
    <t>D Pedro Aznar</t>
  </si>
  <si>
    <t>…ho puntas, esmaltada de blanco y de azul: pende de una cinta de color azul terio de Rodilla u&gt;n la fecha del 18 del corriente lo que sigue: celeste, listada de blanco en ambos lados. La órden se compone de grandes Excmo. fir.: El brigadier D. Pedro Aznar, comandante de la primera bri cruces', de grandes oficíales, de comendadores, de oficiales y de caballeros. Los gada de operaciones en esta provincia, me dice con fecha iSdei corriente lo que Reyes de los franceses y de Inglaterra, como también el Emperador de Rusia, sigue: Excmo. Sr.: Elevo á las…</t>
  </si>
  <si>
    <t>…de 3® hom Espejo.'............... Idem ídem,.,.. 1(50 91 4 bres estaba atacando i Villarcayo: á las diez en punto emprendí -mi marcha Priego.................. Idem idem,. ... 37 29 00 pon las tropas de la l.1 brigada af mando del brigadier D. Pedro Aznar, com puesta de un batallón de carabineros, y el batallón del provincial de Granada, mlovincia o* jas». agregándosele í mas la compañía de cazadores de Segovia y 43 caballos de la Esta provincia se hallaba en buen estado sanitario el día 17 del actual, Reina.su total 900 hombres. „Al llegar á Villar…</t>
  </si>
  <si>
    <t>Aznar, Juan</t>
  </si>
  <si>
    <t>Juan Aznar</t>
  </si>
  <si>
    <t>…r desde Laredo todo el provincial [•donos á lo que arrojan de sí los datos que tenemos á la vista. que lleva el nombre de esta vkla, dejando en ella solo dos compañías: los re 1 Apenas contaba el brigadier de ios Reales ejércitos D. Juan Aznar, go- beldes ocuparon en el mismo dia y el siguiente los pueblos de Guriezo, LienIbernador de Santoña,, con la cuarta parte de la guarnición que para la defensa do y Limpias, avanzando partidas hasta la altura de Valverde, dispuestos á a interesante plaza es necesaria, cuando en 3 de Octubre del año…</t>
  </si>
  <si>
    <t>Aznar, Pedro</t>
  </si>
  <si>
    <t>Pedro Aznar</t>
  </si>
  <si>
    <t>…mino de Lodosa, donde llegué á las órdenes para que la tropa de Castilla dq esta columna marchase rápidamente once de la noche con 61 cazadores á caballo de la guardia y 42 del 5.° de li unirse á la de Vicente; y que la brinda de D. Pedro Aznar, que me avisaron geros ; y extrañando no ver reunírseme el brigadier Marcilla y el coroncLAmor, llegaba en este momento, compuesta'de sus carabineros, del provincial de Gra-; me dijo el ayudante de este que sin duda se habrían dirigido á Sesma, pues había nada al mando de su coronel el marques dé C…</t>
  </si>
  <si>
    <t>…esmaltada de blanco y de azul: pende de una cinta de color azul terio de Rodilla u&gt;n la fecha del 18 del corriente lo que sigue: celeste, listada de blanco en ambos lados. La órden se compone de grandes Excmo. fir.: El brigadier D. Pedro Aznar, comandante de la primera bri cruces', de grandes oficíales, de comendadores, de oficiales y de caballeros. Los gada de operaciones en esta provincia, me dice con fecha iSdei corriente lo que Reyes de los franceses y de Inglaterra, como también el Emperador de Rusia, sigue: Excmo. Sr.: Elevo á las…</t>
  </si>
  <si>
    <t>…Espejo.'............... Idem ídem,.,.. 1(50 91 4 bres estaba atacando i Villarcayo: á las diez en punto emprendí -mi marcha Priego.................. Idem idem,. ... 37 29 00 pon las tropas de la l.1 brigada af mando del brigadier D. Pedro Aznar, com puesta de un batallón de carabineros, y el batallón del provincial de Granada, mlovincia o* jas». agregándosele í mas la compañía de cazadores de Segovia y 43 caballos de la Esta provincia se hallaba en buen estado sanitario el día 17 del actual, Reina.su total 900 hombres. „Al llegar á Villar…</t>
  </si>
  <si>
    <t>Aznarez, José</t>
  </si>
  <si>
    <t>José Aznarez</t>
  </si>
  <si>
    <t>…y pormenores que le es debida, que la importancia de Mayo de 1823 creó á muy pocos dias de su institución el Ministerio de lo de la materia exige, y que yo quisiera: sobre lo cual reclamo la indulgencia Interior , que al cargo de D. José Aznarez duró unos cuatro mases. A*i los de Ambos Estamentos. distintos nombres que se le dieron desde el año de i812 al de 1834 no va El Ministerio de lo Interior, de que estoy encargado, es, como VV. EE. riaron esencialmente sus atribuciones, como tampoco son estas muy diferentes ¿aben, el que ha de reuni…</t>
  </si>
  <si>
    <t>Aznari, Antonio</t>
  </si>
  <si>
    <t>Antonio Aznari</t>
  </si>
  <si>
    <t>…l expresado coman parte á este ministerio del mismo suceso, añade nquede todas par dante de las armas de Calahorra, capitán de las compañías de caza tes en la fiel Rioja concurrían los urbanos, y ¿os que no lo son, dores de Rioja D. Antonio Aznari y no menos lo hace del com aunque en aquellas circunstancias lo eran todos, con fusiles, esco portamiento del licenciado D. Pedro Espinosa, alcalde mayor inte petas y cuanto les venia á la mano , para perseguir en guerrillas á rino de la villa deAusejo, comandante de su Milicia urbana, por las los vá…</t>
  </si>
  <si>
    <t>Azoar, D José</t>
  </si>
  <si>
    <t>D José Azoar</t>
  </si>
  <si>
    <t>…de libertad de que — —*^Acaso recordaran lor-Sresr-Procuradorcs que lá tégencísTde 1823 fundó sea susceptible, si se eompata este estada con el de otra» naciones catranger», un ministerio con título del Interior, y le encargó al Sr. D. José Azoar: du parece que no se está en el caso de entrar de lleno en esta cuestión hasta que «l ró hasta l.° de Octubre, en cuya época triunfó completamente el sistema 4 que gobierno use de la iniciativa, ó los Procuradores 4 Cortes-quieran usar del de deben referirse todos los males que ha sufrido la nación…</t>
  </si>
  <si>
    <t>Azoar, José</t>
  </si>
  <si>
    <t>José Azoar</t>
  </si>
  <si>
    <t>…libertad de que — —*^Acaso recordaran lor-Sresr-Procuradorcs que lá tégencísTde 1823 fundó sea susceptible, si se eompata este estada con el de otra» naciones catranger», un ministerio con título del Interior, y le encargó al Sr. D. José Azoar: du parece que no se está en el caso de entrar de lleno en esta cuestión hasta que «l ró hasta l.° de Octubre, en cuya época triunfó completamente el sistema 4 que gobierno use de la iniciativa, ó los Procuradores 4 Cortes-quieran usar del de deben referirse todos los males que ha sufrido la nación…</t>
  </si>
  <si>
    <t>Azpilcueta, Celestino González</t>
  </si>
  <si>
    <t>Celestino González Azpilcueta</t>
  </si>
  <si>
    <t>…más desisten de sus proyectos. La política, que es el Por Reales decretos se ha servido S. M. la Reina Gobernadora separar ■arte de conducir las naciones, debe conocer ¡os hombres , y prevenir ó apro de sus respectivos destinos á D. Celestino González Azpilcueta/corregidor de vechar sus disposiciones individuales. Es un principio de la mas severa moral Alcaráz; a D. Ramón i'ejeiro, alcaide mayor de la Coruña ; a D. Pedro Tor que á nadie sé puede hacer cargos porque niegue obediencia á preceptos que recilla Hidalgo, alcalde mayor de Jerez de los Caballeros;…</t>
  </si>
  <si>
    <t>Azpír</t>
  </si>
  <si>
    <t>15/04/1834</t>
  </si>
  <si>
    <t>Gaceta de Madrid n.º 54</t>
  </si>
  <si>
    <t>…a aparecido en las in completará éste servicio en teda la provincia de su cargo. mediaciones de aquella ciudad, huía de encontrarse cón la pequeña Teruel 4&gt; El sorteo se habia hecho eneas! todos lospiíeblos socolumna del teniente coronel Azpír6zrque la perseguía vivamente: jetos á aquella comisión dé revisión, y la mayor parte de los quin el dia 8 se hallaban los rebeldes en Víllaseca, y al amanecer del tos presentados debieron entrar el 3 én Zaragoza, para donde mar siguiente continuó su fuga pasando por los pueblos de (Rastrilló, chaba…</t>
  </si>
  <si>
    <t>Azpiroz</t>
  </si>
  <si>
    <t>…egado de la provincia el oficio del tenor s¡guiente.=Subdele gación de Fomento de la provincia de Segovia. = Acabo de recibir Los suscriptores á las obras completas de Susfon , aumentadas por el parte siguiente (.Es el oficio del Sr. Azpiroz dando parte de la Cuvier, p.isarán á la librería de Razóla á recoger los tomos 26 y 27 de dicha obra , y adelantar el Importe del siguiente. Continúa abierta Ja acción con ¡os facciosos, que se insertó en la Gaceta de ayer.) suscripción. Lástima es, señor comandante, que á los 70 bravOs de infanter…</t>
  </si>
  <si>
    <t>…itio de quilidad: la mayor parte del cupo estabala capital? y en laseS. Ildefonso , haber sido aniquilada- por los constantes esfuerzos de mana siguiente habían de quedar concluidas definitivamente las ope la columna del teniente coronel Azpiroz, la gavilla que apareció raciones para que pudieran marchar á sus destinos los puevosré'- en las cercanías de Segqvia. ■' emplazos. -. Zamora 5. Ejecutado el sorteo en toda la; previocia¿y.presen tándose diariamente los cupe» de los pueblos, iban fitfccios 2|£ Extracto de las últimas noticias recib…</t>
  </si>
  <si>
    <t>…ivos oficios en este acto, y retero. También añade que el siguiente dia 11 , al practicar un reconocimiento serán reemplazados. El condestable del reino se mantendrá en píe con la espa en las cuevas de la Garrofera , divisó dicho comandante Azpiroz , aunque á lar- • da levantada, y á la mano derecha sobre el estrado grande, y el alférez ma ga distancia , en un barranco la gavilla mandada por Chambonet en número de yor con la bandera del reino plegada, también estará en pie sobre el mismo 90 , con corta diferencia, la mitad sin armas , llevand…</t>
  </si>
  <si>
    <t>Azpiroz, Antonio</t>
  </si>
  <si>
    <t>Antonio Azpiroz</t>
  </si>
  <si>
    <t>…dispensable para la manutención de estas familias. Dios guarde á V. E. de ib-adores del 2 o batallón- de Bailen dirigida por su bizarro comandante el muchos años. Barcelona 2 de Mayo de 18SJ. = Excmo. Sr.=:Manuel Llauder. coronel D. Antonio Azpiroz. atacó la altura de la derecha ó de la «mita de S. Sebastian, siendo igualmente atacadas las de la izquierda por la de carabine S. M., plenamente satisfecha del acierto en las disposiciones del capitán ge neral , idel mérito contraído por el general Carratalá , y del brillante conuvK- ros de dicho b…</t>
  </si>
  <si>
    <t>…ón , Valencia y Cata de la Casa Real que acompañen á SS. M.M., y la diputación de las dos Cá luña á la derecha del Ebro, he visto con suma complacencia que la del mando maras. del comandante del regimiento de infantería de Bailen D. Antonio Azpiroz, Art. 10. Luego que S. M. I. entre en la sala de la sesión Real , el porte ue opera en el bajo corregimiento de Tonos» , consiguió el dia 10 del actual ro mayor, y en su ausencia el portero de Caniira, se colocara á la puerta pa 3 eshacer la gavilla capitaneada por el hijo de Molina , compuesta de…</t>
  </si>
  <si>
    <t>Azpiroz, D Antonio</t>
  </si>
  <si>
    <t>D Antonio Azpiroz</t>
  </si>
  <si>
    <t>…a mas indispensable para la manutención de estas familias. Dios guarde á V. E. de ib-adores del 2 o batallón- de Bailen dirigida por su bizarro comandante el muchos años. Barcelona 2 de Mayo de 18SJ. = Excmo. Sr.=:Manuel Llauder. coronel D. Antonio Azpiroz. atacó la altura de la derecha ó de la «mita de S. Sebastian, siendo igualmente atacadas las de la izquierda por la de carabine S. M., plenamente satisfecha del acierto en las disposiciones del capitán ge neral , idel mérito contraído por el general Carratalá , y del brillante conuvK- ros de dicho b…</t>
  </si>
  <si>
    <t>Azriores</t>
  </si>
  <si>
    <t>…ición en las rqasas, sumamente tenaces de sus había perseguido con su columna móvil á varios rebeldes ó ladro habitudes: y esta oposición producirá males sin cuento, muy supe nes procedentes de la facción dispersa por el teniente coronel Azriores en intensidad á los bienes solicitados en las reformas. piroz, que se presentaron en el pueblo de A tanta, habiendo sido A primera vista se nota que de ninguno de estos defectos adolece el resultada coger 4 de aquellos y un caballo. el Estatuto Real para la convocación de Córtes; monumento glo- . r…</t>
  </si>
  <si>
    <t>Azuága, Byron y</t>
  </si>
  <si>
    <t>Byron y Azuága</t>
  </si>
  <si>
    <t>Gaceta de Madrid n.º 233</t>
  </si>
  <si>
    <t>…ou desde la creación del mundo, otra de canciones populares ,un arca llena de noyelas históricas, y una docena de há Almendralejo. . . 8 á 26 Setiembre. 490 237 227 biles bailarinas sustraídas al serrallo de algún Monarca mulato. Lord Byron y Azuága................. 9 á 27 ídem.... 1 438 204 166 Sheridan no consiguieron jamás ver llenos de espectadores el teatro de DruryVillafranca........... 19 á 25 idem... loo 67 17 Lane; Milton vendió el manuscrito de su Paraíso perdido por 400 rs.: á Sha V i 1 lanueva del kespeare le dieron por su Hamlet 104 18— Pues bien!…</t>
  </si>
  <si>
    <t>A’gfitM'</t>
  </si>
  <si>
    <t>…ri4f¡í«: «un» fofr IIiouba íColpcotrom*; ;la ¡án~ sai gloria de ímpedir la efüsjon de saagreu ]En' JilUpíca,,;la, deserción de los gté que corría en .ArgoTílWílicÓ algún tanta su apüm¡nno-r,prcs{nt$roax partidarios mas fieles del conde A’gfitM' eaSsbttu? tx obaLl Galcttív caizdjHb. cómoconciliadore* entre la$ dosTfttótííjnaji-y; pK»pusicron/al cofide Agustín reconocida ^Tpsjñtmelaritas^j'm^ hriM-éntado^ir Iá ptazn paiatratqr crin , el scñado, üe Üevádo'etf'treaBfo'^r^el paddíjl yel conde^Asustin.íc émjbar- - quéd|«&lt;¿TM!ó; lifefc.ifilttí^l…</t>
  </si>
  <si>
    <t>A’Tvér, Alejo</t>
  </si>
  <si>
    <t>Alejo A’Tvér</t>
  </si>
  <si>
    <t>07/05/1834</t>
  </si>
  <si>
    <t>Gaceta de Madrid n.º 76</t>
  </si>
  <si>
    <t>…suspenda hasta qbe la comisión vuelva á examinar! el asuuto, y calculé cea cas vacantes de ayudante de la TI cal caballeriza en los cuartelesi de mejores datos á cuánto asciende lAiindemnizacion., Regalada y de coches con muías á D. Alejo A’Tvér, alférez de Ca- M DuchareJ, afproduco y arppjifka las reflexione* que se hán bccho es4* halíbrfa y sargento 1“ del regimiemó de granaderos á cahallo dé la. -TOr . , ■ Guardia-Real, y oví)." Joaejuin Jurado, sargento 2T licenciado por ,M,Salvertecr£&lt;j quera ¡paró la,época en que .la? naciones ilustr…</t>
  </si>
  <si>
    <t>B, G M P de las</t>
  </si>
  <si>
    <t>G M P de las B</t>
  </si>
  <si>
    <t>…D, del propio mes solo hablan muerto 48 personas, inclusos 10 párvulos, advir Ja comunidad de PP. mínimos de la Victoria........... ............... roo tiendo que la tercera parte del total de muertos era de enfermedades comunes. D. G. M. P. de las B. 40 rs., y ofrece 20 mensuales hasta fia del presente año.................................................................................................. 40 trovixcia de Sevilla. D. José Vinuesa por ana vez............................................................... 500 Según los partes de 26 4…</t>
  </si>
  <si>
    <t>B, Mariano W Doña M</t>
  </si>
  <si>
    <t>Mariano W Doña M B</t>
  </si>
  <si>
    <t>…a en bana , y continúa el alistamiento de la caballería. fermedad......................................................................................................... 40 Para plantear en esta provincia el método de lectura de D. Mariano W* Doña M. B.... ____"......................:..................................................... 20 llejo, se halla en M.idrid y se ocupa con verdadero celo en aprender en aquélla Un Sr. Excmo. é limo........................................................ ................. .. 500 escuela normal, el‘abogado D. Ma…</t>
  </si>
  <si>
    <t>B-ebo, Ramon</t>
  </si>
  <si>
    <t>Ramon B-ebo</t>
  </si>
  <si>
    <t>…. M-, nisterio lo siguiente: como asimismo la viuda del capitán D. José BarberL Dios Sec. Valderobles . wHxcmo. Sr.: Los planes que con respecto á Beceite habían formado los l.° de Octubre de 1834, á las cuatro de la tarde—Exemo. Sr.=Ramon B-ebo- £tcck*o&amp;, han-quedado completamente burlados por el heroico valor de la llo.z=Excmo. Sr. espitan general del ejército y reino de ,Atagon.=: Es copiacr: tropa que había en dicho pueblo; por el denuedo de su comandante D. Miguel Ezpeleta. . w ILodriguez, subteniente del 1,3'de líneá; por el de la col…</t>
  </si>
  <si>
    <t>B.ir.igaña</t>
  </si>
  <si>
    <t>…ai mayor lucimiento de tan solemne acto, se reunió este ayuntamien que se canto en acción "de gracia* , v varios actos de bcneticenciu del ir.í?,oon3to á las 11 de la mañana del l.° del corriente en el salón llamado de Ciento do Sr. B.ir.igaña, el cual Je*pues de haber obsequiado ai av..ntani.ent1'' v a mu de las casas consistoriales, y atli el Excmo. Sr. corregidor D. Francisco Fer chas otra* personas con un suntuoso banquete, o leo una ahuciarte _omida nandez hizo entrega del Real pendón al Excmo. Sr. conde de Santa Coloma , re para lo…</t>
  </si>
  <si>
    <t>Ba, Francisco Martínez</t>
  </si>
  <si>
    <t>Francisco Martínez Ba</t>
  </si>
  <si>
    <t>…asladadomal se presentabstíon¿ la inmediaciónbenignidad,..jidespuetde ViUar.de Cañas,deentomar.tvsütdondft úa»- El comandante general de la provincia de Soria con fecha 19 del cor disposiciones, y de dejar al profesor de medicina D. Francisco Martínez Ba riente da el parte que sigue: «Tengo la satisfacción de manifestar á V. E. que ilesteros , que se ofreció voluntariamente á qugia&amp;en Villar de Cañas , pasaba los pueblos me están continuamente presentando prisioneros de los dispersos de i informarse por sí mismo del estado en que te hallaban los pu…</t>
  </si>
  <si>
    <t>Ba, Luis</t>
  </si>
  <si>
    <t>Luis Ba</t>
  </si>
  <si>
    <t>…ejércitos; marques de Campo ¡sagrado, gro, mariscal decampo de los Reales ejércitos, capitán general da teniente general de los Reales ejércitos, presidente del tribunal su las islas Baleares; D. José Cafranga, del llonsejo Real; D. Luis Ba ccino de Guerra; conde de Clavijo; Conde de Teha; D. Ignacio de lanzas mariscal de campo de los Reales ejércitos,capitán general de a Pezuela, del Consejo Real de España é Indias; D. José Juan Bo- Granada; D. Jacobo María Parga , del Gmsejo Real; conde de Ta nel y Orbe, obispo de Córdoba; D. Evaris…</t>
  </si>
  <si>
    <t>Ba, Luis López</t>
  </si>
  <si>
    <t>Luis López Ba</t>
  </si>
  <si>
    <t>04/06/1834</t>
  </si>
  <si>
    <t>Gaceta de Madrid n.º 106</t>
  </si>
  <si>
    <t>…Sra. Doña Isabel María, Infanta de Portugal, resi coso de Altamira , Secretario de Estado y del Despacho de lo Interior; D. Ma dente en Yclvcs.-=F-s copÍ3 ~José Ramón Rodil. nuel Fernandez Vatel»,'Comisario general de Cruzada, y D.’ Luis López Ba llesteros, consejero de Estado, como individuos de la sociedad económica de Núm. 3.a limo, y Excmo. Sr,: Acusando el recibo 4el oficio de V. E de Amigos del pais de la ciudad de Santiago, y comisionados por ella para feli hpy , y que me ha entregado el caballero D. José de los Ríos, paso í decir í…</t>
  </si>
  <si>
    <t>Ba.zou, Santiago</t>
  </si>
  <si>
    <t>Santiago Ba.zou</t>
  </si>
  <si>
    <t>…gado á hacerlo entender á vues con fecha de ayer me dice lo que copio: Excmo. Sr.: El comarcarte' de la tros administrados, y á disuadirlos con vuestros consejos de que tomen par segunda sección de U columna móvil de esta provmuj D. Santiago Ba.zou, te en hechos de esta clase, que podrían comprometer gravemente su libertad y con fecha 25 del actual á las diez de la noche , me dice de&gt;de Gal ve lo que sus intereses. copio: Anoche á las once con noticias que tuve de los facciosos san en htrca "Pero en casó de infracción teneis que cumplir otros…</t>
  </si>
  <si>
    <t>Bacard</t>
  </si>
  <si>
    <t>…r del propio día se nos reunió en el convento de dicha dehesa salud. A las once de la mañana recibió S. M. F. al ministro de Negocios ex- otra columna compuesta de tropas leales y valientes Urbanos de Ajofrin, Son trangeros, y al caballero Bacard, recien llegado de Inglaterra, á las dos reci seca y Mazarambroz, en número como de 50 hombres, cuyo gefe nos mani bió al ministro de ia Guerra, yá las seis de la tarde al presidente del Consejo festó el satisfactorio parte de hallarse dispersa la referida facción, á causa de de'Ministros. haberse…</t>
  </si>
  <si>
    <t>Bacaro, Santiago</t>
  </si>
  <si>
    <t>Santiago Bacaro</t>
  </si>
  <si>
    <t>Gaceta de Madrid n.º 274</t>
  </si>
  <si>
    <t>…artin Tapial, cazador. Manuel Castillo, Montemayor. . .. 30 Oct- á 5 Nov. V \6 s idem. Me 1 i ton Micoma, idem. Luis Condines, idem. Alfonso López, idem. Rambla................ 1 á 4 ídem......... 5 1 00 Castilla, l.° de iigeros.=D. Santiago Bacaro, alférez. José Alcázar, sol dado. Huta. En la capital se gozaba de buena salud, asi como en el resto de 1* Albuhera, 5.° de idem.=D. Pedro Pou, capitán graduado de teniente provincia, y en Valenzuela se había cantado el Te Deu*t e\ citado dia 9* coronel. D. Juan Gómez Nieva, ayudante. José Ramírez,…</t>
  </si>
  <si>
    <t>Bachiller, Isaac</t>
  </si>
  <si>
    <t>Isaac Bachiller</t>
  </si>
  <si>
    <t>…dente han sido nombrados al ____Escriben de Falmouth que ha llegado allí el Orestcs , que salió de Lisboa e) 22 de Abril y de Oporto el 25. Las noticias que da de Lisboa son que las caldes mayores interinos de Jerez de la Fron: a D. Isaac Bachiller operaciones militares están suspendidas por una especie de convenio tácito en y Jaramillo y D. José Gazquez. tre ambas partes» supuesto que las negociaciones diplomáticas que han empeza MINISTERIO DEL INTERIOR. do, hacen inútil el progreso de la lucha. Muchas personas de distinción han abandonado e…</t>
  </si>
  <si>
    <t>Back</t>
  </si>
  <si>
    <t>…a alguna. El Presidente levanta la sesión. ____El Emperador de Rusia ha concedido al célebre viagero Róss la decoraclon de Santa Ana de segunda clase, guarnecida de diamantes. (/&lt;/.) Ta vuelta del capiían Ross llego á notic;a del capitán Back, que había sa lido para ir á buscarlo por tierra, cuando este último pasaba el invernó en el ■■L. Gaceta de Leipsiek anuncia que los esponsales del Príncipe Real con fuerte BeMqc?, gl eiciremo Este dei gran lago de los EscUvos. Los 25 hombres la Princesa Teresa, hija del archiduque Carlos de Austri…</t>
  </si>
  <si>
    <t>Bacon</t>
  </si>
  <si>
    <t>…navegar, son muy útiles, ya con su experiencia, tos l.°, 2.° y 6.a, á los batallones de cazadores 2 y 12 y á.una brigada de ar ya en el mando de los puertos: que el número de capitanes de navio y de fra tillería , dando orden al general Bacon que con el regimiento de caballería gata que en el proyecto se fija es proporcionado á lo que exige el servicio de la ' núm. 11, el de lanceros de la Reina y un destacamento del núm. 10 siguiese marina Real: finalmente, que es preciso hacerse cargo de que en un cuerpo paralelamente los movimientos…</t>
  </si>
  <si>
    <t>Gaceta de Madrid n.º 282</t>
  </si>
  <si>
    <t>…rma, no se ha tomado os ingleses. Cuando el almirante se despidió de la Princesa, esta le entregó un sin la anuencia del gobierno. Debe presumirse que aprueba este proyecto; sin medallón con un mechón de cabellos de I&gt;. Pedro. El general Bacon ha reci embargo, el ministerio duda aun de la posibilidad de reunir bastantes Pares para bido parte de lo que se le adeudaba ppr atrasos; se le ha ofrecido satisfacer que el tribunal esté completo; y se ocupa actualmente en buscar los medios de el resto dentro de pocos dias, y piensa volver á Ingla…</t>
  </si>
  <si>
    <t>Badajo</t>
  </si>
  <si>
    <t>Gaceta de Madrid n.º 243</t>
  </si>
  <si>
    <t>…BIOS. Pueblo»» Pisa Enfermos. Curado». • Fallecidos. Amsterdam» 00. Paris, I6-4. Cádiz, 14 á f b. Sevilla, 4 b. Bayona, 00. Alicante» á corto pie* Cor uña, 4 d. 1 Valencia, id. id. Burdeos, 00* xo, 4 b. Granada, 4 id. Zaragoza, | d. Badajo,......... . 9 y 10 Octubre. 28 7 i Hámburgo, 00. Barcelona, 4 tos. fs», Málaga, 4 b. Descuento de letras, Llerena.......... . 5 á 8 ídem.... 42 . 24 t Londres,38Í. 4 90 días, Bilbao,id. id. par. Santander,Santiago, 1 1d.id. á 4 p* 100 al año» Zafra.............. . 6 á 9 ídem.... 16 a PROVINCIA DE C…</t>
  </si>
  <si>
    <t>Badiilo, Manuel María</t>
  </si>
  <si>
    <t>Manuel María Badiilo</t>
  </si>
  <si>
    <t>…compañías del primer regimiento de granaderos de la' Guardia para flanquear no obstante quedar su cuerpo en reserva ; y ai teniente de la misma compañ a la eminencia en gbe apoyaban los rebeldes su-derecha, la cual atacaban ya de D. Manuel María Badiilo, contuso; á los capitanes de carabineros-y tiradóixa frente dos ©ompañías &lt;Je Gerona, y por el fuego que al costada opuesto rom de Gerona £). Joaquín Bayon y D. José Losada : al valiente tómente de ca pió un pequeño t destacamento de tiradores de Isabel n , que conducido por su rabineros á caballo…</t>
  </si>
  <si>
    <t>Badillo.r, D José Manuel</t>
  </si>
  <si>
    <t>D José Manuel Badillo.r</t>
  </si>
  <si>
    <t>…de Sona el S dé este, llegó aquí el &gt;0 después de beber deseenbarez- Sr. D. Francisco Zapata y Bueno. 124 pasageros en Marsella. Sr, D. Francisco Javier Ulloa. El buco de vapor del Litado la Ciudad de HetVre, mandado pof M. Rég-* Sr. D. José Manuel Badillo.r</t>
  </si>
  <si>
    <t>Badillo.r, José Manuel</t>
  </si>
  <si>
    <t>José Manuel Badillo.r</t>
  </si>
  <si>
    <t>…ona el S dé este, llegó aquí el &gt;0 después de beber deseenbarez- Sr. D. Francisco Zapata y Bueno. 124 pasageros en Marsella. Sr, D. Francisco Javier Ulloa. El buco de vapor del Litado la Ciudad de HetVre, mandado pof M. Rég-* Sr. D. José Manuel Badillo.r</t>
  </si>
  <si>
    <t>Bahillo, Jósé Vicente</t>
  </si>
  <si>
    <t>Jósé Vicente Bahillo</t>
  </si>
  <si>
    <t>…í(f,'FtoTer7paridr-, por enfermor Concluida la lectura, el Excmo. Sr. duque de Rivas, de órden del señor D. José María Pedraja , por Córdoba , por id. Presidente, preguntó al Estamento si ha de pasarse el proyecto leído á las co D. Jósé Vicente Bahillo, por Ciudad Real, por id. misiones reunidas de Gracia y Justicia y "Hacienda; y se acordó afirmativa— D. José Veñals, por Gerona , por el cólera. rqen^e.,,.-, .... • , . ; . . D. Francisco Javier Perratnonj.fjof;jRy id_ „ &gt;A propuesta del tnismo Sr. duque de Rivas acordó el Estamento se im-' Conde…</t>
  </si>
  <si>
    <t>Báidijí, Eusemo</t>
  </si>
  <si>
    <t>Eusemo Báidijí</t>
  </si>
  <si>
    <t>…Éstainento'séihútíariamuchd trias vatez Guerra , marques- de tai1 Amarillas, D. MtguÓíRícárdo dé' AWva , Ata •íannaitíSría qlíeelía podía hacerlo , y'póreso ha guardádo ¿Serta'especie de prji- que de Bailen, obispó de Barcelona1, D. Eusemo Báidijí, duqtré*dÓ Rer W tele '•dénti''reserva pata-dejar campo á't’a disctriion. Por ló 'demas todos' estamos (que envió su voto-pof escritoéoór hallarse enfermo), D. Javier;sfe-BóSgOS) •persuadidos de que énaquellos documentos qstaria bien detallada ia conjuratioh marques de lá,Candelaria dé Yarayabo, D.…</t>
  </si>
  <si>
    <t>Bairenedicto, Pfedf</t>
  </si>
  <si>
    <t>Pfedf Bairenedicto</t>
  </si>
  <si>
    <t>Gaceta de Madrid n.º 170</t>
  </si>
  <si>
    <t>…según lassttpcrrures órdenes .del. gobierno. ,; ^ •- k;., guTda ti enfermedad en aquel pueblo. ' '' Otra. A consecuencia de las acertadas-disposiciones de D. Cayetano Be En vÍrtudfdeprovfdencizdelos.Sres. D. Mareo dcNdrzagaray y D. Pfedf0&gt;~Bairenedicto , alcalde mayor de Colmenar Tfiejo, y del profesor de medicina Don ira» tenienrqs cqiffárdores de esf»¿villa * refreodada ppr.«l;!e&gt;CíH&gt;ano del númesoD. JuaitRaya, »e^ha'fñ^nda^o citar y «‘ñPfaiar, corno se,haqe, por Ja presequ^ A.tod^ la* Juan Salmón, y de la eficaz cooperación dej alcalde mayor y…</t>
  </si>
  <si>
    <t>Bajo</t>
  </si>
  <si>
    <t>Gaceta de Madrid n.º 277</t>
  </si>
  <si>
    <t>…enes no sa LondresHumburgo,, 4 9000.' dias, Barcelona,* id. 4 ps. fs., Santander,Málaga , * b.1 id. Descuentoá 4 P&gt; 100de alletras,año. entreguen con preferencia á una ó dos carreras favoritas. 38*. Bilbao, par i * d. Santiago, 1 d. Bajo este punto de vista voy á examinar rápidamente cuáles son las pro fesiones abiertas hoy en Francia á los jóvenes que salen de las escuelas litera rias; si hay carreras que se hayan cerrado ya, si se han abierto otras nuevas, y ANUNCIOS. cíales ventajas ó inconvenientes ofrece esto para la sociedad.…</t>
  </si>
  <si>
    <t>Bajos, Federico de los Países</t>
  </si>
  <si>
    <t>Federico de los Países Bajos</t>
  </si>
  <si>
    <t>…Conesa, con solos dos hombres que le quedaban, es tando ya reducida la masa de facciosos que saiió Üel corregimiento alto de «___Eq la dacct^df Au^j burgo se dice : TortpSjiy hacia el ¡reino de Valencia, á unos 3bU hombres. £ El Príncipe Federico de los Países Bajos ha llegado á -Berlín viniendo del Haya, y el embajador griego cerca de la corte de Prusia y de Baviera el El capitán general de Castilla la Nueva participa que el portaestandarte Príncipe Maurocordato ha salido de Berlín para Munich. del-regimiento 'ó.° l:gero de caballería D. Manuel Padíal, comand…</t>
  </si>
  <si>
    <t>Balanzat, J.uis</t>
  </si>
  <si>
    <t>J.uis Balanzat</t>
  </si>
  <si>
    <t>…y á las cinco, por dispo este boínenage de sincera adhesión y IcaLtad , y contad con que á objeto tan sa sición de Sr. comandante general D. José María Cistué, hubo en el campo ti grado marchará siempre el primero vuestro capitán general.=J.uis Balanzat.” tulado de Santa Bárbara un simulacro de fuego mandado po.r el mismo, al que convidó á la ciudad y á todos los demas asistentes de la proclamación, y un «Soldados: Juntos en la guerra partimos como hermanos las glorjas y los concurso numerosísimo, a pesar de lo incómodo del temperamento ; en ¿uyo r…</t>
  </si>
  <si>
    <t>Balanzat, Luis</t>
  </si>
  <si>
    <t>Luis Balanzat</t>
  </si>
  <si>
    <t>…entos demagógtdos que x. observad desde el mediodía al norte de Alemania. (Correep. de Hamburgo.J Igualmente ha tenido á bien hacer los siguientes nombra INGLATERRA. mientos : para cápitan general de Granada al mariscal de cam po D. Luis Balanzat: para igual destino de Andalucía al te Lóndres 21 de Marzo. niente general príncipe de Anglona; y para segundo cabo de esta Lord Ponsomby ha comunicado recientemente una nota á la provincia al mariscal de campo D. José Marrón , conservando el Puerta que ha producido la mayor sensación en el divan.…</t>
  </si>
  <si>
    <t>Balanzat, Luís</t>
  </si>
  <si>
    <t>Luís Balanzat</t>
  </si>
  <si>
    <t>…y S. Esteban, id; conde de Sistogd, id.; conde va ; conde de Cartagena; conde de F.zpelcta; D. Manuel Llauder; conde de de ”1 abjada, id.; crzjde de Teba, ivi.; obispo de Vailadolid, ausente; cónde Montenegro; D. Gerónimo Valdes; D. Luís Balanzat; prímópe de Anglona; del Venadito, presente; duque de Veraguas, id.; D. Gaspar -Vigoáet, ídem; conde Armildez de Toledo; D. Miguel Tacón; D. Manuel Freiré; D. Caye marque» de VüUfucrtcs, id.; y duque de Zar.i¿o^a. tano Valdés; marques del Cerro; conde de Villanueva , y D. Jacobo María de El br. Pre…</t>
  </si>
  <si>
    <t>…misión de Examen de documentos los nom aprobación de los poderes de dicho señor, y que se pasase ei cportuno aviso bramientos de Proceres del reino, que remitían con su corre&gt;pondiente oficio, para su reemplazo. los Excmos. Sres. D. Luis Balanzat, capitán general de Granada, y D. Caye £¿ Sr. Presidente: "Se ha dado hoy cuenta de una reclamación del in tano Valdés, que lo es del departamento de Cádiz. teresado, y se ha resuelto que pase á la comis on. Si lo* Sres. de esta tuviesen Leyóse una solicitud del Sr. conde de Atares y Albareal, en q…</t>
  </si>
  <si>
    <t>…haberse canonizado las doctrinas mas erróneas. Tal era la de una minoridad -C'^respondiente juramente, según fa fórmula prescrita, al Excmo. Sr. Procer indefinida, según la cual se reclamaban á nombre del Fisco, como suyos ¿ los D. Luís Balanzat, capitán general de aquella provincia; y el Estarncnto quedó bienes detentados por espacio de tres ó cuatro siglos , como sucede con las enterado. ■ ; mercedes enriqueñas : la consiguiente de excluir el uiulo de prescripción , que Se mandaron pasar á la comisión de Examen de documentos los remiti e…</t>
  </si>
  <si>
    <t>Balaza</t>
  </si>
  <si>
    <t>…r- i Y den' de-28 de Febrtrd-^y supliéndose ambos en ausencias y enfermedades. Los suscrlpcipq. - f.._ s,-.,..,. ... ¿ ,c ,. t pretendíWtes^Sdebetáfi acudir^por &amp;t ó por apoderado dentro del preciso término -r-Por providencia del Sr. Balaza, teniente de corregido*' de-«ta, villa. » cita i de 4® dias á firmar'Ja oposícíon tñ la secretaría de la ReaJ'junta superior gu- D. "Vicente Tiller v-D..I^on. Alonso Liiípéz, veclnúvde esta corte. ñ sus beredtros, par» que dentro deV.términp ^íí/dias prtdtaiáúNlAii ^f if 6 por medio 3e *Út¿. ber0*t…</t>
  </si>
  <si>
    <t>Balboa, Arias</t>
  </si>
  <si>
    <t>Arias Balboa</t>
  </si>
  <si>
    <t>…a buscarles, pees la 1er Córtes de Briviesca del año 1387, cuyas actas son de las que mas honran á nues prohíbe expresamente el hacerlo en heredad ó casa agen»; privando de todo ga tro» antepasado», y merecieron un comentario del obispo Arias Balboa, fin lardón al que lo hiciere. Ni c$ una industria, que proporcione felicidad, el de ella», después de hablarse de Jas leyes de las Partidas, en los capítulos 4 Y dicarse á buscar lo que se llama propiamente tesoro. La fuente de la felicidad dando i entender que se tuvieran presentes, y que se las…</t>
  </si>
  <si>
    <t>Balboa, Gregorio Goyane y</t>
  </si>
  <si>
    <t>Gregorio Goyane y Balboa</t>
  </si>
  <si>
    <t>…D. Miguel violase los. empeños-contraídos con nuestro go- tínez Bustamante-, pjtra lá de Piedrahita á'D. José Remigio Gótricz; pira la de , hiernó;}abaridonabá £ nuestra antigua aliada la Puerta en manos de- los rusos; Betanzos £ D. Gregorio Goyane» y Balboa; para la de Cazáila £' D. Antón» DO iiripedfa los’denátrbsos acontecimientos que condujeron al trinado de Andri- María Cúnelos y Lanuza; y para el corregimiento de Reino» £ D; Aaxbhió nópól¡s;eré fránquitá éspectadora de la.conquista de Argel ^enviaba nuestras Alvaro Campaner. " " étCuadráü para ri…</t>
  </si>
  <si>
    <t>Baldomcro</t>
  </si>
  <si>
    <t>…casos sospechosos que en aquella villa manifestaron en los cia, que me propongo fortificar inmediatamente. dias 1/ y 18 de Julio fueron aislados, sin que desde entonces hubiese ocurri Dios &amp;c. Mundaca 6dc Octubre de I834-—Excmo. Sr.=: Baldomcro E»r- do ningún caso semejante. pertero.mExcma. Sr. Secretario de Estado y del Despacho de 1» Guerrfc BOLSA DE rnsBinn CntW/tj-tnn de hoy i las tres de la tenis. ESTADO SANITARIO DEL REINQ, EFECTOS PUBLICOS» PROVINCIA BS BADAJOZ. Inscripciones en el gran libro á i p. -100,00. Títulos al portador del 5…</t>
  </si>
  <si>
    <t>/ Munguía me dice el brigadier D. Baldomcro E&amp;parfetó lo tfguienté: S. M. ta Ruina Gobernadora, mirando con particular apre Excmo. Sr.: A las tres de esta tarde he tqpidd ta gloria de ba cio la lealtad y bizarría de unas tropas, que á costa de tantas fati tir y dispersar completamente á 69 facciosos vizcaínos, alaveses y gas y con la celeridad…</t>
  </si>
  <si>
    <t>Baldomcro, D</t>
  </si>
  <si>
    <t>D Baldomcro</t>
  </si>
  <si>
    <t>Baldovi, Miguel</t>
  </si>
  <si>
    <t>Miguel Baldovi</t>
  </si>
  <si>
    <t>…desde 1.® i fin de Ju Méjico. ................................. ............... ...................... Idem ídem. nio: 2.® desde 15 de Agosto á 30 de Setiembre. Los puertas de la Noruega desde Cristiansand hasta) ,, . , Zanjaron. D. Miguel Baldovi, en Granada; desde l.® de Junio á 30 de Maestransand exclusive..........................................\Idem ldetn- Setiembre. Las provincias de- Andalucía y Granada en España.' Idem idem. Marmolejo. D. Vicente Orti y Criado, en la misma villa: 1.a temporada El Portugal............................…</t>
  </si>
  <si>
    <t>Ballesteros</t>
  </si>
  <si>
    <t>…ser aprobados los empréstitos expresados, y que el Estamento de cual se miraba el empréstito de Guebhard aun por los mismos agentes. Escri be aprobar en su totalidad el plan de la mayoría de la comisión. bía Búrgos desde Paris al ministro Ballesteros, entre otras cosas, lo siguiente: «Voy á contestar á algunas observaciones del Sr. conde de Toreno so «Cuando mi espíritu esté mas tranquilo, voy á trabajar una historia del embre el mismo dictámen y la deuda extrangera. Dijo S. S. que el (gobierno «préstito de Guebhard, que tendré el honor de diri…</t>
  </si>
  <si>
    <t>Gaceta de Madrid n.º 219 · suplemento</t>
  </si>
  <si>
    <t>…s reconocen pór ruinosos : ño 'comeréio ; la contribución de' herencias , y otras éntre las muchas que se im sé cuándo llegará la bora déeihar maño de eSos arbitrios; porque recuerdo aho pusieron con su permiso en tiempo; del Sr. Ministro Ballesteros , que gravita ra lá reunión de todos los fondos ert una tesorería general, es decir, (a centrali ron sobre la España. Pero permítame S. 5. le diga que no hay paridad entre zación de lás rentas; propoesta’en el Gobierno del Sr. D. Fernando vii , por estas dos cosas. Las contribuciones dichas, mas ó…</t>
  </si>
  <si>
    <t>…los señores que han hablado están de manifestárselo al Rey , y ette ná'pudiendo’descoñocer la veidad de su mi conformes-eti que no debe1 reconocerse: nada ha podido hacerse jamas mas in nistro , -mandó que se formase la_.¿aüsa al ministro' Ballesteros y á fiúrgos. moral, y nada mas injusto se baria si el Estamento lo corroborase. Hay una Estos documentos no aparecerán en e!'ministerio: ¡por qué! á la penetracioa porción de hechos históricos que demuestran la injusticia de ese empréstito, la de todos puede estar. Si á mí me mandaran formaf'una caus…</t>
  </si>
  <si>
    <t>Ballesteros, D Diego</t>
  </si>
  <si>
    <t>D Diego Ballesteros</t>
  </si>
  <si>
    <t>…iará una facción tan criminal como El día 3 del actual, señalado parí la proclamación de la Reina nuestra! jjpsensata: finalmente, que la propuesta del Sr. Leyraud es inadmisible porque Señora, se reunieron con el ayuntamiento el Sr. D. Diego Ballesteros, alférez ^na difícil clarificar los papeles de lícka publicación, mayor perpetuo de esta villa, ¡el conde de C&amp;a Valiente y otros caballeros! VueLve á tomar la palabra el Sr. Cabet, y después de contradecir varios hijo—dalgos residentes en ella, y habiéndose hecho entrega del Real pendón! .asertos…</t>
  </si>
  <si>
    <t>Ballesteros, Diego</t>
  </si>
  <si>
    <t>Diego Ballesteros</t>
  </si>
  <si>
    <t>…a arma que desempeña el teniente general D. Manuel Frey- combate á la bayoneta se va á introducir cü todos los regimientosre, reservándose recompensar los dilatados y buenos servicios del (Corresp. de Nuremburgo.') de igual clase D. Diego Ballesteros, de cuyo zelo está muy satis ALEMANIA. • ' fecha. Kiel (Holstein) 6 de Marzo. | Asimismo se ha dignado conferir la capitanía general de Cas La dirección general de postas de Copenhague há expedido uña tilla la Nueva al mariscal de campo de los Reales ejércitos D. Jo circular á las respectivas, auto…</t>
  </si>
  <si>
    <t>…una facción tan criminal como El día 3 del actual, señalado parí la proclamación de la Reina nuestra! jjpsensata: finalmente, que la propuesta del Sr. Leyraud es inadmisible porque Señora, se reunieron con el ayuntamiento el Sr. D. Diego Ballesteros, alférez ^na difícil clarificar los papeles de lícka publicación, mayor perpetuo de esta villa, ¡el conde de C&amp;a Valiente y otros caballeros! VueLve á tomar la palabra el Sr. Cabet, y después de contradecir varios hijo—dalgos residentes en ella, y habiéndose hecho entrega del Real pendón! .asertos…</t>
  </si>
  <si>
    <t>Ballesteros, Diego López</t>
  </si>
  <si>
    <t>Diego López Ballesteros</t>
  </si>
  <si>
    <t>…audio Fernandez: para la de gefe de la Gran datada de Hase-Darmstadt 27 de Jinda. sexta sección á D. Ignacio Duran: para las de gefes de mesa de la Ayer se trató en la Cámara de los Comunes de la fortaleza de Maguncia. Se misma á D. Diego López Ballesteros, D. Manuel Lacerda y D. Mi acordó suplicar al gobierno tenga en consideración lo que exige la libertad in guel Ace vedo; y para la de gefe de la sección de superintendencia dividual de los habitantes, en caso que la ciudad fuese declarada en estado de de Hacienda á D. Félix Vejarano. Me reservo tom…</t>
  </si>
  <si>
    <t>Ballesteros, Francisco</t>
  </si>
  <si>
    <t>Francisco Ballesteros</t>
  </si>
  <si>
    <t>Gaceta de Madrid n.º 172</t>
  </si>
  <si>
    <t>…ué quedan mencionados, ei de la tnjgad 4* Bfl£«j|t¡tné de Pinares, el Médico de Cebteros, y los jóvenes cursantes en me este mismo valor a los créditos sin interés; con prevención de que dicho rematen» dicina D, Santiago Alonso y D. Francisco Ballesteros: finalmente dice que en causará^efecto harta bue haya sido «probado por la Dirección tener* 1 de Rentar, y de par» instruc que «rexpediénte éirarí de de mi tntfó manifiesto cal* escribanía aucyot 1 ______ _____ _____r«1 pueblo «te Navalucuga, quedóla una legua de Naralmoral, se habia ma ción de le*…</t>
  </si>
  <si>
    <t>Ballesteros, Juan'Manuel</t>
  </si>
  <si>
    <t>Juan'Manuel Ballesteros</t>
  </si>
  <si>
    <t>…edactado por ana I S. Nicolás, incluso el hos sociedad de médicos según la doctrina adoptada por la academia de medicina de Pa picio. ........................... 8 8 2 2 20 7 11 10 1 ris; traducido al castellano por el licenciado D. Juan'Manuel Ballesteros: a.a edición. I SL Pedro..................... . - • 13 4 1 2 20 15 16 7 2 Estecircunstanciasmanual contieneen que escaseanpreceptoslossimples,socorros.exactos,En él sey deexponenuna aplicaciónno solo losfácilmétodosen las | S. Marcos, incluso la casa curativos, sino los medios de desinfestar las ha…</t>
  </si>
  <si>
    <t>Balrnasedá</t>
  </si>
  <si>
    <t>…política y económicamente; po : puede otr ; pero yo recuerdo al Estamento lo que ha sucedido con algunos Se líticamente porque reconociendp el principio de la desda extrangera ere?» que ñores Procuradores , principalmente con el Sr. Balrnasedá, el cual solicitó su no se cerrarían los mercados extrangetos, f edema* pensaba que disidiendo di renuncia y le fue admitida , sin mas que haber manifestado que estaba enfermo, cha debda en activa y pasiva daba una señal de no querer meterse á pagar XtU cuando hádid tabia que tuviewun achaque perpe…</t>
  </si>
  <si>
    <t>Balsefá</t>
  </si>
  <si>
    <t>…ero^de,^anz y Barea. Lo que se hace nctorío a los in teresados para su asistencia, prev^nid^s qpede no hacerlo les parará perjuicio. en los á,í disminuía notablemente el número dc enfermos, .y era corto el de —^Por proyídencladel Sr. Balsefá,.teniente de corregidordeestu vUl», refrendada det fallecidos; en los otros cuatro, seguía la enfermedad su cprso ordinario. escribano Gabné/ Loécbes• se sécé á pública subasté urnacéséiStra en ezta corre, calle de la Palma aha vttúffwero 24» manzaaa_45i , que tiene dé fftió 2038 pjes jr- medio cua…</t>
  </si>
  <si>
    <t>Balsera</t>
  </si>
  <si>
    <t>…ó eu Alicante al referido D. Antonio Campos; eo el concepto de que .días, vol. y firme a prima de { y $ p. 100. se han tornad» las oportunas medidas para evitar su circulación, ' tóales no consolidados, co. - -por providencia del Sr. Balsera, teniente corregidor de esta villa, se cita á las Deuda negociable del 5 p. 100 00. personas que se creso coa derecho á propiedad ue una casa, sita en esta corte, Id. sin Interes, 00. calle del Prado, núm. de la manz. 226, que perteneció á la difunta marquesa'de Acciooes del bonico español, 00. la…</t>
  </si>
  <si>
    <t>…to. cirlomientoantede elquereferidopasado juez,dicho yterminopor laescribaníales parará deperjuicio.número de Sancha, bajo apercibi Dios &amp;c. Cuartel general de la Guarda 26 de Abril de 1834 ^ ^ doce de ■------ Por providencia del Sr. Balsera, teniente corregidor de esta villa, y escribanía de la noche.=Excmo. Sr.=José Ramón Rodil.—Excmo* Sr. Secretario de'Estado Garamendi, se cira’á Juan González, natural de esta corte, hijo legítimo de Benito y del Despacho de la Guerra. y Marta Toiran, y en caso de su fallecimiento £ los que se crean…</t>
  </si>
  <si>
    <t>…de laa tierras Íce. fice. , citan de manifiesto en la escribanía de Carrillo, oue .es uno de los del numero de dicha ciudad. a peció a otras dos tpiiuí* hierro síiixadxs Ja una en Soller^ y la otra en el dis -—Por providencia del Sr. Balsera, teniente de corregidor dé esta villa, refrendada trito de Selva. ' / de! escribano del numero Gaona y Locches, se ba scfialado paré una ¡unta general de ; «delanu el pasco del Borne y la construcción del encallado para' !i fuen* acreedor» e inferrwdos á los bienes de D. Antonio Gutierre», vecino q…</t>
  </si>
  <si>
    <t>…los géneros ó el servi- to próximo en la audienesade dicho Sr. teniénte corregidor; á la hora de las doce en punto de.su man» na. €tO*y&gt;e arruine la empresa antes de haberse acabado de acreditar. Para dér uña —Por providencia del Sr. Balsera, teniente corregidor de esta villa, se cita k loa aéér.dc'«»ta , porque verdaderamente es curioja, vamos á. traducir parle de la que se crean acreedores á tos bienes libres pertenecientes * la testamentaría ¿e p. Ma elímpresarío, vizconde de Botherél, dirige á los capitalistas ▼ perso- nuel Mesia d…</t>
  </si>
  <si>
    <t>…paar fr la librería de E«camilla fr recoger el tomo 2.d de'dicha novela, Vade— lantar eT importe del 3.*, qué estfr en prensa. los indigentes, ó bien á la mejora de tas escuelas y á 1» necesidad» del culto. ——Por providencia del Sr. Balsera, teniente corregidor de esta villa, se cita ¿ todas Muchas vece», al presentar sils ofrendas,-dicen: «Esto » paré nuestros hijos; las perspna», que sé crean con derecho en clase ^ acreedores fr íos bienes que han que " si no ño*' hubieran instruido lea-hubiéramos tal vez quitado la vida como anta d…</t>
  </si>
  <si>
    <t>…jd en las librería cia de la corte. La disputa entre Madrid y Valencia, dice con donaire el co de So¡o, y de Cuesta, i 2 rs. rústica. mentador, era mas bien una quimera entre dos viejas, que una cuestión de i—^Por providencia del Sr. Balsera, teniente corregidor de esta villa, se cita i interés general, lamenta justísimamente que no se hubiese preferido á Lisboa. auc se crean herederos ó con derecho4 los bienes que han quedado por fallcciinicnt0 La suerte de la monarquía estaba ligada á aquella discusión , sin saberlo los mis ce P. Fra…</t>
  </si>
  <si>
    <t>…sista, en razoh de' la redamación que se ha bed» Zos, de 51 £ 71 id.: habas, de 34 £ 39 id. contra él de la cantidad de .&lt;9 rs. vn. Cataluña.__ Agramunt (15 de Mayo.) Trigo, de 56r£ 60 rs. cuartera: —En virrud de providencial del Sr. Balsera, teniente corregidor de esta villar,secla centeno, de 44 £ 48 id.: cebada, de 28 £ 3l) id. ' A los parientes mas cercarun de Juan Gbhíulez, que se bailan* de muiu tri uno de Im lavaderos de la ribera de Manzanares, y era natural de -Galicia, 6 á !« personas qiié Cataf. Trigo, £ 58 rs. la cuarteta:…</t>
  </si>
  <si>
    <t>…artidos democráticos. en el término de 20 dias, que por última vez se les señale * contados desde la publica Empieza censurando su mismo titulo: porque efectivamente, el hombre, ción de este anuncio; comparezcan en el juzgado del Sr. Balsera, y escribanía vacante considerado en'abstracto, no tiene derechos; y por eso la Convención en la de de García Huerta, á usar de su derecho en los «uros formados por el abintestato del Don Francisco * qúe Sé. bailan recibidos á prueba por termino de 40 dias comunes i las par claración que hizój-que…</t>
  </si>
  <si>
    <t>…enia armamento y paños para vestirlos. sido aprobado por ia dirección general de Rentas, y de que 'el. expedienté estara de ma nifiesto qn la escribanía mayor para instrucción de los licitad ores. r~rf J virtud de^previdencia del Sr. Balsera, reniente de corregidor 4* es» villa, eéo» El capitán general de Castilla la Vieja cop la misma fecha del 2 del cor frendada del escribano Sierra, se cita á los poseedores que resulten ser qn la actualidad ■riente desde su cuartel general de Hato, avisa no haber novedad, y qué id de iré! censos, el…</t>
  </si>
  <si>
    <t>…ado en la ¡unta general de acreedores á le extinguida com pañía de S. Fernando de la ciudad de Sevifla celebrada el 26.de Octubre último en el sentimientos la única recompensa que ambicionáis es la de que,sc os cuente juzgado ddl Sr. Balsera, teniente corregidor de esra villa, y ante el escribano Bande, te colmo una parte activa destinada á asegurar la tranquilidad pública, y prepa cita por. el término preciso de dos meses á todos ios que se consideren acreedores á di rar con ella, el . bienestar de la patria^ pero este mismo honrado y…</t>
  </si>
  <si>
    <t>…1 medicinas para ... ——-&gt;rr— aV •««..&lt;«•* v ■ u pms« con su|ecion á los pliegos Msau: intenden de copdlcionei que «tarta *s mtnigtstcreá lú ; - Guatdamar........... 24 4Jato.... 91 Zl 4 cia general. corregidor vil,, teniente del Sr. Balsera, de esta —Por providencia . del tbs ,que derecho se crean cpn de húmero Sancha, sé cita i Oríhuela........ 2á3ídem,...' I4I so escribano bicoca del -.■y ■ : ■ ■ difunto D. Manuel Celestinp Carrasco, vKinó qoe fue de la misma, ‘ut desteló de á dedocítle dlez'dl,» precisos por dlcí y perentorios chmp…</t>
  </si>
  <si>
    <t>Gaceta de Madrid n.º 240</t>
  </si>
  <si>
    <t>…dirigircorriente, de cuyo número fallecieron 3 y curaron S : en Belmonte de Tajo y atender ' concejó dp dos meses, ayuntamiento en el de dicho término en Colmenar Viejo se habia cantado el l'e Deum. ——En Virtud de providencia dél Sr. Balsera \ teniente'corregidor de esta villa, re frendada del escribano de número OrtiXi se cita 4 todos los quese ééesao con derecho 4 navarra. . , loa llenes que.han.quedado.por fallecimiento de 2&gt;. Anroom Vúques, vecino y del comercio que fue de esta corté, para que en el término de 30 días comjMQracan.á…</t>
  </si>
  <si>
    <t>…promoverla por lodos los me- Sevilla, para que acudan á acreditarlo* prevenidos que pasado el expresado término sin haber concurrido á reclamar sus créditos, les parará entero perjuicio. ~ dios posibles. ------Por providencia del Sr. Balsera, teniente .corregidor de esta villa* refrendada del Ha concedido Ucencia á varios pueblos para el establecimiento de ferias, y escribano del número Martínez* se cita á los queae considera) con derecho á los bie sigue entendiendo en otras solicitudes análogas. nes que han quedado por fallecimiento a…</t>
  </si>
  <si>
    <t>Gaceta de Madrid n.º 273</t>
  </si>
  <si>
    <t>…e fueron destruidos pot las hormigas) ha cidos hasta la fecha de la declaración del crédito, 1* presentará en el término de 20 sido' &lt;fc 3 por 100. Algunas mariposas pusieron de 40o á’ 44-0 huevos, y otras' días en el juagado del Sr. Balsera, teniente corregidor de esra M* H- villa, y escribanía ... de 244 á 330. La proporción de los machos i las hembrasnacidos de 1 uo ca de¿L__£nAmoñana,virtudbajodé'providencíaapercibimiento.o*! 1 nrenoenté subdelegado de «Rentas de, ,la provincia pullos, fue de 37 de los primeros, y 63 de las segunda…</t>
  </si>
  <si>
    <t>…lada de un nombrado Alfonso Muñoz, la cual perseguida por dÍGho bene ayuntamiento de dicha villa hasta el 20 del corriente. mérito alcalde y un puñado de valientes, fue alcanzada y batida con muerte, —En vljtud de providencia del Sr. Balsera, teniente corregidor de esta capital, re frendada del escribano de número Ofdoñez, se saca á pública subasta una posesión ti de 2 rebeldes y prisión de S , entre c,tos el cabecilla Muñoz. Otros 5 se fuga tulada de Lovnaz, contigua á la puerta de Recoletos, compren»!va de ¿1-fcncgas, 4 ce ron.,.ocul…</t>
  </si>
  <si>
    <t>…lla pobres , y carecen auri de cirujano, por cuya razón habia dispuesto la junta de hasta el dia 30 del presente ines de Octubre. Sanidad de la provincia auxiliarlos con facultativos y con dinero , tomándolo — Por providencia del Sr. Balsera . teniente corregidor de esta v illa, dada por la es de las sumas que la beneficencia de S. M. ha librado para este objeto, con cu cribanía del numero de Garainendí, se publica por 30 días la subasta de 11 casas, a sa yo arbitrio, si bien no se han podido contener los primeros estragos de la en ber…</t>
  </si>
  <si>
    <t>Gaceta de Madrid n.º 275</t>
  </si>
  <si>
    <t>…n comparecido, a fin de que cor..................... 2 2 7 Noviembre. 25 12 12 en el rermino preciso de 30 dias se presenten con Los documentos de su legitimación en Villada................. 3 4 6 ídem..... 19 15 1 el juzgado del Sr. Balsera, y escr ibanufde Ordoñex, puraque por los sinJSCta nom brados se Ies clasifique en el grádo que corresponda; en inteligencia que trascurrido dicho rermino, al que qo haya concurrido le parará perjuicio. PROVINCIA DE SALAMANCA. —P&lt;&gt;r providencia del Sr. Balsera, teniente de corregidor de está villa.…</t>
  </si>
  <si>
    <t>…uientes: Madrid, Hurtado: Barcelona, Gaspar: Cádiz, Hortal y compafiia : Zarago quejen las inmediaciones del pueblo deViver, y en el parage mas escabro.o de za-------La, Jáuregul.subdelegaclon general de Mostrencos ha remitido al Sr. Balsera, teniente cor la /montaña, fue capturado el capitán ce los ex-voluntarios realistas D. Matías regidor de esta villa, los papeles pertenecientes á la extinguida compañía de S Fer Sanies por la columna móvil del regimentó de infantería de Mallorca, man-: nando de Sevilla; como igualmente uua porción…</t>
  </si>
  <si>
    <t>…la. cual fueron lanzados definitivamente ios Estuardos dei trono dos que de qo verificarlo les parará perjuicio. .annglarerra, y se fijaron los principios de política interior y exterioV de aquella - Eo virtud de providencia del Sr. Balsera, teniente corregidor de esta villa, re ^monarquía. Este capítulo llega basta el afio de 1701 en que falleció Guillermo m, frendada del escribano dól número Babde, se ha señalado para junta general de to yerno de Jacobo ir, y usurpador de su corona. dos los acreedores á la extinguida compafiía de S.…</t>
  </si>
  <si>
    <t>…del Southern Banner, de la cual extractamos les y bienhechores He la humanidad*, de cuya obra se ha hablado en la Gaceta dfe Ma los pormenores siguientes: drid de I? del corriente. . , &gt; de juzgado corregidor de esta teniente el Sr. Balsera, y«criba&gt; villa, en, cuyo --tvor «Las casas están situadas de 50 á 100 varas del principal canal de la ría; • Burea se nía la,testamentaria de número de pendiente D. Manuel halla Alelo de Sanz y y no habiéndose hecho mas excavaciones, es muy probable que cuando el res Gómez de Méneses, vecino que f…</t>
  </si>
  <si>
    <t>…e súa títulos y. demás eh verso' de Raciné por Mr. Pradel. Y para estas bagatelas difíciles, para esta noticias correspondientes. { especie de parodias ó trovas, para estos juguetes de ingenio, homa tuvo sus -I*or providencia del Sr. Balsera, Juez de la testamentaría de ía Exorna. Sra. Doña aplausos y ¡- ya iba á decir sus coronas. Este poeta, pues, tan aplaudido, Lucía Francisca de Rojas, condesa de Mora, marquesa de Valdecarzana, se cita 4 los - acreedores y personas que tengan derecho 4 los bienes que ban quedado por fallecimien est…</t>
  </si>
  <si>
    <t>…ecían dicha enfer mo, en 8.“ á 9 rs. cu rustica ¡ se vende en ia librería de Gíla, que vende también Ut medad, excepto ríe tres, cuya situación era la qué demuestra el siguiénu démáf'obras dél autor. «—A virtud de providencia del Sr. Balsera, refrendada dél escribano Bandé, se cita Ptfrt* sanitario. por termino de 3S dias. á todos los qué te crean con derecho á los bienes quedados por fallecimiento de V. Vicente Ferrer y Doña Isabel Ropin su esposa, vecinos qué-fue ron de esta corte ¡ para que dentro de dicho termino, acudan á deducir…</t>
  </si>
  <si>
    <t>Gaceta de Madrid n.º 223</t>
  </si>
  <si>
    <t>…rbonato de amoniaco de dos á c»n— dez Valdes^ para' que en el termino de 20 dia* contado» desde este anuncio, comparez ' do, según la edad del enfermo ó la urgencia dé-ios síntomas, y se administrará can eri forma, al juzgado del Sr. Balsera y escribanía de. Carbonel, á exponer lo qóe les convenga eq la reclamación que ha entablado D. Cristóbal Melendez, apercibido* del mismo módo. Al empezar la reacción sé Omitirá el bicarbonato de amo quede n ó nacerlo les parará perjuicio. t * niaco; pero'no él de potasa ó sosa si se cree conveniente…</t>
  </si>
  <si>
    <t>…sición, el dia ¡ mandado en los.Reales decretos sobre rebelión. Todp lo qiié manifiesto á V. E. 28 del mes de Julia próximo. I en cumplimiento. Je mi deber. Dios guardé á V, E. muchos años. Teruel 17 —En virtud de providencia dél Sr. Balsera, teniente corregidor de esta villa, re* ! ' Saez, de á Doña escribano ftendada de Díaz Antonia número del Antoñaoa, se citadé Junio de 1834—Excmo. Sr.=Francisco de Paula Alcalá.mExcmo. Sr. ca- \ D« Doña heredera Concepción María Mariano de D. García, López, Juan viuda y JÍUui general de Apagón.” Me…</t>
  </si>
  <si>
    <t>…1834 á las diez de la nochej=Ex- D. Gregorio Marure, riaturaS que fue de Mena- mayor, en el valle dé Men%, y vecino edentísimó Sr.zrCrisfóbal Línare&amp;sExcmp. Sr. capitán general de Aragón,” de esta villa de Madrid , ha señalado el Sr. Balsera, teniente corregidor de la misma, el día 21 de Diciembre próximo a las hueve de su mañana, en su casa habitación calló de El segundo cabo de lá provincia de Valencia manifiesta que el alcalde curriránCapellanes.a ellaLosporquesiseanó portalesmedidacreedores,de personacomoqueloalegalmemcherederos de…</t>
  </si>
  <si>
    <t>…es cuadrados superficiales* rasada en la cantidad de 35*3(6 rs» í Parte Junitario. rebajará una decarga*.tu mañanaT paraen*uíaremareaudienciaestá delseñaladoexpresadoel díajuez.20 de Noviembre próximo de doce —Por providencia-del Sr. Balsera, teniente corregidor de esta villa , se han señalado los días 7 j 8 de Novlembre^»fó»imo de doce á una de su mañana para los remates del Pueblos, Zriu. Enfermos. Corados. Fallecidas.' caudal debiugar de Fumes en el reído de Granada, valuado su C4piral en 24&lt;'.200 rea les, y 10,760 de renta anual: t…</t>
  </si>
  <si>
    <t>…ate el diá 14 dé Abril Basilio, que lo# mismos pueblos presentan como una prueba del excelente próx.mo á las 12 de su mañana. ] espíritu de que en general están animados los de la iLioju. Dichos gefes fueron ——Por providencia dei señor Balsera , teniente corregidor de esta villa , y por la 'escríbanla de Díaz de Antoñaoa se cita á los que se creao con derecho á tos bienes íiftyjiigjjp; por ql. expresado comaudante. militar de Logroño de la presentación que bao quedado por fallecimiento intestado de D» Julián AJVarez Castafloo, oficial J¿…</t>
  </si>
  <si>
    <t>…ahora no se haya presentada^ dudad de Murcia se padecían bastantes cólicos biliosos, que eran benignos: persona alguna en reclamación de los 14.^32 rs. y 1+ mrs. qué se adeudan; por provi acompaña asimismo el siguiente dencia del Sr. Balsera, teniente corregidor de esta villa, y por la escribanía de Urrutia^ se cita al que se considere con derecho á los expresados 14,732 rs. y 14 mrs., compa Parte sanitario del puerto de Lumbreras* rezca en dicho juzgado dentro del preciso término de 20 dias; prevenido que de no verificarlo, le pagará…</t>
  </si>
  <si>
    <t>Balsera, D Pedio</t>
  </si>
  <si>
    <t>D Pedio Balsera</t>
  </si>
  <si>
    <t>….............. 309 de un teqtto, poniéndose de acuerdo con el gobernador civil en cuanto á la D. Gabriel Muñoz, por la suscripción del presente mes.................. 29 elección del terreno que para ello ha de tomarse á censo. El Sr. D. Pedio Balsera, por la suscripción de Agosto último, al respecto de 12 rs. diarios......................................................... ................. 372 En otra de 31 del mismo mes se ha comisionado al gobernador civil de La secretaría del gobierno civil de esta provincia, por suscripción Santander para…</t>
  </si>
  <si>
    <t>Balsera, D Pedro</t>
  </si>
  <si>
    <t>D Pedro Balsera</t>
  </si>
  <si>
    <t>…nte Calvo fiscal de lo civil de la nettde la testamentaría cóncíirsada ne;D. Tomás Gsbiás* y á-vlrtitd de despacho 1** Real-audiehcia de Búrgos, í D. Vicénte Valero y Sardi corregidor de Lo brado á esta corte cumplimentado por el Sr. D. Pedro Balsera, teniente corregido» groño y í D. José Duque alcalde maybr de Caspe. (tfúm. 640 qsta villa, sq c^ta y empfaza ¿ .todos los ínteresados-que-puedan tener derecho 2 aque; jlareitamentatia, .páraqúeát término dedosmeses* que por segundo y último»: ——- concediendo al Teniente general IL Josef Ramón Rodi…</t>
  </si>
  <si>
    <t>…e Calvo fiscal de lo civil de la nettde la téstqtnemafíe cóncíirsada ne;D. Tomás G*laréa* y á-vlttitd de despache l*** Real-audichcia de Búrgos, í D. Vicente Valero y Sardi corregidor de Lo brado á esta corte cumplimentado por el Sr. D. Pedro Balsera, teniente corregidor qsta villa, so c^ta y empfaza ¿ .todos los interesados^ue-puedan tener derecho 2 aqu£ groño y í D. José Duque alcalde maybr de Caspe. (tfúm. 640 Jla^testamentaria, , pira que'tft ferínmo dio dos meses, que por segundo y último»: ——- concediendo al teniente general IX Jósef Ramó…</t>
  </si>
  <si>
    <t>…re la cita por término de 30 dias, para que deqtro de ellos se presente'por *f que desde aquel dia hasta el de la fechq inclusive habían ocurrido 74 casos, de 6 por medio de persona que legalmente la represente en el juzgado del Sr. D. Pedro Balsera, teniente corregidor de esta villa y eñribáma de número de D. Santiago de la los cuales ter|njnaroa bien 21 y funestamente 24: que en Villalazan había Granja, en donde se halla radicada la testamentaria a ejercitar los derechos que en tal desaparecido la enfermedad, porcuya razón se cantó el Te D‘u…</t>
  </si>
  <si>
    <t>07/07/1834</t>
  </si>
  <si>
    <t>Gaceta de Madrid n.º 140</t>
  </si>
  <si>
    <t>…tortísimo que despejó la at cho Bande, para que dentro de él comparezcan á reclamar sus créditos y deducir las mósfera, y habiéndose fijadle! aire norte, principió á notarse una novedad acciones que les asistan en el juzgado del Sr. D. Pedro Balsera, teniente corregidor de favorable en la salud públicaT El número -de muertos no ha bajado hasta ayer esta villa, por la escribanía del número de D. Domingo Bande; prevenidos de que pa sado dicho término sin haberlo verificado , les parará el perjuicio que haya lugar. en propoécioh al desamo, pero e…</t>
  </si>
  <si>
    <t>Balsera, JJ Pedio</t>
  </si>
  <si>
    <t>JJ Pedio Balsera</t>
  </si>
  <si>
    <t>…6 por mcdtu de representante leguimOi Con apercibimiento de qdc etfdu defecto Jes parirá él perjuicio que naya lugar. ! n Si el pretehdlelifé' fiiéttl-Wtftimgéro deberá' traer los documentos refetidds — En virtud de prudencia del Sr. JJ. Pedio Balsera., teniente de corregidor de esta lagalliidbl tsbf lil *laisWni6,íCb6sdI ésjjafiói ael ;Eilado dc que fueré iiátúraf, llamavilla, yrefrendadaemplaza**delIqsjqJeescribano,sf,crean.del numerbfqi\ derechodé ellaá.losD. bienesFranciscoquedadosAnteroporCasado*.sefalleci ■yíi fítt lb’+iúbiere én jel'jpueWb…</t>
  </si>
  <si>
    <t>Balsera, Pedio</t>
  </si>
  <si>
    <t>Pedio Balsera</t>
  </si>
  <si>
    <t>….......... 309 de un teqtto, poniéndose de acuerdo con el gobernador civil en cuanto á la D. Gabriel Muñoz, por la suscripción del presente mes.................. 29 elección del terreno que para ello ha de tomarse á censo. El Sr. D. Pedio Balsera, por la suscripción de Agosto último, al respecto de 12 rs. diarios......................................................... ................. 372 En otra de 31 del mismo mes se ha comisionado al gobernador civil de La secretaría del gobierno civil de esta provincia, por suscripción Santander para…</t>
  </si>
  <si>
    <t>Balsera, Pedro</t>
  </si>
  <si>
    <t>Pedro Balsera</t>
  </si>
  <si>
    <t>…Calvo fiscal de lo civil de la nettde la testamentaría cóncíirsada ne;D. Tomás Gsbiás* y á-vlrtitd de despacho 1** Real-audiehcia de Búrgos, í D. Vicénte Valero y Sardi corregidor de Lo brado á esta corte cumplimentado por el Sr. D. Pedro Balsera, teniente corregido» groño y í D. José Duque alcalde maybr de Caspe. (tfúm. 640 qsta villa, sq c^ta y empfaza ¿ .todos los ínteresados-que-puedan tener derecho 2 aque; jlareitamentatia, .páraqúeát término dedosmeses* que por segundo y último»: ——- concediendo al Teniente general IL Josef Ramón Rodi…</t>
  </si>
  <si>
    <t>…lvo fiscal de lo civil de la nettde la téstqtnemafíe cóncíirsada ne;D. Tomás G*laréa* y á-vlttitd de despache l*** Real-audichcia de Búrgos, í D. Vicente Valero y Sardi corregidor de Lo brado á esta corte cumplimentado por el Sr. D. Pedro Balsera, teniente corregidor qsta villa, so c^ta y empfaza ¿ .todos los interesados^ue-puedan tener derecho 2 aqu£ groño y í D. José Duque alcalde maybr de Caspe. (tfúm. 640 Jla^testamentaria, , pira que'tft ferínmo dio dos meses, que por segundo y último»: ——- concediendo al teniente general IX Jósef Ramó…</t>
  </si>
  <si>
    <t>…go; á 48 rs. FanCga : centeno, 4 3Í id. : cebada, á 2Í id,: tíca. ' tino , á I reál y lí mts. la arroba ^aguardiente, á 12' rs. id. . , . Villa de Vaibfl Trigo, i 62 ti. cuartera: centeno, á 40'id.: maiz, 4 28 Porpro videncia del Sr. 0« Pedro Balsera, teniente corregidor de esta villa , y c&gt;- Id.: cebada, i 26 id.'^habichuelas','4-tíO id.: avellanará 64 ¡d.: almendras, 4 cribanía del número que despacha D- José Marta de Garameodi , se cita, llama y em* pla¿a k Tds ijué se'Creart coñ derecho á los bienes quedados por fallecimiento de Do« 34- id.…</t>
  </si>
  <si>
    <t>…la cita por término de 30 dias, para que deqtro de ellos se presente'por *f que desde aquel dia hasta el de la fechq inclusive habían ocurrido 74 casos, de 6 por medio de persona que legalmente la represente en el juzgado del Sr. D. Pedro Balsera, teniente corregidor de esta villa y eñribáma de número de D. Santiago de la los cuales ter|njnaroa bien 21 y funestamente 24: que en Villalazan había Granja, en donde se halla radicada la testamentaria a ejercitar los derechos que en tal desaparecido la enfermedad, porcuya razón se cantó el Te D‘u…</t>
  </si>
  <si>
    <t>…tísimo que despejó la at cho Bande, para que dentro de él comparezcan á reclamar sus créditos y deducir las mósfera, y habiéndose fijadle! aire norte, principió á notarse una novedad acciones que les asistan en el juzgado del Sr. D. Pedro Balsera, teniente corregidor de favorable en la salud públicaT El número -de muertos no ha bajado hasta ayer esta villa, por la escribanía del número de D. Domingo Bande; prevenidos de que pa sado dicho término sin haberlo verificado , les parará el perjuicio que haya lugar. en propoécioh al desamo, pero e…</t>
  </si>
  <si>
    <t>Baltasar</t>
  </si>
  <si>
    <t>22/06/1834</t>
  </si>
  <si>
    <t>Gaceta de Madrid n.º 125</t>
  </si>
  <si>
    <t>…eptre los pa^ticu)ares acordados lo son, el que ninguna persona le ha nes aprobadas para la subasta , cuyo primer remate se ha de celebrar ante el go ga pagos, hi entregas de dinero, letras nf otros efefctos, sino a! depositario D. Baltasar bernador civil de la provincia de Atmeiía en el dia 1 5 de Julio próximo j f González• del comercio, con lonja en la calle de Postas; ¿percibido el que lo contra el:2.° y último en la sala de la Dirección general en esta corle eri el mismo sablerio hiciereá la masade nocorounquedardedescargadoacree…</t>
  </si>
  <si>
    <t>…o prestar?*! á una Igualmente se aprobaron, y por la misma razón, los del Sr. marques de Va simulación. £0 consultó conmigo, y no pude menos, á pesar del sentimiento lladares , Procurador por la provincia de Orense, y lo? del Sr. D. Baltasar, que me causaba, de aplaudir La nobleza de sus sentimientos y el exceso de su Carrillo Manrique, por la de Güadalajara. virtud : después de quince añoj&gt; de servicios tiene qué expatriarse , y sufrir once Prestó juramento y tomó asiento dicho Sr. marques de Valladares. ' años de continuas persecucio…</t>
  </si>
  <si>
    <t>Baltasar, D</t>
  </si>
  <si>
    <t>D Baltasar</t>
  </si>
  <si>
    <t>…quiso prestar?*! á una Igualmente se aprobaron, y por la misma razón, los del Sr. marques de Va simulación. £0 consultó conmigo, y no pude menos, á pesar del sentimiento lladares , Procurador por la provincia de Orense, y lo? del Sr. D. Baltasar, que me causaba, de aplaudir La nobleza de sus sentimientos y el exceso de su Carrillo Manrique, por la de Güadalajara. virtud : después de quince añoj&gt; de servicios tiene qué expatriarse , y sufrir once Prestó juramento y tomó asiento dicho Sr. marques de Valladares. ' años de continuas persecucio…</t>
  </si>
  <si>
    <t>Baltasara, María</t>
  </si>
  <si>
    <t>María Baltasara</t>
  </si>
  <si>
    <t>…a Lumbier, y yo, según sus órdenes, en Burguete. El 17 se dirigió Zumalacarregui al valle dé Araquil. El general Lorenzo vino- anuncios: ' ;; ^1 ‘ á-Larrasoaña, y yo á Abaurrea alta; Iturraldé fue á Nagore. El 18 se hallaba Zo**&lt; Doña María Baltasara de 1a Quintana, vecina que ha stóo,dq malaearregui, segurl noticias, en el valle dé Araquil, é Iturraldé vino por Erro- or su disposición testamentaría, lega £ los paríenrés pobrés dé su difunto it»ar ^do-pon áGSfreti ,' Euqut ¿ Iraquí , y tomó la dirección, de JLanz. El general en gete- uan José Gonz…</t>
  </si>
  <si>
    <t>Baltliyany</t>
  </si>
  <si>
    <t>28/01/1834</t>
  </si>
  <si>
    <t>Gaceta de Madrid n.º 13</t>
  </si>
  <si>
    <t>…casuista para probar que no es lícito sin violar su 1 y " El príncipe de Talleyrand y la duquesa de Dino han dado un gran con conqiencia y manchar su honor el juramento á Luis Felipe, mientras conspiran vite al barón "Wessenberg, condesa Baltliyany, condesa de Tankcrvillc, lady contra au gobierno, ó le denuncian como usurpador. Por otra parte dos dipu Burghcrsh , sir H. Halford, M. de Bacourt y á otras personas principales. S. E-, tados, M-. d'Argenson y M. de Puyraveaú, hicieran su confesión republicana en aunque sufrió alguna incomodidad de…</t>
  </si>
  <si>
    <t>Baltoaseda, Juan'Domingo</t>
  </si>
  <si>
    <t>Juan'Domingo Baltoaseda</t>
  </si>
  <si>
    <t>…el íynnhbre del Sr.,marques de ViUacámpo, y es. precisó hacer.uóa aclaración spbre cj V Señóres Procuradores cuyas renuncias han sido admitidas. particular. Este Sr. Pzpcuzadpr e¿ctp( es militar , y cn éj dja é,ti qletempeñaoSr. D. Juan'Domingo Baltoaseda, electo por Avila. do el impoftante cargo de ge/e flel,e«ádo n)ayor dsl ejército dé óperaciónca •» p. ,Pedra Juan de Zulueta, id. por Cádiz. del Norle.JÉl no haber ayisaejq S. SÍ me fStttX será, por no hacer la meDOr Manuel José V»dUJo,por id. indicación que pudiéra ja'eerse téma el objeto de excit…</t>
  </si>
  <si>
    <t>Banda, Juan</t>
  </si>
  <si>
    <t>Juan Banda</t>
  </si>
  <si>
    <t>…eina, ningún insensato, ningún fanático po—: ' El capitán general de Castilla la Nueva traslada un parte dol comandante btico ó religioso se atreverá á concebir ia mas pequeña sombra de eperanza. de la columna móvil en Manzinares D. Juan Banda, desde Peñalba de ia Colorarnob en esta situación , y prevenir la guerra civil, era el fin de mi in Sierra de fceíaa del día A), en r$'ue dice que después de dos penosas marchas con dicación. Pero ademas de atribuírseme que no quería Guardia nacional dijeron siguió alcanzar á la inmediación de dich…</t>
  </si>
  <si>
    <t>Bande, Domingo</t>
  </si>
  <si>
    <t>Domingo Bande</t>
  </si>
  <si>
    <t>…notarse una novedad acciones que les asistan en el juzgado del Sr. D. Pedro Balsera, teniente corregidor de favorable en la salud públicaT El número -de muertos no ha bajado hasta ayer esta villa, por la escribanía del número de D. Domingo Bande; prevenidos de que pa sado dicho término sin haberlo verificado , les parará el perjuicio que haya lugar. en propoécioh al desamo, pero esto era efecto de los muchos enfermos graves ■ -Se halla.vacante la plaza de médico de la villa de Torres, provincia de Madrid: que había de los diés anteriores,…</t>
  </si>
  <si>
    <t>Baños, López</t>
  </si>
  <si>
    <t>López Baños</t>
  </si>
  <si>
    <t>…ndió dar cuenta al Estamento de Una proposición que se le habia presentado mento si el artículo primero del proyecto ha de volver á la comisión,” relativa al artículo que acababa de votarse; y señaló el dia de mañana á las Por el Sr. López Baños se pidió que se preguntase al Estamento si se to diez de ella para ponerla en consideración del Estamento y continuar la discu maba ata proposición en consideración, á lo que contestó el Sr. Presidente, sión de los siguientes artículos del proyecto; coa lo que 'cerró la saion de ue ato aparecería d…</t>
  </si>
  <si>
    <t>Banqucri, D Justo José</t>
  </si>
  <si>
    <t>D Justo José Banqucri</t>
  </si>
  <si>
    <t>…Ciudad Real. En la 1.a terna................................ limo. Sr. D. Marcelino de la Torre. EL infatigable oficial de carabineros de costas D. Bernardo Dessy alcanzó En la 2.a................................................. Sr. D. Justo José Banqucri. en Mazaleon la gavilla de Jelcz , la deshizo, cogió fusiles y otros efectos, y En la 3.a.................................................. Sr. D. Manuel de la Torre y RaurL mató 7 facciosos. Eh la 4.a.................................................... Sr. D. José Francisco Goyeneche. En la 5.a....…</t>
  </si>
  <si>
    <t>Banqucri, Justo José</t>
  </si>
  <si>
    <t>Justo José Banqucri</t>
  </si>
  <si>
    <t>…ad Real. En la 1.a terna................................ limo. Sr. D. Marcelino de la Torre. EL infatigable oficial de carabineros de costas D. Bernardo Dessy alcanzó En la 2.a................................................. Sr. D. Justo José Banqucri. en Mazaleon la gavilla de Jelcz , la deshizo, cogió fusiles y otros efectos, y En la 3.a.................................................. Sr. D. Manuel de la Torre y RaurL mató 7 facciosos. Eh la 4.a.................................................... Sr. D. José Francisco Goyeneche. En la 5.a....…</t>
  </si>
  <si>
    <t>Baquedano, Anselmo</t>
  </si>
  <si>
    <t>Anselmo Baquedano</t>
  </si>
  <si>
    <t>…una y falleció otra en Tzbara. D- Juan Víctor Navarro: para la de Antequera á D. Pedro Henrique Monte ro: para el corrcglmicrito de Cuenca á D. Antonio Lafuentc: para el de Alcaere á D. Pinta león iVitini: para el de Barbastro á D. Anselmo Baquedano: PROVINCIA BE ZARAGOZA. para la alcaldía mayor de Campillos á D. Antonio María Castilla; para la Manifiesta su gobernador civil en oficio de 28 del mes próximo pasado de S. Clemente í D. Francisco Senen y Senen: para la de Murcia á D. José que en los. dias 25 , 26 y 27 curaron en aquella capital 14…</t>
  </si>
  <si>
    <t>Baquedano, José de Imáz</t>
  </si>
  <si>
    <t>José de Imáz Baquedano</t>
  </si>
  <si>
    <t>…y lo comunicareis Noviembre próximo pasado, quedan subdivididas en partidos judi á quien corresponda.= Kstá rubricado por S. M—En Aranjuez á 19 ciales del modo y forma que se expresa á continuación de este de de Abril de 1834-=A D. José de Imáz Baquedano. creto (1). Art. 2.° Esta división se entiende aprobada sin perjuicio de las Para la sección de Indias del Consejo Real de España é Indias, alteraciones que la experiencia acredite ser necesarias para su ma creado por mi decreto de 24 de Marzo úitimo, vengo en nombrar yor perfección. , por el ramo d…</t>
  </si>
  <si>
    <t>…veniente a su cumplimien- ■ to. — Está rubricado por S. M.—En Aranjuez á 19 de Abril de , los éüja V. E. de entre los nueve que había en el expresado Con cejo de Hacienda, y que para la provisión de la plaza de escribano 18 34.=A D. José de Imáz Baquedano. " *■. .ü . segimdg íe Cámara, que queda vacante, haga V. E. la propuesta Suprimido el Consejo de Hacienda, é instituido en su lugar por coavemjnjte, teniendo ¡presentes todos los antecedentes que haya mí Real decreto de 24 de Marzo último un tribunal supremo del (elat'ivj^a tales escribanias. De Re…</t>
  </si>
  <si>
    <t>Baquér, Manuel</t>
  </si>
  <si>
    <t>Manuel Baquér</t>
  </si>
  <si>
    <t>Gaceta de Madrid n.º 309</t>
  </si>
  <si>
    <t>…ja que la pérdida de señores, es una respuesta terminante. No olvidéis que vuestra contestación, varios heridos. sea cual fuere, manifestará nuestra, situación. Tened presente que por todas par El alférez de lanceros de Isabel ti D. Manuel Baquér aprehendió dos tes, asi á los umbrales dé este salón, como por toda la nación, se pregunta, facciosos catalanes en la inmediación de Maella y Fabara , los que fueron fu »itiene el ministerio la mayoría de la Cámara:” Vuestra contestación será silados en el primer pueblo, verificando lo mismo el alf…</t>
  </si>
  <si>
    <t>Bar, Eusebío</t>
  </si>
  <si>
    <t>Eusebío Bar</t>
  </si>
  <si>
    <t>…tado del Consejo Real de España é Indias, creado pqj defrqto »de 24 del presenráj Real'de España é Indias, creado por decreto de 24 del presente^ vengo én nombrar á D. Manuel dé la Bodega. Tendréislo entendí-* vengo eñ'ttómbrar á D. Eusebío Bar d ají. Tendréislo entendido , y do, y lo comunicareis i quien corresponda, er Esti rubricado'de la lo coattmioareis i quien corresponda. eéEstí rubricado de la Real Real mano.—fcn Aranjuez á 3tí de Marzo d* 1834-esA D. Ni-* tmvanstsBn Aranjuez á 3o de Marzo -de 1834 = A D. Franeiseb colas María Gar…</t>
  </si>
  <si>
    <t>Bar, Joaquín Gómez</t>
  </si>
  <si>
    <t>Joaquín Gómez Bar</t>
  </si>
  <si>
    <t>…á la elección de los Gambarte, primer comandante de carabineros de costas y fronteras; D. Fausto opositores hasta el sitio en que haya de colocarse en esta corte. Asi pues al ex del Hoyo, del regimiento de Almansa, 18 de línea, y D. Joaquín Gómez Bar citar á nuestros artistas á esta heroica empresa, dejando á su acendrado gusto y reda , teniente coronel mayor del regimiento de Córdoba, por su brillante com á la fecundidad de su ingenio tan cxíen*o1es«ipo en que explayarse , cree des portamiento en la dirección de sus columnas. Asimismo estoy ob…</t>
  </si>
  <si>
    <t>Bar, José</t>
  </si>
  <si>
    <t>José Bar</t>
  </si>
  <si>
    <t>…gne pre dar de la elevación tan ventajosa que tcnian, me estropeaban, y de considera decesor , v a consecuencia de la desastrosa guerra c:\-.1 q... tmt ^ deploramos, ción, algunos soldados, como igualmente al capitán de cazadores D. José Bar le permitieran extender iguales socorros a otros puntas ue Ij Pcn.nvuia v a bis ben, que acto continuo fue muerto de un balazo, y me situé en la posLion necesidades de esta capital, habría aprovechado con :imo un d;a tan serraiad \ ñus próxima, donde permanecí hasta los once de tu mañana que me vin…</t>
  </si>
  <si>
    <t>Baracoa</t>
  </si>
  <si>
    <t>…s particulares de «■•rri^irn E4F^*4PlV»;Í4*ff»-.- • • - ■&gt;• •■ i -- i -7 • ». , 4.38&lt;¿885 ,2 --. jo? puerto;,, hemos advertido aumentos en cada uno de ellos, i¡i , « ¡ -; +■ W&amp; ,,'s» / ,1 -excdptuattdp ¿ospéríeñecieñtes. á Puerto-Príncipe /Baracoa. -í}:.h:,rrH?y&lt;fcr9l-sé-l&gt;495ó f *-* *.-.f '/ ■ • ■ ».« •■■•■•■“■ -’: - SOS- ,, 4 / La Habana ha aumentada.sus introducciones en valor de.. 2.911405 3 i&gt;: ; -.. ■:'■! _■ n. -/- SIUS jtxgbítkcLone» en. , ...__.................. 133,609 4* . vj -Recordando atarr^los.mi&amp;mosdatos relativos al afió anter…</t>
  </si>
  <si>
    <t>Baradia, Juan Adolfo</t>
  </si>
  <si>
    <t>Juan Adolfo Baradia</t>
  </si>
  <si>
    <t>…ntador 55 á 60 d. f, 6 vol. graduado de capitán , comandante de la caballería de Borbon , D. José Soler: Vales Reales no consolidados* 18 al contado*. 18$, 18 y 18| á varias fs. 6 vol* él teniente de la Guardia Real de infantería D. Juan Adolfo Baradia, que me Id.Deudasin negociableInteres, 10$deal5 contado.p. 100 á papel, 00. acompañó en el ataque y persecución á la cabera de la caballería y las guerri Acciones del banco español* OCX llas, y comunicó mis órdenes con actividad admirable. El subteniente del pro CAMBIO*. vincial de Ciudad Real D. J…</t>
  </si>
  <si>
    <t>Baragaña, Antonio Aivjrrz</t>
  </si>
  <si>
    <t>Antonio Aivjrrz Baragaña</t>
  </si>
  <si>
    <t>…ón, teniendo presente lo que algunos Igualmenre ha venido en nombrar á consulta de la Cámara'para la vara de Pares indicaron en. la sesión de ayer, cree que después del artículo 1.® en que se alcalde mayor de la Villa del Prado a D. Antonio Aivjrrz Baragaña: para la I determina quiénes han de componer el consejo de Estado, se añada oiro decla de la villa de Gausin á D. Josef Antonio Cires : pira la de Lorca á D. Joscf I rando «que todos los secretarios del Despacho pueden tomar parte en las deli López Pclegrin, y para la de Ciudad-Rodrigo a D. Ramón A…</t>
  </si>
  <si>
    <t>Baragaña, Antonio Alvarez</t>
  </si>
  <si>
    <t>Antonio Alvarez Baragaña</t>
  </si>
  <si>
    <t>…eina Gobernadora. En seguida la Confederación germánica en perjuicio de Francia; y en fin, que procuren de pronunció un discurso alusivo á la ceremonia eí benemérito regente letrado mil modos estorbar el engrandecimiento de esta. D. Antonio Alvarez Baragaña , que fue aplaudido unánimemente, v por su Se levanta la sesión á las cinco y tres cuartos de la tarde. disposición se dió libertad con tan plausible motivo á los presos de faltas leves, ESPAÑA. los cuales no pudieron menos de expresar con lagrimas'su profundo reconoci miento. 'Barcelona 15 de Dici…</t>
  </si>
  <si>
    <t>Baragaña, Antonio Martinez</t>
  </si>
  <si>
    <t>Antonio Martinez Baragaña</t>
  </si>
  <si>
    <t>…imiento de Cárrion de los Con tucioneslos Estados alemanes, y que los defectos que acaso tengan, des á D. Celestino Martinéí de Celis; y nombro para esta plaza se corregirán por los medio? legales: que los .Estados provinciales á D. Antonio Martinez Baragaña, alcalde electo de la villa del mantendrán su forma y organización como la tenían antes: que los Prado, y para su resulta á D. Julián Martinez y Yanguas. Ten- •Príncipes seguirán en la posesión de su soberanía , é independencia, dréislo entendido , y lo comunicareis á quien corresponda. = Está tati…</t>
  </si>
  <si>
    <t>Barago, Juan</t>
  </si>
  <si>
    <t>Juan Barago</t>
  </si>
  <si>
    <t>…Infantes; á D. Bartolomé Felipe Almendro, al sus luces y por los eficaces -servicios que ha hecho en favor de la causa de la calde mayor de Mérida; á D. Juan Nepomuccno Hidalgo, alcalde mayor de libertad de su patria. Llcrena; á D. Juan Barago» alcalde mayor de Alcántara, y a D. Eusebio Es «Cuáles son los hechos que se citan para fundar esta amarga crítica? Se di quió ve, alcalde mayor de Roa. ce qué él duque de Palmella no seguía la causa nacional el año de 1820. Para S. M. la Rj&amp;ina Gobernadora .se ha servido nombrar alcaldes mayores i…</t>
  </si>
  <si>
    <t>Barata, Antonio</t>
  </si>
  <si>
    <t>Antonio Barata</t>
  </si>
  <si>
    <t>…encia, y á D. Guillermo Mo tes en el tráfico de carnes. nguea la de Barcelona, vacante por haber sido nombrado director déla Real ' Ha dado las disposiciones necesarias' para que con frecuencia y en épocas, , caja de Amortización D. Antonio Barata, de cuyos servicios se ha servido ¿jas se administre la vacuna en todos los pueblds.de la provincia.. S. M. declarar hallarse muy satisfecha. (JA) Sigue activándo la construcción de cementerios, y la organización de la Mi Real órden que acompañó el decreto inserto en la Gaceta del 17 del mes -pró l…</t>
  </si>
  <si>
    <t>…encia, y á D. Guillermo Mo tes en el tráfico de carnes. nguea la de Barcelona, vacante por haber sido nombrado director déla Real ' Ha dado las disposiciones necesarias' para que con frecuencia y en épocas, , caja de Amortización D. Antonio Barata, de cuyos servicios se (a sentido ¿jas se administre la vacuna en todos los pueblds.de la provincia.. S. M. declarar hallarse muy satisfecha. (JA) Sigue activándo la construcción de cementerios, y la organización de la Mi Real órden que acompañó el decreto inserto en la Gaceta del 17 del mes -pró l…</t>
  </si>
  <si>
    <t>…a tarde. ELECCION DE PROCURADORES DEL REINO; IVECTOS PUBLICOS. tXOVINCIA DB BA&amp;CBtONA. Inscripciones en el eren libro k 5 p. 100 • 00. Tirulos al portador del 5 p. 100, 60 al contado: 62 y 61$ i 60 d. f. ó vol.: 65 k 58 d. f. Sr. D. Antonio Barata. ó vol., á prima de 1 p. 100. Inscripciones en el gran libro k 4 p- 100, 121 al contado. Títulos al portador del 4 p. 100, 12$ al contado: 544, i 7 144 k 60 d. f. A vol.: 55 y 541 k 60 d. f. ó vol., á prima de I p. 100. Partes reeibidos m la secretaría de Estado y del Despacho de la Guerra. ValesDeu…</t>
  </si>
  <si>
    <t>…ando las exacciones y tificativos de su aptitud legal; y el testimonio del acta de la elección por la vejaciones que sufren los contribuyentes las redimirían gustosos por dos millo provincia de Barcelona, que ha recaído en el Sr. D.. Antonio Barata, para nes de_ reales. Este cálculo parecerá, como lo es en efecto, muy moderado si reemplazar.al Sr. IX José Plandolit. _ . se advierte que pagándose por el vino que se consume, en el antiguo reino de El Estamento quedó enterado de una Real órden, que remitía el Sr. Se-1 Valencia existen mas de un…</t>
  </si>
  <si>
    <t>…bienes civiles, y que la Real orden de, 21 del corriente, en cuyo puntual cumplimiento he convo I horroriza la idea sola de los males, trastornos y ruinas de familia* que produce cado á los tres subdelegados de Fomento, nombrados D. Antonio Barata, Don I la turbación dei orden, la violación de las leyes y la desobediencia á las auto-, Serafin Chavicr y D. Joaquín Rey ; y después de recibir el juramento que han | ridades. prestado los dos primeros, he prevenido al secretario del ramo de policía y demas En la del 22 del mismo mes, redoblando m…</t>
  </si>
  <si>
    <t>Barata, D Antonio</t>
  </si>
  <si>
    <t>D Antonio Barata</t>
  </si>
  <si>
    <t>…de la tarde. ELECCION DE PROCURADORES DEL REINO; IVECTOS PUBLICOS. tXOVINCIA DB BA&amp;CBtONA. Inscripciones en el eren libro k 5 p. 100 • 00. Tirulos al portador del 5 p. 100, 60 al contado: 62 y 61$ i 60 d. f. ó vol.: 65 k 58 d. f. Sr. D. Antonio Barata. ó vol., á prima de 1 p. 100. Inscripciones en el gran libro k 4 p- 100, 121 al contado. Títulos al portador del 4 p. 100, 12$ al contado: 544, i 7 144 k 60 d. f. A vol.: 55 y 541 k 60 d. f. ó vol., á prima de I p. 100. Partes reeibidos m la secretaría de Estado y del Despacho de la Guerra. ValesDeu…</t>
  </si>
  <si>
    <t>…, cuando las exacciones y tificativos de su aptitud legal; y el testimonio del acta de la elección por la vejaciones que sufren los contribuyentes las redimirían gustosos por dos millo provincia de Barcelona, que ha recaído en el Sr. D.. Antonio Barata, para nes de_ reales. Este cálculo parecerá, como lo es en efecto, muy moderado si reemplazar.al Sr. IX José Plandolit. _ . se advierte que pagándose por el vino que se consume, en el antiguo reino de El Estamento quedó enterado de una Real órden, que remitía el Sr. Se-1 Valencia existen mas de un…</t>
  </si>
  <si>
    <t>Barba, D Ignacio Sampons y</t>
  </si>
  <si>
    <t>D Ignacio Sampons y Barba</t>
  </si>
  <si>
    <t>…las salutaciones de C020 que re&gt;onaron en amhis már genes de! Duero, acabaron de manifestar la extraordinaria aegru de los habi PROVINCIA DB BARCELONA. tantes de Oporto por ver dentro de sus muros á su legítima Reina y al restau Sr. D. Ignacio Sampons y Barba. rador del trono y de la corona. S. M. I. el Sr. duque de Braganza , en quien nada han influido las inco PROVINCIA DE MADRID. modidades del viage, continúa dando esperanzas de su pronto restablecimiento. Sr. D. Severiano Paez Jaramillo. Lisboa 6 de Agosto, PROVINCIA DE SALAMANCA. Se ha designado en…</t>
  </si>
  <si>
    <t>Barba, Francisco</t>
  </si>
  <si>
    <t>Francisco Barba</t>
  </si>
  <si>
    <t>…. Sr.: Habiendo enviado esta mañana una partida de caballería*á lucione» adecuadas á los problemas de geometría que se le propusieron; y final hacer un reconocimiento sobre Irurzun, regresa ahora , y me trae un oficio del mente , D. Francisco Barba , dada una idea del objeto principal de la trigono comandante de aquel fuerte , en que me dice lo siguiente : Ignoro el punto don metría, manifestó las relaciones con que se hallan vinculadas las líneas trigo de se halla el Excmo. Sr. general en gefe con la columna de su inmediato man nométricas, y…</t>
  </si>
  <si>
    <t>Barba, Ignacio Sampons y</t>
  </si>
  <si>
    <t>Ignacio Sampons y Barba</t>
  </si>
  <si>
    <t>…salutaciones de C020 que re&gt;onaron en amhis már genes de! Duero, acabaron de manifestar la extraordinaria aegru de los habi PROVINCIA DB BARCELONA. tantes de Oporto por ver dentro de sus muros á su legítima Reina y al restau Sr. D. Ignacio Sampons y Barba. rador del trono y de la corona. S. M. I. el Sr. duque de Braganza , en quien nada han influido las inco PROVINCIA DE MADRID. modidades del viage, continúa dando esperanzas de su pronto restablecimiento. Sr. D. Severiano Paez Jaramillo. Lisboa 6 de Agosto, PROVINCIA DE SALAMANCA. Se ha designado en…</t>
  </si>
  <si>
    <t>…sión , los poderes de los se dencia á cobrar. ñores D. Jo»é Vtñals, Procurador por la provincia de Gerona; D. Ramón «No sucedió esto con el Gobierno absoluto; este no solo bizovefectivas Cucar por la de Lérida; D. Honorato Puig y D. Ignacio Sampons y Barba 4 la fuerza las contribuciones corrientes, sino que cobró inmensas sumas de los por-U-de-Barcelona, en razón de estar conformes á la ley, como asimismo los atrasos; y no asi como quiera de los años 20 al 23 , sino de mdehos anteriores documentos justificativos de sus rentas. hasta el de 1794* Se dió est…</t>
  </si>
  <si>
    <t>Bárbara</t>
  </si>
  <si>
    <t>…peradorMagno.Wenceslao,Esta obra contienede la Emperatrizcuriosas Sofia,noticiasde sobresu herniael carácterno Sigisy t|t fusazZs para que no pudiesen auxiliar á Portugalete, cuya guarnición a la mu- mundo, Rey de Ungría, y de ia Reina Bárbara, esposa de este último; sobre las roa hora atacó el rebelde Castor. Por mas esfuerzos que hicieron los enemt- costumbres de los antiguos caballeros, sobre las de Sublosho, arzobispo de Bohemia gja*. ooVipiidieron tomar las alturas que dominan á esta villa, que defendí con y de HuogrU, y sobre las d…</t>
  </si>
  <si>
    <t>Barbel</t>
  </si>
  <si>
    <t>…sos con hachas y sacos bre lOs artículos del proyectó , y la Cdnfa£t‘éñ vista de ellas aprüeba los artícu para viciar su codicia, U cual lev hizo marchar en 24 horas mas de nueve le los 9 d 15 , ambos inclusive, y una adición del Sr. Barbel, en los cuales »‘se gua?. A U primera noticia acudió Velozmente á Vitoria el coronel Icháro, que dhttfrtínirtaVf las atribúcrónfcs 5y facultades de-los corregidores (fnairts); ti modo • manda la columna nun-il de Alava y U guarnición de la Puebla; se puso en de hacer las subastas para obras ú otras…</t>
  </si>
  <si>
    <t>Barca, Calderón de la</t>
  </si>
  <si>
    <t>Calderón de la Barca</t>
  </si>
  <si>
    <t>…or partes la petición, sin hacerlo de las razones ran; pues en el mismo caso estamos ahora. La petición debe seguir los trámites en que va fundada.” que prescribe el reglameuto en su art. 135. Si después de aprobada en su tota El Sr. Calderón de la Barca insistió en las mismas ideas del Sr. González. lidad, algunos señores no quieren aprobar los artículos , podrán rm tir su opi El Sr. Beida: Mi Opinión es distinta de la del Sr. preopinante. El re nión. Nada tiene que ver la discusión de la totalidad con la de cada artículo; sultado es que la petici…</t>
  </si>
  <si>
    <t>Barca, D Miguel Calderón de la</t>
  </si>
  <si>
    <t>D Miguel Calderón de la Barca</t>
  </si>
  <si>
    <t>…marques de la Gándara, propietario! migos á Jos costados ni detras de sil La situación de la Espada y el Portugal Sr. D. Fermín Caballero, propietario.con respecto i la Francia hace que.su enemistad ó malevolenciaaea muy peligro Sr.-D. Miguel Calderón de la Barca, propietario.sa .para nosotros; porque pueden hostigarnos par el Mediodía, mientras nosotros Sr. D. Antonio Martcl y Abadía, propittarib.tenemos que defendernos por el Norte. Toda nuestra lucha , toda nuestra glo ría, todo nuestro porvenir están en. nuestras fronteras del Norte y del Este. Por esta…</t>
  </si>
  <si>
    <t>Barca, José</t>
  </si>
  <si>
    <t>José Barca</t>
  </si>
  <si>
    <t>…ierno no puede ni debe hacer empe Admitida por S. M. la Reina Gobernadora la cesión de un crédito de zaras trabajos en esta ¿poca , pues no podrían estar prontos para ella ningún 5058 ts. vn. que ha hecho en favor del Real erario D. José Barca , vecino dt proyecto de ley , rii tampoco el presupuesto ; prescindiendo de que nuestras cos la villa de Puerto Real, y escribiente que fue del arsenal de la Carraca, sa tumbres parlamentarias fijan el tiempo de los trabajos de las Cámaras entre los ha servido mandar se le den gracias en su Real no…</t>
  </si>
  <si>
    <t>Barca, Miguel Calderón de la</t>
  </si>
  <si>
    <t>Miguel Calderón de la Barca</t>
  </si>
  <si>
    <t>…ques de la Gándara, propietario! migos á Jos costados ni detras de sil La situación de la Espada y el Portugal Sr. D. Fermín Caballero, propietario.con respecto i la Francia hace que.su enemistad ó malevolenciaaea muy peligro Sr.-D. Miguel Calderón de la Barca, propietario.sa .para nosotros; porque pueden hostigarnos par el Mediodía, mientras nosotros Sr. D. Antonio Martcl y Abadía, propittarib.tenemos que defendernos por el Norte. Toda nuestra lucha , toda nuestra glo ría, todo nuestro porvenir están en. nuestras fronteras del Norte y del Este. Por esta…</t>
  </si>
  <si>
    <t>BarcéíbtU, Hamburgól Malaga Id</t>
  </si>
  <si>
    <t>Hamburgól Malaga Id BarcéíbtU</t>
  </si>
  <si>
    <t>…'• dbfígidttui*mhntc&lt;W9e«l*presa *i; eavecrt» adel'mismo,reo la utuma captura vá' Bayona ,.00.., r - Alicante,! cqrtqjdf- •JiiWéltjtitií'eóhrHtiBCtttnl, ¡tanto maC pisada para - el pueblo,que desempeña.es-, Burdeóá.OO. 1 ' so, ^ d. • Hamburgól Malaga 'Id. 00.' - -' —---BarcéíbtU / k‘p*J ífcv •i «ttigtMftHI , eoMktdtie dilata láfoubackittde causa lvgOj fiecuefljc-v ^rcápOdla,.^ Santander, i-í-i-b. JBóiltt&lt;'éoa,ffejent&gt;J=inia.lB&lt;«neoos áthrolu iles ¡escrtbaqoí qpe.dqjen actuar te a. ••♦4* r-l-V»! ..--l Saptiago,d-4-: *Ots?h '■» .Ulosis iaI fta.Qm-'/.- v .itijjou o.rv... . ■…</t>
  </si>
  <si>
    <t>Barceions</t>
  </si>
  <si>
    <t>Gaceta de Madrid n.º 177</t>
  </si>
  <si>
    <t>…on los mas ricos de ella* y sin ■Bayona-, T&gt;0. Alicante,« cortó pta- ComÓA, -4 4*-- Valencia, recursos partí socorrerlos, las sido preciso destinar tos producios de los posiioa Burdeos, 00. zn, i d, Granada . id,. 1&lt;L Zaragoza, $ d. Barceions, . $ id. 00. á ps. fs., ’.dalaga a tu burgo, efe Descuento letra», para atender á este mal' grave y urgente; y me ocupo en instruir el oportuno K á I b. 90 dias, Londres, $ {&amp;• ^a"t«nder, al á 4 p. 100 expediente para que la agricultura pueda ser socorrida para la sementera pró S7i. Bilbao, $ d. Sa…</t>
  </si>
  <si>
    <t>Barcelona</t>
  </si>
  <si>
    <t>…habian tomado tierra. Los habitantes, Bayona, 00. Alicante* k corto pía*, Coruña* 4 d. Valencia, opr. detpues de haberles arrebatado sus canoas, los habian despojado de cuanto po Burdeos, 00. ao, 4 d. Granada, id. id. Zaragoza, f d. 00. Barcelona, frpa.fr., Málaga * fr id. Descuento de letras»seían; pero esperaban que Pomarra los recibiría bajo su protección. ¡Por qué, Hamburgo* Lóndres* 4 90 dias * Bilbao, fr d. fr 4 p. 100 alado. Santander* 4 b* 1» preguntó el capitán, no habéis procurado vengaros en *1 momento mismo ri ki Santiago, 4 d*…</t>
  </si>
  <si>
    <t>…e £e pára y desahogar locales reconocido verificado; toman las-cárceles , han 00. Burdeos , d. id. id. Granada, zo, i &lt;L iZaragoxá, f 00. Hamburgo, -La-esgueva .para esta saludable providencias objeto- capital otras tan de lograr d. 1 Barcelona, Malaga, á pañ., ¡Descuento letras de Xóodres días, 9O é , . 1 b. Santander b. ,4 es -cuanto posiblc- presidiarios-en los te limpia, por afio. 100*1 Mp* 37|. 1 d. Santiago, 4 iBllbao, d. ESTADO SANITARIO DEL REINO. Los suplementos de la Oaceta con las sesiones de los Estamentos se ven* 'PROVINCIA-D…</t>
  </si>
  <si>
    <t>Barcelona, Hamburgot</t>
  </si>
  <si>
    <t>Hamburgot Barcelona</t>
  </si>
  <si>
    <t>…ienda al coronel Mazarredo por lo bien Bayona, 00, A1 ¡cante, í corto pla Coruña, { d. Valencia, Id. que se ha portado en esta acción , y por la importancia de ella, atendidas las Burdeos, 00. zo , 4 d. Granada, i id. Zaragoza, 4 d. Hamburgot* 00. Barcelona, í ps. fs., Málaga , id. id. Descuento de letras, circunstancias de aquel país: lo hace igualmente del coronel Nbgueras, que'ha- Londres , á 90 dias. 1 b. Santandsr, f b« á 4 p» 100 al año. biehdo oido en su tnarcha un vivo fuego, acudió oportunamente al punto de Bilbao, -f d. Santiago d. Jé acción…</t>
  </si>
  <si>
    <t>Barcelona, HOTIKCF DI LOCSfiSfl SMfTlMfFKSv V</t>
  </si>
  <si>
    <t>HOTIKCF DI LOCSfiSfl SMfTlMfFKSv V Barcelona</t>
  </si>
  <si>
    <t>Gaceta de Madrid n.º 259</t>
  </si>
  <si>
    <t>…ns y Villaimí era coito el número de taska, fsanay. 1 Jbmpttifon»^ GOL l?arísT I6-4. Cádiz, 14 b. Sevilla , é b. 0O:.’ A l i can te. 2 corto pla Coruña, }~d. Valencia, id. id.j Bi:nfgn»y Q0u zo, $ ti. Granada, id. id. Zaragoza, j d. HOTIKCF4 DI LOCSfiSfl. SMfTlMfFKSv &lt;V% ' Barcelona, á ps. Cu, Málaga . $ b. Uescuento de lénJar&lt; £mufrev. ¿ 90- dial. i * é íd Santander, 1 Id. a 4 p. 100 al aóc. iBÜbao, par. . Santiago, J d. £1 cólera séaiia ixé curso ordinario cu Altsasco , AiarSiHo&gt; * Cerrera , Logror.o , Kalda , S. Altalas .de ia¡ Cugulla y bto. Efcrggáargy ieqpcó ariaa «1 gob…</t>
  </si>
  <si>
    <t>Barcena</t>
  </si>
  <si>
    <t>…areCcrme han engañado á S. M. y sacrificaría mi vida gustoso por enemiga. Desde entonces cargados siempre de cerca por las bayo reparar este perjuicio! podrá suceder como por carambola, se haga netas de Borbon, por la columna del coronel Barcena que rápida algo, devido á la casualidad y al partida que va teniendo la causa mente avanzaba por las alturas, se dispersaron en todas direcciones, de nuestro Soberano de dia en dia, pero úo por que de aquí se ha aprovechándose de la espesura de los rrfontes, y abandonando ar yan puesto los medios a…</t>
  </si>
  <si>
    <t>Barcena, D Leoncio de la</t>
  </si>
  <si>
    <t>D Leoncio de la Barcena</t>
  </si>
  <si>
    <t>…rticipar á V. S. que rificado en este día el de Navarra, remitiré al Excmo. Sr. general i en la mañana de hoy he batido con las columnas de mi mando, á en gefe el pliego que V. E. me acompaña. Se dice que el dicho las órdenes del coronel D. Leoncio de la Barcena y teniente coro general se dirigía para Estelia, mas no puedo asegurar la certeza nel D. Miguel Cosío,en las alturas de Valpuesta, las facciones re de esta noticia. unidas de Alava en número de mas de *3 J hombres, á cuya cabeza Es cuanto puedo manifestar á V. E. en cumplimiento de lo se hallaban los…</t>
  </si>
  <si>
    <t>…ifrc con 700 hom seguir á la cabeza de su columna, circunstancia que le hace reco bres, salí ayer mañana de este pueblo con las dos columnas de mi mendable. El teniente D. Ramón González Alpüente, y de la mando, á las órdenes del coronel D. Leoncio de la Barcena y te misma graduación el subteniente D. Ramón Dáviia, de la 1.* de niente coronel D. Miguel Cosío, dirigiéndome al pueblo de Bó Borbon, se portaron con valor. El capitán D. Joaquín Díaz de veda con la primera de ellas mientras el comandante Cosío pasaba Rabayo, de la 4-1 del J.° del mismo cuerpo, y e…</t>
  </si>
  <si>
    <t>Barcena, Eusebio de la</t>
  </si>
  <si>
    <t>Eusebio de la Barcena</t>
  </si>
  <si>
    <t>…el Villapol. Reales órdenes. ¡ Re dado cuenta á la Reina Gobernadora &lt;lél expediente promo Tamhicn se ha servido eronerar de su destino de intendente vido por la Dirección general dé Rentas, relativo á que se declare de Segovia á D. Eusebio de la Barcena; nombrando en su lugar á el modo dé cancelar'los débitos de alcances á favor de la Real Ha D. Alejandro Mon, secretario de la superintendencia general de po cienda en los casos en que con arreglo á la Real orden de IV de üne- licía. to de 1824 se adjudiqué fincas procedentes de fianzas por falta de…</t>
  </si>
  <si>
    <t>Barcena, Leoncio de la</t>
  </si>
  <si>
    <t>Leoncio de la Barcena</t>
  </si>
  <si>
    <t>…á V. S. que rificado en este día el de Navarra, remitiré al Excmo. Sr. general i en la mañana de hoy he batido con las columnas de mi mando, á en gefe el pliego que V. E. me acompaña. Se dice que el dicho las órdenes del coronel D. Leoncio de la Barcena y teniente coro general se dirigía para Estelia, mas no puedo asegurar la certeza nel D. Miguel Cosío,en las alturas de Valpuesta, las facciones re de esta noticia. unidas de Alava en número de mas de *3 J hombres, á cuya cabeza Es cuanto puedo manifestar á V. E. en cumplimiento de lo se hallaban los…</t>
  </si>
  <si>
    <t>…700 hom seguir á la cabeza de su columna, circunstancia que le hace reco bres, salí ayer mañana de este pueblo con las dos columnas de mi mendable. El teniente D. Ramón González Alpüente, y de la mando, á las órdenes del coronel D. Leoncio de la Barcena y te misma graduación el subteniente D. Ramón Dáviia, de la 1.* de niente coronel D. Miguel Cosío, dirigiéndome al pueblo de Bó Borbon, se portaron con valor. El capitán D. Joaquín Díaz de veda con la primera de ellas mientras el comandante Cosío pasaba Rabayo, de la 4-1 del J.° del mismo cuerpo, y e…</t>
  </si>
  <si>
    <t>Barcena, Pedro Francisco</t>
  </si>
  <si>
    <t>Pedro Francisco Barcena</t>
  </si>
  <si>
    <t>…la'soberana roluntad.de S. M. la Reina Gobernadora, que Iá eos presentes al ingeniero'que dirigé-lóS trabajos. (-W.) • - ’ - pensión ,de 400 ducados que-sobre los. fondos de la extinguida inquiuroLATsauá-sicion cobraba el prófugo D. Pedro Francisco Barcena, quede ad judicada desde luego á. los. dos-hijos de menor edad que ha dejado el Líndrrs' 19 Jt Mayol . . z benemérito.y desventurado capitán ©¿'Domingo Muruaga, barbara- Fotutos púhiicot. Tres por l OO consolidados 92|- _ t • . - ¿ mente asesinado por la gavilla del rebelde Zavala; y que dicha per…</t>
  </si>
  <si>
    <t>Barcia, Rafael</t>
  </si>
  <si>
    <t>Rafael Barcia</t>
  </si>
  <si>
    <t>…Comercio de Zaragoza. por esa junta , se ha servido mandar lo siguiente: La compañía de Seguros mutuos de incendios de Sevilla. i,» Art. 1? La junta de Sanidad de Madrid se aumentará con los D. Ramón y D. Hermenegildo Montero, y D. Rafael Barcia, regidores facultativos D. José Coll, D. Ramón Copdevila , D. Victoriano Tor perpetuos del ayuntamiento de Zamora. recilla, D. Nicolás Alfaro y D. Pablo Montesino. El gobernador civil de Soria. 21 Serán vocales de la misma junta el conde de Teña, el mar E] de Barcelona. ques de la Torrecilla, D. Pe…</t>
  </si>
  <si>
    <t>Bardají</t>
  </si>
  <si>
    <t>…i por una disposición explícita no alejase el riesgo de una falsa telar , conde de Santana, conde de Humanes, Sr. Carvajaj, marques de la Can interpretación ? Por todo esto soy de Opinión qúe el artículo debe redactárte delaria , Sr. Bardají, Sr. Alava, conde de Monterron , conde de Villafuertes, en los términos que lo he propuesto.” conde de S. Román, Sr. Navarro y Sangran , obispo de Teruel, conde de Cu Después de una ligera discusión entre los Sres. obispo Vallejo y mar ba, Sr. Atvarez Guerra, duque de Noblejas, marques de Malpica,…</t>
  </si>
  <si>
    <t>Bardají, Ensebio</t>
  </si>
  <si>
    <t>Ensebio Bardají</t>
  </si>
  <si>
    <t>…José María Puig, del Consejo de Go- Carabancliel á 17 de Junio de 18.5+.=A D. Francisco Martínez da bie.rno; marques de Santa Cruz y San Esteban; marques de San Mar la Rosa, Presidente del Consejo de Ministros. tin de Hombreiró; D. Ensebio Bardají, decano de la sección de Estado del Consejo Real; D. Antonio Martínez, decano de la sec No siendo compatible con la repta administración de justicia la ción de Hacienda del mismo Consejo; D. Fr.-Ilijtólito Sánchez doble representación de juez y parte que tienen los interventores Rangel , ohispo de…</t>
  </si>
  <si>
    <t>Bardajt</t>
  </si>
  <si>
    <t>…pacho de Gracia y Justicia: «Las comisiones te , conde de Clavijo, conde de Guendulain, marques del Salar, conde de Par— han tenido por conveniente suprimir el art. 2.° á que hace referencia el pro sent, marques de la Candelaria, Sr. Bardajt, duque de Castroterreño, marques yecto de ley, no porque tuviese nada de ilegal, sino por creerlo innecesario, de Albaida , Sr. Pezuela , conde de Villafuertes, conde de Friegue, marques: pareciéndoles que el rédito del 3 por 100 se empieza á contar desde el dia de de S. Martin de Hombreiros, Sr. L…</t>
  </si>
  <si>
    <t>Bárdeos</t>
  </si>
  <si>
    <t>…00. París, 16-7 4 8. Cádiz, par 4 } d. Sevilla, } b. id. Id. Valencia, 4 í i corto pla Coruña, 00 Alicante,ñíscola existían todavía dos coléricos, que desde 15,de Noviembre no habían Bayona, Granada, Id. id. Zaragoza, zo, 1 b. q d. Bárdeos. 00. podido acabar de restablecerse; pues en lo demas de ja provincia habia cesado Hamburgo. 00. Barcelona, 4 ps. fs., Málaga. 4 b. Descuento de letras, dicha enfermedad. Lóndres, 4 90 dias 4 id. Santander, 1 id. 4 4 p. 100 al año. 38}. Bilbao, } d. Santiago, 1 d. PROVINCIA DE CÓRDOBA. Parte sanitar…</t>
  </si>
  <si>
    <t>Bardewisch</t>
  </si>
  <si>
    <t>…reintegrar i Mr. Bardewisch en Villalbos.............. Idem.................. 24 6 1 el deie ho que tiene el gobierno para conceder ó negar el exequátur, y ha in Villalmondar.... Idem.................... 8 2 00 sistido en qse el cónsul Bardewisch ha hostilizado al gobierno francés y á su Lerma.................... En 29 dias......... 206 00 66 política obrando contra un gobierno aliado, (ir. de F.) Abel lanosa del Páramo................. 30 Ag. á 5 Set. 9 00 1 Portugal. Nota. El parte de Lerma ofrece alguna duda, pues por escasez de facu Lis…</t>
  </si>
  <si>
    <t>Barenque, Juan Fermín</t>
  </si>
  <si>
    <t>Juan Fermín Barenque</t>
  </si>
  <si>
    <t>…id el 2 de] corriente para las monta- ,.objetpy y el ayuntamiento dió un espléndido refresco á todo lo principal del fias de Santander y Vizcaya, ha sido interceptada la noche del 4 P°r el cabeci .pueblo, cuidando al mismo tiempo D. Juan Fermín Barenque, del comercio de lla Villalobos y su criado, á ocho leguas de Búrgos, entre Bastoncillos y San* esta villa, de que se repartiesen á los pobres 1101 libras de pan, 280 de carne ta Cruz del Toso: lo que se avisa al público para su noticia. y 30 arrobas de vino# Se hicieron otras muchas demostraciones…</t>
  </si>
  <si>
    <t>Bargott</t>
  </si>
  <si>
    <t>…eopinante; 'i-de-consiguiente.,su objeción no me'parece extrafieza Cuándn te sed* flÉÉTthW observaciones van á recaer solp sobre 1» redac fundada.” ‘ . ción y no sobre Ja dupófielón que encierra. Dice:el artículo (lo leyó.) La El Sr. Bargott « La palabra opcion significa la libertad de elegir, la fa fórmula de «cuando se publique como ley este proyecto.” Es en mi opiníoh- cultad , la elección misma, y el derecho. ¡ En cuál de estos sentido»’está usada</t>
  </si>
  <si>
    <t>Barí, Bernardo</t>
  </si>
  <si>
    <t>Bernardo Barí</t>
  </si>
  <si>
    <t>…urrentes creyeron oportuno dirigirle sobre cál infantería, por cuya causa hice retirar la mía , no sin que me costase bastante culo mercantil y geografía. trabajo, pues tuve que salir en persona con el comandante D. Joaquín María D. Bernardo Barí describió geográficamente el Africa , y expuso en gran Miranda para sujetar el ardor del puñada de valiente» que no querían dejar el de la teneduría de libros de comercio : á petición de uno de los señores con campo, aunque estaban acomctidps por una fuerza ocho veces mayor. currentes formó el inve…</t>
  </si>
  <si>
    <t>Barí, D Joaquín María D Bernardo</t>
  </si>
  <si>
    <t>D Joaquín María D Bernardo Barí</t>
  </si>
  <si>
    <t>…eguntas que los señores concurrentes creyeron oportuno dirigirle sobre cál infantería, por cuya causa hice retirar la mía , no sin que me costase bastante culo mercantil y geografía. trabajo, pues tuve que salir en persona con el comandante D. Joaquín María D. Bernardo Barí describió geográficamente el Africa , y expuso en gran Miranda para sujetar el ardor del puñada de valiente» que no querían dejar el de la teneduría de libros de comercio : á petición de uno de los señores con campo, aunque estaban acomctidps por una fuerza ocho veces mayor. currentes formó el inve…</t>
  </si>
  <si>
    <t>Barí, Joaquín María D Bernardo</t>
  </si>
  <si>
    <t>Joaquín María D Bernardo Barí</t>
  </si>
  <si>
    <t>…los señores concurrentes creyeron oportuno dirigirle sobre cál infantería, por cuya causa hice retirar la mía , no sin que me costase bastante culo mercantil y geografía. trabajo, pues tuve que salir en persona con el comandante D. Joaquín María D. Bernardo Barí describió geográficamente el Africa , y expuso en gran Miranda para sujetar el ardor del puñada de valiente» que no querían dejar el de la teneduría de libros de comercio : á petición de uno de los señores con campo, aunque estaban acomctidps por una fuerza ocho veces mayor. currentes formó el inve…</t>
  </si>
  <si>
    <t>Barihe</t>
  </si>
  <si>
    <t>…y el juicio que van á sufrir ante sus jueces legítimos, les enseñará que han [el año de 18:1? , y un proyecto de ley sobre créditos extraordinarios. trabajado en vano. Lo que prueba que el gobierno no há menester grandes fuer El Sr. Barihe, ministro de Justicia, presenta un proyecto de ley sobre res- zas para apoyar su autoridad, es la licencia que ha concedido á muchos soldados I sibílidad de los ministros y demas empleados del gobierno, exponiendo las para que vuelvan á sus hogares. [razones en que se funda dicho proyecto. ____.Los…</t>
  </si>
  <si>
    <t>Barjona</t>
  </si>
  <si>
    <t>…cuales se acreditaba con hechos estas, quejas se fundan en un error .político, pues á medida que los demas pai la verdad de cuanto acaba de exponer. tes" crecerán en prosperidad, tendrán sin duda alguna cosa que damos en cam- El Sr. Barjona observó que no se debía hablar décste asunto hasta que en Kio: dé' lo que les llevemos; prescindiendo dé que,-hablando moral mente, es la Cámara se tratase del arreglo dé la administración interior, limitándose por una falta grave envidiar la felicidad de los otros. (Diario de Parii.) ahora i remit…</t>
  </si>
  <si>
    <t>…sente cuál fue mi opinión en el cornejo en que se trato de tiempo gastado en cosas necesarias no se podía llamar tiempo perdido. este asunto, respecto á que fuere ó no cUu^ula expresa del decreto: mas la que Pr«&gt;curó demostrar el Sr. Barjona que las leyes deben ser cía ras, y que en hoy tengo y probablemente tendría entonces, es que este a«unto es de tal tras ninguna era tan necesario este requisito como en la que ocupaba la atención cendencia y magnitud, que solo se debe resolver por deliberación verdadera de la Cámara, por ser de la…</t>
  </si>
  <si>
    <t>Bárjotia</t>
  </si>
  <si>
    <t>…Oe la usurpación la esperanza deque jamas pueda esta Muchas voces. &lt;Y si fuese en aldea ? resucitar en el sueIc#portugues. Otras muchas voces. Muera también. «Pido, pues, qué se tomen e&lt;tas resoluciones, no tanto por lo que ellas Sr. Bárjotia: «Pues dígase lugar ó cosa semejante, y muera siempre.” son en sí mismas, cuanto por el efecto moral que han de producir para ater Continuó exponiendo los motivos que le movían á exigir que ce ampliase el rar a los perversos, y prevenir á ios incautos, y para que se vea que á pesar artículo, y conc…</t>
  </si>
  <si>
    <t>Barklamy</t>
  </si>
  <si>
    <t>…iertos por las sobre declarar quién ha de ejecutar lo que se previene en el artículo- 139 de La aguas.” (Diario de Paris^ ' ' Constitución, he mandaron pasar i las cambrones respectivas. No se admitió á discusión la propuesta del Sr. Barklamy relativa á los Fl CZJnh* and Traveiler del,15, deL corriente parece temer un próximo empleados. rompipiiento entre la Puerta y el Egipto, y casi pide claramente la interven El-Sr. Aguiar leyó el dictamen de la comisión de legislación respecto á las ción de las Potencias interesad asen evitar las co…</t>
  </si>
  <si>
    <t>Barra, Anselmo de León</t>
  </si>
  <si>
    <t>Anselmo de León Barra</t>
  </si>
  <si>
    <t>…en diversas épocas del año, habiendo ganado curso 110, y habiendo re teo Herrera de la, Riva: para el de Ledesma á D. José Sahando: nunciado á los estudios los demas por motivos particulares. para la alcaldía mayor de Plasencia á D. Anselmo de León Barra La universidad de Charkoff tiene una dotación de 52 profesores y empleaddas: para la de Alba de Tormes á D. Benigno Martínez Vidal: para dos , y el número de estudiantes asciende á 464. El año anterior SO de los úl la de Albaida á D. Miguel Falcon Abellan : para la de Alniendra- timos acabaron sus cur…</t>
  </si>
  <si>
    <t>Barra, Francisco</t>
  </si>
  <si>
    <t>Francisco Barra</t>
  </si>
  <si>
    <t>…do Estamento. si son ó no admisibles las renuncias hechas, ya sea por enfermedad, ó ya por m^dmeote lo quedó de un oficio del Sr. ministro’ de lo Interior, que falta de voluntad. Este es mi dictámen.*’ , acokpniabá la renuncia de D. Francisco Barra de su plaza de escribiente en la Sr. Latorrc; *&gt; Verdaderamente marchamos por un camino desconocido, y secretaría del Estamento, y nombramiento en su lugar de D. Manuel Varga* no es extraño, porque no han podido tomarse medidas preventivas para cosas Gutiérrez. que aun no se sabia podían existir.. Veo…</t>
  </si>
  <si>
    <t>Barra, Francisco Javier</t>
  </si>
  <si>
    <t>Francisco Javier Barra</t>
  </si>
  <si>
    <t>…lciou de legado al Gobierno. \ 1826, á 24 rs. pasta, 20 rústica y 19 rama. El mismo subdelegado no tardará en remitir la solicitud de Ja di púa tac ion del subsidio de comercio para que se le permita estable Proyecto y Memoria de D. Francisco Javier Barra, comisarlo de ca cer una escuela gratuita de aritmética y principios de geometría minos y canales, é intendente honorario de provincia, sobre ¡a conduc práctica, valiéndose de varios arbitrios que propone. ción de aguas i Madrid, mandado imprimir con aprobacioo de S. M. por Aprovechando otros arbit…</t>
  </si>
  <si>
    <t>Barra, Justo de la</t>
  </si>
  <si>
    <t>Justo de la Barra</t>
  </si>
  <si>
    <t>…os librería dos Robinsoner á Aventuras de Cárlos y Faoy, dos oifios ingleses abandona- —Los que dieron lugar á creer sospechosa la enfermedad, reinante. En los demas pue dos en una isla de América. Relación imitada del togles por D. Justo de la Barra: 3 I! blos déla provincia se disfruta buena salud, no obstante que en algún otro de tomos á 26 rs. pasta.—Numa Pompilio, segundo Rey de Roma. Poema del caballero de Í4a vega existen enfermos de la misma que ha reinado en Granada, aunque con Florlan, puesto eo castellano por el traductor de las Vela…</t>
  </si>
  <si>
    <t>Barraceta, Ramón</t>
  </si>
  <si>
    <t>Ramón Barraceta</t>
  </si>
  <si>
    <t>…tración algebraica de varías reglas prácticas seguidas en flanco con fuertes guerrillas de ambas armas que hicieron fuego ai castillo por el comercio. algún tiempo, dirigiéndose después á tomar el ganado caballar que estaba en el D. Ramón Barraceta extendió su disertación sobre la geografía de Fran prado; lo que no consiguieron , pues para impedirlo salió voluntariamente el cia; parándose principalmente en la parte comercial de las mas notables pla capitán D. Manuel Castell con 12 cazadores y algunos Urbanos de esta vHl* y zas, tanto marítima…</t>
  </si>
  <si>
    <t>Barrantes, Gonzalo</t>
  </si>
  <si>
    <t>Gonzalo Barrantes</t>
  </si>
  <si>
    <t>…is operaciones í toda la amplitud que dieron de sí coronel D. Juan Tran, el alférez de caballería, capitán de la Milicia urbana la» circunstancias y los movimientos del enemigo, según tuve el honor de par de Valenéia de Alcántara D. Gonzalo Barrantes, y el subteniente de infan ticipar ¿ V. E. diariamente desde el 27 al 31 inclusive del próximo pasado Ju tería D. Joaquín Ortega buscaron en lo mas activo del fuego, y sin reparar en lio, en que sucintamente le indiqué haber batido en el día al rebelde Zutnala- ningún peligro, al Sr. general Espart…</t>
  </si>
  <si>
    <t>Barreda, Blas</t>
  </si>
  <si>
    <t>Blas Barreda</t>
  </si>
  <si>
    <t>…nterin 10 con el resto de ia columna precisase de infantería-, de los comandantes de batallón del 2 ° regimiento de granaderos á los enemigos a que aband masen la población -. al rompeT el día, y al grito de de la de provinciales D. Blas Barreda, y D. Juan de Dios Miranda: del te \izti Irt JÍ£JS'a , puesto a la cabeza de nuestros valientes, v seguido de mi niente del Real cuerpo de artillería D. Serapio de Pedro, y del alférez Don ayudante el cap't in de! ligeros de caballería, D. J uan ZivaU , del de U José Lasala: y de mis ayudante*de ca…</t>
  </si>
  <si>
    <t>Barrena</t>
  </si>
  <si>
    <t>…os, y á los procuradores de esta tierra, que lo e.- el ly, y tomó el matizo de las fuerzas de Navarra, reuniendo las columnas del ta¿.igualmente del de los que pertenecen al de esta capital, para que oyendo á brigadier Oráa y del coronel Barrena, con las cuales y la dei coronel Amor sé Jos ayuntamientos me manifiesten en qué pueblos hay necesidad de establecer hallaba en Esteila el 22 para continuar el dia siguiente sobre los facciosos que maestros, y qué arbitrios existen ó pueden adoptarse para su dotación. se habían retirado al Valle de…</t>
  </si>
  <si>
    <t>…to de batir lasxercantas y destruir ique han tenido muchos de los dispersos de la facción de Jóber. cuantos efectos de fabricación tenían allí los rebeldes, haciendo al mismo tiem 0 Parte á que Je refiere el anterior oficio.po ai coronel -Barrena queJcon su columna de tiradores de Isabel n se hallaba en dicha población, pasase á hacer una batida por el monte de Irati, donde se Exorno. Sr.: En la madrugada de este día me da parte el espitan del «gihallaban los armeros y*el abad de Burguete/director del laboratorio de Ja pól Uiíento infanterí…</t>
  </si>
  <si>
    <t>Gaceta de Madrid n.º 307 · extraordinaria</t>
  </si>
  <si>
    <t>…as vinieron por San columna, compuesta de 19 infantes y 14¿) caballos. Gregorio, Muez y Ubago: la 1.a brigada de mi división, dirigida por mí, y »Eraso con tres batallones intentó sorprenderle á media noche; mas no mandada por el coronel Barrena, envolvió la izquierda del enemigo, y se apo logró su intento. Al siguiente día 12 fue Lorenzo atacado por los mismos en deró de la siena, á tiempo que nuestro centro, cargado por dos fuertes masas, el Carrascal % y dejando el convoy escoltado con la fuerza mas precisa, sos estuvo vacilante, y que…</t>
  </si>
  <si>
    <t>…ersona alguna: ért Navaluenga existían en el mis Cada dia toma mas incremento el alzamiento del valle de Roncal, hacia mo día 74 personas con Ja enunciada enfermedad, habían curado 10 y no mu dóbde marchaba el lE del corriente el coronel Barrena, procedente de Pam rió ninguna, quedan do .3 9 en convalecencia, 10 levemente enfermas , y 3 gravesplona, en combinación con el brigadier Linares, que se bailaba en ÍJos el mis mo día. i PROVINCIA DE BADAJOZ. 1 ' • ‘ La gendarmería francesa ha apresado hacia los Alduides 23. cartuchos y Del parte q…</t>
  </si>
  <si>
    <t>…Según relación de los paisanos que hablaron con ellos esta mañana, tuvie fiero se habrá encaminado hoy á las Amescuas sorteando nuestras divisiones. ron el 2u una acción en las inmediaciones de Estella, en Ja que perdieron bas El coronel Barrena con sus tiradores de Isabel ii y 20 caballos de flanquea- tante gente; de suerte que han llegado de caballería sin caballos y de infantería dores se dirigió ayer á Navascues, desde donde me da parte se proponía mar desarmados: ayer anduvieron i 4 horas de camino, razón por la que cuando* yo char al…</t>
  </si>
  <si>
    <t>…mitido dudar, este es un verdadero arcano, pa Figueras y del general Anleo marchaban sobre Zumalacarregui, que se dirigía ra cuya comprensión no bastan nuestros conocimientos fmco-matcmáticoS. al Roncal , adonde debía hallarse el coronel Barrena-, el de igual clase Amor Si seeun ellos se quisiera uno detener un instante á examinar la teoría del con su caballería se habia unido al brigadier Higueras en Monre.il el 22. El manejo de estos tiros, crecen dificultades hasta llegar á la linea de lo impo^ brigadier Linares marchaba el 24 á Ia Canal…</t>
  </si>
  <si>
    <t>…s insignificante si los podemos alcanzar, pues si em- llanura." pre procuran llevarme seis leguas de ventaja , aunque yo haga marchas extraor F.n vista de este oficio he prevenido á las brigadas de caballería del man dinarias. El coronel Barrena, bien empleado y dividido en las avenidas precisas, do del brigadier Marcilla y coronel Amor, salgan para recorrer los puntos puede hacer un gran servicio. que indica el general Anleo, el cual ha marchado hácia Erice; habiendo sabi Mis cuidados son de que por entre columna y columna, á una distanci…</t>
  </si>
  <si>
    <t>Barrena, Manuel</t>
  </si>
  <si>
    <t>Manuel Barrena</t>
  </si>
  <si>
    <t>…los cuales se Sea*. Idaría la- Mayor , en donde se hd de celebrar el acto solemne de su coenta á D. Benito del Rio, miembro de la junta (1), fueron muertos en su dUJsasQ anatscimonto. i . — fuga, y hechos pri^iorierOs el pagador D. Manuel Barrena, el/recaudador de -&gt;}'■ ■ -1 ■'v ^ ;.................... rentas decimales D. Clémcrite Arbizu, D. Angel La rumbe, D, Martín Ortiz Art 1? Abrirá la maVcha una partida de caballería. Seguirán cuatro pa- de Piriedo, vecino dé Madrid, D. Juan Bautista. Dombrazas*, hijo del titula— lafrvneros'y los laca…</t>
  </si>
  <si>
    <t>Barrera</t>
  </si>
  <si>
    <t>…s contiene el hombre la fuerza des.* mas, y por la noche tuvieron movimiento hacia Viscarret, que tal pudo ser ordenada de la naturaleza, ó descubre su oculta energía. Siendo d hombre en ocasión por el temor de que se acercase el coronel Barrera, que como he teni apariencia un ser débil y miserable, con el auxilio de la mecánica extiende sus do el honor de manifestar á V. E. en mi parte de ayer, se hallaba antes de brazos sobre la inmensidad det universo, toma posesión de los torrentes, de los ayer 17 en Navascues, y según mis instruccione…</t>
  </si>
  <si>
    <t>Barrot</t>
  </si>
  <si>
    <t>06/02/1834</t>
  </si>
  <si>
    <t>Gaceta de Madrid n.º 17</t>
  </si>
  <si>
    <t>…de aquella valiente y desven ; ^ había separado del ministerio, pero esta noticia carece de fundamento. turada nación. •&gt; _E1 caballero Vial, encargado de Negocios de España, ha tenido una entre En apoyo de esta propuesta dice el Sr. Barrot que no intenta entorpecer di ¿vista, con lord Palmerston. las negociaciones que el gobierno tenga pendientes ni suscitarle compromisos, n^i Es cierto que el príncipe de Talleyrand se volverá á Francia por el mes antes por el contrario, pretende evitar se diga que la nación francesa mira con dejtiay…</t>
  </si>
  <si>
    <t>Barrot, El Sr Odilon</t>
  </si>
  <si>
    <t>El Sr Odilon Barrot</t>
  </si>
  <si>
    <t>…ueba. i- La divergencia de opiniones qué ha existido en el ministerio, y de que El Sr. Dupin cede la presidencia al Sr. Elienne, uno de los vicepresidentes. tamo se ha hablado, parece que ha tenido su origen en una proposición de lord El Sr. Odilon Barrot pide que después del párrafo 15 se inserte en la res Palmerston , que deseaba enviar tropas á Portugal, y sobre cuya medida se di puesta el siguiente: vidieron los ministras. El Rey fue prevenido por uno de ellos que no apro «La Cámara de Diputados está cierta de que el gobierno de V. M. ha pro bas…</t>
  </si>
  <si>
    <t>Barrot, O</t>
  </si>
  <si>
    <t>O Barrot</t>
  </si>
  <si>
    <t>…£ que ha aounci^dc* ?1 preopinante; analiza después la propuesta del señor Leyraud, y demuestra qúe su aprobación equivale á desechar la ley. Antes de ayer pasó revista el coronel D. Josef Montes, gobernador militar , ^Replica el Sr. O- Barrot, que si bien es cierto que la autoridad municipal y político de esta ciudad, ai batallón de Milicia urbana que en ella se ha for debe tener los medios necesarios para mantener el orden, no se sigue de ahí mado; de cuyas resultas se ha publicado la siguiente orden del día: que debp tener acción'sobr…</t>
  </si>
  <si>
    <t>…que hasta ahora había podido eludir ios esfuerzos de estas valientes tropas, cluye asegurando que la justicia ha tomado conocimiento de este asunto. ha sido sorprendida por mi columna, compuesta del c 3 ligero de infantería, 5 El Sr. O. Barrot dice que supuesto que la justicia ha tomado conocimiento compañías del 18 de linea, Imi c‘/adores de Babel 11 v 12 caballos de ios de de los hechos que motivan esta discusión, se debe esperar el fallo de los jueces, la Guardia Rea!, en e&gt;te pueblo en la tarde de hov, a w ^secuencia de una for y que…</t>
  </si>
  <si>
    <t>Barrot, Odilon</t>
  </si>
  <si>
    <t>Odilon Barrot</t>
  </si>
  <si>
    <t>…La divergencia de opiniones qué ha existido en el ministerio, y de que El Sr. Dupin cede la presidencia al Sr. Elienne, uno de los vicepresidentes. tamo se ha hablado, parece que ha tenido su origen en una proposición de lord El Sr. Odilon Barrot pide que después del párrafo 15 se inserte en la res Palmerston , que deseaba enviar tropas á Portugal, y sobre cuya medida se di puesta el siguiente: vidieron los ministras. El Rey fue prevenido por uno de ellos que no apro «La Cámara de Diputados está cierta de que el gobierno de V. M. ha pro bas…</t>
  </si>
  <si>
    <t>Barru, José</t>
  </si>
  <si>
    <t>José Barru</t>
  </si>
  <si>
    <t>…vicios, acti Francisco León y los sargentos del mismo IX Jn*e Franco, Jo*e Martínez, I Do vidad v zelo del teniente coronel LX Antonio Valdcrnuru, no solo en esta ccamingo Calvera, y los de igual clase de la guardia de infantería D. José Barru- sicra , sino en todo el largo tiempo que hice se le destinó á U persecución d*^ Tia y Tdmas Sierra, cómo también el subteniente de tiradores de Isa ato. ir, malhechores en esta provincia. Dios &amp;c G’fdóba 2T de Abril IX Feríumdo García. calentísimo SrcrsEl comandante genera! interino, Agustín dé Ovi…</t>
  </si>
  <si>
    <t>Bart</t>
  </si>
  <si>
    <t>…os por el mayor de brigada Carvalho, los marineros bajo el y 1 á varias fs. vol. y firme: 48^, f, § y 4 á varias fechas vol. y mando del capitán Liot, y los soldados de marina ingleses á las ■ me á prima de if, f y 4. órdenes del capitán Bart. Los demas quedaron esperando Ja vuelta Vales no consolidados, 13 p. ico á 60 días fecha vol. y firme : 13 por de las lanchas- Di orden á los primeros de que ó tomasen posi 100 á 60 d. f. vol. a prima de i p. loo. Deula oegociab e del 5 p. 100 á papel, 00. ción hasta la llegada del resto de la fuerza ó…</t>
  </si>
  <si>
    <t>Bartaneaban, O</t>
  </si>
  <si>
    <t>O Bartaneaban</t>
  </si>
  <si>
    <t>…Proponen algunos que se declare que no ha lugar á votar sobre la prrm“u-,. á los pacíficos habitantes de París: en fin-, Quiénes eran los que dirigían y capi t3 del Sr. Sazverte p pero este dice que cediendo a ías razones que el Sr. O. Bartaneaban á aquella nupva especie de asesinos. Concluye declarando que si la. rot na manifestado, retira su propuesta. El Presidente-levanta Ja sesior. contestación del ministro no le satisface, propondrá que la Cámara avoque á sí -------Escriben de ArgeL pormenores horribles 'de la muerte que han sufrido do…</t>
  </si>
  <si>
    <t>Barthe</t>
  </si>
  <si>
    <t>…res habichuelas, á 6b ui.: avellanas, á ó 2 id.: almondra*, á 36 id.: centeno., á pecto á éstos puntos es contraria a: espíritu de la constitución. 40 id.: vino, á 38 rs, la carga; aguardiente, a ilu jv id.: aceite, á 10 rv.ri El Sr. Barthe, mimbro de Justicia , rebate los asertos del Sf. Garnier Pa- cuartal: [ ges: manifiesta cuán peligrosas son las máximas que ha enunciado; que ningún Extr-ümydu r a.—^Tvtiji.lo. Trigo , á 32 rs. fanega: cebada, á 17 ¡d, arena, gobierno puede tolerar que se propaguen teorías contrarias á su existenci…</t>
  </si>
  <si>
    <t>…recho, es contraria á por la exaltación ai trono de Isabel ij, y un sermón que predicó el br. párro la ley-fundamental .y .al derecho de todos. co análogo á las circunstancias, y dirigido á inculcar la obediencia a ia legitima El Sr. Barthe, ministro de Justicia, contesta que la responsabilidad de I06 Soberana de las Españas. epcargvHiqsde cumplir la'ley no e$ ilusoria, y por lo mismo no existen en los Almería 12 de Febvtro. Xemor«£ que ha aounci^dc* ?1 preopinante; analiza después la propuesta del señor Leyraud, y demuestra qúe su ap…</t>
  </si>
  <si>
    <t>…de sa que el ministerio ha cometido algunos yerros, como sucede en todo gobier todos los poderes del Estado, y por lo mismo no debe quedar olvidado. no-y en circunstancias tan críticas como las que han rodeado al ministerio de El Sr. Barthe, ministro de Justicia, observa que la propuesta de que te tra Francia , bien que a pesar de todo han sido menos los errores que los que ha ta no solo es una especie de reconvención al gobierno, sino que indica que se brían ocurrido en otra clase de gobierno: «Finalmente, dice, grandes sdn las desco…</t>
  </si>
  <si>
    <t>Barto</t>
  </si>
  <si>
    <t>…nmediata al muelle; Arcos triunfales. Uno en la explanada que domina al muelle, de órden y habiéndose hecho casi á un mismo tiempo á la vela, maniobraron á cierta corintio; su elevación 30 pies sobre Id de anchura; construido por D. Barto distancia en formación de columnas, en lineas de frente ó de convoy, hacien lomé Laffir. do otras varias evoluciones, hasta que figurando avistarse, y puestas en ambas Otro frente á la casa del Sr. teniente de gobernador, de órden toscano, que escuadras las señales de vista de velas y de ser enemig…</t>
  </si>
  <si>
    <t>…ridos en nú Gobernadora, á cuya soberana consideración espero que elevara V. E. el bri mero de 14&gt; y 2 muertos; gran porción de animales de varias especies, mas de llante comportamiento que ha observado en esta ocasión el coronel D. Barto 1$ palmas , muchas de ellas arrancadas de raíz, la cocina , una casa nueva que lomé Amor, comandante general de ambas Riojas, que le hace muy acreedor servia de almacén, casa de molino de pilar café, gallinero, chiquero y algu— á las bondades de S. Mrv-ast- e£uw3^T^s"1S5ientc5 qué recomienda D. Dio…</t>
  </si>
  <si>
    <t>Barto, D</t>
  </si>
  <si>
    <t>D Barto</t>
  </si>
  <si>
    <t>…ieron heridos en nú Gobernadora, á cuya soberana consideración espero que elevara V. E. el bri mero de 14&gt; y 2 muertos; gran porción de animales de varias especies, mas de llante comportamiento que ha observado en esta ocasión el coronel D. Barto 1$ palmas , muchas de ellas arrancadas de raíz, la cocina , una casa nueva que lomé Amor, comandante general de ambas Riojas, que le hace muy acreedor servia de almacén, casa de molino de pilar café, gallinero, chiquero y algu— á las bondades de S. Mrv-ast- e£uw3^T^s"1S5ientc5 qué recomienda D. Dio…</t>
  </si>
  <si>
    <t>Bartolomé</t>
  </si>
  <si>
    <t>…que la animan, y propor cuidado del parque y provisiones las seis compañías restantes del indicado pri cionar un solemne desagravio á la piedad nacional, ultrajada en la mer batallón de la Reina de infantería, ocupando el coronel D. Bartolomé santidad de sus templos y en las personas dé sus ministros, por las Amor con los dos escuadrones de cazadores á caballo, una posición central inmediata á mi cuartel general sobre la desembocadura del puerto de Ouza- abominaciones cometidas en la tarde y noche del Í7 del presente, goitia, con el obj…</t>
  </si>
  <si>
    <t>…heridos, es lamentable sin embargo por la autoridad ha su&amp;pendfdo el cuerpo de gendarmas, ha puesto en poder de la jus muerte del capitán Serrano. ticia al que mató al obrero, y ha mandado formar una sumaria á M. Negre, «Su hijo D. Bartolomé, cadete del mismo regimiento , se hallabaá su lado comisario de policía, que se encontró en el teatro de los sucesos. Todas esta» cuando sucedió esta desgracia', y aunquo rodeado de facciosos, sostuvo aquel medidas han sido aprobadas generalmente, y la autoridad es digna de elogio por triste puesto…</t>
  </si>
  <si>
    <t>Bartolomé'Amor</t>
  </si>
  <si>
    <t>…de este ejército, sin ol mas dos escuadrones de caballería, cazadores de la Guardia Real, con el gefe vidarme del brigadier barón de Mer , gefe de la 2.a brigada de la 1.a divi de la brigada de.caballería á que pertenecen coronel D. Bartolomé'Amor , di sión que en reserva de la izquierda de la línea obedeció las órdenes del geaeral rigiéndome por el camino real bácia Cita villa de Salvatierra para reunirme Lorenzo. con las columnas de Vizcaya*^ y Alava al cargo del mariscal de campo Don Debo elogiar la firmeza, decisión y arrojo del 2.° bata…</t>
  </si>
  <si>
    <t>Bartolomé'Amor, D</t>
  </si>
  <si>
    <t>D Bartolomé'Amor</t>
  </si>
  <si>
    <t>…allería de este ejército, sin ol mas dos escuadrones de caballería, cazadores de la Guardia Real, con el gefe vidarme del brigadier barón de Mer , gefe de la 2.a brigada de la 1.a divi de la brigada de.caballería á que pertenecen coronel D. Bartolomé'Amor , di sión que en reserva de la izquierda de la línea obedeció las órdenes del geaeral rigiéndome por el camino real bácia Cita villa de Salvatierra para reunirme Lorenzo. con las columnas de Vizcaya*^ y Alava al cargo del mariscal de campo Don Debo elogiar la firmeza, decisión y arrojo del 2.° bata…</t>
  </si>
  <si>
    <t>Bartolomé, D</t>
  </si>
  <si>
    <t>D Bartolomé</t>
  </si>
  <si>
    <t>…igiosos que la animan, y propor cuidado del parque y provisiones las seis compañías restantes del indicado pri cionar un solemne desagravio á la piedad nacional, ultrajada en la mer batallón de la Reina de infantería, ocupando el coronel D. Bartolomé santidad de sus templos y en las personas dé sus ministros, por las Amor con los dos escuadrones de cazadores á caballo, una posición central inmediata á mi cuartel general sobre la desembocadura del puerto de Ouza- abominaciones cometidas en la tarde y noche del Í7 del presente, goitia, con el obj…</t>
  </si>
  <si>
    <t>…antinopla refie de línea, y Casariego del 13, no puedo dejar de citar los que cumplieron mis ór ren que una parte de la escuadra inglesa se halla todavía en el puerto de Vbur denes en diferentes puntos, que son los de carabineros teniente D. Bartolomé la , y con intencíonJ'sín duda efe permanecer algún tiempo, pues se han cele Rosclló, subtenientes D. Datmacio Aragonés y D. Fernando Otero, asi como brado contratas paya el abasto de Los buques por cuatro meses. Las tropas que el ayudante dcL mismo cuerpo D. Manuél Ciudad de la Hoz, y el alférez det…</t>
  </si>
  <si>
    <t>Bartolomé, Francisco</t>
  </si>
  <si>
    <t>Francisco Bartolomé</t>
  </si>
  <si>
    <t>…orregido ajgutiOí ftttésót origina dos del excesivo zelo y exaltación. ^ ¡ja de esta columna. «No puedo menos de recomendar á V. S. al escribano dél pue Se Yerma expediente general sobre escuelas, y la.sociedad ecoblo de Villahoz-D. Francisco Bartolomé, que voluntariamente si DÓtnicay se sigue otro sobre universidades^ gue con esta columba, y en la acción se halló siempre al lado deí Se procura difundir la afición á las bellas altes y hacer vaji^» ayudante del 6.a, siéndome útilísimo los servicios que presta por mejoras , ó reformas útiles en lóS…</t>
  </si>
  <si>
    <t>Barutell, Juan Antonio</t>
  </si>
  <si>
    <t>Juan Antonio Barutell</t>
  </si>
  <si>
    <t>…ra Doña Isabel ii, se ha servido nombrar ía, lector de teología, y los PP. Fr. Antonio Victor de Gartes- comandante general de la provincia de la Mancha al brigadier quiz, lector de artes; Fr. Gerónimo de Berzazabal, lector de mo D. Juan Antonio Barutell, que lo era de la de Jaén. ral; Fr. Francisco de Eguiguiza, maestro de artes; Fr. Clemente José de Lecanda, confesor y sacristán; Fr. Ignacio Mericaeche— Exposición (1) del Consejo de Ministros á S. M. la R-EIHá Gm turna, sacerdote; Fr. Bartolomé de Vengoa, colegial corista; berriadora. ir. Francis…</t>
  </si>
  <si>
    <t>Basallo, Alejo</t>
  </si>
  <si>
    <t>Alejo Basallo</t>
  </si>
  <si>
    <t>…ña ni ha habido ¿rf/íV ni la habrá. Este nombre no puede aplicarse en una pierna no quiso retirarse de la arfiion; D. Miguel Gómez, D. Fernan á una situación, triste á la verdad, pues al cabo son españoles los que han mo do Gil y D. Alejo Basallo, que incorporados á la columna marchaban á Za vido una guerra impía a su patria; pero en la cual ni ha estado ni ha podido ragoza. Igual elogio hace el comandante de esta del subteniente del 9.° de línea estar un solo momento indecisa la victoria. La causa de la legitimidad y de la D. Tomas Miranda…</t>
  </si>
  <si>
    <t>Bascarán, Julián</t>
  </si>
  <si>
    <t>Julián Bascarán</t>
  </si>
  <si>
    <t>…to de todos por haberme siempre'en Inscripciones sobre el gran libro al ¿ p* too, oo. contrado á la cabeza de las primeras guerrillas, acompañado de los ayudantes y Dichas id. al 4 p* too, 00. él capitán de infantería de Granada, D. Julián Bascarán, faltaría á mi deber si Títulos al portador de 5 P* roo, y $$ á varias , dentro de ño d., d vol* Id. Id. de 4 P* roo. 48 y 48^ al contado: 48$, i, í, á', é» l y i á varias fs. vol. y no tributase el debido elogio que en esta ocasión han merecido tanto los gefes fírme: 49 á £o días ó voL a prima de…</t>
  </si>
  <si>
    <t>Bascaran’, D Julián</t>
  </si>
  <si>
    <t>D Julián Bascaran’</t>
  </si>
  <si>
    <t>…lo^ ijéipersoftfls .destituidas,. aunque sia habérsele;, ronel del;3,° ligeros: el comajadante de escuadrón agregado ¿ aque /probado delj£í&gt;, por notoria. desafcccíon,ó por sospechas fundadas lla áivisióp t&gt;. Joaquín Sombra, y el capitán D. Julián Bascaran’: de ella- Todos los, que, en el día ocupan destinos considerables ea los oficiales de las compañías de granaderos el 'cápitan D. Manuel los diversos ramos de la administración, son hombres decididos por ; Fuentes Toro, y subteniente ©. Manuel Benedicto, que pasaron la causa legítima de Isabel ir. &lt;…</t>
  </si>
  <si>
    <t>Bascaran’, Julián</t>
  </si>
  <si>
    <t>Julián Bascaran’</t>
  </si>
  <si>
    <t>…persoftfls .destituidas,. aunque sia habérsele;, ronel del;3,° ligeros: el comajadante de escuadrón agregado ¿ aque /probado delj£í&gt;, por notoria. desafcccíon,ó por sospechas fundadas lla áivisióp t&gt;. Joaquín Sombra, y el capitán D. Julián Bascaran’: de ella- Todos los, que, en el día ocupan destinos considerables ea los oficiales de las compañías de granaderos el 'cápitan D. Manuel los diversos ramos de la administración, son hombres decididos por ; Fuentes Toro, y subteniente ©. Manuel Benedicto, que pasaron la causa legítima de Isabel ir. &lt;…</t>
  </si>
  <si>
    <t>Basflio</t>
  </si>
  <si>
    <t>…^té9dtt la fuete»disponible de aquélla provincia enia persecución de los taceio- . J*resigue la discuwqn d0^ proyecto jde. l^y sobre atribuciones de k» ayun • st&gt;5 de las inmediatas., y señaladamente de los que con ei¿ cabecilla D. Basflio tamientos. ^ pagaron d Rioja ,«donde son vivamente perseguidos, solo &gt;c encontraban en Lor SrtSi’Bellatgtíev-'Vienoer, Leyraud rPersil, Montozon . Barbet, P.eyre, riqhelia ciudad tos reclutas y los urbanos. L^lVtbcp,T&gt;, Bárrotjr elministro dé Cobwtio, hacen diverja» reflexione* so Una multitud d« p…</t>
  </si>
  <si>
    <t>Basilio</t>
  </si>
  <si>
    <t>…riosa \ brillante jorna biendo y bajando grandes alturas, obligué á la facción ¿ batirse. Reunidos en da, los gefe* de facción Torre, Urr.tburrí, Goiri-, Aguirre \ Sopelana fdídeafes alturas de Zeanurj, Latorre, Castor, Sopelana, D. Basilio, Goiri é Ibarrola ron para Ubidia, &gt;' tomaron para Zearíuri tan despavorí Jos., que' Sopelana se con algún otro cabecilla, y toda tu gente, estando también, según stf me ha precipitó por la peña llamada Arriando , recibiendo un golpe tbl, que casi dicho, la llamada junta de Castilla , se vieron pre…</t>
  </si>
  <si>
    <t>…al artículo 35 de la Real cédula re De resultas de estos movimientos y los del coronel Tolrá sobre la facción partir 5 por 100 mas á las acciones para complemento del 9 por 100 que cor alavesa, algunos cabecillas, como Sopdana y D. Basilio, hubieron de repasar responde en el año de esta junta. Esta disposición fue aprobada en la junta ge el Ebro, y el segundo se dirigió hicia Rioja , en cuya dirección era ya perse neral de accionistas celebrada el l.° del corriente, y habiéndose procedido acto guido, y lo será con mas actividad á med…</t>
  </si>
  <si>
    <t>…noticias de Grecia anuncian que su gobierno se ocupa activa mente en la revisión empezada ya piar el presidente Capo d’lstria en 1830 de •Eo# polacos han salido de Avenches el 5 con dirección á Berna, donde todos los decretos del Emperador Basilio el Macedonio, que forman la base de la Énas apartados de la Saboya serán vueltos á la libertad. Sin embargo, no podrán legislación civil de los griegos. Todas las disposiciones de este Emperador que •ftllr de lo# distritos que se Jes designen sin permiso dq la autoridad competente. parezcan acomoda…</t>
  </si>
  <si>
    <t>…«h&gt; formiimentc el cargamento, me dice el co órdenes de S. M. Verificado esto me trasladiré^á Cameros en persecución de ronel Cuesta que consiste en 25t&lt;o fusiles, 2uu barriles de cartuchería de fusil, los restos de la facción de D. Basilio, que también ha sido destrozada , y des-de 180 barriles mayores de pólvora, y una porción de /.ipilos ambos puntos daré á V. h. puntuales avisos de cuanto ocurra digno de ponerlo Todo lo que pongo en noticia de Y'. E. para conocimiento de S. M., i en conocimiento de \T. K. quien no puedo menos tic…</t>
  </si>
  <si>
    <t>…oficial J¿b*L.cabecilla "Vifláteal- en el pueblo de Be ruedo, sin duda para llamar la atcq- que fue de ia coaiadurla general de Valures, para que en ei termino de 30 dias acu vfiíop. por aquella parte, suponiendo que su compañero D. Basilio se hallaba aun dan á deducirle en el juzgado referido; apercibidos que de 00 hacer.o les parará per Ten la orilla derecha del libro. En la ciudad de Calahorra quedo restablecido juicio. -------Por providencia del asesor general de la Guardia Real se cita á los sugetos que se I -completamente el ord…</t>
  </si>
  <si>
    <t>Basóla, Santiago</t>
  </si>
  <si>
    <t>Santiago Basóla</t>
  </si>
  <si>
    <t>…as mejores que encontraban al paso, jara que desplegó *us conocimientos militares en la dirección de su columna: como tomaban su pan, vino, y hasta ia ropa á los segadores, y han causado muchas también el entusiasmo y decisión de D. Santiago Basóla, capitán de Ja 5.a com extorsiones, dejando á algunos infelices sin tus yuntas. Según la declaración de pañía de zapadores, y D. Valentín Rodríguez, teniente de la misma, ios sar los pueblos gran su mayor parte oficiales que iban heridos, mandados por un gentos , cabos y,soldados de estas compañías…</t>
  </si>
  <si>
    <t>Bassold, Joaquín</t>
  </si>
  <si>
    <t>Joaquín Bassold</t>
  </si>
  <si>
    <t>…afio. que voluntariamente se unieron 4 la caballería en el acto de dar la carga, cuyo 87b Bilbao par. [Santiago 1 d* servicio han seguido prestando siempre que se ha ofrecido en la persecución del dia siguiente; el de igual clase D. Joaquín Bassold que se incorporó y mantuvo en ANUNCIOS*los puntos d« mayor riesgo durante la acción: lo son asimismo por haber obra do del mismo modo el ayudante de campo D. Juan Zavala, capitán del 4 ° re Obpas que se hallan de veníale* el desfacha de la imprenta Real* gimiento de caballería ligera, el de la plan…</t>
  </si>
  <si>
    <t>Bastan, Rafael García</t>
  </si>
  <si>
    <t>Rafael García Bastan</t>
  </si>
  <si>
    <t>…imiento provincial de fecha de antes deVyer, que en aquel día había batido en la Masía Toro D¡ Juan Llanos, y el de la de granaderos de la OuaTdia Real de Alcota-á la gavilla del mayorazgo de Sarrion, y esperaba volver provincial D. Rafael García Bastan, han practicado un reconq’ci- á'aleanzarle ayer, y que no me dirige el parte detallado de aquella miento por los montes de Toledo, después de haber asegurado en acción porque se lo exigió el capitán de su cuerpo D. Antonio Alcázar de S. Juan los fondos del Gobierno, para averiguar el pa Falcon, dic…</t>
  </si>
  <si>
    <t>Bastida, Rufino de la</t>
  </si>
  <si>
    <t>Rufino de la Bastida</t>
  </si>
  <si>
    <t>…o mas cuando en el tiempo en que estamos las dé los guias de Zumalacarregui, y con él á la madre de dos de los urhános en excepciones no soh ya de moda, y los privilegios indican siempre algo de des cerrados, llamadas D. Julián y-D. Rufino de la Bastida (con la circunstan potismo. cia de que uno de ellos dejó el lechó en que estaba postrado por el cólera) pa- -&lt; «Estos principios inconcusos halló yo aplicados en el artículo que presen ra intimarles que si no entregaban Sus hijos y compañeros las armas, la pon ta el Gobierno, y qué ya ha sido adopt…</t>
  </si>
  <si>
    <t>Basto, Pinto</t>
  </si>
  <si>
    <t>Pinto Basto</t>
  </si>
  <si>
    <t>…e la mañana .dijo el Sr, Presidente : Está abierta la no tenían tiempo para dar los suyos , como porque en la clase menesterosa ha sesión. / - bía personas tan preocupadas/que resistían avisar que se hallaban^ indispuestas El Sr. Secretario Pinto. Basto anunció que sé hallabaú en la sala 88 seño* pprque na- las llevasen á los hospitales: que en fapcopbo hablan muerto desde res Diputados. 17 a 21 del corriente 61 personas; en Roa 3p, desde el 19 al 21 del mismo, Dióse cuenta denlos motivos por qué no te bailaban presentes en el Esta** y desde el 20…</t>
  </si>
  <si>
    <t>Basuaho, Francisco de Antuñano y</t>
  </si>
  <si>
    <t>Francisco de Antuñano y Basuaho</t>
  </si>
  <si>
    <t>…oria no puede ser dudosa mientras la Puerta se man Doña M. I. B........... ................... .................................................... 20 tenga tranquila; pero si esta, lo que no es imposible, quisiera aprovechar una D. Francisco de Antuñano y Basuaho, por una vez................................ 4®® ocasión tan buena para resarcir sus recientes pérdidas, ó hubiese excitado quizá Dona B. y P.......................................................................................... 4-9 indirectamente los ánimos de los rebeldes para que reclamasen s…</t>
  </si>
  <si>
    <t>Batanero, Alfonso</t>
  </si>
  <si>
    <t>Alfonso Batanero</t>
  </si>
  <si>
    <t>…pase á la villa de Limpias á remover los obstáculos que pa correspondiente al mes de Agosto último................. ............................. 27J ralizan las abras'del muelle de aquella ria, y á ponerlas en acción con arreglo D. Alfonso Batanero.............................................................................. 320 i la contrata que ha celebrado la ¡unta directiva para la construcción de 184 y Sr. contador principal de Pósitos por la suscripción de Agosto. ,., 26 medio pies linéales con tas demas-dimensioacs que expresa el plano aprobado D. Jambo María Parga. ..............................................…</t>
  </si>
  <si>
    <t>Batanero, Vicente</t>
  </si>
  <si>
    <t>Vicente Batanero</t>
  </si>
  <si>
    <t>…ración lo dispuesto en mi Real decreto de cuanto no se oppngan á esta instrucción. . .. . 26 de Marzo-ó lumoyhevertido en mandar, que sean extrañadas de , Art. 8í Los exámenes de maestro» y maestras que hasta ahoya 1 estos reinas D. Vicente Batanero; canónigo :dé la santa iglesia cate- se han verificado «nty, las juntas ele «tpital, se yerificarán en Jo tsu^ ' dral de Cttettca, y D. JoSéTarin, cura párroco de ViHarejo de Fuen Césivo por uña coqiision especial de maestros ó maestras tes, f que'‘se ocupen sus temporalidades; Tendrfisk» entendido…</t>
  </si>
  <si>
    <t>Batberan, Lorenzo</t>
  </si>
  <si>
    <t>Lorenzo Batberan</t>
  </si>
  <si>
    <t>…as to y memorable üjij» *$!?.Sr .nuestra augusta Reina,Qbbernadora$ yyal jniscompañías en posición á la falda del monte, y el comandante accidental de es mo tiempo la ^^Fapaqn ^e. taségijrar á los tenedores de las accionas emi ta D. Lorenzo Batberan dispuso flanquear con una fuerte guerrilla la posición tidas ( jl .y '&lt;Jf, «vlwésés, que se satisfarán puntual y relijjjíóde los enemigos, bastando este movimiento para que los rebeldes se pusiesen en sameñie'ljs; r^top/jQpypngádós/debiendo presentarlas al efecto desde .de Ju-' precipitada fuga hác…</t>
  </si>
  <si>
    <t>Batí, Mariano Ruiz de Molina</t>
  </si>
  <si>
    <t>Mariano Ruiz de Molina Batí</t>
  </si>
  <si>
    <t>…s efectos de tan terrible pla cial 2.* 2.° del Gobierno civil de Teruel, para que había sido nombrado, ga el celo, cariñoso cuidado y puntual asistencia de los facultativos D. Jós¿ S. M. se ha servido conferirlo en 2 del actual á D. Mariano Ruiz de Molina. Batí les y D. .Manuel Massip y Fonte, aquel de Valencia y este de Cactelfoa de la Plana, que se habían prestado i trasladarse i dicho pueblo de VilLareal Por Real ó edén de L* del actual han sido exonerados de sus respectivos. pata socorrer a su afligido vecindario: que mereciendo consideración el estad…</t>
  </si>
  <si>
    <t>Batida, Celestino de la Encina</t>
  </si>
  <si>
    <t>Celestino de la Encina Batida</t>
  </si>
  <si>
    <t>…ta, en donde continúa abierta la 87 compañía fie seguridad, poniendo uña reserva a las órdenes del teniente Suscripción1 Por providencialo inismó qi^ueSr.en Balsera,la» provincias.teniente corregidor de ésta villa, refrendada del Don Celestino de la Encina. Batida lá sierra , al llegár á la cúspide á favor ésciibano Gaooa y Loecbes , se cita á los parientes é interesadas a los bienes qué han de una densa niebla, encontré la facción, compuesta de"25 hombres; y á pe quedado por fallecimiento zbintesrato de D. Manuel Mana Nóvale», vecino c)nc fue sar de lo frag…</t>
  </si>
  <si>
    <t>BaTthe</t>
  </si>
  <si>
    <t>…ndador de una sociedad electoral este objeto serán sancionadas por la Dieta, y comunicadas despu.es y el segundó de la titulada Ayúdate y el cielo te ayudará* y, el-, i la Confederación helvética en nombre de todos los Estado» de Sr. BaTthe, también ministró, fue Individuo de la sociedad llamada dq Alemania. los carbonaris \ extrañando por lo mismo que ahora sostengan'unos La misma Gaceta dice que varias cartas remitidas por un ale principios políticos tan opuestos á los que entonces defendían, cosa mán natural de Colonia, y residente…</t>
  </si>
  <si>
    <t>Bau, Juan</t>
  </si>
  <si>
    <t>Juan Bau</t>
  </si>
  <si>
    <t>…los exá ron cinco lanchas tripuladas por facciosos, que al aproximarse quedaron prisio menes públicos de los alumnos de su escuela gratuita de matemáticas, estable neros, y en ellas los individuos que á continuación se expresan : D. Juan Bau cida en la Real casa lonja de esta ciudad bajo la dirección del catedrático Don tista de Arana, titulado comandante general de Vizcaya: D. Félix Antonio Onofre Jaime Novellas. de Berrueta, secretario de ia llamada junta de agrav-os; su hijo $ibi»; O. To En el primer dia D. Lorenzo Presas, recorrien…</t>
  </si>
  <si>
    <t>Baubet, José Sánchez</t>
  </si>
  <si>
    <t>José Sánchez Baubet</t>
  </si>
  <si>
    <t>…D. Francisco dos hijos del Sultán, y despuea fueron h caballo 4 visitar al gran visir y al Angueira, por la Beneficencia, cuadro núm. 28. Segundo: á D. Gabriel José seraskáer-bajá. _ ¡ Mastrati, por La Danae, núm. 16. Tercero: á D. José Sánchez Baubet; por él grupo de Laoocon. ____ Hé aquí un ejemplo del lujo y séquito inmenso que llevan los goberna Cabezas. Primer premio: á D. Agustin Pérez, por el rostro del Salvador, dores generales de las Indias británicas. En el último viage que lord VVilliam Cuadro núm. 24. Segundo: á D. José Gabriel Mastr…</t>
  </si>
  <si>
    <t>Baude</t>
  </si>
  <si>
    <t>20/02/1834</t>
  </si>
  <si>
    <t>Gaceta de Madrid n.º 23</t>
  </si>
  <si>
    <t>…de Mier. = Juan de Andrade. = Felipe Celis.= Félix Ruiz.= Principia ía discusión sobre el proyecto de ley relativo al aumento del cuer Josef Félix de Gaztelu. = Julián Pió González Calderon. = Ccferino Hernan- po de gendarmas. El Sr. Baude cree que no urge tanto como se dice él hacer dez. = Juan de S. Juan. = Josef María Rea. = Rafael Díaz Arenas. = Ramón este aumento: disculpa lps excesos que han cometido los habitantes de la VenSolana. dée, y concluye manifestando: que si bien no se opondrá á que se apruebe^ste PARTE NO OFICIAL. pr…</t>
  </si>
  <si>
    <t>…ón ni medios para reprimir los delitos que se cometen en diversiones de los días anteriores, y por ia noche iluminación general, sin que varios puntos de Francia. desm.ivase el entusiasmo, ni &gt;e interrumpiere el orden publico. El Sr. Baude confirma lo dicho por el Sr. Salverte, citando lo que ocurrió Todos los vecinos manifestaron su fidelidad a la sucesión directa, v no de á un conocido suyo en el dia 22 de Febrero: termina diciendo que en su sen be pasarse en silencio el generoso desprendimiento de Fulgencio Garrido, quien tir el g…</t>
  </si>
  <si>
    <t>Baudieu</t>
  </si>
  <si>
    <t>…eval; das en los campos y en muchos corrales. Han perecido muchos cuadrúpedo» el Duquesne, de 80, capitán Casi; Néstor, 74, capitán Gaultier; Toulon, bajo el granizo, y se han encontrado algunos cadáveres humanos arrastrados id., capitán Baudieu; y de tres fragatas; la Dijo, de 66 cañones, mandada por por la corriente de los ríos, que han salido de madre. (Diario del Gers.) Regaudit, y en donde tiene su insignia el contraalmirante Masieux dé Cereval; la Artemisa, de 54 cañones, mandada por Mr. Laine; la Se lona, de 40, ____Un huracán que s…</t>
  </si>
  <si>
    <t>Baunach</t>
  </si>
  <si>
    <t>…ndo la cogieron con las armas en ¡a mano,por premio y responsabilidad el 4 por 100 de lo que recauden y en espera su sentencia. Después de este suceso recibió orden la compañía del asutreguen á los repartidores ó tasadores. dante general Baunach de perseguir una partida de 2oO hombres. Asistí con 71 En las capitales de provincia donde no hay audiencias, y en mis soldados á esta expedición, y nos costo mucho trabajo esperar el momen todos los partidos, los jueces, cualquiera que sea su. denominación, to de principiar el ataque , y dé libertar…</t>
  </si>
  <si>
    <t>Bausá</t>
  </si>
  <si>
    <t>…s rápidos sucesoshicieron que ei brigadíer Ysrto, que desde Guevara marchaba hacia Alegría con dos batallones, seíretirase súOlegar allí, prácti- Parte sanitario de 27 de Octubre. l¡cando :ló ¡misma: separadamente desde Durana el coronel Bausá ¡con otros dos batallones, reuniéndose todos en Vitoria sin pérdida alguna la noche del mis Pueblo*. Días. Enfermos* Curados. Fallecidos. mo día. ■ “ ' El siguiente 28 por la mañana, con noticia de^ie&gt;se oía fuego hácia Ar riera, y calculando que este podría ocasionarlo la defensa que aun.hiciesen…</t>
  </si>
  <si>
    <t>Bautista, Juan</t>
  </si>
  <si>
    <t>Juan Bautista</t>
  </si>
  <si>
    <t>…e que falleció. El Sr. D. Serafin García, médico vocal consultor, hartad 7 que falleció. Arte poética de M. Boileau Despreaux, traducida en veno sueleo castellano* y dedicada á la clase de poética del Real Seminario de Nobles por D. Juan Bautista dé El-secretario D. Francisco Antonio Moreno. Arriara. Un tomo en 8*°* a 6 rs. rama y 10 pasta Ana. Esta obra, considerada por al Individuos del ayuntamiento y junta municipal de Sanidad. délogunosdelcomogéneroei códigoque llamande la literaturadidáctico modernaen su.ejecuciónen la materiay desempe…</t>
  </si>
  <si>
    <t>…. A., llegué á la aldea de Zina: habién entre la punta de Bará y la playa de S. Salvador, habiendo venido embarcado dome encontrado el dia antes con los rebeldes, los ataqué y puse en fuga ha en el bergantín sardo el FenSmeno, su capitán Juan Bautista, á quien la tripu ciéndoles perder de 80 á 90 hombres. Reuniéronse.al dia siguiente en la aldea lación apellidaba Bachicha. de Deir, delante de Zina; llamé á mi lado á Selim-bajá y á los generales de Romagosa traia tres despachos dél Pretendiente que están unidos al suma brigada. Atacados los rebel…</t>
  </si>
  <si>
    <t>Bauyo, Francisco de Paula Salas y</t>
  </si>
  <si>
    <t>Francisco de Paula Salas y Bauyo</t>
  </si>
  <si>
    <t>…~ de Cangas de Tineo á D. Pedro Pidal: para la de Grandas de Salime • á D. Manuel Queipo de Llano: para la de Llanes á D. Bernardo ____El ] O condujeron los gendarmas desde Sara un soldado faccioso qqn Sande: para la de Luarca á D. Francisco de Paula Salas y Bauyo: ha deseitado del Bastan, adonde vino en la escolta de los heridos en número para la de la Pola de Labiana á D- Facundo Vaidés He vi a: para la de 4u , que lo fueron en la acción de 1.* del corriente en Artara, y ha dicho de la Pola de Lena á D. Rodrigo Castañon: para la de Pravia á Don que toda la…</t>
  </si>
  <si>
    <t>Bavoux</t>
  </si>
  <si>
    <t>….” (Mensagero.) causas que le mueven á hacerla. El Sr. Lafite lee otra proposición sobre desagüe de pantanos y lagunas, re ESPAÑA servando explicarla también en la sesión del dia 28. Abanilla (reino de Murcia) 13 de Diciembre. El Sr. Bavoux propone que »se restablezcan las disposiciones del código civil acerca del divorcio*'; añadiendo que cree inútil exponer las razones en que El ayuntamiento de esta villa, siempre sumiso y obediente á los manda se funda para hacer esta proposición: la Cámara suspende hasta el dia 28 el tos de la Reí…</t>
  </si>
  <si>
    <t>…. la Cámara debe desechar la propuesta. .... lancia is¡fr«i|p3lto'cua^os vayan á refugiarse á la sombra La Cámara conviene con el .parecer del ministro de-Hacienda. Se principia de aquella j^júbpi». ~ á discutir la' propuesta del Sr. Bavoux sobre «restablecer la ley que pcxmitextí divorcio.” t ' :■ ; i ^ bélgica. El Sr. Merlin recuerda que esta propuesta- se- ha presentado ya tres vccés'á Bruselas 25 de Febrero. la Cámara, y siempre con poderosos adversarios; que aunque ha sido aprobada PódeSsaíasegirrar dé la rnifiéra' mas positiva q…</t>
  </si>
  <si>
    <t>Bay, Antonio</t>
  </si>
  <si>
    <t>Antonio Bay</t>
  </si>
  <si>
    <t>…. los alféreces D. Manuel Fabro, D. Anselmo Blaser, D. Francisco Escobar y — Real instrucción ó reglamento adiciona) de la ordenanza de reemplazos de 27 de Ocrubre de 1800 : uo cuaderno en 4.°, edición de 1819 á 4 rs. eu rústica. D. Antonio Bay mandaban las guerrillas primeras unidos á las compañías de ——Discurso pronunciado en la Real iglesia de S. Isidro de esta corre, por el doctor cazadores de Africa, que mandaron el teniente D. Fermín Zaso y el alférez D. Antonio de posada Rubin de Celis, canónigo de la misma, et día 20 de NoviemD. J…</t>
  </si>
  <si>
    <t>Bayard</t>
  </si>
  <si>
    <t>…3 misma proporción de los países mas cultos de Europa. francos:) (D. de los D.) -a——Un Diario de Alemania dice que el subsecretario de Estado de Portugal, -El banco de Lóndres ha dejado cometer por negligencia en sus oficinas, el caballero Bayard, que fue á Munich para entregar la espada que D. Pedro un robo que ha sido ya funesto á muchos cambistas de París, y que debe ins legó al duque de Leuchtemberg, salió el 10 de Noviembre para Londres. pirar graves temores á todos los negociantes que comercian con la Inglaterra. Un empleado de este b…</t>
  </si>
  <si>
    <t>Bayer</t>
  </si>
  <si>
    <t>…la enfermedad rei- en como muriese 1361, se puede que refiere dicho dudar no solo ricojudio que el añude namefqt^.ia yunta dé Sanidad de U provincia, el gobierno civil y la» d«p« Mariana, sino que.fundadas en una observación del Sr. Bayer sobre la inscripción de personas eucai gachí dé la «alud pública bacian cuanto podían para proporcionar Toledo, quieren probar con certera que no pudo haber muerto antes delaño de 1366. reconotí loa pueblos.,btenque no rehallaban en disposición de -subsanar lasti ——Introducción al estudio de la Ast…</t>
  </si>
  <si>
    <t>Baylin, Pedro</t>
  </si>
  <si>
    <t>Pedro Baylin</t>
  </si>
  <si>
    <t>…y circulación. Dios guarde &amp;c. Madrid 7 establecido; he venido en nombrar para presidente de él al mar de Febrero de 1834-=Aranalde. ques de Campo Sagrado, para ministros militares á D. Gabriel MINISTERIO DE MARINA* Mendizabal y D. Pedro Baylin por el arma de infantería: á Don Francisco del Pino por la de artillería: á D. Manuel Pueyo por la Real orden. de ingenieros, ,y i D. Francisco Ramonet por la de caballería: S. M. la Reína Gobernadora se ha dignado conferir la ca para ministros togados á D. Joaquín Sistemes , D. Juan José De pitaní…</t>
  </si>
  <si>
    <t>Bayod, Luis</t>
  </si>
  <si>
    <t>Luis Bayod</t>
  </si>
  <si>
    <t>…tanciado, me actual del comercio de aquella plaza , y ha propuesto á su junta que medite so apresuro á poner en su noticia que acabo de batir completamente á la facción bre la utilidad de establecer una lonja en ella. mandada por D. Luis Bayod, y compuesta de 72 hombres, en las inmediacio También ha consultado á la misma junta el ayuntamiento y la sociedad eco nes de Aguaviva, matándoseles al capitán José Torres y 50 individuos, cogién nómica sobre el establecimiento de un lazareto de observación. 1 doseles 5 prisioneros, de los cuales d…</t>
  </si>
  <si>
    <t>Bayon, Joaquín Alvarez</t>
  </si>
  <si>
    <t>Joaquín Alvarez Bayon</t>
  </si>
  <si>
    <t>…Amareleja, que habia llegado á esta el mismo dia 2 , sabia que el dia do y son acreedores á las gracias que S. M. tenga á bien acordarle*. Capitanes: 21 de Febrero á eso de medio dia habia entrado en aquella aldea Batalla , gefe D. Joaquín Alvarez Bayon, D. Miguel Oasct. Tenientes: D. Baltasar Novelia, de una guerrilla constitucional; que á la mañana siguiente rodeáronla aldea las D. Buenaventura Tomás, D. Nicolás Collard. Sargentos primeros: D. Tomas guerrillas enemigas de Moura y Serpa, y Batalla cayó sobre ellos, les mató 19 Espiriquiti, D. Ale…</t>
  </si>
  <si>
    <t>Bayon, Manuel Martin y</t>
  </si>
  <si>
    <t>Manuel Martin y Bayon</t>
  </si>
  <si>
    <t>…lcalde mayor de Priego. Portillo............. .. 1 á 24 Oct......... No consta. No consta. 35 También se ha servido jubilar á D. Gabriel Gutiérrez, alcalde mayor Santervas. .... . 18 Set. á 11 Oct. Idem.. Idem. 18de Valladolid: á D. Manuel Martin y Bayon, alcalde mayor de Burgos; y á D. Antonio Ramón Careaga, alcalde mayor de Aranda de Duero. Asimismo se ha servido nombrar S. M. la Rein a Gobernadora, en ca PROVINCIA DE ZAMORA. lidad de interinos, para la alca'día mayor del partido de NaVahermosa á Don Manuel de Benavides: pata la de Igualada á D.…</t>
  </si>
  <si>
    <t>Bayona</t>
  </si>
  <si>
    <t>…los: solo se les anigna al_ trabajo, á la buena conducta y á la economía, por cuyo medio podfán llegar á CAMBIOS. obtener la preferencia que concede la ley justamente á los que, son Ámsferdatrt, 00. Alicante á corto pla Granada J d. Bayona, 00. zo par. Málaga par. mas interesados en observarla. Burdeos, -oo. Barcelona á pesos fs. Santander id. Las modificaciones hechas después al reglamento, ya con res Bamburgo, 00. ib. Santiago 4 d. pecto á las milicias formadas én las provincias por los capitanes Ldndres á 00 días 37^ Bilbao par. S…</t>
  </si>
  <si>
    <t>…á consecuen CAMBIOS. cia de la constante persecución de las tropas, las facciones de Montañés y Co- Amsterdam, 00* París, 16-J k 6. Cádiz, 14 b. Sevilla ,4 b. nesa han abandonado el partido de Daroca, no parando hasta Castellote, don Bayona, 00. Alicante, acorto pla- Corana, 4 &lt;5* Valencia, 4 id. de se.hallaban el dia l.°, y en donde debían ser perseguidos por nueves fuer Burdeos, 00. zo, 4 b* Granada, id. Id. Zaragoza, 4 d. Haraburgo,00. Barcelona, á ps. fs., Malaga , 4 b. Descuento de letras, zas que había reunido hacia aquel punto.…</t>
  </si>
  <si>
    <t>…la d¡- Acciones del basco espafiol 100. ▼isioh territorial para la consumación de la quinta, seria una in CAMBIOS. justicia, después de haber manifestado .las mas principales, negar Amsterdam, 00. Alicante á corto pía- Granada 4 d. Bayona, 00. 10 4 d. Málaga par. el debido tributo de elogio al excelente espíritu de los pueblos, que Burdeos , 00. Barcelona ápesos fs. Santander Id. se han prestado generalmente á esta operación con aquel entu Hamburgo, 00. ib. Santiago 1 d. siasmo y sinceridad que logra siempre en nuestra nación la cau…</t>
  </si>
  <si>
    <t>…es. 11 al contado: llj y llj a 60 d. f. ó vol. Acciones del banco español, 00. CAMBIOS. PROVINCIA DE lOGRORO. Amsterdam, 00. París, 16-3. Cidiz, 1* ij b. Sevilla, i b. Resulta del oficio que en fecha 3 del presente ha remitido su gobernador Bayona, 00. Alicante, 4 corto pla Corulla , } d. Valencia,* 44 M. ’ 00*. Burdeos, zo, i b. ld. d. Granada, Zaragoza, * i civil, que desde 26 de Setiembre á 2 dél mes de la fecha fallecieron en‘aquella Humburgo, 4 00. Barcelona, ps. fs.. Málaga, 1 b. Descuento dé lrrras, capital 22 personas y curaron 3; y…</t>
  </si>
  <si>
    <t>…J, í, Acciones del banco español, 00. Huesear; y se proponen los medios de que florezca la plaza de Car1' Cambios. tagena. Se ha remitido á la dirección de Montes una exposición sobre Amsterdam, od. Alicante á cortd pla Granada f d. Bayona, 00. zo i á. Málaga par. el destrozo de los de Ricote. Burdeos, 00. Barcelona á pesos is. Santander Id. Se ha prestado la debida atención al ramo de pósitos, y se ha Hambufgo, ob. ib. Santiago 1 d. oficiado al ayuntamiento de aquella capital para que dé razón exac Ldndres á 90 dial Bilbao par. Sevi…</t>
  </si>
  <si>
    <t>Bayona, Joaquín</t>
  </si>
  <si>
    <t>Joaquín Bayona</t>
  </si>
  <si>
    <t>…e ia» dificultades que ofrecía U ocuReal xuerpp de artillería , y teniente D. Blas Royo: del, brigadier barón de ridad y un terreno t,n montañoso y quebrado: ai amanecer de hoy me encon Meer, de los coroneles D. Tomas de Yat'to , D. Joaquín Bayona, D. Bruno traba va sobre Urigoiti , que hu.e circunvalar á la d.rtancia competente por las Alftiz, D. Francisco Javier Ezpcleta,y del teniente L). José María Badillo, in compañías de cazadores y tramperos al mando del captan D- Fehx Samzilj dividuos todos pertenecientes al 4-° regimiento de granade…</t>
  </si>
  <si>
    <t>Bayona, Josef</t>
  </si>
  <si>
    <t>Josef Bayona</t>
  </si>
  <si>
    <t>…er Id. sin Ínteres, 00. I medades de la villa del Casar de Cáccres. ' dicciones del banco español, 80¿ «1 cootadeh Ams-terdam, oo* i6*i. Oídla * b. Jerlll» par i | d. -1 Tratado tabre el molimiento y aplieackmet de lae aguas: por D. Josef Bayona v oó. Alicante á corto pla Corulla | d« Valencia par. [ JMariano Vallejo. Tres, tomos en 4.0; Madrid 1838. Precio de suscripción 102 Burdeos, 00.' zo ^ b. Graoada i| fd. Zaragosa | d. 00- A* m burgo, Barcelona á pesos fs. de letras b. Descuento Málaga | M 90 diaa I reales: de renta 120. Idndrci i a…</t>
  </si>
  <si>
    <t>Bazan, D Miguel Pardo</t>
  </si>
  <si>
    <t>D Miguel Pardo Bazan</t>
  </si>
  <si>
    <t>…Sr. Cano Ma Se mandaron pasar á la misma comisión de Poderes los presentado* Con nuel , y por secretario al Sr. Cezar. El Estamento quedó enterado. los documentos justificativo* de su aptitud legal por el Sr. D. Manaei Montes El Sr. D. Miguel Pardo Bazan, Procurador electo por la provincia de de Oca, electo Procurador por la provincia de Cádiz. Pontevedra, presentó los documentos justificativos de su aptitud legal que pa La comisión nombrada para ei eximen del presupuesto del ministerio dé saron á la comisión de Poderes. Estado dio cuenta de haber…</t>
  </si>
  <si>
    <t>Bazan, Miguel Pardo</t>
  </si>
  <si>
    <t>Miguel Pardo Bazan</t>
  </si>
  <si>
    <t>…Osonó, por id. , id.’ , . t D. Sebastian Cuesta, por Pontevedra, por estar pendiente de consulta rz-‘ Se abrió ¡ lai once menos cuartor:y .leida el acta de la anterior quedó rías dudas sobre su elección. 1 1 ' i f aprpbada.- ,.. D. Miguel 'Pardo Bazan, por ¡d. , por efiferenó. ’ J ' ^ ... Se pasaron..á la comisión de, Poderes lqs d¿l Sy. D. Alvaro de Navia y parques de-la Vilueña, por Soyia, por id. . ‘ ; ‘ 1 Osorio, Procurador electo por la^proqiiicU. de Oviedo, acompañados de loa, D. Ramón Ciscar, pór Tarragona, por el cólétfa. 'J ’ documentos…</t>
  </si>
  <si>
    <t>…L MARTES 14 DE OCTUBRE DE 1834CORTES. la provincia de Lugo, en que manifestaba que no habiendo podido presentarse antes en el Estamento, remitía sus poderes y documentos justificativos por me BITAUBKTO D £ SEÑORES PtOCSIB^ dio de D. Miguel Pardo Bazan , para poder jurar en el mismo dia en que »c presente; jr de otro de D. Manuel ^María Vázquez Queipo de Llano, elect» Sesión del día 13 de Octubre. Procurador por la misma provincia, manifestando que restablecido algún tan to de sus dolencias, se pondría inmediatamente en camino para presentarse ¿…</t>
  </si>
  <si>
    <t>…Cano Ma Se mandaron pasar á la misma comisión de Poderes los presentado* Con nuel , y por secretario al Sr. Cezar. El Estamento quedó enterado. los documentos justificativo* de su aptitud legal por el Sr. D. Manaei Montes El Sr. D. Miguel Pardo Bazan, Procurador electo por la provincia de de Oca, electo Procurador por la provincia de Cádiz. Pontevedra, presentó los documentos justificativos de su aptitud legal que pa La comisión nombrada para ei eximen del presupuesto del ministerio dé saron á la comisión de Poderes. Estado dio cuenta de haber…</t>
  </si>
  <si>
    <t>Bazarra, Simón de Pazos y</t>
  </si>
  <si>
    <t>Simón de Pazos y Bazarra</t>
  </si>
  <si>
    <t>…ría de Propios de Ponteve 6,325. . 5000............... .. . . Madrid. dra , vacante por salida de D. Víctor García á segundo de la estafeta de aquella 11,380. 2000................ ... . Idem. ciudad, se ha servido nombrar S. M. á D. Simón de Pazos y Bazarra. 7,6,76. 1000..................... • • • • Murcia. 2,9/0. 1000..................... ... • Valladolid. „ S,M, la Reina. Gobernadora se ha servido suprimir las plazas de ofi-, 6,712. 1000..................... cíales primero y segundo del archivo de la dirección general de pósitos ínterin 8,388. 1000..…</t>
  </si>
  <si>
    <t>Bclda</t>
  </si>
  <si>
    <t>…pueden repararlos ó hacerlos castigar, quejándose á Jas autoridades : si son nos á la opinión del Sr. Tórremela , á la cual yo suscribo enteramente.” contra el Gobierno, ó pueden nacer de faltas de este ó de insultos á él: si El Sr. Bclda deshizo una equivocación, manifestando que la caución exi— lo primero, lejos de ser abusos, el mismo Gobierno debe alegrarse que se Je gida eq Francia para los periódicos era de 503) francos, y no de ÍOUS. adviertan para corregirlos, y si lo segundo tiene toda la fuerza para castigarlos. Sr. Palare…</t>
  </si>
  <si>
    <t>…ido, y después de leída nueva diezmos de cera. Posteriormente se.confirmaron estos privilegios después de la mente la petición, quedo aprobada. batalla famosa del río Salado; y asi continuaron hasta D. Juan i , el cual les El Sr. Secretario Bclda anunció iba i procederse ¿ la discusión de la peticonfirmó los mismos privilegios, y estableció el de asadura niajcr y menor. ticion sobre mostrencos, la cual leyó) y es del tenor siguiente; Por manera, que lejos de quitar este gravamen ó disminuirle, se puso mayor, Señora: »Debiendo ser ilusorias…</t>
  </si>
  <si>
    <t>…venes.” que puede causar á las familias la ausencia de los propietarios mayores, y de la. El Sr. López, del Bario: «En orden al sorteo, podrán sustituirse los gente de mas facultades de los pueblos, pues cómo ha dicho muy bien el Sr. Bclda, medios que indica el Sr. Secretario del Despacho de Hacienda; mas yo voy á los jornaleros no entrarán en este número, porque están exceptuados del alista hablar sobre una dificultad que me ocurre en un punto én que convienen la miento. En cuanto á que todos los años se da cuenta por el Gobierno de…</t>
  </si>
  <si>
    <t>Bcloso, Antonio</t>
  </si>
  <si>
    <t>Antonio Bcloso</t>
  </si>
  <si>
    <t>…echosos, que hasta ahora no resultan caracterizados, y de este modo confio guez de. Soto, D. José Moreno, D. Francisco Javier Garay, D. Joaquín en poder preservar ¿ estos pueblos de tan horrible azote. García, D. José de Vivero y D. Antonio Bcloso: en álgebra D. Faustino Do Policía general. Me be dedicado á U formación de una matrícula general, mínguez y D. Juan Pardo y Silva;'en geografía elemental D. Pablo Carcafio, de que carecía esta provincia, para de este modo lograr todos los ma&gt;ores pro D. Andrés de Castro , D. Robustiano Pequeño, D.…</t>
  </si>
  <si>
    <t>Bcloso, José de Vivero y D Antonio</t>
  </si>
  <si>
    <t>José de Vivero y D Antonio Bcloso</t>
  </si>
  <si>
    <t>…D. Angel Domín sospechosos, que hasta ahora no resultan caracterizados, y de este modo confio guez de. Soto, D. José Moreno, D. Francisco Javier Garay, D. Joaquín en poder preservar ¿ estos pueblos de tan horrible azote. García, D. José de Vivero y D. Antonio Bcloso: en álgebra D. Faustino Do Policía general. Me be dedicado á U formación de una matrícula general, mínguez y D. Juan Pardo y Silva;'en geografía elemental D. Pablo Carcafio, de que carecía esta provincia, para de este modo lograr todos los ma&gt;ores pro D. Andrés de Castro , D. Robustiano Pequeño, D.…</t>
  </si>
  <si>
    <t>BcltMéjó, Secretarlo</t>
  </si>
  <si>
    <t>Secretarlo BcltMéjó</t>
  </si>
  <si>
    <t>…' que Competen al Esta- él; parp lo cual se hará la lectura del proyecto de ley fiel. Gobierno » y. La dol pi^ito en él:punto ¡áte peticiones. Para esto conviene hacer préviamente algunas dictámen de la comisión.” - En seguida el Sr. Secretarlo BcltMéjó dícbo proyocta y ^ djetámen ú» WPMMHWt1!' de 42 q mac las Forjuqn dirigen ,ál Sr. Prefidew lq cotnipion, que, dicen asit , ' «Slg de,ie!las; cpwea. :lr&gt;« trámites que señala el mismo ■ r,eEtí^ñípVy;ctfa^^;«maídoél,dictatiKn;del»s tt,&lt;»comisíones.»,se,da-euerf; Proyécto. del Gobierno. 11 lá^jCónyt^,…</t>
  </si>
  <si>
    <t>Bcnitcz, Lorenzo</t>
  </si>
  <si>
    <t>Lorenzo Bcnitcz</t>
  </si>
  <si>
    <t>…s pueblos de esta provincia, hasta ver concluida la obra de cementerios, losf columna móvil de la Mancha al mando del capitán de caballería 3.° Ligeros ayuntamientos expresarán en los testimonios que remitan el obispado á que cor D. Lorenzo Bcnitcz, siendo su resultado haberles muerto A facciosos, cogido responden , como ya les e*tá prevenido, y espero* de su zeta que cooperarán efi 2 caballos, porción de armas, ropa, cananas y herraduras, dispersa la facción, cazmente í que esta circular c?oga el zeus cumplido efectp. Soria 18 de Fcbre- I qu…</t>
  </si>
  <si>
    <t>Bcntinck</t>
  </si>
  <si>
    <t>…n tres dias y me* - cion-napolitana, con arreglo al sistema que los ingleses habian intioducrdo efe dto. Entre los 29 paugeros que ha desembarcado hemos visto al Sr. de Mendi- Sicilia hace algunos afioi, bajo la administración'de lord Bcntinck. (Idtmi) rabal, quien inmediatamente salió para Quciuz, donde ahora está la corte , y fue recibido con singulares muestras de aprecio por el Emperador y familia -.-. .Resulta de lai últunas cuentas que ha presentado la sociedad de Caridad .Real. La Rema tuvo particular contento ai saber que traía pa…</t>
  </si>
  <si>
    <t>Bcrmudez, D Pedro</t>
  </si>
  <si>
    <t>D Pedro Bcrmudez</t>
  </si>
  <si>
    <t>…an la renta á fin de poder dar la comisión su dic— Habiendo hecho igual pregunta el Sr. Presidente respecto, del proyecto dé támen Asi se aprobó. . ley sobre responsabilidad de los jueces, contótó el Sr. Fleix, que por Id deli El Sr. D. Pedro Bcrmudez, Procurador, por la provincia de la Corulla, cado del asunto aun no se habia podido concluir. ■ remitía su voto conforme con lo acordado por el Estamento en la cuestión so El Sr. Presidente manifestó que su 'ojeto al hacer estas preguntas era únibre excluir de la sucesión de la corona al Infante D.…</t>
  </si>
  <si>
    <t>Bcrmudez, Pedro</t>
  </si>
  <si>
    <t>Pedro Bcrmudez</t>
  </si>
  <si>
    <t>…a renta á fin de poder dar la comisión su dic— Habiendo hecho igual pregunta el Sr. Presidente respecto, del proyecto dé támen Asi se aprobó. . ley sobre responsabilidad de los jueces, contótó el Sr. Fleix, que por Id deli El Sr. D. Pedro Bcrmudez, Procurador, por la provincia de la Corulla, cado del asunto aun no se habia podido concluir. ■ remitía su voto conforme con lo acordado por el Estamento en la cuestión so El Sr. Presidente manifestó que su 'ojeto al hacer estas preguntas era únibre excluir de la sucesión de la corona al Infante D.…</t>
  </si>
  <si>
    <t>Bcrnabea</t>
  </si>
  <si>
    <t>…nte de miento infantería, 13 de línea, con fecha l.3 del comente, desde Andorra m© plana mayor D. Ignacio de Emparan; el subteniente adicto á ella Ó. Leandro dice lo que vopio. Excmo. Sr. El capitán de e»tc regimiento de mi cargo Don Bcrnabea, sobresaliendo por su tino y oportunidad en comunicar las órdenes; Juan Hostal me dice desde Alcaine con fecha de ayer lo siguiente; Habien cl alférez adicto también D. Manuel Rodríguez lito; el comandante del bata do sjltdo anoche del pueblo de Montalban con cl cuarto pelotón compuesto de llón de…</t>
  </si>
  <si>
    <t>Bcrnardino, Rafael</t>
  </si>
  <si>
    <t>Rafael Bcrnardino</t>
  </si>
  <si>
    <t>…m- León, (la sociedad económica de) I penosamente á humillar á los R. P. de V. M. y su soberana consideración es— Los Velez. (ci alcalde mayor de) íta mi sumisa y respetuosa insinuación, en medio det mas acerbo sentimiento Mera. (D. Rafael Bcrnardino de) I por la dolorosa muerte de mi augusto Soberano, el mejor de los Monarcas, cuy* Mérida. (el ayuntamiento de) I piadosa alma en paz descarna, gozando el eterno premio debido á tu» heroicas Motril, (el ayuntamiento de) I y ejemplares virtudes. N-jcra. (el alcalde mayor y ayuntamiento dh^ I Ya que un…</t>
  </si>
  <si>
    <t>Bcrtrand</t>
  </si>
  <si>
    <t>…ahora vemos. Kt voto mas Al tratar del capítulo, 18, en que se piden 2.611,000 francos por suple extenso con la elección directa hubiera, producido U república ó cosa semejan mento á la dotación de la legión de Honor, propone el general Bcrtrand que te ; el voto universal coa el sistema concejil, los dos grados y U influencia de i dicha suma se aumenten 723 francos para pagar Jas pensiones correspondien la gran propiedad, hubiera producido seguramente una mayoría legítima en los tes á los soldados que durante los cien dias fueron condecora…</t>
  </si>
  <si>
    <t>Bctcgon, Cirios</t>
  </si>
  <si>
    <t>Cirios Bctcgon</t>
  </si>
  <si>
    <t>…IRogelio Peña, Jaime Serrano, Francisco Carrera , José Morcll , Cayetano Co mansa y provincial de Compórtela , mandadas por lo* capitanes D. Vicente llado, Vicente Oliver y Fernando Alfaro, siendo este último del regimiento Ruiz, D. Cirios Bctcgon y el teniente D. Ramón Pardo , con las que marchó infantería de Zaragoza. El mismo biigadier Linares me ha recomendado tam también la de granaderos de Al mansa ccn el capitán D. Félix Saraza. bién especialmente al ayudante de plana mayor y mi secretario de campana A las doce y media de la noche empre…</t>
  </si>
  <si>
    <t>Beaklamy</t>
  </si>
  <si>
    <t>…aumenta de día en día; saben muy bien que no tienen ra Aprobada el acta de la última sesión se dió cuenta de varia oficia y zón , porque nunca han amado sinceramente la democracia; no tienen razón á exposiciones.- eft Seguida el Sr. Beaklamy dijo que por consecuencia de la los ojos de la Francia, porque ata no quiere ni el voto universal ni la legiti proposición que habia hecho en 10 del corriente , presentaba otra ptdirndó midad , desechando juntamente lo uno como término, y lo otro como me me establezcan reglas para clasificar y repo…</t>
  </si>
  <si>
    <t>Beatriz</t>
  </si>
  <si>
    <t>…a pasado á Vizcaya por el Elorrio con toda su gente, reales, es de aprovechamiento de dichas tres villas, trayendo su origen dé la ceperseguido por las tropas. (Boletín de Alava.) sión que el Rey D. Alonso el Sábio hizo á su hija Doña Beatriz, Reina de Portugal, de las villas de Moron, Serpa y Dora; y como esta última era en tonces aldea de Aroche, quedó en contienda entre las villas, habiendo adqui Madrid 16 de Agosto. rido después derecho á su disfrute la de Encinasola. Las desgracias que siempre han ocurrido con motivo de la concurre…</t>
  </si>
  <si>
    <t>Beaulieu</t>
  </si>
  <si>
    <t>…ratado; pero las bio tenia motivos para creer resuelta cuando salió de Golha; y que las causas circunstancias son muy delicadas; Portugal se baila en un estado que exige in de su no recepción son independientes de la política. El capitán Beaulieu vol mediatos y prontos socorros. verá á Berlín-en calidad de encargado-interino de Negocios. (Independiente■) ____ El Courier habla de este tratado, pero muy por encima. Anuncia que al INGLATERRA. reconocimiento de Doña María por la corte de Madrid , se ha seguido el nom bramiento del Sr. Perez de…</t>
  </si>
  <si>
    <t>Beaulíeu, M</t>
  </si>
  <si>
    <t>M Beaulíeu</t>
  </si>
  <si>
    <t>…Ya está del todo restablecida la tranquilidad; pero ,1a triste impresión que FRANCIA. han producido estas sangrientas escenas no se ha borrado todavía, ni se borrara en mucho tiempo. {M» de Suezia.) Parts 14 Mayo. INGLATERRA. El capitán M. Beaulíeu, ayudante de campo de M. Goblet, «lió de Bru Lóndres 10 de Mayo. selas para volver á ejercer en Berlín su destino de encargado de negocios: según Fondos públicos. Tres por 100 consolidados 92$. el Correo se trata de nombrar á M. de Muelcuaere ministro plenipotenciario en Parker trata de hacer en br…</t>
  </si>
  <si>
    <t>Beauvisage, Mr</t>
  </si>
  <si>
    <t>Mr Beauvisage</t>
  </si>
  <si>
    <t>Gaceta de Madrid n.º 208</t>
  </si>
  <si>
    <t>…nsatos se establecerá naturalmente entre todas las naciones, entre los subditos Londres, k o0 días, 4 á 4 id* Santander, ¿ b. k 4 p« 100 al año. y sus gobiernos por medio de una instrucción racional. J8f. Bilbao, par. Santiago, ¿ d. . • Mr. Beauvisage : A la unión de los fabricantes )Jde los obreros. Mr. Payen: A la exposición europea* Después de las mira* generosas que han mostrado mis compañeros , y que están profundamente grabadas en nues ANUNCIOS. tros corazones, no dudo que acogeréis también este voto filantrópico. ¡Ojala que veamos abierto…</t>
  </si>
  <si>
    <t>Becerra</t>
  </si>
  <si>
    <t>…gahi y de que hdlindólos confpnues, tas da bienes vinculados, verificada* en virtud del decreto de las pórtés de! afío era de parecer que debian aprobarse. Asi se acordó. . - -1820\ diócuenfa da haber nombrado para decano suyo al Sr. Becerra., y para Ent/ó i jurar, y tomó asiento dicho seBor. . secretario al Sr. Puche y Bautista. 1 El Sr. VkipritUente ■■ »SeBons, tengo algún motivo para creer que uno ' ' Se léyóla proposición siguiente del' Sr. Cueste: »Pido al Estaroentóíe de los Sres. Procuradores que usó dé la palabra eñ la sesión de…</t>
  </si>
  <si>
    <t>Becerra, D José</t>
  </si>
  <si>
    <t>D José Becerra</t>
  </si>
  <si>
    <t>…r la ley es reprimir las vejaciones que se cometían 8e abrió á Jas doce. Leída el ecta de la anterior , quedó aprobada so color del fisco contra los legítimas poseedores; pero de ningún modo privar Entró á jurar y tomó asiento el Sr. D. José Becerra, Procurador por la él Estado de su legítima representación, de esta especie de sucesión universal á provincia dt Lugo. .' todos los bienes sin dueño conocido. Y ai'modo que un particular pudiera diEl Sr. Presidente anunció que la comisión encargada de examinar el pro rigit su acción contra otro, se…</t>
  </si>
  <si>
    <t>Becerra, José</t>
  </si>
  <si>
    <t>José Becerra</t>
  </si>
  <si>
    <t>…aiVs de fija residencia , el que ote casado con e-pafiol» ria , y repique de campanas. El Estamento quedó enterado. con fanjulia ,^eÍ que hava servido en defensa de la nacám y de su* libertades ea También lo quedó de un oficio de D. José Becerra, electo Procurador por Ui injustas invasiones de Boaapartc y Angulema, y lo baya comprobado coa</t>
  </si>
  <si>
    <t>…ley es reprimir las vejaciones que se cometían 8e abrió á Jas doce. Leída el ecta de la anterior , quedó aprobada so color del fisco contra los legítimas poseedores; pero de ningún modo privar Entró á jurar y tomó asiento el Sr. D. José Becerra, Procurador por la él Estado de su legítima representación, de esta especie de sucesión universal á provincia dt Lugo. .' todos los bienes sin dueño conocido. Y ai'modo que un particular pudiera diEl Sr. Presidente anunció que la comisión encargada de examinar el pro rigit su acción contra otro, se…</t>
  </si>
  <si>
    <t>Becerra, José Ramón</t>
  </si>
  <si>
    <t>José Ramón Becerra</t>
  </si>
  <si>
    <t>…n9 ri * Decanos y Secretarios de ellas entre los individuos de su seno , conforme á lo ' D. Manuel Vázquez Queipo de Llano, pór Lugo, pór enfértribl ' : prevenido, en el Art. 33 del reglamento, y cerro la sesión pública para que D. José Ramón Becerra, por idí , pór hallarse arreglando sci'n¿¿dtuiírH&amp;--’ dar en secreta. mésticosa ndesorganizados.ul. _ A li. _ _ por--- —1 causa de su1CdilatadaJ 1' -J k —emigración.c — - — • •» * ‘ SSTAHHNTO EE EXOCUXAOOXia. , . Sesión del &lt;é.de. Setiembre. 1 . ' TX. Alvaro Navía y Osonó, por id. , id.’ , . t D. S…</t>
  </si>
  <si>
    <t>Bedo</t>
  </si>
  <si>
    <t>…ta ciudad. La jus viembre desde Logroño de no ocurrir novedad en la linca del Ebro, y que en ticia no ha encontrado nada en casa de los presos, que pueda comprometerlos: consecuencia se 6onia en marcha para Haro, permaneciendo el general Bedo en el cuarto de Mr. Bupzen no ha habido mas que tarjetas y una pipa trico ya éa Casa la Reina. lor, que conservaba cómo memoria de su hermano.: El brigadier López, reforzado con un escuadrón de caballería del l.® li Una orden de la policía prohíbe bajo las penas mas severas los tiros de gero, debía…</t>
  </si>
  <si>
    <t>Bedoya</t>
  </si>
  <si>
    <t>…isión y curación. sicneros, incluso el cabecilia , con los que entró en Bilbao en aquel día. En el 5. a Cuántos son los gastos de administración, y los demas que?se causan mismo llegaron á aquella villa las columnas deí mando del brigadier Bedoya y anualmente eit el establecimiento, poniéndolos con toda individualidad: cuán- del coronel Iriarte, que habían perseguido las facciones de Casíor y demás de s los recursos con que cuenta en la actualidad para subvenir á ellos: cuántos las Encartaciones, y entraron también en dicha provincia de Vizca…</t>
  </si>
  <si>
    <t>…tomado igual determinación despidiendo á los sobre las Encartaciones para desviar sin duda de Vizcaya las fuerzas de Castilla cinco miserables que le seguían , según lo uno y lo otro me comunica desde que obran allí al mando del brigadier Bedoya; pero despreciados sus movi Beceite con aquella fecha el brigadier D. José Sta. Cruz. mientos /hubieron de retirarse para reunirse con otros; y atravesando el Ebro, "La gavilla de Mestre estaba ayer en e»te termino reducida á 11 indiv*— penetrar en Rioja , acercarse al territorio que recorre Merino…</t>
  </si>
  <si>
    <t>…sterio de Guerra se han recibido hoy los sieuientes partes, que dan idea de los movimientos combinados de las tropas de S. M. sobre Navarra. Al propio tiempo otras fuerzas de Castilla habrán obrado sobre Vizcaya á las órdenes del brigadier Bedoya, par tiendo de Puentelarrá y Ordufia. Gobierno militar de la provincia de Alava. r= Excmo. Sr.: Con la mayor satisfacción elevo al superior conocimiento de V. E. copia del oficio que acabo de recibir del Excelen tísimo Sr. general en gefe de este ejército , marcada con el núm. l.°, asi como la de l…</t>
  </si>
  <si>
    <t>…esta ciudad, y con fecha tíe^ro dei Ca&amp;iillo, havcnido en nombrar poí ReaLdecreto á D* Vicente Irles, de.28 déi interior Febrero, remite copias de dos oficios que ha recibido del l|¿£fJP£° ds Aibayda, en la diócesis de Valencia. brigadier Bedoya, el uno desde Sopuerta con fecha de 21 del mismo, y otro desde Aumurrio con la del 25. En el primero dice que despues.de haber hecho la primera batida sobre la ííübstttí» Saht6 ^adre Gregorio xvrypor su Bula dirigida ín 28 ’de Enerd facción de Castor desde Orduña por diferentes puntos de Alava, Viz…</t>
  </si>
  <si>
    <t>…ayer, y sario. hoy remitiré la enunciada causa al mencionado alcaide mayor para su conti El capitán general de Castilla la Vieja, luego que supo este movimiento nuación, como V. E tiene prevenido.” dé los .facciosos, mandó que el general Bedoya con su columna bajase á Lo Dios &amp;c. Cuartel general de Bnviese* 30 de Noviembre de 1834*=Exgroño, dejando asegurados los puntos de aquella orilla del Ebro, para poner celcnttsimo Sr^sjosé MansosEscmo. Sr. Secretario de Estado y del Despa-~ se en comunicación con el brigadier López que se hallaba en…</t>
  </si>
  <si>
    <t>…épcáminabaii por diversas direcciones 4 su provincia, sien ,-sesion.. -'•■'••- do. pétseguidos p6f las íropas al toando ‘del brigadier Espártelo. l- . ■ Hh despacho telegráfico1 de Lyon anuncia con fecha de hoy que han sido ; E1 brigadier Bedoya había tfsjfaí&gt;Iec»do columnas móvílés^a! apero de fos. presos Ios-cabecillas de la sed itiOn que excitaban fia poblacioñ de Saint* Etienne plintos fuertes de Ordi/fía,’Valftiaseda y Castrourdiáles, para impedir la réá tomar las armas , y que la tranquilidad se ha restablecido. union de las CueYzas’…</t>
  </si>
  <si>
    <t>…nos, depcndietilM «MícabeéiHaitu-; ' Idem IWerra da hoy , 5* . : , - r:. ; ’ .-i. ... ::: . ti:.’J r ij í c .aquí, que lo lian verificado enBUbeó- lar fuerzas reunidas del generat Esparten»' Muertec^Zs-; ‘ '--'.t-' t , : it y ¿el brigadier Bedoya„que ahuyeritarqá de "Vizcaya á ZumatacaTregui, buf- . Curadpa&gt; 4* : -p httdb^íei-pTeyecHts jaé liabian' separado :la*&lt;&lt;Ml general Espartero principiaban TyrVi., .^Wflpwi^-iPPTODWbluu: t.&gt; - . . -- -.1*- a .1 A subdivídirse en. las guarniciones. dcHibaf j, lequj:¡itoK Alarqtüna:y otraspara Con fójKa…</t>
  </si>
  <si>
    <t>…la, la de Santa Cruz, linda con Castilla, á excepción de Castor,que con sus restos huía hacia Laredo. Viiiarubia de Santiago y Colmenar de Oreja, y cuyo primer remate ha de ve El coronel Iriarte perseguía á c**re muy de cerca, el brigadier Bedoya mar rificarle el dia 15 del mes actual; el segundo el 2 de Marzo, y el término del chaba tras de aquellos en dirección de Aramayona, el brigadier Jáureguí se en cuarto para el l.° de Abril. Las personas que quieran enterarse en esta corte de caminaba al mismo punto d--sde Oñate, y las columnas del…</t>
  </si>
  <si>
    <t>…utamente te tdñtaseH dineros por impuesto ni repartimiento vecinal, expre gón, se dirigía al Roncal con el fin de proteger el alzamiento de aquel varié. sando S. M. la Reina Regenta Gobernadora, que las muestras de cordialidad El brigadier Bedoya, que salió de Bilbao sobre las Encartaciones para impedir y beneficencia serán el obsequio mas grato á su corazón , y el testimonio mas los planes de ios facciosos por aquella parte, estaba el 5 en Gordejuda, y lo* solemne de amor y de lealtad en los pueblos á su legítima Soberana; se lamen enemigo…</t>
  </si>
  <si>
    <t>…alentos superiores; pero en cambio hallará una doctri quedando en dar oportuno aviso de su resultado, al cual se prometía que con na propiamente evangélica, verdadera y sincera, expuesta de tal modo que la en tribuiría también el brigadier Bedoya con su columna. tienda basta el mas rudo. Se baila en el despacho de la imprenta Real. El diputado general de la misma provincia le daba parte con igual fecha Los suscriptores á la colección de novelas históricos originales españolas, se ser del 8 do que por las noticias que había adquirido le cons…</t>
  </si>
  <si>
    <t>…de su derecho, El capitán general de Castilla Ja Vieja desde Búrgos en 12 del corriente hasta el fin del año para empezar en esta ¿poca los importantes trabajos de la traslada á este ministerio el parte recibido con la del 8 del brigadier Bedoya, nueva legislatura. {Monitor.) comandante general de la división de Castilla en Vizcaya, sobre el resultado de las últimas operaciones, cuyos detalles son los siguientes: «La división quo — TW barrios opuestos de esta capital se han alborotado de resultas de dos el día 4 *alió de Bilbao, marchó reu…</t>
  </si>
  <si>
    <t>…la secretaría de Estado y del Despaeho de la Guerra. desdeñarse de combatirlo aunque estuviese seguro de la victoria. Esto nos hace volver la vista á nuestra prensa periódica, y observar la triste El coronel Quintana comunica al brigadier Bedoya en 11 del comente el diferencia que hay entre los pasados y los presentes tiempos. Hubo un tiempo, parte siguiente remitido ¿ este ministerio por el capitán general de Castilla la y no está todavía muy lejos, en que la prensa francesa se recomendaba por su Vieja. dignidad y moderación, era admirada…</t>
  </si>
  <si>
    <t>…fuerza y en la moderación. Coloca i 1 as Potencias que U&gt; han nizado ebn las IrOpaS precedente* da Castilla f Galicia una-división i Jas ¿rfirmado en el terreno, de la verdad , que el porvenir fecundizará; porque.es po dettes del brigadier Bedoya, que se compondrá de tres brigadas: la 1.* i lis ór lítica el porvenir está siempre de parte de la Justicia y de la rabón, que tienen denes del brigadier D. Fermín Iriarte* la 2.a á las dét coronel I&gt;. Juliap Oliun lugar distinguido en el tratado de 22 de Abril. Pira demostrarlo no tene vares Manza…</t>
  </si>
  <si>
    <t>…ronelTolrá con su columna, fuera de qtraprojraciá¿ 'dé la' msíifíéccion, inrentaban sublevar el cedente. de Vitoria que el 16 estaba en Salvatierra. is. Todo guaba preparado, coma en diversas ocasiones he tenido la honra dé • El- brigadier Bedoya seguía en la persecución de los restos de Castor sobre fórñiár á V. E., para inutilizar las pérfida/asechanzas de la usurpación, que las montañas de los confines dé Vizcaya y Castilla; ' tío airApcéda dé ¿arfe ¡ r^pródúcé s|tí desaliéñtój pór mas desengaños qiie'tenga, ' t sil? iftf'áñiés rehrátivá…</t>
  </si>
  <si>
    <t>…toña otros 15 hombres, quedando con el sentimiento mo punto se agregaron también 2o infante» y 14 caballos del batallón y es de no poder facilitar los 2üO que en el dia lu le pidió el gobernador de San cuadrón de la .Princesa. Ei brigadier Bedoya dejando en La Nestosa con las tander por haberse presentado los rebeldes en las cercanías de aquella ciudad, á úa-frucciones convenientes, un destacamento de carabineros costas y fronte la que remitió sin embargo porción de municionas , única cosa de que podía ras que al intento se habia trasladado…</t>
  </si>
  <si>
    <t>…Viamanuel, yvde El cantan general de Castilla la Vieja desde el monasterio de Rodilla con acuerdo con S. E. detar las providencias que nos pareciesen mas confirmes p r* fecha 17 del actual traslada á este ministerio un parte del brigadier Bedoya, ia defensa de la villa y casa fucile, colocadas de antemano tres p ezas de aiti-</t>
  </si>
  <si>
    <t>…ajudiciales, asi como «El ministro de S. M. en Lisboa disfruta en el día 240;9Q0 la de haberse pasado varios de la facción. rs.; y en el caso de restablecerse nuestras relaciones con Usódehus «El Gobierno sabe que la división del general Bedoya, que defendía la Potencias solo se le señalan 200,000 rs. Supuesto que esta dotación sé orilla derecha del Ebro, ha pasado,d la.izquierda, para auxiliar las operaciones considera suficiente pera d decoro de un Ministro jn aquella corte, del general Mina; por manera que tenemos en aqOel.punto un aum…</t>
  </si>
  <si>
    <t>…ha cansado: esto me obli En este momento se me asegura que las noticias que he dado arriba »ot* gará á alojarla , á menos que no reciba antes de verificarlo órdenes de V. E. El ciertas, y que el oficio que fue dirigido anoche al brigadier Bedoya y coman comandante Inurrigarro sin darme noiicias de la facción ha marchado con el dante de Durango Jo interceptaron los facciosos cerca de este pueblo. En este batallón de voluntarios á ocupar el crucero entre Elorrio y Elgueta. Aquí se país se apura la paciencia por U imposibilidad de comunicacione…</t>
  </si>
  <si>
    <t>22/02/1834</t>
  </si>
  <si>
    <t>Gaceta de Madrid n.º 24</t>
  </si>
  <si>
    <t>…había tenido un encuentro ventajoso con los enemigos de aquella ción y explotación estoy reuniendo datos para reconocerlas con oportunidad, provincia. habiendo ya tomado disposiciones á fin de encontrar algunas de yeso , cuya Eí brigadier Bedoya y el coronel Iriartc obraban en las Encartaciones so materia apena* se usa en la fabricación de edificios. bre los reatos de Castor , Torre y otros cabecillas. losando después á hablar de lo» avuntamienfos, díte que habiendo encon . La columna de la Guardia tveal que salió de Madrid se había adelanta…</t>
  </si>
  <si>
    <t>…coronel Cosío y Hacnburgo , 00. Barcelona á ps. fi. Malaga par. Descuentos de letras otras que de continuo maniobraban en las merindades de Castilla á las órdenes ¿.¿odres 1 90 dial ib. Santander id. á 4 p. 100 ai año del activo brigadier Bedoya, han inutilizado los planes de los facciosos en todo J7Í« Bjlbao par. Santiago j d. aquel país, sin dejarles engrosarse, antes bien debilitándolos por medio de U mas eficaz persecución, habiendo conseguido sobre ellos varias ventajas, ANUNCIOS. El comandante militar de Búrgos avisa con fecha 23 del…</t>
  </si>
  <si>
    <t>…herido el cabecilla Vilella, bolsa 01 couBxcio.—Cotii^dp* de hoy 4-LÓn' tres de Ip tardes, que mandaba aquella parte. • , ’ fc : • " ■» ■ rSqf vémeot. inscripciones Sbbre él gran libro áf/pi too, 00. J - - '-i ‘ Par e! parte del brigadier Bedoya, con fecha 17 del actual desde Otafiezj Dichas id. ti 4 p: 100,00. . 1 i¡ I resalta haber conseguido por efecto de las marchas combinadas de las tres co Títulos al portador de j. p. 190,00. , lumnas dé su mando, que la facción del"rebelde Castor baya desertado en la Id. Id. de. 4 por 100, 474, i, •…</t>
  </si>
  <si>
    <t>…ulidad de los faccio tander hasta Entrambasmestas, donde variaron de dirección hacia Carriedo y sos en cuanto no recurren á la vergonzosa huida ó baja Inicio»; y recordando Selaya, denotando la intención de regresar á su país. El brigadier Bedoya, que las recomendaciones que se me hacen por él teniente coronel S. Pedio, ruego ve hallaba en Villarcayo, salía con su columna i obrar en combinawon con á V. E. se digne hacerla muy apecial de este benemérito gefe y del capitán de el brigadier Iriarte, que desde Espinosa se dirigía al valle de Rue…</t>
  </si>
  <si>
    <t>…despina te Estado sanitario de Or¡huela. nia allí detenidos con efectos para el comercio de esta, y en uno de ellos 22 Invadidos. enfermos de nuestra columna, y 12 cajones de balas que ha cogido á los ene Existencia del migos. El brigadier Bedoya con las columnas de Castilla que están á sus, Órde Días. di» anterior. G ra v es. Leves. Total. Curados. Fallecido*. nes., me dio aviso el. 19' desde Llodio, que noticioso de que la Facción de Tor res el de desde se había marchado valle de en número hombres, y Luqui,. 23 4 69 118 29 20 19 se legua…</t>
  </si>
  <si>
    <t>…ue periigue vivamente á Zavala hacia los confines de Poblaciones* Días. del día Total. Curados. dos. Guipúzcoa, el cüal ha tenido mucha deserción después que fue batido el 14 anterior. Graves. Leves. en Ermua; y mientras tanto el brigadier Bedoya con la división de Castilla opera sobre el valle de Arratia y la parte occidental del señorío, al apoyo de lá'pacificación del país délas Encartaciones, donde se sigue con fruto el siste Bacna................ 21 74 25 25 - 124 9 12 después de aquel Manso. adoptado general el recorrer Este general,m…</t>
  </si>
  <si>
    <t>Bedoya, D Ramón</t>
  </si>
  <si>
    <t>D Ramón Bedoya</t>
  </si>
  <si>
    <t>…os de Isabel ti y la compañía de cazadores de Africa, batió á mi derecha el bosque , tocando el término de Espinal y Burguete, adonde se Núm. 1.® «Excmo. Sr.: A mi llegada á esta, que se verificó sin novedad había dirigido el Sr. brigadier D. Ramón Bedoya con la brigada de la 5.a di á las cuatro y media de la tarde de ayer, indagué que las juntas de Navarra y visión , continuando por Viscarret á Roncesvalles los coroneles Carrera y GurGuipúzcoa, reunidas en Jucnvilla con el 6.® batallón de Navarra y algunos ala rea, cada uno con una columna de 4°U h…</t>
  </si>
  <si>
    <t>Bedoya, D Ramón Gómez</t>
  </si>
  <si>
    <t>D Ramón Gómez Bedoya</t>
  </si>
  <si>
    <t>…tarde continuó su fuga á Saldias , extendiendo la voz que se trasladarme i esta villa con las divisiones 1.*, 4-* y brigada de la 5.*, al cargo dirigía á Elizondo. Prosigo mañana su misma direcci' n , habiendo desp chado del Sr. brigadier D. Ramón Gómez Bedoya ,1 fin de marcar bien la direc tus expreso á Irurzun para los Sres. general Anleo y bng.d er Figueras. ción i intenciona de aquel, comunicando las órdenes oportunas á los Sras. ge El cuerpo de ejército que me acompaña, rebosa en cmuslasmo y decisión neral Anteo y brigadier Figueras, para que hicies…</t>
  </si>
  <si>
    <t>Bedoya, Ramón</t>
  </si>
  <si>
    <t>Ramón Bedoya</t>
  </si>
  <si>
    <t>…el ti y la compañía de cazadores de Africa, batió á mi derecha el bosque , tocando el término de Espinal y Burguete, adonde se Núm. 1.® «Excmo. Sr.: A mi llegada á esta, que se verificó sin novedad había dirigido el Sr. brigadier D. Ramón Bedoya con la brigada de la 5.a di á las cuatro y media de la tarde de ayer, indagué que las juntas de Navarra y visión , continuando por Viscarret á Roncesvalles los coroneles Carrera y GurGuipúzcoa, reunidas en Jucnvilla con el 6.® batallón de Navarra y algunos ala rea, cada uno con una columna de 4°U h…</t>
  </si>
  <si>
    <t>Bedoya, Ramón Gómez</t>
  </si>
  <si>
    <t>Ramón Gómez Bedoya</t>
  </si>
  <si>
    <t>…tinuó su fuga á Saldias , extendiendo la voz que se trasladarme i esta villa con las divisiones 1.*, 4-* y brigada de la 5.*, al cargo dirigía á Elizondo. Prosigo mañana su misma direcci' n , habiendo desp chado del Sr. brigadier D. Ramón Gómez Bedoya ,1 fin de marcar bien la direc tus expreso á Irurzun para los Sres. general Anleo y bng.d er Figueras. ción i intenciona de aquel, comunicando las órdenes oportunas á los Sras. ge El cuerpo de ejército que me acompaña, rebosa en cmuslasmo y decisión neral Anteo y brigadier Figueras, para que hicies…</t>
  </si>
  <si>
    <t>Bedoya-debian</t>
  </si>
  <si>
    <t>…bluu: t.&gt; - . . -- -.1*- a .1 A subdivídirse en. las guarniciones. dcHibaf j, lequj:¡itoK Alarqtüna:y otraspara Con fójKatí det corriente pqrtjtdpa el gobernador civil de dtetí fréoieliUí continuar et desasne dit país ? y las dél brigadier Bedoya-debian volversobre que según ttiiet del" alcalde' de-Méhásálbas , no habrá ocurrido én é^juéfHt villaeí-cOnfiade Vizcaya.:^ Castilla,. háciaxujraparte habíao retrocccfido- Torre,; ningún caso sospeáhoso en cató» últimos dias: remite siurismo lostfgtuéiitei Luqui y otros con sus restos,, de los cuales los…</t>
  </si>
  <si>
    <t>Beduya, D Ramón Gómez</t>
  </si>
  <si>
    <t>D Ramón Gómez Beduya</t>
  </si>
  <si>
    <t>…or de uu porvenir, que gracias al mante de 43, mal vestidos, hambrientos y descalzos, y pirece que también degustados. nimiento de la paz, y al fácil restablecimiento del órden , afortunadamente no «Hoy se me ha presentado el Sr. brigadier D. Ramón Gómez Beduya coa se ha realizado. Ya es tiempo de restablecer en nuestios presupuestos una fiel el de igual clase D. Fermio Inarte y su columna, que no he pod.do *un rcrivtar. balanza. Conocemos que es una obra penosa ; pero lá emprenderemos , y la Cá También he relevado en este día las guarniciones de Durango…</t>
  </si>
  <si>
    <t>Beduya, Ramón Gómez</t>
  </si>
  <si>
    <t>Ramón Gómez Beduya</t>
  </si>
  <si>
    <t>…orvenir, que gracias al mante de 43, mal vestidos, hambrientos y descalzos, y pirece que también degustados. nimiento de la paz, y al fácil restablecimiento del órden , afortunadamente no «Hoy se me ha presentado el Sr. brigadier D. Ramón Gómez Beduya coa se ha realizado. Ya es tiempo de restablecer en nuestios presupuestos una fiel el de igual clase D. Fermio Inarte y su columna, que no he pod.do *un rcrivtar. balanza. Conocemos que es una obra penosa ; pero lá emprenderemos , y la Cá También he relevado en este día las guarniciones de Durango…</t>
  </si>
  <si>
    <t>Beida</t>
  </si>
  <si>
    <t>…do razones muy discutido , y resultó no estarlo. poderosas para haber cambiado de opinión: las que manifestó ayer no lo son. El Sr. conde de Toreno , Secretario de Hacienda: »No pensaba hablar «El eximen minucioso que ha hecho el Sr. Beida del reglamento basta en esta materia; pero lo creo necesario por la interpelación personal que se pira convencer al Estamento dé que ha seguido en la discusión el órden que me fia hecho. El Sr. conde de las Navas me ha dispensado mas que ¡justicia, debe el dictámen de la comisión. Y si no, ¡ para qué e…</t>
  </si>
  <si>
    <t>…rescribe el reglameuto en su art. 135. Si después de aprobada en su tota El Sr. Calderón de la Barca insistió en las mismas ideas del Sr. González. lidad, algunos señores no quieren aprobar los artículos , podrán rm tir su opi El Sr. Beida: Mi Opinión es distinta de la del Sr. preopinante. El re nión. Nada tiene que ver la discusión de la totalidad con la de cada artículo; sultado es que la petición, si se aprueba, ha de presentarse á S. M. tal cual es y no sé que dificultad se encuentra para proceder como previene terminan tá redact…</t>
  </si>
  <si>
    <t>Beida, Francisco</t>
  </si>
  <si>
    <t>Francisco Beida</t>
  </si>
  <si>
    <t>Gaceta de Madrid n.º 162 · suplemento</t>
  </si>
  <si>
    <t>…la 3-*; y que hallándose en igual caso el Excmo. Sr. marques de Casloe Sres. D. Antonio González, D. Fermín Caballero, D. Tele&amp;foro Trueba telar , podía admitirse á jurar á dichos Excmos. Señores, bajo la condición de y\Cosío, y D. Francisco Beida. cumplir con estos dos extremos; lo que aprobó el Estamento. Otro del limo. Sr. obispo de Huesca, excusándose de asistir á las sesiones El Sr. Presidente dijo, que mediante no haber ningún asunto pendiente de del BiUmtuto por hallarse invadido de la enfermedad reinante. que tratar, levantaba la sesi…</t>
  </si>
  <si>
    <t>Beíiot.ni, Josef Caiabuig y</t>
  </si>
  <si>
    <t>Josef Caiabuig y Beíiot.ni</t>
  </si>
  <si>
    <t>…imo: por manera que la situación actual de Polonia no es electo de Soba: paja la de Ecija al alcalde mavor cesante D. Roque Naranjomas que un hecho material que no está reconocido por el gabinete de Francia y para la de Enguera á D. Josef Caiabuig y Beíiot.ni por el de Inglaterra. Examina después el estado político de Oriente, de los estados alemanes y Igualmente ha tenido á bien nombrar para la plaza de fiscal de la Real au de Italia, manifestando de paso que en el año de 1808 propuso á Napoleón el diencia de Madrid, creada por Real decreto de 26 del a…</t>
  </si>
  <si>
    <t>Beistegui, Pedro</t>
  </si>
  <si>
    <t>Pedro Beistegui</t>
  </si>
  <si>
    <t>…es han recibido de Calcuta un proyecto en for Monreal; á D. Pedro Miguel Irañeta, vicario de Huarte Araquil; ma de circular relativo á establecer una comunicación entre las Indias orien á D. José Antonio Aldave, rector de Ziga, á D. Pedro Beistegui, tales y Europa por medio de buques de vapor. Al proyecto acompaña una nota vicario de Astigarraga: á D. Andrés Velaz, vicario de Abarzuza; en que se persuade á los capitalistas de la metrópoli á tomar parte en la em á D. Silvestre Mimendia, vicario interino de Legorreta; i D. José presa , para la…</t>
  </si>
  <si>
    <t>Beker</t>
  </si>
  <si>
    <t>….__JV.flOM del día Se levanta ia sesión. ESPAÑA. El duque de Mortemart y el barón Mounier leen los elogios fúnebres del marques de Mortemart y del conde de Tournon, individuos que han sido de Ballenero 8 de Enero. esta Cámara. El conde Beker lee el informe de la comisión que ha examinado los pro El 1.® del corriente se celebró en esta villa la proclamación de S. M. la yectos de ley aprobados por la Cámara de Diputados concediendo pensión a las Reina nuestra Señora, habiéndose colocado su retrato y el de su augusta Ma viudas del marisca…</t>
  </si>
  <si>
    <t>Bel, D Mateo</t>
  </si>
  <si>
    <t>D Mateo Bel</t>
  </si>
  <si>
    <t>…onces des Sr. D. Fermín Caballero. apareció toda disciplina , y el ejército cafó en la mas espantosa dcsmoraliza- Sr. D. Vicente Cano Manuel y Chacón. ciop- ia rapiña y la violencia fueron Meyadas al exceso: los proveedores de ví Sr. D. Mateo Bel monte. veres-robaban al pueblo; los oficiales superiores robaban al soldado, y este ro— . $&gt;aba:á quien, podía. E1. desaseo y suciedad de la plaza de Santarem produjo en ÍROVINCIA DB WOMtQÁI fermedades que costaron la vida á millares de personas: las intrigas se aumenr Sr. D. Pablo Santafé. yaron j…</t>
  </si>
  <si>
    <t>Bel, Mateo</t>
  </si>
  <si>
    <t>Mateo Bel</t>
  </si>
  <si>
    <t>…s des Sr. D. Fermín Caballero. apareció toda disciplina , y el ejército cafó en la mas espantosa dcsmoraliza- Sr. D. Vicente Cano Manuel y Chacón. ciop- ia rapiña y la violencia fueron Meyadas al exceso: los proveedores de ví Sr. D. Mateo Bel monte. veres-robaban al pueblo; los oficiales superiores robaban al soldado, y este ro— . $&gt;aba:á quien, podía. E1. desaseo y suciedad de la plaza de Santarem produjo en ÍROVINCIA DB WOMtQÁI fermedades que costaron la vida á millares de personas: las intrigas se aumenr Sr. D. Pablo Santafé. yaron j…</t>
  </si>
  <si>
    <t>Belda</t>
  </si>
  <si>
    <t>…tanto la comisión lo presenta ai Estamento para su decisión. pUHSNfO ÜZ PROCURADORES DiL RltSR El Sr. Presidente'. La comisión no .ha dado dictamen, y es necesario ^ Se ¿ion del dia 2 dt Setiembre* que el Estamento decida. El Sr. Secretario Belda leyó el título del reglamento sobre el modo de -•—Se'sferSrirf'iit, diez y medía» / • - — deliberar el -Estanacnto de Procuradores, y en seguida dijo: Los dictámenes dé 5e leyó el Reta de la anterior; y habiendo observado el Sr. Campillo que las comisiones es necesario que se fijen por ellas, porqu…</t>
  </si>
  <si>
    <t>…, Carrasco , Victoria , Osea , López, Alcalá Zamora , González Alon cienes convenientes, por lo cual cree está en el caso de pedir se vote la tota so, Butrón, Fuster, Ruiz de Carrion, Tosquellas, Miguel, Cuevas, !*«"«, lidad.” , Caballero, Belda , y Sr. Presidente. ‘ Concluido el discurso del Sr. López, se pidió que la votación fuese no Los que desaprobaron fueron: minal. Esto originó un vivo debate sobre si recaería esta votación en haber Coton y Zúñiga , Fieix , Hubert, Serrano, Martinez de la Rosa, Toreno, lugar &amp; votar el ysroyecto en…</t>
  </si>
  <si>
    <t>…ese á la mayor ilustración buenos. El Gobierno, enc?rgado de la con»ervacion del órden público, y qui pública, no atacando á los objetos indicados. t&gt;ene otras ideas de interés nos presentará los medios de evitar los abusos de El Sr. Belda: «No hay que extrañar que apoye ía petición que se discu esta misma libertad , y los medios de poder prevenir los excesos de ella. Se ha te, y que tome Ja palabra en una cosa tan impórtame, pues los mismos senti dicho igualmente en los dias anteriores que en España no ha habido batalla ni mientos q…</t>
  </si>
  <si>
    <t>…cer la» va En seguida hubo una discusión corta, pero algo acalorada, en que toma riaciones y mejoras en el reglamento del nuestro , quizá podrían ser precisas en ron parle los Sres. Serrano, Caballero y Diez González. el otro. El Secretario Belda hizo presente que se iba á leer la petición redactada *&gt; El decir ía premura con que se habia hecho, creí que era la mejor dis de otro modo por el Sr. Torremcjía , para ver si la adoptaban los señores pe culpa de los defectos inevitables que hay en toda ley. ticionarios. *» Ahora mismo estamos ento…</t>
  </si>
  <si>
    <t>…olamente intentado y no realizado por la titulada Regencia de El Estamento dió muestras de aprobación, asi como á la proposición que^ Urgel, la cual, asi como las que se erigieron ea Oyarzum y en Madrid, no per se hizo por el Sr. Secretario Belda, relativa 4 que el Sr. Presidente quedase au cibieron cantidad alguna procedente de dicho empréstito, habiéndose cobrado torizado para conceder las licencias en semejantes casos. los primeros fondos por el Rey D- Fernando vn después de su regreso i Ma Se dió cuenta, y el Estamento quedó enterado ,…</t>
  </si>
  <si>
    <t>…que debe la augusta sanción de S. M.” no , que probó hasta la evidencia que el empréstito de Guebhard era nulo, ini En seguida tomó la palabra y dijo cuo, malo y deshonroso para la Nación, manifestando que su conciencia no El Sr. Secretario Belda: «Debiéndose nombrar por el Estamento tres podía permitirle sancionar un acto de esta clase. maceros, dos de nueva creación , y uno en reemplazo del que ha sido nom «S. S. hablaba con la voz del profundo conocimiento, y está fue la razón brado portero del Estamento de ilustres Próceres , la mesa ha…</t>
  </si>
  <si>
    <t>…o que por sais enfermedades se ve precisado i renun apertura de las Corles pronunció S. M., indicó á ambos Estamentos v;e una da ciar su encargo. Us materias mas graves, mas urgeotes y de mas importancia , era el hacer pre El Sr. Secretario Belda dió cuenta de una petición presentada y firmada sente i las Cortes y á la N ación entera la conducta, del Príncipe, que olvi por 13 Sres. Procuradores sobre validación de los empleos concedidos por dando sus deberes y las leyes de la Monarquía , ha tratado de usurpar el Tro Real nombramiento en los…</t>
  </si>
  <si>
    <t>…na palabra, hi¿o un convenio semejante á Vas 4.llegaindicar-”, reclamaré que sey verifique en los términos que el Sr. Procurador acaba pago debía haber sido en Madrid, y se puso en París; et reembobo taj vcri&amp;c4 En seguida el Sr. Secretario Belda le£ó el arr. l.° del proyecto. que le han seguido después. De consiguiente, teniendo la aprobación Real di** El mismo Sr. Secretario anunció que !a discusión iba á recaer sobre si cho empréstito, creo que en su virtud deíie ser reconocido por la Nactcm ta había de subsistir en el articulo la expres…</t>
  </si>
  <si>
    <t>…ue habían firmado la petición, para personas que no mceciesen la confianza de las provincias! Hé aqui por qué e*' que lo redactasen en otro* términos. necesario que se exprese que los impuestos sean votados libremente. Ademas, El Sr. Belda contestó que el Sr. Canals Ihabia partido de un supuesto también podria dirse el caso en que las Grites se reuniesen en un punto donde falso ai sentar que el Estamento se estaba ocupando de principios abstractos; hubiese gran fuerza armada, y abusándose de ella no tuviesen los Precuradoies —aiendrs…</t>
  </si>
  <si>
    <t>…esidente: «Si mañana puede repartirse, señalaré dia para su dis curadores de Cortes con la petición de que V. M. se digne mandar que por el cusión.” ministerio se forme con arreglo á lo propuesto el proyecto de ley que asegure El Secretario Belda leyó la siguiente proposición: á los valientes defensores del trono y de la patria, por término de su carrera y Pedirnos al Estamento que como art. 3.® de la ley, se declare que si por dias, un estar cómodo y decoroso, ventajoso á la sociedad, al propio tiempo una fatalidad llegasen á faltar las Hi…</t>
  </si>
  <si>
    <t>…qué consiste la falta de los Sres. Procuradores que todavía no mente redactada por el Sr. Secretario del Despacho de Hacienda en estos tér se han presentado en él. Va pues á dárseles conocimiento de este trabajo.” minos : El Sr. Secretario Belda ocupó la tribuna y leyó una lista, de cuyo, res Li n En vista de todo, los Procuradores á Cortes creen, puei.’que debería des men total resulta que los Sres. Procuradores que han presentado sus poderes y tinarte para los cabos, sargentos y oficiales del ejército una parte mas ó menos no han tomado…</t>
  </si>
  <si>
    <t>…lecto, al comunicarle la noticia de su elección.” No se elegidos por Barcelona^, sino á los de las, demas provincias de Cataluña y i sus aprobó. habitantes. Con éste motivo suspendieron por entonces el.viage; y algunos que El Sr. Secretario Belda manifestó que los Sres. Procuradores que habían ya habian salido, al ver continuaban las relaciones de los desastres que causaba firmado la peticiqn sobre erigir un monumento que perpetuase la memoria de la enfermedad en esta corte, resolvieron volver á la capital, oficiando al efec la apertura de…</t>
  </si>
  <si>
    <t>…, mas. Añadió que no se fundaba el referido plaQ en ningún artículo del regla igualmente que sobre sus pormenores. mento, cuya observancia se reclamase. «Dice el artículo 92 del reglamento (lo leyó). Concluida la discusión go* El Sr. Belda para deshacer toda equivocación dijo que su idea estaba fun neral, c qué importa que la cuestión sea expuesta por una sola comisión o por dada en los artículos que habia citado relativos á la discusión de proyectos de muchas, habiendo de venir á componer una sola totalidad? Yo creo que cae ley- es…</t>
  </si>
  <si>
    <t>Gaceta de Madrid n.º 212 · suplemento</t>
  </si>
  <si>
    <t>…los empleos y grados concedidos desde 1820 á 1823. (Véase el suple mites que señala el reglamento.” mento del dia 10.) El Sr. Lopes.: »La dificultad que se presenta es sobre si se ha formado Leída que fue esta petición por el Sr. Secretario Belda, manifestó el se ó no una nueva petición en vez de la antigua. Yo creo que no. Porque pre ñor Secretario Trueba, que habiéndose convenido los peticionarios en reunir gunto: ¡se han variado1 las bases! No. Claro es que la nueva forma de la pe los dos primeros artículos, los presentaban en esta forma…</t>
  </si>
  <si>
    <t>…a, y declarado estaban conformes á los términos en que habian sido aprobados, se declaró es el punto suficientemente discutido, se preguntó si se admitía la petición en su tarlo. totalidad, y quedó admitida. Se anunció por el Sr. secretario Belda que se iba á discutir la petición Se anunció que se iba á proceden á la discusión por artículos, y leído el sobrejtxtincion de las hermandades santa. Real y vieja, que leyó, y cuyo te primero, dijo nor es como sigue : El Sr. Mcdrano. «Voy ha hacer una ligera observación en cuanto al Señora: «El Est…</t>
  </si>
  <si>
    <t>…has mín Caballero. == Angel Polo y Mongó. = M. conde de las Navas.= f4dro Ja— ta que se presentase el proyecto de ley sobre el asunto á que se refiere. cobo Pizarro. = José Somoza. = Antonio González, es Pablo HcYedia — Vi Él Sr. Secretario Belda anunció iba á -procederse á la discusión de la peti cente Cano Manuel y Chacon.crJosé Claros:—Pablo Santafé. ==: Salvador Cam ción sobre la conrrihni-ii-in que se paga en Aragón para1 el canal Imperial, que pillo. ___ __ —------—— "rJ leyó, y dice así. - El Sr. Euforia: «No molestaría al Estamento…</t>
  </si>
  <si>
    <t>…sí por 76 rotos contra {2. guna* hasta expretiaoes-qee manifiestan autorizar é este para rescindir el pecio Se leyó íntegro el proyecto referido. ai no estaba hecho con arreglo é los principios fundansentaW. Esta psesogatiEl Sr. secretario Belda manifestó teman la palabra en pro lotSrea. Trne- vs de nuestros antepasados la tenesaqa nosotros consignada en los articulas 3f, ba y González (D. Antonio), y en contra los Srcs. conde de Toreno, mar 3S y Só dql Estatuto Real, y no creo que los Procuradora del afio 1834 ques de Torremejía, y Miguel…</t>
  </si>
  <si>
    <t>…arse esa nueva puerta que en mi concepto va á abrirse con la propues ro : «Pedimos que en la exención se suprima la palabra licenciados ta adicional de la comisión á este artículo. La facultad que se trata de conceder La apoyó el Sr. Belda manifestando el gran número de licenciados que á un cierto número de individuos para ser los censores de La conducta de sus habría que podían seguir siendo útiles en la Milicia, concluido su tiempo en conciudadanos , sin otra responsabilidad que la moral que les impone su propia el ejército, y que…</t>
  </si>
  <si>
    <t>…e tengan la edad correspon tariamente, no debe ser en perjuicio de los demás* Asi lo mas justo seria que diente formarán parte de la Milicia urbana.” los voluntarios sirviesen todo el tiempo de su empeño, y los demas el que se El Sr. Belda: « Esta adición es consecuencia de lo que he tenido el ho marca en el artículo.” nor de exponer anteriormente al Estamento. Me parece regular el que de El Sr. Secretario del Despacho de lo Interior: «En este caso deberá ex esta clase de servicio de campaña no queden excluidos los jornaleros, y todo…</t>
  </si>
  <si>
    <t>…e á lacomisión. ; la.arrtícipacion debida, para que cuaadp llegue"el caso de hacer el Uamamieoto ' Igual resolución recayó sobre las siguientes! .nobaya que hacer otra cosa.sillo diri¿írse i los &lt;lue corresponda hacer. el ser Del Sr. Belda al articulo 20. »Los solteros coh easa abierta serán equi vicio.”' - - . f ■ parados á los viudOssin hijos.” ' . L. , ,'JEí Sr,.Montffleg?y. uNorgue^p^enos de insistir en que creo inas opor- - Del Sr. Galwey al artículo 17: »En las capitales de provincia y plazas , turto-clónbnquc pipporielacoimsío…</t>
  </si>
  <si>
    <t>…en el caso de llevar á efecto la indicación del Señor como toda modificación ó alteración que se quiera hacer en él en lo sucesivo, Vicepresidente.” tiene que pasar; sin poderlo evitar , á una comisión para el objeto indicado. £1 Sr. Belda deshizo una ligera equivocación, en que dijo haber incurri _ »E1 artículo gl del reglamento dice (lo leyó). De modo que en ningnn do el Sr. preopinante. caso,-aun cuando se quisiera adoptar un proyecto de ley en mi entender pro El Sr. Córtele de las Navas: «Desgraciadamente esta cuestión «obre la p…</t>
  </si>
  <si>
    <t>Beldá</t>
  </si>
  <si>
    <t>…un proyecto deJey, se manda i mprími r y cjsepar tér- - Y o quisie en .las palabras que están aquí(señalo el suplemento de la Craceta.) ra que S. S. kne di jese qué es lo que sigue inmediatameo te á-su impresión .-y-sc-- (El Sr..Secretario Beldá manifestó que tenian la palabra en pro los patticion : la discusión. No hay cosa mas natural, Oi£ parece, qwe imprimir T Sres. Trueba &amp;c., y en contra los Sres. conde de Toreno &amp;c.”) repartir los dictámenes de las comisiones , los proyectos.dé ley &amp;C-, pata que »Yo no he visto nunca que nadie ataqu…</t>
  </si>
  <si>
    <t>…será de un mps.” . El Sr. Presidente anunció que habiéndole manifestado la comisión de Mi Cuatro son las adiciones presentadas al art. 20. licia urbana haber concluido sus trabajos respecto de las adiciones que se ha—, l-a Por el Sr. Belda en estos términos: bian presentado al proyecto de ley sobre la materia, iba á dar cuenta de su »Los solteros con casa abierta serán equiparados á los viudos sin hijos.” dictámen. Parece justa á la comisión, y opina que puede añadirse á la 2.a clase de En efecto, el Sr. Polo y Monge leyó dicho dictá…</t>
  </si>
  <si>
    <t>…hay pueblos que no pueden entregar el cupo que se Ies exige, al paso que de ley, que ni está terminado ni pudiera por esta vez ponerse en práctica. otros lo dan con facilidad; lo cual demuestra la desigualdad que hay en el re »E1 Sr. Belda ha juzgado que no había mas que decirlo para hacer algu partimiento. nas mejoras; peroS. S. sabe muy bien que con Ja nueva división de provincias «No hablaré de las muchas excepciones que se alegan para eximirse del crecían la* dificultades: los males no se palpan hasta que va á hacerse la apli ser…</t>
  </si>
  <si>
    <t>…arques de Espeja, Se dice la contribu cepciones sea después del sorteo.” No se tomó en consideración. ción llamada d* paja y utensilios, y ia directa que ascendería un por 103, léase Igual resolución recayó sobre la siguiente del Sr. Belda al art. 2.°: »Con la contribución de paja y utensilios , y los frutos civiles que eran .directas y subían á sola la diferencia de que la edad para quedar exceptuado de entrar en quinta, 25 por 100, llegando la baja de las propiedades en venta y renta d 4O por 10*3» Idem en la del 24, colum. 9.a, lí…</t>
  </si>
  <si>
    <t>…Procuradores expresar por que No hubo elección, pues ninguno de dichos Sefiores reunió la mayoría de provincia optaban, contestó el Sr. Caballero que asi lo habían hecho ya dos 38 votos necesarios, y solo tuvieron los siguientes: Sr. Belda 27; Sr. Chacón de Jos que se expresaban, y Jo harían Jos demás aJ presentar sus poderes. 18 ; Sr. Diez González 9; Sr. marques de Espinardo 14» f Sr. marques de Tor Un Sr. Procurador tomó la palabra piara reclamar que en la lista de los Se remejía 8. ñores que juraron en la sésion Regia, inserta en…</t>
  </si>
  <si>
    <t>…rito en el cielo diciendo era una injusticia , y que ni aun siquiera se le ha ▼otos contra 4$* bía juzgado en regla como al infeliz Riego, 4 quien dios aborrecían. Me be Tampoco tomó el Estamento en consideración la siguiente del Sr. Belda, distraído de la cuestión, pero vuelvo 4 ella ai momento. *, Adición al art. l.° del proyecto de ley. Sin embargolos empréstitos de •&gt;Se nos ha dicho que en este negocio somos jueces al propio tiempo que nominados Real ó de Gucbhard, renta perpélua, 3 por 100 español, y deu parte. Nada de eso; noso…</t>
  </si>
  <si>
    <t>…a elección. Opino, pues, que Art. 3.° Toda esta deuda extrangera se distinguirá en adelante en deuda debe admitirse la renuncia al Sr. marques de Grox.” activa y deuda pasiva. Su conversión en deuda activa y en deuda pasiva ce Et Sr. Belda: «Según el Sr. Domecq, parece que las resoluciones toma ejecutará en la proporción de una mitad en deuda activa * de otra mitad en das pop el E tamento hasta aquí, han sido contrarías 4 las renuncias, cuando es deuda pasiva. todo.lo contrario, pues han sido admitidas las presentadas; y hay una reso…</t>
  </si>
  <si>
    <t>…, pues, un breve análisis del proyecto que discutimos, para que al mismo testar á las observaciones que tienen relación coa el Ministerio. El discurso del tiempo se hagan en él las necesarias variaciones para conseguir el objeto. Sr. Belda se reduce á cuatro reflexiones, que son los. puntos principales. La » Respecto del articulo primero, me parece que seria preferible quedase como primera es que en virtud del reemplazo que se pide podrá proporcionarse al le proponía el Gobierno, porque según su misma redacción (lo ley ó), envol Gobi…</t>
  </si>
  <si>
    <t>…fino García Car* eficaces, como sucede en la fiebre amarilla, el bubón y otras, en que todos los rasco.=Telesforo de Trueba Cosío.=Angel Polo y Monge. pueblos que se han incomunicado se han librado del contagio; mas por desgra El Sr. Belda leyó dicha petición y los informes de las comisiones; leyén cia el cólera, que ha invadido y recorrido toda la Europa, ha acreditado que dose también en seguida la lista de los señores que tenían pedida la palabra en no está sujeto en su marcha á reglas fijas, y que ataca á todas las provincias.pa…</t>
  </si>
  <si>
    <t>…entro de dos años no ocuparán mas la atención que cualquiera hecho sufrir 9 ó 1U dias de observación. de las demas desgracias que afligen á la humanidad!” •«(Cuáles serán pues los medios que deben ponerse en práctica para mode El Sr. Belda volvió á tomar la palabra para aclarar el sentido de algu rar los terribles efectos de esa plaga asoladora! Está visto que lo principal es nas de sus proposiciones á que se había referido el Sr. Secretario del Despacho hacer conocer á los pueblos que la enfermedad no es contagiosa. Porque efecti de…</t>
  </si>
  <si>
    <t>…s antes no tiene noticia de ella nadie, ni menos el Gobierno/’ Declamado el punto suficientemente discutido, y que había lugar á proce El Sr. conde de las Hava$\ «Las peticiones no son consideradas tales der á Ja votación, el Sr. Secretario Belda empe2Ó la lectura de la petición. desde el momento en que se firman, sino desde que se entregan al Presidente El Sr. Acízedo pidió la palabra, y dijo que á entender estaba dema* para que sigan ios trámites que previene el reglamento. De consiguiente la la lectura de la parte expositiva, puesto que…</t>
  </si>
  <si>
    <t>…como creo que tendremos la fortuna de que estas subsistan en ade sión para que con arreglo á lo que se dispusiera en aquel punto se fijase este." lante, ellas podrán en tal caso aprobar ó desaprobar; pues si no existiesen, lo El Sr. Belda: «Después de oídas las reflexiones que se han hecho, poco que ya no es dado se verifique fácilmente, inútil seria resolver uno ú otro.” queda que añadir. En los cuerpos facultativos la clase de mariscales de .campo Habiéndose anunciado que se iba á proceder á la votación del referido ar se compone…</t>
  </si>
  <si>
    <t>Belda, D Francisco</t>
  </si>
  <si>
    <t>D Francisco Belda</t>
  </si>
  <si>
    <t>…precipitacion.de Bourmont, y masque todo.el sistema erróneo de que* Sr. L&gt;. Bérnarnino Vitoria .comerciante, re- avanzar con una nube de tiradores, y no con una columna 'de. suficiente , Sr. D. Miguel Oca y 'Gucreau. fuerza. _ . Sr. D. Francisco Belda, barón de Casanova de Bocairente, La marcha sobre Lisboa fue retardada por la villanía de los proveedores de Sr. D. Andrés Vicedo, hacendado. víveres, que robaron las tres cuartas'partes de las provisiones destinadas al ejér cito, y obligaron i los soldados á detenerse en el camino, no solo por la…</t>
  </si>
  <si>
    <t>Belda, Francisco</t>
  </si>
  <si>
    <t>Francisco Belda</t>
  </si>
  <si>
    <t>…cipitacion.de Bourmont, y masque todo.el sistema erróneo de que* Sr. L&gt;. Bérnarnino Vitoria .comerciante, re- avanzar con una nube de tiradores, y no con una columna 'de. suficiente , Sr. D. Miguel Oca y 'Gucreau. fuerza. _ . Sr. D. Francisco Belda, barón de Casanova de Bocairente, La marcha sobre Lisboa fue retardada por la villanía de los proveedores de Sr. D. Andrés Vicedo, hacendado. víveres, que robaron las tres cuartas'partes de las provisiones destinadas al ejér cito, y obligaron i los soldados á detenerse en el camino, no solo por la…</t>
  </si>
  <si>
    <t>Belda-drjo</t>
  </si>
  <si>
    <t>…o Reai ; pero El Sr. Presidente anunció que iba á continuar la discusión por artículos sí que se le concediese el tiempo necesario para restablecerse. del proyecto de ley sobre deuda extrangera , y empréstito de 4ÓÜ millones.' El Sr. Belda-drjo: que no sabia cómo siendo la práctica constante del Es- El Sr. Caballero. «En virtud de la proposición presentada ayer por él tamertto admitir las renuncias , mucho mas estando apoyadas en enfermedades, Sr. marques de Falces , y que fue aprobada por el Estamento , la comisión dé la comisión te sepa…</t>
  </si>
  <si>
    <t>Beldó</t>
  </si>
  <si>
    <t>…tió en lo ra imo, fundándose en que el Go Cristina se les habia foimado causa, y se encontraban piesos. bierno tiene sus facultades y las Cóttes las suyas. El Sr. Secretario del Des facha de hitado: «Yo deseo saber bajo qué as El Sr. Beldó: «La secretaría no se ha creído jamas con facultad para pecto viene esa representación al Estamento de Sres. Procuradores,” resolver por sí los asuntos del G.»b*erno. Se le remil en muchas exposiciones di '■ El Sr. Caballero-. »La secretaría ha creído que i una solicitud que ha rectamente , ya sobr…</t>
  </si>
  <si>
    <t>Belevet, J</t>
  </si>
  <si>
    <t>J Belevet</t>
  </si>
  <si>
    <t>…el Arandia.=Manuel de Loma.=bdveno Fernandez d« «Orán 29 de Marzo de 1834*==^-n nombre de los españoles del ex-cuarto Gamboa. = Diego López OtiO-Tor ia M- N. y Al. L- provincia de Alava, batallón de la legión extrangera.zzCostat, capitán ^J- Belevet, teniente.^A. Juan Alartincz de Maturaoa, secietario ** Buil, capitán de granaderos.. (Correo del GarJi)'* Madrid 8 de Junio. L TVi»» ¿I Mercurio de Sutvia, refiriéndose á cartas de Constantinopla, que Partes recibidos en la secretaria de botado y del Despachfi de la Guerra, Mahomet-Mirza ha sido d…</t>
  </si>
  <si>
    <t>Belga</t>
  </si>
  <si>
    <t>…uestra universidad espera contar de nuevo en su seno al ^onseyiro'de En todas;•partes.han resonado al pasar -SS, MM. los gritos de viva el Rey, Estído Sr. de ManVer.a quien en su calidad de miembro'de la regencia griega ^ viva la Reina. (,£1 Belga.} sele había dispensado, solo interinamente, de desempeñar sus tinciones en la universidad de Munich; ahora sin duda volverá de nuevo á su cátedra de de . ....... INGI ATERRA. recho político y administrativo. (.Gaceta de Postas.) ~ . Lón/ires 11 de Noviembre. BEXCICA. Hace tiempo que Mr. EUice ha ma…</t>
  </si>
  <si>
    <t>Beliin</t>
  </si>
  <si>
    <t>…s— María Calatrava, ministro del tribunal supremo de España é Indias; lamino y de muchos oficiales de las tropas valacas nuevamente organizadas, ¿i á D. Juan de la Dehesa, del supremo de Guerra y Marina,, y a Don ayudante general barón Beliin2hausen, manda la guarnición rusa de &lt;ñlníria.,y Diego -Martin de Villodres, del supremo de Hacienda- Tendréislo tendrá su cuartel general en Korscbaky- Ni Jassy ni J^upharest tendrán guarni ciones rusas. La mayoría de la nación celebra la elección de Alejandro Ghika; entendido, y.dispondréis lo nec…</t>
  </si>
  <si>
    <t>BelJa</t>
  </si>
  <si>
    <t>…ino yo. En cuanto á los demas puntos de la cuestión* en el Secretario y escrutador. La elección ha sido á pluralidad de votos. me abstengo de hablar.” « La ley de elecciones previene que luego que la junta electoral &amp; haya con gl Sr. BelJa: «V]oy á defender el dictámen de la mayoría de la comisión cluido, no pueda ya tratar de otra cosa:Ta elección se concluyó; la junta, pues, porque deséchalos empréstitos"CoñtYafa'íos desdé él año 23 acá; en io cual coin no está autorizada para nada; pero si se cita nuevamente para elegir otro, me c…</t>
  </si>
  <si>
    <t>Bellas, Gobernadora</t>
  </si>
  <si>
    <t>Gobernadora Bellas</t>
  </si>
  <si>
    <t>…dministran vas de nuestra Na PROVINCIA DE CUENCA. ción, con la latitud suficiente para que puedan dar una ¡dea de nuestros progresos en la industria, y que formarán el título inas glorioso del paternal Gobierno de nuestra augusta Reina Gobernadora.—Bellas artes.—Cuanto se refiera á pintura, escultura y Con fecha 18 del actual avisa su gobernador civil que en los pueblos de arquitectura, análisis de obras de mérito, noticia de exposiciones públicas, con las Campillos-Paravientos y Talayuelas habia desaparecido el‘tolera: que desde 9 láminas y diseños…</t>
  </si>
  <si>
    <t>Bellido, Ildefonso</t>
  </si>
  <si>
    <t>Ildefonso Bellido</t>
  </si>
  <si>
    <t>…seáalavlbs del Sr.:Miratoda'éy Jubiéndoic suscifado una li Éxcmo. Sr. tzsarques de Su. Cruz.................................................... .. 800 gera discusión sobre si debía fijarsetérminó.para esta presentación conforme á D. Ildefonso Bellido........... .........................................*............ 60 ios artículos 16 y 17 del reglamento, se hizo proposición para que se fijase el 5r. colector general de Espolios y Vacantes................................. 2000 de d as, y asi quedó acordado. Sr. contador general de Espolios y Vacantes.....…</t>
  </si>
  <si>
    <t>Bellido, José</t>
  </si>
  <si>
    <t>José Bellido</t>
  </si>
  <si>
    <t>22/07/1834</t>
  </si>
  <si>
    <t>Gaceta de Madrid n.º 155</t>
  </si>
  <si>
    <t>…votaciones, S, M. la Reina Gobernadora se ha dignado nombrar interina mente capitán general de Castilla la NuéVá al teniente general du TITULO X. que de Castroterrpño: gobernador de esta plaza y segundo cabo al mariscal de campo D. José Bellido; y teniente de Rey al brigádier De las relaciones entre uno y otro Estamento. . D. Felipe Zamora. Art. 96. En el Etamento de Próceres dd Reino no podrá ha cerse nunca mención de los discursos pronunciados en el Estamen S. M. la Heina Gobernadora, por Reales órdeneí de 19 del cor to de Procuradores,…</t>
  </si>
  <si>
    <t>Bellido, Mariano</t>
  </si>
  <si>
    <t>Mariano Bellido</t>
  </si>
  <si>
    <t>…ro de flémtíempiite porgas autoridades del reino, grandes, .prelados y diputados de las Fr. Joaquín , obópo Je Segó* .a.t mandado 3c S. S. 1. el oh:»pn m» bcñoi^- ''hay exéüsa, no'fiay pretexto, ¡to hky razón que 'pueda poner Dr. D. Mariano Bellido, secretario. [jeñ &amp;kfó/hÍJtoücho,m¿nós dftpütatla su autoridad, tit resistida, pues seria re- [siítír á Utí?dénacion‘ díí'lC&gt;¿o&amp;, como enseña él apóstol S. Pabfó.' ['^ A^ésTl^bUgácioN &lt;jüe hos intima nuestra religión santa, ¡añadiremos los La ciudad dt Vbeda sojemniío la jura de -S. ¡0, Dc&gt;úi ii “t…</t>
  </si>
  <si>
    <t>Bellido, Tomas</t>
  </si>
  <si>
    <t>Tomas Bellido</t>
  </si>
  <si>
    <t>…datos necesarios á este importante objeto da fuga. por lo respectivo á aquella ciudad. Añade que se distinguieron también muy particularmente los avudantes del mismo cuerpo D. Manuel Madarias, y el de ordenes el teniente c'ideado D. Tomas Bellido, del 5.3 ligero de caballería, por la actividad con que han Él subdelegado de Fomento de la provincia de Granada ha publicado el comunicado sus ordenes conduciendo las compañas a los punios atacad''"*, v siguiente edicto: asimismo D- Domingo dé Aguirre, propietario de aquella ciudid, que habien Hab…</t>
  </si>
  <si>
    <t>Bellingshausen</t>
  </si>
  <si>
    <t>…as órde »E1 nuevo hospodar Ghyka se ha puesto en camino esta mañana para nes oportunas el ministerio de lo Interior. Constantinopla, con objeto de recibir de mano del Gran Señor la investidura de la Valaquia. »E1 ayudante general barón Bellingshausen manda las tropas rusas que estan acantonadas en Silistria: han establecido sus cuarteles en Fockshaug. PARTE NO OFICIAL. «No hay en la actualidad un solo soldado moscovita en Jassi ni en BuNOTICIAS EXTRANGERAS. charest. «El pueblo y la nobleza parece que están muy satisfechos con la elección del ho…</t>
  </si>
  <si>
    <t>Belluti, Antpnío</t>
  </si>
  <si>
    <t>Antpnío Belluti</t>
  </si>
  <si>
    <t>…a, al propio tiempo que era necesario continuar la marcha, prote ANUNCIOS. giéndola del fuego enemigo, dispuso que 60 infantes al mando del subteniente Historio compendiada de España, para uso de la juventud española:- un tomo en D. Antpnío Belluti penetrase hacia los grupos enemigos, en tanto que batien 8.° regular. Contiene todos los acontecimientos mas memorables ocurridas en ia Pe do él el flanco izquierdo del camino, proporcionaba continuar su marcha á la nínsula desde sus primeros pobladores hasta el fallecimiento del Sr. D. Cirios 111;…</t>
  </si>
  <si>
    <t>Belmente</t>
  </si>
  <si>
    <t>…VilUnuc a , í t ir- Fn efecto ret*ró su ind cuíon el br. Torrcm-;:z. , cía Carrasco, Atocha, Cuevas, Alcalá Zamora, conde de las Navi&gt;, Cano El'Sr. Presidente: - M»ñ mi i la hora jc-fc i'brfcd 1 se reun ra e h*:aManuel ( hijo ), Caballero , Belmente , T°*edo , Fizarro , Serrano (1). F rdn- mento para continuar ia difusión de los anv»s. je la petición de que ^ eua citco), Mantilla , Blanco, Miranda, Calderón de la Barca , Martel, Donvn- tratando y demas asuntos pendientes. Ciérrase la sesión.** guez , Carrillo, Palarea , Trucba , García de la M…</t>
  </si>
  <si>
    <t>Belmonte</t>
  </si>
  <si>
    <t>…n hombres que mereciendo la esti Montepuevo , Alcalá Zamora , conde de las Navas , Vázquez Mostoso , Ber- mación pública, están resueltos á sacrificarlo todo por el bien general de la mudez, Cano Manuel (hijo), Serrano (D. Gmés), Caballero , Belmonte, Nación y la legitimidad del Trono. Hubert, Toledo , Martínez de la Rosa, Bonel, Pizarro , Santafe , Heredia, Los Procuradores del reino están persuadidos de U justicia que asiste á los marques de Falces, Aranda, Serrano (D. Francisco), Mantilla, Diez Gon funcionarios de la ¿poca constitucional par…</t>
  </si>
  <si>
    <t>…sus columnas contra la persona del lord canciller, se acordó amo quella , Sandoval, corjde de las Navas, Coton y Zúñiga, Serrano, Cano Ma nestarle severamente^ Al efecto, el mismo lord canciller, puesto su sombrero, nuel (hijo), Caballero, Belmonte, García Carrasco, Atocha, Diez Gon como es costumbre ert tales casos, dirigió a Tomas Bittleston estas palabras: zález, Fernandez Blanco, Mantilla, Ezpeleta, marques de Montesa, Melen- »Tomas Bittleston: Vos habéis reconocido ser el editor de un artículo, que dez, Vidala/, Trueba, conde de Almodova…</t>
  </si>
  <si>
    <t>Belrrart, Luis</t>
  </si>
  <si>
    <t>Luis Belrrart</t>
  </si>
  <si>
    <t>…cación de las plazas, y de un ejército en cam res capellanes de honor difuntas D. Joaquín Diez; D. Pablo Nicolás de S. Pedro. Don po abierto: de lés máquinas;de defender y atacar las plazas, de las máquinas au Joaquín Villanueva, D. Luis Belrrart, D. Vicente Sánchez, D. Basilio Salcedo D Nfc colas.Esrerripa, D. Pedro Obando, D. Mateo Obregon, D. Luis Toledano. D Blas de xiliares para pasar nos, y otros usos de ésta naturaleza &amp;c. &amp;c.; en cónsecuen- , Toro, D. Vicente Navarro, D. Pedro Montenegro D. Santiago Uarraza, D. Acustln cía, « de inf…</t>
  </si>
  <si>
    <t>Beltran, Antonio</t>
  </si>
  <si>
    <t>Antonio Beltran</t>
  </si>
  <si>
    <t>…mento, eran: primero , 4 estatuas en los nichos del cuerpo principal, que demás obras adjuntas estuvieron á cargo de los maestros D. J uüan Zavaleta y representaban virtudes, distribuidas en la forma siguiente: en la fachada prin D. Antonio Beltran. cipal á la derecha la Religión, y i la izquierda la Caridad; en la fachada opues Toda la obra de tapicería conque se ha enriquecido el templo fue ejecutada ta y del lado de la epístola, la Esperanza , y al del evangelio la.Fé, todas con por D. Antonio Michel, tapicero de la Real casa, quien desempe…</t>
  </si>
  <si>
    <t>Beltran, Antonio Borras y Josef</t>
  </si>
  <si>
    <t>Antonio Borras y Josef Beltran</t>
  </si>
  <si>
    <t>…y Espejo. Otra como premio extraordinario de dibujo á Doña María1 de los 1&gt;er sido pasados por las armas en la mañana del 3 en Teruel el capitán Tetira-" Angeles Abtrrategui y á Doña María Josefa Abarrátegui. Otra igual por el do D. Antonio Borras y Josef Beltran, voluntarlo realista de Torreblanca, bordado con sedas sobre el papel á Doña María de los Dolores Vilches y pertenecientes á la facción de Morella. Que en Alcañíz el día 6, y en Calata— Espejo. yud el P habían sufrido igual castigo, en la primera el teniente ilimitado Don Por la perfección y gusto…</t>
  </si>
  <si>
    <t>Bemtez, Lorenzo</t>
  </si>
  <si>
    <t>Lorenzo Bemtez</t>
  </si>
  <si>
    <t>…leses y franceses. Los ministros de E&gt;Udo , los coman* Y en su vista S. M. se ha servido conceder al teniente dei regimiento ca dantes de las fuerzas surtas en el Tajo, las autoridades é innumerables personas ballería 3.° ligero, D. Lorenzo Bemtez, la cruz de $. Fernando , y la de Isavinieron á cumplimentar a SS. MM., y en la ciudad se hicieron todas las ma xuz. xz al Urbano Felipe Contreras. nifestaciones de regocijo por su feliz regreso. SS. MM. desembarcaron en el ar senal Real de marina, y llegaron ai palacio de las Necesidades á la una…</t>
  </si>
  <si>
    <t>Benamejí, Gonzalo y</t>
  </si>
  <si>
    <t>Gonzalo y Benamejí</t>
  </si>
  <si>
    <t>…ades económicas de Málaga y Velez-Málap; Córdoba por lo tocante á esta ciudad y su provincia, incluyendo los partes re como igualmente en mejorar los establecimientos de beneficencia , y evitar qus lativos á los pueblos de Puente Don Gonzalo y Benamejí. se cierren, promoviendo suscripciones voluntarias, ínterin se curan de raiz sus males. Parte de los enfermos de la 'villa de Puente de Don Gonzalo• Extracto del parte remitido por el subdelegad® del Fomento de la provin Existencia del dia Días. anterior. Invadidos. Curados. Fallecidos. cia de Almer…</t>
  </si>
  <si>
    <t>Benavides, Simón</t>
  </si>
  <si>
    <t>Simón Benavides</t>
  </si>
  <si>
    <t>…na falsa alarma. Sin embargo, se ven muchas patrullas en las calles', y se ha buey á D. Pedro Henrique Montero: .para la de Ñavahrioral de la dado orden para que al momento que se anuncie fuego en algún punto se avi Mata" nueva á D. Simón Benavides: para la de Coin á D. Francisco se á los cuarteles , y se cubran principalmente las calles que dan vista á la cár María Sánchez Castilla: para la de Totana á D. Ramón Marín Alfo- cel , que en el dia encierra algunos reos de crímenes políticos. El bíaroa de Rufcea: para la de Alcañiees á D. Fernando…</t>
  </si>
  <si>
    <t>Bendicbo, Francisco de León</t>
  </si>
  <si>
    <t>Francisco de León Bendicbo</t>
  </si>
  <si>
    <t>…us ocupac ones para bailar ó para divertirse, ni de dia ni de noche; los Extracto del parte remitido por el gobernador civil de !a provincia de Má delincuentes sufrirán ura prisión de tres meses por primera vez, y de seis en laga D. Francisco de León Bendicbo con fecha de 3 de Mayo actual. caso de reincidencia. (D. de Debates.') Se emplea en libertar de trabas la venta de los productos de la agricultura en desterrar los abusos de abastos con tasas; en tomar conocimiento del estado — — Se lee en el Americano de Brest de 6 del corriente lo que sigue; de l…</t>
  </si>
  <si>
    <t>Bendicho</t>
  </si>
  <si>
    <t>02/09/1834</t>
  </si>
  <si>
    <t>Gaceta de Madrid n.º 200 · suplemento</t>
  </si>
  <si>
    <t>…nes de las comisiones del Có «Esta reseña histórica la he hecho con el objeto de hacer ver que no digo criminal, Milicia urbana é Interior sobre la misma. basta tener la forma de un Gobierno representativo, importando poco se lla Sr. Bendicho: «No satisfaciéndome bastante la petición , pido la palabra men Estamentos, Cortes, Constitución ú otra denorruaacion cualquiera; que en contra.” haya una Cámara, dos ó cuarenta, tampoco importa si faltan elos funda El Sr, Belda leyó el art. 135 del reglamento, y manifestó que tenían pe mentos de l…</t>
  </si>
  <si>
    <t>…rviría el medida ¡Quién ha dudado que para imponer las penas bay que tener en consi ejemplo de estas , si volviésemos á incurrir en los mismos errores. deración la edad, el sexo y otras circunstancias? A un niño no puede impo «El Sr. Bendicho ha sentado el principio de que seria menester expre nerse la misma pena que á un adulto; á una muger la que á un hombre.... Aun sar que no se pudiesen derogar las leyes sin el concurso de las Córtes. Este en las leyes fundamentales están consignados ciertos privilegios, cuales son los principio est…</t>
  </si>
  <si>
    <t>…ad da de que bastaba.presentar la cuestión co sino que 5. M. mismo acudió á las Córtes, es decir, á la Nación. mo una facultad propia de un legislador. »&gt;E&gt;ta abolición de la ley sálica es la que nos ha proporcionado la satis «El Sr. Bendicho, si bien sentó en su discurso doctrinas sanas y lumino facción , la gloria de tener hoy una Rbika inocente y una Qobernadora tal,que sas, indicando cuán diversa debería ser la resolución que se adopuse con los guia nuestros pasos hacia la felicidad pública; pero sin Córtes no se hubiera hijos de D.…</t>
  </si>
  <si>
    <t>…ra. ley relativo á excluir de la sucesión al Trono i D. Cirios; habiendo recaído para la primera el nombramiento de decano en el Sr. Ochoh, y el de secreta Dictamen presentado al Estamento de Procuradores, del reino por rio en el Sr. Bendicho; y para la segunda el de decano en el Sr. Cano Manuel la comisión de Hacienda en lí de Setiembre de 1834.(padre) , y el de secretario en el Sr. marques de la Gándara. La comisión de Poderes dtp cuenta de haber examinado los de D. Este Señores: Al entrar en el exámen del proyecto de ley presentado p…</t>
  </si>
  <si>
    <t>…estado él Sr. Presidente que aé'beiiémérita." " li ■ , y • : . .--i estaba pTohibidó interrumpir i ningún orador, él Sr. Alcalá! Galíatfó'píaíó El Tr. Bendicho: «Convengo con las opinionej^dql Sr. preopinante en qu« continuase,el Sr. Bendicho, quien después de úna corta pausa continuó), er¡ls¡iít¿\la empleomanía, que yo también detestó pojr mis principios; y es »€on estas .interrupciones he perdido el hilo de mbdiscurso, mucho mas eleria&amp;ente cosa rara que todas nuestras reformas bayap.enqpezado por hacer-la careciendo, como carezco, de…</t>
  </si>
  <si>
    <t>…conocerlo), no tienen comparación con lo oneroso de lo* anterio la luz pública hasta el año de 1823. res? Porque &lt;qué diferencia hay entre 4*200 millones y 4 ó 5 que podrán impor «Siguiendo los principios mismos que ha sentado el Sr. Bendicho en su tar Jos sueldos de los pocos individuos que en ei día existen sin colocar? Solo %c discurso, si este Gobierno era un Gobierno legítimo, legal y de hecho, «de pide que se tengan presentes y se remuneren tantos trabajos, tantas fatigas, tantas jarán de ser legítimos también los nombramientos he…</t>
  </si>
  <si>
    <t>Bendicho, Francisco de León</t>
  </si>
  <si>
    <t>Francisco de León Bendicho</t>
  </si>
  <si>
    <t>…tropas miguelistas del Alentejo se desertan muchos soldados, lama* Extracto del parte remitido por el subdelegado de Fomento de la provincia yor parte correspondientes á los territorios que ocupan las tropas de Doña Ma de Málaga D. Francisco de León Bendicho con fecha de l.° de Abril últ¡mo. ría de la Gloria. Ha circulado varias órdénes á los ayuntamientos en beneficio de la agricul tura , y ha tomado también medidas para promover la industria, y facilitar por todos los medios posibles las transacciones comerciales. Según los partes últimamente recibid…</t>
  </si>
  <si>
    <t>…o mandante de una columna de operaciones, desde Solaraña con fechd del 12 me Extracto del parte remitido por el gobernador civil de la provincia de Má da parte de haber perseguido activamente desde d pueblo—de Fontioso y en laga, D. Francisco de León Bendicho, con fecha de 3 de Julio actual. dirección de la venta del Fraile,' una partida de, facciosos, los que huyeron tan Ha promovido los expedientes necesarios para que se efectúe la ocensuacion precipitadamente que no fue posible darles alcance, y solamente se les cogieron de terrenos comunes en aquell…</t>
  </si>
  <si>
    <t>…s demás. 4 laí. once, -o r..-.¿i - I •&gt; ' • •••’ •••• ' ' 1 !.v - -. ‘ • h -• •• •. v.í bolsa db comercio___Cotización 4c hoy 4 ¡04 tres de la tarde. Extracto del parte remitido por el gobernador civil de la provincia de Má» la^a D. Francisco de León Bendicho con fecha de 8 de Junio actual. EFECTO* PUBLICOS* ~ Ha hecho distribuir con buen éxito las existencias de los pósitos. ‘ Inscripciones en él gran libro ¿u5 p/\}0A« 00. i. .M.l Ademas de las manufacturas que cuestan poco, las cuales se aumentan con Títulos al portador del 5 p. 100» 00. i siderableme…</t>
  </si>
  <si>
    <t>Bendicho, Francisco León</t>
  </si>
  <si>
    <t>Francisco León Bendicho</t>
  </si>
  <si>
    <t>…pót ninguno de los objetos que agitan la presente revolución, á He venido en conferir el gobierno civil de la provincia de Má virtud de la política con que se ha conducido la comandancia general para laga, vacante por dimisión de D. Francisco León Bendicho, que me preservarlos y conservar la tranquilidad pública que hasta anoche se había he dignado admitir en Real decreto de esta fecha, al coronel D. Ven mantenido inalterable, Tal póíicion no podía conservarse por mas tiempo, y tura de Córdoba, gobernador civil de la provincia de Cuenca. Ten era prec…</t>
  </si>
  <si>
    <t>BendU-ho</t>
  </si>
  <si>
    <t>…dicial. Si se ciñese la petición que discutimos á lo que fulla, v. g. con Res de mi corazón pudieran ser trasmitidos í todos mis dignos compañeros!” ¡ pecto á Milicia , á decir que todo español está obligado á defender con las El Sr. BendU-ho: «La cuestión de que nos ocupadlos hoy es sumamente armas en la mano las leyes fundamentales, entonces podríamos dar nuestro asen dificultosa, como ha dicho muy bien el Sr. preopinante. Se trata de establecer timiento á ella. Pero no se trata en la' petición de eso, sino de establecer una los pacto…</t>
  </si>
  <si>
    <t>Benedic</t>
  </si>
  <si>
    <t>…uedaron ademas de'in$ri)tena1 huidos _«n huÁtrb ptotfer 21 jfcisiímeros, gráÉ cantSHd de afínas y eljtcios óxi- &amp; dé gufea, Eft isthjopíaji fije íigerajSentqfheridó el^rpresá^d co ■no pasado, refiriéndose al parte femitidp por el brigadier Benedic mandante general con otros 1 í individuos, éntrelos que se cuenta to, dice que el día anterior consiguió aqúel gefe arrollar con su al alférez de caballería D. Domingo Padura, que recibió-dos bala columna y con bastante perdida á la facción de Zabal a, que con los zos en el acto de la carga. cabeci…</t>
  </si>
  <si>
    <t>Benedicto</t>
  </si>
  <si>
    <t>…di créditos activos y pasivos tiene: qué mqbras pueden hacerse en la administra rección de Durango las tropas que forman la fuerte columna det mando del ción; y la extensión que puedá darse al socorro completo de las necesidades. brigadier Benedicto procedente de Vitoria, adondo había venido de Navarra. Espero del zelo de los patronos y administradores, y de su vivo interes portel bien de la humanidad, no solo que satisfarán exactamente á cada una de La fuerza principal de las tropas de este reino al mando del brigadier Oráa, Us preguntas ante…</t>
  </si>
  <si>
    <t>…, Larruseain, Verciolo y otros ocupaban aquella vina; í j* detabes de j aquellos habitantes. esta acción que no pude entonces manifestar á V. E. son los siguientes: Reunidas en Bilbao á las fuerzas que tenia á mis órdenes las del brigadier 1 Benedicto, dispuse se dividiesen en tres columnas: la de la izquierda mandada I •En 22 de Febrero próximo pasado ha formado el subdelegado de Fomento por el brigadier coronel del 4 0 de la Guardia de infantería bu;un de Me.-: ¿a f de. la provincia de Cuenca cinco comisiones: una para que le propongan los del…</t>
  </si>
  <si>
    <t>…us respectivas Id. sio Interes, 00. fuerzas «tan los primeros que dieron ejemplo, no siéndome posible insertar los Acciones del banco españolado. nombres de los señores gefes y demas individuos de la columna del valiente CAMBIOS. brigadier Benedicto, que se hicieron acreedores á una particular mención por Amsterdam, 00. Paria 1^-19. (Cádiz |b. Sevilla par. 'hallarse aquella en el dia separada de mí. Asimismo merecen toda mi reco Bayona, 00. AJicanteácortopla—'Corufia ^d. Valencia id. mendación y aprecio de V. E. el comandante de escuadrón D. J…</t>
  </si>
  <si>
    <t>…que después de haber obtenido en 1815 el título de corresponsal El 15 de Enero salí de Vitoria con 12&lt;’,n hambres par3 Salvatierra, en del ipstituto de Francia, fue nombrado enl82u individuo de la Real academia viando ordenes al brigadier Benedicto para que „'&gt;n *u rejim.’er.» •. 57 de .inca, de Medicina, y en 1831 vocal de la junta académica; que ademas hi publicado se me uniese en dicho punto, por si lo» enemig'1* coa la facilidad que Íes pro-1 muchas obras científicas, á saber: una de química, en 2 tomos; otra sobre ve porcionan las circun…</t>
  </si>
  <si>
    <t>…del Fomento general del reino. 1 leí 9 del actual,* debo poner en conocimiento de V. K.: que habiendo salido D. Francisco Ñuño, alcalde ordinario y presidente de la junta municipal de I I el 11 para esta ciudad con la brigada del brigadier Benedicto, escuadrón de ca Sanidad de esta villa: Hago saber ¿ los habitantes de esta villa, como U divi zadores de la Guardia Real y artillería, ligera , después de haber dejado las ins na Misericordia se ha dignado aliviarnos de la terrible enfermedad que nos ha I trucciones competentes al Excmo. Sr. conde…</t>
  </si>
  <si>
    <t>…as que favorecían mi proy ecto. FRANCIA. El enemigo tomó este movimiento por una retirada, y vién París 11 de Abril. , dola á su parecer bien declarada, se vino sobre nosotros dejando sus posiciones. En este estado dispuse que el brigadier Benedicto Los periódicos rusos contienen un resúmen de la población con su columna marchase rápidamente á situarse sobre el alto deactual de Petersburgo. El número de varones es de 291,290;.el do Soyube, colocado en el camino por donde debíamos dirigirnos; yohembras 153,845: total 445,135. De estos 1,968 corresp…</t>
  </si>
  <si>
    <t>…a del nuevo movimiento de Zumalacarregui, salió to del Príncipe , sitiada de .puesto jvajizado en Jas alturas de Jieustus. para Miranda el brigadier barón del Solar, con una columna de 13 hombres, y «Inmediatamente dispuse que el general -Benedicto marchase con el la división de Odoyle con 33 se encaminaba á Peñacerrada y los demas pasos regimiento -del Príncipe á ocupar dicha altura, lo que ejecutó haciendo que de la sierra á donde aquel se dirigía en su retirada. avanzase su segundo, batallón al mando del comandante D. JS-amon Araoz, # á .s…</t>
  </si>
  <si>
    <t>…se por la Rioja; otro mas numeroso atravesaba aquel no por Lodosa; \ Ger, su movimiento hacia las provincias sublevadas á mediados de Noviembre. El por las faldas del alto Pirineo , trataba de llenar tos cuadros de los baulloac* brigadier Benedicto batió en Villafranca de Montes de Oca un cuerpo vmuy que apellidaba de Araron. En este condicto, tomo el Gobierno una resolu considerable de facciosos capitaneados por Merino. El general Lorenzo, después ción vigorosa. Al mismo tiempo que de las fuerzas reunidas en Ciudad Rodrigo de haber tenido la…</t>
  </si>
  <si>
    <t>Benedicto, D Manuel</t>
  </si>
  <si>
    <t>D Manuel Benedicto</t>
  </si>
  <si>
    <t>…ue el día 15 se diri fiscal de la misma 4 D. Francisco Entrambas-aguas. Tendréislo giesen sobre este punto dos columnas en diferentes direcciones, una entendido, y lo comunicareis á quien corresponda—Está rubricado mandada por el brigadier D. Manuel Benedicto, que alarmó á los de la Real mano.rrEn Aranjuezá l.° de Abril de 1834-=A Don enemigos obligándolos á situarse sobre Villaro y Ceanuri. Con la Nicolás María Garelly. otra columna se dirigió dicho comandante general al primer punto, aunque disimulando su movimiento para caer de flanco sobre los He ve…</t>
  </si>
  <si>
    <t>…pitán de la Guardia Real de infantería y mi ayu posición sobre este punto y las alturas de Orozco a! resto de los mencionado* dante de campo conde de Campo-Alange, capitán del regimiento provincial de cuerpos b*jo las órdenes del brigadier D. Manuel Benedicto y coronel D. Jo&gt;e ToledoV por haber manifestado á su vista el mayor valor , decisión y actividad O/orcs', que ocuparon oportunamente las monidiñas que dirigían adonde yo ib* en lo mas arriesgado del combate. Debo también hacer mención honorífica del ¿ atacar, evitando de este modo cualquiera tentativ…</t>
  </si>
  <si>
    <t>…provincia de Cuenca cinco comisiones: una para que le propongan los del centro por el brigadier barón del Solar de Espinosa; y U de la derecha por j medios de establecer en dicha provincia escuelas normales, según el método de el brigadier D. Manuel Benedicto, con la que marche, para que obrando en D. José Mariano Vallejo: otra para inquirir las causas de la miseria en que se combinación se pudiese dar un golpe decisivo a las facciones de e*u provincia, hallan los labradores , y las disposiciones que convendrá adoptar para elevarlos que en número de 60…</t>
  </si>
  <si>
    <t>…e S. M., pues su ma del 3A de línea. A las dos de la tarde del menciónalo dia avis conducta ha rayado al heroismo, y muy particularmente a los geté á los enemigos , que se retiraron y situaron en las alturas de fes de brigada, el brigadier D. Manuel Benedicto y el coronel do Olestia, de las que después de un corto tiroteo fueron desalojados Almansa D. Fausto del Hoyo. Cuando el tiempo me lo permita y perseguidos hasta llegada la noche. Al siguiente dia tuve non Ja tendré el honor de pasar á manos de V. E. la relación de los quo de que la facción mencionad…</t>
  </si>
  <si>
    <t>Benedicto, Manuel</t>
  </si>
  <si>
    <t>Manuel Benedicto</t>
  </si>
  <si>
    <t>…15 se diri fiscal de la misma 4 D. Francisco Entrambas-aguas. Tendréislo giesen sobre este punto dos columnas en diferentes direcciones, una entendido, y lo comunicareis á quien corresponda—Está rubricado mandada por el brigadier D. Manuel Benedicto, que alarmó á los de la Real mano.rrEn Aranjuezá l.° de Abril de 1834-=A Don enemigos obligándolos á situarse sobre Villaro y Ceanuri. Con la Nicolás María Garelly. otra columna se dirigió dicho comandante general al primer punto, aunque disimulando su movimiento para caer de flanco sobre los He ve…</t>
  </si>
  <si>
    <t>…del briga El subdelegado de Avila remite el parte siguiente: &gt; dier barón del Solar, y según noticias en Aramayona las de Jos brigadieres Excmo. Sr.: En la mañana del 20 del actual visité la cárcel pública de esta barón de Meer y D. Manuel Benedicto, que procedentes también de Vizcaya* Ip ciudad, con el objeto de enterarme de todo lo relativo á su policía interior, á seguían el movimiento del comandante general de aquella provincia. al me me que cuyo acompañase mismo para que corregidor fin rogué informa general recibido del fecha con 25 del c…</t>
  </si>
  <si>
    <t>…te del regimiento de Soria D. Luís Coll, que se portó con una dividí las fuerzas en cuatro columnas, mandadas por los beneméritos gefr* lo* notable bizarría , en la defensa de la ermita , el tambor del mismo cuerpo Ma brig;H&gt;eres D. Manuel Benedicto, D. Fermín Inarte, y los coroneles D. Fé leo LoíÍis, el primero que conoció el engaño de que 6C valían los enemigos lix Carrera y D. José Ozores, con quien marché, tas que lograron arrojar de pira sorprendernos, é incitó á su compañía á romper el fuego: el capiran Don sus guaridas á dichas faccione…</t>
  </si>
  <si>
    <t>…de Cuenca cinco comisiones: una para que le propongan los del centro por el brigadier barón del Solar de Espinosa; y U de la derecha por j medios de establecer en dicha provincia escuelas normales, según el método de el brigadier D. Manuel Benedicto, con la que marche, para que obrando en D. José Mariano Vallejo: otra para inquirir las causas de la miseria en que se combinación se pudiese dar un golpe decisivo a las facciones de e*u provincia, hallan los labradores , y las disposiciones que convendrá adoptar para elevarlos que en número de 60…</t>
  </si>
  <si>
    <t>…ues su ma del 3A de línea. A las dos de la tarde del menciónalo dia avis conducta ha rayado al heroismo, y muy particularmente a los geté á los enemigos , que se retiraron y situaron en las alturas de fes de brigada, el brigadier D. Manuel Benedicto y el coronel do Olestia, de las que después de un corto tiroteo fueron desalojados Almansa D. Fausto del Hoyo. Cuando el tiempo me lo permita y perseguidos hasta llegada la noche. Al siguiente dia tuve non Ja tendré el honor de pasar á manos de V. E. la relación de los quo de que la facción mencionad…</t>
  </si>
  <si>
    <t>Beneito, Joaquín</t>
  </si>
  <si>
    <t>Joaquín Beneito</t>
  </si>
  <si>
    <t>…las 12 comandancias. La facilidad que tiene este cuerpo Sierra, que lo es de la de Granada; á D. Pedro Jacobo Pizarro, para su reemplazo, y la circunstancia de ser soldados hechos casi fiscal electo del crimen de la de Sevilla; á D. Joaquín Beneito y todos los individuos que se empeñan en él, produce la ventaja de Beneito y á D. Francisco de Paula Herrera; y en clase de fiscales, que esta tropa pueda servir y batirse desde el dia que principia ¿ para lo civil á D. Demetrio Ortiz, que actualmente sirve esta pla- pagarla el Estado; ventaji import…</t>
  </si>
  <si>
    <t>Benitez</t>
  </si>
  <si>
    <t>…Hoz, jurisdicción del Viso, dqnde quedaron muertos en el campo 14 de los »oisa de coMEncio—Cotizarion de hoy á las tres de la tardé. \7 que la componían, y entre ellos ei segundo cabecilla Hermenegildo Osorio, muerto por el mismo capitán Benitez, escapando solo tres. EZZCIOS DOBLinOS.. I-iscripciones en el gran libro A f p. 100 , 00. Títulos al portador del S p. 100, 62¿, i, 63 ^524 ^ varias 6s. ó Vol. -¡ VARIEDADES. InscripcionesTítulos al portadoren H grandel 4 librop. t00«i 4 Í4p. &gt;1100;coludo»00. II t ii L' fí 11 344,15$ ,f y i varias…</t>
  </si>
  <si>
    <t>Benitez, D Lorenzo</t>
  </si>
  <si>
    <t>D Lorenzo Benitez</t>
  </si>
  <si>
    <t>…rito alcalde mayor del 4&gt;993.................... 1000.................... .... Grapada. .primero de dichos dos pueblos,^ há sido completamente derrotada y destruida 13,136.................... 1000....,.,............ Cádiz. por el capitán D. Lorenzo Benitez y por el teniente del provincial de Córdo ba D. Rafael Ariza, que con 4 Urbanos de la Calzada de Calatrava y las co lumnas de su mando lograron alcanzar á dicha facción en el barranco de la Hoz, jurisdicción del Viso, dqnde quedaron muertos en el campo 14 de los »oisa de coMEncio—Cotizarion de hoy á…</t>
  </si>
  <si>
    <t>Benitez, Josef</t>
  </si>
  <si>
    <t>Josef Benitez</t>
  </si>
  <si>
    <t>…l tráfico y circulación interior, ha tenido á bien mandar £. M. la Reina IsA&amp;EL U. I Gobernadora, en nombre de su anuda Hija la- Ki ina Doña Rabel n, que Estos son lo» sentimientos de este ayuntamiento y de todo este vecindario I D. Josef Benitez, consejero honorario del supremo de la Guerra, eri unión que tiene la dicha de ofrecer á los Reales pies del trono de vuestra excelsa Hija I con D. Cesáreo María Saenz, director de la Re.il compañía de Filipina», y de y nuestra augusta Soberana Doña Isabel u, suplicando á V. M- se digne ad D. Manue…</t>
  </si>
  <si>
    <t>Benitez, Lorenzo</t>
  </si>
  <si>
    <t>Lorenzo Benitez</t>
  </si>
  <si>
    <t>…elada de 20 quintales valencianos de arena ó fango que se extraiga. El comandante gen feral de la provincia de la Mancha manifiesta que el 8. a Serán preferidos los que ofrezcan el precio metior, y los que se com capitán graduado D. Lorenzo Benitez con su columna, compuesta de 25 hom prometan á concluir la Operación en menos tiempo. bres del provincial de Córdoba y 10 caballos del 3.° ligero, encontró con un 9.a Al fin de cada mes se satisfará al empresario cuanto resulte devengado gTupó de facciosos (que llevaban la dirección de la encomiend…</t>
  </si>
  <si>
    <t>…alde mayor del 4&gt;993.................... 1000.................... .... Grapada. .primero de dichos dos pueblos,^ há sido completamente derrotada y destruida 13,136.................... 1000....,.,............ Cádiz. por el capitán D. Lorenzo Benitez y por el teniente del provincial de Córdo ba D. Rafael Ariza, que con 4 Urbanos de la Calzada de Calatrava y las co lumnas de su mando lograron alcanzar á dicha facción en el barranco de la Hoz, jurisdicción del Viso, dqnde quedaron muertos en el campo 14 de los »oisa de coMEncio—Cotizarion de hoy á…</t>
  </si>
  <si>
    <t>Benito</t>
  </si>
  <si>
    <t>…a Serena ninguna ¡dvasion desde el dia 19 al 22 del propio mes, ni fallecido mas de 3 personas de las 97 que existían enfermas, PROVINCIA DÉ TARRAGONA. se había cantado el Te Deum en acción de gracias por tamaño beneficio: que en Don Benito fueron invadidas 8 personas desde 18 á 21 del enunciado mes, Avisa su gobernador civil, én oficio de 22 dfcl corriente, que los pue falleciendo dos, y quedando enfermas 10: que en Hava seguía disminuyendo blos de aquella provincia disfrutaban de buena salud, excepto Alcanar, en el la enfermedad con…</t>
  </si>
  <si>
    <t>…i El artículo 5.° se aprobó sin discusión; y el 6° lo fue después de alguna miento en la villa de la Para: desde 28 á 31 de Octubre último curaron en controversia, con algunas variaciones, y con las adiciones de los Sres. Barjona Don Benito 37 personas, murieron 23, y quedaban 66 enfermas: el cólera se y Aguillar, siendo la de éste »que se conceda un premio de diez cuentos do habia declarado en Laserena, Campanario , Haba y Guareña. reís al que so apodere del ex-infante.” El Sr. Liberato hizo la siguiente proposición, que fue unánimem…</t>
  </si>
  <si>
    <t>…onvicción los principios que se defendían en aque- jales; para el dePeñafiel á D. Alejandro Cipdevila; para el de la Coruña a Don época; que los seguimos con entusiasmo; que fuimos envueltos entre sus Fernando Miranda; para el de Don Benito a D. Pedro Galyis López, alcalde que hay hombres ilustrados y liberales, que mayor de Bancarrota; para el de Orgiz á D. Antonio Evaristo de Hará;rruinas»,—.Sin embargo, sabemos de buena fe son contrarios á aquellos principios, porque los consideran exage para el de Grazalema á D. Francisco Montorov…</t>
  </si>
  <si>
    <t>…a y quemada por los facciosos el dia 10 del corriente, cerca de Villanueva da cólera en la Puebla de Alcocer, bien que con síntomas muy benignos; y que los Asnos, á dos leguas de distancia de Búrgos. Do que se avisa al público en Don Benito y en el Valle de Santa Ana seguía disminuyendo dicha enfer para su noticia. medad. PROVINCIA DE CÍ.CERES. bolsa de comercio.__Cotización de hoy á las tres de la tarde. Con fecha 6 del actual manifiesta su gobernador civil que desde el último parte no había ocurrido novedad en Torrejoncillo: que en lo…</t>
  </si>
  <si>
    <t>…Pola de Lena, Pravia , Villaviciósa. '*■ Avila. Arenas de S. Pedró, Arétralo, Avila, Barco de Avila, (lebreros, Parte recibido en el ministerio de Estado. Piedtahjta. 4 ' i . , ' , ' *, Badajoz. Aítnendralejo, Badajoz, Castuera, Don Benito, Fregenal de la Comandancia general de la proviriciz de Toledo.—Ezcmov Sr.: Los' parles Srerfr, Fuente de Cantos, Herrera del Duque , Jerez de los Caballeros, Llere— de los comandantes de las diversas columnas én persecución de 'facciones me tu, Mérid*, Olivehza,"Puebla/de Alcocer, Villanueva de la…</t>
  </si>
  <si>
    <t>…urados. Fallecida*,. lo «enciál que hemos visto, dejando hablar al director D. Ramón de la Sa gre , que tuvo la bondad de acompañamos é ilustrarnos con sus explicaciones, que repite gustoso á cuantas personas van á consultarle. - Don Benito.. . ii7 Novíemb. 141 53 SI 7 La institución agrónoma ha recibido, ademas de los arados descritos en Vfllanucra de la segunda de sus memorias,v otro construido también en Roville, llamado la Serena..... . 5 á 8 ídem. .. • 444 1.-0 50 americanopor la forma y disposición de la reja y de la vertedera. El…</t>
  </si>
  <si>
    <t>20/11/1834</t>
  </si>
  <si>
    <t>Gaceta de Madrid n.º 279</t>
  </si>
  <si>
    <t>…BADAJOZ. La redo...... .. 31 Oct. áóNov. No consta. 17 « Parte de 15 de Noviembre. Nota. En los demas pueblos invadidos apanas se presentaban ya alfuaas caso*. Pueblos. Dias. Enfermos. Curados. Fallecido*. PROVINCIA DI TARRAGONA. D. Benito............. 8 á 10 Noviemb. 26 k 30 123 Resulta del parte que su gobernador civil da con fecha 11 d*l actual, qaa Guareñx..... . 3 á id................ 38 s 1S7 221 en aquella capital, en Tortosa y en Reí* se disfrutaba da buana salud: desde 4 Torre, de 'Miguel i 8 del mes de la fecha no había ocurrido invasió…</t>
  </si>
  <si>
    <t>…osas defendidas por enormes piedras y profundos que según el parte ha sido el que mas se ha distinguido y se halla barranco». Convencido entonce» de que el movimiento de los fac atrasado en su carrera, como igualmente el ayudante D. Benito ciosos por mi izquierda habia sido una estratagema para llamar la Tapia, y al subteniente graduado de carabineros de costas y fronte atención sobre aquella parte, y en vista de la crítica situación en ras D. Francisco Jardín, que por su infatigable zelo y repetidas que me hallaba con la columna de…</t>
  </si>
  <si>
    <t>…es que ofrecían 6 por loo, no es proba Tueblos. Pías. fcnfer^&amp; Curado». MhcMofc ble que la Rusia puede contraer un empréstito al 4 P°r 100, como quieren hacer creer algunos periódicos encargados de poner su crédito en buen lugar. D. Benito.......... 11 á ¡4 Nov... 105 43 21 Por lo demas, las cartas de S. Petersburgo que nos hablan de estos dife Virianueva de la rentes objetos, aseguran que el gobierno imperial cuenta con que tendrán buen Serena. .. . . 12 i 15 ídem. .. 514' 160 19 resultado sus reclamaciones contra la Francia en nombre de la P…</t>
  </si>
  <si>
    <t>…otenciarSt de los Estados de Alemania considerables por su Buho.ninguna invasión ni fallecimiento, curaa4o28 perdono» y quedando en comercio.'Estc. congreso, que puede mirarse corno una ¡secuela del de Viena, fermas I4I :.«juc en D. Benito fueron Ínva^i&amp;si^ pez&gt;ona&amp; desde el'día l5 tendrá por objeto deliberar sobre las condiciones con que Francfort, Nassau y al 17 inclusive, curaron 20 y fallecieron éjyTqucdando enfermas final .Badén podrán ser admitidos á la unión del sistema de aduanas.” N , mente que en algunos puebtosde Ú misnáa^…</t>
  </si>
  <si>
    <t>…ntemente la Se leyó Otra oficio dé los Sres. Secretarios del Estamento de ilustres Pró-~ propiedad de - las rentase y en eso me fundo para decir que en el, caso actual ceres, participando haber sido hombrado portero 2.° del mismo D. Benito hay mas amplitud que otras veces.” ' Fernandez, macero del Estamento de Sres. Procuradores, i fin de que se dis El Sr. Medrano.- «Hay upa circunstancia muy esepciSl en. el ..concepto ponga que el interesado se'presente á servir su plaza. El Estamento quedó en-* de la co ni i-ion parrque.se deba adm…</t>
  </si>
  <si>
    <t>Benkendorf</t>
  </si>
  <si>
    <t>…tcheft es dis tinguido miembro, empieza á levantar cabeza, y que por su conducta recuer ESTADO SANITARIO DEL REINO. da el período que precedió á la campaña concluida con la batalla de Austerliz. Habiéndose conseguido la caída del general Benkendorf, es probable que PROVINCIA DE HUESCA. las otras pretensiones de este partido sean atendidas. La Rusia, en lugar de pen sar en una agresión contra la cuadrupla alianza, está ocupada en mejorar su ha Parte sanitario de 3 de Noviembre. cienda, que no se halla en un estado próspero. El tesoro nada saca…</t>
  </si>
  <si>
    <t>Bentmck, W</t>
  </si>
  <si>
    <t>W Bentmck</t>
  </si>
  <si>
    <t>…ormales, á propagar por me S. M. y los directores de la compañía de la India oriental sobre el nombra dio de la preña las luces necesarias para que el labrador conozca cuánto de miento de un nuevo gobernador de aquellas colonias. Lord W. Bentmck ha pende su fortuna del trabajo del terreno, de la elección del grano, del momento concluido el período- señalado á este destino, y por motivos personales desea y las precauciones con que ha de confiarse á la tierra. volver á Inglaterra. Los candidato para sucederle son , según creemos, el conde El…</t>
  </si>
  <si>
    <t>Beqcrra, D José</t>
  </si>
  <si>
    <t>D José Beqcrra</t>
  </si>
  <si>
    <t>…e Procurador; y que hallando justo lo expuesto por di A la misma comisión se pasaron los poderes y documentos de su aptitud cho Sr., era de dictamen que se admitiese su renuncia, pasándose el oportuno legal, que había remitido el Sr. D. José Beqcrra, Procurador electo por la pro sviso para su reemplazo. Fue también aprobado. ^ vincia de Lugo. En seguida entró á jurar y tomó asiento el 5r- D. Manuel Sánchez TosI La comisión especial encargada del eximen del presupuesto de Gracia y cano. Justicia, dió parte de haber nombrado por decano de ella a…</t>
  </si>
  <si>
    <t>Beqcrra, José</t>
  </si>
  <si>
    <t>José Beqcrra</t>
  </si>
  <si>
    <t>…ocurador; y que hallando justo lo expuesto por di A la misma comisión se pasaron los poderes y documentos de su aptitud cho Sr., era de dictamen que se admitiese su renuncia, pasándose el oportuno legal, que había remitido el Sr. D. José Beqcrra, Procurador electo por la pro sviso para su reemplazo. Fue también aprobado. ^ vincia de Lugo. En seguida entró á jurar y tomó asiento el 5r- D. Manuel Sánchez TosI La comisión especial encargada del eximen del presupuesto de Gracia y cano. Justicia, dió parte de haber nombrado por decano de ella a…</t>
  </si>
  <si>
    <t>Ber, D</t>
  </si>
  <si>
    <t>D Ber</t>
  </si>
  <si>
    <t>…ra los fines quo de primera educación. juzgue convenientes. Se han mejorado muchos de estos establecimientos, y se ha es Lo que tengo el honor y satisfacción de manifestar á V. E. tablecido una escuela normal gratuita á cargo dei profesor D. Ber para que se digne hacerlo presente á S. M. la Reina Gobernado nardo Díaz'Malo. ra, como que los habitantes de los pueblos déla raya de este partido El subdelegado trata ademas de restablecer la sociedad econó de mi mando, luego que supieron la invasión de los facciosos, sa mica de Talavera de la Re…</t>
  </si>
  <si>
    <t>Ber, Francisco de Zea</t>
  </si>
  <si>
    <t>Francisco de Zea Ber</t>
  </si>
  <si>
    <t>…stro; á lo que se negó leal y Los expresados documentos, que son los que comprende la certificación honradamente el plenipotenciario , respondiéndole el Sr. Infante , que hacia librada por el que entonces era Secretario de Estado D. Francisco de Zea Ber- bien , y que se retirase ; entregándole en aquci acto las cinco cartas que se ex mudez, se refieren á las contestaciones que habían mediado entre el Sr. Don tractan en la exposición del Sr Secretario de Gracia y Justicia, dirigidas á Fernando vir yiS. M. la Reina Gobernadora por una parte, y el Sr.…</t>
  </si>
  <si>
    <t>Beranger</t>
  </si>
  <si>
    <t>…dé Francia é Ingla tados , y en seguida se procede á la elección del cuarto vicepresidente y de los terra, coligándose al ver el aspecto que tomaba la cuestión holando-bclgaj cuatro secretarios; recayendo el primer destino en el Sr. Beranger, y los otros ejemplo que dió á conocer á las Potencias la necesidad de oponer un contrape cuatro en los Sres. Ganneron, Martin (del Norte), Cunin-Gridaine y Real. so, y estrechar mas los vínculos que la unen. La expedición de los Dardanelos Hallándose vacante una de las plazas de cuestor por fallec…</t>
  </si>
  <si>
    <t>Berano, José</t>
  </si>
  <si>
    <t>José Berano</t>
  </si>
  <si>
    <t>…ima fuerza de los urbanos que huyeron á la primera noticia. El coronel Carrera con sus tro de caballería, y de consiguiente me quedé en la morada del pue pas pernoctó el 7 en Chaves, y adelantando una pequeña vanguar blo con solo D. José Berano, á fin de que hallándome á la vista dia a la distancia de cuatro leguas al pueblo de Montealegre, se de todo pudiese obrar por la espalda, como se me presentó la me apoderó de un repuesto de municiones y paños pertenecientes á di jor ocasión al efecto; mas no fue posible desatender dichos cami cha…</t>
  </si>
  <si>
    <t>Bercnguela</t>
  </si>
  <si>
    <t>…de la civiliza «Mas adelante en 12S5 ya se principió á establecer un derecho positivo, ción europea , que tarde ó temprano extenderá su benéfico influjo basta las mas y se dió una ley escrita sobre esto. En las Córtes de Sevilla Doña Bercnguela remotas del Norte. fue jurada y reconocida por Reina y sucesora del trono, lo que no tuvo efec •&gt; Por esto debemos defender á todo trance tan sagradas banderas, y asi to por el nacimiento del Infante de la Cerda su hermano D- Sandio. Este se hace, no solo en la ctpital con las resoluciones que aquí…</t>
  </si>
  <si>
    <t>Berenger</t>
  </si>
  <si>
    <t>…rlo para cuando la minuta se dis Sr. conde de Santa Coloma un delicado refresco al Excmo. Sr. capitán general cuta por párrafos. y á los individuos del ayuntamiento. En todas las noches hubo la misma ilu El marques de Mornay y el Sr. Berenger aprueban la minuta, exponiendo minación, la misma alegría y las mismas demostraciones de ia lealtad catalana, ¡él segundo en un extenso discurso que la reforma que el gobierno ha hecho en uno de los firmes apoyos de la legitimidad de nuestra augusta Soberana. el jurado es útil y conveniente; y que…</t>
  </si>
  <si>
    <t>…e serlo á la nación: que se procede con el mayor ri tribunal ha falsificado cierto documento, y prueba que lejos de ser cierto, co gor contra los periodistas, ya suspendiendo la publicación de los periódicos, ya mo ha indicado el señor Berenger, que los magistrados no proceden con el ti multándolos en gruesas cantidades, ya condenándolos á prisión por dilatado no y prudencia que se requiere, ni protegen al jurado, han acreditado siempre tiempo: que se persiguen las sociedades políticas; y que á despecho de la cons su capacidad y conocimie…</t>
  </si>
  <si>
    <t>Berengueia</t>
  </si>
  <si>
    <t>…la contribuye á unir este reino con de sucesión en las hembras; como ya se había reconocido, antes de nacer aquel el de Castilla; en Castilla la vemos comprobada con repetidos ejemplo*, y en Príncipe , en la persona de su hermana Doña Berengueia. lazar este rcinocon el de Aragón: en Aragón vemos reinar las-hembras; y «Por manera que vemos que las mismas Córtes pagan este tributo á la aun cuando aquel pueblo ejerce el aejo mas solemne llamando á un Príncipe antigua costumbre de Castilla que llamaba al trono á las hembras, y no admi al trono,…</t>
  </si>
  <si>
    <t>Berimidez, Francisco Zea</t>
  </si>
  <si>
    <t>Francisco Zea Berimidez</t>
  </si>
  <si>
    <t>…bucion de LondresHamburgo,a yooo. días BarcelonaÍ a X b. á pesos fs. i¡ SantioUMálaga tr b.par. 460. á 4 p. IpQ 37i- Bilbao par. | Santiago i d. r|o .sügfirhí^ndo la dirección general de propio^' y Arbitrio,?. dccrato relevapdo i D. Francisco Zea Berimidez tjel ministerio dé ANUNCIOS. .íacío^y mandanticf pase a servir su plaza efectiva de Consejero de Estadp. Inombrando"S D. Francisco Martínez de la Rosa, Secretario de Esta- Entoyot políticos, económicos 7 filosóficos del conde de Rumfbrd, traducidos de -orden de la Real sociedad económica de esta co…</t>
  </si>
  <si>
    <t>Berlín, Cubieres En</t>
  </si>
  <si>
    <t>Cubieres En Berlín</t>
  </si>
  <si>
    <t>…ós, sardos y bá varos,* concurrió la Duquesa María Luisa de Parma, el da nuestra gratitud y nuestra generosidad! (/dj Duque de Módena, el príncipe Oustavo Wasa, hijo del ex~Rey Oustavo iv de Suecia, hoy el coronel Gustawson, y el general Cubieres. En Berlín es considerable la afluencia de extrangeros. El príncipe Mauro* cordato, embajador de Grecia en Munich, llegó el 14, y piensa permanecer aquí algún tiempo, y lo mismo el conde Luis de Irbach-Schoenberg. El Prín ESPAÑA. , cipe Federico de Holanda salió el 17 para el Haya, y nuestro Príncipe Au gusto…</t>
  </si>
  <si>
    <t>Bermudez</t>
  </si>
  <si>
    <t>…ón núan sin novedad en su importante salud en el Real Sitio del Fardo. cón un rebelde, y le pareció mejor guardar la dignidad jkLgohiflmo no esc i ¿bien------- do cartas particulares, sino dando ói Jeueii. Le~&lt;lmgió. pues, una al general Bermudez, mandándole que no hiciese cosa alguna que no fuese bajo las órdenes del señor general Necochea. La. contestación fue como debía esperarse de un hombre PARTE NO OFICIAL. queteníaestabalo mismorealizandoque la-proclamaproyectos quequehabíaen eseformadodia publicó,muy dey estabaantemano.suscritaEllap…</t>
  </si>
  <si>
    <t>Bermudez, D Pedro</t>
  </si>
  <si>
    <t>D Pedro Bermudez</t>
  </si>
  <si>
    <t>…en ella. art. 4® del proyecto del Gobierno; y decidido que sí, se procedió á leerle. Se dió cuenta de una carta dirigida al Sr. Presidente del Estamento por el Art. 4® Se creará un fondo nue^o al S por 100 que represente la deuda Sr. D. Pedro Bermudez, Procurador por la provincia de la Coruña, en que activa, en el que se convertirá la parte de los antiguos empréstitos extrangeros noticiaba que una furiosa tempestad le había arruinado su casa ; y pedia licencia comprendidos en la deuda activa. p^ra ir á arreglar sus intereses. Después de una lige…</t>
  </si>
  <si>
    <t>Bermudez, Francisco de Zea</t>
  </si>
  <si>
    <t>Francisco de Zea Bermudez</t>
  </si>
  <si>
    <t>…ue no vacilarás un momento en reconocerlos. = M. Cários.” unida bajo un punto de vista la cuestión del hecho, resulta, sin dar logar á duda:,l.° Que D. Cários María Isidro de Borbon dió pábulo con su silencio Quinta cubierta. « A D. Francisco de Zea Bermudez.” i la rebelión intentada ¿ su nombre, y que estalló mas de una vez cuando, qp Interior. « Habiendo recibido ayer la noticia oficial de la muerte de mi muy sobreviniendo novedad, le hubiera correspondido subir al trono por derechp amado Hermano y Rey, y siendo yo su legítimo sucesor, os mando pongái…</t>
  </si>
  <si>
    <t>…ue Sir - • ez d- i •- ledo , r.=Ju- tn C •e M.:-s ro , Pedro (L'nza'ez, procurad &gt;r dn c'-ipu:' =Ei cu'd p. 1. Reales decretos. ceño de A rev-áo.^J o-.c f Pcre? , pred-¡ier- .^larn-s 1 ,.s.. V 1 • Conviniendo al Real servicio que D. Francisco de Zea Bermudez desem RisCO , présbite ro =}• r. A n ron.» i de Re v 1. la , g m’ir- —z Ir. peñe su plaza efectiva de consejero de Estado, he venido en resolver en nom ,ñeras , presidente. —Por la lI-i-c df rs.iiln: os, -\ni ■ .1 .'TV- : bre de mi muy cara y amida Hija U Reina Doña Isabel n ,que pase á ocu ade C-a…</t>
  </si>
  <si>
    <t>Bermudez, Pedro</t>
  </si>
  <si>
    <t>Pedro Bermudez</t>
  </si>
  <si>
    <t>…lla. art. 4® del proyecto del Gobierno; y decidido que sí, se procedió á leerle. Se dió cuenta de una carta dirigida al Sr. Presidente del Estamento por el Art. 4® Se creará un fondo nue^o al S por 100 que represente la deuda Sr. D. Pedro Bermudez, Procurador por la provincia de la Coruña, en que activa, en el que se convertirá la parte de los antiguos empréstitos extrangeros noticiaba que una furiosa tempestad le había arruinado su casa ; y pedia licencia comprendidos en la deuda activa. p^ra ir á arreglar sus intereses. Después de una lige…</t>
  </si>
  <si>
    <t>Bermudo</t>
  </si>
  <si>
    <t>…rir el castigo, puesto que se trata de na manera , expondré varios hechos históricos , que comprueban esta verdad. atacar nuestra libertad. D. Cárlos es la causa de que se derrame tanta sangre; •&gt;Por muerte de Alfonso v y su hijo D. Bermudo, sucedió Doña Sancha, los hijos deben seguir la suerte del; padre. ‘ ' la que fue reconocida y jurada en las Cortes á fines del siglo xi. Cuando su «Desengañémonos: sus hijos no pueden seguir otras banderas que las del cedió Doña Sancha no habia ningún derecho escrito que la llamase al trono: padre…</t>
  </si>
  <si>
    <t>Bermuldez</t>
  </si>
  <si>
    <t>…allao,á la provincia.dese halla actualmenteChancay.acompañan El mismo dia recibió el presidente una carta del generalTramaría, qaa S. M. la Reirá nuestra Señora , su augusta Madre la Reirá contenta varios insultos y decía, que ei general Bermuldez, viendo á Ja capital Gobernadora, y la Serma. Sra. Infanta Doña María Luisa, conti abandonada por el gobierno, y entregada i la anarquía, había tomado tobrc si el cargo de tranquilizarla. El presidente creyó que no debía entrar en discusión núan sin novedad en su importante salud en el Real Sitio d…</t>
  </si>
  <si>
    <t>Berna, Toteas García</t>
  </si>
  <si>
    <t>Toteas García Berna</t>
  </si>
  <si>
    <t>éfOU . S horas, que cumplirán á las tres de la tarde del día de mañana, y de su resulta propio cuerpo D. Toteas ¿García Berna!, y el segundo interiao , teniente coro do diré i V. E puntual aviso. nel graduado D. Valerio León, capitán de dicho batallón, han ejecutado con Oíos óíc. Campo sobre Serpa 29 de Mayo de 18.14-“ íixemo. Sr.”Fran todo acierto y oportunidad la* órdenes que les he dado. cisco Serrano.^zExcmo. Sr. Secr…</t>
  </si>
  <si>
    <t>Bernard</t>
  </si>
  <si>
    <t>…r opiniones, y paíéce que pira éllós él hombre dé aréo és M colfcb áé la glo ca de S. M. el Rey de Prusia -. para ministro de Guerra al teniente general ria humana. Al ver i uñó ¡dé éstos declamadóríh tfeéria cóalquiéra qüe !Hl i barón Bernard: para ministro de Marina y de las colonias al barón Cárlós terminar su vida como Aya* &gt; sobre úhi ibei ródtadó dé táéfofe lós fürbfS Dupin , miembro de la Cámara de Diputados, y del consejo del Almirantaz del cielo, exclamando «¡huiré, nial qué Ies pese á loi Dioses!t&amp; comb él ■¿HA go : para minist…</t>
  </si>
  <si>
    <t>Bernardo</t>
  </si>
  <si>
    <t>…l de Bombay que ya habrá tenido dos dias Joaquín Gancio é Irigoyen, diácono capellán de .Arizau; á D. An para repararse y proveerse de todo lo necesario, tomará inmediatamente tos tonio José Lasarte, subdiácqno de Urrestilla; y á D. Bernardo de pasageros, y saliendo para Suez recibirá los pasageros de Alejandría que hayan Iturriaga, beneficiado &lt;fe Azpeitia. Tendréislo entendido, y dispon ido allá con el buque de vapor del Mediterráneo; combinándose todo de ma dréis lo necesario á su cumplimiento.s: Está rubricado de la Real nera que la l…</t>
  </si>
  <si>
    <t>…os dejados en el campo de batalla, como por el de heridos que cisco de Echalucc, hermana del Sr. comandante general de esta provincia, han retirado 4 loa pueblos de Navarniz, Ereño y otros. Lo que tengo el ho que dejó tres hijos, D. Bernardo, D. Fermín y D- Juan, de tierna edad, y nor de poner en conocimiento de V. E. para que lo eleve al de S. M. la Reina sin apoyo alguno: á Mana Antonia de Landa, viuda del Urbano muerto Ba ‘Gobernadora. Y lo trascribo.á V. E con el propio efecto y en Cumplimien silio Ascargorta, que dejó una hija; y…</t>
  </si>
  <si>
    <t>…tad reaWen Francia, y el valor y la habilidad de los Re Juan María de los Heros, natural de esta corte, que falleció intestado; hijo legítimo yes y capitanes que las dirigieron hubieran dado á la monarquía fraasesa la suprema* de D. Bernardo, que fue del comercio de lienzos en la calle de Postas, y de Dufia cía en Europa, á no tener por rival á la España, que por la unión de Aragón y Cas Angela Romana López, para que eo el término de 30 días -comparezcan ante dicho tilla y la subyugación del reino de Granada, dirigida por la política d…</t>
  </si>
  <si>
    <t>Bernelle</t>
  </si>
  <si>
    <t>17/06/1834</t>
  </si>
  <si>
    <t>Gaceta de Madrid n.º 120</t>
  </si>
  <si>
    <t>…tido por el gobernador civil de la provincia da legión extrangera, de 300 zuabes, 100 cazadores de Africa y dos secciones de Cuenc.i , D. Joaquín Rodrigue?, con fecha de 3 de Junio actual. artillería. Le han sostenido muy bien el coronel Bernelle, el teniente coronel Cuidará de emplear los arbitrios puestos á su alcance para facilitar ia ex Jaubert y el comandante Lamoniciere. El 4-° de línea se ha despedido del sue tracción de granos por medio del esiablecinvento de mercados en los puntos lo, africano de una manera muy honrosa. El capitán…</t>
  </si>
  <si>
    <t>Berrier</t>
  </si>
  <si>
    <t>…En Hungría han sido condenados varios individuos, y entre ellos algunos en la Cámara la primera y mayor de todas las mayorías, á saber la de la razón. empleados públicos, los'unos a pena de muerte^y otros á la de reclusión por El Sr. Berrier piensa que se debe tomar conocimiento de todas estas expo fraudes cometidos en las minas de oro de Scheprmilz. $e cree que el Empera siciones-para ver cuáles se han de desechar jg-sobrtf cuáles sefhaf de tomar otra dor, á quien han' de remitir las sentencias para su aprobación, conmutará la . clase…</t>
  </si>
  <si>
    <t>Berriozabal, Manuel</t>
  </si>
  <si>
    <t>Manuel Berriozabal</t>
  </si>
  <si>
    <t>…uente á la sóida de la villa deTamante, y en el arroyo llamado D. D. J. G- H. por suscripción mensual............................................. 60 Lasos:!, intrunsiiable y peligrobo en t:eríipo de lluvias. El puente de Sarmena D. Manuel Berriozabal............................................................................ 100 deberá empezar a ce n lru rse lurgo que el ayuntamiento evacúe el informe que Doña M. M. P......................................................................................... 120 se ie tiene pedido K&gt;bre loSbobrantes.de propios, sobre el co^te que tuvo la úl D. F. I........................…</t>
  </si>
  <si>
    <t>Berriozabal, Manuel Plácido</t>
  </si>
  <si>
    <t>Manuel Plácido Berriozabal</t>
  </si>
  <si>
    <t>…dias, instituido por mi decreto de 24 el brigadier D- Baldomcro Espartero ha remitido al ministerio de de Marzo último, i D. Manuel María Arbizu y Alava; á Don la Guerra: resultan los siguientes detalles: Manuel Genaro Viilota; á D. Manuel Plácido Berriozabal; al Sabedor que la facción de Luqui y Latorre se hallaba en Orozmarques de Piedras-Blancas y 4 D. Juan José Recacho, y para co en número de 800 á 13 hombres, hizo que el día 15 se diri fiscal de la misma 4 D. Francisco Entrambas-aguas. Tendréislo giesen sobre este punto dos columnas en diferentes d…</t>
  </si>
  <si>
    <t>Berrnudez, Florencio</t>
  </si>
  <si>
    <t>Florencio Berrnudez</t>
  </si>
  <si>
    <t>…cúspide fny una gran plata Guardia Real de granaderos provinciales; del teniente del misnto cuerpo Pon forma, siendo sus accesos descubiertos y escarpados, y dominando los caminos Vemur3 Moragues, y de los subtenientes del propio-D.-Florencio Berrnudez, de Segura y de Cegama: á su frente y muy inmediata hay otra altura algo me nos elevada^ avanzada «obre la avenida principal del enemigo. En esta posición D. Juan Antonio López, D. Cayetano Cogoiludo y í). José Lanñay y de. IX Migue) Pou, capitán del regimiento de caballería 5.3 ligero; del general…</t>
  </si>
  <si>
    <t>Berryer</t>
  </si>
  <si>
    <t>…Propone el Sr. Merilhou que se remitan al presidente del cónsejo de Mí-i ITALIA. nistvos las exposiciones que tratan de agregar á los electores las personas de ta-f lento'. &lt; •' "• ^ • ■ ' •-"••• J'KJ \ Plápoles 3 de Febrero. El Sr. Berryer pide que el dictamen de la comisión se divida, preguntando* Ayer por la tarde llegaron á esta capital el mariscal Bourmont, su hijo st se declara que no há lugar a votar sobre las exposiciones que tratan de agre-f Carlos y M*. Laroche|acquelÍn con su esposa y su sobrino. El buque de vapor gar los h…</t>
  </si>
  <si>
    <t>…ioftpor fin al cabode tm cuarto di kora\ lo V»1no Háy que extrañiT estos extravíos del lenguaje, nada, nada gran los pateros que se restablezca el silencio. ... " absolutamente prueban. A pcsaT de cuanto se dice desde I88li so El Sr. Berryer siente que la discusión se vaya acalorando -de bre la tiranía del gobierno y de la pérdida de .nuestras libertades, masiado, y espera qué la Cámara le hará la justicia de no aplicarle se goza en Francia de muchísima libertad; hay mas que en ningu -io que se ha dicho respecto á la insolencia aristoc…</t>
  </si>
  <si>
    <t>…del juramento que ha prestado te presente una proposición á la Camara, amigos de la monarquía constitucional, cuya divergencia de opiniones solo y entonces verá lo que ha de hacer. puede ser provechosa á sus comunes enemigos.” El Sr. Berryer en un extenso discurso comenta lo que han dicho en las se Los Sres. Portalis y Salverte proponen que después de las palabras ¡a rtvrsiones anteriores los ministros de Comercio y de Instrucción pública, deducien gta de la magistratura se añada: la sabiduría de los jurados; el segundo di do de ello y…</t>
  </si>
  <si>
    <t>Bertmidez, Francisco Zea</t>
  </si>
  <si>
    <t>Francisco Zea Bertmidez</t>
  </si>
  <si>
    <t>…bucion de LondresHamburgo,a yooo. días BarcelonaÍ a X b. á pesos fs. i¡ SantioUMálaga tr b.par. 460. á 4 p. IpQ 37i- Bilbao par. | Santiago i d. r|o .sügfirhí^ndo la dirección general de propio^' y Arbitrio,?. dccrato releyapdo i D. Francisco Zea Bertmidez tjel ministerio dé ANUNCIOS. .íácío’/y mandanticf pase a servir su plaza efectiva de Consejero de Estadp. Inombrando"S D. Francisco Martínez de la Rosa, Secretario de Esta- Entoyot políticos, económicos 7 filosóficos del conde de Rumfbrd, traducidos de -orden de la Real sociedad económica de esta c…</t>
  </si>
  <si>
    <t>Bertrand</t>
  </si>
  <si>
    <t>…se pueda saber hasta dónde llegarán sus estragos, vota á favor Logrado en esta parte el objeto de las operaciones del brigadier Serrano, def proyecto. recibió órdenes por extraordinario para enviar velozmente i Extremadura la El general Bertrand dice qne ciertas gentes hallan muy fáciles algunas co mayor parte ’de sus fuerzas con el fin de realizar la reconcentración que do sas, y que para cada desgracia que ocurre tienen pronta una ley prohibitiva con bla verificarse entre Tajo y Guadiana, de todas Las que se hallaban á la izquier sus cor…</t>
  </si>
  <si>
    <t>…ones, ulteriores-, consiguientes siempre al primitivo pl^n de recon M. Calmon manifiesta que la comisión que ha examinado la propuesta he—, centrar sobre lá parte inferior del valle del Moridego el mayor número de fuer cha por el general Bertrand para que á los soldados y cabos agraciados durante zas posible, para marchar después con ellas sobre el Tajo. los cien jdias con la cruz de la legión de Honor, se paguen las pensiones que Estas miras se han llenado breve y cumpletamente: el general Rodil, ba les corresponden, opina que por ahora se…</t>
  </si>
  <si>
    <t>…gobierno es mi las,Calles se distribuyen asquerosos impresos, cuyo solo titulo excita la cólera rar con desprecio los folletos y los que los escriben. de los hombres de bien. Todo es blanco del desprecio y de las mas torpes in El general Bertrand explica en qué términos se pone el sello á los periódi jurias , sin exceptuar el Monarca ni la constitución del Instado: la calumnia cos en Inglaterra: teme que aprobada esta ley se pida después ia censura .- hace invade el asilo del ciudadano, nada se libra del sarcasmo y de la burla; en ver que l…</t>
  </si>
  <si>
    <t>Bessieres</t>
  </si>
  <si>
    <t>/ , 271 citado con funestísimas consfecuencías en Otras partes, debe consti infantes y60 caballos: á pesar de esto la caballería de la columna, tuirla y coordinarla coh las demás clases del Estado. conducida por su comandante Bessieres, y á la voz de ¡ viva Isa bel ti! cargó sobre ellos á todo escape y , por un terreno quebrado, recibiendoj-tres descargas, que fueron despreciadas por nuestra tropa, El alcalde mayor de la villa del Rio ha dirigido á sus habitan qng arrojjmn -strposfei&amp;n, y los acuchillaroiTclet— tes la .siguiente…</t>
  </si>
  <si>
    <t>Bessieres, José</t>
  </si>
  <si>
    <t>José Bessieres</t>
  </si>
  <si>
    <t>…rencia el se pueda reunir en muchos dias. Por nuestra pane no ha habido comandante general de la Maricha, cuyo extracto es el siguiente: desgracia alguna, yes imponderable el entusiasmo de la tropa de El comandante del l.° ligero D. José Bessieres, persiguiendo S. M. la Reina nuestra Señora, en el momento en que los batían, con la columna de su mando , compuesta de unos 50 infantes y 60 asi como la intrepidez y bizatiia del ayudante de caballería dei f&gt; 3 caballos de diferentes cuerpos, inclusos 32 urbanos de caballería, ligero, D. Francisco…</t>
  </si>
  <si>
    <t>Betanzos, Alejandro I</t>
  </si>
  <si>
    <t>Alejandro I Betanzos</t>
  </si>
  <si>
    <t>…vido conceder gobierno militar y político I S. É., J. Adderley, secretario político. de la plaza de Fígueras al brigadier de infantería D. Antonio Cano de Orbaneja. j Asimismo el militar de la plaza de Obvenza al déla misma clase D. Alejandro I Betanzos ii Je Diciembre. Mayoli, coronel del 2.°regimiento dr granaderos de la Guardia Real provinvíal. | El dia 10 del anterior tuvo el honor el ayuntamiento de esta ciudad de pro El de igual clase de la plaza de Alburquerque al coronel D. Jo^ef de ia Peña clamar solemnemente á Isabel ii por-RBtwA de las…</t>
  </si>
  <si>
    <t>Betda</t>
  </si>
  <si>
    <t>…que solo había sido la suya una enmienda, y no una mites que la ley señala. Por esto me opongo á que sea la que quiera la forma verdadera proposición. bajo la cual se presente ^ admita el Estamento ninguna proposición, palabra El Sr. Betda: "Aun cuando la práctica en los cuerpos representativo* de que ni aun je hace uso de ella, ni en el Estatuto ni en el Reglamento. Las Otras naciones sea la de poder hacer preguntas á los Sres. Secretarios- del Des únicas dé que se vafe' que son sacramentales, son las de petición y de proyec picho ó…</t>
  </si>
  <si>
    <t>Betnar</t>
  </si>
  <si>
    <t>…ino de 40 dias para mejorarlos. En este sasen dichos ejemplares i la comisión del Código penal. tériqino no había mas que hacer sinp presentarse nuevos documentos, exami Se concedió licencia de un'mes por el Estamento á los Sres. D. Betnar- narlos, y si eran legítimos aprobarlos, y si no desaprobarlos. Ha presentado dino Vitoria, Procurador por la provincia de Alicante, y D. José Villanue- en efecto los documentos que se.le habian permitido; pero aun dando mas im va por la de Badajoz, en virtud de las razones que ambos alegaron en sus…</t>
  </si>
  <si>
    <t>Betron, Julián</t>
  </si>
  <si>
    <t>Julián Betron</t>
  </si>
  <si>
    <t>…de la enfermedad sospechosa., algunos sedores á la munificencia de S. M. -veían ya-enteramente libres de ¿ella, y xn «casi «todos los demas imejotaUa visi Relación que se cita en el parte anterior. blemente su -estado 'Sanitario. D. Julián Betron , cabo segundo , y Tomas Cordal, péienccteotes al regi ¡frXOVTNCrA TfZ AVU'A. miento de zapadores-, Francisco Sorpreda, de la Princesa; José Viñas, cabo segundo; Guillermo Puchol, y Salvador Usares, del regí miento de Soria; Pe Con fecha 20del actual-avisa-su gobernador civil jque en'Nav^Im&amp;ral no…</t>
  </si>
  <si>
    <t>Beuchot</t>
  </si>
  <si>
    <t>…de dicha clase en todas las ca acabando con la propiedad territorial. pitales de departamento y de partido. .------La Cámara toma la propuesta en consideración; pasa en seguida á elegir su bibliotecario, elección que recae en el Sr. Beuchot, y se levanta la sesión. El Excmo. Sr. duque de G-or participa en la propia fecha del 5, que el dia La Gaceta de Augsburgo, refiriéndose á cartas de Viena del 12 del cor anterior 4 había quedado instalada la subdelegaron provincial de Granada, que riente, dice entre otras cosas lo que sigue: S. M.…</t>
  </si>
  <si>
    <t>Beul</t>
  </si>
  <si>
    <t>…*ion de la peti Habiéndose hecho préseme en seguida por vanos señores que podían ción sobre habilitación de los extranjeros para obtener empleos. ocurrir casos tan perentorios y del momento que no dieran locar á esperar la El Sr. Secretario Beul 1 levo d.cha pet cien , que es la siguiente: reunión del Estamento, por no ser e*ta diaria , se aprobó la-siguiente adición ♦^Señora: Los Procuradores del reino tienen el honor de llamar fa augusta leída por el Excmo. Sr. Duque de Rivas. atención de V. M. hacia un objeto que debe ejercer la mayor i…</t>
  </si>
  <si>
    <t>Bfirgos</t>
  </si>
  <si>
    <t>…a de di cuerpo respetable, que en todos casos ha prestado eminentísimos servíaos a - i cho proyectó, y terminada esta la del \6 del mismo reglamento. patria, y que nccoiU se establezca de tal modo, que sea la prenda mas segur* El Sr. Bfirgos «fijó: "lomó la palabra para demostrar el modo con que la dei sosiego publico. «omisión há entendido, corresponder á la confianza del Estamento, al engar «1 animen hubiera sido conveniente el reclamar una buena lev de im rie el mismo redactase el proyecto de contestación al discurso que S. M. la pr…</t>
  </si>
  <si>
    <t>Bfougtíam</t>
  </si>
  <si>
    <t>…voixetátK4feBju$das-,porGhjstelles, Thourut, Roulers, Ipres, Msnin, sigue: el conde Grey, primer lord de la tesorería, 59 libras esterlinas; vízcon— Cdúrtray, Oudcnaidé Grammont y Ninove; de Álthorp, canciller del -edhiquier, 59; lord-Bfougtíam plórí cáiiciHerv marques de Landowne, presidente del Consejo , 2S; conde de Ripon, guarda • Sr los, en «1 Diario de Flandes : El secretario del Rey acaba de enviar de sellos , 29; vizconde Melbourne , ministro del Interior, 59; vizconde Palmersparte de S. M. al burgomaestre de esta ciudad una suma…</t>
  </si>
  <si>
    <t>Bftrgos</t>
  </si>
  <si>
    <t>Gaceta de Madrid n.º 179 · suplemento</t>
  </si>
  <si>
    <t>…icio activo tual de la vista, que hace mucho padece. de S. M. con los empleados por el Gobierno; pues de otro modo tal como El Estamento quedó enterado de un oficio del Sr.' Presidente del Conse había presentado la proposición el Sr. Bftrgos podría dar márgen á interpre taciones. jo de Ministros, al que acompañaba la exposición documentada, leída.poibei mismo en una de las sesiones anteriores , relativa á las relaciones exter ioica.del El Sr. duque de Rivas fue de parecer se añadiese la palabra: «Para ser Gobierno español con los demas…</t>
  </si>
  <si>
    <t>Bíanchetti</t>
  </si>
  <si>
    <t>…alla presó en la prevención del provínéiat de Toro. ' cia política, excepta el príncipe de Lúea, que concedió asilo á algunos refu- Continúa examinando y sigue discutiéndose la memoria que le presentó la giadi&gt;3, y entre otros al conde Bíanchetti y al Sr. Silvani, abogado, miembroi comisión nombrada paA própontr lós medios de mejorar las escuelas dé príuno y otro del gobierno provisorio de Bolonia. meras letéassin perjuicio dé Haber Hecho en muchas diferentes reforma» ven : Se decía ademas .que el famoso príncipe de Croosa, enviado por el duq…</t>
  </si>
  <si>
    <t>Biaza, Ramón</t>
  </si>
  <si>
    <t>Ramón Biaza</t>
  </si>
  <si>
    <t>…para la de berlo solicitado ¿1 mismo. Vega de Rivadeo á D. Ramón Cuervo y Requena, todas en el prin- POKTUCAl. cipado de Asturias. Asimismo ha venido en nombrar en el reino de Lisboa 9 dt Agosto. Galicia, para la vara de Arzua á D. Ramón Biaza: para la de Cor- Por Real órden del 6 de este mes se prohíbe i los empleados ejercer sos cuhion á D. Florentino Fraile: para la de Alaniz á D. Antonio Ra destinos sin haber recibido el competente diploma para obviar el abuso que món Folgueira: para la del Ferrol á D. José Velazquez Queipo de había…</t>
  </si>
  <si>
    <t>Bien</t>
  </si>
  <si>
    <t>…e estasenes lasanareferidisla que sicuctJpro ' X MINISTERIO DB GRACIA T JUSTICIA. M. R. P- provincial de la de Castilla , maestro Fr. Manuel de Saias.rrfl Real orden. Excmo. Sr.: $. M. U Reina Gobernadora se ha servido mandar que Don Bien sabido nos es, que la rebelión contra el irt no es un crimen tan horrtvcoso, y de tan fatales consecuencias para toda Ia nación, que no har lev divina] Joséf Alonso, ministro supernumerario de la Real audiencia de Madrid, pase xu humana que no la repruebe y condene. Por desgracia vemos hov el de nu…</t>
  </si>
  <si>
    <t>Bífera</t>
  </si>
  <si>
    <t>…dirigía según avisos por al carrascal de Pamplona deducirle en dicho juzgado privilegiado; bajo apercibimiento que de 00 hacerlo les [ j&amp;¡a tus antiguas guaridas de Lumbier y Sangüesa. parará perjuicio. -------Por providencia del Sr. Bífera, teniente corregidor de esta villa, refrendada Don Cha a JX se del CzQlo, Fernandez del del escribano número Manuel Rodríguez, El comandante gefttral de Aitúrias con fecha de 19 det actual avisa que D. Manuel Manuel Redondo López, D. D. José Antonio Menendez, José Mornelo, é favor 4C Ia* medidas to…</t>
  </si>
  <si>
    <t>Bigaorr</t>
  </si>
  <si>
    <t>…yuntamiento de) Prosigue la discusión del párrafo 10 de la minuta de respuesta al discurso Simes, (el juez Real del coto de) del Rey. ----- Villagarctá de Arosa. (el ayuntamiento de) El Sr. Lamartine, después de manifestar que eí Sr. Bigaorr no ha compren Villa-Juan, (el ayuntamiento de) dido bien la idea que él ha enunciado respecto á la cuestión de Oriente, habla del estado político y militar del imperio otomano, de la revolución y vic PARTE NO OFICIAL. toria del virey de Egipto, y presenta un proyecto de protectorado general y colec…</t>
  </si>
  <si>
    <t>Bignon</t>
  </si>
  <si>
    <t>…rimer tercio del remate, que as establece, puede contar con la cooperación de la Cámara y de la nación. ciende á 41*719 rs,; y que continuará satisfaciendo con h misma puntualidad EL ministro de Negocios extrangeros da gracias al Sr. Bignon y á la comi los otros dos tercios á su vencimiento. Con este motivo reitera su decidida re sión que ha formado la minuta, por haberlo hecho conforme á la idea y á las solución de estar siempre sumiso á las Reales ordenes de S. M. la Runa G &gt;- miras del gobierno, que adopta todos sus principios y párr…</t>
  </si>
  <si>
    <t>…o se dará toda ia publicidad posible para satisfacción y garantía, asi de la na de»de 1815 , era á favor de Francia; que veiu con admiración que en la sesión ción como de los culpables. (JJiario de ómirna.y de a yer , al decir el Sr. Bignon ’&gt;quc lo» ¡ntereves de Francia han sido cotnpro-1 metidos en Polonia; y que había sobrado fundamento para creer que el Impe rio otomano, Italia y los Estados alertnres de segundo orden podrán estar en peligro:*' declarase el ministro, la» explicaciones del Sr. Bignon estan de acuerdo con U idea del…</t>
  </si>
  <si>
    <t>Bigoní</t>
  </si>
  <si>
    <t>…sonjeo'poder contestar menudamente á cuantas refle de Mareuil,, y haya venido en su lugar el general Scbastiani. Hace una sema xiones quiera el noble lord dirigir al ministerio. na que empezaron las grandes maniobras de Capua; el general Bigoní mandada guarnición , el príncipe Satriano (hilangieri) las tropas de sitio: el Rey hace el FRANCIA. servicio de coronel á las órdenes del último. F.l número de personas que han París 1 4 de Mayo. acudido á Ñipóles con este motivo, tanto de las provincias como de Roma, es inmenso. c.-Cmara de los pa…</t>
  </si>
  <si>
    <t>Bíirgos</t>
  </si>
  <si>
    <t>…vicio inmediato de SS. MM., y que nada se dijera con res »Pído que los/Sefiores Próceres que esten empleados en el servicio jnme- pecto á los de SS. ÁÁ. ^diato de las Personas de SS. MM. y. AA. sean considerados como en el ser El Sr. Bíirgos dijo no ofrecérsele reparo en ello, pues al hacer su propo vicio del Estado para ser eximidos de la obligación de asistir al Estamento, y sición solo tuvo presente tributar ésta especie de obsequió nominal , supuestb que para que Conste á la Secretaría, se pida á la Majordomía mayor una lista no ha…</t>
  </si>
  <si>
    <t>Bilbao</t>
  </si>
  <si>
    <t>…id. Descuento de Ierras, seda acahando de fortificar aquel punto para dejar-una guarnición, y emprender Londres* a 90 dias, 1 b. Santander* t b. a 4 p- 100 al año. nuevamente sus operaciones; habiendo recibido aviso este gefe del gobernador 374* Bilbao, i d. Santiago, ¿d. dé Bilbao, de que se perseguía á los facciosos en la costa. AN11N.CIOS. Extracto det parte remitido por el gobernador civil de la provincia de Subíirvivian m partidos judiciales de la nutra división territorial do la Penín Ciudad Real E&gt;* Diego Medrano con fecha de 9 del actual.…</t>
  </si>
  <si>
    <t>Bilbao, Santiago</t>
  </si>
  <si>
    <t>Santiago Bilbao</t>
  </si>
  <si>
    <t>…nada 1 id. Zaragoza 1 d. Hamburgo, oo» — Barcelona i pesos fs. Málaga i á par* Descueut.0 de letras Santander par. á 4 p. xoo al año. á 90 dias i *». Observación. En el número de fallecidos están inclusos los de los hospi Ldndres d. Santiago 1 Bilbao par. 37* papel. tales y los de toda clase de enfermedades. ANUNCIOS. VARIEDADES ESTA DISTICAS DEL REINO, Obrat que te hallan de venta en el despocHo de la imprenta Real. Geometría descripth&gt;a. Leccldnes dadas eb1 las escueta» normales en ei aflo terce- 1 Monge. Ún de la república. nfayor*-'edición…</t>
  </si>
  <si>
    <t>…mbarcaciones proce Hamburgo, 00. Barcelona á pesos fs. Máiaga i á 4 b. Desatento de letras I á 4 p. 100 al afio. I pár. Santander dias a 90 * b. las de cuales quedarándentes la la Madera isla de y las Azores; por ahora su Lóodres d. Santiago 1 Bilbao par á 4 d. • 374 * casos lasjetas á para los de medidas que están prescritas patente sospechosa. Todo lo cual, consiguiente á la Real orden mencionada, y de acuerdo de esta suprema junta, participo á V. para inteligencia de esa (superior ó pro anuncios. vincial), y su cumplimiento en los pueblos de…</t>
  </si>
  <si>
    <t>…ile de en cuerdos de obras de cuentos máscaras, verso. Manuel.Bre año. 4 p, al loo á Saotaod-. f par. _ dodres 90 í *b. días00. sin’lateres, Id. Se los con poesías de y composiciones hallan de Herreros. sus tón venta dramáticas X d. Santiago Bilbao par.00. Acciones banco papel. 97* del dspafiol, Escantilla. de en la librería '? —Ed ia villa de la Guardia , provincia de Toledo, se halla vacante la plaza de ci rujano , cuya dotación consiste en 48 rs. anuales, y la población asciende á 18 veci ANUNCIOS. nos. Los pretendientes dirigirán los memo…</t>
  </si>
  <si>
    <t>Bilsqra</t>
  </si>
  <si>
    <t>…publicación¡escribanía ená deducirel diarioel dequeestales capital,asista; apercibidosconcurran anteque constitución atmosférica. pasado dicho término les parará el periuicio que haya lugar. - -------En virtud de providencia del Sr. Bilsqra, del consejo de S. M. , teniente corre Estado del número de personas fallecidas en la ciudad de Granada en los gidor de esta villa, refrendada del escribano del número de la misma D. Nicolás de dias que se expresan. Ortiz, por cuyo juzgado y escribanía penden los autos de testamentaría de D. Jaime…</t>
  </si>
  <si>
    <t>Bin, Valdes</t>
  </si>
  <si>
    <t>Valdes Bin</t>
  </si>
  <si>
    <t>…esentes. tido. Previendo que su objeto podría ser volverse á los puertos, sin embargo Este es un punto, sobre el cual no les es lícito dar el menor detalle. Parece de* que en la estación presente deben estar ya impracticables, el general Valdes Bin embargo por los estados que ha mandado hacer el ministro de Hacienda, y el coronel Rebollo avisaron oportunamente al comandante Pezuela, que es y por las informaciones que se han tomado acerca de los acreedores, que el taba hacia el Común de Huesa, para que les saliese al encuentro dirigiendo»» gob…</t>
  </si>
  <si>
    <t>BipútádOs, D Ramón González Pérez</t>
  </si>
  <si>
    <t>D Ramón González Pérez BipútádOs</t>
  </si>
  <si>
    <t>…orden público. Sr. D, Juan Morales y Cortinas. Cuidado con no engañarse i losmismps electores son los que nombran; l os mis- Sr* D. José Antonio de Agreda. mol hombres, exceptuando algún otro, son los nombrados. Ni París, ni sus Sr. D. Ramón González Pérez. BipútádOs, hi el gobierno de quien son apoyo, han cambiado como lo repiten las facciones. Defienden y quieren hoy lo que defendían y querían seis afios hace. La única diferencia es que seis anos hace querían adquirirlo, y hoy quie- gS. M. la Reina Gobernadora se ha dignado resolver por Rea! orden de ren cons…</t>
  </si>
  <si>
    <t>BipútádOs, Ramón González Pérez</t>
  </si>
  <si>
    <t>Ramón González Pérez BipútádOs</t>
  </si>
  <si>
    <t>…en público. Sr. D, Juan Morales y Cortinas. Cuidado con no engañarse i losmismps electores son los que nombran; l os mis- Sr* D. José Antonio de Agreda. mol hombres, exceptuando algún otro, son los nombrados. Ni París, ni sus Sr. D. Ramón González Pérez. BipútádOs, hi el gobierno de quien son apoyo, han cambiado como lo repiten las facciones. Defienden y quieren hoy lo que defendían y querían seis afios hace. La única diferencia es que seis anos hace querían adquirirlo, y hoy quie- gS. M. la Reina Gobernadora se ha dignado resolver por Rea! orden de ren cons…</t>
  </si>
  <si>
    <t>Birk</t>
  </si>
  <si>
    <t>…cia de Valladolid: para nico una memoria sobre la máquina inventada por M. Rabbage. La concurren la. fiscalía del crimen de la audiencia de Burgos, vacante por nom cia fue numerosa. Poco después de las ocho entraron en la sala el doctor Birk bramiento á otro destino de D. Jacobo Villanova y Jordán, á D. Josp beck, el lord canciller, M. Dupin, M. Tooke, y un gran número de sabios y María del Busto, magistrado cesante; y para alcalde en la Real corte literatos, los cuales fueron recibidos con grandes aplausos. El Dr. Lardner em de Navarr…</t>
  </si>
  <si>
    <t>Bisíe, Luis</t>
  </si>
  <si>
    <t>Luis Bisíe</t>
  </si>
  <si>
    <t>…economía política, ó de la riqueza sive , había disminuido en dicho pueblo el número de invadidos» y aun estos *n sus relaciones con la población, por J. C. L. Simonde de Sismondi , traducidos al lo eran con mas benignidad; y que D. Luis Bisíe , practicante de medicina, castellano por D. F. Jerez y Harona, pasaran á recoger el primer cuaderno del to había restituido i la vsda dos moribundos, propinándoles la aristoloquia re mo 2.° en Madrid a la librería de Viana y Razóla, y en Granada á la de Benavides. la suscripción. Sigue abiertadond…</t>
  </si>
  <si>
    <t>Bítrgos</t>
  </si>
  <si>
    <t>…xigir que prestase el juramento? camente se referia á aquellos que solicitasen permiso para ausentarse por moti Sobre lo-cual nó había dicho nada la comisión. vos particulares. * El Sr. duque de Rivas-dijo que apoyaba la idea del Sr. Bítrgos; y que con El Sr. Guadalcazar opinó se añadiese á la proposición esta última cláu arreglo ¿ laceriada ley.se podía exigir el juramento á los Próceres ausentes, sula, en lo que se convino su autor y volvió á leerse, redactada en estos términos: presentándose una proposición formal al Estamento para…</t>
  </si>
  <si>
    <t>Bittlerston, Grey M</t>
  </si>
  <si>
    <t>Grey M Bittlerston</t>
  </si>
  <si>
    <t>…algún noble lord! ------ Antes de la llegada de Gerónimo Bonaparte i Bruselas se trataba de com M. B.ttlerstori: Milord, declaro positivamente que no. prar en su nombre una magnífica posesión á las inmediaciones de la ciudad, El conde Grey. M. Bittlerston se ha reconocido responsable de todos los pero después que ha llegado, se ha creído conveniente no adelantar mas el acunartfcu'os que aparecen en el Morning-Pvst: después de esta confesión yo no sí ~ - to. La razón que se da para esto es bastante singular., Se dice que si la Bélgica qué inconvenien…</t>
  </si>
  <si>
    <t>BJazquez, Manuel</t>
  </si>
  <si>
    <t>Manuel BJazquez</t>
  </si>
  <si>
    <t>…las tropas,- y descebada y paja Camino, D. Gregorio Salines, D. Uomingo RodriguCa, D, Sebastian Luzon j&gt;,.Jaiine pa,a tos caballos rstontes y {gaseuntes en Ja demarcación militar de la capitanía ¡jer-i:- I&gt;.,t. D. Vicente Salbey, D. Manuel BJazquez , D. Fernando Herrera , Uommgo Lcoral la Nueva. Se han señalado para el sulo y único rema te L-1 di a 1.1 del pró paris, Juan Sala, Doña'Marra Josefa Moreno, y i los hijos menores de D. Alonso ximo níés de Julio' í 1 as drice dé su mañana en los estrados dé la Ordenación de dieha T(irres, y ¿n el c…</t>
  </si>
  <si>
    <t>Bjlsera, D Pedro</t>
  </si>
  <si>
    <t>D Pedro Bjlsera</t>
  </si>
  <si>
    <t>…plana mayor , teniente coronel gra pende la testamentaria concursada de D. Tontas Gularza. y a virtud de despacho li duado D. Bruno Portillo y Velado, que tanto ha contribuido con sus cono brado á esra corre cumplimentado por el Sr. D. Pedro Bjlsera, teniente corregidor de cimientos y actividad en las combinaciones á los buenos resultados de mis dis esta villa, se cita y emplaza á todos los interesados que puedan tener derecho a los bienes de aquella testamentaria, para que al termino de dos meses que por segundo y posiciones: el ayudante de l…</t>
  </si>
  <si>
    <t>Bjlsera, Pedro</t>
  </si>
  <si>
    <t>Pedro Bjlsera</t>
  </si>
  <si>
    <t>…na mayor , teniente coronel gra pende la testamentaria concursada de D. Tontas Gularza. y a virtud de despacho li duado D. Bruno Portillo y Velado, que tanto ha contribuido con sus cono brado á esra corre cumplimentado por el Sr. D. Pedro Bjlsera, teniente corregidor de cimientos y actividad en las combinaciones á los buenos resultados de mis dis esta villa, se cita y emplaza á todos los interesados que puedan tener derecho a los bienes de aquella testamentaria, para que al termino de dos meses que por segundo y posiciones: el ayudante de l…</t>
  </si>
  <si>
    <t>Bjornstjema</t>
  </si>
  <si>
    <t>…que también estaba obli Palmerston. (Giobe.) gada , si no las habia dictado y si esta omisión hubiese tenido funestos resul tados para lo exterior, á ceder i las justas pretensiones que los demas Estados —— El embajador de Suecia conde Bjornstjema, acompañado de tu esposa y hiciesen para que nunca se alterase en ellos la tranquilidad pública. Los ha mo numerosa familia, ha salido para Stockolmo, donde permanecerá seis ó siete vido asimismo i observar esta conducta la convicción en que estaban de que si metes. Durante su ausencia desempeña-la…</t>
  </si>
  <si>
    <t>Bjvoqa</t>
  </si>
  <si>
    <t>…icios que ha de proporcionar Castillo á la Deuda 1 Id. siu íDifres, 00. I ^rÜélHtü, cfifuiVífiendó los titiles conocimientos de aquel arte. Acciones det banco español, oo. CAMBIOS. Amsterdám , 00. París 16-r. Cádiz i b. SévIltS t d. Bjvoqa , 00. Alicante á corto pla Corufia £ d. -Vatencia par i ¡j SI día 10 de Enero próximo so dignó S. M. la R«ina Gobernadora efií- Burdeos, oc. zo par. Granada ’&lt;L Z^r-goca i 4. f¿£.,U Real lnclusa colegio de la Paz. Llegó S. M., «in preceder aviso, se- Hamburgo, 00. Barcelona á pesos fs. Málaga i b D…</t>
  </si>
  <si>
    <t>BLa, Luis</t>
  </si>
  <si>
    <t>Luis BLa</t>
  </si>
  <si>
    <t>…obra sobre posible el punto de Salvatierra, dejando sobre 3üÜ hombres de guarnición al I los auxilios que se deben dar á los envenenados y á los asfixiados; y otra so mando del comandante de batallón del regimiento de A i mansa, D. Luis BLa-| bre exhumaciones judiciales, en 2 tomos; y finalmente, que es caballero de la celi, con las instrucciones necesarias para su conservación y defensa; no'habien Legión de honor. La Cuniara resuelve que ambos proyecto* se impriman y dis do sido desde aquella época insultado por los enemigos, á pesar…</t>
  </si>
  <si>
    <t>Blainville</t>
  </si>
  <si>
    <t>…existía aun en Francia cuando salió el Sr. d’Orbigny. que los catálogos mas completos admiten en el dia, hace un aumento de mas de Varios botánicos le instaron á que dedicase todos sus desvelos al estudio 4 por 100. Pero añade el Sr. Blainville: es mucho mas aun en las clares de los de esa hermosa familia, y aprovechar su talento como dibujadpr, unido á su pájaros que las ciencias y nuestras colecciones Cebotan aumento y perfección al costumbre de imitar la naturaleza con tanta exactitud escrupulosa, para traer viage del Sr. d’Orj^gny; el…</t>
  </si>
  <si>
    <t>Blancard</t>
  </si>
  <si>
    <t>…ue es la misma que os mani miento de lanceros, que habia venido de S. Germán, y el primer regimiento festé en el año de 1833. Fundaba entonces mi dictamen en la barbarie con que de húsares, procedente de Rambouillet, al mando del general Blancard, se habia sido exterminada la tribu de Uffia, en el asesinato de su jeque y en otras hallaban á la cabeza del camino. muchas crueldades que se habían cometido en aquel pais. Por mas que se diga, Iba el Rey montado á caballo , como igualmente los príncipes, y pasó por Rquel jeque fue condenado á mue…</t>
  </si>
  <si>
    <t>Blanco</t>
  </si>
  <si>
    <t>…otar sobre la suma que los da parte referida por 63 votos contra 20, siendo 83 los votantes, y abstenién canónigos dejan de ingresar en el tesoro público. Se ha dicho también por un dose de dar su voto con arreglo á reglamento el Sr. Blanco. decreto del Gobierno, que todas las vacantes que resulten en las catedrales se Los que aprobaron la parte votada fueron: los Sres. Martínez de la Rosa, destinen al crédito público ó caja de Amortización. ¡No seria también hacer conde de Toreno, Fleix, Serrano (D.Guies), González (D. Juan Gualberto)…</t>
  </si>
  <si>
    <t>…r articulo, y respecto del vez no se 'hubiera dilatado tanto la conclusión de dicha guerra si húbiese habi segundo proponía la rebaja de 93,360 ts. do mas órden ~'en la Contabilidad; si no'se'hubieran raqueado £ loa'pueblos da El Sr. Blanco, como individuo de da comisión, indicó en breves razones una manera rtan atroz, exigiendo'raciones sin Cuento, pidiendo.bagages sin fio, loa motivos-que la misma había tenido para conformarse con el Gobierno en y causando'mas vejaciones que loé enemigos'mismos. Esto digo que tiene rela« lo que toca…</t>
  </si>
  <si>
    <t>Blanco, Antonio D José</t>
  </si>
  <si>
    <t>Antonio D José Blanco</t>
  </si>
  <si>
    <t>…la^proqiiicU. de Oviedo, acompañados de loa, D. Ramón Ciscar, pór Tarragona, por el cólétfa. 'J ’ documentos justificativos necesarios. ' D. Pedro Martí, por id., id. . - , , El Estamento quedó enterado de una exposición del Sr. D. Antonio D. José Blanco, por Valencia, por id. i 3 Ayarza, Procurador electo por Valencia, manifestando las causas que le han D. Francisco del Rey, por Zaragoza, por id. ' í ' . ' 3 impedido presentarse á i la* sesiones. D. José Camps y Soler, por las islas Baleares, por id. (ya ha llegado .y 3* pasó á la comisión: de Pod…</t>
  </si>
  <si>
    <t>Blanco, Antonio María</t>
  </si>
  <si>
    <t>Antonio María Blanco</t>
  </si>
  <si>
    <t>…n un bosque que dejamos á retaguardia; puedo si asegurar á V. £. dia Real D*Manuel Machón, se hallaba á media hora de distancia. El ayudante qué según las noticias que he pedido á los comandantes de compañías, y que de la columna D. Antonio María Blanco, teniente del tercer regimiento de me han dado bajo su firma, resultan 79 muertos, que los heridos fueron en Ja Guardia Real, estuvo á mi lado en el acto de la carga, y en el discurso del gran número, y so les cogieron fusiles, cananas, algún sable y un caballo; por día ha hecho servicios interesan…</t>
  </si>
  <si>
    <t>Blanco, D Antonio D José</t>
  </si>
  <si>
    <t>D Antonio D José Blanco</t>
  </si>
  <si>
    <t>…por la^proqiiicU. de Oviedo, acompañados de loa, D. Ramón Ciscar, pór Tarragona, por el cólétfa. 'J ’ documentos justificativos necesarios. ' D. Pedro Martí, por id., id. . - , , El Estamento quedó enterado de una exposición del Sr. D. Antonio D. José Blanco, por Valencia, por id. i 3 Ayarza, Procurador electo por Valencia, manifestando las causas que le han D. Francisco del Rey, por Zaragoza, por id. ' í ' . ' 3 impedido presentarse á i la* sesiones. D. José Camps y Soler, por las islas Baleares, por id. (ya ha llegado .y 3* pasó á la comisión: de Pod…</t>
  </si>
  <si>
    <t>Blanco, D Marcos Fernandez</t>
  </si>
  <si>
    <t>D Marcos Fernandez Blanco</t>
  </si>
  <si>
    <t>…lcali. nmánd-isc J&lt;s hombres mas juiciosos del partido miguelista de que aquella máquim desconcertada no hubiesevenido antes á tierra. . provincia os uso*. Las consecuencias son bien conocidas: D. Miguel camina ahora para Italia, Sr. D. Marcos Fernandez Blanco. lub endor escogido por compañeros de su destierro á los mismos hombres que Sr. D. Francisco Diez González. por su ignorancia., estupidez ó traición han sido los primeros autores de su des- Sr. D. José María Quiñones, marque»de Mbntevirgea. . gracia. (Cvurier."} Si. D. Francisco Antonio Mantilla. __…</t>
  </si>
  <si>
    <t>Blanco, Félix D’Olhaberriague y</t>
  </si>
  <si>
    <t>Félix D’Olhaberriague y Blanco</t>
  </si>
  <si>
    <t>…Antonio. Freyre: para la de gefe de PARTE &gt;() OFICIAL. 'mesa de lá misma Sección á D. Manuel González Suso: para la de efe de la tercera sección á D. Manuel Cristantes: para la de gefe NOTICIAS EXTRA NO ERAS. C mesa dé la misma á D. Félix D’Olhaberriague y Blanco: para la de gefe de 1a cuarta sección á D. Francisco Bartolomé y Coloino: para las-degefes de mesa dé la misma a D. José Sánchez Ocaña y ' {Continuación del correo anterior.) al marques de Villagarcía: para la de gefe de la quima sección á Don Leoncio Macragh: para gefes de mesa de la misma á D. Ju…</t>
  </si>
  <si>
    <t>Blanco, Francisco Herrero</t>
  </si>
  <si>
    <t>Francisco Herrero Blanco</t>
  </si>
  <si>
    <t>…se halla la Gran-Bretaña con respecto á los enviados de las Potencias amigas; los Condes £ D. Agustín Gómez Ingnanzo; para la alcaldía mayor de Getafq £ y que el no tener un representante americano de ia misma clase que el repre D. Francisco Herrero Blanco; para la de Navalmoral de la Mata nueva £ Don sentante ingles en Washington, no depende de que se hayan alterado en lo mas José Simón Benavides; para la de Murcia £ D. Domingo Martínez Gal insoga; mínimo las relaciones amistosas éntre la Inglaterra y América, sino de las para el corregimiento de Co…</t>
  </si>
  <si>
    <t>Blanco, José</t>
  </si>
  <si>
    <t>José Blanco</t>
  </si>
  <si>
    <t>…cU. de Oviedo, acompañados de loa, D. Ramón Ciscar, pór Tarragona, por el cólétfa. 'J ’ documentos justificativos necesarios. ' D. Pedro Martí, por id., id. . - , , El Estamento quedó enterado de una exposición del Sr. D. Antonio D. José Blanco, por Valencia, por id. i 3 Ayarza, Procurador electo por Valencia, manifestando las causas que le han D. Francisco del Rey, por Zaragoza, por id. ' í ' . ' 3 impedido presentarse á i la* sesiones. D. José Camps y Soler, por las islas Baleares, por id. (ya ha llegado .y 3* pasó á la comisión: de Pod…</t>
  </si>
  <si>
    <t>Blanco, José María</t>
  </si>
  <si>
    <t>José María Blanco</t>
  </si>
  <si>
    <t>…Esta via es de presidios, sé ha dignado nombrar para la plaza de oficial tercero de la secre la mas abrigada y cómoda, cruza por las jurisdicciones mas pobladas, fértiles taría de la dirección del ramo, al oficial cuarto de ella D. José María Blanco, y consumidoras , y facilita la comunicación general de que carecian las salina* y) para ésta resulta al capitán graduado de infantería D. Joaquín Borrás. de Cabezón. Al propio tiempo, y con el fin de utilizar el puerto de Cumillas, se -ha mandado que se abra un ramal de comunicación desde el. mism…</t>
  </si>
  <si>
    <t>Blanco, José Sabau y</t>
  </si>
  <si>
    <t>José Sabau y Blanco</t>
  </si>
  <si>
    <t>…provincia 35 personas: qué desde 2 al 6 del mismo mes mu de Razóla. — Historia general de España escrita por el P. Mariana, ilustrada y continuada rieron en el Puerto de Sta. María 6 personas; finalmente que en el resto de la por D. José Sabau y Blanco, canónigo que fue de á. Isidro. Tomo cuarto. Contiene provincia se disfrutaba de buena salud, excepto en Alcalá de los Gavilles que este tomo los libros 5.° y 6.° del P. Mariana, que tratan de la venida y reinado de los continuaba en estado de sospecha. godos en España hasta su destrucción por los…</t>
  </si>
  <si>
    <t>Blanco, Julián García</t>
  </si>
  <si>
    <t>Julián García Blanco</t>
  </si>
  <si>
    <t>…ínB de Noviembre de.-1834=:Excni&lt;A ir.—Nar anarquía'}* desorden.- ciso Lopez.=Exqnao. Sr, general en ge fe ¿¿ este ejército.” Los nombres de los valientes que $c han cubierto de gloria en esta rápida cuanto gloriosa jornada, son: D. Julián. García Blanco, teniente de la Mili Relación de los individuos %ue se distinguieron y se citan en el anterior cia urbana de infantería, y gefe que mandó la acción. D. Manuel María dé parte. Silva. Tomás Montalvo. Sotero Silva. Francisco Alonso. Ventura Bargueño: CUERPOS. todos milicianos Urbanos de dicha arma. IX…</t>
  </si>
  <si>
    <t>Blanco, Marcos Fernandez</t>
  </si>
  <si>
    <t>Marcos Fernandez Blanco</t>
  </si>
  <si>
    <t>…i. nmánd-isc J&lt;s hombres mas juiciosos del partido miguelista de que aquella máquim desconcertada no hubiesevenido antes á tierra. . provincia os uso*. Las consecuencias son bien conocidas: D. Miguel camina ahora para Italia, Sr. D. Marcos Fernandez Blanco. lub endor escogido por compañeros de su destierro á los mismos hombres que Sr. D. Francisco Diez González. por su ignorancia., estupidez ó traición han sido los primeros autores de su des- Sr. D. José María Quiñones, marque»de Mbntevirgea. . gracia. (Cvurier."} Si. D. Francisco Antonio Mantilla. __…</t>
  </si>
  <si>
    <t>Blas, Lorenzo Ramo de San</t>
  </si>
  <si>
    <t>Lorenzo Ramo de San Blas</t>
  </si>
  <si>
    <t>…mo.......... ....... 3*io ifto 8o. de Córreos. Para Uananas........ ....... 38o I (jü yS. Para ludias.............. ....... 4°° aoo xoo. GACETA DE Af AlDRID. ARTICULO DE OFICIO. po de Astorga D. Félix Amat; al R. obispo de Huesca D. Lorenzo Ramo de San Blas; al R. obispo que fue de Cartagena D. Antonio La Reina nuestra Señora Doña Isabel ir, y S. M. la Reina Posadas; al R. obispo que fue de Mallorca D. Pedro González VaGobernadora , siguen en el Real sitio de Aranjuez sin novedad llejo; al R. obispo electo de Almería D. Vicente Ramos y García; al R. o…</t>
  </si>
  <si>
    <t>Blas, Luis Toledano D</t>
  </si>
  <si>
    <t>Luis Toledano D Blas</t>
  </si>
  <si>
    <t>…S. Pedro. Don po abierto: de lés máquinas;de defender y atacar las plazas, de las máquinas au Joaquín Villanueva, D. Luis Belrrart, D. Vicente Sánchez, D. Basilio Salcedo D Nfc colas.Esrerripa, D. Pedro Obando, D. Mateo Obregon, D. Luis Toledano. D Blas de xiliares para pasar nos, y otros usos de ésta naturaleza &amp;c. &amp;c.; en cónsecuen- , Toro, D. Vicente Navarro, D. Pedro Montenegro D. Santiago Uarraza, D. Acustln cía, « de inferir que en dichos manuscritos ó recopilación de documentos se de los Arcos, D. «francisco Cosío y, p. Mariano Azcue; los de D…</t>
  </si>
  <si>
    <t>Blasco, Juan</t>
  </si>
  <si>
    <t>Juan Blasco</t>
  </si>
  <si>
    <t>….. .. Madrid. Gallego, se encontraron con D. Martin Mur, cabo de la ronda de Sallent, que ¡ 665....................... 1000.......................................... Zaragoza. con 8 dependientes , el interventor de aquella aduana D. Juan Blasco , y un 8,106....................... 1000........................................ Barcelona. paisano de Zaragoza llamado Ramón OrenOio García, los venían persiguien 13,368....................... 1000......................................... Aranjuez. do , y pasando el Gállego á vado lograron rendir…</t>
  </si>
  <si>
    <t>Blasco, Matías</t>
  </si>
  <si>
    <t>Matías Blasco</t>
  </si>
  <si>
    <t>…cha, pues todos fueron rechazados con bizarría y denuedo, contr.huyendo la acertada dirección de los fuegos de artillería mandada por el capitán de dicha El comandante general de ta provincia de Córdoba con fecha 27 de Abril irma D. Matías Blasco, piira que se alejasen fuera del alcance de Las piezas. último dice lo siguiente: Puestos ya en completa retirada mandé que los cargasen, en ia paite que el ter K.;mo. Sr.: Después del parte que dirigí á V. E. en 24 del actual he re reno Jo permitía por nuestra izquierda, 2u caballos de cazadores d…</t>
  </si>
  <si>
    <t>Blaser, Anselmo</t>
  </si>
  <si>
    <t>Anselmo Blaser</t>
  </si>
  <si>
    <t>…os 10 y 35 de la ordenaoza de reemplazos O. José Orive, y ct teniente del mismo cuerpo D. José Ferez Mozón, que con de 27 de Octubre de 1B00. Un cuaderno en 4.0, edición de 1817, 4 a rs. en rústica. los alféreces D. Manuel Fabro, D. Anselmo Blaser, D. Francisco Escobar y — Real instrucción ó reglamento adiciona) de la ordenanza de reemplazos de 27 de Ocrubre de 1800 : uo cuaderno en 4.°, edición de 1819 á 4 rs. eu rústica. D. Antonio Bay mandaban las guerrillas primeras unidos á las compañías de ——Discurso pronunciado en la Real iglesia de S…</t>
  </si>
  <si>
    <t>Blastoso, Anselmo</t>
  </si>
  <si>
    <t>Anselmo Blastoso</t>
  </si>
  <si>
    <t>…s del enemigo no creí conve nuel labro, P. Juan Cíñate», D. Jo&gt;e Ramón Mackena, D. Joaqirfn Alon niente abandonar aquel punto en tales circunstancias, y mandé ai general Mos so, D. Francisco de Paula Encobar, D. Antonio Moraüues, D. Anselmo Blastoso, de U plana mayor, que pasase' á vanguardia y eligiese la primera ser, D. Antonio Bciuii y D. Manuel Pavía, avadante de órdenes del barón &lt;ft posición ventajosa que se presentase á la salida del bosque; con este objeto se Meer. Igual honorífica mención debo hacef de D. Miguel Perez, capitán de la o…</t>
  </si>
  <si>
    <t>Blucher</t>
  </si>
  <si>
    <t>…con las armas en la el espíritu de anarquía y de oposición contra las autoridades existentes. ] mano; y se resignó á todas las pérdidas de tráfico y comercio que de tal dis- ____La Gaceta de Francfort del 25 anuncia la muerte del conde Blucher, k posición de cosas debían resultar, como efectivamente resultaron, á un pueblo hijo del célebre mariscal del mismo nombre. I-esencialmente mercantil. Asi no en vano blasona de muy noble y muy leal, y T-a Gaceta de Grecia últimamente recibida contiene el nombramiento l«us protestaciones de fidelid…</t>
  </si>
  <si>
    <t>Bo, D Nicolás</t>
  </si>
  <si>
    <t>D Nicolás Bo</t>
  </si>
  <si>
    <t>…y su cojaformidsd con el Gobierno;' no se po electo por las Islas Baleares, reducida á lo misnho. ‘ ' dría conseguir; y creo que se ba de hacer favor á los recaudadores ó arrenda Se mandaron pasar á la comisión de Poderes los del Sr. D. Nicolás Bo- dores con declarar que no *: pague, para no dar lugar á disputas que no se aca nel y Orbe, electo por la ‘provinciade Granada, con los documentos pre barían nunca, porque es muy seguro que eq todas las provincias, y particular venidos. I mente en la mía, sabiendo que se había de- tratar este negoci…</t>
  </si>
  <si>
    <t>Bo, Nicolás</t>
  </si>
  <si>
    <t>Nicolás Bo</t>
  </si>
  <si>
    <t>…cojaformidsd con el Gobierno;' no se po electo por las Islas Baleares, reducida á lo misnho. ‘ ' dría conseguir; y creo que se ba de hacer favor á los recaudadores ó arrenda Se mandaron pasar á la comisión de Poderes los del Sr. D. Nicolás Bo- dores con declarar que no *: pague, para no dar lugar á disputas que no se aca nel y Orbe, electo por la ‘provinciade Granada, con los documentos pre barían nunca, porque es muy seguro que eq todas las provincias, y particular venidos. I mente en la mía, sabiendo que se había de- tratar este negoci…</t>
  </si>
  <si>
    <t>Boada, Francisco</t>
  </si>
  <si>
    <t>Francisco Boada</t>
  </si>
  <si>
    <t>…lase 14,151............. 24,612. . . . 500...,-...............[ en la acción de Fone|tosa. , , --.i , - ,V Posteriormente fueron atacados por el teniente de tiradores de Isabbl tt Sy3S4« «a* V . . . 500.________i... ., Córdoba. | D. Francisco Boada, que les cogió dos prisioneros, uno de ellos sargento, va-j I ríos fusiles , sables y fornituras, habiendo salido herido el cabecilla Vilella, bolsa 01 couBxcio.—Cotii^dp* de hoy 4-LÓn' tres de Ip tardes, que mandaba aquella parte. • , ’ fc : • " ■» ■ rSqf vémeot. inscripciones Sbbre él gran libro…</t>
  </si>
  <si>
    <t>Boadeíla, José</t>
  </si>
  <si>
    <t>José Boadeíla</t>
  </si>
  <si>
    <t>…algunos qué no tienen escuela, y otros en que U educación primaria subteniente de flanqueadores, habiendo sido herido el 2.° comandante de aquel «tía ^cargada á personas sin idoneidad; considerando este mal de un urgentísi cuerpo D. José Boadeíla, y contuso un teniente del mismo. Los facciosos dejar mo remedio, y sin perjuicio de lo que por punto general se resuelva en este ron en el pueblo tres muertos, un herido, y se llevaron otros muchos. raípo. tan importante,.he comisionado á los corregidores de Arévalo , PiedraJuta, el Barco y Mo-mbe…</t>
  </si>
  <si>
    <t>Boadella, José</t>
  </si>
  <si>
    <t>José Boadella</t>
  </si>
  <si>
    <t>…ecidos. Guas, Justo Garrido y Diego Martí. Aseó................ . 19 á 25 Set. v . 48 18 5 1 Del regimiento de Extremadura, 15 de línea, el primer comandante Ferelló.............. . 20 á 27 id.... 10 '4 D. Pascual Menacho; el 2.° D. José Boadella; el teniente coronel graduado, Reus.................. . 25 4 28 id.... 72 30 10 eapitan D. José María Villaronte; los capitanes graduados, tenientesD. Alon Tortosa.............. . 24 4J27 id.... 21 10 2 so del Marmol y D. Francisco Saurco; el subteniente graduado, sargento 1.°,. D. Manuel Esteban;…</t>
  </si>
  <si>
    <t>Bobadilla, D Fernando</t>
  </si>
  <si>
    <t>D Fernando Bobadilla</t>
  </si>
  <si>
    <t>…ravia, al capitán comandante de la de Compostela D. Francisco Moreno, y al teniente coronel I&gt;. Tomas de Nalda, capitán de Baliteas.... .. 15 y 15 id..... 45 • 5 1Z la segunda compañía del provincial de Logroño, que con ella y su teniente D. Fernando Bobadilla, se condujeron con la mayor bizarría: el espitan co PROVINCIA DE SBVIUA. ’ mandante de la columna de Sodupe D. Agustín Trido, me recomienda tam Con fecha 12 del corriente dice el gobernador civil de ella que en la capi bién todos los subalternos de Compostela y Logroño. Dios &amp;c.” tal habían falleci…</t>
  </si>
  <si>
    <t>Bobadilla, Fernando</t>
  </si>
  <si>
    <t>Fernando Bobadilla</t>
  </si>
  <si>
    <t>…capitán comandante de la de Compostela D. Francisco Moreno, y al teniente coronel I&gt;. Tomas de Nalda, capitán de Baliteas.... .. 15 y 15 id..... 45 • 5 1Z la segunda compañía del provincial de Logroño, que con ella y su teniente D. Fernando Bobadilla, se condujeron con la mayor bizarría: el espitan co PROVINCIA DE SBVIUA. ’ mandante de la columna de Sodupe D. Agustín Trido, me recomienda tam Con fecha 12 del corriente dice el gobernador civil de ella que en la capi bién todos los subalternos de Compostela y Logroño. Dios &amp;c.” tal habían falleci…</t>
  </si>
  <si>
    <t>Bodega, Manuel</t>
  </si>
  <si>
    <t>Manuel Bodega</t>
  </si>
  <si>
    <t>…sucede asi en los países prósperos y tranquilos, ¿cuánto mas im desempeño de destinos importantes, los Excmos. Srcs. Proceres: duque de Al- portante es el que se columbre entré nosotros, donde de - todo se desconfia , y piodoyar&gt; D. Manuel Bodega, D. Jacobo Parga, marques de Caballos, arzo en que hay momentos de consternación, momentos de peligro y de ansiedad bispo de Valencia, conde de Mollina, conde de Tamamcs, D. José Ramón que tanto importa prevenir; Tributo mi gratitud á los verdaderos amigos del Rodil, marques de dos Aguas, conde de…</t>
  </si>
  <si>
    <t>Bodega, Manuel de la</t>
  </si>
  <si>
    <t>Manuel de la Bodega</t>
  </si>
  <si>
    <t>…osé Canga-Arguelles; D. José de Heredia; £&gt;. Justo José Ban- diplomático, han ¡do á visitarle. (Courier.) queri; D. Vicente González Arnao. ____ La Gaceta de Augsbttrgo copia un parte deViena del 26 úl Para la sección de Indias á D. Manuel de la Bodega, decano; timo , qué entre otras cosas contiene lo siguiente: Se sabe que el D- Ramón Gil de la Cffidra; D. Gaspar Vigodet; D. Antonio congreso de ministros celebrará esta semana una sesión general, á Daban y Urrutia; D. Luis de UrrcjqlajD. Joaquín Carrion y que debe concurrir M. Ancillon. Las provi…</t>
  </si>
  <si>
    <t>Bodega, Mariano de la</t>
  </si>
  <si>
    <t>Mariano de la Bodega</t>
  </si>
  <si>
    <t>…iones. Asi han llegado estos á ser los defensores naturales Manuel Cuervo, D. Indalecio Almansa, D. Juan de Ortega, Don del Sultán, el cual lo mejor que puede hacer ahora es emancipar á la poblacioñ Joaquín María López de Ayqda y D. Mariano de la Bodega; por la cristiana de;la.Bosnia, como ha hecho ya en todo él resto de la Turquía, dar de alcaldes á D. francisco Sainz Pardo, D. Cipriano de la Riva, Don les jueces propios colocados bajo la protección inmediata dei gobernador, y su Vicente Calvo y á Di José Plá y Puig; y para fiscales á D. José min…</t>
  </si>
  <si>
    <t>…. la Reina Gobernadora ben visarse los pasaportes de todo extrangero que va i Rusia en sus embajadas nombrar á D. José Churruca para fiscal del consejo de Navarra, cu ó consulados. (Id.) ya plaza se hallaba vacante por ascenso de D. Mariano de la Bodega, ____ Ayer por la noche el Dr. Lardner leyó en la sociedad del instituto mecá que servia dicha plaza, á oidor de la audiencia de Valladolid: para nico una memoria sobre la máquina inventada por M. Rabbage. La concurren la. fiscalía del crimen de la audiencia de Burgos, vacante por nom cia fue numer…</t>
  </si>
  <si>
    <t>Boéckh</t>
  </si>
  <si>
    <t>…l número de alumnos que se ha hecho inscribir este alio asciende á 3426, _—Escriben de Berlin que el célebre conde Alejandro de Humbold asiste al es decir, 136mas que el año .pasado. , curso público qué da éri'esta universidad el doctor/Boéckh sobre tas; antigüe Vt'.tí-' , , ,,.(i ,. dades griega, y que. toma sus notas como los demas estúdiantés. (Jdtmi) 1 ' ■ —-El 13 dé Noviembre se han vuelto á abrir los ctinos.en la.escuela poli- /técnica. El' húmero dé jóvenes, que pertenecen á esta escuelá ascies^é, como ya ___El Memorial Je los Pir…</t>
  </si>
  <si>
    <t>Bofarull</t>
  </si>
  <si>
    <t>…ciones ; habién nos, siempre que se ha apoderado de nuestras instituciones, de la dose conseguido desterrar la polilla y demas insectos que los devo imprenta, de la tribuna, del gobierno representativo, del derecho raba cuando el Sr. Bofarull se encargó del archivo: y empleándo de asociación, lo ha empleado de tal modo, lo ha hecho tan pe se el portero durante las horas de oficina en remendar, encuader ligroso para el Estado, lo ha presentado bajo apariencias tan espan nar, rotular y filiar los registros o volúmenes.. tosas , y séatne l…</t>
  </si>
  <si>
    <t>…k) y actividad, unos afanes tan prolijos, y premiados Málaga. p^go, 6e 4^ 4T¡0 xs. fanega: cebada, de 18 ¿ 29 con taúvféli» éxito ,• pudieran extrañarse de otro que mirase el des id.: garbanzos, de 90.á ltíO rs. id. ; tino que él señor Bofarull ocupa como un término de su carrera, Las lluvias abundantes eU esta provincial fines del último Per. como '«ttiátílbquese le concedia para descansar; pero no maravi brero hiri mejorado trótablcmeiite- los campos y sembrados ; pqr llan ciertamente en el autor de la mejor historia que se conoce de ma…</t>
  </si>
  <si>
    <t>Bofarull, Próspero</t>
  </si>
  <si>
    <t>Próspero Bofarull</t>
  </si>
  <si>
    <t>…da del parte remitido al Excmo. Se No á nosotros; á vosotros y al partido que por lo común defen ñor ministro del Fomento por el ilustrado y laborioso archivero déis es á quien se debe atribuir loque se dilata el desarrollo de la D. Próspero Bofarull. libertad. Esta clase de hombres es la que hace necesaria la existen En primer lugar se han trasladado de sus signos y caracteres cia del articulo 291. (Interrupción.) antiguos á letras modernas y gallardas 163 voluminosas escrituras «Señores: repito que cuando digo vosotros, no es de vosotros suelt…</t>
  </si>
  <si>
    <t>BofavuU, Prospero</t>
  </si>
  <si>
    <t>Prospero BofavuU</t>
  </si>
  <si>
    <t>…ega* 4 tm ¿tthttoca don, pOr jf^edrrisro TkiefSck, dós tVfnai en 8.*, TarptSL y Para las dos plazas de cérisores regios supernumerario* de Barcelona, va (Concluye el segundo articulo.) cante?. por renuncia dé D. Ramón de Ciscar y D. Prospero BofavuU, ha teni do á bien nombrar S. M» ¿ D. José Antonio Anglada y D. Joaqóín diastur. ¡. Uatta eltonccs los residentes se habían mostrado favorables i b marcha</t>
  </si>
  <si>
    <t>BofavuU, Ramón de Ciscar y D Prospero</t>
  </si>
  <si>
    <t>Ramón de Ciscar y D Prospero BofavuU</t>
  </si>
  <si>
    <t>…y de lar medios de llega* 4 tm ¿tthttoca don, pOr jf^edrrisro TkiefSck, dós tVfnai en 8.*, TarptSL y Para las dos plazas de cérisores regios supernumerario* de Barcelona, va (Concluye el segundo articulo.) cante?. por renuncia dé D. Ramón de Ciscar y D. Prospero BofavuU, ha teni do á bien nombrar S. M» ¿ D. José Antonio Anglada y D. Joaqóín diastur. ¡. Uatta eltonccs los residentes se habían mostrado favorables i b marcha</t>
  </si>
  <si>
    <t>BoÍgue, D Ramón</t>
  </si>
  <si>
    <t>D Ramón BoÍgue</t>
  </si>
  <si>
    <t>…escrúpulo. Algunas dé estos se sangraron. En do el mandó de la columna á la izquierda del Arlanza, al teniente coronel car* &lt;1 segundo período tres jóvenes con lengua saburrosa, Ies di primero medio es pitan del regimiento de la Princesa D. Ramón BoÍgue2, pasando yo por la crúpulo de hipecacuana. A Las dos horas una jicara de agua de arroz acidulada derecha de dicho rio á reunirme en Carazo, desde cuyo pueblo nos trasladaremos con unas gotas de ácido sulfúrico; i la hora siguiente un escrúpulo de vibo hoy mismoá Salas. La osadía del llamado Trompe…</t>
  </si>
  <si>
    <t>BoÍgue, Ramón</t>
  </si>
  <si>
    <t>Ramón BoÍgue</t>
  </si>
  <si>
    <t>…o. Algunas dé estos se sangraron. En do el mandó de la columna á la izquierda del Arlanza, al teniente coronel car* &lt;1 segundo período tres jóvenes con lengua saburrosa, Ies di primero medio es pitan del regimiento de la Princesa D. Ramón BoÍgue2, pasando yo por la crúpulo de hipecacuana. A Las dos horas una jicara de agua de arroz acidulada derecha de dicho rio á reunirme en Carazo, desde cuyo pueblo nos trasladaremos con unas gotas de ácido sulfúrico; i la hora siguiente un escrúpulo de vibo hoy mismoá Salas. La osadía del llamado Trompe…</t>
  </si>
  <si>
    <t>Boiow</t>
  </si>
  <si>
    <t>…ndo convite , á que han asisti Dean y cabildo de la «anta iglesia de Jaén, Blas de Haya» vocal secretario. do el conde y coodesa Grey, el conde de Tankerville y su esposa f el príncipe y princesa de Lteven, el barón \Yessenberg , barón Boiow , vizconde Palmer»- 1 Señora: La ciudad de S. Juan de Jaruco, en la siempre Bel isla de Ceba, io.n , caballero Lima, embajador de Portugal, y otras varias personas de dis ha celebrado con el mayor júbilo el dia en que su ayuntamiento, llevaodo al tinción. frente 4 su justicia mayor el conde de Mopo…</t>
  </si>
  <si>
    <t>Bois-le-Comte</t>
  </si>
  <si>
    <t>…u Las sesiones del congreso se celebrarán en la secretaría del canciller. Escri Los españoles pecho*. • ben del monte Líbano , en Siria, que ha llegado allí desde Egipto el plcnipt^ Si sediciosa llama levantare, tenciario francés barón Bois-le-Comte &gt; y que se ha alojado en el palacio del En ella morirán los que la encienden: príncipe. Todas las autoridades civiles y eclesiásticas se presentaron i felicitar i Cristina es de U España Protectora, S. E. y darle gracias por la protección que dispensa la Francia á la nación ma- Y híspana fiel á su Isab…</t>
  </si>
  <si>
    <t>BoLsy</t>
  </si>
  <si>
    <t>…ón general del proyecto de ley sobre organización del con alegorías, inscripciones y versos los sentimientos de su acendrada lealtad. consejo de Estado. Entre los adornos con que se señalaron las autoridades, cuerpos y vecino* El Sr. BoLsy d'Anglas se opone á la aprobación de dicho proyecto, por del pueblo, sobresalía la fachada principal de las casas consistoriales por su gus**</t>
  </si>
  <si>
    <t>Bomas, Francisco</t>
  </si>
  <si>
    <t>Francisco Bomas</t>
  </si>
  <si>
    <t>…e la izquierda del GuadalopeumExcjnc!. Sra Sót&gt; las nueve X^sniuertos fueron 13.* de la noche, y desde las seis deja mañana no hepnos des^nfádo un instánté, La fatiga que es consiguiente i una marcha tan larga no me permite décfr D. Francisco Bomas, estudiante de facultad mayor. £ V. E. siho que esta tarde en el puerto de AriñO ehcqntré 'p£r fin al rebelde José Diez Tejedor. Carnicer, y fueron destrozados y dispersos completamente loj resto? que había N. de K., natural dé Marcilla (al el Choznero.) podido reunir de sus pasados descalabros. On…</t>
  </si>
  <si>
    <t>Bombay, Pedro María</t>
  </si>
  <si>
    <t>Pedro María Bombay</t>
  </si>
  <si>
    <t>…avesía de Inglaterra á Alejandría,ficiado de Cizur la mayor; á D. Juan Echeverría, beneficiado de los y ¡os tres réstantes para ser empicados en Ja costa oriental del Istmo, uno en Atcos; I D. José Sotó, beneficiado de Arroniz; á D. Pedro María Bombay y dos en Calcuta. Irazuzta, beneficiado-de S. Sebastian; á D. José Ignacio Zabalo, be El buque de vapor de Bombay será despachado á tiempo que pueda llegar neficiado de Segura; á D. José Manuel Bustindui, beneficiado de á Socotora dos días antes del de Calcuta, y de alli pasará á Madras y á Ceylao. Motri…</t>
  </si>
  <si>
    <t>Bomuerto, Francisco</t>
  </si>
  <si>
    <t>Francisco Bomuerto</t>
  </si>
  <si>
    <t>…n muchas observaciones sobre estas en efecto la formación de las compañías de seguridad. El cabecilla Barba ha sido fermedades.,nafon. Un tomopor enC- 8.°,Villete,ed iciontraducidosde 1830,deá la10 segundars. rustica.edición, por D. Francisco Bomuerto estos dias y su segundo, con algunos otros capturados: los demas de las —Experimentos y observaciones del agricultor lego, sacados de la experiencia y gavillas se han presentado, y esto está en un completo sosiego; lo que tengo la apoyados por la práctica de sus compañeros y labradores. Dos cuadern…</t>
  </si>
  <si>
    <t>Bonal, Francisco</t>
  </si>
  <si>
    <t>Francisco Bonal</t>
  </si>
  <si>
    <t>…eta de Francia? El furor , él y que por nuestra parte ha sido también bastante, y no poco sensible, por ha ínteres individual y mezquino, el deseo de sangre y de venganzas Ies ha puesto ber muerto en el campo el coronel ilimitado D. Francisco Bonal, y el teniente las armas en la mano: los han seguido hombres incapaces de meditar, atraídos «oropel id.. D. Manuel La Mesta con 6 soldados mas. por el amor de la vida licenciosa de las cuadrillas. No hay en todos ellos el Añade que faltaría á su deber, sí dejase de hacer justo elogio del mérito men…</t>
  </si>
  <si>
    <t>Bonaparte</t>
  </si>
  <si>
    <t>…cadas «Un padre llene cinco veces mas edad que su hijo: dentro de 10 años so en la Valteüna, en Borinio yen Cleves. Se verificó la confiscación en 17‘j7 lo tendrá tres veces mas, &lt;qu¿ edad, tienen ahora el padre y el hijo? por el general Bonaparte, con perjuicio de algunos ciudadanos del cantón de »»S¡ se compra un.rebaño, y lo pagan entre tres, de manera que uno des los Grifones: posteriormente, después del tratado de Campo Formio, volvie embolse la tercera parte del prcc«o, el segundo la cuarta, y el tercero ponga ron al Austria aquellas p…</t>
  </si>
  <si>
    <t>…matrimoniales Ocasión, no quedará duda ninguna.** prohibidos se revalidan con frecuencia por la autoridad competente: Pío vi en El Sr. marques de Móñtcvírgen leyó la parte de-discurso referida, y des- el concordato de I8ü2 con el cónsul Bonaparte revalidó la división de obis pties contitmó: «Aúnas! todavía encuentro alguna dificultad; pero no obsta pados hecha en Francia durante la revolución Scc. Aun hay mas: el consenti para lo que voy á expresar. He * dicho antes que. la comisión adopta la idea, miento de Us Naciones, por ser el de la au…</t>
  </si>
  <si>
    <t>…niciones-, según lodqan-compren Ilónes-queTiaganfueg-o de'fila y que formen el-cuadro; durante mucho tiempo der las contestaciones-recibidas-de los generales barón de Sa-da-bandeira, y no ha vipiornas que á -sin solo hombre : al -general Bonaparte. -del brigadier SchwaPbac ,*eonwmdamerae .la división del Alentejo, Jos cuales ■Mehemet-AIí, dicen algunos de sus apologistas, rio debía al Egipto mas hacen con este motivo los mayores encomios y -felicitaciones*al réferide briga que-él despotismo de los bajaes turcos, sus predecesores, sos iguales, y si…</t>
  </si>
  <si>
    <t>Bonapnrte, Luís</t>
  </si>
  <si>
    <t>Luís Bonapnrte</t>
  </si>
  <si>
    <t>…este modo toda agresión que venga del territorio francés , cerrando el paso á los carlistas, y privándole» de recursos, ____La Gaceta de los Grisones habla en términos violentos contra el gobier no de Berna por haber admitido al príncipe Luís Bonapnrte entre los oficíales ____El comercio marítimo de Diepe recibe todos los días nuevo incremento. , de artillería de aquel cantón. Este periódico representa al príncipe como á un Hé aquí lo que se lee sobre el particular en el último ternero del Memorial intruso, y censura la conducta del consejo ejecu…</t>
  </si>
  <si>
    <t>Bonet, Andrés</t>
  </si>
  <si>
    <t>Andrés Bonet</t>
  </si>
  <si>
    <t>…dese bierno os protege, y vuestro alcalde mayor se Verá en disposición cándose su caballo se metió entre los facciosos; pero el comandante de llevar adelante la ejecución de las leyes. En este ayuntamiento de armas de Manzanares D. Andrés Bonet, que remite este parte, sereis reconocidos por vuestra conducta y circunstancias, para que manifiesta en su oficio habérsele presentado posteriormente dicho se inscriba en el número de los defensores de la justicia á que pre alférez, quien después de hechp prisionero por el Locho, le dió este side…</t>
  </si>
  <si>
    <t>Bonet, Leonardo</t>
  </si>
  <si>
    <t>Leonardo Bonet</t>
  </si>
  <si>
    <t>…ección le ha da á mi derecha: con este motivo, el de no permitirme las eleva hallado con las bizarras tropas de la Guardia Real de infantería el das montañas y su fragosidad enterarme de su posición y movi ayudante de plana mayor D. Leonardo Bonet en los momentos de mientos, y el de haberme manifestado el 2.° comandante ayudan la huida del enemigo, á quien yo perseguía. te de la plana mayor E&gt;. Leonardo Bonet, que según mis adver De todas maneras el resultado ha sido batir á un enemigo de su tencias había participado al Excmo. Sr. gefe de la…</t>
  </si>
  <si>
    <t>Bonifacio</t>
  </si>
  <si>
    <t>…nde senallá el primer cuaderno a 6 rs. vn,, y en GranaArchcna.. ... --------Del-8 al Jl.... 4o 2 . 0 -------Por jubilación de D. Pedro Gómez-* médico dé ia vHia de Cinrruénifo en Nav a*ra, Blanca ... Del, 5 al 12.... o 98 9 yt de D. Bonifacio La vega, círtiftiQp dj? escuche de lto, mispia^M? háljan vacantes ambos Cueza! .... ...Dell 101 al 13.. .1 3 1(5 1 partidor, siendo la dotación dei priméfo 6500 rs. de yn. anuales, y Ja del segundo 'Y1ecla;&lt;. .... . Del 10: al J 2.it - .5 20, 2 blación5500 rs. dede diwhavn.; ratnbtenHIU es anualesYde…</t>
  </si>
  <si>
    <t>Bonilla, Fernando Segovia y D Gaspar</t>
  </si>
  <si>
    <t>Fernando Segovia y D Gaspar Bonilla</t>
  </si>
  <si>
    <t>…ue han mandado militares, y como mi segundo en la brigada , me auxilio con eficacia, contribu las guerrillas, que nada me han dejado que desear, son los subtenientes de la yendo poderosamente á la brillante victoria. Guardia Real D. Fernando Segovia y D. Gaspar Bonilla, y el subteniente El capitán D. Vicente de Noriega, graduado de teniente coronel, que man del provincial de Ciudad Real D. N. Afiover. Dios &amp;c. Valdcalgolfa 3ü de daba las tres compañías de cazadores, el teniente D. Jo*é Campillo y el subte Mayo de 1834 á las doce de la noche.=Excmo. Sr.czAgustin N…</t>
  </si>
  <si>
    <t>Bonilla, Gaspar</t>
  </si>
  <si>
    <t>Gaspar Bonilla</t>
  </si>
  <si>
    <t>…es, y como mi segundo en la brigada , me auxilio con eficacia, contribu las guerrillas, que nada me han dejado que desear, son los subtenientes de la yendo poderosamente á la brillante victoria. Guardia Real D. Fernando Segovia y D. Gaspar Bonilla, y el subteniente El capitán D. Vicente de Noriega, graduado de teniente coronel, que man del provincial de Ciudad Real D. N. Afiover. Dios &amp;c. Valdcalgolfa 3ü de daba las tres compañías de cazadores, el teniente D. Jo*é Campillo y el subte Mayo de 1834 á las doce de la noche.=Excmo. Sr.czAgustin N…</t>
  </si>
  <si>
    <t>Bonilla, Luis Vicente</t>
  </si>
  <si>
    <t>Luis Vicente Bonilla</t>
  </si>
  <si>
    <t>…re había consentido, y S. M. F. acepta Baleares, y de la dirección general de Correos t se ha dignado acceder á la per do, lá resolución de-las Cortes que la declaran mayor de edad, 7 por conse muta de los respectivos destinos de D. Luis Vicente Bonilla, oficial 3.° 2.° cuencia apta para entrar inmediatamente en el ejercicio de los poderes que por de dicho gobierno, y O. Ramón Martínez Hervas, administrador de correos la Constitución le corresponden, manda á todos los tribunales, jueces, emplea de Menorca. dos 7 demas personas á quienes compete la…</t>
  </si>
  <si>
    <t>Boniparte</t>
  </si>
  <si>
    <t>…stó que la corte de Austria había dado á dicho cantón 2.104,694 fr. para indemnizad las confiscaciones hechas en la Valtelma, Bor— ____ Avisan de Alejandría con fecha de 26 de Junio que desde la insurrección liico y Cleves por el general Boniparte en 1797, territorios que fueron cedidos de Siria los negocios han tomado un aspecto muy sério en aquel país, no solo despue^ al Austria por el tratado de Campo-Formio. por el descontento general que había producido la conscripción, sino porque en el distrito eje Naplusa el pueblo se ha declarado ab…</t>
  </si>
  <si>
    <t>Boporta, Manuel de la</t>
  </si>
  <si>
    <t>Manuel de la Boporta</t>
  </si>
  <si>
    <t>…upremo de Hacienda; conde de Sta. Ana; D. Cayetano Valdés, te Gobernadora , siguen en Carabanohel sin novedad én su im niente general de laReal armada, y capitán general del departamen to de Cídiz; marques del Cerro de la Cabeza; D. Manuel de la Boporta nlé salud. dega, decano de la sección de Indias del Consejo Real; D. Martin Fer Del mismo beneficio disfrutan SS. AA. RR. los Serraos. Se nandez Navarrete, decano de la sección de Marina del mismo Con ñores Infantes. sejo; D. José Amonio Rivadeneira, obispo de Valladolid ; D. Pedro Martínez de S. M…</t>
  </si>
  <si>
    <t>Bor, Cárlos’de</t>
  </si>
  <si>
    <t>Cárlos’de Bor</t>
  </si>
  <si>
    <t>…nto porsu influjo y conSccuénctúi Un comerciante llamado M. Jauge publicó en la Gaceta d* Francia de my un oficiales del 2? escuadrón del mismo regimiento, en exposición á anuncio en que convidaba á abrir un empréstito á favor de D. Cárlos’de Bor- qpe din curso el propio coronel en el siguiente 20; y los gefes bon , á quien por sí y ante sí daba el título de Rey de España. El gobierno y oficiales del primer regimiento de infantería de dicha Milicia ur francés, apenas supo el hecho, y hallándolo comprendido en un .artículo del bana en represe…</t>
  </si>
  <si>
    <t>Bor, Pozzo di</t>
  </si>
  <si>
    <t>Pozzo di Bor</t>
  </si>
  <si>
    <t>…sobre el origen verdadero ber suficiente número de diputados se levanta la sesión sin decidir cosí aleuna. de donde proceden los tumultos que agitan á la Francia; perd cree poder sen-r ___ _Se asegura con la ma\or certeza que el conde Pozzo di Bor¿&lt;&gt; ha recibido tar con seguridad que tal vez nunca ha habido, up gobierno que en las circuns la orden de suscribir en nombre de S. M. el Emperador de Rusia por la suma tancias en que se ha encontrado el de Francia hace dos ó tres años, presente el 3e luü9 francos para la erección de un monumento ¿…</t>
  </si>
  <si>
    <t>Borbon, Francisco de Paula</t>
  </si>
  <si>
    <t>Francisco de Paula Borbon</t>
  </si>
  <si>
    <t>…e encuentran hechos recientes que corroboran este principio, hermana la Infanta, pudiera y debiera suceder, expresando su nombre y ape y le »poian iircfragablemente. Y ¿cuá es son estos hechos! La inmortal guer llido, Ja línea de D. Francisco de Paula Borbon y sus hijos, por órden regu ra de li independencia nos presenta el primero : todos lo tenemos bien presen lar de sucesión y progenitura. Esta es la adición que presento al Estamento.” te. Fernando vir abdicó en 18U8, fuese cual fuese el motivo, Ja corona, Los Sres. Bendicho y conde de las Navas deshi…</t>
  </si>
  <si>
    <t>Borbota, Cárlos María Isidro</t>
  </si>
  <si>
    <t>Cárlos María Isidro Borbota</t>
  </si>
  <si>
    <t>…de Rivas acordó el Estamento se im-' Conde de Villatnena , por GrSliada', por enfermo. , pellín esc la. sesión del día 3 del 3ctual, cu que se trató de la exclusión de la D. José de Burgos y Tello. por id., id. Corona de España á D. Cárlos María Isidro Borbota .y. su descendencia; y que, D. Baltasar Carrilloí83ntique, jíóf Gliá8a1i}áirí",AfW id. se„&lt;Ljcsc al Gobierno cuide de hacerla en la imprenta Real en el mismo ta D. Joaquin María Ferrer, pqr Guipúzcoa, por hallarse comisionado en maño en que lo está el expediente y dictámen de la comisión sobre este par…</t>
  </si>
  <si>
    <t>Borda, Eusebio</t>
  </si>
  <si>
    <t>Eusebio Borda</t>
  </si>
  <si>
    <t>…ue la Secretaría del Estamento estaba te; marques de las Amarillas, id.; conde Atares, ausente; duque dé Bailen* convencida de esta verdad; pero que deseando que las actas tuviesen la exten presente; obispó de Barcelona, enfermo; D. Eusebio Borda jí y Azara, pffcjcbsión debida, supuesto que aun no había un periódico oficial que publicase las te; duque de Alba, presente; arzobispo de Burgos, presente; marqués de Ca— mismas sesiones, debía á su parecer dar una reseña de lo ocurrido en la sesión marasa, ausente; marques de Candelaria, ausente;…</t>
  </si>
  <si>
    <t>Borgarelli-d'lson</t>
  </si>
  <si>
    <t>…a Cámara se conforma con esta nueva redacción. brarle secretario de ia Inspección general de ::npre;Hos y librerías del reino. El ministro de Justicia presenta dos proyectos de ley, cuyo objeto es con ceder carta de naturaleza al conde Borgarelli-d'lson y ú D. Mateo Josef Buena-* ventura Orilla, natural de Mahon, en la isla de Menorca. Para conceder esta gracia al doctor Oríllase funda el ministro en que el interesado reside en Fran Partes recibidos en la secretaría de Estado y del Despacho de la Guerra. cia desde el año de 1807; que está casado con…</t>
  </si>
  <si>
    <t>Borgo, Pozzo di</t>
  </si>
  <si>
    <t>Pozzo di Borgo</t>
  </si>
  <si>
    <t>03/05/1834</t>
  </si>
  <si>
    <t>Gaceta de Madrid n.º 72</t>
  </si>
  <si>
    <t>…cir que la Rusia empleó las artes de la diplomacia para hacer Real orden sobre aplicación de fondos existentes y por recaudar de ar~ nombrar ministro de Estado al conde Mole, bien que lo que hubiera ganado de favor para su amo el conde Pozzo di Borgo, lo hubiera perdido de su rau bitrios de los ex-roluntarios realistas. merecida consideración y respeto el gobierno de Luis Felipe. Enterada S. M. la Reina Gobernadora de lo que me dice Y. S. Solo el hecho de quedar unido de sentimientos el duque de Broglie á lqs «a 6 del actual acerca de la aplica…</t>
  </si>
  <si>
    <t>…omático fue ocupada por los embajadores y mi Brusela/ 18 de Diciembre. nistros plenipotenciarios en grande uniforme. Se observaba sntr© dio» á losr se Ayer aprobó sin discusión la Cámara de Representantes la ley que fija el ñores conde Pozzo di Borgo, lord Granville, el conde de Appdny y el barón H continúenle del ejército para el año de 1834 cn c* P*c de guerra, y que sccom- de Werther. pondra de 1 K&lt;£) hombres, sin contar la guardia cívica movilizada del mismo La Reina, las Princesas, madama Adelaida y los duques de Aumale y de modo que cn 18…</t>
  </si>
  <si>
    <t>…son sus intenciones-la afabilidad que muestra-ó-Ta Franéia fa&amp;^prnésf-estragos del cólera como en Suecia* Esta plaga se ha llevado el décimo de la población de Gottembairgo: la capital ha perdido un vigésimo octavo de sus cia del conde Pozzo di Borgo en Fontainebleau. (Constitucional.) habitantes, y como nuichos enfermos están todavía de grave peligro, es proba , . • ' i: ’ a " tble que aumentará considerablemente el numero de muertos. Pero eh ninguna ------ Si realmente D. Miguel ha tenido intención de volver £ la Península, parte ha sido tan…</t>
  </si>
  <si>
    <t>…del Sultán. En cfcctorsi llegase este caso, ¿podría por ven tante cargo. tura Mahmoud negarse á dar ayuda á las provincias cedidas por el tratado de JCutaya para que sacudiesen ei yugo de los egipcios! ¿Y la Rusta desperdicia F1 conde Pozzo di Borgo tuvo una conferencia el 6 con Mr. de Rígny, ría la ocasión de repetir sus instancias, cuando sus consejos se compadecerían en la que le participó que tenia orden de pedir sus pasaportes, y salir de Pa también con las exigencias del honor y de la oportunidad? rís en 24 horas, si ciertas personas, qu…</t>
  </si>
  <si>
    <t>…la discusión del proyecto de ley relativo á -la libertad de im de una hazaña de L&gt;. Cárlos, de una revista del Emperador Nicolás, mientras prenta", y drapura de una breve discusión quedaron aprobad» con algunas que maldicen á su embajador Pozzo di Borgo por haber ¡do con la corte á Fon- correccionra la párrafos 7.° y 8L° que tratan de -las penas corporales y pecu tainebleau. Pero no hay remedio, tienen mal que la pese, que ver con-sus niarias.” Se levantó la sesión. . . .. . propios ojos la notable consolidación de estármonarquía, amenazada por ta…</t>
  </si>
  <si>
    <t>Borrajo, Manuel</t>
  </si>
  <si>
    <t>Manuel Borrajo</t>
  </si>
  <si>
    <t>…por ahora, y sin perjuicio de señalar un diario si las circunstancias lo exigen................ ....................................................... 500 _Por conducto fidedigno nos consta, dice el Courier, que el ministerio de D. Manuel Borrajo.... .......................................................... ............. 100 lord Grey quedó ayer «Jispelto, porque vienclá el lord Althorp Jós graves in La compañía de Cárdenas por una ..vez.................................................. 1000 convenientes que se presentaban para sostener en la…</t>
  </si>
  <si>
    <t>Borreguero, Josef</t>
  </si>
  <si>
    <t>Josef Borreguero</t>
  </si>
  <si>
    <t>…ta subdelegaron, é individuo de ia sociedad - ¡ . pximeba. económica de Madrid; EV .Francisco' Asas y p. Antonio Calama, canónigo* ' Para que los jhieWósde la províncla de Salamanca encuentren fácil y len- de esta santa iglesia ; D. Josef Borreguero, prebendado de la misma: D. Igna ülámeote et níedicr de comunicarse ccm la subdelegaron de Fomento, insta- cio Moptes, catedrático de prim^en mediciq?; D-Oistóba) Solano, caledtáida solemnemeété en el día; de -hoy según la circular de esta- fecha, me ba'pa- tico.de astronomía; el doctor D.^liguel.…</t>
  </si>
  <si>
    <t>Borrina</t>
  </si>
  <si>
    <t>…as regulares, hacensubir la -fuerza del ejér- j París 29 de Noviembre. cito tetca^ 2209 hombres. La mayor parte de las tropas de la guardia y del ejércitotégularáiacefiTélServicio en Co astantínopla y. en las plazaifuertes del Él doctor Borrina ha sido muy bien recibido en el mediodía de Francia, i¿iper¡o: iaB irregulares estola £n las frontcríis. Algufios regimientos detestas . y se muestra muy satisfecho del progreso que hacen loS principios favorables guarnecen varias'fortalezas de lo interior. Do» franceses están encargados en á la li…</t>
  </si>
  <si>
    <t>Borrólo, Francisco</t>
  </si>
  <si>
    <t>Francisco Borrólo</t>
  </si>
  <si>
    <t>…a esta corporación (que do repetí- por Reina y Soberana de las Españas á Doña Isabel ii ob Borbon : por dis jatos por ser constante de ¡as actas), apenas puso los pies en esta ciudad cuando posición del Sr. alcalde de primer voto D. Francisco Borrólo, su presidente, todo quedó allanado.á satisfacción del público. A él se le mandó buscar para pasó la comisión de ayuntamiento,asistida de mi el escribano, á la morada del acordad lo conveniente en, el arbitrio qu¿ debía tunarse por la escasez de Jos Sr. D. Fél x Quintero, regidor alférez Real , y h…</t>
  </si>
  <si>
    <t>Borroto, Francisco</t>
  </si>
  <si>
    <t>Francisco Borroto</t>
  </si>
  <si>
    <t>…nción en los fastos de esta ciudad. Los re yo de 1834 añ°s&gt; concurrieron á la sala capitular lo» señores alcaldes ordina piques generales de campanas anunciaron al romper el día que Vitoria recibía rios de primer voto, presidente D. Francisco Borroto, de segundo voto Don la bandera de su bencmeuta Milicia , el inestimable regalo que sus hijos mere José González Ferregur, regidor alférez Real D. Félix Quintero y síndico cieron de la munificencia de ta excelsa Reiva Gobernadora por su decisión procurador general, á celebrar cabildo extraordinario…</t>
  </si>
  <si>
    <t>Borstcl</t>
  </si>
  <si>
    <t>…starlas ... —Según se dice, en todo el ases de Agosto debe dejarnos el general Pire!. todos aquellos á quienes por dichos jueces se pidieren.” De la mis ma Real orden lo traslado ,á V. E. para so inteligencia, y á fin de ■ ■ — b] general Borstcl ha llegado i Bockenheim, donde hace maniobrar í las que tenga efecto esta soberana resolución por todas las dependen tropas que están i sus órdenes. cias del ministerio de su cargo. Dios guarde 5 V. E. muchos años. RADA. Riofrio 29 de Julio de 1834.=Nicolas María Garelly.=Sr. Secreta Aráfoltt S Je…</t>
  </si>
  <si>
    <t>Bosques, Joaquín</t>
  </si>
  <si>
    <t>Joaquín Bosques</t>
  </si>
  <si>
    <t>…ándome en S. Pedro Manrique recibí parte por un paisano que una partida de facciosos compuesta de 7 caballos, capitaneada por el ex TI capitán general de Castilla la Vieja, con fecha de 16 del presente des teniente del 3.a ligero D. Joaquín Bosques . procedente de Aragón, habiendo de Balmaseda, dice á este ministerio lo siguiente: pasado por las inmediaciones del pueblo de Nabajqn se hallaban á media legua »Excmo. Sr.: Como anuncié á V. E. en mi parte de ayer desde Quinco- de distancia de mí, y que, según la ruta que ellos habían preguntado ,…</t>
  </si>
  <si>
    <t>Botca, Ambite S Agosto Manuel</t>
  </si>
  <si>
    <t>Ambite S Agosto Manuel Botca</t>
  </si>
  <si>
    <t>…00 00 3 ha encostrado sin embargo un gran consuelo en los tres regidores, síndico y diputado D. Befnabé Clararana, D. José Soler, D. Félix Giménez, D. Juan VsipufioijiD'; ilVgqstWrGitbert (este ha sido victima ¿le la epidemia), y Don Ambite................ S Agosto.......... 22 00 6 Manuel Botca, Secretario, que con el gobernador presidente permanecieron fir mes enau puéiroi, dando camello un ejemplo de patriotismo digno de elogio y de reooMpeosau Estos beneméritos funcionarios han seguido con este gobier Pozuelo del Rey. 14JuI. i 4 Ag.. 00 OÓ 79 éctjva ayudado á po correspondencia, no sol…</t>
  </si>
  <si>
    <t>Bote, Pedro</t>
  </si>
  <si>
    <t>Pedro Bote</t>
  </si>
  <si>
    <t>…solo hombre que. pueda infundir sospecha* y en la segunda de fusileros el espitan graduado de teniepte coronel D. Joaé persiguiéndole hasta su captura si alguno se encontrase. El espíritu general es García Leron y el subteniente D. Pedro Bote jara, como asimismo el ayúdame cxceieíúe, y .me- prieto tbncr afianzada Intranquilidad que se disfruta enjo maybr con grado de capitán D. Juan Gualberto Corcuera*. ? ya esta prov¡ncía.. 0«os guarde á V. E. muchos años* Toledo 5 de Mayo de En el 2.° batallón del insinuado cuerpo de la Reina, el teni…</t>
  </si>
  <si>
    <t>Bottiglia</t>
  </si>
  <si>
    <t>…ín con gran mayoría de votos, y su clccci n fue apoyada por pro los otros tres son el Emo. Sr. Trigona-e-Parisi, arzobispo de Palermo, testantes y católicos. (Ckronicle.) natural de Piazza, en Sicilia, de edad de 67 años: al Emo. Sr. Bottiglia, arzo \ bispo de Pirgi ¿ natural de Cavour, junto á Turin, de edad de 72 años: ei ------ Acaba de celebrarse en Manéhester uña junta entre los tttaestfos de sastje, Emo. Sr. Polidori, secretario de varias congregaciones romanas, natural de Jes- cuyo objeto ha sido tío solo despedir de sus tiendas á…</t>
  </si>
  <si>
    <t>Botto, Mor Jorge</t>
  </si>
  <si>
    <t>Mor Jorge Botto</t>
  </si>
  <si>
    <t>…abía prevenido, salí los mismos puntos, situándose en Artajonaayer del pueblo de Linhares para este de Cea. En el camino tuve aviso de que Los facciosos estaban en movimiento en diferentes cuerpos. Zumalacetregui I el guerrillero capitán Mor Jorge Botto con unos 700 hombres de infantería y había marchado desde Vil lava á Urroz. 50 caballos á las órdenes del sargento mayor Antonio Freire se hallaba en la El dia ‘8 el general en gefe pasó á Puente, el general Lorenzo 4 Ciraoqut villa de Gouvea , donde los encontramos en efecto ocupando las escarpada…</t>
  </si>
  <si>
    <t>Boudier</t>
  </si>
  <si>
    <t>10/07/1834</t>
  </si>
  <si>
    <t>Gaceta de Madrid n.º 143</t>
  </si>
  <si>
    <t>»u ama de gobierno y del doctor Boudier, para venir á visitar &amp; su familia ¿ Milicia urbana, y hay 33iUrbanos de i caballo todos animados del mejor «- quien nunca había visto, exceptuando á tres sobrinas que habían nacido antes ■ píritu. ' - de qtíe él se fuera. Dio pues una comida de familia, para ia'cual convidó á to Se ocupa en formar…</t>
  </si>
  <si>
    <t>Bourke</t>
  </si>
  <si>
    <t>…do su pabellón en las cosías vecinas , el gobierno supremo de Canadá*, lord Clare, gobernador de Bombay; marques de Sligo, gobernador de la república ha acordado decretar los artículos siguientes sin perjuicio de reca Jamaica; el general Bourke , gobernador de h» Nueva Oales del Sur; y Sir bar oportunamente la concurrencia del cuerpo legislativo. Dtidley St. Leger Hill, gobernador de Sta. Lucía. El número de irlandeses que Art. 1.® Serán admitidos en los puertos de la república los buques de la hoy día ocupan altos puestos r es mayor de l…</t>
  </si>
  <si>
    <t>Bourmbnt</t>
  </si>
  <si>
    <t>…uno en Portugal, pues la tentativa hecha por el hijo déL del mismo mes; y^ el tercero y\ último en el dia 2 de Junio, desde las once hasta las doce de sus respectivas mañanas, en lias oficinas de lasübdelegacion deFomeptodé l* re conde Bourmbnt contra Sctubal había sjdo infructuosa. ferida ciudad. Se advierte que el presupuesto de gastos asciende á 2809 realr* . EN LA IMPRENTA REAL.</t>
  </si>
  <si>
    <t>Bourmoht</t>
  </si>
  <si>
    <t>/ J 21 i cual pjflráaáéhiaséstablé^ér á expensas &lt;fc Uimi versiñád colegios'y enseñan Ha salido de Ginebra ptaa Roma-di general Bourmoht, acompañado tic za», nombrando sus presidentes y .dándoles k» reglamentos qué le parezcan .jípda,su familia. Oportunos. Estos presidentes harán asimismo la profüsioh de fe, y prestaráü:jii- Este viage inesperado ha dado lagar á muchas conjeturas; pero general^ tamento como los profesores. En fin, l…</t>
  </si>
  <si>
    <t>Bourmont</t>
  </si>
  <si>
    <t>…de agregar á los electores las personas de ta-f lento'. &lt; •' "• ^ • ■ ' •-"••• J'KJ \ Plápoles 3 de Febrero. El Sr. Berryer pide que el dictamen de la comisión se divida, preguntando* Ayer por la tarde llegaron á esta capital el mariscal Bourmont, su hijo st se declara que no há lugar a votar sobre las exposiciones que tratan de agre-f Carlos y M*. Laroche|acquelÍn con su esposa y su sobrino. El buque de vapor gar los hombres de talento, repitiendo después la,pregunta respecto á las que el Real Femando los ha conducido á bordo desde Mcsína,…</t>
  </si>
  <si>
    <t>…an que es legal y absolutamente legal prohibir ias 'asociaciones. Y á la do á Santaren, excepto una división que marchó á la provincia de verdad qué hacemos nosotros? Proponemos que se conserve la le Akntejo al mando del hijo del general Bourmont. Las reconven gislación actualagravando las penas'que en ella se establecen por ciones del ministro de la Guerra al conde de Sa Idaña, que según se que las circunstancias lo exigen. dice le han disgustado, versan sobre haber dado lugar con sus últi «Ahora bien, Señores, esta necesidad existe: nadie pued…</t>
  </si>
  <si>
    <t>…jéspacio, de 2l):‘añó» ba sostenido su crédito,, que desaparezca e%te beneficio que eseLúnüjo que pon» á cubierto acaba de sufrir ;esta'désgracia. - ' de las usurpacionesdel gobierno, notando, en cónfirmácion de su • ’-W hijo del mariscal Bourmont y. otro oficial general son lo» tsertg que en Inglaterra se_Fo^ian: asociaciones pórqúoelflerecho de únicos franceses de alta graduación que sirven actualmente en el hacerlo es libre é ilimitado, mientras que en Francia este mismo ejército de D. Miguel. y ' ;- . • dereqho es una excepción del derecho…</t>
  </si>
  <si>
    <t>…ables armamentos que hace nuestra ciudad para la pesca de ') ■ / Terranova han sido causa de que nos hayan llegado en estos últimos tiempos / / # _ grandes cantidades de cáñamo y de alquitrán. Esta introducción trae i nuestro ■El conde Bourmont permanece en Ginebra con cu familia, y según pa puerto muchos buques rusos y holandeses, cuyo pabellón desde mucho» años á rece tiene intención de vivir allí por algún tiempo, pues ba tomado casa en esta parte no había ondeado sino muy rara vez en estos alrededores. Es proba aqueja- ciudad, (.id.)…</t>
  </si>
  <si>
    <t>…aron la em les-pelear á un mismo tiempo en la cordillera de los Andes, entre presa , y yo después de haber entrado en la mencionada Plaza el les hielos del Báltico, en los mares de las Molucas y en los arena veinte y siete con el General Bourmont, cierto ya de que el ene les del Africa. El espíritu, la necesidad de aquella época eran la migo se habia retirado á Mértoia, pasé el Guadiana viniendo a es ambición y ía gloria militar. te punto á poner en egecucion mi plan primitivo. Se ha perdido Pues de esta ambición y de este ardor de renombre…</t>
  </si>
  <si>
    <t>…asiones. Deduce de lodo lo que ha ex ____Por canas que hemos recibido de Malta y que alcanzan basta el 5 de Ene puesto que está obligado á aprobar el principio de la ley , y concluye en estos ro próximo pasado , sabemos que el ex-mariscal Bourmont con algunos oficiales términos: «Señores, mi profesión de fé se encierra en estas breves palabras: que le acompañan , y que todos se embarcaron en Gibraltar , han llegado ya á todo en favor del orden, todo contra los facciosos y perturbadores , sean del aquella isla, en la que permanecían hasta el…</t>
  </si>
  <si>
    <t>…6 de la primera clase y 3 de la segunda, habiendo falle poIitía.\Hay orden para prenderle donde quiera que se le halle, y en el mismo cido 5 del vecindario y 2 militares: medíanle a que en los últimos dias de No caso se náfEr~&amp;^ mariscal Bourmont, que debe, según se cree, acompañar á viembre último fue cortísimo ei número de caso» desgraciados que se habían D. Miguel en la expedición. {Diario Ue Comercio.) presentado, se declaró, de acuerdo con la junta de Sanidad, que la referida ciu dad de Pamplona estaba ya libre del azote que había sufr…</t>
  </si>
  <si>
    <t>…tomado los ne- nibcencia del acompañamiento, como por el concurso de autoridades y per*o- 9 góCÍoside Europa. (Globe.) ñas distinguidas de todas clases que á porfía se esmeraron en dar pruebas de d- H - Aguardamos por momentos al mariscal Bourmont y á sus hijos. Se dice delidad á S. M. la Kei^a y á su excelsa Madre. que S. E. se dirige á Italia, pasando antes por Vicha, (Id.) Al pie de la torre del Homenaje se hallaba construido un tablado donde El príncipe Abbas Mirza , hijo y presunto heredero del Rey de Persia, subieron los reyes de armas,…</t>
  </si>
  <si>
    <t>Boutarel</t>
  </si>
  <si>
    <t>…e haber, desistido del viage proyectado pora vñi- pocos mtnntos. Un fuere y un ómnibus, que estaban tendidos en este sitio, frr lispróvincias de lutia, y *e cree .pasará todo el verano: en Schonbrunn y fueron levantados. El mismo coronel Boutarel ayudó ¿ destruir aquella barri en Badén según costumbre. Ño puede atribuirse ésta determinación ai mal es cada, que al cuarto de hora ya no existía. Otra barricada semejante, que se ha tillo ¡fe lo salud de $. M., .f&gt;uea ée¡ puede asegurar que jamas se ha. encontrado llaba al En de la calle GeofFro…</t>
  </si>
  <si>
    <t>Boutarel, M</t>
  </si>
  <si>
    <t>M Boutarel</t>
  </si>
  <si>
    <t>…{Idem*} NOTICIAS EXTRANGERASj Al amanecer dió órden el general Bugeaud á la compañía de ligeros del regimiento núm. 32 , que fuesen por la calle de Saint-Avoye delante de loa batallones 3.° y 4~° de U 9.a legión r mandada por su coronel M. Boutarel, j AUSTRIA. los gefes de batalloo Veyrat y Ricois. Hubo ua gran tiroteo en la concurrencia de las odies Maubuée y Gravi- Ffefwl." dt Atril. lliers. Una ancha barricada, que se hallaba en esta última calle, fue tomada á S. M. el Emperador parece haber, desistido del viage proyectado pora vñi- pocos…</t>
  </si>
  <si>
    <t>Bouvier, Cayetano Muñía y</t>
  </si>
  <si>
    <t>Cayetano Muñía y Bouvier</t>
  </si>
  <si>
    <t>…ante: y para la de alcalde del crimen de ía Real ninguna inquietud de parte del-pueblo, pues reina la mayor tranquilidad, y las audiencia de Citalufia, vacante también por salida de D. Serafin CSavier, á leyes son obedecidas. . » D. Cayetano Muñía y Bouvier, corregidor de Montilla. •_: Acahu &lt;^e colocarse en la plaza de Milán, llamada Dti Mercadctnti, una estatua colosal de S. Ambrosio, obispo de aquella ciudad tfí tiempo del Empe rador Teodosio: es de marmol de Ornavazzo, y obra de Luí» Scorzini. Igualmente ha venido en nombrar para el corregimiento…</t>
  </si>
  <si>
    <t>Bouzá, Manuel</t>
  </si>
  <si>
    <t>Manuel Bouzá</t>
  </si>
  <si>
    <t>…, Por mi parte de ayer dije á V. S. salía á las tres de la madrugada en persecu conducido por su comandante D. Jaime Carbó y el teniente coronel mayor ción de los facciosos que entraron en las Casas de D- Antonio.'Serian us nuez* D. Manuel Bouzá, se dirigía á tomar el pueblo por la carretera. Apepa$ se de la mañana cuando tuve el placer de encontrar 4 la facción en el prado de principió el movimiento y desplegaron los ¿azadores sus guerrillas, rompió el la Era; en el momento de divisarla la cargué con la caballería, poniéndola en enemigo l…</t>
  </si>
  <si>
    <t>Bovo, Ricardo AVIESA</t>
  </si>
  <si>
    <t>Ricardo AVIESA Bovo</t>
  </si>
  <si>
    <t>…D. Antonio Galle sia blanca, el de Odessa, el del Cáucaso y el de la Siberia. (G. dt las postor go Moron: para la de Rioseco á D. José Velasco de Castro: para la de Francfort.) de Vigo á D. Antonio Arteagaj para feyle Cambados á D. Ricardo «AVIESA. Bovo; para la de Ujijar á D. José de Navas García : para la de Ta— Munich 2 de Mayo. rancon á D. Manuel de los Ríos Gómez de Salazar: para la de Oli- Ya se han puesto en ejecución las medidas adoptadas contra los suizos, y venza á D. Diego Alvarez Osorio; y para la de Torreíaguna á D. Lo aun se han exte…</t>
  </si>
  <si>
    <t>Bowring</t>
  </si>
  <si>
    <t>…r higueras par U Baranda. Dios guarde á V. E. mu chos años. Pamplona 29 de Agosto de 183d-=E.xcmo. Sr.=sL. El conde de Armildez de Toledo. ____Se lee en el Diario de Havre del 23 de Agosto. »Se ha anunciado la salida de Paris del doctor Bowring, sin Indicar el La noticia de hallarse el Pretendiente el 28 en Rónceseles persecuido objeto de su nuevo viage. Creemos sin embargo poder anunciar que el proyec por nuestras tropas se confirma por un parte del brigadier Linares dado en Us- to de Mr. Bowring, al separarse momentáneamente de nuestra…</t>
  </si>
  <si>
    <t>…ue se cierre el Parla- nada es mas contrario al órden. meato. (Globe and Traveller.) El conde Winchelsea- «A lo menos se me concederá que nO he hecho preguntas por espíritu de partido: mi único objeto ha sido obtener una decla El doctor Bowring salió ayer de Lóndrcs con dirección á París, donde ración de principios del actual ministerio,” debe desempeñar las comisiones de que está encargado, (Jdl) E¡ marques de Londonderry: ”Yo no intento prolongar esta discusión, pero una cosa ha quedado sin respuesta. I Es verdad que los cruceros ingles…</t>
  </si>
  <si>
    <t>…vicio eminente á la literatura alemana. Con motivo del Portugal, al ejército libertador lusitano, y á sus dignos gefes; concluyéndose aniversario de vuestro nacimiento, os concedo la cruz de la orden del Mérito con un brindis del doctor Bowring á la libertad de imprenta, primera garan civil, y veréis en esta demostración los sentimientos del particular aprecio quo tía de la libertad de los pueblos. um habéis inspi rado.cd.uis.” ____Sabemos por noticias de Portugal que la mayor parte de las ciudades de AlBNAVIA. aquel reino han reconocido…</t>
  </si>
  <si>
    <t>…ifiesta también su gratitud en nombre de todos á los generosos sus- de embajador extraordinario. criptores, á quienes deben tan eficaces auxilios los defensores de las leyes y do la verdadera .libertad.” ([Correo de León.) ____El doctor Bowring, habiendo concluido su viage en el Mediodía de la Francia, ha vuelto á esta capital. Pcepillan 4 de Noviembre. ____Según les papeles holandeses del 24 de Octubre, la segunda Cámara de La famosa prisión del Monte-San Miguel, en medio del mar, sobre las los Estados generales se habia reunido el día a…</t>
  </si>
  <si>
    <t>…minuya el gravamen que pesa sobre las materias primarás que emplean; que cientemente de una persona empleada en recoger informes sobre el particular se tomen las medidas convenientes para proporcionarles ciertos instrumentas (el doctor Bowring) la noticia de que se va á formar en Francia, para favo de trabajo, cómo hier-o, carbón de piedra &amp;c- al mejor precio posible; en fin, recer la libertad de comercio, un partido tal, que llegue á ser imposible al Go que se establezcan bancos departamentales que les procuren capitales á un pre bierno…</t>
  </si>
  <si>
    <t>Bowripg</t>
  </si>
  <si>
    <t>…ión á Inglaterra de los excelentes vinos que producen estas provincias. Se tos de la Amezcua, y el Pretendiente en dicho Roncesvalles. Ímede asegurar que si la introducción de nuestros vinos no depende mas que de os esfuerzos del doctor Bowripg cerca del Parlamento ingles, esta importante El mismo brigadier caribe desde Roncal el 30 que se había dirigido i ^ introducción se verificará múv en breve á gusto de los consumidores ingleses y aquel valle leal para d:Mc,r su ahitamiento, y dictar las demos medidas opor^ de los productores frances…</t>
  </si>
  <si>
    <t>Bóy.cr</t>
  </si>
  <si>
    <t>…de otro modo, Cáaur¿. apép^ fel Presidente dice qué la Cámara de Los. Pares le ha participa^0 P°r me~ bó el año próximo pasado: aunque en sentir de la comisión $i‘d proyecto Jpi^ dio de un mensage que ha aprobado la propuesta del Sr. Bóy.cr sobré nlos cfcc- hado por ia Cámara puede merecer la nota que se le ponch es de rczelar qiié ¿i; N»4*1 divorció.” Principia fa discusión de ia propuesta dei, Srr Salverte subre, q.i.c ahora se somete á su examen se resienta del defecto Tcontrarlo; puesto qiig fac^Líaj^al minisuo- de.EJacienda para…</t>
  </si>
  <si>
    <t>Boyague, Francisco</t>
  </si>
  <si>
    <t>Francisco Boyague</t>
  </si>
  <si>
    <t>Gaceta de Madrid n.º 180</t>
  </si>
  <si>
    <t>…a librería de Blanco, a 3 4 rs. por razón de porte, medad reinante, se acercaba esta á su último período. ——•Discurso que en el aero de la jura del estandarte y bandera de la Milicia urbana de Valladi.lid, pronuncio el presbítero D. Francisco Boyague; un cuaderno en 4.0 k PROVINCIA DE JAEN. 2¿ rs.; se vende en la librería de Razóla , y en ValladoUd en ta de Pastor. . —Segunda parte del Método práctico para guitarra , compuesta por Mauro GiuliaEl gobernador civil de ella participa coo fecha 9 del que rige que el es ni. Nueva edición aumentada se…</t>
  </si>
  <si>
    <t>Boyer</t>
  </si>
  <si>
    <t>…ha dicho que también trataba de aliviar sus cargas por medio de una El Sr. Tripier lee el informe en que la comisión que ha examinado la pro ¡bien combinada conmutación de diezmos, que en su sentir seria mas provecho- puesta del Sr. Boyer respecto á los efectos de la separación de esposos hecha 1 sa á los mencionados contribuyentes que la supresión de otros gravámenes que en virtud de sentencia, después de manifestar cuánto interesa á la moral públi í primera vista parecían mas insoportables. ca disminuir el número de mugeres que ha…</t>
  </si>
  <si>
    <t>…adora. En la carrera distribuyó el ayuntamiento monedas de plata y cobre, y en aquel día fueron SQcprrídos conl CÁMARA DE LOS pares—Sesión del día 14* pan mas de 4^0 familias pobres. El Sr. regidor D- Juan Contrejas* que hi^oj El Sr. Boyer expone las razones que tiene para presentar un proyecto de de alférez mayor, dió un abundante, refresco á los que le habían acompañado*' [ley relativo á los efectos »&gt;del divorcio, hecho á virtud de providencia dada por y el alcalde mayor repartió raciones y un ducado a los presos de la qárceL {cau…</t>
  </si>
  <si>
    <t>…. Fernando de Rojas, que tenia á su cargo la de Santander. Y esta á Principia la discusión de la propuesta que acerca de los efectos del divorcio D. Ramón Manuel de Pazos, que ha sido nombrado para la de Cartagena; la ha hecho-el Sr. Boyer: en apoyo de su proposición dice este entre otras, cosas, cual queda suprimida. Por otro Real decreto de la misma fecha ha tenido á ,que cp el La establece el principio de que no se presuma legítimo el hijo que bien nombrar intendente de las islas Canarias á D. Vicente María Jaudenes, ítuzcp despué…</t>
  </si>
  <si>
    <t>Bra-s, J B</t>
  </si>
  <si>
    <t>J B Bra-s</t>
  </si>
  <si>
    <t>…fuere dable con sus providen conferencia duró muchas horas. Mr. Dupuis , vicecónsul ingles, asistía como cias la reclamación que haga al efecto el sugeto encargado de ella, principal testigo contra Mr. Warrington, como también el capitán J. B. Bra-s bien por el ministerio de Estado ó por el de Hacienda. tich St. F.lia, cuya presencia habia sido requerida,' tanto por Mr. Rice, Como Art. 20. Cuando ios auxilios de que tratan los precedentes ar por la parte querellante. Mr. Bratich depuso todo lo que en su dictamen le pa tículos se facilitaren en…</t>
  </si>
  <si>
    <t>Braamcamp</t>
  </si>
  <si>
    <t>…; y en seguida se dió cuenta do aprobado el proyecto en su totalidad por unánime decisión de los 84 dipur de algunas exposiciones de cuerpos y de particulares. lados que estaban presentes. Se leyó por segunda vez la propuesta del Sr. Braamcamp acerca «de la Presidente: «Continúa la discusión del proyecto de ley relativo »á las admisión de cereales extrangeros**; y después de oir las razones con que la apo congruas de los párrocos.” yo su autor, la Cámara la tomó en consideración, acordando pasase á examen Observó el Sr. Vasconcellos que…</t>
  </si>
  <si>
    <t>Braancairip</t>
  </si>
  <si>
    <t>…r el expediente instruido en la ciudad de Soria para el esta les tesoreros.” Se mandó imprimir y distribuir. blecimiento de alumbrado yserepos, y mandar que el ayuntamiento lo publi Respecto a un proyecto de ley presentado por el Sr. Braancairip sobre hi que por ocho días con eL fin de que si algún propietario de casas, sobre las potecas, dijo el Sr. Macedo que la comFion opinaba que habiendo tomado la cuales recae la imposición á propuesta dei mismo cuerpo, tuviese que reclamar iniciativa el gobierno sobre esie particular, creía inútil tr…</t>
  </si>
  <si>
    <t>Braancamp</t>
  </si>
  <si>
    <t>…vista pesar de sus dimensiones gigantescas podrá empaquetarse y seguir al Rey en sus de las observaciones hechas en est3 sesión lo redactase de nuevo. viages. Los modelos han sido dibujados por M. A. Eouillon, arquitecto, hijo El Sr. Braancamp presentó un proyecto de ley relativo «al modo y re del pintor y grabador que lleva el mismo nombre. quisitos con que se debe permitir la introducción de cereales exir-angeros.” La? Cámara lo admitió á discusión. t ____El consejo de revisión del departamento del Norte ha encontrado en sii Se leyó po…</t>
  </si>
  <si>
    <t>…dano.”. Se mandó imprimir y distribuir. Igual acuerdo recayó sobre otro dictamen, de la comisión de Hacienda, que opinaba - El gobernador civil de Albacete participa en 5 del corriente, que habien se debía adoptar ¿1 proyecto del Sr. Braancamp sobre «introducción de cerea do visitado los pueblos de las sierras de Alcaráz y Segura, no podía menos de les extranjeros.” - . itiamfetar la sorpresa que le causara ei hermoso aspecto que presentad pue El Presidente levanté la sesion.1 . . blo de Elche de la Sierra, pues aun cuando se halla encla…</t>
  </si>
  <si>
    <t>Braapcamp</t>
  </si>
  <si>
    <t>…ca de la cuota que le ha cabido, lo.haga ante la junta dé concejales y pro ces. La Cámara adhirió á esta opinión, á pesar de las reflexiones que hizo el pietarios establecida con arreglo al Real decreto de 17 de Setiembre último, Sr. Braapcamp para que su propuesta se,tomate en consideración. 1 con recurso al gobernador civil, quien determinará definitivamente. Al mis El mismo Par leyó otro dictamen de la citadacomision de Legislación,ea. mo tiempo’ha vasto S. \L con agrado el celo que han desplegado en este par el cual manifestaba que s…</t>
  </si>
  <si>
    <t>Braga, Miguel En</t>
  </si>
  <si>
    <t>Miguel En Braga</t>
  </si>
  <si>
    <t>…Duero y Miño per adaptable á su gusto y quizá á sus disposiciones. manecen en Amarante como punto mas avanzado, y al frente tie Todas estas reflexiones prueban que, á pesar de algunos casos nen, aunque en corto número, tropas de D. Miguel. En Braga se extraordinarios, se necesita una fortuna independiente para dirigir apoderaron dichas tropas de D. Pedro de la mayor parte de los los Aludios de los jóvenes de la manera mas útil á ellos, á sus fa- efectos que desembarcó en Camina la balandra Escorpión, los cua : midas y á la sociedad , y que la…</t>
  </si>
  <si>
    <t>Braganza, Duque'de</t>
  </si>
  <si>
    <t>Duque'de Braganza</t>
  </si>
  <si>
    <t>…r la mañana. La junta da siete facultativos es de pareca por Argel. ^ J . * cerque es 1 preciso seguir con energía el sistema que se ha adoptado en la cura Propone, pues, Mr. Oenty que se haga desaparecer cuanto antes la.-cua del Sr. Duque'de Braganza, conviniendo todos, en que S. M. L no ha pasado rentena á que están sujetos todos los efectos que provienen de la regencia* di- . bien la noche, y en que necesita rtfos^.—Tavare s, médico de cabecera.. rígidos á los puertos de la metrópoli, y la que sufren en Argel todos los que 19 de Setiembre á l…</t>
  </si>
  <si>
    <t>Braganza, Miguel La</t>
  </si>
  <si>
    <t>Miguel La Braganza</t>
  </si>
  <si>
    <t>…erca de S. M. el Rey Leo 1VC1ATERRA. poldo. Portjmovth 24 de Junio. El almirante &gt;íapier ha llegado esta mañana í las ocho en la Braganzat La Reina Gobernadora por Real decreto de 24 de Junio próxi fragata cogida á la escuadra de D. Miguel.. La Braganza ha echado el ancla mo pasado se dignó conceder honores de magistrado de la Real au delante de Spithead, y ha hecho un saludo» á que ha contestado la l’i.tori* , que había enaibolado el pabellón portugués. El almirante Napier, Indi Naptcr y diencia de Madrid á D. Jacobo Yillánova y Jordán, fiscal de…</t>
  </si>
  <si>
    <t>Brancadono</t>
  </si>
  <si>
    <t>08/12/1834</t>
  </si>
  <si>
    <t>Gaceta de Madrid n.º 297</t>
  </si>
  <si>
    <t>…bispos, 4-3 del orden de sa cerdotes, y 9 del de diáconos. El decano del sacro colegio es el cardenal Pacca; Según manifiesta su gobernador civil en oficio de 25 del mes último, ha el primero del órden de los sacerdotes es el Sr. cardenal'Brancadono, arzobis bía desaparecido la enfermedad que atiigia al pueblo de Alcanar; en UUdecona po de Ferino; y el primero del órden de los diáconos es el Sr. cardenal José solo existían tres enfermos que no daban cuidado, y en la capital y demas pue Albani. Este es el mas anciano de los cardenales, puesto q…</t>
  </si>
  <si>
    <t>Bravo</t>
  </si>
  <si>
    <t>…Luis de Potosí, donde algunos enemigos de San tana hacían esfuerzos para Dió ocasión á esta Real orden una solicitud de D. Sebastian oponerse a) gobierno. Criado Cerezo, vecino de la villa del Rio, para que se declarase que ’&gt;El general Bravo habia regresado á Méjico, y su amigo Canalizo, que el auto publicado en 1789 por el alcalde mayor de Montoro, prohi tan tenazmente se opuso á San tana, habia sido nombrado gobernador de Quebiendo la entrada de ganados en los olivares y viñas, aunque fuesen rétaro. de los mismos dueños y estuviesen…</t>
  </si>
  <si>
    <t>…spuesto dis^ El subdelegado de Córdoba remite el parte siguiente: tribuir el producto de la tfenta de los caballo* entre los' valientes que concuí-* Excmo. Sr.: Acompaño á V. E. copia de la manifestación que hace la rieron con el capitán Bravo á la sorpresa de la referida partida; y coil el fin dé junta de la Real casa de misericordia de esta ciudad relativa á los muchos men evitar la exacción violenta intentada por los rebeldes para cortlprtfiñeter U ju digos que he hecho recoger; la cual, para conocimiento del público se ha man ventud…</t>
  </si>
  <si>
    <t>…tadores, con los fanáticos, con los intri- , vicio militar. ____Las noticias recibidas de Méjico y de Veracmz anuncian que gantes y con los locos. (Risa Je aprobación en el centro.) A esto ha habido un choque entre las tropas del general Bravo y las del estado llegaría la nación, á esto vendría á parar la sociedad: de cidme ¿si seria posible tolerar semejante situación! gobierno , en que aquel ha sido derrotado con pérdida de 100 hom «Señores, permitid que &lt;?s diga que en pingun Estado, y me bres; pero por cartas posteriores se sabe que Bravo voiv…</t>
  </si>
  <si>
    <t>…y besad reconocidos la mano clemente y generdsa que os .. Los periódicos de Nueva-Yorck contienen, el parte del gene-* los prepara solícita sin que su cariño maternal pida en recompensa Vitoria, en que se confirma la derrota del general Bravo acae mas ápie el amor nuestro. cida en Perlama el 14 de Enera último. Bravo se escapé precipi ■ "Yo lo juro por vosotros: yo qué Conozco vuestros sentimien tada mente-dejan do en el campo 50 muertos y 60 heridos-, y por tos de pundonor y de lealtad, yo juro que jamas sereis ingratos al las noticias…</t>
  </si>
  <si>
    <t>■„ &lt;■:. 261 .tierno que se hablan dirigido contra et general Bravo han sido com En efecto, ¡cuál és. el fflotiyo de la promulgación del Estatu pletamente derrotadas ,• yr por consiguiente el general M'ejfa/que las to Real, sino él desea de hacer permanente é indestructible la jus mandaba havueltoá Méjico, donde na se hallagcaeral algunaque ta libertad que las lucé…</t>
  </si>
  <si>
    <t>…r una tribu árabe amiga de Mrhemet-Alí , ha tenido que refugiarse república, lo mismo que en Tampico. Los:elencos de Acapulco se han decla err Ja fragata inglesa el Tigre. Moka ha sufrido algunos días de pillage. rado á favor del general Bravo. (Globe.) Eí padre Enfántin continúa aquí con sus discípulos. Los sansimonianos se desesperan de ver que les sale fallida su profecía, que anunciaba se hallaría la Madre en el Oriente en 1833; tienen por consiguiente que contentarse con — Las noticias de Hannórer dicen que una órden del ministerio c…</t>
  </si>
  <si>
    <t>…irectamente Et tiempo necesario para la travesía, y la necesidad de reunir víveres que noticias de Veracruz de principios de Abril. suministrar al ejército absorveria lo poco que queda de buen tiempo, y solo a la Ha capitulado el general Bravo, como igualmente el último gefe de lo» entrada del invierno se podría l.egar al pie de, monte Tauro, limite del terri pronunciados, el general Canalizo. Por consecuencia de esta capitulación han torio de Ibrahim , que cita sin duda muy bien defendido. Vuelto á tomar los negocios alguna actividad. :…</t>
  </si>
  <si>
    <t>…a.y r. . lo que de Real orden digo a V. para su inteligencia y mas pun- ------ Ya parece que está restablecida la tranquilidad en Méjico, á petar de que '5»í Curoplin;icuto en la parte que le toca. Dios guarde á V. muchos añoL el general Bravo y un corto número de descomentos se ^afuetean por .Qpope**£c Jé Marzo de 1834-—Zarco. al gobierno. Ha sido arrestado'el coronel Autttn por suponérsele cómplice C9 una conspiración, cuyo objeto era la independencia ide la ^rovjifcLi de ' .Siendo la rapidez en los movimientos de las tropas el medio mas…</t>
  </si>
  <si>
    <t>Bravo, Bartolomé</t>
  </si>
  <si>
    <t>Bartolomé Bravo</t>
  </si>
  <si>
    <t>…e irá repetido,en el sobre de otro pLiego cerrado, Febréfo ¿ las tres de la madrugada fueron sorprendidos cü Alda por el cardentro del cual se declarará el nombre del autor. Estos pliegos se quemarán pitan de caballería de Borboh D. Bartolomé Bravo , 13 facciosos montados y luego que esten adjudicados los premios. tres á pie, pertenecientes á la facción alavesa de Uranga, que de su orden se ocupaban en recoger los mozos de los pueblos para engrosar las filas de los re-, bcldes. Los 16 prisioneros, asi corno sus armas y 10 fusiles recogidos í…</t>
  </si>
  <si>
    <t>Bravo, Francisco Oliver y</t>
  </si>
  <si>
    <t>Francisco Oliver y Bravo</t>
  </si>
  <si>
    <t>…británicas. En el último viage que lord VVilliam Cuadro núm. 24. Segundo: á D. José Gabriel Mastrati, por la cabeza de la Bentinclc hizo por lo interior del país, su equipage fue llevado por 103 ele Magdalena, núm. 16. Tercero: á D. Francisco Oliver y Bravo, por el Tacio, fantes, 1300 camellos y 800 carruages tirados de bueyes. Este convoy iba es núm. 45; y mención honorífica de D. Francisco José Llanos, por el grupo coltado por dos regimientos, uno de caballería y otro de infantería. anónimo de medias figuras, núm. 4ó. Paisages. Primer premio: á D. J…</t>
  </si>
  <si>
    <t>Bray</t>
  </si>
  <si>
    <t>…hacia embarazosa la huida, que se verificó en,1a dirección de Londres» á 90 dias, id. id. Santander, 1 id. á 4 p. 100 al aña. 384. Bilbao , par. Santiago , -J á 1 d. S. Estéban. Los paisanos que han traído los partes del teniente coronel Bray me han dicho que la junta no salió con media hora de ventaja á la llegada do nuestras tropas. En el pueblo*encontraron la fábrica de pólvora, que con otra de Araraz quedaron destruidas. . ANUNCIOS. «Al llegar yo aquí de regreso de mis expediciones , eran las ocho dé la no* che, y no faltaba mas*que…</t>
  </si>
  <si>
    <t>Bray, D Patricio</t>
  </si>
  <si>
    <t>D Patricio Bray</t>
  </si>
  <si>
    <t>…el 5 p. 100, 00. dan errando sin saber adonde reposar con alguna seguridad. La columna del Inscripciones en el gran libro á 4 p. 100, 00. Títulos al portador del 4 p* 100, 52 al contado: $4át 54» y 54 &amp; varias tu 6 yol.: teniente coronel D. Patricio Bray llegó á Saldías á tiempo que advertida la 554 y 55 á varias fs. ó vol. á prima de 14 p. 100. llamada junta de Navarra evacuaba aquel pueblo con todo el miedo, desórden Vales Reales no consolidados, 18 al contado: 18¿ á 60 d- f. ó vol.: 204 id. id., á pri y* precipitación que V. E. puede figurarse.…</t>
  </si>
  <si>
    <t>Bray, Patricio</t>
  </si>
  <si>
    <t>Patricio Bray</t>
  </si>
  <si>
    <t>…100, 00. dan errando sin saber adonde reposar con alguna seguridad. La columna del Inscripciones en el gran libro á 4 p. 100, 00. Títulos al portador del 4 p* 100, 52 al contado: $4át 54» y 54 &amp; varias tu 6 yol.: teniente coronel D. Patricio Bray llegó á Saldías á tiempo que advertida la 554 y 55 á varias fs. ó vol. á prima de 14 p. 100. llamada junta de Navarra evacuaba aquel pueblo con todo el miedo, desórden Vales Reales no consolidados, 18 al contado: 18¿ á 60 d- f. ó vol.: 204 id. id., á pri y* precipitación que V. E. puede figurarse.…</t>
  </si>
  <si>
    <t>Brayo</t>
  </si>
  <si>
    <t>…renos del'Estado á varios pueblos de la isla de Córcega; otro aprobando’ el lapa -, y que se habían tomado todas las medidas para Sofocarla. cambio d&lt;e algunos bienes raíces efectuado entre el Estado y un particular; otro ,___ El general Brayo ha publicado una proclama en Chiculcao invitando al pue r en que se, aprueba asimismo la permuta de varias casas sitas en París, y perte^ blo á levantarse contra el actual gobierno, y para animar á los habitantes á Decientes al patrimonio del palacio Real por ciertos terrenos arbolados corá que se…</t>
  </si>
  <si>
    <t>BrcugHam</t>
  </si>
  <si>
    <t>…bajo el solio de la justicia dictaban sus fallos los magistrados, rodeados del respeto de les ciuda ____ Todos los ministros que actualmente se hallan en esta capital están cita danos, de jurisconsultos hábiles, y en presencia de lord BrcugHam, cuya fa dos para concurrir después de medio día á Dowmisg-Street. En toda esta se ma en el ejercicio de la abogacía le elevó al ministerio, ari como antes se mana se ha notado que eran muy frecuentes las comunicaciones entre los mi adipiró á sir James Scarlet. Alli, en fin, se sentaba el inmortal…</t>
  </si>
  <si>
    <t>Bredehe</t>
  </si>
  <si>
    <t>…r-ínft^francesá ethpewS i pübl.carstis docfri, tante completo deí movimíentó intelectual de la nación. * *■ ñas antisociales, el A/ttH*l0teimé(&amp;^i^™Tumeate su lenguage. Lo .. .. l4s.i?i‘4»to^!Í¡r ¡rrrt^x .Qéápenas drámáticasj-del Sr. Bredehe. en seis tomos mismo sucedió d?n el Argos, que habiendo stdo hasta ahora el Organo mas no forman mas que un solo drama que ha terminado el autor esté afio. Senti furibundo de las daCtfinaí tevolüciohatiaí,:acaba, de dédlararse por el'partido mos no poder dar un análisis detallado de esta vasta compo…</t>
  </si>
  <si>
    <t>Bremo, José María</t>
  </si>
  <si>
    <t>José María Bremo</t>
  </si>
  <si>
    <t>…n cuaderno en folio, edición de 1829, a 16. rs. rustica. Extracto del parte remitido por el subdelegado del Fomento de la provin Los suscrlptores al Diccionario tecnológico, ó universal de artes y-oficios., pasa cia de Pontevedra D. José María Bremo con fecha de 5 de Abril último. ran á la librería de Razóla á recoger la primera entrega del tomo 30, con las láinirw Elogia el estado de lá agricultura en dicha provincia, como también su cli correspondientes. Continua la suscripción. ma y feracidad. En ella se dan todas las producciones que enriq…</t>
  </si>
  <si>
    <t>Bremon, José María</t>
  </si>
  <si>
    <t>José María Bremon</t>
  </si>
  <si>
    <t>…Asimismo, y conforme con el dictamen del gobernador civil de Gerona, Guadalajara, ha sido promovido á este destino el oficial 3.° 2.° del de Ponte se ha servido S. M. conceder un mercado los lunes de cada semana á S. Feliu vedra D. José María Bremon , y para la plaza que este deja, ha tenido á bien de Guixols. S. M. nombrar á D. Vicente Alvarez, abogado de la Real audiencia de Ga licia. A propuesta del gobernador civil de Valladolid ha tenido á bien S. M. mandar que la feria que debía celebrarse en aquella ciudad el 29 de Setiembre S. M. se ha…</t>
  </si>
  <si>
    <t>…sociedad ha nombrado protector al Excmo. Sr. D. José María Moscoso Inscripciones en el gran libro al 5 p. 100, 00. de Altamira, Secretario de Estado y del Despacho de‘ loTnterior; director i Vítulos aL portador del S p. 100. 00. D. José María Bremon, gobernador civil de aquella provincia; vicedirector á .Títulos■Inscripcionesal portadoren el grandel 4 librop. 100,á.4 p. á100,14 d.00.f. ó roí. D. Antonio María Montenegro, coronel del provincial de Pontevedra; censor Vales Reales no consolidados, 00. i D. José Ventura Regó, y secretario í D. Ram…</t>
  </si>
  <si>
    <t>…o, dida de 70 hombres, y cautivaron al misino Ibrahim, tuyo cadáver mutilado siendo mi Real voluntad que le reemplace el de Ja provincia de Pon enviaron á su padre. Lo cierto es que una carta de Esmirna del 26 dice que un tevedra D. José María Bremon, y conferir este último gobierno ci oficial francés, procedente de S'ria , asegura haber hab’do un combate entre vil á D. Antonio Tenreiro y Cabeda, secretario del de la provincia Jos rebeldes y ios egipcios; y que estos últimos perdieron la acción y 70 «le la Coruña, en atención á sus méritos y ci…</t>
  </si>
  <si>
    <t>…beneficio: V en P&lt;.ñi runda , donde había un de/..*r de con»ider*ci Extracto del parte remitido por el gobernador civil de la provincia de Pon ha suprimido gastos v dotaciones inútiles, y ha dedicado *u importe a los gas tevedra, D. José María Bremon, con fecha de l.° de Mayo actual. tos Je las juntas de po'icia urbana v caminos, la dotación de tambores^ tr-. •;n- " Ha dispuesto que los vecinos de Camposancos , jurisdicción, 4e Barrante», peu» para ia Milicia urbana, U composición dei releje y u cic una iuente pu</t>
  </si>
  <si>
    <t>…ntoro........... 21 306 21 18 345 23 13 Monturque, ... 20 6 0 1 7 00 1 Rute................. 21 111 9 5 125 17 8 Villa del Rio.. 22 86 S 11 100 8 2 Extracto del parte remitido por el gobernador civil de la provincia de Pontevedra D. José María Bremon con fecha de 4 de Jfunio actual. ' Se hacen ensayos de alfalfa, que por la benignidad del clima se reproduce perfectamente. Ensaya asimismo en su casa simiente de gusanos de seda de Valencia. Provincia de granada. ' Opina que son útiles en aquella provincia las alhóndigas, y da las razones en que f…</t>
  </si>
  <si>
    <t>Brenton</t>
  </si>
  <si>
    <t>…a ponerlos en la senda de la moralidad y la in- y sus inválidos, bajo el pliego de condiciones que está de manifiesto en la escribanía principal del Real cuerpo de marina. Los remates se harán en la comandancia general duUrja. El capitán Brenton y su sociedad han reducido á práctica este objeto del propio apostadero de once á doce de la mañana: el primero el dia 4 de Diciembre ímpóftailte con ef mejor suceso; y mediante sus patrióticos, esfuerzos y A au próximo venidero 1 él segundo el dia 15, y el-tercero el 22. EN LA IMPRENTA' REAL</t>
  </si>
  <si>
    <t>Bresca, Antonio</t>
  </si>
  <si>
    <t>Antonio Bresca</t>
  </si>
  <si>
    <t>…raganza, mi muy amado, querido y apreciado Padre. vista de la de las juntas respectivas de igual clase ha tenido á bien elegir vice «Yo Doña María, por la gracia de Dios, Reina de Portugal, de los Al- presidente de la de Málaga á D. Antonio Bresca, y vicepresidente de la de garbes, y sus dominios, saludo á V- M. I. como á persona á quien sobre todas Barcelona á D. José Mariano Cabanes. amo y aprecio. Deseando dar á V. M. I. un testimonio público del vivo amor, respeto y gratitud, que consagro y tributo á ¡a augusta persona de V. M. I., Tambi…</t>
  </si>
  <si>
    <t>Bresson</t>
  </si>
  <si>
    <t>…acompañada de su el precio de los arriendos, y aprovechando lavcntajsde las-modificaciones qué Sin gusto hermano el duque reinante de Sajonia-Meinungcn: también llegó el se han hecho, en la legislación concerniente á loa pobres. barón Bresson, enviado extraordinario y ministro plenipotenciario del Rey dé Las sociedades de la Union que tan de cerca amenazaban la tranquilidad lea franceses en la corte de Prusia. &gt; pública y el cursosprogresivo de la industria y comercio, han desaparecido sin emplear ningún medio violento, ni recurrir a me…</t>
  </si>
  <si>
    <t>Bretón, D Manuel</t>
  </si>
  <si>
    <t>D Manuel Bretón</t>
  </si>
  <si>
    <t>…erta de ia sala de la Cámara de los ” Asimismo aprovecho la salida del correo para poner en conocimiento Diputados del modo siguiente: l.° Los seis.porlcrós de Cannra. 2.° Los reyes de V. E. que por parte que acabo de recibir del brigadier D. Manuel Bretón, de armas. 3.° Los escuderos.. 4-° l°s heraldos, y después los oficiales rniyores comandante general del Este y de las columnas de Aragón , Valencia y Cata de la Casa Real que acompañen á SS. M.M., y la diputación de las dos Cá luña á la derecha del Ebro, he visto con suma complacencia que la del m…</t>
  </si>
  <si>
    <t>Bretón, Manuel</t>
  </si>
  <si>
    <t>Manuel Bretón</t>
  </si>
  <si>
    <t>…n su alcance ardiendo en deseos de euaderno 2.° solo, a 5 rs. exterminar tan cobarde canalla.- Al último de los cabecillas se ha unido el exroficial.desertor del 3.° de Un novio para la niña, comedia en tres actos y en verso, por D. Manuel Bretón ]ífrea~decab&amp;Jfcería Vicente Perez Ventero, el que despees de dos meses de ro— de los Herreros: se vende a 6 rs. en Madrid en la librería de Escantilla, y en las pro* bar porotos montes, no ha unido á su triste destino otro partidario que el vmismo.¡ocias donde se hallan la colección de comedias mo…</t>
  </si>
  <si>
    <t>…l valor de las tropas que la perseguían y la decisión tes que he recibido del general Carratalá , que se distinguieron en aquella acde los volúntanos de Isabel n organizados en diferentes pueblos , dictó las dis ciofljnLbrigadier D.-Manuel Bretón , que cargó á fos enemigos á la cabeza de posiciones mas activas para que rápida y decididamente se castigase el atrevi 70 caballos del regimiento de Navarra: el coronel comandante de Bailen T)on miento de estos foragidós, que invocando el nombre de la religión, son el Antonio Azpiroz, y toda la co…</t>
  </si>
  <si>
    <t>…sala de la Cámara de los ” Asimismo aprovecho la salida del correo para poner en conocimiento Diputados del modo siguiente: l.° Los seis.porlcrós de Cannra. 2.° Los reyes de V. E. que por parte que acabo de recibir del brigadier D. Manuel Bretón, de armas. 3.° Los escuderos.. 4-° l°s heraldos, y después los oficiales rniyores comandante general del Este y de las columnas de Aragón , Valencia y Cata de la Casa Real que acompañen á SS. M.M., y la diputación de las dos Cá luña á la derecha del Ebro, he visto con suma complacencia que la del m…</t>
  </si>
  <si>
    <t>…n evadiéndose bian atacado inútilmente á la Cenia, se dirigía al pueblo de Pauls, de la constante persecución que sufren. situado en las montañas y puerto de Harta. Di parte de esta no vedad al Sr. brigadier gobernador de Tortosa D. Manuel Bretón, La justicia de Consuegra avisa con.fecha del 17 que el cabecilla ^ quien tuvo á bien reforzar mi pequeña columna con 120 hombres Barba habia sido batido con pérdida de cinco muertos y cuatro del 5.° ligero y tiradores de Isabel los primeros á las órdenes prisioneros en VlUamayor de Calatrava; y qu…</t>
  </si>
  <si>
    <t>Breutnii</t>
  </si>
  <si>
    <t>…árvulos y los enfermos de toda rústica en la librería de Viana, calle de Carretáss y en las provincias á 8 en las prin dase de dolencia en lacrimad y hospitalesrdice ademas, que en los ocho pue cipales----- Leccioneslibrerías.del Sr. Breutnii sobre las Flegmasías' # gástricas% Hornadas fiebres con‘ blos riela misma provincia que se veían afligidos poé,la plaga reinante, se ad tinuas esenciales de los autores , y sobre las flegmasías cutáneas agudas, redactadas por vertía con satisfacción que aquélla cedía notablemente, habiendo deaparec…</t>
  </si>
  <si>
    <t>Brida</t>
  </si>
  <si>
    <t>…tre los demás1 frutos, origen que unas simples donaciones de los señores Reyes, que si en un tiempo como, por ejemplo, la de paja y utensilios.” pudieron tener fines laudables y objetos de utilidad pública, siglos hace que uno El Sr. Brida: «No hay motivo para dilatar esta cuestión, cuando no se y otro desapareció, quedando solo el gravámen á los pueblos. hace oposición alguna. La carretera de las Cabrillas es una obra útil, puesto «Las mayores dé las dichas exacciones son los derechos de asadura y casque se dirige á abrir un camino…</t>
  </si>
  <si>
    <t>…ee que no-debe haber inconveniente en apro cazadores. Sol» una vanidad militar mal entendida es la que puede empeñarse bar el dictámen que presenta.” en sosténér que la talla sea elevada: en el dia es de 4 pies y 11 pulgadas y El Sr. Brida: «No es mi ánimo oponerme i que se concedan al-Gobierno -media; creo podría muy bien reducirse á 4 y 10 , ó á Jo mas á 4 7 ál. los 253 hombres pedidos. Resuelto á concederle todos los medios posibles para »El reemplazo ó sustitución debe ser de derecho, estableciéndose reglas que cuanto antes sofoq…</t>
  </si>
  <si>
    <t>Brignola, Diego Luis</t>
  </si>
  <si>
    <t>Diego Luis Brignola</t>
  </si>
  <si>
    <t>…os que no daban cuidado, y en la capital y demas pue Albani. Este es el mas anciano de los cardenales, puesto que nació en J ~5U: blos de zquclla provincia no se había alterado la salud pública desde el último el mas jóv-en es el cardenal Diego Luis Brignola , de edad Je 37 años. parte. No hay mas que tres cardenales franceses, ó cuatro, contando el cardenal PROVINCIA DE TERUEL. Fcsch; los otros son el cardenal de Croy, arzobispo de Ruan; el cardenal de Latil, arzobispo de Reims, y el cardenal de Isoard , arzobispo de Auch. Resulta del parte que con fe…</t>
  </si>
  <si>
    <t>Britania</t>
  </si>
  <si>
    <t>…do subsistido durante tres años ¿0¿ qorfa diferen qwe debe dar á la vela dentro de cinco ó seis días. Se compone del CaieSonia, cia Cualquiera que sea Ja Cámara que la suceda deseamos que sea'tan útil á la. J-20 cañones, pabellón almirante: Britania, 120 cañones: Tkund'rer, nación, y que produzca tantos bienes como la do 1831, para lo no en Malabar, 74: Edimburgo\ 7\i Talonera7 7\i Alfredo, p0; Scout. 2o * contrará. por cierto tantos obstáculos como..encomió esta última en las.circuns (J&gt;.\de Debates.) * tancias difíciles en que se hallaba. Ha…</t>
  </si>
  <si>
    <t>Brito</t>
  </si>
  <si>
    <t>…opone á que se admita la y entonces dispuse que cayese sobre sus flancos el valiente coronel Queiroz con proposición, conoce sin embargo que es indispensable reformar el artículo 33 la brigada de cazadores 2.a y 12 , mientras el brigadier Brito los atacaba por el del código civil, «que previene la confiscación de los bienes en que el condena centro con los regimientos 3.° y 6.a Durante el ataque se mantuvo do reserva do á muerte civil incurre después de sentenciado á ella.” formado en batalla , y á medio tiro de fusil el regimiento núm. I enf…</t>
  </si>
  <si>
    <t>Brnia</t>
  </si>
  <si>
    <t>…' ’ ’ y 11 1......... -ParisiJló;dt Síarzo./ . J ir. . ’* í ■ ’. t-.-- AUOÍARMi1 *l':* ■' ¡'fr .. m &lt;- ímja M *j&gt;rr. -'Cinco por-lXIO-consolidados 104 fr.,a5.&lt;. Fondos espafioles, renta de Españ»3 por lt&gt;9,i8&amp; Empréstito Realafc ¡d. 79. Brnia oeo- ^ 1. •; • '. Francfort 2a ; r ^ pétua de id. (53. ' * . Wiíístfa corresponsal dejperíín no^ an^jic|a¡’qye jip soJaijjipriíe^efttá ya pqjv fécrqnienié restablecida .la,sajiud de M, AjíciJjIo^ij, sino quq'njaaajiíXa de Mac- c¿MA*A BE sos PÁKsC_Jrr&gt;fi»t del X¡&amp;-12 de" Marzo. ponerse S. E. encatqi…</t>
  </si>
  <si>
    <t>Broncha, Francisco</t>
  </si>
  <si>
    <t>Francisco Broncha</t>
  </si>
  <si>
    <t>…s frutas.________________ ’ ________ da en las "inmediaciones de Lorca en numero de tjo rebeldes , al mando del Los suscrfptores al Diccionario histórico de hombres célebres y ó biografía univer oficial desertor del fijo de Ceuta D. Francisco Broncha, ha sido totalmente sal compendiada , acudirán á recoger la entrega i.a y a.a del romo ió, y las entre dédieeha y fusilado «te cabecilla , que con otros secuaces fue aprehendido vale gas tfl y X9 de retratos , á las librerías de Cuesta.y Perez, y en las provincias donde rosamente por lo» urbanos de…</t>
  </si>
  <si>
    <t>Brondí, Pedro</t>
  </si>
  <si>
    <t>Pedro Brondí</t>
  </si>
  <si>
    <t>…la admisión de nuevos individuos en él, prévios los informes corres ciada época D. Francisco González, facultativo titular de la amma^vtlU de pondientes , y la formación de las propuestas para los empleados que deben Chipión», y D. Pedro Brondí, también facultativo, que se trasladó a aqurllaañualmente removerse en el modo que indica el artículo tercero del capítulo desde Cádiz, solo para auxiliar con sus conocimientosá los afligidos: finalmen anterior. te , encomia sobremanera la caridad pura y evangélica del R. P. pr.or y co capitulo xii…</t>
  </si>
  <si>
    <t>Brongniart</t>
  </si>
  <si>
    <t>…as son tan carnívoras, que como ya lo ha- El Sr. Adolfo Brongniart hace una relación de la parte botánica del. vúbia dicho Azara, hay dificultad muchas veces para preservar de sus ataques á ge. El viage del Sr. d’Orbigny, dice el Sr. Brongniart, tenia por objeto todas los cadáveres humanos enterrados. Tanto la&amp;unas como las otras ofrecen en las partes de la historia natural; pero este joven naturalista antes de su salida Su carne uh alimento agradable; se había ocupado menos especialmente de la botánica que de.la zoología. Sin La familia…</t>
  </si>
  <si>
    <t>Brongniart, Adolfo</t>
  </si>
  <si>
    <t>Adolfo Brongniart</t>
  </si>
  <si>
    <t>…d’Orbigny, y los años por Azara. Ha reconocido que mientras que algunas especies se sustentan que han hecho el objete» mas especial de su misión.” exclusivapiente de vegetales, las Otras son tan carnívoras, que como ya lo ha- El Sr. Adolfo Brongniart hace una relación de la parte botánica del. vúbia dicho Azara, hay dificultad muchas veces para preservar de sus ataques á ge. El viage del Sr. d’Orbigny, dice el Sr. Brongniart, tenia por objeto todas los cadáveres humanos enterrados. Tanto la&amp;unas como las otras ofrecen en las partes de la histor…</t>
  </si>
  <si>
    <t>Brotherton</t>
  </si>
  <si>
    <t>…of el Castillo de lo* Da rd únelos y luego por las -tra el enemigo. Lós experimentos ensayados hasta aqui, y én que se ocupa con baterías oel Bosforo: yen las circunstancias extraordinarias tendría tiempo incansable constancia el coronel Brotherton, haQ tenido buen resultado, y pron para refugiarse en el már Negrp, detras dé los cafioftes de Sebastopol. No pue-’ to se repetirán ante los gefes de la caballería de la guardia Real. de esto convenir en manen» alguna á los adversarios de la Rusia y de la_Puer- ' (Maidstone Gazettel) ‘ ta ,su aliad…</t>
  </si>
  <si>
    <t>Broto, Ramón Fernandez</t>
  </si>
  <si>
    <t>Ramón Fernandez Broto</t>
  </si>
  <si>
    <t>…reconoce la autoridad, y después la desprecia y quisiese destruir, calde mayor de Garrobiilas; á D. Manuel Calvache y Moya, alcalde mavor merece ser acusado y castigado como traidor, porque viola un pacto y un ju de Tarragona; á D. Ramón Fernandez Broto, alcalde mayor de Potes; á ramento. D. José El ola, alcalde mayor de Conccntaina; a D. Miguel Falcon AbeHemos visto en un periódico contemporáneo censurar repetidas veces lian, alcalde mayor de Albaida; á D. Jos-- Luis García, alcalde mayor de y con la mas injusta acrimonia la conducta del duque de…</t>
  </si>
  <si>
    <t>Broug</t>
  </si>
  <si>
    <t>…s. (Corresp. de Hamburgo.) Habiendo tenido la feliz oportunidad de permanecer bastante tiempo en los países que ha visitado, Mr. d’Orbigny se lia contraidoi.particularmente á _La sociedad Monthyon y Francklin habiendo concedido á lord Broug— las naciones entre las qtte se ha hallado y que eran poco ó nada conocidas, ham uncí dé los premios destinados á los Hombres útiles, Mr. Dupin fue co aun por los-descendientes actuales del pueblo conquistador; él ha estudiado misionado para entregar la medalla de honor á su ilustre amigotel ex-cancille…</t>
  </si>
  <si>
    <t>Brougham</t>
  </si>
  <si>
    <t>…ba. á 6 rs. rúsrca. Buj.1r.1loz. Trigo, á 14- rs. fanega: cebada, á 7 id.: vino, á 5 rs. cántaro: ------ tírame* de los abusos de la adm: nisi ración de lusticia en los tribunales de Ingla aceite, á i.2 rs. arroba. terra , pur el lord Brougham . gran ca n.ciler act u * I de aquel re i no , traducido del orlF-zca. Engo, a lu rs. fanega: cebada, 2 5 id.: vino, ú 6 rs. cántaro: acei piiidlLeón Beud';«.ho,ingles, conaudnotastur yefectivoobservacionesde guerraaplicadase individuoá as leyesdel ilustrede Españaco'eg, i»porde D.abog.dosJavier te…</t>
  </si>
  <si>
    <t>…no debe |&gt;or tanto darse do és ya demasiada viejo y experimentado para sufrir guerras y discordias en á esta una significación mas amplia que la que contiene su literal tre países vecinos con poco ó ningún fundamento.'’ semillo. Lord Brougham elogió .el celo y talentos de Mr. Atago, secretario del De Real orden lo comunico á V. para su inteligencia y efectos instituto de Francia ? que estaba presente, y este distiuguido literato contestó correspondientes. Dios guarde á V. muchos años. Madrid 12 de en su lengua pátria lo que sigue: »un m…</t>
  </si>
  <si>
    <t>…que no, y personas siguientes: casi es imposible que tal suceda. Sin duda no pensamos ver gobiernos represen El conde Grey, primer lord de la tesorería, tativos en Austria y Prusia , ni tampoco que medio millón de hombres libres lord Brougham, lord canciller. que habitan el vasto territorio de la Rusia (pues los 4-9 millones y medio res Marques de Lansdown , lord presidente. tantes son siervos ó esclavos) sean convocados por un ukase para reunirse en Conde de Carlisle , lord del sello privado, colegios electorales; pero las mejoras de t…</t>
  </si>
  <si>
    <t>…rador. Han sido arrestados, pero todavía no se ha decidido su s-uerte. sin novedad eb sa importante salud en el Real Sitio del Pardo. IKCLATERRA. landres 18 de Arov iembre. PARTE NO OFICIAL. Hé aquí el discurro que ha pronunciado lord Brougham en el convite del nuevo lord corregidor: «Doy gracias al lord corregidor por la bondad que ha tenido en proponer tm brindis á mi salud. No es esta la primera ve/ que NOTICIAS EXTRANGERAS. me_ha cabido la honra de asistir en Cxuild-Hall á reuniones semejantes, pues aquí he pasado una gran parte de m…</t>
  </si>
  <si>
    <t>…zá á la altura suficiente para que el triunfo de la causa ministerial sea tan seguro y brillante como el ____ Los papeles públicos de Haya anuncian el extraordinario ejemplo siguien•nevo gabinete podría apetecer. Si exceptuamos á lord Brougham en la Cáma te de un viage marítimo. El buque Joanna salió de Holanda para Batávia el 2ra alta, y á MM. Spring-Rice y Hobhouse en la Cámara de los Comunes, no de Junio de 1833, y volvió al punto de su salida el 6 de Enero siguiente. Otraencontraremos entre los miembros del gabinete aquella fuerza de…</t>
  </si>
  <si>
    <t>…las reglas siguientes: tecas ambulantes, que se trasportan mensualmente de pueblo á pueblo. Una de 1. a Los propietarios de acciones existentes en Madrid presentarán los títu las sociedades mas útiles que existen es la que fundó lord Brougham en 182/; los de ellas y sus residuos bajo de unas mismas carpetas dobles: una quedará en esta sqgjedad ha distribuido por millares 56 obras, cada una de las cuales for el banco, y la otra, en que se le señalará el dia para el cobro, les servirá de ma una especie de guia para un ramo especial de ios…</t>
  </si>
  <si>
    <t>…censo elec sea obsequiado, publicado y ejecutado en ese, distrito, junto con este decreto, toral mas que á 20 Jib. est., el noble lord ha querido sincerare tanto mas,* que ha tenido á. bien expedir el gobierno. cuanto se dice que lord Brougham fue el autor de aquella inculpación; y por Dios, libertad y federación Monterey Julio 18 de l83^.=aManuel M. de esto el primero ha dirigido 1¿ siguiente carta ¿ loa editores de la Revista: LÍano.=Jesús Garza González, oficial mayor. »Lambton-Castle 18 de OctubrerrAI editor de la Revista de EdimEn l…</t>
  </si>
  <si>
    <t>…ulo para que los comerciantes extrangeros prefieran y levanta la sesión. aquella comunicación con el Pacífico, los habitantes del Istmo han pedido al congreso de Nucva G ranada que declare los puertos de Panamá y Portobelo ------ Lord Brougham, acompañado de Mr. Dupin, fiscal Real, y del arqui Ubres del tonclage y derechos de tránsito, y que permita el paso de la pólvora, tecto del palacio de Justicia visitó ayer las diversas salas del tribunal de Re del tabaco y del aguardiente por el istmo para los puertos de la América^, posición. Ent…</t>
  </si>
  <si>
    <t>16/09/1834</t>
  </si>
  <si>
    <t>Gaceta de Madrid n.º 214</t>
  </si>
  <si>
    <t>…an á pasar las cordilleras con 29 hombres. El go El Times ha ocupado durante algún tiempo su pluma en echar abajo al bierno de Chile hacia todos sus esfuerzos para prevenir esta invasión, y el de actual ministerio; conociendo que lord Brougham es uno de los miembros Córdoba tomaba medidas para rechazarla. (Courier.) del gabinete de mayor influencia , contra él principalmente ha asestado sus tiros. Valiéndose este, periódico de las noticias qüe adquirió por relaciones que tuvo -Parece que se ha declarado una grande enemistad entre el gobi…</t>
  </si>
  <si>
    <t>…incipal del Moi-ning—Post por un con toda certeza que ya á estas horas está nombrado, y que pronto se publicará artículb que habia insertado en su periódico, altamente injurioso al lord can— esta noticia en el Monitor ' ' dillar, lord Brougham. Los nobles Pares estuvieron temprano en la sala de se Habia corrido la voz de que el duque de Bassano babia logrado la prefesiones; muchos diputados de la Cámara de los Comunes se vetan también en renci 1 sobre su concurrente. •1 espacio que media entre el tronó y la barra, y ademts la galería destinad…</t>
  </si>
  <si>
    <t>…rs. mensuales á contar desde l.° de Agosto. glaterra por haber puesto un artículo contra el lord canciller, lord Brouzham, Un religioso que no quiso dar su nombre............................................ 320dice lo siguiente: ”Lord Brougham en este proceso ha guardado la dignidad y, calma propia de su carácter, y ha pagado el homenaje de respeto á las formas Para objetos de la junta de Caridad. de la libertad constitucional. Sin embargo nosotros pensamos que su carácter es demasiado elevado,su vida política bastante pura, y su honrade…</t>
  </si>
  <si>
    <t>Gaceta de Madrid n.º 308</t>
  </si>
  <si>
    <t>…sterio desea también viembre último su sesión acostumbrada» A las doce det dio. Mr. Dupijí, pre la amnistía; lá considera como el mejdr medio de conciliación: disiente tan so jo sidente de la Cámara de los Diputados, entró con el lord Brougham, y le en la ¿poca: se realizará farde ó temprano. presentó á los diversos individuos de la academia, de que es socio correspon «¿Se ha querido que el gobierno obtenga el lauro de la iniciativa! En la diente. Lord Brougham tomó asiento á la derecha del conde Rtinhart, vice contestación al discurso d…</t>
  </si>
  <si>
    <t>Gaceta de Madrid n.º 315</t>
  </si>
  <si>
    <t>…e tudio especial, ya sobre un asunto de indagacione no menos útil, pero mas lord Melbourne, 6 si lord Lindhurot tiene mas constancia de principios que árido, esto es la configuración exacta y detallada de los paisa que visita. Es lord Brougham, ni tampoco si da reforma do la iglesia proyectada por lord Du- mas raro que el viagero extienda asi voluntariameníe*el círculo de sus traba cannon y lord Spenser será mas ó menos agradable al pueblo que la que me jos, cuando encuentra nuevas dificultada, sin preparacione, sin guia .y dita sir Robe…</t>
  </si>
  <si>
    <t>…salud en el Real Sitio del Pardo. ta corte á la una y medía, viníendo^de Brighton. El duque de \Vellington y lord Lindhurst tuvieron una audiencia de S.'M. También la tuvieron los siguientes ministros que han 'alido del gabinete: Lord Brougham, lord canciller; vizconde Melbourne, primer lord de la teso rería; el marques de Lansdown, lord presidente del Consejo; el conde de MrlPARTE NO OFICIAL. graver lord del sello privado; vizconde Ducannon ; vizconde Palmerston; Mr. Spring-Rice, secretarios del Despacho del Interior, de Estado y de las…</t>
  </si>
  <si>
    <t>…conservando sus sueldos. También se ha dispensado igual Favor á varios emplea y en el presente estoy pronto á apoyarla también en disentido de lord Grey. dos superiores de la marina.” De lo dicho se infiere que el Rey de;Holanda Lord Brougham: Yo no dudo que los nobles Lores habrán participado ha renunciado por ahora á todo proyecto hostil. (M, Je las C.) ’ 11 Como yo de la emoetqn causada por el discurso de^ conde Grey, y por roí pirte me hubiera abstenido de añadir ninguna cosa , si el duque de Welling- __En los periódicos holandeses…</t>
  </si>
  <si>
    <t>Broughan</t>
  </si>
  <si>
    <t>…ado el número de socios mas allá de las esperan tre estos v las corjtoraciones municipales, ú otras cualesquiera á cuyo zas que se habian concebido al principio. cargóse halle la administración de los terrenos ó fondos del cimun, Lord Broughan fue recibid» en el seno de la sociedad con grandes aplausos, poyos contratos conservan toda su fuerza y efectos legales; siendo y pronunció un discurso interrumpido muchas veces por las aclamaciones de solamente la voluntad de S. M. el restituir á los propietarios ó sus los concurrentes. Dijo que l…</t>
  </si>
  <si>
    <t>Broussais</t>
  </si>
  <si>
    <t>…as por el corregidor y ayuntamiento de ’ Boletín dt medicina, cirugía y farmacia níím. 5 de ayer 3 del corriente. Con Andujar para la asistencia de los invadidos del cólera, y mandando que se tiene; continuación de la memoria del doctor Broussais; hemorragia por la uretra, pro* pongan á su disposición con el mismo objeto 40$ rs. (Id.) piedades medicinales del cloro y sus compuestos; uso de la narcotina en la calentura __d ctando medidas para preservar á las provincias no infectadas de los ma intermitente; cirugía práctica; reorganización mé…</t>
  </si>
  <si>
    <t>…, Gerdi y Mardjolin- «La obediencia á estas leyes es grata á la mayor parte de la nación, para De patologia medica , Dumenil y Andral.•quien la principal garantía de la verdadera libertad consiste en la acción de los De patologia general, Broussais. poderes constitucionales, desprendida de toda influencia exterior.” De operaciones^ vendages, Richerand. Aqui el orador procuró probar con el ejemplo de ia Inglaterra, después de ia muerte de Carlos i, y de los Estados Unidos, que la forma republicana De clí nica médica. excluye la libertad. Despué…</t>
  </si>
  <si>
    <t>Brouzham</t>
  </si>
  <si>
    <t>…bricante de gaantes. 20 principal se ha hecho comparecer á la barra de la Cámara de ios Lores de In Ademas ha ofrecido 20 rs. mensuales á contar desde l.° de Agosto. glaterra por haber puesto un artículo contra el lord canciller, lord Brouzham, Un religioso que no quiso dar su nombre............................................ 320dice lo siguiente: ”Lord Brougham en este proceso ha guardado la dignidad y, calma propia de su carácter, y ha pagado el homenaje de respeto á las formas Para objetos de la junta de Caridad. de la libertad const…</t>
  </si>
  <si>
    <t>Brownlow</t>
  </si>
  <si>
    <t>…re en aumento, dice el Constitucional que el resultado dé Lieven, el duque y duquesa de Buccleugh , marqueses de Exeler, marques de las elecciones manifiesta bien á las claras la adhesión del pais al gobierno dé Hetford , conde y condesa Brownlow, vizconde Combermere, conde y con Julio, y entonces pregunta : ¡cuál debe ser la consecuencia de todo esto? ¡Ñor desa de Jersey, marqueses de Ailsa y otros varios personages de distinción. sotros respondemos que la paz, y una paz que sea la mejor para prepararnos £ (Conrt Journal.) la guerra. La fu…</t>
  </si>
  <si>
    <t>Brunet, Francisco</t>
  </si>
  <si>
    <t>Francisco Brunet</t>
  </si>
  <si>
    <t>…e son las de Can tabria,Í)e Real prdeñ &amp;C- Madrid .19 de Mayo de l834.=Imáz.=Se- PARTE NO OFICIAL* ñores'Directores de Rentas. NOTICIAS EXTRANGERAS. lie «lado cuenta á la Reina Gobernadora del expediente promo vido por D. José y ,D. Francisco -Brunet, del comercio de S. Se- (Continuación del correo anterior0 , bastían, en solicitud de «fue no se exija el derecho de bandera ex- ■traiigejra á 260ó libras dé canela introduci«la en el puerto de dicha EGIPTO. ciudad «on buque español el 24 de Agosto último desde BiLlmo, adon Alejandría 28 de Atril.…</t>
  </si>
  <si>
    <t>Bruno</t>
  </si>
  <si>
    <t>…que ofrecía U ocuReal xuerpp de artillería , y teniente D. Blas Royo: del, brigadier barón de ridad y un terreno t,n montañoso y quebrado: ai amanecer de hoy me encon Meer, de los coroneles D. Tomas de Yat'to , D. Joaquín Bayona, D. Bruno traba va sobre Urigoiti , que hu.e circunvalar á la d.rtancia competente por las Alftiz, D. Francisco Javier Ezpcleta,y del teniente L). José María Badillo, in compañías de cazadores y tramperos al mando del captan D- Fehx Samzilj dividuos todos pertenecientes al 4-° regimiento de granaderos de la…</t>
  </si>
  <si>
    <t>…ardia Real; el gefe de la 2.a brigada, coronel D. Francisco Ocaña, del 6.° ligero; y del 4_° regi ^ Con el mismo objeto ha consignado el Sr. D. Juan Ranero y Rozas, co miento de la Guardia Real de infantería, el primer comandante D. Bruno lector general de Espolios y Vacantes-, 4^ rs» de manifestando al mismo Alaiz; los capitanes D. Juan de Dios LasaU y D. José Obrera ; los tenien tiempo cuánto siente que la escasez de fondos que sufre la colecturía general tes D. Joaquín Manuel Alba V D. Miguel Guerra; cl.aifcicz D. Antonio Ca no l…</t>
  </si>
  <si>
    <t>Bruno, D</t>
  </si>
  <si>
    <t>D Bruno</t>
  </si>
  <si>
    <t>…to de la Guardia Real; el gefe de la 2.a brigada, coronel D. Francisco Ocaña, del 6.° ligero; y del 4_° regi ^ Con el mismo objeto ha consignado el Sr. D. Juan Ranero y Rozas, co miento de la Guardia Real de infantería, el primer comandante D. Bruno lector general de Espolios y Vacantes-, 4^ rs» de manifestando al mismo Alaiz; los capitanes D. Juan de Dios LasaU y D. José Obrera ; los tenien tiempo cuánto siente que la escasez de fondos que sufre la colecturía general tes D. Joaquín Manuel Alba V D. Miguel Guerra; cl.aifcicz D. Antonio Ca no l…</t>
  </si>
  <si>
    <t>Bruno, D Ildefonso</t>
  </si>
  <si>
    <t>D Ildefonso Bruno</t>
  </si>
  <si>
    <t>…también el Emperador de Rusia, sigue: Excmo. Sr.: Elevo á las superiores manos de V. E. el adjunto parte, y están á la cabeza de los grandes cruces extrangeros. Se ha enviado la gran cruz declaración recibida al titulado teniente coronel D. Ildefonso Bruno, por el al aladrante de Rigni. que se acredita la completa dispersión de la facción á que pertenecía en la tardo 'Los almirantes Codríngton y Ha y den son también grandes cruces de la del 12 dei que gobierna , y haber pertenecido al ejército de nuestra amada So berana con el empleo de .teniente , l…</t>
  </si>
  <si>
    <t>Bruno, Ildefonso</t>
  </si>
  <si>
    <t>Ildefonso Bruno</t>
  </si>
  <si>
    <t>…el Emperador de Rusia, sigue: Excmo. Sr.: Elevo á las superiores manos de V. E. el adjunto parte, y están á la cabeza de los grandes cruces extrangeros. Se ha enviado la gran cruz declaración recibida al titulado teniente coronel D. Ildefonso Bruno, por el al aladrante de Rigni. que se acredita la completa dispersión de la facción á que pertenecía en la tardo 'Los almirantes Codríngton y Ha y den son también grandes cruces de la del 12 dei que gobierna , y haber pertenecido al ejército de nuestra amada So berana con el empleo de .teniente , l…</t>
  </si>
  <si>
    <t>Bscobar, Juan José</t>
  </si>
  <si>
    <t>Juan José Bscobar</t>
  </si>
  <si>
    <t>…uras en perspec tiva. de solo contornos, ura que se puedan iluminar. Un cuadernito en Se vende mún 4 todos los qtw habían desempeñado los primeros cargos bajo él régi á 5 rs. en Madrid cala librería de D. Manuel Viana y cii la de D. Juan José Bscobar. men constitucional, sé retiró 4 Vivir 4 su quinta, donde se dedicó dé nuevo 1 En los provincias en las librerías siguientes: Badajoz,Carrillo; Barcelona, Gaspar; á su; ocupaciones literarias, alternadas ton las campestres; ¿ cuyo género de Búrgos.VIlUnueva; Cádiz, Castillo, Córdoba, Berard; Granarl…</t>
  </si>
  <si>
    <t>Bslmaae, D Jiam Desnisg</t>
  </si>
  <si>
    <t>D Jiam Desnisg Bslmaae</t>
  </si>
  <si>
    <t>…o ora dar una noticia do cada electo por Sevilla ,, acompañados de Jos docpmCMotf jgi,tsficMivn* lieeénriii*, • uno de los ramos , para que en vista de los datos que arrojase , pudieran recaer A b misma se pasp umi exposiciou dei Sr. D- Jiam Desnisg* Bslmaae» ^deliberaciones eq, Iqs negocios relativos i cada ramo , como por ejemplo, da,Procurador por Áx|U,pidiendo te b«xoners de cst»cargo porba dtateuenJoi presupuestos ydemty ¡pfcrefccs de la administración. cias crónicas que padeée. El Sr* marques de. 1?$. Amaril/pt di jo .gue sj no estaba trascordado…</t>
  </si>
  <si>
    <t>Bsrsmcnto</t>
  </si>
  <si>
    <t>…ebo que 1* varios puhtos pudiera atacar el -proyecto; petó me reservo hacerlo para la d¡&gt;- comisión ha estado poco.fdiz ea mudar d. nombre de. Milicia urbana en d de Guardia: nacionaly se ha impugnad^ este especialmente por d Sr. Secretario Bsrsmcnto.” - dé lo Interior. Yo creo que en esto qó ha-tenido razón S. S” ¿í ir, Sanche* Toscano : r&gt; Al hablar por primera vez ¿o ¿ate recinto nó ' &amp;l Sr. Prnatótif: «Permítame V.‘ S. que le advierta qué solo se tra puedo menos de recomendar al Estamento se digne disimular loa defectos en ía sid fétfimen sk…</t>
  </si>
  <si>
    <t>Bucis, Juana</t>
  </si>
  <si>
    <t>Juana Bucis</t>
  </si>
  <si>
    <t>…sos. fetigrcsén. das las antipatías dri lanaciotf) consistía- en que apenas ocupaba en. ella lugar que fueron-de la parroquia de Santiago, tana dé Ut de dicha ciudad de Búrp», sir f . ■ ‘ . .-',1 -: ■ ; rs -,V . vienta que era de Doña. Juana Bucis. también difunta, que vivtaéa esú corre, ojie *15 de Tudescos, números 22 y 23 de 14 nunzanéU?, cáartoÍ°: 4 fin de qUeénel térml—' nO dé tres mescs Se presenten por »íb pér^apotfcrado- 4 dedutirl4 a4té el referido jsaéa y’ (I ) En las Gacetas números 248 ; 210 y 211 se insertaron los artículos l.° y…</t>
  </si>
  <si>
    <t>Budejar</t>
  </si>
  <si>
    <t>…as voces-. El esta se extienda á la construcción de un canal navegable entre los dos Océa lunes.) nos. A pesar de esto, como editores dé un periódico comercial, no podemos Contestando Mr. Etienne á las observaciones hechas por el general Budejar de informar á nuestros lectores de lo que realmente ocurre, aunque solo geaud, recuerda que al discutir la contestación al discurso del trono, Mr. Pelet, se hubiese construido un buen camino desda el Atlántico al Pacífico. En la individuo de la comisión que había redactado dicha contestación, dijo las…</t>
  </si>
  <si>
    <t>Budical</t>
  </si>
  <si>
    <t>…de invocarlo. Continúa la discusión de la proposición que respecto al capítulo 24 del pre Me resta examinar hasta qué punto son fundadas las quejas de la prensa ra supuesto del ministerio de Comercio y Obras públicas hizo ayer el general Budical que aplican á las juntas llamadas de Seguridad federativa, el título que yo geaud. M. Dupont opina que ni la suma que el gobierno pide, ni el aumento habia empleado para caracterizar á la propaganda revolucionaria. A la Suiza es que propone el general Bugeaud , podrán dar impulso i la agricultura d…</t>
  </si>
  <si>
    <t>Buena, Consi</t>
  </si>
  <si>
    <t>Consi Buena</t>
  </si>
  <si>
    <t>…cisco Serrano. mendación al ministerio de Gracia y Justicia su solicitud de que se la declare cabeza de partido. Igual demostración ha hecho el ayuntamiento de Valoría la Brigada de observación de la frontera de Portugal.rrExcmo. Sr.: Consi Buena en agradecimiento de este último beneficio, añadiendo que ttt pfdftto guiente á lo que tuve el honor de comunicar á V. E. en mi parte del 30 dés- como se recibió la noticia de hallarse comprendido dicho pueblo en la cate de Serpa, llegué á esta plaza de Moura con el segundo batallón de volunta gorí…</t>
  </si>
  <si>
    <t>Buena, Mateo Josef</t>
  </si>
  <si>
    <t>Mateo Josef Buena</t>
  </si>
  <si>
    <t>…a nueva redacción. brarle secretario de ia Inspección general de ::npre;Hos y librerías del reino. El ministro de Justicia presenta dos proyectos de ley, cuyo objeto es con ceder carta de naturaleza al conde Borgarelli-d'lson y ú D. Mateo Josef Buena-* ventura Orilla, natural de Mahon, en la isla de Menorca. Para conceder esta gracia al doctor Oríllase funda el ministro en que el interesado reside en Fran Partes recibidos en la secretaría de Estado y del Despacho de la Guerra. cia desde el año de 1807; que está casado con francesa desde 1815 , y…</t>
  </si>
  <si>
    <t>Bueno, D Francisco Zapata y</t>
  </si>
  <si>
    <t>D Francisco Zapata y Bueno</t>
  </si>
  <si>
    <t>…Toloñ 12 ele Jimio. Sr. D. Pedro Juan de Dilueta. La corbeta la Durance, mandada por M. Miegevílle, capitán de corbeta, Sr. D. Francisco Domecq y Víctor, áaíió de Sona el S dé este, llegó aquí el &gt;0 después de beber deseenbarez- Sr. D. Francisco Zapata y Bueno. 124 pasageros en Marsella. Sr, D. Francisco Javier Ulloa. El buco de vapor del Litado la Ciudad de HetVre, mandado pof M. Rég-* Sr. D. José Manuel Badillo.r</t>
  </si>
  <si>
    <t>Bueno, Francisco Zapata y</t>
  </si>
  <si>
    <t>Francisco Zapata y Bueno</t>
  </si>
  <si>
    <t>…oñ 12 ele Jimio. Sr. D. Pedro Juan de Dilueta. La corbeta la Durance, mandada por M. Miegevílle, capitán de corbeta, Sr. D. Francisco Domecq y Víctor, áaíió de Sona el S dé este, llegó aquí el &gt;0 después de beber deseenbarez- Sr. D. Francisco Zapata y Bueno. 124 pasageros en Marsella. Sr, D. Francisco Javier Ulloa. El buco de vapor del Litado la Ciudad de HetVre, mandado pof M. Rég-* Sr. D. José Manuel Badillo.r</t>
  </si>
  <si>
    <t>Gaceta de Madrid n.º 218 · suplemento</t>
  </si>
  <si>
    <t>…mas tiempo» para su discusión. á fin de contraer el empréstito con mayor ventaja. La comisión de Poderes dio cuenta de que habiendo examinado la solici «La comisión de Hacienda por unanimidad, después de examinar las parti tad de D. Francisco Zapata y. Bueno, electo Procurador por la provincia do das y dejar aquellas que ha creido convenientes, concede al Gobierno un sub Cádiz, relativa á que se le exonerase de este cargo por sus enfermedades; sidio extraordinario de 200 millones. Ya se ve por las observaciones que aca •ra de dictamen se accediese á el…</t>
  </si>
  <si>
    <t>Bueso, D Fermín</t>
  </si>
  <si>
    <t>D Fermín Bueso</t>
  </si>
  <si>
    <t>…ron 32; y en Atf^roen ios dias 20 á 22 •delamsmo hubo 273 enfermos, de los -cuales-curaron 48, y falleciéronlo* El comandante general de la provincia de Soria con fecha de 26 del cor riente trasmite á este ministerio el parte del capitán D. Fermín Bueso, co mandante de. la columna volante, por el que resulta que el 23 fue capturado el cabecilla Landa en los pinares de Vinuesa; el que quedaba en capilla para bolsa DB comercio.__Cotización de h&lt;sy d las tres de ia tarde. ser fusilado en aquella tarde. •EFECTOS PUBLICOS. Inscripciones-en &lt;1 gran libr…</t>
  </si>
  <si>
    <t>Bueso, Fermín</t>
  </si>
  <si>
    <t>Fermín Bueso</t>
  </si>
  <si>
    <t>…ncia, que habiendo encontrado la co Inscripciones en el gran libro á 4 p- 100 . 00. Títulos al portador del 4 p- 1Q0* 51 j al contado: 51$ * 53, 524 y 53 i varias fs. ó vol., lumna móvil que manda el capitán de cazadores de Soria D. Fermín Bueso la 53 á vanas fs. ó vol.it á prima de l£ p. 100. facción de Lucio Nieto, la atacó con 6S cazadores de su compañía y 25 ca Vales Reales no consolidados, 19#, i, 4 y 194 á varias fs. vol. y ñrme. ballos del escuadrón de cazadores dé Isabel ii, abandonándole 7 caballos en Deuda negociable de 5 p. 100 á p…</t>
  </si>
  <si>
    <t>…y en Atf^roen ios dias 20 á 22 •delamsmo hubo 273 enfermos, de los -cuales-curaron 48, y falleciéronlo* El comandante general de la provincia de Soria con fecha de 26 del cor riente trasmite á este ministerio el parte del capitán D. Fermín Bueso, co mandante de. la columna volante, por el que resulta que el 23 fue capturado el cabecilla Landa en los pinares de Vinuesa; el que quedaba en capilla para bolsa DB comercio.__Cotización de h&lt;sy d las tres de ia tarde. ser fusilado en aquella tarde. •EFECTOS PUBLICOS. Inscripciones-en &lt;1 gran libr…</t>
  </si>
  <si>
    <t>Bugailo, Manuel Antonio</t>
  </si>
  <si>
    <t>Manuel Antonio Bugailo</t>
  </si>
  <si>
    <t>…ndos abrir ¡Reales decretos expedidos cuando las Cámaras no estaban reunidas. Se levanta una suscripción en que se inscribieron primeramente sus individuos con el go la sesión. "'** bernador militar y político, y el alférez mayor D. Manuel Antonio Bugailo, y otras personas acomodadas^ y con esto se fijó el 19 dei pasado para levantar ídem.—Sesión del día 13. pendones en nombre de S. M. Efectuóse asi ante la fachada de las casas consis Aprobada el acta de la sesión anterior , lee el Sr. Delessert una proposición toriales ricamente adornada y con los…</t>
  </si>
  <si>
    <t>Bugeaud</t>
  </si>
  <si>
    <t>…de el trono, las Cámaras, los cuerpos electo PARTE NO OFICIAL. rales , las libertades públicas; podemos estar seguros de que ninguno do loa tras 'poderes olvidará esto jamas, {Idem*} NOTICIAS EXTRANGERASj Al amanecer dió órden el general Bugeaud á la compañía de ligeros del regimiento núm. 32 , que fuesen por la calle de Saint-Avoye delante de loa batallones 3.° y 4~° de U 9.a legión r mandada por su coronel M. Boutarel, j AUSTRIA. los gefes de batalloo Veyrat y Ricois. Hubo ua gran tiroteo en la concurrencia de las odies Maubuée y Gravi-…</t>
  </si>
  <si>
    <t>…á diversiones mocea ts acgti&amp;d I Europa. T estilo del país, sin que se alterase en lo ma» mínimo la amioa y traaquábdadI «Se ha hablado de Polonia, prosigue: la contestación que sobre el particu que los distingues lar ha dado el general Bugeaud es concluyente..... El ministerio solo ofrece lo Manitva 11 de Diciembre* que puede cumplir. Se ha presentado la cuestión española: hemos tomado parte eo ella.,... Milagro « que no nos critiquen por no haber favorecido á D. Cár- Esta villa, que no cede á piogurt* de la nación en fidelidad á fiuesír…</t>
  </si>
  <si>
    <t>…ociados, quedan expuestos hiúcnbs'¡hocenSiam. tomo de muchos meses á esta parte tienen reunido los siameses .t«S.á smj[tr el rigor de la ley. cito considerable en las fronteras de,,1a China, es imposible calcular cuáles pue- v El general Bugeaud dice que se debe aprobar el artículo del proyecto, 0-, den ser las consecuencias de este inesperado acontecimiento. Estalló esta insur- que está conforme al código penal; que todos los que sean individuos de ciacionej no autorátdas por el gobierno deben ser castigados guardando la ^ ?t Mífj /fetdar…</t>
  </si>
  <si>
    <t>05/06/1834</t>
  </si>
  <si>
    <t>Gaceta de Madrid n.º 107</t>
  </si>
  <si>
    <t>…también la violencia puede producit el mismo efecto. la Cámara cierra la discusión general, y principia la de los artículos. Acer* Af. Thiers: ¡Llamáis violencia contestar con fusilazos i los que O» hacen vca dpl primero dice, el general Bugeaud que si la Cámara se ve en la dura nece fuego? Ningún gobierno ha sido tratado como el presente. ¿Ha impuesto i na sidad de no poder disminuir las cargas del Estado, es por culpa de los que á die la pena capital por caicas políticas? Se ha dicho que en tiempo de Boaacada paso paralizan las operacion…</t>
  </si>
  <si>
    <t>…olacos, no se necesitaban 8009 como ha dicho el ge- * rComercio&gt; y qué ínínqn^* fibraron ótros*exhorros pata que se le recibiese allí neral Bugeaud. [su- declaración con cargos, se opuso á ello el mismo tribunal, fundado en^el El general Bugeaud hace ver que para intervenir á viva fuerza en los asun I privilegio que dicO’tíTeefíeSIéia Reát'ofdétt &lt;fc 16 de Diciembre del año pfó- tos de Polonia hubiera sido preciso declarar la guerra a toda Europa, en cuyo Iximo pasado; y enterada.S. M., se ha servido declarar, que aunque por la ex— caso lo…</t>
  </si>
  <si>
    <t>…va, y el enemigo huyendo en todas direcciones- Infelizmente la noche no la comisión para que lo adapte á las observaciones que ellos acaban de hacer: permitió que continuásemos la persecución. Los .rebeldes amenazaron pasar el el general Bugeaud, el mariscal Soulr, y los Sres. Schneider y Salvandy sostie puente de Celeiro, y dieron un ataque serio en ¿l puente de Almoster; pero nen que el artículo se debe aprobar como está, pues adhiriendo á la opinión del en todas partes fueron.repelidos., y mañana tendré el honor de enviar á V. E. Sr. De…</t>
  </si>
  <si>
    <t>Bugeáud</t>
  </si>
  <si>
    <t>…on de trtilíéria dé díchó' M. de Sade pide »&gt;que este artículo no sé aplique á los extrangeros que no cuerpo, una compañía de carabineros del 2.° ligeros, y la de cazadores de! pts&gt;a-; reciben socorros pecuniario* del Estado:” el general' Bugeáud nota qoe entre vihctal de Guadix, con sos respectivas banderas. El comandante D. José Miría Ittíhfugiados extrangeros, Jos que traten de-mezclarse en los desórdenes polí- Retortillo recibió la bandera en la sala capitular. Al presentarse en el batcoff^ tko*serán sin duda los que.puedan subsistir si…</t>
  </si>
  <si>
    <t>…el proyecto. sentaron todos los realistas que habia en el pueblo, y se quedaron en sus casas. Muchas voces: Ciérrese la discusión! Ciérrese la discusión! Esta mañana llegue á este punto, di posición á los cuerpos provincial de El general Bugeaud advierte que de cuatro años á esta parte se han debili Plasencia y segundo batallón voluntarios de Aragón frente de Í3S puertas de tado las leyes, se ha suavizado el código penal, y se ha modificado la ley del Sevilla y Beja, en cuyo caso tocaron llamada los miguelistas; y con objeto de jurado, con…</t>
  </si>
  <si>
    <t>…Sr. Salvandy rebate la opinión del general Demarqay, en cuyo favor habla el Sr. SaJéPrte haciendo varias observaciones que á su entender demues Xdndrrf 18 de Febrero. tran la necesidadde adherir al dictámen de aquel diputado: el general Bugeaud ,H»biálK^weisabido.en Roma lq muerte del marques de Funchal, se co- haciéndose .cargo de lo dicho por los Sres Demarqay y Salverte, contradice jauai^é orden al: encargado de Negocios .portugués, residente en' aquella ciudad, los priiicipjoS que ambos han establecido graduándolos de erróneos y perju…</t>
  </si>
  <si>
    <t>…nquilidad. Iban conferido. . Co’-ia 3 de Enero. El general Demirqais abunda en las ideas del preopinante, corroborándolas I con varias observaciones. Aunque en esta ciudad nunca se ha acostumbrado levantar pendones, ni Replica el general Bugeaud que la primera obligación de los militares es celebrar la proclamación de nuestros augustos Monarcas, han querido sin em I obedecer á sus gefes. ' m barco el Sr. corregidor y el muv ilustre ayuntamiento demostrar en todo lo | gi mariscal Soult, ministro de Guerra, refiere circunstanciadamente todo…</t>
  </si>
  <si>
    <t>Bugéáud</t>
  </si>
  <si>
    <t>…viernes próximo, el sábado ó el lunes.” ^Agita '«Una vez establecida la independencia de la América, dice el autor de ción en diversos sentidos.') la descripción geográfica, topográfica, agrícola, mercantil y política de Co - El general Bugéáud cree que se debía preguntar á la Cámara qué fin se lombia , sus hijos entablarán inmediatamente una comunicación con el Ja- propuso al aprobar la contestación al discurso del trono, pues aun cuando du pon, la.China y la India. Sus costas por el lado del Pacífico les aseguran mu rante la d¡scu$ioq d…</t>
  </si>
  <si>
    <t>…de los habitantes 4¿ Lóhdrés, y les ptomete aumentar la belleza de esta grande capital. Sabido ____Escriben de Excideuil con fecha de 31 de Mayo: értjuc ahora es menester: andar dos legúás para disfrutar def paseo del parque » El general Bugeaud ha llegado ayer á sus tierras de la Durantie mas pron de Cxreenwich, ó'para ver loe establecimientos de esta ciudad. Esta distancia to de lo.que se le esperaba. Se proponía pasar allí algunos dias; pero cediendo te va á disminuir en mas de una tercéra parte por medio de un nuevb camino á las instan…</t>
  </si>
  <si>
    <t>…tado de la navegación interior exige mucho examen y ope Respecto al articulo 24- que trata «de la agricultura, comercio y manufactu raciones delicadas , para lo cual es preciso tener suficiente número de personas ras,” propone el general Bugeaud que á la suma que en este capitulo se asigna inteligentes: JlM. Solverte y Pelet, contradiciendo lo que acaban de decir los se aumenten 2003 francos para que se fomente la asriculura y las escuelas preopinantes, sostienen el dictamen de la comisión. La Cámara accede al de veterinarias,y para que se…</t>
  </si>
  <si>
    <t>…« es el número que has se conocerá «¡ al ministerio confia, como ha manifestado, en U sensatez de U ta ahpr, ha anuido á las representaciones, habiendo todos pagado reiigioaa- nación. . mttne la entrada, y algunos con aumento. El general Bugeaud hace una fwefia dc las opmieaes que han enunciadoiofej</t>
  </si>
  <si>
    <t>…las juntas llamadas de Seguridad federativa, el título que yo geaud. M. Dupont opina que ni la suma que el gobierno pide, ni el aumento habia empleado para caracterizar á la propaganda revolucionaria. A la Suiza es que propone el general Bugeaud , podrán dar impulso i la agricultura de á quien corresponde juzgar de la poca ó mucha legalidad de estas asociaciones Francia; pues aquella, asi como el comercio, no se fomentan distribuyendo que se encuentran casi en todos los cantones i vista de las autoridades estable dinero, sino dándoles libe…</t>
  </si>
  <si>
    <t>…4c emplearla. M. Giraud Ayer visitaron al vizconde Palmerston el príncipe Talkeyrand y- él-maé^-1 Vi ntb se reduzca á 8u9 francos: en apoyó de su proposición re núes de Miraflores, embajador español. ■ .• * Lw-, - razones,que el general Bugeaud ba alegado en favor de las ^ ■ , 7i;n‘iií i' v; ■ ,.j llura» añadiendo que á ellasldebeb los inglesas e! ektraordi- .___ La mayor parte de los ministro» se juntaron el 13 en|«' ptwai ester ramo ha hecho en su, patria, como sin duda sucederá Grey, donde csrovieion largo tiempo en consulta. Vrít" ' ^…</t>
  </si>
  <si>
    <t>Bugeuud</t>
  </si>
  <si>
    <t>Gaceta de Madrid n.º 310</t>
  </si>
  <si>
    <t>…opinión de Mr. C. Perier, sé podrá deducir que estoy en contradicción con que expuso aquel Diputado, no tenían contxton coo el punto que: «discutía. - ■ migo mismo, porque no apoyo lo que hoy pretende el ministerio; los casos El general'Bugeuud cedo d turno que le estaba señalado pura hablan son diferentes, y de que uno tuviese razón, no se sigue absolutamente que otro Muertas voces; ¡Ciérrese la discusión ¡ ¡Ciérrese la discusión! 1-V la tenga también. (Murmullo.) Persuadido Mr. iiervé de que sus comitentes desean ver cumplidas las «Por…</t>
  </si>
  <si>
    <t>Buinach, Mouchy</t>
  </si>
  <si>
    <t>Mouchy Buinach</t>
  </si>
  <si>
    <t>…ecto que profesa el Sultán á sus vasallos, y sin la menor queja ni peligro de parte^de los árabes. de su desvelo por los intereses del Imperio, será recibida como un beneficio Debe de ocurrir alguna cosa muy importante: porque el Sr. Mouchy Buinach, por lodos los fieles musulmanes. El consejo se ocupa con actividad de arreglar que goza de la confianza del general en gefe , según parece, y á quien Abdel- jas bases y determinar las medidas del detalle que deben asegurar la ejecución kader consulta con frecuencia , ha ido desde Máscara á Oran po…</t>
  </si>
  <si>
    <t>Bujalance</t>
  </si>
  <si>
    <t>…ó co mo artillero, y fue herido de consideración. Gabriel Albasa, artillero. José Pueblos. Día*. Enfermos. Curado*. Fallecida*. Aparicio , ídem. Manuel Marcos , idem. Cazadores á caballo de la Guardia ReaI.=Comandante, el coronel Don Bujalance.............. 2 á 5 Noviembre. 39 25 8 Francisco de Paula Guajardo, gefe de la 1.a brigada de caballería. D. Donato Cañetede las Tor- i Tomos, mt ayudante de órdenes, teniente graduado de alférez. D. Francisco jes...................... Idem................... S4 12 6 Toledado, sargentp primero graduado de alfére…</t>
  </si>
  <si>
    <t>Bulen</t>
  </si>
  <si>
    <t>…la escuadra de Tolon. (Ojuttd de AugtBurgoC) - El miércoles á las siete de la tarde salió S. M. de esta capital pan regre sar i Windsor. (Glóbe and Trsmller.) . BOIANPA. ____ El mismo dia emprendió su viage para el continente el barón Bulen*, nirHaya SO de Agosto. nátro de Prusia.cn esta corte. (Id.) ? , Escriben de Boisrle-Duc 28 de Agosto, ^ ■^Las Tortificaciones construidas por la yute de Litbogeo, que habían sn- ___ Aunqoé el cólera no te propaga en esta ciudad, convienen sin embargo lo; fridp'tantó el invierno pasado , han sido r…</t>
  </si>
  <si>
    <t>Bulnes, Antonio</t>
  </si>
  <si>
    <t>Antonio Bulnes</t>
  </si>
  <si>
    <t>…os, que se ha enterrado á otros en distintos pueblos, y que ea mi ayudante D. Miguel de Osma con otro de estado mayor D. Pedro Andna- ellos dejaron abandonados algunos heridos, llevándose otros. n¡, y el subteniente de artillería D. Antonio Bulnes se pusiesen á la cabeza de Los partes parciales hacen honorífica mención de cuantoilero expuesto, y ellos; y en unión con la tropa de Pozo, desalojaron á los facciosos con tai fe no dudo que V. E. la hará á S. M. la Reiva Gobernadora, recomendándole licidad que Andriani, herido de un balazo en la p…</t>
  </si>
  <si>
    <t>Bulow</t>
  </si>
  <si>
    <t>…a el Rey \ anun Palmerston , y se cree que es relativa á ios negocios de Oriente. Sin embargo cian que se acerca el acompamiento Real, y al momento tá oye la voz del se espera que no habrá guerra. portero que dice: el Rey. ____El barón Bulow ha dejado esta ciudad para volverse á Berlín, aunque solo S. M. hace su entrada por la puerta del costado izquierdo seguido de un por algún tiempo. brillante estado mayor y los gefes de palacio, sube al trono, y conserva á ___;_Los ministros piensan aumentar 4 chelines por gallón al derecho qqe pa…</t>
  </si>
  <si>
    <t>…nsolidados 88J. á aquella ciudad para tratar del pago con que la Grecia debe indemnizar á la Lord Holland ha dado un gran convite el día de Navidad al conde Grey, Turquía. príncipe Talleyrand, duquesa de Dino, princesa de Lleven, barón Bulow, ba ESPAÑA. rón \Vessemberg y M. de Bacourt. Se cree que el pronto regreso del príncipe de Talleyrand á esta capital es Algeciras 31 de Diciembre. sin duda motivado por la necesidad de que Inglaterra* y' Francia esten de acuer En Gibraltar se ha publicado el bando siguiente: do acerca de los medios…</t>
  </si>
  <si>
    <t>…ión , se inutiliza el gran auxilio de este vehículo de la naturaleza, dejándo Se dice entre tas personas de rango y en los saloges diplomáticos que ni los obstruir, y que derramen sus aguas inútilmente, y 3un á veces con grave el barón Bulow fít el barón Wessenberg reasumirán sus funciones de repre perjuicio de fértiles campiñas, que temiendo siempre una inundación^ ó verse sentantes cerca de nuestra corte. El barón Wessenberg, aunque ya lleva tres cubiertas de arena, permanecen abandonadas. Interin no tengamos caminos y años de reside…</t>
  </si>
  <si>
    <t>…se había podido ven a la administración.actual. (Édimburgh AJvertiser.) tilar en la segunda Cámara. «S. A R. desea igualmente que os sirváis fijar toda vuestra atención en el .------M. Sylvian Van deWeycr, enviado de Bélgica, el barón Bulow, prínci estado de la enseñanza elemental, tanto mas cuanto este ramo no puede llegar pe de Tálleyrand, y los embajadores español y portugués han tenido sucesiva al grado de perfección que exigen (as necesidades de nuestra época, sin conceder mente una entrevista con lord Palmerston. (Courier.) fond…</t>
  </si>
  <si>
    <t>…Periódicos alemanes.y lición del referido impuesto se Cxticódc'al reino de Polonia. (Times.)_____ . . . ITALIA. . ------ El conde Seckendotf queda de encargado de Negocios durante la ausencia Florencia 76, de Agosto. temporal del barón Bulow, embajador de Prusia cerca de nuestra corte. (Post.) Nos escriben de Viena que eb casi todos los paises de la Europa oriental ha reinado desde los últimos días de la primavera una extraordinaria sequía. ------ El Rey de Wurtemberg volvió á Stutgard el 2 del corriente de su visee á Italia. 1 En Polo…</t>
  </si>
  <si>
    <t>…dor de Madrid, y á tantinopia, sir Roberto Adair en Bruselas, y asi en las demas, nosotros solo D. José Jalón y Jalón, ministro de la de Oviedo; para otra plaza de oidor tenemos dos embajadores residentes aquí, y uno de ellos, el barón Bulow,está de Valencia y dos de alcaldes del crimen de- la misma, también vacantes por en vísperas de-partir. La Francia está representada en la corte de San James por fallecimiento de D. Salvador Miralles, D. Antonio Martínez Arroyo y Don un secretario de legación; el Austria por un oficial llamado cons…</t>
  </si>
  <si>
    <t>Buquet, Juan</t>
  </si>
  <si>
    <t>Juan Buquet</t>
  </si>
  <si>
    <t>…spital y misericordia de S. Sebastian, anunciada el l.° de Agosto de 1833 , v celebrada en dicha ciudad el 25 y 26 de Setiembre del presente año PROVINCIA DE TARRAGONA. dé 1834, ha cabido la suerte al número 1922, que pertenece á D. Juan Buquet, de Iruil. Dice su gobernador civil en oficio de 28 del mes anterior, que desde el ■ 1 —Se halla vacante la plaza de médico titular de la villa de Horche, provincia de último parte no se habia alterado la salud pública en aquella capital tú en la Guadalajara: la población asciende á 500 vecinos poc…</t>
  </si>
  <si>
    <t>Burdeos</t>
  </si>
  <si>
    <t>…banco español, 00. ^ CAMBIOS. Eí teniente coronel D. Joaquín Ayerbe , me dice con fecha de ayer lo que Amsterdam, 00. Paris, 16. Cádiz, | b. Sevilla, par. Bayona,00. Alicante, pla i corto d. ± Curuña, d. Valencia, | sigue: zo , i d. 00. Burdeos, Granada, id. f id. Zaragoza, j Las armas de la Reina nuestra Señora siempre vencedoras han conseguido 00. Hamburgo, £ ps. fs.. Barcelona, Malaga , par. letras Descuento de una nueva victoria; 48 prisioneros, varios muertos y heridos, y entre ellos el Londres, a 9O días, i b. Santander, ^ b. a 4 p.…</t>
  </si>
  <si>
    <t>…Resina Gobernadora, á quien'tanto deben los progresos Amsterdssn,Bayona, 00. 00. París*Alicinte,16-t»á corta pla Cádiz»Coruña,1 |b.d* Sevilla,Valencia,par.id. déla instrucción énEspaña.,En seguida leyó otro el profesor de químics-Don Burdeos, 00. zo , id. Granada, 4 Id. Zaragoza, { d. León Salmean y Mandayo, en el cual reasumió cronológicamente la historia Hjmburgo, 00. Barcelona» k ps. ft., Málaga» id. !d. Descuento de letras, 1 b. 4 oO dias, Santander, | b. a 4 p. 100 al aüsk da esta facultad y de rn aplicación i las artés, como tamb…</t>
  </si>
  <si>
    <t>…icho pro— Acciones del babeo español, 00. CAMBIOS. jí??r&gt;'Cn observación, y haciéndose después de esta el corxcspon- A'msterdam, 00. París, 16-3. Cádiz, Hb. de »u persona y efectos. ^ * Bayona, 00. Alicante, á corto pla Coruña, \ d. Burdeos, 00. co* ± d. Granada, f á é id. Hamburgo, 00. Barcelona* á ps. fs.« Málaga, f id. ^ * r * ’ VARIEDADES. ( Lóndres, á 9O días, ib. Santander, i b. 4 4 p. 100 al 38*. Bilbao, é d. Santiago, | d. Fondas yeajes IUvados á las casas. La dificultad de emplear bien los capitales y el arte de especular, ta…</t>
  </si>
  <si>
    <t>…Mazarredo.^: CAMBIOS, Excmoi Sr. Comandante general del ejército del reino de Valencia.s^Es copia.:s Valdés. - Amsterdam , 00. Taris, 16 papel. Cádiz, | b. Sevilla, par. Bayona, 00. Alicante, acorto pía- Coruña, J d. Valencia, $ d. Burdeos. 00. zo, ¿ d. Granada, f id. Zaragoza, f id. El capitán general de Castilla la Nueva en 4 de Mayo actual dice á este Hamburgo, 00. Barcelona, á ps. fs.. Malaga . par. Descuento de letras, ■ministerio lo siguiente: Londres, a 90 días. i b. Santander, i b. a 4 p» 100 al año» Excmo. Sr.:El comandante g…</t>
  </si>
  <si>
    <t>…que con la mayor economía. Amsterdam, 00. París, 16-1. Cidlx, ti b. Snrflli, |b. Las tristes circunstanciasen que se halla esta provincia,y que llevo rápida Bayona, 00. Alicante, á corto piar Coruña, 1 d. Valencia, p»r. 00. zo, 4 d. Burdeos, id. Granada, Id. Z«»gox»,id. y débilmente descritas, reducen mis conatos á la conservación, sin permitirme Hamburgo, fi ps. £s-, 00. Barcelona, d. Stícueoto de letra, Málaga, i cj jppkkplo de su prosperidad como deseara. landres , i oQ días; • Ib; Santander, | b. 4: 4 100 li tio, Bilbao, 4&lt;L Santi…</t>
  </si>
  <si>
    <t>…a Cádiz * b. Serilla * d. lo desarmó y mató. Todo lo que comunico á V. E pata su conocimiento. Bayona, 00. Alicante 4 corto pla Corufia | d. Valencia par 4 * b. j Y lo trascribo á V. E. por si tiene á bien elevarlo al de S. M. la Reina Burdeos,flambiirgo,oo*00. Barcelonazo par á 4ipesosb. fs. GranadaMálaga ¿ i±b..VL ZaragozaDescuento* ded. letras] Gobernadora, quedando á mi cuidado dirigir á V. E en el dia de mañana la Lóndres á 90 días * 4 4 id. Santander * d. á 4 p. 100 al «fin. j relación de los premios á que se han hecho acreedores l…</t>
  </si>
  <si>
    <t>…erdam , oo. París 15-19. . Cádiz é b. iSerill» par. Id. A d $ d. Ivaleocía Alicante Acorto pía— C&lt;*rufia oo. Bayona, la justicia. Esta obligación será extensiva á todos los pueblos situados en un 1 ÍZaragota Id. Granada 20 par. | d. , 00. Burdeos radio de cuatro leguas, para lo cual se pasaran oportunamente avisos de unos Hamburgo, oo. Barcelona A pesos fs. Málaga par. iDescucnto de letm #ti otros,, cuidando en esta Operación combinar ojeos para que no puedan cs- Londres A yo días é b. Santaoder id. I vá 4 p, xoo ai aflo. jópane ios delincu…</t>
  </si>
  <si>
    <t>…con sus-frutos y eviten la carestía y el Amsterdam, 00. París, 16-1. Cádiz, tib. Scvill*, i b. 00. Bayona, Alicante, á corto pla 1 d. Coruña, Valencia, par. causada que la desolación aumentarían por el cólera-morbo.hambre, zo, ¿ d. 00. Burdeos, Jd. id. Granada, Zaragoza, d. J para activar medio alguno de cementerios en omito la construcción No Hamburgo, f*.. k ps. 00. Barcelona, d. Málaga, j Descuento de letras los pueblos que carecen de ellos; y no habiendo aun contestado varios ayunta Londres ,¿90 dias, 1 b. Santander, 4 b. 4 4 P* 100…</t>
  </si>
  <si>
    <t>…las diligencias convenientes para indargar el estado del despoblado de Lobinillas, y para informar sobre CAMBIOS. la percepción de diezmos correspondientes a la Real Hacienda. Amsterdam, 00. Alicante á corto pla Bayona , 00, zo i d. Burdeos, 00. Barcelona á pesos ft. Con fecha 10 del corriente participa el presidente de la junta Hamburgo, 00. .i b. Ló odres á 90 dias 37g. Bilbao par. Sevilla par. provincial de Málaga, que la enfermedad reinante en la villa de París y 19. Cádiz | b. Valencia £ d* Estepona tocaba ya á su término, según…</t>
  </si>
  <si>
    <t>…dquLnda en esta clase de empresas era Amsterdam , 00. Paria 75-19 á 16. Cádiz í b. Sevilla par. en último resultad-') sumamente útil ai ejercito que contaba nujor número de Bayona , 00. Auvauiea ^urro pía- C.iruñd ^ d. V.i.pncia :d. . 00. Burdeos ro p.*r. Grullada id. Zaragoza i i- hombres capaces de arrostrarlas , por el animo que daban a los suvos, y por el H d mb;,rgo , 00. Barcelona á pesos ts. Maidga par. de Deitueuto temor que infundían en los contrarios. nombres de Gonzalo de Córdoba, Londres a yo días i b. Suatandvr id. a 4 p, 100 a…</t>
  </si>
  <si>
    <t>…sno de la Rivera, y corriendo el espacio de tres leguas, vendría á tenmnai?- Amsterdam, 00. 1 París* 16-2. Cádiz* l}b. Sevilla, } b. 00. d. Alicante, 4 corto pla Coruña, par. Valencia, | end mismo Valderaduey. Bayona, 00. id. id. d. Burdeos, Granada, Zaragoza* g zo, 4 d. Al tenor de lo que se previene en los artículos l.° y 2.® de la Real órden Hambürgo, 00. Barcelona* 4 ps. fs.* Málaga, i id. Descuento de letras* de 18 de Mayo último , he excitado'á los ayuntamientos de Toro, Benavente .Londres * 4 oO días, |b. Santander, 4 i b. 4 4…</t>
  </si>
  <si>
    <t>Burdeos, Agustín GaiIIca</t>
  </si>
  <si>
    <t>Agustín GaiIIca Burdeos</t>
  </si>
  <si>
    <t>…causa Amsterdara, 00. Paris* 16-1. Cádiz, ti k iba de S. M- he recomendado en otras ocasiones. Es igualmente digno de toda re Bayona * 00. Alicante, k corto pla Corona, | d. muneración el sargento l.° distinguido del 13 de línea D. Agustín GaiIIca Burdeos * 00. zo, par. Granada, 1 id. ma , de quien me ha hecho honorífica mención el comandante de las guerri Hamburgo* 00. Barcelona * k os. ft.. Malaga, i id. JJCKUCUID «|E ACU llas. También lo son el sargento 1.® de carabineros Sebastian Artajona; los LóndresVi ¿ i®* á o0 dias, Bilbao,ib. par. Santiago…</t>
  </si>
  <si>
    <t>Burdeos, José Marta</t>
  </si>
  <si>
    <t>José Marta Burdeos</t>
  </si>
  <si>
    <t>…es del háoce espafiol, 00. OA «ICIOS. Amsterdam, 00. Alicante 4 corto pla Granada $ d. Extracto del parte dado-con fecha del 5 del actual por el sub Bayona, 00. zo 4-d. Málaga por. delegado de Fomento de la provincia de Salamanca D. José Marta Burdeos , 00. Barcelona 4 pesos fs. Santander | b. Cambronera. __ - Hamburgo, 00. O- Santiago $ 4 1 d. Ha excitado á la sociedad económica para que medite sobre el Ló odres 4 90 dias 37f. Bilbao t d. Sevilla par. París x£ 19 á id. Cádiz $ b. Valencia 4 d. modo de aumentar los productos de las dehesas, mult…</t>
  </si>
  <si>
    <t>Burdeos, Josef Ar</t>
  </si>
  <si>
    <t>Josef Ar Burdeos</t>
  </si>
  <si>
    <t>…b. id. Valencia laban al mando del coronel Ichazu, quien logró batir una pequeña partida dé Amsterdam,Bayona, 00. oo.. ParísAlicanteIJ-IÍ.a corto pía. Corulla d. 4 rebeldes, aprehendiendo cinco, entre ellos i su gefe el canónigo D. Josef Ar Burdeos, oo* ao par. . Granada I¿ ¡&lt;L Zaragoza } d. bulo , que fue el día 20 pasado por las armas en Vitoria» vestido con au uni- Hamburgojoo. 1 Bavceloaa d pesos ft: Málaga i b. Descuento de letraa j | forme. Ldudres á po días , , 4 -b. • ' Santander par- d 4 pe 100 aLafio. . 874 .Bilbao par. Santiago a á…</t>
  </si>
  <si>
    <t>Burdeos, Juan Gon</t>
  </si>
  <si>
    <t>Juan Gon Burdeos</t>
  </si>
  <si>
    <t>…MBIOS. Partertdbtdo en ¡a secretaría dt Estado y del Despacho de, ía Guerra. Amsrerdam, ba.. Alicante i corto pla Granada | i I d* Bayooa , 03. zo par i i d. . pesos fs. Santander id. Según parte recibido por el mariscal de campo D. Juan Gon- Burdeos, 00. Bjrceloba i Hamburgo, 00. ib.\ SU miago Id. ealez Anleb, óptmndante general del ejército dé Extremadura, re Lóndres á yo días 37) Bilbao par. VevIlU par. sulta que el ¿rttbélde Cuesta y su gavilla, compuesta de 19 hombres * t: Cádiz, | h. Valencia id. d 4 d. qn el peor eataap posible, se hah i…</t>
  </si>
  <si>
    <t>BurdeosHamburgo, Joaquín Somo</t>
  </si>
  <si>
    <t>Joaquín Somo BurdeosHamburgo</t>
  </si>
  <si>
    <t>…m, 00. Paria 1^-19. (Cádiz |b. Sevilla par. 'hallarse aquella en el dia separada de mí. Asimismo merecen toda mi reco Bayona, 00. AJicanteácortopla—'Corufia ^d. Valencia id. mendación y aprecio de V. E. el comandante de escuadrón D. Joaquín Somo BurdeosHamburgo,, 00.00. Barcelonazo par. á pesos fs. GranadaMálaga | 1 áId.par* DescuentoZaragoza } de&lt;L letras za, los ayudantes de campo D. Manuel de la Concha y D. Agustín la Cerda, Londres á 90 dia* I b. ¡Santander par. á 4 p. zoo al afio. que voluntariamente se unieron 4 la caballería en el acto de dar la ca…</t>
  </si>
  <si>
    <t>Burdivisión, Javier</t>
  </si>
  <si>
    <t>Javier Burdivisión</t>
  </si>
  <si>
    <t>…én conocimiento de conde de Guaqui; conde de Pinofiel; conde de Clavijo; obispo de Lugo; D. An las reformas practicadas en varios ramos de lar administración : Ja t tonio Majr^rítqig marques de lis Amarillas; obispo de Barcelona; D. Javier Burdivisión del territorio, la separaciou y deslinde cintré la parte ad d^Ofafia; D. José María Puig; conde de Casa-Sarria; D. Martin Fernandez ministrativa y la judicial, la supresión de antiguos Consejos y las nuevas Audiencias creadas en beneficio de algunaa-Rrovincias;-le#’’-1 láavarrelérpítriarca de las India…</t>
  </si>
  <si>
    <t>Burén</t>
  </si>
  <si>
    <t>…ón de ocurrir ••El 6 de Abril saldrá la corte del Haya para Amsterdam, la autoridad judicial para disolverlas. Supongo por un mo donde se detendrá ocho dias. mento que el resultado que el preopinante espera de esta facultad •• EL general Burén, gobernador militar de la ciudad, plaza yrtea.eficaz, que dé al gobierno un derecho real; admito la hipótesis, provincia de Amberes, que estaba,con licencia, ha vuelto hoy á pero digo al mismo tiempo que aunque se adopte esta modificación, Amberes; á pesar de que su licencia era-hasta el 1Ü de Abri…</t>
  </si>
  <si>
    <t>Burgo</t>
  </si>
  <si>
    <t>…puramen Sr. marques Je l.^s Amarillas • «La petición debe discutirse siguiendo te de policía interior , y creo que en igual caso se halle la presente.** todo* los trámites señalados por el reglamento. So se ha tratado de emplear Sr. Burgo*: «La pretcotc cuestión e* de un carácter muy distinto que la mcd.das coercitivas, porque el Estamento no está autorivado para ello; pero</t>
  </si>
  <si>
    <t>Búrgos</t>
  </si>
  <si>
    <t>…ues, de Mon- 0/rz*. En la sesión:del Estamento de ilustras Proceres, del dia de Agosto, inser tevírgen, Cano Manuel (hijo), Acevedo, Blanco, Rivaherrera, Bermudeí, ta en el suplemento á Ja Gaceta del 31, concluido el discurso del Sr. Búrgos dijo el Sr. marques de las Amarillas, que en la proposición, pj;e$«nt^da,por la comisi n, solo Redondo, marques de Montesa, Heredia, pestaña, López del Baño, Somo se hablaba dé los Próceres que no habían hecho gesrion aigiiaa'para ser admuíJos. Co za, marques de Montenuevo, Belmónte, Cáceres, Villa…</t>
  </si>
  <si>
    <t>Burgos</t>
  </si>
  <si>
    <t>…s! ¿No deja desde luego abierta la puer Habiendo preguntado el Sr. £ano Manuel si se resolveria como lo habia ta á los Estamentos para allanar el camino y completar la grande obra de nués—. propuesto^ Sr. Presidente, manifestó el Sr. Burgos que respecto de ser diver- tra regeneración! ¿Por que, pues, apartarnos de eli«! Los señores de la comi ias Ifs ¿Ólkitudcs remitidas ppr los señores, interesados se nombrase una comi sión han indicado que es práctica de todo gobierno representativo que la conten sión al electo para examinarlas toda…</t>
  </si>
  <si>
    <t>…ós de lo cual queremos medir fa.vida de las naciones por la vida de los hombres; por pasado, los obstáculos present», las contingencias de lo porvenir." ° c&amp;ta vida que se cuenta por minutos, y que se escapa ahora mismo que ha El Sr. Burgos: «El Sr. ministro de litado que acaba de hablad'ha dado bíame*. la contestación mas brillante a las razones expuestas jpot el ilustre Señor ore- «Se trata dé contestar al decurso de! trono; y no era esta la ocasión mas opinante. ■ v'' ;:s; -* oportuna de pedir todas las reformas-posibles; porque au…</t>
  </si>
  <si>
    <t>…l castigo obligarle á renunciar sus pretendidos derechos y admitir sus estipulaciones.Qui que reclama la vindicta pública y el honor de la magestad. siera pues que se diese una explicación , que presentada por el mismo Gobitr— El Sr. Búrgos añadió que S. M. la Rbina Gobernadora asi lo había ma bierno desvaneciese este escrúpulo, y dejase á cubierto el honor da la nación.” nifestado en el discurso de apertura, y que por lo tanto la enmision no debia Excmo. Sr. Martínez, de la jRosa: «El Gobierno estará siempre pronto insistir sobre que…</t>
  </si>
  <si>
    <t>…as puntoe en que se han presentado «Verificóse el desenlace de Evora: y allí no era posible hubiese un re— facciosos y en la expedición de Portugal.” «presentante español. Estaba sí á muy pocas leguas el general que, persiguiendo Sr. Burgos i •• La comisión no desconocí la certeza df la aserciondd pre 4 D. Carlos, tenia las instrucciones convenientes para «1 oaso en que aquel opinante; pero debe advertir que formaría contra sentido la expresión gloria, Príncipe cayese en manos de las tropas leales. porque esta no hace acreedor al ejér…</t>
  </si>
  <si>
    <t>…de las leyes que han de mejorar la condición de los pueblos” la prestar y recibir el santo juramento, fianza perpetua de órden, de reposo y siguiente: "principalmente las esenciales á un gobierno representativo.” rde prosperidad. Sr. Burgos: &gt;* La comisión cree que en las leyes &lt;jue han de mejorar la «La gratitud hispana reconoce enternecida el heroísmo de esta acción. condición del pueblo están comprendidas todas. Las mejoras pueden ser mate Verosímilmente á las disposiciones que V. M. medita en su sabiduría para ele riales y también…</t>
  </si>
  <si>
    <t>Gaceta de Madrid n.º 174 · suplemento</t>
  </si>
  <si>
    <t>…en; en cuyo caso deben exponer las razones El Sr. Navarro Soñaran dijo: Tomo la palabra, no para rectificar el acta que les impiden su asistencia. *n tu redacción, tino para advenir i los tenores taquígrafos que en la sesión á El Sr. Burgos expuso que habiendo muchos Sres. Próceres en quienes con que te refiere dicha acta hubieron de trasladar al papel lo que no oyeron. En el curran causas legítimas para no acudir al E-.tameAto, una comisión nombrada Suplemento í la Gaceta del domingo 3 del corriente , y todos los periódicos al efecto…</t>
  </si>
  <si>
    <t>…n de dichos Se Después de una ligera discusión manifestó el Sr. Presidente, que el asunto ñores Próceres. •ra puramente reglamentario, y que debía preguntarse si habia lugar ó no á Habiéndose declarado que habia lugar á votar, el Sr. Burgos dijo que era votar la proposición. _ . . de dictémen se votase por partes, y asi se acordó- Se preguntó con efecto, y quedó aprobada. Xleidas ía primera y segunda se aprobaron. Leyóse en seguida la siguiente proposición del Sr. Burgos. «Pido se decla Letdá lá tercera, el Sr.'Burgos dijo que la ley…</t>
  </si>
  <si>
    <t>…os Proceres empleados en i d expediente deLPríncipe D..Cárlos;. que aunque se hallaba admitido en el Es Palacio, para que asistiesen al Estamento. tamento y tiene jurada su dignidad de Procer, al ver el oficio de, 4 del actual El Sr. Burgos manifestó que en su sentir el decoro y esplendor de que se le ha dirigido para manifestarle su obligación de presentar documett- SS. MM. exigían que tos empleados inmediatos á sus Reala personas fuesen --toa -fóhacsfcdtes'pary acreditar/que ticne las condicione» requeridas por el Esta . considerado…</t>
  </si>
  <si>
    <t>…seria rina, que leyó en efecto; y concluida la lectura se acordó que pasase á la co de opinión se les oblígase á venir al Estamento estando de servicio. misión de Marina, encargándose el Gobierno de imprimirla para repartirá, El Sr. Búrgos alegó, que según su modo de ver juzgaba á los empleados los Sres. Próceres. de la servidumbre de S. M. en igual categoría que al capitán general de Madrid, En seguida se nombró para la comisión de Estado al Excmo. Sr. D. José á quien no se le podia obligar á asistir al Estamento pues lo hará cuando…</t>
  </si>
  <si>
    <t>…que era muy sensible que algunos Sres. Proceres, El Sr. (onde d Ttba. «La petición de que se trata me parece se halla en i quienes,jjo asistía cauia legítima que les impidiese concurrir al E*rameoto, igual caso que U hecha por el Sr. Burgos d otro día , relativa á que ningún dejaren de hacerlo , mucho mas cuando *c iban á tratar asuntos de t3nu entidad. Sr. Prócer pudiera ausentarse sin licencia del Estamento: aquella era puramen Sr. marques Je l.^s Amarillas • «La petición debe discutirse siguiendo te de policía interior , y creo que…</t>
  </si>
  <si>
    <t>…los Fróceres enterados por EL Sr. Cano Manuel dijo, que siendo el asunto de tan grave importancia, los'datos que les suministrase la comisión. - nunca se opondría á que se discutiera la petición por separado, á cuyo parecer , El Sr. Búrgos contestó que nunca fue su ánimo se ábríese discusión sobre adhirió el Sr. Burgos diciendo que el Sr. duque'de A i vas había fijado la cues este asunto *, sino que como individuo de la comisión del interior deseaba satión ^ul|^ rrt^r^'c(gi’v«fteW? , yfide c^j&amp;ig$fenfé quc^r^faj^tflge habíase ■ bqr u…</t>
  </si>
  <si>
    <t>…ue el Estamento había visto con desagrado, no ?olo que no hubiese continuado su asistencia a las sesiones, sino que ni aun hubiese contestado al - -- - BSTAMHKTO SEÑORES PROCERES. último oficio que se le había dirigido. El.Excmo. Sr.,Burgos dijo, que la gracia que se le había concedido al Sesión del dia 18 de Agosto. Sr. marques de Camarasa le ponía en posición de dejar de asistir al Estamento, para evitar que en el caso de no poder llenar las condiciones requeridas, se Concluida la lectura del acta de la sesión anterior, reclamó el E…</t>
  </si>
  <si>
    <t>…duo 'da lf cómision; y en contra del dictámen la pune- parado, en cuyo caso el Gobierno no podrá desentenderse de su ejecución.” ron los Exctnot. Sres. D. Javier dé Búrgos , marques de S. Felices, obispo de £1 Sr. Presidente: »EÍ Sr. Burgos deberá tener presente que ese articulo Barcelona, y conde de Monterroo. * . . que ha citado del primitivo proyecto de ley del Gobierno no coasta oficial Leído el proyectó remitido por el Gobierno , el dictimen de las cotni- mente en este Estamento, y ..por consiguiente no puede tpmarsc eq considera…</t>
  </si>
  <si>
    <t>…ciones no se podría establecer tampoco ninguna ley, porque cualquiera que sea que ha de producir una ley. ' □o hay una que al tiempo de establecerse no cause algunos perjuicios; y aun £1 -Escmo Sr. García Herreros, contestando al Sr. Burgos, dijo: que que partamos del principio de que las leyes sean el resultado del voto de la S. E. se había» limitado á impugnar el dictámen qpc se discutía, por1 la parte mayoría ¡quién nos asegura que upa ley asi hecha no pueda traer mas perjui-' relativa á indemnizaciones, proponiendo se Prepusiese e…</t>
  </si>
  <si>
    <t>…enesción , si se quiere conservar el decoro de los templos y el de sus Ministros, los correspondan para invertirlas en los objetos de su institución. hospitales y demas establecimientos que ahora se sostienen del Voto, es nece Él Sr. Burgos,-. «Repito que solo tomo Ja palabra para hablar sobre sario formar expedientes; ver qué se puede suprimir, sin destruir; qué se nece la redacción. Soy siempre de opinión qye el proyecto en todos sus artículo» sita para conservar con dignidad lo que deba subsistir, y con qué fondos ó ar está redacta…</t>
  </si>
  <si>
    <t>…quedó enterado. bia haber presentado ai Estamento de Próceres el proyecto de ley original, y El Sr. Presidente anunció que se iba a continuar U discusión pendiente en él se ■encontraba precitamente ia indicación propuesta por el Sr. Burgos. sobre el proyecto de ley"y dictámenes relativos í deuda extranjera , y em Esa. indicación la considero de mucho valor -, no es ninguna indemnización ia préstito de 4U0 millones. que allí se establece para lo* canónigos; es una cosa que se les debe de rigoro El Sr. Polo y Mongr: «El asunto en cuesti…</t>
  </si>
  <si>
    <t>…J; Miguel y Polo 3 ; Cr-raldo 14* el Sr. duque de Veraguas con 7; el Sr. conde de Parsent con 3; el Sr. marques Martel 10; Bcida 2; marques de Somcruelos 2; marques de Falces 2; La de la Candelaria con 3; el Sr. Martinez con 1 ; Sr. Burgos con 3; duque de Maza I. Gor con 3; conde de Monterron con 1; duque de Hijar con 1; marques de En la lista*del Sr. Secretario González resultaron distribuidos los votos en la S. Felices con 3; conde de Guaqui con 2; y habiendo obtenido los Sres. Cle forma siguiente: Sres. conde de Almodovar 65 tvoto…</t>
  </si>
  <si>
    <t>…deciden hija ¡He la deli daron' a probadas sin difusión. cadeza y del decoro dcá E»tamento, cuyas consideraciones debían haberspe»ado El Sr. Pre»idente anunció que habiéndose concluido los negocios de que bastante en el ánimo del Sr. Burgos par í no presentarse ep el salón cuando se &lt;Jebia ocuparse la sesión de este dia* se avisarla para, la inmediata según fletar . ventilaba en él un asunto-en que había tenidomas ó menos parte S. F, y acer lumbre, y que el Estamento*con arreglo al art. 12(5, quedaba en sesión secreta, ca del que se h…</t>
  </si>
  <si>
    <t>…amar el cumplimiento dé esta Real órden, pata que no qiicdo taban enfermos. Si por estarlo se les mandase enviar su voto por escrito, po ilusoria.” drían responder que en conformidad del párrafo 3.°-del art. óó del reglamento .El Sr. Burgos: «La medida que se propone por la comisión, cuyo díc— se abstenían de votar, pues tal- es el derecho que aquel artículo confiere á tánjen se va i discutir, no es una advertencia, no una amonestación , no un todos. apremió, no una conminación, sino una destitución ejecutiva inmediata; pues «Estas re…</t>
  </si>
  <si>
    <t>BúrgQs</t>
  </si>
  <si>
    <t>…vil; que.existiendo esta tampoco pueden hacerle las.reformd^ Él Sr^ Burgos: w Yo me retiraré; pero protesto....” necesarias, ni llevar adelante ios planes mas^onveoiemes 4-rk feíiciitkd d® '!3' *■' ' Jíabiendo salido del salón el Sr.- BúrgQs, se votó enseguida la mocíon Nación, estan(conformes en la necesidad de proporcionar .recursos, qüe es lo - hecha por el Sr. Alava , y quedó aprobada. mas urgente; y asi no veo que existe da éontradiccioa-queha indicado*el &gt;éfioz &gt; Abierta la discusión sobre la totalidad del proyecto de ley que aca…</t>
  </si>
  <si>
    <t>Burgués, Jaime</t>
  </si>
  <si>
    <t>Jaime Burgués</t>
  </si>
  <si>
    <t>…n Reina para Tudela, en combinación con el brigadier Linares para merecen recomendación las seis compañías de S. Fernando. La me caer sobre la facción de Zumalacarregui. recen sus gefes y oficiales, y principalmente el comandante Don Jaime Burgués, que viendo que no podía llegar tan pronto como Excmo. Sr.rPor el general D. Fernando Butrón, en oficio de 7 queria con su cuerpo, fue uno de los que cargaron á caballo. del actual desde Vergara , se me dice lo siguiente: Por lo mismo la merecen todos los montados , entre los que se Excmo. Sr. :-El…</t>
  </si>
  <si>
    <t>Burthe</t>
  </si>
  <si>
    <t>…i/o á la declaración de que lentas que perturban todas las clases del Estado, conmueven la sociedad hasta acaba de hablar el preopinante. — —------ 7 en sus cimientos, y amenazan á un mismo tiempo al espíritu de lamilla, al de El Sr. Burthe, ministro de Justicia, hace presente que la sociedad que elo recho de propiedad, y á los progresos de la industria y de la libertad del tra gia el Sr. Audry, es una asociación republicana que aspira únicamente ¿ tras bajo. (Aprobado.) tornar las leves fundamentales del Estado; que no contenta con a…</t>
  </si>
  <si>
    <t>Burunda, Higinio García</t>
  </si>
  <si>
    <t>Higinio García Burunda</t>
  </si>
  <si>
    <t>…ta y Gobernadora son unánimes, puros ysm.er s, \ en toda c.li se Gobernadora en nombre de su augusta Hija la Reina Doña Isabel ii, for la-mas completa salud v prosperidad en todos a., ramo, de r¡q..e/i. mar una junta compuesta de D. Higinio García Burunda, de D. Antonio Ma Dios guarde a V. E. mucE &gt;s afv &gt;s. Puerto- R ico 1 4 ce N’ &gt;v i = :iv ;e de ría Seijas, de D. Manuel Gutiérrez, intendente de provincia, vocales de la Excmo. ¿&gt;r.= Miguel de la Tur:e.= hxvnvj. Sr. Secretario de E.tad, v d De Real junta de Aranceles, y de D. Josef Vasooni, para qu…</t>
  </si>
  <si>
    <t>Bustamante</t>
  </si>
  <si>
    <t>…y para conte último. Se dice que el Sr. arzobispo de París ha solicitado la hon ner sus progresos. ra de administrar el Sacramento al joven príncipe. {Mensajero.) Un solo consejo se ros ha dado; que nos valgamos de alocu ____ El general Bustamante que tanto ha figurado en los últimos ciones paternales. Muchas veces hemos recurrido á este arbitrio, trastorn|is políticos de Méjico, ha llegado á Bayona de vuelta de pero bien conocéis que es absolutamente ineficaz. Acabo de decir Burdeos. Irá luego á París donde piensa residir. {Id.) que por sis…</t>
  </si>
  <si>
    <t>Bustindui, José Manuel</t>
  </si>
  <si>
    <t>José Manuel Bustindui</t>
  </si>
  <si>
    <t>…ó, beneficiado de Arroniz; á D. Pedro María Bombay y dos en Calcuta. Irazuzta, beneficiado-de S. Sebastian; á D. José Ignacio Zabalo, be El buque de vapor de Bombay será despachado á tiempo que pueda llegar neficiado de Segura; á D. José Manuel Bustindui, beneficiado de á Socotora dos días antes del de Calcuta, y de alli pasará á Madras y á Ceylao. Motrico; á’D. José Joaquín Vi^uendi, diácono de Urrestilla: á Don A la llegada del vapor de Calcuta., el de Bombay que ya habrá tenido dos dias Joaquín Gancio é Irigoyen, diácono capellán de .Arizau; á D…</t>
  </si>
  <si>
    <t>Busto, José Rodríguez</t>
  </si>
  <si>
    <t>José Rodríguez Busto</t>
  </si>
  <si>
    <t>…a Pirineos , y la conformidad de las instituciones ha reemplazado al paren Extracto del parte remitido por el gobernador civil de la provincia de tesco de las dinastías. De esta manera es como nos apoyamos en el Portugal y Orense D. José Rodríguez Busto con fecha de 9 de Junio actual. la España. La cosecha de vinos y frutos promete ser tan abundante como la del año Por la otra parte están la Rusia, el Austria y la Prusía. anterior, es decir, extraordinaria Sin embargo en varias parroquias ha caído Ahora bien r ¿cuáles son los Estados que adhieren…</t>
  </si>
  <si>
    <t>…iempre á los qiíe eran bpuestos aV gobierno? Siempre os hemos pedido co Extracto del parte remitido por el ggbernador civil de la provincia de sas que no son contrarias á las |eyes: si ahora solicitamos que mantengáis el' Orense, D. José Rodríguez Busto, con fecha de 14 de Mayo-último. ejército ep el pie que se encuentra, es para no tener que recurrir á la violencia,' ' Se lamenta de qué la falta de consumo envilece los precios de las producpara Jiacer efectivo este' proverbio: Si vh pactm, para brlhtin; para tener &amp; ciones en aquel fértilísimo y…</t>
  </si>
  <si>
    <t>…fa el Nuevo Fígaro del maestro Rlcci para piano á 8 rs. Nueva Extracto del parte remitido por el subdelegado de Fomento de la provincia galopada y trio extractada de la ópera bufe Loa dos sargentos, de Rtcci* k 2 rs. El de Orense D. José Rodríguez Busto, con fecha de 10 de Abril último. Jiajeftto nuevo, canción con acompañamiento de piano y .guitarra del célebre*García Se propone dirigir í los pueblos tina circular á fin de mejorar la casta del á-o rs.En,Sevirtudhallaránde providenciaen los almacenesdel Sr.de Balsera*música detenienteesta corte.co…</t>
  </si>
  <si>
    <t>Busto, Josef Rodrigo</t>
  </si>
  <si>
    <t>Josef Rodrigo Busto</t>
  </si>
  <si>
    <t>…n peones, carros ó caballerías con la debida proporción; invitaré los duc— Extracto del parte remitido por el goberhdor civil de la provincia de ño* de tierras ó heredades inmediatas á que permítan , con la correspondiente Orense D. Josef Rodrigo Busto con fecha 10 de Julio anterior. indemnización , que se arranque el cascajo y arena necesarios, con el objeto de Excmo. Sr.: En los dias 25 y 26 de Mayo último' han padecido flotable que se obtengan las obras por menos precio, á cuyo fin se establecerá también mente por efecto de una horrorosa torme…</t>
  </si>
  <si>
    <t>Busto, Rodríguez</t>
  </si>
  <si>
    <t>Rodríguez Busto</t>
  </si>
  <si>
    <t>…n los Estados que adhieren de mejor gana á un sis tal granizo que han quedado enteramente arruinados los labradores. En favor tema que á otro? El del Mediodía tiene á su favor al Norte, la Bélgica , al de los cuales se propone el Sr. Rodríguez Busto implorar la inagotable com Este, la Suiza y tus fronteras están en el Mosa y en el lago de Constanza. La pasión de ¿ M. la Reina Gobernadora. adhesión de la Bélgica y de la Suiza al sistema del Mediodía es un hecho reali Procura reunir noticias circunstanciadas acerca de los baldíos y montes de zad…</t>
  </si>
  <si>
    <t>Butera</t>
  </si>
  <si>
    <t>…lí taron queriendo ir contra el enemigo, y se les destinó el punto mas nea Capri y Vesubio se venderán, y serán reemplazados por fra peligroso, en donde pasaron la noche. El gobernador recomienda i gatas hasta el número de 10. EL príncipe Butera, nombrado em varias personas que se han señalado en aquella acción. (.Id.') bajador de Francia, saldrá cuanto antes para su destino. Se espera de,un día á otro parte de la escuadra inglesa del crucero de Malta ESPAÑA. mandada por el almirante Rowley. Parece que el Rey con su jo Madrid 2 de Abril.ve…</t>
  </si>
  <si>
    <t>Bution</t>
  </si>
  <si>
    <t>…e se uniesen las comisiones. to que se haya sometido á las Córtes. El Estamento quedó enterado de que la comisión de Guerra habia nom Ei Sr. conde de lat Natas. «No se trata aquí de calificar ni el espíritu brado por su decano al Sr. Bution, y por secretario al Sr. Carrillo. de la representación ni la falta que cometen los individuos que representan. Yo Se dió cuenta de una eiposicion en que D. Manuel González Allende, entiendo que esta representación hecha por tres individuos no puede tener otro electo Procurador por Ja provincia de…</t>
  </si>
  <si>
    <t>Butlcr, José de Pessino</t>
  </si>
  <si>
    <t>José de Pessino Butlcr</t>
  </si>
  <si>
    <t>…r para el desempeño de esta im formado á^Consecúencia de varias exposiciones de la diputación de portante comisión en la provincia de la administración de V. S. á ,1a grandeza-de España y de muchos títulos de Castilla, quejándose D. José de Pessino Butlcr, señalándosele sobre el sueldo que disfru • de la interpretación violenta que el comisionado especial encargado ta la gratificación de 20 rs. diarios para sus gastos personales, y por ! de :1a, recaudación de lanzas y algunos de los se fes principales de - via de com¡«ensacion de los instrumentos d…</t>
  </si>
  <si>
    <t>Butler, José de Pessino</t>
  </si>
  <si>
    <t>José de Pessino Butler</t>
  </si>
  <si>
    <t>…frían bastante, y en otros era corto el número de fallecimientos: otros 12 - - - nombrando para levantar el plano topográfico de la provincia de Madrid pueblos de la misma padecián igual calamidad; pero.no habían remitido parte á D. José de Pessino Butler. (Id.) sanitario al gobernador civil de aquella provincia. Exposición del Secretario.,de Estado y del Despacho de lo Interior solicitando de S. M. la aprobación del decreto que acompaña sobre el establecimiento PROVINCIA DE TpIBDO. de alumbrado y serenos. (Núm. 217.) ' Instrucción-del ministerio de…</t>
  </si>
  <si>
    <t>Butrón</t>
  </si>
  <si>
    <t>…n es de dictámen que todas las renuncias que se por hallarse, á consecuencia de sus padécimícntos, en suma escasez; ademis de hagan deben admitirse.” que no creía oportuno presentarse en la corte ínterin el (yrol'ienjo rio le vin Sr. Butrón: «Me parece que se confunde la cuestión, pues al presente lo dicase, permitiéndole presentarse en juicio de las calumnias con que en épocas que quiere el- interesado do es renunciar, sino hacer dimisión del cargo que ad anteriores se le había deprimido, fa cotnision en vista de todo el expediente m…</t>
  </si>
  <si>
    <t>…í no abandonar el puesto ni ceder de la digios! Vamos á lo» hechos. . 1: . ¡ idea que.una vez he comprendido, aproveché la coyuntura que la propuesta ■«La facción, que printápió con pocos hombres , atenta en el dia con 15 del Sr. general Butrón me ofreció, interpelando en otQZ sesión posterior al ó 169. La facción, que no ha tenido quien la'gobierne, quien la orga níce, que Gobierno. El Sr. 3&amp;rctario de Gyerra te .presento, y si bien tuvo, la bondad no cuenta con ningún eco en la-pación, mas que con, gente miserable, está de hacer algunas…</t>
  </si>
  <si>
    <t>…existen en las Secretarías del Despacho, re El Sr. Presidente: «Se ha acordado imprimir el dictámen de la comisión mitirá dicha lista al Estamento.” para repartirlo á los Sres. Procuradores, y lo mismo se hará con el roto par El Sr. Butrón: «Las personas que perciben pensión por este ramo son ticular del Sr. Agreda.” muchas, y la Secretaría por tanto no ha tenido tiempo de formar la lista no Se mandaron pasar á la comisión de Poderes los del Sr. D. Luis de San minal de ellas; pero ha quedado en hacerlo, y tal vez antes de que se disc…</t>
  </si>
  <si>
    <t>…etario» del Despacho conocie dríguez de Vera por la provincia de Albacete, y hallándolo, conformes , fue ron su necesidad; y por lo mismo procedieron á establecerla; la experiencia ha ron aprobados. En seguida pidió la palabra el Sr. Butrón para hacer una ob acreditado que lejos de ser inútil ha contribuido poderosamente en todas par servación; y después de haber manifestado en un pequeño discurso que ya se tes, no solo á mantener la tranquilidad interior, sino también que ha ayuda había ilustrado bastante la materia de la discusión d…</t>
  </si>
  <si>
    <t>…Presidente entró á Jurar y tomó asiento D. Fran no , donde á cada paso se descubren maquinaciones. cisco de Paula Crespo Rascón, Procurador por Salamanca. ♦»E1 gran problema consiste en ver cómo esta vasta extenston de terreno El Sr. Butrón: ♦«Señores, he tomado la palabra, no con el fin de im que tiene la Península se cubre con la tropa , la Milicia urbana y las compa pugnar á los señores que me han precedido en la cuestión que se ventila, por ñías de seguridad que ha creado el Gobierno como un medio supletorio. La que habiendo pesad…</t>
  </si>
  <si>
    <t>El Sr. Butrón: «Ha.dicho el Sr. Secretario de lutado que yo he inter en este Estamento se ha tomado un estilo académico; Hasta cierto punto es espelado al Ministerio. Nada de eso; solo he, rogado al dicho Sr. hiciese la acla «o muy exacto; pero nó soy yo de los que tienen la culpa, y mi deseo fuera ración que' a…</t>
  </si>
  <si>
    <t>…a la mayoría de votos, me parece que se está en ley sancionado por S. M-, relativo á la abolición del Voto de Santiago. el caso de aprobarse su elección.'’ Concluida su lectura , el Excmo. Sr. Presidente manifestó lo mismo que E¡ Sr. Butrón: «Entre los s'arios requisitos que se exigen para ser elec-- al anterior, con arreglo á lo prevenido en el artículo 83 del reglamento. tor , uno de el ios es tener mas de un año de residencia en la provincia; y otro Se di‘ó cuenta, y el Estamento quedó enterado, de dos oficias: uno del el dófrutir…</t>
  </si>
  <si>
    <t>…que no po dicen. día serlo porque carecía de los requisitos legales, y no se admitió al que debía "Dicen también que si hubiera sido excluido el antiguo elector, en es admitirse. Otro punto me ha llamado la atención. Ha dicho el Sr. Butrón, ta suposición hnbiera entrado el nuevo. Podia no ser asi. El Sr. Butrón es hablando sobre hacerse la elección en Zamora ó en Toro, que esta diferencia elector, y por cierto que no han nombrado otro en su lugar, y lo mismo podría ser muy bien efecto de la influencia del cólera. Yo no ignoro que si…</t>
  </si>
  <si>
    <t>…ta por la cómiáion, y balanza ? Yo creo , señores, que la comisión ha hecho cuanta ha podido y de tina economía que raya en mezquindad, voto por la asignación propuesta por , bido hacer en este particular.” el Gobierno.” - lí &gt;El Sr. Butrón; «La posición en que se encuentran, tanto, la comisión El Sr. Múrales: «La comisión, compl ha dichoya repetidas veces, hu- como los Procuradles, es sin duda de las mas críticas que pueden presentarse. fnera querTdo poáef atender con las mayOrea consignaciones, posible», al esplen Estrechados todos…</t>
  </si>
  <si>
    <t>…clama el pago de cierta lista que debe pasarse al capitán de Guardias. En seguida el mismo Sr. Secreta suma, no puede excepcionar el mal uso que de ella hubiera hecho su antecesor. rio dijo, haber sido nombrados para este acto ai Sr. Butrón y al Sr. Vega y ¡Raro raciocinio por cierto! «Quién ha dicho al Sr. Vega que las naciones son Rio; manifestando el Estamento quedar enterado. herederas de sus Reyes, ni que tampoco sea cierto que todos los herederos pa Se leyeron dos peticiones firmadas por competente número de Sres. Procu guen por l…</t>
  </si>
  <si>
    <t>…levando, digámoslo asi, el ró tar en este quizá el sueldo del pcimer año. Son por lo general jóvenes que han tulo de que son embajadores He España.” •prendido dos § tres lenguas y adquirido otros conocimientos , que siempre re £i Sr. Butrón: •&gt; La primera reforma que hemos hecho ha sido respectiva presentan un capital; y supuesto que lo emplean en' servicio- del Estado, debe á la augusra persona de S. M., rebajan 5o!e la asignación propuesta por el Gobier retribuírseles. Por consiguiente dqbe dirselesalgo para el viage, á menos que no…</t>
  </si>
  <si>
    <t>…un Límite, pasado el debe tener toda ley. Mas en materia tan grave decir desde ahora que se haga cual no pese la incertidumhrc sobre los individuos-" la quinta del modo que se ha he*ho ha^ta aquí, pero que sea por última vez, El Sr. Butrón manifestó que el proyecto de ley1 que se discutía no habia me perece que no es propio ni conveniente, y mucho mas cuando en el ^mde servir para lo sucesivo, sino solamente por ei momento. cuío 3.° se deja ai.Gobierno autorizado, en caso de que las circunstancias de Después d? haber apoyado el Sr. C…</t>
  </si>
  <si>
    <t>…ostumbres y el terreno, pue que cuando la corona ejerza esta facultad extraordinaria, baya de acudir á |a dan asegurar las operaciones del ejército.” Nación, puesto que deben estar reunidas las nuevas Córtes dentro dél término El Sr. Butrón apoyó lo que habia manifestado el Sr. Ferrer, excitando al de un año. Gobierno para que auxilie á las provincias con el fin de poner sobre las armás «Me parece que S. S. quedará satisfecho: l.° por lo raro que será el que toda la gente del pais que sea posible. el ministerio use de la facultad que…</t>
  </si>
  <si>
    <t>…sacuerdo-con la comisión, adopta comCLíuyos bajo su propia responsabilidad. Véase pues cómo Se evitarán los casamientos los ■artículos que esta propone.” -precoces, que muchas veces'no producen mas que mendigos, y cómo también El Sr. "Butrón-: «La comisioh ha examinado detenidamente los estados se conseguirá que. el servicio no gravite sohre los individuos de edades ya avan de fuerza del ejército: se ha hecho cargo de las bajas indispensables mi una zadas para él. Respecto.á los que siguen alguna carrera, entrando á servir á guerra tan…</t>
  </si>
  <si>
    <t>…stando en servicie activo, el go 109, En cuanto al señor director general, cuando llegue la ocasión manifes sueldo á 809 como propone la comisión.” taré tari Opinión al Estamento; f protesto desde ahora que deseo que su sueldo Ei Sr. Butrón: «La comisión no se b* atenido al caso actual, tino al en .... caté en relación con sus servicios. El Sr. González.manifestó que-quería ae que no fuese capitán general el destinado á capitán de la guardia. Está bien que . 1 nííiilantn hooorea, y no dinero; pero yo soy de parece» contralto, pues hay…</t>
  </si>
  <si>
    <t>…rse,del. arreglo de las plazas atribuciones,'trabajó, y1 aun 'responsabilidad eran mucho mayores que los de y que 16 hará en cuanto sea posible.” w . aquellos'. Afiadiendo que el término de una carrera taji penosa debía ser re El Sr. Butrón manifestó que un capitán general de «na provincia tenia compensado como corresponde, no debiendo rebajarse su mérito basta el pon-: que hacer gastos de consideración, como era el de sostener una mesa correspon to que se habiá 'pretendido. ■ diente á su clase, mantener caballos para recorrer su dist…</t>
  </si>
  <si>
    <t>Butrón, D Fernando</t>
  </si>
  <si>
    <t>D Fernando Butrón</t>
  </si>
  <si>
    <t>…ión las seis compañías de S. Fernando. La me caer sobre la facción de Zumalacarregui. recen sus gefes y oficiales, y principalmente el comandante Don Jaime Burgués, que viendo que no podía llegar tan pronto como Excmo. Sr.rPor el general D. Fernando Butrón, en oficio de 7 queria con su cuerpo, fue uno de los que cargaron á caballo. del actual desde Vergara , se me dice lo siguiente: Por lo mismo la merecen todos los montados , entre los que se Excmo. Sr. :-El brigadier D. Gaspar de Jáuregui, gefe de la hallaban el gefe de la plana mayor D. José de Co…</t>
  </si>
  <si>
    <t>Butrón, Diego</t>
  </si>
  <si>
    <t>Diego Butrón</t>
  </si>
  <si>
    <t>…de mi au Mayo de 183U; y S. M. ha tenido á bien resolver , en nombre de gusta Hija la Reina Doña Isabel ii, en nombrar á D. José Sar tu augusta Hija Doña Isabel ir, que en el caso propuesto deben torio, D. José Quevedo y Chieza, D. Diego Butrón, D. Francis sustituir á los contadores los asesores respectivos de cada subdele co Quevedo Bueno, D. José Benitez y D. Antonio Galindo; los gacion, bien hayan sido nombrados por S. M. ó por el superinten tres primeros de la dase de generales , y los demas de la de toga dente general de Reai Haciend…</t>
  </si>
  <si>
    <t>…rvad»*» de le* aj.os anteriores enfermedad y desde* t.° de Agosto............................................................ 40 son un recurso para evitar la ab»olutr falta d« subsistencia, peto al paso que Sr. geoersl de Marina D. Diego Butrón, por ahora 500 rs. y ofrece contienen los precios en una moderación razonable, inducen mayor,perdida en 20 ís. manso*le* mientras dure la enfermedad........................................ 500 el cosechero. Esta situación penosa reclama imperiosamente U aterc on dei go Comunidad de premostraten&amp;es…</t>
  </si>
  <si>
    <t>Butrón, Fernando</t>
  </si>
  <si>
    <t>Fernando Butrón</t>
  </si>
  <si>
    <t>…tinO ---— resolviendo'quc por* esta vez: continíie la actual quinta á cargo del miniter¡q^e Ja,GÍ.er*a..(^¿)^„;... ; «c, ragafia , Alcalde electo* de la vtHa del Prailo , y para su ‘resalta á D. Julián Reales decretos nombrando a D. Fernando Butrón gobernador de Zamora,! Martínez y Yautpiasj'(í¿L) 1 - ‘ V ■ *■/ • . 1 ’E&gt;. Gaspar JSuregui comandante general de»- Guipúzcoa, y á -'D. Santos __ T nombrando torfej*i&lt;iA¥ de Arévalo á D.Valentin deGarralda. ¡ (Idíy AlTeñde teniente dé rey de la Coruña. (Id.) " " Real órden mandando .que se apliquen…</t>
  </si>
  <si>
    <t>…por* esta vez: contin&amp;e la actual quinta á cargo del minÍter¡q^e Ja,GÍ.erj^,(^t)^„;. .. ; . :... gobernador de Zamora,! ragafia , Alcalde electo* de la villa del Prailo , y para su ‘resalta á IX Julián Reales decretos nombrando a D. Fernando Butrón hlenfriez y Yanguasi'CídO 1 - ‘ V ■ *■/ • . 1 D. Gaspar Jáuregui comandante general de-'- G*aipüZeoa , y á ?D. Santos __T nombrando eorfejtúhtf de Arévalo á (D.-Valentin deGarralda. ¡ (Idíy AlTeñde teniente dé rey de la Coruña. (Id.) ' " Real órden mandando .que se apliquen las disposiciones de la…</t>
  </si>
  <si>
    <t>…seis compañías de S. Fernando. La me caer sobre la facción de Zumalacarregui. recen sus gefes y oficiales, y principalmente el comandante Don Jaime Burgués, que viendo que no podía llegar tan pronto como Excmo. Sr.rPor el general D. Fernando Butrón, en oficio de 7 queria con su cuerpo, fue uno de los que cargaron á caballo. del actual desde Vergara , se me dice lo siguiente: Por lo mismo la merecen todos los montados , entre los que se Excmo. Sr. :-El brigadier D. Gaspar de Jáuregui, gefe de la hallaban el gefe de la plana mayor D. José de Co…</t>
  </si>
  <si>
    <t>…lat de Campeó 93 votosicomra 7. El Presidente levanta la sesión. para cooperar a aquel objeto. , r V Ayer llegó aqui y hoy ha salido hacia ValUdobd con escolta el raamcsl ——"Se lee en el diario de Francfort lo que sigue: de campo D. Fernando Butrón , procedente de S. Sebastian. &gt;»La palabra Cdrtts indica una representación nacional: Ja España pues ra No tengo noticias del brigadier lriarte ni del coiooei Carrera. Dios Ac.</t>
  </si>
  <si>
    <t>…ado de la Real mano. = En Aran juez á 23 de Abril la'Reina nuestra Señóla Doña Isabel ii , se ha dignado nombrar de 1834—A D. Antonio Remon Zarco del Valle. gobernador militar y político de la plaza de Zamora al mariscal de campo D. Fernando Butrón; y para reemplazar á este general en MINISTERIO SE GRACIA Y JUSTICIA. la comandancia general de Guipúzcoa, al brigadier D. Gaspar Reales órdenes. Jáurcgui; y asimismo conferir el empleo de teniente de Rey de la plaza de la Coruña al coronel D. Santos Allende. Por convenir al Real servicio es la vol…</t>
  </si>
  <si>
    <t>Buztinduy</t>
  </si>
  <si>
    <t>…3.a com de la Kdvaherrefá.=Pres¡3ente.=cSantIágp Rodrigue? de Cela, vocal secretario. pañía con el objeto de despejar el pais de los rezagos que habían quedado en su interiort obligando al mismo tiempo á la partida mandada por el cura Buztinduy é embarcarse precipitadamente en Guetaría, dejando varios efectos en El dia 30 de Abril último je celebró.en Parlé el sorteo de las series del ppder de la expresada compañía. empréstito Real según estaba anunciado, y ha tocado 1? suerte del reembolso en 1.a de J^lio próximo a la sé ríe 57.a ■ - . E…</t>
  </si>
  <si>
    <t>Byron</t>
  </si>
  <si>
    <t>…el Egipto desde que empezó la guerra con la Puerta, ha pasado por un. nadie padece ni conoce. Nadie sabe todavía la causa precisa de la muerte de série de grandes calamidades, resultado natural de su nueva posición. Napoleón, de lord Byron, de Talmani y de Cuvier.” La rebelión declarada de Siria, y la inquietud que amenaza én el Yemen, han abierto los ojos al virey, y hedióle pensar seriamente en el estado de sus ___Escrihen de Lóndres 9 de Octubre: negocios. Ahora «mpieza á considerar que ya a tiempo de volver al pueblo la «Parece s…</t>
  </si>
  <si>
    <t>C'pri</t>
  </si>
  <si>
    <t>Gaceta de Madrid n.º 187 · suplemento</t>
  </si>
  <si>
    <t>…Carrillo Manrique , electo Pro leida en una de las sesiones anteriores. Se mandó arcfií'-ar dicha memoria. curador por la provincia de Guadalajara,acompañándola a) mismo tiempo con También quedó enterado de una cxpus-cu n del Sr. D. C'pri qo de la los documentos ju tificativos de su aptitud legal para desempeñar su cargo. R iva, procurador porBúgos, m-Vniftslando hallarse conva’ec¡endo en ola El Sr. García man fe.ió que el poder de este interesado, se le había en corte de la enfermedad remante q^u® le acometo en Villacastin, y que e…</t>
  </si>
  <si>
    <t>C'pri, D</t>
  </si>
  <si>
    <t>D C'pri</t>
  </si>
  <si>
    <t>…sar Carrillo Manrique , electo Pro leida en una de las sesiones anteriores. Se mandó arcfií'-ar dicha memoria. curador por la provincia de Guadalajara,acompañándola a) mismo tiempo con También quedó enterado de una cxpus-cu n del Sr. D. C'pri qo de la los documentos ju tificativos de su aptitud legal para desempeñar su cargo. R iva, procurador porBúgos, m-Vniftslando hallarse conva’ec¡endo en ola El Sr. García man fe.ió que el poder de este interesado, se le había en corte de la enfermedad remante q^u® le acometo en Villacastin, y que e…</t>
  </si>
  <si>
    <t>C, José</t>
  </si>
  <si>
    <t>José C</t>
  </si>
  <si>
    <t>…uniesen sus votos á los*del Estamento. inoportuna.*1 Se dió cuenta, y quedó enterado el Estamento de dos oficie», uno de Don El Sr. Truéba dijo que la secretaría no tendría inconveniente en borrar Pedro Ventura de Puga y otro de D. José C*mp$ v Soler, en los que hacían dicha expresión. presente no haber podido asistir i la sesión de aver por. hallarse enfermos; y* El Sr. conde do las Navas expuso que tenia una verdadera pesadumbre en pedían se uniesen sus votos á los del Estamento en dicj» resolución relativa á no poderse conformar…</t>
  </si>
  <si>
    <t>…a eo )a dé Bergoes y compañía, á 4 rs. tomando toda la colección, y a 5 por tratados sueltos. bada, 4 24 id.; maíz, i 32 ÍH.: garbanzos, 4 80 Íd.: aluvías, á 44 ^*: vina ------Dfícronurio de Hacienda con aplicación á Expelía, pnr D. José C^nga Arguelles, tinto corftun, á 4-i carga: id. rancio, 4 210 ídaguardiente, prueba de Ho ministro jubilado del Consejo supremo de Indias. Cuaderno núm. 4,0 Se vei.de eo ía landa, á 144 ¡d.: el refinado, á 190 id.: aceite, 4 350 id. librería de la viuda de Qulroga. Calafaf. Trigo, 4 52 rs. cuartera:…</t>
  </si>
  <si>
    <t>C-irlos</t>
  </si>
  <si>
    <t>…el nuestro. Prescindiendo de la exactitud principales que contenia la petición que los Procuradores de las ciudades y vi de esta observación, se ha respondido victoriosamente que aquellos Estados no llas de voto dirigieron al Sr. D. C-irlos i, y cuya negativa produjo la funesta se han ceñido á pagar solamente las asignaciones de las Familias Reales, sino lucha de las comunidades, era dirigido al objeto indicado. Sabe que estas peti que en muchas ocasiones han satisfecho enormes deudas de sus Principes; que ciones se reprodujeron varia…</t>
  </si>
  <si>
    <t>C-irlos, D</t>
  </si>
  <si>
    <t>D C-irlos</t>
  </si>
  <si>
    <t>…que el nuestro. Prescindiendo de la exactitud principales que contenia la petición que los Procuradores de las ciudades y vi de esta observación, se ha respondido victoriosamente que aquellos Estados no llas de voto dirigieron al Sr. D. C-irlos i, y cuya negativa produjo la funesta se han ceñido á pagar solamente las asignaciones de las Familias Reales, sino lucha de las comunidades, era dirigido al objeto indicado. Sabe que estas peti que en muchas ocasiones han satisfecho enormes deudas de sus Principes; que ciones se reprodujeron varia…</t>
  </si>
  <si>
    <t>C.i, J-an</t>
  </si>
  <si>
    <t>J-an C.i</t>
  </si>
  <si>
    <t>…e Octubre, en que está inserto el Real decreto dirigido por h. nu.h. ños. Pal :iu 2'j de 1 Vu e u' e c. IG S. M. la R kina Regenta y Gobernadora, con fecha del día anterior, al Señor Excmo. Sr.=A:Uonio , obispo de Alai. wiun. br. D. J-an C.i■ ja. oertsduque Presidente del consejo Real, para comunicar á aquel supremo tribunal González, ministro de Gracia \ Justina. las cláusulas del testamento otorgado por el Sr. D. Fernando vn en 12 de Ju nio de 1830, y en virtud de los cuales nuestro difunto Soberano instituye a su Excmo Sr. : He reci…</t>
  </si>
  <si>
    <t>C.isaseca, Antonio</t>
  </si>
  <si>
    <t>Antonio C.isaseca</t>
  </si>
  <si>
    <t>…física íkc. fice. , por M. de lal.ande. traducidas al caste Extracto del parte remitido por el gobernador civil de la provincia de Se- llano: un tomo 8.° á 20 rs. rustica y 'di en pasta.— líeineccio . elementos del derecho gnvia, D. Antonio C.isaseca, con fecha de 7 de Mayo actual. romano, traducidos al Castellano e ilustrados con notas; un romo er. 4.0 a 20 rs. rustica y 24 en pasta.— Tratado de la regalía de amortización , en el cual se demuestra, por Han caído copiosas lluvias, lo que ha mejorado extraordinariamente el as la serie de varias…</t>
  </si>
  <si>
    <t>C.Tiron, Pedro Agustín</t>
  </si>
  <si>
    <t>Pedro Agustín C.Tiron</t>
  </si>
  <si>
    <t>…o ¿.3 de Enero Fcbrero-dc 13¿4. = Nicous Mar;a^Garedj. — Ai Sr. Ercsidcntc del Consejo de I834.=A D. Tomas Lobo. Rea.'. MINISTERIO L&gt;K LA GUERR.V. Atendiendo á la antigua nobleza y distinguidas circunstancias que concur- [ ren en D. Pedro Agustín C.Tiron,.......... &gt; r------principer de Anglona, queriendo. reco,jipen— RfA ! oyJen ¿irculaA. •.í nlAnts Jt e fe ( sar sus servicios, como a*imi*mihiiio Lis pruebas de adhesión qbc prole*.i a mi muy tu ■ f:\ r¿. .ir ..1 ¿ .0 . amada Hija la Ruina Don.aña Isabi.l ii; lie venido en reí. .(&gt;ilita:íe, en su U…</t>
  </si>
  <si>
    <t>Ca, Antonio</t>
  </si>
  <si>
    <t>Antonio Ca</t>
  </si>
  <si>
    <t>…anifestando al mismo Alaiz; los capitanes D. Juan de Dios LasaU y D. José Obrera ; los tenien tiempo cuánto siente que la escasez de fondos que sufre la colecturía general tes D. Joaquín Manuel Alba V D. Miguel Guerra; cl.aifcicz D. Antonio Ca no le permita ampliar mas este donativo. llejas; los sargentos segundos jóse Pciez, f rancisco Rubiales, Antonio Na-</t>
  </si>
  <si>
    <t>Ca, Antonio Tenreiro y</t>
  </si>
  <si>
    <t>Antonio Tenreiro y Ca</t>
  </si>
  <si>
    <t>…valle de Toranzo, y conforme S. M. la Reina Gobernadora se ha servido conferir la secretaría del go con el parecer del gobernador civil de Santander, se ha servido S. M. conceder bierno civil de la Coruña, vacante por ascenso de D. Antonio Tenreiro y Ca su Real permiso para que se celebre una feria en el pueblo de S. Martin en los berla á gobernador civil de Pontevedra, al licenciado D. Juan de Zarate y días 14, 15 y 16 de Julio de cada año, con el fip de que dicho valle pueda Murga. dar salida al ganado vacuno. - ^ Por salida del oficial 2.° l.°…</t>
  </si>
  <si>
    <t>Ca, Gabriel</t>
  </si>
  <si>
    <t>Gabriel Ca</t>
  </si>
  <si>
    <t>…seLhah&amp;m-natado tambor José Alvarez, -del regimiento de Córdoba; José Bueno , del -6.° iíge- -casos sospechosos en.algunbs mas.pueblos déla provincia,-solo en el.de Aidca to, y de carabineros D. Antonio Larrax , D. Luis Marques, D. Gabriel Ca— vieja había 'fallecido una persona. ribano, Antonio Parro, José López Coloma y Juan Castillo. ^ROVUNOIA BE'CASTEIION T&gt;E O.A "PLANA. Y enteradas. M. deJa^orrosadefensaque hicieron «nía renta de Gu li Su góberíiafloT'civil dice con fecha de 18 del corríente.que-enla víUadena los individuos que expr…</t>
  </si>
  <si>
    <t>Ca, Pietro</t>
  </si>
  <si>
    <t>Pietro Ca</t>
  </si>
  <si>
    <t>…ta es relativa á los pastos La academia de los árcades de Roma se reunió el jueves pasado en solem de los caballos empleados en la conducción de la madera procedente de lo* ne sesiort para honrar la memoria de Su Erna, el difunto cardenal Pietro Ca montes del Estado. (Diario de París 7) prario. . . El Sr. Francisco Güadagny-, miembro del colegio filológico, pronuncié -__Se habia creído generalmente hasta ahora que ias maquinas locomotivas no con este motivo un elogio en latín que ha recibido los mayores aplausos. podían emplearse con utilidad…</t>
  </si>
  <si>
    <t>Cáaliano, Alcalá</t>
  </si>
  <si>
    <t>Alcalá Cáaliano</t>
  </si>
  <si>
    <t>…emas insistía en la importancia del objeto de da, cuando por un lado veo incluidos en la reconocida débitos contraidos en que había hecho mención. ' la época de la fundación de la dinastía austríaca en el siglo xvi, y por otro El Sr. Alcalá Cáaliano: *&gt;La discusión que se ha promovido será siem excluidos de ella los contraídos en 1808 y después, no solo para sostener la pre del mayor ínteres, aunque no sea mas que por el resultado que ha produciindependencia y libertad de U Nación, sino hasta para restablecer el trono que do, y que ha indicado…</t>
  </si>
  <si>
    <t>Caarmas, Manuel</t>
  </si>
  <si>
    <t>Manuel Caarmas</t>
  </si>
  <si>
    <t>…rcanas^ mica de amigos del país de la ciudad de Ecija verificó la apertura de dos clases, se puso en espectativa de lo que se quería anunciarle: entonces el otro rey de una de economía política 4 cargo del vice-censor de la misma D. Manuel Caarmas, licenciado D. Francisco José de QueSida, lo preparó con las roces de brera, y otra de una escuela normal según el método de D. José MarianoVa0¡d, oíd., oidj y cuando hubo concluido, el Sr. alférez Real D. Feliz Quin llejo, que gratuitamente se ha ofrecido 4 dirigir el sócip D. Juan Estrella. tero…</t>
  </si>
  <si>
    <t>Caba, D Rafael</t>
  </si>
  <si>
    <t>D Rafael Caba</t>
  </si>
  <si>
    <t>…Gobierno. Asi, pues, la imprimiría y repartiría, y que en seguida señalaría dia para su discusión. cuestión , a mi corto entender , debe reducirse á determinar si una persona que Se mandaron pasar á la comisión de Poderes los del Sr. D. Rafael Caba no se sabe si tiene las calidades necesarias para ser Procurador, está en el Cj¡»o ñil le*, electo Procurador por la provincia de Ciudad Real, y ios documentos de hacer la renuncia que ha prcseütado el Sr. Seoane. Digo e»to para la mayor justificativos de su aptitud legal. claridad.” i La'comisión…</t>
  </si>
  <si>
    <t>Caba, Rafael</t>
  </si>
  <si>
    <t>Rafael Caba</t>
  </si>
  <si>
    <t>…erno. Asi, pues, la imprimiría y repartiría, y que en seguida señalaría dia para su discusión. cuestión , a mi corto entender , debe reducirse á determinar si una persona que Se mandaron pasar á la comisión de Poderes los del Sr. D. Rafael Caba no se sabe si tiene las calidades necesarias para ser Procurador, está en el Cj¡»o ñil le*, electo Procurador por la provincia de Ciudad Real, y ios documentos de hacer la renuncia que ha prcseütado el Sr. Seoane. Digo e»to para la mayor justificativos de su aptitud legal. claridad.” i La'comisión…</t>
  </si>
  <si>
    <t>Cabaces, Cayetano</t>
  </si>
  <si>
    <t>Cayetano Cabaces</t>
  </si>
  <si>
    <t>…heridos siguientes: Alférez de la se pudiera apagarlas. {Mensageroi) Guardia Real de infantería D. Erancisco Escobar: capitanes giaduados de co ronel, del regimiento de Córdoba D. Manuel Michel y D. Baltasar Eerrer: ¡os tenientes D. Cayetano Cabaces, graduado de teniente coronel, v O. Romual do Aguado, y subteniente D. Joaquín Iglesias, todos del mismo cuerpo; v el ESPAÑA. teniente dei 6° ligeros D. Luis Mailen: contusos, el anudante del 4.0 regi miento de Guardia Real D. José Mozurd; el teniente con grado de teniente Madrid i 0 de Octubre. co…</t>
  </si>
  <si>
    <t>CabaHéto</t>
  </si>
  <si>
    <t>…ctamen' de U cúmentos, como qué son muy voluminosos . quedaría aquí i disposición de la comisión”. .' . jh. comisión sí el Estamento lo tiene por conveniente. Si la comisión y demas Se El Sr. García Carrasco apoyó lo dicho por el Sr. CabaHéto. “ --f ñores Procuradores necesitaren algún otro- documento mas-qüe existiese y no Preguntado si estaba el punto suficientemente discutido, se declaró que sí. estuviese entre estos^ se lesfranqüeará.” Se leyó el dictamen de la comisión, y puesto á&gt;otac^on^fúe,!déíccK»do ;.l: S.iEl- Sr- fitelii(U&gt;iÍe…</t>
  </si>
  <si>
    <t>Caballe</t>
  </si>
  <si>
    <t>…que se ha seguido a^ui constantemente; pero cuando algunos señores se queza que corresponde. t han separado de la mayoría, han defendido también su dictámen particular. «Sentado pues esto, paso 4 contestar a las observaciones del Sr. Caballe ¡Y por qué á un individuo solo ha de negársele la misma facultad! Si á la ro. No estoy conformé^con S. S. en cuanto á interpretar la ley. He creído mayoría de la comisión se la permite hablar ilimitadamente, por qué á la mi siempre que puede interpretar la ley el que puede hacerla: el que no puede for…</t>
  </si>
  <si>
    <t>Caballero</t>
  </si>
  <si>
    <t>…en el todo de su discurso; 183 rs.^incluyendo lo que perciben por el Voto; y las de Mondoñedo están pero la tos pertinaz de otro no permitió oírlo.) reducidas á 8 ó 93 rs. De consiguiente parece regular que el Gobierno trate ”El Sr. Caballero: «No puedo menos de congratularme de ver en el pro de indemnizar á los que las obtienen; por lo que me conformó con este ar yecto presentado por el Gobierno y en los señores que han discutido sobre el tículo. artículo esa tendencia, ese deseo tan .justo de conciliar los intereses y no des «Ademas;…</t>
  </si>
  <si>
    <t>…támen que ha dado , y mas cuando hay una impedían desempeñar esté encargo, y pedia su exoneración: otra del licencia diferencia tan notable como de 4 años.” do D. Juan Ramírez, reclamando contra la eleccionque ha recaído en el El Sr. Caballero: «El Sr. Medrano acaba de indicar que tenia 25 años Dr. p. Prudencio Chavarría para Procurador de la provincia de la Habana, el Sr. Calderón cuando se recibió de abogado. No quisiera equivocarme , pero en virtud de las ilegalidades qtle manifestaba haberse cometido en ella; y otra si han partido de…</t>
  </si>
  <si>
    <t>…l alegaba otra, que era no tener en Ja provincia los 63 r$. que exige la Real ya el Sr. Torremejía ha hecho un argumento. Me opongo, pues, á que asi se convocatoria. verifique , porque resulta de ello un gravamen á la Nación.” El Sr. Caballero dijo que no creía que por solo el dicho de un Sr. Pro El Sr. Secretario del Despacho de Hacienda : «Yo satisfaré al señor curador no debía admitirse su renuncia; y que asi, en su Opinión, la comisión preopinante y al Sr. Torremejía , diciéndoles que esto tendría mucha fuerza debía tomar mas noticia…</t>
  </si>
  <si>
    <t>…y no hay inda que contradiga disha idea,-, nréq cI Sr. Rivaherrersfc Éi Gobierno no-ríéoe fnconveniente en qoír se haga sino todo ál contrario.” •• » asi. He extendido’ esta adición, que como becha de priesa puede teiier algún El Sr. Caballero: «Crep que todos los Sres. quo han hablado están con- . defecto*n su redacción. » A medida que so vaya liquidando la deuda activa se.. vencidos de 10 fácil que es reducir al interes del- 5 por 100 toda la deuda « verificará el pagó de los intereses, bien entendido, que el semestre empezará del 3, q…</t>
  </si>
  <si>
    <t>…pararse; porque si los tenedores de los bonos de Córtes han perdido lo que die declaró el punto suficientemente discutido, y se aprobó la adición. ron para sostener nuestra libertad, justo el que se les indemnice y que no se' El Sr. Caballero manifestó que ata adición debía recaer ««« bien sobre alegue imposibilidad de ejecutarlo, puesto que los que han dado dinero para im la primera parte del articulo, que sobre la segunda; en lo que convino el Se ponemos ¡as cadenas que ooi han oprimido, han percibido lo justo, y cuando se ñor Secreta…</t>
  </si>
  <si>
    <t>…o de bases y principios que deben regir en uri den ahora, atan vigenta, creo no hay necesidad de atablecer otras nue buen gobierno , se ha hecho siempTe en tiempo de alguna agitación, porque vas leya. Y con el mismo argumento del Sr. Caballero le puedo raponder vic entonces es cuando se conoce la necesidad de hacerlo. ¡Qué ocasión mas opor toriosamente; púa teniendo la facultad de poder reclamar la observancia de di tuna que la presente podrá tener la España para demarcar la línea de sus rela chas leya, es inútil darlas de nuevo, púa exi…</t>
  </si>
  <si>
    <t>…variado en la parte re-;, señor Procurador que diga que el principio de que se trata es injusto. Siendo lativa á la libertad de imptenta. pues justo, adóptese; porque si hay dificultades y tropezamos con algún escollo Ha dicho el Sr. Caballero que yo ayer habla sentado el principio dé quepor la agitación de los ánimos ó por la convulsión de las pasiones ,1o suspen-' eran suficientes las bases establecidas en el Estatuto Real para dar libertad ¿ deremos y habremos hecho un bien sin tener que desechar aquel por miedo de los españoles. Esta…</t>
  </si>
  <si>
    <t>…sob%e la estatua de la ley, como di¡ó ayer el se dé derechos y no de obligaciones; mas en contestación de esto basta reproducir ñor López; frase qué repitieron en Francia los mismos que establecieron estos lo que h^manifestado el Sr. Caballero. principios, y que vieron que no podían aplicarse. La Asamblea constituyente Se declaró el punto suficientemente discutido. aspiró á un imposible, y no lo consiguió: aspiró á fundar una monarquía sin El Sr. López del Baño: Para poder votar desearía saber sí se quiere vpretener cimientos, minó la soc…</t>
  </si>
  <si>
    <t>…-‘.-NT pedido la palabra. „Ha añadido la comisión que la igualdad de derechos ante la ley no,pt«tn Se leyeron los artículos 6S y 66 del reglamento. de menos de ser consagrada con toda la extensión que rwlaman la razan ¡y ' El Sr. Secretario Caballero leyó dicha lista, á saber: en pro, Sres. López y justicia. Hay una desigualdad, y esta existeen la naturaleza, y no puedeatters Diez- González, de la comisión , Gi I vTrueba , González (D. Antonio), Gon mediarse; mas hay otra, hija de la ley, que tiene muchísima, mayor influencia zález Alonso, Caba…</t>
  </si>
  <si>
    <t>…ndo para berse atribuido la facultad de reglamentar á las Córtes. Señor, seamos justos; ello con la concurrencia de ambos E&gt;tamentos y del poder Real.” es menester atender al tiempo y al objeto con que lo hizo. El Gobierno, de Ei Sr. Caballero: «Como uno de los individuos que han firmado la peti scoso (como se manifestó ayer en el expediente relativo al nombramiento de ción que hoy nos ocupa, me creo en la necesidad de manifestar al E-tamento empleados, de que se dió cuentaá este Estamento) de no salir en ningún caso las poderosas razone…</t>
  </si>
  <si>
    <t>…lo prevenido en lo pasado y por la práctica en la corona de España. Después se discutirán sucesivamente: 1” la petición so casos de igual naturaleza. bre revalidación de empleos, grados y honores concedidos desde 7- de Marro »E1 Sr. Caballero ha manifestado que es una cosa muy chocante , refirién de 1820 hasta 30 de Setiembre de 1823: 2.° la petición sobre retiros niititares: dose al asunto del Voto de Santiago, que haya que acudir al reglamento de 3.° la petición acerca de la habilitación de extrangems para obtener destinos Próceres pa…</t>
  </si>
  <si>
    <t>…l Sr..Gizaldo te pre o Ha dicho el Sr. preopinante que la nación no está aun preparada para guntase si ci asunto estaba suficientemente discutido. recibir la libertad de imprenta, y parece como que ha querido indicar que á El Sr. Secretario Caballero hizo presente no habla ningún artículo del esa misma libertad es deudora la nación de todos los desastres y desgracias que reglamento que trátase de este particular. la han sobrevenido, particularmente desde la aciaga época del año 2¡S. Es falso; El Sr. conde de Toreno reclamó la lectura del art. 7…</t>
  </si>
  <si>
    <t>…réstitos á ios españoles» y otra para Cosío, Procurador secretario =Franciíco Bclda y Asensio, Procurador secreta «que se negociasen las ¿cerones en Madrid; acordándose asimismo que no se ex rio. = fes copia.=González, Procurador secretario: == Caballero, procurador presase en el acta» para que no constase por escrito en la secretaría; y que solo secretario. - V . 'fuese un recuerdo para-el Ministro de Hacienda. Me parece que no se pueda ■ Concluida la lectura, anadió el Sr. Ministro que estaban i disposición hacer mas: si el Gobierno dice este hay…</t>
  </si>
  <si>
    <t>…un modo mas cada uno de sus artículos, proponiendo las enmiendas y adiciones qoe comí de acertado puede contar con mi aprobación y con mi gratitud.0 re convenientes, sin perjuicio de que continúe en su fuerza y vigor el actual El Sr. Caballero dijo que estaba reducido á suprimir la cláusula que dice reglamento hasta que se forme el que debe reemplazarlo.0 de los ilustres Próceres, Otro Sr. Procurador hizo presente que se dijese que Habiéndose preguntado si adoptaban los peticionarios esta nueva redac la Comisión que se nombrase fuese del…</t>
  </si>
  <si>
    <t>…udanza de las palabras sistema anti do honor al gobierno y á la nación, con cuyos nobles sentimientos no deben nacional en la de sistema desacertado. confundirse nunca las siniestras ideas de un puñado de perturbadores-, indigno* Sr. Caballero: ”Me llama la.atención esa su?!¡tucion de la comuion,j&gt;ues del nombre español. V. M. hallará siempre la mas eficaz cooperación de parte á mí me llenaba maí la primera redacción del proyecto, porque envuelve mas del Estamento para impedir se repitan semejantes excesos.” expresión.” Igualmente quedó…</t>
  </si>
  <si>
    <t>…os y to que el hombre que sale de su casa con objeto de atender á las primeras ne mejorarlos. cesidades de la vida puede cometer un exceso, y por eso no ha de privársele « Cuando llegue este caso estarán bien las indicaciones del Sr. Caballero; de aquellos actos que le son necesarios. Que el Estamento ha creidb preparar con pero debo advertir 4 S. S. que esos partes eficiales de que habla, los tienen que alguna anticipación este punto para tratarle después con mas lentitud y con la dar los gobernadores civiles para cumplir lo que les est…</t>
  </si>
  <si>
    <t>…lgunas equivocaciones que dijo haber padecido el los á la censura prévia, y aqui es donde se comete una terrible injusticia con Sr. conde .de Toreno. lo» periódicos. Por la ley de 4 de Enero de 1834 ie declaran libres de censu El Sr. Caballero: «DiBcil y delicada es mi posición tomando ahora la ra las obras que tratan de ciencias naturales, de materias de administración y palabra si he de decir algo de nuevo, después que tamos y tan excelentes ora de economía. \ yo pregunto, ¿por qué á los periodistas-en estas materia* s# dores han manif…</t>
  </si>
  <si>
    <t>…porque, como be dicho antes , cuando esta sotros caer en un error no menos absurdo que funesto queriendo equiparar la habla • todos debemos callar.” * sucesión á la corona con la herencia de un mayorazgo. La primera es la mas Et Sr. Caballero: «Soy del mismo dictámen que la comisión, porque alta dignidad del Estado, y de la cual depende la felicidad ó la desgracia de creo que no estamos en el caso de que ni aun remotamente se sospeche que millones de almas. El segundo es el usufruto de bienes que pueden interesar deseamos asociar nuestr…</t>
  </si>
  <si>
    <t>…ijar las reglas convenientes para hacer la aplicación debida «Ya ha manifestado el Sr. López que por el Estatuto Real 7 Real de aquella base fundamental* Convocatoria no hay motivo para excluir al Sr. Alcalá Galiano: el Estatu El Sr. Caballero: -No tengo que decir mas que dos palabra», qoe é mt to Rsal dice que se han de tener 129 rs- para ser Procurador .* si en alguna juicio probarán lógicamente que de ningún modo se poede aprobar d dicté—</t>
  </si>
  <si>
    <t>…er «Yo bien sé que la comisión en no aprobar los documentos presentados sonas ; pero que tiene una precisión absoluta de proponer su dictamen. ha tenido por único objeto el prevenir los fraudes: conozco las rectas inten ¡«Dice el Sr. Caballero que en todos ios artículos que ba citado se alude ciones de los individuos de la comisión, asi como la de los que se adhieren á al EsTATUTo Real y no á la ley de elecciones. Esto por probar demasiado ella; pero es preciso advertir que cualquiera que sea la especie de documentos ñ'o prueba nada. De…</t>
  </si>
  <si>
    <t>…quedarían en seguridad para' fraguar des «He aqui por qué no conviene decir al pueblo que tiene esos derechos im de su casa la ruina de la patria.” prescriptibles , incontestables, al mismo tiempo que hay que escatimárselos si El Sr. Caballero: ” Me complazco al ver que tanto los Sres. Secretario! me es permitido decirlo asi. del Despacho como los que hemos redactada nuevamente el artículo conveni "¿Protegen igualmente las leyes á todos los españoles! No ciertamente: mos en U esencia de Su principio. Si el objeto de este artículo fuese r…</t>
  </si>
  <si>
    <t>…en casos remotísimos, tristes, dolorosos, en buscarlos de intento: y mucho menos se avendría con esta máxitna saludable el que es necesario atajar el peligro de mayores males. Razones de política, de decir, como ha manifestado el Sr. Caballero, que el reconocimiento de este conveniencia pública y de previsión , hicieron al Gobierno el no concretar el principio y la exclusión de la linea de D. Cárlos se puede hacer con cierta artículo que ahora se discute i la sola persona del Infante D. Cárlos; en cuyo imparcialidad, y sin que parezca li…</t>
  </si>
  <si>
    <t>…Manuel y Chacón, da un ejemplar terrible para los que.intenten seguir las.huellas de la usurpación^ 5errano (D. Gínés), Cezqr, Vifials, Eonel y Orbe, Hubert , Martínez de la, (Qué exactitud hay pues en las ideas que ha vertido el Sr. Caballero respecto á. Ros» . Carrillo Manrique, Pizarro, Heredia, Santafé, Torre y Solanot, Araneste punto! Ninguna; y tomadas ¡sus expresiones en su sentido rigoroso, serian &lt;Ja, Palees, Serrano (D. Francisco), Diez González, Fernandez Blanco, Man peligrosas y nocivas. ✓ tilla, Monte virgen , Fleix, Ciscar…</t>
  </si>
  <si>
    <t>…ran de contravenir á este m¡»mo principio. Se declaró el punto suficientemente discutido, y fue aprobado el artícu Pero i qué significa la palabra libremente? ¿Quiere decir que el Gobierno pue lo en los término* propuestos por el Sr. Caballero. de forzar á las Córtes á que contra su voluntad acuerden una contribución\ ¿O El Sr. Presidente : " Mañana á las diez se reunirá el Estamento para con que el mismo Gobierno puede corromper á los Procuradores para este mismo tinuar U discusión sobre la petición de que se está tratando, y demas *sudlo»…</t>
  </si>
  <si>
    <t>…los 27,28 y 29 detallan las prendas de armamento, vestuario y rador por la provincia de Córdoba, presentando sus poderes y la partida de equipo que han de ser de cuenta del Estado, de los ayuntamientos ó del indi bautismo. El Sr. Secretario Caballero dijo que habiendo determinado el Esta viduo. t mento en la sesión del dia 5 del actual, conformándose con el dictámen de la El art. 30 fija la facultad de disolver los cuerpos, y precave al mismo comisión, que fuese admitido este Sr. Procurador con condición de que presen tiempo el abuso que podría…</t>
  </si>
  <si>
    <t>…qxtrangeros Tal ha sido, ni otro pudo ser, el objeto de los peticionarios: ahora el Sr. Secretario del Despacho de Hacienda. .' bien, - este objeto se ha conseguido! Esto es lo que debemos examinar. Aquí Se leyeron á petición del Sr. Caballero los artículos 13fDy-+S2 del regla hay dos cosas, intentar y conseguir; y no es como en otras materias en que el mento, y se originó un corro y vivo debate, en que el Sr. Presidente manifes Gobierno puede hacer ambas á ia vez. En las cosas interiores del reino el Go tó que el Estamento era árbitro de di…</t>
  </si>
  <si>
    <t>…algún ob cláusula: «los españoles no serán nunca juzgados, sino por los tribunales es jeto de utilidad pública , previa siempre la indemnización competente á juicio tablecidos con anterioridad por la ley.” -de hombres buenos. El Sr. Caballero manifestó que po había en esto mas inconveniente que * El Sr. Caballero manifestó que los individuos que han firmado la petición el de alterar un artículo ya aprobado por el Estameoto. habían convenido en redactar este artículo en la forma siguiente: «Ls propie El Sr. López del Baño propuso que se…</t>
  </si>
  <si>
    <t>El Sr. Caballero: «Las inCfUagi qu# ki.inajo b ftlkhn, tenien- «La Guardia nacional debo tez una dr Iré rmtñmaonrs fismlmsentria , 7 do en consideración que el ErtuMob acogido lo* artículo* anteriores en al en la mayor parte de Las poblaciones en que aer Infla establecí «ia , no solo no concepta de principio* funda…</t>
  </si>
  <si>
    <t>…haber inconveniente en que se agre tiempo que los otros nada perciben ni merecen. Si Jo* servicios se pesaran ect gase su voto al de los demas. . la balanza de la justicia ¡cuán inmensa seria la diferencia entre ellos 1 Sin em El Sr. Caballero expuso la certeza de lo expuesto por el Sr. Medrano, y bargo , los Procuradores no desean sacrificar las clases, ni concitar los odios, en su consecuencia se agregó su voto al de los señores que aprobaron el ar ni los resentimientos: por el contrario, aspiramá que los españoles, hijos deticulo. ' '…</t>
  </si>
  <si>
    <t>…parlamentaria, que. es la Se leyó el acta de la anterior y quedó aprobada. _______________ i__ garqnlía de la verdadera libertad.!!— , -------------— _ ' Se mandaron pasar i ln comisen-rie Poderes lo» testimonios remitidos El Sr. Secretario Caballero leyó el párrafo de que se trataba, reformado por el Sr. Secretario del Despacho de lo Interior de las actas de las elecciones en estos términos: «Los Procuradores del,reino piden á V. M. que se digas siguientes: de la del Sr. D. Joaquina María de Cezar, por la provincia de Cuen tomar en consideraci…</t>
  </si>
  <si>
    <t>…ea después de manifestar también que no había la contradicción in da , que todo nos enseñará las necesidades que haya que cubrir. Viniendo á la dicada. cuestión del momento, diré que á mi parecer no hay necesidad de aguardar á El Sr. Caballero opinó que la adición correspondería mas bien al art. 24 que al que se discutía; y declarado el punto suficientemente discutido, se apro que se presente el arreglo de la deuda interior para entrar en el exámen de los bó el art. 23, y se mandó pasar á la comisión la adición del Sr. Mantilla, re presu…</t>
  </si>
  <si>
    <t>…á continuarse la discusión del de ley, pues para ser voluntaria no ne^itahi presentarle á las Córte». Princi art. 2.° del expresado proyecto de Jcy. pio de derecho público con.titucionul que he oído por primera vez, y con sor El Sr. Caballero: »*Los que tenemos la desgracia ó la fortuna de no estar presa; y sin duda no fue una equivocación, cuan ló después ha sentado ayer la de acuerdo con los Sres. Secretarios del Despacho, e» mdy natural que encon misma doctrina. No sé de dóqde S. S. pueda haberla sacado , pues dudo que tremos poco ac…</t>
  </si>
  <si>
    <t>…la organización de ella en una ley fundamental, como ha entendido S. S. rebatirlos, y tanto mas cuanto se le han hecho no merecidas inculpaciones. La segunda- es que ha creído S. S. que mi discurso induce al restablecimiento «El Sr. Caballero ha sido el primero que ha tomado hoy la paUbra, y ha •«Je las juntas de purificación y calificación. Cabalmente es lo coQtr*rio; pues si 'aludido á que los Secretarios del Despacho en otra época habían sostenido las se admite á todo-., y se exceptúan los que hayan tomado las armas ó incurrido misma…</t>
  </si>
  <si>
    <t>óñmpagjas 4c seguridad, pomo la de movilizsoioa déla Milicia urbana e» T*~ ' "Dijo el Sr. Caballero que eoín el primer.regltméato solo había" Mitiás. «*,una /«y; t en 600 pueblo* ,.y tiña masa rle soto4.i)9 hombres. Pues ahora bien: esie pri mer reglamento so-formó después de tomar infinitos informes.y teccgér noli- ;*«fcpc¡9B .dévla/ «fofo?: fey ,?&lt;* MI?. *® "íí»ái. T &gt; co««&gt; h» dicte /muybien e…</t>
  </si>
  <si>
    <t>…ho der la opinión del Qobnerno. Es cierto que en tiempo de la revolución de tenido mas. móvilmas anhelo que la prosperidad y gloria de mi patrié/* Francia, sin mas que el instinto generoso de defender la libertad, se armarqn .El Sr. Caballero, para deshacer equivocaciones , dijo qué no habia querido los ciudadanos, combatieron como soldado® veteranos, y la toma.de la Basti expresar, como suponía el Sr. Presidente del Consejo de Ministros, que sien lla, acaecida cl dia 14 de Julio., á principios dé la revolución, fue una de las do ia Mil…</t>
  </si>
  <si>
    <t>…a ya tomado posesión de su destino. quisiera que en esta parte no hubiese ni aun discusión; y me lisonjearla extraor £n seguida tomó la palabra y dijo dinariamente el ver por los resultados que al expresarme de este modo no he El Sr. Caballero: «El Estamento recordará que hace dos meses se dió hecho otra cosa que servir de órgano y de intérprete de los sentimientos del cuenta de una petición firmada por suficiente número de Sres. Procuradores, Estamento entero. Creo que ni la política, ni la conveniencia, ni la gene dirigida á que S. M.…</t>
  </si>
  <si>
    <t>…del Gobierno » y mas particularmente la de los Sres. Ministros de lo Interior y Se volvieron á leer los artículos 130, 131 , 132 y 133 del Reglamento. de Guerra» sobre los extremos que ha tocado el Sr. conde de las Navas , y nos Sr. Caballero: «Yo solo quería hacer presente al Sr. Secretario del Des digan cuáles son los males que afligen a Ja Nación» y cuáles las medidas que pacho una observación , sin descender á los argumentos que ha empleado, por ha tomado el Gobierno para remediarlos. que no tengo presentes los artículos del Reglame…</t>
  </si>
  <si>
    <t>…ligeras aclaraciones sirvan para ilustrar y la que recomienda ia naturaleza, la primera que ejerce en nosotros su índuen» acelerar la discusión."’ cia, y la que ellos pretenden eludir. Yo quisiera que aun en la carrera milirar El Sr. Caballero: «Creo que ha aludido á mí el Sr. Secretario de lo In la ley fijase otra edad, pues aunque se fija la edad de 16 años, se puede di pea* terior cuando ha dicho, hablando de las cuotas que ha rebajado la comisión, sar hasta la de 12; y esta carrera se debe principiar antes, unto por empe/arse que no…</t>
  </si>
  <si>
    <t>…s, como oportunamente ha puesto la comisión y adopta No se crea por esto que estoy de parte de los proletarios; de ninguna manera; el Gobierno.” , v y en España, menos que en otras partes , estamos en el caso de decidirnos por El Sr. Caballero leyó el art. 2 ° én tos términos en que fue aprobado ellos: solo indico esta cuestión para que se vea que no se halla resuelta, y no ayer, para manifestar al Sr. Secretario de lo Interior cómo podía concillarse el se parta del supuesto de que lo está. Volviendo á la relativa á los hijos, yo encabez…</t>
  </si>
  <si>
    <t>…o 7 los horrores de una guerra tan prolongada como gloriosa, se había perdido nes, no es una cosa desproporcionada el d-*r 30 á la Rlina de España. } hasta la idea del prestigio Real, aunque no la memoria del Monarca, aun en »»E1 Sr. Caballero, al impugnar el dictamen de la comisión, ha hecho al este tiempo *e creyó que era necesaria aquella suma; 7 las Cortes en Abril, gunas observaciones, que me es forzoso rebatir. S. S. ha empezado por decir cuando aun no había vuelto el Rey á ocupar el trono de sus antepasados, des que ia edad de S.…</t>
  </si>
  <si>
    <t>…que se me atribuya el beneficio; estos siem con S. S. si otros monumentos mas recientes, mas frescos, no me hiciesen apar pre descienden de .mas alto.” tar de esta idea. Convengo en que es sumamente halagüeño conservar las g oEl Sr. Caballero: «Debb deshacer algunas equivocaciones que ha cometi rias en las naciones, en las Familias y hasta en las personas; pero yo pregunta do S. S. respecto de mi discurso. La primera es que no he dado razón alguna ría áS.S.: cuando no se pueden conservar, &lt;ó nb hay intereses bastantes para de por qué me…</t>
  </si>
  <si>
    <t>…e gasto im ■ Él'Sr. Moralit:« Se puede impugnar fácilmente , y mas no haciéndolo porta tanto , tal otro cuanto 8cc.” Se supone que Máyoijue gastar algunos* mi-» 'cOh'la precisión lógica y severa que corresponde en este sitio.1 El Sr. Caballero &gt; llónes en lujo, pues -de esté y de los'demás gastos Oó1-puede prescindir ia Rei ;ha manifestado que yo dije quesin alterar ó atacar la libertad del'país, se po na. Yo ja sé el gran derecho que tiene ei Esfaménto de deliberar sobrolát pfe* día conceder la cantidad propuesta á la Reina nuestra Séño…</t>
  </si>
  <si>
    <t>…ensable que empiece por invertir el órden.que de otro modo debe poner, pues de este'modo 20 rs. es economía, y 1 millón no lo es. hubiera seguido en esta discusión: tengo que anticipar mi voto con respecto al «Lo que ha dicho el -Sr. Caballero nada importa : lo que importa saber es, segunda miembro ó parte que constituye el presupuesto de casa Real, quiero -si. subiendo esos alimentos que se deben dar á la Rtuxa. 4-24 ó á 30 millones, decir, el correspondiente á S. M. la Reina Gobernadora. Nadie estará nunca le quedará algún1 sobrante. P…</t>
  </si>
  <si>
    <t>…epe Consignación del Infante D. Cirios...................................... 1.65u,000 tido el Sr. Arguelles. De esta reflexión deduzco la impugnación á un argu Cuya cantidad se puede rebajar, lo mismo que la siguiente, mento del Sr. Caballero: y aunque no guarde el mismo órden que han segui que es la de su Esposa Daña María Francisca............................... 600,000 do los Sres. Procuradores que han impugnado el dictámen de ia mayoría, al Al Infante D. Francisco........................................................ 1.650,000 que…</t>
  </si>
  <si>
    <t>…ecirse comisio ciones hechas por algunos Sres. Procuradores respecto de este asunto.” : nados, porqué tienen un unto por ciento.” , Se leyó efectivamente'la'primera , que decía: «No conformándonos con el ~ ] Habjeqdo observado el Sr. Caballero que en virtud de la primera adver- voto particular del Sr. Samponts, asi como igualmente no lo fia estado él Es t{nc¡j que Jabía liec}io el Sr. Mrnistro.habia que rectificar en varias partes de tamento con el dietámen de la mayoría de la comisión , pedimos se señale á la ley, y que én'cuanto 4 la s…</t>
  </si>
  <si>
    <t>…a usado en otros asuntos en que hubiera, estado todo se infiere que las razones, alegadas no sp oponen £ que ta suma inas bien. ^ que se designe sea la de 28 millones; y que- esia cantidad es la que en el esta «En tl«discurso del Sr. Caballero ayer, discurso que como todos los de do actual de este asunto merece la preferencia. Tales son ios motivos que me más Honrá áS.S,, ya por su agradable erudición , y ya por ia claridad de sus han impulsado £ suscribir la proposición. Agradezco mas que nunca la indul razones, dijo algunas que me pare…</t>
  </si>
  <si>
    <t>…residente anunció que mañana discutiría el Estamento el dictá— catedráticos. Con respecto á ios individuos de las órdenes religiosas, qqc ha men relativo á la elección del Sr. D. Manuel Villachica, cuyo expediente ha propuesto el Sr. Caballero se excluyan también, es menester tener presente que bía quedado sobre la mesa para que los señores que gustases pudieran enterar de Jos que no son ordcaados, unos están suplo» á los voto» religiosos, como su se de él. cede con los legos, según creo (sin embargo de que no entiendo mucho de eso), En…</t>
  </si>
  <si>
    <t>…ró á jurar y tomó asiento el Si. D. Manuel María de Losada , Procu poner una suma menor, se reputaría un acto de incon.ccucni.ia, aunque el rador por .la provincia de Orense- convencimiento fuera su Verdadero móvil. i; . : El Sr. Secretario Caballero anunció que se iba á leer el proyecto de ley «Otras razones han hecho mas penoso el conflicto en qqo se ha visto. La sobre. adquisiciones í nombre del Estado para ver si estaba conforme con lo comisión ha dudado si en esta ocasión debía ser el intérprete del voto de.la ma aprobado por el Estamento.…</t>
  </si>
  <si>
    <t>…cto por los Secretarios dei Despacho las oportu- ne á los individuos de que se hace referencia por el proyecto de ley. En virtud, - ñas órdenes.’* pues, de todas estas consideraciones la comisión insiste en la necesidad de que El Sr. Caballero: «Estoy enteramente satisfecho, y tanto mas cuanto mi se adopte su adición; aunque en punto á las palabras admitirá cualquiera redac objeto no ha sido inculpar á nadie, sino hacer una advertencia que roe parecía ción que se presente como mas adecuada al objeto.*? natural.*9 El Sr. Cuesta: «En una d…</t>
  </si>
  <si>
    <t>…la discusión sobre el proyecto de ley para la organización comisión, que decía: »los notoriamentemal opixtadósyloa viciosos.” de la Milicia urbana:” ... Verificada la .votación resultó desaprobada, dicha adición por 75 .votos El Sr. Caballero ley0. la petición, y los dictámenes de las comisiones por contra 37, habiéndose abstenido de votar »iol.-(Sr. González (D. Antonjojr que había pasado.,'.y ;qae opinaban no había inconveniente en que se discutiese total 113. . ? ; ,/H en público, sobre-.que.se suprima el impuesto en el vino que paga…</t>
  </si>
  <si>
    <t>…ía ser válida la votación, y sí procederse de nuevo á verificar mos ser ju&amp;ios, y no solo con el Sr. Infante, sino con nuestros comitentes. la nominal. Ahora bien, ¿cuál es láobligación que tienen los españoles con respecto al El Sr. Caballero contestó que la mesa había hecho la pregunta á su tiempo. Sr. Infante? Antes de examinar esta cuestión diré de paso que si no hubiése Péesto á la decisión del Estamento si era válida ó no la anterior vota mos tomado de lenguas extrangeras algunos dictados, afeando la nuestra, rica, ción , se declar…</t>
  </si>
  <si>
    <t>…ión i Uxue, una facción que saKa de Mo En seguida se procedió por el misrro órden al nombramiento de los dos rillo; inmediatamente dispuso que el escuadrón de Borbon y 2t&gt; caballos de ca Secretariossalió electo en primer lugar el Sr. Caballero por 36 votos. No rabineros de costas y fronteras al mando del capitán de atos D. Rafael Midon, habiéndose reunido pluralidad abso'uta de sufragios para segundo Secretario partiesen al galope para lograr su alcance, mientras que la segunda compañía se pioccd ó á segunda votación entre ¡os Sres. Gonz…</t>
  </si>
  <si>
    <t>…es, cuando existen en vuestra Nación créditos in "Ha oido el Gobierno varias reflexiones, á que tal vez tampoco hubiera teriores , reconocidos contra el tenor de esa ley que invoca.s ahora! contestado si no hubiese sido porque el Sr. Caballero ba hecho al ministerio "Ha dicho el Sr. Caballero , rebatiendo un argumento que se ha hecho cierta especie de inculpación directa , aunque con tono urbano y dándonos al el otro día, de que sean nulos los crop.«tilos contraídos en estos diez años, gunos clpgios. Pero como aqui no se trata de las per…</t>
  </si>
  <si>
    <t>…guiemos por otro rumbo el ' bierno francés; convenio celebrado con todas Jas formalidades de costumbe, bajel dil Estado, par ■ qw no perezca también." aprobado, ratificado. ¡Y al cabo de seis años se vuelve á poner en cuestión El Sr. Caballero : «"\o nc he dicho que ios principios restablecidos no ¿Qué fe pública, qué concepto daría al Gobierno español semejante proce los hayan aconsejado á 6. M. los Sres. Ministros , sino que cjco haber oido de der?.... Se dice á esto que ya ha contestado el Sr. Elorez Estrada; pero ó yo cir á dicho* se…</t>
  </si>
  <si>
    <t>…ficada, porque la encuentro mas conforme á la Cádiz, uno de los cargos que se hicieron á la regencia fue el no haber prepa libertad del Estamento.*5 rado un reglamento provisional que sirviera de norma á sus trabajos. No lo tu El Sr. Caballero: "El Sr. Polo y Monge sin duda no ha tenido presen vieron, pues, en sus primeras sesiones aquellas Córtes, que por tanto se vieron te que en la sesión del 4 de este mes, que fue en la que se discutió la anterior precisadas á correr los riesgos inseparables de una reunión que se resentía de petición…</t>
  </si>
  <si>
    <t>…leve, tie .j*jSÜr-ÉsT3tTóTO-prÉAL fija la base del derecho de petición, y solo dice que ne relaciones muy íntimas con puntos de suma trascendencia.” se podrá ejercer, i De qué manera? Según lo determine el reglamento. E^tc fi El Sr. Caballero deshizo una equivocación de hecho. jará las limitaciones ó las ampliaciones en que puede hucerie u-&gt;o de este dere El Sr. Alcalá Galiano: «Cabalmente el discurso del Sr. Secretario de cho. Es elástico, permítaseme decirlo asi, el modo de ejercerlo, puesto que el Estado acaba de revelar una cosa, co…</t>
  </si>
  <si>
    <t>…recae en personas de alta gerarquia, que no necesitan el suil— nidero.” ................... . . dor por tanto considera suficiente medio millón de reales para sueldo dél mis El Sr. Ferrer, para hacer una aclaración: «Creo que el Sr. Caballero y mo. Igual razón ha tenido para reducir los gastos de embajada, pues disminui yo estamos conformes en la idea , aunque Jio en Jas. palabras; y me parece que do el número de los qúe tos producían, deben disminuir aquellos. En cuanto 4 con la' idea que yo he propuesto se consigue mejor nutStro objeto,…</t>
  </si>
  <si>
    <t>…ento; lo que sí puede hacer la junta es nombrar nuevo es El Sr. Polo y Monge pidió la palabra para deshacer una equivocación en crutador y secretario cuando hubiese mas número de individuos. Por último que dijo haber incurrido el Sr. Caballero en la sesión del dia anterior, y ma digo que no considero nula la junta en cuestión por.no haber prestadojura nifestó que el expresado Sr. había ^tribuido al Sr. Aguirre Solarte el dicho de mentó sus individuos.” que en España habla habido dos gobiernos á fines del año, 23: «expresión El Sr, conde…</t>
  </si>
  <si>
    <t>…pción contra el Real fisco, corporaciones y, personas particu exactitud de sus pensamientos, y el vuelo inimitable de su imaginación. La ob* lares, suprimiendo los tribunales privativos de Mostrencos, y mandando que servacion del Sr. Caballero debió herirle en lo mas delicado de la fibra, y olvi ios negocios contenciosos de que estos entienden piasen á radicar en los tribu dando el lenguage insignificante y anfibológico de gabinete, ste manifestó el co nales ordinarios de justicia razón y habló solo el patriota, pero si su explicación pu…</t>
  </si>
  <si>
    <t>…sublevación El Sr. Montenegro'. «Creo que está mejor expresado en*el artículo de la del país. comisión , que habla de esto; y por eso me parece preferible ” Lo mismo sucedió con el art. 17 que quedó aprobado en estos términos: £1 Sr. Caballero: «Me parece que podría concillarse todo combinando lo Art. 17. Se entiende por servicio ordinario el que se presta dentro de las propuesto por el Gobierno con lo que quiere la comisión, y diciendo que los poblaciones y término de su respectiva jurisdicción ordinaria: su duración no consejos propusi…</t>
  </si>
  <si>
    <t>…no riene inconveniente en;admitirlo.” Justicia la considero de la mayor importancia para la retolucion-dcl Estamen En seguidb fue aprobado dicho párrafo. to ; pues no hay partes oficiales, si bien son noticias positivas.” El Sr. Secretario Caballero: «El Gobierno presenta otro presupuesto de El Sr. conde de las Navas dijo que se reservaba el Hacer por escrito la los gastos del cuerpo diplomático cuando todas las legaciones caten completas. proposición qué habiaátídicado .Guacido se rscibiesen lúa partes ..oficiales, y pi El Estamento decidirá.…</t>
  </si>
  <si>
    <t>…uficientemente casi esencialmente militares, no basta que vaya un simple diplomático; con discutido, y se decidió que sí. viene que vaya gente de aquella carrera; y para no hacer un papel desairado, Habiendo leído de nuevo el Sr. Secretario Caballero el párrafo relativo á ha de buscarse quien tenga graduación superior como la de generales, pues si no Viena, S. Petersburgo y Berlín, hubo un ligero debate para votar sobre qué no podrían alternar en muchas ocasiones, y la Nación perdería por una econo debía recaer la votación, quedando al fin apro…</t>
  </si>
  <si>
    <t>…mas.” hecho mérito alguno; y por consiguiente tanto valdría el que retirase esta par Declarado en seguida este asunto suficientemente discutido, dijo te de su dictámen. En ella, entre otras cosas, había sometido á la considera El Sr. Caballero: «Para votar debo hacer presente, en primer lugar, que ción del Estamento la necesidad de que se formase una tarifa, tomando por el consulado de París, que el Sr. Presidente dtl consejo de Ministros ha dicho base un quinquenio, con el objeto de que este trabajo pudiese servir én la le que cst4jupri…</t>
  </si>
  <si>
    <t>…estas propuestas, y aciasado el.asuntO iPor -medio da contra de él. Ademas de esta prueba tenemos otra demostración de lo mismo. la discusión , pregunto yo al Estamento: &lt;no se ba llenado.el .objeto que se Cuando oportunamente el Sr.-Caballero leyó el otro día la lista de los señores propone el reglamentos El objeto de este es que se discutao¡les metCf¡as pa que habian pedido la palabra en pro y en contra, y resultaron ser de los pri ra ilustrarlas: lo que aqui se ha discutido no ha sido el proyecto de ley del meros el Sr.,Montevírgen ,…</t>
  </si>
  <si>
    <t>…inisterio, quedarán suje «En cuanto á los jóvenes de lenguas ó agregados, veo que »e les da una tas á las reglas generales que se establezcan.” ventaja que no tienen eít ninguna otra carrera. Ademas de ser brillante de por El Sr. Secretario Caballero: «Respecto á que el Sr. Presidente del con sí la que abrazan, se les abonan los viages, y yo no veo ninguna razón de jus sejo de Ministros y otros Sres. Procuradores que han hablado en esta difusión, ticia para hacerlo asi. Yo pregunto, si á un empleado que He Cádiz vaya á la han convenido en la id…</t>
  </si>
  <si>
    <t>…ad "con que ayer se concedió li sin embargo hicieran sus proposiciones; mas hasta el dia no se han presentado cencia á un Sr. Procurador, no por un mal personal, sino por otro motivo á ejecutarlo.” que le llamaba la atención.” El Sr. Caballero: «Yo creo que no nos debe ocupar la cuestión de si El Sr. Acevedo : «Mi ánimo no ha sido atacar al Sr. Latorre; yo ha. será mas ó menos costoso el diario propuesto, porque todavía no lo sabemos. hecho reflexiones generales.” La Redacción de la Gaceta cuesta lo menos 833 rs., porque tiene ocho taquí…</t>
  </si>
  <si>
    <t>…ión hacia este ramo, sujeto como todos á su direc bada, mandando insertar en ella los votos siguientes i los de los Sres. Redondo ción y vigilancia.” . y López del Bafio, contrarios á la resolución tomada ayer por el Estamento El Sr. Caballero: «Me parece que no es enteramente exacto lo que aca sobre el sueldo de los Sres. Vocales del consejo de Gobierno i y los de los ba de decir el Sr. Secretario del Despacho de Estado. Que la contribución vo Sres. Pizarra, conde de las Navas, Istáriz y Acuña, contrarios á la relativa á luntaria para l…</t>
  </si>
  <si>
    <t>…reclamó se inscribiese su nombre en la lista de los Señores leyóse y quedó aprobada el acta de la sesión regia celebrada en el dia de Procuradores que lo hicieron. Se recti6có esta lista atendiendo á la reclamación. ayer. Eii Sr. Secretario Caballero leyó el artículo U del Reglamento, y en &amp;u En seguida se formó una lista nominad de los Excmos. Sres. Proceres asis consecuencia juraron en la forma que previene los Sres. Martínez de la Rosa, tentes í esta sesión, dando cada uno su nombre desde el asiento que ocupaba. conde de Toreno, Otazu y Sand…</t>
  </si>
  <si>
    <t>…la Nación española se admita hasta la deuda del una persona de este modo? Ha dicho también que no existía la ley recopilada, empréstito de Guebhard.” que estaba sustraída de los códigos, y que cómo la habian.de saber los extraoEl Sr. Caballero : «Después que 40 Sres. Procuradores han hablado sobre geros.si había muchos nacionales que la ignoraban. Esta ignorancia podría valer esta importante cuestión, no molestaré al Estamento, ni me detendré en repro ha&gt;ta el año 8 ó 9; pero no desde que en las Córtes del año 12, en las del 20* ducir la…</t>
  </si>
  <si>
    <t>…comunicación oficial, y habiendo ob— roejta 12. servado el Sr. Presidente que debían dichos Sres. Procuradores expresar por que No hubo elección, pues ninguno de dichos Sefiores reunió la mayoría de provincia optaban, contestó el Sr. Caballero que asi lo habían hecho ya dos 38 votos necesarios, y solo tuvieron los siguientes: Sr. Belda 27; Sr. Chacón de Jos que se expresaban, y Jo harían Jos demás aJ presentar sus poderes. 18 ; Sr. Diez González 9; Sr. marques de Espinardo 14» f Sr. marques de Tor Un Sr. Procurador tomó la palabra piara…</t>
  </si>
  <si>
    <t>…ué as El Sr. Beldó: «La secretaría no se ha creído jamas con facultad para pecto viene esa representación al Estamento de Sres. Procuradores,” resolver por sí los asuntos del G.»b*erno. Se le remil en muchas exposiciones di '■ El Sr. Caballero-. »La secretaría ha creído que i una solicitud que ha rectamente , ya sobre poderes, ya sobre otras cosas diferentes; y sin úna reso recibido por el correo se la debía daccuiso.” lución del Estamento se verá embaraza ia, y no podrá dar cuenta mas que de El Sr. Secretario del Despacho de Estado: •&gt;Esos in…</t>
  </si>
  <si>
    <t>…adición. He dicho, y no quiero molestar mas la atención del Esta timar deudas-,contraer otras &amp;c. &amp;c¿. Yo creo que esto no es tan cierto como mento.” parece ájprimera vísta; todos los que hemos vivido algunos años hemos visto El Sr. Caballero: «Respecto al acuerdo de ayer, sabe muy bien el E&gt;- ciertos actos~que prueban que cfGobicrno español ha sido- siempre una-monar tamento que se hizo después de haber preguntado el Sr. Rodríguez Paterna y quía moderada, y que no fue absoluta hasta el año 1823 en qué se entronizó otros Sres. Procurado…</t>
  </si>
  <si>
    <t>…el punto suficientemente discutido, se leyó el art. 96 del ror petabras acerca de la opinión del Gobierno sobre este artículo. El Estamento glamento. * ' ba tenido por conveniente desechar el 'empréstito de Gucbhard; por consi El Sr. Caballero dijo que el artículo que acababa de leerse era relativo á guiente han variado mucho las circunstancias desde que el Gobierno ha pre los proyectos de ley, y que á su entender no tenia aplicación basta que el Es sentado su primer prorecto hasta hoy. Se ha descargado por consiguiente á la tamento deci…</t>
  </si>
  <si>
    <t>…no ¡habiendo quien tuviese la cuanto á la bija que han experimentado los fondos españoles en el extrangero» palabra en pró, ¡ba á hablarse en contra. I Dícese ¿por qué no previó el Ministro de Hacienda lo que cualquiera podía El Sr. Caballero: -Al levantarme para impugnar el artículo, nó se crea hiber previsto? El Mín siró de Hacienda previó muy bien que su proyecto que voy i propender á contradecir lo indicado por varios señores preopinan produciría gran baja en la bolsa de París; pero no creyó que asi fuese lo mis tes , es decir, que…</t>
  </si>
  <si>
    <t>( htcén aborrecida; pero el segundo punto es mas delicado, porque ya no tiene El Sr. Caballero : «¿El Estamento decide que se proceda á la votación de «1 carácter de contribución ó exacción, peculiares del Estamento y de las Cor la petición en su totalidad? ” Asi se aprobó. tes , sino que se trata de ¡ntcre&amp;es particulares del que debe y del que exige ó Acto continuo preguntó el mismo Sr. Se…</t>
  </si>
  <si>
    <t>…i, pues, en mi con ciado á la civilización, reconocen siempre en lo* individuos que componen la cepto r.o se ha debido .dar cuenta de este asunto.” sociedad el derecho de celebrar las transacciones y contratos que no pueden de El Sr. Caballero-, "El artículo que se ha lodo del reglamento , concer jar de existir sin que esta misma sociedad perezca, coa arreglo á las leyes que niente á fas peticiones, no tiene nada que ver con lo que se acaha de leer. la rigen en el momento que contratan: ■ este principio tutelar desaparece del Cuando tendr…</t>
  </si>
  <si>
    <t>…qué te han segregado en gran número Por lo tanto, para ilustración del Hacienda; pero no votaré esa economía que se mira como DO'realizabie.” EctamentO,-qu¡siera se especificasen los gastos de tas secretarías de que tratamos.” El Sr. Caballero: «Yo creo que la cuestión está reducida á pontos muy - El Sr': Rodríguez Vera: «La curiosidad del señor preopinante, que es sencillos: primero, \ los torreros son necesarios ó'no ? segundo, &lt; deben supri muy justa, quedará satisfecha con la mera lectura del dictámen de la comisión, mirse desde lueg…</t>
  </si>
  <si>
    <t>Caballero'</t>
  </si>
  <si>
    <t>…aba Presidente y una junta que las dirigiera como totora , para que no se los artículos defectuosos del reglamento, á fin de que se corríjan.'” ' descarriasen. Nada esencial contenía el reglamento mas que la etiqueta': seña- . El Sr. Caballero'. uNo puedo menos de rectificar un hecho á que se ha Jaba el asiento qüe correspondía á cada ciudad, y el órden en que debían ha referido el Sr. marques dé Falces al combatir la cuarta razón de la petición. blar. Comparemos ésto con Iá libertad de que hoy gozamos, y veremos si me » AI hablar S. S. de…</t>
  </si>
  <si>
    <t>…e fundamentales, son las que descansan en la piedra viva , y forman el ci Preguntado si estaba el punto suficientemente discutido, se declaró que sí. miento de la sociedad; son las piedras gngulaies á las que rara vez se toca, El Sr. Caballero'. «Los peticionarios, en vista de lo que ha dado de sí pues siempre es peligroso hacerlo. En la actualidad son, por ejemplo, leyes fun esta discusión, dirigiéndose siempre á los resultados, y no parándose en que las damentales de España las que fijan el Gobierno en un poder monárquico, palabras sean estas…</t>
  </si>
  <si>
    <t>Caballero, Andrés</t>
  </si>
  <si>
    <t>Andrés Caballero</t>
  </si>
  <si>
    <t>…ja de Amortización; D. Domingo Sargento primero.................... 1 ^e Torres, director de Tentas provinciales; D. Joaquín Liaño, in Una compañía. . . Sargentos segundos.............................. 4 tendente general mili.ar; D. Andrés Caballero, director del banco Cabos primeras, incluso un furrieL 8 de San Fernando, y D. Julián Aquilino Perez, director del Real Cabos segundos..................................... 8 tesoro. Tambores................................................ 2 3? Dará esta comisión su dictamen en el preciso término de…</t>
  </si>
  <si>
    <t>Caballero, Angel</t>
  </si>
  <si>
    <t>Angel Caballero</t>
  </si>
  <si>
    <t>…ircular, que no puede apli gentilhombre de cámara con entrada D. José Marfa Lima; Lie. D. Francisco carse sino á ¡as que tienen relación con mi ministerio á causa de la naturaleza José de Quesada; el alcalde de la Santa hermandad D. Angel Caballero; Doét de sus trabajos. Mariano González; D. Gregorio Almeida, nosotros y varias personas mas: «O* suplico además que me hagáis saber-* !.°S¡ existen en vutótro depar y por Ja listá que tema en su poder de todos los pobres de solemnidad y ver tamento otras sociedades sábias, de cualquier género que…</t>
  </si>
  <si>
    <t>Caballero, Antonio</t>
  </si>
  <si>
    <t>Antonio Caballero</t>
  </si>
  <si>
    <t>…órden, comunicando, para evitar cia, y por Real orden de 7 del mismo se puso 4 disposición suya la fragata nuevas dilaciones, vuestra resolución á mi enviado D. Luis Fernandez de Cór de guerra Lealtad. doba , y en ausencia suya á D. Antonio Caballero , que tiene las instrucciones Esta medida que dictó al parecer un exceso de bondad y de prudencia de necesarias para llevarla á ejecución. Yo miraré cualquiera excusa ó dificultad .parte del Monarca, solo sirvió para corroborar el concepto de la tenacidad con que demoréis vuestra elección ó vuestro…</t>
  </si>
  <si>
    <t>Caballero, D Fermín</t>
  </si>
  <si>
    <t>D Fermín Caballero</t>
  </si>
  <si>
    <t>…te.bos réiüOSrSeyán los que necesiten nuestro apoyo* Pero «es poco no tener ene Sr. D. José Zorrilla y San Martin , marques de la Gándara, propietario! migos á Jos costados ni detras de sil La situación de la Espada y el Portugal Sr. D. Fermín Caballero, propietario.con respecto i la Francia hace que.su enemistad ó malevolenciaaea muy peligro Sr.-D. Miguel Calderón de la Barca, propietario.sa .para nosotros; porque pueden hostigarnos par el Mediodía, mientras nosotros Sr. D. Antonio Martcl y Abadía, propittarib.tenemos que defendernos por el Norte…</t>
  </si>
  <si>
    <t>…desbarató los planee Excmo. Sr. conde de Toreno. &lt;de Macdona1d, y éste , despachado, y. habiendo propuesto sin fruto lo mismo Sr. D. Gipés María Serrano, que antes había aconsejado Bourmont, resignó el mando, y desde entonces des Sr. D. Fermín Caballero. apareció toda disciplina , y el ejército cafó en la mas espantosa dcsmoraliza- Sr. D. Vicente Cano Manuel y Chacón. ciop- ia rapiña y la violencia fueron Meyadas al exceso: los proveedores de ví Sr. D. Mateo Bel monte. veres-robaban al pueblo; los oficiales superiores robaban al soldado, y este ro—…</t>
  </si>
  <si>
    <t>…El Estamento concedió licencia de dos meses al Sr. D. Agustín García cualconstaránno debende 200;ser númeromas quedemasiadode lUO. grandeAsi, pues,para lacreotácticadebeespañola,fijarse su segúnnúmeroia de Atocha, y de 15 días ai Sr. D. Fermín Caballero , para arreglar sus asun de 40 á 60.” tos domésticos. El Sr. Palarea: «Yo no entraré en la cuestión de la1 fuerza que deben La comisión de Poderes dió cuenta de haber examinado los del Sr. E&gt;. Ra tener las compañías de caballería: nosdtros hemos considerado que esta fuerza fael Cabanilles, electo P…</t>
  </si>
  <si>
    <t>…ada Sr. X). Ramón Ciscar por-las de Barcelona, Lérida y Tarragona. uno de estos nombres había reunido S. 3. Sr. conde de Toreno por las de Cuenca y Oviedo. Se procedió á la segunda votación entre los Sres. Procuradores que habían Sr. D. Fermín Caballero por las de Madrid y Cuenca. obtenido mas de 11 votos, según previene el reglamento; y fueron los siguien Y Sr. marques de VillacatapO por las dtp Burgos y Salamanca. tes: Sres. Belda 27 ; Chacón 21; Diez González 13; Espinardo 12 ; y Torre1 El Estamento quedó enterado de esta comunicación oficial,…</t>
  </si>
  <si>
    <t>Caballero, Fermín</t>
  </si>
  <si>
    <t>Fermín Caballero</t>
  </si>
  <si>
    <t>…os réiüOSrSeyán los que necesiten nuestro apoyo* Pero «es poco no tener ene Sr. D. José Zorrilla y San Martin , marques de la Gándara, propietario! migos á Jos costados ni detras de sil La situación de la Espada y el Portugal Sr. D. Fermín Caballero, propietario.con respecto i la Francia hace que.su enemistad ó malevolenciaaea muy peligro Sr.-D. Miguel Calderón de la Barca, propietario.sa .para nosotros; porque pueden hostigarnos par el Mediodía, mientras nosotros Sr. D. Antonio Martcl y Abadía, propittarib.tenemos que defendernos por el Norte…</t>
  </si>
  <si>
    <t>…arató los planee Excmo. Sr. conde de Toreno. &lt;de Macdona1d, y éste , despachado, y. habiendo propuesto sin fruto lo mismo Sr. D. Gipés María Serrano, que antes había aconsejado Bourmont, resignó el mando, y desde entonces des Sr. D. Fermín Caballero. apareció toda disciplina , y el ejército cafó en la mas espantosa dcsmoraliza- Sr. D. Vicente Cano Manuel y Chacón. ciop- ia rapiña y la violencia fueron Meyadas al exceso: los proveedores de ví Sr. D. Mateo Bel monte. veres-robaban al pueblo; los oficiales superiores robaban al soldado, y este ro—…</t>
  </si>
  <si>
    <t>…existencia de este Ministerio. No se de la junta electoral celebrada en Madrid , nombrándose Procurador á D. Se- rá , pues, un cuadro acabado el que voy á leer, sino solo una colección de de Teriano Paez Jaramillo en reemplazo de D. Fermín Caballero y la celebra seos y votos de un ministro amante de su país, que los presenta á los Procura da en Salamanca, nombrándose Procurador á D. Francisco Crespo Rascón en dores del mismo. Les presenta las ideas que cree convenientes para ia felicidad el del Sr. marques de Villacampo; remitidos ambos por el Gobi…</t>
  </si>
  <si>
    <t>…stamento concedió licencia de dos meses al Sr. D. Agustín García cualconstaránno debende 200;ser númeromas quedemasiadode lUO. grandeAsi, pues,para lacreotácticadebeespañola,fijarse su segúnnúmeroia de Atocha, y de 15 días ai Sr. D. Fermín Caballero , para arreglar sus asun de 40 á 60.” tos domésticos. El Sr. Palarea: «Yo no entraré en la cuestión de la1 fuerza que deben La comisión de Poderes dió cuenta de haber examinado los del Sr. E&gt;. Ra tener las compañías de caballería: nosdtros hemos considerado que esta fuerza fael Cabanilles, electo P…</t>
  </si>
  <si>
    <t>…Sr. X). Ramón Ciscar por-las de Barcelona, Lérida y Tarragona. uno de estos nombres había reunido S. 3. Sr. conde de Toreno por las de Cuenca y Oviedo. Se procedió á la segunda votación entre los Sres. Procuradores que habían Sr. D. Fermín Caballero por las de Madrid y Cuenca. obtenido mas de 11 votos, según previene el reglamento; y fueron los siguien Y Sr. marques de VillacatapO por las dtp Burgos y Salamanca. tes: Sres. Belda 27 ; Chacón 21; Diez González 13; Espinardo 12 ; y Torre1 El Estamento quedó enterado de esta comunicación oficial,…</t>
  </si>
  <si>
    <t>…es, opinaba debía probar la condición 2.a, y la sesión celebrada el 26 del corriente salieron electos secretarios del rrmmo mejorar la 3-*; y que hallándose en igual caso el Excmo. Sr. marques de Casloe Sres. D. Antonio González, D. Fermín Caballero, D. Tele&amp;foro Trueba telar , podía admitirse á jurar á dichos Excmos. Señores, bajo la condición de y\Cosío, y D. Francisco Beida. cumplir con estos dos extremos; lo que aprobó el Estamento. Otro del limo. Sr. obispo de Huesca, excusándose de asistir á las sesiones El Sr. Presidente dijo, que media…</t>
  </si>
  <si>
    <t>Caballero, Ferriiin</t>
  </si>
  <si>
    <t>Ferriiin Caballero</t>
  </si>
  <si>
    <t>…P. de ra ahorrar gastos» después se concedieron por unanimidad los 400 millones» V. M. = Conde" de Alínodovar , presidente. =: AÓtonio González, procurador basta cón Ja franqueza de no tomar en consideración las adiciones que so secretario. = Ferriiin Caballero , Procurador secretario.=Tclesforo de Ttueba ., hicieron» una sobre preferir para los empréstitos á ios españoles» y otra para Cosío, Procurador secretario =Franciíco Bclda y Asensio, Procurador secreta «que se negociasen las ¿cerones en Madrid; acordándose asimismo que no se ex rio. = fes copia.=G…</t>
  </si>
  <si>
    <t>Caballero, Gerónimo Manuel</t>
  </si>
  <si>
    <t>Gerónimo Manuel Caballero</t>
  </si>
  <si>
    <t>…, rubricado de la Real inano.=Aranjuez 27 de Abril de 1854.= clarar hallarse muy satisfecha.A D. Tomas Lobo. Rara formar la dotación de ministros de la Real audiencia de Madrid, he venido en nombrar á D. Joaquín de la Escalera; á Don Gerónimo Manuel Caballero; á D. Ramón Vicente; á D. Fermín PARTE NO OFICIAL. Gil de Linares; á D. Juan Modesto de la Mota; á D. José Alonso; á D. Fra neisco Verea y Cornejo; á D. Francisco Crespo y Rascón y NOTICIAS EXTR AXGERAS. á I). Miguel Moreno, que lo son de la misma; á D. José Francisco ValtléS y Posada, oidor decano…</t>
  </si>
  <si>
    <t>Caballero, Hilario García</t>
  </si>
  <si>
    <t>Hilario García Caballero</t>
  </si>
  <si>
    <t>…r Real orden de 31 de Octubre último se ha servido S. M. la Reina ministración de correos de Toledo á D. Manuel Sánchez: la de interventor de Gobernadora aprobar el establecimiento de una carrera de medias postas desde Alicante á D. Hilario García Caballero: la de igual clase de la estafeta de Burgos á Medina de Pomar y Villarcayo por el nuevo camino de Bercedo, Albacete á D. Valentín Capitán: la de oficial 2? de la principal de Manza cuya disposición dure ínterin la urgencia de tete servicio extraordinaria. nares á D. José Sánchez Sandino r y la de 3…</t>
  </si>
  <si>
    <t>Caballero, Jacinto</t>
  </si>
  <si>
    <t>Jacinto Caballero</t>
  </si>
  <si>
    <t>…s demás por el resto de la sierra—j___ __________ ______ _ frutaba dé cabal salud. ' Según el parte del comandante de armas de Antequera, con relación al PROVINCIA de valencia. que le da el 7 del actual el comandante de escuadrón D. Jacinto Caballero, an daban por la sierra como unos 20 hombres, .que para capturarlos salieron los Con fecha 9 del actual dice su gobernador civil que tenia esperanza de Urbanos de Ardales y otros pueblos con tropa del regimiento de caballería de que aquella capital se viese libre de la enfermedad que la afligía: re…</t>
  </si>
  <si>
    <t>Caballero, José Agustín</t>
  </si>
  <si>
    <t>José Agustín Caballero</t>
  </si>
  <si>
    <t>…jjebntrii d» la*cienciasü ñados Asi Principe Guillermo, hijo del Rey, del Principe hereditario de Ru ALpié del retrato sa Iceetfaioferipcien latina , escrita por el escfattccádo; na, y del&lt; Príncipe Alberto. ¡ ' cuanto^rudito Dr. D. José Agustín Caballero r . - Por la noche asistió toda la corte al baile de suscripción; el Emperador ¡pmPer-mtHentrm lU¿ttrisimnm§mt IX 0. D. Janntctm Jpb. Díaz. iba vestido efe paisano, sin otro distintivo mas que/una decoración c* el fita £ epoda et Randa , bujnt Habemensis Peeieiiapraeupm eolnuHediamm.' Qmtú%tmfdd*Ut…</t>
  </si>
  <si>
    <t>Caballero, Manuel Antonio</t>
  </si>
  <si>
    <t>Manuel Antonio Caballero</t>
  </si>
  <si>
    <t>…ompani, (I) La división judicial de partidos, coo expresión de los pueblos que D. Marcelino de la Torre, D Ramón Macia de Lleopart, Don cada uno de aquellos comprende, y de su población respectiva, se ven Diego Martin Villodres y D. Manuel Antonio Caballero. Y para derá por separado en la imprenta Real desde el dia que se anuncie en fiscal del propio tribunal á D. Angel Casimiro Govantes. Ten- la Caceta.</t>
  </si>
  <si>
    <t>Caballero, Manuel Isidoro Romero y</t>
  </si>
  <si>
    <t>Manuel Isidoro Romero y Caballero</t>
  </si>
  <si>
    <t>…picio y table si se le protege como es debido. una cárcel; y. espera conseguir que el ayuntamiento de Bouzas cobre un legada Se ha puesto de acuerdo con él gobernador de la plaza , y el capitán gene de 1U9 pesos fuertes, que dejó D. Manuel Isidoro Romero y Caballero pora ral del principado , para evitar la tala de los grandes bosques del monasterio de fundar un hospital. Poblé!, hecha por los habitantes de los pueblos vecinos, y conservar esta pre Ha hecho que Jos presos ya sentenciados salgan para sus destinos, y qUe lot ciosa riqueza , que tanto va escaseand…</t>
  </si>
  <si>
    <t>Caballero, Sfecrótarió</t>
  </si>
  <si>
    <t>Sfecrótarió Caballero</t>
  </si>
  <si>
    <t>…lar err que a* refiere esto mismo que acabo de* decir.” / ■ ^ ■ prest igó, al gritó: de viva Isabel II* No van los soldados al combate pensando en esa aureola de:Oro, m'en carrozas brillantes, sino co el prestigió que-para : - El Sr. Sfecrótarió Caballero leyó el. segundo párrafo del voto-particular del Stv Samponts, que dice: «Hasta ahora no se nos han presentado datos....2* ellos tiene lá'que ba hecho cesar las calamidades de la Nación., y asegurado su Suerte futura» restableciéndoles la libertad y las leyes. En esta parte, nó solo y) contmuó=- ;…</t>
  </si>
  <si>
    <t>Caballeros, Jerez de los</t>
  </si>
  <si>
    <t>Jerez de los Caballeros</t>
  </si>
  <si>
    <t>…isterio de Estado. Piedtahjta. 4 ' i . , ' , ' *, Badajoz. Aítnendralejo, Badajoz, Castuera, Don Benito, Fregenal de la Comandancia general de la proviriciz de Toledo.—Ezcmov Sr.: Los' parles Srerfr, Fuente de Cantos, Herrera del Duque , Jerez de los Caballeros, Llere— de los comandantes de las diversas columnas én persecución de 'facciones me tu, Mérid*, Olivehza,"Puebla/de Alcocer, Villanueva de la Serena, Zafra. confirman la seguridad dé no existir ninguna propiamente dicha. Dos docenas Barcelona. Arenys dé Mar, Barcelona , Berga, Granollers, Igualada,…</t>
  </si>
  <si>
    <t>Caballerp</t>
  </si>
  <si>
    <t>…para oponerse á las justas reclamaciones'de los pueblos; pero no por eso « veniencia pública. aquel principio menos seguro y provechoso cuando se reúne la legitimidad del «Estas razones de política y de conveniencia (ha dicho el Sr. Caballerp) trono con la justa libertad de las Naciones. no son bastante firmes y podéroste: porque, ¿ quién nos dice que algún día no «Entonces se ha logrado el complemento de la firmeza y estabilidad en podría convenir que reinase algún hijo del Infante D. Cárlos? ¿Quién nos dice que deben descansar las ins…</t>
  </si>
  <si>
    <t>Cabaltero</t>
  </si>
  <si>
    <t>!;cjcpra*a ptoposieioii q«y be tenido «1 honor de presentáral Bar to quepÉá'ubia el que ve tomaseaotes en consideración U^própostcíon que re clamaba. Ek Sr. Cabaltero:*?Gomó iodivídttpde Lt mesa^ voy k responder á tío» - En seguida el Sr, Presidente mandó leer la expresada proposición del sein&amp;lpidotaq*e -sfcáe ha hecho , y quc puedc haber «afluido en ei ánimódei flor conde de fot'Nava*, que ya queda inserta. 'públicoyjderde lo»"Si^:‘ ^ Habiéndole Tíc&amp;mido ée hu…</t>
  </si>
  <si>
    <t>Cabañero, Gerónimo Alanuel</t>
  </si>
  <si>
    <t>Gerónimo Alanuel Cabañero</t>
  </si>
  <si>
    <t>…lás Alaría GareHy. ría GarellyPara uniformar todas las audiencias del reino al tenor de lo Para la plaza de la Real audiencia de Madrid, vacante por fa dispuesto para la de Madrid, he venido en mandar, que desde el llecimiento de D. Gerónimo Alanuel Cabañero, nombro á T&gt;. J-isé año próximo de 1835 los ministros de aquellas entiendan indistin- Cecilio de La Rosa, oidor de la de Sevilla: para esta plaza á D. Fe- - tamente en negocios civiles y criminales, formándose sobre esta base lijie Urbina y Daoiz, alcalde del crimen de la de Valencia; y para el arr…</t>
  </si>
  <si>
    <t>Cabanes, José Mariano</t>
  </si>
  <si>
    <t>José Mariano Cabanes</t>
  </si>
  <si>
    <t>…o Doña María, por la gracia de Dios, Reina de Portugal, de los Al- presidente de la de Málaga á D. Antonio Bresca, y vicepresidente de la de garbes, y sus dominios, saludo á V- M. I. como á persona á quien sobre todas Barcelona á D. José Mariano Cabanes. amo y aprecio. Deseando dar á V. M. I. un testimonio público del vivo amor, respeto y gratitud, que consagro y tributo á ¡a augusta persona de V. M. I., También se ha servido S. M. nombrar secretario de la junta de comercio ya como hija cariñosa, y ya como Reina de Portugal, que al esforzado valor…</t>
  </si>
  <si>
    <t>CabaníHas, D Rafael</t>
  </si>
  <si>
    <t>D Rafael CabaníHas</t>
  </si>
  <si>
    <t>…nvencimiento, para emitir mi voto en honor y justicia respecto á la ley so Interior, de que resulta haber sido electo Procurador por aquella provincia el bre reconocimiento de la deuda extrangera, y nuevo empréstito de 4.UÓ millo Sr. D- Rafael CabaníHas. nes. Al decidirse este negocio en el Estamento á que tengo el honor de perte Se d.ó cuenta de un oficio del Sr. Presidente del Consejo de Ministros, necer, mi voto hasido que debía y deben reconocerse todos los empréstit o he con que remilia 4 los Sres. Secretarios del Estamento una copia del Real…</t>
  </si>
  <si>
    <t>Cabañil, Antonio Jóte</t>
  </si>
  <si>
    <t>Antonio Jóte Cabañil</t>
  </si>
  <si>
    <t>…figuran en la historia del autor. —Observaciones sobre la historia natural, ge-&gt;s*--fia. agricultura * población y fruto* velas históricas dc Meüm son bastante interesantes: las ó!timas procíuccioncs dc del'reino deYalencia; por D. Antonio Jóte Cabañil les. Dos romos en Folio, edición «ste autor son: Ana Rritnix., la Cantarína ¿e Wrdrs‘víirt , las Honieílas jir dé 179$ , adornados de 10 mapas particulares, y uno general de todo el reino, y 42 es Askersuñd, Gustavo Braktireú -‘" " ' ' tampas &lt;jue representan las principales poblaciones* y aJgunas…</t>
  </si>
  <si>
    <t>Cabañil, D Rafael</t>
  </si>
  <si>
    <t>D Rafael Cabañil</t>
  </si>
  <si>
    <t>…apital de es ELECCION DE PROCURADORES DEL REINO. \ ta provincia 18 personas, curaron li y quedaban 34 enfermas: en el hospital PROVINCIA DE CIUJIAO—RE AI. de coléricos de La misma ciudad no existían el dia 27 mas que 19 enfermos, Sr. D. Rafael Cabañil las. inclusos los convalecientes: en los pueblos de los partidos de Alcira y Murviedro disminuían mucho los estragos del cólera. S. M. la Reina Gobernadora, por Reales decretos, se ha servido sepa PROVINCIA DE VALLADOtm. rar de sus respectivos destinos á D. José María Tejero, alcalde mayor de Talavera d…</t>
  </si>
  <si>
    <t>Cabañil, Rafael</t>
  </si>
  <si>
    <t>Rafael Cabañil</t>
  </si>
  <si>
    <t>…al de es ELECCION DE PROCURADORES DEL REINO. \ ta provincia 18 personas, curaron li y quedaban 34 enfermas: en el hospital PROVINCIA DE CIUJIAO—RE AI. de coléricos de La misma ciudad no existían el dia 27 mas que 19 enfermos, Sr. D. Rafael Cabañil las. inclusos los convalecientes: en los pueblos de los partidos de Alcira y Murviedro disminuían mucho los estragos del cólera. S. M. la Reina Gobernadora, por Reales decretos, se ha servido sepa PROVINCIA DE VALLADOtm. rar de sus respectivos destinos á D. José María Tejero, alcalde mayor de Talavera d…</t>
  </si>
  <si>
    <t>Cabanill, Domingo Fernandez y J Abranlo José</t>
  </si>
  <si>
    <t>Domingo Fernandez y J Abranlo José Cabanill</t>
  </si>
  <si>
    <t>…ón para apoyar sus opiniones. - ftfdá cófr 153 rs. anéales, siempre que baya fcumplido con sus deberes. Estos se ------Anales de historia natural, redactados de órrfen superior por los Síes. T&gt;. Cristiano Herrgen, ». Luis Proust, D. Domingo Fernandez y J&gt;. Abranlo1 José Cabanill*. rán asistir en las enfermedades de medicina y cirugía á todos los empleados del adornados de muchas y pwiosas laminas que facilitan la inteligencia de los diferentes * Real Sjtiq^ íus mttgtfres é hijos, lo mismo que á los dependientes de pinares puntos de quextatan. Son 21 eparfernos en 4.» Toda…</t>
  </si>
  <si>
    <t>Cabanillas, Rafael</t>
  </si>
  <si>
    <t>Rafael Cabanillas</t>
  </si>
  <si>
    <t>…D. Ja- S. M. la Reiita nuestra Señora, su augusta Madre la Reina cobo María de Parga, Procer del Reino, presidente; á D. Vicente Gobernadora y la Serma. Sra. Infanta Doña María Luisa, continúan González Arnao, del consejo Real; á D. Rafael Cabanillas, inspec sin novedad en su importante salud en el Real sitio del Pardo. tor general primero del ramo; á D. Estanislao de Peñafiel; á Don Juan Montoto, contador de la dirección general, y á los inspectores de distrito D. Guillermo Schulz y D. Lorenzo Gómez Pardo; man dando que se remitan á ella por V…</t>
  </si>
  <si>
    <t>CabaUcro</t>
  </si>
  <si>
    <t>…ente, ó se convocado las Cortes generales del Reino; si ha sancionado el Estatuto R bai; iba á recargar el Erario con una inmensidad de sueldos. si lia hecho suceder ésa aurora de luz á la noche Tenebrosa de la tiranía qu» con MI Sr. CabaUcro-. « La mesa debe hacer presente á los Sres. Procuradores pincel tan poético nos acaba de describir el Sr. Trucha; si es cierto que todos que la equivocación en que sin duda ha incurrido el Sr. Bendicho, procede tal estos actos se deben 41a munificencia soberana, ese es su principio, y de ahí vvz de que te…</t>
  </si>
  <si>
    <t>Cabazzet</t>
  </si>
  <si>
    <t>…cercados cu varias casas de Caudete á algu da de rigodones de la ópera Roberto el Diablo para plano, flauta ó violín, á 6* Caba— nos facciosos dispersos, de la que fomentó el cabecilla Mangraner, se dirigió á tioa de salida de la señora Cabazzet! eo la ópera Chiara de Rosemberg, puesta' para aquella villa, donde aprehendió á 12 de ellos, entre los cuales fue uno un hijo piano solo a 6 Dúo de bajo* en dicha ópera para piano á 12. Se hallaráo en Madrid eo Jos almacenes de música de Hermoso y Carrafa, y eo Cádiz en el de Moya. del cabecilla E…</t>
  </si>
  <si>
    <t>Cabeda, Antonio Tenreiro y</t>
  </si>
  <si>
    <t>Antonio Tenreiro y Cabeda</t>
  </si>
  <si>
    <t>…Pon enviaron á su padre. Lo cierto es que una carta de Esmirna del 26 dice que un tevedra D. José María Bremon, y conferir este último gobierno ci oficial francés, procedente de S'ria , asegura haber hab’do un combate entre vil á D. Antonio Tenreiro y Cabeda, secretario del de la provincia Jos rebeldes y ios egipcios; y que estos últimos perdieron la acción y 70 «le la Coruña, en atención á sus méritos y circunstancias. Tendréis- hombres. Jo entendido, v dispondréis su cumpIimiento.=Está rubricado de la Aquí se hacen grandes preparativos para aprestar…</t>
  </si>
  <si>
    <t>Caber</t>
  </si>
  <si>
    <t>…ona 16 de Diciembre. folletos, litografié y pinturas. Asimismo pide que La Cámara autorice al fiscal del tribunal superior de El alcalde mayor y ayuntamiento de esta villa deseando celebrar la procla Paris para proceder contra el Sr. Caber, diputado del departamento de la Cótc- mación de su augusta Reina con toda la pompa conveniente, destinaron el «fOr, acusado dfe haber publicado en el periódico titulado El popular dos domingo 8 del Corriente para tan fausta ceremonia. En la mañana de aquel artículos subversivos. La Cámara decide q…</t>
  </si>
  <si>
    <t>…ctamen, se concilia la libertad de im contraría á la revolución de Julio. prenta, conservando la independencia de la profesión de pregonar impresos &amp;cFijando después su atención en los repetidos abusos que de seis meses á esta El Sr. Caber abunda en la Opinión del Sr. Garnier-Pagés, y por lo mismo parte se han cometido pregonando folletos incendiarios ó denigrativos sin que desaprueba el proyecto del gobierno, el de la comisión y la propuesta del Se el fiscal general haya procedido contra ios vendedores, los impresores y auto- ñor Le…</t>
  </si>
  <si>
    <t>Cabet</t>
  </si>
  <si>
    <t>…mpone de 603 no ofrece ningún inconveniente; pero que ha prohibido las reuniones de una hombres. sociedad que se ha dividido en secciones, que abre suscripciones, y sigue los prin TR-rtNCIA. cipios de un periódico republicana. El Sr. Cabet dice que las operaciones de la sociedad á que ha hecho alusión París 19 de Enero. el ministro , eran públicas, y nada tenían de criminales: añadiendo que si se Lonja de ayer. Cinco por 100 consolidados 104 ^r* 90 c. Fondos españoles, cree lo contrario, se ha debido proceder por los trámites legales…</t>
  </si>
  <si>
    <t>…aciones de la Conferencia, adoptadas última '^.Yministro del Interior decae la tribuna \ DccIaro( que en la respuesta que mente sobre los negocios de los Países-bajos; y esta es, según también se dice, irte ha $ido precisó dar al Sr. Cabet, he censurado sus hechos y sus doctrinas, la causa de que el barón de Wessemberg haya sido llamado por la corte de pero sin intención cta ofenderlo personalmente. £De varios puntos de la Cá-¿ Austria. Sin embargo, parece que todos los ministros extranjeros individuos mará: Muy bien! Muy bien i) la…</t>
  </si>
  <si>
    <t>…y nunca no aprueba que esto se haga destruyendo la Libertad de imprenta y quebrantan se hacen estas divisiones sin exponerlas á chocar. {Muy bien.) do abiertamente un artículo de la constitución, cual Jo hace la Jey que se pro El Sr. Cabet: Conresto al Sr. Presidente y á la Cámara que aquí se dice á pone confiando la censura á la policía , único y verdadero fin del proyecto, por menudo que no se debe interrumpir {Exclamación en el centro.); y que si se mas que se disfrace dando este encargo i los ayuntamientos. enuncia un error, todo…</t>
  </si>
  <si>
    <t>…reunieron con el ayuntamiento el Sr. D. Diego Ballesteros, alférez ^na difícil clarificar los papeles de lícka publicación, mayor perpetuo de esta villa, ¡el conde de C&amp;a Valiente y otros caballeros! VueLve á tomar la palabra el Sr. Cabet, y después de contradecir varios hijo—dalgos residentes en ella, y habiéndose hecho entrega del Real pendón! .asertos (tel ministro,del- Interior, le redarguye por la omísionó malicia que con las ceremonias acostumbradas, se dirigió Ja comitiva ai santo templo, don-! hay en proceder contra los que…</t>
  </si>
  <si>
    <t>Cabezas, Fcmando</t>
  </si>
  <si>
    <t>Fcmando Cabezas</t>
  </si>
  <si>
    <t>…de Señora: Con inexplicable gozo la villa de Serón , provincia de Granada, Morales™Diego Cahezas.=Jo$ef de Reina.=Diego Díaz.—Miguel Romero™ H ba recibido los gloriosos objetos de toda su veneración y acendrado amor á la Diego de Reina.=Fcmando Cabezas.=Euenaventura Romero. J legítima descendencia de sus Reyes; el plausible advenimiento al trono de sus mayores , y la cordial proclamación de nuestra angelical Reina y Señora Doña PARTE Np OFICIAL. ii. Isabel Dignaos, ó excelsa Reina , Madre de la sabiduría, de la felicidad y de las NOTICIAS EXTRANGE…</t>
  </si>
  <si>
    <t>Cabo</t>
  </si>
  <si>
    <t>…o 19 de Octubre de i854.=Rnbri- í8 subtenientes. . J nías.............................. 498 cado de la Real mano. = Al conde de Toreno. 300 MINISTERIO DE LO INTERIOR. 'Un primer comandante.. Tambor mayor. Real orden. [ Un segundo comandante. Cabo de tam Para utilizar de un modo eficaz el noble entusiasmo de la Mi Un BATALLON. bores ............................................................. licia urbana por la jusfá causa de la Reina nuestra Señora, y con Plana mayor. \2 ayudantes.......................Maestro armero. viniendo tenerla prepar…</t>
  </si>
  <si>
    <t>Cabo, José Marín</t>
  </si>
  <si>
    <t>José Marín Cabo</t>
  </si>
  <si>
    <t>…ba , Cipriano García, Manuel Izquier tamente quedando todos los individuos muertos y heridos, prisionero y muy do, José Diego. mal herido el comandante de dicha partida José Vallesteros el que llevo á SiHúsares. Sargento segundo: D. José Marín. Cabo primero: Francisco güenza, para que conozcan los ilusos que este gefe que tanto ha dado que hacer Valderrama- Soldado: Manuel Domínguez. en todos estos pueblos y que se creía invencible, va á pagar sus crímenes en Caballería l.° ligtroi. Sargento primero: Santiago García. Cabos prime dicha ciudad;…</t>
  </si>
  <si>
    <t>Cabrera, Bartolomé Venegas y</t>
  </si>
  <si>
    <t>Bartolomé Venegas y Cabrera</t>
  </si>
  <si>
    <t>…etropolitana• los alcaldes del crimen; mandando que los negocios pendientes en ellos se continúen y fallen, desde dicha época, por los alcaldes ma iglesia de Granada, vacante por fallecimiento de D. Juan.García Figueroa, nombro á D. Bartolomé Venegas y Cabrera, canónigo elec yores ó corregidores letrados dél partido, por ante los escribanos en , cuyos oficios radican; los cuales desde la supresión de dichos juzga to de la santa iglesia colegial del Sacromonte de Granada. Tendréis lo entendido, y lo comunicareis á quien corresponda .=Está rubrica dos podr…</t>
  </si>
  <si>
    <t>Cabrera, Conde de Torres</t>
  </si>
  <si>
    <t>Conde de Torres Cabrera</t>
  </si>
  <si>
    <t>…uatro varas y media coq varias inscripcio rios efectos, que fueron entregados por los urbanos al ayuntamiento, con tal es nes análogas á la ceremonia. crupulosidad que ni aun quisieron tocar al cinto que contenía el dinero , y Kl Sr. Conde de Torres Cabrera hizo levantar en el palio de su casa un que rodeaba el cuerpo del prisionero. Por este, que pareció *er Josef Pascua, cuerpo de arquitectura •gótica sostenido por arcos del misma orden, adornados sargento de lo» ex-rrabstas de Aranda , se supo que «1 comandante de U fac con fueites boceles y medias…</t>
  </si>
  <si>
    <t>Cabrera, José</t>
  </si>
  <si>
    <t>José Cabrera</t>
  </si>
  <si>
    <t>…^ ó solamente .un apoyo tnóral^de Rublacedo de Arriba, arzobispado de-üárgos;á D. Jiilian Ramos, Por lo demas todos participan del dcáéÓ dé. ver teimuúld^i.iá guerra civil fcp.fe arcediaTiéíde Berga .enaSa tcaíedral do Urgéf, y á D. José Cabrera, Península. CG. de. JqgfJurjoS w i_¿„... . • ,¡ ...n henefieiador.'dte TortosardPértdréisío eéféndido. y dispondreis te ne-. ■ ■, rfALÍÁs ' ' ..cesaría, á SU «ümpíiíSieAtb. i:Esta rubf'icadó de la Reál maao.=Eri Ij. ■ Aratijaéí 'á 2 de ’J'itaiWé’i654.=A Pi'Tíicdlcs María Garelly. , Ronut. 5.At.Mtfy…</t>
  </si>
  <si>
    <t>Cabrera, José Francisco Rodríguez</t>
  </si>
  <si>
    <t>José Francisco Rodríguez Cabrera</t>
  </si>
  <si>
    <t>…ademas de 100 bombas y varios hachones, todo con mucho SP16 T «legancia , merced al zelo y actividad de los Sres. gentileshombre* Hota. En algunos ejemplares de la Gaceta anterior, col urna* 11, línea Tí , dice de S. M. regídpres D. José Francisco Rodríguez Cabrera f D. Francisco Cés inventor de ia aduana, léase interventor. ‘ EN-£A IMPRENTA REAL</t>
  </si>
  <si>
    <t>Cabrera, P Francisco Javier</t>
  </si>
  <si>
    <t>P Francisco Javier Cabrera</t>
  </si>
  <si>
    <t>…«!.*esnr. 7 etr Us pm-zincus^donde se hubieren suscrito; ;en los ummos sítios' w^ie muy ¡Margaos, sin que hasta el día de la fecha *c hsyhwy. pg&amp;jiwgfld*» &lt;cs ^ ??a. aCn^rra» I» smcerncioír. . - J ttodicL P’atsrarai que et timo. Sr. P. Francisco Javier “Cabrera. obTspo de Avita* dirigí» BiOVJICCIA DS aX o-.* 4e so diócesi» en I 7)7-, Ter ~era edición : Mi.dricf 183^. Vendese en las HFférw* Se perez-. éalte de las Carreras. Esta pastoral, redactada por el ct*Ubre arcediano e£ Sis; Cuvxta. y cti^o merír«T dan bastantemente a conocer las tres ediciones que dé…</t>
  </si>
  <si>
    <t>Cáccrcs, Francisco</t>
  </si>
  <si>
    <t>Francisco Cáccrcs</t>
  </si>
  <si>
    <t>…ñía, con igual fe Inscrlpeiose» en el.g*an libro á f p. 100, 00. cha, ha dispersado en Cabaleda la facción de los restos de Cuevillas* com “Títulos jiI portador del J p, 100 * 00. puesta de 60 hombres capitaneados por el titulado coronel Francisco Cáccrcs, Inscripciones en el gran libro á 4 p. 100,-00. y á loa que cogió un caballo y otros efectos. Títulos al portador del ^ p. 100, 52^, | , i y J2l al contado: 53|, íi, 4 -y *$$ó. varias.fs. ó vol. --'56 á 60 d. f. ó vol. á .pruna de 1 -y $.p. 100. ■^Vales Reales-no consolidados, 18, i, 9 d¿eziseisa.v…</t>
  </si>
  <si>
    <t>Cácercs, Manuel</t>
  </si>
  <si>
    <t>Manuel Cácercs</t>
  </si>
  <si>
    <t>…onel 183^,—Excmo. Sx.rrGaspar de Goicocheá. = Eicmo. Sr. primer Secretario del D. Manuel Domínguez, capitán de la compañía de cazadores, D. Félix Gtií— Despacho de E^tadq. ; ’ tarte, teniente graduado de capitán ,y el subteniente D. Manuel Cácercs, am bos de la insinuada compañía; juzgo empero dignos de particular memoria 4 Partes recibidor en la Secretaria de Estado y del Despacho de la Guerra* D. José Alonso y D. Benito Masot, sargentos primeros graduados de sub tenientes , aquel de ía compañía de granaderos, y éste de la de cazadores del…</t>
  </si>
  <si>
    <t>Cáceres, D Jbaquin</t>
  </si>
  <si>
    <t>D Jbaquin Cáceres</t>
  </si>
  <si>
    <t>…de Junio. Sr. D. Francisco Orense, propietario y del comercio. Lonja de ayer. Cinco por loO consolidados 106 fr. 30 e. Fondos españo PROVINCIA BB SAI ABANCA. les , renta de España 3 por 100,4Al* Empréstito Real de id., 86: rente Sr. D. Jbaquin Cáceres. perpetua de id. 78. Sr. marques de Villacampo. Se han recibido carta» de Atenas del 20 de Mayo. La Grecia continuaba Sr. D. Mauricio Cárlos de Oní*. gozando de una gran tranquilidad, y las opiniones divergentes sobre negocios importantes que se habían formado en el seno mismo de la regencia no ejer…</t>
  </si>
  <si>
    <t>Cáceres, Jbaquin</t>
  </si>
  <si>
    <t>Jbaquin Cáceres</t>
  </si>
  <si>
    <t>…Junio. Sr. D. Francisco Orense, propietario y del comercio. Lonja de ayer. Cinco por loO consolidados 106 fr. 30 e. Fondos españo PROVINCIA BB SAI ABANCA. les , renta de España 3 por 100,4Al* Empréstito Real de id., 86: rente Sr. D. Jbaquin Cáceres. perpetua de id. 78. Sr. marques de Villacampo. Se han recibido carta» de Atenas del 20 de Mayo. La Grecia continuaba Sr. D. Mauricio Cárlos de Oní*. gozando de una gran tranquilidad, y las opiniones divergentes sobre negocios importantes que se habían formado en el seno mismo de la regencia no ejer…</t>
  </si>
  <si>
    <t>Caceta, Angel Casimiro Govantes Ten la</t>
  </si>
  <si>
    <t>Angel Casimiro Govantes Ten la Caceta</t>
  </si>
  <si>
    <t>…n cada uno de aquellos comprende, y de su población respectiva, se ven Diego Martin Villodres y D. Manuel Antonio Caballero. Y para derá por separado en la imprenta Real desde el dia que se anuncie en fiscal del propio tribunal á D. Angel Casimiro Govantes. Ten- la Caceta.</t>
  </si>
  <si>
    <t>Cada</t>
  </si>
  <si>
    <t>…3ao itío 8o. de Correos. Paja Canarias............... 38o 190 95. Para Indias................... 4qo aoo__ 100. GACETA DE MADRID. ARTICULO DE OFICIO. PRESTA. Berlín 25 de Abril. £a Reina nuestra Señora Doña Isabel it, y S. M. la Reina Cada vez se confirma mas y mas la noticia de la partida del Pn’ncKj* Real Gobernadora, siguen en el Real sitio de Aranjuez sin novedad y de su augusta esposa. SS. AA. emprenderán el viaje á fines del mes que en su importante salud. viene; y probablemente no pasara de tres meses su ausencia de la capital…</t>
  </si>
  <si>
    <t>Cada, Cuesta</t>
  </si>
  <si>
    <t>Cuesta Cada</t>
  </si>
  <si>
    <t>…dose tomado en consideración esta primera parte y no la segunda, supuestos referidos, me parece que adoptar la marcha indicada en dicha propo dijo sición seria establecer sin necesidad un antecedente que se aplicaría despue&gt; a Si Sr. Cuesta .* «Cada vez estamos peor, y cada vez nos separamos mas lodos los casos semejantes; y es menester que ios Sres. Procuradores* no pierdan del punto principal de la cuestión. El Filamento no ha tenido á bien tomar de vista que un presupuesto no se ve sino una vez ai año, y que por consi «n consideración la pr…</t>
  </si>
  <si>
    <t>Cadaval, José</t>
  </si>
  <si>
    <t>José Cadaval</t>
  </si>
  <si>
    <t>…aza. En el frente princ i painel pedestal, que mira á la en :; El marido principal de los expresados cuerpos lo desempeñará el Sr. ma— trada del puerto y oriente, se lee la siguiente inscripción, cuya idea fue dic riSdalSJééalmpo D. José Cadaval, y para gefc de plana mayor nombro al co tada por el mismo MonarCa: roné!' éfe infantería D. Alejandro de Jarana. , ‘ A’las diez de lá misma mañana,y con motivp de los dias de S. AL la fBXDINAKDUS VII KBX Reína Gobernadora, recibo corte. Lá compañía de granaderos del regimiento de la Habana, el mas…</t>
  </si>
  <si>
    <t>CADIZ, José de la Lla PROVINCIA</t>
  </si>
  <si>
    <t>José de la Lla PROVINCIA CADIZ</t>
  </si>
  <si>
    <t>…i í Extracto Je loJ parte: recibido: cu ¡a secretaria Je E:tado y del E&gt;tir cho capitán graduado el valor, decisión y entusiasmó de toda la tropa de su tho de lo Interior. mando, y muy particularmente la bizarría del ¡oven cadete D.-José de la Lla PROVINCIA CADIZ. ve, quien después de haber sufrido én su tierna edad una marcha constante de El gobernador civil de ella dice con fecha 23 del actual, qué en Algecíra-, 13 leguas , se batió con tal denuedo, que logró matar por su mano un rebel Los Barrios, GraZalema, Veger, y Villamartln se'padecian enfermedades s…</t>
  </si>
  <si>
    <t>Cáelos</t>
  </si>
  <si>
    <t>…eaQf, Cé&gt;af , VífMs;‘Botiel:l Hubert o Afiirtitsez de la Rota,'Car* Ifcs qwt hubieran de decidirle^' «eria Un tribunal de ajusticia , t en es re tribunal TÍÍ1t&gt;-MaÍ»yiqu€, •PVtát'roHéredifc , Saniafé, Torres SotanotA randas mar** D. Cáelos no-perdería ta -cprona «lamente por una srénp'e declaración; ta per qvas de EákJe^ / Sérraho {€K.Fv»’ñcr&lt;oo)i, Diez CFoifrálév , Fernandez ¿tanco^ dería por recaer uní corden.ivion de pena cap tal , cottio traidon á sú Rev v s AlantilU, marques de Monievirgen , Fleix, Ciséar (D. RamónBétesta, «I pá…</t>
  </si>
  <si>
    <t>Cáflos</t>
  </si>
  <si>
    <t>…s retiraba su propo para que mañana ú otro dia, si nos viésemos en el desgraciado caso de perder sición , á consecuencia de las observaciones hechas por el Sr. Ministro de Ha estas dos preciosas joyas, estos mismos partidarios de D. Cáflos ik&gt; vengan á in- cienda : de consiguiente, se puede hacer relación de esto, que es la verdad comodarnos con guerras; purx” »Ya 4» dichAque retiré mi adición con esta condición; y ti asi no w Habiendo pedido un Sr. Procurador que se preguntase si estaba el punto aprueba, pediré que corra todos los t…</t>
  </si>
  <si>
    <t>Cafran</t>
  </si>
  <si>
    <t>…ivas las prestación Montijo, marques de Espeja, marques de Monreal . marques de Vesolla, du nes de dicho Voto, ó el cumplimiento,dé obligaciones emanadas de él, con que,de Hijar, conde de Parsent, conde de Pinofiel, Sr. Pelegrin, Sr. Cafran- tinuarán hasta su terminación con arreglo á las leyes ante los competentes- juz gá, Conde de Sástago / conde de Puñonrostro, marques de Guada (cazar, duque gados de la Real jurisdicción ordinaria, admitiéndose á los interesados las ape de Veraguas ; Sr. Cano Manuel, duque de Rivas y Sr. Presidente.…</t>
  </si>
  <si>
    <t>Cafrandicados, José</t>
  </si>
  <si>
    <t>José Cafrandicados</t>
  </si>
  <si>
    <t>…l servicio activo por unanimidad ¡'habiendo sido los que votaron los Excmos. Sres. duque de de la guerra no son á propósito cuerpos compuestos de ciudadanos pacíficos de Hijar, marques de Monreal y de Santiago, conde de Pinofiel, D. José Cafrandicados á ocupaciones tranquilas y abezados at regalo desús familias; los espa ga, marques de Mancera y de Mal pica, duque de Noblejas, D. Manuel José ñoles, señor, todos son guerreros, todos están dpp$» dej^spíritp. necesariopara Quintana, D. Manuel García Herreros, conde del Mcmtijo, D. Antonio sufrir pr…</t>
  </si>
  <si>
    <t>Cafranga</t>
  </si>
  <si>
    <t>…o Del Sr. marques de San Felices: «Entendiéndose libres de la devolución Cervellon, conde de Sta. Ana, marques de Santiago, duque de Hijar, conde aquellos á quienes les vendieron los bienes sus tutores y curadores.” de Pino-fiel, Sr. Cafranga, marques de Bcsolla, Sr. Alvarez Guerra, condo Leido el art. 4-° del proyecto, preguntó el Sr. duque de Veraguas si el de Noblejas, marques de Malpica, Sr. Navarrete, Sr. Gil de la Cuadra, señor Gobierno admitía el de las comisiones, ó insistía en que se aprobase el suyo. Quintana, Sr. Vigodet, mar…</t>
  </si>
  <si>
    <t>Cafranga, D José</t>
  </si>
  <si>
    <t>D José Cafranga</t>
  </si>
  <si>
    <t>…sistir á la sesión Regia por hallarse acometido de un ataque de La misma comisión expuso haber revisado los documentos pertenecientes a[ gota. Excmo. Sr. marques de Espeja; y habiéndolos hallado conformes, quedaron Otro del Excmo Sr. D. José Cafranga excusándose también de su falta de aprobados. asistencia á la misma sesión por hallarse indispuesto. Dicha comisión manifestó que, habiendo examinado los pertenecientes ¿1 Otro del Secretario del Estamento de Procuradores participando que en Excmo. Sr. marques de Alcañices, opinaba debía probar la…</t>
  </si>
  <si>
    <t>Cafranga, José</t>
  </si>
  <si>
    <t>José Cafranga</t>
  </si>
  <si>
    <t>…Montene niente "enerul de los Roab s ejércitos; marques de Campo ¡sagrado, gro, mariscal decampo de los Reales ejércitos, capitán general da teniente general de los Reales ejércitos, presidente del tribunal su las islas Baleares; D. José Cafranga, del llonsejo Real; D. Luis Ba ccino de Guerra; conde de Clavijo; Conde de Teha; D. Ignacio de lanzas mariscal de campo de los Reales ejércitos,capitán general de a Pezuela, del Consejo Real de España é Indias; D. José Juan Bo- Granada; D. Jacobo María Parga , del Gmsejo Real; conde de Ta nel y Orb…</t>
  </si>
  <si>
    <t>…Miguel Alava ; D- Agustín Arguelles. sus funciones judiciales. De Real órden lo comunico á V. E. para Para la de Gracia y Justicia á D. Ramón López Pelegrin, su inteligencia, y que se sirva disponer su cumplimiento. Dios decano; D. José Cafranga; D. Vicente Gano Manuel; D. Manuel uarde á V. E. muchos anos.’Madrid 20 de Abril de 1834-mJosé García Herreros; D. José Ayuso. e Imáz.=Sr. presidente del tribunal supremo de Hacienda. la de al marques de de Nueva Espa Para la Reunión Guerra al general decano; á loa PARTE NO OFICIAL. Francisco tenie…</t>
  </si>
  <si>
    <t>…de la sección de Gracia y Justicia deL consejo Real de Paris 11 de Abril. España é Indias. cámara de los diputados.__Continúa la sesión de! 1de Marzo'. , S. M. la Reina Gobernadora ba tenido á bien mandar que V. E., en unión con D. José Cafranga y los dos secretarios de esa v Habiendo una constitución como la nuestra ; sabéis de qué sección de Gracia y Justicia, propongan y eleven á conocimiento modo se debe hacer la oposición? Voy á decirlo, porque quiero de S. M. la planta de dependientes de ambas secretarías, fijando en manifestar en qué posición…</t>
  </si>
  <si>
    <t>…ir á la sesión Regia por hallarse acometido de un ataque de La misma comisión expuso haber revisado los documentos pertenecientes a[ gota. Excmo. Sr. marques de Espeja; y habiéndolos hallado conformes, quedaron Otro del Excmo Sr. D. José Cafranga excusándose también de su falta de aprobados. asistencia á la misma sesión por hallarse indispuesto. Dicha comisión manifestó que, habiendo examinado los pertenecientes ¿1 Otro del Secretario del Estamento de Procuradores participando que en Excmo. Sr. marques de Alcañices, opinaba debía probar la…</t>
  </si>
  <si>
    <t>CahaniUes</t>
  </si>
  <si>
    <t>…mano de una las respectivas graduaciones en los empleos que concurran á su formación en parte de su fuerza para el servicio de campaña.”. cada provincia.” * El St. Montenegro: «El Sr. Secretario del Descacho de lo Interior sin Él Sr. CahaniUes: « Acerca del medio que ha de usarse para que concurran duda no se ha penetrauo bren del objeto de la comisión al • proponer esta adi 4 este servicio los individuos de la Milicia, creo preferible el que propone la ción. No ha tratado de envolver en ei sorteo general á todas Us clase» llama comisión…</t>
  </si>
  <si>
    <t>Caiaiino</t>
  </si>
  <si>
    <t>…vaciones, y disimu la cuestión principal. Tres son ios objetos que debemos pioponernos en todas le el hdbeile ocupddo mas tiempo del que me proponía-” nuestras larcas: consolidar una p»z duradera , permanente en nue.t o país: acu Sr. Caiaiino : «Guando ci Sr. Ministro de Hacienda presentó á las Córte* dir ai Gobierno con todo fo que neceóte pira cuqiir las neces-dade* y atencio generales del reino el proyecto perteneciente a su ramo, confieso que me 11-^ nes; y ver ficar cuantas reformas sean necesarias para mejorar ia sueité de la de i…</t>
  </si>
  <si>
    <t>Caiilot</t>
  </si>
  <si>
    <t>…de1 Austria.' 1'Muchos1------?mié: ^^ j'í . favorable, tanto en la costa ds{^la¿dia,.com4^_J4^jjnéo]de,Tpii-Nova. El del cuei-po diplomático se preparan para ir állos baños'de Bohethiú. El et : . -barco Dnrfctfc, ¿nSndado por el capitán Caiilot, jr que pertenece"5 M. Leger, dor mgke-eir Federieo-Eenrfis.«n 4 «asentarse 'una temporada-;.Barí arreglar .tenia el 11 qéMáyo doce, lastra de toncladaSdc,bacalao, es decir, la mitad de Londres ciertos negocios de familia. ;r íu‘carga; ,Lp ¡qttsmp'sucedía al barco, llamado^Tanibién Enrique7 y del”q…</t>
  </si>
  <si>
    <t>Cáilos</t>
  </si>
  <si>
    <t>…actamente según el proyecto presentado por el Gobierno. concluir con la. guerra civil, cuando ¿s absolutamente indispensable ahuyen . Esté, por motivos que respeto , ha creído conveniente^ cambiar en un todo su tar para siempre á D. Cáilos y á todos sus partidarios, que están perturbando proyectó, fundado en la.pequeña variación que se ha hecho aL etnpréitíto de el órden de.muchas de nuestras provincias , y cuando es preciso en fia acabar Guebhard. En mi concepto yo no encuentro ¡mía esta medida, porque todo de restablecer y afirmar nu…</t>
  </si>
  <si>
    <t>Cairasco</t>
  </si>
  <si>
    <t>…ntan, estos empréstitos. del mal real que le va á resultar de su no reconocimiento. «Uno de los argumentos que ha hecho el Sr. Montcvírgen , que ha repe «El Sr. marques de Torremejía me permitirá le diga que después de re tido el Sr. Cairasco, y que pud.era tener bastante fuerza á los ojos de los Pro conocer los principios claros y luminosos que ha sentado en su discurso, ha curadores, es decir que sí se reconocen todos los empréstitos extranjeros, y hecho él mismo objeción á sus propias observaciones. S. S. ha insistido en la ademas se…</t>
  </si>
  <si>
    <t>CairaUlá</t>
  </si>
  <si>
    <t>…engo obrando en el bajío Ara Tengo el honor de acompañar á V. S. la lista de los mencio gón yeii &lt;1 corregimiento: dé Tortosa, resulta que después de la nados prisioneras, quedando yo en el ínterin en hacer la compe derrota qt» A general CairaUlá hizo experimentar en: la tunde del tente clasificación, para que con arreglo á las órdenes vigentes su ]0 en las alturas de Mayals al bandido Carnicer, ha Ipgrade esto fran su condigno castigo: y de su resultado daré á V. S. el com repasar el Ebro en Cinco Olivas , y cu- la mañana d«l 14 se halla p…</t>
  </si>
  <si>
    <t>Caitas</t>
  </si>
  <si>
    <t>…araciones de la» Córte», eq^eci^bncrire paiie», y entre n¿roeros mismo» hallamos repetido» ejemplos dígaos fe imitar |aa fe ValUiord cu I34.S basta las d« Madrid «a 1$3^ No fueron en se én loa reinados fe loa Sres. D- Carlos tu y D. Caitas ir. El derecho de</t>
  </si>
  <si>
    <t>Cajidoy</t>
  </si>
  <si>
    <t>…eH-Ja._crítica que Jiizo ^tuviese pór principal.objeto Que el duque de Terceirá con 60 homhres habla llegado á Moncorbo, cón- satirizar á Lope de Vega , ¿ quien tanto elogia á pesar de Su? defecto?, y nuc tinuando el alcance djsl general Cajidoy), cúya fuerza &gt; apotas llegaba á 1500 cho menos que la emulación ó.el. despecho hubiesen dirigido su. pluma En |j hombres. A. su paso por LamegÓ pusóen libertad fel duque i 1200 presos por censura que hace , ni es irónico ni caustico, contra su estilo natural. NiebalUn opiniones pblíricas. I solo e…</t>
  </si>
  <si>
    <t>Cajuela, D Pedro</t>
  </si>
  <si>
    <t>D Pedro Cajuela</t>
  </si>
  <si>
    <t>…ntas obras maestras; por consiguiente se omite recomendarla con pomposas frases á los amantes de la poesía. licia Urbana de ata capital, vocal. —— Arte de fabricar el salitre y la pólvora, escrito y publicado de órden del. Rey El Sr. D. Pedro Cajuela, abogado de los Reala tribunales de S. M., id. nuestro Señor, y dedicado a S. M. por D. Manuel Mártires Rueda. Un tomo en 4.® El Sr. D. Pedro Lavigne, del comercio de ata ciudad, id. impreso en 1833, y adornado con lo láminas de grao tamaño».grabadas en dulce4 42 r$. rama, 46 rustica y 50 pasta com…</t>
  </si>
  <si>
    <t>Cajuela, El Sr D Pedro</t>
  </si>
  <si>
    <t>El Sr D Pedro Cajuela</t>
  </si>
  <si>
    <t>…o de tantas obras maestras; por consiguiente se omite recomendarla con pomposas frases á los amantes de la poesía. licia Urbana de ata capital, vocal. —— Arte de fabricar el salitre y la pólvora, escrito y publicado de órden del. Rey El Sr. D. Pedro Cajuela, abogado de los Reala tribunales de S. M., id. nuestro Señor, y dedicado a S. M. por D. Manuel Mártires Rueda. Un tomo en 4.® El Sr. D. Pedro Lavigne, del comercio de ata ciudad, id. impreso en 1833, y adornado con lo láminas de grao tamaño».grabadas en dulce4 42 r$. rama, 46 rustica y 50 pasta com…</t>
  </si>
  <si>
    <t>Cajuela, Pedro</t>
  </si>
  <si>
    <t>Pedro Cajuela</t>
  </si>
  <si>
    <t>…obras maestras; por consiguiente se omite recomendarla con pomposas frases á los amantes de la poesía. licia Urbana de ata capital, vocal. —— Arte de fabricar el salitre y la pólvora, escrito y publicado de órden del. Rey El Sr. D. Pedro Cajuela, abogado de los Reala tribunales de S. M., id. nuestro Señor, y dedicado a S. M. por D. Manuel Mártires Rueda. Un tomo en 4.® El Sr. D. Pedro Lavigne, del comercio de ata ciudad, id. impreso en 1833, y adornado con lo láminas de grao tamaño».grabadas en dulce4 42 r$. rama, 46 rustica y 50 pasta com…</t>
  </si>
  <si>
    <t>Calafell, Antonio Gassó y</t>
  </si>
  <si>
    <t>Antonio Gassó y Calafell</t>
  </si>
  <si>
    <t>…go, y 2.' Establecer los caminos de sirga en las orillas del canal. \ asimismo los de la navegación, vengo en conceder y concedo la em 31 Construir los puentes de comunicación que se necesiten par» presa "del canal de TartiaViteá D. Antonio Gassó y Calafell, D. J«&gt;sé mantener los caminos públicos que actualmente existen, y las se*— Sagrista y.D. Narciso Mercader, por sí y como representantes de la vidumbres de tránsito fundadas en título legitimo, % compañía á cuyo nombre hicieron la mencionada propuesta de ó de 41 Abrir los escurridores y azarbes que…</t>
  </si>
  <si>
    <t>Calahorra, Antonio González</t>
  </si>
  <si>
    <t>Antonio González Calahorra</t>
  </si>
  <si>
    <t>…o últimamente ¿ Constantinopla el famoso rebelde Cadi-lCeran, Una comisión del ayuntamiento acompañada de los dos reyes de armas sa que capitaneaba una cuadrilla numerosa de descontentos y foragidos que se su lió en busca del Sf. D. Antonio González Calahorra, regidor perpetuo y de blevaron en el Asia menor contra la autoridad de la Puerta. Perseguido por cano , que por ausencia é imposibilidad física del Sr. alférez mayor marques de Jas tropas del Sultán se refugió este osado cabecilla á Titlis , en donde fue en Grañina, conde de Gomara , debía ejercer…</t>
  </si>
  <si>
    <t>Calama, Antonio</t>
  </si>
  <si>
    <t>Antonio Calama</t>
  </si>
  <si>
    <t>…ue aparecen se revistan del mismo carácter, alterando el curso D. Juan de la Tejera, secretario de esta subdelegacion como vicepresidente, regular de las demás enfermedades, lo que en verdad no sucede asi; pues las y'de los Sres. D. Antonio Calama, canónigo de esta Sta. iglesia catedral; Don que esporádicamente se presentan siguen su marcha regular; y por último, que1 Cayetano de Zúñiga y D. Valentín Gutiérrez, regidores de este ayuntamien felizmente observan que en el dia de ayer y hov, no solo ha disminuido el to; del contador de propios d…</t>
  </si>
  <si>
    <t>Calatrava, José María</t>
  </si>
  <si>
    <t>José María Calatrava</t>
  </si>
  <si>
    <t>…pueblos de que es contagiosa la enfermedad, y de que por lo tanto deben pre-^ informe de la comisión, compuesta de los Sres. D. Manuel García Herreros, «verse y defenderse de su entrada. Cuando apareció en Huelva , y mientras se D. José María Calatrava, D. Juan de la Dehesa y D. Diego Villa, y el pro conservó en aquel punto, pareció fácil aislarla; por lo que se aplicaron con ri yecto de ley formado por ia misma. gor las medidas sanitarias por el ministerio anterior al actual; se estableció un Verificada esta lectura, dijo el Sr. Presidente : «En…</t>
  </si>
  <si>
    <t>Calatrava, Ramón María Cañedo y D Ranfon</t>
  </si>
  <si>
    <t>Ramón María Cañedo y D Ranfon Calatrava</t>
  </si>
  <si>
    <t>…lazas de-gefes de sección y de mesa de que- ha Gobernador civil de la provincia de Madrid. de componerse á los sugetos siguienteák Paca la de subsecretario á ‘D. Joaquín Uriarte: para las de gefes de mesa de la primera sec ción á D. Ramón María Cañedo y D. Ranfon Calatrava: jiara la de ‘gefe de la segunda sección á I). Antonio. Freyre: para la de gefe de PARTE &gt;() OFICIAL. 'mesa de lá misma Sección á D. Manuel González Suso: para la de efe de la tercera sección á D. Manuel Cristantes: para la de gefe NOTICIAS EXTRA NO ERAS. C mesa dé la misma á D. Félix D’Olhaberriag…</t>
  </si>
  <si>
    <t>Calatrava, Ranfon</t>
  </si>
  <si>
    <t>Ranfon Calatrava</t>
  </si>
  <si>
    <t>…n y de mesa de que- ha Gobernador civil de la provincia de Madrid. de componerse á los sugetos siguienteák Paca la de subsecretario á ‘D. Joaquín Uriarte: para las de gefes de mesa de la primera sec ción á D. Ramón María Cañedo y D. Ranfon Calatrava: jiara la de ‘gefe de la segunda sección á I). Antonio. Freyre: para la de gefe de PARTE &gt;() OFICIAL. 'mesa de lá misma Sección á D. Manuel González Suso: para la de efe de la tercera sección á D. Manuel Cristantes: para la de gefe NOTICIAS EXTRA NO ERAS. C mesa dé la misma á D. Félix D’Olhaberriag…</t>
  </si>
  <si>
    <t>Calbo, Juan José y Eulogio</t>
  </si>
  <si>
    <t>Juan José y Eulogio Calbo</t>
  </si>
  <si>
    <t>…ta de Sanidad de esta provincia, el dia 19 del propio mes El subteniente del regimiento provincial de Córdoba D. Rafael A riza, se cantaria el Je Deurn en su capital, mediante i que en los tres dias últi acompañado de los Urbanos D. Juan José y Eulogio Calbo, encontraron en mos no había ocurrido ninguna invasión ni fallecimiento, y que los pocos uno de los puntos mas escabrosos de la sierra Gorda á una partida en cuya enfermos que qnedabjn no ofrecían cuidado• añade que en los 31 pueblos de persécucion iban, y después de un sostenido fuego quedó muerto…</t>
  </si>
  <si>
    <t>Calda, Francisco</t>
  </si>
  <si>
    <t>Francisco Calda</t>
  </si>
  <si>
    <t>…/ tino y jjuen juicio para 6u manejo', le susti tuya el termómetro y el j&amp;ua hirviendo. Aunque á la verdad se debé este d.es- Se baila vacante el partido de médico cirujano de la Hita de Plectrslsva,mrnrliicubritniento ai célí&amp;rc D. Francisco Calda;', á nadié sinó-'al Ef.' de Herrera cli de AVlla: la piiblkcian asciende i 21J vecinos, y la dotaciónéoósfite en áfOO n. ,c««dr v-lde, I.bre de coutribucKmn. dos cerdos en montanera el año que la baya enpertenece la gloria de haber sido el primeró que ha-hecho de él tan útiles apli- dicha villa, y…</t>
  </si>
  <si>
    <t>Calde</t>
  </si>
  <si>
    <t>…tener la edad competente. que su título de abogado ¿ incorporación en el colegio de la Coruña. No puedo expresar la fecha del decreto que he citado antes, porque nunca lie El Sr. Palarea : «Señores, po tengo el honor deconocer al Sr. Calde podido retener las fechas.” rón , ni mas motivo para hablar que el que se cumpla en un todo el Esta-tu— *Et~Sf. López expuso que la ley de Partida exigía 17 años para recibirse to Real. Este exige cómo condidion:precisa para obtener cl cargo de Procu de abogados, y que por una mala interpretación s…</t>
  </si>
  <si>
    <t>Calde, D Saturnino</t>
  </si>
  <si>
    <t>D Saturnino Calde</t>
  </si>
  <si>
    <t>…l y dei m»vor interes para el pats y para el mismo Gobierno. Desearía licitud. Se aprobó este dictamen. aprovechar la oportunidad de hallarse presente el Sr. Mmistro rara satisfacer Lamisma comisión, en vista de la exposición del Sr. D. Saturnino Calde mi ansiedad en este punto; an^.edid de que participan muchos individuos de rón, electo Procurador por Orense, sobre que no podía ser Procurador sin este Estamento. Me parece que en cierto modo hemos principiado nuestros admitírsele para prueba de sus rentas los bienes dótales de su espese opinaba t…</t>
  </si>
  <si>
    <t>Calde, Saturnino</t>
  </si>
  <si>
    <t>Saturnino Calde</t>
  </si>
  <si>
    <t>…dei m»vor interes para el pats y para el mismo Gobierno. Desearía licitud. Se aprobó este dictamen. aprovechar la oportunidad de hallarse presente el Sr. Mmistro rara satisfacer Lamisma comisión, en vista de la exposición del Sr. D. Saturnino Calde mi ansiedad en este punto; an^.edid de que participan muchos individuos de rón, electo Procurador por Orense, sobre que no podía ser Procurador sin este Estamento. Me parece que en cierto modo hemos principiado nuestros admitírsele para prueba de sus rentas los bienes dótales de su espese opinaba t…</t>
  </si>
  <si>
    <t>Calderón</t>
  </si>
  <si>
    <t>…mo de 4 años.” do D. Juan Ramírez, reclamando contra la eleccionque ha recaído en el El Sr. Caballero: «El Sr. Medrano acaba de indicar que tenia 25 años Dr. p. Prudencio Chavarría para Procurador de la provincia de la Habana, el Sr. Calderón cuando se recibió de abogado. No quisiera equivocarme , pero en virtud de las ilegalidades qtle manifestaba haberse cometido en ella; y otra si han partido de este principio Jos Sres. de la comisión , han cometido un error de D. Manuel Cortinas, electo Procurador por ia provincia de Sevilla, ma muy…</t>
  </si>
  <si>
    <t>…stros recursos y necesi hasti el año 32, en que por una Real cédula se restableció en su vigof la ley dades , y no los deslumbraremos con promesas que conocen no estamos en po de Partida. La comisión dic&amp;que-sele puede admitir al Sr. Calderón; y opi sición de cumplir. Supongamos que de aprobar &lt;1 pago de la totalidad de inte no que asi se baga sin exigirle la fe de bautismo, que á nadie se Je ha exi reses el empréstito nos salga 4 un 25 por 100, y de no hacerlo asi, sino pro gido.” meter el pago de la parte que podamos, nos sale 4 un 50…</t>
  </si>
  <si>
    <t>…antiguos empréstitos extrangeros noticiaba que una furiosa tempestad le había arruinado su casa ; y pedia licencia comprendidos en la deuda activa. p^ra ir á arreglar sus intereses. Después de una ligera discusión el Estamento El Sr. Calderón: «A mí me parece que habiendo deuda del 3 y del S concedió dos meses de licencia á dicho Sr. por 100 , á los tenedores de la del S por 100 se tes hace una extorsión muy A invitación del Sr. Presidente entraron á jurar y tomaron asiento los grande por este artículo.” ' fres. D. Saturnino Calderón, P…</t>
  </si>
  <si>
    <t>…princesa de Francia. Los españoles, viendo que se trataba de tal ceñirse á solo la resolución de lis Córtes, cómo era costumbre. cosa., no dudaron un momento éü traer á juicio á Fernando; y las Córtes ex Concluido el discursodel Sr. Calderón, pidió él- Sr. florales se pregun traordinarias con este motivo determinaron dos cosas: l.1 que si Fernando ve tase si estaba el asumo suficientemente discutido;y habiéndote hecho asi, que-' nia cando, con una Brincesp de Francia;, no se le admitiese, y 2.a que no.se pu dó decidido por el Estamento…</t>
  </si>
  <si>
    <t>…y á ello* les está de Francia á aumentar los mala y las dagracias que tan largamente ha experi confiada la custodia de las leyes. mentado y sufre y sufrirá ata Nación. Sean cuala fueren las opiniona, los » Pero yo preguntaría al Sr. Calderón , ¡ cómo los poderes dél Estado, en méritos anteriores y presenta , y las consideraciones que ye merezcan los seño un Gobierno absoluto en que se han sofocado todos los derechos, han de obrar res Secretarios del Despacho^ yo no puedo prescindir de hacer ata inculpación á nombre de la asociación! ¡c…</t>
  </si>
  <si>
    <t>…e se abstuvieron de votar fueron: Somoza, conde de Allas inculpaciones, y engañado quizá por ql silencio de ayer del Ministro de modovar y Butrón. 1 Hacrenía, como si á este le faltasen sobradas razones que destruyesen las del El Sr. Calderón (D. Saturnino) dijo: Pido que se apruebe la adición de Sr. Galiano. Pero examinemos también si la baja en todos los fondos y en los ilustres Próceres, que dice asi: (la leyó.) todas las bolsas ha sido tan grande como se propala. En la deuda de 23 acá, y El Sr. Presidente manifestó al Sr. Procurador…</t>
  </si>
  <si>
    <t>…r del caos en que lo que habia dicho era que el órden seguido no habia sido acertado. nos vernos envueltos, es una infracción clara y terminante del re¿iarnento :».!».&gt; Se preguntó sí se tomaba en consideración la proposición del Sr. Calderón cuya -egida están marchando nuestras discusiones. Se ha decidido por el Estamen Collantes, y se declaró que sí. to que se esté al órden del dia, y el reglamento en su arr. 91 dice expresimeri' El Sr, Secretario del Despacho de Hacienda indicó qye juzgaba inútil la te (lo leyó) E* demostrado pues y…</t>
  </si>
  <si>
    <t>…una razón contra esto el que La comisión de lo interior puso en noticia del mismo haber nombrado tenga sus fondos en pais extrangero; pues la causa por que los tiene todo el para su decano al Sr. Acevedo, y para su secretario al Sr. Calderón de la mundo la sabe, que es por haber estado emigrado. Me parece que el nombre Barca. Igualmente quedó enterado. de Vadillo basta para probar que el tener sus fondos en Francia no es por También lo quedó de una exposición del Sr. D. Jacobo Flores, electo efecto de poco amor á su nación. Si la ley prohíbe…</t>
  </si>
  <si>
    <t>…e estamos en. el caso de resolver, consentimiento de las dos partes; y mucho mas necesario es en estas contratas según la ordenanza, que los cuerpos suizos se coloquen en el mismo grado que entre Gobierno y Gobierno; pues sabe el Sr. Calderón que llevan una especie los demas del ejército; con lo que la Nación española daría un testimonio de de sanción nacional. que no olvidaba la conducta y lealtad de unos por la perfidia de los otros. De «Puesto que la contrata ha finalizado en el mes de Agosto, es claro que searía que el Gobierno tuvi…</t>
  </si>
  <si>
    <t>Calderón, D Saturnino</t>
  </si>
  <si>
    <t>D Saturnino Calderón</t>
  </si>
  <si>
    <t>…s de su época, no podía ol optado por la de Búrgos, supuesto que la de Salamanca procedió á nueva elec vidar la reforma de la moneda. Asi es que fijó en once dineros cuatro granos la ción. También es preciso tener pre,ente que el Sr. D. Saturnino Calderón avi de plata ; labró la de vellón ligándola con aquel metal , que con el título de ma só admitiendo, pero consultando ciertas dudas que le ocurrieron por la desa ravedís Alfon.íes, sirvió de unidad y tipo á las monedas, y también ias acu probación de los documentos presentados por D. Agustín Alvare…</t>
  </si>
  <si>
    <t>Calderón, Martin Maroto</t>
  </si>
  <si>
    <t>Martin Maroto Calderón</t>
  </si>
  <si>
    <t>…ifestado en esta acción con la partida de su mando. lera, sucediendo lo mismo en los 17 pueblos del partido de Alóla, que su «No /debo dejar de hacer memoria del alcalde mayor de Almodovar del frían la enunciada enfermedad. Campo D. Martin Maroto Calderón, que hallándose en comisión con tres de pendientes de su juzgado en la ya mencionada casa del Rincón, salió con es Provincia de zahora. tos unido, á Valenzucla, y se batió con la mayor bizarría. Todo lo que pongo en noticia de V. E. para que si lo tiene á bien lo eleve si Real conocimiento Particip…</t>
  </si>
  <si>
    <t>Calderón, Saturnino</t>
  </si>
  <si>
    <t>Saturnino Calderón</t>
  </si>
  <si>
    <t>…el S concedió dos meses de licencia á dicho Sr. por 100 , á los tenedores de la del S por 100 se tes hace una extorsión muy A invitación del Sr. Presidente entraron á jurar y tomaron asiento los grande por este artículo.” ' fres. D. Saturnino Calderón, Procurador por la provincia de Orense, y Don El Sr. Secretario del Despacho de Hacienda: «Cuando el Gobierno Mariano Torres y Solanot, por la de Huesca. pensó en poner toda la deuda al 5 por 100, lo hizo primero con el objeto de Se dió cuenta.de un oficio, remitido por el Sr. Corregidor de esta co…</t>
  </si>
  <si>
    <t>…tas, opinaba que debían aprobarse por estar confor D. Antonio Ayarza , por Valencia. mes á lo prevenido. Asi se acordó. D. Agustín Arguelles, por Oviedo.^ ’ Concluido el despacho, tomó la palabra-el Sr. Medrano para presentar una D. Saturnino Calderón, por Orense. indicación. D. Francisco de Paula Crespo Rascón, por Salamanca. ’ El Sr. Medrano-. »Voy á hacer al Estamento una indicación, que no sé D. Mauricio Cárlos de Onís', por id. (Este se sabia por una acta hallarse si estará en su lugar: pero me parece que por lo menos no es inoportuna. Ha e…</t>
  </si>
  <si>
    <t>…su época, no podía ol optado por la de Búrgos, supuesto que la de Salamanca procedió á nueva elec vidar la reforma de la moneda. Asi es que fijó en once dineros cuatro granos la ción. También es preciso tener pre,ente que el Sr. D. Saturnino Calderón avi de plata ; labró la de vellón ligándola con aquel metal , que con el título de ma só admitiendo, pero consultando ciertas dudas que le ocurrieron por la desa ravedís Alfon.íes, sirvió de unidad y tipo á las monedas, y también ias acu probación de los documentos presentados por D. Agustín Alvare…</t>
  </si>
  <si>
    <t>…conformar con las juiciosísima^ razones del Sr. Secretario de Ha la exclusión de D. Cárlos de la corona. cienda; pero que habiéndose levantado un Sr. Procurador para inculpar el acta Se leyó una proposición firmada por I05 Sres. D. Saturnino Calderón y en una cosa que él creía esencial y que había hecho con inunciones un senci ColUntes y el marques de Somcruelos, dirigida á que se impriman por separa llas, se vería en la precisión de pedir_que siguiese su curso la adición. do las sesiones y el dictamen de la combion relativo* á la expresada exclu…</t>
  </si>
  <si>
    <t>…ngera se distinguirá en adelante en deuda S* »1&gt;r!6 4 la once. activa y deuda pa*iva. Se leyó y aprobó el acta de la anterior. Su conversión en deuda activa y en deuda pasiva , se e ecutará en la pro Se d¡6 cuenta de un oficio de D. Saturnino Calderón , electo Procurador porción de do» terceras partes en deuda acl«va , y una tercera parle en deuda por la provincia de Orente, remitiendo lux podcret y documento» justificativos pasiva. de tu aptitud legal. Se mandaron pasar i la comisión de Poderes. Y en todo lo restante hasta el artículo 11 están…</t>
  </si>
  <si>
    <t>Calero</t>
  </si>
  <si>
    <t>…Morella, La colum vedad y severidad, que es lo único que puede producir uo saludable es na del coronel Pozo hace los mayores esfuerzos para alcanzarlos, y carmiento, último término de todas las.leyes criminales. Este trabajo del Sr. Calero está lleno de buenas máximas y principios muy lumi nosos.sus individuos están animados del mas noble entusiasmo en favor -----Filosofa política, ó elementos de )a cieocia de gobierno y adminis de la causa que gloriosamente sostienen. tración pública, obra escrita en francés por Bourboo-Leblaoc, y t…</t>
  </si>
  <si>
    <t>Calero, Narcisa Vacia y</t>
  </si>
  <si>
    <t>Narcisa Vacia y Calero</t>
  </si>
  <si>
    <t>…señanzas. que estime proporcionad.* pata reintegrar a dicho establecimiento de las can tidades que anticipe para s**:e:;cr dichas enseñanzas. En los propios términos han obtenido igual gracia Doña Micaela Mar tin en esta Corte, y Doña Narcisa Vacia y Calero en Barcelona. S. M. la Rn \ a Gobernadora se ha dignado disponer que se imprima por cuenta de los fondos de balanza la obra que ha traducido del francés el Asimismo se ha concedido licencia á D- Alejandro Moronati para abrir comnel , primer comandante del primer regimiento de la Guardia Real pro en…</t>
  </si>
  <si>
    <t>Calixto, Juan</t>
  </si>
  <si>
    <t>Juan Calixto</t>
  </si>
  <si>
    <t>…económica, y tomará á su cargo la conservación cisco Bustamante, D. José Agustín de Larramendi, D. Amonio Gutiér de las fuentes y paseos públicos, el establecimiento de una escuela rez, D. Antonio López Aguado, D. Pedro Miranda y D. Juan Calixto de de niñas, y la promoción de otros objetos de utilidad y recreo que Ojeda. Pocos negocios son capaces de llamar la atencioqdel público con costeó en otro tiempo. mas interes que el que Forma el objeto de estas Memorias, y cuando se leen los nombres de los autores que las han escrito se puede tener una…</t>
  </si>
  <si>
    <t>Calixto, Pedro Miranda y D Juan</t>
  </si>
  <si>
    <t>Pedro Miranda y D Juan Calixto</t>
  </si>
  <si>
    <t>…n mará la sociedad económica, y tomará á su cargo la conservación cisco Bustamante, D. José Agustín de Larramendi, D. Amonio Gutiér de las fuentes y paseos públicos, el establecimiento de una escuela rez, D. Antonio López Aguado, D. Pedro Miranda y D. Juan Calixto de de niñas, y la promoción de otros objetos de utilidad y recreo que Ojeda. Pocos negocios son capaces de llamar la atencioqdel público con costeó en otro tiempo. mas interes que el que Forma el objeto de estas Memorias, y cuando se leen los nombres de los autores que las han escrito se puede tener u…</t>
  </si>
  <si>
    <t>Callanta, Calderón</t>
  </si>
  <si>
    <t>Calderón Callanta</t>
  </si>
  <si>
    <t>…contrariar las por el divorcio se prefieran á los Colaterales en quinto grado; mas juzgo que se leyes ; y citó la ley 45 . título 28, partida 3.* debería modificar esta sucesión , sujetándola i lo menos en cuanto á los bienes El Sr. Calderón Callanta: «Aunque seré' breve, sin embargóme haré &gt; raíces al derecho de reservación,'pira que^Jespues de sus días vuelvan á los pa cargo de los argumentos presentados contra el artículo en cuestión, aunque uno rientes de dichos grados: por lo demas repito que estoy conforme con la co de ellos ha sido comba…</t>
  </si>
  <si>
    <t>Callantes, Calderón</t>
  </si>
  <si>
    <t>Calderón Callantes</t>
  </si>
  <si>
    <t>…idado». Por 10 tanto yo creo que es Se presentó otra del Sr. López del Baño al párrafo 6.°: «Pero esta pena muy oportuno se apruebe la adivion hecha por la comisión.” no se podrá imponer á los que obtuvieren Reales despachos.” El Sr. Calderón Callantes: «Ninguno mas amante que vo de la Mióla Se tomó en consideración por 4^ votos contra 34 t y mandó pasar á la urbanj y de su mayor (omento; pero pt r esta m.sma razón creo que de'en comisión. evitarse todos los excesos que puedan cornpiometer t*n necesaria .ustit^.ou El Sr. Vega y Rio presentó la si…</t>
  </si>
  <si>
    <t>…ón relativo á este punto, concebido en proceder asi, no seria malo que pasase i U comisión para que viese los mou«* Atos términos: vos que tuvo el ministerio de la Guerra para^establecer esta junta.” Secretaría del tribunal. 0 El Sr. Calderón Callantes : « Entonces los Sres. Secretarios del Oes pacho de Guer¿^ y Hacienda podrían servirse pasar una nota de los empleados que Art. 2.° «Se suprimen 11 oficiales, dejando solo 6 con los Sueldos de 189 componen esa junta, de los sueldos que disfrutan , y todo lo rclatiro á este pun el máximo, y 69 el mí…</t>
  </si>
  <si>
    <t>Callantes, CaltierOfi</t>
  </si>
  <si>
    <t>CaltierOfi Callantes</t>
  </si>
  <si>
    <t>…cho 24, 20; y 20 en el que ha dicho 24, f se verá que los díscur&gt;o* que be ocuparse de cs'e asunto hasta que la Comisión hava presentado su dietámen.” dan perfectamente lo mismo que.estaban" antes. Prueba de que entre sus argu El Sr. CaltierOfi Callantes : »&gt;La posición de los individuos de la comu»icvn, mentos y la cantidad que fijaban no había una ilación precisa. Yo previ e&gt;ta después de la discusión de ayer y de la que ha ocupado boy al Estamento , se dificultad desde, el principio. En un presupuesto de cantidades arbitrarias, de ha hecho cada…</t>
  </si>
  <si>
    <t>Calmada</t>
  </si>
  <si>
    <t>…nterior se ha recibido hoy el parte siguiente del profesor de medicina D. Pedro María Rubio , comisionado de órden de S. M. EFECTOS FVSLICOS. •O la villa de Mora. Inscripciones en el1 gran libro k i p. 100, 68 al Conrado. »Excmo. Sr.: Calmada ya la inquietud y alarma que[produjeron en el áni Títulos al portador del Ip. 100, o7¿ y 68f al contado: 68 k 11 i. t. 6 val* á 4 p* 100» Inscripciones en el gran 58¿ al contado* libro mo de los habitantes de este pueblo los primeros casos de cólico* coléricos rá P* 100. del 4 al contado. al portad…</t>
  </si>
  <si>
    <t>Calvet, Francisco</t>
  </si>
  <si>
    <t>Francisco Calvet</t>
  </si>
  <si>
    <t>…ersona fidedigna escribe desde esta ciudad con la indicada fecha lo cente Ruiz Morqueeho, ¿ D. Joaquín Lorenzo Lázaro, que lo son siguiente : »La peste que se ha declarado, en primer lugar en Jada y despoe* de dicha audiencia , á D. Francisco Calvet y á D. Clemente- García cu Smi/na, ha hecho aquí también su aparición , habiendo ya ocurrido «ario* Escudero .alcalde del crimen de la misma: en clase de alcaldes del accidentesenfermedadenunestacaráctercapitalmaligno.y sus arrabales, aunque hasta ahora no presenta la crimen á D. Joaquín Velluti, á D…</t>
  </si>
  <si>
    <t>Calvet, José</t>
  </si>
  <si>
    <t>José Calvet</t>
  </si>
  <si>
    <t>…Ga.vez, hombres y cogió 15, teniendo jzor su parte dos hombres muertos y uno heri Tomás Lizanda, Joaquín Trullcn. Cadetes: D. Juan Sevilla, D. Antonio Re do ; finalmente, que los enemigos se habian retirado á Moura. (Idem.) set, D. José Calvet, D. Salvador Calvet. Sargentos segundos: Antonio Faura, Clemente Pardo, Romualdo Saló. Cabo primero: Manuel Alacluna. Cabo ESPAÑA. gundo: Fernando Fcrrer. Nota. Los soldados de este regimiento se han distinguido á porfia, v entre Burriana 12 de Febrero. ellos son acreedores ¿ la distinción de S' M-…</t>
  </si>
  <si>
    <t>Calvo</t>
  </si>
  <si>
    <t>…i atacarlos, y ganado en esta acción 83 cabezas de ganado lanar dió á votar, y no fueron aprobados lós poderes del Sr. Tarancon. y lóOO'de ganado vacuno. Las tropas repartieron entre sí lo que quedaba, y Tampoco lo fueron los del Sr. Calvo, segunopinó la Comisión por igual cada cual vendió su parte como presa de poco valor: se asegura que se ha en motivo de no justificar las calidades de la ley. contrado una grande cantidad de objetos en Ijas tiendas de estos árabes. Estas Se dió cuenta de las solicitudes de los Sres. marques de M^os…</t>
  </si>
  <si>
    <t>Calvo, B Lucas</t>
  </si>
  <si>
    <t>B Lucas Calvo</t>
  </si>
  <si>
    <t>…del enemigo. La 3.a que tuvo la gloria de batirlos, dispersarlos y cogerles un prisionero,.y el pue brigada queda ocupando el pais á retaguardia de la manera siguiente : ViJlaiba blo de Muro á Ja llegada de la-partida á cargo del teniente B. Lucas Calvo le de Losa, con 5Cr hombres del provincial de Segovia; Villafna (valle de Val- entregó dos-caballos y una pisteila-que habían cogido á los facciosos, siguiendo degovia), conXS en comunicación con Frías; Espinosa de los Monteros, con de cerca el-resto de ellos la-partida de Urbanos de Aguilar á carg…</t>
  </si>
  <si>
    <t>Calvo, D José María Chapón y</t>
  </si>
  <si>
    <t>D José María Chapón y Calvo</t>
  </si>
  <si>
    <t>…también peleas de gallos desde las doce, y á las cuatro de la tarde el alférez Real dio un banquete á las personas distinguidas, en el cual hizo cabeza Partes recibidos en ¡a Secretaría de Estado y del Des pacho de la Guerra. el Sr. D. José María Chapón y Calvo , alcalde ordinario de primera elección en esta capital: observóse en él toda etiqueta, y duró hasta las ocho de la noche. El 6 salió de Pamplona el general en gefe del ejército del Norte con di** Se iluminó la ciudad como la anterior, y el baile terminó á la una y media. reccion al Bastan , dejand…</t>
  </si>
  <si>
    <t>Calvo, José María Chapón y</t>
  </si>
  <si>
    <t>José María Chapón y Calvo</t>
  </si>
  <si>
    <t>…bién peleas de gallos desde las doce, y á las cuatro de la tarde el alférez Real dio un banquete á las personas distinguidas, en el cual hizo cabeza Partes recibidos en ¡a Secretaría de Estado y del Des pacho de la Guerra. el Sr. D. José María Chapón y Calvo , alcalde ordinario de primera elección en esta capital: observóse en él toda etiqueta, y duró hasta las ocho de la noche. El 6 salió de Pamplona el general en gefe del ejército del Norte con di** Se iluminó la ciudad como la anterior, y el baile terminó á la una y media. reccion al Bastan , dejand…</t>
  </si>
  <si>
    <t>Calvo, Lucas</t>
  </si>
  <si>
    <t>Lucas Calvo</t>
  </si>
  <si>
    <t>…onsideración, y ahora basta la corta escolta con « En vista de esto , dispuse saliese inmediatamente el teniente de la.compaque viajo. Tal es el cambio que en corto tiempo ha sufrido este pais por la dis ñía de cazadores de Soria D. Lucas Calvo con 12 infantes y 8 caballos con persión y desarme de los facciosos que lo infestaban, debido todo á la incansa dirección al alto de S. Andrés , que era por-donde calculaba podrian venir los ble decisión de nueslrai tropas. Mañana pienso pasar á Medina de Pomar. facciosos; mas á poco ralo llegó el…</t>
  </si>
  <si>
    <t>Calvo, Nemesio</t>
  </si>
  <si>
    <t>Nemesio Calvo</t>
  </si>
  <si>
    <t>…en nuestro poder de los primeros solo forma columna anhelaba encontrarse con los pérfidos enemigos de la patria, siendo una parte muy pequeña de los que tuvieron , contando entre ellos dos caballos. notable la decisión del joven D. Nemesio Calvo, que no habiendo cumplido la • La nuestra ha consistido en 2 heridos mortalmerne, 11 de alguna gravedad edad de 12 años siguió toda la marcha con su tercerola al hombro, por mas y 5 leves de la Guardia Real de infantería; S muertos, 7 heridos graves, 4 que el gefe de la columna insistía que se qued…</t>
  </si>
  <si>
    <t>Calvo, Pedro Pascasio</t>
  </si>
  <si>
    <t>Pedro Pascasio Calvo</t>
  </si>
  <si>
    <t>…esados frutos y efectos á su introducción en la ciudad de Venecia por ser este puerto franco: solamente el vino paga á PROVINCIA DK VALIA DOUD. su entrada en la ciudad para el consumo 8 rs. vn. 7 mrs. por arroba; y el aguar - Sf. D. Pedro Pascasio Calvo. diente-y espíritu 14 rs. vn. 13 mrs. por arroba. Sr. D. Cayetano García de la Maza, propietario y comerciante. Sr. conde de Adanero. ESTADO SANITARIO DEL REINO. Extracto del parte remitido por el gobernador civil de la provincia de San PROVINCIA DE CORDOBA. tander D. Andrés Crespo Can tolla con fec…</t>
  </si>
  <si>
    <t>…sé María de Monreal, por Navarra. otro que las provincias no tienen completa la representación que les está asig D. Manuel Joaquin de Tarancon , por Soria. nada, como quieren y deben querer. No soy de ios que votan, como suele de D. Pedro Pascasio Calvo, por Valladolid. cirse, en tropa: en todas ocasiones y compromisos, voto y he votado según me M. Manuel González Allende, por Zamora. , dicta mi convencimiento y mi conciencia; pero sí deseo que las resoluciones del Estamento presenten en lo posible el sello de una imponente mayoría , su Sres. Proc…</t>
  </si>
  <si>
    <t>Calvo, Valerio</t>
  </si>
  <si>
    <t>Valerio Calvo</t>
  </si>
  <si>
    <t>…t coroné! comandante" de escuadrón de cazadores de Exento. Sr. conde de Expelerá." =Es copia-CsEzpeleta. Isabel iiD.Jutun de Pablos; el ca pilan tde.&amp; m¡$m¿ .compafiía^D. Frailan ^Újory, qué condocia la primera mitad ,-y cl porta D. Valerio Calvo, que di El mismo capitán general con la del 13 dice i este ministerio Jo siérrente: rigía ta otra^ como lefc valientes xargéiítba'ülUtt y moldados que tuvieron la glo «•Exento. Sr.: Después de la dispersión que experimentó la facción de Cuevi las ria de hálUrse cn esía brillante jornada , de .quien…</t>
  </si>
  <si>
    <t>Calvo, Vicente</t>
  </si>
  <si>
    <t>Vicente Calvo</t>
  </si>
  <si>
    <t>…jadericos, Aum. Ii, guitarrería de Campo Consejo de Navarra , á D. Josef Manuel de Arizaga alcalde del crimen de "r-Ante el Sr. D. Jow5 Maceda, leáúftdó teniente de ásisVénte .dé la ciudad *de Sc^Uá U Real audiencia dé Granada, i D. Vicente Calvo fiscal de lo civil de la nettde la testamentaría cóncíirsada ne;D. Tomás Gsbiás* y á-vlrtitd de despacho 1** Real-audiehcia de Búrgos, í D. Vicénte Valero y Sardi corregidor de Lo brado á esta corte cumplimentado por el Sr. D. Pedro Balsera, teniente corregido» groño y í D. José Duque alcalde maybr…</t>
  </si>
  <si>
    <t>…adericos, Aum. Ii, guitarrería de Campo Consejo de Navarra , á D. Josef Manuel de Arizaga alcalde del crimen de "r-Ante el Sr. D. José.Maceda, leáúndó teniente de ásisVénte .dé la ciudad *de SéCin*» U Real audiencia dé Granada, i D. Vicente Calvo fiscal de lo civil de la nettde la téstqtnemafíe cóncíirsada ne;D. Tomás G*laréa* y á-vlttitd de despache l*** Real-audichcia de Búrgos, í D. Vicente Valero y Sardi corregidor de Lo brado á esta corte cumplimentado por el Sr. D. Pedro Balsera, teniente corregidor qsta villa, so c^ta y empfaza ¿ .to…</t>
  </si>
  <si>
    <t>…a Real audiencia de Bur al trono de las Españas de su legítima heredera Doña Isabbi ii, gos, vacante por traslación de D. José Vecino á oidor de la de como porque su gobierno en la menor edad esté á cargo de una Granada, nombro á D. Vicente Calvo, corregidor de Logroño. Madre que, cual ángel tutelar, no anhela ni suspira mas que por Tendréislo entendido, y lo comunicareis á quien corresponda=Está la felicidad de los españoles. rubricado de la Real mano.=En Aranjuez á 23 de Abril de 1834- El alcalde mayor, recientemente agraciado por V. M.,…</t>
  </si>
  <si>
    <t>Cam, Federico Rodríguez y</t>
  </si>
  <si>
    <t>Federico Rodríguez y Cam</t>
  </si>
  <si>
    <t>…á D, Juan Antonio Perca; 12,493. 400..................... para la principal de Salamanca á D. Vicente Mayoral de la Vega, y para la 10,546. 400..................... .... Barcelona. plaza de oficial segundo de la de Puerto-Rico á D. Federico Rodríguez y Cam 1,481. 400..................... .... Algeciras. pos, escribiente de número del ministerio de lo Interior. 1,313. 4oo..................... Asimismo se ha dignado S. M. admitir la renuncia que ha hecho el in terventor de la administración de correos de Lugo D. Fulgencio Pérez de Ca soisa de comercio.…</t>
  </si>
  <si>
    <t>Cámara, Ea</t>
  </si>
  <si>
    <t>Ea Cámara</t>
  </si>
  <si>
    <t>…de contestación al discurso de ta corona en ta apertura de las Cá llamaba mas su atención. El conde Mulgrave añadió, con respecto al modo de maras. pencar de los colonos, que efectivamente á su llegada encontró cierta prevención "Señor: Ea Cámara de diputados ha venido apresuradamente al primer contra el bilí: pero que á los seis ó siete meses había disminuido mucho, ó por llamamiento de V. M. Acabando de recibir los sufragios de la Francia , ór mejor decir , había desaparecido enteramente, y que después de aquel período ganos legítimos de sus…</t>
  </si>
  <si>
    <t>Cámara, Fran</t>
  </si>
  <si>
    <t>Fran Cámara</t>
  </si>
  <si>
    <t>…s de Levan- Consejo y Cámara de Castilla se ha servido nombrar para la plaza de alcalde te.” No habiendo quien pida la palabra sobre ei todo del proyecto, pasa la del crimen de la audiencia de Valladolid, vacante por promoción de D. Fran Cámara á discutir los artículos, y todos quedan aprobados: después por 110 vo cisco Delgado y Ayala, í D. Cipriano de la Riva. Asimismo se. ha servido tos contra 5 aprueba también el todo de la ley, que con algunas modificaciones trasladar á D. Pascual Méndez Acuña, oidor de la audiencia de Sevilla, í igu…</t>
  </si>
  <si>
    <t>Cámara, Jourdan La</t>
  </si>
  <si>
    <t>Jourdan La Cámara</t>
  </si>
  <si>
    <t>…e, y el otro para suministrar al gobierno los fondos nece feliz y largo gobierno de la Soberana de las Es pañas. sarios para señalar pensiones á las viudas de los generales Gerard, Daumesnil. Andujar 25 de Diciembre, Decaen y del mariscal Jourdan. La Cámara manda qué se impriman dichos proyectos de ley, y hecho, se En esta ciudad se ha verificado la proclamación de muestra augusta Sobera-l distribuyan á las comisiones. - na el 17 de Noviembre último con toda la solemnidad que permiten las cir- l Se principia á discutir el proyecto de ley relativo á la…</t>
  </si>
  <si>
    <t>Cámara, Presidente del Consejo y</t>
  </si>
  <si>
    <t>Presidente del Consejo y Cámara</t>
  </si>
  <si>
    <t>…to.:^ Está rubricado de la Real mano-“En Aranjuez puerto, ha acudido á S. M. la Reiva Gobernadora manifestándole su sentí-I miento por el silencio que se ha guardado acerca de los servicios que la Marina! 18 de Marzo de 1834 = Al duque Presidente del Consejo y Cámara de ha hecho en dicho punto en defensa de los derechos de la Reina nuestra Seño-1 Castilla. ra Doña Isabel ii , y ha solicitado por tanto que se haga pública fu conducía,] Deseando remunerar los servicios y decidida lealtad-del ministro del con y la de sus subordinados acreditada muv completamente con…</t>
  </si>
  <si>
    <t>Cámara, Roederer La</t>
  </si>
  <si>
    <t>Roederer La Cámara</t>
  </si>
  <si>
    <t>11/05/1834</t>
  </si>
  <si>
    <t>Gaceta de Madrid n.º 80</t>
  </si>
  <si>
    <t>…plementario de un millón 2009 francos abiertó al ministro del Interior da fa Europa se vé atormentada por una enfermedad social, no es posible cu para gastos secretos. rarla con la ley de gritadores, ni con la de asociaciones. El conde Roederer La Cámara se constituye en sesión secreta para deliberar acerca del informe 1 u apoya el proyecto, fundándose principalmente en (jue organizada la sociedad de la comisión de contabilidad. civil , no es posible tolerar dentro de ella otras asociaciones particulares que se Se levanta la sesión pública i las cu…</t>
  </si>
  <si>
    <t>Camara, Vasconcellos La</t>
  </si>
  <si>
    <t>Vasconcellos La Camara</t>
  </si>
  <si>
    <t>…Tiene 16&lt;»9 hombres sobre las armas, y puede aumentar fácilmente este mente v en comisiones importantes, a los Sres. Diputados, general Jorge de número cen reclutas síicados del Asía menor y otras provincias de que dispo Aviles y Sr. Vasconcellos. La Camara concedió por unanimidad la licencia ne. Acaba expresando que esta firmemente resuelto a sacudir el yugo de la que se pedia. Puerta, y á establecer su independencia de un modo completo. El Sr. Avila manifestó las razones que le habían movido á hacer la pro posición que acababa de pre^ntar, siendo un…</t>
  </si>
  <si>
    <t>Cambil, Lírarq</t>
  </si>
  <si>
    <t>Lírarq Cambil</t>
  </si>
  <si>
    <t>…z, te autores, determinó no detenerse en Tarragona mas que el tiempo necesario niente graduado de capitán: teniente D. Alejandro Fano, y porta-estandarte para dictar las mas terminantes órdenes al general segundo cabo para que im D. Lírarq Cambil: el teniente de artillería retirado , y ayudante de campo del pidiese á Carnicer repasar el Ebro; y sabiendo que este aparentaba dirigirse por brigadier Bretón D. Francisco de Mora y Pauls: el segundo ayudante de ciru Prabes á Momblanc, emprendió su marcha á Valls con el objeto de salirle al gía mé…</t>
  </si>
  <si>
    <t>Cambr, José María</t>
  </si>
  <si>
    <t>José María Cambr</t>
  </si>
  <si>
    <t>…general Rodil reunió el 16 en Castel-o-branco todas las fuerzas de su Extracto del parte remitido por el gobernador civil de la provincia de Sa inmediato mando, con las cuales había penetrado en Portugal por la frorftera lamanca D. José María Cambr uñero om le*.ha de :&gt; de Mavo actual. de Castilla la Vieja, y se preparaba á ejecutar los movimientos concertados con Se ha realizado la quinta y organizado ia Mílic-a urbana ,on U mayor ra el duque de Terccira, en razón de los que ejecuten ó puedan presumirse á los pidez. En 26 pueblos se han alig…</t>
  </si>
  <si>
    <t>Cambronero, José María</t>
  </si>
  <si>
    <t>José María Cambronero</t>
  </si>
  <si>
    <t>…ubsistencia. La sociedad económica dé aquella capital, instalada en 27 de Abril ulti mo, continúa sus útiles tareas* ' ESPAÑA. Extracto del parte remitido por el gobernador civil de la provincia da Se* Córdoba 9 de Junio. lamanca D. José María Cambronero con fecha de 14 de Junio actual* Se ha organizado con la mayor rapidez la Milicia urhasa, y solo en d rnaa Se( anuncia para satisfacción de los habitantes de esta provincia que en la de Mayo se han alistado 9102 Urbanos de infantería y 363 de caballería! maRana del f del corriente fue preso en la e…</t>
  </si>
  <si>
    <t>Gaceta de Madrid n.º 168</t>
  </si>
  <si>
    <t>…2 *80 14 CfuadaTajára. . *» 28 á 30 ídem. . . 279 48 33 _ . Alarchamalo..,. 25 á 28 ídem... 23 4 :.. 12 Extracto del parte remitido por el gobernador civil de la provincia de Mondejar....... 28 Ídem,............ 28 10 5 Salamanca D. José María Cambronero con fecha de 14 de Julio actual último. Nota. Los 80 enfermos curados en Almoguera, debían este beneficio, se-, ' La cosecha de lana es abundante , y su precio regular ha animado esta gun el parte, á Jas sangrías: ha producido también buen efecto en Guadalajara decaída industria: lá de cereales que…</t>
  </si>
  <si>
    <t>Camilo</t>
  </si>
  <si>
    <t>…osos do Deuda negociable del 5 p. 100 4 papel , 124 y á varias fs. ó vol. Al&lt;»va, que en número de mas de—18 hombres habían aparecido en dicho pue Id. sin ioteres, 5^ a 30 y 40 d. f. 6 vol. blo , combinando este movimiento con el brigadier Camilo, gefe de la colum Acciones del banco español, 00. na móvil de Alava; y con fecha del 4 manifiesta se dirigieron juntos á Maes- CAMBIOS. tú, donde adquirieron Jas noticias de que los facciosos habían dormido la no Amsterdam , 00. París 16 4 r6-i. Cádiz *4 * b. Sevilla í d. che del 3 en Greño, tres l…</t>
  </si>
  <si>
    <t>Camino, D Francisco Perca</t>
  </si>
  <si>
    <t>D Francisco Perca Camino</t>
  </si>
  <si>
    <t>…su disfrute.así de la bellota como de la yerba y pastos; y que si se en El Sr. D. Manuel de Zulueta , por la suscripción del presente mes... 20 contrasen , les «-mas conveniente se divida la debesa entre las mismas, fijen las El Sr. D. Francisco Perca Camino, por id. id............... ...................... 80 bases y reglas sobre que deberá practicarse, y que de todo se me informe con EL Manuel Gaícía.................. ..................................................................... 20 remisión del expediente original que al efecto se instruya. E…</t>
  </si>
  <si>
    <t>Camino, Francisco Pcrez</t>
  </si>
  <si>
    <t>Francisco Pcrez Camino</t>
  </si>
  <si>
    <t>…en virtud de ellos debía aprobarse su poder por haber D. Bcrnardino Casado........................ 1.................................................. 20 cumplido etn la condición acordada en la sesión de ayer. Puesto á votación D. Francisco Pcrez Camino, 80 rs. mensuales, ha entregado losdel este djctápíen ¿ fue aprobado. presente*..................................................................................................... 80 La secretaria dió cuenta de una exposición del Sr. Palarea, en la que pro metía presepttfr nuévosdocumentos en un b…</t>
  </si>
  <si>
    <t>Camino, Francisco Perca</t>
  </si>
  <si>
    <t>Francisco Perca Camino</t>
  </si>
  <si>
    <t>…disfrute.así de la bellota como de la yerba y pastos; y que si se en El Sr. D. Manuel de Zulueta , por la suscripción del presente mes... 20 contrasen , les «-mas conveniente se divida la debesa entre las mismas, fijen las El Sr. D. Francisco Perca Camino, por id. id............... ...................... 80 bases y reglas sobre que deberá practicarse, y que de todo se me informe con EL Manuel Gaícía.................. ..................................................................... 20 remisión del expediente original que al efecto se instruya. E…</t>
  </si>
  <si>
    <t>Campa</t>
  </si>
  <si>
    <t>…de Melendaé, González Perez, conde de Hust, López del Baño, Martí, Campi Aragón.” llo, DejPedro, conde de Almodovar, conde Adanero, Alvarez García', Ro- Se cerró la sesión á las cuatro. marate ) Butrón, Laborda, Polo y Monge, Del Rey , Campa, San Simón, Arañgo, AyalaSres. que desaprobaron el artículo: Istñriz, Zamora, conde de las Navas, Ao/ar. En la sesión de 21 del actual, colum. ta, lín* 11 y 15. donde se dice qtu Acuña, Morales, marques de Torremej¡a. tas instituciones populares (.,. ) qae todo cargo público , debe leerse que en la…</t>
  </si>
  <si>
    <t>Campaoeu, José Magon y</t>
  </si>
  <si>
    <t>José Magon y Campaoeu</t>
  </si>
  <si>
    <t>….......... 2000ner la salud y para que no se relaje la disciplina. &lt; D. Francisco y D. Ignacio Pérez de Soto............................................. 1000 «Con el debido respeto, &amp;c^=El teniente general comandante interino de D. José Magon y Campaoeu............................... 60los cuerpos de ocupación de Africa, VoiroL” El Excmo. é limo. Sr. D. Manuel Fraile, obispo de Sigíienza y Pa- . triarca de las Indias................... .. . *............................................ ........... 3000____ El Constitucional, hablando del proceso del Morning-Post, i cuyo editor D. Fra…</t>
  </si>
  <si>
    <t>Campbell</t>
  </si>
  <si>
    <t>…sfacer al extrangero y concillarnos algún género de preferencia, no pi á la dominación del Sultán, ó por mejor decir al gabinete de S. Pétersburgo. damos más á la fortuna, que ella jo hará por sí y á menos costo que las leyes. El coronel Campbell, agente diplomático ingles , acompañó á Mehemet-Alí Podrán , el ministerio asi lo piensa, hacerse modificaciones oportunas en su viage á Siria. Se dice que este ha tenido que sacar de sus arcas grandes suma» la policía de los puertos ,cn el servicio de las aduanas, en el código-mercantil de dinero…</t>
  </si>
  <si>
    <t>Campe</t>
  </si>
  <si>
    <t>…en la guerra civil, y de de Almodovar , Girar.( D. José ), Fuster, 5uberaase, conde , de Adanero, que en las demos hay chispas; por lo que el objeto de la Milicia utbana no Rojiarate, Butrón, Garay, Qrtiz de Velasco, Polo Monge, Rey, Campe, puede ser otro que el de sostener , llevada de su entusiasmo y patriotismo, las S. Simón, Arango y Ayala. libertades de la Nación, y el trono de nuestra joven Reina. Para esta misión, Se procedió en. seguida á la discusión por artículos. pues, me parece que-es muy poco á propósito una milicia obli…</t>
  </si>
  <si>
    <t>Campillo</t>
  </si>
  <si>
    <t>…elda leyó el título del reglamento sobre el modo de -•—Se'sferSrirf'iit, diez y medía» / • - — deliberar el -Estanacnto de Procuradores, y en seguida dijo: Los dictámenes dé 5e leyó el Reta de la anterior; y habiendo observado el Sr. Campillo que las comisiones es necesario que se fijen por ellas, porque si no mal se pueden «ta la relación de las rotaciones nominales que hubo en dicha sesión se le po pasar á votar. La comisión de Poderes ha dejado ai Estamento en incertidum ma en la lista de los Sres. Procuradores que votaron en contra…</t>
  </si>
  <si>
    <t>Campos</t>
  </si>
  <si>
    <t>…tes, y equilibrar los gastos con las rentas del Estado. París 29 de Octubre. La Cámara resolvió que esta proposición siguiese los tramites de regla mento. Ayer á la una presentó á S. M. el Rey de los franceses Sus credenciales El Sr. Campos leyó el informe de la comisión especial nombrada para exa el Sr. comendador Mouttinho de Lima, enviado extraordinario y ministro pie-1 minar el proyecto de lev relativo a formalizar la acusación contra ei ex-minís— mpotenciario de S. M. el Emperador del Brasil. {Diario de París.) tro del Interior q…</t>
  </si>
  <si>
    <t>Campos, Antonio</t>
  </si>
  <si>
    <t>Antonio Campos</t>
  </si>
  <si>
    <t>…47Í ’á varías fs., paradero los remitirá ú dará aviso i los seQures Galarza y Gaicoecbea, del comercio ^dentro de 60 dias) vol. y firme : 46$ á varias fs., vol. y firme sin cupón: 475 á 60 de esta.corte, ó eu Alicante al referido D. Antonio Campos; eo el concepto de que .días, vol. y firme a prima de { y $ p. 100. se han tornad» las oportunas medidas para evitar su circulación, ' tóales no consolidados, co. - -por providencia del Sr. Balsera, teniente corregidor de esta villa, se cita á las Deuda negociable del 5 p. 100 00. personas que se c…</t>
  </si>
  <si>
    <t>Campoy</t>
  </si>
  <si>
    <t>Gaceta de Madrid n.º 250 · suplemento</t>
  </si>
  <si>
    <t>…suscripción de la Ga- los Diario» de Córtes habían sido costosísimos al 'Estado, creyó que podría haceta, que desde luego me parece que es .muy módico, jr si .no me engaño no ^ cene por c&lt;ratráta;,j&gt;ero que habiendo presentado el Sr. Campoy una propuespasa de 20 rs. al mes, teniendo ademas láj Gaceta tantos súsetitores, y si^ido, G tá.inadmisible por' diierehtes respectos, habia dado últimamente su dictamen, un periódico tan generalmente esparcido por todas partes, dándose en sus su- reducido i que se avise al público llamando licitad…</t>
  </si>
  <si>
    <t>Camps</t>
  </si>
  <si>
    <t>…hacían arrostrar la muerte con impavidez y contento. Conociendo esto de Almodóvar, Ciscar Orí o1 a , Subercase , Romarate, Garay , Laborda , Polo sus legisladores, y lo mismo los de Esparta, reformaban inmediatamente el y Mongo, Rey, Camps, marques de San Simón, Arango # Ayala, y conde de menor vicio, la menor desigualdad, que se introducía en la posesión de los bie Adanero. nes; y siempre que los principios de sus Gobiernos se relajaban; siempre que Los Señores que lo desaprobaron fueron los que siguen: Rodríguez Vera# pretendían re…</t>
  </si>
  <si>
    <t>Camps, Bcrnardíno Hntillac y D José</t>
  </si>
  <si>
    <t>Bcrnardíno Hntillac y D José Camps</t>
  </si>
  <si>
    <t>…árroco como capellán de la sección. ¡Ejemplo de patriotismo digno do repuestos en las plazas de catedráticos del Real colegio de farmacia de esta ser imitado por todos los que desean la tranquilidad pública y la destrucción corte.D. Bcrnardíno Hntillac y D. José Camps y Camps, que habían sido se de las facciones que la alteran 1 parados de ellas el año de 1824 sin justo motivo, y nombrar para la enseñan za de química aplicada á las artes, que obtenía el primero en la ciudad de Má S. M. se ha dignado dispensar á D. José y D. Antonio Tomé de Ondar- laga, á D. Vicent…</t>
  </si>
  <si>
    <t>Camps, D José</t>
  </si>
  <si>
    <t>D José Camps</t>
  </si>
  <si>
    <t>…eresadas en sofocarla; se quitaron los catedráticos que sabían algo, y en gene co dicha petición. ral sejes sustituyeron otros enemigos de la libertad por sus intereses particula Se mandaron pasar á la comisión de Poderes los del Sr. D. José Camps, res. Y jqué se ha conseguido? nada. A pesar de haberse circunscrito las elec electo Procurador por las Islas Baleares. ciones á un círculo harto estrecho , cual es el de propietarios de cierta renta No habiendo mas despacho se pasó á la órden det día, que era la conti bastante elevada; todos los q…</t>
  </si>
  <si>
    <t>Camps, José</t>
  </si>
  <si>
    <t>José Camps</t>
  </si>
  <si>
    <t>…adas en sofocarla; se quitaron los catedráticos que sabían algo, y en gene co dicha petición. ral sejes sustituyeron otros enemigos de la libertad por sus intereses particula Se mandaron pasar á la comisión de Poderes los del Sr. D. José Camps, res. Y jqué se ha conseguido? nada. A pesar de haberse circunscrito las elec electo Procurador por las Islas Baleares. ciones á un círculo harto estrecho , cual es el de propietarios de cierta renta No habiendo mas despacho se pasó á la órden det día, que era la conti bastante elevada; todos los q…</t>
  </si>
  <si>
    <t>Camps, José Camps y</t>
  </si>
  <si>
    <t>José Camps y Camps</t>
  </si>
  <si>
    <t>…a sección. ¡Ejemplo de patriotismo digno do repuestos en las plazas de catedráticos del Real colegio de farmacia de esta ser imitado por todos los que desean la tranquilidad pública y la destrucción corte.D. Bcrnardíno Hntillac y D. José Camps y Camps, que habían sido se de las facciones que la alteran 1 parados de ellas el año de 1824 sin justo motivo, y nombrar para la enseñan za de química aplicada á las artes, que obtenía el primero en la ciudad de Má S. M. se ha dignado dispensar á D. José y D. Antonio Tomé de Ondar- laga, á D. Vicente Sant…</t>
  </si>
  <si>
    <t>Campus, Antonio</t>
  </si>
  <si>
    <t>Antonio Campus</t>
  </si>
  <si>
    <t>…otización de hoy á las tres de la tarde. corregidor de esta villa. SrBCTUS vpblicos. ------Por el correo que salió de esta corte el 14 dei corriente fueron dirigidos con so Inscripciones sobre el gran libro al 5 p. 100, 00. bre á D. Antonio Campus, del comercio de Alicante, cinco títulos al portador dei 4 D ebas Idem al 4 p. 100, 00. por too, de á io3 rs. cada uoo, señalados con los núms. 3070, 71 , 7a , 73 y 5128, y Títulos al portador de 5 p too, 00. no habiendo llegado á su destino el plirgo que los conducía, la persona que sepa su Id. id…</t>
  </si>
  <si>
    <t>Campuzano, Manuel Felipe</t>
  </si>
  <si>
    <t>Manuel Felipe Campuzano</t>
  </si>
  <si>
    <t>…gobernador civil de Teruel dió parte de los estragos qoe ocasiono la José Sánchez Súndino; y la de oficial 4-° de la misma administración de Lugo última avenida del OuáHalaviar en los términos de Aibarracin y Gea; y ha al cesante D. Manuel Felipe Campuzano, mandando $. M que sea separado biendo oido M. con el mayor sentimiento la narración de estas desgracias, el mozo de oficio D. Pedro Lugilde , y que ocupe su lugar D. Manuel Loriie, se ha servido mandar en Real prden de 9 del actual, que proponga con bre nombrado internamente por el administrador p…</t>
  </si>
  <si>
    <t>Campuzano, Martin</t>
  </si>
  <si>
    <t>Martin Campuzano</t>
  </si>
  <si>
    <t>…de los españoles, y los acometidos con tal valor y denuedo, que dejaron 5 muertos en el campo , en-1 temores de la minoridad y tutoría en que por muchos años quedaba la excelsa tre ellos el teniente que fue del antiguo resguardo D. Martin Campuzano, co- | Reina nuestra Señora Doña Isabel ii. En efecto, todos los decretos, todos giéndoseles un prisionero, 17 caballos, 8 sables, 12 armas de fuego y otros va los pasos de Ja inmortal Cristina , ó son ó prometen seguros y opimos frutos rios efectos, sin que por nuestra parte haya habido la menor d…</t>
  </si>
  <si>
    <t>Can, Andrés Crespo</t>
  </si>
  <si>
    <t>Andrés Crespo Can</t>
  </si>
  <si>
    <t>…. por arroba. Sr. D. Cayetano García de la Maza, propietario y comerciante. Sr. conde de Adanero. ESTADO SANITARIO DEL REINO. Extracto del parte remitido por el gobernador civil de la provincia de San PROVINCIA DE CORDOBA. tander D. Andrés Crespo Can tolla con fecha de 2 de Junio actual. El gobernador civil de dicha provincia dice con fecha 29 de Junio próxi Le parece que la propiedad territorial está demasiado subdividida en aquella mo pasado, que en aquella capital continuaban presentándose enfermos con provincia, y expone jos motivos que le…</t>
  </si>
  <si>
    <t>Can, Pato</t>
  </si>
  <si>
    <t>Pato Can</t>
  </si>
  <si>
    <t>…iva, y 33 y un tercio de pasiva; de lo que resulta que sí , se apro! ó el dictámen de la comisión. de 60 rs., 4l* son de deuda activa y 20 de pasiva.” El Sr. Presidente anunció que iba a continuarse la discusión por artículos -El Sr. Pato Can isas: «El articulo causa un perjuicio á la Nación: ha del proyecto de ley sobre deuda extrangeía y empréstito de 4OO millones; y biendo el Gobierno dividido la deuda la mitad en activa y la otra mitad en anadió: «Ayer , habiéodose desechado el articulo 3.° propuesto por U una) orí* , pasiva, deveng…</t>
  </si>
  <si>
    <t>Can, Tomas José González</t>
  </si>
  <si>
    <t>Tomas José González Can</t>
  </si>
  <si>
    <t>…e, y desentendiéndose del tenor de la cédula, hubiesen contenido o -Estos manifestaron quedar enterados de la comunicación que se les hacia transigido con los compradores sobre bases mas equü.*t¡ra$. del f illecimiento del Prócer D. Tomas José González Can^jal, ocurrido en 9 Semejante* perjuicios . y desigualdades , y Lis incesantes reclamaciones de dcJ corriente; como también d«l oficio en que Ja vjud.i del Excmo. Sr. conde los interesado», llamando la atención de S. M. ¡a Rlina Gobernadora, moti de Armildez de Toledo participaba al Estamento la def…</t>
  </si>
  <si>
    <t>Canals</t>
  </si>
  <si>
    <t>…a ni se opone i los intereses de nadie ni. dudas y satisfacer ios deseos de sis Sefiona. En primer lugardice que le pare- , al bien páblico.” . _ - ce ipoportuna la palabra ¡ibrimtnte , porque suponer.que es .injuriosa para el El Sr. Canals manifestó que en vea de ocuparse de principios absttae- ■ Gobierno y’jas Córtes por inducir ¿.creer puede llegar;el caso de que no vo i tos y de puras teorías, seria lo mas conveniente otuparse.de proponer medios ten estas libremente las contribuciones. Con solo hacer; presentes tos triste* . para…</t>
  </si>
  <si>
    <t>…o de esta pugnada. No ha hecho 5. S. mas observaciones sobre el artículo, y a*Í no mo artículo, sino aprobarse en ios términos en que se presenta.” lestaré mas la atención de Estamento sobre este punto, limitándome soloá ma- « El Sr. Canals dijo que estaba conforme con el artículo, pero qoc en su nrfestar que nuestras antiguas leyes han insistido siempre en proteger la propie concepto debía dejarse para cuando se discutiese el código penal. dad contra las usurpaciones. Los fuere» de nuestras ciudades lo acreditan , pues El Sr. Santafé…</t>
  </si>
  <si>
    <t>…contestó que se leería dicho voto cuando se proce dictámen. La misma comisión había examinado la exposición’ del Sr. marques de diese á la discusión. Monsalud, electo procurador por la provincia de Sevilla. Este interesado ma El Sr. Canals: »Ayer ya se principió á disentir sobre si las comisiones nifestaba que no podía menos de insistir en su renuncia, á pesar de serle muy debían extender su dictámen á mas de lo que han hecho en el exámen de las sensible no poder corresponder á la confianza con que le habían dutinguido peticiones, pe…</t>
  </si>
  <si>
    <t>…que están pendientes do de esto, eo el día los canónigos de Santiago tienen todos los demas re por este ramo á los primeros contribuyentes.” cursos que los de igual clase para mantenerse con el decoro que sabemos. A petición del Sr. Canals se leyó el art. 92 del reglamento, y después Por esto me parece que ahora seria basta injusto que continuase esta imposi dijo: ción, mediante á tener otros medios de subsistencia ellos y todos sus depen « El asunto de que tratamos no es un proyecto de ley , sino una petición; dientes. de consiguien…</t>
  </si>
  <si>
    <t>Canatali</t>
  </si>
  <si>
    <t>…coartar la' única facUl- r El iS éstabanttejnfiüht'tetras focTzas, y se espmaban buenca nesnitashnr cl brtv tad que: nosísdeel-da el teglémento.;.El* . Si. Cue*le.4&gt;l&lt;&gt; .fl11® ^ *°a . gactlér Bedoya -debé hábdr pasado d Eneo; y d general Canatali saBfi^fe VIS. &amp;.s¡emprerqiie aotn la ciiScusien de !§* prejugsjKtos qu^di$e&gt;.elginytf{9éj9‘n ' toria'cóh' cuatM bdaJlaiiet ¿’refiémi» pota 'oautri6A,.,áncaan. tma«n¿W,¿Ja» ' .'.:i ytSt,..:tfMannlI«vm.había; leyes, «riMntpresentadas,,por. el t . , opereciooea.nülitares del ejlxcito 'do 'Ndwim'Súve |…</t>
  </si>
  <si>
    <t>Cañave, Rodrigo María</t>
  </si>
  <si>
    <t>Rodrigo María Cañave</t>
  </si>
  <si>
    <t>…de ella al Sr. D. Agustín Ar Igualmente se pasó á la misma ei testimonio del acta de la elección de la guelles , y por secretario al Sr. marques de Torremejía. El Estamento quedo provincia de Córdoba , que ha recaído en los Sres. D. Rodrigo María Cañave enterado. ral , y D. Manuel Sánchez Toscano. El Sr. Presidente anunció que los negocios señalados para la discusión de Se dió cuenta de un oficio del Sr. Secretario del Despacho de Hacienda, hoy eran: pr.mero U petición sobre el reglamento interior, sustituida a la que «n que manifestaba haber «res…</t>
  </si>
  <si>
    <t>Cañaveral, D Rodrigo María</t>
  </si>
  <si>
    <t>D Rodrigo María Cañaveral</t>
  </si>
  <si>
    <t>…s: «lio pedido la palabra para decir al señor La comisión de Poderes dió cuenta de haber reconocido los documentos Presidente, que cuando la comisión, de que tengo el honor de ser individuo, justificativos de la aptitud legal del Sr. D. Rodrigo María Cañaveral, electo ha pedido algunas noticias,, se le han pasado inmediatamente; lo que prueba Procurador por la provincia de Córdoba, manifestando que aunqtte en el ex que no es tan dificil el hacerlo. Yo quisiera, sin que por esto trate de inculpar pediente no existían los poderes de dicho señor, como const…</t>
  </si>
  <si>
    <t>…la Plana, en atención al Altaselas penas en que se incurre por ellas; la subordinación y obediencia á estado de sus intereses. las autoridades, y el juramento que deben prestar todos los individuos. Se dió cuenta da un oficio del Sr. D. Rodrigo María Cañaveral, Procu Los artículos 27,28 y 29 detallan las prendas de armamento, vestuario y rador por la provincia de Córdoba, presentando sus poderes y la partida de equipo que han de ser de cuenta del Estado, de los ayuntamientos ó del indi bautismo. El Sr. Secretario Caballero dijo que habiendo determinado e…</t>
  </si>
  <si>
    <t>Cañaveral, Domingo</t>
  </si>
  <si>
    <t>Domingo Cañaveral</t>
  </si>
  <si>
    <t>…ee: D. José Saint Yuste-. El Sr. Presidente: «No habiendo asunto ninguno pendiente, no se reu Habana. = D. Frfincisco Montalvo y Castañeda. nirá mañana el Estamento, y lo verificará el viernes á las diez para discutir Córdoba. ee D. Domingo Cañaveral. las peticiones que están señaladas. Ciérrase la sesión.” Se levantó esta á las 4* Soria, rr D. Luis San Clemente. D. Joaquín González Nieto. Ifota. En la sesión de 24 del actual, colum. 17. lío. 5, dice declarada léase des Sevilla. =e D. Antonio Scoane. echadJ. . » t / - • ' . / :a /• ., : ? • ■ • ÍN I…</t>
  </si>
  <si>
    <t>Cañaveral, Rodrigo María</t>
  </si>
  <si>
    <t>Rodrigo María Cañaveral</t>
  </si>
  <si>
    <t>…lio pedido la palabra para decir al señor La comisión de Poderes dió cuenta de haber reconocido los documentos Presidente, que cuando la comisión, de que tengo el honor de ser individuo, justificativos de la aptitud legal del Sr. D. Rodrigo María Cañaveral, electo ha pedido algunas noticias,, se le han pasado inmediatamente; lo que prueba Procurador por la provincia de Córdoba, manifestando que aunqtte en el ex que no es tan dificil el hacerlo. Yo quisiera, sin que por esto trate de inculpar pediente no existían los poderes de dicho señor, como const…</t>
  </si>
  <si>
    <t>…lana, en atención al Altaselas penas en que se incurre por ellas; la subordinación y obediencia á estado de sus intereses. las autoridades, y el juramento que deben prestar todos los individuos. Se dió cuenta da un oficio del Sr. D. Rodrigo María Cañaveral, Procu Los artículos 27,28 y 29 detallan las prendas de armamento, vestuario y rador por la provincia de Córdoba, presentando sus poderes y la partida de equipo que han de ser de cuenta del Estado, de los ayuntamientos ó del indi bautismo. El Sr. Secretario Caballero dijo que habiendo determinado e…</t>
  </si>
  <si>
    <t>Canciller</t>
  </si>
  <si>
    <t>…nle copia de pletamente , prescribir á lo menos el silencio. Asi se ha hecho en un Estado datos antes de rednlvcr erfuh puntó' irá déHeado y nascéñdcmal. de U república americana del Noite, donde aunque se ha empleado él^mcdío El lord Canciller dijo que el destino que ocupaba no le .permitía guardar vergonzoso de los azotes, que no se toleraría en Inglaterra, y que es un ul— silencio en iadscasion pmente^Dcsck iorger cotrvcma eb moóhas dé las obser ' traje a la humanidad, sin embargo no es tan difícil como i primera vista pare vaciones he…</t>
  </si>
  <si>
    <t>…rony se veránsinahoratrabajoobligadosde resultasá dirigirsede haberseá otra alistadoparte paraen gala NOTICIAS EXTRANGERAS. nar su jornal. 8 Después de escrito este artículo hemos leido las reflexiones hechas eq la Cá mara por el lord Canciller, que merecen la atención de todos los artesanos ilu sos. S. S. dijo que siempre había sido amigo sincero de las clases industriosas: (Continuación del correo anterior.) mas por lo mismo que lo era, hacia la declaración de que era enemigo de las AUSTRIA. sociedades de la unión. *»Nada, añadió, puede…</t>
  </si>
  <si>
    <t>…............. S00 todos los puntos dbnde ha querido presentar batalla , ya no le queda otro me dio de ocultar su impotencia, sino el de abusar de rodo y calumniar. Pero cier tamente no debía entrar en lucha con el partido tory el lord Canciller: debía Partes recibidos en la secretaría de Estado y del Despaeho de la Guerra. desdeñarse de combatirlo aunque estuviese seguro de la victoria. Esto nos hace volver la vista á nuestra prensa periódica, y observar la triste El coronel Quintana comunica al brigadier Bedoya en 11 del comente el difer…</t>
  </si>
  <si>
    <t>Cándano, Antonio</t>
  </si>
  <si>
    <t>Antonio Cándano</t>
  </si>
  <si>
    <t>…guiente era su total exterminio, á pesar de llevar 9 leguas la valiente tropa Aloy y 30 caballos del regimiento del Rey l.° de línea, al mando de su capi de mi columna, emprendí con la mayor celeridad mi marcha-, redoblando!» tán D. Antonio Cándano,"d^ teniente D. Ramón Veiasco y del porta gra todo lo posible, y á mi llegada á el , me encomie con 30 soldados de infantería duado de teniente D. Alej.mdro'Miranda , los cuales se reunieron instantánea de la Princesa del destacamento de Peñaranda con 8 de caballería del regimien mente : despaché u…</t>
  </si>
  <si>
    <t>Candar, Vicente</t>
  </si>
  <si>
    <t>Vicente Candar</t>
  </si>
  <si>
    <t>…rtdtaiáúNlAii ^f if 6 por medio 3e *Út¿. ber0*tfr*dé Médictázy Cirugía éh esta córte, plazuela de la Leña núm. 20, r«áo al citado luaga4o y;e»crib«iíaicfe GU&lt;an, á&gt; dohicer^cxpouer loque «oiwAi «n la demanda lusciUda por parte de D. Vicente Candar; sobre pertenencia de una* • acciones del Hzti eispréttita (k.i60íi¿iUofódlsQah*ái|Mrtl'ái^ü&lt;i BtfÉftf innáfinl -•i? s-J :;ó ir- ru....:?o ’b. él • - "-t» wbc: ¿ q.iti-t1'-'' si. vbi-írt, .:2 ii-' - • * -!•: en ÍA n^PRESTÁ iXEAL; . • n*J ¿u,' l . ii-áfcji/'.oi : ri ■ ■;*:J i; •.'(.;»* ic.v-. *1 i’…</t>
  </si>
  <si>
    <t>Caneja, Joaquín Díaz</t>
  </si>
  <si>
    <t>Joaquín Díaz Caneja</t>
  </si>
  <si>
    <t>…y declarando vacante el etnr dictando reglas para asegurar el reintegro de los acreedores de las casas ■ pico de los que soliciten licencia para ausentarse mientras dure la enferme intervenidas, (Id.y dad- (Id.) — _ _ nombrando i D. Joaquín Díaz Caneja, subsecretario del Ministerio de Gracia y Justicia. (Id). bolsa db combxcio___Cotización di hoy á ¡ai trn dt la tardi. ____mandando que la suprema junta de ApeTaciones de la Real Casa, los go bernadores , administradores y bailes del Real patrimonio sigan ejerciendo EFECTOS PUBLICOS. como hasta aqu…</t>
  </si>
  <si>
    <t>…y declarando vacante el etnr dictando reglas para asegurar el reintegro de los acreedores de las casas ■ pico de los que soliciten licencia para ausentarse mientras dure la enferme intervenidas, (Id.y dad- (Id.) — _ _ nombrando i D. Joaquín Díaz Caneja, subsecretario del Ministerio de Gracia y Justicia. (Id). bolsa na combxcio___Cotización di hoy á ¡ai trn dt la tardi. ____mandando que la suprema junta de ApeTaciones de la Real Casa, los go bernadores , administradores y bailes del Real patrimonio sigan ejerciendo EFECTOS PUBLICOS. como hasta aqu…</t>
  </si>
  <si>
    <t>…grados alemanes que llegan á este puerto para trasladarse presente; y teniendo-.en consideración las recomendables circuns á America, es todavía mayor este afio que los anteriores. Se ha formado luis tancias y buenos-servicios de D. Joaquín Díaz Caneja, secretario de decllos y asciende á 60&amp; almas. (Mercurio de Suevia.) l¡t sección de Gracia y Justicia del Consejo Real de España é In dias; he vertido en nombrarle para la. Subsecretaría del ministerio inglatekka. de vuestro cargo. Tendréislo entendido, y lo comunicareis á quien Ldndret 5 de Junio.…</t>
  </si>
  <si>
    <t>Cañera</t>
  </si>
  <si>
    <t>…Seoane con fecha de i5 del pró ximo pasado. El brigadier Triarte con las columnas de su mando i que se ha unido la qüe Explica la naturaleza del suelo de aquella provincia que exige la multipli de Galicia ha conducido al Ebro el coronel Cañera, están en pleno movi cación de canales y pantanos, y dice que este será el objeto constante de su ad miento sobre Vizcaya, habiendo partido el S dicho brigadier con su cuartel ge ministración. Asegura que la de la acequia llamada de Luceni ha recibido una neral desde Quiococcs. mejora muy important…</t>
  </si>
  <si>
    <t>Cañero, José Galvez</t>
  </si>
  <si>
    <t>José Galvez Cañero</t>
  </si>
  <si>
    <t>…os , y el número de estudiantes asciende á 464. El año anterior SO de los úl la de Albaida á D. Miguel Falcon Abellan : para la de Alniendra- timos acabaron sus cursos, y se retiraron sin exigir diplomas; 87los recibieron. lejo á D. José Galvez Cañero: para la del Barco de Avila á D. José En la universidad de Cassan hay 209 profesores y empleados, y el mismo número de estudiantes. En la universidad de Dorpat hay 67 profesores y em María Parejo: para la de Pontevedra á D. Juan Torrecilla de Ro pleados , y 539 estudiantes. En la época de la presen…</t>
  </si>
  <si>
    <t>Canga-ArgÜelles, Josef</t>
  </si>
  <si>
    <t>Josef Canga-ArgÜelles</t>
  </si>
  <si>
    <t>…cogerá ellascuadernoen que se3.0hubierendel tomósuscrito.4.0, en Madrid á la librería de Perez, y Los de Patencia, Santander, Ciudad-Real y Madrid con fechas de 7, 10 y -------Diccionario de Hacienda con aplicación á España , por D. Josef Canga-ArgÜelles, I 21 de Enero han hecho igual comunicación. ministro jubilado del consejo supremo de las Indias. Cuaderno 2%°: se vende en la )i- | breria de la viada deQuiroga. — ---- -Tratado práctico de las enfermedades sifilíticas, por L. V. Lagneau , doctor en I medicina &amp;c., traducido de la 6.a y última edi…</t>
  </si>
  <si>
    <t>Cano</t>
  </si>
  <si>
    <t>…havxrcomo centro á los extremos. ri, Torrees, Palaudarias, Puig , Atocha , GaroaXlarrasco, Domecq, Alcalá «Hay varias obras, tales como las de los puertos de mar, y entre Galiano , Cuevas, Pedrajas, conde de las Navas , Belmente, Caballero, Cano ellas el Grao de Valencia , el puerto de Tarragona y otras, que siendo si cabe Manuel (hijo), "Víñals, Hubert, Carrillo ManriqueGonzález (D. Juan de mas interes general ó nacional que el canal, se costean no solo con arbitrios Gualberto), Pízarro, Heredia , Santafé, Torres Solanot, Serrano ( D. Fra…</t>
  </si>
  <si>
    <t>Cano, JóSé</t>
  </si>
  <si>
    <t>JóSé Cano</t>
  </si>
  <si>
    <t>…aña sobre las tres avenidas por donde dirigían sus colum á la curación de los heridos durante el mas vivo fuego; y finalmente, del co nas los enemigos, y en esta actitud imponente resolví esperarlos en cualquier misario de guerra D. JóSé Cano , y del factor de provisiones D. Sebastian número que fuese. En efecto, dirigieron sus ataques por nuestra izquierda, centro Bruss, que se hallaron en los mayores riesgos, brindándose á ejecutar cuanto so ydtfccha.i consiguiendo por el centro hacer replegar las cortas fuerzas que cubrían les previn…</t>
  </si>
  <si>
    <t>Cano, Josef Gómez</t>
  </si>
  <si>
    <t>Josef Gómez Cano</t>
  </si>
  <si>
    <t>…s mejoras del momento que estaban á su alcance, ha encargado La Puente, D. Josef Sol.ins, el teniente coronel graduado D. Pedro Rute, di ayuntamiento lé proponga arbitrios de que se pueda echar mano para aten D. Miguel La Cuadra, D. Josef Gómez Cano, D. Ignacio Beza y D. Jbsef der á Ia manutención de los presos, confiada ahora solamente a la caridad pu Alavarrv; los tenientes el capitán graduado D. Pedro García, D. Francisco blica. Jimeno y D- Pascual Cümens; y los subtenientes, teniente graduado L). Vic Ha dirigido también su atención á la me…</t>
  </si>
  <si>
    <t>Cano, Manuel de Angulo y</t>
  </si>
  <si>
    <t>Manuel de Angulo y Cano</t>
  </si>
  <si>
    <t>…Ugero^descuido 1 que por lo demas la secretaría estaba-se D. José Ruperto Martínez..............•.......................... .. .................. „ 40 gura en haber estampado con fidelidad el acuerdo de la junta sobre los poderes D. Manuel de Angulo y Cano,........................................................... 20o0 . del Sr. Posada. &gt;f . , D. Jo»é Lav¿ña . consiguiente á la oferta hecha ála junta de Caridad. 1000 La Comisión de poderes dió cuenta de los respectivos á los Sres. Alvarez D. Marcelino Pérez...........................................…</t>
  </si>
  <si>
    <t>Cano, Ramón</t>
  </si>
  <si>
    <t>Ramón Cano</t>
  </si>
  <si>
    <t>…47 18 4 Híjar.................... 123 00 00 Por providencia del tos señores de U,Salaprimera de U Real audiencia de Madrid, JJÁdÓ * * • • « • r. 6 i 13 idem.. .. 35 tío 4 en los «uros que seguía Doñk Lucia López, difunta mug^r de D. Ramón Cano, con D, evCribant* cá/tiara de Barro de G»r- de por lomé Tereszsobre tercería dótala Juan la 00 13 tdnm 13 7 á . *. 40 Mazaleon...... c»a toijo de-aquello», Manuel para que en termino Sandia, Cano, aceita el de20 á p. 18 51 00 á 15 12 Idem... Gbon................ su pn con aura*; turma se presente…</t>
  </si>
  <si>
    <t>Cánovas, Alfonso</t>
  </si>
  <si>
    <t>Alfonso Cánovas</t>
  </si>
  <si>
    <t>16/06/1834</t>
  </si>
  <si>
    <t>Gaceta de Madrid n.º 119</t>
  </si>
  <si>
    <t>…jen la Retuerta, se han di En la escuela de primeras letras de Aipera se sigue ya el método de Valleseminado según costumbre, y deben su subsistencia al robo y á la sorpresa; en jo , y también en la que-regenta en aquella capital D. Alfonso Cánovas. una palabra Ja provincia de mi mando no .abriga facciones, y sí únicamente salteadores, comunes en todos, tiempos, y muCho mas cuando acaban de ser destruidas tantas gavillas que han pretendido disfrazar su verdadera esencia con el colorido do pretensiones políticas que no están á su alcance. Dios…</t>
  </si>
  <si>
    <t>Cánovas, Andrés Gabriel</t>
  </si>
  <si>
    <t>Andrés Gabriel Cánovas</t>
  </si>
  <si>
    <t>…a la hacer algunas compras deberán tratar con la administración general estableci de Aranda de Duero á D. Ramón Pardo y Osorio: para la de Cabuérniga á da en Zaragoza, por la que se comunicarán las órdenes competentes á los encar D. Andrés Gabriel Cánovas: para la de Castrourdiales á D. Alejo López de gados de arboledas de dichos distritos para que suministren los que se pidan. la Caller-para4a de Villrrarr:edc a D. Canuto Cevallos: para la de Ramales á D. José Navas: pora la de San '^ícente de la Barquera á D. Segundo San á para para la de Escalona…</t>
  </si>
  <si>
    <t>Cánovas, D José Paco</t>
  </si>
  <si>
    <t>D José Paco Cánovas</t>
  </si>
  <si>
    <t>…rador por la expresión de su convencimiento. Es ya llegado el día en que las Cortes ejerzan provincia de Cádiz. ' aquellas facultades amplias é imprescriptibles, que en todos tiempos tuvieran á Se díó cuenta de una exposición del Sr. D. José Paco Cánovas, Procura nombre y para el bien común de la Nación. La justicia y la conveniencia eli dor por la provincia de Almería, solicitando dos meses de licencia; la que el gen que pongamos ^un dique al torrente impetuoso que nos amenaza. Torrente Estamento le concedió. — - -__ que creciendo espantosamente e…</t>
  </si>
  <si>
    <t>Cánovas, José Paco</t>
  </si>
  <si>
    <t>José Paco Cánovas</t>
  </si>
  <si>
    <t>…r por la expresión de su convencimiento. Es ya llegado el día en que las Cortes ejerzan provincia de Cádiz. ' aquellas facultades amplias é imprescriptibles, que en todos tiempos tuvieran á Se díó cuenta de una exposición del Sr. D. José Paco Cánovas, Procura nombre y para el bien común de la Nación. La justicia y la conveniencia eli dor por la provincia de Almería, solicitando dos meses de licencia; la que el gen que pongamos ^un dique al torrente impetuoso que nos amenaza. Torrente Estamento le concedió. — - -__ que creciendo espantosamente e…</t>
  </si>
  <si>
    <t>Canseco, Casimiro Florea</t>
  </si>
  <si>
    <t>Casimiro Florea Canseco</t>
  </si>
  <si>
    <t>…ras de Ge^ofonte ateniense, trasladadas del griego al castellano por el SecretarioDiego Gracian. segunda edición, á que se ha añadido el texto griego, y aumentado fROV»ClA Z)B MURCIA. en la traducción castellana por el Licenciado D. Casimiro Florea Canseco. Dos tomos en 4.0 marquílla, impresos en 1781, y adornados con dos cartas geográficas, á 46 rs. ra bia y 63 pasta común. Contiene el primer tomo de esta obra la Ciropedia, ó historia 31 presidente de la junta de Sanidad de dicha provincia avisa en ofició de de la vida y hechos de Ciro el mayor; y el seg…</t>
  </si>
  <si>
    <t>Cantalejo, Sebastian Sánchez</t>
  </si>
  <si>
    <t>Sebastian Sánchez Cantalejo</t>
  </si>
  <si>
    <t>…a de mi propiedad, valiente y la dominaba, cuya invitación fue tan atendida, que en menos de famosa, que montó con mi armamento da caballería el regidor se un cuarto de hora no había un alma ya en la plaza ni en las calles. gundo D. Sebastian Sánchez Cantalejo, y acompañado de nueve Esto es en bosquejo lo que puedo manifestar á V. E. en cumpli urbanos que lo fueron el Lie. D. José Izquierdo; el legista Don miento de mi oferta, jorque estoy persuadido que no es dable á José González Elipe; José Antonio Sánchez de Avila; D. Agus pluma alguna describir con…</t>
  </si>
  <si>
    <t>Canterac, Josef</t>
  </si>
  <si>
    <t>Josef Canterac</t>
  </si>
  <si>
    <t>…. i ’ por la comunicación que la Puerta acaba de hacer ai embajador francés en Dios guatde á V. E. muchos años. Algeciras ÍFde ;£w*ó&gt;de 1834— Exce Constantinopla, apreciará del modo debido una transacción concluida bajo lentísimo Sr.=Josef Canterac.=Excmo. Sr. Secretario dé distado y del despacho principios pacíficos y conservadores. Es verdad que, se cambian las relaciones de latonera. rqt* ssfh*.‘ ¿gr" 3*"T'*r entre la Rusia y el Im per^j-gtoaiaBo; pero es papa-apc en lugar de sqritostiles como ló han sido largo tjémpojv séjn en adelanté de…</t>
  </si>
  <si>
    <t>Cantero, Manuel</t>
  </si>
  <si>
    <t>Manuel Cantero</t>
  </si>
  <si>
    <t>…misión sós^uvo su dictamen , y otros1 Sres. Procuradores hablaron en Un caballero que no quiso decir su nombre....................................... 100 pro y cncoútra, y discutido el punto suficientemente, se procedió á la vota D. Manuel Cantero............................................................................... 1000 ciónj desaprobaos tps poderes del Sr. PaUrea. D. Esteban Alvarez Neyra 60 rs. mensuales, y ha entregado por el Ea seguida preseiuó la comisión su dictámen sobre los del Sr. Romero Al- presente.....................................................................................................…</t>
  </si>
  <si>
    <t>Canto, Juan C</t>
  </si>
  <si>
    <t>Juan C Canto</t>
  </si>
  <si>
    <t>Gaceta de Madrid n.º 254</t>
  </si>
  <si>
    <t>…Evasión., curaron 13 personas y no hubo fjlfécirttientnal guno; en l^ea «fe NegcíEIos desdé 28 de Setiembre á 14 del mes A .la fecha ESTADO SANITARIO DEL REINO. no había ocurrid» ¡ngasüotr ni fenecimiento aigano, y en Valencia de D. Juan 9C Canto ci Te Demás ei da Seafct emxziciado mes. 1—L-PROVINCIA DS ACICAXTE- \ íaomcia se iooíoSo. ‘ Dice su gobernador civil, coa fecha 21 del presente que Todavía rrrfrárs d Ea oficáj de 29 ád presente manifiesta su gobernador civil que el cólera Cólera' los pueblos de Alcoy , Aspe, Benidórme,, tiapdia, O…</t>
  </si>
  <si>
    <t>Cantolla, Andreé Crespo</t>
  </si>
  <si>
    <t>Andreé Crespo Cantolla</t>
  </si>
  <si>
    <t>…doctrinas son bastantemente conocidos, á no haber visto que los Extracto del parte remitido por el subdelegado de Fomento de la provina errores y equivocaciones de esta clase cunden en otros diarios, cuyas doctrinas de Santander, D. Andreé Crespo Cantolla, con fecha de 22 de Abril último. son opuestas, y á los cuales no podríamos atribuir sig injusticia los mismos de* Describe el estado de la agricultura, la ganadería y la industria en aquélla seos y pasiones que á la Gaceta de Francia. provincia, ramos que en su Opinión admiten muchas mejoras. En e…</t>
  </si>
  <si>
    <t>Cantolla, Andrés Crespo</t>
  </si>
  <si>
    <t>Andrés Crespo Cantolla</t>
  </si>
  <si>
    <t>…la universidad de Alcatf de Henares. Se vended con otras prevenciones1 benéficas y de publica utilidad. (Id.) “-^-'¿Colección ¿le traites' extrattados de las óperas modernas, á 6 rS. r Cavatina de fifí Reales decretos nombrando á D. Andrés Crespo Cantolla fiscal del supremo «•tl.prlfflérwto dé la ópera el último dia.de Pompey*", ». 6 rs. s Variaciones fdcttt¡ tribunal de España é Indias, á D. JoSef Alvarez Pestaña oidor en el Real sobre el tetina del Malbruk. á 4 rs. Estas piezas, grabadas.y,-arregladas para guil«,ra' se venden eu esta curte, calle…</t>
  </si>
  <si>
    <t>…la universidad de Alcatf de Henares. Se vended con otras prevenciones1 benéficas y de publica utilidad. (Id.) “-^-'¿Colección ¿le traites' extrattádos de las óperas modernas, á 6 rS. r Cavatina de fifí Reales decretos nombrando á D. Andrés Crespo Cantolla fiscal del supremo «•tl.prlfflérwto déla ópera el último dia.de Pompeyá, á.6 b.¡ Variaciones fdcttt¡ tribunal de España é Indias, á D. JoSef Alvarez Pestaña oidor en el Real sobre el tetha del Malbruk. á 4 rs. Estas piezas, grataádns y,-arregladas para guiisr0' se venden cu esta curte» calle angost…</t>
  </si>
  <si>
    <t>…protegería en Suiza las asociaciones políticas v la libertad de la prensaen la secretaría del Despacho de vuestro cargo. que persigue en el interior con tanto encarnizamiento , porque no hay sacrifi 3? Nombro para esta comisión á D. Andrés Crespo Cantolla ; fis cio que no hiciera ia Francia con gu»to por mantener su influencia en Suiza. cal del supremo tribunal de Espana-é Indias, con la calidad de pre {Mensajero*) sidente, á D. Rodrigo María Moscoso, y á D. José del N alíe y Re— INGLATERRA. fart, abobados del colegio de Madrid; á D. Manuel Abad, pr…</t>
  </si>
  <si>
    <t>Canuet</t>
  </si>
  <si>
    <t>…éis á la mayor brevedad las circunstancias que han de reunir las to por el ardor de los soldadas mandados por el generalBucbel, f por lo» genobras y mejoras para cuya ejecución se hayan de proporcionar re darmas conducidos por el coronel Canuet bajo un fuego bastante viro xfe parte cursos; las condiciones con Jas cuales se apronten estos, bajo el prin de los alborotadores. Muchos de ellos fueron heridos gravemente, y oiré* Muer cipio de noifaciUtará pueblos ni á particulares rantidad alguna sin tos, siendo incomparablemente menor la pérdi…</t>
  </si>
  <si>
    <t>Capillas, Estanislao Ruiz</t>
  </si>
  <si>
    <t>Estanislao Ruiz Capillas</t>
  </si>
  <si>
    <t>…ha de 6 del corriente dice i este ministerio : Que en la noche del 2 habían sido aprehendi dos por 10 infantes y cuatro caballos de la Milicia urbana de Villarcayo á las ESTADO SANITARIO DEL REINÓ. órdenes del teniente amnistiado D. Estanislao Ruiz1 Capillas, que se ofreció vo PROVINCIA DB MADRID. luntariamente , tres facciosos y su cabecilla Navarro, que separados de las fac Paite sanitario de Vallecas en el dia 8 de Juliociones de Vizcaya, cometían toda clase de robos y excesos. El mismo capitán general con igual fecha remite el parte sigoiente: "Exc…</t>
  </si>
  <si>
    <t>Capitán, Valentín</t>
  </si>
  <si>
    <t>Valentín Capitán</t>
  </si>
  <si>
    <t>…rnadora aprobar el establecimiento de una carrera de medias postas desde Alicante á D. Hilario García Caballero: la de igual clase de la estafeta de Burgos á Medina de Pomar y Villarcayo por el nuevo camino de Bercedo, Albacete á D. Valentín Capitán: la de oficial 2? de la principal de Manza cuya disposición dure ínterin la urgencia de tete servicio extraordinaria. nares á D. José Sánchez Sandino r y la de 3.° de la de Lago i D. Ricardo Joaquín Henri, todos cesantes del ramo. Por otra de igual fecha se ha aprobado asimismo el establecimiento d…</t>
  </si>
  <si>
    <t>Capo</t>
  </si>
  <si>
    <t>…aciones un poco poéticas que aven ra de exterminio. Verdad es que en cambio de este aparente heroísmo, las per tura sobre los progresos de la agricultura y del comercio) fiándose dema sonas que han tenido ocasion.de hablar con el conde Capo d’lstria á su paso siado en los efectos inmediatos de la alta enseñanza sobre un pueblo cuya por París, notaron en su Unguage una sequedad glacial que no se acordaba muy educación no excede los límites *de la primera infancia. Por lo demas es digna bien coa su tan decantado entusiasmo. Pero «qué im…</t>
  </si>
  <si>
    <t>…te, ha encontra (Concluye el primer articula) do ," abriendo un pozo artesiano ,i muchas Corrientes subterráneas, que ha reuni do ingeniosamente en un estanque principal á 4-U metros debajo de la ciudad; Y en efecto al nombre del conde Capo dTstria le queda rá siempre la glo ahora solo se trata de levantar este volumen de agua, sea por medio dyl vapor ria de haber acostumbrada la diplomacia á considerar la causa de la independen ó da cualquiera otro agente, á una altura de 4&amp; metros para verterla en las cia griega como una cosa posibl…</t>
  </si>
  <si>
    <t>…o hallándonos entonces un poder contra el cual se estrellan los mas violentos y unánimes atar en el suélo de Grecia , y creyendo que eran puras las intenciones de Capo d’Istria; ques. No es, cierto, como dice Mr. Thiersch, que el conde Capo d’Istria, qn casó comparando ademas las inmensas facultades que tenia para hacer el bien con de que no fuese mas que un agente ruso, haya servido muy mal los intereses 4? él mal que hacia continiiijn^e^te, nos preguntábamos llenos de admiración, si la Rusia. Los únicos medios de corrupción que empl…</t>
  </si>
  <si>
    <t>Capo, Juan</t>
  </si>
  <si>
    <t>Juan Capo</t>
  </si>
  <si>
    <t>…os, con el fin de unifor mar en ambos países el arancel de aduanas. {Idem.) Totales.............. 124,164 4748,108 1.140,640 F-crríhen de Ginebra: Las exportaciones en el mismo año han sido por las mercancías de «Los hermanos del conde Juan Capo d’Tstría, antiguo presidente de la francés solamente: Grecia, se proponen publicar una parte de la correspondencia de este hombre efec Derechos Valores perci de estado. Han suplicado á los gobiernos de Vaud y de Ginebra, que como bidos. Cabezas.' tivos. nadie ignora, habían concedido al ilustre pre…</t>
  </si>
  <si>
    <t>Cár, D</t>
  </si>
  <si>
    <t>D Cár</t>
  </si>
  <si>
    <t>…el bre extinción de carpelUnias colativas, ¿laicales.. memorias de misas y legados ministerio no ha propuesto que te discuta en secreto; pues en caso de abriese füat: 3.a Sobre el restablecimiento de, las leyéí^iromulgadas ppr el Sr. D. 'Cár- los debates, mucho mejor seria que fuese en público; es un siunto dema los iv para la redención doctnsoi con vales consolidados, ú otros créditos siado importante-para tratarlo reservadamente: lo que ha dicho el Si. Presiden</t>
  </si>
  <si>
    <t>Car, D</t>
  </si>
  <si>
    <t>D Car</t>
  </si>
  <si>
    <t>…civil y aspirando á usurpar el Trono, provoca á un punto de descanso, en el cual nos ha parecido que debíamos mas y mas cada día las medidas&gt;severas que puede emplear legíti fijarnos, para proceder con acierto. En tiempo del Sr. Rey D. Car mamente la Nación para su resguardo y defensa. los 1, se vieran excluidos de las Córtes dos brazos del Estado,eljí La reunión de las Corte; del Reino es el único medio legal, Clero y la Nobleza; pero esta innovación peligrosa, quepareciip reconocido, sancionado por li costumbre inmemorial en semeja…</t>
  </si>
  <si>
    <t>…amortizado las byen cuidado la casa que lo contrató con no entregar su dinero hasta qué vio anycipaciotícs que se hubiesen podido. La comisión estuvo tentada.de propo tai, autorización. Hubo mas: de (res cédulas que pidió el: Sr. Rey D. Car ner algunos dp.estos medios; pero se abstuvo de hacerlo porque creyó que era los iv para otros tantos empréstitos, el Consejo Real, oidos sus fiscales, con asunto peculiar, del Gobierno, y se contentó con indicar la idea en los térmi testó i S M, que bastaba uno, y desechó ios.otros dos, lo que así…</t>
  </si>
  <si>
    <t>…;*-tl'gobernador civil de ella dice con fechal8 del actual que po los últimos. —^CdñveñTó’para explicar, ampliar y hacir efectivo lo estipulado en el artícu lo 6.° del tratado definitivo de paz deí año de-1783, concluida entre el Sr. D. Car ctEitró dias se había experimentado en la capital mayor número de casos desgrp-; los ni. Rey de España, y el de la Gran Bretaña',, firmada eo Londres á 14 de Julio ciadés que en los anteriores; y que en los pueblos de Alaria, Alboloduy ,T¡- de 1786, ratificada por ambos Soberanos. Un'cnadptno en 4&gt;…</t>
  </si>
  <si>
    <t>Car, D Pedro</t>
  </si>
  <si>
    <t>D Pedro Car</t>
  </si>
  <si>
    <t>…en gefe de este ejército , marcada con el núm. l.°, asi como la de los par tes que este diputado general me comunica , señalada con el núm. 2.° La noticia de la mar cha inesperada de la columna que salió ayer de aquí al mando del brigadier D. Pedro Car rillo hizo retroceder á la facción á Obecuri y Bajauri desde el punto de Urarte, adonde se habla dirigido. La columna del brigadier Carrillo pernoctó a ver en Uzquiano, y ofrecien do mas ventajas la situación de Pariza se ha trasladado hoy a este pueblo, esperando para empezar sus movimientos notic…</t>
  </si>
  <si>
    <t>Car, D Tomas José González</t>
  </si>
  <si>
    <t>D Tomas José González Car</t>
  </si>
  <si>
    <t>…23 de Junio le comunicó el Excmo. Sr. primer Secretario de Es&lt;- ba desempeñándola ea el Real sitio de S. Ildefonso. tado haberse dignado S. M. nombrarle Prócer del Reino; expresando S. E. es Se dio cuenta de un oficio del Excmo. Sr. D. Tomas José González Car tar pronto á presentar los documentos necesarios para la calificación. Se acordó vajal, por el que participaba no tener mejoría en su dolencia, que le impide pasase i la comisión. casi andar; por lo que no podía asistir á la sesión: que sin embargo estaba dis . El Estamento quedó enterado de dos of…</t>
  </si>
  <si>
    <t>Car, Pedro</t>
  </si>
  <si>
    <t>Pedro Car</t>
  </si>
  <si>
    <t>…este ejército , marcada con el núm. l.°, asi como la de los par tes que este diputado general me comunica , señalada con el núm. 2.° La noticia de la mar cha inesperada de la columna que salió ayer de aquí al mando del brigadier D. Pedro Car rillo hizo retroceder á la facción á Obecuri y Bajauri desde el punto de Urarte, adonde se habla dirigido. La columna del brigadier Carrillo pernoctó a ver en Uzquiano, y ofrecien do mas ventajas la situación de Pariza se ha trasladado hoy a este pueblo, esperando para empezar sus movimientos notic…</t>
  </si>
  <si>
    <t>Car, Rey D</t>
  </si>
  <si>
    <t>Rey D Car</t>
  </si>
  <si>
    <t>…rdia civil y aspirando á usurpar el Trono, provoca á un punto de descanso, en el cual nos ha parecido que debíamos mas y mas cada día las medidas&gt;severas que puede emplear legíti fijarnos, para proceder con acierto. En tiempo del Sr. Rey D. Car mamente la Nación para su resguardo y defensa. los 1, se vieran excluidos de las Córtes dos brazos del Estado,eljí La reunión de las Corte; del Reino es el único medio legal, Clero y la Nobleza; pero esta innovación peligrosa, quepareciip reconocido, sancionado por li costumbre inmemorial en semeja…</t>
  </si>
  <si>
    <t>…aun amortizado las byen cuidado la casa que lo contrató con no entregar su dinero hasta qué vio anycipaciotícs que se hubiesen podido. La comisión estuvo tentada.de propo tai, autorización. Hubo mas: de (res cédulas que pidió el: Sr. Rey D. Car ner algunos dp.estos medios; pero se abstuvo de hacerlo porque creyó que era los iv para otros tantos empréstitos, el Consejo Real, oidos sus fiscales, con asunto peculiar, del Gobierno, y se contentó con indicar la idea en los térmi testó i S M, que bastaba uno, y desechó ios.otros dos, lo que así…</t>
  </si>
  <si>
    <t>Car, Tomas José González</t>
  </si>
  <si>
    <t>Tomas José González Car</t>
  </si>
  <si>
    <t>…de Junio le comunicó el Excmo. Sr. primer Secretario de Es&lt;- ba desempeñándola ea el Real sitio de S. Ildefonso. tado haberse dignado S. M. nombrarle Prócer del Reino; expresando S. E. es Se dio cuenta de un oficio del Excmo. Sr. D. Tomas José González Car tar pronto á presentar los documentos necesarios para la calificación. Se acordó vajal, por el que participaba no tener mejoría en su dolencia, que le impide pasase i la comisión. casi andar; por lo que no podía asistir á la sesión: que sin embargo estaba dis . El Estamento quedó enterado de dos of…</t>
  </si>
  <si>
    <t>Cár.los</t>
  </si>
  <si>
    <t>…s presu- estos empréstitos seria causa de que los prestamistas irritados ayudaran i Don poestos, hubiera sido inútil una segunda .Conferencia; y esta ha sido la razón Cárlos. Es.to no es exacto : los que han de prestar auxilios á D. Cár.los , ya lo por qué la comisión no creyó necesario tener fon ¿I upa segunda sesión, hacen. Por el contrario, seria una nueva esperanza para D. Cárlos el reconoqU.. «Consideraré algunas dp las partidas que figuran «n ei déficit, que ha di miento de estos empré,titos, pues' en su virtud encontraría diner…</t>
  </si>
  <si>
    <t>Carabanchel, Ra</t>
  </si>
  <si>
    <t>Ra Carabanchel</t>
  </si>
  <si>
    <t>…el Real sitio de S. Ildefonso, con el suel do anual de 24c) reales. Tendréislo entendido, y disjiondreis lo con veniente á su cumplí mi ento.= Está rubricado de ia Real mano.= En S, M. la Reina Gobernadora se ha servido nombrar á D. Ra Carabanchel á 18 do Junio de 1854.—Al marques de Valverde. fael Gregorio de Veleña , decano de la Real audiencia de Sevilla, • K1HISTERIO DE HACIENDA DE ESPAÑA. para la plaza de ministro del tribunal supremo de Hacienda, vacante por fallecimiento de D. José Rafael Villapol. Reales órdenes. ¡ Re dado cuenta á l…</t>
  </si>
  <si>
    <t>Caradja</t>
  </si>
  <si>
    <t>…nos desórdenes particulares; pe -; , I p. Cm ^ssiut- Ar Hel 16 anuncia que había dejado aquella ciudad con ro aseguramos con fundamento , formalmente v con certeza , que todas estas no .difpewbn.á "Viena el nuevo embajador griego príncipe Caradja que debe repre ticias son. falsas y.de puTa invención. (.Id ') sentar á su nación cerca la corte de Austria. _____Las últimas noticias recibidas de Lyon y de St. Etienne aseguran que la tranquilidad mas completa ha vuelto á reinar en estas dos ciudades, (Id.) ESPAÑA. Paris 26 de Febrero. Lonja.de h…</t>
  </si>
  <si>
    <t>Caradoc</t>
  </si>
  <si>
    <t>…de pertenecer. (Glabe.) sobre la violación ó negligencia de sus deberes están claramente definidos ó so deducen como consecuencias necesarias. El poder legislativo, sujeto al Voto mo _La misión que se ha dado ahora al respetable coronel Caradoc cerca de tivado del Presidente,:C5tí confiado al Congreso de los Estados-Unidos, com la corte de Madrid es la tercera de esta clase que ha desempeñado en el espa puesto del Senado y de la Cámara de los representantes. El poder ejecutivo cio de pocos años. El grado que tiene como militar le fue conf…</t>
  </si>
  <si>
    <t>…amo ha hecho en su, patria, como sin duda sucederá Grey, donde csrovieion largo tiempo en consulta. Vrít" ' ^ üispéúsí'eátimúlo y protección.' ' ......... ercier qi^e. segun el ¡nforqje, (leí ministerio, aparecí:, que 1 S ,____El coronel Caradoc tuyo una inferencia el 12 con T5id Pal i han recibido auxilios pecuniarios en el año de 1832, añala secretaría de-Estado , y en seguida Salió de Lóndres encargado de u4atypjsiotí,‘- iodo de ver el, general Bugeaud exagera los beneficios que pro-' especiak cerca de‘la córte de España. (.Standard.')…</t>
  </si>
  <si>
    <t>Caradza, Constantino</t>
  </si>
  <si>
    <t>Constantino Caradza</t>
  </si>
  <si>
    <t>…s casas cuando se haya de celebrar otra.” N &lt;r . otros dos batallones y de Guibcíalde su cabecilla principal, que incorporado ’v* • • , al 1,° se situado en Oñate el día anterior C25), con la idea siempre dé - TTny i medio día el príncipe Constantino Caradza,enviado extraordinario atacarlo en dicha villa, en cuanto se tuvieran noticia» positivas déla dirección y ministro plenipotenciario de S. M. el Rey de Grecia*, ha entregado á S. M. que La facción de Navarra podría haber tomado desde las Amescuas. el Rey, de los Franceses las cartas que le acreditan…</t>
  </si>
  <si>
    <t>Caraftoc</t>
  </si>
  <si>
    <t>…us observaciones que la erupción no se ha verificado por la En la sesión del 13 del actual en U Cámara de los Lores se quejó lord boca del cráter, sino por la de una abertura, que según »u edículo, tiene 104 Londonderry de que el coronel Caraftoc, que ya asintió á la expedición de l«a pies italianos de ancho. Al rededor de aquel inmenso, agujero vieron 25 agu franceses contra Ambercs , estuviese también ahora en el cuartel general de jeros bastante profundos, de donde saltan continuamente llamas azuladas, pro Rodil. Lord Melbournc convino e…</t>
  </si>
  <si>
    <t>Caratftdó, Baltasar</t>
  </si>
  <si>
    <t>Baltasar Caratftdó</t>
  </si>
  <si>
    <t>…a dar mas Unidad y prontitud al despa después llegó al mismo pueblo un cuadro de caballería, y se puso á las ó relé - cho. El presidente adoptó esta medida , y el infrascrito fue nombrado. secreta nesdel sargentoranayqajeformado. D. Baltasar Caratftdó, $&amp;íéñ sabiendo que' rio general del gobierno: cómision q’ue desempeSubasta que habiendo|os sedi lea labia hecbo su noble pronunciamiento, se dirigióa esa ciudad con el ob- ciosos desocupado la capifál, y venido al Callao el Sr. Corvacho, ministro de jeto dc levantar.un escuadrón. Otros muchos sold…</t>
  </si>
  <si>
    <t>Carballo, Tavares</t>
  </si>
  <si>
    <t>Tavares Carballo</t>
  </si>
  <si>
    <t>…uibadoies internos llamo también la atención -de esta Cá El Sr. Azevedo presentó el artículo redactado de distinto modo y con mara, á fin de que no se renueven ios horrores de la guerra civil. El gobierno algunas alteraciones; el Sr. Tavares Carballo se opuso a algunas de las adi necesita, pues, que se le autorice piara emplear medidas extruooLnaruc, tanto ciones, sosteniendo que los vocales de los consejos debían ser militares, y por para evitar, como para castigar y reprimir prontamente cualquiera tenr.it.va ningún título letrados. Él Sr. Sou…</t>
  </si>
  <si>
    <t>Carbó, D Jaime</t>
  </si>
  <si>
    <t>D Jaime Carbó</t>
  </si>
  <si>
    <t>…o del distrito de la provincia de Cáceres lo siguiente: vadas montañas que ocupaba^sobre nuestra izquierda, mientras el, 2.° batallón, Por mi parte de ayer dije á V. S. salía á las tres de la madrugada en persecu conducido por su comandante D. Jaime Carbó y el teniente coronel mayor ción de los facciosos que entraron en las Casas de D- Antonio.'Serian us nuez* D. Manuel Bouzá, se dirigía á tomar el pueblo por la carretera. Apepa$ se de la mañana cuando tuve el placer de encontrar 4 la facción en el prado de principió el movimiento y desplegaron los ¿a…</t>
  </si>
  <si>
    <t>Carbó, Jaime</t>
  </si>
  <si>
    <t>Jaime Carbó</t>
  </si>
  <si>
    <t>…ito de la provincia de Cáceres lo siguiente: vadas montañas que ocupaba^sobre nuestra izquierda, mientras el, 2.° batallón, Por mi parte de ayer dije á V. S. salía á las tres de la madrugada en persecu conducido por su comandante D. Jaime Carbó y el teniente coronel mayor ción de los facciosos que entraron en las Casas de D- Antonio.'Serian us nuez* D. Manuel Bouzá, se dirigía á tomar el pueblo por la carretera. Apepa$ se de la mañana cuando tuve el placer de encontrar 4 la facción en el prado de principió el movimiento y desplegaron los ¿a…</t>
  </si>
  <si>
    <t>Carbonell, Luis</t>
  </si>
  <si>
    <t>Luis Carbonell</t>
  </si>
  <si>
    <t>…e Diciembre de 1834.:=A D. Manuel Llauder, marques He dado cuenta á S. M. fe Reina de una exposición de 1a jun ta de Sanidad de Hellin en solicitud de que se autorice á D. Jasé del valle de Rivas. Morales, D. Tomas Ruiz Hermosa y D. Luis Carbonell, para ex ministerio de gracia r justicia. pender en todo el reino las polvos llamados de las vi toreras murcia nas; y enterada S. M. de que estos sugetos no son profesores de far macia , únicos á quienes está permitido por las leves la preparación - Reales órdenes. y venta de tales medicamentos, no…</t>
  </si>
  <si>
    <t>Carbonell, Tomas Ruiz Hermosa y D Luis</t>
  </si>
  <si>
    <t>Tomas Ruiz Hermosa y D Luis Carbonell</t>
  </si>
  <si>
    <t>…no. = En el Pardo á 11 de Diciembre de 1834.:=A D. Manuel Llauder, marques He dado cuenta á S. M. fe Reina de una exposición de 1a jun ta de Sanidad de Hellin en solicitud de que se autorice á D. Jasé del valle de Rivas. Morales, D. Tomas Ruiz Hermosa y D. Luis Carbonell, para ex ministerio de gracia r justicia. pender en todo el reino las polvos llamados de las vi toreras murcia nas; y enterada S. M. de que estos sugetos no son profesores de far macia , únicos á quienes está permitido por las leves la preparación - Reales órdenes. y venta de tales medicamentos, no…</t>
  </si>
  <si>
    <t>Carboneras</t>
  </si>
  <si>
    <t>…ndarlas á S. M. la Reina Gobernadora , á quien tendré el cha existían en la capital de dicha provincia 21 personas enfermas de cólicos; honor de manifestarla con el elogio que merecen, pudíendo aseguraros que que en Quintanar del Rey , Carboneras, Fuente de Pedro-Narro, Cervera y nú reconocido corazón no olvidará un momento los felices dias que he pasado Reillo había cesado la enfermedad que afligió á su vecindario; que en Requera en esta deliciosa mansión de la paz y de la hospitalidad. Habana l.° de Junio se manifestaba dicha enfermedad b…</t>
  </si>
  <si>
    <t>Carcaci</t>
  </si>
  <si>
    <t>…icencia para irse Í Su país; solicitó que se diese órden para que en ¿1 se le pagasen sus sueldos; Milán 14 de Octubre. ¿atabló algunas otras pretensiones relativas á su vtage: y habiendo conseguido Ayer llegaron á esta ciudad el duque Carcaci y el conde de Beaufort: el cuanto solicitó, se despidió diciendo qué inmediatamente se iba.Todos le cre primero viene de Nápoles y el segundo de Paria. ' yeron , y aun el gobierno mismo, hasta que por fin se descubrió que el viagá Ei conde Sebastia ni, embajador de Francia cerca de la corte de Ñapóle…</t>
  </si>
  <si>
    <t>Carcafio, Pablo</t>
  </si>
  <si>
    <t>Pablo Carcafio</t>
  </si>
  <si>
    <t>…eblos de tan horrible azote. García, D. José de Vivero y D. Antonio Bcloso: en álgebra D. Faustino Do Policía general. Me be dedicado á U formación de una matrícula general, mínguez y D. Juan Pardo y Silva;'en geografía elemental D. Pablo Carcafio, de que carecía esta provincia, para de este modo lograr todos los ma&gt;ores pro D. Andrés de Castro , D. Robustiano Pequeño, D. José Sánchez y D Ra ductos de este ramo, su mejor manejo y administración. Las dos subdelegacio món Tajoncra;-en trigonometría plana D. Angel Hernández, D. Miguel nes que h…</t>
  </si>
  <si>
    <t>Carcamismas, Pablo</t>
  </si>
  <si>
    <t>Pablo Carcamismas</t>
  </si>
  <si>
    <t>…stración. Las dos subdelegacio món Tajoncra;-en trigonometría plana D. Angel Hernández, D. Miguel nes que había en esta establecidas en Ay amonte y dracena han quedado las Rúa , D. Francisco Villamil, D. Gervasio Araujo, y dichos D. Pablo Carcamismas, con la diferencia que desde l.° del corriente cada una ha de adminis fio, D. Andrés de Castro, D. Pedro y D. Robustiano Pequeño, D. José Sán trar á los pueblos de los partidos judiciales establecidos últimamente , y quitada- chez y D.. Ramón Tajonera; en trigonometría esférica D. Jo&gt;é Ruibal, D. A…</t>
  </si>
  <si>
    <t>Cárcel, Antonio Muría Espinosa y</t>
  </si>
  <si>
    <t>Antonio Muría Espinosa y Cárcel</t>
  </si>
  <si>
    <t>…71, en que la católica Iglesia le sultado una completa dispersión. La gloria es casi toda debida á los 40 caballos concedió el culto y titulo de bienaventurado, formados por P. Diego Ortíz de Zuñiga, ilustrados y corregidores por D. Antonio Muría Espinosa y Cárcel, 5 toinu* de Barbón. en 4.0, edición de 17y5 y 96, a 110 rs. pasta y 8&lt; rustica. L&gt;. Juan de la Pezuela que al cargarlos se metió entre los facciosos con so — —Adiciones al diccionario geográfico universal de Echard. que comprende la des los seis caballos, mató á varios, recibió varias ligeras heri…</t>
  </si>
  <si>
    <t>Cárcel, José</t>
  </si>
  <si>
    <t>José Cárcel</t>
  </si>
  <si>
    <t>…igiese mi marcha al pueblo oficia/es de ía compañía de cazadores del batallón de San Fernando, teniente de Torre Jas Arcas, porque se decía se hallaban en aquel*punto los faccioso®, D. Nicolás Suarez y subteniente D. Jo&gt;é Irive y D. José Cárcel: merecen en tengo la satisfacción de manifestar á V. S., que llegando á las cuatro de la ma mi concepto particular y especial recomendación el capitán que mandaba Jos drugada é informado de Ja justicia de que los Cdc¿to:Oí se hallaban en Alcaine, ¿JO celadores de Vergara D. Sebastian Goñi, y el sub…</t>
  </si>
  <si>
    <t>Cardenal, Pedro Juan</t>
  </si>
  <si>
    <t>Pedro Juan Cardenal</t>
  </si>
  <si>
    <t>…o unas aguas sobrantes del rio Guadalope, que la Marchante, oficial cuarto de la principal de Lugo: la intervención de la de negaba el ayuntamiento de Calanda. Ocurrieron varias contestaciones entro S. Felipe de Játiva al cesante D. Pedro Juan Cardenal: la de Aranda de Due aquella corporación y el alcalde mayor de Caspe, bajo cuya inspección y au ro al cesante D. Lucas de la Maza: la de Pamplona á D. Cesáreo Fernandez toridad había de realizarse el proyecto, sobre el punto donde debía tomar el de Aceilana, administrador de la renta en Miranda de…</t>
  </si>
  <si>
    <t>Cardozo</t>
  </si>
  <si>
    <t>…bre próximo. Es pues indispensable que os Ha bcrtud’ de imprenta ; la Cámara acordó se- insertase en el acta: igual acuérdo re lléis presentes en París el 15 de dicho mes. A vuestra llegada encontrareis, si cayó sobre el voto del Sr. Cardozo, que en la enunciada sesión opinó que »los nó le 'habéis recibido antes, el aviso del día fijo en que se verificará la primera ejemplares de impresos ó estampas, solo se embargasen cuando el dejitp £uese audiencia. publico, bien se denunciasen por el fiscal, ó por los particulares.” Los Sres. Pares…</t>
  </si>
  <si>
    <t>Careaga, Antonio Ramón</t>
  </si>
  <si>
    <t>Antonio Ramón Careaga</t>
  </si>
  <si>
    <t>…Oct......... No consta. No consta. 35 También se ha servido jubilar á D. Gabriel Gutiérrez, alcalde mayor Santervas. .... . 18 Set. á 11 Oct. Idem.. Idem. 18de Valladolid: á D. Manuel Martin y Bayon, alcalde mayor de Burgos; y á D. Antonio Ramón Careaga, alcalde mayor de Aranda de Duero. Asimismo se ha servido nombrar S. M. la Rein a Gobernadora, en ca PROVINCIA DE ZAMORA. lidad de interinos, para la alca'día mayor del partido de NaVahermosa á Don Manuel de Benavides: pata la de Igualada á D. José Romero Ortega: para la Desde 25 á 28 de Octubre úl…</t>
  </si>
  <si>
    <t>CarEnero, Francisco Javier</t>
  </si>
  <si>
    <t>Francisco Javier CarEnero</t>
  </si>
  <si>
    <t>…. Tcndréíslo entendido, y lo co al alcalde mayor, Manuel Pascual de Mcdina. = El alférez mayor perpetuo, mún, c-ireis á quien corresponda para los efectos convenientes. Palacio 22 do Diego Josef Ballesteros^=El procurador sindico general, Francisco Javier CarEnero de 1834.=E»tá rubricado de la Real mano-=A D. Josef Vaaqusjt Fi— rillo.ccEl conde de Casa-Valiente.= Andrés Díaz Cacho.=Josef González de güeros. la Cruz. = Francisco Romero, —Por la villa de Alhambra, Antonio Pedro KTNISTKRiO DEL TOMENTO GXVKKA1. DSC IZUNO. Alcaide.—Tomas Orcajaía^rPedro Josef Alarco…</t>
  </si>
  <si>
    <t>Carezco</t>
  </si>
  <si>
    <t>…&lt;■';1» noche■ r 1 brigadier Marcitl* jrjprond Amor de bajar á Tafalla, les he participado mi M1834.” I . mov¡miento para'á¿te concurran á él.” / . “""Élbrigadier D'.‘Dionisio Marcilla desde Urroé, igualmente con fecha de »E»qio. Sr.: Carezco de eomunicacionei del Excmo. Sr. general en gefe ayer, me dice: y demas generales; pero por confidentes he tábido que el general en gefe con ^ x»Según tuve el honpr de decir á V. E. ayef dépde Olza me dirigí con las tinúe en el valle de Erro persiguiendo sui columnas al Pretendiente. brigadas de cabal…</t>
  </si>
  <si>
    <t>Cárftis</t>
  </si>
  <si>
    <t>…legisladores: con las ideas de sus mismos padres; adquieren parte de sus hábitos y costum no juzgamos, hacemos leyes: los que juzgap deben hacerlo con arreglo á leyes bres , ¡y quién duda que esto mismo sucederá con los hijos de D. Cárftis? Si. establecidas de antemano: los que hacen leyes no lo pueden hacer apoyándose llegase un dia en que estos tócupasen el trono de España, ;no mirarían como en otra ley, sino siguiendo únicamente el norte de todas ellas la conveniencia un horrendo atentado, como un crimen el haber desheredado á su…</t>
  </si>
  <si>
    <t>Cari</t>
  </si>
  <si>
    <t>…. Mauricio de Haber, Alberto de Pichón-LoncucviUc, Vecino de‘Burdeos, Luis José Ta«vsm de Mcvollv, banquero, (..Tubnei Ma:a IXdorv!. «woní'erv. ¡ante, * Or- , Haya 6 de Noviembre. los'Felipe de San. NicoUs, coronel al servicro de D. Cari-*, por haber laudo Las comisiones de la segunda Cámara de los F.stados generales de este rei conespondcncu y conspirado con el Infante, enemigo vomun de la Fianci* v no continúan ocupándose con constancia en el examen,de los proyectos de ley España, naciones altadas. Contra MAL Jáuge \ ]X&gt;; &gt;.et . p…</t>
  </si>
  <si>
    <t>Carian</t>
  </si>
  <si>
    <t>…e los que se hallen en esta corte; y á fines del Mequinenza con fecha de antes de ayer, y ayer á las cinco de la presente mes, lo mas tarde, los que residan en las provincias, pa mañana, que la facción habia sido alcanzada por el general Carian ra señalarles el dia en que respectivamente deberá cada uno sufrir dicho exámen. talá en las cercanías de Mayals, á las tres de la tarde del dia 10» batiéndola completamente, habiendo decidido la acción una bri llante carga de la caballería de Navarra, siendo su resultado de 200 á 300 muertos, much…</t>
  </si>
  <si>
    <t>Cariasco</t>
  </si>
  <si>
    <t>…será un descontento para mí , porque si bien no me -niega el adopción de la medida que propone la minoría , puede evitarse la quiebra pre pago, no me da mas que las dos terceras partes de lo que debía dirme , lo cual vista por el Sr. Cariasco • quiebra inevitable, porque se carga desde luego á me obligaría á no prestarle otra vez nada sino con fuertes garantía*. Esto es lo la Nación con-una deuda inmensa, que nadie desconoce no la es posible pagar, que sucede siempre; y si no, apelo al testimonio de todos lesS/es. Procura y cuyo inconve…</t>
  </si>
  <si>
    <t>Caricdes, D Manuel Gutiérrez</t>
  </si>
  <si>
    <t>D Manuel Gutiérrez Caricdes</t>
  </si>
  <si>
    <t>…ud del cual los Pretendientes han sido expulsados de la Sr, Marques de Astarú. Península , ventajas de poSfCÍdh incoftfettaS)lis. Sr. D. J acobo Florea." Por‘ejemplo, la Inglaterra dejando el arar libre á nuestra marina, mas dies Sr. D. Manuel Gutiérrez Caricdes. tra y pqtferíM^iqqeJa ^ M$qs n.qts^Of adxqt^|o»-r™'Vd&lt;^a^|,.clarc&gt; que nos . $r. D. ViceMf Vázquez. ■'.¿i , seria ncíl ¿múñar, eVqptnétcio, de nyestros'.enemjgos, y ,toqjiv.pew la espalda, ■ v'fe desembarcando en otnts apuntos ; las posiciones que han defendido por tierra ..^f PROVINCIA DX CXXOStA.…</t>
  </si>
  <si>
    <t>Caricdes, Manuel Gutiérrez</t>
  </si>
  <si>
    <t>Manuel Gutiérrez Caricdes</t>
  </si>
  <si>
    <t>…el cual los Pretendientes han sido expulsados de la Sr, Marques de Astarú. Península , ventajas de poSfCÍdh incoftfettaS)lis. Sr. D. J acobo Florea." Por‘ejemplo, la Inglaterra dejando el arar libre á nuestra marina, mas dies Sr. D. Manuel Gutiérrez Caricdes. tra y pqtferíM^iqqeJa ^ M$qs n.qts^Of adxqt^|o»-r™'Vd&lt;^a^|,.clarc&gt; que nos . $r. D. ViceMf Vázquez. ■'.¿i , seria ncíl ¿múñar, eVqptnétcio, de nyestros'.enemjgos, y ,toqjiv.pew la espalda, ■ v'fe desembarcando en otnts apuntos ; las posiciones que han defendido por tierra ..^f PROVINCIA DX CXXOStA.…</t>
  </si>
  <si>
    <t>Cario</t>
  </si>
  <si>
    <t>…Sur, se ex minarlos en su conjunto y hacerse cargo de ellos, para después de realizados ios tiende la cordillera de Andía, desde Vitoria á Pamplona. Entre estas dos cor hechos, juzgar qué probabilidades quedan todavía á favor de D. Cario® y de la dilleras se encuentra un extenso valle por el que atraviesa el camino de Vitoria insurrección para continuar esta guerra. i Pamplona, y por el cual correel rio Burunda, en su nacimiento junto á Sal Con este objeto presentamos en nuestro número de 23 de Agosto una re vatierra , y Araquil en la parte…</t>
  </si>
  <si>
    <t>…,T¡- de 1786, ratificada por ambos Soberanos. Un'cnadptno en 4&gt;° á 3 rs. rama, y 3 en taes, Nacimiento; Nixas , Pechina, Roquetas y Vera seguía la enfermedad su ■ rústica. -*.r V firmado eaw Gran JBre^ao^, el Sr. de la Rey el Rey D. Cario* iv y cunoordinario. —-Canvenioentre de. niotfvó^de córt SS. MM. ‘la^rév-olu— por 1793 ,-y-ratíficado Ajanjikz-ádiyÜe'Jdnyo -v !' PROVINCIA BE 1AÓAJOZ. eionesde. FrüDcb T v de la gnerra quecsta declaró á.am&amp;o&amp;.SobaiattM, Ubmldcmo Con fecha 22 del cotriente diccelpresidentc de la junta de Sanidad' d…</t>
  </si>
  <si>
    <t>Cario, D</t>
  </si>
  <si>
    <t>D Cario</t>
  </si>
  <si>
    <t>…duy ,T¡- de 1786, ratificada por ambos Soberanos. Un'cnadptno en 4&gt;° á 3 rs. rama, y 3 en taes, Nacimiento; Nixas , Pechina, Roquetas y Vera seguía la enfermedad su ■ rústica. -*.r V firmado eaw Gran JBre^ao^, el Sr. de la Rey el Rey D. Cario* iv y cunoordinario. —-Canvenioentre de. niotfvó^de córt SS. MM. ‘la^rév-olu— por 1793 ,-y-ratíficado Ajanjikz-ádiyÜe'Jdnyo -v !' PROVINCIA BE 1AÓAJOZ. eionesde. FrüDcb T v de la gnerra quecsta declaró á.am&amp;o&amp;.SobaiattM, Ubmldcmo Con fecha 22 del cotriente diccelpresidentc de la junta de Sanidad' d…</t>
  </si>
  <si>
    <t>Cários</t>
  </si>
  <si>
    <t>…, pido respetuosamente que se inserte esta protesta en ■ ¡ TLdeiit había entrado en el territorio portugués, aunque limitando sus operacio el proceso Verbal de la sesión del Senado 15 de Abril 1834-==Andrés Jackson. nes á echar á D. Cários de la frontera: no obstante era cierto que aprovechan do algunas plazas fuertes de Portugal la ocasión de la presencia de las tropas .--V. p.* r XAVIEKA. empañólas', se habiaif'decla^do^spontáfíeiimenlp á, favor de Pola Mdríá. pqr - ‘V- Munich 10.Ae Mayo. ' ; ‘ . último concluía quéJps^pormeBores 3el: tt…</t>
  </si>
  <si>
    <t>…de 21 de Julio volvió á inculcar «que se podrían sobrevenir en lo sucesivo. le castigase si era reo.” V. M-. en su sábia previsión , se sirvió mandar por Real decretó de 4 En 4 de Agosto avisó el plenipotenciario, que estrechado D. Cários á de Enero de este año, que el Secrctario(entoDces)dcl Despacho de Estado Don cumplir las Reales órdenes, había respondido : «que no habiéndose tomado en Francisco de Zea Bermudez , librase certificación auténtica , con referencia consideración por S. M. sus representaciones, se mantenía en lo dich…</t>
  </si>
  <si>
    <t>…ésame añadiendo: Estado , Gracia y Justicia, Guerra y Hacienda , al cargo de D. Joaquín Abar Llegó el caso....... de que cumpla la declaración que hice de no reconocer otros ca , obispo de León : unos de letra, firma y lúbrica de D. Cários , otros coi» derechos que los que legítimamente tengo de heredar la corona en el caso pre iguales caracteres del citado obispo , y otros con la sola rúbrica de este : dqsente, por no haber dejado mi Hermano hijo varón...... espero de ti....... que cretos autógrafos de nombramiento de-Sect erarios d…</t>
  </si>
  <si>
    <t>…préstito, hay también recursos en la Nación de que se Él Sr. Secretario del Despacho de Hacienda hizo una descripción muy exacia y puede echar mano, siempre que se corten ciertos abusos que en mi concepto muy del caso del Infante D. Cários y de nuestra augusta Reina Doña Isa- no debieran existir hace mucho tiempo. —Jara Drjtr-S. S que el 1 -"«ajin pendón ó bandera que representaba el «Ya llevamos algunos meses que la Nación se halla constituida, cura époprincipio de absolutismo y oscurantismo, cuando nuestra Reina era la bande- 03 qiiff~r…</t>
  </si>
  <si>
    <t>Cários, D Fer</t>
  </si>
  <si>
    <t>D Fer Cários</t>
  </si>
  <si>
    <t>…mantenía en lo dicho.” i los originales que obraban en la secretaría de su cargo, de todas las con En 18 del mismo mes avisó dicho plenipotenciario que apremiado Don testaciones que Hablan mediado entre vuestro augusto Esposo el Rey D. Fer Cários á verificar su salida, había dado por toda respuesta que «estaba resuelto nando vit (Q. E. E. G.), y V. M. como Reika Gobernadora de una parte, á efectuar su embarque en Lisboa cuando aquella ciudad fuese restituida al po y de otra el referido Sr. Infante D. Cirios, relativamente al cumplimiento de…</t>
  </si>
  <si>
    <t>Cários, Fer</t>
  </si>
  <si>
    <t>Fer Cários</t>
  </si>
  <si>
    <t>…tenía en lo dicho.” i los originales que obraban en la secretaría de su cargo, de todas las con En 18 del mismo mes avisó dicho plenipotenciario que apremiado Don testaciones que Hablan mediado entre vuestro augusto Esposo el Rey D. Fer Cários á verificar su salida, había dado por toda respuesta que «estaba resuelto nando vit (Q. E. E. G.), y V. M. como Reika Gobernadora de una parte, á efectuar su embarque en Lisboa cuando aquella ciudad fuese restituida al po y de otra el referido Sr. Infante D. Cirios, relativamente al cumplimiento de…</t>
  </si>
  <si>
    <t>Carlas</t>
  </si>
  <si>
    <t>…or que le causan estas desgra tiempo es teatro. La conclusión de la guerra civil en Portugal será ciertamen cias. El gobierno ha suscrito por 13 sacos de arroz y 53 dolars (¡urna que aña te seguida de igual resultado en España, y D. Carlas , seguí) lis últimas noti dida á la suscripción pública se eleva ya i 209 dolars) que deben distribuirse cias que anuncian su partida, no tratara de continuar mas largo tiempo el mi entre los habitantes pobres que sobrevivan á la catástrofe. En la mañana del 21, serable papel que lia representado h…</t>
  </si>
  <si>
    <t>Carlisie</t>
  </si>
  <si>
    <t>…. Lord Mulgrave, de Correos, sin asiento en el gabinete. 3.° Que las fuerzas militares de la Confederación se aumenrarán con cada Lord Auckland , primer lord del Almirantazgo. «no de los Contingentes, hasta el efectivo de guerra. Lord Carlisie, lord del‘Sello privado. 4*° EL principio de la extradición seráuniversalmcnte admitido en todos los M. Eli¡cc conserva su plaza, con asiento en el gabinete. Estados confederados, y apljcado no solo á los delitos privados, sino también á M. Thompson, presidente de la junta del comercio. toda dase d…</t>
  </si>
  <si>
    <t>Carlislc</t>
  </si>
  <si>
    <t>…ner las penas que esta ley señala al que se encuentre Althorp pasará al ministerio de las Colonias, y será reemplazado por M. Spring- armado á larga distancia del punto de la sublevación. Rice como canciller de l*echiquiert y que lord Carlislc reemplazara probable-* M. O. Barroi dice que reunido el hecho material y la intención hay delito, mente en el sello privado al conde de Ripon. Se dice que 1a dirección general y no de otro modo; y- que en esta ley se exige que el acusado pruebe que es de Correos, sin entrada en el gabinete , será c…</t>
  </si>
  <si>
    <t>Carlisle</t>
  </si>
  <si>
    <t>762 __Ejtamoi autorizados'para contradecir la noticia desque lord Mulgra.e ha bernadorá, que/tíene por título: La inmortal Cristina , composición^del di ¿do nombrado ministro del sello privado en reemplazo del conde Carlisle. rector de la orquesta, para imprimir con ella en el alma de cuantos la oyen (Globe.') aquellos afecttíá que infunden la dulzura de ia música. Ademas del refresco servido en el sarao , y del .banquete con que abundan ____ Se asegura, dice el Htrald, en los cirjulos diplomáticos,que Sir Straford teme…</t>
  </si>
  <si>
    <t>CárloA</t>
  </si>
  <si>
    <t>…cerlo , porque Jó .oreja imprudente p innecesario* :* tieringt-preodas, y no hubiéseflsos adqplafip. la resolución *}ue debemos, pues, «Seria, imprudente aporque no hay un solo español que ¡gnore- cuáles son lo» hi^MÍ del Infan|e¡D.-CárloA podrjan,¿legar, á ocupar el trono. En ese caso, las leyes de suceder á la corona de España después que se restablecieron por las poníamos a la nación,en el djjjK) compromiso,, ó de rechazará ud* Rey legíti Córtes de J/39 ,.y; se confirmaron por el voto genera) de la nación en cuantas mo- por conser…</t>
  </si>
  <si>
    <t>Cárloe</t>
  </si>
  <si>
    <t>…su fin, y que alcanzado tí de algún otro obligado á su solvencia. las disposiciones eficaces tomadas por el general Rodil acabarán con el ejérci 7? Guando dicho valor sea mayor que la cantidad qué demande to que pelea en ayuda de D. Cárloe, cuy* presencia en España es todavía para ■esotros un misterio. la Real Hacienda, y no puedan dividirse las fincaí, se reconocerá-un capital igual al exceso en favor del propietario pirateándose la ren —---- El general Mina, que hace pooo talk&gt; de aqui, es de opinión de qué Doa ta en proporción de…</t>
  </si>
  <si>
    <t>Carlomagno</t>
  </si>
  <si>
    <t>…el'Benardo'biUaTbwiaacciónseguida /completa y acabada, que empieza décimo y dos mapas, que son él dól Brasil y cf deFruaiat continúa abierta: 4» sáscrip- .. novelas histórica? 'originales espanelas pasarlo en las pretensiones del Emperador Carlomagno al dominio de España, y con- .clon.——Los suscrlptores 4 la Colección de cluye ep la batallarle Rbncesvalles y én la muerte déj paladínRanees á tflanos f4 recoger el tomo'12 de dicha colección, y 4-° de la frmladi: Sancho Satdana ^ ri del.béroe de Léneb Estnacción es.excelenteriy, si Adiase reúnen l…</t>
  </si>
  <si>
    <t>Carlos</t>
  </si>
  <si>
    <t>…e lenguaje. A la notificación que le hizo nuestro plenipotenciario de las procedía ó no la declaración solemne á que termina, de deberse excluir á di Reales órdenes de S. M. la Reina Gobernadora, relativas al mismo objeto cho Sr. D. Carlos y toda su linea del derecho de suceder en la corona de Es que las anteriores, contestó: «que las circunstancia* habían variado compictapaña , siente todo el peso de la gravedad de este asunto; pero los documentos «mente; que nadie tenia autoridad para mandarle, tú el la menor necesidad de á que se re…</t>
  </si>
  <si>
    <t>Cárlos</t>
  </si>
  <si>
    <t>…o tienen íntima conexión entre sí; puesto que También se hallará la segunda. Isabel en las’éjjreíentes Córtes contra I? el único fundamento de que el Sr. Infante hace descender sus pretendidos de tempestad que ha levantado «u tio D. Cárlos; no cediendo estas á las antiguas rechos, es la alteración que el Sr. D. Felipe v quiso introducir; y aunque el en lealtad y celo para proveer á cuanto sea necesario para sostenerla en el sórespeto obliga á la comisión á expresar su dictamen sobre este asunto con las lio de sus mayores, y para prec…</t>
  </si>
  <si>
    <t>…dé un rttórfó exacto. No será únicamente la Sdmihísíráciori tendía ademas á que cediese de su derecho D. Miguel á la corona de Portugal, quien hablará á la Cámara y á la Francia, sino las prismas (colonias que harán lo mismo que D. Carlos del suyo á la corona de España. Se susurraba igual oir su voz por medio dé sus delegados. mente , bien que esto ya era sabido, que él general español Rodil había en «Se ha manifestado la opinión,de que haya en cada asamblea colonial hom trado en el territorio portugués, y hecho alejar á D. Orlos. bres…</t>
  </si>
  <si>
    <t>…s del artículo antecedente, y que den su paiabra de no tomar parte del próximo pasado, conformes con otros datos y noticias oficiales que ha reci de modo alguno en los asuntos políticos de este país. bido el Gobierno, D. Miguel y D. Cárlos debían salir el 30 de Evora pjra Art. 3.° Los oficiales militares amnistiados conservarán sus empleos legíti embarcarse en Sines el primero, y el segundo en Aldea Gallega, escoltados mamente conferidos, y el gobierno se obliga á proveer á su subsistencia á pro ambos hasta dichos puntos, y acompañad…</t>
  </si>
  <si>
    <t>…s dos Potencias dejasen de existir políticamente. Con la ._ £1 Ddnegal de 78 cañones, su capitán Faushawe, ha llegado esta mañana cuadrupla alianza ó sin ella, no es posible que los gabinetes de París y de Lon ‘trayendo á_hordo á D. Carlos, su esposa, sus hijos y la comitiva: total 60 dres permitan á ninguna otra nación hostilizar á la Península: y esto mismo personas, entre ellas obispos, generales &amp;c. D. Carlos descendió el Tajo en una prueba la excelencia- de la cuadrupla alianza: porque ninguna confederaciones lancha, y se creía…</t>
  </si>
  <si>
    <t>…desaseo y andrajos. El clima es hermosísimo y querían llevar á efecto las estipulaciones que acordaron con respecto á él, muy sano: la;sociedad europea muy agradable; y os aseguro que si tuviese mi como lo e,tuvieron D. Miguel y D. Carlos de que los cuatro gabinetes de la familia y mis negocios aquí, viviría con gusto en este país.” (Id.) cuadrupla alianza habían resuelto cumplir con el tratado de Abril último, ni hubieran sido necesarios asedios de ciudadelas, ni embargo Re buques, ni con venciones' preliminares, ni misiones á Biberic…</t>
  </si>
  <si>
    <t>…í no era posible hubiese un re— facciosos y en la expedición de Portugal.” «presentante español. Estaba sí á muy pocas leguas el general que, persiguiendo Sr. Burgos i •• La comisión no desconocí la certeza df la aserciondd pre 4 D. Carlos, tenia las instrucciones convenientes para «1 oaso en que aquel opinante; pero debe advertir que formaría contra sentido la expresión gloria, Príncipe cayese en manos de las tropas leales. porque esta no hace acreedor al ejército 4 la be nevóle vñd y si ntonocimietíta k » Rendido el ejército de D.…</t>
  </si>
  <si>
    <t>Gaceta de Madrid n.º 201</t>
  </si>
  <si>
    <t>…mplimiento del decreto de V. M. I. de 15 de Junio de 1828 instalaron régia del secuestro de las encomiendas, rentas y demás bienes que una regencia en nombre de la Reina, y trataros de organizar una pequeña pertenecían al Infante D. Carlos, pasase la administración de todos fuerza , que se lanzó después al través de los mares , dominados por una escua ellos con los expedientes y papeles que paran en poder de V. E. á dra enemiga, á ocupar sucesivamente todas las islas del Archipiélago de las Azo la Dirección general de rentas para su…</t>
  </si>
  <si>
    <t>…icha corte no reconoce á su plimiento de ellas, y estaremos conforma todos; pero no se ponga como ley -legítima Reina Doña María Isabel ii, y en que el calendario pontificio po fundamental lo que no lo es. ne como Rey de España á D. Cárlos? ¡Volverá á presentarse otra ocasión Todos los Sres. preopinanta han divagado en la cuation y se han exten como esta? ¡Tendrá,España por ventura una ocasión mas favorable para hacer dido á hablar en general de todos los articulos de la petición , y mas particu uná reforma del clero , que desde el c…</t>
  </si>
  <si>
    <t>…icias positivas sobre Ja importante cuestión sometida í su examen. (¡Corrtv I tgúérra civil exista en nuestra frontera* Cuando los-gritos de \miu\an ios libe— franca?) . &gt; l rales franceses*, se mezclaban siempre con los de ¡viva Don Cárlos \; cuando -------Durante el año último liaa entrado en el puerta de Marsella 98 buques] el gobierno sabia á cierta ¿¡encía que todos los facciosos del Oeste y de! Me de los Estados-Unidos, componiendo entre todo» la suma de 114,81 toneladas. diodía de Francia se preparaban á pasar á España para est…</t>
  </si>
  <si>
    <t>…religión, tío* es las relaciones con los extrangeros; no porque haya necesidad de ellos para nen libertad; y el Ministerio probablemente no se opondrá á que todas las obras sostener su influencia, sino que de la misma manera que D. Carlos representa voluminosas y de instrucción sólida, aun políticas, corran libremente, porque un sistema , las naciones ahora aliadas nuestras, representan otro que en la ac el país necesita esa instrucción; pero tal vez per abora podrá poner restricción tualidad e&amp; el mismo que el nuestro; esto es, el…</t>
  </si>
  <si>
    <t>…gía de la le : «Se ha hecho por S. E. el debido elogio del actual sistema; pero ha ma gislación española, cuando se ocupan en revisar los códigos para reformarlos, y nifestado extrañar se diga «actual dinastía”, fundándose en que D. Carlos per cuando en esta misma legislatura van á presentar uno, y los demas seguirán tenece á ella; pen&gt; debe reconocer S. E. que la dinastía actual principia en este después. Prueba de que están convencidos de su incoherencia y defectos; pero caso en Isabel 11, cuyo trono está gobernado por la Reina Gob…</t>
  </si>
  <si>
    <t>…el remedio á tantos males cómo sobre nosotros han este silencio! Parque lo ha creído conveniente al bien del Estado. Lftjose pri ado. Digo esto, porque si el proyecto ha de volver á la comisión para que meramente que el príncipe D. Carlos estaba enfermo; se dijo después que esta reforme, me parece que podria, sin faltar al decoro debido, darle todavía ba en los baños; que se habia fugado, y cubierto de un disfraz habia desembar mayor latitud. El estado en que nos hallamos es muy crítico; los carlistas-son cado en una playa de Franci…</t>
  </si>
  <si>
    <t>…ter que ya había tomado de Rey. En ellos se en •ra la cuestión de que se trataba la de la suce&amp;joo; no la de si tenia mas dere cuentran datosty testimonios de que mientras ha permanecido en el vecino rei cho la línea masculina de D. Carlos que la de las hembras: para subir al trono no de Portugal ha procurado, en cuanto le ha sido posible, Llevar adelante sus era necesario arrojar, con violencia al que estaba en él asentado. tramas, alentando á los mal contentos , y no desistiendo de sus planes hasta que «Poco tiempohabiaJxascurrido,…</t>
  </si>
  <si>
    <t>…ierno; es decir, que la ley elige á la persona mas intere «Pero á breve tiempo ocurrió otro ejemplo mas convincente y clásico sada en la defensa del Monarca menor y en la conservación de su reino, y de que este: viene el Príncipe D. Carlos á España, y jura las leyes fundamenta quien no puede recelarse ningún proyecto ambicioso ó de usurpación; recelo les de la monarquía en las Córtes de Vailadoiid de 1518: joven, gallardo, que dictó á la ley previsora alejar de la regencia al Príncipe mas cercano al pródigo , generoso » distribuyendo…</t>
  </si>
  <si>
    <t>…ntatampoco¡hoy una sola razón quesea poderosa; pues si la glos , mayor derecho ha habido para restablecerla. Esto fue lo que se hizo en Fuaqciaypor infilijb de-tui-legislactomcivil-en la política, ha admitido la ex tiempo del Sr- D. Cárlos iv en las Córtes de 1789; esto lo que Se ha ratifi clusión de las hetnbns cómo ley do sucesión, desde muy antiguo en España, cado de nuevo en las Córtes de Madrid del año próximo pasado, al reconocer &lt; asi ¡cómo en otros países,h y casó en todas las monarquías de Europa) nunca y jurar como sucesora…</t>
  </si>
  <si>
    <t>…sus padres les han deparado; que el os rona , fijando en ella, clara, explícita y terminantemente las líneas que deben han sido, no nosotros, los que los han alejado del trono, por querer colocar suceder por la exclusión de la de D. Cárlos, con lo que tal vez evitaríamos los en él hollando la nación y las leyes. que nuestros nietos volviesen á ver otro testamento de Cárlos ii y otra sangrien » De otra manera, ; qué seria de la nación si llegase por desgracia el caso ta guerra de sucesión. de heredar uno de ellos la corona! Porque, co…</t>
  </si>
  <si>
    <t>…ro es que, con arre mos, y cuyos noíVjldcs no quiero pronunciar en este recinto por no profana rJo; glo á citas leyes, ¿ falta de dos hijas del Sr. £&gt;. Fernando vu entraña á rei hay mas, que si I^quitar toda esperanza del trono a D. Carlos y a su deseen-, nar, la línea n&gt;a$ próxima , saltando por la de D. Cárlos, excluida como id denciano coKcluye la guerra civil; ni nosotros hasta cierto punto podriamqs. quedará por todos Jos poderes del Estado. ¿Para qué pues, suscitar cuestiones acriminar á los valedores y partidarios de los hereder…</t>
  </si>
  <si>
    <t>…e lo que se iba á votar, en En seguida se puso ¿ votación la adición siguiente, reclamada -por varios la cual' el Sr. marqués'dé Espeja se opuso á que se dijese derechos eventuales Sres. Próceres antes de la misqta votación: «Que D. Cárlos y sus descendien riel' Infante D Cárlos , puesto que lo que había podido tener era esperanzas, tes queden privados de la facultad de volver á los dominios de España.” pero no derechos, puesto que el derecho á la corona solo lo da la jura como La votación fue nominal , resultando aprobada la adición p…</t>
  </si>
  <si>
    <t>…estras augustas Reinas. El país que recorro ciudadasistencia, siná suscontarenfermedades,con el estipendioy la dequelos lepueblossatisfacende la loscomarcavecinoscuandoacomodadoses llamadopor enla está muy cansado y disgustado de D. Carlos, y agotado por la guerra. La opera apelación al mismo fin. Los pretendientes dirigirán sus solicitudes al corregidor presi ción de ayer tiene consternados y aterrados á los facciosos, huyendo por to dente del ayuntamiento, francas de correo, en «1 térmirio preciso de un mes. dos los puntos y sm sab…</t>
  </si>
  <si>
    <t>…te en las forme á lo que previene el reglamento , anuncio por segunda vez para el lunes votaciones; falta qUe sin embargo de ocurrir pocas veces, ha podido decidirse la discusión del proyecto de ley sobre la exclusión del Infante D. Cárlos de sin infringir el reglamento por lo prevenido en lo pasado y por la práctica en la corona de España. Después se discutirán sucesivamente: 1” la petición so casos de igual naturaleza. bre revalidación de empleos, grados y honores concedidos desde 7- de Marro »E1 Sr. Caballero ha manifestado que es un…</t>
  </si>
  <si>
    <t>…se habia podido concluir. ■ remitía su voto conforme con lo acordado por el Estamento en la cuestión so El Sr. Presidente manifestó que su 'ojeto al hacer estas preguntas era únibre excluir de la sucesión de la corona al Infante D. Carlos y toda su línea, . cánsente excitar el celo de las comisiones para que activasen sus trabajos, á fin para que teniéndole présente, se mandase insertar en el acta; y al mismo tiem de no interrumpir- las sesiones. po manifestaba que se habia encontrado ser incierta la noticia de la desgracia El Sr. Car…</t>
  </si>
  <si>
    <t>…olos se vieron en la dura necesidad de combatir ahora al Estamento por hallarse comisionado en Bivona para averiguar la cer-* por su independencia y sus libertades, desde aquella memorable época con tiza de la venida del Príncipe D. Carlos í España. El Estamento quedó ente tamos con tales medios y garantías de nuestra libertad , cuales no existen en rado. ninguna otra nación del murrio; y la comisión no hubiera hecho fiada demaa Se dió cuenta de otro del Sr. marques de Astariz, por la Corufla, en que en expresar esto mismo contestand…</t>
  </si>
  <si>
    <t>…países; vivo en la sociedad española, y como tal debo hacer hay muy pocos que no anhelen la libertad de imprenta, excepto un partido mérito de las leyes de Espina. Las leyes criminales de España son muy fuer que es el del Infante D. Carlos, que ni tiene amor á ia libertad de imprenta, ni tes; hay en ellas penas de muerte para los que escriben cootra el Estado ó ío puede tener jamas. ¿Por qué? Porque vire de los abusos, y porque ha que contra el culto público , y yo confieso francamente que prefiero un censor rido poner á su cabeza á…</t>
  </si>
  <si>
    <t>…e otro modo. EL Sr. preopinante ha citado el actual Soberana de España. Se ha dicho aqui, ¿quieren acaso ia 1 hertad de im Real decreto vigente , que está haciendo las veces de esta segunda parte , sobre prenta los partidarios de D. Carlos: Y se ha respondido que no. Yo creo que la censura , y por lo tanto ese Real decreto coarta esa libertad buena ó mala, esta respuesta no es exacta; y sí la quieren, no porque la amen,sino para apro porque en el artículo se dice con sujeción á las leyes. Ahora bien, entrando en vecharse de ella , y…</t>
  </si>
  <si>
    <t>…lavos del agradecimiento, v adorando el brillante sig portugués. Pero el espíritu de aquel tratado era la pacificación de la Península! no del honor, no habrá esfuerzo ni sacrificio de que no nos creamos capaces y Ja aparición de D. Carlos en España, sí bien descubre que la redacción fue para mostrarnos siempre dignos de vuestro Real aprecio y de la hermosa causa viciosa, solo ha servido para poner mas de manifiesto la saludable unión de las qae defendemos. Si las virtudes cívicas', que la usurpación detesta, han de ace Potencias .qu…</t>
  </si>
  <si>
    <t>…tual. Ha dicho el Sr. Ministro, que quién se hubiera atrevido entonces á es Polo Monge. cribir en favor de Napoleón. Yo creo que habría menos en el día que escri Los que desaprobaron fueron los señores: biesen á favor del Infante D. Carlos, que los que hubo entonces á favor de Otazu , Rodríguez Paterna, Mena, Claros, Chavafri, Rivaherrera , LarJosé. En favor de este escribieron, no solo los que le servían en los destinos, riva, Tosqueljas, Miguel Polo, Medrano, marques de Montenuevo , Vázquez «o solo los que se prestaron á ser instru…</t>
  </si>
  <si>
    <t>…erseu Hall) lejos de Bayona, á ññ portugues agente de D. Miguel, que se di^a al cuartel deD. Cirios: dos vecinos de Bayona se habían ofrecido, mediante la pnjm®- HUNGRIA. *a de Una buena paga, í llevarlo hasta donde se encontrase D. Carlos : tam bién están presos estos dos individúan {Indicador de Burdeos.') Pest 29 de Octubre. París 27 dt Noviembre. De algún tiempo á qtta parte ha hecho la arquitectura grandes progresos en nuestr &gt; país: solo habláremos de la construcción de la iglesia metropolita Zanja dt by. - Cinco por 100 consol…</t>
  </si>
  <si>
    <t>…onel Don nifestó tanta superioridad de instrucción que el benemérito obispo de Mur Agustín Nogueras con el cabecilla Carnicer, cuyo tenor es el siguiente: cia D, Manuel Rubín de Cehs 4c premió concediendo otra beca &lt;1 su her mano D. Carlos; siendo este el primer ejemplar de dos hermanos a la vez, «Segunda comandancia del Este de Valenciajc=Excmo. Sr.: Desde que el colegiales Ir.rcrnos en aquel es[ablecimien;*.\ dia 19 del corriente se dignó V. E. confiar á mi mando una columna de va Durante su mansión en el, se observaron en Clcmenci…</t>
  </si>
  <si>
    <t>…que se trataba de apartar á los espjCon la solemnidad y pompa «pie acostumbra esta ciudad, y con et mismo ñolcs de lá obediencia que deben á su Soberana, no solamente por temor, sino ceremonial con que se proclamó a S. M. el Sr. D. Carlos ív, se han levantado también por conciencia.... Murió el Rey con el consuelo de que jurada v re pendones el 7 del pasado por nuestra augusta Ruina y Señora Doña Isa bul ii, conocida por los obispos., los grandes, las Cortes, y por las ciudades y pueblos cuyo reinado ofrece tantas esperanzas y consu…</t>
  </si>
  <si>
    <t>…l de instrucción primaria, aplicable á todos .los pueblos de la mo rior al de la fecha del parte. narquía. (Núni. 201.) ' ” Real orden mandando que la administración de los bienes que pertenecían ai PROVINCIA DB lOCROÍtO. infante D. Carlos pase á la Dirección general de Rentas. Cid.} ____ mandando que los planos de las obras de Caminos, puentes y canales se re- ' Con fecha 27 del mes anterior participa su gobernador civil que en Al- . mitán por ahora á la Dir«-/-ir&gt;n general, por conducto del ministerio de lo faro y Calahorra eran de…</t>
  </si>
  <si>
    <t>…que nunca puedan haber honra do EL Sr. Presidente anunció que se iba á proceder á Ja discusión del pro caballería nin de otra digoidat , nin oficio, nin puedan heredar de parientes yecto de ley-relativo á la exclusión del Infante D. Carlos y su Línea de la co que hayan nin de otro extraño que los estableciese por herederos , nin pueden rona de España. haber las mandas que les fueron fechas et esta pena deben haber por la rnaldat A petición del Sr. marques de Someruelos se leyó primero el proyecto que fizo su padre.” de ley presentado p…</t>
  </si>
  <si>
    <t>…parciendo con radores que gusten hacer alguna exposición ó remitir su, voto, podrán verifi mano pródiga y funesta sobre mi patria infeliz. carlo, y la secretatía no dejará de dar cuenta de ello, con lo que el público « El Infante D. Carlos se ha formado él mismo su proceso. En vida de sabrá apreciar sus sentimientos, como ha sucedido varias veces sobre diferentes su hermano sirvió su nombre de escudo y de bandera á los malvados que cons asuntos. Por tanto, pues, la comisión ha creído no había necesidad de adoptar piraban no solo cont…</t>
  </si>
  <si>
    <t>…ltitud, al paso que la L bertad per adhesión de este príncipe al régimen del despotismo, su ciega sumisión ai poder mite examinar el pro y contra de todas las cosas. Aun cuando nada dijesen del oscurantismo religioso. Si abrazase don Carlos mañana Jos principios libe sobre tan importante cuestión la justicia , el derecho general, el público y ci rales , todos sus secuaces le abandonarían en el momento, á pesar de Jos dere vil, ni la misma conducta del Infante, bastaría solo á decidir a esa idea de re chos que le conceden. No se crea q…</t>
  </si>
  <si>
    <t>…a corte de Madrid enel año 1828; siéndolo por 12. Es del todo infundada la objeción de que el reconocimiento que se haber,sido emitidas mas ó menos ostensiblemente con el objeto de destruir la cuestiona facilitaría prestamistas á D. Carlos; porque los que locamente crean libertad aquí. en su triunfo ,le~ franquearan sin dificultad sus caudales, como otros le sacrifi «El Gobierno francés de entonces quiso saliesen de su compromiso lo» can su existencia, bien seguros de que sí sus sueños se realizasen, no serian que habían tomado parte…</t>
  </si>
  <si>
    <t>…es han estado muy firmes. Cinco por 100 consolidados, en Sines, á bordo de la fragata inglesa Stag, para un puerto de Italia: y no 10(5 francos: fondos españoles, renta de España al 3 por 100 , 44^* EmPr¿s* habiéndose permitido á D. Carlos tomar el mismo rumbo, como lo solicitó, se tita Real de idem, 84 Renta perpetua de ídem, 73 J. embarcó en Aldea Oallega , á bordo del pavío ingles Donegal, con la Prince sa de Beira , con su familia , servidumbre y comitiva, en número de unas SO _ Parece que se acerca el fin de la crisis ministeria…</t>
  </si>
  <si>
    <t>…ña María n, rigido á S. M., asi su Ministro plenipotenciario en aquella corte co se obliga á usar de todos los medios que esten en su jxxler para obli mo su Embajador en la de Paris, se ha dignado mandar la augusta gar al Infante D. Carlos á retirarse de los dominios portugueses. Reina Gobernadora que se ponga inmediatamente en conocimiento’ Art. 27 S. M. la Reina Gobernadora y Regente de España, del público esta transacción importante, que aGanza mas y mas el durante la menor edad de su Hija Doña Isabel ii , Reina de Espa triunfo de…</t>
  </si>
  <si>
    <t>…iudad, pero que había po Berlín 21 de Agosto. dido volver á reunir sus tropas y sitiar la plaza. El grito de su partido es aho ra Religión y Santana: dicen que este general recibe mensual mente de la igle El Rey nuestro Señor, el príncipe Carlos, la princesa Liegnirz yS. E. el sia y del partido aristocrático, á cuyo frente se ha puesto, 8ü4&gt; pesos fuertes. consc jero Alejandro de Humboldt han salido ayer para K.ocnigsberg. (Id.) TURQUIA. AUSTRIA. Vana 20 de Agosto. Galatz 9 de Julio. El barco de vapor el Argo ha hecho tres veces su viage d…</t>
  </si>
  <si>
    <t>…ió parte la V. E. en mi oficio de anoche que desde los altos que' dominan á Arríela me vanguardia de que los rebeldes se'hallaban én posición al otro lado del rio de habla vuelto i Orozbetelu por la imposibilidad de dar alcance á D. Carlos, en Salazar, en la borda llamada de Marta-; divisándose al mismo tiempo en las atención á la delantera que me había tomado, y con objetó de adquirir las no alturas inmediatas algunos grupos desordenados, al parecer sin armas, y que ticias que pudieran interesarme para continuar la persecución de la…</t>
  </si>
  <si>
    <t>…Florez Estrada, Cáceres, Onís, Trucha Cosío, liz patria sometida á su tiránico yugo? Desengañémonos, Señores: si al tiempo conde de Huts, Morales , De Pedro , Ciscar y Oriola, Ochoa , conde de Almo- que decretemos la exclusión de D. Cárlos no lo hiciésemos también con la de dobsr , Ruiz de Orrion, Subercaae , García de la Maza, Butrón, Laborda, sus hijos, las pretensiones do harían mas que variar de nombre, se alimentarían y Polo y Monge. del mismo modo locas esperanzas, y la guerra civil se reproduciria acaso con Los señores que se…</t>
  </si>
  <si>
    <t>…gloria de tener hoy una Rbika inocente y una Qobernadora tal,que sas, indicando cuán diversa debería ser la resolución que se adopuse con los guia nuestros pasos hacia la felicidad pública; pero sin Córtes no se hubiera hijos de D. Carlos, hizo alarde de sentimientos, de compasión y de justicia podido abolir. Córtes hay hoy: la Nación está hoy reunida por med-o de sus propia de pechos nobles y generosos Es evidente la competencia , digámos representantes, y va á ejercer su derecho en la cuestión presente. En este dere lo asi, de ¡as…</t>
  </si>
  <si>
    <t>…ir á reunirse al ejército Se. ha mandado que la corte se vista de luto durante siete semanas con de Siria. mottvo del fallecimiento det Emperador D. Pedro. Se envían nuevos reclutas á Candía. (Gaceta de Ausgburgo) Se dice que el Rey Carlos x quiere dejar á Praga, y fijar su residencia en Gratz. En cuanto á la duquesa de Berry se ignora si mudará de domicilio. Idem 2 6, La diputación de Trahsilvania ha vuelto a Clausemburgo. Las maniobras de nuestras tropas cerca de Verona han tenido el mas fe Se lee en el Monitor otomano: liz éxito,…</t>
  </si>
  <si>
    <t>…l no es exacta, manifestó en la dis se aprobasen por D. Pedro las deudas contraídas por D. Miguel; y 4 que nos cusión anterior que no convenia hacer diferencia «ntre la deuda francesa y la otros pagásemos las que pudiese contraer D. Cárlos. inglesa, ni manifestarse mas favorables 4 una que á otra.” «Ademas el hecho es que hay reprobación anterior de parte del Gobier El Sr. Secretarla de Hacienda: «Para satisfacer 4 S. S. diré que no hay no legítimo, 4 cuya cabeza estaba el Rey. Asi que hubo noticia del emprésti duda dije no debía hace…</t>
  </si>
  <si>
    <t>…que los cruceros ingleses han cámara de los lores—Sesión del 25 de Julio. apresado un buque salido de nuestros puertos con armas y municiones por cuen - La.Cámara quedó enterada de que S. Al. habia sancionado varios bilis. ta de D. Carlos!” - . Después tomó la palabra el conde de Winéhelsea, y dijo: »Voy á interpelar al Lord Mclbourne-. «Respondo que absolutamente no sé nada sobre esta primer ministró i como ya lo anuncié ayer, sobre el sistema de política exte asunto.” , rior que se propone seguir. Empiezo por-el asunto que tiene h…</t>
  </si>
  <si>
    <t>…cio de los extraugeros , pues llamaba la o-—- de Samostrar,que P-,-Cirios debe perder el derecho referido que tiene, no puedo boya i falta de individuos de la de España: todavía se les podría oponer la ley menos de manifestar que D. Carlos no ha tenido tal derecho nunca, yque de de las Cortes de 1789, que no es de menos solemnidad que la anterior ,y tie consiguiente no ha podido ni puede perderle. Se pierde lo que ha existido: no ne la ventaja de ser española, de estar.fundada en 'as costumbres patrias y en el habiendo pues D. Cirios…</t>
  </si>
  <si>
    <t>…n ninguna época, sino que se ba modificado de algu los padres. Toda su posteridad debe sufrir el castigo, puesto que se trata de na manera , expondré varios hechos históricos , que comprueban esta verdad. atacar nuestra libertad. D. Cárlos es la causa de que se derrame tanta sangre; •&gt;Por muerte de Alfonso v y su hijo D. Bermudo, sucedió Doña Sancha, los hijos deben seguir la suerte del; padre. ‘ ' la que fue reconocida y jurada en las Cortes á fines del siglo xi. Cuando su «Desengañémonos: sus hijos no pueden seguir otras banderas q…</t>
  </si>
  <si>
    <t>…'grave'tíégocío por usár de unas frases en vez de otras que signifi ■ mentales que se h2rj alegado en esta cuestión , porque ni ta creo tan vital con*. &gt; quen Id mismo? ha querido supone*se , ni tod^s las pruebas alegada* ce ntra D. Cárlos nie íiacen VSe'ha dicho que la cofrúrion no debió citar las'leyes de Pártida. La mis*- fuerza. Solo una me ha decidido á votar, y si esa me fáltase, coníicso ai Es diferencia dí-ápiriiónéyebtre los sefiores que han impugnado el dictámen tamento, que rv ccTiciencia -y por convicción no podría dar mi…</t>
  </si>
  <si>
    <t>…ar. la civilización y de las luces del siglo; y que esta parcialidad ó este deseo da «Las razones de conveniencia que se han alegado, no todas valen contra favorecer á quien no» conduce por el camino que deseamos andar, es la que D. Cárlos; pues aunque es bien cierto y positivo que toda la Nación está con nos ha hecho cerrar los ojos, desoir toda razón en favor de D. Cárlos y su vencida de que la conveniencia de Espafia es que D Cirios no reine, no sé si descendencia, cuyas ideás son enteramente opuestas á las nuestras. Esta obje pue…</t>
  </si>
  <si>
    <t>…prue puedan oponerse á su prosperidad, en asegurar el ejercicio de lós derechos le bo, ni condeno; solo cito. I gítimos, que honran y ennoblecen. Ahora bien, mirando bajo este aspecto la s «Podrá haber un hijo, un descendiente de D. Carlos, que subiese sin in cuestión que hox está sometida al eximen y fallo dei Estamento, ¿quién habrá convenientes al trono de España... &lt;Y sería prudente el dejar á la Nación ex que no la repute coróo -srfdrf'para la Nación, puesto que encierra en su seno la puesta L semejante acaso"? No, señores. Un p…</t>
  </si>
  <si>
    <t>…Simpons , Palaudarias , Puig .Larriya, Rivahcrrera, Atocha, ■ que no pone en cuestión sus derechos. García Carrasco, Domecq, Ulloa, Alcalá Galianó, Cuevas, Miguel Polo, »Por consiguiente, ai aprobarse el proyecto de exclusión de D. Carlos se Tosquellas, Medrano , Montenuevo, Alcalá Zamora, Pedrajai, Navas, Catión paga un tributo al' trono legítimo-, y al excluir á los hijos de aquel príncipe se, V Zóñiga , Vazquez Moscoso , Belmonte , Cabal lero , Cauo Manuel y Chacón, da un ejemplar terrible para los que.intenten seguir las.huellas…</t>
  </si>
  <si>
    <t>…víl y una inquietud perpetua. en Lisboa se había diferido por una simple formalidad, y que el general Ro «Cómo habéis sacudido el yugo de toda ley, los que siempre teníais en boca el dil Había pasado la frontera en persecución de D. Carlos, el cual contra las órden legal? Vosotros habéis insultado la persona del Soberano, escarnecido á órdenes del gobierno de Doña María, reconocida como Reina por la Gran- los defensores de la monarquía constitucional, y puesto en duda hasta el dere Brelaña , no había querido salir de Portugal. Despué…</t>
  </si>
  <si>
    <t>…sean de los empleados en las obras ha tenido el éxito que se deseaba ya con la intervención española, justificada de la villa ó de particulares. Su remuneración ó estipendio se decla bastante por el apoyo que prestaba D. Miguel á D. Cárlos, y ya con el cum rará por el corregidor. plimiento de tina de sus condiciones, que era la promulgación de una amnistía, amnistía de tal ciase, que antes de darla D. Miguel hubiera preferido perder 60- El maestro bombero, que deberá asistir indispensablemente la corona. (Crlobr.)á los fuegos, vigila…</t>
  </si>
  <si>
    <t>…embargo, El capitán Ross, el celebre ¿ intrépido navegante ingles . acaba de llegar á exmten , y sobrevivirán siempre á todo, principios superiores á las vicisitudes de Estokoimo: su Soberano le ha dado la comisión de entregar al Rey Cárlos los gobiernos y de las sociedades, que deben ser defendidos en todas las ocasio Juan una carta sobre la navegación que el capitán ba hecho hacia el polo ár nes , porque son el patrimonio sagrado de ia humanidad. Toda mi vida os res tico. Hace 20 años el capitán Ross permaneció algún tiempo en Suecia, y…</t>
  </si>
  <si>
    <t>…yaadieMm, yat ré ¡Mire, tiempo-i|&gt;iraióUl*1aiera»ria.deq»ie, nps dará éomüm- Mientras «( Gobierne:«pañol excitaba i uno y otro gabinete » cqncmrir 'at» ri fi»»¡ministto, de.Murna. CiérMae ist senon." al fin apetecido , redoblaba D. Carlos sus Itamai y maquinaciones cjé^iéílrciSt ¡minó «ata á las doce y cuarto. ao vecino, atraía gente incauta bajo la» bondas rebcldirs, se presentaba, «j mjqtto</t>
  </si>
  <si>
    <t>…ente hacerse mención espe Trljrtdir, repetidos testimonios de las disposiciones mas amistosas; pudiendo de cial de dos gobiernos de aquella Peníasnla, por mediar respecto de ellos algu cirse igualmente que la última, tentativa de D. Carlos, su fuga clandestina de nas circunstancias peculiares* la‘ tierra'que le ofreció asiló, su desleal correspondencia para con los mismos Desde el momento en que el Sr. D. Fernando vu (Q. E. Ei G.) mandó gobiérnbs que1 le habían Favorecido en su desgracia, y su manifiesta intención promulgar como ley…</t>
  </si>
  <si>
    <t>…aciado de retiró su proposición con condición de que constase en el acia.” perder las dos Hijas del Sr. D. Fernando vu, por la ley misma que excluye á El Sr. marques de Somrruelos: «He echado de menos en el acta la in la línea do D. Carlos, era llamada la del Sr. infante 0. Francisco de Paula; y serción de ios artículos aprobados ayer. Me parece que en las actas deberían in que como no so trataba de formar una ley nueva, era mejor no hacer tal ex sertarse todas las leyes; y que respecto á la en que el Estamento ha acordado la presión…</t>
  </si>
  <si>
    <t>…su carrera y dias un estar cómodo , decoroso, y ventajoso á la Próceres, 2 : lps ausentes con licencia, 5 ; los que votaron ayer sobre la exclu sociedad, al propio tiempo que alivie las cargas que pesan sobre el Estado.” sión de D. Carlos y su línea de la sucesión á la cotona, en la primera vota El Sr. marques de Someruelos expuso que donde se decía ejército, se po ción nominal, 120: los que enviaron su voto por escrito, 2: un señor Dipu dría añadir ejército de mar y tierra. tado que no asistió á la segunda votación nominal, 1 : los q…</t>
  </si>
  <si>
    <t>…vicio seo de ser Util á su patria. —Descripción de los ornatos públicos con que la corte de Madrid solemnizó la fe—&gt; é incaBsable áctivUad se debe en mucha parte la buena salud de que hasta el liz exaltación al trono de ios Sres. D. Carlos iv y Doña Luisa de Borbon, su augu«ra&gt; presante disfrutamos, i pesar de la infección general en que arden todos los esposa, y la jura como Principe de Asturias del Sr» D. Fernando vil, adornada cota. puebles que. nos rodean. once estampas finas en que se describen los ornatos que hubo en diversas c…</t>
  </si>
  <si>
    <t>Gaceta de Madrid n.º 176 · suplemento</t>
  </si>
  <si>
    <t>…Art. l.° b. M* L el duque de Braganza , Regente del reino de Portu en práctica, fue derogada por las Cortes celebradas el año de 1789, en tiem gal y de los Algarbes , en nombre de Ja Reina Doña María u, se obliga a po del Sr. Rey D. Carlos iv; siendo unánimes todos los votos á favor de la usar de todos los medios que estén en su poder , para obligar al infante ley primitiva, venerable por su antigüedad , y por mil gloriosos recuerdos. D. Carlos á retirarse de los dominio* portugueses. En vista de estos poderosos motivos; no dudó el d…</t>
  </si>
  <si>
    <t>…la Milicia nacional de los años del 30 al 23. Yo Milicia urbana , que pudiera decir las mismas palabras que en 1&amp;3A dijeron los di- puedo decir, corno testigo ocular., por haber becho la guerra con sus indi putados franceses á su Rey Carlos x : "Una desconfianza injusta de los senti viduos, que esa Milicia dió en todas partes testimonio* irrecusables , no solo mientos dé la Francia ha causado esta revolución._” Siguió el orador contes de disciplina , sino de un valor extraordinario, y que se niveló al ejército es tando á otros puntos…</t>
  </si>
  <si>
    <t>…r¡&lt;»t); posteriormente la hubiesen secundado. ____-Una carta dé'Ñapóles,del 8 del, actual dieq lo ¡siguiente tphre, jjj. polítiq» 4-° Para que el gobierno del Estado no quede acéfalo, se reponte en clase extráhgíra cón respectcTá D. Carlos y, á.su, pg&amp;i«tps\.»j^McÍ)ó:Stí háblg aqui ¿»r de convocante la legislatura que funcionaba á principios de Noviembre de 832; y respecto á que la capital donde constitucionalmenrc debería reunirse, se ha los qué ^ otiípatí én política y"dipltímáció, acérda bié 'ios esfuerzos de} D- Gar lla ocupada .po…</t>
  </si>
  <si>
    <t>…fiada en su triunfo, cui Sr. Presidente respondió que se tomaría en consideración ai tratar dei artículo da poco de intrigas diplomáticas, y ni aun se toma ei trabajo de averiguar en 3.°, y levantó I3 sesión. « que dirección huye D. Carlos.” (Cralignnanis Mesunger.) El Corresponsal de Hamburgo, bajo la rubrica de Copenhague 7 del cor riente, dice que S. M. dinamarquesa acaba de modificar por medio de un de ESPAÑA * creto la legislación vigente relativa á los cónsules extrangei oí ó nacionales. Los individuos dinamarqueses que acepten…</t>
  </si>
  <si>
    <t>…to- de ley ó resolución podrá ser discutido sin que sea señalado á lo me * español; y al mismo tiempo promete hacer todos sus esfuerzos para determi nos 24 horas antes. 27 Todo-proyecto de ley ó resolución pasará á lo menos nar á D. Carlos á que abandone su empresa, y salgafarodedeEspaña.Sayona.) pormenortresquedediscusiones.24 horas.37 De una discusión_ á otra no podrá haber... un ,inte;vaIo 27 Fijar la fuerza arsrada'de U policía en vísta del dictáfcen djp PWr Paris 'l de .Diciembre. dente de la provincia. 37 Autorizar á las Cámara…</t>
  </si>
  <si>
    <t>…España. ' " ^ El reconocimiento» pues, verificado en una ¿poca propia para Remover to FRANCIA. da oposición nacional á la entrada de las tropas españolas en el territorio por Parts 28 de Abril. tugués con el objeto de perseguir á D. Carlos y sus partidarios, va á refluir en beneficio de Doña María, á quien por consecuencia necesaria las fuerzas espa camara de ios rARES- ^.Sesión del dia 12 ¿te Abril. ñolas servirán de ejército auxiliar: ejército que al mismo tiempo que apurara al pretesdiente^D. Carlos, ayudará visiblemente á debilitar…</t>
  </si>
  <si>
    <t>…á su ar días ha tomado mucho crédito en las tertulias de Londres. Se habla de un tra bitrio en el sentido de su* afectos y doctrinas, y la da á sus lectores como ver tado entre Portugal y España relativo á expulsar á D. Miguel y D. Carlos de dad infalible; y eso se llama ilustrar la opinión pubiúa. la Península- Parece que á este convenio prestan su poderoso apoyo la nación Nadie ignora en el dia en España, que en el tiempo en que la Gaceta de inglesa unida por tratados antiguos y modernos á todo lo que tiene relación Francia insertaba…</t>
  </si>
  <si>
    <t>…o el Descripción histórica del Real bosque y casa de. Aran juez, por D. Juan Antonio Corregidor de Pozoblanco, se alculan en mas de un millón de rs.; he preveni Alrarcz i^e Quindoi y Baena. Un romo en 4*¿ c&lt;Jn el retrato ifel Sr. D. Carlos tv, efido i dicho funcionario me remíta el expediente justificativo de las perdidas, ciondivididade I80i,en cincoá 22 partes,rs ruina,se 2+da enunarusticaextensay 30noticiapasta decomún-las autigüedaJesEn esta obra,del quemencionase halla que elevaré á V. E. con mis observaciones tan luego como lo…</t>
  </si>
  <si>
    <t>…les ingenio de la casa en qué éstaba desémpeñ&amp;iido las fanciónes de l.ic.tyo, le en rama y jOO pasta común. Idem papel fino á 40Ú. rs. rama. Idem en papel marquilla é 4^9 rs. rama. Esta bella edición , hecha en el reinado del Sr. D. Carlos iv* á qnten está viaron al colegio dfcJWéxio pará'qué h&amp;ierá1 sus estudios, y pi^S ¿a'seguida á dedicada. contiene \a noticia,histórica de Cicerón, ios copiosísimos índices de Ernesto la universidad. -Hace cosa de cinco ó seis meses qiie vólvió Eckbóriiá Stocfcol- que comprenden todas las cosas y p…</t>
  </si>
  <si>
    <t>…á saber si los antecedentes que hacen falta ios cho Sr. ha tenido la delicadeza de no hacer nueva instancia hasta que se ha ha de pedir la comisión por sí; parece que los debe pedir por el Estamento. ▼otado el asunto del Infante D. Cárlos, y que asi creía que el Estamento de "Para adelantar tiempo, si el Estamento decide que vuelva á la comisión, bía acceder á la que ahora ha presentado. desde ahora digo que ni mis compañeros ni yo tenemos nada que exponer. Es El Sr. Diez González expuso que había sido testigo de los padecimientos m…</t>
  </si>
  <si>
    <t>…47.740,926 rs. y 6 mrs. en el año de 1691. La comisión no tus facultades, seria dueño de explicarse en el Estamento como el Gobierno ocultará al Estamento ni á L Nación que en algunos años del reinado del Se baria si gustase. ñor D. Carlos ni ascendieron los gastos á 91 millones, y llegaron á la enor «De otra suerte, si los individuos de la oposición se guiasen solo por ha me cantidad de 100 millones de rs. en tiempo del Sr. D. Cirios iv, abuelo blillas Vulgares, como dicq el Sr. Galiano, y el Gobierno siguiendo dicho ejem de nuestra…</t>
  </si>
  <si>
    <t>…profundo reco nttW- impresión que han recibido al pronto mi» conciudadanos,al concepto que nocimiento. Han ce»a io ya las reacciones y vengmzas: los españoles que no forineA'tuando se hallen mejor instruidos. pudieron acompañar á D. Carlos han recibido licencia para embarcarse. A»i s# lidu uu)iz»do todas las esperanzas que había hecho concebir el tratado de 1a Zurich 21 tic Junio, Cuadrupla alianza. (Globt.} •Aver fueron trasmitidas al presidente del vorort las nuevas notas de los de1 Alemania y de luí ia confinóme» con no^otro-», y-…</t>
  </si>
  <si>
    <t>…la li miento. = Dios guarde á V. E. muchos años. = Madrid 9 de Agosto bertad hasta que la conquisten con sus propias fuerzas (CtwrxVr.) de 1834. Corre la voz de que un buqué americano que Pecaba i b^rdo IOS fusi les por cuenta de D. Carlos ha sido detenido en el Támesis de orden del Go Eicmo. Sr.: Deseando S. M. la Reina Gobernadora multiplicar bierno. Puede decirse que esta providencia ha sido pronta y pasta , y debemos las pruebas de su Real aprecio á las lieneméritas tro|ias que con tap añadir que nos asiste motivo pir3 creer que…</t>
  </si>
  <si>
    <t>…r de haber atravesado ferentes personas de los primeros pueblos de bastante influencia con los rebel rápidamente por algunos puntos de ella los rebeldes Mermo, Cues-illas y ctrcs des , los que me han manifestado que la entrada de D. Carlos fue creída en toda venidos de Portugal. la Navarra: pero que no habiéndoseles cumplido las garantías que se les one He pedido una razón que manifieste la fundación , instituto, patrono , rentas cieron de entrada de tropas y protección del extrangero, han llegado á descon y pobres enfermos socorrido…</t>
  </si>
  <si>
    <t>…ijo lo si las Córtes generales del Reino, celebrada el 24 de Julio próximo pasado, de guiente : «no puedo consentir ni consiento mas que resistas con pretextos frí someter á su deliberación la conducta del mal aconsejado Príncipe D. Carlos volos á mis órdenes. Esta será mi última carta si no obedeces: y pues nada han María Isidro de Borbon, para que recaiga la decisión mas justa y conveniente, podido mis persuasiones fraternales en casi dos meses de contestaciones, proce tengo el honor de presentar á V. M. el cuadro fiel de los hecho…</t>
  </si>
  <si>
    <t>…er á su propia conservación en va descendencia, sin que le arredrara la consideración de los que se llaman de «irounstancias tan extraordinarias como las actuales. Y proveyendo á ella, no rechos adquiridos, y que reclama ahora el D. Carlos, parece fuera de toda ¿froga perjuicio á derecho de tercero; porque este derecho se halla esencial duda que no se puede privar á las presentes Córtes, en unión con V. M. co mente subordinado al anterior é imprescriptible de la existencia de la misma mo Reina Gobernadora, de ejercer tan importante p…</t>
  </si>
  <si>
    <t>…fue estéril durante el imperio. tugués. Este era en efecto el objeto inmediato del liando; pao sal espíritu era Lo mismo sucedió en tiempo de la restauración. En el desenvolvimiento la pacificación de la Península; y la vuelta de D. Carlos á España ha manifes momentáhéo que recibió la facultad de París por el decreto de 24. de Mayo tado mas claramente la conveniencia de aquella alianza, i Acaso pudiera el go de 1819, se redujo el derecho público francés á una cátedra de derecho admi bierno ingles con interpretaciones equívocas desent…</t>
  </si>
  <si>
    <t>…Bombelles, cansado va de las respuestas riel gobier Hace algunos días que están pasando por este departamento muchos re no de Berna sobre los obreros de Alemania, no quiere mas comunicación con fugiados españoles, partidarios de D. Carlos, que intentan penetrar en Catalu las autoridades del cantón, ni aun con el directorio. Añade que Mr. Húvel ña para insurreccionar este punto de la Península. Pasan de noche en peque propone la convocación de una Dieta extraordinaria para tratar este grave asun* ñas partidas separadas, viniendo de l…</t>
  </si>
  <si>
    <t>…pensados de este servicio; pero turar su existencia. Asi que ya no alcanza á protegernos el sistema de Milicias podrán alistarse” : yo quisiera que se me dijese cómo se dispensa de un servicio provinciales, establecido por el Sr. D. Carlos ni para auxiliar al ejército per voluntario; y como puede resultar esta oposición de servicio voluntario en frente manente, sin tanto gravamen y costa, sino que es menester tener preparada y de Otro servicio también voluntario. Aqui hay una especie de antitesis, que disponible una masa de 2009 homb…</t>
  </si>
  <si>
    <t>…ley aprobados por la ------El 22 del que rige escriben de Tarbes que en la tarde del mismo dia haCámara de Diputados, el uno. relativo al fqndo de reservé del banco de Fran bian entrado en dicha ciudad 54 españoles del partido de D. Carlos, que habían cia, 7 el otro a la permuta de varios bienes pertenecientes al Estado por oíros podido penetrar en Francia por el pueblo de Gavarnic, cuya guardia nacional de particulares. Se mandan imprimir y distribuir. los desarmó inmediatamente. (Mensajero.) Principia la discusión del proyecto de l…</t>
  </si>
  <si>
    <t>…la diversidad de invenciones en luminarias de vasos de colores que detenían la vista. . Con fecha del 24 escribe el juez de Fora, que el 18 llegó á Chamusca En la plaza hubo fuegos, que resucitaron el dia, á cuva luz bailó el pue Don Carlos huyendo del general Rodil , después de haber perdido su bagage blo , solazándose al son del tamboril , que es !u música común del país ; y mien y carruages; y que los rebeldes estaban á toda prisa construyendo un puente tras que cJ público asi se regocijaba, Ja sociedad filarmónica, queriendo que e…</t>
  </si>
  <si>
    <t>…ias; se ha servido S. M. condecorar al mencionado Prítici; r REAL DECRETO. con la gran cruz de la Real y distinguida orden de Girlós 11 ■ , v al D. Cristóbal Pedro de Moraes Sarmentó con la^gran cruz de Isabel Pescando el Sr. Rey D. Carlos m atender á la tranquilidad de la Católica; habiéndose dignado igualmente S. M. conceder varia» «pirita V decoro de los M. RR. arzobispos y RR. obisjios, al ma gracias á los secretarios y principies agregados de entrambas le yor acierto y seguridad de sus provisores, al beneficio de sus amados gaci…</t>
  </si>
  <si>
    <t>…oco después de su llegada al NOTICIAS EXTRANGERAS. hotfl-Cjeorge se presentó en el balcón para responder á los aplausos del pue blo que le aclamaba con júbilo y entusiasmo. En frente del hotel George está situada la residencia de D. Carlos que con (Continuación del correo anterior.) templaba desde sus ventanas esta escena, cuya alegría contrastaba tanto con la tristeza grabada en su semblante y en los de todas las personas de su comitiva. AUSTRIA. Se dice de algún tiempo á esta parte que M. Baring , uno de ios miembro* Viena 16 de Ju…</t>
  </si>
  <si>
    <t>…bloqueaban Sahemo« que reina la mas perfecta inteligencia entre Francia ¿ Inglaterra la isla de Samas se retiraron i los Dardanelos al punto que asomó la escuadra acerca de los medios aprobados para contrarestar los esfuerzos de D. Carlos ea inglesa. Se añade que desembarcaron algunas tropas inglesas en Sainos, mientras el norte de España. Ambas Potencias, en cumplimiento de las estipulaciones otras cartas dicen que no fue en dicha isla , sino en la de Candía ; r que ademas del tratado de la cuadrupla alianza , pondrán en planta las…</t>
  </si>
  <si>
    <t>…Reto a Gobernadora; que en su concepto los Sres. Proceres que asistiesen i.Ja sesión del 4,1 y demas en qué se discutiese . podría pedirse &gt;á S. M. dispensase de su servicio á los Proceres empleados en i d expediente deLPríncipe D..Cárlos;. que aunque se hallaba admitido en el Es Palacio, para que asistiesen al Estamento. tamento y tiene jurada su dignidad de Procer, al ver el oficio de, 4 del actual El Sr. Burgos manifestó que en su sentir el decoro y esplendor de que se le ha dirigido para manifestarle su obligación de presentar d…</t>
  </si>
  <si>
    <t>…á él. Mientras ministrados por los jurados de Zaragoza bajo la sencilla forma de una accequia de vivió aquel hombre benéfico no se trató de imponer al Aragón contribución riego que no pasó de Pinsegue y Garrapiñillos, el Sr. Rey D. Cárlos m aco alguna para ejecutar su plan; pero asj que falleció, en principios de 1794, sfe gió bajo su protección, é hizo poner'en ejecución el proyecto de engrandecer le impuso un millón de reates amóles con objeto de llevar adelántelas obras, lo; y unir la utilidad de la navegación á la del riego, enc…</t>
  </si>
  <si>
    <t>…tas parciales , porque Zumalacarregui no de Huida y de 'persecución. Las columnas de Rodil siguen sin descanso y siguién jaría de caer con todas sus fuerzas reunidas sobre un de»tacuncirlo que fuese doles la pista, las huellas de D. Cárlos j de Zumalacarregui, sin alcanzarlos muy débil. Precisado Rodil á obrar con columnas de regular fuerza, es dificñ nunca. ' , que oculte sus movimientos, y Zumalacarregui, perfectamente auxiliado por un ‘ Es evidente sin embargo que el ejército carlista, i pesar de ciertas venta »¡n número de amigos…</t>
  </si>
  <si>
    <t>…ages, muchos fusiles, caballos y bestias de carga. Pero D- Cárlos y Zumalacarregui habían evacuado ya estos valles para En fin , Excmo. Sr., de cuantos informes recibo resulta que ha sido un*retroceder á Navarra. El dia 30 pasaba D. Cárlos por Arraíz, garganta que sirvo de las acciones mas gloriosas que se han tenido, asi por el denuedo y bizarríade comunicación al valle de Ulzama con el de Bastan, y desde allí se refugiaba en Saldías, punto situado entre San Esteban y la elevada cordillera de Erasum. de las tropas de la Reina nuestr…</t>
  </si>
  <si>
    <t>…nan los canales: ventajas Reales, porque es claro que se au trangera y empréstito de 400 millones, según se habia hecho con las relativas mentan las tierfas de labor , que se convierten en sitios deliciosos y po á la exclusión de D. Carlos de la corona. blados hasta las mas desiertos: se aumentan los productos, y con el aumento En apoyo de esta proposición dijo su autor. de productos crece la población, la cual está siempre en razón directa de los El Sr. Acevedo: «Dos son las cuestiones vitales que llaman lá atención recursos. de toda la E…</t>
  </si>
  <si>
    <t>…ontenidos por el rigor de la disciplina verdad que las demás se hallan tranquilas y contentas; pero no ignoramos que militar; y como esta no se pueda aplicar en toda su extensión á la Milicia urexisten en ellas agentes ocultos de D. Carlos; hombres opuiemo&gt; y ambiciosos, fSKívcuyo carácter y elementos que Ja componen no lo permiten, es necesario que seducen á’Jos ignorantes., ilusos y fanáticos, Jos cuales solo aguardan tal q*e otras combinaciones salven los riesgos con que amenaza tods fuerza armada vez á tener armas para correr á l…</t>
  </si>
  <si>
    <t>…ículo redactado al parecer ccm mucha circutisptc- •otgaoizaeiomdel-ejército de tierra. (G. di Augs burgo.) cion , que la Inglaterra y la Francia no pueden menos de ponerse de acuerdo sobre la necesidad de alejar de la Península á D. Carlos y á D. Miguel, pues JRLG1CA. to que este es el primer paso que hay que dar para restablecer la tranquilidad en uno y otro país. , Brusela/ 29 de Abril. Anuncian varios diarios que el general Goblet no ha sido recibido todavía El Globo no se atreve á salir garante de la aütenticidad de los rumores -po…</t>
  </si>
  <si>
    <t>…la revolución ción española, recuerde yo Jos acontecimientos á que dió lugar con sus enga francesa, y su opinión no será seguramente sospechosa. En realidad, este asun ños y perfidias una política extrangera, el viage á Bayona de D. Cárlos iv, to no.pucdc seguramente ponerse en duda; la Inglaterra, una vez que tan de Fernando vn y toda la Real Familia, dejándonos abandonados, y renunciando moda son sus citas, y una vez que la petición hace también mención de lo» 'en manos dtl conquistador de Europa la corona que no creían poder soste…</t>
  </si>
  <si>
    <t>…e valientes que tengo el honor de mandar confirmase la buena opinión que goza. Comandancia militar de la provincia de Logroño-= Capitanía La dispersión de íás fallones ha sido completa; v los mozos general de Navarra por el señor D. Carlos v.rrSi en el termino de este valle y otros han aprovechado el momento de regresar á sus de media hora no se entrega el comandante de la casa fuerte de es hogares. Luego que recoja los estados de nuestra perdida, daré a ta ciudad, será el edificio reducido á cenizas y la guarnición pasa V- S. parte…</t>
  </si>
  <si>
    <t>…apitán que los mandaba: por el soldados de la facción con motivo de que hubo entre los batallones una suble pueblo de Val-Cárlos se introdujeron cuatro cargas de fusiles, pero dos de ella? vación , gritando muchos que ¿i no venia D. Carlos a la cabeza de la división fueron vueltas á retirar por el dueño de los mulos, y presentadas en la aduana que no daban un paso: este acontecimiento ocurrido el dia 5 del presente cau francesa. só bastantes disgustos á todos ios gefes y mucho terror á los soldados. He recibido un oficio de V. E. de…</t>
  </si>
  <si>
    <t>…ovincia-» excntjs, luyo articulo no e-taba expre 11. Subsistirá la preferencia que sucesivamente concedieron á los criadores sado en el arancel de aquciias: se ha servido S. M. resolver: de todas las provincias los señores .Reyes D. Carlos iv y D. Fernando va en L° Que subsista la prohibición de intn*ducir del extrangero el hebLJUge lis compras de los desechos de los caballos padres de la casa de monta del Real ordinario de hierro no fundid.) para correaje de caballerías. sitio de Aranjuez y de Jas Reales caballerizas. 2. ° Que la mi…</t>
  </si>
  <si>
    <t>…en Si- Rodil á las provincias Vascongadas, es una mentira inventada para animar 4 oes ef día 1 9 del presente mes á las seis de la tarde á bordo de la enunciada los hombres de su partido. fragata. Finalmente el infante de España D. Carlos con su comitiva, se embarcó Tates son los yerros acerca de los hechos, que se hallan consignado» en la igualmente en el Tajo el mismo dia l.°, como aparece de la certificación del Gaceta de Francia: veamos st es mas feliz en Ja&gt; reflexiones políticascomandante del navio Oonnegal. Queda por canto co…</t>
  </si>
  <si>
    <t>…de quienes se ba r . EojSWJtrto al Pretendiente , £ qpien RodS ha perseguido durante 4B bo-* ten por la justa causa de Doña. Isabel ii es muy superior al de aquellos que -^&gt;J^ W-ba.esUdo i pique, de.cogerlo en Donamaría, en.donde D. Carlos se en la lid no llevan otro objeto ni m.ra que el saqueo y ia devastación , y que, había retirado con solos 700 hombres, se halla tan fatigado de resultas de sus el délos primeros prevalece siempre contra ei de los segundos, aunqüe sean mas S&amp;tecbqgifergada*» que.¿re-precisado á caminar en litera.…</t>
  </si>
  <si>
    <t>…ontestado á las principales observaciones del Sr. González; pero an muy bien ayer que esta costumbre había caído en desuso; y prueba de ello es tes d: concluir no puedo menos de hacerlo también á dos indicaciones que S. S. que el Sr. Cárlos itt al emitir los vales Reales entre los años 1776 y 1788, ha hecho, á saber: que tanto el ministerio francés actual, como el excelso lo menos en que pensó fue en consultar á las Córtes, ni al simulacro de seme Mbnarca que está al frente de la nación vecina, no podrían hacer reclamación jante repre…</t>
  </si>
  <si>
    <t>…pétua por vaior nominal de 75 millones; y cualquiera que posea un posteriores. Sé de alguno, que habiéndole separado del destino que obtenia por documento de esta renta ¡no podría con mas justicia llamarse propietario do afecto á D. Carlos, continúa en posesión de la Encomienda. No digo que se les dicho bancp, que el que posee las acciones del mismo banco! ciertamento quite á las personas que las tengan , pero que las vacantes, y las que puedan re que sí, pues que si el Estado no le reconocía su haber, podia decir, sin faltar caudars…</t>
  </si>
  <si>
    <t>…pacho en particu «Otra de las razones que se dieron ayer por el Sr. Torremejía , es que si lar, sinoipcírqtíefcon la mejor buena voluntad pueden equivocar el camino , cu los interesados en el empréstito de Guebhard daban dinero á D. Carlos, ten yos resultados-serían desgraciadamente los mismos que si se hubiese hecho con dría muchos medios para hacernos la guerra. Y yo pregunto: &lt;no se lo presta intención. rán también aunque no se reconozcan los cqéditbs del empréstito de Guebhard? «Ademas del empréstito, hay también recursos en la N…</t>
  </si>
  <si>
    <t>Gaceta de Madrid n.º 58 · suplemento</t>
  </si>
  <si>
    <t>…l mismo tiempo por la derecha del Duero, ción heroica. mientras se dirigían otras desde Ciudad-Rodrigo sobre los caminos Asi resulta de los siguientes partes del general Rodil y del ex de Lamego al interior de la Beira, por donde D. Carlos podía ve presado brigadier Sanjuanena. rificar su retirada. Mas como la reunión de las fuerzas y los demas preparativos no Capitanía general de Extremadura.=Excmo. Sr.: Son las cinco pudieron hacerse con tanta cautela que no se susurrase que se pre de la mañana , hora en que acabo de recibir el adj…</t>
  </si>
  <si>
    <t>…el robo y destrucción. su familia y facción que la custodia. Ansioso de proporcionar un día Entre los documentos hallados, se ven algunas cartas de la es de gloria á los valientes militares que componen esta división , ac posa de D. Carlos dirigidas á este durante su ausencia reciente, y tive todo lo posible la marcha, sin dar-otro descanso que,el preci por ellas se deduce ci terror y confusión que reinaría en la familia so para que la tropa bebiese en el pueblo de Llubargado; pero la en estos últimos días. escabrosidad del terreno h…</t>
  </si>
  <si>
    <t>…ebates.) tras es tiempo todavía, de su perdición y exterminio. Concluida en breves días U campaña de Portugal, y arrojados lejos de la __^.Se lee en el Memorial bardales del 3:&gt;*En el telégrafo de Méjico, pe Península D. Miguel y D. Carlos, que se dirigen por opuestos rumbos á nacio riódico del gobierno federal, se encuentra uñ largo informe dirigido al gefe del nes distantes; rendidos y desarmados los que habían seguido en aquel reino las EstadoTJcerca de la necesidad dé 'prómdverTíTindustria mejicana , sacándola del banderas de la…</t>
  </si>
  <si>
    <t>…s de Guadaicazar , hizo presente que en Se dió cuenta de un oficio d¿l Sr. Presidente ’de la comisión especial para la Secretaría no se hallaba documento alguno del Excmo. Sr. duque de S. Car el eximen del expediente del Príncipe D. Carlos, en que d cc que hab endose los , ni había recibido comunicación alguna de S. E. mas que la que acababa reunido esta por segunda vez , habla notado la falta del Excmo. Sr. marques de leerse, contentando á la circular de 9 del corriente: que en vu concepto , el de Camarasa, que tampoco asistió á (a…</t>
  </si>
  <si>
    <t>….a deuda eytrangera, no tenia que conceder otros auxilios al Go mas que el que hagamos por ella lo que ella hace por nosotroy. Si evita dar • bierno para que atendiese al pago de ella, porque según el proyecto de la ma auxilios á D. Cárlos, nosotros no se ios daipos á Enrique v: si desgraciada yoría había que' pagar menos por la deuda extranjera de lo que se paga ahora mente tuviese que intervenir con fuerza armada para destruir nuestras- faccio anualmente; por consecuencia, aprobando la primera parte, en que toda la nes , nosotros p…</t>
  </si>
  <si>
    <t>Cárlós</t>
  </si>
  <si>
    <t>…colfcb áé la glo ca de S. M. el Rey de Prusia -. para ministro de Guerra al teniente general ria humana. Al ver i uñó ¡dé éstos declamadóríh tfeéria cóalquiéra qüe !Hl i barón Bernard: para ministro de Marina y de las colonias al barón Cárlós terminar su vida como Aya* &gt; sobre úhi ibei ródtadó dé táéfofe lós fürbfS Dupin , miembro de la Cámara de Diputados, y del consejo del Almirantaz del cielo, exclamando «¡huiré, nial qué Ies pese á loi Dioses!t&amp; comb él ■¿HA go : para ministro del Comercio á Mr. Teste, miembro de ia Cámara de Di Jul…</t>
  </si>
  <si>
    <t>…ayuntamiento- En su virtud, el partido de Alcafuces nombro formidad á las reioluetbnes del Estamento, por las que a.ordo quedar excluido por uno de sus electores á García , alca de mivor , que entonces era, de* murrio. el Infante D. Cárlós y su descendencia del derecho i suceder en la corana de Se hizo U elección; y habiendo desaprobado el Ebumemo los poderes de uno España, y privados de volver a &lt;fos dominios de elU: y de otro del Excelen de Io&gt; elegidos , se pasó la orden pan su reemplazo. En este intermedio el Go tísimo Sr. conde de…</t>
  </si>
  <si>
    <t>…ciones, dijo que la idea de la co pía, y aun en Grecia, que en nuestra actual lucha. Esta no se halla identificada misión no era excluir en masa á todos los realistas, pues sabia que en algunos ó limitada á la persona del Infante D. Carlos, parque á falta de este cual puntos varios individuos lo habían sido por fuerza, sino solo á los notoria quiera que la continuase tendría la misma protección y apoyo en las Potencias mente mal opinados, como lo decia expresamente en su artículo. del Norte y en Roma que él tiene» Conviene, pues, sob…</t>
  </si>
  <si>
    <t>…el término de 30 días -comparezcan ante dicho tilla y la subyugación del reino de Granada, dirigida por la política de Fernando el señor y duda escríbanla á usar del derecho que les asista; apercibidas que de no ve Católico y dei Emperador Cárlos v, y capitaneados sus ejércitos por los Gonzalos de rificarlo les parará perjuicio. .Córdoba, los Leivas, los Pescaras y los Toledos, llevó sus banderas victoriosas desde ■ Por providencia del sefior de Norzagaray , teniente corregidor de esta villa , re él estrechó de Sicilia aVElba, y desde et Da…</t>
  </si>
  <si>
    <t>…sido cultivado por el estudio, han llegado á ser había dirigido el 7 hacia los Arcos. La que salió de Braga batió ilustres en todas las carreras y han adquirido mucha gloria para sí completamente á los miguelistas y á algtinos de D. Carlos en el y para su nación. Estos casos, por raros que sean como lo son punto de Amarante, siguiendo estos su retirada á Lamcgo, F.1 ex efectivamente, deben excitar la atención de un gobierno sabio para coronel Delgado que con 200 carlistas vagaba á principios del mes dar medios de subsistencia y abrir…</t>
  </si>
  <si>
    <t>…los regalos que han hecho los wurtembergueses establecidos Córtes de Madrid» se ve que el plan del Gobierno es presentar cuanto antes fuera de su país, ya por las adquisiciones hechas por el gobierno, y que no pue una ley contra D. Carlos, por su conducta rebelde. El discurso anuncia indirec den dejar de llamar la atención de los extrangeros. tamente el reconocimiento de la deuda extrangera ,.y su extinción progresiva «Se ha publicado un itinerario que da á conocer á los viageros cuanto se por medio de los recursos'que posee el país…</t>
  </si>
  <si>
    <t>…dujo fórmulas para calcular con facilidad el logaritmo neperiano de cion de Bastan , y que nuestras divisiones siguen en su persecución. El Prrtencualquier número; y por último, Presas comparando ios resultados del cálculo diente D. Cárlos aseguran se dirigió hacia Vizcaya el 1 1 , acompañado de ímintegral con los que se obtienen por medio de la geometría , hizo notar su iden gastivelza con su batallón, y algunos vizcaínos y guipuzcoanos: se cree ¿e per tidad, exactitud y elegancia. En todas las operaciones que respectivamente eje si…</t>
  </si>
  <si>
    <t>…las órdenes del teniente de Ciudad- Real Don puede comprometer la süerté de la monarquía. • Bernardo Ruiz Lanzarme, y de mi ayudanteD. Juan Rebollo,con la dé que fuesen siguiendo mi dirección. ____ Se dice ahora qué la esposa de D.. Carlos ha muerto de erisipela; enfer » Al llegar á Bueña hice que la infantería y los fusileros de Teruel toma medad hereditaria en su familia. sen las alturas al mando de su oficial, mientras yo cera 15 caballos, al mando del teniente del regimiento caballería de Borbon D. Paulino Rubio, me drri— rSLAvci…</t>
  </si>
  <si>
    <t>…En el alzamiento de 1820, cuando ei ínclito Riego p*só por Medina, ba de ello es la suerte de Cirios x de Francia, de D. Miguel de Portugal y pueblo eminentemente patriota, en el convite con que se celebró su ¡legada, del Infante D. Carlos entre nosotros. su brindis fue, todos lo saben, Brindo por la indiferente Medina , tal era la » Eít cierto modo se nos-ha amenazado con los extrangeros si no aprobá Oposición, el terror que aquel caudillo notaba, que le parecí» un favor la in bamos los empréstitos malamente contraídos. Yo creo que…</t>
  </si>
  <si>
    <t>…rtido; y desde entonces no hubo decreto, por raro que fue» tres ó cuatro ejemplares. Fue el primero el no reconocimiento de las Córtes se, que no se respetara y obedeciera por el pueblo. de 1540 , del empréstito contratado por el emperador Cárlos v, á cuya nega - »Tál fue siempre el poder que ejerció en España, durante su vida el Rey tiva se siguió luego la absoluta, nulidad de las Córtes. No citándose hechos D. Fernando. anteriores puede dudarse si.en .este punto las Córtes cesaron de un poder ya « Ahora bien: ¿este poder fue usurpación, ó…</t>
  </si>
  <si>
    <t>…s de la nación, en la cual tuve la singular compla Gandesa. ..... .. 1.® á 3 Octubre.. 2 00 ’ 1 cencia de concurrir con mi voto a la exclusión del trono de las Españas' del Perdió............. .. 30 Set. á 0 Ocf.. 33 2? 1 Infante D. Carlos y de toda su línea: siguiendo en esto no tanto los impulsos Pinell................ .. l.° á 3 Octubre.. 1 00 1 de mi corazón, como el dictámen de mi concienciaapoyado en lo que pres Reus.................. .. 2 á 5 ídem........ 35 7 2 criben las leyes, y lo_que exige imperiosamente la conveniencia públic…</t>
  </si>
  <si>
    <t>…merece. Harán se entablaron, qué hizo entonces'el minbicrio-de Estado para evitar estos ma todo lo que sea justo, todo lo que sea decoroso y regular , pero no mas. Los Se les? «Tuvo medios de impedir la salida del llamado Infante D..Carlos? «Tuvo cretarios del Despacho hasta ahora no han girado fuera-de su línea, ni girarán; medios dé impedir, repito, su salida de Portugal, y que en consecuencia vi y mientras ocupan sus puestos no se meterán en nada en que pueda compro niese , no á ser un faccioso mas, como dijo en cierta ocasión el…</t>
  </si>
  <si>
    <t>…el bilí. siguiente , en que yo me hallaba indispuesto, vinieron á decírmelo , haciéndo "El Gobierno ingles no podia, pues, embarazar en su fuga ó salida á me una descripción tan exacta de U persona de aquel, que no dcjiba duda de D. Carlos; menos el embajador español. Este, aunque hubiera sabido que el que aquella noche habia estado en dicho espectáculo. S-n embargo, el Sr. emPretendiente iba á escaparse de Inglaterra no hubiera podido hacer mas que b-jador, con quien tuve el gusto de hablar después , me aseguro que ei dia I o dar pa…</t>
  </si>
  <si>
    <t>…articular de la minoría,¿en cional? ¿Quéóbicc se puede poper á la seguridad de on pacto contraído de medio de su inmensa discordancia, en el resultadosoñunotmsmo, y para ifn cste modo í El temor infundado yvagó de qué la causa de D. Cárlos pudiese loson. -Las dos secciones dc- la¡ comisión ,creyéndoscápartartaot© en lósprin- triunfar: ese temor lo mismo lo tendrán los es pecó lado res, reconociendo qué cipios, se han tocado eo los extremos ; y en las consecuencias vendrá i suceder no reconociendo; porque si llegase este caso, qye no…</t>
  </si>
  <si>
    <t>…sus Procuradores, se podrá privar de examinar todas las catgaa, esto se dice en el Estamento dé Procuradores del año de 1834? Según eso, es todas las deudas que se le propongan por el Gobierno , porque al En la Na gobierno el de D. Cárlos, porque de hecho existe D. Cárlos en España y decre ción tiene que pagarlas si son legítimas y justas. ta ; y aun hay mas: D. Cárlos presume tener derechos á la Corona de nuestra «El Sr. marques de Falces dijo que en todo contrato había dos partes, y Rbiwa Doña Isabel ii , derechos que jamas tuvo l…</t>
  </si>
  <si>
    <t>…ocupándose con constancia en el examen,de los proyectos de ley España, naciones altadas. Contra MAL Jáuge \ ]X&gt;; &gt;.et . por haber intentado sobre Real Hacienda. Se asegura que ios presupuestos presentados sufrirán igua auxiliar á D. Carlos con recursos pecuniarios , abr iendo un emprento a su les objeciones y reparos que los que se lucieron en los años anteriores, prin favor, v solicitando por este medio proveerle de dinero; v particularmente cipalmente cop toda la parre relativa á los intereses de ia deuda publica que contra Dolorct…</t>
  </si>
  <si>
    <t>…ados a abandonar sus pegocios, no pudiendo vender sus géneros, por los -------Dicen que D. Miguel se dirige á Liorna , y no como se suponía á Ingla cuales han pagado derechos, al mismo precio que los contrabandistas. La pu terra. D. Carlos ya desde el 14. de Mayo escribió al almirante Parker para que blicidad con que estos últimos ejercen su, oficio, no ha debido ocultar este abu se le proporcionase un buque ingles con el,fin de embarcarse para Italia. Noso so i la atención de las autoridades , cuya vigilancia es tan conocida. (Gacet…</t>
  </si>
  <si>
    <t>…abido promoción de obispos franceses: se dice, sin embargo, que pales ciudades marítimas de Cataluña, dice que el desenlace de los sucesos re las dos sedes, vacantes, el arzobispado de Bessanzon y el obispado de Nevers, lativos á D. Carlos, ha producido en ellas grande satisfacción. (¡Sun») van i ser provistas, y quéel'gobierno ha propuesto para la primera al obispo tsLancia.de Langres, y para la segunda i M. Nando, gobernador de la mima de Perpifian. París 11 de Julio. HOLANDA. Dan algunas cartas de Génová lo» siguientes detalles so…</t>
  </si>
  <si>
    <t>…insurgentes ARTICULO DE OFICIO. de Navarra y Vizcaya. i / ' ■ ■ .&lt;•.«- •■•..■ . . . , 1 Hace mucho tiempo quería policía sabia ,.á no poderlo da dar, que les 5. Mí k Reina nuestra Señora, su augusta Madre la Rsiua partidarios de D. Carlos procuraban clandestinamente suministrarle aratas pasa Gobernadora ¿ y la Serma. Sra. Infanta Doña María Luisa, conti *u&amp; tropa, de las cuales una gran parte no las tienen, cuando avisaron de Ba núan sin novedad 'en su importante salud en el Real Sitio del Pardo. yona que un individuo sospechoso sal…</t>
  </si>
  <si>
    <t>…ión de pasar á España por .Francia : no se sabe m piensa ir directamente PROVINCIA DE NAVARRA. á Vizcaya por los Pirineos, ó si se embarcará en Brest. Un ciato Eremond, d^l departamento del Finisterre, que salió del campamento de D. Carlos en los Según partes de 2 y 7 del corriente, desde 25 de Noviembre á l.° del ac primeros días de Noviembre con una carta de este Prmcips para D. Miguel, y tual fueron invadidas en la ciudad de Pamplona 6 personas del vecindario y con pasaporte para Genova, es en este momento objeto de las pesquisas…</t>
  </si>
  <si>
    <t>23/05/1834</t>
  </si>
  <si>
    <t>Gaceta de Madrid n.º 92</t>
  </si>
  <si>
    <t>…rsas figuras y de tamaño tan extraordinario, que no tenemos devuelva al de esta última ciudad que mantiene 7ou expósitos la asignación que idea de otro fenómeno tan temible y tan espantoso. A los tres minutos ya es le hizo el Sr. D. Carlos iv (q. e. e. g.) taba completamente cubierta de fracmentos de hielo toda la superficie de las También ha visitado las cárceles de ambas poblaciones, y ha procurado calles, todos los tejados, azoteas &amp;c., y en completa alarma todo el vecindario, que se hagan algunas mejoras en ellas, pero luego que…</t>
  </si>
  <si>
    <t>Gaceta de Madrid n.º 221 · suplemento</t>
  </si>
  <si>
    <t>…or L0l&gt;, de f.K mi que estamos en el creo Carlos iri, los varios empréstitos de.JJoíanda, ios 117 millones de pe»os derecho de -rescata*-, cuándo estemos en desahogo», por c 6 millones los 60 que en vales Reales que ém.tió ci Sr. D. Carlos iv, y los 2 Empréstito de 160 y, hemos dado en cajj.taljÁ do rentas. ^ 240 owUooes de reales que el mismo Soberano creó en loónos 1/yS y *J~ y «Si han entrád ),^setecientos y tantos millones en !ás cijas de Fspañ*, ;se -taefaiy lamas cargas como hq-n pesado después sobre la Nación. A mi no me rá po…</t>
  </si>
  <si>
    <t>…de perfecta tólud, y las justicias de ellos lo bían salir para Inglaterra en un bergantín ingles mercante unas 80 personas escriben asegurando hallarse tranquilos sus respeCtrVoS" Vecindarios, y en la pertenecientes al partido de D. Carlos, entre ellos algunos oficiales, y.qué¿ creencia -da que la enfermedad reinante éa Mórárnó es el cólera morbo , sino según oyó decir, D. Miguel se había dirigido á Malta. (D. dt Cádiz.') cólicos estacionales. Madrid 23 dé Junio. Ademas de las comodidades y distracciones, que los enfermos hallarán en…</t>
  </si>
  <si>
    <t>Í296 H, JÉ» curioso leer en ios papeles franceses d cutíate .de que el lujo mayor He buques del Estado, enviando á los páises lejanos viageros'esptjcialroente encai - Don Carlos hat-_ Idorj» á t7___iT.España ájuntirse a»Ara,'ie&gt;'tV,«««»efM»'con smpádreí . -TLáfl¡. v**sfViverdadsf M'es /iiiuque r&gt;An■coou-7_ i gtqo» de observar sus:provincias Jnrériótes.i je en generali todos,los patagón núa sus estudios/en Mansfidd-Street, bajó la dirección de su tia la Princesa ); que Ice…</t>
  </si>
  <si>
    <t>…cto de ley sobre que continuasen rigiendo los actuales pre doso-» á que los productos de la misma se destinan. Ultimamente, en el glorioso supuestos t hasta que se aprobasen los presentados portel Gobierno para el reinado del Sr. D. Carlos m se creyó conveniente invertir estos productos en año 1835- el ramo de caminos. Semejante aplicación era seguramente muy plausible; pe El Excmo. Sr. Secretario del Despacho de Gracia y Justicia remitió una ro las diligencias preparatorias para hacerla causaban vejaciones enormes por certificación…</t>
  </si>
  <si>
    <t>…án insiste también en la ejecución de lo que se estipuló en 1832, y mutua correspondencia. Por no haberlo hecho asi ¿cuáles han sido las conse pide desdé qhora las indemnizaciones convenidas. Pero ¿es esta la ocasión de cuencias! D. Carlos es desterrado á Portugal, y posteriormente se le ordena nacet táles demandas, cuando la Grecia apenas ha salido de sus embarazos y que se traslade á Italia; sin embargo él no obedece, continúa en aquel país cpniiéjjdás políticas! La Puerta haría mejor en dirigirse á las Potencias que se hasta la mu…</t>
  </si>
  <si>
    <t>…iirse que con ello hayamos promovido la guerra civil? Yo pregunto áimpaciencia el resultado de las causas que se están formando. S. S. ¿qué piensa hubiera sucedido no reconociéndola? ¿Acaso cree que por esta ITALIA. circunstancia D. Carlos hubiera dejado de pretender la corona? Si lo cree, se equivoca mucho. El mejor camino que en aquella ocasión debieron tomar los Ñapóles 22 de Abril. ministros fue aconsejar á S. M., como asi lo ejecutaron , que reconociese inme Parece que el vfage de! Rey á París, de que tanto se ha hablado , ya no…</t>
  </si>
  <si>
    <t>…a, y tranquilizara en punto al cuatro órdenes del reino, convocados en Dieta para elegir un sucesor al tro cumplimiento de sus deberes á aquellos a quienes esta cometido el cuidado del no, y doblemente honrado por la adopción del Rey Carlos xm , creimos que órden legal y de la prosperidad general de la Alemania. esta elección unánime del Soberano y del pueblo nos imponía la obligación "El examen de los medios mas eficaces para el mantenimiento ulterior de de aceptar el cetro y la corona de la Suecia. Confiándonos en la continuación la…</t>
  </si>
  <si>
    <t>…casos habrán percibido solo una parre d- su y del Despacho de Gracia y Jusrícia , con el que remitía 1 Su ejemplares de la capital, y en los mas favorables-habrán‘carecido del míe:-*» de ;u dinero, v re ley que excluye al Infante D. Carlos y á toda su línea del derecho de suceder cobrado muv lentamente el valor principal; exceptuándole so'o aqueí'os cjv •« en la corona de España. El Estamento quedó enterado, y mandó se repartiesen en que conducidos los vendedores por ios principio*» invariable-» de |u-uc;a v de á los Sres. Próceres. bu…</t>
  </si>
  <si>
    <t>empréstitos de que se trata, sin que hubiese tenido que consultar á los .diputa en un grave escollo pata, lo sucesivo, pues al tratatse de la deuda interior no dos lii áininguna otra autoridad ; y creó que ni D. Carlos ’m á lacmbíon de - podríamos ser menof generosos con Jos españoles que lo habíamos sido con los los vales Reales; ni Cirios iv al contraer.la deuda de Holanda consultaron á extrangeros , dijo que el mismo inconveniente.había siguiendo el díctámen de ninguna corporación. Admitido , pues, que D. Frrn…</t>
  </si>
  <si>
    <t>…ostaderos , ar- I ' Informada de que algunas profesiones- industríalas se hallan aun degradadas reglando sus operaciones á la instrucción provisional que acompaña V. S., has- I l'on F.spafia, no obstante lo que previno el Sr. Rey D. Carlos m por la ley 8.a, ta tanto que se verifique la demarcación de distritos y comarcas, á que se remi- j 1 título 23, libro 8.° de la Novísima Recopilación; visto lo que me ha expuesto te la nueva ordenanza del ramo; S. M.. conformándose con este parecer, y ¡la comisión nombradaJal efecto por Real orde…</t>
  </si>
  <si>
    <t>…nombre de la balandra de que se hace mención es como sigue: ritorio han bastado, según noticias recientes, á la repentina fuga que a caballo Exprrss-Packet. Y últimamente , tanto por los papeles que he sellado, como ha emprendido D. Carlos con su familia y comitiva, primeramente a Lamego, por el capitán de la referida balandra, resulta que conduce 1&lt;U) cajas de fusiles y después con dirección á Visco, para donde salió el día 2n desde aquella ciu con 25 cada una; 200 barriles pequeños de cartuchería de fusil; 180 barriles dad; llevand…</t>
  </si>
  <si>
    <t>…el Esera sobre un puente-canal, bien entendido que reno que habían de fecundar; y nueva y mas circunstanciada ope en ambos casos se ha de disponer el bocal con un marco, de manera ración sé hizo en el reinado de mi Abuelo el Sr. D. Carlos iv por que no pueda entrar mas cantidad de aguas que las concedidas á la otro profesor de arquitectura, nombrado D. Francisco Rocha, á la empresa» A estos dos proyectos acompañará el presupuesto del coste que concurrió el primero, y de la que "resultaron comprobadas la de cada uno, y unq comparació…</t>
  </si>
  <si>
    <t>…esta que esta deliberación, manteniendo un estado de incertidumbre, es visto que conviene aguardar ulteriores datos para negar ó afirmar este aserto. podrá producir fatales resultados, siendo necesario que cuanto antes manifieste D. Carlos huyó de Almeida á Castel-o-branco, y como no se creyese seguro la Francia su voluntad, para saber si se han de retirar las tropas de Argel, 6 en aquella fortaleza, siguió hasta Abrantes, y de altj á Santaren. En esta ciu bien en el caso de conservar su conquista, al menos como colonia experimen dad…</t>
  </si>
  <si>
    <t>…ió á poseedores de en la suspensión; y habiéndose conformado los demas, se preguntó aí Es.La fincas gravadas con la redención de censos con arreglo á la ley promulgada por mento si se suspendería esta discusión. Se acordó que sí. D. Carlos m. La experiencia acreditó que era necesario apelar á otros medios Se pasó á la discusión de la petición sobre abolición del impuesto de tres mas eficaces, y D. C ríos iv' permitió la amortización para librar á la propie cuartos de real en arroba de pasa en Málaga para el teatro de Oriente, exa dad…</t>
  </si>
  <si>
    <t>…aldespina, Gastón y Zumaiacarregui. (Carta particular.) Madrid 28 de Agosto. El Excmo, Sr. D. Pedro Ceballos, antiguo ministro de Retado de los Se ___Aseguran que nuestro gobierno ha recogido el exequátur al cónsul de ñores Reyes D. Cárlos iv y D- Fernando vn (Q. E. E. Gt.), y su embajaPrusia en esta plaza, por haberse mezclado en aspntos relativos á los facciosos dor en varias cortes de Europa, ha suplicado á la Reina Gobernadora desde' de España. (Carta particular.) su retiro en el monasterio de S- Gerónimo de Sevilla, donde se hal…</t>
  </si>
  <si>
    <t>29/09/1834</t>
  </si>
  <si>
    <t>Gaceta de Madrid n.º 227</t>
  </si>
  <si>
    <t>…S \7 del 1+4 pasta uumm. Hsta precio4a edición Je ^epul \ cdj, dirigida por la Rea 1 acade 111 • a ,1e mismo mes 157 personas, murieron 4 y quedaban 13 enfermas: en Mequi- la Historia, contiene los 3J 1 i Bros de ia histor ia del Emperador Carlos v, cuyo retrato nenza falleoó una el dia 17 y existia otra con el cólera: en Torrente curaron. «compaña utos siete I i Bros de comentarlo de las cosas españolas en &lt;1 nuevo mundo* y tres pertenecientes a la historia de Felipe 11 desvae M í6 hasta M6+, con varús epís desde u u r tres personas, murie…</t>
  </si>
  <si>
    <t>…tanto exige mucha detención petición se confunden dos cosas distintas, y se hace puramente temporal lo que en su examen antes de tornar resolución. Sin embargo, me parece que el Go tiene parte de espiritual. En tiempo del Sr. Rey D. Carlos iv se trató ya de bierno en esta parte podrá llenar los deseos de los Sres. Procuradores; y por lo este asunto de amortización eclesiástica, y al efecto se impetró una bula, que tanto, en atención á que dentro de breves dtas se presentará dicho asuntó á 4a&lt; me parece concedió Pió vi; pero teniéndos…</t>
  </si>
  <si>
    <t>…mpañía de Jesús adición en los términos que había indicado. y Roma oficiosa envió una bula aprobando la extinción hecha por el C^rínmo El Sr. Qchoa: «Si he tomado la palabra en esta materia , no ha sido pa hijo Carlos ni; pero el Sr. Carlos ni, á pesar de ser un Príncipe sümamentc ra pronunciar un largo y minucioso discurso, porque se trata de materias ecle religioso, contestó de nuevo á Roma por medio de su embajador, que no hasiásticas, y soy demasiadamente delicado en mi opinión, y por lo tanto me ha bia avisado al Santo Padre de l…</t>
  </si>
  <si>
    <t>…la Nación. en que estaba concebida; y que le parecía mejor que para llevar á efecto lo que «Si los señores autores de la petición adoptan la idea que propongo de re en ella se pedia, se pusiera en practica la ley dada por el Sr. D. Carlos tv( dimir todas estas cargas con la intervención de la autoridad eclesiástica / la e^- apoyada por un breve de S. S. Pió vi, en la cual se ordenaba que estas fincas teaderé por escrito, y de este modo saldremos dé uh negocio de los mas gra pasasen á la Cija de Amortización para extinguir la deuda d…</t>
  </si>
  <si>
    <t>…no de ia por la Reina nuestra Señora, lo hago todo presente á V. E. para su superior Reina nuestra Señora. conocimiento y usos convenientes. Dios guarde á V. E. muchos años. Ma Impotente ya el partido que sostiene al pretendiente D. Carlos, al ver c. drid 25 de Enero de 1834-=Excmo. Sr.=Manuel de Latre.crExcmo. Sr. Secre modo cómo se ha pronunciado la opinión genera! , al calcular sus continuas tario de Estado y del Despacho del Fomento general dei Remo. derrotas en los campos de batalla, sus enormes pérdidas en todos sentidos, v que…</t>
  </si>
  <si>
    <t>…un.) la imitación, que es el único modo de conseguir que los labradores abandonen Jas, pf^üfg^pjróqaip -^i%4Ígt¡eii:. asegura^qizg.qse^-suroampnqe^tjji.^jrpponer ____ La noticia que anunciaron los papeles franceses desembarque de D. Cárlos premios paya los que de algún modo mejoren el sistema de cultivo ó los ins para Inglaterra ha salido falsa. (Times.) trumentos de labranza, ó introduzcan alguna planta ó semilla nueva y útil : fi nalmente, estima qtie sérá_ muy''.cohvenieirté pépsípgnr pór cuenta del Estado ■ Por cartas deBsreelona…</t>
  </si>
  <si>
    <t>…días de! en que se diese por extinguida en ella , se creía autorizado para dejar Se enteró éste de haber sido nombrado para la comisión que entiende en de presentarse hasta que concluyele dicho término. el expediente del Infante D. Cárlos , el Exorno. Sr. marques de Mancera y de El Excmo. Sr. conde de Sástago dijo que desearía que el Estamento to Malpica. mase en consideración esta nueva incidencia para poder hablar sobre ella; pero Se dió cuenta de dos expedientes presentados por la.comisión de eximen que siendo una cosa ea que su…</t>
  </si>
  <si>
    <t>…rmado otros Tribunales que su fundamento se halla bien establecido en las sabias ordenanzas que con de excepción » conocidos últimamente con el nombre de comisiones militares. ^ otros tantos bienes debió España al reinado del Sr. D. Carlos m; y que si el En cuanto al curso de la justicia por el primero de estos rumbos, se ha trascurso de los tiempos, variando en algunas cosas las instituciones, ha debido hecho la misma y notable variación que en los demas ministerios, extinguiendo ó debe producir mejoras en la disciplina, el estudio…</t>
  </si>
  <si>
    <t>Carlos'</t>
  </si>
  <si>
    <t>…man -------Memoria sobre la utilidad que resultará i la Nación española, y en especial á Cá diz, del reconocimiento de la Independencia de América y del libre comercio del Asia, do del coronel del regimiento provincial de Larédo D. Carlos' dé la Maza BOr ó. Aútooio Salas. Se vende en esta corte á lQ rs. en lá librería de Sánchez, y en contra la faccion de Castor, desalojándolode las fuertes posiciones próximas al Cádiz en,la de Hortal y compañía.. . . . '' . . , valle de Sopuerta,,y obligándole á dispersarse, dejando en el campo un m…</t>
  </si>
  <si>
    <t>Carlos, D</t>
  </si>
  <si>
    <t>D Carlos</t>
  </si>
  <si>
    <t>…y de lenguaje. A la notificación que le hizo nuestro plenipotenciario de las procedía ó no la declaración solemne á que termina, de deberse excluir á di Reales órdenes de S. M. la Reina Gobernadora, relativas al mismo objeto cho Sr. D. Carlos y toda su linea del derecho de suceder en la corona de Es que las anteriores, contestó: «que las circunstancia* habían variado compictapaña , siente todo el peso de la gravedad de este asunto; pero los documentos «mente; que nadie tenia autoridad para mandarle, tú el la menor necesidad de á que se re…</t>
  </si>
  <si>
    <t>…no necesita ex luego las oportunas reclamaciones; pero descansando en la fe de sus abados, presarse.” '. ,, _. .4 esperó el curso de los sucesos. Puesto.á votación el párcafoi, se aprobó con 1». adición propuesta por ei «Como el Príncipe D. Carlos no habia caído en manos del ejército espa Sr. Alvarez Guerra. ■ . : ' i - ’w ñol ; como el general Rodil no estaba en Evora; como no era posible que hu «También'la Milicia urbana, que. debe su existencia 4 la ilustrada previ biese un agente del Gobierno en cada punto de Portugal, en que pudiera ter…</t>
  </si>
  <si>
    <t>…pidiendo el remedio á tantos males cómo sobre nosotros han este silencio! Parque lo ha creído conveniente al bien del Estado. Lftjose pri ado. Digo esto, porque si el proyecto ha de volver á la comisión para que meramente que el príncipe D. Carlos estaba enfermo; se dijo después que esta reforme, me parece que podria, sin faltar al decoro debido, darle todavía ba en los baños; que se habia fugado, y cubierto de un disfraz habia desembar mayor latitud. El estado en que nos hallamos es muy crítico; los carlistas-son cado en una playa de Franci…</t>
  </si>
  <si>
    <t>…a del Gobierno; es decir, que la ley elige á la persona mas intere «Pero á breve tiempo ocurrió otro ejemplo mas convincente y clásico sada en la defensa del Monarca menor y en la conservación de su reino, y de que este: viene el Príncipe D. Carlos á España, y jura las leyes fundamenta quien no puede recelarse ningún proyecto ambicioso ó de usurpación; recelo les de la monarquía en las Córtes de Vailadoiid de 1518: joven, gallardo, que dictó á la ley previsora alejar de la regencia al Príncipe mas cercano al pródigo , generoso » distribuyendo…</t>
  </si>
  <si>
    <t>Cárlos, D</t>
  </si>
  <si>
    <t>D Cárlos</t>
  </si>
  <si>
    <t>…tica nunca desmentida apartadas que antes. en la sucesión á la corona, bajo ningún aspecto que se considere esta materia '¡Resulta, pues , que el fin principal del tratado, como en su contexto importantísima, aparece en favor del Príncipe D. Cárlos la menor sombra de se expresa , fue establecer un justo equilibrio entre las potencias de Europa, derecho. como principio de justicia y fundamento de una paz estable; que el objeto del »Lo que sí establecen las leyes, y especialmente la ley de Partida, es que tratado fue Impedir la agregación de Españ…</t>
  </si>
  <si>
    <t>…o, del fanatismo y la inquisición , sino hacer lo mismo en tos crímenes; y hasta sus mismas heridas servirían de pruebas para conducirlos la Europa entera, volviéndola á las tinieblas del siglo x; de un partido que al cadalso. El Príncipe D. Cárlos, desplegando el estandarte de la rebelión, no quiere fundar un trono bárbaro y un altar sacrilego y furibundo, rodeado de ha hecho mas que autorizar á la nación á que mire por su propia suerte. Y es lagunas de sangre y de montañas de cadáveres, sobíe la tumba de la civiliza ta es otra de las razone…</t>
  </si>
  <si>
    <t>…por sí solos se vieron en la dura necesidad de combatir ahora al Estamento por hallarse comisionado en Bivona para averiguar la cer-* por su independencia y sus libertades, desde aquella memorable época con tiza de la venida del Príncipe D. Carlos í España. El Estamento quedó ente tamos con tales medios y garantías de nuestra libertad , cuales no existen en rado. ninguna otra nación del murrio; y la comisión no hubiera hecho fiada demaa Se dió cuenta de otro del Sr. marques de Astariz, por la Corufla, en que en expresar esto mismo contestand…</t>
  </si>
  <si>
    <t>…s de que se trataba de apartar á los espjCon la solemnidad y pompa «pie acostumbra esta ciudad, y con et mismo ñolcs de lá obediencia que deben á su Soberana, no solamente por temor, sino ceremonial con que se proclamó a S. M. el Sr. D. Carlos ív, se han levantado también por conciencia.... Murió el Rey con el consuelo de que jurada v re pendones el 7 del pasado por nuestra augusta Ruina y Señora Doña Isa bul ii, conocida por los obispos., los grandes, las Cortes, y por las ciudades y pueblos cuyo reinado ofrece tantas esperanzas y consu…</t>
  </si>
  <si>
    <t>…que lo modifique: principio, en fin, tan peligroso en su apli así lo dice claramente. No se prevalió de esas leyes antiguas para excluir á los cación , que rara vez se ha intentado ponerlo en práctica sin promover el deshijos del Príncipe D. Cárlos de la corona, porque cualquiera que sea el sello órden y Ja anarquía. que lleven esas leyes, llevan siempre el de la época en que se establecieron. El «Pero, Señores, ¿ha sido timidez de la comisión, ó alguna especie de re-* código de las Partidas, si es lícito decirlo asi, se adelantó á su tiempo; pues…</t>
  </si>
  <si>
    <t>…sta Art. l.° b. M* L el duque de Braganza , Regente del reino de Portu en práctica, fue derogada por las Cortes celebradas el año de 1789, en tiem gal y de los Algarbes , en nombre de Ja Reina Doña María u, se obliga a po del Sr. Rey D. Carlos iv; siendo unánimes todos los votos á favor de la usar de todos los medios que estén en su poder , para obligar al infante ley primitiva, venerable por su antigüedad , y por mil gloriosos recuerdos. D. Carlos á retirarse de los dominio* portugueses. En vista de estos poderosos motivos; no dudó el d…</t>
  </si>
  <si>
    <t>…á sus Siempre Jiet. En el pavimento del templete estaba reclinado Saturno con su lecciones. relox de arena y guadaña, yvun niño alado quitándole de las manos con la ma yor viveza la declaración del Rey y Cortes, convocadas por el Sr. D- Carlos iv, En Arttequera ha *'do batida una gavilla de foragidos por los individuos augusto abuelo de S. M. la Reina Regenta Gobernadora, y celebradas en el pa- de la Milicia urbana y varios labradores de su término, y unas partidas del re lacjo de Buen Retiro el año de 1789, cuvas actas y loa dictámenes…</t>
  </si>
  <si>
    <t>…stado el Descripción histórica del Real bosque y casa de. Aran juez, por D. Juan Antonio Corregidor de Pozoblanco, se alculan en mas de un millón de rs.; he preveni Alrarcz i^e Quindoi y Baena. Un romo en 4*¿ c&lt;Jn el retrato ifel Sr. D. Carlos tv, efido i dicho funcionario me remíta el expediente justificativo de las perdidas, ciondivididade I80i,en cincoá 22 partes,rs ruina,se 2+da enunarusticaextensay 30noticiapasta decomún-las autigüedaJesEn esta obra,del quemencionase halla que elevaré á V. E. con mis observaciones tan luego como lo…</t>
  </si>
  <si>
    <t>…reales ingenio de la casa en qué éstaba desémpeñ&amp;iido las fanciónes de l.ic.tyo, le en rama y jOO pasta común. Idem papel fino á 40Ú. rs. rama. Idem en papel marquilla é 4^9 rs. rama. Esta bella edición , hecha en el reinado del Sr. D. Carlos iv* á qnten está viaron al colegio dfcJWéxio pará'qué h&amp;ierá1 sus estudios, y pi^S ¿a'seguida á dedicada. contiene \a noticia,histórica de Cicerón, ios copiosísimos índices de Ernesto la universidad. -Hace cosa de cinco ó seis meses qiie vólvió Eckbóriiá Stocfcol- que comprenden todas las cosas y p…</t>
  </si>
  <si>
    <t>…mes, le dijo lo si las Córtes generales del Reino, celebrada el 24 de Julio próximo pasado, de guiente : «no puedo consentir ni consiento mas que resistas con pretextos frí someter á su deliberación la conducta del mal aconsejado Príncipe D. Carlos volos á mis órdenes. Esta será mi última carta si no obedeces: y pues nada han María Isidro de Borbon, para que recaiga la decisión mas justa y conveniente, podido mis persuasiones fraternales en casi dos meses de contestaciones, proce tengo el honor de presentar á V. M. el cuadro fiel de los hecho…</t>
  </si>
  <si>
    <t>…dispensados de este servicio; pero turar su existencia. Asi que ya no alcanza á protegernos el sistema de Milicias podrán alistarse” : yo quisiera que se me dijese cómo se dispensa de un servicio provinciales, establecido por el Sr. D. Carlos ni para auxiliar al ejército per voluntario; y como puede resultar esta oposición de servicio voluntario en frente manente, sin tanto gravamen y costa, sino que es menester tener preparada y de Otro servicio también voluntario. Aqui hay una especie de antitesis, que disponible una masa de 2009 homb…</t>
  </si>
  <si>
    <t>…atarias; se ha servido S. M. condecorar al mencionado Prítici; r REAL DECRETO. con la gran cruz de la Real y distinguida orden de Girlós 11 ■ , v al D. Cristóbal Pedro de Moraes Sarmentó con la^gran cruz de Isabel Pescando el Sr. Rey D. Carlos m atender á la tranquilidad de la Católica; habiéndose dignado igualmente S. M. conceder varia» «pirita V decoro de los M. RR. arzobispos y RR. obisjios, al ma gracias á los secretarios y principies agregados de entrambas le yor acierto y seguridad de sus provisores, al beneficio de sus amados gaci…</t>
  </si>
  <si>
    <t>…nado á él. Mientras ministrados por los jurados de Zaragoza bajo la sencilla forma de una accequia de vivió aquel hombre benéfico no se trató de imponer al Aragón contribución riego que no pasó de Pinsegue y Garrapiñillos, el Sr. Rey D. Cárlos m aco alguna para ejecutar su plan; pero asj que falleció, en principios de 1794, sfe gió bajo su protección, é hizo poner'en ejecución el proyecto de engrandecer le impuso un millón de reates amóles con objeto de llevar adelántelas obras, lo; y unir la utilidad de la navegación á la del riego, enc…</t>
  </si>
  <si>
    <t>…ñado de valientes que tengo el honor de mandar confirmase la buena opinión que goza. Comandancia militar de la provincia de Logroño-= Capitanía La dispersión de íás fallones ha sido completa; v los mozos general de Navarra por el señor D. Carlos v.rrSi en el termino de este valle y otros han aprovechado el momento de regresar á sus de media hora no se entrega el comandante de la casa fuerte de es hogares. Luego que recoja los estados de nuestra perdida, daré a ta ciudad, será el edificio reducido á cenizas y la guarnición pasa V- S. parte…</t>
  </si>
  <si>
    <t>…o, marques de Guadaicazar , hizo presente que en Se dió cuenta de un oficio d¿l Sr. Presidente ’de la comisión especial para la Secretaría no se hallaba documento alguno del Excmo. Sr. duque de S. Car el eximen del expediente del Príncipe D. Carlos, en que d cc que hab endose los , ni había recibido comunicación alguna de S. E. mas que la que acababa reunido esta por segunda vez , habla notado la falta del Excmo. Sr. marques de leerse, contentando á la circular de 9 del corriente: que en vu concepto , el de Camarasa, que tampoco asistió á (a…</t>
  </si>
  <si>
    <t>…diversas figuras y de tamaño tan extraordinario, que no tenemos devuelva al de esta última ciudad que mantiene 7ou expósitos la asignación que idea de otro fenómeno tan temible y tan espantoso. A los tres minutos ya es le hizo el Sr. D. Carlos iv (q. e. e. g.) taba completamente cubierta de fracmentos de hielo toda la superficie de las También ha visitado las cárceles de ambas poblaciones, y ha procurado calles, todos los tejados, azoteas &amp;c., y en completa alarma todo el vecindario, que se hagan algunas mejoras en ellas, pero luego que…</t>
  </si>
  <si>
    <t>…60 por L0l&gt;, de f.K mi que estamos en el creo Carlos iri, los varios empréstitos de.JJoíanda, ios 117 millones de pe»os derecho de -rescata*-, cuándo estemos en desahogo», por c 6 millones los 60 que en vales Reales que ém.tió ci Sr. D. Carlos iv, y los 2 Empréstito de 160 y, hemos dado en cajj.taljÁ do rentas. ^ 240 owUooes de reales que el mismo Soberano creó en loónos 1/yS y *J~ y «Si han entrád ),^setecientos y tantos millones en !ás cijas de Fspañ*, ;se -taefaiy lamas cargas como hq-n pesado después sobre la Nación. A mi no me rá po…</t>
  </si>
  <si>
    <t>…royecto de ley sobre que continuasen rigiendo los actuales pre doso-» á que los productos de la misma se destinan. Ultimamente, en el glorioso supuestos t hasta que se aprobasen los presentados portel Gobierno para el reinado del Sr. D. Carlos m se creyó conveniente invertir estos productos en año 1835- el ramo de caminos. Semejante aplicación era seguramente muy plausible; pe El Excmo. Sr. Secretario del Despacho de Gracia y Justicia remitió una ro las diligencias preparatorias para hacerla causaban vejaciones enormes por certificación…</t>
  </si>
  <si>
    <t>…s Sres. en favor del artículo impugnando el dictamen de la mayoría de la y al mundo entero no se puede alegar esa ignorancia. comisión; pero antes me parece muy dcL caso hacer ohiervar al Estamento que «Ha dicho también que ni el Rey D. Carlos 111 para los vales, ni el Rey hay ciertos puntos en la cuestión en que la mayoría estamos de acuerdo. Para D. Carlos iv para la deuda de Holanda contaron con las Córtes, olvidando mí, según lo que he oído á todos los Sres. que han hablado en la discusión, uno y otro tal formalidad. Esto no es ciert…</t>
  </si>
  <si>
    <t>…y apostaderos , ar- I ' Informada de que algunas profesiones- industríalas se hallan aun degradadas reglando sus operaciones á la instrucción provisional que acompaña V. S., has- I l'on F.spafia, no obstante lo que previno el Sr. Rey D. Carlos m por la ley 8.a, ta tanto que se verifique la demarcación de distritos y comarcas, á que se remi- j 1 título 23, libro 8.° de la Novísima Recopilación; visto lo que me ha expuesto te la nueva ordenanza del ramo; S. M.. conformándose con este parecer, y ¡la comisión nombradaJal efecto por Real orde…</t>
  </si>
  <si>
    <t>…uego el Esera sobre un puente-canal, bien entendido que reno que habían de fecundar; y nueva y mas circunstanciada ope en ambos casos se ha de disponer el bocal con un marco, de manera ración sé hizo en el reinado de mi Abuelo el Sr. D. Carlos iv por que no pueda entrar mas cantidad de aguas que las concedidas á la otro profesor de arquitectura, nombrado D. Francisco Rocha, á la empresa» A estos dos proyectos acompañará el presupuesto del coste que concurrió el primero, y de la que "resultaron comprobadas la de cada uno, y unq comparació…</t>
  </si>
  <si>
    <t>…rece el fruto que se culiiva. En aigun país se «Los Procuradores del reino piden respetuosamente á V. M. que se rc^áestimula con gratificaciones la extracción de un producto indígeno: lejos de blezcan las leves promulgadas por el Sr. D. Carlos iv para la revjen.ieslo; en Málaga se gravan los frutos casi exclusivos que produce aquella feraz censos con Vales CDnsolidados ú otros créditos contra el listado, siempre = tierra, centro en otro tiempo de grandes riquezas. El arriero emplea la mayor ellos sean peitenecientes á cofradías, hermanda…</t>
  </si>
  <si>
    <t>…por tanto exige mucha detención petición se confunden dos cosas distintas, y se hace puramente temporal lo que en su examen antes de tornar resolución. Sin embargo, me parece que el Go tiene parte de espiritual. En tiempo del Sr. Rey D. Carlos iv se trató ya de bierno en esta parte podrá llenar los deseos de los Sres. Procuradores; y por lo este asunto de amortización eclesiástica, y al efecto se impetró una bula, que tanto, en atención á que dentro de breves dtas se presentará dicho asuntó á 4a&lt; me parece concedió Pió vi; pero teniéndos…</t>
  </si>
  <si>
    <t>…qi^e la Nación. en que estaba concebida; y que le parecía mejor que para llevar á efecto lo que «Si los señores autores de la petición adoptan la idea que propongo de re en ella se pedia, se pusiera en practica la ley dada por el Sr. D. Carlos tv( dimir todas estas cargas con la intervención de la autoridad eclesiástica / la e^- apoyada por un breve de S. S. Pió vi, en la cual se ordenaba que estas fincas teaderé por escrito, y de este modo saldremos dé uh negocio de los mas gra pasasen á la Cija de Amortización para extinguir la deuda d…</t>
  </si>
  <si>
    <t>…Enero de 1834.~F&gt;gueroa.=rSí. intendente general de Marina. ■ . Real orden. En dias de concordia, de quietud y d* sumisión pacífica á las autoridades MINISTERIO SE HACIENDA SE ESPAÑA. constituidas, juzgó necesario la Magestad del Sr. D Carlos ivi para evitar el Rtal orjtn. escándalo de varios predicadores, circular U Real orden de 16 de Marzo de ••Queriendo la Reina Regenta y Gobernadora de estos reinos que se.reduz redi , que es otra de las leyes recopiladas, por la que se sirvió «encargar á to ca cuanto sea posible el número de comisi…</t>
  </si>
  <si>
    <t>…n formado otros Tribunales que su fundamento se halla bien establecido en las sabias ordenanzas que con de excepción » conocidos últimamente con el nombre de comisiones militares. ^ otros tantos bienes debió España al reinado del Sr. D. Carlos m; y que si el En cuanto al curso de la justicia por el primero de estos rumbos, se ha trascurso de los tiempos, variando en algunas cosas las instituciones, ha debido hecho la misma y notable variación que en los demas ministerios, extinguiendo ó debe producir mejoras en la disciplina, el estudio…</t>
  </si>
  <si>
    <t>Cárlos, Infante D</t>
  </si>
  <si>
    <t>Infante D Cárlos</t>
  </si>
  <si>
    <t>…Doña Isarfl ti. Reina de España, rand Perigord, Príncipe Duque de Talleyrand, Par de Francia, Em en virtud del presente artículo, declara su intención de asegurar al bajador extraordinario y Ministro plenipotenciario de S- M. el Rey Infante D. Cárlos, luego que saiga de los Estados españoles y portu de los Franceses, cerca de S. M. Británica , Gran Cruz de la Legión gueses, una renta correspondiente á su rango v nacimiento. de Honor, Caballero de la Orden del loison de oro, Gran Cruz de Art. 77 El presente Tratado será ratificado, v las ratific…</t>
  </si>
  <si>
    <t>Carlos, Infante I</t>
  </si>
  <si>
    <t>Infante I Carlos</t>
  </si>
  <si>
    <t>…e dirigido desde su taba después en 1820: sigue después ei presupuesto: para gastos de cámara de principio; y me veo en la dura necesidad de decirlo asi, respetando el carác S. M. la Reina seiscientos y tantos mil reales: para el Sr. Infante I&gt;. Carlos ter sublime del Oobicrno; pero valiéndome del no menos sublime del cargo 1,65053: para gastos de cámara de la Sra. Infanta Doña María Francisca 5003: que desempeñamos como Procuradores de los pueblos: ha sido dirigido mala para el Sr, Infante D. Francisco 1.650®: para gastos de cámara de la Sral In…</t>
  </si>
  <si>
    <t>Cárlos, Miguel y D</t>
  </si>
  <si>
    <t>Miguel y D Cárlos</t>
  </si>
  <si>
    <t>…restituciones del artículo antecedente, y que den su paiabra de no tomar parte del próximo pasado, conformes con otros datos y noticias oficiales que ha reci de modo alguno en los asuntos políticos de este país. bido el Gobierno, D. Miguel y D. Cárlos debían salir el 30 de Evora pjra Art. 3.° Los oficiales militares amnistiados conservarán sus empleos legíti embarcarse en Sines el primero, y el segundo en Aldea Gallega, escoltados mamente conferidos, y el gobierno se obliga á proveer á su subsistencia á pro ambos hasta dichos puntos, y acompañad…</t>
  </si>
  <si>
    <t>Carlos, Miguel y D</t>
  </si>
  <si>
    <t>Miguel y D Carlos</t>
  </si>
  <si>
    <t>…vista por su desaseo y andrajos. El clima es hermosísimo y querían llevar á efecto las estipulaciones que acordaron con respecto á él, muy sano: la;sociedad europea muy agradable; y os aseguro que si tuviese mi como lo e,tuvieron D. Miguel y D. Carlos de que los cuatro gabinetes de la familia y mis negocios aquí, viviría con gusto en este país.” (Id.) cuadrupla alianza habían resuelto cumplir con el tratado de Abril último, ni hubieran sido necesarios asedios de ciudadelas, ni embargo Re buques, ni con venciones' preliminares, ni misiones á Biberic…</t>
  </si>
  <si>
    <t>…a una novela á su ar días ha tomado mucho crédito en las tertulias de Londres. Se habla de un tra bitrio en el sentido de su* afectos y doctrinas, y la da á sus lectores como ver tado entre Portugal y España relativo á expulsar á D. Miguel y D. Carlos de dad infalible; y eso se llama ilustrar la opinión pubiúa. la Península- Parece que á este convenio prestan su poderoso apoyo la nación Nadie ignora en el dia en España, que en el tiempo en que la Gaceta de inglesa unida por tratados antiguos y modernos á todo lo que tiene relación Francia insertaba…</t>
  </si>
  <si>
    <t>…e objeto. {Debates.) tras es tiempo todavía, de su perdición y exterminio. Concluida en breves días U campaña de Portugal, y arrojados lejos de la __^.Se lee en el Memorial bardales del 3:&gt;*En el telégrafo de Méjico, pe Península D. Miguel y D. Carlos, que se dirigen por opuestos rumbos á nacio riódico del gobierno federal, se encuentra uñ largo informe dirigido al gefe del nes distantes; rendidos y desarmados los que habían seguido en aquel reino las EstadoTJcerca de la necesidad dé 'prómdverTíTindustria mejicana , sacándola del banderas de la…</t>
  </si>
  <si>
    <t>Carlos, Miguel y de D</t>
  </si>
  <si>
    <t>Miguel y de D Carlos</t>
  </si>
  <si>
    <t>…comisión." En seguida aprueba el todo de-la ley por 202 vetos contra/^- su efecto moral el objeto para que se habría hecho. ¿Qué podrán las esperanzas El ministro del Interior dice que el Rey le encarga presente á las Cámaras de D. Miguel y de D. Carlos contra esta cuádruple alianza? En todo caso, un proyecto de ley , por el cual se conceden al gobierno 4009 francos paraje creemos que los recursos militares no se buscarían fuera de la Península. Re Jos invierta en socorrer Jos heridos y las familias de los que han perecido en hs ] unidas las fuerz…</t>
  </si>
  <si>
    <t>Carlos, Rey D</t>
  </si>
  <si>
    <t>Rey D Carlos</t>
  </si>
  <si>
    <t>…puesta Art. l.° b. M* L el duque de Braganza , Regente del reino de Portu en práctica, fue derogada por las Cortes celebradas el año de 1789, en tiem gal y de los Algarbes , en nombre de Ja Reina Doña María u, se obliga a po del Sr. Rey D. Carlos iv; siendo unánimes todos los votos á favor de la usar de todos los medios que estén en su poder , para obligar al infante ley primitiva, venerable por su antigüedad , y por mil gloriosos recuerdos. D. Carlos á retirarse de los dominio* portugueses. En vista de estos poderosos motivos; no dudó el d…</t>
  </si>
  <si>
    <t>…signatarias; se ha servido S. M. condecorar al mencionado Prítici; r REAL DECRETO. con la gran cruz de la Real y distinguida orden de Girlós 11 ■ , v al D. Cristóbal Pedro de Moraes Sarmentó con la^gran cruz de Isabel Pescando el Sr. Rey D. Carlos m atender á la tranquilidad de la Católica; habiéndose dignado igualmente S. M. conceder varia» «pirita V decoro de los M. RR. arzobispos y RR. obisjios, al ma gracias á los secretarios y principies agregados de entrambas le yor acierto y seguridad de sus provisores, al beneficio de sus amados gaci…</t>
  </si>
  <si>
    <t>Cárlos, Rey D</t>
  </si>
  <si>
    <t>Rey D Cárlos</t>
  </si>
  <si>
    <t>…estinado á él. Mientras ministrados por los jurados de Zaragoza bajo la sencilla forma de una accequia de vivió aquel hombre benéfico no se trató de imponer al Aragón contribución riego que no pasó de Pinsegue y Garrapiñillos, el Sr. Rey D. Cárlos m aco alguna para ejecutar su plan; pero asj que falleció, en principios de 1794, sfe gió bajo su protección, é hizo poner'en ejecución el proyecto de engrandecer le impuso un millón de reates amóles con objeto de llevar adelántelas obras, lo; y unir la utilidad de la navegación á la del riego, enc…</t>
  </si>
  <si>
    <t>…nto y apostaderos , ar- I ' Informada de que algunas profesiones- industríalas se hallan aun degradadas reglando sus operaciones á la instrucción provisional que acompaña V. S., has- I l'on F.spafia, no obstante lo que previno el Sr. Rey D. Carlos m por la ley 8.a, ta tanto que se verifique la demarcación de distritos y comarcas, á que se remi- j 1 título 23, libro 8.° de la Novísima Recopilación; visto lo que me ha expuesto te la nueva ordenanza del ramo; S. M.. conformándose con este parecer, y ¡la comisión nombradaJal efecto por Real orde…</t>
  </si>
  <si>
    <t>…, y por tanto exige mucha detención petición se confunden dos cosas distintas, y se hace puramente temporal lo que en su examen antes de tornar resolución. Sin embargo, me parece que el Go tiene parte de espiritual. En tiempo del Sr. Rey D. Carlos iv se trató ya de bierno en esta parte podrá llenar los deseos de los Sres. Procuradores; y por lo este asunto de amortización eclesiástica, y al efecto se impetró una bula, que tanto, en atención á que dentro de breves dtas se presentará dicho asuntó á 4a&lt; me parece concedió Pió vi; pero teniéndos…</t>
  </si>
  <si>
    <t>Cárlos.y</t>
  </si>
  <si>
    <t>. pena, con. suma dificultad y con dolor á excluir í lo» hijos del Pretendiente, «Al declarar la exclusión de D. Cárlos.y su líost me hará cargo de uar Por ventura,; vamos á sacrificarlo»., i encerrarlo» en mizmorrás y traerlo» de cir argumento que indudablemente nos harán sus partidarios. Estoy/bien seguro de ce! en cárcel 6 imponerlos otra pena corporal cualquiera.’ No vamos 1 hacer que si no tratan de hacer la inju…</t>
  </si>
  <si>
    <t>Carlota, Francisco de Paula y Doña Luisa</t>
  </si>
  <si>
    <t>Francisco de Paula y Doña Luisa Carlota</t>
  </si>
  <si>
    <t>…e del 13 de línea D Vicente Ruiz avanzase con una guerrilla de 15 También honraron con su augusta presencia esta revista los Serraos Sres. In hombres para que se dirigiese por la cumbre , lo que asi ejecuto, el cual habién fantes D. Francisco de Paula y Doña Luisa Carlota. doles dado vista les acometió á la voz de vh.» I&lt;¡abf.l ir, y después de un Fue brillante y numeroso el concurro, á pesar del mal tiempo, y general horroroso fuego y cogido por sí mismo un prisionero, hizo deseo» ear la facción, y viva l-i alegría del público espectador de tan solemne y tan glorios…</t>
  </si>
  <si>
    <t>Carlota, Infanta Doña Luisa</t>
  </si>
  <si>
    <t>Infanta Doña Luisa Carlota</t>
  </si>
  <si>
    <t>…cia que se venia á los ojos en agravio de Secretario del Despacho de Estado, en que participaba hallarse ya en el nove los insignes y respetables prelados de aquella iglesia: luego se ha exigido pdr no mes de su preñado la Serma. Sra. Infanta Doña Luisa Carlota, compuesta 'tatitos siglos una contribución que no era debida , dice expresamente, la con de los Excmos. Sres. duque de Castroterreño y D. Antonio Posada, que de secuencia que parece necesaria no lo es de ninguna matura-, y que á pesar berán asistir al cuarto de S. A. en el dia de su alumbramiento.…</t>
  </si>
  <si>
    <t>…el S. M. la Reina Gobernadora............................................................. puerto , á bordo de la fragata inglesa Stag. (Monitor.) S. A. el Sermo. Sr. Infante D. Francisco de Paula Antonio......... S. A. la Serma. Sra. Infanta Doña Luisa Carlota, su Esposa. (L). . Han entrado dé Bélgica eh Francia durante el año de 1833 , 79 cabezas El primer Secretario de Estado y del Despacho................................ 3000 dé ganado de asta entre bueyes, vacas y terneras; 219 carneros; 809 cerdos y El Secretariode Estado y del Despacho de Gracia y…</t>
  </si>
  <si>
    <t>…(Gaceta de Ausgburgol) a 801ZA. ESPAÑA ZuricJt 3 de Setiembre• " Madrid 12 de Octubre. Se ha enviado á los cantones la siguiente circular. «Señores y caros confederados: hemos recibido del ministro de Negocios S. A. R. la Serma. Sra. Infanta. Doña Luisa Carlota ha dado ¿ luz con extrangeros del gran ducado de Badén la nota que acompaña, fecha 15 de toda felicidad, á las nueve menos nueve minutos de la mañana de hov, una ro Agosto, por la cual aquel gobierno declara querer abandonar el tratado de co busta Infanta, que ha recibido el santo bautismo á las se…</t>
  </si>
  <si>
    <t>…de la aptitud1 legal del Sr. marques de Viliagarcía, electo Procura jpor el Sr. Presidente del consejo de Ministros acerca de que habiendo la Sere dor por la provincia de Pontevedra; y lo* del Sr. marques, de Víllacan-po, nísima Señora Infanta Doña Luisa Carlota dado á luz una robusta Infanta en que lo es por la de Burgos; y que bajándolos conformes, opinaba debía» •1 día de ayer, habla resuelto S. M que se le administrase el bautismo á las aprobarse Asi se acordó. seis de su tarde; y que en acción de gracias se cantase un Te Deum en su Real La misma comis…</t>
  </si>
  <si>
    <t>…procesado criminalmente» ¿no está comprendí— Se díó cuenta de un oficio de la Diputación de Srcs. Procuradores, nom do en el art. 15 del Estatuto Reax? Eq él se dice: *»No podran ser Procubrada para asistir al cuarto de la Serma. Sra. Infanta Doña Luisa Carlota en el «radores del reino: l.° Los que se hallen procesados criminalmente.” Aqui dia de su alumbramiento , manifestando haberse verificado este el dia 12 del está sentado por base que es menester que tenga la capacidad legal el individuo, actual á las 10 de su mañana; y el Estamento quedó enterado.…</t>
  </si>
  <si>
    <t>Carlota, Luisa</t>
  </si>
  <si>
    <t>Luisa Carlota</t>
  </si>
  <si>
    <t>…nia á los ojos en agravio de Secretario del Despacho de Estado, en que participaba hallarse ya en el nove los insignes y respetables prelados de aquella iglesia: luego se ha exigido pdr no mes de su preñado la Serma. Sra. Infanta Doña Luisa Carlota, compuesta 'tatitos siglos una contribución que no era debida , dice expresamente, la con de los Excmos. Sres. duque de Castroterreño y D. Antonio Posada, que de secuencia que parece necesaria no lo es de ninguna matura-, y que á pesar berán asistir al cuarto de S. A. en el dia de su alumbramiento.…</t>
  </si>
  <si>
    <t>…s, por ción de armas y efectos , y dispersarlos completamente ; pud»endo ^asegurar 4 Sermo. Sr. Infante D¡ Francisco de Paula Antonio y su augusta es V. E. que por ningún lado pasaban de tres los reunidos, siendo enteramente posa Doña Luisa Carlota.............................................................................. 50000 opuestas las direcciones que han podido tomar : este ha sido el resultado Excmo. Sr. conde de Sta. C^lpjma y de.Cifuestes.............................. 4^00 jomada de hoy , que pasa de 12 leguas; pues hemos llegado mas alia del tnoti- ~AJrTsúgeto que no d.ó eí nombre..........................…</t>
  </si>
  <si>
    <t>…eina Gobernadora............................................................. puerto , á bordo de la fragata inglesa Stag. (Monitor.) S. A. el Sermo. Sr. Infante D. Francisco de Paula Antonio......... S. A. la Serma. Sra. Infanta Doña Luisa Carlota, su Esposa. (L). . Han entrado dé Bélgica eh Francia durante el año de 1833 , 79 cabezas El primer Secretario de Estado y del Despacho................................ 3000 dé ganado de asta entre bueyes, vacas y terneras; 219 carneros; 809 cerdos y El Secretariode Estado y del Despacho de Gracia y…</t>
  </si>
  <si>
    <t>…sgburgol) a 801ZA. ESPAÑA ZuricJt 3 de Setiembre• " Madrid 12 de Octubre. Se ha enviado á los cantones la siguiente circular. «Señores y caros confederados: hemos recibido del ministro de Negocios S. A. R. la Serma. Sra. Infanta. Doña Luisa Carlota ha dado ¿ luz con extrangeros del gran ducado de Badén la nota que acompaña, fecha 15 de toda felicidad, á las nueve menos nueve minutos de la mañana de hov, una ro Agosto, por la cual aquel gobierno declara querer abandonar el tratado de co busta Infanta, que ha recibido el santo bautismo á las se…</t>
  </si>
  <si>
    <t>…legal del Sr. marques de Viliagarcía, electo Procura jpor el Sr. Presidente del consejo de Ministros acerca de que habiendo la Sere dor por la provincia de Pontevedra; y lo* del Sr. marques, de Víllacan-po, nísima Señora Infanta Doña Luisa Carlota dado á luz una robusta Infanta en que lo es por la de Burgos; y que bajándolos conformes, opinaba debía» •1 día de ayer, habla resuelto S. M que se le administrase el bautismo á las aprobarse Asi se acordó. seis de su tarde; y que en acción de gracias se cantase un Te Deum en su Real La misma comis…</t>
  </si>
  <si>
    <t>…minalmente» ¿no está comprendí— Se díó cuenta de un oficio de la Diputación de Srcs. Procuradores, nom do en el art. 15 del Estatuto Reax? Eq él se dice: *»No podran ser Procubrada para asistir al cuarto de la Serma. Sra. Infanta Doña Luisa Carlota en el «radores del reino: l.° Los que se hallen procesados criminalmente.” Aqui dia de su alumbramiento , manifestando haberse verificado este el dia 12 del está sentado por base que es menester que tenga la capacidad legal el individuo, actual á las 10 de su mañana; y el Estamento quedó enterado.…</t>
  </si>
  <si>
    <t>…nte Ruiz avanzase con una guerrilla de 15 También honraron con su augusta presencia esta revista los Serraos Sres. In hombres para que se dirigiese por la cumbre , lo que asi ejecuto, el cual habién fantes D. Francisco de Paula y Doña Luisa Carlota. doles dado vista les acometió á la voz de vh.» I&lt;¡abf.l ir, y después de un Fue brillante y numeroso el concurro, á pesar del mal tiempo, y general horroroso fuego y cogido por sí mismo un prisionero, hizo deseo» ear la facción, y viva l-i alegría del público espectador de tan solemne y tan glorios…</t>
  </si>
  <si>
    <t>Carlota, María</t>
  </si>
  <si>
    <t>María Carlota</t>
  </si>
  <si>
    <t>…e es válido el contrato hecho entre per dente del Consejo de Ministros, por la que participaba al Estamento de Real sonas autorizadas, convenimos en el principio, pero diferimos absolutamente en orden , que la Serma. Sr¿. Infanta Doña María Carlota habia entrado en el no las consecuencias, pues no admitimos que tuvieran suficiente autorización las veno mes de su preñado , á fin de que se nombrase una diputación de señores personas que contrataron el empréstito. Añadió, después que el Rey no pactó Procuradores , que al tiempo del alumbramiento…</t>
  </si>
  <si>
    <t>Cármanifiestan</t>
  </si>
  <si>
    <t>…edio de las pro ma ó á Padua, á ocuparse en cultivar y enriquecer su razón. La superioridad vincias de S. Luis, Mendoza y la nuestra. Según todas las probabilidades que de sus luces no podía menos de hacerse notar. Con efecto, el Emperador Cármanifiestan los avisos del gobierno de S. Luis, y del Sr. general D. Juan Ma los v le confirió la embajada de Venecia, desde donde pasó diferentes veces i nuel de Rosas, la invasión que intentan se verificara cil la primavera pró Roma y á Trento, no solo á disputar preferencias de asiento, como parecen xima.. Ella…</t>
  </si>
  <si>
    <t>Carmona, Juan</t>
  </si>
  <si>
    <t>Juan Carmona</t>
  </si>
  <si>
    <t>…s 14 que en la misma lo paAv-i.-in. En el momento supe que la ficción, acosada en todas direcciones, no pu- PROVINCIA DE SEGOVIA. ---------- diendo eludir la continua persecución de mis columnas y de la del goberna dor de Almagro D. Juan Carmona, que con los Urbanos de dicha ciudad y Dice su gobernador civil en oficio de 22 del corriente que los casos que otros pueblos, y ademas 30 infantes de Córdoba, iba también en su alcance, se presentaban en la capital de aquella provincia eran leves, y tanto en dichay habían variado su marcha, que er…</t>
  </si>
  <si>
    <t>Carnavon</t>
  </si>
  <si>
    <t>…r abriendo las puertas de las casas de] saber REAL DECRETO. á una clase numerosa de conciudadanos nuestros, á quienes no se acusa de otra cosa que de ser disidentes.'” Para la planta de la Real audiencia de ValJadolid rengo en El conde Carnavon declara que en su dictamen la adopción del bilí que nombrar para la plaza de regente 4 D. José Joaquín Ortiz: en clase se discute daría un golpe mortal á las antiguas universidades del reino, que son de oidores á D. Juan Nepcimüceno Vela, 4 D. Fermín Fernandez Ja gloria de la Inglaterra. De su seno…</t>
  </si>
  <si>
    <t>Caro, D Francisco Javier</t>
  </si>
  <si>
    <t>D Francisco Javier Caro</t>
  </si>
  <si>
    <t>…o. Sr. U. Jo»é Cafranga contestaba hallarse en absoluta imposi concurrir á las votaciones , pero no asi ‘/i I?|.c.i .o. Os. / Cs sitios, a me bilidad de asistir, por enfermedad. nee que S. M. tuviera á bien permitírselo El Excmo. Sr. D. Francisco Javier Caro contestaba que ya tenia expues Se preguntó si había lugar i votar la propr-Aríon del Sr. Búrgos, T ha to que no le era posible aceptar la alta dignidad de Procer por lis razone, que biendo observado algunos señores que aun no se había ercríto, invitó ei señor</t>
  </si>
  <si>
    <t>…........................ 120,000 reducia en último análisis á 69 duros mas ó menos. Pero ya que el Sr. Istúriz -No cobra el sueldo de teniente general. ha sacado la cuestión á otro terreno, exige tan grave materia que se hagan al Sr. D. Francisco Javier Caro........... ................ 120,000 gunas explicac ones. Lis observaciones de Si S. manifiestan que no está entera Sr. E&gt;. Nicolás Garelly: no cobra mas que como Se do de la historia de este consejo y de los apoyos légales en que se funda. Fue cretario del Despacho. instituido por el testamento hecho en el añ…</t>
  </si>
  <si>
    <t>Caro, Francisco Javier</t>
  </si>
  <si>
    <t>Francisco Javier Caro</t>
  </si>
  <si>
    <t>…r. U. Jo»é Cafranga contestaba hallarse en absoluta imposi concurrir á las votaciones , pero no asi ‘/i I?|.c.i .o. Os. / Cs sitios, a me bilidad de asistir, por enfermedad. nee que S. M. tuviera á bien permitírselo El Excmo. Sr. D. Francisco Javier Caro contestaba que ya tenia expues Se preguntó si había lugar i votar la propr-Aríon del Sr. Búrgos, T ha to que no le era posible aceptar la alta dignidad de Procer por lis razone, que biendo observado algunos señores que aun no se había ercríto, invitó ei señor</t>
  </si>
  <si>
    <t>…marques de Moni ayo, María lbar Navarro, del Consejo de Estado; D. Francisco Arango, teniente general de los Reales ejércitos,-capitán general, de Castilla individuo del suprimido Gvnsejo de Indias; conde de VillanueVa. la Vieja; D. Francisco Javier Caro, del Consejo de Gobierno; Don intendente de la Habana; marques de la Candelaria de Yara rabo; Joaqoin López Sicilia, arzobispo de Valencia; D. Manuel Fraile, conde de Fernandina;,conde de S. Román, teniente general de los obispo de Sigiienza y Patriarca de las Indias; conde de Guaqui, te Reales ejé…</t>
  </si>
  <si>
    <t>….................... 120,000 reducia en último análisis á 69 duros mas ó menos. Pero ya que el Sr. Istúriz -No cobra el sueldo de teniente general. ha sacado la cuestión á otro terreno, exige tan grave materia que se hagan al Sr. D. Francisco Javier Caro........... ................ 120,000 gunas explicac ones. Lis observaciones de Si S. manifiestan que no está entera Sr. E&gt;. Nicolás Garelly: no cobra mas que como Se do de la historia de este consejo y de los apoyos légales en que se funda. Fue cretario del Despacho. instituido por el testamento hecho en el añ…</t>
  </si>
  <si>
    <t>Caróhdelet</t>
  </si>
  <si>
    <t>…olítica; han sido la semiUa legre el 25 desde Castello-íle-Vide, y en el mismo dia llegó á áquel cuartel «mas fecunda de/ntiestra desuniem y desgrapiai. Es necesario apreciar á los general la caballería y parque á.las órdenes dél general Caróhdelet,que pasaron "«hombres por so éérdadero valor, par sus obras, no por una reputación í el Tajo pop el puente de Alcántara. En aquélla Fecha se hallaban también eh ó veces imaginaria /falsa ó engañosa. Respetemos á los servidores fieles deNróBadajoz Jai fuerzas procedentes de Andalucía,' por manera.qu…</t>
  </si>
  <si>
    <t>Carolina, María</t>
  </si>
  <si>
    <t>María Carolina</t>
  </si>
  <si>
    <t>…eden al ministro de Guerra pau - proyectados uno entre rl príncipe Leopoldo y una de las' hijas de Luis Felipe, atender á los gastos extraordinarios de los seas últimos meses del afín:presen» ,.y otro entred duquo de Orleans y la princesa María Carolina, hermana del ‘y seis primeros de 1835;' y el qUc trata de los detentadores ó depositario; ¿ Rey, que acaba de cumplir los 14 años. ármas y moniciones de guerra**'</t>
  </si>
  <si>
    <t>Carondclet</t>
  </si>
  <si>
    <t>…la de cados, si tengo fa suerte dé encontrarlo^, ó perseguirlos hastahacerles salir de Tafalla habiendo sabido el movimiento de los enemigos, y continuarán su per la ribera. ‘ secución : también di .igual aviso anoche al general barón Carondclet, que es "La división de vanguardia sé extrajudicialmente que ocupaba esta maña taba en Puente de la Reina, y supongo habrá salido de dicho punto. Como las na los puntos de Iturmendi, Alsasua y Echarri Aranaz, é infiero será para im noticias se reciben con retraso, y los enemigos indican tomar una d…</t>
  </si>
  <si>
    <t>Carondelet</t>
  </si>
  <si>
    <t>…ausos no desmentidos................... Las tropas al mando del general Rodil, de resultas del movimiento prac La verdad es que ni •Cervantes ni el mismo Lope-conocieron el nuevo son ticado, ocupaban las siguientes posiciones. El general Carondelet en Linhares. derode poesía dramática que abrió este.felicísimo ingenio, guiado solamente El general Sanjuanena en Covilhao. El general Latre con la resetva en Guar por su instinto y el del público para quien componía. No es esta ocasión de da. El cuartel general en Celórico. El duque de Terceirá de…</t>
  </si>
  <si>
    <t>Carranza</t>
  </si>
  <si>
    <t>…haber abandonado precipitadamente loa espesnunca pinares de la siena de C.mcosa las facciones reunirías al mando de los cabeci república de Venezuela, hart nombrado al efecto por sus comisarios respecti llas Basilio, el t.tulado brigadier Carranza , Cuevilla» y Merino , las cuales ha vos , i saber: bían tomado el camino de boria por el pueblo de Memel, única dirección por S. M. el Rey de los franceses i M. Agustín Juan Mahclin, su cónsul en la que podían sustraerse de la penecuciun de las tropas de la Rjlimsl nurstns Caracas y la Guaira: "V…</t>
  </si>
  <si>
    <t>Carranza, Mariano González Samano y</t>
  </si>
  <si>
    <t>Mariano González Samano y Carranza</t>
  </si>
  <si>
    <t>…ermedades. ¿¿adres á 9* dias' Bilbao par. Junta.provincial1 de Málaga.—Excmo. Sr.: Con esta fecha digo á la supre ma junta de Sanidad del reino lo que copio. ANUNCIOS. I Refutación á la doctrina ptrqtológica deJUr* Bfoussaisy por D. Mariano González .Samano y Carranza, profesor de medicina y cirugía. Esta obrita, ademas de. presen^ tar clara y concisamente Iá verdadera Dattrraleiá de las Calenturas sin atender á sis » Excmo.'Sr.A las juntas municipales de la comprensión de esta provincia temas , tiene por otra parte Ta ventaja de indicar su mas racional curación…</t>
  </si>
  <si>
    <t>Carrascal, D Fernando</t>
  </si>
  <si>
    <t>D Fernando Carrascal</t>
  </si>
  <si>
    <t>…e m movimiento, i infiriendo su dirección fueron el dia.li destacadas y aposta Pueblos. Días. Enfermos. Curados. Fallecidos: das en Villar-del Rey dos partidas, una de infantena del regimiento 2.° de lí i ■ nea i, las órdenes del teniente D. Fernando Carrascal, y otra de caballería 4 las del alférez del ,3.° de línea D. José Foxá, y 30 Urbanos de esta plaza al man do del subteniente D. Antonio Ríos ; acompañando 4 esta fuerza el ayudante Cíeza.................. 10 i 12 Julio. . lio 34 7 ' de dicha Milicia urbana D. Francisco Meseguer para designar los pu…</t>
  </si>
  <si>
    <t>Carrascal, Fernando</t>
  </si>
  <si>
    <t>Fernando Carrascal</t>
  </si>
  <si>
    <t>…iento, i infiriendo su dirección fueron el dia.li destacadas y aposta Pueblos. Días. Enfermos. Curados. Fallecidos: das en Villar-del Rey dos partidas, una de infantena del regimiento 2.° de lí i ■ nea i, las órdenes del teniente D. Fernando Carrascal, y otra de caballería 4 las del alférez del ,3.° de línea D. José Foxá, y 30 Urbanos de esta plaza al man do del subteniente D. Antonio Ríos ; acompañando 4 esta fuerza el ayudante Cíeza.................. 10 i 12 Julio. . lio 34 7 ' de dicha Milicia urbana D. Francisco Meseguer para designar los pu…</t>
  </si>
  <si>
    <t>Carrasco</t>
  </si>
  <si>
    <t>…en contnua harían la conversión en deuda pasiva, pues se Ies daba una seguridad; y adop zozobra, siempre lo considerarán como un demérito que resulta de la emisión tando la de la deuda activa , no le tienen , como ha indicado el Sr. Carrasco, de este papel. Si me piden 100 rs., y al cabo de cierto tiempo los demando y que en esta parte ha estado franco. Preve la quiebra para dentro de algunos no se me pagan , diciéndomc el deudor que no puede darme mas que óu rs., por añosvy por eso quiere salir del modo que se puede. Pues yo ctco que…</t>
  </si>
  <si>
    <t>…oducto una parte de las necesidades del dia, haciendo satisfa cha inculpación; y ya que se dijo ayer por un Sr. Procurador, y hoy se ha re cer á los obligados á pagar lo que dejaron de abonar mientras estuvo estable petido por el Sr. Carrasco, que el ministerio se disculpaba con el estamento, cido en su debida forma. Yo no diré cuánto podría ser el producto; pero adopto por única defensa leer lo que dije aquel dia, sacado de las notas taqui siempre seria una disminución dei déficit que ahora se reclama. gráficas, dejando á la honradez y…</t>
  </si>
  <si>
    <t>…ano Manuel, nunca seria conveniente adoptarlo. Aquí debe partirse1 del principio de que la Rodríguez Paterna, Rodríguez Vera, Mena, Larriva, Riva Herrera, García asignación que convenga señalar á S. M. ha de salir del presupuesto general. Carrasco, Domecq , Ulloa, Montes de Oca, MiquelPolo, Tosquelias, MedraPorque si en otros ramos pueden hacerse economías, esto no quita que se ba no, Montenuero , Vaillo , Cabañil las, Zúñiga , Astariz , Florez, Serrano gan también las posibles en el presupuesto de casa Real; en cuyo caso dos mi (D. Ginés),…</t>
  </si>
  <si>
    <t>…nimos. Y ¿cuál fué el resultado? Que hombres comprometidos por la liber ha hecho crear el reconocimiento de los bonos de Cortes, porque según ex tad, hombres amantes de ella, creyeron salvar á la Nación del naufragio que presó el Sr. Carrasco, no están repartidos en la masa del pueblo, sino entre la amenazaba con hacer modificaciones en el sistema : de aqui la división quo tres ó cuatro agiotistas acostumbrados á chupar la sangre española , porque hay resultó entre el mismo partido liberal. Yo no acriminaré á ios que creyeron una porció…</t>
  </si>
  <si>
    <t>…ocimiento creo que. de representación, poique la cosa ha llegado á tal punto que el Sé. marques atamos' casi todo» conformes, de Montevírgen ya no exige que*tea esta ó la otra corporación Ja qu* haya «Fue el segundo argumento del Sr. Carrasco la carta autógrafa de S. M. de intervenir, sino que se contenta con que intervenga cualquiera, me parece</t>
  </si>
  <si>
    <t>…e haga-la nueva elección con todas las ,cha en &amp;ii primera reunión por los electores, es suficiente también para esta, formalidades, y especialmente con una tan esencial como la del juramento, y porque , como ha dicho muy bien el Sr. Carrasco , solo en el caso de haber por tanto siente verse en el caso de no poder retirar su dictámen, pues lo ha nuevos individuos deberte prestarse el juramento poraífuel que no estuviese ya extendido conforme el espíritu de la ley." ligado'en virtud de otro anterior. Ño convendré yo ¡amas en que la actua…</t>
  </si>
  <si>
    <t>…ino de de 23 al ;s3. H.i producido , pues , un cfecio tan grande , que personas que han causas-fuera del alcance de la previsión humara. ettado pr&lt; a hc-cer proDuefta* al Gobierno, empiezan á retirarse. No di «Pero yo pregunto ál Sr. Carrasco si es una bancarrota decir reconozco go esto pi: i ■ ersuíuLr que se apruebe el artículo: el Estamento votará lo que todas Us deudas ; pago ahora la mitad, y respecto á la otra mitad haré io le parezca justo: pero creo de mi deber ind ear lo que está sucediendo.*' que permitan las circunstancias de…</t>
  </si>
  <si>
    <t>Carrasco, D Rufino García</t>
  </si>
  <si>
    <t>D Rufino García Carrasco</t>
  </si>
  <si>
    <t>…dió Bourmont á D. Miguel, le libraría de .la nota odiosa que tleva consigo la imposición de contribuciones extraordinarias , y ba provincia di -/rrrrTT ria ver á toda la Europa que estaba sostenido por el pueblo, y no por una fac Sr. D. Rufino García Carrasco. ción militar. Por último, exigia el generalísimo que todas las brigadas, sin Sr. D. Diego González Alonso. .excepción alguna, fuesen mandadas por un oficial francés. Sr. D. Agustín García Atocha. Todos estos dictámenes fueron desechados por EL Miguel y por sus amigos y consejeros , Tos cuales reduc…</t>
  </si>
  <si>
    <t>Carrasco, Dr D Gaspar</t>
  </si>
  <si>
    <t>Dr D Gaspar Carrasco</t>
  </si>
  <si>
    <t>…tado, entró á desempeñar la judicatura de este distrito. Era también preciso nombrar un auditor de guerra y marina, y recayó tras ffilas una multitud de pasados y dispersos. Muy pocós llegarán á Tarma, este nombramiento en el Sr. diputado Dr. D. Gaspar Carrasco, vocal de la punto á qiieJe dirigen. corte superior de Justicia del departamento de la Libertad. Hitos tres befcqm¿“ El 2P" de Eneró último, dia siguiente á la salida de los sediciosos, fue el go- ritos ciudadanos se comprometieron á servir sus empleos respectivos durante bienioo 3 Lima, y presenci…</t>
  </si>
  <si>
    <t>Carrasco, García</t>
  </si>
  <si>
    <t>García Carrasco</t>
  </si>
  <si>
    <t>…7 dándonos tiempo 2 recoger el fruto de las mejoras ta j Por esto extraño sumamente que la minoría de la comisión se haya unido á la administración 7 demas que deben ocuparnos. . I1 mayoría en asunto tan grave, siendo asi que el Sr. García .Carrasco manifestó «En cuanto á las ventajas de la anulación del empréstito de Guebhard es jque de adoptarse io que proponía la minoría, no podría la Nación con la enor- cierto que son de alguna importancia; pero debe advertirse que como iba amor O me carga que se la imponía, y se vería precisada á hacer ba…</t>
  </si>
  <si>
    <t>…la volun mano hasta nuestros días. Los Reyes Godos, lejos de esmerarse en conservarla tad de los individuos, y en cuáles hay omisión de parte de estos.” como la babian dejado los dominadores del mundo, la adulteraron escandalo El Sr. García Carrasco : »*Me parece que si el Sr. marques, de Villa- samente mezclándola con un tercio de liga. Acunada con suma rudeza y desa campo no ha avisado aquí por los motivos justamente indicados pqr los Sres. - liño , corroída V gastada por la incuria de un pueblo ignorante y bárbaro, con preopinantes, á lo me…</t>
  </si>
  <si>
    <t>…lla comprendí» en los términos en que lo habían sido en las dis y Sr. marques de Villafueite, por las islas Canarias; y las de D. José Seinsjut cusiones respectivas á los mismos. y D. Esteban de Ayala, por la de Pueito-Rico. ’ El Sr. García Carrasco leyó el siguiente dictámen de la comisión de Ha Igualmente sé d ó cuenta de la elección de decanos y secretarios hecha por cienda respecto al proyecto de ley presentado por el Sr. Secretario del Despa las comisiones de Código penal, y la nombrada para examinar el proyecto de cho del mismo ramo sobr…</t>
  </si>
  <si>
    <t>…de,consiguiente .no se puede admitir el dictamen' de U cúmentos, como qué son muy voluminosos . quedaría aquí i disposición de la comisión”. .' . jh. comisión sí el Estamento lo tiene por conveniente. Si la comisión y demas Se El Sr. García Carrasco apoyó lo dicho por el Sr. CabaHéto. “ --f ñores Procuradores necesitaren algún otro- documento mas-qüe existiese y no Preguntado si estaba el punto suficientemente discutido, se declaró que sí. estuviese entre estos^ se lesfranqüeará.” Se leyó el dictamen de la comisión, y puesto á&gt;otac^on^fúe,!déí…</t>
  </si>
  <si>
    <t>…arse día para la discusión por no haber ley, bien sean presentados por órden de S. M., ó ya por los Síes. Procurado se formalizado proposición alguna.” res en virtud del derecho de petición, con arreglo siempre á las fórmulas del Sr. García Carrasco : «Pido que se lea el art. 110 del Reglamento. (Se Reglamento. En ningún otro caso se presentará en ios términos que se desea leyó). En virtud de él hago formal proposición para que se llame la atención para satisfacer solo fa curiosidad de algún Sr- Procurador.” del Gobierno » y mas particularment…</t>
  </si>
  <si>
    <t>…e la cuestión el Sr. Presidente para que pudiera de citados por su celo y amor á las libertades públicas, muy laudable, han hecho cidir el Estamento. preguntas al Gobierno, i que no ha tenido este por cnhveniente contestar. Yo El Sr. García Carrasco: " El Reglamento no autoriza, pero tampoco no creo que esta discusión pueda pasar adelante, porque no se puede obligar al prohíbe hacer esta clase de proposiciones. La decisión de este asunto compete Gobierno á que manifieste sus secretos si no lo cree conveniente. El Regla •sencialmente al Estamen…</t>
  </si>
  <si>
    <t>…«En resúmen. La guerra actual es guerra de ocupación : ocupación, en es trias fuesen destruidas, importará poco que sea por mala fe ó por un sistema ta sentido , es sinónimo de fuerza ; fuerza, sinónimo de dinero.” equivocado. El Sr. García Carrasco: «El Estamento deseaba saber el estado de la «Hoy mismo, hoy mismo se.desconfia todavía de esta Milicia urbana: guerra del Norte; pero sus deseos han sido infructuosos, habiendo solo conse se ha prohibido que se reúnan Jos batallones de la capital , donde otras veces guido ser inculpado. En todas l…</t>
  </si>
  <si>
    <t>…s restricción, que la de observar las leyes no en el tercer caso , que es cuando se trata de pagarlos, es cuando los emprésti derogadas por ¿1 mismo. tos pueden considerarse como contribuciones. La prueba palpable también , í «El Sr. García Carrasco, en virtud de un trabajo precioso, que el Estamento mi modo de ver, de que empréstito y contribución no es una misma cosa , es y la Nación deben agradecer , ha proporcionado documentos y noticias curio que la una se paga con la otra. Con las contribuciones se pagan los emprésti sísimas muy útiles p…</t>
  </si>
  <si>
    <t>…dose pre sabían que tarde ó temprano se había de restablecer el Gobierno legal. guntado si se admitía la propuesta del Sr. Domínguez , resultó no admitirse* «Se ha recordado aquí que los exirangerOs ignoraban nuestras leyes, y El Sr. García Carrasco: «Es tanto lo que se ha hablado ya en pró y en la protesta que las Córtes hicieron sobre el paiticular. No es esto muy exac contra, que apenas hay que decir; y si no fuera U materia tan grave, no debe to , pues no solo tuvo La publicidad que pudo dársele por parte de los es ría ya hablarse mas. Uni…</t>
  </si>
  <si>
    <t>…Gobierno y la de una,minoría tan conside ciones á diversos precios. rable. «Quien ba estado mas explícito y mas hostil contra este primer artículo «Es preciso también no perder de vista la necesidad que tenemos de acu ha sido el Sr. García Carrasco , porque ha vuelto á hacer uso de aquella pa dir ahora al.ciédito extrangero para nuestras necesidades. Si nos hallásemos en labra bancarrota, que suena muy mal y ofende al oido, queriendo comparar otro ca»o pudiéramos dejar de reconocer nuestra deuda sin ei mismo inconvela suspensión de pagos de u…</t>
  </si>
  <si>
    <t>…no nos compe Se d¡ó cuenta de una exposición de tres sargentos, uno de ellos graduarlo ter.; pues creo que no há lugar á deliberar sobre este negocio. de alférez, en que sé quejaban de que por haber cnarbolado una bandera azul El Sr. García Carrasco itisístió en lo ra imo, fundándose en que el Go Cristina se les habia foimado causa, y se encontraban piesos. bierno tiene sus facultades y las Cóttes las suyas. El Sr. Secretario del Des facha de hitado: «Yo deseo saber bajo qué as El Sr. Beldó: «La secretaría no se ha creído jamas con facultad pa…</t>
  </si>
  <si>
    <t>…tas quieren que el Rey tenga amplias facultades contra los demas, ción la indicación del Sr. López del Baño. pero no contra ellos; como se vio cuando fue fusilado Bessieres, que ponían Igual resolución recayó sobre la adición del Sr. García Carrasco por 4$ el grito en el cielo diciendo era una injusticia , y que ni aun siquiera se le ha ▼otos contra 4$* bía juzgado en regla como al infeliz Riego, 4 quien dios aborrecían. Me be Tampoco tomó el Estamento en consideración la siguiente del Sr. Belda, distraído de la cuestión, pero vuelvo 4 ella ai…</t>
  </si>
  <si>
    <t>…s del proyecto de ley claro que sí; y habiendo manifestado algunos S'ev que esto era de reglamento, (obre deuda extrangera y empiéstito de 4Ó0 millones. dijo el Sr. Presidente que por lo mismo que era de reglamento había hecho El Sr. García Carrasco hizo presente que la comisión de Hacienda por la leer los artículos anteriormente rtfcrido», porque podía haber habido alguna premura del tiempo no había pod.do hacer una especie de preámbulo para dar reclamac on según el modo de entender d-chos artículos. las razones que la habian obligado á redac…</t>
  </si>
  <si>
    <t>Carrasco, Garifa</t>
  </si>
  <si>
    <t>Garifa Carrasco</t>
  </si>
  <si>
    <t>…eservándome'aprobar o desaprobar los artículos semejanza tiene esto con lo que pasó aqui! del detámen , deberíamos proceder á la discusión de sus partes.” «Todos estamos conformes en el reconocimiento de los empréstitos de las El Sr. Garifa Carrasco ocupó la tribuna para rectificar algunos he Córtes,' y aun de los posteriores al año 23 hecho por el Rey. El de Guebhard chos, entre los cuales citó el que se había indicado por el Sr. Secretario del es la manzana de la discordia. Se dice que fue hecho por una facción; que se Despacho, de que las p…</t>
  </si>
  <si>
    <t>Carrasco, Gaspar</t>
  </si>
  <si>
    <t>Gaspar Carrasco</t>
  </si>
  <si>
    <t>…desempeñar la judicatura de este distrito. Era también preciso nombrar un auditor de guerra y marina, y recayó tras ffilas una multitud de pasados y dispersos. Muy pocós llegarán á Tarma, este nombramiento en el Sr. diputado Dr. D. Gaspar Carrasco, vocal de la punto á qiieJe dirigen. corte superior de Justicia del departamento de la Libertad. Hitos tres befcqm¿“ El 2P" de Eneró último, dia siguiente á la salida de los sediciosos, fue el go- ritos ciudadanos se comprometieron á servir sus empleos respectivos durante bienioo 3 Lima, y presenci…</t>
  </si>
  <si>
    <t>Carrasco, Gírela</t>
  </si>
  <si>
    <t>Gírela Carrasco</t>
  </si>
  <si>
    <t>…casa Reáll; y en esto no hay la menor duda , asi como zález Pérez, Hust, Martí, Carrón, Ayarzap Viilacfrica y Del Rey. tóaos sabemos los sacrificios que se han votado para póner al Gobierno en dis Se suspendió esja di&amp;usión, y el Sr. Gírela Carrasco ocupó la tribuna pa posición de asegurar .nuestra tranquilidad y futuro bienestar.” ra daf cuenta al Estamento del dictámen de la cornisón de Hacienda sobre el ' ' El Sr. Santafíi' »Pido sef pregunte si el punto está suficientemente dis ptoyetto de ley supletorio dedos presupuestos antiguos en tant…</t>
  </si>
  <si>
    <t>Carrasco, Manuel</t>
  </si>
  <si>
    <t>Manuel Carrasco</t>
  </si>
  <si>
    <t>…rcen constantemente tos conocí que era llegado el de castigar su audacia embistiéndolos á la bayo tumores de mal agüero cuando hablan de estos sucesos, y ademas el pueblo de neta. Comuniqué mis intenciones al capitán de cazadores D. Manuel Carrasco aquella república tiene un interés en fraguar especies funestas, y en anunciar sa , y se ejecutó el movimiento por su compaña y la de granaderos con tal ve las como consecuencia de la emancipación de los esclavos. Esto ¡leva la idea de locidad y órden, que aterrados los enemigos del denuedo y decis…</t>
  </si>
  <si>
    <t>Carrasco, Manuel Celestinp</t>
  </si>
  <si>
    <t>Manuel Celestinp Carrasco</t>
  </si>
  <si>
    <t>…Zl 4 cia general. corregidor vil,, teniente del Sr. Balsera, de esta —Por providencia . del tbs ,que derecho se crean cpn de húmero Sancha, sé cita i Oríhuela........ 2á3ídem,...' I4I so escribano bicoca del -.■y ■ : ■ ■ difunto D. Manuel Celestinp Carrasco, vKinó qoe fue de la misma, ‘ut desteló de á dedocítle dlez'dl,» precisos por dlcí y perentorios chmparecnan y s. "" fMP Rojtlei................. 2 á 4 • ** u 1 bajo apercibimiento de qqc n» hgciiíndole le»parará. da eKritnaia, EN LA IMPRENTA REAL</t>
  </si>
  <si>
    <t>Carrasco, Rufino García</t>
  </si>
  <si>
    <t>Rufino García Carrasco</t>
  </si>
  <si>
    <t>…Bourmont á D. Miguel, le libraría de .la nota odiosa que tleva consigo la imposición de contribuciones extraordinarias , y ba provincia di -/rrrrTT ria ver á toda la Europa que estaba sostenido por el pueblo, y no por una fac Sr. D. Rufino García Carrasco. ción militar. Por último, exigia el generalísimo que todas las brigadas, sin Sr. D. Diego González Alonso. .excepción alguna, fuesen mandadas por un oficial francés. Sr. D. Agustín García Atocha. Todos estos dictámenes fueron desechados por EL Miguel y por sus amigos y consejeros , Tos cuales reduc…</t>
  </si>
  <si>
    <t>…artínez de Montaos, del consejo de S. Mí, su secretario honorario, gefe de la cqtpision de donaciones Reales y exentos; de D. Joaquín María de Ferrer, rido hasta ahora, y por desgracia no sin haberse experimentado sacudimientos y D. Rufino García Carrasco, ambos del comercio; examine con el deteni- que la previsión mas díligerite y activa de un gobierno ilustrado no púédé á ve ces impedir 6 sofocar con la prontitud que deseara; pero sin embargo, ya, ve el ¡fnientp y madurez que corresponde tan importantes asuntos, y presente á la ayuntamiento en per…</t>
  </si>
  <si>
    <t>Carrasco-redamó, García</t>
  </si>
  <si>
    <t>García Carrasco-redamó</t>
  </si>
  <si>
    <t>…ministro*del mismo ramo, sedare deuda eztraugera y recuraos para salir El Sr. Secretario del Despacho de Hacienda pidió la palabra; y en se de los apuros actuales. Téngase presente que va é ejercer la principal de las fa guida el Sr. García Carrasco-redamó se leyese el art. 86 del reglamento. cultades ó prerogativas que le están sefialedas por las leyes fundaméntala y par Leído este , manifestó el mismo Sr. Secretario del Despacho que tu ob el Estatuto Rbai ; facultad que ejercida con la extensión que corresponde, jeto habí* sido tolo esclarecer el a…</t>
  </si>
  <si>
    <t>Carrascosa, Manuel</t>
  </si>
  <si>
    <t>Manuel Carrascosa</t>
  </si>
  <si>
    <t>…mpo entre muertos y heridos. un cazador contuso; y poner al mismo tiempo en su conocimiento el singular El gefe principal y muchos otros fueron llevados presos á la ciudad. (JCimes.) mérito que ha contraído el capitán de cazadora D. Manuel Carrascosa, digno por sus prendas militara y políticas de que lo recomiende V. S. al Gobierno, ____ Tenemos qué anunciar la sensible muerte del vicealmirante sir Miguel Sey- y también que se haga mención especial y honorífica de los tenientes D. Joa mour , qaballero comendador de la órden del Baño, y comandan…</t>
  </si>
  <si>
    <t>Carrascovqué, Manuer Celestino</t>
  </si>
  <si>
    <t>Manuer Celestino Carrascovqué</t>
  </si>
  <si>
    <t>…n de. Caminos las inmensas ventajas que prp» núsnéro Sancha* te cita á los que se crean con derecho á los bienes que han quedado ducirá la conclusión del ramsl.de carretera desde aquella ciudad i la «fe Tarra rpor faUecimléntírde D. Manuer Celestino Carrascovqué fue de esta vecindad , paro r que en «i término de 30 dial, comparezcan 4 deducirle por dicho juzgado y citada esgona; se propose promover' por cuantos medios aten k su alcance la construc ^cribania. •••,"• EN IA IMPRENTA REAL /■</t>
  </si>
  <si>
    <t>Carratalá</t>
  </si>
  <si>
    <t>…es dable pudiese subsistir una facción de este para apresurarme á formar la nota dé recomendaciones, resulta ya por los par número sin ser batida pOr el valor de las tropas que la perseguían y la decisión tes que he recibido del general Carratalá , que se distinguieron en aquella acde los volúntanos de Isabel n organizados en diferentes pueblos , dictó las dis ciofljnLbrigadier D.-Manuel Bretón , que cargó á fos enemigos á la cabeza de posiciones mas activas para que rápida y decididamente se castigase el atrevi 70 caballos del regimiento d…</t>
  </si>
  <si>
    <t>Carratalá, José</t>
  </si>
  <si>
    <t>José Carratalá</t>
  </si>
  <si>
    <t>…s del Conforme á lo mandado porjS. M. la Reina Gobernadora en Real Norte, y nombrar comandante general de las provincias Vascongadas al ma órden de 20 de Octubre último, deben ser admitidos á liquidación todos los riscal de campo D. José Carratalá. créditos contra el Estado, que no fueron presentados en el tiempo prevenido por Real decreto de 4 de Febrero de 1824- En su consecuencia, los acreedo res que se hallen en aquel caso, podrán presentar sus créditos desde este dia en la expresada comisión general de Liquidación, sita en el piso segund…</t>
  </si>
  <si>
    <t>…ora , por si mereciese su soberana que las tropas y los Urbanos de Cataluña, dirigidos por el digno segundo cabo aprobación y para los efectos de su conocida piedad en favor de los que han de aquel principado el mariscal de campo D. José Carratalá, según las instruc perecido, y los que se han distinguido en esta brillante jornada. ciones del benemérito capitán general D. Manuel Llauder, batieron vigorosa y »*Luego de dar algún descanso á la tropa, y anles de amanecer rae dedicaré £ completamente las fueras que Carnicer había reunido i la izq…</t>
  </si>
  <si>
    <t>Carrera</t>
  </si>
  <si>
    <t>…por haber sido aprobados en el otro presupuesto. dice, que las cuatro columnas del mando del general Espartero, de los briga M. Mercier propone «que los libros ó estampas que se den á luz por cuen dieres Benedicto é Iriarte y del coronel Carrera, persiguen vigorosamente á ta del gobierno, ó los que este adquiera por suscripción, se distribuyan única Castor y sus compañeros que están muy apurados. mente á las bibliotecas públicas de París y de los departamentos.” El ministro del Interior conviene con esta proposición, y la Cámara la aprueba…</t>
  </si>
  <si>
    <t>…eros necesitados na centraba sobre Vittabona para cooperar útilmente. turales de la misma, ¿ los cuales se distribuirá sopa económica, para lo cual catán acopiadas las primeras materias: el nuevo hospital del Saladero está com El coronel Carrera, que debe mandar la columna móvil de Alava , habia pletamente habilitado de todo lo necesario para su esmerado servicio: se ha dis llegado á Vitoria con el batallón de Mondoñedo destinado á reforzarla. puesto lo conveniente para que en la limpieza de los pozos se use el método desinfectante , y hoy…</t>
  </si>
  <si>
    <t>…os malvados cabecillas, no Jes daban crédito suponiéndo co, y todos los embajadores se las habían devuelto.0 (Gaceta de Augsburgo.} las falsas. i ^ El general Manso entro el día l.° en Burgos, y una columna de tropas al mando del coronel Carrera marcltó hacía Fancorbo. * ESPAÑA. Madrid S de Mayo. El cuartel general del general Rodil se hallaba el dia 1.® del corriente en Extracto del pirte dado con fecha de 3 de Abril por el secretaria de la Gouvéa, El anterior habían sido desalojados de aquellas formidables posiciones subdelegaron del fom…</t>
  </si>
  <si>
    <t>…uirlos; pero que también lo está de dispersión total de la facción de Castor, tanto que no tiene 50 hombres reuni que hay medio para mejorar Ja suerte de los pueblos y tranquilizar los ánimos, dos, he dispuesto que la brigada del coronel Carrera ocupe á Gordejuela , Oquiny que él mas eficaz de todos seria mejorar el sistema de contribuciones. do y Sodupe, con el objeto de que se presenten con sus armas todos los faeM. Coulmann habla también contra la contribución que carga sobre la sal. ' ciosos de aquellas inmediaciones; igual comisión le…</t>
  </si>
  <si>
    <t>…erecha hasta el puebhrdc-Le— - pérd ida .consiste en solo 22 hombres fuera dg rnmhitf , un «■pgfrntrr-y uñ mú caroz, mientras que por la línea mas corta, destruyendo los costados y demas sico muertos; tres oficiales heridos, y el brigadier Carrera con una contusión, obstáculos, me dirigia con uña compañía del 3.° ligero y algunos carabineros en un pie de una caída del caballo, que no le impidió seguir dando el mas no al-sitio del empeño; y dejando las monturas de esta parte del rio, por no ha ble ejemplo de bizarría, acompañándome á dirigir…</t>
  </si>
  <si>
    <t>…que hacian en todas direcciones. En los 12 dias que lós rebel dad, en lo cual también se distinguieron el capitán D. Luis Castró , ayudante des han estado en estas inmediaciones calculo que pueden haber consumido 3ü9 de campo dei brigadier Carrera, que lo recomienda mucho para la misma gracia. cartuchos. Las fuerzas que me han presentado son tries batallones navarros y ■ «Toáoslos carabineros de a pie ‘y á caballo ’se hicieron notar desde el- dos alaveses, y los cabecillas lbarrola y Lans con sus destacamento, y la junta principió hasta él f…</t>
  </si>
  <si>
    <t>…de presumir viniese alguna parte de la facción, como asi gunos caballos penetró en Portugal, dirigiéndose sobre los rebeldes, sucedió, me fue preciso dividir la cortísima fuerza de los urbanos que huyeron á la primera noticia. El coronel Carrera con sus tro de caballería, y de consiguiente me quedé en la morada del pue pas pernoctó el 7 en Chaves, y adelantando una pequeña vanguar blo con solo D. José Berano, á fin de que hallándome á la vista dia a la distancia de cuatro leguas al pueblo de Montealegre, se de todo pudiese obrar por la esp…</t>
  </si>
  <si>
    <t>…la augusta Reina. Gobernadora- Dios guarde á V. E. Sr. mariscal de campo D. Baldomcro Espartero, en Artaza y Galiana: la bri muchos años. Cuartel general de Muez 3 de Agosto de 1834-=Excmo. Sr.= gada- de,la 4-1, al mando del Sr. coronel Carrera, y la caballería del del Señor José Ramcn Rodil—Excmo. Sr. Secretario de Estado y del Despacho de la D. Bartolomé Amor, en Barnidano, cubrían el camino del valle de Allin por Guerra. la orilla dérécBa tfel rio Baquedano, y servían de reserva en segunda línea á la 5.*: la división al cargo del Bxcmo…</t>
  </si>
  <si>
    <t>…Excmo. Sr.; El Sr. comandante general de esta provincia salió el día 7 de esta villa con la columna de su mando, 4 la Los suscríptores á los nuevos Elementos de medicina operatoria, escrito en fran que se le unió en Orozco la del coronel Carrera el mismo dia, y al siguiente cés por Alf. L. Veipeau, traducidos por los Sres. Leclerc y Elizalde, pasarán á reco ger el primer tomo de dicha obra á las librerías de Sánchez y de Calleja, y en las en Villaro la del brigadier Jáureguí, que pernoctó en Ochandiano, adonde se provincias en las que se h…</t>
  </si>
  <si>
    <t>…bor con caja y 36 hombres. La actividad de este gefe y la del Dias. Existenciadia interior.del Invadidos. Curados. Tallecidos. capitán D. Juan Vázquez, han recogido del enemigo en los puntos indicados 196 fusiles. «La brigada del coronel Carrera recogió algunos en Sodupe, Gordejuela y Oquendo , y en el día en estos tres pueblos se habrán recogido como unos SO fusiles, y están reuniendo algunos mas , cuya operación se continuará hasta que se presenten todos, ó la mayor parte. Concluida que sea la recolección de las armas de estos dos pueblo…</t>
  </si>
  <si>
    <t>…tuadas; y finalmente con la parte principal de di demas países. Constantinopla 2i&gt; de Marzo de IftS/j.rrKl reis-effendi, El Adj. chas fuerzas se han compuesto las columnas del mando del brigadier Arif. ': / ' i., : Iriarte, y dej coronel Carrera, que el 6 del corriente emprendieron ItRVSlA. • ’ , sus operaciones, sobre los confines de Vizcaya. El brigadier Iriarte Berlín 17 de Abril. ' deshizo á Castor, en cuya persecución sigue; y el coronel Carrera se unió al general Espartero, habiéndose obtenido en consecuencia Los sangrientos desórden…</t>
  </si>
  <si>
    <t>…es-i huyeron píecipitadátnénté á la-noticia- qüé recibieron da i»-entrada de las tropas españolas én el territótio portugués, dirí* giéndpse al interior y á muchas leguas de distancia; y como el ob jetó de que estaba encargado el'coronel Carrera se había llenado Poetes,recibidos tnla- ¿/¿retaría Je Estado y del.Despacho dt la tan completamente, según las órdenes que tedia recibidas, regresó . Guerra. l á España en dos columnas después dé desembarazar dé enemigos tó* El Sr. Secretario del Despacho de la Guerra ha recibido direc . da aquella…</t>
  </si>
  <si>
    <t>…as del ejército y Urbanos. ' apacible ruido de U$ artes y oficios. . Entretanto las fuerzas de Galicia haciendo una incursión por Chaves, á las Cinco horas duró la lucha que concluyó á las cuatro de la tarde t no oyén órdenes del coronel Carrera, contribuyeron á que los míguelistas fugitivos de dose después ya sino uno ó otro tiro de fusil en algún punto aislado de las la parte de Entre Duero y Miño hubieran de abandonar las fuertes posiciones cailesíde la ciudad. Los insensatos cayeron de animo al ver el entusiasmo de las *kl Tamega, y pe…</t>
  </si>
  <si>
    <t>…dos, ha resuelto admitir la propuata de pos que huían por todas las alturas; que sabedor Ote que el general Espartero varia ayuntamientos que ofrecen construirlos á costa del vecindario, bajo la con dos brigadas , y ademas la del coronel Carrera, se dírigian hacia aquellos condición de que las fábricas en lo sucesivo no ,1a exijan el derecho de se valla , se había puesto en comunicación con ellos, avisándola del movimiento pultura. que emprendía para el valle de Gordejuela , en el que se avistó con dicho ge Insinúa que podría convenir para…</t>
  </si>
  <si>
    <t>…la autoridad soberana de la Ruina nuestra Señora deje El 26 te reunieron en Salvatierra las fuerzas del general eo gafe, coa loi de ser acatada y respetada , asi como el Estatuto Real que nos asegura nues del general Espartero y coronel Carrera, habiendo marchado el «fia anterior tra libertad con el restablecimiento de nuestras leyes fundamentales. Coruna hacia Guipúzcoa las del brigadier Jattregui. El coronel Amor coo su cabella 23 de Julio de 1834* = El conde de Cartagena.” ría Se adelantó 4 Vitoria, de donde el 27 salía un gran convoy…</t>
  </si>
  <si>
    <t>Carrera, D Félix</t>
  </si>
  <si>
    <t>D Félix Carrera</t>
  </si>
  <si>
    <t>…o real bácia Cita villa de Salvatierra para reunirme Lorenzo. con las columnas de Vizcaya*^ y Alava al cargo del mariscal de campo Don Debo elogiar la firmeza, decisión y arrojo del 2.° batallón del 4*° regi Bridomero Espartero y coronel D. Félix Carrera» que había mandado venir miento de la Guardia Real de infantería, que correspondió al uniforme que con la del brigadier Jáuregui , previsiva y muy oportunamente , sobre estos viste, distinguiéndose particularmente su compañía de cazadores , sin embargo puntos ó inmediaciones , conforme se lo permit…</t>
  </si>
  <si>
    <t>…yó el confiado y presuntuoso enemigo que tratábamos de retirarnos, «Recomiendo asimismo a la alta munificencia para la cruz de S. Feman cuando todas sus cornetas tocaron el ataque, bajando la mayor parre de sus do de 4-4 clase al brigadier D. Félix Carrera, para La de 2.a á su bizarro gefe puestos á cargarnos á la bayoneta con los gritos que tienen de costumbre. de P. M- el guardó de la Real Persona D. Antonio Ramírez; al intrepido «Poco tardaron sin embargo en reconocer que se habían engañado , y me teniente y comandante de la 1.a compañía de Gerona…</t>
  </si>
  <si>
    <t>Carrera, D Feliz</t>
  </si>
  <si>
    <t>D Feliz Carrera</t>
  </si>
  <si>
    <t>…. •&gt;Segun parece la acción de la Seiseira el 16 fue decisiva; pues ta Cruz de Viscargui, por la derecha de su falda, haciendo ir por D. Miguel no osó esperar en su decantada posicion-.de Santaren, y su izquierda á lá columna»del coronel D. Feliz Carrera; para tomar dichas alturas1, é interceptar el paso de Zornoza. Al llegar á la emihuye nácia Yelves.” nencia descubrida facción emboscada en los arbolados de Arechava- Yi en su consecuencia he determinado retroceder desde aqrii con las divisiones de infantería á pasar el Tajo por Malpica y Herrera,…</t>
  </si>
  <si>
    <t>Carrera, Félix</t>
  </si>
  <si>
    <t>Félix Carrera</t>
  </si>
  <si>
    <t>…ácia Cita villa de Salvatierra para reunirme Lorenzo. con las columnas de Vizcaya*^ y Alava al cargo del mariscal de campo Don Debo elogiar la firmeza, decisión y arrojo del 2.° batallón del 4*° regi Bridomero Espartero y coronel D. Félix Carrera» que había mandado venir miento de la Guardia Real de infantería, que correspondió al uniforme que con la del brigadier Jáuregui , previsiva y muy oportunamente , sobre estos viste, distinguiéndose particularmente su compañía de cazadores , sin embargo puntos ó inmediaciones , conforme se lo permit…</t>
  </si>
  <si>
    <t>…iado y presuntuoso enemigo que tratábamos de retirarnos, «Recomiendo asimismo a la alta munificencia para la cruz de S. Feman cuando todas sus cornetas tocaron el ataque, bajando la mayor parre de sus do de 4-4 clase al brigadier D. Félix Carrera, para La de 2.a á su bizarro gefe puestos á cargarnos á la bayoneta con los gritos que tienen de costumbre. de P. M- el guardó de la Real Persona D. Antonio Ramírez; al intrepido «Poco tardaron sin embargo en reconocer que se habían engañado , y me teniente y comandante de la 1.a compañía de Gerona…</t>
  </si>
  <si>
    <t>…propio día, que le remite el da ptocedentes de Valladolid, han huido con precipitación á la coronel comandante del centro de la línea de observación á Portu colegiata de S, Quirce, para desde allí atravesar el camino de Fran gal D. Félix Carrera, de los cuales resulta lo siguiente: cia nácia las Merindades, ó contramarchar á los montes de Oca: en Que con el fin de alejar de aquella parte de la frontera las par todos casos se han tomado las disposiciones mas activas para su tidas de facciosos que promueven la guerra civil en España, y qui p…</t>
  </si>
  <si>
    <t>Carrera, Feliz</t>
  </si>
  <si>
    <t>Feliz Carrera</t>
  </si>
  <si>
    <t>…un parece la acción de la Seiseira el 16 fue decisiva; pues ta Cruz de Viscargui, por la derecha de su falda, haciendo ir por D. Miguel no osó esperar en su decantada posicion-.de Santaren, y su izquierda á lá columna»del coronel D. Feliz Carrera; para tomar dichas alturas1, é interceptar el paso de Zornoza. Al llegar á la emihuye nácia Yelves.” nencia descubrida facción emboscada en los arbolados de Arechava- Yi en su consecuencia he determinado retroceder desde aqrii con las divisiones de infantería á pasar el Tajo por Malpica y Herrera,…</t>
  </si>
  <si>
    <t>Carreras</t>
  </si>
  <si>
    <t>…espíritu, ex lugar á ellos no evitándolos , por efecto de la entrada en Vizcaya de dos co tensión y recursos científicos con que se emprende esta publicación, podrán conocer lumnas de Castilla al mando del brigadier Iriarte y del coronel Carreras, y de se por eí prospecto que se distribuye gratis en la librería extrangeri de Dennp y C. la cooperación de otras tropas. calle de Jardines. Se suscribe en Madrid en la citada librería á razón de 30 rs. por tri mestre llevado á casa de los suscriptores, y de 36 para fuera de la corte, franco de po…</t>
  </si>
  <si>
    <t>Carresi, Joaquín</t>
  </si>
  <si>
    <t>Joaquín Carresi</t>
  </si>
  <si>
    <t>…e artículo, ó por mejor decir la excepción, no pude asistir tal, no fue válido en su origen , y aunque el Rey lo aprobó el dia 15 de Oc á las larras del Estamento: una grave indisposición me detuvo en cama, mas tubre , autorizó á D. Joaquín Carresi el dia 30 del mismo mes á que lo res no quiero aprovecharme ¿fe esta circunstancia, y declaro que si me hubiese ha cindiese. La cuestión principal á mi ver ya esotra. «Hay dinero recibido?&lt;H.iy llado en aquella sesión, mi voto hubiera sido contrario al reconocimiento de lugar á reclamaciones? Pues…</t>
  </si>
  <si>
    <t>Carril, D Fernando Vázquez</t>
  </si>
  <si>
    <t>D Fernando Vázquez Carril</t>
  </si>
  <si>
    <t>…ndo del subteniente D. Pablo Pas^ guelistas en Amarante y su retirada á Lamego; y con Tespecto á cual, y por Ja dd regimiento provincial de Befanzos á cargo de su las partidas carlo-migiielistas que aun se sostienen en aquel pájs capitán D. Fernando Vázquez Carril , el teniente D.; Leonardo fronterizo, el expresado capitán general, de acuerdo con el gober Bergado y el subteniente D. José Pimentel: el enemigo rompió nador de Valenza, tienen lomadas ^us disposiciones para extermi ün vivo?fuego, y despreciado por una y otra columna, los desalo narlas cuanto ant…</t>
  </si>
  <si>
    <t>Carril, Femando Vazqucl</t>
  </si>
  <si>
    <t>Femando Vazqucl Carril</t>
  </si>
  <si>
    <t>…establecer, como medida de órden , tribunales especiales para que salieron de Balmaseda, era él capTtan del regimiento provincial de Beian-*- \o cstiitcncioso-gubtrnativo i con el fin de fijar la clasificación que reclama el zos D. Femando Vazqucl Carril, con tropa de su cuerpo , que en esta como eorso fácil de los negocios entre los procedimientos de los agentes administra en todas ocasiones, mostraron su bizarría , igualmente qué el sargento 2.° del tivos y ios puramente judiciales. mismo regimiento Francisco Carro, que se distinguió en esta acci…</t>
  </si>
  <si>
    <t>Carril, Fernando Vázquez</t>
  </si>
  <si>
    <t>Fernando Vázquez Carril</t>
  </si>
  <si>
    <t>…subteniente D. Pablo Pas^ guelistas en Amarante y su retirada á Lamego; y con Tespecto á cual, y por Ja dd regimiento provincial de Befanzos á cargo de su las partidas carlo-migiielistas que aun se sostienen en aquel pájs capitán D. Fernando Vázquez Carril , el teniente D.; Leonardo fronterizo, el expresado capitán general, de acuerdo con el gober Bergado y el subteniente D. José Pimentel: el enemigo rompió nador de Valenza, tienen lomadas ^us disposiciones para extermi ün vivo?fuego, y despreciado por una y otra columna, los desalo narlas cuanto ant…</t>
  </si>
  <si>
    <t>Carrillo</t>
  </si>
  <si>
    <t>…a noticia de la mar cha inesperada de la columna que salió ayer de aquí al mando del brigadier D. Pedro Car rillo hizo retroceder á la facción á Obecuri y Bajauri desde el punto de Urarte, adonde se habla dirigido. La columna del brigadier Carrillo pernoctó a ver en Uzquiano, y ofrecien do mas ventajas la situación de Pariza se ha trasladado hoy a este pueblo, esperando para empezar sus movimientos noticias de la llegada de las tropas combinadas. A los comandantes de las guarniciones de la Puebla y Treviño he dado orden para que con fuerza de…</t>
  </si>
  <si>
    <t>…oponia á lo propuesto por el Sr. Secretario del' teria de suyo muy delicada la de la deuda extrangera , los Estamentos la habían Despacho de Hacienda. mirado con suma escrupulosidad como merecía, y por esto se habia retrasado El Sr. Carrillo contestó que habia creído 'oportuno hacerlo asi, por no la resolución de ella. presentar un voto descarnado; pero que ja había manifestado su disentimiento El Sr. Alcalá Galiano dijo que riendo su único objeto vindicar al Esta desde el principio. mento de toda sombra de inculpación, estaba satisfec…</t>
  </si>
  <si>
    <t>…provincia de Zaragoza; los del Sr. Don este voto particular^^ie^seiha-impresoycdrf ¿I acta.” Francisco Javier Isturiz , qúcld es por la de Cádiz, y los det Juan Frao- Eñ consecuencia se verificó la lectura del voto particular del Sr. Carrillo cisco Morate por la de Ouadalajara, igualmente los documentos justificativos de Albornoz, que dice asi: de la aptitud legal de los dos primeros, y una instancia del tercero solicitando Los deberes que me impone mi honroso encargo , y el deseo de cor su exoneración por no ser sus rentas de la clase…</t>
  </si>
  <si>
    <t>…ado: «Empezaré pon manifestar señor individuo dclacomísíon que $e ha separado de la mayoría. Respecto de- al Estamento que el díctatijfen de la mayoría de U comisión lo &lt;r^o «I menós la primera Odyó la primera razón del voto del ¡Sr. Carrillo), sobre que e! cm- conforme con los principios de justicia y de-legalidad. Al tratar de la druda - prestito de Guebhard fué intentado pero, no realizado por las juntas facciosas, extranjera, dividida la comisión que trató del asunto en mayoría y minoría,</t>
  </si>
  <si>
    <t>…luego i que sr este men de Ja comisión, no entraré en «1 análisis de la impugnación que el Sr. Ga-* enviaba cinco ilustres Proceres denlos que habían sostenido el parecer de su .Es liano ha dirigido contra el voto particular del Sr. Carrillo;.porque este Sr. di tamento, nombrar yo también del de Procuradores cinco señores de ios que putado lo hará con la ventaja-que le proporcionan los conocimientos.que lu habían votado con la mayoría. Sí él Estamento de ilustres Proceres Oslaba ce demostrado en esta materia, y tendrá esta buena ocasió…</t>
  </si>
  <si>
    <t>…pleos civiles según las graduaciones y años de servicios, como se practica en no y del F^tamento.” Prusta , Rusia y Austria , parecen ios medios de-conseguir el objeto. La pri Mi Sr. Medrano: «Acaso el no haber podido oir bien a! Sr. Carrillo me mera idea sufrirá sin duda fuerte opo&amp;icion; pero podrían estimularse los talen hará repetir varias de-sus observaciones. He suscrito la petición que discutimos; tos ¿ instrucción de los oficiales del ejército, para que por memorias y escritos porque desdé luego se me presentaron dos razones muy…</t>
  </si>
  <si>
    <t>…rsar su mayor parte , y reducirlos á un estado desastroso. de los admitidos á sellar hasta ahora, se le da este aviso para su conocimiento La columna del coronel Tolrá , que partió de la Guardia , combinada con y gobierno. la del brigadier Carrillo, procedente de Vitoria, ocuparon á Maeslú , y persii'u endo á la facción de Alava, la han forzado á refugiarse al valle de Arama- En la subdelegaron de maestrazgos de Ocaña se han de subastar diferentes yona en los confines de esta provincia con las de Vizcaya y Guipúzcoa. fincas en número de 2^0 ,…</t>
  </si>
  <si>
    <t>…124 al contado. Deuda negociable del 5 p. 100 á papel, 00. El gobernador militar de Alava con fecha de 8 del corriente remite co Id. sin Ínteres , 6 y 5* á 60 y 30 d. f. ó vol. pias de los partes que en el mismo dia le dirigía el brigadier Carrillo desde Vi- Acciones del banco español, 00. jlarcal de Alava, comunicándole que los facciosos batidos sobre Aramayona , CAMBIOS. por el brigadier Jáuregui se dirigían unos hacia el ralle de Arratia y poblacio Amsterdam 00. Paris , 16. [Cádiz £ b. Sevilla £ d. s £ d. Alicante ácorto pla-iCorufia &lt;x&gt;.…</t>
  </si>
  <si>
    <t>…que se haya sometido á las Córtes. El Estamento quedó enterado de que la comisión de Guerra habia nom Ei Sr. conde de lat Natas. «No se trata aquí de calificar ni el espíritu brado por su decano al Sr. Bution, y por secretario al Sr. Carrillo. de la representación ni la falta que cometen los individuos que representan. Yo Se dió cuenta de una eiposicion en que D. Manuel González Allende, entiendo que esta representación hecha por tres individuos no puede tener otro electo Procurador por Ja provincia de Zamora, hacia presente al Estamento resul…</t>
  </si>
  <si>
    <t>…Justicia y de Gobierno, ¿ la que asistía el Presidente, el Ministro mas an exposición del tribunal de que ha hablado el Sr. Secretario del Despacho.” tiguo y el fiscal togado. Y ¿qué negocios se despachaban en esta sala de Go fci Sr. Carrillo^. «La comisión ha tenido presente ese documento de que bierno? Las consultas ó negocios meramente consultivcs. No me' es desconocido ha hablado S. S. Lo ha examinado*, y aunque, como, ya he expresado antes, la el actual método, y creo que con las variaciones ocurridas no es tanto el cúcomisión ni sus ind…</t>
  </si>
  <si>
    <t>…, es absolutamente del geras, especialmente en Francia, se’hace una cosa análoga. El sistema propues Ministro, que tiene la responsabilidad en un gobierno representativo; y sí el to ahora no dudo será filosófico, como ha dicho el Sr. Carrillo; pero aun no Ministro falta, aquí está el Estamento y la Nación entera para residenciarle en están probadas sus ventajas, como lo estaban las del otro. Estoy, pues, en con secuencia mas por el sistema de hi comisión, que por el nuevo que se propone.” esta parte moralmente. »Vengo ahora á lo que el…</t>
  </si>
  <si>
    <t>…mas latitud; pero las consideraciones manifestadas deber al completo podría pensarse en esta economía. convencer de que el Gobierno no puede expresarse con mas ex.ensiony seguri «Por lo demas, en cuanto á las consideraciones del Sr. Carrillo (de Al dad en este asunto en que se administra por separado.” bornoz, convengo en* ellas en la parte que puedo hablar , no como Ministro Ei Sr. Ferrer: «La insinuación que acaba de bacpr el Sr. Ministro de h de la Guerra , sino como militar , porque todo lo que pertenece á la guardia Guerra es de l…</t>
  </si>
  <si>
    <t>…retan en el-presupuesto habrán de veri «Decir que si llegara á fallecer la persona que obtiene ese importante car ficarse sin esperar á las vacantes.” go, se nombraría otra que probablemente tendría tnenbr graduación militar y El Sr. Carrillo: «La comisión ya ha ocurrido á ese inconveniente, y ha opcion á menor sueldo, eso seria lo mismo que sucede con muchos gastos pro manifestado las economías que pueden hacerse al momento y las que deben es puestos , que no se llegan á verificar, y que han debido sin embargo-prevérse~*y perarse en lo…</t>
  </si>
  <si>
    <t>…es cuando se ha la autoridad que representa, á la cual están acostumbrados los pueblos. ijsta de lla en actual servicio, que cuando está de cuartel.” be tenerse presénte, tanto mas, cuanto es mu^dificil desarraigar por de pron El Sr. Carrillo manifestó que aunque la objeción del Si. Argiielles era to las costumbres de los pueblos, y atún ho/tmsmo se está experimentando la muy justa, no tenia ya lugar: que la comisioh había dicho que las economías desventaja con que luchamos por haberse anticipado ciertas medidas. Asi, pura, no eran toda…</t>
  </si>
  <si>
    <t>Carrillo, Angel</t>
  </si>
  <si>
    <t>Angel Carrillo</t>
  </si>
  <si>
    <t>…el lugar de'Pelugano ca desmedida seria beneficiada, no por los hombres de arraigoins del concejode Alfer, por la columna móvil de carabineros del truidos y ocupados en sus negocios, sino por los que nada tienen teniente coronel'D. Angel Carrillo. jDc resultas de este ataque y que hacer ni en qué entender, y á los cuales se les daría una ocu activa'persecución han abandonado i los cabecillas muchos délos pación funesta á la causa, pública, permitiéndoles la intervención ue los seguían, presentándose'á las justicias, y, dando pruebas los en e…</t>
  </si>
  <si>
    <t>Carrillo, Antonio Alexia Cjaliano y P Mariano</t>
  </si>
  <si>
    <t>Antonio Alexia Cjaliano y P Mariano Carrillo</t>
  </si>
  <si>
    <t>…Sr. E). Javier de Burgos um expo.icion que contenü la prtKc^ra que Sre«. D. Alvaro hlorcz fji'traHa , marques^de Mon?er!'r¿cn , D. Agustín Argue S. E. hacia contra la drcísión tomida por el Esramrnto en la anterior se»ion; lles, D. Antonio Alexia Cjaliano y P- Mariano Carrillo de Albornoz. cuya protesta preguntó al Estamento si le parecía que se le/ese en sesión pú Se mandó pasar á la comóipn de Eximen el nombramieñtd de Procer blica ó en secreta. ‘ del reino que ha remitido el Sr. marques del Vaile de Ritas P. Minucl El Sr. duque de Rtvas opinó* que dicha protesta debit…</t>
  </si>
  <si>
    <t>Carrillo, Baltasar</t>
  </si>
  <si>
    <t>Baltasar Carrillo</t>
  </si>
  <si>
    <t>…Irlanda , se gún se dice, por un año mas, ó hasta que esté resuella la cuestión sobre diez PROVINCIA DB GUADALAJARA. mos , lo que difícilmente podrá verificarse en la presente legislatura. {Ckronicle.) Sr. D. Gregorio García. Sr. D. Baltasar Carrillo, hacendado y ganadero. VI duque de Sajonia Meinungen, hermano de la Reina , desembarcó ayer en la aduana, .viniendo de Rotterdam á bordo del buque de vapor City Mcr— PROVINCIA DS TOLEDO. ehant.'Dos coches de su augusta hermana estaban ya preparados para recibir á Sr. D. Sebastian García de Ochoa, g…</t>
  </si>
  <si>
    <t>Carrillo, D Angel</t>
  </si>
  <si>
    <t>D Angel Carrillo</t>
  </si>
  <si>
    <t>…a -21 en el lugar de'Pelugano ca desmedida seria beneficiada, no por los hombres de arraigoins del concejode Alfer, por la columna móvil de carabineros del truidos y ocupados en sus negocios, sino por los que nada tienen teniente coronel'D. Angel Carrillo. jDc resultas de este ataque y que hacer ni en qué entender, y á los cuales se les daría una ocu activa'persecución han abandonado i los cabecillas muchos délos pación funesta á la causa, pública, permitiéndoles la intervención ue los seguían, presentándose'á las justicias, y, dando pruebas los en e…</t>
  </si>
  <si>
    <t>Carrillo, D Baltasar</t>
  </si>
  <si>
    <t>D Baltasar Carrillo</t>
  </si>
  <si>
    <t>…en Irlanda , se gún se dice, por un año mas, ó hasta que esté resuella la cuestión sobre diez PROVINCIA DB GUADALAJARA. mos , lo que difícilmente podrá verificarse en la presente legislatura. {Ckronicle.) Sr. D. Gregorio García. Sr. D. Baltasar Carrillo, hacendado y ganadero. VI duque de Sajonia Meinungen, hermano de la Reina , desembarcó ayer en la aduana, .viniendo de Rotterdam á bordo del buque de vapor City Mcr— PROVINCIA DS TOLEDO. ehant.'Dos coches de su augusta hermana estaban ya preparados para recibir á Sr. D. Sebastian García de Ochoa, g…</t>
  </si>
  <si>
    <t>Carrillo, D Gregorio García Sr D Baltasar</t>
  </si>
  <si>
    <t>D Gregorio García Sr D Baltasar Carrillo</t>
  </si>
  <si>
    <t>…ition bilí) se prorogará en Irlanda , se gún se dice, por un año mas, ó hasta que esté resuella la cuestión sobre diez PROVINCIA DB GUADALAJARA. mos , lo que difícilmente podrá verificarse en la presente legislatura. {Ckronicle.) Sr. D. Gregorio García. Sr. D. Baltasar Carrillo, hacendado y ganadero. VI duque de Sajonia Meinungen, hermano de la Reina , desembarcó ayer en la aduana, .viniendo de Rotterdam á bordo del buque de vapor City Mcr— PROVINCIA DS TOLEDO. ehant.'Dos coches de su augusta hermana estaban ya preparados para recibir á Sr. D. Sebastian García de Ochoa, g…</t>
  </si>
  <si>
    <t>Carrillo, D Pedro</t>
  </si>
  <si>
    <t>D Pedro Carrillo</t>
  </si>
  <si>
    <t>Gaceta de Madrid n.º 17 · suplemento</t>
  </si>
  <si>
    <t>…k huir: tal es el estado de abatimiento á que les ha reducido la tenaz persecución que han su frido dc;de que el Excmo. Sr. general en gefe dió principio á sus operaciones en Navarra. Como tres horas después he recibido o6cio del brigadier D. Pedro Carrillo, en el que me dice desde Maestú que á la una de la tarde salia con su columna en persecución de los facciosos que desde Altcha se dirigían paia Greñú , y que este movimiento lo ejecutaba ya reunido á la columna dél coronel Tolrá , consistiendo la fuerza de las dos en 1800 in fantes y 100 caballos;…</t>
  </si>
  <si>
    <t>Carrillo, D Ramón</t>
  </si>
  <si>
    <t>D Ramón Carrillo</t>
  </si>
  <si>
    <t>…n encargo dé intimar á los gefes de los cuerpos dq ' aquellas montañas que se sometan, depongan sus armas y destruyan sus fuertes, PROVINCIA ti SORIA, anunciándoles que en caso de no obedecer se recurrirá a la fuerza. La salud da Sr. D. Ramón Carrillo . marques de la Vilitefia. 3- hí. el B.ey Othbn continuaba siendo satisfactoria, y el amor de la tucion á St.D.D. Manuel Joaquín Tarancon. m Soberano, y la confianza de la misma en su» .intencionen aumentaba de día aa dia. (¿Monitor."} provincia db vaibncia. Sr. D. Pedro Fuster. J Sr. D. Juan Subcl…</t>
  </si>
  <si>
    <t>…e hallándolos conformes, era Tenían pedida la palabra en pro eL Sr* Gonxalet y «o contra el Sr. Cude dictámen que debían aprobarse. Asi se acordó. También dió cuenta de ha lío. En consecuencia dijo ber examinado la solicitud fiel Sr. D. Ramón Carrillo, marques de Vilucña, El Sr. Costo: "Hasta ahora no ha habido uno que *e haya opuesto é loa electo Procurador por la provincia de Soria, en la que solicita se le exonere principios de la petición, de tuerte que e! modo como están redactados los ar de dicho cargo por hallarse enfermo; y de qpe consid…</t>
  </si>
  <si>
    <t>Carrillo, Gregorio García Sr D Baltasar</t>
  </si>
  <si>
    <t>Gregorio García Sr D Baltasar Carrillo</t>
  </si>
  <si>
    <t>…n bilí) se prorogará en Irlanda , se gún se dice, por un año mas, ó hasta que esté resuella la cuestión sobre diez PROVINCIA DB GUADALAJARA. mos , lo que difícilmente podrá verificarse en la presente legislatura. {Ckronicle.) Sr. D. Gregorio García. Sr. D. Baltasar Carrillo, hacendado y ganadero. VI duque de Sajonia Meinungen, hermano de la Reina , desembarcó ayer en la aduana, .viniendo de Rotterdam á bordo del buque de vapor City Mcr— PROVINCIA DS TOLEDO. ehant.'Dos coches de su augusta hermana estaban ya preparados para recibir á Sr. D. Sebastian García de Ochoa, g…</t>
  </si>
  <si>
    <t>Carrillo, José Mánuel</t>
  </si>
  <si>
    <t>José Mánuel Carrillo</t>
  </si>
  <si>
    <t>…a que general de la plana mjvor y mi secretario de campana, y del adicto á la pla itacaba nuestra derecha se dirigió por los mpntes á cortar el camino de Segura, na mavor teniente D. Antonio Ugarte, que con mis ayudantes de campo Don José Mánuel Carrillo, D. Genaro Marta de Quesada y 0. José Francisco Bí— sobre el cual se hallaban los caudales y bagage, á los que cargó, pero fue re dondo, que distribuyeron mis órdenes en medio del mas vivo fuego coa la mayor chazada vigorosamente por la compañía del 4-° regimiento de la Guardia serenidad y valor; d…</t>
  </si>
  <si>
    <t>Carrillo, Pedro</t>
  </si>
  <si>
    <t>Pedro Carrillo</t>
  </si>
  <si>
    <t>…l es el estado de abatimiento á que les ha reducido la tenaz persecución que han su frido dc;de que el Excmo. Sr. general en gefe dió principio á sus operaciones en Navarra. Como tres horas después he recibido o6cio del brigadier D. Pedro Carrillo, en el que me dice desde Maestú que á la una de la tarde salia con su columna en persecución de los facciosos que desde Altcha se dirigían paia Greñú , y que este movimiento lo ejecutaba ya reunido á la columna dél coronel Tolrá , consistiendo la fuerza de las dos en 1800 in fantes y 100 caballos;…</t>
  </si>
  <si>
    <t>Carrillo, Ramón</t>
  </si>
  <si>
    <t>Ramón Carrillo</t>
  </si>
  <si>
    <t>…cargo dé intimar á los gefes de los cuerpos dq ' aquellas montañas que se sometan, depongan sus armas y destruyan sus fuertes, PROVINCIA ti SORIA, anunciándoles que en caso de no obedecer se recurrirá a la fuerza. La salud da Sr. D. Ramón Carrillo . marques de la Vilitefia. 3- hí. el B.ey Othbn continuaba siendo satisfactoria, y el amor de la tucion á St.D.D. Manuel Joaquín Tarancon. m Soberano, y la confianza de la misma en su» .intencionen aumentaba de día aa dia. (¿Monitor."} provincia db vaibncia. Sr. D. Pedro Fuster. J Sr. D. Juan Subcl…</t>
  </si>
  <si>
    <t>…llándolos conformes, era Tenían pedida la palabra en pro eL Sr* Gonxalet y «o contra el Sr. Cude dictámen que debían aprobarse. Asi se acordó. También dió cuenta de ha lío. En consecuencia dijo ber examinado la solicitud fiel Sr. D. Ramón Carrillo, marques de Vilucña, El Sr. Costo: "Hasta ahora no ha habido uno que *e haya opuesto é loa electo Procurador por la provincia de Soria, en la que solicita se le exonere principios de la petición, de tuerte que e! modo como están redactados los ar de dicho cargo por hallarse enfermo; y de qpe consid…</t>
  </si>
  <si>
    <t>Carrilloí, Baltasar</t>
  </si>
  <si>
    <t>Baltasar Carrilloí</t>
  </si>
  <si>
    <t>…por GrSliada', por enfermo. , pellín esc la. sesión del día 3 del 3ctual, cu que se trató de la exclusión de la D. José de Burgos y Tello. por id., id. Corona de España á D. Cárlos María Isidro Borbota .y. su descendencia; y que, D. Baltasar Carrilloí83ntique, jíóf Gliá8a1i}áirí",AfW id. se„&lt;Ljcsc al Gobierno cuide de hacerla en la imprenta Real en el mismo ta D. Joaquin María Ferrer, pqr Guipúzcoa, por hallarse comisionado en maño en que lo está el expediente y dictámen de la comisión sobre este partí- . Bayona por las autorida'dés‘ pVovinciale…</t>
  </si>
  <si>
    <t>Carrion</t>
  </si>
  <si>
    <t>…rano C D„ Era6cisoo&gt;, . Acuña, r-Diez; González, Fernandez López; Bclda, Visedo, Belmonte , Ciscar (D. José), Subercase, Rodríguez Pa— Blanco, Mantilla, marques de.Montévírgén,.Miranda.y Olmcdilla, Calderón terna, buster, Cuchas,'Caballero, Carrion,y Serranó (Don Ginet), de la Barca, Domínguez,marque»deEspinardo, Lasaiua, Palotea, Fuga, Ace- El Sr- Eresidmtt^sjMañanaj siendo los dias de:nuestra augusta REivA, vedo, Cáceres, .Morales.- Diez, de lo Cortina, De Pedro, Anaya ,,Crespo de Te «o seireunirá eLsEstamerito; pero seria de desear que lo…</t>
  </si>
  <si>
    <t>Carrion, Joaquín</t>
  </si>
  <si>
    <t>Joaquín Carrion</t>
  </si>
  <si>
    <t>…ole que por iguales causas ha indksido ya S. M. á los llido en mandar, á nombre de mi muy cara y amada Hija la Reina Doña RR. obispos de Calahorra, Santander y Pamplona, lo conveniente de que vi n , que una comisión, compuesta de D. Joaquín Carrion, ministro del siten personalmente sus respectivas diócesis en la parte agitada por tan destruc supremo Consejo de Hacienda» de dicho subdelegado D. Fermín Rodríguez, y toras discordias. Dios dcc.' de D. Gerónimo de la Escotara, vocal de la Real junta de Fomento de la ri queza dd reino, forme y me p…</t>
  </si>
  <si>
    <t>Carrion, Luis de UrrcjqlajD Joaquín</t>
  </si>
  <si>
    <t>Luis de UrrcjqlajD Joaquín Carrion</t>
  </si>
  <si>
    <t>…de la Bodega, decano; timo , qué entre otras cosas contiene lo siguiente: Se sabe que el D- Ramón Gil de la Cffidra; D. Gaspar Vigodet; D. Antonio congreso de ministros celebrará esta semana una sesión general, á Daban y Urrutia; D. Luis de UrrcjqlajD. Joaquín Carrion y que debe concurrir M. Ancillon. Las providencias que van i to Moreno. marse serán tales, que basten á desmentir los rumores injuriosos es Y para la plaza de secretario de dicho consejo á D. Mariano parcidos poy-periodistas extrangeros sobre las intenciones que falsa Milla. mente se atribuyen á los…</t>
  </si>
  <si>
    <t>Carroneo, Vicente</t>
  </si>
  <si>
    <t>Vicente Carroneo</t>
  </si>
  <si>
    <t>…l corriente se celebró en esta ciudad ía proclamación ¿t nuestra au El general Hore trascribe el parte dado el 23 pot el comandante de armas gusta Soberana, alzando el pendón de Castilla el caballero veinticuatro y te de S. Mateo D. Vicente Carroneo, del que resulta haber sido batida la facción niente de alférez mayor el Sr. D. Pedro del Prado y Mesía entre tn numeroso capitaneada por el cx-comandante de realistas D. Cosme Gobarsi , y Don concurso de gentes, y en medio de un regocijo que cs,?ámposÍble describir. Se Miguel de Soto, dejando tres…</t>
  </si>
  <si>
    <t>Cártos</t>
  </si>
  <si>
    <t>…ha interrogado á los ministros cesos que ha ocurrido en la Península. Yo quisiera saber si es verdad que un sobre la política interior y exterior, y la respuesta de lord Mclbourne ha sido buque cargado de armas y municiones para D. Cártos ha sido apresado por reproducir lol que habia dicho otras veces, á saber, que el nuevo gabinete se les cruceros ingleses. También deseo saber si nuestro gobierno ha contraido guiría el mismo sistema que el anterior; pues sus miembros mas podían lla algún empeño con la Francia para auxiliar á la ¡ov…</t>
  </si>
  <si>
    <t>Carvajaj</t>
  </si>
  <si>
    <t>…la ley no previese este caso? conde de Pinohermoso, duque de Osana, duque de S. Cárlos, marques de Cas- ¡Que sucedería si por una disposición explícita no alejase el riesgo de una falsa telar , conde de Santana, conde de Humanes, Sr. Carvajaj, marques de la Can interpretación ? Por todo esto soy de Opinión qúe el artículo debe redactárte delaria , Sr. Bardají, Sr. Alava, conde de Monterron , conde de Villafuertes, en los términos que lo he propuesto.” conde de S. Román, Sr. Navarro y Sangran , obispo de Teruel, conde de Cu Después de un…</t>
  </si>
  <si>
    <t>Carvajal, D Tomás González</t>
  </si>
  <si>
    <t>D Tomás González Carvajal</t>
  </si>
  <si>
    <t>…minados los documentos presentados por el Excmo. Sr. D. José de Cafran- taba padeciendo Ja enfermedad reinante de que aun está convaleciendo. 1 fcayitoa.hallaba arreglados; por lo que debían ser aprobados y admitido por El Excmo. Sr. D. Tomás González Carvajal manifiesta que le tiene pos Procer. trado en cama una erupción que le ba acudido á una pierna, por lo que ¡e ha . " Entraron i jurar y ¡tomaron asiento los Excmos. Síes, duque de S» Loren- . sido imposible acudir á la sesión del 11, ofreciendo hacerlo á las sucesiva» si ; ¡Miguel Ricardo de ALasra^…</t>
  </si>
  <si>
    <t>Carvajal, González</t>
  </si>
  <si>
    <t>González Carvajal</t>
  </si>
  <si>
    <t>…te» gcncraie» del Remo. En »u o msetu.::w&gt;a , y por hallarse dicho "deParga; marques de Heredia conde de Ofalia; conde de Sástago; conde de Sr. Ministro de Gracia y Justicia acompañando a M. ia Reina Goberna Parsent; Sr. Posadas; Sr. González Carvajal. dora, encared&gt;a al Minnlro de Estado desempañase su encargo. S. E. en cum De Guerra. Excmos Sres. marques de las Amarillas: conde de E'ptja; plimiento de este decreto pa»o á leer la exposición relativa a dicho objeto Conde de Teba; conde de Puñonrostro; conde de Cuba; duque de Castrolcrrc- Concluid…</t>
  </si>
  <si>
    <t>Carvajal, Tomas González</t>
  </si>
  <si>
    <t>Tomas González Carvajal</t>
  </si>
  <si>
    <t>…ría no había puesto en el acta su proposición, Martin Fernandez Navarrete, presente; Patriarca de las Indias, id.; D.. Ma jorque cuando había procedido á escribirla, el Sr. Secretario de Estado hab-a fi nuel García Herreros, id.; D. Tomas González Carvajal , enfermo; coritle de jado de tal modo la cuestión, que eL Estamento convino en que no había nece Castejon, id.; obispo Vallejo, presente; duque de Gor, id.; marques de sidad de sentar ninguna nueva proposición, ni por consiguiente la del Sr. Gar Guadalcozar , presente; conde de Guaqui, id.; duque…</t>
  </si>
  <si>
    <t>Carvajal, Tomás González</t>
  </si>
  <si>
    <t>Tomás González Carvajal</t>
  </si>
  <si>
    <t>…dos los documentos presentados por el Excmo. Sr. D. José de Cafran- taba padeciendo Ja enfermedad reinante de que aun está convaleciendo. 1 fcayitoa.hallaba arreglados; por lo que debían ser aprobados y admitido por El Excmo. Sr. D. Tomás González Carvajal manifiesta que le tiene pos Procer. trado en cama una erupción que le ba acudido á una pierna, por lo que ¡e ha . " Entraron i jurar y ¡tomaron asiento los Excmos. Síes, duque de S» Loren- . sido imposible acudir á la sesión del 11, ofreciendo hacerlo á las sucesiva» si ; ¡Miguel Ricardo de ALasra^…</t>
  </si>
  <si>
    <t>…da. la de al marques de de Nueva Espa Para la Reunión Guerra al general decano; á loa PARTE NO OFICIAL. Francisco teniente Javier Abadía; D. ña, mariscales de campo D- Felipe Montes y D. Gaspar Diruel, y á NOTICIAS EXTRANGERAS. y D. Tomás González Carvajal, ministro que fue del suprimido Con sejo de la Guerra. INGLATERRA. Para la de Hacienda á D. Antonio Martinez, decano; D. Fran Lóndres 8 de Abril. cisco López Alcáraz; D. Jacobo María de Parga; D. Niceto de Fondos públicos. Tres por 100 consolidados 90 • Larreta; D. José López Juana Pinilla. Ayer ll…</t>
  </si>
  <si>
    <t>…al R. obispo electo de Teruel D. Mariano Liñan: y para la clase de en su iinporlanLe salud. seglares á D. Ignacio Pezuela , del Consejo Real en la sección de Es— i Del mismo beneficio disfrutan SS. AA. RR. los Sermos. Se- lado; á D. Tomas González Carvajal, de dicho Consejo en la sección de Guerra; á D. Juan Nepomuceno San Miguel, fiscal del trihunali ñores Infantes. supremo de España é Indias; y fiara secretario á D. José Alcántara Navarro, que lo es de la patriarcal. Tehdréislo entendido, y lo co municareis á quien corresponda. = Está rubricado de…</t>
  </si>
  <si>
    <t>Carvajal, Tomas José González</t>
  </si>
  <si>
    <t>Tomas José González Carvajal</t>
  </si>
  <si>
    <t>…tercera condición, y el Sr. conde de Priegue no justificaba Quedaron enterados los Sres. Proceres de los oficios dirigidos por los Ex completamente la primera y segunda condición , hablan ofrecido verificarlo á celentísimos Sres. D. Tomas José González Carvajal, duque de Berwifc y Al Ja mayor brevedad. Enterado el Estamento aprobó el dictamen de la comi ba , cande de Cuba y O. Vicente Ramos García , manifestando no poder asis sión . tir á la sesión por hallarse en cama de resultas de las dolencias y enfermedades En seguida estos tres Excmos. Sres. precedi…</t>
  </si>
  <si>
    <t>Cas, Cristóbal</t>
  </si>
  <si>
    <t>Cristóbal Cas</t>
  </si>
  <si>
    <t>…Joscf Éocairente. (el ayuntamiento, justicia y claro de) ; d- lmar, consejero honorario de Estado y director general di .Aduanas en co— Burgos, (el ayuntamiento de) j misión; D. Luts Soxela, gefe de la Ordenación de presupuesto; D. Cristóbal Cas pe. (el ayuntamiento de) Bordiu, oficial de la secretaría del despacho de. Fomento reino ^ y D. Ge Constantino- (el alcalde mayor de) rónimo de ia Escosura, individuo de la junta de Fomento, *e ocupen en for Idem, (el ayuntamiento de) mar la planta que haya de tener la administración de Ú Real Haci…</t>
  </si>
  <si>
    <t>Casado, Bcrnardino</t>
  </si>
  <si>
    <t>Bcrnardino Casado</t>
  </si>
  <si>
    <t>…nuevos documentos presentados por el Señor Koviemhre. ................................................................................................. 160 Aranda, y opinó que en virtud de ellos debía aprobarse su poder por haber D. Bcrnardino Casado........................ 1.................................................. 20 cumplido etn la condición acordada en la sesión de ayer. Puesto á votación D. Francisco Pcrez Camino, 80 rs. mensuales, ha entregado losdel este djctápíen ¿ fue aprobado. presente*................................................................…</t>
  </si>
  <si>
    <t>Casado, Francisco Amero</t>
  </si>
  <si>
    <t>Francisco Amero Casado</t>
  </si>
  <si>
    <t>…......... 400 pro y en contra , y discutido el punto suficientemente, resolvió la junta que D. A. L. C. por ahora.......................................................................... 300 no erá admisible el expresado" poder. D. Francisco Amero Casado, 160 rs. y 100 mensuales hasta fin de La con»Í¿foü dió cuenta de los nuevos documentos presentados por el Señor Koviemhre. ................................................................................................. 160 Aranda, y opinó que en virtud de ellos debía aprobarse su poder por haber…</t>
  </si>
  <si>
    <t>Casals, Josef</t>
  </si>
  <si>
    <t>Josef Casals</t>
  </si>
  <si>
    <t>…oficio, que de Al diractor general de Propios digo con esta fecha lo que sigue: La direc- Real orden dirigió V. E. al R. obispo de esta diócesis, recibí un juego de mo I don general de Caminos hizo presente á este ministerio que D. Josef Casals y nedas acuñadas con motivo de la proclamación, que en esa corte se ha hecho, Jfiemisa, contratista de las carreteras de Jaén á Bailen y“de Granada á Málaga d* la Rbina nuestra Señora Doña Isabel ii. Me congratulo sobre manera de y Motril, le habla pedido que la sostuviese en las exenciones que le co…</t>
  </si>
  <si>
    <t>Casanova</t>
  </si>
  <si>
    <t>…gio se contase desde el dia en que llevase á madas mis disposiciones, la guerrilla del ala izquierda rompió el fuego , á cu afecto la introducción, porque estos privilegios son ¡mprorogables,.según el ar yo momento arrojándose el sargento Casanova, con inaudita intrepidez y ries tículo 3.° del Real decreto de 27 de Marzo de 1-826 , vigente en la materia. go de precipitarse por los barrancos, acompañado del soldado de su partida * Manuel Albear .cayeron sobre el grupo que apareció, y mostraba componerse Habiendo sido separado D. Juan Suirana…</t>
  </si>
  <si>
    <t>Casanova, Antonio</t>
  </si>
  <si>
    <t>Antonio Casanova</t>
  </si>
  <si>
    <t>…Torre, que lo eran del extinguido tropas en la Valaquia y Moldavia. Mas ¡cuál es el móvil de rodo Consejo: para las dos de relatores á D. Genaro de Rivas y Losa y esto! Lo único que sabemos es que la-escuadra rusa surta en Sebas D. Antonio Casanova,que lo eran primero y teFcerodel expresar topol está pronta á hacerse á la vela para Constantinopla á la pri do Consejo: para la de escribano primero de Cámara al q¡úc la des mera señal; que el Emperador Nicolás ha concedido ocho años empeñaba en el mismo D. Andrés Ramón de Abuin; y para lia de pla…</t>
  </si>
  <si>
    <t>Casares, José Antonio</t>
  </si>
  <si>
    <t>José Antonio Casares</t>
  </si>
  <si>
    <t>…con la mas injusta acrimonia la conducta del duque de Palmclla; y sin Chiva; a D. Francisco de Paula Caballero Infante, alcalde mayor de Don guardar consideración á los importantísimos servicios que ha hecho, y que han Benito; á D. José Antonio Casares, alcalde mayor de Santillana de la Mar; sido reconocidos con repetidos aplausos por todos los partidos ele la Cáma á D. Manuel Martínez , alcalde mayor de Villadiego; á D. Casimiro de la ra electiva, parece que se trata únicamente de hacer sospechoso á la opinión Piedra y Urrutia, alcalde mayor de…</t>
  </si>
  <si>
    <t>Casariego</t>
  </si>
  <si>
    <t>…nario, hacien Excmo. Sr.: Parece indudable que el Pretendiente se refugió á do también un particular elogio de la bizarría e incansable activi Santarem, según todas las noticias mas verídicas y contestes. dad, con que el referido teniente Casariego persigue á los enemigos El gobernador interinó de Almeida, pronunciada por Doña de S. M.; sobre cuyo recomendable mérito me habla también el María 11, me dirigió la adjunta carta por el comisionado, quien general Hore, á cuyas órdenes se halló en la sumisión de Morella, manifiesta que los prisioner…</t>
  </si>
  <si>
    <t>Casariego, Antonio</t>
  </si>
  <si>
    <t>Antonio Casariego</t>
  </si>
  <si>
    <t>…olicía que das i todas las reyertas habían tenido por hizo en este purtto obstinadísimo, y los tenientes graduados de capitán Don otros semejantes cantares, intimó ¿ estos hombres la orden de interrum Francisco Ignacio Martioez y D. Antonio Casariego con algunos soldados del pir sus vociferaciones músicas, y de retirarse á sus casas. Oyéronse poco des 13 , se hicieron admirar por la decisión que con su ejemplo inspiraron ¿ la tro opílalos gritos de al asesino*. al asesino*, y se vio que caía al suelo un hombre pa. Dos horas sostuvieron su posic…</t>
  </si>
  <si>
    <t>…el Mazarredo han realizado to del comandante D- Víctor Sierra, destinado con su columna/á hoy la batida que tenían proyectada. la persecución de facciosos. También el teniente graduado de capitán del mismo regimien to de Mallorca D. Antonio Casariego me dice desde el Toro en EÍ comandante de la columna' del regimiento provincial de fecha de antes deVyer, que en aquel día había batido en la Masía Toro D¡ Juan Llanos, y el de la de granaderos de la OuaTdia Real de Alcota-á la gavilla del mayorazgo de Sarrion, y esperaba volver provincial D. Rafae…</t>
  </si>
  <si>
    <t>Casariego, Cayetano Blanco</t>
  </si>
  <si>
    <t>Cayetano Blanco Casariego</t>
  </si>
  <si>
    <t>…re»: desde l.® de.Julioá 30 de Setiembre. y 32 para los géneros Panticosa. D. José Herrera y Ruiz: desde 1.® de Julio i principio» de que puedan inficionarse. Setiembre. Solo en Palertno y Me ASTURIAS. rina. Í - Caldas de Oviedo. D. Cayetano Blanco Casariego, en Oviedo desde 1S de in resto ae los puertos rusos, excepto los del mar» .. „ ,Q Mayo á 15 de Octubre. - Blanco.,1... ...................................................--J21 d ' y 28‘ CASTILLA LA NUEVA. América meridional, excepto el Brasil... . . .11"., Idem. Boston..;;....:............. !. i..…</t>
  </si>
  <si>
    <t>Casaseca, Amonio</t>
  </si>
  <si>
    <t>Amonio Casaseca</t>
  </si>
  <si>
    <t>…r el subdelegado del Fomento de la provin inmediatos , haciéndolo de la Escocía e Irlanda, no se falta ni a la- exactitud ni á la oferta, uniéndole al del núm. 10 que y» está en prensa. Sigue abierta la suscripción cia de Segovía D. Amonio Casaseca con fecha de 23 de Abril intimo. en los puntos que se anunció en el prospecto. Habla de la invasión de los facciosos en aquélla provincia,.la cual paralizó —En virtud de providencia del Sr. de Norzagaray, teniente corregidor de esta villa, todos los trabajos de la subdelegaron por la necesidad de a…</t>
  </si>
  <si>
    <t>Casaseca, Antonio</t>
  </si>
  <si>
    <t>Antonio Casaseca</t>
  </si>
  <si>
    <t>…entos de rique tá designado. zas y poderío: peleaba, en fin, para restituir al trono de S. Fer Dios guarde á V. E. muchosaños. Segovia 10 de Abril de 1834- nando su fuerza y su esplendor, sumamente debilitados después de rcExcmo. Sr.—Antonio Casaseca.=Excmo. Sr. Secretario de Esta la usurpación de Henrique 11. Su objeto era grande y glorioso: fue do y del-despacho del Fomento general del reino. el mismo que después llevaron á cabo los Reyes Citóiicos; fue el mismo que dos siglos mas tarde consiguió en Francia el cardenal Parte i que se rtjiere e…</t>
  </si>
  <si>
    <t>Casasecs, Antonio</t>
  </si>
  <si>
    <t>Antonio Casasecs</t>
  </si>
  <si>
    <t>…das las filas. . Enfermos. (SnvaéoSt ftltrcilu. - , - — — — . - cabezas de partldode la provincia. De 27&lt;4 29 de Junio. 33 6 3 Extracto del parte remitido por el gobernador civil de la provincia de Se EaóvtvctA D* AtrCAVTK. govia D. Antonio Casasecs con fecha de 15 de Junio actual. Con fecha 1.® del actual dice el gobernador civil de dicha provincia , que</t>
  </si>
  <si>
    <t>Casasola, D Diego</t>
  </si>
  <si>
    <t>D Diego Casasola</t>
  </si>
  <si>
    <t>…pital de ella , asi como en Lorca, ñía.de seguridad de esta provincia, de Badajoz, por la mitad del regimiento Tecla y Cotillas, continuaba la enfermedad su curso ascendente: acompaña ■ : provincial de Málaga 4 las órdenes ,de su coronel D. Diego Casasola , por Don asimismo el siguiente - -- Marised-Aloc&gt; Capitán comandante de Urbanos de Trujólo, y aun mas por el Parte sanitario de los pueblos que tu el se txpr’fsan. ’ odio.y execración de los pueblos, intentó refugiarse en Portugal. Ture aviso de m movimiento, i infiriendo su dirección fueron el di…</t>
  </si>
  <si>
    <t>Casasola, Diego</t>
  </si>
  <si>
    <t>Diego Casasola</t>
  </si>
  <si>
    <t>…ella , asi como en Lorca, ñía.de seguridad de esta provincia, de Badajoz, por la mitad del regimiento Tecla y Cotillas, continuaba la enfermedad su curso ascendente: acompaña ■ : provincial de Málaga 4 las órdenes ,de su coronel D. Diego Casasola , por Don asimismo el siguiente - -- Marised-Aloc&gt; Capitán comandante de Urbanos de Trujólo, y aun mas por el Parte sanitario de los pueblos que tu el se txpr’fsan. ’ odio.y execración de los pueblos, intentó refugiarse en Portugal. Ture aviso de m movimiento, i infiriendo su dirección fueron el di…</t>
  </si>
  <si>
    <t>Casaus, María Mercedes</t>
  </si>
  <si>
    <t>María Mercedes Casaus</t>
  </si>
  <si>
    <t>…víctimas del 2 de Mayoel 21 a Chamusca , cerca de Santarem , adonde fue visitado por D. Miguel, de 1808 en Madrid, ha cabido en suerte con el primer extracto de la de este;con quien tuvo una conferencia de mas de una hora. dia 4 Doña María Mercedes Casaus, hija de D. Joaquín, capitán que fue de Hay noticia de que el duque de Terceira se hallaba el 22 en Moimenla , es infantería, muerto en acción de guerra.decir, entre Lamego, Almeida y Viseo. bolsa de comercio.—Cotizacion de hoy d las tres de la tarde. Extracto del parte dado por el subdelegado del…</t>
  </si>
  <si>
    <t>Casaux, José Joaquin</t>
  </si>
  <si>
    <t>José Joaquin Casaux</t>
  </si>
  <si>
    <t>…te del gobierno turco. Mas de 81) buques griego* tes y á D. Blas Damián de la Vega: y para fiscales, á D. Claudio siguen detenidos sin obtener el firman de salida, ni para el mar Negro, ni pa Antón de Luzuriaga , de lo civil, y á D. José Joaquin Casaux para ra el Archipiélago, á pesar de U protesta formal que han hecho los capitanea lo criminal. Y es mi voluntad que cada uno ocupe el lugar que le contra los danos que esta tardanza les ocasiona. Para obviar Ules «convenientes, corresponda, según la antigüedad de sus primeros títulos. Tendréislo y…</t>
  </si>
  <si>
    <t>Casaux, Lorenzo</t>
  </si>
  <si>
    <t>Lorenzo Casaux</t>
  </si>
  <si>
    <t>…2. a Demostrada la'nccesidad de convocar lis Córtes, aun mas la de Granada; á D. Pascual Méndez Acuña, que lo es de la de fácilmente se prueba que lo que se ha hecho no ha sido sino res Sevilla; á D. JoséValdenebro de la misma; á D. Lorenzo Casaux, tablecer nuestras antiguas leyes fundamentales; coordinándolas de oidor de la audiencia de Granada, y á D. Buenaventura Asensi, ¡tal manera que adquieran para sí mayor vigor y fuerza, en prove- que lo es de la misma: en clase de alcaldes del crimen á D. Ma ¡che» común del trono y de los pueblos. N…</t>
  </si>
  <si>
    <t>Cascante, D José</t>
  </si>
  <si>
    <t>D José Cascante</t>
  </si>
  <si>
    <t>…s y 4 «n el Real hospicio, ha drugada: en »un intermedio se cantaron un dúo de Guillermo Tell y bf ro del bían sido invadidas 67 en el primer punto, y 14 en el segundo, quedando en .Barbero*de Sevilla, acompañados al piano por el profesor D. José Cascante, convalecencia 4-t.l cn aquel, y 206 en este. ______ __ ______ Durante el baile se sirvieron .refrescos de todas^clases. y se cóHcTuyy con un ambigú que estaba preparado de antemano en otra de las cuadras* Lá ciudad estuvo iluminada como en la noche anterior. ' EÍ día hu^50 las mismas colgaduras y…</t>
  </si>
  <si>
    <t>Cascante, José</t>
  </si>
  <si>
    <t>José Cascante</t>
  </si>
  <si>
    <t>…el Real hospicio, ha drugada: en »un intermedio se cantaron un dúo de Guillermo Tell y bf ro del bían sido invadidas 67 en el primer punto, y 14 en el segundo, quedando en .Barbero*de Sevilla, acompañados al piano por el profesor D. José Cascante, convalecencia 4-t.l cn aquel, y 206 en este. ______ __ ______ Durante el baile se sirvieron .refrescos de todas^clases. y se cóHcTuyy con un ambigú que estaba preparado de antemano en otra de las cuadras* Lá ciudad estuvo iluminada como en la noche anterior. ' EÍ día hu^50 las mismas colgaduras y…</t>
  </si>
  <si>
    <t>Casel, D José</t>
  </si>
  <si>
    <t>D José Casel</t>
  </si>
  <si>
    <t>…su tnarcha un vivo fuego, acudió oportunamente al punto de Bilbao, -f d. Santiago d. Jé acción, y la sostuvo con la columna de su mando. El referido coronel Ma zarredo hace especial recomendación del capitán graduado de teniente coronel D. José Casel y del teniente D. Sebastian Portillo, ambos del regimiento pro ANUNCIOS. vincial de Cuenca , qüe-con la fuerza qué puso á sus órdenes, se portaron bi Historia natural de la langosta de España, y modo de destruirla, por D. Gui zarramente. * llermo Bowies, con la instrucción dirigidaa los pueblos, para ext…</t>
  </si>
  <si>
    <t>Casel, José</t>
  </si>
  <si>
    <t>José Casel</t>
  </si>
  <si>
    <t>…cha un vivo fuego, acudió oportunamente al punto de Bilbao, -f d. Santiago d. Jé acción, y la sostuvo con la columna de su mando. El referido coronel Ma zarredo hace especial recomendación del capitán graduado de teniente coronel D. José Casel y del teniente D. Sebastian Portillo, ambos del regimiento pro ANUNCIOS. vincial de Cuenca , qüe-con la fuerza qué puso á sus órdenes, se portaron bi Historia natural de la langosta de España, y modo de destruirla, por D. Gui zarramente. * llermo Bowies, con la instrucción dirigidaa los pueblos, para ext…</t>
  </si>
  <si>
    <t>Casi</t>
  </si>
  <si>
    <t>…e que las demas aves domésticas, han sido en extremo maltrata escuadra de cuatro navios; el Sujfnn, de 100 cañones, capitán Mr. Parseval; das en los campos y en muchos corrales. Han perecido muchos cuadrúpedo» el Duquesne, de 80, capitán Casi; Néstor, 74, capitán Gaultier; Toulon, bajo el granizo, y se han encontrado algunos cadáveres humanos arrastrados id., capitán Baudieu; y de tres fragatas; la Dijo, de 66 cañones, mandada por por la corriente de los ríos, que han salido de madre. (Diario del Gers.) Regaudit, y en donde tiene su ins…</t>
  </si>
  <si>
    <t>Casi, Bcr</t>
  </si>
  <si>
    <t>Bcr Casi</t>
  </si>
  <si>
    <t>…upinier, Mole, (Times.) Sebastiani, Laffitte, Casimiro Perrier, mariscal Muison, Montalivet, Merilhou, d’Argout, mariscal Soult, Barthe, Girod de l'Ain, Humann, Thiers, Persil, Duchatel, Roussin, Jacob, duque de Bassano, Bresson, general Bcr~ — Casi todos los ministros visitaron ayer á lord Melbourne, el cual fue nard, Passy, Teste, Carlos Dupin. Total 32. después á Brighton para tener una audiencia de S. M. (Caurier.) ____ En la apertura de la Real audiencia de esta capital, después de las vaca __ Los embajadores de Holanda, de Bruselas, de T…</t>
  </si>
  <si>
    <t>Casimiro</t>
  </si>
  <si>
    <t>…os que ha hecho, y que han Benito; á D. José Antonio Casares, alcalde mayor de Santillana de la Mar; sido reconocidos con repetidos aplausos por todos los partidos ele la Cáma á D. Manuel Martínez , alcalde mayor de Villadiego; á D. Casimiro de la ra electiva, parece que se trata únicamente de hacer sospechoso á la opinión Piedra y Urrutia, alcalde mayor de la Isla de León; a D. Hilario Graccs* al pública á un portugués, altamente apreciado en Francia y en Inglaterra por calde mayor de Sala de los Infantes; á D. Bartolomé Felipe Almendro, al…</t>
  </si>
  <si>
    <t>Caso, Ana María</t>
  </si>
  <si>
    <t>Ana María Caso</t>
  </si>
  <si>
    <t>…en la contaduría general del ramo, 8 dias; aunque sin haberse atrevido ¿ internarse en ninguno de sus innumera ——Por providencia del Sr. Cortina, juez asesor general de la Real casa, y por la escri banía de Saena Tobia, se cita á Doña Ana María Caso, cuya existencia y paradero se bles valles, por el buen espíritu de qué se hallan animados los mas, y por ver Ignora, o a sus herederos, para que en el térmico preciso de 30 días acudan á dicho slémpre encima las tropas de mi mando. juzgado á percibir una pequeña suma de’su pertenencia procedente d…</t>
  </si>
  <si>
    <t>Casquete, Antonio de Alba y</t>
  </si>
  <si>
    <t>Antonio de Alba y Casquete</t>
  </si>
  <si>
    <t>…ato do la Reina nuestra bolsa oB couxRcio.^Cotizaciott de hoy á las tres de la tarde. . Señora r regalado al ayuntamiento por el regidor decano D. Juan Alonso San ' EFECTOS PUBLICOS. Jtajgqol: el cual, y el alcalde de primer voto D. Antonio de Alba y Casquete, . proclamaron los primeros el augusto nombre de Isabel ii al abrir el dosel des- •'inscripciones en el gran libra al 5 p. 100, 67 k JO ds. f. 6 vol. S á 40 ds. vol* al portador 6» p. f. 100, del Títulos ó ^ iglesia segundo de £1 alcalde del d¿ D- Andrés dia. la función primer £ues $6 á 4 5ó¿ conta…</t>
  </si>
  <si>
    <t>Castañares, Francisco</t>
  </si>
  <si>
    <t>Francisco Castañares</t>
  </si>
  <si>
    <t>….... 40 se dirige á París antes de trasladarse á Rusia. D. Manuel Sánchez Toscano................................................................. 160 ,___ IXas cartas de Ñapóles hablan de una sociedad ó club que se da á sí misma D. Francisco Castañares.......... .............................................................. 400 Un señor eclesiástico...................... 100 el título de aristocrática , y piensa reunirse en uno de los espaciosos salones del D. Juan Antonio López García................................................. 500 teatro de San Carl…</t>
  </si>
  <si>
    <t>Castañeda, Frfincisco Montalvo y</t>
  </si>
  <si>
    <t>Frfincisco Montalvo y Castañeda</t>
  </si>
  <si>
    <t>…sta omisión, y declaró estar conformé Coruña. eeD. Ramón Pardillas. el proyecto con lo aprobado sobre este punto. Puerto-Rico.ee: D. José Saint Yuste-. El Sr. Presidente: «No habiendo asunto ninguno pendiente, no se reu Habana. = D. Frfincisco Montalvo y Castañeda. nirá mañana el Estamento, y lo verificará el viernes á las diez para discutir Córdoba. ee D. Domingo Cañaveral. las peticiones que están señaladas. Ciérrase la sesión.” Se levantó esta á las 4* Soria, rr D. Luis San Clemente. D. Joaquín González Nieto. Ifota. En la sesión de 24 del actual, colum. 1…</t>
  </si>
  <si>
    <t>Castañeda, José</t>
  </si>
  <si>
    <t>José Castañeda</t>
  </si>
  <si>
    <t>…aquellos tes D. Joaquín Ramos y D. Miguel Mirambell: los capitanes D. Vicente malvados en Falset en las personas del capitán D. Miguel Sala, en eL teniente Llorens y D. Mariano López, el primero graduado de Teniente coronel; y el D. José Castañeda y el cadete D. Miguel, hijo del expresado capitán, todos subteniente D. Gerónimo Vidal, todos del regimiento de Bailen: el teniente del regimiento infantería de Bailen, 5.° ligero, del subteniente de voluntarios coronel capitán de carabineros de costas y fronteras D. N. López; y el sub Solé y otros v…</t>
  </si>
  <si>
    <t>Castañeda, Rafael</t>
  </si>
  <si>
    <t>Rafael Castañeda</t>
  </si>
  <si>
    <t>…rario á la derechos y libertad: es menester, pues, que' en las discusiones se observe lo que propuesta del Sr. Arango. dice la proposición, para que no vengamos á ser coartados en la manifestación Se dió cuenta de1 una memoria de D. Rafael Castañeda,.comandante de de nuestras opiniones por un partido cualquiera. No digo que estemos en ese Urbanos, en que hace varias-observación» sobre la ley de Milicia urbana caso; pero las vicisitudes de Jos tiempos son tales que podría llegar. Para que que debe formarse; y habiéndose propuesto que pasasen á…</t>
  </si>
  <si>
    <t>Castañon, Federico</t>
  </si>
  <si>
    <t>Federico Castañon</t>
  </si>
  <si>
    <t>…é extrangero. Se debe á la influencia de la Confederación germariiea Manso, y segundo cabo de la provincia de Aragón al teniente ge esra disposición ciertamente rigorosa por la relación que tiene coñ neral de los Reales ejércitos D. Federico Castañon. las ramificaciones de los movimientos demagógtdos que x. observad desde el mediodía al norte de Alemania. (Correep. de Hamburgo.J Igualmente ha tenido á bien hacer los siguientes nombra INGLATERRA. mientos : para cápitan general de Granada al mariscal de cam po D. Luis Balanzat: para igual destino de A…</t>
  </si>
  <si>
    <t>Castañon, Rodrigo</t>
  </si>
  <si>
    <t>Rodrigo Castañon</t>
  </si>
  <si>
    <t>…del Bastan, adonde vino en la escolta de los heridos en número para la de la Pola de Labiana á D- Facundo Vaidés He vi a: para la de 4u , que lo fueron en la acción de 1.* del corriente en Artara, y ha dicho de la Pola de Lena á D. Rodrigo Castañon: para la de Pravia á Don que toda la facción se hallaba desanimada, y los soldados muy estropeados y Benito Canilles Meana: para la de Villaviciosa á D. Juan González muy mal vestidos. A este le dirigen á la legión extrangera en Argel por ha Miranda : para la de Inlleslo áD. Vicente Miguel Vigil; y…</t>
  </si>
  <si>
    <t>Castaños</t>
  </si>
  <si>
    <t>…a.iendn: «Yo quisiera que‘ el se Estado mayor, á lo que contestó un Sr. individuQrdé la comisión que solo dos ñor Procurador me dijese qué deudas son esas; y explicándose, hablar¿” había que, cobrasen sueldo de tales, á saber: el general Castaños y el general El Sr. marques de 'Torremejfa: «Entiendo que son las deudas originadas Palafox,con cuya indicación convinieron el Sr. Secretario del Despacho de en el año de * 4 - • Hicícnda y el Sr. Butrón. El Sr. Secretario del Despacho de Hacienda: «Supongo ya de lo qué sfc El Sr. Calderón Collantes…</t>
  </si>
  <si>
    <t>Castaños, D Eustasio Nieto</t>
  </si>
  <si>
    <t>D Eustasio Nieto Castaños</t>
  </si>
  <si>
    <t>…úuto ¿scjhallaban por-ventura los defensores de ia Carta en los claustros El Sr. marques de la Torrecilla............................................ 4^00 de S^mMeri? en lae^ornada? de Abril ¿era en favor de la Carta por quien El Sr. D. Eustasio Nieto Castaños, mayordomo de los Fropios de esta ’ los insurgentes hieran fuego á la guardia nacional y al ejército? Cuando el Go M. H. Villa................................................................. .............................. 320 bierno Jia prfsentacjq y las Carnal han votado la ley sobre asociaciones…</t>
  </si>
  <si>
    <t>Castaños, Eustasio Nieto</t>
  </si>
  <si>
    <t>Eustasio Nieto Castaños</t>
  </si>
  <si>
    <t>…¿scjhallaban por-ventura los defensores de ia Carta en los claustros El Sr. marques de la Torrecilla............................................ 4^00 de S^mMeri? en lae^ornada? de Abril ¿era en favor de la Carta por quien El Sr. D. Eustasio Nieto Castaños, mayordomo de los Fropios de esta ’ los insurgentes hieran fuego á la guardia nacional y al ejército? Cuando el Go M. H. Villa................................................................. .............................. 320 bierno Jia prfsentacjq y las Carnal han votado la ley sobre asociaciones…</t>
  </si>
  <si>
    <t>Castaños, Ramón</t>
  </si>
  <si>
    <t>Ramón Castaños</t>
  </si>
  <si>
    <t>…entre rloa pueblos las plazas, calles, casas consistoriales¿ í$QÍÍDC&amp;, Hornos^ Fqénjcj, ellos parece hay bastantes de los que se titulan oficiales ? se lia cogido prisione lavaderos y demas objetos del servicio público. ro un tal D. Ramón Castaños, que fue oficial de la facción del año 23 , y La grande operación de la quinta queda concluida j y la completa organi según noticias ahora servia de capitán : si se averigua ser cierto lo pasaré por las zación de la Milicia urbana ocupa ahora una partí muy priricTfvál^de las aftenarmas según se me…</t>
  </si>
  <si>
    <t>Castcjon, Juan Antonio</t>
  </si>
  <si>
    <t>Juan Antonio Castcjon</t>
  </si>
  <si>
    <t>…qOe una nación, por sus propias exigencias, arrastrase i su aliada Extracto del pane remitido' por el. gobernador civil de la prevÍBri» «a* hacia la orilla de un precipicio. Pero ames al comrario , dirige aquel periódico Valencia D. Juan Antonio Castcjon con fecha de l.° de Julio actual. sus reconvenciones contra la Inglaterra. Supone que solo por rivalidad preten Se ha dado principio al desagüe del pantano de Navarrés, habiéndose apro de contrapesar la influencia rusa en ConstaniinopU; cuya influencia, dice , «ha . bado el reparto de duros que los…</t>
  </si>
  <si>
    <t>Castejon, González</t>
  </si>
  <si>
    <t>González Castejon</t>
  </si>
  <si>
    <t>…ligar á asistir al Estamento pues lo hará cuando quiera Ricardo de Alava, sin perjuicio de pertenecer á la de Marina. Para la de lo ó pueda; y que cuanta mas frecuente fuese la asistencia ai Estamento, y so Interior al Excmo. Sr. conde González Castejon; y parala de Hacienda at bre todo en las circunstancias difíciles y compromiso en que nos hallamos, Excmo. Sr. conde de Sania Ana",'por indisposición del Excmo. Sr. D. Jacobo tanto mas acreditaría su patriotismo; y que de consiguiente convenía con ei María de Parga. Sr. marques de las Amarillas en…</t>
  </si>
  <si>
    <t>…mismo denuedo que las tropas mas disciplinadas. González Vallejo, conde de Ofalia , duque de Bailen, patriarca de las Indias, •&gt;En el año de 1823 la heróica Milicia nacional de Madrid regó con su ' marques del Cerro de la Cabeza, conde González Castejon, conde de Guaqut, sadgre .las lineas .del .f rocadero y laa.bastías ^de la ¿la, jaditana^ pero sin -ir ^ obispo de Córdoba, obispo electo de Almería, duque de Gdr, Alvarcz Guer tan,dejo*,, sin mcgrfhn glpf qp -?[V*írór,?Sf l^r, cenizas humeando están aun de do» ra, marques de.S. Felices, marques dé…</t>
  </si>
  <si>
    <t>Castejon, Gonzalez</t>
  </si>
  <si>
    <t>Gonzalez Castejon</t>
  </si>
  <si>
    <t>…ponerse-en singular diciéndose podrá, en lo que acordó el da de en una provincia, que era. una errata de copia advertida por el Excelen Estamento; asi como en la variación del final del expresado articulo, que dice: tísimo Señor conde Gonzalez Castejon. «podrán haoerlo acerca de este los gefes del cuerpo por ooaduern del gober Art. 19- «En caso de invasión enemiga ó sublevación en una provincia, la nador civil de la provincia,” quedandp en estos términos: «podrá hacerlo Milicia urbana de la misma y de las limítrofes podrí ser llamada y organiza ac…</t>
  </si>
  <si>
    <t>…uno: pregunto yo: ¡el fiscal tendrá derecho de pedir que se me quito la ca Preguntado el Estamento si tomaba en consideración esta adición del Se sa? Claro es que sí, según se'hallá el artículo; pero claro está que no déberia ñor conde González Castejon.» acordó por la negativa. tetterloí| parquet yo estoy en posesión de la casa, aunque no presento el título. El ÉXcmo. Sr. Presidente manifestó, que teniendo la fortuna de hallarse ’La“¿isa ,':si'no es mié, tampoco es del Gobierno, y este debe respetar li pose- , en*esta Heróica Villa S. M ry.debiend…</t>
  </si>
  <si>
    <t>…cerró la de este dia. La comisión de poderes hallando arreglados los del Sr. D. José María López de Pedraja, electo Procurador por la provincia de Córdoba, como asi Nota. En la sesión del dia 13 se dijo equivocadamente que el Sr. conde González Castejon había sido nombrado para la comisión del interior: debe entenderse que lo mismo los documentos que los acompañaban, opinaba debían aprobarse. Asi fue para lá de Marina. \ se acordó. Entró á jurar y tomó asiento el Sr. marques de Monte virgen, Procura dor por la provincia de León. f ESTAMENTO DE PRO…</t>
  </si>
  <si>
    <t>…e algunaa-Rrovincias;-le#’’-1 láavarrelérpítriarca de las Indias; conde de Venadito; D. Ignacio de la Pezuemuchas trabas que se han quitado al desarrollo de la riqueza públi la; D. Juan Alvarez Guerra; D. EusebioBardají y Azara ; conde González Castejon; P. Ramón Gil de la Cuadra; marques de Montealegre, conde de Oñate; ca , el alivio concedido á los pueblos de varias exacciones onerosas, marques tic StarCruz; obispo de Córdoba; D. Justo María Ibar-Navarro; du y otras mejoras que se están preparando, os mostrarán mi solícito . que dé Rivas; D. Ant…</t>
  </si>
  <si>
    <t>Cástejon, González</t>
  </si>
  <si>
    <t>González Cástejon</t>
  </si>
  <si>
    <t>….. -ran/V Ai* ---- __fue ¿ peticinn-^lel Spr-mndt- fie P.iñnnrr&gt;&lt;tT-rt| D. Aiiaucl.de Ricardo de A!jvat. D. Pedro González Vallcjo, marques de El Sr. Presidente mamfeiró que el dia 19 del corriente hábil recibido del Albaidj y el conde González Cástejon, y por la de los Sre*. Procuradores Tos Eterno. Sr. E). Javier de Burgos um expo.icion que contenü la prtKc^ra que Sre«. D. Alvaro hlorcz fji'traHa , marques^de Mon?er!'r¿cn , D. Agustín Argue S. E. hacia contra la drcísión tomida por el Esramrnto en la anterior se»ion; lles, D. Antonio Alexia Cjal…</t>
  </si>
  <si>
    <t>…Si de Méjico, marques de Sta. Cruz, obispo D- Amonio Posada, marques de San Marcial, marques del Cerro de la Cabrea, duque de S- Lorenzo, marques del Sesión del día *¿7 de Diciembre, &lt;s. Salar , marques de Sta. Cruz y S. Esteban, conde González Castejon, obispo de Lugo, conde de Guaqui, obispo de Córdoba, duque de Gor, marqoes de Leída¿1-acta-de la saridnanterior rptedó aprobada, mandándose insertar 1 S. Felices, obispo de Barcelona, duque de Alba, marques de BesoHa &gt;-duque en ella el voto particular del Excmo. Sr. duque de Gor, contrarío al acuer…</t>
  </si>
  <si>
    <t>Castejon, Juan Antonio</t>
  </si>
  <si>
    <t>Juan Antonio Castejon</t>
  </si>
  <si>
    <t>…testas sinceras de su distinguida consideración y respeto. Dios v libertad. Extracto del parte remitido por el gobernador civil de la provtncia .de Sala capitular de Orizaba.Mayo 4 de 1834.=Excmo. Sr.=José María de Agui- Valencia D. Juan Antonio Castejon con fecha I.°de Agosto actual. lar.=Joaquin Fernandez , secretario. := Excmo. Sr. general D. Antonio López Excmo. Sr.: Él estado brillante en que se halla la agricultura en esta pro de Santa Ana , presidente de los Estados Unidos mejicanos. vincia puede servir de modelo á las mas adelantadas en est…</t>
  </si>
  <si>
    <t>…de números enteros, quebrados y decimales de dicha aritmética de Vallejo. Extracto del parte remitido por el gobernador civil de la provincia de Va Un accésit de medalla de plata sobredorada y cinta igual á) la anterior qualencia D. Juan Antonio Castejon con (echa de l.° de Junio actual. Ha continuado las gestiones para que se cumpla en su totalidad la Real ór- se concederá al niño de la misma clase que resulte mas acreedor á tal distinción. den de 12 de Abril último sobre la traslación de la cátedra de agricultura al Niñas. jardín botánico de aque…</t>
  </si>
  <si>
    <t>Castelaray, Miguel</t>
  </si>
  <si>
    <t>Miguel Castelaray</t>
  </si>
  <si>
    <t>…sos con la mayor decisión. Por sío, que la facción habia bajado á Urendez y Villanueva, donde último, el subteniente D. Juan Romero, sargento l.° de Borbon, se había reunido con los batallones de Uranga y Sopelana proce el cadete D. Miguel Castelaray, los cabos primeros Pedro Benito, den! es-de Barron, y no dudando entonces que su proyecto fuese Lorenzo y Bartolomé Súbete , los soldados Manuel Díaz , José Rael atacarme, dispuse que las dos columnas compuestas de unos 800 mell, el sargento l.° Manuel Alonso, el 2.a Cayetana Martínez, hombres, se…</t>
  </si>
  <si>
    <t>Castell</t>
  </si>
  <si>
    <t>…y es muy recomendable la decisión del teniente coronel cio satisfactorio. D. Bruno Ortiz de Zarate, comandante de cazadores de caballería, celadores de Alava, del teniente O. Francisco Gofii, que con tres caballos mas, unidos al capitán Castell, salvaron el ganado caballar y arrojaron i los enemigos ¿ la Madrid 24 de Agosto* masa de su fuerza. Del mismo modo debo mencionar con honor la conducta bizarra del Lie. D. Casimiro Martínez y de Francisco Valencia , ambos Urba En medio de las dificultades producidas por los funestos errores de lo…</t>
  </si>
  <si>
    <t>Castell, D Manuel</t>
  </si>
  <si>
    <t>D Manuel Castell</t>
  </si>
  <si>
    <t>…en el D. Ramón Barraceta extendió su disertación sobre la geografía de Fran prado; lo que no consiguieron , pues para impedirlo salió voluntariamente el cia; parándose principalmente en la parte comercial de las mas notables pla capitán D. Manuel Castell con 12 cazadores y algunos Urbanos de esta vHl* y zas, tanto marítimas como del interior, fijó en la carta su situación geográfica, voluntarios de Alava , componiendo entre todos el número de 20 hombres* y concluyó demostrando el fundamento de los cambios extrangeros y el modo fuerza que bastó para…</t>
  </si>
  <si>
    <t>Castell, Manuel</t>
  </si>
  <si>
    <t>Manuel Castell</t>
  </si>
  <si>
    <t>…ovincia de Alava,, cuya comisión fue perfectamente desempeñada por el ca Jateodien'eedirigiránvilla paga por separadolos memoriales,á uo mancebofrancosparadesangrarporte,y alayudarreferidoal cirujano.ayuntamiento,Los pre-en pitán D. Manuel Castell, teniente del regimiento infantería de Borbon, que fue el término de 15 dia*. EN LA IMPRENTA REAL.</t>
  </si>
  <si>
    <t>…. Ramón Barraceta extendió su disertación sobre la geografía de Fran prado; lo que no consiguieron , pues para impedirlo salió voluntariamente el cia; parándose principalmente en la parte comercial de las mas notables pla capitán D. Manuel Castell con 12 cazadores y algunos Urbanos de esta vHl* y zas, tanto marítimas como del interior, fijó en la carta su situación geográfica, voluntarios de Alava , componiendo entre todos el número de 20 hombres* y concluyó demostrando el fundamento de los cambios extrangeros y el modo fuerza que bastó para…</t>
  </si>
  <si>
    <t>Castellano</t>
  </si>
  <si>
    <t>…culativos de la Real familia des- este ministerio lo siguiente; «El gobernador de Vich me avisa que el rebelde tronadacLos segundos, es decir, los del partido del movimiento, ó á lo menos Targarona se ha refugiado á Francia, y el general Castellano y el gobernador la sección de republicanos que pertenece á él,' carecen también de gefes de in de Puigcerdá me anuncian haberlo efectuado igualmente varios facciosos de las fluencia dentro y fuera de la Cámara. El general Lafayette, que durante algún gavillas que se están persiguiendo. El Ros.de Eról…</t>
  </si>
  <si>
    <t>Castellanos, Basilio Sebastian</t>
  </si>
  <si>
    <t>Basilio Sebastian Castellanos</t>
  </si>
  <si>
    <t>…o á todo soscríptor. B1 primer tomo está.en prensa* -~-lt*bely libertad ¿ muerte+ alocución á la Milicia urbana de Madrid y defeocoadyuvado al socorro de ia de tlásenciá la ardiente caridad del timo. Señor sores de Isabel ii, por D. Basilio Sebastian Castellanos, empleado en la Real biblio obispo de aquella diócesis. * , " - . teca de S. M., é Individuo del tercer1 batallón de la referi&lt;¿ Miikia. Se veode á 12 Promueve igualmente la reparación del camino desdé aquella capital a la cuartos en las librerías de Razóla y en la de Bren. ritmad de Trujillo, y la…</t>
  </si>
  <si>
    <t>Castells, Miguel</t>
  </si>
  <si>
    <t>Miguel Castells</t>
  </si>
  <si>
    <t>…to conde Filippó. ducida á un regente , siete oidores, cinco alcaldes y dos fiscales. Y (Diario de Smimai) nombro para la plaza de regente á D. Francisco Olavarrieta, que Idem 20. actualmente la desempeña; en clase de oidores , á D. Miguel Castells , á D. Magin Ferrer, á D. Juan Hernández de Alva, á D. Vi Una persona fidedigna escribe desde esta ciudad con la indicada fecha lo cente Ruiz Morqueeho, ¿ D. Joaquín Lorenzo Lázaro, que lo son siguiente : »La peste que se ha declarado, en primer lugar en Jada y despoe* de dicha audiencia , á D. Fra…</t>
  </si>
  <si>
    <t>Castelvich, Blas María</t>
  </si>
  <si>
    <t>Blas María Castelvich</t>
  </si>
  <si>
    <t>Gaceta de Madrid n.º 129 · suplemento</t>
  </si>
  <si>
    <t>…imiento recibi un oficio del conde Armildez de Toledo en la artillería los oficiales del mismo D Ignacio Bayon , espitan Je 'a compañía que me aseguraba, que las dos brigadas que se hallaban en Navarra con la caba de carabineros; D. Blas María Castelvich, de la de caradores; D. Francisco llería, emprenderían el suyo según les teuia prevenido para el día de hoy. Figuerols, también capitán , y D. Joaquín Muc-as , subten-enie , que mezclán Durante mi marcha y sobre el pueblo de Ciordia, descubrieron las guerrillas dose con los grupos que penetraron ha…</t>
  </si>
  <si>
    <t>Casteüó, Andrés</t>
  </si>
  <si>
    <t>Andrés Casteüó</t>
  </si>
  <si>
    <t>…apel’rayado para música de MintcSon jordi y procederá seguD los datos que aquel le ofrezca. gul. en donde se acaban de recibir métodos del Adam francés traducidos al español. Ha visitado la fábrica dé tejidos de seda y algodón de D. Andrés Casteüó, tes------ideVtyapianoIsAOti!y guitarra.canciónEsta decomposicioncitala Milicia urbanade buencon gustoacompañamientosy fácil ejecuciunindependiense vendé , qt»e inviniendo capitales considerables en máquinas y en proporcionarse opera* 4 4 rs. en las librerías de Ríos, de la viuda de Cruz, y en el n…</t>
  </si>
  <si>
    <t>Castilla, Antonio María</t>
  </si>
  <si>
    <t>Antonio María Castilla</t>
  </si>
  <si>
    <t>…edro Henrique Monte ro: para el corrcglmicrito de Cuenca á D. Antonio Lafuentc: para el de Alcaere á D. Pinta león iVitini: para el de Barbastro á D. Anselmo Baquedano: PROVINCIA BE ZARAGOZA. para la alcaldía mayor de Campillos á D. Antonio María Castilla; para la Manifiesta su gobernador civil en oficio de 28 del mes próximo pasado de S. Clemente í D. Francisco Senen y Senen: para la de Murcia á D. José que en los. dias 25 , 26 y 27 curaron en aquella capital 14 personas, fallecie García Veigara: para' la de Cartagena á D. José Macho de Quevedo: pa…</t>
  </si>
  <si>
    <t>Castilla, Francisco María Sánchez</t>
  </si>
  <si>
    <t>Francisco María Sánchez Castilla</t>
  </si>
  <si>
    <t>…n, no depende de que se hayan alterado en lo mas José Simón Benavides; para la de Murcia £ D. Domingo Martínez Gal insoga; mínimo las relaciones amistosas éntre la Inglaterra y América, sino de las para el corregimiento de Coin £ D. Francisco María Sánchez Castilla; para el desavenencias entre el Presidente de los Estados-Unidos y el Senado, que no de Ronda £ D. Juan Manuel Caro y Mosquera; para la alcaldía mayor, de Al batí podido convenirse en la elección de un ministro. mería £ D. Diego Sevilla; para la de 5. Roque £ D: Francisco de Paula Lina Hubo un tiem…</t>
  </si>
  <si>
    <t>Castilla, Juan Montalvo y</t>
  </si>
  <si>
    <t>Juan Montalvo y Castilla</t>
  </si>
  <si>
    <t>…e todos-—. \ ~ ELECCION DE PROCURADORES DEL REINO. «Preséntense pues á la información aquellos que por sus estudios se hallan PROVINCIA DE LA HABANA en estado de combatir-en este terreno; el hecho que acabamos de citar nos au SfV D. Juan Montalvo y Castilla toriza á creer que no serán desechadas sus demandas. Miramos como una obli Sr. D. Andrés do Arango. gación nuestra darles este aviso.” PROVINCIA D8 PUERTO PRÍNCIPE. * •- • Sr. Dr José Serapio Mojarrieta. Con fecha 2 del corriente escriben de Tolon lo que sigue: «La escuadra que se baila en este pue…</t>
  </si>
  <si>
    <t>Castillo, Josef María'.deY</t>
  </si>
  <si>
    <t>Josef María'.deY Castillo</t>
  </si>
  <si>
    <t>…ballos, había atacado el día 27 en el pueblo de Oquina En 16 &lt;fe Jubfo del afio próxímó pasado S. M. el Sr. Rey D. Fernando vh á la facción del cabecilla Luzurlaga, á la que sin embargo de haber huido ^co I U sífVió aütóffiífr ‘l D. Josef María'.deY Castillo, abogado de los Reales con- bardemente pudo cogerle á su aproximación 4 cajones de municiones, una caja se'jo* y promiótcrfl'fisial de la subdelegado!* de montes y plantíos de la villa de de guerra, 23 fusiles y algunos prisioneros. sediéhfciá ufcié^diÓ^C *oua db cok sucio.__Cotización de hoy &amp; las…</t>
  </si>
  <si>
    <t>Cástres</t>
  </si>
  <si>
    <t>…vo enérgicamente realizado, y que S. M. bos y sargentos de todos grados de la guardia nacional ha concluido hoy con1 tiene la intención de mantefler' con vigof; Se dice que durante su mansión en grandes ejercicios mandados por el coronel Cástres, que hace cuatro años dirige S. Pétersbuigo el Príncipe Real de PrusiZ 'ha observado atentamente los pro esta escuela con un celo que le ha concillado justamente el reconocimiento y gresos extraordinarios de la marina militar rus*, y la Organización de los nu- estimación de todos los que han asisti…</t>
  </si>
  <si>
    <t>Castrillon, Agustín Alvarez Pato y</t>
  </si>
  <si>
    <t>Agustín Alvarez Pato y Castrillon</t>
  </si>
  <si>
    <t>…a autoridad de Urbano vm , de Inocencío.xi, de Clemente xí y últimamen Nosotros creemos que uno de los grandes males que produjo á España la di te corregido y aumentado por el Sumo Pontífice Benedicto xiv. Traducción castellaa de D. Agustín Alvarez Pato y Castrillon que conserva con exactitud el original. 0“ nastía' austríaca, fue haber separado el espíritu belicoso de nuestra nación, de tomo en 8.° mayor, edición de 1791, á 14 ts. pasta y 19 rama. la dirección que dió á sus conquistas Fernando el Católico. Africa era enton —■—Memoria dirigida al Rey de Franci…</t>
  </si>
  <si>
    <t>Castró, D Luis</t>
  </si>
  <si>
    <t>D Luis Castró</t>
  </si>
  <si>
    <t>…ives, sin novedad, á pesar del go, y me acompañaron.luego á, llevar la tropa á la carga con valor y sereni continuado fuego que hacian en todas direcciones. En los 12 dias que lós rebel dad, en lo cual también se distinguieron el capitán D. Luis Castró , ayudante des han estado en estas inmediaciones calculo que pueden haber consumido 3ü9 de campo dei brigadier Carrera, que lo recomienda mucho para la misma gracia. cartuchos. Las fuerzas que me han presentado son tries batallones navarros y ■ «Toáoslos carabineros de a pie ‘y á caballo ’se hicier…</t>
  </si>
  <si>
    <t>Castró, Luis</t>
  </si>
  <si>
    <t>Luis Castró</t>
  </si>
  <si>
    <t>…n novedad, á pesar del go, y me acompañaron.luego á, llevar la tropa á la carga con valor y sereni continuado fuego que hacian en todas direcciones. En los 12 dias que lós rebel dad, en lo cual también se distinguieron el capitán D. Luis Castró , ayudante des han estado en estas inmediaciones calculo que pueden haber consumido 3ü9 de campo dei brigadier Carrera, que lo recomienda mucho para la misma gracia. cartuchos. Las fuerzas que me han presentado son tries batallones navarros y ■ «Toáoslos carabineros de a pie ‘y á caballo ’se hicier…</t>
  </si>
  <si>
    <t>Castroterreño, Joa</t>
  </si>
  <si>
    <t>Joa Castroterreño</t>
  </si>
  <si>
    <t>…aprobada el act2. jico, id.; marques de Moncayo, id.; marques de Monreal y'de Santiago , prén Entraron á jurar, y tomaron asiento en el Estamenfo los Sres. duques de sente; marque* de Montcalegre, id.; marques*de Mónterron, id.; D. Joa-^ Castroterreño, y de Noblejas. qu¡n Navarro Sangran, id.; conde/ de Noblejas , id.; conde de Ofalia, id.; El Sr. dtfaue de Rivas leyó la nota pasada por el ministerio, de lo-» seño conde de Parsent, id.; conde de la Pezuela, id.; conde de Pinofiel, id;: se res Próceros deí Reino que no pueden asistir á las sesion…</t>
  </si>
  <si>
    <t>Catalina</t>
  </si>
  <si>
    <t>…n seriedad impasible. con lo que ahora defiende ? Doña J uana i, hija de D. Heorique, sucedió al tro Nada diré en punto á derechos , porque cuento con la franqueza y liber no de aquel reino en 1274= Juana n reinó en 1328- En fin, doña Catalina tad de la discusión; y espero que ella m&gt;sma demostrará lo absurdo de cuantas ciñó Ta corona por la temprana muerte de su hermano; y aunque la historia hipótesis se hagan sobre este punto. No esta catre los principios que profeso no ofreciese ni un solo ejemplo, nosotros deberíamos ahora establecer…</t>
  </si>
  <si>
    <t>Cataluña, Je</t>
  </si>
  <si>
    <t>Je Cataluña</t>
  </si>
  <si>
    <t>…a:, 1 s.mo ^reemas que el «.oridts V.ircv ha a Krighto* cs^n una misión de ron lqs «sce$o&amp; de que se le impuso autor. De Real orden &amp;c. Dios &amp;c. Ma dúuil natura le/a. "CV/on.a.íóí.'. ' drid 29 de Enero de 1834-=^aico.=br. ^apilan general Je Cataluña. ____ y nde’Gicv u'ivn aver de Brighton psT ia urde, é mmemaramente</t>
  </si>
  <si>
    <t>Catalura</t>
  </si>
  <si>
    <t>…n en los ánimos ds eco asi en la Nación como fuera de ella está tan amurallado el palacio de los ios señores que me han escuchado con tanta bondad." Reyes, que no llegue la verdad á penetrar en sus salones? Los Secretarios del El Sr. Catalura-, «Pocas serán las reflexiones que yo baga sobre una ma Despacho que han tenido la dicha deque en su tiempo restablezca S. M. las le- teria ya demasiado,controvertida. Me limitaré á hacer ver al Estamento que lá ¿yes fundamentales de la monarquía, y de que en su tiempo se abran esas puer causa princ…</t>
  </si>
  <si>
    <t>Catheart</t>
  </si>
  <si>
    <t>…deración con medidas coercitivas. contra lá Inglaterra, y esta debió en cambio adoptar todas las medida necesa rias para frustrar los insidiosos planes de su poderoso enemigo. Al efecto pre paró una expedición secreta mandada por lord Catheart, el almirante Gambier ___^Escriben de Francfort que el enviado del Rey de Holanda cerca de lá y el du^ué.de "Wellington, entonces sir A. Wellesley, que se hizo á la vela Dieta germánica ha protestado contra el. proyecto de poner las tropas y ’ en Agostó de aquel año, con el objeto de apoderarse de…</t>
  </si>
  <si>
    <t>Cátlos</t>
  </si>
  <si>
    <t>…coordinar y reasu dose consigo todos los heridos. mir en proporciones claras é incontestables todos los documentos relativas i la «Esta noticia la recibí al mismo tiempo que otra en que me anunciaban ciencia de la estadística.que D. Cátlos con algunas compañías se dirigia desde el valle de Erro á esto i Con este objeto ha publicado su importantísima obra un' profesar alemismo punto, por lo que ño vacilé un momento en trasladarme á él, verifi mán (1), hombre concienzudo y laborioso, dotado de una inteligencia vasta ycándolo por el cam…</t>
  </si>
  <si>
    <t>Catnpuzano</t>
  </si>
  <si>
    <t>…e trate con V. E. de los negocios &lt;da,l* religión católica en toda la extensión de la república de Haití; delibere con vos sobre Vierta 16 de Mayo* la elección de pastores que hayan de ser propuestos á nuestra institución canó El caballero Catnpuzano, embajador de España en ésta córte, está próximo nica; forme un clero nacionalestablezca una disciplina eclesiástica; satisfaga i salir de aquí con licencia temporal: qüe'dará en su Tugar un encargado de Ne las necesidades espirituales del pueblo, y para que con el favor y auxilios de gocios. , , V…</t>
  </si>
  <si>
    <t>Católica, Isabel la</t>
  </si>
  <si>
    <t>Isabel la Católica</t>
  </si>
  <si>
    <t>…es y por la filosofía histórica que contiene, la que vino en todas las ciado era del mismo Clemencin , y mas renombre le adquiriera, fue el Elogio épocas de su vida á endulzar, ya el desabrimiento que producen los negocios, de la Reina Isabel la Católica con las1 ilustraciones sobre su reinado, en las ya los sinsabores de su adversa foruna, es sin disputa alguna el Quijote comen cuales desplegó un caudal admirable de erudición y de filosofía, y consideró tado , del cuál, aunque ya concluido, solo dejó impresos tres tomos. Los demás aquella época cé…</t>
  </si>
  <si>
    <t>Católico</t>
  </si>
  <si>
    <t>…a diferencia que habia con respecto á este privilegio, el cual no era cuanto á estar en la inteligencia de ser muy justo el objeto á que se consagra confirmación dél Voto de D. Ramiro, ni extensión de este al reino de Gra ba , el Rey Católico, y cuantos han ofrecido votos ai Apóstol, no se han nada, sino concesión nueva por un motivo particular, cual era el reconoci equivocado en creer muy justo el objeto. ¿Cuál es este? El culto del Santo miento á la protección del Santo Apóstot en aquella gloriosa conquista. por los beneficios recibid…</t>
  </si>
  <si>
    <t>…encia que el Voto era verdadero, y muy justo ra casi en su totalidad. el objeto á que se consagraba. D. Ramiro nada dice del reconocimiento de A pesar de todo esto, señores, poderosas consideraciones de equidad, el «se Voto, y el Rey Católico dice que lo otorgaba á favor de la iglesia de ejemplo generoso que nos presenta el Gobierno de S. M., y la persuasión ín Santiago, en acción de gracias de los beneficios que la España debia al Santo tima que tenemos todos de que nunca se consolidará el bien público, á que se apóstol. Asi que , yo d…</t>
  </si>
  <si>
    <t>Catorce</t>
  </si>
  <si>
    <t>…...... 12,000 nos asi me parece haberlo visto en varias partes, y entre ellas en Anquetil al Idem sueldo de siete oficiales á 79 rs................ .. 49,000 hablar de las minorías en Francia. Seguramente que en nuestra Nación es don Catorce escribientes á 4&amp; rs. ios siete primeros, y 39 de ha habido mas minorías, y sin embargo no se citará uno, según creo, en lo? siete últimos.......................................................... 4^»^00 que se haya delegado este poder, al paso que siempre las disposiciones testa Ochó porteros, ímo…</t>
  </si>
  <si>
    <t>Catral, P Salvador Campillo</t>
  </si>
  <si>
    <t>P Salvador Campillo Catral</t>
  </si>
  <si>
    <t>…...... . 27 á 29 ídem. 78 19 2 Sr. P. Pedro Marti. PROVINCIA BE TERCER. Rojales........... . 30 Junio á 1.a Julio....... 12 00 I Sr. D. Juan Romero Alpuente. Cox.................. . 27 Junio á 2 Sr. P. Manuel de Pedro. . 201 6 48 Sr. P. Salvador Campillo. Catral. ...... . »30Julio............id. á 1.a Id. 17 83 8 PROVINCIA DE MADRID. Parte recibido en lo secretaría de Estado y del Despacho de la Guerra. - El geneial en gefe; del ejército de operaciones del Norte P. José Ramón Parte sanitario de VdlUcas en 7 de Julio de 1834&gt; Rodil, con fecha 4 del actual de…</t>
  </si>
  <si>
    <t>Caturla, Francisco María</t>
  </si>
  <si>
    <t>Francisco María Caturla</t>
  </si>
  <si>
    <t>…ubdelegado, que ha dispuesto que el de expósitos de Lorca se tras rigidos por sus dignos gefes, el primer comandante D. Francisco bantiaco v el lade á otrá casa situada en parage mas excusado, y está tomando los oportunos segundo D. Francisco María Caturla, habían hecho prodigios de valor, siendo informes para hacer las reformas que necesite su administración. por lo tanto acreedores á toda recomendación estos bizarros gefes, como los 'también las cárceles han sido objeto de su solicitud; y después de haber oficiales del mismo cuerpo los capitanes el…</t>
  </si>
  <si>
    <t>Caudillos, Cirios</t>
  </si>
  <si>
    <t>Cirios Caudillos</t>
  </si>
  <si>
    <t>…España. ♦&gt;E1 artículo 3-° d ce asi £lo loó). Como principio general es inexacto : ■ Hay una porción de categorías entre los conspiradores ó partidarios de inexacto, porque ia pjlabra perseguido no es propia ni conveniente; perse D. Cirios. Caudillos infames que no reparan en medrar sobre las ruinas de su guido nadie puede serlo, á lo mas lo será en juhio. Perseguido solamente; patria, y que han alucinado í uha multitud de ignorantes para que sirvan de esta palabra e&gt;tá en la carta francesa.de l83u, copiada de la que dió á la Fran instrumento á…</t>
  </si>
  <si>
    <t>Cauguoin</t>
  </si>
  <si>
    <t>…mismo lee otros dos decretos por los cuales S. M. eleva á la dignidad de Pares dos á fin de Diciembre. i los generales Bernarrf^ Aymar. - Acto continuo se jfctoeede al sorteo para componer las comisiones de 1» El 20 del pasado el doctor Cauguoin ha presentado á la academia de Cámara i rerificádd el-sórfeto’, el Prrtidéntfc lévínfa la sésiori. Medicina upa memoria que él ha compuesto, y que ciertamente .es del mayor ínteres para la humanidad y para la ciencia médica. En ella fe trata de los cámaia en ios nraoTAnós.__Sesión de idem. afectos…</t>
  </si>
  <si>
    <t>Caumartin</t>
  </si>
  <si>
    <t>…Sultán saldrán en el menor tiempo posible de la Alba modo; pero la Cámara, desechando la propuesta del Sr. de Tracy y adhiriendo nia, dejándola enteramente líbre , y entregando á solos los albaneses los castillos, al parecer del Sr. Caumartin, aprueba el párrafo 5.° en los términos siguientes: pasos y desfiladeros fortificados. *&gt; Movidos de nuestro sincero amor al bien público uniremos nuestros es bajo de estas condiciones, dicen , están prontos á continuar pagando el tri fuerzos á los que V. M. hace para abrir nuevos manantiales de pr…</t>
  </si>
  <si>
    <t>…es, renta de España, 3 por 100 37?. Empréstito Real de id. 73. Renta per se pide este crédito, y los graves inconvenientes que resultarán si U CAmara lo I petua de id. 59f. niega. I cAmara de los diputados__ Serio*i del dia 3» El Sr. Caumartin opina que en la Vendée no es necesario ni conveniente] que haya muchos gendarmas de caballería. El Sr. C. Dupin cree que se puede 1 ' Aprobada el acta de la última sesión, lee el Sr. Persil el dictámen de la acceder á lo que indica el Sr. Mercier, subsistiendo, ínterin la comisión del edfhision enc…</t>
  </si>
  <si>
    <t>Caumarttn</t>
  </si>
  <si>
    <t>…rtación de granos en Inglaterra, concluyó con pedir que se sustituyese mientos; y se aprueban los acj^ulos 2(1 á 29, ambos inclusive, y una adición | a la legislación vigente un derecho fijo y moderado sobre la importación de del Sr. Caumarttn, en todo Ic^ÜPPP^^jSfcermma »&gt;que los ayuntamientos pue granos extrangeros, concediendo aL mismo tiempo un premio á la exportación den pedir que se rectifiquen los repartos de las contribuciones que se cargan á ] de los cereales del país; todo con la idea de llegar poco á poco al libre comerlos pue…</t>
  </si>
  <si>
    <t>Cautnartin</t>
  </si>
  <si>
    <t>…la discusión de la minuta dé res La Cámara no adhiere á la propuesta del Sr. Teulon, y conformándose con puesta al discurso del Rey. la minuta, aprueba el párrafo 6.°, cuyo tenor es el que sigue: Leído el párrafo 5.°, propone el Sr. Cautnartin que se varíe la primera parte «Nos es muy satisfactorio ver que se difunde la instrucción elemental; que de él; pues si bien es cieno que la industria francesa prospera, y que esta prospe su ley orgánica ha de producir felices resultados; y que dando al pueblo una ridad reHuye en beneficio del Esta…</t>
  </si>
  <si>
    <t>Cavalcante, M</t>
  </si>
  <si>
    <t>M Cavalcante</t>
  </si>
  <si>
    <t>…Ñapóles , para ir á cruzar por el estrecho de Gibraltar, la fragata Regina Isabella , comandante — — Los papeles’ingleses hablan mucho de ciertos documentos publicados en los el Sr. Cosa, capitán de navio ; la corbeta Cristina , comandante M. Cavalcante, periódicos de Buenos-Aires , de los cuales se inferiría que ha existido un pro capitán de fragata , y la corbeta il Lampo , comandante el Sr. de Amico, te yecto por parte de España de reconocer la independencia de la América del niente de navio. Estos buques están á las órdenes del contralmirante…</t>
  </si>
  <si>
    <t>Caye</t>
  </si>
  <si>
    <t>…iladolid, ausente; cónde Montenegro; D. Gerónimo Valdes; D. Luís Balanzat; prímópe de Anglona; del Venadito, presente; duque de Veraguas, id.; D. Gaspar -Vigoáet, ídem; conde Armildez de Toledo; D. Miguel Tacón; D. Manuel Freiré; D. Caye marque» de VüUfucrtcs, id.; y duque de Zar.i¿o^a. tano Valdés; marques del Cerro; conde de Villanueva , y D. Jacobo María de El br. Presidente del Consejo de Mu.isiro» ie\ó un Real decreto expedi ^arga , con Real licencia. do por crl Sr, Secretario de Grdcia y Justicia, por d cual *c dignaba S. M-…</t>
  </si>
  <si>
    <t>Cayetana</t>
  </si>
  <si>
    <t>…siguen: - 1 gado; D. Diego López, eonwrciaíÉiW y propietario; P, Antonio SoIRLabógn**; 1T&gt; Los préáidérWft’dé lo* 'ay íih wniientd», y estos cuerpos mismos, son -lo» do y propietario: D. Marcelino Sánchez,lbótScdno y propietario; D. Cayetana aflos náftüraffrilSrte1 de la -ejecockm de tódo- lo concetoiehte i fomento que Zúfiiga, regidor y hacendado; D. Valentín Gutiérrez, regidor y hacendado; inetido especialmente i atgirta autoridad particular1, por órdenes pon- ............. lu— oí&lt;A á la értáctóil de aquel nüeío íftfHisferio, r i - •…</t>
  </si>
  <si>
    <t>Cayetanb</t>
  </si>
  <si>
    <t>…imitaciones torio de su dignidad de Próceres del reino los Excmos. Sres. D. Evaristo Perez contenidas en varias de sus disposiciones, los desvirtuaron y alteraron conside de Castro, ministro plenipotenciario de S. M. en Lisboa, y D. Cayetanb rablemente, haciendo la suerte de los compradores sumamente precaria , v sujeta Valdés. á riesgos y eventualidades. El reintegro del capital se hizo depender de la vida Otra en que trasladaba una carta del Excmo. Sr. conde de O-Reylli des del vinculista y de su inmediato sucesor, que hubiese consen…</t>
  </si>
  <si>
    <t>Cayetano</t>
  </si>
  <si>
    <t>…ento es solo poner en noticia del Es corriente para que leyese al Estamento la memoria de su ramo. tamento el C'tado del ramo de mi cargo, como lo he hecho con la mrmoriz La comisión de poieres, eft vista de la exposición del Sr. D. Cayetano que acabo de leer, y nada mas."’ García de la Maza, Procurador por Valladolid, pidiendo se le exonerase del Sr. López. -. " El br. Minótro de lo Interior nos dice que su deber en este cargo de Procurador por la enfermedad de la vista que padece , opinaba no ser momento es solo verificar la lectura…</t>
  </si>
  <si>
    <t>…los presos, del regimiento de Aragón, 2.° de ligeros, con sola cinco lltxicoo que lia re y que se pusiesen los ranchos para nuestro regreso. A poco rato de haber lle cibido en la escuela de dicho cuerpo, dirigida por su ayudante D. Cayetano gado i S. Román destaqué al teniente coronel D. Manuel Rodríguez S. Pedro, Cardero, leyó en tres distintos panga de un libro, todos de diferente grado Jo gefe de la plan* mayor de ala división, con la compañía de cazadora y uní de Utra. dé la del centro del batallón de Africa, para que dirigiéndose…</t>
  </si>
  <si>
    <t>Cayetano'García</t>
  </si>
  <si>
    <t>…por su situación social^,en Manuel Llórente y conde de Villagarcía, y la otra en la Cqroña , en que lo ha la prosperidad pública. En caso necesario se podría organizar la Milicia urbana sido D. Ramón Pardiñas; y una exposición dé D. Cayetano'García dé la ó nacional con una parte de estos antiguos militares que ocupasen los empleos Maza, electa Procurador por laprovihcía de'Vatládolid , en que manifiesta que civiles. _Por lo general éstos solo requieren exactitud , probidad y un cárácier sus achaques se van agravando mas , por lo que pide su e…</t>
  </si>
  <si>
    <t>Cayetano, D</t>
  </si>
  <si>
    <t>D Cayetano</t>
  </si>
  <si>
    <t>…momento es solo poner en noticia del Es corriente para que leyese al Estamento la memoria de su ramo. tamento el C'tado del ramo de mi cargo, como lo he hecho con la mrmoriz La comisión de poieres, eft vista de la exposición del Sr. D. Cayetano que acabo de leer, y nada mas."’ García de la Maza, Procurador por Valladolid, pidiendo se le exonerase del Sr. López. -. " El br. Minótro de lo Interior nos dice que su deber en este cargo de Procurador por la enfermedad de la vista que padece , opinaba no ser momento es solo verificar la lectura…</t>
  </si>
  <si>
    <t>Cbapuis</t>
  </si>
  <si>
    <t>…tenderse á mas, entender de muchísima gravedad, presentase un proyecto de ley para poner fre porque en un negocio en que la Inglaterra no estaba inmediatamente interesa no á semejante desorden. Concluye diciendo: "Convengo con el Sr. Cbapuis da, no era regular que el gobierno se empeñase en una guerra con las Poten en que si hay revoluciones, es por culpa de los gobiernos; pero la demasiada cias extranjeras. Por otra parte yo no creo que el estado de cosas hiciese un indulgencia e$ todavía mas peligrosa que la represión impolítica. Voto i…</t>
  </si>
  <si>
    <t>Ccfiola, Jaime</t>
  </si>
  <si>
    <t>Jaime Ccfiola</t>
  </si>
  <si>
    <t>…. ..................................................... En la punta septentrional dd'banco de arena’griega tiene 1» valízacrnra D. Aureliinó-dsBeruete..................................................................... ' 520 , " D. Jaime Ccfiola.. ...................................... . —......................... 2000 encarnada con banderola del mismo color, en fondo de !/r pies. La altura por D. Miooel Centín-ion.............................. ............................. ............... JÍO00 la parte del cabo de Taganrog á N. E. 45* La a…</t>
  </si>
  <si>
    <t>CD, Crónzale</t>
  </si>
  <si>
    <t>Crónzale CD</t>
  </si>
  <si>
    <t>…en este punto, se queda muy atrás para elogiar la decisión y heroísmo del en su concepto el párrafo se debía aprobar tal cual lo presentaba la comisiotw ejército español, que siempre ha sabido mantener una gloria de tiempo inme J Sr. Crónzale* CD, Antonio): ”Se ha dicho que no es tiempo todavía de morial adquirida. En vano han sido las tentativas mas soeces empleadas para establecer la libertad de imprenta, y yo erco que n*ft¿a se puede hacer mejor seducirle, y la comisión jamas ha olvidado que los valiemes de nuestro ejército que al consti…</t>
  </si>
  <si>
    <t>Cdalins</t>
  </si>
  <si>
    <t>…te hizo al principa» la dmaaúsa; pamnat pie no hemos embarazado tu estrío ea m zarra aigm; peunopeaaci hemos reducido á conloa*» » a zuna* «ber***MK», y prir'.mat pe - hemos lanudo de hablar ai final de ena damas, f a do oir.” El Sr. Cdalins: »Ms e* map tndUe catión. Por lo pie á nú Loe* no tendría tá aon opa» sa pe «i S tro, de Hacienda hablase, oí en pie tsirenet a Ttifliiir use ya lo han hecho, ú lo devoren; pero ao re «rea» i» pe el reglamento ¡ este reglamento, p: yo apa®* ynpeao *i)t yr *» mattnoa Síes. Secretario, del Doten. ho.…</t>
  </si>
  <si>
    <t>Cean-Bermudea, Juan Agustín</t>
  </si>
  <si>
    <t>Juan Agustín Cean-Bermudea</t>
  </si>
  <si>
    <t>…y car.ale». suscripción'es 6 rs. ‘tomo en Madrid y 7 eo las provincias. Consta dicha novela de 4 Madrid 26 de Enero de Id ¿4. tomos en 6 °, y de irlas de 6b pliegos de impresión. ... —En la librería de Sajo se venden las obras de D. Juan Agustín Cean-Bermudea que son: JUtepotya* pata la pida dft Excmo. Sr, jj. Gaspar Melchor te Jovel/anor V noticias analíticas de sus otras: un tomo en 8.° mayor, i 16 rs —-Dtsttloción ktí .Partes PeiHfidifs tnlaUcrstitría de Est&amp;da y del Despacho de la Guerra. hospital de ¡a Sangra da Sevilla, cuaderna eU t.» i 3 -------…</t>
  </si>
  <si>
    <t>Ceballos, D Pedro</t>
  </si>
  <si>
    <t>D Pedro Ceballos</t>
  </si>
  <si>
    <t>…i::- :: Parece que la esposa de Guibelalde ha salido de esta para lo interior del ESPAÑA. reino, en. virtud de orden superior, asi como la de Valdespina, Gastón y Zumaiacarregui. (Carta particular.) Madrid 28 de Agosto. El Excmo, Sr. D. Pedro Ceballos, antiguo ministro de Retado de los Se ___Aseguran que nuestro gobierno ha recogido el exequátur al cónsul de ñores Reyes D. Cárlos iv y D- Fernando vn (Q. E. E. Gt.), y su embajaPrusia en esta plaza, por haberse mezclado en aspntos relativos á los facciosos dor en varias cortes de Europa, ha suplic…</t>
  </si>
  <si>
    <t>Ceballos, Pedro</t>
  </si>
  <si>
    <t>Pedro Ceballos</t>
  </si>
  <si>
    <t>…:: Parece que la esposa de Guibelalde ha salido de esta para lo interior del ESPAÑA. reino, en. virtud de orden superior, asi como la de Valdespina, Gastón y Zumaiacarregui. (Carta particular.) Madrid 28 de Agosto. El Excmo, Sr. D. Pedro Ceballos, antiguo ministro de Retado de los Se ___Aseguran que nuestro gobierno ha recogido el exequátur al cónsul de ñores Reyes D. Cárlos iv y D- Fernando vn (Q. E. E. Gt.), y su embajaPrusia en esta plaza, por haberse mezclado en aspntos relativos á los facciosos dor en varias cortes de Europa, ha suplic…</t>
  </si>
  <si>
    <t>Ceillaldo, Francisco</t>
  </si>
  <si>
    <t>Francisco Ceillaldo</t>
  </si>
  <si>
    <t>…de esto se dispuso saliere at se hallan los susodichos, y no menos los tenientes del regimiento caballería dd trote el escuadrón del regimiento del Rey , T.° de línea, quien á pt*co rato avi Rey, l.° de línea, D. Ramón Ve lasco y D. Francisco Ceillaldo, y el sargento só h&gt;s tenia á la vista; entonces el benemérito corone! D. Manuel Obregon, to graduado de aiférez del mismo cuerpo D. Manuel López, los cuales manio mando ei escuadrón de cazadores de Isabel ti, salió igualmente al gran trote brando á mi vista en el servicio de guerrilla, y en cuanto…</t>
  </si>
  <si>
    <t>Cenarruza, D Pedro</t>
  </si>
  <si>
    <t>D Pedro Cenarruza</t>
  </si>
  <si>
    <t>…inta ha conseguido á fuerza de zelo unos resultados mucho mas ei 30 del que acaba una compañía de granaderos del regimiento de América ventajosos que los que podían esperarse, envista de la situación actual de aque mandada por el capitán D. Pedro Cenarruza, el que á pesar de ser en bastante lla provincia. fiúmero por hallarse juntos todos los cabecillas, jos atacó vigorosamente en U plaza del pueblo de Camps, de donde los arrojó, y de varias otras posiciones, Extracto deFparteVemitldo por el subdelegado de Fomento de la provin hasta dispersarlos por…</t>
  </si>
  <si>
    <t>Cenarruza, Pedro</t>
  </si>
  <si>
    <t>Pedro Cenarruza</t>
  </si>
  <si>
    <t>…conseguido á fuerza de zelo unos resultados mucho mas ei 30 del que acaba una compañía de granaderos del regimiento de América ventajosos que los que podían esperarse, envista de la situación actual de aque mandada por el capitán D. Pedro Cenarruza, el que á pesar de ser en bastante lla provincia. fiúmero por hallarse juntos todos los cabecillas, jos atacó vigorosamente en U plaza del pueblo de Camps, de donde los arrojó, y de varias otras posiciones, Extracto deFparteVemitldo por el subdelegado de Fomento de la provin hasta dispersarlos por…</t>
  </si>
  <si>
    <t>Cendreros, Francisco</t>
  </si>
  <si>
    <t>Francisco Cendreros</t>
  </si>
  <si>
    <t>…los guarniciones permanentes, el general Rodil parece haber compuesta de la 2.a conipañía del indicado regimiento de Borbon, mandada encontrado al fin un excelente medio para despojar á los Carlistas de la pacífica por su espitan D. Francisco Cendreros, y de Su caballos del 1.® de ligeros y 12 posesión del Bastan, y guardar para sí las principales llaves de la frontera. Sin húsares de la Princesa, al cargo todos del teniente del 1.® D. Juan Contreras, duda podrán aun los carlistas hacfcr incursiones en las gargantas de los montes que debía atacar…</t>
  </si>
  <si>
    <t>Cenon, Josef</t>
  </si>
  <si>
    <t>Josef Cenon</t>
  </si>
  <si>
    <t>…elentes comodidades en dos cámaras, Para tvarar de fletes se acudirá eo .esta corte a\ citado capitán , calle de las Fuentes , n 0 i, cuarto, principal de la izquierda; nes de los títulos ó rentas ai portador, á saber: eñ Cádiz á D. Josef Cenon, y en Barcelona i D. Josef soler y Carbooeil. ¡Lunes-, martes y miércoles: los que corresponden al 4 P°r 100. ■ ■ Se saca A pública subasta en la ciudad de Granada el suministro de camas- pasa Jueves y viernes: los que pertenecen aí 5 por 100. la tropa del ejército que guarqpce los presidios de MfX…</t>
  </si>
  <si>
    <t>Censurar, Primera</t>
  </si>
  <si>
    <t>Primera Censurar</t>
  </si>
  <si>
    <t>…l paciones que los ocasione el desempeño de sus destinos. bien del Estado: teniendo en consideración la virtud y letras de que Art. !).' Las obligaciones de los censores son: se hallan adornados D. Juan Manuél de Bedoya, canónigo cardenal Primera. Censurar los periólicns dentro del dia en que se los de Oi'énsé;-X). Qregorio Gisbert, abad de Arbas; D. Alfonso San- presenten los editores, y'con la brevedad posible los demás escritos cliéz Ahumada, canónigo de' Oviedo; D. Lucas Meló; el P. M. Era y que les remitan los gobernadores civiles. José de la Canal,…</t>
  </si>
  <si>
    <t>Centín-ion, Miooel</t>
  </si>
  <si>
    <t>Miooel Centín-ion</t>
  </si>
  <si>
    <t>….................................................. ' 520 , " D. Jaime Ccfiola.. ...................................... . —......................... 2000 encarnada con banderola del mismo color, en fondo de !/r pies. La altura por D. Miooel Centín-ion.............................. ............................. ............... JÍO00 la parte del cabo de Taganrog á N. E. 45* La aldea de TurzofFa N; O. E. ¿° Mangarate, á S. Ef 26-J. ' D. Pedro A&lt;f«o f Remon.:............................................................. .500 D J. G&gt;....................... ¿............. ........…</t>
  </si>
  <si>
    <t>Cepeda, D Luis</t>
  </si>
  <si>
    <t>D Luis Cepeda</t>
  </si>
  <si>
    <t>…llería, depar Bujaraloz. Trigo, i 16 rs. fanega: cebada, £ 7 id.: vino, á 4 rs. cántaro: tamento, se cita á rodos los que se crean con derecho á k&gt;s bienes que han quedado por aceite, i 44 rs. arroba. fallecimiento abimestaro del coronel D. Luis Cepeda, teniente coronel destinado at .Egea. Trigo, á 14 rs. fanega: cebada, á 6 id.: vino, i 4 rs. cántaro: enunciadono de 30 díasdepartamentocomparezcande Aporrt il si,lenao enporValprocurador,ladolid , |&gt;araen quedichoen eljuzgado,perentoriopor termila es aceite, á 42 rs. arroba. cribanía de JEostaquio…</t>
  </si>
  <si>
    <t>Cepeda, Luis</t>
  </si>
  <si>
    <t>Luis Cepeda</t>
  </si>
  <si>
    <t>…depar Bujaraloz. Trigo, i 16 rs. fanega: cebada, £ 7 id.: vino, á 4 rs. cántaro: tamento, se cita á rodos los que se crean con derecho á k&gt;s bienes que han quedado por aceite, i 44 rs. arroba. fallecimiento abimestaro del coronel D. Luis Cepeda, teniente coronel destinado at .Egea. Trigo, á 14 rs. fanega: cebada, á 6 id.: vino, i 4 rs. cántaro: enunciadono de 30 díasdepartamentocomparezcande Aporrt il si,lenao enporValprocurador,ladolid , |&gt;araen quedichoen eljuzgado,perentoriopor termila es aceite, á 42 rs. arroba. cribanía de JEostaquio…</t>
  </si>
  <si>
    <t>Cepero, Alanuel López</t>
  </si>
  <si>
    <t>Alanuel López Cepero</t>
  </si>
  <si>
    <t>…Alaría Garelly. viembre dé 1854.=A D. Nicolás Alaría Garelly. • 0 Atendiendo á los méritos y servicios prestados en favor de la Deseando que no sufra retraso la administración de Justicia Iglesia y del listado j«or el presbítero D. Alanuel López Cepero, y en primera.instancia por la supresión de :k&gt;g juzgados de provincia á usando de la reser\;a contenida en mi Real_ decreto de 9 de Atareo cargo de los alcaldes del crimen de* las audiencias, he venido en último, vengo en nombrarle paradla canongia de la santa metropolita^ mandar, qué en las capit…</t>
  </si>
  <si>
    <t>Ceraesti</t>
  </si>
  <si>
    <t>…Sndrej 20 de Julio. revolucionario, y expelido de su territorio á Iodos los cómplices. ■ Fondos públicos. Tres'por 100 consolidados 91'fi. Ayer M. Van'de Wtyer, ministro de Bé gica, el encargado de Nego- _____El marques Zappi, el conde Ceraesti dé Anconi, y el Sr. Sari! dc.Bo! - cios de Grecia, y ni embajador de. España tuvieron sucesivamente entrevista* ñia , desterrados de los Estados del Papa por cómplices en los movimientos re con lord Palmerston en la secretaría de estado. (Sun.) volucionarios acaecidos allí, han llegado S Ñipóles y…</t>
  </si>
  <si>
    <t>Cercos, Manuel</t>
  </si>
  <si>
    <t>Manuel Cercos</t>
  </si>
  <si>
    <t>…o Cai tarra á 5: Se hallará en el nuevo almacén de música, carrera de S. Gerónimo, nú* mero 23¡ en Cádiz en ^LiJe Moya, y en Valladolid enría librería de Rodríguez, con I ga y’ Antonio Gatnir, comisionados al efecto, el cabecilla D. Manuel Cercos los himnos publicados en el Universal para flauta y piano. [ y Jordán , teniente de caballería ilimitado, conocido por el Mayorazgo de Sar- —'—En la ciudad de Vitoria (Alava), se hallan vacantes dos plazas de maestro de i rioiy, fue ayer trasladado á esta ciudad , y prévios los auxilios cristianos, fia…</t>
  </si>
  <si>
    <t>Cerda, Agustin de la</t>
  </si>
  <si>
    <t>Agustin de la Cerda</t>
  </si>
  <si>
    <t>…Padu pcísion, dejando en poder de la mencionada columna tres carros ra, y á sus ayudantes D. Juan Zabala, capitán del 4-° ligero, y el cargados.de víveres , dos caballos y otros' efectos que se distribuye de la-misma clase y arma D.'Agustin de la Cerda, el teniente dé ron i la tropa!'- sin que estas ventajas hayan cosjacja mas que ser infantería, ilimitado D. Rufino Ipiña, y el alférez del 3-° ligero herido el subteniente de los cazadores de Isabel riD: PebrtdGauíiy D. Mámiel Parrefio. Por último, comprende su recomendación á y dos soldados contu…</t>
  </si>
  <si>
    <t>Cerda, Agustín de la</t>
  </si>
  <si>
    <t>Agustín de la Cerda</t>
  </si>
  <si>
    <t>…tra únicamente ha consistido en varios nadas las cantidades que les correspondan» contusos y heridos, siendo de estos últimos el subteniente de Africa D. Joa ------------ ' i '■ ■ quín Olea, y de los primeros ¿1 ayudante de campo D. Agustín de la Cerda . k xoua va Cotización de hoy 4 Ist tres de la tarde» ' de una caída del caballo en el acto de descargar una cuchillada ¿,un grupo da facciosos, de los.que sin embargo hizo un prisionero. MFMCTOS PUBLICOS. .Testigo presencial del comportamiento de todos por haberme siempre'en Inscripciones sobre el…</t>
  </si>
  <si>
    <t>Cerda, Agustín la</t>
  </si>
  <si>
    <t>Agustín la Cerda</t>
  </si>
  <si>
    <t>…ón y aprecio de V. E. el comandante de escuadrón D. Joaquín Somo BurdeosHamburgo,, 00.00. Barcelonazo par. á pesos fs. GranadaMálaga | 1 áId.par* DescuentoZaragoza } de&lt;L letras za, los ayudantes de campo D. Manuel de la Concha y D. Agustín la Cerda, Londres á 90 dia* I b. ¡Santander par. á 4 p. zoo al afio. que voluntariamente se unieron 4 la caballería en el acto de dar la carga, cuyo 87b Bilbao par. [Santiago 1 d* servicio han seguido prestando siempre que se ha ofrecido en la persecución del dia siguiente; el de igual clase D. Joaquín Bass…</t>
  </si>
  <si>
    <t>Cerda, Fernando de la</t>
  </si>
  <si>
    <t>Fernando de la Cerda</t>
  </si>
  <si>
    <t>…tido; mas á pesar de todo, los Procurador» del reino insisten en reconocer y Alfonso el Sabio que hace reconocer como su sucesora á su hija, nacida antes proclamar que' Doña Juana, su madre , era la Reina propietaria; y si con de D. Fernando de la Cerda: y como la jura lleva consigo un reconocimiento sienten en que mande á su nombre D. Cirios , « con tales miramientos y del derecho; como en aquel caso y en otros semejantes, no hubo n¡ pudo ha cortapisas que manifestaban que «ta condescendencia misma era un cacrifício que ber mas exclusiva que el n…</t>
  </si>
  <si>
    <t>Cerezo, Diego Fernandez</t>
  </si>
  <si>
    <t>Diego Fernandez Cerezo</t>
  </si>
  <si>
    <t>…ernoctar á Villafranca, como tengo indicado á V. S., si no tuviese á bien Par$ la de censor régio supernumerario de esta provincia, vacante por as prevenirme otra cosa. Dios &amp;c. Peralta 23 de Octubre de 1834^=E1 comandan censo de D. Diego Fernandez Cerezo á otra de número, se ha dignado nom te Antonio María Porta ,=Sr. comandante general de la merindad de Tudela.= brar S. M. á D. Gaspar Aguilera y Contreras. Es copia.=Sanjuanena. i Ultimamente ha tenido S. M. á bien aprobar el nombramiento hecho por El comandante general de Búrgos con fecha 24 del a…</t>
  </si>
  <si>
    <t>Cerilla</t>
  </si>
  <si>
    <t>…leprima de20 14 p.60 100.d. £ Orase, 6 prima de l p. TOft Id. sin intctes,llé y llf al cornados. 11J, |, 4, éyll^i varias fs. ó voL: 12 4 60 d. f. ó vol., 4 prinia de f p. 100. ) espsllol, 00. ' CAMIIOS.'' Aossterdsm, 00. par 4 4 d. Cerilla, 4 k BayonaVOO. __ vüetscu, 4 id. Surdeos , 00 OtaOéda.Td. Id. Zar4gc*a,|L &amp;...... HansburgoyUalm.k 00.VOdlas, Prneuuiink *p. 10Q«1dé,l«M%ato. qwttffgips EN LA IMPRENTA REAli</t>
  </si>
  <si>
    <t>Cérlos</t>
  </si>
  <si>
    <t>…cción, son muy perjudiciales en la actualidad para su fomento, y se opone siguiendo lo dispuesto por la misma Real cédula de erección, expedida por directamente 4 la igualdad legal. Por lo mismo se fijó en ella un término á estas D. Cérlos nr, en su arf. 66, habían caducado tales facultades y los privilegios 'disposiciones, y 4 pesar de haber espirado muchosafios hace, continúan todavía. de los colonos, que mas bien que privilegios podían llamarse en el dia graváme Según la misma, dispone el intendente é su voluntad de la propiedad d…</t>
  </si>
  <si>
    <t>Cerón, Francisco</t>
  </si>
  <si>
    <t>Francisco Cerón</t>
  </si>
  <si>
    <t>…a negociable de i p. 100 4 papeí,'l9* y 19* 160 d. f. vol." y firme. brar para la estafeta de Miranda á D. Mateo Iribarren, y para la de Lucena 4 Id. sin interes, II, i. ¡y 11.7 dieciseisavos el contado: 1 li, *, 4,12r 1H1 varia* D. Francisco Cerón. rs. o vol.: 12 y II* a varias fs. ó vol., 4 prima de * p. 100. 7 Accione, del banco español, 00. A- propuesta también de la dirección general de Minas, se ha dignado CAMBIOS. S, M. conferir la tesorería dé la inspección del distrito de Granada á D. José Amsterdam , 00. París , 16—I i 6. Cid Ja, 1*…</t>
  </si>
  <si>
    <t>Cerquero, Vicente Sánchez</t>
  </si>
  <si>
    <t>Vicente Sánchez Cerquero</t>
  </si>
  <si>
    <t>…spetado, las provincias respiren libres del terrible azo Gibraltar trabajada por D. José Luyando, rect¡fiada bajo de su dirección por te de los musulmanes, y-que florezca el comercio, tomando nuevas creces la el teniente de navio D. Vicente Sánchez Cerquero , y acompañada de una me población, la agricultura y las artes. moria analítica muy importante, para conocer y apreciar las fundamentos de su No solo ha constituido esta parte de la defensa da las Islas, según queda ejecución é inspirar confianza á les que hubiesen de necesitar hacer uso de ella. d…</t>
  </si>
  <si>
    <t>Cerrato</t>
  </si>
  <si>
    <t>…En efec llega uno del coronel D. Julián Olivares, comandante de la cplumna de \z% to á las cinco de la manaba nos encontramos con las justicias de Cuvíllas de Merindades, fecha de hoy , en que dice que con la de ayer le avisa el brigadier Cerrato con 20 hombres, la de Valoría de Cerrato con 12 , !a de S. Martin Iriarte desde Arciniega entre otras cosas: n Ayer me batí con la facción de de Balbení con 8, la de Olmos de Esguera con 6, Ja de Villarmentero con 11, Castor, y tuve bastantes heridos, entre ellos dos capitanes y un teniente que ale…</t>
  </si>
  <si>
    <t>Cervantes, Agustín Ramos</t>
  </si>
  <si>
    <t>Agustín Ramos Cervantes</t>
  </si>
  <si>
    <t>…unido i dicho general ao wtto.Ha dante mayor D. Miguel Tnrébano.y toda-comaodada por el comandante de ar— •e:"b« k «tuacion de ta»d¡vu¡ooes del mando del generaf Anleo y «1 briga mas de esta ciudad y!iu distirito teniente coronel D. Agustín Ramos Cervantes. dier Fíguerat. Añade dicho comandante general da las pnrrinciu Vaecoqgadat ■ Precedida de. cuatro batidores ¿ dió -principio la carrera en dirección ¿ 1¿ qtit «a mdecibleJa dificultad que experimentan las comunicaciones. parroquia , gúiadós de dosjóvenes ¿caballo, que alefecto fueron nombrado* é in…</t>
  </si>
  <si>
    <t>Cervantes, D Agustín Ramos</t>
  </si>
  <si>
    <t>D Agustín Ramos Cervantes</t>
  </si>
  <si>
    <t>…a había unido i dicho general ao wtto.Ha dante mayor D. Miguel Tnrébano.y toda-comaodada por el comandante de ar— •e:"b« k «tuacion de ta»d¡vu¡ooes del mando del generaf Anleo y «1 briga mas de esta ciudad y!iu distirito teniente coronel D. Agustín Ramos Cervantes. dier Fíguerat. Añade dicho comandante general da las pnrrinciu Vaecoqgadat ■ Precedida de. cuatro batidores ¿ dió -principio la carrera en dirección ¿ 1¿ qtit «a mdecibleJa dificultad que experimentan las comunicaciones. parroquia , gúiadós de dosjóvenes ¿caballo, que alefecto fueron nombrado* é in…</t>
  </si>
  <si>
    <t>Cervcra, D Manuel González</t>
  </si>
  <si>
    <t>D Manuel González Cervcra</t>
  </si>
  <si>
    <t>…e algunos de los nombres de Estado que le componían. Por 4.a y 5.a del batallón de (a columna guipuzcoana, 60 hombres de la columna lo demas justifican de todo punto lo que habíamos previsto recientemente; los de zapadores con su capitán D. Manuel González Cervcra, que forma U guar nuevos miembros del gabinete pertenecen , según el testimonio de la prensa in nición de di;ho Vcrgara y 40 celadores de la misma villa, mandados por el glesa , á„aquella opiníon liberal cuerdamente progresiva, que se halla en una in capitán D. Sebastian Goñi, y subteniente D. Juan…</t>
  </si>
  <si>
    <t>Cervcra, Manuel González</t>
  </si>
  <si>
    <t>Manuel González Cervcra</t>
  </si>
  <si>
    <t>…s de los nombres de Estado que le componían. Por 4.a y 5.a del batallón de (a columna guipuzcoana, 60 hombres de la columna lo demas justifican de todo punto lo que habíamos previsto recientemente; los de zapadores con su capitán D. Manuel González Cervcra, que forma U guar nuevos miembros del gabinete pertenecen , según el testimonio de la prensa in nición de di;ho Vcrgara y 40 celadores de la misma villa, mandados por el glesa , á„aquella opiníon liberal cuerdamente progresiva, que se halla en una in capitán D. Sebastian Goñi, y subteniente D. Juan…</t>
  </si>
  <si>
    <t>Cervera, José María</t>
  </si>
  <si>
    <t>José María Cervera</t>
  </si>
  <si>
    <t>…de dicha arma. IX Pedro Carrasco, sargento segundo Regimiento de Soria, 9.° de Hnea.=Coronel del cuerpo, D. José Moreno, de la Milicia urbana de caballería- Diego García. Justo Moreno. Justo Bar gefe de la brigada de infantería. D. José María Cervera, gcfs del estado ma gueño. Facundo Balairon y Gervasio García, Milicianos d* dicha arma. yor de la división, segundo comandante del cuerpo, graduado de coronel. Don Dígnese V. E. acoger bajo su protección esta manifestación dé hechos tan Francisco Rubio Aceli, primer comandante deí 2.° batallón. D.…</t>
  </si>
  <si>
    <t>Cerveró, Vicente</t>
  </si>
  <si>
    <t>Vicente Cerveró</t>
  </si>
  <si>
    <t>…e en otra les man-da que informen das las autoridades civiles y eclésiásricas, y entre las aclamaciones de un pueblo si los auxilios que facilitan los.posiios &gt;oo útiles o no a lo» labradores, con lo «líínéroso. El regidor decano D. Vicente Cerveró tuvo la honra de alzar los demas que acerca de este pumo les ocurra. pendones de Castilla en nombre de la fiel Cullera , arrojando monedas al pue blo, y respondiendo este con alegres vivas todas las veces que se pronunciaba En cumplimiento de la Real orden de 2" de Píciembre últimas comuni el nombr…</t>
  </si>
  <si>
    <t>Cés, Francisco</t>
  </si>
  <si>
    <t>Francisco Cés</t>
  </si>
  <si>
    <t>…, todo con mucho SP16 T «legancia , merced al zelo y actividad de los Sres. gentileshombre* Hota. En algunos ejemplares de la Gaceta anterior, col urna* 11, línea Tí , dice de S. M. regídpres D. José Francisco Rodríguez Cabrera f D. Francisco Cés inventor de ia aduana, léase interventor. ‘ EN-£A IMPRENTA REAL</t>
  </si>
  <si>
    <t>Céspedes, Manuel María de Manuel y</t>
  </si>
  <si>
    <t>Manuel María de Manuel y Céspedes</t>
  </si>
  <si>
    <t>…de la Real audiencia de Galicia, vacan tud cuáles son los verdaderamente indigentes, imposibilitados de te por promoción de D. Angel Casimiro Govantes, nombro á poder adquirir el sustento; cuáles los que por carecer de trabajo en D. Manuel María de Manuel y Céspedes, alcalde del crimen de que ocuparse se hallan en la miseria; y cuáles los que escudados Sevilla. Tendréislo entendido, y lo comunicareis á quien corres- , con la apariencia de enfermedades que nunca padecieron ocultan ponda-=Está rubricado de la Real mano.=En Aranjuez á 19 de con sagacidad su vergo…</t>
  </si>
  <si>
    <t>CetbalUró</t>
  </si>
  <si>
    <t>…ión el art. l.° del proyecto de ley goardádo cierta :tiftwdez en proclamar los principios e^enciilea det derecho na- qué ya queda inserto, y dijo: ctOnal.*No efeo-qué es- justa est#pinculpación.'La cómísíon se ha expresado pon El Sr. CetbalUró: «Si me levanto á apoyar el artículo l.° del provecto de toda^afrataqüézá j' Libertad que era5 posible , sai y ando sí aquel decoro de fnr- t ■Jéy presentado por el Gobierno ¿^no es porque estoy de acuerdo con los térmi nía» y'dé e»tHó ¿joé lo»'legisladores deben -tener en materias de tanta graveda…</t>
  </si>
  <si>
    <t>Cetuart</t>
  </si>
  <si>
    <t>…la secretaría del establecimiento los títulos nomina- oro, plata, felpilla, plumas, paja, ballena, cera, concha &amp;c., con el arte de plu Jes de las acciones ó testimonios literales de los mismos bajo de lac dos carpe mista , por M-d. Cetuart, y traducido al castellano por D. Ludo Franco de ia Selva, tas como en los dividendos anteriores. adornado con una lamina. Un tomo en 8.°, se hallará con los demas manuales de Con estos documentos y exhibición del poder que tengan ó hayan presen—. ciencias y artes que hasta ahora hay traducidos, eo…</t>
  </si>
  <si>
    <t>Cevallos, Canuto</t>
  </si>
  <si>
    <t>Canuto Cevallos</t>
  </si>
  <si>
    <t>…icarán las órdenes competentes á los encar D. Andrés Gabriel Cánovas: para la de Castrourdiales á D. Alejo López de gados de arboledas de dichos distritos para que suministren los que se pidan. la Caller-para4a de Villrrarr:edc a D. Canuto Cevallos: para la de Ramales á D. José Navas: pora la de San '^ícente de la Barquera á D. Segundo San á para para la de Escalona y Galves: la de Cíñete Ripoll Juan: i D. J rolsa db coMERcio._Co/itciooM dt htsy i las tres dt la tardt. • p a Martine;: Urioste, y la de Ordenes á D. Yanguas: Aquilino D. Julián…</t>
  </si>
  <si>
    <t>Cevallos, Pedro</t>
  </si>
  <si>
    <t>Pedro Cevallos</t>
  </si>
  <si>
    <t>…de Toledo, mariscal de campo de lws Reales ejércitos, coman la Reunión de .Nueva Esqiaña, teniente general de los Reales ejérci dante general de Navarra; conde de Mollina; conde de O-Reitos , director del colegio general militar; D. Pedro Cevallos, del 11 v ; D. Vicente Ramos García, obispo electo de Almería; D. Maria Conseo de Estado; conde de Cartagena, teniente general de los no Liñan, obis|&gt;o electo de Teruel; marques de Jura Real; D. Justo Reales ejércitos, capitán general de Galicia; marques de Moni ayo, María lbar Navarro, del Consejo…</t>
  </si>
  <si>
    <t>Cezar</t>
  </si>
  <si>
    <t>…o era de opinión que bar el Gobierno, á menos que el principal no salga responsable de sus depen en la adición propuesta se b&lt;jise el cemo de población á U'3 almas. dientes , pues en tal caso ya habría una verdadera garantía.” El Sr. Cezar manifestó que nabia muchas poblaciones que no llegaban ni El Sr. conde de las Navas-. «Señor, me parece la adición admisible, aten con mucho al censo de las lvj almas, citando i Quiounar: y que sin embar dida U clase de garantías que ofrecen los dependientes de las casas de comercio. go los dependi…</t>
  </si>
  <si>
    <t>…e la Nación- ;Está acaso esta en aptitud de pagar esa enorme Ulloa, Cuevas, Tosqueila, Alcalá Zamora, López Pedrazas, conde de las Na suma de intereses en su totalidad • Es bien seguro que no: pues solo los de la vas , Bel monte, Caballero, Cezar, Cano Manuel (hijo), Toledo, Pizarra, deuda extrangera ascenderán á 2U0 millones de reales , sin contar con los in Heredia, Santa Fé, Aranda, Diez González, Fernandez Blanco, Mantilla, tereses devengados y no satisfechos de los bonos de Córtes; sin contar con los marques de Montevírgen, Calderón ,…</t>
  </si>
  <si>
    <t>Cha, Cano Manuel y</t>
  </si>
  <si>
    <t>Cano Manuel y Cha</t>
  </si>
  <si>
    <t>…misión,'desde luego que vió que el indivi cha, García Carrasco, Ulloa, Galiano, Cuevas, Alcalá Zamora, López Peduo encargado por la misma para sostener el dictamen, no se hallaba en dis draza, conde de las Návas, Sánchez Toscano, Caballero, Cano Manuel y Cha posición'de asistir al Estamento, pudo nombrar otro que le sustituyese. La cón,. Ferrer , Pizarra, Diez González, Mantilla, marques de Montevírgen, comisión tiene la facultad de reasumir cuanto se ba dicho sobre el asunto, y Miranda y Olmedilla, Calderón de la Barca,' marques de la Gándara Real, es…</t>
  </si>
  <si>
    <t>Chabarti, Luis García</t>
  </si>
  <si>
    <t>Luis García Chabarti</t>
  </si>
  <si>
    <t>…teniente de corregidor de esta villa, re frendada de Gaona y Loeches, escrlbanrt de! número de la misma, seelta a D. Miguel - Puebles. Pili. Enfermos. Curados. Fallecidos. Perez Casasolar. D. Juan Fernandez, D Juan Manuel Gómez, D. Luis García Chabarti, tesorero de anualidades y medias anatas, y al director de la Real Caja de Amortiza ■ i ......... ción 4 cuyo favor fue endosado el vale Real consolidado de 100 pesos, de la creación de 1 o de Setiembre dé 1830, núm. 81,076, para.que dentro del termino preciso de 15 dias comparezcan 4 deducir el de…</t>
  </si>
  <si>
    <t>Chacen</t>
  </si>
  <si>
    <t>…esmero y proporciones, pues dejándoles la libertad expéesSidi, sólo pueden hacerse al votarse el artículo por pártesele apruebo en su totalidad.” sé aprovecharían de ella para entrar en la Milicia los que tuviesen medios para El Sr. Chacen-. «Las observaciones dePSr. Polo y Monge, compañero de soportar los gastos. ' ' - 1 ■ comisión, me han prevenido, y por lo tanto renunciaría la palabrá, si no hu «Con re prcto á la cuota industrial y fabril, pudiera en mi coticéptó biese oído al Sr. Secretario de lo Inierior oponerse á la ¿dad de 17 años…</t>
  </si>
  <si>
    <t>Chacofi</t>
  </si>
  <si>
    <t>…ital, y en las actuales circunstancias dé suma compuesta-por él misino con ¿1 título de Sistema naval, y varias observacio consideración.” I ‘ .- nes acerca de la memoria presentada por el Sr. Secretario del Despacho de di— __ Di Sr. Chacofi: «La comisión de Milicia urbana, ó sea Guardia nacional, -efao ramo. cOtluLC muy- tsiu[i la importancia y urgencia que el Sr. conde de las Navas Se‘dio cuenta de una petición-sobre que se declaren válidas todas las com- ■ acaba de manifestar, como queHosque~la comjiuiien han sido’los-primeros, y-—…</t>
  </si>
  <si>
    <t>Chacón</t>
  </si>
  <si>
    <t>…4 un 50 por 100. Siempre El Sr. Palarea hizo presente que no era cierto no se hubiese exigido 4 tendremos que el sacrificio de 10 ó 12 millones anuales , que es 4 lo que pue nadie la fe de bautismo, pues acababa de manifestar el Sr. Chacón que a él se de ascender la diferencia, nos ahorrará el de hacer otro de mas:de tOO millones le habia hecho presentar. que de ninguna manera puede sufrir la Nación. El Sr. Presidente dijo que el que necesitase los documentos d|ue habia pre » La segunda observación, es que ahora se nos dice que con e…</t>
  </si>
  <si>
    <t>…nos salimos de 1a verdadera cuestión. garáqtW'lí nq^é'elcctórat'de lá provincia prócecta í nueva elección. dificultad está en saber si la enfermedad que padece el interesado es incurable ó Un Sr. Próturatiof ’^qdé Creemos sea ét Sr. Chacón) (1) tomó la pala- fio: si solo es actual, y dentro de algunos dias ó meses puede curar, no podrá bsa y dijo: Si i la simple tóctilta de unv certificación de facultativo, hemos de decirse que c=,tc Procurador está imposibilitado de asistir, ni por coostgqiénte ttcédcr^átas renuncia*'dé lós £fcs. Pr…</t>
  </si>
  <si>
    <t>…ito de hacer todas las mejo claro y terminante; que todos los individuos del Estamento convenían en las ras posibles en una institución lao importante.” mismas ideas, y que asi Ja comisiod habia creído que-no debía variarlo en El Sr. Chacón d jo era de parecer que la palabra Milicia uriana se ins nada. , tituyere por la de Milicia nacional, porque esta voz cre mas Mgn.ficativa ó de Un Sr. Procurador , que c.reemos'se» el Sr, marques de Somereelos, fun notaba mejor la idea que la otra. dándose en que la seguridad individual $s- la prim…</t>
  </si>
  <si>
    <t>…supuestoque derechouna doctrinadivinotan pormonstruosael cual gobiernanencuentre mi opinión está enteramente conforme con el dictámen de la comisión.” todavía algunos defensores. ¡Derecho divino! ¿En qué época fue este derecho El Sr. Chacón opinó que este debía, aprobarse, porqué no se hallaba el yConcedido! Y cuando leemos en la historia tronoa ocupados en virtud de una Estamento en "el ¿aso de obligar á loa Sres. Procaradores' ausentes i dar su vo conquista conseguida por las armas: cuando vemos puestos en movimiento los ta y remiti…</t>
  </si>
  <si>
    <t>…Esta española: aunque sí diré que lo hecho en las fechas de 15 de Junio y 20 d« mento acordó que se leyeran dichos documentos; y verificado así, dijo Setiembre pudo ser legitimado por la aprobación del Rey. Esta le daría toda El Sr. Chacón: »He tomado la palabra para pedir que se manifieste que su fuerza ; pero conforme con los principios manifestados por los Sres. Ferrer el Estamento ha oido con particular satisfacción el contenido de estos docu y Gahano, y complaciéndome en unirme con ellos en dichos principios, pues mentos, y que…</t>
  </si>
  <si>
    <t>…otros medios que puedan aplicarse en lo sucesivo al reembolso de esta «Ha dicho el Sr. marques de Montevírgen que con esto sucederá el que deuda.” dentro de quince años esta^w convertidos los intereses en deuda activa, al paso El Sr. Chacón: »Tenia hecha una proposición igual á esta, con la única que los qapitáí^s de bonos de Córtes subsistirán como deuda pasiva. Sin embar diferencia de fijar diez años para la conversión de la deuda pasiva en activa, en go, diré que srfefi España hay paz, como esperamos; si se consolidan mas y lugar d…</t>
  </si>
  <si>
    <t>SUPLEMENTO A DEL VIERNES 10 DE OCTUBRE bE I834. CORTES. que no podía hacerse, y que él no consentiría en aquella por consideración ninguna. El Sr. Chacón: «He pedido la palabra para hacer presente que ayer tuve BSTAlíflNTO DE PROCURADORES» la desgracia de faltar por estar enfermo; y que quiero que mi voto se una á loa demas.” Se j ion del dia 9 de Octubre. El Sr. Presidente contestó que estaba bien, y que asi se expresaría en oi acta. Se abrió á las…</t>
  </si>
  <si>
    <t>…o de los-autores de ésta proposi Se abrió i las once y cuarto, y leída el acta de Ja sesión anterior quedó ción , y como tal quiero hablar antes en favor de ella, y decir en qué está fon •probada con una modificación hecha por el Sr. Chacón, y expresándose que dada. Nosotros, como representantes del pueblo, atamos aquí para sostener sus el voto de este Sr. y el de otros Sres. Procuradores había sido contrario á la derechos y libertad: es menester, pues, que' en las discusiones se observe lo que propuesta del Sr. Arango. dice la propos…</t>
  </si>
  <si>
    <t>…ación y perroanenc a. Yo soy consecuente en mis principios, y adop Se preguntó si ei artículo estaba su'cientemente discutido, y declarado que to todas sus consecuencias. Deseo que la ley tenga, si es posible, esc carácter 6Í, el Sr. Chacón pidió que se votase por partes; porque, aunque estaba con de perpetuidad , que es el testimonio de la profunda y detenida meditación tíel forme con las dos del artículo, se le ofrecía la duda de si en la segunda con legislador al formarla. Pero el principio que propongo ia haría tan inaltera vendrí…</t>
  </si>
  <si>
    <t>…respetar y obedecer cuantos artículos tienen el Estatuto y Regla modo que previene el Reglamento. Si asi lo hiciesen el Gobierno se apresu mento. rarla y aun se anticiparía i sus déseos. Pero este tiene que velar sóbre él cum Él Sr. Chacón manifestó que la práctica del Estamento en los dias ante plimiento del Reglamento, por cuya infracción se le reconvendría por los riores habia sido admitir las proposiciones que habían sido presentadas, citan mismos Sres. Procuradores. El Gobierno tiene que sostener las prerogativas del do al efect…</t>
  </si>
  <si>
    <t>…a sociedad. El hombre depravado, Se abrió á las once y medía ; y leída el acta de la anterior quedó aproba por mas rico que sea, no presentará á mis ojos tantas garantías como el de bue da» mandándose insertar en ella el voto del Sr. Chacón, contrario á la reso na educación , el cual siempre me ofrece la seguridad de que no cometerá con lución del Estamento sobre la adición hecha por el Sr. Onís al art. 2.° del pro migo una falta en que no repararía el rico; pero sin embargo e»tos tienen que yecto de ley para la organización de la Mil…</t>
  </si>
  <si>
    <t>fioladqulríótioa gloría Inmortal en c\ concillo de. Trento,en el cual mani , No se tomó en consideración por ^3 votos contra 40; y acto continuo festósu supremacía sobré los e^és^icpé’dc l^s demas Naciones en ponto £ Judió el Sr.. Chacón que constase eñ el acta que su voto era contrarío. á«la re cieacías e^lesíisucas; y finalmente;pari no excluir del,servlcióde'la Jyli- . volución tomada.- ,;: lictaurbaná suió'álqs eclesiásticos / que realmente debían estarlo, porque su mi- Concluidas las adiciones se leyó el artículo tal como habí…</t>
  </si>
  <si>
    <t>…Onís, Ciscar y Orioestuviese en Italia, pues que allí podria prestarlo lo mismo que si estuviese en la, Crespo Tejada, Butrón. J. Petersburgo ó en Pekin. En seguida se pasó á tomar en consideración la asignación de 5409 reales El Sr. Chacón preguntó al Sr. Presidente del Consejo de Ministros si la que proponía el Gobierno para la Serma. Sra. Princesa de Sajorna; y leído el licencia concedida al Sermo. Sr. Infante D. Sebastian era ilimitada ó temporal. dictámen de la comisión sobre el particular, que se reducía á creer que no de El Sr.…</t>
  </si>
  <si>
    <t>…González (D. Antonio) que habia leído el acta, dijo que supuesto que en el año anterior fue de 12.523,500 rs. «Es verdad que este ahorro efectivo de 4-075,147 rs. no aparece i prime se podria insertar su voto en la de mañana. £1 Sr. Chacón pidió que se hiciese también mención de su voto, confor ra vista, porque el importe del consejo de Gobierno, y del consejo Real de España ¿Indias que gravitan sobre el presupuesto de Estado asciende á 3 Vi&gt;2,.'po del Sr. Larorre.me con el Sr. Vicepresidente manifestó que para que no hubiese omisión…</t>
  </si>
  <si>
    <t>…a urbana y de Guerti* de ley relativo al subsidio dccÍKnercio, que presentaría á Ja mayor brevedad. por que había pasado, y que opinaban debía discutirse en público dicha peti^ En seguida dijo 1 cien, la cual es la siguiente * El Sr. Chacón: »»Pido la-palabra, y me mueve á hacerlo el haber vuelto Los infrascritos Procuradores del reino, atendiendo á la práctica eomtañM ¿ oir en este recinto que se tratafctra vez de la deuda exterior. En este supues de las asambleas representativas do dentro v fuera de España, á lo que la razón to espe…</t>
  </si>
  <si>
    <t>…ambos extremos por el medio que he alcance de desempeñar este nuevo cargo. Ademas, advietto que falta una cosa propuesto, evitaremos más discusión.” en el artículo, pues soto se habla en él de batallones y escuadrones, y en mu El Sr. Chacón: »La comisión, á fin de conciliar el parecer de todos loar chos pueblos la fuerza no es bastante para esto: por lo tanto yo quisiera se ex- individuos del Congreso, adoptará las indicaciones hechas por el Sr. marques presa^e lo que Kabii de hacerse en los puntos donde no hubiese batallón ü es de To…</t>
  </si>
  <si>
    <t>…te” dedeberíalos elegidos.decirse Enconunapreferenciapalabra, oJicial\mi ideayesenqueseguidase debeexpresarseconservarlaslacuase gunda parte del artículo.” Se abrió á las doce menos cuarto, y leída el acta de la anterior quedó El Sr. Chacón: «Si el Sr, Medrano se toma la molestia de leer el artícu aprobada. lo 13 del dictamen de la comisión, vera en él expresada su idea.” (Leyó dicho Se mandaron,'pasar ¿ la comisión de Poderes los del Sr. D. Manuel Al- artículo). varez García, electo procurador por la provincia de Valbdolid, con los d…</t>
  </si>
  <si>
    <t>…el mRmo caso que ei po El Sr. Medrano hizo presente que había dicho que la renta del Sr. Ro seedor de un mayorazgo. Yo no entraré jamas en averiguar la razón de las le mero Alpuente era propia porque era suya; i loque contestó ti Sr. Chacón yes; antes bien, si yo fuera legislador, jjmas daría razón de ellas: los preám que era muy cierto, pues nadie era dueño de la renta de dicho señor. bulos y las razones que las acompañan generalmente no sirven mas que para El Sr. Ochoa: «El Sr. Romero Alpuente presentó sus poderes en una de dar de c…</t>
  </si>
  <si>
    <t>…se discuta en píiblico, es decir que ha de dársele curso, razón que me parec¿ Código1 criminal, Interior y Milicia urbana, las cuales opinaban que podía dis debe convencer al Sr, Procurador." cutirse en público dicha petición. El Sr. Chacón; «Yo abundo en las mismas ideas que mis compañeros Sr. Martínez de La Rosa: «No es en manera alguna mi intención opo sin embargo el art. 132 del reglamento dice que cada una de las comisiones nerme i que se discuta en publicóla petición presentada: mi objeto al pedir la dará por separado su dictame…</t>
  </si>
  <si>
    <t>…i que había verificado tan solemne formalidad. remejía, procediéndose á ella entre los otros tres. Quedó electo el Sr. Belda El Sr. Secretario González contestó que la lista á que se aludía no era ofi por 43 votos; teniendo 17 el Sr. Chacón, y 15 el Sr. marques de Espinardo. cial , sino solo puesta en su lugar en el extracto inserto en la Gaceta , que como Concluida esta elección leyo.?eii alta voz el Sr. Secretario interino los cua periódico tenia sus taquígrafos: que S. S. podía estar seguro que en la lista de tro que resultaban ele…</t>
  </si>
  <si>
    <t>…cuándo podrán usarse estas minas; y no he tenido otro objeto en mi adición que el marcar el modo explí Se abrió á las doce, y leída el acta de la anterior quedó aprobada, man cito de usartas. dándose insertar en ella el voto del Sr. Chacón, contrarió á la aprobación del Declarado el punto suficientemente discutido, se aprobó el dictamen de la art. 1° del proyecto de ley sobre reemplazo deí ejército. comisión. El Sr. Presidente anunció que habiéndole participado lá comisión de Mi Se dió cuenta de una adición del Sr. Ruiz de Bucesta al…</t>
  </si>
  <si>
    <t>…lo oportuno que seria que el Gobierno pre El Sr. Claros, como uno de los autores de la petición , manifestó que en sentase otros trabajos útiles. ella nada se hablaba de los censos de particulares, sino solamente de los perte El Sr. Chacón, á nombre de los peticionarios, se conformó con la sus- necientes á manos muertas. pensíon; y habiéndose preguntado st se suspendería esta discusión, se resolvió No habiendo ningún Sr. Procurador que tomase la.palabra en contra de 1* que sí. petición, habló á favor de ella el Sr. González ( D. Anto…</t>
  </si>
  <si>
    <t>…atro dias dé el dictamen que le parez se contaban militares y togados. Posteriormente se dio nueva planta á este tri ca en vista de nuevo exámen. bunal , reservándole Jas facultades de despachar consultas, y quedando las salas El Sr. Chacón: »Me-parece convendría se leyese íntegra al Estamento la de Justicia y de Gobierno, ¿ la que asistía el Presidente, el Ministro mas an exposición del tribunal de que ha hablado el Sr. Secretario del Despacho.” tiguo y el fiscal togado. Y ¿qué negocios se despachaban en esta sala de Go fci Sr. Carri…</t>
  </si>
  <si>
    <t>…sido aprobado, santarfas , de que por no haber habido lugar no se ha tratado hoy, recordando no puede menos de procederse á la votación por partes.” á los Sres. Procuradores que el proyecto de ley sobre el Voto de Santiago se El Sr. Chacón: «Estamos en el mismo caso que cuando discutimos la'crn- discutirá el dia señalado. Ciérrase La sesión. festacíon al discurso del trono; y de consiguiente debemos pasar primero á la Se levanto esta á las tres menos cuarto. aprobación de la petición en su totalidad, v luego i su discusión -por párra…</t>
  </si>
  <si>
    <t>…a primera parte de la petición , dejando la segunda para que nada les servirán, porque asi está visto; pero esta no es una razón para privar ci Gobierno nombre esa junta que haga el reglamento sanitario.” las de este consuelo. El Sr. Chacón manifestó que debía aprobarse la segunda parte de la peti *&gt;En este mismo correo se han recibido noticias de Barcelona, en que ma ción para remediar cuanto antes los males que en muchos puntos causaba la nifiestan grandes esperanzas de librarse de la enfermedad por la rigorosa inco falta‘de'uniform…</t>
  </si>
  <si>
    <t>…or la pro se enteje de los arts. 96, 56 y 57 dei reglamento.” (Los lejó el Secretario vincia de Huesca. Trucha) Se pasaron también i la misma los nuevos documentos que presentó Don F.l Sr. Trueha dió cuenta de una proposición del Sr. Chacón , que dice Alvaro de Naviá Osorio, i quien se le concedieron 20 dias para mejorar la asi: «P&lt;do que el Estamento se sirva resoUer que los 8 artículos del provecto justificación de su aptitud legal. de ley que antes de ayer se mandaron pa&gt;ar á la comisión de Hacienda para La misma comisión dió cuent…</t>
  </si>
  <si>
    <t>Chacón, Cano Manuel y</t>
  </si>
  <si>
    <t>Cano Manuel y Chacón</t>
  </si>
  <si>
    <t>…omo jueces y como legisladores no podríamos menos de respetarlas hasta que Ulloa, Trucha, Alcalá Zamora, López Pedraza, conde de las Navas , Bel- otras nuevas las derogasen y condenasen al olvido. &lt;Pero quién no ve al lado monte, Caballero , Cano Manuel y Chacón, Ce zar , Carrillo Manrique , Pi de esas mismas leyes decrépitas, si se quiere, el principio inmutable de conve zarra, Santafe, Torre, A randa, Serrano (D. Francisco), Diez González, niencia pública , y el derecho soberano de la Nación para proveer á su seguri Mantilla, Montevírgch, marques de Some…</t>
  </si>
  <si>
    <t>…medio atraeríamos á nuestra patria extrangeros. útiles, y no, Isturiz, Cuevas, Alcalá Zamora, López de Pedrajas, conde de las Navas, su industria y capitales, creciendo entre nosotros con el ejemplo vivo y cerca Sánchez Toscano, Caballero, Cano Manuel y Chacón, Cezar, Ferrer, Pizarno la civilización y el bienestar de las Naciones mas cultas de Europa. ro, Acuña, Diez Gonzalez, Mantilla, marques de Montevírgen, Miranda y «Vea pues el Sr. Galiano como no se ha presentadó un proyecto poco Olmedilla, Calderón de la Barca, Mattel, Lasanta, Palatea, Trueba Cos…</t>
  </si>
  <si>
    <t>…Palaudarias, Vi diese una ley que organizase esta fuerza armada; pero sin fijar sus bases ni si llacampo, Atocha, García Carrasco, Omiveros, Gal ¡ano, Isturiz, Zamora, Pe quiera su denominación.” drazas, Navas, Toscano, Belmonte, Caballero, Cano Manuel y Chacón, Fer El Sr. -Secretario del Despacho de Hacienda manifestó que no estuvo pre rer, Pizarro, Heredia, Aranda, Serrano, Acuña, Diez González, Fernandez sente á la discusión de la petición i que se había hecho referencia, y que por' Blanco, Mantilla, Miranda, Calderón de la Barca, Gándara, Domínguez, E…</t>
  </si>
  <si>
    <t>…ien, señores, cuando nuestro pueblo llegue á sentir los benéficos túriz, Cuevas, Zamora, Pedrajas, conde de las Navas, Sánchez Tosca no, Belefeerrs de las actuales instituciones; cuando se sienta aliviado de las cargas que monte, Caballero, Cano Manuel y Chacón, Cezar, Ferrer, Pizarro# Serrano W abruman,. y sálga de ia miseria espantosa en que yace, para pasar á gozar de (D. Francisco), Acuña, Miranda, Olmedília, Calderón de la Barca, Martel# una^subsistencia desahogada, noTo dudemos, entonces, inútil sera la ley que le Calderón Col lames , Trucha, conde…</t>
  </si>
  <si>
    <t>…abusos de tantos años, han propuesto reformas para lo su Navas, Sánchez Toscano, Coton y Zú&amp;iga, Vázquez Moscoso, marqués de Ascesivo, y se han visto precisados á respetar lo presente. Este empeño de gene tariz, Flores, Belmonte, Caballero, Cano Manuel y Chacón, Serrano (D. G¡- ral asalto á todas las opiniones, de universal reforma en todos los desórdenes nés), Cezar, Viñals, Porret, Bonell, Hubert, Martínez de la Rosa, Villaintroducidos por el despotismo, y soportados y aun aplaudidos por la ignoran mena, Carrillo Manrique, Ferrer, González (D. Juan Gual…</t>
  </si>
  <si>
    <t>…Id-qúe he querido decir es, que con las economías adoptadas bastarían los 30 Samponts, Palaudarias, Puig, Ontiveros , Istúriz, Pedrajas, Navas, Tqscano, millones que propone la comisión y adopta el-Gobtemo, en vez de los 3 5 que Caballero , Cano Manuel y Chacón, Manrique , Fcrrer, Pizarra, Horedia, proponía. antes.Nó he dicho tampoco qué es la primera vez.que tratamos de Acuña, Diez González, Mantilla, Montevirgen, Ciscar, Miranda, Calderón subsidio f únicámente &amp;ie be limitado á décir que es lá primera vez que trata- de la Barca, Gargollo, Galwey, Aceved…</t>
  </si>
  <si>
    <t>Chacón, Carió Manuel y</t>
  </si>
  <si>
    <t>Carió Manuel y Chacón</t>
  </si>
  <si>
    <t>…je, Redondo Montenegro, Cuota, Llórente,,Cíccre*, KisoonV-Onii, Trueba, Medifanó, Cabanillas, Pcdr*|is'. Triscáno, Goton, Vázquez; Moscosn, Marque* "Villatáz, GouinleaPérez, Conde de Hmt,liapa del Bailo, Martí, CanVpide Astáriz, Caballero; Carió Manuel y Chacón, Serrano (D. Gioés), Cezar, . ílo, DePedro.,Creipo Tejada, Ochqa.sConde de Almodovar, Rui* dé CarVifijU, JPorret, Bonell. Hubert, Martínez dc[la Rosa.-Férrer,González(Don , ‘ríoq, Súbercase ,Ad¡tnero,Aguirre ¡jplarté, Airarez Garda,.Romarate, BuJuán Gualterio), pizarro/Serrano (0,'Fradcnco), Santaf…</t>
  </si>
  <si>
    <t>Chacón, D Vicente Cano Manuel y</t>
  </si>
  <si>
    <t>D Vicente Cano Manuel y Chacón</t>
  </si>
  <si>
    <t>…to sin fruto lo mismo Sr. D. Gipés María Serrano, que antes había aconsejado Bourmont, resignó el mando, y desde entonces des Sr. D. Fermín Caballero. apareció toda disciplina , y el ejército cafó en la mas espantosa dcsmoraliza- Sr. D. Vicente Cano Manuel y Chacón. ciop- ia rapiña y la violencia fueron Meyadas al exceso: los proveedores de ví Sr. D. Mateo Bel monte. veres-robaban al pueblo; los oficiales superiores robaban al soldado, y este ro— . $&gt;aba:á quien, podía. E1. desaseo y suciedad de la plaza de Santarem produjo en ÍROVINCIA DB WOMtQÁI fermedades q…</t>
  </si>
  <si>
    <t>Chacón, Fernando</t>
  </si>
  <si>
    <t>Fernando Chacón</t>
  </si>
  <si>
    <t>…les, después de haber aproximado la línea fue cumplimentada á nombre del gobernador de Badajoz por el teniente coro de circunvalación á tiro de pistola de la muralla, e| gefe de la plana mayor te nel del Real cuerpo de artillería D. Fernando Chacón á quien S. A. mani niente coronel D. Bruno Portillo y Velasco y el ayudante de la misma Don festó el mucho aprecio que hacia de las repetidas atenciones que había mereci José Gallego, colocando también en las casas Inmediatas el numero propor do á los generales españoles. cionado de tropas de los d…</t>
  </si>
  <si>
    <t>Chacón, Miguel</t>
  </si>
  <si>
    <t>Miguel Chacón</t>
  </si>
  <si>
    <t>…cual Sr. I). Joaquín Carrasco. r por otra parte tiene bastante vigor para resistir■,victoriosamente. La Bélgica, por Sr. D. José Paco Canoras. ■Á el norte, la Suiza por el este, entrarían con nosotros en-la lucha. Una neutra Sr- D. Miguel Chacón. lidad de papel impuesta á estpsdos países que gravitan en nuestra órbita políti ca , seria reemplazada al primer cañonazo por una alianzá que nacería ya fot- PIOVTVCIA OB BXtCKtOHA» mada de la misma semejanza de intereses y. amor á la libertad. „ Sr. D. Ramón de Cnscar. Se engáfialeí que croe que t…</t>
  </si>
  <si>
    <t>Chacón, Vicente Cano Manuel y</t>
  </si>
  <si>
    <t>Vicente Cano Manuel y Chacón</t>
  </si>
  <si>
    <t>…in fruto lo mismo Sr. D. Gipés María Serrano, que antes había aconsejado Bourmont, resignó el mando, y desde entonces des Sr. D. Fermín Caballero. apareció toda disciplina , y el ejército cafó en la mas espantosa dcsmoraliza- Sr. D. Vicente Cano Manuel y Chacón. ciop- ia rapiña y la violencia fueron Meyadas al exceso: los proveedores de ví Sr. D. Mateo Bel monte. veres-robaban al pueblo; los oficiales superiores robaban al soldado, y este ro— . $&gt;aba:á quien, podía. E1. desaseo y suciedad de la plaza de Santarem produjo en ÍROVINCIA DB WOMtQÁI fermedades q…</t>
  </si>
  <si>
    <t>Chacoq, Cano Manuel y</t>
  </si>
  <si>
    <t>Cano Manuel y Chacoq</t>
  </si>
  <si>
    <t>…ia Plana, cuyo producto se aplica T y Miratda, García de Atocha, laifoiz.,¡.Oroyas^ iAJcalájZamóra , Eopez de Per la construcción de. la.nueva carretera denominada de las Cabrillas. Estaba sus— drajas, conde de las Navas, Flore* ^Caballero, Cano Manuel. y Chacoq, Fer- orita por los Sres.- conde de. Almodovar,Osea, Crespo de Tejada, Abargues, rer, Fizarro, Serrano C D„ Era6cisoo&gt;, . Acuña, r-Diez; González, Fernandez López; Bclda, Visedo, Belmonte , Ciscar (D. José), Subercase, Rodríguez Pa— Blanco, Mantilla, marques de.Montévírgén,.Miranda.y Olmcdilla, Cal…</t>
  </si>
  <si>
    <t>Chafan</t>
  </si>
  <si>
    <t>…de bautistqo, se ialabra indiscretamente. Esto seria confórme con lo que S) M. nos anunció en le podía dar el tiempo necesario para presentarla.” - a apertura de jas Cortes al manifestarnos entrábamos en una era de legalidad, El Sr. Chafan: «Habiéndoseme pedido 4 mí la.fe de bautismo., y á deórdefi, de economía (Leyó un trozo del discurso de .apertura). B.jo estos otros no, la reclamé y tío me la han devuelto. No sé qué razón haya para que principios estaba redactado el art. 3-? del proyecto del Gobierno, que creo ese Sr. no presente…</t>
  </si>
  <si>
    <t>Chaigniaud, Juan</t>
  </si>
  <si>
    <t>Juan Chaigniaud</t>
  </si>
  <si>
    <t>…n: se han cerrado las de aquellos, y se de en este juzgado por la escribanía mayor de Rentas sobre complicidad, en la que se blanquearán y ventilarán: desde hoy 28 se empleará á los jornaleros en obras le formó á dicho su hermano D. Juan Chaigniaud, por delitos de contrabando y de—1 de utilidad pública; y se han tomado en fin todas las denias disposiciones que fundaciones de los Reales derechos; bajo apercibimiento de que pasado el termino prefijado sin verificarlo, le parará perjuicio. ha creído oportunas Ja previsión del facultativo Seoane.…</t>
  </si>
  <si>
    <t>Chaigniaud, Pedro</t>
  </si>
  <si>
    <t>Pedro Chaigniaud</t>
  </si>
  <si>
    <t>…á instalada; se ha establecido un lazareto provisional -----En virtud de providencia del intendente subdelegado de Rentas de esta provincia. fuera de la villa, muy espacioso y ventilado, para trasladar á él las personas se cita á D. Pedro Chaigniaud, hermano de D. Juan , vecino y del- comercio que file1 de visuteria eo esta corte, para que en el termino de un mes, comparezca pqr^í ó que hayan tenido roce con los enfermos, y las que viven en miserables habita por medióle su representante á hacer uso de su derecho en la causa que contra el pen c…</t>
  </si>
  <si>
    <t>Chambe</t>
  </si>
  <si>
    <t>…erco bastardado- én, trasmitir á sucorte, se apresura á participarles, Líndres l.° Je Julio. que desde el dia de hoy no tendrá ninguna dificultad' en visar los pasaportes -Se ha publicado el'Siguiente avisjj por la secretaria del lord Chambe que Jos diferentes gobiernos cantonales le diríjan para las personas sujetas á su lán. «Elegías que h3n de observar todos los súbditos deL Rey euando se pre jurisdicción; en la inteligencia sin embargo, de que dichos pasaportes serán sentan á S. M.: el que se presentaTE. M., hinca la rodilla derech…</t>
  </si>
  <si>
    <t>Chambelán</t>
  </si>
  <si>
    <t>…9; ■Con este motivo se hacen grandes preparativos; y creemos que las fiestas que 'lord Auckland, director de moneda y comercio, 29; duque de Devorrshire, acompañarán á esta ceremonia, serán mas brillantes que todas las que se han lord Chambelán, 3058; •lordWélesley.pIord irria^Ordómo, 2^36; conde de fcect¿ Íutíta aquí. {Independiente.') Albemarle, maestre de caballería, 3350.; piarques de "Winchester, caballerizo mayor, 2130 ; vizconde Ducannon, prirtier secretario de rentas del Estado , 20; , INGLATBKXA. Mr. Tompson, tesorero de marina,…</t>
  </si>
  <si>
    <t>Chandos</t>
  </si>
  <si>
    <t>…la parte parlamentaria de la nación cerca del Rey de Dinamarca. puéde dividirse en seis fracciones, desiguales en número é influencia. 1.a De Se han hecho muchas promociones en los diferentes ramos de nuestra ad ultra toris, como lord Chandos, lord Roderi, y otros fanáticos políticos r re ministración. {Gaceta de Boetasi) ligiosos. 2.a De toris moderados, como el duque de VVellington, sir Roberto Pcel y sus amigos y allegados. 3.a De sem¡-\vhigs, como lord Stanley, sir J. ALEMANIA. Graham, lord Ripon y el duque de Richmond. 4*a De whígs…</t>
  </si>
  <si>
    <t>Chapuis-Montlaville</t>
  </si>
  <si>
    <t>…la discusión del proyecto de ley relativa á los que pregonan fo túan las sentencias de los tribunales y los papeles que publiquen los magistra lletos, litografías &amp;c. dos, sín que se puedan anunciar mas que por sus títulos.” • El Sr. Chapuis-Montlaville opina que si hay revoluciones es por culpa de El Sr. Leyraud apoya su proposición en varios antecedentes y reflexiones, Jos gobiernos; que no es tan fácil como se supone dirigir al pueblo por medio una de ellas que siendo el proyecto contrario á los dos principios reconocidos de folletos, y que la…</t>
  </si>
  <si>
    <t>Charlemagne</t>
  </si>
  <si>
    <t>…l.° según lo ha presentado la comi .parece cierto que ambos gabinetes persisten en procurar que se modifique d sión y varias adiciones y correcciones que algunos diputados han propuesto. El tratado' con la Rusia de 8 de Julio. - Sr. Charlemagne retira la propuesta que sobre dicho artículo ha hecho; el aefior Se ha publicado en Gaceta extraordinaria el Teuchihat, ó lalista de las Podenas quisiera que en él se hiciese mención de los que ponen carteles^ peto, mudanzas, y promociones que hace anualmente la Puerta, en el ramad&amp;n, de toy la Cám…</t>
  </si>
  <si>
    <t>Charlier</t>
  </si>
  <si>
    <t>…posible no atender i los consejos de los hombres, que reunian e* lientes soldados encargados de ella se obstinaban en llevarla á cabo, si solos toda la sabiduría de su siglo, que edificaban á los dema* instándome en unión con su comandante Charlier y demas tropa con sus virtudes, que conservaban el depósito de la doctrina reli de su batallón, que les permitiese realizar el ataque, á lo que no giosa, que era la vida de nuestra nación, que predicaban la moral accedí, porque la toma de aquel castillo no merecia ningún sacrifi á los pueblos; en fin…</t>
  </si>
  <si>
    <t>Chatón</t>
  </si>
  <si>
    <t>…l te de b;cnes propios, sean rústicos, urbanos, fabriles ó agrícolas, ¿cómo quiete y Real Convocatoria , la comisión había fundado bien su dxtimen. decirse que el Sr. Romero Alpuenie tiene los requisitos necesarios? Señor, que El Sr. Chatón: «No he pedido la palabra para enriar de lleno en la la ley no ha hablado de esa renta. No me toca á mí decir- si la ley ha hecho cuestión ; solo sí para llamar la atención dei Estamento y leer el artículo l^. bien ó mal; lo que digo es que tenemos una ley clara y terminante para el ca del Estatuto…</t>
  </si>
  <si>
    <t>…ón , diciendo que su áni cuanto i.ló' segundo, según las razones que haya , verá si lo ha de aprobar ó mo no había sido ofender á la Secretaría. desaprobar."' Sr. Ti.rremejia.- «Ninguno del Estamento acusa á la se.i¿liria déte Ei Sr. Chatón: «Es necesario que oigamos la exposición. exposiciones que se han presentado hasta ahora; han-sido propias del i</t>
  </si>
  <si>
    <t>Chavarri</t>
  </si>
  <si>
    <t>…ación de pagar las contribuciones le- posición de las contribuciones , era tan sagrado y tenia tan hondas raíces en la galmente votadas por las Córtes Opinión y costumbres de la Nación, que aun después de vencido el partido po El Sr. Chavarri hizo varias observaciones, manifestando que no podía pular en aquella desastrosa guerra, aun después encontró oposición el poder aprobar** la segunda parte del artículo, relativa á que se guardase la propor en la nobleza castellana, que al cabo de tres siglos se ve restaurada, desempe ción de ios h…</t>
  </si>
  <si>
    <t>Chavarri, D Ramón de Llano y</t>
  </si>
  <si>
    <t>D Ramón de Llano y Chavarri</t>
  </si>
  <si>
    <t>…ha Cerralbo, opinando que debían ser admitidos. Aprobado. llarse achacoso, y ademas no poder faltar de su establecimiento mercantil que El Excmo. Sr. Presídeme señaló para Iq sesión inmediata el miércoles 20 tiene en unión con el Sr. D. Ramón de Llano y Chavarri, electo también del corriente á las diez de su mañana, en la cual se leería la memoria de S. E. Procurador, y que mantiene á su familia. ql Sr. Ministro de Gracia y Justicia, y cerró la de este dia. La comisión de poderes hallando arreglados los del Sr. D. José María López de Pedraja, electo Procur…</t>
  </si>
  <si>
    <t>…al ejercicio de 1a beneficencia y candad inherepte á su Puesto á votación el dictámen de la convsion quedó aprobado. sagrado ministerio- Pos cuya razón,y po;r la dificultad de bailar un medíoste Prestó juramento y tomó asiento el Sr. D. Ramón de Llano y Chavarri, resarcimiento que fuese decoroso y bástante, se abstiene de pioponerle á las Procurador por la provincia de Barcelona. Córtes. • El Sr. Presidente dijo: Mañana no se reunirá el Estamento. El jueves á No asi con respecto al venerable deán y cabildo. Sus actuales individuos las diez de su mañana lo…</t>
  </si>
  <si>
    <t>Chavarri, Dt Ramón de Llano</t>
  </si>
  <si>
    <t>Dt Ramón de Llano Chavarri</t>
  </si>
  <si>
    <t>…é jdemas nos ha St. D. Joaquin de Palzodarits. ce esperar la cooperación de Inglaterra, ó á lo meóos su neutralidad; Siria pre Sr. D. José Ptindolit. ciso olvidar cuanto se parece un estado á ün hombre en sus pasiones buenas ó . ;Sr. Dt Ramón de Llano Chavarri. . malas,,para no CQHiprenderjha^ta, qué, punto se avivarla el zelo derPuestrosimi- Sr. D. Pablo Torrcns y Miraldal gos y.' vpcióos vléndonos uñidos.con la GranxBreuña. Aun sin contar con Nápolesj á quien el deseo deW independencia inclina necesariamente á favor de provincia, na xa casulla. 'facuadr…</t>
  </si>
  <si>
    <t>Chavarrí, Llano</t>
  </si>
  <si>
    <t>Llano Chavarrí</t>
  </si>
  <si>
    <t>…empre; y si no, apelo al testimonio de todos lesS/es. Procura y cuyo inconveniente se remedía completamente adoptando el dictámen de la dores. minoría.” ^ «Mas vamos I ver ahora cuál será el resultado de la prepuesta de los se El Sr. Llano Chavarrí: «Después de tanto como se ha hablado en esta ñores de la minoría de la comisión, Florcz Estrada y Montevírgen, sobre la interesante y delicada cuestión seria imposible alegar nuevas razones en pro ni deuda extrangera, desechado el empréstito de Guebhaid, y dando ínteres á en contra de ninguno de l…</t>
  </si>
  <si>
    <t>Chavarri, Llano</t>
  </si>
  <si>
    <t>Llano Chavarri</t>
  </si>
  <si>
    <t>…Estamento del dictámen de dicha comisión; y que se reservaba el de en ella. recho de presentar al mismo su voto particular mañana ó el Junes próximo. .. A nadie se le oculta lo desagradable que es el tener que hablar de perso El Sr. Llano Chavarri: «La comisión no puede menos de sorprenderse nas ; pero tratándose de pensiones, es menester atender i la calidad de cada una,, de que el Sr. Agreda diga que no se ha contado con ¿1. Desde el principio de ellas: por lo mismo yo desearía saber si el dia en que se abra la discusión este individuo ha…</t>
  </si>
  <si>
    <t>…e establecer garantías fijadas en la pro El Sr. Presidente advirtió al señor preopinante que se salía de la cuestión, piedad; y por esto se ha creído que el tipo de la propiedad es como el tipo y que lo mismo le había sucedido al Sr. Llano Chavarri. normal del valor de los derechos político». Es claro, pues, que para que ia ley El Sr. Polo y Aíonge: «He pedido la palabra, como individuo de ía sea análoga en rodas sus partes, y para que estas simpaticen unas con otras, comisión , para hablar de las cinco variaciones que ha hecho la misma en el…</t>
  </si>
  <si>
    <t>…cta de la anterior quedó expensas de las demas provincias. Socórrase á las del Mediodía; pero en vez de aprobada. hacerlo con granos extrangeros, hagámoslo con los que existen en las del Ñor- "ír Se concedió un mes de licencia al Sr. Llano Chavarri, Procurador por la te, y conseguiremos remediar á unas y á otras. Como hay otros muchos seño provincia de Barcelona, para-pasar á su casa á asuntos propios. res. que tienen pedida la palabra, me abstengo de hacer mas observaciones, que Se mandaron pasar á la comisión de Poderes los del Sr. D. Juan…</t>
  </si>
  <si>
    <t>Chavarri, Ramón de Llano y</t>
  </si>
  <si>
    <t>Ramón de Llano y Chavarri</t>
  </si>
  <si>
    <t>…erralbo, opinando que debían ser admitidos. Aprobado. llarse achacoso, y ademas no poder faltar de su establecimiento mercantil que El Excmo. Sr. Presídeme señaló para Iq sesión inmediata el miércoles 20 tiene en unión con el Sr. D. Ramón de Llano y Chavarri, electo también del corriente á las diez de su mañana, en la cual se leería la memoria de S. E. Procurador, y que mantiene á su familia. ql Sr. Ministro de Gracia y Justicia, y cerró la de este dia. La comisión de poderes hallando arreglados los del Sr. D. José María López de Pedraja, electo Procur…</t>
  </si>
  <si>
    <t>…jercicio de 1a beneficencia y candad inherepte á su Puesto á votación el dictámen de la convsion quedó aprobado. sagrado ministerio- Pos cuya razón,y po;r la dificultad de bailar un medíoste Prestó juramento y tomó asiento el Sr. D. Ramón de Llano y Chavarri, resarcimiento que fuese decoroso y bástante, se abstiene de pioponerle á las Procurador por la provincia de Barcelona. Córtes. • El Sr. Presidente dijo: Mañana no se reunirá el Estamento. El jueves á No asi con respecto al venerable deán y cabildo. Sus actuales individuos las diez de su mañana lo…</t>
  </si>
  <si>
    <t>Chave, Francisco García</t>
  </si>
  <si>
    <t>Francisco García Chave</t>
  </si>
  <si>
    <t>…. José Alonso; á D. Fra neisco Verea y Cornejo; á D. Francisco Crespo y Rascón y NOTICIAS EXTR AXGERAS. á I). Miguel Moreno, que lo son de la misma; á D. José Francisco ValtléS y Posada, oidor decano déla audiencia de Asturias; á Don Francisco García Chave*, oidor de la de Sevilla; á D. Jaime Perera INGLATERRA. y Rius, fiscal de lo civil de la de Vallailolid, y á D. Julián de Sujo, teniente de villa de Madrid: y en clase de fiscales, á D. Laureano LSndres 19 de Atril. de Jado y á D. Marcial Antonio López, que actualmente desempe ñan este cargo. Y es…</t>
  </si>
  <si>
    <t>Chaves, Felipe Sandoval y</t>
  </si>
  <si>
    <t>Felipe Sandoval y Chaves</t>
  </si>
  <si>
    <t>…Pedro Pas buyan por la sección de reparticiones. cual Calabuig; y para la plaza de teniente tercero de asistente de Se Con la misma fecha se han mandado entregar al mayor general de la ar villa en ladinísima calidad de interino á D. Felipe Sandoval y Chaves. mada los autos formados contra algunos marineros de la corbeta Postílense, Y es la voluntad de S. M. la Reirá Gobernadora que todos los sugetos acusados de conspiradores. Estos autos se recibieron en la secretaría de Guerra. Por otra del 27 de Junio, dirigida al agente del empréstito portugués en r…</t>
  </si>
  <si>
    <t>Chaves, Francisco Garda</t>
  </si>
  <si>
    <t>Francisco Garda Chaves</t>
  </si>
  <si>
    <t>…cia de bineros de costas y fronteras una nueva muestra de la confijnza que Sevilla, he venido en nombrar por la clase de oidores á D. Ma le merece por su lealtad, por su valor y por su disciplina, de que nuel Victoriano Moyano, á D. Francisco Garda Chaves, ¿ Don ha dado tantas pruebas en todas partes, se ha servido disponer en Rafael Gregorio de Beleña, á D. Agustin de Lopetedi, que lo Real orden de 15 del corriente, de conformidad con los ministe son de la misma; á D. J uan Antonio Almagro, oidor de Gra rios de Guerra y Hacienda, que se aumente su…</t>
  </si>
  <si>
    <t>Chaves, José María Sánchez</t>
  </si>
  <si>
    <t>José María Sánchez Chaves</t>
  </si>
  <si>
    <t>…nte en caso de que llegue á constituirse e! nuevo gabi López de Castro, superintendente de la Real fabrica de tabacos de Madrid: pa nete. Figuraba también entre los concurrentes, el Duque de Orleans, quien se ra la de la Mancha á D. José María Sánchez Chaves, que antes servia la de ha explicado acerca de la dimisión probable de lord Granville, y de la diso Jaén: para la que este deja, á D. Manuel María Puig , intendente de Soria: lución del gabinete en cuyo nombre representa á su pais, de un modo que no para sus resultas á D. Manuel Fernandez Trabanco,…</t>
  </si>
  <si>
    <t>Chavier, Serafín</t>
  </si>
  <si>
    <t>Serafín Chavier</t>
  </si>
  <si>
    <t>…se hallan tan enlazados, con los de comercio y de dego- gobernador civil de la provincia de Vallado] i d.(.V7ut. 273.) sito, que apenas puede concebirse la existcncia de los unos sin la Coexistencia' Reales decretos exonerando á D. Serafín Chavier del gobierno civil de la prode los otros. Por otra parte la utilidad! de ios bancos de comercio es tan noto . vínqia de Gerona , y nombrando en su lugar á D. Miguel de Foixá y Andrea ria por el modo prodigioso con que facilita’ las operaciones mercantiles, eco- ------ nombrando al conde de Cabarrús, go…</t>
  </si>
  <si>
    <t>…dificultades que ofrece la obra de la acequia con que so riega aquella huerta. Extracto del parte remitido por el gobernador civil de la provincia de Ge Se han hecho mejoras en el hilado de la seda, y su precio ha tomado al rona D. Serafín Chavier con fecha de 4 de Junio último. gún incremento. Van á formarse las ordenanzas de arroces para el Ampurdan , teniendo á Ha concedido licencias para repartir granos de pósitos á los labradores ne¿- la vista las de Valencia, á fin de someterlas á la aprobación de S. M. cesitados, y para establecer tie…</t>
  </si>
  <si>
    <t>…uno. En el pueblo de Alagon se ha hecho cesar un arbitrario ífri puesto de _ Extracto del parte remitido por el gobernador civil de la provincia de 20 rs. que exigía por los ganados que pasaban por aquel término, y que los Gerona D. Serafín Chavier con fecha de 9 de Julio anterior. concejales se repartían por una costumbre bastante antigua. Ejteima Sr.: Entre los rios_ que atraviesan el Ampurdan se cuenta la Con algunas cantidades que reunió la junta de caridad de la ciudad de Muga, qüe con frecuencia se desborda porque su estrecho cauce no p…</t>
  </si>
  <si>
    <t>…encias con la Bélgica. En ¿1 REALES DECRETOS. se defiende la conducta del gobierno neerlandés, y se demuestra que, por su parte, ha agotado todos los medios posibles de pacificación; se dice en fin que He tenido á bien exonerar á D. Serafín Chavier del gobierno invita á las susodichas potencias á que empleen todos sus esfuerzos en reno civil de la provincia de Gerona, actualmente de su cargo; y vengo var las conferencias de Londres, y en terminar nuestras desavenencias con 1* en conferirlo á D. Miguel de Foixí v Andreu, barón de Foixí, en Bélgica…</t>
  </si>
  <si>
    <t>Chavtej, Rodil Gerona D Serafín</t>
  </si>
  <si>
    <t>Rodil Gerona D Serafín Chavtej</t>
  </si>
  <si>
    <t>…e mas conveniente. Soy de V. E. muy atento &amp;c. AJirfeirin 2i de Mayo de 1834*=E1 duque de Terceira. r Extracto del parte remitido pór el gobernador civil de la jJrovincia de Carta del gefe de estado mayor del duque de Terceira al general Rodil. Gerona D. Serafín Chavtej* con fecha de 7 de Mayo actual. No pierdo esta ocasión para acusar el recibo deKtriplicado de V. E. del Dentro de pocos dias elevará al ministerio el expediente sobre permitir la T9 del corriente, y repetir que el enemigo pasó al sur del Tajo tomando hasta siembra del arroz en el Ampurdan á varios…</t>
  </si>
  <si>
    <t>Chavtej, Serafín</t>
  </si>
  <si>
    <t>Serafín Chavtej</t>
  </si>
  <si>
    <t>…de V. E. muy atento &amp;c. AJirfeirin 2i de Mayo de 1834*=E1 duque de Terceira. r Extracto del parte remitido pór el gobernador civil de la jJrovincia de Carta del gefe de estado mayor del duque de Terceira al general Rodil. Gerona D. Serafín Chavtej* con fecha de 7 de Mayo actual. No pierdo esta ocasión para acusar el recibo deKtriplicado de V. E. del Dentro de pocos dias elevará al ministerio el expediente sobre permitir la T9 del corriente, y repetir que el enemigo pasó al sur del Tajo tomando hasta siembra del arroz en el Ampurdan á varios…</t>
  </si>
  <si>
    <t>Chegaray</t>
  </si>
  <si>
    <t>…vender Ib llevaron á ud depósito común i y ve lo distribuyeron gaciones de nuestro fiscal general en el tribunal de los Pares. éntre-taha gritos y -pendencias que alborotaron toda la vecindad. El saco que «Tendrá por adjuntos al Sr. Chegaray, tíúestro fiscal en el tribunal de pri hicieron los amotinados en casa del conde de Bcthune fue horroroso: los des- mera instancia de León, haciyndot.de ahogado gqtryral , con encargo de sustituir P°¡os füeron llevados y repartidos en la plaza de Saint-Gery. en ausencia del fiscal general, y al.Sr.…</t>
  </si>
  <si>
    <t>Cherif, Vicente Gon José María</t>
  </si>
  <si>
    <t>Vicente Gon José María Cherif</t>
  </si>
  <si>
    <t>…sejo Real de España é Indias , creado por mi Real decreto de 24 de Marzo último, vengo en nombrar á D. Jóse Canga Arguelles, He venido en jubilar á D. Juan Crisóstomo de Frias y á Don D. José de Heredia, D. Justo José Banqueri y D. Vicente Gon José María Cherif, oidores de la Real audiencia de Sevilla, con zález Arnao. Tendréislo entendido, y lo comunicareis á quien corel sueldo que les corresponda por clasificación. Tendréislo entendi responda.=Está rubricado de la Real mano, pr En Aranjuez i 7 de do, y lo comunicareis á quien corresponda.ezEstá rubricad…</t>
  </si>
  <si>
    <t>Chesney</t>
  </si>
  <si>
    <t>…a occidental han de conducir sus espedictones i la El Monitor Argelino de este día contiene en su parte oficial un pri Tnd¡a. mer decreto, que manda se ejecuten en todos los establecimientos franceses las Hace algunos años que el capitán Chesney y otros ingleses han podido medidas de utilidad general adoptadas en Argel; un segundo decreto relativo explorar el Eufrates, en razón de que habiéndose establecido un gobierno iras á la organización del cuerpo de spahis, y el boletin de un ataque Intentado el culto en Egipto, que permite á los víage…</t>
  </si>
  <si>
    <t>…lgun establecimiento piadoso que sacaba parle de mara de los Comunes votase una considerable suma de dinero para costear la sus socorros de las pensiones de ciertas casas conservadas por la tolerancia. Mas expedición, y ademas'el capitán Chesney fue nombrado individuo de la so penetrado ahora de la extensión que quiere darse á toda excepción, por redu ciedad Real. Bajo la inspección y gobierno de este militar saldrá la expedición cida que ella sea, y resuelto á que las leyes sean religiosa y extrictamente ob á principios de Diciembre, prov…</t>
  </si>
  <si>
    <t>Chieza, José Quevedo y</t>
  </si>
  <si>
    <t>José Quevedo y Chieza</t>
  </si>
  <si>
    <t>…ltimo, he venido, á nombre de mi au Mayo de 183U; y S. M. ha tenido á bien resolver , en nombre de gusta Hija la Reina Doña Isabel ii, en nombrar á D. José Sar tu augusta Hija Doña Isabel ir, que en el caso propuesto deben torio, D. José Quevedo y Chieza, D. Diego Butrón, D. Francis sustituir á los contadores los asesores respectivos de cada subdele co Quevedo Bueno, D. José Benitez y D. Antonio Galindo; los gacion, bien hayan sido nombrados por S. M. ó por el superinten tres primeros de la dase de generales , y los demas de la de toga dente genera…</t>
  </si>
  <si>
    <t>China</t>
  </si>
  <si>
    <t>…a acción se puede asegurar sin sos que pudieron repasar el Ebro y alcanzarlos en su fuga, ó hacer que caigan en duda alguna que excedía dé I4.OO hombres. Su pérdida ascendió á 8u muertos, manos de las tropas de las provincias. El general China me avisa á las 6 de la tar incluso Areitio,cuyo nombramiento, que se le encontró en un bolsillo, acom de de ayer en carta que acabo de recibir, que iba á enviar 300 hombres al va paño á V. E.; otro titulado coronel y dos tenientes coroneles que se encontra lle de Cuartango en conformidad con lo que…</t>
  </si>
  <si>
    <t>Chirico</t>
  </si>
  <si>
    <t>…ne nada que no esté conforme con la equidad y el derecho de gentes, ha (ido aprobada por todó*. Deseando hacer compatibles en el ramo Je la administración de justicia las necesidades del servicio con las economías que recla 1 -El caballero Chirico, que ha desempeñado ya el destino de encargado de man las penurias del erario, lie venido en mandar que la nueva Negocios de S. M. «1 Rey de Ccrdeña cerca de la sublime Puerta, acaba de planta de la Real audiencia de Cataluña, compuesta anteriormente recibir la orden de ejercer de nuevo un puesto h…</t>
  </si>
  <si>
    <t>Choribit, José María</t>
  </si>
  <si>
    <t>José María Choribit</t>
  </si>
  <si>
    <t>…encionado 2.® comandante de (D. de ios Deba/fs.) Vicente con una reserva de 30 hombres de Extremadura, al cargo del capitán D. Pedro Murías , 60 de Castilla , á las órdenes del teniente graduado de capi Sayona 6 di Sttitmbrr. tán D. José María Choribit, y tres compañías de Borbon á las de los capitanes D. Joaquín Diaz Ribago y D. Miguel Arnat, y del teniente D- José Regí no Se asegura que la junta carlista llegó el dia 3 del corriente con su escolta Mijares. a las alturas de Urdax huyendo de Elizondo , por temor de la columna de Jáu- La caballerí…</t>
  </si>
  <si>
    <t>Chrballo, Tavares</t>
  </si>
  <si>
    <t>Tavares Chrballo</t>
  </si>
  <si>
    <t>…as clara; el barón de gañarse para siempre de sus criminales proyectos. RenduflFe pidió se preguntase si el punto estaba suficientemente discutido. «Sr. Presidente, nadie hace mas justicia que yo a mi ilustre amigo y colega el El Sr. Tavares Chrballo obtuvo permiso de la Cámara, é hizo algunas Sr. duque de Tercera: estoy segurísimo deque en ios mandos no empleara un sol o reflexiones contra- la adición del Sr. Magalhaes. hombre que no sea digno de confianza; pof lo que toca ai tiempo que yo fui mi El ministro de Marina, después do manifestar qu…</t>
  </si>
  <si>
    <t>Churruca, D Pascual</t>
  </si>
  <si>
    <t>D Pascual Churruca</t>
  </si>
  <si>
    <t>…blicano de Alemania había perdido enteramente el ínimo narse en Francia. Se recomienda en este parte por él expresado capitán general de. resulta* de los ultime» acontecimientos de Paris y León; pero ha vuelto ál activo y bizarro Coronel D. Pascual Churruca , comandante del 2.® batallón i levantar cabeza de poco tiempo á esta parte. Los refugiado» polacos ' del regimiento de Zamora, i los capitanes del de América D. Facundo Enri qqe han llegado aqui reciben cuanto dinero necesitan: se supone que este ques y D. Bernardino Si del Rey : al de la misrha c…</t>
  </si>
  <si>
    <t>Churruca, José</t>
  </si>
  <si>
    <t>José Churruca</t>
  </si>
  <si>
    <t>…á nuestro gobierno que para evitar en lo sucesivo semejantes inconvenientes, de Por Reales decretos se ha servido S._ M. la Reina Gobernadora ben visarse los pasaportes de todo extrangero que va i Rusia en sus embajadas nombrar á D. José Churruca para fiscal del consejo de Navarra, cu ó consulados. (Id.) ya plaza se hallaba vacante por ascenso de D. Mariano de la Bodega, ____ Ayer por la noche el Dr. Lardner leyó en la sociedad del instituto mecá que servia dicha plaza, á oidor de la audiencia de Valladolid: para nico una memoria sobre la m…</t>
  </si>
  <si>
    <t>Churruca, Pascual</t>
  </si>
  <si>
    <t>Pascual Churruca</t>
  </si>
  <si>
    <t>…de Alemania había perdido enteramente el ínimo narse en Francia. Se recomienda en este parte por él expresado capitán general de. resulta* de los ultime» acontecimientos de Paris y León; pero ha vuelto ál activo y bizarro Coronel D. Pascual Churruca , comandante del 2.® batallón i levantar cabeza de poco tiempo á esta parte. Los refugiado» polacos ' del regimiento de Zamora, i los capitanes del de América D. Facundo Enri qqe han llegado aqui reciben cuanto dinero necesitan: se supone que este ques y D. Bernardino Si del Rey : al de la misrha c…</t>
  </si>
  <si>
    <t>Ci, Angel</t>
  </si>
  <si>
    <t>Angel Ci</t>
  </si>
  <si>
    <t>…93. 1000.............................. Cádiz. El comandante general de la provincia de Búrgos manifiesta con fecha 24 3,143. 1000............................. Madrid. del corriente que el subteniente del regimiento de Extremadura D. Angel Ci— 14,295. 1000............................. Barcelona. dad, comandante del destacamento de Celada del Camino, después de haber 4,383. 1000............................. 'Madrid. impedido el robo de la diligencia y de una galera en el camino de Pampliega, 22,789; 1000............................. ráíi…</t>
  </si>
  <si>
    <t>Cía, D Luis</t>
  </si>
  <si>
    <t>D Luis Cía</t>
  </si>
  <si>
    <t>…sa su gobernador civil con fecha 21 del actual, la capital dé bizarro coronel Rodas, que voluntariamente se prestó á hacer este servicio, y esta provincia había cumplido los 30 dias de observación sin que hubiese ocur otra por el capitán D. Luis Cía vería, recorrieron todas las malezas de la mon rido novedad: el pueblo de Ascq se hallaba libré de la enfermedad.- los de taña hasta las ocho de la noche que caímos sobre la casa del Rincón, donde Alcanar y Villa Iba habían sido invadidos, siendo corto el número de enfer precisamente y como yo dalc…</t>
  </si>
  <si>
    <t>Cía, Luis</t>
  </si>
  <si>
    <t>Luis Cía</t>
  </si>
  <si>
    <t>…bernador civil con fecha 21 del actual, la capital dé bizarro coronel Rodas, que voluntariamente se prestó á hacer este servicio, y esta provincia había cumplido los 30 dias de observación sin que hubiese ocur otra por el capitán D. Luis Cía vería, recorrieron todas las malezas de la mon rido novedad: el pueblo de Ascq se hallaba libré de la enfermedad.- los de taña hasta las ocho de la noche que caímos sobre la casa del Rincón, donde Alcanar y Villa Iba habían sido invadidos, siendo corto el número de enfer precisamente y como yo dalc…</t>
  </si>
  <si>
    <t>Cía, Narciso</t>
  </si>
  <si>
    <t>Narciso Cía</t>
  </si>
  <si>
    <t>…ogroño se han presentado algunos desertores alaveses con sus armas, .------El Príncipe de Joínville há llegado .a Bruselas. y anuncian haberlo verificado varios navarros hacía Pamplona. ^ /, ■ ¿y El teniente coronel dé'artillería D. Narciso Cía vería atacó el díá 8 al —Un periódico de Munich anuncia que,el duque de Leucbtemberg Hegó gunos facciosos á caballo que habían dormido en el pueblo de Villamayor, pocos dias hace á su principado dy Eiohstadt , é inmediatamente salió para matando uno y cogiendo tres mas, sin pérdida alguna por su pa…</t>
  </si>
  <si>
    <t>Ciarós, José</t>
  </si>
  <si>
    <t>José Ciarós</t>
  </si>
  <si>
    <t>…ictámen de la comisión de Poderesdocumentos. se aprobaron los de los Sres. Procuradores-siguientes: D. José'V’ilIanueva, Don El Sr. duque de Rivas contestó que la proposición del Sr. Amarillas es Ma reos Martin, D. Ventura Mena y D. José Ciarós, por la provincia de Ba taba bien clara, porque precisamente concluía diciendo, que al Gobierno com- dajoz; D. Pedro Bermudez del Villar, por la.de la Coruña; y D. Francisco ¡Se petia decir los Próceres que estaban en el caso de no poder venir por hallarse Paula Serrano, por la de Jaén. en algún pu…</t>
  </si>
  <si>
    <t>Ciarós, Ventura Mena y D José</t>
  </si>
  <si>
    <t>Ventura Mena y D José Ciarós</t>
  </si>
  <si>
    <t>…Estamento con el dictámen de la comisión de Poderesdocumentos. se aprobaron los de los Sres. Procuradores-siguientes: D. José'V’ilIanueva, Don El Sr. duque de Rivas contestó que la proposición del Sr. Amarillas es Ma reos Martin, D. Ventura Mena y D. José Ciarós, por la provincia de Ba taba bien clara, porque precisamente concluía diciendo, que al Gobierno com- dajoz; D. Pedro Bermudez del Villar, por la.de la Coruña; y D. Francisco ¡Se petia decir los Próceres que estaban en el caso de no poder venir por hallarse Paula Serrano, por la de Jaén. en algún pu…</t>
  </si>
  <si>
    <t>CIauzel</t>
  </si>
  <si>
    <t>…niendo'de'Moscow. ttndicse quc en su tarea haya procurado otra cosa que hablaros del mal, tal co mo lo conoce cualquiera por su notoriedad, y los arhitrios -para remediarlo asi ____El Didriode la Marina y de las.Colonial dice: El mariscal ’CIauzel ha . «amo ¿1 los entiende. v - v . / recibido carta dé los principale#habitant$s de Argel, anunciándole que hatt. Lejos sea síempre de nosotrps esa profanación de las formas y los. lugares . nombrado, á Mr. Mauguin delegado de la colonia y 'encargado de representar de que se ha hecho un uso tan cri…</t>
  </si>
  <si>
    <t>Ciballcro</t>
  </si>
  <si>
    <t>…ora dé Fernando vu, creo que ps continuación de los il años. y ante sí el mismo que se obligó á un pago, si ei contrato es ó no obli "Repito, Señores, que estas indicaciones las he necho únicamente lleva gatorio. Ha preguntado el Sr. Ciballcro si los extrangerós no deben saber do del mejor deseo, porque quisiera que np hubiera mas que una opinión cuan las leyes del país con que contratan.... do se traía de la salvación de la patria, y que la marcha ni fuc&gt;e precipitada, »Yozio be dicho esto; mi argumento ha sido el siguiente: al decir á…</t>
  </si>
  <si>
    <t>Cibaltero</t>
  </si>
  <si>
    <t>…s revolucionarios, cuando llegan las Naciones á tal estado de desorganiza recho , habrá razón, hab,á justicia para aplicarla i los extrangerós! ción y de anarquía, que caen sus Gobiernos en un cinismo vergonzoso. Asi "Ha dicho el Sr. Cibaltero que se había hablado acerca de! partido que sucedió en tiempo de la revolución fiancesa: ási se vió té ley del máximum, tomaría el Gobierno francés , respecto á las reclamaciones de sus súbditos. Ya los asignados, una escandalosa bancarrota. Por manera que los doy extremos, hice el-otro día una dis…</t>
  </si>
  <si>
    <t>Cid, Genaro Fernandez</t>
  </si>
  <si>
    <t>Genaro Fernandez Cid</t>
  </si>
  <si>
    <t>…adas rocas que forman la cordillera de Piedrami- El mismo capitán general traslada un parte del segundo comandante de llera á Mendaza. Arrollados por mí los batallones de Navarra, que en la iz infantería, adicto á la plana mayor, D. Genaro Fernandez Cid. que manda quierda del centro enemigo formaban el punto principal de su linea , Zuma- una columna, compuesta de un oficial y 20 artilleros de la mana: Real , y lacarregwi por medio de un cambio de frente amenazó mi flanco izquierdo; otro oficial y 4-U hombres de Extremadura con 8 soldados de caballe…</t>
  </si>
  <si>
    <t>…estra Señora Doña,Isabel ir, y de tarde lo emplearon los cazadores portugueses, en unión: con Jos cinco carabine bajo se leía: «El alférez Real D. Manuel Sanjust alzó pendón por la Reina ros y el capitán agregado á la plana mayor D. Genaro Fernandez Cid, en per nuestra Señora Doña Isabel ii en 1834-” seguir y matar unos i8 ó 20 facciosos dispersos, habiendo hecho dos prisione , Los ricos muebles que adornaban la sala, el gabinete y los tocadores, los ros , que con trabajo se les salvó la vida, y fueron conducidos á esta plaza. tapices que cubrían…</t>
  </si>
  <si>
    <t>Cid, Manuel Sánchez</t>
  </si>
  <si>
    <t>Manuel Sánchez Cid</t>
  </si>
  <si>
    <t>…y Don un secretario de legación; el Austria por un oficial llamado consejero de la Toribio Parfrondi, á D. Vicente del Campo, D. Ramón Rodríguez de Veembajada; la Rusia por un miembro subalterno del cuerpo diplomático coh lasco y D. Manuel Sánchez Cid; para una alcaldía del crimen de Albacete y carácter temporal, y muy pronto representará á la Prusia un secretario ó en otra de Cataluña, vacantes aquella por fallecimiento de D. Manuel Romera cargado de Negocios, prescindiendo de que la América nos trata todavía con Briones, y esta por nombramient…</t>
  </si>
  <si>
    <t>Ciemencm, Diego</t>
  </si>
  <si>
    <t>Diego Ciemencm</t>
  </si>
  <si>
    <t>…lerar Jos beneficios que deben resul tar de esta medida, he tenido á bien nombrar para la expresada comisión espe Excmo. Sr. : He dado cuenta á S. M la Runa Gobernadora de una ins cial á D. Félix Amat, obispo electo de Astorga; á D. Diego Ciemencm , mi tancia de 1)- Viente chiivo, corregidor subvic.cgado de Renr.,s ce L’Croño, nistro honorario del Consejo supremo de Hacienda; y a I). Juan Nicumo Ga en solicitud de que se dolare no haber incompalib. idad entre e. ;N:r^iív' dd llego, canónigo de la santa iglesia de Sevilla. Tendreislo entendid…</t>
  </si>
  <si>
    <t>Cierard</t>
  </si>
  <si>
    <t>…rección de Mr. Brunel. (Diario'del Comercio.) n T n« discusiones á que se entregan los periódicos franceses con motivo de —De los registros del Llyod ingles resulta que han encallado sobre las cos la amnistía y de la dimision del mariscal Cierard forman un contraste curio so con las cuestiones mucho mas importantes que ocupan la arencion pública tas de Inglaterra y Holanda en la semana pasada 56 buques mayores á causa •n nuestro lado de la Mancha. Hace algunos años sucedía todo lo contrario; de las frecuentes y terribles tempestades. (Ja.)…</t>
  </si>
  <si>
    <t>Ciérrase, Cirios</t>
  </si>
  <si>
    <t>Cirios Ciérrase</t>
  </si>
  <si>
    <t>…a discusión de las peticibnes que estan anunciadas. rez, conforme con el diCtífitCü'de Ii' ibfeisrótf iófire'é2fÜÍ'(63E'o£S&amp; jr Él inartes será íá’def proyecto de ley sobré el Voto de Santiago.” del territorio espáfiol al Infante D. Cirios. «Ciérrase la sesión.” Subió i la tribuna- d Sr. Secretario del Despacho de Hacienda y dijo: Se levantó esta i las dos. &gt; l w ' • ' i. ■ i 1 ■ , ■ i ..... / . ■ ~ : ' ( RN IA IMPRENTA REAL.</t>
  </si>
  <si>
    <t>Cierto</t>
  </si>
  <si>
    <t>…Norte.= Eicmo. Sr. = Hice tránsito aqui hoy con la columna que me sigue, y me he cerciorado que el Preten diente salió de ate pueblo á las cinco de la tarde de ayer con un batallón y dos Ejército de operaciones del Norte.=Excmo. Sr.=Cierto de que el Pre compañías de guias, habiendo pernoctado en Erasun, á cuyas inmcdiaciotendíante se habia dirigido desde aqui á Segura con dos batallones guipuzcoa- na concurrieron las demas fuerzas que le escoltan , y hoy de dos y me ■os , otros tanto* vizcaínos, y las dos compañías de guias navarros, de…</t>
  </si>
  <si>
    <t>Cierto, P.o-'</t>
  </si>
  <si>
    <t>P.o-' Cierto</t>
  </si>
  <si>
    <t>…s medios de sostenimiento de la .marina y fomento de Despacho universal de Marina. la consuuccion, cuyos obstáculos dejan sin acción al capitán genera! aun en casos perentorios, y han sido Causa de las continuas reclamación ¡a de D. P.o-' Cierto e* que en 1813 se cometió alcapirángenefalry'al mismo tiempo "cüaT Entile, para que se le relevase de un mando que no podía desempeñar de comandante de marina de Fitípifias «T brigadier de la armada D. José de Gar-! bidamente con-tales trabas, es indudable que barco grandes progresos'aquellos doqui,…</t>
  </si>
  <si>
    <t>Cíflos</t>
  </si>
  <si>
    <t>…r tQué podíamos esperar si por desgracia D„ Cirios iriqeir «l tteoát V*- «gpól!¿c&lt;$&gt;M «MtBHpr WKBN.1W.-fiM* wewerü'^t- qup.„cpm5&gt; disen riamos levantarse los cadalsos y organizarse persecuciones por indas partes? los deFemorea de D. Cíflos, 1a cotona de Espyfia.tea ua mayorazgo, &lt;te mt»n veriámo6 fesabl(XQrp3 ta inquisición ; y «criamos , en fio , an misado íudlkó 8“» SU#1 ** $***«* c‘»“ que destruida tado principio de prosperidad, i Y babeé persona que «se te es solimeate la ley 13 libro 5-d® la Recogílacion, por la cotí as tremezca…</t>
  </si>
  <si>
    <t>CíHos</t>
  </si>
  <si>
    <t>I j-i t/ mas flcxiblo que D. Miguel de Braganza. Infieren también que de este moda ittrto recompensado quedaba cate giavámea coa ol alivio que re había propor— , podrís' D. CíHos fotmSrsie' irtl'jpaitídd -¡¿ti Ii?pafia,«itv reparar qtwloí^pafioles- cíbiad&lt;\i: los pdcblo?•; conciuyó adhiriendo al-parecer de la ccxnírioa, pero son yá demasiado siisptcaices 'pjfra creer en amnistías ofrecidas; ó para -fiarte dé- sin que en el primer artículo se fijase el mínimo de la congrua.…</t>
  </si>
  <si>
    <t>Ciííi</t>
  </si>
  <si>
    <t>…nte Cano Manuel y Chacón.” lugar en que vive, en cuanto á la paga, las cosas, y la cantidad perteneciente ' Concluida la lectura de esta petición tornó la palabra y dijo á los diezmos con que se debe contribuir á la iglesia. * El Sr.~Ciííi¡r y Oríula: «Aunque en la petición que acaba da leerse se , «Y en efecto, como el principal objeto de los diezmos es atender al culto exponen con tóda claridad las razones en qué se fundan los peticionarios, sin divino y á la decente subsistencia y sustentación de los ministros dél altar, , embargo…</t>
  </si>
  <si>
    <t>Cilios</t>
  </si>
  <si>
    <t>…an, conformándose con que suceda y ocupe el trono de do el dictímen de la comisioo , que no solo como traidor, sino como tirano, su padre; de consiguiente D. Cirios no podía ocupar el trono ; antes bien se le debería ser cxcluido-D. Cilios de un trono que no merece.1 debería considerar sin derecho i ello. El tercer medio que designa la referida 99Paso i la segunda cuestión que es la relativa i la conveniencia pública, ley es e) casamiento con la Princesa heredera del trono. apoyada en la historia y derechos consuetudinarias de la Nadan.…</t>
  </si>
  <si>
    <t>Cíllca</t>
  </si>
  <si>
    <t>…«* c‘»“ que destruida tado principio de prosperidad, i Y babeé persona que «se te es solimeate la ley 13 libro 5-d® la Recogílacion, por la cotí as tremezca al imsgistree el .cuadro qué presentaría la Nació»: Yaco o»s lmpor— Uria D. Cíllca y su descendenciavae uata tic na partido qfue está acoS*u*«b]i*~. ■ .a •sfiiWWwS'W?*'* ** mcétipia,«: 1« mmmto*, i do á tivir.iOOB Joi abusoss te ba opuesto akaupre ñ la pettpJtvdtd de la nibhmteni^i jCjjp» pjrmeyjff»» confot m¡e» can los dctodetlptjque han escrito ao* NackuudeúnpM^ido qte-.no cónsul…</t>
  </si>
  <si>
    <t>Cilleros</t>
  </si>
  <si>
    <t>…Zaragoza | d. Pueblos. Pías. Enfermos» Curados. Fallecidos. Hamburgo, 00. Barcelona, k ps. &amp;, Milaga, 4 b. Descuento de letras, Lóndres, k 90 días, í á 4 id. Santander, 14 id. h 4 p. 100 al afio. 384 a 4. Bilbao, par. Santiago, 1 d. Cilleros el hondo. 22,de Octubre.. No consta- id. 5 Fotfoleta............ .. TI á21 id.... 6 4 00 ----------^u—,— Rollan....... .. id id.................. , 54 31 3 ANUNCIO., Villares de la • * Contestación eio un ofietal rUl ejército d un amigo sun, dándole su pereceé sobre Reina............... .11 í 25 id…</t>
  </si>
  <si>
    <t>Cimacho, José</t>
  </si>
  <si>
    <t>José Cimacho</t>
  </si>
  <si>
    <t>…cada uno de los interesados esfuerzos, y el valor de nuestros soldados. No hemos tenido desgracia ninguna; en el valor de una letra de cambio protestada por falta de aceptación y pago. solo el sargento 2.° de cazadores de Borbcn D. José Cimacho fue contuso en Cerró el acto D. Juan Bautista Montells, dando al público las gracias el tambor de una de las puertas. El enemigo tuvo un muerto en la salida que se por su atención y asistencia, y á la Real junta de comercio por la geneiosidad hizo, al que se le tomó el armamento , y se le ha dado h…</t>
  </si>
  <si>
    <t>Cimara, D Isidoro JU</t>
  </si>
  <si>
    <t>D Isidoro JU Cimara</t>
  </si>
  <si>
    <t>…az interior y exterior puede facilitar loa medios do Excmo. Sr.: El brigadier D. Fermín de Triarte me dice desde Carranza con ‘•aliviar i los contribuyentes. , t . ■ ; , . fecha 4 de éste mes lo siguiente: Excmo. Sr.: El teniente coronel "D. 'Isidoro JU Cimara declara el punto suficientementa discutido, y aprueba Jos ar de Oyos, comandante de una columna que ha salido de Santimj, con fecha de tículos l.4 á 13.° ambos inclusive, en Ips cuales se dispone &lt;?&lt;jue en el año- ayer y desde Ramales, me dice lo que sigue: Ayer i Ub de la tarde la do 1885 subsista…</t>
  </si>
  <si>
    <t>Cimara, Isidoro JU</t>
  </si>
  <si>
    <t>Isidoro JU Cimara</t>
  </si>
  <si>
    <t>…or y exterior puede facilitar loa medios do Excmo. Sr.: El brigadier D. Fermín de Triarte me dice desde Carranza con ‘•aliviar i los contribuyentes. , t . ■ ; , . fecha 4 de éste mes lo siguiente: Excmo. Sr.: El teniente coronel "D. 'Isidoro JU Cimara declara el punto suficientementa discutido, y aprueba Jos ar de Oyos, comandante de una columna que ha salido de Santimj, con fecha de tículos l.4 á 13.° ambos inclusive, en Ips cuales se dispone &lt;?&lt;jue en el año- ayer y desde Ramales, me dice lo que sigue: Ayer i Ub de la tarde la do 1885 subsista…</t>
  </si>
  <si>
    <t>Cimeros</t>
  </si>
  <si>
    <t>…actual rs. rama y 84' en rústica. Désde el principio del siglo xvfr, en que se publico por prf^ ue en los diferentes pueblos de ella que se hallaban invadidos de la eft'ferme- mera ye* esta obra, de orden y á expensas deL célebre cardenal Cimeros, for nafrada 3ad sospechosa, séguia esta su curso en los mismos términos que anunció en y ha sido constantemente reputada por clásica én su ramo, y con justa razón-, ugy cuanto Herrera no solo compiló lo mejor que hasta eu tiempo habla escrito en h úui* el último parte, bien que en muchos de ellos…</t>
  </si>
  <si>
    <t>Ciorraya, Manuel</t>
  </si>
  <si>
    <t>Manuel Ciorraya</t>
  </si>
  <si>
    <t>…■ nmi-: ’'•&gt; v • rij !:'-•■ ’ ab ¿' f «■■*: •:*. •, , Of'J.jH'! /.Y l I • rj. . •' ..-.r'. - ARTICULO DE OFICIO. ■ v' í " i, E . r“ uqr' - . ■ ' PArt* dél offmaiuiantií .gmieriil de las provincias Vascongadas al ministerio licia D. Manuel Ciorraya se distinguió ayudando á la tropa para arrojarlos con de la Guerra. ** serenidad y valentía, muy convencido del buen éxito. Éxtímo. 3r. i*Trat\cjuiío p6r hallarme en el centro de las guarniciones que En la puerta de Francia se hicieron iguales esfuerzos para apoderarse de áFrádío de cilitro leguas…</t>
  </si>
  <si>
    <t>Cipdevila, Alejandro</t>
  </si>
  <si>
    <t>Alejandro Cipdevila</t>
  </si>
  <si>
    <t>…sospecha á la defensa que vamos á hacer, declaramos terinos para el partido de Alcaráz á D. Pantaleoa V itini, que lo es de Carbaadoptamos con íntima convicción los principios que se defendían en aque- jales; para el dePeñafiel á D. Alejandro Cipdevila; para el de la Coruña a Don época; que los seguimos con entusiasmo; que fuimos envueltos entre sus Fernando Miranda; para el de Don Benito a D. Pedro Galyis López, alcalde que hay hombres ilustrados y liberales, que mayor de Bancarrota; para el de Orgiz á D. Antonio Evaristo de Hará;rruinas»,—.Sin…</t>
  </si>
  <si>
    <t>Cipriano</t>
  </si>
  <si>
    <t>…no que dejó una ínter» de D. José Manuel Alcalde, electo por Pontevedra, relativa á sus rentas. media» La comisión no se halla autorizada para salvar este articulo, y evitar La comisión de poderes, en vista de los presentados por D. Cipriano la qu* haya pasado el término fatal, si puede llamarse asi el que fija el regla Riea electo por BArgo*, y de los documentos justificativos, opinaba debían mento ” aprobarse. Asi se acordó. E± Sr. González A'onso: «Parecerá increíble -que.yo sea el án&lt;"co qúe ha*- . La misma comisión, en vista de los p…</t>
  </si>
  <si>
    <t>Cir, D</t>
  </si>
  <si>
    <t>D Cir</t>
  </si>
  <si>
    <t>…les satisfacción. cabecillas, sin que ni sus ofertas ni sus amenazas hiciesen titubear á estos va lientes que con serenidad estoica, digna dé los antiguos habitantes de Ñaman— Capitanía general de Castilla la V¡e¡a.=E*omo. Sr: El coronel D- Cir cía, veian con tranquilidad impávida arder la villa, y consumirse por el intcnios González Llanos, ge Te de la 1.* brigada de operaciones en la sierra , me di dio sus hogares, y con ellos toda su fortuna, sin dar una muestra de debilidad ce de^de Honigüela con fecha 23 del corriente lo que sigue i…</t>
  </si>
  <si>
    <t>Ciraoqut, Lorenzo</t>
  </si>
  <si>
    <t>Lorenzo Ciraoqut</t>
  </si>
  <si>
    <t>…llero capitán Mor Jorge Botto con unos 700 hombres de infantería y había marchado desde Vil lava á Urroz. 50 caballos á las órdenes del sargento mayor Antonio Freire se hallaba en la El dia ‘8 el general en gefe pasó á Puente, el general Lorenzo 4 Ciraoqut villa de Gouvea , donde los encontramos en efecto ocupando las escarpadas po con la primera brigada, el brigadier Linares con la suya á Mendigorria, ei bri siciones que forman los estribos de la sierra de la Estrella. gadier Oráa, que da el parte con aquella fecha, á Otanos cofl la de su mando, Des…</t>
  </si>
  <si>
    <t>Circunda, Fer</t>
  </si>
  <si>
    <t>Fer Circunda</t>
  </si>
  <si>
    <t>…os de U atmm^ Al amanecer de hoy, un concurso numeroso se dirigía á la plaza de Ar- dañera sobre dos mundos, y en el izquierdo los del comercio y de la marina. ntas, £ard-presenciar el acto solemne de descubrir la estatua del bi. D. Fer Circunda el pedestal una rica verja de hierro, de 17 pies de diámetro y 7 denando vu, erigida en aquel paraje portel Excmo. Sr. intendente conde de Vi— altura, dividida en 4d paños por lanzas adornadas, que descansan sobre otras llanueva , conforme á la aprobación soberana de 21 de Marzo de 182b, y en tanta…</t>
  </si>
  <si>
    <t>Cires, Josef Antonio</t>
  </si>
  <si>
    <t>Josef Antonio Cires</t>
  </si>
  <si>
    <t>…de ayer, cree que después del artículo 1.® en que se alcalde mayor de la Villa del Prado a D. Antonio Aivjrrz Baragaña: para la I determina quiénes han de componer el consejo de Estado, se añada oiro decla de la villa de Gausin á D. Josef Antonio Cires : pira la de Lorca á D. Joscf I rando «que todos los secretarios del Despacho pueden tomar parte en las deli López Pclegrin, y para la de Ciudad-Rodrigo a D. Ramón Angel de1 las [ beraciones del consejo de Estado siempre que aquellas no versen sobre asuntos Cuevas. ! judiciales.” La Cámara adhiere…</t>
  </si>
  <si>
    <t>Cirio</t>
  </si>
  <si>
    <t>…respectivo cluido de la lucesioa i U co ona-de E*paña D. Cirios María Lidro de Erv-boa encargo. Que los que han estado enfermos lo verifiquen en cuanto su salud y Borbon y toda su descendencia . y par el secundo se establece que D. Cirio» se lo permita: que los que no han venido por el cólera, están ja en el caso y su descendencia quedan privados de la facultad de volver á íes dominio* da de verificarlo por hallarse la capital en estado de completa salud; y que á España. aquellos que se bailan en campaña, y el honor militar no Ies…</t>
  </si>
  <si>
    <t>…s se flores de «Tampoco creo que debo perder la ocasión de hacer algunas reflexiones Jos que han hablado en pro y en contra del dictámen de la comisión, han cita acerca Jel estado lamentable,,en que el furor de los partidarios de D. Cirio* do para defenderle é impugnarle leyes que no cita la misma comisión , ó descar ha puesto á la Nación. Este es indudablemente el lugar en que corresponde re gado otras que alega, y lo mismo sucede con una gran parte de las razones de cordar algunas de las causas que sin duda han empeorado nuestra situa…</t>
  </si>
  <si>
    <t>…a al Gobierno español. determinar en cada caso particular lo que creyese conveniente. La conducta observada por el príncipe D. Aligue! desde que manifestó _ Este dictámen suscitó una discusión entre varios Sres. Procuradores, que D. Cirio: sus provectos de usurpación, y muy especialmente la aXttud amena dando al fin aprobado. zadora y hostil que Había tomado contra la legítima Soberana-de España, de | Si Sr. Florez. Estrada, i nombre de ia «emisión de Hacienda, pidió se au jaban libre v dcsemhaiarado á su Gobierno para seguir la lín…</t>
  </si>
  <si>
    <t>…moria leída. También se aprobó el díctámen de la misma relativo á que se exonerase Se nombró para la comisión especial de examen del expediente del Prín del cargo-de Procurador 4 O. Juan -Domingo Baimaseda , que lo es por la cipe D. Cirio* -al Excmo Sr. obispo que fue de Mallorca D. Pedro Valiejo, provincia de Avila, á causa de los males crónicos que padece , según él mis en lugar del Sr. arzobispo de Búrgos; y para la &lt;de Gracia y Justicia, en mo Jo había solicitado. .lugar del Sr« obispo de ValladoÜd al Excmo. Sr. obispo de Cóvbob…</t>
  </si>
  <si>
    <t>…ación dei abatimiento en que se halla. La duos que tienen derecho á dichas fundaciones. Asi es que se mandaron vender mayor, la que ma» necesita el cuerpo político, recae sobre el abuso que mas le nr&gt; fincas en el reinado del hr. D. Cirio, iv , cuyos Reales decretos mmdó ha conducido á la decadencia espantosa en que se halla; es la relativa á la amor ejecutar y cumplir el Rey difunto, ¡nmediat.imcntc después de haber subido al tización civil y eclesiástica. Cuantos escritores han tratado esta materia han trono por la abdicación de s…</t>
  </si>
  <si>
    <t>Cirios</t>
  </si>
  <si>
    <t>…esta ciudad de la entrado en y velocidad, Guarda c*n tanta intrepidez habían La 1.* se pusiera brigada dispuse que buscar anoche para en marcha , que Íirovincia sé los coche* apoderaron de carruagesjrtrtenecíentes al servicio de D. Cirios, y lo* y hallara. os en el en cualquiera batirlos punto donde reino.de Navarra, i quien persiguieron en la dirección i Caatello-Brinco. Para «1 efecto hice marchar una hora ante» del amanecer .del d£a de hoy é U</t>
  </si>
  <si>
    <t>…s maquinaciones de los malévolos que intentan sumirnos acompañando sus avisos de la duda racional y prudente qué excitaba el ¿decidir en mayores desgracias que las pasadas, en las que no ha cabido pequeña parte si era el Príncipe D. Cirios ó un agente suyo que se valia de este ardid para fitlos ¡jres. Secretarios, del Despacho. animar á sus parciales, á tiempo que la llegada de las tropas de la Reina ha , - «Tampoco sabemos de cierto si el Infante se halla ó no en Navarra, si bía infundido en ellos el mayor desaliento. Todo era duda,…</t>
  </si>
  <si>
    <t>…al Monarca legítimo del trono , se hi S. M. la Reina Gobernadora, y condescendiendo con la generosa ioietce* cieron en tiempo en que no tema lugar la cuestión de sucesión; cuando el tion de sus augustos Aliados), que al Príncipe D. Cirios se Je señalaría una Principe de que se trata era el sucesor inmediato; cuando tenia fundadas espe asignación decorosa, para durante su vida, bajo la condición de no elegir para ranzas de poseer legalmente la corona. lugar de su residencia ningún punto que pudiese inspirar justos recelos al Go- «Vim…</t>
  </si>
  <si>
    <t>…conocer como su sucesora á su hija, nacida antes proclamar que' Doña Juana, su madre , era la Reina propietaria; y si con de D. Fernando de la Cerda: y como la jura lleva consigo un reconocimiento sienten en que mande á su nombre D. Cirios , « con tales miramientos y del derecho; como en aquel caso y en otros semejantes, no hubo n¡ pudo ha cortapisas que manifestaban que «ta condescendencia misma era un cacrifício que ber mas exclusiva que el nacimiento posterior de un Príncipe varón, de ahí hacían* El nombre de la Reina debía ir sie…</t>
  </si>
  <si>
    <t>…una cuestión de raza 6 de dinastía, es una cuestión yaba, sin haber podido hacer otra cosa; y concluyó diciendo que las razones en de civilización. que se habia fundado la comisión habían sido las de la conveniencia pública. «Si D. Cirios reinare en España,esta volvería en breve á los s:glos bárbaros. El Sr. conde de Toreno: «&lt;Me habia propuesto no tomar la palabra para Porque ¿quiénes serian los que se apoderarían de Us riendas del Estado! las dos apoyarle! proyecto de ley tal como lo ha presentado el Gobierno, porque clases'peores…</t>
  </si>
  <si>
    <t>…n se dice que le cuesta mucho trabajo mantener la rier.) disciplina entre'sus tropas, añadiendo que le tienen muy irritado algunas ten- - talivai que se-han hecho para corromperle; pero que vive tan retirado, qúe __Hemos oído que D. Cirios y su familia, domiciliados al pnoeute en apenas apercibe el pueblo de su presencia en Siria. Muchos consideran esto Portsmouth, han manifestado vivos deseos de comprar tierras en las ceicaniás «amo un mal síntoma , y creen ver en ello una astucia del viejo Mehemet-Alí de Lóndres, y de vivir allí como…</t>
  </si>
  <si>
    <t>…por 1 j J, esta parte del Guadiana,-disponiéndome para atacarlos; pero después se ha con Deuda iiee -cuble del &lt; p. 100 á papel, 20J al contado; 2Oí a 30 d. f. 6 vol. firmado por varios conductos que Moreno -obedeció la órden de D. Cirios, di Id. sin Ínteres. 13 al contado. solviendo dicha gente, y que con solos ISO hombres que le quedaron, se di Acciones del banco español, 00. rigió á Evora, diciendo iba á entregar las armas; y por no retardar mas tiem camAios. po la remisión de este parte , no espero el regreso del confidente para…</t>
  </si>
  <si>
    <t>…el momento que asi lo exige su tado poruña faction rebelde y sanguinaria: crecían y se fomentaban tan ini conservación ó felicidad. Las páginas de la historia nacional están llenas da cuos intentos á la sombra de! mismo nombre de D. Cirios, sin que este prín ejemplos que pudieran ilustrar esta'materia. Las Cortes del reino diéion á San cipe curase de acallar los1 rumores que en desdoro1 de su lealtad circulaban Fernando la corona que le dsputabs su padte. El conde de Urge! petd:ó todos por la Nación y alentaban criminales esperanzas.…</t>
  </si>
  <si>
    <t>…ra que maldigan aquella fatalidad que temerse ahora que entonces entrar en el análisis de las cosas. les hizo nacer hombres, envidiando la suerte de! perro que corre ahullando «Dije que como juez fallaría en favor de los hijos de D. Cirios á falta por las calles, ó la tosca fiera que habita los desiertos montes: mas allá en lon de sus dos augustas primas, si solo se atendiese á las leyes que cita la comisión; tananza del cuadro, se divisa'un vasto, soberbio y tenebro.o edificio. Es el pero por fortuna no nos hallamos aquí como jueces…</t>
  </si>
  <si>
    <t>…nos, lo mismo; pero no podía darse e por norte e&gt;te pr ncipio , sin incurrir « No debe pues considerarse como pena la exclusión del trono de los hi en una contradicción muy notable. Por esto ha tenido que enceriarse en un jos de D. Cirios, cuya suerte á la verdad es digna de Jástirm: lo será para círculo que no era el debido , uno mucho mas estrecho. Me explícate. Cuan ellos , sí , porque se les príva de los goces del derecho que pudieran tener al do se trata de exigir juramento á los jueces, tengo entendido (y si no es exacta trono…</t>
  </si>
  <si>
    <t>…a debe colocarse en Ja torre que se acaba do- construir en !a punta de . - Se dice que han llegado á esta ciudad varios españoles emigrados partidarios San Martin de Bnrntz, que dista una milla marina al N. E. de la linterna acde D. Cirios con ricos despojos de joyas de oro y plata que han robado i iglesias ÍIJJtuai _, yi' i\r*.Jos vy media millasm.'IU. al..I CS. ‘J-IO33° f~\O. deJ i¡a embocadura.« . de!■ . rio1 Adour. La y monasterios, y que tratan de vender estas alhajas destinarías ul servicio divino á linrerna nueva se podrá desc…</t>
  </si>
  <si>
    <t>…ipio habrá sido olvidado» p Otaxu?1.V¿tpr¡a, Llano» Cbavarrí y Bíancfo: y Otra para que entienda en el ti se quiete» también la ley; pero i por el desuso de esta ó el defecto de toa ¡ur proyectó A*, Í*T T*l«üro fi la exclusión de D. Cirios de la sucesión é la coro- ces se ha de pedir que se sancione un principio que todos reconocemos? Lo tan m, compuesta de lo» Sm. Gofixalex (D. Juan Goaiberto), Cano Manuel go por tnfilil. Yo pediría á loa señorea que han firmado la petición que modr- *—r l,^!i-.y w. - ^--------------- --------------------…</t>
  </si>
  <si>
    <t>…haya regido por la citada ante». No habiéndolo, pues, habido, como es notorio, y disponiendo dicha ley que las mugeres de mrjor : IITA^EItlD US PEOClI*ABOlB«. línea y grado sean preferidas, ; por qué razón se puede pretender que D. Cirios tenga un derecho preferente i Doña Isabel u i Sefion del dia 8 dt Octubre. 99Pero examinemos el origen de este pretendido derecho; busquemos el baluarte de su defensa: la ley sálica promulgada por Felipe v. Esa ley estable Se abrió ílas once y cuarto, y leída el acta de la anterior quedó apro cida…</t>
  </si>
  <si>
    <t>…mas Sres. que retirasen su proposición.”. tablado negociaciones al efecto con los Gobierne» aliados, j Pues qué el Gobier El Sr. conde de leu Npuas. « La adición que acaba de oir &lt;4 ¡Estamento, no español-, sin hacer prisionero á D. Cirios, tenia derecho, para reclamarle y es la que insinué ayer en mi discurso. Por mi parte no tengo embarazo en -que para exigir que nos lo entregasen á la fuerza!._ Habíanle perseguido nuestras s? retire con tal de que conste en el apta el objejo con que *e ha ¡hecho, qqe no tropas valientes desde la f…</t>
  </si>
  <si>
    <t>…al proyecto de ley presentado por el Sr. Secretario del Despa las comisiones de Código penal, y la nombrada para examinar el proyecto de cho del mismo ramo sobre deuda extrangera. ley relativo á excluir de la sucesión al Trono i D. Cirios; habiendo recaído para la primera el nombramiento de decano en el Sr. Ochoh, y el de secreta Dictamen presentado al Estamento de Procuradores, del reino por rio en el Sr. Bendicho; y para la segunda el de decano en el Sr. Cano Manuel la comisión de Hacienda en lí de Setiembre de 1834.(padre) , y el…</t>
  </si>
  <si>
    <t>…o del Se baria si gustase. ñor D. Carlos ni ascendieron los gastos á 91 millones, y llegaron á la enor «De otra suerte, si los individuos de la oposición se guiasen solo por ha me cantidad de 100 millones de rs. en tiempo del Sr. D. Cirios iv, abuelo blillas Vulgares, como dicq el Sr. Galiano, y el Gobierno siguiendo dicho ejem de nuestra inocente y amada Reina. plo hiciera otro tanto, y juzgara á la misma oposición por hablillas también Preciso a confesar que atos excaos con ninguna ventaja compensados, vulgares de esas que se espar…</t>
  </si>
  <si>
    <t>…sé de Viñals.rrIgnacio Samponts. r= J oaquín que los 1 $0$) .ducados que percibe en* U actualidad dicho Sr. Infante, y que en Cáccres. = Saturnino Calderón y Collantes, Vocal Secretario. 1821 gozaba exprimo decreto el Sr- Infante D. Cirios, proceden de la asig nación que por Real órden de 9 de Setiembre de 1788 se concedió sobre los Voto particular -fondos del tesoro al Sr. Infante D. Gabriel para sí, sus hijos y sucesores, co mo pensión alimenticia agregada al Gran Priorato de la órden de 5. Juan, AL deber penoso, y por cierto nada…</t>
  </si>
  <si>
    <t>…ía dado por toda respuesta que «estaba resuelto nando vit (Q. E. E. G.), y V. M. como Reika Gobernadora de una parte, á efectuar su embarque en Lisboa cuando aquella ciudad fuese restituida al po y de otra el referido Sr. Infante D. Cirios, relativamente al cumplimiento de der legítimo del Rey”: y en contestación (de igual fecha) á los esfuerzos del ía obligación en que este se haftába de reconocer y jurar á S. A. R. (aho plenipotenciario , expresó «que este ya no tenia que tratar del asunto con $. A., ra ia Reina mi Señora Doña Isab…</t>
  </si>
  <si>
    <t>…llamó al siguiente dia y le dijo: «ya lodo ha depósito el que los tenia á su cargo, que por medio de aquellas tentativa* se variado; y ahora soy yo el legítimo Rey de España. Como tai tú eres mi mi aspiraba á sentar en el trono á D. Cirios, desposeyendo á su augusto Hermana nistro, y reclamo tu obediencia, esperando que seas el primeio que me reco í viva fuerza, ó arrancándole una renuncia. Pero no consta un solo acto de pa nozcas.” Y habiéndose negado á ello el D. Luis Fernandez de Córdoba con la labra ó por escrito, por el que dich…</t>
  </si>
  <si>
    <t>…de 12 drán juzgar todos los que quieran asistir á estos cursos de la importancia y uti de Abril hizo caer las armas de manos de D. Miguel y de sus tropas: las cláu lidad de su institución- sulas adicionales de ahora convencerán á D. Cirios y i sus partidarios de qué En cuanto á su objeto y á su forma, el título mismo los determina; aquel hubiera sido mas prudente para ellos no haberlas tomado. debe ser la exposición de la carta y de las garantías individuales, como tam bién de las instituciones políticas que consagra. Esto ya para noso…</t>
  </si>
  <si>
    <t>…o 't. El 27 penetra en el Bastan la tropa de la Ruina por tres distintas gargantas sin tienen sendas por las que apenas pueden carplnar las mutas, facilitan al .eneini-, encontrar al enemigo en ninguna parte. Desde el 24 costeaba D. Cirios ái o los .medios de libertarse continuamente de los que te persiguen, como hpcc frontera.de Fratveia por la parte de los Alduides para entrar én Eugui, y e! día § iumalaCarrcgui respecto á Rodil. 16 ya había huido hasta Rqncesvalles, punto celebre por su colegiara, cuyos</t>
  </si>
  <si>
    <t>…deMuniqueta, que ocupó, retrocediendo tregarme en primera ocasión.. á su anterior posición luego que supo fijamente mi dirección. Nuestra pérdida ha consistido en 8 soldados muertos, 3 oficíales y 12 in *&gt; Habiendo sabido hoy que D. Cirios salió de Guernica ayer á las cinco de dividuos de tropa heridos, un oficial contuso, 8 caballos muertos y tres heri la tarde llegando á Villaro á las doce de la noche, calculé que su entrada en el dos; cuya pérdida se ha repuesto ya con los aprehendidos en la acción. valle de Arratia tenia por obje…</t>
  </si>
  <si>
    <t>…ta este punto la cuestión es material, de datos, Gastos de la Cámara de la Reina. ...................................... 640,1100 tangible, según la expresión que un.Sr. Procurador ha usado, y que ha repe Consignación del Infante D. Cirios...................................... 1.65u,000 tido el Sr. Arguelles. De esta reflexión deduzco la impugnación á un argu Cuya cantidad se puede rebajar, lo mismo que la siguiente, mento del Sr. Caballero: y aunque no guarde el mismo órden que han segui que es la de su Esposa Daña María Francisca............................... 600,000…</t>
  </si>
  <si>
    <t>….tos términos: •&gt; Vuestros esfuerzos no, han producido todo ef efecto que ____ El periódico la Guientte vuelve á expresarse con mas confianza desdarme era de desear; pero nosotros creemos qué no esta.lejos él tiempo en que se cum D. Cirios-, para conseguir -victorias, ha estimado prudente no aceptar batallas, la nación con los argumentos y autoridad de un abogado como vos.” (Tinuj.j huida continua de un Príncipe cuyo solo nombre dabia sublevar toda Es pañi, iia una medida, cuya justicia intrínseca ha sido recomendada al Parlamento y y…</t>
  </si>
  <si>
    <t>…dos. noveleros se han ocupado con mucho intetes en averiguar el verdadero carácter de este personage, y el objeto de sus viages. Lo que se ha podido saber de posi Caballos enteros... 8 4,ooos 33 tivo es que el barón no ha visto á D. Cirios, y*que aunque se ha encontrado Idem capones..... 1,283 461,880 6,4u2 en medio de las tropas carlistas, estas no le han detenido. i Yeguas.................... 1,770 637,200 9,328 El barón llegó ayer á Burdeos; pero las autoridades parece hallarse inde Potros................ 682 81,840 3,751 cisas so…</t>
  </si>
  <si>
    <t>…Birca, Fontagud G»tvoque lo había dicho sencillamente, asi como podía augurar que en Madrid mis 11o, marques de la Gíndara, Martel, Jaramiílo, Carrillo de A bornoz, Palamo habia personas que estaban por sus opiniones mas cerca de D. Cirios que rea, marques de Montesa, Losada, Puga, marques de Valladares, Florez Fu de la augusta Reina Gobernadora. trada, Cuenta, marques de Villagarcía, Trucba Cosío, Villalaz , Agreda, Como S. S. se extendiese en manifestar los perjuicios que traían a la cau González Prrczr conde de Hust, López del Bañ…</t>
  </si>
  <si>
    <t>…ndonar su* puchos, sus familias é hijos, y vivir en un muy b en que ei Sr. Presidente del Consejo de Ministros, al hacer la relación pueblo mas caro. Pues bien , siguiendo la idea del Sr. Florcz Entrada y del se de la conducta de D. Cirios, hizo presente que su rebelión traía origen desde ñor ministro de Hacienda, que todos los empleados cuyo sueldo exceda de 129 el año 20. Desde entonces estaba á la cabeza de Jos carlinos, de esa facc/on reales dejen la'mitad del exceso á beneficio de la patria, en calidad de présta apoyada por los…</t>
  </si>
  <si>
    <t>…n 8.° regular. Contiene todos los acontecimientos mas memorables ocurridas en ia Pe do él el flanco izquierdo del camino, proporcionaba continuar su marcha á la nínsula desde sus primeros pobladores hasta el fallecimiento del Sr. D. Cirios 111; la caballería; todo lo que se consiguió llegando á Bilbao á las ocho de la noche, historialos Monarcasparticularque hande losreinadoReyesendeEspaña,Aragón yy unNavarra;índice deunalostablaprincipalescronológicasucesos,de todoscón pero dejando á Belluti á su retaguardia, pues que perdido de vis…</t>
  </si>
  <si>
    <t>…ley irrevocable. No, se— glamento. Pero en. los tres siglos fqué^medüuron desde las antiguas Cortes de ñores, no lo mira mas que como ütu especie de máquina para lograr ufa efec Cataílta, reunidas por ¿1 tima vez en Toledo por el Rey Cirios i en 1538 has to; y sabido es que las máquinas no se prueban en los gabinetes» sino en Ja ta k época actual, seguramente no «ostehdrá elSr. Arguelles ni nadie que Jas práctica. Estuvo tan lejos de querer que fuera irrevocable, que admitió Alba es^ Córffes qüe se rcúnian de*tarde en tarde, se diesen…</t>
  </si>
  <si>
    <t>…ose después en probar su utilidad, culi ei el de.que con* empréstitos extrangeros, las leyes sobre abolición del voto de Santiago , y so viene mucho que los Sres. Secretarios del Despacho puedan ser electos Procu bre exclusión de D. Cirios y de su línea, responden terminantemente, ade radores. Estamos enteramente conformes en este puntó; pero no lo estamos ea más de las muchiS peticiones ya discutidas. Si por traba se eqticnde el deteni cuanto á que las trabas que presenta el reglamento, sean solo para el mejor de miento en la discusión ,…</t>
  </si>
  <si>
    <t>…al aplau- Madrid 22 di Junio, sp; J&gt;eco4 principalmente el segundo, porque ^1 primero ya se aguardjba. La exciustori del general Mina de las amnistías anteriores había sido muy sentida, Un parte telegráfico de Londres anuncia que D. Cirios ha llegado á Ports* f se atributa á influencias particulares que ya no existen: pos prometemos que mouth en la noche del 12 al 13 á bordo del J&gt;onegal, habiendo dejado el citando ,su,salud lo permita^ volverá á España, donde acogido con entusiasmo puerto de Aldea Gallega el 3 de Junio. fódrtf sér é…</t>
  </si>
  <si>
    <t>…, y no asciende á menos regu Dresde 3 de Junio. larmente el perjuicio que ha hecho á las propiedades circunvecinas: la facili dad que dió el abrigo de esta ciudadela á los holandeses para mantenerse en Escriben de Tóeplitz que el Rey Cirios x llegó el 30 de Mayo con el duGante después de la revolución de Bruselas, ha ocasionado grandes pérdidas al ^ue de Burdeos y y. comitiva con ínimo de residir un mes en aquella ciudad. comercio. (Mercurio.) ' xúiza. INOLATBIRA. / landres 12 de Junio. Basilea de JunioEn la mañana del 5 hubo una subi…</t>
  </si>
  <si>
    <t>…del proyecto de, construcción de un ca vapor Francisco 1 para Génova , acompañado de las princesas sus bijas. mino de hierro desde Ambéres á Coloniy , vemos que al principio del siglo x»v El general Toledo, nombrado embajador por D. Cirios cerca de la corte era ya Ambéres una de las ciudades mas poderosas de Europa. Veíanse frecuen dé Ñipóles , no ha sido admitido á la audiencia del Soberano, lo que parece con- temente en 1550 dentro de sus puertos 23 buques cargados de mercancías, y firmar.la noticia de que se renovarán las relacion…</t>
  </si>
  <si>
    <t>…cio de los pueblos. Estoy persuadido de que cualquiera em • No debemos olvidar que está muy próxima la discusión del proyecto de presario que tornea su cargo el diario de Córtes, exigirá como una de las con ley sobre exclusión de D. Cirios; no porque yo crea que ningún Sr. Procura diciones que la suscripción sea obligatoria. Si á los pueblos-, que ya tienen ne dor quiera evadirse de asistir á ella, sino porque cuanto mayor número haya, cesidad de suscribirse ql diario de la Administración, y no se si á la Gaceta, tanto mas marcado ll…</t>
  </si>
  <si>
    <t>…nocible como la anterior» personas que le manejaron : entre ellas aparece el mismo Mr. Jauge, que-en el «Qué se deduce de aqui? Que por desgracia estamos agoviados con dos clases de dia está agenciando en París el empréstito para D. Cirios, y ha sido preso y deudas; una auténtica, legítima hasta no'mas, y que por lo tanto hasta inútil puesto ante un tribunal; y si bien luego echadoá la calle; no por eso deja de es decir que debe reconocerse: otra que no lo es tanto, que no tiene las for—■ continuar en su empresé , esperanzado con el…</t>
  </si>
  <si>
    <t>…ación del servicio ordinario será de un mes.” Opina la comisión que puede para los efectos convenientes, 200 ejemplares de la ley que excluye al Infante admitirse det modo siguiente: «En las-plazas de guerra, cuando la Milicia ur D. Cirios y su linea de la sucesión i la corona de España. Se mandaron dis bana tenga que sustituir ó auxiliar 4 la guarnición, la duración del servicio or tribuir entre los Sres. Procuradores, y archivar los restantes. dinario para estos cuerpos será de un mps.” . El Sr. Presidente anunció que habiéndole mani…</t>
  </si>
  <si>
    <t>…andera de D. Pedro, que según parece está se extendían á creer que a principios de Marzo había de penetrar por la fron cruzando sobre las aguas de la costa de Portugal, el que largó un bote y pasó tera de Portugal el pretendiente D. Cirios, i la cabeza de un grueso ejército, en él á bordo de la balandra inglesa en donde yo me encontraba, el coman con otras voces vagas , igualmente absurdas, pero no menos funestas; pues que dante de dicho vapor, que después de haber tenido algunas contestaciones abusando con ellas de la incauta credul…</t>
  </si>
  <si>
    <t>…nombre y durante su menor edad la car á su costa un reconocimiento general de f «ia la línea con la» Reina Gobernadora. Córrespond¡entes nivelaciones, á fin de comprobar y rectificar las En el reinado de mi excelso Abuelo el Sr. D. Cirios m, de glo que hizo Rocha, y determinar con la debida exactitud la altura del riosa memoria, se trató á solicitud de la villa de Tamarite, en el principio del canal para la toma de aguas de los rios Esera yCjnca. reino de Aragón, del proyecto de un canal de riego, que aprove Art. 41 Fijada esta altu…</t>
  </si>
  <si>
    <t>…e xos diputados.__Sesión del 2 de ídem. INGLATERRA. •* Continúa la discusión sobre la organización de Argel. Lóndrcs 10 de Mayo* El vicepresidente recuerda diferentes modificaciones propuestas, y juzga La noticia que dimos de que D. Cirios se habia embarcado para Inglaterra, que primero debe votarse la modificación de M. de Sade , en que se propone no tiene aquel carácter de seguridad con que noticias de esta importancia sue una reducción de 400$ francos, aplicables á los gastos de colonización. Des len anunciarse- La dimos bajo la f…</t>
  </si>
  <si>
    <t>…pidió que si había votación sobre este punto acerca de la causa complicada y larga que sobre este pumo emprendió ei du fuese nominal. Esto excitó un Ligero debate, que terminó sin votación ninguna; que de Arcos en petición al Sr. D. Cirios m. Extraño es en verdad que sé y pasándose á leer la petición según estaba prevenido en la órden del dia. perdiese el documento original, que era interesantísimo conservar á toda cos Señora. Los Procuradores del reino se dirigen á V. M. con la presente ta, y no pereciese la copia, cuyo objeto no se…</t>
  </si>
  <si>
    <t>…et como se enterará V. E. por menor de la adjunta copia del parte que1 me ha tratado llamado de la cuadrupla alianza con España, cuyo objeto es expulsar á dado D Juan Manuel de Ondarza, capitán déla trincadura Cristina , que con D. Cirios, este Príncipe es el enemigo común , contra el cual U-Rüina Isa- su acreditado celo y actividad ha contribuido 4 tan gloriosa jórnadi. Dios &amp;£.- &gt;ei ii pelea en este momento: y por tanto queda prohibido, bajo Jas penas se* haladas en los artículos 77, 79 y 84 del código penal, proveerle de ningún P…</t>
  </si>
  <si>
    <t>…no tuvo presente que si el importe de este tribu y los demas ésten bajo la dependencia del ministerio de lo Interior. nal es i la verdad considerable , y casi tanto como el del supremo de España é «No ignoro que en tiempo del Sr. D. Cirios iv esruvo reducido á 4 eQ Indias, se debe esto á que no es exclusivamente un tribunal, puesto que en él alguna ocasión el número de togados del consejo supremo; parro asistían los se trata y decíde lo relativo a premios de constancia de las clases de tropa de ministros necesarios de los demas conse…</t>
  </si>
  <si>
    <t>Cirios, D</t>
  </si>
  <si>
    <t>D Cirios</t>
  </si>
  <si>
    <t>…primir las maquinaciones de los malévolos que intentan sumirnos acompañando sus avisos de la duda racional y prudente qué excitaba el ¿decidir en mayores desgracias que las pasadas, en las que no ha cabido pequeña parte si era el Príncipe D. Cirios ó un agente suyo que se valia de este ardid para fitlos ¡jres. Secretarios, del Despacho. animar á sus parciales, á tiempo que la llegada de las tropas de la Reina ha , - «Tampoco sabemos de cierto si el Infante se halla ó no en Navarra, si bía infundido en ellos el mayor desaliento. Todo era duda,…</t>
  </si>
  <si>
    <t>…ra lanzar al Monarca legítimo del trono , se hi S. M. la Reina Gobernadora, y condescendiendo con la generosa ioietce* cieron en tiempo en que no tema lugar la cuestión de sucesión; cuando el tion de sus augustos Aliados), que al Príncipe D. Cirios se Je señalaría una Principe de que se trata era el sucesor inmediato; cuando tenia fundadas espe asignación decorosa, para durante su vida, bajo la condición de no elegir para ranzas de poseer legalmente la corona. lugar de su residencia ningún punto que pudiese inspirar justos recelos al Go- «Vim…</t>
  </si>
  <si>
    <t>…inado del Se baria si gustase. ñor D. Carlos ni ascendieron los gastos á 91 millones, y llegaron á la enor «De otra suerte, si los individuos de la oposición se guiasen solo por ha me cantidad de 100 millones de rs. en tiempo del Sr. D. Cirios iv, abuelo blillas Vulgares, como dicq el Sr. Galiano, y el Gobierno siguiendo dicho ejem de nuestra inocente y amada Reina. plo hiciera otro tanto, y juzgara á la misma oposición por hablillas también Preciso a confesar que atos excaos con ninguna ventaja compensados, vulgares de esas que se espar…</t>
  </si>
  <si>
    <t>…atien 8.° regular. Contiene todos los acontecimientos mas memorables ocurridas en ia Pe do él el flanco izquierdo del camino, proporcionaba continuar su marcha á la nínsula desde sus primeros pobladores hasta el fallecimiento del Sr. D. Cirios 111; la caballería; todo lo que se consiguió llegando á Bilbao á las ocho de la noche, historialos Monarcasparticularque hande losreinadoReyesendeEspaña,Aragón yy unNavarra;índice deunalostablaprincipalescronológicasucesos,de todoscón pero dejando á Belluti á su retaguardia, pues que perdido de vis…</t>
  </si>
  <si>
    <t>…Real nombre y durante su menor edad la car á su costa un reconocimiento general de f «ia la línea con la» Reina Gobernadora. Córrespond¡entes nivelaciones, á fin de comprobar y rectificar las En el reinado de mi excelso Abuelo el Sr. D. Cirios m, de glo que hizo Rocha, y determinar con la debida exactitud la altura del riosa memoria, se trató á solicitud de la villa de Tamarite, en el principio del canal para la toma de aguas de los rios Esera yCjnca. reino de Aragón, del proyecto de un canal de riego, que aprove Art. 41 Fijada esta altu…</t>
  </si>
  <si>
    <t>…vas pidió que si había votación sobre este punto acerca de la causa complicada y larga que sobre este pumo emprendió ei du fuese nominal. Esto excitó un Ligero debate, que terminó sin votación ninguna; que de Arcos en petición al Sr. D. Cirios m. Extraño es en verdad que sé y pasándose á leer la petición según estaba prevenido en la órden del dia. perdiese el documento original, que era interesantísimo conservar á toda cos Señora. Los Procuradores del reino se dirigen á V. M. con la presente ta, y no pereciese la copia, cuyo objeto no se…</t>
  </si>
  <si>
    <t>…ón, no tuvo presente que si el importe de este tribu y los demas ésten bajo la dependencia del ministerio de lo Interior. nal es i la verdad considerable , y casi tanto como el del supremo de España é «No ignoro que en tiempo del Sr. D. Cirios iv esruvo reducido á 4 eQ Indias, se debe esto á que no es exclusivamente un tribunal, puesto que en él alguna ocasión el número de togados del consejo supremo; parro asistían los se trata y decíde lo relativo a premios de constancia de las clases de tropa de ministros necesarios de los demas conse…</t>
  </si>
  <si>
    <t>Cirios, I</t>
  </si>
  <si>
    <t>I Cirios</t>
  </si>
  <si>
    <t>…n habí» ninjun hr. Pro.uridor que desease ruó. «r v &gt;. enr ■'.■n general , para evitar ?e la cnoa^c ; y asi lo ejecuto c^n la» «.edulis presentadas se hubiera votado que se cerraba la dicusi o , e. Minof; -. lu'-ien ova.ni prr el Sr. I&gt;. Cirios i\ en Abril y Noviembre de \7'j2 , Octubre de l~Vh y ji palabra; pero no ha hecho e*.t'- Lo tni.vidun «"e a c m n --a e-'jd-* Julio de 180?» relativas á empréstitos con Holanda, no aprobando mas hablando, y no es extraño qu¿ ?¡ t» bierm' quien hab.a* éoruc&gt; &gt;. c. tst.ique una. ’ TTKT.to dc.ide que…</t>
  </si>
  <si>
    <t>Cirios, Infante D</t>
  </si>
  <si>
    <t>Infante D Cirios</t>
  </si>
  <si>
    <t>…salida, había dado por toda respuesta que «estaba resuelto nando vit (Q. E. E. G.), y V. M. como Reika Gobernadora de una parte, á efectuar su embarque en Lisboa cuando aquella ciudad fuese restituida al po y de otra el referido Sr. Infante D. Cirios, relativamente al cumplimiento de der legítimo del Rey”: y en contestación (de igual fecha) á los esfuerzos del ía obligación en que este se haftába de reconocer y jurar á S. A. R. (aho plenipotenciario , expresó «que este ya no tenia que tratar del asunto con $. A., ra ia Reina mi Señora Doña Isab…</t>
  </si>
  <si>
    <t>Cirios, Mariano</t>
  </si>
  <si>
    <t>Mariano Cirios</t>
  </si>
  <si>
    <t>…ombre de su sobrino, real y verdaderamente con. suyos, Se leyó y aprobó el acta de la sesión anterior. en razón de que el sobrino no puede disponer de las fincas hipotecadas-á que Se mandaron pasar á la comisión de Poderes los de D. Mariano Cirios se refieren. Tjenen los arrendadores derecho de sentarse en el Estamento, ¡y no de Onís, electo Procurador por la provincia de Salamanca , con documentos han de sentarse,los que tienen fincas arrendadas ’ de tu aptitud legal. «Por estas consideraciones suplico á la comisión de Poderes reforme su Ta…</t>
  </si>
  <si>
    <t>Cirlota, Francisco de Paula y Doña Luisa</t>
  </si>
  <si>
    <t>Francisco de Paula y Doña Luisa Cirlota</t>
  </si>
  <si>
    <t>…lo probaron en las críticas circunstancias no, en el presupuesto que formó, tuvo Sin duda presente que eran ocho los hi y sucesos de la Granja de Octubre de 1832, nos deben impeler á ser justos y jos que tenían los Sres. Infantes D. Francisco de Paula y Doña Luisa Cirlota, generosos con él, manifestando del mejor modo posible nuestra gratitud. y no se le pasó por alto que todos tenían la calidad de¿ Infantes de España- Y «Bien sé que las economías son necesarias, indispensables, y desde luego aunque ninguno tenia declarada la asignación de tal, todos tienen ios hono…</t>
  </si>
  <si>
    <t>Cirlota, Luisa</t>
  </si>
  <si>
    <t>Luisa Cirlota</t>
  </si>
  <si>
    <t>…cas circunstancias no, en el presupuesto que formó, tuvo Sin duda presente que eran ocho los hi y sucesos de la Granja de Octubre de 1832, nos deben impeler á ser justos y jos que tenían los Sres. Infantes D. Francisco de Paula y Doña Luisa Cirlota, generosos con él, manifestando del mejor modo posible nuestra gratitud. y no se le pasó por alto que todos tenían la calidad de¿ Infantes de España- Y «Bien sé que las economías son necesarias, indispensables, y desde luego aunque ninguno tenia declarada la asignación de tal, todos tienen ios hono…</t>
  </si>
  <si>
    <t>Ciscar</t>
  </si>
  <si>
    <t>…s: «Siempre tendré placer en rendir un homenage á nues Señores que desaprobaron: Llano Chavarri, Samponts, Palaudarias, Puig, tra augusta Riuna Gobernadora por habernos restituido las leyes fundamenta Istúríz, conde de las Navas, Caballero, Ciscar, Fontagud Gargolio, Galwe\, les de la monarquía, anunciándonos en su discurso de apertura de las Cortes González Perez, Marti, Del Rey, Ciscar Oriola. qüe el Estatuto Real había echado los cimientos del edificio que nosotros En seguida se leyó el párrafo del proyecto del Gobierno que asignaba al de…</t>
  </si>
  <si>
    <t>…y hecho el servicio, moral permanente legalmente declarado,” puede intercalarse en el artículo 3.°, no entraran en suerte en el siguiente. después de la primera ¿alidad, poniendo: »ser español ó naturalizado legalmen 3. a La del Sr. Ciscar , que dice: te , con tal que cuente un año de vecindad en el pueblo en que sea alistado, «Pido al-Estamento se sirva adoptar el que se diga con asistencia dt dos siempre que no tenga algún impedimento físico ó moral permanente legalmen- mayores contribuyentes, y del com indante efectivo &amp;c.” La com…</t>
  </si>
  <si>
    <t>Ciscar, D Ramón</t>
  </si>
  <si>
    <t>D Ramón Ciscar</t>
  </si>
  <si>
    <t>…en de documentos presentó su dictamen acerca de se exonerase al Sr. D. Guillermo Oliver, electo Procurador por la provincia los presentados por el Excmo. Sr. obispo de Huesca y Excmo. Sr. marques de de Tarragona, en reemplazo del Sr. D. Ramón Ciscar, de su cargo, por ha Cerralbo, opinando que debían ser admitidos. Aprobado. llarse achacoso, y ademas no poder faltar de su establecimiento mercantil que El Excmo. Sr. Presídeme señaló para Iq sesión inmediata el miércoles 20 tiene en unión con el Sr. D. Ramón de Llano y Chavarri, electo también de…</t>
  </si>
  <si>
    <t>Ciscar, Ramón</t>
  </si>
  <si>
    <t>Ramón Ciscar</t>
  </si>
  <si>
    <t>…d. , por efiferenó. ’ J ' ^ ... Se pasaron..á la comisión de, Poderes lqs d¿l Sy. D. Alvaro de Navia y parques de-la Vilueña, por Soyia, por id. . ‘ ; ‘ 1 Osorio, Procurador electo por la^proqiiicU. de Oviedo, acompañados de loa, D. Ramón Ciscar, pór Tarragona, por el cólétfa. 'J ’ documentos justificativos necesarios. ' D. Pedro Martí, por id., id. . - , , El Estamento quedó enterado de una exposición del Sr. D. Antonio D. José Blanco, por Valencia, por id. i 3 Ayarza, Procurador electo por Valencia, manifestando las causas que le han D.…</t>
  </si>
  <si>
    <t>…e documentos presentó su dictamen acerca de se exonerase al Sr. D. Guillermo Oliver, electo Procurador por la provincia los presentados por el Excmo. Sr. obispo de Huesca y Excmo. Sr. marques de de Tarragona, en reemplazo del Sr. D. Ramón Ciscar, de su cargo, por ha Cerralbo, opinando que debían ser admitidos. Aprobado. llarse achacoso, y ademas no poder faltar de su establecimiento mercantil que El Excmo. Sr. Presídeme señaló para Iq sesión inmediata el miércoles 20 tiene en unión con el Sr. D. Ramón de Llano y Chavarri, electo también de…</t>
  </si>
  <si>
    <t>Ciscar, Ramqn</t>
  </si>
  <si>
    <t>Ramqn Ciscar</t>
  </si>
  <si>
    <t>…lar. . , , ___ ----Anunció-el Sr..Presidente que los’Fxcmos Sres. Próeeres Timf'hfaHns para D. Juan Manuel Subrié^porjaen, por enfermo. , f • L &gt;.T las comisiones ordinarias se sirviesen reunirse para proceder al nombramiento do "D. Ramqn Ciscar,, por Lérida, por el cólera. *”• " t¡ n9 ri * Decanos y Secretarios de ellas entre los individuos de su seno , conforme á lo ' D. Manuel Vázquez Queipo de Llano, pór Lugo, pór enfértribl ' : prevenido, en el Art. 33 del reglamento, y cerro la sesión pública para que D. José Ramón Becerra, por idí ,…</t>
  </si>
  <si>
    <t>Cisnciarelli</t>
  </si>
  <si>
    <t>…este .encargo, y las de .otros tres que participan los mo el santo sacrificio, cantándose la misa de R'quirm del célebre ^Mozart bajo la tivos que les impiden tomar parte en las tareas de ia Cámara: en seguida anun dirección del profesor Cisnciarelli, y el clero alternando óoin la música recitó . cia que va .4. leer, la minuta de respuesta al discurso del Rey, á fin de quepatos 5 responsos acostumbrados. Asistieron á tan tierna Función varios cardena sando acto continuo los diputados á las comisiones, y repitiéndose en ella, la les, prelados, l…</t>
  </si>
  <si>
    <t>Cisoerot, Antonio María</t>
  </si>
  <si>
    <t>Antonio María Cisoerot</t>
  </si>
  <si>
    <t>…odos lo* medios de defen Recitaciones, del derecho civil ramojo ^ que escribió en latín Juan Gottlíeb Heider una mala causa con sofisterías, se avergüence el hombre de honor de era- necetof traducidas libremente al castellano por D. Antonio María Cisoerot y plcarlarén las discusiones políticas. »No se necesita, dice, grande habilidad pa Cuatro tomos en 8.°, á ¿8 rs. en rústica. Se venden en la librería de Razóla. ra llevar á los hombres por el camino que señalan sus pasiones ó su provecho —~DominÍctso de institucionesCavacanónicas.—llarii institucione…</t>
  </si>
  <si>
    <t>Cistué, D José María</t>
  </si>
  <si>
    <t>D José María Cistué</t>
  </si>
  <si>
    <t>…rono de Isabel ii ; ofrecedle á par de ellas lados, haciéndoles participante^ del publico regocijo, y á las cinco, por dispo este boínenage de sincera adhesión y IcaLtad , y contad con que á objeto tan sa sición de Sr. comandante general D. José María Cistué, hubo en el campo ti grado marchará siempre el primero vuestro capitán general.=J.uis Balanzat.” tulado de Santa Bárbara un simulacro de fuego mandado po.r el mismo, al que convidó á la ciudad y á todos los demas asistentes de la proclamación, y un «Soldados: Juntos en la guerra partimos como herma…</t>
  </si>
  <si>
    <t>Cistue, José María</t>
  </si>
  <si>
    <t>José María Cistue</t>
  </si>
  <si>
    <t>…D. Manuel Ceballos Es calera avisa á este ministerio con fecha 31 de Mayo ultimo» que el día anterior bolsa i)B cose Enero.__Cotización de hoy 4 las tres de Id 'taris. le decía el coronel y comandante general de aquella provincia D. José María Cistue desde Reznos» que después de una penosa marcha de 24 Horas por los EFECTOS VUSLICOS. Terrenos mas escabrosos,-sabedor de que los facciosos acababan de salir de Ca Inscripciones en el gran libro al S p. 100, 65fj á £7 ds. f.ó yol. mbantes , continuó su marcha contra ellos por el camino de Verdejo, a…</t>
  </si>
  <si>
    <t>Cistué, José María</t>
  </si>
  <si>
    <t>José María Cistué</t>
  </si>
  <si>
    <t>…Isabel ii ; ofrecedle á par de ellas lados, haciéndoles participante^ del publico regocijo, y á las cinco, por dispo este boínenage de sincera adhesión y IcaLtad , y contad con que á objeto tan sa sición de Sr. comandante general D. José María Cistué, hubo en el campo ti grado marchará siempre el primero vuestro capitán general.=J.uis Balanzat.” tulado de Santa Bárbara un simulacro de fuego mandado po.r el mismo, al que convidó á la ciudad y á todos los demas asistentes de la proclamación, y un «Soldados: Juntos en la guerra partimos como herma…</t>
  </si>
  <si>
    <t>Ciu, S</t>
  </si>
  <si>
    <t>S Ciu</t>
  </si>
  <si>
    <t>…sos humanos. Se vende en el dcspaiho de la imprenta Real. .V.'i-'T’j rái.i'jti üil rerr.Sj,--’ ■: rpirltu a ', rscriro por el V. P. E::eí:po!i . del orden dp Ejercito del Norte de Fu&gt;pafu.—1.3 bríendd de !.i 1.a división.rrFxcmo. Sr.: S. Ciu*:áio. t r.idu .ido por el Dr. D. Da m id n (mui? hez del C1ueto. v redu cidn á lu puL.&lt;^ R.-ouou r»-pnf¡das el P. D. de, por miarno-irii^ii. (ju-iiuei. :ul un.' ed»- re/. delCon el fin de impedir el regreso del primer batallón v U caballería de rebel ..M»* dítj , idí«nn.,s en e.wgios se ,.pie^ que…</t>
  </si>
  <si>
    <t>Ciuedos.', Secte</t>
  </si>
  <si>
    <t>Secte Ciuedos.'</t>
  </si>
  <si>
    <t>i . t* '. ■ 7:, " '■ ’ \ ■ .«ft del iqencSpiújdo Btulloa Dic» 3cc.=(Juaruí generil de Stiti María de Partí sanitaria. Cubo 9' de SrtWnft»* de Í$34~£RCtifK). St.— José Manso TrExcma. Sr. Secte- Ciuedos.',: [palfecMm, . tatodrSaídn^-dÚ Ovan. ' ' Pueblos, Blas. Enfermos. AlmonaciddéZo- ? -'.5. •' .'T . {«riiflwnel' m«nw&gt; Cu«VtllaTy"si^ par» Efoo couipíSero» twwpo Al í^e 64. ,'N; 19 feiicmtin. íí9 Castor en '■, de Guricze caá . rita.h CistilU, toó h» ,uyovjpen«T»bjenet_T«iÜé '■Áf". .. 62. u;.i 11 ■ '3…</t>
  </si>
  <si>
    <t>Civil</t>
  </si>
  <si>
    <t>…io de sus sesiones., pues delito. ' to que goza dei derecho de hacer imprimir sus deliberaciones. Cinco votos solé El censor incurrirá en la multa de 20 rs. si no hubiese dado mente formaban la minoría. (_ Mensajero.") . parte al gobernador Civil, ó á la autoridad gubernativa del número fraudulento en el dia mismo en que se publicó. Art. 2Í, Las multas establecidas en los artículos ¡interiores se Munich 13 de Mayo. J . ■ entenderán sin perjuicio del derecho de los particulares en los casos Se habla todavía de conspiraciones liberales, en ^a…</t>
  </si>
  <si>
    <t>…que se forme-una comisión para examinar las Ordenatv provincia irvAtupouv. zas militares y proponer su reforma. (Id.) Real decreto nombrando corregidor de Madrid al marques viudo de Pontejos. Con fecha 1.® del corriente avisa su gobernador Civil que en él hospital (fe (Núm. 219.) / S. Juan de Dios de aquella capital habían ocurrido cinco casos de cólera en Real órden mandando que el colector generál de Espolio* y Vacantes cese en</t>
  </si>
  <si>
    <t>…e ------PROVINCIA DE BARCELONA. aplican á la industria lo* conocimientos científicos. El reino de Wurtemberg tenia ya en 1813 260 de estas escuelas frecuentada» por 109 discípulos; en 1823 Con fecha I.° del corriente participa su gobernador Civil que desde 16 á 30 de Setiembre último habian fallecido en la capital de aquella provincia 29 tenia 324. ^ que asistían 143 discípulos. La enseñanza superior es la que ha prosperado mas en Europa, y de aquí personas de enfermedades calificadas de sospechosas por los facultativos, y en el inconvenien…</t>
  </si>
  <si>
    <t>….-..a.Lnl ij¿as~ ¿¿Irnnj-; calentura» malignas, cuyos efectos no eran de gravedad. Tacaos más. Eafermos» Girados, Fallecidos. PROVINCIA BE AVILA. Rócoes.- » _____ 1 * ég.íS Otr. 932 620 4 312 En oficio de 21 ¡del actual, avisa su gobernador Civil, que ea ios ‘jceíifes. Galsiiocia_____ _ 00 13 OttBÍltC W 8 1/i saLad provincia notablemente continuaba mejorando; la pvSssára». _aquella ^ ^ VrTtcsu\r 1 Set, 30 £6 CXjl. 130 _ 2m.- 70 en desde Madrigal habían fallecido cuya villa deí cae— en •scepto id / personas SÜ.TTTVÍW á¿em¿ 5 00 á 8 Id . . J…</t>
  </si>
  <si>
    <t>…or, actividad, zelo y talentos militara que eó un grado rele carretera que desde Ja Pobia de Segur llegue á aquella capí tai. vante ha repetido en ata ocasión el brigadier D. José María Cohibí. Extracto delatarte "remitido por el gobernador Civil de la provincia de El capitán general de Aragón con fecha del 25 acompaña los partes del Huelvq D. José Huet, con fecha de 4 de Mayo actual. ‘ gobernador de Alcañiz del 24., y del coronel Nogueras del 20,22 y 23: el Dice qué la coseíha se presenta muy mala por la falta de lluvias, si bien parte del prime…</t>
  </si>
  <si>
    <t>Cj, Juan Rodríguez</t>
  </si>
  <si>
    <t>Juan Rodríguez Cj</t>
  </si>
  <si>
    <t>…se le rebajará medio real en cada uno; pero si se arrancan por cuenta de la em mayor de TorrecilLi de Cameros á D. Miguel Ibañez: para la de Burgos á presa se pagarán los precios señalados. Se hallan repartidos en los departamen D. Juan Rodríguez Cj1:: cora la de Villarcayo á D. Lorenzo Cobo de tos del Bocal y términos de la ciudad de Zaragoza; y las personas que quieran Héras: para la de Melgar de Fernamental á D. Gerónimo Tegerina: para la hacer algunas compras deberán tratar con la administración general estableci de Aranda de Duero á D. Ra…</t>
  </si>
  <si>
    <t>Cj, T E S S</t>
  </si>
  <si>
    <t>T E S S Cj</t>
  </si>
  <si>
    <t>…a Señora Doña María n, Reina de Portugal y de los Algarves, hija de D. Pedro, Empera Lisboa 3 de Diciembre. dor del Brasil y Rey de Portugal, Duque de Bntganza , y de la Emperatriz Carolina Leopoldina, Archiduquesa de Austria (Q. D. T. E. S. S. Cj.), v CjÍuara he tos diputados__ Sesión de 30 de Noviembre. S. A. R. el muy noble y muy excelente Principe Augusto Carlos Eugenio Napoleón, Duque de Leuchtemberg y Santa Cruz, Príncipe de Eichstett, hijo Aprobada el acta do la última sesión, se dió cuenta de varios oficios de SS. AA. RR. el muy alto…</t>
  </si>
  <si>
    <t>Cjhyéc, Mcijza</t>
  </si>
  <si>
    <t>Mcijza Cjhyéc</t>
  </si>
  <si>
    <t>…muerte se» la señal de una nueva, reyerta con la compañía" inglesa de las’Indias orientales, que *e negará.tal vez á reconocer porSobcrano «Se cree qtíe la Bayiera se apresuraría a aprovechar la ocasión de realizar Icgítinjo al ^príncipe Mcijza—Cjhyéc, hermanode la Reina. . . usa empresa útil y, honrosa para ambas naciones.” {Monitor ) p _ Mt'do últimamenteun Incendio en Ava (Pegú), que por poco reduce a ¿enriáis Trida esta herinosa é inmensa ciudad. ;Tres mil casas han sido presa de ---- —La Opinión pública ha estado engolfada esta semana en lo…</t>
  </si>
  <si>
    <t>CjTi</t>
  </si>
  <si>
    <t>…te: Se da cuenta dei dictamen de la comisión que ha examinado los poderes Comandancia general de las provincias Vascongadas.c=Excmo. Sr.: Por el del Sr. Vaictte, diputado electo por el deparumiento de Lozerc. La comisión coro: ¿1 D. CjTi^s Tolrá, y desde u Guardia con fecha 12 de Muzo, se me Opina que se debe anular la elección; pero la Camara , en vista de las razones d-e lo que si¿ue Excmo. ór. ■ C^mpóendo con lo que ofrec; a \ . E. en mi : que expone el interesado, desecha el parecer de la comisión, y aprueba ia elec p^rie de ay…</t>
  </si>
  <si>
    <t>Ckaparn</t>
  </si>
  <si>
    <t>…fePf0,n5,e áíon .sO sacrificio, pop tl qup compromete feuy respuasta exponrendo las rarones que pie feo obfigadp áV-mudar -de opinion; marcadce.” Ái.o» i y fe qreo qfe esto sya qn motivo paiy ly pcpmjpacipp que me fe¿,hecfe 8. El Sr. Ckaparn: ”Ya que se ha hecho mención &lt;fe fea S&gt;«e, frocqra- * Iq cjasq qqe ha 9'feo f j fir. Cab.aUero deheria hacerse fe dores de Caulufia, rpe toca defender ja cante fe rnfe compafierqe, y ptffefestar los motévos que fe hsn jmfedido traifefersé á esta cnftéi fe oofeÍ¡tntei&lt;|ne ya ofefen *“ ios mas. reuni…</t>
  </si>
  <si>
    <t>Ckavarri, Llano y</t>
  </si>
  <si>
    <t>Llano y Ckavarri</t>
  </si>
  <si>
    <t>…no los pudiese armar, puesto que no ha podido ar está perfecta, empieza el hombre á conocer sus obligaciones, la autoridad pa mar Jbl&gt;3 voluntarios” terna decae, y no hay inconveniente en que los hijos puedan alistarse. Por mi El Sr. Llano y Ckavarri: «No puedo menqs de manifestar, como Pro parte, pues, fijaría la edad de 20 años con mucho mas gusto que ia de 18, á la curador de una de las provincias de Cataluña, que en aquel pais, que se ha que únicamente me adhiero por acercarse mas á la de 20, que es el término presentado muy diferente de lo…</t>
  </si>
  <si>
    <t>Ckistina, María</t>
  </si>
  <si>
    <t>María Ckistina</t>
  </si>
  <si>
    <t>…s marciales que en los intermedio» de la proclamación to- conv ¡t.-Oy y le autoriza para el deseo: rinvev.to .le las Jnasas. I caban piezas del mejor yusto. Vuelto el ayuntamiento con el mismo ceremo- VTeiase en el 3.° a S. M. la Reina María Ckistina conduciendo de | nial á las casas consistoriales, se pusieron de manifiesto lo» pendones Reales, mano a su augusta Hija, y mosiráiufii.e en un gran templo ¿ la» seis Princesas | j y se descubrió el retrato de S. M , á quien hicieron la guardia de honor los ca- juradas en España, en medio de Lis cua…</t>
  </si>
  <si>
    <t>Clarac, Juan</t>
  </si>
  <si>
    <t>Juan Clarac</t>
  </si>
  <si>
    <t>…zas ya publicadas, y se dará ^l prospectoJgfath:, y en las principales li la Real casa de misericordia de aquella capital adelantan diariamente; y1 lo brerías de las provincias. » í .1 mismo prosperará la de estampados en hila de D. Juan Clarac, si se le conce «j—El himno patriótico que empietfc * De ia Patria y del Tronó la gloria*, se habla de la protección nécesaria. ráCarreraarregladode $. paraGerónimo»guitarranúm.en Ja libreríay en ladeJitografíaHermoso,de enSañtirn',el almacéncalle delde músicadato, a de4 rs^Ja Kn Caiamocha ha estab…</t>
  </si>
  <si>
    <t>Clarací-esi, Juan Francisco</t>
  </si>
  <si>
    <t>Juan Francisco Clarací-esi</t>
  </si>
  <si>
    <t>…provincia, y se queja del atraso de la industria fabril. Sin embargo asegura que miguelistas de Coimbra. presenta mejoras la fábrica de mantelería de aquella Real Casa de Misericordia, y la de estampado* sobre hilos y tejidos de D. Juan Francisco Clarací-esi co mo podrá ser de importancia U de alabastros que solicita establecer ei italiano Extracto del parte remitido por et subdelegado del Fomento de la provin Maneto Maneti. cia de Huelva D. José Huet con fecha 6 de Abril ultimo. \ Se Umenta det mal estado del comercio, indicando también las causas de…</t>
  </si>
  <si>
    <t>Clararana, Befnabé</t>
  </si>
  <si>
    <t>Befnabé Clararana</t>
  </si>
  <si>
    <t>…ul.áS Ag.. 12Í 25 10 lasipeáonasipodientcs y- de mucha parte de los individuos de su ayuntamiento, Perales de Tajufia. l.° á 7 Agosto.. 000 00 3 ha encostrado sin embargo un gran consuelo en los tres regidores, síndico y diputado D. Befnabé Clararana, D. José Soler, D. Félix Giménez, D. Juan VsipufioijiD'; ilVgqstWrGitbert (este ha sido victima ¿le la epidemia), y Don Ambite................ S Agosto.......... 22 00 6 Manuel Botca, Secretario, que con el gobernador presidente permanecieron fir mes enau puéiroi, dando camello un ejemplo de patrio…</t>
  </si>
  <si>
    <t>Clararana, D Befnabé</t>
  </si>
  <si>
    <t>D Befnabé Clararana</t>
  </si>
  <si>
    <t>….... 21 Jul.áS Ag.. 12Í 25 10 lasipeáonasipodientcs y- de mucha parte de los individuos de su ayuntamiento, Perales de Tajufia. l.° á 7 Agosto.. 000 00 3 ha encostrado sin embargo un gran consuelo en los tres regidores, síndico y diputado D. Befnabé Clararana, D. José Soler, D. Félix Giménez, D. Juan VsipufioijiD'; ilVgqstWrGitbert (este ha sido victima ¿le la epidemia), y Don Ambite................ S Agosto.......... 22 00 6 Manuel Botca, Secretario, que con el gobernador presidente permanecieron fir mes enau puéiroi, dando camello un ejemplo de patrio…</t>
  </si>
  <si>
    <t>Clare</t>
  </si>
  <si>
    <t>…recientes atestiguan esa misma predisposición en favor de aquella Rice, son irlandeses: también lo son lord Aylmer, gobernador general del franquicia » abrigando su pabellón en las cosías vecinas , el gobierno supremo de Canadá*, lord Clare, gobernador de Bombay; marques de Sligo, gobernador de la república ha acordado decretar los artículos siguientes sin perjuicio de reca Jamaica; el general Bourke , gobernador de h» Nueva Oales del Sur; y Sir bar oportunamente la concurrencia del cuerpo legislativo. Dtidley St. Leger Hill, gobernad…</t>
  </si>
  <si>
    <t>Claros</t>
  </si>
  <si>
    <t>…jo haber padecido el señor en cosas mas importantes que las peticiones sobre impuestos de pasas ¿te., ha preopinante , quien contestó deshaciendo otra. bía sido su intención manifestar lo oportuno que seria que el Gobierno pre El Sr. Claros, como uno de los autores de la petición , manifestó que en sentase otros trabajos útiles. ella nada se hablaba de los censos de particulares, sino solamente de los perte El Sr. Chacón, á nombre de los peticionarios, se conformó con la sus- necientes á manos muertas. pensíon; y habiéndose preguntado…</t>
  </si>
  <si>
    <t>Claros, D José</t>
  </si>
  <si>
    <t>D José Claros</t>
  </si>
  <si>
    <t>…amen de Bourmont , y en efecto tuvo mal-¿x¡— PROVINCIA tUI BADAJOZ. ¿o á causa de que la infantería solo constaba de 8óU0 hombres. Sr. D- Antonio González. El día inmediato propuso Bourmont i D. Miguel el siguiente plan r le dijo Sr. D. José Claros. que supuesto que la contienda de Portugal era parte de la. lucha general que Sr. D. Vrnturade Mena. había en Europa sobre principios encontrados , juzgaba que la guerra en que se Sr. D. José Villanueva. jial aba empeñado debía mirarse mas bajo de un punto de vista político que Sr. D. Mateos Marín.…</t>
  </si>
  <si>
    <t>Clarós, D José</t>
  </si>
  <si>
    <t>D José Clarós</t>
  </si>
  <si>
    <t>…ster 1. lista de los Sres. Procuradores que han sido electos por mas de una provincia, i Quedaron pues electos los Sres. Caballero, González y Trucha. saber: El Sr. marques de Falces hizo la observación de que los Sres. Valdric y Sr. D. José Clarós por las de Badajoz y Huelva. Torremejía eran uno mismo, por lo cuál se reunieron los votos que con cada Sr. X). Ramón Ciscar por-las de Barcelona, Lérida y Tarragona. uno de estos nombres había reunido S. 3. Sr. conde de Toreno por las de Cuenca y Oviedo. Se procedió á la segunda votación entre los…</t>
  </si>
  <si>
    <t>Claros, José</t>
  </si>
  <si>
    <t>José Claros</t>
  </si>
  <si>
    <t>…de Bourmont , y en efecto tuvo mal-¿x¡— PROVINCIA tUI BADAJOZ. ¿o á causa de que la infantería solo constaba de 8óU0 hombres. Sr. D- Antonio González. El día inmediato propuso Bourmont i D. Miguel el siguiente plan r le dijo Sr. D. José Claros. que supuesto que la contienda de Portugal era parte de la. lucha general que Sr. D. Vrnturade Mena. había en Europa sobre principios encontrados , juzgaba que la guerra en que se Sr. D. José Villanueva. jial aba empeñado debía mirarse mas bajo de un punto de vista político que Sr. D. Mateos Marín.…</t>
  </si>
  <si>
    <t>…ba de asimilar aquellos á esel acta de la junta electoral celebrada en Huelva para nombrar un Procurador de tos , y que por consiguiente no podia dejar de aprobarse su proposición. la provincia de este nombre en reemplazo del Sr- D. José Claros, que ha acep El Sr. marques de San Felices dijo que nada se babia escrito con respecto tado los poderes de la de Badajoz. El nombramiento de nuevo Procurador ha á la servidumbre de los Sermos. Infantes. recaído en el Sr. D. Pedro Jacobo Pizarro. El Sr. marques de las Amarillas preguntó si con arreg…</t>
  </si>
  <si>
    <t>Clarós, José</t>
  </si>
  <si>
    <t>José Clarós</t>
  </si>
  <si>
    <t>…1. lista de los Sres. Procuradores que han sido electos por mas de una provincia, i Quedaron pues electos los Sres. Caballero, González y Trucha. saber: El Sr. marques de Falces hizo la observación de que los Sres. Valdric y Sr. D. José Clarós por las de Badajoz y Huelva. Torremejía eran uno mismo, por lo cuál se reunieron los votos que con cada Sr. X). Ramón Ciscar por-las de Barcelona, Lérida y Tarragona. uno de estos nombres había reunido S. 3. Sr. conde de Toreno por las de Cuenca y Oviedo. Se procedió á la segunda votación entre los…</t>
  </si>
  <si>
    <t>Claudio</t>
  </si>
  <si>
    <t>…U de la curia distribuyó una peseta diaria a 30 meneste- Con iguabfccha del 27 dice el gobernador militar de. Alava que en la rm- | rdso* durante la« fíiacionei. fiana de dicho día había recibido parte del coronel de carabineros D. Claudio lchan, comandante militar de Treviño, avisándole, que con Í3t) tjo.mbrés de su ' J Madrid 3 de Prbrtro. guarnición, ll*0 granaderos provinciales de la guardia Real pertenecientes á U de la Puebla y 25 caballos, había atacado el día 27 en el pueblo de Oquina En 16 &lt;fe Jubfo del afio próxímó pasado S…</t>
  </si>
  <si>
    <t>…ndo las dificultades y disgusto* cho superior tribunal, á D. Francisco Cortazar, á D. Pablo Govan- que hace tiempo sufre de paite del gobierno turco. Mas de 81) buques griego* tes y á D. Blas Damián de la Vega: y para fiscales, á D. Claudio siguen detenidos sin obtener el firman de salida, ni para el mar Negro, ni pa Antón de Luzuriaga , de lo civil, y á D. José Joaquin Casaux para ra el Archipiélago, á pesar de U protesta formal que han hecho los capitanea lo criminal. Y es mi voluntad que cada uno ocupe el lugar que le contra los da…</t>
  </si>
  <si>
    <t>Clausei</t>
  </si>
  <si>
    <t>…robable sarios para que el porvenir de la colonia sea útil á la nación francesa. mente sucederá. M. Desjobert adhiere á la Opinión de MM. Sade y-Dupin. En cuanto al primer punto, juzga que el verdadero objeto de la expedición F.l mariscal Clausei desvanece algunos de los cargos que. M. Dupin ha he fue destruir la piratería de los argelinos, y que si el gobierno de Ja restauración cho á los gefes militares y civiles que han mandado en «Argel: hace varias re pudo tener, algún proyecto oculto, este quedó desvanecido con las ocurrencias flexion…</t>
  </si>
  <si>
    <t>Clavcría, D Narciso</t>
  </si>
  <si>
    <t>D Narciso Clavcría</t>
  </si>
  <si>
    <t>…llecido 7 personas de enfermedad sospechosa3 y que de las mismas quedaban existentes otras veinte y dos. ■ El mismo capitán general desde Burgos con fecha 14 del presente partici- . pa á;este ministerio lo siguiente: »É1 teniente coronel D. Narciso Clavcría, co mandante de una columna de operaciones, desde Solaraña con fechd del 12 me Extracto del parte remitido por el gobernador civil de la provincia de Má da parte de haber perseguido activamente desde d pueblo—de Fontioso y en laga, D. Francisco de León Bendicho, con fecha de 3 de Julio actual. dire…</t>
  </si>
  <si>
    <t>Clavcría, Narciso</t>
  </si>
  <si>
    <t>Narciso Clavcría</t>
  </si>
  <si>
    <t>…7 personas de enfermedad sospechosa3 y que de las mismas quedaban existentes otras veinte y dos. ■ El mismo capitán general desde Burgos con fecha 14 del presente partici- . pa á;este ministerio lo siguiente: »É1 teniente coronel D. Narciso Clavcría, co mandante de una columna de operaciones, desde Solaraña con fechd del 12 me Extracto del parte remitido por el gobernador civil de la provincia de Má da parte de haber perseguido activamente desde d pueblo—de Fontioso y en laga, D. Francisco de León Bendicho, con fecha de 3 de Julio actual. dire…</t>
  </si>
  <si>
    <t>Claveria, D Narciso</t>
  </si>
  <si>
    <t>D Narciso Claveria</t>
  </si>
  <si>
    <t>…guir á los grupos que quedaron de vocal de la junta del Monte pió de Labradores de aquel arzobispado, va— dispersos de resultas de la acción que sostuvo contra los rebeldes el teniente (ante por fallecimiento,de D. Joaquín Pueyo. coronel D. Narciso Claveria en las inmediaciones del monte de Castrillo de Solarana, la que hice salir al mando del teniente de húsares de la Princesa D. José María Colarte, compuesta de 2ü caballos y 30 infantes del regimien to del mismó nombre, batió y persiguió en la madrugada de hoy á un grupo Partes recibidos en la secre…</t>
  </si>
  <si>
    <t>Claveria, Narciso</t>
  </si>
  <si>
    <t>Narciso Claveria</t>
  </si>
  <si>
    <t>Gaceta de Madrid n.º 246</t>
  </si>
  <si>
    <t>…NCIA DE V Al 1A DO 11D» ¿&lt;¡¡¡£f de 13, del corriente, traslada á este ministerio un parte que en La madrugada, de. aquel día Je; da el teniente coronel de artillería geíé dé la Parte sanitario del dia 17 de Octubre, pfc^na-do&amp;yor'D. Narciso Claveria desdé Bahaborí, manifestando h captura dé el jttonte de Oguillas se ocupaban en salir al camino, Ptftblos. ptsi Enfermo*. j Curados. F.IUcidm. y^cpbWTií tos paságeros; pero bajando,ál pueblo y habiendo sidoocu- ' I : paáofrclafi avemdarporTa compañía de cazadores de Castilla, y cinco caballos Medin…</t>
  </si>
  <si>
    <t>…os grupos que quedaron de vocal de la junta del Monte pió de Labradores de aquel arzobispado, va— dispersos de resultas de la acción que sostuvo contra los rebeldes el teniente (ante por fallecimiento,de D. Joaquín Pueyo. coronel D. Narciso Claveria en las inmediaciones del monte de Castrillo de Solarana, la que hice salir al mando del teniente de húsares de la Princesa D. José María Colarte, compuesta de 2ü caballos y 30 infantes del regimien to del mismó nombre, batió y persiguió en la madrugada de hoy á un grupo Partes recibidos en la secre…</t>
  </si>
  <si>
    <t>Clavjjo</t>
  </si>
  <si>
    <t>…Noblejas, marques de Malpica, Navarrete, Quintana, Gar para hacer que permaneciesen en el servicio los soldados cumplidos-, en caso cía Herreros, Vigodét, marques de Espeja, conde del Montijo, Martínez, de guerra. conde de Oñate, conde Clavjjo , conde de Guendulaín, marques de la Can £1 Sr. Secretario del Despacho de Gracia y Justicial " Contra y én dome delaria, Eardajt, duque de CastroTerreño, Parga , marques de Albaida , conde al caso que ha fijado el ilustre Procer, diré que no es aplicable al presente. La de Monterron, marques de Vi…</t>
  </si>
  <si>
    <t>Clcmencin</t>
  </si>
  <si>
    <t>…los edificios militáresj en el teatro orquesta y baile.pú- común én tiempo de" Cervantes", y tan raía en el trúestro , qde ét‘ lábhKdid oá felico que duró hasta mas de las tres de la. madrugada, y.ayer se corrieron en . mero del Sr. Clcmencin én sus nótaS es' dfc absoluta neceriáad-f-fjufe 'jfn 1,*aeaSSxfcíios* * * yaüj la plaza Real dos toros enmaromados; todo en obsequióide-Ja.excelsa Cyobgr- . parecería mayor la locura" dé "Cervantes 'eh' atacar desvarío^* *■ nadora del reino- Tengo la satisfacción, repito á V.: E.;;dE,que no ocurrie…</t>
  </si>
  <si>
    <t>Clemcncin, D Diego</t>
  </si>
  <si>
    <t>D Diego Clemcncin</t>
  </si>
  <si>
    <t>…a por principios de sana política, y por su generoso anhelo El Sr. duque de Rivas dió cuenta al Estamento del fallecimiento de su de promover la navegación y el comercio de otos Reinos, haya reconocido primer secretario el Excmo. Sr. D. Diego Clemcncin, manifestando el pesar algunos nuevos Estados. que babia causado á la 'secretaría tan triste acontecimiento. Igualmente dio cuen «No era natural ni posible que ninguno de los gobiernos qne han suspen ta el mismo Sr. duque de la muerte del ilustre Sr. Prócer I). José de Itnaz. dido hasta ahora el re…</t>
  </si>
  <si>
    <t>Clemcncin, Diego</t>
  </si>
  <si>
    <t>Diego Clemcncin</t>
  </si>
  <si>
    <t>…r principios de sana política, y por su generoso anhelo El Sr. duque de Rivas dió cuenta al Estamento del fallecimiento de su de promover la navegación y el comercio de otos Reinos, haya reconocido primer secretario el Excmo. Sr. D. Diego Clemcncin, manifestando el pesar algunos nuevos Estados. que babia causado á la 'secretaría tan triste acontecimiento. Igualmente dio cuen «No era natural ni posible que ninguno de los gobiernos qne han suspen ta el mismo Sr. duque de la muerte del ilustre Sr. Prócer I). José de Itnaz. dido hasta ahora el re…</t>
  </si>
  <si>
    <t>Clemencia</t>
  </si>
  <si>
    <t>…ntervención uniforme en la imposición é inversión de las contribiicio- haber inconveniente en dejar la elección de Secretario para el dia de mañana i nes, y en la t»j,«» aULW^'f- primera rm 'i irr -sta« tan rrricnfn la muerte dej Sr. Clemencia, mucho blos, en los términos que el mismo Estatuto señala. Esta intervención salu más no habiendo pendiente ningún asumo de úrgencta. dable, es lá salvaguardia del orden y de la'prosperidad general. Se preguntó si íe dejaria para mañana la elección de Secretario, ó se pro cedería desde luego á ella…</t>
  </si>
  <si>
    <t>…22 y 23 del mismo reglamento. Verificada la votación, dicho Sr. Secretario leyó los votos que resultaban Acto continuo se procedió á la elección, resultando en primer escrutinio de su lista , repartidos en la forma siguiente: el Sr. Clemencia con 43 votos; el Sr. duque de Rivas con el Sr. marques Sres. Redondo 16 votos;‘Mcdrano 32; Lasanta 56: Aranda 29; marqués de Guadalcazar con 30; el Sr. Quintana con 13; el Sr. Cano Manuel con 2i; de Espioardo 21 ; Atocha 21 ; Veg&gt; y Rio J; Miguel y Polo 3 ; Cr-raldo 14* el Sr. duque de Veraguas con…</t>
  </si>
  <si>
    <t>Clemencin</t>
  </si>
  <si>
    <t>…n y juicio de la des Junio del mismo año fue elevado por S. M. la Rbina Gobernadora 4 la cripción geográfica de España, atribuida al moro Rasis, leído por el dignidad de Prócer del Reino, en cuyo Estamento se le nombró Secretario Sr. Clemencin el día que tomó posesión de su plaza de académico, está inserto interino desde las primeras juntas preparatorias, y después primer Secretario en el tomo 7° de aquellas. En la noticia histórica-de la academia con que em en propiedad. pieza el S.°, se da cuenta de un informe Suyo sobre la tradición d…</t>
  </si>
  <si>
    <t>…e entendía por tal el mero nombramiento, El Sr. Guadalcazar hito presente que pasada i la secretaría la exposición ó ti era preciso esperar á que hubiesen jurado y tomado posesión da so destino, que se cita, se habia entregado al Sr. Clemencin , y que habiendo caido enfer- y hecho las prqebas necesarias para este caso. ‘ no y obrando entre sus papeles, no se habia dado cuenta de ella al Estamento. El Sr. Presidente contestó que la proposición estaba hecha y que *e habia Quedó, igualmente enterado el Estímenlo de otro oficio del Excmo. Se…</t>
  </si>
  <si>
    <t>Clemencin, Cipriano</t>
  </si>
  <si>
    <t>Cipriano Clemencin</t>
  </si>
  <si>
    <t>…del reino para el desempeño de sus pa por ascenso de D. Gerónimo de la Éscosura á otra de niímero, se ha servido trióticas tarcas, se ha dignado encargar en Real orden de 4 del corriente á una S. M. la Reina Gobernadora nominar á D. Cipriano Clemencin. comisión compuesta del Sr. D. Juan Alvarez Guerra, de D. Antonio Sandalio de Arias y dé D. Joaquín María Perez Quintana, la formación de un re Para las dos de supernumerario de Sevilla á D- Francisco de Paula Alva glamento general de sociedades, en el que se fijen de un modo preciso los lími rez y…</t>
  </si>
  <si>
    <t>Clemencin, D Diego</t>
  </si>
  <si>
    <t>D Diego Clemencin</t>
  </si>
  <si>
    <t>…/-_ esto, y de que entrambos pareceres sean igualmente exagerados! Consistirá en breria y'en Barcelona en la de Bergnes. ..... que no conocen suficientemente la España intelectual para juzgarla! ¿Consistirá ——Los hijos del Excmo. Sr. D. Diego Clemencin ponen en conocimiento del público, que a pesar del fallecimiento de su padre, no se interrumpirá la impresión empezada en que el espíritu de partido, habrá echado exclusivamente á los españoles la del Quijote comentado por el misino, cuyo original dejó completo. Por lo que s* dará culpa de.los defe…</t>
  </si>
  <si>
    <t>Clemencin, Diego</t>
  </si>
  <si>
    <t>Diego Clemencin</t>
  </si>
  <si>
    <t>…esto, y de que entrambos pareceres sean igualmente exagerados! Consistirá en breria y'en Barcelona en la de Bergnes. ..... que no conocen suficientemente la España intelectual para juzgarla! ¿Consistirá ——Los hijos del Excmo. Sr. D. Diego Clemencin ponen en conocimiento del público, que a pesar del fallecimiento de su padre, no se interrumpirá la impresión empezada en que el espíritu de partido, habrá echado exclusivamente á los españoles la del Quijote comentado por el misino, cuyo original dejó completo. Por lo que s* dará culpa de.los defe…</t>
  </si>
  <si>
    <t>Clemencin, Sr</t>
  </si>
  <si>
    <t>Sr Clemencin</t>
  </si>
  <si>
    <t>…a. Su Examen y juicio de la des Junio del mismo año fue elevado por S. M. la Rbina Gobernadora 4 la cripción geográfica de España, atribuida al moro Rasis, leído por el dignidad de Prócer del Reino, en cuyo Estamento se le nombró Secretario Sr. Clemencin el día que tomó posesión de su plaza de académico, está inserto interino desde las primeras juntas preparatorias, y después primer Secretario en el tomo 7° de aquellas. En la noticia histórica-de la academia con que em en propiedad. pieza el S.°, se da cuenta de un informe Suyo sobre la tradición d…</t>
  </si>
  <si>
    <t>Clemente, D Luis de S</t>
  </si>
  <si>
    <t>D Luis de S Clemente</t>
  </si>
  <si>
    <t>…ue le ha con leyes que excluya ios bienes perdidos. Si esto es evidente y cierto, no encuen cedido el Estamento. tro ra2on alguna para que se haga una diferencia tan notable: no hay mis dife^ Se presentó i jurar y tomó asiento ei Sr. D. Luis de S. Clemente, Pro reacia que la de ser unos bienes mueb'es y otros inmuebles. El mismo Sr. Se curador por la.provincia de Soria. cretario ha manifestado las razones que tuvieron nuestras aot-guas Córtes para El Sr. Presidente anunció que se iba á proceder á la discusión por artícu consignar el valor de estos te…</t>
  </si>
  <si>
    <t>…ación , no puede consentir lo que perjudique á esta. El derecho de : con lo aprobado por el Estamento. , . . . propiedad es , y debeser ^respetado; pero tiene sus límites. Ademas, en el caso , Este quedó enterado de un,oficio del Sr. D. Luis de S. Clemente, electo presente se trata de tributos impuestos en ¿pocas en que las ideas económicas re Procurador por la provincia "de Soria, manifestando no haber podido presen conocían diversos principios que ahora , y en que se creía existir la facultad ab tarse aun en las sesiones i causa de su destino en el…</t>
  </si>
  <si>
    <t>Clemente, D Luis de San</t>
  </si>
  <si>
    <t>D Luis de San Clemente</t>
  </si>
  <si>
    <t>…ia aquí han recibido órden de salir. Su número se habia au PROVINCIA DS SORIA. mentado mucho últimamente, y so cree que este paso se ha dado á consecuen cia de la visita hecha por Mr. de Rumigrti á esta ciudad. No se puede sufrir Sr. D. Luis de San Clemente que permanezcan reunidos en una ciudad fronteriza como Ginebra hombres Sr. D. J oaquin González Nieto. que están en guerra abierta con el actual gobierno de Francia, cualquiera que sea su partido político, sin comprometernos nosotros, ó sin que esten aquellos sujetos á una vigilancia que dificilmen…</t>
  </si>
  <si>
    <t>Clemente, Luis de S</t>
  </si>
  <si>
    <t>Luis de S Clemente</t>
  </si>
  <si>
    <t>…e ha con leyes que excluya ios bienes perdidos. Si esto es evidente y cierto, no encuen cedido el Estamento. tro ra2on alguna para que se haga una diferencia tan notable: no hay mis dife^ Se presentó i jurar y tomó asiento ei Sr. D. Luis de S. Clemente, Pro reacia que la de ser unos bienes mueb'es y otros inmuebles. El mismo Sr. Se curador por la.provincia de Soria. cretario ha manifestado las razones que tuvieron nuestras aot-guas Córtes para El Sr. Presidente anunció que se iba á proceder á la discusión por artícu consignar el valor de estos te…</t>
  </si>
  <si>
    <t>…n , no puede consentir lo que perjudique á esta. El derecho de : con lo aprobado por el Estamento. , . . . propiedad es , y debeser ^respetado; pero tiene sus límites. Ademas, en el caso , Este quedó enterado de un,oficio del Sr. D. Luis de S. Clemente, electo presente se trata de tributos impuestos en ¿pocas en que las ideas económicas re Procurador por la provincia "de Soria, manifestando no haber podido presen conocían diversos principios que ahora , y en que se creía existir la facultad ab tarse aun en las sesiones i causa de su destino en el…</t>
  </si>
  <si>
    <t>Clemente, Luis de San</t>
  </si>
  <si>
    <t>Luis de San Clemente</t>
  </si>
  <si>
    <t>…quí han recibido órden de salir. Su número se habia au PROVINCIA DS SORIA. mentado mucho últimamente, y so cree que este paso se ha dado á consecuen cia de la visita hecha por Mr. de Rumigrti á esta ciudad. No se puede sufrir Sr. D. Luis de San Clemente que permanezcan reunidos en una ciudad fronteriza como Ginebra hombres Sr. D. J oaquin González Nieto. que están en guerra abierta con el actual gobierno de Francia, cualquiera que sea su partido político, sin comprometernos nosotros, ó sin que esten aquellos sujetos á una vigilancia que dificilmen…</t>
  </si>
  <si>
    <t>Cliavez, Felipe</t>
  </si>
  <si>
    <t>Felipe Cliavez</t>
  </si>
  <si>
    <t>…os pasageros D. JoseChavez , Don dicos justamente despreciados ya por el publico; pero á lo menos Gerónimo Pérez García, D. Francisco García de bosa , D. Luis me lisonjeaba de que no tendría acogida en esta Cámara. Martínez Diaz, D. Felipe Cliavez, D. Leandro Cuevas v D. Fran Sin embargo, no hace mucho que de resultas de las asonadas de cisco González Chavez , habiéndose quedado en Abaco el capitán Par is, habían repelido los periódicos su acostumbrada censuia de y cuatro marineros mas. {Diario de Cádiz.) la conducta del gobierno; mas no han…</t>
  </si>
  <si>
    <t>Climent</t>
  </si>
  <si>
    <t>…os que se encaminaron i zobispo de Pálmira: un tomo en 8.° a 14 rs, en pasta. Véndese en la librería de la ▼luda de Qulruga, y en Btrcelona en la de Sierra. En las misrhas se hallarán laj plá &gt; Vttrdun. ticas y sermones del limo, Sr. Climent: la Hitiia del Sr. Torres Amat: el Arte de toSegún noticia* recibidas en Vitoria el 31, parece que el general en gefe se vir en pdnt con lot hombres \ el Curso de fiiosoJia , de la 5 a edición &amp;c. Al . fluHaba el 3tí er»~Ecínuri, y los ratos de la facción que huia del Pirineo, en — ■■■Dúcroááffg it…</t>
  </si>
  <si>
    <t>Clot-bey</t>
  </si>
  <si>
    <t>…muestran muy afectos á Por la noche hubo teatro y bailes públicos de valde; toda la ciudad se ilulas doctrinas que han aprendido en Francia. Ya ha adoptado muchos libros m'nó espontáneamente. (D. de Detatcs.) elementales el sábio doctor Clot-bey, director en gefe de la instrucción médi ca. Mehemct-Alí no pierde ocasión de trasportar á este hermoso país las luces Escribeq de S. Petersburgo 13 de Noviembre:europeas. Un jóven árabe acaba de traducir á su lengua la obra del barón Alibcrt sobre las enfermedades cutáneas. (G, de Francia.') «Por…</t>
  </si>
  <si>
    <t>Cmtroverde, José de Lletof</t>
  </si>
  <si>
    <t>José de Lletof Cmtroverde</t>
  </si>
  <si>
    <t>…los conocimientos úti , , í/ndi de Espapa c Indias . y nombrandó para las plazas de“géfes de sección les en la ciencia y et arre de curar, con arreglo a los descubrimientos modernos; por y de mesa de que ha de componerse, (td?) !D. José de Lletof Cmtroverde, Dr. en medicina 6cc. Los Sres. su&lt;cHptores pasaran * recocer el tomo 4 ° a Ia* librerías donde se hayan suscrita , y adelantar el importe , afM_9r.nombrando gobernadores de las provincias de Castellón de la Plana y Lérida. ... 1 Estampa de 5. Roques abogado de la peste, con la pracion de Ja misa d…</t>
  </si>
  <si>
    <t>Co-regente</t>
  </si>
  <si>
    <t>…ntes_£ conforme á los medios legales prescritos en mu--pues-.-la.-maU intehgencnr entrevia Cámara y el gobierno, y el primer paso el mismo artículo de la carta, párrafo 34i 5. M. sé ha sérvido mandar quo que es probable que dé el Príncipe Co-regente será acudir á la Dicta Ger desde luego sean restituidos al pleno gdee de su libertad todos aquellos ciuda mánica. danos que en virtud de la referida suspensión se hallaren presos sin causa for mada , ó desterrados de sus domicilios. ___Escuben de Aschafícnburgo, en Bavíera, con fecha 20 de Setiembr…</t>
  </si>
  <si>
    <t>Coabo, López del Baño</t>
  </si>
  <si>
    <t>López del Baño Coabo</t>
  </si>
  <si>
    <t>…hubürais podido hablar, Kubiéraisdichotambicn; «no , nuca- nemos i.U mano, mas recientes , mas propios: y esto me conduce naturalmen tro caudillo noble y generoso no ha cometido ningún delito para que le trateia te á contestar al Sr. López del Baño. Coabo i on criminal.” Yo lamento las circunstancial que pudieron obligar al *&gt;E*te Sr. Procurador ha propuesto como reforma de este articulo una gobierno i tomar medida tan aeren; mas por cao mismo, aun cuando, como redacción que ha kido; y st mi memoria Dotne engaña, se rcducecasi i los</t>
  </si>
  <si>
    <t>Cobbett, José María Moscoso de de Mr</t>
  </si>
  <si>
    <t>José María Moscoso de de Mr Cobbett</t>
  </si>
  <si>
    <t>…! sentimiento de no poder obsequiarle personalmente necesario á su cumpIimiento.=Está rubricado de la Real mano.= En á causa de su ausencii de Dublin. Al momo tiempo dice que espera úna visita el Pardo á 4 de Octubre de 1854. = A D. José María Moscoso de de Mr. Cobbett en la abadía de Derrynanc, ames que este Diputado deje la Altamira. Irlanda. (Glubei) FRANCIA. Paris 25 de Setiembre. PARTE NO OFICIAL. Unja de ayer. Cinco por 1ÚÚ consolidados 104 ff- ^5 c. Fondos españo les: renta de Fapaña al 3 por 100 Empréstito Real de id. 30. Renta NOTICIAS EXTRA NGERAS. perp…</t>
  </si>
  <si>
    <t>Cobernjdora</t>
  </si>
  <si>
    <t>…habrá un "fu ial prime: i . m 120 rs.: un sejurvla Serma. Sra. Infanta Doña Al.nía Luisa. doion R I l. t: c&gt; auxiliare» c..n 14) cada uno. .tro s-iscin Gd. "U'# seis ."ii aJ: otros ocii a ojri 4Ó), y un p. «rtero con oúb S. M. la Reina Cobernjdora se lia servi.ln dirigirme el Real de cretn siguiente: Sel/--,,-. Siguiendo el plan que me ¡te propuesto .le re.lea-ir manto sea &gt; .•'■ri 120 rs. ■ I ’s sepundisdable todos los pisto;, del Estado |.;ira &lt;■• inscjuir mi imel.iei.ni mu Tendrí esta oficina un Aiil prime- &gt;■ ai O • .;ru&gt; los coa GE 'tro…</t>
  </si>
  <si>
    <t>Cobian, Severino</t>
  </si>
  <si>
    <t>Severino Cobian</t>
  </si>
  <si>
    <t>…particularmente: á todos Princesa 4*° de l&gt;nea D. Vicente Vargas, comandante de aquel destacamento, los creo dignos de que S. M. les mire como acostumbra 4 sus mas valientes y el que se dirigió á este pueblo con el de igual clase D. Severino Cobian , 34 decididos soldados, y mas particularmente 4 los Sres. oficiales D. Vicente Var infantes del propio regimiento y 8 caballos del regimiento del Rey l.° de lí gas y D. Severino Cobun , reservándome para cuando recíba el parte del pri nea, con el objeto de atacar una facción de 4(1 infantes y unos…</t>
  </si>
  <si>
    <t>Cobo, Lorenzo</t>
  </si>
  <si>
    <t>Lorenzo Cobo</t>
  </si>
  <si>
    <t>…se arrancan por cuenta de la em mayor de TorrecilLi de Cameros á D. Miguel Ibañez: para la de Burgos á presa se pagarán los precios señalados. Se hallan repartidos en los departamen D. Juan Rodríguez Cj1:: cora la de Villarcayo á D. Lorenzo Cobo de tos del Bocal y términos de la ciudad de Zaragoza; y las personas que quieran Héras: para la de Melgar de Fernamental á D. Gerónimo Tegerina: para la hacer algunas compras deberán tratar con la administración general estableci de Aranda de Duero á D. Ramón Pardo y Osorio: para la de Cabuérniga á da…</t>
  </si>
  <si>
    <t>Cobos, Isabel María de los</t>
  </si>
  <si>
    <t>Isabel María de los Cobos</t>
  </si>
  <si>
    <t>…, vecino que fue de Santander. desgraciados que vengan destinado» á estas cárceles. El poseedor del mayorazgo titulado de los Arces, que instituyó y funjóel presidente Rodrigo Vázquez y Vargas. La testamentaría de la Exorna. Sra. Doña Isabel María de los Cobos, mar quesa de Camarasa , condesa de Riela. ESTADO SANITARIO DEL REINO, La familia de Francheri, de Génova. Privilegio del Sr. Rey D. Psdjo tv de Aragón , fecha 7 de Mayo de PROVINCIA l)K ALICANTE. 1372, relativo á los pleitos que la ciudad de Calalayud seguía sobre jurisdic ción con las comunidades…</t>
  </si>
  <si>
    <t>Cobun, Severino</t>
  </si>
  <si>
    <t>Severino Cobun</t>
  </si>
  <si>
    <t>…dirigió á este pueblo con el de igual clase D. Severino Cobian , 34 decididos soldados, y mas particularmente 4 los Sres. oficiales D. Vicente Var infantes del propio regimiento y 8 caballos del regimiento del Rey l.° de lí gas y D. Severino Cobun , reservándome para cuando recíba el parte del pri nea, con el objeto de atacar una facción de 4(1 infantes y unos pocos caballos mero de los susodichos oficíales recomendar á los que mas se hayan distinguido. que le habían avisado existía en estas inmediaciones: habiendo llegado al ama Tengo la sa…</t>
  </si>
  <si>
    <t>Coca, María Andrea</t>
  </si>
  <si>
    <t>María Andrea Coca</t>
  </si>
  <si>
    <t>…Cuando parezca conveniente servirse de esti ■ -Se cita á los que se crean con derecho como here leras á los bienes que han quedado mulante*, lo cual es generalmente necesario en el estado de colapso, se añadi por fallecimiento de Doña María Andrea Coca, viuda que foé del Sr. D. Juan Melera— rán á la pocion dicha algunos granos dél bicarbonato de amoniaco de dos á c»n— dez Valdes^ para' que en el termino de 20 dia* contado» desde este anuncio, comparez ' do, según la edad del enfermo ó la urgencia dé-ios síntomas, y se administrará can eri forma,…</t>
  </si>
  <si>
    <t>Cock.hraHe</t>
  </si>
  <si>
    <t>…Polignac, desoyendo la voz unánime de la Fran una ocasión irt^qííesotametilí^os' representan tespor la ciudad de VVcnsnjins- cia , se negó obstinadamente á acordar la reforma que pedia, la Cámara se rió ter, SJr Fraiícis Burder y Lord Cock.hraHe, se lévarHQron para proponer dicha en un apuro grandísimo, y tuvo que apelará un remedio peligroso y terrible, reforma. De todos los Diputados, aunque'liorextaban'qomplctos los 658, sin cual fue el de negar al Gobierno las contribuciones. embargo, de todo» los que asistieron, solo estos dos fueron…</t>
  </si>
  <si>
    <t>Cockburn, Sir G</t>
  </si>
  <si>
    <t>Sir G Cockburn</t>
  </si>
  <si>
    <t>…réis lo ne cesario á su Cumplimiento.::Está rubricado de la Real mano.=En el ___ _Mr Cobbett llegó á Kángtown distante pocas millas de Dublin, donde T'ardo á 4 de Octubre de 1854.=A D. José María Hoscoso de Al fue recibido por el general Sir G. Cockburn, Mr. Tinn y por otros vario* amigos suyos. De allí, habiendo descansado un corto rato, se dirigió á Shan-ta mira. ganagh , esperando el dia señalado pira hacer su entrada pública en Dublin. La comisión encargada de recibirle está disponiendo todos los preparativos para : 4 Atendiendo á los méritos…</t>
  </si>
  <si>
    <t>Codorrtiu, Manuel</t>
  </si>
  <si>
    <t>Manuel Codorrtiu</t>
  </si>
  <si>
    <t>…d económica de aque cabuiario de medicina práctica de dicho autor, traducido del francés, arreglándole aí lla ciudad , que le incluyese en el número de sus socios , expidiéndole el cor alfabeto español con notas y adiciones , por D. Manuel Codorrtiu, prime? médico de respondiente título. ’ ejército fice. fice. Esta obra, acaso una de las mejores que hasta el día se ñan,escrito en Ha oficiado £ D. Diego Alvear, vecino de Montiila, para que le facilite medicina, es de grande utilidad no solo á rodas las clases de profesores del arre de cu rar r…</t>
  </si>
  <si>
    <t>Codríngton</t>
  </si>
  <si>
    <t>…r lo mas pronto posible un arreglo satis lanchas que con tantos sacrificios se condujeron i, aquel punto; pero semejante factorio.” daño solo sirvió para qiie, mas ss conociera hasta donde llegaba el conato de los Sir.R* Pee], el almirante Codríngton y sir Jbon Tyrrel toman sucesiva partidar’os de Isabel pof celebrarla, y desplegando el Excmo. Sr. marques de mente la palabra para apoyar la solicitud de los pescadores. Monte-hermoso toda la actividad que le es propia, y con la que parece no con taban los inventores de tan simple agujero , dio las…</t>
  </si>
  <si>
    <t>Cogoiludo, Cayetano</t>
  </si>
  <si>
    <t>Cayetano Cogoiludo</t>
  </si>
  <si>
    <t>…los subtenientes del propio-D.-Florencio Berrnudez, de Segura y de Cegama: á su frente y muy inmediata hay otra altura algo me nos elevada^ avanzada «obre la avenida principal del enemigo. En esta posición D. Juan Antonio López, D. Cayetano Cogoiludo y í). José Lanñay y de. IX Migue) Pou, capitán del regimiento de caballería 5.3 ligero; del general, me establecí cubriendo la altura inmediata dos mitades del 4*° regimiento de la gefe de la plana mayor, que cumplió como acostumbra sus deberes, y de losGuardia Real y 4^ carabineros, y entre tanto se…</t>
  </si>
  <si>
    <t>Cohibí, D José María</t>
  </si>
  <si>
    <t>D José María Cohibí</t>
  </si>
  <si>
    <t>…secretaría de Estado y del Despacio, de la Guerra. Bayona,Burdeos, 00.00. Alxo,icante,4 b.acorto ple Coruña,Granada,4}áid.1 Id. Zaragoza,Valencia, 4j Id.&lt;L Hamburgo , 00. Barcelona, á ps. fs-, Málaga, 4 b. Descuento de letras, El brigadier D. José María Cohibí, comandante general del distrito de Lóndres, | 90 días, id. Id. Santander, 1 Id. 4 4 p.100 al oOo. Tortosá, da fiarte desde áquella plaza que en la néche del 23 al 24 dél actual m- LBCUMUHéd. Santiago, 1 d. iba i hacer una salida para caer sobre los: Pozos de la nieve-, donde sé hallaba una facción…</t>
  </si>
  <si>
    <t>Cohibí, José María</t>
  </si>
  <si>
    <t>José María Cohibí</t>
  </si>
  <si>
    <t>…de Estado y del Despacio, de la Guerra. Bayona,Burdeos, 00.00. Alxo,icante,4 b.acorto ple Coruña,Granada,4}áid.1 Id. Zaragoza,Valencia, 4j Id.&lt;L Hamburgo , 00. Barcelona, á ps. fs-, Málaga, 4 b. Descuento de letras, El brigadier D. José María Cohibí, comandante general del distrito de Lóndres, | 90 días, id. Id. Santander, 1 Id. 4 4 p.100 al oOo. Tortosá, da fiarte desde áquella plaza que en la néche del 23 al 24 dél actual m- LBCUMUHéd. Santiago, 1 d. iba i hacer una salida para caer sobre los: Pozos de la nieve-, donde sé hallaba una facción…</t>
  </si>
  <si>
    <t>Coi, D Juan Antonio</t>
  </si>
  <si>
    <t>D Juan Antonio Coi</t>
  </si>
  <si>
    <t>…icencias. remite desde Cervera del río Alhama el siguiente parte; El 17 últ imo á Jas doce de la mañana el bergantín guardacostas el Argos, Excmo. Sr.: En el oficio que tuve el honor de dirigir á V. E. con fecha 20 al mando de su capitán D. Juan Antonio Coi lina, apreso la balandra, de cuya del actual desde Soria manifestaba ia urgente necesidad y premura con que me Operación sé enterará S. M. por el adjunto parte tengo el honor de pasar á ponía en marcha con la columna de mi mando, con el objeto de extinguir en manos de V. E. su origen la nueva forma…</t>
  </si>
  <si>
    <t>Coi, Juan Antonio</t>
  </si>
  <si>
    <t>Juan Antonio Coi</t>
  </si>
  <si>
    <t>…. remite desde Cervera del río Alhama el siguiente parte; El 17 últ imo á Jas doce de la mañana el bergantín guardacostas el Argos, Excmo. Sr.: En el oficio que tuve el honor de dirigir á V. E. con fecha 20 al mando de su capitán D. Juan Antonio Coi lina, apreso la balandra, de cuya del actual desde Soria manifestaba ia urgente necesidad y premura con que me Operación sé enterará S. M. por el adjunto parte tengo el honor de pasar á ponía en marcha con la columna de mi mando, con el objeto de extinguir en manos de V. E. su origen la nueva forma…</t>
  </si>
  <si>
    <t>Coílantrs, Caldrron</t>
  </si>
  <si>
    <t>Caldrron Coílantrs</t>
  </si>
  <si>
    <t>…e lo ma este mas al primero que al segundo! No deduciré yo de esta opinión que se dos los -demás habían sufrido por efecto de los pasados trastornos. debe emplear con preferencia á los que sirvieron con integridad y constancia El Sr. Caldrron Coílantrs: «La segunda vez que tengo el honor de ha al primero porque ofrecerán mayor garantía, mayor certeza de que sus servi blar al E.taitiento , lo hago con la desconfianza qüé la primera al ver que me cios serán mas decididos y útiles por los beneficios que les deben , por las sim han precedido los orad…</t>
  </si>
  <si>
    <t>Coit, Henrique</t>
  </si>
  <si>
    <t>Henrique Coit</t>
  </si>
  <si>
    <t>…o Aznar que los sublevados proyectában una López Yillavicencio, 3a del Sr. D. Luis Shoemaker, cónsul de los Estados- reunión general .entre La Nestosa y Ampuero, y prestándose á las -instancias Unidos, la del vicecónsul de XLusia D. Henrique Coit, y otras muchas com -de D. Celestino Gutiérrez, alcalde mayor de Laredo, hi-zo que en compañía petían entre ¿ en el buen gusto de sus adornos. • de dicho juez saliese el dia 27 alguna fuer/a del provincial de Oviedo, que pre Fl batallón ligero de Galicia , .que no cede á ningún otro del ejército en…</t>
  </si>
  <si>
    <t>Coiubi</t>
  </si>
  <si>
    <t>…las obras de renovación de Azpiroz batió completamente á la facción ocasionándole bastante pérdida, pasad los edificios arruinados por ios terremotos de Murcia y Orihuela en 1829, ha de 30 rebeldes los que han caído en poder del brigadier Coiubi, los que han si cedido en beneficio de los desgraciados de resultas del cólera, el haber que ma do tratados con arreglo á las leyes y bandos vigentes , y según merecía lo horro nifiesta adeudársele por aquel encargo; y al mismo tiempo que S. M. la Reiva roso de los crímenes que incesantemente estab…</t>
  </si>
  <si>
    <t>Coiubi, D José María</t>
  </si>
  <si>
    <t>D José María Coiubi</t>
  </si>
  <si>
    <t>…dero; para el de Garrobiílas á D. Diego Martínez Pela yo, que lo es de Coria; raciones practicadas en el corregimiento de Tortosa y derecha del Ebro por el para el de Roa á D. Angel Ramón Muro, que lo es de Potes; para el de Ar- brigadier D. José María Coiubi, gobernador y comandante general de aquel nedo á D. Antonio Mediano, alcalde mayor de Autol, y para teniente de distrito. asistente de Sevilla á D. Manuel García Gallardo. El estado de aquel país, tan afligido hasta ahora por las continuas incur siones de los rebeldes, es verdaderamente satisfactor…</t>
  </si>
  <si>
    <t>Coiubi, José María</t>
  </si>
  <si>
    <t>José María Coiubi</t>
  </si>
  <si>
    <t>…a el de Garrobiílas á D. Diego Martínez Pela yo, que lo es de Coria; raciones practicadas en el corregimiento de Tortosa y derecha del Ebro por el para el de Roa á D. Angel Ramón Muro, que lo es de Potes; para el de Ar- brigadier D. José María Coiubi, gobernador y comandante general de aquel nedo á D. Antonio Mediano, alcalde mayor de Autol, y para teniente de distrito. asistente de Sevilla á D. Manuel García Gallardo. El estado de aquel país, tan afligido hasta ahora por las continuas incur siones de los rebeldes, es verdaderamente satisfactor…</t>
  </si>
  <si>
    <t>CoJtm</t>
  </si>
  <si>
    <t>…comía &lt;k DiDpio wodo- Mcana as isasesno» &gt;sir aí et Atonto de este JV. Prrndmte * ** La derwrg ¡npair yirrfb crrratfaT «myrj» afano m laín tofateei pro» «obre lo ijue el Sr. Mmino de Haámdi «‘ion de oficia &lt;~»«l luanifrurr ei Ei Sr. CoJtm: ** Una «o cjtec el be. cantea a niéjfav, » nt iüüí iiii íÍmhim ei contenido limitaré á ecpooer que es ac ccocept» «c iba á ^ «pe d bihicsa pt— glamento, j &lt;pje debe proerdene á «otar a ei aantí fió eKtrfbfr* "* 2ÍK3IC'. habiendo Ei Sr. M&lt;dr*im: tpdp U Wít ¡usa 'ónmcaa n ¿ ni det apuyar o¿ de modo…</t>
  </si>
  <si>
    <t>Col, Calderón y</t>
  </si>
  <si>
    <t>Calderón y Col</t>
  </si>
  <si>
    <t>…nveniente» para apoderarse de la persona de D. Cár «Con este motivo no puedo menos de hacerme cargo de una reflexión los! ¡No'pudo haberse hecho asi estando á una legua el general Rodil en el que he oído en la discusión de hoy al Sr. Calderón y Col lames, quien defen momento en que D. Miguel sucumbía y D. Cárlos estaba á discreción! Si se diendo la soberanía ha dicho que so hablaba de la popular, sino de le sobe «hubiese procedido entonca coa esta previsión, que debió atar al alcance de ranía de los poderes del Estado. Yo convengo con S. S. q…</t>
  </si>
  <si>
    <t>Col, Caldtron</t>
  </si>
  <si>
    <t>Caldtron Col</t>
  </si>
  <si>
    <t>…y ellos, con miras benévolas hácia nosotros, se retirados, ilimitados &amp;c. En tal caso me parece que esta partida debería agre han opuesto siempre.” garse á las debías de su clase. Yo tengo, pues, la duda de si habiendo cesado El Sr. Caldtron Col!antes: «Creo que debe considerarse nula dicha con la contrata en Agosto de este año, seguirán cobrando los gefes como si estu trata , pues tengo en la mano un documento que asi lo prueba, y es una con vieran mandando los cuerpos, ó si no en qué categoría quedarán.” sulta elevada por el Consejo supr…</t>
  </si>
  <si>
    <t>Col, D José María</t>
  </si>
  <si>
    <t>D José María Col</t>
  </si>
  <si>
    <t>…mbre de la Real academia portuguesa . litares qué con. tanto acierto y pericia ha combinado y ejecutado en el corre viene hóy i exponer su diputacion.=El doctor Agustín Albano dé Silveira gimiento de Tortosa y orillas del Ebro el brigadier D. José María Col ubi han Pintó, encargado interino de la dirección de la academia de Marina y Co producido el aniquilamiento de las numerosas gavillas de rebeldes que no ha mercio. mucho tiempo, aÜigian aquel país. Respuesta de S. M. De los últimos partes que con fecha 14 del presente da desde Alfara resulta haber…</t>
  </si>
  <si>
    <t>Col, José María</t>
  </si>
  <si>
    <t>José María Col</t>
  </si>
  <si>
    <t>…Real academia portuguesa . litares qué con. tanto acierto y pericia ha combinado y ejecutado en el corre viene hóy i exponer su diputacion.=El doctor Agustín Albano dé Silveira gimiento de Tortosa y orillas del Ebro el brigadier D. José María Col ubi han Pintó, encargado interino de la dirección de la academia de Marina y Co producido el aniquilamiento de las numerosas gavillas de rebeldes que no ha mercio. mucho tiempo, aÜigian aquel país. Respuesta de S. M. De los últimos partes que con fecha 14 del presente da desde Alfara resulta haber…</t>
  </si>
  <si>
    <t>Colarte, D José María</t>
  </si>
  <si>
    <t>D José María Colarte</t>
  </si>
  <si>
    <t>…rid l.° de M.a'yo- pueblo de Olazaatia, descubrió mí vanguardia un piquete de caballería enemi ga, que estaba en observación; el que habiendo sido cargado por 10 húsares* DEL CRÉDITO. la Princesa, al mando del alférez graduado de teniente D. José María Colarte, se replegó ¿ unos 100 infantes que tenían apostados para sostenerlos, retirán De las cosas que están fuera del alcance de la violencia , potas lo están en dose con celeridad por el camino real hasta el lugar de Urdiani. - tanto grado como el crédito. El gobierno mas absoluto, el que mas ostentació…</t>
  </si>
  <si>
    <t>…ue sostuvo contra los rebeldes el teniente (ante por fallecimiento,de D. Joaquín Pueyo. coronel D. Narciso Claveria en las inmediaciones del monte de Castrillo de Solarana, la que hice salir al mando del teniente de húsares de la Princesa D. José María Colarte, compuesta de 2ü caballos y 30 infantes del regimien to del mismó nombre, batió y persiguió en la madrugada de hoy á un grupo Partes recibidos en la secretaría de Estado y del Despacho de la Guerraque vió salir del pueblo de Valquero, dejando dos muertos en el campo, y co Excmo. Sr.t Las gavillas d…</t>
  </si>
  <si>
    <t>Colarte, José María</t>
  </si>
  <si>
    <t>José María Colarte</t>
  </si>
  <si>
    <t>…e M.a'yo- pueblo de Olazaatia, descubrió mí vanguardia un piquete de caballería enemi ga, que estaba en observación; el que habiendo sido cargado por 10 húsares* DEL CRÉDITO. la Princesa, al mando del alférez graduado de teniente D. José María Colarte, se replegó ¿ unos 100 infantes que tenían apostados para sostenerlos, retirán De las cosas que están fuera del alcance de la violencia , potas lo están en dose con celeridad por el camino real hasta el lugar de Urdiani. - tanto grado como el crédito. El gobierno mas absoluto, el que mas ostentació…</t>
  </si>
  <si>
    <t>…o contra los rebeldes el teniente (ante por fallecimiento,de D. Joaquín Pueyo. coronel D. Narciso Claveria en las inmediaciones del monte de Castrillo de Solarana, la que hice salir al mando del teniente de húsares de la Princesa D. José María Colarte, compuesta de 2ü caballos y 30 infantes del regimien to del mismó nombre, batió y persiguió en la madrugada de hoy á un grupo Partes recibidos en la secretaría de Estado y del Despacho de la Guerraque vió salir del pueblo de Valquero, dejando dos muertos en el campo, y co Excmo. Sr.t Las gavillas d…</t>
  </si>
  <si>
    <t>Colbert</t>
  </si>
  <si>
    <t>…te de lo que pasaba en el teatro de la lu- ' - nerOf sufrirían un exceso de trabajo. Los generales Schneider y d’Ambrugeac cha. Asi es que esta mañana á las ocho la guardia nacional ha sido Ja primera coinciden con el parecer del general Colbert; mas no creen necesario que se ex que ha"anunciado en todos los barrios de Paris, ia derrota de los facciosos. prese en la ley. El comisario del gobierno y el ministro de Guerra se oponen Se asegura que losautóres y cómplices de la rebelión que ocurrió ayer en á que se suprima el párrafo, y á que s…</t>
  </si>
  <si>
    <t>…ue ha circulado en Francia desde 1661 hasta da sosteniendo los derechos de la Ruma nuestra Señora Doña Isabiu. ii, cayo Enero dé 1832. . . „ producto, que asciende á 469 pesos y 2 rs., entregará, deducido él cambio, d 1661 siendo ministro Colbert......... .. 600 millonea. capitán comandante de la bandera de recluta de dicho cuerpo, establecida en la 17n8......... ídem.... Nicolás Desatareis. 800 id. Coruña, á la persona que se designe. S. M. la Reina Gobernadora se ha ser 1754......... Ídem.... De Sechctles........... 1 16ü0 id.. vid* aceptar, en no…</t>
  </si>
  <si>
    <t>Colerídge</t>
  </si>
  <si>
    <t>…ciones con la agricultura, industria y comercio; que observe sus adelantos En consecuencia de este decreto, ha pasado á Caracas desde la Barbada el en el país que se intenta separar, á despecho de los conatos de los agitadores, y obispo Colerídge para consagrar el cementerio protestante de aquella ciudad, y que diga luego, la‘mano sobre el corazón , si cree ó no que» ebeStado-rriaterial la ceremonia se ha verificado á presencia de los principales empleados públicos. de Irlanda ha mejorado á impulsos de la misma unión que se quiere disolver.…</t>
  </si>
  <si>
    <t>Coletti</t>
  </si>
  <si>
    <t>…es activo, ordena los diferentes ramos de la administración públi ca, nivela las entradas con fas salidas , vigila cuidadosamente sobre tocios los in S. M. la Reirá nuestra Señora, su augusta Madre la Reina tereses del pueblo. El ministro Coletti, partidario de Francia, v uno de los mas r~ activos, como también de los mas capaces entre los hombres públicos de Gre Gobernadora, y la Serma. Sra. Infanta Doña María Luisa, eonti- cia, dirige el departamento de lo interior, al cual ha agregado una subsecretinóan sin novedad en su importante salud…</t>
  </si>
  <si>
    <t>Colimadora</t>
  </si>
  <si>
    <t>…uana Zenzano, vecina de Logroño, viuda con dos varios, ha liatido, á la cabeza Je algunos Uriianos, á la gavilla del hijos pequeños de José Larrauri, asesinado en Heredia, dos reales mayorazgo de Sarrion : se ha servido S. Al. la Reina Colimadora de vellón diarios: á Josefa de Azpillaga, viuda con familia, vecina de Viana, ¿orno madre de José Martínez, asesinado en el mismo pun concederle 40 rs. de vellón anuales, y á D. Anastasio Gome? Balbé, presbítero de Villarubia de los Ojos, que habiéndose presentado to, tres reales de vellón diarios: á…</t>
  </si>
  <si>
    <t>…é oficiales y soldados, que debían recibir la Legión de honor„ se acercaron i S. M., 1830. que los autoriza para obrar en los suyos como tengan por con quien les dirig ó la siguiente alocución: veniente. Enterada de todo S. M. la Reina Colimadora, can pre ••Amados compañeros mins: Siempre distribuyo entre vosotros con una nsencia de los informes que ha tenido á bien pedir, y no pudieodo w va cmocion estas recompensas de que tan dignos os habéis hecho por v^rs-</t>
  </si>
  <si>
    <t>…á las provincias no infectadas délos males y trastorno que del reino de Jaén con la Mancha. acqmpañan' á su respectiva invasión. Con este objeto se ha servido ó? Venta de Cárdenas ó el Visillo, comunicación principo! de S. ái. la Reina Colimadora, oido el dictamen del Consejo de Mi Andalucía. - nistros, decretar lo siguiente: 6? Pozo ancho, comunicación principal del reino de Córdoba 1 ° Las provincias del reino de Murcia, mientras permanecen con los Pedroches, Almadén y otros pantos. libres del contagio, se aislarán de las de Andalucía por…</t>
  </si>
  <si>
    <t>Coll, José</t>
  </si>
  <si>
    <t>José Coll</t>
  </si>
  <si>
    <t>…ha servido mandar lo siguiente: La compañía de Seguros mutuos de incendios de Sevilla. i,» Art. 1? La junta de Sanidad de Madrid se aumentará con los D. Ramón y D. Hermenegildo Montero, y D. Rafael Barcia, regidores facultativos D. José Coll, D. Ramón Copdevila , D. Victoriano Tor perpetuos del ayuntamiento de Zamora. recilla, D. Nicolás Alfaro y D. Pablo Montesino. El gobernador civil de Soria. 21 Serán vocales de la misma junta el conde de Teña, el mar E] de Barcelona. ques de la Torrecilla, D. Pedro Lafuente, D. Franeisco López Ola-…</t>
  </si>
  <si>
    <t>Coll, Luís</t>
  </si>
  <si>
    <t>Luís Coll</t>
  </si>
  <si>
    <t>…la mas activa persecución de los men contrajeron el alférez de la Guardia Real de infantería D. Rafael García de cionados en combinación con el brigadier D. Fermin Iriartc. Con este objeto Tuna , el cadete del regimiento de Soria D. Luís Coll, que se portó con una dividí las fuerzas en cuatro columnas, mandadas por los beneméritos gefr* lo* notable bizarría , en la defensa de la ermita , el tambor del mismo cuerpo Ma brig;H&gt;eres D. Manuel Benedicto, D. Fermín Inarte, y los coroneles D. Fé leo LoíÍis, el primero que conoció el engaño de…</t>
  </si>
  <si>
    <t>Coll, Mariano</t>
  </si>
  <si>
    <t>Mariano Coll</t>
  </si>
  <si>
    <t>…pro dar que la tierra de loza de pedernal para consistencia de las telas de tección de S. M. algodón devengue en adelante el derecho de dos maravedís por quin 1U. El ayuntamiento de Madrid se obligará á tomar al empre tal, y que D. Mariano Coll pague lo mismo por la expresada canti sario 20ü reales de agua jtotahle, comprándosela al precio, modo y dad/devolviéndosele la diferencia de los dos maravedís á los treinta plazos que entre ambos se estipularen, y afianzando la villa el pago y uño que se le exigieron y satisfizo por arroba. De Rea…</t>
  </si>
  <si>
    <t>Collaates, Calderón</t>
  </si>
  <si>
    <t>Calderón Collaates</t>
  </si>
  <si>
    <t>…los in Estado, y proponen los medios de remediarlos, en cuanto está i su alcance; y dividúen de la comisión han manifestado, y señaladamente el relator do ella* ea cite mismadia han presentado al’Estamento uña ley reparadora. el Sr. Calderón Collaates dijo ayer al empezar su discurso , y hoy lo hemos «Hecha esta def&lt;£a&amp;, queune pirece justa, voy á hablar de esa relación visto reproducido en el voto del Sr. Samponts, que,la comisión no hatyia teni que ha lastimado i los Secretarios del Despacho» huta el punto que el Señor do otros datos que una n…</t>
  </si>
  <si>
    <t>Collantcs, Calderón</t>
  </si>
  <si>
    <t>Calderón Collantcs</t>
  </si>
  <si>
    <t>…a, vuelvo á decir que por mi parte El Sr. Calderón y Collanter: «La comisión ha creído efectivamente que no hay inconveniente en aprobar la adición.” estaba salvado el objeto que se propone el Sr- González en su adición con to El Sr. Calderón Collantcs: «La comisión, cuando examinó la adición,dé do el espíritu del proyecto presentado por el Gobierno, y que la comisión ha que se trata, tenia un antecedente que la ha hecho mirarla con algún respeto: aprobado en su totalidad, sin perjuicio de las modificaciones hechas. La base ó . tal es el de trata…</t>
  </si>
  <si>
    <t>Cóllantei, Calderón</t>
  </si>
  <si>
    <t>Calderón Cóllantei</t>
  </si>
  <si>
    <t>…o tam Ei Sr. marques de Espinardo: •&gt;Supuesto eso., me parece que ya que no bién lo reglamentario, como la táctica que comprendía antiguamente.” .. sean los consejos de disciplina los que impongan esa pena de privación, por lo El Sr. -Calderón Cóllantei: «La disposición del artículo que se discute menos deben ser Jos que pidan á los gobernadores civiles ó á S. M., según los tiene una relación íntima con los principios generales; y si bien estoy de acuer casos, la separación de los individuos, pues alguno ha de ser el conducto por do con losvdel Sr…</t>
  </si>
  <si>
    <t>Collantej, Caliirruti</t>
  </si>
  <si>
    <t>Caliirruti Collantej</t>
  </si>
  <si>
    <t>…de la discusión, prevenido en felÍ7 y'gloriosa revolución de 1830 ha aumentado sus ga&gt;tcs; pero ha olvidado el reglamento, al relator de la comisioñ. S. S. que no ha aumentado el presupuesto de casa Real, y todo lo que ese au El Sr. Caliirruti Collantej: «Voy á tener el honor de ofrecer á la consi mento probará, es que deberemos ser muy cautos en el examen de los nuestros deración del Estamento el resúmen de la discusión que acaba de terminarse No para evitar el mismo aumento. En tercer lugar ha dicho S. S. que jo he trata es difícil conocer La ca…</t>
  </si>
  <si>
    <t>Collanter, Calderón</t>
  </si>
  <si>
    <t>Calderón Collanter</t>
  </si>
  <si>
    <t>…que la causa espa Gobierno de España. Bajo este supuesto, no tengo dificultad en aprobar lo pro ñola la defienden españoles. puesto por la comisión.” „ Respecto á los suizos se puede decir lo que de otras muchas cosas que te - El Sr. Calderón Collanter: «Al oir lo que ha dicho el Sr. Secretario do nemos que arreglar,-porque es otro de los legados que nos han dejado las ad Guerra, y lo que ha indicado el,Sr. Arguelles, se habrá creído acaso que en ministraciones anteriores. citar yo los regimientos, de que he hecho mención, he tenido el objeto de…</t>
  </si>
  <si>
    <t>Collanter, Calderón y</t>
  </si>
  <si>
    <t>Calderón y Collanter</t>
  </si>
  <si>
    <t>…o de Gracia y Justicia, á fin de proteger el derecho ción extraordinaria pertenece al dueño el hacerla. Pero si el Estamento quiere de propiedad.” dejar subsistente la legislación de la materia, vuelvo á decir que por mi parte El Sr. Calderón y Collanter: «La comisión ha creído efectivamente que no hay inconveniente en aprobar la adición.” estaba salvado el objeto que se propone el Sr- González en su adición con to El Sr. Calderón Collantcs: «La comisión, cuando examinó la adición,dé do el espíritu del proyecto presentado por el Gobierno, y que la…</t>
  </si>
  <si>
    <t>Collantes, Calderón</t>
  </si>
  <si>
    <t>Calderón Collantes</t>
  </si>
  <si>
    <t>…uelto á la capital de la Monarquía, tomó las riendas del Gobierno y la «Mas si ahora, habiendo votado ayer como votamos, se vota lo contra aprobó.” rio , la inconsecuencia que dije antes notaban los extrangeros en nosotros, la El Sr. Calderón Collantes , tomando en seguida la palabra, como autor de tendría por mayor que nunca, y es indudable que produciría muy mal efecto la adición dijo: en nuestro crédito, y tal vez nos imposibilitaría de valernos de el, á lo menos «No creería puesta á cubierto mi reputación ni la de mis dignos compa sin una gra…</t>
  </si>
  <si>
    <t>…ichos grados: por lo demas repito que estoy conforme con la co de ellos ha sido combatido victoriosamente por el Sr. Secretario de Gracia y misión.” Justicia. Ha dicho que lá ley no* hablaba de los tesoros ó alhajas que habían El Sr. Calderón Collantes dijo que la comisión no encontraba inconve sido encontradas con meditación y conocimiento interno de que los tesoros niente en acceder á los deseos del Sr. Ministro. estaban escondidos en un punto determinado; y efectivamente en la ley se ha El Sr. González (D. Antonio): «Me veo en la necesidad de…</t>
  </si>
  <si>
    <t>…de est» vasta, delicada é importantísima ma , se “acordó pasase á la comisión. materia.” ? Lo mismo se acordó respecto de la sigüiente adición al artículo 2.° del El Sr. Secretario del Despacio de Gracia y Justicia: •&gt;Debo hacér Sr. Calderón Collantes. presente al Estamento que al fijarse las bases que abraza el artículo que se dis «Cuando provenga de abolengo, sin que este derecho se extienda á los cute, nó se tuvo otro objeto mas que ensanchar el círculo de las disposiciones colaterales de sexto grado.?</t>
  </si>
  <si>
    <t>…costas i que die rtenencia á propiedad de ios tienes intestados, porque verdaderamente el sen lugar las acciones infundadas que promoviere.” tado no sucede, sino que recibe lo que le dan, y le pertenece por la ley. A petición del Sr. Calderón Collantes se acordó votar el artículo por par El Sr. Ochoa: «Sin embargo de lo que acaba de indicar el señor preopi tes , como se verificó en esta forma: nante , á mí me parece exacta la expresión de sucesión intestada á favor del La » El Estado puede reclamar como suyos de cualquiera particular ó cor Estado…</t>
  </si>
  <si>
    <t>…niente en que se expresase la idea del Sr. Mantilla por vía de adi Señoría una equivocación, pues no concibo cómo sea indispensable para saber ción. la riqueza de la Nación, el saber á cuánto asciende su deuda. Para conocer la El Sr. Calderón Collantes, como individuo de la comisión, convino en Tiqueza de la Nación es menester consultar la estadística suya, pero no su deu esta idea después de manifestar también que no había la contradicción in da , que todo nos enseñará las necesidades que haya que cubrir. Viniendo á la dicada. cuestión del momen…</t>
  </si>
  <si>
    <t>…resolución sobre el asunto que ocupaba al Esta bia sido su ánimo hacer por el momento una inculpacion al Gobierno, aun mento. que no le faltaban motivos para ello; pero que puesto que asi se consideraba, Se leyó la que sigue del Sr. Calderón Collantes: «Pido que se declare ha «erviria de recuerdo para la suerte de las peticiones que reposan en paz. llarnos en el caso de proceder á la discusión de cada presupuesto, empezando El Sr. marques de Someruelos: «Cuando ayer tuve el honor de hacer la por el de la casa Real.” Como su autor y para apoyarla…</t>
  </si>
  <si>
    <t>…tado á la ley, permítame V. S. que le diga que el presupuesto de la Casa Real, y se ha señalado día para .su discusión. El Es no-solo no debe hacerlo V. S., sino ní aun quererlo.” tamento ha visto esta marcha, y nadie, incluso el Sr. Calderón Collantes, que El Sr. conde de las Navas: «Cuando vo haya demostrado que con la como individuo de la comisión de Casa Real entendía en este asunto, y pu resolución tomada por ej Estamento se ha infringido la ley, me parece qne es diera habrrlo hecho; nadie, digo, ha reclamado acerca de ella* Asi pues, si ha…</t>
  </si>
  <si>
    <t>…tado de la N cion se degradaba con someter á un juicio sus opiniones. Asi secuencia , y habiendo pedido la palabra varios señores, la obtuvo en contra sostuve siempre mis principios: asi lo mostré siempre; se me presentó el de £l Sr. Calderón Collantes: «Entro en esta discusión con la mas viva des creto de 4 de Mayo, por el cual se declaraba que los que sostuvieran los prin confianza t ya porque disiento de las opiniones que acerca de ella ha emitido cipios de la Constitución tenían impuesta la pena de muerte; jamas me desdije; mi digno amigo el…</t>
  </si>
  <si>
    <t>…ún cuerpo de la Milicia Concluida la lectura de éste dietámen, y abierta la discusión sobre él, se urbana, y la de suspender su organización en algún pueblo ó provincia, son volvió á leer su párrafo 2-°, relativo á la adición del Sr. Calderón Collantes al 'CxcInSívéS'ttp S. M- i seguá ferexijan las circunstánciasyelbieny seguridad del art. 2.®, y en seguida fue aprobadáí tihfffiscósion. Estado.. Ést* suspensión ó disolución no podrá? prolongarse i mas de rm año, Leido el párrafo 3.°, que hace referencia á la adición del Sr. Porret al ar contado d…</t>
  </si>
  <si>
    <t>…tesis las segu mo pena , la mirarían como premio por ahorrarles de fatigas.” ridades posibles en la aplicación de aquellas.’1 El Sr. Secretario del Despacho de lo Interior: «Efectivamente, si solo El Sr. Poloy Monge: «Creo que el Sr. Calderón Collantes, al desechar se dijese expulsión, muchps lo mirarían como dice S. S.; pero con la circuns el artículo del proyecto del Gobierno y el de la comisión , ha caído en el mis tancia de ser con nota, solo un hombre sin pundonor puede darla este aspec mo error que atribuye al Gobierno y á la demisión á mi…</t>
  </si>
  <si>
    <t>…ueblos son_de mucha trascendencia, y los administrados sienten inmediata teligencia de que el ministerio abunda en los mismos principios y deseos.” mente los beneficios de esta corporación popular , cuando la elección anual es El Sr. Calderón Collantes dijo que si el Estamento convenía en resolver debida á sus sufragios. Lo contrario sucede cuando su nombramiento procede de la peticioD desde juego, sin entrar en una discusión al parecer inútil, una vez otro origen vicioso ó de abusos envejecidos, y en lugar de beneficios positivos que ei Gobierno…</t>
  </si>
  <si>
    <t>…m po ; y es bien claro que también podrían hacerse en su caso economías, sí se posiciones de los pueblos, harto agoviados por mil causas y motivos.” empleasen gefes de menos graduación. Resulta, pues, que los argumentos que se El Sr.' Calderón Collantes: «He pedido la palabra en pro del dictámen han empleado sobre esta parte no tienen tanta fuerza como se ha supuesto. del Gobierno, pues aunque no estoy muy de acuerdo con él, lo estoy muchí «Veamos el segundo argumento. Se lamenta el tribunal de no ser bastan simo menos con el de la comisión respec…</t>
  </si>
  <si>
    <t>…iendo que son las deudas originadas Palafox,con cuya indicación convinieron el Sr. Secretario del Despacho de en el año de * 4 - • Hicícnda y el Sr. Butrón. El Sr. Secretario del Despacho de Hacienda: «Supongo ya de lo qué sfc El Sr. Calderón Collantes dijo que en virtud de las indicaciones hechas quíeie hablar. Se trata de una reclamación de mas de 5 millones-2úo9 rs., tuyo por varios Sres. Procuradores , y no habiendo tenido inconveniente en admitir ah no se ha hecho en virtud de sentencia judfcra! de dn tribunal supTemo man las el Sr. Secretar…</t>
  </si>
  <si>
    <t>Collantes, Calderón y</t>
  </si>
  <si>
    <t>Calderón y Collantes</t>
  </si>
  <si>
    <t>…poyo en su con ron lugar á que Ja Nación tratase de separarle del trono y sustituir á su her secuencia la indicación referida del Sr. conde de las Navas.” mano D. Alfonso: por esto ocurrieron los acontecimientos de Avila, don- EL Sr. Calderón y Collantes tomó la palabra en contra del dictámen de de fue nombrado, y por muerte de este la Nación, que no quería reconocer la comisión, impugnándolo, no en cuanto á su fondo, sino en cuanto á la por odio al padre, y por su origen , que se suponía era impuro , á Doña forma. Pronunció sobre este asunto un la…</t>
  </si>
  <si>
    <t>Collantes, EL Sr Calderón y</t>
  </si>
  <si>
    <t>EL Sr Calderón y Collantes</t>
  </si>
  <si>
    <t>…putas. Apoyo en su con ron lugar á que Ja Nación tratase de separarle del trono y sustituir á su her secuencia la indicación referida del Sr. conde de las Navas.” mano D. Alfonso: por esto ocurrieron los acontecimientos de Avila, don- EL Sr. Calderón y Collantes tomó la palabra en contra del dictámen de de fue nombrado, y por muerte de este la Nación, que no quería reconocer la comisión, impugnándolo, no en cuanto á su fondo, sino en cuanto á la por odio al padre, y por su origen , que se suponía era impuro , á Doña forma. Pronunció sobre este asunto un la…</t>
  </si>
  <si>
    <t>Colloredo</t>
  </si>
  <si>
    <t>…l cálculo del coste se hace por vares lineales. lia sido instalado hoy en su destino después de haber prestado juramento en 3-° Que la unidad de medida empleada en las obras de fábrica es el pie, ó manos del óiariscal de la corte príncipe Colloredo, comisionado al intento. la tercera parte de dicha vara, con la división duodecimal; esto es , el pie se divide en 12 pulgadas, la pulgada en 12 lincas, y la linca en 12 puntos. . HOLANDA. Haya 7 de Setiembre. Se asegura que la princesa Alberta de Frusia ha anticipado su viage á Ber * ESTADO SANITA…</t>
  </si>
  <si>
    <t>Colloredo-Munsfeld</t>
  </si>
  <si>
    <t>…asó á la oposición. Nosotros, decía, verificarse en los diferentes empleos de la corte, había escrito S. M. el Empe esperaremos el resultado de los actos del nuevo gobierno para formar un jui rador una carta autógrafa al mariscal Príncipe Colloredo-Munsfeld, en vir cio exacto. Esta resolución nace del deseo que nos anima de acatar al gobier tud de la cual queda este exonerado de su actual empleo para ser nombrado no, aun en las personas de sus mas oscuros depositarios, hasta que los hechos primer gobernador de S. Mv (Esta es la.mas alta dignidad de la…</t>
  </si>
  <si>
    <t>Colloredo-Munsfeld, Príncipe</t>
  </si>
  <si>
    <t>Príncipe Colloredo-Munsfeld</t>
  </si>
  <si>
    <t>…ete, se pasó á la oposición. Nosotros, decía, verificarse en los diferentes empleos de la corte, había escrito S. M. el Empe esperaremos el resultado de los actos del nuevo gobierno para formar un jui rador una carta autógrafa al mariscal Príncipe Colloredo-Munsfeld, en vir cio exacto. Esta resolución nace del deseo que nos anima de acatar al gobier tud de la cual queda este exonerado de su actual empleo para ser nombrado no, aun en las personas de sus mas oscuros depositarios, hasta que los hechos primer gobernador de S. Mv (Esta es la.mas alta dignidad de la…</t>
  </si>
  <si>
    <t>Colocada</t>
  </si>
  <si>
    <t>…Sr, comandante general de las digno$ generales y gefes de div isión que operan en el distrito; deseando yo vi provincias Vascongadas lo siguiente: vamente acelerar el término de tan funesta calamidad, y aliviar en lo posi «Excmo Sr.: Colocada la división en Munguía y debiendo socorrer á Berble la triste suerte de los alucinados á quienes han logrado seducir y envolver tneo, tegua dije á V. E. por mi comunicación de ayer', dispuse marchar en tres en su crimen ese puñado de pérfidos que se titulan sus gefes, y que rebelado» columnas: la 1.*,…</t>
  </si>
  <si>
    <t>Colocado, Goberna</t>
  </si>
  <si>
    <t>Goberna Colocado</t>
  </si>
  <si>
    <t>…- desairada para mí después que el Sr. marques de Torre*- haber- algunaslígéías observaciones que á mi parecer no-se han tocado. Empe mejía la tocó con maestría inimitable. nté por preguntar si después del memorable decreto de la Reina Goberna "Colocado en el trono por un movimiento popular que desde Aranjurar ra , ei* que se encargó'la reforma del clero regular, se han hecho algunos pro- se comunicó rápidamente á todas las provincias, Fernando vná los pocos me grfcsóspara verificarla. 1 Qué proyectos sé ños ItéU- presentado ó están á punto ses de…</t>
  </si>
  <si>
    <t>Cologan, Antonio</t>
  </si>
  <si>
    <t>Antonio Cologan</t>
  </si>
  <si>
    <t>…n presentado docu hacer. ■ mento alguno. Se leyó el proyecto de ley para la organización de la Milicia urbana, y Canarias. =D. José Quintana de Llarena. habiendo observado el Sr. marques de Espinardo que una adición sobre consejo D. Antonio Cologan. de disciplina aprobada ya por el Estamento, no se habia colocado en el artí Sr. marques de Villafuertes.' culo á que correspondía, se rectificó esta omisión, y declaró estar conformé Coruña. eeD. Ramón Pardillas. el proyecto con lo aprobado sobre este punto. Puerto-Rico.ee: D. José Saint Yuste-. El Sr…</t>
  </si>
  <si>
    <t>Coloino, Francisco Bartolomé y</t>
  </si>
  <si>
    <t>Francisco Bartolomé y Coloino</t>
  </si>
  <si>
    <t>…ección á D. Manuel González Suso: para la de efe de la tercera sección á D. Manuel Cristantes: para la de gefe NOTICIAS EXTRA NO ERAS. C mesa dé la misma á D. Félix D’Olhaberriague y Blanco: para la de gefe de 1a cuarta sección á D. Francisco Bartolomé y Coloino: para las-degefes de mesa dé la misma a D. José Sánchez Ocaña y ' {Continuación del correo anterior.) al marques de Villagarcía: para la de gefe de la quima sección á Don Leoncio Macragh: para gefes de mesa de la misma á D. Juan ALEMANIA. ■Fernandez del Pino y D. Claudio Fernandez: para la de gefe…</t>
  </si>
  <si>
    <t>Coloma</t>
  </si>
  <si>
    <t>…Joaquín Es ra. Estas mejoras y las que recibió el arte de hilar, junto con la máquina de querra, profesor de humanidades. Cuatro tomos en 4*° mayor, edición de 1794, á 89 rs. rama y 110 pasta comun. Traducida esta historia por el Sr. Coloma, supo conservar Johnson acabarán de perfeccionad los telares de vapor. en la hermosa lengua de Castilla ta concisión y energía de su original; mas como no hu Antes de inventarse el método de Johnson se necesitaba un tejedor en biese traducido los apreciables opúsculos de la Germania y dt la vida de…</t>
  </si>
  <si>
    <t>Colomar, Antonio</t>
  </si>
  <si>
    <t>Antonio Colomar</t>
  </si>
  <si>
    <t>…quez. Siendo tan grande El Sr. coronel D. Liño Trujillo , como vocal hacendado. laconutilidadla mayorde esteséncillcz,método,á finnosdehemosgeneralizarimpuestorus elopenosdeber efectos.de desarrollarleEn él seycneurntrahexponerle D. Antonio Colomar, coqio médico vocal consultor. detalladas todas sus circunstancias y medías que pueden conducir á la perfecta cur»- D. José Aguirre, id. id. cton de un rápida y alarmante enfermedad. Se,vende á real en la librería de Hurta* Puede ir y la de la viuda de Cruz. en carta ¡ y está recomendado por la jun…</t>
  </si>
  <si>
    <t>Colon, Juan María</t>
  </si>
  <si>
    <t>Juan María Colon</t>
  </si>
  <si>
    <t>….*» Ayer varios holandeses hombres y mugeres fueron arrestados de agricultura; y la dtf Sanlúcar de Barrameda ha admitido la oferta hecha por dentro del territorio de Bélgica, cerca de S, Nicolás, y conducidos bajo de es su socio D. Juan María Colon de desempeñar gratuitamente esta enseñanza. colta á Amberes- Este es un acto.de represalia que sin duda producirá la. liber Ha indicado á los pueblos el modo de adquirir semilla de árroz de secano, tad de nuestros obreros detenidos en Holanda. El Correo belga anuncia con la y ha mandado publicar una i…</t>
  </si>
  <si>
    <t>Colorína</t>
  </si>
  <si>
    <t>…e en PARTE NO OFICIAL. Roma, que era la del colegio de los cánones de S. Pedro, en el Vaticano; la del erudito cardenal Sirleo, compuesta principalmente de autores griegos, y WOTICIAS EXTRANGERAS, valuada en 2UUU0 escudos; la del cardenal Colorína; las bibliotecas Sforziana y Tarciana que abundan en libros griegos, ademas de un gran número de otras particulares que contenían libros raros y preciosas curiosidades. De esta clase era la que pertenecía á Fulvio Ursino, natural dé Roma y muy erudito en ' í ’ (Continiiacidn del correo anterior.) E…</t>
  </si>
  <si>
    <t>Colubi</t>
  </si>
  <si>
    <t>…r una particular distinción y otros puntos no menos escabrosos; mas perseguidos incesantemente aquellos de los sugetos que los han practicado , para que elevándolo a conocimiento de rebeldes por los destacamentos dependientes del brigadier Colubi , han conse la Riíina Gobernadora, se sirva graduar su servicio, por si tiene á bien disguido estos batirlos y dispersarlos, causándoles bastante pérdida en las acciones pemanes al.;un 1 gracia. de Sierra Seca y Colí-de-baix, cayos detalles promete enviar. Dios Nc. Lumbier 24 dc Abril de 1834“Fxcmo…</t>
  </si>
  <si>
    <t>…apitán, ha destrozado á dicha fac bolsa db comercio.^.Cotización de hoy á las tres de ia tarde. ción , causándoles infinito número de cadáveres y heridos, y recogiendo muchas armas, 2cajasde guerra y 6 prisioneros. Las tropas del brigadier Colubi , que EFECTOS PUBLICOS. atfbjtfnda á la gavilla «fe un punto i otío proporcionaron a Henriquez la Inscripciones sobre el gran libro al 5 p. 100 , 00. ocasión debatirla, son dignas de todo elogio por el activo servicio que han Títulos al portador del 5 p. 100,00. Inscripciones en el gran libro a 4 p…</t>
  </si>
  <si>
    <t>…dores , que no pudiendo bajar con los caballos, los persiguieron pie á tierra con lanza en mano. ANUNCIOS, El capitán general de Cataluña en oficio del 28 de Mayo dice á este mi nisterio, que según los partes que ha recibido del brigadier Colubi y del coro Sumario-de trigonometría esférica, para uso de ios principiantes en la carrera nel Churruca, quedahan enteramente destruidas las facciones de la alta Catalu de la navegación. Un cuaderno en 4.0 oon doce manillas y una lámina, todas en plie go entero. Veadese en el despacho del deposito hidrogr…</t>
  </si>
  <si>
    <t>…desde el año 1820 al de 23 se El capitán general de Cataluña con fecha de 31 mes próximo pasado opusieron, en el mismo centro de ella, á la marcha del Gobierno representati dice que de resultas de las providencias tomadas por el brigadier Colubi, en con vo, reconocido, después de dolorosas experiencias, como indispensablemente secuencia de sus órdenes para retirar los.ganados y cerrar las casas de campo, necesario para asegúrár la independencia de la Nación, sus fueros y libertades, se ha logrado reducir á los rebeldes á la mayor miseria y…</t>
  </si>
  <si>
    <t>…abandone este punto., en el que aca.ba.de incorporárseme marcharía en seguimiento de las facciones; para cuyo efecto se había puesto en el comandante Iglesias con las dos compañías que se hallaban en Peñarroyacomunicación con el brigadier Colubi, que se dirigía desde Horta á Arnés. Igualmente he sabido hoy ha tenido el enemigo 61 heridos, v se han hallado Espero que Vi E. se servirá patentizar á S. M. el distinguido mérito de dos pellejos de alquitrán que los llevarían para pegar fuego al pueblo de Becei ¡este infatigable militar, que jama…</t>
  </si>
  <si>
    <t>…atallones alatüeiíde Sópela na é 1 barróla, uno guipuz- dei corregimiento de Tortosa donde sin embargo la constante persecución de coailo y las gabillas de Castpr,,Ochoa y otras varias, salí de Bilbao el dia 6 las gavillas por el,brigadier Colubi, produce los mas felices resultados, po con mi columna en umon*'del Sr. brigadier Iriarte con 900 hombres de la su niéndose en un. estado de defensa que impondrá y contendrá mucho las maqui ya, j mesjirigí.á^Orozco, .donde pernocté por haberlo abandonado los rebel- naciones revolucionarias. ..... r…</t>
  </si>
  <si>
    <t>…habían hecho dichas reclamaciones, pidieron que operan bajo él mando inmediato de varios gefes, unos que han acudido con que no se hiciere novedad, y eTG-Gbierno entonces -terrhmo med o de tropas -de Aragón 4 y otrfts que como e4 brigadier Colubi han venido- co4 pres autorizar á H"»»espitases generales-para -hacer revtvrf-estas- combIones-, ó conti teza de la pane de Cataluña. ¡Y precisamente se inculpa al Gobierno1 en esta nuar sirviéñdrisc de ellas siempre que lo crevesen necesario para la conservación ocasión! ¿Qué es esto , Señores.3 No…</t>
  </si>
  <si>
    <t>Colubi, D José María</t>
  </si>
  <si>
    <t>D José María Colubi</t>
  </si>
  <si>
    <t>…a amnistía por medio de algunas diputaciones polacas que irán á S. Pe- gó á reunir hasta 4^0 hombres, ha (ido perseguida por las tropas al mando tersburgo con motivo de tas fiestas que se preparan para celebrar ia mayoría del del brigadier D. José María Colubi, quien con tanta pericia, como valor y Príncipe imperial. actividad, cumplió las instrucciones del referido capitán general, siéndoel re sultado de aquella batida, libertar la alta Cataluña de la presencia de aquellos i ...i X* Gaceta de Francia anuncia en una carta de Francfort que quien te malvad…</t>
  </si>
  <si>
    <t>Colubi, José María</t>
  </si>
  <si>
    <t>José María Colubi</t>
  </si>
  <si>
    <t>…por medio de algunas diputaciones polacas que irán á S. Pe- gó á reunir hasta 4^0 hombres, ha (ido perseguida por las tropas al mando tersburgo con motivo de tas fiestas que se preparan para celebrar ia mayoría del del brigadier D. José María Colubi, quien con tanta pericia, como valor y Príncipe imperial. actividad, cumplió las instrucciones del referido capitán general, siéndoel re sultado de aquella batida, libertar la alta Cataluña de la presencia de aquellos i ...i X* Gaceta de Francia anuncia en una carta de Francfort que quien te malvad…</t>
  </si>
  <si>
    <t>Com, Julián Lope</t>
  </si>
  <si>
    <t>Julián Lope Com</t>
  </si>
  <si>
    <t>…r O&amp;eja y ErZ Recopilación, ó sea instrucción manual de la táctica militar de caballería . nuevaÍÜ individuos de la gavilla del Muchacho, cuya relación nominal me remite meare corregí.»».y amnentad» por el subteniente de la misma D. Julián Lope*. Com el gobernador de Pulcerdá. prende desde la instrucción del recluta á píe, hasta la de una compañía a c^b^llo con »*Eri Tarragona se han embarcado el 11 del que rige 150 prisioneros para la el manejo de todas.sus arm-s en ambos cas««s; y la instrucción de guerrilla o tiradores. Abraza juntamente las…</t>
  </si>
  <si>
    <t>Comales, Joaquina</t>
  </si>
  <si>
    <t>Joaquina Comales</t>
  </si>
  <si>
    <t>…ta* , y d* lína eMiizacició mas elevada. Uno dé los títulos que cita á todos los que se crean coft derecho á los bienes quedados- por fallecimiento de dan mu (recuenteroenté á Dios, ct ci de. Señor, de lo* astros y de los truenen Doña'Joaquina Comales, para que dentro del término «jé 30 días contados .desde esta fecha \ acudan á deducir las acciones que les.compctan j prevenidos de que en otro caso Lctamcó mas.bsea que.le«daran, y le aman. Los hechiceros y hechiceras son les parará perjuicio, i? muy honrados por ello*, y le* hacen hacer á menudo…</t>
  </si>
  <si>
    <t>Comandancia</t>
  </si>
  <si>
    <t>…r Partes recibidos en la secretaria de Estado y del Despacho de, la Guerra. ta otomana había declarado de oficio al Internuncio, que había alzado el blo 6 queo de Sanios , después de restablecida en la isla la autoridad del Ciran Señor, Comandancia general de las provincias Vascongadas.=Excmo. Sr. - El sin haber sido preciso derramar sangre, y que Las naciones amigas podían con mariscal de campo D. Baldomcro Espartero, comandante general de la divi tinuar comerciando en dicha isla dei misino modo que lo hacían antes de es sión de Vizcaia, con…</t>
  </si>
  <si>
    <t>Comandante</t>
  </si>
  <si>
    <t>…teres, 7¿, i y # á varias fs. , vol. y firme. particular de V. E., suplicándole se sirva hacerlo al de S. M. Acciones del banco español. 00. JPios-ócc. Mas de las Matas 29 de Abril de 1834-crManuet de Mazarredo.^: CAMBIOS, Excmoi Sr. Comandante general del ejército del reino de Valencia.s^Es copia.:s Valdés. - Amsterdam , 00. Taris, 16 papel. Cádiz, | b. Sevilla, par. Bayona, 00. Alicante, acorto pía- Coruña, J d. Valencia, $ d. Burdeos. 00. zo, ¿ d. Granada, f id. Zaragoza, f id. El capitán general de Castilla la Nueva en 4 de Mayo actua…</t>
  </si>
  <si>
    <t>…na , que debe ser este asunto definitivamente terminado. Dios &amp;c. Cuartel nes, guardando la proporción de unas con otras. (Courier.) general de Portalegre 23 de Mayo de 1834, á la una de la tarde.—José Ra món RodiL=Ilmo. y Excmo. Sr. Comandante general de las tropas que guar .____Cartas de Rio-Janeiro de 22 de Febrero avisan que habia renunciado el necen á Castello-de-Videministerio de Negocios extrangeros el Sr. Bento da Silva Lishoa, y que iba á hacer lo mismo Rodrigues Torres, ministro de Justicia. La capital gozaba de Excmo. Sr.: He r…</t>
  </si>
  <si>
    <t>Combermere</t>
  </si>
  <si>
    <t>…evonshire K&gt;s indiduos que actualmente se hallan en.el ministerio-, manifiesta paga por su habitación en la posada de la Victoria 24.O libras es los graves inconvenientes que'ha de producir esta ley, y procura terlinas cada roes: lord Combermere 100: M. Hope 230: Sir Ti desvanecer los temores que según se dice inspifán las asociaciones.. Poore 8Ó: Sir R. Otway IOO: lord de Tabley loO: lord Hert- .Vota contra el proyecto. ford 230. El general Jacqueminot sostiene el dictamen de, ia comisión; .i____Una cárfia particular de Constantinopla, re…</t>
  </si>
  <si>
    <t>…e el Constitucional que el resultado dé Lieven, el duque y duquesa de Buccleugh , marqueses de Exeler, marques de las elecciones manifiesta bien á las claras la adhesión del pais al gobierno dé Hetford , conde y condesa Brownlow, vizconde Combermere, conde y con Julio, y entonces pregunta : ¡cuál debe ser la consecuencia de todo esto? ¡Ñor desa de Jersey, marqueses de Ailsa y otros varios personages de distinción. sotros respondemos que la paz, y una paz que sea la mejor para prepararnos £ (Conrt Journal.) la guerra. La fuerza del ministerio n…</t>
  </si>
  <si>
    <t>Comercio</t>
  </si>
  <si>
    <t>…ma legislatura adoptó ia Cámara, aufique cbi¡[ ta ¿cid.j¿ por 100 Renta perpetua de id. 61 notables variaciones, un proyecto semejante, que por sej: difuso y de cfibvjl in se según de redac reproducé ha manitestado teligencia, el ministro Comercio, ; * &lt; 1 camara de Los diputados.—del dia 24 de Febrero, la sistema del qde el mismo pero siguiendo tado de otro modo, Cáaur¿. apép^ fel Presidente dice qué la Cámara de Los. Pares le ha participa^0 P°r me~ bó el año próximo pasado: aunque en sentir de la comisión $i‘d proyecto Jpi^ dio de un mensa…</t>
  </si>
  <si>
    <t>Cometido, Nicolás María Garelly</t>
  </si>
  <si>
    <t>Nicolás María Garelly Cometido</t>
  </si>
  <si>
    <t>…e la Real mano = lio el Pardo á 19 Sevilla. Tendréislo entendido, y lo comunicareis á quien corresponde Noviembre de 1854. = A D. Nicolás María Garelly. da.=Está rubricado de la Real mano.=En el Pardo a 19 de Noviem bre de 1854=A D. Nicolás María Garelly. Cometido á los alcaldes mayores y corregidores letrados el co nocimiento en primera instancia de todos los asuntos contenciosos, Vengo en conceder los honores de la audiencia de Aiadrid á y á las Reales audiencias en apelación y súplica los de todo el ter D. Aliguel García Cornejo, teniente de corregiilor e…</t>
  </si>
  <si>
    <t>Como</t>
  </si>
  <si>
    <t>…para berse atribuido la facultad de reglamentar á las Córtes. Señor, seamos justos; ello con la concurrencia de ambos E&gt;tamentos y del poder Real.” es menester atender al tiempo y al objeto con que lo hizo. El Gobierno, de Ei Sr. Caballero: «Como uno de los individuos que han firmado la peti scoso (como se manifestó ayer en el expediente relativo al nombramiento de ción que hoy nos ocupa, me creo en la necesidad de manifestar al E-tamento empleados, de que se dió cuentaá este Estamento) de no salir en ningún caso las poderosas razones que h…</t>
  </si>
  <si>
    <t>…os resultados y fa otro régimen; como habia sido recientemente atropellada la representación tales consecuencias los hemos llorado largo tiempo.” nacional, habia esta propensión, este deseo natural de los pueblos, pequenez El Sr. Caballero ■ "Como uno de ios individuos que han firmado la pe sí se quiere, de hace^ mérito hasta de las palabras contrarias al régimen de que tición, no tengo inconveniente en que el artículo se vote en los términos in acababan de salir. No he tomado las expresiones del Sr. González en el con dicados por varios Sre…</t>
  </si>
  <si>
    <t>…. cho del Fomento general del reino. Por Reales decretos dirigitjos al Sr. Presidenta del Consejo y Cámara de Castilla se ha servido nombrar la Reina Gobernadora para el corregimiento Junta superior de Sanidad de Granada.:=Excmo. Sr.: Como presidente de de létras de León i D. José García Suelto: para la vara de alcalde mayor se la junta superior de Sanidad de esta provincia digo i la suprema del reino con gundo de Jerez de la Frontera á D. Domingo Martínez Galinsoga, corregidor asta fecha lo siguiente: de Ciudad Real: para esta vara…</t>
  </si>
  <si>
    <t>…siguiente: El coronel D. Ramón Rebollo, comandante de una el programa siguiente:columna móvil, con fecha 8 del actual á las ocho de su mañana desde el Povo, acricelti/ra.pueblo del señorío de Molina, me dice lo siguiente: Exento- Sr.: Como dije á V. E. esta mañana dividí mi columna en dos trozos, el uno con el objeto de Una onza de oro al que presente la mejor memoria sobre c! medio mas perseguir á Jober, y yo con 24 caballos y 120 infantes me dirigí á Potnel, y ftdecuado, menos dispendioso y mas seguro de extender y generalizar el a…</t>
  </si>
  <si>
    <t>…oso el marre de aquella pri te ejército y rcino.=Es copia;=Ezpeleta. sión, y de que pisaban el territorio francés, dió parte al comandante, y este tocó generala, y formando las dos compañías de aquella guarnición, fue inme Excmo. Sr.: Como tengo manifestado á V. E., varias cotumhas perseguían diatamente á echar á los facciosos del territorio francés haciéndoles fuego, y la faceten mandada por Cabrera y Carnicer, y en aviso confidencia! que acabo rescató al preso que tenían para fusilarle. de recibir del coronel Nogueras de anteayer n…</t>
  </si>
  <si>
    <t>…s las demas enfermeda— Ides. Alboiote 12 de Febrero de 1834=AngIona. La junta suprema de Sanidad dei reino ha expedido la circular siguiente: La cesación de la enfermedad del lobera nvrbo en los diversos puiso que Tercero. Excmo. Sr.: Como presidente de la junta superior de Sanidad de la padecieron, y su extimiun también en algunos distrito-, aíi.ci.ios por .a mis esta provincia digo con esta fecha á la suprema del reino lo siguiente: ma dentro del remo, re.laman j»Mamen;e c» que se po:ig i termino a *as traba-», «Excmo. Sr.: La junt…</t>
  </si>
  <si>
    <t>…ue tenia* meditados, y un inmenso equipage de la familiadcL Pretendiente y obispo dé León, qué por Ejército de observación'de vanguardia.'Plana mayor.ccExce- ho/haberse descubierto hasta estp momento, no me ha sido posi lentísimo Sr.: Como íuvc el honor de exponer á V. E. en mi par ble examinarló para dar de ello á V. E- el debido conocimiento, te dado á las seis de la mañana de hoy desde el pueblo de Píncio, y fínicamente le acompaña un inventario de los enseres que se enemprendí la marchj con los cuerpos que están á mis órdenes a*…</t>
  </si>
  <si>
    <t>…e no ha habido la menor pérdida. Parte recibido en el ministerio del Fomento. El capitán general de Extremadura, desde Ciudad-Rodrigo, y con fecha del 16 traslada el parte que le dio con la del 14 desde PUscncía el coronel Excmo. Sr.: Como presidente de la junta superior de Sanidad de esta pro- I ;£). Juan González Arauyo, sargento mayor del provincial de ValUdolid, ma vmeía digo á la suprema del reino con esta fecha lo siguiente: I nifestando que según avisos que acababa de. recibir por el subdelegado de Fo Ex cilio, Sr.: La salud p…</t>
  </si>
  <si>
    <t>…ibidos en la secretaría de Estado y del Despacho de Señor General, creyendo estaría mas cerca el tiempo de lucir mi la Guerra. denuedo; mas á mi pesar veo transcurrir el tiempo infructuosa Capitanía general de Extremadura.^Excmo. Sr.: Como he ex- mente, por esta parte pudiendo ser útil en otra que nadie me Íirisado á V. E. en mi parte de esta mañana á las cinco, llegué á eccederla en actividad ni virtudes por defender á nuestro Soberano: a una de la tarde á esta ciudad, de donde se habian fugado sus au incline V. E. su Real animo que…</t>
  </si>
  <si>
    <t>…del presente des teniente del 3.a ligero D. Joaquín Bosques . procedente de Aragón, habiendo de Balmaseda, dice á este ministerio lo siguiente: pasado por las inmediaciones del pueblo de Nabajqn se hallaban á media legua »Excmo. Sr.: Como anuncié á V. E. en mi parte de ayer desde Quinco- de distancia de mí, y que, según la ruta que ellos habían preguntado , venían ces, me trasladé á la tarde á esta villa pasando la Peña de la Complacera, y hacia S. Pedro Manrique , añadiendo que los paisanos .desdicho Nzbajun'habían atravesando el v…</t>
  </si>
  <si>
    <t>…e una traducción en métro castellano de tos himnos Rango, lirtgua y Socris soJcmnis. £1 5.0: Trata de las festividades de &gt;a Sma. Virgen María y dei glorioso 5. José, y da principio ai Junta superior de Sanidad de Granada =Excmo. Sr.: Como presidente d« epistolario espiritual con diferentes cartas edificantes que se unen á eíta co.eccion, escritas por el mismo autor. El 6 0; Contiene la i.a y 2.aparte dei epistolario espi la junta su per ir de Sanidad de esta provincia digo con tsta fecha á la suprema ritual de cartas muy edificantes…</t>
  </si>
  <si>
    <t>…cmo. St.=El marques de Rodil. ñándole la junta navarra, unos 500 infanta y 20 caballos, púa que las demas fuerzas las dirigió sobre su flanco derecho, corriendo con tanta velocidad co " Ejército de operaciones del Norte.cr Excmo. Sr. — Como el Pretendien mo dicho Pretendiente, que lleva lastimada la cabeza de un porrazo que se ha te salió ayer de Segura en medio de una copiosa lluvia, emprendí mi movi dado en las arperas breñas y pre.ipicíns por donde tuvo que huir. Dios &amp;cmiento á Villa Real de Zumarraga y Ormastegui con la columna q…</t>
  </si>
  <si>
    <t>Como, Caballero</t>
  </si>
  <si>
    <t>Caballero Como</t>
  </si>
  <si>
    <t>…y los resultados y fa otro régimen; como habia sido recientemente atropellada la representación tales consecuencias los hemos llorado largo tiempo.” nacional, habia esta propensión, este deseo natural de los pueblos, pequenez El Sr. Caballero ■ "Como uno de ios individuos que han firmado la pe sí se quiere, de hace^ mérito hasta de las palabras contrarias al régimen de que tición, no tengo inconveniente en que el artículo se vote en los términos in acababan de salir. No he tomado las expresiones del Sr. González en el con dicados por varios Sre…</t>
  </si>
  <si>
    <t>Como, D Félix</t>
  </si>
  <si>
    <t>D Félix Como</t>
  </si>
  <si>
    <t>…quel territorio. en las armas de fuego, cuanto en las blancas, y me fui replegando El capitán general de dicho reino dictó las convenientes medi para continuar el plan de defensa. das con arreglo á las prevenciones de S. M., y el coronel D. Félix Como era forzoso atender á otros caminos de la sierra, por los Carrera, procedente de Verin, con 19 hombres de infantería y al cuales era de presumir viniese alguna parte de la facción, como asi gunos caballos penetró en Portugal, dirigiéndose sobre los rebeldes, sucedió, me fue preciso dividir la cortí…</t>
  </si>
  <si>
    <t>Como, Félix</t>
  </si>
  <si>
    <t>Félix Como</t>
  </si>
  <si>
    <t>…ritorio. en las armas de fuego, cuanto en las blancas, y me fui replegando El capitán general de dicho reino dictó las convenientes medi para continuar el plan de defensa. das con arreglo á las prevenciones de S. M., y el coronel D. Félix Como era forzoso atender á otros caminos de la sierra, por los Carrera, procedente de Verin, con 19 hombres de infantería y al cuales era de presumir viniese alguna parte de la facción, como asi gunos caballos penetró en Portugal, dirigiéndose sobre los rebeldes, sucedió, me fue preciso dividir la cortí…</t>
  </si>
  <si>
    <t>Como, Poloy Monga</t>
  </si>
  <si>
    <t>Poloy Monga Como</t>
  </si>
  <si>
    <t>…s publicadas en la -órden del cuerpo, y la suspensión de los -oficiales, lo, no tiene el Gobierno inconveniente, y puede ser objeto de una adición.” pueden serles-mucho mas sensibles que todas las multas, porque-comprometen su El Sr. Poloy Monga »Como individuo de la comisión, y parí enten delicadeza y -opinión. De consiguiente no debe decidir^para su aplicación, en dernos mejor, haré por partes las observaciones sobre el artículo,, i -fin de ver caso de empate, el voto del presidente; ní -estoy tampoco conforme con la co si el Sr. Secretario de…</t>
  </si>
  <si>
    <t>Cómo, Ro</t>
  </si>
  <si>
    <t>Ro Cómo</t>
  </si>
  <si>
    <t>…ros no le respondió categóricamente que en efecto existia el tratado; que su ratificación habéis dado otra cosa sino tumultos, guerra eivíl y una inquietud perpetua. en Lisboa se había diferido por una simple formalidad, y que el general Ro «Cómo habéis sacudido el yugo de toda ley, los que siempre teníais en boca el dil Había pasado la frontera en persecución de D. Carlos, el cual contra las órden legal? Vosotros habéis insultado la persona del Soberano, escarnecido á órdenes del gobierno de Doña María, reconocida como Reina por la Gran- l…</t>
  </si>
  <si>
    <t>Compani, Joaquín Fernandez</t>
  </si>
  <si>
    <t>Joaquín Fernandez Compani</t>
  </si>
  <si>
    <t>…de de su jurisdicción. Marzo último, á D. José María Fernandez de Córdoba , D. Ma Art. S.° Los corregidores y alcaldes mayores de los pueblos nuel Pardo, D. Manuel Silvestre Armero, D. Gonzalo de Ueredia, D. José Rafael Villapol, D. Joaquín Fernandez Compani, (I) La división judicial de partidos, coo expresión de los pueblos que D. Marcelino de la Torre, D Ramón Macia de Lleopart, Don cada uno de aquellos comprende, y de su población respectiva, se ven Diego Martin Villodres y D. Manuel Antonio Caballero. Y para derá por separado en la imprenta Real de…</t>
  </si>
  <si>
    <t>Compendio</t>
  </si>
  <si>
    <t>…ladolid, Rodríguez: Valencia, Mallen y Berard; y segundo director de la sociedad, con un elocuente discurso, en el cual, después en Barcelona en la de Oliva. de encomiar la protección que debió aquel cuerpo á las bondades del Sr. Don — ■ -Compendio de matemáticas puras y mixtas para instrucción de la juventud, por Fernando vi; , manifestaba sus esperanzas de que no medrarían menos todos los D. Francisco Verdejo Goazalez, catedrático de los Reales estudios de esta corte; dos ramos de instituto bajo el cetro de Isabel ii adoctrinada por su augusta…</t>
  </si>
  <si>
    <t>Compendio, Casimiro Domínguez</t>
  </si>
  <si>
    <t>Casimiro Domínguez Compendio</t>
  </si>
  <si>
    <t>…necesidad de in culcar á los habitantes las conocidas ventajas de los prados artificíales. ANUNCIOS. Habla de las fábricas de manteca preparada al uso de Flandes, de las cua les hay cinco en aquella provincia, debidas ál zelo de D. Casimiro Domínguez Compendio del derecho Real de España , segunda edición. Habiendo tenido el mas Gil y D. Juan Antonio de la Lana, que han logrado elaborar hasta el mes rápido despacho La primera edición, se apresura su auror á dar al público Ja segunda anterior sobre Su® libras, y puede calcularse que en el presente año se elabo…</t>
  </si>
  <si>
    <t>Comté, Humblot</t>
  </si>
  <si>
    <t>Humblot Comté</t>
  </si>
  <si>
    <t>…aprobación de Jos gastos extraordinarios hecho» en el ble. y con todos sus esfuerzos la enseñanza primaria, ba resuelto encj;¿ar&gt;e de año de i 83 3. desempeña: por sí mismo la cátedra de instrucción mora, •. rciicieoa cñ ,a es El Sr. Humblot Comté manifiesta las razones en que se funda para p*^pg- cuela normil ptimaria del departamento de la Gironda. Diario d; Par:j.) ner un proyecto de ley que llene el notable vacío que se nota en U* leyes y ------ La Oaceta de Au.¡fbur?o con referencia a cartas de Roma dice, que’ el reglamentos relativos ¿…</t>
  </si>
  <si>
    <t>Comunicados</t>
  </si>
  <si>
    <t>…fecha 20 de Marzo remite á este minis esmero con que tanto él como todos los demás comandantes y empleados de terio el oficio siguiente: esta división de guardacostas se prestan á cuanto se les indica.á costa del trabajo Exento- Sr.: Comunicados los aviso* a las comisiones de la empresa de mas ímprobo y con el mas decidido entusiasmo: lo cual ruego á V. E. tenga guardacostas, al bergantín Guadaíete y al comandante general interino de Vi— á bien elevarlo á S. M. la Reina Gobernadora en justo obsequio de tan loable !go¿ el coronel D. Sebastian C…</t>
  </si>
  <si>
    <t>Comunicareis, Migncl Nájera</t>
  </si>
  <si>
    <t>Migncl Nájera Comunicareis</t>
  </si>
  <si>
    <t>…omoción de D. José María Moscoso de Altamira á la Se de Navarra; y para fiscales á D. Francisco de Paula Sierra, magis cretaria del Dtepacho de dicho famó.=Tendréh&gt;ló entendido, y lo trado cesante, de ló civil, y dé lo criminal á D. Migncl Nájera Comunicareis á quien córresponda.ieEstá rubricado dé la Real ma- Meneos, ya nombrado para esta plaza. T es mi Voluntad que cada fto.s-AfanjuéZ 17 de Abril de 1834. — A- D. Francisco' Martinez uno de los ministros de ese súperioí ttibúflal ocupe, Según su clase, de la Rosa, Prmidemo del Cornejo &lt;U-Mietttros. él…</t>
  </si>
  <si>
    <t>Con, Acevedo</t>
  </si>
  <si>
    <t>Acevedo Con</t>
  </si>
  <si>
    <t>…forzado á entrar en un exáy bé aqui la razón que ha tenido la comisión, y la única que pesa en su mente men de planes criminales, de traiciones y de desgracias. Mas repugnante, mas para oponerse á que se adopte la proposición del Sr. Acevedo. Con respecto á doloroso todavía cuando observo al Infante agoviado por el peso de graves ca la solemnidad del acto, no hay duda en que es el mas augusto que puede pre lamidades: le veo llorando una terrible pérdida doméstica, separado desús hi sentarse. Nosotros debemos tomar ejemplo de las naciones ve…</t>
  </si>
  <si>
    <t>Con, Cár</t>
  </si>
  <si>
    <t>Cár Con</t>
  </si>
  <si>
    <t>…soberanía, es in gal estaba en Madrid! ¡Por qué el-gcnerat en gefe del ejército de PortugaL no dudable que en estos casos , de hecho , prácticamente se ejerce. tenia las itutrucciona conveniente» para apoderarse de la persona de D. Cár «Con este motivo no puedo menos de hacerme cargo de una reflexión los! ¡No'pudo haberse hecho asi estando á una legua el general Rodil en el que he oído en la discusión de hoy al Sr. Calderón y Col lames, quien defen momento en que D. Miguel sucumbía y D. Cárlos estaba á discreción! Si se diendo la sobe…</t>
  </si>
  <si>
    <t>Con, D Fermin Iriartc</t>
  </si>
  <si>
    <t>D Fermin Iriartc Con</t>
  </si>
  <si>
    <t>…uien me ha recomendado especialmente el que lio y Sopela'na, pira lo que me dediqué á la mas activa persecución de los men contrajeron el alférez de la Guardia Real de infantería D. Rafael García de cionados en combinación con el brigadier D. Fermin Iriartc. Con este objeto Tuna , el cadete del regimiento de Soria D. Luís Coll, que se portó con una dividí las fuerzas en cuatro columnas, mandadas por los beneméritos gefr* lo* notable bizarría , en la defensa de la ermita , el tambor del mismo cuerpo Ma brig;H&gt;eres D. Manuel Benedicto, D. Fermín Inarte, y lo…</t>
  </si>
  <si>
    <t>Con, Domaq</t>
  </si>
  <si>
    <t>Domaq Con</t>
  </si>
  <si>
    <t>…elo de las autoridades tición, no entraba en la discusión dé ella; peta sí no podia menos de rectificar provinciales destruir tan dañosa preocupación.” una idea del Sr. Domecq , á su parecer inexacta^ cuál era la de que en España Sr. Domaq. «Con dificultad pudiera yo oponerme á un proyecto de pe eran nulas las leyes, y que no era'necesario dar otra nueva sobre la materia, si tición, donde están tan sabiamente expresadas todas las opiniones sobre la ma no cumplir las existentes. Manifestó el orador que lo que había ocasío nado es teria que…</t>
  </si>
  <si>
    <t>Con, Dr José Serapio Mojarrieta</t>
  </si>
  <si>
    <t>Dr José Serapio Mojarrieta Con</t>
  </si>
  <si>
    <t>…acabamos de citar nos au SfV D. Juan Montalvo y Castilla toriza á creer que no serán desechadas sus demandas. Miramos como una obli Sr. D. Andrés do Arango. gación nuestra darles este aviso.” PROVINCIA D8 PUERTO PRÍNCIPE. * •- • Sr. Dr José Serapio Mojarrieta. Con fecha 2 del corriente escriben de Tolon lo que sigue: «La escuadra que se baila en este puerto acaba dé recibir orden de estar pronta" para salir á El gobernador civil de la provincia de Avila ha remitido la siguiente la mar desdé mañana. Se han dado pagas y víveres á la tripulación, y mañana . 'Ra…</t>
  </si>
  <si>
    <t>Con, Fermin Iriartc</t>
  </si>
  <si>
    <t>Fermin Iriartc Con</t>
  </si>
  <si>
    <t>…recomendado especialmente el que lio y Sopela'na, pira lo que me dediqué á la mas activa persecución de los men contrajeron el alférez de la Guardia Real de infantería D. Rafael García de cionados en combinación con el brigadier D. Fermin Iriartc. Con este objeto Tuna , el cadete del regimiento de Soria D. Luís Coll, que se portó con una dividí las fuerzas en cuatro columnas, mandadas por los beneméritos gefr* lo* notable bizarría , en la defensa de la ermita , el tambor del mismo cuerpo Ma brig;H&gt;eres D. Manuel Benedicto, D. Fermín Inarte, y lo…</t>
  </si>
  <si>
    <t>Con, Ffaáclsco Vi</t>
  </si>
  <si>
    <t>Ffaáclsco Vi Con</t>
  </si>
  <si>
    <t>…: 813 rs 24 mrs., á Ó. Claudio Es. cofon: 13,687 y 16 *fs., d.ÍJ. José Lorareini: Otros &gt;3,687 rs. 16 mrs,. quinta , y ya son poquísimo» los pueblo» en que no se ha verificado. á D. Felipe Mas!; y Últimamente 690 rs, y 8 ínl»,, i D. Ffaáclsco Vi Con igual esmero- y presteza se ha procedido' en la formación roso, las cuales se han denunciado d mostrenco* én el concepto de no de la Milicia urbana. tener duefio conocido, á fin de que én et término de 14 meses compa Se han frustrado á fuerza de vigiTancía fas tentativas de algu rezcan á deducirle…</t>
  </si>
  <si>
    <t>Con, Francisco'</t>
  </si>
  <si>
    <t>Francisco' Con</t>
  </si>
  <si>
    <t>…&amp;c. su pueblo, y como los vecinos se preparaban’ á l'a defensa, elude un subalterno del regimiento de Mallorca con 30 hombres y las instruccionííi.convenientes,, enterándole de que tenia dos apostaderos, el uno- del subteñícrife- D. Francisco' Con fecha 3 del corriente avisa, el gobernador-civil de la provincia dé Cá Sigüenza con 20 fusileros en la inmediación dé Torralba dé los Frailes pata diz , que en la ciudad de Jerez de Ja Frontera se habían presentado en un solo entretener el paso de los'facciosos, si en Su fuga pensaban vérifiearío p…</t>
  </si>
  <si>
    <t>Con, Ignacio Pérez de Soto</t>
  </si>
  <si>
    <t>Ignacio Pérez de Soto Con</t>
  </si>
  <si>
    <t>…iene la Ventaja de ocuparlos en un ejercicio neeesario para mante El señor marques de Iturbieta.............................................,............... 2000ner la salud y para que no se relaje la disciplina. &lt; D. Francisco y D. Ignacio Pérez de Soto............................................. 1000 «Con el debido respeto, &amp;c^=El teniente general comandante interino de D. José Magon y Campaoeu............................... 60los cuerpos de ocupación de Africa, VoiroL” El Excmo. é limo. Sr. D. Manuel Fraile, obispo de Sigíienza y Pa- . triarca de las Indias................... .. . *................…</t>
  </si>
  <si>
    <t>Con, Isa</t>
  </si>
  <si>
    <t>Isa Con</t>
  </si>
  <si>
    <t>…mas ra espero que los destruirá y acabará con ellos totalmente. mos de policía urbana. Asegura que el espíritu público de la provincia está generalmente decidido 4 favor de los imprescriptibles derechos de ia Reina nuestra Señora Doña Isa Con fecha 3 del corriente avisa el Presidente de la junta superior de Sani bel 11. dad de Granada que en aquella capital y su reino se disfrutaba de completa sa Se emplea en proporcionar á los pueblos el beneficio de la instrucción pri lud: lo mismo dice con la del 4 el subdelegado de Fomento de la pro…</t>
  </si>
  <si>
    <t>Con, Joaquín de ViUat</t>
  </si>
  <si>
    <t>Joaquín de ViUat Con</t>
  </si>
  <si>
    <t>…Por faUecimiento*de D. Manuel García Domínguez, quedó vacante la PROVINCIA DE CASTELLON DE tA PLANA. plaza de secretario del Gobierno civil de Cádiz, y S. M. la Reina Gober nadora se ha dignado ascender á ella en 1.* del actual 4 D. Joaquín de ViUat- Con fecha 9 del presente manifiesta su ^gobernador civil que en aquella ba, secretario del Gobierno civil de Zaragoza. capital había entrado la enfermedad en su periodo descendente: que en YriiaTtal casi había cesado el cólera que allí se había desarrollado con sobrada in» No habiéndose presentado T&gt;.…</t>
  </si>
  <si>
    <t>Con, Lafeyett</t>
  </si>
  <si>
    <t>Lafeyett Con</t>
  </si>
  <si>
    <t>…viera fondeada en sus aguas, teniendo á su favor la diferen- de Nueva-Yorck dcl 24 de Junio. Hacia pocos días que se sabia en aquella ehrdé que desde el punto en que hoy se halla le es mas fácil salir al mar. ciudad la muerte del general Lafeyett*. Con tan. triste motivo se habían reuni Esmirna dista casi lo mismo de Escútssi situada en el Bosforo y punto en do Jas diferentes corporaciones para tributar i su memoria honores fúnebres donde está la cabeza de las tropas disciplinadas que la Puerta tiene en Asia, y dignos de su persona, y del pueblo…</t>
  </si>
  <si>
    <t>Con, Manuel ValcarceL</t>
  </si>
  <si>
    <t>Manuel ValcarceL Con</t>
  </si>
  <si>
    <t>…uel reino; y para esta re ESTADO SANITARIO DEL REINO. sulta á D. José García Suelto. Asimismo ha tenido á bien separar de la plaza de teniente de asistente d« PROVINCIA DE AVILA Sevilla á D. José Maceda, y nombrar para la misma á D. Manuel ValcarceL Con fecha 11 del actual dice su gobernador civil que én la villa de Na vas del Marques no se había presentado ningún caso de colera en los cuatro días últimos: que desde J.° á 10 del mes de la fecha fallecieron en Madrigal 17 Repetidos anuncios habían dado á entender que los facciosos Intentaban person…</t>
  </si>
  <si>
    <t>Con, Palana</t>
  </si>
  <si>
    <t>Palana Con</t>
  </si>
  <si>
    <t>…sión; y asi he hablado en el supuesto de loque se Femando vn , porqué crao, hablando francamente, que nos Liana cuenta, y establece en la primera.’’ porque creo que todas las consecuencias dé estos reconocimientos nos son feli MI Sr. Palana-. "Con sorpresa y admiración he oido el discurso del Se ces. Si no se niega la validez de la autoridad del Sr. D. Fernando vn, no té ñor preopinante, porqué bien penetrado de su lógica, de su saber y de su ta por cierto en qué sentido se puedan tomar sus hechos, ni sé tampoco bajo qué lento, extrañaba que…</t>
  </si>
  <si>
    <t>Con, Presidente</t>
  </si>
  <si>
    <t>Presidente Con</t>
  </si>
  <si>
    <t>…mponer la comisión nará mucho en ello aquella institución; pero no veo esa precisión que se supo de Consolidación, ó sea la cuarta de recaudación. ne, de que para organizar la Milicia urbana en todo el reino haya de fijarse de El Sr. Presidente-. "Con el fin de que las comisiones tengan tiempo pa antemano la planta que hayan de tener los ayuntamientos. Existe efectivamen ra desempeñar sus trabajos, mañana no habrá sesión, y se reunirá el Estamen te una relación intima entre ambas cosas, "pero no esa absoluta necesidad que se to pasado mañana á l…</t>
  </si>
  <si>
    <t>Con, Ra</t>
  </si>
  <si>
    <t>Ra Con</t>
  </si>
  <si>
    <t>…: 2.a edición, uo tomo en tí.° con ubá lámiha fina. Se vende en esta corte én la librería de Razóla, y en Barcelona en la de Indar , á 7 rs. en rústica. — -Retrato de Cristóbal Colon, dibujado por Antonio Calliano , y grabado por D. Ra Con fecha 8 del corriente avisa el presidente de la junta superior de sani fael Esteve. El dibujo está sacado del cuadro original, pintado en América por Vaodad de Andalucía que en todos los pueblos de aquel distrito se disfrutaba de dosloo, varasel cualy Dueveexiste dedosen la degaleríaalto del, y una…</t>
  </si>
  <si>
    <t>Con, Sr Dr José Serapio Mojarrieta</t>
  </si>
  <si>
    <t>Sr Dr José Serapio Mojarrieta Con</t>
  </si>
  <si>
    <t>…eno; el hecho que acabamos de citar nos au SfV D. Juan Montalvo y Castilla toriza á creer que no serán desechadas sus demandas. Miramos como una obli Sr. D. Andrés do Arango. gación nuestra darles este aviso.” PROVINCIA D8 PUERTO PRÍNCIPE. * •- • Sr. Dr José Serapio Mojarrieta. Con fecha 2 del corriente escriben de Tolon lo que sigue: «La escuadra que se baila en este puerto acaba dé recibir orden de estar pronta" para salir á El gobernador civil de la provincia de Avila ha remitido la siguiente la mar desdé mañana. Se han dado pagas y víveres á la tripulación, y mañana . 'Ra…</t>
  </si>
  <si>
    <t>Con.la</t>
  </si>
  <si>
    <t>…e pronunció S.áM. en la apertura de las Cáma yan empleado en vanó todos los medios de conciliación que ofrecen las leyes ra CP- . - . - ; - ; . ■ '.■■■■ y la Constitución ,'lds miembros de la Confederación germánica se compronje- Señor:'»Con.la mayor, alegría vemos todos los amos á V. M. colocarse tcn recíprocamente en esta calidad á hacer decidir estas desavenencias por me— en medio de,la representación nacional como en el seno de una familia queri dio de árbitros, y del modo que sé indica e¿ el artículo siguiente, antes de ape da ; el i…</t>
  </si>
  <si>
    <t>Concepción, María de la</t>
  </si>
  <si>
    <t>María de la Concepción</t>
  </si>
  <si>
    <t>…palabra y dijo: "Quisiera en este un testimonio del escribano de Puente D. Gonzalo, por-el cual se acreditaba momento manifestar á V. SS. mi agr^..«cimiento por la buena voluntad que que dichas fincas coostifruian el mayorazgo de Doña María de la Concepción me han mostrado al designarme palto una Ocupación muy superior á ñus debites Alvarez de Sotoroayor, hija del mismo» Ln comisión en vista de todo era do fuerzas; pero la resignación en que e*:ov de sacrificarme por las necesidades de dictamen que las referidas rentas no son propias del interesado vi…</t>
  </si>
  <si>
    <t>Concha, Manuel</t>
  </si>
  <si>
    <t>Manuel Concha</t>
  </si>
  <si>
    <t>…D. Ramón Corres, contuso ligeramente D. Oirlos Oxholm, también ayudan— te mió, dos caballos muertos y varios heridos, entre ellos el de mi ayudante de Según parte del capitán general de Aragón de 15 del corriente, el día an campo D. Manuel Concha. terior debía caer sobre los enemigos situados en Verdun la columna del briga Aunque me hallo sumamente satisfecho del valor y decisión de todas las dier Oráa, que debía ser eficazmente apoyada por la del brigadier Linares, que tropas que entraron en la acción, y se comportaron con la bizarría y den…</t>
  </si>
  <si>
    <t>Concluida, González</t>
  </si>
  <si>
    <t>González Concluida</t>
  </si>
  <si>
    <t>…agua á la cintura para sostener biendo resultado ciiipatc dc 33 votos cada uno, por hallarse ya reunidos 66 •ste movimiento; tomando una posición conveniente el rato de lq infantería. Procuradores , decidió la tuerteen favor del Sr. González. Concluida esta elec La facción viéndose perseguida se dividió marchando los de 4 pie por la ción se retiró el Sr. Gobernador civil con su Secretario, y el Presidente y Se sierra, y la caballería no atreviéndose á subir par la montaña) continuó su cretarios interinos se colocaron en sus respectivos puestos, n…</t>
  </si>
  <si>
    <t>Concluido, José Dionisio de Ha</t>
  </si>
  <si>
    <t>José Dionisio de Ha Concluido</t>
  </si>
  <si>
    <t>…Gómez. ques de M.&lt;‘Ateta *, y en &lt;egu:da , í invitación del St. Presidente p cutió i turar Se mandó pasar á la comisión de Poderes. y tomó asiento el ¿&gt;r. D. Alvaro de Na*ia Ox&gt;rio. La' misma resolución recayó sobre un oficio de D. José Dionisio de Ha- Concluido este acto, tomo lj palabra y dijo - ro, electo Procurador por la Coruña, dirigido al gobernador civil de aque El Sr. Sicretario del Despacho de Estado -. "En el discurso que pare la lla provincia, manifestando que por sais enfermedades se ve precisado i renun apertura de las Corles pronunció S. M.,…</t>
  </si>
  <si>
    <t>Concluido, Presidente</t>
  </si>
  <si>
    <t>Presidente Concluido</t>
  </si>
  <si>
    <t>…a , Osea , López, Alcalá Zamora , González Alon cienes convenientes, por lo cual cree está en el caso de pedir se vote la tota so, Butrón, Fuster, Ruiz de Carrion, Tosquellas, Miguel, Cuevas, !*«"«, lidad.” , Caballero, Belda , y Sr. Presidente. ‘ Concluido el discurso del Sr. López, se pidió que la votación fuese no Los que desaprobaron fueron: minal. Esto originó un vivo debate sobre si recaería esta votación en haber Coton y Zúñiga , Fieix , Hubert, Serrano, Martinez de la Rosa, Toreno, lugar &amp; votar el ysroyecto en su totalidad* ó solo en votarle.…</t>
  </si>
  <si>
    <t>Conde</t>
  </si>
  <si>
    <t>…asimismo en la pronta compo Sr.-D. Juan de Toledo y Muñoz. sición del arrecife que desde el rio Zurraque conduce á Chic lana. Sr, D. José de Búrgos y Tello. Ha procurado eh. vano formar una fcnbliotoo* pública en aquella capital. Sr. Conde deViihunecuu Extracto del parte rcmittdó por ei. gobernador civil de la provincia de BurPROVINCIA DR MÁLAGA* ■gos D. Manuel de la Rjva Herrera con fecha dp 11 de Junio último* Sr. D. Francisco Javier de León QuiUy* Ha cuidado de asegurar La libre venta y circulación de grano®, removiendo Sr. D. Tom…</t>
  </si>
  <si>
    <t>…s quA durante algunos dias un busto colosal de S. A. que ha ejecutado uno de estos estime oportunas—Palacio de las Necesidades 30 de Setiembre do 1834*=^ últimos, Mr. Albie, jóven escultor de mucho mérito, discípulo de la escuela Obispo Conde, Fr. Francisco. ([Gaceta oficial del Gobierno?) francesa:. Este busto es de una semejanza maravillosa, y seguramente se verán copias de él en Francia. Semejante condescendencia es ya un paso agigantado Idem 6 de Octubre. hacia las bellas artes, que á no ser por este hombre singular, hubieran hallad…</t>
  </si>
  <si>
    <t>…Asi es un hecho,puede decirse que en y tal el aspecto matemático, que al oírlos aparecen como verdades evidentes España fue una verdad del despotismo, como no ha mucho prometió Luis Fe los errores mas grandes. Las Córtes, dijo el Sr. Conde , según la. ley , pueden lipe seria en Francia la Constitución. entender en materia de contribuciones ó impuestos, y los empréstitos lo son, «Tal fue, señores, el poder absoluto que las leyes concedían al Soberano pues que hay que pagarlos. Bajo tres aspectos puede considerarse un empréstito: españ…</t>
  </si>
  <si>
    <t>Conde, Juan</t>
  </si>
  <si>
    <t>Juan Conde</t>
  </si>
  <si>
    <t>…ibíirm Gamboa , puede V. E. figurarse la novedad que me causa la retirada, me ha manifestado el gobernador D. Bedro de la Pena, que *1 ría el decirme un vecino honrado á las ocho de la mañana del día 16 que esta ayudante de plaza D. Juan Conde se condujo con la bizarría y serenidad qut población se hallaba circundada de facciosos, sin haber tenido hasta entonces le es característica. Todos los gefes y oficiales, tanto del estado mavof como ¡para sospecharlo : muy al tontrario , á la caída de la retirados en esta plaza, los individuos de…</t>
  </si>
  <si>
    <t>Condesa</t>
  </si>
  <si>
    <t>…la Princesa, verdes en el Re^, y de un color amarillo cómo de azufre en la Piscina. Lás aguas de la Princesa tienen La villa del Campillo de Alto Buey, en la provincia de Cuenca, fue uno de 24 grados R. d¿ temperatura; 23 las de! Rey, Condesa, y Militares y Pobresylos primeros pueblos que mabifestaron ostensiblemente su decisión á favor del 21 las de la Piscina y 19 las.de las dos nuevas fuentes; cuya temple conservan gobierno legítimo de S. M. la Rejna nuéstra Señora Doña Isabel ii. No sin alteración en todas las estaciones del año. co…</t>
  </si>
  <si>
    <t>Confieso, Ockoaz</t>
  </si>
  <si>
    <t>Ockoaz Confieso</t>
  </si>
  <si>
    <t>…to sea luego considerable. Me parece, pues, que basta esto para desvane tro Sres. Procuradores, de 124 presentes. cer los argumentos hechos contra la comuioo.” Los que aprobafoti fueron los-Sres. Cano Manuel (padre), Abargues, El Sr. Ockoaz «Confieso que est% discusión es muy desagradable por la Be’monte t Boncl, Hubert, Mirtinez de le' Rosa, González ( D. Juan Gual— . persona á que se refiere: pero me parece que por muy alta que sea la ciase del be?to), Mantilla, Félix Miranda, Mostoso de Altamrra, Vega y Rio, Mar— Sr. Infante, hay-tina gran d…</t>
  </si>
  <si>
    <t>Confieso, Polo y Afonge</t>
  </si>
  <si>
    <t>Polo y Afonge Confieso</t>
  </si>
  <si>
    <t>…obase el artículo que sobre el asuntó proponía la mi desde luego. Asi, pues, sr el Estamento no tiene inconveniente, me parece noría de la'Cnmisioti. que podía acordar que ebart. 3.° y los demas que se derivan de él pasasen to El Sr. Polo y Afonge. « Confieso francamente que yo encuentro contra dos á la comisión.. v dicciones muy manifiestas entre lo qne se ha dicho anteriormente cuando se El Sr. Presidente. «Después de votarse el artículo, do dudo que algún ba tratado del reconocimiento del empréstito de Guebhard, y lo que ahora Sr. Procurador hará est…</t>
  </si>
  <si>
    <t>Conforme</t>
  </si>
  <si>
    <t>…el punto; la del general Lorenzo en el pueblo contiguo 1 mi mando , en l.° del actual desde Cea , en esle reino de Portugal, me dice lo dé Mendigorria, y la del brigadier Linares debía llegar á la inmediación de que copio. Excmo. Sr.: Conforme á lo que V. E. me había prevenido, salí los mismos puntos, situándose en Artajonaayer del pueblo de Linhares para este de Cea. En el camino tuve aviso de que Los facciosos estaban en movimiento en diferentes cuerpos. Zumalacetregui I el guerrillero capitán Mor Jorge Botto con unos 700 hombres de in…</t>
  </si>
  <si>
    <t>Conforme, Pres'tdsntf</t>
  </si>
  <si>
    <t>Pres'tdsntf Conforme</t>
  </si>
  <si>
    <t>…no había ningún inconveniente en que se discutiese en pú ¿estos ,.y no son otros que el bienestar del pais , y le haga presente estar dis blico. puesto por sü partí; á tomar cuantas medidas exija la suerte de la patria, en 1? El Sr. Pres'tdsntf. «Conforme á lo dispuesto por el reglamento se im f que taptp ínteres tenemos todos. Esto propongo á la consideración del Esta primirá y repartirá esta petición; y cuando lo esté, señalaré día para su dis mento , que creo no dejará de tomarlo én ella.” cusión.’' El Sr. Secretario de Estado: «Muy ageno estaba…</t>
  </si>
  <si>
    <t>Connell</t>
  </si>
  <si>
    <t>…miento de sus enemigos; pero siendo asi que existimos cq cuplés se distinguían el Sr. secretario Rice, el vizconde Morpeth, el Dr. Lus- un siglo ilustrado nada menos que por la sagrada luz del evangelio, la que ha hiqgton, el Sr. D. 0*Connell, y muchos hombres de color naturales de las co ce mas de tres centurias de años que brilla en este suelo, es de creer por lomislea» as. mo que otro es el origen de su persecución: esto pues desea saber el pueblo oriEl banquete ha sido brillantísimo: se brindó por lord Grey con el ma- zabefio, y no…</t>
  </si>
  <si>
    <t>Connell, D</t>
  </si>
  <si>
    <t>D Connell</t>
  </si>
  <si>
    <t>…recimiento de sus enemigos; pero siendo asi que existimos cq cuplés se distinguían el Sr. secretario Rice, el vizconde Morpeth, el Dr. Lus- un siglo ilustrado nada menos que por la sagrada luz del evangelio, la que ha hiqgton, el Sr. D. 0*Connell, y muchos hombres de color naturales de las co ce mas de tres centurias de años que brilla en este suelo, es de creer por lomislea» as. mo que otro es el origen de su persecución: esto pues desea saber el pueblo oriEl banquete ha sido brillantísimo: se brindó por lord Grey con el ma- zabefio, y no…</t>
  </si>
  <si>
    <t>Cono, Miguel</t>
  </si>
  <si>
    <t>Miguel Cono</t>
  </si>
  <si>
    <t>…ordena guardar ai derecho de propiedad equivale y constituye una nía que habiendo examinado los poderes y documentos justificativos presenta verdadera inviolabilidad. Nuestros legisladores se propusieron defender e¿te de dos por D. Miguel Cono, electo Procurador por la provincia de Srgovia, y recho. fundamental, y al tiempo que amarraron las manos del poder supremo hallándolos ariegfedos, era de parecer que debían aprobarse. Asi se acordó. del Estado*, establecieron la independencia judicial, y marcaron reglas á loe También se aprobó otr…</t>
  </si>
  <si>
    <t>Conozco, Galiana</t>
  </si>
  <si>
    <t>Galiana Conozco</t>
  </si>
  <si>
    <t>…e, la ¿éie- no tiene V. Sóqyp■ &lt;Wo*rtc eo eso, pues está en posesión de la palabra, sin Bre delVt de Agosto, sc vpria-e la forma del E»tadó y se causasen muchos prevención alguna.^ i males, ¿p medio de álgunas^úííies reformas. El Sr. Galiana-. «Conozco que pitamos muy poco diestros aun en la car «^ía dicho el -Arguelles que estas trabas del reglamento son /peños rera de las discusiones parLmemarias.Pcro no puedo menos de interpelar al necesaria*, atendiendo4 otrás 'dispo&amp;iciophs capitales que ha adoptado cf Go- mi¿mo Sr. Secretario del Despacho,…</t>
  </si>
  <si>
    <t>Consecuencia, Amor A</t>
  </si>
  <si>
    <t>Amor A Consecuencia</t>
  </si>
  <si>
    <t>…batallón del ladaré a V. E. a la posible brevedad los partes que me den las brigadas Linares 6.° ligero de infantería, que había venido de refuerzo desde Aragón, y la ca y Villacampo de la acción que llevo referida. ballería del Coronel Amor. A Consecuencia de este plan marchó el general en Todo lo que digo áV. E. para que se sirva elevarlo á conocimiento de géfe 4 Vitoria , dejando encargado al comandante general de Guipúzcoa , el bri S. M =UIOS &amp;e. Cuartel general de Echarri Arañar 18 de Junio de 1834 = gadier Jíuregui, que con !art ropas de su mando p…</t>
  </si>
  <si>
    <t>Consecuente</t>
  </si>
  <si>
    <t>…beldes situados en el referido pueblo de Muro, cu Toledo.” ya Operación me facilitaba cargar con ventaja sus columnas apo yadas al bosque de la retaguardia del pueblo: efectivamente pudo Ejercito de Operaciones del Norte.izExcmo. Sr.: Consecuente á conseguirse por un arrojó de unos 300 valientes del regimiento de lo que con esta fecha digo á V, E. en otro oficio* acabo de reci Córdoba y 30 caballos de cazadores de la Guardia que apoyaron bir el parte de la acción del 2l), que con fecha del 30 me d.i des este movimiento, y aunque cedido á lo…</t>
  </si>
  <si>
    <t>…das del coronel Rebollo, empleada en la persecución de ..Parte.4 que se refiere el oficio anterior. una gavilla de 5 hombres montados mandados por el Gaitero, ha conseguido coger dos de estos, un caballo y varias armas. 1 Exento. Sr.: Consecuente á lo que insinué á V. E. en papel fecha de ayer Por la copia del parte del gobernador de Calatayud verá V. E. la siserte desde Ochagavía, dividí mis fuerzas con objeto de batir lasxercantas y destruir ique han tenido muchos de los dispersos de la facción de Jóber. cuantos efectos de fabricación ten…</t>
  </si>
  <si>
    <t>…bién dice que este gobierno no es de derecho, y á cuyo modo de nares el parte siguiente: ver la verdadera soberanía legitima se halla en Praga. A todos cama risa y lástima esta manía |de llamarse gobierno de derecho, cuan Excmo. Sr.: Consecuente al ofrecimiento que hice á V. E. en tíe existe aquí el gobierno real, el que manda, en fin el que está el parte que le dirigí de postillón en postillón en la mañana del 16, sostenido por el ejército, por la guardia nacional y por las Camara». debo manifestar: que á las siete de la tarde del 13 del…</t>
  </si>
  <si>
    <t>…la mañana le ha dirigido el gobernador militar y político madlo, pues, habitantes de las provincias del Norte; porque pro de la ciudad de Jaca y su partido. clamándolo , obtendréis la tranquilidad de que hace tanto tiempo Excmo. Sr.: Consecuente á lo manifestado á V. E. en mis an estáis .privados. teriores oficios relativos á enérgicas disposiciones tomadas para la «Soldados que servís en las filas del ejército contrario; dejad persecución y total exterminio de la gavilla de rebeldes llamada las armas, y volved á vuestros hogares, ó venid…</t>
  </si>
  <si>
    <t>Considerando</t>
  </si>
  <si>
    <t>…DE HACIENDA DE ESPAÑA* dara y enmudecerá ante ia ley. 1 Solo estas evidentes consideraciones pueden calmar el justo doLor de que] Reales órdenes. esta poseído este ayuntamiento por la perdida de nuestro adorado Monarca; y ] limo. Sr.: Considerando que el subsidio del comercio, mas oneroso por el no duda en asegurar á V. M. que en iodo evento estará pronto á sacrificarse en j modo de su exacción que por su cantidad , pesa de una manera embarazosa so defensa de los legítimo» y xobcraoos derechos de la Reina nuestra Señora Doña bre el tráfico y…</t>
  </si>
  <si>
    <t>Considero, Arguelles'</t>
  </si>
  <si>
    <t>Arguelles' Considero</t>
  </si>
  <si>
    <t>…lico; y mucho mas cuando la economía no es tan grande que desde luego dirá el Gobierno es que si es suficiente uno, no empleará dos. como se ha supuesto.” «Respecto i la segunda cuestión, está reducida á la simple pregunta: de El Sr. Arguelles' «Considero al Estamento perfect mente enterado de, si, en caso de restablecerse las relaciones interrumpidas con Viena, Berlín y esta cuestión: pues me parece que a lo dicho por una v oirá parte po„o hay Petersburgo, ¿se deberán enviar á aquellas cortes ministros plenipotenciarios 6 que añadir; y i no ser por…</t>
  </si>
  <si>
    <t>Consiguiente</t>
  </si>
  <si>
    <t>…ho de la Guerra se han recibido í un mismo gaba por falta de descanso i la inclemencia y sin comer. Dios guarde i V. E. tiempo los partes siguientes: muchos años. Cuartel divisorio de Santesteban 27 de Agostó de 1834—Exce »Excmo. Sr.: Consiguiente á lo que dije í V. E. en mi parte de ayer i lentísimo Sr.=Gaspar de Jáuregui.=Excmo. Si. general en gefe. las dóce det día, ycerciorado del regreso del Pretendiente al valle del Bastan, he determinado salir de Lizaso asi que despaché aquel, dirigiéndome- i este pue Núm.2l® «Supuesto lo que V. S. me…</t>
  </si>
  <si>
    <t>Gaceta de Madrid n.º 62 · suplemento</t>
  </si>
  <si>
    <t>…uardia, brigadier D. Francisco Sanjuánena, mente acreedor á mi memoria el Sr. mariscal de campo, barón de con fecha de ayer me dice lo que copio desde Lardosa: Carondelet, por la prontitud y acierto con que ocupó á Capiña «Excmo. Sr.: Consiguiente con lo que tuve el honor de ma con una columna de caballería é infautería, apoyando el movi nifestar á V. E. en oficio de este día á las tres de la tarde desde miento de la vanguardia, que procuró sostener en caso necesario, Capiña, continué mi marcha á la Atalaya con el 2.° escuadrón del adelantan…</t>
  </si>
  <si>
    <t>…de la fuerte posición coi U rtufnl* Convocatoria, }, pon er«tado ó. loa Procurador* que corra» penden a ¿e Samaren en estos términos; , . . venta en Oroyíncia, raj» el despacho fstari de dé U imprenta Real mañana 21 deade Excmo. Sr.: Consiguiente k lo que participé t L t a la» coa- cuarto». i, veinte íarécho d« U rnaBana, y cinco</t>
  </si>
  <si>
    <t>…influencia extrangera deben precisamente haberse pues Quintanar de la Sierra con fecha 18 de Junio remite á este ministerio el parte to eit movimiento én este asunto, pues de otro modo jamas se le hubiera ocur siguiente: «Excmo. Sr.: Consiguiente á lo que dije á V. E. con fecha 14 del rido- tal idea á un Soberano de tanta sensatez como el Rey de los belgas. (Globo.) corriente desde Soria r y habiéndome avisado el Comandante general de dicha FRANCIA. provincia en términos de no ser necesaria mi cooperación sobre Corella por ha ber cesado el…</t>
  </si>
  <si>
    <t>…4 b. ¿ 4 P- 100 al año. 38J. BUbao, i d. Santiago, |d. ~ El mismo capitán general con fecha 21 dél corriente remite á este minis terio el parte siguiente: «Gobierno militar y político de'la ciudad de Teruel y Su partido zuExcmo. Sr.: Consiguiente á las órdenes é instrucciones que tenia ANUNCIOS. comunicadas á las justicias de los pueblos de este partido de mi cargo, fue he Tardt He Carnaval en el Prado el dia 13 de Junto, 6 colección de piezas tocadas ¡ cho preso la tarde del domingo 15 dei actual en el término del lugar de Sar- en dicha ta…</t>
  </si>
  <si>
    <t>…El general en gefe se hallaba el día 20 en Pamplonamarcha.con el buen orden y serenidad que comprueba la circunstancia de habcrse'traido sus heridos y el cadáver del comandante La place. Ejército de operaciones del Norte. Excmo. Sr.: Consiguiente 4 lo que tengo El primer batallón del 3.° de ligeros se ha cubierto de gloria, haciendo fren dicho 4 V. E. en mis partes anteriores, salí esta mañana de Salvatierra con di te , rechazando y arrojando de sus poveones í los traidores que se lisonjeaban rección 4 la Borunda y valle de Araquil, en dond…</t>
  </si>
  <si>
    <t>Consra, José Luís de Casascca</t>
  </si>
  <si>
    <t>José Luís de Casascca Consra</t>
  </si>
  <si>
    <t>…* para servir de texto 1 _____ determinando cuáles han de ser los subalternos del tribunal supremo de los alumnos del Real conselryatorio.de arres y dema*.cátedras establecidas en el rcinoi para la enseñanza de esta ciencia, .por D. José Luís de Casascca. Consra de dos tos» Hacienda; cuáles sus sueldos, y nombrando á los individuos que han de des en 8.° con lámlnás, se hatlárá a ,$Ó fs, én pasta y 2J en rústica en la librería de ¿uer empeñar estos destinos. (Id.) ta* y eh Ja de Sánchez. ___ _ determinando' lá instalación del mismo tribunal y los negocios en que h…</t>
  </si>
  <si>
    <t>Consta, Juan Francesco Siñerfz</t>
  </si>
  <si>
    <t>Juan Francesco Siñerfz Consta</t>
  </si>
  <si>
    <t>…pasta comuu, 13 en fina y 16 en tafilete. tora de las leyes. Asi fue que el consejo de Castilla represento á la Junta lo ■■ — •fituevo pian de gobierno económico domestico, dedicado á S M. la Reina nuestra Señora y compuesto por D.~ Juan Francesco Siñerfz. Consta de uo romo en 8.®, y se absurdo que era el haberse constituido á sí misma en gobierno, cuando sus po vende en .Madrid á 10 rs. en rústica y 12 en pasta en las librerías de Cuesta, Razóla deres solo eran para nombrarle: que en una nación tan extensa como la Espa y Rodríguez. A ios libreros que eusteu p…</t>
  </si>
  <si>
    <t>Consta, Manuel García Suelto</t>
  </si>
  <si>
    <t>Manuel García Suelto Consta</t>
  </si>
  <si>
    <t>…scripción. Lástima es, señor comandante, que á los 70 bravOs de infantería ------Malvina, novela escrita en francés por madama Cottln, y traduci no se hubieran podido reunir 2U caballos, con los que indudable da en castellana por D. Manuel García Suelto. Consta de dos tomos, 3se. mente hubieran sido destruidos los facinerosos que querian sublevar halla de venta en Madrid á 16 rs. en rústica y 20 en pasta en la librería de la viuda de Cruz, en la de S-nz, y en las provi acias con el aumento esta tranquila provincia, dando yo á Vmd. las gracias a nombre de de 2 rs…</t>
  </si>
  <si>
    <t>Constante</t>
  </si>
  <si>
    <t>…:! I mayores para lograr el fin que deseamos; y aprovechando todos los medios;.-' Potencias del continente, me hacen esperar que seguirá con buen suceso este1 [oportunos! ; qué cosa nos esc usará! La legitimidad de S. M. la REinA^Doña • Constante objeto de mis desvelos. I Isabel be Bobbon ha sido reconocida y jurada por toda la-nación y recomen- embargo, tengo el sentimiento de que aun no se ha hecho un arreglo 1 dada por el Sumo Pontífice á todos los ‘pueblos cristianos de su obediencia final ^htfe Holanda y Bélgica, y. que continúa la gue…</t>
  </si>
  <si>
    <t>Constantino</t>
  </si>
  <si>
    <t>…iías y el Infante D. Cárlos, sus hijos y sucesores.” nación quizá la mas opuesta á c ertos principios. En ese país ha sucedido, no há El Sr. García Herreros dijo que la comisión de propósito ni habia cita muchos años, que el gran duque Constantino renunció á la Corona por sí; do leyes ni se habia fundado en ellas, órden con que el Gobierno había hecho siendo claro que esa renuncia se extendía á los descendientes que pudiese te su propuesta para ilustrar á Jas Curtes y hacerlas ver que esta era la marcha ner; pues fue llamado á colocarse en e…</t>
  </si>
  <si>
    <t>…Sr. tienMcho: «Siento mucho tomar Ja palabra después de jpaber oido i Fue’ antepuesto Nicolás, actual Emperador de la Rusia, á su hermano mayor un discurso lleno de.verdadera elocuencia y de profunda ilustración , cual ha el gran duque Constantino, en observancia de este decantado derecho? sido el del Sr. Trueba, queme lleva tan conocidas ventajas; y lo tiento tanto «Pero ¿á qué cansar al Estamento? Si fuese á averiguar la historia de to mas, cuanto que debo habiar en contra de su opinión, no respecto de lo que dos los tronos de Europa no ha…</t>
  </si>
  <si>
    <t>Constantino, Ge</t>
  </si>
  <si>
    <t>Ge Constantino</t>
  </si>
  <si>
    <t>…general di .Aduanas en co— Burgos, (el ayuntamiento de) j misión; D. Luts Soxela, gefe de la Ordenación de presupuesto; D. Cristóbal Cas pe. (el ayuntamiento de) Bordiu, oficial de la secretaría del despacho de. Fomento reino ^ y D. Ge Constantino- (el alcalde mayor de) rónimo de ia Escosura, individuo de la junta de Fomento, *e ocupen en for Idem, (el ayuntamiento de) mar la planta que haya de tener la administración de Ú Real Hacienda, de Huelva. (el alcalde mayor y ayuntamiento de) modo que guarde la debida armonía con la del Fomento* y co…</t>
  </si>
  <si>
    <t>Constitucional</t>
  </si>
  <si>
    <t>…en nuevas razones que reemplacen á las ya expuestas: lo que se hace so que la Nación estaba reunida con su Rey: el Rey estaba haciendo las veces de lamente es simplificar las de los oradores anteriores. Asi es que con la desccn- Rey Constitucional con las Córtes: el Rey estaba aprobando ó desaprobando fianza de quejo no podré ilustrar la cuestión mas dé lo que está, me atrevo á ha los decretos de las Cortes Eso di la c a un vida!, éso de la Tuerza y otras cosas, blar , y procuraré ser lo más breve posible. que la decencia de este sitio y el.…</t>
  </si>
  <si>
    <t>Constitucional, El</t>
  </si>
  <si>
    <t>El Constitucional</t>
  </si>
  <si>
    <t>…a provincia de Pcrsia, y la multiplicidad de los asuntos, han contribuido mucho á debilitar la salud del de que se iba á formar un cuerpo de &lt;53 polacos. Emperador. " Durante los últimos días ha habido muchas entrevistas entre el almirante ____ El Constitucional dice lo siguiente: Sabemos que el gabinete de S. Peten-, P*rker .abultante Gage, lord Hosvard de Walden , cónsul ingles y otros. burgo ha pedido explicaciones al de Ingtaterra en vista del extraordinario ar í* Crónica de I ° de Julio contiene un largo despacho del gobernador de mamento de las escua…</t>
  </si>
  <si>
    <t>Construcción</t>
  </si>
  <si>
    <t>…den con la línea recta, con el fin Hamburgo, 00. BUrcelonáápesos fi. Málaga 4 b. DeSb-ueuto de tratar la teoría de los contactos. Adodres * 90 dUs i b* Santander 4 d. 4 4 p. * Ecuaciones polares. 37 ó Bilbao par. Santiago 4 a 1 .’d. Construcción de las ecuaciones de todos los grados. Ecuaciones de la línea recta y dpi placo en el espacio, su combinación, ANUNCIOS. ángulos y' principios generales, de las superficies de 2.° orden. Los suscriptor-f. i \s colección de novelas histéricos originales españolar », Los que sepan traducá el francés ó el in…</t>
  </si>
  <si>
    <t>Cónsul</t>
  </si>
  <si>
    <t>…o de pa Cristóbal Pedro de Moraes Sarmentó, del Consejo de S. M. Fidelí sarme la comunicación que tengo el honor de trasladar á V. E. = sima , Hidalgo Caballero de la Casa Real, Comendador de la Orden .•Bayona 3 de Junio de l834.=Sr. Cónsul: Con arreglo á las órdenes de nuestra Señora déla Concepción de Villaviciósa, Caballero de la del Sr. Ministro de Negocios extrangeros, tengo el honor de parti Orden de Cristo, y Enviado extraordinario y Ministro plenipoten-- ciparos que las ratificaciones del Tratado de Alianza lian sido can- ciar…</t>
  </si>
  <si>
    <t>Contador</t>
  </si>
  <si>
    <t>…. De Real orden ífcc. Madrid f G de Marzo de 1834. = Javier de bierno, y dirige por sí mismo á los consejeros de la corona. Los principiáis de la administración son suyos, y puede decirse, valiéndonos de una expresión-tfe Júrgos=:Sr. Contador general de Propios. nuestros vecinos, que S. M. no solo reino, sino también que ¡rotótu*. Mas volviendo al duque de Broglie, somos de parecer que como su renuncia ha si do efecto del mal éxito de una cuestión aislada sin conexión alguna con el fa PARTE INO OFICIAL. vor de la corte, ni con los princ…</t>
  </si>
  <si>
    <t>Contesta</t>
  </si>
  <si>
    <t>…imiento de V. E. cu cum- pueblo, hice montar la mayor parte de la tropa en muías que me facilitó dichz i piimiento de mi deber. Dios &amp;c.” justicia, y con la mayor rapidez me hallé antes de las ovho de la mañana ea Alcaine, Excmo, Sr.: Contesta, fecha digo al Excmo. Sr. comandante general de las Con antelación, yen un bosque inmediato al pueblo que cubría mis opera provincias Vascongadas lo siguiente : « Excmo. Sr.: El caudillo Castor y otros, aco ciones, dividí la 2.a compañía de cazadores en dos mitades , la l.1 al mando sados por nuest…</t>
  </si>
  <si>
    <t>Contesta, Antonio Padilla</t>
  </si>
  <si>
    <t>Antonio Padilla Contesta</t>
  </si>
  <si>
    <t>…ren de las disposiciones ex persecución salieron los carabineros y 22 Urbanos de aquella villa. tra legales que ha tomado, se negará á votar á favor del proyecto que se discute. Incluyo á V. E. copia del parte dado por el alférez D. Antonio Padilla Contesta el ministro del Interior que confesando el preopinante que los que manda un piquete de caballería destinado á la persecución de la cuadrilla hombre prudentes del partido legitimista no promueven ni desean que haya de facciosos que ha vagado al rededor de Valladolid, por la que se ve que «ñ conspira…</t>
  </si>
  <si>
    <t>Contestando</t>
  </si>
  <si>
    <t>…Península puedan dar principio libremente á la vendi de Búrgos. mia en la época y forma que crean conveniente,sin que las justicias de los pue blos intervengan de manera alguna en estas operaciones bajo pretexto decostum- Exento. Sr.: Contestando á la consulta que V. E. me hace sobre varias do-1 [bre, ó por cualquier otra razón; y siendo muchas las reclamaciones de pueblos das que han ocurrido en el alistamiento de la Milicia urbana, repetiré á V. E. I | y ayuntamientos, que llegan diariamente al ministerio de mi cargo en queja de ■qui el a…</t>
  </si>
  <si>
    <t>Contestaré, Rivaherrera</t>
  </si>
  <si>
    <t>Rivaherrera Contestaré</t>
  </si>
  <si>
    <t>…iempre que llegase alguno, como puede suceder, en que la suprema po para que se erijan en cárceles Reales los edificios que tienen para sus jun ley tfcl Estado lo exigiese asi.” , tas, y han servido para custodia des.sus reos. El Sr. Rivaherrera. «Contestaré únicamente á la observación que ha he- f' «Estas hermandades tuvieron su origen á mediados del siglo xm, y se</t>
  </si>
  <si>
    <t>Contí, D Ramón</t>
  </si>
  <si>
    <t>D Ramón Contí</t>
  </si>
  <si>
    <t>…mitido por el gobernador civil de la provincia de Taral capitán del provincial de Logroño D. Manuel Díaz Martin, al subteniente ragona D. Antonio Satorra con fecha de 10 de Junio anterior. del mismo cuerpo D. Casimiro Morillo, al capitán D. Ramón Contí y al Se ocupa en examinar prolijamente el proyecto sobre la continuación de teniente D. Alfonso-Saavedra , del provincial de Segovia. las obras del pantano de Ulldecona , y en la inspección de las tareas de la jun ta’encargada de las mismas. El comandante militar de Logroño con fecha 30 de Junio mani…</t>
  </si>
  <si>
    <t>Contí, Ramón</t>
  </si>
  <si>
    <t>Ramón Contí</t>
  </si>
  <si>
    <t>…or el gobernador civil de la provincia de Taral capitán del provincial de Logroño D. Manuel Díaz Martin, al subteniente ragona D. Antonio Satorra con fecha de 10 de Junio anterior. del mismo cuerpo D. Casimiro Morillo, al capitán D. Ramón Contí y al Se ocupa en examinar prolijamente el proyecto sobre la continuación de teniente D. Alfonso-Saavedra , del provincial de Segovia. las obras del pantano de Ulldecona , y en la inspección de las tareas de la jun ta’encargada de las mismas. El comandante militar de Logroño con fecha 30 de Junio mani…</t>
  </si>
  <si>
    <t>Contiene, Brapiaclt</t>
  </si>
  <si>
    <t>Brapiaclt Contiene</t>
  </si>
  <si>
    <t>…iro, hecha de orden de S. M. en el año de 1798* por D. Juan López de Peña!ver. Son cuatro cuadernos en folio que se dan sueltos en ll ESTADO SANITARIO DEL REINO. forma siguiente.—Número !.• peseripcion de la prensa hidráulica del Sr. Brapiaclt. Contiene una estampa que Ja representa, con su explicación y algunas reBexlonea .4. &gt; . novmciA va alicaxtb. sobre su uso y aplicación; se vende cada ejemplar iluminado ai pceqio indicad*dé; 5 rs. rama y i en rústica; en negro á 4&gt;**Hó»itr(rl0.Descripción de una máquina, ' 'Según pírte que con fecha S del a…</t>
  </si>
  <si>
    <t>Contiene, Francisco Jerez y Varona</t>
  </si>
  <si>
    <t>Francisco Jerez y Varona Contiene</t>
  </si>
  <si>
    <t>…A DE MURCIA. estableció. El presidente-dé la junta superior de Sanidad de Murcia con fecha de 16 del actual remite á la- junth el siguiente Diccionario económico administrativo de las rentas y contribuciones^ Reales• For mado por D. Francisco Jerez y Varona. Contiene una idea de la naturaleza y origen Parte sanitario. década ramo, sus productos aráñales, los soberanos decretos, ordenes e Instrucción^ vigentes, y la practica de las oficinas en los negocios inas cmnunes'y generales. 'Cuas-* tara de seis cuadernos que podra? encuadernarle ea un, voJórnen en 4-° SÍ…</t>
  </si>
  <si>
    <t>Contiene, Juan Manuel Grajo</t>
  </si>
  <si>
    <t>Juan Manuel Grajo Contiene</t>
  </si>
  <si>
    <t>…s de primera educa debido, jurando de nuevo fidelidad eterm ante el trono de su augusta Hija ” ción; traducido libremeute al castellano de la séptima edición francesa, y aumentado con algunas reflexiones morales por el presbítero D. Juan Manuel Grajo. Contiene todos los principales sucesos de la sagrada Biblia desde la creación del mundo hasta el nacimiento del Salvador, y desde este hasta la venida dei Espíritu Santo, descritos Partes recibidos en la Secretaria de E.tado y del Despacho de la Guerra. al alcance de los nifios, y puestos en preguntas y res…</t>
  </si>
  <si>
    <t>Continúa</t>
  </si>
  <si>
    <t>…el ministerio/ del Fomento*,f tantes funciones de su destino, no menos que de su reconocimiento á las hon ras que le ha merecido cn la aprobación de sus tarcas- Córdoba 19 de Febrero Junta superior áe Sanidad de Andaluaa.=Excmo. Sr. • Continúa disfrutan* de 1834- «lose de la mas completa salud en todos los pueblos de este distrito.</t>
  </si>
  <si>
    <t>…el Fomento de la junta superior de Sanidad ] de Andalucía. •„ Después de la acción de Huesa, los enemigos escarmentados huyeron toda I la itQche con tal precipitación, que á pesar de haber puesto las tropas en mo- Primero. Excmo. Sr.: Continúa disfrutándose de la mas completa salud en | l;v i miento al amanecer del dia siguiente, sin haber comido rancho, no me ha todos los pueblos de este distrito. I sido posible darles alcance, habiéndolos perseguido por entre nieves y caminos Lo que manifiesto ¿ V. E, para que se sirva elevarlo ¿ conoc…</t>
  </si>
  <si>
    <t>…s en el ministerio del Fomento. , rélcvjdbs dfe pagar loa' derechos qúe se le» exijan por este concepto. &lt;» 2.° Los reglamentos ó bandos que páre la policía de dichos -eetiblecimien-» Junta superior de Sanidad de Andalucú-rrEvcmo Sr.: Continúa disfrután Ux dieren de nuevo ó renovaren las justicias, ayuntamientos 6 otras autorida dose de 1j mas completa salud en todos ios puo'úos de este distrirx des á quien competa, se formarán y publicarán de oficio, fijándose en los sitios Lo que ¡TunifieMo a V. E. para que se sirva elevarlo al conocim…</t>
  </si>
  <si>
    <t>Continúan</t>
  </si>
  <si>
    <t>…arques de Vsldegema , gobernador ci friones y ¡Jan Asensío /cumplieron completamente con su deber y acreditaron vil de la provincia de Zamora, con fecha 7 de Juqio. tu bizarría en el momento^dc la carga, habiéndose distinguido el comandante Continúan su curso los expedientes sobre roturación de baldíos y apertura de Jo$ primeros D. Evaristo Pisón , D* Gregorio García Mcrdones , ya con- de cauces de riego» décoflao ¿oft la cruz de Isabel Fausto Malo, sargento 2.1 que fue del Las aguas que han caído en el mes último han mejorado los campo: y pro1…</t>
  </si>
  <si>
    <t>Continuando</t>
  </si>
  <si>
    <t>…o. Sr.rrHoy me he detenido ¡uilntcr. aquí aperando la dirección cierta que tomó el Pretendiente, pues ayer me anuncian mis confidentes que pernoctó et 18 en la Herrería de Elcorri á cin Ejército de'opéracíone» del Norte. = Excmo. Sr. = Continuando mi per co cuartos de legua de Echarriaranaz,ai pie de la sierra dé San Miguel ó Arasecución en pos del Pretendiente i llegué á este pueblo con la 1/ división, lar, teniendo acampados los dos batallones vizcaínos, dos guipuzcóanos y dos dirigiendo la 4-* por los altos con el Sr. brigadier Jáuregui á…</t>
  </si>
  <si>
    <t>…de Ganapoverdc, con fecha 22 del actual de Barvé.: cotno cabecilla sufrirá mañana b pena impuesta por la ley. deáde SonciUo me da et parte que signe: ►'Tengo el mayor gusto de decir á V. I" que todos los individuos de la «Excmo. Sr. *. Continuando en persecución del cabecilla Villalobos que columna han manifestado valor y sufrimiento. El capitán del E° do caballababiá logrado reunir 2\)ü infantes y Í2o caballos, llegue ageste punto en el ría de línea , D. Manuel Vivero , que tantos servicias ha hecho en esta guerra, di* de iyey á las doce, d…</t>
  </si>
  <si>
    <t>Continué-sobre, Francisco Sanjuanena.'</t>
  </si>
  <si>
    <t>Francisco Sanjuanena.' Continué-sobre</t>
  </si>
  <si>
    <t>La vanguardia, al del mariscal de campo D. Francisco Sanjuanena.' Continué-sobre ellosccn los bata* Rnet de! Príncipe, Aínwma , Gerona, La 37 á la del brigadier D. 1: rancheo de Paula Figueras. 200 cazadores de Isabel n y 3o caballos, habiendo legrado alcanzarlo* á las Seguía. la,artillería á la del coronel Eb José Ulloa. seis du la tarde'cn las alturas sobre Ezraua á la derech…</t>
  </si>
  <si>
    <t>Contreras, Gregorio</t>
  </si>
  <si>
    <t>Gregorio Contreras</t>
  </si>
  <si>
    <t>…surgentes, ó atemorizados, ó cediendo a los medio* empleado* entusiasmo y decisión me llenaron de júbilo;‘son también dignos de recomen para desunirlos, permanecieron casi inactivos, mientras Ibrahim continuaba dación el ayudante D. Gregorio Contreras y los sargentos D. Franci-co Mar tus esfuerzos para domar la rebelión con la fuerza de !a$ arma*. có y D. Rafael Perez Vento, el primero de lanceros de la Guardia, y el se La aldea Tonificada de Z-*it!a, distante siete ú ocho horas de Naplusa, fuá gundo de húsares, pues comunicaron m¡s órdenes con la rap…</t>
  </si>
  <si>
    <t>Contreras, Juan</t>
  </si>
  <si>
    <t>Juan Contreras</t>
  </si>
  <si>
    <t>…acífica por su espitan D. Francisco Cendreros, y de Su caballos del 1.® de ligeros y 12 posesión del Bastan, y guardar para sí las principales llaves de la frontera. Sin húsares de la Princesa, al cargo todos del teniente del 1.® D. Juan Contreras, duda podrán aun los carlistas hacfcr incursiones en las gargantas de los montes que debía atacar por el centro: la 3.a compuesta de la 1.a compañía de Borbon, y en el valle; pero les será casi imposible recibir nada de Francia, mientras que mandada por el teniente D. Ramón González AlpUente, con u…</t>
  </si>
  <si>
    <t>Convengo, Vega y Rio</t>
  </si>
  <si>
    <t>Vega y Rio Convengo</t>
  </si>
  <si>
    <t>…ja pi. ¡encía de mi- d'gnos compañeros, concluyo diciendo que el artículo lidiar antes de todo eta de presentar la petición á S. M. para ver si la apro tal corno &lt;?5iá debe apiobaisc ” baba , y en consecuencia elevarla á ley. Ll Sr. Vega y Rio. «Convengo en que la libertad de imprenta es un El Presidente advirtió al Sr. Procurador que lo que se discuta era el ar med o de ilu-lrar a l&lt; s pueblo* \ de remover los obstáculos que se opongan al tículo 2.° de la petición, y que sobre él era sobre lo que debia recaer la apro aumento de las lu„cs ; pero ta…</t>
  </si>
  <si>
    <t>Conviniendo</t>
  </si>
  <si>
    <t>…no drid 16 de Agosto de 1834. = Moscoso.=Sr. presidente de la junte de ticia de sus esponsales con la princesa Teresa, hija del archiduque Cirio* de Sanidad de Madrid y su provincia. Austria. (.Mercurio dt Suma.) ITALIA. Eterno. Sr.: Conviniendo asegurar por todos los medios la salu Ndpoles 26 de Julio. bridad de este población, y siendo contrario á ella el enterramiento Anteayer entró en este puerto un buque ligero perteneciente i aeutra de cadáveres dentro de sus muro*, cual lia estado practicándose has flotilla, enviada i las agua» de T…</t>
  </si>
  <si>
    <t>Conwey</t>
  </si>
  <si>
    <t>…alguno; y para demostrarlo me sera fácil venientes.” citar un ejemplo de Inglaterra cuando estaba en guerra con los Estados-Unidos. A petición del Sr. Galwey se leyeron las firmas de los individuos que sus Mister Conwey, ó sea el general Conwey , hizo una mocion en la Cámata de cribían la petición; y habiéndole preguntado el Sr. Presidente con qué objeto los Comunes proponiendo que se considerase como enemigo publico ai que reclamaba dicha lectura, manifestó que con el de retirar la -suya, y ver si con aconséjate al Rey continuar la guerr…</t>
  </si>
  <si>
    <t>CoótiqfS, María Dolere de Sousa</t>
  </si>
  <si>
    <t>María Dolere de Sousa CoótiqfS</t>
  </si>
  <si>
    <t>…por centenas Usboa 15 de Octubre. de millar: toe catones.probtises cMppóscn un tUimero pnjd^KJrr En 1*«T- Efc It) del corriente Sf 10§JF^icpáíp rtcl-uUcs fraguas de A t inge, es en desdase fúnden los proyeadai Entre cipe!la» yor Doña María Dolere»'de Sousa1 CoótiqfS y de lg- camarístó Mello £^ey-¡£r fo:mi4ables masa» se distingos el Gtrifo, la mas larga y gtúsa picea de aitiKa- ncr, bie á la sama iglesia mebopobiana^ 4isboá¿ dondéu^es^fiapeí 1 ctunces, ste en Europa. Fue fundóla clafuj de 1 i_52ít, y en. el de 13’"* la ga Erna cardenal palriarcaL, el cieña de &lt;Bcha…</t>
  </si>
  <si>
    <t>Copdevila, Ramón</t>
  </si>
  <si>
    <t>Ramón Copdevila</t>
  </si>
  <si>
    <t>…ndar lo siguiente: La compañía de Seguros mutuos de incendios de Sevilla. i,» Art. 1? La junta de Sanidad de Madrid se aumentará con los D. Ramón y D. Hermenegildo Montero, y D. Rafael Barcia, regidores facultativos D. José Coll, D. Ramón Copdevila , D. Victoriano Tor perpetuos del ayuntamiento de Zamora. recilla, D. Nicolás Alfaro y D. Pablo Montesino. El gobernador civil de Soria. 21 Serán vocales de la misma junta el conde de Teña, el mar E] de Barcelona. ques de la Torrecilla, D. Pedro Lafuente, D. Franeisco López Ola- El intendente de Ar…</t>
  </si>
  <si>
    <t>Copiamos, Antojo Navarrete y Sánchez</t>
  </si>
  <si>
    <t>Antojo Navarrete y Sánchez Copiamos</t>
  </si>
  <si>
    <t>26/12/1834</t>
  </si>
  <si>
    <t>Gaceta de Madrid n.º 316</t>
  </si>
  <si>
    <t>…la capital de la monarquía. za, ó residir alli, basta nueva órden. Los aspirantes deberán remitir sus trabajos, lo mas tarde, para el 15 de Marzo venidero de &gt;835, siendo remitidos al secretario de la corporación , el licenciado D. Antojo Navarrete y Sánchez. Copiamos de un periódico lo siguiente: Datos estadísticos de Portugal. Se hará juicio absoluto y comparativo. El número de electores, en Portugal es en razón de uno sobre 1200. Estos elec A cada escrito debor£ acompañar un pliego cerrado que contenga el nom tores nombran i los Diputados.. bre del autor, trayen…</t>
  </si>
  <si>
    <t>Cor, D Manuel</t>
  </si>
  <si>
    <t>D Manuel Cor</t>
  </si>
  <si>
    <t>…enia camisa no tenia ca San Miguel de Oros, y D- Juan Fausto Uñarte; y las de la de Sevilla para saca ni zapatos , y asi los demas. Las Cortes aplicaron un remedio eficaz, y en reemplazar al Sr. marques de Monsalud f nombrando al Sr. D. Manuel Cor esto gastaron el producto de los empréstitos, poniendo al ejército cual nunca tinas. se vió ; pero luego era una lástima ver cómo en la reacción de 1823 robaban A la misma se mandó pasar un oficio del Sr. D. Juan Romero Al puen por esos caminos á los soldados todas las prendas que tenían y eran nue…</t>
  </si>
  <si>
    <t>Cor, Manuel</t>
  </si>
  <si>
    <t>Manuel Cor</t>
  </si>
  <si>
    <t>…camisa no tenia ca San Miguel de Oros, y D- Juan Fausto Uñarte; y las de la de Sevilla para saca ni zapatos , y asi los demas. Las Cortes aplicaron un remedio eficaz, y en reemplazar al Sr. marques de Monsalud f nombrando al Sr. D. Manuel Cor esto gastaron el producto de los empréstitos, poniendo al ejército cual nunca tinas. se vió ; pero luego era una lástima ver cómo en la reacción de 1823 robaban A la misma se mandó pasar un oficio del Sr. D. Juan Romero Al puen por esos caminos á los soldados todas las prendas que tenían y eran nue…</t>
  </si>
  <si>
    <t>Cor, Miguel García</t>
  </si>
  <si>
    <t>Miguel García Cor</t>
  </si>
  <si>
    <t>…ha residido mucho tiempo en esta ciudad, sale para Italia ha servido nombrar para la plaza de teniente corregidor de Madrid, vacante acompañado de'alguno de sus amigos políticos. por promoción de D. Angel Fernandez de los Ríos, i D. Miguel García Cor i Otra carta de Lausana del 21 del pasado dice lo siguiente: En Suiza'todrx nejo. (está tranquilo por ahora, y no existe en la Confederación ningún pretexto para disturbios; pero estos pueden excitarse de un momento á otro, porque nuestros demagogos tienen á su disposición una formidable milicia en…</t>
  </si>
  <si>
    <t>Corados, Manuel Sánchez Toscano Pueblos Dia Enfermos</t>
  </si>
  <si>
    <t>Manuel Sánchez Toscano Pueblos Dia Enfermos Corados</t>
  </si>
  <si>
    <t>…ero, Orejo y Bosque antiguo, con grave recelo de que sucediese lo mismo ti valle ELECCION DE PROCURADORES DEL REINO. de Camcdo: acompaña el siguiente ,? PROVINCIA DE CÓRDOBA. Parte sanitario. . Sr. D. Rodrigo María Cañaveral. Sr. D. Manuel Sánchez Toscano. Pueblos. Dia«# Enfermos. Corados. Fallecida. Partes recibidos en la secretaria de listado y del Despacho de Ja Qüerra. Santander.. .. 3 á 9 de Octubre El capitán general de Castilla la Nueva con fecha dc 6 del actual remite inclusive......... No consta. No consta. 296 ¿ este ministerio un parte que le traslada el comandante general…</t>
  </si>
  <si>
    <t>Corcuera, D Juan Gualberto</t>
  </si>
  <si>
    <t>D Juan Gualberto Corcuera</t>
  </si>
  <si>
    <t>…su captura si alguno se encontrase. El espíritu general es García Leron y el subteniente D. Pedro Bote jara, como asimismo el ayúdame cxceieíúe, y .me- prieto tbncr afianzada Intranquilidad que se disfruta enjo maybr con grado de capitán D. Juan Gualberto Corcuera*. ? ya esta prov¡ncía.. 0«os guarde á V. E. muchos años* Toledo 5 de Mayo de En el 2.° batallón del insinuado cuerpo de la Reina, el teniente coronel 183^,—Excmo. Sx.rrGaspar de Goicocheá. = Eicmo. Sr. primer Secretario del D. Manuel Domínguez, capitán de la compañía de cazadores, D. Félix Gtií— De…</t>
  </si>
  <si>
    <t>Corcuera, Juan Gualberto</t>
  </si>
  <si>
    <t>Juan Gualberto Corcuera</t>
  </si>
  <si>
    <t>…ra si alguno se encontrase. El espíritu general es García Leron y el subteniente D. Pedro Bote jara, como asimismo el ayúdame cxceieíúe, y .me- prieto tbncr afianzada Intranquilidad que se disfruta enjo maybr con grado de capitán D. Juan Gualberto Corcuera*. ? ya esta prov¡ncía.. 0«os guarde á V. E. muchos años* Toledo 5 de Mayo de En el 2.° batallón del insinuado cuerpo de la Reina, el teniente coronel 183^,—Excmo. Sx.rrGaspar de Goicocheá. = Eicmo. Sr. primer Secretario del D. Manuel Domínguez, capitán de la compañía de cazadores, D. Félix Gtií— De…</t>
  </si>
  <si>
    <t>Cordero, Félix</t>
  </si>
  <si>
    <t>Félix Cordero</t>
  </si>
  <si>
    <t>…tieron en aquella capital 74 enfermos del có j píbntáaos; 0^0 habiéndoles salido al encuentro el piquete de caballería, que lera , curaron oU^y fallecieron 5 : que *egurt partte qtte había recibido de 26 pue máy^háL'. ¿1 .alférez D. Félix Cordero, volvieron grupas y dieron con el que blos de 1* provincia que padecían la citada enfenlhedad, en varios era menor ésfóbá' á las* órdenes del conde de Casa-valiente; siendo el resultado cogerles el número de invadidos, y mayor ia benignidad con que se manifestaba el mal: los ciñó’Ó cáballósáf.Ébdas…</t>
  </si>
  <si>
    <t>…r vuestras fortunas. Seguid y unid vuestras fuerzas para resis Este gefe en el parte que da deplora también la pérdida del al tir al que se atreviese á turbar el dulce reposo en que vivís. El Go férez de caballería de Extremadura D. Félix Cordero, que dese bierno os protege, y vuestro alcalde mayor se Verá en disposición cándose su caballo se metió entre los facciosos; pero el comandante de llevar adelante la ejecución de las leyes. En este ayuntamiento de armas de Manzanares D. Andrés Bonet, que remite este parte, sereis reconocidos por vu…</t>
  </si>
  <si>
    <t>Cordero, Joaquín</t>
  </si>
  <si>
    <t>Joaquín Cordero</t>
  </si>
  <si>
    <t>…que la guar den, 7 hagan guardar y cumplir en los términos que en dicha ley se previene. S. AL se ha servido separar de sus destinos á los oficiales de la dirección (.Gaceta ojic&amp;t del gobierno de Lisboa.) general de Correos 2.° D. Joaquín Cordero, 4° D. Gerónimo Sobrado, 16 P. Julián Barbajosa, 18 D. Manuel González Serrano, 19 D. Francisco So____ El dia 20 del corriente á las diez de la mañana pasó S. M. F., acompaña malo y Torres, y 21 P. Santiago Manuel de Arteaga, mandando que queden da de Ja camarera mayor, de la dama y del gentilhombr…</t>
  </si>
  <si>
    <t>Cordier</t>
  </si>
  <si>
    <t>…ecursos Este.es el plan que ha manifestado á su auditorio Mr. Lacretelle: el tríun- de todo género que tan liberalmente ha puesto i bu disposición. £o_filo»fico qu* ha expuesto á la gratitud del país, y que él ha celebrado con El Sr. Cordier hace'una'relación sobre la parte geológica del viagp del un talento digno de los grandes hombres que han alcanzado esta brillante vic mismo ilustrado individuó. toria» Elogios unánimes han hecho justicia á su gloria y á su elocuente elogio. Los matcriala geológicos1 traídos por él Sr. d’Orbigny se…</t>
  </si>
  <si>
    <t>Córdoba</t>
  </si>
  <si>
    <t>…20, 21 y 22 del corriente fueron invadidas dos personas en El comandante general de las dos Riojas manifiesta con lecha 26 del cor la capital de esta provincia, murió una, y quedaban 45 convalecientes. riente que la división del general, Córdoba, que estaba en los Arcos, salió el 25 del mismo para Salvatierra, y que la del brigadier López habia entrado en PROVINCIA PE VALENCIA. Logroño.. Parte sanitario de 26 de Noviembre. El comandante general de las provincias Vascongadas con fecha de 2(y, del actual avisa que la división del mando del g…</t>
  </si>
  <si>
    <t>…París &gt; donde se trata del modo de cobrar y distribuir con equidad un pre El comandante general de Jas provincias Vascongadas trafdadá un parte, supuesto de 45 millones. Se trata ademas de derechos municipales, de cami en que el general Córdoba da noticias al general en gefe de la acción que sos nos, de objetos de salud y ornato público y de otras mil cosas interesantes: tuvo el dia 25, cuya copia literal es la siguiente: »»Excmo. Sr.: He tenido dos es por lo mismo indispensable que el ayuntamiento se componga de hombres acciones en el dia d…</t>
  </si>
  <si>
    <t>…la noche anterior en Garasoam, dirigiéndose también la Cámara que S. M. F. se ha servido nombrarle Presidente del Consejo de Mi sobre los rebeldes. nistros; á F. Francisco de S. Luis, antiguo obispo de Coimbra, ministro de lo Eí general Córdoba, encargado con la división de su mando de b perse Interior;'á Antonio Barreto Ferraz de Vasconcellos, ministro de Justicia; cución del Pretendiente, al atravesar el dia 23 el puerto de Olagut en direc al duque de Tercera, ministro de Guerra; al conde de Villareal, ministro de ción de Larrainzar , d…</t>
  </si>
  <si>
    <t>…man otra, dan lugarj» que ct). su persecución se . «HéAabiíto íJOe eTgéfiéfal'en gefe ha hecho alguna variación en las divi hagan movimientos falsos por mas que los gefes de nuestras tropas se esmeren siones: lleva consigo la del general Córdoba, brigadieres Bedoya y Jáureguí, y y pongan la mayor actividad en verificar los que creen mas convenientes. las columnas de los coroneles Carrera é Inarte, é igualmente le acompaña el «La división de vanguardia sé que estuvo ayer á la parte de Salvatierra, y general Anleo; y ha destinado á perseguir…</t>
  </si>
  <si>
    <t>…a secretaría de Estad9 y del Dtspaeko de la Grucrro. Isabel i i. No puedo menos de elogiar á V. E. la conducta de este oficial v su tropa, para que se sirva ponerlo en noticia de S. M. la Reina Goberna sñfh que las divisiones del general Córdoba y brigadier Oria se di dora. Dios &amp;c. Valladolid 2 de Diciembre de 1834^sE*cmo- $rc=Jose Ruchas rigían desde Salvatierra á cubrir la marcha del importante convoy de vestua Excmo. $r. Secretario de Estado y del Despacho de la Guerra. rios y otros efectos que de aquel punto iba á Pamplona, apoyadas por…</t>
  </si>
  <si>
    <t>…teeir: Í&amp;mL En los pinares de Soria se han reconcentrado Basilio, Cuevillas y Mermo» d&amp;igttndúe sobre eUbs fuereis. de Soria,. La tma¡, Bóígto.y también uñateo— Mora. - ..... . Desde «1 3 gi 5 d» lumnaÜe 800 Hombres al mando- del general Córdoba, pertenecientes al ejér— l Julio.. . ... . . • 155 , : 84 a,,. ' 27 cito que marcha al Ebro-, que 4 su paso hacia aquel rio , hacia esta ligera excur Consuegra,... Idem. ídem.' - 85 !: . 35 ' 44 sión, mientras las demas fuerzas de ¿L iban, sobre las provincias del Norte por Saittn Domingo-dé lia Ca…</t>
  </si>
  <si>
    <t>…as serviréis bajo de mis órdenes hasta la El comandante general de Navarra D. Manuel Lorenzo con fecha de t del entera pacificación en cuerpos que formaré en el país, y después dependerá de presente manifiesta que la división del general Córdoba pernoctó el dia 2 en Vuestra voluntad seguir en el servicio, ó retiraros á gozar de los premios á Lccumbern después de haber dispersado en Echalucc al 2.a batallón de faccio que o* hubiereis hecho acreedores por vuestra buena conducta y méritos. Si no sos navarros, cogiéndoles 4 prisioneros, acémil…</t>
  </si>
  <si>
    <t>…cia, libres ya sus limitantes del funesto influjo del cólera. entre otras cosas lo siguiente : »A las siete de la mañana del día de ayer fui á encontrarme con el con PROVINCIA PE NAVARRA. voy hasta Ciordia, donde me avisté con el general Córdoba, y regresé á este punto, quedando S. E. á pernoctar en AIsasua, encargándome pusiese en co En oficio de 25 y 28 del actual dicen el gobernador civil y d comisario nocimiento de V. E. su venida. Hoy seguimos él movimiento hasta donde se régio de esta provincia que en los dias 20, 2l , 22, 23,24 y 25…</t>
  </si>
  <si>
    <t>…mero ó números de los documentos que malacarregui, son de que volvió á subir la sierra de Andía, llevándose consi comprenda, é importe de cada uno, y expresión del origen ó procedencia del go los prisioneros hechos en Alegría. El general Córdoba tiene orden de per crédito, si se conociese. seguirle constantemente, sin dejarlo de la vista. En el caso de que los documentos de capitales correspondan á capellanías, «Dos batallones bloquean el fuerte de Eiizondo, y el brigadier Oráa tie vínculos ó mayorazgos, deberán los actuales poseedores acr…</t>
  </si>
  <si>
    <t>1131 ras con el consulado, jr aceptó un suntuoso convite que le dieron sus indi-* El citado general Córdoba va decidido á cumplir la órden dada por el general viduos. (Cralignattis Mcjicngrr.') . .Mina'de perseguir á Zumalacarregui constantemente, quedando por consecuen cia de estos movimientos aseguradas ambas orillas del Ébro por fuerzas muy ir Roberto Féel ha llegado á esta capitaL superiores. En Logr…</t>
  </si>
  <si>
    <t>…zo, en PARTE NO OFICIAL. cargado interinamente de las fuerzas de Navarra, se hallaba en aquella plaza»- donde habia pasado revista el día 5 á 13 batallones de infantería y alguna ca NOTICIAS EXTRANGERAS. ballería y artillería. El general Córdoba salió el-8 de dicha plaza con la división de su man do, dirigiéndose á los Arcos, á cuyas inmediaciones se hallaba Zumalacarre-, (Continuación del correo anterior.) gni con el grueso de sus fuerzas. El brigadier tísma debía llegar á la misma, después de haber fortificado el convento de S. Francisco…</t>
  </si>
  <si>
    <t>…, comandante general, PROVINCIA DE BURGOS. de las dos Riojas: ei 12 salió de Uñones; y pasando á la vista de Haro, sin detenerte, repasó el mismo río, dirigiéndose por la Bastida á la montaña. Parte sanitario de 11 de Octubre. El general Córdoba llegó en su_seguimiento el 12 á Logroño , y al ama necer del 13 debía salir para Haro con su división, y la fuerza de caballería é Pueblos. Dias. Enfermos. Curados. Fallecida^. infantería del mando del brigadier López que cubre la libera : el brigadier Oráa con la suya se corría por la montaña haci…</t>
  </si>
  <si>
    <t>…n, pudieron tomar por no haber podido concurrir las tropas de Castilla y de Gur salió al camino con 12 caballos.” rea que fueron invitadas. Si aprovechamos estos momentos, creo que cogeremos el fruto de la victoria. Asi piensa el general Córdoba, y jo, que conozco sus Estando copiando el parte que antecede recibo la siguiente carta del co- buenos deseos y voy á su inmediación, me lo prometo. Cuando tenga todos ■ ronel Oráa: los antecedentes participaré á V. E. el número de muertos y herido® en la ac ción: entre tanto puedo asegurar á V.E q…</t>
  </si>
  <si>
    <t>…es de Amsterdan en el precio de 2 á 4 florines. Cree este há tarde hácia la parte de Viana; y del 13, que habiendo atacado las división» bil administrador que este ramo de la industria es susceptible todavía de gran del mando del general Córdoba y brigadier» Oráa y López á la facción de Zudes mejoras, sin que de ello resulte una disminución sensible en la cantidad malacarregui en PicdramiUcra y Mendaza, la habían derrotado completa que se exporta de, la China para Europa y America, porque solo por medio mente. del té podrán los chinos pagar…</t>
  </si>
  <si>
    <t>…dividuo o familia ; la grande extensión ce con fecha 12 del actual, desde Pamplona, que el 13 salía de aquella plaza del patio general; las salas d&lt;? la enfermería, y finalmente, la misma iglesia, para revistar las divisiones dei general Córdoba y brigadier López, que se ha presentan una limpieza y curiosidad inmejorables,, y el todo forma un cuadro llaban en Círauqui y pueblos inmediato*, de donde se había retirado ¿iun4halagüeño. Este esmerado aseo en todos sus ángulos, unido á los cuidados que lacarregui con su facción al aproximarse nues…</t>
  </si>
  <si>
    <t>…lla de Laredo habían fallocido La facción de Zumalacarregui pernoctó el 13 en Bernedo y Sta. Cruz de las personas que expresa el siguiente Campezu y parecía dirigirse á las Amézcuas y su caballería á |a Ribera. Las divisiones del general Córdoba y brigadier Oráa debían avistarse el 15 en Ber Parte sanitario. nedo. La junta de Alava se hallaba en Onraita, en lo alto de Iá sierra de Andía. La división del brigadier O-Doylc salió el mismo dia para Vcrgara, Pueblo*. Día*. | Enfermos. Curado*. Fallecido*. Ochandiano y Aramañóna á ejecutar varias…</t>
  </si>
  <si>
    <t>…prosa superior á la de Dsmóstencs! El mismo general en gefe participa la acción tenida por el general Cór doba el día 12 entre Nazar y Mendaza ; añadiendo á lo que se dijo en la Ga Real establecimiento Laográfico.ceta de ayer el general Córdoba en posdata, que había unos 30 prisioneros, y que entre lós cadáveres que dejó en ei campo el enemigo habia muchos gefet Los suscripteies i la colección litográfica. de &amp; M-lx R*iva macarra Sey oficiales. .___ ñora , se sirviran mandar recoger el-cuaderno 41 7 adelantar el imposte del Í2el' enteatro…</t>
  </si>
  <si>
    <t>….EsUrqtuip^, pues adtmtiíudpla parqce ^ de Navarra; pero’ llegaron despuea ée h;i¿(b del gesural «n gefe, y son re quedail excluidas de lá'discaísiUn.Ut:petici(tnes,p&lt;»dieiites y las qué huedan pro- lativos i lá accfon def 15. El general Córdoba babia pensado dar fi los Cacsá»- &gt; sentarse , y creo que nadie tiene facultad para coartar este derecho a lo* señó- Sos un ataque sónaitined én qna especie de baazanca , cas Sürta Ctizz deCam- . Tes.Pwcutsdoresi En etanto.alségundb extipfsip» todos d^eamo» restituirups.al ' peni', debientfc atacar…</t>
  </si>
  <si>
    <t>…se hallaba en las inmediaciones de Nazar y Asarta; ESPAÑA. pero que á pesar de haberlo esperado hasta la noche del dia 22, se retiró í Logroño en vista de que el enemigo no abandonaba sus posiciones. Barcelona 19 de Noviembre. El general Córdoba continuaba con su columna en los Arcos. Llegó en fin^el día deseado en que los hijos de Barcelona ven alejado de Sus muros el cruel azote que los aquejaba. Se ha cantado va con la mayor pom Por parte del capitán general de Aragón, referente al del comandante pa y solemnidad un Te Deum en acción de…</t>
  </si>
  <si>
    <t>…n herido de la compañía de seguri Acabo de recibir c ribo riel general Lor¿r?c* fecha de hov devie l'garre, dad de esta, v, 9 caballo» también heridos, entre ellos el del teniente coronel que divC: « F.xcmo. Sr. . l.adlv;»n&gt;n det-general Córdoba aver a la» d» s de i*, graduado D E. de Sotonnv or, comandante de la fuerza de caballería. Tan tarde «alio para Fugui v h¡. \ emprendió su marcha, ^egun me oficia, mía Vópronto c¡ rno !.i Trop» se h.dlc habilitada dispondré mi salida para los punto* zonds»: mis operadores en esto» du* han m'o sobre…</t>
  </si>
  <si>
    <t>Cormano, Miguel</t>
  </si>
  <si>
    <t>Miguel Cormano</t>
  </si>
  <si>
    <t>…ediata dos mitades del 4*° regimiento de la gefe de la plana mayor, que cumplió como acostumbra sus deberes, y de losGuardia Real y 4^ carabineros, y entre tanto se coronó la principal en semi adictos á ella P. Marcelo hregenal y D. Miguel Cormano, capitanes ¿limita círculo con lo restante del citado regimiento y el 2.°bataJlon del 2.° regimien dos de infantería, y especialmente del cadete contuso agregado ¿ la misma Don to de granaderos provinciales de la Guardia, se colocó Ja artillería conveniente Fernando Maltaran que hizo extraordinario…</t>
  </si>
  <si>
    <t>…acar, evitando de este modo cualquiera tentativa de nuevos enemigos , y general gefe de la plana mayor ya citado, de los capitanes adictos á la misma apoyando rms operaciones verifique mi marcha , evitando la recta dirección par* D. Miguel Cormano, D Marcelo Fregenal, D. Ramón Aguirre , teniente del ocultar mejor el designio, s;n embargo de ia» dificultades que ofrecía U ocuReal xuerpp de artillería , y teniente D. Blas Royo: del, brigadier barón de ridad y un terreno t,n montañoso y quebrado: ai amanecer de hoy me encon Meer, de los coronel…</t>
  </si>
  <si>
    <t>Cornejo, Aliguel García</t>
  </si>
  <si>
    <t>Aliguel García Cornejo</t>
  </si>
  <si>
    <t>…yores y corregidores letrados el co nocimiento en primera instancia de todos los asuntos contenciosos, Vengo en conceder los honores de la audiencia de Aiadrid á y á las Reales audiencias en apelación y súplica los de todo el ter D. Aliguel García Cornejo, teniente de corregiilor electo de la mis ritorio que les está demarcado; y teniendo en consideración lo dis ma villa. Tendréislo entendido, y lo comunicareis á quien corres- puesto en mi Real decreto de 9 de Febrero ultimo con respecto á ponda.=Está rubricado Je la Real mano.=En el Pardo á 22 de N…</t>
  </si>
  <si>
    <t>Cornejo, D Luis</t>
  </si>
  <si>
    <t>D Luis Cornejo</t>
  </si>
  <si>
    <t>…mayores fatigas para acercarse a muerto; el de igual clase D. Bernabé de las Heras, herido gravemente sin es sus enemigos, parapetados entre las peñas y separados por las infinitas dificulta peranza de vida; el subteniente de=la Reina D. Luis Cornejo, gue recibió un des que presentaban estas. balazo en la mano izquierda y dos en la pierna del mismo lado, y que pro «El comandante del primer batallón dei Príncipe O. Pedro Noguez fue bablemente quedará inutilizado para el servicio , en un sargento y 13 soldados herido gravemente aí principio dei a…</t>
  </si>
  <si>
    <t>Cornejo, Francisco Verea y</t>
  </si>
  <si>
    <t>Francisco Verea y Cornejo</t>
  </si>
  <si>
    <t>…Milicia urbana, tuve á bien 1 lugar á Du José Alonso,.que lo es supernumerario de la misma: á D. Rafael I mandar se circulase con la propia fecha £ los capitanes generales la competente de Urbina, oidor decano de U de Granada; á D. Francisco Verea y Cornejo, IReal orden para que con presencia de ella manifestasen su dictamen acerca de cesante de la misma; á D- Eugenio Larrumbide, oidor de Sevilla; y á Don] l-JU aplicación en los diferentes distritos y el modo de poner en armonía esta i nueva.fuerza Ja ya existente. A fin de lograr este importante obje…</t>
  </si>
  <si>
    <t>…a corona, forme un proyecto de ley sobre el arreglo de escribanos y notarios de reinos, proponiendo al Concedo los honores del supremo tribunal de España é Indias á mismo tiempo las indemnizaciones que hubieren de recibir los due D. Francisco Verea y Cornejo, regehte de la Real audiencia de Ma ños de las escribanías enagenadas, que no deben continuar como de drid; á D. Antonio Uhac, de la de Galicia; á D. Aliguel Antonio dominio privado por mas tiempo que el necesario para hacer efec Zumalacarregui, de la de Burgos; y á D. José Alonso, ministro de tiva…</t>
  </si>
  <si>
    <t>Cornejo, Francisco Vereá y</t>
  </si>
  <si>
    <t>Francisco Vereá y Cornejo</t>
  </si>
  <si>
    <t>…que actualmente la Gran-Bretaña carece de este lustre que en otro tiempo la la audiencia de Madrid, vacante por promoción de D. José María Manescau, distinguía. Mientras el gabinete de San James tiene en las cortes de—les demás á D..Francisco Vereá y Cornejo; para dos plazas de oidor de la de ValladoSoberanos embajadores deprimera clase, pues lord Minto está en Berlín, lord lid , vacantes por'fallecimiento de D. José Moreno Ramírez y D. Juan NeGrandville en París, sir Frederick Lainb en Viena, lord Ponsonjby en Cons- pomuceno Vela, á D.. Mariano Herrer…</t>
  </si>
  <si>
    <t>Cornejo, Luis</t>
  </si>
  <si>
    <t>Luis Cornejo</t>
  </si>
  <si>
    <t>…es fatigas para acercarse a muerto; el de igual clase D. Bernabé de las Heras, herido gravemente sin es sus enemigos, parapetados entre las peñas y separados por las infinitas dificulta peranza de vida; el subteniente de=la Reina D. Luis Cornejo, gue recibió un des que presentaban estas. balazo en la mano izquierda y dos en la pierna del mismo lado, y que pro «El comandante del primer batallón dei Príncipe O. Pedro Noguez fue bablemente quedará inutilizado para el servicio , en un sargento y 13 soldados herido gravemente aí principio dei a…</t>
  </si>
  <si>
    <t>Cornelius</t>
  </si>
  <si>
    <t>…starlo. S. Gregorio. «Ha dicho que la política del gobierno de Julio es-menos honrosa que la En fin, el S:*. de Kessels ha dado ¡a última mano á un grupo colosal que del anterior gobierno. representa un episodio del diluvio, y el Sr. Cornelius, director de la academia «No so/ propenso á entrar en comparaciones; tampoco he promovido de Hunnco, ha acabado una inmensa série de cartones sobre el juicio universal. esta cuestión; pero debo ^manifestar que nuestra política es* en lo exterior lo Todas estas obras quedarán en Roma, (i/ Tiberino.)…</t>
  </si>
  <si>
    <t>Coro</t>
  </si>
  <si>
    <t>…a indicada plaza de Yelves* .que es de una influencia decisiva para que lo hagan, tas otras ar 1 Según los partes recibidos del comandante general de tai provincia» Vas riba nombradas; por lo demás S. A. verbal mente manifestó «1 teniente Coro congadas , del de Logroño y del capitán general de Aragón, coa leferencaa al nel ctpltnn de coraceros dé la Guardia Real D- José de los Ríos ,su sincera brigadier Oraá, én fe madrugad! del 26 próximo posada tuvieron U «radia gratitud á mis ofrecimientos; qué allí se había arreglado todo "sin la men…</t>
  </si>
  <si>
    <t>Corona, Manuel Urriendo</t>
  </si>
  <si>
    <t>Manuel Urriendo Corona</t>
  </si>
  <si>
    <t>…tercero D. Roque Soriano, y nombrar para cata resulta á D. Pedro de ciones de ayudante contribuyó al buen éxito de esta sorpresa; y al de la mis la Reguera y Quiroga, oficial cesante de la contaduría del mismo ramo de la ma clase D. Manuel Urriendo. Corona. , También recomiendo á los sargentos segundos del 6.° ligero Matías Gó mez y Pedro Nevares; al del 12 de línea Manuel Diaz, y al cabo segundo del A propuesta de la dirección general de presidios, se.-ha servido S. M. 6.° ligero Juan González; á los cabos de carabinéros Jaime Peral y Antonio conferi…</t>
  </si>
  <si>
    <t>Coronado, Juan González</t>
  </si>
  <si>
    <t>Juan González Coronado</t>
  </si>
  <si>
    <t>…sta alobrafrentede unel romoretratoende4.aSu deSantimas de Z.ifre , habiendo verificado la prisión de cinco el alcalde del Castaño del dad grabado con esmero. Se suscribe en las librerías"siguientes : Madrid, Pérez; Barce Robledo D. Juan González Coronado, con la particularidad de que á tres de lona, Piferrer; Cádiz, Horial y compañía; Coruña, Calvete; Malaga, Martines de ellos los prendió él solo y sin auxilio ninguno. Aguilar, Murcia, Benedicto; Salamanca. Blanco; Santiago, Rey Romero; Sevilla, H-y en aquella provincia 92 escuelas establecidas en…</t>
  </si>
  <si>
    <t>Corral, Juan del I</t>
  </si>
  <si>
    <t>Juan del I Corral</t>
  </si>
  <si>
    <t>…834—Excmo. Sr.=Francisco de Paula Alcalá.mExcmo. Sr. ca- \ D« Doña heredera Concepción María Mariano de D. García, López, Juan viuda y JÍUui general de Apagón.” Medra no, D. Andrés González, de Gómez, D. Pedro Su'arez Al varado , D. Juan del I Corral, y demas acreedores á la testáméntaría de Doña Donata González, para que en i el termino de 30 días acudan á continuar sus reclamaciones, y usar de lasaccionc^ que j les convenga .apercibidos que en su defecto les parará perjuicio. I Deseando la diputacioo de comercio de la provincia de Soria estab…</t>
  </si>
  <si>
    <t>Corre, Althorp</t>
  </si>
  <si>
    <t>Althorp Corre</t>
  </si>
  <si>
    <t>…tinado á este ministerio es Mr. Aberpromby. Se habla de lord J. Russeil para llevar la voz del gobierno en la Cámara de los ____ Un periódico publica la lista de los ministros desde el 31. de Julio ds Comunes, como antes lo hacia lord Althorp. Corre también 1a noticia de'que 1830, y son Dupont de l’Eure, barón Luis, mariscal Gerard, el conde de Mr. R. Gordon reemplazará á Mr. Ellice en el ministerio de la Guerra. Rigny, Bignon, Guizot, duque de Brdglie, mariscal Jourdan, Tupinier, Mole, (Times.) Sebastiani, Laffitte, Casimiro Perrier, mariscal…</t>
  </si>
  <si>
    <t>Corre, Salverte</t>
  </si>
  <si>
    <t>Salverte Corre</t>
  </si>
  <si>
    <t>…la familia imperial se comprome El, tig&amp;riVr asegura por su parte que todo cuanto se dice sobre la mudanza te lá seguridad pública. ^| de miaistros carece de fundamento. Los Sre». Bricqueville y Bcrtrand adhieren á la opinión del Sr. Salverte. .Corre la voz de que ha llegado correspondencia del Brasil de fecha recien La Cámara cierra la discusión, y en seguida declara que no há lugar á votar te.ootjcias -desagradables: como no hemos recibido todavía el correo no sobre las exposiciones que tratan de abolir la ley que expulsa de Francia la fa ppdépt…</t>
  </si>
  <si>
    <t>Corregidor</t>
  </si>
  <si>
    <t>…n El Sr. Secretario del Despacho de Hacienda: «Cuando el Gobierno Mariano Torres y Solanot, por la de Huesca. pensó en poner toda la deuda al 5 por 100, lo hizo primero con el objeto de Se dió cuenta.de un oficio, remitido por el Sr. Corregidor de esta corte, simplificarla, y Jo otro por miras ulteriores, para que consolidado el actual de la suprema junta de Caridad , invitando á los Sres. Procuradores á que con sistema , creciese tanto nuestTO crédito , que pudiese llegar á ponerse á la par, tribuyan CoH"lá limosna que sea de su agtado para…</t>
  </si>
  <si>
    <t>…de los premios adjudicados el 11 de Mayo en las mismas, por el Excmo. Sr. duque de Gor, gobernador civil de la ocasión como en las otras, en que fue atacada esta villa, ha manifestado tanto provincia de Madrid, con asistencia del Sr. Corregidor . de los individuos de la Real la mayoría del pueblo como la Milicia urbana no teme su invasión ni ia tropa y suprema junta de Caí idad y otras personas de drbtirtcion. Esre cuaderno que te halla que la guarnece, di et gobernadora quien S. M. honra con el mando, aunque ra á ri’al en la librería de Sujo á be…</t>
  </si>
  <si>
    <t>…obada para la enseñanza en el año amaba , y que luego llegó 4 scr 4 l°s ojos del mundo un enigma inexplicable? 1824- Se halla 4 lo rs. 4 la rústica y 20 en pasta en la librería de Ríos. ■ ■ -Por providencia del Sr. de Norzagaray, teniente'Corregidor de esta villa, refren Cuando una muerte violenta hirió ál conde Capo d’Istria, hallábase ya dada de Gaona y Loeches, escribano def número de la misma, se cita por término este, según se lo dijo á Mr. Thiersch, al cabo de sus recursos gubernativo^ de tO días contados desde esta fecha 4 Antonio Oviol y…</t>
  </si>
  <si>
    <t>Corres, Ramón</t>
  </si>
  <si>
    <t>Ramón Corres</t>
  </si>
  <si>
    <t>…ha de nuestra historia el grandioso suceso á cuya celebridad se consagren. varla, y sus adicto» el bizarro teniente de caballería de ftanqueadores de Navar El autor del proyecto que merezca la preferencia será premiado con una ra D. Ramón Corres, y eV de igual clase de infantería D. Antonio Madrona, medalla de oro de peso de seis onzas, que tendrá la efigie ó retrato de la Reina y subteniente graduado D- Remigio Molió, y mis ayudantes igualmente el te nuestra Señora con la inscripción en el contorno Isabel ii, Reina liíEspaSa niente gradua…</t>
  </si>
  <si>
    <t>…el 4.0 regi miento de Guardia Real D. José Mozurd; el teniente con grado de teniente Madrid i 0 de Octubre. coronel D. Julián Pordoy, y subteniente D. José Hermenegildo, del regi miento de Córdoba, y el ayudante de la plana mayor D. Ramón Corres, te Penetrado el Excmo. Sr. comisario general de C^ruzadá de cuánto interesa niente graduado dé capitán. La de tropa lo es cuatro soldados heridos v un á la moral, a la salud pública, á la decencia, y hasta el honor de esta heroica contuso de la Guardia Rea! de infantería: tres soldados muertos; un…</t>
  </si>
  <si>
    <t>…ón mi que en Vitoria se disponía la conducción a Santander de los facciosos conde ayudante de campo D. Modesto de la Torre, el ya citado del general Lorenzo nados al servicio de Ultramar por el Real decreto de 24 de Enero último. D. Ramón Corres, contuso ligeramente D. Oirlos Oxholm, también ayudan— te mió, dos caballos muertos y varios heridos, entre ellos el de mi ayudante de Según parte del capitán general de Aragón de 15 del corriente, el día an campo D. Manuel Concha. terior debía caer sobre los enemigos situados en Verdun la columna…</t>
  </si>
  <si>
    <t>Corres, Ramón'</t>
  </si>
  <si>
    <t>Ramón' Corres</t>
  </si>
  <si>
    <t>…oso el ayuntamiento de proporcionar á estos habitantes un inocente dante de carfipo D. Modesto Latc»rre; el de la m.» '-.! ^ia*e de. c-ne-ai L &gt;-enz"» recreó próptó de las circunstancias, acordó que hubiese dos bailes, que fueron D. Ramón' Corres; contu&gt;o ligeramente D. Carlos Oyo.iim , también u&gt; uójtre muv concurridos, y otras diversiones , en que á la par del orden público, reinó mío, y do* caballos muerto-» y varios heridos, entre el.os el de mi avudeitc la fidelidad mas acendrada hacía el sagrado objeto de la veneración nacional. de ca…</t>
  </si>
  <si>
    <t>Córrespond, Gobernadora</t>
  </si>
  <si>
    <t>Gobernadora Córrespond</t>
  </si>
  <si>
    <t>…¡tara dirigir el canal |»sr los pun tos mas interesados en los beneficios de la navegación, liará practi La Reina, y en su Real nombre y durante su menor edad la car á su costa un reconocimiento general de f «ia la línea con la» Reina Gobernadora. Córrespond¡entes nivelaciones, á fin de comprobar y rectificar las En el reinado de mi excelso Abuelo el Sr. D. Cirios m, de glo que hizo Rocha, y determinar con la debida exactitud la altura del riosa memoria, se trató á solicitud de la villa de Tamarite, en el principio del canal para la toma de aguas de lo…</t>
  </si>
  <si>
    <t>Correspotual</t>
  </si>
  <si>
    <t>…bierno confiaba en los generales Espinosa é Izquierdo, y había enviado á rante su mansión en esta capital. Parece que dentro de poco será presentado al explorar la voluntad de los gobernador» de las provincias para ver el modo de Emperador. (Correspotual de biamburgoúy atacar á los insurgentes. La confusión j la anarquía eran extremas. INGLATERRA. T RANCIA. Lóndres 4 de Enero. Parts 5 de Entro, Fondos públicos. Tres por 100 consolidados 90T Lonja del 4* Cinco por 100 consolidados 104 fr. &lt;55 c. Fondos «paño Ayer se trasladó á Bríghton el príncipe de T…</t>
  </si>
  <si>
    <t>Corría</t>
  </si>
  <si>
    <t>…ará, cuáles fueron los motivos que el general Gamarra tuvo alguna favorable en U plaza; por el contrario tema fuertes motivos pata co»y par* no «ómitir 4 mando qu« con tanto júbilo babk acoplado. La contesta- sidecar enemigo ¿ su gobernador. Corría, pues, el peligro da que lo MomctkMft</t>
  </si>
  <si>
    <t>Corrina</t>
  </si>
  <si>
    <t>…siad de la composición. / Téngase, pues ,.eLléctOr-por avisado t ío que encontrará en este artícu . . , _ . ■ ... ; ANUNCIO, lo no es más que un medio de recoger con algún trabajo noticias preciosas so A virtud de providencia del Sr. Corrina, ¡umMC*ar.griMraldc.la,Real-OatS]eAabre sucesos que interesan directamente la política europea. El 8 de Octubre 1831 trimonlo, y por la escribanía de SaenzrTObía, se cita i las personas que se crean coa . iuc aMiinado eLconde ^úan Gapo d’Istria al eottar en la iglmia deR Spyridion, ’ TnonderechoBür…</t>
  </si>
  <si>
    <t>Corripia, Bernardo</t>
  </si>
  <si>
    <t>Bernardo Corripia</t>
  </si>
  <si>
    <t>…cante por exoneraciónmismos individuos; y que instalada Ja junta, haga reconocer ei camino, formar el plano y presupuesto de su coste, y proponga los aibitnos que considcie apli de D. Jóse Marugan , S. AL se fia servido nombrar i D. Bernardo Corripia, oficial primero del gobierno civil de Gerona. cable» á este objeto que deberán pagar los pueblos. Para la plaza de secretario del gobierno civil de Toledo, que se halla va S. M. se ha servido autorizar al ayuntamiento de la villa de S. Vicente cante, lia nombrado S. Al. a D. Francisco de Gaivez, q…</t>
  </si>
  <si>
    <t>Corripio, D Manuel</t>
  </si>
  <si>
    <t>D Manuel Corripio</t>
  </si>
  <si>
    <t>…cita =« Columna móvil de las Merindades de Cas tilla la V¡ej¿ =Excmo. Sr.: El teniente coronel capitán de granaderos del pro vincial de Segovia D Gregorio Sarabia, que con la compañía de su mando, 30 hombres de Extremadura con el teniente D. Manuel Corripio y 7 caballos REAL LOTERÍA PRIMITIVA. de distintos cuerpos que en 13 del corriente dispuse marchase al valle de Val— derredible en persecución de la facción, del rebelde Villalobos que con Zamar- En la extracción celebrada en el dia de hoy han salido agraciados los nú ramala y el pasiego Garrido se fo…</t>
  </si>
  <si>
    <t>…tana, eBcatmoix^ desde Santander me dice lo s'guiente: ”Excmo. Sr.: Hadándome en persecu dow á Sopuerta. ción del c-hecrHu Santiago Villalobos con 3u caballos de la Reina y 5u infan tes del reg-miento de Fxtrem idura ni mando del teniente D. Manuel Corripio, Los facciosos que intentaron sorprender la guarnición de Salas de lo* In secun nvin fc»ié á V. F. en mi último pirte desde Santa Gadea, recibí aviso fantes , fueron comp.etamente rcchazido»; habiendo sido muerio e; fimoso ca del teniente coronel D. Juan Echavis, capean de la compañía de seguridad…</t>
  </si>
  <si>
    <t>Corripio, Manuel</t>
  </si>
  <si>
    <t>Manuel Corripio</t>
  </si>
  <si>
    <t>…olumna móvil de las Merindades de Cas tilla la V¡ej¿ =Excmo. Sr.: El teniente coronel capitán de granaderos del pro vincial de Segovia D Gregorio Sarabia, que con la compañía de su mando, 30 hombres de Extremadura con el teniente D. Manuel Corripio y 7 caballos REAL LOTERÍA PRIMITIVA. de distintos cuerpos que en 13 del corriente dispuse marchase al valle de Val— derredible en persecución de la facción, del rebelde Villalobos que con Zamar- En la extracción celebrada en el dia de hoy han salido agraciados los nú ramala y el pasiego Garrido se fo…</t>
  </si>
  <si>
    <t>…atmoix^ desde Santander me dice lo s'guiente: ”Excmo. Sr.: Hadándome en persecu dow á Sopuerta. ción del c-hecrHu Santiago Villalobos con 3u caballos de la Reina y 5u infan tes del reg-miento de Fxtrem idura ni mando del teniente D. Manuel Corripio, Los facciosos que intentaron sorprender la guarnición de Salas de lo* In secun nvin fc»ié á V. F. en mi último pirte desde Santa Gadea, recibí aviso fantes , fueron comp.etamente rcchazido»; habiendo sido muerio e; fimoso ca del teniente coronel D. Juan Echavis, capean de la compañía de seguridad…</t>
  </si>
  <si>
    <t>Corscyo, Gil Guedes</t>
  </si>
  <si>
    <t>Gil Guedes Corscyo</t>
  </si>
  <si>
    <t>…del duqqe de Terceira al general Rodil , fecha en Atalaya á Ib del la suerte de conduc r a e*ta campaña inmortal. corriente. , ♦•Cuartel general de Ca»leiu~bL»nco a lo de Mjy o de 133_f- = J R*- «El porudor de esta es el teniente coronel Gil Guedes Corscyo , ayudante mon Rodil." EN X.A TMPRFNT \ REAL. 3</t>
  </si>
  <si>
    <t>Cortad, Nicolás</t>
  </si>
  <si>
    <t>Nicolás Cortad</t>
  </si>
  <si>
    <t>…n los gritos que tienen de costumbre. de P. M- el guardó de la Real Persona D. Antonio Ramírez; al intrepido «Poco tardaron sin embargo en reconocer que se habían engañado , y me teniente y comandante de la 1.a compañía de Gerona D. Nicolás Cortad, nos en contenerse, oyendo repetir el toque de ataque por todas nuestras cajas q ie atravesado por el muslo de un balazo, costó mucho trabajo hacer retirar del y cometas, y viendo que nos arrojábamos á su encuentro. En efecto, ponién luego. Para la misma á mi ayudante de campo, el teniente del prov…</t>
  </si>
  <si>
    <t>Cortazar</t>
  </si>
  <si>
    <t>…s congratulamos de que á pesar de fundados temores, no ha habido-ni dosele Guadalajara y Durango j en el primero de estos puntos fue derrotada grandes roturas en los diques, ni grandes inundaciones. la milicia de Santana; pero el general Cortazar habiendo destruido i los fede «Los recursos presentan generalmente en lo interior del pais un aspecto ralistas en Queretaró y S. Luis, pasó á Guadalajara, cuya ciudad se le some consolador. Aricuuas que el comercio y la navegación continúan reponiéndose tió , asi como el territorio de Colima. El ge…</t>
  </si>
  <si>
    <t>Cortazar, Francisco</t>
  </si>
  <si>
    <t>Francisco Cortazar</t>
  </si>
  <si>
    <t>…apitalmaligno.y sus arrabales, aunque hasta ahora no presenta la crimen á D. Joaquín Velluti, á D. Cayetano Muñiz, alcaldes de di » E»u legación griega continua experimentando las dificultades y disgusto* cho superior tribunal, á D. Francisco Cortazar, á D. Pablo Govan- que hace tiempo sufre de paite del gobierno turco. Mas de 81) buques griego* tes y á D. Blas Damián de la Vega: y para fiscales, á D. Claudio siguen detenidos sin obtener el firman de salida, ni para el mar Negro, ni pa Antón de Luzuriaga , de lo civil, y á D. José Joaquin Casaux…</t>
  </si>
  <si>
    <t>Cortazar, Mabueí</t>
  </si>
  <si>
    <t>Mabueí Cortazar</t>
  </si>
  <si>
    <t>…con sus 5o ca- ■►También es digno de recomendación el sargento L* con grado de alSbalW»t Mcapiian D. G*&amp;p*r Hernando, tenientes D„ José Martín A reárate ,ez D. Faustino Valverde, del regimiento caballería, '2." dé linca, que h* y D. Mabueí Cortazar, que &gt;a-4iftgiescn:por la izquierda 4 fin de impedirles U , dirigido la guerrilla de su arma j y en fin. rock*.. pues todos han rivalizad* VJfaí aquel puntó, IBinéndolo yo por ti centra con los 25- caballos de «q decisáon al grito eléctrico de tréa /sas&amp;l ir." U Rei&amp;*, al mando ^ ca^an e| teofeate…</t>
  </si>
  <si>
    <t>Cortazar, Modesto</t>
  </si>
  <si>
    <t>Modesto Cortazar</t>
  </si>
  <si>
    <t>…o representará á la Prusia un secretario ó en otra de Cataluña, vacantes aquella por fallecimiento de D. Manuel Romera cargado de Negocios, prescindiendo de que la América nos trata todavía con Briones, y esta por nombramiento de D. Modesto Cortazar, para teniente cor mayor desden dejándonos sin ministro de ninguna clase John-Bull sigue ha regidor de Madrid, á D. Manuel Rentero y Villa y D. Joaquín Romaguera; ciendo otras reflexiones análogas dictadas por un espíritu hostil al ministerio. y para oidor de la audiencia de Granada , cuya plaza se…</t>
  </si>
  <si>
    <t>Corte, Jacobo María de la</t>
  </si>
  <si>
    <t>Jacobo María de la Corte</t>
  </si>
  <si>
    <t>…ientes comi meter á la deliberación del tutaniento de íIusítl» Friere* la conducta del mal siones : avon cj.ido Principe, como íiab.j prometido en la *o.emne sesión de apertura De Hacienda. Excmos. Sres. Martínez ( D. Antonio ) ; D. Jacobo María de la-» Corte» gcncraie» del Remo. En »u o msetu.::w&gt;a , y por hallarse dicho "deParga; marques de Heredia conde de Ofalia; conde de Sástago; conde de Sr. Ministro de Gracia y Justicia acompañando a M. ia Reina Goberna Parsent; Sr. Posadas; Sr. González Carvajal. dora, encared&gt;a al Minnlro de Estado desempañase…</t>
  </si>
  <si>
    <t>Cortegana, Pedro Palacio</t>
  </si>
  <si>
    <t>Pedro Palacio Cortegana</t>
  </si>
  <si>
    <t>…ora se ha servido nombrar á D. Ramón Arce Cabeza de Baca, oficial cesante de la contaduría de Propios de Santander, para Aroche.................. 15 a 21 de Oct. 119 80 9 la plaza de primero de la de Huesca, vacante por salida de D. Pedro Palacio Cortegana............. 12 á id. ¡d-... 78 10 12 i segundo de la de Zaragoza. Zalamea la Real. U á 23 id.... 30 00 24 Habiendo quedado vacante la plaza de oficial primero de la contaduría Nota. En ei. resto de la provincia no ocurría novedad. de Propios de la provincia de Cuenca por renuncia de D. Ignacio María Uzcudun, s…</t>
  </si>
  <si>
    <t>Córtes, Procurador</t>
  </si>
  <si>
    <t>Procurador Córtes</t>
  </si>
  <si>
    <t>…época constitucional; y por lo tacto, no se atan ctialqúiera otra. Si ba tenldo esa'espécié: dé detenimiento . ha ísido .porque no lás manos'de las Ministros, asid cuando se les supusiese animados de una am queria privar 4 ningún Sr. Procurador £ Córtes del derecho de manifestar su bición mezquina. paíecer; reservándose exponer el suyo profio para cuando estuviese mas ade cimpa reíales y desinteresados en esta cuestión , ya personalmente , y ya lantada la discusión. . ' - como Ministros, tampoco desearíamos que se tratase como ana cuestión de »Otra ra…</t>
  </si>
  <si>
    <t>Córtes, Sebastian Las</t>
  </si>
  <si>
    <t>Sebastian Las Córtes</t>
  </si>
  <si>
    <t>…n, AL deber penoso, y por cierto nada apetecido , erf que me constituye el que i título de mayorazgo posee en virtud de sentencia judicial el Sr. Infante haber sido nombrado para la comisión de presupuestos de la Casa Real, se me D. Sebastian. Las Córtes mencionadas suprimieron esta asignación , fundadas añade el sentimiento de no poder unir mi parecer al de mis dignos compañe -en la razón incontestable de que como pensión alimenticia concedida al Señor ros en ella, en los dos puntos de las asignaciones de S* M. , y&lt;de su augusta Infante Di Gabriel…</t>
  </si>
  <si>
    <t>Cortina</t>
  </si>
  <si>
    <t>…i corriente hasta el 15 del próximo Noviembre, á la contaduría de su establecimiento calle de Preciados, en los días no feriados desde las^nueve de la mañana hasta las 12. PROVINCIA DÉ SECOV1A. -------En virtud de providencia del Sr. Cortina, juez asesor general de Xa Real casa y .si tio del Pardo , y por la escribanía de Sáenx Tobía se cita á las personas que se crean Parte sanitario de 13 de Octubre. cpn derecho á los bienes que han quedado por fallecimiento abintestato de Doña Agueda Fernandez, viuda de P. José Alvarez, conserge que…</t>
  </si>
  <si>
    <t>…llan de manifiesto ihténto para cubrir la frontera de Valencia, que han recorrido por espacio de en la contaduría general del ramo, 8 dias; aunque sin haberse atrevido ¿ internarse en ninguno de sus innumera ——Por providencia del Sr. Cortina, juez asesor general de la Real casa, y por la escri banía de Saena Tobia, se cita á Doña Ana María Caso, cuya existencia y paradero se bles valles, por el buen espíritu de qué se hallan animados los mas, y por ver Ignora, o a sus herederos, para que en el térmico preciso de 30 días acudan á dicho…</t>
  </si>
  <si>
    <t>…asta que queden ^ m¿uidas tod„s mí corrc-q&gt;ond¡cfitc* a ios re que Pasad ) duho termino sin veriticarlo les parara per uiiio. cibo-* expedidos en ú&gt;s anos posíen»ifes, jas ^ua.es se fiaran sucesivamente, ni" — Por providencia ael Sr. Cortina, jare asesor general de la Real casa y patrimo nio y por la escríbanla de Saenr Tobla , se saca 1 pública subasta para pago de un ¡art.^ov. se le* admit.ran en &gt;aw amortizaciones que ia Rea.1 caja verifica por •crédito al patrimonm de S. M., una casa en el Real sitio del Pardo, calle de Mira el tru…</t>
  </si>
  <si>
    <t>Cortina, D Tomas</t>
  </si>
  <si>
    <t>D Tomas Cortina</t>
  </si>
  <si>
    <t>….Bjtá obrita se hallará de venta en la» princioales litíaúrias q* Ksoiuu; y en Madríd en la de Viart», ........ * . .r-, . . Tá^éena, Francia y Alemania. Pata ello deberá el establecimiento tener un —En virtud de providencia del Sr. D. Tomas Cortina, juez asesor gttltHj surtido rixindahté pota el consumo público, y que por la comodidad de los JLdal'bsdé y¡jr—--1- -—1-----—-- J-* — preció» pqeda proveerá la» demás provincias de la Península, é impida la ¡ptro- á pública, tub dúcc/cn de lo» fabricado» fuera de fúpa^i?.- 1 entapoblicioH 6/.Í23 rs…</t>
  </si>
  <si>
    <t>Cortina, Jaaii de Morales Diez de la</t>
  </si>
  <si>
    <t>Jaaii de Morales Diez de la Cortina</t>
  </si>
  <si>
    <t>…de la provincia por varios defectos íea la única causa de la decadencia de F-piña. que aí'ega. Pasó á la comisión de Poderes. «Hito es inexacto: los males de E4paña provienen de mi! causas; provie Se dió cuenta del expediente de D. Jaaii de Morales Diez de la Cortina, nen de una política equivocada, errónea, seguida por espacio de un s.:c!o; que electo Procurador por la provincia de Sevilla, en que presenta los documentos fio ha tenido aquel decoro é independenci i que debiera , aprovechando las ven-’ Justificativos de sus rentas, pero no hallándose legitimados…</t>
  </si>
  <si>
    <t>Cortina, Joaquin Gómez de la</t>
  </si>
  <si>
    <t>Joaquin Gómez de la Cortina</t>
  </si>
  <si>
    <t>…lgún tiempo; y en el momento que regrese se procederá Excmo. Sr. conde de la"Cortina.r............................................ ........... 1500 á establecer el referido método a*¡ en esta capital como ¡¿a las cabezas de parti D. Joaquin Gómez de la Cortina, hijo.de S. E................................ 500 do, pues al efecto le tengo encargado que compre el cprrcspondicnte número Excmo. Sr. D- Antonio Martínez......................................................... 1500 de ejemplares de la citada ebra de Vallejo, y lo demas que sea necesario. D. Anto…</t>
  </si>
  <si>
    <t>Cortina, Tomas</t>
  </si>
  <si>
    <t>Tomas Cortina</t>
  </si>
  <si>
    <t>…tá obrita se hallará de venta en la» princioales litíaúrias q* Ksoiuu; y en Madríd en la de Viart», ........ * . .r-, . . Tá^éena, Francia y Alemania. Pata ello deberá el establecimiento tener un —En virtud de providencia del Sr. D. Tomas Cortina, juez asesor gttltHj surtido rixindahté pota el consumo público, y que por la comodidad de los JLdal'bsdé y¡jr—--1- -—1-----—-- J-* — preció» pqeda proveerá la» demás provincias de la Península, é impida la ¡ptro- á pública, tub dúcc/cn de lo» fabricado» fuera de fúpa^i?.- 1 entapoblicioH 6/.Í23 rs…</t>
  </si>
  <si>
    <t>Cortinas, D Manuel</t>
  </si>
  <si>
    <t>D Manuel Cortinas</t>
  </si>
  <si>
    <t>…andes holandesa. ((Diario de Bruselas.1) Madrid 25 de Setiembre. INGLATERRA. ELECCION DE PROCURADORES DEL REINO. LSndres 8 de Setiembre. PROVINCIA DE SEVILLA. El John-Bull censura agriamente al lord Palmerston bajo el respecto do Sr. D. Manuel Cortinas. la política extrangera, diciendo que la consideración de Inglaterra está deprimi —-------- -— i-m ■ 1------- da entre las naciones europeas. Poique , añade, si el rango de un Estado debe medirse por la calidad de los embajidores enviados á su corte, no hay duda S. M. la Reina Gobernadora se ha servido…</t>
  </si>
  <si>
    <t>Cortinas, Juan María</t>
  </si>
  <si>
    <t>Juan María Cortinas</t>
  </si>
  <si>
    <t>…*0 Sevilla D Ambrosio Eguí-i con fecha de 23 de Julio ultimo. Doña M. A. M.............................................................................. 20 ’í Excmo. Sr.: La nulidad casi absoluta de la cosecha de granos y la mala D. Juan María Cortinas......... ............................... ............................... 80 calidad de les pocos que se han recolé*.ludo tienen reducida la Ja'C labradora á Sra» Condesa viuda de Casa-Sarria, mensualqncnte mientras dure la la mayor estrechez. La&gt; extstenC'a* de g^nos reservad»*» de le* aj.os anteriores enfe…</t>
  </si>
  <si>
    <t>Cortinas, Manuel</t>
  </si>
  <si>
    <t>Manuel Cortinas</t>
  </si>
  <si>
    <t>…rón cuando se recibió de abogado. No quisiera equivocarme , pero en virtud de las ilegalidades qtle manifestaba haberse cometido en ella; y otra si han partido de este principio Jos Sres. de la comisión , han cometido un error de D. Manuel Cortinas, electo Procurador por ia provincia de Sevilla, ma muy marcado. En el año 25 no creo que se exigiesen 25 años para recibirse nifestando no poder justificar la reata señalada'por'la ley para desempeñar es de abogado , aunque sí se exigian para ser jueces ó asesores. De consiguiente, te cargo, y pidi…</t>
  </si>
  <si>
    <t>…órics desde el año 23; de consiguiente no se puede saber el fondo que También fue aprobado otro dictámcn de la misma comisión , en que ma representa la deuda que ha de ser activa.” nifestaba que habiendo examinado la instancia de D. Manuel Cortinas, electo .El Sr. Secretario del Despacho de Hacienda: «Me parece que sobre eso Procurador por la provincia de Sevilla , en que solicita se le exonerase de di no hay diferencia ninguna éntre la minoría de la copnisipn y el Gobierno. La cho cargo por no tener la renta prevenida por la ley, era de pare…</t>
  </si>
  <si>
    <t>…s holandesa. ((Diario de Bruselas.1) Madrid 25 de Setiembre. INGLATERRA. ELECCION DE PROCURADORES DEL REINO. LSndres 8 de Setiembre. PROVINCIA DE SEVILLA. El John-Bull censura agriamente al lord Palmerston bajo el respecto do Sr. D. Manuel Cortinas. la política extrangera, diciendo que la consideración de Inglaterra está deprimi —-------- -— i-m ■ 1------- da entre las naciones europeas. Poique , añade, si el rango de un Estado debe medirse por la calidad de los embajidores enviados á su corte, no hay duda S. M. la Reina Gobernadora se ha servido…</t>
  </si>
  <si>
    <t>Corulla</t>
  </si>
  <si>
    <t>…d. siasmo y sinceridad que logra siempre en nuestra nación la causa Lóndres A 90 dias 374 Bilbao par. Sevilla par. de la legitimidad y de la justicia. Peró tampoco se debe omitir que Paris 16 á 15-19 1» jcádlz 4 á i b. Valencia 4 d. (Corulla 4 d. Zaragoza 4 d. este'entusíasfno y esta buena voluntad no solo se han sostenido, sino Descuento de letras á 4 p. 100 al alio. también se han aumentado con la presencia cercana y continua de los fnagtarados tutelares, encargados por el gobierno de S. M. de ANUNCIOS. velar incesantemente sobre ios…</t>
  </si>
  <si>
    <t>Coruña</t>
  </si>
  <si>
    <t>…, la noche del J.° de Enero ulrimo, «m la c-lle de la Comadre, para ane eñ 16. b. Cádiz,Aimterdam par. Sevilla, | ,00. / París* de en dias siguientes de al presente nueve este anuncio je de la publicación termino el £ * Alicante, d. $ Coruña,Rayona, 00. * d. Valencia, de en que justicia real cárcel administrará hiciese, si asi lo se le oirá y Corte; laBurdeos, 00. zo, ¿d. Granada, $ id. Zaragoza, ¿ id. que la tuviere; con apercibimiento, que pasado dicho termino sin haberlo verifíc*dAIn Ram burgo, 00. Barcelona, Malaga, par. Descuenro…</t>
  </si>
  <si>
    <t>…anco ,00. fellcció i^-y quedaban 5renférmaselas 3 leycmente. ....... 1 -• "• •' • ' . ’ . • " trj/ 4 i •’ i ■ r - ! • PROVÍVCtA -DK NAVARRA. Xatterdaa, OOL Parb, I6-4. Cádiz, 14 b. Sevilla, 4 b. 00. Bayona, ñ corto piar Alicante, d. Coruña, 4 4 Valencia, - .-. -.h, - .... - , •&gt; r . - v. r. • 00. , . Burdeos; ao.* b. Id. Ofanada, id. Zaragoza, 4 d. - ■ Del patte que cort-fecha 28 -de Octubre próximo pasado remite su góber»- Hamburgo, 00. Barcelona, á DS. A, Málaga. 4 b. Descuento de Irtis», oador Civil aparece que en aquella capital…</t>
  </si>
  <si>
    <t>…decoraron ocho individuos con la cruxde Isabel ir, habiéndoles leído 14 b. Cidla, Sevilla, 4k el Sr. gobernador interino la proclama de l.° de Enero dada al ejército por ABayona,muerdan.,00. 00. Paris,Alicante,16-54 cortoi 6. pla d. Coruña, 1 Valencia, 4 id. la augusta Reina Gobernadora. Este brillante y tierno espectáculo terminó Burdeos, 00. zo, | b. Granada, Id. id. Zaragoza, j d. tpn dos descaigas de batallón precedidas de los vivas á Isabel ri J &amp; lá Reina Htimburgo; 00. Barcelona, 4 ps. fs., M41aga. |b.„ * Dcscnénto de lenas» R…</t>
  </si>
  <si>
    <t>Corüña</t>
  </si>
  <si>
    <t>…a teda. El autor advierte que en el primer párrafo ha seguido princi 1 b. Cádiz, 1* b. Sevilla, i palmente la memoria de Mr. Perrottet, que es el que ha sacado de Manila y Bayona,Amsterdam,00. 00. París,Alicante,16-5iconoá 6. pla d. Corüña, f Valencia, * dido á conocer á las demas naciones la morera de muchos tallos, y en el se Burdeos, 00. zo, * b. Granada, id. |d. Zaragoza, * &lt;LId. (jo. Hamburgo, Barcelona, b. 1* Málaga, i ps. A, pero versado profundamente de Mr. gundo el manual en todo lo que Morin; de letras, Pescueqto 4 Londres.…</t>
  </si>
  <si>
    <t>…lique tan acertada disposición, á fin de que los ha CAkCSICU. bitantes de esta provincia concurran con sus-frutos y eviten la carestía y el Amsterdam, 00. París, 16-1. Cádiz, tib. Scvill*, i b. 00. Bayona, Alicante, á corto pla 1 d. Coruña, Valencia, par. causada que la desolación aumentarían por el cólera-morbo.hambre, zo, ¿ d. 00. Burdeos, Jd. id. Granada, Zaragoza, d. J para activar medio alguno de cementerios en omito la construcción No Hamburgo, f*.. k ps. 00. Barcelona, d. Málaga, j Descuento de letras los pueblos que carecen d…</t>
  </si>
  <si>
    <t>Coruña, ValeocUvfld.ld</t>
  </si>
  <si>
    <t>ValeocUvfld.ld Coruña</t>
  </si>
  <si>
    <t>…ha que se publique Urbanos-de Cenicero, mandar en la Gaceta y Arnsterdam 16-4. , 00. [París, Cádlx, b. Serllla , | b. - de deben en iguales circunstancias modelo observar Cómo un digno la que los Bayona, 00. Alicante, acorto pla d. . ValeocUvfld.ld* Coruña, | defensores de los-derechas de la Reina nuestra Señora: que se pase ai minis Burdeos, 00. co, 4 Granada,.íd. id* Zragoaa,,4 4. 00. Barcelona, 4 ps. fe.. b. Descuento de letras, Málaga, | por mismo comunicación de terio el ia Guerra la á fin de que oportuna, 90 días, re Lóndree,Hambttrgo, i 4*4 id…</t>
  </si>
  <si>
    <t>Corvacho</t>
  </si>
  <si>
    <t>…ftdó, $&amp;íéñ sabiendo que' rio general del gobierno: cómision q’ue desempeSubasta que habiendo|os sedi lea labia hecbo su noble pronunciamiento, se dirigióa esa ciudad con el ob- ciosos desocupado la capifál, y venido al Callao el Sr. Corvacho, ministro de jeto dc levantar.un escuadrón. Otros muchos soldados ie plsaton de Lima y Gobierno y Relaciones exteriores, se- restablecieron los tres ministerio-?, y el que dédiferentcs puntos, solos, ó en grupos de dos, cuatro ó sei$&gt; bien porraí, ó suscribe quedó como.antes desempeñando el de Haci…</t>
  </si>
  <si>
    <t>Corvera, Manuel</t>
  </si>
  <si>
    <t>Manuel Corvera</t>
  </si>
  <si>
    <t>…s reales en la española y 5 en la extranjera: 5.' Y 22 de 1834-=Luis José Orbegoso. que por eít¿ derecho se despachen las partirlas de pítima de la pro- El general Aíariano Weccchea á las tropas €eles. piedad TeH. Ramón Cabello y D. Manuel Corvera, cancelándose las obligaciones que tengan presentadas. De Real orden ln comunico Soldados: Retirado en mi casa no pensaba va en empunir la espada cre á V. So. para que dispongan su ci mplimiento. Dios c'te. Madrid ti yendo que la república permaneciere tr»nqu;L, Mas los desnaturalizados gene de Ago…</t>
  </si>
  <si>
    <t>Cosa</t>
  </si>
  <si>
    <t>…13 de este mes dieron i la vela desde el puerto de Ñapóles , para ir á cruzar por el estrecho de Gibraltar, la fragata Regina Isabella , comandante — — Los papeles’ingleses hablan mucho de ciertos documentos publicados en los el Sr. Cosa, capitán de navio ; la corbeta Cristina , comandante M. Cavalcante, periódicos de Buenos-Aires , de los cuales se inferiría que ha existido un pro capitán de fragata , y la corbeta il Lampo , comandante el Sr. de Amico, te yecto por parte de España de reconocer la independencia de la América del ni…</t>
  </si>
  <si>
    <t>Cosas</t>
  </si>
  <si>
    <t>…(Mensajero.) admitirán! por bases probablemente las disposiciones de 1831, cuyb objeto es el arfeglo territorial entre la Holanda y la Bélgica, y que se restablecerán la» M- d’ Appony embajador de Austria, y él barón de Schoepff, secretario Cosas en el estado au. tenian entonces. (G. de Augiburgo-) de la legación de Bavicra, han sido citados á instancias de un acreedor que sa ha tomado la libertad de pedir que le pagasen. Ambos diplomáticos han tras . .' "7 Orillar del Rhin 1° de Julio. mitido al ministro de Negocios, extrangeros las citaci…</t>
  </si>
  <si>
    <t>Cosío</t>
  </si>
  <si>
    <t>…oces que exceden ’a erudición común • y cho día debía entrar en Haro. También debía llegar á Orduña el mismo día la se da noticia de ios- autores que las escribieron por inspiración divina: en las epi5ttí&lt;- 'columna del mando del comandante Cosío, procedente del alto Ebro. Jas tí carees se cita el. motivo por que escribieron los apoMoles las sayas. Un tomuza 8.2 xnaiquiUa. So hallará en Madrid en la librería de Escovar A 14 rs. en pa$ta y lo á la rústica. Bon de de FJapofeon Independencia de la contra la guerra Historia ¿porté, España y Con…</t>
  </si>
  <si>
    <t>…debe reemplazarlo.0 de los ilustres Próceres, Otro Sr. Procurador hizo presente que se dijese que Habiéndose preguntado si adoptaban los peticionarios esta nueva redac la Comisión que se nombrase fuese del seno del Estamento. El Sr. Cosío dijo ción , ei Sr. conde de las Navas dijo que ao; y habiendo empezado á discutir que según el ait. 128 del reglamento todo lo que se estaba haciendo eia nulo. la algunos señores y otros pedido la palabra, dijo el Sr. Presidente que nadie El Sr. Presidente le contestó que no se trataba de una petic…</t>
  </si>
  <si>
    <t>…ido burladas en sus espe prodigios de valor. Los enemigos han tenido mucha mortandad, ranzas por las maniobras de las columnas del brigadier Iriarte y ocasionada por nuestras repelidas cargas á 1» bayoneta. Por no ha det teniente coronel Cosío, que las han obligado á repasar dicho bérseme replegado algunas de mis columnas no puedo manifestar á rio. V. E. el número de prisioneros; pero entre varios de estos acaban de presentarme al titulado brigadier Armencba. Cuando el tiempo Merino’, Cuevillas y sus compañeros, escondidos en lo fragoso…</t>
  </si>
  <si>
    <t>…uyas revoluciones no No habiendo quien hablase en contra se concedió la palabra en pro al han sido condenadas por ninguna persona. - Sr. Alcalá Galiano. «Los que asi obraron se han hecho acreedores á la consideración nacional, El Sr. Cosío pidió la lectura; del fart. 66 del reglamento , la cuál se veri y ocuparán un lugar distinguido én las páginas de nuestra historia los individuos fico, y ocasionó un ligero debate, relativo á si no habiendo quien hablase en que no solo en Cádiz y en la Isla, sino en las demas partes, lo hicieron. S…</t>
  </si>
  <si>
    <t>…odos los oficíales que componen mi quierda de Castilla la Vieja, da parte con fecha 12 del corriente desde Concha plana mayor, que tanto en este dia como en todas las demas operaciones mi de Carranza, que'.con su columna y la del coronel Cosío había salido de Ballitares ejecutadas desde que me encargué del mando de este ejército, se me han. maseda en la noche anterior con el fin de atacar á 4*10 facciosos que se halla ofrecido con la mayor emulación á participar de todas las ocasiones de mayor ban en el expresado Concha de Carranza, á qu…</t>
  </si>
  <si>
    <t>…ono del tiempo que sin su voluntad han estado privados de ellos\ gadas últimamente, se han convenido en adoptar esta nueva redacción del ar y el Estamento no tuvo á bien tomarla en consideración. tículo primero. Presentada por el Sr. Cosío la siguiente: A las viudas y huérfanos de los «Siendo legítimos todos los Reales nombramientos civiles, militares y oficiales muertos en acción de guerra en la misma época, se les considerará eclesiásticos hechos por S. M. desde el / de'Marzo. de 1820 hasta el 30 de Se la opcion á las pensiones del Mo…</t>
  </si>
  <si>
    <t>…y te misma graduación el subteniente D. Ramón Dáviia, de la 1.* de niente coronel D. Miguel Cosío, dirigiéndome al pueblo de Bó Borbon, se portaron con valor. El capitán D. Joaquín Díaz de veda con la primera de ellas mientras el comandante Cosío pasaba Rabayo, de la 4-1 del J.° del mismo cuerpo, y el teniente gradua á Sanzadornil con la segunda. Este gefe me avisó desde S. Mrllan do de capitán D. Francisco Villaba , han conducido la tropa coa que Basilio habia salido á las doce hacia el valle de Váldcrejo, y serenidad y arrojo que les hace…</t>
  </si>
  <si>
    <t>…v cupiin:, 47¿ , afiA■■ ■ y 47}1 i varias fc. voL y firme' II incesantemente , no tfehen lugar ni para córtief; dejaron1 en su fuga víveres y Vales 00 consolidados, M por looali contado. efectos, de que se apoderó en Santullan el coronel Cosío , prometiéndose el Deuda negociable del £ p. 100 a papel, 00. - | expresado brigadier Bedoya conseguir el pronto exterminio de este cabecilla. Id. slu interes, 00. Acdooesdel banco español, 00. cAnuos. El día 19 destacó el gobernador militar de Alava una columna sobre Ar ■! Sevilla par 4 CSdiz b. i…</t>
  </si>
  <si>
    <t>Cosío, D Miguel</t>
  </si>
  <si>
    <t>D Miguel Cosío</t>
  </si>
  <si>
    <t>…o de 1834-=E*cmo. Se ñor .=Vicente de Quesada.nsExcmo. Sr. Secretario de Estado y del Despacho de la Guerra. Parte que se cita en el anterior oficio. Reunida ayer en el pueblo de Amurrío la columna de mi mando con la del teniente coronel D. Miguel Cosío, y habiendo recibido noticia de que la facción de Castor había regresado de Orozco, pasando por Llodio con dirección á Oquendo, emprendí la marcha en la mañana de este dia, suponiendo debería hallarse aquí. La marcha fue tan rápida y se guida, que los facciosos no tuvieron noticia hasta pocos momen…</t>
  </si>
  <si>
    <t>…remitía por haberlos pedido la variar en nada mi dictamen, y solo me confirmó mas y mas en mi primer juiJo, misma. ’’ 4 saber: l.° En que la diferencia de pareceres que existe acerca del llamado Se dió cuenta de una instancia del Sr. D. Miguel Cosío, Procurador por empréstito de Guebhard recae sobre un puro juego de palabras, y de manera la provincia de Segovia, en la que pedia licencia, por el tiempo que el Esta— alguna sobre hechos ni cosas reales ni verdaderas. 2.a Que si los principios emi mentó tuviese á bien, á causa de haber recibido la…</t>
  </si>
  <si>
    <t>…este pueblo con las dos columnas de mi mendable. El teniente D. Ramón González Alpüente, y de la mando, á las órdenes del coronel D. Leoncio de la Barcena y te misma graduación el subteniente D. Ramón Dáviia, de la 1.* de niente coronel D. Miguel Cosío, dirigiéndome al pueblo de Bó Borbon, se portaron con valor. El capitán D. Joaquín Díaz de veda con la primera de ellas mientras el comandante Cosío pasaba Rabayo, de la 4-1 del J.° del mismo cuerpo, y el teniente gradua á Sanzadornil con la segunda. Este gefe me avisó desde S. Mrllan do de capitán…</t>
  </si>
  <si>
    <t>Cosío, D Tetesforo Trueba</t>
  </si>
  <si>
    <t>D Tetesforo Trueba Cosío</t>
  </si>
  <si>
    <t>…lidad, y las opiniones divergentes sobre negocios importantes que se habían formado en el seno mismo de la regencia no ejer PROVINCIA B* LA NTAndBl, cían ya ningún influjo notable sobre el curso de las cosas. La vista del proceso Sr. D. Tetesforo Trueba Cosío. contra los individuos acusados del crimen de alta traición había comenzado, y Sr. D. Francisco Villalaz. según las deposiciones de los testigos quedaba poca duda acerca de su culpa ¡ ei por consiguiente probable que serán condenados, y esto contribuirá i consoli PROVINCIA BB SSCOV1A. dar el órden p…</t>
  </si>
  <si>
    <t>Cosío, Miguel</t>
  </si>
  <si>
    <t>Miguel Cosío</t>
  </si>
  <si>
    <t>…estigos quedaba poca duda acerca de su culpa ¡ ei por consiguiente probable que serán condenados, y esto contribuirá i consoli PROVINCIA BB SSCOV1A. dar el órden público. La expedición contra, los mamolas había sido precedida Sí. D. Miguel Cosío. por una especie de comisión del gobierno, compuesta de M. de Fedcr y de un Sr. D. Cayetano Melendez. destacamento militar, con encargo dé intimar á los gefes de los cuerpos dq ' aquellas montañas que se sometan, depongan sus armas y destruyan sus fuertes, PROVINCIA ti SORIA, anunciándoles que en ca…</t>
  </si>
  <si>
    <t>…L JUEYES 6 DÉ ^EBRERO DE 1834*. Parttf recibidos hoy en el ministerio de la Guerra, Excmo. Sr.: El coronel D. Fermín Triarte, comandante de la columna de Santander, á quien según mis órdenes se unió la de la izquierda mandada por D. Miguel Cosío para atacar la facción de Castor, me da con fecha de 30 de Enero último desde Sodupe el parte cuya copia incluyo, por la cual se enterará V\ E. de la ventaja conseguida por dichas co lumnas. Dios guarde k E. muchos años. Logroño 3 de Febrero de 1834-=E*cmo. Se ñor .=Vicente de Quesada.nsExcmo. Sr.…</t>
  </si>
  <si>
    <t>…tía por haberlos pedido la variar en nada mi dictamen, y solo me confirmó mas y mas en mi primer juiJo, misma. ’’ 4 saber: l.° En que la diferencia de pareceres que existe acerca del llamado Se dió cuenta de una instancia del Sr. D. Miguel Cosío, Procurador por empréstito de Guebhard recae sobre un puro juego de palabras, y de manera la provincia de Segovia, en la que pedia licencia, por el tiempo que el Esta— alguna sobre hechos ni cosas reales ni verdaderas. 2.a Que si los principios emi mentó tuviese á bien, á causa de haber recibido la…</t>
  </si>
  <si>
    <t>…con las columnas de mi mando, á en gefe el pliego que V. E. me acompaña. Se dice que el dicho las órdenes del coronel D. Leoncio de la Barcena y teniente coro general se dirigía para Estelia, mas no puedo asegurar la certeza nel D. Miguel Cosío,en las alturas de Valpuesta, las facciones re de esta noticia. unidas de Alava en número de mas de *3 J hombres, á cuya cabeza Es cuanto puedo manifestar á V. E. en cumplimiento de lo se hallaban los cabecillas Lranga, Sopelana, Basilio, Aguirre e que me está mandado. Dios guarde a V. E. muchos año…</t>
  </si>
  <si>
    <t>…eblo con las dos columnas de mi mendable. El teniente D. Ramón González Alpüente, y de la mando, á las órdenes del coronel D. Leoncio de la Barcena y te misma graduación el subteniente D. Ramón Dáviia, de la 1.* de niente coronel D. Miguel Cosío, dirigiéndome al pueblo de Bó Borbon, se portaron con valor. El capitán D. Joaquín Díaz de veda con la primera de ellas mientras el comandante Cosío pasaba Rabayo, de la 4-1 del J.° del mismo cuerpo, y el teniente gradua á Sanzadornil con la segunda. Este gefe me avisó desde S. Mrllan do de capitán…</t>
  </si>
  <si>
    <t>Cosío, Tetesforo Trueba</t>
  </si>
  <si>
    <t>Tetesforo Trueba Cosío</t>
  </si>
  <si>
    <t>…d, y las opiniones divergentes sobre negocios importantes que se habían formado en el seno mismo de la regencia no ejer PROVINCIA B* LA NTAndBl, cían ya ningún influjo notable sobre el curso de las cosas. La vista del proceso Sr. D. Tetesforo Trueba Cosío. contra los individuos acusados del crimen de alta traición había comenzado, y Sr. D. Francisco Villalaz. según las deposiciones de los testigos quedaba poca duda acerca de su culpa ¡ ei por consiguiente probable que serán condenados, y esto contribuirá i consoli PROVINCIA BB SSCOV1A. dar el órden p…</t>
  </si>
  <si>
    <t>Cosío, Trucha</t>
  </si>
  <si>
    <t>Trucha Cosío</t>
  </si>
  <si>
    <t>…de ley sobre exclusión del Trono al Infante D. Cáelos Mana en seguida la lista de los señores que habían pedido la palabra; habiéndolo he Isidro de Borbon y toda su descendencia, se autorice á los Síes. Procuradores cho en pro el Sr. Trucha Cosío, como individuo de la comisión, Acevedo, aumentes por enfermedad ó otra causa, para que puedan remitir su voto por es López, y Abargues; y en contra los Sres. Bendicho y Mantilla. crito á fin de que se inserte en el acta.” Et Sr. Trucha , relator de la comisión: « Encargado de sostener el dicfáEn s…</t>
  </si>
  <si>
    <t>Cosmin, José</t>
  </si>
  <si>
    <t>José Cosmin</t>
  </si>
  <si>
    <t>…arece, que los resultados deja acción del 3bJiao sido mas felices — -Por empresente se cita á todos los que se crea» acréedores.é los de lo que se podía esperar, pues ademasfde haberse .disuélto enteramente U por fallecimiento de D. José Cosmin, provisor que fue de Lastarieeos•****—*t'Át*en Asturias, foefion de Carnieer, esté se ha vistoamenazado por los sttyos y obligado .á fu para que en el término de 30.dias comjurezcaa por sí ó pac medio de apodesMlos efl el juzgádo dé díchii lugar de Lastaelcgot y escribámií dc Tabres f Collar, 4xl^ú…</t>
  </si>
  <si>
    <t>Costa</t>
  </si>
  <si>
    <t>…sobre Valladeé p^ra e*cartiempo do fnvlSn^«^gráh~cbníwlto-^ast»&lt;fue el ^enemigo-sé puso «b-fuga - mentar *al enemigo vi intentaba pasar el Tajo, •y-ágtevda ocasiotApanhatácirlo rezelando .que lo cortase la fuerza que el teniente coronel Costa habia dirigido sobre el frente y la izquierda. La situación del enemigo es crítica. El duque de sobre el camino. La primera compañía del segundo batallón de cazadores que 3raganza está a la cabeza del valiente ejército constitucional: sus soldados dese bailaba á vanguardia fue situada por el capitá…</t>
  </si>
  <si>
    <t>Costo</t>
  </si>
  <si>
    <t>…palabra en pro eL Sr* Gonxalet y «o contra el Sr. Cude dictámen que debían aprobarse. Asi se acordó. También dió cuenta de ha lío. En consecuencia dijo ber examinado la solicitud fiel Sr. D. Ramón Carrillo, marques de Vilucña, El Sr. Costo: "Hasta ahora no ha habido uno que *e haya opuesto é loa electo Procurador por la provincia de Soria, en la que solicita se le exonere principios de la petición, de tuerte que e! modo como están redactados los ar de dicho cargo por hallarse enfermo; y de qpe considerándola justa, opinaba tículo» ,…</t>
  </si>
  <si>
    <t>Cotera, Manuel García de la</t>
  </si>
  <si>
    <t>Manuel García de la Cotera</t>
  </si>
  <si>
    <t>…, á D. Agustin de Lopetedi, que lo Real orden de 15 del corriente, de conformidad con los ministe son de la misma; á D. J uan Antonio Almagro, oidor de Gra rios de Guerra y Hacienda, que se aumente su fuerza de infante nada , y i D. Manuel García de la Cotera, á D. Cristóbal Izquier ría y caballería con 2213 plazas de tropa, entre ellas 4^9 caballos do de los Santos y i D. José Cecilio de la Rosa, alcaldes mas an y 12 primeros ayudantes de la clase de capitanes , destinados al tiguos de la de Sevilla: por la clase de alcaldes á D. Antonio de detall de l…</t>
  </si>
  <si>
    <t>CotI, JUanuel</t>
  </si>
  <si>
    <t>JUanuel CotI</t>
  </si>
  <si>
    <t>…tres torreones: el del medio' era d¿' pies1 1 íKás feájilfhadás ¡ aPtí dealto, y los laterales-de ib XoA^-^to^a^os ^[fry^^Ttpjyiscag con^baíeráfa Btf^r fac fja^a^^pnncrp^f^Tasé un ¡aeéél de púrpura y oro, con el retrato deniente D. JUanuel CotI™, ,, .. .... .........j; f’,:Krii ídafeána'del .9 sé afafá éñ la partoquia' jin solemne,^ JDeí^t^ al qpQ, nuestra Soberana. Sobre .la almepqapripcipalitretDoJjaba ql -fllbellon Real, y so aSást lid1¿A las; autor iáadés mó 1 lares y civiles, los eclesiásticos, el administrador, bre las de los latera…</t>
  </si>
  <si>
    <t>Cótifécha, Linares</t>
  </si>
  <si>
    <t>Linares Cótifécha</t>
  </si>
  <si>
    <t>…s modernas tos progresos de la mecánica nos han va Con fecha 23 del corriente dice desde Zaragoza el capitán general de lido manufacturas que prometen al género humano una fuente inagotable de Aragón lo que sigue: »Excmo. Sr.: El brigadier Linares Cótifécha del 21 me dice desdé Tiermas que los fieles roncalesc* daban cada día más pruebas de su (t) A! pasar el agua al estado de vapor dilata su volumen mil setecientas veces, adhesión ¿ La justa causa ,: habiéndosele unido algunos con armas que ellos mis- fn barnl regular de cavidad de cerca de diez hectolit…</t>
  </si>
  <si>
    <t>CouJman</t>
  </si>
  <si>
    <t>…oncitando al desor CÁMARA LOS DlPUTADOS^_frsfon del dia 20 de Febrero. den, según ha manifestado el superintendente general de policía, ha tenido á bien S. M. suprimir dicho periódico con arreglo á lo dispuesto, en el artículo K4 Sr. CouJman lee el informe de la comisión que ha examinado la pro22 del citado Real decreto. De Real orden Ólc. Dios Sea Madrid 3 de. Mar ¿o pucsta del Sí. Bavoux sobre restablecer la ley que autoriza cj divorcio. La co de 1834.=zBúrgos =Sr. corregidor de esta heroica villa. misión opina que en cierto modo con…</t>
  </si>
  <si>
    <t>Coulman</t>
  </si>
  <si>
    <t>…de Julio y á las leyes que esta ha Desde que se anunció por bando la noticia de tan suspirado nv-men’o, todo proporcionado y promete proporcionar. fue júbilo y alborozo entre estos habitantes, quienes colgaran la* (a-hadas de El Sr. Coulman asegura que si bien es cierto que el ministerio de 13 de sus casas con vistosas telas y ríeos tapice*, mientras un magnifico tablado fue Marzo ha conservado la paz, también ha podido hacerlo sin menoscabar el ho dispuesto con el retrato de á. M. la Reina para el acto de levantar pendones. nor de la…</t>
  </si>
  <si>
    <t>Courier</t>
  </si>
  <si>
    <t>Gaceta de Madrid n.º 215</t>
  </si>
  <si>
    <t>…si las salidas han sido mayores que las en-, no se parece ni en el fondo ni en la forma á ninguna de las comunicaciones tradas; pero dé ningún modo gozan de la prerogativa de desaprobar el presu que ha habido entre él y el noble lord. (Courier.) puesto, y milito menos el de guerra, sujeto á mil contingencias. De aqui in fieren los diplomáticos de la confederación, que los Estados de Hesse-Cassel han VKANCIA. impedido con su voto el sistema de defensa nacional, y consiguientemente han ■ ’ - \ • París 8 de Setiembre. v faltado i lo que cons…</t>
  </si>
  <si>
    <t>Cousin</t>
  </si>
  <si>
    <t>…ndientes, es crue y el ministro del Interior, aprueba algunos de dichos párrafos según los ha re D. Miguel no tiene probabilidad de triunfar. Santaren pudo haberse tomado dactado la comisión, adhiriendo animismo á una adición del Sr. Cousin; y el el 3 del pasado á no haber sido por las desavenencias entre el conde de Salda- presidente levanta la sesión. ña y el duque de Tercera, pero nada se hizo. Los 800 belgas y otras tropas extrangeras que fueron í Portugal para servir en el ejército de Doña María es ídem dií los ditutados----- Ses…</t>
  </si>
  <si>
    <t>Covian, Severino</t>
  </si>
  <si>
    <t>Severino Covian</t>
  </si>
  <si>
    <t>…mala de Teros:y Garces.ValenSe el brillante comportamiento de los subtenientes del regimiento infantería de la cia, en la de Cabrerizo: Barcelona ♦ en la de OI is a: Sevil la, en la de Hidalgo: Mála -Bri ncesa D. Vicente Vargas y D. Severino Covian, que con 34 Hombres del ga , en la de Carrera y Ramos: Jerez de la Frontera, en la dé Bueno: Puerto de Santa ■propio cuerpo y 8 caballos del escuadrón del mando de V. S., han tenido en María . en la de Nuñez Padre. las inmediaciones de este pueblo, rechazando una facción de mas de 100 in ■------Mem…</t>
  </si>
  <si>
    <t>Covian, Vicente Vargas y D Severino</t>
  </si>
  <si>
    <t>Vicente Vargas y D Severino Covian</t>
  </si>
  <si>
    <t>…mon.deCádiz, en Colomala de Teros:y Garces.ValenSe el brillante comportamiento de los subtenientes del regimiento infantería de la cia, en la de Cabrerizo: Barcelona ♦ en la de OI is a: Sevil la, en la de Hidalgo: Mála -Bri ncesa D. Vicente Vargas y D. Severino Covian, que con 34 Hombres del ga , en la de Carrera y Ramos: Jerez de la Frontera, en la dé Bueno: Puerto de Santa ■propio cuerpo y 8 caballos del escuadrón del mando de V. S., han tenido en María . en la de Nuñez Padre. las inmediaciones de este pueblo, rechazando una facción de mas de 100 in ■------Mem…</t>
  </si>
  <si>
    <t>Cówley</t>
  </si>
  <si>
    <t>…l Soberano. Al mismo tiempo ^podéis estar seguros de que directores dé la)compañíáj que prefieren á lord Merville: lord Maryborough, me hallareis pronto á apoyar cualquiera otra petición que no envuelva las di .caballerizo mayor: lord Cówley., presidente dé la junta of Control-, el coqde ficultados qt,ie tengo la honra de exponeros. Soy vuestro obediente y fiel servi de Aberdeen, embajador en la corte de Francia: lord Stanley sé- dice que será dor. Firmado.écEnrique Winchester, lord corregidor.” {Sun.) nombrado para una de tres cosas,-p…</t>
  </si>
  <si>
    <t>Cowley, Angel J</t>
  </si>
  <si>
    <t>Angel J Cowley</t>
  </si>
  <si>
    <t>…s medidas de precaución que los empleados de la poli Barreíros, cuyo número fallecieron 20, y curaron 5. cía hacen observar en. las casas y con los muebles y útiles que han servido á los coléricos. Habana 30 de Setiembre de X834*=Doctor Angel J. Cowley.= PROVINCIA DE MADRID. Es copia.=Tacon. Según parte de 18 del corriente el cólera ha desaparecido de la villa de Tielmes, y se ha reproducido en Meco, en cuyo pueblo han sido invadidas desde 7 á 17 del mes de la fecha 26 personas, curando 9 y muriendo 5. Por disposición del Excmo. Sr. secretario de…</t>
  </si>
  <si>
    <t>Cpusin</t>
  </si>
  <si>
    <t>…^ftapodido conocer los motivos que han diri esté_acantonado en Saint Pé. JLe acompañaban Mr. Goyeneche, corregidor gido la conducta de lord Orey, aunque hubiera sido de desear que nó hubiese (mairé),-el ayuntamiento y el teniente coronel Cpusin: en ésta revista ha diri abandonado á sus compañeros :«n la discusión del bilí relativo á los diezmos de gido sobre poco mas ó menos la siguiente alocución, en la que se manifiesta Irlanda. completamente de qué modo se hacen todos los servicios en la frontera: El Times hablando de las dificultades…</t>
  </si>
  <si>
    <t>Cr, María</t>
  </si>
  <si>
    <t>María Cr</t>
  </si>
  <si>
    <t>…Alentejo. Todo, pues, anuncia que pronto veremos concluida la guerra de de repetir con toda la efusión de su alma que viva la Reina nuestra Señora Portugal, (D. de los Debates.) Doña María Isabel 11, que viva la Re»ka Gobernadora Doña María Cr»*- tina ue Borbon. Santiago de Cuba 30 de Enero de 1834* = José Santo* do , El Correo ingles del 13 contiene las noticias siguientes de Portugal en la Hcra. posdata escrita á las tres y media: "El Lightnine hi traído á lord Witliam Ruft&amp;el y su comitiva. Había salido de LUboa el 2/, en cuyo dia se…</t>
  </si>
  <si>
    <t>Craiiano, Alcalá</t>
  </si>
  <si>
    <t>Alcalá Craiiano</t>
  </si>
  <si>
    <t>…con el de retirar la -suya, y ver si con aconséjate al Rey continuar la guerra con los Estados referidos. Esta mocion esto se concluía Ja discusión. fue aprobada por dicha Cámara; y dc sus resultas se mudó el ministerio, y en El Sr. Alcalá Craiiano: «Nos hemos desviado algo de la cuestión que nos tró el Gobierno en negociaciones con aquellos Estados» Por esta proporción ocupa, y entrado en el fondo de la petición. Por tanto yo procuraré en lo po se vio bien claro la opinión pública de Inglaterra, y que deseaba entrar en esas sible desentender…</t>
  </si>
  <si>
    <t>Cralia</t>
  </si>
  <si>
    <t>…del 1»; palabnrpy yo con ^dificultad seria jiKfc;~porque nie uueu á ellos- ímttnor4a— Despacho serian los primeros que interponefrian para recibir los golpes, y po zos'de amistad de muchos años, y ^ternísima; pero me permitirá el Sr. Cralia- ner á salvo su augusta Persona. no que $i en lo que ha'dtcho no -hs babido personalidad verdadera , sí una es » R'ealmente los Srts. Procuradores no han podido quejarse de que se les pecio de preferencia,qoe-podría táóháfóé de personal;sin que cosa alguna la hu haya puesto ningún género de trabas p…</t>
  </si>
  <si>
    <t>CRECIA, Infanta Doña María Luisa</t>
  </si>
  <si>
    <t>Infanta Doña María Luisa CRECIA</t>
  </si>
  <si>
    <t>…la justa desconfianza con que debe mirarlos el ejér beneficio disfruta S. M. la Reina Gobernadora en el Keal palacio cito de ocupación. (Mentíajero.) dé RiofriO. También goza de perfecta salud en el expresado Real Sitio la Serma, Sra. Infanta Doña María Luisa. CRECIA. , Naup'ia 3 de Junio. =■ El I.° de Junto, aniversario del nacimiento de nuestro Soberano, ha sido REAL DECRETO. ufl día de regocijo y de felicidad para todo el país: en todas partes ha sido ce Para la plaza del Consejo Real en la sección de Gracia y Jus lebrado con la mas sincera alegría. ticia, va…</t>
  </si>
  <si>
    <t>CRECIA, María Luisa</t>
  </si>
  <si>
    <t>María Luisa CRECIA</t>
  </si>
  <si>
    <t>…onfianza con que debe mirarlos el ejér beneficio disfruta S. M. la Reina Gobernadora en el Keal palacio cito de ocupación. (Mentíajero.) dé RiofriO. También goza de perfecta salud en el expresado Real Sitio la Serma, Sra. Infanta Doña María Luisa. CRECIA. , Naup'ia 3 de Junio. =■ El I.° de Junto, aniversario del nacimiento de nuestro Soberano, ha sido REAL DECRETO. ufl día de regocijo y de felicidad para todo el país: en todas partes ha sido ce Para la plaza del Consejo Real en la sección de Gracia y Jus lebrado con la mas sincera alegría. ticia, va…</t>
  </si>
  <si>
    <t>Crehuet, D José</t>
  </si>
  <si>
    <t>D José Crehuet</t>
  </si>
  <si>
    <t>…iento infantería de la Reina y un escuadrón ET general 2.° cabo de Extremadura con fecha 10 del comedie da á «ú de carabineros de costas y fronteras, dispuse que el primer batallón , mandado ministerio e! parte siguiente : por el comandante D- José Crehuet y el. benemérito brigadier coronel de la Excmo. Sr.: El brigadier D- Diego Pacheco con fecha 8 del actual dice al Reina D. Joaquín Gómez y Ansa , marchase á desalojar al enemigo de las ele comandante general interino del distrito de la provincia de Cáceres lo siguiente: vadas montañas que ocupaba^sob…</t>
  </si>
  <si>
    <t>Creo</t>
  </si>
  <si>
    <t>…idad de decir algo para cumplir las órdenes, luchando con la falta de da prevenir los males que pudiera ocasionar la libertad de la imprenta. tos para hacerlo. Todo esto es 4 efecto de despertar asi Jas empresas útiles pa «El Sr. Caballero: «Creo que el Sr. Secretario ha partido de un principio ralizadas muchas veces por falta de recursos. A su debido tiempo llamaré la en su dzscuiso que no es exacto. S. S. ha dicho que la cuestión de la libertad efe atención de las Córtes sobre este punto, esperando de tu celo que auxilien al go imprenta e…</t>
  </si>
  <si>
    <t>…mento de Proce me al tenor del att. 31, tít. 5,° del Estatuto; pero en manera alguna pueda res, que debe concurrir para la formación de una ley." serlo la petición de la autorización para contraer el empréstito, y mucho me El Sr. Caballero : »Creo que el Sr. Medrano se ha olvidado de que esto nos en concepto de ley. La ocasión y la forma de hacer esta petición están cla mismo se indicó al principio de la discusión de la petición: entonces se hizo ramente expresadas en el ark. 36, tít. 5.°, que dice asi: »Antes de votar lasla misma observació…</t>
  </si>
  <si>
    <t>…ras aclaraciones sirvan para ilustrar y la que recomienda ia naturaleza, la primera que ejerce en nosotros su índuen» acelerar la discusión."’ cia, y la que ellos pretenden eludir. Yo quisiera que aun en la carrera milirar El Sr. Caballero: «Creo que ha aludido á mí el Sr. Secretario de lo In la ley fijase otra edad, pues aunque se fija la edad de 16 años, se puede di pea* terior cuando ha dicho, hablando de las cuotas que ha rebajado la comisión, sar hasta la de 12; y esta carrera se debe principiar antes, unto por empe/arse que no podría…</t>
  </si>
  <si>
    <t>…e se suspenda la discusico basta el sábado, y no se exige la buena fe ei que la petición se apruebe en general , pidiendo á S. M. haga ahora.” la abolición del Voto de Santiago; y que el 2.° punto se deje para la discusión El Sr. Caballero: «Creo que después de aprobada la petición, estamos del sábado, en la que los señores que quieran oponerse lo podrán hacer mas 6 en el caso de discutirla por párrafos; y concluido esto , elevarla al conoci menos según Jas razones que aleguen.” miento de S. M. para que la tome en consideración.” El Sr. con…</t>
  </si>
  <si>
    <t>Creo, Abarques</t>
  </si>
  <si>
    <t>Abarques Creo</t>
  </si>
  <si>
    <t>…as amor de los pueblos; sin quq por eso pretenda yo que, se cercene mezquinamen tos xa n las rentas .£ imposiciones que gravitan sobre los pueblos.” te la asignación necesaria para el decoro que debe tener la corona en su posi El Sr. Abarques-. «Creo que el mayor servicio que puedo hacer al Es ción social. Pero pregunto yo: 30 millones én que últimamente han conven i- - tamento es renunciar la.palabra en vista de los luminosos discursos pronuncia do el Gobierno y la comisión { guardan justa y regular proporción con , el es dos por mis dignísimo…</t>
  </si>
  <si>
    <t>Creo, Alcalá Gaicano</t>
  </si>
  <si>
    <t>Alcalá Gaicano Creo</t>
  </si>
  <si>
    <t>…á demas para evitar las contra El Sr. Medrana: «Lo que he oído en la discusión me confirma mas y dicciones en que de otro modo se suele incurrir.” mas la necesidad de la indicación que hice antes;-'.porque de no haberse hecho, El Sr. Alcalá Gaicano. «Creo que lossefiores que han apoyado la adi resultaban de peor condición los padres de familia.que los dueños de casas de ción no se han ceñido absolutamente al principio que ha Movido á presentarla comercio, fábricas y demas. Por lo tanto me parece que debe evitarse en lo i nuestro digno amigo el Sr. l…</t>
  </si>
  <si>
    <t>Creo, Alcalá Galiana'</t>
  </si>
  <si>
    <t>Alcalá Galiana' Creo</t>
  </si>
  <si>
    <t>…sin que si mado contra él, ni hablado de infracción del reglamento relativamente al quiera se conservase el nombre español en aquellos paises?' mismo.” »&gt;La política seguida por el Gobierno anterior ¿no nos ha puesto en el ca El Sr. Alcalá Galiana'. «Creo que estoy en la cuestión f pues en cierto so de no tener ninguna relación con la América ? Cualquier producto nuestro modo se nos ha querido disputar ese derecho que hemos adquirido. Por consi que salga para aquel punto ¿no es preciso llevarlo en buque extrangero? Si las guiente , habiendo aludido…</t>
  </si>
  <si>
    <t>Creo, Floree Estrada</t>
  </si>
  <si>
    <t>Floree Estrada Creo</t>
  </si>
  <si>
    <t>…TES. guirte el órden que acuerde el Estamento ¡ pero en le diseña:ou me pernee que debe seguirse el indicado, como que aa el mas natural." Se leyó el artículo 92 del reglamento i petición del Sr. Martel. IITIWBVTOPI PlOCOtiPOl El Sr. Floree. Estrada ■* « Creo que habiendo dos partea en el dictémen de la comisión; una de ellas en que toda esté conforme , y otra en que dúfa. " Sttion del día 16 ¿ Setiembre. ten sus individuos , no puede discutirse ni votarse la totalidad sin obligarlmd incurrir en contradicción. Por ló tinto, me parece que debe solo m(Éht…</t>
  </si>
  <si>
    <t>Creo, Montenegro'</t>
  </si>
  <si>
    <t>Montenegro' Creo</t>
  </si>
  <si>
    <t>…pitanes, quiso no desairar á los comandantes, y les dio el de sargen El primero y segundo son de carácter obligatorio; el tercero es mera tos segundos.” mente voluntario, menos en el caso de invasión de enemigos, ó sublevación El Sr. Montenegro'. «Creo que está mejor expresado en*el artículo de la del país. comisión , que habla de esto; y por eso me parece preferible ” Lo mismo sucedió con el art. 17 que quedó aprobado en estos términos: £1 Sr. Caballero: «Me parece que podría concillarse todo combinando lo Art. 17. Se entiende por servicio ordin…</t>
  </si>
  <si>
    <t>Creo, Ochoa</t>
  </si>
  <si>
    <t>Ochoa Creo</t>
  </si>
  <si>
    <t>…as, es tan interesante que no debe anteponérsele cosa alguna, por atendible hre del Estado quedan adjudicados al pago de la deuda pública, y serán uno de s^que sea.” ' " \ los arbitrios permanentes de la Caja de Amortización ” El Sr. Ochoa \ *» Creo que no puede hacerse mejor elección que la del El Sr. DiVt González.: »Por este artículo se aplican losblenes móetren- Crédito público para la aplicación al mismo de los'bienes de que se trata; y eos al pago de la deuda páblicá, ó sea ¿ la Caja de Amortización: me parece aun si hubiera otro estable…</t>
  </si>
  <si>
    <t>Creo, Procurador Arguelles</t>
  </si>
  <si>
    <t>Procurador Arguelles Creo</t>
  </si>
  <si>
    <t>…ultad de jueces siendo partes; pues co El Sr. Secretario del Despacho de Estado: &gt;»No puedo sati-facer com mo los jueces los nombra el gran prior, siempre nombra á los administrado pletamente , como desearía, los deseos del digno Sr. Procurador Arguelles. Creo res, lo mismo que sucede á los señores territoriales, que tenían la misma facul que el Sr. Secretario de Hacienda indicó algo sobre deuda interior; pero el se tad. Aun en estos la reconocería yo por mas legitima que en el priorato de ñor Arguelles conoce muy bien que esta es una materia muy delicad…</t>
  </si>
  <si>
    <t>Creo, Santafé</t>
  </si>
  <si>
    <t>Santafé Creo</t>
  </si>
  <si>
    <t>…mente convencido de ello, si aprueba el artículo tal como prueba clara, incontrastable de que la España no está tan atrasada como se su atá redactado. pone; acaso no se ci[aria ¡un congreso en el mundo en que tratándose de una El Sr. Santafé-. Creo que ate asunto a el mas trascendental que puede cuestión tan vital lo hiciese con tal cordura, con tanta moderación, con tanto presentarse al Estamento; púa a el de vida ó muerte para la apañóla. No decoro. se crea que yo trato de combatir la derecha de la española en lo mas mí Todavía me detendré…</t>
  </si>
  <si>
    <t>Crep</t>
  </si>
  <si>
    <t>…hay inda que contradiga disha idea,-, nréq cI Sr. Rivaherrersfc Éi Gobierno no-ríéoe fnconveniente en qoír se haga sino todo ál contrario.” •• » asi. He extendido’ esta adición, que como becha de priesa puede teiier algún El Sr. Caballero: «Crep que todos los Sres. quo han hablado están con- . defecto*n su redacción. » A medida que so vaya liquidando la deuda activa se.. vencidos de 10 fácil que es reducir al interes del- 5 por 100 toda la deuda « verificará el pagó de los intereses, bien entendido, que el semestre empezará del 3, que es l…</t>
  </si>
  <si>
    <t>Cres</t>
  </si>
  <si>
    <t>…medida era «Pido que el artículo 2.a que se ha discutido pase á la comisión de Ha necesaria para evitar la ilegitimidad y malversación de que pudieran adolecer cienda para que lo redacte conforme á las indicaciones hechas por el Sr. Cres algunos de los títulos que se presentasen. po de Tejada, y aceptadas por el Sr. Ministro de Hacienda, con arreglo al El Sr. Presídeme dijo: que si S S. insistía en su proposición, podría artículo 96 del reglamento. o ' ponerla por escrito, y el Estamento la tomaría en consideración st lo tenia por…</t>
  </si>
  <si>
    <t>Cres, Rafael Josef</t>
  </si>
  <si>
    <t>Rafael Josef Cres</t>
  </si>
  <si>
    <t>…reunió á las tres de la tarde el congreso mi 1834 =A1 Presidente del Consejo y jamara de Castilla. nisterial, y abrió su primera sesión, en la que es muy probable no se tratase I Por separación del regente del Consejó de Navarra D. Rafael Josef Cres sino de preparar , disponer y metodizar las cuestiones que deben discutirse. Hace ocho dias que nuestros ministros y los individuos dei cucépo diplo po, vengo en nombrar en su lugar á D. Gerónimo de la Torre de Trassierra, mático están dando grandes y magníficos convites. El que mas ha llamado laj…</t>
  </si>
  <si>
    <t>Cresp, José Lamas D Francisco</t>
  </si>
  <si>
    <t>José Lamas D Francisco Cresp</t>
  </si>
  <si>
    <t>…duce on sin que la sociedad haya tenido que hacer ningún gasto extra cantidad en los meses sucesivos.......................................(.......................... 80 ordinario para la manutención general. (Gaceta de Francia.) D. José Lamas....................................................................................... 80 D. Francisco Crespo de Tejada , del comercio, por seis meses de sus ____:De Nueva-York, con fecha de 29 de Mayo, recibimos los pormenores cripción á fin de Diciembre.................................... ............... .................. 3&lt;5i) siguientes apere* del efecto que ha producido en aquel país haber sido dese…</t>
  </si>
  <si>
    <t>Crespo</t>
  </si>
  <si>
    <t>…general'de caminos de tra cabecilla Carrasco con unos 20 malvados éstuvo la noche del 19 en la Torro vesía en aquella isla, y desde el 10 del corriente mejora cada pueblo loa suyoa de Esteban Arnbran, al que ibin persiguiendo el capitán Crespo que el 2u el por iñedio de un turno de jornales, caballerías y carros. isia en Quismondo, y el de la 5.a compañía de tiradores de seguridad, que el Enterado del mal estado en qUe se hallaban (os libros de catastro de algu mismo día estaba en Mén trida. En lia Guadalerzas, Valles de,Galvez:, hierra…</t>
  </si>
  <si>
    <t>Crespo, D Fernando</t>
  </si>
  <si>
    <t>D Fernando Crespo</t>
  </si>
  <si>
    <t>…que gramátical de sus nombres topográficos, resultado de prolijas Investi en las alturas de S. Bartolomé se-hallaba una pequeña gavilla, en gaciones y largos trabajos. Véndese á 10 rs., en esta corte, en las li vió contra elln al sargento D. Fernando Crespo, que con 12 caza brerías de Sanche* y de Brun. Nota. En la Gaceta anterior, columna 7.*, última linea , dice: el tedores consiguió sorprenderla en la cabaña llamada de las Luidei, niente coronel del 3.0 de ligeros: iéase el coronel, teniente coronel mayar sobre el lqgar de Udailo, capturando al cab…</t>
  </si>
  <si>
    <t>Crespo, D Jesé María</t>
  </si>
  <si>
    <t>D Jesé María Crespo</t>
  </si>
  <si>
    <t>…voluntad en la conservación gaban por los montes, y de cuya total destrucción están encargadas. del órden público en él, y es una de las personas de quienes mas asistencia he recibido y recibo. Dios guarde á V. E. muchos años. El capitán D. Jesé María Crespo, que con 10 caballos del 3.° Morella 16 de Abril de 1834—Excmo. Sr.reRafael Hore. = Ex ligeros va en seguimiento del oficial desertor D. Vicente Perez celentísimo Sr. capitán general de Val encía.=Es copia—Valdés. Bentero, dice á dicho comandante general que el 19 aprehendió á uno de los que acompa…</t>
  </si>
  <si>
    <t>Crespo, D José María</t>
  </si>
  <si>
    <t>D José María Crespo</t>
  </si>
  <si>
    <t>…25-id.: cebada, £ 21 id,: ju El comandante general de la provincia de Toledo con fecha, de 1 del cor dias, £ 34 id.; arroz, ¿ 26 rs. arroba: patatas, á 2 id.i aceite, i 38 id.: aguar riente incluye i este ministerio un parte del capitán D. José María Crespo,en • diente, á 15 fs. id. el que manifiesta, han sido capturados los cinco facciosos Julián Herm gos Tarragona. (3 de Mayo.) Trigo ,.de 60 £ 72 rs. cuartera: centeno, á 38 01 Rompe-galas, Segundo Candoso, Dionisio Rey, Toribio Romo y Manuel id.: cebada, de 25 á 26 id.■:"habichuelas del pais, á 52 i…</t>
  </si>
  <si>
    <t>…provincia á las i la agricultura y al comercio interior. facciones que en ella osaron presentarse, y se pueden considerar como entera Ha dirigido con recomendación al Real conservatorio de artes una solici mente aniquiladas. F.l capitán D. José María Crespo me dice desde Méntrida tud para que se conceda privilegio exclusivo por algunos años á los fabricantes en 4 del actual , que dispersa y dividida la miserable gavilla de Carrasco, y de una pasta ó betún preferible bajo ciertos aspectos al ladrillo, y que puede obligados los que la componían á buscar…</t>
  </si>
  <si>
    <t>Crespo, Fernando</t>
  </si>
  <si>
    <t>Fernando Crespo</t>
  </si>
  <si>
    <t>…tical de sus nombres topográficos, resultado de prolijas Investi en las alturas de S. Bartolomé se-hallaba una pequeña gavilla, en gaciones y largos trabajos. Véndese á 10 rs., en esta corte, en las li vió contra elln al sargento D. Fernando Crespo, que con 12 caza brerías de Sanche* y de Brun. Nota. En la Gaceta anterior, columna 7.*, última linea , dice: el tedores consiguió sorprenderla en la cabaña llamada de las Luidei, niente coronel del 3.0 de ligeros: iéase el coronel, teniente coronel mayar sobre el lqgar de Udailo, capturando al cab…</t>
  </si>
  <si>
    <t>Crespo, Francisco de Paula</t>
  </si>
  <si>
    <t>Francisco de Paula Crespo</t>
  </si>
  <si>
    <t>…cuerpo lecohvivo, cuyo voto casi stempro Se abrió á las once; y leída el acta de la anterior, quedó aprobada. ejercería muy poca intluen^ia, ¿como han de mandar ejérc tos, escuadras, co— Se mandó insertar en la de hoy el voto de D. Francisco de Paula Crespo lonias’y provincia*? El Estamento añachra una cons deracion que será muy gran Rascón, conforme con la aprobación del proyecto de ley sobre exclusión del al generoso corazón de V. M.: los trastornos poiit v.o* que ha *ufr¡«*o ÉNpaña Infante D* Carlos y su línea de la sucesión de la corona. ‘han sumi…</t>
  </si>
  <si>
    <t>Crespo, Jesé María</t>
  </si>
  <si>
    <t>Jesé María Crespo</t>
  </si>
  <si>
    <t>…en la conservación gaban por los montes, y de cuya total destrucción están encargadas. del órden público en él, y es una de las personas de quienes mas asistencia he recibido y recibo. Dios guarde á V. E. muchos años. El capitán D. Jesé María Crespo, que con 10 caballos del 3.° Morella 16 de Abril de 1834—Excmo. Sr.reRafael Hore. = Ex ligeros va en seguimiento del oficial desertor D. Vicente Perez celentísimo Sr. capitán general de Val encía.=Es copia—Valdés. Bentero, dice á dicho comandante general que el 19 aprehendió á uno de los que acompa…</t>
  </si>
  <si>
    <t>Crespo, José María</t>
  </si>
  <si>
    <t>José María Crespo</t>
  </si>
  <si>
    <t>…cebada, £ 21 id,: ju El comandante general de la provincia de Toledo con fecha, de 1 del cor dias, £ 34 id.; arroz, ¿ 26 rs. arroba: patatas, á 2 id.i aceite, i 38 id.: aguar riente incluye i este ministerio un parte del capitán D. José María Crespo,en • diente, á 15 fs. id. el que manifiesta, han sido capturados los cinco facciosos Julián Herm gos Tarragona. (3 de Mayo.) Trigo ,.de 60 £ 72 rs. cuartera: centeno, á 38 01 Rompe-galas, Segundo Candoso, Dionisio Rey, Toribio Romo y Manuel id.: cebada, de 25 á 26 id.■:"habichuelas del pais, á 52 i…</t>
  </si>
  <si>
    <t>…iente 4 95o.. 5üü.................................. Puerto de Sta. María, parte : Excmo. or.: El capitán comandmte de la partida en persecución de to 6.949.. 5h0................................... Sevilla. da clase de malhechores D. José María Crespo, desde la Torre de Esteban 20.629.. 500................................... Cádiz. Ambran da parte de habérsele presentado Roque Lopte y José Giru.i, indi 4.686.. 5ü0.................. Guadalajari» viduos de la facción de Carrasco, ei que hu&gt;e con solos cuatro hombres, y 568.. 500...................…</t>
  </si>
  <si>
    <t>…ia á las i la agricultura y al comercio interior. facciones que en ella osaron presentarse, y se pueden considerar como entera Ha dirigido con recomendación al Real conservatorio de artes una solici mente aniquiladas. F.l capitán D. José María Crespo me dice desde Méntrida tud para que se conceda privilegio exclusivo por algunos años á los fabricantes en 4 del actual , que dispersa y dividida la miserable gavilla de Carrasco, y de una pasta ó betún preferible bajo ciertos aspectos al ladrillo, y que puede obligados los que la componían á buscar…</t>
  </si>
  <si>
    <t>Crespo, Mariano José González y</t>
  </si>
  <si>
    <t>Mariano José González y Crespo</t>
  </si>
  <si>
    <t>…ue se''dedicanReal, á 4alrs.es para* hácerun reconocimiento en la jurisdicción de Cestona, se apoderó de una c&amp;Vronada, nn obús y una cureña que los facciosos habían ocultado en un case Nota. El director de los baños de Trillo es D. Mariano José González y Crespo-, río. Igualmente prendieron y fue fusilado el célebre confidente de los facciosos no D. Manuel José González ,como por equivocación se dijo ett la Gaceta aUm. *4. - W3I . : ÉN LA IMPRENTA REAL</t>
  </si>
  <si>
    <t>Crespo, Pedro</t>
  </si>
  <si>
    <t>Pedro Crespo</t>
  </si>
  <si>
    <t>…v o nreligión,v previenenpre 1,6 IX............ Soo.................... Jaén. senten para su nfupv .cu»n ios doce memos de la concesión del dote , en el término 12 62 V............ 50o.................. ( '.adir de do? rrje*es, á D. Pedro Crespo, administrador de deba memorít en .Madrid, calle 1a’ = 42............ Soo.................. . Santiago. delber Burro,caducadonúm.la cnncesnui34 , cu.*rmde&gt;2.dote.; en inteligencia que de no hacerlo se declarará ha •A'4^............. SoO.................... . Alicante. ——P01; providencia 5dcl correg…</t>
  </si>
  <si>
    <t>Criado, Vicente Orti y</t>
  </si>
  <si>
    <t>Vicente Orti y Criado</t>
  </si>
  <si>
    <t>…Zanjaron. D. Miguel Baldovi, en Granada; desde l.® de Junio á 30 de Maestransand exclusive..........................................\Idem ldetn- Setiembre. Las provincias de- Andalucía y Granada en España.' Idem idem. Marmolejo. D. Vicente Orti y Criado, en la misma villa: 1.a temporada El Portugal............................ .................................... Idem idemdesde 15 de Abril á 15 de Junioi 2.a desde 20 de Setiembre á igual día de La América septentrional, excepto Boston......... .... Idem idem. Noviembre. El Egipto.. .......... .....…</t>
  </si>
  <si>
    <t>Cribetl, Francisco</t>
  </si>
  <si>
    <t>Francisco Cribetl</t>
  </si>
  <si>
    <t>…onwl ------------------------------------ ... La Francia siempre conservará un señalado lugar en este concurso, siendo Meramorfoseos ó rrasformaciones de Ovidio, traducidas al castellano con algunas notas para su inteligencia por D. Francisco Cribetl, y adornadas con HO estampas fi las armas iguales. El celo, la,actividad prodigiosa de nuestros artesanos sabrán nas grabadas por t&gt;. José Asensio: nueva edición hecha en 1805 en cuatro tomos en sostener con sus laboriosos esfuerzos la reputación de nuestras fábricas, y en k l60 rs. rama y 200 past…</t>
  </si>
  <si>
    <t>Crines</t>
  </si>
  <si>
    <t>…ra, marques, de rasela sésionP : , . , Villacampo . Domecq y. Víctor, Migué! Polo-, Tosquellas , Medwnd, Baíilo, Se levantad las tres menos cuarto. , Satjcbcz Toscano, Coton y Zúñiga, Vaequez Moscoso,. marques deAxiariz, Serrano (D. .Crines), Vifiala, Boncl y Oibe, Hubcri y Mufiriz, Martínez: deja Rosa, conde de Villamena, Carrillo Manrique,Gonzaíez CD; Juan.Guftlberto), Santafe, marques de Falces, Ciscar, Ruiz de Bucesta, marques de Spmeruelot, -• -■ * ¡ • . :r- - : I - m . ■r:r- . ,. .,¡..:i - .*■» ■■ 7:. : . . .... : b: 3 fllif. &gt;■…</t>
  </si>
  <si>
    <t>Cris</t>
  </si>
  <si>
    <t>…Ma fiar en términos que la gente racional no lo cree , y la popular lo duda. D os dcc. na de Esgueva, sito en esta capital; sus rentas ascienden i 48,682 ts 1" ñus. Salvatierra 7 de Agosto de 1834, * las once de la noche.=Excoio. Sr.=Cris- 356 fanegas de trigo y 49 fanegas y media de cebada. Tod*s.el.as han s»do ad tobal Linares de Butrón. quiridas de bienhechores, y resulta haber socorrido en todo el expresado año á 61$ enfermos de ambos sexos que causaron 62 o estancias. Fue fundado por el Sr. conde D. Pedro Ansurcs el año 11:1, ha…</t>
  </si>
  <si>
    <t>Cristantes, Manuel</t>
  </si>
  <si>
    <t>Manuel Cristantes</t>
  </si>
  <si>
    <t>…María Cañedo y D. Ranfon Calatrava: jiara la de ‘gefe de la segunda sección á I). Antonio. Freyre: para la de gefe de PARTE &gt;() OFICIAL. 'mesa de lá misma Sección á D. Manuel González Suso: para la de efe de la tercera sección á D. Manuel Cristantes: para la de gefe NOTICIAS EXTRA NO ERAS. C mesa dé la misma á D. Félix D’Olhaberriague y Blanco: para la de gefe de 1a cuarta sección á D. Francisco Bartolomé y Coloino: para las-degefes de mesa dé la misma a D. José Sánchez Ocaña y ' {Continuación del correo anterior.) al marques de Villagarcía: p…</t>
  </si>
  <si>
    <t>Cristina</t>
  </si>
  <si>
    <t>…Oh quinta. (La leyó.) Esta razón es la mas positiva; pero sentándose •rioss, suponiendo que podía aplicarse esta palabra, poco favorable, á la mis que el actual reglamento es defectuoso, y concediéndose esta suposición, parece ma Reina Cristina, que nos ha dado el Estatuto Real, y ha restaurado que únicamente se estaba en el caso de examinar aquellos artículos que mereciesen -nuestros antiguos derechos. No ha sido estb ciertamente el objeto de los peti corrección ó modificación , y de presentarlos con toda la franqueza para qué el cionari…</t>
  </si>
  <si>
    <t>Cristina, Dolía María</t>
  </si>
  <si>
    <t>Dolía María Cristina</t>
  </si>
  <si>
    <t>…ollín de venta en el misma despacho. fin, respetada, por su valor, su sabiduría, su justicia y su opulen te Gneuphonia, &lt;5 generación de la bien-sonancia música, dedicada i cia, de las naciones extranjeras. S. M. la Urina nuestra Sra. Dolía María Cristina dbBorbon (Q. D. G.) i Ay! oiga* el cielo las plegarías mias\ por el mariscal de Campo D. José Joaquín de Virues y Splnola: adopta da por el Real conservatorio de música para único método de eoseúanza de la armonía, el contrapunto y la composicioo. De drdeo de S. M. Ma drid en la Imprenta Real alio…</t>
  </si>
  <si>
    <t>Cristina, Gobernadora Doña María</t>
  </si>
  <si>
    <t>Gobernadora Doña María Cristina</t>
  </si>
  <si>
    <t>…vas. del Real'sitio íle; Sv iMefonSb, para el ,del Pardo, á las diez; y S. JVf. El establecimiento proyectado de un barco de vapor para navegar entreesta ciudad y Campos, producir! también incalculables beneficios á (ambas pla la Reina Gobernadora Doña María Cristina lo ha verificado ¿ laí zas , y será probablemente muy lucrativo á sus patrióticos propietarios. dos de festa tarde. Ya se piittdpió'á construir un barco de vapor en Rio das Velhas, pro vincia de Minas, destinado 4 navegar en este rio y las ños Paracatis, 5. Fran cisco y otros cercanos., - La navega…</t>
  </si>
  <si>
    <t>Cristina, Madre Doña María</t>
  </si>
  <si>
    <t>Madre Doña María Cristina</t>
  </si>
  <si>
    <t>…los pies de S. Ai. la Runa G. &gt;bcrnad--m , ie rigi pre,entes e&gt;tov Señora Doña Isabel ir, y que durante su menor edad regirá la monarquía S. M. mis sentimientos. Dus guarde a A . h. mudi-u ifo., 11..re &gt;, D.wiemb - e 1.1 -i g. la Reina Madre Doña María Cristina en calidad de Regenta Gobernadora, =lg nació , arzobispo de Búrgos.=Ewno. Sr. Secretar.u de Estada y de. Des y también los ejemplares del manifiesto que ha publicado S. Al., declarando á pacho de Gracia y Justicia. todos el sistema de política interior y exterior que se propone seguir durante su re…</t>
  </si>
  <si>
    <t>Cristina, María</t>
  </si>
  <si>
    <t>María Cristina</t>
  </si>
  <si>
    <t>…S. Ai. la Runa G. &gt;bcrnad--m , ie rigi pre,entes e&gt;tov Señora Doña Isabel ir, y que durante su menor edad regirá la monarquía S. M. mis sentimientos. Dus guarde a A . h. mudi-u ifo., 11..re &gt;, D.wiemb - e 1.1 -i g. la Reina Madre Doña María Cristina en calidad de Regenta Gobernadora, =lg nació , arzobispo de Búrgos.=Ewno. Sr. Secretar.u de Estada y de. Des y también los ejemplares del manifiesto que ha publicado S. Al., declarando á pacho de Gracia y Justicia. todos el sistema de política interior y exterior que se propone seguir durante su re…</t>
  </si>
  <si>
    <t>…una corta escolta ¿ esta la cántara:, yínio’, de'S á dj ict' ‘ v •heroica capital, modelo de entusiasmó y adhesión por nuestra legítima RhiNA MAtXcA. óprpVidcia f30 de At*rií.) Trigo, de 3$ á 44 Doña Isabel ii y .su excelsa Madre Doña María Cristina, ¿foque pueda ha-: rs. fanega.-cebadá, de 28 á $0 id.; maíz, de 3B á'4Ó id.: habas, dé 34 á 36 ber ninguna otra en la monarquía que le aventaje en cualidades tan. recomen id.: garbanzós/dc 70 á 100 id.: aceite, de 39 á ifw: aíroba: vino, do ló á 40 dables; y al caer el sol entrarán el 2.° batallón…</t>
  </si>
  <si>
    <t>…ol bello y resplandeciente, i cuyo rededor giraban Madrid 11 de Agosto. dos planetas colocados sobre los segundos: dentro, y en medio de-mil-adornos, Se han celebrado los dias de S. M. la Reina Gobernadora y la solemne se hallaba Doña María Cristina i&gt;b £oabon , ni*g&amp;tr*r Rliva Regenta Gobernadora, con I&amp;abju it en los brazos: la inoccptQh:nberana tenia en sus apertura de las Cortes generales del Reino crin las mayores demostraciones de gratitud y amor, y toda clase de fiestas y regocijos públicos, en las ciudades de pequeñas y graciosas*1 man…</t>
  </si>
  <si>
    <t>Gaceta de Madrid n.º 184 · suplemento</t>
  </si>
  <si>
    <t>…s ciencias exactas y físico-matemáticas , y nes de 18 : dos goletas de 8 con un canon en el-centro decolisa, y que luego la conviene tener dentro de.sí misma individuos que las posean en toda la ex que se boten al agua la fragata Reina María Cristina y las dos corbetas que tensión necesaria á su efectiva utilidad , desempeño y aplicación en los casos están en grada, se pongan tan pronto como sea posible ea Ferrol, las quillas convenientes; y por este mismo principio, y el de una necesidad mas- urgente, de los taes primeros sin perjuicio de hacerlo de los…</t>
  </si>
  <si>
    <t>…rg, Tiandes, liiul la lleuda activa; pero luego que se liara comprado una cierta suma, y Barcelona; Señora de Vizcaya y de Molina &amp;c. &amp;c.; y en su Real que se lijará mas adelante, se anulará esta, y entrará á la suerte una nombre Doña María Cristina deBorbon, como Reina Gob.ernadora tuina equivalente de la deuda pasiva en la deuda activa, y partici durante la menor edad de Mi excelsa Ilija , á Iodos los que las pre pará por consiguiente del pago de los intereses y de la amortización. sentes vieren y entendieren, sabed: Que habiendo juzgado con…</t>
  </si>
  <si>
    <t>…blico en las tres salas de la casa capitular, don^c concur I gada por el ministerio de la ley del gobierno de la monarquía su cara Esposa rió lo mas escogido de la ciudad de ambos sexos y oficialidad de la guarnición,: I la Reina Doña María Cristina oh Bokbon, á nombre de nuestra augusta sirviéndose gratis toda clase de bebidas y dulces. Puso fin 4 tan solemnes actos I Reina Doña Isabel ii, durante ia minoridad de su edad. una misa cantada v Te Deum en la iglesia colegiata para rogar al ciclo que sea I » Lleno dei mas profundo dolor lo comunic…</t>
  </si>
  <si>
    <t>…o íle; Sv iMefonSb, para el ,del Pardo, á las diez; y S. JVf. El establecimiento proyectado de un barco de vapor para navegar entreesta ciudad y Campos, producir! también incalculables beneficios á (ambas pla la Reina Gobernadora Doña María Cristina lo ha verificado ¿ laí zas , y será probablemente muy lucrativo á sus patrióticos propietarios. dos de festa tarde. Ya se piittdpió'á construir un barco de vapor en Rio das Velhas, pro vincia de Minas, destinado 4 navegar en este rio y las ños Paracatis, 5. Fran cisco y otros cercanos., - La navega…</t>
  </si>
  <si>
    <t>Cristina, Masía</t>
  </si>
  <si>
    <t>Masía Cristina</t>
  </si>
  <si>
    <t>…mación de S. M. Doña Isabel ii el 2** del poderoso por la nueva era de ventura y prosperidad que empieza bajo la tutela pasado Octubre. Adornadas elegantemente por dentro y fuera las casas consis de la ínclita Reina y Gobernadora Doña Masía Cristina ie Box box. El toriales, y reunidas en ellas todas las corporaciones civiles, eclesiásticas y mi alcalde mavor di*pu&gt;o que-huh&gt; ese baile P ,.y. i. purj o.versión pucbio , c: litares, se dirigieron á la iglesia donde se bendijo el pendón, y de allí entre cuyos intermedio* urn ¡o dinero v unas pa,aí…</t>
  </si>
  <si>
    <t>Cristó, Augusto</t>
  </si>
  <si>
    <t>Augusto Cristó</t>
  </si>
  <si>
    <t>…rio de Artes. Esta mxñana á las sets S. A R. l.i princesa Amalia de Baviera, esposa del príncipe Juan, ha dado á luz una princesa. El parto ha sido muy feliz. PARTE NO OFICIAL. ____Antes de ayer hizo un ligio que murió el célebre conde Augusto Cristó bal de Wackerbarth, feldmariscal de nuestro ejercito, homhr-e muy' erudito,, NOTICIAS EXTR ANGER AS* artista y guerrero. Con motivo drf^este aniversario, y pa^a prestar un nuevo homenage á U-memoria de tan digno varón, se ha celebrado aquí una eran fiesta, en la que se pronunciaron vjrios discursos…</t>
  </si>
  <si>
    <t>Cristóbal, D Eustaquio S</t>
  </si>
  <si>
    <t>D Eustaquio S Cristóbal</t>
  </si>
  <si>
    <t>…de húsares D. Valen bre el cabecilla Locho; tal fue la velocidad con que verificó su paso al vecino tín Fernandez de la Maza, y la, otra. por. el. capitán D. Antonio Anión , í las reino de Portugal. órdenes las tres del teniente coronel D. Eustaquio S. Cristóbal, marchaban Detalles de la derrota del rebelde Merino, anunciada en la Gaceta de ayer. con la disciplina, orden y acierto debido, pues sus cotiunSdanícssc hallaban Comandancia general de la provincia de Búrgos.=Excmo. Sr.: Elevo al sur siempre dispuestos á verificar los movimientos que les ordenaba…</t>
  </si>
  <si>
    <t>Cristóbal, Eustaquio S</t>
  </si>
  <si>
    <t>Eustaquio S Cristóbal</t>
  </si>
  <si>
    <t>…res D. Valen bre el cabecilla Locho; tal fue la velocidad con que verificó su paso al vecino tín Fernandez de la Maza, y la, otra. por. el. capitán D. Antonio Anión , í las reino de Portugal. órdenes las tres del teniente coronel D. Eustaquio S. Cristóbal, marchaban Detalles de la derrota del rebelde Merino, anunciada en la Gaceta de ayer. con la disciplina, orden y acierto debido, pues sus cotiunSdanícssc hallaban Comandancia general de la provincia de Búrgos.=Excmo. Sr.: Elevo al sur siempre dispuestos á verificar los movimientos que les ordenaba…</t>
  </si>
  <si>
    <t>Crítue, D José María</t>
  </si>
  <si>
    <t>D José María Crítue</t>
  </si>
  <si>
    <t>…encia, y ,1a Real Junta de Comercio de Málaga sucesivamente, y Excmo, Sr..* Sin.embargo de que el Sr. comandante general de la provificía según lo hañ permitido las circunstancias, realizaron la apertura de citas con de Soria, el coronel D. José María Crítue da i V. E. parte p&gt;a esta misma aplauso general y numeroso concurso, que en la asistencia a las lecciones mues fecha d» la acción ocurrí.la en la mañana dé ayer contra la facción de Cuerillas tra cuanto espera de la propagación de unos conocimientos que tanto deben in á las inmediaciones del pueblo de…</t>
  </si>
  <si>
    <t>Crítue, José María</t>
  </si>
  <si>
    <t>José María Crítue</t>
  </si>
  <si>
    <t>…,1a Real Junta de Comercio de Málaga sucesivamente, y Excmo, Sr..* Sin.embargo de que el Sr. comandante general de la provificía según lo hañ permitido las circunstancias, realizaron la apertura de citas con de Soria, el coronel D. José María Crítue da i V. E. parte p&gt;a esta misma aplauso general y numeroso concurso, que en la asistencia a las lecciones mues fecha d» la acción ocurrí.la en la mañana dé ayer contra la facción de Cuerillas tra cuanto espera de la propagación de unos conocimientos que tanto deben in á las inmediaciones del pueblo de…</t>
  </si>
  <si>
    <t>Crobernalnra</t>
  </si>
  <si>
    <t>…tra Señora Ibiña Isuiei. n continúa sin novedad otros veinte v d&gt;s con 40: de dos porteros con . &gt;J, y de otros dos en SU iinpornnm nbid rn ri Real sitio ,le San Il.iel.iiu. &gt;; y 'le i_-u.il t. m 40. benefi -io disti nta S. M. la Reina Crobernalnra en el Real j 11 i i i • &gt; .le (’ irr-’crion de pipirei r híletet. Riolrio. También gn¿j .le perleeta salu.l en el expresado Real sitio En c3ta ofi. ¡na habrá un "fu ial prime: i . m 120 rs.: un sejurvla Serma. Sra. Infanta Doña Al.nía Luisa. doion R I l. t: c&gt; auxiliare» c..n 14) cada uno. .tro s-i…</t>
  </si>
  <si>
    <t>Croníatcz</t>
  </si>
  <si>
    <t>…estos principios fundsmentales puede producir funestas consecuencias, que vamente se suspenderán estos derechos, y sufrirán las consecuencias.” deben evitarse, no haciendo semejante enunciación en las circunstancias actuales. El Sr. Croníatcz (D. Antonio}: -Como uno de los individuos que han El Sr. Truria : -No pienso cansar la atención del Estamento, y mucho - firmado la petición , y el articulo red «ciado nuevamente, haré algunas refle ■tunos'cuando el artículo de que se trata es, á mi entender, upa verdad incon- xiones para ttanquili…</t>
  </si>
  <si>
    <t>CrpBerB</t>
  </si>
  <si>
    <t>…s Je su corregimiento con él carácter benigno que habia manifestado des cl ejército dé Navarra paja contribuir a la destrucción &lt;le los rebeldes, S. M. la de el principio derla invasión, habiendo entrado en Retís en el período as Reina CrpBerB^'dora^ ha'tenido á bien resolver se den las gracias en su Real cendente : el gobernador civil procuraba auailiar á los pueblos invadidos,, a cuyo nómbrela los individuos que componen la expresada .compañía, teniendo pre* fin había autorizado á los ayuntamientos para usar de los fondos designados en…</t>
  </si>
  <si>
    <t>Crullas, José</t>
  </si>
  <si>
    <t>José Crullas</t>
  </si>
  <si>
    <t>…Los voluntarios Urbanos de Guadix manifiestan á S. M. en una reve tenido noticia de ios muchos conocimientos geológicos y mineralógicos que rente exposición los sentimientos de gratitud de que están penetrados por los adornaban á D. José Crullas, vecino de Valls,, catedrático que ha sido de multiplicados beneficios que de.su augusta mano'han recibido todos los españo ciencias naturales, me diiigí á ét inmediatamente, encargándole la comisión les, y su firme resolución de derramar su sangre , si necesario fuere , por de gratuita de reconoce…</t>
  </si>
  <si>
    <t>Cruz, D José Santa</t>
  </si>
  <si>
    <t>D José Santa Cruz</t>
  </si>
  <si>
    <t>…xnuedo han combatido esta noche, tendria que hacer 220 recomen celentísimo Sr.: Original acompaño á V. E. el oficio que he reci daciones. V. S. conoce que esto es muy pesado, y asi pues me li bido del gobernador de Peñíscola , el coronel D. José Santa Cruz, mito á incluir la lista del dignísimo gefe, oficiales, sargentos y ca refiriendo el denuedo con que las tropas de su mando arrojaron de bos que me han acompañado, y recomendarlos á todos, asi como á Pauls al anochecer de antes de ayer a los rebeldes capitaneado, por los soldados por medio de V. S.…</t>
  </si>
  <si>
    <t>Cruz, D José Sta</t>
  </si>
  <si>
    <t>D José Sta Cruz</t>
  </si>
  <si>
    <t>…desviar sin duda de Vizcaya las fuerzas de Castilla cinco miserables que le seguían , según lo uno y lo otro me comunica desde que obran allí al mando del brigadier Bedoya; pero despreciados sus movi Beceite con aquella fecha el brigadier D. José Sta. Cruz. mientos /hubieron de retirarse para reunirse con otros; y atravesando el Ebro, "La gavilla de Mestre estaba ayer en e»te termino reducida á 11 indiv*— penetrar en Rioja , acercarse al territorio que recorre Merino, siempre fugiti dúos, muy divididos en opinión sobre si acogerse al indulto ó no , de…</t>
  </si>
  <si>
    <t>Cruz, Duque de Leuchtemberg y Santa</t>
  </si>
  <si>
    <t>Duque de Leuchtemberg y Santa Cruz</t>
  </si>
  <si>
    <t>…fuese ne cesario, cuando llegue á Lisboa, renunciando expresa y formalmente todo de NÚMEROS. PREMIOS. ADMINISTRACIONES. recho á dicha dotación y bienes. Art. 4-° M. la Reina promete por su parte que en caso de sobrevivir á dicho señor Duque de Leuchtemberg y Santa Cruz, Príncipe de Eichstett, no 19,791........ . ...... Cádiz. alegará derecho alguno á los bienes de su esposo; pues dichos bienes, sean pa Zaragoza. trimoniales ó adquiridos antes ó después del matrimonio, pasarán á los here ir,899......... .... 2000........... ......... Madrid. deros naturales del re…</t>
  </si>
  <si>
    <t>Cruz, José Santa</t>
  </si>
  <si>
    <t>José Santa Cruz</t>
  </si>
  <si>
    <t>…an combatido esta noche, tendria que hacer 220 recomen celentísimo Sr.: Original acompaño á V. E. el oficio que he reci daciones. V. S. conoce que esto es muy pesado, y asi pues me li bido del gobernador de Peñíscola , el coronel D. José Santa Cruz, mito á incluir la lista del dignísimo gefe, oficiales, sargentos y ca refiriendo el denuedo con que las tropas de su mando arrojaron de bos que me han acompañado, y recomendarlos á todos, asi como á Pauls al anochecer de antes de ayer a los rebeldes capitaneado, por los soldados por medio de V. S.…</t>
  </si>
  <si>
    <t>Cruz, José Sta</t>
  </si>
  <si>
    <t>José Sta Cruz</t>
  </si>
  <si>
    <t>…in duda de Vizcaya las fuerzas de Castilla cinco miserables que le seguían , según lo uno y lo otro me comunica desde que obran allí al mando del brigadier Bedoya; pero despreciados sus movi Beceite con aquella fecha el brigadier D. José Sta. Cruz. mientos /hubieron de retirarse para reunirse con otros; y atravesando el Ebro, "La gavilla de Mestre estaba ayer en e»te termino reducida á 11 indiv*— penetrar en Rioja , acercarse al territorio que recorre Merino, siempre fugiti dúos, muy divididos en opinión sobre si acogerse al indulto ó no , de…</t>
  </si>
  <si>
    <t>Cruz, Miguel Ricardo de Ala</t>
  </si>
  <si>
    <t>Miguel Ricardo de Ala Cruz</t>
  </si>
  <si>
    <t>…es de S. Martin de Hombreiros, Miradores, id. en Londres; D. Evaristo Perez de Castro, id. en Lisboa; Don presente; conde de S. Román , id.; conde de Sta. Ana, id.: marques de Santa José García de León Pízarro, con Real licencia; D. Miguel Ricardo de Ala Cruz, id.; marque* de Sía. Cruz y S. Esteban, id; conde de Sistogd, id.; conde va ; conde de Cartagena; conde de F.zpelcta; D. Manuel Llauder; conde de de ”1 abjada, id.; crzjde de Teba, ivi.; obispo de Vailadolid, ausente; cónde Montenegro; D. Gerónimo Valdes; D. Luís Balanzat; prímópe de Anglona; del…</t>
  </si>
  <si>
    <t>Cruz, Narciso</t>
  </si>
  <si>
    <t>Narciso Cruz</t>
  </si>
  <si>
    <t>…necesaria y aun indispensable en todos tiempo*, y especialmente, en (Nota de los que han sido fusilados. El capitán de infantería ilimitado en los principios de una autoridad creada por S. M. para alivio de los pueblos y enicarló D. Narciso Cruz, el teniente D.'Joaquín Sales, el subteniente gra- remedio de sus inveterados males, la cooperación de todos los hombres ¡lustres 1 sargento de Carabineros Francisco Asenjo, el titulado comisario D. Mi- por su saber y su prudencia, he acordado que se lleven inmediatamente í efec Jguel Soto, el cabe…</t>
  </si>
  <si>
    <t>Cruz, Santa</t>
  </si>
  <si>
    <t>Santa Cruz</t>
  </si>
  <si>
    <t>…nducta de'sus soldados, éntre los cuales hay algunos que Las fuerzas del reino de Valencia, destinadas il maestrazgo de Morc!la á han sido insepaiables'compafierófr-dé sus fatigas y^pdi^ros desde el principio de _ las ordenes del brigadier Santa Cruz, obraban en combinación sobre los mis la actual contienda. mos puertos í?e Beceite-y-país-contiguo canias del brigadier Colubi, que man Los partes de Alcañiz se refieren á los últimos acontecimientos de Re da en el territorio de Tortosa; y el capitán general de Valencia D.Gerorumo bollo ; y por lo…</t>
  </si>
  <si>
    <t>…ién se separó el Serrador; y que todas «las facción» CAMBIOS. reunidas solo llegan á 600 hombres , cansados, hambrientos y desalentados, en Amsrerdam, 00. París, 16-7 á 8. Cádiz, par. Sevilla, 4 b. cuya persecución se ocupaban ei brigadier Santa Cruz, el coronel Rebollo y el Bayona, DO Alicante, acorto pía- Coruña, | d. Valencia, i Id. coronel Nogueras. , Burdeos, 00. zo, | b. Granada, id. id. Zaragoza, j d. En otro del dia 20 y con referencia, al que el brigadier Santa Cruz habia Hamburgo, 00. Barcelona, k pa. Málaga, 4 b. Descuento de letras,…</t>
  </si>
  <si>
    <t>…la misma provincia, invadidos de la misma clase de enfermedades, 1tar de nuevo su aumento, estableciendo puntos fuertes, columnas móviles y cuyo último estado era el siguiente: activa comunicación entre sí el corohel Montero, el brigadier Santa Cruz y el Parte sanitario de ¡os pueblos que se expresan. coronel Nogueras que mandan las fuerzas respectivas. Eñ Vizcaya obran activamente las tropas de aquella provincia al mando Existencia Id va lid oS. Falleci del general Espartero, que periigue vivamente á Zavala hacia los confines de Poblaciones* Dí…</t>
  </si>
  <si>
    <t>Cruzado, Antonio</t>
  </si>
  <si>
    <t>Antonio Cruzado</t>
  </si>
  <si>
    <t>…dos: An •&gt;No hallo expresiones para ponderar el valor y entusiasmo -oe la tropa de tonio Moreno, Francisco Fernandez, José Vega, Antonio Cutanda, José minadores al atacar á los enemigos. Estos hicieron una obstinada defensa en el Reina, Antonio Cruzado. parage éa que se encontraban, pero mis soldados se arrojaron á ellos decidida mea-</t>
  </si>
  <si>
    <t>Cruzado, Francisco</t>
  </si>
  <si>
    <t>Francisco Cruzado</t>
  </si>
  <si>
    <t>…ral, y de las Tejido de diferentes clases......................................... *. * ^ 16 64 partes que lúa constituyen en particular. :i6 75 -- La Corte santa del Padre Nicolás Causino, traducida de! francés al castellano por D. Francisco Cruzado, nuevamente corregida por el Dr. IX Benito Francisco de Castro Preparación de la trama y encolado............................| 18 40 y Barbeito. Son cuatro tomos en 4.0, edición de l?9$ y 96, á 50 re- rama, 75 perga .21 12 mino, y 85 pasta común. Esta obra, que puede llamarse única en su clase , es…</t>
  </si>
  <si>
    <t>CSavier, Serafin</t>
  </si>
  <si>
    <t>Serafin CSavier</t>
  </si>
  <si>
    <t>…cho sin dar motivo á Saenz derVeiasco, oidor cesante: y para la de alcalde del crimen de ía Real ninguna inquietud de parte del-pueblo, pues reina la mayor tranquilidad, y las audiencia de Citalufia, vacante también por salida de D. Serafin CSavier, á leyes son obedecidas. . » D. Cayetano Muñía y Bouvier, corregidor de Montilla. •_: Acahu &lt;^e colocarse en la plaza de Milán, llamada Dti Mercadctnti, una estatua colosal de S. Ambrosio, obispo de aquella ciudad tfí tiempo del Empe rador Teodosio: es de marmol de Ornavazzo, y obra de Luí» Scorzin…</t>
  </si>
  <si>
    <t>Cuaderno, Eugenio Ossete y Roblejo</t>
  </si>
  <si>
    <t>Eugenio Ossete y Roblejo Cuaderno</t>
  </si>
  <si>
    <t>…ndan i vínculos, corporaciones y obras pias, se acompaña extrangeros de la América , adaptables^ nuestras provincias de la Espafia peninsular. I rán por las personas que los presenten los documentos necesarios á justificar la Por D. Eugenio Ossete y Roblejo. Cuaderno en $»° Sé hallará á jes. eo Madrid, It— I representación legal que tienen de aquellos como poderes, nombramientos &amp;c. brería------Novelasde Perez.morales del célebre Mr. de Marmontel. Entre las varias qoe contiene!■ legitlf&amp;dps en debida forma, añadiéndose ademas en los vínculos, capellanías esta c…</t>
  </si>
  <si>
    <t>Cuaderno, Manuel Hernando Pízarro Un</t>
  </si>
  <si>
    <t>Manuel Hernando Pízarro Un Cuaderno</t>
  </si>
  <si>
    <t>…simos trabajos, tanto en el recinto de ia ciudad como Hel reino unido He las Hos Sicilias, elegía compuesta y presentada á S. M. su augusta fuera de ella ; habiendo llegado su actividad hasta el punto de construir en po hija, por D. Manuel Hernando Pízarro. Un Cuaderno en 4*® mayor, á 2 rs. rustica. cas horas un cementerio en la alquería de Farque invadida por la epidemia. — —TVueva gramática griega , arreglada por el coronel D. José Mana Román. Un to* El subdelegado concluye este artículo diciendo que no ha tenido que excitar composiciónmo en 8.°, ediciónse ha d…</t>
  </si>
  <si>
    <t>Cuadra</t>
  </si>
  <si>
    <t>…ceres, V. M. tiene el derecho de costar medio de la guerra civil arrebatar el cetro á su heredera legítima. V. M. pien •n todo tiempo con ella.” sa con razón que la tranquilidad presente y la suerte futura de estos reinos pen •El Sr. Cuadra: »La comisión, que se jacta mucho de seguir las huellas den quizá de la decisión de las Córtes , y les hace justicia creyendo que Mi Oc del Gobierno, parece qua se ha separado de ellas. El Gobierno presenta un ■ cisión será digna de ellas. Los Proceres dei Reino corresponderán por su ; . •: discurs…</t>
  </si>
  <si>
    <t>…si eh otros puntos. tías. Np asi las-de derechos, pues estas no deben alterarse sino solo iw"ti«*f Por las antiguas leyes de España, cuyo espíritu se quiere seguir, se Han esta Por lo tanto insisto en que te adopte la adición del Sr. Cuadra.” blecido dos que tienen algunos principios comunes, y ambos componen las Sr. marques de las Amarillas: «La comisión no ha expresado U cláusoCórtes. Esta composición artificial, ó material que puede variarse ,no^puede lla la que se pidepor creerlo inútil: al anunciarse por el Estatuto- Reax que el m…</t>
  </si>
  <si>
    <t>…, conde de Cu Después de una ligera discusión entre los Sres. obispo Vallejo y mar ba, Sr. Atvarez Guerra, duque de Noblejas, marques de Malpica, Sr. Nkvar- ques de S. Felices, quedó aprobado el artículo según se hallaba. ‘ rete, Sr. Cuadra, Sr. Quintana, Sr. García Herreros, Sr. obispo Val lejo, se- . Art. 3.° Quedan suprimidos desde dicha época ios juzgados protectores ñor Vigodet, Sr. Martínez, conde de Oñate , conde de Clavijo , conde del del Voto de Santiago. Los juicios pendientes para hacer efectivas las prestación Montijo, mar…</t>
  </si>
  <si>
    <t>…ribuía, no habia una causa para hacer una excepción de expresa'la comisión en los párrafos 2.° y 3.° de su dictámen , no lo está con lo este empréstito. que dice respecto al empréstito Real, del que no puedo menos dé decir que El Sr. Cuadra en fin largo y elocuente discurso en el qué hizo fifia nar contratado en 22 de Setiembre de 1823, tan solo ocho dra» antes qae el señor ración dé todas las circunstancias que concurrieron en eiie empréstito, mani D. Fernando vfi reasumiese el poder supremo por la entrega que de él le hicie festó qu…</t>
  </si>
  <si>
    <t>Cuadra, Gil de Ja</t>
  </si>
  <si>
    <t>Gil de Ja Cuadra</t>
  </si>
  <si>
    <t>…Próceres que estaban en el caso de no poder venir por hallarse Paula Serrano, por la de Jaén. en algún puesto importante prestando servicios al Gobierno. El Sr. Presidente llamó á prestar juramento á los Sres. Procuradores cu El Sr. Gil de Ja Cuadra iqaniCeStó que lo propuesto por S. E. el,Señor yos poderes estaban aprobados, y asi lo hicieron las Sres. Ulloa, Domecq , y marque* de las Amarillas era mas que proposición una petición al Gobierno, y Serrano, quienes en seguida tomaron asiento. que siendo asi carecía de las formalidades que prescr…</t>
  </si>
  <si>
    <t>Cuadra, Gil de la</t>
  </si>
  <si>
    <t>Gil de la Cuadra</t>
  </si>
  <si>
    <t>…quisiera que en vez lace que tendría toda combinación insensata, toda tentativa de nuevos tras de esto dijera solamente: ose,castigasen estos horrendos delitos” sin expresarlos. tornos.” Si asi lo hiciese, yo se lo agradecería.” Sr. Gil de la Cuadra: «Quisiera yo que antes de aprobar este párrafo se El Sr. arzobispo dt Méjico: " Denunciando horrores que se han cometi me desvaneciese un escrúpulo , que asi yo como otros muchos tenemos respecto do por los impíos, yo creo que la comisión honra al Gobierno y al carácte» á los asuntos de Portugal.…</t>
  </si>
  <si>
    <t>…vieseq en servicio ac— El Estamento quedó enterado d¿ un oficio del Excmo. Sr. D. José Mar tivo , i quienes únicamente debía exceptuarse en este caso. tínez de San Martin, manifestando tener presentada al mismo una exposición, El Sr. Gil de la Cuadra pidió que te añadiese á la proposición la pala en la cual manifestaba los motivos que le impedían asistir á la sesión regia y bra á juicio del (robirrno, y adoptada esta adición-manifestó el Sr. Martínez da i las sucesivas, porque su delicadeza no le permitía concurrir hasta saberse el la Rosa que…</t>
  </si>
  <si>
    <t>…su dominio ó quedaron obligados como hipotecas es se tratase en sesión secreta, no siendo esto lo mismo que lo que se expresaba en peciales, trasfiriendo un derecho Real sobre ellos, con el que se gravaron pa el acta. Replicó el Sr. Gil de la Cuadra, como secretario de la comisión, que ra la seguridad de los pactos. Estos contratos fueron comprendidos después en lo que él había entendido era que el Sr. Pezuela había dicho qbe este asunto la nulidad general que se declaró de los actos de aquella época, y consiguien debía tratarse en sesión secr…</t>
  </si>
  <si>
    <t>…er minoa, la qtíé'hablando dé la; petición; se expresa asi, y leyó: «Se propone peÉs»«íentd;^-!:3:f; W &gt; .- '■''' ' *» . • ■ ” la comisión someter Seo.” -3!»Háb rebovado’hoy la especie de aetisácitotí que se hizoya al Gobierno Él Sr. Gil de la Cuadra manifestó qué Habiéndosé hechí^dós iñdttacjofieé «4 otro lugar , ¿t haber-presentado unido el arreglo de ia deuda extrangera, y por el,Sr. Secretario dé Hacienda, la una relativa al reconocimiento de itítere-; la demanda dél empréstito; pero el Gobierno repetirá ahora lo que entonces; se* t/ y la o…</t>
  </si>
  <si>
    <t>…ejemplar le» perjudica, iniqúe este sufrió algunas modificaciones en otro lugar, no por eso el Gobierno pirando desconfianza y rezelo. iqudó de dictámen; lo sostuvo hasta el fin; pero al cabo adoptó aquellas mo "Ha preguntado el Sr. Gil de la Cuadra si el ministerio podrá contratar dificaciones al pasar el proyecto de ley á este Estamento. No desistió por eso el empréstito que ahora se propone, y si tiene alguna seguridad de hatéflo á de su principio,,ni menos varió, su Opinión de declarar legítimos todos los em estas ó esotras condiciones, re…</t>
  </si>
  <si>
    <t>…re nos propone la de 2¿u0, npu.me parece que el Estamento debe detenerse en cho que concede el art. 67 dei reglamento sino denwo del término de veinte y votar este artículo. •' cuatro horas. «Conirayéndome ahora á Ja aserción de! Sr. Gil de la Cuadra, de que El Sr. marques de Guadalcazar tomó la palabra para deshacer una equivo este Estamento np tiene facultades en cuestiones de Hacienda, mas que para cación, y expuso, que aunque no hubiera sesiones en un mes, cualquier* Señor aprobar ó desechar las resoluciones dei otro, y sintiendo no estar d…</t>
  </si>
  <si>
    <t>…os bienes sus tutores y curadores.” de Pino-fiel, Sr. Cafranga, marques de Bcsolla, Sr. Alvarez Guerra, condo Leido el art. 4-° del proyecto, preguntó el Sr. duque de Veraguas si el de Noblejas, marques de Malpica, Sr. Navarrete, Sr. Gil de la Cuadra, señor Gobierno admitía el de las comisiones, ó insistía en que se aprobase el suyo. Quintana, Sr. Vigodet, marques de Espeja , conde del Montijo, conde de O ña- El Sr. Secretario del Despacho de Gracia y Justicia: «Las comisiones te , conde de Clavijo, conde de Guendulain, marques del Salar, conde…</t>
  </si>
  <si>
    <t>Cuadra, José María de la</t>
  </si>
  <si>
    <t>José María de la Cuadra</t>
  </si>
  <si>
    <t>…er ministró tres afios,siete meses y veinte y dos la sangro, á quienes se Ies-administró dicho remedio bajo la diwvrlon A-I ’ dias. Su predecesor el duque de Wéllihgton lo fue año y medio menos, y des ciado D. Antonio Navarrete y D. José María de la Cuadra, siendo el prime de el de J754 solo ha habido* cuatro primeros ministros que hayan permane ro uno de los comisionados por esta corporación, el que ha informado se ad cido en el poder un periódo mas largo. Estos fueron él duque dé Newcastle, virtieron en los enfermos fuertes excitaciones cerebrales…</t>
  </si>
  <si>
    <t>Cuadra, Miguel La</t>
  </si>
  <si>
    <t>Miguel La Cuadra</t>
  </si>
  <si>
    <t>…cio hecho en ellas las mejoras del momento que estaban á su alcance, ha encargado La Puente, D. Josef Sol.ins, el teniente coronel graduado D. Pedro Rute, di ayuntamiento lé proponga arbitrios de que se pueda echar mano para aten D. Miguel La Cuadra, D. Josef Gómez Cano, D. Ignacio Beza y D. Jbsef der á Ia manutención de los presos, confiada ahora solamente a la caridad pu Alavarrv; los tenientes el capitán graduado D. Pedro García, D. Francisco blica. Jimeno y D- Pascual Cümens; y los subtenientes, teniente graduado L). Vic Ha dirigido tambié…</t>
  </si>
  <si>
    <t>Cuadra, Ramón Gil de la</t>
  </si>
  <si>
    <t>Ramón Gil de la Cuadra</t>
  </si>
  <si>
    <t>…xtracción del gana Gil de la Cuadra Pedro, obispo de Barcelona.^ Manuel García Herreros.^ do merino, á los Excmos. Sres. marques de Espeja, duque de NobVejas, Don El duque de 5. Lnrcnzo y del Parque. José de Caftanga.zrjuan José, obispo Ramón Gil de la Cuadra , D. Juan Alvarez Guerra, obispo de Córdoba, y de Córdoba —I. El marques de Sta. Cruz.=R. El duque de Berwik y A ba.=^ conde del Montijo. Vicente Ramos. = El marques de Albiida y de S José. = hi conde de Ota El Estamento quedó enterado de haber* sido nombrado para la comisión ba, cr Pedro González…</t>
  </si>
  <si>
    <t>Cuadro, VVilliam</t>
  </si>
  <si>
    <t>VVilliam Cuadro</t>
  </si>
  <si>
    <t>…grupo de Laoocon. ____ Hé aquí un ejemplo del lujo y séquito inmenso que llevan los goberna Cabezas. Primer premio: á D. Agustin Pérez, por el rostro del Salvador, dores generales de las Indias británicas. En el último viage que lord VVilliam Cuadro núm. 24. Segundo: á D. José Gabriel Mastrati, por la cabeza de la Bentinclc hizo por lo interior del país, su equipage fue llevado por 103 ele Magdalena, núm. 16. Tercero: á D. Francisco Oliver y Bravo, por el Tacio, fantes, 1300 camellos y 800 carruages tirados de bueyes. Este convoy iba es núm. 4…</t>
  </si>
  <si>
    <t>Cual</t>
  </si>
  <si>
    <t>28/08/1834</t>
  </si>
  <si>
    <t>Gaceta de Madrid n.º 194</t>
  </si>
  <si>
    <t>…tonos tos Olas ma Comandancia general de las provincias Vascongadas. rineros destínadósf traba jaren su bordo. No se tendría una escuadra armady¡ que origina gastos enormes, si no se la destinase para alguna misión impor Exento. Sr.: Cual ya indiqué anoche 4 V. E. se ha verificado lo que tno tante. propuse antes de a)cr, y que encargue al bizarro capitán del regimiento caba Los cuatro buques que deben ¿rúzar delante de las costas de España, es llería de la Reina, 1.° de linea , D. Francisco Muñoz , para que desembarazas* peran despa…</t>
  </si>
  <si>
    <t>Cuáles, Eusebio Es</t>
  </si>
  <si>
    <t>Eusebio Es Cuáles</t>
  </si>
  <si>
    <t>…s luces y por los eficaces -servicios que ha hecho en favor de la causa de la calde mayor de Mérida; á D. Juan Nepomuccno Hidalgo, alcalde mayor de libertad de su patria. Llcrena; á D. Juan Barago» alcalde mayor de Alcántara, y a D. Eusebio Es «Cuáles son los hechos que se citan para fundar esta amarga crítica? Se di quió ve, alcalde mayor de Roa. ce qué él duque de Palmella no seguía la causa nacional el año de 1820. Para S. M. la Rj&amp;ina Gobernadora .se ha servido nombrar alcaldes mayores in quitar todo motivo de sospecha á la defensa que vamos…</t>
  </si>
  <si>
    <t>Cualesquiera, González</t>
  </si>
  <si>
    <t>González Cualesquiera</t>
  </si>
  <si>
    <t>…no, dijese que los españoles no están «Por lo demás, debo insistir en l*i observaciones del Sr. Gándara y á pe : ‘ obligados á pagar las contribuciones. Por eso, y Siendo ¡poco amigo de diva- tar de la contestación que ha dado el Sr. González. Cualesquiera que hayan »ís g*r, me ceñiré'í solo dos ó tres observaciones Creo que debe suprimirse la . do las circunstancias de. otras ¿pocas, nosotros estamos en el caso de hacertioe í. palabra librementeporque dé dejarht correr' en: el articulo supondría que.ha- mas favor, y hacérsele al. Gobieino, no juzgán…</t>
  </si>
  <si>
    <t>Cuando</t>
  </si>
  <si>
    <t>…dores saliendo de Villa- los partes del brigadier Linares y del teniente coronel D. Joaquín Ayerbe. frartca reconocer las elevadas asperezas del cerro de Aralar. Todas estas tropas Segunda columna de operaciones de Aragón.=Hxcmo. Sr.: Cuando me se me habían de reunir en el pueblo de Arriba, á donde me dirigí con las de disponía en la noche de ayer para emprender un movimiento sobre la línea del mas compañías del batallón de 5. Fernando y dos partidas de caballería, una rio Aragón, recibí un aviso en que se me anunciaba la entrada de lo…</t>
  </si>
  <si>
    <t>…de Estado en el de vbaucta. partamento de la instrucción pública, Guizot. . ; París 31 de Agosto* . Decreto del Rey. Luis Felipe &amp;c. . . Visto el artículo 2.° de la ley de 13 de Marzo de 1804, y el ártícnlo 10 ■ Informe. Al Rey. Señor: Cuando indiqué i-V. M. en el informe que tu del decreto de 21 de Setiembre del mismo año sobre la organización de la* es ve la honra c|e presentarle cosa fecha 31 de Diciembre de 1833 algunas de las cuelas de derecho: mejoras que debían hacerse en la enseñanza de laS facultades del reino , tu vó á Oido el…</t>
  </si>
  <si>
    <t>Gaceta de Madrid n.º 22 · suplemento</t>
  </si>
  <si>
    <t>…arán correspondiente ¿él. 'I conocimiento de el los subdelegados de Fomento á los comandantes generales Ait. 46. Por crímenes ó delitos comunes serán juzgados los individuos fel cíe provincia que lo pondrán en noticia del capitán general. Cuando se haya la fuerza urbana por la jurisdicción Real ordinaria aun en el caso de hallanc 1 realizado la organización de esta fuerza, el comandante general nombrará de. sobre las armas al cometerlos. -1 acuerdo con el subdelegado, uh oficial superior que la reviste y dé cuenta de Art. 4/. Por delitos p…</t>
  </si>
  <si>
    <t>…. - ( id. No-consta 108 Nota. En Laredo había 80 personas en convalecencia. EI Sr. D. Mariano LiSan, comisario general de la Santa Cruzada, ha di rigido á S. M. la Reina Gobernadora la exposición siguiente: PROVINCIA SE SEVILLA. "Señora: Cuando recordaba con el mayor placer las muchas é inapreciables distinciones con que se ha dignado V. M. premiar mi corto mérito, eligiéndo Participan con fecha 11 del presente el presidente de la junta de Sanidad me obispo de la santa iglesia de Teruel, vocal de la junta eclesiástica y de la de y el gobe…</t>
  </si>
  <si>
    <t>…que deben examinarse, yo creo que todas ellas pueden redu el resorte'y principal agente de las conmociones 'de entonces. Si estaban no en cirse á tres pumos cardinales, que serán á los que yo ceñiré mis observaciones. libertad el Rey.... Cuando reinan los partidos, el vencido reputa por opresión 1° wSi debe autorizarse al Gobierno para la adquisición del empréstito que lo que el otro llama libertad; pero yó insisto en la idea de que las obligaciones propone, ó solo para el de los 200 millones que indica la comisión. contraídas por todo go…</t>
  </si>
  <si>
    <t>…ablasen de nuevo las anticuas relacio SERVIA. nes, y de los sentimientos que habian inspirado á uno y otro pais los acontecí-» mientos del mes de Febrero último, Belgrado 15 de Julio. «El ministro nos convidó á comer de parte del Rey. Cuando llegó el mo El 6 de Agosto se verificará la grande asamblea del pueblo en una llanura mento en que íbamos á despedirnos, nos anunció que estaba encargado de en situada sobre la orilla derecha del Morawa, se compondrá de 205) personas. tregar á cada diputado el retrato de S. M colocado sobre una caj…</t>
  </si>
  <si>
    <t>…den había jugado‘de firme aque ■ * ITALIA. lla noche antes de ir á ia opera, y ganado áuud rs. que llevaba consigo en bi lletes de banco; y por obedecer al Emperador, entrégatelos ^mediatamente ¿ Roma 28 de Setiembre. la afligida señora. Cuando supo D. PedVo al dia siguiente cuan, crecida era la Jgyfr matan* ha llegado aquí D. Miguel jde vuelta de Genova: se ha apea dadiva que había hecho sin saberto.se puso furioso; pero como la cosa no te- ¿ do t&amp; el palacio que esta dispuesto pura quede tova de residencia. x Monitor i) nú remedio, tuvo…</t>
  </si>
  <si>
    <t>Cuando, Armencba</t>
  </si>
  <si>
    <t>Armencba Cuando</t>
  </si>
  <si>
    <t>…ha det teniente coronel Cosío, que las han obligado á repasar dicho bérseme replegado algunas de mis columnas no puedo manifestar á rio. V. E. el número de prisioneros; pero entre varios de estos acaban de presentarme al titulado brigadier Armencba. Cuando el tiempo Merino’, Cuevillas y sus compañeros, escondidos en lo fragoso me lo permita, daré á V. E. el parte detallado de esta importante de las montañas y de los bosques, que dan. nacimiento á los ríos jornada., en la que el valor de todos los Sres. gefes, oficiales y trom Arlanzon, Arlanza y Duer…</t>
  </si>
  <si>
    <t>Cuando, Art</t>
  </si>
  <si>
    <t>Art Cuando</t>
  </si>
  <si>
    <t>…y sargentos serán dados á reconocer del mismo; de tres de los mayores contribuyentes, elegidos por el mismo en la órden del cuerpo y con las formalidades de ordenanza* ayuntamiento de entre un número igual al de concejales, y del comandante Art. 15. Cuando se forme un batallón ó escuadrón de Guardia nacional, y dos individuos de la Milicia urbana, nombrados por ¿1 de entre los que la ínterin se pone en planta la ley municipal, los actuales concejales, asistidos de componen. igual número de mayores contribuyentes, harán las veces de consejo de discipl…</t>
  </si>
  <si>
    <t>…sin haberse pasado aviso, con \in dia de antelación cuando Exentó. Sr.-. Enterada S. M. la Reisa Gobernadora por los par-, menos, al Secretario del Despacho respectivo. tes del Secretario del Despacho de lo Interior, del capitán general Art. 91. Cuando uno de los Secretarios del Despacho manifieste y superintendente general de policía, del gobernador civil de esta qne tiene que presentar algunos datos ó documentos para aclarar el provincia y corregidor de su villa, acerca de los horribles asesina putoto que se discute, podrá el Presidente suspend…</t>
  </si>
  <si>
    <t>…berá deiar su asien 'revánjúicio-deh Estamento, ‘y despees de- someterse este- punto a su do y colocarse en la tribuna: quedando en su lugar el Vice¡-residen votación.-; . ¡u •&gt; te ,- 6 en su ausencia el primer nombrado entre los secretario... Art. 56. Cuando una Comisión haya desempeñado áti dietámen, Art. 72. Todos lo* discursos que pronuncien los Prncuradorej-á lo leerá desde la Tribuna en sesión pública, el individuo de la Co G’&gt;rtes, los dirigirán al Presidente, y no á ningún Procurador en misión á quien esta haya nombradtrai efecto; pero no podrá…</t>
  </si>
  <si>
    <t>Cuando, Fausto del Hoyo</t>
  </si>
  <si>
    <t>Fausto del Hoyo Cuando</t>
  </si>
  <si>
    <t>…particularmente a los geté á los enemigos , que se retiraron y situaron en las alturas de fes de brigada, el brigadier D. Manuel Benedicto y el coronel do Olestia, de las que después de un corto tiroteo fueron desalojados Almansa D. Fausto del Hoyo. Cuando el tiempo me lo permita y perseguidos hasta llegada la noche. Al siguiente dia tuve non Ja tendré el honor de pasar á manos de V. E. la relación de los quo de que la facción mencionada marchaba hacia Rigotia, y yo em tuvieron mas ocasión de distinguirse, á fin de que S. M., si lo tiena prendí mi mo…</t>
  </si>
  <si>
    <t>Cuando, Guillermo</t>
  </si>
  <si>
    <t>Guillermo Cuando</t>
  </si>
  <si>
    <t>…creto de 26 de Abril en que se conceden las gracias que en él se expli licénciamiento de la schuttery no ha dejado de ocasionar apuros al gobierno can , se formaran los cuerpos dispuestos para dichos solemnes actos emel órden del Rey Guillermo. Cuando se levantó esta Milicia nacional se componía de siguiente. ' hombres celosos y determinados; pero las exaltaciones de toda especie se apa El Real cuerpo de artillería con cuatro piezas volantes, tomará posición gan con el tiempo: los jóvenes de buenas familias, a quienes llamaban sus ne en batalla…</t>
  </si>
  <si>
    <t>Cuando, Porret</t>
  </si>
  <si>
    <t>Porret Cuando</t>
  </si>
  <si>
    <t>…afo 3.°, que hace referencia á la adición del Sr. Porret al ar contado desdeufl dia en que se Verifique-, sino Cn: tüétud'de una |ey¿-. tículo 3.“, dijo Art. St^o i «¡Los reglamentos ¿?cafuCciones&gt;qae formeel Gobierno de S. M. El Sr. Porret-. «Cuando presenté la adición á que se refiere este dicta fijarán las reglas convenientes á fin de llevar á efecto la organización deiaMi men para modificar el art. 3.°, la apoyé VlEratones dé- justicia y de convenien licia urbana, conforme á las baScs establecidas en esta ley.1” cia pública, que me proporci…</t>
  </si>
  <si>
    <t>Cuando, Torremejía</t>
  </si>
  <si>
    <t>Torremejía Cuando</t>
  </si>
  <si>
    <t>…zones que he expuesto.” 1 ra que fuete la distancia del parage adonde se les enviaba. El Sr. Acevcdó: «Nada tengo que añadir áiw^observaciones hechas por «De consiguiente dos son los puntos que se deben examinar: l.° Si esa su el Sr. Torremejía. Cuando,el Gobierno españorpoiu ser pródigo, estaba bien ma señalada por legua puede-rebajarse. 2.° Si ha de fijarse' también una escala lo fuese; pero ahora no puejle de modo alguno serlo , si no quiere arruinar la proporcional para Tos secretarios y agregados. Respecto á la primera, yo no Nación: por eso…</t>
  </si>
  <si>
    <t>Cuando, Vera y Rio</t>
  </si>
  <si>
    <t>Vera y Rio Cuando</t>
  </si>
  <si>
    <t>…las razones que habia tenido la x manifestaré quecniosgobicruos representativos tal vez no es tan-necesario-co^ comisión para no proponer economías. mo se cree el sistema dé cuerpos consultivos. Sabido es que estos fueron intróEl Sr. Vera y Rio-. «Cuando y» he hablado anteriormente.¡sobre este , ductdos para dar á los gobiernos absolutos tina cierta apariencia Aepuntó , he dicho que nadie-mejor-que-‘eJ-Gobierno tenia lodos ios antecedentes y de templanza en el ejercicio de su.autoridad. En los representativos no es para proponer lo que-fúese convenie…</t>
  </si>
  <si>
    <t>Cuantos</t>
  </si>
  <si>
    <t>…de alguna manera en las seguridades de la paz. Los periódicos franceses y las cartas particulares están acorde en decir que bcñora.=El conde de Villanueva. la templanza de las Cansaras es mayor de lo que ha sido año» antes, y qua Señora: Cuantos dias dure en España el inmortal, gobierno de V- M. lo* existe allí una opinión general contra ulteriores y violenta» mudanzas. Todo* señalará con imparcialidad la historia uno por uno con el gran número de be los partidos, la oposición y el ministerio aseguran que la Francia está cansada neficios d…</t>
  </si>
  <si>
    <t>Cuatro</t>
  </si>
  <si>
    <t>…l Excmo. Sr. general en gefe del ejército digo con esta fecha lo mino que llevaba nuestro bagaje , y que debía llevar nuestra caba que á la letra copio: llería. Las fuerzas que constituían nuestro centro é izquierda, eran «Excmo. Sr.: Cuatro dias á la vista de los dos batallones na el 2.° batallón de Córdoba y resto del de Avila, con un destaca varros l.° y 3.° unidos á la fuerza alavesa mandados por Villareal mento de la guarnición de Estella , y no cedieron en denuedo á los observando como me era preciso todos sus movimientos, atraje…</t>
  </si>
  <si>
    <t>…tna general del ej. ri.itv. In pagador general \ un oficial. • Sec i ¿tana ae la intendencia general ael y.v-v i:o. Do* plazas de ohcia.es. RELACION DE TOS DESTINOS QUE EN SUS DEPENDENCIAS SON APLICA Jnt erz fUt :&lt;.'H seneral .ie¡d. Cuatro plazas de id. BLES Á. MILITARES. Or.ieua. icr.es ae crinera y segunda Once plazas de uncíale* c-'rre*p&lt; ndientc* a otra* unta* ordenaciones. Once plazas de pagador -.orrespon-' Para gefes y oficiales. dientes á otras tantas paeadur;a* de dichas ordenaciones. Once plaza* de ofi ciales correspondient…</t>
  </si>
  <si>
    <t>Cuatro, Secreta</t>
  </si>
  <si>
    <t>Secreta Cuatro</t>
  </si>
  <si>
    <t>…rden par pasar. Seré, pues, sumamente breve, puesto que al buen callar llaman Sancho; ticular disfruta 503 rs.............................................. 260,000 y me limitaré í hacer algunas observaciones sobre lo dicho por el Sr. Secreta Cuatro oficiales de la sección de Estado....................... 57,000 rio de Estado, cuyas razones, aunque expuestas con su natural elocuencia , no Sueldos de los doce oficiales de la de Gracia y Jus me han hecho fuerza. Nos ha dicho S. S que el consejo de Gobierno se funda ticia.........................…</t>
  </si>
  <si>
    <t>Cubieres</t>
  </si>
  <si>
    <t>…ue de sus fortificaciones. seha contenido en un proyecto qiie Convertirá en una paz' durable el armisticio de hecho dntre la Bélgica y la Holanda: solo falta la ratificación del Rey de ____Una carta del 10 de Ancona dice: Ayer el general Cubieres con uno de los Paises-Baji»; pero esta ratificación se hace esperar tanto que se empieza á tus edecanes y el intendente militar del ejército salió para Lnca, de donde pa dudar de nuevo sl seré posible llegar á una conclusión final. . sará á Milán. Se dice que ha recibido orden de su gotrieirio para…</t>
  </si>
  <si>
    <t>…. «En Nápoles hay actualmente muchos víageros, y se creé que su numero cacas particulares, por el considerable ahorro que proporciona de toda la ma llegará este invierno a loja que ahora desperdician los animales. — «Se espera al general Cubieres en esta ciudad, que viene de Verona de Kem:&gt;s visto igualmente guadañas de excelente acero, y hoces de mano asistir á la revista del ejército de Italia. Le acompaña otro general francés, que para segar con suma rapidez la maloja, el mijo y la yerba. Estos instrumen se ^ice ha de reemplazarle. Todos…</t>
  </si>
  <si>
    <t>Cude</t>
  </si>
  <si>
    <t>…La misma'comisión dió cuenta de haber examinado los poderes del Señor petración del delito* D. Francisco de Paula Crespo Rascón , J de que hallándolos conformes, era Tenían pedida la palabra en pro eL Sr* Gonxalet y «o contra el Sr. Cude dictámen que debían aprobarse. Asi se acordó. También dió cuenta de ha lío. En consecuencia dijo ber examinado la solicitud fiel Sr. D. Ramón Carrillo, marques de Vilucña, El Sr. Costo: "Hasta ahora no ha habido uno que *e haya opuesto é loa electo Procurador por la provincia de Soria, en la que so…</t>
  </si>
  <si>
    <t>Cuena, D Juan</t>
  </si>
  <si>
    <t>D Juan Cuena</t>
  </si>
  <si>
    <t>…rtad, dice el orador, de hacer confirmar su hijo y de presentarlo Cabria , que cogiendo un fusil de uno de sus soldados tuvo la'siiérte de acertar en la primera comunica, ea para una gran ana de ciudadanos Crapcfief de mu- le. El capitán D. Juan Cuena, aunque según las instrucciones de V. E. me si-</t>
  </si>
  <si>
    <t>Cuena, Juan</t>
  </si>
  <si>
    <t>Juan Cuena</t>
  </si>
  <si>
    <t>…ce el orador, de hacer confirmar su hijo y de presentarlo Cabria , que cogiendo un fusil de uno de sus soldados tuvo la'siiérte de acertar en la primera comunica, ea para una gran ana de ciudadanos Crapcfief de mu- le. El capitán D. Juan Cuena, aunque según las instrucciones de V. E. me si-</t>
  </si>
  <si>
    <t>Cueros, Id de Guayaqui J</t>
  </si>
  <si>
    <t>Id de Guayaqui J Cueros</t>
  </si>
  <si>
    <t>…benignos, y que el día anterior solo habían fallecido 15 personas: Cacao Marañon... acompaña asimismo el siguiente: lé. de Caracas. V................................................... 110 Idem. Parte sanitario de VsUamuva de la Reina. Id. de Guayaqui 1. J Cueros al pelo de Buenos-Aires............................... 3 Media libreé Pías. Enferme». Curados. Fallecido*. Grana plateada y mor clona.._.................................. 41 Idem. ' Jalapa............... ......................................................... 245 Quintal. Lanas finas de España. N…</t>
  </si>
  <si>
    <t>Cuervo, Eugenio Manuel</t>
  </si>
  <si>
    <t>Eugenio Manuel Cuervo</t>
  </si>
  <si>
    <t>…iosos, asi civiles como crimina mara de Castilla. les de la corte y su rastro. Y teniendo en consideración que los dos actuales te nientes no bastan para *u despacho, he venido en, crear otras tres plazas, y es Vengo en nombrar á D. Eugenio Manuel Cuervo para oidor de la Real mi voluntad que las cinco sean iguales en consideración y facultades, con el., . audiencia de Burgos, y para fiscales de la misma, de lo civil, a D. Josef Veo- j sueldo de 3bS&gt; rs. anuales, sin emolumentos de ninguna especie: y que el go no, y de lo criminal, á D. Josef Vilano…</t>
  </si>
  <si>
    <t>Cuervo, Juan</t>
  </si>
  <si>
    <t>Juan Cuervo</t>
  </si>
  <si>
    <t>…suspensión de funcio cio María Uzcundun, cesante de la suprimida dirección del ramo; y la de ofi nes ocurrida con motivo del fallecimiento del Sr. D. Fernando vtt, y de ia cial de la contaduría de Almena, vacante por cesantía de D. Juan Cuervo, á reedificación del teatro; y S. M., en vista de las necesidades' de la compañíj, D. Pió Fernandez, cesante de la de Avila. . se ha dignado concederla su Real permiso para diez Ipailes públicos de másca ras en el inmediato carnaval, contribuyendo con alguqa parte de los productos de estas funcione…</t>
  </si>
  <si>
    <t>Cues</t>
  </si>
  <si>
    <t>…to, y determinar si ha de pasar ó no á la comisión; y entonces esta no se ocupará en vano.” Se abiió á las once y inedia, y leída el acta de la anterior quedó apro El Sr. Presidente manifestó que le parecía que la proposición del Sr. Cues bada. h ta no estaba en su lugar, y que después de entablada la discusión, al tiempo Se mandaron pasar á la comisión de Poderes los del 'Sr. D. Manuel de de votar el dictámen»de la comisión, seria mas oportuna. ! Villachica, electo Procurador por la provincia de Zamora , con los documen El Sr. marq…</t>
  </si>
  <si>
    <t>Cuesta</t>
  </si>
  <si>
    <t>…nas para que siendo de su ra la piedad. Sobre este punto la comisión no puede menos de llamar muy par aprobación, recaiga la sanción .Real.** ___ ticularmente la atención de los Síes. Procuradores del reine. Fuerza es destruir El Sr. Cuesta hizo presente que siendo esta petición en un todo distinta uo error tanto mas fuerte y peligroso, cuanto que se propaga envuelto en el de la otra, debería seguir los trámites del reglamento. manto de un sentimiento benévolo. Sentimiento que produciría muy fatales re El Sr. Presidente dijo que se pr…</t>
  </si>
  <si>
    <t>…tener la obedien to, sino que en una aclaración particular solicitada por una comisión se ha cia á las leyes, y conservar y restablecer el orden y tranquilidad pública.” vuelto á decidir. Sirva esto de norma para lo sucesivo.” El Sr. Cuesta dijo que debia pasar esta adición á la comisión; á lo que el El Sr. marques de Espinardo: «La comisión no ha creído de sus atri Sr. Presidente contestó que era primero el preguntar si se tomaba en conside buciones el poder formar un nuevo proyecto de ley : y en caso de haber tra ración. tado de hac…</t>
  </si>
  <si>
    <t>…nto que mediante el largo tras- ~ Estamento. curso del tiempo que las comisiones han tenido en su poder las diversas partes Leída que fue, continuó de ellos, podría imponérseles la condición de tener concluidos sus trabajos pa El Sr. Cuesta: «Luego si para el presupuesto de Casa Real se hace una ra un dia dado. Lo mismo deberia exigirse de la comisión central, que podría sola ley, otra parad de Guerra y así de los demas, son siete leyes.” componerse de un individuo de cada una de las ya nombradas, y que fácilmen El Sr. Presidente obse…</t>
  </si>
  <si>
    <t>…y aprueben por el Estamento. De consiguiente Suscjtado un ligero debate acerca de si esta segunda parte era ó no la mis la situación les crítica para el Gobierno; y asi es necesario que se dé ese corte- ma que la proposición del Sr. Cuesta,, desechada anteriormente por el Estecito al reglamento, de cuyo modo es .como podremos salir del mal paso, y no mentó, y vueltas á leer un» y otra,-se puso á votación este punto , y se deci-r de otro.” díúque^ran diferentes por 73 votos contra 55,de 128 Sres. Procuradores pre El Sr. Secretaria del…</t>
  </si>
  <si>
    <t>…nes paja ia Reina nuestra de rogar á las personas encargadas dé trasmitir al público nuestros debates, que Señora , y 12 para su augusta Madre.” no se contenten con ,dcc¡r .rnefamente que se han deshecho varias equivocaciones, El Sr. Cuesta: « Había pedido la palabra en la inteligencia que no era so sino que tomen nota de ellas', porque quiero que conste á todos tm opinión* bre la totalidad del presupuesto de casa Real, pues aunque estoy conforme con En primer lu^ar ha dicho S. S. impugnándome, que ia economía lia principia elü, no lo…</t>
  </si>
  <si>
    <t>…enores para calificar de ceptúo esta disposición como una de aquellas medidas reparadoras, que va á injusta la petición, no parece regular ni prudente. contribuir á reconciliar los ánimos, para que formemos todos una masa por «El Sr. Cuesta propone que se deje al Oobierno toda la latitud necesaria. decirlo así, invencible, contra la que se estrellen los enemigos de nuestras glo Y.o no pretendo lo contrario, sino insisto en ei principio de que los empleados rias: es un paso previo, y sin que se crea que yo trate de hacer inculpación ni…</t>
  </si>
  <si>
    <t>…García Carrasca y Serrano ,(D. Francisco): «Pedi aprobaba el párrafo S.° del dictámende la comisión con dichas, aclaraciones, y mos al Estamento se sirva votar 28 millones para S. M. Doña-IsAaur 11.” quedó aprobado. Tercera, del Sr. Cuesta: «Pido al Estamento tenga 4 bien votar para pre El Sr. Pre.idente anunció que se iba 4 continuar la discusión sobre el pre supuesto ó asignación de la Rbiva Doña Isabel ii 28 millones de rs.” supuesto dé casa Real. Cuarta, de los Sres. marques de .Villagarcía y Santafé: «Pedimos al Esta El Sr. Secr…</t>
  </si>
  <si>
    <t>…todos acordes; por lo que voy á presentar esta redacción i que la reclamen: ellos tendrán por recompensa el que llegue un tiempo en qué la mesa.” te pueda anunciar la justicia que los asiste; ahora te contentan con que se las El Sr. Cuesta: «Parecerá una anomalía que habiendo tenido el ¿omoireconozca la que tienen. Para apoyar este artículo no invocaré dicha justicia, de apoyar ayer la petición, impugne hoy sus artículos ; peró no se crea que 1¿ porque en tal caso seria preciso dar una pincelada contra la empleo-manía, la hago respec…</t>
  </si>
  <si>
    <t>…eto , sustituyén motivo para no acompañar al Gobierno á Cádiz , no está en el caso que fija la dolas la palabra por consiguiente se les abonarán t$ccpetición , y estoy segurc&gt; de que convencido el Sr. Arguelles de ello, no ten El Sr. Cuesta : «Considero que este artículo era innecesario, y que por lo drá inconveniente en votar el primer artículo.” mismo pudieran retirarlo los señores peticionarios.” Después de unas ligeras contentaciones entre los Sre*. Arguelles y Secre £2 Sr. Falces: «No temo la nota de roñoso y tacaño tratándose de…</t>
  </si>
  <si>
    <t>…to mi se adopte su adición; aunque en punto á las palabras admitirá cualquiera redac objeto no ha sido inculpar á nadie, sino hacer una advertencia que roe parecía ción que se presente como mas adecuada al objeto.*? natural.*9 El Sr. Cuesta: «En una discusión tan dilatada es difícil no repetir lo El Sr. Presidente anunció que iba á continuarse la discusión pendiente so dicho por otros preopinantes; pero como el tiempo debe tener su valor en los bre el proyecto de ley para la organización de la Milicia urbana. cuerpos representativos,…</t>
  </si>
  <si>
    <t>…to es del ma ’iPor esto, para satisfacer los deseos de los Sres. Procuradores, mé parece yor interés y utilidad. La guerra civil que actualmente aflige á la Península que no hay medio mejor que el propuesto por el Gobierno. Ya el Sr. Cuesta puede ser una guerra dinástica como la que hubo el siglo pasado entre Car me ha precedido en sus observaciones, tanto respecto de Jos dos párrafos del ar los m de Austria y Felipe v. Yo me alegraría que tuvieran las armas en la tículo que discutimos, cuanto respecto de lo prevenido en el párrafo 7°…</t>
  </si>
  <si>
    <t>…caso, Declarado el punto suficientemente discutido, y puesto, á votación el pár :meiríefeifthréftat,mOfnetitb7á'«Yflmm'arle.’ ‘ 1 - - - rafo del Gobierno, resultó aprobado por 4? votos contra-44* - * Suspendida esta discusión, el Sr. Cuesta propuso que mediante á la urgenicía del negocio que ocupabá al Estamento, hubiese sesiones.en los dias (esti vos,á lo que el Sr. vicepresidente contestó que en cuanto á los domingos te ticá; ly WsifibfcJÓ de.uBá ftifchfeta máf ó rHetHj* explícita al Archiduque, por seguiría is práctica anterior, y…</t>
  </si>
  <si>
    <t>…ntestado el Sr. Presidente que antes de jurar na soy el mas independiente del mundo ¡ en tebíendo una peseta, estoy acostum die'tenia derecho-í hablar, prestó juramento, tomó asiento, y dijo en seguida. brado á pasar con ella. El Sr. Cuesta: •’La reflexión que voy á hacer es muy sencilla. La co ”S¡ he sido empleado ha sido en. tiempos de terremotos: jamas be preten misión de Poderes sabe muy bien por los documentos que obran en su poder, dido: dos veces he tenido que abandonar mi casa; y en el mismo caso creo que que el no haberme pre…</t>
  </si>
  <si>
    <t>…nta á nadie, se le quiere coartar la libertad de hacer El marques de Espinardo-. «La comisión no halla dificultad en apoyar lo con respecto á estotra fuerza que lleva en sí mayores prendas en favor de la adición presentada por el Sr. Cuesta, respecto al caso en que haran de di las instituciones populares, y que depende mucho menos del Gobierno. ¿Y qué solverse los cuerpos de Milicia urbana después de hacer el servicio extraordi objeto podrá haber en obligar á este á que dé cuenta de la movilización de esa nario de campaña; porque podr…</t>
  </si>
  <si>
    <t>…orcti consídfracKm. dicha propóMCÍmi’,.'se acordó go de tu protección. y'-1 ' ; A'.. ; i, " ... v , »ÉI genéral Mma igtionba el dia t/ Jas accáanes del lfi. Se bsfciaa aecf- .: ,. ' ]9: Sr..btónxdiio que apOy«be la prpppsiaon del Sr. Cuesta éif cu^ntp a bido buenas ñottíias del Bastan, donde los defensores del fuerte dp llqand) "JaÜegUudÉ ptrte; pero lro e* iuaoto á. la*SSÍff»Sfía fiabuih hecho una salida y batidodO* batallones de ndiridea, y en la «umm l de atUchó uueres parael paisí ¿lo qoe.cojp^estó e^ ,Sr. Cumjá'qiíe lestapa qdn-…</t>
  </si>
  <si>
    <t>…ebe aprobarse en esta parre lo propuesto por el Go donde debe concluirse, pnes si el servicio público padece, lejos de ser ahorro no bierno.” lo es causando grave perjuicio. Ademas en las cortes del Norte, como son A petición del Sr. Cuesta se preguntó si estaba el punto suficientemente casi esencialmente militares, no basta que vaya un simple diplomático; con discutido, y se decidió que sí. viene que vaya gente de aquella carrera; y para no hacer un papel desairado, Habiendo leído de nuevo el Sr. Secretario Caballero el párrafo relat…</t>
  </si>
  <si>
    <t>…s para evitjr el peligro o remediarle. Me parece pu.» que la grave res Se tomó en consideración y mandó pasar á la comisión, como asimismo ponsabilidad en que incurriría la autoridad á que tai succd.ese, ya fuera nn. tar otra del Sr. Cuesta, que decía: ó va civil , hace dificil el caso de alarma imrrevi»:.»; v per lo tanto adoptado «Pido que para que nunca sea par el numero de individuos del consejo de este, en vez de beneficios se producirán no poces ma.e», entre tí: o» el de cau disciplina, se declare que en caso de que faLc-alguno…</t>
  </si>
  <si>
    <t>…an los nombramientos Ó los Reales despachos.” ' en los términos siguientes: Leídos el art. 28 del proyectó del Gobierno y el del dictámen de la co Art. 25. »Siun batallón,escuadrón,compañía, escuadra óindividuo ídtita- misión, el Sr. Cuesta manifestó que podría expresarse en el artículo que no pu se las armas sin órden ó permiso de la autoridad competente; no las dejaré diesen los Urbanos usar de las1 armas sino eri los actos del Servicio. - cuando se le mande-, si rehusare hacer el servicio para el cual sea llamado le- Después de una…</t>
  </si>
  <si>
    <t>…n acu* La comisión la encuentra admisible, porque tomando por base con res del servicio, imponer las pesias que señalarán los reglamento^.” pecto á los dependientes de escritorios, tiendas y fábricas la misma cuota de 60 2. a Del Sr. Cuesta, qu^t dice-asía____ realea, que según I*resuelto deben pagar por contribución los. padrea para que «Pido que J pera que ''siempre sea impar el consejo de disciplina, se decla , bus hijo* pueda» ser inscrito*, queda mejor y mas justamente determinada la re que parí el caso da que falte alguno de sus…</t>
  </si>
  <si>
    <t>…ente, habiéndose verifica Como que en U comunicación que me hace ei Sr. Y mi dice venir a bordo do dicha aprehensión por el digno corregidor de Atfaro D. Cándido Palacios alguno ó algunos agentes del Pretendiente, he prevenido al coronel Cuesta que con los urbanos de dicha ciudad y los de Calahorra. si realmente vienen españoles á bordo, disponga formar sumaria por separado En medio de esta satisfacción tengo avisos oficiales en que me manifiesta lo para identificar las persona*», la que me pase inmediatamente para hacerlo yo a urgente y…</t>
  </si>
  <si>
    <t>…0 anos, no se determina que se excluya sea buscando un mozo, bien contribuyendo etm alguna cantidad, pues es cosa á los que los cumplan después de alistados.” que se está observando todos los dias.” „ Y en cuahto á la segunda del Sr. Cuesta para que los urbanos no puedan Habiéndose tomado en consideración esta adición, sé mandó pasar á la usar las armas sin el permiso de sus respectivos gefís', la comisión opinaba qúe comisión, de Guerra. siendo esto del objeto doJa disciplina interior de los Cuerpos, y como tal pu , Se procedió i la…</t>
  </si>
  <si>
    <t>…dos no parecen excesivos si se atiende á las bajas generales de! ejer lo Interior, en los términos en que queda inserto. cito , á las que extraordinariamente ha de haber causado el cólera, que por Se dió cuenta de una adición del Sr. Cuesta al art. 28, para que á las pa desgracia ha afligido toda la Nación, y aun aflige en muchos pueblos ; y las fa labras de este artículo: «El armamento, correage, cartuchera ó canana, y las tigas extraordinarias de una guerra penosa. municiones serán suministradas por cuenta del Estado” , se añada: «s…</t>
  </si>
  <si>
    <t>…de la plafia mayor, y segre trámites de este expediente. El reclamante acudió con sus títulos, que eran, le gar las pensiones, viudedades y demas. tras de cambio del Real giro , y la sentencia en la mano al Presidente dtl con El Sr. Cuesta expuso que debía votarse la cantidad que pedía el Gobierno; sejo de Ministros, no-ai de Hacienda, para que se íe pagase. No era yo todavía, y que si esta se desaprobase, entonces se podría votar la que proponía la co repito, Secretario del Despacho, fcl Presidente del consejo de Ministros, antes mi…</t>
  </si>
  <si>
    <t>Cuesta, Andrés de la</t>
  </si>
  <si>
    <t>Andrés de la Cuesta</t>
  </si>
  <si>
    <t>…que eti parte que le ha dirigido el gobernador interino eio; estando escoltado el cáininó'que conduce zl mismo Real Sitio. de la plaza de Santander manifiesta dicho gefe el entusiasmo y decisión con que el alcalde mayor de Cudeyo D. Andrés de la Cuesta, á la cabera de un' puña do de valientes} impidió que el cabecilla Arroyo invadiese un solo palmo do- keAi .iotsria tejmi UVA, terreno de la.provincia de Santander , con ItlO hombres , entre ellos 12 caba llos que formaban su gavilla. Con este motivo enumera el referido alcalde ma En la extracción…</t>
  </si>
  <si>
    <t>Cuesta, D Sebastian</t>
  </si>
  <si>
    <t>D Sebastian Cuesta</t>
  </si>
  <si>
    <t>…el casó de reformarle! Es clarosque sí, pues dé lo contra que sí , se aprobó el dietámen dé la comisión. . rio marcharíamos eo una cadena de errares: Si ha habido pises error en la pri Se mandaron pasar á la misma lo* poderos del Sr. D. Sebastian Cuesta, mera decisión del Estamento, en su arbitrio está el deshacerlo, y me parece electo Procurador por Pontevedra. que es de justicia, de necesidad perentoria', el que asi lo haga.” El Sr 'Presidente anunció' que iba á continuar la discusión pendiente soSi Sr. Midraaó: nYi ha dicho tm digno compafiero…</t>
  </si>
  <si>
    <t>…probarse la aptitud legal para ob Asimismo lo quedó de un oficio del Gobierno en que manifestaba ha tener el cargo de Procurador. Si la ley no prohibe, según se ha dicho , la ad berse removido por su parte el inconveniente que el Sr. D. Sebastian Cuesta, misión del Sr. Vadillo, este tampoco se encuentra en el caso que la misma ley Procurador electo por Pontevedra , tenia para presentarse ca razón del cargo marca. Tampoco basta su palabra, sino que es necesaria la justificación com que desempeñaba. petente por medio de documentos, sin cuya presenta…</t>
  </si>
  <si>
    <t>…ar en favor del dictímen de la demisión , y creo que esto bas gera modificación propuesta por el Sr. Mediano. tará para que en algunos periódicos no riThjble del partido ministerial que se Al tieriipo.de ir á prestar juramento el Sr. D. Sebastian Cuesta, Procu dice hay en el Estamento, y que se supone compuesto de empleados y gober rador por la provincia de Pontevedra, preguntó si podría hacer préviam-nté nadores civiles. Somos 3 en “el Estamento, Medrano, Rivahérrera y jo; yo una reflexión: y habiéndole contestado el Sr. Presidente que antes de j…</t>
  </si>
  <si>
    <t>…probo y con el mas decidido entusiasmo: lo cual ruego á V. E. tenga guardacostas, al bergantín Guadaíete y al comandante general interino de Vi— á bien elevarlo á S. M. la Reina Gobernadora en justo obsequio de tan loable !go¿ el coronel D. Sebastian Cuesta, de la vigilancia mas rigurosa pifia la apre conducta. Dios guarde á V. E. muchos años. Vigo 18 de Marzo de 1834 = hensión de la balandra Express Packet , que cargada fie efectos de guerra para Kxcmo. Sr.t=El comandante general interino , Sebastian Cuesta^Hxcmo. Señor el. Pretendiente había salido…</t>
  </si>
  <si>
    <t>Cuesta, Feliciano</t>
  </si>
  <si>
    <t>Feliciano Cuesta</t>
  </si>
  <si>
    <t>…es, ha publicado nuestro ca El importante punto de Guetaria , en Guipúzcoa , y el no menos intero-^ pitán general el siguiente manifiesto: sante de Bermeo en Vizcaya , han sido fortificados, guarnecidos y abastecidos «Extremeños: D. Feliciano Cuesta, su hermano y otro de sus satélites para apoyar las operaciones de la escuadrilla que bloquea aquella costa y las han expiado hoy en el patíbulo el crimen de rebelión, y los males que han de las tropas en el interior. Ochocientos hombres en 48 horas han hecho pro causado á esta leal provincia: su g…</t>
  </si>
  <si>
    <t>Cuesta, Sebastian</t>
  </si>
  <si>
    <t>Sebastian Cuesta</t>
  </si>
  <si>
    <t>…eta. mésticosa ndesorganizados.ul. _ A li. _ _ por--- —1 causa de su1CdilatadaJ 1' -J k —emigración.c — - — • •» * ‘ SSTAHHNTO EE EXOCUXAOOXia. , . Sesión del &lt;é.de. Setiembre. 1 . ' TX. Alvaro Navía y Osonó, por id. , id.’ , . t D. Sebastian Cuesta, por Pontevedra, por estar pendiente de consulta rz-‘ Se abrió ¡ lai once menos cuartor:y .leida el acta de la anterior quedó rías dudas sobre su elección. 1 1 ' i f aprpbada.- ,.. D. Miguel 'Pardo Bazan, por ¡d. , por efiferenó. ’ J ' ^ ... Se pasaron..á la comisión de, Poderes lqs d¿l Sy. D. Alva…</t>
  </si>
  <si>
    <t>…asó de reformarle! Es clarosque sí, pues dé lo contra que sí , se aprobó el dietámen dé la comisión. . rio marcharíamos eo una cadena de errares: Si ha habido pises error en la pri Se mandaron pasar á la misma lo* poderos del Sr. D. Sebastian Cuesta, mera decisión del Estamento, en su arbitrio está el deshacerlo, y me parece electo Procurador por Pontevedra. que es de justicia, de necesidad perentoria', el que asi lo haga.” El Sr 'Presidente anunció' que iba á continuar la discusión pendiente soSi Sr. Midraaó: nYi ha dicho tm digno compafiero…</t>
  </si>
  <si>
    <t>…arse la aptitud legal para ob Asimismo lo quedó de un oficio del Gobierno en que manifestaba ha tener el cargo de Procurador. Si la ley no prohibe, según se ha dicho , la ad berse removido por su parte el inconveniente que el Sr. D. Sebastian Cuesta, misión del Sr. Vadillo, este tampoco se encuentra en el caso que la misma ley Procurador electo por Pontevedra , tenia para presentarse ca razón del cargo marca. Tampoco basta su palabra, sino que es necesaria la justificación com que desempeñaba. petente por medio de documentos, sin cuya presenta…</t>
  </si>
  <si>
    <t>…n favor del dictímen de la demisión , y creo que esto bas gera modificación propuesta por el Sr. Mediano. tará para que en algunos periódicos no riThjble del partido ministerial que se Al tieriipo.de ir á prestar juramento el Sr. D. Sebastian Cuesta, Procu dice hay en el Estamento, y que se supone compuesto de empleados y gober rador por la provincia de Pontevedra, preguntó si podría hacer préviam-nté nadores civiles. Somos 3 en “el Estamento, Medrano, Rivahérrera y jo; yo una reflexión: y habiéndole contestado el Sr. Presidente que antes de j…</t>
  </si>
  <si>
    <t>…con el mas decidido entusiasmo: lo cual ruego á V. E. tenga guardacostas, al bergantín Guadaíete y al comandante general interino de Vi— á bien elevarlo á S. M. la Reina Gobernadora en justo obsequio de tan loable !go¿ el coronel D. Sebastian Cuesta, de la vigilancia mas rigurosa pifia la apre conducta. Dios guarde á V. E. muchos años. Vigo 18 de Marzo de 1834 = hensión de la balandra Express Packet , que cargada fie efectos de guerra para Kxcmo. Sr.t=El comandante general interino , Sebastian Cuesta^Hxcmo. Señor el. Pretendiente había salido…</t>
  </si>
  <si>
    <t>Cueste</t>
  </si>
  <si>
    <t>…decano suyo al Sr. Becerra., y para Ent/ó i jurar, y tomó asiento dicho seBor. . secretario al Sr. Puche y Bautista. 1 El Sr. VkipritUente ■■ »SeBons, tengo algún motivo para creer que uno ' ' Se léyóla proposición siguiente del' Sr. Cueste: »Pido al Estaroentóíe de los Sres. Procuradores que usó dé la palabra eñ la sesión del dia 17 se cre- ■ sirva dtterminar que coa exclusión púa ahora de. todo otro asunto que no sea ’ yó ofendido de'las tazones de algo» otro que tomó parte en ella. Yo creo muy prasetnado^Qr wl Gobierno xonla cláiuu…</t>
  </si>
  <si>
    <t>Cueto, EJ Luis</t>
  </si>
  <si>
    <t>EJ Luis Cueto</t>
  </si>
  <si>
    <t>…enlot días, 9, |0, 11 Encargado ya el Sr. conde de la defensa-dc~ la villa» se ordenó inmediata*» y 12 del actual 5S personas» inclusos 23 párvulos, y contando los muertos dt mente la salida del fuerte de 4*1 hombres, que con el teniente EJ. Luis Cueto los hospitales civiles y militares » y los de toda clase de^níermedades. y á las órdenes del dicho Sr., se dirigieron á reforjarlos puntos amenazados» llegando coii tanta oportunidad á las puertas de la villar que se impidió el que PROVINCIA DE JAEN. - s agolpados con toda la fuerza sobre dichas puerta…</t>
  </si>
  <si>
    <t>Cueto, Luis</t>
  </si>
  <si>
    <t>Luis Cueto</t>
  </si>
  <si>
    <t>…y fallecieron dos, quedando existen que con el mayor entusiasmo recorrió los puntos, y ordenaba los fuegos con el tes 12 enfermos con síntomas sospechosos. mayor órden, no menos que el contraído por el teniente del propio cuerpo D. Luis Cueto, ejecutando las órdenes de su gefe el conde, trayéndomelas con el mayor riesgo á este fuerte; también lo merece la compañía de artillería, quo con su capitán D. José Gil de Bernabé, arrastraban las piezas á brazo al pa— bolsa de comercio. . Cotización dt hoy é ¡as tres dt la taras. rage que se les…</t>
  </si>
  <si>
    <t>Cuevas</t>
  </si>
  <si>
    <t>…como mostrencos, lo mismo se consideran los bienes perdíSe dió cuenta de haber sido nombrado el Sr. Domecq para la comisión dos. Las alhajas y dinero están en este caso: no hav una disposición en nuestra? de Poderes en lugar del Sr. Cuevas, que se halla con la licencia que le ha con leyes que excluya ios bienes perdidos. Si esto es evidente y cierto, no encuen cedido el Estamento. tro ra2on alguna para que se haga una diferencia tan notable: no hay mis dife^ Se presentó i jurar y tomó asiento ei Sr. D. Luis de S. Clemente, Pro reacia…</t>
  </si>
  <si>
    <t>…en la ¿poca del año 1820 al 23, ya hubiesen obtenido empleos nuevos, Id. á la de Milicia urbana: los Sres. PaUrea y Montenegro*. ó bien continuado en los que antes de aquella época tenían, y que permanecie Id. á la de Poderes: el Sr. Cuevas. ron fieles á sus principios hasta la última agonía del sistema de libertad? «Estos El Sr. Presidente. «Ademas de estas comisiones falta nombrar otras re españoles han de llevar sobre sí este sambenito en premio de*servicios, para que lativas á recaudador*. Las que se han designado ahora van á ocupa…</t>
  </si>
  <si>
    <t>Cuevas, D José</t>
  </si>
  <si>
    <t>D José Cuevas</t>
  </si>
  <si>
    <t>…dos por EL Miguel y por sus amigos y consejeros , Tos cuales reducían sus raciocinios al siguiente silogismo: Bourmont PROVINCIA DB CASTBICON SB AA |U|A, tomó á Argel: el que tomó á Argel, pudo tomar á Lisboa: no lo ha hecho; lue Sr. D. José Cuevas, hacendado. go es un tmidor.Bourmont dejó el bastón de general, y Macdonald , que aca Sr. D. Joaquin Tosquella. - baba de juntársele, y que aspiraba á este destino ,.fue nombrado primer gefe del Sr. D. José Miguel Polo. ejército. El nuevo general era un soldado duro, de sangre fría en los combates,…</t>
  </si>
  <si>
    <t>Cuevas, José</t>
  </si>
  <si>
    <t>José Cuevas</t>
  </si>
  <si>
    <t>…por EL Miguel y por sus amigos y consejeros , Tos cuales reducían sus raciocinios al siguiente silogismo: Bourmont PROVINCIA DB CASTBICON SB AA |U|A, tomó á Argel: el que tomó á Argel, pudo tomar á Lisboa: no lo ha hecho; lue Sr. D. José Cuevas, hacendado. go es un tmidor.Bourmont dejó el bastón de general, y Macdonald , que aca Sr. D. Joaquin Tosquella. - baba de juntársele, y que aspiraba á este destino ,.fue nombrado primer gefe del Sr. D. José Miguel Polo. ejército. El nuevo general era un soldado duro, de sangre fría en los combates,…</t>
  </si>
  <si>
    <t>Cuevas, Leandro</t>
  </si>
  <si>
    <t>Leandro Cuevas</t>
  </si>
  <si>
    <t>…eChavez , Don dicos justamente despreciados ya por el publico; pero á lo menos Gerónimo Pérez García, D. Francisco García de bosa , D. Luis me lisonjeaba de que no tendría acogida en esta Cámara. Martínez Diaz, D. Felipe Cliavez, D. Leandro Cuevas v D. Fran Sin embargo, no hace mucho que de resultas de las asonadas de cisco González Chavez , habiéndose quedado en Abaco el capitán Par is, habían repelido los periódicos su acostumbrada censuia de y cuatro marineros mas. {Diario de Cádiz.) la conducta del gobierno; mas no han sido solo los peri…</t>
  </si>
  <si>
    <t>Cuevillas</t>
  </si>
  <si>
    <t>…e la tropa de la Reina en unos va Lies que Areitio, titulado gefe de la 2.* brigada de Alava, el cual tenia á sus órdenes hasta ahora no la habian visto influye mucho en la parte moral; y el carácter en calidad de 2.a al nombrado general Cuevillas y á otra porción de gefes, en inflexible que se atribuye al general Rodil produce un saludable terror, que tre los que se distinguían por mas notables los supuestos brigadieres Marrón y tarde ó temprano ha de contribuir a que vuelvan á su ubediencia aquellos des Miranda y comandante de batallón Las H…</t>
  </si>
  <si>
    <t>Cuidado</t>
  </si>
  <si>
    <t>…rsonas que jutaion hombre de Estado inglés, son tales que deben ser aplicados á la sóciedal part — y se pronunciaron por el sistema constitucional después del grito de I82ü. cular, y de ninguna manera á las discusiones de interés general. Cuidado que «Paso á examinar la segunda época después del 7 de Marzo de 1820. Si este no es dicho de un demagogo, sino de un célebre orador y defensor del bien es cierto que todos los que se pronunciaron después de esta fecha tuvieron trono. No diré yo tanto como él: conozco que debe haber delicadeza; pero…</t>
  </si>
  <si>
    <t>Cuidará</t>
  </si>
  <si>
    <t>…e la provincia da legión extrangera, de 300 zuabes, 100 cazadores de Africa y dos secciones de Cuenc.i , D. Joaquín Rodrigue?, con fecha de 3 de Junio actual. artillería. Le han sostenido muy bien el coronel Bernelle, el teniente coronel Cuidará de emplear los arbitrios puestos á su alcance para facilitar ia ex Jaubert y el comandante Lamoniciere. El 4-° de línea se ha despedido del sue tracción de granos por medio del esiablecinvento de mercados en los puntos lo, africano de una manera muy honrosa. El capitán Plok del primer regimien mas á p…</t>
  </si>
  <si>
    <t>CuMcres</t>
  </si>
  <si>
    <t>…el objeto de llevarse al embajador ruso príncipe de Liercn y i su esposa á Ancana 13 de Julio. Cronstadt. Entre tanto los dos ilustres personajes residirán con su familia en Richmond hasta el momento de su partida. (Albi*n.') El general CuMcres ha vuelto ya de Pisa, adonde había ido á tomar ba tios. Noticias de Trieste dicen que los buques de guerra turcos que bloqueaban Sahemo« que reina la mas perfecta inteligencia entre Francia ¿ Inglaterra la isla de Samas se retiraron i los Dardanelos al punto que asomó la escuadra acerca de los medi…</t>
  </si>
  <si>
    <t>Cumjá'qiíe</t>
  </si>
  <si>
    <t>…tan, donde los defensores del fuerte dp llqand) "JaÜegUudÉ ptrte; pero lro e* iuaoto á. la*SSÍff»Sfía fiabuih hecho una salida y batidodO* batallones de ndiridea, y en la «umm l de atUchó uueres parael paisí ¿lo qoe.cojp^estó e^ ,Sr. Cumjá'qiíe lestapa qdn- L noche-del dia \7 elgeneral M'rae f¿pe*srdeiu indisposición) se pouia á Ca- . ioeme' ou|&gt;.-S.B. ets.ál parOeular».y qpe pqt eto lo.,dé|aba a la.decisioh del Es . bailo en la misma noche, para ver si .lugnlaa«calmar auaxfipida wfsfijiw tamento. ' .. .. i queJubia concebido.’ ■ ' - ' '…</t>
  </si>
  <si>
    <t>Cumpliendo</t>
  </si>
  <si>
    <t>…conti aunque las memorias que escriban, sean muchas veces inferiores en ciencia á las nuación para conocimiento del público, según prometimos. de nuestros sabios; lo que consiste desde luego en su mayor experiencia. Dicha »Excmo. Sr.: Cumpliendo con lo quo V. E. se sirve prevenirme en su 'idea'se’reducé a sustituir, á los expresados materiales dispendiosos, netos de oficio de ayer, se reunió en junta extraordinaria esta corporación anoche, á pizarra, que se empotrarán con mucho cuidado, á fin de que no padezcan por cuya reunión concurrió p…</t>
  </si>
  <si>
    <t>Cumpür, Nicolás Diaria Garelly Í</t>
  </si>
  <si>
    <t>Nicolás Diaria Garelly Í Cumpür</t>
  </si>
  <si>
    <t>…órdeoq% lo entendido, f. dispondréis lo necesario ,á, su cumplimiento.=Está del Gobierno, y Jas que reciba de X misma comision4y de losgobo^; rubricado de la -Real mano.=En el Pardo a 22 de Octubre-de 1834;= Dadores civiles- - A D. Nicolás Diaria Garelly. - 3Í . Cumpür y hacer cumplir; lo dispuesto en el plan general .jj, -V.r-i i ' " '&amp;Í0, demas Reales résoluciones relativas á X enseñanza . primarX, teq Teniendo en consideración lo dispuesto en mi Real decreto de cuanto no se oppngan á esta instrucción. . .. . 26 de Marzo-ó lumoyhevertido en mandar, que sean extra…</t>
  </si>
  <si>
    <t>Cuncha, Manuel</t>
  </si>
  <si>
    <t>Manuel Cuncha</t>
  </si>
  <si>
    <t>…s, y otras diversiones , en que á la par del orden público, reinó mío, y do* caballos muerto-» y varios heridos, entre el.os el de mi avudeitc la fidelidad mas acendrada hacía el sagrado objeto de la veneración nacional. de campo D. Manuel Cuncha; habiéndole conducido la tropa \ obvíales cor. c&lt; valor y denuedo que acostumbran. Avila 30 de ¿ñero. Los enemigos escarmentados continúan huvendo con tal preCpita-irn , que Esta antiquísima ciudad, guarda fiel de los Reyes vi5Jos de Castilla, cele 3 pesar de marchar sin descansar nuestras decidida…</t>
  </si>
  <si>
    <t>Cuneros</t>
  </si>
  <si>
    <t>…ediarle presentando un contuvo á los ambiciosos, sujetó á los díscolos; pues la misma milicia con ca nuevo arreglo; pero como estaba este -formado «abre las mismas bases que el ñases, colocada en la plaza, fue la razón que dió el cardenal Cuneros, cuando primero, tuvo el mismo resultado. Ultimamente se presenta el tercer regla Jas grandes del reino le pedían cuenta de las arbitrariedades que cometía, de por mento; pero este se halla formado sobre los fundamentos de los anteriores, y qué falseaba las leyes. No está, pues, en el nombre la vir…</t>
  </si>
  <si>
    <t>Cupón, Regen</t>
  </si>
  <si>
    <t>Regen Cupón</t>
  </si>
  <si>
    <t>…ada.motivo de desavenencia , y estrechando los vínculos de amistad y buena inteli d« de i83 gencia que existen felizmente entre ambas naciones, han nombrado con este objeto por sus respectivos plenipotenciarios, í saber: S. M. la Reina Regen Cupón n.o i.® Esta inscripción se expide í consecuencia de un con venio celebrado en Madrid en de deta Gobernadora, á nombre y en representación de S. M. Católica Doña Isa entre S. M Católica la R&amp;ika de España y los Estabel ti, al Excmo Se. D. José de Heredia , Caballero Gran Cruz de la Real dos-Undos d…</t>
  </si>
  <si>
    <t>Curella, Rodrigo de Souza</t>
  </si>
  <si>
    <t>Rodrigo de Souza Curella</t>
  </si>
  <si>
    <t>…á las exigencias de los gabinetes que S. M. Católica la Sra. Doña I9ASEL ti, y general en gefe del de operación» quieren intervenir en sus negocios. »Toca pues á la Francia sostener i la Con en Portugal D. José Ramón Rodil, y el coronel Rodrigo de Souza Curella de federación helvética en la línea de política que ha adoptado, tan distante de la Cartllho, comandante de la 3* brigada de operación» en el Alentejo, pertene humillación como de la arrogancia: toca al gobierno francés ayudar á la Suiza ciente al ejército del Sr. D. Miguel, y en su nombre con su pode…</t>
  </si>
  <si>
    <t>Curso</t>
  </si>
  <si>
    <t>•«irtijmo i loi nibtenjcntes.de granaderos provinciales p. José Arnanda .y Don Curso eompleto de Gramftica- parda. Por D. Ranjon Soler, 2.a'edic¡on: Francisco Noto»; al granadero del 1? batallón de la Guardia Real provincial Un torno en 8.° (I). v * AIonso Neiro, que fue herido de un balazo; al sargento Ramón Fernandez, Este opúsculo, que ya ha obtenido los honores de la reimpresió…</t>
  </si>
  <si>
    <t>CurtéK, Luís</t>
  </si>
  <si>
    <t>Luís CurtéK</t>
  </si>
  <si>
    <t>…ie toda la discusión presente. . ---- ron al principio i tampoco el Consejo de Castilla , y solo dió el primer ejem «También podia haberse citado el famoso compromiso de Caspe,que plo el Consejo de fytado, manejado é influido por D. Luís CurtéK tuvo lugar en el año de 14U , que nueve Diputados de Aragón, Catalu «Restaurada, la ley de Partida en el año de 1789 sin la menor oposición, ña y Valencia se juntaron á decidir á quién pertenecía la corona de Aragón, *e reconoció igualmente en las Córtes del año 1810; y en ellas, en que habia y dij…</t>
  </si>
  <si>
    <t>CuruBa</t>
  </si>
  <si>
    <t>…urgo, 00. i b. Santiago J i 1 d. bon; los facciosos dejaron 2 muertos y todas las racionas que ha Ldndres á 90 dias 37$ Bilbao J d. Sevilla par. bían exigido á viva fuerza en el referido pueblo. París 15-19. Cádiz % b. Valencia 4 d. CuruBa | d. Zaragoza j Id. Por los partes que. el ministerio de Marina traslada al de la Descuento de letras á 4 p. 10a ai afio. Guerra de los comandantes de las provincias de Tarragona y Tor- , tosa, de fecha-15 y 16 del actual, resultan confirmadas las favora bles consecuencias que ha tenido la derrota…</t>
  </si>
  <si>
    <t>Curuña</t>
  </si>
  <si>
    <t>…peleta. Id. sin Ínteres, 00. Acciones del banco español, 00. ^ CAMBIOS. Eí teniente coronel D. Joaquín Ayerbe , me dice con fecha de ayer lo que Amsterdam, 00. Paris, 16. Cádiz, | b. Sevilla, par. Bayona,00. Alicante, pla i corto d. ± Curuña, d. Valencia, | sigue: zo , i d. 00. Burdeos, Granada, id. f id. Zaragoza, j Las armas de la Reina nuestra Señora siempre vencedoras han conseguido 00. Hamburgo, £ ps. fs.. Barcelona, Malaga , par. letras Descuento de una nueva victoria; 48 prisioneros, varios muertos y heridos, y entre ellos el Lo…</t>
  </si>
  <si>
    <t>Cusac, Marruel</t>
  </si>
  <si>
    <t>Marruel Cusac</t>
  </si>
  <si>
    <t>…conocimientos que suministra. " con dicha ciudad, y fe inadmisión de sus procedencias, asi marítimas como —Elementos de medicina práctica veterinaria &lt;S_seacoropendlo de nosografía y tera péutica médico-quirúrgica * escritos por D. Marruel Cusac, profesor de la misniá fá—l terrestres, hasta tanto que se desvanezcan ó confirmen tan desagradables noti cuitad en la villa de Yecía: un tomo «o 8sp——Osear y Amanda &lt;5, IOe descendientes de I cias; adoptando por consiguiente las respectivas juntas municipales las medidas la abadía. Esta novelita,…</t>
  </si>
  <si>
    <t>Cuvier</t>
  </si>
  <si>
    <t>…ar algún resultado por medio de la diplomacia, á menos que se obtenga _—Mr. Darid ha concluido el modelo de la estatua que ha de erigirse en rnela mgriíarirín ¿^embajador turco que se esperaren Londr^-para-sepofar~al "ffioria ÓeT barón Cuvier, y que ha de colocarsc cñ Douby, pueblo de su naSultán de su primera opimon. i&gt;e empicarán seguramente todos los medios po cimiento. sibles pata conseguirlo: lord Palmerston mira ya como muy ventajoso que se haya podido determinar á la Puerta á que envíe un plenipotenciario cerca de —— Una carta de…</t>
  </si>
  <si>
    <t>…ecciones hasta te de la Cámara dé los Pares y otros, muchos distinguidos perso— muy cerrada la noche, inutilizando nuestros bravos en el alcance nages. un sin número de armas que no tenían tiempo de conducir, tra ____El busto del barón Cuvier acaba de ser colocado en el atrio yendo consigo otras muchas y varios prisioneros, entre ellos al ca de la escuela de medicina. becilla Armencha, titulado brigadier y gefe de una de las divisio ESPAÑA. nes de esta horda de bandidos, y uno de los que mas prestigio te jí a, el cual ha sido pasado por…</t>
  </si>
  <si>
    <t>Cuvier, F</t>
  </si>
  <si>
    <t>F Cuvier</t>
  </si>
  <si>
    <t>…ce en su nombre y en el del Sr. fridooo Geoffroy, una nueva especie de zorra muy temióla da los patagones; un hermoso indivi una «elación de la parte zoológica deFviage del Sr. d’Orbingny. duo de esa pequeña especie de oso que el Sr. F. Cuvier ha nombrado ursus or- ' El &lt; rélattrr principia -ttah t-dand»!» tsqKtt i*6.Jtofchek po'iMa- ad ministra-' ■ natas, y de que-cl Museo-poseía Um&amp;súEa tanth en un estado de conserva eipn del-Museo .pará- ltenai loerVaetoa que'sereácMtmbial en. ais ricu» éoAéáf- ción Instante malo. *íonm,í potar ¡de lo…</t>
  </si>
  <si>
    <t>Cuy, Camilo</t>
  </si>
  <si>
    <t>Camilo Cuy</t>
  </si>
  <si>
    <t>…esta solemnidad, la cual atrajo una que hasta ahora han manifestado, con lo que so concluyó el acto. = Vicenta fren concurrencia da naturales y extrangerosv Oses, secretario adjunto. ÍOS-TUCAI. Discurso teido por el director Br. D. Camilo Cuy de al empezarse el acto tdsboa 14 de Octubre. de la distribución de premios de La academia de dibujo y pintura de Saa Alejandro. ‘Discurso qite «1 Presidente de la diputación de la Cámara de Diputados di rigió á S. M. F. en ocasión de presentarle la lista de los cinco candidatos pare Sr. presidente, S…</t>
  </si>
  <si>
    <t>Cuyas, Camilo</t>
  </si>
  <si>
    <t>Camilo Cuyas</t>
  </si>
  <si>
    <t>…ombre de Sabana. pectorUrdncipal dé la aiademiayícon Ijn/nUtñércfco concursó, deseoso! de exá-V mihazsudjrabajoaqüé-anteriocAÍaitc sanabiaa-colócadd*'á iaívista del públiéó, se empezó el acto con un discurso leído por el director D. Camilo Cuyas, en el que dando cuenta de que sé presentaba^ como tai por primera vez, de que ea .■ Y zYPzrri/lO de Octubre. . , realidad no habían empezado losíratíijós dé la academia hasta él 14 de Setiem lonja de hoy. Cinco por 100 consolidados, IOS fr. 85 c.: fondos espa bre del año próximo pasado, y de que e…</t>
  </si>
  <si>
    <t>Cwiedes</t>
  </si>
  <si>
    <t>…obernador civil de la proviotfU Sr. Presidente interino del Estamento de Sres. Procuradores, ea que manifesta de Cádiz. ba que M. la Reina Gobernadora en uso lde sus facultades con arreglo al A la misma *e pasó una exposición del Sr. Cwiedes, nombrado por U ait. 21 del Estatuto Real se había servido nombrar de entre los cinco candi Coruña, manifestando no tener la renta suficiente para ser Procurador. datos propuestos por el Estamento, al Sr. conde de Almodovar para Presiden— Igualmente se la pasó un oficio del Gobierna relativo á la e…</t>
  </si>
  <si>
    <t>Cxaillard</t>
  </si>
  <si>
    <t>…que fueron í Portugal para servir en el ejército de Doña María es ídem dií los ditutados----- Sesión de ident. tán aun en Lisboa. S$ habla de una mudanza parcial del ministerio: Joaquín Aprobada el acta de la ultima sesión lee el Sr. Cxaillard el informe de la Antonio Magalhaens sera del Interior en lugar de M. Aguiar: Anselmo Braa- comisión que ha examinado el provecto de lev relativo á los extranseros Tefu— meamp de Estado, y Manuel de Macedo Pereiro de Gracia y Justicia. De los giados en Francia. La comisión opina que se debe renovar…</t>
  </si>
  <si>
    <t>Czartórizki, Adan</t>
  </si>
  <si>
    <t>Adan Czartórizki</t>
  </si>
  <si>
    <t>17/11/1834</t>
  </si>
  <si>
    <t>Gaceta de Madrid n.º 276</t>
  </si>
  <si>
    <t>…amnistía va unida l.° la lista de 2^9 criminales conde nados á la pena de horca; 2.° de 9 sentenciados ¿ la decapitación, entre los _ --T1 Times hace varias reflexíones'sobre un artículo de la Gaceta cte Augscualo6 se cuentan el Príncipe Adan Czartórizki, Moraski &amp;c,¡ 3.° de cri burgo, destinado especialmente á encomiar ia. pol.tica del gabinete de Yicna minales condenadpe por. 20 ano# ¿ la. fortaleza; 4*° drros condenados por y del Príncipe de Meirercrich, que esta al frente de ia administración d* aquel 10 a&amp;06. El Emperador bá tenido á bitfi con…</t>
  </si>
  <si>
    <t>D'Argout</t>
  </si>
  <si>
    <t>…veras, se afianzará muy pronto la tranquilidad públi Parir 19 de Marzo. ca. Concluye manifestando que después de ilustrado por la discu sión decidirá cómo ha de votar. Lonja de hoy. Cinco por 100 consolidados 106 fr. 55 c. Fon £1 Sr. D'Argout, ministro del Interior: «Señores . cuando se do» españoles, renta de España 3 por 100, 40§- Empréstito Real ha tenido la audacia de atentar repetidas veces contra ci órden pú d* id. 81. Renta perpetua de id. 65|. blico; cuando se presenta una ley cuyo objeto es suprimir unos fo camara de ios diputa…</t>
  </si>
  <si>
    <t>D, Angel Fernandez de los Ríos y</t>
  </si>
  <si>
    <t>Angel Fernandez de los Ríos y D</t>
  </si>
  <si>
    <t>…na co denciales hace algunas semanas, acaba de sucumbir a una jfiebre nerviosa. El misión compuesta de D. Juan Gualberto González, D. Juan Alvarez Sr. Testa, encargado de Negocios provisorios de la Holanda, ha recibido su Guerra, D. Angel Fernandez de los Ríos y D. Salustiano Olozaga, nombramiento definitivo. que desempeñará ademas las funciones de secretario, poniéndose de Se han comprimido los alborotos de Trebisonda ¿ y algunos gefes han sida acuerdo con los encargados de redactar el Código civil, examine el castigados de muerte. de Comerció, que rige en l…</t>
  </si>
  <si>
    <t>D, Eduardo Galvéy PROVINCIA DE TERUEL Si</t>
  </si>
  <si>
    <t>Eduardo Galvéy PROVINCIA DE TERUEL Si D</t>
  </si>
  <si>
    <t>…¿ 26 Idem... 380 54 9 ELECCION DE PROCURADORES DEL REINO. Nota. Se ha rectificado el error cometido en el último parte respecto á lo* Provincia os málaga; que murieron en 23 y 24 del citado -Agosto en la ciudad de Tarragona. Sr. D. Eduardo Galvéy. PROVINCIA DE TERUEL. Si. D. Rafael de Rodas.- Su gobernador civil dice con fecha 28 del mes próximo pasado que en Torremocha no se habia alterado la salud pública desde el día 2 del referido ESTADO SANITARIO DEL REINO. Agosto: que el 24 del mismo solo había un enfermo en Villafranca, y el 25 cuatro en Moscardón, invadidos tod…</t>
  </si>
  <si>
    <t>D, Gabriel MINISTERIO DE MARINA Mendizabal y</t>
  </si>
  <si>
    <t>Gabriel MINISTERIO DE MARINA Mendizabal y D</t>
  </si>
  <si>
    <t>…egún lo anteriormente den para su inteligencia y circulación. Dios guarde &amp;c. Madrid 7 establecido; he venido en nombrar para presidente de él al mar de Febrero de 1834-=Aranalde. ques de Campo Sagrado, para ministros militares á D. Gabriel MINISTERIO DE MARINA* Mendizabal y D. Pedro Baylin por el arma de infantería: á Don Francisco del Pino por la de artillería: á D. Manuel Pueyo por la Real orden. de ingenieros, ,y i D. Francisco Ramonet por la de caballería: S. M. la Reína Gobernadora se ha dignado conferir la ca para ministros togados á D. Joaquín Sistemes , D. Juan J…</t>
  </si>
  <si>
    <t>D, Infante D Fran Sermo Sr Infante</t>
  </si>
  <si>
    <t>Infante D Fran Sermo Sr Infante D</t>
  </si>
  <si>
    <t>…e y darse en metálico, es menester que seamos sumamente económicos en su dis Alvarez García. tribución. „ Se leyó el párrafo del dictamen de la comisión , que señala 3.5009 rs. al «Se nos ha dicho que debemos grandes Servicios al Sr. Infante D. Fran Sermo. Sr. Infante D. Francisco y si^^eugusta esposa; y habiéndose preguntado cisco. ¿Quién lo niega I Son tan claros como la luz del medio dia. Pero por lo inmediatamente si se aprobaba , fue aprobado en efecto. mismo n&lt;5 creo que sean susceptibles de pagarse con dinero , y me parece que Algunos señores reclamaron cont…</t>
  </si>
  <si>
    <t>D, José Sagrista y</t>
  </si>
  <si>
    <t>José Sagrista y D</t>
  </si>
  <si>
    <t>…las othtwlaKi exentas de dereal 10» municijales y de consumo, como se practicó k&gt; que se concede la empresa del canal de Tamarite á D, Anlonio Itasta' »Uora en semejantes empresas ejecutadas por cuenta ael Real Gassó y Calafell, D. José Sagrista y D. ííarclao Mercader, yre*eo-</t>
  </si>
  <si>
    <t>D, Josef María Maestre de Juan y</t>
  </si>
  <si>
    <t>Josef María Maestre de Juan y D</t>
  </si>
  <si>
    <t>…idencia del supremo consejo de Hacienda se cita al dueño que resulte Contreras, habiéndose hecho mención honorífica de los concurrentes D. Ra ser del oficio de escribano de número de ia ciudad de Cádiz, servido últimamente fael y D. Josef María Maestre de ¿&gt;. Juan y D. Pedro de Torres, por I&gt;. Miguel Brignon, y que se pretende pertenecer al mayorazgo fundado por Do i En matemáticas fueron premiados el alumno de geometría D. Francisco ñaDueñasClara áCaballerofin de que, poren elagregacióntérmino deque30 díasá él hizocomparezcaDoña Teresaen dichoManuelasupremoVázqu…</t>
  </si>
  <si>
    <t>D, Juan</t>
  </si>
  <si>
    <t>Juan D</t>
  </si>
  <si>
    <t>…ios de cinco pueblos; se han concluido ademas tres, y ha Cappelari , monge benedictino camaldulense, cnqrl dia Gregorio svi, Sumo Pontífice; resuelto 34 expedientes para la ejecución de otros tantos. y traducida al castellano por D. Juan D/az de Baeza, presbítero, familiar de Su San Ha sido capturada una partida de ladrones que se presentó en el término detidad.500 supáginas,notarioJáyquede layasillase estáapostólica.imprimiendo;Constallevaesta alobrafrentede unel romoretratoende4.aSu deSantimas de Z.ifre , habiendo verificado la pri…</t>
  </si>
  <si>
    <t>D, Juan ALEMANIA Fernandez del Pino y</t>
  </si>
  <si>
    <t>Juan ALEMANIA Fernandez del Pino y D</t>
  </si>
  <si>
    <t>…Coloino: para las-degefes de mesa dé la misma a D. José Sánchez Ocaña y ' {Continuación del correo anterior.) al marques de Villagarcía: para la de gefe de la quima sección á Don Leoncio Macragh: para gefes de mesa de la misma á D. Juan ALEMANIA. ■Fernandez del Pino y D. Claudio Fernandez: para la de gefe de la Gran datada de Hase-Darmstadt 27 de Jinda. sexta sección á D. Ignacio Duran: para las de gefes de mesa de la Ayer se trató en la Cámara de los Comunes de la fortaleza de Maguncia. Se misma á D. Diego López Ballesteros, D. Manuel Lacerda y D. Mi acordó suplic…</t>
  </si>
  <si>
    <t>D, Miguel Ricardo de El Excmo Sr</t>
  </si>
  <si>
    <t>Miguel Ricardo de El Excmo Sr D</t>
  </si>
  <si>
    <t>…ovar los documentos ó suplirlos por otros, ofreciendo presentarlos i ’ Se dió cuenta de uft dictimen de la comisión de examen de documentos, luego que los tenga corrientes. - la cual, en vista de los presentados por el Excmo. Sr. D. Miguel Ricardo de El Excmo. Sr. D. Justo María de Ibar Navarro expuso que sus males no - Alava, que hallaba corrientes; opinaba que podrían aprobarse, y ser admitido le han permitido concurrir á la sesión del día 11, pero que se esforzaría pira aquel en el Estamento. Este se^ conformó con el dictamen de la comisión. asistir ¿ Jas de…</t>
  </si>
  <si>
    <t>D, Modestó los D Domingo Vazquez y</t>
  </si>
  <si>
    <t>Modestó los D Domingo Vazquez y D</t>
  </si>
  <si>
    <t>…enfermedad,con illa 24 Ver seguía la bastante rigor,y de esta república.'dadanos ' , ' ,;.'n‘'(.í't ,pe&gt;- los cuales de la I8ó enfermos, fecha huboén Valdenebro del mes.de propietarios Sánchez, " á 4 del cpmercio de esta capital D. Modestó 4-° los D. Domingo Vazquez y D. José Gestal que Han solicitado del "gobierno su , recicron 8. ^ ‘ aquiescencia á esta declaración, serán inmediatamente1responsables del buen' í&amp;o .. PROVINCIA DE TARRAGONA. - que debe hacerse de ella, constituyéndose garantes tfe’tódá Y cualquiera Ope ración de las expediciones que se dirijan por…</t>
  </si>
  <si>
    <t>D-Fermín-Salcedo</t>
  </si>
  <si>
    <t>Gaceta de Madrid n.º 319</t>
  </si>
  <si>
    <t>…atameateá-laicensura, sopenadp úna: mulita déMOOtaleis. en celadores montados¿ yencaíganclola celeridad conducente á/la caballeríahi caso de contra vene ion. A consecuencia ídei esta: nueva decisionunajcasa de co ce, adelantar al coronel D-Fermín-Salcedo con parte de ella- Todos llegaron mercio de libros de Ascháflemburgo se ha visto precisada á suplicar, ppr me al,campo de Urbin&amp;i, cuando los bizarros de Córdoba volvían sobre los ene dio de circulares á susicorreaponsjdes -ext-rangerós ; qué: no: envíen. .obras nue— migos: nuestros jabalíos difund…</t>
  </si>
  <si>
    <t>D.-Fratictscó, Infante</t>
  </si>
  <si>
    <t>Infante D.-Fratictscó</t>
  </si>
  <si>
    <t>…atenciones agregamos Jas consigna tan sido también tomadas en consideración por ia conúsiori tajo varios íspocciones que paga la mismá.tesorería ¿ ciertos establecimientos de cducaciony ca - toa No ha olvidado al tratar de la del Sr. .Infante -D.-Fratictscó los servicie* sas de beneficencia, cuya utilidad no entro ¿ examinar, aun serán mayores las prestados por S. A. á la causa pública; y queriendo dar un testimoniodel sumas de los gastos, (a autoridad Real necesita hacer muchos para atraerse el 'aprecio que le:merecen, aunque ha rebajado á tres millones…</t>
  </si>
  <si>
    <t>D.-Pedro</t>
  </si>
  <si>
    <t>…cons-^ punción descubierta en. 1853 , y que había recibido mil Utvores.y. £tacjasT&lt;|^ - • S. M. se hat dignado exonerar del cargo de virey de Navarrrt al parte dél Rey r haya, ádo ejecutado. El Sr- EUnct sO: propone Lt 1 teniente general D.-Pedro jSqr¡&gt;field, y noihbrar para desempeñar evitar las persecuciones de nuestro gobierno (Lbrr. partifuiar^ ............. ? , aquel^estkio, con elirnándo del ejército-’de operaciones del Norte, tmkAMTA. al quedelien reunÍFft« ^ tropas del de Portugal qué matehan hacia el'Bbrov di tetiienté'géiiéral D.…</t>
  </si>
  <si>
    <t>D..Ramiro</t>
  </si>
  <si>
    <t>…con mayores ventajas de las que nos ofrece ia nueva ley. E*ta se li agravio á su .sabiduría, si quisieran .desentrañar minuciosamente el diploma mita ¿ dar por nula la obligación del Voto, esto es, á declarar libres á los pue del Rey D..Ramiro i , de cuyo supuesto documento trae origen esta exacción. blos y particulares sobre que gravita el pago de esta que se llama tiiju&amp;u contri Después de los luminosos escritos de nuestros sabios, seria jiña vana oslenla- bución , ofreciendo, empero , indemnizaciones que temo no puedan realizarse, «io…</t>
  </si>
  <si>
    <t>D.Faustino</t>
  </si>
  <si>
    <t>…ibertador de la de Castro; y que la infantería del regimiento provincial de Plasehciá, mandada patria, el grande héroe qup ya fue nuestro Rey y Regente, ocupa hoy" el trono por el eapitan de cazadores D. Pedro Juan de Salcedo, el teniente D.Faustino de sus mayores, y como delicia y esperanza de los portugueses les afianza el Solís, y subtenientes D. Manuel,Moscoso y D. Dionisio Olgado continuaron inas próspero reinado, y á la academia Real de Marina y Comercio que ve la persecución por nuestra izquierda hasta el pueblo de Santibañez del Val, nimo…</t>
  </si>
  <si>
    <t>da Bandeíra, Sa</t>
  </si>
  <si>
    <t>Sa da Bandeíra</t>
  </si>
  <si>
    <t>…os habitantes, y abrazaron te que me ha dirigido el coronel Nogueras, quien después de cuatro oías do la causa de la Reina Doña María. consecutivas marchas de 11, 12, 14. y 16 horas de camino, alcanzó al fin i h Nos consta que el barón Sa da Bandeíra derrotó y puso en fuga la fuerza facción de Carniccr y consiguió derrotarla. ............</t>
  </si>
  <si>
    <t>da Continúa, Grey</t>
  </si>
  <si>
    <t>Grey da Continúa</t>
  </si>
  <si>
    <t>…pués que se vo d£^5f^jamó la atencipi^de la Cámara^h^ el-sistema de política ex.lrange- tasen los créditos suplementarios pedidos por el ministerio de la Guerra, rÍílí£6WíÍPí#í&gt;*-'$Í nún¡sm¡&lt;&gt;,X?í *u discurso, y d*. la réplica de lord, Grey da- Continúa la discusión acerca de la colonización de Argel. El Presídeme del consejo explica detenidamente la*, intenciones del go-</t>
  </si>
  <si>
    <t>da Costa, Alvaro</t>
  </si>
  <si>
    <t>Alvaro da Costa</t>
  </si>
  <si>
    <t>…uguesa t&gt;. Pedro, cuyo comandante ere portador de ^ &gt; ’ Parí* 2S de Junio una carta regia del Duque Regente, fecha 13 def referido mes, con órd^n al Lonja de hoy. Cinco por 100 consolidados 106 fr. SO c. Fondos espsño- gobernador D. Alvaro da Costa para que' en el término de tres fe Iés", rerifa’3e España 3 por" 100, 4^1* Empréstito Real dé Ídem 8á&amp; Rentü su recibo, prestase é hiciese prestar obediencia al gobierno legitimo de au perpetua de ídem 76. gusta Hija, y de lo contrario serian tratados como rebeldes. El gobernador, acérrimo defensor…</t>
  </si>
  <si>
    <t>da Costa, D Alvaro</t>
  </si>
  <si>
    <t>D Alvaro da Costa</t>
  </si>
  <si>
    <t>…guerra portuguesa t&gt;. Pedro, cuyo comandante ere portador de ^ &gt; ’ Parí* 2S de Junio una carta regia del Duque Regente, fecha 13 def referido mes, con órd^n al Lonja de hoy. Cinco por 100 consolidados 106 fr. SO c. Fondos espsño- gobernador D. Alvaro da Costa para que' en el término de tres fe Iés", rerifa’3e España 3 por" 100, 4^1* Empréstito Real dé Ídem 8á&amp; Rentü su recibo, prestase é hiciese prestar obediencia al gobierno legitimo de au perpetua de ídem 76. gusta Hija, y de lo contrario serian tratados como rebeldes. El gobernador, acérrimo defensor…</t>
  </si>
  <si>
    <t>da Furgo, Javier</t>
  </si>
  <si>
    <t>Javier da Furgo</t>
  </si>
  <si>
    <t>…o d id.) mendados eficazmente al ministerio de Hacienda y al de Gracia y Justi | átales decretos nombrando presidente, miqistre^ y fiscales de} supremo tribu cia. (Id.) nal de España c Indias. (Id.) j Reales decretos admitiendo a D. Javier da Furgo* la renuncia que ha ha,ho de Prescribiendo el juramento que deben prestar los mismos. (Id.) la secretana del Despacho del Fomento, ' ^.orcecheiv.oie La gran cruí de «a —— determinando el lugar que deben ocupar los mismos, excepto el presi Real y distinguida orden de Carlos m en gremio de su» servidos.…</t>
  </si>
  <si>
    <t>da Méjico, Arzobispo</t>
  </si>
  <si>
    <t>Arzobispo da Méjico</t>
  </si>
  <si>
    <t>…individuos mas que los sueldos que les cor respondiesen por sus carreras en el estado en que estuviesen de ellas; y aun si Núm.® 8.° Consejo de Gobierno. hubiese quienes quisiesen formar petición conmigo, pediría á S. M. se supri Sr. Arzobispo da Méjico; goza de una prebenda de miese de una vez ese consejo de regencia.” 809 rs. de renta, y ha cedido el exceso que habia El Sr. Secretario del Despacho de Estado: "En tanto que esta cuestión que abonarle hasta 1209 rs. se reducía a hacer ciertas economías, como propone la comisión, era suma Sr. marque…</t>
  </si>
  <si>
    <t>da Purgo, Javier</t>
  </si>
  <si>
    <t>Javier da Purgo</t>
  </si>
  <si>
    <t>…o d id.) mendados eficazmente al ministerio de Hacienda y al de Gracia y Justi | átales decretos nombrando presidente, miqistre^ y fiscales de} supremo tribu cia. (Id.) nal de España c Indias. (Id.) j Reales decretos admitiendo a D. Javier da Purgo» la renuncia que ha ha,ho de Prescribiendo el juramento que deben prestar los mismos. (Id.) la secretaria del Despacho del fomento, \ ^or^dicncoie La gran ctuí de «a —— determinando el lugar que deben ocupar los mismos, excepto el presi Real y distinguida orden de Carlos m en gremio de sus servicios. ^…</t>
  </si>
  <si>
    <t>da Silva, Rebello</t>
  </si>
  <si>
    <t>Rebello da Silva</t>
  </si>
  <si>
    <t>…e diciendo que en Lerma au Suscitóse una ligera discusión promovida por el Sr. marques de Saldaba mentaba el número de enfermos. sobre la decisión que se había tomado en la sesión anterior con respecto á la exposición que hizo el Sr. Rebello da Silva, relativamente al aviso que reci PROVINCIA SE CASTELLON DE LA PLANA. V bieron los Sres. Diputados para reunirse el dia 18, siendo asi que los dignos Pares habían empezado sus trabajos el dia 16: y habiendo tomado parte en la En 25 del presente dice su gobernador civil que el dia 21 de! mismo discus…</t>
  </si>
  <si>
    <t>da Villacbica, D Manuel</t>
  </si>
  <si>
    <t>D Manuel da Villacbica</t>
  </si>
  <si>
    <t>…dantes, un capitán, un teniente , un subteniente ó alférez, un sargento, un lud. El Estamento seda concedjó. cabo y un urbano, elegidos anualmente por sus clases respectivas, como se pre En seguida entró á jurar y tomó asiento el Sr. D. Manuel da Villacbica, vendrá en el reglamento. Podrán ser reelegidos. Los tres últimos individuos no Procurador por la provincia de Zamora. asistirán al referido consejo cuando se trate de juzgar á algún oficial. Suplirán Ei Sr. Secretario del Despacho de Hacienda ocupó la tribuna, y Layó un su falta tres individuos de…</t>
  </si>
  <si>
    <t>da Villacbica, Manuel</t>
  </si>
  <si>
    <t>Manuel da Villacbica</t>
  </si>
  <si>
    <t>…es, un capitán, un teniente , un subteniente ó alférez, un sargento, un lud. El Estamento seda concedjó. cabo y un urbano, elegidos anualmente por sus clases respectivas, como se pre En seguida entró á jurar y tomó asiento el Sr. D. Manuel da Villacbica, vendrá en el reglamento. Podrán ser reelegidos. Los tres últimos individuos no Procurador por la provincia de Zamora. asistirán al referido consejo cuando se trate de juzgar á algún oficial. Suplirán Ei Sr. Secretario del Despacho de Hacienda ocupó la tribuna, y Layó un su falta tres individuos de…</t>
  </si>
  <si>
    <t>Da-Bandevra, Sa</t>
  </si>
  <si>
    <t>Sa Da-Bandevra</t>
  </si>
  <si>
    <t>22/04/1834</t>
  </si>
  <si>
    <t>Gaceta de Madrid n.º 61</t>
  </si>
  <si>
    <t>…a conservación del orden, I que se guarde la mejor armonía con Este movimiento sobre aquel punto puede tener relación coa los habitantes portugueses: prohíbo promover con ellos disputas de la marcha que se dice iba á emprender el barón Sa— Da-Bandevra opiniones, usar de términos, apodos ó maneras insultantes y pro desde Lagos sobre Beja, resuelto tal vez á batir á M. Bourmont vocativas, para designar á nadie la suya, y mando se respeten las que sigue en aquella plaza con 1100 hombres de buena tropa, y costumbres y uso» dpi país, en «l concepto q…</t>
  </si>
  <si>
    <t>Dada, Se</t>
  </si>
  <si>
    <t>Se Dada</t>
  </si>
  <si>
    <t>…, como dice un publicista moderno, »pudiesen caber todas en to , en firmar la petición nuera; pero será en el concepto de que se redacte de una oja de un árbol.” modo que dejje salva la prerogativa que el Estamento tiene, pues el señor Se «Dada la ley fundamental que crea un Estamento electivo por el pueblo, cretario de Estado ha dicho que le gusta mucho, muchísimo, el ver que los la ley orgánica debe establecer los grados, términos y circunstancias de la elec cuerpos defienden dedo á dedo sus prerogativas, y yo me hallo en el caso de ción d…</t>
  </si>
  <si>
    <t>Dalbourg, Marc</t>
  </si>
  <si>
    <t>Marc Dalbourg</t>
  </si>
  <si>
    <t>…de á cuatro y de á ocho. Pero aquella *• El ministro de lo Interior, entonces del Fomento, y á quien correspon mismt unid id m jneiarta se dividía en provincial y nacional á principios del día este ramo, recibió los proyectos del Sr. Marc- Dalbourg, y nombró para siglo pasido. El real de plata provincial constaba de subdivisiones , y so ley- ó •caminarlos una comisión. Pasó despura el negociado á Hacienda , y quedó es grado de fino era de diez dineros: el real de plata columnario correspondía á U te asunto como Suspenso por algún t empo, ocup…</t>
  </si>
  <si>
    <t>Dama</t>
  </si>
  <si>
    <t>…s del ejército una Real orden mandando, se suspendan, por ahqra El presidente lee el artículo l.°, que fija el número de mariscales de Fran las ljcenqias temporales que diariamente se concedían á los oficiales y soldados. cia: el general- Dama»qay' dice que él-ejército no se ha hecho para el estado (Líterat, ) . mayor , sino cate-para aquel; por cuya razón se debía comenzar por la organi Ayetse dió »n palacio una magnífica comida , á la que asistieron todos zación del ejército, reservando para después el arreglar el estado mayor con los…</t>
  </si>
  <si>
    <t>Damtcif</t>
  </si>
  <si>
    <t>…jp mas^que puedo, hacer -e» convenir e%, que quede él expediente sóbrela mesa,., y: en que„fc&gt;re-indívádao jura ¡fique pior ESTAMENTO D &amp; SEÑORES PROCURADORES. namente y como corresponde, la pósesioá y propiedad 4® su tanta” a El Sr. Damtcif: » Dos cltises de. documentos presentapl sugeto de queso, r- trata, ó por mejor decir , dds ciases detenías; una la asignación de renta ali Sesio.i dil día 30 de-QjJUihxr. menticia, que no le constituye propietario: otra la posesión en que está de mil - Se abrió á las once, y leída el acta de la an…</t>
  </si>
  <si>
    <t>Daña</t>
  </si>
  <si>
    <t>…jo de Ministros, que la a|&gt;ertura solemne de las aprecio de S. M. la entereza con que sostuvo 1a autoridad que ejer Cortes generales de! Reino que van á convocarse, se verifique el ce en nombre de su augusta Hija la Reina nuestra Señora Daña dia 24 de Julio de este presente año, lo comunico á V. E. de Real IsAREL ti, hasta donde permitió la desoliediencia y culpabilidad del ñnlen, para que poniéndose de acuerdo con el subdelegado principal ayuntamiento. ile Fomento de la provincia de Madrid, y con el corregidor de la 2'.’ Quedan suspen…</t>
  </si>
  <si>
    <t>Danpias</t>
  </si>
  <si>
    <t>…aj Rey l^s cartas que le acreditan en calidad de tal cerca de S. M. el Rey de Jos franceses El caballero de Lima hi sido conducido á la audiencia del Rey Madrid 30 de Mayo• con el ceremonial acostumbrado; estaba acompañado por el caballero Danpias, cónsul.general de S. M. F. que ha hecha, hasta ahora las veces de encargado do El gobernador civil de la provincia de Zamora con fecha de 24 del qti« negocios. (Monitor.) :... . rige , ha elevado á S. M. por conducto del ministerio de lo Interior , el siguien te parte que le ha dirigido el ayuntam…</t>
  </si>
  <si>
    <t>Dar, Fr Roque de Ol Segunda</t>
  </si>
  <si>
    <t>Fr Roque de Ol Segunda Dar</t>
  </si>
  <si>
    <t>…so San- presenten los editores, y'con la brevedad posible los demás escritos cliéz Ahumada, canónigo de' Oviedo; D. Lucas Meló; el P. M. Era y que les remitan los gobernadores civiles. José de la Canal, de! orden de S. Agustín, y D. Fr. Roque de Ol- Segunda. Dar parte al gobernador civil respectivo en el dia mis cinellas, paborde del monasterio de‘Rit&gt;nll, se ha servido S. SI. mo de la publicación de los periód mis sujetos á su revisión, en qtie nombrarlos auxiliares de dicha junta. De Real orden lo digo á V. E. se hayan insertado artículos no aprobados, o…</t>
  </si>
  <si>
    <t>Dargains, Matías.José</t>
  </si>
  <si>
    <t>Matías.José Dargains</t>
  </si>
  <si>
    <t>…de ámoniacó. La sal que se prodqce en ■■Se ciw í pjdos-liH que se crean enn algún derecho á lo* bienes que han quedado tonces no tlene efecto purgante sobre los intestinos, sino por el contrario una , por la;imierte inte*(ada..de D. Matías.José Dargains, vecino.que fue de esta corte par» oe en el perentorio termino de 20 días contados desde esta publicación &lt;e presenten á rendencía í 'estimular la piel y ércitar Iajjiaforésu, que no tiene U combina- 3 jJucírle ante el Sr. perrero, por la escribanía de ^(uotoya, apercibidos que de n* don dé! ácido…</t>
  </si>
  <si>
    <t>Dassaoce, Mariana</t>
  </si>
  <si>
    <t>Mariana Dassaoce</t>
  </si>
  <si>
    <t>…de España» que se está ha ciendo por la Real Imprenta. Se halla venal en la Real caJcografia.de. la misma .como (amblen el primero; a 14 rs. cada uno en negro y 28 iluminado. PROVINCIA BE ZAMORA. —Habiendo fallecido en esta corte Doña Mariana Dassaoce. natural de Halson , de— arrainento de los bajos Pirineos en el distrito de Bayona de Francia,, Instituyendo por Con fecha 30 del'mes último manifiesta su gobernador civil que el día 27 eredera.en primer lugar á su madre Doña Catalina Etchegaray, vecina de dicha po declaráronlo, facultativo, que la…</t>
  </si>
  <si>
    <t>Dáviia, Ramón</t>
  </si>
  <si>
    <t>Ramón Dáviia</t>
  </si>
  <si>
    <t>…e hace reco bres, salí ayer mañana de este pueblo con las dos columnas de mi mendable. El teniente D. Ramón González Alpüente, y de la mando, á las órdenes del coronel D. Leoncio de la Barcena y te misma graduación el subteniente D. Ramón Dáviia, de la 1.* de niente coronel D. Miguel Cosío, dirigiéndome al pueblo de Bó Borbon, se portaron con valor. El capitán D. Joaquín Díaz de veda con la primera de ellas mientras el comandante Cosío pasaba Rabayo, de la 4-1 del J.° del mismo cuerpo, y el teniente gradua á Sanzadornil con la segunda. Est…</t>
  </si>
  <si>
    <t>Dclaborde</t>
  </si>
  <si>
    <t>…Potencias europeas respecto á Turquía) único medio -que-en su NOTICIAS EXTRANGERAS. opinión hay de evitar la catástrofe que amenaza á este imperio, y de establecer la paz y buena armonía entre Oriente y Occidente. , CRECIA. &gt; EL Sr. Dclaborde alaba las ideas y nobles sentimientos del preopinante; di Syra 8 de Noviembre. ce que el imperio turco no está tan próximo4 su ruina como algunos piensan; T&gt;e resultas de la última conspiración que venturosamente se descubrió en hace unas brevísimas observaciones sobre el sistema que el gobierno fr…</t>
  </si>
  <si>
    <t>Dcljo</t>
  </si>
  <si>
    <t>…a y (puerto que el Gobierno había niodlbcado su artículo con el mas sincero de mi entendimiento , y crea exigirlo el interés de mis comitentes.” seo del acierto, y que la comt&gt;ion había aceptado la modificación), la misma Jíl Sr. Caballero'. «Dcljo deshacer dos equivaciones en que ha incurrido extrañeza, repito, tengo yo. Me parece singular que la discusión se hava pro— el señor preopinante. La primera es que la petición sobre Milicia urbana se di lonj.ído tanto; pero ya que sigue y que se renuevan bajo varias formas les rigía i que fuese est…</t>
  </si>
  <si>
    <t>Dcljo, Caballero'</t>
  </si>
  <si>
    <t>Caballero' Dcljo</t>
  </si>
  <si>
    <t>…encia y (puerto que el Gobierno había niodlbcado su artículo con el mas sincero de mi entendimiento , y crea exigirlo el interés de mis comitentes.” seo del acierto, y que la comt&gt;ion había aceptado la modificación), la misma Jíl Sr. Caballero'. «Dcljo deshacer dos equivaciones en que ha incurrido extrañeza, repito, tengo yo. Me parece singular que la discusión se hava pro— el señor preopinante. La primera es que la petición sobre Milicia urbana se di lonj.ído tanto; pero ya que sigue y que se renuevan bajo varias formas les rigía i que fuese est…</t>
  </si>
  <si>
    <t>Dcsjobert</t>
  </si>
  <si>
    <t>…os que reportará el Casas de Ves 3 de Enero. Estado si se adopta su propuesta. La Cámara la toma en consideración, y des El 29 del pasado verificó este ayuntamiento la proclamación de S. M. la pués de oir las observaciones que el Sr. Dcsjobert hace acerca de otra proposi Reina nuestra Señora en tres hermosos tablados elegantemente dispuestos; y ción que ayer presentó también sobre caminos vecinales, la toma igualmente en para memoria perpetua de este suceso hizo levantar en unión con el alcalde consideración, acordando que una misma comi…</t>
  </si>
  <si>
    <t>de A, Aiiaucl.de Ricardo</t>
  </si>
  <si>
    <t>Aiiaucl.de Ricardo de A</t>
  </si>
  <si>
    <t>…ja deuda Hacienda sobre di reconocimiento de li drnd i ftvrr-tn-rera , -d?h^ ~derirsft fpie e^trrangerj r por p?rm He», los Sr&lt;s. PuV:crr«s lm Fyrrrinc. Sne&amp;... -ran/V Ai* ---- __fue ¿ peticinn-^lel Spr-mndt- fie P.iñnnrr&gt;&lt;tT-rt| D. Aiiaucl.de Ricardo de A!jvat. D. Pedro González Vallcjo, marques de El Sr. Presidente mamfeiró que el dia 19 del corriente hábil recibido del Albaidj y el conde González Cástejon, y por la de los Sre*. Procuradores Tos Eterno. Sr. E). Javier de Burgos um expo.icion que contenü la prtKc^ra que Sre«. D. Alvaro hlorcz fji'tr…</t>
  </si>
  <si>
    <t>de A, Josef</t>
  </si>
  <si>
    <t>Josef de A</t>
  </si>
  <si>
    <t>…or Bonaparte eo thcho ^fin; ▼ pOé los doctores de la misma el Excmo. Sr. D. Josef de Cafranga, gobernador distribuidos en los capítulos 25. 2f&gt;, 30 y 3r del tomo y.° del Jomlnt, que aquí se &amp;él túpremo consejo jr cámara deludías; D. Josef de A y uso y Navarro, mi nombran secciones, para su debida distinción de aqueifos 15 primeros. Contiene el nistro del Consejo Real; D. Fernando Vclez , del de las Ordenes militares; Don 4*°»parteflde3«°la dehistorialos principiosde la campañade Estrategiade 179ÓdeleaarchiduqueAlemania,Cáelos,en 18 capítuq…</t>
  </si>
  <si>
    <t>de Abajos, Agustín</t>
  </si>
  <si>
    <t>Agustín de Abajos</t>
  </si>
  <si>
    <t>…anunciar la sensible muerte del vicealmirante sir Miguel Sey- y también que se haga mención especial y honorífica de los tenientes D. Joa mour , qaballero comendador de la órden del Baño, y comandante en gefe de quín de Zalsas y D. Agustín de Abajos, y subtenientes D. Ramón Iriarte, las fuerzas navales de S. M. Británica en los mares del Sur, acontecida en su D. Francisco Latorre y D. Francisco Pulgar, cómo también del subteniente residencia de Larangeiró (Rio-Janeiro) después de una larga enfermedad. El empleado en la plana mayor D. Antonio S…</t>
  </si>
  <si>
    <t>de Abril, Fran Lóndres</t>
  </si>
  <si>
    <t>Fran Lóndres de Abril</t>
  </si>
  <si>
    <t>…mariscales de campo D- Felipe Montes y D. Gaspar Diruel, y á NOTICIAS EXTRANGERAS. y D. Tomás González Carvajal, ministro que fue del suprimido Con sejo de la Guerra. INGLATERRA. Para la de Hacienda á D. Antonio Martinez, decano; D. Fran Lóndres 8 de Abril. cisco López Alcáraz; D. Jacobo María de Parga; D. Niceto de Fondos públicos. Tres por 100 consolidados 90 • Larreta; D. José López Juana Pinilla. Ayer llegó á esta ciudad el nuevo embajador de España , conde Para la de Marina á D. Martin Fernandez de Navarrete, deca de Floridablanca. Hoy, acompañad…</t>
  </si>
  <si>
    <t>de Abril, Gobernadora Pamplona</t>
  </si>
  <si>
    <t>Gobernadora Pamplona de Abril</t>
  </si>
  <si>
    <t>…os lo seguiréis al noble grito é hija del conde de Grammont, capitán de guardias de Carlos x. de viva Isabel ii de Castilla, i de Navarra; viva su augusta Madre ____ Cartas de Ñipóles desmienten la noticia del proyectado viage la Reina Gobernadora. Pamplona 11 de Abril de 1834-=E1 ayun del Rey á Turin, y dicen que S. M. y su augusta Esposa han ido tamiento de la ciudad de Pamplona, cabeza del reino de Navarra, á Roma con el solo objeto de asistir á las funciones de Semana, ■, Julián Ozcariz.zrEl marques de Fontellas zzTomas Egúrvidc.zzAnaSanta, y que desde allí se v…</t>
  </si>
  <si>
    <t>de Abril, Iriarte Berlín</t>
  </si>
  <si>
    <t>Iriarte Berlín de Abril</t>
  </si>
  <si>
    <t>…, El Adj. chas fuerzas se han compuesto las columnas del mando del brigadier Arif. ': / ' i., : Iriarte, y dej coronel Carrera, que el 6 del corriente emprendieron ItRVSlA. • ’ , sus operaciones, sobre los confines de Vizcaya. El brigadier Iriarte Berlín 17 de Abril. ' deshizo á Castor, en cuya persecución sigue; y el coronel Carrera se unió al general Espartero, habiéndose obtenido en consecuencia Los sangrientos desórdenes que han ocurrido' en Francia, y el modo con las ventajas que muestra el parte siguiente; ’ que el gobierno de aquel pais ha sido protegido…</t>
  </si>
  <si>
    <t>de Abril, Joaquin Ro</t>
  </si>
  <si>
    <t>Joaquin Ro de Abril</t>
  </si>
  <si>
    <t>…ona. Tendréislo entendido, y dispondréis lo necesario para su la Secretaría de Estado y del Despacho del Fomento general M cumplimiento.irEstá rubricado de la Real mano.=En Aranjuez á reino , y mandar que él subdelegado de Cuenca D. Joaquin Ro14 de Abril de 1834-=A D. Javier de Burgos. driguez y el de Zaragoza D. Domingo Amonio Vega de Seoarc, sean recomendados eficazmente al ministerio de Hacienda y al ¿ Por haber tenido á bien aprobar con fecha de hoy la Ordenan Gracia y Justicia pan su correspondiente colocación , no precedién za general de los pre…</t>
  </si>
  <si>
    <t>de Abril, Viena</t>
  </si>
  <si>
    <t>Viena de Abril</t>
  </si>
  <si>
    <t>…r lo mismo que lo era, hacia la declaración de que era enemigo de las AUSTRIA. sociedades de la unión. *»Nada, añadió, puede haber peor, nada puede imagi narse mas pernicioso á los intereses de las clases que trabajan , y al bien general Viena 19 de Abril. de la nación entera, que la existencia de semejantes sociedades.” Hablan, las cartas de Trieste de una ligera indisposición del Rey Othon, ____ Los papeles de Francia recibidos en los correos inmediatos á la procesión que sé atribuye generalmente á la influencia del clima. de nuestros artesanos, parecían…</t>
  </si>
  <si>
    <t>de Abuin, Andrés Ramón</t>
  </si>
  <si>
    <t>Andrés Ramón de Abuin</t>
  </si>
  <si>
    <t>…erodel expresar topol está pronta á hacerse á la vela para Constantinopla á la pri do Consejo: para la de escribano primero de Cámara al q¡úc la des mera señal; que el Emperador Nicolás ha concedido ocho años empeñaba en el mismo D. Andrés Ramón de Abuin; y para lia de plazo á la Turquía para pagar su deuda; qué un alboroto serio, de capellán á D. Agustín Ai taza, que también U obtenía. Ifl li cuyos instigadores se ignoran, ha estallado en Bagdad y en Kuri</t>
  </si>
  <si>
    <t>de Acevedo, Josefa</t>
  </si>
  <si>
    <t>Josefa de Acevedo</t>
  </si>
  <si>
    <t>04/12/1834</t>
  </si>
  <si>
    <t>Gaceta de Madrid n.º 293</t>
  </si>
  <si>
    <t>…y el sargento adquirir algunas nociones de Briñas, en la provincia de Logroño, mueno por los facciosos en las már de aritmética, y el oficial poseer conocimientos mas extensos. genes del Ebro, una pensión de 3 rs. vn. diarios: á Doña Josefa de Acevedo, La gran dificultad consiste én la falta de profesores, porque apenas se madre de D. Domingo Menendez, cabo 2.° del batallón de celadores de Ala encuentran algunos hombres capaces de enseñar las ciencias de primer órden; va , asesinado pot los facciosos en el lugar de Heredia, una pensión de 3 rea…</t>
  </si>
  <si>
    <t>de Acevedo, Manuel</t>
  </si>
  <si>
    <t>Manuel de Acevedo</t>
  </si>
  <si>
    <t>…desembarazada toda aquella parte de frontera, notan solamen -------Vida del taumaturgo portugués S. Antonio de Padua, escrita en italiano por te de los dichos rebeldes, sino también de rodas Us tropas miguelistas, que re el abate'D. Manuel de Acevedo , natural de Coimbra, con noticias y observaciones unidas bajo las órdenes de Bourmont, intentaron el dia 11 sorprender á Sctif- criticas, sacadas de mas de cíen vidas del Santo, y de los documentos originales y au ténticos que el autor ha leído para escribir esta: traducida al español por un devot…</t>
  </si>
  <si>
    <t>de Acevedo, Manuel María</t>
  </si>
  <si>
    <t>Manuel María de Acevedo</t>
  </si>
  <si>
    <t>…a bajo la inspección de dicha sociedad. Fue lucidísimo el concurso que asis rias fs. ó vol. ■ tió i este acto. Id.Deudasin negociableínteres, 10 del¿d. $id.p. 100 4 papel, 18 p. 100 al contadb. .Él Sr. vicedirector de la sociedad D. Manuel María de Acevedo leyó un Acciones del banco español, 00. discurso, dirigido i excitar los ánimos de los jóvenes al estudio de una ciencia eauatot. tan importante para aquella provincia, y á todos sus habitadores á la gralitud hácia nuestra augusta Resina Gobernadora, á quien'tanto deben los progresos Amsterdssn,Bay…</t>
  </si>
  <si>
    <t>de Acha, Justo</t>
  </si>
  <si>
    <t>Justo de Acha</t>
  </si>
  <si>
    <t>…Luis Blanchar, Don enemigo, cuya destrucción les es necesaria, para conseguir su plaii'r Ignacio' 3e Eguilloz, D. Pablo de Beitia, D. Juan Antonio, de ‘ de 1823, que es pasearse sobre las, ruinas de.España como una tri-,, Salla, D. Justo de- Acha, D. Pedro Pick, EX Pedro Toluaga, bu de tártaros sobre los. desiertos de Escitia. Aquel horrendo plan - O. Julián Unzueta, D. Julián de Ugaldc y D. Pío de Éguizabál. que desbarató la prudencia de Fernando vil y de la parte ilustrada de su ministerio, quieren reproducirlo ahora: y ya se've que no ,…</t>
  </si>
  <si>
    <t>de Agosto, D Ra</t>
  </si>
  <si>
    <t>D Ra de Agosto</t>
  </si>
  <si>
    <t>…de 1834- neral Anleo por aquella plaza. =Excmo. Sr.=Gaspar de Jáuregui.=Excmo. Sr, general en gefe.” «Dios guarde á V. É. muchos años. Cuartel general de Roncesvalles á 29 »&gt;Excmo. Sr.: El brigadier D. Isidro Alaix y el teniente coronel D. Ra de Agosto de 1834 a las doce de la nochec=Excmo. Sr.=F.l marques de Romón Zugarramurdi, desde lrurita, con fecha de ayer á las nueve de la noche dil.=Kxcmo. Sr. Secretario de Estado y del Despacho de la Guerra." )&gt;nt- triplicado me dicen lo que elevo al superior conocimiento de V. E. = Mi brigadier: llegamos á…</t>
  </si>
  <si>
    <t>de Agosto, D Severiano Paez Jaramillo Lisboa</t>
  </si>
  <si>
    <t>D Severiano Paez Jaramillo Lisboa de Agosto</t>
  </si>
  <si>
    <t>…. Ignacio Sampons y Barba. rador del trono y de la corona. S. M. I. el Sr. duque de Braganza , en quien nada han influido las inco PROVINCIA DE MADRID. modidades del viage, continúa dando esperanzas de su pronto restablecimiento. Sr. D. Severiano Paez Jaramillo. Lisboa 6 de Agosto, PROVINCIA DE SALAMANCA. Se ha designado en esta capital , por orden del gobierno, un sitio para en Sr. D. Francisco de Pauta Crespo Rascón. terrar los animales; objeto muy interesante de policía urbana y re salubridad. Los encargados de esta operación van á buscar á las casas las caballerías muert…</t>
  </si>
  <si>
    <t>de Agosto, Ra</t>
  </si>
  <si>
    <t>Ra de Agosto</t>
  </si>
  <si>
    <t>…- neral Anleo por aquella plaza. =Excmo. Sr.=Gaspar de Jáuregui.=Excmo. Sr, general en gefe.” «Dios guarde á V. É. muchos años. Cuartel general de Roncesvalles á 29 »&gt;Excmo. Sr.: El brigadier D. Isidro Alaix y el teniente coronel D. Ra de Agosto de 1834 a las doce de la nochec=Excmo. Sr.=F.l marques de Romón Zugarramurdi, desde lrurita, con fecha de ayer á las nueve de la noche dil.=Kxcmo. Sr. Secretario de Estado y del Despacho de la Guerra." )&gt;nt- triplicado me dicen lo que elevo al superior conocimiento de V. E. = Mi brigadier: llegamos á…</t>
  </si>
  <si>
    <t>de Agosto, Severiano Paez Jaramillo Lisboa</t>
  </si>
  <si>
    <t>Severiano Paez Jaramillo Lisboa de Agosto</t>
  </si>
  <si>
    <t>…nacio Sampons y Barba. rador del trono y de la corona. S. M. I. el Sr. duque de Braganza , en quien nada han influido las inco PROVINCIA DE MADRID. modidades del viage, continúa dando esperanzas de su pronto restablecimiento. Sr. D. Severiano Paez Jaramillo. Lisboa 6 de Agosto, PROVINCIA DE SALAMANCA. Se ha designado en esta capital , por orden del gobierno, un sitio para en Sr. D. Francisco de Pauta Crespo Rascón. terrar los animales; objeto muy interesante de policía urbana y re salubridad. Los encargados de esta operación van á buscar á las casas las caballerías muert…</t>
  </si>
  <si>
    <t>de Agreda, José Antonio</t>
  </si>
  <si>
    <t>José Antonio de Agreda</t>
  </si>
  <si>
    <t>…ertad, reclama hoy Excmo. Sr. Marques de Monsalud. él ¡nísmópüesto contra las faccioOes enemigas del orden público. Sr. D, Juan Morales y Cortinas. Cuidado con no engañarse i losmismps electores son los que nombran; l os mis- Sr* D. José Antonio de Agreda. mol hombres, exceptuando algún otro, son los nombrados. Ni París, ni sus Sr. D. Ramón González Pérez. BipútádOs, hi el gobierno de quien son apoyo, han cambiado como lo repiten las facciones. Defienden y quieren hoy lo que defendían y querían seis afios hace. La única diferencia es que seis anos ha…</t>
  </si>
  <si>
    <t>de Agreda, Pedro Miguel</t>
  </si>
  <si>
    <t>Pedro Miguel de Agreda</t>
  </si>
  <si>
    <t>…se les deja descansar ni reponerse varlo á conocimiento de nuestra amada Reina, á los capitanes el teniente co un solo instante. ronel D. Angel Jiménez Pedrero, capitán de granaderos de Alcázar de Sao Juan, herido gravemente, y á D. Pedro Miguel de Agreda, del de Salamanca, también herido; al teniente ayudante interino del mismo cuerpo D. Sebastian ‘ El dia 27 de Abril último celebró la ciudad de Ayamonte la proclama Arias, quien voluntariamente marchó con las guerrillas, y fue el primero que ción de nuestra amada Rbina y Señora Doña Isabel ii con t…</t>
  </si>
  <si>
    <t>de Agreli, José Antonio</t>
  </si>
  <si>
    <t>José Antonio de Agreli</t>
  </si>
  <si>
    <t>…tamento en U úItima sesión, respondiendo los se- Se aprobaron, como psoponia la misma comisión, los poder.--, y docu fiores Presidente y Secretarios, que aun no lo habia verificado El Sr. Piesi- mento, just ficatisos de Ibs áre,. D. José Antonio de Agreli v D. Rimin dente anunció que no habría sesión hasta que .concluyese sus trabajos la comi González Pcrez, Procuradores por-Sevilla, por estar. cohfortne i lo p evesión encaf)$áíla':frel asunto re atTvo al Prínc-pe^tñal aconsejado,/"á ñjenos que / ' n:do. ■ x "y v - r ; por aij|una;1ór&lt;ijm dpi Gob ie…</t>
  </si>
  <si>
    <t>de Aguilar, Sebastian</t>
  </si>
  <si>
    <t>Sebastian de Aguilar</t>
  </si>
  <si>
    <t>…undado por D. Juan de Legarra. sus urgencias. Para la de esta ciudad he nombrado ya los individuos que deben El hospital de la villa de Meco. componerla , y para la de Reus y Torlosa me ocupo en averiguar cuáles son Genealogía de D. Sebastian de Aguilar. los sugetos mas aptos según el sentido del Real decreto. Ejecutoria de nobleza de las casas de los caballeros Sabugales Horrús y Prosigo instruyendo varios expedientes en averiguación de las fundaciones Vidal , extramuros de la villa de Balmascda. piadosas y del estado de sus rentas y administración ,…</t>
  </si>
  <si>
    <t>de Aguirrc, Diego</t>
  </si>
  <si>
    <t>Diego de Aguirrc</t>
  </si>
  <si>
    <t>…de, que servia en cXwara de los pares__ Sesión del dia 22. comisión la de Extremadura. Esta á D. Pascual Genaro de Rodenas, que ser Aprobada el acta de la última sesión, lee el Sr. Villemain el elogio fúne via la de Málaga. Estaá D. Diego de Aguirrc , que desempeñaba la de Cuenca. bre? del Sf. Agustín Periex. La Cámara acuerda que se imprima. Esta á D. Fernando de Rojas, que tenia á su cargo la de Santander. Y esta á Principia la discusión de la propuesta que acerca de los efectos del divorcio D. Ramón Manuel de Pazos, que ha sido nombrado par…</t>
  </si>
  <si>
    <t>de Ahamira, José María Mosco</t>
  </si>
  <si>
    <t>José María Mosco de Ahamira</t>
  </si>
  <si>
    <t>…plí- El gran consejo de Schaffousa ha, aprobado las reformas &lt;joe « han hecho mientp ’nFyibi rubricado de la Real imno.=£n Aranjuex ¿7 de Ju- en su Constitución, las cuales Se someterán ahora i U saodon del poa&amp;UxAjs niodolfiñCsA D. José María Mosco*» de Ahamira. principales reformas venan sobra el excesivo número de empleabas, y stAeeios</t>
  </si>
  <si>
    <t>de Ahamira, José María Moscoso</t>
  </si>
  <si>
    <t>José María Moscoso de Ahamira</t>
  </si>
  <si>
    <t>…mas graves consecuencias si estuviera realmente concebida en los ter cumpIimiento.=Está rubricado de la Real mano-En el Pardo á 13 mino*. que se supone. Ya un cantón había hecho una proposición semejante* de Noviembre de 1854.=A D. José María Moscoso de Ahamira. pero nadie hizo caso de ella. En el exterior se ha atribuido la mayor importancia á esta cuestión, y Habiendo vacado el gobierno civil de la provincia de Palencia en Suiza ha producido el efecto de poneT en movimiento todos los partido»» por haberme servido trasladar al de Valladolid al conde de Ga…</t>
  </si>
  <si>
    <t>de Aibear, Diego</t>
  </si>
  <si>
    <t>Diego de Aibear</t>
  </si>
  <si>
    <t>…moria, manifestando la utilidad y economía que debe resultar de ia adop la rebaja será de. ............................................................... 9.330,569 individuos. ción de una máquina traída de Londres á Montilla por D. Diego de Aibear, Quedan de las clases que pagan desde 54 fr. hasta aplicándola á la molienda de aceituna. De la explicación hecha en Ja citada el ........................................................................ 952,487 ídem. memoria resulta que en 24 horas pueden esprím.irse 144 fanegas de aceituna, Total.…</t>
  </si>
  <si>
    <t>de Aíro, Joaquín Ramírez</t>
  </si>
  <si>
    <t>Joaquín Ramírez de Aíro</t>
  </si>
  <si>
    <t>…to el pliego de Condi Parte sanitario. ciones. . 1 1 - A instancia de. la Esterna; Sra. condesa de VitlamarcieX* viuda de Bornos y do. aééúéii Díaz Enfermos. Curados. Fallecidas. Murlllo* se cita i todoaaos acreedores del Eterno. Sr. 1&gt;. Joaquín Ramírez de Aíro* coóde qbe fue de Bornos y de MuríUo, y padre det Sr. P. Jceé Ramírez dé Aro, ma rido que fue de dicha Scftora. y último conde de los mismot títulosi'y á rot t^rederoa’ 8j 9 Setiembre, 62 12 y «U«ecaesLÍF Ips defechos de los que hayan fallecido * par» que é^e£pvecfeo térsala#. de dos mese* K&gt;ntadoi…</t>
  </si>
  <si>
    <t>de Aitaminu, José María Mosco</t>
  </si>
  <si>
    <t>José María Mosco de Aitaminu</t>
  </si>
  <si>
    <t>…. No es dei caso que pretendan después determinar la formadapa'Sii cumplí miento.=Está rubricado de la Real mano.nEn Aran— de gobierno que haya de establecerse en Portugal, ni designar los hombres que juez á 13 de Mayo de 1834.=A D. José María Mosco60 de Aitaminu formen el ministerio. Estas cosas deben quedar al arbitrio de la nación. FRANCIA. MINISTERIO DEL FOMENTO GENERAL DEL REINO. París 30 de Abril. En 18 de Noviembre último comuniqué á los suprimidos jueces Hoy á medio dia el Rey , acompañado de los señores duques de Orleans, conservadores de montes la…</t>
  </si>
  <si>
    <t>de AJ, José María Moscoso</t>
  </si>
  <si>
    <t>José María Moscoso de AJ</t>
  </si>
  <si>
    <t>…comisión que dirigió á V. S. en la noche del 6, presentándose e» da para su cumplimiento. =:Está rubricado de la Real mano. = En cuerpo con este mismo objeto en la madrugada del 7 é insistiendo Aranjuez á 12 de Abril de 1854. = A D. José María Moscoso de AJ- en el por tercera vez en olido del propio dia : visto lo cual, que de tamíra. nada habían servido los esfuerzos de V. S. para hacer entrar en su ministerio de estado. deber á dicha corporación, y que se hallala su autoridad insultada y desobedecida de todo punto , tomó V. S. el partido de retirarse…</t>
  </si>
  <si>
    <t>de AJtamira, Ugartechéi María Moscoso</t>
  </si>
  <si>
    <t>Ugartechéi María Moscoso de AJtamira</t>
  </si>
  <si>
    <t>…ento. = Está rubricado de la de la milicia cívica, se procedió á la elección de secretario, que recayó en eí Real mano.=En el Pardo á 7 de Noviembre de&gt; 1834—A D. José' licenciado D. Juan Bautista de Ariipc, la que verificada, el Sr. Ugartechéi María Moscoso de AJtamira. • manifestó'. Que si bien los individuos militares no se hallaban hasta hoy com prometidos pót ninguno de los objetos que agitan la presente revolución, á He venido en conferir el gobierno civil de la provincia de Má virtud de la política con que se ha conducido la comandancia general para laga, va…</t>
  </si>
  <si>
    <t>de Al, José María Hoscoso</t>
  </si>
  <si>
    <t>José María Hoscoso de Al</t>
  </si>
  <si>
    <t>…Diego Clemencin. Tendreislo entendido, y dispondréis lo ne cesario á su Cumplimiento.::Está rubricado de la Real mano.=En el ___ _Mr Cobbett llegó á Kángtown distante pocas millas de Dublin, donde T'ardo á 4 de Octubre de 1854.=A D. José María Hoscoso de Al fue recibido por el general Sir G. Cockburn, Mr. Tinn y por otros vario* amigos suyos. De allí, habiendo descansado un corto rato, se dirigió á Shan-ta mira. ganagh , esperando el dia señalado pira hacer su entrada pública en Dublin. La comisión encargada de recibirle está disponiendo todos los pre…</t>
  </si>
  <si>
    <t>de Al, Luis María López</t>
  </si>
  <si>
    <t>Luis María López de Al</t>
  </si>
  <si>
    <t>…Solo la Bélgica enila época de su El comandante de armas de Toro manifiesta el brillante comportamien restauración puede dar una idea semejante á la del estado cuque nos hallamos. to dél teniente, comandante de la Milicia urbana, D. Luis María López de Al lado de proscritos respetables que han Venido aquí á buscar un asilo, tene Arce, que con el alférez de la misma D. Francisco Arcilla Herrero y 18 Ur dnos ¿ muchos aventureros políticos que nos comprometen. Mas de un refu banos de caballería de dicha ciudad, han perseguido por espacio de 20 días con…</t>
  </si>
  <si>
    <t>de Alarcon, Juana Ruiz</t>
  </si>
  <si>
    <t>Juana Ruiz de Alarcon</t>
  </si>
  <si>
    <t>…fundadas en Getafe por diferentes intere rar la forma del cdibcio p.ua darle la mas recomendada por lo* hombres gene sados. rosos que se han dedicado a la mejora de estos establecimientos , tendrá por lo El mayorazgo fundados por Doña Juana Ruiz de Alarcon. menos conveniencias que haian menos dura y aun soportable la suerte de los Los herederos de D. Agustín de Arechavala, vecino que fue de Santander. desgraciados que vengan destinado» á estas cárceles. El poseedor del mayorazgo titulado de los Arces, que instituyó y funjóel presidente Rodrigo Vázquez…</t>
  </si>
  <si>
    <t>de Alava, D Ricardo</t>
  </si>
  <si>
    <t>D Ricardo de Alava</t>
  </si>
  <si>
    <t>…cusan de asi tic ? Hs sesione», presento su parecer en los termi qu* S. M. lo-firmase para hacer la competente distribución. no» siguientes: Que ar.tc»\$c pianai c.‘juramento corresponde al Gobierno y También lo quedó de otro del Sr. D. Ricardo de Alava desde Santander, no al Estamento dar las rajones que alg-Miu.» Síes. P-.is.cic» han tenido para no manifestando los motivos que le haSian impedido venir á la corté, y asistir á admitir la dignidad de tiPes: r"por consiguiente que e¡ Gobernó debe resolver las sesiones de su Estameña; pero que no exi…</t>
  </si>
  <si>
    <t>de Alava, Josef Ignacio</t>
  </si>
  <si>
    <t>Josef Ignacio de Alava</t>
  </si>
  <si>
    <t>…enos de lo que el ministerio había hecho en favor de los polacos; y ma vacante por salida de t&gt;. Josef López Requena á sub.-íeie^td'-. de Fomento, i nifiesta que ha visto con satisfacción que el ministerio francés haya seguido el D. Josef Ignacio de Alava: para el corregimiento de letras de Paienóa se ha ejemplo del de Inglaterra, como se deduce de que en el Monitor se haya pu servido nombrará D. Nicolás Malatesta,’"alcalde mayor de Ciud^d-Rodrieo: blicado con notas uh artículo que se insertó en la Gaceta de Petersburgo en para la vara de alcalde ma…</t>
  </si>
  <si>
    <t>de Alava, Ricardo</t>
  </si>
  <si>
    <t>Ricardo de Alava</t>
  </si>
  <si>
    <t>…n de asi tic ? Hs sesione», presento su parecer en los termi qu* S. M. lo-firmase para hacer la competente distribución. no» siguientes: Que ar.tc»\$c pianai c.‘juramento corresponde al Gobierno y También lo quedó de otro del Sr. D. Ricardo de Alava desde Santander, no al Estamento dar las rajones que alg-Miu.» Síes. P-.is.cic» han tenido para no manifestando los motivos que le haSian impedido venir á la corté, y asistir á admitir la dignidad de tiPes: r"por consiguiente que e¡ Gobernó debe resolver las sesiones de su Estameña; pero que no exi…</t>
  </si>
  <si>
    <t>de Albacete, Vicente Castro y Lamas la</t>
  </si>
  <si>
    <t>Vicente Castro y Lamas la de Albacete</t>
  </si>
  <si>
    <t>…do Joaquín Henri, todos cesantes del ramo. Por otra de igual fecha se ha aprobado asimismo el establecimiento do una carrera entre Albacete é Infantes para la comunicación de las provincia* Habiendo tenido á bien S. M. conceder á D. Vicente Castro y Lamas la de Albacete y Ciudad-Real con el producto del sobreporte de dos cuartos jen plaza de bibliotecario de la universidad literaria de Santiago, se i ha dignado carta, mandando S. M. que este recargo solo continúe hasta el arreglo general nombrar para la de censor regio supernumerario que el mismo obtenía, á Don dé…</t>
  </si>
  <si>
    <t>de Albornos, Carrillo</t>
  </si>
  <si>
    <t>Carrillo de Albornos</t>
  </si>
  <si>
    <t>…pronto á satisfacer cualquiera do un Real decreto por el cual S. M. la Reina Gobernadora se ha servido duda, pues este es su deber y también su deseo.” nombrar, con arreglo á los artículos 112 y 113 del reglamento interior del El Sr. Carrillo de Albornos.: «La comisión pidió de oficio la lista de que Estamento de Sres. Procuradores, como comisionados regios para asistir á la se trata, no dudando que se le remitiria. El Sr. Ministro dió las órdenes opor discusión de los presupuestos á los Sres. D. Joaquín Uriarte, Subsecretario tunas á las oficinas,…</t>
  </si>
  <si>
    <t>de Albornoz, Carrillo</t>
  </si>
  <si>
    <t>Carrillo de Albornoz</t>
  </si>
  <si>
    <t>…ecreta. mento , ó seguirla práctica que se estableció en la cuestión del voto de Santia go , en que no se hizo mas que presentar el acta, y luego se discutió en lo* tér minos en que se hizo.” estamento de sbSo*es procuradores- El Sr. Carrillo de Albornoz leyó su voto particular. Habiendo el Sr. Carrillo de Albornoz principiado á extenderse en las ra Sesión del ¿k'a 3 de Noviembre. zones de su voto particular, le manifestó el Sr. Presidente que no pudiéndose entrar en la discusión, no permitía el uso dé la palabra; por lo cual te bajó de Se abrió á…</t>
  </si>
  <si>
    <t>…comisión mista no ha habido uno solo si ciones, tomar las remesas de dinero, pagar sus intereses &amp;c. &amp;c- &amp;c. quiera escogido de los que lo defendieron. «Dijo el Sr.'Ferrer que el Rey habia después declarado este contrato írri «El Sr. Carrillo de Albornoz no votó ni en favor ni en contra: los Seño to, ó lo habia desaprobado, y que esto lo hizo de la manera mas formal y so res Montevírgen y Florez Estrada impugnaron este empréstito con talento y lemne. Pero este argumento se vuelve contra lo mismo que sostiene el Sr. Di energía; y en los Sres. Galian…</t>
  </si>
  <si>
    <t>…enda contestó no había dificultad hoy la inserción de sus votos en el acta, 2: los que no asistieron á la sesión da en admitir la adición que se propoma. ayer, 7: total de Sres.' Procuradores actuales, 132: total general, 188. El Sr. Carrillo de Albornoz fue de parecer que se expresase también en Se hicieron explicaciones y rectificaciones sobre varios de los tugetoi con la petición la clase de soldados. tenidos en dicha lista, la que se mandó pasar á la comisión de Poderes. El Sr. Secretario del Despacho de Hacienda contestó que tampoco había El S…</t>
  </si>
  <si>
    <t>…rece que no es propio ni conveniente, y mucho mas cuando en el ^mde servir para lo sucesivo, sino solamente por ei momento. cuío 3.° se deja ai.Gobierno autorizado, en caso de que las circunstancias de Después d? haber apoyado el Sr. Carrillo de Albornoz el dictámen de la la Nación lo exijan, para completar ó aumentar la fuerza del ejército. comisión^ se declaró,este asunto suficientemente discutido ; y habiéndose verifi «Hasta qué punto pudiera verificar esto, no lo alcanza la previsión de los cado la yotacion nominal sobre st habia Lugar á proced…</t>
  </si>
  <si>
    <t>…ías según aparece de la Gaceta de antes de minos, pues podría ser infinito el número de Ministros. ayer: de consiguiente no podrá continuar como estaba.” «Se me dirá qué esto pertenece al arreglo de cesantes; pero bueno es que El Sr. Carrillo de Albornoz: « En el presupuesto de Guerra que hemos apretemos los cordones de la bolsa, y que no seamos generosos. Dejando la tenido á la vista, ascendía el total dé gastos de esta secretaría á 1.347,390 rs., mitad del sueldo á los Ministros como tal, y la otra mitad como de en comi y entre la rehaja que bací…</t>
  </si>
  <si>
    <t>…pitán arriba El Srl Secretario del Despacho de la Guerra contestó que el sueldo de un el sueldo que disTruta h cl.W4kmediata superior en el ejercito” capitán general eran I2o9 rs. por su aju dignidad: et de un teniente general El Sr. Carrillo de Albornoz: -Desde Juec-' U comóiow crevó que «ras en cuartel 4?9 rs ■: el de un mariscal de campo 309, con el descuento de 10 observaciones se harían, porque no podran ocultarse. No nos con&gt;ta que el &gt;c-</t>
  </si>
  <si>
    <t>de Albornoz, D Mariano Carrillo</t>
  </si>
  <si>
    <t>D Mariano Carrillo de Albornoz</t>
  </si>
  <si>
    <t>…dictámen de la comisión de Poderes, «sus empleos no se lo permita.” aprobó los del Sr. marques de Montevirgen, Procurador por la provincia de El Sr, marques de las Amarillas dijo que en todas las monarquías se con León, y los del Sr. D. Mariano Carrillo de Albornoz, que k&gt; es por la de- sideraba el servicio del Soberano como el preferente, y que por lo tanto ho Málaga. encontraba medio de hacer venir á los Próceros que estaban empleada en el servicio de S. M. Prestaron juramento y tomaron asiento los Sres. Mena y Domínguez. Continuó la lectura del proyecto de…</t>
  </si>
  <si>
    <t>de Albornoz, El Sr Carrillo</t>
  </si>
  <si>
    <t>El Sr Carrillo de Albornoz</t>
  </si>
  <si>
    <t>…Despacho de Hacienda contestó no había dificultad hoy la inserción de sus votos en el acta, 2: los que no asistieron á la sesión da en admitir la adición que se propoma. ayer, 7: total de Sres.' Procuradores actuales, 132: total general, 188. El Sr. Carrillo de Albornoz fue de parecer que se expresase también en Se hicieron explicaciones y rectificaciones sobre varios de los tugetoi con la petición la clase de soldados. tenidos en dicha lista, la que se mandó pasar á la comisión de Poderes. El Sr. Secretario del Despacho de Hacienda contestó que tampoco había El S…</t>
  </si>
  <si>
    <t>…os desde capitán arriba El Srl Secretario del Despacho de la Guerra contestó que el sueldo de un el sueldo que disTruta h cl.W4kmediata superior en el ejercito” capitán general eran I2o9 rs. por su aju dignidad: et de un teniente general El Sr. Carrillo de Albornoz: -Desde Juec-' U comóiow crevó que «ras en cuartel 4?9 rs ■: el de un mariscal de campo 309, con el descuento de 10 observaciones se harían, porque no podran ocultarse. No nos con&gt;ta que el &gt;c-</t>
  </si>
  <si>
    <t>de Albornoz, Mariano Carrillo</t>
  </si>
  <si>
    <t>Mariano Carrillo de Albornoz</t>
  </si>
  <si>
    <t>…ámen de la comisión de Poderes, «sus empleos no se lo permita.” aprobó los del Sr. marques de Montevirgen, Procurador por la provincia de El Sr, marques de las Amarillas dijo que en todas las monarquías se con León, y los del Sr. D. Mariano Carrillo de Albornoz, que k&gt; es por la de- sideraba el servicio del Soberano como el preferente, y que por lo tanto ho Málaga. encontraba medio de hacer venir á los Próceros que estaban empleada en el servicio de S. M. Prestaron juramento y tomaron asiento los Sres. Mena y Domínguez. Continuó la lectura del proyecto de…</t>
  </si>
  <si>
    <t>de Albornoz, O Mariano Carrillo</t>
  </si>
  <si>
    <t>O Mariano Carrillo de Albornoz</t>
  </si>
  <si>
    <t>…y quedó aprobado el dictámen de la del reglamento de Proceres, i saber el 14*7 analizando ambos, dijo que en comisión. \ su optnion este era mas claro y termíname, y que con arreglo á lo prevenido Entró á jurar y tomó atiento el Sr. O. Mariano Carrillo de Albornoz, en c! 16, en que se fundaba la comisión, y dada la interpretación que ¿I Procurador por la provincia de Málaga. creía debía dirscle , no podía privarse al Sr~Sotum&gt;yui de tafacultad de preSe d'¿tribu* cron 15b ejemplares del proyecto de Código criminal, remi sentar nuevos documentos, ó arreglarlos…</t>
  </si>
  <si>
    <t>de Alcántara, D Pedro</t>
  </si>
  <si>
    <t>D Pedro de Alcántara</t>
  </si>
  <si>
    <t>…n de la Toríe y Espada, cuyo diploma, primero que S. M. F. ha firmado como Reina reinante, está concebido en estos términos. A propuesta del gobernador civil de Cádiz, S. M. se ha dignado nom &gt;, Muy alto y muy poderoso Príncipe y Señor D. Pedro de Alcántara, Du brar presidente de aquella junta de comercio á D. Pedro NolascoSoto; y ea que de Braganza, mi muy amado, querido y apreciado Padre. vista de la de las juntas respectivas de igual clase ha tenido á bien elegir vice «Yo Doña María, por la gracia de Dios, Reina de Portugal, de los Al- presidente d…</t>
  </si>
  <si>
    <t>…despojos mortales se dieron á la sepultura, la mas profunda tris Causas imperiosas determinaron al Sr. I)- Juan vi á volver á Portugal en teza oprimió todos las corazones, y á cada cañonazo,4 cada lúgubre son de 1821, dejando’al Sr. D. Pedro de Alcántara por su lugar-teniente en el vasto campanas, un nuevo golpe renovaba el dolor general, y le hacia inconsolable. imperio del Brasil. Nunca vió Portugal dia de tanta amargura. ¡ Un consuelo único quedaba á la Colocado á la cabeza del Gobierno de un continente tan rico y fecundo nación, y era la espera…</t>
  </si>
  <si>
    <t>de Alcántara, Pedro</t>
  </si>
  <si>
    <t>Pedro de Alcántara</t>
  </si>
  <si>
    <t>…a Toríe y Espada, cuyo diploma, primero que S. M. F. ha firmado como Reina reinante, está concebido en estos términos. A propuesta del gobernador civil de Cádiz, S. M. se ha dignado nom &gt;, Muy alto y muy poderoso Príncipe y Señor D. Pedro de Alcántara, Du brar presidente de aquella junta de comercio á D. Pedro NolascoSoto; y ea que de Braganza, mi muy amado, querido y apreciado Padre. vista de la de las juntas respectivas de igual clase ha tenido á bien elegir vice «Yo Doña María, por la gracia de Dios, Reina de Portugal, de los Al- presidente d…</t>
  </si>
  <si>
    <t>…pojos mortales se dieron á la sepultura, la mas profunda tris Causas imperiosas determinaron al Sr. I)- Juan vi á volver á Portugal en teza oprimió todos las corazones, y á cada cañonazo,4 cada lúgubre son de 1821, dejando’al Sr. D. Pedro de Alcántara por su lugar-teniente en el vasto campanas, un nuevo golpe renovaba el dolor general, y le hacia inconsolable. imperio del Brasil. Nunca vió Portugal dia de tanta amargura. ¡ Un consuelo único quedaba á la Colocado á la cabeza del Gobierno de un continente tan rico y fecundo nación, y era la espera…</t>
  </si>
  <si>
    <t>de Aldana, Policarpo Vázquez</t>
  </si>
  <si>
    <t>Policarpo Vázquez de Aldana</t>
  </si>
  <si>
    <t>…nerse á la cabeza de cualquiera asociación del modo que le sea 20 9 3 posible. 24. 7 1 Ha dirigido á la dirección de minas para su análisis muestras de algunas canteras de mármola que le remitió el digno gobernador de Caslel-Leon Don Policarpo Vázquez de Aldana, á’fin de juzgar si convendría'beneficiarlas. ANUNCIOS. Ha prevenido i los pueblos que disfrutan propios,que en el término de20 dias paguen el cupo que se la ha señalado para las asignaciones de la academia Se halla vacante la plaza de medico de la villa de Navalmoral de la Mata» par de medicina y…</t>
  </si>
  <si>
    <t>de Almeida, Teodoro</t>
  </si>
  <si>
    <t>Teodoro de Almeida</t>
  </si>
  <si>
    <t>…37¿* t Bilbao par á J d. ¡Santiago 1 d. contrase. . anuncios. El brigadier Espartero desde Durango le decía con fecha del 7 que después de haber arrojado del valle de Arratia á las facciones mandadas por Latorre, Sermones del P. D. Teodoro de Almeida , de la congregación de S. Felipe Neri de Luqui y ©tros, á,quienes había tomado algunas armas, municiones y 8o0 ra Lisboa , traducidos en Castellano por el P. D. Francisco Vázquez Girón: 3.* edición, ciones, continuó persiguiéndolos hasta aquel pueblo; y que al prepararse para corregida y enmendada…</t>
  </si>
  <si>
    <t>de Almería, Jecto</t>
  </si>
  <si>
    <t>Jecto de Almería</t>
  </si>
  <si>
    <t>…con las formalidades de ordenanza. Sé leyó en seguida la adición indicada, que presentó el Sr. obispo de Cór «Los sargentos primaros y segundos serán nombrados por el comandante doba, suscribiendo á ella S. E- y los Excmos. Sres. obispo «Jecto de Almería, de! baldIon ó escuadrón á propuesta en tema del espitan de la compañía; y ti de Huesca y Barcelonay el qi/e lo fue de Mallorca; y preguntado sise to los cabos primeros y segundos lo serán por el capitán de la respectiva compa maba en consideración, se decidió que no. La adición decía asi: ñía con…</t>
  </si>
  <si>
    <t>de Alós, Antonio María</t>
  </si>
  <si>
    <t>Antonio María de Alós</t>
  </si>
  <si>
    <t>…parage no sin bastante perdida. nombres van expresado»; de los tenientes de Ja Guardia Real de infantería Don Toda la dificultad consistía en hallar posición donde establecer ñus tropas, se Valentín Cañedo, IX Joaquín Santamaría, D. Antonio María de Alós, Dn guro como lo estaba de que desde este momento nada tenia que rezelar. Yo que Fernando Coroner; de los alféreces de la misma D. Rafael de Castro, P. Ma venia á retaguardia observando los movimientos del enemigo no creí conve nuel labro, P. Juan Cíñate», D. Jo&gt;e Ramón Mackena, D. Joaqirfn Alon ni…</t>
  </si>
  <si>
    <t>de Altamira, José María Aloscoso</t>
  </si>
  <si>
    <t>José María Aloscoso de Altamira</t>
  </si>
  <si>
    <t>…mplado. Esta rubricado dé la Real mano.=En Palacio á 22 de Diciembre de No podemos criticar las intenciones de sir Roberto Peel en lo relativo í la iglesia irlandesa; tiene derecho para pensar lo que quiera', y sus miras en1834^A D. José María Aloscoso de Altamira. este punto pueden ser tan concienzudas y honradas como las de sus mas vio len tos advérsanos. Pero la cuestión no es tanto saber si tiene raZon o no, comó - '• .: r.;.' . -• taber si dirigirá gobierno por el principio de sostener esta iglesia. Puede* como sinlpie particular, tener sobre este asunto…</t>
  </si>
  <si>
    <t>de Altamira, José María Moscoso</t>
  </si>
  <si>
    <t>José María Moscoso de Altamira</t>
  </si>
  <si>
    <t>…de resultas del pesquis fijado en la tabla negra de nuestra universidad. cumplimiento.=Está rubricado de la Real mano.=En el Pardo á 10 La nueva lev de censura, que empezará á observarse muy pronto , pres de Setiembre de Í834.=A D. José María Moscoso de Altamira. cribe entre oirás disposiciones, que los editores de periódicos, cualquiera que lea su tendencia , se sometan al examen del colegio de censura. La comisión MINISTERIO DE LO INTERIOR. establecida para este efecto se compone de los Sres. Rautnen, Bauhasch, Zumpl ■ ' Reales órdenes. y Mlchelet. Desde…</t>
  </si>
  <si>
    <t>…cia; remitiendo copia de lo acordada al Sr. sub-vicegobernador del cunmlimiehtO.=Está rubricado de la Real mano. = En el Pardo á 11 Estado, y comandante general de las armas, suplicando al primero se digne de Noviembre de 1834-=A D. José María Moscoso de Altamira. dar conocimiento de ello al supremo gobierno de la unión. Con lo que se con cluyó este acto, que firman en la sala capitular de la villa de Cunduaean á los 1S dias del mes de Julio del anó de 1834* (.Siguen loe JirmasS) ____ ■ * (Censor de Veracrued} SUECIA. PARTE NO OFICIAL. Stockolmo 10 de Octubr…</t>
  </si>
  <si>
    <t>…dicales piensan que está á punto de tomarle una decisión* su cuniplimienlo.=Está rubricado de la Real mano.=En el Pardo á Berna no cederá jamas sobre este punto: el patricíado,espera , a favor de la con 13 Je Noviembre de 1854.=A D. José María Moscoso de Altamira. fusión que aumenta de día en día, obtener en breve una reacción. El intervalo de tiempo hasta la mudanza de! directorio, no es bastante lar^o para permitir que se discutan estas acusaciones con el cuidado que se merecen. Siendo 1» cuestión muy importante, s*ría menester ante todas cosas que d gran…</t>
  </si>
  <si>
    <t>…la plaza de decano de lá GalveZ Fernandez y á D. José Alonso Villastnte, que son tam sección de Fomento del Consejo Real dé España é Indias, vacan bién de la misma, y á D. José Aguilera, elerto para el consejo te p6f promoción de D. José María Moscoso de Altamira á la Se de Navarra; y para fiscales á D. Francisco de Paula Sierra, magis cretaria del Dtepacho de dicho famó.=Tendréh&gt;ló entendido, y lo trado cesante, de ló civil, y dé lo criminal á D. Migncl Nájera Comunicareis á quien córresponda.ieEstá rubricado dé la Real ma- Meneos, ya nombrado para esta pl…</t>
  </si>
  <si>
    <t>…dispondréis lo necesario á su cumpliniientr&gt;.~: PATRIAE, StUSAB MEMORES. 1 , . . t Está ritbricadn de la Real Mano.=En el Pardo á 16 de Setiembre S. A. se paró delante de esta puerta, en donde se hallaban reunidos lr s de 1834.=A D. José María Moscoso de Altamira. profesores y los discípulos con sus estandartes. El agí G. Ataky pronunció un discurso expresando qué en medio de la alegría general el cuerpo académico se MINISTERIO DE MARINA. sentía poseído de un noble orgullo al considerar que las riendas del gobierno Instrucción para los buques que crucen en l…</t>
  </si>
  <si>
    <t>de Alumura, Jm María Moscos</t>
  </si>
  <si>
    <t>Jm María Moscos de Alumura</t>
  </si>
  <si>
    <t>…ario a su cumplí- putaciones de barrio recomendarán su practica á todos kw vecinot jnlento.=Esta rubricado de U Heal inano^Ln el i ardo a «e be- •particnlares romo medio eficaz para la conservación de la salud v tiemhre de I854=A D. Jm María Moscos* de Alumura. para «vitad la reproducción «lelas enfermedades epidémicas.</t>
  </si>
  <si>
    <t>de Alva, Juan Hernández</t>
  </si>
  <si>
    <t>Juan Hernández de Alva</t>
  </si>
  <si>
    <t>…ete oidores, cinco alcaldes y dos fiscales. Y (Diario de Smimai) nombro para la plaza de regente á D. Francisco Olavarrieta, que Idem 20. actualmente la desempeña; en clase de oidores , á D. Miguel Castells , á D. Magin Ferrer, á D. Juan Hernández de Alva, á D. Vi Una persona fidedigna escribe desde esta ciudad con la indicada fecha lo cente Ruiz Morqueeho, ¿ D. Joaquín Lorenzo Lázaro, que lo son siguiente : »La peste que se ha declarado, en primer lugar en Jada y despoe* de dicha audiencia , á D. Francisco Calvet y á D. Clemente- García cu Smi/na,…</t>
  </si>
  <si>
    <t>de Alzate, Lorenzo</t>
  </si>
  <si>
    <t>Lorenzo de Alzate</t>
  </si>
  <si>
    <t>…la Reina Gobernadora mandar, en nombre de su au regidor.^josef Luis de Bidaurreta, regidor.—Dionisio Echagoe-zrJuan Ignacio gusta Hija la Reina Doña Isabel ii , que üna comisión, compuesta de Don de Urruzola , síndico procurador general.=Lorenzo de Alzate, secretario. Antonio Alonso, director general de Rentas, de.D. Agustín Rodríguez, di rector interino de las mismas, y de D. Antonio María de Scijas, vocal de la Señora: Cuando V. M. principió á difundir los vivificantes rayos de su be junta de Aranceles, examine el estado actual de esta renta y los…</t>
  </si>
  <si>
    <t>de Amduaga, ÍL José</t>
  </si>
  <si>
    <t>ÍL José de Amduaga</t>
  </si>
  <si>
    <t>…ica.' * fant'ioa. de Ar- ... t • - ' r • -^-—Discurso ¿obre 4a necesidad dé ta boéná educación^y tbedlos de ihéforiié'la ehse*T . doz.......... 2¡) y SO de Julio. 53 26 12 fianza en las'.eacuelaa de primeras letr^e por el» Excmo. Sr. ÍL José de Amduaga^yr Oa-w ün.berti, jJa'cu^derno ea.8.° matquiU»,'cditíion d^ i/irv:tráHÍ^&gt; éste Vajleca»......... X i S de Agosto. 10 . . 7 2 discursoescuela dequécoiiS. Isidromotivode estadecorte,los exámenespronupciócelebradossu autor, ense.bac^1789 unde cotejólos niñostíere^^sdooe.la ^.eal'qüé antes rfenlatl lás…</t>
  </si>
  <si>
    <t>de Amurrio, Pablo</t>
  </si>
  <si>
    <t>Pablo de Amurrio</t>
  </si>
  <si>
    <t>…misma: D. Ramón de Aguír- MINISTERIO DEL FOMENTO GENERAL DEL REINO. re, presbítero beneficiado de la misma: D. Fausto de Luzuriaga, Ex posición. clérigo beneficiado de la misma: D. Francisco Ruiz de Ganna, beneficiado de Eguino: D. Pablo de Amurrio, presbítero benefi Excmo. Sr.: Reunidos hoy todos los sugetos que deben componer ciado de la Bastida: D. Gregorio López de Arechaga, cura y be el primer batallan de la Mijicia urbana, les he dado á reconocer al neficiado de Villareal: D. Femando de Lasa , clérigo beneficiado cpmandante y oficiales…</t>
  </si>
  <si>
    <t>de An, Toribio</t>
  </si>
  <si>
    <t>Toribio de An</t>
  </si>
  <si>
    <t>…rdia, di ciales superiores'; también se felicitan de la buena inteligencia que mantienen rigido por mí ayudante de campo el teniente-coronel D. Juan Zavala, por el con los militares de Vaud. subteniente de cazadores ,de Isabel ii D. Toribio de An^ótegui, y mandado »Se temía que hubiese algunos desórdenes el domingo, pero no ha sucedi por el alférez de dicho cúerpó D. Francisco de Paula Villar, lo efectuaba por do asi-” {D*do JWíV*) la espalda. Los enemigos al aproximarte nuestros cazadores se pusieron en pre cipitada fuga; pero fueron perse…</t>
  </si>
  <si>
    <t>de Andra, Luis Peceto</t>
  </si>
  <si>
    <t>Luis Peceto de Andra</t>
  </si>
  <si>
    <t>…les. ,1000 ESPAÑA. Un sugeto que no da el nombre............................................................. 12Ó D- Luis y D Beltran Bacque.................................................................. 80 Madrid 20 de Julio. D. Luis Peceto de Andra, oficial de la intervención general del ejército, un colchón. CORTES. D. José María de Larreátegui, un tablado pintado, dos colchona, BSTAUBNTO S&gt;U SOS PKOCURADOSES. dos almohadas, dos fundas y una manta. 1 D. J. P.......................................... ..........................................…</t>
  </si>
  <si>
    <t>de Andrés, Juan</t>
  </si>
  <si>
    <t>Juan de Andrés</t>
  </si>
  <si>
    <t>…mpos de plantar y criar de tan deseado suceso. los olivos, coger con mucha economía y prontitud su fruto , y otfas lecciones útiles Las pequeñas facciones de Lobito y Carrasco, favorecidas del corto número y provechosas. Su autor D. Juan de Andrés, profesor practico de los tres ramos de la* de miserables de que se componen, siguen evitando con su continua fuga el en- branza, jardinería y huerta. Dos cuadernos en 4*° en un volumen, a 8 rs. rustica. El ccentro con las tropas, que sin' cesar van en su alcance ardiendo en deseos de euaderno 2.°…</t>
  </si>
  <si>
    <t>de Andrés, María</t>
  </si>
  <si>
    <t>María de Andrés</t>
  </si>
  <si>
    <t>…que si se conforma el Estamento con el dictamen ciéndolo ahora de una escritura de cesión y donación otorgada por D. Pedro de la comisión de no aprobarse, queda decidido el punto; mas su delicadeza, y Regalado y Soto, y su esposa Doña María de Andrés, en favor de su hija la precisión en que se halla, cuando se trata de personas, de obrar con el mi t)oñz Marta Brígida de Soto, esposa de dicho Sr Palarea, de una casa cuyo ramiento que corresponde, la han constituido en la necesidad de proponer este producto excede á la renta que se exige,por la l…</t>
  </si>
  <si>
    <t>de Angleséy, Irlanda Marques</t>
  </si>
  <si>
    <t>Irlanda Marques de Angleséy</t>
  </si>
  <si>
    <t>…ster, caballerizo mayor, 2130 ; vizconde Ducannon, prirtier secretario de rentas del Estado , 20; , INGLATBKXA. Mr. Tompson, tesorero de marina, 29; sir Hor,lc, fecal general-, 6200-, sir lAndres 23 de Agosto. Gambell, procurador'general, 49, Irlanda. Marques de Angleséy , lord lugar teniente.de Irlanda, 209; lord Plunkét,’ lord canciller, 89; sil Wíand, co Fondos públicos. Tres por 100 consolidados 90-§&lt; mandante dd1 ejército, 3607; sir Blackbnr'h, fiscal-general, 39i Mr. CrampEscriben de Dublin que hay esperanza de que pronto cesará el cólera: la ton, procurador…</t>
  </si>
  <si>
    <t>de Angulo, Francfort de Julio Domingo Fernandez</t>
  </si>
  <si>
    <t>Francfort de Julio Domingo Fernandez de Angulo</t>
  </si>
  <si>
    <t>…tud pater 6.’ Esta comisión la compondrá, como gefe, el intendente Pon nal de S. M.” {Debates') Joaquín Gómez de Liaño; como vocales D. Francisco de l.eunda, AlBMANtA. oficial que ha sido de la secretaría de Hacienda de Indias, y Don Francfort 19 de Julio. Domingo Fernandez de Angulo, administrador de Rentas que fue Hay ahora entre las autoridades militares de la Confederación germá de la provincia de Asturias, auxiliando sus trabajos en caso de ne nica una gran discusión relativa al reemplazo del general Piret en el mando de cesidad uno de los oficiales de las extinguidas cont…</t>
  </si>
  <si>
    <t>de Aparici, Vicente San Félix</t>
  </si>
  <si>
    <t>Vicente San Félix de Aparici</t>
  </si>
  <si>
    <t>…tal que llevase el nombre de S-. M. la. R-eina Con la misma fecha avisa también el citado capitán general la prisión del y el de su augusta Madre. El ayuntamiento, émulo de la noble generosidad de rebelde Magraner, ejecutada por D. Vicente San Félix de Aparici, vecino de este caballero, sirvió una abundante comida á los presos de la cárcel. S. Felipe. Abandonado de los suyos, y acosado por la activa persecución de Este dia recibió mayor solemnidad con la ceremonia de repartir al frente las diferentes columnas que reconocían el terreno, y no encontrando m…</t>
  </si>
  <si>
    <t>de Aquino, Sto Tomás</t>
  </si>
  <si>
    <t>Sto Tomás de Aquino</t>
  </si>
  <si>
    <t>…mprentas y librerías del reino. (Id.) &lt;y )a mayor parte dé ia P» A los que es ten por cuadernos se les entregará el i.° del ] ____ nombrando los individuos que han de componer la comisión para formar —tomo—ftovena8.° del angélico doctor Sto. Tomás de Aquino, sobre el buen qso de los luga él índiée de libros prohibidos. (Id.) res teológicos, compuesu por, el doctor D. Felipe Lesnies Zafrillai la da á luz la 1 Real orden extrañando para siempre de estos reinos al R. obispo de León. (Id.) Real academia de teología escolástico-dogmática de Madrid. Sé desp…</t>
  </si>
  <si>
    <t>de Arada, Antonio Gallardo Raíz</t>
  </si>
  <si>
    <t>Antonio Gallardo Raíz de Arada</t>
  </si>
  <si>
    <t>…sacándose tino del de la provincia de Castellón do la Plana.estas obras á pública subasta por la cantidad de !¿o5&gt;3 is. 1 i mrs. en que se han regulado, y librándose su importe con los fondos de propios. Por no haberse presentado D. Antonio Gallardo Raíz de Arada á eenvir el doiino de oficial tercero-segundo del gobierno civil de Cáceles, para Habiendo solicitado el gobernador civil de Ciudad-Real ampliación de que habia sido nombrado, S. M se ha dignado conferirlo á D. Manuel Neua.término á favor de los compradores de fincas de propios en la época de la gu…</t>
  </si>
  <si>
    <t>de Aragón, Maña</t>
  </si>
  <si>
    <t>Maña de Aragón</t>
  </si>
  <si>
    <t>…proyecto del Gobierno debe retirarse en virtud de lo aprobado ayer. La vicios que prestó á la Nación en el año de IH23 , como de barrio que comisión por tanto cree que se está en el caso de que se apruebe el suyo , en era del de Doña Maña de Aragón, salvando del iuror del populacho algunos que expresa que las vacantes se proveerán del mismo modo establecido para los efectos' de las Córtes, de cuyas resultas fue preso y perseguido, perdiendo el primeros nombramientos en los artículos anteriores.” destino que-entonces obtenía; y concluía solici…</t>
  </si>
  <si>
    <t>de Arana, Juan</t>
  </si>
  <si>
    <t>Juan de Arana</t>
  </si>
  <si>
    <t>…de Havre.") Los facciosos, al retirarse de su proyectada expedición, han manifestado , PORTUGAL. de un modo indudable su saña y desesperación, incendiando, fuera del tiro de fusil, dos casas del Eicmo. Sr. conde de Oñate, una de D. Juan de Arana , al Lisboa 29 de Julio. calde de Bilbao, y otra de D. Manuel de Celara, sin duda porque sus dignos dueños defienden los intereses del trono de la Reina nuestra Señora Doña El (fia 26 dd corriente llegaron SS. MM. á Oporto con perfecta salud JSAX&amp;I. II. r dttpus &lt;fe un vxage feliz, y dnnnharcaron á…</t>
  </si>
  <si>
    <t>de Arana, Juan Bautista</t>
  </si>
  <si>
    <t>Juan Bautista de Arana</t>
  </si>
  <si>
    <t>…za de salud, y solo en algu tos de Lequeitio y Elanchove, y con la agradable noticia de que quedaban pre nos pueblo* sufren enfermedades comunes de la estación, producidas en grao sos en la fragata Perla que se hallaba á la vista D. Juan Bautista de Arana, titulado comandante general del alg izquierda del ejército Keal de Vizcaya; Don parte por el mucho trabajo al sol y malos alimentos. Félix Antonio de Berrueta , secretario de la llamada junu de agravios; su PROVINCIA de ZARAGOZA. hijo Sabas; D. Tomas de Cortesena, administrador de aduanas; D. Mart…</t>
  </si>
  <si>
    <t>de Arana, Juan Ramón</t>
  </si>
  <si>
    <t>Juan Ramón de Arana</t>
  </si>
  <si>
    <t>…ortador del 5 p. 100. 68. 67$: 68$, | y $ * varías fs. ó vol. tenerme salí con unos 60 hombres de cazadores de Label n y su comandante Inscripciones en el gran libro 2 4 p. 100. 00. D. Bernardo Echalucc y el alcalde de esta villa D. Juan Ramón de Arana, Títulos al portador del 4 p- 100. 58, 574 y f»al contado: 58, 60, 59, 58 , 57J, 58$. 57$ y £ a varias fs. vol. y firme : 61 y 60 á varias fs. vol. y firme á prima qa capitán retirado y comandante de la Milicia urbana , que me acompaña siem i y 1 p. 100. pre en iguales casos, y con iola esta fuerza…</t>
  </si>
  <si>
    <t>de Aranalde, José</t>
  </si>
  <si>
    <t>José de Aranalde</t>
  </si>
  <si>
    <t>…ejando sin embargo al padre facultad para no reconocer; Asimismo se ha servido conferir los honores y antigüedad del supremo ¿wafiacjop que en su entender no llena el fin á que se dirige la proposición, pues Consejo de Hacienda á D. José de Aranalde, director general de Remas. j^qpiefre-pbijgar al padre á dar-un paso que por fuerza le ha de ser repugnante, 'f íffPT:Pqnglgulcntc vacilará cn haccr pública la deshonra de su muger y la su Accediendo S. M. la Reiva Gobernadora á repetidas instancias del subde ya: inconveniente que no se tocará apro…</t>
  </si>
  <si>
    <t>de Arango, Andrés</t>
  </si>
  <si>
    <t>Andrés de Arango</t>
  </si>
  <si>
    <t>…dida de tiempo coi» perjuicio del breve despacho de asuntos útiles y urgentes: S. M. la Teniendo en consideración S. M. los distinguidos méritos que Reina Gobernadora se ha servido mandar, que j»ara que disfruten tiene contraídos D. Andrés de Arango , y su acendrada lealtad y ad los subdelegados de Fomento de la presidencia que les corresjionde hesión al legítimo trono de su augusta Hija Doña Isabel n, se lia y está declarada cuando concurran á solemnidades ó reuniones á que dignado nombrarle Secretario de la sección de Indias del Consejo asis…</t>
  </si>
  <si>
    <t>de Aranzsmendia, Pedro José</t>
  </si>
  <si>
    <t>Pedro José de Aranzsmendia</t>
  </si>
  <si>
    <t>…las tropas de S. M. Existencia del Dias. dia aotejtior. Invadidos. Total. Curados. El comandante general de Vizcaya avisa con fecha 11 y 12 del actual haber sido pasados por las armas en los mismos dias el Graves* Leves. titulado brigadier Pedro José de Aranzsmendia (a) Armencha, y á Nicolás José Arteaga vecino de Baracaldo, por faccioso y mal 13 81 3 6 90 10 4 hechor á un tiempo. H 76 7 13 96 10 4 15 82 7 7 96 4 4 El capitán general de Aragón con la misma fecha del 18 acom 16 88 5 n 114 14 4 paña copia de un parte que ha recibido del brigadier Oráa, relati vo…</t>
  </si>
  <si>
    <t>de Araoz, D.Miguel</t>
  </si>
  <si>
    <t>D.Miguel de Araoz</t>
  </si>
  <si>
    <t>…taban siniestras intenciones, que tenían por midad á lo que ofrecí en carta de ésta mañana. Dios Scc. San Sebastian 2 de objeto embarazar la marcha del gobierno. Yó no sé, milores, de dónde par Agosto de 1834* = José de Aburruza¿=Sr. D.Miguel de Araoz.” ten estas insinuaciones; mas lo que puedo asegurar es que jamas.me he tomado semejante libertad. . , »El noble conde ha tenido la cortesanía de prevenirnos sobre las pregun- ■r ' 'ESPAÑA. ' "■‘c!1’}'' \ tasque intentaba hacemos: este método no es nuevo, pero lo es en cuanto á las consecuencias que…</t>
  </si>
  <si>
    <t>de Arce, Ramón Eulogio</t>
  </si>
  <si>
    <t>Ramón Eulogio de Arce</t>
  </si>
  <si>
    <t>…cción esta manifestación dé hechos tan Francisco Rubio Aceli, primer comandante deí 2.° batallón. D. Rafael Mi- heroicos, ¿ inclinar el Real ánimo de S. M.- a que se sirva recompensar el mé lin, capitán, segundo ayudante de ídem. D. Ramón Eulogio de Arce, teniente. rito de los que le han contraído, según fuese de su Real ¿grado. D. Juan Antonio Loarte, subteniente adicto á la plana mayor. D. Lorenzo Dios guarde á V. E. muchos años. Toledo 13 de Noviembre de 1834-= Mirroquin, sargento primero, herido en ambas piernas, y quedará inútil. Ven Fxcmo. Sr…</t>
  </si>
  <si>
    <t>de Arcllano, D José Rodríguez</t>
  </si>
  <si>
    <t>D José Rodríguez de Arcllano</t>
  </si>
  <si>
    <t>…da, de.16'4 18 id. ¡vino , de 5 4 6 rs. arroba: aceite, de 40 4 42 id. Es muy conocida la celebridad de este colegio en toda la ¿poca del pontificado La Oportunidad’de las lluvias del mes pasado prepara una cosecha abun del limo. Sr. D. José Rodríguez de Arcllano, por cuya religiosidad, sabiduría dante , principalmente en los trigos. y beneficencia sin límites se estableció en dicho colegio la educación mas esme Huesca (provincia de).__Barbastro (10 de Junio). Trigo, 4 14 rs. fane rada. Si posteriormente los funestos acontecimientos de los últimos tiempos h…</t>
  </si>
  <si>
    <t>de Arcllano, José Rodríguez</t>
  </si>
  <si>
    <t>José Rodríguez de Arcllano</t>
  </si>
  <si>
    <t>…de.16'4 18 id. ¡vino , de 5 4 6 rs. arroba: aceite, de 40 4 42 id. Es muy conocida la celebridad de este colegio en toda la ¿poca del pontificado La Oportunidad’de las lluvias del mes pasado prepara una cosecha abun del limo. Sr. D. José Rodríguez de Arcllano, por cuya religiosidad, sabiduría dante , principalmente en los trigos. y beneficencia sin límites se estableció en dicho colegio la educación mas esme Huesca (provincia de).__Barbastro (10 de Junio). Trigo, 4 14 rs. fane rada. Si posteriormente los funestos acontecimientos de los últimos tiempos h…</t>
  </si>
  <si>
    <t>de Arcos, D Juan</t>
  </si>
  <si>
    <t>D Juan de Arcos</t>
  </si>
  <si>
    <t>…rnadora, el brillante com vincia , y examinando las cuernas de propios y arbitrios. portamiento de todos los que han merecido particular elogio del benemérito Ha resuelto do» expedientes á favor de unos compradores de terrenos co coronel D. Juan de Arcos, cuyo denuedo y bizarría ha proporcionado tan be* munes durante la guerra de la independencia, y se están instruyendo otros 12. lio triunfó á las armas de la Reina nuestra Señora. Se ha hombrado una comisión para realizar la construcción de alcantarillas Los Urbanos de’Nájert, de Navarrete y de otr…</t>
  </si>
  <si>
    <t>…Paite sanitario de Vallecas en el dia 8 de Juliociones de Vizcaya, cometían toda clase de robos y excesos. El mismo capitán general con igual fecha remite el parte sigoiente: "Exce Enfermos existentes ayer 7,28. lentísimo Sr. El coronel D. Juan de Arcos desde Haro con fecha del 4 m® Idem nuevos de hoy , 2. dice te siguiente : Excmo. Sr: A las diez de este dia ha sido pasado por las ar Mnertos, 1. en asen esra villa Quirico Oñale, natural de Miranda de Ebro, faccioso reinci- Curados, 3. dente- después de indultado, cuya sentencia ha sido ejecutada…</t>
  </si>
  <si>
    <t>de Arcos, Juan</t>
  </si>
  <si>
    <t>Juan de Arcos</t>
  </si>
  <si>
    <t>…el brillante com vincia , y examinando las cuernas de propios y arbitrios. portamiento de todos los que han merecido particular elogio del benemérito Ha resuelto do» expedientes á favor de unos compradores de terrenos co coronel D. Juan de Arcos, cuyo denuedo y bizarría ha proporcionado tan be* munes durante la guerra de la independencia, y se están instruyendo otros 12. lio triunfó á las armas de la Reina nuestra Señora. Se ha hombrado una comisión para realizar la construcción de alcantarillas Los Urbanos de’Nájert, de Navarrete y de otr…</t>
  </si>
  <si>
    <t>…anitario de Vallecas en el dia 8 de Juliociones de Vizcaya, cometían toda clase de robos y excesos. El mismo capitán general con igual fecha remite el parte sigoiente: "Exce Enfermos existentes ayer 7,28. lentísimo Sr. El coronel D. Juan de Arcos desde Haro con fecha del 4 m® Idem nuevos de hoy , 2. dice te siguiente : Excmo. Sr: A las diez de este dia ha sido pasado por las ar Mnertos, 1. en asen esra villa Quirico Oñale, natural de Miranda de Ebro, faccioso reinci- Curados, 3. dente- después de indultado, cuya sentencia ha sido ejecutada…</t>
  </si>
  <si>
    <t>de Arechaga, Gregorio López</t>
  </si>
  <si>
    <t>Gregorio López de Arechaga</t>
  </si>
  <si>
    <t>…Luzuriaga, Ex posición. clérigo beneficiado de la misma: D. Francisco Ruiz de Ganna, beneficiado de Eguino: D. Pablo de Amurrio, presbítero benefi Excmo. Sr.: Reunidos hoy todos los sugetos que deben componer ciado de la Bastida: D. Gregorio López de Arechaga, cura y be el primer batallan de la Mijicia urbana, les he dado á reconocer al neficiado de Villareal: D. Femando de Lasa , clérigo beneficiado cpmandante y oficiales nombrados porS.M. la Reina Gobernadora," en Guipúzcoa: D Pascual de Ibarzabal, beneficiado y cura dcFru- dirigiéndoles con este moti…</t>
  </si>
  <si>
    <t>de Arechavala, Agustín</t>
  </si>
  <si>
    <t>Agustín de Arechavala</t>
  </si>
  <si>
    <t>…os. rosos que se han dedicado a la mejora de estos establecimientos , tendrá por lo El mayorazgo fundados por Doña Juana Ruiz de Alarcon. menos conveniencias que haian menos dura y aun soportable la suerte de los Los herederos de D. Agustín de Arechavala, vecino que fue de Santander. desgraciados que vengan destinado» á estas cárceles. El poseedor del mayorazgo titulado de los Arces, que instituyó y funjóel presidente Rodrigo Vázquez y Vargas. La testamentaría de la Exorna. Sra. Doña Isabel María de los Cobos, mar quesa de Camarasa , condesa de Rie…</t>
  </si>
  <si>
    <t>de Arechavala, Miguel</t>
  </si>
  <si>
    <t>Miguel de Arechavala</t>
  </si>
  <si>
    <t>…as, entregados por Parte/ recibidos en la Secretaría de Estado y del Despacho de la Guerra. órden de nuestas autoridades á la gendarmería de Gex , ha sido un tejido' do impostura.” (D. de Debates.) El comandante militar de Bilbao D. Miguel de Arechavala con fecha 20 ____ Acabamos de recibir los Monitores egipcios del 8,15 y 22 de Marzo. del corriente comunica á este ministerio las noticias siguientes: El general Es El primero de estos periódicos anuncia la salida para Francia del general po partero salió el 17 de Munguia'con tres columnas en busca…</t>
  </si>
  <si>
    <t>de ArechavaU, Miguel</t>
  </si>
  <si>
    <t>Miguel de ArechavaU</t>
  </si>
  <si>
    <t>…toda la facción de Vizcaya reunida. Dios Ótc. Bilbao santeque difundió. no soloel porExcmo.el objetoSr. duqueprincipal,de Gorsino. y porporlaslasexhortacionescomposicionesypoéticasbuenas quemáximascon Si de Mayo de 1834* = Excmo. Sr.= Miguel de ArechavaU. tiene, entre las cuales merecen particular atención una decima improvisada por el Sr. corregidor, y un romance leído por D. Manuel Mana de Alzaibar. Tanto por su con tení *o, como por su precio, es muy adecuado para leerse en las escuelas particular La villa de Lacalahorra, en e! marquesado de Cene…</t>
  </si>
  <si>
    <t>de Argumosa, Diego</t>
  </si>
  <si>
    <t>Diego de Argumosa</t>
  </si>
  <si>
    <t>….................................................... 4 dóla, renta de España 3 por 100,4?f ■ Renta perpetua de id. 68. D. J.yS.................... 1....................................... .................................... 1000 D. Diego de Argumosa, catedrático del colegio de S. Cirios, con Ayer se recibió en Calais el siguiente parte telegráfico : siguiente á la oferta hecha í la junta de Caridad..................................... 400 Ltfndres 9 de Julio. &gt;• El embajador de Francia en Lóndres al Sr. ministro D. J. de G.....................…</t>
  </si>
  <si>
    <t>de Arias, Antonio Sandalio</t>
  </si>
  <si>
    <t>Antonio Sandalio de Arias</t>
  </si>
  <si>
    <t>…ra á otra de niímero, se ha servido trióticas tarcas, se ha dignado encargar en Real orden de 4 del corriente á una S. M. la Reina Gobernadora nominar á D. Cipriano Clemencin. comisión compuesta del Sr. D. Juan Alvarez Guerra, de D. Antonio Sandalio de Arias y dé D. Joaquín María Perez Quintana, la formación de un re Para las dos de supernumerario de Sevilla á D- Francisco de Paula Alva glamento general de sociedades, en el que se fijen de un modo preciso los lími rez y D. José López Rubio; y para pna de la misma clase de Valencia á Don tes de sus atribu…</t>
  </si>
  <si>
    <t>de Ariial, José Mena Martínez</t>
  </si>
  <si>
    <t>José Mena Martínez de Ariial</t>
  </si>
  <si>
    <t>…l Urbano Leoncio Romeo fue saqueada, y su muger sumo la tería D. Angel Moreno, comandante del destacamento df J'sñay^rrada dg pena afrentosa. S Duero, con fecha '5 del actual me da faite, de que habiéndolo teñido de la La casa de D. José Mena Martínez de Ariial» sufrió 4 copspmo de vi justicia de Zazuar, de que én la noche del 4- entre siete y ocho se habían pre no que hizo la tropa rebelde durante su estancia en el pueblo, advirtiendo que sentado en aquel pueblo diez hombres armados, dejando en .sps alredcdones aIfue vino generoso de precio, y á peías do…</t>
  </si>
  <si>
    <t>de Ariipc, Juan Bautista</t>
  </si>
  <si>
    <t>Juan Bautista de Ariipc</t>
  </si>
  <si>
    <t>…los oficiales entendido, y dispondréis su cumplimiento. = Está rubricado de la de la milicia cívica, se procedió á la elección de secretario, que recayó en eí Real mano.=En el Pardo á 7 de Noviembre de&gt; 1834—A D. José' licenciado D. Juan Bautista de Ariipc, la que verificada, el Sr. Ugartechéi María Moscoso de AJtamira. • manifestó'. Que si bien los individuos militares no se hallaban hasta hoy com prometidos pót ninguno de los objetos que agitan la presente revolución, á He venido en conferir el gobierno civil de la provincia de Má virtud de la polí…</t>
  </si>
  <si>
    <t>de Aristirabal, Domingo</t>
  </si>
  <si>
    <t>Domingo de Aristirabal</t>
  </si>
  <si>
    <t>…rá de boca *etr boca y de ge-, de la derecha el capitán mas antiguo D. Miguel Osset.del regimiento de Ge néracíon en generación ios dulces tiombres de la Rbína Tiuegtre SefxsT*-Deñ* rona. Entre tanto yo con mi gefe de plana mayor D. Domingo de Aristirabal, Isa'bel ii y de su adorada y augusta Madre la RBiNA‘Gobemadera. y mis ayudantes de campo y de plana mayor O. Juan Zavala, D. José Oribe, D. Santiago Miranda , D. Julián Pascaran, D. Kufino Ipiña y D. José Perez, marché á otra serie de alturas mas á la derecha, desde donde se descubría bien - El bu…</t>
  </si>
  <si>
    <t>de Aristizábal, José Mdría</t>
  </si>
  <si>
    <t>José Mdría de Aristizábal</t>
  </si>
  <si>
    <t>…r militar y político de Teruel, diciendo lo mucho que ha mejorado el espirito* el Real pendón de la manera debida en la casa del administrador de correos público en aquel partido, y avisando al propio tiempo la captura del cabeci D. José Mdría de Aristizábal , que se eligió por consistorio durante los tres lla Genaro Izquierdo, que con su facción fue el terror de aquellos pocilios, el dias de las fiestas, en virtud de ser espaciosa y edificada á lo moderno con pro cual fue pa.ado p &gt;r las armas en aquel día: daodo por fin conocimiento de lá porción, or…</t>
  </si>
  <si>
    <t>de Arizaga, José Manuel</t>
  </si>
  <si>
    <t>José Manuel de Arizaga</t>
  </si>
  <si>
    <t>…elly. de Santander á D. Manuel Pezuela, marques de Viluma, electo do Para una de las plazas de alcalde del crimen que deben formar la de Soria; y para esta á D. Manuel Lázaro. la dotación de la Real audiencia de Granada, nombro á D. José Manuel de Arizaga, que actualmente la sirve. Tendréislo entendi Exposición &amp; S. M. la Rmisa nuestra Señora.do, y lo comunicareis á quien corres ponda. crEstá rubricado de la Real mano.=En Aranjuez á 23 de Abril de 1834-=A D. Nico Señora: El alcalde mayor y ayuntamiento de la villa de Aulás María Garelly. tol tienen…</t>
  </si>
  <si>
    <t>de Arizaga, Josef Manuel</t>
  </si>
  <si>
    <t>Josef Manuel de Arizaga</t>
  </si>
  <si>
    <t>…Alvarez Pestaña oidor en el Real sobre el tetina del Malbruk. á 4 rs. Estas piezas, grabadas.y,-arregladas para guil«,ra' se venden eu esta curte, calle angosta.dé.Majadericos, Aum. Ii, guitarrería de Campo Consejo de Navarra , á D. Josef Manuel de Arizaga alcalde del crimen de "r-Ante el Sr. D. Jow5 Maceda, leáúftdó teniente de ásisVénte .dé la ciudad *de Sc^Uá U Real audiencia dé Granada, i D. Vicente Calvo fiscal de lo civil de la nettde la testamentaría cóncíirsada ne;D. Tomás Gsbiás* y á-vlrtitd de despacho 1** Real-audiehcia de Búrgos, í D. Vic…</t>
  </si>
  <si>
    <t>…Alvarez Pestaña oidor en el Real sobre el tetha del Malbruk. á 4 rs. Estas piezas, grataádns y,-arregladas para guiisr0' se venden cu esta curte» calle angosta.dé.Majadericos, Aum. Ii, guitarrería de Campo Consejo de Navarra , á D. Josef Manuel de Arizaga alcalde del crimen de "r-Ante el Sr. D. José.Maceda, leáúndó teniente de ásisVénte .dé la ciudad *de SéCin*» U Real audiencia dé Granada, i D. Vicente Calvo fiscal de lo civil de la nettde la téstqtnemafíe cóncíirsada ne;D. Tomás G*laréa* y á-vlttitd de despache l*** Real-audichcia de Búrgos, í D.…</t>
  </si>
  <si>
    <t>de Arosa, Villagarctá</t>
  </si>
  <si>
    <t>Villagarctá de Arosa</t>
  </si>
  <si>
    <t>…amara de los diputados—¿Ul día 8 de Enero* San cura párroco de) de (el Ciprian Alaan. Sanjengo. (el ayuntamiento de) Prosigue la discusión del párrafo 10 de la minuta de respuesta al discurso Simes, (el juez Real del coto de) del Rey. ----- Villagarctá de Arosa. (el ayuntamiento de) El Sr. Lamartine, después de manifestar que eí Sr. Bigaorr no ha compren Villa-Juan, (el ayuntamiento de) dido bien la idea que él ha enunciado respecto á la cuestión de Oriente, habla del estado político y militar del imperio otomano, de la revolución y vic PARTE NO OFICIAL. t…</t>
  </si>
  <si>
    <t>de Arquellada, D Ramón Giraldo</t>
  </si>
  <si>
    <t>D Ramón Giraldo de Arquellada</t>
  </si>
  <si>
    <t>…una. Ha enfermo.) ce 44 dias que estamos reunidos en este recinto, y veo que aun faltan mas de 60 Sres. Procuradores cuyos poderes han sido reprobados. 11 Procuradores que no se han presentado. Yo bien sé que según el reglamento, Sr. D. Ramón Giraldo de Arquellada , por Ciudad Real. ■. &gt; basta que haya ,50 para deliberar y que sean válidas las resoluciones; pero creo D. Manuel Gutiérrez de Caviedes, por la Coruña.que no puede menos de tomarse este punto en consideración, porque la ausen D. Diego Gómez Alonso, por Cáceres. cia de tantos Sres. Procuradores ofr…</t>
  </si>
  <si>
    <t>de Arquellada, Ramón Giraldo</t>
  </si>
  <si>
    <t>Ramón Giraldo de Arquellada</t>
  </si>
  <si>
    <t>…Ha enfermo.) ce 44 dias que estamos reunidos en este recinto, y veo que aun faltan mas de 60 Sres. Procuradores cuyos poderes han sido reprobados. 11 Procuradores que no se han presentado. Yo bien sé que según el reglamento, Sr. D. Ramón Giraldo de Arquellada , por Ciudad Real. ■. &gt; basta que haya ,50 para deliberar y que sean válidas las resoluciones; pero creo D. Manuel Gutiérrez de Caviedes, por la Coruña.que no puede menos de tomarse este punto en consideración, porque la ausen D. Diego Gómez Alonso, por Cáceres. cia de tantos Sres. Procuradores ofr…</t>
  </si>
  <si>
    <t>de Arredondo, Lázaro</t>
  </si>
  <si>
    <t>Lázaro de Arredondo</t>
  </si>
  <si>
    <t>…a Socasa , y D* José García á los voluntarios D. Juan Pardo, D. Apo - eos, del .partido de .Sigüenza. linar Garda* D- Gabriel Trucha* D. Justo Fernandez, menor, D. Manuel de ¡PROVINCIA DE KADRID. la Peña, D. Gabriel de Ve lasco , D. Lázaro de Arredondo, D. Gil García, D. Indalecio del Corral, D. Miguel Garmilla, D. Manuel Zorrilla; y en Del parte recibido el dia'20 del actual en el«3*ebíern©.'civil&gt;de».esta propartícularal capitán de Betanzos O. Vicente María Seguróla. -vincia aparece queel dia*I6 delqiropio había en-Carábanchél-alio 3B enfer- -m…</t>
  </si>
  <si>
    <t>de Arriara, Juan Bautista</t>
  </si>
  <si>
    <t>Juan Bautista de Arriara</t>
  </si>
  <si>
    <t>…rdenes, géneros y especies de en el interior; las mugeres no son admitidas, y no se permite hablar sino á un las plantas. • 1 «orto número de ancianos respetables. Si el asuntóct de importancia, se escu — - Poesías patrióticas de D. Juan Bautista de Arriara: tercera edfcinn año de 1815, na fina. Esta rs. rama hecha tercera edición en 1815 , por ha y 10 paiu tomo Vii 8.°, i 6 cha con la mayor atención. 1810 en que en Londres, berse'concluido se hizo solicitándola continuar la y el pú Los oradores se levantan sucesivamente con suma gravedad, y pronuncia…</t>
  </si>
  <si>
    <t>de Art, Je Estado y del Despacho</t>
  </si>
  <si>
    <t>Je Estado y del Despacho de Art</t>
  </si>
  <si>
    <t>…l de sus respectivas tripulaciones el número de 29 pla zas de odas armas. Madrid 13 de Diciembre. ArL 2.° La fuerza del cuerpo de artillería de marina en activo servicio no pasará de 600 plazas. Ojicio dirigido por el Exento. Sr. Secretario Je Estado y del Despacho de Art. 3.° En circunstancias extraordinarias las fuerzas decretadas en el ar la Guerra á los generales, gefes y ojidales del ejército. ticulo primero, podrán aumentarse hasta 39 plazas, y hasta 19 las del artícu lo segundo. Art. 4-° Solo podrán ser aspirantes los discípulos de la academia, apro Nombrado p…</t>
  </si>
  <si>
    <t>de Art, Miguel</t>
  </si>
  <si>
    <t>Miguel de Art</t>
  </si>
  <si>
    <t>…desean establecer y cimentar entre ambo» tipulaciones del presente Tratado, por las tropas de España y Por Estados, han determinado reunir sus fuerzas con el objeto de com tugal. peler al Infante P. Cirios de España, y al Infame D. Miguel de- Art. 4? En el caso que la cooperación de la Francia se juzgue Portugal, á retirarse de los dominios portugueses. necesaria por las Altas Partes contratantes, para conseguir comple En consecuencia, pues, de estos convenios, SS. MM. Regente» tamente el fin de este Tratado, S. M. el Rev de los Franceses se…</t>
  </si>
  <si>
    <t>de Artola, Juan Ignacio</t>
  </si>
  <si>
    <t>Juan Ignacio de Artola</t>
  </si>
  <si>
    <t>…gún el testimonio de la prensa in nición de di;ho Vcrgara y 40 celadores de la misma villa, mandados por el glesa , á„aquella opiníon liberal cuerdamente progresiva, que se halla en una in capitán D. Sebastian Goñi, y subteniente D. Juan Ignacio de Artola. mensa* mayoría en el Reino Unido, asi como de esta parte del estrecho: habrá *&gt;El rebelde y cabecilla Guibelalde, que tal vc2 temiendo el movimiento puts mas homogeneidad en las opiniones del consejo, y no se correrá á cada la brigada, reunió igualmente en la noche de ayer el 2.° batallón faccioso,…</t>
  </si>
  <si>
    <t>de Aseó, Diego</t>
  </si>
  <si>
    <t>Diego de Aseó</t>
  </si>
  <si>
    <t>…ejorarlos sin llamar en mi auxilio las personas mas distinguidas otra desgracia por parle de los leales que haber sido herido en el brazo izquier de cada pueblo por sus sentimientos de humanidad y beneficencia. Por esta razón, do D. Diego de Aseó, alcalde primero de Viudel, incorporado á la columna, he mandado establecer en todos los pueblos principal» juntas de aquellos indi habiendo aprehendido á los rebeldes dos hombres, cinco caballos, seis escope viduos , bajo la pr»idencia de la autoridad civil, y de concierto con lo* cura*tas, nueve…</t>
  </si>
  <si>
    <t>de Aspe, José Dionisio</t>
  </si>
  <si>
    <t>José Dionisio de Aspe</t>
  </si>
  <si>
    <t>…er hecho presente los gastos^que.-en elfmés dy ^ttforfilni Lóferrib CÓlKf’dfc- fferas f Bezuda para Ordenes; á D. Pedro Ro causado el envío dé tropas al Luiémbúrgo, la íríovtttzacioh Je"una parle ae las dríguez para Fonsagrada; á D. José Dionisio de Aspe para Nogales; guarniciones, y el aumento de fuerza dado á estas , el ministro añade: á^Dv.Antonio Torres y Chacón para Santiago; á D. Joaquín de Pal » El gobierno cree que en las circunstancias actuales.es prudenteljia#ny»r ma y Vinuesa pata Laliu; á D. Manuel de Cuadros para Puen- este aumento de…</t>
  </si>
  <si>
    <t>de At, Juan Bautista</t>
  </si>
  <si>
    <t>Juan Bautista de At</t>
  </si>
  <si>
    <t>…del mal. Contiene aden as un extenso catalogo de todas las obras, tanto españolas como exirangeras, que se han PROVINCIA BE CÓRDOBA. publicado sobre la fiebre amarilla. .... Realidad en ilusión: melodr&lt;ma en verso castellano por D. Juan Bautista de At*&gt; riazn. Un cuaderno en 8.° impreso en 1823, a 8 cuartos rustica En 21 del presénte se gozaba de buena salud en dicha provincia, excepta —•Reglamento aprobado por S. M. detcrmm.indo el modo de in taurar el recurso •n lo* pueblo, dé que trata el siguiente ue interpongan los acreedores c»ntra la Ingl…</t>
  </si>
  <si>
    <t>de AU, Miguel</t>
  </si>
  <si>
    <t>Miguel de AU</t>
  </si>
  <si>
    <t>…abo¡k-&lt;‘n de ;a ^nntnbucion.con^ida con el nombre y Pero contra1 ío ¿jne me persuadid mi rázon y me confiiTtiñba mí expe de merced de.ímit.0'; cobre los derecho» fundi-meniale» lós ¿ecpjñ-ole»: v&gt;- riencia, hizo el ilustre Procer D. Miguel- de AU^a , al acabarse la lectura pen bre el mi lo^i contr.biKion pinrel canil ye «á.-hré lá&gt; sa her- • diente 4 mi llegada, la.pWpueMa que se¡ me había anunciado. Pedí la palabra, mandados ¿e Talavera , Ciudad Real y íoitáo; sobre h);d&gt;dii&gt; ssnii*r&gt;ut. El Esy se me negó:-acordóse, 4 propuesta cjcl Sr. du…</t>
  </si>
  <si>
    <t>de AUamira, José María Moscoso</t>
  </si>
  <si>
    <t>José María Moscoso de AUamira</t>
  </si>
  <si>
    <t>…el nombre portugués; y la historia de esta época, refiriendo los nombre y to.=Está rubricado de la Real mano. = En el Pardo á 31 de Agosto los padecimientos de tantas víctimas, trasmitirá á nuestros venideros un tesoro de 1834.=A D. José María Moscoso de AUamira. de ejemplos comparables á los mas ilustres de la antigüedad. «Consiguieron finalmente algunos súbditos leales de la Reina, después de luchar largo tiempo contra dificultades, al parecer insuperables, y contra los MINISTERIO DE HACIENDA DE ESPAÑA. obstáculos que les oponía no solo el gobierno del usurp…</t>
  </si>
  <si>
    <t>de Augíburgo.', Gaceta</t>
  </si>
  <si>
    <t>Gaceta de Augíburgo.'</t>
  </si>
  <si>
    <t>…años hace. Cuando los actuales secretarios del despacho entraron en el minis fritaú de arrancar á .estos desdichados á la muerte, ó procurarles la emigración. terio , estaba ya consumada la separación de ambos países; y cuando el duque (Gaceta de Augíburgo.') de Wellington formaba parte del gobierno, se señaló la línea de demarcación RUSIA. entre Holanda y Bélgica que fue aprobada por S. S. ¡Cómo, pues, se queja ahora del sistema del actual ministerio, que no es mas que la continuación del Odesa 24 dz Diciembre. suyo! Todo el mundo ha creído, á excepci…</t>
  </si>
  <si>
    <t>de Augsbttrgo, Vicente González Arnao La Gaceta</t>
  </si>
  <si>
    <t>Vicente González Arnao La Gaceta de Augsbttrgo</t>
  </si>
  <si>
    <t>…de Fomento á D. Juan Alvarez Guerra, decano; Don número considerable de distinguidos personages, incluso el cuerpo José Canga-Arguelles; D. José de Heredia; £&gt;. Justo José Ban- diplomático, han ¡do á visitarle. (Courier.) queri; D. Vicente González Arnao. ____ La Gaceta de Augsbttrgo copia un parte deViena del 26 úl Para la sección de Indias á D. Manuel de la Bodega, decano; timo , qué entre otras cosas contiene lo siguiente: Se sabe que el D- Ramón Gil de la Cffidra; D. Gaspar Vigodet; D. Antonio congreso de ministros celebrará esta semana una sesión general, á Daban y Urrutia…</t>
  </si>
  <si>
    <t>de Áuibíaf, Tfipcnár</t>
  </si>
  <si>
    <t>Tfipcnár de Áuibíaf</t>
  </si>
  <si>
    <t>…aludado con vivas de goza y entusiasmo, felices resultados para nuestro comercio con Las escalas del Levante*» / y restituido dispues á palacio, acompañado del duque de Tercera, Saldafia j «Nos Leopoldo ir f por-W-gr«tia-de'Dios, príncipe ¡Tfipcnár de Áuibíaf ' deun'brillante Estado mayor, arengó desde el balcón á las tropas, é hizo cir príncipe Real de Hungría y de Bohemia, archiduque de Austria, gran duque cular muchas copias-del discurso entre los concurrentes, que parecieron muy de T&lt; ’iCjna &amp;c. conmovidos, y no menos S. M. Varios cuerpos han sido l…</t>
  </si>
  <si>
    <t>de Ausgburgo, T.a Gaceta</t>
  </si>
  <si>
    <t>T.a Gaceta de Ausgburgo</t>
  </si>
  <si>
    <t>…rable al general Jackson. (Diario de Amsrerdam, 00. París, 16-7 k 8. Cádiz» i b. Sevilla* ¿ b. los Debates.) Bayona,' 00. Alicante, á corto pía* Coru&amp;a 1 { d. Valencia, 4 id. Burdeos, 00. ao, I b. Granada, id. id. Zaragoza, | i 1 d. -T.a Gaceta de Ausgburgo, refiriéndose á cartas de Viena, dice: Corre la Humburgo, 00. Barcelona, á ps. fs., Málaga, ib. Descuento de Ierras»' voz de que el cantón de Berna ha empezado á moderar sus pretensiones políti Londres, k 90 días, Bií¿o*,¡fd. Santander, 1 íd« á 4 p. 100 ni bAo» 38*. Santiago, 1 d. cas , y que manif…</t>
  </si>
  <si>
    <t>de Ayala, D Esteban</t>
  </si>
  <si>
    <t>D Esteban de Ayala</t>
  </si>
  <si>
    <t>…nacidas unas det modo con que el Sr. Secretario del Despacho había con En seguida, á invitación del Sr. Presidente, entró á jurar y tomó asiento cebido y presentado el proyecto, y otras de Su gravedad, de su complicación «1 mismo Sr. D. Esteban de Ayala. y de la escasez de documentos con que la comisión debió ser ilustrada para no El. Sr. Presidente anunció gue el órdea del día era 1* lectura .de la peti aventurar su dictamen en negocios de tamaña importancia; y como estas difición sobre derechos fundamentales que se ha discutido últimamente, en los tér cu…</t>
  </si>
  <si>
    <t>de Ayala, Esteban</t>
  </si>
  <si>
    <t>Esteban de Ayala</t>
  </si>
  <si>
    <t>…, D. Juan Antonio Cologan y Franquía los que aquella comprendí» en los términos en que lo habían sido en las dis y Sr. marques de Villafueite, por las islas Canarias; y las de D. José Seinsjut cusiones respectivas á los mismos. y D. Esteban de Ayala, por la de Pueito-Rico. ’ El Sr. García Carrasco leyó el siguiente dictámen de la comisión de Ha Igualmente sé d ó cuenta de la elección de decanos y secretarios hecha por cienda respecto al proyecto de ley presentado por el Sr. Secretario del Despa las comisiones de Código penal, y la nombrada par…</t>
  </si>
  <si>
    <t>de Azara, D José Nicolás</t>
  </si>
  <si>
    <t>D José Nicolás de Azara</t>
  </si>
  <si>
    <t>…allan de tienta en el despacho de la imprenta Real. Historia de la vida de Marca Ti. * «o Cicerón, escrita en ingles por CoriyerS MidJle Guadalajara. -. . Del 14 al 17. ... 325 3oS 57 tón , y traducida al castellano por el Excmo. Sr. D. José Nicolás de Azara , segunda Almoguera. . . . Del lü al 13... 2 4 1 edición uño de 180+..Cuatro tomos en +,°, adornados de esrampas, a I2J rs. rama y Marchámalo. . . . Del 10 al 16. . . 53 32 23 Jares15+ pastaque hafina.vistoLa presenteel mundohistoriay que contienemas han lahonradovida Jelauiv*especiede lo,humana;ho…</t>
  </si>
  <si>
    <t>de Azara, José Nicolás</t>
  </si>
  <si>
    <t>José Nicolás de Azara</t>
  </si>
  <si>
    <t>…n de tienta en el despacho de la imprenta Real. Historia de la vida de Marca Ti. * «o Cicerón, escrita en ingles por CoriyerS MidJle Guadalajara. -. . Del 14 al 17. ... 325 3oS 57 tón , y traducida al castellano por el Excmo. Sr. D. José Nicolás de Azara , segunda Almoguera. . . . Del lü al 13... 2 4 1 edición uño de 180+..Cuatro tomos en +,°, adornados de esrampas, a I2J rs. rama y Marchámalo. . . . Del 10 al 16. . . 53 32 23 Jares15+ pastaque hafina.vistoLa presenteel mundohistoriay que contienemas han lahonradovida Jelauiv*especiede lo,humana;ho…</t>
  </si>
  <si>
    <t>de Azara, Vicente Bardaji</t>
  </si>
  <si>
    <t>Vicente Bardaji de Azara</t>
  </si>
  <si>
    <t>…En los campos. Totales. tidas; y conforme á lo dispuesto por S. M., deberán enseñar en dicha escuela gramática latina, retórica y poética. Las solicitudes deberán dirigirse, francas de por.te, antes del 21 del próximo Diciembre á D. Vicente Bardaji de Azara, vecino de U misma Casos ocurridos........................... 80 179 252 villa. De ellos fatales........................... 59 112 171 ——Pordiz, se publicaprovidenciapor términodel juzgadode 30dediasla subdelegaronla subasta de detresRentascasas deadjudicadasla provinciaá ladeRealCá Hacienda, situa…</t>
  </si>
  <si>
    <t>de Azcarate, D José Martin</t>
  </si>
  <si>
    <t>D José Martin de Azcarate</t>
  </si>
  <si>
    <t>…de ser de 24 onzas, la de cebada de celemín y me Con fecha 22 del comente dice el capitán general de Castilla la "Vieja des dio, y la de paja de media arroba, excepto Ja de los caballos de tiro délos es de Medina de Pomar, que el capitán D. José Martin de Azcarate sabedor da cuadrones de artillería y muías* de los batallones'del tren de la misma arma, que el cabecilla Villalobos se hallaba oculto en una casa del lugar de.Cuevas, que ha de ser de dos celemines la de cebada, y tres cuartos de arroba la de pa se Trasladó á dicho punto en la noche del 18 del act…</t>
  </si>
  <si>
    <t>de Azcarate, José Martin</t>
  </si>
  <si>
    <t>José Martin de Azcarate</t>
  </si>
  <si>
    <t>…e 24 onzas, la de cebada de celemín y me Con fecha 22 del comente dice el capitán general de Castilla la "Vieja des dio, y la de paja de media arroba, excepto Ja de los caballos de tiro délos es de Medina de Pomar, que el capitán D. José Martin de Azcarate sabedor da cuadrones de artillería y muías* de los batallones'del tren de la misma arma, que el cabecilla Villalobos se hallaba oculto en una casa del lugar de.Cuevas, que ha de ser de dos celemines la de cebada, y tres cuartos de arroba la de pa se Trasladó á dicho punto en la noche del 18 del act…</t>
  </si>
  <si>
    <t>de Azcarue, D José Martin</t>
  </si>
  <si>
    <t>D José Martin de Azcarue</t>
  </si>
  <si>
    <t>…-^inarias Se han fomentado los arbolados, y D. Pedro Jiménez de Herrera ha Fe El mismo capitán general acompaña con igual fecha de 16 el parte que cho plantar 5»'o p es de morera y otros 1 4B arboles; igualmente D. Ramón le da el capitán D José Martin de Azcarue, comandante de la columna mó Gómez de la Torre ha formado un paseo adornando aquel sitio y ib» intnedix» vil establecida en Cervera , &amp;u fecha I I del actual desde Roñosa , en el cual tos con arbustos y Hores , y l2l'0 árboles. dice que estaba creído de que el valle de Vabdcrrcdible se hallaba libr…</t>
  </si>
  <si>
    <t>de Azcué, Juan Miguel</t>
  </si>
  <si>
    <t>Juan Miguel de Azcué</t>
  </si>
  <si>
    <t>…de Orbegozo, beneficiado la bella disposición de sus individuos, y por el entusiasmo de que de Mungia en la misma: D. Ignacio de Echaudia, beneficiado de los he visto animados, prorumpiendu en alegres-viva» á nuestra i Deusto, y D. Juan Miguel de Azcué, beneficiado y cura de Arri- amada Reina y á su augusta Madre Gobernadora, es ya un bri | gorriaga. Y es mi voluntad que esta providencia gubernativa se pu llante testimonio de lo que puede esperarse de este leal 'vecindario, blique en las respectivas iglesias á que estaban ascriptos; y que con y d…</t>
  </si>
  <si>
    <t>de Azuela, Joaquín María</t>
  </si>
  <si>
    <t>Joaquín María de Azuela</t>
  </si>
  <si>
    <t>…cuenta ai Rey nuestro Señor del acuerdo del Consejo de F da ,ce*.;qu£ fian de scnteoc^acJcifi, ó bien cualquiera otra novedad en su vista ó do de 10 de Jumo próximo en que devuelve con otros el expediente promo votación. vido por D. Joaquín María de Azuela» como apoderado del marques de ¿1$.°':. Lás que vereco sobre obtener revisiones extraordinarias, ó sobre volver Felices y varios sugeios, quejándose de que ci ayuntamiento dei vaUe Ce Mcj. 4 abrir juicio* ya. fenecidos.. Tcndrcislo entendido, y dispondréis lo necesario á na y los comisionados, con…</t>
  </si>
  <si>
    <t>de Ba, Maximiliano</t>
  </si>
  <si>
    <t>Maximiliano de Ba</t>
  </si>
  <si>
    <t>…flecho Prínc^ fie Vénecia , y adoptado como MJS por el Illana............ 17 á 24 ídem.... , 21 16 00 Emferador Napoleón, que le declaró heredero del reinó de Italia. ^ Luzón....... 14 Set. á l.°Nov. 144 105 35 . Por decreto dél Rey Maximiliano de Ba viera de Noviembre dé' 18Í7 lé fue concedido en propiedad perpetua el ducado de Xeiichtemberg y él princi pado de Eichstaedt bajo la supremacía de bayiera; y en caso de extinguirse la PROVINCIA de CyiPOZCOA, lipes reinante, reconocida su sucesión, apta á suceder á la corona. Cedió por dichos Ksradi…</t>
  </si>
  <si>
    <t>de Baca, Ramón Arce Cabeza</t>
  </si>
  <si>
    <t>Ramón Arce Cabeza de Baca</t>
  </si>
  <si>
    <t>…ta parte tan importante del ser Parte sanitario de 31 de Octubre. vicio se desempeñe con la actividad y buen éxito correspondientes. Pueblos* Pías. Enfermos. Curados. Fallecidos^ S. M. la Reina Gobernadora se ha servido nombrar á D. Ramón Arce Cabeza de Baca, oficial cesante de la contaduría de Propios de Santander, para Aroche.................. 15 a 21 de Oct. 119 80 9 la plaza de primero de la de Huesca, vacante por salida de D. Pedro Palacio Cortegana............. 12 á id. ¡d-... 78 10 12 i segundo de la de Zaragoza. Zalamea la Real. U á 23 id.... 3…</t>
  </si>
  <si>
    <t>DE BADAJOZ, Goberna PRqvINCJVINCIA</t>
  </si>
  <si>
    <t>Goberna PRqvINCJVINCIA DE BADAJOZ</t>
  </si>
  <si>
    <t>…último parte no había ocumdo novedad alguna en el estado sanitario de aque que el propio gefe ofrece ser satisfechos los honorarios correspondientes y re lla provincia. \ comendados después suspiervicios para obtener de S. M. la Reina Goberna PRqvINCJVINCIA DE BADAJOZ. dora los premios que en nombre de la Reina, nuestra Señora tiene decretados para los profesores que pasen á desempeñar tan recomendable encargo. Barce Eí presidente de la junta de Sanidad de dicha provincia dice en oficio de 2 lona 27 de Agosta de l834«De acuerdo de esta Real academia, y por indis…</t>
  </si>
  <si>
    <t>DE BADAJOZ, Salvatore Vernede PROVINCIA</t>
  </si>
  <si>
    <t>Salvatore Vernede PROVINCIA DE BADAJOZ</t>
  </si>
  <si>
    <t>…eta ex iis quae a Doct. Petro Guarino aliisque auc— ESTADO SANITARIO DEL REINO. toritatibus prodierunt, extracta, arque claro, facilique methodo ad perfectam sanctae lingusie, saCrique veteris textus intelltgentlam, acommodata, á D. Salvatore Vernede PROVINCIA DE BADAJOZ. et Vila. Un tomo, en 4,0, edición de 1790, k 14 rs. rama y 20 pasta común. 1 ■■■ Historia de la insigne órden del Toison de Oro, escrita por D. Julián de Pinedo Su gobernador.-civil dice en oficio del ló del corriente que en toda ella yqueSalaxar.se hallaTresdivididatomos enenfoliotres• ediciónpart…</t>
  </si>
  <si>
    <t>de Badén, Josefina-Federica-Luisa</t>
  </si>
  <si>
    <t>Josefina-Federica-Luisa de Badén</t>
  </si>
  <si>
    <t>…a combinación, Sr., obra de una nación organizada por sus represen El matrimonio de S. A. el Príncipe hereditario de Hohenzollem-Sigmatantes, á quienes ha confiado esta comisión importante y difícil, ofrece en ringen con S. A. la Princesa Josefina-Federica-Luisa de Badén se ha celebrado perspectiva el cuadro de un gobierno que parece no haber sido hasta ahora en solemnemente ayer á las ocho de la noche, en el palacio del gran Duque, en pre Europa mas que una ilusión de algunos políticos, y que nosotros solos hemos sencia de S. A. R. el gran Duque de Badén; de todos…</t>
  </si>
  <si>
    <t>de Bailen, Duque</t>
  </si>
  <si>
    <t>Duque de Bailen</t>
  </si>
  <si>
    <t>…de haberse cia sus fallos sobre cosas cubiertas todavía con el velo del porvenir. verificado. Dios &amp;c- Aranjuez 20 de Abril de 1834- — Francisco Los gobiernos de Alemania se ocupan en promover la felicidad do Martinez de la Rosa.=Sr. Duque de Bailen, Presidente del Consejo sus súbditos, y si entre oíros bienes pueden lograr prevenir sus áni Real de España ¿ Indias. mos contra ideas de que tanto se abusa, merecerán el reconocimien ministerio de hacienda de espada. to de todos los hombres ilustrados; asi como crecerá dentro y fue ra de su país l…</t>
  </si>
  <si>
    <t>de Balez, Viuda</t>
  </si>
  <si>
    <t>Viuda de Balez</t>
  </si>
  <si>
    <t>….......................................... 2ü0 cerse. Sres. Arratia y sobrinos......................................... ................................. 3000 Se han dado las disposiciones oportunas para la recomposición del cami Sra. Viuda de Balez................................................................................. 1000 no que conduce desde Rubastro á Bielja en beneficio de los que comercian en • D. José de Imáz...................................................................................... 1000 la extracción de lanas por aquel punto, y siguen instruyéndose algunos expe Dos señoras que no han dado el no…</t>
  </si>
  <si>
    <t>de Baltnaseda, O Juan Domingo</t>
  </si>
  <si>
    <t>O Juan Domingo de Baltnaseda</t>
  </si>
  <si>
    <t>…el camino, no solo por la ncce— provincia db Avila. «¡dad de comer , sino por la de buscarse ellos mismos los alimentos. El ataque Sr. L&gt;. José Somoza. ¿potra Lisboa dado el 5 de Setiembre fue real y no falso, como se ba querido Sr. O. Juan Domingo de Baltnaseda. suponer, pero fue contra el dictamen de Bourmont , y en efecto tuvo mal-¿x¡— PROVINCIA tUI BADAJOZ. ¿o á causa de que la infantería solo constaba de 8óU0 hombres. Sr. D- Antonio González. El día inmediato propuso Bourmont i D. Miguel el siguiente plan r le dijo Sr. D. José Claros. que supuesto que…</t>
  </si>
  <si>
    <t>de Baños, Antonio</t>
  </si>
  <si>
    <t>Antonio de Baños</t>
  </si>
  <si>
    <t>…tiempo REAL DECRETO. en Viena. No se tardará en nombrar un nuevo enviado y ministro plenipotenciario rara recompensar la lealtad y noble decisión del alcalde mayor de Prusia cerca de la corte de Viena. de Villarrubia de los Ojos D. Antonio de Baños, manifestadas com batiendo la facción &lt;lel Locho, he venido en concederle los honores BAVISRA. de la Real audiencia de Burgos, libres de todo pago. Tendréislo en 4 Munich 27 de Abril-,tendido, y lo comunicareis á ijuien corresponda—Está rubricado de la Real mano.=En Aranjuez a 19 de Mayo de 1834.=A…</t>
  </si>
  <si>
    <t>de Bar, Maximiliano</t>
  </si>
  <si>
    <t>Maximiliano de Bar</t>
  </si>
  <si>
    <t>…s Ips fa mayor economía. Tendréuto entendido, y dispondréis lo necesario villas considerables por alguná circunstancia tienen su ^amhVehr petfecramc&amp;ta á'su cumplimiento. =Está rubricado de la Real mano.=En Caraban ejercitado. El duque Maximiliano de Bar ¡era, que ha sido nombrado coman tíra chel á 16 de Junio de 1834i=A4 Presidente del Consejo de Ministros. te del landwehr del círculo del Iser, recorre este distrito, é inspecctona' ea.to dos los puntos la guardia cívica. Hoy‘es el décimo sexto aniversario de la Constitución de Ba viera. Re tenido…</t>
  </si>
  <si>
    <t>de Barbé, Gnmarques</t>
  </si>
  <si>
    <t>Gnmarques de Barbé</t>
  </si>
  <si>
    <t>…ue perte V. E., había destacado alguna fuerza en observación de Reinos» , Hago sa ir de necen á este ó aquel partido, y que no reconocen algunas leyes existentes El aquí una columna de 30 infantes y 10 «tollos ai mando del «pitan D. Gnmarques de Barbé hace algunas observaciones acerca del informe que sobre est3 par Hernando, destinada exclusivamente á la persecución activa del cabecilla ley ha dado la comisión; satisface á ellas el duque de Choiseul, y la Cámara Villalobos, que intenta reunir los mozos hácia Valderrcdible. También pre aprueba eí…</t>
  </si>
  <si>
    <t>de Barreda, Joaquín Gómez</t>
  </si>
  <si>
    <t>Joaquín Gómez de Barreda</t>
  </si>
  <si>
    <t>…les de todas las dasei que juren obe D. Fausto del Hoyo, y la tercera de los batallones de Córdoba á Us del coro diencia en las aras de la legitimidad, cbmo asr lo quieren !as*'!eyéi fundamen nel graduado! teniente coronel mayor, D. Joaquín Gómez de Barreda, v otra tales de la monarquía, que los sagrados testos mandan respetar y obedecer. Por de reserva de los batallones de Extremadura , Almansa v resto de carabineros» que aunque-'algunos hombres olvidados de sús deberes, y mas censurables por ¿ la del primer comandante D. Pascual Menacho, emprendió d…</t>
  </si>
  <si>
    <t>…siásticos, con asistencia de los jóvenes alumnos y un tiutnfr- I los extraordinarios esfuerzos de su bizarro gefe el coronel teniente coronel nía* roso concurso, y en lo restante del día y parte do la noche se entregaron !o»| ydr D. Joaquín Gómez de Barreda les hizo volver la espalda hasta el caso de sufrir heridas de sus bayonetas. Desde este momento la victoria se inclinó á fa vecinos a^rcgocijo público con bailes, juegos é iluminación general, mostran- I do en sus alegres vivas la adhesión constante que profesan á la Rej.Va Isabu\. J vor de nuestra…</t>
  </si>
  <si>
    <t>de Bassccourt, José</t>
  </si>
  <si>
    <t>José de Bassccourt</t>
  </si>
  <si>
    <t>…pondiente á la enseñanza que desempeña. dos que componen la columna que ha sostenido tan glorioso encuentro, y muy - particularmente al comandante de ella y demas citados por este, padeciéndome Accediendo S. M. á una solicitud de D. José de Bassccourt, se ha' digna muy oportuno que los paisanos que con sus servicios y noticias contribuyeron a do confirmar el nombramiento de catedrático de matemáticas que hizo á su fa la destrucción de la mencionada gavilla, se les remunerase por el gobernador vor en 1827 Ja sociedad económica de Sevilla, sin que…</t>
  </si>
  <si>
    <t>de Baviera, Amalia</t>
  </si>
  <si>
    <t>Amalia de Baviera</t>
  </si>
  <si>
    <t>…para su inteligencia v efec sajoma. tos indicados. Dios guarde á V. S. muchos años. Madrid ó de Se Drrsde 16 de Agosto. tiembre de 1854. —Moscoso.irSr. director del Reai Conservatorio de Artes. Esta mxñana á las sets S. A R. l.i princesa Amalia de Baviera, esposa del príncipe Juan, ha dado á luz una princesa. El parto ha sido muy feliz. PARTE NO OFICIAL. ____Antes de ayer hizo un ligio que murió el célebre conde Augusto Cristó bal de Wackerbarth, feldmariscal de nuestro ejercito, homhr-e muy' erudito,, NOTICIAS EXTR ANGER AS* artista y guerrero. Con…</t>
  </si>
  <si>
    <t>de Baviera, El Príncipe Real</t>
  </si>
  <si>
    <t>El Príncipe Real de Baviera</t>
  </si>
  <si>
    <t>…yo. ' Siendo conveniente que se dé una nueva planta á las Secretarías Se habla mucho de un viajet que deben hacer en breve á Petersburgo' él -del Despachó, que sin ser gravosa al Real Erario proporcione una Príncipe heredero y la Princesa. El Príncipe Real de Baviera pasará también a clasificación trias metódica de los negocios y facilite su pronta expe aquella capital. Se cree que este viaje tendrá por objeto dosvcasamienros. (Ccrdición, descargando á los Ministros de lós asuntos de leve cuantía, ó mpon sal de Hamburgo.) que se reducen á meros trámites de inst…</t>
  </si>
  <si>
    <t>de Baviera, Luisa</t>
  </si>
  <si>
    <t>Luisa de Baviera</t>
  </si>
  <si>
    <t>…l Rey en de que le ha presentado un modélico de yeso M. Fournel. audiencia particular, jas cartas en que anpel. Je participa el nacimiento de la princesa Carolina Teresa Helena, hija de SÍ, A, el duque Maximiliano y de S.A. R. la princesa,Luisa de Baviera., , Inmediatamente después el caballero de Abreu y Lima, enviado extraordi nario y ministro plépipotenciario deS. M.la Reina de Portugal, ha presen ESPAÑA. tado aj Rey l^s cartas que le acreditan en calidad de tal cerca de S. M. el Rey de Jos franceses El caballero de Lima hi sido conducido á la aud…</t>
  </si>
  <si>
    <t>de Baviera, Maximiliano</t>
  </si>
  <si>
    <t>Maximiliano de Baviera</t>
  </si>
  <si>
    <t>…uvo noticia del expre Baviera, acaba de ceder sus dominios de Eanz, en el alto Palatínado, y la renta sado general de que le esperaban en un bosque por donde debían pasar nuestras’ que le pertenece de 2259 florines, á su nieto el duque Maximiliano de Baviera, tropas; Je mandó dar fuego, y de sus resultas huyeron abandonando i Guercufiado del Rey, reservándose para sí 1800 florines. nica el Pretendiente, la jwnta rebelde, IJraso y todos Josi facciosos. Ei mismo da parte de que el comandante de la trincadura Cristina Don —- TTn«i carta de Revel de 30 de…</t>
  </si>
  <si>
    <t>de Be, Juana</t>
  </si>
  <si>
    <t>Juana de Be</t>
  </si>
  <si>
    <t>…ción ai puerto de la capital, por ia cual da salida á sus Puerto de Sta. María, y natural de Genova. sobrantes, y recibe ias primeras materias y los frutos coloniales con quecomerId. á favor de los hijos de D. Angel de Yoldi y de Doña Juana de Be- cia con lo* pueblos de &gt;u radió y con Jos del bajo Aragón. Bajo el concepto ramendi. de insliuccion ofrecen también grandes ventajas estos tres puntos por la ten Id. de D. Julián Perez de Mendraca, de Uceda. dencia que todos los habitantes de la provincia tienen á acudir á ellos en todas Mayorazgo…</t>
  </si>
  <si>
    <t>de Bedoya, D Ramón Gómez</t>
  </si>
  <si>
    <t>D Ramón Gómez de Bedoya</t>
  </si>
  <si>
    <t>…nza que se requiere para resistir las extorsiones que los Dios guarde á V. E. muchos años. Córdoba 23 de Febrero de 1834^= rebeldes cometeo en los mismos. Excmo. Sr.zrjuan Antonio Delgado.nExcmo, Sr. Secretario de Estado y del El brigadier D. Ramón Gómez de Bedoya, en 26 del propio mes de Fe Despacho del Fomento general del Reino. brero, desde Arciniega da parte que el teniente coronel D. Francisco Ltnage^ capitán de carabineros de costas y fronteras, había batido una partida de rebel ‘ Copia que se cita. des que existía en Amurrio, haciéndoles dos prisioner…</t>
  </si>
  <si>
    <t>…ún parte del gobernador de Alcañiz , el capitán Machón dia antes dé mi salida, según la orden que dejé al comandante general de la que recorre las cercanías de Caspe, aprehendió en el 13 del corriente en los división de Castilla, brigadier D. Ramón Gómez de Bedoya. = Todp lo que montes de Maella á dos facciosos, uno llamado Fr. Pablo Gardes, monge tra elevo á conocimiento de V. E para el de S. M. Dios &amp;c.” peóse , y el otro Vicente Mas, natural de dicho pueblo de Maeíla , los que fue En vista de lo cual se ha dignado S. M. conceder las recompensas que pro ron…</t>
  </si>
  <si>
    <t>de Bedoya, Juan Manuél</t>
  </si>
  <si>
    <t>Juan Manuél de Bedoya</t>
  </si>
  <si>
    <t>…san el esplendor de la religión y el paciones que los ocasione el desempeño de sus destinos. bien del Estado: teniendo en consideración la virtud y letras de que Art. !).' Las obligaciones de los censores son: se hallan adornados D. Juan Manuél de Bedoya, canónigo cardenal Primera. Censurar los periólicns dentro del dia en que se los de Oi'énsé;-X). Qregorio Gisbert, abad de Arbas; D. Alfonso San- presenten los editores, y'con la brevedad posible los demás escritos cliéz Ahumada, canónigo de' Oviedo; D. Lucas Meló; el P. M. Era y que les remitan lo…</t>
  </si>
  <si>
    <t>de Bedoya, Ramón Cromes</t>
  </si>
  <si>
    <t>Ramón Cromes de Bedoya</t>
  </si>
  <si>
    <t>124? . ^ i . .. - metro comisionado para que estipulase y“éónvinles« con'el comisionado'que ‘V Eterno. Sr.: El máriscat de campo D. Ramón Cromes de Bedoya,-coen esta capital fuese nombrado por parte dé S. A- R. él Duque de Leuchtem mahdante general de lá división de operaciones dé la Rioja, coniecha 4 del berg y Santa Cruz, las condiciones de*su casamiento.con dicho Príncipe. — actual: me dice desde Logroño lo qué s¡gue.=»Excmt&gt;. Sr.:El brigadier Don…</t>
  </si>
  <si>
    <t>de Bedoya, Ramón Gómez</t>
  </si>
  <si>
    <t>Ramón Gómez de Bedoya</t>
  </si>
  <si>
    <t>…requiere para resistir las extorsiones que los Dios guarde á V. E. muchos años. Córdoba 23 de Febrero de 1834^= rebeldes cometeo en los mismos. Excmo. Sr.zrjuan Antonio Delgado.nExcmo, Sr. Secretario de Estado y del El brigadier D. Ramón Gómez de Bedoya, en 26 del propio mes de Fe Despacho del Fomento general del Reino. brero, desde Arciniega da parte que el teniente coronel D. Francisco Ltnage^ capitán de carabineros de costas y fronteras, había batido una partida de rebel ‘ Copia que se cita. des que existía en Amurrio, haciéndoles dos prisioner…</t>
  </si>
  <si>
    <t>de Bedoya, Ramon Gómez</t>
  </si>
  <si>
    <t>Ramon Gómez de Bedoya</t>
  </si>
  <si>
    <t>…s de Amaya y la Lora. Dios ranos que vinieron en nuestro socorro concluida la acción, porque guarde á V. E. muchos años. Búrgos 13 de Abril de 1834-^Ex no les fue dado verificarlo antes, admiran la heroica defensa que celentísimo Sr.=Ramon 'Gómez de Bedoya.=cE*cmo. St. Secreta hicieron. rio de Estado y del Despacho de la Guerra. Solo roe resta hacer presente á V. E. que en medio de la sa tisfacción que me cabe al ver unos defensores tan decididos y fieles El comandante general de las provincias Vascongadas da parte al trono de nuestra ainada Reina , t…</t>
  </si>
  <si>
    <t>…mis órdenes. detenerle pasó 3 Ba*abar; y como tuvo not cías del movitmento que habí» En tanto llegue V. $. á Eloirio oficiará de mi órden al Sr. brigadier practicado el brigadier higueras en persecución de Zumalacarregui, tomó el D. Ramón Gómez de Bedoya para que se sitúe con toda la fuerza que le sea partido de irse á Us inmediaciones de S. Miguel de Etcelsis, donde cansado do andar, atravesado en la yegua , mal comido y bebido , resolvieron aprovechar posible reunir en Durango, advirtiéndole que importa mucho al servicio su acostumbrada actividad…</t>
  </si>
  <si>
    <t>…el gobernador de Alcañiz , el capitán Machón dia antes dé mi salida, según la orden que dejé al comandante general de la que recorre las cercanías de Caspe, aprehendió en el 13 del corriente en los división de Castilla, brigadier D. Ramón Gómez de Bedoya. = Todp lo que montes de Maella á dos facciosos, uno llamado Fr. Pablo Gardes, monge tra elevo á conocimiento de V. E para el de S. M. Dios &amp;c.” peóse , y el otro Vicente Mas, natural de dicho pueblo de Maeíla , los que fue En vista de lo cual se ha dignado S. M. conceder las recompensas que pro ron…</t>
  </si>
  <si>
    <t>…llones vizcaínos, dos guipuzcóanos y dos dirigiendo la 4-* por los altos con el Sr. brigadier Jáuregui á Arechabaleta, compañías de guias que le escoltan: infiero pues que intentará atravesar dicha y la columna del de igual clase D. Ramón Gómez de Bedoya á Escoriara, sierra y volverse sobre el valle del Bastan; si tal sucediese, mañana me diri con objeto de abrazar mas la posición del enemigo jr observar su flanco iz giré á Tolosa, adelantando cuanto pueda mis observaciones hácia Leiza, Ezquierdo, pues este se retiró á las diez de la mañana de Oñát…</t>
  </si>
  <si>
    <t>de Befado, Nicolás La Gaceta</t>
  </si>
  <si>
    <t>Nicolás La Gaceta de Befado</t>
  </si>
  <si>
    <t>…il y de soladores ó embaldosadores; los canteros y rete— Muchos periódicos han insertado con inexactitud la carta que S. M. h* jallares; los cocheros y lacayos; las costureras y encajeras sin tienda dirigido i su augusto yerno el Emperador Nicolás. La Gaceta de Befado pu abierta; las oficialas de modista; los limpia-botas con puesto en la blica hoy el original en francés en los mismos términos con que se ha remiti calle ó los portales; las hilanderas con rueca ó torno; los hortelanos do á S. Petersburgo, y que textualmente dice asi: - asalariados; los enfermeros…</t>
  </si>
  <si>
    <t>de Beitia, Pablo</t>
  </si>
  <si>
    <t>Pablo de Beitia</t>
  </si>
  <si>
    <t>…españoles, las luces, las riquezas , las virtudes;, todo lo reputan_por , D. Canuto Regoyos, í). Eegiro Blanchar ,'p. Luis Blanchar, Don enemigo, cuya destrucción les es necesaria, para conseguir su plaii'r Ignacio' 3e Eguilloz, D. Pablo de Beitia, D. Juan Antonio, de ‘ de 1823, que es pasearse sobre las, ruinas de.España como una tri-,, Salla, D. Justo de- Acha, D. Pedro Pick, EX Pedro Toluaga, bu de tártaros sobre los. desiertos de Escitia. Aquel horrendo plan - O. Julián Unzueta, D. Julián de Ugaldc y D. Pío de Éguizabál. que desbarató la…</t>
  </si>
  <si>
    <t>de Benavides, Manuel</t>
  </si>
  <si>
    <t>Manuel de Benavides</t>
  </si>
  <si>
    <t>…urgos; y á D. Antonio Ramón Careaga, alcalde mayor de Aranda de Duero. Asimismo se ha servido nombrar S. M. la Rein a Gobernadora, en ca PROVINCIA DE ZAMORA. lidad de interinos, para la alca'día mayor del partido de NaVahermosa á Don Manuel de Benavides: pata la de Igualada á D. José Romero Ortega: para la Desde 25 á 28 de Octubre último falleció una persona en la capital de de Sigíienza á D. José López Ponce: para el corregimiento de Tarazona á aquella provincia, curaron 7, y no quedaba ningún enfermo : desde 20 á 25 D.! Francisco Perez de Lucía…</t>
  </si>
  <si>
    <t>de Benedicto, D Manuel</t>
  </si>
  <si>
    <t>D Manuel de Benedicto</t>
  </si>
  <si>
    <t>…re la reserva otra fuerza, que fue con por 100. . *; , ; tenida por el Príticipe,'3.° de linea, dirigido diestramente por su coronel, el Vales Reales ao'cqasólidadós, lié al cortado: 1,1$, 16; y 4.Í-Í4 'varusfs.v 'voi. y.firmL.,. brigadier D. Manuel de Benedicto, cuya operación practicó con el mayor, acier- Deuda negociable del í p. K&gt;0 á p*pel&gt; 152-al 31 del corriente'ó vol. Id. sin inceress'^f* *4-'y 4 áVarias '£s., Vol. y firme: 7| á 60 d. f. 5&gt;,v«t«r ó&gt;prí to-y, con-la serenidad y valor que tiene acreditado, ,á quien ayudó eficazmente ■ •p. 100. - ' ‘…</t>
  </si>
  <si>
    <t>…capitán de ingenieros D. Eusehio la vanguardia, v la 1“ división al dia siguiente, durmiendo yo en Quincoces y el regimiento del Príncipe, conducido por su bizarro Valencia de Alcántara para obrar con las tropas que allí existen, brigadier D. Manuel de Benedicto, al grito de viva la Reina fueron mientra!'llegan las que me siguen por la ruta dicha, llevando el se echados de sus posiciones y mancharon en diférentes direcciones. ñor general harón de Carondelet la de Zarza la Mayor á pasar por En esto apareció por el Otro lado la columna.del coronel Carrera Al…</t>
  </si>
  <si>
    <t>de Benedicto, Manuel</t>
  </si>
  <si>
    <t>Manuel de Benedicto</t>
  </si>
  <si>
    <t>…rva otra fuerza, que fue con por 100. . *; , ; tenida por el Príticipe,'3.° de linea, dirigido diestramente por su coronel, el Vales Reales ao'cqasólidadós, lié al cortado: 1,1$, 16; y 4.Í-Í4 'varusfs.v 'voi. y.firmL.,. brigadier D. Manuel de Benedicto, cuya operación practicó con el mayor, acier- Deuda negociable del í p. K&gt;0 á p*pel&gt; 152-al 31 del corriente'ó vol. Id. sin inceress'^f* *4-'y 4 áVarias '£s., Vol. y firme: 7| á 60 d. f. 5&gt;,v«t«r ó&gt;prí to-y, con-la serenidad y valor que tiene acreditado, ,á quien ayudó eficazmente ■ •p. 100. - ' ‘…</t>
  </si>
  <si>
    <t>…ingenieros D. Eusehio la vanguardia, v la 1“ división al dia siguiente, durmiendo yo en Quincoces y el regimiento del Príncipe, conducido por su bizarro Valencia de Alcántara para obrar con las tropas que allí existen, brigadier D. Manuel de Benedicto, al grito de viva la Reina fueron mientra!'llegan las que me siguen por la ruta dicha, llevando el se echados de sus posiciones y mancharon en diférentes direcciones. ñor general harón de Carondelet la de Zarza la Mayor á pasar por En esto apareció por el Otro lado la columna.del coronel Carrera Al…</t>
  </si>
  <si>
    <t>de Bernabé, D José Gil</t>
  </si>
  <si>
    <t>D José Gil de Bernabé</t>
  </si>
  <si>
    <t>…rden, no menos que el contraído por el teniente del propio cuerpo D. Luis Cueto, ejecutando las órdenes de su gefe el conde, trayéndomelas con el mayor riesgo á este fuerte; también lo merece la compañía de artillería, quo con su capitán D. José Gil de Bernabé, arrastraban las piezas á brazo al pa— bolsa de comercio. . Cotización dt hoy é ¡as tres dt la taras. rage que se les designaba; y por último la tropa de la guarnición con los diez caballos del l.° ligero y los cuatro carabineros , merecen también el aprecio de ERECTOS WBL1COL S. M. por su extraord…</t>
  </si>
  <si>
    <t>de Bernabé, José Gil</t>
  </si>
  <si>
    <t>José Gil de Bernabé</t>
  </si>
  <si>
    <t>…menos que el contraído por el teniente del propio cuerpo D. Luis Cueto, ejecutando las órdenes de su gefe el conde, trayéndomelas con el mayor riesgo á este fuerte; también lo merece la compañía de artillería, quo con su capitán D. José Gil de Bernabé, arrastraban las piezas á brazo al pa— bolsa de comercio. . Cotización dt hoy é ¡as tres dt la taras. rage que se les designaba; y por último la tropa de la guarnición con los diez caballos del l.° ligero y los cuatro carabineros , merecen también el aprecio de ERECTOS WBL1COL S. M. por su extraord…</t>
  </si>
  <si>
    <t>de Berrueta, Félix Antonio Onofre Jaime Novellas</t>
  </si>
  <si>
    <t>Félix Antonio Onofre Jaime Novellas de Berrueta</t>
  </si>
  <si>
    <t>…áticas, estable neros, y en ellas los individuos que á continuación se expresan : D. Juan Bau cida en la Real casa lonja de esta ciudad bajo la dirección del catedrático Don tista de Arana, titulado comandante general de Vizcaya: D. Félix Antonio Onofre Jaime Novellas. de Berrueta, secretario de ia llamada junta de agrav-os; su hijo $ibi»; O. To En el primer dia D. Lorenzo Presas, recorriendo el origen y progresos de mas de Cortesana , administrador de aduanas; D Martin de Andlgonagoltia, Jas matemáticas, halló que solo en España, y especialmente en nuestra Ca capellán dd co…</t>
  </si>
  <si>
    <t>de Beslova, D Ramón Gómez</t>
  </si>
  <si>
    <t>D Ramón Gómez de Beslova</t>
  </si>
  <si>
    <t>…tropa han rivalizado en éoon de it ilj,. porqpe no seria posible aplicar números con exactitud á cosas morales y varia guíese. Dios &amp;C.’’ / ble». Pero de tpdo» modo» e» cierto que la mayoría se ha aumentado coosiden&amp;teoit-ntc. El brigadier D. Ramón Gómez de Beslova, que después de Sitar tab No es e»í«.una razón para hacer lo que los enemigos del gobierno suponen tranquilas las Encartaciones y densa valles y mcrindades confinantes con Vipta gratuitamente, que'consiste en abusar de semejante situación, porque se perde ya, marchó á Bilbao y Durango con do. de su…</t>
  </si>
  <si>
    <t>de Beslova, Ramón Gómez</t>
  </si>
  <si>
    <t>Ramón Gómez de Beslova</t>
  </si>
  <si>
    <t>…rivalizado en éoon de it ilj,. porqpe no seria posible aplicar números con exactitud á cosas morales y varia guíese. Dios &amp;C.’’ / ble». Pero de tpdo» modo» e» cierto que la mayoría se ha aumentado coosiden&amp;teoit-ntc. El brigadier D. Ramón Gómez de Beslova, que después de Sitar tab No es e»í«.una razón para hacer lo que los enemigos del gobierno suponen tranquilas las Encartaciones y densa valles y mcrindades confinantes con Vipta gratuitamente, que'consiste en abusar de semejante situación, porque se perde ya, marchó á Bilbao y Durango con do. de su…</t>
  </si>
  <si>
    <t>de Bessie, José</t>
  </si>
  <si>
    <t>José de Bessie</t>
  </si>
  <si>
    <t>…la columna y siguieron á la acción, de donde timare oportuno. cubiertos de gloria con sus compañeros y tropa mencionada, bajo el Dios guarde á V. E. muchos años. Manzanares 18 de Abril inmediato mando del comandante de caballería D. José de Bessie- de 1834-=Excmo. Sr.zzEstcban de Mendoza.—Excmo. Sr. Secreta res, entraron ayer en triunfo en esta villa con 18 prisioneros, sa rio de Estado y del Despacho de Gracia y Justicia. liendo á recibirlos toda la población en masa , niños, ancianos&amp;c., sin oirse mas voces, insultos, ni desórdenes que viva Is…</t>
  </si>
  <si>
    <t>de Bíirgos, Javier</t>
  </si>
  <si>
    <t>Javier de Bíirgos</t>
  </si>
  <si>
    <t>…quee certificación del acta de ayer en la parte relativas! as Unto qué'ííofiya óESTAMENTO PE ILUSTRES PROCERES. ta protesta., ’ ^ ^ «Dios guarde á V. E. muchos años. Madrid 19 de Qrfubye Ac -a Sesión del dia 25 de Octubre. Excma Sr. = Javier de Bíirgos: = Excmo. Sr, Presidente del, Estamento de Proceres del hcino/’ . Leída el acta de la sesión anterior se aprobó con la recti6cacion propues- Se dio cuenta y el Estamento quedó enterado dé haber sido tiombíados ta.cor el Sr. duque de Gor, reducida á que en lugir d- atribuir 4 S. E. la pro para la. c…</t>
  </si>
  <si>
    <t>de Blas, Agustín</t>
  </si>
  <si>
    <t>Agustín de Blas</t>
  </si>
  <si>
    <t>…menos preferidas. Entran entre estas últimas en el dia las de España, deducido de sus leyes y costumbres bajo las diversas dominaciones que ha abogado, banquero.ó,comerciante, médico, administrador y literato. La pro tenido. Por D. Agustín de Blas, individuo de la Real comisión de estadística. BI objeto de esta obra es presentar los principios generales de población, y los medios progresi fesión militar se sostiene á favor de su gloria tradicional; ni pierde ni gana mu vos que la perfeccionan, procurando desvanecer con razones y documentos l…</t>
  </si>
  <si>
    <t>de Bor, Carlos Isidro</t>
  </si>
  <si>
    <t>Carlos Isidro de Bor</t>
  </si>
  <si>
    <t>…ísimos, y nombrados, no por pre A consecuencia de esto se leyó el dictamen de la comisión encargada de dilección particular del Gobierno, sino atemperándose este á la opinión pú examinar el proyecto de ley por el que se excluye á D. Carlos Isidro de Bor blica; y qué si los ha separado, no ha sido por hacer agravio á su mérito,, dón y su,, descendencia del derecho á la Corona de España. sino por el mismo deseo de acabar cuanto antes se pueda esa guerra desola / Concluida la lectura, el Sr. Presidente dijo se imprimiría para distri dora. El Gobierno…</t>
  </si>
  <si>
    <t>de Bor, Cárlos María Isidro</t>
  </si>
  <si>
    <t>Cárlos María Isidro de Bor</t>
  </si>
  <si>
    <t>…e de Rívas en que ya que estaba términos siguientes: «Él Estamento de Próceres del reino declara quedar ex aprobada par el Estamento la indicación del Sr. marques de i E.peja , pedia se cluido de la sucesión á la corona de España D. Cárlos María Isidro de Bor- autorizase á la mesa para oficiar á los Sres. Próceres ausentes á fita de partici bon y Borbon, y toda su descendencia.™ pársela. Esto suscitó un ligero debate en que se manifestó no ser necesaria esta El Sr. marques dé Espeja pidió que los Sres. Próceres ausentes pudiesen autorización por ser cosa…</t>
  </si>
  <si>
    <t>de Bor, Cárlos Marta Isidro</t>
  </si>
  <si>
    <t>Cárlos Marta Isidro de Bor</t>
  </si>
  <si>
    <t>…onven.encía , y casi todas las que se ;■ .n «1 proyecte» del Gobierno, cti y os dos artículos dicen asi.r . citado como convenientes en política , son , generalmente hablando, de poc o «■ l.° Sédectarfr qdedár ekclüidó él Infante D. Cárlos Marta Isidro de Bor- de ningún va V»r .4 rti- nmdft de ver, bon y ttxta'Vo Ifttéhdél dérécbó dé sütedér á ta^Corotia' de España. ' «&gt;1.4% de jj^ticit K*-ventad ij je e* derr»chn pátr-n, escrito está en algunas 2¿® • 'Se*' declara asimismo que el Infrftfe D. Cárlos Atarla Isidro de Borbon cisoí terminante c«vvr#f&gt;«io«rcs r…</t>
  </si>
  <si>
    <t>de Borbon, Cários María Isidro</t>
  </si>
  <si>
    <t>Cários María Isidro de Borbon</t>
  </si>
  <si>
    <t>…ue permaneciesen fieles á la Reina mi Señoia. Por manera que, re mismos; espero que no vacilarás un momento en reconocerlos. = M. Cários.” unida bajo un punto de vista la cuestión del hecho, resulta, sin dar logar á duda:,l.° Que D. Cários María Isidro de Borbon dió pábulo con su silencio Quinta cubierta. « A D. Francisco de Zea Bermudez.” i la rebelión intentada ¿ su nombre, y que estalló mas de una vez cuando, qp Interior. « Habiendo recibido ayer la noticia oficial de la muerte de mi muy sobreviniendo novedad, le hubiera correspondido subir al trono por…</t>
  </si>
  <si>
    <t>…. Pero el caso en cuestión es muy distinto. de España y su futura felicidad reclaman la exclusión de la sucesión á la coro-, Xa estabilidad de los tronos, íntimamente enlazada con el bienestar de ios pue na del sedicioso Príncipe D. Cários María Isidro de Borbon y de toda su líne», blo» t no consiente por su propk índole la creación de derechos perpetuos é según parecen disponerlo las indicadas leyes, y con especialidad la 1.a, 2.a, y inamovibles en la importante materia de sucesión á la corona', como los que 3.a, título 2.°, partida 7.a puéden y deben tener lu…</t>
  </si>
  <si>
    <t>de Borbon, Carlos</t>
  </si>
  <si>
    <t>Carlos de Borbon</t>
  </si>
  <si>
    <t>…: dríguez pasase á situar la columna de la derecha en la altura á que iban subicn-. ” periódico de Lóndres dice que Doña Francisca de Brsganza, esposa do los facciosos; y tomando el mencionado ayudante ocho hombres de 1* cilia de D. Carlos de Borbon, falleció el jueves, después de medio día, en su resi da colrftnna, logró , venciendo los muchos obstáculos que lá aspereza de} ter dencia de Alverstoke junto á Gospcfrt. reno presentaba, llegar á la cumbre al mismo tiempo que los enemigos, «sota i anuncia que esta triste noticia se'comunicaba por…</t>
  </si>
  <si>
    <t>…an á qorta distan rito relevante y su entusiasmo sin límites por Doña Isa sel ii. cia, escoltado por una compañía de las miserables tropas que tiene Dios guarde á V. E. muchos años. Cuartel general de la Guar á su servicio el Sr. D. Carlos de Borbon , no vacilé un momento da á 19 de Abril de 1834- —Excmo. Sr. —José Ramón Rodil.cz en continuar la marcha, aunque con solo el escuadrón, previnien Excmo. Sr. Secretario de Estado y del Despacho de la Guerra. do al capitán comandante de las citadas compañías de preferencia diese un refresco á la trop…</t>
  </si>
  <si>
    <t>de Borbon, Cárlos Atarla Isidro</t>
  </si>
  <si>
    <t>Cárlos Atarla Isidro de Borbon</t>
  </si>
  <si>
    <t>…ingún va V»r .4 rti- nmdft de ver, bon y ttxta'Vo Ifttéhdél dérécbó dé sütedér á ta^Corotia' de España. ' «&gt;1.4% de jj^ticit K*-ventad ij je e* derr»chn pátr-n, escrito está en algunas 2¿® • 'Se*' declara asimismo que el Infrftfe D. Cárlos Atarla Isidro de Borbon cisoí terminante c«vvr#f&gt;«io«rcs r sus hitos. Pero , señores , e&gt;te y toda-su líftéa"qtjfedan privados dé la-facultad' de- volver á los dominios de derecho pátrio escrito- j-qtaí pt^cas ve oes na csixdo étt ejercicio , ,y cuan r^o se España. ^ ;' : rá el caso-de habbtsé cdaformAdo á él ta práctica…</t>
  </si>
  <si>
    <t>de Borbon, Cárlos María Isidro</t>
  </si>
  <si>
    <t>Cárlos María Isidro de Borbon</t>
  </si>
  <si>
    <t>…os medios que se le habían cer á las Cortes generales del reino en el día de su solemne apertura de someter «propuesto para su embarque; que cualquiera excusa ó dificultad con que de— ¿ su deliberación la conducta del Sr. Infante D. Cárlos María Isidro de Borbon, « morase su viage, la miraría como una. pertinacia en resistir á su voluntad; y para que recayese la decisión mas justa y conveniente; se sirvió S. M. mandar «que mostraría, como lo juzgase conveniente, que un Infame de España no es que se sometiera al examen y discusión de las Córtes generales de…</t>
  </si>
  <si>
    <t>…f llamar su atención el que sobre un cimien la cual es de dictamen la comisión de que el- Estamento de ilustres Próceres to tan déb.l y frívolo sé quiera levantar un edificio tan monstruoso. Se agol debe declarar.ccQue el Infante D. Cárlos María Isidro de Borbon quede exclui pan las consideraciones á que provoca esta conducta, y las deja la comisión al do del derecho de suceder en la corona de España , por haber hollado lo mas íntimo convencimiento que de algunos años á esta parte dan los sucesos ocur sagrado de nuestras leyes fundamentales, las que anegla…</t>
  </si>
  <si>
    <t>de Borbon, Carlos María Isidro</t>
  </si>
  <si>
    <t>Carlos María Isidro de Borbon</t>
  </si>
  <si>
    <t>…usticia estaba encargado de presentar una ctpia ori la deuda pasiva” ginal de la ley sancionada por S. M. la Reina Gobernadora sobre La ex Procedieron en seguida los mismos señores á exponer los fundamentov ea clusión del Infante D. Carlos María Isidro de Borbon y su línea del de que se había apoyada ^jc. Estamento para suprimir en ei art. I.3 i»s palabra» recho de suceder en la corona de España, á fin de que se publicase en Esta excepto ei de iáue bh.tr d. mento , procedió á su lectura. Concluida esta dijo el Sr. Presidente: ti Esta Los S-es. Procuradores,…</t>
  </si>
  <si>
    <t>de Borbon, Carlota Joaquina</t>
  </si>
  <si>
    <t>Carlota Joaquina de Borbon</t>
  </si>
  <si>
    <t>…pagará un tributo, no sospechoso, dé admiración. te por haberle precedido el Sr. D. Antonio, Príncipe de Beira. Fueron sus Tan grande en la muerte como en la vida, no pudieron los sofismas de la padres el Sr. D. Juan vi y la Sra. Doña Carlota Joaquina de Borbon, hija esperanza ofuscar su razón; todos vejan mejoría en su salud, y él solo veía la del Rey católico Cárlos iv. eternidad. Preparóse pues á ella cori la mas edificante resignación, y después de Por muerte del Príncipe O. Antonio en el año de 1800 vino a ser Don hechas las disposiciones de cristian…</t>
  </si>
  <si>
    <t>de Borbon, Cirios María Isidro</t>
  </si>
  <si>
    <t>Cirios María Isidro de Borbon</t>
  </si>
  <si>
    <t>…o tan Gobierno de S. M. Madrid J.° de Octubre de 1834* Vicente Cano Manuel.— ^urgente como de'fícil resolución la cuestión-relativa á la exclusión del Trono .El marques de la Gándara.— Jacinto de Romarate.“El marques de Falces. á D. Cirios María Isidro de Borbon y á toda -su descendencia, pido al Esta Joaquín de Ezpeleta.= Rosendo. José de lá Vega y Rio. = El marques de mento que se decláre en-lesión permanente hasta4su decisión, para que asi la Montesa. — Amonio Martel. =Telésfotá de TrUebáGosío."" . . .. . ' , Nación, como lá Europa entera y vean la condtí…</t>
  </si>
  <si>
    <t>de Borbon, Cirios Marta Isidro</t>
  </si>
  <si>
    <t>Cirios Marta Isidro de Borbon</t>
  </si>
  <si>
    <t>…bilidad y firmeza de la unánime y simultánea voluntad de D, Alonso el xt ra,” según la expresión de la mencionada lef 3.a* no dejan lugar á duda de y de los asistentes á las Córte* de Alcalá de Henares de. 1348: que su natura que D. Cirios Marta Isidro de Borbon ha perdido el derecho á la corona; y leza se alteró^si se quiere, en las Córtes de Í713; pero las de 1789, cele «tte leba perdido igualmente la línea de que es cabeza. Sus hijos quedan priva bradas con la misma solemnidad, en unión con la Pragmática de 1830 , que dos de todos los bienes que corresp…</t>
  </si>
  <si>
    <t>de Borbon, Cristina</t>
  </si>
  <si>
    <t>Cristina de Borbon</t>
  </si>
  <si>
    <t>…z. mos han tenido que salir de la ciudad, y se ha prohibido bajo penas severas el uso de los antiguos trajes alemanes. (G. de Leipsick.') El día 1.® de Junio próximo es dia de media gala, porque en él cumple años la Serma. Señora Doña Cristina de Borbon, ixija del Idem S. Sermo. Señor Infante D. Francisco de Paula. Por cartas muy dignas de fe que se acaban de recibir de Viena te sabe qne el congreso de ministros alemanes reunido en esta última capital se prolongará Han felicitado á S. M. la Reina Gobernadora , con motivo de la pro hasta fines del…</t>
  </si>
  <si>
    <t>de Borbon, D Cários María Isidro</t>
  </si>
  <si>
    <t>D Cários María Isidro de Borbon</t>
  </si>
  <si>
    <t>…ilustrada. Pero el caso en cuestión es muy distinto. de España y su futura felicidad reclaman la exclusión de la sucesión á la coro-, Xa estabilidad de los tronos, íntimamente enlazada con el bienestar de ios pue na del sedicioso Príncipe D. Cários María Isidro de Borbon y de toda su líne», blo» t no consiente por su propk índole la creación de derechos perpetuos é según parecen disponerlo las indicadas leyes, y con especialidad la 1.a, 2.a, y inamovibles en la importante materia de sucesión á la corona', como los que 3.a, título 2.°, partida 7.a puéden y deben tener…</t>
  </si>
  <si>
    <t>de Borbon, D Carlos</t>
  </si>
  <si>
    <t>D Carlos de Borbon</t>
  </si>
  <si>
    <t>…chaban á qorta distan rito relevante y su entusiasmo sin límites por Doña Isa sel ii. cia, escoltado por una compañía de las miserables tropas que tiene Dios guarde á V. E. muchos años. Cuartel general de la Guar á su servicio el Sr. D. Carlos de Borbon , no vacilé un momento da á 19 de Abril de 1834- —Excmo. Sr. —José Ramón Rodil.cz en continuar la marcha, aunque con solo el escuadrón, previnien Excmo. Sr. Secretario de Estado y del Despacho de la Guerra. do al capitán comandante de las citadas compañías de preferencia diese un refresco á la trop…</t>
  </si>
  <si>
    <t>de Borbon, Infante D Cárlos María Isidro</t>
  </si>
  <si>
    <t>Infante D Cárlos María Isidro de Borbon</t>
  </si>
  <si>
    <t>…alguno de los medios que se le habían cer á las Cortes generales del reino en el día de su solemne apertura de someter «propuesto para su embarque; que cualquiera excusa ó dificultad con que de— ¿ su deliberación la conducta del Sr. Infante D. Cárlos María Isidro de Borbon, « morase su viage, la miraría como una. pertinacia en resistir á su voluntad; y para que recayese la decisión mas justa y conveniente; se sirvió S. M. mandar «que mostraría, como lo juzgase conveniente, que un Infame de España no es que se sometiera al examen y discusión de las Córtes generales de…</t>
  </si>
  <si>
    <t>de Borbon, Luisa</t>
  </si>
  <si>
    <t>Luisa de Borbon</t>
  </si>
  <si>
    <t>…r Util á su patria. —Descripción de los ornatos públicos con que la corte de Madrid solemnizó la fe—&gt; é incaBsable áctivUad se debe en mucha parte la buena salud de que hasta el liz exaltación al trono de ios Sres. D. Carlos iv y Doña Luisa de Borbon, su augu«ra&gt; presante disfrutamos, i pesar de la infección general en que arden todos los esposa, y la jura como Principe de Asturias del Sr» D. Fernando vil, adornada cota. puebles que. nos rodean. once estampas finas en que se describen los ornatos que hubo en diversas casas de 1¿' carrera que ll…</t>
  </si>
  <si>
    <t>de Borbon, María Cristina</t>
  </si>
  <si>
    <t>María Cristina de Borbon</t>
  </si>
  <si>
    <t>…iento; cuerda que siempre é faUv^Mnpíxattt 1h¿jaMlel Sr. Jf&gt;, Fernando vu. vibra en los pechos.españoles; pues al nombre de Isabel ir, á las concesio á parece. que -asp pppde ser mas explícito el nes generosas de su augusta Madre Doña María Cristina de Borbon, Ruina i- pttSf^tCCr^QucdcexcUjido ci Infantc D. Carlos María. Isi- Gobernadora, debernos el hallarnos aquí congregados, y que ac hayan echado drft.d^ííhdJon^yrBorboo.y toda su Jfoea deldejccho de suceder á la corona las bases sólidas.sobre que ha de levantarse el grandioso edificio de la felicidad…</t>
  </si>
  <si>
    <t>…Abspurg, Standes, Tirol los rendimientos del Voto de Santiago;y si hubiere algunas proce ' Barcelona; Señora de Vizcaya y de Molina &amp;c. &amp;c.; y en su Real dentes de título oneroso ó con destino á establecimientos de benefi nodibre Doña María Cristina de Borbon, como Reina Gobernadora cencia ó literarios, serán impuestas sobre otras rentas eclesiásticas. durante la menor edad de Mi excelsa Hija, i todos los que las' pre Sanciono, y ejeeútese.=Yo la Reina Gobermdora-=Está rubrica sentes vieren y entendieren, sabed: Que habiendo juzgado conve do de la Real…</t>
  </si>
  <si>
    <t>de Borboo, D Carlos María Isidro</t>
  </si>
  <si>
    <t>D Carlos María Isidro de Borboo</t>
  </si>
  <si>
    <t>…considere ¿ los h jos del Infante como cruelmente despojado» « La comisión encargada de presentar su dictánoen sobre el proyecto de ley de su herencia. Pero esta exhercdj;:on es puramente imaginaria, porgue no que debe excluir al Sr. D. Carlos María Isidro de Borboo y Eorbon, y á toda pueden heredarse derechos que no existen. Solo la ignorancia ó la irreflexión su línea, de la sucesión á la corona de España , tiene el honor de someter ai pudiera aplicar al caso presente 1a ley del mayorazgo, confundiendo asi la» Estamento de Sres. Procuradores el resultado desús…</t>
  </si>
  <si>
    <t>de Bórdese, D Francisco Narvaez</t>
  </si>
  <si>
    <t>D Francisco Narvaez de Bórdese</t>
  </si>
  <si>
    <t>…s.” be cijos duraron hasta muy tarde, sin alterarse en lo mas mínimo ia tranquilidad levanta la sesión. f orden publico. - í-a* cartas que acabamos de recibir de Viena son ciertamente muy satisfac L.1 casa del Sr. gobernador , el brigadier D. Francisco Narvaez de Bórdese, torias, pues anuncian que si no esta determinado del lodo un desarmamento ge se distinguía por sus escogidas decoraciones, inscripciones y pinturas, n ’ me neral, á lo menos se trata seriamente de una disminución progresiva en el es nos que por su vistosa y esplendida iluminación. tado militar de…</t>
  </si>
  <si>
    <t>de Bórdese, Francisco Narvaez</t>
  </si>
  <si>
    <t>Francisco Narvaez de Bórdese</t>
  </si>
  <si>
    <t>…miento varría.=:Tomas Medina= Anastasio Igarza.—Simeón Jalon.=Josef Ladrón de de Matanzas: antes de ahora, cuando su digno presidente ei brigadier goberna Guevara.=Josef de la Llera.z=Pab!o Carranza. =:Claudio Alba. = Dominzo dor D. Francisco Narvaez de Bórdese lamentaba sin consuelo en el año ante Antonio Bohigos.=Juan de Sedaño.—Julian A rrlbas.—Dommno de Sta. Cruz. rior, y aun en el presente, la enfermedad de nuestro Soberano, y en su acen =Manuel Martínez Gonzalezz=Félix Herrera de la Riva. “ Por acuerdo de drada fidelidad presentía con un dolor inexp…</t>
  </si>
  <si>
    <t>…os duraron hasta muy tarde, sin alterarse en lo mas mínimo ia tranquilidad levanta la sesión. f orden publico. - í-a* cartas que acabamos de recibir de Viena son ciertamente muy satisfac L.1 casa del Sr. gobernador , el brigadier D. Francisco Narvaez de Bórdese, torias, pues anuncian que si no esta determinado del lodo un desarmamento ge se distinguía por sus escogidas decoraciones, inscripciones y pinturas, n ’ me neral, á lo menos se trata seriamente de una disminución progresiva en el es nos que por su vistosa y esplendida iluminación. tado militar de…</t>
  </si>
  <si>
    <t>de Borhon, Carlos María Isidro</t>
  </si>
  <si>
    <t>Carlos María Isidro de Borhon</t>
  </si>
  <si>
    <t>…ne apertura de presentar á su deliberación la conducta / En 20 de dicho mes se le dijo que podía embarcarse en cualquier punto de la bahía , ó elegir otro inmediato , para lo cual quedaba todo preparado. observada por el Príncipe D. Carlos María Isidro de Borhon, y te $u respuesta á lá intimación del plenipotenciario cjl 28 dé los mismos niendo presente que de la justa y acertada decisión de este negocio fue la-siguiente: «está bien : veremos r quedo enterado:” Y en carta autógrafa gravísimo pende acaso la tranquilidad y ventura de estos' Reinos: del dia a…</t>
  </si>
  <si>
    <t>…ámites v for Los Lores Melboume, Althorp, AuckLind, Htil y otros miembros del malidades prescritas, el grave asunto relativo á la exclusión «leí In Gobierno acudieron muy pronto para tomar «Jispo&amp;icioncs. Sir J. C- Hobborne fante D. Carlos María Isidro de Borhon y toda su línea del derecho expuso vanas veces su vida para salvar libros v papeles interesantes. ---- -S. M. luego que recibió la noticia de tan infausto suceso, puf*} el pata rioá suceder en la corona de España, que por decreto de V. M. de ó de San J ames a disposición del Parlamento para celebrar…</t>
  </si>
  <si>
    <t>de Borhon, D Carlos María Isidro</t>
  </si>
  <si>
    <t>D Carlos María Isidro de Borhon</t>
  </si>
  <si>
    <t>…su solemne apertura de presentar á su deliberación la conducta / En 20 de dicho mes se le dijo que podía embarcarse en cualquier punto de la bahía , ó elegir otro inmediato , para lo cual quedaba todo preparado. observada por el Príncipe D. Carlos María Isidro de Borhon, y te $u respuesta á lá intimación del plenipotenciario cjl 28 dé los mismos niendo presente que de la justa y acertada decisión de este negocio fue la-siguiente: «está bien : veremos r quedo enterado:” Y en carta autógrafa gravísimo pende acaso la tranquilidad y ventura de estos' Reinos: del dia a…</t>
  </si>
  <si>
    <t>de Borhon, Mabia Cristira</t>
  </si>
  <si>
    <t>Mabia Cristira de Borhon</t>
  </si>
  <si>
    <t>…v de Milán; condesa de Ahspurg, Flandes, Tirol ‘ y hermosa sata de YVcstnunter, y amenazaban acabar con este venerable mo y Baréelona; Señora dé Vizcaya y de Molina ¡kc. ífcc.; y en su Real numento de arquitectura gótica. nombre Doña Mabia Cristira de .Borhon, como Reirá Gobernadora Los muebles, libros, actas del Parlamento é infinitos objetos preciosos, durante la menor elad de Mi excelsa Hija, á todos los que las pre se creyó que iban á ser presa inevitable de las llamas; pero afortunadamente sentes Vieren y entendieren, sabed: Que habiendo juzgado co…</t>
  </si>
  <si>
    <t>de Borson, María Cristina</t>
  </si>
  <si>
    <t>María Cristina de Borson</t>
  </si>
  <si>
    <t>…Fernando vn (Q. E. E. G.) fermos. de la eapit^ f jdel cual apare?»; que las enfermedades que alli reinaban en el Real establecimiento, de Madrid, y dedicada á S. M. la Reina Madre eran fiebres intermitentes, gástricas y diarreas. Doña María ‘Cristina de Borson , Regenta y Gobernadora del reino. Dicha colección, estampada en papel imperial sobrefino avitelado , se halla de venta al El corregidor de Andújar con fecha de 23 de Junio remite el siguiente es precio de 80 rs. en el despacho del expresado establecimiento, calle del Prínci tado sanitario de aquel…</t>
  </si>
  <si>
    <t>de Boxeos, María Isabi’-u Luisa</t>
  </si>
  <si>
    <t>María Isabi’-u Luisa de Boxeos</t>
  </si>
  <si>
    <t>…l.° de Julio de 1828 , con cargo á la Hacienda civil , y jos, herederas y sucesores , juramento y pleito homenage , reconociendo a 1 a ■ [.desde dicho día en adelante por la administraciqn militar, satisfaciéndoles en Serma. Sra. Doña María Isabi’-u Luisa de Boxeos , hija primoc-r;.a c. cida Un mes, ademas de sus respectivo* haberes curtientes, otro por Cuenta de V. M., por Pnncesa de Aslúr.as , y como tal inmediata sucesora de ¡a c - r n.i SUS atrasos, para que por este medio pueda paula! nainente irse extinguiendo de España y todos sus dominios,-según .acre…</t>
  </si>
  <si>
    <t>de Braganza, D Pedro</t>
  </si>
  <si>
    <t>D Pedro de Braganza</t>
  </si>
  <si>
    <t>…...*. 2ü9 El comisario régio de la provincia de Alava al dar cuenta á S. M. de las Madrid 30 dt Setiembft. medidas adoptadas luego que tuvo la noticia de haber aparecido el cólera en el Con motivo del fallecimiento de S. M. I. el Sr. D. Pedro de Braganza, pueblo de la Bastida, ha manifestado que costeó de su bolsillo cuantos medi regente de Portugal, ha resuelto S. M. la Reina Gobernadora que desde hoy camentos pidieron los facultativos; y complacida S. M. al ver su celo y despren l.° de Octubre se vista la corte de luto por tres meses, el primero…</t>
  </si>
  <si>
    <t>de Braganza, Duque</t>
  </si>
  <si>
    <t>Duque de Braganza</t>
  </si>
  <si>
    <t>…la sesión. Lisboa 30 de Setiembre. Boletín del palacio de las Necesidades 28 de Setiembre de 1834- S. M. F., ESPAÍÍ A. S. M. L y'S. Á- S., resignadas á la voluntad del Omnipotente, que se ha ser vido llamar para sí á S. M. I. el Sr. Duque de Braganza, saldrán hoy á las Valladolid 5 de Octubre. seis y cuarto de la tarde del Real palacio de Queluz, acompañadas de la mar-' Ayer emprendió su marcha para Aranda de Duero, según órdenesdet quesa, camarera mayor, dé la dama Doña María de los Dolores, de las dos espitan general, el regimiento provincial…</t>
  </si>
  <si>
    <t>…pública llevan los frutas i la desea: que no solo contó individuo de la Cámara, sino.como testigo que ha del pais úibordo de los buques extrangeros anclados en la bahía, sin pagar dere sido de todo cuanto se ha hecho desde que el Sr. Duque de Braganza se puso i chos dé exportación j con grande detrimento de las remas del Estado, les en Ja cabeza de la parte leal de la xpcion , y se empezar) n á tratar en Inglaterra carga muy especialmente que vigilen sobre esté ¡lícito tráfico, y que se apode las transacciones pecuniarias, ha visto que todas se…</t>
  </si>
  <si>
    <t>…s, formando su pavimento inclinado á la parte de la miento que mostraban por la pérdida irreparable de su augusto padre, el in nlontaña, para que las aguas no ocasionen los perjuicios que hasta aquise han mortal y siempre adorado Señor Duque de Braganza, cuya memoria, grabada experimentado con las copiosas y abundantes lluvias que ha habido en el ve ©a el corazón de los verdaderos portugueses, pasará acompañada del mas pro rano próximo pasado. fundo dolor á la posteridad mas remota por lo» hechos heroicos y casi mila*- Desde la cima ó cúspide del…</t>
  </si>
  <si>
    <t>…..... . 1 é 9 Octubre.. 39 18 1 cios del Reino. Gandesa............ . 4 i 7 ¡d........... 4 00 1 Concluida la lectura, dijó: »&gt;Nó quiero detenerme en menciónar los be Perelló.............. . 9 á 13 id..... 10 3 1 neficios que .eL Sr. Duque de Braganza, de grata memoria, hizo á la Nación; Rcus........... ¿ . . 6 á 12 ¡d......... 26 H 1 pues muchas veces han sido reconocidos per la Cámara, y esto basta. El con Tortosa............. . 8 4 11 ¡d......... 27 2 7 greso dará á esta proposición el curso que le permitan sus trabajos.” Se decidió que pasas…</t>
  </si>
  <si>
    <t>…cumplimiento á los decretos vKcfcimwuianv * el ’ hecho siguiente a 1j reflexión de lus naturalistas, y de 2*J de Agosto y 11 de Setiembre del año próximo pasado 1833 , por los aun mvis a U de los mugió radí»'*. cuales S. \L L tí Sr. Duque de Braganza, de gloriosa memoria, en calidad de ‘•hn mti.i w.ivi de campo en lf*s alrededores de León, se extravio ctí el fde \ i una cuc:uriit i de w.ife : d.^pucs de haberla buscad'» serviciopadre y tutorde la demismasu augustaaugustísimahija Señorala Reinaá todosF-, declarólos criadosprivadosde ladelcasahon…</t>
  </si>
  <si>
    <t>…experimentando algún alivio en su cura. Asi opinan los odio facultativos que han asistido á la ¡nota—lavares, médico de cabecera. ^_Üna carta del 3 dei corriente de Francfort; dice: - --• 19 de Setiembre á las 8 de la ttocke. El Sr. Duque de Braganza ha tenida Tí general Piret ha entregado e¿ta mañana d mando de las tropas au»- una convulsión; pero há.mejorado á beneficio de los remedios que se le aplica triJfc ts y prusianas que hay encesta ciudad .y sus alrededores.al mariscal dé cam ron. Se.continúa el sistema curativo que los médicos de ser…</t>
  </si>
  <si>
    <t>de Braganza, Duquesa</t>
  </si>
  <si>
    <t>Duquesa de Braganza</t>
  </si>
  <si>
    <t>…á encargado por el Rey de los franceses de llevar á denciales. El Sr. Perez de Castro puso en manos de S. M. Fidelísima la Reina Nápoles el retrato de la Princesa María Cristina. Nosotros creemos por el con y de S. M. Imperial la Sra. Duquesa de Braganza las insignias de la orden de trario, que M. de Latour-Maubourg ha sido enviado 4 Nápoles con .el objeto María Luisa, que les envía S- M. Católica la Rema Gobernadora de España. de asistir á negociaciones diplomáticas de importancia que, según se dice, se (Crónica constitucional de Lisboa.) han entablad…</t>
  </si>
  <si>
    <t>de Braganzá, Miguel</t>
  </si>
  <si>
    <t>Miguel de Braganzá</t>
  </si>
  <si>
    <t>…de la deuda interior y extrangera. Tanto la Nueva ____ La Gaceta de Milán de 22 del corriente anuncia que el día .20 del mismo Granada como Venezuela están-dispuestas á adoptar todas las medidas practi mes llegó á aquella capital D. Miguel de Braganzá, procedente de Genova. Se cables á fin de restablecer el crédito nacional, y parece que están de acuerdo alojó en la fonda llamada Albirjo Reale \ por la noche fue al teatro, y pagó con respecto á los medios. (Times.') sin ceremonia la visita que en los mismos términos le había hecho el virey. FRAN…</t>
  </si>
  <si>
    <t>de Braganza, Miguel</t>
  </si>
  <si>
    <t>Miguel de Braganza</t>
  </si>
  <si>
    <t>…amante de ella, am cesidad de acudir al propio tiempo á la izquierda del Ebro , á Castilla, á Por pliase algunas cláusulas y anunciase ya la importante división de la Milicia en tugal, donde el Pretendiente habia sido acogido por D. Miguel de Braganza, sedentaria y movible; habiendo seguido constantemente después este negocio el y finalmente la insurrección del maestrazgo de Morella , que en breve subió curso oportuno, á fin de que las luces de la experiencia y las aplicaciones de á 69 hombres, apoyados á los antiguos muros de esta ciudad, no pe…</t>
  </si>
  <si>
    <t>de Braganza, Pedro</t>
  </si>
  <si>
    <t>Pedro de Braganza</t>
  </si>
  <si>
    <t>…. 2ü9 El comisario régio de la provincia de Alava al dar cuenta á S. M. de las Madrid 30 dt Setiembft. medidas adoptadas luego que tuvo la noticia de haber aparecido el cólera en el Con motivo del fallecimiento de S. M. I. el Sr. D. Pedro de Braganza, pueblo de la Bastida, ha manifestado que costeó de su bolsillo cuantos medi regente de Portugal, ha resuelto S. M. la Reina Gobernadora que desde hoy camentos pidieron los facultativos; y complacida S. M. al ver su celo y despren l.° de Octubre se vista la corte de luto por tres meses, el primero…</t>
  </si>
  <si>
    <t>….................. 25 id. á 1.» id. .. 17 4 i el dia 15 del corriente cese el luto de corte que principió el dia L° deí pasado Villada................... 26 id. á 2 id. — 63 31 16 Octubre, con motivo del fallecimiento de S. M. I. Don Pedro de Braganza, Villaconancio... 6 á 30 Octubre.. 15 3 11 Regente que fue de Portugal. PROVINCIA DE SANTANDER. Con fecha 4 Y 7 del corriente participa el gobernador civil de esta pro ESTADO SANITARIO DEL REINO. vincia , que en aquella capital se había cantado el Te JOeum, y que en los dePROVINCIA DE CUENCA. mas p…</t>
  </si>
  <si>
    <t>de Bricqueville, Ra Los Sres Corcelles y</t>
  </si>
  <si>
    <t>Ra Los Sres Corcelles y de Bricqueville</t>
  </si>
  <si>
    <t>…conforme á la idea y á las solución de estar siempre sumiso á las Reales ordenes de S. M. la Runa G &gt;- miras del gobierno, que adopta todos sus principios y párrafos. bernadora, durante la menor edad de nuestra legitima Soberana Doña Ra Los Sres. Corcelles y de Bricqueville proponen que en el párrafo que se bel ii; y apreciando S, M. la ilustración, desprendimiento v fidelidad de este discute se hagan las alteraciones que ellos indican, manifestando ambos las ra digno Prelado, se ha servido mandar que se publique en la Gaceta para su sa zones en que se fundan para hac…</t>
  </si>
  <si>
    <t>de Briu.ncs, Juan</t>
  </si>
  <si>
    <t>Juan de Briu.ncs</t>
  </si>
  <si>
    <t>…dad. Estos son los votos mas ardientes dc.&lt;mi corazón, que se cumplirán con da extraordinaria á los presos de la cárcel, niños expósitos v á otras \ arias per vuestra ayuda. sonas menesterosas; y por la tarde el Sr. alférez nuvor D. Juan de Briu.ncs v Este discurso fue aclamado con repetidos gritos de Viva el Rey, y los Gazman, caballero maestrante de Sevilla, hizo la proclamación en lis do» pie mismos se renovaron al salir S. M. de la sala de los Diputados. zas señaladas con el mismo estandarte que dio S. Fernando a e»ia ^íu^ad v v que ____La…</t>
  </si>
  <si>
    <t>de Brsganza, Francisca</t>
  </si>
  <si>
    <t>Francisca de Brsganza</t>
  </si>
  <si>
    <t>…ras tropas que el ayudante de esta plana mayor D. Antonio José Ro corriente, y en ella leemos el siguiente párrafo: dríguez pasase á situar la columna de la derecha en la altura á que iban subicn-. ” periódico de Lóndres dice que Doña Francisca de Brsganza, esposa do los facciosos; y tomando el mencionado ayudante ocho hombres de 1* cilia de D. Carlos de Borbon, falleció el jueves, después de medio día, en su resi da colrftnna, logró , venciendo los muchos obstáculos que lá aspereza de} ter dencia de Alverstoke junto á Gospcfrt. reno presentaba, lleg…</t>
  </si>
  <si>
    <t>de Bruc, Federico</t>
  </si>
  <si>
    <t>Federico de Bruc</t>
  </si>
  <si>
    <t>…er anotar este empréstito eñ aliviar á la Francia del enorme presupuesto que pesa sobre sus hombros; pero Ja bolsa al ínteres de un 6 por 100 al año. hasta ahora han sido páco felices, porqué han olvidado enteramente 'el único El conde Federico de Bruc, oficial superior del antiguo ejército de Napo medio de conseguirlo. Con frases pronunciadas en tono de queja y compasión león, ha aceptado el mando en gefe de las tropas de S. A. el bajá de Trípoli, sobre las miserias públicas no se mejora la suerte del pueblo , al contrario se que sostiene hace m…</t>
  </si>
  <si>
    <t>de Bucesta, D Joaquín Ruiz</t>
  </si>
  <si>
    <t>D Joaquín Ruiz de Bucesta</t>
  </si>
  <si>
    <t>…del comercio se resentían PROVINCIA BS lOOMltqn de las últimas medidas, y que las entradas del tesoro público en el primer tri Sr. marques de Someruelos. mestre de este año presentaban un déficit de 2A009 dollars, comparadas con Sr. D. Joaquín Ruiz de Bucesta. igual trimestre de'1833- {Public JLedger.} ¡ ____ Los papeles de Boston y de otros punto» de los Estado» Unidos anuncian PROVINCIA BB que el- pueblo, que al parecer está á favor del Presidente y contra el Senado, lltmo. Sr. D. Antonio Posadas. qmpieza á manifestar su opinión por medio de peticiones…</t>
  </si>
  <si>
    <t>…os documentos justificativos de su „ exprese francamente, se debe aprobar el dictámen de la comisión, pues el que aptitud legal. — no quiera admitir este cargo honroso debe decirlo terminantemente.” Se dió cuenta de un oficio del Sr. D. Joaquín Ruiz de Bucesta , Procu El Sr. ¿4cevedo: «Dos son los objetos que ¿e discuten: el dictámen de !á rador por la provincia de Logroño, solicitando dos meses de licencia para re comisión acerca del poder del Sr. D. José de Fontemberta, Procurador electo ponerse del mal de oidos qufe padece, y arreglar los negocios de…</t>
  </si>
  <si>
    <t>de Bucesta, Joaquín Ruiz</t>
  </si>
  <si>
    <t>Joaquín Ruiz de Bucesta</t>
  </si>
  <si>
    <t>…comercio se resentían PROVINCIA BS lOOMltqn de las últimas medidas, y que las entradas del tesoro público en el primer tri Sr. marques de Someruelos. mestre de este año presentaban un déficit de 2A009 dollars, comparadas con Sr. D. Joaquín Ruiz de Bucesta. igual trimestre de'1833- {Public JLedger.} ¡ ____ Los papeles de Boston y de otros punto» de los Estado» Unidos anuncian PROVINCIA BB que el- pueblo, que al parecer está á favor del Presidente y contra el Senado, lltmo. Sr. D. Antonio Posadas. qmpieza á manifestar su opinión por medio de peticiones…</t>
  </si>
  <si>
    <t>…ocumentos justificativos de su „ exprese francamente, se debe aprobar el dictámen de la comisión, pues el que aptitud legal. — no quiera admitir este cargo honroso debe decirlo terminantemente.” Se dió cuenta de un oficio del Sr. D. Joaquín Ruiz de Bucesta , Procu El Sr. ¿4cevedo: «Dos son los objetos que ¿e discuten: el dictámen de !á rador por la provincia de Logroño, solicitando dos meses de licencia para re comisión acerca del poder del Sr. D. José de Fontemberta, Procurador electo ponerse del mal de oidos qufe padece, y arreglar los negocios de…</t>
  </si>
  <si>
    <t>de Bucesta, Ruiz</t>
  </si>
  <si>
    <t>Ruiz de Bucesta</t>
  </si>
  <si>
    <t>…to suficientemente discutido, se aprobó el dictamen de la art. 1° del proyecto de ley sobre reemplazo deí ejército. comisión. El Sr. Presidente anunció que habiéndole participado lá comisión de Mi Se dió cuenta de una adición del Sr. Ruiz de Bucesta al proyecto' de ley licia urbana haber concluido sus trabajos respecto á las dos adiciones que tomó sobre reemplazo del ejército para el año 1835 , reducida á que «cuando los ayer en consideración el Estamentq, iba la misma i leer su dictamen. pueblos que tienen que contribuir con un cuarto ú otra…</t>
  </si>
  <si>
    <t>de Bueren, José</t>
  </si>
  <si>
    <t>José de Bueren</t>
  </si>
  <si>
    <t>…embre remite el parte siguiente: alienta esta expresión Juvenil y risueña. Yo seré/ •&gt;Excmo. Sr.: Salió ayer de este punto el coronel del regimiento de Cór Evitad, digo á los que me consultan, una profesión flotante y móvil, doba D. José de Bueren, con los batallones l.° y 2.° de su mando, 10 cela en que basta un capricho del público, ó una feliz inspiración del entendi dores de Alava y 20 caballos del regimiento del Príncipe, escoltando un con miento para subir á la cumbre de la fama, rico, amado, brillante, y para voy de trigo para la guar…</t>
  </si>
  <si>
    <t>de Bunadie, R.uiz</t>
  </si>
  <si>
    <t>R.uiz de Bunadie</t>
  </si>
  <si>
    <t>…uesto á ' consecuencia Qpupó la! tribuna el Si^ Hubert, qaién leyó el dictámen de jla la petición, estoy en p todo ponfórpie con los’princtpips^fezpúestps por S.-S.: , misma sobrp la, adición presentada en la sesión del 26 por el Sr. R.uiz de Bunadie mas que yo respeta la propiedad y sus derechos ¡ pero ¿s preciso tener ■;cesta'al prpyectarelativoáláquintapira el afio próximo der.1835,:. . presente que estosson sagrados en tanto que no atacan i lasocipdadysú con , - La comisión, en vista dé lo propuesto en dicha adición, opinaba que este servac…</t>
  </si>
  <si>
    <t>de Burgo, Javier</t>
  </si>
  <si>
    <t>Javier de Burgo</t>
  </si>
  <si>
    <t>…este decreto. :1 -Tendréislo entendido, y dispondréis su cumplimiento. = Está rubricado de inteligencia y efectos consiguientes; en concepto de que en esta fecha dirijo .las 1 I u Real mano.=Eü Palacio á 25 de Febrero de 18:*T=A D. Javier de Burgo*. comunicaciones necesarias á los ministerios de Marina y Hacienda , protectores j de dichos canales, y gobernador dd Almadén. Dios guarde á V. S. muchos! ‘ ’ ÉtNISTERÍO 1)£ HACIENDA Dl¿ ESPAÑA, años- Madrid 24 de Enero de 1834^= Búrgos^cSr. director general de Montes. Ijfctf orden para que no *t p…</t>
  </si>
  <si>
    <t>de Burgos, Augusto</t>
  </si>
  <si>
    <t>Augusto de Burgos</t>
  </si>
  <si>
    <t>…m media, iones de Vt.ladiego p-,- el a.te-ce La Riídia Gobernadora, en nombre de su augusta Hija, atendiendo á la* del Escuadrón ligero de .Madrid D- Ju.m de la Torre s- el teniente rct aprectables circunstancias que concurren en D. Augusto de Burgos, de aptitud, D- Gjspar Heinatido, que fueren lo» c:u.irgad^&gt;s de la mduada -m.-Mon . que laboriosidad y adhesión a la justa cau-a de la Reina nuestra Señora Doña Isa desempeñaron debidamente, .i'uncr.tan.kt ¡a pequeña gjv¡..j que tz^c o» &gt; bel 11, se ha dignado nombrarle agregado á la legación de S…</t>
  </si>
  <si>
    <t>de Burgos, D Francisco Javier</t>
  </si>
  <si>
    <t>D Francisco Javier de Burgos</t>
  </si>
  <si>
    <t>…ucidos del francés por y de gentes, ‘Placido Orodea, tural • Alhamí se toman eficaces medidas para conseguir su exterminio. abogados en Valladolid. Entre los innuiner*bles beneficios que hizo 4 la literatura y 4 la pama el Excmo. Sr. D. Francisco Javier de Burgos en el tiempo que tuvo 4 su cargo el ministerio, de lo Interior, uno y no pequeño fue da*favorable acogida 4 esns obta clásica en su línea» y cuyo,plan es tan excelente, que¡ mtreció la atención de los sabios de primer órden. S. E. deseaba que los jóvenes españoles en «1 seno de la pá« ESTADO SANITA…</t>
  </si>
  <si>
    <t>de Búrgos, D J</t>
  </si>
  <si>
    <t>D J de Búrgos</t>
  </si>
  <si>
    <t>Gaceta de Madrid n.º 200</t>
  </si>
  <si>
    <t>…35 rs. ar ca. Se vende en la librería de Razóla. roba. — -Exposición dirigida á S. M. el Sr. P. Fernando vn, desde París en 24 de Enero Osuna. Trigo, de 64 á 67 rs. fanega: cebada, de 28 4 30 id.: habas, de de 1826 por el Excmo. Sr. D. J. de Búrgos, sobre los males que aquejaban á España 50 á 34 id.: aceite, de 33 4 34 rs. arroba. en aquella época, y medidas que debía adoptar el Gobierno para remediarlos. Cuader no en 8.° Se vende á 6 rs. en Madrid librerías de Sánchez y en la de Calleja; Cádiz, Caimana. Trigo, de 54 4 56 rs. fanega: cebada,…</t>
  </si>
  <si>
    <t>de Burgos, D Javier</t>
  </si>
  <si>
    <t>D Javier de Burgos</t>
  </si>
  <si>
    <t>…que S. M. le habla ad mitido la renuncia, no podia menos de considerársele Procer. Sesión del dia 13 de Agosto. Contestaba el Excmo Sr. marques de Bélgida, que. sigue medicinándose 1 Leída el acta de la sesión anterior, elExcmo. Sr. D. Javier de Burgos , por no haber hallado alivio con los baños termales, sin que deje de practicar expuso que no se hacia mención en ella de una indicación que hizo, citando la diligencias para reunir los documentos que ofrece remitir. .‘ley Sr/, titulo 45 de la Partida 2.a, relativa al modo de jurar al Rey los gran…</t>
  </si>
  <si>
    <t>de Burgos, Francisco Javier</t>
  </si>
  <si>
    <t>Francisco Javier de Burgos</t>
  </si>
  <si>
    <t>…embre, Excmo. Sr,, puede asegurarse es el escalón principal Real orden que la comunicó el Excmo. Sr. Secretario de Estado y del Fomen pata hacer desaparecer del suelo navarro la facción mas imponente, como po to general del reino D. Francisco Javier de Burgos en 25 de Noviembre últi drá advertirse por su obstinado empeño, y demuestra el adjunto estado de nuesr mo, por Ja que S. M. la Ruina Gobernadora, deseosa de estimular el genio tra pérdida; y por lo tanto no cesaré en seguir con tenacidad sus restos fugiti de los profesores de las nobles artes en ci…</t>
  </si>
  <si>
    <t>…os del francés por y de gentes, ‘Placido Orodea, tural • Alhamí se toman eficaces medidas para conseguir su exterminio. abogados en Valladolid. Entre los innuiner*bles beneficios que hizo 4 la literatura y 4 la pama el Excmo. Sr. D. Francisco Javier de Burgos en el tiempo que tuvo 4 su cargo el ministerio, de lo Interior, uno y no pequeño fue da*favorable acogida 4 esns obta clásica en su línea» y cuyo,plan es tan excelente, que¡ mtreció la atención de los sabios de primer órden. S. E. deseaba que los jóvenes españoles en «1 seno de la pá« ESTADO SANITA…</t>
  </si>
  <si>
    <t>de Búrgos, J</t>
  </si>
  <si>
    <t>J de Búrgos</t>
  </si>
  <si>
    <t>…rs. ar ca. Se vende en la librería de Razóla. roba. — -Exposición dirigida á S. M. el Sr. P. Fernando vn, desde París en 24 de Enero Osuna. Trigo, de 64 á 67 rs. fanega: cebada, de 28 4 30 id.: habas, de de 1826 por el Excmo. Sr. D. J. de Búrgos, sobre los males que aquejaban á España 50 á 34 id.: aceite, de 33 4 34 rs. arroba. en aquella época, y medidas que debía adoptar el Gobierno para remediarlos. Cuader no en 8.° Se vende á 6 rs. en Madrid librerías de Sánchez y en la de Calleja; Cádiz, Caimana. Trigo, de 54 4 56 rs. fanega: cebada,…</t>
  </si>
  <si>
    <t>de Burgos, Javier</t>
  </si>
  <si>
    <t>Javier de Burgos</t>
  </si>
  <si>
    <t>…^^wdo par*-csrirÉtttar’44os arte ¡dispondréis lo necesario á su cumplimiento.—F-stá rubricado de la Real mano.— sanos, Tubricantrt u otras personas industriosas de la. provincia á ..que remitan £En Palacio á 3 de Marzo de 1834&gt;=A D. Javier de Burgos. muestras de sus géneros y artefactos; añadiendo al enviarlas sus observaciones propias sobre el estado de adelantamiento ó decadencia de cada ramo, y sobre Instruido». los medios mas fáciles de fomentarlos, oyendo antes'á los mismos interesados. Articulo l.° En obsequio del augusto nombre de' S. M.…</t>
  </si>
  <si>
    <t>…o. Tcndréislo entendido, y dis de V. M.; . 1 pondréis lo necesario á su cumplimiznto.zrEstá rubricado de la Real mano.= Apoyada esta corporación en tan sólidos fundamentos, se gloría con razón I Eii Palacio á 4 de Enero de 1834=A D. Javier de Burgos. de vivir debajo de un gobierno verdaderamente »¿b o y paterna] , en que la propiedad será respetada, protegidas las artes; y en qux, en fin , todo se anona- I JtlNJSTURJO DE HACIENDA DE ESPAÑA* dara y enmudecerá ante ia ley. 1 Solo estas evidentes consideraciones pueden calmar el justo doLor de que] R…</t>
  </si>
  <si>
    <t>…S. M. le habla ad mitido la renuncia, no podia menos de considerársele Procer. Sesión del dia 13 de Agosto. Contestaba el Excmo Sr. marques de Bélgida, que. sigue medicinándose 1 Leída el acta de la sesión anterior, elExcmo. Sr. D. Javier de Burgos , por no haber hallado alivio con los baños termales, sin que deje de practicar expuso que no se hacia mención en ella de una indicación que hizo, citando la diligencias para reunir los documentos que ofrece remitir. .‘ley Sr/, titulo 45 de la Partida 2.a, relativa al modo de jurar al Rey los gran…</t>
  </si>
  <si>
    <t>…mr.i ammar al comercio, aumentar la agri tonio Remon Zarco del Valse. cultura, v dar un rápido v saludable impulsa á la industria. El as untamiento , Señora, que ya ha llenado su d^ber ¡nan fesrando reve ••Habiéndome representado D. Javier de Burgos que la mu'btud de atencio rentemente á \r. M. e' Mimo dolor une le causo la sensible perdida de -u car** nes del ministerio de Fomento, que desempeña en propiedad, no le penn'te E.spfV&gt;o , no puede nvist'iir1*: inditere:-te a vota de tan señalados !'ene*ici"s , \ continuar por mas tiempo sirviendo…</t>
  </si>
  <si>
    <t>…oe subdelegado. 1 amblen he da dréis lo necesario á su cumplimiento.=Está rubricado de la RcjI mano de 5. M« do cuenta a S. M. d:l expediente in^iruiá.» por esa Pite^U'in venera. s« b-e las =En Palacio á 17 dfe Febrero de 1834*=A D. Javier de Burgos. dü'las que Ovurrep en el alsono de sueldo a .i g^no* subdelegad-^ &gt; ase- es «.le / MINISTERIO DE LA GUERRA. Remas a vO: &gt;e^i/en^ 14 de i&lt;&gt; prevenido en e. Rea. de^ret d.r i 3 de Jun. 1 u«- Umo.^Entcta.ia de tinjo b. M. , x de &lt;&lt;«:if «solidad -on ia pp.umv. de oí ^omiReal orden haciendo extensiva á…</t>
  </si>
  <si>
    <t>…réis lo necesario para su la Secretaría de Estado y del Despacho del Fomento general M cumplimiento.irEstá rubricado de la Real mano.=En Aranjuez á reino , y mandar que él subdelegado de Cuenca D. Joaquin Ro14 de Abril de 1834-=A D. Javier de Burgos. driguez y el de Zaragoza D. Domingo Amonio Vega de Seoarc, sean recomendados eficazmente al ministerio de Hacienda y al ¿ Por haber tenido á bien aprobar con fecha de hoy la Ordenan Gracia y Justicia pan su correspondiente colocación , no precedién za general de los presidios del reino, é instituye…</t>
  </si>
  <si>
    <t>…a; ptineipe de dos se le expida el título del nombramiento que han debido á mi Anglona, teniente general de los Reales ejércitos, capitán general &lt;le Real munificencia. Tendréislo entendido, y dispondréis lo necesario Andalucía;. D. Javier de Burgos, Secretario que lia sido de Estado y á su euiiinlimiento.=Está rubricado de la Real mano de S. M.=En del Despacho de lo Interior; í&gt;. José María Puig, del Consejo de Go- Carabancliel á 17 de Junio de 18.5+.=A D. Francisco Martínez da bie.rno; marques de Santa Cruz y San Esteban; marques de San Mar…</t>
  </si>
  <si>
    <t>…solutos: fue otTa sorpresa como la dé Andujir. El minis otra Real orden, se autorizó ppr ?t ipinjitro de Hacienda y el director de la tro no quería nuevos negocios con Aguado: entonces se hizo sin que lo su caja de Amortización á D. Javier de" Burgos para í¡ue pasase i París, como ' piera el ministro. Muchos del Estamento sabrán quién manejó este negocio, comisionado régto, pueve dias-déspuésde haberse anulado el empréstito.' El y cuándo se sorprendí^ la voluntad del Rey! A esta siton estaba Aguado en Estamenio encontrará u¿4 contradicción . cu…</t>
  </si>
  <si>
    <t>…todos los individuos de marina destinados alió que se les den las gracias en] mano de S, M. la Reina Gobcrnadora.=:Ea Aranjuez á 18 de Marzo de 18$4- su Real nombre, v se haga notoria esta soberana determinación en la Gaceta] =A D. Javier de Burgos. del gobierno. De Real orden &amp;c- Dios ¿ce. Madrid 20 de Febrero de 1834. = ' MINISTERIO DE HACIENDA DE ESPAÑA. Figueroa.=Sr. Secretario ds la junta superior de gobierno de la ArmadaReal orden, mandando que el tabaco de contrabando aprehendido en buques MINISTERIO DEL FOMENTO GENERAL DEL REINO. extranjer…</t>
  </si>
  <si>
    <t>de Búrgos, Javier</t>
  </si>
  <si>
    <t>Javier de Búrgos</t>
  </si>
  <si>
    <t>…S. M- lá Reina Gobernadora; y para enjugar lo necesario para su cumplimiento. = Está rubricado de la Real mano.— En las lágrimas de su viuda y de los seis huérfanos qué ha dejado, se ha servido Aranjuez á 24 de Marzo de 1834- = A D. Javier de Búrgos. íj, M. concederle la pensión vitalicia de 8 rs. vn. diarios, trasmisible á los hi jos que la sobrevivan, cobrándolas-de las cajas Redes dé Logroño con calidad PbÁReal resolución de 29 de Noviembre de 17^7 se dignó'facultar tí Se de reintegro del fondo de temporalidades de la mitra,de León, en confo…</t>
  </si>
  <si>
    <t>de Búrgos, JaViet</t>
  </si>
  <si>
    <t>JaViet de Búrgos</t>
  </si>
  <si>
    <t>…negocios de ia Secretaría del Despa municareis á quien corresponda.^Está rubricado dé la Real, macho del fomento no padezcan el menor retardo, á causa de la en nn —Fn Aranjuez á 17 de Abril dé 1834—A D- Nicolás María fermedad de D. JaViet de Búrgos, y de la ausencia de su sucesor Garelly. Et José María Moscoso de Altamira, vengo en mandar que mi Se cretario del Despacho de Gracia y Justicia, D. Nicolás María Ga- Para formar ía dotación de la Real audiencia de Granada, ven Íelfy, se encargue interinamente de la Secfetaría del Despacho del go e…</t>
  </si>
  <si>
    <t>de Bussy, Genty</t>
  </si>
  <si>
    <t>Genty de Bussy</t>
  </si>
  <si>
    <t>…el triunfo coronará fiufcstros esfuerzos. El Sr. Le Pasquier, prefecto del Finisterre, ha sido nombrado intendente »No se ha turbado la paz en.el imperio otomano , y estoy convencido de civil,de dichas posesiones en reemplazo del Sr. Genty de Bussy. que por aquella parte nada ocurrirá que pueda comprometer la tranquilidad de' El Sr. Laurence, miembro de la Cámara de los Diputados, ha sido nom Europa. brado comisario especial de justicia en las mismas. Está ademas encargado de »He visto" con mucho gusto que habéis examinado con detenimiento las…</t>
  </si>
  <si>
    <t>de Butrom, Cristóbal Linares</t>
  </si>
  <si>
    <t>Cristóbal Linares de Butrom</t>
  </si>
  <si>
    <t>…mas&gt;¡os guárdequeá seV.lesE.hanmuchoscogidoaños.á dos-curasNavascuesaprosados5 de Juniopor elde coronel1834.=Excelen-Barrena. -desdeElPuertollanocomandanteLogeneralsiguientede : la Mancha con fecha de 9 del corriente dice tísinso Sr.=Cristóbal Linares de Butrom= Excmo. Sr. capitán general del ejér Excmo. Sr.: Con la mayor satisfacción pongo en el superior conocimiento cito y reino de Aragón. de V. E. que acabo de saber que ha sido batida la facción del cabecilla Lobito, Excmo. Sr.: Con arreglo á lo que manifesté ¿ V. E. en mi oficio de ayer, • compuesta d…</t>
  </si>
  <si>
    <t>de Butron, Crístóbal Linares</t>
  </si>
  <si>
    <t>Crístóbal Linares de Butron</t>
  </si>
  <si>
    <t>…En el alto que llaman de Urquiaga, término del pueblo de Alduides, se Dios guarde &amp;c. Urries 11 de Agosto de 1834, á las tres de la tarde.=Exce&lt;* presentaron unos 50 hombres armados de la facción el dia 7 por la mañana, lentísimo Sr.=Crístóbal Linares de Butron.=£xcmo. Sr. capítaa general de es* y prendieron á un vecino de aquel pueblo: noticioso el marre de aquella pri te ejército y rcino.=Es copia;=Ezpeleta. sión, y de que pisaban el territorio francés, dió parte al comandante, y este tocó generala, y formando las dos compañías de aquella guarnición, fue…</t>
  </si>
  <si>
    <t>de Butrón, Fernando</t>
  </si>
  <si>
    <t>Fernando de Butrón</t>
  </si>
  <si>
    <t>…n en columna cerrada y arnía honor de trascribir á V. E. para su superior conocimiento, y que se sirva ele á discreción con el objeto de atacar al enemigo á la bayoneta; y este peloloQ varlo al soberano de S. M. Dios &amp;c. c=Excmo. Sr.= Fernando de Butrón. escogido de fieles despreciando el mortífero fuego que les hacían los tres bata llones en buena posición sobre una altura, se arrojaron hasta una distancia tai! El capitán general de Castilla la Vieja.en 27 del corriente remite copia del corta , que cargando la caballería con invencible valor oblig…</t>
  </si>
  <si>
    <t>de Butrón, I Fernando Gómez</t>
  </si>
  <si>
    <t>I Fernando Gómez de Butrón</t>
  </si>
  <si>
    <t>…os ofrecen ya casi fuera de riesgo una abundante cosecha , tanta tnas satisfactoria,, cuanto apenas se esperaba recoger la simiente. PaovmclA Hg ZAMORA. Se ha conseguido también 4 fuerza de perseguirla , y de resultas de las agua Sr. I&gt;. Fernando Gómez de Butrón. , ceros , la casi total extinción de la langosta. Sr. D. Manuel González Allende. Igualmente se lia logrado mediante una grande actividad f oportunas dispo siciones , atajar la propagación de la virbéla en el ganado rperino. Pa.OVrNCIA DE ZARAGOZA Se concluyeron las obras del arrabal de S, Lorenzo…</t>
  </si>
  <si>
    <t>de Butroru, Cristóbal Linares</t>
  </si>
  <si>
    <t>Cristóbal Linares de Butroru</t>
  </si>
  <si>
    <t>…. . 12 7 4 de todas especies, de las que he logrado apoderarme , y he devuelto al pueblo. S. Juan del Puerto. Idem idem......... 3 2 1 _ Dios guarde á V. E. muchos años. Roncal 28 de Agosto de 1834 á las doce de la noche.=Excmo. Sr.=Cristóbal Linares de Butroru=:Excmo. Sr. capitán general del ejército y reino de Aragón.nEs copia.=Ezpeieta. FROVENCIA DE JAEN. En 30 de Agosto último dice su gobernador civil que en Baeza y Alcalá El mismo capitán general con igual fecha avisa á este ministerio que el la Real habia desaparecido la enfermedad; en los demas pue…</t>
  </si>
  <si>
    <t>de Buttera, Príncipe</t>
  </si>
  <si>
    <t>Príncipe de Buttera</t>
  </si>
  <si>
    <t>…untos sometidos al juicio de la Cámara, tomando asi el tiempo necesario ------ Hoy á la una y media ha entregado al Rey en audiencia particular el para conocer los, hombres y las cosas. «Hay quien supone que los señores mi Excmo. Sr. Príncipe de Buttera, embajador de S. M. el Rey de las Dos-Sicilias, nistros harían dejación de sus"destinos si no lograsen que la Cámara indicase de la respuesta de su Soberano á los despachos del gobierno francés para que se algún modo que aprueba el sistema del ministerio: si esto fuese cierto la cuestión retirase e…</t>
  </si>
  <si>
    <t>de C, J</t>
  </si>
  <si>
    <t>J de C</t>
  </si>
  <si>
    <t>…n el paseo causó el mayor entusiasmo. Las funciones de dicho día fueron brillantes, sin que se alterase en nada la tranquilidad pública. Amor y rencor* ó sea Pachecos y Palomeques; novela histórica original españo la, escrita por D. J. de C, natural de Madrid, autor contemporáneo del que escribió En la mañana del .mismo dia 7 se presentó .al Emperador el conde Ale las aveoturas de Gil Blas, arreglada por D. M. V. de la $elv¿; un tombo en 8.° á 5 xis de Saint Priést, enviado extraordinario y ministro plenipotenciario de Fran r*.; se ve…</t>
  </si>
  <si>
    <t>de Ca, Fulgencio Pérez</t>
  </si>
  <si>
    <t>Fulgencio Pérez de Ca</t>
  </si>
  <si>
    <t>…..... .... Algeciras. pos, escribiente de número del ministerio de lo Interior. 1,313. 4oo..................... Asimismo se ha dignado S. M. admitir la renuncia que ha hecho el in terventor de la administración de correos de Lugo D. Fulgencio Pérez de Ca soisa de comercio.—Cotización de Kay i leu tres di la tarde, mino de la principal de Andújar, que le fue conferida por Real orden de 27 EFECTOS PUBLICOS. de Setiembre último, mandando qué continúe en su actual destino, y nom Inscripciones en el gran llbroi i p. 100, 00. brando administrador de Andú…</t>
  </si>
  <si>
    <t>de Cáceres, Benito Calero</t>
  </si>
  <si>
    <t>Benito Calero de Cáceres</t>
  </si>
  <si>
    <t>…ustan dirigía hácia Retuerta; no habían podido saber.á punto fijo la fuer, ciaron y fallo de ellas. Escrita pon motivo del Real decreto de 13 de za de dicha partida, solo sí que en ella iban 6 á 8 caballos. Diciembre de 1833. Por D. Benito Calero de Cáceres, abogado de loj Asimismo se sabe que el coronel D. Manuel Fernandez del Reales Consejos. Véndese á a rs. en la librería de Matute y en la de la Viuda de Cruz. Después de indicar el autor de esta memoria la necesiPozo, comandante de la columna móvil de Guadalajara, perseguía dad de que se aleje de l…</t>
  </si>
  <si>
    <t>de Cadreita, Blas Gómez</t>
  </si>
  <si>
    <t>Blas Gómez de Cadreita</t>
  </si>
  <si>
    <t>…os. no tiene la expresión necesaria , no deja de dar una idea triste, añadiendo verTambién acompaño á V. E. por separado copia del oficio que el presbí balmente el vicario en fuerza de mis preguntas, que el mismo Zumalacarre tero D. Blas Gómez de Cadreita pasó á Zumalacarregui el dia de la toma gui castigaba con el látigo, que llevaba en la mano, á las mugeres asi Como del fuerte de Villafranca, al que contestó dicho caudillo que luego iba, pero iban bajando del fueste, cuya atrocidad solo cabe en tan inhumano azote de no lo verificó ; estampándose…</t>
  </si>
  <si>
    <t>de Cafran, D José</t>
  </si>
  <si>
    <t>D José de Cafran</t>
  </si>
  <si>
    <t>…sión. asistir ¿ Jas de la discusión. - ' Tambíen se conformó con otro parecer de la misma, en que decia que El Excmo. Sr. conde González contestaba que desde l.° de «te mes es 1 examinados los documentos presentados por el Excmo. Sr. D. José de Cafran- taba padeciendo Ja enfermedad reinante de que aun está convaleciendo. 1 fcayitoa.hallaba arreglados; por lo que debían ser aprobados y admitido por El Excmo. Sr. D. Tomás González Carvajal manifiesta que le tiene pos Procer. trado en cama una erupción que le ba acudido á una pierna, por lo que ¡e h…</t>
  </si>
  <si>
    <t>de Cafran, José</t>
  </si>
  <si>
    <t>José de Cafran</t>
  </si>
  <si>
    <t>…. asistir ¿ Jas de la discusión. - ' Tambíen se conformó con otro parecer de la misma, en que decia que El Excmo. Sr. conde González contestaba que desde l.° de «te mes es 1 examinados los documentos presentados por el Excmo. Sr. D. José de Cafran- taba padeciendo Ja enfermedad reinante de que aun está convaleciendo. 1 fcayitoa.hallaba arreglados; por lo que debían ser aprobados y admitido por El Excmo. Sr. D. Tomás González Carvajal manifiesta que le tiene pos Procer. trado en cama una erupción que le ba acudido á una pierna, por lo que ¡e h…</t>
  </si>
  <si>
    <t>de Cafranga, D Josef</t>
  </si>
  <si>
    <t>D Josef de Cafranga</t>
  </si>
  <si>
    <t>…Alemania, en 15 capítulos; y f hombre de diñara cón ejercicio; jueces conservadores de aquélla corporación; el i.° y ' periodo de )a campaOa de Italia, mandada por Bonaparte eo thcho ^fin; ▼ pOé los doctores de la misma el Excmo. Sr. D. Josef de Cafranga, gobernador distribuidos en los capítulos 25. 2f&gt;, 30 y 3r del tomo y.° del Jomlnt, que aquí se &amp;él túpremo consejo jr cámara deludías; D. Josef de A y uso y Navarro, mi nombran secciones, para su debida distinción de aqueifos 15 primeros. Contiene el nistro del Consejo Real; D. Fernando Vclez , de…</t>
  </si>
  <si>
    <t>de Cafránga, José</t>
  </si>
  <si>
    <t>José de Cafránga</t>
  </si>
  <si>
    <t>…ntra la nación , Irarriadade mpcbo tiempo, puCs-tesulta sér de Castrotérreñd , conde de Clavifo , obispo de Córdoba-, J&gt;. RátotíaiGil dé •de mas di'hueve años hace. Quién ha sido el 'que los ha eitraidó 6 ocultado; si la Cuadra , D. José de Cafránga, conde de CerveHon , inarques de Espeja, ■están dentro ó fuera dei reino, el Gobierno no nos lo ha dicho ni se sabe. Si B. Martin FérnaíSdei de Navarrete, Patriarcado las' Inid las, D. Mihuel Gar iBhanPpcrdido ó ¿o, eso doctores tiene la Sta. madre Iglesia como, suele de- cía Herreros ', ÍX Pomas G…</t>
  </si>
  <si>
    <t>de Cafranga, Josef</t>
  </si>
  <si>
    <t>Josef de Cafranga</t>
  </si>
  <si>
    <t>…ania, en 15 capítulos; y f hombre de diñara cón ejercicio; jueces conservadores de aquélla corporación; el i.° y ' periodo de )a campaOa de Italia, mandada por Bonaparte eo thcho ^fin; ▼ pOé los doctores de la misma el Excmo. Sr. D. Josef de Cafranga, gobernador distribuidos en los capítulos 25. 2f&gt;, 30 y 3r del tomo y.° del Jomlnt, que aquí se &amp;él túpremo consejo jr cámara deludías; D. Josef de A y uso y Navarro, mi nombran secciones, para su debida distinción de aqueifos 15 primeros. Contiene el nistro del Consejo Real; D. Fernando Vclez , de…</t>
  </si>
  <si>
    <t>de Calzada, Bernardo María</t>
  </si>
  <si>
    <t>Bernardo María de Calzada</t>
  </si>
  <si>
    <t>…a sugeto50 rs.—Genealogíapor su hijo D.de AlfonsoGil tilasBlasde SanttUanade Liria , ,restituidacontinuacióná la dre. Hizo mención especial y dió gracias al profeso» D. Miguel Jiménez y Ur- lengua original en que se escribió por D. Bernardo María de Calzada, un tomo en 4.0, bina, y á Jos artistas y personas particulares que habían respondido al honroso á 20 rs. en pasta»—Memorias concernientes a la vida y muerte del d-uque de Berri T es llamamiento de la sociedad, y concluyó con expresiones de gratitud á las auto crita eu francés por Chateaubriand, y…</t>
  </si>
  <si>
    <t>…Obrar que re hallan de venra '(» el derpficho de lo ¡ttipeenía Real. ; Hermán de Unna. Rasgo histórico de Alerrunia trasladado á lá lengua éspaOola hombres .-se presentaron antes de ayer al amanecer en las alturas del Puente por D. Bernardo María de Calzada: 3 tomos en 8.°, edición de 1807, ¿ 33 rs. en pasta Muevo con ánimo sin duda de quemar los. molinos que surten de harina á esta y 23 en rama. 1-a preseate novela puede colocarse en la ciase dé los libros útiles, silla, según lo habían oüeiado á los fieles, de Begoña , si no les enviaban las porque…</t>
  </si>
  <si>
    <t>de Campomanes, D Francisco Fernandez</t>
  </si>
  <si>
    <t>D Francisco Fernandez de Campomanes</t>
  </si>
  <si>
    <t>….................................. 586 hasta 946 cédula de 15 de Enero siguiente, dirigirán sus memoriales dentro del término Ciencias naturales, id................................................... 1,971 id. 2,364 de 30 días al Sr. D. Francisco Fernandez de Campomanes, presidente de la Historia, id.................................................. 1,139 id. 1,299 expresada comisión. 4 Derecho y ciencias políticas, id................................. 389 id. 511 Por lo que hace á’ los periódicos, su número y el de sus suscriptores, comparados con las poblaciones,…</t>
  </si>
  <si>
    <t>de Campomanes, Francisco Fernandez</t>
  </si>
  <si>
    <t>Francisco Fernandez de Campomanes</t>
  </si>
  <si>
    <t>….............................. 586 hasta 946 cédula de 15 de Enero siguiente, dirigirán sus memoriales dentro del término Ciencias naturales, id................................................... 1,971 id. 2,364 de 30 días al Sr. D. Francisco Fernandez de Campomanes, presidente de la Historia, id.................................................. 1,139 id. 1,299 expresada comisión. 4 Derecho y ciencias políticas, id................................. 389 id. 511 Por lo que hace á’ los periódicos, su número y el de sus suscriptores, comparados con las poblaciones,…</t>
  </si>
  <si>
    <t>de Campomanes, Pedro Rodríguez</t>
  </si>
  <si>
    <t>Pedro Rodríguez de Campomanes</t>
  </si>
  <si>
    <t>…icaciónpunto, quea las medidas mas enérgicas para destruirla la exigencia actual Jel Reino después de su reunión, y al beneficio común de los va Se han presentado las cuentas de pósitos, y el gobernador civil trata de sallos, por D. Pedro Rodríguez de Campomanes: un tomo en 4.0 de hermosa edición poner remedio en los abusos que ofrece este ramo. U 36 rs. pasta. — fiatteu.r, principios filosóficos de la literatura o curso razonado de be llas letras y artes: obra traducida del francés al castellano, e ilustrada con nota» Aun no se cree suficientemente instru…</t>
  </si>
  <si>
    <t>de Campos, Cayetano</t>
  </si>
  <si>
    <t>Cayetano de Campos</t>
  </si>
  <si>
    <t>…dora* iToison de Oro. Tendráse entendido en la Orden para su cumplimiento, reEstá' Imbricado de la Rtal mano de S. M.=En Palacio á 21 de Febrero de 1834-= Señora: El ayuntamiento de la M. N. L. y antigua villa-de Gibraleon en I L.D.-Cayetano de Campos. j él condado de Niebla y reino de Sevilla, distante dos leguas de la de Huelva, I sé hallaba consternado con la desoladora enfermedád del cólera-morbo aparecí-1 I En virtud de los decretos anteriores, y par» su debido cumplimiento, se ha, da en- ella , y ocujaadocnpriqivcr que se propagas^á séLvcca…</t>
  </si>
  <si>
    <t>de Cañas, Villar</t>
  </si>
  <si>
    <t>Villar de Cañas</t>
  </si>
  <si>
    <t>…a, de víveres y el socorro de los pueblos que ha sepulcral' de Canning, debida al cincel del célebre Cbartres, y costeada por bían sido invadido»: jjiiB rn Cni: dr.-Benitez ■ CastiHejo'de Iniesta . Qulnla una suscripción, nar del Rey, Villar de Cañas , Carboneras, Cervera y Villanueva de la Jara seguía la enfermedad su curso ordinario; que en algunos de ellos se mejoraba mucho, particularmente en Villanueva, en donde se habia notado que acu— diendóprontamente peligraban pocos, y en Dervera que desde que el cirujano ‘ ESPAÑA. titular adoptó por…</t>
  </si>
  <si>
    <t>de Capitanía, D Hilario García</t>
  </si>
  <si>
    <t>D Hilario García de Capitanía</t>
  </si>
  <si>
    <t>…s primeros trozos de la columna Partet recibidor en la Secretaría de Sitado y del Despacho de laGuer de la derecha, que habia tenido que subdtvidirse para buscar los puntos mas ac cesibles , y con ellos el subteniente graduado de capitán D. Hilario García de Capitanía genera! de Castilla la Vieja: Excelentísimo Señor: Aun la Huerta, el cual se adelantó al punto hácia los enemigos con una guerrilla,he recibido el parte detallado de la acción de 'ayer en Ja Molina, de lo &lt; . siguiéndole con 1* reserva 4e ella él teniente D. Ramón González ^.1 puente inhero que la…</t>
  </si>
  <si>
    <t>de Capitanía, Hilario García</t>
  </si>
  <si>
    <t>Hilario García de Capitanía</t>
  </si>
  <si>
    <t>…os trozos de la columna Partet recibidor en la Secretaría de Sitado y del Despacho de laGuer de la derecha, que habia tenido que subdtvidirse para buscar los puntos mas ac cesibles , y con ellos el subteniente graduado de capitán D. Hilario García de Capitanía genera! de Castilla la Vieja: Excelentísimo Señor: Aun la Huerta, el cual se adelantó al punto hácia los enemigos con una guerrilla,he recibido el parte detallado de la acción de 'ayer en Ja Molina, de lo &lt; . siguiéndole con 1* reserva 4e ella él teniente D. Ramón González ^.1 puente inhero que la…</t>
  </si>
  <si>
    <t>de Capitanía, María</t>
  </si>
  <si>
    <t>María de Capitanía</t>
  </si>
  <si>
    <t>…o, siguiente con referencia á Portugal. donará .medio alguno para sacar el debido fruto de tan brillante La plaza de Válenza capituló cón el almirante Napier ei dia 3 acción* v á las seis de la tarde; y la de Mqnzaory reconoció á Doña María de Capitanía general de Aragón,=Los cabecillas Quilezy Carni- la Gloría el 2 á las doce del dia. cer, que habían reunido qnos 1S00 hombres del partido de Alca- Las tropas-de'esta Señora llegaron a Sálamonde, donde tuvie ñiz, catalanes y valencianos, pasaron el dia 7 el Ebro por'Mora, ron un pequeño encuentro co…</t>
  </si>
  <si>
    <t>de CAPITULO, Ramón</t>
  </si>
  <si>
    <t>Ramón de CAPITULO</t>
  </si>
  <si>
    <t>…que se han de observar para precaver, cor Reales órdenes. tar jf apagar los incendios que ocurran en Madrid. : Excmoí Sr. :ÁÍ comisario régio de Navarra digo con esta fecha lo que sigue :»En atención á los méritos contraídos por D. Ramón de CAPITULO primero. ‘ 1« ¿),«-veci no;que fue de la Villa y corte de Madrid., nombrado para Ja -secretaría sdelgoBiemomilitar y político de la plaza de Morella, De la Dirección gubernativa. f fubtlttdrtr poérfeb rehelde Gamicer después de haberse batido con Art. i? El ayuntamiento de Madrid tendrá á su cargo…</t>
  </si>
  <si>
    <t>de Capta, Juan Pedro</t>
  </si>
  <si>
    <t>Juan Pedro de Capta</t>
  </si>
  <si>
    <t>…ado de rentas del campo de Gibraltar. en el término de 24 horas , y en el de tres días de Bavicra. El subdelegado de las de Rqñda. El subdelegado de las de Huéte. ( SUIZA. , El subdelegado de las de Tuy. Serna 15 Q7) de Atril. . ’D. Juan Pedro de Capta. ... El intendenta y demás gefes y empleados en rentas de la provincia de Nota de la Rusia 4 la Suita. Salamanca. A S. E. M. el burgo-maestre Hirzel, presidente del directorio federativo. El silencio que el directorio general ha eyeido deber guardar con respecto las juntas-de revo mi lo que iqdica n…</t>
  </si>
  <si>
    <t>de Capus.'orr, Barrena de</t>
  </si>
  <si>
    <t>Barrena de de Capus.'orr</t>
  </si>
  <si>
    <t>…marcha forzala de U ciudad d“ bantander, la que sabia hadarse en aquel gui. Ruego á F- tr i»:n na t^ io c»to a. general c.i gefe \ a' ccner.i. Co noba.** memento sin mi» fuerri que su Milicia uibana, determine c&lt;-nimuar mi mo F.I coronel Barrena de»de Capus.'orr»» me dice io siguicnic. **Fx^mc\ ^r.- vimiento h.i'ta e?l.i, ad-u.Je llegue el 2u á ia» nueve de la mañana, después La descubierta *e !'.a hecho »m novedad. .\. abrir las peería» »e me na rrese- - de una penosa m.tr^ha de 1? legua», sin que lo» enemigos haian pJ&gt;ado del tado ei desertor facci»&gt;-»o…</t>
  </si>
  <si>
    <t>de Car, Abdon Ruiz</t>
  </si>
  <si>
    <t>Abdon Ruiz de Car</t>
  </si>
  <si>
    <t>…e Valencia, Alicante y Castellón de la Plana, por cada arroba tco Belmonte.=José Ciscar.—Juan Subercase.—José Rodriguez Paterna —Pedro de vino que se consuma ,bien improductiva, bien productivamente, para la cons í' ustcr.—Fermín Caballero.—Abdon Ruiz de Car r ion.mG mes María Serrano.zc trucción de la nueva carretera de Valencia á esta corte, llamada de las Cabri José Cuevas.” llas. Nada mas evidente que la utilidad, ó mejor la necesidad de caminos en El Sr. Abarques: ”I.os que hemos tenido el honor de firmar la petición España; pero ni tampoco mas ci…</t>
  </si>
  <si>
    <t>de Carabanres, José Ruiz</t>
  </si>
  <si>
    <t>José Ruiz de Carabanres</t>
  </si>
  <si>
    <t>…e aquellos durante el\mes inmediato al en que hubiere satis día anterior en aquel pueblo unos cuantos facciosos fueron rechazados por los fecho Jas memoradas dos mensualidades. Si llegare á deber tres mensualidades y tres jóvenes D. José Ruiz de Carabanres, Juan Clímaco Sanz y Martínez, Ur no cumpliere cqn el pago dentro del término de cuarenta y ocho horas siguien bano de Alcántara, y Manuel Brieba Carnicero , comerciante de Madrid; ha tes al recuerdo que le hiciere el andador del monte, quedará excluido de sus biendo herido y aprehendido al cabecil…</t>
  </si>
  <si>
    <t>de Cárdenas, Francisco</t>
  </si>
  <si>
    <t>Francisco de Cárdenas</t>
  </si>
  <si>
    <t>…fugitivo, harán mayores esfuerzos de aliento y confianza, que En seguida de la danza tocaron ai piano la señorita Doña Josefa de Cárdenas producirán algún resultado favorable, dispersándole lo poco que le queda. Ya de Carrillo y D. Francisco de Cárdenas un escogido dúo sacado de la hermosa se ha dejado un caballo muerto de hambre y fatiga , y el del mismo cabecilla ópera la Semíramís: después tocó en el mismo instrumento la señorita Doña en un hato se tendió de cansado. Nada mas ba llegado á mi noticia que merez Tomasa Basabe y Caro, acompañándola…</t>
  </si>
  <si>
    <t>de Cárdenas, Josefa</t>
  </si>
  <si>
    <t>Josefa de Cárdenas</t>
  </si>
  <si>
    <t>…con mayor razón , pues va tador baile, especialmente cuando le forman personas de la primera nobleza. destrozado y fugitivo, harán mayores esfuerzos de aliento y confianza, que En seguida de la danza tocaron ai piano la señorita Doña Josefa de Cárdenas producirán algún resultado favorable, dispersándole lo poco que le queda. Ya de Carrillo y D. Francisco de Cárdenas un escogido dúo sacado de la hermosa se ha dejado un caballo muerto de hambre y fatiga , y el del mismo cabecilla ópera la Semíramís: después tocó en el mismo instrumento la señorita…</t>
  </si>
  <si>
    <t>de Cardona, Pedro Nin</t>
  </si>
  <si>
    <t>Pedro Nin de Cardona</t>
  </si>
  <si>
    <t>…prác que Padre para los portugueses, ha sido, sin duda, una calamidad general: asi tica el procedimiento, quedará nula y sin efecto la expresada concesión. es cpmo la llora V. M. y toda la nación. Pero al mismo tiempo plugo á la D. Pedro Nin de Cardona, procurador síndico personero de Tijola, acu divina Providencia, en medio de tanta amargura, darnos para nuestro consue dió á S. M. solicitando se emplease el sobrante de los fondos del pósito de lo en la persona de V. M. una viva imagen de su Padre con las excelsas vir aquella villa en proporciona…</t>
  </si>
  <si>
    <t>de Carrion, Raíz</t>
  </si>
  <si>
    <t>Raíz de Carrion</t>
  </si>
  <si>
    <t>…o ta por el Gobierno; mas que sin embargo, una vez que constase que lo que de bierno , v el dictamen de la comisión, que tratan de ¡a guardia Real. bía hacerse era lo dicho, convenir en que se pusiera desde luego á votación el El Sr. Raíz de Carrion: «He oido decir que el comandante de la guar artículo modificado. dia Real ha propuesto la supresión de un teniente por compañía Si e&gt;o fuese El Sr. Secretario del Despacho de -Hacienda repuso que Ja práctica alega cierto, resultaría un ahorro que la comisión no ha tenido presente.” da por el Sr. c…</t>
  </si>
  <si>
    <t>de Carrú, Abdon Ruiz</t>
  </si>
  <si>
    <t>Abdon Ruiz de Carrú</t>
  </si>
  <si>
    <t>…} provincia db vaibncia. Sr. D. Pedro Fuster. J Sr. D. Juan Subclase. r. D. José Ciscar. | Ír. D Antonio Ayajga, j) Madrid k, dr Julio. Sf. D. Ildefonso Diez dé Rivera» conde dtAlmorÍ0*pi. ttBOCrptt DE PROCURADORES DE¿ REINO. Sé. D. Abdon Ruiz de Carrú». provincia db Suva. ■sovikcia a S. D. Jacinto d« Roñante,</t>
  </si>
  <si>
    <t>de Carvajal, Dp Tomas José González</t>
  </si>
  <si>
    <t>Dp Tomas José González de Carvajal</t>
  </si>
  <si>
    <t>…o de haber* sido nombrado para la comisión ba, cr Pedro González de Vallejo. de Hacienda el Excmo. Sr. D. Jacobo1 Mana de Parga, en lugar del Excelen El Sr. Presidente dijo que este dictámen se mandaría imprimir , se repar tísimo Sr. Dp Tomas José González de Carvajal. tiría á Im Sres. Proceres, y se señalaría dia para su discusión. Piévio anuncio del Se dió cuenta de un dictámen de la comisión de Exámen de documentos, mismo Excmo. Sr. Presidente, ocupó la tribuna el Excmo. Sr marques de San por el que era de parecer, que en vista de los últimamente presentados p…</t>
  </si>
  <si>
    <t>de Castilla, INCt ATERRA</t>
  </si>
  <si>
    <t>INCt ATERRA de Castilla</t>
  </si>
  <si>
    <t>…a de parte de los Estados y habitantes de la ciudad de Hanau. {Diario dei La ínclita Isabel será digna sucesora de su augusto Padre, y educada con el jFratuJort.) ejemplo de las virtudes de V. M., será cumplido dechado de !a gran Reina INCt ATERRA. de Castilla que conquistó un nuevo mundo, abrió las fuentes de la prosperi dad pública, y levantó la nación al mas alto punto de grandeza. 'Tales espe Lóndres 7\ de Enero. ranzas se ven ya en parte cumplidas con los memorables decretos de amnistía Fondos públicos. Tres por 100 consolidados 88f. y demas que ha…</t>
  </si>
  <si>
    <t>de Castilla, Isabel</t>
  </si>
  <si>
    <t>Isabel de Castilla</t>
  </si>
  <si>
    <t>…, no puedo menos de llamar sobre ellas toda vuestra aten también la voluntad soberana, y está recomendado en su Real orden de 31 de ción. La Reina Gobernadora, en nombre de su augusta Hija la Reina nues Octubre último. tra Señora Doña Isabel 11 de Castilla, primera de Navarra, siguiendo los in Dios guarde á V. E. muchos años. Palma 20 de Enero de 18 34-—Exce explicables impulsos de su corazón maternal, ha abierto franca y absolutamen- lentísimo Sr.=El conde de Montenegro^Excmo. Sr. Secretario de Estado y del | te las puertas de-su magnanimidad, y de…</t>
  </si>
  <si>
    <t>de Castilla, Presidenta del Consejo y Cámara</t>
  </si>
  <si>
    <t>Presidenta del Consejo y Cámara de Castilla</t>
  </si>
  <si>
    <t>…es. Dios guarde i V. E. muchos años. Sevilla 5 de Marzo de J834-=Excclentísimo brc=Migucl Tacóme Excmo. Sr. Secretario de Estado y del Despa Madrid 10 de Marta. cho del Fomento general del reino. Por Reales decretos dirigitjos al Sr. Presidenta del Consejo y Cámara de Castilla se ha servido nombrar la Reina Gobernadora para el corregimiento Junta superior de Sanidad de Granada.:=Excmo. Sr.: Como presidente de de létras de León i D. José García Suelto: para la vara de alcalde mayor se la junta superior de Sanidad de esta provincia digo i la suprema del reino con gundo de…</t>
  </si>
  <si>
    <t>de Castro, Andrés</t>
  </si>
  <si>
    <t>Andrés de Castro</t>
  </si>
  <si>
    <t>…o Do Policía general. Me be dedicado á U formación de una matrícula general, mínguez y D. Juan Pardo y Silva;'en geografía elemental D. Pablo Carcafio, de que carecía esta provincia, para de este modo lograr todos los ma&gt;ores pro D. Andrés de Castro , D. Robustiano Pequeño, D. José Sánchez y D Ra ductos de este ramo, su mejor manejo y administración. Las dos subdelegacio món Tajoncra;-en trigonometría plana D. Angel Hernández, D. Miguel nes que había en esta establecidas en Ay amonte y dracena han quedado las Rúa , D. Francisco Villamil, D. Ge…</t>
  </si>
  <si>
    <t>de Castro, D Evaristo Pérez</t>
  </si>
  <si>
    <t>D Evaristo Pérez de Castro</t>
  </si>
  <si>
    <t>…loi . ber conocido el iSr. Serrano.” y documentos, que fueron aprobados, y mandados comunicar á los interesados: No hallándose preseote el Sr. Vega y Rio á quien tocaba la palabra «a 1.° relativo á la admisión en el Estamento del Sr. D. Evaristo Pérez de Castro, -contra #j&gt;asó esta al Sr. Domccq en el mismo sentido. á éonsecuencia de su nombramiento de Prócer del reino : 2.° dirigido á igual - El &amp;•- Doffücq Estoy conforme-en la sustancia, aunque no en el modo admisión definitiva del Sr. duque de Frias, en vista de los documentos presen con que la hacen l…</t>
  </si>
  <si>
    <t>de Castro, D Evaristo Perez</t>
  </si>
  <si>
    <t>D Evaristo Perez de Castro</t>
  </si>
  <si>
    <t>…gro.” (.Mensagero.) Ayer a la una y media del. día SS. MM. Fidelísima é Imperiales recibieron en la sala del trono , donde se hallaban lps ministros de Estado , el cardenal Roma 25 de Mayo. patriarca de Lisboa y toda la corte, al Sr. D. Evaristo Perez de Castro, envia Después que llegó un correo de París, partió antier para Ñapóles el mar- do^ extraordinario y ministro, plenipotenciario de S. M. Católica, que en su Sjues de Latour-Maubourg. Suponen, para dar á este viage un objeto ostensi primera audiencia con S. M. Imperial el Duque de Braganza presentó…</t>
  </si>
  <si>
    <t>de Castro, D José</t>
  </si>
  <si>
    <t>D José de Castro</t>
  </si>
  <si>
    <t>…rva de esikrmiéntó y désepganp jí/lós seducidos,*’ ' ,7’ Estremerá. ' Huesca, ‘ 1 El mismo‘con iguál fecha trascribe el que le ha dirigido con la del ,20 él Los pueblos cabezas dé partido y demás'dé la provincia de Jaeny teniente coronel D. José de Castro ¿comisionado en el valle de Soba pará orJ ' Logroño. ' - ganUur Ja Milicia urbana y perseguir los .facciosos, cuyo tenor.es el siguiente; Peñafiél. ' ’dExcmo. Sr.: En la noche del 18 recayó la facción de los Cobos en varias ca Segqvia. banas de las cabecéras de este vallé, en una de las cuales Sórp…</t>
  </si>
  <si>
    <t>de Castro, D Nicolás</t>
  </si>
  <si>
    <t>D Nicolás de Castro</t>
  </si>
  <si>
    <t>…s de la guerra, compuestas en verso para que fácil EFECTOS PUBLICOS. mente se fijen en la memoria: obrita útilísima para los que siguen la Inscripciones sobre el gran libro al 5 p. roo, 00. honorífica carrera de las armas, por el coronel D. Nicolás de Castro: un Dichas Ídem al 4 p. 100, 53 al contado: , t y j í varias fs. vol. y cuaderno en 8.°. á 2 rs.—Manual militar, ó recopilación de penas mili firme : 54 á ja dias 6 vol. á prima de r p. loo. tares, con las obligaciones del soldado, cabo y sargento, á 5 rs. en rús Títulos al portador de ¡ p. roo, 59…</t>
  </si>
  <si>
    <t>de Castro, Evaristo Pérez</t>
  </si>
  <si>
    <t>Evaristo Pérez de Castro</t>
  </si>
  <si>
    <t>…a prevenir; Tributo mi gratitud á los verdaderos amigos del Rodil, marques de dos Aguas, conde de Santa Ana, marques de Valleher- trono, de nuestra adorada Reika Gobernadora y de su inocente Hija, á quien moso, duque de Almenara, D. Evaristo Pérez de Castro, marques de Villa- deseo con ansia ver un día gobernando la monarquía: pero hubiera querido se franca, conde de Cartagena, conde de Casasarria, D. Manuel Ibar Navarro, diese mas latitud, tanto al discurso dei trono, como á la cootestacioa. Jr otros varios Señores. ” Al examinar este discurso tengo…</t>
  </si>
  <si>
    <t>de Castro, Evaristo Perez</t>
  </si>
  <si>
    <t>Evaristo Perez de Castro</t>
  </si>
  <si>
    <t>…oceros, no podían ilustrar bastantemente al gobicrr.o de S. M. . ni servó Queriendo recompensar los muy antiguos, léale* )' distinguidos servicios de le de norma pjrj acordar las reformas c‘ nvcnicnlCs -m el orden judicial, j dic D. Evaristo Perez de Castro, ministro que fue del Rey mi augusto Esposo tar las medidas generales y preventiva* q^e reclamare el estad':.' de las costum (Q. E. G. E.) en las Ciudades anseáticas, y en atención á sus vasU&gt;* conoci bres publicas. miento*, acreditada probidad y demas recomendables circunstancias que concur En tal…</t>
  </si>
  <si>
    <t>…. ber conocido el iSr. Serrano.” y documentos, que fueron aprobados, y mandados comunicar á los interesados: No hallándose preseote el Sr. Vega y Rio á quien tocaba la palabra «a 1.° relativo á la admisión en el Estamento del Sr. D. Evaristo Pérez de Castro, -contra #j&gt;asó esta al Sr. Domccq en el mismo sentido. á éonsecuencia de su nombramiento de Prócer del reino : 2.° dirigido á igual - El &amp;•- Doffücq Estoy conforme-en la sustancia, aunque no en el modo admisión definitiva del Sr. duque de Frias, en vista de los documentos presen con que la hacen l…</t>
  </si>
  <si>
    <t>…funciones. Dispondrá la junta que los socorros destinados pa declarando libre de todo cargo al teniente D. Juan Antonio Suarez. ra los presos entren en poder del tesorero, asi como también Us limosnas, do Real decreto nombrando á D. Evaristo Perez de Castro enviado extraordinario I naciones ó cualesquiera otros recursos que voluntariamente se hagan por cor y ministro plenipotenciario en la corte de Roma. (A*m. 16.) J poraciones ó particulares en favor de los pobres encarcelados, de que llevará _____nombrando regentes de Us Reales audiencias de Albacet…</t>
  </si>
  <si>
    <t>…, conde de Salvatierra, id.; marques de S. Feli §on.i los Exentos. Sres. duque de Frías, embajador de S. M. en París; conde de ces, id.; duque de S. Lorenzo, argente; marques de S. Martin de Hombreiros, Miradores, id. en Londres; D. Evaristo Perez de Castro, id. en Lisboa; Don presente; conde de S. Román , id.; conde de Sta. Ana, id.: marques de Santa José García de León Pízarro, con Real licencia; D. Miguel Ricardo de Ala Cruz, id.; marque* de Sía. Cruz y S. Esteban, id; conde de Sistogd, id.; conde va ; conde de Cartagena; conde de F.zpelcta; D. Man…</t>
  </si>
  <si>
    <t>…de lanzas mariscal de campo de los Reales ejércitos,capitán general de a Pezuela, del Consejo Real de España é Indias; D. José Juan Bo- Granada; D. Jacobo María Parga , del Gmsejo Real; conde de Ta nel y Orbe, obispo de Córdoba; D. Evaristo Perez de Castro, envia beada. Y es mi voluntad que á cada uno de los Proceres menciona do extraordinario y ministro plenipotenciario en Lisboa; ptineipe de dos se le expida el título del nombramiento que han debido á mi Anglona, teniente general de los Reales ejércitos, capitán general &lt;le Real munificencia. Tendr…</t>
  </si>
  <si>
    <t>…” (.Mensagero.) Ayer a la una y media del. día SS. MM. Fidelísima é Imperiales recibieron en la sala del trono , donde se hallaban lps ministros de Estado , el cardenal Roma 25 de Mayo. patriarca de Lisboa y toda la corte, al Sr. D. Evaristo Perez de Castro, envia Después que llegó un correo de París, partió antier para Ñapóles el mar- do^ extraordinario y ministro, plenipotenciario de S. M. Católica, que en su Sjues de Latour-Maubourg. Suponen, para dar á este viage un objeto ostensi primera audiencia con S. M. Imperial el Duque de Braganza presentó…</t>
  </si>
  <si>
    <t>de Castro, Ferreira</t>
  </si>
  <si>
    <t>Ferreira de Castro</t>
  </si>
  <si>
    <t>…encia en que Jos malvados tendrán mal fundada esperanza de triunfar cución de Jo que en este artículo se dispone, no se prestaren al requerimiento.” * por medio de la división, conste que hav un punto en que el gobierno, las f El Sr. Ferreira de Castro entrego en la mesa una modificación para que C^maraSj el ejercito v todos los ciudidanos honrados están en perfecro acuer la Cámara hiciese de ella el uso conveniente. do y unión, cual es oai o irreconciliable a ID. Miguel, guerra eterna ai j-¿r— Convino el Sr. Aguillar en que el artículo estaba bi…</t>
  </si>
  <si>
    <t>de Castro, José</t>
  </si>
  <si>
    <t>José de Castro</t>
  </si>
  <si>
    <t>…sikrmiéntó y désepganp jí/lós seducidos,*’ ' ,7’ Estremerá. ' Huesca, ‘ 1 El mismo‘con iguál fecha trascribe el que le ha dirigido con la del ,20 él Los pueblos cabezas dé partido y demás'dé la provincia de Jaeny teniente coronel D. José de Castro ¿comisionado en el valle de Soba pará orJ ' Logroño. ' - ganUur Ja Milicia urbana y perseguir los .facciosos, cuyo tenor.es el siguiente; Peñafiél. ' ’dExcmo. Sr.: En la noche del 18 recayó la facción de los Cobos en varias ca Segqvia. banas de las cabecéras de este vallé, en una de las cuales Sórp…</t>
  </si>
  <si>
    <t>de Castro, José Rodrigara</t>
  </si>
  <si>
    <t>José Rodrigara de Castro</t>
  </si>
  <si>
    <t>…iamente lleva consigo la mendicidad ociosa f vagamunda: probablemente no se pasará mucho tiempo sin que se consiga es» Obrtu pu tt hatUn A smM n W dtlfirii dt ls AngrasAs itesi. importante beneficio. Biblioteca Española, su autor D. José Rodrigara de Castro. Dos tomos éta folio Ha prestado igualmente sus auxilios á los demas establecimientos benéficos el 1.» á 32 rs. rústica, el 2.° 4 S6 rama y J4 eo rústica. 4P . de~~ impreso 1781, en Contiene primer noticia tomo, el la en cuanto esta ciudad permitido de se lo han las circunstancias, rabióos desde siglo y…</t>
  </si>
  <si>
    <t>de Castro, José Velasco</t>
  </si>
  <si>
    <t>José Velasco de Castro</t>
  </si>
  <si>
    <t>…zados en los últimos años, á saber: el distrito de la Ru D. José Leocadio Ahumada: para la de Padrón á D. Antonio Galle sia blanca, el de Odessa, el del Cáucaso y el de la Siberia. (G. dt las postor go Moron: para la de Rioseco á D. José Velasco de Castro: para la de Francfort.) de Vigo á D. Antonio Arteagaj para feyle Cambados á D. Ricardo «AVIESA. Bovo; para la de Ujijar á D. José de Navas García : para la de Ta— Munich 2 de Mayo. rancon á D. Manuel de los Ríos Gómez de Salazar: para la de Oli- Ya se han puesto en ejecución las medidas adoptadas c…</t>
  </si>
  <si>
    <t>de Castro, Juan Regis</t>
  </si>
  <si>
    <t>Juan Regis de Castro</t>
  </si>
  <si>
    <t>…Real decreto de lO del actual para el arreglo del ra- Lorca.................. . 13 á 13 Setiemb. 13 7 i pao de correos I D listeban de Ayala, administrador del correo general de es— Murció. ...... . 15 á 19 Ídem*. 9 3 i tacarle-, D. Juan Regis de Castro, visitador de la renta; D. Pablo Sirera, Idem.................... . Enfermedades escontador de las Reales diligencias; O. Joaquín Arel laño, oficial mayor de! mis porfídicas... .. 116 11 00 mo correo general, y O. Leoncio Nuñcz Arenas, secretario con voto; sin per Muía.................... • ó á 9 í…</t>
  </si>
  <si>
    <t>de Castro, Narciso María</t>
  </si>
  <si>
    <t>Narciso María de Castro</t>
  </si>
  <si>
    <t>…esos de esta Nación; se cortarán los abusos que por espacio de muchos años mentada que remitía el Sr. Secretario del Despacho de lo Interior, en la que la destruían, y entonces podremos asegurar, atendida la situación política de D. Narciso María de Castro solicitaba la plaza de archivero de uno de los Es las Naciones del Mediodía, que tendremos una paz octaviana, y que no sola tamentos. mente prosperará la Nación, sino que está reservada á Isabel ii una época En seguida tomó la palabra y dijo tan gloriosa como la de la primera. Ei Sr, Pizarrón «En e…</t>
  </si>
  <si>
    <t>de Castro, Nicolás</t>
  </si>
  <si>
    <t>Nicolás de Castro</t>
  </si>
  <si>
    <t>…guerra, compuestas en verso para que fácil EFECTOS PUBLICOS. mente se fijen en la memoria: obrita útilísima para los que siguen la Inscripciones sobre el gran libro al 5 p. roo, 00. honorífica carrera de las armas, por el coronel D. Nicolás de Castro: un Dichas Ídem al 4 p. 100, 53 al contado: , t y j í varias fs. vol. y cuaderno en 8.°. á 2 rs.—Manual militar, ó recopilación de penas mili firme : 54 á ja dias 6 vol. á prima de r p. loo. tares, con las obligaciones del soldado, cabo y sargento, á 5 rs. en rús Títulos al portador de ¡ p. roo, 59…</t>
  </si>
  <si>
    <t>de Castro, Perez</t>
  </si>
  <si>
    <t>Perez de Castro</t>
  </si>
  <si>
    <t>…d de encargado-interino de Negocios. (Independiente■) ____ El Courier habla de este tratado, pero muy por encima. Anuncia que al INGLATERRA. reconocimiento de Doña María por la corte de Madrid , se ha seguido el nom bramiento del Sr. Perez de Castro como embajador cerca de S. M. F. la Reina i Ldndres 29 de Abril. de Portugal. Anuncian esta satisfactoria noticia cartas de Madrid de fecha 15 del corriente , que ha traído esta mañana á Lóndres un correo extrordinario. En el estado en que ya se halla la discusión suscitada acerca del acta de 1unió…</t>
  </si>
  <si>
    <t>…tour-Maubourg. Suponen, para dar á este viage un objeto ostensi primera audiencia con S. M. Imperial el Duque de Braganza presentó sus cre ble, que el embajador está encargado por el Rey de los franceses de llevar á denciales. El Sr. Perez de Castro puso en manos de S. M. Fidelísima la Reina Nápoles el retrato de la Princesa María Cristina. Nosotros creemos por el con y de S. M. Imperial la Sra. Duquesa de Braganza las insignias de la orden de trario, que M. de Latour-Maubourg ha sido enviado 4 Nápoles con .el objeto María Luisa, que les envía…</t>
  </si>
  <si>
    <t>de Castro, Rafael</t>
  </si>
  <si>
    <t>Rafael de Castro</t>
  </si>
  <si>
    <t>…ción donde establecer ñus tropas, se Valentín Cañedo, IX Joaquín Santamaría, D. Antonio María de Alós, Dn guro como lo estaba de que desde este momento nada tenia que rezelar. Yo que Fernando Coroner; de los alféreces de la misma D. Rafael de Castro, P. Ma venia á retaguardia observando los movimientos del enemigo no creí conve nuel labro, P. Juan Cíñate», D. Jo&gt;e Ramón Mackena, D. Joaqirfn Alon niente abandonar aquel punto en tales circunstancias, y mandé ai general Mos so, D. Francisco de Paula Encobar, D. Antonio Moraüues, D. Anselmo Blasto…</t>
  </si>
  <si>
    <t>de Castro-Villavicencio, María</t>
  </si>
  <si>
    <t>María de Castro-Villavicencio</t>
  </si>
  <si>
    <t>…y deseando $. M. ocurrir al remedio de e*ta urgente necesidad, se ha dignado mandar $. M. la Reina Gobernadora se ha dignado conceder su real permiso i al gobernador civil de aquella provincia que atienda a la conservación de las Doña María de Castro-Villavicencio para establecer en Málaga una casa pen citadas escuelas con los fond.'-s dei pósito Montepío, instituid •&gt; para objetos sión de señoritas á imitación del conservatorio de Florencia, y con sujeción de beneficencia, prop. tiñendo el mismo gobernador los arbitró'* permanentes al reglamento aprobado pa…</t>
  </si>
  <si>
    <t>de Casulla, Presidente del Consejo y Cámara</t>
  </si>
  <si>
    <t>Presidente del Consejo y Cámara de Casulla</t>
  </si>
  <si>
    <t>…formándome con el parecer del consejo de Ministros, he venido en declarar lo piirniento.—Está rubricado de la Real mano-^En Palacio a ¿ de Marzo de ¡ | fuerza armada que no pertenezca al ejército ó á las Milicias provin- 1334-=A1 duque Presidente del Consejo y Cámara de Casulla. J dales y que bajo la denominación de Milicia urbana, voluntarios de Isabel ii S. M. la Reina Gobernadora se ha servido expedir en esta fecha el Real | I ú otra cualquiera se ha formado en algunas -provincias, subsistirá con su actual decreto é instrucción siguiente: T organización 4, las órdenes d…</t>
  </si>
  <si>
    <t>de Cátahifia, Procurador</t>
  </si>
  <si>
    <t>Procurador de Cátahifia</t>
  </si>
  <si>
    <t>…ue está sometido á la deliberación del Estamento es el art. 3.° de la co algunas provincias mas bien podría estrecharse, pues, como ha d eho muy bíaa misión, porque en el órden en que se Ha de votar, que será por párrafos, tie un Sr. Procurador de Cátahifia, en aquel pais la cuota de 8 y 16 reale es exce ne mió analogía con el de la comisión que con el del Gobierno. Indispensable sivamente coman á causa de un Impuesto personal que allá existe « bre U inda-</t>
  </si>
  <si>
    <t>de Caviedes, Manuel Gutiérrez</t>
  </si>
  <si>
    <t>Manuel Gutiérrez de Caviedes</t>
  </si>
  <si>
    <t>…reprobados. 11 Procuradores que no se han presentado. Yo bien sé que según el reglamento, Sr. D. Ramón Giraldo de Arquellada , por Ciudad Real. ■. &gt; basta que haya ,50 para deliberar y que sean válidas las resoluciones; pero creo D. Manuel Gutiérrez de Caviedes, por la Coruña.que no puede menos de tomarse este punto en consideración, porque la ausen D. Diego Gómez Alonso, por Cáceres. cia de tantos Sres. Procuradores ofrece dos inconvenientes: el uno, verse pri D. Gregorio García , por Guadalajara.mado el Estamento de las luces que forzosamente acumularía…</t>
  </si>
  <si>
    <t>de Cegama, Fermin Ladrón</t>
  </si>
  <si>
    <t>Fermin Ladrón de Cegama</t>
  </si>
  <si>
    <t>…Gemelo se expedirá un libramiento sobre la administración de minas, cuyo importe de Velasco, oidor de la expresada audiencia; á D. Alonso Ramón será pagado inmediatamente en S. Petersburgo. En ninguno de los do* caso» se Rubio; i D. Fermin Ladrón de Cegama; á D. Pedro de ]Nava; á hará deducción alguna por el trasporte y la conversan. {Boersen-Halle.) D. Félix Pablo Portal, alcaldes del crimen de la misma, y á D. An drés García Drena, juez mayor de Vizcaya. SUIZA. Por otro decreto de" la expresada fecha se suprime por innece saria la plaza de juez may…</t>
  </si>
  <si>
    <t>de Cegama, Leoncio Ladrón</t>
  </si>
  <si>
    <t>Leoncio Ladrón de Cegama</t>
  </si>
  <si>
    <t>…os ócc. Burgos 13 de Octubre de 1834&lt;=Excmo. Sr=Joce Madrid 16 de Octubre. Manso.rcExcmo. Sr. Secretario de Estado y del Despacho de Guerra. S. M. la Reiva Gobernadora se ha servido separar de la plaza del cd^fe rejo de Navarra á D. Leoncio Ladrón de Cegama, nombrando en su lugar^ D. Antonio Mediano, alcalde de la Real corte de aquel reino; y para esta re ESTADO SANITARIO DEL REINO. sulta á D. José García Suelto. Asimismo ha tenido á bien separar de la plaza de teniente de asistente d« PROVINCIA DE AVILA Sevilla á D. José Maceda, y nombrar para la mis…</t>
  </si>
  <si>
    <t>de Celara, Manuel</t>
  </si>
  <si>
    <t>Manuel de Celara</t>
  </si>
  <si>
    <t>…han manifestado , PORTUGAL. de un modo indudable su saña y desesperación, incendiando, fuera del tiro de fusil, dos casas del Eicmo. Sr. conde de Oñate, una de D. Juan de Arana , al Lisboa 29 de Julio. calde de Bilbao, y otra de D. Manuel de Celara, sin duda porque sus dignos dueños defienden los intereses del trono de la Reina nuestra Señora Doña El (fia 26 dd corriente llegaron SS. MM. á Oporto con perfecta salud JSAX&amp;I. II. r dttpus &lt;fe un vxage feliz, y dnnnharcaron á las cuatro de la tarde. (pateta oficial de Lisboa). El capitán genera!…</t>
  </si>
  <si>
    <t>de Celis, Celestino Martinéí</t>
  </si>
  <si>
    <t>Celestino Martinéí de Celis</t>
  </si>
  <si>
    <t>…Garelíy. Afanhcim,26 de Marzo. Se, asegura que el ¿Ongréso &lt;fe Vienta deja, intactas Jas Consti He venido en separar del corregimiento de Cárrion de los Con tucioneslos Estados alemanes, y que los defectos que acaso tengan, des á D. Celestino Martinéí de Celis; y nombro para esta plaza se corregirán por los medio? legales: que los .Estados provinciales á D. Antonio Martinez Baragaña, alcalde electo de la villa del mantendrán su forma y organización como la tenían antes: que los Prado, y para su resulta á D. Julián Martinez y Yanguas. Ten- •Príncipes segu…</t>
  </si>
  <si>
    <t>de Cerdíña, El Rey</t>
  </si>
  <si>
    <t>El Rey de Cerdíña</t>
  </si>
  <si>
    <t>…. de Correos. Para (■ :u 1 j 1 1 a %................. 3So J&gt;jo (, ó. Para ludias............. ....... 4°o 200 JOO. GACETA DE MADRID. SUIZA. ARTÍCULO DE OFIGÍO. Ginebra 22 eie MaroLa Reina nuestra Señora Doña Is\hel ii, y S. M. la Reina El Rey de Cerdíña saldrá dre ¿idamente d* Tunn el 2 del mes que vito/", Gobernadora , siguen en el Real sitio de Aranjuez sin novedad y 1 egará el 5 á Chumbery donde le C;Un preparadas grandes funciones. De aili en su importante salud. pasara á A i x , á Annecy , a Bonne\ iue , 3 I r-onon y acaso a Lvun , á cc rta d…</t>
  </si>
  <si>
    <t>de Cezar, D Joaquina María</t>
  </si>
  <si>
    <t>D Joaquina María de Cezar</t>
  </si>
  <si>
    <t>…ballero leyó el párrafo de que se trataba, reformado por el Sr. Secretario del Despacho de lo Interior de las actas de las elecciones en estos términos: «Los Procuradores del,reino piden á V. M. que se digas siguientes: de la del Sr. D. Joaquina María de Cezar, por la provincia de Cuen tomar en consideración , para que se declaren como derechos fundamentales, ca , en reemplazo del Sr. conde de Toreno, que optó por la de Oviedo: de la los que contiene la petición siguiente.” Asi se aprobó, quedando los arríen de lo: Sres. D. José Quintana Llarena, D. Juan…</t>
  </si>
  <si>
    <t>de Cezar, Joaquina María</t>
  </si>
  <si>
    <t>Joaquina María de Cezar</t>
  </si>
  <si>
    <t>…ero leyó el párrafo de que se trataba, reformado por el Sr. Secretario del Despacho de lo Interior de las actas de las elecciones en estos términos: «Los Procuradores del,reino piden á V. M. que se digas siguientes: de la del Sr. D. Joaquina María de Cezar, por la provincia de Cuen tomar en consideración , para que se declaren como derechos fundamentales, ca , en reemplazo del Sr. conde de Toreno, que optó por la de Oviedo: de la los que contiene la petición siguiente.” Asi se aprobó, quedando los arríen de lo: Sres. D. José Quintana Llarena, D. Juan…</t>
  </si>
  <si>
    <t>de Chuna, Joaquín</t>
  </si>
  <si>
    <t>Joaquín de Chuna</t>
  </si>
  <si>
    <t>…stra legítima Ruina la Se caraos que deja. Asimismo ha nombrado S. M. comandante general de artille— | ñora Doña Isabel 11 , ha sido un suceso altamente grandioso para estos icales ría del mencionado ejercito al mariscal de campo D. Joaquín de Chuna, que al habitantes, que recordaban con este motivo las excelsaT virtudes de-Isabel la las órdenes.del general en gefe cuidará especialmente de las provincias rascón-j Católica, digna antecesora.de nuestra amada Soberana, y á quien estas islas son gadas. deudoras de su feliz y dichosa conquista. El…</t>
  </si>
  <si>
    <t>de Cierva, Massieu</t>
  </si>
  <si>
    <t>Massieu de Cierva</t>
  </si>
  <si>
    <t>…a E%tée mandada por M. Bechamel. (Continuación del correo anterior.) «Todos los oficiales de ia-escuadra de evolución de Levante, pues tal es el nombre que se le suele d»r, tienen órden de hallarse esta tarde á bordo. El Turquía. almirante Massieu de Cierva! que U manda , ha hecho todas sus provisiones de Brígrado 14 de Julio* boca, ha embarcado todos sus efectos desde aver, y probablemente mañana ca k i lodo el dia saldrá la escuadra de Tolon." {Diario de ¿os Debates.) Cartas de Bitoglia del 28 del mes último refieren varios pormenores sobtc el iocco…</t>
  </si>
  <si>
    <t>de Cíorraga, Manuel</t>
  </si>
  <si>
    <t>Manuel de Cíorraga</t>
  </si>
  <si>
    <t>…as las ceremonias de costumbre * pondrá cruzar de caballero de, U órden americana_ ¿ie Isabel la Católica ai capitán de en manos del referido señor alférez^ Real el peodoo, dirigiéndose en seguida i granaderos de U Milicia urbana D. Manuel de Cíorraga por haberse distinguí-</t>
  </si>
  <si>
    <t>de Cireaga, Antonio Ramón</t>
  </si>
  <si>
    <t>Antonio Ramón de Cireaga</t>
  </si>
  <si>
    <t>…mpo del Empe rador Teodosio: es de marmol de Ornavazzo, y obra de Luí» Scorzini. Igualmente ha venido en nombrar para el corregimiento de A-anda de __Los papeles de Nueva-Yorck, que alcanzan basta ci 2 dei corriente, con- Duero á D. Antonio Ramón de Cireaga: p ira la vira'de alcalde mayor de la firqun las noticias que habían dado muy por encima tas recibidos anteriormen villa de 1 r gdiana á D. Francisco Ga-_ i baarvz: pira la dei Burgo de Osma i te. Sanlana había entrado en Guanijua'o sin opodeion , y la tranquilidad se D. Juan Perez Piinentel : para…</t>
  </si>
  <si>
    <t>de Ciscar, Ramón</t>
  </si>
  <si>
    <t>Ramón de Ciscar</t>
  </si>
  <si>
    <t>…sino de las precisas é indis cumentos justificativos de su aptitud legal por los Sres. D. José de Viñais, pensables que se requeren en un Gobierno absoluto: Cbte e&gt; e! punto en cues* elpcto Procurador por la provincia de Gerona , D. Ramón de Ciscar, que lo tion. El Sr. Ministro de Hacienda ha dicho que cómo han de tener los extranes por la provincia de Lérida, y D- Onorato de Puig,y D. Ignacio de Poqs geros noticias de los decretos de las Cortes; y yo pregunto: ¿que noticias te y Barba, que lo son por la de Barcelona. nemos nosotros de los de…</t>
  </si>
  <si>
    <t>de Clemente, Francisco</t>
  </si>
  <si>
    <t>Francisco de Clemente</t>
  </si>
  <si>
    <t>…e esta circular para los debidos efectos, prometiéndome Introducción á la geografía matemática y crítica , por Silvestre Fraocisco Lacroix, deioicn conocido zelo de todos los individuos que componen aquellos, no da- traducida por D. Francisco de Clemente y ^lird. Un tomo en 8.°, edición de 1805, á 18 rs. en pasta , y 14 en rama. ——JVorjx á la conducto de España comparada con la de Inglaterra. Un cuaderno en 8.°, edición de 1805, A real. servancia tan fitil medida. Dios guarde ■ -Ensayo sobre el azúcar de uva, por D. Luís Proüst, publicado por D. Greg…</t>
  </si>
  <si>
    <t>de Cob, Juan Antonio</t>
  </si>
  <si>
    <t>Juan Antonio de Cob</t>
  </si>
  <si>
    <t>…respondencia perd da , habiendo a canzudo a U f*cc-on, Excmo. Sr. D. Pascual Liñan. ............................................................ 1000 capitaneada por Froylan C«iero , en el sitio de la Pena r.eg a , donde la ata^o D. Juan Antonio de Cob;an................................................................ I0o0 decididamente , dando muerte en la refriega al expresado c*Sécula , con otros y D. Narciso Torre Marín.......................................................................... &lt;30 sus compañeros llamados Sartcnóla y el \E&gt;. 1…</t>
  </si>
  <si>
    <t>de Coitesena, Tomas</t>
  </si>
  <si>
    <t>Tomas de Coitesena</t>
  </si>
  <si>
    <t>…caya en Bermeo. = El comandan Calaiayud.......... . Idem ídem. . .. 256 50 28 te de la trincadura Cristina D. Juan Manuel de Ondarza, me ha dado confi Cetina................ . Idem tdem... . 36 9 11 dencialmente la noticia de que D. Tomas de Coitesena, uno de los presos por Jnoges................ . 8 á 16 Agosto. 42 3 10 la fragata, le ha dicho con mucha reserva que el Pretendiente se halla en Mar- Lumplaque. . .. . 5 i 16 de ídem. 50 6 25 quina. Sin salir garante de la verdad que ha podido decir el preso, pongo esta . Ariza................. 3 á…</t>
  </si>
  <si>
    <t>de Collenbach, José Vázquez Figueroa M</t>
  </si>
  <si>
    <t>José Vázquez Figueroa M de Collenbach</t>
  </si>
  <si>
    <t>…erior.) Reina Doña Isabel ii, en nombrar á D. Antonio Daban y Ur- PRUSIA. rutia. Tendréislo entendido, y lo comunicareis á quien correspon da. es Señalado de la Real mano. = En Aranjuez i 9 de Abtil de Berlín 16 de Mario. 1834¿=A D. José Vázquez Figueroa. M. de Collenbach , procurador general de Colombia , ha m«-</t>
  </si>
  <si>
    <t>de Connlo, Ramón López</t>
  </si>
  <si>
    <t>Ramón López de Connlo</t>
  </si>
  <si>
    <t>…Rosa. 1 legue á tanto el o. vid ) de sus d: oerc-* y i a l u: r i i de sus pasóme» , q .es nae j;: atropellar, no soba por .o que Lab.o n. s er.-eba y manda en su ^rte-e .- s Atendiendo á los méritos y distinguidos servicios que D. Ramón López &gt;de Connlo , sino también j desatender y dc-pre:iar e. b.er. »03.-n Ge ¡3 orcen Pelegnn, ministro.del Consejo Real y de la Cámara, ha contraído en la hon y el propio e individual: - A donde esta íj p:-de:u..u. .bf per.-.-.:-r. n, p¿&gt;.j rosa carrera de la magistratura; y queriendo darle un público testimonio d…</t>
  </si>
  <si>
    <t>de Cór, Luis Fernandez</t>
  </si>
  <si>
    <t>Luis Fernandez de Cór</t>
  </si>
  <si>
    <t>…nes de muy alta política ha tenor: que S. M. en 21 de Abril de 1833 , por medio de su enviado extraor cían necesario este viage. Entonces dijisteis estar resuelto á cumplir mi volun dinario y mihistro plenipotenciario en Portugal D. Luis Fernandez de Cór tad , y me Jo habéis repetido después; mas á pesar de vuestras protestas de su doba , exigió de su Hermano D. Carlos, «manifestase explícita y directa misión, habéis puesto sucesivamente dificultades, alegando siempre otras nue mente íu propósito de concurrir á la jura de Ja Señora Princesa ( hoy l…</t>
  </si>
  <si>
    <t>de Cór, Ventura</t>
  </si>
  <si>
    <t>Ventura de Cór</t>
  </si>
  <si>
    <t>…u» ve presten á este latidapor el alcalde Aseó, herido en' la acción. Dios nuestro Señor guarde á V. E. ble fin; la agregación de fondos de cofradías y hermandad» que no leagan ob muchos años. Cuenca 26 de Julio de 1834- = Excmo. Sr. = Ventura de Cór jeto lan útil; el encargo á las hijas de la’caridad cuando pueda ser conveniente, doba. =Excmo. Sr. Secretario de Estado y del Despacho de lo Interior. J otra porción de particulares no menas interesantes. , , La administración de cada casa atará bajo el inmediato cuidado de.su* «taspicados’; pero…</t>
  </si>
  <si>
    <t>de Córdoba, Antonio López</t>
  </si>
  <si>
    <t>Antonio López de Córdoba</t>
  </si>
  <si>
    <t>…ente: *&gt;Con esta fecha digo al ministro dfc S. M. en Londres lo 12. Concluida la exposición se procederá á la calificación de los objetos y i la adjudicación de premios, devolviéndose aquellos á sus dueños respectivos. que sigue: D. Antonio López de Córdoba, encargado de Negocios que fue de S. M. en Lóndres, remitió con su despacho núm. 14/ una carta que le dirigió 13. Para que nadie se detenga en presentar los ptoductos de su trabajo, in el secretario de la sociedad titulada Royal Irish Yacht Club, en la que solici genio y aplicación, se advierte ser…</t>
  </si>
  <si>
    <t>de Córdoba, D Luis Fernandez</t>
  </si>
  <si>
    <t>D Luis Fernandez de Córdoba</t>
  </si>
  <si>
    <t>…en Ja dirección de Berueter para que Instruidos af instante nuestros 1834. I las cinco y media de la mañana.c=Excmo. Sr-=Patric¡o Braf.=Ex enemigos, se confiasen por aquella parte, y conservasen sus puntos y fabricas celentísimo Sr. D. Luis Fernandez de Córdoba.=Es copia. por la otra. No siéndome posiblé.entrar por abara en mas detalles, y sin^perjuícto de dar á V. É. con oportunidad un parte formal» le diré que el resulta do fúe en la fabrica de Oroquieta desenterrar los metales1 de fundición que á XEAL CONSERV ATOEIO DB ARTES. nuestra aproximación oculta…</t>
  </si>
  <si>
    <t>…uipúzcoa, reunidas en Jucnvilla con el 6.® batallón de Navarra y algunos ala rea, cada uno con una columna de 4°U hombres, viniendo en reserva el señor veses, se fugaron con mi aproximación en la dirección de Vera á las cuatro de general D. Luis Fernandez de Córdoba con la 3.a divison, artillería y provi la tarde: que igual diligencia practicaron los dos batallones rebeldes de Guipúz siones de este cuerpo del ejército que viene á mis inmediatas órdenes, pernoc coa que se hallaban en Labayen, marchando para Sandias á la una de la misma tando en dicho Espinal, y…</t>
  </si>
  <si>
    <t>…obre esta asunto : el ejemplo que le ha dado el Electorado El comandante general de Navarra en 4 del corriente dice-lo que sigue: cíe Hesse le guiará sin duda en su resolución. En cuanto á la repentina exone Excmo. Sr.: El Excmo. Sr. D. Luis Fernandez de Córdoba, comandan ración de Mr. de Meisterleín, presidente del ministerio de Hacienda de este du te general de la 3.* división del ejército de mi-interino-mando-, con fecha 30 cado, no sabemos qué pensar. ¡Será por.ventura una concesión hecha álos Es de Setiembre próximo pasado desde su cuartel general de…</t>
  </si>
  <si>
    <t>…a, sargento, matando á uno, haciendo dos prisioneros, y fugándose el cuarto. Se i han cogido cuatro caballos, y todas las armas y municiones. El capitán general de Castilla la Vieja traslada el siguiente parte que ha recibido del general D. Luis Fernandez de Córdoba fecho en los Arcos el 14 del corriente. El capitán general de Galicia da parte que la compañía de cazadores del «Excmo. Sr.: Con esta misma fecha digo al Excmo. Sr. general en gefe lo regimiento provincial de Pontevedra, destinada á perseguir los rebeldes en la siguiente: Excmo. Sr.: Las Facciones…</t>
  </si>
  <si>
    <t>de Córdoba, Felipe</t>
  </si>
  <si>
    <t>Felipe de Córdoba</t>
  </si>
  <si>
    <t>…io, y ministro plenipo reis á quien corresponda. = Está rubricado de la Real mano. — En tenciario cerca de S. M. Fidelísima. Aranjuez á 18 de Abril de. 1834-=A D. Antonio Remon Zarco del Valle. Reales decretos. Habiendo fallecido D. Felipe de Córdoba, decano nombrado Convencido mi Real ánimo de la urgencia de plantear cuanto para la sección de Hacienda del Consejo Real de España é Indias, antes sea posible la división de los partidos judiciales por los gran vengo en conferir este destino en nombre de mi augusta Hi¡3 la des beneficios que han de…</t>
  </si>
  <si>
    <t>de Córdoba, Femando Fernandez</t>
  </si>
  <si>
    <t>Femando Fernandez de Córdoba</t>
  </si>
  <si>
    <t>…E. para su noticia, y á fin de que se sirva elevarlo al de justicia que me manda'señalar á V. E., sin duda con orgullo, la persona de conocimiento de la Ki.jna nuestra Señora; no pudiendo menos por mi parte mi ayudante y hermano D. Femando Fernandez de Córdoba, el oficial que la de recomendar á los individuos que particularmente se han distinguido, y que . tropa ha vitoreado sobre el campo de batalla, y la división ha aclamado des van expresados en el citado oficio: pués entre los objetos que excitaran su entusiasmo. El mérito calificado por Dios guarde…</t>
  </si>
  <si>
    <t>de Córdoba, José María Fernandez</t>
  </si>
  <si>
    <t>José María Fernandez de Córdoba</t>
  </si>
  <si>
    <t>…donde re Vengo en norftbrar para ministros de las dos salas del tribunal siden , y en sus términos, sin que puedan extender fuera de ellos supremo de Hacienda, instituido por mi Real decreto de de su jurisdicción. Marzo último, á D. José María Fernandez de Córdoba , D. Ma Art. S.° Los corregidores y alcaldes mayores de los pueblos nuel Pardo, D. Manuel Silvestre Armero, D. Gonzalo de Ueredia, D. José Rafael Villapol, D. Joaquín Fernandez Compani, (I) La división judicial de partidos, coo expresión de los pueblos que D. Marcelino de la Torre, D Ramón Macia de…</t>
  </si>
  <si>
    <t>de Córdoba, Luis Fernandez</t>
  </si>
  <si>
    <t>Luis Fernandez de Córdoba</t>
  </si>
  <si>
    <t>…hizo disparos muy oportunos que contri campo D. Juan González Anleo con las divisiones 3.a y la de caballería, i buyeron á la fuga y desorden de las columnas enemigas de nuestra izquierda, cuya cabeza se hallan los de igual clase D. Luis Fernandez de Córdoba y el ba conduciéndose con su acostumbrado valor el coronel graduado comandante ac rón de Carondelet, con las baterías de artillería competentes , custodia!» la ri cidental de las baterías de campaña D- Cayetano Ulloa, que ocupó 2a posición bera desde Cirauqui, Sesma y Lárraga. que le designé 4 ®¡ fre…</t>
  </si>
  <si>
    <t>…Ja dirección de Berueter para que Instruidos af instante nuestros 1834. I las cinco y media de la mañana.c=Excmo. Sr-=Patric¡o Braf.=Ex enemigos, se confiasen por aquella parte, y conservasen sus puntos y fabricas celentísimo Sr. D. Luis Fernandez de Córdoba.=Es copia. por la otra. No siéndome posiblé.entrar por abara en mas detalles, y sin^perjuícto de dar á V. É. con oportunidad un parte formal» le diré que el resulta do fúe en la fabrica de Oroquieta desenterrar los metales1 de fundición que á XEAL CONSERV ATOEIO DB ARTES. nuestra aproximación oculta…</t>
  </si>
  <si>
    <t>…, reunidas en Jucnvilla con el 6.® batallón de Navarra y algunos ala rea, cada uno con una columna de 4°U hombres, viniendo en reserva el señor veses, se fugaron con mi aproximación en la dirección de Vera á las cuatro de general D. Luis Fernandez de Córdoba con la 3.a divison, artillería y provi la tarde: que igual diligencia practicaron los dos batallones rebeldes de Guipúz siones de este cuerpo del ejército que viene á mis inmediatas órdenes, pernoc coa que se hallaban en Labayen, marchando para Sandias á la una de la misma tando en dicho Espinal, y…</t>
  </si>
  <si>
    <t>…en Logroño participa á este mi Considerando sin embaigoque la conclusión de este tratado no se podría ve rificar tm pronto como lojeclama el ínteres de los dos pjisca, y queriendo que nóte t 10 lo siguiente: »El mariscal de campo D. Luis Fernandez de Córdoba can fecha 4 denle sus reí cienes recíprocas se pongan desde ahora bajo un pie confi rme á los senti mientos mutuos de afecto que animan ¿ S: M. el Rey de los franceses y á Ja Canales me da paite de haber abandonado precipitadamente loa espesnunca pinares de la siena de C.mcosa las facciones reunirí…</t>
  </si>
  <si>
    <t>…os, desposeyendo á su augusto Hermana nistro, y reclamo tu obediencia, esperando que seas el primeio que me reco í viva fuerza, ó arrancándole una renuncia. Pero no consta un solo acto de pa nozcas.” Y habiéndose negado á ello el D. Luis Fernandez de Córdoba con la labra ó por escrito, por el que dicho Príncipe desaprobase un horrendos crí ¡ firmeza y valentía propia de un español leal, repuso el Sr. Infante:”haces Reo, menes ¡menudos á nombre suyo , sin embargo de que parecían reclamar e&gt;U i está bien, vete;” y le entregó en el acto cinco cartas. mani…</t>
  </si>
  <si>
    <t>…esta asunto : el ejemplo que le ha dado el Electorado El comandante general de Navarra en 4 del corriente dice-lo que sigue: cíe Hesse le guiará sin duda en su resolución. En cuanto á la repentina exone Excmo. Sr.: El Excmo. Sr. D. Luis Fernandez de Córdoba, comandan ración de Mr. de Meisterleín, presidente del ministerio de Hacienda de este du te general de la 3.* división del ejército de mi-interino-mando-, con fecha 30 cado, no sabemos qué pensar. ¡Será por.ventura una concesión hecha álos Es de Setiembre próximo pasado desde su cuartel general de…</t>
  </si>
  <si>
    <t>…nto, matando á uno, haciendo dos prisioneros, y fugándose el cuarto. Se i han cogido cuatro caballos, y todas las armas y municiones. El capitán general de Castilla la Vieja traslada el siguiente parte que ha recibido del general D. Luis Fernandez de Córdoba fecho en los Arcos el 14 del corriente. El capitán general de Galicia da parte que la compañía de cazadores del «Excmo. Sr.: Con esta misma fecha digo al Excmo. Sr. general en gefe lo regimiento provincial de Pontevedra, destinada á perseguir los rebeldes en la siguiente: Excmo. Sr.: Las Facciones…</t>
  </si>
  <si>
    <t>de Córdoba, Ventura</t>
  </si>
  <si>
    <t>Ventura de Córdoba</t>
  </si>
  <si>
    <t>…oluta mente preciso é indispensable que rectifique sus protestas de sumh'ion á la Habiendo vacado el gobierno civil de la provincia de Cuenca autoridad suprema de la uruon, y que le parecía por lo mismo conveniente por ascenso de D. Ventura de Córdoba al de la provincia de Mála la adopción del plan que tenia el honor de presentar, pira que unilonruda ga, vengo en conferir aquel á D. Juan Pedro Quijana, fiscal en co la opinton con el Estado, y principalmente en esta capital, terminaran las misión de la Real audiencia de Madrid, en atención á sus…</t>
  </si>
  <si>
    <t>…la Real manos En Aran juez á 14 to de la provincia de Aviló á D. Francisco Agustín Srtvela : de], de Abril de 18 34-—A D. Javier de Burgos. de Coruña á D. Antonio Loriga, confiriéndole este encargo en comisión: de la de Cuenca á D. Ventura de Córdoba: d&amp;b$ Habiéndome dignado aprobar en esta fecha la Ordenanza ge Logroño á D. Pío Pita Pizarra: de la de Lugo á D. Laureano Gu neral de los presidios del reino, é instituyéndose en ella el destino tiérrez : de la.de Soria á D. Manuel Pezuela, marque* de Vllun,. de director general de los mismos, veng…</t>
  </si>
  <si>
    <t>…sus respectivas disertaciones (franco de porte) á la secretada de la Real Extracto del parte remitido por el gobernador civil de la provincia de academia greco-latina para el 19 de Noviembre del presente año con el plausi Cuenca D. Ventura de Córdoba, con fecha de 4 de Julio actual. ble motivo de la celebridad del dia de nuestra augusta Reina Doña IsArbí i i' Rara conservar lá salud pública de aquella ciudad ha promovido su limpie (Q. D. G.) za por todos los medios posibles y ha obtenido los resultados mas ventajosos. La forma de remisión de lo…</t>
  </si>
  <si>
    <t>de Cortesena, Tomas</t>
  </si>
  <si>
    <t>Tomas de Cortesena</t>
  </si>
  <si>
    <t>…andante general del alg izquierda del ejército Keal de Vizcaya; Don parte por el mucho trabajo al sol y malos alimentos. Félix Antonio de Berrueta , secretario de la llamada junu de agravios; su PROVINCIA de ZARAGOZA. hijo Sabas; D. Tomas de Cortesena, administrador de aduanas; D. Martin de rAndigonogoiiia, capellán dcL comandante general; D. Juan Bautista Bedia Lau- Su gobernador civil con fecha de 16 del actual avisa que varios pueblos neta, comisionado, y otros marineros ha&gt;ia el número de 8ü á 9t&gt;, con inclu de la misma han sido invadidos de…</t>
  </si>
  <si>
    <t>de Coruña, Javier de Burgos</t>
  </si>
  <si>
    <t>Javier de Burgos de Coruña</t>
  </si>
  <si>
    <t>…esario para su cum contente se ha dignado nombrar subdelegado principal de Fonteo-plimientos Está rubricado de la Real manos En Aran juez á 14 to de la provincia de Aviló á D. Francisco Agustín Srtvela : de], de Abril de 18 34-—A D. Javier de Burgos. de Coruña á D. Antonio Loriga, confiriéndole este encargo en comisión: de la de Cuenca á D. Ventura de Córdoba: d&amp;b$ Habiéndome dignado aprobar en esta fecha la Ordenanza ge Logroño á D. Pío Pita Pizarra: de la de Lugo á D. Laureano Gu neral de los presidios del reino, é instituyéndose en ella el destino tié…</t>
  </si>
  <si>
    <t>de Cosío, Juan</t>
  </si>
  <si>
    <t>Juan de Cosío</t>
  </si>
  <si>
    <t>…icio. St&gt;lo á Zalamea se comunicó el contagio por providen- Manuel Magniller. Fueron examinados de aritmética D- Andrés de Castro, cras de aquella ciudad que oportunamente se ha destruido ¿ b neficio de medidas D. Amonio Araujo , D. Juan de Cosío, D. Nicolás Mena, D. Pedro Tajonetamurias, aislando el mal en su origen, de que V- t. tiene cumplido conoci ra, D. Eduardo Valle, D. José María A bel la, D. Anacido Martí, D. Ma miento. En dos pueblos ma* de la provincia se han presentada uno ó dos casos nuel Fuertes , D. Joaquín Acevedo , D. Manue…</t>
  </si>
  <si>
    <t>de Costa, Alvaro</t>
  </si>
  <si>
    <t>Alvaro de Costa</t>
  </si>
  <si>
    <t>…arlos mas. La Corto rigió que se cita én el-orticuio que eentecedr. * "í Francia y 1 a .Gran-Bretaña na declararán la gitéznpor haberse quebrantado el pacto federal, ni la paz será alterada por haberse modificado un punto particu D. Alvaro de Costa , del consejo de S. M. F., gobernador y capitán gene— lar de la Confederación germánica; pero no sé echarán en olvido ni la ocupa ral de las islas de Madera y de Porto-Santo, yo Duque de Btaganza, regenté ción de Francfort por las tropas federales, ni la abofician de los privilegios de del reino a…</t>
  </si>
  <si>
    <t>de Cova, José</t>
  </si>
  <si>
    <t>José de Cova</t>
  </si>
  <si>
    <t>…cargaron á caballo. del actual desde Vergara , se me dice lo siguiente: Por lo mismo la merecen todos los montados , entre los que se Excmo. Sr. :-El brigadier D. Gaspar de Jáuregui, gefe de la hallaban el gefe de la plana mayor D. José de Cova, D. Joaquín 1.a brigada de la 3.a división de mi mando, me da parte en 6 del Sanz de Mendiondo, el oficial de la plana mayor D. Manuel Ro actual de la acción que sostuvo contra los rebeldes en las inmedia-, drigue/ I-ito, mis ordenanzas, que se componen de patriotas mon dones de Astigarraga y Oyarz…</t>
  </si>
  <si>
    <t>de CoZar, José López</t>
  </si>
  <si>
    <t>José López de CoZar</t>
  </si>
  <si>
    <t>…Francisco Martínez de la Rosa, Presiden Mariano de la fuente; á D. Fernando López de Sagredo, qüc ac te del Consejo de Ministros. tualmente lo soh de la misma; á D. José Vecino/ fiscal de k&gt; ci vil dé la audiencia de Búrgos, y á D. José López de CoZar y i Eli atención á los extensos conocimientos en la ciencia de la D. António Fernandez del Castillo, oidores cesantes con sueldo: administración y demas cualidades1 que adornan á D. Juan Alva- por la clase de alcaldes á D. Andrés MasegoSa; á D. Francisco iez Gueíra, he venido en nombrarle para la pla…</t>
  </si>
  <si>
    <t>de Craúrza, Manuel</t>
  </si>
  <si>
    <t>Manuel de Craúrza</t>
  </si>
  <si>
    <t>…a sin otros datos que los apuntes particulares de los Secretarios , y los . D. Francisco Redondo , del Consejo supremo de España é Indias.. 500 que habiltvqjtítíldoP detener *n" la1 memoria; püe4‘rfo habiendo asistido loé taquí . D. Manuel de- Craúrza por ahora 2uü_rs., y mentalmente 20 desde grafos ¿’fosésloh f no hábia bfrd medio de redactor el acta*; y por consiguiente l.° de Agosto............................................................................................. 200 era dnoulpabié algún -Ugero^descuido 1 que por lo demas la secret…</t>
  </si>
  <si>
    <t>de Cuadros, Manuel</t>
  </si>
  <si>
    <t>Manuel de Cuadros</t>
  </si>
  <si>
    <t>…iones, y el aumento de fuerza dado á estas , el ministro añade: á^Dv.Antonio Torres y Chacón para Santiago; á D. Joaquín de Pal » El gobierno cree que en las circunstancias actuales.es prudenteljia#ny»r ma y Vinuesa pata Laliu; á D. Manuel de Cuadros para Puen- este aumento de fuerzas, ocupar el terreno durante la primavera , y conservar teareas; á D. Agustin Armendariz para Tuy; á D. Francisco Mon- nuestro ejército sobre las armas, ínterin el de Holanda permanezca en pie de íeo para Taboada; á D. Juan de Mata Albarado para Sarria; á guerra com…</t>
  </si>
  <si>
    <t>de Cuba, Ma</t>
  </si>
  <si>
    <t>Ma de Cuba</t>
  </si>
  <si>
    <t>…interior y el , «La Cámara de los Pares se lisonjea de que los demas gobiernos de Euro rango que debe ocupar la monarquía española. Hé aquí, habitantes de la isla pa# que todos sin excepción reconocieron anteriormente á la Señora-Doña Ma de Cuba, cuáles han de ser las ocupaciones de vuestro capitán general para cor ría u por Reina de Portugal , restablecerán sbs relaciones diplomáticas con el responder á la Real confianza; y cuando las atribuciones de mi destino no me gobierno de dicha Señora, cuyo trono se halla-hoy restaurado; y espera ,…</t>
  </si>
  <si>
    <t>de Cüeltar, José María</t>
  </si>
  <si>
    <t>José María de Cüeltar</t>
  </si>
  <si>
    <t>…Real Persona, celebrando asi un dia de tan gloriosos recuerdoí para- ta-nación. Jaén 29 de. Setiembre de 1834*=Ei di El amor i su Soberano es el distintivo de la Real sociedad de amigos del rector, José María Sánchez Chavés.r=El secretario, José María de^Cüeltar.—---- país de esta capital: erigida por el virtuoso Cirios nt, protegida porjsu au gusto hijo Carlos iv, y honrada por el Sr. D. Fernando vn (Q. E. G. E.), ha desempeñado el objeto de su instituto sirviendo al Rey y i la Pátria: todos ios años en los dias de S. M. ha celebrado sesión pfiblica para p…</t>
  </si>
  <si>
    <t>de Cv, Previente</t>
  </si>
  <si>
    <t>Previente de Cv</t>
  </si>
  <si>
    <t>…lo juzga por ta atmósfera que le rodea- El que e ú en El Sr. López: «Tomo la priabra de nuevo para deshacer rmas equirocacío» d círculo de uoa sociedad reducida , cree que toda la,Nacipn piensa como él- El res que ha pidecí-io el Sr. Previente de* Cv»mejo de M’r.istro^, v que han rido v^e está en una reunión clandestina, cree que la opinión general es- la que'rei- 1 el tWo ¿íditénto sobre que fia levantado la obra de tu discurso. Ha dicho qu*</t>
  </si>
  <si>
    <t>de D, Viuda</t>
  </si>
  <si>
    <t>Viuda de D</t>
  </si>
  <si>
    <t>…sta capital recibirá las posibles mejoras luego que su D. Antonio Espinosa..........................................................................1. 300 ayuntamiento me remita el presupuesto de las obns uue en ella deberán ha ■ Sra. Viuda de D. é H............................................................................. 2ü0 cerse. Sres. Arratia y sobrinos......................................... ................................. 3000 Se han dado las disposiciones oportunas para la recomposición del cami Sra. Viuda de Balez............…</t>
  </si>
  <si>
    <t>de Debates, Diario</t>
  </si>
  <si>
    <t>Diario de Debates</t>
  </si>
  <si>
    <t>…habia recibido la noticia cen de importancia política, y que va á ser conducido á la frontera de Suiza, de que el 25 de Junio Mehemet-Alí había pacificado la Siria, concediendo un adonde ha manifestado que desea retirarse. perdón general. (Diario de Debates.) «... .El Tiempo, dice que la vuelta de Mr. Talleyrand á París es una confir mación de las noticias de haberse concluido una convención añadida al&lt; trata do de 22 de Abril para la pacificación de la Península. ESPAÑA. Madrid 13 de Setiembre. u . .Según el Constitucional se cree generalmente que el…</t>
  </si>
  <si>
    <t>de Des, Secretar.u de Estada y</t>
  </si>
  <si>
    <t>Secretar.u de Estada y de Des</t>
  </si>
  <si>
    <t>…menor edad regirá la monarquía S. M. mis sentimientos. Dus guarde a A . h. mudi-u ifo., 11..re &gt;, D.wiemb - e 1.1 -i g. la Reina Madre Doña María Cristina en calidad de Regenta Gobernadora, =lg nació , arzobispo de Búrgos.=Ewno. Sr. Secretar.u de Estada y de. Des y también los ejemplares del manifiesto que ha publicado S. Al., declarando á pacho de Gracia y Justicia. todos el sistema de política interior y exterior que se propone seguir durante su regencia. Excmo. Sr.: He recibido el juego de monedas de plati de las ac..ñi'es un En medio del dolor y de la sor…</t>
  </si>
  <si>
    <t>de Diciembre, Tysz Cádiz</t>
  </si>
  <si>
    <t>Tysz Cádiz de Diciembre</t>
  </si>
  <si>
    <t>…s polacos que habían venido de diversos puntos de Francia, y un gran número de habi ESPAÑA. tantes de Valenqay, sé reunieron al acompañamiento, y detrás iban 200 po bres vestidos por Mr. de Talleyrand. Los despojos mortales de la princesa Tysz- Cádiz \2 de Diciembre. kiewicz fueron colocados en Ja bóveda de la'capilla de las hermanas de la ca ridad de Valenqay, establecimiento fundado por el príncipe de Talleyrand, y Real sociedad económica gadítana-=:Invítada esta sociedad por el Sr. Go ai cual hacia la princesa abundantes limosnas. A las once se celebraron la…</t>
  </si>
  <si>
    <t>de Dilueta, D Pedro Juan</t>
  </si>
  <si>
    <t>D Pedro Juan de Dilueta</t>
  </si>
  <si>
    <t>…interesante ¿poca de 1688 , empieza en el reinado de Jacobo tt, y merecía tener por historiador á uno de los mas célebres publi cistas moderno*. ELECCION DE PROCURADORES DEL REINO. raANctA. VIOVINCIA BB cLsts, Toloñ 12 ele Jimio. Sr. D. Pedro Juan de Dilueta. La corbeta la Durance, mandada por M. Miegevílle, capitán de corbeta, Sr. D. Francisco Domecq y Víctor, áaíió de Sona el S dé este, llegó aquí el &gt;0 después de beber deseenbarez- Sr. D. Francisco Zapata y Bueno. 124 pasageros en Marsella. Sr, D. Francisco Javier Ulloa. El buco de vapor del Litado la C…</t>
  </si>
  <si>
    <t>de Dilueta, Pedro Juan</t>
  </si>
  <si>
    <t>Pedro Juan de Dilueta</t>
  </si>
  <si>
    <t>…resante ¿poca de 1688 , empieza en el reinado de Jacobo tt, y merecía tener por historiador á uno de los mas célebres publi cistas moderno*. ELECCION DE PROCURADORES DEL REINO. raANctA. VIOVINCIA BB cLsts, Toloñ 12 ele Jimio. Sr. D. Pedro Juan de Dilueta. La corbeta la Durance, mandada por M. Miegevílle, capitán de corbeta, Sr. D. Francisco Domecq y Víctor, áaíió de Sona el S dé este, llegó aquí el &gt;0 después de beber deseenbarez- Sr. D. Francisco Zapata y Bueno. 124 pasageros en Marsella. Sr, D. Francisco Javier Ulloa. El buco de vapor del Litado la C…</t>
  </si>
  <si>
    <t>de Dios, D Juan</t>
  </si>
  <si>
    <t>D Juan de Dios</t>
  </si>
  <si>
    <t>…r armas y alentar el espíritu de los pueblos: expresar su gratitud y la de sus compañeros á los socios sus bienhechores, á que que las facciones de Alava y Guipúzcoa se hallaban, según noticias que tenía, siguió una alocución del Sr. D. Juan de Dios, manifestando la utilidad de las en Alsasua : que el barón del Solar permanecía en Sornosa con sus tropas: que sociedades económicas y el beneficio que reportan á las artes y ciencias. Todos en el mismo día había sido pasado por las armas en Vitoria el alférez Pedro los espectadores quedaron satisf…</t>
  </si>
  <si>
    <t>de Dios, Juan</t>
  </si>
  <si>
    <t>Juan de Dios</t>
  </si>
  <si>
    <t>…mas y alentar el espíritu de los pueblos: expresar su gratitud y la de sus compañeros á los socios sus bienhechores, á que que las facciones de Alava y Guipúzcoa se hallaban, según noticias que tenía, siguió una alocución del Sr. D. Juan de Dios, manifestando la utilidad de las en Alsasua : que el barón del Solar permanecía en Sornosa con sus tropas: que sociedades económicas y el beneficio que reportan á las artes y ciencias. Todos en el mismo día había sido pasado por las armas en Vitoria el alférez Pedro los espectadores quedaron satisf…</t>
  </si>
  <si>
    <t>de Echague, Rafael</t>
  </si>
  <si>
    <t>Rafael de Echague</t>
  </si>
  <si>
    <t>…este clima; de consi fugados; sin que nuestra pérdida haya sido mas que la de seis heridos, que son: guiente hay un dia de diferencia de mi cuartel general i la situación diaria de d subteniente de la 2.a compañía de voluntarios D. Rafael de Echague, el sar I05 anteriores cuerpos, y de U vanguardia dos. que sigue la propia ruta y di gento de la 1.a Mariano Landa y el voluntario de la 4-a Juan Rodríguez, el chos tránsitos, siendo cl mío de mañana 9 á Trujíllo, el de pisado lo á Casas subteniente de celadores de Vergara D. Juan Ignacio Artola, l…</t>
  </si>
  <si>
    <t>de Echaudia, Ignacio</t>
  </si>
  <si>
    <t>Ignacio de Echaudia</t>
  </si>
  <si>
    <t>…neficiado de ganizado el primer batallón, que por la fuerza de que consta, por Mungia en la misma: D. Juan Antonio de Orbegozo, beneficiado la bella disposición de sus individuos, y por el entusiasmo de que de Mungia en la misma: D. Ignacio de Echaudia, beneficiado de los he visto animados, prorumpiendu en alegres-viva» á nuestra i Deusto, y D. Juan Miguel de Azcué, beneficiado y cura de Arri- amada Reina y á su augusta Madre Gobernadora, es ya un bri | gorriaga. Y es mi voluntad que esta providencia gubernativa se pu llante testimonio de lo que…</t>
  </si>
  <si>
    <t>de Echavarri, Juan</t>
  </si>
  <si>
    <t>Juan de Echavarri</t>
  </si>
  <si>
    <t>…sivamente arrojadas por las columnas destinadas al efecto. El co tajoso de aprender nuestro nomenclátor con menos fatiga de la memo ria; y Espada podrá gloriarse de ser la primera que tiene un tratado mandante de la de Trasmiera D. Juan de Echavarri, sabedor de que gramátical de sus nombres topográficos, resultado de prolijas Investi en las alturas de S. Bartolomé se-hallaba una pequeña gavilla, en gaciones y largos trabajos. Véndese á 10 rs., en esta corte, en las li vió contra elln al sargento D. Fernando Crespo, que con 12 caza brerías de S…</t>
  </si>
  <si>
    <t>de Ecreus, J</t>
  </si>
  <si>
    <t>J de Ecreus</t>
  </si>
  <si>
    <t>…n de sus funciones de director general del administración que tengan más necesidad de un aumento de sueldo, sometien departamento de guerra, desde el 30 de este mes, á S. E. el teniente general do las listas á nuestra aprobación. D. J. de Ecreus, nombrado teniente generalde nuestras Indias; y trae también el nombramiento de S. E. el general H. R. Tr-ip, director del departamento SUECIA. i del gran maestre de artillería, como director general interino del departamento Stockolmo 16 Je Setiembre, de la guerra. suIza. . Según ios partes oficia…</t>
  </si>
  <si>
    <t>de Eguía, Francisco</t>
  </si>
  <si>
    <t>Francisco de Eguía</t>
  </si>
  <si>
    <t>…uézabal, benefi V. E- por la adjunta copia; y habiéndose después procedido á la ciado de Gamíz en la misma: D. Juan Cruz de Goyri, beneficia oportuna formación de compañías, ha quedado definitivamente or do de Deusto en la misma: D. Francisco de Eguía, beneficiado de ganizado el primer batallón, que por la fuerza de que consta, por Mungia en la misma: D. Juan Antonio de Orbegozo, beneficiado la bella disposición de sus individuos, y por el entusiasmo de que de Mungia en la misma: D. Ignacio de Echaudia, beneficiado de los he visto animados, pror…</t>
  </si>
  <si>
    <t>de Éguizabál, Pío</t>
  </si>
  <si>
    <t>Pío de Éguizabál</t>
  </si>
  <si>
    <t>…que es pasearse sobre las, ruinas de.España como una tri-,, Salla, D. Justo de- Acha, D. Pedro Pick, EX Pedro Toluaga, bu de tártaros sobre los. desiertos de Escitia. Aquel horrendo plan - O. Julián Unzueta, D. Julián de Ugaldc y D. Pío de Éguizabál. que desbarató la prudencia de Fernando vil y de la parte ilustrada de su ministerio, quieren reproducirlo ahora: y ya se've que no , puede lograrse sino matando y exterminando. bolsa be comercio.__Cotización de hoy d las tres de la -tarde. Pero el gobierno de S. M. mira como españoles hasta á los,…</t>
  </si>
  <si>
    <t>de Eitado, Secretario''del Despacho</t>
  </si>
  <si>
    <t>Secretario''del Despacho de Eitado</t>
  </si>
  <si>
    <t>…a votación del Estamento son las economías propuestas por la co cio. El contrato es recíproco. misión , dejando á un lado todos los demas pormenores.” y/. »Mi opinión seria, pues, que la reducción, caso que la adoptase el Esta El Sr. Secretario''del Despacho de Eitado: "Me parece que el órden mento, fuera sucesiva, y se confiase al celo é inspección del Gobierno, vo exige que se ponga priirrero'á" votación lo que el Gobierno propone. Este hi tando por ahora el presupuesto del añp_próximo, según el pie y fuerza efecti modificado su primera propuesta / en uso del…</t>
  </si>
  <si>
    <t>de Eixalá, José Banguells</t>
  </si>
  <si>
    <t>José Banguells de Eixalá</t>
  </si>
  <si>
    <t>…y á D. Paldo bajo la especial vigilancia «le la justicia respectiva: y al impresor (S Santafé: en clase de alcaides del crimen á D. Francisco de Paula persona que facilite la multiplicación de los ejemplares de aquellasVaqupr, á D. José Banguells de Eixalá, á D. Felipe Martínez Motápeles se le aplicarán inmediatamente ¡as penas impuestas por las retin, á D. Antonio Veas, y á D. Ramón María de Arrióla y Esmiieyes de la imprenta á los contraventores, publicándolo en la Gacetavel: y para fiscales, á D. Pedro Pasdasio Galvo, de lo civil, y á Don de Madri…</t>
  </si>
  <si>
    <t>de El, Carlos María Isidro</t>
  </si>
  <si>
    <t>Carlos María Isidro de El</t>
  </si>
  <si>
    <t>…siendo la que ha sufrido mas la biblioteca dei presidente de esta últiarreglo á.lo que previene él artículo 55 del Estatuto Real, un pro ma. La sala de VY estminter ha quedarlo intacta. vecto de lev relativo á excluir al Infante D. Carlos María Isidro de El fuego empezó entre seis y «icíc de la noche del 16, y duraba todavía Borhon v á toda su línea de sus derechos eventuales á la sucesión de á las cinco Cvfla mañana del 17, aunque ya entune,-s no se temía que se ex la corona; y habiendo sido aprobado dicho proyecto de ley por am tendiese mas. Nunca s…</t>
  </si>
  <si>
    <t>de El, Jacobo María</t>
  </si>
  <si>
    <t>Jacobo María de El</t>
  </si>
  <si>
    <t>…nte; duque de Veraguas, id.; D. Gaspar -Vigoáet, ídem; conde Armildez de Toledo; D. Miguel Tacón; D. Manuel Freiré; D. Caye marque» de VüUfucrtcs, id.; y duque de Zar.i¿o^a. tano Valdés; marques del Cerro; conde de Villanueva , y D. Jacobo María de El br. Presidente del Consejo de Mu.isiro» ie\ó un Real decreto expedi ^arga , con Real licencia. do por crl Sr, Secretario de Grdcia y Justicia, por d cual *c dignaba S. M- so * También se leyó la de los Señores que componen las siguientes comi meter á la deliberación del tutaniento de íIusítl» Frier…</t>
  </si>
  <si>
    <t>de El, Martínez</t>
  </si>
  <si>
    <t>Martínez de El</t>
  </si>
  <si>
    <t>…eargado de la redacción; pero lo que fi ó parte de la misma, habrá variaciones que convenga hacer para evitar los erro ja la voluntad del Estamento es la parle última. res que puede tener , de los cuales ha citado ya uno el mismo Sr. Martínez de «El dictamen de la comisión puede abrazar uno , dos ó mas artículos, la Rosa. Para evitar estos inconvenientes me parece que se debe preguntar si como consecuencia de las razones que se han presentado; pero no por esto se ha lugar á votar la petición en su totalidad; y después se pueden ir leyendo los…</t>
  </si>
  <si>
    <t>de El, Nicolás</t>
  </si>
  <si>
    <t>Nicolás de El</t>
  </si>
  <si>
    <t>…siciones do las García Luna; teniente*, D. José Faldera; D. José Oriol Despajo!: alférez -autoridades. ccs, D. Miguel Azígra ; D. darlos Fanch ; D. í oren/r* Smuhs. Soria , 9.° de linca =1 enicntc , D 1c nací o V: ñcd alféreces , D. Nicolás de El comandante genera! de Asturias avisa con la misma fecha hallarse aquel ll Fax, herido . v D. Jo-*e Antonio luri rt: D. Manuel Espada: D. Sumías principado en completa tranquilidad , y que los facciosos que compusieron las Chaquetón ; D. Joaquín Alberti, D. Angel Prat. D. Nicolás fiedano; D- Luij</t>
  </si>
  <si>
    <t>de Elguézabal, Ignacio</t>
  </si>
  <si>
    <t>Ignacio de Elguézabal</t>
  </si>
  <si>
    <t>…ado cpmandante y oficiales nombrados porS.M. la Reina Gobernadora," en Guipúzcoa: D Pascual de Ibarzabal, beneficiado y cura dcFru- dirigiéndoles con este motivo la palabra en los términos que verá niz en la provincia de Vizcaya: D. Ignacio de Elguézabal, benefi V. E- por la adjunta copia; y habiéndose después procedido á la ciado de Gamíz en la misma: D. Juan Cruz de Goyri, beneficia oportuna formación de compañías, ha quedado definitivamente or do de Deusto en la misma: D. Francisco de Eguía, beneficiado de ganizado el primer batallón, que por la…</t>
  </si>
  <si>
    <t>de Elizalde, Bernardo</t>
  </si>
  <si>
    <t>Bernardo de Elizalde</t>
  </si>
  <si>
    <t>…tito Real de id. 74¿» Renta per Por Real decreto de 9 de este mes se ha servido S. M. la Reiva Gober petua de id* 61¿ nadora conferir en nombre de su augusta Hija Doña María Isabel. 11 la in tendencia de la provincia de Sevilla á D. Bernardo de Elizalde, que servia en cXwara de los pares__ Sesión del dia 22. comisión la de Extremadura. Esta á D. Pascual Genaro de Rodenas, que ser Aprobada el acta de la última sesión, lee el Sr. Villemain el elogio fúne via la de Málaga. Estaá D. Diego de Aguirrc , que desempeñaba la de Cuenca. bre? del Sf. Agustín…</t>
  </si>
  <si>
    <t>de Emparan, Ignacio</t>
  </si>
  <si>
    <t>Ignacio de Emparan</t>
  </si>
  <si>
    <t>…ente: Excmo. Sr : El brigadier D. Cáric» Emilio, coronel del regi / jante general de la división EX Joaquín Sanz de Men Hondo; el ayudante de miento infantería, 13 de línea, con fecha l.3 del comente, desde Andorra m© plana mayor D. Ignacio de Emparan; el subteniente adicto á ella Ó. Leandro dice lo que vopio. Excmo. Sr. El capitán de e»tc regimiento de mi cargo Don Bcrnabea, sobresaliendo por su tino y oportunidad en comunicar las órdenes; Juan Hostal me dice desde Alcaine con fecha de ayer lo siguiente; Habien cl alférez adicto también D. Manu…</t>
  </si>
  <si>
    <t>de Encienda, Secretarlo del Despacho</t>
  </si>
  <si>
    <t>Secretarlo del Despacho de Encienda</t>
  </si>
  <si>
    <t>…rvió de cebo paca que: se interesasen en él una porción de: pequcñcs capitalistas, El Si. Gil de la Cuadré dijo. que. le parecía haber bldo bien cuando el »Ha dicho el ilustre Prócer.qtte.nada que pudiera menoscabar nuestra in— ■ Sr. Secretarlo del Despacho de Encienda- habia hablado de este asunto, y , que dependencia debía servir de motivo para tomar una resolución forzada. Esté es. ñor lo tanto no oreja haber padecido equivocación. «En cuanto á lo que se dice, un principio digno dé S. E. ; pero Una cosa es qué el Gobietqb no sufra ningu ae los tenedores del pap…</t>
  </si>
  <si>
    <t>de Enero, Antonio María Las Berlín IX</t>
  </si>
  <si>
    <t>Antonio María Las Berlín IX de Enero</t>
  </si>
  <si>
    <t>…riz el mariscal Maison y su comitiva. tante adhesión hasta verter la última gota de su sangre en defensa de V. M. v de su R eiva Doña Isabel ii. Matanzas 7 de Diciembre de 1833-zzSeñor.i.zz A L. R. P- de V. M.zrFrancisco Narvaez, gobernador.^Antonio María Las- Berlín IX de Enero. cano de Palacios , alcalde primero.zzjosef María de Torres, y Lima, alcalde se El ministro Ancillon continúa siempre indispuesto; y aunque su enferme gundo.=Juan de Dios Gómez, regidor alférez Real.nGerónimo Esteres, re dad, como hemos dicho anteriormente, no sea de cuidado, sin embarco le im gidor…</t>
  </si>
  <si>
    <t>de Erlon, Drouet</t>
  </si>
  <si>
    <t>Drouet de Erlon</t>
  </si>
  <si>
    <t>…dad con grande pompa. Inmediatamente fue i la iglesia colonia seri un militar, y no un funcionario civil: el gobierno ha sido confemetropolitana, donde se cantó un solemne Te Detsm eoí presencia de todas las &gt; al teniente general conde Drouet de Erlon, el cual ya ha dejado el man 1 autoridades, y r*M* asm ceremonia el Príncipe recibió en palacio tas felici-’ do la duodécima división militar, para hacer sus pcepantivte de marabú, tackmstde los grandes funcionarios del Estado. Por la noche hubo una brillan general Drouet vació en Rheims en 1765, y…</t>
  </si>
  <si>
    <t>de Erro, Jujn</t>
  </si>
  <si>
    <t>Jujn de Erro</t>
  </si>
  <si>
    <t>…una máxima tan perniciosa y opuesta á dichos principios? gencia , y examinado, se aprobó eí dia 8 , y el 16 se extendió la órden, cuya No habría nada fijo, nada estable. No, señores, vuelvo á repetir que no en- minuta, puesta por D. Jujn de Erro, existe original. Es de notar que el último cucntro hayan mudado las circuntancías. No se han presentado razones de tal artículo decía que no seria recíprocamente obligatorio el contrato hasta pasado naturaleza que nos puedan hacer cambiar; si no escuchásemos esta voz que nos un mes. persigue en nu…</t>
  </si>
  <si>
    <t>de Erv-boa, Cirios María Lidro</t>
  </si>
  <si>
    <t>Cirios María Lidro de Erv-boa</t>
  </si>
  <si>
    <t>…e por el medio mas bieve se ha do, contiene dos artículos, por el primero de los cuales se d-cUra quedar ex*- ga entender i loi expresados señores se presenten á desempeñar su respectivo cluido de la lucesioa i U co ona-de E*paña D. Cirios María Lidro de Erv-boa encargo. Que los que han estado enfermos lo verifiquen en cuanto su salud y Borbon y toda su descendencia . y par el secundo se establece que D. Cirio» se lo permita: que los que no han venido por el cólera, están ja en el caso y su descendencia quedan privados de la facultad de volver á íes domini…</t>
  </si>
  <si>
    <t>de Esf, Cárh</t>
  </si>
  <si>
    <t>Cárh de Esf</t>
  </si>
  <si>
    <t>…s Sarmentó, lugar tos y rebeldes de la corona de España-, y deseosas SS. MM. al mismo tiempo del sello. &lt;* la paífcnJtd|¡orB y que rMÚ effic fimfeslfesíado,,, hir/ i naido rcuaír^,. iu5 fuerzas con el objeto de compeler aT infame D. Cárh5^'de"3Esf&gt;afia, y al ' 5.° infante D. Miguel de Portugal, 4 retirarse de los dominios portugueses. ‘7^NÚMERO En consecuencia, pues, de estos convenios, S$. MM. Regentes se han di rigido á SS. MM. el Rey de los franceses y al Rey del reino' unido de la Copias ríe las-instrucciones circuladas con fecha ii de F…</t>
  </si>
  <si>
    <t>de España, Alaría El Pretendiente</t>
  </si>
  <si>
    <t>Alaría El Pretendiente de España</t>
  </si>
  <si>
    <t>…España hacen que necesite á todos sus hijos: el brazo de «tos no puede dejar se. someten. D. Miguel Lu.c; todas las provincias le abandonan, y procum.mde acudir á su socorro; han peleado con harto denuedo en nuestras filas para á Doña Alaría. El Pretendiente de España, lleno de espanto y turbación , r.ono querer derramar su sangre á fin de redimir y pacificar á su patria. Aquella hallando va donde pisar dentro de Portugal, so o busca, por mediación Jclbandera que pusisteis en sus manos, recuerdo de tantas antiguas gloria*, y en embajador ingles, un puerto en que…</t>
  </si>
  <si>
    <t>de España, Carlos</t>
  </si>
  <si>
    <t>Carlos de España</t>
  </si>
  <si>
    <t>…rán después am potenciarios de las cuatro Potencias aliadas que en bas Partes contratantes, con el objeto de cooperar con las de S. M. Fidelísima, á fin de liacer retirar de los dominios portugueses á los él se expresan. Infantes D. Carlos de España, y D. Miguel de PortugalobligánS. M. la Reina Gobernadora y Regente de España durante . dose ademas S. M. la Reina Gobernadora, Regente de España, ,i la menor edad de su Hija Doña Isabel ii, Reina de España, y mantener por cuenta de la España y sin gasto alguno del Portugal, S. M. I. el Duque de Br…</t>
  </si>
  <si>
    <t>de España, Cirios</t>
  </si>
  <si>
    <t>Cirios de España</t>
  </si>
  <si>
    <t>…s, y la veneración y el contratantes, con el objeto de cooperar con las de S. M. Fidelísima, á hn de amor á sus Reyes, que consagran como por instinto á los hijos de sus Mo hacer retirar de los dominios portugueses á los infantes D. Cirios de España y narcas. D. Miguel de Pottugal; obligándose ademas S. M. ia Reina Gobernadora, Para cumplir con una formalidad y requisito, respetable también por sa Regente de España, á mantener por cuenta de la España, y sin gasto alguno antigüedad , y no menos provechoso para afirmar la cadena de la sucesión al…</t>
  </si>
  <si>
    <t>de España, Gobernadora</t>
  </si>
  <si>
    <t>Gobernadora de España</t>
  </si>
  <si>
    <t>…Emperador Nicolás ha dispuesto, según anuncia el periódico oficial de Constitucional. Con admiración mezclada de gratitud hemos leído el dis Varsovta , que los polacos prisioneros en Rusia podrán casarse con la condi curso de la Reina'Gobernadora de España , hablando claramente de los dere ción de que sus hijos sean educados en el seno de la Iglesia griega. (O. de F.) chos de la nación. Desde el principio se descubre la intención del ministerio, que hasta aquí ha sido consiguiente en todos sus actos, de unir lo presente con ------ Conforme al ultimo…</t>
  </si>
  <si>
    <t>…embarcado e-te a’gunos centenares de" marinos para hacerlos maniobrar en la A T conde de Toreno. playa , 7 lord Ponsomb7 desaprobó la conducta del capitán , 7 le dió Orden da 2? buscar otró sitio donde ejercitar á sus marinos. La Reina Gobernadora de España acaba de ser reconocida por la Puerta. Como la experiencia haya enseñado que la institución de los visitadores de Rentas no ha servido por desgracia para llenar, bajo HOLAN. A. el pie en que se hallan, las miras benéficas que se propusiera al El Haya 13 2/ Agosto. erearia mi mnv amado v augusto Esp…</t>
  </si>
  <si>
    <t>de España, Gobernadora y Regente</t>
  </si>
  <si>
    <t>Gobernadora y Regente de España</t>
  </si>
  <si>
    <t>…su jxxler para obli mo su Embajador en la de Paris, se ha dignado mandar la augusta gar al Infante D. Carlos á retirarse de los dominios portugueses. Reina Gobernadora que se ponga inmediatamente en conocimiento’ Art. 27 S. M. la Reina Gobernadora y Regente de España, del público esta transacción importante, que aGanza mas y mas el durante la menor edad de su Hija Doña Isabel ii , Reina de Espa triunfo del legítimo trono, y que ha de influir tan poderosamente en ña , rogada é invitada por el presente acto por S. M. I. el Duque de la completa pacificación de est…</t>
  </si>
  <si>
    <t>…igar al infante ley primitiva, venerable por su antigüedad , y por mil gloriosos recuerdos. D. Carlos á retirarse de los dominio* portugueses. En vista de estos poderosos motivos; no dudó el difunto Monarca el Se Arf. 2.° S. M la Reina Gobernadora y Regente de España, durante la ñor D. Fernando vii mandar que se promulgase, con la debida solemnidad p . menor edad de sü Hija Doña Isabel ii , Reina de España, rogada é invitada requisitos, el acuerdo de las citadas Cortés; el cual no era*4 su vez sino la res por él presente acto por S. M. I. el duque de Braganza,…</t>
  </si>
  <si>
    <t>…ebrado en Londres Abril de í83¿, debiendo ser considerados como parte del mismo: y el 22 de Abril de 1854. serán ratificados, y sus ratificaciones cangeadas en Londres en el término de 40 dias, ó antes, si fuese posible. S. M. la Reina Gobernadora y Regente de España, durante la En fe de lo cual, los respectivos plenipotenciarios los firmaron menor edad de su Hija la Reina Doña Isabel ii, S. M. el Rey de y sellaron con el sello de sus armas. los franceses, S. M. el Rey del Reino Unido de la Gran Bretaña é Dado en Londres á 18 de Agosto del año de Nuestro Señor…</t>
  </si>
  <si>
    <t>de España, Presidente del Consejo Real</t>
  </si>
  <si>
    <t>Presidente del Consejo Real de España</t>
  </si>
  <si>
    <t>…todos los pueblos de Na párta. deben prestar á naestia Rema y Señora Doña Isabel ti. De Real órden &amp;c. Carabanchel 23 de Junio de 1834.=N iColas Má- . Art. 19. Después de pronunciadas dichas palabras, se principiará ría Garelly.=Sr. Presidente del Consejo Real de España, é Indias; - el acto, permaneciendo en pie todos los Proceres y Procuradores del Reino, y leyendo el R. Patriarca de las Indias la siguiente fórmula ministerio de lo interior. de juramento : Con arreglo d lá práctica inmemorial de estos Reinos, Real órden&gt; d lo que previenen las antiguas leyes jund…</t>
  </si>
  <si>
    <t>de España, Presidente’del Cñnséjo Real</t>
  </si>
  <si>
    <t>Presidente’del Cñnséjo Real de España</t>
  </si>
  <si>
    <t>…os agraciados. De Real orden «ne de los hechos por sí mismo , y tomar las ifi«pnrirír|mf lipiztafiti' lo digo «V- E. para su inteligencia y fines consiguientes. Dios &amp;c. San Ildefonso 16 de Julio de 1834.=Ni colas María Ga relly.=Señor Presidente’del Cñnséjo Real de España é Indias. Sema 18 de Junio. El Comtitiuiottal de Neufckatel trae nuevos documentos-Sobre la suiza. Empieza por la carta del directorio federal i S. M. el Rey de Cordeña, el discurso que le hicieron los dos diputados MM. Aigaud y de la Hsrpe. y las seguridades de benevolencia dadas por el Soberano.…</t>
  </si>
  <si>
    <t>de España, Regente</t>
  </si>
  <si>
    <t>Regente de España</t>
  </si>
  <si>
    <t>…io. _ Al efecto, SS. MM. han tenido á bien nombrar como Plenipo nación entera, sobre la que la divina Providencia la ha llamado á reinar, declara su intención de publicar al mismo tiempo una am tenciarios, á saber: , , , S. M. la Reina Regente de España, durante la menor edad de su nistía amplia y general en favor de todos los súbditos de S. M. Fide Hija Doña Isabel ii , Reina de España, á D. Manuel Pando, ter- lísima, que dentro de un término que se señalará , vuelvan á su nandez de Pinedo, Alava y Dávila, Marques de Mirafiores, Conde obediencia…</t>
  </si>
  <si>
    <t>de España, Regenté</t>
  </si>
  <si>
    <t>Regenté de España</t>
  </si>
  <si>
    <t>…fecto S$¿ MM- han tenido á bien nombrar como Plenipotenciarios, do confiarme la augusta Reina Gobernadora , llamó naturalmente mí aten á saber : ción el inesperado retraso que había padecido el reconocimiento de la Reina S. M. la Reina Regenté de España, durante la menor edad de su Hija mi Señora Doña Psabel ii , por parte de algunas Patencias de Europa; retra Doña Isabel n . RtmrAr-dc-EspAiía t á O. Manuel Pando , Fernandez de Pi so tanto opas, inexplicable y extraño, cuanto no se ha alegado para él motivo nedo , A’ava y Divila , marques de MiraB…</t>
  </si>
  <si>
    <t>…ustos^AJiados, y de Negocios en aquella corte, como su embajador en la de Paris, se ha seoso ademas de dar una justa retribución á los empeños contraídos dignado mandar la Augusta Reina Gobernadora que se ponga desde por S. M. la Reina Regente de España en el art. 21 del tratado de luego esta transacción importante en conocimiento del público. ■ 22 de Abril de 1854 , se obliga á cooperar, en caso necesario, en La ratificación , á que se refiere el parte telegráfico arriba in ayuda de S. M. C. con todos los medios que esten á su alcance , y serto,…</t>
  </si>
  <si>
    <t>de España, S M la Reina Regenté</t>
  </si>
  <si>
    <t>S M la Reina Regenté de España</t>
  </si>
  <si>
    <t>…e ha digna Al efecto S$¿ MM- han tenido á bien nombrar como Plenipotenciarios, do confiarme la augusta Reina Gobernadora , llamó naturalmente mí aten á saber : ción el inesperado retraso que había padecido el reconocimiento de la Reina S. M. la Reina Regenté de España, durante la menor edad de su Hija mi Señora Doña Psabel ii , por parte de algunas Patencias de Europa; retra Doña Isabel n . RtmrAr-dc-EspAiía t á O. Manuel Pando , Fernandez de Pi so tanto opas, inexplicable y extraño, cuanto no se ha alegado para él motivo nedo , A’ava y Divila , marques de MiraB…</t>
  </si>
  <si>
    <t>de Espinosa, Vicente Montero</t>
  </si>
  <si>
    <t>Vicente Montero de Espinosa</t>
  </si>
  <si>
    <t>…alasanz, por el P. Francisco Bonada; á 10 rs. en pergamino y 13 ea estragos no eran tan considerables como se temía: elogia el celo y exactitud con pasta—Arte de gramática latina porel P. Calixto Hornero; á 8 rs. en pergamino qué D. Vicente Montero de Espinosa, gobernador militar y político de Alcira, y 10 en pasta.—Elementos de retórica por el mismo, cotí un apéndice del arte de la atiende á todo cuanto tiene á su cuidado, y la escrupulosidad con que se infor histuria; á 8 rs. en pergamino y 10 en pasta.—Elementos de poética por el P. J. c. Lo sada; á 5…</t>
  </si>
  <si>
    <t>de Espolies, Comisario de Cruzada y Colector</t>
  </si>
  <si>
    <t>Comisario de Cruzada y Colector de Espolies</t>
  </si>
  <si>
    <t>…dad y provincia de Schivar , en cuyo empleo supo distribuir co» S M. tuvo la, dignación de dispensar su Real aprecio á los laudables senti tanta destreza las promesas y el dinero ^ que al cabo de poco tiempo consiguió mientos del Sr. Comisario de Cruzada y Colector de Espolies, aprobando sus deshacerse de todos sus rivales y subir al trono, bna vez dueño del poder, hizo propuestas, y mandando que*á loe dos se diesen expresivas gracias en su Real perecer en medio de los suplicios á los señores que tuvieron la osadía de resis nombre, como asi se ejecutó en órdenes de 22 y…</t>
  </si>
  <si>
    <t>de Espronceda, José</t>
  </si>
  <si>
    <t>José de Espronceda</t>
  </si>
  <si>
    <t>…tóricas originales españolas, pasarán cilidad. 1 á recoger el romo 11 de dicha colección, 3«9 de la titulada Sancho Saldaba ó el CVu— Se continúa recaudando de los interesados el repartimiento para la cons tellano de Cuellar, por D. José de Espronceda , y adelantar el importe del 12, á la librería de Escantilla. En la misma se hallan venales las dos primeras novelas de la trucción de la alcantarilla en aquella capital, y en todo el mes quedará con colección, el Primogénito de Alburquerque, y el Doncel de D, Rnrique el Doliente. cluida la obra se…</t>
  </si>
  <si>
    <t>de Est, Prokesch</t>
  </si>
  <si>
    <t>Prokesch de Est</t>
  </si>
  <si>
    <t>…a de los anticuarios, 800: el instituto Real, 758: la sociedad Real de geografía, 520: la de geología, 700: la de Línneo, . ' Vietia 2de Agosto. 600: la de horticultura, 1835 : la de zoología,2446: de astronomía, 320; El teniente coronel Prokesch de Est fia recibida tiií&amp; de estos últimos la de artes,- 19:1a Real de literatura, 271: la Real asiática, 560. días su nombramiento dfe embajador extraordinario y ministro plenipotenciario Se pueden agregar á estas sociedades el colegio de medicina, el de cirugía» de S. „M* el Emperador, cerca de S. M. el…</t>
  </si>
  <si>
    <t>de Esta, Joaquín de Osma.zzExcmo Sr Secretario</t>
  </si>
  <si>
    <t>Joaquín de Osma.zzExcmo Sr Secretario de Esta</t>
  </si>
  <si>
    <t>…es, y que se drene dar cuenta a S. M. corta columna, y emprendí nuevamente la marcha hasta Villabo- D ios guarde á V. E. muchos años. Vitoria 9 de Abril de loS4na. Pasado este pueblo destaqué nuevamente al mencionado Men r=Excmo. Sr.—Joaquín de Osma.zzExcmo. Sr. Secretario de Esta diondo, sobre la posición que domina á Urnieta , y pasado este, do y del Despacho Universal de la Guerra. otra vez para sorprender á Hernani y cerrar el paso á los que pu dieran dar parte á la facción de nuestra esforzada marcha. De este S. M., después de mandar que se den gracias i los valientes m…</t>
  </si>
  <si>
    <t>de Esta, Societario</t>
  </si>
  <si>
    <t>Societario de Esta</t>
  </si>
  <si>
    <t>…stoy muy lejos de variando como varían nuestras antiguas instituciones de las actuales, sin reco querer coartar la autoridad Real, cuya autoridad para sostener el órden segura nocer por ello ese período de grandeza á que alude el Sr. Societario de Esta mente reconozco tanto como el Sr. Presidente del Consejo de Ministros; y sin do, porque querría que me señalase en qué época coexistió la libertad de Es querer vulnerar en lo mas mínimo estas prerogativas, ruego que S. M. (cuando paña con su grandeza y prosperidad, tocaré otra cuestión que h: tocad…</t>
  </si>
  <si>
    <t>de Estada, MihiiUo</t>
  </si>
  <si>
    <t>MihiiUo de Estada</t>
  </si>
  <si>
    <t>…' . . '• &gt; Á.; í-.-' ,l}p'^wrég*do-129 id. \ ; Aprobada . . T' tajoso para el Estada” i', Estadoi- Ün^oi: ministro reuthatc 1Ó09 rs.; conforntés la comisión y . Elfir.cpnde-delasNavaimanrfestóquedaba satbfechocón UexpUcacíoa adel Sr. MihiiUo de Estada v:. , .I.'; •’</t>
  </si>
  <si>
    <t>de Estada, Serretario del Despacha</t>
  </si>
  <si>
    <t>Serretario del Despacha de Estada</t>
  </si>
  <si>
    <t>…res. Procuradores se deben i u mismos en particular y al . ¡tt Sr, Cueita: »Ea la última sesión, tuve el honor da hacer presente lo ’ en general.” ¡ mitino qna:contiene mi:prOposscion,, sin tnas fcrfmalidad que decirlo, porque El Sr. Serretario del Despacha de Estada: —hfe. parece que por_i^ in— '-r &lt;fe hacer et Sr. Presídeme, écte dudr fi rma coatenacion ■ eral queaiendoiati^asuntti intarior del E8tacnento, DO necesitaría Otra ; odas aho- . dicacion que acaba - ra hefotñialirada'diclla proposicion en los término» que se acaba de leer, co- mía i uha indicácíoir…</t>
  </si>
  <si>
    <t>de Estado, Anlomo BaraU Excmo Sr Secretario</t>
  </si>
  <si>
    <t>Anlomo BaraU Excmo Sr Secretario de Estado</t>
  </si>
  <si>
    <t>…rman la miyor masa de los habitantes de esta ciudad. ,F.l subdelegado de la provincial-fe Zamora ha dirigido al ministerio el par* Dios guarde á V. E. muchos anos. Btrcelona 19 de Febrero de 1834 =Exce- te siguiente s , lentísimo Sr.= Anlomo BaraU/^Excmo. Sr. Secretario de Estado y del des Excmo. Sr.: En el parte mensual que tuve-el honor de dirigir á V. E. con pacho universal del ministerio de Fomento del reino. fecha 4 del corriente , incluso eri el oficio número 10 , indicaba el estado lasti moso en que se hallan los presos de U Real cárcel de esta ciudad , y el desve Co…</t>
  </si>
  <si>
    <t>de Estado, El Sr Secretario del Despacho</t>
  </si>
  <si>
    <t>El Sr Secretario del Despacho de Estado</t>
  </si>
  <si>
    <t>…a se *Bien conoció el defecto por el presupuesto que se ha discutido anteriormente, y por el que se está discutiendo al presente, de que no se hubiesen sometido al cretaría de Estado la de interpretación, suprimiendo el sueldo de secretario. El Sr. Secretario del Despacho de Estado: «Va está aprobado por el examen de una comisión única todos ellos; entonces se podrían dar reglasge nerales; pero vomo la comisión de Estado no se hallaba en este caso, tuvo qué Estamento el presupuesto de ota secretaría: la comisión ha conocido que ha dar las reglas relativas al ramo que se je ha…</t>
  </si>
  <si>
    <t>de Estado, Francísco Narvaez Excmo Sr Secretario</t>
  </si>
  <si>
    <t>Francísco Narvaez Excmo Sr Secretario de Estado</t>
  </si>
  <si>
    <t>…les. ideas nos conducen á agradecer á la santa alianza que nos haya conservado la Dios guardea V. E. muchos años. Matanzas y Diciembre y7 de 1833.= paz general desde 1815, porque en este período ha hecho el género humano i Excmo. Sr.=Francísco Narvaez.^Excmo. Sr. Secretario de Estado y del Des mas progresos hácia' la verdadera libertad que en ninguna otra época cónocida. pacho universal de la Guerra. La libertad no se alcanza con el hierro, ni con fa lucha de los gobiernos, ni lanzando ejércitos contra ejércitos, ni talando los campos, ni haciendo servir Exposición á S. Af.'I/t…</t>
  </si>
  <si>
    <t>de Estado, Maria Conseo</t>
  </si>
  <si>
    <t>Maria Conseo de Estado</t>
  </si>
  <si>
    <t>…Esqiaña, teniente general de los Reales ejérci dante general de Navarra; conde de Mollina; conde de O-Reitos , director del colegio general militar; D. Pedro Cevallos, del 11 v ; D. Vicente Ramos García, obispo electo de Almería; D. Maria Conseo de Estado; conde de Cartagena, teniente general de los no Liñan, obis|&gt;o electo de Teruel; marques de Jura Real; D. Justo Reales ejércitos, capitán general de Galicia; marques de Moni ayo, María lbar Navarro, del Consejo de Estado; D. Francisco Arango, teniente general de los Reales ejércitos,-capitán genera…</t>
  </si>
  <si>
    <t>de Estado, Mariano Ricafort Excmo Sr Secretario</t>
  </si>
  <si>
    <t>Mariano Ricafort Excmo Sr Secretario de Estado</t>
  </si>
  <si>
    <t>…. [de enganchamiento, la cual será abonada a los cuerpos en virtud de reclama— Dios guarde á V. E. muchos años. Habana 30 de Noviembre de 1833.= [cion hecha en la primera revista, como también la cantidad correspondiente á Excmo. Sr.=Mariano Ricafort.—Excmo. Sr. Secretario de Estado y del Despa la primera puesta de vestuario. cho de ia Guerra. 4. ° Serán invitados á este frn ldí solteros que por su decidida adhesión á los I justos derechos de la Reina nuestra Señora se hubiesen alistado en las compa- Excmo. Sr.; He recibido la Real orden que se sirve V. E. comunicarme I ñías s…</t>
  </si>
  <si>
    <t>DE ESTADO, PRIMER SECRETARIO</t>
  </si>
  <si>
    <t>PRIMER SECRETARIO DE ESTADO</t>
  </si>
  <si>
    <t>…ICIO. S. M. la Runa nuestra Señora y su augusta Madre la Reina Gobernadora, como la Señora Infanta Doña María Luisa, continúan «n novedad en su imjiortante salud en el Real Sitio de San Ildefonso. EXPOSICION DIRIGIDA AS.M. POR EL SEÑOR PRIMER SECRETARIO DE ESTADO, PRESIDENTE DEL CONSEJO DE MINISTROS. Señora: En cumplimiento de vuestro Real decreto de 16 de Junio prójimo pasado, tengo la honra de proponer á V. M. la nueva planta de ty Secretaría dé mi cargo, habiendo procurado, en cuanto ha estado á mi alcance, conciliar la supresión de empleos y el consi gu…</t>
  </si>
  <si>
    <t>de Estado, Secretano</t>
  </si>
  <si>
    <t>Secretano de Estado</t>
  </si>
  <si>
    <t>…en las dehesas de Rubiales, Esdo la lealtad y valor de los vecinos de Villahoz. Dios &amp;c. Burgos 22 de Ma corriel y Salinas, ha dictado las providencias mas enérgicas para exterminarla. yo de 1834-=Excmo. Sr.=José Manso.j= Excmo. Sr. Secretano de Estado y oel Despacho de la Guerra. Se sabe por conducto fidedigno que el estado sanitario de la Habana y en El referido capitán general interino de Castilla la Vieja con fecha 22 de el resto de la isla era, en 2ü de Marzo último, el mas lisonjero que en igual Mayo actual desde Burgos dice á este ministerio…</t>
  </si>
  <si>
    <t>de Estado, Secretaria</t>
  </si>
  <si>
    <t>Secretaria de Estado</t>
  </si>
  <si>
    <t>…tro objeto que á oprimir por^ Después de algunas observaciones del Sr. Acevedo, que no pudieron oir igual. se bien, tomó la palabra el Sr. Secretario de Estado. «Como principio general está bien ló que dice la comisión; pero como Sr. Secretaria de Estado: «La discusión va probando cada vez mas lo ya he dicho en Us discusiones anteriores , no conviene expresar estos principios aventurado que es en un discurso de contestación al de la corona mezclar generales en el discurso de contestación al trono: el principio de la igualdad principios'generales ,…</t>
  </si>
  <si>
    <t>El Sr. I.tériz dcihizo uní equivocación que no se pudo percibir, y ¿ la Se declaró el asunto suficientemente discutido, y se puso i rotación el que contestó en breves palabras el Sr. Secretaria de Estado. párrafo del proyecto del- Gobierno en los términos siguientes JE! Sr. Argüellet: «El Sr. Istúriz principió por una especie de reconven «Consejo de Gobierno (520,500 rs. vn.” No se aprobó. ción irónica, dirigida í la comisión; y digo irónica, no en sentido ofensivo, En seguida se votó el dictámen de…</t>
  </si>
  <si>
    <t>de Estado, Secretarío</t>
  </si>
  <si>
    <t>Secretarío de Estado</t>
  </si>
  <si>
    <t>…os señores , entre ellos el Sr. Trueba respecto de una carta confidencial, no se hace uso de ella sin' el prévio per y el Sr. Galiano. Yo creo que el decir que si el Estamento de Procuradores miso de su dueño. (Al llegar aqiii el Sr. Secretarío de Estado, el Sr. Ferrer pi ■variasede dictámen cometería una falta, yharia una ofensa á su' honor inia’- dió la palabra; y prosiguió el Ministro): ' ’- mo, no es ni justo níexacto; y qué semejante doctrina, si llegase á prevalecer, v »El Sr. Ferrer, que acaba de pedir la palabra, me llama la atención: S. S.…</t>
  </si>
  <si>
    <t>de Estado, Secretarlo del Despacho</t>
  </si>
  <si>
    <t>Secretarlo del Despacho de Estado</t>
  </si>
  <si>
    <t>…gastos cíe viage de su idea, haciendo cesar esa irregularidad de dar lo mismo pira viage á los Se embajadores , ministros y encargados de Negocios. cretarios y agregados que iban á país lejano, que á los que iban á inmediato; El Sr. Secretarlo del Despacho de Estado: «El párrafo que acaba de y por lo mismo cree que S. S- hará ahora con mis gusto lo qué ha hecho motu leerse comprende los gastos eventuales, es decir, los que no pueden prefijarse propio, en conformidad á la ley expresa. Asi es que sobre este punto estamos de antemano. En los presupuestos de 1821…</t>
  </si>
  <si>
    <t>de Estado, Sectario</t>
  </si>
  <si>
    <t>Sectario de Estado</t>
  </si>
  <si>
    <t>…s en esta provincia. Dios &amp;c G’fdóba 2T de Abril IX Feríumdo García. calentísimo SrcrsEl comandante genera! interino, Agustín dé Oviedó^scEcEntre los. heridos lo hj sido gravemente el alférez de la guardia real de in ccienli4inv&gt; Sr. Sectario de Estado r del Despicho de la Guerra. fantería D. Antonio Ros, y levemente el ayudante del mismo cuerpo D. Fer nando BbhiHc, el tchiente del 2.° regimiento de la guardia real adicto a la El comandante genera! de la ManA.i con ia nmms fecha confirma el ante P. M. D Manuel de la Concha, el allcicz del 4° regi…</t>
  </si>
  <si>
    <t>de Estado, Sectetatio del Despacho</t>
  </si>
  <si>
    <t>Sectetatio del Despacho de Estado</t>
  </si>
  <si>
    <t>…ía que «aquí sé propusiese, jola seria trasladar esta partida del pte~ «(tnótoa rde Guerra lacxproada proposición, se acorrió que sí por 68 votos supuesto de Guerra al de Hacienday no un verdadero ahórro.” «óMta'36. ■ ¡:^ ir « El Sr. Sectetatio del Despacho de Estado z »Voy meramente á hacer B1 Sr.íVicepresidente anunció que iba á continuarse la discusión sobre el tina acUracioo. Qgsdc luego ha convenido el Gobierno, aun1 sin tener el Ai» lprés8ptteste»de Guerra^, ■ enunciado por el Sr. García, en que, habiendo variado Ja naturaleza dei objeto ■ ■ '.Seleyó.1 ar…</t>
  </si>
  <si>
    <t>de Estado, Setrttario</t>
  </si>
  <si>
    <t>Setrttario de Estado</t>
  </si>
  <si>
    <t>…lo propuesto por la trajo esa plaga .asolado» que nos ha enviado la Providencia. No se contó al minoría solo resultaría un aumento de 33 millones.* calcular el déficit, que habia de venir el cólera á invadir un gran número de El Sr. Setrttario de Estado : » La comisión en su dictimen ha recorda provincias, á entorpecer y estorbar las comunicaciones, acrecentar la miseria do una cota de que aiempra sa gloriará el actual ministerio; y es el haber te de los pueblos,.á dificultar el cobro de los impuestos, y no solo á privar al nido la feliz inspiraci…</t>
  </si>
  <si>
    <t>de Estado, Srcretario del Despacho</t>
  </si>
  <si>
    <t>Srcretario del Despacho de Estado</t>
  </si>
  <si>
    <t>…o que es por ahora, he dicho y repito , que 200 va con el espíritu dei siglo, que camina hacia las reformas, los que por su ele millones y nada mas.” vada cuna, como es la nobleza que felizmente se unió á la causa de la Nación El Sr. Srcretario del Despacho de Estado: «El derecho que tienen la* desde la guerra de la independencia , como es la clase del comercio que ama la Córtes de conceder ó negar al Gobierno los subsidios que solicita es impor— libertad p&gt;or principios, comees la clase ilustrada en todos los ramos: toda esta ; tantísimo, y se halla reconocido…</t>
  </si>
  <si>
    <t>de Estado, Subsecretario</t>
  </si>
  <si>
    <t>Subsecretario de Estado</t>
  </si>
  <si>
    <t>…u' - ' SECRETARIA DE ESTADO SEGUN LA FORMA ANTIGUA. SECRETARIA SE ESTADO SEGUN EL NUEVO ARREGLO. Eterno. Sr. primer'Secretario de Estado.............. 120,000 Eterno. Sr. primer Secretario'de Estado....................... 120,000 Sr. Subsecretario de Estado. ................. .......................... QOdXX) Oficiales. Oficiales. Mayor 1?............................ ¿50,000. Primero......................................,.............................................. 40,000 Mayor 21.......................... «50,000 Segunda.............................…</t>
  </si>
  <si>
    <t>de Estado, Uno del Excmo Sr Secretario</t>
  </si>
  <si>
    <t>Uno del Excmo Sr Secretario de Estado</t>
  </si>
  <si>
    <t>Gaceta de Madrid n.º 214 · suplemento</t>
  </si>
  <si>
    <t>…e Vesolla y marques de Cautelar. -pasasen ¿ la couiisTon tier Examen de documento». ------ Se dió cuenta de jos siguientes oficios, de que' quedó-enterado t\ Estamento. El Estamento quedó enterado de una exposición del Excmo. Sr. conde Uno del Excmo. Sr. Secretario de Estado y del Despacho de Gracia y de Guendulam, fecna en esta capital en el d&lt;a de ayer , participando su lle Justicia , con el que remicia 150 ejemplares de la memoria leída en el E*ta- gada á ella , y la sorpresa que le ha causado hallarse con una procidencia del mento relativa-al estado de los negocios…</t>
  </si>
  <si>
    <t>de Estepa, Bro Los Urbanos</t>
  </si>
  <si>
    <t>Bro Los Urbanos de Estepa</t>
  </si>
  <si>
    <t>…endido en su fuga dos capas, dos sombreros» dos &lt;íia antes, cuando vino un parlamentario hadjuta á proponer condiciones para el cananasf una pistola y un cuchillo. restablecimiento de la paz: pero no habiendo consentido en dar al general Bro Los Urbanos de Estepa han dado iguales pruebas de actividad y zelo por el las garantías suficientes, y temiendo este general que semejante proposición no exterminio de los malhechores, pues con noticias de que vagaban en su término tuviese otro objeto que el de ocultar alguna nueva perfidia, le despidió sin ob los ladro…</t>
  </si>
  <si>
    <t>de Ettetdo, Secretarlo del Detpacho</t>
  </si>
  <si>
    <t>Secretarlo del Detpacho de Ettetdo</t>
  </si>
  <si>
    <t>…íla ley actual satisface en mi concepto perfectamente ambos á otras, el Gobierno es de ppinion de que subsista la legislación vigente sobre extremos.” - introducción de granos, como un término medio que concilla en lo posible El Sr. Secretarlo del Detpacho de Ettetdo: «Como el Sr. Alcalá Ga los dos opuestos extremos.” icano manifiesta deseos de conocer la opmüm del Gobierno, y no puede ha El Sr. Galiano deshizo varias equivocaciones. cerlo él Sr.1 Secretario dé Hacienda por estar elt despacho con S. M., ni el de El Sr. López manif«tó que había tomado la palabra…</t>
  </si>
  <si>
    <t>de Ezálgünas, Joaquín</t>
  </si>
  <si>
    <t>Joaquín de Ezálgünas</t>
  </si>
  <si>
    <t>…y de que se ha establecido' 'en aquel edificio mifitar por el loable efcfudrzo dé! coma¿ la inversión de ellas: reflexiones que la han movido á hacer en el nuevo proyecto dante general accidenta! de la misma el mariscal de campo D. Joaquín de Ezálgünas rectificaciones, y á aumentar ciertas cosas que en él echaba de menos; peleta, siguiéndose el método de lectlira introducido en las escuelas normales I por cuyb medio si no se destruye el sistema de centralización , porque: no es útil de esta corte por sú director D. José Mariano Vallejo. ■ ¿ ni co…</t>
  </si>
  <si>
    <t>de EzpeJeta, Joaquín</t>
  </si>
  <si>
    <t>Joaquín de EzpeJeta</t>
  </si>
  <si>
    <t>…erme-Modéle y á la Casa-cuadrada no padecen enfer-1 D. Julián Aquilino Pcrez........................................................................ SOOtímedádes, lo cual es bien extraño en verdad. Las tropas continúan trabajando D. Joaquín de EzpeJeta............................................... 32oen establecer y perfeccionar los caminos, lo cual ademas de lo útil que es ed D. L. G. y G...............................:....................................................... 50ti mismo, tiene la Ventaja de ocuparlos en un ejercicio neeesario para mante El señor marques de Iturbieta..........…</t>
  </si>
  <si>
    <t>de F.nero, B Idem de Marzo de</t>
  </si>
  <si>
    <t>B Idem de Marzo de de F.nero</t>
  </si>
  <si>
    <t>…id? partes dfc I____ Hoy ha llegado el nuevo embajador ingles lord Howard. (.Id.) la captura del cabecilla , contestó a! com-ind-inte de las a-mas Je Lorca en X de! actual hiciese ejecutar el Real decreto de S. M. U Rfina nuestra Señor* B Idem 3 de Marzo. de 21 de F.nero próximo pasado , según me dice en oñcio de aquel día. Tengo el honor de dar á V. E. cabal noticia de todo para su conocimien B Ayer 4 las once de la mañana desfilaron 4 presencia de SS. MM. Fidelísi- to y demas fines del Real servicio. I na ¿ Imperiales 200 lanceros del regimiento nuevo de la Reina…</t>
  </si>
  <si>
    <t>de Faceris, María Bellommin</t>
  </si>
  <si>
    <t>María Bellommin de Faceris</t>
  </si>
  <si>
    <t>…hacen venir toda clase de obras de licito uso. opinión acerca del debate actual, propondría que se pronunciase la órden ------La Gaditana y sus dos amigas, ó sean las tres señoritas; novela original espa del día. ñola escrita por Doña María Bellommin de Faceris: un tomo en 16 con laminas. Se Interrumpieron muchas veces este discurso señales de desaprobación. hallará a 8 rs. en rústica y 10 en pasta en el puesto de libros de Cuesta y Bayo, en Ja Mr. Guizot, ministro de la Instrucción pública, sube á la tribuna. (Co lonja de la Trinidad , esquina á la calle…</t>
  </si>
  <si>
    <t>de Falces, Marquej</t>
  </si>
  <si>
    <t>Marquej de Falces</t>
  </si>
  <si>
    <t>…ndo fuese asi. can una de sus limitaciones, cual es la expropiación por causa de utilidad pú Los Sres. López y Santafé rectificaron dos equivocaciones. blica; y aun en esto mismo hay varios usos diferentes que acreditan no con El Sr. Marquej de Falces: »&gt; Cualquiera que boy se propusiera impug viene expresar el principio vago en general. Por ejemplo en los Estados-Uni nar los derechos políticos ó civiles del hombre , seria indigno no solo de sen dos no se conoce semejante expropiación; y aunque sea para un camino , si el tarse en este sitio, sin…</t>
  </si>
  <si>
    <t>de Falces, Marques</t>
  </si>
  <si>
    <t>Marques de Falces</t>
  </si>
  <si>
    <t>…pasarse el oportuno aviso 3 quien correspondiese perdidas á algunos individuos y aun corporaciones; mas porque esto sea cierto para su reemplazo. no creo que haya ninguna razón para que el perjuicio irrogado á un particular se El Sr. Marques de Falces: «Siguiendo la costumbre adoptada por algu pague á expensas del Estado. ¿Cuál es la legislación actual en punto á gravá nos señores Procuradores de hacer una breve explicación de los servicios presta menes y rentas eclesiásticas: Me parece que la ley aplicable al caso en cuestión dos por aquellos q…</t>
  </si>
  <si>
    <t>…ertades nac onales y los ' trovaciA ns jshk, „¡ * de(£$hos dc| pod&lt;r)tengan!el mfémo orígdn.y la misma sanoiomqtie clpoder Sr. Vf. Juan Manuel Subrié. sea tan interesado como el «pueblo en la conservación del pacto fundamental; y Sr. Marques de Falces. qutf^&amp; facciones 1)0 pueHcO atacar:!) dignidad Real sin atacar al mismo tiem Sr. L&gt;. Rodrigo Arando po et acta donstitutiva de nuestras libertades , del mismo modo que el trono Sr« D. Francisco de Paula Serrano. no ludria atentar ;c£&gt;ntra la$ Carta rila atentar contra svk mismos derechos1.' / «Los…</t>
  </si>
  <si>
    <t>…autoridad, ción reformada sobre revalidación de los empleos obtenidos desde 7 de Marzo cuyos defectos podrían haberse corregido, destruyeron todo lo hecho y levan de 1820 hasta 30 de Setiembre de 1823. taron un nuevo edi6cio. El Sr. Marques de Falces: »Iba á decir que es sumamente grave esta "Sin salir de Madrid, vinieron los franceses y demolieron las casas, ho cuestión; pero habiendo oido en otra mucho mas importante a uno de nues llando la propiedad de los dueños; mas después ¡qué se ha hecho! i se hats tros primeros oradores afirmar que no…</t>
  </si>
  <si>
    <t>…iba á leerse. espíritu de partido, y que no debía sacrificar ninguna de sus prerogarivas. (So El Sr. Secretario González (D. Antonio) leyó dicha indicación, conce leyó el artículo 95 del reglamento.) bida en estos términos: ( El Sr. Marques de Falces: ” No hay situación mas delicada que aquella «Que deCida él Estamento si se baila ó no en el caso de que se baga la en que se trata de defender una cama que tiene contra sí la razón. Permítan» preguata que expresa el articulo 92 dél reglamento.” *&gt; el Estamento que me -explique asi , pues tro puedo…</t>
  </si>
  <si>
    <t>de Ferapreciado, Joaquín María</t>
  </si>
  <si>
    <t>Joaquín María de Ferapreciado</t>
  </si>
  <si>
    <t>…á todo ministro que toma Por comunicaciones oficiales recibidas en el consulado español, y que por sobre sí la dirección de los negocios del Estado; pero debo observar que no ha: diversos conductos han tenido igualmente los Sres. D. Joaquín María de Ferapreciado debidamente la posición dei actual gabinete. En efecto, milores, esta rer, Procurador á Cortes por Guipúzcoa, y el oficial de estado mayor D- Mi no es úna administración nueva, sino simplemente modificada; y es fácil de guel de Araoz, del ejército del general Rodil, se sabe la derrota del .grueso v…</t>
  </si>
  <si>
    <t>de Fernamental, Vicente de Melgar</t>
  </si>
  <si>
    <t>Vicente de Melgar de Fernamental</t>
  </si>
  <si>
    <t>…contador de Propios de la provincia de Oviedo , á la contaduría de Valladolid, vacante por jubila Igualmente se ha servido conceder su Real permiso para que en la villa ción de D. Santiago Gutiérrez, nombrado para la de Oviedo, á D./Vicente de Melgar de Fernamental se celebren dos ferias, una desde el 19al21 de Mar Valdtrrama, coronel de infantería y primer comandante en el primer regi zo, y otra desde el 24 al 26 de Octubre de cada año, en conformidad de lo miento de cazadores provinciales de la Guardia Real; y para la plaza vacante propuesto por el gobernad…</t>
  </si>
  <si>
    <t>de Ferrer, Joaquín María</t>
  </si>
  <si>
    <t>Joaquín María de Ferrer</t>
  </si>
  <si>
    <t>…enor edad de su tiérdá Hija la Reina Doña Rabel , que había dé sucéderte. Corto efe el período qité ha corMartínez de Montaos, del consejo de S. Mí, su secretario honorario, gefe de la cqtpision de donaciones Reales y exentos; de D. Joaquín María de Ferrer, rido hasta ahora, y por desgracia no sin haberse experimentado sacudimientos y D. Rufino García Carrasco, ambos del comercio; examine con el deteni- que la previsión mas díligerite y activa de un gobierno ilustrado no púédé á ve ces impedir 6 sofocar con la prontitud que deseara; pero sin embargo,…</t>
  </si>
  <si>
    <t>de FJ, Felipe de Sousa Holstcin Tomas</t>
  </si>
  <si>
    <t>Felipe de Sousa Holstcin Tomas de FJ</t>
  </si>
  <si>
    <t>…d* Porto Sardio. Conde de Pcno le es posible formar juicio, y por lo mismo vota contra el dictámen de la fiaficl. Conde de Sampayo (Antorno). Vizcoode S. Gil de Porre. Barón do Pico comisión. de Ceíeiro. Barón de Sí da Bandeara. D. Felipe de Sousa Holstcin. Tomas de FJ conde de Taipa observa que habiendo pedido al mipistro de Hacien Mello Breyner. Francisco Manuel Trigcfco d’Aragon Morato. Femando Luk da cuando, asistió i las sesionarle la Comision, manifestase las condiciones con, Pereira de Sousa Barradas. Francisco Simoes Margiochi. Manuel de Macéilo Peque se…</t>
  </si>
  <si>
    <t>de Flores, D Jacobo</t>
  </si>
  <si>
    <t>D Jacobo de Flores</t>
  </si>
  <si>
    <t>…sido objeto de la atención de las Cor tir su; renuncia,, y pasar aviso para proceder á nueva elección. Quedó aprobado. ta en épocas anteriores. En las de Cádiz el año 1812 se estableció el máxi ' Entró á. jurar y tomó asiento el Sr. D. Jacobo de Flores, Procurador por mum , y también en las de Madrid de los afios 1820 al 1823. Pero el máxi la provincia de la Corulla. mum hasta cierto punto a, injusto, porque gravita precisamente sobre los que \ El Estamento quedó enterado de una exposición del Sr. D. Antonio mas servicios han hecho al Estado. Por…</t>
  </si>
  <si>
    <t>de Flores, Jacobo</t>
  </si>
  <si>
    <t>Jacobo de Flores</t>
  </si>
  <si>
    <t>…o objeto de la atención de las Cor tir su; renuncia,, y pasar aviso para proceder á nueva elección. Quedó aprobado. ta en épocas anteriores. En las de Cádiz el año 1812 se estableció el máxi ' Entró á. jurar y tomó asiento el Sr. D. Jacobo de Flores, Procurador por mum , y también en las de Madrid de los afios 1820 al 1823. Pero el máxi la provincia de la Corulla. mum hasta cierto punto a, injusto, porque gravita precisamente sobre los que \ El Estamento quedó enterado de una exposición del Sr. D. Antonio mas servicios han hecho al Estado. Por…</t>
  </si>
  <si>
    <t>de Floresi, Francisco Ortiz</t>
  </si>
  <si>
    <t>Francisco Ortiz de Floresi</t>
  </si>
  <si>
    <t>…cupa con verdadero celo en aprender en aquélla Un Sr. Excmo. é limo........................................................ ................. .. 500 escuela normal, el‘abogado D. Mariano Escartin, depositario de policía de esta &gt; D. Francisco Ortiz de Floresi.................. ............................................ 500 provincia, quien con licencia de la superintendencia general del ramo .reside en D. Bonifacio Fernandez de Córdoba..............................'..................... 320 la indicada villa hace algún tiempo; y en el momento que regrese se procederá E…</t>
  </si>
  <si>
    <t>de Foixí, Miguel</t>
  </si>
  <si>
    <t>Miguel de Foixí</t>
  </si>
  <si>
    <t>…a á las susodichas potencias á que empleen todos sus esfuerzos en reno civil de la provincia de Gerona, actualmente de su cargo; y vengo var las conferencias de Londres, y en terminar nuestras desavenencias con 1* en conferirlo á D. Miguel de Foixí v Andreu, barón de Foixí, en Bélgica. (Handelskiador™ atención á las circunstancias que en él concurren. Tendréislo enten «ClZA. dido, y dispondréis su cuvnplim¡emo.=Esjá rubricado de la Real ma- Zurik 20 de Octubre* rvi-En el. Pardo á 13 de Noviembre de 1834.=A D. José María Moscoso de Altüulira.…</t>
  </si>
  <si>
    <t>de Fondos, Niceto</t>
  </si>
  <si>
    <t>Niceto de Fondos</t>
  </si>
  <si>
    <t>…NGERAS. y D. Tomás González Carvajal, ministro que fue del suprimido Con sejo de la Guerra. INGLATERRA. Para la de Hacienda á D. Antonio Martinez, decano; D. Fran Lóndres 8 de Abril. cisco López Alcáraz; D. Jacobo María de Parga; D. Niceto de Fondos públicos. Tres por 100 consolidados 90 • Larreta; D. José López Juana Pinilla. Ayer llegó á esta ciudad el nuevo embajador de España , conde Para la de Marina á D. Martin Fernandez de Navarrete, deca de Floridablanca. Hoy, acompañado del caballero Vial, ha hecho no; D. Agustín Perales; D. Miguel Mo…</t>
  </si>
  <si>
    <t>de Fonseca, José</t>
  </si>
  <si>
    <t>José de Fonseca</t>
  </si>
  <si>
    <t>…cen la plaza de Marvaon sorprendió una porción de miguelistas de Castel-da— el destacamento de ingenieros, fue mandada en los primeros momentos por el Vide , que fueron á forragear al pueblo de la Escusa, distante media legua de coronel José de Fonseca, y después por el brigadier Juan Nepomuceno de Ma- la citada plaza de Marbaon , siendo el resultado haber perdido los imguelistás cedo: la artillería, finalmente, apostada en las alturas sobre el rio para batir ocho muertes, nueve prisioneros, entre ellos un oficial y un proveedor, cua el puente fu…</t>
  </si>
  <si>
    <t>de Fontembcrta, D José</t>
  </si>
  <si>
    <t>D José de Fontembcrta</t>
  </si>
  <si>
    <t>…ma fuerza pública de las naciones, y por último,, que tras miten esa herencia de moralidad y buen nombre de un país entre ios indivi PROVINCIA DE GERONA. duos que le componen, y le distinguen con gloria entre los demas pueblos ci Sr. D. José de Fontembcrta. vilizados. T.a Gaceta de Venecia anuncia con fecha 20 de Octubre, que la Puer Partes recibidos en la secretaria de Estado y del Despacho de, la Guerra. ta otomana había declarado de oficio al Internuncio, que había alzado el blo 6 queo de Sanios , después de restablecida en la isla la autoridad del…</t>
  </si>
  <si>
    <t>de Fontembcrta, José</t>
  </si>
  <si>
    <t>José de Fontembcrta</t>
  </si>
  <si>
    <t>…uerza pública de las naciones, y por último,, que tras miten esa herencia de moralidad y buen nombre de un país entre ios indivi PROVINCIA DE GERONA. duos que le componen, y le distinguen con gloria entre los demas pueblos ci Sr. D. José de Fontembcrta. vilizados. T.a Gaceta de Venecia anuncia con fecha 20 de Octubre, que la Puer Partes recibidos en la secretaria de Estado y del Despacho de, la Guerra. ta otomana había declarado de oficio al Internuncio, que había alzado el blo 6 queo de Sanios , después de restablecida en la isla la autoridad del…</t>
  </si>
  <si>
    <t>de Fontemberta, D José</t>
  </si>
  <si>
    <t>D José de Fontemberta</t>
  </si>
  <si>
    <t>…ar á la comisión de Poderes el testimonio del acta de la de 1834 =TE1 conde de Toreno.” ’ elección de la provincia de Guadalajara que' ha recaído en el Sr. D. Lorenzo . Dictámen de la comisión. Romo y Gamboa; y una exposición del Sr. D. José de Fontemberta, Procu , ' S*&amp; rador por la provincia de Gerona, solicitando se lp admita k dimisión que ■ ..La comisión de Hacienda ha examinado el proyecto de ley que el Se-, hace de dicho cargo por las razones que alega. La comisión de Poderes (fiócuenta de haber examinado los del Sr. D. Ro fior Secretario de E…</t>
  </si>
  <si>
    <t>…oficio del Sr. D. Joaquín Ruiz de Bucesta , Procu El Sr. ¿4cevedo: «Dos son los objetos que ¿e discuten: el dictámen de !á rador por la provincia de Logroño, solicitando dos meses de licencia para re comisión acerca del poder del Sr. D. José de Fontemberta, Procurador electo ponerse del mal de oidos qufe padece, y arreglar los negocios de su casa. El por la provincia de Gerona, y su renuncia, y la proposición hecha por el Señor Testamento se la concedió. Ferrer, apoyada por los Sres. Trucha y Palarea, de que se admitan toda* las La comisión de Podere…</t>
  </si>
  <si>
    <t>de Fontemberta, José</t>
  </si>
  <si>
    <t>José de Fontemberta</t>
  </si>
  <si>
    <t>…o en dos de la» interiores; lo cual supo Sr. Secretario del Despacho de lo Interior , del acta de elección por la pro ne i lo menos en el que incurra, en ella un hombre indiferente al servicio. vincia de Gerona, qué ha recaído en D. José de Fontemberta en ¡reemplazo '?Pór otra parte, ra atención á. la disciplina que siempre el Gohierpo del Sr. D. Francisco de Perramon. cree indispensable conservar, ha considerado necesario dar al presidente una au Se mandaron repartir y archivar las restantes copias de la ley por la cual toridad mayót , y que nun…</t>
  </si>
  <si>
    <t>…la comisión de Poderes el testimonio del acta de la de 1834 =TE1 conde de Toreno.” ’ elección de la provincia de Guadalajara que' ha recaído en el Sr. D. Lorenzo . Dictámen de la comisión. Romo y Gamboa; y una exposición del Sr. D. José de Fontemberta, Procu , ' S*&amp; rador por la provincia de Gerona, solicitando se lp admita k dimisión que ■ ..La comisión de Hacienda ha examinado el proyecto de ley que el Se-, hace de dicho cargo por las razones que alega. La comisión de Poderes (fiócuenta de haber examinado los del Sr. D. Ro fior Secretario de E…</t>
  </si>
  <si>
    <t>…io del Sr. D. Joaquín Ruiz de Bucesta , Procu El Sr. ¿4cevedo: «Dos son los objetos que ¿e discuten: el dictámen de !á rador por la provincia de Logroño, solicitando dos meses de licencia para re comisión acerca del poder del Sr. D. José de Fontemberta, Procurador electo ponerse del mal de oidos qufe padece, y arreglar los negocios de su casa. El por la provincia de Gerona, y su renuncia, y la proposición hecha por el Señor Testamento se la concedió. Ferrer, apoyada por los Sres. Trucha y Palarea, de que se admitan toda* las La comisión de Podere…</t>
  </si>
  <si>
    <t>de Francfort, Gambier Escriben</t>
  </si>
  <si>
    <t>Gambier Escriben de Francfort</t>
  </si>
  <si>
    <t>…as coercitivas. contra lá Inglaterra, y esta debió en cambio adoptar todas las medida necesa rias para frustrar los insidiosos planes de su poderoso enemigo. Al efecto pre paró una expedición secreta mandada por lord Catheart, el almirante Gambier ___^Escriben de Francfort que el enviado del Rey de Holanda cerca de lá y el du^ué.de "Wellington, entonces sir A. Wellesley, que se hizo á la vela Dieta germánica ha protestado contra el. proyecto de poner las tropas y ’ en Agostó de aquel año, con el objeto de apoderarse de la escuadrá danesa sur de aquella ciudad á las ó…</t>
  </si>
  <si>
    <t>de Francia, Gaceta</t>
  </si>
  <si>
    <t>Gaceta de Francia</t>
  </si>
  <si>
    <t>…aciéndolo de igual para la produce on sin que la sociedad haya tenido que hacer ningún gasto extra cantidad en los meses sucesivos.......................................(.......................... 80 ordinario para la manutención general. (Gaceta de Francia.) D. José Lamas....................................................................................... 80 D. Francisco Crespo de Tejada , del comercio, por seis meses de sus ____:De Nueva-York, con fecha de 29 de Mayo, recibimos los pormenores cripción á fin de Diciembre.............................…</t>
  </si>
  <si>
    <t>de Francia, Par</t>
  </si>
  <si>
    <t>Par de Francia</t>
  </si>
  <si>
    <t>…stante fuerte nuestra caballería para que pudiéramos pensar en rón Voirol, comandante de la división de Argel, inspector general. perseguirlos; si lo hubiéramos hecho, sin duda hubiéramos cogido muchos pri «Por orden del teniente general, Par de Francia, gobernador general de sioneros. las posesiones francesas en el norte de Africa, el mariscal de campo, gefe del Este nuevo escarmiento convencerá á los árabes que se obstinan en con estado mayor general, TrczeL” servar disposiciones hostiles contra nosotros, que siempre seguirá un pronto castigo á…</t>
  </si>
  <si>
    <t>de Frias, Juan Crisóstomo</t>
  </si>
  <si>
    <t>Juan Crisóstomo de Frias</t>
  </si>
  <si>
    <t>…Para las plazas de ministros de la sección de Fomento del con Reales decretos. A sejo Real de España é Indias , creado por mi Real decreto de 24 de Marzo último, vengo en nombrar á D. Jóse Canga Arguelles, He venido en jubilar á D. Juan Crisóstomo de Frias y á Don D. José de Heredia, D. Justo José Banqueri y D. Vicente Gon José María Cherif, oidores de la Real audiencia de Sevilla, con zález Arnao. Tendréislo entendido, y lo comunicareis á quien corel sueldo que les corresponda por clasificación. Tendréislo entendi responda.=Está rubricado de la Real m…</t>
  </si>
  <si>
    <t>de Frusia, Alberta</t>
  </si>
  <si>
    <t>Alberta de Frusia</t>
  </si>
  <si>
    <t>…o, comisionado al intento. la tercera parte de dicha vara, con la división duodecimal; esto es , el pie se divide en 12 pulgadas, la pulgada en 12 lincas, y la linca en 12 puntos. . HOLANDA. Haya 7 de Setiembre. Se asegura que la princesa Alberta de Frusia ha anticipado su viage á Ber * ESTADO SANITARIO DEL REINO. lin á causa de que SS. MM.el Emperador y la Empcrairiz.de Rusia deben lle PROVINCIA DE CÁDIZ. gar á dicha ciudad dé un momento á otro. El presidente de la junta de Sanidad de esta provincia y el gobernador ci SAJON1A. ' vil de la misma dice…</t>
  </si>
  <si>
    <t>de Fuentes, Condesa</t>
  </si>
  <si>
    <t>Condesa de Fuentes</t>
  </si>
  <si>
    <t>…el término de un mej los documentos con todos los re mas adelante igual cantidad si siguiese la enfermedad........................... 1000_ quisitos .que pfevieEe ut;l feglimeotQ; .acto cqntínuo, el Excmo. Sr. PcesicktiU .Excma. Sra. Condesa de Fuentes f viuda, por ahora........................... 1000 dió por concluida esta segunda junta preparatoria. _$rá. Doña Eugenia Pigoatell Waí, hija de dicha Excma. Sra. con desa de Fuentes. ........................................................................................... soo r, estaj4ento.de pro…</t>
  </si>
  <si>
    <t>de Fuentes, D Julián</t>
  </si>
  <si>
    <t>D Julián de Fuentes</t>
  </si>
  <si>
    <t>…, que deben labrar nuestra felicidad. Fijad F. G., criado de servir......................................................................... ;60, la atención en esa Rbima incomparable , que sobre restablecer nuestras venerati- El Sr. D Julián de Fuentes. . ........................................................... t£D.das f antiguas leyes , descosa de afirmarlas, se presenta bdjo el sóljo para abrir y presidir el Cpfigreso nacional, despreciando el peligro á que se expone por la cruel enfermedad que reina. Ved á esos Proceres y Procuradores del Re…</t>
  </si>
  <si>
    <t>de Fuentes, PcesicktiU Excma Sra Condesa</t>
  </si>
  <si>
    <t>PcesicktiU Excma Sra Condesa de Fuentes</t>
  </si>
  <si>
    <t>…gación de presentir en el término de un mej los documentos con todos los re mas adelante igual cantidad si siguiese la enfermedad........................... 1000_ quisitos .que pfevieEe ut;l feglimeotQ; .acto cqntínuo, el Excmo. Sr. PcesicktiU .Excma. Sra. Condesa de Fuentes f viuda, por ahora........................... 1000 dió por concluida esta segunda junta preparatoria. _$rá. Doña Eugenia Pigoatell Waí, hija de dicha Excma. Sra. con desa de Fuentes. ........................................................................................... soo r, estaj4ento.de pro…</t>
  </si>
  <si>
    <t>de Fuga, Bartolomé Díaz</t>
  </si>
  <si>
    <t>Bartolomé Díaz de Fuga</t>
  </si>
  <si>
    <t>…s en las costas de Ñipóles, reclutadas de lo mas inmundo de la plebe, do D. Alomo González ViUaaon; subteniente D. Francisco Pardo y Moco que untas crueldades cometieron sobre los napolitanos mismos. Entonces un so, y el teniente D. Bartolomé Díaz de Fuga del propio</t>
  </si>
  <si>
    <t>de Fuga, D Bartolomé Díaz</t>
  </si>
  <si>
    <t>D Bartolomé Díaz de Fuga</t>
  </si>
  <si>
    <t>…man lianos en las costas de Ñipóles, reclutadas de lo mas inmundo de la plebe, do D. Alomo González ViUaaon; subteniente D. Francisco Pardo y Moco que untas crueldades cometieron sobre los napolitanos mismos. Entonces un so, y el teniente D. Bartolomé Díaz de Fuga del propio</t>
  </si>
  <si>
    <t>de G, G</t>
  </si>
  <si>
    <t>G de G</t>
  </si>
  <si>
    <t>…rica. Espero que lo pasará allí mejor Marina........................................................................................................... 8uque en Mustafá, porque se cuidará con mas esmero de su régimen higiénico, y D. G. de G............................................................................................ 60los soldados harán un ejercicio moderado. Convendría que se relevasen en el Un sugeto que no dió su nombre........................................................... 2uotoño las tropas del ejército de Africa, porque tendrían tiempo para aclima-* Doña J. U................................................…</t>
  </si>
  <si>
    <t>de Gaivez, Francisco</t>
  </si>
  <si>
    <t>Francisco de Gaivez</t>
  </si>
  <si>
    <t>…a. cable» á este objeto que deberán pagar los pueblos. Para la plaza de secretario del gobierno civil de Toledo, que se halla va S. M. se ha servido autorizar al ayuntamiento de la villa de S. Vicente cante, lia nombrado S. Al. a D. Francisco de Gaivez, qu» obtiene igual dc*-de Sarrii para reparar la sala capitular y construir una fuente publica, sacándose tino del de la provincia de Castellón do la Plana.estas obras á pública subasta por la cantidad de !¿o5&gt;3 is. 1 i mrs. en que se han regulado, y librándose su importe con los fondos de propios.…</t>
  </si>
  <si>
    <t>de Galarza, Fernando</t>
  </si>
  <si>
    <t>Fernando de Galarza</t>
  </si>
  <si>
    <t>…cubran principalmente las calles que dan vista á la cár María Sánchez Castilla: para la de Totana á D. Ramón Marín Alfo- cel , que en el dia encierra algunos reos de crímenes políticos. El bíaroa de Rufcea: para la de Alcañiees á D. Fernando de Galarza: para la de Mel- fin , administrador de la Real casa y de la colonia de Scbleáshcim, ha recibi «ar-daFerroemal á D. Jo6é Diez Andaluz: para la de Setjjueros á do órden.da hacer una visita en todo el reinny averiguar la porción que hay' D. Lucas Fernandez de Mombeltrán: para la de Vitigudino a D. Fe…</t>
  </si>
  <si>
    <t>…e Paula Lina Hubo un tiempo, añade el Globo, en que la Inglaterra estaba degradada res; para la de Totana £ D- Ramón Marin Alfoces ; para la de Alcañices £ éntre las naciones europeas, pero fue desde la primavera de 1828 al Ótoño D. Fernando de Galarza; para- la de Colmenar viejo £ D- Pedro José de Trtde 1839; período-el mastriste de nuestra Historia, y que ningún ingles podrá piana; para la de Melgar de Fernamental £ D- José Diez Andaluz ; para la dé recúrdar sin sentirse avergonzado: período en que la Inglaterra obsequiaba £ la Sequeros £ D. Lu…</t>
  </si>
  <si>
    <t>de Gamboa, Pedro Sarmiento</t>
  </si>
  <si>
    <t>Pedro Sarmiento de Gamboa</t>
  </si>
  <si>
    <t>…iciónla estática,de 1803,lai djnámka&gt;4á30 rs. rama. bídrostátíca.Idem rústica yy la35brarodinam’ca.pasta común. tos- ejlpoder que se le atribuye de prevenir lo» atentados contra el órden so- Viagc al estrecho de Magallanes por el capitán Pedro Sarmiento de Gamboa en los Ciife, Y-dehacerío» disminuir 4 medida que ella aumenta. ^ •ños de 1579 y 1580, y noticia de la expedición que,después bizo para poblarle. Ua de 1768, 10 rs. rama en 4-°. á edición y 16 pasr¿común. t. ,hío debe . pues', la España esperar que una organización mas perfeblá en tomo a de Pacifiq…</t>
  </si>
  <si>
    <t>de Gamo, Antonio</t>
  </si>
  <si>
    <t>Antonio de Gamo</t>
  </si>
  <si>
    <t>…elona,-¿ pS» &amp;«, Málaga, * id. Descuento de ttm, .Londres, á 90 días»; .1 b. Santander, 100*1 «fio. Extracto del parte remitido por el secretario dd -gobierno civil de la 37* i f. Bilbao, { d. Santiago ,1 d. provincia de Almería, D. Antonio de Gamo, con fecha de 18 de Julio último. Exento. Sr.: Con noticias por queja que me dieron algunos vecinos de Olula del Campo qué en este pueblo, sin embargo de lo„dispuesto en la Real ANUNCIOS, órd«vde ,29 de Marzo próximo pasado, no se permitía i los dueños aprove char sus barbechos , pastando los ganad…</t>
  </si>
  <si>
    <t>de Ganna, Francisco Ruiz</t>
  </si>
  <si>
    <t>Francisco Ruiz de Ganna</t>
  </si>
  <si>
    <t>…: D. Manuel Nanclares, presbítero beneficiado de la misma: D. Ramón de Aguír- MINISTERIO DEL FOMENTO GENERAL DEL REINO. re, presbítero beneficiado de la misma: D. Fausto de Luzuriaga, Ex posición. clérigo beneficiado de la misma: D. Francisco Ruiz de Ganna, beneficiado de Eguino: D. Pablo de Amurrio, presbítero benefi Excmo. Sr.: Reunidos hoy todos los sugetos que deben componer ciado de la Bastida: D. Gregorio López de Arechaga, cura y be el primer batallan de la Mijicia urbana, les he dado á reconocer al neficiado de Villareal: D. Femando de Lasa ,…</t>
  </si>
  <si>
    <t>de Gaona, Antonio</t>
  </si>
  <si>
    <t>Antonio de Gaona</t>
  </si>
  <si>
    <t>…efecto le tengo encargado que compre el cprrcspondicnte número Excmo. Sr. D- Antonio Martínez......................................................... 1500 de ejemplares de la citada ebra de Vallejo, y lo demas que sea necesario. D. Antonio de Gaona............................................... ............................ 400 ' En cumplimiento de la Real órden de 22 de Marzo último, por la cual D. Tomas-de Linaccro............................................................................ 400 tuvo S. M. á bien mandar que se estableciese en esta capital una sociedad eco D. Francisco Vian…</t>
  </si>
  <si>
    <t>de Gar, José</t>
  </si>
  <si>
    <t>José de Gar</t>
  </si>
  <si>
    <t>…lamación ¡a de D. P.o-' Cierto e* que en 1813 se cometió alcapirángenefalry'al mismo tiempo "cüaT Entile, para que se le relevase de un mando que no podía desempeñar de comandante de marina de Fitípifias «T brigadier de la armada D. José de Gar-! bidamente con-tales trabas, es indudable que barco grandes progresos'aquellos doqui, la construcción de seis corbetas, y que se cortaron y acopiaron las ma- ■ isleños, porque el fomento de la Construcción naval será motivo del de su agri deras para la primera, sin que se siguiese adelante por habe…</t>
  </si>
  <si>
    <t>de Gárate, Francisco</t>
  </si>
  <si>
    <t>Francisco de Gárate</t>
  </si>
  <si>
    <t>…------ ’ ----------- j .1,,,! | cisco López de Alcáríz, E). Jacobo María de Parga, D. N iceto dé LarrtTi ? Los' SiKCtfl&gt;toWs á las obrás coínpletas dé Bujfoh aumentadas por Cuvier^ pasarán y D. José Pinilla ; y para secretario á D. Francisco de Gárate. (Id.) á la librería de Razóla, á redoger el tcmiV29 ct&gt;n !a entrega 25 de láminas* adelartrto_____ nombrando para Iá sección de Iridias del mismo Consejo á L&gt;. Luis do d&lt;J el importé los siguientes^ Continua la suscripciari. ■ Tratado práctica He las enfermedades sifilíticas, que contiene los difer…</t>
  </si>
  <si>
    <t>…------’ ----- -----j .1,,,! | ,.É cisco López de Alcáríz, D. Jacobo María de Parga, D. N iceto dé LarrtTi ? Los' SiKCtfl&gt;toWs á las obrás coínpletas dé Bujfoh aumentadas por Cuvier^ pasarán y D. José Pinilla ; y para secretario á D. Francisco de Gárate. (Id.) á la librería de Razóla, á redoger el tcmiV29 ct&gt;n !a entrega 25 de láminas* adeíartrto____ nombrando para Iá sección de Iridias del mismo Consejo á L&gt;. Luis do d&lt;J el importé 1ns siguientes^ Continua la suscripciari. ■ Tratado práctica He las enfermedades sifilíticas, que contiene los difere…</t>
  </si>
  <si>
    <t>de Garay, D José Isidoro</t>
  </si>
  <si>
    <t>D José Isidoro de Garay</t>
  </si>
  <si>
    <t>…pero bao cerrado el oido á estas cobardes provocaciones. mediato situado á la derecha del camino Real algunos facciosos á caballo, dis El destacamento ha entrado eíi Xhoune en muy buen orden y perfecta- tinguiendo entre ellos al cura D. José Isidoro de Garay, titulado comandante mente,qqúipadó&gt; «Vuestros militares, escribe de Xboune un oficial superior de. y gefe de la partida destinada á bloquear á Bilbao, por lo que no dudé que el íá Confederación, observan úna moderación efemplari_y basta las personas de cabecilla referido tendría en dicho bosque la…</t>
  </si>
  <si>
    <t>de Garay, José Isidoro</t>
  </si>
  <si>
    <t>José Isidoro de Garay</t>
  </si>
  <si>
    <t>…bao cerrado el oido á estas cobardes provocaciones. mediato situado á la derecha del camino Real algunos facciosos á caballo, dis El destacamento ha entrado eíi Xhoune en muy buen orden y perfecta- tinguiendo entre ellos al cura D. José Isidoro de Garay, titulado comandante mente,qqúipadó&gt; «Vuestros militares, escribe de Xboune un oficial superior de. y gefe de la partida destinada á bloquear á Bilbao, por lo que no dudé que el íá Confederación, observan úna moderación efemplari_y basta las personas de cabecilla referido tendría en dicho bosque la…</t>
  </si>
  <si>
    <t>de Gardoqui, José</t>
  </si>
  <si>
    <t>José de Gardoqui</t>
  </si>
  <si>
    <t>…adquirían otras naciones marítimas en sus viages científi ria de las armas españolas y del bien de la patria-, y ha renovado la determi cos y expediciones de mar; y finalmente promoviendo y aun costeando nuevos nación del difunto D. José de Gardoqui, para que los pueblos playeros cons reconocimientos de costas y escollos, que por estar mal situados en las cartas truyan falúas y lanchas,- que Unidas hagan en las oportunas monzones el corso ofrecían graves riesgos á nuestra comercio y navegación. Con «tas miras pro contra estos {«ratas-, obtenie…</t>
  </si>
  <si>
    <t>de Garfil, Valentín</t>
  </si>
  <si>
    <t>Valentín de Garfil</t>
  </si>
  <si>
    <t>…as no ejercerán en adelante los detechos que recientemente se han ab Para el corregimiento de Arévalo, vacante por remoción de rogado , y que no esten escritos en su respectiva Carta constitucio D. Manuel Romero y Perez, nombro á D. Valentín de Garfil- nal , tales como el no.admitir las leyes y decretos dados provisio da. Tendréisló entendido, y lo comunicareis á quien corresponda— nalmente por el gobierno , rehusar los impuestos, disminuir ó anu Está rubricado de la Real mano. = En Aranjuez á 17 de Abril lar la dotación señalada al Soberano &amp;C.;…</t>
  </si>
  <si>
    <t>de Gargotlo, D José</t>
  </si>
  <si>
    <t>D José de Gargotlo</t>
  </si>
  <si>
    <t>…o un lenguage moderado con las Po- El dia 30 del mes último se celebró, ¡unta general de los accionistas de ténciasY&amp;rthidábles que hubieran, podido abusar de sus fuerzas. Cuando subi- esta empresa, 4 la cual concurrió también el Sr. D. José de Gargotlo, i quien ijSOS al piinisteno, la)Bélgica peleaba por su independencia, y con pocas pro- S. M. la Rkixa Gobernadora se dignó nombrar para que la representa sf co babilidadosrde^coooeguirk ; en el jdia lían reconocido á la Bélgica por Estado mo accionista, asi como á Su ¿xcélsa Hijarüi'REiSA muestra…</t>
  </si>
  <si>
    <t>de Gargotlo, José</t>
  </si>
  <si>
    <t>José de Gargotlo</t>
  </si>
  <si>
    <t>…lenguage moderado con las Po- El dia 30 del mes último se celebró, ¡unta general de los accionistas de ténciasY&amp;rthidábles que hubieran, podido abusar de sus fuerzas. Cuando subi- esta empresa, 4 la cual concurrió también el Sr. D. José de Gargotlo, i quien ijSOS al piinisteno, la)Bélgica peleaba por su independencia, y con pocas pro- S. M. la Rkixa Gobernadora se dignó nombrar para que la representa sf co babilidadosrde^coooeguirk ; en el jdia lían reconocido á la Bélgica por Estado mo accionista, asi como á Su ¿xcélsa Hijarüi'REiSA muestra…</t>
  </si>
  <si>
    <t>de Gastempe, Voisin</t>
  </si>
  <si>
    <t>Voisin de Gastempe</t>
  </si>
  <si>
    <t>…a se ha confiado al hubiera sucedido la tercera, á no ser porque no hubo tiempo para que en ella B general Oliviers. (El Independiente.') se discutiese. __Sabemos que el gabinete francés ha pasado á la Dieta germánica una nota El Sr. Voisin de Gastempe quisiera que por ahora no se tratase de este muy enérgica relativa á lo ocurrido con M- Hanno. Esta nota, que. parece con- asunto, mediante á que habiendo remitido la Cámara de los Pares un proyecto tiené relamaciones. jn,uy fuertes contra la violación de los últimos convenios en análogo á ia propu…</t>
  </si>
  <si>
    <t>de Gatica, TX José Martínez</t>
  </si>
  <si>
    <t>TX José Martínez de Gatica</t>
  </si>
  <si>
    <t>…erzas superíojg; con este motivo reunida que me fue _tqd* la JRm/ acadertia Je médidna yebrugía Je Setifla\ Córdoba y Extremadura* fuqrzs cargué á la bayonetaála^faccion, y á las .voces de riva la Éúgjira «c El Sr. vicepresidente doctor TX José Martínez de Gatica , abrió la: sesión dispersaron todos por varias direcciones, habiendo quedado dueño del eamifMX ordinaria del 2 del corriente, manifestando el placer que le cabía en la colo recogí mis heridos en número de HTT^Que con tres muertos, dos contusos y tres cación de loa retrato» de nuestra amada Soberan…</t>
  </si>
  <si>
    <t>de Gatier, Dr José'Martínez</t>
  </si>
  <si>
    <t>Dr José'Martínez de Gatier</t>
  </si>
  <si>
    <t>…erdadero estimu Cinca, que es bastante pingüe. lante, podrá tener lugar en algunas circunstancias, asi como lo tienen otros me Se ha llevádó á debido efecto la Real orden de 25 de Febrero último, dicamentos de su clase. — Eterno. Sr.= Dr. José'Martínez de Gatier, vicepre que declara en plena Libertad la compra y venta de-vinos, á pesar de-las recla sidente.—Licenciado Antonio Navarrete y Sánchez, secretario de Gobierno. maciones que me han dirigido algunos cuerpos municipales en solicitud-de que Al dirigir el capitán general de Andalucía esta contestación…</t>
  </si>
  <si>
    <t>de Gllman, Fernando</t>
  </si>
  <si>
    <t>Fernando de Gllman</t>
  </si>
  <si>
    <t>…os, juntándola doctriua coo ei recreo./! bilidad y juramento, sí era cólera-morbo la enfermedad que allí se padecía. Escritas ea francés por ia señora marquesa de Silleri (áliasj condesa dC/Gealis: tro—J ducidas al castellano por D. Fernando de Gllman , acadériiéo, tercera edición , 3 to— f mos con láminas á 72 rs. pasta: amb'ás se'veriden en la Librería de Razóla. — .Cuatro pa'obras sobre las obras para la enseñanza de las primeras letras, publl-j cadas por D. Josef Mariano Vallejo; y defensa de las que inventó el difunto D. Vi-41 Los suscripto…</t>
  </si>
  <si>
    <t>de Goicocheá, Excmo Sx.rrGaspar</t>
  </si>
  <si>
    <t>Excmo Sx.rrGaspar de Goicocheá</t>
  </si>
  <si>
    <t>…tranquilidad que se disfruta enjo maybr con grado de capitán D. Juan Gualberto Corcuera*. ? ya esta prov¡ncía.. 0«os guarde á V. E. muchos años* Toledo 5 de Mayo de En el 2.° batallón del insinuado cuerpo de la Reina, el teniente coronel 183^,—Excmo. Sx.rrGaspar de Goicocheá. = Eicmo. Sr. primer Secretario del D. Manuel Domínguez, capitán de la compañía de cazadores, D. Félix Gtií— Despacho de E^tadq. ; ’ tarte, teniente graduado de capitán ,y el subteniente D. Manuel Cácercs, am bos de la insinuada compañía; juzgo empero dignos de particular memoria 4 Partes recibidor…</t>
  </si>
  <si>
    <t>de Goícoechea, Gaspar</t>
  </si>
  <si>
    <t>Gaspar de Goícoechea</t>
  </si>
  <si>
    <t>…o en parte alguna. proporcionar ya 303 rs., lo que parece que bastará para su terminación. Dios guarde á V. K. muchos años. Toledo 8 de Mayo de 1834= Eterno- Está próxima á abrirse la nueva cátedra de geometría, me^nica y delinca Sr.=Gaspar de Goícoechea. = Excmo. Sr. primer Secretario del Despacho de ción aplicadas á las artes; y para mejorar el estado del hospicio, ademas de Estado. procurar que cumplan las obligaciones que tienen á favor suyo el cabildo de aquella metropolitana y el monasterio de las Huelgas, ha encargado el subde Partes recibido…</t>
  </si>
  <si>
    <t>de Goiri, Eusebio</t>
  </si>
  <si>
    <t>Eusebio de Goiri</t>
  </si>
  <si>
    <t>…comandante gefttral de Aitúrias con fecha de 19 det actual avisa que D. Manuel Manuel Redondo López, D. D. José Antonio Menendez, José Mornelo, é favor 4C Ia* medidas tomadas por el comandante de armas .de Luarca D. £s~ Generés y D. Eusebio de Goiri, para que en el preciso térmiao de 15 días se presen lütisiao Infanzón y la cooperación activa del subdelegado de policía de esta ten por si ó por medio de procuradur ante el referido ^uez á deducir el derecho de villa» .se ha conseguido la prisión del es-¿u.btenicnte D. Domingo Vaiiela» ue se crea…</t>
  </si>
  <si>
    <t>de Gor, Duque</t>
  </si>
  <si>
    <t>Duque de Gor</t>
  </si>
  <si>
    <t>…3000 ESTADO SANITARIO DEL REINO. J. G. y Z., criado de servir, 10 re. por una vez, y ofrece lo que pueda en adelante......................................................................................... 10 PROVINCIA OE MALACA. Sr. Duque de Gor, y oferta de 500 rs. mensuales.............................. 3000 En 26 de Julio próximo pasado continuaba disminuyendo el -número da 1(50 D. F. M. C...........................................-.............................................. invadidos en Malaga, así como el de fallecidos; pues en los…</t>
  </si>
  <si>
    <t>de Goyri, Juan Cruz</t>
  </si>
  <si>
    <t>Juan Cruz de Goyri</t>
  </si>
  <si>
    <t>…dcFru- dirigiéndoles con este motivo la palabra en los términos que verá niz en la provincia de Vizcaya: D. Ignacio de Elguézabal, benefi V. E- por la adjunta copia; y habiéndose después procedido á la ciado de Gamíz en la misma: D. Juan Cruz de Goyri, beneficia oportuna formación de compañías, ha quedado definitivamente or do de Deusto en la misma: D. Francisco de Eguía, beneficiado de ganizado el primer batallón, que por la fuerza de que consta, por Mungia en la misma: D. Juan Antonio de Orbegozo, beneficiado la bella disposición de sus indivi…</t>
  </si>
  <si>
    <t>de Gracia, Joaquín María Sr Secretario</t>
  </si>
  <si>
    <t>Joaquín María Sr Secretario de Gracia</t>
  </si>
  <si>
    <t>…timar ios intereses p.srtícur la comí-ion de Código criminal,dió cuenta de haber nombrado por su lares, la equidad y la justicia. Guiado el ministerio por estos principios, c! decano á D- Vicente Cano Manuel, y para secretario á. D. Joaquín María Sr - Secretario de Gracia y Justicia. á guíen correspondía r formó un inter-r&gt;&gt;¿.^ López. . . torio para adquirir datOséXactos sobre el particular, y lo remitió al cabildo La comisión encargada del examen, del proyecto de Código criminal dió de Santiago, á fin de que diera ciertas noticias, al mismo tiempo que te man parte al…</t>
  </si>
  <si>
    <t>de Grecia, Othon</t>
  </si>
  <si>
    <t>Othon de Grecia</t>
  </si>
  <si>
    <t>…tura, 271: la Real asiática, 560. días su nombramiento dfe embajador extraordinario y ministro plenipotenciario Se pueden agregar á estas sociedades el colegio de medicina, el de cirugía» de S. „M* el Emperador, cerca de S. M. el Rey Othon de Grecia; y dentro do la sociedad médica de Lóndres, la de "Westminster, las sociedades médíco-quípocos, días se pondrá en camino. (’G. de Augs burgo.) rúrgicas, lás médico-botánicas, la francológica, la entomológica y la de inge nieros civiles. Estas nueve últimas se componen de 1700. ITALIA. ■ t El instit…</t>
  </si>
  <si>
    <t>de Grego, Leojtoblo</t>
  </si>
  <si>
    <t>Leojtoblo de Grego</t>
  </si>
  <si>
    <t>…egos. Ya ha A D. Nicolás María Garelly. nombrado á un griego llamado Arístarchos, agente &amp;uyp en Const^ntinopla, y á otro llamado Mauros, le ha encargado la dirección de los negocios de lo. Atendiendo á los méritos y servicios de D. Leojtoblo de Grego interior. La Valaquia debe á la verdad grandes beneficios a1 general K.uvselcff y rio, coronel de caballería de ejército, y mayordomo de semana; lie á sti colega M. de Lowenstern. Se ha pensado levantar ,ua monumento ai ge-, venido en concederle el título de marques de Grimaldi para sí, sus neral;…</t>
  </si>
  <si>
    <t>de Gregorio, Leopoldo</t>
  </si>
  <si>
    <t>Leopoldo de Gregorio</t>
  </si>
  <si>
    <t>…la responsabilidad de los jueces {Núm. 1240 doctrina de ios mejores reglamentos que tratan sobre la materia, por D. Toma» Zara goza, pasarán é recoger en las librerías dondé se hayan suscrito el tomo l.° de dicha .^^concediendo á D. Leopoldo de Gregorio el título de marques de Gri- obra, y aoricipar el importe del 2.°, que está en prensa. Precede á lo principal de los maldi para sí, sus hijos y sucesores. {Id.) asuntos que contiene este tomo l.° una breve idea de la creación de los cuerpos de Mi Real órden , resolviendo que los pedidos de armas y…</t>
  </si>
  <si>
    <t>de Guardamino, Juan</t>
  </si>
  <si>
    <t>Juan de Guardamino</t>
  </si>
  <si>
    <t>…smejores decomodidades.Marzo próximo:Se despachaadmite enalgún»Cádizcargapor ysupasageros,dueño D. paraJosélosMaríaque bre último que desde el dia 5 al 14 de dicho mes hubo en la capital de ella un Vio legra , y en esta corte por D. Juan de Guardamino, calle de Postas. enfermo que curó-, y extramuros 13, de los cuales fallecieron 4- —Se saca 4 pública subasta el servicio de hospitalidad militar de las plazas de la Co ruña Ferrol y Vlgo por dos años lo menos, y cuatro lo mas, y para la celebración del remate ha señalado el Sr. intendente general…</t>
  </si>
  <si>
    <t>…carga y pasageros para los'que tiene las mvjoEFECTOS PUBLICOS. rés comodidades en dos espaciosas cámaros. La d«$pocha eu Cádiz su dueño D. Joscf JoScrlpclohes sobre el grán-libro al &lt; por too. c*o. María Viniegra, yen esta corte D. Juan de Guardamino, del comercio, calle de Pos Dieta* id. ai 4 P» *©o, 474 á «p’d. f. voL y firme á prima de# p. too. tas , núm. ,5. suplemento</t>
  </si>
  <si>
    <t>de Guebhard, El</t>
  </si>
  <si>
    <t>El de Guebhard</t>
  </si>
  <si>
    <t>…er á la discusión de sus partes.” «Todos estamos conformes en el reconocimiento de los empréstitos de las El Sr. Garifa Carrasco ocupó la tribuna para rectificar algunos he Córtes,' y aun de los posteriores al año 23 hecho por el Rey. El de Guebhard chos, entre los cuales citó el que se había indicado por el Sr. Secretario del es la manzana de la discordia. Se dice que fue hecho por una facción; que se Despacho, de que las proposiciones que se habían hecho hacia poco al Go han cometido mil estafas. Todo lo concedo, y abomino los vicios de que…</t>
  </si>
  <si>
    <t>de Guzman, Leonor</t>
  </si>
  <si>
    <t>Leonor de Guzman</t>
  </si>
  <si>
    <t>…que salieron á la palestra alzando el grito U augusta frente de los Infantes de la Cerda para ceñir la de su tío el prínci de la rebelión el pérfido Bessierca y los conspiradores de Cataluña. Fue tam- pe D. Sancho; si el hq * de Doña Leonor de Guzman,¿ pe«r de U üegiiim • ‘ bien su nombre el que continuamente se oía enlazado con plañe* de usurpación dad de su nacimiento, fue preferido ai legísimo sucesor del Rev D. Pedro, se meditada, y de futura tiranta. No fue un secreto la conducta del Infante du hizo por la exigencia y conveniencia pública,…</t>
  </si>
  <si>
    <t>de Guzman, Rafael Perez</t>
  </si>
  <si>
    <t>Rafael Perez de Guzman</t>
  </si>
  <si>
    <t>…res provincia la de la enseñanza el método de &lt;51 16 2 Benamejí. 24 que la en tres maestros han aprendido corte. porVallejo 12 25 63 4 26 58 10 2. Extracto del parte remitido por el gobernador civil de la provincia de Guadalajara D. Rafael Perez de Guzman el Bueno con fecha de 9 de J unió 22 769 45 6 actual. Cabra. 23 804 39 1 La agricultura de la'provincia no decae, y la totalidad de la cosecha pre 24 851 27 senta el aspecto mas lisonjero. 25 897 29 9 La de cáñamo tampoco deja de prosperar, y el gobernador procura persua 23 68 10 S dir á los labrad…</t>
  </si>
  <si>
    <t>…sayar su uso en Astudillo, pueblo el mas industrioso de la provincia. Extracto del parte remitido por el subdelegado de Fomento de la provincia Clama por la supresión de los derechos impuestos en la isla de Cuba á de Guada tajara D. Rafael Perez de Guzman el Bueno con fecha de 3o de nuestras harinas que han paralizado el movimiento ascendente que tomó su ex Abril último. portación , y que en el año de 1829 y dos ó tres meses después pasó de 70 mi Asegura que muchos pueblos tratan de aumentar sus labores, poniendo en llones de rs. , cultivo tierras q…</t>
  </si>
  <si>
    <t>…habían estipulado una suspensión de armas, sabida U llegada de He tenido á bien separar de su destino al gobernador civil de Mehetnet-AU, s«e enfurecieron, atacaron á los eg.pcios, causándoles una pér lá provincia de Guadalajara D. Rafael Perez de Guzman el Bueno, dida de 70 hombres, y cautivaron al misino Ibrahim, tuyo cadáver mutilado siendo mi Real voluntad que le reemplace el de Ja provincia de Pon enviaron á su padre. Lo cierto es que una carta de Esmirna del 26 dice que un tevedra D. José María Bremon, y conferir este último gobierno ci ofici…</t>
  </si>
  <si>
    <t>de Haámdi, Mmino</t>
  </si>
  <si>
    <t>Mmino de Haámdi</t>
  </si>
  <si>
    <t>…c o «» ■fagyrffefr fafr»ji r y páév saáa de la ^«"■«icnl qo comía &lt;k DiDpio wodo- Mcana as isasesno» &gt;sir aí et Atonto de este JV. Prrndmte * ** La derwrg ¡npair yirrfb crrratfaT «myrj» afano m laín tofateei pro» «obre lo ijue el Sr. Mmino de Haámdi «‘ion de oficia &lt;~»«l luanifrurr ei Ei Sr. CoJtm: ** Una «o cjtec el be. cantea a niéjfav, » nt iüüí iiii íÍmhim ei contenido limitaré á ecpooer que es ac ccocept» «c iba á ^ «pe d bihicsa pt— glamento, j &lt;pje debe proerdene á «otar a ei aantí fió eKtrfbfr* "* 2ÍK3IC'. habiendo Ei Sr. M&lt;dr*im: tpdp…</t>
  </si>
  <si>
    <t>de Hacien, Mmistro</t>
  </si>
  <si>
    <t>Mmistro de Hacien</t>
  </si>
  <si>
    <t>…nte* los señores de la mayoría, ó se olvidaron de ellos consta que los recursos de ella son inmensos. basta tal punto, que invirtieron , como ya se ha repetido varias véces, el'ór- «Esta ha **do, srn duda , la opinioq del irtísmo Sr. Mmistro de Hacien den natural en qu' *e presentaba el asunto. da, cuando en la introducción 4 su proyecto dice: «también nos obliga una «Entrando ahora en la discuurn, v dejando aparte lo puramente perronecesidad imperiosa i formar un arregló de1 todú la deuda extrangera, calcu nal , dué que no es cierto haya el Gob…</t>
  </si>
  <si>
    <t>de Hacienda, El Sr Ministro</t>
  </si>
  <si>
    <t>El Sr Ministro de Hacienda</t>
  </si>
  <si>
    <t>…eridad de el objeto de hacer frente á las necesidades del Gobierno con el menor sacrifila ordenanza, ha sido suspenso de su empleo, y el capitán que se puso al fren cío de los pueblos* - te de las tropas, inmediatamente fue hecho coronel. «El Sr. Ministro de Hacienda nos dijo ayer en la discusión que era ur »Eu cuanto! los gefes del ejército del Norte, no es este lugar de nom gente Ja necesidad en que se hallaba el Gobierno de contraer un empréstito, brar personas, ni .hacer una reseña de ellos y sus circunstancias. Si fuera posible atendida la situación de los…</t>
  </si>
  <si>
    <t>…guatdo, y esto no ser¡a hacer leyes, sino gobernar y admi establecerte para lo sucesivo algunas reglas que sirviesen de norma y base para nistrar.” el mejor acierto y economía. El Estamento no ha tenido á bien tomar en con El Sr. Caballero: «El Sr. Ministro de Hacienda sabe- que en otra» caso» sideración sus indicaciones; y ti bien es cierto que algún Sr. Procurador ha co se ha votado partida por partida.” incidido coa alguna de ellas, también lo es que no ha habido discusión sobre El Sr. conde de Tormo: «Precisamente esa razón es la que roas me obli el particula…</t>
  </si>
  <si>
    <t>de Hacienda, El Sr Secretario del Despacho</t>
  </si>
  <si>
    <t>El Sr Secretario del Despacho de Hacienda</t>
  </si>
  <si>
    <t>…tenedores de la del S por 100 se tes hace una extorsión muy A invitación del Sr. Presidente entraron á jurar y tomaron asiento los grande por este artículo.” ' fres. D. Saturnino Calderón, Procurador por la provincia de Orense, y Don El Sr. Secretario del Despacho de Hacienda: «Cuando el Gobierno Mariano Torres y Solanot, por la de Huesca. pensó en poner toda la deuda al 5 por 100, lo hizo primero con el objeto de Se dió cuenta.de un oficio, remitido por el Sr. Corregidor de esta corte, simplificarla, y Jo otro por miras ulteriores, para que consolidado el actual de la…</t>
  </si>
  <si>
    <t>de Hacienda, Jet Despacho</t>
  </si>
  <si>
    <t>Jet Despacho de Hacienda</t>
  </si>
  <si>
    <t>…cionarios; pero que en cuanto al principio jamas lo negó mas mínimo, me valga de una metáfora suya , y le diga que mí voz también es una voz amiga que avisa al piloto no se estrelle en el mismo escollo en que el Estamento. Él Sr. Secretario Jet Despacho de Hacienda: «Es muy sensible que una ya se ha estrellado la nao en otro tiempo. S. S. obrando con la rectitud de cuestión como esta haya tomado el giro que remos, pues yo pensaba que ape principios , que yo me complazco en reconocer en él, y que ya profesaba en nas suscitaría debate alguno ia petición que se…</t>
  </si>
  <si>
    <t>de Hacienda, Micislro</t>
  </si>
  <si>
    <t>Micislro de Hacienda</t>
  </si>
  <si>
    <t>…andoáomoiapUudtipsppi! ¡la. r*?g ej»-estado devegalsr tantos millones;.puesto que yó-lUeaaregakrkw,«uandose zon y pornuestra conciencia. ..-l dwa»im razón de-justiciaqut asi to wij*. • . »f ¿ r . ¡, »Nos pronosticó por último, él señor Micislro de Hacienda que SOS huBrr c - mNo* he dicho por últimO el Sé. Mitmt*&gt; que;aqui «o:hay vencédoees ni dirísmos sin remedio si jio rcconocánnos la deuda cxtrangcrapostcrtoralaíto Mncs'doai y preguntándose » el-actdal GolMcrno eta una aeaíbpacion' del conár</t>
  </si>
  <si>
    <t>de Hacienda, Mini-tro</t>
  </si>
  <si>
    <t>Mini-tro de Hacienda</t>
  </si>
  <si>
    <t>…sición ; solo digo que van muchos d»as de discusión , y si se quiere que pa»en tres podrán hacernos suma falta. Hago e&gt;to pre»cnte al fckiarocnio por Ja Art. 1 • Urgencia en que no» encentramos.” El Sr. conde de las Su-cas: « El Sr. Mini-tro de Hacienda ríene mil ri Art. 2.* zones respecto á la urgencia; pero no me parece que estamos en el caso de lo que sucedió respecto deí art. 2.°, pues en el actual el provecto de ley ha cambia Art. 3,* Tedas las obligaciones y títulos que representan ahora la deuda do eo un todo. Respecto a ia ne«^sidad que ha…</t>
  </si>
  <si>
    <t>de Hacienda, Minisiró</t>
  </si>
  <si>
    <t>Minisiró de Hacienda</t>
  </si>
  <si>
    <t>…l.° de Enero. Si al Estamento le. parece, puede volver esa adi ó ir aumentando el capital de la deuda pasiva, é irlo incorporando á la deuda ción al Sr. Ministro para que la modifique. activa, según la indicación que ha hecho el Sr. Minisiró de Hacienda!”------ El Sr. Secretario del Despacho de Hacienda: «Lo que necesita el Go El Sr. Secretario del Despacho de Hacienda:pido se habla de capitales: bierno es que se te concéda la primera pane. Respecto á lo dem:»,, lo lia 'he se dice al 5 de renta española; pero eso es nominal. Lo que hay de real es…</t>
  </si>
  <si>
    <t>de Hacienda, Ministró</t>
  </si>
  <si>
    <t>Ministró de Hacienda</t>
  </si>
  <si>
    <t>…también aquellos instrumentos que contribuyeron i encade , rebelde que se subleva y declara la guerra á un Gobierno reconocido. La que narle. puede tener Zumalacarregui , ó cualquier otro gefe de facción. ¡Y podemos «Ha citado el señor Ministró de Hacienda la pérdida dé nuestro crédito, nosotros sancionar una doctrina tan monstruosa! y este fantasma mas pavoroso con que se trata dé amedrentarnos, como si él «Reprobado, como debe reprobarse,el empréstito de Guebhard,llamado crédito se perdiera por resistirse á pagar una deuda injusta. Estos temores que p…</t>
  </si>
  <si>
    <t>de Hacienda, Minitro</t>
  </si>
  <si>
    <t>Minitro de Hacienda</t>
  </si>
  <si>
    <t>…liano. «Voy á deshacer algunas equivocaciones. En mo $e ha dicho ya en veinte ocasiones; mas no hay peor sordo que el que no primer lugar en cuanto á la acritud que ha tomado esta discusión, según aca quiere oir. ba de indicar el Sr. Minitro de Hacienda, cieo que no seria sobre ini sobre »$e ha dicho que tomó parte el Gobierno en ta sesión anterior en que se quhm recaiga el peso deleita acusación._En segundo debo-hace-p presente por5» trató del réglamelítor^Sí lytomrrj-y muy g^m4e- ñon im torrente dft ^oéucn----- que parece que lo ha olvidado el S…</t>
  </si>
  <si>
    <t>DE HACIENDA, Nicolás María Garelly DINAMARCA MINISTERIO</t>
  </si>
  <si>
    <t>Nicolás María Garelly DINAMARCA MINISTERIO DE HACIENDA</t>
  </si>
  <si>
    <t>…D. José María Manescau, régeme de la audiencia de Madrid. Tendréislo entendido, y lo comunicareis á cjuien corresponda—Esta ru bricado de la Real mano. =: En Riofrio a 14 de Agosto de 1854. = A (Continuación del correo anterior.) D. Nicolás María Garelly. DINAMARCA. MINISTERIO DE HACIENDA DE ESPAÑA. Copenhague 12 Je Julio. De algunos años 4 ésta parte disminuye considerablemente el número Reales órdenes. de buques que pasan el Sund. En 1830 su número ascendía 4 13,162; en 1831, 4 12,942; en 1832 4 12,202; en 1833 a 10,385 , yen el corriente año de J834 Habiendo dado cuenta á la Rein…</t>
  </si>
  <si>
    <t>de Hacienda, Sccretartp del Dcspacho</t>
  </si>
  <si>
    <t>Sccretartp del Dcspacho de Hacienda</t>
  </si>
  <si>
    <t>…ales entupa minoría, época la mas azarosa para una monarquía, los $ecretaxjoi del Despacho la independencia del lista memo. v % ^ ejemplb ul vez únícofcn la historia de lasnaríqncs; y en está época se habían * »Hoy, ha'-dtcfao el Sr. Sccretartp del Dcspacho de Hacienda que el qríoís- de, echar los cim¡enta£v¿ la ielicídad dé la patria; en una minoría , en medio de ferio se proponía ser sumameniesóbrioen lo que hablase; y dijo sobrio» por una guerracivil, suscitada por un Príncipe que aspira ál 'trono;' haciéndose al no llegar á expresar-quesera nuestra-resolución…</t>
  </si>
  <si>
    <t>de Hacienda, Secretare del Despacho</t>
  </si>
  <si>
    <t>Secretare del Despacho de Hacienda</t>
  </si>
  <si>
    <t>…royecto del Go El Sr. marques de Someruelos y el Sr. Crespo de Tejada , usando del de bierno , sino los de la comisión que seán compatibles con él.” recho que les concede el art. 87 del reglamento, pidieron que se expresase en El Sr. Secretare del Despacho de Hacienda dijo que habiéndose aproba el acta haber sido de contrario dictamen al art. 3.° aprobado ayer por el Es do el dictamen de la minoría, se estaba en el caso de discutir el artículo 4*° tamento del proyecto de ley sobre deuda extrangera. Asi se acordó. del proj'ecto del Gobierno , y que el 4-° de la c…</t>
  </si>
  <si>
    <t>de Hacienda, Secretaria del Despacho</t>
  </si>
  <si>
    <t>Secretaria del Despacho de Hacienda</t>
  </si>
  <si>
    <t>…e con el Infante Don ”Partiendo de-este:'principio, y admitido entre nosojfós qué solo enten Sebastian se tome, y que si ho jura, no se le dé nada.” demos por Infantes los hijos de nuestro». Reyes y Príncipes, Ja comisión no . El Sr. Secretaria del Despacho de Hacienda t «En España generalmen ha señalado al D. Sebastian ninguna asignación como tal infante : no ha he te nunca se ha exigido juramento, sino para reconocer á los Príncipes de As cho mas que respetar los contratos matrimoniales que ha jetado , porque al fin turias, como sucesores á la corona, de suerte…</t>
  </si>
  <si>
    <t>de Hacienda, Secretarla</t>
  </si>
  <si>
    <t>Secretarla de Hacienda</t>
  </si>
  <si>
    <t>…hacer diferencia «ntre la deuda francesa y la otros pagásemos las que pudiese contraer D. Cárlos. inglesa, ni manifestarse mas favorables 4 una que á otra.” «Ademas el hecho es que hay reprobación anterior de parte del Gobier El Sr. Secretarla de Hacienda: «Para satisfacer 4 S. S. diré que no hay no legítimo, 4 cuya cabeza estaba el Rey. Asi que hubo noticia del emprésti duda dije no debía hacerse diferencia entre el capital de la deuda francesa y el to de las regencias facciosas, S M. como Rey constitucional le desaprobó y de la inglesa. Entonces n…</t>
  </si>
  <si>
    <t>de Hacienda, Secretarlo</t>
  </si>
  <si>
    <t>Secretarlo de Hacienda</t>
  </si>
  <si>
    <t>…nado menor , se pagan 10 mrs. por cabeza cuando no llegan á cien ñor Presidente del Consejo de Ministros tuviese la bondad de decirnos &gt;i cree to ; y en llegando, dos cabezas, las mejores, como asi lo dicen las ejecutorias que el Sr. Secretarlo de Hacienda se propone, cuando se trate de la deuda in „ que tiene el graá prior; de lo que nadie está exento, ni seglar, ni cura ni frai terior, hablar de las propiedades que puedan corresponder á aquellos cuerpos ó le: hasta los PP. Jesuítas del colegio imperial de Madrid, que sin duda ten establecimientos q…</t>
  </si>
  <si>
    <t>…marítimos, se deciden en este tribunal r y lo mismo la» de presi negocios de Gobierno , ios pleitos civiles, y las causas criminales* por manera dios, bien que desde el Ministerio de Ballesteros se hayan separado, y dos so que el Sr. Secretarlo de Hacienda, al hacer en su memoria la observación que lamente correspondan á Guerra, que son, si no me engaño, CeuU y Tarifa, ha motivado esta reducción, no tuvo presente que si el importe de este tribu y los demas ésten bajo la dependencia del ministerio de lo Interior. nal es i la verdad considerable , y ca…</t>
  </si>
  <si>
    <t>de Hacienda, Secretarlo del Despacho</t>
  </si>
  <si>
    <t>Secretarlo del Despacho de Hacienda</t>
  </si>
  <si>
    <t>…s^por sed .paramente reglúnea • : que sepidee» útil ¿&gt; indispensable y beneficioso á la Nación, lo presenie al lo- ■•!■ - : islativopara que pasadoslortrámites dispuestos por laJey fundamental llegue«rio.” ■ - í’.-.v. ■ _~ v " El Sr. Secretarlo del Despacho de Hacienda :«No ea tan paramente re-; Í ser ley lo que se pidió. ' /ti -; glamentariocomo parece', pues ae fija en él que parte de la deuda pasiva ba ile -» Esta, conducta franca yleal del poderejecutivo liga,al legislativo, y le» vasar á la «lase de activa anualmente, y eito no esde reglamento, lino de ley.…</t>
  </si>
  <si>
    <t>…en su totalidad por la comisión mista ninguna de las dos op-riniif licia urbana, remitidos por el mismo Sr. Secretario. pronunciadas, se acordó que je suspendiese la sesión para que reunida de cuero Se dió cuenta de un oficio del Sr. Secretarlo del Despacho de Hacienda, la comUion el lune» "17 del corriente á las ocho de la ntxhe, se procediere í trasladando otro del Sr. D. Jacobo María PaTga, desde Betanzos, por el que examinar si habría algún término medio cipaz dé producir la deseada concilia acreditaba haber prestado juramento como Pióccr del reino ante el cu…</t>
  </si>
  <si>
    <t>…n los Gobiernos de hecho existen facultades para hacer con na un Príncipe de mala fé pudiera, al mismo tiempo que estuviera gobernando trato».” - Ja Nación, suscitar partid is, alimentar ocultamente insurrecciones y parcialida El Sr. Secretarlo del Despacho de Hacienda: *&gt;Después de la detenida des y decir á los fautores de ellas: tomad empiéstito* que yo aprobaré todo lo discusión q le antes ha habido acerca de este asunto, y del notable y luminoso que. hagais. Me parece que semejante idea no es bastante argumerrto para des voto particular de uno de los individu…</t>
  </si>
  <si>
    <t>…uando el tándola el Gobierno, como creó que no tendrá dificultad en hacerlo.” excitar una discusión sobre un objeto parecido puede'repetiíse continuamente.” El Sr. Ftrrer: «El otro dia se desechó que el Gobierno estuviese obli El Sr. Secretarlo del Despacho de Hacienda: «Por, lo mismo que sé la gado á dar cuenta á las Córtes cuando movilizase la Milicia; pero ahora se tra práctica de los Gobiernos representativos y conozco las facultades de las Pro ta de un punto mas interesante, cual es el de reformarla, ó suspenderla, y son curadores, he dicho que pueden estos…</t>
  </si>
  <si>
    <t>…ara que sobre esas exis mariscales de campo , y tienen que sostener una oficina costosa: de consiguien tencias no se puedan formar otros nuevos.” te, si á su sueldo de 609 rs. se les rebajasen 109, mas los gastos de esta ofici El Sr. Secretarlo del Despacho de Hacienda: »Va ha dicho el Sr. Se na, quedarían perjudicados y peor que sí estuviesen de cuartel, hallándose de cretario del Despacho de Estado, que para formar nuevos cuerpos de suizos se Servicio activo y en un cuerpo que ademas del trabajo material hace mucho ho requiere estipular nuevas contratas con los…</t>
  </si>
  <si>
    <t>de Hacienda, Secretdfíá'del Desparto</t>
  </si>
  <si>
    <t>Secretdfíá'del Desparto de Hacienda</t>
  </si>
  <si>
    <t>…El no hacerlo asi seria privamos de las luces dad de los contratas, ni para anular en nombre de la fuerza los actos que han' que nos quisieran dar.” tenido su origen en el derecho: y los Procuradores del remo re apresuran boy El Sr. Secretdfíá'del Desparto de Hacienda: "Me parece que el espíri á protestar enérgicamente contra el principio reconocido en estos últimos años, tu del Estatuto Rjlu es igual al del reglamento. A los españoles no se Ies de que debían declararse nulas todos lo* actos que se verificaron en la sociedad, ha impedido que acudan con sus recla…</t>
  </si>
  <si>
    <t>de Hacienda, Secutarlo del Despachó</t>
  </si>
  <si>
    <t>Secutarlo del Despachó de Hacienda</t>
  </si>
  <si>
    <t>…en en los Estamentos antes que se insertasen en dicho vanecidas las facciones, podremos tener mas tolerancia; pero mientras exista, es • periódico.” necesario que noarmemos á nuestros enemigos, para evitar que puedan repetir ^ El Sr. Secutarlo del Despachó de Hacienda: «Es exacta la observación los funestos ejemplos que han dado en Navarra y demas provincias asoladas de S. S. &gt; y soy de su misma opinión. Así es que mis órdenes sobre la ley que tan lastimosamente por da implacable tenacidad de aquellos. Se ha citado con- &gt; acabo de leer fueron que se llevase á la…</t>
  </si>
  <si>
    <t>de Hacienda, Seeretarió del Despacha</t>
  </si>
  <si>
    <t>Seeretarió del Despacha de Hacienda</t>
  </si>
  <si>
    <t>…4 propósito, as learó lló por algún tiempo encargada é la diputación de loe trinos; la cual recauda proyecto de ley presentado por el ministerio.** ba lo* productos, pagaba la cuota estipulada al tesoro público, y reservaba el El Sr. Seeretarió del Despacha de Hacienda: «No tiene el ministerio^ resto en el fondo de reinos. Aun hubo tiempo en que la misma vigiló sobre la oposición njnguna en que te lea su proyecto. La discusión debe abrazar loe ' aplicación de los gastos, fijando la manera en qoe se habían de abocar estos, y tres puntos, es decir, el proyecto del…</t>
  </si>
  <si>
    <t>de Hacienda, Setretario del Despacha</t>
  </si>
  <si>
    <t>Setretario del Despacha de Hacienda</t>
  </si>
  <si>
    <t>…ores que. El Sr, Islúriz fue de parecer que no deberia señalarse uniforme para la. quisiesen hablar sobre él,.y,de to qúese alargase 1« disensión., \ Milicia urbana, y que teniéndole ya los que actualmente la forman, te distin El Sr. Setretario del Despacha de Hacienda: ó Dos son lis adiciones que guirían itíejór dé los qué entren después. / ■ , ha hecho la comi.ion al artículo del. Gobierno: la una « que este, dé'cuenta</t>
  </si>
  <si>
    <t>de Hacienda, Societario del Despacho</t>
  </si>
  <si>
    <t>Societario del Despacho de Hacienda</t>
  </si>
  <si>
    <t>…r su lugar en Ja comisión de cia que daría al Gobierno la máxima de que un empleado separado de su des Poderes al Sr. conde de Adanero, que había ya regresa» cumplida ,1a saya.. . tino dejase por el hecho mismo de ser elector. El Sr. Societario del Despacho de Hacienda ocupó la tribuna y leyó Ib "Extraño es que ese ayuntamiento que reclama contra su elección prime ley sobre,deuda extrangera y empréstito de 400 millones de reales sancionada ra , fundado en que el nombrado no tenia fincas ni nada que lo ligase al pais, por S. M. la Reina Gobernadora. 1 haya nombrad…</t>
  </si>
  <si>
    <t>de Hacienda, Srio</t>
  </si>
  <si>
    <t>Srio de Hacienda</t>
  </si>
  <si>
    <t>…principio que las consideraciones morales. Perfectamente dicho ; pero tado que en otras ¿pocas, ni hubo disputas sobre si tenia bastante ó sobraba. R1 ya no estamos en este caso, ya se trata de hechos positivos. &lt; Y cuáles son és Sr. Srio. de Hacienda dijo ayer que U Nación estaba en mejor estado que en el tos hechos ? Las Córtes dijeron á una comisión de su seno examina estos pre año 14í y el Sr. Caballero es de distinto modo de pensar. Yo no sé cuál ten supuestos. Asi lo ha hecho la comisión,y por boca de uno de sus individuos drá razón; pero…</t>
  </si>
  <si>
    <t>de Hacienda, Stcretario del Despacho</t>
  </si>
  <si>
    <t>Stcretario del Despacho de Hacienda</t>
  </si>
  <si>
    <t>…’,’ pira ver si podiá aplicarse ése mismo secreto i otrarebaja V¡Mdo,-Carrasco;, Somoza, Tejar, Claro», González f D. Antonio), Marín, mayor.”.' ’ , ' Llano ChayamyTorrens, Samponts, Palandarixs, Puig, Larri va, Rrvaherrera, v El Sr. Stcretario del Despacho de Hacienda: «Atmqueno ea costrmv- marques de Villacampo, Onliveros, Domecq, Uiloa, Afolé Galiano , Montes fcre , ni pedir Sus secretos á btrCL. ni esté revelarlos; aquello á que se quiere de Oca, Istúriz, Tosquellas, Pedrajas, conde de las Navas, Sánchez Toseano. dar ahora ese nombre de secreto, ea cosa senci…</t>
  </si>
  <si>
    <t>de Haciende, SacMOrio del Despacho</t>
  </si>
  <si>
    <t>SacMOrio del Despacho de Haciende</t>
  </si>
  <si>
    <t>El Sr. SacMOrio del Despacho de Haciende mnifeti que habtfadnee y* El Sr. Argflellre rogó al Sr. Montevírgen retirase su moción, exponien tratado el asunto referido con mucha detención en ambos Estamentos, y sien do que en la disensión podrían explayarse las razones que tenia la comisión pa do notorio lo urgente de sil resolución, podia e…</t>
  </si>
  <si>
    <t>de Hacinula, S.crerarh del Despacho</t>
  </si>
  <si>
    <t>S.crerarh del Despacho de Hacinula</t>
  </si>
  <si>
    <t>…d ha adoptado la íjmrcha que acaba de indicarnos el Sr. conde de las varias rebijis, resultando de todas ellas el ahorro total de i.252,6~2 rs. vn. Navas: esc justo medio tan censurado, y que por tanto pjrccc que curióte ahora El Sr. S.crerarh del Despacho de Hacinula: éUna de las partidas que la aprobación de S. S*”</t>
  </si>
  <si>
    <t>de Hará, Antonio Evaristo</t>
  </si>
  <si>
    <t>Antonio Evaristo de Hará</t>
  </si>
  <si>
    <t>…n época; que los seguimos con entusiasmo; que fuimos envueltos entre sus Fernando Miranda; para el de Don Benito a D. Pedro Galyis López, alcalde que hay hombres ilustrados y liberales, que mayor de Bancarrota; para el de Orgiz á D. Antonio Evaristo de Hará;rruinas»,—.Sin embargo, sabemos de buena fe son contrarios á aquellos principios, porque los consideran exage para el de Grazalema á D. Francisco Montorov Navarro, corregidor de Torrado* y peligrosos. La experiencia hizo ver que el duque de Palmella era dé quemada; para el de Arenas de h. Pedro a L…</t>
  </si>
  <si>
    <t>de Harneada, Secretaria del Despacho</t>
  </si>
  <si>
    <t>Secretaria del Despacho de Harneada</t>
  </si>
  <si>
    <t>…os bonos de Córtes desde que S. S.: todas las deudas contraídas hasta ahora han tenido señalado el fondo del ha cesado nt pago hasta el presente.” 1 por 100 para amortizarse, de suerte que entre 37 y 45 años se extinguían cn : El Sr. Secretaria del Despacho de Harneada: «El Gobierno admire la virtud de este fondo y su aplicación , á ínteres compuesto. En Inglaterra, don adición del Sr. preopinante, que puéde formalizarse añadiendo á ella la cláu de: se seguía este sistema como en la demás N10ana, por efecto de 1» doc sula de los ¿Sietes ¡lamados ie premio , qne p…</t>
  </si>
  <si>
    <t>de Haro, Alonso Nuñez</t>
  </si>
  <si>
    <t>Alonso Nuñez de Haro</t>
  </si>
  <si>
    <t>…son el de S. Matías y el de S. José.—Colección de sermones del mismo autor; un tomo en 4-°, a 16 rs. en rústica y 20 en pasta.— Sermones escogidos, morales y panegíricos, 1 platicas espirituales y cartas pastorales del Excmo. Sr. D. Alonso Nuñez de Haro, Pueblo». Día». Enfermos. Curados. Fallecidos. arzobispo de Méjico, con ét’retrato del autor y un resúmen Je su vida: tres romos en 4 o. á 50 rs. en pasta y 38 en rústica.—Tratado de la perspectiva linear y aerea, para uso-de los principiantes y aficionados á las nobles artes que desean saber con i…</t>
  </si>
  <si>
    <t>de Haro, D Alonso Nuñez</t>
  </si>
  <si>
    <t>D Alonso Nuñez de Haro</t>
  </si>
  <si>
    <t>…re. son el de S. Matías y el de S. José.—Colección de sermones del mismo autor; un tomo en 4-°, a 16 rs. en rústica y 20 en pasta.— Sermones escogidos, morales y panegíricos, 1 platicas espirituales y cartas pastorales del Excmo. Sr. D. Alonso Nuñez de Haro, Pueblo». Día». Enfermos. Curados. Fallecidos. arzobispo de Méjico, con ét’retrato del autor y un resúmen Je su vida: tres romos en 4 o. á 50 rs. en pasta y 38 en rústica.—Tratado de la perspectiva linear y aerea, para uso-de los principiantes y aficionados á las nobles artes que desean saber con i…</t>
  </si>
  <si>
    <t>de Haro, José Fernandez</t>
  </si>
  <si>
    <t>José Fernandez de Haro</t>
  </si>
  <si>
    <t>…dad de percibir cantidades por los dividendos, que se hicieren, para que ep el término de quince días presenten los correspondida PuebH de D. Fadriquc para llevar adelante la importantísima obra del canal tes documentos al dóctor D. José Fernandez de Haro, síndico de dicha testamentaría, Tfomado dc Múifcia. bajo apercibimiento de que parará perjuicio al que no 3o verifique. EN LA IMPRENTA REAL.</t>
  </si>
  <si>
    <t>de Haro, Lope</t>
  </si>
  <si>
    <t>Lope de Haro</t>
  </si>
  <si>
    <t>…ella la gran prosperidad, la ilustración que todos admiramos en esa claró en una junta que se celebró en Toledo, y en donde llevó la palabra pri tierra clásica de la libertad bien entendida, del patriotismo y de toda suerte mero D. Lope de Haro, y después el Infante D. Manuel , que pronunció un dis de virtudes públicas y privadas. curso notable que nos ha conservado la crónica del Rey D. Alonso. Las Córtes »En la moderna Francia lo hemos visto: hace cuatro años que arrojó del de Segovia afianzaron y legitimaron el juicio de la junta de To…</t>
  </si>
  <si>
    <t>…eneral 2.° cabo de Galicia dirige á este ministerio el parte qui con fe los castillos y fortalezas que mandaba cuando quedó de Reina en Castilla y cha de 1&amp; del corriente le remite desde Chaves el gefe de la plana mayor Don león. D. Lope de Haro, que fué despachado por la Reina Doña Eerenguelá Joaquín Ortizde Zirate, que es como sigue: «Por mi oficio del 11 anuncié á despiesde haberla jurado como sucesora de su hermano D Henrique, para V. S. que las autoridades portuguesas me pedían auxilio para destruir la facción alcanzar del Rey de león…</t>
  </si>
  <si>
    <t>de Heredia, D José</t>
  </si>
  <si>
    <t>D José de Heredia</t>
  </si>
  <si>
    <t>…la sección de Fomento del con Reales decretos. A sejo Real de España é Indias , creado por mi Real decreto de 24 de Marzo último, vengo en nombrar á D. Jóse Canga Arguelles, He venido en jubilar á D. Juan Crisóstomo de Frias y á Don D. José de Heredia, D. Justo José Banqueri y D. Vicente Gon José María Cherif, oidores de la Real audiencia de Sevilla, con zález Arnao. Tendréislo entendido, y lo comunicareis á quien corel sueldo que les corresponda por clasificación. Tendréislo entendi responda.=Está rubricado de la Real mano, pr En Aranjuez i 7 d…</t>
  </si>
  <si>
    <t>de Heredia, José</t>
  </si>
  <si>
    <t>José de Heredia</t>
  </si>
  <si>
    <t>…® Esta inscripción se expide í consecuencia de un con venio celebrado en Madrid en de deta Gobernadora, á nombre y en representación de S. M. Católica Doña Isa entre S. M Católica la R&amp;ika de España y los Estabel ti, al Excmo Se. D. José de Heredia , Caballero Gran Cruz de la Real dos-Undos de América, para el pago de las r^rlarra—Orden Americana de Isabel la Católica, del Consejo de S. M. en el supremo cioncs de los ciudadanos de dichos Estados.de Hacienda, Enviado extraordinario y Ministro plenipotenciario cesante, y Presidente de la Real J…</t>
  </si>
  <si>
    <t>…sección de Fomento del con Reales decretos. A sejo Real de España é Indias , creado por mi Real decreto de 24 de Marzo último, vengo en nombrar á D. Jóse Canga Arguelles, He venido en jubilar á D. Juan Crisóstomo de Frias y á Don D. José de Heredia, D. Justo José Banqueri y D. Vicente Gon José María Cherif, oidores de la Real audiencia de Sevilla, con zález Arnao. Tendréislo entendido, y lo comunicareis á quien corel sueldo que les corresponda por clasificación. Tendréislo entendi responda.=Está rubricado de la Real mano, pr En Aranjuez i 7 d…</t>
  </si>
  <si>
    <t>…; D. Miguel Moreno- una visita á lord Palmerston, y el 16 será presentado á S. M. Un Para la de Fomento á D. Juan Alvarez Guerra, decano; Don número considerable de distinguidos personages, incluso el cuerpo José Canga-Arguelles; D. José de Heredia; £&gt;. Justo José Ban- diplomático, han ¡do á visitarle. (Courier.) queri; D. Vicente González Arnao. ____ La Gaceta de Augsbttrgo copia un parte deViena del 26 úl Para la sección de Indias á D. Manuel de la Bodega, decano; timo , qué entre otras cosas contiene lo siguiente: Se sabe que el D- Ramón G…</t>
  </si>
  <si>
    <t>de Herenchun, Andrés</t>
  </si>
  <si>
    <t>Andrés de Herenchun</t>
  </si>
  <si>
    <t>…Vitoria: D. José María de tan fiel servidor, ha tenido á bien conferirle la plaza de conser Puente, presbítero sacristán de la parroquial de S. Vicente de la vador del Real patrimonio de la nueva población de S. Carlos de misma: D. Andrés de Herenchun, beneficiado de Aberasturi: Don ' la Rápita , en el Principado de Cataluña, con la asignación de 16 Isidoro Ruiz , beneficiado de Gamara mayor: D. Marcelino de Le- reales vellón. De Real órden lo comunico á V. E. para su in zaza,-presbítero beneficiado de Nanclares de la Oca: D. Pedro Ve teligencia…</t>
  </si>
  <si>
    <t>de Herrera, Pedro Jiménez</t>
  </si>
  <si>
    <t>Pedro Jiménez de Herrera</t>
  </si>
  <si>
    <t>…titulaba capitán de lá compañía be han mandado devolver algunas multas y costas impuestas por denuncia delZ° batallón del faccioso Castor, que fue hecho prisionero el dia lu. de d&lt;m»s tm-^inarias Se han fomentado los arbolados, y D. Pedro Jiménez de Herrera ha Fe El mismo capitán general acompaña con igual fecha de 16 el parte que cho plantar 5»'o p es de morera y otros 1 4B arboles; igualmente D. Ramón le da el capitán D José Martin de Azcarue, comandante de la columna mó Gómez de la Torre ha formado un paseo adornando aquel sitio y ib» intnedix» vil…</t>
  </si>
  <si>
    <t>de Holanda, Guillermo</t>
  </si>
  <si>
    <t>Guillermo de Holanda</t>
  </si>
  <si>
    <t>…e Francia obtienen por este tratado rado mucho tiempo. (Courier.) todas las ventajas de que coran las naciones que fueron las primeras en recono cer oficialmente la independencia de Buenos-Aires. Se dice sin embargo que este — ,m Príncipe Guillermo de Holanda, que va embarcado en clase de marino convenio encontrará mucha oposición en el Senado, cuyos individuos no son en un buque de guerra de su nación, llegó á Portunouth dias pasados¿ y de amigos de los franceses.</t>
  </si>
  <si>
    <t>de Hore, D Rafael</t>
  </si>
  <si>
    <t>D Rafael de Hore</t>
  </si>
  <si>
    <t>…añías de Granada, porqué ademas mos precisión de variqr -alguna cosa en U ley f por mas perfecta que queramos de los servicios indicados, se hallan en tal piq de instrucción bajo la dirección hacerla?” ' de su digno comandante «1 Sr. D. Rafael de Hore, mi apreciabíe amigo, que El Sr. Secretario del Despacho de lo Interior, para deshacer asimismo una de resultas de haberlo presenciado el Sr. enarques de las Aanarilla^ cuando es equivocación en que dijo haber incurrido el señor preopinante , manifestó que tuvo allí de espiran general, luego cuando…</t>
  </si>
  <si>
    <t>…eral de Valencia y Murcia lo que sigue : para acotar sus heredades, y vender libremente sus productos , siempre que no &gt;»Excmo. Sr.: A mi llegada al monasterio de Benifasar el 11 del corriento esté arrendada su venta. supe que el general D. Rafael de Hore .comandante general del Este de la pro Ha protegido la construcción de'un estanque en Villar de Arnedo, i fin vincia de Valencia, tenia principiada en virtud de mis indicaciones anteriores de proporcionar riego á los campos del término de Nidria les. una Operación combinada con el gobernador de Tor…</t>
  </si>
  <si>
    <t>de Hore, Rafael</t>
  </si>
  <si>
    <t>Rafael de Hore</t>
  </si>
  <si>
    <t>…s de Granada, porqué ademas mos precisión de variqr -alguna cosa en U ley f por mas perfecta que queramos de los servicios indicados, se hallan en tal piq de instrucción bajo la dirección hacerla?” ' de su digno comandante «1 Sr. D. Rafael de Hore, mi apreciabíe amigo, que El Sr. Secretario del Despacho de lo Interior, para deshacer asimismo una de resultas de haberlo presenciado el Sr. enarques de las Aanarilla^ cuando es equivocación en que dijo haber incurrido el señor preopinante , manifestó que tuvo allí de espiran general, luego cuando…</t>
  </si>
  <si>
    <t>…Valencia y Murcia lo que sigue : para acotar sus heredades, y vender libremente sus productos , siempre que no &gt;»Excmo. Sr.: A mi llegada al monasterio de Benifasar el 11 del corriento esté arrendada su venta. supe que el general D. Rafael de Hore .comandante general del Este de la pro Ha protegido la construcción de'un estanque en Villar de Arnedo, i fin vincia de Valencia, tenia principiada en virtud de mis indicaciones anteriores de proporcionar riego á los campos del término de Nidria les. una Operación combinada con el gobernador de Tor…</t>
  </si>
  <si>
    <t>de Hore, Sr D Rafael</t>
  </si>
  <si>
    <t>Sr D Rafael de Hore</t>
  </si>
  <si>
    <t>…tipo las compañías de Granada, porqué ademas mos precisión de variqr -alguna cosa en U ley f por mas perfecta que queramos de los servicios indicados, se hallan en tal piq de instrucción bajo la dirección hacerla?” ' de su digno comandante «1 Sr. D. Rafael de Hore, mi apreciabíe amigo, que El Sr. Secretario del Despacho de lo Interior, para deshacer asimismo una de resultas de haberlo presenciado el Sr. enarques de las Aanarilla^ cuando es equivocación en que dijo haber incurrido el señor preopinante , manifestó que tuvo allí de espiran general, luego cuando…</t>
  </si>
  <si>
    <t>de Hotos, Ignacio</t>
  </si>
  <si>
    <t>Ignacio de Hotos</t>
  </si>
  <si>
    <t>…li de Acre por haber quebrantado la prohibición referida. El numero de insur geros D. Juan Arró.pide siguiesen con otra de refuerzo ; y al bizarro coronel gentes que se levantaron en aquella parte de Siria se valuaba en unos 253 D. Ignacio de Hotos confié la reserva compuesta de otras dos mitades al cargo hombre-»: pero luego prendió el fuego de la insurrección erpre los árabes ane del teniente del S.® ligeros D. Gregorio González, y del alférez del 6.® Don xes al Oriente del Jordán y entre los amafies en las montañas de Trípoli. Un Joaquín G…</t>
  </si>
  <si>
    <t>de Hoyos, D Ignacio</t>
  </si>
  <si>
    <t>D Ignacio de Hoyos</t>
  </si>
  <si>
    <t>…tos en la los ferina. camino real, y cerca de los de Villamayor divise los facundos á cerca de freí Madrid 7 dt Agosto* cuartos de legua, y sin atender á la mucha distancia cargué sobre ellos cnu una. mitad , confiando la otra al coronel D. Ignacio de Hoyos para que flinq^ease Continúa la lista dt los donativos voluntarios para socorro de los enfermos y por la izquierda con intención de cortarles la retirada: mas conociendo los re menesterosos dt esta capital, con motivo de las enfermedades que se pa beldes cuál era el objeto de esta disposición, gira…</t>
  </si>
  <si>
    <t>…arsvik, Wicklow, Gascoyne, Sa- da i este ministerio un parte del coronel D. Saturnino Albuin., gefe de la se litbury, Beltnore, Wilton, Sandwich, Prudhoe, Glen-gall. (Por#.) gunda brigada de operaciones, por el que resulta que el coronel D. Ignacio de Hoyos, gefe de la plana mayor de la misma, con 50 caballos cayó á las seis FRANCIA. de la tarde sobre el pueblo de Barbadillo del Pez, donde se hallaba toda la fic París 17 de Agosto. ción de Blanco y el trompeta, en número de 70 caballos y algunos infantes, Por decreto de 16 del corriente, leido el mism…</t>
  </si>
  <si>
    <t>de Hoyos, Ignacio</t>
  </si>
  <si>
    <t>Ignacio de Hoyos</t>
  </si>
  <si>
    <t>…a los ferina. camino real, y cerca de los de Villamayor divise los facundos á cerca de freí Madrid 7 dt Agosto* cuartos de legua, y sin atender á la mucha distancia cargué sobre ellos cnu una. mitad , confiando la otra al coronel D. Ignacio de Hoyos para que flinq^ease Continúa la lista dt los donativos voluntarios para socorro de los enfermos y por la izquierda con intención de cortarles la retirada: mas conociendo los re menesterosos dt esta capital, con motivo de las enfermedades que se pa beldes cuál era el objeto de esta disposición, gira…</t>
  </si>
  <si>
    <t>…Wicklow, Gascoyne, Sa- da i este ministerio un parte del coronel D. Saturnino Albuin., gefe de la se litbury, Beltnore, Wilton, Sandwich, Prudhoe, Glen-gall. (Por#.) gunda brigada de operaciones, por el que resulta que el coronel D. Ignacio de Hoyos, gefe de la plana mayor de la misma, con 50 caballos cayó á las seis FRANCIA. de la tarde sobre el pueblo de Barbadillo del Pez, donde se hallaba toda la fic París 17 de Agosto. ción de Blanco y el trompeta, en número de 70 caballos y algunos infantes, Por decreto de 16 del corriente, leido el mism…</t>
  </si>
  <si>
    <t>de Huerta, Felipe</t>
  </si>
  <si>
    <t>Felipe de Huerta</t>
  </si>
  <si>
    <t>…la desaprobación de la ley de los 25 millones ha inspirado algu D- Camilo de Valmaseda...................................................................... na ansiedad en nuestro comercio. Aquí ha producido también una fuerte im D. Felipe de Huerta......................................................................... 20 presión. Nadie lo esperaba: ya se ha calmado la primera impresión, porque Un cobrador del cuartel b^jo de esta corte.......................................... I(io los americanos tienen que atender á negocios mas graves. D. J.M.....................................................................…</t>
  </si>
  <si>
    <t>de Humbold, Alejandro</t>
  </si>
  <si>
    <t>Alejandro de Humbold</t>
  </si>
  <si>
    <t>…de Noviembre• mercio de toda la. Alemania. (G. de F.) 1- $e ha cerrado ya la matrícula en la escuela de Derecho. ' ■ . El número de alumnos que se ha hecho inscribir este alio asciende á 3426, _—Escriben de Berlin que el célebre conde Alejandro de Humbold asiste al es decir, 136mas que el año .pasado. , curso público qué da éri'esta universidad el doctor/Boéckh sobre tas; antigüe Vt'.tí-' , , ,,.(i ,. dades griega, y que. toma sus notas como los demas estúdiantés. (Jdtmi) 1 ' ■ —-El 13 dé Noviembre se han vuelto á abrir los ctinos.en la.escuela poli…</t>
  </si>
  <si>
    <t>de I, Ercsidcntc del Consejo</t>
  </si>
  <si>
    <t>Ercsidcntc del Consejo de I</t>
  </si>
  <si>
    <t>…ntendido, y dispondréis lo necesario guiente* a su cumplimiento. Dio* guarde a \ . E. muc.'ios anos. Madrid 3 de á su cumplimiento.—Está rubricado de la Real mano, Palacio ¿.3 de Enero Fcbrero-dc 13¿4. = Nicous Mar;a^Garedj. — Ai Sr. Ercsidcntc del Consejo de I834.=A D. Tomas Lobo. Rea.'. MINISTERIO L&gt;K LA GUERR.V. Atendiendo á la antigua nobleza y distinguidas circunstancias que concur- [ ren en D. Pedro Agustín C.Tiron,.......... &gt; r------principer de Anglona, queriendo. reco,jipen— RfA ! oyJen ¿irculaA. •.í nlAnts Jt e fe ( sar sus servicios, como a*im…</t>
  </si>
  <si>
    <t>de Í, José María Moscoso</t>
  </si>
  <si>
    <t>José María Moscoso de Í</t>
  </si>
  <si>
    <t>…e individuo, y su empleo ó plaza, con las demas noticias necesarias cesario para su cumplimiento.=Está rubricado de la Real mano.— que no ofrezca ninguna dificultad hallar su origen y formarle En Rioírio á 12 dé Agosto de 1834.=A D. José María Moscoso de Í&gt;araos cargos que correspondan. Altanara. Art. 7De dichos recibos enviará el cónsul, unos al Ministerio de Estado, y otros al de la Marina, con los objetos que quedan pre MINISTERIO DE MARINA. venidos en el artículo 2? Art. 8? Si fuesen muchos los individuos que por prisioneros ó Instrucción que deb…</t>
  </si>
  <si>
    <t>de I, Nicolás Ma Noviembre</t>
  </si>
  <si>
    <t>Nicolás Ma Noviembre de I</t>
  </si>
  <si>
    <t>…. Tendréislo entendido, y lo comunicareis á quien cor- lo comunicareis á quien corres ponda. = Está rubricado de la Real responda.=Está rubricado de la Real mano.=En el Pardo á 19 de mano.nEn el Pardo a 19 de Noviembre de 1854.=A D. Nicolás Ma Noviembre de I834.=A D. Nicolás Alaría GareHy. ría GarellyPara uniformar todas las audiencias del reino al tenor de lo Para la plaza de la Real audiencia de Madrid, vacante por fa dispuesto para la de Madrid, he venido en mandar, que desde el llecimiento de D. Gerónimo Alanuel Cabañero, nombro á T&gt;. J-isé año pró…</t>
  </si>
  <si>
    <t>de Ibar-Navarro, Gerónimo Vafees y Ei Sr</t>
  </si>
  <si>
    <t>Gerónimo Vafees y Ei Sr de Ibar-Navarro</t>
  </si>
  <si>
    <t>…le-en sesión Llauder. ^ pública, por io mómo que la ocurrencia que la motivaba nab a sido también De conformidad con el dictamen de las misma comisión , acordó el Esta públicT - \ mento la admisión definitiva de los Extmns. Sres. D. Gerónimo Vafees y Ei Sr. de Ibar-Navarro se opuso á que se levere en publico, diciendo conde de Cartdgem, por haber encontrado arreglados los Reales nombrafnienque si bien tan desagradable ocurrencia había d td &gt; íu^ir á hieer en el tos de PoVojrc' y otros documentos presentados, i_ ’ nrcnjtp una-proposición, que hubiera sido mejor no h i…</t>
  </si>
  <si>
    <t>de IBiq, D An Samper de Noviembre</t>
  </si>
  <si>
    <t>D An Samper de Noviembre de IBiq</t>
  </si>
  <si>
    <t>…í serán recibidos por las columnas que Regimiento caballería de Botbon, 5.° de l::iea.=Soldado, Antonio Ló los esperan para completar su destrucción. pez, el caballo herido. «Los partes de ayer y antes de ayer que he recibido del coronel D. An Samper 23 de Noviembre de IBiq.^Agustm Nogucras.=:Es copiaj=:Gctonio Van Halen y comandante de armas de Solsona, continúan informán rónimo Váidas. dome del mal estado en que se encuentran Caragol y demas cabecillas qué se le han unido en la alta montaña; pues súdente está descalza, llena de miseria y poseída del mayor espanto por…</t>
  </si>
  <si>
    <t>de ÍBorbon, María Cristina</t>
  </si>
  <si>
    <t>María Cristina de ÍBorbon</t>
  </si>
  <si>
    <t>…spurg, Flan- de archivero, pues S. M. quiere equivalga por ella el desastroso fin des, Tirol y Barcelona; Señora de Vizcaya y de Molina &amp;c. &amp;c. y que hubo de sufrir por su puntualidad en acudir á servirlo, y por en su Real nombre Doña María Cristina de ÍBorbon, como Reina su fidelidad á la Reina nuestra Señora Doña Isabel tt. De Real or Gobernadora durante la menOT edad de mi exyelsa Hija, á todos los den lo comunico á V. S. para noticia de la diputación y su debido que las presentes vieren y entendieren, sabed: Que para dar cum cumplimiento. Dios guarde…</t>
  </si>
  <si>
    <t>de Igartua, José María</t>
  </si>
  <si>
    <t>José María de Igartua</t>
  </si>
  <si>
    <t>…e cada tres años ; pero los patronos tienen la fin.ulrad de proregar di*, ho 8,266. 500.................................... Madrid. tiempo. Se admiteo memoriales -hasta el 24 del corriente. Los aspirantes dirigirás su solicitud á D. José María de Igartua, secretario interino .de la Real academia greco-iatioa de esta corte. ■ La corbeta de vapor Reino Amalia, propia de la Real compafiía del Guadalqui ANUNCIOS. vir y canal de 5. Fernando, hará tres viajes para conducir pasag*ros á los puertos de la Corufia y Santander, á su ida y regreso, en los dias…</t>
  </si>
  <si>
    <t>de Ilus, Presidente del Estamento</t>
  </si>
  <si>
    <t>Presidente del Estamento de Ilus</t>
  </si>
  <si>
    <t>…de Enero próximo, y conducirá la corres Excmos. Sres. gefes de Palacio, gentiles hombres de Cámara, y demas indivi pondencia para la isla de Cuba, Puerto-Rico y Canarias; lo que se avisa al duos de la Real servidumbre. El Exctno. Sr. Presidente del Estamento de Ilus público para su inteligencia. tres Próceres hizo presente á S. M. el objeto de la comisión, y puso en sus augustas manos el referido proyecto de ley. S. M. se dignó contestar: »Lo tomaré en consideración”; entregando el proyecto al Sr. Secretario d¡el Des pacho de lo Interior por corresponder á neg…</t>
  </si>
  <si>
    <t>de Imáz, José</t>
  </si>
  <si>
    <t>José de Imáz</t>
  </si>
  <si>
    <t>…ones oportunas para la recomposición del cami Sra. Viuda de Balez................................................................................. 1000 no que conduce desde Rubastro á Bielja en beneficio de los que comercian en • D. José de Imáz...................................................................................... 1000 la extracción de lanas por aquel punto, y siguen instruyéndose algunos expe Dos señoras que no han dado el nombre............................................. 130 dientes de igual naturaleza, habiéndose resuelto definitivamente cuatro de loa D. Antonio Merino...........................................…</t>
  </si>
  <si>
    <t>…Los alcaldes ordinarios de todos los pueblos cesarán dido, y lo comunicareis á quien corresponda—Está rubricado por desde luego en el ejercicio del poder judicial, que hasta el presente S. M =F.n Aranjuez á 19 de Abril de 1834—A D. José de Imáz hubieren desempeñado, y remiiirán los procesos y expedientes de Baquedano. justicia que pendieren en sus juzgados, á los jueces letrados de las cabezas de partido para su continuación y fallo con arreglo á las He venido en nombrar para presidente del tribunal supremo leyes exceptuándose únicamente…</t>
  </si>
  <si>
    <t>de Inri, Miguel</t>
  </si>
  <si>
    <t>Miguel de Inri</t>
  </si>
  <si>
    <t>…urso habían promovido una suscripción para aumentar los medios de evitar los es .ordinario en Atbox, fierja, Gador Lucar, María, Serón, Tavcmas, Vclez el Blanco y Vera* tragos del mal. PROVINCIA OH ALICANTE. El presbítero español D. Miguel de Inri, que emigrado de F«paña des Su gobernador civil avisa con facha 2 del corriente que la enfermedad que de 182S , se halla en el dia sirviendo el curato de Dun le Poelicr en Francia;</t>
  </si>
  <si>
    <t>de Io, El Sr Secretario del Detpacho</t>
  </si>
  <si>
    <t>El Sr Secretario del Detpacho de Io</t>
  </si>
  <si>
    <t>…mó otra para que la base de población que señalaba de 203 de sus principales. almas se redujese á solo 153. Se tomó en consideración por el Estamento dicha adición. Se tomó en consideración, y pasó i la cómision, la siguiente del señor El Sr. Secretario del Detpacho de Io Interior: «Habiéndose aprobado la Montenegro. «Pido al Estamento que i la tercera cualidad del art. 3.° se aña adición anterior del Sr. lstúriz, juzgo que es inútil la presente. Ademas veo dan las palabras siguientes en los pueblos que no excedan de lo9 almas y en que en ella se asimilan los depend…</t>
  </si>
  <si>
    <t>de Irachett, Fermín</t>
  </si>
  <si>
    <t>Fermín de Irachett</t>
  </si>
  <si>
    <t>…tada á. olvidar lo que aprendió con elogios de stia pa miáiiiosscntimienloe animan.á todala guarnición..Fuerte de Peralta 8 de No- dres y maestros, ni ó, comprender las bellezas, n¡;i adquirir «1 gusto de I» , viembre de 1B34==EI comandante Fermín de Irachett.=A D. Tomas Zumb buena poesía. " ' ' ; ía carregui.” 4° ”D- Juan Antonio: Nunca manché mi conducta con ninguna debili dad , y mi existencia la miraria como un oprobio , si solo me ocurriese la XB4I tOTBRJA SOSBIVA 1 idea de rendirme. Eq mí mtlérte- solo fundará Vi la victoria: este es mi de V ber, s…</t>
  </si>
  <si>
    <t>de Iriarte, D Fermín</t>
  </si>
  <si>
    <t>D Fermín de Iriarte</t>
  </si>
  <si>
    <t>…l cabecilla D. Guillermo 1.0 ¿el OJiciat aventurero, se venden en esta corte librería de Rasóla, y en Barcelo- I na en ia de Bergnes y compañía, á 4 rs. llevando toda la colección, 745 por nove- ] Díaz en el pueblo de Lastras: el coronel D. Fermín de Iriarte, en Bilmaseda, las sueltas. , ha dispersado el dia 30 del pasado á los del faccioso Castor, con pérdida de 3 — -----Los suscriptores á la x.a clase del nuevo periódico filarmónico ("titulada Lira ds\ muertos y ó heridos; y el 31 les volvío a dar alcance, matándoles 10 hom jípalo, año 5.0), pasarán…</t>
  </si>
  <si>
    <t>de Iriarte, Fermín</t>
  </si>
  <si>
    <t>Fermín de Iriarte</t>
  </si>
  <si>
    <t>…lla D. Guillermo 1.0 ¿el OJiciat aventurero, se venden en esta corte librería de Rasóla, y en Barcelo- I na en ia de Bergnes y compañía, á 4 rs. llevando toda la colección, 745 por nove- ] Díaz en el pueblo de Lastras: el coronel D. Fermín de Iriarte, en Bilmaseda, las sueltas. , ha dispersado el dia 30 del pasado á los del faccioso Castor, con pérdida de 3 — -----Los suscriptores á la x.a clase del nuevo periódico filarmónico ("titulada Lira ds\ muertos y ó heridos; y el 31 les volvío a dar alcance, matándoles 10 hom jípalo, año 5.0), pasarán…</t>
  </si>
  <si>
    <t>de Iríarte, Tornas</t>
  </si>
  <si>
    <t>Tornas de Iríarte</t>
  </si>
  <si>
    <t>…dude de que en ellos se encontrará quizás lo que se desea, con Obras que se hablan de veleta en el despacho de la Jmprenta Real* bastante probabilidad, se dará una idea de 1 os trabajos de este escritor. A me La Música* poema por D. Tornas de Iríarte* tercera edición* año de 1789. Uncu*' diados del siglo pasado nombró el Sr. Rey D. Fernando vi á dicho Veiazquez; derno en +.°, adornado con seis estampas finas, a «¿ó rs. rama y 36 pasea común. £ste poei para averiguar y reconocer las antigüedades de¿España, recorriendo ! este fin ma se halla divi…</t>
  </si>
  <si>
    <t>de Iríbe, Manuel</t>
  </si>
  <si>
    <t>Manuel de Iríbe</t>
  </si>
  <si>
    <t>…allón y susodichas compañías de cazadores; la principal la del capitán de Urbanos D. José de Lesarri. , pues ambos han sido contra fuerzas muy superiores, en terreno deivemafoso, y «Nuestra pérdida consiste en el espitan retirado D. Manuel de Iríbe, en el cual el soldado ha tenido que superar las mayores fatigas para acercarse a muerto; el de igual clase D. Bernabé de las Heras, herido gravemente sin es sus enemigos, parapetados entre las peñas y separados por las infinitas dificulta peranza de vida; el subteniente de=la Reina D. Luis Cornejo…</t>
  </si>
  <si>
    <t>de Iroáz, José</t>
  </si>
  <si>
    <t>José de Iroáz</t>
  </si>
  <si>
    <t>…lorable situación én que por desgracia se encuentra la cárcel. Real decreto ampliando el de amnistía. CTvúm. 18.) Dios guarde á V. S. muchos años. .Avila 2V de Febrero de 1834-=José ^ nombrando ministro de Hacienda en propiedad á D. José de Iroáz. (AfOJ López Requena.=Sr. corregidor de esta ciudad. J___ nombrando director general de Rentas á D. José Aranalde. (Z¿&gt; I __ suprimiendo, jos empleos de direqtof y mayor general de ja Real Axmada l y )j junta de góbiefno de iii , y creando una Real jimia superior de gobicr- | Partes recibidos en la…</t>
  </si>
  <si>
    <t>de Irunciaga, D José</t>
  </si>
  <si>
    <t>D José de Irunciaga</t>
  </si>
  <si>
    <t>…erencia de que nosotros defende heroica villa.................................................................................................. 1000 mos fa Carta como ella es, y la oposición la defiende bajo la condición de ha Ei Sr. D- José de Irunciaga....................-.................... 1000 cerla 'absolutamente distinta de como es. tfosotros no tenemos ningún progra La Fxccna. Sra. condesa de Candías, marquesa de Teran , para ia ma al tado df la Capta. Junta de Sanidad........................................................................................... 320 P-cjo ¿de.qué sir…</t>
  </si>
  <si>
    <t>de Istúnz, Javier</t>
  </si>
  <si>
    <t>Javier de Istúnz</t>
  </si>
  <si>
    <t>…iempre se obedezca lo que se manda. haber nombrado la com¡»ioQ,£cneral de ^presupuestos por decano de la misma á «La contabilidad general del Estado necesita ciertas reformas, empezando D. Joaquín Mari» Ferrer, y por Secretario á D. Javier de Istúnz. desde el ultimó &amp;mtabie, permitáseme la expresión, hasta el tribunal mayor, El Sr. Vicepresidente manifestó-que en el dia- de mañana, según indica que es como la cúpula de e$*te edificio. Falta , pues, bastante que hacer, é imi ción del Sr. Secretario del Despacho de Hacienda, prenotaría este el pr…</t>
  </si>
  <si>
    <t>de IsUndia, Duncannon</t>
  </si>
  <si>
    <t>Duncannon de IsUndia</t>
  </si>
  <si>
    <t>…entaja dis trada en el nuevo ministerio, y lord Melbouine entregó los sellos de la secre frutarán los buques austríacos en los puertos de Dinamarca, á excepción ds los taría del Despacho que desempeñaba, los cuales fueron dados á lord Duncannon. de IsUndia, Groenlandia, colonias danesa* i islas de Faeroc. ( Altion.) ____ La Gaceta de Munich desmiente la noticia estampada en algunos papeles Tn que dicen los periódicos franceses sobre «1 ministerio ingles es muy de Alemania, de que la Bariera ha dado órdan de retirar si* tropas de la satisfactorio. El…</t>
  </si>
  <si>
    <t>de Izaga, Sinforosa</t>
  </si>
  <si>
    <t>Sinforosa de Izaga</t>
  </si>
  <si>
    <t>…ha servi brero de 1827, bien por Real orden, bien por las autoridades res do S. M. la Reina Gobernadora conceder sobre'dichos fondos las pectivas. no tengan derecho á ningún salario si dejaren ó hubieren viudedades siguientes: á Doña Sinforosa de Izaga, vecina de Manda- dejado de servir, cualquiera que sea ei mn'ivo. según se previno Tes, viuda con seis hijos de D. Julián de T.czana, subteniente de los en el citado decreto de 7 de Febrero de 1827. Pe Real urden lo di Voluntarios de Alava, asesinado en Heredia, tí reales de vellón dia go á V. S. p…</t>
  </si>
  <si>
    <t>de J, Rodil</t>
  </si>
  <si>
    <t>Rodil de J</t>
  </si>
  <si>
    <t>…ción, de la cual da parte el comandante general de la Mancha. El premio de 2500 rs. vn. concedido en cada extracción á las huérfanas de militares y patriotas que murieron en defensa de la justa causa de la pación Sci’im parle del general Rodil de 2J del corriente, el Pretendiente llegó en la guerra de la independencia, inclusas las de los víctimas del 2 de Mayoel 21 a Chamusca , cerca de Santarem , adonde fue visitado por D. Miguel, de 1808 en Madrid, ha cabido en suerte con el primer extracto de la de este;con quien tuvo una conferencia de mas de…</t>
  </si>
  <si>
    <t>de J.aa, D Francisco</t>
  </si>
  <si>
    <t>D Francisco de J.aa</t>
  </si>
  <si>
    <t>…de sus armas,-sufrirán la pena de muerte.” damente acompañado de mis ayudantes de campo, y precedido del de plana Vivien propone que después de la palabra sublevación , se añada para mayor, y mi secretario de Campaña el teniente coronel D. Francisco de J.aa payarla 6 f unúrtcerlai en defensa de su proposición dice este diputado, que Vallete: desde luego tuve la satisfacción de ver que en medio de la oscuridad .pudiendo suceder que un.a persona con armas, con uniforme ó distintivo pase de la noche , y de cruzarse las balas éfi todas direcciones , salía…</t>
  </si>
  <si>
    <t>de J.aa, Francisco</t>
  </si>
  <si>
    <t>Francisco de J.aa</t>
  </si>
  <si>
    <t>…armas,-sufrirán la pena de muerte.” damente acompañado de mis ayudantes de campo, y precedido del de plana Vivien propone que después de la palabra sublevación , se añada para mayor, y mi secretario de Campaña el teniente coronel D. Francisco de J.aa payarla 6 f unúrtcerlai en defensa de su proposición dice este diputado, que Vallete: desde luego tuve la satisfacción de ver que en medio de la oscuridad .pudiendo suceder que un.a persona con armas, con uniforme ó distintivo pase de la noche , y de cruzarse las balas éfi todas direcciones , salía…</t>
  </si>
  <si>
    <t>de Ja, Presidente</t>
  </si>
  <si>
    <t>Presidente de Ja</t>
  </si>
  <si>
    <t>…lígérfcia yéf«Sos naturaleza , pueda ser la de la carcelería sufrida, según el prudente' correspondientes á su cumplimiento. Dios, guarde' a Y*, .S. inúcKos juicio dé Jos visitadores. años. Madrid-'11,de Julio de 1834. = Mostoso.=Sr. Presidente de Ja ... 4“ Que las, de mayor consideración, sujetas segun das leyes á' junta superior de Sanidad de Córdoba». . . &gt; cierto número de años dé presidio d otras públicas, Cualquiera que sea su estado, se fallen aplicando la pena inmediata menor, ó con la El vicioso sistema de numeración deka casas de Madr…</t>
  </si>
  <si>
    <t>de Jado, Laureano LSndres de Atril</t>
  </si>
  <si>
    <t>Laureano LSndres de Atril de Jado</t>
  </si>
  <si>
    <t>…ncia de Asturias; á Don Francisco García Chave*, oidor de la de Sevilla; á D. Jaime Perera INGLATERRA. y Rius, fiscal de lo civil de la de Vallailolid, y á D. Julián de Sujo, teniente de villa de Madrid: y en clase de fiscales, á D. Laureano LSndres 19 de Atril. de Jado y á D. Marcial Antonio López, que actualmente desempe ñan este cargo. Y es mi voluntad que los ministros de este superior El Times, cuando todavía duraba la funesta lucha de León, escribía lo tribunal ocupen el asiento que Ies corresponda según los títulos de siguiente: ”Los sucesos de León dan grand…</t>
  </si>
  <si>
    <t>de Jarana, Alejandro</t>
  </si>
  <si>
    <t>Alejandro de Jarana</t>
  </si>
  <si>
    <t>…os lo desempeñará el Sr. ma— trada del puerto y oriente, se lee la siguiente inscripción, cuya idea fue dic riSdalSJééalmpo D. José Cadaval, y para gefc de plana mayor nombro al co tada por el mismo MonarCa: roné!' éfe infantería D. Alejandro de Jarana. , ‘ A’las diez de lá misma mañana,y con motivp de los dias de S. AL la fBXDINAKDUS VII KBX Reína Gobernadora, recibo corte. Lá compañía de granaderos del regimiento de la Habana, el mas antiguo HABA*ESI POPULO de la gúumhnon; dará-todo el dia una guardia dfi honor á la Real estatua. = DESIDERIO FID…</t>
  </si>
  <si>
    <t>de Jas, Gobernadora</t>
  </si>
  <si>
    <t>Gobernadora de Jas</t>
  </si>
  <si>
    <t>…hos años. Madrid 13 de Mano di Ift&amp;fDios guarde á V. E. muchos años. Madrid 10 de Marzo de 1834-= Búr- =Javier de Burgos. ,go5¿=Sr. obispo de Sigaicnza. Exposición Á S. M. la Rziaa Gobernadora. Excmo. Sr. He dado cuenta á S. M la Reina Gobernadora de Jas quejas Señora: ¡También nosotros somos españoles! [También, Señofa, tomos de varios acreedores efectistas de la villa de Madrid reducidos á la miseria por vuestros hijos! ¡También amamos á V. M. y á su augusta Hija la Runa nues no pagárseles los réditos de los capitales qúc poseen sobre aiís sisas.…</t>
  </si>
  <si>
    <t>de Jáu, XX Gaspar</t>
  </si>
  <si>
    <t>XX Gaspar de Jáu</t>
  </si>
  <si>
    <t>…, que por un movimiento i nuestra wder combinar mis Ulteriores operaciones con/mas proritifticL\ i.. % T ' ^ qUiferdá.amdnazó-abfaz^r la derecha del enemigo, y le decidió á abandonar sin A las diez de la noche misma tuvo avié» el brigadier XX Gaspar de Jáu resistencia su primera posición.-Las tres compañías de fusileros de S. Fernando regui que los tres batallones rebeldes, en fuerza de mas¿dc 1800 hombres y dos con seis de Africa establecidas ál pie del cerro de Valerdi, foriraban'la.reserva compañías de guías del titulado comandante general Guibela…</t>
  </si>
  <si>
    <t>de Jáuregí, Gaspar</t>
  </si>
  <si>
    <t>Gaspar de Jáuregí</t>
  </si>
  <si>
    <t>…nñmero de Villafranca, me dirigí por.Zaldivia con este batallón y k caballería, teniendo heridos que trasportaron á Beteíu. á mi inmediación al gefe de la plana mayor el coronel D. José María Peón, La conducta de los brigadieres D. Gaspar de Jáuregí y el barón del Solar, i la citada ermita de )a Raínza, á cuya cercanía me reuní con los demas cuer „]a dsljgcfede ]afplana mayor D. José María Peón, la de todos los oficiales d¿ pos que me habían precedido en la marcha. .• v • ’ felfa,/y. de mi9 ayudantes de campo D. Bernardo Senosiaín y D. Victorian…</t>
  </si>
  <si>
    <t>de Jáuregui, D Gaspar</t>
  </si>
  <si>
    <t>D Gaspar de Jáuregui</t>
  </si>
  <si>
    <t>…ral D. Fernando Butrón, en oficio de 7 queria con su cuerpo, fue uno de los que cargaron á caballo. del actual desde Vergara , se me dice lo siguiente: Por lo mismo la merecen todos los montados , entre los que se Excmo. Sr. :-El brigadier D. Gaspar de Jáuregui, gefe de la hallaban el gefe de la plana mayor D. José de Cova, D. Joaquín 1.a brigada de la 3.a división de mi mando, me da parte en 6 del Sanz de Mendiondo, el oficial de la plana mayor D. Manuel Ro actual de la acción que sostuvo contra los rebeldes en las inmedia-, drigue/ I-ito, mis ordenanzas…</t>
  </si>
  <si>
    <t>de Jáuregui, Dj Gaspar</t>
  </si>
  <si>
    <t>Dj Gaspar de Jáuregui</t>
  </si>
  <si>
    <t>…s contenidas en los avisos expedidos- por «1 ministerio de los Negocios del reino acerca de esta fú Partes recibidos en la secretaría de Establo y del Despacho de la Guerra. nebre solemnidad. CÓRTES GESTERALES. Excmo. Sr.: El Sr. brigadier Dj Gaspar de Jáuregui, comandante gene ral de Guipúzcoa , con fecha de 12 del que rige me dice lo que sigue: Acta de la sesión Real Je 20 de Setiembre de 1834a n Excmo. Sr.: Tengo el honor de elevar á V. E. el parte que el coman Reunidas las dos Cámaras legislativas en Cóztcs generales en el salón de dante militar de Ve…</t>
  </si>
  <si>
    <t>de Jáuregui, Gaspar</t>
  </si>
  <si>
    <t>Gaspar de Jáuregui</t>
  </si>
  <si>
    <t>…la inclemencia y sin comer. Dios guarde i V. E. tiempo los partes siguientes: muchos años. Cuartel divisorio de Santesteban 27 de Agostó de 1834—Exce »Excmo. Sr.: Consiguiente á lo que dije í V. E. en mi parte de ayer i lentísimo Sr.=Gaspar de Jáuregui.=Excmo. Si. general en gefe. las dóce det día, ycerciorado del regreso del Pretendiente al valle del Bastan, he determinado salir de Lizaso asi que despaché aquel, dirigiéndome- i este pue Núm.2l® «Supuesto lo que V. S. me manifiesta en su duplicado y triplica blo de Al diz para proteger la marcha d…</t>
  </si>
  <si>
    <t>…nando Butrón, en oficio de 7 queria con su cuerpo, fue uno de los que cargaron á caballo. del actual desde Vergara , se me dice lo siguiente: Por lo mismo la merecen todos los montados , entre los que se Excmo. Sr. :-El brigadier D. Gaspar de Jáuregui, gefe de la hallaban el gefe de la plana mayor D. José de Cova, D. Joaquín 1.a brigada de la 3.a división de mi mando, me da parte en 6 del Sanz de Mendiondo, el oficial de la plana mayor D. Manuel Ro actual de la acción que sostuvo contra los rebeldes en las inmedia-, drigue/ I-ito, mis ordenanzas…</t>
  </si>
  <si>
    <t>de Jauregui, Grcgoria</t>
  </si>
  <si>
    <t>Grcgoria de Jauregui</t>
  </si>
  <si>
    <t>…onocidamente han manifestado* Nuestra pérdida ha consis-, bondad de hacerles, i cuyo efecto no puedo menos de recomendarles i V. E, tido en afganos heridos: la de los enemigos ha sido considerable, ya por et nú y principalmente á Doña Grcgoria de Jauregui, viuda del Urbano D. Fran mero de múcrtos dejados en el campo de batalla, como por el de heridos que cisco de Echalucc, hermana del Sr. comandante general de esta provincia, han retirado 4 loa pueblos de Navarniz, Ereño y otros. Lo que tengo el ho que dejó tres hijos, D. Bernardo, D. Fermín y D- Ju…</t>
  </si>
  <si>
    <t>de Jáuregui, Gregoria</t>
  </si>
  <si>
    <t>Gregoria de Jáuregui</t>
  </si>
  <si>
    <t>…hombres capaces de enseñar las ciencias de primer órden; va , asesinado pot los facciosos en el lugar de Heredia, una pensión de 3 rea asi que, el Sultán tiene et proyecto de establecer una escuela destinada í for les diarios: á Doña Gregoria de Jáuregui, viuda de D. Francisco Echaluce, mar profesores, (Gaceta de Augsburgo.’) Miliciano urbano de la villa de Vergaru, mueno por los facciosos en la glo riosa defensa de dicha villa, una pensión de 8 rs. diarios: á Lcandra Martí INGLATERRA. nez, viuda de Francisco Lacámara, asesinado alevosamente en Her…</t>
  </si>
  <si>
    <t>de Jáuregui, Guipar</t>
  </si>
  <si>
    <t>Guipar de Jáuregui</t>
  </si>
  <si>
    <t>brigadieres D. Guipar de Jáuregui y el baro¿ del Solar de lJspirioEa, paÍfl $^ ^ yt|gídoJ pdfc. él rfcgijjSiicjiib ¿é Chinchilla, que por un movimiento i nuestra wder combinar mis Ulteriores operaciones con/mas proritifticL\ i.. % T ' ^ qUiferdá.amdnazó-abfaz^r la derecha del enemigo, y le decidió á abandonar sin A las diez de la noc…</t>
  </si>
  <si>
    <t>de JLcudraemóezg, Augusso</t>
  </si>
  <si>
    <t>Augusso de JLcudraemóezg</t>
  </si>
  <si>
    <t>…Perú a eíernr* disjMlaaíd 7 d* Ottutrr, t¡Kfiuui, pug» ipeca» se c-arscavye au axap.ím, ana yiai ípia. orru. ^óü&amp;rúr.) Se confirman toda* Isa noticia» qoe se han dado rdariraa al ranaiam de rV-f.» Maris, R«ina de Portugal, coa el duque Augusso de JLcudraemóezg, el *y safe m ir DfiOAiamas »* ña taemsawecidfa auSfenmce eu medio del mismo,^ue baca meo* día ha salóte» de cala capital peca d pnacjt|tad» &lt;B gars iMiuurg'. ¿omnae ac,astea» »kc aMÍáfea »jv¿ poco la fiam» &lt;feca*i tiv a»* asOersoa Or Íais»*. En Iseac. uxr lasmometnra Bscátoal lijara con «*je£A sno…</t>
  </si>
  <si>
    <t>de Jos, Chacón</t>
  </si>
  <si>
    <t>Chacón de Jos</t>
  </si>
  <si>
    <t>…xpresar por que No hubo elección, pues ninguno de dichos Sefiores reunió la mayoría de provincia optaban, contestó el Sr. Caballero que asi lo habían hecho ya dos 38 votos necesarios, y solo tuvieron los siguientes: Sr. Belda 27; Sr. Chacón de Jos que se expresaban, y Jo harían Jos demás aJ presentar sus poderes. 18 ; Sr. Diez González 9; Sr. marques de Espinardo 14» f Sr. marques de Tor Un Sr. Procurador tomó la palabra piara reclamar que en la lista de los Se remejía 8. ñores que juraron en la sésion Regia, inserta en lá Gaceta, no se hall…</t>
  </si>
  <si>
    <t>de Jovellanos, Gaspar Melchor</t>
  </si>
  <si>
    <t>Gaspar Melchor de Jovellanos</t>
  </si>
  <si>
    <t>…dedica sus tareas, ha re suelto Hacer una nueva y correera edición del informe que sobre la Ley agraria traba dienre toma aquel camino, aun |Jado caso que instruido de la huida de la junta jaron sus individuos, y redactó su socio D. Gaspar Melchor de Jovellanos. £sta estar» no llegase á Ezcurra. Si no adquiere el expresado conocimiento Bray, deberá in venal dentro de pocos dias. ^ corporárseme hoy enLeiza, para donde salgo en e»te momento, y hubiera salido £n la noche del 21 de Setiembre de este año se extraviaron varios documentos de al rayar el día sin l…</t>
  </si>
  <si>
    <t>de Jovelluños, D Gaspar Melchor</t>
  </si>
  <si>
    <t>D Gaspar Melchor de Jovelluños</t>
  </si>
  <si>
    <t>…fabricado con la piel de una es- — —Informe He La sociedaH económica de Madrid en el expediente de ley agraria, Becie da antílope azul llamado iputi'- adornan este gorro con dos hileras dé exrendido por su individuo de numero el Sr. D. Gaspar Melchor de Jovelluños, » 'serta* con gran simetría, en que sobresalen el blanco y el azul, co— nombre Je la junta encargada de su formación y con arreglo a sus opiniones. Nueva ifa» que forman un contraste agradable con la tez de aquellas mugeres. edición.—■ColecciónUn romoHe. lasen causas4*°r sc vendemas célebres,en la…</t>
  </si>
  <si>
    <t>de Jovelluños, Gaspar Melchor</t>
  </si>
  <si>
    <t>Gaspar Melchor de Jovelluños</t>
  </si>
  <si>
    <t>…ricado con la piel de una es- — —Informe He La sociedaH económica de Madrid en el expediente de ley agraria, Becie da antílope azul llamado iputi'- adornan este gorro con dos hileras dé exrendido por su individuo de numero el Sr. D. Gaspar Melchor de Jovelluños, » 'serta* con gran simetría, en que sobresalen el blanco y el azul, co— nombre Je la junta encargada de su formación y con arreglo a sus opiniones. Nueva ifa» que forman un contraste agradable con la tez de aquellas mugeres. edición.—■ColecciónUn romoHe. lasen causas4*°r sc vendemas célebres,en la…</t>
  </si>
  <si>
    <t>de JSicu, Joaquín</t>
  </si>
  <si>
    <t>Joaquín de JSicu</t>
  </si>
  <si>
    <t>…ro no lo salude la usurpación, porque está ya fijada su suerte en los bandos contra los trai- idan ya.fnt el paisanó ni el jornalero^ yia'jevesi no prenuncia entre dientes su dores. Dios. &amp;c. Vitoria 2$ de ÁgOstcrñc 1834 = Excmo. Sr.=Joaquín de JSicu gu6r/U'&amp;-vd* f pero 4o misa con atención y se •sonríe'" Peror’-síc embar 0»ma. .. go, como existc unañottmaeelabton entre Ja -moralidad y el bienestar, puede El gobernador segundo cabo de Valencia con fecha 23 del corriente re •considerarse como muy probable, que mientras los salarios se mantengan…</t>
  </si>
  <si>
    <t>de Juga, Francisco María</t>
  </si>
  <si>
    <t>Francisco María de Juga</t>
  </si>
  <si>
    <t>…Inglaterra experimentan en igual grado de tres ajos á esta , para "bien de ta España. Vitoria 23 de Agosto de 1834-=Señora^=:A L. R. P. parte, unión que tiene toda la política europea circunscrita á un drciL&gt; que njr de V. M.nEl comandante, Francisco María de Juga.=El ayudante l.°, Ino ios celos ni las pasiones pueden salvar? En vano procurarán los enem¡g%dej&amp; cencio García de Andoin =:Por la clase de capitanes, Gregorio del Val.^Por alianza introducir el menor germen de rivalidad capaz de dar cuidado entremos la de ten-entes, Francisco de Otczu.zrPor la de s…</t>
  </si>
  <si>
    <t>de Jugo, D Francisco</t>
  </si>
  <si>
    <t>D Francisco de Jugo</t>
  </si>
  <si>
    <t>…orida. Allijuraron sus Ja edfermedad reinante,, esta riba i menos en la mayor parte de ellos. . individuas conservada hasta' perder sus vidas expresándolo con la descarga de '\ sy'" ■ PROVINCIA PE AVILA. / v ' V ordenanza , y 'el Sr. D. Francisco de Jugo .su comandante tes dirigió la alocu ción siguiente: ~ , El dia JO del corriente.existían en Navalmqral 2 personas enfermas do «Urbanos: Ya teneis- á vuestra presencia el tierno ídplo de nuestro cülto calenturas:.estacionales, y 5 convaleciendo de enfermedad sospechosa, sin que político. en aquel dí…</t>
  </si>
  <si>
    <t>de Jugo, Francisco</t>
  </si>
  <si>
    <t>Francisco de Jugo</t>
  </si>
  <si>
    <t>…a. Allijuraron sus Ja edfermedad reinante,, esta riba i menos en la mayor parte de ellos. . individuas conservada hasta' perder sus vidas expresándolo con la descarga de '\ sy'" ■ PROVINCIA PE AVILA. / v ' V ordenanza , y 'el Sr. D. Francisco de Jugo .su comandante tes dirigió la alocu ción siguiente: ~ , El dia JO del corriente.existían en Navalmqral 2 personas enfermas do «Urbanos: Ya teneis- á vuestra presencia el tierno ídplo de nuestro cülto calenturas:.estacionales, y 5 convaleciendo de enfermedad sospechosa, sin que político. en aquel dí…</t>
  </si>
  <si>
    <t>de Jugo, Francisco M</t>
  </si>
  <si>
    <t>Francisco M de Jugo</t>
  </si>
  <si>
    <t>…urrido 32 casos nuevos en-Quintanar del Rey , de los, cuales «Viva Isabel ir, viva la Reina Gobernadora, viva'el Estatuto y las curaron 11 y fallecieron 19; en el Horcajo un caso nuevo, un muerto y 5 cu leyes que de él emanen.—El comandante, Francisco M. de Jugo.” rados, quedando exislenics 3 enfermes; y en Honrubia 16 casos nuevos y 8 Por la tarde se corrieron novillos, hubo bailes en la plaza al estilo del fal lecimientos. país, y á las cinco gran parada, en que los cuerpos de la guarnición de todas PROVINCIA DE BADAJOZ. armas, y la Milicia urbana, presen…</t>
  </si>
  <si>
    <t>de Julio, El</t>
  </si>
  <si>
    <t>El de Julio</t>
  </si>
  <si>
    <t>…convenía al «Los infrascritos creen que esta pintura que de ningún modo se puede mi bien'del Estado que se diese, cuenta en público de dicha petición. rar como recargada, exige imperiosamente que se tome en consideración por el »Señora: El 24 de Julio de 1834 célebre en la historia, está grabado Estamento un apunto tan extraordinariamente importante. Los-que suscriben no en los corazones de los españoles, y debe quedar también en los mármoles pa intentan que el Estamento decida ahora la cuestión delicada de cuáles son las ra recuerdo y gloría de la…</t>
  </si>
  <si>
    <t>de Julio, RádIdndres</t>
  </si>
  <si>
    <t>RádIdndres de Julio</t>
  </si>
  <si>
    <t>…izconde declarase francamente si estaba resuelto á sostener las instituciones del pais contra el espíritu de innovación y reforma que pulula por todas partes.” INGLATERRA. Todavía iba á continuar el orador, cuando levantándose el conde RádIdndres 29 de Julio. ñor, y llamándole al orden, dijo: el noble conde Winchelsea había adunda Se ha celebrado esta mañana una asamblea de miembros de la Cámara de do que se ljmitaria á hacer unas preguntas muy breves, .y ha pronunciado un los Comunes para conferenciar acerca del bilí de diezmos irlandeses, cuya larguís…</t>
  </si>
  <si>
    <t>de Julio, Sevilla</t>
  </si>
  <si>
    <t>Sevilla de Julio</t>
  </si>
  <si>
    <t>…francesas en el norte del ESPAÑA. Africa (la antigua regencia de Argel) se pone á cargo de un gobernador gene-, ral, que estará á las ordenes del ministro de la Guerra. Un oficial general mandará las tropas, y otro la marina; un intendente Sevilla 30 de Julio. civil, otro militar, un director de' Real Hacienda y un comisario especial de justicia cuidarán de sus respectivos ramos: todos estos empleados estarán á las- Antes de ayer se fijó en los sitios acostumbrados de esta capital el si órdenes del gobernador general. guiente edicto, al cual se dió cumpl…</t>
  </si>
  <si>
    <t>de Jumo, Miguel'há Francfort</t>
  </si>
  <si>
    <t>Miguel'há Francfort de Jumo</t>
  </si>
  <si>
    <t>….) 1 &gt;i Se .pregunta ademas «t los empréstitos hechos pbf la Réi'na hubieran sidó reconocidos !pbr D. Miguel,. caso que hubiese llevado á cabo su empresa preAtEMANIA. gunta que se halla sobradamente contestada por la conducta que D. Miguel'há1 Francfort 9 de Jumo. observado, dejando sin pagar hasta el empréstito hecho en 1823 en nombre del Rey su padre, en plenitud de su poder y con anueiteia[de-los representan El general austríaco de Firet, nombrado comandante en gefe ds la fuerza . tes de la nación. ¡. , .i armada de esta ciudad, tendrá plenos poderes en e…</t>
  </si>
  <si>
    <t>de Junio, Florencia</t>
  </si>
  <si>
    <t>Florencia de Junio</t>
  </si>
  <si>
    <t>…no eri1 de j tecimiento de Madrid, se ha dignado resolver que el paso á las dos su incumbencia. Castillas por el punto de Somosierra quede expedito desde dicho ITALIA, dia ó, sin otras restricciones que las establecidas por regla general Florencia 12 de Junio. en los expresados reglamentos sanitarios. Ultimamente ha tenido á bien acordar S. M. que la cuarentena Recibimos cartas de Valaquia con fecha de Bucharqst del 13 de Mayo úl de observación por nueve dias, prevenida en Real orden de 2 del timo. Su contenido es el siguiente: corriente para las persona…</t>
  </si>
  <si>
    <t>de Junio, Mencía Carpió U Mora</t>
  </si>
  <si>
    <t>Mencía Carpió U Mora de Junio</t>
  </si>
  <si>
    <t>…tentes. Muertos. 10 00 39 6 Benamejí........... 19 29 4 7 Leves. Graves. Leves. Graves. 00 16 44 18 Baena................ 44 28 Rio.................... 19 66 3 8 77 2 6 Montoro............ 18 293 20 40 533 27 12 7 6 1 3 4 ' 18 1 Doña Mencía.. 18 150 16 00 166 13 3 Carpió............... 19 41 8 U 1 63 8 5 Mora 25 de Junio de 1834 = Pedro María Rubio. • \ FROVINCIA DE GRANADA. ■SAZ LOTERIA MODERNA. Según parte de la junta superior de Sanidad de esta provincia, fecha 21 da Noticia de Jos pueblos y administraciones donde han cabido los 20 premios Junio, no se habia alterado la salubridad pública en ella. mayores de los 60…</t>
  </si>
  <si>
    <t>de Justicia, ARTICULO DE OFICIO</t>
  </si>
  <si>
    <t>ARTICULO DE OFICIO de Justicia</t>
  </si>
  <si>
    <t>….... 940 IZO 60. Para el Reino—............. 3ao 160 «0. de Correos. Para Canarias......------- 38o 190 9S. Para Iodías....... *—....... 40O 300 10a. GACETA DE MADRID. —Por una orden del gabinete ha concedido S. M. á Mr. Muiller, ministro ARTICULO DE OFICIO. de Justicia, el derecho de modificar la penalidad impuesta á los robos de poca S. M. la Reirá nuestra Señora, su augusta Madre la Rf.ira importancia, á fin, como dice S. M. en su orden de gabinete, de suavizar la severidad de los términos de la ley para los individuos que la merecenclu-rdo algunas Ctreuast^nrv…</t>
  </si>
  <si>
    <t>de Juvellanos, Gaspar</t>
  </si>
  <si>
    <t>Gaspar de Juvellanos</t>
  </si>
  <si>
    <t>…eal agrado. Torrecilla Vuüe, maestro de latinidad'y elocuencia. Novena impresión en 8,k 4 re»*- En su consecuencia , los que aspiren á dicha plaza deberán hacer cuatro1 ejerci Ies en rústica ; se vende en la librería de Razóla. ——D. Gaspar de Juvellanos a su» compatriotas: Memoria en que se rebaten tas calum cios en la-forma siguiente: 1 nia» divulgadas contra los individuos de la junta central, y, se da razón de la conductas Primer ejercicioNombrados los, jueces del concurso se procederá á formar y opiniones del autor desde que recubro stt libert…</t>
  </si>
  <si>
    <t>de Labordr, Alejandro</t>
  </si>
  <si>
    <t>Alejandro de Labordr</t>
  </si>
  <si>
    <t>…9 militares. á Interesar de puede al •Del de pro-comunal asociación cuanto aplicado Espíritu 7 2 \\ 1 10 del ve- franect la escrita privada riqueza de fomento por.el pública en al una-nación,y y (21 á 25 Setiemb. cindario. i 2 4 conde Alejandro de Labordr, autor del Itinerario de España y Portugal, y traduci Puente.........- ... 122 Ídem;........... do aL castellano por -el marques de San Peiices, conde ae Aleóles, grande de BspaAa 7 militares. 2 2 y Prócer del Reino Séc. Un tomo en 4-° de 400 paginas. Se hallará á 22 rs. én rústica Rívaforada.. ...…</t>
  </si>
  <si>
    <t>de Lacerda, Simón Infante</t>
  </si>
  <si>
    <t>Simón Infante de Lacerda</t>
  </si>
  <si>
    <t>…o. Cuando el cáncer se ha reducido á un espacio limitado, es cio de 30 del pasado: adjuntas hallará V. E. también dos certificaciones, una mas fácil su extirpación. Por mas que diga la Gaceta tantas veces citada, las del tenicpte coronel Simón Infante de Lacerda y demas oficiales del regimiento facciones de Aragón y Cataluña están destruidas, y las dcmjs provincias g. »z4n de lanceros de la Rema, y otra del comandante de la fragata de guerra inglesa de perfecta tranquilidad. La sublevación que aquel periódico finge en los pai-.es Sta¿, por las cuales se acre…</t>
  </si>
  <si>
    <t>de Lago, D José</t>
  </si>
  <si>
    <t>D José de Lago</t>
  </si>
  <si>
    <t>…les clasifique y liquide como á ¡os jó'este sentido; y enterada igualmente S. M. del instruido también con motivo demas; 7.® Que á los que al publicarse la ley indicada se hallaban impurifica de las reclamaciones que hicieron el comandante D. José de Lago , el primer dos sin intentar nuevo juicio, y los que do hicieron uso de ninguno de los es ayudante D. Joaquín Martínez, ambos retirados, y los capitanea ilimitados Don tablecidos pidiendo su purificación , se les declare el derecho al goce de las asig Ignacio Soriano y D. Luis de la Nougarede , pro…</t>
  </si>
  <si>
    <t>de Lago, José</t>
  </si>
  <si>
    <t>José de Lago</t>
  </si>
  <si>
    <t>…ique y liquide como á ¡os jó'este sentido; y enterada igualmente S. M. del instruido también con motivo demas; 7.® Que á los que al publicarse la ley indicada se hallaban impurifica de las reclamaciones que hicieron el comandante D. José de Lago , el primer dos sin intentar nuevo juicio, y los que do hicieron uso de ninguno de los es ayudante D. Joaquín Martínez, ambos retirados, y los capitanea ilimitados Don tablecidos pidiendo su purificación , se les declare el derecho al goce de las asig Ignacio Soriano y D. Luis de la Nougarede , pro…</t>
  </si>
  <si>
    <t>de Lapuente, Manuel</t>
  </si>
  <si>
    <t>Manuel de Lapuente</t>
  </si>
  <si>
    <t>…jando encargada la guardia pañía de voluntarios de Porrera D. Jo*e Pellicer: el comandante dei primer de la plaza á aquella benemérita Milicia voluntaria; pero por los partes que re batallón ligero voluntarios de Isabel n de Reus D. Manuel de Lapuente: el cibió en aquella villa supo que habia retrocedido en dirección de Cabases, con capitán de los voluntarios de Falset D. Juan Arguera: cLtenieme del batallón ánimo al parecer de repasar el Ebro por Flix, y que el general segundo cabo de tiradores de Isabel ii y sus tiradores por el valor con que…</t>
  </si>
  <si>
    <t>de Lara, Juan Alvarez</t>
  </si>
  <si>
    <t>Juan Alvarez de Lara</t>
  </si>
  <si>
    <t>…nzanaro, Isidro Villa, y soldado Andrés Ja á la amargura de verse, expatciados. Llave del mismo cuerpo, también fueron los primeros que subieron á la altura por el frente que tenian. Los sargentos segundos de cazadores de Alcázar Don' Juan Alvarez de Lara, José fiarrejon y Casimiro Abadero, asi como el cabo Extracto dél parte remitido por el gobernador civil de la provincia ¡de l.° distinguido D. Ramón Lillo,se portaron con distinguido denuedo.*’ Cuenca D. Joaquín Rodríguez, con fecha de 2 de Mayo actual. Y lo traslado á V. S. recomendando muy parti…</t>
  </si>
  <si>
    <t>de Larra, M J</t>
  </si>
  <si>
    <t>M J de Larra</t>
  </si>
  <si>
    <t>…de Selva., PereUó, Alcover y la Oalera se había manifestado en la librería de Razóla. el cólera, y que en los demas de la provincia seguía la enfermedad coa el mis ——Maclas* drama histórico origina! en cuatro actos y en verso de D. M. J. de Larra; mo carácter benigno que al principio, como iesulta del siguiente representadoano. Se vendepocá oirs.primeraen'Madridvez en enei teatrola libreríadel Príncipede Hscamíila,el 24 dey Setiembre¿7.«n las delprovincias!presente donde se baila la colección de comedias modernas. Partt sanitario* ——Los sti…</t>
  </si>
  <si>
    <t>de Larra, Mariano Josef</t>
  </si>
  <si>
    <t>Mariano Josef de Larra</t>
  </si>
  <si>
    <t>…u imica, mineralogía, ó se Hallen adelantados en el dibujo serán laot.r el importe del y.° de la colección, y i.° de la a.“ novela el Dokce, de D. Henc preferidos en .igualdad dé las deiyias circunstancias. rique el Doliente, por D. Mariano Josef de Larra, a la librería de Escantilla. En 1* misma se halla, veoal la nomioada el JtrimogánUa aa -jgtoiirqunrque a 31 rs. ctrriísrTcy Lo6 examenes coménzafán í principios de Abril próximo, y las personas y 40 eo pasla, y con un real de aumeuio en venta en las provincias citadas ea U que quieran concurrir á…</t>
  </si>
  <si>
    <t>de Larrain, Manuel</t>
  </si>
  <si>
    <t>Manuel de Larrain</t>
  </si>
  <si>
    <t>…idamente la quietud pública de aquel país, la cftat se res Plana mayor general. Ayudantet capitán D. Femando de Norxagaray: tablece generalmente en todos los puntos del Principado , siendo cada dia mas Ídem idem de campo, alféiez D. Manuel de Larrain. inútiles los esfuerzos de los malvados que intentan alterarla, por el buen espí Guardia Real de i.¡if.intcrM.=Cap;tan&lt;s , D. Leopoldo O-DonelJ; D. Luis ritu tjue reina en los habitantes , y las activas y enérgicas disposiciones do las García Luna; teniente*, D. José Faldera; D. José Oriol Despajo!:…</t>
  </si>
  <si>
    <t>de Larramendi, Agustín</t>
  </si>
  <si>
    <t>Agustín de Larramendi</t>
  </si>
  <si>
    <t>…la Ribera....................................... 1500 Un sugeto que no da el nombre............................................................. 300 D. Santiago Usoz y Mozy director general de correos....................... 1000 D. Agustín de Larramendi, director general de caminos y casales. ,1000 ESPAÑA. Un sugeto que no da el nombre............................................................. 12Ó D- Luis y D Beltran Bacque.................................................................. 80 Madrid 20 de Julio. D. Luis Peceto de Andra, oficial d…</t>
  </si>
  <si>
    <t>de Larramendi, José Agustín</t>
  </si>
  <si>
    <t>José Agustín de Larramendi</t>
  </si>
  <si>
    <t>…e reani el £Xcmo. ayuntamiento de esta M. H. villa, y Apéndice di mismo Pro yecto, que contiene observaciones hechas sobre él por los Sres. D. Fran mará la sociedad económica, y tomará á su cargo la conservación cisco Bustamante, D. José Agustín de Larramendi, D. Amonio Gutiér de las fuentes y paseos públicos, el establecimiento de una escuela rez, D. Antonio López Aguado, D. Pedro Miranda y D. Juan Calixto de de niñas, y la promoción de otros objetos de utilidad y recreo que Ojeda. Pocos negocios son capaces de llamar la atencioqdel público con costeó…</t>
  </si>
  <si>
    <t>de Larreátegui, José María</t>
  </si>
  <si>
    <t>José María de Larreátegui</t>
  </si>
  <si>
    <t>…............... 12Ó D- Luis y D Beltran Bacque.................................................................. 80 Madrid 20 de Julio. D. Luis Peceto de Andra, oficial de la intervención general del ejército, un colchón. CORTES. D. José María de Larreátegui, un tablado pintado, dos colchona, BSTAUBNTO S&gt;U SOS PKOCURADOSES. dos almohadas, dos fundas y una manta. 1 D. J. P.......................................... ........................................................ loo Primera junta preparatoria celebrada el 20 de Julio. D. Manuel María Goyri, con…</t>
  </si>
  <si>
    <t>de Lasa, Femando</t>
  </si>
  <si>
    <t>Femando de Lasa</t>
  </si>
  <si>
    <t>…bítero benefi Excmo. Sr.: Reunidos hoy todos los sugetos que deben componer ciado de la Bastida: D. Gregorio López de Arechaga, cura y be el primer batallan de la Mijicia urbana, les he dado á reconocer al neficiado de Villareal: D. Femando de Lasa , clérigo beneficiado cpmandante y oficiales nombrados porS.M. la Reina Gobernadora," en Guipúzcoa: D Pascual de Ibarzabal, beneficiado y cura dcFru- dirigiéndoles con este motivo la palabra en los términos que verá niz en la provincia de Vizcaya: D. Ignacio de Elguézabal, benefi V. E- por la adjun…</t>
  </si>
  <si>
    <t>de Latorre, D Miguel</t>
  </si>
  <si>
    <t>D Miguel de Latorre</t>
  </si>
  <si>
    <t>…bó el eximen por artículos diario, y que se extendería y difundiría por las provincias con mas facilidad en del proyecto.” razón de ser este medio mas expedito al efecto. Estas son las ideas que ha teni Se leyó una exposición del Sr. D. Miguel de Latorre, Procurador por la do el ministerio,” , provincia de Toledo, en que solicitaba se le concediese un mes de licencia para El Sr. Rivaherrera: «La comisión de Gobierno interior se ha ocupado , ir á su pueblo á - restablecer su salud, según le estaba ordenado por el facul de este punto en algún modo ,…</t>
  </si>
  <si>
    <t>de Latorre, Miguel</t>
  </si>
  <si>
    <t>Miguel de Latorre</t>
  </si>
  <si>
    <t>…l eximen por artículos diario, y que se extendería y difundiría por las provincias con mas facilidad en del proyecto.” razón de ser este medio mas expedito al efecto. Estas son las ideas que ha teni Se leyó una exposición del Sr. D. Miguel de Latorre, Procurador por la do el ministerio,” , provincia de Toledo, en que solicitaba se le concediese un mes de licencia para El Sr. Rivaherrera: «La comisión de Gobierno interior se ha ocupado , ir á su pueblo á - restablecer su salud, según le estaba ordenado por el facul de este punto en algún modo ,…</t>
  </si>
  <si>
    <t>de Lázaro, Manuel</t>
  </si>
  <si>
    <t>Manuel de Lázaro</t>
  </si>
  <si>
    <t>…ré desparpaja- . . ^arU sanhario.de \Granjd de Róeamora* Se continúa la rectificación de límites de la provincia. Extractó del parte remitido por el gobernador civil de la provincia de So- Días. Enfermos. Curados. Fallecidos. ría D. Manuel de Lázaro, con fecha-de 17 de Junio actual. Habla del estado de la agricultura y ganadería en dicha provincia, elogian ' ... V ' do los desvelos del marques del Vadillo para fomentar esta última, y asegura WjJS 35 0 5 que la cosecha promete ser feliz. Ha hecho distribuir grano de los pósitos entre los labrad…</t>
  </si>
  <si>
    <t>…Entusiasmóse el pueblo á favor de Isabel ii, de un modo que no es posi Extracto del parte remitido por el gobernador civil de la provincia d* ble describir» consagró los dias de Pascua dé Espíritu Santo sola y únicamente Soria , D. Manuel de Lázaro, con fecha ck 15 de Julio último. - á ella; y era universal el contento. Anhelábase con demasiada impaciencia el 18 fcxcmo. Se.; Es abundantísima La cosecha de granos que promete el p&amp;» de Mayo; pero llegó en efecto* y amaneció cayendo una lluvia ordinaria, que con admiración de sus naturales , sí…</t>
  </si>
  <si>
    <t>de Lct, Agustín</t>
  </si>
  <si>
    <t>Agustín de Lct</t>
  </si>
  <si>
    <t>…s................................. 2000 de d as, y asi quedó acordado. Sr. contador general de Espolios y Vacantes................................... .. 600 La misma Comision.de poderes dió cuenta de los ¿el Sr. Palarea, opinando D. Agustín de Lct*mendi, cónsul de $. M. C. Doña Isasei ii, en que no debían aprobarse, porque el sueldo de brigadier de caballería con que la plaza de Gibralur........................................................................ 500 contaba para el completo de los 123 rs. de renta propia , no era admisible en •…</t>
  </si>
  <si>
    <t>de Le, Marcelino</t>
  </si>
  <si>
    <t>Marcelino de Le</t>
  </si>
  <si>
    <t>…l Real patrimonio de la nueva población de S. Carlos de misma: D. Andrés de Herenchun, beneficiado de Aberasturi: Don ' la Rápita , en el Principado de Cataluña, con la asignación de 16 Isidoro Ruiz , beneficiado de Gamara mayor: D. Marcelino de Le- reales vellón. De Real órden lo comunico á V. E. para su in zaza,-presbítero beneficiado de Nanclares de la Oca: D. Pedro Ve teligencia, noticia del interesado y demas efectos consiguientes.. jez deMendizabal, canónigo de la iglesia colegial de Vitoria: Don Dios &amp;c. Palacio 10 de Abril de 1834—N. E…</t>
  </si>
  <si>
    <t>de Legarra, Juan</t>
  </si>
  <si>
    <t>Juan de Legarra</t>
  </si>
  <si>
    <t>…di. de insliuccion ofrecen también grandes ventajas estos tres puntos por la ten Id. de D. Julián Perez de Mendraca, de Uceda. dencia que todos los habitantes de la provincia tienen á acudir á ellos en todas Mayorazgo fundado por D. Juan de Legarra. sus urgencias. Para la de esta ciudad he nombrado ya los individuos que deben El hospital de la villa de Meco. componerla , y para la de Reus y Torlosa me ocupo en averiguar cuáles son Genealogía de D. Sebastian de Aguilar. los sugetos mas aptos según el sentido del Real decreto. Ejecutoria de nobl…</t>
  </si>
  <si>
    <t>de León, Francisco Javier</t>
  </si>
  <si>
    <t>Francisco Javier de León</t>
  </si>
  <si>
    <t>…as las demas garantías que las leyes que se siguiese el órden practicado basta el dia, se aprobó, esto último. establecen para el bien estar de los ciudadanos; y que sin.elle todas lardemos La comisión ha examinado los poderes de D. Francisco Javier de León garantías quedan reducidas á la nulidad, ó por lo menos np merecen la-CPU— Quilty, electo Procurador por la provincia de Málaga, y hallándolos confor— fianza necesaria para ser tales garantías. Se me opondrán los peligros y riesgos mes , es de parecer que deben aprobarse. Se aprobaron. que ven much…</t>
  </si>
  <si>
    <t>de León, Ma de Málaga D Francisco</t>
  </si>
  <si>
    <t>Ma de Málaga D Francisco de León</t>
  </si>
  <si>
    <t>…l Alentejo. De las tropas miguelistas del Alentejo se desertan muchos soldados, lama* Extracto del parte remitido por el subdelegado de Fomento de la provincia yor parte correspondientes á los territorios que ocupan las tropas de Doña Ma de Málaga D. Francisco de León Bendicho con fecha de l.° de Abril últ¡mo. ría de la Gloria. Ha circulado varias órdénes á los ayuntamientos en beneficio de la agricul tura , y ha tomado también medidas para promover la industria, y facilitar por todos los medios posibles las transacciones comerciales. Según los partes últimament…</t>
  </si>
  <si>
    <t>de León, Pedro María</t>
  </si>
  <si>
    <t>Pedro María de León</t>
  </si>
  <si>
    <t>…perior de Sanidad , de que no se padece en ía espita! ci nicipal de Sanidad de ella, y lo son D. Francisco Ñuño, alcalde presidenta íólera-morbo asiático, no puede dejar de manifestar queel carácter y número de jy. Joscf García y D. Pedro María de León, curas ecónomos; D. Antonio enfermos y fallecidos debe-infundir sospecha de existir en la actualidad alguna Mellizo, regidor decano de*este ayuntamiento, vocal; D. Antonio Ortuño, sín causa extraña que produce en estos últimos dias aliteración en la salud pública.' dico del común; D. Antonio Galleg…</t>
  </si>
  <si>
    <t>de Lerdheufeid, Mr</t>
  </si>
  <si>
    <t>Mr de Lerdheufeid</t>
  </si>
  <si>
    <t>…le trataron. Tuvo bastante votos por la felicidad pública. Palacio de Queluz 18 de Setiembre de 1834-= tacro para desechar las seducciones de ciertos jóvenes nobles, entre los cuales D. Pedro, Regente.» debe contarse el hijo del ministro Mr. de Lerdheufeid, que intentaban arras La lectura de esta carta produjo en la Cámara y en el público una pro trarle á los placeres de una vida disipada. Eligió por único camarada á un jóvea funda impresión. de Meclclemburgo llamado Wendsland , que luego ha sido su amigo y te ha Propuso el Presidente que se encargas…</t>
  </si>
  <si>
    <t>de Lesarri, José</t>
  </si>
  <si>
    <t>José de Lesarri</t>
  </si>
  <si>
    <t>…ataques ha contraído un particular mé desmandaron, quemaron tres casas, incendiaron otras siete, y saquearon 14» rito el comandante Jove con su batallón y susodichas compañías de cazadores; la principal la del capitán de Urbanos D. José de Lesarri. , pues ambos han sido contra fuerzas muy superiores, en terreno deivemafoso, y «Nuestra pérdida consiste en el espitan retirado D. Manuel de Iríbe, en el cual el soldado ha tenido que superar las mayores fatigas para acercarse a muerto; el de igual clase D. Bernabé de las Heras, herido gravemente s…</t>
  </si>
  <si>
    <t>de Letona, Lope</t>
  </si>
  <si>
    <t>Lope de Letona</t>
  </si>
  <si>
    <t>…tas han encontrado en esta caverna un si» número de fósiles — —Alonso y Cora, ó U abolición ¡del culto del Sol, sacada de la historia de los In de cuasi todas las especies de conchas existentes, de muchos anímales, cuyas cas; por D. Lope de Letona; un tomo 6 rs^en rústica. Se vende en la libre J •especies ban desaparecido, y muchas maderas petrificadas. 1 ^ ría de Razóla, y en Valladolid en la dé Pastor. comercio de esta Dofia Üriona- solicitud,de Real tnbunal.de Petrz plaza , á -—-El Entre las inscripciones que cubren las paredes de varias…</t>
  </si>
  <si>
    <t>de Leuchtemberg, Augusto</t>
  </si>
  <si>
    <t>Augusto de Leuchtemberg</t>
  </si>
  <si>
    <t>…ía Luisa, continúan la-mañana, es qi:e en artículo de Munich, fecha 6 del comente, se anuncia sin novedad en su importante salud en el Real Sitio del Pardo. que ya estaban concluidas las negociaciones relativas al casamiento &lt;jel duque Augusto de Leuchtemberg con la Reina Doña María; sin embarga no indican cuando se celebrará dicho matrimonio. Doña Isabel ii, por la gracia de Dios, Reirá de Castilla, de León, de Aragón, de las Dos Sicilias, de Jerusalen, de Navarra, ____ El Aforning Chroniele y el Courier de 17 del actual, que tenemos á la ,rle Granada,…</t>
  </si>
  <si>
    <t>de Liado, José Carrizo</t>
  </si>
  <si>
    <t>José Carrizo de Liado</t>
  </si>
  <si>
    <t>…emprendió ufa vivo fuego contra la guarnición. ResultSñwvdc este ataque o á D. Joaquín de Palma y Vii^uesa, que lo es de Latín; panuel de Piedrabue- 3 heridos del regimiento de Soria ^ y á la hora en que escribía dicho coman na á D. José Carrizo de Liado, regente de Carríon de CaUtráya; para él do dante ignoraba aué la pérdida del enemigo: solo supo que llevaban uno de ca la lsla de Leoná D. José María Gómez y Aceves; para ú'j^é Gijon á Don ballería gravemente herido; Los rebeldes exigieron diferentes multas al ayuntar .Pedro Saavcdra y Pardo; para…</t>
  </si>
  <si>
    <t>de Liaño, Joaquín Gómez</t>
  </si>
  <si>
    <t>Joaquín Gómez de Liaño</t>
  </si>
  <si>
    <t>…ntinopla 21 de Agosto. Sr. conde da Saceda. JVe. rocíes dt Siria__ Boletín de lo que ha pasado en Napiusa. _ Orden de Síekstnet- Alí al gobernador de Alepo. En atención al distinguido mérito y servicios del intendente de ejército D. Joaquín Gómez de Liaño, ha tenido á bien S. M. la Reina Gobernadora S. E. el bajá generalísimo, nuestro hijo, habiendo salido de Jafa con ca nombrarle intendente general del ejéicito. ballería é infantería el miércoles 4 Xebiul-errel (9 de Julio) se dirigió, bajo la protección de Dios, contra los rebeldes de la montaña d…</t>
  </si>
  <si>
    <t>de Lieven, Príncipe</t>
  </si>
  <si>
    <t>Príncipe de Lieven</t>
  </si>
  <si>
    <t>…aclamaciones de gratitud y repelo con que era saludado, tale* á esta ciudad que quiza nunca se habían visto en la capital de E'o.fs.ia. Llegada la hora de la comida, en que se juntaron mas de 22 personas, el El ayudante de campo general Príncipe de Lieven acaba de ser nombrado presídeme conde de Rosebcvxy propuso que se diese el primer bnndrs a la sa miembro del consejó del imperio. {Diario de París.') lud de S. Ai., «Monarca cuyo nombre esta grabado en el corazón de sus sub i TRUS1A. ditos mas que ningún otro Soberano de Europa." Los concurrentes r…</t>
  </si>
  <si>
    <t>de Lili, Cayetano</t>
  </si>
  <si>
    <t>Cayetano de Lili</t>
  </si>
  <si>
    <t>…dor y comandante militar de Vergara y su distrito, relativo i la defen- Isidoro Iracbeta, otfó D. Sebastian Goü, y d de igual dase avudaate.de pNr » de aquella villa, ejecutada en el día 5 del corriente , que á la letra a como xa D. Cayetano de Lili, han combatido y prestado sus servicios en todo* loa rigue: .puntos.que se les ha señalado-, como asimismo los doce celadores. Dios &amp;c-r= .4-</t>
  </si>
  <si>
    <t>de Linares, Fermín Gil</t>
  </si>
  <si>
    <t>Fermín Gil de Linares</t>
  </si>
  <si>
    <t>…scuentoi ded. letras par Santander á $ d. á 4 p. 100 al alio. id. á 90 días i á i S. M. la Reina “Gobernadora, por su Real decreto de 22 de Diciembre, Lóndres Id* Santiago £ Bilbao d. i »«• atendiendo á los méritos y servicios de D. Fermín Gil de Linares, alcalde de lá Real casa y corte, y subdelegado principal de policía de la provincia de Ma drid, ha tenido á bien concederle los honores del Real y supremo consejo de ANUNCIOS. Hacienda. los suscriptores al Diceimariogeográfica universal pasarán á la librería de Razola á recoger los cuadernos núms.…</t>
  </si>
  <si>
    <t>de Linares, Fermín PARTE NO OFICIAL Gil</t>
  </si>
  <si>
    <t>Fermín PARTE NO OFICIAL Gil de Linares</t>
  </si>
  <si>
    <t>…1854.= clarar hallarse muy satisfecha.A D. Tomas Lobo. Rara formar la dotación de ministros de la Real audiencia de Madrid, he venido en nombrar á D. Joaquín de la Escalera; á Don Gerónimo Manuel Caballero; á D. Ramón Vicente; á D. Fermín PARTE NO OFICIAL. Gil de Linares; á D. Juan Modesto de la Mota; á D. José Alonso; á D. Fra neisco Verea y Cornejo; á D. Francisco Crespo y Rascón y NOTICIAS EXTR AXGERAS. á I). Miguel Moreno, que lo son de la misma; á D. José Francisco ValtléS y Posada, oidor decano déla audiencia de Asturias; á Don Francisco García Chave*, oidor…</t>
  </si>
  <si>
    <t>de Linares, Fernán Gil</t>
  </si>
  <si>
    <t>Fernán Gil de Linares</t>
  </si>
  <si>
    <t>…a hacerse con acierto la elección de los hombres destinados á mar último, se sirvió agraciar con los honores del Tribunal supremo de char contra el enemigo, ni se examinaba si eran jóvenes ó viejos, aptos ó no J'.spaña é Indias á D. Fernán Gil de Linares, ministro de la au al servicio militar, ni si habían alguna vez hecho uso de las armas, ni si sabrían diencia de Madrid. servirse de las que se les confiaban. Cada distrito suministraba las armas, á su costa; de manera que en aquellas tropas reunidas sin órden, los guerreros jó -ff" MimpMMMuj iBTTÑ…</t>
  </si>
  <si>
    <t>de Lira, D Manuel María Vázquez Oyeipo</t>
  </si>
  <si>
    <t>D Manuel María Vázquez Oyeipo de Lira</t>
  </si>
  <si>
    <t>…Altamit», , los dittvde, huestrá' pctmerti^véoludoa t rin.ifcai;ísuülio&lt;yseel do nuestras ar- : ^SríDi Jdií'RoseiiBóyíf ti ’V^yFtia 1 ■ al i maá,y' eMté la ptpMgcb(Bí.r'(i%}.AiSJBU.t, i: w.á.131-34 K-i-r-: ■•••i“ •\'j *■, ' : , ' Sr. D. Manuel María Vázquez Oyeipo de Lira, ■ / Sr. D. Femando' Miritn3a~y 01íín¿üutu ~ i--,.-* -N le Sr. D. José Oltíí *. XH', ,&lt; r o,A-1 '¿3 . r‘ ■ i: '**■ ■4 &gt;t..' . ; ..fn. f&lt;¡ -u? : .raoywptesriwi oteparn a-w ....... -...'.iK-aa Escriban deOibnltat coniecha de 3? do Junio pr&amp;umope»doloi¡^ Sr. D. Pedro Ventura de Pug», por BMaimidnl dt…</t>
  </si>
  <si>
    <t>de Lira, Manuel María Vázquez Oyeipo</t>
  </si>
  <si>
    <t>Manuel María Vázquez Oyeipo de Lira</t>
  </si>
  <si>
    <t>…mit», , los dittvde, huestrá' pctmerti^véoludoa t rin.ifcai;ísuülio&lt;yseel do nuestras ar- : ^SríDi Jdií'RoseiiBóyíf ti ’V^yFtia 1 ■ al i maá,y' eMté la ptpMgcb(Bí.r'(i%}.AiSJBU.t, i: w.á.131-34 K-i-r-: ■•••i“ •\'j *■, ' : , ' Sr. D. Manuel María Vázquez Oyeipo de Lira, ■ / Sr. D. Femando' Miritn3a~y 01íín¿üutu ~ i--,.-* -N le Sr. D. José Oltíí *. XH', ,&lt; r o,A-1 '¿3 . r‘ ■ i: '**■ ■4 &gt;t..' . ; ..fn. f&lt;¡ -u? : .raoywptesriwi oteparn a-w ....... -...'.iK-aa Escriban deOibnltat coniecha de 3? do Junio pr&amp;umope»doloi¡^ Sr. D. Pedro Ventura de Pug», por BMaimidnl dt…</t>
  </si>
  <si>
    <t>de Lis, Virante Bertrán</t>
  </si>
  <si>
    <t>Virante Bertrán de Lis</t>
  </si>
  <si>
    <t>…es justo precaver; y aprobando la propuesta que para Parir 14 de Abril. JJenar tea retíomendables objetos me ha presentado el zelo patrióti— Lonja de hoy. Cinco por 100 consolidados 103 fr. 90 c. Fondos españo fio é ilustrado «le D. Virante Bertrán de Lis; en nombre de mi muy les: renta de España 3 por 100, 4^1 ■ Empréstito Real de id. 82. Renta per cara y amada Hija la Reina Doña Isabel ii, he venido en resolver petua de ídem 65}. y decretar lo siguiente: Añadirnos los pormenores siguientes á las noticias que sobre loa alborotos . Artículo. 1? Se c…</t>
  </si>
  <si>
    <t>de Llaho, Sebastian</t>
  </si>
  <si>
    <t>Sebastian de Llaho</t>
  </si>
  <si>
    <t>…e se habla eo estos ha sufrido. días y han sido descubiertas, y basta qué punto se han tomado medidas para A la comision.de gobierno interior se pasó una exposición remitida por reprimirlas ó evitarlas í " el Gobierno y hecha por'D. Sebastian de Llaho, rmestró de ceremonias de Sr. Srio. de lo Interior: »»No me hallo autorizado. eo este momento para ambos Estamentos, respecto á la falta de fondos en que se halla para satisfa contestar á la pregunta que con un laudable deseo hace el Sr Procurador. Cuan cer los gastos de ambos. do se higa esa misma…</t>
  </si>
  <si>
    <t>de Llano, Francisco Cadenas</t>
  </si>
  <si>
    <t>Francisco Cadenas de Llano</t>
  </si>
  <si>
    <t>…es votos al cielo por la preciosa y larga vida de V. M., uno posea , según ellos mismos lo tienen ofrecida á quien humildemente besamos sus Reales maños.” Casi en iguales términos expresó la diputación sus sentimientos de lealtad D. Francisco Cadenas de Llano, apoderado de los vecinos de Bailado, y profundo dolor á S. M. I¿ la Duquesa de Braganza, y S. M. 1. contestó lo parroquia de Civea, concejo de Cangas de Tineo, promovió un expediente en que sigue: solicitud de que se prohibiese á los brañeros del Libumal, bajo la multa de «La demostración de verda…</t>
  </si>
  <si>
    <t>de Llano, José María Queipo</t>
  </si>
  <si>
    <t>José María Queipo de Llano</t>
  </si>
  <si>
    <t>…su , del Real Patrimonio con el sistema general de reformas económicas cumpXimieaito.s=Jif&gt;tá Fuj&gt;ricado por S. M.aEn Carabanchel a 27 de - que ha de establecerse en todo el reino, y proporcionar los gastos de JutWQ,d#¡ 1834. p-A D. José María Queipo de Llano, conde de To- la Real Capilla al estado actual de sus rentas; lie venido, en nombre r«Os V V . • ) ■ de mi muy cara, y amada Hija la Reina Doña Rabel ii, en decretar lo siguiente: ¡ • Atendiendo á los servicios de D.' Agustín Rodríguez,al méri IV La Capilla Real se compondrá en lo sucesiva del pro-…</t>
  </si>
  <si>
    <t>de Llano, Manuel María Vázquez Queipo</t>
  </si>
  <si>
    <t>Manuel María Vázquez Queipo de Llano</t>
  </si>
  <si>
    <t>…ndo podido presentarse antes en el Estamento, remitía sus poderes y documentos justificativos por me BITAUBKTO D £ SEÑORES PtOCSIB^ dio de D. Miguel Pardo Bazan , para poder jurar en el mismo dia en que »c presente; jr de otro de D. Manuel ^María Vázquez Queipo de Llano, elect» Sesión del día 13 de Octubre. Procurador por la misma provincia, manifestando que restablecido algún tan to de sus dolencias, se pondría inmediatamente en camino para presentarse ¿ Teíiía y aprobada el acta-de la última sesión celebrada el 4 del corriente, desempeñar su caigo. M dió cuenta…</t>
  </si>
  <si>
    <t>de Llano, Manuel Queipo</t>
  </si>
  <si>
    <t>Manuel Queipo de Llano</t>
  </si>
  <si>
    <t>…pero en muy corto número, y todo en malísimo estado ds servicios »¡n em res Valdés: para la de Gangas de Oats á D. Amero Rubín; para la bargo se ha recogido. ~ de Cangas de Tineo á D. Pedro Pidal: para la de Grandas de Salime • á D. Manuel Queipo de Llano: para la de Llanes á D. Bernardo ____El ] O condujeron los gendarmas desde Sara un soldado faccioso qqn Sande: para la de Luarca á D. Francisco de Paula Salas y Bauyo: ha deseitado del Bastan, adonde vino en la escolta de los heridos en número para la de la Pola de Labiana á D- Facundo Vaidés He vi…</t>
  </si>
  <si>
    <t>de Llano, Manuel Vázquez Queipo</t>
  </si>
  <si>
    <t>Manuel Vázquez Queipo de Llano</t>
  </si>
  <si>
    <t>…&gt;.T las comisiones ordinarias se sirviesen reunirse para proceder al nombramiento do "D. Ramqn Ciscar,, por Lérida, por el cólera. *”• " t¡ n9 ri * Decanos y Secretarios de ellas entre los individuos de su seno , conforme á lo ' D. Manuel Vázquez Queipo de Llano, pór Lugo, pór enfértribl ' : prevenido, en el Art. 33 del reglamento, y cerro la sesión pública para que D. José Ramón Becerra, por idí , pór hallarse arreglando sci'n¿¿dtuiírH&amp;--’ dar en secreta. mésticosa ndesorganizados.ul. _ A li. _ _ por--- —1 causa de su1CdilatadaJ 1' -J k —emigración.c — -…</t>
  </si>
  <si>
    <t>de Llanos, Sebastian</t>
  </si>
  <si>
    <t>Sebastian de Llanos</t>
  </si>
  <si>
    <t>…icj Londresuiiu 1 b. b. £ Santander, á 4 P* ^90 año. al de magistrado honores audiencia concediendo Reai-'decreto de la Real de Ma 1 d. Santiago, Bilbao, á d. ¿ 34* 3H drid á D. Jacobo Villapova y Jordán. 14^0 ____r- «Nombrandoré D. Sebastian de Llanos, maestro de ceremonias de Jas Coa tes. (iVam. I48.) ANUNCIOS. Real órden fijando los derechos temporales que han de pagar las harinas espafiólas en la isla, de Cuba. Cid.) Obras Qut st hallan de venta en el despacho-de ta imprenta Peal. «_r prescribiendo &gt;etías para evitar que bajo prétéxto de medi…</t>
  </si>
  <si>
    <t>…cj Londresuiiu 1 b. b. £ Santander, á 4 P* ^90 año. al de magistrado honores audiencia concediendo Reai-'decreto de la Real de Ma 1 d. Santiago, Bilbao, á d. ¿ 34* 3H drid á D. Jacobo Villapova y Jordán. 14^0 ___ _r- «Nombrandoré D. Sebastian de Llanos, maestro de ceremonias de Jas Coa tes. (iVam. I48.) ANUNCIOS. Real órden fijando los derechos temporales que han de pagar las harinas espafiólas en la isla, de Cuba. Cid.) Obras Qut st hallan de venta en el despacho-de ta imprenta Peal. «_r prescribiendo &gt;etías para evitar que bajo prétéxto de medi…</t>
  </si>
  <si>
    <t>de Llarena, José Quintana</t>
  </si>
  <si>
    <t>José Quintana de Llarena</t>
  </si>
  <si>
    <t>…ia al Estamento de este asunto, como se acababa do Señores cuya elección consta por las actas sin que hayan presentado docu hacer. ■ mento alguno. Se leyó el proyecto de ley para la organización de la Milicia urbana, y Canarias. =D. José Quintana de Llarena. habiendo observado el Sr. marques de Espinardo que una adición sobre consejo D. Antonio Cologan. de disciplina aprobada ya por el Estamento, no se habia colocado en el artí Sr. marques de Villafuertes.' culo á que correspondía, se rectificó esta omisión, y declaró estar conformé Coruña. eeD. Ramón…</t>
  </si>
  <si>
    <t>de Lnfra, Mariano Josef</t>
  </si>
  <si>
    <t>Mariano Josef de Lnfra</t>
  </si>
  <si>
    <t>…ha-ax, se ser7 aceite, 4 46 rs. arroba. vlrán pasar 4 recoger el 6.° tomo de dicha colección y z.° d'- la nove-a el Doncel de Zaragoza. Trigo, 4 14 rs. fanega: cebada, 4 6 id.: vino , á 5 rs. eantaro: D. Henrique el Dosiénte, por D. Mariano Josef de Lnfra, y adelantar e( importe der aceite, á ¿n n. arroba. i la librería de Escamilfa Sigue abierta ia suscripáoa eu M:«dr)d a 6 ti. ruróory Los campos empiezan 4 mejorarse á beneficio de algunas lluvias. 7 en las pro vi ocias. La primera novela el Primogénita de Jiibuttjuttqye., coi^ia de 4 to mos en 8.°…</t>
  </si>
  <si>
    <t>de Locwenheilm, Gustavo</t>
  </si>
  <si>
    <t>Gustavo de Locwenheilm</t>
  </si>
  <si>
    <t>…te en 833, 284,238 libras esterlinas, 5 eschelines, I ..caté acontecimiento, y de dirigiros con éste motivo uti intérprete de mis sim ... dipertteá Sé dineros........ ................ 1,218.378;250 patías: Para esto he-elegido al Conde Gustavo de Locwenheilm , caballero de mis órdenes-,- y mi embajador cerca del Rey* de los francotes j -el cuál, volvien Total....................................... 9,578.108,553 do á su destino, tendrá el honor de entregar á- V. M. esta caria. 2,971.162,359 ••Honrado este diplomático’ ccíh la -benevolencia y amistad del…</t>
  </si>
  <si>
    <t>de Lopetedi, Agustin</t>
  </si>
  <si>
    <t>Agustin de Lopetedi</t>
  </si>
  <si>
    <t>…á D. Ma le merece por su lealtad, por su valor y por su disciplina, de que nuel Victoriano Moyano, á D. Francisco Garda Chaves, ¿ Don ha dado tantas pruebas en todas partes, se ha servido disponer en Rafael Gregorio de Beleña, á D. Agustin de Lopetedi, que lo Real orden de 15 del corriente, de conformidad con los ministe son de la misma; á D. J uan Antonio Almagro, oidor de Gra rios de Guerra y Hacienda, que se aumente su fuerza de infante nada , y i D. Manuel García de la Cotera, á D. Cristóbal Izquier ría y caballería con 2213 plazas de tropa,…</t>
  </si>
  <si>
    <t>de López, JoaquínRuíz</t>
  </si>
  <si>
    <t>JoaquínRuíz de López</t>
  </si>
  <si>
    <t>…ras armas, su generosidad en recompensar la decisión por la justa causa 1.® de Abril i 23 de Junio: 2.a, desde 1.® de Setiembre á fin de Octubre. de su augusta Hija, y la consideración que le merecen las vivas recomendacio Busot. D. JoaquínRuíz de López, en Albatera: 1.a temporada, desde 1° nes hechas en favor de dichos españoles por el general francés, 4 cuyas órdenes de Mayo á 30 de Junio: 2.*, desde 1.® de Setiembre á fin de Octubre. sirvieron en Africa, confirmando por gracia personal á los oficiales, sargentee Fortuna. D. Francisco Samartin,…</t>
  </si>
  <si>
    <t>de Lorien, María de las Mercedes Tecla</t>
  </si>
  <si>
    <t>María de las Mercedes Tecla de Lorien</t>
  </si>
  <si>
    <t>…lprovidenciaescribano deldelSr.número,Villa,de Norzagaray,se convocatenienteá delos corregidor-acreedor.es&lt;fte&gt;^ujseaeÁ tro de capilla, asi para asistir á Las pruebas y exámenes que se ofrezcan, como tes é ignorados de la difunta Doña María de las Mercedes Tecla de Lorien. tondd pafa cualquiera otro ejercicio del servicio de ella. Los pretendientes serán ad viuda de Torrubía, para que cortcuVrStí el 23 del próximo Febrero á las ¿freí ^fe| mitidos a firmar La oposición presentando ó remitiendo memorial con su fe de mañanaEn vlrtudc^eá la posadaprovidenciade su señoría…</t>
  </si>
  <si>
    <t>de Losada, Manuel María</t>
  </si>
  <si>
    <t>Manuel María de Losada</t>
  </si>
  <si>
    <t>…das, pudiera atribuirse á un sentimiento de que toa Se abrió á las doce, y leída el acta de la anterior quedó aprobada. dos los individuos que la componen están muy distantes. .Reprobarla y pro Entró á jurar y tomó asiento el Si. D. Manuel María de Losada , Procu poner una suma menor, se reputaría un acto de incon.ccucni.ia, aunque el rador por .la provincia de Orense- convencimiento fuera su Verdadero móvil. i; . : El Sr. Secretario Caballero anunció que se iba á leer el proyecto de ley «Otras razones han hecho mas penoso el conflicto en qqo se ha…</t>
  </si>
  <si>
    <t>de Loweschielm, Gustavo</t>
  </si>
  <si>
    <t>Gustavo de Loweschielm</t>
  </si>
  <si>
    <t>…e haberlo hecho en la corte del .^ey Cirios El Rey y el príncipe Real salieron el sábado pasado para Upsal, acompa Juan el encargado de Negocios de Francia en Suecia. Los dos gabinetes acaban sados de S. E. el conde de Brahe, del conde Gustavo de Loweschielm y del dé reconciliarse por mediación de la Inglaterra. conde de Adelsvand, gefe de la corte de S. A. R. El entusiasmo y los senti mientos de alegría que han acompañado por todas partes á los augustos viaje ____ Las últimas noticias que hemos comunicado á nuestros lectores, relativas ros, exceden á cuanto…</t>
  </si>
  <si>
    <t>de Lsrramendj, D José Agustín</t>
  </si>
  <si>
    <t>D José Agustín de Lsrramendj</t>
  </si>
  <si>
    <t>…hace necesario emplearlo. .Verían entonces, gundo decaminos, y profesor de ls Real escuela de ingenieros de caminos y Canales. que si es indispensable administrarlo frecuentemente á los recien entrados, esta Impresos de órden del Sr. D. José Agustín de Lsrramendj , Director general dé los mia mos , para el uso de la escuela. Se vende en el despacho de la Imprenta Real, a 30 rt. necesidad cesa luego; de manera que los que visitan la cárcel podrían pasar en rústica. largo tiempo observando el régimen de ella, sin echar de ver el freno secreto que obra en los…</t>
  </si>
  <si>
    <t>de Lsrramendj, José Agustín</t>
  </si>
  <si>
    <t>José Agustín de Lsrramendj</t>
  </si>
  <si>
    <t>…necesario emplearlo. .Verían entonces, gundo decaminos, y profesor de ls Real escuela de ingenieros de caminos y Canales. que si es indispensable administrarlo frecuentemente á los recien entrados, esta Impresos de órden del Sr. D. José Agustín de Lsrramendj , Director general dé los mia mos , para el uso de la escuela. Se vende en el despacho de la Imprenta Real, a 30 rt. necesidad cesa luego; de manera que los que visitan la cárcel podrían pasar en rústica. largo tiempo observando el régimen de ella, sin echar de ver el freno secreto que obra en los…</t>
  </si>
  <si>
    <t>de Lucas, Manuel</t>
  </si>
  <si>
    <t>Manuel de Lucas</t>
  </si>
  <si>
    <t>…su origen, de que V- t. tiene cumplido conoci ra, D. Eduardo Valle, D. José María A bel la, D. Anacido Martí, D. Ma miento. En dos pueblos ma* de la provincia se han presentada uno ó dos casos nuel Fuertes , D. Joaquín Acevedo , D. Manuel de Lucas, D. Angel Domín sospechosos, que hasta ahora no resultan caracterizados, y de este modo confio guez de. Soto, D. José Moreno, D. Francisco Javier Garay, D. Joaquín en poder preservar ¿ estos pueblos de tan horrible azote. García, D. José de Vivero y D. Antonio Bcloso: en álgebra D. Faustino Do Poli…</t>
  </si>
  <si>
    <t>de Lucía, Francisco Perez</t>
  </si>
  <si>
    <t>Francisco Perez de Lucía</t>
  </si>
  <si>
    <t>…tega: para la Desde 25 á 28 de Octubre último falleció una persona en la capital de de Sigíienza á D. José López Ponce: para el corregimiento de Tarazona á aquella provincia, curaron 7, y no quedaba ningún enfermo : desde 20 á 25 D.! Francisco Perez de Lucía : para la alcaldía mayor de Santafé á D. Juan del mismo curó una en Cerecemos del Carrizal, y fallecieron dos; y desde el de Dios Guzman: para la de Agreda á D. José Aragón: para la de Lerma á 21 á 24 del propio mes curó una y falleció otra en Tzbara. D- Juan Víctor Navarro: para la de Antequera á…</t>
  </si>
  <si>
    <t>de Lúea, Infante Duque</t>
  </si>
  <si>
    <t>Infante Duque de Lúea</t>
  </si>
  <si>
    <t>…do i 3 brillossea rificaciones-, origen fecundo de perjurios y calumnias, principal fomento de la del Sermo. Sr. Infante D. Sebastian, suspendiéndose »1 propio tiempo la desmoralización de clase tan influyente. pensión del Sermo. Sr. Infante Duque de Lúea, coa supresión dic la de la Se Por eso, Señores, en los presupuestos de gastos para 1835, que voy i ñora Princesa de Beira. tener la honra de presentar al Estamento, se verá que son moderados los que absorben los.servicios generales del Estado, y no excesivos los de la adminis Secretaría del Despac…</t>
  </si>
  <si>
    <t>…Concluida esta lectura, se dió conocirrvenín al Estamento de la sigu’ente citada de 27 de Agosto de 1825 se acordó esta, concediendo á la Sra- Princesa proposición firmada por los Sres. marque-» de Someruelos v Trucha Como. y al Sr. Infante Duque de Lúea, hasta el fallecimiento de su Madre, los ali ♦&gt;Pedimos al Estamento se sirva declarar, si por circunstancias particulares mentos de 509 ducados que la correspondían como Infanta de España, y des debe el proyecto de ley, pre'Cntavlo por el Gobierno sobre presupuestos, di a1pués de verificado aquel,…</t>
  </si>
  <si>
    <t>de Luna, Alvaro</t>
  </si>
  <si>
    <t>Alvaro de Luna</t>
  </si>
  <si>
    <t>…año de 830 ; y de esta máxima: Nada hay verdaderamente grande tn-'el Imutufo que el jurado no debe conocer de los delitos á que dicha-ley se re sino ¡a virtud. fiere ; por cuyas razones está dispuesto á aprobarla. T En la vida de D. Alvaro de Luna se describen con deteni Se levanta la -sesión. *• / miento y claridad todos los sucesos de aquella época, en los cuales ESPAÑA. tuvo tanta parte, ya como víctima, ya como triunfador; no sien do el menor mérito del biógrafo haber conseguido dar ínteres á las Madrid 11 de Abril. intrigas pequeñas y d…</t>
  </si>
  <si>
    <t>de Luna, Julián</t>
  </si>
  <si>
    <t>Julián de Luna</t>
  </si>
  <si>
    <t>…ardízabal no se «abe su paradero. para que vuelvan á continuarse las lecciones de agricultura en ja cátedra que En. este mismo instante he tenido noticias dei cuartel general dictándome b. M. se dignó conferir en el uño de 1817 á D. Julián de Luna. el Excmo Sr. general en gefe , que la dirección de las tropas de la Reina El sistema de producciones de la provincia , su situación geográfica, que la nuestra Señora sobre diversos punios, ha desconcertado de tai modo á u fac- coloca en el centro de otras igualmente ricas en granos, lo que acaban -…</t>
  </si>
  <si>
    <t>de Luque, Agustín</t>
  </si>
  <si>
    <t>Agustín de Luque</t>
  </si>
  <si>
    <t>…cia, dándole á besar su Real mano, y mostrándose de todos sus compañeros. plenamente satisfecha de sus leales y dignos sentimientos. El capitán de cazadores de Borbon D. Salvador Ruiz Zúñiga y el de grana- ^ertis del mismo cuerpo D. Agustín de Luque, se arrojaron ios primeros con . Atendiendo á los conocimientos, á la lealtad minea desmentida del duque muy pocos soldados sobre la cresta de la montaña, era lo mas cni.cn de íj ac de O-br , y1 al desinterés é inteligencia con que ha desempeñado en circunstan ción, y el coronel D. Angel Noguer, co…</t>
  </si>
  <si>
    <t>de Luzuriaga, Fausto</t>
  </si>
  <si>
    <t>Fausto de Luzuriaga</t>
  </si>
  <si>
    <t>…cho de la Guerra. de Luzuriaga , presbítero beneficiado de Salvatierra: D. Manuel Nanclares, presbítero beneficiado de la misma: D. Ramón de Aguír- MINISTERIO DEL FOMENTO GENERAL DEL REINO. re, presbítero beneficiado de la misma: D. Fausto de Luzuriaga, Ex posición. clérigo beneficiado de la misma: D. Francisco Ruiz de Ganna, beneficiado de Eguino: D. Pablo de Amurrio, presbítero benefi Excmo. Sr.: Reunidos hoy todos los sugetos que deben componer ciado de la Bastida: D. Gregorio López de Arechaga, cura y be el primer batallan de la Mijicia urban…</t>
  </si>
  <si>
    <t>de M, Francisco</t>
  </si>
  <si>
    <t>Francisco de M</t>
  </si>
  <si>
    <t>15/06/1834</t>
  </si>
  <si>
    <t>Gaceta de Madrid n.º 118</t>
  </si>
  <si>
    <t>…roso concurso, alcanzaron los premios los mas ágiles y diestros. El ven cedor en las Delicias fue un soldado de la Princesa, y tuvo la honra de qúe las tres ds la tarde. presenciasen su triunfo SS. AA. ios Serenos. Srcs. Infantes D. Francisco de M&amp;títA os CoiíBxczo. Cotización de hoy í Paula y tu augusta Esposa, que disfrutaron esta diversión desde un carruage EFECTOS PV BUCOS. abierto. ' Inscripciones sobre el gran libro á i p. 100 , 00u En el salón del Prado habia una numerosa banda de música militar, que Títulos al portador del í p. 100,…</t>
  </si>
  <si>
    <t>de Ma, Juan Nepomuceno</t>
  </si>
  <si>
    <t>Juan Nepomuceno de Ma</t>
  </si>
  <si>
    <t>…rción de miguelistas de Castel-da— el destacamento de ingenieros, fue mandada en los primeros momentos por el Vide , que fueron á forragear al pueblo de la Escusa, distante media legua de coronel José de Fonseca, y después por el brigadier Juan Nepomuceno de Ma- la citada plaza de Marbaon , siendo el resultado haber perdido los imguelistás cedo: la artillería, finalmente, apostada en las alturas sobre el rio para batir ocho muertes, nueve prisioneros, entre ellos un oficial y un proveedor, cua el puente fue dirigida y mandada por el mayor Passos. Las instrucc…</t>
  </si>
  <si>
    <t>de Madrid, D Ramón</t>
  </si>
  <si>
    <t>D Ramón de Madrid</t>
  </si>
  <si>
    <t>…n, no separándose en los trámites y forma de sus Blanco, Diez González y Serrano (D. Francisco). deliberaciones, de los principios consagrados en nuestras leyes fundamentales.” La comisión de Poderes después de examinados los de! Sr. D. Ramón de Madrid lñ de Agosto de 1834-r=Permin Caballero-czCctnde, de las Navas.cn Llano y Chavarri, electo Procurador por la provincia de Barcelona , y los Antonio Gonzalez.s=Miguel Chacon.=TeIcsforo de Trueba Cosío.=Rufino del Sr. D. Pablo Heredia , ídem por Huesca, como asimismo los documentos García Carrascoc^M…</t>
  </si>
  <si>
    <t>de Madrid, López del Córtes</t>
  </si>
  <si>
    <t>López del Córtes de Madrid</t>
  </si>
  <si>
    <t>…ra culo l.°, si mal no me acuerdo , se a probó'en' los términos siguientes : » La ley que el Gobierno tratase de anular esta ley í No por cierto. En 1329, en las protege y asegura la libertad individual :* y , como ha indicado el Sr. López del Córtes de Madrid, se ratificó esta misma ley , y fen el 369 volvió á declararla Baño, et3.° es una redundancia, porque es una consecuencia inmediata del l.°; Enrique u, manifestando en ella que no valiera ninguna carra del Rey contra y si efectivamente puede considerarse como tal redundancia , es inútil , y de dere…</t>
  </si>
  <si>
    <t>de Madrid, Ramón</t>
  </si>
  <si>
    <t>Ramón de Madrid</t>
  </si>
  <si>
    <t>…o separándose en los trámites y forma de sus Blanco, Diez González y Serrano (D. Francisco). deliberaciones, de los principios consagrados en nuestras leyes fundamentales.” La comisión de Poderes después de examinados los de! Sr. D. Ramón de Madrid lñ de Agosto de 1834-r=Permin Caballero-czCctnde, de las Navas.cn Llano y Chavarri, electo Procurador por la provincia de Barcelona , y los Antonio Gonzalez.s=Miguel Chacon.=TeIcsforo de Trueba Cosío.=Rufino del Sr. D. Pablo Heredia , ídem por Huesca, como asimismo los documentos García Carrascoc^M…</t>
  </si>
  <si>
    <t>de ManVer.a, Estído Sr</t>
  </si>
  <si>
    <t>Estído Sr de ManVer.a</t>
  </si>
  <si>
    <t>…pa de línea1 estaba formada en hatalla en las calles Real . Ducal y de la Ley. ' ... 4 ___Nuestra universidad espera contar de nuevo en su seno al ^onseyiro'de En todas;•partes.han resonado al pasar -SS, MM. los gritos de viva el Rey, Estído Sr. de ManVer.a quien en su calidad de miembro'de la regencia griega ^ viva la Reina. (,£1 Belga.} sele había dispensado, solo interinamente, de desempeñar sus tinciones en la universidad de Munich; ahora sin duda volverá de nuevo á su cátedra de de . ....... INGI ATERRA. recho político y administrativo. (.Gaceta…</t>
  </si>
  <si>
    <t>de Mar, Pedro</t>
  </si>
  <si>
    <t>Pedro de Mar</t>
  </si>
  <si>
    <t>…... 1000....................... ............ Moran. de infantería con capote del 12 de línea, y los dos restantes oficiales uno 286............ .... Sao. . . . . ......... ......... .. Algeciras. de ellos titulado capitán llamado D. Pedro de Mar, y otro titulado subtenien 17483............ .... soo.......................... ............ Jerez de la Frontera. te D. Gerónimo Collado. Estos dos últimos han sufrido la pena que la ley 7,126............ .... soo.......................... ......... .. Madrid. manda, después de recibir los consuel…</t>
  </si>
  <si>
    <t>de Mareuil, Duraud</t>
  </si>
  <si>
    <t>Duraud de Mareuil</t>
  </si>
  <si>
    <t>…de sus"destinos si no lograsen que la Cámara indicase de la respuesta de su Soberano á los despachos del gobierno francés para que se algún modo que aprueba el sistema del ministerio: si esto fuese cierto la cuestión retirase el barón Duraud de Mareuil. seria mas grave; porque si una vez cedemos á tina exigencia , será preciso ceder Inmediatamente después Mr. RumpfT, ministro residente de las. ciudades siempre: podrá ser que dentro de algunos dias se presente el proyecto relativo libres de Alemania, entregó al Rey, en audiencia privada , las crede…</t>
  </si>
  <si>
    <t>de Mariátegui, Francisco Javier</t>
  </si>
  <si>
    <t>Francisco Javier de Mariátegui</t>
  </si>
  <si>
    <t>…a colocarse en el templo extensión que dejaba paso desembarazado á las tres naves, y se descubría lodo i los arquitectos mayores de Palacio y de la villa de Madrid; y elegido por desde cualquiera de ellas. S. M. el presentado por D. Francisco Javier de Mariátegui, intendente hono La planta de este monumento estaba construida sobre un cuadrado, y sus rario y arquitecto mayor de Ja villa, se encargó á este de órden de S. M. la ángulos los formaban cuatro machones , aboquillados-por el interior , y for ejecución del catafalco y decoración del templo. mando un…</t>
  </si>
  <si>
    <t>de Marien, Tomas Antonio</t>
  </si>
  <si>
    <t>Tomas Antonio de Marien</t>
  </si>
  <si>
    <t>…mpo. sente estaejon permanecieran hacinados en las cárceles muchos reos de delitos 1 ■ Catálogo dé los derechos y usos de comercio relativos al j»aío del Sund» escrito en leves con peligró dé 1a salud pública. (Id.) 7‘francés por D. Tomas Antonio de Marien, y traducido al castellano por D. Luís Mi— , mandando que lodos los corregidores y alcaldes mayores nombrados para - £uel Badal. Un cuaderno en 4.0, impreso en 178^ á 3 rs. rama y 4 en rústica. Explica el-reino de Galicia se dirijan inmccfiaiafncnie á sus destinos. (Aam. 151.) estamercancíasobra el…</t>
  </si>
  <si>
    <t>de Marina, Para la</t>
  </si>
  <si>
    <t>Para la de Marina</t>
  </si>
  <si>
    <t>…D. Fran Lóndres 8 de Abril. cisco López Alcáraz; D. Jacobo María de Parga; D. Niceto de Fondos públicos. Tres por 100 consolidados 90 • Larreta; D. José López Juana Pinilla. Ayer llegó á esta ciudad el nuevo embajador de España , conde Para la de Marina á D. Martin Fernandez de Navarrete, deca de Floridablanca. Hoy, acompañado del caballero Vial, ha hecho no; D. Agustín Perales; D. Miguel Moreno- una visita á lord Palmerston, y el 16 será presentado á S. M. Un Para la de Fomento á D. Juan Alvarez Guerra, decano; Don número considerable de distingu…</t>
  </si>
  <si>
    <t>de Marres, Antonio Remon Zarco del Munich</t>
  </si>
  <si>
    <t>Antonio Remon Zarco del Munich de Marres</t>
  </si>
  <si>
    <t>…reino y administrar (Continuación del correo anterior.) justicia con arreglo á ellas. Tendréislo entendido, y dispondréis lo necesario á su cumplimiento. ^,Está„rubricado de la Real mano.cn RAV1ERA. Aranjuez 4'dc Abril de 1834-=A D. Antonio Remon Zarco del Munich 12 de Marres. Valle. Hoy ha adoptado la Cámara de los diputados 1a contestación al discurso del trono. En él se felicita al Rey por haber concluido S. M. la Reina Gobernadora, en nombre de su augusta Hi un tratado de aduanas con los Estados dePrusia, Sajona y el Hesja la Reina nuestra Señora, se ha servido confe…</t>
  </si>
  <si>
    <t>de Marzo, Benedicto de</t>
  </si>
  <si>
    <t>Benedicto de de Marzo</t>
  </si>
  <si>
    <t>…vimiento para caer de flanco sobre los He venido en mandar que el presidente, ministros y fiscales facciosos que eran atacados de frente en Ceanuri por 1 el enunciado del supremo Tribunal de España é Indias, creado por mi decreto brigadier Benedicto. de 24 de Marzo último, antes de tomar posesión de sus respecti Es indecible el arrojo, entusiasmo y regularidad con que eje vas {dazas, presten el siguiente juramento: Juro ser fiel 4 la Reina cutaron estas disposiciones los valientes de ambas columnas, quie Doña Isabel 11, y 4 su augusta Madre, como Regenta y Go…</t>
  </si>
  <si>
    <t>de Marzo, Francisco Javier de Burgos</t>
  </si>
  <si>
    <t>Francisco Javier de Burgos de Marzo</t>
  </si>
  <si>
    <t>…nicareis i quien corresponda —F«r¿ Juque de Rallen. Tcndréislo entendido, y lo comunicareis á quien» rubricado de JaReaj manocrEn Aranjuez 4 3l) de Marzo de 1834' óorresponda.eeEstá rubricado de la Réal' mano. = En Aranjuez 4 ísA D. Francisco Javier de Burgos. . 10 de Marzo de 1834-3:A £). Francisco Martínez de la Rosa. VIH. ÍI. Para la plaza de Decano de la $epdp&amp;»&lt;fc Indias del Cdntéjo EaÁ la plaza de dccanó^de la sección de Estado del Consejo Real de España é Indias, creado pqj defrqto »de 24 del presenráj Real'de España é Indias, creado por decreto de 24 del presente…</t>
  </si>
  <si>
    <t>de Maturaoa, A Juan Alartincz</t>
  </si>
  <si>
    <t>A Juan Alartincz de Maturaoa</t>
  </si>
  <si>
    <t>…Loma.=bdveno Fernandez d« «Orán 29 de Marzo de 1834*==^-n nombre de los españoles del ex-cuarto Gamboa. = Diego López OtiO-Tor ia M- N. y Al. L- provincia de Alava, batallón de la legión extrangera.zzCostat, capitán ^J- Belevet, teniente.^A. Juan Alartincz de Maturaoa, secietario ** Buil, capitán de granaderos.. (Correo del GarJi)'* Madrid 8 de Junio. L TVi»» ¿I Mercurio de Sutvia, refiriéndose á cartas de Constantinopla, que Partes recibidos en la secretaria de botado y del Despachfi de la Guerra, Mahomet-Mirza ha sido declarado heredero del trono de Persia, y…</t>
  </si>
  <si>
    <t>de Maye, Cárlos En</t>
  </si>
  <si>
    <t>Cárlos En de Maye</t>
  </si>
  <si>
    <t>…tos y negocios que tanto les importan. clamando en los papeles públicos de esta capital sobre la politice que convenia « Para esto no hay mas que recurrir ai origen de la sociedad, al origen seguir respecto al Prétendente español D. Cárlos. En 4 de Maye de este afio de las monarquías. En efecto, sean cuales fueren las opiniones, y la diver te dijo en Jos papeles públicos de Madrid lo siguiente. «Según |nu estro modo gencia de los escritores, es un hecho indudable que en toda institución ó en de ver en política, conviene,i los intereses del Mediodía d…</t>
  </si>
  <si>
    <t>de Mayo, Madrid</t>
  </si>
  <si>
    <t>Madrid de Mayo</t>
  </si>
  <si>
    <t>…y ministro plépipotenciario deS. M.la Reina de Portugal, ha presen ESPAÑA. tado aj Rey l^s cartas que le acreditan en calidad de tal cerca de S. M. el Rey de Jos franceses El caballero de Lima hi sido conducido á la audiencia del Rey Madrid 30 de Mayo• con el ceremonial acostumbrado; estaba acompañado por el caballero Danpias, cónsul.general de S. M. F. que ha hecha, hasta ahora las veces de encargado do El gobernador civil de la provincia de Zamora con fecha de 24 del qti« negocios. (Monitor.) :... . rige , ha elevado á S. M. por conducto del m…</t>
  </si>
  <si>
    <t>de Mayo, Nicolás María Garelly ALEMANIA Brema</t>
  </si>
  <si>
    <t>Nicolás María Garelly ALEMANIA Brema de Mayo</t>
  </si>
  <si>
    <t>…ento curso. Tendréislo entendido, y dispondréis lo necesario á su mas de todos los hombres sensatos y de rectas intenciones. (Id.'} puntual cumplimiento, =Está rubricado de la Real mano. = En Carahancliel á 16 de Junio de 1834.=A D. Nicolás María Garelly. ALEMANIA. Brema 27 de Mayo. En conformidad á lo dispuesto en Mi Real decreto de 16 del El número de emigrados alemanes que llegan á este puerto para trasladarse presente; y teniendo-.en consideración las recomendables circuns á America, es todavía mayor este afio que los anteriores. Se ha formado luis tancias y buenos-servici…</t>
  </si>
  <si>
    <t>de Mayo, Nicolás SUIZA María Garelly Berna</t>
  </si>
  <si>
    <t>Nicolás SUIZA María Garelly Berna de Mayo</t>
  </si>
  <si>
    <t>…el que lo hacían los de los antiguos Consejos. Tendréislo entendido, y despacho del Interior. (G. de PrUJÍa.) dispondréis lo necesario á su cumplimiento. = Está rubricado de la Real mano. =: En Aranjuez á 29 de Mayo de 1834. = A D. Nicolás SUIZA. María Garelly. _________ Berna 8 de Mayo. y ti #1 artículo 10 del Real decreto relativo al Tribunal supremo de España En la sesión del 6 de Mayo el gran Consejo ha deliberado sobre el negocio i Indias inserto en la Gaceta número 98 , dice: de los polacos y demas refugiados que tomaron parte en la expedición de Sa- «El tribunal supremo de E…</t>
  </si>
  <si>
    <t>de Mayo, Roma</t>
  </si>
  <si>
    <t>Roma de Mayo</t>
  </si>
  <si>
    <t>…ó prevenir la usurpación de Rusia en Lisboa 18 de Junio. el mar Negro.” (.Mensagero.) Ayer a la una y media del. día SS. MM. Fidelísima é Imperiales recibieron en la sala del trono , donde se hallaban lps ministros de Estado , el cardenal Roma 25 de Mayo. patriarca de Lisboa y toda la corte, al Sr. D. Evaristo Perez de Castro, envia Después que llegó un correo de París, partió antier para Ñapóles el mar- do^ extraordinario y ministro, plenipotenciario de S. M. Católica, que en su Sjues de Latour-Maubourg. Suponen, para dar á este viage un objeto ost…</t>
  </si>
  <si>
    <t>de Mayo, Vitoria</t>
  </si>
  <si>
    <t>Vitoria de Mayo</t>
  </si>
  <si>
    <t>…to de la generosa Cura digo a V. para su inteligencia y efectos consiguientes. Dios ¿fce. tiva. Madrid 18 de Marao de l854.=Zarco. Dios guarde muchos años las importantes vidas de V. M. r la de su ino cente Hija la Rí-sna nuestra Señora. Vitoria 3 de Mayo de 1 834- =Seoora MINISTERIO DEL INTERIOR. A L. R. r. de V. M.rcEl comandante , Francisco Mam de Jugo.r^ El ayu dante mayor , Inocencio García de Ar.doin. = For la ciase de capitanes , José Real orden* Lino de Ügarte.rrPor la de tenientes, Cristóbal Ortíz de la Puente^rPot la de subtenientes, Pedro de…</t>
  </si>
  <si>
    <t>de Mayo, Yosah Rowlcy</t>
  </si>
  <si>
    <t>Yosah Rowlcy de Mayo</t>
  </si>
  <si>
    <t>…®; Esta es, desde I8I4 acá, la única Cámara qúe ha agotado$ws poderes, pues, «Nos escriben de Malta fecha l.° de Mayo: lia cumplido sus cinco sesiones legales: reunióse en Julio de F831 «'yuteaba et escuadra ingesa mandada por el almirante Yosah Rowlcy. 24 de Mayo de 1834* habiendo subsistido durante tres años ¿0¿ qorfa diferen qwe debe dar á la vela dentro de cinco ó seis días. Se compone del CaieSonia, cia Cualquiera que sea Ja Cámara que la suceda deseamos que sea'tan útil á la. J-20 cañones, pabellón almirante: Britania, 120 cañones: Tkund'rer, nación, y qu…</t>
  </si>
  <si>
    <t>de Mcndáza, Iñigo López</t>
  </si>
  <si>
    <t>Iñigo López de Mcndáza</t>
  </si>
  <si>
    <t>…DON DIEGO HURTADO DE MENDOZA. '' crito versé obligado á anticipar esta declaración; pero el estado actual de los ^ ^ . v¿ „v ■» ' ’• " \ " negocios públicos, pendiente de una. nueva organización gubernativa, exige que Fue hijo de D. Iñigo López de Mcndáza. conde de Tendilla y marques el' tiempo no sea empleado sino en aquellas medidas que puedan tener un de Mondejar, y de Doña Francisca Pacheco» Nació á principios del siglo x vi éxito ran prdvechoso como cierto. en Granada, y no en Toledo, según parece creyó el erudito'D. Tomas Ta- «Dios &amp;c.=Nicolas…</t>
  </si>
  <si>
    <t>de Méck.Iepberg-Scheweria, Gustavo</t>
  </si>
  <si>
    <t>Gustavo de Méck.Iepberg-Scheweria</t>
  </si>
  <si>
    <t>ro del trono, / la afqhldtiquasa María de Rusia han salido hoy pasa San Aprobada el acta de la seshrií de Jó de Agosto último, í*e;el Presiden ta un oficio ep que él mariscal Lobiu, comartdantégeóeral deda,Guardia na El duque Gustavo de Méck.Iepberg-Scheweria ha salido-para iudwigs- cional dé-París, y su término, le avisa que ha puesto á disposición de laíCáliist, el duque reinante de Nassau para Biberich, y el dijque de Brunsvrick mara^la guardia acostumbrada. En seguida manifiesta el mismo Presidente que para sü. capital. (Gí¿ir¡rá¿ St'hit Postas?) t…</t>
  </si>
  <si>
    <t>de Medina, Sebastian</t>
  </si>
  <si>
    <t>Sebastian de Medina</t>
  </si>
  <si>
    <t>…on la franqueza y legalidad observada en todas sus comunicaciones guez, médico titular, y D. Francisco del Cid, vocal; se dio cuenta de un ofi deciara á dicha capital en estado de sospecha, con arreglo a] aríbu'o 5.° de ¡a cio de D. Sebastian de Medina, médico comisionado por el Excmo. Sr.. capi instrucción sanit.ini de 25 de AgnMO de 181 , y sujetas sus procedencias á li tán general de esta provincia, presidente de la junta superior de Sanidad de ella, observación de O día', y teniendo presente que en varios puchio* de ve_.i «e para ia curación…</t>
  </si>
  <si>
    <t>de Méjico, IITiXBXIO BE ILUSTRES ÍRÓC-BRESi</t>
  </si>
  <si>
    <t>IITiXBXIO BE ILUSTRES ÍRÓC-BRESi de Méjico</t>
  </si>
  <si>
    <t>…b•.e'&lt;Mí*s^oo.í:., ='- •.■sf/i&amp;ciíi ¿3 ' DEL DOMINGO 28 DE DICIEMBRE DE 1834CORTES. obispo electo de Teruel „ obispo de ljuesca, conde de Cuba, duque de Bailen obispo electo de. Almería, Patriarca de las ludias , conde de Ofalia, arzobispo * IITiXBXIO BE ILUSTRES ÍRÓC-BRESi de Méjico, marques de Sta. Cruz, obispo D- Amonio Posada, marques de San Marcial, marques del Cerro de la Cabrea, duque de S- Lorenzo, marques del Sesión del día *¿7 de Diciembre, &lt;s. Salar , marques de Sta. Cruz y S. Esteban, conde González Castejon, obispo de Lugo, conde de Guaqui, obispo de Córdoba, duque…</t>
  </si>
  <si>
    <t>de Mendiola, Ramón José</t>
  </si>
  <si>
    <t>Ramón José de Mendiola</t>
  </si>
  <si>
    <t>…stros an Para formar la dotación de la Real audiencia de Albacete, tiguos código* y costumbres reconocen como legítimo en semejan creada por mi decreto de 26 de Enero último, he venido en nom tes casos. brar en clase de oidores á D. Ramón José de Mendiola , oidor de 2. a Demostrada la'nccesidad de convocar lis Córtes, aun mas la de Granada; á D. Pascual Méndez Acuña, que lo es de la de fácilmente se prueba que lo que se ha hecho no ha sido sino res Sevilla; á D. JoséValdenebro de la misma; á D. Lorenzo Casaux, tablecer nuestras antiguas leyes fundam…</t>
  </si>
  <si>
    <t>de Mendiondo, Joaquin Sanz</t>
  </si>
  <si>
    <t>Joaquin Sanz de Mendiondo</t>
  </si>
  <si>
    <t>…n em dado en mis anteriores partes, son en mi concepto muy acreedores prendí la marcha para Alegría. Al llegar á este punto destaqué con á que la Reina Gobernadora premie sus servicios del inoio que dos caballos al ayudante mayor D. Joaquin Sanz de Mendiondo á lo considere justo, asi como á los que se han distinguido en la bn Tolosa, con el objeto de tomar noticias de los enemigos, y de co liante jornada á que se refiere el parte inserto para estimulo de lo, locar puntos avanzados para no dejar pasar á nadie en la dirección demas, y merecida reo mpensa…</t>
  </si>
  <si>
    <t>de Mendoza, Diego Hurtado</t>
  </si>
  <si>
    <t>Diego Hurtado de Mendoza</t>
  </si>
  <si>
    <t>…a á España mas Hainburgo, 00. Barcelona, á ps. fs., Malaga , par. Descuento de letra gasto que provecho. El Sr. Clcmencin cita un documento muy curioso, y es Londres, á 9O días, ^ b. Santander, £ b. a 4 P- 100 al asa una carta de D. Diego Hurtado de Mendoza ai Rey Felipe rr; en la cual coin -37 i* Bilbao, 4 d. Santiago, ¿ d. cide aquel célebre estadista con el juicio de Cervantes. Añade el comentador que este mismo dictámen fue seguido en tiempos posteriores por otros que acon sejaron abandonar los demas presidios de la costa de Africa. Habla después…</t>
  </si>
  <si>
    <t>DE MENDOZA, DIEGO HURTADO</t>
  </si>
  <si>
    <t>DIEGO HURTADO DE MENDOZA</t>
  </si>
  <si>
    <t>…resolución poco meditada: no, es el " . VARIEDADES, resultado de las reflexiones que Ha expuesto, y será tan firme i invariable, como son ingenuos los sentimientos desque procede. Sensible es parael infras NOTICIAS HISTÓRICAS DB DON DIEGO HURTADO DE MENDOZA. '' crito versé obligado á anticipar esta declaración; pero el estado actual de los ^ ^ . v¿ „v ■» ' ’• " \ " negocios públicos, pendiente de una. nueva organización gubernativa, exige que Fue hijo de D. Iñigo López de Mcndáza. conde de Tendilla y marques el' tiempo no sea empleado sino en aquellas…</t>
  </si>
  <si>
    <t>de Mendoza, Francisco Correa</t>
  </si>
  <si>
    <t>Francisco Correa de Mendoza</t>
  </si>
  <si>
    <t>…a por los miguelistas , envío you hombres contra un cuerpo V\ 17 de Enero se acercaron los guerrilleros de D. Miguel en el Algarbc enemigo de 7 uu que pasó del sur del Taji al norte, y que fue exterminado, á la plaza de Lagos. Su gobernador Francisco Correa de Mendoza salió contra pereciendo ahogados en el río casi todos los que escaparon del acero de nuestro* ellos, y los desalojó de las alturas tecinas que habían ocupado. Cuando las tro soldados. Puede decirse que ya no existe el ejercito de D. Miguel. (Extracte pos de la guarnición entiaron en la plaza , avan…</t>
  </si>
  <si>
    <t>de Mendoza, Juan</t>
  </si>
  <si>
    <t>Juan de Mendoza</t>
  </si>
  <si>
    <t>I causa formada en esa subdelegaron contra D. Juan de Mendoza, del comercio Sr. Jarabit cree que el gobierno ha hpeho bien en aproximar tropas á los Dirí—; I de Granada , por aprehensión de géneros prohibidos en un buque de su propia ’ neos; pero desaprueba que haya hecho alistar 359 hombres más de los que las*' Idadí-dstcuyo testimonio1 resulta que habiéndos…</t>
  </si>
  <si>
    <t>de Mendoza, Miguel Gayoso</t>
  </si>
  <si>
    <t>Miguel Gayoso de Mendoza</t>
  </si>
  <si>
    <t>…para su 'satisfacción y efectos correspondientes. Ordenanza general de ¡os presidios del reino. Dios guarde á V. E. muchos años. Madrid 14 de Abril de I83|. (Sigue el texto de la Ordenanza , que se estd imprimiendo =Búrgos.zcSr. D. Miguel Gayoso de Mendoza, Señor de Rupor separado,y se hallará venal en esta Real imprenta ája ma bianes. yor brevedad.) , S. M. la B-einÁ Gobernadora por Real ■'decreto de I4 &amp; Tendréislo entendido, y dispondréis lo necesario para su cum contente se ha dignado nombrar subdelegado principal de Fonteo-plimientos Está rubric…</t>
  </si>
  <si>
    <t>de Mendraca, Julián Perez</t>
  </si>
  <si>
    <t>Julián Perez de Mendraca</t>
  </si>
  <si>
    <t>…vor de los hijos de D. Angel de Yoldi y de Doña Juana de Be- cia con lo* pueblos de &gt;u radió y con Jos del bajo Aragón. Bajo el concepto ramendi. de insliuccion ofrecen también grandes ventajas estos tres puntos por la ten Id. de D. Julián Perez de Mendraca, de Uceda. dencia que todos los habitantes de la provincia tienen á acudir á ellos en todas Mayorazgo fundado por D. Juan de Legarra. sus urgencias. Para la de esta ciudad he nombrado ya los individuos que deben El hospital de la villa de Meco. componerla , y para la de Reus y Torlosa me ocupo en a…</t>
  </si>
  <si>
    <t>de Merode, F</t>
  </si>
  <si>
    <t>F de Merode</t>
  </si>
  <si>
    <t>…aderamente admirable. Conti geros; el barón deHuart, de Hacienda, en lugar de Mr. Durivier; y Mr, Ernsr, nuabanTos regocijos y las fiestas en los «ampos Elíseos, y vi pOr algún tiempo de Justicia, en sustitución de Mr. Lebeau. El conde F. de Merode, ministro i mis pies el gran globo de Mr. Lcnoux, á quien saludé con mi bandera dicien- de Estado, continúa en el consejo. {D. de París.) dolé: «Buen animo, y que la fortuna corone vuestra tentativa porque un es fuerzo desgraaado podía fortificar la opinión ya demasiado generalizada de que ____El D…</t>
  </si>
  <si>
    <t>de Mérode, H</t>
  </si>
  <si>
    <t>H de Mérode</t>
  </si>
  <si>
    <t>…puede inferir de las recientes misiones á versidad católica, y que esta solemnidad había atraído á varios extrangeros, S. Peteisburgo del conde Loewenhilen y del Príncipe Mentschekoff. En. el dia entrf los cuáles se1 contaban el conde H. de Mérode y el de Robiano. . la cuestión de paz ó de guerra depende de la neutralidad de la Suecia, ó. de su ' La ceremonia empezó i las diez dé la mañana en la metrópolis de San declaración á favor de alguno de los sistemas políticos que dominan en Euro J&amp;ombaldo, én donde él arzobispo ofició de pontifical. U…</t>
  </si>
  <si>
    <t>de Mesa, Antonio</t>
  </si>
  <si>
    <t>Antonio de Mesa</t>
  </si>
  <si>
    <t>…rnadora, á nombre de su augusta de Villafraoca, quien distribuyó i/óu raciones de pan y 3uu de carne, y otras Hija (Q. D. G) estadiza y sin cultivo esta posesión preciosa que le espera. Co 3UÜ también de carne el honrado labrador D. Antonio de Mesa. nozco los males que ha traído al pueblo la serie de nuestras calamidades, v me Este pueblo, sobremanera gozoso por el advenimiento al trono de Isabll m, afanaré por aliviarlos: no ignoro, y procuraré estudiar mejor, Jos vicios que ei no puede .menos de rendir igualmente el tributo de admiración á s…</t>
  </si>
  <si>
    <t>de Mí, Pedrt Batallar</t>
  </si>
  <si>
    <t>Pedrt Batallar de Mí</t>
  </si>
  <si>
    <t>…® aftele&gt;4 mie$r* tfajUta.Sob«rao« todos: el de sentiróiemo* de.ünioiv y .ífateIOida&lt;i.énftey lo.j**«*».,Tremolo dice dél- en»** cótóbtfánfé ’géner^al de lai,'jftó$rtticiái El vy»cor- Vastóiíéada^* i—q fcfeal costea*!» estandarte D. Pedrt/ Batallar de Mí rafia. í,m 1 que :cio fténíe de fóífó’blSfeit^y/aprecio 1asla‘ (virta’d¿s■ cuí¿‘dlenás.stín háaL‘“ desplegaJ magnifico tablado en la plaza de la Iglesia, y dando una'comida i los presos 4q 'i'las I.hermaiias‘ Sí¿:1i: Caridad Lí^KztWilfvl¿6l?lld$íta4 r'civilitr.f' V*ife Vitófiá , sito exirarouros; «…</t>
  </si>
  <si>
    <t>de Mi, Presidente</t>
  </si>
  <si>
    <t>Presidente de Mi</t>
  </si>
  <si>
    <t>…lentamente el capital proyecto tales como babián sido aprobados por el Estamento de Sres. Procu durante un plazo incierto, puesto que dependía de la vida de dos solas perso radores, cuyos artículos remitía con oficio del Exento. Sr. Presidente de Mi nas , sm que aun durante este mismo tiempo se le abonase nada por los reditos nistros. del capital. Hasta el recobro del capital era tan lento y perezoso como es de A la comisión de eximen pasaron los nombramientos de Proceres y otros suponer, por haber de verificarse coa el producto de los frutos…</t>
  </si>
  <si>
    <t>de Mi, Presidente del Consejo</t>
  </si>
  <si>
    <t>Presidente del Consejo de Mi</t>
  </si>
  <si>
    <t>…tranquilidad, se reduce tra!* de hacer ta^es sacrificios, si han de disfrutar de los beneficios que se les á ocupar los pueblos militarmente , 4 estrechar e\ recinto donde están las bor señalan. A est« fin creo deber dirigirme al Sr. Presidente del Consejo de Mi das de rebeldes, é irlos obligando á que tengan que rendirlas armas, como ya lo nistros » con el objeto de rogar tenga á bien instruir al Estamento dei estado verifican: para esto se necesita gente, ¿y cuáles son los medios del Gobierno? de la guerra, de las fuerzas que tiene el Gobierno para combatirla,…</t>
  </si>
  <si>
    <t>…ratándose de uno de la mayor im Procuradores: principio justo y conservador, sentado en el Estatuto Rkai , y portancia, nada tiene de extraño que se haya subdividido y pasado á las respec en el que mas de una vez se ha apoyado el Sr. Presidente del Consejo de Mi tivas comisiones especiales. Yo no entraré en la cuestión de si esto se halla mal nistros. Esta consideración.es de mucha importancia, y aunque en cierto modo ó bien establecido; pero sí diré que tal es la práctica que se ha observado, y es una digresión; no puedo menos de exponerla para que la ten…</t>
  </si>
  <si>
    <t>…ose indicado por los Sres. Secretarios que se corregiría en esta parle , quedó poder acreditar las condiciones. aprobada. El Excmo. Sr. conde de Parsent dijo que respecto á lo manifestado por Se dió cuenta de un oficio del Excmo. Sr. Presidente del Consejo de Mi el Excmo. Sr. Búrgos de no ser obligatoria la asistencia al Estamento, aun nistros con que remitía ISO ejemplares de la memoria que leyó al Estamento después de haber prestado juramento, recordase S. E. lo acordado con-respecto del estado de los negocios pertenecientes al Ministerio de su cargo ; y…</t>
  </si>
  <si>
    <t>…el del sorteo que propone la comisión.” adoptar esta medida cuando lo exijan las circunstancias. Son por lo tanto fuera El Sr. Secretario del Despacho de Hacienda: «Me parece que el prin del caso los argumentos presentados por el Sr. Presidente del Consejo de Mi cipio de la comisión es exacto; sin embargo, el medio que adopta no me pa nistros en apoyo de la facultad del Gobierno para disponer de la Milicia ur rece el mejor, porque es lento y puede ser injusto. Esta operación necesita al bana. gún tiempo, y las circunstancias pueden ser tales, que no den lu…</t>
  </si>
  <si>
    <t>…stían con gloria y buen suceso ion muda* ó si tienen lengua, aí se puede expresar loque se siente y hablar «1 ejército invasor; todas las plaza» estaban en nuestro poder: en Extremadura desde esta tribuna: esto es lo esencial. El Sr. Presidente del Consejo de Mi- habia también otro cuerpo de ejercito al mando de Caftelldosrios; Alicante . cuatros ha tenido razo» para decir que con los tres principios consignados en y Cartagena estaban todavía por la Constitución; en SaMoña v $. Sebastian tre el Estatuto Rrai tiene la Nación bastante; y yo diré que con uno,…</t>
  </si>
  <si>
    <t>de Mier, José</t>
  </si>
  <si>
    <t>José de Mier</t>
  </si>
  <si>
    <t>…cuales reforzados oportunamente hicieron que aquel se re la Reixa nuestra Señora en posesión de la corona. En tal estado, por medio plegase sobre las alturas da Catjvalha, do Tomate y da Caxoa, tomando posi- del comisionado regio D. José de Mier, del Consejo y Cámara de Castilla, aion la tropa que salió de Lagos sobre Estrada branca, Val'd’Amoreira y acompañado de un escribano de Cámara de dicho supremo tribunal exigió S. MAroaes, dejando una reserva junto del molino de aceite; que viendo que el la R&amp;rKA Gobernadora que el cardenal arzobis…</t>
  </si>
  <si>
    <t>de Miera, José</t>
  </si>
  <si>
    <t>José de Miera</t>
  </si>
  <si>
    <t>…s* las órdenes; al capitán de granaderos del provincial de Granada D..Manuel EFECTOS PUBLICOS. ¡- de Ürrea, herido levemente, al capitán D. Ramón Conti y Galiano, de ja com pañía de cazadores de Segovia , al teniente ríe la misma-D. José de Miera, y Inscripciones en el gran libro i $ p. 100, í6|^l contado. aí subteniente dé ídem D. Antonio Saaveríra, y D. José Valero, subteniente Tirulos al portador del 5 p. 100, S8¿ a variu fs. ó val. íe .carabineros. , TiruiosInscripcionesal portadordelen el gran4 librop. 100,4 452p*al 100contado:* 00. 54…</t>
  </si>
  <si>
    <t>de Minis, Presidente del Consejo</t>
  </si>
  <si>
    <t>Presidente del Consejo de Minis</t>
  </si>
  <si>
    <t>…«Para decidir si una petición ha de leerse en público ó en aecreto, ¿ea verifique» oo podemos marchar. Mi voto particular seria que pasase el regla necesario el dictámen de tres comisiones? . mento con una nota de sus defectos al Sr. Presidente del Consejo de Minis »c Por qué ha de permitirse á tos Diputados que te abstengan da votar f tros; y estoy seguro de qué estos señores lo reclamarían de nuevo. , w¿ Por qué lá reunión de §0 Procuradores ha de bastar para las resolucio «Ajer dijo el Sr. Medrano que oo era muy urgente el tratar del regla nes de un cuerpo…</t>
  </si>
  <si>
    <t>…ten empleados en el servicio inmediato dece habitualmente dos veces al año, y del que espera restablecerse pronta mente. de SS. MM. y AA* sean considerados en el servicio del Estado para ser exi— También lo quedó de un oficio del Sr. Presidente del Consejo de Minis midos de la obligación de asistir al Estamento, cuando el desempeño de su em pleo no se lo permita; y que para que conste í la secretaría, se pida á la Ma tros, en que participaba haber puesto en manos de S. M. la Reina Goberna dora la contestación del Estamento al discurso de apertura. yordomea ma…</t>
  </si>
  <si>
    <t>…güedad y consideraciones'correspon «Quisiera concluir aquí; pero no puedo resistir al deseo de echar una ra dientes, ó abonándoles los sueldos que con arreglo a ltó óxdenes. que. rigen^ o pidísima ojeada sobre lo que ayer dijo el Sr. Presidente del Consejo de Minis regirán deben percibir; y la otra , que se sirva S. M. deponer se limite el tér tros: confieso de buena f¿ que jamas me ha admirado tanto la oportunidad y mino de U prescripción contra el Real fisco, corporaciones y, personas particu exactitud de sus pensamientos, y el vuelo inimitable de su imagin…</t>
  </si>
  <si>
    <t>…eparatorias; y tocando unos y otros el libro de los Santos Evangelios, ¡que son prendas de estabilidad y firmeza. contestaron tijuro. Por lo que á Mí toca, siempre me hallareis dispuesta á cuanto Concluido el juramento, el Excmo. Sr. Presidente del Consejo de Minis pueda redundar en bien y provecho de España; jun en los pocos tros , después de tomar la venia de S. M., se dirigió á los Estamentos, y ma dias que ejercí interinamente ia potestad supreqta, por voluntad de nifestó en nombre de S. M. que las Cortes generales del reino quedaban ins mi augusto Esposo…</t>
  </si>
  <si>
    <t>de Ministro, Presidente del Consejo</t>
  </si>
  <si>
    <t>Presidente del Consejo de Ministro</t>
  </si>
  <si>
    <t>…de ministros nos ba llamado á un terreno mento no tenia necesidad de dicho requisito: por consiguiente no viendo yo peligroso; y si tengo la libertad de entrar en él, no es para vulnerar de nin hasta ahora oposición por parle del Sr. Presidente del Consejo de Ministro», gún modo el Estatuto Reas. Permítame S. S. le diga que nos ha traído á u*r me creo con cierto derecho, y tengo esperanzas de contar con su apoyo para terreno por el que, como indicó muy bien el Sr. de Arguelles, es preciso ca conseguir, el fin que en esta petición nos proponemos. minar cobre ceni…</t>
  </si>
  <si>
    <t>de Ministros, D Estanislao Pcñafiel</t>
  </si>
  <si>
    <t>D Estanislao Pcñafiel de Ministros</t>
  </si>
  <si>
    <t>…Asegura que aquellos montes dan muchos indicios de encerrar ^ninerales preciosos y abundantes, y aprovecha esta ocasión para elogiar el mérito del ex— ____ El Rey acaba de poner á disposición del mariscal presidente del consejo 'diputado D. Estanislao Pcñafiel de Ministros la suma de 209 francos para que se distribuya entre los militares En cuanto á la mina de antimonio de Omaña, cree que sus productos mas heridos en los desgraciados acontecimientos del mes próximo pasado, como bien.sirven de carga y perdida para el gobierno, que de beneficio, y da las ra igualmente ent…</t>
  </si>
  <si>
    <t>de Ministros, El Secretario del Consejo</t>
  </si>
  <si>
    <t>El Secretario del Consejo de Ministros</t>
  </si>
  <si>
    <t>…siguiente despacho que el gobierno acababa de de representación en la Península no debe juzgarse por los principios del de In recibir de Madrid: glaterra, Estados-Unidos, ni aun de Francia. El sistema representativo en Es Excmo. Sr.; El Secretario del Consejo de Ministros tiene el honor de pre paña es el principio de un sistema mas popular que el que había antes; y des venir á V. E. que el primer Secretario de Estado ha manifestado en el Consejo pués de muchos siglos que aquel país estaba gobernado por un régimen espe de Ministros que S. M. la Reina Isabel ir ha man…</t>
  </si>
  <si>
    <t>de Ministros, Estanislao Pcñafiel</t>
  </si>
  <si>
    <t>Estanislao Pcñafiel de Ministros</t>
  </si>
  <si>
    <t>…que aquellos montes dan muchos indicios de encerrar ^ninerales preciosos y abundantes, y aprovecha esta ocasión para elogiar el mérito del ex— ____ El Rey acaba de poner á disposición del mariscal presidente del consejo 'diputado D. Estanislao Pcñafiel de Ministros la suma de 209 francos para que se distribuya entre los militares En cuanto á la mina de antimonio de Omaña, cree que sus productos mas heridos en los desgraciados acontecimientos del mes próximo pasado, como bien.sirven de carga y perdida para el gobierno, que de beneficio, y da las ra igualmente ent…</t>
  </si>
  <si>
    <t>de Ministros, Presidente del Conseja</t>
  </si>
  <si>
    <t>Presidente del Conseja de Ministros</t>
  </si>
  <si>
    <t>…en que estas residen, por cuyo medio se reconoce hasta Leída y sproSada el acta de U sesión anterior» «e d¡ó cuenta de un oficio cierto ptmto á lo tu.nos la necesidad de asistir al Estamento en tarM cue *c remitido por el Excmo. Sr. Presidente del Conseja de Ministros, ccn el que reside en el pueblo en que este ce'tbra sus sesiones. Pero es muy distu-t-» el so dirige uns exposición del Excmo. Sr. D. Cayetano Valdes, en que expresa meter 2 los Sres. Proceres á una f rmalrdad de orden y dependen, i a del cuer que por Reai iSrden no puede apararse del destino de es…</t>
  </si>
  <si>
    <t>de Ministros, Presidente del Consejo</t>
  </si>
  <si>
    <t>Presidente del Consejo de Ministros</t>
  </si>
  <si>
    <t>…inser aquel dia que será para siempre memorable en los fastos de la nación espa ta la órden Real del 17 de Agosto próximo comunicada por el Excelentísimo ñola, se dignó decir que eí a»ui}to que hoy va i ocupar la atencroa de este Sr. Presidente del Consejo de Ministros, mandándole permanecer en sudes- Estamento seria uno de los primero» que se someterían á la decisión de la* tino hasta nueva resolución. £1 Estamento quedó enterado, como también de Cortes; poyque él es sin duda el de mayor gravedad é importancia. una exposición del Sr. marques de Cerralvo, en que…</t>
  </si>
  <si>
    <t>…ajas, y no hay ningún establecimiento humano que via no es traba pata mí; es un beneficio. il lado de las ventajas no tenea sus inconvenientes. »Ha dicho un Sr. Procurador que en la duda de si usaré mal ó bien »Se ha dicho por el Sr. Presidente del Consejo de Ministros que para qué de mi libertad, se verá cualquiera en el conflicto de constituirse preso: la se ha.de establecer una cosa, si al dia siguiente se ha de acudir á Jas Córtes cuestión no es esta. Ningún individuo de los Estados-Unidos se creería escla para que se suspenda Yo no veo en esto ningún inconve…</t>
  </si>
  <si>
    <t>…ste patrocinio ha excitado siempre el entusiasmo y la esperanza de los guerreros 4 jurar y tomar asiento en el Estamento. españoles, y está tinido todo á nuestras proezas y glorias militares; porque el Leida otra comunicación del Sr. Presidente del Consejo de Ministros, en Valor, la honradez, la constar cía, el sufrimiento y la piedad han formado y que participaba un Real decreto, por el que queda á voluntad dpi Estamento forman el carácter de nuestra nación. Y por último, tratando de los hospitales la provisión de las vacantes de la secretaría y demás dependenci…</t>
  </si>
  <si>
    <t>…como en 1820. , Tomé razón il f? Hoy ha llegado el correo de-Constantinopla del 27 de Mayo: todavía no se han distribuido las cartas; pero sabemos que han llegado á la capital los dos nuevos hospodares A. Ghika y M. Stourdza. El Sr. Presidente del Consejo de Ministros participa en Real or den de 4 del corriente al Sr. Secretario de Estado y del Despacho S. A. el duque de Lúea ha salido para Badén, y pasará de allí á Lúea. de lo Interior, que S¿ M. la Reina Gobernadora se ha servido man Hemos recibido -noticias de la Transilvania. Todavía no se ha abierto la dar,…</t>
  </si>
  <si>
    <t>…aquella provincia el bre reconocimiento de la deuda extrangera, y nuevo empréstito de 4.UÓ millo Sr. D- Rafael CabaníHas. nes. Al decidirse este negocio en el Estamento á que tengo el honor de perte Se d.ó cuenta de un oficio del Sr. Presidente del Consejo de Ministros, necer, mi voto hasido que debía y deben reconocerse todos los empréstit o he con que remilia 4 los Sres. Secretarios del Estamento una copia del Real de chos antes y después del año de 1823; y nombrado después para la comisión creto por el que S. M. se ha dignado encargarle interinamente del despa…</t>
  </si>
  <si>
    <t>…n con la América ? Cualquier producto nuestro modo se nos ha querido disputar ese derecho que hemos adquirido. Por consi que salga para aquel punto ¿no es preciso llevarlo en buque extrangero? Si las guiente , habiendo aludido el Sr. Presidente del Consejo de Ministros ai dicta ventajas pues* son conocidas, si la utilidad es cierta, ¿qué inconveniente ha men de una de las comisiones, como contrarío al espíritu de la petición, creo bría en que manifestásemos nuestros deseos de entablar dichas relaciones? Nin estamos en el caso de usar de esc derecho para sostenerl…</t>
  </si>
  <si>
    <t>…ley municipal, y otras que no han llegado á imprimirse. J Y so Con posterioridad, y encargado del despacho con que me ha honrado “S. M., dirá que esta práctica haya menoscabado las facultades del Estamento? No pon he dirigido al Sr. Presidente del Consejo de Ministros las competentes autori cierto- Es al contrario ensanchar el círculo do oslas facultades el darle la facul zaciones , tanto para que pudiesen presentarse determinados individuos de esos tad de hacer de un modo directo y perentorio lo que de un. modo indirecto y! Gobiernos á tratar, como para dar toda la…</t>
  </si>
  <si>
    <t>…luces del siglo, que filtrando (digámoslo asi) aun por entre las mas tenaces tros á que presentase el proyecto de Código criminal, como estaba acordado. preocupaciones, van produciendo mejoras lentas , pero evidentes en todos los Sr. Presidente del Consejo de Ministros : « La circunstancia de estar el se Códigos de Europa. ñor Secretario del Despacho de Gracia y Justicia cerca de S. M. la Reina «No es esto decir que el Ministerio esté de acuerdo en los pormenores que Gobernadora, y la necesidad de'observar las precauciones sanitarias , le impi encierra el Código…</t>
  </si>
  <si>
    <t>…autor, »&gt;Se dice, Señores, que estamos en tiempo de olvidar rencores pasados; suprimiendo la palabra constitucional. que es necesaria la conciliación, y hasta olvidarnos de los desastres pagados. Je dio cuenta de dos oficios del Sr. Presidente del Consejo de Ministros, ¡Bella idea! ¡nubles sentimiento’, que no cieo yo dejen de tener todos los Se poniendo en noticia dei Estamento que S. M. la Rhina Gobernadora había ñores que inípugnan el anícuJo! Pero ¿es posible, Señores, es posible que visto la petición para que se mande que la uva moscatel y planta de que se…</t>
  </si>
  <si>
    <t>…e ideas de restringir el número de individuos aptos para el efecto. Es preciso, haga en los términos que dice &lt;A Gobierno! señores, no hacernos ilusión; los que voluntariamente no hayan ingresado á es «También habló largamente el Sr. Presidente del Consejo de Ministros tas horas en ia Milicia, no lo harán: por lo menos yo no alcanzo á qué espe del argumento de conciliación, de que ya he tenido el honor de haialar al Es ran para manifestar explícitamente su voluntad. tamento; y he indicado bastantemente que por mas que s$an buenos los’ deseos "He oido con mucho pl…</t>
  </si>
  <si>
    <t>…nstinto generoso de defender la libertad, se armarqn .El Sr. Caballero, para deshacer equivocaciones , dijo qué no habia querido los ciudadanos, combatieron como soldado® veteranos, y la toma.de la Basti expresar, como suponía el Sr. Presidente del Consejo de Ministros, que sien lla, acaecida cl dia 14 de Julio., á principios dé la revolución, fue una de las do ia Milicia obligatoria se armarían los 30^9 rcatisUs que no debían armaras, acciones mas memorables que asi lo acreditaron. «Pero qué se hizo en Francia sino que la Milicia debía ser voluntaria, pero reuni…</t>
  </si>
  <si>
    <t>…stiones son estas que solo podrán rcsolrcrsc cuando *: co AI. Auguis; pero -que estando presentes los Sres. ministros cualquiera de ellos nozca el método electivo que se prepara; porque no hzy que alucinarnos, a -a manifestará al Sr. Presidente del. Consejo de Ministros los deseos de la Cámara. ley electoral se nducc todo el gobierno representativo. 1el momento co Continúa la discusión del presupuesto de gastos del ministerio de Hacienda. que se decide que h legislatura debe emanar de Ja voluntad dcJ puebio, se re La Cámara accede á que se aumenten dos millones de fra…</t>
  </si>
  <si>
    <t>…o solo ellos sino cuantas naciones hay, que ñores , ¡qué gobierno ha sucedido á este? Se dicc-que el actual no es continua nació del movimiento popular de 18O8. Nada se hablaba entonces de la sobe- ción suya, y esto es exacto. El Sr. Presidente del Consejo de Ministros en una ranía del pueblo, pero se ejerció de hecho por este. Abandonado'del Monarca, ocasión , en qué aun no tenia yo la honra-de ocupad este asiento, dijo que elpor un movimiento espontaneo', acudió i sí propio, y vierido que le faltaba Gobierno actual no era ni el constitucional ni el absoluto , s…</t>
  </si>
  <si>
    <t>…que ciertamente ha sido inducido en error en lo que ha dicho respecto de plazarle con otro mas benemérito, de! que la Nación no tendrá nada qne temer. mí; porque no es exacto que permaneciese en Madrid tanto tiempo después de «El Sr. Presidente del Consejo de Ministros ños ba dicho que las institu la entrada de los invasores y de la formación de la Regencia. No me dejaron ciones actuales no son las mismas que las porque ellos han sufrido , y que por ni auti en libertad de quedarme enfermo en mi casa. Tengo la gloria (y es la consiguiente no están en el caso de se…</t>
  </si>
  <si>
    <t>…raron to enemigos del actual sisiema. Este paso, lo he dicho y lo repetiré sin vacilar, davía las huellas de tan odioso sistema. puede llevarnos á un abismo. «En vano dice el Sr. Visedo, que el mismo individuo no admitido al « El Sr. Presidente del Consejo de Ministros nos ha dicho, para cohonestar su alistamiento no sabrá por qué se ¡e excluye: presto se le dirá la razón; pero lo Opinión, que no puede ofrecerse dificultad al reconocimiento del principio de natural es que el que se halle en este caso, y se considere con los requisitos que todo español está obliga…</t>
  </si>
  <si>
    <t>…odo Sin limitar ni coarlar el uso de la palabra á los se&amp;ores que la hubiesen' -No puedo 'menos de hacerme caigo de una especie de inculpación que el pedido ó pidieren, y esten inscritos en la lisia. No hay artículo. alguno en el Sr. Presidente del Consejo de Ministros ha hecho al Sr. conde de las Navas, so reglamento que autorice para lo contrario, ni puede prevalecer'contra lo lite bre la veleidad ó poca constancia que stipone en su voto; porque cabalmente ral y expresamente dispuesto en él la práctica que dice el Sr. Vicepresidente yo, que me hago un honor de…</t>
  </si>
  <si>
    <t>…viese en Italia, pues que allí podria prestarlo lo mismo que si estuviese en la, Crespo Tejada, Butrón. J. Petersburgo ó en Pekin. En seguida se pasó á tomar en consideración la asignación de 5409 reales El Sr. Chacón preguntó al Sr. Presidente del Consejo de Ministros si la que proponía el Gobierno para la Serma. Sra. Princesa de Sajorna; y leído el licencia concedida al Sermo. Sr. Infante D. Sebastian era ilimitada ó temporal. dictámen de la comisión sobre el particular, que se reducía á creer que no de El Sr. Secretario del Despacho de Estado: «Por el tiempo q…</t>
  </si>
  <si>
    <t>…es de rentas propias para mantenerse; y los que no son de Madrid libertad. ¡Ah, Señores! ¿en qué libertad quedó e} Monarca? Yo recuerdo se ven precisados á abandonar su* puchos, sus familias é hijos, y vivir en un muy b en que ei Sr. Presidente del Consejo de Ministros, al hacer la relación pueblo mas caro. Pues bien , siguiendo la idea del Sr. Florcz Entrada y del se de la conducta de D. Cirios, hizo presente que su rebelión traía origen desde ñor ministro de Hacienda, que todos los empleados cuyo sueldo exceda de 129 el año 20. Desde entonces estaba á la cabeza…</t>
  </si>
  <si>
    <t>…uas instituciones de las actuales, sin reco querer coartar la autoridad Real, cuya autoridad para sostener el órden segura nocer por ello ese período de grandeza á que alude el Sr. Societario de Esta mente reconozco tanto como el Sr. Presidente del Consejo de Ministros; y sin do, porque querría que me señalase en qué época coexistió la libertad de Es querer vulnerar en lo mas mínimo estas prerogativas, ruego que S. M. (cuando paña con su grandeza y prosperidad, tocaré otra cuestión que h: tocado el Se digo S. M., hablo deL Gobierno y sus agentes responsable») tom…</t>
  </si>
  <si>
    <t>…acias á ese bendito reglamento que es origen de la presente dis cusión no se me atribuyesen absurdos que no he dicho, no habiéndome opues cusión ! El dió margen á eso y á otras muchas cosas. to ¿ que haya reglamento. «Ha dicho el Sr. Presidente del Consejo de Ministros que las variaciones «Otra indicación se ha hecho por un Sr. Procurador, amigo rrwo, que tal que se hicieran en el reglamento ocuparían muchísimo. Esta no es una razón vez pudiera producir efectos desagradables. Con este motivo repetiré lo que he para que nosotros dejemos de hacerlo. La experiencia…</t>
  </si>
  <si>
    <t>…a to» urgentes con los 200 millones, y que el ministerio no inspirará confianza bían dictado, lo que es la mejor prueba de su inoportunidad. si no se le dan medios para atender á la deuda que se reconozca.Ya el Sr. mar "Añadió el Sr. Presidente del Consejo de Ministros que ha tenido qué ques de Montevírgen contexto á nombre de la comisión, y yo creo que hubie hacer frente á los obstáculos de la escasez, pues que habia un déficit de 273 ra podido hacerlo á nombre, del Estamento entero, que este estaría siempre millones al año. Mas siendo tan angustioso el estado d…</t>
  </si>
  <si>
    <t>…icar, y que creo será conforme á lo menos que los propuestos sean oficiales retirados del ejército, marina ó milicias que quiso expresar S. S. provinciales, en cuyo caso se dispensa la última condición de ser contribuyen «Dijo el Sr. Presidente del Consejo de Ministros, hablando de la revolu tes. El gobernador civil, al elevar las propuestas á S. M., manifestará su opi ción de Francia acaecida en Julio de 1830, «que si hubiera existido h Guardia nión sobre las calidades que reúnan los comprendidos en ellas.” nacional en aquella época , la revolución no habría ten…</t>
  </si>
  <si>
    <t>de Ministros, Presidente del Consejó</t>
  </si>
  <si>
    <t>Presidente del Consejó de Ministros</t>
  </si>
  <si>
    <t>…. «Todas las deudas que legítimamente se contraigan son-y deben ser siem •«Se ha-dreho que "hará reclamaciones el Grobierno francés; y i esto dijo pre 'deudas dei Estado :■ examinemos- pues si todas las Comprendidas en este ar el Sr. Presidente del Consejó de Ministros , i^ue eran como si él las hiciera , y tículo están legítimamente contraídas por la Nación española. La deuda con que eran amistosas. No lo dijo asi Cl'Sr. conde'de Toreno; mas después dcstraída por las Córtes y por.el -Rey constitucional desde el año 20"-al 2S, cia . hizo la equivocación el fir. M…</t>
  </si>
  <si>
    <t>…oscabo que habia sufrido el comprador en sus intereses, siciones particulares debería anticiparse aquel á este, á lo cual contestó el Ex pues de haber tenido el capital en su poderle habria producido mayores ventajas. celentísimo Sr. Presidente del Consejo de Ministros, que en atención á que el Reproduciendo las razones ya alegadas en pro y en contra los Sres. mar Gobierno y las comisiones estaban de acuerdo en los principios, los señoras ques de Espeja, Vailejo, marques de San Felices, Sr. Pezuela, Sr. Secretario que aprobasen el uno aprobaban los dos, dejando p…</t>
  </si>
  <si>
    <t>…ara entrar en la para torcer, por decirlo asi, la opinión y creencia de los pueblos. Las mismas discusión , con lo .que quedó terminado este punto. naciones en que no se han observado leyes sanitarias rigorosas, no por eso han El Sr. Presidente del Consejo de Ministros subió á la tribuna, á invitac'oá dejado de tomar medidas de precaución para observar en lo posible cierta in del Sr. Presidente, para leer 'un proyecto de ley sobre responsabilidad de los comunicación con los países ya atacados del mal, hasta que le han tenido den jueces, y antes de hacerlo dijo: «…</t>
  </si>
  <si>
    <t>…el artículo primero del proyecto de bilidad ó elasticidad que se haga aplicable á unos casos, y á otros no. ¿Ad ley que ha presentado el Gobierno.” , mite la mayoría, como un principio sin excepción , que todos los empréstitos El Sr. Presidente del Consejo de Ministros:: »A pesar de lo prolonga contraidos sin la autorización de las Córtes son nulos? ¿Lo admite, sí ó no? ba que se ha hecho esta discusión., siempre resultarán de ello dos ventajas. La SÍ dice que es nulo todo lo que se haya hecho sin este requisito, se sigue por primera importantísima, capital, que…</t>
  </si>
  <si>
    <t>…contestó que asi sé había pensado en la secretaría, comu corte; y leído que fue manifestó se suspendían lás seStbhes hásta el día que avi nicándose tanto á la Gaceta como á los demas periódicos , concluida la sesión (1). sase el Sr. Presidente del Consejo de Ministros él nombrafcnicnto de S. M. para Terminando con esto esté incidente, leyó el Sr. González un oficio recibi Presidente y Vicepresidente del Estamento, con lo qué levantó lá fcéskm a las do en la secretaría, por el cual avisaba el Sr. D. Antonio Ayarzá, Procurador doce, advirtiendo á los Sres; Procura…</t>
  </si>
  <si>
    <t>…l sello indeleble de nulidad é inconsistencia que llevaba -desdeesm guíente es visto que no pueden confundirse estos con aquel. -Hay mas: el de origen? Guebhard , como dije ayer, no existe; 79 millones fueron los que entraron «El Sr. Presidente del Consejo de Ministros nos repitió ayer una obser en tesorería en el año 24. hasta tanto que S. M. en Setiembre de 1825 lo vación, que antes había presentado el de Hacienda; cual es que la protesta de renovó: con ello se le firmó un nuevo contrato y aprobó las gestiones volun nuestras Córtes en el año de 23 , no subsana…</t>
  </si>
  <si>
    <t>…e ningún ante de lo Interior, si el Estamento lo9tenia á bien, pasará ¿ ella. cedente; bien sé que no es el Sr. Presidente quien puede remediar esto: que es El Sr. Rrtaherrera: «Se trata de una exacción para un camino público. el Sr. Presidente del Consejo de Ministros, porque la Gaceta es oficial, y los Esto debe pasar al Gobierno, el cual podrá decir si se debe continuar ó no taquígrafos se pagan por el Estado. Yo pido, pues, que no se siga en estos dicha, exacción- No sé por qué razón ha de pasar á la comisión de lo Interior.** errores, que perjudican tanto á…</t>
  </si>
  <si>
    <t>…s no se .hallaban enroncós con bastante poder, y tenían que valerse, ora dor El Sr. Alcali Gállara: «Deseo'únicamente, por lo que acaba de decir los ricos-homes, ora de los gefes de estas corporaciones,; y no tiene nada de nos/él Sr. Presidente del Consejo de Ministros, enterarme de una circuns extraño-que los llenasen-de honores y. rentas, porque las invertían en bien dql tancia de ésta pequeña discusión', que se ha-intercalado con la que estamos dis Estado; pero habiendo cesado los servicios de estos ricos-homes, y de estas cor cutiendo; y es silo que se llama…</t>
  </si>
  <si>
    <t>de Ministros, Presidente del Cornejo</t>
  </si>
  <si>
    <t>Presidente del Cornejo de Ministros</t>
  </si>
  <si>
    <t>…que está concebido con aquella moderación y templanza que asegu sesión del 3 del corriente para la que se le había citado por cédula. ra el buen éxito de las reformas, y con aquella equidad, hermana de la justi Y otro del Exento. Sr. Presidente del Cornejo de Ministros, en que de cia, que hace que sus decbrone* no parezcan duras y severas. El objeto princi órden de S. M. participa que so la sesión de este día debía presentarse en el pal de este proyecto es la abo icion de la carga conocida con el voto de San Estamento para leer un prorecto de ley acerca de la abo…</t>
  </si>
  <si>
    <t>…los taquígrafos que oyeron esto y el nombre de Casa-Sar- El Sr. marques de San Felices expuso que nada podía hacprse hasta ha» rií, creyeron que seria lo mismo, y asi se estampó en los periódicos. De aqui ber oído la memoria del Sr. Presidente del Cornejo de Ministros. , cuya me ha provenido una porción de glosas y conversaciones que no están en el orden. moria impresa debería remitirse á los Sres. Próceres ausentes para que %* ente— Pero lo» taquígrafos es menester que no pongan en su papel lo que no oigan; . ten de su contenido. que dejen claros si no oyen ; qu…</t>
  </si>
  <si>
    <t>de Ministros, Presidente’del Consejo</t>
  </si>
  <si>
    <t>Presidente’del Consejo de Ministros</t>
  </si>
  <si>
    <t>…iccion y por principios, y están resueltos á defenderla, sin que pretendan por difíciles y espinosas. Pasemos ahora á la discusión del día. eso trastornar el órden. Es preciso desarraigar la preocupación que parece hay «Cuando el Sr. Presidente’del Consejo de Ministros ba hecho alusión á contra ellos, considerándolos amigos dq trastornos y desórdenes: quieren, sí, la las persecuciones ó arbitrariedades que hubo en , tiempos pasados, el Sr. López libertad.; i y cómo no han de procurar defenderla si en su continuación ven ase se ha equivocado, cuando ha creído que…</t>
  </si>
  <si>
    <t>de Miran, Eligió Ustariz D Carlos Vigil</t>
  </si>
  <si>
    <t>Eligió Ustariz D Carlos Vigil de Miran</t>
  </si>
  <si>
    <t>…rquisiereprovidenciahaCer posturadel juezacudasubdelegadoá dichodeSr.mostrencos,juez por lavacantesescribaníay ab¡ntesr*tovdede Garamendt. la ü andes»............... 8 á ‘ 14 ídem.... 12 00 3 dúdad de Cádiz y su partido, se cÍtaá(D. Eligió Ustariz* D. Carlos Vigil de Miran Perdió.................. 13 í 16 ídem... ' 11 4 3 da, D- Antonio Marquida, D. Juan Miguel Martícorena, P* Domingo de la Torre y Retís. .................. 13 á 13 ídem... 11 6 1 p. Juan Nicolás.de Acha* ó á sus albaceas, herederos y parientes dentro del cuarto Tortosa......... 12 á. 14 ídem... 26 t…</t>
  </si>
  <si>
    <t>de Miranda, Carlos Vjgil</t>
  </si>
  <si>
    <t>Carlos Vjgil de Miranda</t>
  </si>
  <si>
    <t>….pósito» y la revisión de Por providencia det subdelegado de bienes mostrencos, vacantes y ablntestatos de cuentas de los mismos relativas al añó pasado, habiéndose remitido í la direc la ciudad deCádizVsecítaá P. Eligió Ustariz, D. Carlos Vjgil de Miranda, p. An general su del ramo ción para aprobación, , -.. Marquida;* Juai* Miguel pomingo tonio P, Juan , p. . IMVH £). - • . -------y - Msrticorena, . ... ' “ ó 'herederos de k sus albaccas, *.....................Nicolás grado, Acha, ( co-to- y parientes Se de va á empezar la limpia 14 alberca titula…</t>
  </si>
  <si>
    <t>de Mofeta, Antonio María</t>
  </si>
  <si>
    <t>Antonio María de Mofeta</t>
  </si>
  <si>
    <t>…Orduña contra las facciones de SopeUna, ;fo®, vacante por la.de ,£&gt;. Felipe Arráez y. Gómez,» D. Antonio Martínez Ibarrola y Aguirre, que fueron á atacarla en dos dias consecutivos. Estos bao* GÜ; para la de Peñaranda de Duero á. D. Antonio María de Mofeta: para la didos, no habiendo, podido nada contra aquella benemérita guarnición, se retira ^fe ^TroyoTde Puerco i D. 4ucnayentura pla.v¿: para la de Nules a D. To- ron después hacia Mendeica. El comandante del fuerte no puede detallar la ^ax'Brk; pata la de Marcbena á D. Mayiauo Gayan: para la de Al…</t>
  </si>
  <si>
    <t>de Molina, Genaro Ruist</t>
  </si>
  <si>
    <t>Genaro Ruist de Molina</t>
  </si>
  <si>
    <t>…ruáa ; ascender a la plaza de,oficial tercero-pnmero al tercero-segundo de.Caslelion IX Pedro Francisco Gines La-pretextando la calidad de patrono de una obra pía fundada para sostener aque vestida ; y conferir la de e&gt;ie al Lie. D. .Genaro Ruist de Molina, promotorlla enseñanza, pretende impedir al maestro que dé lecciones de náutica, cauiáñdole gastos y vejaciones, á pesar de la sentencia de'aquél juzgado, que le fiscal de ía subdelegaron de montes de Aícdina. absolvió de4a denlanday considerando S. AÍ. que la.cuestión promovida por el citado párro…</t>
  </si>
  <si>
    <t>de Mollinedo, Gregorio Martínez</t>
  </si>
  <si>
    <t>Gregorio Martínez de Mollinedo</t>
  </si>
  <si>
    <t>…etenimiento necesario. Sin embargo, dejé muv recomendado eti el Rs. vn. Vierzo, que de tres parajes diferentes se tomasen tres porciones de las arenas aurífera* del Sil, y se remítan al dignísimo e iiustrísimo obispo de Asf 'rca, D. Gregorio Martínez de Mollinedo........................................................ 3000 con quien ya sobre el particular, habii. yo conferenciado, quedando encargado D. Antonio Felipe González, agente de la BoWa de comercio.......... 500 dicho prelado de hjcerlas examinar científica y facultativamente. D. F. M.......................................................................…</t>
  </si>
  <si>
    <t>de Mombelrrán, Lucas Fernandez</t>
  </si>
  <si>
    <t>Lucas Fernandez de Mombelrrán</t>
  </si>
  <si>
    <t>…do-el mastriste de nuestra Historia, y que ningún ingles podrá piana; para la de Melgar de Fernamental £ D- José Diez Andaluz ; para la dé recúrdar sin sentirse avergonzado: período en que la Inglaterra obsequiaba £ la Sequeros £ D. Lucas Fernandez de Mombelrrán; para la de Vitigudino £ Don Santa Alianza; se inclinaba ante los fuertes, y volvía Ta espalda á loj^débilcs; Felipe Puente; para la de Etttrxmbasaguas £ D. Vicente Ramón deCagigal; hacia la corte á los opresores, y no permitía £ los- oprimidos que recobrasen su1 para la de Brihuega £ D, Andrés Rui…</t>
  </si>
  <si>
    <t>de Mombeltrán, Lucas Fernandez</t>
  </si>
  <si>
    <t>Lucas Fernandez de Mombeltrán</t>
  </si>
  <si>
    <t>…la de Mel- fin , administrador de la Real casa y de la colonia de Scbleáshcim, ha recibi «ar-daFerroemal á D. Jo6é Diez Andaluz: para la de Setjjueros á do órden.da hacer una visita en todo el reinny averiguar la porción que hay' D. Lucas Fernandez de Mombeltrán: para la de Vitigudino a D. Fe de tierras, pantanos y otras incultas, á propósito para el cultivo, y dar luego lipe Puente: para Ja de Entrambasaguas á Di Vicente Ramón de Ca su dictámen al Rey. Deben encontrarse tierras de esta especie a la distancia de jigal ; y para la de Sigüenza, en comisión,…</t>
  </si>
  <si>
    <t>de Moni, Cosme</t>
  </si>
  <si>
    <t>Cosme de Moni</t>
  </si>
  <si>
    <t>…aiUz Antomo, la banda de la Real órden de da pesoé ¿aaa uno consolidado* núme/ot 27^78 f tZ,12?9i lodos d«i ifio de IttL que lula ma» noble* de la Reina María lCm¿u%Núm. 255.) sido rétenJdos y tecUmadot* cotdo de U pertenencia de D. Cosme de Moni oará aae Pr0Tt5to.deácrmanaioaido por &amp; M,;l? RmÍNA,Gobernadora, declarando «a *1 prerlm M&lt;n&gt;irai dc29&gt;diairaa6dan MaM«4telerfd¿hi*é 4 usm,«eidhmrlMíde que /. C&amp;fjei» Maná Isidro de Borbou y toda su líT ÉN LA IMPRENTA REAXa</t>
  </si>
  <si>
    <t>…ai Antpm&amp;, la banda de la Real órden de da pesoé ¿aaa uno consolidado* núme/ot 27^78 f tZ,12?9i lodos dd ifio de IttL qué lula ma» noble* de la Reina María Xtuub tlvárf. 255.) sido rétenJdps y ted*madot&lt; cotdo de U pertenencia de D. Cosme de Moni oirá ooe PrQTCCto.de,torísaaaiocada por &amp; M,;l? Rjajua Gobernadora, declarando en *1 preciso tdn&gt;fc¡ deZ9.diairMfidan MtMéfireleteU^fiiefi fi usne.MdtemliÜde que /. C&amp;fjei» Maná Isidro de Borbou y toda su líT ÉN LA IMPRENTA REAXa</t>
  </si>
  <si>
    <t>de Monreal, José María</t>
  </si>
  <si>
    <t>José María de Monreal</t>
  </si>
  <si>
    <t>…D. Diego Gómez Alonso, por Cáceres. cia de tantos Sres. Procuradores ofrece dos inconvenientes: el uno, verse pri D. Gregorio García , por Guadalajara.mado el Estamento de las luces que forzosamente acumularía su presencia, y el D. José María de Monreal, por Navarra. otro que las provincias no tienen completa la representación que les está asig D. Manuel Joaquin de Tarancon , por Soria. nada, como quieren y deben querer. No soy de ios que votan, como suele de D. Pedro Pascasio Calvo, por Valladolid. cirse, en tropa: en todas ocasiones y compromiso…</t>
  </si>
  <si>
    <t>…cu el Sr. marques de S. Miguel de Grox, electo Procurador por la provincia de rador por la provincia de Navarra el Sr. conde de Saceda , en reemplazo de Soria* en (a que solicita se le exonere de este cargo, alegando para ello la D. José María de Monreal , cuyo nombramiento haba anulado el Estamento. sordera; que le ha quedado de resultas de una enfermedad que ha padecido. La Juraron y tomaron asiento los Sres. D Honorato de Puig, Procurador por oominon era de dictamen que no se debia acceder á esta solicitud pomo hallar la provincia de Barcelona,…</t>
  </si>
  <si>
    <t>de Monsalud, Marques</t>
  </si>
  <si>
    <t>Marques de Monsalud</t>
  </si>
  <si>
    <t>…lvarez Sotqngyoy, conde de Huta. "fáns ha &lt;&amp;&lt;)o la señal f él ejemplo. Éste pueblo que durante iS años ocupó Si*. D. Agustín López del ¿año. . Iá vanguardia fcü la lucha contra un poder contrario a la libertad, reclama hoy Excmo. Sr. Marques de Monsalud. él ¡nísmópüesto contra las faccioOes enemigas del orden público. Sr. D, Juan Morales y Cortinas. Cuidado con no engañarse i losmismps electores son los que nombran; l os mis- Sr* D. José Antonio de Agreda. mol hombres, exceptuando algún otro, son los nombrados. Ni París, ni sus Sr. D. Ramón Gonzále…</t>
  </si>
  <si>
    <t>de Montesa, Joaquín de Ezpelela Sr Marques</t>
  </si>
  <si>
    <t>Joaquín de Ezpelela Sr Marques de Montesa</t>
  </si>
  <si>
    <t>…drones en los pueblos, lo cual junto con otras noticias que reúne le harán conocer exactamente la verdadera población de to PROVINCIA DE NAVARRA. da aquella provincia y el estado de su industria agrícola , fabril y comercial. Sr. D. Joaquín de Ezpelela. Sr. Marques de Montesa. Extracto del parte remitido por el gobernador civil interino de la provin Sr. D. José Francisco Muguiro é Iribarren. cia de Córdoba D. Simón de Rodas con fecha de 19 de Junio últimoHa socorrido á varios labradores con parte del trigo de los pósitos, reser vando la mitad de las existencias para los…</t>
  </si>
  <si>
    <t>de Montévírgen, Marques</t>
  </si>
  <si>
    <t>Marques de Montévírgen</t>
  </si>
  <si>
    <t>…cesivamente , el que se haya presentado en Julio, cobrará entonces; al que se ~ lo mismo que las cantidades prestadas, en las dos terceras partes.” présente después se le pagará después: pero entiendo que se debe fijar un tér El Sr. Marques de Montévírgen: «La reflexión hecha por el Sr. García mino para que principíen á correr los intereses.” Atocha es justísima; pero debía haberla expuesto antes. Se reduce á que lo* Mi Sr, Msmttvírgen: «Yo creo que todos tendrías derecho cuando esté prestamistas de la época que cita han estado II años sin percibir…</t>
  </si>
  <si>
    <t>de Montoya, Manuel Ruiz</t>
  </si>
  <si>
    <t>Manuel Ruiz de Montoya</t>
  </si>
  <si>
    <t>…os, se ha servido sepa PROVINCIA DE VALLADOtm. rar de sus respectivos destinos á D. José María Tejero, alcalde mayor de Talavera de la Reina - á D. Manuel Martínez, alcalde mayor de Villadiego: á Parte sanitario de 29 de Octubre. D. Manuel Ruiz de Montoya, corregidor de Verin: á D. Francisco de Paula Rog, -trdde m-,mr de San Felipe: á D. Francisco A ntnnio_Macho Ville gas , alcalde mayor de Villarejo de Fuentes: á D. Antonio María Ortiz, al Pueblos. Días. Enfermos. Curador Fallecidos calde mavor de Fuente del Maestre: á D. Remigio Romero Prieto, alc…</t>
  </si>
  <si>
    <t>de Montpalau, Antonio de Capmani y</t>
  </si>
  <si>
    <t>Antonio de Capmani y de Montpalau</t>
  </si>
  <si>
    <t>…a el primer punto el profesor de medicina D. Nicolás órden de $. M. de los registros originales del Real y general archivo de la Corona de1 Alfaro, pasando al segundo desde Bal lecas el de igual clase D. Mateo Seoane: Aragón: por D. Antonio de Capmani y de Montpalau: vertidos fiel y literalmente acompaña el siguiente del Idioma antiguo lemosino al castellano, y exornados con varias notqs históricas* geográficas y políticas. Un cuaderno en 4.0 marquilla, edición de 1786, á 6 rs. rama y Partt sanitario do Baliteas en\\ dt Julio de 1834- 6* en—Artículosrústica. d…</t>
  </si>
  <si>
    <t>de Mootpalau, Antonio de CapmaniJy</t>
  </si>
  <si>
    <t>Antonio de CapmaniJy de Mootpalau</t>
  </si>
  <si>
    <t>…a columna referida. Y como crea del mejor ínteres llegue á cono -----Cuestiones críticas sobre varios puntos de historia económica, polí cimiento de S. M. esta hoticia tan satisfactoria para todos los bue tica y militar. Su autor D. Antonio de CapmaniJy de Mootpalau &amp;c. Un tomo en 4.0 Se vende en la librería de Sojo, á 20 rs. en pasta. nos, elevo á V. E. este parte ligeramente concebido, sin perjuicio ——Historia general de España, compuesta, éDmendada y añadida por de hacerlo con mas extensión luego que regrese la fuerza que se el P. Juan de MariaDa. Nueva edi…</t>
  </si>
  <si>
    <t>de Morarla, Leandro Fernandez</t>
  </si>
  <si>
    <t>Leandro Fernandez de Morarla</t>
  </si>
  <si>
    <t>…esidencia, habiendo breria de Cuesta, á 6 cuartos encuadernado en rústica, á 4 en papel, y tomando icbí d mas ejemplares, 13. 1 J ademas .hecho las prevenciones oportunas á fe municipal de Marbella ,¡.para que -—juicio critico de D. Leandro Fernandez de Morarla, como autor cdmico, por! I todos los correos dirija á esta provincial un estado al tenor del modelo.que se loarco Cortesano. Uq cuaderno en 8.° márquHUu Se hallará á d rs. en rústica en Mt-e lie ha remitido, comprensivo de fe clase, estado, progresos ó disminución de drld en las librerías de Perez…</t>
  </si>
  <si>
    <t>de Morátln, Leandro Fernandez</t>
  </si>
  <si>
    <t>Leandro Fernandez de Morátln</t>
  </si>
  <si>
    <t>…del presente que en aquella ANUNCIOS. provincia se disfrutaba de buena salud , excepto en su capital, en la cual se f , ■ r i h*bian manifestado el día 8 tres casos de cólera. Los suscrlptores &amp; las Obras dramáticas y líricas de D. Leandro Fernandez de Morátln, nueva edición con nueve láminas finas, acudirán á recoger los tomos 3.°, 4.0 y 5.° á las librerías de Cuesta y Perex, y en las provincias donde se hubieren suscrito; PROVINCIA DE LOGROÑO. en los mismos sitios sigue abierta la suscripción. ----- ‘El Muí ciclado alevoso* graciola invectiva del maest…</t>
  </si>
  <si>
    <t>de Moreta, D Manuel</t>
  </si>
  <si>
    <t>D Manuel de Moreta</t>
  </si>
  <si>
    <t>…quien todos estamos prontos á sacrificar gustosos nuestra dé la que habían un vivísimo fuego, que sufrió nuestra caballería hasta que llegó existencia, si asi lo exigiesen los deberes de nuestros respectivos destinos. el valiente capitán D. Manuel de Moreta con la compañía de Cazadores de Ciu- Dios guarde á V. E. muchos años. Sbamon lü de Julio de 1834- = Exce .dad-Rodruo, quien los arrojó de esta y otras tres posiciones fuertes que to lentísimo Sr.=Manuel Obregon.=cExcmo. Sr. secretario de Estado y del Despa maron, batiéndolos completamente y haciend…</t>
  </si>
  <si>
    <t>de Moreta, Manuel</t>
  </si>
  <si>
    <t>Manuel de Moreta</t>
  </si>
  <si>
    <t>…dos estamos prontos á sacrificar gustosos nuestra dé la que habían un vivísimo fuego, que sufrió nuestra caballería hasta que llegó existencia, si asi lo exigiesen los deberes de nuestros respectivos destinos. el valiente capitán D. Manuel de Moreta con la compañía de Cazadores de Ciu- Dios guarde á V. E. muchos años. Sbamon lü de Julio de 1834- = Exce .dad-Rodruo, quien los arrojó de esta y otras tres posiciones fuertes que to lentísimo Sr.=Manuel Obregon.=cExcmo. Sr. secretario de Estado y del Despa maron, batiéndolos completamente y haciend…</t>
  </si>
  <si>
    <t>…. corifeo Arroyo, con otro* 15 ó 16 hombres que le ban quedado, vino anocho •.Envista de esta noticia dispuse que el espitan de cazadores de ¡Ciudad á dormir á Monte grande sobre Lanzas^Segura, una legua de aqui, y Fermin Rodrigo D. -Manuel de Moreta saliese en aquella-dirección -con 12 infantes y con cftros 5 ó 6 á Pando ó la Tejera. A esto han quedado reducidas las bandas 8 caballos: la persecución se principió con tamo ahinco y obstinación ,rqae á po qoe capitaneaban estos bandidos, contra ios cuales han salido y colocádosc des co rato ya se…</t>
  </si>
  <si>
    <t>de Mornay, Carlos</t>
  </si>
  <si>
    <t>Carlos de Mornay</t>
  </si>
  <si>
    <t>…s harán algunas proposiciones con el objeto de modificar algunas de nuestras leyes relativas á la Real Hacienda; el objeto de estas modificacio nes no será otro que el de repartir los impuestos con mayor equidad. Se os pre ____El conde Carlos de Mornay, embajador francés cerca de la corte de Ba sentará tina ley para arreglar definitivamente las cuentas atrasadas de ib 30 dén, ha llegado á esta ciudad. y 183X También podrán arreglarse provisionalmente las de 1832 y 1833. «Una severa economía en los gastos públicos hará posible cualquiera ------Una…</t>
  </si>
  <si>
    <t>de Munich, El Diario</t>
  </si>
  <si>
    <t>El Diario de Munich</t>
  </si>
  <si>
    <t>…Badajoz dice al Exce üjjfc corles que le reconozcan como príncipe heredero. (G. de i*’.) lentísimo Sr. Secretario de Forado y del Despacho de ¡a Guerra lo que sigue: Externo. Se.: A ¡as tres de U madrugada de hoy he recibido del brigadier ----- ’El Diario de Munich anuncia que el gobierno de Bavirra, por ún de- D. Ramón Teijeiro desde Lisboa, fecha 3 dei veniente, á las-cin-io de U ur trato &lt;kl 12, ha nombrado al coronel Wiltian» Lesuiro , general y ministro de, la comunicación siguiente:</t>
  </si>
  <si>
    <t>de Murcia, Juan</t>
  </si>
  <si>
    <t>Juan de Murcia</t>
  </si>
  <si>
    <t>…re tá interesados~Por la subdelegaronque reclamarondelaRentasdevoluciónRealesdedevariasesta provinciacantidadesdeexigidasMadrid,conse excesocita á porlos débil columna; map sin embargo de esta crítica situación, tomando Mallot lá D. Juan de Murcia, arrendatario que fue del derecho consular, en La causa que se for resolución de vencer ó morir, y después de haber arengado á su tropa ahiman- mó por dicha subdelegacion en 1831 v á fin de que en el preciso termino de 15 diat dolaa seguir su ejemplo, no tan solo rechazó por tres veces las cargas/q…</t>
  </si>
  <si>
    <t>de Muskan, Pauler</t>
  </si>
  <si>
    <t>Pauler de Muskan</t>
  </si>
  <si>
    <t>…anterior : ignora cuál sea la Causa M. Brassíer de S. Simón, encargado de Negocios de Prúsia, ha presentado ayer de tan funesto acontecimiento, y desea impaciente saberlo: sus perseguidores noche en el palacio de las Tullerías al príncipe Pauler de Muskan, general no pueden ocultarla, y se hallan en el caso de: manifestarla , pues es moral prusiano y autor célebre, cuyas obras ban sido traducidas en francés é ingles. mente imposible acallar el eco de la voz imperiosa de un pueblo de los que no Está este Príncipe para marchar á América con el objeto…</t>
  </si>
  <si>
    <t>de Mutizapersona, Pedro Juan</t>
  </si>
  <si>
    <t>Pedro Juan de Mutizapersona</t>
  </si>
  <si>
    <t>…a administración 3e Granada. ya de quedar copia legalizada de él en las administraciones, presentando ademas el apoderado tres sugetos de conocido arraigo que aseguren la identidad de su Con motivo de haberse ausentado de Pasages D. Pedro Juan de Mutizapersona. bal, vocal de la Real junta de obras de conservación y limpia de aquel puer to , se ha servido S. M. acordar su reemplazo en Real orden de 9 del que rige, S. M. la Reina Gobernadora se ha servido aprobar las medidas toma nombrando para ello á D. Juan Florencio Samon, vecino de la villa de Ren das p…</t>
  </si>
  <si>
    <t>de Na, Alvaro</t>
  </si>
  <si>
    <t>Alvaro de Na</t>
  </si>
  <si>
    <t>…a al Sr. mar de Rodas, en reemplazo de D. Joaquín Urbina y D. Miguel Tomas Gómez. ques de M.&lt;‘Ateta *, y en &lt;egu:da , í invitación del St. Presidente p cutió i turar Se mandó pasar á la comisión de Poderes. y tomó asiento el ¿&gt;r. D. Alvaro de Na*ia Ox&gt;rio. La' misma resolución recayó sobre un oficio de D. José Dionisio de Ha- Concluido este acto, tomo lj palabra y dijo - ro, electo Procurador por la Coruña, dirigido al gobernador civil de aque El Sr. Sicretario del Despacho de Estado -. "En el discurso que pare la lla provincia, manifestan…</t>
  </si>
  <si>
    <t>de Nalda, I Tomas</t>
  </si>
  <si>
    <t>I Tomas de Nalda</t>
  </si>
  <si>
    <t>…ño , al teniente coronel capitán comandante de la fuerza dél provincial de Morara.,.. . ... 15 de Julio......... 70 17 4 Segovia D* Gregorio de Saravia, al capitán comandante de la de Compostela D. Francisco Moreno, y al teniente coronel I&gt;. Tomas de Nalda, capitán de Baliteas.... .. 15 y 15 id..... 45 • 5 1Z la segunda compañía del provincial de Logroño, que con ella y su teniente D. Fernando Bobadilla, se condujeron con la mayor bizarría: el espitan co PROVINCIA DE SBVIUA. ’ mandante de la columna de Sodupe D. Agustín Trido, me recomienda tam Con f…</t>
  </si>
  <si>
    <t>de Navarrete, Martin Fernandez</t>
  </si>
  <si>
    <t>Martin Fernandez de Navarrete</t>
  </si>
  <si>
    <t>…. cisco López Alcáraz; D. Jacobo María de Parga; D. Niceto de Fondos públicos. Tres por 100 consolidados 90 • Larreta; D. José López Juana Pinilla. Ayer llegó á esta ciudad el nuevo embajador de España , conde Para la de Marina á D. Martin Fernandez de Navarrete, deca de Floridablanca. Hoy, acompañado del caballero Vial, ha hecho no; D. Agustín Perales; D. Miguel Moreno- una visita á lord Palmerston, y el 16 será presentado á S. M. Un Para la de Fomento á D. Juan Alvarez Guerra, decano; Don número considerable de distinguidos personages, incluso el cuerpo…</t>
  </si>
  <si>
    <t>de Navia, Alvaro</t>
  </si>
  <si>
    <t>Alvaro de Navia</t>
  </si>
  <si>
    <t>…¡ lai once menos cuartor:y .leida el acta de la anterior quedó rías dudas sobre su elección. 1 1 ' i f aprpbada.- ,.. D. Miguel 'Pardo Bazan, por ¡d. , por efiferenó. ’ J ' ^ ... Se pasaron..á la comisión de, Poderes lqs d¿l Sy. D. Alvaro de Navia y parques de-la Vilueña, por Soyia, por id. . ‘ ; ‘ 1 Osorio, Procurador electo por la^proqiiicU. de Oviedo, acompañados de loa, D. Ramón Ciscar, pór Tarragona, por el cólétfa. 'J ’ documentos justificativos necesarios. ' D. Pedro Martí, por id., id. . - , , El Estamento quedó enterado de una exposic…</t>
  </si>
  <si>
    <t>de Ncg, CXon</t>
  </si>
  <si>
    <t>CXon de Ncg</t>
  </si>
  <si>
    <t>…e la Justicia y los Cultos, misma independencia de carácter, no h«va querido tomar pane en las intrigi* C /Vr/fY.rrPor el Rey, el ministro y secretario de Estado en el departamento que la Rusia fomenta en los pequeños Estados del Rey CXon.” de Ncg* cius &gt;x rangero», C. de Rígúy. ____ El vicealmTapte Halgín, gobernador de la Martinica, ha dado cuenta al ---- Ha Bcrlin escriben lo que sigue: ministerio de Marina, en informede 21 efe Mno último, icl viageque acaba Ja «Algi.nos viaceres que vienen de Varsovia dicen que en aquella ciudad hacer po…</t>
  </si>
  <si>
    <t>de Neuwied, Maximiliano</t>
  </si>
  <si>
    <t>Maximiliano de Neuwied</t>
  </si>
  <si>
    <t>…Rive-de- —-D. Miguel, que solo estuvo dos dias en Milán, se-dirigió á fariña. Gier ascienden las pérdidas ocasionadas por este suceso á mas de dos millones. A cada instante recibimos noticias desastrosas. (D. de París.') ____ El príncipe Maximiliano de Neuwied, conocido ya entre los geógrafos por las relaciones de un viage que hizo al Brasil, no ha podido resistir al de __ V.\ Correo belga dice: » Extractamos lo siguiente del Diario de Ñamuv'. seo de recorrer parte de la América septentrional. Desde Nueva-Yode fia pa estamos amenazados de una segunda inv…</t>
  </si>
  <si>
    <t>de Ni, Antonio Marta</t>
  </si>
  <si>
    <t>Antonio Marta de Ni</t>
  </si>
  <si>
    <t>…rosos talles de Jas que mento y puesto en estado de servicio lo pueda^distribuir según me sea necesario. los llevaban, puede asegurarse que estas solo eran comparables consigo mismas. Hoy ha regresado de Almeida el sargento mayor D. Antonio Marta de Ni una sola dejaba de competir con todas las demas, y parece increíble que en Fonseca del ejército de S. M. Fidelísima, y de quien hice referencia á V. E. tan crecida reunión todo fuese hermosura, todo elegancia , todo riqueza. ayer, trayéndome la adjunta comunicación original del gobernador interino…</t>
  </si>
  <si>
    <t>de Nieva, José María</t>
  </si>
  <si>
    <t>José María de Nieva</t>
  </si>
  <si>
    <t>…ntarios realistas en Puente don trónzalo, ------ DecTetsn del Rey nueatro Señor p. Fernando vn « recopilados por los Sres. Don cqyo corregidor y comandante de armas, auxiliado de los Urbanos de dicho Fermín Martín de B-tlmaseda y D. José María de Nieva^ desde 4 de Mayo de ttfli pueh o, y. de los del inmediato de Miragenil, arrestaron inmediatamente a la hasta M de Diciembre ¿€"183*2, Son diez y ocho tomos en +.°, a 374 rs. en rama, AOo en rustica y 484 en pasta comttn. Esta colección e»ra dividida por años, en cada uno mgyor parte de lo? criminal…</t>
  </si>
  <si>
    <t>de Noriega, D Lorenzo José</t>
  </si>
  <si>
    <t>D Lorenzo José de Noriega</t>
  </si>
  <si>
    <t>…l pie de sus Reales banderas las gracias mó el regimiento infantería de Ñapóles con el plausible motivo de leer el que la gran munificencia de S. M. concede á los que fielmente tenemos el ho Sr. gobernador interino de esta plaza, brigadier D. Lorenzo José de Noriega, nor de servir bajo el Real escudo de las mismas.’' cLxLeal decreto que la magestad de la Rhima Gobernadora, durante la me En seguida y en alta voz leyó el Real decreto. Habana 20 de Setiembre. REAL SOCIEDAD ECONOMICA. listado general que demuestra la entrada, salida.y existencia de caudales á disp…</t>
  </si>
  <si>
    <t>de Noriega, D Vicente</t>
  </si>
  <si>
    <t>D Vicente de Noriega</t>
  </si>
  <si>
    <t>…e auxilio con eficacia, contribu las guerrillas, que nada me han dejado que desear, son los subtenientes de la yendo poderosamente á la brillante victoria. Guardia Real D. Fernando Segovia y D. Gaspar Bonilla, y el subteniente El capitán D. Vicente de Noriega, graduado de teniente coronel, que man del provincial de Ciudad Real D. N. Afiover. Dios &amp;c. Valdcalgolfa 3ü de daba las tres compañías de cazadores, el teniente D. Jo*é Campillo y el subte Mayo de 1834 á las doce de la noche.=Excmo. Sr.czAgustin Nogueras.^ niente D. Ramón de Rosas, de la compañij…</t>
  </si>
  <si>
    <t>de Noriega, Lorenzo José</t>
  </si>
  <si>
    <t>Lorenzo José de Noriega</t>
  </si>
  <si>
    <t>…us Reales banderas las gracias mó el regimiento infantería de Ñapóles con el plausible motivo de leer el que la gran munificencia de S. M. concede á los que fielmente tenemos el ho Sr. gobernador interino de esta plaza, brigadier D. Lorenzo José de Noriega, nor de servir bajo el Real escudo de las mismas.’' cLxLeal decreto que la magestad de la Rhima Gobernadora, durante la me En seguida y en alta voz leyó el Real decreto. Habana 20 de Setiembre. REAL SOCIEDAD ECONOMICA. listado general que demuestra la entrada, salida.y existencia de caudales á disp…</t>
  </si>
  <si>
    <t>de Noriega, Vicente</t>
  </si>
  <si>
    <t>Vicente de Noriega</t>
  </si>
  <si>
    <t>…o con eficacia, contribu las guerrillas, que nada me han dejado que desear, son los subtenientes de la yendo poderosamente á la brillante victoria. Guardia Real D. Fernando Segovia y D. Gaspar Bonilla, y el subteniente El capitán D. Vicente de Noriega, graduado de teniente coronel, que man del provincial de Ciudad Real D. N. Afiover. Dios &amp;c. Valdcalgolfa 3ü de daba las tres compañías de cazadores, el teniente D. Jo*é Campillo y el subte Mayo de 1834 á las doce de la noche.=Excmo. Sr.czAgustin Nogueras.^ niente D. Ramón de Rosas, de la compañij…</t>
  </si>
  <si>
    <t>de Norxagaray, D Femando</t>
  </si>
  <si>
    <t>D Femando de Norxagaray</t>
  </si>
  <si>
    <t>…mpos de Lumbier pelotones de dispersos íjue cometen vejaciones de toda especie, y es preciso ani ¿1 a.., ac u CcUu. quilar para garantir sólidamente la quietud pública de aquel país, la cftat se res Plana mayor general. Ayudantet capitán D. Femando de Norxagaray: tablece generalmente en todos los puntos del Principado , siendo cada dia mas Ídem idem de campo, alféiez D. Manuel de Larrain. inútiles los esfuerzos de los malvados que intentan alterarla, por el buen espí Guardia Real de i.¡if.intcrM.=Cap;tan&lt;s , D. Leopoldo O-DonelJ; D. Luis ritu tjue reina en…</t>
  </si>
  <si>
    <t>de Norxagaray, Femando</t>
  </si>
  <si>
    <t>Femando de Norxagaray</t>
  </si>
  <si>
    <t>…Lumbier pelotones de dispersos íjue cometen vejaciones de toda especie, y es preciso ani ¿1 a.., ac u CcUu. quilar para garantir sólidamente la quietud pública de aquel país, la cftat se res Plana mayor general. Ayudantet capitán D. Femando de Norxagaray: tablece generalmente en todos los puntos del Principado , siendo cada dia mas Ídem idem de campo, alféiez D. Manuel de Larrain. inútiles los esfuerzos de los malvados que intentan alterarla, por el buen espí Guardia Real de i.¡if.intcrM.=Cap;tan&lt;s , D. Leopoldo O-DonelJ; D. Luis ritu tjue reina en…</t>
  </si>
  <si>
    <t>de Norzagaray, D Mateo</t>
  </si>
  <si>
    <t>D Mateo de Norzagaray</t>
  </si>
  <si>
    <t>…blecimientos con abundancia, equidtd y escrupuloso aseo. Eo este •ccite, á 13 rs. el cuartal. parador hav también buena mesa de vi.lar. Vich. Trigo de primera calidad, á 60 rs. cuarteramaíz, de 30 —" -En virtud de providencia del Sr. D. Mateo de Norzagaray , teniente 4 31 id.: habas, á 38 id. corr-glfior de esta villa, se cita á los que se crean con derecho a los bienes d” la testamentaría de í&gt;. D'ego López Pereüa , v qtt» no hubiesen Vi lafranea. Trigo, á 47 rs. fanega : centeno, á 32 id.: ceba legitimado sus créditos, A fin deque en el prec'so tér…</t>
  </si>
  <si>
    <t>…casi frente 4 lar Pontsovde Lo* movimientos de los ejércitos aliados portugueses y españoles concertA- - oronúeft.26» dos el 9 i las inmediaciones de Coimbra se ejecutan sin dificultad. El duque da -—En virtud de providencia del Sr. D. Mateo de Norzagaray, teniente de corregidor de esta villa, refrendada del escribano Sanz. y Barca, se cita a los acreedores í Xa tes Terceira én dos columnas, la dé la derecha, al mando del. general Vasconcelos, tamentaría de p. Manuel de Robredo, vecino y del comercio qtie fue de esta catre. había entrado el 11 en Co…</t>
  </si>
  <si>
    <t>…los 40 rs- restantes por el presente mes y et que viene á razón de 20 rs. que mensualmente ofrece mientras dure la epidemia...................... ................................................................. , 540 ESPAÑA. El Sr. D. Mateo de Norzagaray, teniente de corregidor de esta he Valladolid 25 de Julio.. roica villa................................... 500 Doña I. S.C.......................................................................................... 20 Ayer ha publicado nuestro comandante .general la siguiente alocución: Doña M. D. P.…</t>
  </si>
  <si>
    <t>de Norzagaray, Laureano Rojo</t>
  </si>
  <si>
    <t>Laureano Rojo de Norzagaray</t>
  </si>
  <si>
    <t>…ano: para el corregimiento de Talayera de la Reina á Don Francisco de Paula Murciano: para el de Requena á D. Eugenio Rufino Her La empresa del canal de Aragón, deseosa de propagar el ramo de arbolado nández: para el de Andujar á D. Laureano Rojo de Norzagaray: para el de con arreglo á las órdenes de S. M., se halla con un crecido número de árboles Chinchilla á D. Benito Romero: para el de Verin á D. Buenaventura Olave: sobrantes de sus plantíos y arboledas, los que venderá al público á los precios para'el de Carmona á D. B-cque Naranjo: para la alcaldía…</t>
  </si>
  <si>
    <t>de Norzagaray, Mateo</t>
  </si>
  <si>
    <t>Mateo de Norzagaray</t>
  </si>
  <si>
    <t>…imientos con abundancia, equidtd y escrupuloso aseo. Eo este •ccite, á 13 rs. el cuartal. parador hav también buena mesa de vi.lar. Vich. Trigo de primera calidad, á 60 rs. cuarteramaíz, de 30 —" -En virtud de providencia del Sr. D. Mateo de Norzagaray , teniente 4 31 id.: habas, á 38 id. corr-glfior de esta villa, se cita á los que se crean con derecho a los bienes d” la testamentaría de í&gt;. D'ego López Pereüa , v qtt» no hubiesen Vi lafranea. Trigo, á 47 rs. fanega : centeno, á 32 id.: ceba legitimado sus créditos, A fin deque en el prec'so tér…</t>
  </si>
  <si>
    <t>…i frente 4 lar Pontsovde Lo* movimientos de los ejércitos aliados portugueses y españoles concertA- - oronúeft.26» dos el 9 i las inmediaciones de Coimbra se ejecutan sin dificultad. El duque da -—En virtud de providencia del Sr. D. Mateo de Norzagaray, teniente de corregidor de esta villa, refrendada del escribano Sanz. y Barca, se cita a los acreedores í Xa tes Terceira én dos columnas, la dé la derecha, al mando del. general Vasconcelos, tamentaría de p. Manuel de Robredo, vecino y del comercio qtie fue de esta catre. había entrado el 11 en Co…</t>
  </si>
  <si>
    <t>…40 rs- restantes por el presente mes y et que viene á razón de 20 rs. que mensualmente ofrece mientras dure la epidemia...................... ................................................................. , 540 ESPAÑA. El Sr. D. Mateo de Norzagaray, teniente de corregidor de esta he Valladolid 25 de Julio.. roica villa................................... 500 Doña I. S.C.......................................................................................... 20 Ayer ha publicado nuestro comandante .general la siguiente alocución: Doña M. D. P.…</t>
  </si>
  <si>
    <t>de Noviembre, Boma</t>
  </si>
  <si>
    <t>Boma de Noviembre</t>
  </si>
  <si>
    <t>…er esta afección siempre que se nos dé motivo por la polé Navarra, (el coronel, gefes, oficiales y soldados del regimiento de caballe mica extrangera.*’ ría de) ITALIA. Oliera, (el ayuntamiento, alcalde mayor, curas párrocos y el comandante Boma 28 de Noviembre. de armas de) Ora. (el alcalde mayor de) Sí ha sido sentida de todos la muerte prematura del Sr. D. Femando vii r Osorio. (D. Fernando de) de las Españas, lo ha debido ser particularmente de los subdito-. He aquel Mo Paltnzuela. (el ayuntamiento de) narca, cuya vida preciosa era tan cara i la heroica n…</t>
  </si>
  <si>
    <t>de Noviembre, Eduardo V Serna</t>
  </si>
  <si>
    <t>Eduardo V Serna de Noviembre</t>
  </si>
  <si>
    <t>…Cámara de los Lores, á cuyo cuidado se ha confiado, {Mercurio de Jfyevia.j y qué por«el, estado actual del edificio destinado para la reunión de la expresa SUIZA. da Cáiiari, se depositará por dicho bibliotecario en la torre del Rey Eduardo V Serna 1® de Noviembre. xon fiólas otros manuscritos pertenecientes al parlamento. (Id.) El gobierno del cantón ha publicado una ley sobre el respeto debido ¿ los FRANCIA. magistrados, de la cual copiamos los artículos siguientes. . París 17 de Noviembre. Artículo 1.® Cualquiera que con ultrajes ó calumnias trate de excit…</t>
  </si>
  <si>
    <t>de Noviembre, Madrid</t>
  </si>
  <si>
    <t>Madrid de Noviembre</t>
  </si>
  <si>
    <t>…y. Al mismo tiempo se ha escrito á la comisión de Londres que se hará jus ESPAÑA. ticia á todas las reclamaciones de los súbditos ingleses que han estado al servi cio d« Portugal, mientras se funden en motivos legítimos. S. M. la Reina Madrid 14 de Noviembre. disfruta de buena salud, aunque ha enflaquecido ¿Igo después de la muerte de Partes recibidos en la secretaría de Estado y del Despacha de la Guerra. su augusto padre. Si puede darse crédito á los que divulgan los secretos d* Es tado , parece que Doña María 11 ha resuelto dar su Real mano al duque…</t>
  </si>
  <si>
    <t>de Noviembre, Pa En</t>
  </si>
  <si>
    <t>Pa En de Noviembre</t>
  </si>
  <si>
    <t>…. (Continuación del correo anterior.) ESTA DOS-ÜNI DOS. 1Í1HISTERIO DE LO INTERIOR. Filadeljia 14 de Agosta. Reales órdenes. Se lee en una carta particular lo siguiente : .Las noticias de Nueva España anuncian que la división del general Pa En 16 de Noviembre del año anterior se comunicó á las con vón continuaba el sitio de la Puebla con instrucciones de evitar el derrama servadurías de montes, y en 29 de Marzo del corriente á los gober miento de sangre y tratar de hacer un armisticio ó convenio con el general nadores civiles, una Real orden por la cual se…</t>
  </si>
  <si>
    <t>de Oc.unpo, Vicente</t>
  </si>
  <si>
    <t>Vicente de Oc.unpo</t>
  </si>
  <si>
    <t>…l de las Ordenes militares; Don 4*°»parteflde3«°la dehistorialos principiosde la campañade Estrategiade 179ÓdeleaarchiduqueAlemania,Cáelos,en 18 capítuque d-&lt;ijeny élsu iacon2.a Juan Josef Recacbo, del referido supremo de Indias; D. Vicente de Oc.unpo, clusión ; el último período de la campaña de llalla por Bonaparte en dicho »0o; y Ja alcaide del crimen cesante de la. Real audiencia de Cataluña; D. Feliciano da continuación de la guerra por este mismo general en r797, hasta sus preliminares de ! Bringas, contador de S, A. el Sermo. Sr. Infante…</t>
  </si>
  <si>
    <t>de Oca, Atontes</t>
  </si>
  <si>
    <t>Atontes de Oca</t>
  </si>
  <si>
    <t>…, y por vía de Sr. Ferrer en su discurso, me parece se hallan desvanecidos por sí solos, que equ did los 177 millones del empréstito de Guebhard.** dando sin ningún valor por los argumentos que acabo de- alegar los emeo Ú seis El Sr. Atontes de Oca : » Desharé una equivocación que me parece ha pa vicios que creía dicho señor descubrir en este empréstito de Guebhard. decido el Sr. preopinante, al tratar de impugnar mi discurso. Yo he distingui «Paso ahora á contestar á las dos razones, una de estado y otra persona!, do en los Gobiernos ei dere…</t>
  </si>
  <si>
    <t>de Oca, Manuel Montes</t>
  </si>
  <si>
    <t>Manuel Montes de Oca</t>
  </si>
  <si>
    <t>…n á los empicados. Es una cosa tima junta electoral de Cádiz, nombrando Procu fado res por aquella provincia clara y evidente,- que los que mas interesados están en sostener el trono legíti á los Síes. D. Antonio Alcalá Galiano y D. Manuel Montes de Oca, en re mo y el actual órden de cosas, son ellos; y por lo tanto deben concurrir con emplazo de los Sres. D. Pedro Juan de Zuliteta y D. José Manuel de Va- sus esfuerzos á mantenerlo. Ai hacer cualquier solicitud todos ellos protestan dillo. su adhesión y su decisión á sostener la causa legítima has…</t>
  </si>
  <si>
    <t>de Oca, Montes</t>
  </si>
  <si>
    <t>Montes de Oca</t>
  </si>
  <si>
    <t>…cha adición, y se resolvió alisten los Milicianos, que el pe&amp;ftt&gt;r que sea suficiente el tenerla en cualquier que no. otro del territorio de la monarquuí, pues en el primer caso se logra mejor el Asimismo se leyó la siguiente del Sr. Montes de Oca, también al art* 2.° fin de la ley, que es el de que los alistados.sean conocidos de sus vecinos, é in n La ejecución de este artículo queda suspendida hasta la época en que se teresados en el buen órden y defensa de sus respectivos domicilios. Por consi ..conclusa de todo punto la guerra de los' f…</t>
  </si>
  <si>
    <t>…de que tal ó tal persona sea su heredero, no podrá trasmitirle la heren $in emhargo, el Gobierno no se opondrá á que Subsista dicha legislación” cia si la disposición testamentaria está incompleta por faltarle algún requisito El Sr. Montes de Oca: «Asi como el que se encuentra an tesórb deba esencial, Por lo deniasima de las bases mas benéficas del proyecto ¡eS reducir tener uba recompensa, con mas razón la merece el que salva ufl mostrenco de el Estado á los términos del derecho común. Sujeto á las regias de el', tiene mar. Si un buque enc…</t>
  </si>
  <si>
    <t>…sta cierto punto no era tan exacto como habia sen Se dió cuenta, y el Estamento quedó enterado, de haber sido nombrado tado S. S.: que si no se copian todas las palabras, se copian las ideas, y estas para la comisión de Marina el Sr. Montes de Oca en lugar del Sr. Rodríguez eran las que debían verse en unas sesiones bien redactadas, como no sucedía en Vera, á causa de haber este pedido se le exonerase de dicha comisión por ser ninguna de las que se publicaban en el dia, pues que aun en los suplementos y.a individuo de la de Guerra. , de la G…</t>
  </si>
  <si>
    <t>de Ochoa, D Sebastian García</t>
  </si>
  <si>
    <t>D Sebastian García de Ochoa</t>
  </si>
  <si>
    <t>…Sajonia Meinungen, hermano de la Reina , desembarcó ayer en la aduana, .viniendo de Rotterdam á bordo del buque de vapor City Mcr— PROVINCIA DS TOLEDO. ehant.'Dos coches de su augusta hermana estaban ya preparados para recibir á Sr. D. Sebastian García de Ochoa, gobernador civil de la mismiproviñciai $, A., el cual acompañado de su edecán y del mayordomo de la Reina se di Sr. D. Miguel de la Torre, hacendado. rigió al palacio de S. James. Después de un corto descanso salió para Wind— Sr. D. Francisco Crespo y Tejada, propietario y comerciante. sor. {Post.…</t>
  </si>
  <si>
    <t>de Ochoa, Sebastian García</t>
  </si>
  <si>
    <t>Sebastian García de Ochoa</t>
  </si>
  <si>
    <t>…onia Meinungen, hermano de la Reina , desembarcó ayer en la aduana, .viniendo de Rotterdam á bordo del buque de vapor City Mcr— PROVINCIA DS TOLEDO. ehant.'Dos coches de su augusta hermana estaban ya preparados para recibir á Sr. D. Sebastian García de Ochoa, gobernador civil de la mismiproviñciai $, A., el cual acompañado de su edecán y del mayordomo de la Reina se di Sr. D. Miguel de la Torre, hacendado. rigió al palacio de S. James. Después de un corto descanso salió para Wind— Sr. D. Francisco Crespo y Tejada, propietario y comerciante. sor. {Post.…</t>
  </si>
  <si>
    <t>…pción Geróatoiivitii la casa vulgo de Marqutna, a reclamar su dere Extracto del parte remitido por el gobernador civil de la provincia d« To- cho y liquidar con loa benwésot de aquel sus respectivas cuencas; con apercibimiento W* D. Sebastian García de Ochoa con fecha de I.® de Junio actual. que de *q hacerlo les pwari ■ • / EN. LA IMPRENTA REAI.</t>
  </si>
  <si>
    <t>…igue con la mayor actividad la obra de la puerta llamada de San Vicente. Extracto del parte remitido por el gobernador civil de la provincia de To Ha despachado 6 expedientes sobre escuelas de primeras letras ; se ha infor ledo , Don Sebastian García de Ochoa , con fecha de l.° de Mayo. mado sobre el estado del hospital Real y general de aquella ciudad, propo Entre otras varias providencias de que ha dado parte al Ministerio ha dic niendo muchas mejoras, asi como para el colegio imperial de niños de San tado muchas para remover cuantos obstáculos se opo…</t>
  </si>
  <si>
    <t>de Octubre, Madrid</t>
  </si>
  <si>
    <t>Madrid de Octubre</t>
  </si>
  <si>
    <t>…do-en el túmulo, y trasladado después al depósito de los Reales cadáveres ESPAÑA. . en 5; Vicente: debiendo por lo mismo limitarse la corte á la asistencia que S. M. F.1 espera que prestarán á estos- actos en obsequio del augusto Príncipe _Madrid 3 de Octubre. finado. Quedañ yot éauto anuladas todas las disposiciones contenidas en los avisos expedidos- por «1 ministerio de los Negocios del reino acerca de esta fú Partes recibidos en la secretaría de Establo y del Despacho de la Guerra. nebre solemnidad. CÓRTES GESTERALES. Excmo. Sr.: El Sr. brigadier Dj…</t>
  </si>
  <si>
    <t>de Octubre, Oran</t>
  </si>
  <si>
    <t>Oran de Octubre</t>
  </si>
  <si>
    <t>…ndd en ellos quedan autorizados para (Continuación del correo anterior.) delegar la firma de lt&gt;s asuntos correspondientes á la subinspecbion en e? gefe que merezca su confianza , el cual deberá tener al menos AFRICA. el grado de coronel. Oran 13 de Octubre. . 4; ;,A falta del subinspector segundo cabo, recaerá el mando mi litar-,, pc^ítipo y presidencia de la audiencia, en el gefe de nías gra El cólera, cuya existencia nos habia parecido dudosa hasta ahora, hace duación qué se hálle con destino activo dentro del distrito de la ca- ya grandes estragos…</t>
  </si>
  <si>
    <t>DE OFICIO, ARTICULO</t>
  </si>
  <si>
    <t>ARTICULO DE OFICIO</t>
  </si>
  <si>
    <t>…es Par* Madrid-,.......•— »4“ 190 Para el Reino____ —.. 3)0 l6o 8o, de Gomos. Para (Jananas........__ 38o Para ludia*.,..-..,.-....... «04} lí«. GACETA DE MADRID á edad avanzada que suenmba mente este hace temer su enfer Monarca, cura ARTICULO DE OFICIO. a acaso asegura. Este suceso es muy grave que lo que se muy influiría medad, poderosamente en la suene futura de los pequeños Estados de Alemania, y en S. M. la Reirá nuestra Señora y su augusta Madre la Reirá la de Sajoniacon especialidad. (Wrm.) Gobernadora , como la Señora Infanta Doña María Lui…</t>
  </si>
  <si>
    <t>de Ofoégoxh, OabríéV Benito</t>
  </si>
  <si>
    <t>OabríéV Benito de Ofoégoxh</t>
  </si>
  <si>
    <t>…iri'á*las siete de la. Serecho á ser acetídídos en este pío legado, deberán presentar la justincaciprt ,6cl Pa mañana del día 19 de Mayo de 1834*—Encino. Sr.zz.Marcelino Oráa—Exce— rentesco y póbreza en el' término de dos meses £ D. OabríéV Benito de Ofoégoxh, velentísimo Sr. capitán general delejér¿ító y remo de Aragon.r=És copia.=Ezpcleta. cino‘y del comercio de la misma villa; pasado éste^teríutno, y recibidofcilfe&amp;ttiforaies que estimareasdíchos albaceas, se verificará la distribución» diodo avisoÁjiWé’Ofif** ciados, para qué perciban lo que se les…</t>
  </si>
  <si>
    <t>de Olañe, José Mariano</t>
  </si>
  <si>
    <t>José Mariano de Olañe</t>
  </si>
  <si>
    <t>…do de la ley, que con algunas modificaciones trasladar á D. Pascual Méndez Acuña, oidor de la audiencia de Sevilla, í igual «deja en vigor las facultades que el edicto de Junio de 1778 concede á los cón plaza de la de Albacete; á D. José Mariano de Olañe la., electo alcalde del cri sules de Francia en las escitas de Levante para que en los casos determinados men de la de Aragón , á otra de la propia clase en la misma de Albacete , y por los tratados ó autorizados por la costumbre procedan contra los franceses para la plaza que resulta vacante se ha ser…</t>
  </si>
  <si>
    <t>de Olañeta, Josef Mariano</t>
  </si>
  <si>
    <t>Josef Mariano de Olañeta</t>
  </si>
  <si>
    <t>nfiTiTnrMítr - J01 7 FRANCIA. men de la audiencia de Aragón, vacante por salida de D. Vicente Pereda á la 1 París 3 de Febrero* , de oidor de la misma, á D. Josef Mariano de Olañeta , alcalde mayor de Je - ■ _í rez de la Frontera. También se ha dignado conceder honores.de alcalde del cri CÁMARA de tos pares.__ Sesión del día 30 de J&amp;gtrOi men de la audiencia de Sevilla á D. Vicente Vidal y Saavedra , teniente terce- I ro de asistente de Sevilla, y nombrar para el corregimiento…</t>
  </si>
  <si>
    <t>de Ondar, Antonio Tomé</t>
  </si>
  <si>
    <t>Antonio Tomé de Ondar</t>
  </si>
  <si>
    <t>…de las facciones que la alteran 1 parados de ellas el año de 1824 sin justo motivo, y nombrar para la enseñan za de química aplicada á las artes, que obtenía el primero en la ciudad de Má S. M. se ha dignado dispensar á D. José y D. Antonio Tomé de Ondar- laga, á D. Vicente Santiago Masarnau; mandando se tengan presentes los mé reta la gracia que han solicitado de poner en su fábrica de cera , establecida en ritos contraídos por D. Juan José Ancizu en el desempeño de la cátedra de esta corte, f\ escudo de las armas Reales, pagando previamente el ser…</t>
  </si>
  <si>
    <t>de Ondar, José y D Antonio Tomé</t>
  </si>
  <si>
    <t>José y D Antonio Tomé de Ondar</t>
  </si>
  <si>
    <t>…n sido se de las facciones que la alteran 1 parados de ellas el año de 1824 sin justo motivo, y nombrar para la enseñan za de química aplicada á las artes, que obtenía el primero en la ciudad de Má S. M. se ha dignado dispensar á D. José y D. Antonio Tomé de Ondar- laga, á D. Vicente Santiago Masarnau; mandando se tengan presentes los mé reta la gracia que han solicitado de poner en su fábrica de cera , establecida en ritos contraídos por D. Juan José Ancizu en el desempeño de la cátedra de esta corte, f\ escudo de las armas Reales, pagando previamente el ser…</t>
  </si>
  <si>
    <t>de Ondarza, D Manuel</t>
  </si>
  <si>
    <t>D Manuel de Ondarza</t>
  </si>
  <si>
    <t>…guarnece, con fecha de ajer ESPAÑA. me dice entreoirás cosas lo siguiente: ♦&gt;AI aparecer Ja fragata Perla en estas aguas, y después de haber comuni Barcelona 13 de Agosto. cado con una trincadura que enrié á reconocerla , y cu) o capitán D. Manuel de Ondarza dió á su comandante todos los conocimientos necesarios del estado En los días 15 y 16 de Julio último conforme á lo anunciado , presi de la costa, tomó su rumbo para Lequeitio, desde cuyo punto al verla salie didos por una seccioh de la Real junta de comercio , tuvieron lugar los exá ron cinco lanc…</t>
  </si>
  <si>
    <t>de Ondarza, Juan Manuel</t>
  </si>
  <si>
    <t>Juan Manuel de Ondarza</t>
  </si>
  <si>
    <t>…ón de la comisión regia de Vizcaya en Bermeo. A las ocho y media de esta noche ha entrado en este puerto Ja trincadura vizcaína del man Se espera que pasados los primaros efectos de la tempestad, se mitiguen los del cólera. do de D. Juan Manuel de Ondarza, conduciendo á 33 marineros de ios puer El resto de la provincia, según los partes , goza de salud, y solo en algu tos de Lequeitio y Elanchove, y con la agradable noticia de que quedaban pre nos pueblo* sufren enfermedades comunes de la estación, producidas en grao sos en la fragata Perla que se h…</t>
  </si>
  <si>
    <t>de Ondarza, Manuel</t>
  </si>
  <si>
    <t>Manuel de Ondarza</t>
  </si>
  <si>
    <t>…, con fecha de ajer ESPAÑA. me dice entreoirás cosas lo siguiente: ♦&gt;AI aparecer Ja fragata Perla en estas aguas, y después de haber comuni Barcelona 13 de Agosto. cado con una trincadura que enrié á reconocerla , y cu) o capitán D. Manuel de Ondarza dió á su comandante todos los conocimientos necesarios del estado En los días 15 y 16 de Julio último conforme á lo anunciado , presi de la costa, tomó su rumbo para Lequeitio, desde cuyo punto al verla salie didos por una seccioh de la Real junta de comercio , tuvieron lugar los exá ron cinco lanc…</t>
  </si>
  <si>
    <t>de Oní, D Mauricio Cárlos</t>
  </si>
  <si>
    <t>D Mauricio Cárlos de Oní</t>
  </si>
  <si>
    <t>…IA BB SAI ABANCA. les , renta de España 3 por 100,4Al* Empréstito Real de id., 86: rente Sr. D. Jbaquin Cáceres. perpetua de id. 78. Sr. marques de Villacampo. Se han recibido carta» de Atenas del 20 de Mayo. La Grecia continuaba Sr. D. Mauricio Cárlos de Oní*. gozando de una gran tranquilidad, y las opiniones divergentes sobre negocios importantes que se habían formado en el seno mismo de la regencia no ejer PROVINCIA B* LA NTAndBl, cían ya ningún influjo notable sobre el curso de las cosas. La vista del proceso Sr. D. Tetesforo Trueba Cosío. contra lo…</t>
  </si>
  <si>
    <t>de Oní, Mauricio Cárlos</t>
  </si>
  <si>
    <t>Mauricio Cárlos de Oní</t>
  </si>
  <si>
    <t>…B SAI ABANCA. les , renta de España 3 por 100,4Al* Empréstito Real de id., 86: rente Sr. D. Jbaquin Cáceres. perpetua de id. 78. Sr. marques de Villacampo. Se han recibido carta» de Atenas del 20 de Mayo. La Grecia continuaba Sr. D. Mauricio Cárlos de Oní*. gozando de una gran tranquilidad, y las opiniones divergentes sobre negocios importantes que se habían formado en el seno mismo de la regencia no ejer PROVINCIA B* LA NTAndBl, cían ya ningún influjo notable sobre el curso de las cosas. La vista del proceso Sr. D. Tetesforo Trueba Cosío. contra lo…</t>
  </si>
  <si>
    <t>de Onís', Mauricio Cárlos</t>
  </si>
  <si>
    <t>Mauricio Cárlos de Onís'</t>
  </si>
  <si>
    <t>…despacho, tomó la palabra-el Sr. Medrano para presentar una D. Saturnino Calderón, por Orense. indicación. D. Francisco de Paula Crespo Rascón, por Salamanca. ’ El Sr. Medrano-. »Voy á hacer al Estamento una indicación, que no sé D. Mauricio Cárlos de Onís', por id. (Este se sabia por una acta hallarse si estará en su lugar: pero me parece que por lo menos no es inoportuna. Ha enfermo.) ce 44 dias que estamos reunidos en este recinto, y veo que aun faltan mas de 60 Sres. Procuradores cuyos poderes han sido reprobados. 11 Procuradores que no se han pre…</t>
  </si>
  <si>
    <t>de Onts, Mauricio CárLos</t>
  </si>
  <si>
    <t>Mauricio CárLos de Onts</t>
  </si>
  <si>
    <t>…orden de 28 de Agosto próximo »e ha concedido al ayunta D. Santiago Salanueva...................................................................... 1 20 miento d= la ciudad de Samandecei permiso que solicitó para la construcción D. Mauricio CárLos de Onts................................................................... 309 de un teqtto, poniéndose de acuerdo con el gobernador civil en cuanto á la D. Gabriel Muñoz, por la suscripción del presente mes.................. 29 elección del terreno que para ello ha de tomarse á censo. El Sr. D. Pedio Balsera, por la suscripción de Agosto último, al respecto de 12 rs. diarios...…</t>
  </si>
  <si>
    <t>de OonUanti-oplj, Cartas</t>
  </si>
  <si>
    <t>Cartas de OonUanti-oplj</t>
  </si>
  <si>
    <t>…Pan Cat^riu.^, - 3$ó -. ígc* . $5* J^LR»r- 4°° *9** • ^ • f ------Ayer murió el caballerizo mayor del Emperador, Principa Juan déTraub1 ' '■ ¡ ARTICULO DE OFICIO. mauntorf. ~‘ í S. M. la, Reina nuestra Señora, su augusta Madre la Reina ____ Cartas de OonUanti-oplj del ] n &lt;Je Setiembre anuncian qul la pote Con Gobernadora y laSerma. Sra. Infanta Doña María Luisa, continúan tinúa ¡pecado grandes atreg; s en acjúcila ejj'.tJ. sin novedad en su impórtame salud en élReal Sitio tjel Pardo. ____ Jriií.is ca*z* de enmeróo e., tivufir-Qr-S ; ti, canzan hasta fines de Ag…</t>
  </si>
  <si>
    <t>de Orbaneja, Antonio Cano</t>
  </si>
  <si>
    <t>Antonio Cano de Orbaneja</t>
  </si>
  <si>
    <t>…, teniente general y teniente gobernador. =s De orden de tra Señora Doña Isabel ii , se ha.servido conceder gobierno militar y político I S. É., J. Adderley, secretario político. de la plaza de Fígueras al brigadier de infantería D. Antonio Cano de Orbaneja. j Asimismo el militar de la plaza de Obvenza al déla misma clase D. Alejandro I Betanzos ii Je Diciembre. Mayoli, coronel del 2.°regimiento dr granaderos de la Guardia Real provinvíal. | El dia 10 del anterior tuvo el honor el ayuntamiento de esta ciudad de pro El de igual clase de la plaza de Albu…</t>
  </si>
  <si>
    <t>de Orbegozo, Juan Antonio</t>
  </si>
  <si>
    <t>Juan Antonio de Orbegozo</t>
  </si>
  <si>
    <t>…Goyri, beneficia oportuna formación de compañías, ha quedado definitivamente or do de Deusto en la misma: D. Francisco de Eguía, beneficiado de ganizado el primer batallón, que por la fuerza de que consta, por Mungia en la misma: D. Juan Antonio de Orbegozo, beneficiado la bella disposición de sus individuos, y por el entusiasmo de que de Mungia en la misma: D. Ignacio de Echaudia, beneficiado de los he visto animados, prorumpiendu en alegres-viva» á nuestra i Deusto, y D. Juan Miguel de Azcué, beneficiado y cura de Arri- amada Reina y á su augusta Ma…</t>
  </si>
  <si>
    <t>de Orche, Vicente</t>
  </si>
  <si>
    <t>Vicente de Orche</t>
  </si>
  <si>
    <t>…ario,, adviirhan presentado ya 10, acogiéndose al ¡ndáUo,y se espera lo harán muchos mas. tiéndose-en algunos -mejoría y «menos casos-fulminantes y graves : que la «villa Recomendando muy partionUrmente 4 los sargentos de Urbanos D. Vicente -de Orche -había sido «invadida *^asi eotnodas de Tórtola^ y las«de. Algoraxy ArGarcía Socasa , y D* José García á los voluntarios D. Juan Pardo, D. Apo - eos, del .partido de .Sigüenza. linar Garda* D- Gabriel Trucha* D. Justo Fernandez, menor, D. Manuel de ¡PROVINCIA DE KADRID. la Peña, D. Gabriel de Ve la…</t>
  </si>
  <si>
    <t>de Ormaeche, Bartolomé</t>
  </si>
  <si>
    <t>Bartolomé de Ormaeche</t>
  </si>
  <si>
    <t>…gobierno civil de Avila, vacante tención haya nacido de este acontecimiento. por haber pasado el que la obtenía i desempeñar otra destino , S. M. ha tenido a bien concederla á D. Francisco Suarez. Don Juan Bautista de Sarachaga, D. Bartolomé de Ormaeche, individuo de la junta inspectora de escuelas de la ante-jgiésía de Gorliz, y D. Miguel Por haber sido separados de sus respectivos destinos los oficiales segundo* secundo y tercero—primero del Gobierno civil de Castellón de la Plana, S.ALde Golderacena, maestro de primeras letras de la misma, han…</t>
  </si>
  <si>
    <t>de Orrantla, José</t>
  </si>
  <si>
    <t>José de Orrantla</t>
  </si>
  <si>
    <t>…ntes que refrendada del escribano del número Fernandez y Cubero, se cita hasta se han disputado la gloria de exterminar á la gavilla del Locho: el_n de Mayo próximo, á todos los que se crean con derecho á la he rencia del difuuto D. José de Orrantla; apercibidos de que pasado dicho haciéndoles saber que S. M. tendrá muy presente su zelo para los día les parará perjuicio. ascensos en su carrera, sin perjuicio eje distribuir los competentes -----Se saca á pública subasta el suministro de medicinas para los en premios á los que mqs se hayan disti…</t>
  </si>
  <si>
    <t>de Ortega, Juan</t>
  </si>
  <si>
    <t>Juan de Ortega</t>
  </si>
  <si>
    <t>…ran de ia fuerza , persiguen á los cristianos con Burgos vengo ftn nombrar por la clase de oidores á D. Eugenio toda especie de vejaciones. Asi han llegado estos á ser los defensores naturales Manuel Cuervo, D. Indalecio Almansa, D. Juan de Ortega, Don del Sultán, el cual lo mejor que puede hacer ahora es emancipar á la poblacioñ Joaquín María López de Ayqda y D. Mariano de la Bodega; por la cristiana de;la.Bosnia, como ha hecho ya en todo él resto de la Turquía, dar de alcaldes á D. francisco Sainz Pardo, D. Cipriano de la Riva, Don les jue…</t>
  </si>
  <si>
    <t>de Osariz, Alvaro Ramírez</t>
  </si>
  <si>
    <t>Alvaro Ramírez de Osariz</t>
  </si>
  <si>
    <t>…tro de utensilios y camas que ha de hacerse á las tropas que los Urbanos en tajra días á los puestos que les están señalados; prueba esta guarnecen losi presidios menores de Mélllli, Mon y A1 huceaaas por el término dé verdad que D. Alvaro Ramírez de Osariz, individuo (fe dicluy Milicia urbana, cuatro años; en el concepto VJe que no je admitiránt proposiciones fuera del acto de la subasta, y que éste servido ha de .verificarse con sujeción al pliego general de cond»* que logró salir con los cazadores vizcaínos, nó se separó de láris guerrillas, se- cJ…</t>
  </si>
  <si>
    <t>de Osma, D Joaquín</t>
  </si>
  <si>
    <t>D Joaquín de Osma</t>
  </si>
  <si>
    <t>…e nuestro primer obsequio al día de Cristina , fue un TV Deum, en la Linda cual rosa de Abril, insigne iglesia colegial, á que asistjeron todas las autoridades. Pura cual rayo del alba, Siguió la corte en la habitación del Excmo. Sr. D. Joaquín de Osma, du Angel de paz, que nos salva rante la cual estuvieron tocando alternativamente las bandas de música del pri De su cuna de marfil, mer regimiento de granaderos provinciales de la Guardia y 3.° de ligeros. Es Isabel, que el pensil Las cuatro y media de la tarde era la hora señalada para la gran pa…</t>
  </si>
  <si>
    <t>de Osma, Joaquín</t>
  </si>
  <si>
    <t>Joaquín de Osma</t>
  </si>
  <si>
    <t>…estro primer obsequio al día de Cristina , fue un TV Deum, en la Linda cual rosa de Abril, insigne iglesia colegial, á que asistjeron todas las autoridades. Pura cual rayo del alba, Siguió la corte en la habitación del Excmo. Sr. D. Joaquín de Osma, du Angel de paz, que nos salva rante la cual estuvieron tocando alternativamente las bandas de música del pri De su cuna de marfil, mer regimiento de granaderos provinciales de la Guardia y 3.° de ligeros. Es Isabel, que el pensil Las cuatro y media de la tarde era la hora señalada para la gran pa…</t>
  </si>
  <si>
    <t>…zar so buen ejemplo, sus disposiciones y su1 existencia; es pues, como todos lidad. Dios guarde á V. E. muchos años. Vitoria 12 de Agosto de 18$4-= los que se han distinguido, acreedor á la munificencia soberana, y remunera Excmo Sr.—Joaquín de Osma.=Excmo. Sr. Secretario del Despacho de la ción que S. M. tenga á bien dispensarles. Guerra.. * . ' Las brigadas y divisiones que no pudieron haberlis cpn el enemigo me han manifestado una verdadera impaciencia muy acreedora á mi particular con Despaches dirigidos al Encane. Sr. primer Secretario de…</t>
  </si>
  <si>
    <t>…ís. El gobernador civil de esta provincia da parte, con fecha de ló del ac Dios guarde á V. E. muchos años. 'VitorTa 16 de Agosto de 1834=FX- tual , de haber auxiliado al vecindario de Villalazan con un facultativo de cele mínimo Sr.=± Joaquín de Osma.= Excmo. Sr. Secretario de Estado y del aquella ciudad, que ha pasado á aquella villa provisto de un botiquín; en que Despacho de la Guerra. murieron dos en los dias 13 y 14» J quedaron para el dia siguiente 10 enfer mos. En San Zotes hubo en los dias 13, 14 7 15,ó invadidos, 3 curados y 3 Excmo. Sr…</t>
  </si>
  <si>
    <t>de Osma, Joaquin</t>
  </si>
  <si>
    <t>Joaquin de Osma</t>
  </si>
  <si>
    <t>…zquierda , y metiéndome por la Florida ture U satisfacción de encontrarme ta. Dios guarde ú V. E. muchos años. Vitoria 19 de Marzo de 1834—Exce con el coronel del 3.° de ligeros D. Manuel Sánchez, quien, aunque enfermo, lentísimo Sr.=Joaquin de Osma.=Excmo. Sr. Secretario de Estado y dei Des se me presentó para que le ocupase, como lo hice, pues que las circunstancias pacho universal de la Guerra. eran muy urgentes, y se necesitaba de un gefe de su carácter á quien confiar tan interesante punto; porque no podía desentenderme de los partes que m…</t>
  </si>
  <si>
    <t>…s lágrimas y dar algún consuelo á los padres, hijos y viudas de - concediendo desde lue^o S. M. al mencionado comandante general el marisca.! los leales que hayan muerto ó murieren en defensa de la seguridad de la pattiT de campo D. Joaquín de Osma la gran cru2 de S. Fernando. y de los legítimos derechos de mi excelsa Hija; y el residuo, si lo hubiere, se 5.° Que la única hermana del malogrado teniente de la guardia Real Don aplicará á la extinción de la deuda pública. José Salazar disfrute de la pensión correspondiente en el monte pío militar a…</t>
  </si>
  <si>
    <t>de Osma, Miguel</t>
  </si>
  <si>
    <t>Miguel de Osma</t>
  </si>
  <si>
    <t>…De las notas consta que se ha dado sepultura á unos 40 ca llos de diferentes cuerpos , conociendo lo crítico de la situación , dispuse que dáveres facciosos, que se ha enterrado á otros en distintos pueblos, y que ea mi ayudante D. Miguel de Osma con otro de estado mayor D. Pedro Andna- ellos dejaron abandonados algunos heridos, llevándose otros. n¡, y el subteniente de artillería D. Antonio Bulnes se pusiesen á la cabeza de Los partes parciales hacen honorífica mención de cuantoilero expuesto, y ellos; y en unión con la tropa de Pozo, desa…</t>
  </si>
  <si>
    <t>de Osma.c, Joaquín</t>
  </si>
  <si>
    <t>Joaquín de Osma.c</t>
  </si>
  <si>
    <t>…eridas,pilas juntas ó separadas, bajo las condiciones siguientes: soberano agrado* Dios guarde á V. E. muchos años. Vitoria 13 de Marzo de, 1. a El esquileo se verificará en los primeros 15 dias del mes 'de Mayo pró 1834.=rExcmo. Sr.—Joaquín de Osma.c=Excmo. Sr. Secretario de Estado y del ximo en uno de los rancho* de la provincia de Segovia. Despacho de la Guerra. 2. a La entrega al comprador ha de hacerse en el referido rancho, á vellón redondo, el dia siguiente al último de esquileo. Después de la acción de Oñate los facciosos de Vizcaya retr…</t>
  </si>
  <si>
    <t>de Pa'andarias, Joaquín</t>
  </si>
  <si>
    <t>Joaquín de Pa'andarias</t>
  </si>
  <si>
    <t>…ntes de ayer se mandaron pa&gt;ar á la comisión de Hacienda para La misma comisión dió cuenta de haber examinado los poderes y documen que los redactase de nuevo, y que hoy han sido presentado» por esta , se im tos justificativos de D. Joaquín de Pa'andarias, elecKJ Procurador por la provin priman y se repartan á los Sres. Procuradores, y que cuando á esto no hubie cia de Barcelona , j de que hallándolos conforthes era de parecer que debían se lugar, se señale día para discutirlos, y que se e-.iod-en , y no se aventure el aprobarse. Asi se acordó. acie…</t>
  </si>
  <si>
    <t>de Pablos, Julián</t>
  </si>
  <si>
    <t>Julián de Pablos</t>
  </si>
  <si>
    <t>…Gobierno para.su arresto y confinación; era el mismo rebelde Merino en persona, dispuse.que ayer mañana saliese él * siéndole? fací! distinguir ú estos bandidés porque todos llevaban chaquetas en— coronel comandante de escuadrón D. Julián de Pablos con 31 caballos, úni • camadas. • . ca fuerza disponible que me quedaba en la capital, por hallarse la columna, »Una partida de unos 30 se dirigió á Gumbrein, y de diez Á doce pa como tengo dicho á V.E., en Logroño en busca de fusiles y municiones, pata usaron por Pandinan hácia Castellar de Nuch p…</t>
  </si>
  <si>
    <t>de Palafox, José</t>
  </si>
  <si>
    <t>José de Palafox</t>
  </si>
  <si>
    <t>…s, son las armas vedadas de que han hecho uso. I ¡en qué tiempo! En Deseando recompensar la lealtad y buenos gervicio^Ael capitán el mismo en que abrumado el vecindario bajo el peso de una terrible general de mis Reales ejércitos D. José de Palafox yj^Hci de un pla^a, deberían acallarse las rivalidades y pasiones, aun desaparecer modo tal que al paso que le honre renueve la memoriüHtíin hecho estas, y ayudarse todos prodigándose mutuamente socorros y consue esclarecido; he venido en concederle ,en nombre de mi aógtista Hija los. LaAutOridad s…</t>
  </si>
  <si>
    <t>de Palaudarias, Joaquín</t>
  </si>
  <si>
    <t>Joaquín de Palaudarias</t>
  </si>
  <si>
    <t>…probó el acia de la anterior. declaró que sí; y puesto á votación el dictamen de la comisión , quedó apro Se mandaron pasar á la comisión de Poderes los presentados con los do bado. cumentos justificativos de su aptitud legal por D. Joaquín de Palaudarias, La comisión de Poderes, en vista de un oficio del Sr. Romero Alpuente, electo Procurador por la provincia de Barcelona. en que solicitaba se le devolviesen sus poderes y documentos , era de parecer , El Estamento quedó enterado de un oficio en que la comisión de Poderes que no había inconveniente…</t>
  </si>
  <si>
    <t>de Palma, Blas Alvarez</t>
  </si>
  <si>
    <t>Blas Alvarez de Palma</t>
  </si>
  <si>
    <t>…Consejo Real; lie venido en nombrar Proceres del Reino, para que tomen asiento conde de Monterron; conde de Villafuertes; D. Fr. José Seguí, ar en el Estamento de esta clase, juntamente con los Grandes de Espa zobispo de Manila; D. Blas Alvarez de Palma, arzobispo 4e Graz ña á quienes de derecho corresponda, por reunir las condiciones nada; D. Manuel García Herreros, del Consejo Real; D. Diego,Gleprefijas en la citada ley fundamental, á los muy RR. arzobispos, menciri, bibliotecario mayor; D. Manuel José Quintana, secretario RR. obispos, títulos d…</t>
  </si>
  <si>
    <t>de Palzodarits, Joaquin</t>
  </si>
  <si>
    <t>Joaquin de Palzodarits</t>
  </si>
  <si>
    <t>…. amor á la libertad. „ Sr. D. Ramón de Cnscar. Se engáfialeí que croe que ti cuadrupla ajilara es un nombre vano; porque $r. D. Honorato de Puig. no solo nos asegura toda nuestra frontera del sudoeste, sino qué jdemas nos ha St. D. Joaquin de Palzodarits. ce esperar la cooperación de Inglaterra, ó á lo meóos su neutralidad; Siria pre Sr. D. José Ptindolit. ciso olvidar cuanto se parece un estado á ün hombre en sus pasiones buenas ó . ;Sr. Dt Ramón de Llano Chavarri. . malas,,para no CQHiprenderjha^ta, qué, punto se avivarla el zelo derPuestrosimi- S…</t>
  </si>
  <si>
    <t>de Parga, D Jacobo Mana</t>
  </si>
  <si>
    <t>D Jacobo Mana de Parga</t>
  </si>
  <si>
    <t>…erwik y A ba.=^ conde del Montijo. Vicente Ramos. = El marques de Albiida y de S José. = hi conde de Ota El Estamento quedó enterado de haber* sido nombrado para la comisión ba, cr Pedro González de Vallejo. de Hacienda el Excmo. Sr. D. Jacobo1 Mana de Parga, en lugar del Excelen El Sr. Presidente dijo que este dictámen se mandaría imprimir , se repar tísimo Sr. Dp Tomas José González de Carvajal. tiría á Im Sres. Proceres, y se señalaría dia para su discusión. Piévio anuncio del Se dió cuenta de un dictámen de la comisión de Exámen de documentos, mism…</t>
  </si>
  <si>
    <t>…uno de el ios es tener mas de un año de residencia en la provincia; y otro Se di‘ó cuenta, y el Estamento quedó enterado, de dos oficias: uno del el dófrutir una renta anual de 60 reales. Exceptúame de esta disposición los Excmo. Sr. D. Jacobo. Mana de Parga, en que manifestaba su cdhesion v con individuos de ayuntamiento- En su virtud, el partido de Alcafuces nombro formidad á las reioluetbnes del Estamento, por las que a.ordo quedar excluido por uno de sus electores á García , alca de mivor , que entonces era, de* murrio. el Infante D. Cárlós y su de…</t>
  </si>
  <si>
    <t>de Parga, Jacobo Mana</t>
  </si>
  <si>
    <t>Jacobo Mana de Parga</t>
  </si>
  <si>
    <t>…k y A ba.=^ conde del Montijo. Vicente Ramos. = El marques de Albiida y de S José. = hi conde de Ota El Estamento quedó enterado de haber* sido nombrado para la comisión ba, cr Pedro González de Vallejo. de Hacienda el Excmo. Sr. D. Jacobo1 Mana de Parga, en lugar del Excelen El Sr. Presidente dijo que este dictámen se mandaría imprimir , se repar tísimo Sr. Dp Tomas José González de Carvajal. tiría á Im Sres. Proceres, y se señalaría dia para su discusión. Piévio anuncio del Se dió cuenta de un dictámen de la comisión de Exámen de documentos, mism…</t>
  </si>
  <si>
    <t>…de el ios es tener mas de un año de residencia en la provincia; y otro Se di‘ó cuenta, y el Estamento quedó enterado, de dos oficias: uno del el dófrutir una renta anual de 60 reales. Exceptúame de esta disposición los Excmo. Sr. D. Jacobo. Mana de Parga, en que manifestaba su cdhesion v con individuos de ayuntamiento- En su virtud, el partido de Alcafuces nombro formidad á las reioluetbnes del Estamento, por las que a.ordo quedar excluido por uno de sus electores á García , alca de mivor , que entonces era, de* murrio. el Infante D. Cárlós y su de…</t>
  </si>
  <si>
    <t>de Parga, Jacobo María</t>
  </si>
  <si>
    <t>Jacobo María de Parga</t>
  </si>
  <si>
    <t>…pasta y rustica. cano de la sección de Hacienda'del mismo Consejo. (Id.) ■ , . ... .___ nombrando para la sectioh dé Hacienda del mismo Consejo á D Fran » -------------- ■ ------’ ----- -----j .1,,,! | ,.É cisco López de Alcáríz, D. Jacobo María de Parga, D. N iceto dé LarrtTi ? Los' SiKCtfl&gt;toWs á las obrás coínpletas dé Bujfoh aumentadas por Cuvier^ pasarán y D. José Pinilla ; y para secretario á D. Francisco de Gárate. (Id.) á la librería de Razóla, á redoger el tcmiV29 ct&gt;n !a entrega 25 de láminas* adeíartrto____ nombrando para Iá sección de I…</t>
  </si>
  <si>
    <t>…Diruel, y á NOTICIAS EXTRANGERAS. y D. Tomás González Carvajal, ministro que fue del suprimido Con sejo de la Guerra. INGLATERRA. Para la de Hacienda á D. Antonio Martinez, decano; D. Fran Lóndres 8 de Abril. cisco López Alcáraz; D. Jacobo María de Parga; D. Niceto de Fondos públicos. Tres por 100 consolidados 90 • Larreta; D. José López Juana Pinilla. Ayer llegó á esta ciudad el nuevo embajador de España , conde Para la de Marina á D. Martin Fernandez de Navarrete, deca de Floridablanca. Hoy, acompañado del caballero Vial, ha hecho no; D. Agustín…</t>
  </si>
  <si>
    <t>de Parga, José Vázquez</t>
  </si>
  <si>
    <t>José Vázquez de Parga</t>
  </si>
  <si>
    <t>…o ha podido hacer aun mención de ella. El número total de es D. Gregorio Marau: para la de Rivadeo á D. Alonso Sánchez de tudiantes asciende i 4609. Ademas de estas seis universidades superiores y efe Pando: para la de Carballó á D. José Vázquez de Parga: para la de los distritos que les están asignados, el presupuesto habla también de cuatro Peñafiel á D. Angel Esteban de la Fuente: para Jal de Piedrabita á nuevos distiitos organizados en los últimos años, á saber: el distrito de la Ru D. José Leocadio Ahumada: para la de Padrón á D. Antonio Galle…</t>
  </si>
  <si>
    <t>de Parma, María Luisa</t>
  </si>
  <si>
    <t>María Luisa de Parma</t>
  </si>
  <si>
    <t>…Portugueses, el que nos dio llante fiesta militar. Ademas de varios oficiales ingleses, prusianos &gt; hannove- libertad, patria y la vida en sacrificio, dejó por legado á su inconsolable viu rianós, sardos y bá varos,* concurrió la Duquesa María Luisa de Parma, el da nuestra gratitud y nuestra generosidad! (/dj Duque de Módena, el príncipe Oustavo Wasa, hijo del ex~Rey Oustavo iv de Suecia, hoy el coronel Gustawson, y el general Cubieres. En Berlín es considerable la afluencia de extrangeros. El príncipe Mauro* cordato, embajador de Grecia en Munich, lle…</t>
  </si>
  <si>
    <t>de Parma, Príncipe</t>
  </si>
  <si>
    <t>Príncipe de Parma</t>
  </si>
  <si>
    <t>…sma lealtad é independencia caracte tos , pues habia sido pagada virtualniente con los enormes sacrificios hechos por rística de mi pais , con que he votado siempre por la opinión que en cada ne España para el establecimiento del Sr. Príncipe de Parma en el reino de Etra- gocio he considerado en el fondo de mi conciencia ser la del órden y de la ria; pero que movido su corazón por los sentimientos de cariño a su hermana, verdadera libertad, y la mas conducente al sostenimiento del trono. y por principios de equidad, se ocuparía en adelante, cuan…</t>
  </si>
  <si>
    <t>de Parsent, Conde</t>
  </si>
  <si>
    <t>Conde de Parsent</t>
  </si>
  <si>
    <t>…no necesitaba sujetarse á la sanción del Esta Rey; y que á su entender este era el caso en que podía hacerse rigorosa aplica mento. i ción de ésta ley. ■ El Sr. Burgos contestó que si el Gobierno disponía de un Procer era cla El Sr. Conde de Parsent apoyó e.te parecer , y dijo que cuando un señor ro que no tenia que impetrar la licencia del Estamento: qrie su.propesicion úni Prócer rio estaba presente ; cómo se 1c podría exigir que prestase el juramento? camente se referia á aquellos que solicitasen permiso para ausentarse por moti Sobre lo-cu…</t>
  </si>
  <si>
    <t>de Paul, Francisco</t>
  </si>
  <si>
    <t>Francisco de Paul</t>
  </si>
  <si>
    <t>…uca que, cuando 5. P. E. de la nación, ha desconocido el gobierno dei Estado, ó inlíuido á que aparecieron los primeros síntomas recibieron los auxilios indicados en la Ins las demás a utoridudes de la capital desconozcan al ¿ir. D. Francisco de Paul* trucción popular, se han salvado todos sin excepción. (Memorial de los Pirineos.) Toro, comandante general legítimamente constituido, quien en las ptovideneias á que se quiere atribuir’ semejante escándalo, solo ha obrado dentro de 1* órbita de sus facultades legales, según lo comprueban los docum…</t>
  </si>
  <si>
    <t>de Paula, Francisco</t>
  </si>
  <si>
    <t>Francisco de Paula</t>
  </si>
  <si>
    <t>…dicho »0o; y Ja alcaide del crimen cesante de la. Real audiencia de Cataluña; D. Feliciano da continuación de la guerra por este mismo general en r797, hasta sus preliminares de ! Bringas, contador de S, A. el Sermo. Sr. Infante D. Francisco de Paula; Don la paz de Campo-Furmlo. Dkho periodo se divide en secciones, para qne se distin gan de aquellos capítulos. A estos cuatro tomos. á mas de los diferentes planos v ma [ Cilio» .Valentín Fraile, asesor electo del gfibierno de la Habana, y D. Feman- pas de que están adornados, acompaña un gran map…</t>
  </si>
  <si>
    <t>…es pueden subir al trono. Doña Juana fue propuesta para que se re de faltar las dos augustas Princesas , á saber, que se declarase que la línea del conociese en las Córtes de 1482: sin embargo de las murmuraciones, ya Sr. Infante D. Francisco de Paula debía suceder eu este caso. Asi evitaríamos, públicas ya privadas, y de las protestas que se hicieron, el hecho es que fue si por desgracia llegase, nuevas discusiones, y quitaríamos i los partidos, cua nombrada. El odio general y el disgusto, excitados contra Henrique 4-°&gt; die lesquiera que fuesen…</t>
  </si>
  <si>
    <t>…a rectificación. En el acta se expresa que yo dije que las excelsas H'j-u de D Fernando vu y la descendencia de ellas, era llamado era innecesaria é inoportuna la adición: yo no usé tal expresión, y asi pido por la ley el Infante D. Francisco de Paula y hi linea, y que el Sr. conde de que se rectifique. Manifesté que era innecesaria porque la ley en sí misma en las Navas, en vista de las razones expuestas por el Sr. Ministro de Hacienda,* volvía el caso que se expresaba en la adición: que en el desgraciado de retiró su proposición con condición de…</t>
  </si>
  <si>
    <t>…s derechos señalados á las harinas en los artículos 1?, 2?, salud. Esta tarde ha llegado á este Reai Sitio, procedente del de San 3? y 4? se cobrarán mientras S.‘ M. no sancione otros sobre diferen Lorenzp, el Serrao. Sr. Infante D. Francisco de Paula, sin. novedad tes artículos de comercio extranjero que puedan cubrir el vacío que en su importante salud. Todo lo que participo á V- E. para su sa ha dejado en aquellas cajas el alivio del arbitrio extraordinario que tisfacción y efectos oportunos. Dios guarde á V. E. muchos años. Íiagahan el azúca…</t>
  </si>
  <si>
    <t>…e salud. esta Real determinación, acompañados de sus asesores, practica- De igual beneficio disfrutan SS. AA. la Sra. Infanta Doña María rán una visita extraordinaria de todos los presos actualmente en las Luisa, y el Sr. Infante D. Francisco de Paula. cárceles por delitos cometidos contra la Real Hacienda, ya esten De Real orden lo participo á V. E. para su satisfacción y efec pendientes de la sustanciacion de sus respectivas causas, ó yá se en tos oportunos. cuentren estas fenecidas, y los pondrán en libertad, siempre que las Dios guarde á V. E…</t>
  </si>
  <si>
    <t>…alud. „ Isabel ii, he venido en suprimir dicho convento de S. Francisco de Del mismo beneficio disfrutan SS. AA- la Sra. Infanta Dona A bandeóle Bilbao; y mando que con respecto á sus bienes, edificio María Luisa y el Sr. Infante D. Francisco de Paula. y efectos destinados al culto se proceda según mis Reales decretos De Real orden lo participo á V. E. para su satisfacción y efec de 28 de Marzo y 10 de Abril últimos. Tendréislo entendido, y dis tos oportunos. Dios guarde á V. E. muchos años. San Ildefonso 17 de pondréis lo necesario á su cumplimien…</t>
  </si>
  <si>
    <t>…tatuto Real había echado los cimientos del edificio que nosotros En seguida se leyó el párrafo del proyecto del Gobierno que asignaba al debíamos levantar. Esta Señora nos ha donado el Estatuto á imitación de la Sermo. Sr.Infante D. Francisco de Paula, su augusta esposa y familia &gt;00 gran Carta que formó de la Inglaterra el primer pueblo libre de la Europa; lo reales, como también el de la comisión , que señalaba 3.5o0,000 reales. mismo que nos sucederá á nosotros con el Estatuto Rbal. Si la España pue El Sr. Miquel Polo dijo que la comisión bab…</t>
  </si>
  <si>
    <t>…pecto á la péqueñez de este ahorro de 759 Verificada esta, resultó desechado el párrafo del proyecto del Gobierno, duros, sí se da vafoT á este argumento, ¿podrá hacerse alguna rebaja en ningún que asignaba al Sereno» Sr. Infante D. Francisco de Paula, su augusta Esposa y presupuesto? Es claro que no , porque todas serán pequeñas en sí, aunque su famdia S.76o9 rs., por 97 votos contra 23, habiéndose abstenido de votar-cua conjunto sea luego considerable. Me parece, pues, que basta esto para desvane tro Sres. Procuradores, de 124 presentes. cer l…</t>
  </si>
  <si>
    <t>…idadés.. ,JnV ‘- . ... t. " «Este' Señor no ha preátado el juramensm. Se dice que np es{aí¡a presente Ha servido de gobierno á la comisión, lo que isq wzp en las Córtes del . á la reunión de las Córtes; como el Sermo. Se. Jnfantq D. Francisco de Paula; . afio de 21 cuando se'tratóde estas: asignaciones, y gue’ejn résumidaj!, cueptas pero «ta nó-'es una razón que me convenza ^ porque si S. A. estaba ausente, hipodido aclarar, prescindiendo de que sean ó no legítimos los créditos ó medios habiYpara que aunéneste caso pudiese prestar'el juramento,…</t>
  </si>
  <si>
    <t>…sación entabTdi por el Estamento de Procuradores del Rei Del mismo beneficio siguen disfrutando la Serma. Señora Infanta no, con arreglo á la ley de responsabilidad y según los trámites qua -Dofift Alaría r.uisa, y el Sr. Infante D. Francisco de Paula. esta señale. De Real orden lo participo á y. EL para su satisfacción y para 2? Cuando, conforme á lo que establezcan las leyes, conozca da ■los efectos oportunos. Dios guarde á V. E. muchos años. San Ilde- delitos graves contra la inviolabilidad del Trono ó la seguridad del fonto 21 de Julio de 183…</t>
  </si>
  <si>
    <t>…vagamundos, destinados al lugar de su ormn.lez, Alonso Calzas, alcalde del crimen dé la de Zaragoza, y á D. Paldo bajo la especial vigilancia «le la justicia respectiva: y al impresor (S Santafé: en clase de alcaides del crimen á D. Francisco de Paula persona que facilite la multiplicación de los ejemplares de aquellasVaqupr, á D. José Banguells de Eixalá, á D. Felipe Martínez Motápeles se le aplicarán inmediatamente ¡as penas impuestas por las retin, á D. Antonio Veas, y á D. Ramón María de Arrióla y Esmiieyes de la imprenta á los contraventore…</t>
  </si>
  <si>
    <t>de Paula, Infante D Francisco</t>
  </si>
  <si>
    <t>Infante D Francisco de Paula</t>
  </si>
  <si>
    <t>…Bonaparte en dicho »0o; y Ja alcaide del crimen cesante de la. Real audiencia de Cataluña; D. Feliciano da continuación de la guerra por este mismo general en r797, hasta sus preliminares de ! Bringas, contador de S, A. el Sermo. Sr. Infante D. Francisco de Paula; Don la paz de Campo-Furmlo. Dkho periodo se divide en secciones, para qne se distin gan de aquellos capítulos. A estos cuatro tomos. á mas de los diferentes planos v ma [ Cilio» .Valentín Fraile, asesor electo del gfibierno de la Habana, y D. Feman- pas de que están adornados, acompaña un gran map…</t>
  </si>
  <si>
    <t>…perado mugeres pueden subir al trono. Doña Juana fue propuesta para que se re de faltar las dos augustas Princesas , á saber, que se declarase que la línea del conociese en las Córtes de 1482: sin embargo de las murmuraciones, ya Sr. Infante D. Francisco de Paula debía suceder eu este caso. Asi evitaríamos, públicas ya privadas, y de las protestas que se hicieron, el hecho es que fue si por desgracia llegase, nuevas discusiones, y quitaríamos i los partidos, cua nombrada. El odio general y el disgusto, excitados contra Henrique 4-°&gt; die lesquiera que fuesen…</t>
  </si>
  <si>
    <t>…tante 10. Los derechos señalados á las harinas en los artículos 1?, 2?, salud. Esta tarde ha llegado á este Reai Sitio, procedente del de San 3? y 4? se cobrarán mientras S.‘ M. no sancione otros sobre diferen Lorenzp, el Serrao. Sr. Infante D. Francisco de Paula, sin. novedad tes artículos de comercio extranjero que puedan cubrir el vacío que en su importante salud. Todo lo que participo á V- E. para su sa ha dejado en aquellas cajas el alivio del arbitrio extraordinario que tisfacción y efectos oportunos. Dios guarde á V. E. muchos años. Íiagahan el azúca…</t>
  </si>
  <si>
    <t>…iban portante salud. esta Real determinación, acompañados de sus asesores, practica- De igual beneficio disfrutan SS. AA. la Sra. Infanta Doña María rán una visita extraordinaria de todos los presos actualmente en las Luisa, y el Sr. Infante D. Francisco de Paula. cárceles por delitos cometidos contra la Real Hacienda, ya esten De Real orden lo participo á V. E. para su satisfacción y efec pendientes de la sustanciacion de sus respectivas causas, ó yá se en tos oportunos. cuentren estas fenecidas, y los pondrán en libertad, siempre que las Dios guarde á V. E…</t>
  </si>
  <si>
    <t>…a portante salud. „ Isabel ii, he venido en suprimir dicho convento de S. Francisco de Del mismo beneficio disfrutan SS. AA- la Sra. Infanta Dona A bandeóle Bilbao; y mando que con respecto á sus bienes, edificio María Luisa y el Sr. Infante D. Francisco de Paula. y efectos destinados al culto se proceda según mis Reales decretos De Real orden lo participo á V. E. para su satisfacción y efec de 28 de Marzo y 10 de Abril últimos. Tendréislo entendido, y dis tos oportunos. Dios guarde á V. E. muchos años. San Ildefonso 17 de pondréis lo necesario á su cumplimien…</t>
  </si>
  <si>
    <t>…último, respecto á la péqueñez de este ahorro de 759 Verificada esta, resultó desechado el párrafo del proyecto del Gobierno, duros, sí se da vafoT á este argumento, ¿podrá hacerse alguna rebaja en ningún que asignaba al Sereno» Sr. Infante D. Francisco de Paula, su augusta Esposa y presupuesto? Es claro que no , porque todas serán pequeñas en sí, aunque su famdia S.76o9 rs., por 97 votos contra 23, habiéndose abstenido de votar-cua conjunto sea luego considerable. Me parece, pues, que basta esto para desvane tro Sres. Procuradores, de 124 presentes. cer l…</t>
  </si>
  <si>
    <t>…lad. una acusación entabTdi por el Estamento de Procuradores del Rei Del mismo beneficio siguen disfrutando la Serma. Señora Infanta no, con arreglo á la ley de responsabilidad y según los trámites qua -Dofift Alaría r.uisa, y el Sr. Infante D. Francisco de Paula. esta señale. De Real orden lo participo á y. EL para su satisfacción y para 2? Cuando, conforme á lo que establezcan las leyes, conozca da ■los efectos oportunos. Dios guarde á V. E. muchos años. San Ilde- delitos graves contra la inviolabilidad del Trono ó la seguridad del fonto 21 de Julio de 183…</t>
  </si>
  <si>
    <t>de Paulas, Francisco</t>
  </si>
  <si>
    <t>Francisco de Paulas</t>
  </si>
  <si>
    <t>…e se crean .con dere te. Esta impresión no’es sin duda más que superficial7, y cuando.se penetra en el cho 9 los bienes que han quedado ‘por fallecimiento de II* Tomas Rabasco. dependiente de la Rei} cocina del Sermo. Sr. Infante D. Francisco de Paulas parante.en,el precís » fondo del libro, y se ven juntos todos los documentos que ha sembrado en él con termino de 20 días acodan por si ó por apoderado a deducirle en la audiencia de «ficho algún desorden el acusador, se ve que el juicio reposa sobre bases sólidas, y Sr. juez j pues de lo contrario…</t>
  </si>
  <si>
    <t>de Paulas, Infante D Francisco</t>
  </si>
  <si>
    <t>Infante D Francisco de Paulas</t>
  </si>
  <si>
    <t>…personas que se crean .con dere te. Esta impresión no’es sin duda más que superficial7, y cuando.se penetra en el cho 9 los bienes que han quedado ‘por fallecimiento de II* Tomas Rabasco. dependiente de la Rei} cocina del Sermo. Sr. Infante D. Francisco de Paulas parante.en,el precís » fondo del libro, y se ven juntos todos los documentos que ha sembrado en él con termino de 20 días acodan por si ó por apoderado a deducirle en la audiencia de «ficho algún desorden el acusador, se ve que el juicio reposa sobre bases sólidas, y Sr. juez j pues de lo contrario…</t>
  </si>
  <si>
    <t>de Paz, Bartolomé Orriz</t>
  </si>
  <si>
    <t>Bartolomé Orriz de Paz</t>
  </si>
  <si>
    <t>…rovidencia del Sr. de Norzagáray, teniente de corregidor de esta villa, se ha 'PROVINCIA DB TBRUEl. señalado el día 28 d*1 actual k las 9 de la mañana para celebrar en su casa fub&gt;rácion junta general'de acreedores aL concurso de D. Bartolomé .Orriz de Paz*, que se signe en El día 17 del actual se padecía el cólera en l\6 pueblos de esta provincia», su jjzgado y escribanía del número^de,^anz y Barea. Lo que se hace nctorío a los in teresados para su asistencia, prev^nid^s qpede no hacerlo les parará perjuicio. en los á,í disminuía notablemente el núm…</t>
  </si>
  <si>
    <t>de Paz, Bartolomé Ortiz</t>
  </si>
  <si>
    <t>Bartolomé Ortiz de Paz</t>
  </si>
  <si>
    <t>…rigirán sus solicitudes, francas de portéi al presidente del ayuntamiento dentro del ter mino de 15 dias. c. Recibió muchas veces este discurso señales nada equívocas de aprobación. -—Se hace saber á los acreedores al concurso de D. Bartolomé Ortiz de Paz^ que no Se levantó la sesión á las seis y cuarto. se hayan presentado a liquidar sus créditos, que conforme á lo resuelto en la ultima Mañana á las doce, reunión en las oficinas; á la una, sesión pública en junta general, se ha mandado por providencia del Sr. de Norzagaray, teniente de cor que cont…</t>
  </si>
  <si>
    <t>de Paz, Nicolás</t>
  </si>
  <si>
    <t>Nicolás de Paz</t>
  </si>
  <si>
    <t>…armas y otro* ron las primeras tropas que acudieron bajo el fuego del enemigo: el teniente efectos, sin que las forzadas marchas de estas incansables tropas fueran suficien JX Ignacio Puñet, y los alféreces D, Victoriano Edigcr y D. Nicolás de Paz, tes para darles alcance: pues sin el menor descanso y á pesar de su estado de que pasando por entre los rebeldes con la 6.a compañía y la de cazadores del plorable, particulaimeme de calzado, huían precipitadamente aprovechándose batallón de Soria , marcharon á reforzar las que tan heróicamenle so…</t>
  </si>
  <si>
    <t>de Pazos, Ramón Manuel</t>
  </si>
  <si>
    <t>Ramón Manuel de Pazos</t>
  </si>
  <si>
    <t>…a de Cuenca. bre? del Sf. Agustín Periex. La Cámara acuerda que se imprima. Esta á D. Fernando de Rojas, que tenia á su cargo la de Santander. Y esta á Principia la discusión de la propuesta que acerca de los efectos del divorcio D. Ramón Manuel de Pazos, que ha sido nombrado para la de Cartagena; la ha hecho-el Sr. Boyer: en apoyo de su proposición dice este entre otras, cosas, cual queda suprimida. Por otro Real decreto de la misma fecha ha tenido á ,que cp el La establece el principio de que no se presuma legítimo el hijo que bien nombrar intend…</t>
  </si>
  <si>
    <t>de Pcdraja, D Juan Gómez</t>
  </si>
  <si>
    <t>D Juan Gómez de Pcdraja</t>
  </si>
  <si>
    <t>…l Rey , ó los Ministros en su nombre, y los nombramientos los dan no solo de sus rentas, debían aprobarse. Asi se acordó. estos, sino también hasta los gefes de las oficinas de diferentes ramos. Prestó juramento y tomó asiento el Sr. D. Juan Gómez de Pcdraja , Pro » Asi es que aunque el fondo de la petición es el mismo, se amplía desde curador por la provincia de Córdoba. un corto número de personas ámuchísimas mas, lo que igualmente resultará Se procedió á la discusión señalada para hoy de la petición relativa á re en los sueldos. Por lo tanto creo qu…</t>
  </si>
  <si>
    <t>de Pcdraja, Juan Gómez</t>
  </si>
  <si>
    <t>Juan Gómez de Pcdraja</t>
  </si>
  <si>
    <t>…y , ó los Ministros en su nombre, y los nombramientos los dan no solo de sus rentas, debían aprobarse. Asi se acordó. estos, sino también hasta los gefes de las oficinas de diferentes ramos. Prestó juramento y tomó asiento el Sr. D. Juan Gómez de Pcdraja , Pro » Asi es que aunque el fondo de la petición es el mismo, se amplía desde curador por la provincia de Córdoba. un corto número de personas ámuchísimas mas, lo que igualmente resultará Se procedió á la discusión señalada para hoy de la petición relativa á re en los sueldos. Por lo tanto creo qu…</t>
  </si>
  <si>
    <t>de Pedraja, D José María López</t>
  </si>
  <si>
    <t>D José María López de Pedraja</t>
  </si>
  <si>
    <t>…corriente á las diez de su mañana, en la cual se leería la memoria de S. E. Procurador, y que mantiene á su familia. ql Sr. Ministro de Gracia y Justicia, y cerró la de este dia. La comisión de poderes hallando arreglados los del Sr. D. José María López de Pedraja, electo Procurador por la provincia de Córdoba, como asi Nota. En la sesión del dia 13 se dijo equivocadamente que el Sr. conde González Castejon había sido nombrado para la comisión del interior: debe entenderse que lo mismo los documentos que los acompañaban, opinaba debían aprobarse. Asi fue par…</t>
  </si>
  <si>
    <t>de Pedraja, José María López</t>
  </si>
  <si>
    <t>José María López de Pedraja</t>
  </si>
  <si>
    <t>…iente á las diez de su mañana, en la cual se leería la memoria de S. E. Procurador, y que mantiene á su familia. ql Sr. Ministro de Gracia y Justicia, y cerró la de este dia. La comisión de poderes hallando arreglados los del Sr. D. José María López de Pedraja, electo Procurador por la provincia de Córdoba, como asi Nota. En la sesión del dia 13 se dijo equivocadamente que el Sr. conde González Castejon había sido nombrado para la comisión del interior: debe entenderse que lo mismo los documentos que los acompañaban, opinaba debían aprobarse. Asi fue par…</t>
  </si>
  <si>
    <t>de Pedralbes, D Josef Francisco Beodrell</t>
  </si>
  <si>
    <t>D Josef Francisco Beodrell de Pedralbes</t>
  </si>
  <si>
    <t>…libro al j por loo, oo. ------La Emulación y discurso Inaugural que en la instalación pública de la Real aca BtCbaS Id. al 4 p. 100, 00. demia de medicina y cirugía para Galicia y Astúrias pronunció el día 19 de Julio de 1833 el Sr. D. Josef Francisco Beodrell de Pedralbes, médico de Cámara honorario de S. M.: un cuaderno en 4.° $e hallará á 5 rs. eo rústica en Madrid en la librería de Calleja: en la Corulla en 1a de Calvete: Barcelonay Piferrer: Valencia, Cabrerizo: Zaragoza, Polo; y en Cádiz en la de Hortal y compafiía. ,. . -Cartas de favor eú nombre de María Sant…</t>
  </si>
  <si>
    <t>de Pedralbes, Josef Francisco Beodrell</t>
  </si>
  <si>
    <t>Josef Francisco Beodrell de Pedralbes</t>
  </si>
  <si>
    <t>…ro al j por loo, oo. ------La Emulación y discurso Inaugural que en la instalación pública de la Real aca BtCbaS Id. al 4 p. 100, 00. demia de medicina y cirugía para Galicia y Astúrias pronunció el día 19 de Julio de 1833 el Sr. D. Josef Francisco Beodrell de Pedralbes, médico de Cámara honorario de S. M.: un cuaderno en 4.° $e hallará á 5 rs. eo rústica en Madrid en la librería de Calleja: en la Corulla en 1a de Calvete: Barcelonay Piferrer: Valencia, Cabrerizo: Zaragoza, Polo; y en Cádiz en la de Hortal y compafiía. ,. . -Cartas de favor eú nombre de María Sant…</t>
  </si>
  <si>
    <t>de Pedro, Serapio</t>
  </si>
  <si>
    <t>Serapio de Pedro</t>
  </si>
  <si>
    <t>…por los so'd^dos poco inteligentes; cuyos cabos y sar* de S. M., y por los bien dirigidos tiros de la artillería, que á las órdenes del gentos son la imagen de la mas alta des’dia , hi padecido un extraordinario lenicnte del arma D. Serapio de Pedro, y del subteniente de la misma D. José detrimento, quedando en su miyr r parte reducido á la inutilidad. Lasala , rompió su fuego á metralla contra Us masas atacantes arrojando algu Cuando males tan grandes nos amenazan y nrs cercan es preciso dícfaf nas granadas , se puso aquel en vergonzosa fuga…</t>
  </si>
  <si>
    <t>de Peña, Juan López</t>
  </si>
  <si>
    <t>Juan López de Peña</t>
  </si>
  <si>
    <t>…. MM Un cuaderno en folio, edición de 1788, áS4rs. rústica,1 —Descripción de las máquinas de mas general utilidad que hay ea el Real gabinete de ellas, establecido en el Buen Retiro, hecha de orden de S. M. en el año de 1798* por D. Juan López de Peña!ver. Son cuatro cuadernos en folio que se dan sueltos en ll ESTADO SANITARIO DEL REINO. forma siguiente.—Número !.• peseripcion de la prensa hidráulica del Sr. Brapiaclt. Contiene una estampa que Ja representa, con su explicación y algunas reBexlonea .4. &gt; . novmciA va alicaxtb. sobre su uso y apli…</t>
  </si>
  <si>
    <t>de Peñafiel, Estanislao</t>
  </si>
  <si>
    <t>Estanislao de Peñafiel</t>
  </si>
  <si>
    <t>…ente Gobernadora y la Serma. Sra. Infanta Doña María Luisa, continúan González Arnao, del consejo Real; á D. Rafael Cabanillas, inspec sin novedad en su importante salud en el Real sitio del Pardo. tor general primero del ramo; á D. Estanislao de Peñafiel; á Don Juan Montoto, contador de la dirección general, y á los inspectores de distrito D. Guillermo Schulz y D. Lorenzo Gómez Pardo; man dando que se remitan á ella por V. S. los expedientes, informes y MINISTERIO DE HACIENDA. demas antecedentes que convengan para el desempeño de su encargo. De Rea…</t>
  </si>
  <si>
    <t>de Perales, Agustín</t>
  </si>
  <si>
    <t>Agustín de Perales</t>
  </si>
  <si>
    <t>…rtin superintendente ción de Procuradores £ ellas, y haciéndoles varias prevenciones con este mo : general de policía del reino, con retención de la capitanía general de Casti tivo. (Id) lla la Nueva. (Núm. 830 ____ Concediendo á D. Agustín de Perales la gran cruz americana de Isabel Real órden señalando día para la apertura solemne de la* Córtes generales del la católica. (Id.) ' reino, y mandando que para dicha ¿poca se hallen convenientemente pre Real decreto mandando que D. Guillermo Moragues continúe en el gobierno parado* los edificios en - q…</t>
  </si>
  <si>
    <t>de Perales, Agustin</t>
  </si>
  <si>
    <t>Agustin de Perales</t>
  </si>
  <si>
    <t>…por separado, y se determinó que después de sellado se guardase sepa Teniendo S. M. la Retwa Gobernadora en consideración los mé radamente. Después de la lectura del protocolo se levantó la sesión. (D. de los ritos y servicios de D. Agustin de Perales, intendente general de Debutes.'} Marina é individuo de la sección de este ramo en el Consejo Real de España é Indias'; ha venido en concederle en nombre de su au INGLATERRA. gusta Hija la Reina nuestra Señora , la gran cruz americana de Isa LSnires 10 di Mayo. bel la Católica. se que está enterame…</t>
  </si>
  <si>
    <t>de Perra, D Francisco Javier</t>
  </si>
  <si>
    <t>D Francisco Javier de Perra</t>
  </si>
  <si>
    <t>…justificativos _ «flnnirayétsdnme iviu ulii ( y lio considerando nece de la aptitud legal de dichos sefiores. sarias ni la porción de cuestiones que se han indicado en ia discusión anterior, A la misma se pasó una exposición del Sr. D. Francisco Javier de Perra- ni tampoco la historia de los méritos, limitándome por tamo á la convenien— raon, Procurador electo por la provincia de Gerona, solicitando su exonera cía pública, voy á hacer algunasreflexion.es sobre el artículo de que se tx^üa. ción, fundado en su falta de salud, y en la necesidad que tiene de p…</t>
  </si>
  <si>
    <t>de Perra, Francisco Javier</t>
  </si>
  <si>
    <t>Francisco Javier de Perra</t>
  </si>
  <si>
    <t>…tificativos _ «flnnirayétsdnme iviu ulii ( y lio considerando nece de la aptitud legal de dichos sefiores. sarias ni la porción de cuestiones que se han indicado en ia discusión anterior, A la misma se pasó una exposición del Sr. D. Francisco Javier de Perra- ni tampoco la historia de los méritos, limitándome por tamo á la convenien— raon, Procurador electo por la provincia de Gerona, solicitando su exonera cía pública, voy á hacer algunasreflexion.es sobre el artículo de que se tx^üa. ción, fundado en su falta de salud, y en la necesidad que tiene de p…</t>
  </si>
  <si>
    <t>de Perramon, D Francisco</t>
  </si>
  <si>
    <t>D Francisco de Perramon</t>
  </si>
  <si>
    <t>…a pro ne i lo menos en el que incurra, en ella un hombre indiferente al servicio. vincia de Gerona, qué ha recaído en D. José de Fontemberta en ¡reemplazo '?Pór otra parte, ra atención á. la disciplina que siempre el Gohierpo del Sr. D. Francisco de Perramon. cree indispensable conservar, ha considerado necesario dar al presidente una au Se mandaron repartir y archivar las restantes copias de la ley por la cual toridad mayót , y que nunca puede tener graves resultados; pues como los ca Ise declara abolido el voto de Santiago, que remitió el Sr. Secretar…</t>
  </si>
  <si>
    <t>de Perramon, Francisco</t>
  </si>
  <si>
    <t>Francisco de Perramon</t>
  </si>
  <si>
    <t>…o ne i lo menos en el que incurra, en ella un hombre indiferente al servicio. vincia de Gerona, qué ha recaído en D. José de Fontemberta en ¡reemplazo '?Pór otra parte, ra atención á. la disciplina que siempre el Gohierpo del Sr. D. Francisco de Perramon. cree indispensable conservar, ha considerado necesario dar al presidente una au Se mandaron repartir y archivar las restantes copias de la ley por la cual toridad mayót , y que nunca puede tener graves resultados; pues como los ca Ise declara abolido el voto de Santiago, que remitió el Sr. Secretar…</t>
  </si>
  <si>
    <t>de Pineda, Martin</t>
  </si>
  <si>
    <t>Martin de Pineda</t>
  </si>
  <si>
    <t>…¿Hubo en el mundo espectáculo de mayor desolación que el que se vió en el Extracto del parte remitido por el gobernador civil de la provincia de Ba entierro del general Lamarque? El pueblo no ha podido menos de acordarse al dajoz D. Martin de Pineda con fecha de 17 de Mayo último. pasar por las mismas callesacompañando el cadáver de Lafayette , de lo que Se ha valido de cuantos medios ofrece el arte y las circunstancias particu sucedió entonces: aquí, se decían unos á otros, empezaron los gritos en toda su lares de los pueblos para destruir la…</t>
  </si>
  <si>
    <t>de Poqs, Ignacio</t>
  </si>
  <si>
    <t>Ignacio de Poqs</t>
  </si>
  <si>
    <t>…Cbte e&gt; e! punto en cues* elpcto Procurador por la provincia de Gerona , D. Ramón de Ciscar, que lo tion. El Sr. Ministro de Hacienda ha dicho que cómo han de tener los extranes por la provincia de Lérida, y D- Onorato de Puig,y D. Ignacio de Poqs geros noticias de los decretos de las Cortes; y yo pregunto: ¿que noticias te y Barba, que lo son por la de Barcelona. nemos nosotros de los decretos que autorizan el empréstito: Esto depende de La comisión de Poderes dió cuenta de haber examinado los de D. Joa documentos autógrafos, en alguno de l…</t>
  </si>
  <si>
    <t>de Portugal, D Manuel</t>
  </si>
  <si>
    <t>D Manuel de Portugal</t>
  </si>
  <si>
    <t>…a; bito ó costumbre nacional, establecida siglos antes entre los españoles. muere también su hijo, aquel Príncipe EK Miguel, hijo de una Infanta de «Pocos años después del Espéculo y del Futro Real, en cuyos dos có Castilla y del Rey D. Manuel de Portugal .k..¡ Cuántas «peíanlas arrebató 4 la digos se halla establecido el derecho de las hembras al trono , se compusieron nación; y cuál otra hubiera sido su suerte l las Partidas; monumento eterno del sabio Alfonso , y obra lá mas perfecta de «Después de tantas pérdidas y desgracias ocurridas en. poco…</t>
  </si>
  <si>
    <t>DE PORTUGAL, EN GEFE DEL EJERCITO</t>
  </si>
  <si>
    <t>EN GEFE DEL EJERCITO DE PORTUGAL</t>
  </si>
  <si>
    <t>…atajar ñores Infantes. en su origen este fecundo germen de males, tamo mas nocivo y j&gt;erjudicial, cuanto que se presenta con la seductora apariencia del bien público; se lia servido mandar que no Se extraigan sin expresa Real At GENERAL EN GEFE DEL EJERCITO DE PORTUGAL. orden de las respectivas escribanías de los tribunales superiores é El ejército de operaciones de Portugal, que había llamado viva inferiores ordinarios ó privilegiados procesos ya fenecidos, y que se mente la aténcioD de S.'M. la Reina Gobernadora cuando seguía devuelvan los que sin ella se hubies…</t>
  </si>
  <si>
    <t>de Portugal, Manuel</t>
  </si>
  <si>
    <t>Manuel de Portugal</t>
  </si>
  <si>
    <t>…ito ó costumbre nacional, establecida siglos antes entre los españoles. muere también su hijo, aquel Príncipe EK Miguel, hijo de una Infanta de «Pocos años después del Espéculo y del Futro Real, en cuyos dos có Castilla y del Rey D. Manuel de Portugal .k..¡ Cuántas «peíanlas arrebató 4 la digos se halla establecido el derecho de las hembras al trono , se compusieron nación; y cuál otra hubiera sido su suerte l las Partidas; monumento eterno del sabio Alfonso , y obra lá mas perfecta de «Después de tantas pérdidas y desgracias ocurridas en. poco…</t>
  </si>
  <si>
    <t>de Portugal, Miguel</t>
  </si>
  <si>
    <t>Miguel de Portugal</t>
  </si>
  <si>
    <t>…na de España-, y deseosas SS. MM. al mismo tiempo del sello. &lt;* la paífcnJtd|¡orB y que rMÚ effic fimfeslfesíado,,, hir/ i naido rcuaír^,. iu5 fuerzas con el objeto de compeler aT infame D. Cárh5^'de"3Esf&gt;afia, y al ' 5.° infante D. Miguel de Portugal, 4 retirarse de los dominios portugueses. ‘7^NÚMERO En consecuencia, pues, de estos convenios, S$. MM. Regentes se han di rigido á SS. MM. el Rey de los franceses y al Rey del reino' unido de la Copias ríe las-instrucciones circuladas con fecha ii de Febre Gran Bretaña é Irlanda; y SS. MM., conside…</t>
  </si>
  <si>
    <t>…ha querido dar á entender; no ha faltado en tes ejemplos tenemos de lo contrario con la república mejicana, harto mas cada al decoro y dignidad de ia Nación; lo que sí ha hecho son reconvencio atrasada que nosotros, con el mismo D. Miguel de Portugal y otros muchos; nes amistosas y gestiones eficaces en favor de sus súbditos , como yo mismo ha pero siempre habrá una gran diferencia en las condiciones de este mismo prés ría si fuese necesario en favor de los españoles- No lo mira como asunto de tamo según nuestra conducta , pues en lugar de obtcue…</t>
  </si>
  <si>
    <t>…neroso que los hubiese perdonado. señor, no rompen las cadenas cuando quieren , sino cuando pueden, y ia prue » En el alzamiento de 1820, cuando ei ínclito Riego p*só por Medina, ba de ello es la suerte de Cirios x de Francia, de D. Miguel de Portugal y pueblo eminentemente patriota, en el convite con que se celebró su ¡legada, del Infante D. Carlos entre nosotros. su brindis fue, todos lo saben, Brindo por la indiferente Medina , tal era la » Eít cierto modo se nos-ha amenazado con los extrangeros si no aprobá Oposición, el terror que aquel caudi…</t>
  </si>
  <si>
    <t>de Portuondo, D José Antonio</t>
  </si>
  <si>
    <t>D José Antonio de Portuondo</t>
  </si>
  <si>
    <t>…de Julio de 1828; se ha dignado en su consecuencia mandar S. M. , de conformidad con lo informado por di Exposición al Sr. Rey D. Femando vji (Q. E. E. G.) cho supremo tribunal en acordadas de 19 de Ago-to y 20 de Enero últimos, Señor : D. José Antonio de Portuondo, conde de Sta. Inés, caba.íero co que siendo los premios de constancia una adquisición tan justa y piivilegiada, mendador de la Real orden americana de Isabel la Católica , i L. R. P Cpuyo abono está mandado hacer desde el día siguiente a! en que cumplen los V. M. humildemente dice: Que en cumplimi…</t>
  </si>
  <si>
    <t>de Portuondo, José Antonio</t>
  </si>
  <si>
    <t>José Antonio de Portuondo</t>
  </si>
  <si>
    <t>…o de 1828; se ha dignado en su consecuencia mandar S. M. , de conformidad con lo informado por di Exposición al Sr. Rey D. Femando vji (Q. E. E. G.) cho supremo tribunal en acordadas de 19 de Ago-to y 20 de Enero últimos, Señor : D. José Antonio de Portuondo, conde de Sta. Inés, caba.íero co que siendo los premios de constancia una adquisición tan justa y piivilegiada, mendador de la Real orden americana de Isabel la Católica , i L. R. P Cpuyo abono está mandado hacer desde el día siguiente a! en que cumplen los V. M. humildemente dice: Que en cumplimi…</t>
  </si>
  <si>
    <t>de Pottugal, Miguel</t>
  </si>
  <si>
    <t>Miguel de Pottugal</t>
  </si>
  <si>
    <t>…tantes, con el objeto de cooperar con las de S. M. Fidelísima, á hn de amor á sus Reyes, que consagran como por instinto á los hijos de sus Mo hacer retirar de los dominios portugueses á los infantes D. Cirios de España y narcas. D. Miguel de Pottugal; obligándose ademas S. M. ia Reina Gobernadora, Para cumplir con una formalidad y requisito, respetable también por sa Regente de España, á mantener por cuenta de la España, y sin gasto alguno antigüedad , y no menos provechoso para afirmar la cadena de la sucesión al del Portugal , las tropas espa…</t>
  </si>
  <si>
    <t>de Pozoblanco, Juan Antonio Corregidor</t>
  </si>
  <si>
    <t>Juan Antonio Corregidor de Pozoblanco</t>
  </si>
  <si>
    <t>…as de una cosecha regular Obras qut sr hallan Jt venta en el despacho de t&lt;? imprenta PeaL ha sufrido una,horrible tempestad; cuyos daños, según me ha manifestado el Descripción histórica del Real bosque y casa de. Aran juez, por D. Juan Antonio Corregidor de Pozoblanco, se alculan en mas de un millón de rs.; he preveni Alrarcz i^e Quindoi y Baena. Un romo en 4*¿ c&lt;Jn el retrato ifel Sr. D. Carlos tv, efido i dicho funcionario me remíta el expediente justificativo de las perdidas, ciondivididade I80i,en cincoá 22 partes,rs ruina,se 2+da enunarusticaextensay 30noti…</t>
  </si>
  <si>
    <t>de Prado, Rodrigo</t>
  </si>
  <si>
    <t>Rodrigo de Prado</t>
  </si>
  <si>
    <t>…acción de dar a V. E. conocimiento en mi parte anterior, Memorias genealógicas de los caballeros Prados, de Cuenca, y fundación y no cesarán los trabajos hasta la conclusión de las reformas y variaciones pro de mayorazgo que hizo D. Rodrigo de Prado, Hurtado de Mendoza ^com- yectadas en sus departamentos. La ventilación, holgura y salubridad serán los prend endo las villas de Torrecilla y Zarzuela. resultados de esta obra; pediendo asegurar á V. E. que no siendo po ibie alte Varias memorias y capellanías fundadas en Getafe por diferentes inter…</t>
  </si>
  <si>
    <t>de Prat, Juan</t>
  </si>
  <si>
    <t>Juan de Prat</t>
  </si>
  <si>
    <t>…sabido que el general en gefe se ha cimícfitor- llaba en Bastan» -**----- - ' — • Dios guarde á V. E muchos años. Bayona 9 de Agosto de 1834* = Ex Hoy se Ine han presentado para acogerse al asilo de Aragón 4 mozos del celentísimo Sr. = Juan de Prat.= Excmo. Sr. primer Secretario de Estado y partido de Aoiz, que habiendo marchado á llamamiento general por no com-» del Despacho. prometer sus casas, han desertado del pueblo de Hurguete: por ellos he sabido que en aquel punto se hallaban reunidos 800 mozos a las órdenes de Sarasa, y Papeleta a que…</t>
  </si>
  <si>
    <t>de Prnsia, Réal</t>
  </si>
  <si>
    <t>Réal de Prnsia</t>
  </si>
  <si>
    <t>…n-r diencias respectiyas^ patia la . ultej-iorsustanciacion y consiguiente * ■ r ' imiA. ,. ;- f^lla.; en.gl eual.se^Ktyglaráa le» .jqeae»á Ips Reales decretos vigen- Pcteriburgo 25 de Junio. v&gt;í iv.n ... '■ Rl FríocspeiReal y fa Princesa Réal de Prnsia haé flegatfo liny é Prfrthof &gt;, '3f,,bL*4 caiwtS'^éntjWSVamente.oeurnut sobre delito» de que co- i la úna del ¿a en el -mejor estado de salud, y después*dé un viage de’ losmaé OOciSuUs.i ndicadéa «omisiones, sé; instruirán por Ion alcaldes ó cor felices. (G. de Matado de Prueia.) regidora* leteXdos…</t>
  </si>
  <si>
    <t>de Procura, El Estamento</t>
  </si>
  <si>
    <t>El Estamento de Procura</t>
  </si>
  <si>
    <t>…orme al reglamento, ria que nos ilustre acerca de su origen; y en tanto seria objeto de una ley en y cuvo dictamen era que pod a dócutmé en público. cuanto fuese una prestación ó imposición personal la que tratamos de extinguir-, Señora: El Estamento de Procura lores del reino cree de su deber acu pero esto no lo sabemos nosotros. Se nos dice «que los labradores del campo dir á V. M. expon-endo U necesidad d: que el reg’amenro interior del Esta de Montiel pagan dicha prestación.” Esla podrá ser algún censo enfitéutíco mento se someta a su deliberación por…</t>
  </si>
  <si>
    <t>de Procuradores, El Estamento</t>
  </si>
  <si>
    <t>El Estamento de Procuradores</t>
  </si>
  <si>
    <t>…de S. Af., /f* 1j Nación.” t ¿un ha sido Aprobada en las dos últimas sesiones. Sr. Florez Estrada'. «He oído con mucha satisfacción al Sr. Secretario de E-.t^do que el Gobierno se ocupa en la cuestión de América , y me congra 1.° Señora: El Estamento de Procuradores del reine ha experimentado tulo con él por esto ; pero mi intención no fue mas que al tratarse de asuntos el mayor placer al ver á V. M. en el seno de las Cortes el día de la apertura, interesantes y urgentes se hiciese mención, asi de esta cuestión como del arre y mas al oír de vuestra boca principios…</t>
  </si>
  <si>
    <t>…a á proceden á la discusión por artículos, y leído el sobrejtxtincion de las hermandades santa. Real y vieja, que leyó, y cuyo te primero, dijo nor es como sigue : El Sr. Mcdrano. «Voy ha hacer una ligera observación en cuanto al Señora: «El Estamento de Procuradores del reino , cuyo objeto es'-mirar ejército. Todos sabemos que en tiempo de Felipe v un general francés vino por el bienestar y felicidad de sus comitentes, y relevarlos de las pesadas car por conveniencia de España á mandar los ejércitos españoles: sabemos también gas que sin su provecho están sufriend…</t>
  </si>
  <si>
    <t>…ción llándola conforme, se sirva elevarla á conocimiento de S. M. la Reiha Go que soló gravita sobre una provincia, y cuyo gravamen es injusto. bernadora. - »Después que el inmortal Plgnatelli, bajo los auspicios de Cárlos ni, to Señora: ..El Estamento de Procuradores del reino lleno de la confianza mó á su cargo la acequia de riego, é hizo canal de navegación el imperial, que le inspira el deseo constante de V. M. por el alivio de sus pueblos, se lle con la mira de que siete provincias de la Península fuesen beneficiadas por tan ga hoy á exponer respetuosamente á V…</t>
  </si>
  <si>
    <t>…én por‘la negativas ■ . Se presentó la siguiente petición, suscrita por varios Sres. Procuradores dó asi. El Sr. Acevedo manifestó que estando señalado el jueves para la discusión relativa á revisión del reglamento por las Córtes Señora : El Estamento de Procuradores del reino cree de su deber acudir de la petición sobre el Voto de Santiago, y presentándose hoy por el Gobierno á V. M. exponiendo la necesidad-dé que el reglamento interior, del Estamento un proyecto sobre el mismo asunto ,-seria menester alterar esta resolución. Sr. Secretario del Despacho de Estado-…</t>
  </si>
  <si>
    <t>…onforme, ríos; y nos hallariamos privados de una parte considerable de nuestros recur Ge sirva elevarla á conccimiento de S. la Reina Gobernadora. sos. Es preciso también observar que el terreno donde se exige esta imposición, ^ -Señora: El Estamento de Procuradores del reino, conociéndo la existencia aunque fuese mar gravosa que las parecidas de otros punto», proviene de fincas 1 de algunos envejecidos males que sin ofrecer utilidad al tesoro público están qtfe de tiempo antiguo se adquirieron con este gravámen; y que él quitarlo aho sirviendo únicamente como de…</t>
  </si>
  <si>
    <t>…y de ayuntamientos. modo uniforme; pero con solo pensar en reducir el proyecto á la práctica, se Se leyó dicha petición, cuyo tenor es el siguiente: le han presentado á la vista mil inconvenientes y1 dificultades. Cuando se trata Señora: «El Estamento de Procuradores del reino , penetrado deja impor de plantear una institución en todos los pueblos de la monarquíaal menos tancia de los ayuntamientos, se dirige á V. M. con esta petición, á fin de que en los pueblos que tengan cierto número de vecinos; una institución que pueda estas corporaciones se organicen y const…</t>
  </si>
  <si>
    <t>…á petición. sas particulares. Cuando se trato de la de las Cabrillas, el erario no podia aten En seguida se leyó la 2.% concebida en estos términos: der á su coste, y Jos capitalistas no estaban tan mal con sus intereses qué los «Señora : El Estamento de Procuradores del reino, penetrado del estado quisieran exponer, puesto que por el poco tráfico que debía tener esta carretera no de aflicción en que V. M. se halla al ver los males que aquejan al reino y fie podría dar al año el ínteres del 3 por 100: en esta disposición tuvo él Gobierno les súbditos de la excelsa…</t>
  </si>
  <si>
    <t>de Procuradores, Presidente del Estamento</t>
  </si>
  <si>
    <t>Presidente del Estamento de Procuradores</t>
  </si>
  <si>
    <t>…uradores, para que vean de qué manera puede ponerse en practica la Falces.=Tclesforo de Trueba Cosío.=Alberto de Valdric, secretario.:=ExceIen- elección de los individuos de ayuntamientos en aquellas provincias, ó en otras tísimo Sr. Presidente del Estamento de Procuradores del reino.” que se hallen en una situación semejante. ' Concluida la lectura de este dictamen, y no habiéndose pedido por nin «He hecho esta manifestación, para que el Estamento se penetre,de que gún Sr. Procurador la palabra en pro ni en contra de él, se procedió á $u vo no por tibieza ni por falta de…</t>
  </si>
  <si>
    <t>de Procuradores, Presidente El Estamento</t>
  </si>
  <si>
    <t>Presidente El Estamento de Procuradores</t>
  </si>
  <si>
    <t>…María Isidro y provincias de Valencia , Castellón y Alicante nos habíamos propuesto que se su descendencia de la sucesión á la corona.” (Lo levó). sustituyese otra contribución á la de que habla dicha exposición; pero como se El Sr. Presidente-. "El Estamento de Procuradores ha oido con la vene trata de uno de los puntos mareados por el Sstanno R eai , es necesario que ración que debe la augusta resolücioude S. M. Va á procederse i la disensión esjo se verifique por medio de una petición, y por tanto quedamos convenidos de las peticiones sobre validación de las ventas…</t>
  </si>
  <si>
    <t>de Procuradoro, El Estamento</t>
  </si>
  <si>
    <t>El Estamento de Procuradoro</t>
  </si>
  <si>
    <t>…r de presentarlo.cn Ma cunstancia de exigirse que los canónigos de dichas iglesias, para tener el dere drid 4 de Octubre de 1834-= El conde de Toreno.cho de opcion , hubiesen perdido una tercera parte del valor de sus prebendas;, Señora : El Estamento de Procuradoro del reino , previas todas las for pues no habiéndose puesto esta limitación respecto á los canónigos de Santiago malidad» prescritas en el reglamento para su régimen y gobierno interior, en el art. 5.°, vendría á resultar que se baria mas dura la condición de los que ha tomado en consideración el proye…</t>
  </si>
  <si>
    <t>de Provincia, Nico las Capitales</t>
  </si>
  <si>
    <t>Nico las Capitales de Provincia</t>
  </si>
  <si>
    <t>…por los Secretarios Je los Ayuntamientos. entendido, y lo comunicareis á quien corresponda. = Está rubricado 31 Estos asistirán en cuerpo á Jieha promulgación, prcsiJiJos en de la Real mano. = En Aranjuezá 2U de Mayo de 18-54.=A D. Nico las Capitales de Provincia por los Gobernadores civiles, con arreglo lás María Garelly. á lo prevenido en Real orden de lí del actual. 41 Ixis mismos Celes remitirán sin pérdida de tienq&gt;o un ejem Para formar la dotación de ministros de la Real audiencia Je plar del Estatuto Rfal, de la Convocatoria V del Real decreto de" As…</t>
  </si>
  <si>
    <t>de Prusia, Alejandro El Rey</t>
  </si>
  <si>
    <t>Alejandro El Rey de Prusia</t>
  </si>
  <si>
    <t>…l participa en oficio de 10 del corriente que en aquella Petersburgo, con el objeto de asistir á la inauguración del monumento erigido capital y su provincia se disfrutaba de buena salud, excepto en la villa de las «a memoria del Emperador Alejandro. El Rey de Prusia ha respondido á este Navas del Marques, en donde fueron atacadas el dia 7 del mismo mes IDO, convite con una carta que publica el Corresponsal de Hamburgo. El Monarca personas; y perecieron 2. prusiano, después de expresar cuánto siente que algunos obstáculos insuperables La impidan trasladarse á R…</t>
  </si>
  <si>
    <t>de Prusia, Güiliento</t>
  </si>
  <si>
    <t>Güiliento de Prusia</t>
  </si>
  <si>
    <t>…tanas, balcones y calles para vcric , habien Petersburgo 10 de Setiembre. do hido recibido por las autorídadev 3 lis puerta'' de la ciudad. Lord Grev no pudo menos de conmovewe profundamente por tan singulares muestras de afec El Príncipe Güiliento de Prusia y el Príncipe Paskewitch han llegado to, y pov las aclamaciones de gratitud y repelo con que era saludado, tale* á esta ciudad que quiza nunca se habían visto en la capital de E'o.fs.ia. Llegada la hora de la comida, en que se juntaron mas de 22 personas, el El ayudante de campo general Príncipe de L…</t>
  </si>
  <si>
    <t>de Puente, Quesada</t>
  </si>
  <si>
    <t>Quesada de Puente</t>
  </si>
  <si>
    <t>…sin perder un solo soldado por mi de Estado y del Despacho de la Guerra. parte , á pesar de que los valientes celadores se mezclaron con los enemigos. Estos merecen premio, Excmo Sr., y principalmente El 10 por la mañana salió el general Quesada de Puente la el subteniente D. Juan Ignacio Artola. que los mandaba. También Reina para Tudela, en combinación con el brigadier Linares para merecen recomendación las seis compañías de S. Fernando. La me caer sobre la facción de Zumalacarregui. recen sus gefes y oficiales, y principalmente el comandante Don Jai…</t>
  </si>
  <si>
    <t>de Pug, D Pedro Ventura</t>
  </si>
  <si>
    <t>D Pedro Ventura de Pug</t>
  </si>
  <si>
    <t>…iritn3a~y 01íín¿üutu ~ i--,.-* -N le Sr. D. José Oltíí *. XH', ,&lt; r o,A-1 '¿3 . r‘ ■ i: '**■ ■4 &gt;t..' . ; ..fn. f&lt;¡ -u? : .raoywptesriwi oteparn a-w ....... -...'.iK-aa Escriban deOibnltat coniecha de 3? do Junio pr&amp;umope»doloi¡^ Sr. D. Pedro Ventura de Pug», por BMaimidnl dt fuiente: rat¡*/"fc-i--li *"* ¡S ' -- -&gt;^ " M* CK Manuel Mará Losttti.</t>
  </si>
  <si>
    <t>de Pug, Pedro Ventura</t>
  </si>
  <si>
    <t>Pedro Ventura de Pug</t>
  </si>
  <si>
    <t>…n3a~y 01íín¿üutu ~ i--,.-* -N le Sr. D. José Oltíí *. XH', ,&lt; r o,A-1 '¿3 . r‘ ■ i: '**■ ■4 &gt;t..' . ; ..fn. f&lt;¡ -u? : .raoywptesriwi oteparn a-w ....... -...'.iK-aa Escriban deOibnltat coniecha de 3? do Junio pr&amp;umope»doloi¡^ Sr. D. Pedro Ventura de Pug», por BMaimidnl dt fuiente: rat¡*/"fc-i--li *"* ¡S ' -- -&gt;^ " M* CK Manuel Mará Losttti.</t>
  </si>
  <si>
    <t>de Puig, D Honorato</t>
  </si>
  <si>
    <t>D Honorato de Puig</t>
  </si>
  <si>
    <t>…sus sentimientos de respeto y veneración nacía erras. les han impedido hacerlo. » El Gobierno deseando aliviar las cargas de ios pueblos, ha tratado de reformar en esta -.parte el gravamen que sufrían , al mismo tiempo que no "ha Sr. D. Honorato de Puig, electo por Barcelona, por &lt;1 cólera. podido desentenderse de la suerte de muchas personas que tenian librada susub- D. Joaquín Palaudarias, por id., id. sistencia en la percepción de aquel tributo, ;n¿ desque se arruinen varios esta— ’ D¡ RatiV7p €iscars posád., id. *, y blecimíentos de beneficenc…</t>
  </si>
  <si>
    <t>de Puig, Honorato</t>
  </si>
  <si>
    <t>Honorato de Puig</t>
  </si>
  <si>
    <t>…sentimientos de respeto y veneración nacía erras. les han impedido hacerlo. » El Gobierno deseando aliviar las cargas de ios pueblos, ha tratado de reformar en esta -.parte el gravamen que sufrían , al mismo tiempo que no "ha Sr. D. Honorato de Puig, electo por Barcelona, por &lt;1 cólera. podido desentenderse de la suerte de muchas personas que tenian librada susub- D. Joaquín Palaudarias, por id., id. sistencia en la percepción de aquel tributo, ;n¿ desque se arruinen varios esta— ’ D¡ RatiV7p €iscars posád., id. *, y blecimíentos de beneficenc…</t>
  </si>
  <si>
    <t>…zo por una alianzá que nacería ya fot- PIOVTVCIA OB BXtCKtOHA» mada de la misma semejanza de intereses y. amor á la libertad. „ Sr. D. Ramón de Cnscar. Se engáfialeí que croe que ti cuadrupla ajilara es un nombre vano; porque $r. D. Honorato de Puig. no solo nos asegura toda nuestra frontera del sudoeste, sino qué jdemas nos ha St. D. Joaquin de Palzodarits. ce esperar la cooperación de Inglaterra, ó á lo meóos su neutralidad; Siria pre Sr. D. José Ptindolit. ciso olvidar cuanto se parece un estado á ün hombre en sus pasiones buenas ó . ;Sr. Dt…</t>
  </si>
  <si>
    <t>de Puyra', Audry</t>
  </si>
  <si>
    <t>Audry de Puyra'</t>
  </si>
  <si>
    <t>…s que él ha tenidp para adherir á dicha de man seriamente la atención de vuestro gobierno, que teniendo á au disposi claración. ción la omnipotencia de la ley, está obligado á dispensarles en todo tiempo Sentando por principio el Sr. Audry de Puyra' eau que solo es diputado una protección constante y eficaz. Tiempo es ya de lanzar á los partidarios de •mientras asaste á la Cámara, está convencido de que fiera de ella puede discu la dinastía destronada de aquel ensangrentado campo de batalla en que tan ver tir y censurar las operaciones de un g…</t>
  </si>
  <si>
    <t>de Quesada, D Vicente Genaro</t>
  </si>
  <si>
    <t>D Vicente Genaro de Quesada</t>
  </si>
  <si>
    <t>…ireinato de Navarra v capitanía general de Guipúzcoa, que inte-j contra los recaudadores ó colectores de loterías extranjeras. (7*¿.) Unamente desempeñaba, se ha servido S. M. nombrar para Sucederle en dichos I mandos al teniente general D. Vicente Genaro de Quesada , marques de MonESPAÑA. cavo , que a U sazón se haló en Logroño, y confiar interinamente la capitanía] Sta. Cruz Je Santiago Je Tenerife (RUs Canarias) 31 de Diciembre de 1833. general de Castilla la Yieji al referido general Valdés', á fin de proporcionarle a el restablecimiento de su salud , v en…</t>
  </si>
  <si>
    <t>de Quesada, Francisco José</t>
  </si>
  <si>
    <t>Francisco José de Quesada</t>
  </si>
  <si>
    <t>…verificó el solemne Tí Drum , que en acción de gracias se hizo, suplió del infotúie«Tcn¿$i$general.la. bondad también el costo de la descarga, y enseguida se dirigió en unión del licenciado Sr. prefpqip dje Vuestro departamento. D. Francisco José de Quesada , el señor alcalde de la santa hermandad D. An «Recibid , señores, &amp;c.’&amp;c.=El ministro de Instrucción publica, Gulzot gel Caballero, D. Rafael Pardo, con otras personas de varios sexos, y noso Las sociedades cuya existencia no ha llegado aun á noticia del gobierno, tros los comisarios al hospital c…</t>
  </si>
  <si>
    <t>de Quesada, Vicente</t>
  </si>
  <si>
    <t>Vicente de Quesada</t>
  </si>
  <si>
    <t>…ían sus rentas y del mecanis han adquirido. mo, orden y método que se observa en este establecimiento. El Sr. subdelega do aceptó muy gustoso la primera ocasíon que se le ofrecía para desplegar su Segua partes del general en gefe D. Vicente de Quesada, marques de Monzelo, 5us conocimientos y su amor al público; y á la hora señalada se presen cayo, salló de Logroño el 25 de Febrero, llevando consigo el 2.° batallón del tó en la Real casa de misericordia, y reconociéndola toda con la debida de 2.° regimiento de granaderos provinciales de la Guardi…</t>
  </si>
  <si>
    <t>de Quesada, Vicente Genaio</t>
  </si>
  <si>
    <t>Vicente Genaio de Quesada</t>
  </si>
  <si>
    <t>…e la provincia de la Comña. 20,000 n.. no las circunstancias expresadas por el comandante general.Dios &amp;c. Ma Al de la de Lugo........................................................ 30,000 drid 13 de Setiembre de 1834- =: Excmo. Sr. = Vicente Genaio de Quesada, Al de la de Orense..................................................... 20,000 Al de la de Oviedo.................................................... 20,000 Al de la dp Pontevedra.............................................. 20,000 Persuadida S. M. la Reina Gobernadora' de la necesidad de fijar r…</t>
  </si>
  <si>
    <t>de Quesada, Vicente Genaro</t>
  </si>
  <si>
    <t>Vicente Genaro de Quesada</t>
  </si>
  <si>
    <t>…de Navarra v capitanía general de Guipúzcoa, que inte-j contra los recaudadores ó colectores de loterías extranjeras. (7*¿.) Unamente desempeñaba, se ha servido S. M. nombrar para Sucederle en dichos I mandos al teniente general D. Vicente Genaro de Quesada , marques de MonESPAÑA. cavo , que a U sazón se haló en Logroño, y confiar interinamente la capitanía] Sta. Cruz Je Santiago Je Tenerife (RUs Canarias) 31 de Diciembre de 1833. general de Castilla la Yieji al referido general Valdés', á fin de proporcionarle a el restablecimiento de su salud , v en…</t>
  </si>
  <si>
    <t>de QueSida, Francisco José</t>
  </si>
  <si>
    <t>Francisco José de QueSida</t>
  </si>
  <si>
    <t>…s de la ciudad de Ecija verificó la apertura de dos clases, se puso en espectativa de lo que se quería anunciarle: entonces el otro rey de una de economía política 4 cargo del vice-censor de la misma D. Manuel Caarmas, licenciado D. Francisco José de QueSida, lo preparó con las roces de brera, y otra de una escuela normal según el método de D. José MarianoVa0¡d, oíd., oidj y cuando hubo concluido, el Sr. alférez Real D. Feliz Quin llejo, que gratuitamente se ha ofrecido 4 dirigir el sócip D. Juan Estrella. tero dejó satisfechos sus deseos publicando: C…</t>
  </si>
  <si>
    <t>de Quete, José Ruiz</t>
  </si>
  <si>
    <t>José Ruiz de Quete</t>
  </si>
  <si>
    <t>…ete y los tocadores, los ros , que con trabajo se les salvó la vida, y fueron conducidos á esta plaza. tapices que cubrían los pavimentos, el buen efecto del alumbrado perfectamen «El 13 supe por oficio del teaiente de carabinera D. José Ruiz de Quete combinado en todas las salas, y ia,numerosa orquesta compuesta de profe vedo, fecho el mismo dia en Torre-donachama, que la facción constaba allí sores que tocó piezas escogidas del mejor gusto, dieron un aspecto de magni de 130, mandados por Cachapuz, y que entre ellos habia muchos españoles. fice…</t>
  </si>
  <si>
    <t>de Quevedo, José Macho</t>
  </si>
  <si>
    <t>José Macho de Quevedo</t>
  </si>
  <si>
    <t>…n oficio de 28 del mes próximo pasado de S. Clemente í D. Francisco Senen y Senen: para la de Murcia á D. José que en los. dias 25 , 26 y 27 curaron en aquella capital 14 personas, fallecie García Veigara: para' la de Cartagena á D. José Macho de Quevedo: para la ron 3 y quedaban 14 enfermas: en los otros cinco pueblos de la misma priV-de Valls á D. Jaime Prenafeta: para la de Canjayar á D. Gines María de las vincia que habían dado noticia de su estado sanitario era cortísimo el númeroHerís: para la de Avilé* á D. Pascual Argtlelles Toral: para la…</t>
  </si>
  <si>
    <t>de Quijano, Minuel María</t>
  </si>
  <si>
    <t>Minuel María de Quijano</t>
  </si>
  <si>
    <t>…aiints rsnrt li cuyos principios fue siempre contrarío. El que .con sinceridad Avila á D José Cuenca, que loes deQuintaniUa de Somuño; para el de Potes selbtc ¿.una Opinión, lejos de merecer que se dude de sú probidad, acredita á D. Minuel María de Quijano; para el de Caceres a D, José María Jiménez qut ta t*eae;splo la traición es infame.’El conde de Villa Real se mostró li Muñoz} para el &lt;k A Ico y a D. Jróne Soucasc; para el de Oonccntaina á Don</t>
  </si>
  <si>
    <t>de Quiñones, Joaquín</t>
  </si>
  <si>
    <t>Joaquín de Quiñones</t>
  </si>
  <si>
    <t>…nto de lo se hallaban los cabecillas Lranga, Sopelana, Basilio, Aguirre e que me está mandado. Dios guarde a V. E. muchos años. Lo Ibarrola. Las fuertes posiciones que ocuparon, y en las que se li groño 12 de Abril de 1834—Exemo. Sr.—Joaquín de Quiñones— sonjeaban de podernos batir, solo sirvieron para su confusión, y Excmo. Sr. Secretario de Estado y del Despacho de la Guerra. para que este puñado de valientes que tengo el honor de mandar confirmase la buena opinión que goza. Comandancia militar de la provincia de Logroño-= Capitanía La dispersió…</t>
  </si>
  <si>
    <t>…ento de nicación con Castilla por Orense, por medio del camino que arranca desde lo que se me está mandado. Dios &amp;c. Logroño 16 de Mayo de 1= Esce— aquella población, y que dejó trazado el Excmo. Sr. D. Pedro Acuña, de lentísimo. Sr. = Joaquín de Quiñones. := Excmo. Sr. Secretario de Estado y del buena memoria para Pontevedra. No menos importante e» abrir desde esta un Despacho de la Guerra. camino para el puerto de Marín, sobre lo cual llama ia atención del gobierno. La operación de la quinta se halla felizmente conc.uuii. El brigadier Linares, coma…</t>
  </si>
  <si>
    <t>de Quiñones, Miguel Vigil</t>
  </si>
  <si>
    <t>Miguel Vigil de Quiñones</t>
  </si>
  <si>
    <t>…n este motivo la discusión que en Julio último hubo en el Par de Cataluña, respectivamente vacantes por muerte de D. Azust'.n* Rieuclmc lamento Ingles respecto á Polonia, y que el ministerio británico no adhirió i y por salida de D. Miguel Vigil de Quiñones á fiscal de Cruzada. Aumsmo la propuesta que sobre el particular hizo M. Fergusson , porque en ella se pe se ha servido nombrar para la plaza de oidor de la audiencia de Extremadura dia menos de lo que el ministerio había hecho en favor de los polacos; y ma vacante por salida de t&gt;. Josef López Req…</t>
  </si>
  <si>
    <t>de Quintana, Alvaro</t>
  </si>
  <si>
    <t>Alvaro de Quintana</t>
  </si>
  <si>
    <t>…, ca; y en medio de un profundo silencio recitó por dos veces el referido niño tanzos y la 2.a compañía de Urbanos de dicho valle, al msndo de su espitan cón energía, expresión la mas sublime, tono y acción adecuada, la Joa que á D. Alvaro de Quintana; los cuales á pesar de lo tempestuoso de la noche y dftnfinuacion se lee. Seguidamente se verificó lo mismo por siete ocasiones en de! terrible'aguacero que sobrevino, no detuvieron un momento su marcha, ni el otro tablado y pcmto*~4¿£ciente»,no obstante el malísimo piso de las calles pararon hasta…</t>
  </si>
  <si>
    <t>de Quistnundo, Rufino Bellide</t>
  </si>
  <si>
    <t>Rufino Bellide de Quistnundo</t>
  </si>
  <si>
    <t>…eron 20 soldados , 9 Urbanos de caballería, de los cíales debo doz................ .. 10 ídem.............. 42 00 2 hacer el elogio que se merecen , y aunque todo» se disputaban la glotia, reco miendo á V. S muy particularmente á D. Rufino Bellide de Quistnundo,- Don Mota* En el pueblo de Estremer* va desapareciendo la enfermedad, ha Francisco Campa , Leonardo Aguado y Sebastian Vcnalle» de Nobes, y i Don biendo cesado dei todo en Arganda del Rey. Luis Rodríguez, comandante de los del Val de Santo Domingo, y de mi bi zarra tropa; recomiendo á V.S. al sarg…</t>
  </si>
  <si>
    <t>de Rábago, Joaquín Diaz</t>
  </si>
  <si>
    <t>Joaquín Diaz de Rábago</t>
  </si>
  <si>
    <t>…rtunidad á lo mas interesante á las ejemplo, y siendo el primero que se presentaba en Jas ocasiones de mayor ries operaciones, y con conocimiento de la posición de las columnas de V. E. go: á los bizarros capitán del mismo cuerpo D. Joaquín Diaz de Rábago, al •&gt; En esta marcha se me han presentado algunos grupos facciosos en las fuer ayudante de la plana mayor D. Antonio José Rodríguez, y al del segundo ba tes posiciones de Mañaria, y un batallón en el alto de Urquiola; pero fueron tallón de Bórbon D. Benigno Tapia, quienes ordenando las fuerzas que…</t>
  </si>
  <si>
    <t>de Rada, Diego y P Juan</t>
  </si>
  <si>
    <t>Diego y P Juan de Rada</t>
  </si>
  <si>
    <t>…casa existente en la ciudad de Burgos, calle del jue go de U Pelota» perteneciente a los vínculos titulados de Rada y Almansa, que pose En ofictos de 8 y 10 del actual dice su gobernador civil que la enferme- yeron p. Bernardina, D. Diego y P. Juan de Rada y Almansa, y últimamente Don da4 reinante se difundía en aquella capital» y que desde el día 7 a! 8 del cor Felipe Artejo, D. Ensebio y IX Matías Anejo y Rada, vecinos que fueron de esta ciu riente habían fallecido 35 personas; y*62 desde el 9 al 1U , incluyendo en dicho dad y el ultimo de la de S. F…</t>
  </si>
  <si>
    <t>De Real, Francisco de Paula</t>
  </si>
  <si>
    <t>Francisco de Paula De Real</t>
  </si>
  <si>
    <t>…Sere árdor, y hay en este momento algunos pleitos sobre terrenos situados en Bohanísima Señora Infanta Doña María Luisa y el Serenísimo Señor In iini é Imozaya, es decir, á mas de tres jornadas de la metrópoli, en sitios 4 fante D. Francisco de Paula. De Real orden lo participo á V. E. que nunca se han acercado ní iun en sus mayores excursiones tas tropas fran cesas. Fs probable que estas m^mas tierras pasarán por una sucesión de ventasjpara su satisfacción y efectos oportunos. Dios guarde 4 V. E. mu y compras á poder de h Francia chos años. San Ildefon…</t>
  </si>
  <si>
    <t>De Real, Gil de Linares</t>
  </si>
  <si>
    <t>Gil de Linares De Real</t>
  </si>
  <si>
    <t>…nor de tos potaros. del zelo con que se ha conducido el actual subdelegado D. Fermín Sabemos que el príncipe Soutzo ha recibido orden para ir de París á San Petersborgo á ocuparse «n las negociaciones relativas al matrimonio- def Rey Gil de Linares. De Real orden lo comunico á V. E. para su inteli 1 Othon coa la hija mayor del Emperador Nicolás. {Corresponsal de Nuretnbergi) gencia y efectos correspondientes. Dios &amp;c. Aranjuez 19 de Mayo de 1834. = Moscoso.=Sr. superintendente general de Policía. AUSTRIA. Trieste 19 de Abril. Esta mañana se ha embarca…</t>
  </si>
  <si>
    <t>De Real, Isa I</t>
  </si>
  <si>
    <t>Isa I De Real</t>
  </si>
  <si>
    <t>…acto, quedando obligación del que los presentó de responder Tales son los votos y sentimientos de esta vuéura audiencia, que ruega ál de los derechos si se le cargasen. Dios prolongue la vida de V. M. y de nuestra Reina y Señora Doña Isa- I De Real orden Jo comunico á V. E. y V. SS. para su cumplimiento. Dios sel ti dilatados años. Las Pilmes de Canaria y Noviembre 5 de 1833. = Se-l guárde á V. E.,y V. SS. muchos años. Madrid 18 de Enero de 1834-enJosef ñora.—A L- R. P. de V. M-imlgnacto Javier Roméro. = Francisco Mier Te- I de Aranalde.=Sres…</t>
  </si>
  <si>
    <t>De Real, Jacobo Villanova y Jor</t>
  </si>
  <si>
    <t>Jacobo Villanova y Jor De Real</t>
  </si>
  <si>
    <t>…ingún caso posesiones que sean improductivas ó no se hallen Queriendo recompensar los méritos, servicios y adhesión á mi en cultivo, aun cuando se pruebe que lo estuvieron en otro tiempo. Real I’ersona y legítima descendencia, de D. Jacobo Villanova y Jor De .Real orden &amp;c. Dios guarde &amp;c. Madrid 10 de Agosto de 1854.= dán, fiscal de la Real audiencia de Bórgos; lie venido en nombrarle El conde de Toreno. administrador patrimonial del Real sitio de S. Ildefonso, con el suel do anual de 24c) reales. Tendréislo entendido, y disjiondreis lo con veniente á su cu…</t>
  </si>
  <si>
    <t>De Real, José Ala</t>
  </si>
  <si>
    <t>José Ala De Real</t>
  </si>
  <si>
    <t>…en lo cual empleará V. todo su zelo y eficacia, correspon Indias en la sección de Gracia y Justicia; á D. Francisco Redondo, diendo A la confianza que S. AI. le lia 4,&gt;sPensaJ°- ministro dei tribunal supremo de España é Indias; á D. José Ala De Real orden lo comunico á V. para su inteligencia y cum ría Manosean, Regente de la audiencia (le Madrid; A D. Francisco plimiento. Verea y Cornejo, ministro de la misma, v A L). Marcial Antonio Dios guarde á V. muchos años. Palacio 21 de Junio de 1834.= Lopéz, fiscal del mismo tribunal; de cuyo zelo y e…</t>
  </si>
  <si>
    <t>de Relacion, D J de G</t>
  </si>
  <si>
    <t>D J de G de Relacion</t>
  </si>
  <si>
    <t>…. Cirios, con Ayer se recibió en Calais el siguiente parte telegráfico : siguiente á la oferta hecha í la junta de Caridad..................................... 400 Ltfndres 9 de Julio. &gt;• El embajador de Francia en Lóndres al Sr. ministro D. J. de G............................................................................................. 200 de Relaciones txtcrioies. D. José Goicoechea, intendente de esta provincia.............................. 1500 »Los lores Grey y Althorp han presentado al Rey la dimisión de sus res D. J. M. E. 160 rs. por ahora, y 30 mensual «mientras dure la pectivos'destinos. S. M. la ha aceptado, y en su consecuencia ha lla…</t>
  </si>
  <si>
    <t>de Relaciones, J de G</t>
  </si>
  <si>
    <t>J de G de Relaciones</t>
  </si>
  <si>
    <t>…con Ayer se recibió en Calais el siguiente parte telegráfico : siguiente á la oferta hecha í la junta de Caridad..................................... 400 Ltfndres 9 de Julio. &gt;• El embajador de Francia en Lóndres al Sr. ministro D. J. de G............................................................................................. 200 de Relaciones txtcrioies. D. José Goicoechea, intendente de esta provincia.............................. 1500 »Los lores Grey y Althorp han presentado al Rey la dimisión de sus res D. J. M. E. 160 rs. por ahora, y 30 mensual «mientras dure la pectivos'destinos. S. M. la ha aceptado, y en su consecuencia ha llama…</t>
  </si>
  <si>
    <t>de Rey, Joaquín Vara</t>
  </si>
  <si>
    <t>Joaquín Vara de Rey</t>
  </si>
  <si>
    <t>…ruiz, y al subteniente graduado D. Josef Donadeu, á los sargentos primeros D. Fran XVBCTOS PUBLICO*. cisco Alejo, Bartolomé Maqueda, Francisco Vázquez, Mariano Vázquez, al Inscripciones sobre el gran libro al $ p, zoo, oo* cadete D. Joaquín Vara de Rey, que siempre siguió á mi lado, y después al Dichas id, al 4 p. 100, 00* del Cápitan Sarasa, cuando fue en perseguimiento de los enemigos; pues si la Títulos ai portador de 5 p. loo, fla * 60 y 30, 16 y ai d. f. vol. y firme: 46* á 60 ] moderación de padre me aconseja pasar en silencio el mérito que…</t>
  </si>
  <si>
    <t>de Rivas, Duque</t>
  </si>
  <si>
    <t>Duque de Rivas</t>
  </si>
  <si>
    <t>…etario Beul 1 levo d.cha pet cien , que es la siguiente: reunión del Estamento, por no ser e*ta diaria , se aprobó la-siguiente adición ♦^Señora: Los Procuradores del reino tienen el honor de llamar fa augusta leída por el Excmo. Sr. Duque de Rivas. atención de V. M. hacia un objeto que debe ejercer la mayor iniluercia en la »&gt; En caso urgente podrá un Sr. Procer ausentarse con la anuencia del Se- opinión pública, y con especia i-tad en los fieles españoles decididos á sostener fior Presidente, quien deberá dar parte al Estamento en la primera…</t>
  </si>
  <si>
    <t>…ficación ¿Je sus pruebas? No. El Sr. duque de Gor pidió que se leyesen los arfe. 111 y 112 del regla ¡Hay al Contrario alguna que suponga ó haga creer, que en la intención del le mento. gislador es indefinido este ténpino? Sí. El Sr. Duque de Rivas tomó la palabra y dijo: «El contenido de los ar , «El art. 4^ reglamento dice.... (lo leyó); El 7.° dice.... (lo leyó). La tículos que acaban de Leerse ya no tiene lu¿ar; la indicación que el Sr. du Jey^ pues, ha previsto el- caso de que muchos Sres. Pióceres no podrían pre- que de Gor ha hecho hub…</t>
  </si>
  <si>
    <t>de Ro, Juan Torrecilla</t>
  </si>
  <si>
    <t>Juan Torrecilla de Ro</t>
  </si>
  <si>
    <t>…z Cañero: para la del Barco de Avila á D. José En la universidad de Cassan hay 209 profesores y empleados, y el mismo número de estudiantes. En la universidad de Dorpat hay 67 profesores y em María Parejo: para la de Pontevedra á D. Juan Torrecilla de Ro pleados , y 539 estudiantes. En la época de la presentación del presupuesto , la bles: para la de Alcalá la Real á D. Benito Romero: para la de Ca- universidad de Kiew, creada por el ukase imperial del 8 (20) de Noviensbiis zorla á D. Francisco de Paula Alvarez: para la de Fuente de Can de 1833 , n…</t>
  </si>
  <si>
    <t>de Robles, Francisco Scarlati</t>
  </si>
  <si>
    <t>Francisco Scarlati de Robles</t>
  </si>
  <si>
    <t>…ción da lo» gobierno» cha 11 personas, de las cuales fallecieron 6; añade que en el monte de civiles. (Núm. 177.) Morcin, dos leguas al S. O. de la referida capital, existía bastante numero do ___ . jubilando con todo el sueldo á D. Francisco Scarlati de Robles, conta enfermos, aunque se creía fuesen de distinto mal que los de Noreña; finalmen dor general de la Real Casa y Patrimonio. (Id.) te, que en el resto de la provincia se gozaba de cabal salud. ,____nombrando en su vacante á D. Bernardo de Borjas y Tamos. (Id.) - nombrando á varios eclesiásticos ca…</t>
  </si>
  <si>
    <t>de Rodas, D Rafael</t>
  </si>
  <si>
    <t>D Rafael de Rodas</t>
  </si>
  <si>
    <t>…r lo que plear el Gobierno su severidad, no haciendo otra cosa que adoptar los medios debían aprobarse. Asi se acordó. de llevar á cabo el rigor de la ordenanza: no puede permitirse que en el cur-J Entró á jurar y tomó asiento el Sr. D. Rafael de Rodas, Procurador so de la guerra pidan los oficiales su retiro; per lo demas esto no quiere decir por Malaga. que muchos oficiales no hayan acudido prontamente á tus filas ni que oíros ha Acto continuo pidió la palabra el Sr. Secretarlo de la Guerra. yan dejado de encontrar obstáculo para realizarlo sie…</t>
  </si>
  <si>
    <t>de Rodas, Rafael</t>
  </si>
  <si>
    <t>Rafael de Rodas</t>
  </si>
  <si>
    <t>…que plear el Gobierno su severidad, no haciendo otra cosa que adoptar los medios debían aprobarse. Asi se acordó. de llevar á cabo el rigor de la ordenanza: no puede permitirse que en el cur-J Entró á jurar y tomó asiento el Sr. D. Rafael de Rodas, Procurador so de la guerra pidan los oficiales su retiro; per lo demas esto no quiere decir por Malaga. que muchos oficiales no hayan acudido prontamente á tus filas ni que oíros ha Acto continuo pidió la palabra el Sr. Secretarlo de la Guerra. yan dejado de encontrar obstáculo para realizarlo sie…</t>
  </si>
  <si>
    <t>de Rodas, Simón</t>
  </si>
  <si>
    <t>Simón de Rodas</t>
  </si>
  <si>
    <t>…e su industria agrícola , fabril y comercial. Sr. D. Joaquín de Ezpelela. Sr. Marques de Montesa. Extracto del parte remitido por el gobernador civil interino de la provin Sr. D. José Francisco Muguiro é Iribarren. cia de Córdoba D. Simón de Rodas con fecha de 19 de Junio últimoHa socorrido á varios labradores con parte del trigo de los pósitos, reser vando la mitad de las existencias para los gastos del cólera-morbo. Partts recibidos en la secretaría de Estado y del Despacho de la Guerra. Está instruyendo variqs expedientes para reducir á c…</t>
  </si>
  <si>
    <t>…00. Tirulos al portador del £ p. J00. 56 0)1 contado: 57$ á varías fs. A voL Extracto del parte remitido por el gobernador civil de U provincia do Vales Reates no consolidados, Iy 19 al contado; 2p¿ y 20 »;60 d. f. ,ó vM. Górdoba D. Simón de Rodas con fecha de 24 de Julio último. Deuda negociable d«; 5 p. 100 á pape!, 00. 1-d. sin ínteres, 12 a 60 d. f. o vol. Excmo. Sr.: La falta casi total de la cosecha ha reducido á la agricultura do Acciones del banco español, 00. esta provincia, .en qoe consiste su mayor riqueza, a un estado de miseria…</t>
  </si>
  <si>
    <t>de Rodenas, Pascual Genaro</t>
  </si>
  <si>
    <t>Pascual Genaro de Rodenas</t>
  </si>
  <si>
    <t>…1¿ nadora conferir en nombre de su augusta Hija Doña María Isabel. 11 la in tendencia de la provincia de Sevilla á D. Bernardo de Elizalde, que servia en cXwara de los pares__ Sesión del dia 22. comisión la de Extremadura. Esta á D. Pascual Genaro de Rodenas, que ser Aprobada el acta de la última sesión, lee el Sr. Villemain el elogio fúne via la de Málaga. Estaá D. Diego de Aguirrc , que desempeñaba la de Cuenca. bre? del Sf. Agustín Periex. La Cámara acuerda que se imprima. Esta á D. Fernando de Rojas, que tenia á su cargo la de Santander. Y esta á P…</t>
  </si>
  <si>
    <t>de Rojas, Fernando</t>
  </si>
  <si>
    <t>Fernando de Rojas</t>
  </si>
  <si>
    <t>…, que ser Aprobada el acta de la última sesión, lee el Sr. Villemain el elogio fúne via la de Málaga. Estaá D. Diego de Aguirrc , que desempeñaba la de Cuenca. bre? del Sf. Agustín Periex. La Cámara acuerda que se imprima. Esta á D. Fernando de Rojas, que tenia á su cargo la de Santander. Y esta á Principia la discusión de la propuesta que acerca de los efectos del divorcio D. Ramón Manuel de Pazos, que ha sido nombrado para la de Cartagena; la ha hecho-el Sr. Boyer: en apoyo de su proposición dice este entre otras, cosas, cual queda suprimida.…</t>
  </si>
  <si>
    <t>de Roldes, Franpiico Scarlati</t>
  </si>
  <si>
    <t>Franpiico Scarlati de Roldes</t>
  </si>
  <si>
    <t>…_ _Firma del gobernador civil respectivo. sia y la Pomerania vy que tendrá en Meinel una entrevista con el Emperador de Rusia y la Emperatriz. ; ~: fSitiSfecha fie seShriciós cOntráidílS'en la Reaj! Casa por el genera^dqifó misma D. Franpiico Scarlati de Roldes, y de SUIZA. seosa de-darleirt»-testamOrrio dé lo tnuf gratos qué me*hah sido, ven ~ Zurich 20 de Julio. " go, en nombre de mi muy cara y amada Hija, en concederle su ju— hilaejem £on todo tjl sueldo; siendo, mi voluntad continúa desempe Octava sesión de la Dieta federal del 22 de Julio. ñé ndo la…</t>
  </si>
  <si>
    <t>de Roma, Tomas Ber</t>
  </si>
  <si>
    <t>Tomas Ber de Roma</t>
  </si>
  <si>
    <t>…s probablemente fundar-,4.. imiyores interinos á 1). José Durango Calderón para Santa -Marta dé. ¡i tación de la Francia, una colonia en la costa septentrional de Africa. (DiarioOrtigueira ; á D. Joaquín Sanjurjo para Vilialba; á D. Tomas Ber- '■ de Roma.) nardino López para Muros; á D. José Gamboa y Ortiz para Nova; BÉLGICA. á D. Nicasio Ruiz de Romarate para Quiroga ; á D. lomas Rodrí guez Monroy para Negreira; á D. Joaquín Torreblanca. para Viana Bruselas 6_de• Junipv del JkíHo;á D.Francia» Sales Calíorubió para Caldas de Reís; á Li sección de la…</t>
  </si>
  <si>
    <t>de Romarate, Nicasio Ruiz</t>
  </si>
  <si>
    <t>Nicasio Ruiz de Romarate</t>
  </si>
  <si>
    <t>…tación de la Francia, una colonia en la costa septentrional de Africa. (DiarioOrtigueira ; á D. Joaquín Sanjurjo para Vilialba; á D. Tomas Ber- '■ de Roma.) nardino López para Muros; á D. José Gamboa y Ortiz para Nova; BÉLGICA. á D. Nicasio Ruiz de Romarate para Quiroga ; á D. lomas Rodrí guez Monroy para Negreira; á D. Joaquín Torreblanca. para Viana Bruselas 6_de• Junipv del JkíHo;á D.Francia» Sales Calíorubió para Caldas de Reís; á Li sección de la Cámara &lt;é¿préseritantes ha'ofrecido un. iht^es i¿sp&lt;^to D. jSários de A riza para Tama; á 1). Fernand…</t>
  </si>
  <si>
    <t>de Rosa, Martínez</t>
  </si>
  <si>
    <t>Martínez de Rosa</t>
  </si>
  <si>
    <t>…términos siguientes: "No puede ser allanada la casa de ningún español manera alguna ese orden de justicia y de conveniencia, como se quiere supo sipo en la forma y en los casos que ordena ú ordenare la ley.” ner. Nos Ha dicho el Sr. Martínez de Rosa que no qs cierto que la ley premia, Art.. &lt;5° La ley es igual para todos los' españoles; por lo mismo ella pro castiga, y protege igualmente ¿todos los españoles; pero me parece que S. S. * tege, prtmia y cast:ga igualmente. ' 1 ño ha entendido bien-la ¡dea de la petición. En el supuesto de que hay…</t>
  </si>
  <si>
    <t>de Rosas, D Juan Manuel</t>
  </si>
  <si>
    <t>D Juan Manuel de Rosas</t>
  </si>
  <si>
    <t>…arta qpe dirigió» la. cotnSaon de las Cámaras; Después de la separación del gobernador Viamonte, nombró el Congreso pero la Oposición (expresión de que se hatervúlo Me. Breibcsctixch, convryrro de representantes para sucederle al brigadier D. Juan Manuel de Rosas; pero y comisario del Gobierno, y que ha desaprobada altamente el Sr.Digntado teté ha hecho ya tres renuntiás, y i pesar de las instancias del Congreso, per E. F- Hofftmn) no fu mudado de Opinión en maneta alguna , como lo pnmr siste en ’nó. admitir el destino.', ba la discusión de hoy. Eü él últim…</t>
  </si>
  <si>
    <t>de Rosas, Juan Manuel</t>
  </si>
  <si>
    <t>Juan Manuel de Rosas</t>
  </si>
  <si>
    <t>…contrará dificultades en la Cámara, aunque no sea otra cosa que la repe también que haya aumentado las dificultades la renuncia hecha por cuatro ve tición de las medidas incompletas autorizadas por decretos Reales de cinco ces de D. Juan Manuel de Rosas, negándose á admitir el primer destino de años á esta parte. Los prohibicionistas proceden con vigor en las mesas de la aquella república, cuyo ejemplo de un hombre que al parecer disfruta de mu secretaría. Citaremos únicamente la quinta mesa, en donde se ha decidido que cha reputación en el pais p…</t>
  </si>
  <si>
    <t>…irigió» la. cotnSaon de las Cámaras; Después de la separación del gobernador Viamonte, nombró el Congreso pero la Oposición (expresión de que se hatervúlo Me. Breibcsctixch, convryrro de representantes para sucederle al brigadier D. Juan Manuel de Rosas; pero y comisario del Gobierno, y que ha desaprobada altamente el Sr.Digntado teté ha hecho ya tres renuntiás, y i pesar de las instancias del Congreso, per E. F- Hofftmn) no fu mudado de Opinión en maneta alguna , como lo pnmr siste en ’nó. admitir el destino.', ba la discusión de hoy. Eü él últim…</t>
  </si>
  <si>
    <t>de Rosas, Ramón</t>
  </si>
  <si>
    <t>Ramón de Rosas</t>
  </si>
  <si>
    <t>…man del provincial de Ciudad Real D. N. Afiover. Dios &amp;c. Valdcalgolfa 3ü de daba las tres compañías de cazadores, el teniente D. Jo*é Campillo y el subte Mayo de 1834 á las doce de la noche.=Excmo. Sr.czAgustin Nogueras.^ niente D. Ramón de Rosas, de la compañij de Laredo, el subteniente Dt. Jo ¿uno. Sr. capitán general de este ejército. sé Ignacio de la Puente, comandante de ios taz.idores de ia Princesa, el de igual clase D. Francisco Alonso, el comandante de .os cazadores de Salaman El comandante general de las provincias Vascongadas dic…</t>
  </si>
  <si>
    <t>de Rothesay, Stuart</t>
  </si>
  <si>
    <t>Stuart de Rothesay</t>
  </si>
  <si>
    <t>…siones inoportunas que ha pronunciado en un discurso el doctor Lushington. ALEMANIA. S. M. ha condecorado coq la orden de la Jarreuera al (fiique de Grafione y ai lord Minio. Hamburgo 30 de Noviembre. Se sostiene la voz de que el lord Stuart de Rothesay será relevado de la embajada de París. Nada sabemos relativo á las demas resoluciones de la Dieta, tomadas i consecuencia de las conferencias de Viena , y no se cree que se publiquen otras, -El Standard dice: Nosotros descamos^que nuestra opinión sobre la políti al menos por el pronto. Se creyó al…</t>
  </si>
  <si>
    <t>de Rothschild, Nathaniel</t>
  </si>
  <si>
    <t>Nathaniel de Rothschild</t>
  </si>
  <si>
    <t>…edidas adoptadas por las pasaportes son muy severas , y*se observan con el mayor rigor. Cámaras* Saniana ha reclutado 3$ hombres en el Estado de Méjico. (Courier.) (Corresp. ae blamburgot) rx avcia. I y El Rey acaba de nombrar al barón Nathaniel de Rothschild consejero París 3 l de Julia. privado de comercio, y le ha mandado dirigir el acta de su nombramiento. fc ' r Noticias de Marsella recibidas por el telégrafo, anuncian que reinaba la (Gaceta de Estado de Prusia.) ¿xugror quietud en aquella ciudad, á pesar de la llegada de M. Berryer y de los ALEMAN…</t>
  </si>
  <si>
    <t>…G. dt -F.) _EI Observador austríaco, refiriéndose á noticias de Constantinopla, dice INGLATERRA. que M. de Boutenieff, embajador de Rusia cerca del Gran Señor, iba á ausen LSndres 28 de Diciembre. tarse por algún tiempo, y que ei barón Nathaniel de Rothschild había llegado Fondos públicos. Tres por 100 consolidados 88J. á aquella ciudad para tratar del pago con que la Grecia debe indemnizar á la Lord Holland ha dado un gran convite el día de Navidad al conde Grey, Turquía. príncipe Talleyrand, duquesa de Dino, princesa de Lleven, barón Bulow, ba ESPAÑA.…</t>
  </si>
  <si>
    <t>de Roy, T</t>
  </si>
  <si>
    <t>T de Roy</t>
  </si>
  <si>
    <t>…stribuir. Al rayar el dia 5 de Noviembre del año próximo pasado, las salvas de los En seguida quedan electos por votación secreta los Sres. conde de Molliens, fuertes de la plaza y de la capitanía del puerto, junto con el repique general T de Roy y el barón Louis para la tema que se ha de presentar á S. M., á fin de campanas anunciaron la próxima solemnidad. ' de que de ellos nombre el que ha de presidir la comisión encargada de vigilar Apareció la ciudad vestida de fiesta y gala, decorados los edificios princi las operaciones de la caja de A…</t>
  </si>
  <si>
    <t>de Ruga, Josef Vázquez</t>
  </si>
  <si>
    <t>Josef Vázquez de Ruga</t>
  </si>
  <si>
    <t>…cciosos una columna de 2ü infantes y 12 caballo»» Ipectáculo. ; . aquellos al mando dd teniente ilimitado D. Joscf Salgado y del sargento l.Q La fuerte de la plaza del Salvador , adornada- por Jos gremios de zapateros, licenciado D. Josef Vázquez de Ruga, y éstos al dt D. Juan Ramón Oavjpv pintores, herreros y otros, presentaba una perspectiva muy agradable. Constaba sargento de la caballería armada. Dopue» de una marcha rápida de dos leguasesta decoi;a£Íon de un obelisco cuadrado; cada una de sus caras tema ocho varas y med a , de las que anduvo l…</t>
  </si>
  <si>
    <t>de Rumílly, Gauticr</t>
  </si>
  <si>
    <t>Gauticr de Rumílly</t>
  </si>
  <si>
    <t>…sión^ continúa la discusión dé la minuta J est* desde Vicna, la administración local no se ocupa sino de procurar ira— de respuesta al discurso del Rey. bajó y proporcionar socorros al gran número de desgraciados, á quienes la El Sr. Gauticr de Rumílly aprueba la minuta » sobre todo porque elogia el mas horrorosa miseria arroja de los pueblos y Ies obliga á refugiarse á la ciu gobierno representativo, y se desvíale todas las ideas de la restauración; mas dad. Con este tan digno objeto se haci emprendido muchas obras públicas; se jk&gt; puede menos d…</t>
  </si>
  <si>
    <t>de S, Frcy Fraocóto</t>
  </si>
  <si>
    <t>Frcy Fraocóto de S</t>
  </si>
  <si>
    <t>…i Cnwrp ¿fe dbw» mfe los bcaeaKriZDS rcgdora ó. porfia en cuanto nos ocuma. El cÓ- al A-f* «fe pJiadta, preskole «fe la Cámara de los Fus; ¡nunfeite fe marina fe esa provincia concurrió á prestarnos cuantos auxilios lo Interior ¿ D. Frcy Fraocóto de S. Las, Ibpfeñmscamanan el iiUuuTentc efe Rmtas me «sfceciÓ fe fuerza «fe los res* ramxstxo «fe Negocios rHeviásria» y fe jptfkn i Aatnaio tv'Vai jiai.ifrrv en ri manato qne ln necfiitase. cernedlos; para ministro de Guerra al dape «fe Tessoa, Par dri E pciaen neacoa para evitar fe confusión, causa primor…</t>
  </si>
  <si>
    <t>de Sagredo, Fernando López</t>
  </si>
  <si>
    <t>Fernando López de Sagredo</t>
  </si>
  <si>
    <t>…. Manuel José de V il- "omento. r± Está rubricado de lá Real mano. = Aranjuez 17 de ches; á D. Antonio Heredia; á D. Lorenzo María Ferreras; á Don Abril de 1834—A D. Francisco Martínez de la Rosa, Presiden Mariano de la fuente; á D. Fernando López de Sagredo, qüc ac te del Consejo de Ministros. tualmente lo soh de la misma; á D. José Vecino/ fiscal de k&gt; ci vil dé la audiencia de Búrgos, y á D. José López de CoZar y i Eli atención á los extensos conocimientos en la ciencia de la D. António Fernandez del Castillo, oidores cesantes con sueldo: administra…</t>
  </si>
  <si>
    <t>de Sajonia, Princesa</t>
  </si>
  <si>
    <t>Princesa de Sajonia</t>
  </si>
  <si>
    <t>…as mencionadas* cios de los Reyes, del verdadero esplendor del trono y bienestar de las sagra La comisión ignoraba el origen de la asignación de 5409 rs. que goza la das Personas que presiden á los destinos de los pueblos. Serma. Sra. Princesa de Sajonia, y los fundamentos que el Gobierno habría En mis sentimientos (debo manifestarlo al Estamento) no considero lle tenido para incluirla en el presupuesto de la Real Casa; y habiendo solicitado var la mas remota ventaja á los ejemplos de celo, de patriotismo y de ínteres del Sr. Secretario de Estadc&amp;y…</t>
  </si>
  <si>
    <t>de Sajonia-Coburg, Fernando</t>
  </si>
  <si>
    <t>Fernando de Sajonia-Coburg</t>
  </si>
  <si>
    <t>…e acuerdo con los representante de lá nación, en caso de faítfrte des- JgtGICA. cendencia masculina. El Rey Leopoldo tiene des sobrino*, de .los cuaba d «4Brusela/ 25 de Mayo. yor tiene 16 años, j ambos son hijos de su hermano el Príncipe Fernando de Sajonia-Coburg , habido* delmatrimonip qué contrajo coa U Prínceaa de.b fa La Cima» ha adoptado ti ti discusión el mensa ge del Rey, cuyo proyecto b ha ado presentado por al honorable M. Devau*, en nombre de b comisión, milia católica de KoKary en Hungría. Los dos Príncipe h*n sídá educados en y q„e no contiene f…</t>
  </si>
  <si>
    <t>de Sajorna, Princesa</t>
  </si>
  <si>
    <t>Princesa de Sajorna</t>
  </si>
  <si>
    <t>…os para subsistir y sostener las cargas del Estado, y que no tiene do vi t, y entonces-este Rey pasó un oficio á las Córtes diciendo. «Me «asé con los medios para bacetse obedecer que uno absoluto, se necesita dar prestigio al la Señora Princesa de Sajorna, que es la actual Rkiha. , y en ios contratos ma trono ¡ lo cual es muy del caso, pues si 'asi no se hace, el Estado se hunde. ¡ Y trimoniales le ofrecí dejarle una viudedad de 18 millones de. reales, prometién quién está mas interesado en evitar tal catástrofe? Los, propietarios, los que te dole q…</t>
  </si>
  <si>
    <t>…o Tejada, Butrón. J. Petersburgo ó en Pekin. En seguida se pasó á tomar en consideración la asignación de 5409 reales El Sr. Chacón preguntó al Sr. Presidente del Consejo de Ministros si la que proponía el Gobierno para la Serma. Sra. Princesa de Sajorna; y leído el licencia concedida al Sermo. Sr. Infante D. Sebastian era ilimitada ó temporal. dictámen de la comisión sobre el particular, que se reducía á creer que no de El Sr. Secretario del Despacho de Estado: «Por el tiempo que tenga á bía gravarse el erario con una carga tan pesada, que equival…</t>
  </si>
  <si>
    <t>de Salas, D Francisco Rüi</t>
  </si>
  <si>
    <t>D Francisco Rüi de Salas</t>
  </si>
  <si>
    <t>…a de las analogías entre ly nes que tomaron parte en el Carnoso festín de los obreros de la misma nación. locura y la razón; contiene ademas un comunicado sobre la necesidad de un nuevo ar—^ reglo en¡ medJctaa ¡ la necrología del profesor D. Francisco Rüi* de Salas; continuación dé las reflexiones sobre el proyecto de imponer contribuciones directas á los profesores ____ El Monitor otomano de 1 i de Octuhre dice lo siguiente: El gefé de un de la ciencia de curar, y eir estado'sanitario de¡ Madrid. Se suscribe en Madrid enes imperio debe emplear toda Su solici…</t>
  </si>
  <si>
    <t>de Salas, Francisco Rüi</t>
  </si>
  <si>
    <t>Francisco Rüi de Salas</t>
  </si>
  <si>
    <t>…analogías entre ly nes que tomaron parte en el Carnoso festín de los obreros de la misma nación. locura y la razón; contiene ademas un comunicado sobre la necesidad de un nuevo ar—^ reglo en¡ medJctaa ¡ la necrología del profesor D. Francisco Rüi* de Salas; continuación dé las reflexiones sobre el proyecto de imponer contribuciones directas á los profesores ____ El Monitor otomano de 1 i de Octuhre dice lo siguiente: El gefé de un de la ciencia de curar, y eir estado'sanitario de¡ Madrid. Se suscribe en Madrid enes imperio debe emplear toda Su solici…</t>
  </si>
  <si>
    <t>de Salas, Jacinto</t>
  </si>
  <si>
    <t>Jacinto de Salas</t>
  </si>
  <si>
    <t>…r del gobernador civil de Zamora, se nandez Luanco, S. M. se ha servido declarar los ascensos de escala y nombrar ha dignado acceder á que en la villa de S. Ccbrian de Castro se celebre un mer para la resulta de oficial 3-° 2.° á D. Jacinto de Salas iy Quiroga. cado los miércoles de cada semana. Por muerte de D. Claudio Alonso, oficial 3-° l.° del gobierno civil de Asimismo, y conforme con el dictamen del gobernador civil de Gerona, Guadalajara, ha sido promovido á este destino el oficial 3.° 2.° del de Ponte se ha servido S. M. conceder un me…</t>
  </si>
  <si>
    <t>de Salas, Miguel</t>
  </si>
  <si>
    <t>Miguel de Salas</t>
  </si>
  <si>
    <t>…cto á Italia. D E. R. P.........................../................... 1*0 D. J D. S................................................................. SúO _____Uno de los periódicos de por Is mañana contiene un artículo intitulado D. Miguel de Salas, por ahora................................................................. lóbó Situación actual de Trípoli, 1834- Este escrito difiere de, todo punto de las D. M. C.......................................................................................................... ideas dadas aun por nosotr…</t>
  </si>
  <si>
    <t>de Salas, Ramón</t>
  </si>
  <si>
    <t>Ramón de Salas</t>
  </si>
  <si>
    <t>…enporlasel provinciasSr.1 gobernadoren todascivillasdeadministracionesSegovia. Se suscribede Correos.en Ma — prontuario He artillería para el servicio de Campaña, por el segundo comandante I PROVINCIA SE GRANADA, ' de dicha arma D. Ramón de Salas; segunda edición muy aumentada. En esta obra, ( primera que se ha escrito en su clase ) se hallan 'muchos daros y noticias del mayor El presidente de la junta de Sanidad de dicha provincia dice con fecha 9 sidad,Ínteres yy parautilidadtodosparalos delos ingenieros,Sres. oficialescuyade cienciaartil…</t>
  </si>
  <si>
    <t>…n lasde observacionesPenal ver, y elineditascomentariode Condorcetde la mismasobreobrael libropor el29 condede ella;Desruttra cha gozaba de completa salud; que en Moscardón seguía su curso la enferme ducido del francés por el Dr. D. Ramón de Salas-: cinco tomos en 8.° mayor con el re dad » habiendo ocurrido casos sospechosos en ViUafranea y Vallecillo, parti trato del autor. Se vende en Madrid, librería de Sojo; Barcelona, Sierra; y Cádiz en de Hortal.do de Albarracin. Ja -■ ■ -Tratado de ¡os delitos y de las penas, escrito en italiano por el…</t>
  </si>
  <si>
    <t>…s de Baza en el memo otras consideraciones. rial histórico de la Artillería española, impreso en 1831 y publicado por el »j Dejando pues á un lado los sentimientos personales de lo6 individuos de distinguido capítan de dicha arma D. Ramón de Salas, sírvase V. insertar «a la comisión , ha examinado esta el asunto bajo todos sus aspectos, y. firme en su periódico como adición á dicho particular lo.siguiente: la opinión de qué la Cámara , tomando conocimiento de este negocio, no tras Las piezas de grande calibre que formaban parte del considera…</t>
  </si>
  <si>
    <t>de Salazar, Juan</t>
  </si>
  <si>
    <t>Juan de Salazar</t>
  </si>
  <si>
    <t>…ue en otro tiempo inundaron de sangre la isla de Santo Domingo.” da de Bilbao, vecina de la villa de este nombre, y viuda del sargento de ca El mismo periódico anuncia que se van á enviar á la Jamaica SO magis zadores de Isabel n D. Juan de Salazar, muerto por los facciosos en el ata trados asalariados y refuerzos de tropas, á consecuencia de las últimas noti que que intentaron contra dicha villa, una pensión de S rs. vn. diarios : 4 Jua cias que se han recibido. La secretaría de las Colonias en Lóndres ha estado na Jara , María Monroy, Juana…</t>
  </si>
  <si>
    <t>de Salazar, Manuel de los Ríos Gómez</t>
  </si>
  <si>
    <t>Manuel de los Ríos Gómez de Salazar</t>
  </si>
  <si>
    <t>…de Rioseco á D. José Velasco de Castro: para la de Francfort.) de Vigo á D. Antonio Arteagaj para feyle Cambados á D. Ricardo «AVIESA. Bovo; para la de Ujijar á D. José de Navas García : para la de Ta— Munich 2 de Mayo. rancon á D. Manuel de los Ríos Gómez de Salazar: para la de Oli- Ya se han puesto en ejecución las medidas adoptadas contra los suizos, y venza á D. Diego Alvarez Osorio; y para la de Torreíaguna á D. Lo aun se han extendido á los franceses y á los polacos. Ya muchos de estos últi renzo González Sanz. mos han tenido que salir de la ciudad, y se…</t>
  </si>
  <si>
    <t>de Salcedo, D Manuel Hinojosa</t>
  </si>
  <si>
    <t>D Manuel Hinojosa de Salcedo</t>
  </si>
  <si>
    <t>…cretaría de Estado y del Despacho de la Guerra. IBAt LOTBKIA MODBBNA. El comandante general de la provincia de Burgos con fecha 14 del presen Noticia de los pueblos y administracioms donde han cabido los 18 prenda te dice, que el coronel D Manuel Hinojosa de Salcedo, comandante de las tro mayores de los 7y 2 fue comprende ei sorteo de este dia, inclusas las dot pas de las Merindadcs de Castilla la Vieja, desde Medina de Pomar ¿ las diez y aproximaciones^ ireiia de la roche del 12, le avisa que el teniente deljprovincial dcSegovia Don Alfonso Saavedra, después…</t>
  </si>
  <si>
    <t>de Salcedo, Manuel Hinojosa</t>
  </si>
  <si>
    <t>Manuel Hinojosa de Salcedo</t>
  </si>
  <si>
    <t>…sar de las puras y benéficas intenciones de nuestros difuntos au ro actual desde Salvatierra, traslada al ministerio de la Guerra un parte del co-l gustos Sóbennos (Q. E. G-. E): ocurrencias de ominoso, recuerdo les impidie ronel D. Manuel Hinojosa de Salcedo, comandante de la columna móvil que I ron h9cer el bien porque anhelaban; mas la divina Providencia, que tan paten opera sobre Puente Larrá , del que resulta que habiéndose destacado una par-1 temente vela por la católica España, si prematuramente la privó del inmortal tida de infantería y algunos…</t>
  </si>
  <si>
    <t>de Salcedo, Pedro Juan</t>
  </si>
  <si>
    <t>Pedro Juan de Salcedo</t>
  </si>
  <si>
    <t>…a augusta dél regenerador y libertador de la de Castro; y que la infantería del regimiento provincial de Plasehciá, mandada patria, el grande héroe qup ya fue nuestro Rey y Regente, ocupa hoy" el trono por el eapitan de cazadores D. Pedro Juan de Salcedo, el teniente D.Faustino de sus mayores, y como delicia y esperanza de los portugueses les afianza el Solís, y subtenientes D. Manuel,Moscoso y D. Dionisio Olgado continuaron inas próspero reinado, y á la academia Real de Marina y Comercio que ve la persecución por nuestra izquierda hasta el pueblo…</t>
  </si>
  <si>
    <t>de Salda, Conde</t>
  </si>
  <si>
    <t>Conde de Salda</t>
  </si>
  <si>
    <t>…a hacerld porque era parte dé-un plan ’ nes en que va ¿¡petar* tmaniobrando yo también paralelamente cor. las co general. Ahora que van á quedar concluidos dichos establecimientos, pido que lumnas del br. duqúe de Terccira , y el Sr. .Conde de. Salda ña hacia V illavi— í» ellos se establezca un sistema 4c cuenta, y razón, dando cuenta anualmente c¿t&gt;sa, Yelves ó Campo mayor, secun meló prescriban, los - afro v un lentos carí la Cámara,” ligias y miguelistas, y en tanto Llegará pasado manara á cuartel general la ¿ti'iú s£$6iV pxécedeote tpanifes…</t>
  </si>
  <si>
    <t>de San, D Luis</t>
  </si>
  <si>
    <t>D Luis de San</t>
  </si>
  <si>
    <t>…roto par El Sr. Butrón: «Las personas que perciben pensión por este ramo son ticular del Sr. Agreda.” muchas, y la Secretaría por tanto no ha tenido tiempo de formar la lista no Se mandaron pasar á la comisión de Poderes los del Sr. D. Luis de San minal de ellas; pero ha quedado en hacerlo, y tal vez antes de que se discuta Clemente, electo Procurador por la provincia de Soria, con los documentos el presupuesto la tendremos aqui. El Sr. Secretario interino de Guerra ha dado justificativos de su aptitud legal. ya las órdenes correspondientes…</t>
  </si>
  <si>
    <t>de San, José Martínez</t>
  </si>
  <si>
    <t>José Martínez de San</t>
  </si>
  <si>
    <t>…n exposición documentada de 8 del actual da V. S. parte al En consideración á las relevantes circunstancias que concurren Ministerio de mi cargo de las desagradables ocurrencias que tuvieen el capitán general de Castilla la Nueva D. José Martínez de San rón lugar los dias anteriores 6 y 7 en la ciudad de Jerez.de la Fron Martin, f teniendo presente el zelo y energía con que desempeñó tera , donde V. S. se hallaba ejerciendo las funciones de su destino, siempre ios diferentes mandos puestos á su cuidado; en nombre de y llegó á ser menospreciada su…</t>
  </si>
  <si>
    <t>de San, Luis</t>
  </si>
  <si>
    <t>Luis de San</t>
  </si>
  <si>
    <t>…o par El Sr. Butrón: «Las personas que perciben pensión por este ramo son ticular del Sr. Agreda.” muchas, y la Secretaría por tanto no ha tenido tiempo de formar la lista no Se mandaron pasar á la comisión de Poderes los del Sr. D. Luis de San minal de ellas; pero ha quedado en hacerlo, y tal vez antes de que se discuta Clemente, electo Procurador por la provincia de Soria, con los documentos el presupuesto la tendremos aqui. El Sr. Secretario interino de Guerra ha dado justificativos de su aptitud legal. ya las órdenes correspondientes…</t>
  </si>
  <si>
    <t>de Santana, Antonio López</t>
  </si>
  <si>
    <t>Antonio López de Santana</t>
  </si>
  <si>
    <t>…ue el congreso ni existe de hecho, ni de derecho puede existir: qué ' t* — con él espiró también el consejo de Gobierno; qué no solo esto, sino que ha acabado todo el sistema, y la nación ha vuelto á su estado primordial* que en -D. Antonio López de Santana sé halla concentrado todo d poder de la fede (Continuación del correo anterior.]) ración, por la misma acefalíá, ni mas ni menos, que cuando en 1121 se halló la nación independiente; y en suma, que todos estos delirios son conformes á AMÉRICA SEPTENTRIONAL. la constitución federal, y se adoptan en…</t>
  </si>
  <si>
    <t>…o gobierno de la unión: que en de la Real mano.=Eri el Pardo á 7 de Noviembre de 1834-=A Don consecuencia, y no obstante á que esta guarnición no ha desconocido los ictos José María Moscoso de Altamira. riel Excmo. Sr. presidente D. Antonio López de Santana, es ya absoluta mente preciso é indispensable que rectifique sus protestas de sumh'ion á la Habiendo vacado el gobierno civil de la provincia de Cuenca autoridad suprema de la uruon, y que le parecía por lo mismo conveniente por ascenso de D. Ventura de Córdoba al de la provincia de Mála la adopció…</t>
  </si>
  <si>
    <t>…refe aduanas nombrada por el Rey, y evalúa el aumento de los derechos propues rido decreto núm. 368, en cuanto al desconocimiento deL Excmo Sr. presi tos por ella en 388,380 rixd. por año - de manera, que el producto de las dente D. Antonio López de Santana. aduanas, que ascendió el año pasado á 2.955,540 rixd., ascendería á 3.50(&lt;9 27 Declarar sin valor ni efecto los demas expedidos por la honorable le rixd. La exportación de hierro en bruto debería hacerse medíante un derecho gislatura .del Estado, y que introducen una verdadera novedad en la discipl…</t>
  </si>
  <si>
    <t>de Santander, D Ma</t>
  </si>
  <si>
    <t>D Ma de Santander</t>
  </si>
  <si>
    <t>…e ínterin la cor S. M. se ha servido aprobar las elecciones hechas por la Real sociedad respondencia de esta córtese dirija por Valiadoiid, verifique su salida el correo económica de Oviedo en el Ereme Sr. conde ds Toreno y en el Sr. D. Ma de Santander los viernes á las dos de la tarde con objeto de dar tiempo para nuel María Acevedo para servir los cargos da director y vicrdi rector de aque contestar aquella. lla corporación en el año próximo. En vista de una comunicación del ministerio de la Guerra sobre la con Igual_Real aprobación ha obtenido el…</t>
  </si>
  <si>
    <t>de Santander, Ma</t>
  </si>
  <si>
    <t>Ma de Santander</t>
  </si>
  <si>
    <t>…terin la cor S. M. se ha servido aprobar las elecciones hechas por la Real sociedad respondencia de esta córtese dirija por Valiadoiid, verifique su salida el correo económica de Oviedo en el Ereme Sr. conde ds Toreno y en el Sr. D. Ma de Santander los viernes á las dos de la tarde con objeto de dar tiempo para nuel María Acevedo para servir los cargos da director y vicrdi rector de aque contestar aquella. lla corporación en el año próximo. En vista de una comunicación del ministerio de la Guerra sobre la con Igual_Real aprobación ha obtenido el…</t>
  </si>
  <si>
    <t>de Santander, Nicolás María Garelly</t>
  </si>
  <si>
    <t>Nicolás María Garelly de Santander</t>
  </si>
  <si>
    <t>…lo comunicareis á quien corresponda— Está rubricado de la Real mano.=En Aranjuez á 23 de Abril „ S. M. la Reina Gobernadora se ha dignado nombrar por Real decreto de 23 del actual subdelegado de Fomento de la provinciade 1834-=A D. Nicolás María Garelly. de Santander á D. Manuel Pezuela, marques de Viluma, electo do Para una de las plazas de alcalde del crimen que deben formar la de Soria; y para esta á D. Manuel Lázaro. la dotación de la Real audiencia de Granada, nombro á D. José Manuel de Arizaga, que actualmente la sirve. Tendréislo entendi Exposición &amp; S.…</t>
  </si>
  <si>
    <t>de Sarachaga, Francisco Suarez Don Juan Bautista</t>
  </si>
  <si>
    <t>Francisco Suarez Don Juan Bautista de Sarachaga</t>
  </si>
  <si>
    <t>…pre que la de La plaza de oficial segundo-primero del gobierno civil de Avila, vacante tención haya nacido de este acontecimiento. por haber pasado el que la obtenía i desempeñar otra destino , S. M. ha tenido a bien concederla á D. Francisco Suarez. Don Juan Bautista de Sarachaga, D. Bartolomé de Ormaeche, individuo de la junta inspectora de escuelas de la ante-jgiésía de Gorliz, y D. Miguel Por haber sido separados de sus respectivos destinos los oficiales segundo* secundo y tercero—primero del Gobierno civil de Castellón de la Plana, S.ALde Golderacena, maestro de primera…</t>
  </si>
  <si>
    <t>de Sarachaga, Juan Bautista</t>
  </si>
  <si>
    <t>Juan Bautista de Sarachaga</t>
  </si>
  <si>
    <t>…a de oficial segundo-primero del gobierno civil de Avila, vacante tención haya nacido de este acontecimiento. por haber pasado el que la obtenía i desempeñar otra destino , S. M. ha tenido a bien concederla á D. Francisco Suarez. Don Juan Bautista de Sarachaga, D. Bartolomé de Ormaeche, individuo de la junta inspectora de escuelas de la ante-jgiésía de Gorliz, y D. Miguel Por haber sido separados de sus respectivos destinos los oficiales segundo* secundo y tercero—primero del Gobierno civil de Castellón de la Plana, S.ALde Golderacena, maestro de primera…</t>
  </si>
  <si>
    <t>de Sástago, Presidente del de</t>
  </si>
  <si>
    <t>Presidente del de de Sástago</t>
  </si>
  <si>
    <t>…tuto , no siéndole posible hacerlo al presente por tenerlos en Cóidova y en Benamejí, donde existe el cólera. Se léyfryfuc aprobada electa modificada i petición del Eterno. Su con Lo quedó asimismo de otra comunicación del Excmo. Sr. Presidente del de de Sástago que reclamó haberle atribuido lo que dijo el Excmo. Sr. conde Consejo de ministros, en que manifiesta que habiendo dado cuenta á S. M. de González Castejon al leer la exposición del Sr.. duque de Villahermosa, ex la exposición que por acuerdo de este Estamento se la dirigió ~ác la solicitad cusando…</t>
  </si>
  <si>
    <t>de Sautibafíez, Luis Antouio</t>
  </si>
  <si>
    <t>Luis Antouio de Sautibafíez</t>
  </si>
  <si>
    <t>…..................................... Idem. ---- Consiguiente a lo prevenido en la junta general de acreedores á los bienesqueda6,1,66.................. 1000......................................... Idem. dos por fallecimiento de D. Luis Antouio de Sautibafíez, vecino que fue de esta.Cbrte, 12.9U7.................. loou......................................... Idem. y corredor de número de su Real aduana , se saca a pública subasta por término de 30 dias una casa parador, sita en la villa de Ontígola, que tiene de sitio 21,407 pies 4,126.................…</t>
  </si>
  <si>
    <t>de Savoux, Luis Bottiglia</t>
  </si>
  <si>
    <t>Luis Bottiglia de Savoux</t>
  </si>
  <si>
    <t>…erino.') Turin 28 de Agosta. NOTICIAS EXTRANGERAS. Por cartas patentes magistrales del 22 de este mes, datada* en Ratconiq S. M., nuestro benigno Soberano, ha concedido el gran cordon de los Santos Mauricio y Lázaro á S. Erna, el cardenal Luis Bottiglia de Savoux, gran cruz de dicha orden; y la cruz de la misma á su capellán el abate Fernando Bruñe de Tornafort. (Giomalt di Lusa.') Vitna 26 de Agosto. Lúea 26 de Agosto. . Acaba de concluirte un tratado entre S. M. el Emperador de Austria y 5. A. R. «i gran duque de Toscana para la extradición recíproca de T…</t>
  </si>
  <si>
    <t>de Scijas, Antonio María</t>
  </si>
  <si>
    <t>Antonio María de Scijas</t>
  </si>
  <si>
    <t>…a Isabel ii , que üna comisión, compuesta de Don de Urruzola , síndico procurador general.=Lorenzo de Alzate, secretario. Antonio Alonso, director general de Rentas, de.D. Agustín Rodríguez, di rector interino de las mismas, y de D. Antonio María de Scijas, vocal de la Señora: Cuando V. M. principió á difundir los vivificantes rayos de su be junta de Aranceles, examine el estado actual de esta renta y los medios que neficencia sobre todas las clases de esta vasta monarquía, concibieron los espa podrán adoptarse para mejorarla y aumentar sus rendimien…</t>
  </si>
  <si>
    <t>de Scijus, Manuel</t>
  </si>
  <si>
    <t>Manuel de Scijus</t>
  </si>
  <si>
    <t>…eta, y á D. José guas instituciones de estos reinos: con la notable ventaja de que se Huerta, fiscal electo de la audiencia de Albacete : y en clase de fis lun restablecido meramente las que eran compatibles con el estado cales i D. Manuel de Scijus para lo civil, y á D. Francisco Pas ¡actual de la sociedad, y no ofrecían inconvenientes ni peligros; al cual Ramón de Mbncada pira lo criminal; y d; mi voluntad que paso que se han desechado otras que se resentían de los tiempos en los ministros de esre superior tribunal'ocupen según su respectiva…</t>
  </si>
  <si>
    <t>de Se, D Esteban</t>
  </si>
  <si>
    <t>D Esteban de Se</t>
  </si>
  <si>
    <t>…r $8 abrió á las once meaos cuarto; y leída el acta de la anterior ,quedó tículo , quedó aprobado tal como se había redactado nuevamente por los Se aprobada. ñores peticionarios. Se mandaron pasar á la comisión de Poderes los del Sr. D. Esteban de Se leyó una adición del Sr. Domecq al art. 4-° reservada para este lugar, Ayala, electo Procurador por 2a provincia de Puerto-Rico. que decía ; «los negocios civiles tampoco serán juzgados por comisiones, sino Se p.osiguió la dócusion relativa á la petición sobre derechos fundamen por el tribunal comp…</t>
  </si>
  <si>
    <t>de Se, Esteban</t>
  </si>
  <si>
    <t>Esteban de Se</t>
  </si>
  <si>
    <t>…abrió á las once meaos cuarto; y leída el acta de la anterior ,quedó tículo , quedó aprobado tal como se había redactado nuevamente por los Se aprobada. ñores peticionarios. Se mandaron pasar á la comisión de Poderes los del Sr. D. Esteban de Se leyó una adición del Sr. Domecq al art. 4-° reservada para este lugar, Ayala, electo Procurador por 2a provincia de Puerto-Rico. que decía ; «los negocios civiles tampoco serán juzgados por comisiones, sino Se p.osiguió la dócusion relativa á la petición sobre derechos fundamen por el tribunal comp…</t>
  </si>
  <si>
    <t>de Segura, D José Valladares Callosa</t>
  </si>
  <si>
    <t>D José Valladares Callosa de Segura</t>
  </si>
  <si>
    <t>…; jfc í&gt;. Jósé Lorenzo Salas. ‘ PROVINCIA DE ÍONTirV*DR&gt;to Orihuela. . . . .. 29 Junio á 1.a Julio.. . . .... 232 39 21 Sr, D, Miguel Pardo Bazan- Albatera. . .'. . 30 Junio á 2 ‘ Sr. D. José Aicalde. Julio.............. 122 9 18 Sr. D. José Valladares- Callosa de Segura. 28 á 30 Jumo# 43 28 1 Sr. p. Sebastian Cuesta. Sr. D. Antonio María Montenegro. Almoradí..,. . 2/ á 29 .ídem. 217 ¥ 2 • PROVINCIA DE TARaAnONA. Bigastro............ . 28 á 30 ídem. 12 8 2 fe, P. Alberto Valdric, marques de TorreraejU. Sr. D. Ramón de Ciscar. Dolores............ . 27 á 29 ídem. 78 1…</t>
  </si>
  <si>
    <t>de Segura, José Valladares Callosa</t>
  </si>
  <si>
    <t>José Valladares Callosa de Segura</t>
  </si>
  <si>
    <t>…c í&gt;. Jósé Lorenzo Salas. ‘ PROVINCIA DE ÍONTirV*DR&gt;to Orihuela. . . . .. 29 Junio á 1.a Julio.. . . .... 232 39 21 Sr, D, Miguel Pardo Bazan- Albatera. . .'. . 30 Junio á 2 ‘ Sr. D. José Aicalde. Julio.............. 122 9 18 Sr. D. José Valladares- Callosa de Segura. 28 á 30 Jumo# 43 28 1 Sr. p. Sebastian Cuesta. Sr. D. Antonio María Montenegro. Almoradí..,. . 2/ á 29 .ídem. 217 ¥ 2 • PROVINCIA DE TARaAnONA. Bigastro............ . 28 á 30 ídem. 12 8 2 fe, P. Alberto Valdric, marques de TorreraejU. Sr. D. Ramón de Ciscar. Dolores............ . 27 á 29 ídem. 78 1…</t>
  </si>
  <si>
    <t>de Seoane, Domingo Antonio Vega</t>
  </si>
  <si>
    <t>Domingo Antonio Vega de Seoane</t>
  </si>
  <si>
    <t>…efe tomaba sus medidas para atacar á los rebeldes, lo ^verificaría tan pronto como tuviese reunidas las fuerzas que deben concur Extracto del parte remitido por el subdelegado de Fomento de la provincia rir al efecto. de Zaragoza D. Domingo Antonio Vega de Seoane con fecha de i5 del pró ximo pasado. El brigadier Triarte con las columnas de su mando i que se ha unido la qüe Explica la naturaleza del suelo de aquella provincia que exige la multipli de Galicia ha conducido al Ebro el coronel Cañera, están en pleno movi cación de canales y pantanos, y dice que…</t>
  </si>
  <si>
    <t>…ersiones ó de ahorros &gt; ó de donativos voluntarios. dicho gobernador se propone .llevar éste agita-al centro de la ciudad, y formar una gran fuente. Extracto del parte remitido por el gobernador civil de la provincia de Za ragoza D. Domingo Antonio Vega de Seoane con fecha de 6 de Mayo actual. Ha cuidado de proteger las obras parciales de regadío, asi como las nuevas bolsa bb comercio. _ Cotiíacion de hoy 4 leu tres de labarde.roturaciones , acotamientos y cerramientos de heredades. Ha dispensado igual protección á la acequia de Luceni, tan útil para los Rf…</t>
  </si>
  <si>
    <t>de Seoarc, Domingo Amonio Vega</t>
  </si>
  <si>
    <t>Domingo Amonio Vega de Seoarc</t>
  </si>
  <si>
    <t>…ado y del Despacho del Fomento general M cumplimiento.irEstá rubricado de la Real mano.=En Aranjuez á reino , y mandar que él subdelegado de Cuenca D. Joaquin Ro14 de Abril de 1834-=A D. Javier de Burgos. driguez y el de Zaragoza D. Domingo Amonio Vega de Seoarc, sean recomendados eficazmente al ministerio de Hacienda y al ¿ Por haber tenido á bien aprobar con fecha de hoy la Ordenan Gracia y Justicia pan su correspondiente colocación , no precedién za general de los presidios del reino, é instituyendo en la misiva dose á su relevo por los nuevamente elegi…</t>
  </si>
  <si>
    <t>de Sesma, María Ana</t>
  </si>
  <si>
    <t>María Ana de Sesma</t>
  </si>
  <si>
    <t>…edero de la Sra. marquesa de Villa- la erección de tres sociedades, una en esta ciudad, otra en Torio-a , y otra er» •lopez. Reus, puntos céntricos de cultivo , de industria y de comercio, el primero por •Los herederos de la Sra. Doña María Ana de Sesma. su posición en ei canal dei Campo , por ia proporción de poder «umentat el La compañía de Caracas. caudal de sus aguas, y por su puerto y establecimiento de comercio; el segun La congregación de S. Nicolás de Barí, establecida en el monasterio de do por su situación en el punto mas ventajoso de la…</t>
  </si>
  <si>
    <t>de Setiembre, Paimerston</t>
  </si>
  <si>
    <t>Paimerston de Setiembre</t>
  </si>
  <si>
    <t>…las partidas que no ha thorp en la Ornara de los Pares será causa tal vez de que ha va alguna variayan sido sacadas de ellos en virtud y con arreglo á la Real orden de ción en el ministerio, porque pocas vece*- se ha mezclado el lord Paimerston 19 de Setiembre de 1833 para el socorro de los pueblos invadidos del en las discusiones que no tienen íntima conexión con la política exterior, 3' es cólera , ó mediando Real determinación especial; en inteligencia de dudoso que acepte el laborioso encargo de dirigir las discusiones de la Camara que serán responsable…</t>
  </si>
  <si>
    <t>de Sil, Juan</t>
  </si>
  <si>
    <t>Juan de Sil</t>
  </si>
  <si>
    <t>…seó entre sus filas de Ferreira, Louzada, Folgueiras y Peñafiel; y se han presentado al duque de para considerar la obra de sus manos, corrylacierdose en ver, por fruto de su Terceira el vizconde de Santa Marta José de Souza y el general Juan de Sil— trabajo y desvelos, al jóven delicado al lado del artesano honrado, y formando veira de Lacerda , declarando que venían á reconocer el gobierno de S. M. la lozana juventud de Castro-Urdiales líneas con ios carabineros, presentaba Doña María de la Gloria. i una masa homogénea de patriotismo y lealt…</t>
  </si>
  <si>
    <t>de Silveira, Presidente de la Cá</t>
  </si>
  <si>
    <t>Presidente de la Cá de Silveira</t>
  </si>
  <si>
    <t>…noche pasada ha dormido poco S. M. I.; pero estuvo tran Después de leída el acta de la sesión anterior, dice quilo, y ha pasado el dia sin novedad.=El médico de Cámara, F. E. Rodríguez El Presidente: »Acabo de recibir del Excmo. Sr. Presidente de la Cá de Silveira. (Gaceta oficial del Gobierno.) mara de los dignos Pares el siguiente oficio. = Excmo. y Rmo. Sr.: Tengo la honra de remitir á V. E., para que conste en la Cámara de Sres. Diputados da ___El dia 13 del corriente á las. tres de la túáe se trasladó al palacio de la nación portuguesa, la adjunta copia…</t>
  </si>
  <si>
    <t>de Smirna, Presidente del El Diario</t>
  </si>
  <si>
    <t>Presidente del El Diario de Smirna</t>
  </si>
  <si>
    <t>…o ruso en Persia es una mera invención, como también se hallan establecidas por los reglamentos generales de Sanidad, el proyecto de un empréstito de Mehemet-Alí. (G. de Augsburgo.') j En otra Real orden de ó de este mes avisa el Sr. Presidente del _____El Diario de Smirna asegura que Méhemet-Ali , irritado de los ataques Consejo de Ministros al referido Sr, Secretario del Despacho de lo que continuamente le dirige este periódico, ha enviado al embajador de Fran Interior, que deseando S. M. evitar modestias á los pasageros y tra cia en Constantinopla y al gobierno Ot…</t>
  </si>
  <si>
    <t>de Sojo, María Antonia</t>
  </si>
  <si>
    <t>María Antonia de Sojo</t>
  </si>
  <si>
    <t>…del mes actual, sin que hasta aquella fecha Vio Bilbaof | &lt;L Santiago y { do ofreciese cuidado. ca ANUNCIOS. . Ai*waldtl Elector. Se hallará de venta en 1* imprenta ¿e D. León Ama- &gt;¡t^, plazuela de.Qelenque) y en la librería de Doña María Antonia de Sojo, - . Seis vais para guitarra sacados de la ópera Norma, i 6 fs., y para fiauta S J, Ver dadera galop, sacada de la ópera Ana Bolina, para plano a i. Rigodones sacadas de calle de Carretas, á 4 rs.'va. dícña ópera para plano.o guitarra i i. Tercer acto coro aria y diserto de la ópera Este folleto de…</t>
  </si>
  <si>
    <t>de Somerurlos, Marques</t>
  </si>
  <si>
    <t>Marques de Somerurlos</t>
  </si>
  <si>
    <t>…cción en tras nor los hechos gloriosos del 21 y 22 del pasado, dignos de pasar á la posteri tornar el Gobierno establecido en que tengo parte.” dad , porque la historia presenta pocos sucesos semejantes. Casi Sorprendidos por ffl Sr. Marques de Somerurlos: »&gt; Digo francamente que no esperaba su los facciosos que entraron en el pueblo, apenas tuvieron tiempo pira refugiar friese una impugnación tan fuerte el artículo en cuestión, al reflexionar que es se á la torre en número de unos 4U Urbanos, contestando á ia intimación que te mismo Estamento ha pe…</t>
  </si>
  <si>
    <t>de Soria, El</t>
  </si>
  <si>
    <t>El de Soria</t>
  </si>
  <si>
    <t>…os, y que dentro de pocos dias se habra reahzadó com vida: su ejemplo fue seguido y segundado por los valientes oficiales, á los que pletamente este servido. confió el mando de Us columnas,, entre los que se distinguió el coronel Don El de Soria da parte en 22 de que desde el dia 19 se están admitiendo y Fermín Salcedo y el capitán de^ártlllería graduado de teniente coronel D. Mi acuartelando en la capital quintos*de los pueblos de la provincia. guel de Osma, sobrino del general, que al frente de 50 caballos dió una carga El de Zamora comunic…</t>
  </si>
  <si>
    <t>de Soria, María Antonia</t>
  </si>
  <si>
    <t>María Antonia de Soria</t>
  </si>
  <si>
    <t>…mpicu Real orden. la Oposición se ha declarado abiertamente; pero hay en Veracruz un partido He dado cuenta á la Reina Gobernadora de una instancia de qu- le es favorable. Santana tiene en la ciudad dos millones de dolars, que se Doña ¡María Antonia de Soria, acogiéndose bajo su Soberano ampa propone enviar por la costa cuando tenga bastantes tropas para escoltarlos. ro, como viuda de D. Felipe Arquimhau, teniente que fue del re- (Jdem.) imiento infantería de Extremadura; el cual, habiendo sido apre- ntAMCLA. endido por las hordas del rebelde Zumalacar…</t>
  </si>
  <si>
    <t>de Soto, Francisco y D Ignacio Pérez</t>
  </si>
  <si>
    <t>Francisco y D Ignacio Pérez de Soto</t>
  </si>
  <si>
    <t>…. 50ti mismo, tiene la Ventaja de ocuparlos en un ejercicio neeesario para mante El señor marques de Iturbieta.............................................,............... 2000ner la salud y para que no se relaje la disciplina. &lt; D. Francisco y D. Ignacio Pérez de Soto............................................. 1000 «Con el debido respeto, &amp;c^=El teniente general comandante interino de D. José Magon y Campaoeu............................... 60los cuerpos de ocupación de Africa, VoiroL” El Excmo. é limo. Sr. D. Manuel Fraile, obispo de Sigíienza y Pa- . triarca de las Indias................... .. . *......…</t>
  </si>
  <si>
    <t>de Soto, Rafael</t>
  </si>
  <si>
    <t>Rafael de Soto</t>
  </si>
  <si>
    <t>…s ligero síntoma de colera-morbo , si desde la primera evacua El Excmo. Sr. conde de Torcno, ministro de Estado y del Despa ción ha guardado abstinencia y procurado evitar cuanto pudiera agravar su in cho de Hacienda, por mano de D. Rafael de Soto................................ 3000 disposición. La secretaría del gobierno civil de esta provincia, en consecuencia de Aunque el desarrollo de la fiebre amarilla ó vómito negro se daba á otras suscripción mensual mientras duren las actuales circunstancias, ha causáis ademas del calor del clima, este influye poderosamente, y asi…</t>
  </si>
  <si>
    <t>de Sotomajor, Alvarez</t>
  </si>
  <si>
    <t>Alvarez de Sotomajor</t>
  </si>
  <si>
    <t>…alidad lo que á nosotros nos parece justicia; por mas que jos podrán servir para ser Procurador el padre. Me parece que esta fue la cues esta sea nuestra intención, la intención no basta cuando hablan los hechos. tión relativa al Sr. Alvarez de Sotomajor; y la comisión y el Estamento di «Vino el Sr. Vadiilo, y por no tener sus bienes en España se le dieron jeron que no. En cuantos casos han ocurrido de duda ha dicho la comisión que AO dias de plazo para que los pudiese traer , ó lo que es lo mismo, para que esto ya no se podía tomar en consideració…</t>
  </si>
  <si>
    <t>de Sotomapor, Agustín Alvarez</t>
  </si>
  <si>
    <t>Agustín Alvarez de Sotomapor</t>
  </si>
  <si>
    <t>…s en circunstancias tan aflictivas como las en que lo btzo;y de la.elección de -Procuradores. Se pasó á la comisión. al mismo tiempo , según su modo de expresarse, parece que quiere bacer extensiva Se dió cuenta del expediente de D. Agustín Alvarez de Sotomapor, por esta heroicidad Í los individuos del Estamento que concurrieron á aquel so bl provincia de Córdoba! la comisión opinaba que con arieglo al artículo lemne acto. En esta parte la comisión parece que debiera haber sido mas mi Id del reglamento se Je debía excluir de la lista de los Procuradores p…</t>
  </si>
  <si>
    <t>de Sotomayor, Agustín Alvaréz</t>
  </si>
  <si>
    <t>Agustín Alvaréz de Sotomayor</t>
  </si>
  <si>
    <t>…igado á hacer la expresada indi cación, por la cual pido al Estamento se sirva acordar que todo Procurador Sr. D- Juan Romero Alpuente, por Teruel. electo que en el término preciso de veinte dias después de esta resolución no Sr. D. Agustín Alvaréz de Sotomayor, por Córdoba. se presente personalmente,6 dé razón de las causas legítimas que le impidan Sres. Procuradores creados Príeeret por S. M.hacerlo, se le coniidere excluido del mismo Estamento, siguiéndose esta mis mo regla con ¡os que en adelante fueren nombrados, y contándose el término limo. Sr. D.…</t>
  </si>
  <si>
    <t>de Sotomayor, Agustín Alvarez</t>
  </si>
  <si>
    <t>Agustín Alvarez de Sotomayor</t>
  </si>
  <si>
    <t>…al interesado cuarenta d as para que pueda presentar los docu Se procedió i la discusión del dictámen de la comisión de poderes res mentos arreglados á lo que previene el reglamento.” Asi se aprobó. pecto á la exposición del Sr. D. Agustín Alvarez de Sotomayor. {Véase la se El Sr. Presidente di jo • «'Pasado mañana lunes se reunirá el Estamento sión de ayer.') con el objeto de oir la memoria que presentará el Sr. Secretario del Dc&gt;paEl Sr. Me Araño: «La comisión tiene poco que añadir á lo que expone_ .cho de Oficia y Justicia, por lo" TcUinvcTaT ministeri…</t>
  </si>
  <si>
    <t>de Sotomayor, Alvanez</t>
  </si>
  <si>
    <t>Alvanez de Sotomayor</t>
  </si>
  <si>
    <t>…patria , me hace someter con toda U decisión posible a lo que exijan de mí y pot consiguiente que no se está en el caso de aprobar los poderes del referido uno» compañeros tan digno* de representar i esta nación magnánima. El pri Sr. Alvanez de Sotomayor. f mer uso que debo hacer de esre honor es pedir al Estamento se voten gracias El Sr. González Alomo tomó la palabra: «No creo oportuno que volva al dícno Presidente interino, que con tinto acierto ha dirigido nuestros prime-' mos á discutir sobre la palabra bienes propios. Acaso se presentará algup…</t>
  </si>
  <si>
    <t>de Sotomayor, Blas</t>
  </si>
  <si>
    <t>Blas de Sotomayor</t>
  </si>
  <si>
    <t>…do desde luego decir El 11 salió de Sevilla la mayor parte del regimiento de caballería del Prín que ha sido herido en el momento de la carga el benemérito teniente coronel cipe con dirección á Mérida. capitán de dicha caballería D. Blas de Sotomayor, y contuso el teniente; ¡de ar Y al Montijo habla llegado, procedente de la misma ciudad de Sevilla, tillería retirado D. Francisco de Mora y Pauls, ayudante del referido brigadier lina batería de artillería. Bretón. El Pretendiente se mantenía en las inmediaciones de Santaren: el ex-ge- »La compor…</t>
  </si>
  <si>
    <t>de Sotomayor, D Agustín Alvaréz</t>
  </si>
  <si>
    <t>D Agustín Alvaréz de Sotomayor</t>
  </si>
  <si>
    <t>…obligado á hacer la expresada indi cación, por la cual pido al Estamento se sirva acordar que todo Procurador Sr. D- Juan Romero Alpuente, por Teruel. electo que en el término preciso de veinte dias después de esta resolución no Sr. D. Agustín Alvaréz de Sotomayor, por Córdoba. se presente personalmente,6 dé razón de las causas legítimas que le impidan Sres. Procuradores creados Príeeret por S. M.hacerlo, se le coniidere excluido del mismo Estamento, siguiéndose esta mis mo regla con ¡os que en adelante fueren nombrados, y contándose el término limo. Sr. D.…</t>
  </si>
  <si>
    <t>de Sotomayor, D Agustín Alvarez</t>
  </si>
  <si>
    <t>D Agustín Alvarez de Sotomayor</t>
  </si>
  <si>
    <t>…edan al interesado cuarenta d as para que pueda presentar los docu Se procedió i la discusión del dictámen de la comisión de poderes res mentos arreglados á lo que previene el reglamento.” Asi se aprobó. pecto á la exposición del Sr. D. Agustín Alvarez de Sotomayor. {Véase la se El Sr. Presidente di jo • «'Pasado mañana lunes se reunirá el Estamento sión de ayer.') con el objeto de oir la memoria que presentará el Sr. Secretario del Dc&gt;paEl Sr. Me Araño: «La comisión tiene poco que añadir á lo que expone_ .cho de Oficia y Justicia, por lo" TcUinvcTaT ministeri…</t>
  </si>
  <si>
    <t>de Sototnayor, Agustín Aivarez</t>
  </si>
  <si>
    <t>Agustín Aivarez de Sototnayor</t>
  </si>
  <si>
    <t>…nezuela se ha concluido Sr. Conde de las Navas. un convenio preliminar de amistad, comercio y navegación, firmado en Cara Sr. D. Pedro Alcalá Zamora. cas él día 11 del mes de Marzo del afio de 18331 convenio preliminar,.aúpan St. D. Agustín Aivarez de Sototnayor. ratificaciones se han cangeado en Caracas, el tercer dia del mes de Eneres deá riovtHciA os ■tratar*. Sr. D. José Ctarói. Exc.no. Sr. D. Juan Gualberto González. mrtcio establecidas hace muchos años entre los Estados de S. M. el Rey loy franceses y Venezuela, de favorecer su extensión y perpetuar s…</t>
  </si>
  <si>
    <t>de Sototpayor, Agustín Aivarez</t>
  </si>
  <si>
    <t>Agustín Aivarez de Sototpayor</t>
  </si>
  <si>
    <t>…angre esta sosteniendo el Trono de nuestra legítima Rkixa Se mandaron pasar á la comisión de Poderes los documentos justificati Doña Isabel 11; este aumento, que se figura en el estado ser de ocho millo vos de la aptitud legal de D. Agustín Aivarez de Sototpayor » electo Procu nes de reales, no es mas que de 5.5oo3 rs.; y de consiguiente , reunido este aumea* rador por la provincia de Cóidoba. to á los 24 millones que habia antes, son 29 millones, es decir, que el presu Se dió cuenta de un oficio d:l Sr. Secretario del Despacho ío Inte puesto de carabinero…</t>
  </si>
  <si>
    <t>de St, Ja.é</t>
  </si>
  <si>
    <t>Ja.é de St</t>
  </si>
  <si>
    <t>…i actual , haber totalmente desapa — i — Memoria sobre nuevas aplicaciones del Stttoscapo del,profesor Laennee, por J. recido las indicadas dolencias, quedando restituida su salud al buen estado que Us-franc, traducida por él Dr. D. Ja.é de St« rU., otedrátko del Re.l colegio de medicina, drugl» y farmacia del remo de Navarra. Uu cu*df mu en 4 ^ que se vende anteriormente disfrutaban ,&gt; según también se demuestra de los estados que en esta corte en la librería de Razoia, y en Pamplona eu la de Luugas ,3513, acompañan, y de qué tengo el h…</t>
  </si>
  <si>
    <t>de Stanhabem, Marques</t>
  </si>
  <si>
    <t>Marques de Stanhabem</t>
  </si>
  <si>
    <t>…no se habla de otra cosa en San Claudio y en todo el 1t marques de Paranagua., 1. Número de Votantes 131. Por consiguiente que departamento del Jura que de un pobre torneFe que ha encontrado en un pe- ' dó electo tutor el Excmo. Sr. Marques de Stanhabem, quo tantas pruebas tie dazo de madera de Levante, que iba á tornearpara hacer un taco de villar ó ne dadas de su capacidad para el importante cargo a que acaba de elevarle la , de trucos, un diamante enorme ,qüeha sido apreciado por los joyeros en 5009 mayoría de nuestros legisladores. ' francos á…</t>
  </si>
  <si>
    <t>de Suecia, Amelia</t>
  </si>
  <si>
    <t>Amelia de Suecia</t>
  </si>
  <si>
    <t>…s, y que nosotros solos hemos sencia de S. A. R. el gran Duque de Badén; de todos los miembros de la fa realizado en América, esto es, una monarquía- rodeada de instituciones popula milia gran-ducal reunidos aqui; de S. Al. R. la Princesa Amelia de Suecia; de res, qne son sin duda los elementos mas sólidos de la seguridad, de las mo SS. A A. el Principe y ia Princesa de Hohenzollern-Sigmaringen; del Excmo. narquías. el Sr. barón de Ottersfadt, enviado extraordinario y ministro plenipotenciario «Sr.: La Cámara os suplica que os dignéis decretar la pr…</t>
  </si>
  <si>
    <t>de Sujo, Julián</t>
  </si>
  <si>
    <t>Julián de Sujo</t>
  </si>
  <si>
    <t>…de la misma; á D. José Francisco ValtléS y Posada, oidor decano déla audiencia de Asturias; á Don Francisco García Chave*, oidor de la de Sevilla; á D. Jaime Perera INGLATERRA. y Rius, fiscal de lo civil de la de Vallailolid, y á D. Julián de Sujo, teniente de villa de Madrid: y en clase de fiscales, á D. Laureano LSndres 19 de Atril. de Jado y á D. Marcial Antonio López, que actualmente desempe ñan este cargo. Y es mi voluntad que los ministros de este superior El Times, cuando todavía duraba la funesta lucha de León, escribía lo tribunal o…</t>
  </si>
  <si>
    <t>de Súmemelos, Merques</t>
  </si>
  <si>
    <t>Merques de Súmemelos</t>
  </si>
  <si>
    <t>….riíc^los^q.ie la co reponían, los cuales deberían su El Sr. Presidente: «Acaba de aprobarse por el Estamento que se discuta jetarse á votación separada. párrafo por párrafo. Se ha interrumpido la discusión por el Sr. Lasanta con Sr. Merques de Súmemelos (levó los arts. 78 y 79) «Creo que estamos motivo de pedir que se drje para el sábado. No habiéndose admitido esta indi en el mismo caso que cuando se con'e&gt;tó al d scurso He U Corona." cación , me parece que debe continuarse aquella.” Sr. Cond' de las Navas’. «Primero se aprobó la totalidad, y lue…</t>
  </si>
  <si>
    <t>de Surga, Javier</t>
  </si>
  <si>
    <t>Javier de Surga</t>
  </si>
  <si>
    <t>…Canjayar á D. Gines María de las vincia que habían dado noticia de su estado sanitario era cortísimo el númeroHerís: para la de Avilé* á D. Pascual Argtlelles Toral: para la de Villanue- de casos desgraciados; va de los Infmtesá D. Javier de Surga: para la de Morilla del Palancar á D. José María Serrano: para el corregimiento de Talayera de la Reina á Don Francisco de Paula Murciano: para el de Requena á D. Eugenio Rufino Her La empresa del canal de Aragón, deseosa de propagar el ramo de arbolado nández: para el de Andujar á D. Laureano Rojo…</t>
  </si>
  <si>
    <t>de Sus, Ramón</t>
  </si>
  <si>
    <t>Ramón de Sus</t>
  </si>
  <si>
    <t>…de S. M.la ReujA Gobcreadora yde su. ds. estos y primicias ,.moviendo otro denotación de escuelas primarias, y acti augusta Hija fa Reina nuestra-Señora, diiefia de.estos-baños, ha dipuestp- vando le construcción dé cementerios. D. Ramón de Sus, gobernador ^administrador general del enunciado Real! El sorteo se realizó con la mayor prontitud en mas de 700 pueblos que sitio que de la compañía de seguridad de la provincia dc. Guadalajara. se esta-, comprende la provincia , sin que mediasen titas que 28 días desde la comunica-, blezca en él…</t>
  </si>
  <si>
    <t>de T, Joaquín</t>
  </si>
  <si>
    <t>Joaquín de T</t>
  </si>
  <si>
    <t>…s se ha servido S. M. la Reina tañares, viuda de Fernando de Oñate, asesinado en el mismo punto, Gobernadora nombrar subsecretario del ministerio de Hacienda á 2 reales de vellón diarios: á María Diaz, vecina de Soto de Canteros, D. Joaquín de T riarte, en atención á su mérito y circunstancias. viuda de Telesforo Romero, asesinado en Heredia, 2 reales de vellón diarios: á Antonia Maseda de Aguiar,vecina de Salvatierra, viuda de. Juan Rafael de Zabaleta, asesinado en el mismo punto, 2 reales de ve 5. lf. J. el Duque d- fírag mza, Recente de…</t>
  </si>
  <si>
    <t>de T.czana, Julián</t>
  </si>
  <si>
    <t>Julián de T.czana</t>
  </si>
  <si>
    <t>…s pectivas. no tengan derecho á ningún salario si dejaren ó hubieren viudedades siguientes: á Doña Sinforosa de Izaga, vecina de Manda- dejado de servir, cualquiera que sea ei mn'ivo. según se previno Tes, viuda con seis hijos de D. Julián de T.czana, subteniente de los en el citado decreto de 7 de Febrero de 1827. Pe Real urden lo di Voluntarios de Alava, asesinado en Heredia, tí reales de vellón dia go á V. S. para los efectos correspondientes. Dios guarde áV . S. mo rios: á Marújde A'arritu, vecina del lugar de Ortymaña, viuda con rbos años.…</t>
  </si>
  <si>
    <t>de Talley, Carlos Mauricio</t>
  </si>
  <si>
    <t>Carlos Mauricio de Talley</t>
  </si>
  <si>
    <t>…aordinario y Ministro plenipotenciario de S. M. Cató una renta correspondiente á su rango v nacimiento. Art 6'.’ S. M- la Reina Gobernadora, Regente de España du- - lica cerca de S. M. Británica. _ S. M. el Rey de los Franceses á D. Carlos Mauricio de Talley- rante la menor edad de su Hija Doña Isarfl ti. Reina de España, rand Perigord, Príncipe Duque de Talleyrand, Par de Francia, Em en virtud del presente artículo, declara su intención de asegurar al bajador extraordinario y Ministro plenipotenciario de S- M. el Rey Infante D. Cárlos, luego que saiga…</t>
  </si>
  <si>
    <t>de Talleyrand, Duque</t>
  </si>
  <si>
    <t>Duque de Talleyrand</t>
  </si>
  <si>
    <t>…'.’ S. M- la Reina Gobernadora, Regente de España du- - lica cerca de S. M. Británica. _ S. M. el Rey de los Franceses á D. Carlos Mauricio de Talley- rante la menor edad de su Hija Doña Isarfl ti. Reina de España, rand Perigord, Príncipe Duque de Talleyrand, Par de Francia, Em en virtud del presente artículo, declara su intención de asegurar al bajador extraordinario y Ministro plenipotenciario de S- M. el Rey Infante D. Cárlos, luego que saiga de los Estados españoles y portu de los Franceses, cerca de S. M. Británica , Gran Cruz de la Legión gueses,…</t>
  </si>
  <si>
    <t>de Tapia, Eugenio</t>
  </si>
  <si>
    <t>Eugenio de Tapia</t>
  </si>
  <si>
    <t>…pedimenros»tomo en 3.° porManualD. Eugeniodeteórico—rpráctitóTapia,.de4- losediciónjuiciosconsiderablonencede inventario y aumenparti Parece que el suelo de dicha provincia no es á propósito por su sequedad ción de herencias, por D. Eugenio de Tapia* 3.a edición aumentada. Un tamo en 8.-'— para la cria de la seda; y que aunque hay minas de carbón de piedra en el Al El Talismán,o Rica/do en Palestina, novela histórica del celebre Walter Scort. tra madén , hasta que no se mejoren los caminos no ser-m denunciadas por parti ducida al castellana po…</t>
  </si>
  <si>
    <t>de Taranco, D Manuel Or.tiz</t>
  </si>
  <si>
    <t>D Manuel Or.tiz de Taranco</t>
  </si>
  <si>
    <t>…los términos mas amorosos de que se hubiesen prestado á su bitantes por ia sagrada causa de la Reina nuestra Señora. invitación , añadió: *&gt;siempre es para mí un gran motivo de satisfacción verme Con tan plausible ocasión el Sr. intendente D. Manuel Or.tiz de Taranco, rodeado de personas que representan á los Soberanos de quienes recibo conti los empleados de hacienda y los de propios y corree s diatriba*, eron á ¡os po nuamente testimonios de buena correspondencia , y que en todas ocasiones me bres 22'*0 raciones de pan blanco y carne fresca de* 12 y 16 onzas…</t>
  </si>
  <si>
    <t>de Taranco, D Marcos Oxtiz</t>
  </si>
  <si>
    <t>D Marcos Oxtiz de Taranco</t>
  </si>
  <si>
    <t>…4.® El Sr. D. Pedro Lavigne, del comercio de ata ciudad, id. impreso en 1833, y adornado con lo láminas de grao tamaño».grabadas en dulce4 42 r$. rama, 46 rustica y 50 pasta común. Esta obra, debidaá la solicitud de 5. M. para El Sr. D. Marcos Oxtiz de Taranco, administrador de correos de ata ca fomento y prosperidad de nuestra industria, es indispensable á todos aquellos qué pital , id. El prebendado de ata santa iglesia catedral D. Luis Mufiiz, id. Quierane 16 dededicarseOctubre ádela1830;fabrlc-cíonmuy útily comercioá los quedelse salitre,ocupan deses…</t>
  </si>
  <si>
    <t>de Taranco, Manuel Or.tiz</t>
  </si>
  <si>
    <t>Manuel Or.tiz de Taranco</t>
  </si>
  <si>
    <t>…os mas amorosos de que se hubiesen prestado á su bitantes por ia sagrada causa de la Reina nuestra Señora. invitación , añadió: *&gt;siempre es para mí un gran motivo de satisfacción verme Con tan plausible ocasión el Sr. intendente D. Manuel Or.tiz de Taranco, rodeado de personas que representan á los Soberanos de quienes recibo conti los empleados de hacienda y los de propios y corree s diatriba*, eron á ¡os po nuamente testimonios de buena correspondencia , y que en todas ocasiones me bres 22'*0 raciones de pan blanco y carne fresca de* 12 y 16 onzas…</t>
  </si>
  <si>
    <t>de Taranco, Marcos Oxtiz</t>
  </si>
  <si>
    <t>Marcos Oxtiz de Taranco</t>
  </si>
  <si>
    <t>…El Sr. D. Pedro Lavigne, del comercio de ata ciudad, id. impreso en 1833, y adornado con lo láminas de grao tamaño».grabadas en dulce4 42 r$. rama, 46 rustica y 50 pasta común. Esta obra, debidaá la solicitud de 5. M. para El Sr. D. Marcos Oxtiz de Taranco, administrador de correos de ata ca fomento y prosperidad de nuestra industria, es indispensable á todos aquellos qué pital , id. El prebendado de ata santa iglesia catedral D. Luis Mufiiz, id. Quierane 16 dededicarseOctubre ádela1830;fabrlc-cíonmuy útily comercioá los quedelse salitre,ocupan deses…</t>
  </si>
  <si>
    <t>de Tarañcon, D Manuel Joaquín</t>
  </si>
  <si>
    <t>D Manuel Joaquín de Tarañcon</t>
  </si>
  <si>
    <t>…a inquisición ba no se volvió suprimido. De Martínez de Caslejon, marques de Velamazan, electo Procurador por la pro guiente , si no hay un decreto que rehabilitase la cobranza de este Voto, no sé vincia de Soria en reemplazo del Sr. D. Manuel Joaquín de Tarañcon, en que qué derecho hayan' tenido los canónigos para exigirlo. No existiendo pues esto manifestaba su imposibilidad de desempeñar dicho cargo. decreto, que no existe, á lo menos que yo sepa hasta ahora , no es tan claro el Quedó enterado el Estamento de una exposición del Sr. D. Manuel Ma derecho q…</t>
  </si>
  <si>
    <t>de Tarancon, Manuel Joaquin</t>
  </si>
  <si>
    <t>Manuel Joaquin de Tarancon</t>
  </si>
  <si>
    <t>…Gregorio García , por Guadalajara.mado el Estamento de las luces que forzosamente acumularía su presencia, y el D. José María de Monreal, por Navarra. otro que las provincias no tienen completa la representación que les está asig D. Manuel Joaquin de Tarancon , por Soria. nada, como quieren y deben querer. No soy de ios que votan, como suele de D. Pedro Pascasio Calvo, por Valladolid. cirse, en tropa: en todas ocasiones y compromisos, voto y he votado según me M. Manuel González Allende, por Zamora. , dicta mi convencimiento y mi conciencia; pero sí des…</t>
  </si>
  <si>
    <t>de Tarañcon, Manuel Joaquín</t>
  </si>
  <si>
    <t>Manuel Joaquín de Tarañcon</t>
  </si>
  <si>
    <t>…quisición ba no se volvió suprimido. De Martínez de Caslejon, marques de Velamazan, electo Procurador por la pro guiente , si no hay un decreto que rehabilitase la cobranza de este Voto, no sé vincia de Soria en reemplazo del Sr. D. Manuel Joaquín de Tarañcon, en que qué derecho hayan' tenido los canónigos para exigirlo. No existiendo pues esto manifestaba su imposibilidad de desempeñar dicho cargo. decreto, que no existe, á lo menos que yo sepa hasta ahora , no es tan claro el Quedó enterado el Estamento de una exposición del Sr. D. Manuel Ma derecho q…</t>
  </si>
  <si>
    <t>de Tejada, Crespo</t>
  </si>
  <si>
    <t>Crespo de Tejada</t>
  </si>
  <si>
    <t>…comisión , es para que lo redacte de nuevo, no para que lo destruya, como sin embargo , considero que son de bastante cuantía. ha hecho la comisión. «Respecto de esta deuda interior debemos también hacernos cargo que «Ha dicho el Sr. Crespo de Tejada, y se ha insistido y se insiste, en que aunque los españoles deban ser igualados con los extrangeros, en lo general para encontrar crédito es menester pagar lo que se debe. Yo diré á S. S. que aquellos están ligados no obstante con la Nación con obligaciones que no mi nosotros tenemos obligación de…</t>
  </si>
  <si>
    <t>…media. El Sr. Zdano-Chztvarn«Yo creo íjue según la indicación del Sr. Secre Se leyó y aprobó el acta de la anterior. tario de Hacienda, no solo debemos discufir los artículos del proyecto del Go El Sr. marques de Someruelos y el Sr. Crespo de Tejada , usando del de bierno , sino los de la comisión que seán compatibles con él.” recho que les concede el art. 87 del reglamento, pidieron que se expresase en El Sr. Secretare del Despacho de Hacienda dijo que habiéndose aproba el acta haber sido de contrario dictamen al art. 3.° aprobado ayer por el…</t>
  </si>
  <si>
    <t>…Hacienda, repuso que no le asustaban las mismas palabras; pero que, aplicarse á la deuda activa.” si no habia entendido mal, habia oido ( leyó el artículo.) Art. 6.a La deuda pasiva se compone de las partes de deuda mencionada El Sr. Crespo de Tejada expuso que la liquidación debería fijarse hasta en el art. |.° que no se hubiese convertido en deuda activa. l.° de Julio, sin perjuicio de que fueran devengándose los intereses; y que Las obligaciones de la deuda pasiva no ganarán ínteres; se proveerá ul creía que toda la deuda activa que se hubie…</t>
  </si>
  <si>
    <t>…rlo'tantoxreo que no debe su cuerda á cuyos extremos están agarrados ambos.poderes - la resistencia violenta do primirle'el artículo.*/ ^ . ■ a. ■ ;&lt; coalqáiera de éllos, ó de loados a lá vez, rompería, ia cuerda , y sabe Dio» El Sr. Crespo de Tejada: elle parece que convendría fijar en ¿1 la canti dónde irían ambos á parar. Dije jambien que para Inspirar un Gobierno pqqdad, guexi ¿ lo /que tendía mi-adición i uno de loa artículo» anteriores, y fianza á sus gobernados se necesitaban hechos positivos, y lo repito ahóra. So cuyo verdadero'lugar e…</t>
  </si>
  <si>
    <t>…trataba. esa voz trozos nos recuerda las glorias antiguas que refiere la historia de los Asi se acordó por el Estamento ¿ guerreros españoles con esta misma denominación, hallándose usada también Se leyó la siguiente adición del Sr. Crespo de Tejada: «Pido que á la pri en la ordenanza del año 86 de la Milicia destinada á guardar las'costas de la mera parte del art. 6.a se añada: £»tos individuos serán re&gt;ponsables de las Península.” cualidades de los alistados, á fin de no poner las armas en manos de lr&gt;* que no El Sr. conde de las Navas indic…</t>
  </si>
  <si>
    <t>…ia integridad y justicia del Go la comisión , si se atiende á estos hechos , pues en ambas veces se aprobó lo bierno de España.'” que hacia el parlamento y se desechó lo contrario á sus resoluciones. Asi que conclu)ó de hablar el Sr. Crespo de Tejada manifestó el Sr. Se «El 8r. Presidente de* Consejo de Ministros ha hecho varias observacio cretario Caballero que .c hab.a concluido la lisia de lodos los Sre¿ que ha- nes, mas bien respecto á política que respecto i hacienda , algunas de ias cua ¿feian pedido la palabra en pro y en contra de esta…</t>
  </si>
  <si>
    <t>…ndolo verificado el Secretario Trucha, resultó que jo: «Si el Sr. Rey D. Fernando yiene á España.deberá ser absoluto, como fue no por 43 contra 42* ron sus padres y sus abuelos.” Pues, señor, tai fue el chubasco que se levantó El Sr. Crespo de Tejada; «Estoy de acuerdo con el Sr. Caballero en en el Congreso y el público al oir tan inesperada como escandalosa expresión, ue se admita á discusión la indicación del Sr. Morales, en razón de que los que el Sr. Diputado Reina tuvo que desaparecer como por escotillón. Esta fue ? ondos que procedieron d…</t>
  </si>
  <si>
    <t>…arecía mas opor conveniente. tuno se dijese asi: «Pase el artículo 2.° á la comisión-para que lo redacte de El Sr. Secretario del Despacho de Hacienda expuso que el Gobierno nuevo.” no tendría reparo en admitir la proposición de! Sr. Crespo de Tejada, ptévia El Sr. marques de Falces contestó que la proposición la habia hecho an la declaración de si la compulsa de que habla hablado S. S. se dirigía solo á los tes de tomar resolución alguna el Estamento; pero que ningún reparo se le bonos de Córtes, ó á toda la deuda reconocida. ofrecía en modifi…</t>
  </si>
  <si>
    <t>de Tejada, D Francisco Crespo</t>
  </si>
  <si>
    <t>D Francisco Crespo de Tejada</t>
  </si>
  <si>
    <t>…ian por medio de sumaria; y cuando ia Se dió cuenta de haber nombrado la comisión de Consolidación, instalada parte contraria lo mega , el cabildo tiene el monstruoso privilegio de hacer una en e»:e dia, por decano de la misma al Sr. D. Francisco Crespo de Tejada, y contra-pregunta, por la cual deben ser examinados, antes de prestar la decla por Secretario al Sr. D. Joaquín María Ferrer. ración que deben dar, ios sencillos y rústicos testigos que presentan los litigan /./ Sr. Praidtntt: **Xo hay ningún asunto pendiente de que pueda ocu tes. E-u es una red e…</t>
  </si>
  <si>
    <t>de Tejada, Francisco Crespo</t>
  </si>
  <si>
    <t>Francisco Crespo de Tejada</t>
  </si>
  <si>
    <t>…...................................(.......................... 80 ordinario para la manutención general. (Gaceta de Francia.) D. José Lamas....................................................................................... 80 D. Francisco Crespo de Tejada , del comercio, por seis meses de sus ____:De Nueva-York, con fecha de 29 de Mayo, recibimos los pormenores cripción á fin de Diciembre.................................... ............... .................. 3&lt;5i) siguientes apere* del efecto que ha producido en aquel país haber sido desechada D. Ma…</t>
  </si>
  <si>
    <t>…por medio de sumaria; y cuando ia Se dió cuenta de haber nombrado la comisión de Consolidación, instalada parte contraria lo mega , el cabildo tiene el monstruoso privilegio de hacer una en e»:e dia, por decano de la misma al Sr. D. Francisco Crespo de Tejada, y contra-pregunta, por la cual deben ser examinados, antes de prestar la decla por Secretario al Sr. D. Joaquín María Ferrer. ración que deben dar, ios sencillos y rústicos testigos que presentan los litigan /./ Sr. Praidtntt: **Xo hay ningún asunto pendiente de que pueda ocu tes. E-u es una red e…</t>
  </si>
  <si>
    <t>de Tejada, Francisco Saenz</t>
  </si>
  <si>
    <t>Francisco Saenz de Tejada</t>
  </si>
  <si>
    <t>…a Doña lsABEiTír, la Secretaría del de Abril de 18¿4-—A D. Nicolás María Garelly. Despacho del Fomento, vacante por.renuncia de D. Javier de BúégOs. Tendréisló entendido, y lo comunicareis á quien corres- fjeseando proporcionar á D. Francisco Saenz de Tejada, oidor ponda-rcEstá rubricado de la Real mano, zu Eti Aranjuez á 17 de Me la audiencia de Granada, el honroso descanso que retlaman sus Abril de 1834-=A D. Francisco Martínez de la Rosa, Presiden-» buenos y dilatados servicios, avanzada edad y salud quebrantada, te del Consejo de Ministros. he veni…</t>
  </si>
  <si>
    <t>de Tejada, Montévírgen y del Sr Crespo</t>
  </si>
  <si>
    <t>Montévírgen y del Sr Crespo de Tejada</t>
  </si>
  <si>
    <t>…_ tes de intereses. Antes de hacer Suya el Estamento la totalidad de la deuda, hu El Secretario del Despacho de Hacienda; «Para conciliar loa deseos del biera sido justísimo ló manifestado por al Sr. preopinante; pero puliendo de Sr. Montévírgen .y del Sr. Crespo de Tejada me parece que podría hacerse una esa principio es variar el artículo.” . éoSa,yetque j los qiie te presentasen del l.° dé Enero al l.° de Julio,te les El Sr. Caballero: «Me parece queTa observación del Sr. García Atocha pagaran los intereses del semestre qut principiaba en l.° de Enero hasta l.°da…</t>
  </si>
  <si>
    <t>de Tena, D Juan</t>
  </si>
  <si>
    <t>D Juan de Tena</t>
  </si>
  <si>
    <t>…rdado conelSr. segundo general de * banzos, 4 60 id.: maíz, á 28 Íd.: habas, 4 36 id.este ejército D. Juan González Anleo:, y el gefe de estado mayor del mismo, Sevilla. (Provincia de)__Carmona (30 de Abril.) Trigo, de 42 á 46 rs.coronel D. Juan de Tena, quedan hasta que salga la referida vanguardia ó úl fanega: cebada, de 24 á 26 id.tima división , en el estado de marcha antes expresado; para el cual me rigió Erija. Trigo, de 44 á 48 rs. fanega: cebada , de 26 á 30 id.: garbanzos, dela coloCacion mas ó menos inmediata que tenían en Portugal, y mi…</t>
  </si>
  <si>
    <t>de Tena, Juan</t>
  </si>
  <si>
    <t>Juan de Tena</t>
  </si>
  <si>
    <t>…nelSr. segundo general de * banzos, 4 60 id.: maíz, á 28 Íd.: habas, 4 36 id.este ejército D. Juan González Anleo:, y el gefe de estado mayor del mismo, Sevilla. (Provincia de)__Carmona (30 de Abril.) Trigo, de 42 á 46 rs.coronel D. Juan de Tena, quedan hasta que salga la referida vanguardia ó úl fanega: cebada, de 24 á 26 id.tima división , en el estado de marcha antes expresado; para el cual me rigió Erija. Trigo, de 44 á 48 rs. fanega: cebada , de 26 á 30 id.: garbanzos, dela coloCacion mas ó menos inmediata que tenían en Portugal, y mi…</t>
  </si>
  <si>
    <t>de Tetino, José La Gaceta</t>
  </si>
  <si>
    <t>José La Gaceta de Tetino</t>
  </si>
  <si>
    <t>…e las obras de fortifica Habla con elogio d$Ta fábrica de aguardiente de--€o6ac, que £&gt;. Agustín ción de la plaza de Brrda seguían con mucho afan y rapidez. Escande piensa establecer en Algeciras, y de la eje cristales á cargo de D. José ——La Gaceta de Tetino del 13 anuncia que el gran Consejo dei cantón' ha Zcnon que existe en la ciudad de S. Fernando. • ••- * bía aprobado una ley en la'sesión del mismo dia sobre la libertad de imprenta Ha. mandado ai ayuntamiento de Villalucnga del Rosario que le propon Las restricciones propuestas por el gobierno eran mu…</t>
  </si>
  <si>
    <t>de Toledo, Ainuldez</t>
  </si>
  <si>
    <t>Ainuldez de Toledo</t>
  </si>
  <si>
    <t>…ontra la vida de Abbas-Mirza una conspi ración , que fue descubierta i tiempo; entonces cl Rey* para quitar á etc prín PROVINCIA PE NAVARRA. cipe rebelde toda es-peranza, de subir al irono, le declaró que et* hijo de una Avisa el conde Ainuldez de Toledo en oficio de 5 del presente que ea de ni concubinas» y que tolo Abtu* podía aspirar legítimamente á Ir corone.</t>
  </si>
  <si>
    <t>de Toledo, Armilde</t>
  </si>
  <si>
    <t>Armilde de Toledo</t>
  </si>
  <si>
    <t>…por la ventajosa posición que me ofrece sobre Sra. general Anleo y brigadier Figueras, para que aprovechen los instantes los enemigos, como por ponerme en comunicación directa con los Sres. Anleo, sobre Zumaiacarregui. Figueras, conde Armilde* de Toledo y demas destacamentos que he dejado en Al Sr. general D. Baldomcro Espartero le previne hoy anta de salir de Navarra anta de emprender la persecución del Prciend ente, Ce los que no re OSale lo conveniente, y por todo inferirá V. E. que en Cuanto á lo que á cibí la menor noticia hasta que he llegado…</t>
  </si>
  <si>
    <t>de Toledo, Armildez</t>
  </si>
  <si>
    <t>Armildez de Toledo</t>
  </si>
  <si>
    <t>…reditar que Esto decían los Secretario» del Despacho en £ de Abril del presente año. feunó las condiciones requeridas para lo» Proceres natos. S. M. la Reina Gobernadora , al abrir las Cortes generales deJ Reino, ea El Excmo. Sr. conde Armildez de Toledo remite un oficio en que inser aquel dia que será para siempre memorable en los fastos de la nación espa ta la órden Real del 17 de Agosto próximo comunicada por el Excelentísimo ñola, se dignó decir que eí a»ui}to que hoy va i ocupar la atencroa de este Sr. Presidente del Consejo de Ministros, mand…</t>
  </si>
  <si>
    <t>…, cuyo origen y motivo es objeto de las disputas, sino tam dita haber prestado en sus manos el juramento prescrito, como Prócer del bién por los beneficios recibidos posteriormente mediante la intercesión del reino, el Ezcmo. Sr. conde Armildez de Toledo. santo Apóstol, entre los cuales puede servir de cita particular la confirmación De otro por el que el Sr- Presidente del Consejo de Ministros traslada del Rey Alfonso xi, en que refiere la protección del santo en sus batallas con una Real órden comunicada al Sr. D. Antonio Cano Manuel, en la que S.…</t>
  </si>
  <si>
    <t>…onde de de ”1 abjada, id.; crzjde de Teba, ivi.; obispo de Vailadolid, ausente; cónde Montenegro; D. Gerónimo Valdes; D. Luís Balanzat; prímópe de Anglona; del Venadito, presente; duque de Veraguas, id.; D. Gaspar -Vigoáet, ídem; conde Armildez de Toledo; D. Miguel Tacón; D. Manuel Freiré; D. Caye marque» de VüUfucrtcs, id.; y duque de Zar.i¿o^a. tano Valdés; marques del Cerro; conde de Villanueva , y D. Jacobo María de El br. Presidente del Consejo de Mu.isiro» ie\ó un Real decreto expedi ^arga , con Real licencia. do por crl Sr, Secretario de Grd…</t>
  </si>
  <si>
    <t>…y del Despacho de la Guerra. 36, 5, 9, ii y 50, d. f. tí vol.: 47¿ y i á 60 y 27 d. f. vol. á prima de 4 y t p. loo. 1 Vales no consolidados, y 4 á ao y 40 d. f» vol.: u| ¿a4,6oy49d.£.d vol. i | Excmo. Sr.: El Excmo. Sr. general conde Armildez de Toledo, en parte prima de i, f y é p. 100. del 13 del actual me dice que aquel mismo dia al dirigirse para Bilbao la con Deuda negociable del 5 p. 100 á papel, oo» ducción de reclutas que para el 4° regimiento dé la guardia Real de infantería Id. sin interes, 00. Acciones del banco español, 00. se había s…</t>
  </si>
  <si>
    <t>…, con arreglo á los Reales decretos vigentes. bolsa db comercio. __ Cotización dt hoy 4 las tres 4$ 1* tardt. “ ESTADO SANITARIO DE¿ REINO. BVRCTOS PUBLICO*. yiREINATO DE NAVARRA. Inscripciones en el gran libro á 5 p. 100. 00. El conde Armildez de Toledo da parte desde Pamplona,.con fecha del Títulos al portador del i p. 100* s9¿ y 60 al contado: 63 y 62 á 60 d. f. ó yol. 12 del corriente, que la enfermedad reinante seguía en Corcíla en el cqísmp. Inscripciones eo el gran lloro á 4 p. 100, 00. Títulos al portador del 4 P&gt; 100, 12 al contado. estado ha…</t>
  </si>
  <si>
    <t>…añana del día siguiente para la parte de Urroz, á fin de poder continuar sobre ellos con la posible celeridad. ____ La Union de Bruselas dice que muchos capitalistas han vuelto á sus nego Por parte recibido en este ministerio del conde Armildez de Toledo, su cios, que habían suspendido con motivo de las ocurrencias del 5 y 6 de Abril; y que el trabajo abunda tanto en Bruselas y sus cercanías, que no hay brazos fecha 12 del corriente, desde Pamplona, se sabe que el genéral en gefe con la brigada de reserva y la del brigadier Oraa se hallaban en la m…</t>
  </si>
  <si>
    <t>…nte, el' Zawdt¿^r, formadp de todos los hom Osma; permaneciendo por a&amp;ora de comandante general de-Nav&amp;rra con cargos bres hábiles hasta la edad de*50 años,,compondrá un total de 3 ut)9 combatientes de virey el mariscal de canapé conde Armildez de Toledo, y'confiando de para la defensa del país en caso de guerra. Todos estos hombres regularmente nuevo la capitanía general de Extremadura al marques de Rodil, de cuya acen ar'taadbr yTtécnénf'éinetfte ejercitados estarán sujetos en caso de .peligró á las drada lealtad, señalados servicios y distinguid…</t>
  </si>
  <si>
    <t>…, afabilidad y liberalidad. La pu PROVINCIA DE NAVARRA. reza , dulzura y elegancia del estilo de Genofonte, han sido generalmente admiradas por los mas sabios críticos de la antigüedad, en cuyo supuesto excusado parece encare* El conde Armildez de Toledo manifiesta con fecha 15 del actual v que se cer su mérito. gún aviso de la junta de Sanidad de Corel la, desde la tarde del 9 al 11 inclu Los suscriptores á los Nuevos principios de economía política, ó de la riqueza sive , había disminuido en dicho pueblo el número de invadidos» y aun estos *n sus…</t>
  </si>
  <si>
    <t>…fuerza ,queexc-d.a en dos ter ban reunidos lodos los rebeldes guipuzcoanos, alaveses y navarros. Antes de cios á la de los leales; habiendo tenido mas ocasión de iobre»al¡r losrenieodo emprender mi movimiento recibi un oficio del conde Armildez de Toledo en la artillería los oficiales del mismo D Ignacio Bayon , espitan Je 'a compañía que me aseguraba, que las dos brigadas que se hallaban en Navarra con la caba de carabineros; D. Blas María Castelvich, de la de caradores; D. Francisco llería, emprenderían el suyo según les teuia prevenido para el d…</t>
  </si>
  <si>
    <t>…ando enfermas 43 personas; en Orón 13 muer NAVARRA. tos, 3ü curas v 25 personas continuaban enfermas; en Castrojenz fueron inva didas desde el dia 1S hasta el 22, "4 personas, curaron 50 y perecieron ll'ífi- Según parte que da el conde Armildez de Toledo con fecha 16 de! ac naimeiue en Villasilos desde 26 de Agosto hasta el dia de la fecha, perecieron tual , en los 18 pueblos de aquel distrito que sufrían e! colera se observaba ha 23 personas ber disminuirlo las invasiones y muertes desde el día 11 del mismo mes; la en PROVINCIA PE CASTELLON DE LA…</t>
  </si>
  <si>
    <t>…vireinato, y dejado en aquella plaza con las instruccio ralezaturalezay estadoy estadocondelrespectohombreáconla felicidad.respecto áEllacélebresociedad,nombrey por¿ieúltimo,su autor,deysula natudel!- I nes competentes al general conde Armildez de Toledo, salía en dirección de cada materia de que trara , constituyen este folleto deJ mayor aprecio para los lite— ] Sangüesa para ponerse al frente de las tropas reunidas de Alava, Navarra y ratos. Se halla de venta en el despacho de U imprenta Real. Aragón. Los suscriptores al Diccionario geográfico 'u…</t>
  </si>
  <si>
    <t>…ien conduce Zumaiacarregui con con sideración , tratándolo bien. = Este propio es de confianza, é informará ¿ El brigadier Figueras con fecha de ayer desde Zalira i las once de la no V. E. de los movimientos de los enemigos. z=El conde Armildez de Toledo.= che me dice: Es copia. = El marques de Rodil. »Según las noticias, los enemigos marchan á toda prisa sobre el Bastan, adonde llegarán mañana. He llegado á este punto y continúo mañana.. Sírvase Núm. 2® Excmo. Sr.=Son las seis de la tarde, hora en que ha llegado V. K. avisárselo al Excmo. Sr. D. J…</t>
  </si>
  <si>
    <t>…extraordinarias y ordinarias: las extraordinarias «i el día son penosa situación de los asuntos en.aquellas comarcas. Se nombró interinamente . aquellas qfie se aplican á los facciosos ó á las personas que se cogen con al general conde Armildez de Toledo; y la desgracia hizo que se hallase á la la$ armas en la mano atacando al Gobierno establecido. Yo preguntaría, al s*- sazón peligrosamente enfermo , y á duras penas puede decirse que ha encapado ñor conde de las Navas’ si en todos lo» casos en que se han cogido cabecillas ó del borde del sepulcro.…</t>
  </si>
  <si>
    <t>de Toledo, Arzobispo</t>
  </si>
  <si>
    <t>Arzobispo de Toledo</t>
  </si>
  <si>
    <t>…den participo á V. E. para su satisfacción y efectos oportu Estailo. Dios guarde á V. E. muchos años. S. Ildefonso 1? de Julio nos. Dios guarde á V. E. muchos años. San Ildefonso 1? de Julio ' de í834.=Jiicolas María Garefly.=Sr. Cardenal Arzobispo de Toledo. de 1834. = Francisco Martínez de la Rosa. =Sr. Secretario del Des pacho de lo Interior. MINISTERIO DE LO INTERIOR. Meóles órdenes. MINISTERIO. DE GRACIA Y JUSTICIA. He dado cuenta á S. M. la Reina Gobernadora de la exposición en que esa junta manifiesta los funestos resultados que ocasiona á los Meóle…</t>
  </si>
  <si>
    <t>de Toledo, Cardenal Arzobispo</t>
  </si>
  <si>
    <t>Cardenal Arzobispo de Toledo</t>
  </si>
  <si>
    <t>…l orden participo á V. E. para su satisfacción y efectos oportu Estailo. Dios guarde á V. E. muchos años. S. Ildefonso 1? de Julio nos. Dios guarde á V. E. muchos años. San Ildefonso 1? de Julio ' de í834.=Jiicolas María Garefly.=Sr. Cardenal Arzobispo de Toledo. de 1834. = Francisco Martínez de la Rosa. =Sr. Secretario del Des pacho de lo Interior. MINISTERIO DE LO INTERIOR. Meóles órdenes. MINISTERIO. DE GRACIA Y JUSTICIA. He dado cuenta á S. M. la Reina Gobernadora de la exposición en que esa junta manifiesta los funestos resultados que ocasiona á los Meóle…</t>
  </si>
  <si>
    <t>de Toledo, Francisco Octavio</t>
  </si>
  <si>
    <t>Francisco Octavio de Toledo</t>
  </si>
  <si>
    <t>…pluma en que se ejerci los géneros que, ' II Sr. alcalde mayor 2*° D. José Reina y Tósta, presidente. producción a modelos; cuya coexistencia Despreaux, del Boileau sino saber, célebre tó. no dejó El capiun de infantería retirado D. Francisco Octavio de Toledo, regidor con Racine, Moliere, Fenelon y demas célebres escritores del siglo que pudo llamar vocal. de oro la Francia, parecía como indispensable para que.con mas rapidez y exactitud El Sr. D. Antonio ds Padua Domínguez, teniente de cazadora de la Mi se fíjase ia opinión acerca del justo mérito de t…</t>
  </si>
  <si>
    <t>de Toledo, Procurador</t>
  </si>
  <si>
    <t>Procurador de Toledo</t>
  </si>
  <si>
    <t>…ad que ha fijado, de un oo- sobre.sus ruinas él de ún usurpador fanático! ¿No está dándole cuando pelea doiñdudable. Las noticias que ha adquirido no tiéne reparo en que se pongan con esa canalla, para valerme de la expresión del Sr. Procurador de Toledo, sobre la mesa para conocimiento de los Síes. Procuradores. De ellas aparece que, pues no conozco otra canalla qúe ia que trae males reales y efectivos á mi pa según la mayordomea mayor, se necesitaban 33.0/0,392 rs._vn. para los gastos; tria!, ¿No es un testimonio bastante decisivo de su amor al t…</t>
  </si>
  <si>
    <t>de Toreno, Conde</t>
  </si>
  <si>
    <t>Conde de Toreno</t>
  </si>
  <si>
    <t>…os Sres. Procuradores que se ha supuesto sumamente atra ción. Si se reprobare el artículo, podrá recaer la tvotacion sobre la indicación sada á esta nación, que se.ha hablado de su ignorancia, que se la quiere con que ha hecho el Sr. Conde de Toreno. fundir con la cafrería, y considerarla como la mas atrasada de Europa. Los Mi El Sr. Presidente: Lo único que se ha puesto á votación ahora es, si eí nistre $ jamas han dicho taLco^ifr calumniamos a ETnación ni la adulamos. El ^rtteulo se votará_á._RG por partes•. y habiéndose decidido que no, va á…</t>
  </si>
  <si>
    <t>de Tormo, Conde</t>
  </si>
  <si>
    <t>Conde de Tormo</t>
  </si>
  <si>
    <t>…n lo que es inflexible es en los principios, los cua «El Sr. Florez Estrada, con su conocida ilustración, ha suscitado una les cree de' stí deber sostener.” cuestión muy grave. El Gobierno está muy lejbs de rehuir en cuanto sú de Sr. Conde de Tormo: «Al Gobierno no le asustan principios ni pala ber se lo consienta, el dar sobre eSle punto las explicaciones convenientes - el bras-, lo único que ba dicho y dice es que no cree oportuno expresarlos aquí, Gobierno lamenta los males que ba causado y causa el abandono de esta impor y qué sil discusi…</t>
  </si>
  <si>
    <t>de Tormo, Copje</t>
  </si>
  <si>
    <t>Copje de Tormo</t>
  </si>
  <si>
    <t>…lo que es inflexible es en los principios, los cua , «El Sr. Florez Estrada, con su conocida ilustración, ha suscitado una les cree dé sti deber sostener.” Cuestión muy grave. El Gobierno está muy lejos de rehuir en cuanto su de Sr. .Copje de Tormo : «Al Gobierno no le asustan principios nt pala ber se lo consienta, el dar sobre esté punto las explicaciones convenientes; ei bras; lo único que ha dicho y dice es que no cree oportuno expresarlos aqui, Gobierno lamenta los males que ha causado y causa el abandono de esta impór y qué Su discusión…</t>
  </si>
  <si>
    <t>de Torreblanca, Antonio Castel</t>
  </si>
  <si>
    <t>Antonio Castel de Torreblanca</t>
  </si>
  <si>
    <t>…Y para gefes de la provincia ó partido , á los intendentes ó subdelegados fiscales de ambas salas de Marina, al brigadier D. Manuel Lobo y en defecto de contador. Al propio tiempo ha tenido á bien S. M. *1 auditor de departamento D. Antonio Castel de Torreblanca. mandar que esta resolución se entienda lo mismo en las subdelega Tendréislo entendido, y lo comunicareis á quien corresponda.^: ciones llamadas antes principales que en las que se denominaban de Rubricado de la Real mano en Aranjuez á 4 de Abril de 1834-= partido, pues que conforme al espíritu y le…</t>
  </si>
  <si>
    <t>de Torres, D Gregorio</t>
  </si>
  <si>
    <t>D Gregorio de Torres</t>
  </si>
  <si>
    <t>…a provincia, que Id. sin interes, 124 y 121 al contado: y 13 4 varias fs., vol. y fírme. Acciones del banco español, 00. para el manejo de los fondos destinados al socorro de los enfermos se habia for mado una jqnta compuesta del doctor D. Gregorio de Torres, vicario capitu CAMBIOS. lar eclesiástico, D. Patricio O-connor y D. Eusebio dei Olmo, de aquel co- Ámsterdam, 00. París, 16-1 á 2. Cádiz, 14 b. Sevilla, i b. Bayona, 00. Al (cante, á corto pla Cor uña, ¿ d. Valepcia, id. id. tnercio, cuyos individuos habían redactado un reglamento para llenar cump…</t>
  </si>
  <si>
    <t>de Torres, Domingo</t>
  </si>
  <si>
    <t>Domingo de Torres</t>
  </si>
  <si>
    <t>…planta de las - nombrando á D. Manuel Álvarez García intendente de primera clase secretarías del Despacho, y que se establezcan subsecretarios en cada una .de con el sueldo de este empleo. (Id.) ellas.(Núm. 12ü.) - — nombrando á D. Domingo de Torres director general de rentas en pro ' exonerando al gobernador civil de Jaén y nombrando en su lugar al mar piedad. (Id.) ques del Cerro de la Cabeza, (Id.) - ____ dando una hueva planta £ la Capilla Real. (Id.) ___ nombrando Proceres del reino para que tomen asiento en el Estamento Real órden mandan…</t>
  </si>
  <si>
    <t>…remitiria. El Sr. Ministro dió las órdenes opor discusión de los presupuestos á los Sres. D. Joaquín Uriarte, Subsecretario tunas á las oficinas, y la comisión hizo que uno de sus individuos fuese perso del Despacho de Hacienda, D. Domingo de Torres, Director de Rentas, y nalmente á avistarse con los gefes de ellas, los cuales le manifestaron lo dificil D. Joaquín Liafio, Intendente general del ejército. El Estamento quedó en que era la formación de la expresada lista. terado. «Asi que, no hemos tratado de inculpar á nadie, y mucho menos al Se…</t>
  </si>
  <si>
    <t>de Torres, Gregorio</t>
  </si>
  <si>
    <t>Gregorio de Torres</t>
  </si>
  <si>
    <t>…ncia, que Id. sin interes, 124 y 121 al contado: y 13 4 varias fs., vol. y fírme. Acciones del banco español, 00. para el manejo de los fondos destinados al socorro de los enfermos se habia for mado una jqnta compuesta del doctor D. Gregorio de Torres, vicario capitu CAMBIOS. lar eclesiástico, D. Patricio O-connor y D. Eusebio dei Olmo, de aquel co- Ámsterdam, 00. París, 16-1 á 2. Cádiz, 14 b. Sevilla, i b. Bayona, 00. Al (cante, á corto pla Cor uña, ¿ d. Valepcia, id. id. tnercio, cuyos individuos habían redactado un reglamento para llenar cump…</t>
  </si>
  <si>
    <t>de Torres, José</t>
  </si>
  <si>
    <t>José de Torres</t>
  </si>
  <si>
    <t>…rio-vaciló en atacarlos, sin embargo de no haber llagado cl subteniente Faltaría á mi deber si no recomendase encarecidamente á V. S al caysitan D. José Varo por la oscuridad y lo escabroso del camino, con tanta bizarría graduado D. José de Torres, al teniente graduado D. Ildefonso Mata, al sar ,que atacando las tres casas y rompiendo Jas puertas entro en ellas á la bayone gento 2.° Joaquín García, al sargento l.°, graduado de subteniente, D. José do ta , 4 cuyo tiempo llegó Varo, que se apresuró al oir cl fuego. Fue tal el aturdi Sta. Colom…</t>
  </si>
  <si>
    <t>de Torres, José Idaría Cordcro.áD Ramón</t>
  </si>
  <si>
    <t>José Idaría Cordcro.áD Ramón de Torres</t>
  </si>
  <si>
    <t>…dministración principal'de Vitoria,, y .él fe* fe* estacionadas en Jas sultor del tribunal de comercio de Jerez de li Frontera, vacante pOrakmiSKsn limítrofes con Aragón por la, de Zart^oza y .respectivas subalternas de ambas, de D. José Idaría Cordcro.áD. Ramón de Torres, en vista de fe propuesta solo.se destine al efecto un empinado práctico conel título dé administrador, hecha por el mismo tribunal. y otro con el de mozó-'ayudaate &lt;fe laestafetavolante del ejército de Navar- - ■ • - .i 'I . 's 1 ta , ios cuales asistan contigua i inmediatamente á las ¿edenes del…</t>
  </si>
  <si>
    <t>de Torres, Juan</t>
  </si>
  <si>
    <t>Juan de Torres</t>
  </si>
  <si>
    <t>…prenderlos , y aparentando no dar importancia al ambas guerrillas se despeñaban por alcanzar á los facciosos, y que la derecha aviso, después de cerradas las puertas pedí al alcalde dos prácticos que hice lle al ruando dél citado D. Juan de Torres mató un llamado oficial de ello* que var á uno de los cuarteles, y i Jas dos de ia mañana dispuse que el teniente á la carrera huí® por ei rio que circunda este pueblo; y que la de la izquierda D. Josef Varo, subteniente de Africa, con 40 hombres de su regimiento, se avanzando por la otra parte has…</t>
  </si>
  <si>
    <t>de Torres, Pedro</t>
  </si>
  <si>
    <t>Pedro de Torres</t>
  </si>
  <si>
    <t>…da se cita al dueño que resulte Contreras, habiéndose hecho mención honorífica de los concurrentes D. Ra ser del oficio de escribano de número de ia ciudad de Cádiz, servido últimamente fael y D. Josef María Maestre de ¿&gt;. Juan y D. Pedro de Torres, por I&gt;. Miguel Brignon, y que se pretende pertenecer al mayorazgo fundado por Do i En matemáticas fueron premiados el alumno de geometría D. Francisco ñaDueñasClara áCaballerofin de que, poren elagregacióntérmino deque30 díasá él hizocomparezcaDoña Teresaen dichoManuelasupremoVázqueztribunalde rDi…</t>
  </si>
  <si>
    <t>de Tortosa, El</t>
  </si>
  <si>
    <t>El de Tortosa</t>
  </si>
  <si>
    <t>…Ja villa de Reus* ta fin de año, y pide las sumas necesarias para llenar este objeto.” El de (a ciudad de Sevilla. Después de manifestar el modo de hacer frente á estos gastos extrordinaEl de la villa de Sueca. rios, continúa el ministro: El de Tortosa. »E1 gobierno al paso que cree importante estar en disposición de ocurrir La ciudad de Tudela. á los acontecimientos imprevistos que puedan sobrevenir desde hoy hasta el fin La Real junta y tribunal de comercio de Valencia* del año, desea igualmente limitarse á los gastos mas indispensables, para eco n…</t>
  </si>
  <si>
    <t>de Toubes, Julián</t>
  </si>
  <si>
    <t>Julián de Toubes</t>
  </si>
  <si>
    <t>…en persona, y tuvo la satisfacción de cer-» particular.' l " -• t.:'; , atorarse délo- mucho que se ha adelantado este importantísimo tea* Dios guarde á V. E. muchos afios. Málaga-25' de Marzo de N?. gracias aléelo del corregidor D. Julián de Toubes, y á los1 1834-=cExcniO. Sr.rrAntoníocMatia Alvarez.£rEjtcmo. Sr. acérela» poderosos auxilios suministrados por la mano benéfica del Excelenr rio de Estado y del Despacho-del Fomento general del reino. taimo $r. comisario general de Cruzada. El subdelegado se propo ne contribuir por cuantos medios…</t>
  </si>
  <si>
    <t>de Trassierra, Gerónimo de la Torre</t>
  </si>
  <si>
    <t>Gerónimo de la Torre de Trassierra</t>
  </si>
  <si>
    <t>…e del Consejó de Navarra D. Rafael Josef Cres sino de preparar , disponer y metodizar las cuestiones que deben discutirse. Hace ocho dias que nuestros ministros y los individuos dei cucépo diplo po, vengo en nombrar en su lugar á D. Gerónimo de la Torre de Trassierra, mático están dando grandes y magníficos convites. El que mas ha llamado laj oidor de la audiencia de Aragón; y.para sus resultas i D. Vicente Pereda, al atención ha sido el del embajador de Francia el conde .de Saint-Aulaire , por calde del crimen decano de la misma. Tendráse entendido en la Cámar…</t>
  </si>
  <si>
    <t>de Trastamara, Henrique</t>
  </si>
  <si>
    <t>Henrique de Trastamara</t>
  </si>
  <si>
    <t>…ue. la comisión adopta la idea, miento de Us Naciones, por ser el de la autoridad legítima, revalida en los Sün^ue-noda' totalidad-; y al hacerlo asi la comisión, se resuelve á recomendar Reyes hasta la misma usurpación. Por esto D. Henrique de Trastamara, contra al Estamento la base de esta conversión de deuda pasiva en activa; pero no a las leyes del reino, permaneció en el trono que manchó primero con la sangre adoptarla en Vos términos en que está, sino con algunas modificaciones que con de D. Pedro el Cruel, muerto á sus manos. Felipe v recobró…</t>
  </si>
  <si>
    <t>de Triarte, D Fermín</t>
  </si>
  <si>
    <t>D Fermín de Triarte</t>
  </si>
  <si>
    <t>…unica á este ministerio cí ' cietídovvér la imposibilidad de adoptar los consejos que dan en materia de con- parte que sigui?; &lt; ‘ ttifejcianes &gt;i y qUe solo la paz interior y exterior puede facilitar loa medios do Excmo. Sr.: El brigadier D. Fermín de Triarte me dice desde Carranza con ‘•aliviar i los contribuyentes. , t . ■ ; , . fecha 4 de éste mes lo siguiente: Excmo. Sr.: El teniente coronel "D. 'Isidoro JU Cimara declara el punto suficientementa discutido, y aprueba Jos ar de Oyos, comandante de una columna que ha salido de Santimj, con fecha de tí…</t>
  </si>
  <si>
    <t>de Triarte, Fermín</t>
  </si>
  <si>
    <t>Fermín de Triarte</t>
  </si>
  <si>
    <t>…te ministerio cí ' cietídovvér la imposibilidad de adoptar los consejos que dan en materia de con- parte que sigui?; &lt; ‘ ttifejcianes &gt;i y qUe solo la paz interior y exterior puede facilitar loa medios do Excmo. Sr.: El brigadier D. Fermín de Triarte me dice desde Carranza con ‘•aliviar i los contribuyentes. , t . ■ ; , . fecha 4 de éste mes lo siguiente: Excmo. Sr.: El teniente coronel "D. 'Isidoro JU Cimara declara el punto suficientementa discutido, y aprueba Jos ar de Oyos, comandante de una columna que ha salido de Santimj, con fecha de tí…</t>
  </si>
  <si>
    <t>de Tripiana, Pedro José</t>
  </si>
  <si>
    <t>Pedro José de Tripiana</t>
  </si>
  <si>
    <t>…ara la de Noviembre. Se dice que el gobierno intenta emplear la primavera próxima las San Roque á D. Francisco de Paula Linares: para la de Colmenar tropas en la obra del gran canal que ha de nnrr el Danubio, el Mein y el viejo i D. Pedro José de Tripiana: para la de Getafe á D. Francis Rhin. Una turba de incendiarios que han cometido muchas atrocidades en U ve co Herrero Blanco: para la de Carrion de los Condes a D. Agustín cindad de Landshut y Frcising, ha aparecido también en nuestras cercanías, y Gómez Inguanzo: para la de Bandé á D. Miguel Orte…</t>
  </si>
  <si>
    <t>de Ttueba, Tclesforo</t>
  </si>
  <si>
    <t>Tclesforo de Ttueba</t>
  </si>
  <si>
    <t>…on por unanimidad los 400 millones» V. M. = Conde" de Alínodovar , presidente. =: AÓtonio González, procurador basta cón Ja franqueza de no tomar en consideración las adiciones que so secretario. = Ferriiin Caballero , Procurador secretario.=Tclesforo de Ttueba ., hicieron» una sobre preferir para los empréstitos á ios españoles» y otra para Cosío, Procurador secretario =Franciíco Bclda y Asensio, Procurador secreta «que se negociasen las ¿cerones en Madrid; acordándose asimismo que no se ex rio. = fes copia.=González, Procurador secretario: == Caballero,…</t>
  </si>
  <si>
    <t>de Ueredia, Gonzalo</t>
  </si>
  <si>
    <t>Gonzalo de Ueredia</t>
  </si>
  <si>
    <t>…emo de Hacienda, instituido por mi Real decreto de de su jurisdicción. Marzo último, á D. José María Fernandez de Córdoba , D. Ma Art. S.° Los corregidores y alcaldes mayores de los pueblos nuel Pardo, D. Manuel Silvestre Armero, D. Gonzalo de Ueredia, D. José Rafael Villapol, D. Joaquín Fernandez Compani, (I) La división judicial de partidos, coo expresión de los pueblos que D. Marcelino de la Torre, D Ramón Macia de Lleopart, Don cada uno de aquellos comprende, y de su población respectiva, se ven Diego Martin Villodres y D. Manuel Antonio Cab…</t>
  </si>
  <si>
    <t>de Ufiarte, Juan Fausto</t>
  </si>
  <si>
    <t>Juan Fausto de Ufiarte</t>
  </si>
  <si>
    <t>…no ha dicho que la mitad pasiva y la otra mitad activa; pero oí una ni otro La referida cottúsion dió cuenta dé haber examinado otra solicitud igual han hablado aquí de los intereses. En donde se trata de ellos es ea el artícu de D. Juan Fausto de Ufiarte, electo" Procurador por la provincia de Soria; lo 6.° Cuando se discuta este es cuando se deberá decidir dicho punto, p^es ni siendo de dictátnén que debía accederse á ella, pues el -interesado no tenia en la mirtosía de la comisión ni el Gob»erno han hablado de él en el art. 4*°^ dicha provincia m…</t>
  </si>
  <si>
    <t>de Ugartechea, D Domingo</t>
  </si>
  <si>
    <t>D Domingo de Ugartechea</t>
  </si>
  <si>
    <t>…e gobernador civil de la prOFin&amp;la de Málaga; y hallándome En la ciudad de Monterey, capital del Estado líbre y soberano de híuerosatisfecha de sus serviciqs en el desempeño del mismo gobierno, y León, reunidos en la casa del Sr. coronel D. Domingo de Ugartechea, code los que contrajo anteriormente como oidor de la Real chancillería mandante principal de las armas del mencionado Estado, todos los señores gede Granada, es mi Real voluntad que se Le tenga presente para la fes y oficiales de la guarnición para tratar acerca de las convulsiones políticas conti…</t>
  </si>
  <si>
    <t>de Ugartechea, Domingo</t>
  </si>
  <si>
    <t>Domingo de Ugartechea</t>
  </si>
  <si>
    <t>…ador civil de la prOFin&amp;la de Málaga; y hallándome En la ciudad de Monterey, capital del Estado líbre y soberano de híuerosatisfecha de sus serviciqs en el desempeño del mismo gobierno, y León, reunidos en la casa del Sr. coronel D. Domingo de Ugartechea, code los que contrajo anteriormente como oidor de la Real chancillería mandante principal de las armas del mencionado Estado, todos los señores gede Granada, es mi Real voluntad que se Le tenga presente para la fes y oficiales de la guarnición para tratar acerca de las convulsiones políticas conti…</t>
  </si>
  <si>
    <t>de Ugena, Ramón</t>
  </si>
  <si>
    <t>Ramón de Ugena</t>
  </si>
  <si>
    <t>…traducida al español por D. Santiago de Alvarado y de la Peña : 4 to mos con 4 láminas, á 5a rs. en pasta.—Et Peregrino, ó Cristabela de Moivbray cluso el beaterío de la novela inglesa de Isabel Heluse, traducida dei francés por D. Ramón de Ugena: 2 Trinidad. . .................. 22 12 14 57 42 22 111 romos con 2 láminas, á 26 rs. pasta ; ambas se hallan en la librería de Razóla. [ S, Ildefonso...................... 12 1 2 )8| 13 12 44 —El Oráculo de preguntones, juego divertido para Las tertuliasde 24 preguntas y I S..Esteban..............…</t>
  </si>
  <si>
    <t>de Urbina, D Joaquin</t>
  </si>
  <si>
    <t>D Joaquin de Urbina</t>
  </si>
  <si>
    <t>…vo Marques de Guadal cazar , por Córdoba. catoria. Srei. Procuradores fallecidos. »No soy tan presuntuoso que pida se resuelva en el acto este asunto; an tes por el contrario, considero conveniente que se pase á una comisión para Sr. D. Joaquin de Urbina, por Málaga. que en vista do lo expuesto, y demas que juzgue oportuno,dé su dictámen.” El Sr. Presidente: »Yo celebro infinito que el Sr. preopinante se haya Resúmen. Presentes por haber prestado juramentó , 11¿: renuncias, 12: anticipado en semejante idea. Viendo la nieta el número de Procuradores…</t>
  </si>
  <si>
    <t>de Urbina, Joaquin</t>
  </si>
  <si>
    <t>Joaquin de Urbina</t>
  </si>
  <si>
    <t>…arques de Guadal cazar , por Córdoba. catoria. Srei. Procuradores fallecidos. »No soy tan presuntuoso que pida se resuelva en el acto este asunto; an tes por el contrario, considero conveniente que se pase á una comisión para Sr. D. Joaquin de Urbina, por Málaga. que en vista do lo expuesto, y demas que juzgue oportuno,dé su dictámen.” El Sr. Presidente: »Yo celebro infinito que el Sr. preopinante se haya Resúmen. Presentes por haber prestado juramentó , 11¿: renuncias, 12: anticipado en semejante idea. Viendo la nieta el número de Procuradores…</t>
  </si>
  <si>
    <t>de Urblna, D Juan</t>
  </si>
  <si>
    <t>D Juan de Urblna</t>
  </si>
  <si>
    <t>…io particular de comprobación de tas ^ exposición dé Ta ÍSa-'^pofia María Josefa Goicoechea yAlibina, noti— excusas que se aleguen-para renunciar , honorífico careo de representante' de 1a óáóméo el 'fallecimiento desbi'éápoio el Sr. D- Juan de Urblna, nombrado Pro- toafcion.” ' ' * ' esuador porMllaga. ’" ¡ Sr. Montes^: »&gt; Creo de mi deber manifestar quede ninguna manera pue Queiló entelado el Estamento de una exposición del Sr. D. José María de decir&amp;e que el interesado que motiva esta discusión se ha excusado por re López ele Pedraza, electo-…</t>
  </si>
  <si>
    <t>de Urdiejbsk, D M</t>
  </si>
  <si>
    <t>D M de Urdiejbsk</t>
  </si>
  <si>
    <t>…4^ enfermos, que los facultativos gradua Discurso sobre las pe»**, contraídoá las l^es céñninales de España par» fccili— ban 4e coléricos; y en los otros tres -se padecían enfermedades de todas cimea tjr su reforma; por el limo. Sr. D. M. de Urdiejbsk un roipoen 8.ü a I4 rs. en *in qu. ,1 número de fallecimientos llamase la atención. £1 Filólofo solitario* obra instructiva, cQriosay filosófica, cotnpuevto ,p.»r el cc«* lebre P. D. Teodoro dé Atmeida, de S. PeJIpe Neri de Lisboa; traducida e ¡lustrada . Mavnca es casiEuos de ia .tiatta. -vendenco…</t>
  </si>
  <si>
    <t>de Urdiejbsk, M</t>
  </si>
  <si>
    <t>M de Urdiejbsk</t>
  </si>
  <si>
    <t>…enfermos, que los facultativos gradua Discurso sobre las pe»**, contraídoá las l^es céñninales de España par» fccili— ban 4e coléricos; y en los otros tres -se padecían enfermedades de todas cimea tjr su reforma; por el limo. Sr. D. M. de Urdiejbsk un roipoen 8.ü a I4 rs. en *in qu. ,1 número de fallecimientos llamase la atención. £1 Filólofo solitario* obra instructiva, cQriosay filosófica, cotnpuevto ,p.»r el cc«* lebre P. D. Teodoro dé Atmeida, de S. PeJIpe Neri de Lisboa; traducida e ¡lustrada . Mavnca es casiEuos de ia .tiatta. -vendenco…</t>
  </si>
  <si>
    <t>de Uriarte, Joaquín</t>
  </si>
  <si>
    <t>Joaquín de Uriarte</t>
  </si>
  <si>
    <t>…ral■ ■ —Compendiode Sevilla.de la historia romana, escrito en forma de diálogo, un tomo en 8."' bieren dejado de servir. (Id.) Se hallara en Madrid en la librería de Razóla, yen Barcelona , en la de Sauri, á 6 deerrto nombrando á D. Joaquín de Uriarte subsecretario del tnioisIerÍQ rs. en rústica. de Hacienda. (Id.) Nota. El Febrero novísimo, que se anunció en lá Gaceta do ayer, se vende en es Real órden ¿ instrucción sobre el establecimiento de cordones sanitarios. (Nú taOtra.corte, £ncallela demitmaColoreros,Gaceta,bajadacolumnade S. 7.a,Gines,…</t>
  </si>
  <si>
    <t>de Ürrea, Manuel EFECTOS PUBLICOS</t>
  </si>
  <si>
    <t>Manuel EFECTOS PUBLICOS de Ürrea</t>
  </si>
  <si>
    <t>…Azcarate; espitan de in fantería graduado de teniente coronel, que con ia mayor actividad comunicaba poua i&gt;b coxB.BíCio.-~Cottzacfon dt hoy 4 las trts 4* la tsrds* las órdenes; al capitán de granaderos del provincial de Granada D..Manuel EFECTOS PUBLICOS. ¡- de Ürrea, herido levemente, al capitán D. Ramón Conti y Galiano, de ja com pañía de cazadores de Segovia , al teniente ríe la misma-D. José de Miera, y Inscripciones en el gran libro i $ p. 100, í6|^l contado. aí subteniente dé ídem D. Antonio Saaveríra, y D. José Valero, subteniente Tirulos al portador del…</t>
  </si>
  <si>
    <t>de Úrrej, Juan</t>
  </si>
  <si>
    <t>Juan de Úrrej</t>
  </si>
  <si>
    <t>…se dirigió por los montes que dividen las aguas &lt;Jel Deva y Urolajá las dos ho ras , y dando ya vista á Oñate, se reunió cl gobernador deVergara, el coronel —T. E] Constitucional se expresa del modo siguiente con motivo de la mo: D. Juan de Úrrej2tieta, que como encanecido en la carrera de las armas y • dificacíon que acaba de hacerse en el ministerio británico. lleno de emulación habia suplicado al comandante general que le permitiese »Estas elecciones completan el gabinete británico, desmembrado por la re concurrir á esta expedición, cond…</t>
  </si>
  <si>
    <t>de Urrutia, Antonio Fernandez</t>
  </si>
  <si>
    <t>Antonio Fernandez de Urrutia</t>
  </si>
  <si>
    <t>…¿T nuestras mas cafas opiniones, el resúmen de cuanto hemos atora.............................................................. ¿000 querido y de cuanto hemos solicitado tantos ferros, el hecho que consagra nuestros El Excmo. Sr. D. Antonio Fernandez de Urrutia............................. ]&amp;)0 ▼oto^ y el último''término de nuestras esperanzas? Cuando consideramos la El A. de M....................................................... .................................... 4000 monax^uta constitucional como el mejor y mas liberal de los gobiernos , como Un señor sacerdote. ...............…</t>
  </si>
  <si>
    <t>de Urrutia, D Antonio Fernandez</t>
  </si>
  <si>
    <t>D Antonio Fernandez de Urrutia</t>
  </si>
  <si>
    <t>…ón d¿T nuestras mas cafas opiniones, el resúmen de cuanto hemos atora.............................................................. ¿000 querido y de cuanto hemos solicitado tantos ferros, el hecho que consagra nuestros El Excmo. Sr. D. Antonio Fernandez de Urrutia............................. ]&amp;)0 ▼oto^ y el último''término de nuestras esperanzas? Cuando consideramos la El A. de M....................................................... .................................... 4000 monax^uta constitucional como el mejor y mas liberal de los gobiernos , como Un señor sacerdote. ...............…</t>
  </si>
  <si>
    <t>de V, A-L R P</t>
  </si>
  <si>
    <t>A-L R P de V</t>
  </si>
  <si>
    <t>…as importantes vidas de vuestra au París; y que el soplo exteangero, tan fatal á la Francia , fue el que quitó la, gusta Hija la Reina nuestra Señora y de V. M. Ecija 20 de Abril vida á Luis xvm , y derribó á Cárlos x. de 1834. = Señora. = A-L. R. P. de V.,M.=Roque Naranjo. = Lucas Varias voces piden que se cierre la discusión , y con este motivo pide la R u ba lea dos. = Manuel Cuenca. = José Antonio Alvarez.= Antonio Lo- palabra M. D’Argenson para que no se proceda i la votación. Después de mu zano.=Fernando Lucena,=Francisco Fernandez y Conde. =Cá…</t>
  </si>
  <si>
    <t>de V, D Jacobo María</t>
  </si>
  <si>
    <t>D Jacobo María de V</t>
  </si>
  <si>
    <t>…e indemnización que se les con El Excmo. Sr. Presidente dijo, que habiendo declarado el Estamento no cedían por la Real cédula de 11 de Marzo de 1824 9UC ha quedado sin efecto. válido el juramento que prestó en Betanzos el Excmo. Sr. D. Jacobo María de V como esto contraría las benéficas intenciones de la Rtiv v Gobernadora, Parga, no por culpa de S. E., sino por una involuntaria equivocación , iba á siendo por otra parte un axioma legal, que cuando existe identidad de razón, presentarse este ilustre Prócer á prestar el juramento prevenido por la l…</t>
  </si>
  <si>
    <t>de V, Jacobo María</t>
  </si>
  <si>
    <t>Jacobo María de V</t>
  </si>
  <si>
    <t>…demnización que se les con El Excmo. Sr. Presidente dijo, que habiendo declarado el Estamento no cedían por la Real cédula de 11 de Marzo de 1824 9UC ha quedado sin efecto. válido el juramento que prestó en Betanzos el Excmo. Sr. D. Jacobo María de V como esto contraría las benéficas intenciones de la Rtiv v Gobernadora, Parga, no por culpa de S. E., sino por una involuntaria equivocación , iba á siendo por otra parte un axioma legal, que cuando existe identidad de razón, presentarse este ilustre Prócer á prestar el juramento prevenido por la l…</t>
  </si>
  <si>
    <t>de V, Luis</t>
  </si>
  <si>
    <t>Luis de V</t>
  </si>
  <si>
    <t>…a sección de Indias del Consejo Real de España é Indias, alteraciones que la experiencia acredite ser necesarias para su ma creado por mi decreto de 24 de Marzo úitimo, vengo en nombrar yor perfección. , por el ramo de Hacienda á D. Luis de V rrejola. Tendréislo enten Art. 3.° Los alcaldes ordinarios de todos los pueblos cesarán dido, y lo comunicareis á quien corresponda—Está rubricado por desde luego en el ejercicio del poder judicial, que hasta el presente S. M =F.n Aranjuez á 19 de Abril de 1834—A D. José de Imáz hubieren desempeñad…</t>
  </si>
  <si>
    <t>de V, Manuel José</t>
  </si>
  <si>
    <t>Manuel José de V</t>
  </si>
  <si>
    <t>…rio del Despacho de Gracia y Justicia, D. Nicolás María Ga- Para formar ía dotación de la Real audiencia de Granada, ven Íelfy, se encargue interinamente de la Secfetaría del Despacho del go en nombrar, por la clase de oidores, á D. Manuel José de V il- "omento. r± Está rubricado de lá Real mano. = Aranjuez 17 de ches; á D. Antonio Heredia; á D. Lorenzo María Ferreras; á Don Abril de 1834—A D. Francisco Martínez de la Rosa, Presiden Mariano de la fuente; á D. Fernando López de Sagredo, qüc ac te del Consejo de Ministros. tualmente lo soh de la…</t>
  </si>
  <si>
    <t>de V.-M, B L R M</t>
  </si>
  <si>
    <t>B L R M de V.-M</t>
  </si>
  <si>
    <t>…Roma Octubre 25 de 1838. Dios nuestro Señor conserve la importantói- | ma vida de V. M. por largos año-* , para consolación y felicidad de U¡ nación La corporación de actores dramatices de España en una reverente expoj española.—Señora.= B. L. R. M- de V.-M.=Su obediente vasallo , Podro Al- suion filmada por vanos individuos de la* civnpjruu* de esta corté, ha dado I Cántara Jiménez , obispo de Cuma , vicario apostólico. creías a S. M. la Runa Gobernadora por habet^e dignado socorrerlos mienti2* m' p-'viian adquirir lo* mcduA de subsistir; por ei Real…</t>
  </si>
  <si>
    <t>de Va, José Manuel</t>
  </si>
  <si>
    <t>José Manuel de Va</t>
  </si>
  <si>
    <t>…stán en sostener el trono legíti á los Síes. D. Antonio Alcalá Galiano y D. Manuel Montes de Oca, en re mo y el actual órden de cosas, son ellos; y por lo tanto deben concurrir con emplazo de los Sres. D. Pedro Juan de Zuliteta y D. José Manuel de Va- sus esfuerzos á mantenerlo. Ai hacer cualquier solicitud todos ellos protestan dillo. su adhesión y su decisión á sostener la causa legítima hasta con la última gota A la misma se pasó una exposición del Sr. D. José Plándotit, electo Pro de su sangre. Pues bien; algo menos se les pide por mi parte.…</t>
  </si>
  <si>
    <t>de Vadillo, D José Manuel</t>
  </si>
  <si>
    <t>D José Manuel de Vadillo</t>
  </si>
  <si>
    <t>…por los trastornas pasados. ■ -1- qué ño se admita £ Tos qne’se hallen rfá ellos.” La comisión de poderes , en vista de la exposición nuevamente hecha por El Sr. Latorre: «La ley quiere que el que sea Procurador i Córtes pres el Sr. D. José Manuel de Vadillo, electo por la provincia de Cádiz, mani te una garantía á la Nación. ¡Qué contribuciones pagari el Sr. Vadillo en Es festando serle imposible trasladar á España los bienes que posee en pais ex- paña cuando sus rentas las tiene en pais extrangero: Ninguna. En el momento trangero , por lo que renunci…</t>
  </si>
  <si>
    <t>de Vadillo, José Manuel</t>
  </si>
  <si>
    <t>José Manuel de Vadillo</t>
  </si>
  <si>
    <t>…los trastornas pasados. ■ -1- qué ño se admita £ Tos qne’se hallen rfá ellos.” La comisión de poderes , en vista de la exposición nuevamente hecha por El Sr. Latorre: «La ley quiere que el que sea Procurador i Córtes pres el Sr. D. José Manuel de Vadillo, electo por la provincia de Cádiz, mani te una garantía á la Nación. ¡Qué contribuciones pagari el Sr. Vadillo en Es festando serle imposible trasladar á España los bienes que posee en pais ex- paña cuando sus rentas las tiene en pais extrangero: Ninguna. En el momento trangero , por lo que renunci…</t>
  </si>
  <si>
    <t>de Valbuena, Manuel</t>
  </si>
  <si>
    <t>Manuel de Valbuena</t>
  </si>
  <si>
    <t>…do presenta la feria un aspecto her Los oficios de Cicerón con los diálogos de la vejez, de la amistad, las paradoja# mosísimo. Entonces se interrumpen los negocios, y nadie piensa mas que en y el sueño de Scipion , inducidos por D. Manuel de Valbuena. Dos romos en 8.°. ter pasearse: la ciudad , el prado, las alamedas, la playa, todo está iluminado: la cera edición año de 18)8, á 2*2 rs. rama y 30 pasta común. El buen crédito del traduc concurrencia se extiende por todas partes, alegre, rápida y bulliciosa: los cla tor basta para recomendar esta trad…</t>
  </si>
  <si>
    <t>de Valencia, Juan Antonio Cástejon la</t>
  </si>
  <si>
    <t>Juan Antonio Cástejon la de Valencia</t>
  </si>
  <si>
    <t>…de mejoras de la provincia y dé la están á cargo de la misma, (/A) capital. ____ confiriendo a D. Jorge Gisbert la subdelegaron de Fomento de Alba Se ocupa en realizar los atrasos de propios y hacer las reformas convenien cete, i D. Juan Antonio Cástejon la de Valencia, y á D. Guillermo Mo tes en el tráfico de carnes. nguea la de Barcelona, vacante por haber sido nombrado director déla Real ' Ha dado las disposiciones necesarias' para que con frecuencia y en épocas, , caja de Amortización D. Antonio Barata, de cuyos servicios se ha servido ¿jas se administre la v…</t>
  </si>
  <si>
    <t>…de mejoras de la provincia y dé la están á cargo de la misma, (/A) capital. ____ confiriendo ! D. Jorge Gisbert la subdelegaron de Fomento de Alba Se ocupa en realizar los atrasos de propios y hacer las reformas convenien cete, á D. Juan Antonio Cástejon la de Valencia, y á D. Guillermo Mo tes en el tráfico de carnes. nguea la de Barcelona, vacante por haber sido nombrado director déla Real ' Ha dado las disposiciones necesarias' para que con frecuencia y en épocas, , caja de Amortización D. Antonio Barata, de cuyos servicios se (a sentido ¿jas se administre la v…</t>
  </si>
  <si>
    <t>de Valenzucla, Josef</t>
  </si>
  <si>
    <t>Josef de Valenzucla</t>
  </si>
  <si>
    <t>…principia á discutir el proyecto de ley relativo á la organización de la cunstancias y las sabias prevenciones de la excelsa Reina Gobernadora. El al- I diputación del departamento del Sena, y de las de sus partidos. ferez mayor D. Josef de Valenzucla, maestrante de Granada, acompañado del Los Sres. Héctor d'Aunay , Satvcrte, Delaborde, Jaubert, O. Barrot y los .ayuntamiento, autoridades y de la nobleza, levantó pendones en la plaza ma ministros de Comercio y del Interior, hacen varias reflexiones, ya en pro, ya yor por $. M., y en seguida se ar…</t>
  </si>
  <si>
    <t>de Vargas, Amonio García</t>
  </si>
  <si>
    <t>Amonio García de Vargas</t>
  </si>
  <si>
    <t>…doaquellosextensivaque esta?n cualquiercitación porconceptoel propiose considerentérmloo y apercibimientoacreedores 4 'Josindi—ble— califas , se apresuraron á destruir todos los campanarios que hallaros en las igle nés de! citado D. Amonio García de Vargas. _ ’ sia» cristianas. Fueron mas bien recibidos nuestros viageros por .el gefe de los ■ Por providencia del Sr.. Norxagaray, refrendada del eacribeno SJerriu ae cita k to—1 tschercks, y se adelantaron de Kubacha hasta TiffliS, dónde.les hizo.igual das las personas que én concepto de acreedores se co…</t>
  </si>
  <si>
    <t>de Vclasco, Joaquín</t>
  </si>
  <si>
    <t>Joaquín de Vclasco</t>
  </si>
  <si>
    <t>Gaceta de Madrid n.º 318</t>
  </si>
  <si>
    <t>…bio (a) Albaladejo, cuyos 4 individuos fueron fusilados al poco tiempo. También noticia, que el coman Después del borrascoso período, en el cual circunstancias extraordina dante del batallón de seguridad pública de esta provincia D. Joaquín de Vclasco rias , inopinadas é imperiosas crearon una especie de dictadura, que cedien le da parte deFtotai aniquilamiento de la facción de Pablo Santos con muer do á lá necesidad, y á la ley suprema de la salvación de la patria, se veia te de muchos de sus individuos y desaparición de los restantes. obligada…</t>
  </si>
  <si>
    <t>de Ve, Gabriel</t>
  </si>
  <si>
    <t>Gabriel de Ve</t>
  </si>
  <si>
    <t>…las«de. Algoraxy ArGarcía Socasa , y D* José García á los voluntarios D. Juan Pardo, D. Apo - eos, del .partido de .Sigüenza. linar Garda* D- Gabriel Trucha* D. Justo Fernandez, menor, D. Manuel de ¡PROVINCIA DE KADRID. la Peña, D. Gabriel de Ve lasco , D. Lázaro de Arredondo, D. Gil García, D. Indalecio del Corral, D. Miguel Garmilla, D. Manuel Zorrilla; y en Del parte recibido el dia'20 del actual en el«3*ebíern©.'civil&gt;de».esta propartícularal capitán de Betanzos O. Vicente María Seguróla. -vincia aparece queel dia*I6 delqiropio había e…</t>
  </si>
  <si>
    <t>de Vedoya, D Ramón Gómez</t>
  </si>
  <si>
    <t>D Ramón Gómez de Vedoya</t>
  </si>
  <si>
    <t>…y se comportaron con la bizarría y denuedo el mismo dia entraba en Sos. que acostumbran , en cuantas deseadas ocasiones se presenten de manifestar su acrisolada fidelidad á la Rüina nuestra Señora, no puedo menos de manifestar El brigadier D. Ramón Gómez de Vedoya, gefe de la columna de la iz á V. E el excelente comportamiento de todos los oficíales que componen mi quierda de Castilla la Vieja, da parte con fecha 12 del corriente desde Concha plana mayor, que tanto en este dia como en todas las demas operaciones mi de Carranza, que'.con su columna y la del c…</t>
  </si>
  <si>
    <t>de Vedoya, Ramón Gómez</t>
  </si>
  <si>
    <t>Ramón Gómez de Vedoya</t>
  </si>
  <si>
    <t>…rtaron con la bizarría y denuedo el mismo dia entraba en Sos. que acostumbran , en cuantas deseadas ocasiones se presenten de manifestar su acrisolada fidelidad á la Rüina nuestra Señora, no puedo menos de manifestar El brigadier D. Ramón Gómez de Vedoya, gefe de la columna de la iz á V. E el excelente comportamiento de todos los oficíales que componen mi quierda de Castilla la Vieja, da parte con fecha 12 del corriente desde Concha plana mayor, que tanto en este dia como en todas las demas operaciones mi de Carranza, que'.con su columna y la del c…</t>
  </si>
  <si>
    <t>de Veembajada, Ramón Rodríguez</t>
  </si>
  <si>
    <t>Ramón Rodríguez de Veembajada</t>
  </si>
  <si>
    <t>…esentada en la corte de San James por fallecimiento de D. Salvador Miralles, D. Antonio Martínez Arroyo y Don un secretario de legación; el Austria por un oficial llamado consejero de la Toribio Parfrondi, á D. Vicente del Campo, D. Ramón Rodríguez de Veembajada; la Rusia por un miembro subalterno del cuerpo diplomático coh lasco y D. Manuel Sánchez Cid; para una alcaldía del crimen de Albacete y carácter temporal, y muy pronto representará á la Prusia un secretario ó en otra de Cataluña, vacantes aquella por fallecimiento de D. Manuel Romera cargado de Ne…</t>
  </si>
  <si>
    <t>de Vega’Seoane, Domingo Antonio</t>
  </si>
  <si>
    <t>Domingo Antonio de Vega’Seoane</t>
  </si>
  <si>
    <t>…ori- (ginal bajo la tesponsabüidad consiguiente si faltaren á ella. Extracto del parte remitido por el jobernador civil de la provincia de Za . 6-1 Que sj .los postores llegasen ¿. pasasen de la expresada cantidad designa ragoza D. Domingo Antonio de Vega’Seoane con fecha de 4 de Junio actual. da, se eniendeF.á'féinat&amp;do en eUos».eltAlmanac por ci año inmediato y. otro» &lt;Jteqtque.se. puefecontar con una mas que regular cosecha, excepto en el tr.es mas, -que^ao^ oon derecho, á continuar en el remate por este término si partido de Clnco ViJlas, en donde se t…</t>
  </si>
  <si>
    <t>de Velasco, Luis José Veiazquez</t>
  </si>
  <si>
    <t>Luis José Veiazquez de Velasco</t>
  </si>
  <si>
    <t>…s doblasen la cerviz y entregasen sus fortalezas á las últimas razones de los Católicos Reyes. También seria conducente para esta, averiguación el registrar los sesenta y ANUNCIOS. siete volúmenes que formó de sus viages el sibio D. Luis José Veiazquez de Velasco , marques de Vatdcflorra, y que presentó á la academia de la Historia, y para que no se dude de que en ellos se encontrará quizás lo que se desea, con Obras que se hablan de veleta en el despacho de la Jmprenta Real* bastante probabilidad, se dará una idea de 1 os trabajos de este escritor. A me La…</t>
  </si>
  <si>
    <t>de Velasco, Ortiz</t>
  </si>
  <si>
    <t>Ortiz de Velasco</t>
  </si>
  <si>
    <t>…o mas racional que podía presentarse á los extrangeros. Digo zúas : creo Art. 3.° «Toda esta deuda extrangera se distinguirá en adelante en deuda que de este modo se hubiera aumentado nuestro crédito. activa y deuda pasiva. \ «El Sr. Ortiz de Velasco ha dicho que reconociéndose ahora toda la deu « Su conversión en deuda activa y en deuda pasiva se ejecutará en la pro da, subirla nuestro crédito cuanto ba bajado. Yo no soy de este dictámen, porción de dos terceras partes en deuda activa, y una tercera parte en deuda porque después del golpe que…</t>
  </si>
  <si>
    <t>…para remediar en parte los .males que pesan sobre nuestra moribunda la petición siga ¿us trámites regulares y se eleve al conocimiento de S. M. por agricultura por consecuencia de la amortización.” si tiene á bien sancionarla? Ei Sr. Ortiz de Velasco dijo que al pedir la palabra no había sido su ani « Señores r que tiene un derecho de que no se le puede despojar, aquel á mo combatir las ideas de los señores peticionarios, y que si bien conocía los quien se legó una misa, aquel hospital á quien se le dejó una mqnda &amp;c. &amp;c. niales que la amortiza…</t>
  </si>
  <si>
    <t>de Veracru, Censor</t>
  </si>
  <si>
    <t>Censor de Veracru</t>
  </si>
  <si>
    <t>…copia.=Ramos. una vehemente sensación en la conciencia timorata de un gran número de ha EscopÍ3.=S. Luis Potosí Julio 24 de 1834-=Francisco de Andrade, bitantes del Estado y fuera de él; y últimamente, que el reciente decreto nú secretario. (Censor de Veracru&amp;í) mero 368 ministraba armas á los descontentos y poco conformes con el ac CRECÍA. tual órden de cosas, para hacer una asonada escandalosa y funesta por sus re Nauplia 18 de Octubre. sultados; haciendo uso el Gobierno de las facultades extraordinarias con que se halla investido, y persuadido por ot…</t>
  </si>
  <si>
    <t>de Verlasco.zrPrior, D Francisco</t>
  </si>
  <si>
    <t>D Francisco de Verlasco.zrPrior</t>
  </si>
  <si>
    <t>…yudar con su consejo y experiencia á la pacifica José Ricardo O-Firrill ==Sr. D. Anastasio Carrillo y Arango, alcalde ordinación de Siria. Hoy se ha verificado su salida del puerto, acompañado del coro ri&lt;i.=:Conde de Santoven¡a.=Coronel D. Francisco de Verlasco.zrPrior del con nel Campbell, cónsul general de Inglaterra, y se dice que Ibrahim-bajá está vento de Santo Domingo.=:D. Joaquín Gomez.=D. Narciso García Mora. actualmente en JafFa , donde espera 4 su padre. No debe inferirse sin embargo, Convocados los S.es. vocales de la junta superior demandad por el diario…</t>
  </si>
  <si>
    <t>de Verlasco.zrPrior, Francisco</t>
  </si>
  <si>
    <t>Francisco de Verlasco.zrPrior</t>
  </si>
  <si>
    <t>…n su consejo y experiencia á la pacifica José Ricardo O-Firrill ==Sr. D. Anastasio Carrillo y Arango, alcalde ordinación de Siria. Hoy se ha verificado su salida del puerto, acompañado del coro ri&lt;i.=:Conde de Santoven¡a.=Coronel D. Francisco de Verlasco.zrPrior del con nel Campbell, cónsul general de Inglaterra, y se dice que Ibrahim-bajá está vento de Santo Domingo.=:D. Joaquín Gomez.=D. Narciso García Mora. actualmente en JafFa , donde espera 4 su padre. No debe inferirse sin embargo, Convocados los S.es. vocales de la junta superior demandad por el diario…</t>
  </si>
  <si>
    <t>de Vi, José García</t>
  </si>
  <si>
    <t>José García de Vi</t>
  </si>
  <si>
    <t>…------Los suscriptores a la obra Historia de la vida y vtagr- di Cristóbal Colon, escrita y los gastos de su culto. De modo que los católicos y los disidentes irlande en ingles por Wasington Irving, y traducida al castellano por D. José García de Vi— llaira, pueden acudir 4 las libreríasen que esten suscritos, y se les entregara el tomo 4.° ses , que forman un total de 7 millones de almas, sostienen ellos solos los es .y último de la obra. . tablecimientos religiosos. ——Elementos de la ciencia de Hacienda, por D. José Canga Argñelles. Un tomo…</t>
  </si>
  <si>
    <t>de Vicente, D Manuel</t>
  </si>
  <si>
    <t>D Manuel de Vicente</t>
  </si>
  <si>
    <t>…Miguel, hermano de la. Princesa difunta; habiendo supli- Nuestra reserva continúa este mismo movimiento, siempre de altura en al Cári&lt;w« É&gt;b ern0 friace&gt; P?rmiticse Paslr por Franca el correo dirigido á Don tura con el expresado comandante D. Manuel de Vicente; pero como los rebel de» habian subido por una pendiente mas suave, se disponían á atacar á las ocho soldados, que con el ayudante Rodríguez se hallaban en la cumbre observando sus movimientos. En este momento llegaron los primeros trozos de la columna Partet recibidor en la Secretaría de Sitado y…</t>
  </si>
  <si>
    <t>…arde llegando á Villaro á las doce de la noche, calculé que su entrada en el dos; cuya pérdida se ha repuesto ya con los aprehendidos en la acción. valle de Arratia tenia por objeto volver á Guipúzcoa pasando por entre 0.h m - El comandante D. Manuel de Vicente me asegura que nada le han deja diano y Villa-Real; y en su consecuencia salí de Durango para situarme en do que desear los individuos de la columna; que han rivalizado lodos en valor este punto y obrar consecuente con sus movimientos: á media legua de esta y decisión ; pero que faltaría á su deber…</t>
  </si>
  <si>
    <t>de Vicente, Manuel</t>
  </si>
  <si>
    <t>Manuel de Vicente</t>
  </si>
  <si>
    <t>…la órden de atender á las Merindades y Encartaciones, ohrando en combi la situación de los rebeldes; y que la columna al mando del 2.° comandante nación con la 3.* brigada del mando del coronel Quintam. También he dj-io de Borbou D. Manuel de Vicente que envié , pernoctó en Foncea, habiéndolo órden para que el coronel Mir, con 390 hombres de Castilla y 25 cabalo*., se yo verificado en Alubic, ¿media legua de distancia, adonde llegué á las/doce dirija hacia Puente la Rá con buenos guias de los Urbanos de Pancorvo, a fin y media de la noche. de q…</t>
  </si>
  <si>
    <t>…que vuelvan á su ubediencia aquellos des Miranda y comandante de batallón Las Heras. graciados distritos (Diario de los Debates?) De los minuciosos y extensos detalles que me comunica ayer desde Frías el 2.® comandante de Borbon D. Manuel de Vicente, que mandaba nuestra ------Rodil, de vuelta de Roncesvalles y los valles que le rodean, atraviesa el columna , resulta que cumpliendo con lo que le previne desde Altable en la Bastan, y parece querer ocupar esta vez algunos de *u* puntos por gruesos des madrugada del 9 para que fuese decididamente…</t>
  </si>
  <si>
    <t>…do á Villaro á las doce de la noche, calculé que su entrada en el dos; cuya pérdida se ha repuesto ya con los aprehendidos en la acción. valle de Arratia tenia por objeto volver á Guipúzcoa pasando por entre 0.h m - El comandante D. Manuel de Vicente me asegura que nada le han deja diano y Villa-Real; y en su consecuencia salí de Durango para situarme en do que desear los individuos de la columna; que han rivalizado lodos en valor este punto y obrar consecuente con sus movimientos: á media legua de esta y decisión ; pero que faltaría á su deber…</t>
  </si>
  <si>
    <t>de Vidart, José Domingo</t>
  </si>
  <si>
    <t>José Domingo de Vidart</t>
  </si>
  <si>
    <t>…la paz, que Can bien sabe combinar el pueblo lucenss con la alegría y el Grávete Lsvet, entusiasmo. 21 7 1 1* 22 6 i t» w 23 7 *» M n »» »» 1» H 1 Extracto del parte remitido por el gobernador civil de la provincia de Cá 24 y diz D. José Domingo de Vidart, con fecha de 2 de Mayo. 2S 6 ** »» 2 n Trata de promover el sistema de riegas, y de generalizar el cultivo de la &lt;■5 rubia. Ha prevenido las sábias intenciones de S. M. estableciendo desde la insta Indice de ¡os Urales decretos y órdenes que se han publicado en este periódico lación de aquella sec…</t>
  </si>
  <si>
    <t>…y la paz, que Can bien sabe combinar el pueblo lucenss con la alegría y el Grávete Lsvet, entusiasmo. 21 7 1 1* 22 6 i w 23 7 *» M n »» i» It H 1 Extracto del parte remitido por el gobernador civil de la provincia de Cá 24 y diz D. José Domingo de Vidart, con fecha de 2 de Mayo. 2S 6 ** »» 2 n Trata de promover el sistema de riegas, y de generalizar el cultivo de la &lt;0 rubia. Ha prevenido las sábias intenciones de S. M. estableciendo desde la insta Indice de ¡os Urales decretos y órdenes que se han publicado en este periódico lación de aquella secr…</t>
  </si>
  <si>
    <t>de Vigo, Fxóilan</t>
  </si>
  <si>
    <t>Fxóilan de Vigo</t>
  </si>
  <si>
    <t>…es, á tiempo que dicho coronel. adelantando en guer rilla las dos compañías de cazadores, al mando del digno teniente coronel del Se saca á pública robaste por el término de tres años la asistencia de los militares tnismo cuerpo /D. Fxóilan de Vigo, marchó sobre él enemigo con el primer enfermos en los hospitales del distrito de la capltañía general de Cataluña, y la sumi batallón á la bayoneta por el camino.real, al propio tiempo que dió una nistración de" medicinas: se ha señalado para su único remare el dia 27 de JBnero inme brillante Carg…</t>
  </si>
  <si>
    <t>de Vigodct, Gaspar</t>
  </si>
  <si>
    <t>Gaspar de Vigodct</t>
  </si>
  <si>
    <t>…mbre desde el asiento que ocupaba. conde de Toreno, Otazu y Sandoval. Entraron á jurar y tomaron asiento en el Estamento por su orden los Ex Se leyó el artículo 29 del mismo reglamenro relativo al modo de votar celentísimos Sres. D. Gaspar de Vigodct, conde de San Román y marques de para elección de candidatos para Presidente y vicepresidente del Estamento; Moncayo. y acto continuo $e procedió á la votación, manifestando previamente dicho Siendo este el dia señalado por reglamento para la elección de los cuatro Sr. Secretario que el total de Sr…</t>
  </si>
  <si>
    <t>de Vigu-crun, Martin</t>
  </si>
  <si>
    <t>Martin de Vigu-crun</t>
  </si>
  <si>
    <t>…echa de hoy me dice lo que copio-=”Excmo. Sr.: El comandante de armas de la ciudad de Suu;nRilado 11 dt lot individuos dt los estirpes que ir exfrisan que ñutí si distirr- za capitán de minadores del regimiento Real de ingenieros D. Martin de Vigu-crun tn la acción dil 9 en la Molina. Ilota con fecha de 11 del presente desde Alcolea del Pinar me da el parte si Borhon. Sargentos primeros: Manuel Alonso, Antonio Rebollo. Sargen guiente. Después de mi salida de la ciudad según avisé i V. llegué á este punto tos segundos: Tomas Alameda, Juan de Sausa…</t>
  </si>
  <si>
    <t>de Viguera, Baltasar</t>
  </si>
  <si>
    <t>Baltasar de Viguera</t>
  </si>
  <si>
    <t>…z y Ruedas. Se hallará en Madrid en te librería de Razóla, á 3 rs. en rústica y 5 eo pasta. ------La fisiología y patológia de la mxtger, o sea historia analítica de su constituciOQ fisteá y moral y de todas sus enfermedades. For D. Baltasar de Viguera, del Re¿f co Las fuerzas’de los facciosos de Navarra, refugiadas á los confines de Ara legio de medicina de esta córte. Consta de 4 tomos en 4.0 VéQdese en Madrid en las librerías de'Hurtado, de la viuda de Cruz, de Martínez y de la viüda de Miyar. gón , en las cuales está el primer batallón mandad…</t>
  </si>
  <si>
    <t>de Vildosola, Narcisa</t>
  </si>
  <si>
    <t>Narcisa de Vildosola</t>
  </si>
  <si>
    <t>…jo de Ministros. en su imjiortanie salud. MINISTERIO DEL INTERIOR. Del m ismo beneficio disfrutan SS, A A. RR. los Sermos, Se Reales órdenes. ñores Infantes. Deseando S. M. la Reina Gobernadora dispensar los alivios po-. sibles á Doña Narcisa de Vildosola, reducida al estado de viudez REAL CONVOCATORIA por el atroz asesinato que ejecutaron las gavillas rebeldes en la per PARA LA CELEBRACION DE LAS CORTES GENERALES DEL REINO, sona de su marida el capitán D, Domingo de Muruaga al tiempo de trasladarse desde Vitoria á esa plaza para servir la de archiv…</t>
  </si>
  <si>
    <t>de Vildóstegui, Matías</t>
  </si>
  <si>
    <t>Matías de Vildóstegui</t>
  </si>
  <si>
    <t>…); ia de papel del swro segundo y cinco folios del tercero. Santiago y Abril 3o de cual se ha hecho con todo aquel entusiasmo de que este leal vecindario se halla 1834 años.=Matías de Vildóstegui. caracterizado. (Se continuara.) D. Matías de Vildóstegui, escribano de S. M. publico de esta fiel ciudad, é interino de cabildo &amp;c. Vitoria 11 de Agosto. Certifico y doy fe, que en el cuaderno donde se sientan las actas de cabil do se hallan las del tenor siguiente. En la fiel ciudad de Santiago en 2 de Ma El dia de ayer figurará con distinción en los fa…</t>
  </si>
  <si>
    <t>…Quinlero«Al— quien personalmente se le debe todo su lucimiento; pues ademas de constar ex meyda.tr Lima. = Monterresi. — Ante mí.rr Matías de Vildósfegui. presamente en actas tener su'residencia en la ciudad de Matanzas, de donde D. Matías de Vildóstegui, escribano público de esta ciudad, vino con /nil trabajos ansioso de cumplir con tan sagrado deber, y á pesar de encargado interinamente del despacho de la del cabildo de ella,certifico y doy tus conirat&amp;mpós experimentados en su »alud.y bienes con la sensible epide fe que en concordia de lo acorda…</t>
  </si>
  <si>
    <t>de Vildpsola, Ñarusa</t>
  </si>
  <si>
    <t>Ñarusa de Vildpsola</t>
  </si>
  <si>
    <t>…re de 1832, y dero ____concediendo pensiones i las viudasy huérfanos de los leales sacrificados gando las excepciones en ¿1 expresadas. (/J.) inhumanamente per la» fqocioiies. (Núm. 79.) , _ _ Real órden mandando que se decíate á Doña Ñarusa de Vildpsola la asigna__ premiando á varios cclesiasticos que han prestado servifios contra la* diu cion coh que se atiende á las viudas de empleados del señorío de Vizcaya. rnas. (Id.) „ (Id) , ’ __ mandando que dos carro* presentados en la adnana dé Sevilla por D. Pe- ' ■' sobr* el pago de las reoompensas por la…</t>
  </si>
  <si>
    <t>de Villafranca, Marques</t>
  </si>
  <si>
    <t>Marques de Villafranca</t>
  </si>
  <si>
    <t>….......................... 40 trovixcia de Sevilla. D. José Vinuesa por ana vez............................................................... 500 Según los partes de 26 4® Julio último iban á menos los casos sospecho ~ El Excmo. Sr. Marques de Villafranca por una vez y por mano de sos que ocurrían en la capital de dicha provincia, pues el día 25 solo fueron su apoderado 3000 rs. sin perjuicio de los socorros que ha dispensado en invadidas cuatro personas, fallecieron dos, y quedaron existentes 25 enfermos. trigo y dinero á varios pueblos de las Prov…</t>
  </si>
  <si>
    <t>de Villagarcía, Marques</t>
  </si>
  <si>
    <t>Marques de Villagarcía</t>
  </si>
  <si>
    <t>…ase una comisión para que asistiese á las exequias del Sr. duque de Braganza, PROVINCIA DB PONTEVEDRA. y fuese á dar el pésame á S. M. F. Sr. D. Manuel Llórente El Sr. Souza Holstein propuso que se erigiese un monumento á la memo Sr. Marques de Villagarcía. ria del Sr. Duque de Braganza, para perpetuo testimonio del agradecimiento &gt; nacional. Después de una breve discusión adhirió la”'Cámari á la propuesta, acor dando ademas que se trasladase inmediatamente á la de Sres. Diputados. Partes recibidos en la Secretaría de Estado y del Despacho de la Guerr…</t>
  </si>
  <si>
    <t>de Villaiba, Joaquín</t>
  </si>
  <si>
    <t>Joaquín de Villaiba</t>
  </si>
  <si>
    <t>…ión geneiai de concos, y al administrador de la im prenta Real para que de sus respectivos fondos, y bajo el mismo, plm adopta do y comenzado en la citada calle, ejecuten la obra de las aceras confinantes Por haber sido ascendido D. Joaquín de Villaiba *&lt; l* secretaria del go con sus edificios, ó bien abonen sit-cofte al ayuntamiento de esta capital en bierno civil de Cad:Z, S. AL la Reina Gobernadora se- ha servido nomhrár el caso de preferir que lo ejecute la villa: habiéndote dignado igualmente pura el destino que obtenía de secretario del gob…</t>
  </si>
  <si>
    <t>de Villanueva, Conde</t>
  </si>
  <si>
    <t>Conde de Villanueva</t>
  </si>
  <si>
    <t>…n» se puede dar riego en el territorio de Zujar augusta Soberana y S. M. la R&amp;ina Regenta Gobernadora, los cuales facilitó 4 2"l2 fanegas de tierras , que siendo en U actualidad de secano solamente, va • al alférez Real el Excmo. Sr. Conde de Villanueva, del Consejo de Estado, len 813,810 rs.; y con el beneficio del riego proyectado valdrán mas de ocho intendente de ejército y superintendente general delegado de Real Hacienda de millones de reales, y proporcionadamente será el aumento de producciones da esta isla de Cuba: en medio de ellos estaba…</t>
  </si>
  <si>
    <t>de Viltachíca, D Manuel</t>
  </si>
  <si>
    <t>D Manuel de Viltachíca</t>
  </si>
  <si>
    <t>…. Es inoportuno , porque en las circunstancias en que nos hallamos Jarza en la junta porcuna mayoría de cinco votos contra cuatro, resultó elegi no hay una necesidad ni una obligación de que todos los españoles acudan á las do el Sr. D. Manuel de Viltachíca por una mayoría de seis votos contra cua armas; para eso seria necesario un caso mucho mas extraordinario que el que tro- La comisión manifestaba que habiendo visto detenidamente este asunto, lo en el día tenemos. ¿Ha llegado el momenro de que se a*me la Nación en ma consideraba de bastante dificul…</t>
  </si>
  <si>
    <t>de Viltachíca, Manuel</t>
  </si>
  <si>
    <t>Manuel de Viltachíca</t>
  </si>
  <si>
    <t>…inoportuno , porque en las circunstancias en que nos hallamos Jarza en la junta porcuna mayoría de cinco votos contra cuatro, resultó elegi no hay una necesidad ni una obligación de que todos los españoles acudan á las do el Sr. D. Manuel de Viltachíca por una mayoría de seis votos contra cua armas; para eso seria necesario un caso mucho mas extraordinario que el que tro- La comisión manifestaba que habiendo visto detenidamente este asunto, lo en el día tenemos. ¿Ha llegado el momenro de que se a*me la Nación en ma consideraba de bastante dificul…</t>
  </si>
  <si>
    <t>de Viñais, José</t>
  </si>
  <si>
    <t>José de Viñais</t>
  </si>
  <si>
    <t>…solo 'de las condiciones Se mandaron pasar á la comisión de Poderes los presentados con los do que se requieren en un Gobierno representativo, sino de las precisas é indis cumentos justificativos de su aptitud legal por los Sres. D. José de Viñais, pensables que se requeren en un Gobierno absoluto: Cbte e&gt; e! punto en cues* elpcto Procurador por la provincia de Gerona , D. Ramón de Ciscar, que lo tion. El Sr. Ministro de Hacienda ha dicho que cómo han de tener los extranes por la provincia de Lérida, y D- Onorato de Puig,y D. Ignacio de Poqs…</t>
  </si>
  <si>
    <t>de Vinuesa, Joaquín Palma</t>
  </si>
  <si>
    <t>Joaquín Palma de Vinuesa</t>
  </si>
  <si>
    <t>…á propuesta de rios;.y con este motivo se cita el ejemplo del alcalde mayor de la Real junta gubernativa de medicina y cirugía del reino, prévia opo sición en la respectiva academia. Su dotación anual consiste en 300 du Mestanza, D. Joaquín Palma de Vinuesa, que ha hecho edificar cados pagados de los fondos de Propios, y ademas los ajustes particula tres sin otros auxilios que su zelo. res que haga el facultativo con los vecinos de ella, cuyo número as Se va á ensayar el sistema de lectura de Vallejo; y se ha seña ciende á 700. Los pretendientes dirig…</t>
  </si>
  <si>
    <t>de Visambi, José Gil</t>
  </si>
  <si>
    <t>José Gil de Visambi</t>
  </si>
  <si>
    <t>…o. Agustín Fernandez, cabo segundo. Melchor Oarrido, corneta. Pa blo González, soldado. Manuel Martin, ídem. Eusebio García, ídem. Fran PROVINCIA DE CÓRDOBA. cisco Iglesias, idem- Manuel Vallejo, idem. Real cuerpo de artillería.:=D. José Gil de Visambi, teniente graduado Parte del dia 9 de Hoxiembre. de capitán, comandante de la batería. Antonio Calzada, sillero: se batió co mo artillero, y fue herido de consideración. Gabriel Albasa, artillero. José Pueblos. Día*. Enfermos. Curado*. Fallecida*. Aparicio , ídem. Manuel Marcos , idem. Cazadores á…</t>
  </si>
  <si>
    <t>de Vita, Francisco Javier</t>
  </si>
  <si>
    <t>Francisco Javier de Vita</t>
  </si>
  <si>
    <t>…no ser legítimo-, se sirvió declarar S. M. administrador de Reinosa D. José Quijano ; y la de oficial 4.0, que desempe por Real óidcn de 11 de Enero úlliiii€ry~ha tenido á bien mandar se anuncie ñaba D. Manuel Alaría Irígoyen , á D. Francisco Javier de -Vita-, -oficial -faral público que en iguales casos no baste la sola lectura del poder, sino que ha norario que sirve en la administración 3e Granada. ya de quedar copia legalizada de él en las administraciones, presentando ademas el apoderado tres sugetos de conocido arraigo que aseguren la identidad de…</t>
  </si>
  <si>
    <t>de Vrla, Carlos</t>
  </si>
  <si>
    <t>Carlos de Vrla</t>
  </si>
  <si>
    <t>…e occidental. tra inocente y adorada Reina y del sosieg&lt;ypúblico. Ignoraban sin duda que se ■ Con fecha de l.° de Setiembre dice el propio Correo belga- Escriben de hallaba aquí el infatigable coronel del 4»° 4C caballería ligera D. Carlos de Vrla frontera de Prusía que en la primera semana del corriente mes se juntará en llapadierna, nuestro dignísimo comandante militar. Apenas se supo que de Stroenfeld un cuerpo,,de tropas de lüS&gt; hombres, y según algunos, de mucho aquel pueblo se habían fugado como unos 20 exvoluntarios realistas, ya esta…</t>
  </si>
  <si>
    <t>de Vrtaeco, Ortiz</t>
  </si>
  <si>
    <t>Ortiz de Vrtaeco</t>
  </si>
  <si>
    <t>…or sonido y á mí de presentarla á las Corta: y aun puede ser muy bien «pac ei Secretorio det ' me gusto.mas; me suena mejor , 7 sobre todo a apañóla.” * Despicho, á qu-en este amalo correspomfe , esté abosa mismo trabajando el El Sr. Ortiz de Vrtaeco: » Habiéndome prcced.do el Sr. Alargues en la proyecto de ley para presentarlo al Estamento; podiendo los señores Procura— parte histórica 7 apologética de esta institución , seria inútil molestar al Ená dora hacer entonces la obecrvacsaoa que estimen conveniente*, pora ítorrar* rcenlo sobre el par…</t>
  </si>
  <si>
    <t>de VVaidcn, Howard</t>
  </si>
  <si>
    <t>Howard de VVaidcn</t>
  </si>
  <si>
    <t>…econoce también la obligación de recomendar al ciclo en sus tengan puesta toda su atención en los puertos donde se recibe á los negros. oraciones el acierto y prosperidad del gobierno. Dígnese V5 M. aceptar bem'g- * . U salida de lord Howard de VVaidcn, nombrado embajador de Lisboa, namente 'estos candorosos sentimientos del cabildo, en lo quej cifra su mayor qpe debía verificarse lu&gt;y , se ha diferido para mas adelante , sia que se sepa aho satisfacción. Jaén nuestro cabildo 15 de Enero de 1834-“Scñora —A L. R. P. ra el dia preciso en que su señ…</t>
  </si>
  <si>
    <t>de Walden, Hosvard</t>
  </si>
  <si>
    <t>Hosvard de Walden</t>
  </si>
  <si>
    <t>…iba á formar un cuerpo de &lt;53 polacos. Emperador. " Durante los últimos días ha habido muchas entrevistas entre el almirante ____ El Constitucional dice lo siguiente: Sabemos que el gabinete de S. Peten-, P*rker .abultante Gage, lord Hosvard de Walden , cónsul ingles y otros. burgo ha pedido explicaciones al de Ingtaterra en vista del extraordinario ar í* Crónica de I ° de Julio contiene un largo despacho del gobernador de mamento de las escuadras del Mediterráneo. La nota de Rusia termina decla Goaeri la India, dirigido al ministro de Marina ,…</t>
  </si>
  <si>
    <t>de Walden, Howard</t>
  </si>
  <si>
    <t>Howard de Walden</t>
  </si>
  <si>
    <t>…sa, han marchaba al Altate jo coa 59 hombres. Estas no ficias han hecho decidido í $. M. í adoptar astas medidas, que tiempo há reclama subir los fondos españoles 7 portugueses. ban el orden 7 la economía. ____ El 5 del corriente lord Howard de Walden, acompañado Una instrucción especial determinará bien pronto los trabajos de lord W. Russel y de sus secrétanos, presentó sus credenciales, de que deberán ocuparse las contaduiías de Propios: pero entre tan y tuvo la primera audiencia en el palacio de Ayuda de la Reina to quiere S. M. prevenga á V-…</t>
  </si>
  <si>
    <t>de Werona, Rodolfo</t>
  </si>
  <si>
    <t>Rodolfo de Werona</t>
  </si>
  <si>
    <t>…, y Goüs. opinamos que está bastante arraigada para que puedan hacerle mella hombres El mismo día (8 de Noviembre) el conde Eugenio AVerbna, hermano que no sean aptos para dirigir la Francia. Asi es que ni ensalzaremos al nue del conde Rodolfo de Werona, caballerizo de la corte, fue nombrado caba vo gabinete en los primeros dias de su administración, ni tampoco le prodi llerizo mayor de S. M. el Emperador en lugar del ya difunto Príncipe T raut- garemos los insultos, que se,permiten ciertos periodistas contra los ministros mannsdorf. caídos. El em…</t>
  </si>
  <si>
    <t>de Wesrgenstein, Adolfo</t>
  </si>
  <si>
    <t>Adolfo de Wesrgenstein</t>
  </si>
  <si>
    <t>…aldrá de Badén para hacer una visita í sus estados de Bohenua. " ' , (Id.)- ^^.La Gaceta del Píamente habla hace^lguñ tiempo con entusiasmo de un -niño de ocho años, natural de Paiermo, que según lo que de él refiere'aqüel ____El príncipe Adolfo de Wesrgenstein y el príncipe de Lowenvtéin Wenl- -periódico, deberá ser otro Pico de lá Mirándola. Este fenómeno de inrel gencfa, heim han llegado á Haya para tomar los baños de mar en Scheveningá. (Id.) -que se llama José Puglini, se-d^tingue particularmente por la prontitud y fa-^ -cilidad con que resúclve de mem…</t>
  </si>
  <si>
    <t>de Weyer, M Van</t>
  </si>
  <si>
    <t>M Van de Weyer</t>
  </si>
  <si>
    <t>…revista con lord tratados.según su clase lo requería. La llegada de ios precitados ge- Palmerston en la secretaría de Estado, y otra igual tuvo ayer coa fes Idris y Thusein bey , que el bajá de Egipto conservaba á su ser el mismo ministro M. Van de Weyer. vicio á peso de oro y los consideraba como hijos propios: la deSe- ____El caballero Vial, encargado de Negocios de España, empezó lim-baja, que habiendo merecido la preferencia entre sus ¡guales, ayer sus preparativos de viage para volverse á Madrid; debiendo se había casado con una hija de Mehemed…</t>
  </si>
  <si>
    <t>de Wurtétnbcrg, Luisa</t>
  </si>
  <si>
    <t>Luisa de Wurtétnbcrg</t>
  </si>
  <si>
    <t>…ión en proclamar con vos, que Ja exposición de i- —El Rey se ha vestido ayer de luto hasta el 2é de este mes con motivo los productos de ‘fia industria francesa en 1834 ka **do la mas completa, im del fallecimiento de S. A. R. la duquesa Luisa de Wurtétnbcrg, princesa.Ide portante y magnífica que hasta ahora hemos visto. Stolberg-Gedern, y tía de S. M. el Kéy de Wurtemberg. - ^( Aqui $. M., cuya voz se hallaba ligeramente alterada por efecto de una ronquera-, se detiene un momento, y continúa inmediatamente.) S* ha suscitado una lucha enteramente pacíf…</t>
  </si>
  <si>
    <t>de Yat'to, Tomas</t>
  </si>
  <si>
    <t>Tomas de Yat'to</t>
  </si>
  <si>
    <t>…signio, s;n embargo de ia» dificultades que ofrecía U ocuReal xuerpp de artillería , y teniente D. Blas Royo: del, brigadier barón de ridad y un terreno t,n montañoso y quebrado: ai amanecer de hoy me encon Meer, de los coroneles D. Tomas de Yat'to , D. Joaquín Bayona, D. Bruno traba va sobre Urigoiti , que hu.e circunvalar á la d.rtancia competente por las Alftiz, D. Francisco Javier Ezpcleta,y del teniente L). José María Badillo, in compañías de cazadores y tramperos al mando del captan D- Fehx Samzilj dividuos todos pertenecientes al 4-° r…</t>
  </si>
  <si>
    <t>de Z, M J</t>
  </si>
  <si>
    <t>M J de Z</t>
  </si>
  <si>
    <t>…co entregado por el presente......... ............... ................................................... 20 que tiene un verdadero ínteres en da conservación de la Carta. ¿Qué es la Carta D. José Menendez , como testamentario de Doña M J de Z* pox sino la'expresión d¿T nuestras mas cafas opiniones, el resúmen de cuanto hemos atora.............................................................. ¿000 querido y de cuanto hemos solicitado tantos ferros, el hecho que consagra nuestros El Excmo. Sr. D. Antonio Fernandez de Urrutia..............…</t>
  </si>
  <si>
    <t>de Zara, Diego</t>
  </si>
  <si>
    <t>Diego de Zara</t>
  </si>
  <si>
    <t>…tas y regoci el mismo dia en que entró la junta en ejercicio. jos.públicos la proclamación de nuestra augusta Reina Dona Isabel ii des pués de una solemne función de iglesia, en la cual pronunció el beneficiado y cúra nos antiguo D. Diego de Zara y ^cunza un enérgico discurso análogo al La correspondencia que salió de Madrid el 2 de] corriente para las monta- ,.objetpy y el ayuntamiento dió un espléndido refresco á todo lo principal del fias de Santander y Vizcaya, ha sido interceptada la noche del 4 P°r el cabeci .pueblo, cuidando al mismo t…</t>
  </si>
  <si>
    <t>de Zaras, Vicenta</t>
  </si>
  <si>
    <t>Vicenta de Zaras</t>
  </si>
  <si>
    <t>…manda qu« y mucho michos en tiempo de Cervantes. todas las personas que se crean ebn derecho legitimo i los bienes que ha dejado la Ex . A* „j£us. colonias,,ricos vestigios de,.su antiguo poderío de Ultramar, son celentísima Sra, Doña Vicenta de Zaras, marquesa viuda que fuq,deTMqptel?op y ve— cfnade estar corte, se presenten* deducirle en forma legal en tos expresado* fregado y' émfOff ’J&gt; Tés de Inglaterra,. la* ma* pobladas y las mejore» que existen en - escribanía dentro de^ nfroaiao .dr 3Q diaáj pjrevessido* qaede ma hacerlo laá ektars peec…</t>
  </si>
  <si>
    <t>de Zarate, Bruno Ortiz</t>
  </si>
  <si>
    <t>Bruno Ortiz de Zarate</t>
  </si>
  <si>
    <t>…suceso no sea de la mayor importancia , ha llenado de verglobo terrestre de la colección publicada por Monfort» acompañado de un ofi gfieaza¿ lo» rebeldes, y es muy recomendable la decisión del teniente coronel cio satisfactorio. D. Bruno Ortiz de Zarate, comandante de cazadores de caballería, celadores de Alava, del teniente O. Francisco Gofii, que con tres caballos mas, unidos al capitán Castell, salvaron el ganado caballar y arrojaron i los enemigos ¿ la Madrid 24 de Agosto* masa de su fuerza. Del mismo modo debo mencionar con honor la conducta…</t>
  </si>
  <si>
    <t>de Zarate, D Joaquín Ort</t>
  </si>
  <si>
    <t>D Joaquín Ort de Zarate</t>
  </si>
  <si>
    <t>…o arte de cazar , por al ella nulísima tó con otras de Doña María de la Gloria á lo interior de la provincia de Tras manifiestan: contiene también el método de criar, enseñar y conversar los perros de oí-montes y su comandante el coronel D. Joaquín Ort¡7 de Zarate, gefe de !a caza; y las reglas para precaverse de las desgracias frecuentes que resultan de no Cono plana mayor, da parte desde Lebuson el 14 del corriente de haber sido total cer el ii*o de la escopeta, calidad del cañón y cantidad de pólvora y munición para ca J.i riro; con otras muchas noticias…</t>
  </si>
  <si>
    <t>de Zarate, Isidro Ortiz</t>
  </si>
  <si>
    <t>Isidro Ortiz de Zarate</t>
  </si>
  <si>
    <t>…Icnido noticia en Monteagudo-d^-qn^-los rghelttea -activa en esta ocasión; asimismo son dignos de Va consideración de S. M. ei te Cucvillas y Basilio García, con su facción compuesta de 5lH) hombres, se ha niente del mismo cuerpo D. Isidro Ortiz de Zarate y el alférez D. “Lorenzo bían dirigido ai convento de Huerta, y calculando estarían alojados dentro de Montañés, asi como el uniente del regimiento infantería de Zaragoza 12 de ¿I por ser el único puntó allí capaz de esta fuerza, bailándonos acampados en línea D. José María de la Riv^ Robledo, el cua…</t>
  </si>
  <si>
    <t>de Zarate, Joaquín Ort</t>
  </si>
  <si>
    <t>Joaquín Ort de Zarate</t>
  </si>
  <si>
    <t>…e cazar , por al ella nulísima tó con otras de Doña María de la Gloria á lo interior de la provincia de Tras manifiestan: contiene también el método de criar, enseñar y conversar los perros de oí-montes y su comandante el coronel D. Joaquín Ort¡7 de Zarate, gefe de !a caza; y las reglas para precaverse de las desgracias frecuentes que resultan de no Cono plana mayor, da parte desde Lebuson el 14 del corriente de haber sido total cer el ii*o de la escopeta, calidad del cañón y cantidad de pólvora y munición para ca J.i riro; con otras muchas noticias…</t>
  </si>
  <si>
    <t>de Zarate, Juan</t>
  </si>
  <si>
    <t>Juan de Zarate</t>
  </si>
  <si>
    <t>…ervido S. M. conceder bierno civil de la Coruña, vacante por ascenso de D. Antonio Tenreiro y Ca su Real permiso para que se celebre una feria en el pueblo de S. Martin en los berla á gobernador civil de Pontevedra, al licenciado D. Juan de Zarate y días 14, 15 y 16 de Julio de cada año, con el fip de que dicho valle pueda Murga. dar salida al ganado vacuno. - ^ Por salida del oficial 2.° l.° del gobierno civil de Patencia O. Pedro Fer Conformándose S. M. con el parecer del gobernador civil de Zamora, se nandez Luanco, S. M. se ha servido decl…</t>
  </si>
  <si>
    <t>de Zavala, Pedro Vicente</t>
  </si>
  <si>
    <t>Pedro Vicente de Zavala</t>
  </si>
  <si>
    <t>…a en el Hetpacho He la imprenta Ftai. (««argentos Pablo San Frutos y Francisco Nuevo, se halló escondido al que Bosquejo médico de la Sínochus maligna, ó la fiebre maligna contagiosa que se M titulaba intendente de esta provincia D. Pedro Vicente de Zavala, con el manifestó en l^it^deifia, cor una relaci n de los fenómenos morbosos que Se tibserva-» ron en los Cadáveres* por el I&gt;f~ Isaac Cathral, dei.Colegia medico de t’iládeffia, tra hijo de la casa llamadól Agustín; se cogió la malera de Zavala con varios ejem ducido del* lóales de orden superior.…</t>
  </si>
  <si>
    <t>de Zayas, FRANCIA Andrés</t>
  </si>
  <si>
    <t>FRANCIA Andrés de Zayas</t>
  </si>
  <si>
    <t>…na lista de las corporaciones y personas que ge des constitucionales se restablecería la tranquilidad. nerosamente contribuyeron al alivio de la humanidad afligida. El mismo Sr. García Mora manifestó que por fallecimiento del Sr. Don FRANCIA* Andrés de Zayas, faltaba uno de los vocales de la junta subalterna de caridad, é indicando con este motivo el Excmo. Sr. presidente que convendría aumentar ‘ París 27 de Agosto. dicha junta con un vocal mas, por las frecuentes ausencias al campo de los in . Lonja de hoy. .Cinco por 100 consolidados, 106 fr.'S c. F…</t>
  </si>
  <si>
    <t>de Zcnarve, Tomas Jiménez</t>
  </si>
  <si>
    <t>Tomas Jiménez de Zcnarve</t>
  </si>
  <si>
    <t>…zgos y de servicio de bagages. Lo serán asimismo de este último, den siguiente: Enterado el Rey nuestro Señor de una exposición del ma-’*caí cualquiera que sea su alzada, los caballos padres y las yeguas cerriles en todo de campo D. Tomas Jiménez de Zcnarve, subinspector de artillería del X" de tíerripo, y los potros recien atados en los meses de la doma. partamento, y de otra igual del mariscal de campo, subinspector de artillera 4..0 No se podrá, sino en el caso de que el ejecutado no tenga absoluta del primer departamento D. Cayetano Saqueiti, en s…</t>
  </si>
  <si>
    <t>de Zea, A D Francisco</t>
  </si>
  <si>
    <t>A D Francisco de Zea</t>
  </si>
  <si>
    <t>…resulta de su protesta hecha en Ramallon Abril dirigí á mi muy amado Hermano , dándome cuenta de que queda ejecu i 29 de Abril de 1833. 3-° Que llevo adelante esta conducta criminal por tado. Santarem 4 da Octubre de 1833-=Yo el Rey.=A D. Francisco de Zea medio de las mas solemnes declaraciones desde el instante en que tuvo noticia Bermudez.” oficial del fallecimiento de vuestro augusto Esposo (Q. E. E. G.), como lo En la anterior carta, escrita de otra mano , se incluían bajo el mismo plie acreditan las cartas órdenes expedidas en Santarem á 4 de O…</t>
  </si>
  <si>
    <t>de Zea, Francisco</t>
  </si>
  <si>
    <t>Francisco de Zea</t>
  </si>
  <si>
    <t>…a de su protesta hecha en Ramallon Abril dirigí á mi muy amado Hermano , dándome cuenta de que queda ejecu i 29 de Abril de 1833. 3-° Que llevo adelante esta conducta criminal por tado. Santarem 4 da Octubre de 1833-=Yo el Rey.=A D. Francisco de Zea medio de las mas solemnes declaraciones desde el instante en que tuvo noticia Bermudez.” oficial del fallecimiento de vuestro augusto Esposo (Q. E. E. G.), como lo En la anterior carta, escrita de otra mano , se incluían bajo el mismo plie acreditan las cartas órdenes expedidas en Santarem á 4 de O…</t>
  </si>
  <si>
    <t>de Zengotita, Joaquín</t>
  </si>
  <si>
    <t>Joaquín de Zengotita</t>
  </si>
  <si>
    <t>…de del crimen de Tartarbazarzick, pero se cree que en ambos pueblos el descontento ha pro de la de Barcelona. venido de la organización de la milicia* {Sdettsagero.) Por otro de la misma fecha se exonera á D. Juan María Ruano y á D. Joaquín de Zengotita de las plazas de oidores que servían en RUSIA. la audiencia de Vaiiadolid. Riga 22 de Julio. Por otro de la misma fecha se nombra para la plaza de oidor áe la audiencia de Extremadura, vacante por traslación de D. José El ministro de Hacienda anuncia que para facilitar el cambio de las mo Ignacio de Alava…</t>
  </si>
  <si>
    <t>de Zu, Miguel Antonio</t>
  </si>
  <si>
    <t>Miguel Antonio de Zu</t>
  </si>
  <si>
    <t>…dei centro, acosada} I Consejo y Cantara de Castilla, se ha servido nombrar para la plaza de oidor por el luego de nue*ti.is guerrilla*, !■ i.mv'.o-i &gt;do «Uvonammic varias pe*- 1 de la audiencia de Galicia, vacante por salida de D. Miguel Antonio de Zu- sis.kh es qi.c te ollería ».i \.or.licuia«_i' \ai.e, de;^n.vber.do.as con un Tut»! Lmalacarrcgui á regente de ia de Burgos, á_D. Francisco Delgado y Avala, al J aunque oc*&lt;.'crudo luego. ' compuesta d.c una p.ntc d. e^uadion naciente de I calde del crimen de la chanclllcría de Valladolid, y para Ia…</t>
  </si>
  <si>
    <t>de Zuluaga, Pedro</t>
  </si>
  <si>
    <t>Pedro de Zuluaga</t>
  </si>
  <si>
    <t>…egar á este resultado es indispensable el consentimiento, del con el auxilio de Jos rebeldes, á cuyo fin destaqué por rnar á la trincadura del Rey Guillermo que no desairará á su plenipotenciario. Hn todas las cuestiones mando de D. Pedro de Zuluaga para que guardase ía salida de dicho p jern hoLado belgas las instrucciones rec»b.das por los ' diplomáticos holandeses han En efecto, una y otra fuerza llegaron con tal oportunidad á los pantos prefi sido siempre muy terminantes y á menudo muy limitadas. Es probable que su jaos, que á pesar de hab…</t>
  </si>
  <si>
    <t>de Zulueta, D Manuel</t>
  </si>
  <si>
    <t>D Manuel de Zulueta</t>
  </si>
  <si>
    <t>…ran , para ia ma al tado df la Capta. Junta de Sanidad........................................................................................... 320 P-cjo ¿de.qué sirven tantas rayones? ¿Queréis juzgar de nqestras intenciones El Sr. D. Manuel de Zulueta se ha suscrito por 20 rs. al mes, y ha por A motivo mas vulgar, cuál es ef fnteres? Él partido constitucional es el único entregado por el presente......... ............... ................................................... 20 que tiene un verdadero ínteres en da conservación de la Carta. ¿Qué es…</t>
  </si>
  <si>
    <t>…manera y circunstancias con que deberá ma enferfnedad....'................................................................................. 12000 hacerse su disfrute.así de la bellota como de la yerba y pastos; y que si se en El Sr. D. Manuel de Zulueta , por la suscripción del presente mes... 20 contrasen , les «-mas conveniente se divida la debesa entre las mismas, fijen las El Sr. D. Francisco Perca Camino, por id. id............... ...................... 80 bases y reglas sobre que deberá practicarse, y que de todo se me informe con EL Manuel…</t>
  </si>
  <si>
    <t>de Zulueta, Manuel</t>
  </si>
  <si>
    <t>Manuel de Zulueta</t>
  </si>
  <si>
    <t>…, para ia ma al tado df la Capta. Junta de Sanidad........................................................................................... 320 P-cjo ¿de.qué sirven tantas rayones? ¿Queréis juzgar de nqestras intenciones El Sr. D. Manuel de Zulueta se ha suscrito por 20 rs. al mes, y ha por A motivo mas vulgar, cuál es ef fnteres? Él partido constitucional es el único entregado por el presente......... ............... ................................................... 20 que tiene un verdadero ínteres en da conservación de la Carta. ¿Qué es…</t>
  </si>
  <si>
    <t>…era y circunstancias con que deberá ma enferfnedad....'................................................................................. 12000 hacerse su disfrute.así de la bellota como de la yerba y pastos; y que si se en El Sr. D. Manuel de Zulueta , por la suscripción del presente mes... 20 contrasen , les «-mas conveniente se divida la debesa entre las mismas, fijen las El Sr. D. Francisco Perca Camino, por id. id............... ...................... 80 bases y reglas sobre que deberá practicarse, y que de todo se me informe con EL Manuel…</t>
  </si>
  <si>
    <t>Dea, José</t>
  </si>
  <si>
    <t>José Dea</t>
  </si>
  <si>
    <t>…ntía la fícil puerto de Izas, entró par la noche de anteayer en el pueblo mas firme de dulzura y de clemencia.=El duque de la Terceira. de Piedrafita, valle de Tena; y en este momento acabo de recibir partes del teniente graduado D. José Dea, del cabo del resguardo de Sallent D. Martin Mur, y del justicia general de dicho valle, El capitán general de Valencia con iecha 22 de Abril actual por todos los que, y otros avisos que he tenido resulta han sido comunica el parte siguiente: batidos los facciosos con la pérdida de un muerto, un he…</t>
  </si>
  <si>
    <t>…y del 12 de Enea de-infantería, apa Gobierno militar y político de la ciudad de Jaca y su partido—Exce reció desde Jabierregay sobre Hecho, donde estaban los facciosos, en cuyos lentísimo Señor: El teniente graduado de fusileros D. José Dea con fecha 19 momentos se hábia corrido basta nuestra Señora de Puyeta el teniente coronel del actual me ha pasado desde Panticosa el parte siguiente: »Excmo. Sr.: En D. Rafael Midon con 80 carabineros desde Salvatierra: todo esto ocurría ín cumplimiento de las órdenes de V. E. salí de esa plaza el…</t>
  </si>
  <si>
    <t>Dea, Josef</t>
  </si>
  <si>
    <t>Josef Dea</t>
  </si>
  <si>
    <t>…cristianos, hasta que la blos de Orna, Arto, Ara y otros; y que también se debía á la actividad y ze corrupción del corazón y el espíritu de error por una fatalidad originada de la lo del oficial de fusileros del partido |de Jaca D. Josef Dea, á quien el gober heregía se extendió entre los fieles menos instruidos. No es máxima puramente nador de esta plaza comisionó para este objeto. - política dirigida á evitar los males que debían recaer contra los inobedientes; no es precepto puramente humano para conservar el buen orden en las socie…</t>
  </si>
  <si>
    <t>Debata, Je los</t>
  </si>
  <si>
    <t>Je los Debata</t>
  </si>
  <si>
    <t>…que se hallan empleadas nar la feliz predestinación que ha unido luce ties años su nombre á lodos los para restablecer la quiclud de! país, asegura no haber quedado ningún faccioso icios mas gloriosos de la diplomacia francesa. (D. Je los Debata*} con las armas en la mano en toda la provincia de Toledo-, antes por el contra rio , se han presentado á implorar el indulto 23 individuos que vagaban por TORTUCA!. aquella sierra. AlmeiJa \° Je Mayo, Apenas puede explicarse el extraño y repentino cambio de que somos testi Extracto dc\ parte remit…</t>
  </si>
  <si>
    <t>Debates, Diarib de los</t>
  </si>
  <si>
    <t>Diarib de los Debates</t>
  </si>
  <si>
    <t>…s, se trata da hacer posible su vista y Todas estas obras forman la colección de 1700 tomos, la mayor parte de allanar al tribunal una parte de los tropiezos que hubieran acabado, por des puestos en pasta por el encuadernador del Rey. (Diarib de los Debates.) animarle. Con este doble fin, las comisiones no serán ya tan severas, y antes que se lea el informe de M. Girod de l'Ain pondrán á mayor número de in T as prisioneros españoles que la autoridad militar francesa había dete dividuos en libertad. El relator debe asimismo abreviar su escrito y .variar…</t>
  </si>
  <si>
    <t>Debb</t>
  </si>
  <si>
    <t>…se me atribuya el beneficio; estos siem con S. S. si otros monumentos mas recientes, mas frescos, no me hiciesen apar pre descienden de .mas alto.” tar de esta idea. Convengo en que es sumamente halagüeño conservar las g oEl Sr. Caballero: «Debb deshacer algunas equivocaciones que ha cometi rias en las naciones, en las Familias y hasta en las personas; pero yo pregunta do S. S. respecto de mi discurso. La primera es que no he dado razón alguna ría áS.S.: cuando no se pueden conservar, &lt;ó nb hay intereses bastantes para de por qué me he fij…</t>
  </si>
  <si>
    <t>Debemos, D Feman</t>
  </si>
  <si>
    <t>D Feman Debemos</t>
  </si>
  <si>
    <t>…ner la ambición de los que puedan aspirar á usur nando el Católico; triunfaron también de las de Felipe el Hermoso, cuyo* par la corona durante la minoría de los Príncipes. deseos eran pandar solo, y no con su esposa ; y vemos al Rey D. Feman- «Debemos notar que dicha ley es un dechado de previsión y de filosofía, do, que si llega al fin á apoderarse del mando, Jo ejerce ¿ nombre de rlhija» concillando los sentimientos de! corazón con las máximas de una sana política; con arreglo ai é«tamento de la Reina Doña Isabel y respetando la voluntad encar…</t>
  </si>
  <si>
    <t>Debemos, Feman</t>
  </si>
  <si>
    <t>Feman Debemos</t>
  </si>
  <si>
    <t>…la ambición de los que puedan aspirar á usur nando el Católico; triunfaron también de las de Felipe el Hermoso, cuyo* par la corona durante la minoría de los Príncipes. deseos eran pandar solo, y no con su esposa ; y vemos al Rey D. Feman- «Debemos notar que dicha ley es un dechado de previsión y de filosofía, do, que si llega al fin á apoderarse del mando, Jo ejerce ¿ nombre de rlhija» concillando los sentimientos de! corazón con las máximas de una sana política; con arreglo ai é«tamento de la Reina Doña Isabel y respetando la voluntad encar…</t>
  </si>
  <si>
    <t>Deben</t>
  </si>
  <si>
    <t>…e hay' D. Lucas Fernandez de Mombeltrán: para la de Vitigudino a D. Fe de tierras, pantanos y otras incultas, á propósito para el cultivo, y dar luego lipe Puente: para Ja de Entrambasaguas á Di Vicente Ramón de Ca su dictámen al Rey. Deben encontrarse tierras de esta especie a la distancia de jigal ; y para la de Sigüenza, en comisión, á D. Rafael Almonací y seis leguas al Norte, Este y Oeste de Munich, en las cuales se dice que el go Mora. bierno trata de establecer colonias de labradores. Roma 12 Je Agosto. PARTE NO OFICIAL. Mr. Go…</t>
  </si>
  <si>
    <t>Deberes</t>
  </si>
  <si>
    <t>…CIOS. Observaciones sobre el empréstito Guebharci, por el Bxcmo. Sr. D. Javier de Bur 1834. Sojo. reino. de Se vende en librería Madrid, la , Procer del Ablitas ............ 24 á 26 Setiemb. 85 6 i gos que ejercen párrocos de los cura -Deberes ministros la y demas Idem . ..i./:... No consta. 20 No consta. lación al desempeño de sus cargos en tiempos de enfermedades contagiosas;ils almas,sacadoscon rede Idem.............. 5 2 . 1 la obra que con el titulo de Deberse de un pastor de almas qus quiste salvarse sal Mr. francés en tradujo Joaq…</t>
  </si>
  <si>
    <t>Debiendo</t>
  </si>
  <si>
    <t>…rónimo,en la Liranúm.de23,Apoloy enyel/Ecode Hermoso.de la óperaLJ*itade 7 jnefyyr,];ii7«»oluciqn de $. ÍA^ W Reina GoberilidAra de aplicar í liana. . 1 . ^ : l^ÉWiSiifirróy.i^flyé^'y Í.«j*¡p4i¿mlíj^'.todo^.érrTgor;;8é'las t«yár{/d.) —Debiendo celebrarse en el dia 1&gt; del corriente en Ja sala de la dirección de minas el segundo remate para el arrendamiento por dos años del Importe de la tÓíntVítfifcíon del cinco por ciento de Io*-nlomos,y -alcoholes 4e la inspección de minas del distrito pm'W, .. de Granada, según se anunció en la gaceta…</t>
  </si>
  <si>
    <t>…ón de la peticonfirmó los mismos privilegios, y estableció el de asadura niajcr y menor. ticion sobre mostrencos, la cual leyó) y es del tenor siguiente; Por manera, que lejos de quitar este gravamen ó disminuirle, se puso mayor, Señora: »Debiendo ser ilusorias cuantas providencias se tomen para pro cual era tomar una de las reses que mejor les parecían, si no llevaba campani mover la riqueza pública , mientras no se defina con claridad en las leves el lla que entonces se entendía por manso. modo mas ordinario de adquirir el dominio de los b…</t>
  </si>
  <si>
    <t>Debo</t>
  </si>
  <si>
    <t>…que en reserva de la izquierda de la línea obedeció las órdenes del geaeral rigiéndome por el camino real bácia Cita villa de Salvatierra para reunirme Lorenzo. con las columnas de Vizcaya*^ y Alava al cargo del mariscal de campo Don Debo elogiar la firmeza, decisión y arrojo del 2.° batallón del 4*° regi Bridomero Espartero y coronel D. Félix Carrera» que había mandado venir miento de la Guardia Real de infantería, que correspondió al uniforme que con la del brigadier Jáuregui , previsiva y muy oportunamente , sobre estos viste, di…</t>
  </si>
  <si>
    <t>…eneral con fecha 2 del corriente di&lt;^ al ministerio de la tet, varió dé dirección hacia Porrera, por saber en el camino que los rebeldes Guerra entre otras cosas: c, estaban allí, donde no le esperaron, huyendo hacia Posoleda. El gobernador Debo hacer presente á V. E., que sin embargo de ocuparme con toda aten de Tortosa se unió este mismo dia con el de Tarragona, viendo ya hollado el ción en las averiguaciones de los que contrajeron mérito en aquellos sucesos suelo del Priorato, en el que no es dable pudiese subsistir una facción de este…</t>
  </si>
  <si>
    <t>Debo, Palestras</t>
  </si>
  <si>
    <t>Palestras Debo</t>
  </si>
  <si>
    <t>…rafo relativo 4 Turin, quedó aprobado. económica , aunque 4 primera vista no parece mucha la diferencia;.pero es mas -Se leyó el siguiente; Lúea. El encargado 249: gastos 4»; total 289. de esto, como será fácil de comprender.. El Sr. Palestras «Debo confesar que no me-han. hecho fuerza les razo «En el dia no hay tfiñ.qaé encargados de correspondencia; pero si las nes del Sr, Secretario del Despacho de„Estado. &lt;Por qtíé razón se han de sefia- relaciones con la Príisia, Austria y' Rusia volviesen-á ponerte en el pie en que iar289 rs., si -el cón…</t>
  </si>
  <si>
    <t>Decaen</t>
  </si>
  <si>
    <t>…s en la mano contra el gobierno Animismo aprueba los dos proyectos de ley relativos á la pensión concedi nacional, y cómo se han de distribuir los socorros que no se suprimen por esta da á la viuda del mariscal Jourdan y á la del general Decaen, y declara con I ley.” naturalizados á ios Sres. de Borgareíli-d’Isson, y Oríila. I Asimismo aprueba los artículos restantes del proyecto, por los cuales «se En seguida da cuenta de varias exposiciones de particulares, y se levanta la I fija ¿[‘máximum á que pueden llegar esta clase de socorros, y…</t>
  </si>
  <si>
    <t>…ancos que le corresponden por su viudedad. San Sebastian 30 de Diciembre. Asimismo, y por IDO votos contra 86 , accede á que se señale h la viuda Hoy á las once y media de la mañana se ha verificado en la plaza nueva del teniente general Decaen, una pensión de 33 francos, en la que van inclu de esta ciudad el augusto y solemne acto de la proclamación y levantamiento sos los 1500 francos que le corresponden de viudedad. A pesar de las razones expuestas por los Sres. Gauguier , Bugeaud y Bcr- de pendones en nombre de la Reina nuestra Señora…</t>
  </si>
  <si>
    <t>…ondición , estable Diputados, á saber: el de aumento del cuerpo de gendarmas, y los de conce ciendo aquel régimen mas á propósito para remediar desde luego sus necesida sión de pensiones á la viuda del mariscal Jourdan y á la del general Decaen. des mas urgentes. La Cámara acuerda que dichos proyectos se impriman y distribuyan, y pasen «Con este fin me dirigí á la junta que lo administra, pidiéndola cuantos 4 las respectivas comisiones para su examen. Se levanta la sesión. datos é informes necesitaba para dictar con acierto mis disposicion…</t>
  </si>
  <si>
    <t>Decaqes</t>
  </si>
  <si>
    <t>…la mas noble y generosales: Renta de España al 3 por 100 261: Empréstito Real de id. 30: Ren idea, la de recuperar la libertad de su patria. En esta santa guerra y bajo estasta perpetua de ídem 37i. S. M. se ha servido nombrar al duque Decaqes, gran canciller (grand ré- banderas patrióticas ya no hubo prusianos, bávaros, sajones, wurtemburgueses, férendaire) de la Cámara de los Pares, y vicepresidentes de la misma al conde austríacos: no hubo mas que alemanes. Aquella fue la era de la unidad moral de la Alemania.Portalis, al duque de Bro…</t>
  </si>
  <si>
    <t>Decazes</t>
  </si>
  <si>
    <t>…n. M. Bittlerston, después de dar gracias al noble lord por esta generosa adr Tiempo será, cuando conozca el público,oficialmente el nombramiento del Vertencia, dice que el día en que se publicó el artículo incriminado tuvo en su duque Decazes , de pesar con madurez las consecuencias dé un suceso tan im marto todos los originales que debían imprimirse, y que pudo corregirlos y mo portante.. Nos limitaremos entre tanto á recortopér qbe la población francesa de dificarlos antes de pasarlos á las cajas; que dependió de el por consiguiente é…</t>
  </si>
  <si>
    <t>Decretaremos, Gerard</t>
  </si>
  <si>
    <t>Gerard Decretaremos</t>
  </si>
  <si>
    <t>…erno. Ya se han establecido sobre este objeto negociaciones con Mr. Mole, y he aquí apurada la lista de los que, según te decía, podían pre la Francia,,y lo misino sucederá en breve con los denlas países. tender á la herencia del mariscal Gerard. «Decretaremos, después de maduras deliberaciones, las reformas de que El Tiempo hace mención de los mismos nombres, y asegura que se en es susceptible nuestra tarifa de aduanas. vió un correo al Príncipc de Talleyrand, ofreciéndole la presidencia del con «Un convenio entablado recientemente con la administración…</t>
  </si>
  <si>
    <t>Dehesa, Juan de la</t>
  </si>
  <si>
    <t>Juan de la Dehesa</t>
  </si>
  <si>
    <t>…Ramonet por la de caballería: S. M. la Reína Gobernadora se ha dignado conferir la ca para ministros togados á D. Joaquín Sistemes , D. Juan José De pitanía general del departamento de Cádiz al teniente general de licado y Diaz y D. Juan de la Dehesa: para fiscal militar á Don la Real armada D. Cayetano Valdés, en consideración á su leal José María Cienfuegos: para fiscal togado á D. Eugenio Larrum- tad , dilatados servicios, conocimientos, bizarría acreditada y da bide, y para secretario á D. Juan La fuente , debiendo tomar dichos mas señalada…</t>
  </si>
  <si>
    <t>…. Gobernadora, siguen en el Real sitio de Aran juez sin novedad en su importante salud. Para la plaza de regente de la Real audiencia de Cataluña, va Del mismo beneficio disfrutan SS. AA. RR. los Sermos. Se cante por promoción de D. Juan de la Dehesa, nombro á Don ñores Infantes. Francisco Olavarrieta, que lo es de la audiencia de Extremadura; y para esta resulta á D- Francisco Delgado Fernandez del Pino, oidor de la de Sevilla. Tendréislo entendido, y lo comunicareis á Reales decretos. quien corresponda.—Está rubricado de la Real mano.—En Aran…</t>
  </si>
  <si>
    <t>…ia; á D. José Aejmdro Ghika, ha ido á ConstantinopU acampanado de su hermano Cons— María Calatrava, ministro del tribunal supremo de España é Indias; lamino y de muchos oficiales de las tropas valacas nuevamente organizadas, ¿i á D. Juan de la Dehesa, del supremo de Guerra y Marina,, y a Don ayudante general barón Beliin2hausen, manda la guarnición rusa de &lt;ñlníria.,y Diego -Martin de Villodres, del supremo de Hacienda- Tendréislo tendrá su cuartel general en Korscbaky- Ni Jassy ni J^upharest tendrán guarni ciones rusas. La mayoría de la nación…</t>
  </si>
  <si>
    <t>Dejad, Presidente</t>
  </si>
  <si>
    <t>Presidente Dejad</t>
  </si>
  <si>
    <t>…la higiene pública y de la salubridad de aquella gran . es que á un cargo.....(Ruido en el lado izquierdo.) capital. (Id.) En el centro-: Esperad que haya silencio. L—Por una circular de fecha 22 de Febrero, el vorort (directo El Sr. Presidente Dejad que el Ministro explique su pensa rio suizo) había propuesto al cantón de Berna, donde se hallan á miento. la sazón los refugiados extrangcrOs que han tomado parte en la ex El Sr. jyArgout: Si me hubieseis dejado concluir la frase, se pedición contra la Saboya, que se declarase á estos refugiados c…</t>
  </si>
  <si>
    <t>Dejando, Secre</t>
  </si>
  <si>
    <t>Secre Dejando</t>
  </si>
  <si>
    <t>…s del mundo los hay, no prueban nada contra lo general de mamente convencido de las rectas intenciones, buenos sentimientos y amor á los que usan bien del derecho. la libertad que el Gobierno tiene, y sobre todo de la modatia del Sr. Secre Dejando ahora esta clase de argumentos de comparación, veamos si los tario de Estado, hubiera creído que ata era una expresión demasiado abultada, hechos que nos ofrece nuestro propio suelo comprueban la poca exactitud con porque esa ley se ha dado para el restablecimiento de las Corta, cuyas bases son que…</t>
  </si>
  <si>
    <t>Dejean</t>
  </si>
  <si>
    <t>…nocimiento , es la muy satisfactoria de estar á vuestro frente, dirigir dito de 2 millones para el pago de pensiones militares. Apoya el proyecto el los nobles impulsos de vuestra acreditada lealtad , y poner en acción el resorte conde Dejean. Los dos artículos de la ley son puestos á votación y aprobados. de vuestro acendrado patriotismo. Lo fue igualmente por unanimidad la ley en el escrutinio secreto. «Para promover vuestra ventura hallareis siempre dispuesta mi autoridad. Se levantó la sesión á las cuatro. La dichosa coyuntura de empezar á e…</t>
  </si>
  <si>
    <t>…iera qne se hiciese una información para saber de Principia la discusión general del proyecto dq ley sobre abolición de susti cierto cuál ha sido lá causa de los desórdenes que afligieron áLeon el año pa tuciones y mayorazgos. El conde Dejean confiesa que los mayorazgos están en sado. La Cámara cierra la discusión y desecha la propuesta de M. Taillandier,y contradicción con las leyes actuales; mas por lo mismo cree que es inútil pro el presidente levanta la sesión. ' hibir lo que nadie hace: opina que será suficiente prohibir la fundaci…</t>
  </si>
  <si>
    <t>del Adalid, Joaquín</t>
  </si>
  <si>
    <t>Joaquín del Adalid</t>
  </si>
  <si>
    <t>…tomos en folio, edición de 1789* » Í6 re. rama, y /7 paita común. sar hasta encontrarlos-, una columna ai mando del bizarro teniente D;¿Lorenzo Remiez, que acababa de llegar triunfante de la acción de Peñá Negra , en la Se cita &amp; D. Joaquín del. Adalid* para quedentró de! preciso y perentorio término* que logró matar á tres de los principales^cabecillas de esta provincial pues bren, de'tO diaSe contados desde la publicación de este anuncio, comparezca en la escrita*!* Exento. Sr; ,'d*«e oficial con 20 soldados y lo Urbano» acabado batir U fac- pr…</t>
  </si>
  <si>
    <t>del Agreda.z, Presidente</t>
  </si>
  <si>
    <t>Presidente del Agreda.z</t>
  </si>
  <si>
    <t>…esforo de Trueba Cosío^rCon- expedido un decreto mandando suspender las elecciones de ayuntamientos, lo de de las Navas=Damian de La Santa.^zFranciseo Domecq.=José Antonio de cual era una prueba de lo mismo que había anunciado el Sr. Presidente del Agreda.z=El conde de Adanero.rrEl marques de la Gándara rrjavicr de León consejo de Ministros; pero que sin embargo no debía en su concepto renun BendicHo.=Fermin Caballcro.=Migucl Chacon =Juan Palarca,z=F rancheo Ser ciarse por ei Estamento á la gtoria.de aprobar u$a petición como la de que se rano.—Franci…</t>
  </si>
  <si>
    <t>del Aguila, Pedro</t>
  </si>
  <si>
    <t>Pedro del Aguila</t>
  </si>
  <si>
    <t>…vivos ni por testamento de los bienes adquiridos durante su vid* : el Rey de Real audiencia de Filipinas, y la ausencia del otro fiscal de la mis Prusia, queriendo animarlos á salir por medio de su trabajo é industria de la si ma D. Pedro del Aguila; y deseando prevenir oportunamente los tuación inferior y penosa en que se hallaban de re»ulras de este orden de co inevitables males que se originarían del retraso de los negocios de sas , les ha concedido para siempre y á sus hijos y vucesoie* d derecho de dis dicho superior tribunal, ha venido e…</t>
  </si>
  <si>
    <t>del Arco, Luis</t>
  </si>
  <si>
    <t>Luis del Arco</t>
  </si>
  <si>
    <t>…ortugal, subversivas, pero sin hallar acogida en los pueblos, se dirigieron y particularmente al brigadier D. francisco Sanjuanena, sus ayu á sus antiguas guaridas en las provincias de Santander, Burgos y dantes D. José Hallegg , D. Luis del Arco, y comisario de guer Soria. Juntamente se advirtió el mismo impulso en las facciones ra habilitado D. José Izmendi. Voy á salir á la Guarda con toda de la Provincias Vascongadas y de Navarra. Basilio García se in la fuerza que me sigue, y á dar todas las disposiciones necesarias i</t>
  </si>
  <si>
    <t>…á bien hacerlo á S- M. reconocimiento con la caballería tomando la derecha del castillo, y la Reina Gobernadora á los citados oficiales de P. M. D. José haciendo avanzar para sostenerla la compañía de cazadores del pri Hallegg y D. Luis del Arco;-par'la infatigable actividad con que mer batallón de Castilla, mientras que la infantería seguía su mar han comunicado misArdenes., acompañándome á todas partes, lo cha regular por el .camino principal, reservándome mandarla dete que igualmente verificó el comisario de guerra habilitado de esta ne…</t>
  </si>
  <si>
    <t>…e del mismo D. Luciano Llano, prenda de vestir para mudarse, igualmente que su Señora , familia el de igual clase del regimiento de Castilla, agregado á la plana y comitiva. Ayer á las nueve de su mañana se declaró Almeida mayor, D. Luis del Arco, y los soldados del precitado escuadrón, por Doña María de la Gloria, quedando en libertad los49 y tan se me dió el quién vive por tres centinelas diversas, siendo mi tos prisioneros que yacían allí por opiniones políticas : en semejan contestación mandar y dar la carga á los que estaban en 13 plaz…</t>
  </si>
  <si>
    <t>del Arenal, D Juan José</t>
  </si>
  <si>
    <t>D Juan José del Arenal</t>
  </si>
  <si>
    <t>…conocimientos reúne una notoria adhesión al actual gobier lemnidades que requiere la ley fundamental de aquella monarquía, como si pu no de S. M. diera subsistir nación alguna, ni siquiera asomo de sociedad constituida, si se El teniente D. Juan José del Arenal, tanto por sus ideas, como por su ap consintiese á una reunión de individuos declarar de propia autoridad que se titud, robustez y lealtad, es también muy acreedor á las gracias que S. M- tenga opondrán con todas sus fuerzas al establecimiento de una ley. á bien dispensarle. Dios^cc. Potes 12 de Ab…</t>
  </si>
  <si>
    <t>del Arenal, Juan José</t>
  </si>
  <si>
    <t>Juan José del Arenal</t>
  </si>
  <si>
    <t>…modo á la destrucción de aquella gavilla. Quintas ai mando del subteniente ilimitado D. Francisco Rubio con la mis ma orden, y por la derecha al capitán ilimitado D. Francisco Mediavilla y al Madrid 2B dt Abril. teniente retirado D. Juan José del Arenal, siguiendo yo con el subteniente .Don José del Busto y los sargentos segundos D. Elias Alvarez, D. Félix ^ionF.n celebridad del cumpleaños de S. M. la Reina Gobernadora se vistió real y D. Anselmo Miranda, y el resto de la columna por el centro con direc ayer la corte de gala con uniforme , y hubo…</t>
  </si>
  <si>
    <t>del Bailo, Agustín López</t>
  </si>
  <si>
    <t>Agustín López del Bailo</t>
  </si>
  <si>
    <t>…y distribuiría. siguiente, hecha por el Sr. González Alonso: ”Se aprobaron los poderes del El Estamento quedó enterado. • ' Sr. D. Jacinto Kotnarate con la reserva indicada por la comisión. *’ Entró 4 jurar y tomó asiento el Sr. D. Agustín López del Bailo , Procu Se mandó pasar á la comisión de poderes una solicitud de D. Sebastian rador por la provincia de Sevilla. Cuesta , electo.procurador por U provincia de Pontevedra, acerca de varias Concluido este acto dijo el Sr. Presidente: «En atención á que las co eludas para la presentación de sus podere…</t>
  </si>
  <si>
    <t>del Bailo, D Agustín López</t>
  </si>
  <si>
    <t>D Agustín López del Bailo</t>
  </si>
  <si>
    <t>…iría y distribuiría. siguiente, hecha por el Sr. González Alonso: ”Se aprobaron los poderes del El Estamento quedó enterado. • ' Sr. D. Jacinto Kotnarate con la reserva indicada por la comisión. *’ Entró 4 jurar y tomó asiento el Sr. D. Agustín López del Bailo , Procu Se mandó pasar á la comisión de poderes una solicitud de D. Sebastian rador por la provincia de Sevilla. Cuesta , electo.procurador por U provincia de Pontevedra, acerca de varias Concluido este acto dijo el Sr. Presidente: «En atención á que las co eludas para la presentación de sus podere…</t>
  </si>
  <si>
    <t>del Baño, Agustín López</t>
  </si>
  <si>
    <t>Agustín López del Baño</t>
  </si>
  <si>
    <t>…or lo que debía proceder— ria del Ministerio de la Guerra; y el Excmo. Sr. Secretario de Estado y del se á nueva elección. Asi se aprobó. Despacho de este ramo acercándoseá la mesa, la leyó. Quedaron aprobados los poderes del Sr. D. Agustín López del Baño, Concluida la lectura manifestó el Sr. Presidente que el Estamento que Procurador por Sevilla, según proponía la comisión. daba enterado, y que se archivase la memoria leída. También se aprobó el díctámen de la misma relativo á que se exonerase Se nombró para la comisión especial de examen del expe…</t>
  </si>
  <si>
    <t>del Baño, D Agustín López</t>
  </si>
  <si>
    <t>D Agustín López del Baño</t>
  </si>
  <si>
    <t>…s, por lo que debía proceder— ria del Ministerio de la Guerra; y el Excmo. Sr. Secretario de Estado y del se á nueva elección. Asi se aprobó. Despacho de este ramo acercándoseá la mesa, la leyó. Quedaron aprobados los poderes del Sr. D. Agustín López del Baño, Concluida la lectura manifestó el Sr. Presidente que el Estamento que Procurador por Sevilla, según proponía la comisión. daba enterado, y que se archivase la memoria leída. También se aprobó el díctámen de la misma relativo á que se exonerase Se nombró para la comisión especial de examen del expe…</t>
  </si>
  <si>
    <t>del Baño, Lnprz</t>
  </si>
  <si>
    <t>Lnprz del Baño</t>
  </si>
  <si>
    <t>…o mos en disposición de recibir este t&gt;í/n lodathi. Ei mismo señor ha cometi haré ligeramente, pues que el Sr. Domecq me ha precedido en esta parte. do también un error clásico en preguntjr que si U parle baji dei pueblo fuera »E Sr. Lnprz del Baño ha dicho que se podiia reducir ía petición í que ilustrada , qué sena de nosotros. Esto equivale á decir que La ilustración &lt;»s fu-. la cenara fuese solo por lo perteneciente al dogma y a la Corona. Si fuera nesta. Palabra de escándWo! y que no me detendré á impugnar, porque .seria posible adoptrr…</t>
  </si>
  <si>
    <t>del Baño, Lopet</t>
  </si>
  <si>
    <t>Lopet del Baño</t>
  </si>
  <si>
    <t>…rafo que dice que st nombre una comisión científica). Me felicito de que el das que han creido convenientes adoptar por carecer de tan preciosos datos.” Gobierno se hay» anticipado á esta parte: hace 26 dias que ha pasado una or Sr. Lopet del Baño: « Los deseos que manifiestan en su pe ticion los se den i (0 junta suprema de Sanidad, para que recogiendo todos los datos que ha ñores Procuradores que la han firmado son sobremanera laudables, porque tie ofrecido la enfermedad reinante, no solo en Madrid sino en las demás pro-, nen por objeto re…</t>
  </si>
  <si>
    <t>del Baño, López</t>
  </si>
  <si>
    <t>López del Baño</t>
  </si>
  <si>
    <t>…eles manera. Las leyes no se han hecho nunca para el hombre virtuoso. Este está reformaremos pacíficamente lo que haya defectuoso ó incompleto.** garantido; este está seguro en el seno de su casa , satisfecho con el testimonio El Sr. López del Baño deshizo una ligera equivocación. de su conciencia; y si alguna vez, por el defecto inherente 4 todo lo humano, El Sr. López.: «Había pensado no hablar en esta discusión , porque creía se ve en persecución , le queda dicho testimonio, superior á todos los bienes. Mete que tan luminosos principios co…</t>
  </si>
  <si>
    <t>…nifestado el Sr. Caballero. principios, y que vieron que no podían aplicarse. La Asamblea constituyente Se declaró el punto suficientemente discutido. aspiró á un imposible, y no lo consiguió: aspiró á fundar una monarquía sin El Sr. López del Baño: Para poder votar desearía saber sí se quiere vpretener cimientos, minó la sociedad; y asi se hundieron eí trono y la libertad sent¿T el artículo bajo otra forma, ya que se han hecho diferentes observaciobajo sus ruinas. Vino la Convención , y ya amaestrada-con la experiencia, pre ftes sobre su red…</t>
  </si>
  <si>
    <t>…contra ei órden y Ja li cuC'po» rep c»cnld(ivo* le han solicitado , y no han parado hasta que han obte bertad. Por esta razón dió Solon una ley en Atenas para que todos manifes nido la libertad de imprenta sin presta cirtíura. El Sr. López del Baño, a tasen el partido á que pertenecían, considerando como ma» temibles lo» ene Cuyos argumento» contestare despue» , ha di«.ho que quena una libertad de im migos que se quedaban cncub ertps. En U conspiración de Catilma se ob.ó del prenta niodciadj, lo cual »e puede conseguir con la previa cen»ura ;…</t>
  </si>
  <si>
    <t>…añadió: "Los peticionario* sino de la misma redactada de otro modo; y que en las atribuciones del Esta han propuesto al Estamento, y este ha consentido que se dé nueva redacción á mento estaba el admitirlo ó no. su petición 0 El Sr. López del Baño, "Señores: me parece que el Estamento no pue Habiéndose levantado muchos señores para hablar y muchos pedido la pa de pedir á S. M. que nombre una comisión de so seno, porque esto es propio labra , el señor Presidente cerró la sesión í las dos y cuarto, señalando para la y exclusivo de la mesa. El…</t>
  </si>
  <si>
    <t>…inconveniente que * El Sr. Caballero manifestó que los individuos que han firmado la petición el de alterar un artículo ya aprobado por el Estameoto. habían convenido en redactar este artículo en la forma siguiente: «Ls propie El Sr. López del Baño propuso que se pusiese solo en el mismo artículo dad es inviolable: sin embargo está sujeta: l.° A la obligación de ser cedida la frase «civil ni criminalmente,” con lo cual se obviaba el inconveniente ex •l| Estado cuando lo exigiere algún bbjeto de utilidad pública, previa siempre presado. la ind…</t>
  </si>
  <si>
    <t>…el Sr. Ochoá , y concluyó pliaba por cuanto solo se quena que hasta después de hablar tres señores en pro manifestando la utilidad de la proposición. y tres en contra , no pudiese declararse discutido un asunto: que no era con El Sr. López del Baño dijo que habia proposiciones muy importantes, trariar el reglamento aclarar los puntos dudosos que no estaban decididos en y por lo tanto de mas ó menos trascendencia, que no podían discutirse de re él, pnes según el espirita delmismo, mas bien parecia que las discusiones de pente: que cuando se tr…</t>
  </si>
  <si>
    <t>…mo queda después de las unan; y no puede ser justo castigar á los individuos que acudan al punto seña variaciones con que se ha convenido el Gobierno.” lado para su reunión, á fin de contener lo que pueda sobrevenir. Aun ea la El Sr. López del Baño pidió se expresase terminantemente si se accedía misma tropa efectiva se ve de esto, y muchas veces el último soldado da la por la comisión á La idea de que se propusiese por el consejo de disciplina la alarma y previene á los grfes.” privación de empleo á los gefes y oficíales i y el Sr. Espinardo…</t>
  </si>
  <si>
    <t>…ene la Ordenanza, no puede admi Habiéndose expuesto por el Sr. conde de Toreno que las dos comisiones tirse, ni haber lugar á deliberar sobre ella.” se pusieran de acuerdo, le contestó el Sr. González que no habia necesidad de El Sr. López del Baño pidió que se leyera el artículo 31 del Estatuto hacer ninguna prevención , porque la grande relación de un cudigo con otro Real ; y leído que fue por el Sr. Trueba, dijo este: aquí no hay ningún asun aconsejaría ¿|ue se uniesen las comisiones. to que se haya sometido á las Córtes. El Estamento qued…</t>
  </si>
  <si>
    <t>…as Córtes y los que se contrajeron después. Aquello» tos de esta clase, iba á ponerse en noticia del Estamento. se contrajeron para aliviar 4 los pueblos en las contribuciones, y para emplear Se leyó dicha indicación hecha por el Sr. López del Baño que decía: su producto en las necesidades públicas. Estos lo fueron para emp'earios en wS’endo trascendentales las adiciones.que se pueden hacer 4 artículos aproba otros objetos, y cuando al mismo tiempo se oprimía 4 los pueblos con exac dos de cualquier proyecto de ley, pido al Estamento se digne…</t>
  </si>
  <si>
    <t>…jas.= adquisición.” Conde de las Navas. = José Alvarcz de Solomayor. ~ José Antonio de Agre El Sr. conde de loe Navas: «Señores, después del cuadro que ha traza da.;: Andrés Visedo.” do tan minuciosamente y con tanta propiedad el Sr. López del Baño para sos El Sr. Secretario del Despacho de Hacienda: - Asi como no me opuse y tener esta petición , poco ó nada queda que decir en su apoyo; y asi me limi solo pedí se suspendiese la petición sobre el impuesto de la pasa de Málaga, taré á proponer algunas cuestiones á los señores que han hablado en…</t>
  </si>
  <si>
    <t>…que no sea mas que es tan cierto , que en Toledo, a! cabo de “00 años, todavía había cristianos es para que el Gobierno tenga conocimiento de ellos. pañoles , cuyos descendientes se llaman mozárabes. «Las razones expuestas por el Sr. López del Baño no pueden menos de «Asi pues, en cnanto á que se exige en aceite el diezmo del Ajarafe, me hacer muchá fuerza. Se sabe el rigor con que los cabildos eclesiásticos en lo ge parece que no hay una razón fundada para que los señores peticionarios insis neral exigen los diezmos* Es cierto que en unas pa…</t>
  </si>
  <si>
    <t>…e debía admitirse «Tercera: que e*u» cantidades se destináo en parte á establecimientos pia esta por el Estamento, y elevarse á pianos de S. M. doso* y de beneficencia , que soq cargas de justicia , que el Gobierno no podría \ El Sr. López del Baño: «Tomo la palabra únicamente para hacer una menos de siUisfacerlas, teniendo que exigirlas á los mismos pueblos; lo que observación. La peticion relativa á la abolición del Voto de Santiago , tal cual vendría á ser un premio para unos y una notoria injusticia para otTOS. la han presentado los Sres.…</t>
  </si>
  <si>
    <t>…eseos, y por lo da menos que de destruir sus fábricas por las medidas sanitarias. El mió por tanto opino que seria conveniente retirar la petición/’ ejemplo, Bejar solo subsiste de las fabricas de paños: tiene contratas con el El Sr. López del Baño deshizo una equivocación, manifestando que no ejército que forzosamente debe cumplir; pero por las medidas sanitarias se cree era exacto que no hubiese tenido España reglamento sanitario. D;jo.lo había, que los arrieros que conduzcan los paños podran introducir el cólera. No diría aunque no estaba…</t>
  </si>
  <si>
    <t>del Busto, José</t>
  </si>
  <si>
    <t>José del Busto</t>
  </si>
  <si>
    <t>…del subteniente ilimitado D. Francisco Rubio con la mis ma orden, y por la derecha al capitán ilimitado D. Francisco Mediavilla y al Madrid 2B dt Abril. teniente retirado D. Juan José del Arenal, siguiendo yo con el subteniente .Don José del Busto y los sargentos segundos D. Elias Alvarez, D. Félix ^ionF.n celebridad del cumpleaños de S. M. la Reina Gobernadora se vistió real y D. Anselmo Miranda, y el resto de la columna por el centro con direc ayer la corte de gala con uniforme , y hubo en el Real sitio de Aranjuez besa ción á la villa. A la ent…</t>
  </si>
  <si>
    <t>del Camino, Diego</t>
  </si>
  <si>
    <t>Diego del Camino</t>
  </si>
  <si>
    <t>…88 y 9. ayuntamiento D. Juan de la Lomba, el cura párroco del pueblo de Lierganes D. Jo é Gómez, que con ios oficiales retirados D. Vicente de la Torriente y El premio de 2500 rs. vn. concedido en cada extracción á las huérfanas D. Diego del Camino, D. Manuel Pendo, D. Marcelino de la Torriente, Don de militares y patriotas que murieron en defensa de la justa causa de la nación Diego del Castillo, D. José Cabello y D. Gabriel Fretre .concurrieron á en la guerra de la independencia, inclusas las de los víctimas del 2 de Mayo la expedición que…</t>
  </si>
  <si>
    <t>del Camjto, Venceslao González</t>
  </si>
  <si>
    <t>Venceslao González del Camjto</t>
  </si>
  <si>
    <t>…traciones Para Madrid................. 2.JO I *4» 60. 3 Para 30 ifto el lleiiio....... ...... «P- de Correos. 1 38o 90 ..... Para Canarias....... •**’ Para ludias............ 300 loo. GACETA DE MADRID. ARTICULO DE OFICIO. cios de D. Venceslao González del Camjto, dignidad de tesorero de i la catedral de Oviedo, y en nombre de su augusta Hija IV&gt;ña Isa La Reina nuestra Señora Doña Isabel ii, y S. M. la Reina bel ii, ha tenido á bien concederle la cruz de comendador de la Real Gobernadora, siguen en el Real sitio de Aranjuez siu novedad orden americana de Is…</t>
  </si>
  <si>
    <t>del Campo, Gerónimo</t>
  </si>
  <si>
    <t>Gerónimo del Campo</t>
  </si>
  <si>
    <t>…moral ha experimentado una Elemental de cálculo diferencial y de cálculo integra!. compuestos en francés por mudanza completa. Seria bueno que los que declaman contra el uso del látigo }. L Bóucharlst, y traducidos al español por D. Gerónimo del Campo, ayudante se investigasen cuán pocas veces se hace necesario emplearlo. .Verían entonces, gundo decaminos, y profesor de ls Real escuela de ingenieros de caminos y Canales. que si es indispensable administrarlo frecuentemente á los recien entrados, esta Impresos de órden del Sr. D. José Agustín de…</t>
  </si>
  <si>
    <t>del Campo, Manuel Sánchez</t>
  </si>
  <si>
    <t>Manuel Sánchez del Campo</t>
  </si>
  <si>
    <t>…algunos miles de perturbadores y de ambiciosos burlados en sus esperanzas, dio tiro de fusil de la muralla, acompafado de mis ayudantes D. José Galloestableciendo al mismo tiempo la opresión de los hombres de bien. Dice que go , D. Manuel Sánchez del Campo, el secretario D- Francisco Rayón y el el abuso que se hace de la libertad de imprenta es la causa del disgusto en que capitán graduado de caballería de León D. Joaquín Garcíj , desde cuya inme todos viven: amplifica esta Opinión corroborándola con algunas reflexiones; y diación vi unos 300 hombres…</t>
  </si>
  <si>
    <t>…que curpplir^n en 17 de Junio próximo, comparezcan por ti ó activa en ellas, acompañándole en todas con inteligencia y puntualidad: y mi por medio sle personas Icgalinente autorizadas en dicho juzgado y escribanía de pon ayudante D. Manuel Sánchez del Campo nada me ha dejado que desear. Fl se José de la Fuemc y Bazan ; en inteligencia que para junta general se halla seña!ajo el 1 7 de casa de Sr. de la tarde en día dicho teniente de asisten a las cuatro Junio cretario d« esta comandancia general D. Francisco Rayón , por su infatigable mismo en de S. á…</t>
  </si>
  <si>
    <t>del Campo, Vicente</t>
  </si>
  <si>
    <t>Vicente del Campo</t>
  </si>
  <si>
    <t>…. La Francia está representada en la corte de San James por fallecimiento de D. Salvador Miralles, D. Antonio Martínez Arroyo y Don un secretario de legación; el Austria por un oficial llamado consejero de la Toribio Parfrondi, á D. Vicente del Campo, D. Ramón Rodríguez de Veembajada; la Rusia por un miembro subalterno del cuerpo diplomático coh lasco y D. Manuel Sánchez Cid; para una alcaldía del crimen de Albacete y carácter temporal, y muy pronto representará á la Prusia un secretario ó en otra de Cataluña, vacantes aquella por fallecimiento…</t>
  </si>
  <si>
    <t>del Castillo, António Fernandez</t>
  </si>
  <si>
    <t>António Fernandez del Castillo</t>
  </si>
  <si>
    <t>…redo, qüc ac te del Consejo de Ministros. tualmente lo soh de la misma; á D. José Vecino/ fiscal de k&gt; ci vil dé la audiencia de Búrgos, y á D. José López de CoZar y i Eli atención á los extensos conocimientos en la ciencia de la D. António Fernandez del Castillo, oidores cesantes con sueldo: administración y demas cualidades1 que adornan á D. Juan Alva- por la clase de alcaldes á D. Andrés MasegoSa; á D. Francisco iez Gueíra, he venido en nombrarle para la plaza de decano de lá GalveZ Fernandez y á D. José Alonso Villastnte, que son tam sección de Fomento…</t>
  </si>
  <si>
    <t>del Castillo, Jacoba</t>
  </si>
  <si>
    <t>Jacoba del Castillo</t>
  </si>
  <si>
    <t>11/04/1834</t>
  </si>
  <si>
    <t>Gaceta de Madrid n.º 50</t>
  </si>
  <si>
    <t>…............... Idem. ■-----A Virtud de providencia del señor de Sojo , teniente de viTla de esta 24,391.. 400...................................,.. Sevilla. capital, refrendada del escribano Sierra, se cita á Doña Ramona Rubio y Doña Jacoba del Castillo, viuda é hija de D. Miguel del Castillo, ve 15,696.. 400..................................... Idem. cino y profesor de farmacia que fue en esta corte; y también á ios 17424.. 400................................. ... ATgeciras. acreedores á los bienes que este ha dejado, para que en el preciso tér 1…</t>
  </si>
  <si>
    <t>del Castillo, Miguel</t>
  </si>
  <si>
    <t>Miguel del Castillo</t>
  </si>
  <si>
    <t>…ovidencia del señor de Sojo , teniente de viTla de esta 24,391.. 400...................................,.. Sevilla. capital, refrendada del escribano Sierra, se cita á Doña Ramona Rubio y Doña Jacoba del Castillo, viuda é hija de D. Miguel del Castillo, ve 15,696.. 400..................................... Idem. cino y profesor de farmacia que fue en esta corte; y también á ios 17424.. 400................................. ... ATgeciras. acreedores á los bienes que este ha dejado, para que en el preciso tér 19,150.. 400.............................…</t>
  </si>
  <si>
    <t>del Castillo, Ramona Rubio y Doña Jacoba</t>
  </si>
  <si>
    <t>Ramona Rubio y Doña Jacoba del Castillo</t>
  </si>
  <si>
    <t>…................................... Idem. ■-----A Virtud de providencia del señor de Sojo , teniente de viTla de esta 24,391.. 400...................................,.. Sevilla. capital, refrendada del escribano Sierra, se cita á Doña Ramona Rubio y Doña Jacoba del Castillo, viuda é hija de D. Miguel del Castillo, ve 15,696.. 400..................................... Idem. cino y profesor de farmacia que fue en esta corte; y también á ios 17424.. 400................................. ... ATgeciras. acreedores á los bienes que este ha dejado, para que en el preciso tér 1…</t>
  </si>
  <si>
    <t>del Cid, Francisco</t>
  </si>
  <si>
    <t>Francisco del Cid</t>
  </si>
  <si>
    <t>…n estos últimos dias aliteración en la salud pública.' dico del común; D. Antonio Gallego, presbítero, vocal; D. Cristóbal Rodrí y obrando con la franqueza y legalidad observada en todas sus comunicaciones guez, médico titular, y D. Francisco del Cid, vocal; se dio cuenta de un ofi deciara á dicha capital en estado de sospecha, con arreglo a] aríbu'o 5.° de ¡a cio de D. Sebastian de Medina, médico comisionado por el Excmo. Sr.. capi instrucción sanit.ini de 25 de AgnMO de 181 , y sujetas sus procedencias á li tán general de esta provincia, pres…</t>
  </si>
  <si>
    <t>del Con, Presidente</t>
  </si>
  <si>
    <t>Presidente del Con</t>
  </si>
  <si>
    <t>…tación de los cabildos, de la resolución al Estamento y pidiéndole su permiso, se accedió á su petición. cual no te trataba ahora, y quedaba á la consideración del Gobierno, después Asimismo se dió cuenta de otra comunicación del Sr. Presidente del Con que tome las noticias oportunas. Hablando de la necesidad de dotar la fábrica sejo de Ministros, en que participaba haberse servido S. M. la Reina Gober de la iglesia de Santiago, me acuerdo haber dicho que tenia confianza,,y espe nadora mandar que quede sin efecto la medida gubernativa del comanda…</t>
  </si>
  <si>
    <t>…de no alistar mismo instinto de la propia conservación y de la patria, que nos está encomen los; y esto se puede verificar sin necesidad de hacer públicos aquellos. Si en dada: ese instinto, desque tantas veces nos ha hablado el Sr. Presidente del Con los términos en que lo propone la comisión, asi en este artículo como en el sejo de Ministros , -es el que sirve de fundamento á mi opinión; es el que me siguiente, no está estó bien expresado, yo no sé á la verdad cómo acertar.” mueve á sostenerla; es el que me mueve á procurar por todo's medios se ci…</t>
  </si>
  <si>
    <t>del Cons, Presidente</t>
  </si>
  <si>
    <t>Presidente del Cons</t>
  </si>
  <si>
    <t>…atemos de -Ja segunda .época: eí'doloroso tener qi/e* hablar de ¿lia; es ocairon oportuna de contestar a una especie de inculpación que se hizo por el dolorgso habsf de recordar el. ojtgen que tuvo la deuda, los medios que se em- Sr. Presidente del Cons:jo de Minigttq» fn.la:4Csionfde\ 9 al Estamento J</t>
  </si>
  <si>
    <t>del Conse, Presidente</t>
  </si>
  <si>
    <t>Presidente del Conse</t>
  </si>
  <si>
    <t>…tar con los Estados de América, eso no; y el ir á pro* gar, y solo se trata de una cuestión preliminar: s¡d embargo expondré algunas ponérselo, se parecería mucho á mendigarlo. observaciones sobre las indicaciones que ha hecho el Sr. Presidente del Conse » Las ideas que acabo de manifestar , y los pasos efectivos que en la ac jo de Ministros, apoyadas por el Sr. Secretario dc Hacienda, para convencer al tualidad se están dando, me parece serán bastantes para traquilizar á los seño Estamento de que no puede haber dificultad en que se trate en publico de e…</t>
  </si>
  <si>
    <t>…a que tiene pedidos los certificados de las contribuciones que pagaba pata acredi da para este efecto» tar sus rentas, los que no le habían sido remitidos aun; ofreciendo presentarlos Se Aió cuenta de Otro oficio del mismo Excmo. Sr. Presidente del Conse- y presentarse al Estamento si su larga y grave-enfermedad se lo permite. - jo de Mínislnos, con d que de ReaJ órden remitía al Estamento, para que se El Sr. marques de Cerralvo contesta que ya en 22 de Julio hizo presenta archivase, Ja memoria1,.que leyó del estado en que se hallaban los ramos que la…</t>
  </si>
  <si>
    <t>…anto, le parecía no deberse comparar los empleados en el servicio activo tual de la vista, que hace mucho padece. de S. M. con los empleados por el Gobierno; pues de otro modo tal como El Estamento quedó enterado de un oficio del Sr.' Presidente del Conse había presentado la proposición el Sr. Bftrgos podría dar márgen á interpre taciones. jo de Ministros, al que acompañaba la exposición documentada, leída.poibei mismo en una de las sesiones anteriores , relativa á las relaciones exter ioica.del El Sr. duque de Rivas fue de parecer se añadiese la pa…</t>
  </si>
  <si>
    <t>del Consejo, Duque Presidente</t>
  </si>
  <si>
    <t>Duque Presidente del Consejo</t>
  </si>
  <si>
    <t>…s. sidente habitual, y este el preferente que le sigue; lo cual también De Real orden &amp;c. Dios &amp;c. Aranjuez 7 de Mayo de 18.34.= se verifique cuando los sutnlclcgados estimasen conveniente asistir Francisco Martinez de la Rosa. = Sr. Duque Presidente del Consejo á las sesiones de los ayuntamientos con algún motivo particular que Real de España é Indias. lo exigiese, mas sin tomar parte en votaeion ni resolución de nin guna especie. De Real orden lo comunico ,í V. para su inteligen MINISTERIO DE LA GUERRA. cia, circulación y cumplimiento. Dios guarde á V. m…</t>
  </si>
  <si>
    <t>del Consejo, Nicolás Ma</t>
  </si>
  <si>
    <t>Nicolás Ma del Consejo</t>
  </si>
  <si>
    <t>…encia. nombrar á D. Andrés Crespo Cantolla. Tendréislo entendido, y Jo comunicareis á quien corresponda.—Está rubricado de la Real Conformándose S. M. la Reina Gobernadora con el dictámen mano—En Aranjuez á 23 de Abril de 1834-=A D. Nicolás Ma del Consejo supremo de Hacienda , se ha servido resolver que Don ría Garelly. Santiago Feautrier está en el caso de satisfacer el derecho trasver sal de herencias por las inscripciones de renta francesa que tiene ad Para la plaza de oidor en el Real consejo de Navarra, vacante quiridas á virtud de la dls'posic…</t>
  </si>
  <si>
    <t>del Consejo, Prendente</t>
  </si>
  <si>
    <t>Prendente del Consejo</t>
  </si>
  <si>
    <t>…os sin «Ha dicho S. S. (y lo siento, porque creo que se ha dirigido á mí; mas fin. si no se hubiesen alistado. supuesto que el ataque es perdona!, me toca defenderme) ha dicho S. S. que El Sr. Istúriz, en contestación asimismo al Sr. Prendente del Consejo de uno de los principales prosélitos de la--Constitución ha renegado ayer de ella. Ministros, manifestó que por su adhesión al sistema constitucional habia esta No sé si esto se dirige á mí; pero si se dirige, es poco exacto: yo pido al Es do once años emigrado en países extranjeros. tamento nada mas…</t>
  </si>
  <si>
    <t>del Consejo, Presidente</t>
  </si>
  <si>
    <t>Presidente del Consejo</t>
  </si>
  <si>
    <t>…aria no lo es de ninguna matura-, y que á pesar berán asistir al cuarto de S. A. en el dia de su alumbramiento. de todo cuanto él ha manifestado, la iglesia de Santiago tiene derecho indis Quedó asimismo enterado de un oficio del Sr. Presidente del Consejo da putable i la contribución nacional en virtud de varios diplomas legítimos de Ministros1, en que participa haber accedido S. M. la Reina Gobernadora á la nuestros Reyes, del consentimiento general de la Nación, de sentencias judi exoneración de Prócer del reino, que ha solicitado el M. R. Arzobispo…</t>
  </si>
  <si>
    <t>…idente habitual, y este el preferente que le sigue; lo cual también De Real orden &amp;c. Dios &amp;c. Aranjuez 7 de Mayo de 18.34.= se verifique cuando los sutnlclcgados estimasen conveniente asistir Francisco Martinez de la Rosa. = Sr. Duque Presidente del Consejo á las sesiones de los ayuntamientos con algún motivo particular que Real de España é Indias. lo exigiese, mas sin tomar parte en votaeion ni resolución de nin guna especie. De Real orden lo comunico ,í V. para su inteligen MINISTERIO DE LA GUERRA. cia, circulación y cumplimiento. Dios guarde á V. m…</t>
  </si>
  <si>
    <t>…rafa de 2 de Junio , desaprobó positivamente esta no. Dios guarde á V. E. muchos años. Riofrio 6 de Agosto de 1834. resolución; pero en la autógrafa del 3 participó D Cários á S. M. su feliz ( Firmado. ) = Nicolás María Carelly. =Sr. Presidente del Consejo de arribo á Coimbra. En vuta de semejante conducta , por la autógrafa de 11 del indicado mes le mandó terminantemente S. M. que se embarcase. Ministros. i . Sin embargo, por la autógrafa de 8 de Junio desde Coimbra , aparece que se excusó de hacerlo á pretexto del cóleras. Y á la intimación verbal del…</t>
  </si>
  <si>
    <t>…ero hay la resistencia contra Tas mejoras, contra los deseos de paz y de reconciliación ; ¡es á este á lo que alude el ministerio; Es preciso quedar de acuerdo respecto á la palabra resistencia : aunque ella en sí es muy vaga, P1 Sr. Presidente del Consejo, ministro de ía Guerra, ha dirigido la si „ va unida sin embargo al recuerdo, á tandea de un ministro animoso que per guiente circular i los señores tenientes generales que mandan las div¡síóiies‘midió la vida sirviendo á la patria. (Adhesión.) Este sistema no es únicamente el Jitares y las divisío…</t>
  </si>
  <si>
    <t>…iones, ni tenian otro fin que el ilustrar Ja materia.que se discutía , ¿- 28, por no pararse en tan mezquina diferencia. De todo esto ha deducido el pretesto .de lo dispuesto en el reglamento sobre el modo.de ejercer los Procu- - Sr. Presidente del Consejo que hay inconsecuencia; pero permítaseme le diga radores el derecho de petición. Asi viene á suceder que el Estamento está in que la misma se puede achacar á S. S., porque quería con el resto del ministe comunicado con nuestros comitentes-, y si á estos no se les oye, ,y á su vez se rio, primero 35…</t>
  </si>
  <si>
    <t>…áp que se hallaren convenientes en él, aun cuando en mi opinion particular esto' nuestra lengua) falsea en una de sus partes, queda todo falseado.” asunto es tan propio, tan privativo dej Estamento, que para revisar su regla «El Sr. Presidente del Consejo de ministros nos ba llamado á un terreno mento no tenia necesidad de dicho requisito: por consiguiente no viendo yo peligroso; y si tengo la libertad de entrar en él, no es para vulnerar de nin hasta ahora oposición por parle del Sr. Presidente del Consejo de Ministro», gún modo el Estatuto Reas. Perm…</t>
  </si>
  <si>
    <t>…ropa; complaciéndome en manifestar, pués de haberlo permitido S. M., los ilustres Sres. Proceres y Srcs. Procuradores con este motivo, las amistosas disposiciones de que me están dando del reino, que se hallaban de pie: el Excmo. Sr. Presidente del Consejo dcMi- repetidos testimonios mis augustos Aliados, el Rey de los franceses y nistros puso en las Reales manos de S. M. el discurso de apertura, y habién el Rey del Reino Unido de la Gran Bretaña é Irlanda; asi como la dose dignado recibirlo, lo leyó, y es como sigue: buena armonía que felizmente exi…</t>
  </si>
  <si>
    <t>…unirse al Estamento á que pertenece asi Procer, y asi quedó acordado. que los deberes de su empleo se lo permitan. Otro del Excmo. Sr. marques de Cerralbo , sobre el cual la comisión expuso Asimismo se leyó otro oficio del Excmo. Sr. Presidente del Consejo de que aunque le faltaba hacer la prueba de la condiciónI 2.a prevenida, podían Ministros, manifestando la imposibilidad en que se hallad ei Excmo. Sr. Don aprobarse sus títulos y admitírsele, bajo condición de verificar dicha prueba, y José Martínez de San Martin de ejercer la dignidad de Procer dura…</t>
  </si>
  <si>
    <t>del Consejo, Presidíate</t>
  </si>
  <si>
    <t>Presidíate del Consejo</t>
  </si>
  <si>
    <t>…pando quedar S. M- enterada del nom- ticipado el fallo de esta causa. bramipnlo de los Secretarios de este Estamento. ■, «Debidas son í V. M, réndidás acciones de gracias por haber hecho pe También se ¡eyó otro oficio del Exento. Sr. Presidíate del .Consejo de netrar las tropas españolas en Portugal, y puesto en pocos dias fin i fina larga Ministros, acompañando una exposición del Externo. Sr. conde .do. Montene contienda , contribuyendo oportuna y eficazmente á arrojar ,de aquel .reino á gro , el cual daba gracias á S. M. por su elevación á la dignidad…</t>
  </si>
  <si>
    <t>del Corral, Indalecio</t>
  </si>
  <si>
    <t>Indalecio del Corral</t>
  </si>
  <si>
    <t>…tarios D. Juan Pardo, D. Apo - eos, del .partido de .Sigüenza. linar Garda* D- Gabriel Trucha* D. Justo Fernandez, menor, D. Manuel de ¡PROVINCIA DE KADRID. la Peña, D. Gabriel de Ve lasco , D. Lázaro de Arredondo, D. Gil García, D. Indalecio del Corral, D. Miguel Garmilla, D. Manuel Zorrilla; y en Del parte recibido el dia'20 del actual en el«3*ebíern©.'civil&gt;de».esta propartícularal capitán de Betanzos O. Vicente María Seguróla. -vincia aparece queel dia*I6 delqiropio había en-Carábanchél-alio 3B enfer- -mos, de los cuales curaron 17., y-no-muri…</t>
  </si>
  <si>
    <t>del Cotisejo, Presidente</t>
  </si>
  <si>
    <t>Presidente del Cotisejo</t>
  </si>
  <si>
    <t>…art*. 3.°, se leyó el del proyecto del Gobierno, y después el del «Diré de paso, cómo un consejo amistos»de un Procurador á otro,,,que d¡£tá&gt;meifcde l4 comt$fon. (Véase la sesión del 11 del actual). esas mismas ideas que tenia el Sr. Presidente del Cotisejo dé Ministros en el El 'Sr. Secretario del Despacho de lo Interior: «Para adelantar en la dis año 22 nos perdieron en el ano 23 , y que esas mismas ideasTque ve como por cusión de este artículo, me parece conveniente, sin anticiparme á las ideas de una linterna.mágica, pues S. S. no ve mas que fanta…</t>
  </si>
  <si>
    <t>del D, Secretarlo</t>
  </si>
  <si>
    <t>Secretarlo del D</t>
  </si>
  <si>
    <t>El Sr. Presidente mánifestó »e sirvióse el Sr. Secretarlo del D pacho de una mayoría, que no tuviese la ilustración y ¡rectitud necesarias, oprimir lo Interior[nteriór decirdecir quéaué artículoartículo déldel reglamentoreglamento hablabahaldaba .sobre.sobre élél particúl^r;partid y di minoría, impidiéndola exponer sus razones; y qué también debia tenerse pre c…</t>
  </si>
  <si>
    <t>del Dee, Srcreteerfo</t>
  </si>
  <si>
    <t>Srcreteerfo del Dee</t>
  </si>
  <si>
    <t>…todo» los esfuerzos de que soy capaz ma opongo al artícu El Sr. duque de Rival-. «Siento mucho que el Eterno. Sr. preopinante lo 2.a que se discute.” haya cradoque hc tratadp.de baoer un parangón ó contraposición del ejercitó El Sr. Srcreteerfo del Dee pacho de ¡o Interior - »E1 asunto que. ocupa la español y la Milicia urbana, desventajosa para aquel. Me glorío de haber per atención del Estamento no es reglamentario, tino qué es una materia de .grava tenecido í sus fila», T.,de Jbaber recibido en .ellas muchas heridas por sostener entidad y tras…</t>
  </si>
  <si>
    <t>del Des, Pedro Perena Excmo Sr Secretario</t>
  </si>
  <si>
    <t>Pedro Perena Excmo Sr Secretario del Des</t>
  </si>
  <si>
    <t>…Pcdro banos de Peralta al oficio que pasó á aquel ayuntamiento el titulado co-. Perena. r^Excmo. Sr. capitán general de Aragón, . . _ misario Mongelos. Todo lo que participo á V. E. para su superior conoci miento. Dios &amp;c.=Excmo. Sr.=Pedro Perena—Excmo. Sr¡ Secretario del Des Número 2, pacho de la Guerra. Corregimiento de Alfaro-= Acabo de recibir dél alcalde da U villa de Copia de loe ojiciof que Je citan en el anterior parte, Milagro el oficio fecha de este dia, que dice asi: ..Habiéndome cerciorado (je lo ocurrido en Villafranca, se lo participo', yes lo que sigue: L…</t>
  </si>
  <si>
    <t>del Despa, SecretarÍo de E'tado y</t>
  </si>
  <si>
    <t>SecretarÍo de E'tado y del Despa</t>
  </si>
  <si>
    <t>…pa integridad. Sí el Estamento lo mira con indiferencia; si después de haber salvado ra que se archive, y asi se acordó ciertas fórmulas prevenidas por el reglamento que deben llenarse antes de pro Otro manifestando que el Excmo Sr. SecretarÍo de E'tado y. del Despa ceder á la admisión de muchos señores, á quienes se hi admitido j! juramento cho de lo Interior expresa, que por este so o e^tá excusado de asistir al E&gt;ta- sin haberlas cumplido todavía; si se deja pasar el tiempo viendo que hay mu inetiío el £icmo. $r. marques del Cerro de la Cabeza , Gobernador…</t>
  </si>
  <si>
    <t>del Despa, Secretirio</t>
  </si>
  <si>
    <t>Secretirio del Despa</t>
  </si>
  <si>
    <t>…urador por la provincia de Orense l; y conde do Sres. Romarate, González Pérez y Agreda.-------------- ,------- Villamena, por la de Granada, manifestando no haber concurrido aun á las El Estamento quedé enterado de un oficio del Sr. Secretirio del Despa sesioites por hallarse enfermos, acompañando certificación de facultativos. cho de lo Interior, al que acompañaba el original de la memoria de sU ramo, Igual exposición hacia el Sr. D Baltasar Carrillo Manrique , electo Pro leida en una de las sesiones anteriores. Se mandó arcfií'-ar dicha memoria.…</t>
  </si>
  <si>
    <t>del Despacho, Arguelles El Sr Secretario</t>
  </si>
  <si>
    <t>Arguelles El Sr Secretario del Despacho</t>
  </si>
  <si>
    <t>…que dijo habia padecido el Un presupuesto en último análisis no es otra cosa que la suma de los gastos que Sr. Secretario del Despacho de Hacienda. requiere el servicio público en un ramo: cada uno de ellos tiene la misma sigr El Sr. Arguelles-. «El Sr. Secretario del Despacho de Hacienda creo que nificácion; luego cada uno es una ley distinta; y aunque se llame proyecto de no ha entendido lo que yo he dicho respecto al estado de la Nación. Me he li ley á su reunión, cada uno de los mismos es,una ley que se lia pasado á la co mitado á indicar que las discusiones de este Est…</t>
  </si>
  <si>
    <t>del Despacho, Butrón El Sr Secretario</t>
  </si>
  <si>
    <t>Butrón El Sr Secretario del Despacho</t>
  </si>
  <si>
    <t>…tales, á saber: el general Castaños y el general El Sr. marques de 'Torremejfa: «Entiendo que son las deudas originadas Palafox,con cuya indicación convinieron el Sr. Secretario del Despacho de en el año de * 4 - • Hicícnda y el Sr. Butrón. El Sr. Secretario del Despacho de Hacienda: «Supongo ya de lo qué sfc El Sr. Calderón Collantes dijo que en virtud de las indicaciones hechas quíeie hablar. Se trata de una reclamación de mas de 5 millones-2úo9 rs., tuyo por varios Sres. Procuradores , y no habiendo tenido inconveniente en admitir ah no se ha hecho en virtud de sen…</t>
  </si>
  <si>
    <t>del Despacho, Domecq de los Secretarios</t>
  </si>
  <si>
    <t>Domecq de los Secretarios del Despacho</t>
  </si>
  <si>
    <t>…poderes de que se trata: como Procurador á Córtes tendría el derecho yo diciendo se debe desechar el dictamen de la comisión, y aprobar el parti de hacerlo; pero por un principio de delicadeza no lo hemos hecho ninguno cular del Sr. Domecq.** de los Secretarios del Despacho cuando se ha tratado de poderes, y nos hemos El Sr. Medrana: «Yo no puedo menos de reconocer la posición des limitado á votar según nuestra conciencia nos lo dictaba. Mucho menos lo ha agradable de la comisión: tratándose de personas es muy difícil separar la vis ría en esta ocasión , á pesar de qu…</t>
  </si>
  <si>
    <t>del Despacho, El Secretario de Estado y</t>
  </si>
  <si>
    <t>El Secretario de Estado y del Despacho</t>
  </si>
  <si>
    <t>…etariode Estado y del Despacho de Gracia y Justicia.......... 3000 &lt;59 caballos. El Secretario de Estado y del Despacho de Hacienda........................ 30D0 ____ La Gaceta de Estado de Berlín dice lo siguiente: » La dirección general El Secretario de Estado y del Despacho de la Guerra....................... 3000 de la deuda pública acaba de anunciar que desde l.° de Octubre se pagarán El Secretario de Estado y del Despacho de Marina............................ 30p0 todo* lo* atrasos del empréstito de Prusia contraido en 1818 con la casa de El Secretario de Estado y…</t>
  </si>
  <si>
    <t>del Despacho, El Sr Secretario</t>
  </si>
  <si>
    <t>El Sr Secretario del Despacho</t>
  </si>
  <si>
    <t>…us ventajas, como lo estaban las del otro. Estoy, pues, en con secuencia mas por el sistema de hi comisión, que por el nuevo que se propone.” esta parte moralmente. »Vengo ahora á lo que el Sr. conde de las Navas ha preguntado al señor El Sr. Secretario del Despacho de la Guerra: «Yo no tengo la preten Secretario de la Guerra sobre el sueldo de estos cesantes. Hasta ahora no me sión de ser un perfecto organizador de secretarias. Confieso que hubiera queri parece que se les ha señalado nada , pero se consultará á la economía. Yo con do acertar, y me he determinado á…</t>
  </si>
  <si>
    <t>del Despacho, JEl Sr Secretario</t>
  </si>
  <si>
    <t>JEl Sr Secretario del Despacho</t>
  </si>
  <si>
    <t>…leyó dicho artículo, base que $e ha fijado en Ja ley, se ha atendido al objero de excluir de] servicio tanto del proyecto del Gobierno como del de la comisión. á los que ésten mas propensos á poder ser seducidos, los jornaleros, general JEl Sr. Secretario del Despacho de lo Interior i «El Gobierno de S. M., mente hablahdo (sin que esto sea agraviar á ninguno en particular), se hallan , constante siempre en admitir lo mejor sin reclamar una preferencia exclusiva , mucho mas en ese caso en igualdad de circunstancias que los individuos de las -en favor de su opinión,…</t>
  </si>
  <si>
    <t>del Despacho, Juan Domin El Sr Secretario</t>
  </si>
  <si>
    <t>Juan Domin El Sr Secretario del Despacho</t>
  </si>
  <si>
    <t>…io del Des oponga é que se aprueben ó desaprueben después las partes de los proyacme f pacho de lo Interior, acompasando el acta de elección de D. Pedro Marti dictámenes." para Procurador por 1¿ provincia de Avila en reemplazo de D. Juan Domin El Sr. Secretario del Despacho de Hacienda leyó los artículos SS y Si del go Batmaseda. reglamento, y manifestó que siendo de suyo tan grave el asunto, el ínteres dd La coüusion de Poderes dió cuenta de haber examinado loa de D. Ra Gobierno, que era el mismo que él del Estamento, exigia se ventilase coa b&gt;- fael de Rodas, electo…</t>
  </si>
  <si>
    <t>del Despacho, Picsiden El Sr Secretario</t>
  </si>
  <si>
    <t>Picsiden El Sr Secretario del Despacho</t>
  </si>
  <si>
    <t>…obierno.*' si mas que cumplir con su en^arg), dando el dictamen que le había parecido El Sr. Secretario del Despacho de Estado dijo se levantaba solo para de justo. cir dos palabras acerca de lo mismo que acababa de manifestar el Sr. Picsiden- El Sr. Secretario del Despacho de Estado dijo que en cumio á los 3- O te del Estamento; que el proyecto de ley orgánica de la Milicia urbana, don reales, que según había minifrsta ir* el Sr. preopinante costaba la redaccmn de .as de se sientan las bases generales que han de observarse para el establecimiento sesione» en la Gabela,…</t>
  </si>
  <si>
    <t>del Despacho, Pro El Sr Secretario</t>
  </si>
  <si>
    <t>Pro El Sr Secretario del Despacho</t>
  </si>
  <si>
    <t>…que exige la Real ya el Sr. Torremejía ha hecho un argumento. Me opongo, pues, á que asi se convocatoria. verifique , porque resulta de ello un gravamen á la Nación.” El Sr. Caballero dijo que no creía que por solo el dicho de un Sr. Pro El Sr. Secretario del Despacho de Hacienda : «Yo satisfaré al señor curador no debía admitirse su renuncia; y que asi, en su Opinión, la comisión preopinante y al Sr. Torremejía , diciéndoles que esto tendría mucha fuerza debía tomar mas noticias, ó hacer que elSr. Procurador de que se trataba, jus* cuandtf la reducción se hiciera…</t>
  </si>
  <si>
    <t>del Despachó, Pro El Sr Secretario</t>
  </si>
  <si>
    <t>Pro El Sr Secretario del Despachó</t>
  </si>
  <si>
    <t>…cia, y hasta por considcraciones.de atención,rde hu sea su forma; el derecho de examinaf en su din si conviene ó no la existencia manidad y^ de'respeto.” - del referido cuerpo consultivo; razón con la cual puede tranquilizarse el Sr. Pro El Sr. Secretario del Despachó de Estado: «La conducta de ia comisión curador que ha impugnado fcl dictámen de la comisión, por haberlo presentado respecto del presupuesto del consejo Real, me padece sumamente circunspecta esta como transitorio ó provisional y desnudo de aquellos datos que hubieran y laudable. El otro d;a, cuando f…</t>
  </si>
  <si>
    <t>del Despacho, Sccrctaiio de Estado y</t>
  </si>
  <si>
    <t>Sccrctaiio de Estado y del Despacho</t>
  </si>
  <si>
    <t>…en la* de. un'ne* de c*te ej-"s.:f - ix-m de c. !•'*■*_ .v 4 .22 «fe Mayo de 1B34 á la» doce de la noche.zrExcmn Sr =Jose Ramón Ro- (Irj.a-d, *i preL.'O fuese , á teunen: a desastrosa iu-.:a que aiL. .• a e*:.i i-.*- diLseExcmo. Sr. Sccrctaiio de Estado y del Despacho de la Guerra. tencu pí-rtucuesi ic*.it'j, armea i a-..-.da. También se habrán reunido ya al ejército el 2.° batallón del 5&gt;.° de mlan- "Urbanris cxlrcmaL-A ni* pued«* ha-erios m.u obeciiH' ni d:• pe r*.ir-- is íería de línea y los carabineros de costas y fronteras, que el \T del corriente confianza, á…</t>
  </si>
  <si>
    <t>del Despacho, Secretaria</t>
  </si>
  <si>
    <t>Secretaria del Despacho</t>
  </si>
  <si>
    <t>…se creyese que tenia los medio* suficientes para verificar no ningún inconveniente tiene en adoptar el dictamen de Ja comisión en or lo, podría no ser asi. den á que los escuadrones puedan componerse de dos á tres compañías. * El Sr. Secretaria del Despacho de lo Interior indicó que aun cuando le «En cuanto á la voz trozos, que el Gobierno ha adoptado , no es tan in parecía muy bien lo manifestado por el Sr. Montevirgen , debía tenerse presen diferente su variación como á primera vista parece. Se ha tenido presente que te que ha ley de Milicia urbana no…</t>
  </si>
  <si>
    <t>del Despacho, Secretarlo</t>
  </si>
  <si>
    <t>Secretarlo del Despacho</t>
  </si>
  <si>
    <t>…en la Milicia urbana fuese vo para hacerlas. Por lo demas, la comisión en el fondo admite la base principal luntario: en su mismo proyecto y en la discusión lo ha considerado siempre que fija el Gobierno.” g como obligatorio. El Sr. Secretarlo del Despacho de lo Interior-. «De las diferencias esen «Entrando en el fondo de la cuestión actual, diré que la comisión no ha ciales que se encuentran entre el dictamen de la comisión y el del Gobierno, tratado de dar ningún derecho á Jos individuos actuales de la Milicia en la or la que mas llama la atención es…</t>
  </si>
  <si>
    <t>del Despacho, Sectetario</t>
  </si>
  <si>
    <t>Sectetario del Despacho</t>
  </si>
  <si>
    <t>…e un proyecto de ley que abrace los diferentes ca los medios mas adecuados para contener ó al menos moderar sus estragos; sino sos que puedan ocurrir." también que el Gobierno presente lo mas pronto que sea posible un reglamen El Sr. Sectetario del Despacho de lo Interior: v Esta petición presenta to general Ó ley de sanidad que pueda servir uniformemente de guia en los ca al Gobierno una ocasión de dar explicaciones sobre los puntos que los señores sos de epidemia. Procuradores indiquen. Tengo la satisfacción de que mi Opinión simpatiza con «Esta determ…</t>
  </si>
  <si>
    <t>del Deudafirriie, Sectétário de Estado y</t>
  </si>
  <si>
    <t>Sectétário de Estado y del Deudafirriie</t>
  </si>
  <si>
    <t>…14 p. 100. V. E. pata su supe/ipr conocimiento. Dios &amp;c. Llodio 7 de Diciembre de 1834- Vales Reales no consolidados, 20J y 204 al contado: 20|, J, 4 jr 21 i varias fs. vol. y WrExcmo.^ . . ..... SizmBaldoqacro Espartero.=Excmo. Sr. Sectétário de Estado y del Deudafirriie:negociable21J k 60 d.de f.I óp. vol.,TOÓ ás pápeleprima de20 14 p.60 100.d. £ Orase, 6 prima de l p. TOft Id. sin intctes,llé y llf al cornados. 11J, |, 4, éyll^i varias fs. ó voL: 12 4 60 d. f. ó vol., 4 prinia de f p. 100. ) espsllol, 00. ' CAMIIOS.'' Aossterdsm, 00. par 4 4 d. Cerilla, 4 k Bayon…</t>
  </si>
  <si>
    <t>del Es, Presidénte</t>
  </si>
  <si>
    <t>Presidénte del Es</t>
  </si>
  <si>
    <t>…anda imperiosa operaciones fueron luego ratificadas por el Soberano. De otro modo hubiera si mente aprobar esté empréstito •. también se funda en la conveniencia pública. do incomprensible el haberse desechado. Se ha dicho por el Sr. Presidénte del Es una máxima consoladora, asi para los particulares como para las naciones, Consejo de Ministros que el estado de coacción en que suponía á S M. al ra el sentar que encuentran su recompensa en obrar el bien; y es sumamente útil tificar el empréstito en cuation , és un absurdo; y por otro Sr. Procurad…</t>
  </si>
  <si>
    <t>del Esta, Presidente</t>
  </si>
  <si>
    <t>Presidente del Esta</t>
  </si>
  <si>
    <t>…el mismo que entendió en , v á ¡os cienda para que diese su dictamen con la urgencia que requería el asunto. dignos individuos que la componen , de los cuales quizá alguno me este ovenEl Excmo. Sr. duque de Rivas manifestó que el Sr. Presidente del Esta do, por la proügidad y'tino con que emitieron su dictamen, que procuré ac mento presentaba una moción, que leyó, y decía: tivar cuando s. M. se dignó encarg¿rmc la interinidad de aquel ministerio. «El estado de decadencia en que se encuentra la cria de caballos en el Pero reflexionando que no correspo…</t>
  </si>
  <si>
    <t>del Estamen, Presidente</t>
  </si>
  <si>
    <t>Presidente del Estamen</t>
  </si>
  <si>
    <t>…mento. Asi se acordó. el siguiente : Se leyó un oficio del Excmo. Sr. marques de Miraflorercon fecha 13 de Ilustres Próceres: Vuestra comisión especial ha examinado el p-oyecío de Noviembre último desde París, dirigido al Excmo. Sr. Presidente del Estamen ley presentado por el Gobierno sobre la organización de la Milicia urbana en to, en que participaba, que cuando esperaba aprovechar el tiempo de una Real los términos que fue aprobado por el Estamento de Sres. Procuradores. licencia conseguida de S? M. con objeto de restablecer su salud , para tene…</t>
  </si>
  <si>
    <t>del Estamento, Muchos</t>
  </si>
  <si>
    <t>Muchos del Estamento</t>
  </si>
  <si>
    <t>…al orden, se autorizó ppr ?t ipinjitro de Hacienda y el director de la tro no quería nuevos negocios con Aguado: entonces se hizo sin que lo su caja de Amortización á D. Javier de" Burgos para í¡ue pasase i París, como ' piera el ministro. Muchos del Estamento sabrán quién manejó este negocio, comisionado régto, pueve dias-déspuésde haberse anulado el empréstito.' El y cuándo se sorprendí^ la voluntad del Rey! A esta siton estaba Aguado en Estamenio encontrará u¿4 contradicción . cual «*J* dé i qué iba un comisiona Madrid; y también sabrán algunos la sum…</t>
  </si>
  <si>
    <t>del Estamento, Presidente</t>
  </si>
  <si>
    <t>Presidente del Estamento</t>
  </si>
  <si>
    <t>…to aprobaba que se entrase en la discusión del la elección de dicha ciudad por las ilegalidades cometidas en ella. art. 4® del proyecto del Gobierno; y decidido que sí, se procedió á leerle. Se dió cuenta de una carta dirigida al Sr. Presidente del Estamento por el Art. 4® Se creará un fondo nue^o al S por 100 que represente la deuda Sr. D. Pedro Bermudez, Procurador por la provincia de la Coruña, en que activa, en el que se convertirá la parte de los antiguos empréstitos extrangeros noticiaba que una furiosa tempestad le había arruinado su casa ; y pe…</t>
  </si>
  <si>
    <t>…presentarse ¿ Teíiía y aprobada el acta-de la última sesión celebrada el 4 del corriente, desempeñar su caigo. M dió cuenta de haber sido nombrados para la comisión de Guerra-los-Exce— Se_dió cuenta de. una exposreron dirigida al Sr. Presidente del Estamento lentísimos Síes, condes de Cuba y de S. Román. por el Sr. D. Prudencio Echevarría y Oraban, en la que trata de probar que En seguida entró á jurar y tomó asiento en el Estamento el Excmo. Señor no se halla encausado. Se mandó pasar á la comisión de Poderes. •ende de Guendulain. Esta comisión manife…</t>
  </si>
  <si>
    <t>…rrmkínn en el térm^r —una vez, después de otras tres que be hablado^sobre to mismo, re me oyera de tres dias. con gusto, y se tomasen medida* para que no se cayera en los errores en que Se dió cuenta de una exposición dirigida al Sr. Presidente del Estamento, cae la Gaceta- Se ha dicho que la Gaceta no es oficial en las sesiones de Cór— por medio de uno de los señores del mismo f de tres cosecheros de riño de Ms. A los taquígrafos se les paga por el Gobierno, y se debe exigir que lo ha Castellón de la Plana, en que se quejan de la exacción de 10 mrs. e…</t>
  </si>
  <si>
    <t>…onto, que se fije lo mas que sea posible la clase do medidas sanitarias nificencia , Jia movido á los Procuradores á Cortes que suscriben á presentar al que se qeben tomar uniformemente en toda la nación para que cese-la anarquía Sr. Presidente del Estamento, conforme al reglamento, una petición, por la terrible que reina sobre esta materia en la mayor parte de sus provincias; que qúe elevamos nuestros votos al Gobierno de S. M. á fin de que «se acuerde se ilustre la Opinión pública acerca de lo que es mas útil observar es ules ca tina inscripción naci…</t>
  </si>
  <si>
    <t>del Estamento, Ti.rremejia Ninguno</t>
  </si>
  <si>
    <t>Ti.rremejia Ninguno del Estamento</t>
  </si>
  <si>
    <t>…lo que se le dirige: en El Sr. García Carrasco hizo una breve explicación , diciendo que su áni cuanto i.ló' segundo, según las razones que haya , verá si lo ha de aprobar ó mo no había sido ofender á la Secretaría. desaprobar."' Sr. Ti.rremejia.- «Ninguno del Estamento acusa á la se.i¿liria déte Ei Sr. Chatón: «Es necesario que oigamos la exposición. exposiciones que se han presentado hasta ahora; han-sido propias del i</t>
  </si>
  <si>
    <t>del Fomento, Nicolás María Garelly Despacho</t>
  </si>
  <si>
    <t>Nicolás María Garelly Despacho del Fomento</t>
  </si>
  <si>
    <t>…éis lo necesario á su cumReal de España é Indias; he tenido á bien poner ¿ su cargo, en plimiento.=Está rubricado de la Real mano.—Fn Aranjuez á 17 nombre de mi muy amada Hija Doña lsABEiTír, la Secretaría del de Abril de 18¿4-—A D. Nicolás María Garelly. Despacho del Fomento, vacante por.renuncia de D. Javier de BúégOs. Tendréisló entendido, y lo comunicareis á quien corres- fjeseando proporcionar á D. Francisco Saenz de Tejada, oidor ponda-rcEstá rubricado de la Real mano, zu Eti Aranjuez á 17 de Me la audiencia de Granada, el honroso descanso que retlaman sus Abril d…</t>
  </si>
  <si>
    <t>del Fomento, Torciíáto Despacho</t>
  </si>
  <si>
    <t>Torciíáto Despacho del Fomento</t>
  </si>
  <si>
    <t>…: dro Díaz Guereñu: 6 tomos en 4.0 Sé hallará en la librería de Orea á 96 rs. en pasta..' Excfno. Sr.= El príncipe de Anglona-=Excmo. Sr. Secretario de Estado y del —Motivos de mi fé en Jesucristo, por Mr. Vouglans, traducida por D. Torciíáto Despacho del Fomento general del reino. Torio de la Riva, obra que mereció los elogios de Pío vi, y estimada por cuantos' conservan algún fondo de piedad, á 4 rs. eo rústica.—Simón de Nantúa, ó el Mer^s Estado del número de personas fallecidas en la ciudad de Granada en los cader forastero, obra premiada por la socieda…</t>
  </si>
  <si>
    <t>del Gayo, Juan</t>
  </si>
  <si>
    <t>Juan del Gayo</t>
  </si>
  <si>
    <t>…das en sus negocios interiores tie Abrante*. 1 nen en su mismo país asuntos demasiado graves para la solución de los cuales no está de sobra toda la fuerza de que pueden disponer. En atención á los méritos y antiguos servicios de D. Juan del Gayo, mi- i ____ F.l contraalmirante Hugon encontró el 12 de Enero próximo pasado la nistro efectivo del supremo Consejo de Hacienda, sc ha servido S. M. conce escuadra inglesa al mando de sir Pulteney-Maícoim muy cerca del cabo de derle la cruz de número de la Real y distinguida orden de Carlos in. Pas…</t>
  </si>
  <si>
    <t>del Ha, Putnam</t>
  </si>
  <si>
    <t>Putnam del Ha</t>
  </si>
  <si>
    <t>…Í5 35 Al saber esta catástrofe la madre de los dos Príncipes se ha envenenado. En 1833... .............................................. 46 39 (Standard.) (Gaceta de Francia.') Vi siguiente aviso fue publicado en la China por el capitán Putnam del ——-Ha empezado á formarse en Rúan una grande imprenta, que tiene la bergantín americano Nabop, que después fue traducido y publicado también particularidad de que solo trabajan en ella mugeres y niñas del pueblo, perteen lengua china, y le insertamos por la curiosidad qué ofrece la diferencia de necientc…</t>
  </si>
  <si>
    <t>del Ha.ienJa, MI Despacho</t>
  </si>
  <si>
    <t>MI Despacho del Ha.ienJa</t>
  </si>
  <si>
    <t>…parece que debe repito, que conserve alguna predilección hacia aquellos que dieron su voio en aprobar el Estamento el nrtículo de la comisión.” su favor, y aunque no la manifieste, la presumirán los opuestos á ¿1 , y esta El Sr. Secretario MI Despacho del Ha.ienJa: «El Gobierno no se fijunbi predisposición puede ser perjudicial. En consideración, pues, á las razones que que después de la reforma que ha sufrido c3te artículo en los términos que ha llevo expuestas, creo que debe aprobarse este artículo conforme lo ha modifi propuesto el Sr. Secretario del Desp…</t>
  </si>
  <si>
    <t>del Herrero, Francisco</t>
  </si>
  <si>
    <t>Francisco del Herrero</t>
  </si>
  <si>
    <t>…ulido1, no solamente1 en la tribuna , sino también en ios D* Santos Valencia , por una vez.......................................................... ] uO periodjeos, jja por^ned'o ¿e las leyes y ya con las armas en la mano. Ahora D. Francisco del Herrero, manguitero, por una vez.................... . pregúuto ¿scjhallaban por-ventura los defensores de ia Carta en los claustros El Sr. marques de la Torrecilla............................................ 4^00 de S^mMeri? en lae^ornada? de Abril ¿era en favor de la Carta por quien El Sr. D. Eustasio Ni…</t>
  </si>
  <si>
    <t>del Hoyo, Fausto</t>
  </si>
  <si>
    <t>Fausto del Hoyo</t>
  </si>
  <si>
    <t>…o Con este lenguage, tan .propio de la cátedra de la. verdad, amonesta el dig nel D. Salvador Gambarte; la segunda de tas de granaderos á las del coronel no ministro -del Evangelio i los españoles de todas las dasei que juren obe D. Fausto del Hoyo, y la tercera de los batallones de Córdoba á Us del coro diencia en las aras de la legitimidad, cbmo asr lo quieren !as*'!eyéi fundamen nel graduado! teniente coronel mayor, D. Joaquín Gómez de Barreda, v otra tales de la monarquía, que los sagrados testos mandan respetar y obedecer. Por de reserva…</t>
  </si>
  <si>
    <t>del Interior, Enseguida</t>
  </si>
  <si>
    <t>Enseguida del Interior</t>
  </si>
  <si>
    <t>. desea dice que saber t dirigiéndose al ministro Enseguida del Interior, lia en sido de las personas la suerte , que quedaron por muertas y noches el día cuál Íiiled^os ¡nocentescastigarlosá cuyacomocspaldamereepn,se guarecenporque losla contienemalvados:el ‘pórtemor‘mañerade maltratarqae^cWiá A que se, retare; por que no tomaron parte en las ocurrencias del ^2 y 23 dp…</t>
  </si>
  <si>
    <t>del Interior, Secretado</t>
  </si>
  <si>
    <t>Secretado del Interior</t>
  </si>
  <si>
    <t>…discusiones , i verificase is,revisión del rcglamciíto que se habia indicado á S. M. en la petiSe leyeron los artículos &lt;55 y 66 del reglamento; y después de leíaos ma nnncion nrpc^ni&gt;uí-&gt;presentada *»1al «ía-tnefecto. nifestó el.Sr. Secretado del Interior que miraba-como variación del reglamento - . - £1 Sr.---------_jOchoa impugnóimpugnó lala proposición,■ fundándose en que podía llegar el la proposición que se discutía, y* que como tal insistía en que siguiese el orden caso, una vez aprobada, de que solo' hablaseis tos individuos de la comisión y…</t>
  </si>
  <si>
    <t>del Manzano, Manuel Rodrigué</t>
  </si>
  <si>
    <t>Manuel Rodrigué del Manzano</t>
  </si>
  <si>
    <t>…2¿£0Ív............... 1000................................... Idem. nombre, num. 22, Cuarto principal, para-la junta general de acreedores « interesados 11,583, , - 1000. . ,. .......................... Valencia. 4 los bienes de D. Manuel Rodrigué^ del Manzano * según lo prevenido en el articu 1 l,88l(.................. 1000......................... Barcelona, lo l.° del Re^l decreto de 16 de^Junio último inserto en Ja Gaceta de 1&amp; del misako; y 6,0ó9................... 1000................................. Cádiz. sadosconfirme: Jo queal artículose hace…</t>
  </si>
  <si>
    <t>del Marmol, Manuel María</t>
  </si>
  <si>
    <t>Manuel María del Marmol</t>
  </si>
  <si>
    <t>…* J- J-- -¿-^x Pueblos., .. Din. :, Enfermov Curados.1 Fallecido** He dado -publicidad al reglamento-sobre U impreiíqó de.pertÓdicos&gt;":y&lt;be • -r propuesto y ha sido aprobado, por S. M. fiará censor regio en esta provincia jal Dr. D. Manuel María del Marmol, que se halla desempeñando dichp:encargo. Alcali de Hena- ■Las sociedades-económicas establecidas en Ormona, Ecrja y Ósuna -haw, res. 3. 31 Jvl.4 3 Ag. 218 d8 19 empezado sus trabajos* de que he prevenido formen mensualmente parte para «levar sus resultados á lá consideración de V&gt; K; , ígi^lmenie…</t>
  </si>
  <si>
    <t>del Mármol, Manuel María</t>
  </si>
  <si>
    <t>Manuel María del Mármol</t>
  </si>
  <si>
    <t>…ia la aprobación Real; insertán dose en la Gaceta este acto de la lealtad del indicado regimiento para «atisfapv. sion de loa interesados y público testimonio dei aprecio de S-11. ESPAÑA. Madrid 16 de Setiembre. Romancero del Dr. D. Manuel María del Mármol, dedicado á la Raal En consecuencia de lo que se. previene en el artículo 1.* de la Real órdea academia de Buenas letras de Sevilla. Sevilla, 1834- tomos en 16.° de 16 del corriente (que se inserta hoy en artículo de oficio) sobre reforma da Esta coleccioncita, fruto- del ingenio del Sr. Mármol, ba…</t>
  </si>
  <si>
    <t>del N, José</t>
  </si>
  <si>
    <t>José del N</t>
  </si>
  <si>
    <t>…D. Andrés Crespo Cantolla ; fis cio que no hiciera ia Francia con gu»to por mantener su influencia en Suiza. cal del supremo tribunal de Espana-é Indias, con la calidad de pre {Mensajero*) sidente, á D. Rodrigo María Moscoso, y á D. José del N alíe y Re— INGLATERRA. fart, abobados del colegio de Madrid; á D. Manuel Abad, primer Landre* 28 de Mayo,escribano de Cunara del supremo tribunal de España é Indias, y á D. Jor^e Martínez, relator del misino. I codiciólo entendido, y dis- Fondo* fubVsco*. Tres por 100 consolidados 02f* pond’eis lo…</t>
  </si>
  <si>
    <t>del Olmo, José</t>
  </si>
  <si>
    <t>José del Olmo</t>
  </si>
  <si>
    <t>…Urrleta. Pag tomos en 4»°, edición de 1792,420 rs. rama y 29 dos de perdigones,que son las únicas que existen. Del dueño de una de las pri en pasta común- No pudiera el traductor haber elegido otro Mecenas mas áábio dé su meras, D. José del Olmo, se ha remitido á S. M. informada una solicitud para obra,dicar elquecristianismoel respetablede clerolas impugnacionesespañoL, puesdequesusáenemigos;el correspondey á esteprincipal^fectomente¿Que vincosa la construcaion en la playa de esta ciudad, y á las inmediaciones de su fábrica mas útil que l…</t>
  </si>
  <si>
    <t>del Oratorio, Juan de la</t>
  </si>
  <si>
    <t>Juan de la del Oratorio</t>
  </si>
  <si>
    <t>…re arínas en Villadiego, previas las disposiciones de cristiano. Dicho comandante ■ ' Sermones del limo. Sr. D. Juan Bautista Masilloo, presbítero , de la congregación recomienda el zelo del alférez del escuadrón ligero de Madrid D. Juan de la del Oratorio, uno de los cuarenta de la academia Ira ocesa , y obispo de Clermont, Torre, y del teniente retirado D. Oaspar Hernando, que fueron los encargados adviento,traducidos cuaresma,ai español diferentespor el F. DpanegíricosPedro Diaz, deconferenciasGuereflu: eclesiásticas,contiene los sermonesla paráfr…</t>
  </si>
  <si>
    <t>del Oyó, Fausto</t>
  </si>
  <si>
    <t>Fausto del Oyó</t>
  </si>
  <si>
    <t>…echo á los bienes que dejó el referido Magro, el dia ao de Abril próximo á las diez de su mañana en los estrados de la inten Burccña. dencia de esta corte; en ¡inteligencia de que el que no compareciese por El coronel de Al mansa D. Fausto del Oyó , y el teniente co- sí d por apoderado le parará perjuicio. EN LA IMPRENTA REAL.</t>
  </si>
  <si>
    <t>del Pazo, D Plácido</t>
  </si>
  <si>
    <t>D Plácido del Pazo</t>
  </si>
  <si>
    <t>…en los sitios de costumbre, y dichos señores sus proposiciones. principalmente fue muy solemne la de la plaza Real, en la que el generoso ' El Sr. Humann, ministro de Hacienda, presenta dos proyectos de ley, re síndico procurador general D. Plácido del Pazo había dispuesto un magnífico | lativo el uno al beneficio de minas de sai y de los manantiales y pozos de agua tablado sostenido sobre cuatro columnas imitando el orden júnico^todo cu-| [salada, y el otro al cumplimiento del tratado firmado en 4 de Junio de 1831 bierto de damasco y con los retratos…</t>
  </si>
  <si>
    <t>del Pazo, Plácido</t>
  </si>
  <si>
    <t>Plácido del Pazo</t>
  </si>
  <si>
    <t>…itios de costumbre, y dichos señores sus proposiciones. principalmente fue muy solemne la de la plaza Real, en la que el generoso ' El Sr. Humann, ministro de Hacienda, presenta dos proyectos de ley, re síndico procurador general D. Plácido del Pazo había dispuesto un magnífico | lativo el uno al beneficio de minas de sai y de los manantiales y pozos de agua tablado sostenido sobre cuatro columnas imitando el orden júnico^todo cu-| [salada, y el otro al cumplimiento del tratado firmado en 4 de Junio de 1831 bierto de damasco y con los retratos…</t>
  </si>
  <si>
    <t>del Pino, Francisco</t>
  </si>
  <si>
    <t>Francisco del Pino</t>
  </si>
  <si>
    <t>…blecido; he venido en nombrar para presidente de él al mar de Febrero de 1834-=Aranalde. ques de Campo Sagrado, para ministros militares á D. Gabriel MINISTERIO DE MARINA* Mendizabal y D. Pedro Baylin por el arma de infantería: á Don Francisco del Pino por la de artillería: á D. Manuel Pueyo por la Real orden. de ingenieros, ,y i D. Francisco Ramonet por la de caballería: S. M. la Reína Gobernadora se ha dignado conferir la ca para ministros togados á D. Joaquín Sistemes , D. Juan José De pitanía general del departamento de Cádiz al teniente gene…</t>
  </si>
  <si>
    <t>del Pino, Francisco Fernandez</t>
  </si>
  <si>
    <t>Francisco Fernandez del Pino</t>
  </si>
  <si>
    <t>…l reino. (Id.) ^ . . 1 nienez TjTav^rro. (Wm. 19.) sobre liquidación de suministros hechos por los pueblos y pago de con _ u - ___supilmitndo los juzgadas de provincia de Madrid. (Id.) tribuciones atrasadas. (Id.) __Lreponiendo á D. Francisco Fernandez del Pino en la plaza del Consejo •j___ señalando el medio de reintegrar á los compradores-de- escribanía» y ofi y Cámara" de Castilla. (Id.) cios incorporados á la corona. (Id.)' h-.rii.nfV. merced dy título de Castilla, con la denominación de marques Real decreto extinguiendo la» hermandades, gremios &amp;c. d…</t>
  </si>
  <si>
    <t>…reglamentos, sin los cuales era imposible I que los intereses públicos tuviescp rapidez en la marcha, simplicidad en sus I Garclly. formas, ni justicia en sus resultados- Todos, Señora, caminaremos i un mismo I Vengo en reponer á D. Francisco Fernandez del Pino, conde de Pinofiel, fin: todos conspiraremos al triunfo de la legitimidad, y que la unión avasa I en la plaza del Cornejo y Cámara de Castilla, en los términos que la servia al lle v sujete la destructora discordia; y antes de apartarnos de tan nobles printiempo de su cesación , y conforme á lo man…</t>
  </si>
  <si>
    <t>…idente del tribunal supremo leyes exceptuándose únicamente el caso en que no tenga el parti de Hacienda, instituido por mi Real decreto de 2J de Marzo úl da juez nombrado , pues entonces los. alcaldes ordinarios conocerán timo, á D. Francisco Fernandez del Pino, conde de Pino-Fiel. de los negocios contenciosos hasta que tome posesión el juez letra Tendréislo entendido, y dispondréis lo conveniente á su cuinplido que Yo nombrare para aquel partido. miento.erFstá rubricado por S. M.zrFn Aranjuez á 19 de Abril Art. 4-° Todos los corregidores y alcaldes mayor…</t>
  </si>
  <si>
    <t>del Pozo, Fernandez</t>
  </si>
  <si>
    <t>Fernandez del Pozo</t>
  </si>
  <si>
    <t>…rceptado. Partes recibidos en la secretaría de Estado y del Despacho de la Guerra. El capitán general de Castilla la Nueva, refiriéndose al parte El capitán general de Castilla la Vieja ha trasladado á este mi que ha recibido del coronel Fernandez del Pozo, comandante de nisterio el siguiente parte del corregidor de la Puebla de Sanabria. la columna móvil de Guadalajara, dice, que perseguido el rebelde Excmo. Sr.: Aprovecho el momento de la salida del correo Carnicer en todas direcciones por la referida columna y las proce para decir áV. E., sin perj…</t>
  </si>
  <si>
    <t>del Pozo, Juan García</t>
  </si>
  <si>
    <t>Juan García del Pozo</t>
  </si>
  <si>
    <t>…udiencia de Cáceres vengo en nom ción ordinaria, admitiéndose á loé interesados ha apelaciones para brar á D. Francisco Delgado para regente; para oidores áD. Anto énté los respectivos tribunales superiores. nio Neira y Marin, á1 D. Juan García del Pozo, á D. Antonio,MarAr*.- 4? Los juicios que se entablen después de publicad» la abo quez Osorio, á D. Jorge Martines, í D. Ramón López Vázquez; lición del Voto, á virtud de pactos ó convenios anteriores, se sus-/ para alcaldes del crimen á D. Pedro Gómez Hermosa, á D. Pedro fáticiárán en igual foVma…</t>
  </si>
  <si>
    <t>del Real, D José</t>
  </si>
  <si>
    <t>D José del Real</t>
  </si>
  <si>
    <t>…aquí la honorífica mención á que de V. E-, en que me noticiaba que los facciosos se dirigian por Izas al valle son acreedores. Si en Francia han sido capturados los dichos ficciosos, tendrá de Tena, y que iba en su persecución el coronel D. José del Real con una co V. E. la satisfacción de que se haya desvanecido enteramente el titulado 67 lumna. batallón de Navarra, 1.” de Aragón; que estemos libres del que se titulaba co ..En vista de ello oficié de nuevo á las justicias del valle noticiándoselo y mandante general del alto Aragón, y que los parti…</t>
  </si>
  <si>
    <t>del Real, José</t>
  </si>
  <si>
    <t>José del Real</t>
  </si>
  <si>
    <t>…honorífica mención á que de V. E-, en que me noticiaba que los facciosos se dirigian por Izas al valle son acreedores. Si en Francia han sido capturados los dichos ficciosos, tendrá de Tena, y que iba en su persecución el coronel D. José del Real con una co V. E. la satisfacción de que se haya desvanecido enteramente el titulado 67 lumna. batallón de Navarra, 1.” de Aragón; que estemos libres del que se titulaba co ..En vista de ello oficié de nuevo á las justicias del valle noticiándoselo y mandante general del alto Aragón, y que los parti…</t>
  </si>
  <si>
    <t>del Reino, El Estamento de Procuradores</t>
  </si>
  <si>
    <t>El Estamento de Procuradores del Reino</t>
  </si>
  <si>
    <t>…amento de Procuradores del Reino- al descoacción en ninguna maneta. Es cargó demasiado honorífico para obligar á nq- - curso leído por S. M. en la sesión Regia del 24 de Julio de 1834* dic £ qtje lo desempeñe contra su voluntad.” Señora: El Estamento de Procuradores del Reino ha experínientadó el Se leyó el artícqlo 75 del reglamento que previene no hable un Sr. Pro-I t~\ r n T-II-* v o Y ira* é ^ 7 14 J.t ^ n n s «ama am a1 J «a «2 a Va a m a «a! .*_ a ^ curador dos veces Sobfe un mismo asuntó, á no ser individuo dé úna comisión, ó parq deshacer alguna equivocación. .…</t>
  </si>
  <si>
    <t>del Reino, José de Imáz los Procuradores</t>
  </si>
  <si>
    <t>José de Imáz los Procuradores del Reino</t>
  </si>
  <si>
    <t>…comunicareis medida se hace mas imperiosa y perentoria, porque ella ha de pre á quien correspondalccrEstá rubricado por S. M.zcEn Aranjuez á sentar la base adoptada en mi Estatuto Real para las elecciones de 16 de Abril de 1834—A D. José de Imáz. los Procuradores del Reino en las próximas Cortes generales ; des pués de haber oido el dictamen del Consejo de Gobierno y del de Para la section de Hacienda del Consejo Real de España é In Ministros; he venido en mandar, en nombre de mi muy cara y dias, creado por mi decreto de 24 de Marzo último, vengo en amada Hija Dóña I…</t>
  </si>
  <si>
    <t>del Rey, Bernardino Si</t>
  </si>
  <si>
    <t>Bernardino Si del Rey</t>
  </si>
  <si>
    <t>…llón i levantar cabeza de poco tiempo á esta parte. Los refugiado» polacos ' del regimiento de Zamora, i los capitanes del de América D. Facundo Enri qqe han llegado aqui reciben cuanto dinero necesitan: se supone que este ques y D. Bernardino Si del Rey : al de la misrha clase graduado de teniente proviene, no ya de las comisiones establecidas en favor suyo» tino de las •coronel del l.° ligero D&gt; José Maclas , y al del propio grado y empleo del ba-</t>
  </si>
  <si>
    <t>del Rey, D Francisco</t>
  </si>
  <si>
    <t>D Francisco del Rey</t>
  </si>
  <si>
    <t>…de la virbéla en el ganado rperino. Pa.OVrNCIA DE ZARAGOZA Se concluyeron las obras del arrabal de S, Lorenzo y pronto lo estará el Sr. D. Pío taborda. * enlosado de los pórtales de la plaza mayor. En seguida se promoverán otras Sr. D. Francisco del Rey. - mejoras de policía urbana como son la reparación de las calles y el restableci Sr. D. Faustino Garay. miento del alumbrado público. Sr. X&gt;- Joaquín Ortiz de Velasco. Para atender á los objetos que están á cargo d* la sociedad económica se Sr. D. Aúgel Pojo. piensa en hacer algunas rifas de alhaja…</t>
  </si>
  <si>
    <t>…las sesiones, y que verificará esta lo ma9 la buena elección de provincia. De consiguiente se debe acceder á darle el pronto posible. tiempo necesario para acreditar sus remas y su aptitud legal.” Igualmente lo quedó de otra del'Sr. D. Francisco del Rey, electo por El Sr. Medrano: »Cuando la ley previene el modo de hacer una cosa Zaragoza, en que manifiesta estarse restableciendo de una penosa enfermedad Do dvja arbitrio para que se pueda hacer de otro cualquiera. En ella se estable que le ha impedido presentarse hasta ahora á las sesiones del Est…</t>
  </si>
  <si>
    <t>del Rey, D Francisco Javier</t>
  </si>
  <si>
    <t>D Francisco Javier del Rey</t>
  </si>
  <si>
    <t>…a: este es un riesgo que existe siempre &lt; que se abra una suscricton para atender á los gastos del ejército del norte. en ios cuerpos deliberantes; pero es un riesgo que no puede evitarse, sin ocur Entró á jurar y tomó asiento el Sr. D. Francisco" Javier del Rey, Pro rir en otros no menos graves; y de grado, ó oon repugnancia, todos los que ha curador por la provincia de Zaragoza. cemos pane de ellos tenemos que someternos á las decisiones de la mayoría; y En seguida tomó la palabra y dijo llegado el triste caso de que esta pretenda abusar de sus fuerzas,…</t>
  </si>
  <si>
    <t>del Rey, Francisco</t>
  </si>
  <si>
    <t>Francisco del Rey</t>
  </si>
  <si>
    <t>…la virbéla en el ganado rperino. Pa.OVrNCIA DE ZARAGOZA Se concluyeron las obras del arrabal de S, Lorenzo y pronto lo estará el Sr. D. Pío taborda. * enlosado de los pórtales de la plaza mayor. En seguida se promoverán otras Sr. D. Francisco del Rey. - mejoras de policía urbana como son la reparación de las calles y el restableci Sr. D. Faustino Garay. miento del alumbrado público. Sr. X&gt;- Joaquín Ortiz de Velasco. Para atender á los objetos que están á cargo d* la sociedad económica se Sr. D. Aúgel Pojo. piensa en hacer algunas rifas de alhaja…</t>
  </si>
  <si>
    <t>…esarios. ' D. Pedro Martí, por id., id. . - , , El Estamento quedó enterado de una exposición del Sr. D. Antonio D. José Blanco, por Valencia, por id. i 3 Ayarza, Procurador electo por Valencia, manifestando las causas que le han D. Francisco del Rey, por Zaragoza, por id. ' í ' . ' 3 impedido presentarse á i la* sesiones. D. José Camps y Soler, por las islas Baleares, por id. (ya ha llegado .y 3* pasó á la comisión: de Poderes una instancia del Sr. marques de la Vi- presentado sus poderes^. ' , J lucña , electo Procurador por Soria, haciendo d…</t>
  </si>
  <si>
    <t>…sesiones, y que verificará esta lo ma9 la buena elección de provincia. De consiguiente se debe acceder á darle el pronto posible. tiempo necesario para acreditar sus remas y su aptitud legal.” Igualmente lo quedó de otra del'Sr. D. Francisco del Rey, electo por El Sr. Medrano: »Cuando la ley previene el modo de hacer una cosa Zaragoza, en que manifiesta estarse restableciendo de una penosa enfermedad Do dvja arbitrio para que se pueda hacer de otro cualquiera. En ella se estable que le ha impedido presentarse hasta ahora á las sesiones del Est…</t>
  </si>
  <si>
    <t>del Rey, Francisco Javier</t>
  </si>
  <si>
    <t>Francisco Javier del Rey</t>
  </si>
  <si>
    <t>…edo menos de confesar mi sorpresa al ver que e! La misma comisión dió cuenta de haber reconocido los poderes y docu empréstito de Guebhard vuelve á ocupar la atención del Estamento. Creia á la mentos de aptitud legal de los Sres. D. Francisco Javier del Rey, electo Pro verdad que el punto estaba suficientemente discutido; pero la experiencia me curador por la provincia de Zaragoza; los del Sr. D. Francisco Javier Isturiz, demuestra que me había equivocado. Quince dias de largos debates me parecía que lo es por Cádiz, y los del Sr. D. Miguel Puche, por…</t>
  </si>
  <si>
    <t>…ste es un riesgo que existe siempre &lt; que se abra una suscricton para atender á los gastos del ejército del norte. en ios cuerpos deliberantes; pero es un riesgo que no puede evitarse, sin ocur Entró á jurar y tomó asiento el Sr. D. Francisco" Javier del Rey, Pro rir en otros no menos graves; y de grado, ó oon repugnancia, todos los que ha curador por la provincia de Zaragoza. cemos pane de ellos tenemos que someternos á las decisiones de la mayoría; y En seguida tomó la palabra y dijo llegado el triste caso de que esta pretenda abusar de sus fuerzas,…</t>
  </si>
  <si>
    <t>del Rincón, Serafín</t>
  </si>
  <si>
    <t>Serafín del Rincón</t>
  </si>
  <si>
    <t>…Jas aguas de varios manantiales con que regaban la mayor y mas her este ministerio que con la del 28 le avisaba el comandante de armas de Medina mosa parte de aquel término. E1 actual ayuntamiento, mas celoso, ha lomado de Pomar D. Serafín del Rincón haber aprehendido al capitán de facciosos José este asunto en la consideración que se merece, y le he dado las oportuna^ ínv* López Bavilto, que con otro rebelde vagaba p?r-aquellas cercanías con el ob trucciones para formalizar un expediente en que consten las ventajas de aque jeto de llevarse los…</t>
  </si>
  <si>
    <t>del Rincón, Serafin</t>
  </si>
  <si>
    <t>Serafin del Rincón</t>
  </si>
  <si>
    <t>…siosos de.coger facciosos, y no resonando Burgos. El parte sobre la captura del cabecilla Eguía es el siguiente: en los campos mas voces que ama la Reina nuestra Seriara Daría Isa "Excmo. Sr.: El comandante de armas de esta villa D. Serafin del Rincón bel ¡iy su Madre Gobernadora., ofrece un porvenir halagüeño , y me hacen con esta fecha rae dice lo siguiente:' Exorno. Sr.: Con la mayor satisfacción asegurar á V. E. que por esta parte de provincia, asi como la del campo de participo á V. E. el parte que acabo de recibir á las ocho de esta mañana…</t>
  </si>
  <si>
    <t>del Rio, Benito</t>
  </si>
  <si>
    <t>Benito del Rio</t>
  </si>
  <si>
    <t>…trasladar S. fif, F. desde el palacio das Necesidades á la basílica de cia de Guipúzcoa, un oficial y otros cinco individuos, entre los cuales se Sea*. Idaría la- Mayor , en donde se hd de celebrar el acto solemne de su coenta á D. Benito del Rio, miembro de la junta (1), fueron muertos en su dUJsasQ anatscimonto. i . — fuga, y hechos pri^iorierOs el pagador D. Manuel Barrena, el/recaudador de -&gt;}'■ ■ -1 ■'v ^ ;.................... rentas decimales D. Clémcrite Arbizu, D. Angel La rumbe, D, Martín Ortiz Art 1? Abrirá la maVcha una partida d…</t>
  </si>
  <si>
    <t>del Rio, Matiúel Gonzalo</t>
  </si>
  <si>
    <t>Matiúel Gonzalo del Rio</t>
  </si>
  <si>
    <t>…deros,presenten ácasóD. dePedrohaberPerezfallecido,Merino,paravecinoque ende elestaprecisocorte,términoy síndicode Asegura que las lanas finas y los granos se mantienen í buen precio,. pero del obnctirso de acreedores del-difunto D. Matiúel Gonzalo del Rio.^'á fin de que per que este beneficio se debe á la decadencia de la ganadería y á la sequedad que ciban la cantidad que les ha correspondido d«|¿ crédito que el referido Villar tenia los bienes de Gonzalo dicho ^prevenidos que de no verificarlo en el del Rio;anuncia una cosecha escasa. contra ■' les…</t>
  </si>
  <si>
    <t>del Rio, Pascual</t>
  </si>
  <si>
    <t>Pascual del Rio</t>
  </si>
  <si>
    <t>…s y Anglada, sastre, de S. Pedro de Tarrasa. Títulos al pbrtádor de 5 p. 100, S4l al contado. D. Josef Maña, teniente ilimitado, de Castelltersol. Id. id. de 4 p. 100,47¿ ai coñudo : 48, 47$, 48, 47$ y 47) á varías fechas, dentro D. Pascual del Rio, subteniente idem, de Puebla de Montalban, partido de 60 dias vol. y firme: ♦8* i 37 d. f. ó vol. á prima de 4 p. 100: 46! á 6od. f. sin cupón de i.° Abril. é&gt; Toledo.: Vales no consolidados, I2¿ á 60 d. f. ó vol.: I2| á id. ... id- á prima de f p. loo. El P. Pablo Tusquellas, religioso agonizante…</t>
  </si>
  <si>
    <t>del Roble, Gobernadora</t>
  </si>
  <si>
    <t>Gobernadora del Roble</t>
  </si>
  <si>
    <t>…bandonado ó abandonaren en lo su cesivo sus iglesias, reuniéndose á las filas de los rebeldes ó á sus juntas revolu Real orden. t*;. cionarias, ó emigrando dé-estos reinos sin la competente licencia. Altamente satisfecha S. M. la Reina Gobernadora del Roble y leal com Art. 2.° Como los actos criminales de que trata el artículo anterior son de portamiento (Je la ciudad de Vitoria, no menos que de las Jropas y Milicia nudo hecho, fácil de conocer por notoriedad, se realizará la ocupación de tem Urbana que la guarnecían en el glorioso día 16 de 1 corriente…</t>
  </si>
  <si>
    <t>del Sarta, López</t>
  </si>
  <si>
    <t>López del Sarta</t>
  </si>
  <si>
    <t>…etición, ó subrogada la Real Hacienda al cabildo eclesiástico de Sevilla pata la percepción por lo menos suspender discutirla para cuando he insinuado.” del diezmo que producen los olivares que hay en et Ajarafe, Dos-Hermanas, El Sr. López del Sarta: «Si no fuera tan injusta la exacción del diezmo, y otros pueblos, cuya exacción se'hace por aquella en aceite, y no en el fruto de que se trata, no tendria inconveniente en acceder á lo que ha propuesto ei de aceitunas como debería, ser , y se practica en todo el arzobispado de Sevilla. Sr. Secret…</t>
  </si>
  <si>
    <t>del Tejar, D Patricio Martínez</t>
  </si>
  <si>
    <t>D Patricio Martínez del Tejar</t>
  </si>
  <si>
    <t>05/12/1834</t>
  </si>
  <si>
    <t>Gaceta de Madrid n.º 294 · suplemento</t>
  </si>
  <si>
    <t>…Presidente dijo que se repartirían estos ejemplares, y se archivaría En seguida este Sr. Procurador lejó su voto particular. el original. Hl Sr. Presidente: «Conforme al reglamento se imprimirán el dictamen Se leyó un oficio del Sr. D. Patricio Martínez del Tejar, electo Procu y voto particular que acaban de leerse, y se repartirán á los Srcs. Procurado rador por la provincia de Avila, en que manifestaba haber llegado á esta ca res. Señalo el lunes para la discusión de este proyecto de ley.” pital el día 20 de Noviembre último , y que no se había presentado…</t>
  </si>
  <si>
    <t>…ado para hacer el repartimiento. Acordado pof e! Esta miría y distribuiría, y que después señalaría dia para su discusión. mento que los presupuestos sean una ley, en mi concepto esta ley es de utu Entró á jurar y tomó asiento el Sr. D. Patricio Martínez del Tejar, elec naturaleza tan especial, que no puede estar.sometida á las disposiciones genera to Procurador pbr la provincia .de Avila. les de las demás leyes. Podremos, pues, desechar el art. l.d, v entrar en la dis El Sr. Presidente anunció que habiendo el Estamento tomado en conside cusión del presupues…</t>
  </si>
  <si>
    <t>del Tejar, Patricio Martínez</t>
  </si>
  <si>
    <t>Patricio Martínez del Tejar</t>
  </si>
  <si>
    <t>…sidente dijo que se repartirían estos ejemplares, y se archivaría En seguida este Sr. Procurador lejó su voto particular. el original. Hl Sr. Presidente: «Conforme al reglamento se imprimirán el dictamen Se leyó un oficio del Sr. D. Patricio Martínez del Tejar, electo Procu y voto particular que acaban de leerse, y se repartirán á los Srcs. Procurado rador por la provincia de Avila, en que manifestaba haber llegado á esta ca res. Señalo el lunes para la discusión de este proyecto de ley.” pital el día 20 de Noviembre último , y que no se había presentado…</t>
  </si>
  <si>
    <t>…para hacer el repartimiento. Acordado pof e! Esta miría y distribuiría, y que después señalaría dia para su discusión. mento que los presupuestos sean una ley, en mi concepto esta ley es de utu Entró á jurar y tomó asiento el Sr. D. Patricio Martínez del Tejar, elec naturaleza tan especial, que no puede estar.sometida á las disposiciones genera to Procurador pbr la provincia .de Avila. les de las demás leyes. Podremos, pues, desechar el art. l.d, v entrar en la dis El Sr. Presidente anunció que habiendo el Estamento tomado en conside cusión del presupues…</t>
  </si>
  <si>
    <t>del Valle, Amonio Remon Zarco</t>
  </si>
  <si>
    <t>Amonio Remon Zarco del Valle</t>
  </si>
  <si>
    <t>…u acendrada drci-mn á '••'-tener lo* i mpre'cr i pr, .‘•rtf, ho 'í Ih miento. =Hstá rubreado de la Real nunn.=hn Palacio á 1 5 de Enero de 1834- tierra Reís a , que haj &gt; la noble ee■ da de \ . ,\1. ha de ser agen día .a ,i cm =A D. Amonio Remon Zarco del Valle. imit ni -ra dg •»u* eminente' v:-!udes. y el tirmc apoto de la pama dei U d i ■ «s CVonzalo-, de Cord- b.¡. Divine-e pues \ , \f. a\.ep:ar ben o-nanw rite esf i Exposiciones á S. M. la Rejs'a Gobernadora. de 1 sincera \ respe tu osa fe . i ^ 11 is'1 • n , Ínter n que c' t e cu - 1 p * mu n • w ¡ p…</t>
  </si>
  <si>
    <t>del Valle, Antonio Rcmon Zirco</t>
  </si>
  <si>
    <t>Antonio Rcmon Zirco del Valle</t>
  </si>
  <si>
    <t>…vo á la elección del Sr. D. Manuel Villachica, que había quedado sobre la El mismo Excmo. Sr. comunicó de Real orden al Estamento dos decretos mqsa , y cuva discusión estaba señalada para este dia. de S- M.; uno admitiendo al Sr. D. Antonio Rcmon Zirco del Valle la di En seguida se leyó el dictamen de la comisión de Poderes sobre el parti misión del ministerio de la Guerra que desempeñaba; y otro encargándole in cular (véase la sesión de 13 del aclual)- terinamente al mismo Sr Presidente del Consejo de Ministros ( dicho ministe A propuesta del Sr. Palarea se ley…</t>
  </si>
  <si>
    <t>del Valle, Antonio Remen Zarco</t>
  </si>
  <si>
    <t>Antonio Remen Zarco del Valle</t>
  </si>
  <si>
    <t>…do, y lo comunicareis á quien cor- mento, en calidad de comandante general interino, el teniente responda.=Está rubricado de la Real mano.znAranjuez 4 de Abril general D. Tomas Ayalde. Lo comunico á V. S. de Real orden de 1834-=A D. Antonio Remen Zarco del Valle. para inteligencia de esa Real junta y demas fines. Dios guarde á V. S. muchos años. Madrid 6 de Abril de 1 j — Kiinirm, —S.— He venido en mandar que el presidente, ministros, fiscales y ñor secretario de la Real junta de gobierno de la Armada. secretario del tribunal supremo de Guerra y Marina, ins…</t>
  </si>
  <si>
    <t>del Valle, Antonio Remon Zarco</t>
  </si>
  <si>
    <t>Antonio Remon Zarco del Valle</t>
  </si>
  <si>
    <t>…á 29 rs. en rústica, y 34 en pasel mes anterior. ra, en Madrid, en las librerías de Cuesta y Sánchez, y.en las principales librerías de. las capitales de provincia, con ei aumento de un real en romo. Reales decretos admitiendo á D. Antonio Remon Zarco del Valle la dimi —so—Colección As discursos forenses, spbre la legislación y administración de jusricia en sión de la secretaría‘del Despacho de la Guerra. (A'xím. 264-) general, y en defensa de-algonos inocentes acusados como reos ¡.sacados de las obrases—1 cogidas del celebre Mr. Servaa , traducidos de la se…</t>
  </si>
  <si>
    <t>…careis i quien cor T« Ruina nuestra Señora Doña Isabel ii , y S. M. la Reina Gobernadora, responda para su cumplimiento. = Está rubricado de la Real mano en Palacio I siguen sin novedad en su importante salud. á 1.® de Marzo de A D. Antonio Remon Zarco del Valle. Del mismo beneficio disfrutan SS. AA. RR. los Sermos. Sres. Infantes. La circular de que habla el Real decreto anterior es la siguiente: Por Real orden circular de 25 -de Octubre ultimo se sirvió disponer S. M. la Reiva Gobernadora, en nombre de su augusta Elija la Reina nuestra Se En la noche del domi…</t>
  </si>
  <si>
    <t>…s y presentados para fines de este año. {Monitor belga.') mano.=En el Pardo a 2 de Noviembre de 1854.=A D. Francisco INGLATERRAMartínez dé la Rosa, Presidente del Consejo de Ministros. .1 . ' Lóndrcs 21 de Octubre. Deseando dar á D. Antonio Remon Zarco del Valle una mues Varios comerciantes de té tratan de construir un grande edificio en esta tra de lo gratos que me han «Sido sus servicios durante el tiempo ciudad para la venta de este artículo , con un café inmediato y un gabinete de que ha desempeñado la Secretaría del Despacho de la Guerra, he lectura.…</t>
  </si>
  <si>
    <t>…r-ns, aleguenme» b.rcr.»e&gt;, nvenv r: des u&gt;»r !.:■&gt;' v mJ quiera otros papeles pendientes de los ir..u.n i.c» , rucean bajía la ir.med Reales decretos. censura e inspección de estos, como io han estado hasta jqui. Queriendo dar ¿ D. Antonio Remon Zarco del Valle una nueva prueba , de mi cohfianza , y de lo satisfecha que estoy de su lealtad y de su constante TITL'LO IT. i zelo en sostener lós derechos de la Reina mi augusta Hija, he venido en nom- De los censores y censura. [ brarle Secretario del Despacho de la Guerra en propiedad. Tendreislo entendíI do,…</t>
  </si>
  <si>
    <t>…riqueza y la libertad del trafi-o, emp ren simul lo necesario para su cumplimiento =Está rubricado de la Real mano.rrEn Pa táneamente su indujo en proteger al pacifico viagero v honrado vea-: rrurjilacio á 15 de Enero de 1834:= A D. Antonio Remon Zarco del Valle. rar los reglamentos municipales pira prripor». onar la aburd-mc a s ".¡uniad de todos/los cuneros: suprimir unrss arbitrios ta” c *&lt;iv osos , que mui' rn "‘■cíe hu Atendiendo á las relevantes circunstancias que concurren en D. Nicolás bieran aniquilado 1 ( s esenciales re'Ortcsde I i pr'&gt;spe-'d.id…</t>
  </si>
  <si>
    <t>…lo comunicareis á quien corresponda. =: S. M. la Reina Gobernadora, á nombre de su augusta Hija Está rubricado de la Real mano. = En Aran juez á 23 de Abril la'Reina nuestra Señóla Doña Isabel ii , se ha dignado nombrar de 1834—A D. Antonio Remon Zarco del Valle. gobernador militar y político de la plaza de Zamora al mariscal de campo D. Fernando Butrón; y para reemplazar á este general en MINISTERIO SE GRACIA Y JUSTICIA. la comandancia general de Guipúzcoa, al brigadier D. Gaspar Reales órdenes. Jáurcgui; y asimismo conferir el empleo de teniente de Rey de…</t>
  </si>
  <si>
    <t>del Valle, Antonio Remon Zarro</t>
  </si>
  <si>
    <t>Antonio Remon Zarro del Valle</t>
  </si>
  <si>
    <t>…lo conveniente á su cumpliConsiderando «pie muchas empresas de pública y conocida utili mienlo.=Está rubricado de la Real mano = Aranjuez á 26 de Abril dad no llegan á realizarse frecuentemente por no haber quien se de 1834. = A D. Antonio Remon Zarro del Valle. preste á facilitar los rapitales necesarios; que de sus resultas se ven privados loe pueblos y los particulares de los cuantiosos beneficios que reportarían de su ejecución, y pierde la riqueza general los au PARTE NO OFICIAL. xilios «pie debiera ronseguir; que urge promover el desarrollo de esta e…</t>
  </si>
  <si>
    <t>del Valle, Antonio Reroon Zjrco</t>
  </si>
  <si>
    <t>Antonio Reroon Zjrco del Valle</t>
  </si>
  <si>
    <t>…ntendido, y dispondréis se publique, circule l*y comunique á quien corresponde.=Está rubricado de la Real mano.rcPalacio i 1 no. Por este medio se proporcionara la inspección personal de los individuos qMC T'de Febrero de 1834*=A D. Antonio Reroon Zjrco del Valle. deben clasificarse en lo-» casos que »a junta lo crea conveniente, y $c facilitará la reunión de los demas datos necesarios. MINISTERIO DE LA CUEREA. 12. Las juntas de clos'ficacion se entenderán directamente en el desempeño del encargo que se les cornete con lo» inspectores v directores generales…</t>
  </si>
  <si>
    <t>del Valle, Arttonio Rcmon Zarco</t>
  </si>
  <si>
    <t>Arttonio Rcmon Zarco del Valle</t>
  </si>
  <si>
    <t>Gaceta de Madrid n.º 24 · suplemento</t>
  </si>
  <si>
    <t>…: sustituido quede en la obligación ó responsabilidad del número que le sustituya. Erfá rubricado de U Red mano. = En Palacio i *1 de Febrero de 1834* = A Art. JO. Los nobles 4 qqienes toque la suerte de soldados servirán sus pla Don Arttonio Rcmon Zarco del Valle. zas en la clase de cadetes, si tuviesen las asistencias necesarias; ó en la de dis tinguidos en caso de no tenerlas &gt; siempre que no prefieran poner sustitutos ba Can la misma fecha de los Reales decretos anteriores se ha dignado S &gt;1. jo las reglas establecidas en los artículos anteriores, ó redim…</t>
  </si>
  <si>
    <t>del Valle, D Antonio Rcmon Zirco</t>
  </si>
  <si>
    <t>D Antonio Rcmon Zirco del Valle</t>
  </si>
  <si>
    <t>…lativo á la elección del Sr. D. Manuel Villachica, que había quedado sobre la El mismo Excmo. Sr. comunicó de Real orden al Estamento dos decretos mqsa , y cuva discusión estaba señalada para este dia. de S- M.; uno admitiendo al Sr. D. Antonio Rcmon Zirco del Valle la di En seguida se leyó el dictamen de la comisión de Poderes sobre el parti misión del ministerio de la Guerra que desempeñaba; y otro encargándole in cular (véase la sesión de 13 del aclual)- terinamente al mismo Sr Presidente del Consejo de Ministros ( dicho ministe A propuesta del Sr. Palarea se…</t>
  </si>
  <si>
    <t>del Valle, José</t>
  </si>
  <si>
    <t>José del Valle</t>
  </si>
  <si>
    <t>…ta inspección del ramo, como son las del partido de Almefíá/Máíjrid 8 de Abril de 1834-=J°3ó Agustín de Larramendi. ANUNCIOS. apoderado general del Sr, marques de Eenavet, en aquel principado, á T&gt;. Jotré Magran, II. Miguel Arpe, D. José del Valle, II. Juan Colmenar, Doña Marra Teresa Pero/. ,fr! 1 'Se’sata á pública subasta1 el suministro.de pan para las tropas,- y descebada y paja Camino, D. Gregorio Salines, D. Uomingo RodriguCa, D, Sebastian Luzon j&gt;,.Jaiine pa,a tos caballos rstontes y {gaseuntes en Ja demarcación militar de la capitaní…</t>
  </si>
  <si>
    <t>del Valle, Manuel Remon Zarco</t>
  </si>
  <si>
    <t>Manuel Remon Zarco del Valle</t>
  </si>
  <si>
    <t>…r innece saria la plaza de juez mayor de Vizcaya. Fveufchatel 20 de Julio. Por otro de 4 de Agostp, teniendo S. M. en consideración la En esta cantón loi hijos ilegítimos no tenían facultad para disponer ínterlicencia concedida á D. Manuel Remon Zarco del Valle, fiscal de la vivos ni por testamento de los bienes adquiridos durante su vid* : el Rey de Real audiencia de Filipinas, y la ausencia del otro fiscal de la mis Prusia, queriendo animarlos á salir por medio de su trabajo é industria de la si ma D. Pedro del Aguila; y deseando prevenir oportunamente…</t>
  </si>
  <si>
    <t>del Valle, Pedro García</t>
  </si>
  <si>
    <t>Pedro García del Valle</t>
  </si>
  <si>
    <t>…del Consejo de Navarra Martin Javier D. Por separación ARTICULO DE OFICIO. en Muzquiz nombrar venzo y D. Joaquin Olál , D. Ignacio y Villela Polo, La Reina nuestra Señora Doña Isabel ii, y S.M la Reina Gobernadora, en su luear á D. Pedro García del Valle, audiror de Guerra de Pamplona, á [ siguen $in novedad en su importante salud. D. Josef Aguilera y á D.-Fulgencio Barrera. Tendráse entendido en la Cáma ra para su cumplimiento.zzEstá rubricado de la Real mano.zrEn Palacio a 9 Del mismo beneficio disfrutan SS. A A. RJL los Sermos. Sres. Infantes. d…</t>
  </si>
  <si>
    <t>del Valle, Zarco</t>
  </si>
  <si>
    <t>Zarco del Valle</t>
  </si>
  <si>
    <t>…que se aprobó este párrafo se levantó el Sr. Ministro de la Guerra decidir si estamos en no tiempo que los mismos Secretarios se hiíbieratr aver que pronunció el corto discurso siguiente: gonzado de decir que no estamos en él. El Sr. Zarco del Valle, ministro de la Guerra: «Rompo por primera «El Sr. Secretario La dicho que es un derecho del que se puede abusan vez el silencio en este augusto recinto para corresponder al justo elogio que la también del don de la libertad se puede abusar: yo podría abusar de la volun nación hace del valor del ej…</t>
  </si>
  <si>
    <t>del Villar, Francisco Paula</t>
  </si>
  <si>
    <t>Francisco Paula del Villar</t>
  </si>
  <si>
    <t>…4 mediados de Ite ro próximo. ' —Por providencia de! auditor de guerra de esta provincia de Madrid re ha señálsdo Capitanía general de AragotusrPkna mayor.reExchno. Sr.: Por noticias para juma general de acreedores al eofacursode D. Francisco Paula del Villar, comisa jy parte que he recibido del comandante de armas de Tafaila fecha 6 del cor ríuñaoáordenadoren la escribaníaque fuáprincipalde los Reatesdel juzgado,ejércitos,sitael díaen 21la delcallecorrientede la AJsáda,4 las 16deodsacvo6*litiáa riente, aparece que el rebeldé Eraso con tres batallones y…</t>
  </si>
  <si>
    <t>del Villar, Pedro Bermudez</t>
  </si>
  <si>
    <t>Pedro Bermudez del Villar</t>
  </si>
  <si>
    <t>…n El Sr. duque de Rivas contestó que la proposición del Sr. Amarillas es Ma reos Martin, D. Ventura Mena y D. José Ciarós, por la provincia de Ba taba bien clara, porque precisamente concluía diciendo, que al Gobierno com- dajoz; D. Pedro Bermudez del Villar, por la.de la Coruña; y D. Francisco ¡Se petia decir los Próceres que estaban en el caso de no poder venir por hallarse Paula Serrano, por la de Jaén. en algún puesto importante prestando servicios al Gobierno. El Sr. Presidente llamó á prestar juramento á los Sres. Procuradores cu El Sr. Gil de Ja…</t>
  </si>
  <si>
    <t>Delaborde</t>
  </si>
  <si>
    <t>…ores de la audiencia de Madrid i los I I tenientes de villa y corte D. Julián Sojo, D..Santos López Pelegrin y D. Pe-; Principia la discusión general del proyecto de ley sobre el estado de los dro Jiménez Navarro. ' oficiales. El Sr. Delaborde aprueba el proyecto, si se hacen algunas variaciones, También se ha servido nombrar S, M. para la vara de alcalde mayor 1.® ue á su entender, resultarán de la discusión. Del mismo parecer es el general de Zaragoza, vacante por promoción de D. Antonio Vega Seoane, i D. An 3 amin,El generalreservándo…</t>
  </si>
  <si>
    <t>Delesser, CaronJousselin y</t>
  </si>
  <si>
    <t>CaronJousselin y Delesser</t>
  </si>
  <si>
    <t>…dere la harán sin duda memorable: el general español aváfizó don sus tropas por el fra chos de navegación que se han de pagar en el bajo Sena. MM. L’eveque, Aroux, goso país que estaba á-su frente; y sil vanguardia, al mando del general CaronJousselin y Delesser hacen algunas observaciones respecto á dicho arancel, y la delet, arrolló á los que se opusieron á su paso en Gouhea, persiguiéndolos poc Cámara cierra la discusión general. algunas leguas. La dirección de este movimiento amenazaba la retaguardia de &lt;M. Calmon presenta el capítülo del presupuesto d…</t>
  </si>
  <si>
    <t>Delessert</t>
  </si>
  <si>
    <t>…y otras personas acomodadas^ y con esto se fijó el 19 dei pasado para levantar ídem.—Sesión del día 13. pendones en nombre de S. M. Efectuóse asi ante la fachada de las casas consis Aprobada el acta de la sesión anterior , lee el Sr. Delessert una proposición toriales ricamente adornada y con los retratos de Isabel ii y de su augusta para que se establezcan cajas de ahorros en todas las capitales de provincia y de Madre, dónde el pueblo respondió á los vivas del Sr. alférez mayor con el ma partido; los señores Tailiandier y Dcvaux leen o…</t>
  </si>
  <si>
    <t>…rke-Belmuz está fugitivo, y aun se dice que ha sido cXmara de los diputados.—lesión del día 14. apresado. Pero sea esto cierto ó no, lo que parece indudable es que se ha sofocado la rebelión, y que las tropas egipcias ocuparán El Sr. Delessert lee el informe de la comisión que ha exami el Yemen y sus puertos sin experimentar resistencia alguna ulte nado el proyecto de ley relativo al gobierno del banco de Francia; rior. (Observador de Trieste.) y la Cámara acuerda que se imprima y distribuya. Continúa la discusión general del proyecto de…</t>
  </si>
  <si>
    <t>Delgado</t>
  </si>
  <si>
    <t>…stas y á algtinos de D. Carlos en el y para su nación. Estos casos, por raros que sean como lo son punto de Amarante, siguiendo estos su retirada á Lamcgo, F.1 ex efectivamente, deben excitar la atención de un gobierno sabio para coronel Delgado que con 200 carlistas vagaba á principios del mes dar medios de subsistencia y abrir el camino de la ilustración á los por la izquierda del Miño, frente á Sela ha desaparecido para el genios nacidos en la oscuridad. Pero no puede negarse que la nece interior. Según noticia del 9 llegó á Oporto el v…</t>
  </si>
  <si>
    <t>Delgado, D Juan Antonio</t>
  </si>
  <si>
    <t>D Juan Antonio Delgado</t>
  </si>
  <si>
    <t>…mas por Oquendo una compañía del ca constituciones que S. M. se dignó aprobar para su gobierno y dirección, luego becilla Castor, salió cn su busca cn 19 último, y habiéndoles dado alcance en que se enteró de la orden dada por el Sr. D. Juan Antonio Delgado, subde la venta de Vaizabai los cargó impetuosamente matándoles 4 hombres, y co legado del Fomento de esta provincia, y publicada en el Boletín oficial, para giéndoles 8 prisioneros y porción de armas. ' recoger en ella á todos los mendigos que vagan por la9 calles y plazas, excep El coronel comand…</t>
  </si>
  <si>
    <t>Delgado, Francisco</t>
  </si>
  <si>
    <t>Francisco Delgado</t>
  </si>
  <si>
    <t>…de OrduiiJ. (A«m. 56.) I -*¿^ianos las secciones del mismo. (Gaceta num. 40.) nombrando recente de la Real audiencia de Cataluña á D. hrancisco | ‘CpL nombrando secretario del mismo. (Id.') Olavarrieta , y de la de Extremadura á D. Francisco Delgado hernandez deí I _ removiendo al corregidor de Molina de Aragón D. Juan Víctor Navar Pino. (Id.) ro , y nombrando en su lugar á D. José Poveda. (Id.) nombrando comandante general de la Mancha á D. J uan Antonio Ba- - mandando adjudicar con publicidad y concurrencia de las compañías na rutell. (Id.)…</t>
  </si>
  <si>
    <t>…asta su ttoninacioiu coa ai-regló a las leyes, ante k» eonipetéñfés7uzgados de la Real jurisdic Para la planta de la Real audiencia de Cáceres vengo en nom ción ordinaria, admitiéndose á loé interesados ha apelaciones para brar á D. Francisco Delgado para regente; para oidores áD. Anto énté los respectivos tribunales superiores. nio Neira y Marin, á1 D. Juan García del Pozo, á D. Antonio,MarAr*.- 4? Los juicios que se entablen después de publicad» la abo quez Osorio, á D. Jorge Martines, í D. Ramón López Vázquez; lición del Voto, á virtud de pa…</t>
  </si>
  <si>
    <t>…ro de 1334--— Al Presidente del Consejo y Camara dcOastillla. dido, y dispondréis lo necesario para su cumplimiento, zz Está rubricado de la Real manocsEn Palacio ‘á 9 de Febrero de 1834-^A D. Nicolás María Ga- Vengo en nombrar í D. Francisco Delgado, oidor de Sevilla, para igual relly. &gt; » plaza de la audiencia de Albacete. Tendráse entendido en La Cimara para su I cumplimiento.=Está rubricado de la Real mano-=En Palacio á 9 de Febrero I Para las tres plazas de tenientes de la villa y corte de Madrid, creadas por de 1834-=cAl Presidente del Co…</t>
  </si>
  <si>
    <t>Delgado, Gerónimo</t>
  </si>
  <si>
    <t>Gerónimo Delgado</t>
  </si>
  <si>
    <t>…apoyadas por las columnas de tropa que se destacaron, la han perseguido en toda» direcciones, acogiéndose al indul ESPAÑA. to la mayor parte de los rebeldes, según lo participa el comandante del regi miento infantería de Mallorca D. Gerónimo Delgado , que con la columna de Jaén 20 de Diciembre. su mando continúa limpiando aquel distrito de los pocos bandidos que divagas errantes por las montañas. £1 8 del corriente se celebró en esta ciudad ía proclamación ¿t nuestra au El general Hore trascribe el parte dado el 23 pot el comandante de armas g…</t>
  </si>
  <si>
    <t>Delgado, Juan Antonio</t>
  </si>
  <si>
    <t>Juan Antonio Delgado</t>
  </si>
  <si>
    <t>…nom la diócesis de la triste situación en que se hallaba su capital, hizo inmediata brando i los ministros qué han de componerla. (iV«m. 180.) mente donativo de rs., 12 camas completas y 8uU varas de lienzo, ofre ,. _ nombrando á D. Juan Antonio Delgado gobernador civil de Alicante. ciendo ademas todas sus rentas para el alivio de los afligidos, y regresando í (í'ÍW 181.) Salamanca en la tarde d«l 22 desde el pueblo de Villoruela, adonde s« hallaba, Reales órdenes mandando que cuando llegue la próxima probable extinción de por estar enfermo: que s…</t>
  </si>
  <si>
    <t>…por Oquendo una compañía del ca constituciones que S. M. se dignó aprobar para su gobierno y dirección, luego becilla Castor, salió cn su busca cn 19 último, y habiéndoles dado alcance en que se enteró de la orden dada por el Sr. D. Juan Antonio Delgado, subde la venta de Vaizabai los cargó impetuosamente matándoles 4 hombres, y co legado del Fomento de esta provincia, y publicada en el Boletín oficial, para giéndoles 8 prisioneros y porción de armas. ' recoger en ella á todos los mendigos que vagan por la9 calles y plazas, excep El coronel comand…</t>
  </si>
  <si>
    <t>…hacer fuego desde las ven tanas, situando los centinelas á distancia de diez pasos unos de otros, opera ción importantísima que en mi concepto ha evitado la efusión de sangre en una El gobernador civil de la provincia de Córdoba D. Juan Antonio Delgado fortaleza donde eran mas temibles las peñas con que estaba-coronada la mura hizo presente al Excmo. Sr. ministro de lo Interior la actual miseria de la claso lla, que las balas de los nviguelistas. proletaria en dicha provincia, nacida de la falta de trabajo, y proponiendo en Al mismo tiempo se die…</t>
  </si>
  <si>
    <t>…monias, qce Cuidará de que se observen el orden y formalidades prescriptas. • 'He teñido ñ bren exonerar dbl destino.de gobernador ciril de la Cuando Sy M. se haya colocado en el Troco, se dignará decir ’jihóví'rrój* dé Córdoba á D. Juan Antonio Delgado, sin perjuicio de la fórmula Siguiente: Ilustres Proceres del Reino: Señores Procuro- ~(Jñé\sfein átendidos sus méritos y servicios para destinos análogos á dores del Reino, sbxtaos. Con cuyo Real pieymiso y beneplácito-, to rfti: áWtetfor'cátr'fera; y vengó eñ conferir el gobierno civil de la mis…</t>
  </si>
  <si>
    <t>…Sr. Secretario del Despacho de Estado. militar ó apostadero naval al dia siguiente de recibida. De órden del mayor general Macomb. (Diario de los Debates?) Egipto; REAL DECRETO. Alejandría l.° de Junio. Hp tenido á bien nombrar á D. Juan Antonio Delgado, gober El Bajá continúa , á pesar de las voces que corren por Europa de una pró nador civil que ha sido de la provincia de Córdoba , para el mismo xima guerra oriental, sus proyectos de trabajos industriales y de civilización. cargo déla de Alicante, vacante por la. elección que me he servido Está…</t>
  </si>
  <si>
    <t>…enla , es infantería, muerto en acción de guerra.decir, entre Lamego, Almeida y Viseo. bolsa de comercio.—Cotizacion de hoy d las tres de la tarde. Extracto del parte dado por el subdelegado del Fomento de la provincia de Córdoba D. Juan Antonio Delgado con fecha de l.° del actual. ERECTOS PUBLICOS. Con arreglo, 4 lo que ha expuesto al Gobierno y hasta que recaiga sobe- Inscripciones en el gran libro 4 5 p. 100 , 00. laña resolución, ha autorizado 4 los ayuntamientos de varios pueblos para que Títulos al portador del 5 p. 100. 00. con calidad de r…</t>
  </si>
  <si>
    <t>Deliesi, Juan de la</t>
  </si>
  <si>
    <t>Juan de la Deliesi</t>
  </si>
  <si>
    <t>…jdebep quedar fuera de circulación. (Nú-* l?s salas y. los gabinetes con las Cinco que representan las funciones Reales ce ' 'entro 237.) , lebradas en esta corte con el fausto motivo de la jura de la Reina nuestra ' nombrando a D. Juan de la Deliesi individuo de Iá inspección general de ¡mientas y librerías del Reina (Id.) . ~ Señora Doña Isabel ii como Princesa heredera dél Reino, que ser hallan de Venta en el mencionado despacho. . ■ j Real decretó sobre el arreglo del patrimoniú de la corona de Aragón. (Nú-* mero 239.) ' 't Exposición del S…</t>
  </si>
  <si>
    <t>…mpa hace juego para poder adornar formar el índice de los .libros que jdebep quedar fuera de circulación. (Nú-* l?s salas y. los gabinetes con las Cinco que representan las funciones Reales ce ' 'entro 237.) , . , Á ' nombrando a D. Juan de la Deliesi individuo de Iá inspección general lebradas en esta corte con el fausto motivo de la jura de la Reina nuestrade ¡mientas y librerías del Reina (Id.) . ~ Señora Doña Isabei ii como Princesa heredera dél Reino, que ser hallan de Venta en el mencionado despacho. . Real decretó sobre el arreglo del pat…</t>
  </si>
  <si>
    <t>Deloffre, Mr</t>
  </si>
  <si>
    <t>Mr Deloffre</t>
  </si>
  <si>
    <t>…echa de SS/MM., y los Diputados la izquierda. El 11 por la tarde entraron en este puerto, procedentes del de Tolon, la Art. SS. M V). se dirigirán á la sala de la Cámara de los Diputados, y fragata de guerra francesa Victoria, su comandante Mr. Deloffre; la corbeta antes de la entrada S. M. F. , S. M. I. la duquesa de Braganza y S, A. la Se Aguila, y los bergantines Silfo y Eclipse, también de guerra, que vienen ¿ ñora Infanta, acompañadas de sus respectivos criados sé dirigirán á la tribuna sus^órdenes. que les está destinada; y entonces S. M I-…</t>
  </si>
  <si>
    <t>Deludre</t>
  </si>
  <si>
    <t>…cto “Ab'ISp isobre asocíácioliéá Ofrece ¿grayéi riesgo* ¡pito 4a"naciotr y&gt; pata tí gobierna y y. que ;i polltiCai'"1 — ' "íl) ‘J "'í sf&gt; atann- - i ',rT"1 • vista dt lá aEtipatía qde ««'.ostenta contractiáibertad de impreota, El Sr. Deludre dice,míe el.derecho de;ásbciatse es Inherente í y de los pasos que sé vatí dando contra'"1»■"'individual, ao debe.la la nátilraft» del OioSíBéet §tfé el goblethó1 dé1F rancia y debe estar Cántara' adherir al deseó del gobierno nirai dictamen dé' la comisión. agradecido í las asóclaejobésFqite estas…</t>
  </si>
  <si>
    <t>…nte de Celeiro, y dieron un ataque serio en ¿l puente de Almoster; pero nen que el artículo se debe aprobar como está, pues adhiriendo á la opinión del en todas partes fueron.repelidos., y mañana tendré el honor de enviar á V. E. Sr. Deludre se destruye la disciplina militar. los detalles de este glorioso dia. La Cámara conformándose con el informe de la comisión aprueba el ar El mayor Savedra , portador de este pficio, tendrá el honor de entregar á ticulo 12, en que «se declara el modo de proceder á la reforma de un oficial S. M. I. l…</t>
  </si>
  <si>
    <t>Demarqay</t>
  </si>
  <si>
    <t>…ones de fran la esencia de lo que dice la minuta, conviene en que su propuesta tiene íntima cos se atendía á todos los gastos que ocurrían en el año. conexión con las mas graves cuestiones de orden social: nota que diciendo co El Sr. Demarqay abunda en el dictamen del Sr. Lainé, y para sostenerlo mo en la minuta clases* laboriosas, se presenta una idea demasiado vaga, y que hace varias observaciones: el Sr. Duchalel, por el contrario, recuerda que al se evitará este inconveniente adhiriendo á su parecer. fijar los presupuestos ha examin…</t>
  </si>
  <si>
    <t>…salieron á recibirá su augusta madre y Prince se contenta can que se declare que en tiempo de paz no se podrá conferir di sa,.y entraron todos tp un. mi&gt;mo coche. cho empleo. 1 IKQ LATKltXA. El Sr. Salvandy rebate la opinión del general Demarqay, en cuyo favor habla el Sr. SaJéPrte haciendo varias observaciones que á su entender demues Xdndrrf 18 de Febrero. tran la necesidadde adherir al dictámen de aquel diputado: el general Bugeaud ,H»biálK^weisabido.en Roma lq muerte del marques de Funchal, se co- haciéndose .cargo de lo dicho por los…</t>
  </si>
  <si>
    <t>…ón; pero por el color del agua dicha suma 4*6739 francos. El general Gourgaud manifiesta las razones que tie inferimos que habia mucho fondo por todo su alrededor, y lo mismo de una ne el gobierno para pedir la suma enunciada: el general Demarqay dice que los á otra piedra. No cabe ninguna duda en la existencia de dicho bajo, pues estu fusiles que usa el ejército francés son defectuosos, y que el ministerio debe fijar vimos á muy corta distancia de él, y observándolo con el anteojo desde la ver su atención en un asunto que es de suma import…</t>
  </si>
  <si>
    <t>…de nuestro gobierno; pero podemos asegurar que tales aser de artillería. Al. De Laborde cree que no se debe aprobar la rebaja que propo tos están destituidos de todo fundamento, y negamos resueltamente que las ne la comisión: el general Demarqay opina por el contrario, que la rebajaes amenazas de la fuer2a armada formen la base del tratado que muy promoverá jubta , y merece la atención de la Cámara: M. Dussaussoy observa que no es la Ijuz pública. En cuanto al abuso que hace el Post, sin ser provocado , de la tan fácil, como se cree , fabr…</t>
  </si>
  <si>
    <t>Dembinski</t>
  </si>
  <si>
    <t>…vicealmirante sir William Hall Gage va á tomar el mando de la es dan á cada oficial IS00 piastras (llóoO reales) para sus gastos de viaje. Tam- ~ cuadra del Tajo, y estuvo ayer ocupado muchas horas en el almirantazgo para bien el general Dembinski ha tenido que separarse del ejército. recibir instrucciones. (Timee.) lbrahimbajá, á quien esperaban’en Syria, ha dilatado su viaje aunque es allí fteiy necesaria su presencia , porque los habitantes están muy descontentos con ... Hz llegado á Falmouth el correo marítimo Duque de Torck con la cor s…</t>
  </si>
  <si>
    <t>Demirqais</t>
  </si>
  <si>
    <t>…na móvil, que casualmente se hallaba aquí, ha [diligencias para hacer que los oficíales de marina dejen los empleos que se les biendo reinado sin interrupción el mayor orden y tranquilidad. Iban conferido. . Co’-ia 3 de Enero. El general Demirqais abunda en las ideas del preopinante, corroborándolas I con varias observaciones. Aunque en esta ciudad nunca se ha acostumbrado levantar pendones, ni Replica el general Bugeaud que la primera obligación de los militares es celebrar la proclamación de nuestros augustos Monarcas, han querido sin em I…</t>
  </si>
  <si>
    <t>Den, José Milano y</t>
  </si>
  <si>
    <t>José Milano y Den</t>
  </si>
  <si>
    <t>…e conducido por su rabineros á caballo D. Dionisio Troncón, y a los capitanes de cazadores de le» bizarro teniente D. Bernardo Echaiecu, salió de la casa fuerte; este movimien regimientos de Avila y del 2.® batallón de la Guardia D. José Milano y Den to ^.decia, Excmo.Br., fue decidido y nos hizo pronto y sucesivamente due Carlos López. ños de una extensa y formidable posición , tan tenazmente defendida en un «De igual recompensa étimo merecedores al señor comandante tenienve principio, como cobarde é ignominiosamente abandonada luego por la fu…</t>
  </si>
  <si>
    <t>Dendariena, Vicente</t>
  </si>
  <si>
    <t>Vicente Dendariena</t>
  </si>
  <si>
    <t>…r; y habiendo perseguido 4 sus com bolsa de comercio.___Cotización de boy á ias tres de Id tarde. pañeros , logró quitarles varias «copetas y otros efectos: que el teniente de la ■fictos avaucos. 3.J compañía de seguridad pública D. Vicente Dendariena sorprendió el dia 24 junto al pueblo de Gal ve una partida de 2ñ facciosos, de los cual» mató 5; Inscripciones en el gran libro á 5 o, 100, 00. Tirulos al portador del í. por 1.00 ,o/l i ¿0 d. f. ó vol. hizo 3 prisioneros, cogió ó caballos, y seguía el alcance de los demas. Inscripciones en el gran…</t>
  </si>
  <si>
    <t>Denf</t>
  </si>
  <si>
    <t>…habiendo &amp;lido á recorrer los valles inmediatos con una partida, en hal, austríaco , es el designado para irá Tosca na con este objeto. Se dice que contró 4 facciosos, y acometiéndolos con la fuerza que llevaba , resultó que *el conde Denf va á Roma para reemplazar al actual embajador de Viena, dar 3 muertos en el campo, cogiéndoles 4 fusiles. conde dz Lutzoyr, á .quien censuran de falta de energía. {Galignani's Messenger.) El mismo manifiesta que el teniente del provincial de Granada D. Fer __E1 Manchecter Guardian refiere un hecho…</t>
  </si>
  <si>
    <t>Denman</t>
  </si>
  <si>
    <t>…sido siempre apasionados y ardientes defensores de sus señorías. didas en 5 cupones que participan todos de la suerte de la obligación cuyo nú El lord canciller .dice que deja el asunto al juicio de la noble Cámara. mero llevan. lord Denman observa que la ofensa es tan grave que sus señorías faltarían Estas primas, que por este medio han podido multiplicarse y adquirir fuer i su deber, no castigando de un modo severo á M. Bittlérston, y pide que este za, ascienden hasta la suma de 80U9, francos en un solo número, y en ca sea arrestado…</t>
  </si>
  <si>
    <t>Denvigh</t>
  </si>
  <si>
    <t>…osición del gobierno 4005) francos para nia eh el pTÓximo verano. Probablemente saldrá en la primera semana de Ju socorrer á Jos heridos y á las familias de los que perecieron en las desgracia lio acompañada del lord y lady Howe, lord Denvigh y una brillante comi das ocurrencias de este mes, cuán justo é interesante es que la nación consuele tiva. Su objeto, que no es otTO que ver á su familia, no tiene relación alguna á los que han padecido en defensa del órden. La Cárrtara acuerda que este in con la política. (Standardí) forme y el proy…</t>
  </si>
  <si>
    <t>Desconfiado</t>
  </si>
  <si>
    <t>…egimiento 18 ele línea, AI- to de 1834—Ei'comandante de armas, Iturriza. raans», subiendo en pos dé estos el l.° y 2.yd^ Príncipe, el primer coman dante del mismo cuerpo , á la cabeza D. Cesáreo Erranz: los momentos fueron Excmo. Sr.: Desconfiado de recibir parte del general en gefe por el con muy críticos para el indicado coronel 01ivares\v su columna, por espacio de vencimiento que tengo de que no deja la persecución de ios rebeldes, diré á media hora, contuvo á siete batallones facciosos^ mereciendo particular reco V. E., en continuación de…</t>
  </si>
  <si>
    <t>Descuento</t>
  </si>
  <si>
    <t>…España.,En seguida leyó otro el profesor de químics-Don Burdeos, 00. zo , id. Granada, 4 Id. Zaragoza, { d. León Salmean y Mandayo, en el cual reasumió cronológicamente la historia Hjmburgo, 00. Barcelona» k ps. ft., Málaga» id. !d. Descuento de letras, 1 b. 4 oO dias, Santander, | b. a 4 p. 100 al aüsk da esta facultad y de rn aplicación i las artés, como también las ventajas que lóndres, Bilbao» ¿ | d. Santiago, »•«. proporciona su estudio. £1 Sr. vicedirector terminó la solemnidad con un bre ve pero interesante apostrofe en muestra de r…</t>
  </si>
  <si>
    <t>…ía, instrumentos para que no se oyesen los quejidos de la víctima, y Burdeos, 00. ceo, $ d. Gransula, id Id- Zaragoza, 4 dla misma madre alborotaba á veces mas que todos los demas. ■ ■ Hamburgo, 00. Barcelona, 4 ps. Es, Málaga, 4 d. Descuento de letras, lAndres. 4 90 días, Santander, 4 b, 4 4 P- 100 al año. No es pues de admirar que tomasen los hijos terribles represalias contra 4*. Bilbao, 4 d. Santiago $ d. sus padres ancianos ó enfermos. Muchas veces un hijo dejaba morir de hambre $ su padre y i su -madre por no tomarse el trabajo de as…</t>
  </si>
  <si>
    <t>…Ld odres á 90 dias 37$ Bilbao par. Sevilla par. ce los hombres y las cosas mejor que ningún particular, y decfile: áj. Cádiz h b. Valencia id. Aquí has de herir : aquí has de usar de denuncia. París. 16 1. Coruña 4 d. Zaragoza ¡J d. Descuento de letras á 4 p. 100 al año. ministerio de la Guirva. ANUNCIOS. Según partes trasmitidos á este Ministerio por el capitán gene Quintín Duttvard, 6 el Escoces en la corte de Luis 11, i.° y a.o to ral de Castilla la Nueva, una columna de patriotas de los pueblos ■ mo , ó 13 y 14 de la Biblioteca de Dama…</t>
  </si>
  <si>
    <t>…días 37} Bilbao par. SevIHa par. movimiento que se intentase en ella por los enemigos del reposo á ). Cádiz 4 b. Valencia Id. á i*. público. Situado dicho general .en Morella con la fuerza de su París 16. Corulla ^ d. Zaragoza j d. Descuento de letras A 4 p. too al afio. mando , observa desde aquel mportante punto todo el pais confi- . ñau te de Aragón y Cataluña, habiendo inútiles las tentativas de . algunas pequeñas partidas formadas de los rebeldes que vagan dis ANUNCIO. persos d&lt;¿de que se destruyó la facción de Morella, sin atreverse…</t>
  </si>
  <si>
    <t>08/04/1834</t>
  </si>
  <si>
    <t>Gaceta de Madrid n.º 47</t>
  </si>
  <si>
    <t>…dudres 4 90 días 37J Bilbao par. Sevilla par. Observación. 'En el número de fallecidos e?tao inclusos los dp i i. Cádiz | o. Valencia id. hh4e fe» hospitales y de toda piase de enfermedades. 4 París iti I. Corufia j d. Zaragora I d. Descuento de letras 11 4 p. ios al aDo. Sitad# ¿*n¡Mw de Metepona desde ti dia 2$ al 28 de la fachs%* Existe acta de) ¿i* $(*». afi&amp;eniw. Invadidos. | Totjti. [Curados Fallecidos. ANUNCIOS. Graves. Leva ] " tos sascrlptores i la a.a parte del nuevo periódico de música titula do el Eco de ia ¿pera, pasarán 4 rec…</t>
  </si>
  <si>
    <t>…l alto, la enfermedad que en dicho pueblo se padecía Burdeos, 00. co» £ d. Granada, id. id. Zaragoza, { d. - había tomado diferente carácter del que manifestó al principio, y que los en Hatnburgo, 00. Barcelona, 4ps.fr, Málaga, i d. Descuento de letras JLóndres, á 9O diar, Ib. Santander« £ b» 4 4 *. 100 el *60.fermos no daban cuidado por el momento; acompaña asimismo el siguiente Bilbao, é d. santiago, Id. Part* sanitario. ANUNCIOS. 'Tóchtof- D¡«. Enfermos. Curados. Fallecí Jm. Obras que ee hallan de éenta en el de*foche de la imprenta Reo…</t>
  </si>
  <si>
    <t>Desdb</t>
  </si>
  <si>
    <t>…OSs —.PREMIO?. atDMtNisrnAciqirÉa. gosremitei este ministerio el parte que sigue t »» Exento. Sr.: El Gobernador civil de Logrofio-con fecha 30- de Junio último me dice 1 o,siguiente: Excelen- 6733.. 8000 ps, fs. Vajeada» tfsióto-Sr.: Desdb el üt imo parte que tuve el honor de dirigir ¿ V. E.,con fe 23.327.. 1000______ ftatcclona. cha 27 del corrientes, beredbido varias coa testaciones que atestiguan el exce-, 837.. 1000......... , Granada. lente espíritu que reina en los habitantes de esta provincia , y la firme decisión 12.882.. 100…</t>
  </si>
  <si>
    <t>Desde</t>
  </si>
  <si>
    <t>…ermanecen, las juntas K. A., como la dificultad que debió de una casa de enseñanza y corrección en Bogotá. encontrar el mismo para llenar este vacío, tomando sobre sí la tutela de tan Colombia. Estado de. la Nueva-Granada.=Excmo. Sr. - Desde que tuve oca tos y tan importantes objetos, que se veían amagados del abandono consiguien sión de visitar algunas casas de educación, corrección y refugio en Europa y en te : dificultal inmensa por cierto, si se atiende al concurso de otros que opone los Estados-Unidos, concebí la idea de promover…</t>
  </si>
  <si>
    <t>…rnicer, cuyo tenor es el siguiente: cia D, Manuel Rubín de Cehs 4c premió concediendo otra beca &lt;1 su her mano D. Carlos; siendo este el primer ejemplar de dos hermanos a la vez, «Segunda comandancia del Este de Valenciajc=Excmo. Sr.: Desde que el colegiales Ir.rcrnos en aquel es[ablecimien;*.\ dia 19 del corriente se dignó V. E. confiar á mi mando una columna de va Durante su mansión en el, se observaron en Clcmencin, ademas de la lientes, con encargo especial de que persiguiera la facción del rebelde Carnicer, perspicacia y comprens…</t>
  </si>
  <si>
    <t>…de Torean.” &gt; ~ ;-------------- 1 EXPOSICION HECHA Á S. M. POR EL Se. SECRETARIO S. M. se ha servido aprobar esta propuesta, y en su consecuen cia se han expedido loa dos Reales decretos siguientes : DEL DESPAfcHO DE HACIESDA. 1? Señora : "Desde el momento en que V. M. se dignó poner á mi cargo el ministerio «le Hacienda, fue mi propósito mejorar la renta Firme en mi propósito de adoptar las mejoras que, la experien del tabaco, penetrado de su conocida importancia, y de las ventajas cia haya acreditado como convenientes ó necesarias : ocup…</t>
  </si>
  <si>
    <t>Desde, Bernardo Senosiaín y D Victoriano</t>
  </si>
  <si>
    <t>Bernardo Senosiaín y D Victoriano Desde</t>
  </si>
  <si>
    <t>…rmita de )a Raínza, á cuya cercanía me reuní con los demas cuer „]a dsljgcfede ]afplana mayor D. José María Peón, la de todos los oficiales d¿ pos que me habían precedido en la marcha. .• v • ’ felfa,/y. de mi9 ayudantes de campo D. Bernardo Senosiaín y D. Victoriano Desde este punto pude observar perfectamente las formidables posiciones de Bragado, la del Teniente de ingenieros que me acompaña D. José Trizar, y la* Jos enemigos , que situados á derecha é izquierda del barranco de la Ferrería de los Sres. gefes y oficiales y tropa nada me han dejado que desear, y pue…</t>
  </si>
  <si>
    <t>Desde, José Crines</t>
  </si>
  <si>
    <t>José Crines Desde</t>
  </si>
  <si>
    <t>…tuvo iluminado por dos candelabros colocados entre las co D. José Piquer , y sobre ia del arco de la espalda descansaba una Fama en ac lumnas y doS arandelas en los mazizos correspondientes. ción de romper el vuelo, ejecutada por D. José Crines. Desde este pórtico se presentaba la iglesia, enlutado su pavimento y ban Los planos que resultaban del ático por los costados , se enriquecieron con quetas , formando estas un espacioso aofiteatro, quedando tres pasos, uno en el dos bajos relieves pintados de ló pies de ¡arco sobre ocho de alto. Fl que c…</t>
  </si>
  <si>
    <t>Desde, Vicepresidente</t>
  </si>
  <si>
    <t>Vicepresidente Desde</t>
  </si>
  <si>
    <t>…ifestando carecer de la aptitud legal para desem contrarío á los Procuradores de Córdoba; es decir, el formar una petición en peñar este cargo. sentido inverso de la que se discute parj aliviar á aquella provincia de los males El Sr. Vicepresidente-. «Desde mañana se abrirá la sesión á las once, y en que se halla sumergida. Se trata de un objeto de primera n&amp;csidad , y seame al efecto á las once y cuarto se pasará lista de'los Sres. Procuradores: lo que permitido no entrar en los principios económicos, que reservo á otros oradores advierto para inteli…</t>
  </si>
  <si>
    <t>Desde, Victoriano</t>
  </si>
  <si>
    <t>Victoriano Desde</t>
  </si>
  <si>
    <t>…ya cercanía me reuní con los demas cuer „]a dsljgcfede ]afplana mayor D. José María Peón, la de todos los oficiales d¿ pos que me habían precedido en la marcha. .• v • ’ felfa,/y. de mi9 ayudantes de campo D. Bernardo Senosiaín y D. Victoriano Desde este punto pude observar perfectamente las formidables posiciones de Bragado, la del Teniente de ingenieros que me acompaña D. José Trizar, y la* Jos enemigos , que situados á derecha é izquierda del barranco de la Ferrería de los Sres. gefes y oficiales y tropa nada me han dejado que desear, y pue…</t>
  </si>
  <si>
    <t>Desharé, Lopeasí</t>
  </si>
  <si>
    <t>Lopeasí Desharé</t>
  </si>
  <si>
    <t>…s dé que pueden ocuparse las Córtes. Pero viene luego el lít. 7?, cuyo epl-4 mas importante» por el principio político' que en *u seno «encierra." ■ grafe es relativo especialmente ó los proyectos de ley\lo leyó), y allí ya se El Sr. Lopeasí »Desharé la equivocación que acaba de padecer el Sr,Preestrecha oía* el circuló ; se espcciíicabien la senda que ha de seguirse en asun ‘ sidente del Consejo dé Ministros en su discurso: Yo nunca be dudado de que tos de tanta gravedad. tfn proyecto de ley deba votarse, sino de cuándo debe votarse el presentado…</t>
  </si>
  <si>
    <t>Deshecha</t>
  </si>
  <si>
    <t>…s, sobrellevadas sin descanso alguno por los individuos de to das clases, con una constancia¡g alegría imposible de comprender no presenciando el herótco entusiasmo que las anima por la defensa de los derechos de la Ruina nuestra Señora.” Deshecha enteramente la considerable facción del Maestrazgo apoyada á la plaza d» Morelia; pasados por las armas sus gefes el barón de Hervcs, el cx-gobernador Vitoria, él comandante de realistas Gil, y los cabecillas fusté y Torá, solo quedaba el furioso Carnicer, que en su fuga pasó el Ebro por la barca d…</t>
  </si>
  <si>
    <t>Desis, Bernardo</t>
  </si>
  <si>
    <t>Bernardo Desis</t>
  </si>
  <si>
    <t>…nen por ahora. La cuestión hasta las once y media de la mañana), mandadas por los capitanes del 13 de consiste en saber si las circunstancias le obligarán después á dar un paso adelan linea D. Vicente Ssrarvilla, y de carabiné¿ot,D. Bernardo Desis; pero cuando te para evitar la completa disolución de su ejército. llegaron á la acción los enemigos habían desaparecido. Tenemos noticias de Bosnia qúe no’son nada agradables: este país debe «Lo traslado á V. E. para su debido conocimiento, rogándole se sirva in declararse en estado de guerra, si…</t>
  </si>
  <si>
    <t>Desjbbert</t>
  </si>
  <si>
    <t>…ndo el proyecto según lo presenta la co tua de íd. 59f. misión. cámara de los diputado^— Sesión del día 27 de Enero. No habiendo mas oradores que quieran hablar sobre el todo del proyecto^ principia la discusión por artículos. El Sr. Desjbbert lee una proposición que respecto á caminos vecinales y de Sobre el artículo l.° que trata de las personas que han de componer el con distritos hace en unión con los Sres. Aroux , Gillon y Mallct: la Cámara de sejo de Estado, hablan los Sres. Decazes, Mole, Pontecoulant y Mounier, ma cide que en la…</t>
  </si>
  <si>
    <t>Desjobert, Olivares M</t>
  </si>
  <si>
    <t>Olivares M Desjobert</t>
  </si>
  <si>
    <t>…e contribuciones. do y Sodupe, con el objeto de que se presenten con sus armas todos los faeM. Coulmann habla también contra la contribución que carga sobre la sal. ' ciosos de aquellas inmediaciones; igual comisión le he dado al coronel Olivares •M. Desjobert quisiera saber de qué modo piensa aplicar el ministro de Hacien para que en Sopuesta, Zalla, Galdames y Somorrostro haga lo propio. El ca da la facultad concedidas! gobierno para disminuir los derechos que pagan las pitán Vasquez ejecuta lo mismo en Trucios y Arcentales, y yo con la columna primera…</t>
  </si>
  <si>
    <t>Desmí</t>
  </si>
  <si>
    <t>…ingresos se »»En Qrán hace algún tiempo que está acampada en Miserquína la divislotf presenten siempre en los últimos dias de la legislatura , de modo que no es po Sacozet; allí debe haber dentro cíe poco una entrevista entre el general Desmí4 sible eaaminatlos con el detenimiento que requiere un asunto de tanta trascen filéis y Abdelkader. ~ • ‘ dencia ; concluye diciendo que aprueba el presupuesto de ingresqs porque ha «Hace algunos días que salió este de Máscara con el comandante francés aprobada el de gastos. .AbdaUa | a qiticp supl…</t>
  </si>
  <si>
    <t>Desmichcls</t>
  </si>
  <si>
    <t>…último que ha tenido pérdida» recientes de mucha consideración, ha enviado á su hermano a la frontera para, mediar entre los dos gefes. Se su Las Cortes extraordinarias que se hallan reunidas para decidir negocios de pone que el general Desmichcls enviará uno de sus edecanes al príncipe moro alta trascendencia, no pueden menos de examinar maduramente el que pro para que Los franceses puedan entrar como parte en el tratado de amistad si lie*- pongo, y que á mi ver es de suma importancia. ¿a á verificarse. La última derrota de Mustafá ha enfri…</t>
  </si>
  <si>
    <t>Desmichels</t>
  </si>
  <si>
    <t>…rancos, y á la de Troves (Aube) para un impuestq extraordinario destinado á Al Oeste de la’ ex-regencia, Abdel-Kader, de resultas de su tratado con trabajos de utilidad pública. Estos proyectos, sometidos á un solo escrutinio, el general Desmichels, se ha hecho sospechoso á la mayor parte de las tribus fueron aprobados por 23 0 votos contra 4- que le obedecían. Sorprendido en su campo por los insurgentes, ba perdido Se procede á la discusión del proyecto de ley dirigido 5 conceder un crédi cuanto poseía, y con muchísimo trabajo y después de h…</t>
  </si>
  <si>
    <t>Despacho, Félix Gtií</t>
  </si>
  <si>
    <t>Félix Gtií Despacho</t>
  </si>
  <si>
    <t>…ños* Toledo 5 de Mayo de En el 2.° batallón del insinuado cuerpo de la Reina, el teniente coronel 183^,—Excmo. Sx.rrGaspar de Goicocheá. = Eicmo. Sr. primer Secretario del D. Manuel Domínguez, capitán de la compañía de cazadores, D. Félix Gtií— Despacho de E^tadq. ; ’ tarte, teniente graduado de capitán ,y el subteniente D. Manuel Cácercs, am bos de la insinuada compañía; juzgo empero dignos de particular memoria 4 Partes recibidor en la Secretaria de Estado y del Despacho de la Guerra* D. José Alonso y D. Benito Masot, sargentos primeros graduados de…</t>
  </si>
  <si>
    <t>Despacho, Jel</t>
  </si>
  <si>
    <t>Jel Despacho</t>
  </si>
  <si>
    <t>…do. No habiéndose admitido esta indi en el mismo caso que cuando se con'e&gt;tó al d scurso He U Corona." cación , me parece que debe continuarse aquella.” Sr. Cond' de las Navas’. «Primero se aprobó la totalidad, y luego se t.l Sr. Secretario Jel Despacho de ¡o Interior: «Yp soy de dictamen pasó á aprobar párrafo pór párrafo. que se de á las discusiones toda la extensión posible cuando esta no llega á cau Un Sr Procurador (leyó los artículos 99 y 35) El aprobar el proyecto en sar la impaciencia de los Sres. Procuradores. El proyecto está admitido por e…</t>
  </si>
  <si>
    <t>Despacho, Nicolás María</t>
  </si>
  <si>
    <t>Nicolás María Despacho</t>
  </si>
  <si>
    <t>…arde á V. E. muchos años. San Ildefonso 17 de pondréis lo necesario á su cumplimiento.rzEstá rubricado de la Real Julio de 1834.=Francisco Martínez de la Rosa.=Señor Secretario del mann-En S. Ildefonso á 15 de Julio de i8.34. = A D. Nicolás María Despacho de lo Interior. Garelly. * ministerio de lo interior. g. M. la Reina Goliernadora y en su Real nombre el Consejo de Real orden. Gobierno y el de Ministros en todo conformes, profundamente afli Excmo. Sr. : Habiendo dado cuenta á S. M. la augusta Reina gidos de loá desórdenes é inauditos atentados come…</t>
  </si>
  <si>
    <t>Despacho, Secretario-del</t>
  </si>
  <si>
    <t>Secretario-del Despacho</t>
  </si>
  <si>
    <t>…uye propietario: otra la posesión en que está de mil - Se abrió á las once, y leída el acta de la anterior, quedó aprobada. ,y . tantas medidas de tierra que le producen “trigo, centeno, vino y.algún Se dió cuenta de un ohcio del Sr. Secretario-del Despacho de lo Interior, dinero- - remitiendo testimonio dé! acta de la elección verificada en Vjii.iúolid, de que . «Se acusa á la comisión de poco, rigor. Si se quiere consecuencia fea la-.- resulta haber sido nombrados-Procuradores por aquella provincia tos Sres. Don comisión en tenerle, ¡por qué no se'qqie…</t>
  </si>
  <si>
    <t>Despacho, Üel</t>
  </si>
  <si>
    <t>Üel Despacho</t>
  </si>
  <si>
    <t>…amara de b. M. biv.ira, ofi cimiento y ejecución de las referidas mudanzas y adiciones, que las cumplan cial de la Legión de honor, comendador de la orden imperial de la Corona y hagan cumplir y guardar según su serie y tenor. El secretario Üel Despacho de hierro, y de la orden Real de la Corona de Baviera, *_at&gt;uicro d: la orden de Estado de los Negocios del Imperio hará unir á la Constitución dichas adi de la Estrella polar, y dignidad de la orden Do Cruzeiro , revestido v autori ciones y mudanzas, y cuidará de que se impriman, publiquen y circulen…</t>
  </si>
  <si>
    <t>Despajo, José Oriol</t>
  </si>
  <si>
    <t>José Oriol Despajo</t>
  </si>
  <si>
    <t>…entan alterarla, por el buen espí Guardia Real de i.¡if.intcrM.=Cap;tan&lt;s , D. Leopoldo O-DonelJ; D. Luis ritu tjue reina en los habitantes , y las activas y enérgicas disposiciones do las García Luna; teniente*, D. José Faldera; D. José Oriol Despajo!: alférez -autoridades. ccs, D. Miguel Azígra ; D. darlos Fanch ; D. í oren/r* Smuhs. Soria , 9.° de linca =1 enicntc , D 1c nací o V: ñcd alféreces , D. Nicolás de El comandante genera! de Asturias avisa con la misma fecha hallarse aquel ll Fax, herido . v D. Jo-*e Antonio luri rt: D. Manuel Espad…</t>
  </si>
  <si>
    <t>Despau, Mr</t>
  </si>
  <si>
    <t>Mr Despau</t>
  </si>
  <si>
    <t>…ausar grave inquietud á El 2 del corriente se dirigía la columna del general Latre á Mondragon las personas que tenian á su bordo parientes ó amigos. para conducir á Vitoria todo el armamento que había en Vizcaya. "El Coureur, su comandante Mr. Despau, teniente de navio, salió de Argel'el 10 de Octubre último con rumbo i Bona, llevando i su bordo los miembros del tribunal y del colegio de abogados de esta ciudad. Habiendo Capitanía general de los reinos de Valencia y Murcía~=Plana mayoría llegado á Bona el 13 por la mañana, dió la vela el Coureu…</t>
  </si>
  <si>
    <t>Después</t>
  </si>
  <si>
    <t>…gún la faóU— Capitanía general de Castilla la Nueva.naF.xcmo. Sr.: El comandante ge-, dad que había para auxiliarles con medicinas y facultativos. neral de la Mancha con fecha 26 de Octubre corriente me dice lo que copio: «Excmo. Sr.: Después de seis días de continuas martíhas y fatigas por fragosas sierras en persecución de la facción, que en número de loü infantes y 3u ca- PROVINGIA CE SALAMANCA. Bailos'capitaneaba el cabecilla llamado el Junco, llegué el día 24 a Puértollano con mi columna, compuesta de 150 infantes del provincial de Có…</t>
  </si>
  <si>
    <t>…vincia de Córdoba con fecha 27 de Abril irma D. Matías Blasco, piira que se alejasen fuera del alcance de Las piezas. último dice lo siguiente: Puestos ya en completa retirada mandé que los cargasen, en ia paite que el ter K.;mo. Sr.: Después del parte que dirigí á V. E. en 24 del actual he re reno Jo permitía por nuestra izquierda, 2u caballos de cazadores de la Guardia cibido varios avisos oficiales relativos á los movimiento* v operaciones de la Real, al mando del teniente D. Fernando Hermosa, sostenidos por oiro pi facción del cabecilla…</t>
  </si>
  <si>
    <t>…motivadas se y completarse con la rapidez necesaria, si la presencia , el ejemplo y la acti- solo por la distancia, y no por la diversidad de opiniones. v^dad.incansable de V. M. L no hubiesen dado e! impulso forzoso á esta gran «Señor: Después de haher terminado el cuadro de Ja época memorable de obra, á cual se debió la salvación de la patria. Desde aquellas líneas, y en que nos hallamos, indica V. M. I. á las Cortes reunidas los dos grandes ob desde los gloriosos baluartes de la Serra del Pilar y del Castillo de la Foz xió jetos que recla…</t>
  </si>
  <si>
    <t>…l parte siguiente del brigadier Espartero, coman dándoles empinar tlas -facultades que les concede sy. elevado ministerio f dante general de U provincia de Vizcaya. ' contener lA excesos de áígúnos de s*a respectivo* . . . Excmo. Sr.’. Después de haber perseguido sin descanso por muchos dias á publicando, para que sirva de ejemplo, la fidelidad y esmero con que el j la facción de Vizcaya, logré arrojarla de esta provincia, y á esta hora-que son vicario- general del orden de S. Francisco coopera i la sincera reunión de to- I i las.cuatro-de…</t>
  </si>
  <si>
    <t>…tenidos en la adjunta relación, que son los que tuvieron mas parte siguiente: «Capitanía general del ejército y prin^ipadó de Cataluña : Ex proporción de distinguirse. Ei teniente D. Martin Pardo con los fusiie-os pro celentísimo Señor: Después que el cabecilla canónigo 1 ristani, á. consecuencia visionales de Alcañiz y partida de segundad pública tiene ei sentimiento de de las disposiciones que yo habia adoptado ¿ fue batido y dispersado en la iz no haber podido llegar a tomar parle mas activa en la acción, a pe*ar de m.s quierda del Llo…</t>
  </si>
  <si>
    <t>…l cio en Londres quiénes serian los sucesores del duque de Richmond , del lord general de Muez con fecha 26 de Mayo dice á este ministerio lo siguiente: Ripon, de sir James Graham y de M. Stanley. (Diario de los Debates.') Excmo. Sr.: Después de mi última comunicación á V. E., fecha 23 del actual, señalada con el número 1S4&gt; salí de Estella el siguiente día 24 por la ca’kasA Di-, los diputados._.Concluye la sesión del día 14 de Mayo, mañana con la columna del brigadier Linares y la brigada de reserva para ata car , si me era posible, á los…</t>
  </si>
  <si>
    <t>…bido la siguiente comunicación del presi 6 6 años de edad , y por el estado de la madera se infiere que debió ser cortado dente de la república boliviana. cuando tenia 3ü años.'Hace, pues, mas de 24 que aquel pedazo de leña encer Señor: "Después que ios Estados americanos obtuvieron su independen?» raba un tesoro tan precioso, y que lo seria mucho mas si el diamante no pre cía por medio de grandes sacrificios, U primera y mas urgente de sus necesi sentara un ligero viso amarillo que disminuye su valor. dades era la de pensar en una nueva o…</t>
  </si>
  <si>
    <t>…rtelar la tropa, tener Ja mayor parte de di ,cia el capitán general de Castilla la Vieja en »su anterior oficio.=CoIum- chos fusiles, á fin de que no esten repartidos y sirva de apoyo á la gente a ron m móvil de ValUdolid.=Excmo- Sr.: Después del paTte que dirigí á V. E. da organizándoU en compañías. en la mañana de ayer desde Cerrato, en cuyo punto no encontramos no La situación de este valle contiguo á Vizcaya, y paso para las Merindadei vedad alguna á pesar de las noticias que se adquirieron en Olmos de Esgue- hace muy importante su ocup…</t>
  </si>
  <si>
    <t>…docia la primera mitad ,-y cl porta D. Valerio Calvo, que di El mismo capitán general con la del 13 dice i este ministerio Jo siérrente: rigía ta otra^ como lefc valientes xargéiítba'ülUtt y moldados que tuvieron la glo «•Exento. Sr.: Después de la dispersión que experimentó la facción de Cuevi las ria de hálUrse cn esía brillante jornada , de .quienes oo me atrevo á hacer dts- y D Basilio en Jmies, eontranrta’ chó con uno. 209 hombres de caballería 4 intÍpciorrr pues ségUri el parte del coronel Óbregon , ie esmeraron í porfia. ’ Íanteríi, y…</t>
  </si>
  <si>
    <t>…FICIO. Portel recibido! en Jai secretaría! de Sitado y de Guerra. general, ha mostrado en el dia 31 último buena disposición, conocimientos, y la serenidad propia de la nación á que pertenece, igualmente que el capitán de Exento» Sr.: Después de haber quedado en la Borunda y ralle Araquil navio que le acompaña. = - la vanguardia de este ejército á las órdenes del Sr. brigadier D. Francisco de El Sr. coronel D-Manuel Guerra, mis ayudantes de campo, el teniente Paula Jugueras, extendí mis operaciones í toda la amplitud que dieron de sí coron…</t>
  </si>
  <si>
    <t>…s consiguientes.” Estado y del Despacho de la Guerra. Lo que traslado á V. E. para su superior conocimiento, y que se sirva ha- I cerlo presente á S. M. la Reina Gobernadora. I Ejército de operaciones del norte de España.erExcmo. Sr.: Después de ha- Dios guarde á V. E. muchos años. Albolote 12 de Febrero de 1834-= I ! ber dado parte ¿ V. E. con fecha 10 del corriente de todas las operaciones eje- Excmo. Sr.=El príncipe de Anglona.=Excmo. Sr. Secretario de Estado y del | | culadas desde el 15 de Enero que salí de Vitoria hasta mi llegada á…</t>
  </si>
  <si>
    <t>…, excitareis las pasiones, y sufriré®0» turbulencias.* nera upa legua hasta Escoriara, en que cesó el fuego , y i lo que no contribu {Aprobación teñera}.) * yó poco la llegada i esta villa del capitán del Real cuerpo de rapadores Don Después de indicar el orador qne para alterar la organización religiosa se Juan isla, que con una compañía de su arma acudió á mi socorro de la preci necesita que primero se ponga el gobierno de acuerdo con la corte de Roma, tada villa de Arechavaleta. dice que ignora el resultado de las negociaciones entabla…</t>
  </si>
  <si>
    <t>…antiguo estado. nEl célebre geólogo Dubois ha vuelto aquí hace algunos días de su viage En 182d no vimos mas que una .caricatura de libertad ; hablábase de reformas ÍCáucasp,Sebastopolemprendidoá la costa, dede ordenA¡bchasi.del Emperador.Después de haberEl veranoseguidopasadola costafue poren marto soloque convienepor ironía.consolidarla¡Qué podíaconhacerse!la ilustración,Ahora quetodavíala* libertadnó haes habidouna coas,el real,t¡cu&gt;--y da su extensión, desde Gélinjiclc hasta Poti y el fuerte de S. J'Jicolas, y.haber po necesario.juna, obra…</t>
  </si>
  <si>
    <t>…nes y se civilizan los pueblos: que siguiendo este siste línea desfilaron por delante de S. M. con el mayor órden y con los gritos re ma se habría afianzado á poca costa el dominio y la prosperidad de Argel sin petidos de viva el Rey. Después de la revista, favorecida con un hermoso mancillar, como se ha hecho, el honor y la dignidad de Francia. «Insisto, aña tiempo, entró el Rey en su carruaje para volver á Paris. de, en oponerme á que se concedan fondos para la colonización de Argel, por S. M. se hallaba de vuelta en las Tuberías á las tres…</t>
  </si>
  <si>
    <t>…con- fe tnente, hacíendpjejservir de instrumento para conseguirjotras miras!, ____! „ cha 14 del actual desde Munguia me dice lo siguiente: Excelen El mariscal Soult, tan señalado durante el imperio por sus hazañas, -había tísimo Sr.: Después de fres dias de penosísimas marchas en que 'perdido parte de sus apasionados, de jesuítas de cierta especie de aislamiento en de nuevo ha acreditado esta tropa su constancia en los padecimien que se manteniáfeanrtque sotó al parecer, en su empleqifle ministro Quena. tos, supe ayer noche que Zavala con…</t>
  </si>
  <si>
    <t>…o un. iht^es i¿sp&lt;^to D. jSários de A riza para Tama; á 1). Fernando Escudero y Rubio de resultas de lo que,en ella fia.manifestado el minisjíb;'de GueÍ!ya--.7—r fíy'j nara Puente de Urae; £ TX Francisco Pantoja para Redondela; á Don Después de haber hecho presente los gastos^que.-en elfmés dy ^ttforfilni Lóferrib CÓlKf’dfc- fferas f Bezuda para Ordenes; á D. Pedro Ro causado el envío dé tropas al Luiémbúrgo, la íríovtttzacioh Je"una parle ae las dríguez para Fonsagrada; á D. José Dionisio de Aspe para Nogales; guarniciones, y el aumento…</t>
  </si>
  <si>
    <t>…de U hecha aquella declaración por el Presidente, seta nulo y de nin Besar.ihia, se embarcó el K de este mes á bunio del yachr Krrw.ij.t, con el gún valor ni efecto. mariscal Marmont y el general cunde Wet, para pasar á Crimea Hl mariscal Después de destejada completamente la tribuni del público, po M.irmont , ames de embarcarse , quisu violar el establecimiento de señoritas drá continuar la discusión, si el Presidente lo pi/gt oportuno. nuble). Art. i4ó. No jxslr.i celebrarse sesión algo na después de anoche Ha II c¿ado un número considerable…</t>
  </si>
  <si>
    <t>…ación española se admita hasta la deuda del una persona de este modo? Ha dicho también que no existía la ley recopilada, empréstito de Guebhard.” que estaba sustraída de los códigos, y que cómo la habian.de saber los extraoEl Sr. Caballero : «Después que 40 Sres. Procuradores han hablado sobre geros.si había muchos nacionales que la ignoraban. Esta ignorancia podría valer esta importante cuestión, no molestaré al Estamento, ni me detendré en repro ha&gt;ta el año 8 ó 9; pero no desde que en las Córtes del año 12, en las del 20* ducir las razones q…</t>
  </si>
  <si>
    <t>…mento en lo esencial de él, y la conformidad que tiene con las miras del Go mo Procurador de la Nación me honro de hacer pirte de este Estamento.” bierno; pero una petición del Estamento no tiene el carácter de un proyecto El Sr- Caballero: « Después que varios Sres. Procuradores han ilustrado de ley. Si el Estamento aprueba la totalidad de la petición, debe pasarla al esta cuestión de tal manera que no puede quedar ia menor duda sobre el ori Gobierno; y este , conformándose ó no con la petición , propondrá sobre ella gen falso é injusto, y la…</t>
  </si>
  <si>
    <t>…e ha de discordia que en las presentes circunstancias agitan el Oriente. Las Poten dejado para mas adelante, por haberse roto el tubo al.segundo ó tercer tiro. cias tienen un ínteres común en prevenir un rompimiento entre el gran Señor Después de algunas pruebas comparativas, sobre los efectos del fúsil de in y el Bajá, aunque debemos confesar que su intervención no producirá sino fantería ordinario, y de un nuevo modelo de fusil acar abinado, ha empezado una tregua momentánea, i No hubiera sido mas prudente y político en los ga sus ejercic…</t>
  </si>
  <si>
    <t>Después, Medrana'</t>
  </si>
  <si>
    <t>Medrana' Después</t>
  </si>
  <si>
    <t>…en igualdad de circunstancias que los individuos de las -en favor de su opinión, no tiene inconveniente en que se apruebe este artículo demas clases.” tal como lo ha redactado la comisión, con unas muy ligeras modificaciones. El Sr. Medrana'. «Después de las observaciones que ha hecho el Sr. Se n En las clases que se dispensan del alistamiento cree el Gobierno que en cretario del Despacho de lo Interior, y que han sido adoptadas por la comi el artículo debieran añadirse los maestros de escuelas públicas encargados de la sión, aun me quedan que hacer al…</t>
  </si>
  <si>
    <t>Después, Presidente</t>
  </si>
  <si>
    <t>Presidente Después</t>
  </si>
  <si>
    <t>…r que ebart. 3.° y los demas que se derivan de él pasasen to El Sr. Polo y Afonge. « Confieso francamente que yo encuentro contra dos á la comisión.. v dicciones muy manifiestas entre lo qne se ha dicho anteriormente cuando se El Sr. Presidente. «Después de votarse el artículo, do dudo que algún ba tratado del reconocimiento del empréstito de Guebhard, y lo que ahora Sr. Procurador hará esta proposición , y el Estamento resolverá en su vista.” se nos aouncia por el Gobierno. Entonces se dijo que ascendería á poco mas Hab.éndose procedido á la votación…</t>
  </si>
  <si>
    <t>Después, Presidente'</t>
  </si>
  <si>
    <t>Presidente' Después</t>
  </si>
  <si>
    <t>…n sus tareas con también el Sr. Ministro de Hacienda con gran solicitud qué este empré-&gt;iita de los restantes individuos, pues que forman la mayoría. Gucbhard debía ser la primera vi.tima. La víctima en este caso es el pueb:o 4?i Sr. Presidente'. *&gt;Después de haberse constituido el Estamento dejan español: el pueblo español, que después de haber sido inradido, humillado, do 1a forma de ¡untas preparatorias, la mesa tiene la facultad de nombrar las robado , se quiere hacer ahora que premie á los mismos que le han puesto comisiones; y si la de Poderes, sa…</t>
  </si>
  <si>
    <t>Después, Ra</t>
  </si>
  <si>
    <t>Ra Después</t>
  </si>
  <si>
    <t>…arte, y disminuir de un modo considerable los ro rotada y dispersa en dicho día en Arbeteta por 2U Milicianos urbanos de in bos que meses anterior» se cometieron.fantería de Castejon y Valdeolivas á las órdenes de sus comandantes D. Ra Después de haber adoptado innumerables medidas de protección á favor de món Exido, capitán con grado de teniente coronel, procedente del provincial «tos establecimientos, llegué á convencerme de que no se llenarían en un todo de esta capital, y D. Bernardo Romero , capitán retirado en Valdeolivas, sin los des…</t>
  </si>
  <si>
    <t>Desroys</t>
  </si>
  <si>
    <t>…nlerécieron mi . / »meaaum&amp;j&amp;ftáa. í@. as¡tt|r/F* ahora i la» - loor y cmdiáf agradecimiento. - lesiones de la Cámara. ' _ ». ú M, ,st 1 j " ■■■■■: ^ adín Turi»»ó acontecimiento vino á cubrir de luto la nacioh y á alterar la El. conde Desroys ', en nombre de la comisión cncaigada. de' fcgáminar toa. pzÍU*ef*Ldeyétaa. gábias providencias. La fatal enfermedad que acometió á mi documentos presentados porMt. Gasparin, manifiesta que .estándar aiyegfaricrs augusto y »mádó;Éadre, yqueen pocos dias.puso término á su gloriosa vida, dichos docum…</t>
  </si>
  <si>
    <t>Dessy, Bernardo</t>
  </si>
  <si>
    <t>Bernardo Dessy</t>
  </si>
  <si>
    <t>…ado parte al gobernador de Cretas habia “'L* qüstída-'ifet'^iiAln 5 72 - 7 25pmHn'tíéf pasbMÍelcabáoilla TortMt' cOO Orto* 100 facciosos, y á las dos. ho- 26 &lt;S3 2 &lt;59 T7 ■- '*2 ' - tataHlféeantaiMM lqaindlnninas de-Tahuenca y de D. Bernardo -Dessy, y la del - c6ftjast(dtfhlfóbr^ipfeto&lt;dcl! QA do líriéSi-laacuales puestas- en combinación-se: dirigieron en el mismo día 29 á ptxse^úiná- algunas 'partidas • de rebeldes: quevagaban por aquel distrito. __ _ _ ____ «olea -va cotifaLClOíco-Catizaeion de hoy -4 Ide tree "de la tdrdai, m TMháwsíyiMlsá…</t>
  </si>
  <si>
    <t>…los suyos hacia Montalban, adonde iba en su seguimiento el coronel del provincial de Ciudad Real. En la 1.a terna................................ limo. Sr. D. Marcelino de la Torre. EL infatigable oficial de carabineros de costas D. Bernardo Dessy alcanzó En la 2.a................................................. Sr. D. Justo José Banqucri. en Mazaleon la gavilla de Jelcz , la deshizo, cogió fusiles y otros efectos, y En la 3.a.................................................. Sr. D. Manuel de la Torre y RaurL mató 7 facciosos. Eh la 4.a....…</t>
  </si>
  <si>
    <t>Deuda</t>
  </si>
  <si>
    <t>…l.voL , ciosos , y que se publique en la Gaceta este rasgo de valor y decisión. (Idl) Vales Reales no consolidados, 19# al contado: 19, i, 20, $ á varias fs. ó vol. Reales decretos admitiendo la dimisión que ha hecho det cargo de Secretario Deuda negociable de 5 p. 100 á papel, 00. de Estado y del Despacho de Hacienda D. José Imáz. (Núm. 122.) Id. sin ínteres* y 12 á varias f«. ó vol.: 12| á 40 d. f. ó vol. á prima de •$ p. 100. Acciones del banco español, 00. nombrando en su lugar al conde de Toreno. (Id.) ___ elevando á D. José Imáz á la…</t>
  </si>
  <si>
    <t>Deuda, Ramón MaríaGodoy Asimismo</t>
  </si>
  <si>
    <t>Ramón MaríaGodoy Asimismo Deuda</t>
  </si>
  <si>
    <t>…■Inscripcionesal portadoren el grandel 4 librop. 100,á.4 p. á100,14 d.00.f. ó roí. D. Antonio María Montenegro, coronel del provincial de Pontevedra; censor Vales Reales no consolidados, 00. i D. José Ventura Regó, y secretario í D. Ramón MaríaGodoy. Asimismo Deuda negociable de í p^JOO k papel, 00, U nombrado presidente de la diputación permanente en esta corte al Excelen Id. sin Interes. 12 al contado: 124 y 13 á varias fie. rol. -sr firme-, 124 y MI eaelas f. o.toI., a prima de 4 p. 10Q. J tísimo Sr. D. Manuel Fernandez Vareta, comisario general déla Santa…</t>
  </si>
  <si>
    <t>Deuman</t>
  </si>
  <si>
    <t>…to que no se hace proposición, nada hay que poner á votación.” (Silencio.) __E1 conde Spencer debe entregar hoy los selles, y según las precedentes Mr. Etienne: «La Cámara ha contestado ya con franqueza y lealtad en ¿Oposiciones, lord Deuman, gefede la Justicia, será canciller del Echiquier. la respuesta que dió al discurso del trono; deseo saber si los Sres. Secretarios Zn. 1721 sir John Pratt; sir Wiíliam Lee en 1754; en 1757 lord Mansfield, del Despacho adoptan ó no los principios que en dicha respuesta se bán mani y «1 mismo en 175…</t>
  </si>
  <si>
    <t>Devaux</t>
  </si>
  <si>
    <t>…I han sido conducidos á esta ciudad, y están custodiado» en la cárcel pública. 1 D&amp;H.^Stsion del dta 18. Perseguidos por las valientes tropas de la Reina de España no les quedó mas Aprobada el acta de la antieriar sesión, diesel Sr. Devaux que en íos có ' recurso que refugiarse á este remo, evitando así el castigo merecido por sus crí- digos de Alemania, de muchos cantones suizos, de Toscana, ae Parma, de I menes. El prefecto ha asegurado que serán conducidos al interior , escoltados Módena, de Sicilia y de Bélgica, no se conoce la p…</t>
  </si>
  <si>
    <t>…ume en sí toda clase de autoridad. De ello resulta el El Sr. Realier-Dumas observa que la legislación actual no permite que se habers£ multiplicado tan prodigiosamente las jurisdicciones con menoscabo de acceda á la propuesta del Sr. Devaux; añadiendo que seria muy chocante abo los derechos municipales, fundamento de la libertad civil, y el verse casi dclir ahora una pena que la Cámara aprobó poco ha. Desvanece el S.r Devaux sieg$a una provincia tan favorecida de la naturaleza. El subdelegado dice que alguna de las:objeciones del preo…</t>
  </si>
  <si>
    <t>Dialadineta, Félix Antonio Barrueta y Juan Bautista</t>
  </si>
  <si>
    <t>Félix Antonio Barrueta y Juan Bautista Dialadineta</t>
  </si>
  <si>
    <t>…Cataluña anuncia ya la ejecución de una parte de lo convenido Juan Bautista Arana, cx-coronel, D. Martin Andinagoitia, presbítero, Don últimamente; y se dice que en caso de que se necesitase una intervención mas Tomas Cortesana, D. Félix Antonio Barrueta y Juan Bautista Dialadineta; activa se verificaría por naedio del Portugal. habiéndose conducido los restantes presos ¿Santander, de donde pasarán á Ceu El príncipe de Talleyrand ha recibido un gran número de visitas de em ta á cumplir en aquel presidio los 10 años de su condena, según la Real ór bajadores, ministros, empicad…</t>
  </si>
  <si>
    <t>Diario</t>
  </si>
  <si>
    <t>…adn, y no disimular en nada la veidad del hecho.- Nos aseguran que este nombramiento decidido en el Consejo de ministros Eltcrd erncill/r: ¡V. mismo escribió el artículo, ó lo recibió V. de otro! no espéra ya mas que la firma del,Rey. (Diario de loe Debates.) &lt; M. B (tlertfone Yo no creo, milord, deber contestar á e.ta pregunta:-todo ]e que puedo decir es que yo me confieso responsable de todos los artículos in - — -Se decidió el 30 de Junio que el conde de Oysonville, capitán de navio, sertados en el Moming-Post. tomaría el mando de la fr…</t>
  </si>
  <si>
    <t>Diario, P Mateo de Ñor</t>
  </si>
  <si>
    <t>P Mateo de Ñor Diario</t>
  </si>
  <si>
    <t>…latinidad. ----- No habiéndose podido celebrar ¿n 27 de Abril último la junta general d* acree Ha prevenido á lós pueblos que llegan i 200 vecino:/que se suscriban al doras de la extinguida compañía de paños por indisposición del Sr. P. Mateo de Ñor— Diario de la administración. , , zagaray * teniente corregidor da esta M. H. villa, en cuyo juzgada penden los autos del concurso' de dicha compañía por la escribanía del número de D. Mariano Fernan Se ha instalado la Real sociedad económica en dicha ciudad , nombrándose dez del Canto»! te'ha vuelto á señalar p…</t>
  </si>
  <si>
    <t>Díaz</t>
  </si>
  <si>
    <t>…cazadores de Laredo, Obrar que re hallan de venta en el despacho de la imprenta Real. qué se hallaba en Briviesca, y 25 caballos del 5.° de ligeros al Reglamento aprobado por el Rey nuestro Sefior D. Fernando vn mando del bizarro teniente Díaz, saliesen k su encuentro por Poza para el restablecimiento, dirección y gobierno de los seis colegios ma al Páramo de Villalta con orden de destruirlos, ya intenten su yores de S. Bartolomé, Cuenca, Oviedo y el Arzobispo, en Salamanca, de Sta. Cruz, en Valladolid, y de S. Ildefonso , en Alcalá de H…</t>
  </si>
  <si>
    <t>Díaz, D Joaquín</t>
  </si>
  <si>
    <t>D Joaquín Díaz</t>
  </si>
  <si>
    <t>…, y de la mando, á las órdenes del coronel D. Leoncio de la Barcena y te misma graduación el subteniente D. Ramón Dáviia, de la 1.* de niente coronel D. Miguel Cosío, dirigiéndome al pueblo de Bó Borbon, se portaron con valor. El capitán D. Joaquín Díaz de veda con la primera de ellas mientras el comandante Cosío pasaba Rabayo, de la 4-1 del J.° del mismo cuerpo, y el teniente gradua á Sanzadornil con la segunda. Este gefe me avisó desde S. Mrllan do de capitán D. Francisco Villaba , han conducido la tropa coa que Basilio habia salido á las doce haci…</t>
  </si>
  <si>
    <t>Díaz, D Joaquín González</t>
  </si>
  <si>
    <t>D Joaquín González Díaz</t>
  </si>
  <si>
    <t>…exponer con roas acierto que yo.” chalar, Procurador electo por la provincia de Navarra, juntamente con los do El Sr. conde de ¡as Navas: «Precisamente el objeto de la cuestión que cumentos correspondientes, y una exposición del Sr. D. Joaquín González Díaz, hoy ocupa al Estamento, hace mas de seis ó siete meses nos ocupa en sentido que lo es por la de Soria, manifestando carecer de la aptitud legal para desem contrarío á los Procuradores de Córdoba; es decir, el formar una petición en peñar este cargo. sentido inverso de la que se discute parj alivia…</t>
  </si>
  <si>
    <t>Díaz, Janntctm Jpb</t>
  </si>
  <si>
    <t>Janntctm Jpb Díaz</t>
  </si>
  <si>
    <t>…tina , escrita por el escfattccádo; na, y del&lt; Príncipe Alberto. ¡ ' cuanto^rudito Dr. D. José Agustín Caballero r . - Por la noche asistió toda la corte al baile de suscripción; el Emperador ¡pmPer-mtHentrm lU¿ttrisimnm§mt IX 0. D. Janntctm Jpb. Díaz. iba vestido efe paisano, sin otro distintivo mas que/una decoración c* el fita £ epoda et Randa , bujnt Habemensis Peeieiiapraeupm eolnuHediamm.' Qmtú%tmfdd*UtteTárton,ortium omninm ,'wfw. eimi^uetapitiHiee strennus Par una Orden animada fi muchoa geoaralaa, comanda «a» de ¿matan. ■ / /</t>
  </si>
  <si>
    <t>Díaz, Joaquín</t>
  </si>
  <si>
    <t>Joaquín Díaz</t>
  </si>
  <si>
    <t>…a mando, á las órdenes del coronel D. Leoncio de la Barcena y te misma graduación el subteniente D. Ramón Dáviia, de la 1.* de niente coronel D. Miguel Cosío, dirigiéndome al pueblo de Bó Borbon, se portaron con valor. El capitán D. Joaquín Díaz de veda con la primera de ellas mientras el comandante Cosío pasaba Rabayo, de la 4-1 del J.° del mismo cuerpo, y el teniente gradua á Sanzadornil con la segunda. Este gefe me avisó desde S. Mrllan do de capitán D. Francisco Villaba , han conducido la tropa coa que Basilio habia salido á las doce haci…</t>
  </si>
  <si>
    <t>Díaz, Joaquín González</t>
  </si>
  <si>
    <t>Joaquín González Díaz</t>
  </si>
  <si>
    <t>…oner con roas acierto que yo.” chalar, Procurador electo por la provincia de Navarra, juntamente con los do El Sr. conde de ¡as Navas: «Precisamente el objeto de la cuestión que cumentos correspondientes, y una exposición del Sr. D. Joaquín González Díaz, hoy ocupa al Estamento, hace mas de seis ó siete meses nos ocupa en sentido que lo es por la de Soria, manifestando carecer de la aptitud legal para desem contrarío á los Procuradores de Córdoba; es decir, el formar una petición en peñar este cargo. sentido inverso de la que se discute parj alivia…</t>
  </si>
  <si>
    <t>Díaz, Juan</t>
  </si>
  <si>
    <t>Juan Díaz</t>
  </si>
  <si>
    <t>…ue al tercer dia les hizo abandonar aquella provincia, cogiéndoles 9 hom la partida de 22 caballos al mando del rebelde Garviras, que consiguió el te bres y mayor número de caballos. Al entrar nuevamente en Navarra los ene niente D. Juan Díaz en el pueblo deCaladiano, matándole dos hombres y co migos se dirigieron por el valle de Erro a reunirse con Zumalacarregui, a ex- giéndole nueve, entre los cuales se encontró al titulado brigadier Quevedo, cepdon de la caballería y una compañía de guias que creyó poder evitar la exento que fue de…</t>
  </si>
  <si>
    <t>Díaz, Matías</t>
  </si>
  <si>
    <t>Matías Díaz</t>
  </si>
  <si>
    <t>…áticas fueron premiados el alumno de geometría D. Francisco ñaDueñasClara áCaballerofin de que, poren elagregacióntérmino deque30 díasá él hizocomparezcaDoña Teresaen dichoManuelasupremoVázqueztribunalde rDiaz, y el de aritmética D. Matías Díaz. y por ia escribanía de Cámara de Abuin, á deducir el derecho de que se crea asistido. En educación primaria, aunque la sociedad solo habia anunciado en el pro ------ En virtud de providencia del señor alcalde de corté D. Antonio Josef Gallado, grama que manifestaría su aprecio y gratitud al maestro d…</t>
  </si>
  <si>
    <t>Díaz, Ramón Pascual</t>
  </si>
  <si>
    <t>Ramón Pascual Díaz</t>
  </si>
  <si>
    <t>…, i quien poco antes vieron tirar unos papeles, se puso en ANUNCIOS. fuga, y fue hecho prisionero por mí mismo. n En el momento me dirigí á casa de Juan de Garay , y después de un escynpuloso exámcit practicado por el subteniente D. Ramón Pascual Díaz, y Obras que se h*U*n He venta en el Hetpacho He la imprenta Ftai. (««argentos Pablo San Frutos y Francisco Nuevo, se halló escondido al que Bosquejo médico de la Sínochus maligna, ó la fiebre maligna contagiosa que se M titulaba intendente de esta provincia D. Pedro Vicente de Zavala, con el manif…</t>
  </si>
  <si>
    <t>Diaz, Vicente García</t>
  </si>
  <si>
    <t>Vicente García Diaz</t>
  </si>
  <si>
    <t>…Cortes, conforme á lo que se les anunció en Real or En Aranjuez á 2¡J de Mayo de 11154. = A D. Nicolás María Garelly. den de 12 de este mes. 2’ El acto de la promulgación se verificará con todas las Forma lie venido en jubilar á D. Vicente García Diaz y á D. Agustín lidades acostumbradas hasta ahora en la Je las leves del Reino: le Castellanos, ministros de la Real audiencia de Asturias, con sus ho yéndose íntegramente los artículos del Estatuto Rf.al, y' la Convoca nores V sueldo que les corresponda, según clasificación. Tendréislo toria á Cortes…</t>
  </si>
  <si>
    <t>DiBcil</t>
  </si>
  <si>
    <t>…as equivocaciones que dijo haber padecido el los á la censura prévia, y aqui es donde se comete una terrible injusticia con Sr. conde .de Toreno. lo» periódicos. Por la ley de 4 de Enero de 1834 ie declaran libres de censu El Sr. Caballero: «DiBcil y delicada es mi posición tomando ahora la ra las obras que tratan de ciencias naturales, de materias de administración y palabra si he de decir algo de nuevo, después que tamos y tan excelentes ora de economía. \ yo pregunto, ¿por qué á los periodistas-en estas materia* s# dores han manifestado sus…</t>
  </si>
  <si>
    <t>Dice</t>
  </si>
  <si>
    <t>…que sostuve ayer contra los dos batallones rebeldes l.° y 2.° do provincia de valladolid. Guipúzcoa , dos batallones navarros y las tres compañías de guias que acom pañaban al Pietendiente , comunicará V. al Excmo. Sr. comandante general Dice su gobernador civil en oficio de 5 del presente que en Alcazaren, de las provincias Vascongadas, que poco después de amanecer se me presentó Rioseco, Santervas y Villalon causaba todavía el cólera algún estrago; y que toda esta fuerza en posiciones, y adelantó partidas para provocarme á una ac en l…</t>
  </si>
  <si>
    <t>Dice, Arguelles</t>
  </si>
  <si>
    <t>Arguelles Dice</t>
  </si>
  <si>
    <t>…s los que han existido desde el afio 1810, porque no se observaron quien pertenecen5, ¿de quién son propios: ¿quién tiene la propiedad de esta todos los ápices que la comisión se persuade prescribe una ley reglamentaria renta? El Sr. Arguelles. Dice la comisión: «no se sabe si estos individuos Le con carácter de interina. ¿No se teme herir la delicadeza de una provincia pundo ñen esa renta propia." El Sr. Medra no, que acaba de dar esta idea, poha te norosa, representada por los naturales que ofrecen mayores garantías en virtud ner en consideraci…</t>
  </si>
  <si>
    <t>Dice, Schepeieff</t>
  </si>
  <si>
    <t>Schepeieff Dice</t>
  </si>
  <si>
    <t>…actual refiere que el em no por eso ha dejado de haber miseria, no por eso ha dejado de bajador otomano Achmet-bajá llegó á Moscow el 17, y se hos estar á pique de derramarse la sangre francesa: mas ¡qué importa pedó en casa del general Schepeieff. Dice también que la miseria esto á los partidos? Dispuestos están siempre á decir á aquellos á y el hambre mas espantosa reinan en Ucrania, y que el Emperador quienes aconsejan el desorden, lo que Polifemo decía á Ulises: Nía las se esfuerza por todos los medios que están á su alcance en Amigo, te devor…</t>
  </si>
  <si>
    <t>Dicen, Zaragoza L</t>
  </si>
  <si>
    <t>Zaragoza L Dicen</t>
  </si>
  <si>
    <t>…. Id odres á 90 días 374 Bilbao par. Sevilla par. Alguna fuerza de los rebeldes ocupó el camino real, y con este d 4. Cádiz 4 b. Valencia id. á 4 d. motivo ha estado detenido el correo en Requejo tres horas. París 16 1. Corulla j d. Zaragoza ¿ &lt;L Dicen los prisioneros que ios cabecillas son el ex-administrador Descuento de letras á 4 p. roo al a fio. d« correos de Valladolid , Casimiro Wals, ex-oficial de los mis mos; Marcos Terrero y Cárlos Noncriba. ANUNCIOS. . Acaban de llegar algunos soldados de caballería con algunas Cuaderno 9.» del 1Vosco viag…</t>
  </si>
  <si>
    <t>Diciembre, Gaspar de Goicoechca.ccExcmo Sr</t>
  </si>
  <si>
    <t>Gaspar de Goicoechca.ccExcmo Sr Diciembre</t>
  </si>
  <si>
    <t>…tendido disfrazar su verdadera esencia con el colorido do pretensiones políticas que no están á su alcance. Dios &amp;c. To Premios que ofrece la Real sociedad tcontfmica de Valencia para el dia 8 de ledo 10 'de Junio de 1834*—Excmo. Sr.—Gaspar de Goicoechca.ccExcmo. Sr. Diciembre de 1834* primer Secretario del Despacho de Estado. EDUCACIO». Ademas de los premios que distribuye cada cuadrimestre á las niñas po bres de las cinco enseñanzas que tiene dotadas esta Real sociedad, adjudicará Parte recibido en la Secretaría de Estado y del Despacho de la Guerra. los siguientes: Con f…</t>
  </si>
  <si>
    <t>Dictámen, D Lorenzo</t>
  </si>
  <si>
    <t>D Lorenzo Dictámen</t>
  </si>
  <si>
    <t>…u eximen y resolución. Madrid 22 de Diciembre ra que constase. Se mandaron pasar á la comisión de Poderes el testimonio del acta de la de 1834 =TE1 conde de Toreno.” ’ elección de la provincia de Guadalajara que' ha recaído en el Sr. D. Lorenzo . Dictámen de la comisión. Romo y Gamboa; y una exposición del Sr. D. José de Fontemberta, Procu , ' S*&amp; rador por la provincia de Gerona, solicitando se lp admita k dimisión que ■ ..La comisión de Hacienda ha examinado el proyecto de ley que el Se-, hace de dicho cargo por las razones que alega. La comisión de Pod…</t>
  </si>
  <si>
    <t>Dictámen, Lorenzo</t>
  </si>
  <si>
    <t>Lorenzo Dictámen</t>
  </si>
  <si>
    <t>…imen y resolución. Madrid 22 de Diciembre ra que constase. Se mandaron pasar á la comisión de Poderes el testimonio del acta de la de 1834 =TE1 conde de Toreno.” ’ elección de la provincia de Guadalajara que' ha recaído en el Sr. D. Lorenzo . Dictámen de la comisión. Romo y Gamboa; y una exposición del Sr. D. José de Fontemberta, Procu , ' S*&amp; rador por la provincia de Gerona, solicitando se lp admita k dimisión que ■ ..La comisión de Hacienda ha examinado el proyecto de ley que el Se-, hace de dicho cargo por las razones que alega. La comisión de Pod…</t>
  </si>
  <si>
    <t>Diego</t>
  </si>
  <si>
    <t>…tras. ■ Los comisionados se ocuparán inmediatamente después de su llegada á prima ri».. 8. ® Londres en adquirir noticias sobre los libros elementales que se usan en los es Instrucciones que deberán observar D. Angel Villalobos y D. Diego tablecimientos de instrucción primaria en Inglaterra , manifestando los que Leonardo Gallardo, comisionados por S. M. para estudiar en Londres el sis merezcan mas aceptación de los sabios y de los directores y maestros de dichos tema de enseñanza mutua lancasteñana, según se enseña en el día en la…</t>
  </si>
  <si>
    <t>…o de esta clase, juntamente con los Grandes de Espa zobispo de Manila; D. Blas Alvarez de Palma, arzobispo 4e Graz ña á quienes de derecho corresponda, por reunir las condiciones nada; D. Manuel García Herreros, del Consejo Real; D. Diego,Gleprefijas en la citada ley fundamental, á los muy RR. arzobispos, menciri, bibliotecario mayor; D. Manuel José Quintana, secretario RR. obispos, títulos de Castilla y personas elevadas en dignidad é de la interpretación de Lenguas; D. Antonio Cano Manuel, del Con ilustres por sus servicios y mere…</t>
  </si>
  <si>
    <t>Diego, Angel Villalobos y D</t>
  </si>
  <si>
    <t>Angel Villalobos y D Diego</t>
  </si>
  <si>
    <t>…s unas y superar las otras. ■ Los comisionados se ocuparán inmediatamente después de su llegada á prima ri».. 8. ® Londres en adquirir noticias sobre los libros elementales que se usan en los es Instrucciones que deberán observar D. Angel Villalobos y D. Diego tablecimientos de instrucción primaria en Inglaterra , manifestando los que Leonardo Gallardo, comisionados por S. M. para estudiar en Londres el sis merezcan mas aceptación de los sabios y de los directores y maestros de dichos tema de enseñanza mutua lancasteñana, según se enseña en el día en la…</t>
  </si>
  <si>
    <t>Diego, Gerónim Duran y</t>
  </si>
  <si>
    <t>Gerónim Duran y Diego</t>
  </si>
  <si>
    <t>…de está corte por Doña suministra;tes , y de que di conocimiento á V. E. en mi paite del mes ante Jalaría García. rior. bu estado es-dcplorable, y como su progreso dcp&lt;mde. en paite de la do— Id. en S. Ginés id. por Martin Lucas, Doña Gerónim» Duran y Diego tacion de ios maestros , y estos deben estar bien remuneiados para obtenerlos ca Cortavilla. paces de su alto ministerio, parece no podrán conseguirse de pronto estos efec Los herederos del Sr. D. Miguel Antonio Zuaznabar , gefe que fue del tos , si por una parte no se aligera al pueblo de sus^arga…</t>
  </si>
  <si>
    <t>Diego, Juan de la Dehesa y D</t>
  </si>
  <si>
    <t>Juan de la Dehesa y D Diego</t>
  </si>
  <si>
    <t>…iosa la enfermedad, y de que por lo tanto deben pre-^ informe de la comisión, compuesta de los Sres. D. Manuel García Herreros, «verse y defenderse de su entrada. Cuando apareció en Huelva , y mientras se D. José María Calatrava, D. Juan de la Dehesa y D. Diego Villa, y el pro conservó en aquel punto, pareció fácil aislarla; por lo que se aplicaron con ri yecto de ley formado por ia misma. gor las medidas sanitarias por el ministerio anterior al actual; se estableció un Verificada esta lectura, dijo el Sr. Presidente : «En virtud de lo que pre Cordón cerc…</t>
  </si>
  <si>
    <t>Dieta</t>
  </si>
  <si>
    <t>…rt cuatro escribanos Reales como Reyes de armas, los caballeros regidores, prese conserva sus leyes iy su pqlicía; pero que en caso de sedición la autoridad de la didos por el Excmo. Úr. presidente, y en el centro á su derecha el caballero Dieta podrá poner á la ciudad en estado de sitio, ejerciendo entonces el poder alférez Real con el Real pendón, cerrando la comitiva la música del regimien* militar este derecho bajo su propia responsabilidad. Han precedido algunas mo to de Granada y la compañía de granaderos del mismo cuerpo. En este or…</t>
  </si>
  <si>
    <t>Diez</t>
  </si>
  <si>
    <t>…brillante de nuestras relaciones diplo y otros dos han sido condenados por un tribunal militar á la pena de ser fusi máticas, y la seguridad del moteni miento de Ja paz en Europa. En cuanto i lados por haber intentado asesinar al capitán Diez, (i'rm.) mí, no diido afirmar que la paz europea no me parece mas segura ahora que cuando yo dejé el gabinete. Lord Grey no nos ha dicho una palabra de cierta ____ Se han recibido periódicos de Nueva-Yorck. del 18 de Junio, y nb pa promesa que nos hizo el primer día que se presentó á esta Cámara co…</t>
  </si>
  <si>
    <t>Diez, Celestina</t>
  </si>
  <si>
    <t>Celestina Diez</t>
  </si>
  <si>
    <t>…. No, no stsn estas mis doctrinas; sé muy bien que el que hoy se cree de I808 en Madrid, ha cabido en suerte con el primer extracto de la de esto gefe de un partido, suele llegar á ser mañana el último de sus miembros. Siem diá á Doña Celestina Diez, hija de D. Francisco, teniente que fue de lanceros pre seré, lo repito, el hombre de la justicia y de la ley— y si, siguiendo esta de Rioja, muerto en acción de guerra. línea, se me ha unido muchas veces la mayoría, es porque la mayoría ha sim patizado con mi amor al órden y á la legalidad, libre…</t>
  </si>
  <si>
    <t>Diez, Ildefonso</t>
  </si>
  <si>
    <t>Ildefonso Diez</t>
  </si>
  <si>
    <t>…erano, y la confianza de la misma en su» .intencionen aumentaba de día aa dia. (¿Monitor."} provincia db vaibncia. Sr. D. Pedro Fuster. J Sr. D. Juan Subclase. r. D. José Ciscar. | Ír. D Antonio Ayajga, j) Madrid k, dr Julio. Sf. D. Ildefonso Diez dé Rivera» conde dtAlmorÍ0*pi. ttBOCrptt DE PROCURADORES DE¿ REINO. Sé. D. Abdon Ruiz de Carrú». provincia db Suva. ■sovikcia a S. D. Jacinto d« Roñante,</t>
  </si>
  <si>
    <t>Diez, Joaquín</t>
  </si>
  <si>
    <t>Joaquín Diez</t>
  </si>
  <si>
    <t>…rcibirenalgunasel de Moya»cortasyCantidadesfn Valladolldde mra.en jalos1‘breriaherederosde deRodríguezlos seño la táctica de las. tropas: de la fortificación de las plazas, y de un ejército en cam res capellanes de honor difuntas D. Joaquín Diez; D. Pablo Nicolás de S. Pedro. Don po abierto: de lés máquinas;de defender y atacar las plazas, de las máquinas au Joaquín Villanueva, D. Luis Belrrart, D. Vicente Sánchez, D. Basilio Salcedo D Nfc colas.Esrerripa, D. Pedro Obando, D. Mateo Obregon, D. Luis Toledano. D Blas de xiliares para pasar n…</t>
  </si>
  <si>
    <t>Diez, Josef</t>
  </si>
  <si>
    <t>Josef Diez</t>
  </si>
  <si>
    <t>…M. la Reina Doña Isabel ir. El escuadrón maniobrero de Borbon, 5.° de línea, al mando de su dicno coman orador, en estilo sencillo y acomodado á Ja inteligencia de todos, manifestó la dante accidental, el capitán del mismo cuerpo D. Josef Diez, después de haber verdadera doctrina de la religión en las relaciones del hombre como miembro hecho desaparecer por medio de cargas á los 200 caballos de los rebeldes , para de la Iglesia y del Estado con respecto á la autoridad soberana. En el primer observar los dos puntos 4el ataque, que dio pri…</t>
  </si>
  <si>
    <t>Diez, Juan</t>
  </si>
  <si>
    <t>Juan Diez</t>
  </si>
  <si>
    <t>…piano sobre an dúo del Esn- Benamejí y Puente Don Gonzalo continuaba la enfermedad que en le di Roma, compuestas y dedicadas á S. M. la Reina Gobernadora por ella se padece, en los términos que resulta de los estados siguientes. D. Juan Diez, vtolin de la Real capilla de S. M., y maestro del Real conservatorio de María Cristina. Se venden en el almacén de músicaEstado sanitario de la villa de Benamejí desde el día 7 al 10 española y extrangera, de la carrera de S. Gerónimo, frente á la So de la fecha. ledad. ......Siete valses para fla…</t>
  </si>
  <si>
    <t>Diez, Ramón Fernandez</t>
  </si>
  <si>
    <t>Ramón Fernandez Diez</t>
  </si>
  <si>
    <t>…pirado miedo tampoco los habitantes de aquella Oiras 4Ut st hallan de venta en ti despacho dt la imprenta Real. rola; pero' hemos hecho un viage á las islas de la Sociedad, T hemos recibido la Colección de Poetas castellanos -por D. Ramón Fernandez. Diez y nueve tomos ‘luz dé la hueva religión, por la cual sabemos que Jehovámanda á todos los en 8.° y .un cuaderno fr 133 rs* fama y 153 en rústica. Esta colección esta compuesta da que té adoran que se abstengan del homicidio, y] que Jesucristo quiere que sus los autores y materias siguientes, que se ve…</t>
  </si>
  <si>
    <t>Diez-Marín, Manuel</t>
  </si>
  <si>
    <t>Manuel Diez-Marín</t>
  </si>
  <si>
    <t>…de las fuerzas dé Güefies como las deSodupe, se han conducido este dia con serenidad y han llenado sus deberes; Pueblos. Dias. Enfermos. Curados. Fallecidos. . pero no puedo menosJic recomendar particularmente al táñente coronel Don Manuel Diez-Marín, capitán y'comandante' accidental del provincial de Lo groño , al teniente coronel capitán comandante de la fuerza dél provincial de Morara.,.. . ... 15 de Julio......... 70 17 4 Segovia D* Gregorio de Saravia, al capitán comandante de la de Compostela D. Francisco Moreno, y al teniente coronel I&gt;.…</t>
  </si>
  <si>
    <t>Digo</t>
  </si>
  <si>
    <t>…ribunales el que ridad. Nada sera para sus desgracias y desastres. {Muestras prolon espere de ellos otra cosa que una jurisprudencia casi igual en tod ‘s gadas de .1 probación.) los casos semejantes. La Cámara cierra la discusión general. «Digo en todos los casos semejantes, porque siempre se tra Se procede al nombramiento de seis candidatos para la comi tará de una falta de autorización , cualquiera que sea el carácter sión que deba i uiiar en ia amortización. Por rebultado del primer de la asociación. Si los tribunales usan de poco rigo…</t>
  </si>
  <si>
    <t>Digo, Seoane</t>
  </si>
  <si>
    <t>Seoane Digo</t>
  </si>
  <si>
    <t>…los del Sr. D. Rafael Caba no se sabe si tiene las calidades necesarias para ser Procurador, está en el Cj¡»o ñil le*, electo Procurador por la provincia de Ciudad Real, y ios documentos de hacer la renuncia que ha prcseütado el Sr. Seoane. Digo e»to para la mayor justificativos de su aptitud legal. claridad.” i La'comisión de Poderes dió cuenta de su dictamen en que manifestaba El Sr. Presidente: «Para no alargar esta discusión y aprovechar el tiem que habiendo visto la exposición del coronel D. Antonio'Seoane , electo Pro- po que necesitam…</t>
  </si>
  <si>
    <t>Dije</t>
  </si>
  <si>
    <t>…roducido la disper sión de las fuerzas de Zavala y Latorre, cuyos restos fueron batidos por el coronel Amor," según aparece del siguiente parte de este gefe al expresado general. «Ejército de operaciones.^Columna volante.— Excmo. Sr..- Dije á V. E. en mi parte anterior que seguiría la marcha en persecución de la facción de los cabecillas Zavala, Latorre y demas, visto el entusiasmo y disposición de la tropa, no obstante la penosa marcha que había hecho batiendo las montañas hasta la llegada á Durango. «A las cuatro de la mañana salí d…</t>
  </si>
  <si>
    <t>Dimcaunon</t>
  </si>
  <si>
    <t>petiódícos; y después de haber remitido cuatro al lord Dimcaunon, tt dirigí rá tfa gran impulso, Aumentándose en todas las provincias los medios de circuí , ahora á lord Durham. O’Coivnell, dice el ¿Times, te olvida casi sleaipre de laciOn"í¡n los fünestps obstáculos que suícita la usura. , * ^ hablar de Inglaterra, pero en cambio habla mucho de Irlanda. Solicit…</t>
  </si>
  <si>
    <t>Dimecq</t>
  </si>
  <si>
    <t>…El Sr. Domecq como individuo de la comisión leyó su voto particular, nerles. Por todas estas razones soy de-op*níoa de -que se -debe admitir «i voto reducido á que debían aprobarse los~podcrés 7 documentos de la aptitud legal del Sr. Dimecq, 7 desechar el dictámen de la comisión.* del Sr. D. Antonio Alcalá Galiano, sin perjuicio de que para lo sucesivo El Sr. Medrano: «Respecto á que ha manifestado S. S. que en la ley acordase el Estamento las reglas que creyese oportunas. de elecciones no hay una sola palabra que indique que para ser…</t>
  </si>
  <si>
    <t>Dio, José Benito Español y D José</t>
  </si>
  <si>
    <t>José Benito Español y D José Dio</t>
  </si>
  <si>
    <t>…de la Real fábrica de cigarros de la Pallosa que da ocupa bolsa db comercio.^Cotización di hoy á lajera dt la tarde. ción á 29 mugeres, las cuales ganan desde 4 á 10 rs. diarios; de la de vidrio perteneciente á D. Manuel Noriega, D. José Benito Español y D. José Dio SVSCTOS PUBLICOS. nisio Leal, que mantiene mas de SOÓ personas, y de las de cordelería de Don Inscripciones en el gran libro $ S P- 100,00, 58 al contado. Pedro Marzal y D. José Ramón Santos, hay otras de curtidos, sombreros , ja Títulos al portador del 5 p. 100, 60$ y $, á varías fs. ó vol.: 60J y…</t>
  </si>
  <si>
    <t>Dionisio</t>
  </si>
  <si>
    <t>…2h de Noviembre de 1833.=Señora.rzA L. R. P. de V. R. M.= Dios guarde la importante vida de V. E. dilatados años. Gerona 1S de Juan Víctor Navarro. =Josef Vázquez Franco, decano. = Francisco Fernandez Dic;e:nbre de l833.=:Excmo. Sr.—Dionisio, obispo de Gerona.= Excmo. Se López, notaóo.=Joaquin Montc-&gt;oro.=:Ki:scbin Manuej de £enavides.=Joaquw ñor Ministro de Gracia y Justicia D. Juan Guaiberto González. Va/quez.= Anselmo V iilanueva.re Mariano Martine/.= M iríano Ruíz de Molina.=Pedro Martiaez.=cManano García Bermejo , secretario. Excm…</t>
  </si>
  <si>
    <t>…casa nueva que lomé Amor, comandante general de ambas Riojas, que le hace muy acreedor servia de almacén, casa de molino de pilar café, gallinero, chiquero y algu— á las bondades de S. Mrv-ast- e£uw3^T^s"1S5ientc5 qué recomienda D. Dionisio ^tes-olios 1 auchos, todo esto se convirtió en pequeños fragmentos dispersados Argüe i les x del-L° de 4-ieems , yD. Vicente Salvador, de húsares. Dios en todas direcciones: asimismo destruyó un colmenar de mas de 2óU cajas. Cuartel general de Burgos 13 de Octubre de ltí34=Excmo- Sr.=Jose Manso. Es…</t>
  </si>
  <si>
    <t>…aquella parte de la- de 1808 en Madrid , ha cabido en suerte con el primer extracto de la de esta precitada provincia, en la cual pretendía rehacerse de la derrota que habla ex dia á Doña Marta del Pilar Fraile, hija del patriota D. Dionisio, muerto en perimentado en Vizcaya: concluye diciendo que Arroyo co°ntinuaba su sistema al campo del honor. da rapiña. _______ SOLIA D8 ooJtBacio. Cotización dt hoy á las tres dt la tardt¡ En el ministerio de lo Interior se ha recibido hoy el parte siguiente del profesor de medicina D. Pedro María R…</t>
  </si>
  <si>
    <t>Dios, Antonio Ma</t>
  </si>
  <si>
    <t>Antonio Ma Dios</t>
  </si>
  <si>
    <t>…puros ysm.er s, \ en toda c.li se Gobernadora en nombre de su augusta Hija la Reina Doña Isabel ii, for la-mas completa salud v prosperidad en todos a., ramo, de r¡q..e/i. mar una junta compuesta de D. Higinio García Burunda, de D. Antonio Ma Dios guarde a V. E. mucE &gt;s afv &gt;s. Puerto- R ico 1 4 ce N’ &gt;v i = :iv ;e de ría Seijas, de D. Manuel Gutiérrez, intendente de provincia, vocales de la Excmo. ¿&gt;r.= Miguel de la Tur:e.= hxvnvj. Sr. Secretario de E.tad, v d De Real junta de Aranceles, y de D. Josef Vasooni, para que examinando el es 1 pa…</t>
  </si>
  <si>
    <t>Dios, Gobernadora</t>
  </si>
  <si>
    <t>Gobernadora Dios</t>
  </si>
  <si>
    <t>…ctor y mayor generales de la Arma- J conocimiento de S. M., de las providencias que tomen para ¿1 puntual cum í asi como la actual junta de Gobierno , creando en su lugar un cuerpo cqá plimiento de las benéficas intenciones de la Reina Gobernadora. Dios guarde Carácter y facultades de deliberante y la denominación de Rej)l juuta superior a V. E. muchos años. Madrid 7 de Febrero dcl334-=Nicolas María Garellycs: r de gobierno y administración económica dé la Real armada , compuesto de la* Sr. Presidente del Consejo Real. I personas que he nombradoye…</t>
  </si>
  <si>
    <t>…nación la asignación anual proporcionada á su ele oprimido.” Lo que elevo al superior conocimiento de V. E. i fin de que se dig vada clase) no pudiendo bajar nunca dicha asignación de la suma de 50 cuen ne hacerlo al de S. M.-la Reina Gobernadora. Dios 3cc. Cuartel general de tos de reís anuales-, y conforme á las instrucciones dadas al ministro comisio Burgos 7 de Diciembre de 1834.=Excmo. Sr^rjosé Manso.=Ex;mo. Señor nado por S. M. con fecha 3 de Octubre del presente año de 1834, se conside Secretario de Estado y del Despacho de la Guerra. rará…</t>
  </si>
  <si>
    <t>…r á V. E. para que se sirvaá los carlistas, ha vuelto á entrar en el Bastan por el valle de Lanz. El enemi go no se ha atrevido á esperarle en ninguna parte, y tampoco ha podido reali elevarlo al soberano conocimiento de S. M. la Reina Gobernadora- Dios &amp; o. zar ninguno de los proyectos que había formado respecto á_la j&gt;arte alta de_ Cuartel general de Sta. Maria de Cubo 10 daSetiembra da 1834.=Excmol SeAragón. " ( Éot e=J. Manso. Por manera que los carlistas, desalojados de Navarra á principios de este mes, se han visto precisados á regresar á Na…</t>
  </si>
  <si>
    <t>…, porque mis intenciones eran otras, y asi cuencia hacer de ellos mención honorífica recomendando su mériro á la consi me contenté oon situar las divisiones del modo siguiente: la 5.a, al mando del deración soberana de la augusta Reina. Gobernadora- Dios guarde á V. E. Sr. mariscal de campo D. Baldomcro Espartero, en Artaza y Galiana: la bri muchos años. Cuartel general de Muez 3 de Agosto de 1834-=Excmo. Sr.= gada- de,la 4-1, al mando del Sr. coronel Carrera, y la caballería del del Señor José Ramcn Rodil—Excmo. Sr. Secretario de Estado y del Desp…</t>
  </si>
  <si>
    <t>…rectamente esta lengua* y en 17 lecciones mas, i de este ejército, procuraré llevar á cabo la sofocación dé estas ga escribirla, traducirla y romper á hablarla. villas en su origen, llenando los deseos é instrucciones de S. M. la Reina Gobernadora. Dios &amp;c. Búrgos 15 de Abril de 1834- — Los suscriptores A los Nuevos principios de economía política, 6 de la riqueza en sus relaciones con la población, por J. C. L. Slmoode de Excmo. Sr.rrRamón Gómez de Bedoya. Sismoqdl, traducidos al castellano por D. Francisco Jerez y Varona, pa sarán á la librería…</t>
  </si>
  <si>
    <t>…de su soberano agrado. posesionados, y de donde fueron desalojados, ocasionándoles bas Lo, traslado á V. F. para que se sirva elevarlo á conocimiento tantes muertos y heridos, sin mas perdida por nuestra parte que la de S. M. la Reina Gobernadora. Dios guarde á V. E. muchos de cuatro de los últimos, entre ellos eL primer comandante del años. Cuartel general de Vitoria 17 de Abril de 1834-^Excelenregimiento de Almansa D. Pedro Arias. tísimo Sr. = El marques de Moncayo. == Excmo. Sr. Secretario de Los enemigos se retiraron á Morga, dejando en nuest…</t>
  </si>
  <si>
    <t>…que pon convencido de que la subordinación, es la base esencial de todas las go en conocimiento de V. E. para que tenga la bondad de hacer operaciones, y la condición indispensable para lograr el triunfo; y lo presente á S. M. la Reina Gobernadora. Dios guarde á V. E. todavía se hace más indispensable en proporción que la faltado pe muchos años. Ciudad-Rodrigo 20 de Abril de 1834 á las once del ricia aumenta la dificultad en el servicio militar. dia.rcExcmo. Sr.=Alejandro González Villalobos .ncExcmo. Sr. Se «¡Guarnición de la plaza de Almeida! Yo…</t>
  </si>
  <si>
    <t>…ían sido deshechas y presos los que las acaudillaban. Lo que siguienre: tengo el honor de comunicar á V. E. para que se digne hacerlo pre La flota que la Puerta Otomana equipa en este instante está destinada 1 es sente á S. M. la Reina Gobernadora. Dios guarde a V. E. muchos tablecer el bloqueo de la isla de Satnos, de modo que pueda interceptar todas años. Ciudad-Rodrigo 19 de Mayo de 1834.=Excmo. Sr.=Alejandro las comunicaciones de esta isla con el exterior. A este efecto, el comandante González Villalobos. en gefe de la flota, ha recibido de S.…</t>
  </si>
  <si>
    <t>…general de este principado. Todo lo que pongo en el su con tres' batallones^ Jacoub-bey. Como el camino estaba malísimo, se dejaron perior conocimiento de V. E., y que se sirva elevarlo á noticia de S. M la loe cañones en Deir. i Reina Gobernadora. Dios guarde a V. E^muchos años. Barcelona 19 de Se Quedó custodiándolos el primer batallón de Jacoub-bey i no pudiendo la tiembre de 1834- = Excmo. Sr.=Manuel Llauder-rcExcmo. Sr. Secretario de caballería adelantarse por unos caminos tan malos, dejamos chairo escuadrones Estado y del Despacho de la Guer…</t>
  </si>
  <si>
    <t>…os años Pamplona 23 de Agosto 1834—P. D. El 19 al paso del desfilade Es cuanto en el momento puedo significar S V. E. para la debida noticia ro de S. Fausto cerca de Estella pusieron una emboscada á Caropdclet, mata de la augusta Reina Gobernadora. Dios &amp;c. Cuartel general de Lizazu á 2&lt;í' ron al coronel de Valladolid , al teniente coronel y tres oficiales , y cogieron de Agosto de 1834 á las-doce del dia.=Excmo. Sr—El-marques de Rodil. prisionero al conde de Viamahuel, á quien conduce Zumaiacarregui con con sideración , tratándolo bien. = Este pr…</t>
  </si>
  <si>
    <t>…la algazara que le es tan favorita.1 Habia razones. «Todo lo que participo á V. E. para que si lo tiene á bien se sin-a ele cerca de una hora cuando no se habían dejado ver mas que unos 4^0 hombres varlo á conocimiento de £ M. la Reina Gobernadora. Dios dcc. Fuerte de que á larga distancia pasaron á ocupar el camino de JLertn, entregándose todos Peralta 12 de Noviembre de 1834- = Excmo, Sr. = El comandante Fermín de ios demas í los preparativos para el ataque, con cuyo objeto horadaron las ca- Iracheta.=Excmo. Sr. general en gefe del ejército de N…</t>
  </si>
  <si>
    <t>Dios, José Canga Arguelles</t>
  </si>
  <si>
    <t>José Canga Arguelles Dios</t>
  </si>
  <si>
    <t>…7 y la entrega 22 de láminas, y adelantar á fin de que se sirva elevarlo ¿ conocimiento de la Reina nuestra Señora. el importe de ios siguieutes. Continúa U suscripción. ------I&gt;icctona*io úc Hacienda con a^.icacivn á Espada, por D. José Canga Arguelles Dios &amp;c. Loja 19 de Marzo de 1834 — Excmo. Sr. = El príncipe de An- ministro jubilado del Consejo supreu.o de Indias. Cuaderno 5 0 Se hallara eo Ja libre glona.=rExcmo. 4&gt;r. Secretario de Estado y del Despacho de Fomento general ría dtr ¿ v i.d • ue Ouiroga. del reino. — y cuela deguit .era, por D. Dioi…</t>
  </si>
  <si>
    <t>Dios, Lorenzo</t>
  </si>
  <si>
    <t>Lorenzo Dios</t>
  </si>
  <si>
    <t>…se sirva recompensar el mé lin, capitán, segundo ayudante de ídem. D. Ramón Eulogio de Arce, teniente. rito de los que le han contraído, según fuese de su Real ¿grado. D. Juan Antonio Loarte, subteniente adicto á la plana mayor. D. Lorenzo Dios guarde á V. E. muchos años. Toledo 13 de Noviembre de 1834-= Mirroquin, sargento primero, herido en ambas piernas, y quedará inútil. Ven Fxcmo. Sr.=.\lLuel Cabrera de Ncvares.=Lxcmo. Sr. Secretario de Estado y tura Esteban, soldado. Antonio Diego, ídem. Vicente Puig, idem. Sebastian del Despacho de…</t>
  </si>
  <si>
    <t>Dios, Martin Ramírez</t>
  </si>
  <si>
    <t>Martin Ramírez Dios</t>
  </si>
  <si>
    <t>…ioso hecho de ar entonó la canción de Isabela. mas, y en particular al coronel Mazarredo y al alférez del regimiento caballe Casi lo que restaba de la noche se pasó en bailes y diversiones particulares. ría deí Rev, l.° de línea, D. Martin Ramírez. Dios guarde á V. E. muchos años.=:Valencta 3 de Mayo de l834-=Excmo. Sr.=Gerónimo Valdes.sEx Secundo día. celentísimo Sr. Secretario de Estado y del Despacho de la Ouerra. A las doce una salva de 21 cañonazos. Se había construido un bergantín Columna móvil del norte de Valencia. = Excmo. Sr.: E*ta mañan…</t>
  </si>
  <si>
    <t>Dios, N Afiover</t>
  </si>
  <si>
    <t>N Afiover Dios</t>
  </si>
  <si>
    <t>…entes de la yendo poderosamente á la brillante victoria. Guardia Real D. Fernando Segovia y D. Gaspar Bonilla, y el subteniente El capitán D. Vicente de Noriega, graduado de teniente coronel, que man del provincial de Ciudad Real D. N. Afiover. Dios &amp;c. Valdcalgolfa 3ü de daba las tres compañías de cazadores, el teniente D. Jo*é Campillo y el subte Mayo de 1834 á las doce de la noche.=Excmo. Sr.czAgustin Nogueras.^ niente D. Ramón de Rosas, de la compañij de Laredo, el subteniente Dt. Jo ¿uno. Sr. capitán general de este ejército. sé Ignacio d…</t>
  </si>
  <si>
    <t>Dios, Tomas Ta</t>
  </si>
  <si>
    <t>Tomas Ta Dios</t>
  </si>
  <si>
    <t>…no sea empleado sino en aquellas medidas que puedan tener un de Mondejar, y de Doña Francisca Pacheco» Nació á principios del siglo x vi éxito ran prdvechoso como cierto. en Granada, y no en Toledo, según parece creyó el erudito'D. Tomas Ta- «Dios &amp;c.=Nicolas Anchorena.” mayo de Vargas en sus elogios de los célebres escritores carpentaños. Hizo sus .,. principales estudios en Salamanca, no solo en lá jurisprudencia civil y eco nómica, sino en las 'lenguas y s humanidades. Cuando tuvo para ello ía edad ____El presidente de la república de Cór…</t>
  </si>
  <si>
    <t>Dios, Vi</t>
  </si>
  <si>
    <t>Vi Dios</t>
  </si>
  <si>
    <t>…pital y Mombeltran, que están en este caso, como El 25 el mariscal de campo D&gt; Joaquín de Osma tomó en Vitoria el man manifiesto á-V. E. por oficios separados. de de las provincias Vascongadas bajo las órdenes del general en gefe D. Vi Dios guarde á V. E, muchos años. Avila 22 de Febrero de 1834-=Exce- cente Quesada, marques de Moncayo, Us cuales había recibido personalmente entísimo Sr.c=José López Rcquena.=Excmo. Sr. Secretario de Estado y dei el 23 en Logroño. En el propio día 25 salió para los Arcos este general en geDespacho del…</t>
  </si>
  <si>
    <t>Dipu</t>
  </si>
  <si>
    <t>…n sobre el Estado.” sión de D. Carlos y su línea de la sucesión á la cotona, en la primera vota El Sr. marques de Someruelos expuso que donde se decía ejército, se po ción nominal, 120: los que enviaron su voto por escrito, 2: un señor Dipu dría añadir ejército de mar y tierra. tado que no asistió á la segunda votación nominal, 1 : los que han reclamado El Sr. Secretario del Despacho de Hacienda contestó no había dificultad hoy la inserción de sus votos en el acta, 2: los que no asistieron á la sesión da en admitir la adición que se p…</t>
  </si>
  <si>
    <t>Diputado</t>
  </si>
  <si>
    <t>…petable y elevado que sea, si viendo nuevas razones, nuevos motivos, se había, tenido parte en la comunicación dé los apuntes á que había aludido aquel convence dé que debe modificar su primer voto,'dejaría de hacerlo por un amor Sr. Diputado: y.en seguida pasó á manifestar los vicios de que adolecía este propio infundado? Nada de eso: al contrarío, en ello probaría su ilustración y su empréstito. Tres ó cuatro fueron los vicios capitales que encontró en él. Pri imparcialidad. Poc otra parte (y tal es, señores, el gran sectéto y la gran…</t>
  </si>
  <si>
    <t>…nes. que sedarán sobre él? En tal caso ninguna dificultad se presenta en que se dis «Cuando he contestado al Sr. Istúriz no he dicho que la opinión de un cuta separadamente caija uno, y aun en que se proceda á la de cualquiera de Sr. Diputado bastase para destriiir el crédito de la Nación: lo que he dicho y ellos , si algún otro fuese prpeiso que pasase á la comisión. repito es que habiendo hablado de manera que pudiera influir su opinioñ sobre « Ün caso parecido al presente sucedió en la discusión del proyecto de ley el crédito, el Gob…</t>
  </si>
  <si>
    <t>…ije que terio de la Guerra poDga en su presupuesto el gasto de la primera puesta del se trataba de dar una autorización previa al Gobierno paral hacer una cosa que ejército , lo presentará rebatida la cantidad á que ba aludido el Sr. Diputado. por sí solo no podía hacer; de forma que he anunciado francamente que se tra Los defectos que haya , en cuanto á la mayor ó menor exactitud, podrán pro taba de un voto de confianza. El señor preopinante ha propuesto dificultades, venir de no hallarse bien arreglado el sistema de contabilidad: porqu…</t>
  </si>
  <si>
    <t>…contra ios que quieren causar la ruina de nuestra patria, me parece Fernando. Yo estaba en aquella sesión, no como diputado, que ahn no lo era, que no puede ni debe reconocerse el empréstito de Guebhard.” sino como espectador. Un Sr. Diputado por Sevilla , llamado Reina , fue El Sr. Alcalá Zimora pid.ó que se preguntase ti el puntó estaba suficien quien la dijo; se levantó al hablarse de cómo se había de recibir al Rey, y di temente discutido; y habiéndolo verificado el Secretario Trucha, resultó que jo: «Si el Sr. Rey D. Fernando yiene…</t>
  </si>
  <si>
    <t>…ahora; es decir, que podrían ya estar en planta todo el El Sr. Secretario del Derpacho de Estado: »Nó voy á entrar en los tiempo qué llevamos de nueva marcha. Indisputablemente el actual sistema de pormenores á que ha aludido el Sr. Diputado que acaba de hablar; segura reemplazos causa perjuicios, cuya enormidad se concibe con solo enunciarlos, mente los señores de la comisión, -de cuyos conocimientos militares carezco, no pudiendo por tanto el Estamento dudar de la necesidad de remediarlos. Bas podrán hacerlo con mas ventaja, sí lo cr…</t>
  </si>
  <si>
    <t>…si se juzga El Sr. marques de Villacampo: «Había pedido la palabra antes de oir se necesario,” las observaciones del Sr. Secretario de la Guerra y Sr. preopinante; pero en vis El Sr. conde de las Navas : n Lo que ha expresado el Sr. Diputado de ta de ellas creo inútil extenderme mucho. Los subinspectores no son mas que Astúrias es que no existan en la guia dichos cuerpos, para que sobre esas exis mariscales de campo , y tienen que sostener una oficina costosa: de consiguien tencias no se puedan formar otros nuevos.” te, si á su sueldo de…</t>
  </si>
  <si>
    <t>Diré</t>
  </si>
  <si>
    <t>…t (¡ue he'récrbtfianza de S. M., y ('al respeto que debo á V V. SS. si entrase á responder, á to do por cita Ocasión para satisfacción de este leal vecindario. La Rátys¿pwtt&gt; das las prtstuttiu que vagamente rae ha hecho el noble conde. Diré solamente, 'Señora,jtu augusta Madre y SS.-AA. RR.gozaban la mar cotnpleta ®udí él .milores, ea cuanto á iMestrajn&amp;tica exterior,,que tendrá por norte los'mismas trono dé taitetú* jóven Reina qué tiene por bises ls justicia, la veri untad &lt;de sis</t>
  </si>
  <si>
    <t>…de que siga sin Real prerogativa, qo se verificarán tan Repetidas mudanzas , por los gravísimas interrupción la discusión de tos presupuestos.” inconvenientes que producen; pero no obstante, desearía que para alivio de la MI Sr. Caballero-. «Diré dos palabras, peto sumamente francas, pues no Nación se acordase que los 120.000 reales que en el dia tieneD , se dividiesen sé por qué varios Sres. Procuradores de lós que han impugnado ei artículo úni en dos partes; 60-000 como sueldos fijos, y 60.000 por vía de gratificación, ó co y el dictimen de l…</t>
  </si>
  <si>
    <t>Diré, Caballero</t>
  </si>
  <si>
    <t>Caballero Diré</t>
  </si>
  <si>
    <t>…sula de que siga sin Real prerogativa, qo se verificarán tan Repetidas mudanzas , por los gravísimas interrupción la discusión de tos presupuestos.” inconvenientes que producen; pero no obstante, desearía que para alivio de la MI Sr. Caballero-. «Diré dos palabras, peto sumamente francas, pues no Nación se acordase que los 120.000 reales que en el dia tieneD , se dividiesen sé por qué varios Sres. Procuradores de lós que han impugnado ei artículo úni en dos partes; 60-000 como sueldos fijos, y 60.000 por vía de gratificación, ó co y el dictimen de l…</t>
  </si>
  <si>
    <t>Diré, Carlos</t>
  </si>
  <si>
    <t>Carlos Diré</t>
  </si>
  <si>
    <t>…por sin embargo la atención del Estamento á esta sola explicación. El Sr. Ministro afecto á D- Carlos y le dejaron 243 rs. de sueldo, de los que da 129 á de Hacienda ha facilitado á la comisión el quinquenio de los productos tota D. Carlos. Diré mas: se asegura que hay camarista que de 129 rs. que les de 829 á 833, y de él se ve que en el año común ascienden las rentas de tiene de sueldo da 69 á la misma obra pía. Pues si esta sociedad tiene ta la Corona á 715 millones de reales , y que deducciones hechas, queda un li les pormenores, ¡cuan…</t>
  </si>
  <si>
    <t>Dirección, Presidente de la</t>
  </si>
  <si>
    <t>Presidente de la Dirección</t>
  </si>
  <si>
    <t>…. £. muchos años. S. M. la Emperatriz, con SS. A A. H. seguirán la procesión del clero* Madrid 30 de Setiembre dé 1834. = José María Hoscoso de Alta- acompañadas de toda su servidumbre, y de antemano estará ya señalado por mi ra.=Sr. Presidente de la Dirección general de Estudios. . el gran maestro dé ceremonias el sitio que han de ocupar los miembros dd cuerpo diplomático, los consejero, del imperio, los senadores, los muiscaln, la nobleza y los diputados del comercio. Luego que la procesión del cleró llegue á la gylaría del balcón, todas lat PARTE NO O…</t>
  </si>
  <si>
    <t>Director</t>
  </si>
  <si>
    <t>…. para su inteligencia y efectos correspon de. mi augusta Rijá liona Isabel ii: * dientes. Dios guarde á V- S- muchos años. Madrid 20 de Octubre ? 1* ' En las islas de Cuba , Puerto-Rico y Filipinas habra un gefe de 1834.=Toreno.=Sr. Director) de la comisión de Liquidación de la superior encargado de la subinspeccioh de las tropas veteranas y de deuda del Estado. &gt;. myiciaáque guarnecen aquellos dominios, bajo la inmediata, depen dencia de los respectivos capitanes generales* siguiendo en esta par te el mismo orden que se observa en el…</t>
  </si>
  <si>
    <t>…rocuradores. Señor, berse servido S. M. mandar ¡sea franco de porte el correo para los Sres. Procu el EitameBto.dc Procuradores no son las Cortes, y lo qué aquel Estamento jáu- radores , á cujo fin se patria uní lista de estos al Sr. Director de aquel ramo. do desechar, puede aprobar este. Por consiguiente , creo que el Gobierno de El Estamento quedó enterado. bia haber presentado ai Estamento de Próceres el proyecto de ley original, y El Sr. Presidente anunció que se iba a continuar U discusión pendiente en él se ■encontraba precitamente…</t>
  </si>
  <si>
    <t>Dirucl, Felipe Montes y D Gaspar</t>
  </si>
  <si>
    <t>Felipe Montes y D Gaspar Dirucl</t>
  </si>
  <si>
    <t>…ltimo vengo en nom mas que aumentar con 4^ hombres la guarnición de Argel. Se cree brar al teniente general D. Francisco Javier Abadía, á los maris que dentro de algunas semanas pasará á Africa el duque dp Orleans, cales de campo D. Felipe Montes y D. Gaspar Dirucl y á Don y aun asegura un Diario ministerial que se le confiará Al mando Tomas González de Carvajal, ministro que fue del suprimido con del ejército. sejo de la Guerra. = Tendréislo entendido, y lo comunicareis i Un hecho incontestable resulta de las últimas noticias de la quien corresponda.=Está rubr…</t>
  </si>
  <si>
    <t>Dirucl, Gaspar</t>
  </si>
  <si>
    <t>Gaspar Dirucl</t>
  </si>
  <si>
    <t>…mas que aumentar con 4^ hombres la guarnición de Argel. Se cree brar al teniente general D. Francisco Javier Abadía, á los maris que dentro de algunas semanas pasará á Africa el duque dp Orleans, cales de campo D. Felipe Montes y D. Gaspar Dirucl y á Don y aun asegura un Diario ministerial que se le confiará Al mando Tomas González de Carvajal, ministro que fue del suprimido con del ejército. sejo de la Guerra. = Tendréislo entendido, y lo comunicareis i Un hecho incontestable resulta de las últimas noticias de la quien corresponda.=Está rubr…</t>
  </si>
  <si>
    <t>Diruel, Gaspar</t>
  </si>
  <si>
    <t>Gaspar Diruel</t>
  </si>
  <si>
    <t>…=Sr. presidente del tribunal supremo de Hacienda. la de al marques de de Nueva Espa Para la Reunión Guerra al general decano; á loa PARTE NO OFICIAL. Francisco teniente Javier Abadía; D. ña, mariscales de campo D- Felipe Montes y D. Gaspar Diruel, y á NOTICIAS EXTRANGERAS. y D. Tomás González Carvajal, ministro que fue del suprimido Con sejo de la Guerra. INGLATERRA. Para la de Hacienda á D. Antonio Martinez, decano; D. Fran Lóndres 8 de Abril. cisco López Alcáraz; D. Jacobo María de Parga; D. Niceto de Fondos públicos. Tres por 100 consoli…</t>
  </si>
  <si>
    <t>Dirz</t>
  </si>
  <si>
    <t>…stilo- -’Pjd^q e se loa la‘ par - del forma y demás de la aplicaron. Por esto creo que no puede p.^-r el articulo anivuG que e a aba de de*apn.bu , \ en sc^j.d* ¡r. que a. ha de pr-vp* -s^rve. corno tytá , ni menos segi-n pide ci Sr. Dirz " b::i ma'. que 11 »• mp.e j '»i irá rMra que el fcstamem- &lt; vea si pL.: Je . í. p_— El Vf-r^¿a.-t,*ony.||fy qmsn deshacer una equivocaron man fecundo que lrti.sC esta ind i.« &lt; iv (be íe^ eron.) pira apoyar su expresión de que la ley sea impar.tai lema que entrar cu el El Sr. Ochoa '■&gt; La inéica-.…</t>
  </si>
  <si>
    <t>Disposiciones, Fran</t>
  </si>
  <si>
    <t>Fran Disposiciones</t>
  </si>
  <si>
    <t>…del término de 24 horas. la Reina Gobernadora, continúan sin la menor novedad en su im portante salud. titulo vn. Del mismo beneficio siguen disfrutando SS. AA. la Serma. Se ñora Infanta Doña María Luisa, y el Sermo. Sr. Infante D. Fran Disposiciones peculiares á la discusión -de los proyectos de ley. cisco de Paula. De Real orden lo participo á V. E. para su satisfacción y efec Art. 68. Ningún proyecto de ley podrá discutirse sin haberse tos-oportunos. Dios guarde á V. E. muchos años. S. Ildefonso 20 impreso antes, repartiéndose á los Proceres…</t>
  </si>
  <si>
    <t>Disposiciones, Infante D Fran</t>
  </si>
  <si>
    <t>Infante D Fran Disposiciones</t>
  </si>
  <si>
    <t>…sino dentro del término de 24 horas. la Reina Gobernadora, continúan sin la menor novedad en su im portante salud. titulo vn. Del mismo beneficio siguen disfrutando SS. AA. la Serma. Se ñora Infanta Doña María Luisa, y el Sermo. Sr. Infante D. Fran Disposiciones peculiares á la discusión -de los proyectos de ley. cisco de Paula. De Real orden lo participo á V. E. para su satisfacción y efec Art. 68. Ningún proyecto de ley podrá discutirse sin haberse tos-oportunos. Dios guarde á V. E. muchos años. S. Ildefonso 20 impreso antes, repartiéndose á los Proceres…</t>
  </si>
  <si>
    <t>DlasL</t>
  </si>
  <si>
    <t>…da én las sierras de esta provincia. Todos sus habi tantes, ydqs individuos de la Milicia urbana han acreditado el me* ; , Existencia del día ' ' ■ ■ Curados. Fallecidos. jor espíritu y entusiasmo por la causa de la Reina nuestra Señora. DlasL; anterior. Invadido». Instrucción pública. &gt; Se reúnen datos para conocer el atado de ‘ Graves. Leves. las escuelas de primeras letras. Abril 6 99 6 19 17 10 Establecimientos de beneficencia. Los ha pedido á los gefes de Id. 7 97 9 11 5 S tres establecimientos de esta clase. Id. 8 ' 107 7 8 8 13 He…</t>
  </si>
  <si>
    <t>Dltgot</t>
  </si>
  <si>
    <t>…n 4.0, se vende en Madrid á í cuartos en i con jttjjíá¡|¡Ms ,nó ináfcádisji que no era tégíiro' que diesen ja 1* libreríade-Cuesta. . ... \ .' ------Comedias*deD. Agustín Marero, primera éntrala: Eldttdrñcon ti dtsdtn. y El lindo D. Dltgot correctas y estcreotlpadis, y encuadernadas én rustica: se venden las Habla de variáá iñínayde liierrO j'cÓbriV cárbón depierffa; barniz y alco dos i 3 rs. efi,Madrid érs las IíbrétlaS'Je Matute, Sancbeay Cuesta,.y en la imprenta hol jué sé beneficiso enMaTjiorda yprqdifceñ'á sus duefiqsvenfVjaf Co…</t>
  </si>
  <si>
    <t>do Arango, Andrés</t>
  </si>
  <si>
    <t>Andrés do Arango</t>
  </si>
  <si>
    <t>…estudios se hallan PROVINCIA DE LA HABANA en estado de combatir-en este terreno; el hecho que acabamos de citar nos au SfV D. Juan Montalvo y Castilla toriza á creer que no serán desechadas sus demandas. Miramos como una obli Sr. D. Andrés do Arango. gación nuestra darles este aviso.” PROVINCIA D8 PUERTO PRÍNCIPE. * •- • Sr. Dr José Serapio Mojarrieta. Con fecha 2 del corriente escriben de Tolon lo que sigue: «La escuadra que se baila en este puerto acaba dé recibir orden de estar pronta" para salir á El gobernador civil de la provincia de Avil…</t>
  </si>
  <si>
    <t>do Arango, D Andrés</t>
  </si>
  <si>
    <t>D Andrés do Arango</t>
  </si>
  <si>
    <t>…sus estudios se hallan PROVINCIA DE LA HABANA en estado de combatir-en este terreno; el hecho que acabamos de citar nos au SfV D. Juan Montalvo y Castilla toriza á creer que no serán desechadas sus demandas. Miramos como una obli Sr. D. Andrés do Arango. gación nuestra darles este aviso.” PROVINCIA D8 PUERTO PRÍNCIPE. * •- • Sr. Dr José Serapio Mojarrieta. Con fecha 2 del corriente escriben de Tolon lo que sigue: «La escuadra que se baila en este puerto acaba dé recibir orden de estar pronta" para salir á El gobernador civil de la provincia de Avil…</t>
  </si>
  <si>
    <t>do Braganza, Duquesa</t>
  </si>
  <si>
    <t>Duquesa do Braganza</t>
  </si>
  <si>
    <t>…neros han estado ocupados in peridad y de gloria á que puede llegar una nación. distintamente en reformas de poca consideración, necesarias en las carreteras. Después fue admitida la misma, diputación á la presencia de S. M. L jr Señora Duquesa do Braganza, viuda ¡ y habiendo igualmente dirigido la pala Habiendo reclamado el comandante de marina del tercio naval de Se bra á S. M. con un discurso, que no solo excitó las lágrimas de dicha augus villa el privilegio que tienen los matriculados de ser empleados exclusivamente ta Señora , sino también las…</t>
  </si>
  <si>
    <t>do Campos, Joaquín-Casiano</t>
  </si>
  <si>
    <t>Joaquín-Casiano do Campos</t>
  </si>
  <si>
    <t>…de 1834*—Excmo. Sr.rrEl condé do «S de Olivenza; para el de Coria por traslación de D. Diego Martínez^ Pela— Ezpeleta^Excmo. Sr. Secretario de Estado y del Despacho de la Guerra. yo, á D. Juan Muñoz Guerra; para el de Alcántara á D. Joaquín-Casiano do Campos que lo es de Torremocha; para el de Plasencia, por promoción dé Dpn Anselmo León Barradas, á D. Diego Mcndo; para el de Zafra á D. José Lan- El capitán general de Cataluña participa el resultado de las últimas ope dero; para el de Garrobiílas á D. Diego Martínez Pela yo, que lo es de Coria; racione…</t>
  </si>
  <si>
    <t>do Debe, Versallet</t>
  </si>
  <si>
    <t>Versallet do Debe</t>
  </si>
  <si>
    <t>…a. Con y cortumbresde la Francia, que tiene en estima el valor militar y detesta.eL servad la tranquilidad en vuestros respectivos pueblos, y estad prontosá la pri asesinato. mera señal para marchar á la defensa de la Carta y del Rey. -Versallet 14 do ' Debe agradecerse, al gobierno -^ue haya hecho alarde de una fuerza militar Abril de 1834=Auberaon.” (Constitucional.)</t>
  </si>
  <si>
    <t>do Governo, Gaceta</t>
  </si>
  <si>
    <t>Gaceta do Governo</t>
  </si>
  <si>
    <t>…a asegurado sobre el despacho de las bulas del obispo de'Santa Cruz, cupación, y que de una vez se esforzarán todos á cooperar con el Gobierno desde luego que se presente el'proceso canónico. que sinceramente se afana por el bien general. (.Gaceta do Governo.) Nuestro primer enviado cerca de la corte mas ilustrada de la Europa ha sido acogido con estimación y benevolencia. Encargado de dar gracias al go bierno francés por el reconocimiento de nuestra independencia, y de ajustar un tratado de comercio entre ambos Estados, vemos que en el desempeño de su…</t>
  </si>
  <si>
    <t>Do Policía, Faustino</t>
  </si>
  <si>
    <t>Faustino Do Policía</t>
  </si>
  <si>
    <t>…sultan caracterizados, y de este modo confio guez de. Soto, D. José Moreno, D. Francisco Javier Garay, D. Joaquín en poder preservar ¿ estos pueblos de tan horrible azote. García, D. José de Vivero y D. Antonio Bcloso: en álgebra D. Faustino Do Policía general. Me be dedicado á U formación de una matrícula general, mínguez y D. Juan Pardo y Silva;'en geografía elemental D. Pablo Carcafio, de que carecía esta provincia, para de este modo lograr todos los ma&gt;ores pro D. Andrés de Castro , D. Robustiano Pequeño, D. José Sánchez y D Ra ductos de este…</t>
  </si>
  <si>
    <t>do Savoulx, Luis Bottiglia</t>
  </si>
  <si>
    <t>Luis Bottiglia do Savoulx</t>
  </si>
  <si>
    <t>…Poj cartas patentds 'del 22 de este mes escrífaT én Baceonis ha con cedido S- M. nuestro Soberano el gran cordón de los santos Mauricio y Estos dias últimos el embajador español marques de Miradores y su’co— Lázaro á S. Erna, el cardenal Luis Bottiglia do Savoulx, gran cruz de esta mitiva llegaron á Oxford. Salieron á recibirle el corregidor Mr. Torpet y el ¿ideo; y ha concedido la cruz de la misma órden á su capellán «1 abad de secretario de ayuntamiento Mr. Robinson, que ya le esperaban por aviso que Fernando Bruno de Tournafort. (Giornaie di Lúea) habian…</t>
  </si>
  <si>
    <t>do Zarate, Joaquin Ortiz</t>
  </si>
  <si>
    <t>Joaquin Ortiz do Zarate</t>
  </si>
  <si>
    <t>…llete el pendón de Castilla con las inscripciones de tropa en estos cinco dias .de do interrumpida fatiga. Dios ¿jcc.tCKaites do viva Isabel ii , y veíanse otras alegorías al sublime asunto que se celebraba; Mayo de 1834-= Excmo. Sr.=Joaquin Ortiz do Zarate.” 1 las vajillas eran de cristal, cuyos infinitos reflejos prestaban mucho brillo á todo el lucido aparato. El general Rodil, con fecha de 21 del corriente■ desde étl cuartel géberaf La elegancia de los prendidos y tocados de las señoras daban el último ma de Valencia de Alcántara, da parte de haber llegad…</t>
  </si>
  <si>
    <t>Doasecqme</t>
  </si>
  <si>
    <t>…de,norte, ya porque se leían muchos escritos , ya parque las quiere hacer alguna proposición,, que la baga.” t- sesiones eran ,ma|. largas,” El Sr. Presidente: ®Yo creo que &lt;m vista de lo que d sr. Lopes acaba El Sr. Vicedo: «El Sr. Doasecqme h*gjsyenido en cuento á que pesó de proponer , la deiieadeña de loa Sres. J'rocuradCrei les retraerá de pedir li—• á la comisión el negocio de que se trata. Por lo dama, apoyo qde se establez cencía; sin embargo, si alguno presenta semejante petición , siempre tiene el, ca un diario de Córtes, pues…</t>
  </si>
  <si>
    <t>Doce</t>
  </si>
  <si>
    <t>…al de Cartaxo 6 de Marzo de 1834- Pero ¡debiéramos haber leído en un escrito de esta capital que =E1 conde de Saldaña-zcllmo. y Excmo- Sr. Agustín José Freiré. esta cobardía y miedo, que los facciosos atribuyen á nuestro go limo. Sr.; Doce dias hace que esperaba la ocasión segura para bierno , no los atribuyen sin fundamento! ¡ Cuál puede ser ese fun destacar una fuerza á la aldea de Cruz, y batir á los realistas de damento'. ¡La clemencia que se ha usado con algunos de ellos? ¡el Troncoso que se ocupaban en vejar á los habitantes y…</t>
  </si>
  <si>
    <t>Dode</t>
  </si>
  <si>
    <t>…nes de la casa Real de establecerse en aquel país. (^AlFioti.) - &gt; Carlos x, y la diputación que ha de ir á cumplimentar al Rey el día de su santo» ____ K1 día en que se presentó á la discusión de la Cámara de los Lores el men El vizconde Dode lee el informe dé la comisión que ha examinado la pro saje á S. M. votado por la Cámara de los Comunes sobre-el acta de unión en posición que un Par ha hecho acerca de los caminos vecinales: este informe se tre Inglaterra é Irlanda, pronunció el conde Grey, primer ministro déla Graa manda imprimir…</t>
  </si>
  <si>
    <t>Doét</t>
  </si>
  <si>
    <t>…que no puede apli gentilhombre de cámara con entrada D. José Marfa Lima; Lie. D. Francisco carse sino á ¡as que tienen relación con mi ministerio á causa de la naturaleza José de Quesada; el alcalde de la Santa hermandad D. Angel Caballero; Doét de sus trabajos. Mariano González; D. Gregorio Almeida, nosotros y varias personas mas: «O* suplico además que me hagáis saber-* !.°S¡ existen en vutótro depar y por Ja listá que tema en su poder de todos los pobres de solemnidad y ver tamento otras sociedades sábias, de cualquier género que sean; y e…</t>
  </si>
  <si>
    <t>Dofi</t>
  </si>
  <si>
    <t>…del Sri conde dé las Navas contrario fi ‘ Este sefiorretiró'éh dectosoprqpoaiesoB.' ínif;. ,;:-~ . lo apMbadó ipor elEitamentotespectoi los imanados de la correspondencia Lá comisión de Poderes dió cuenta'de haber oamimdq loe da! Sr. Dofi :fe'Roma'y:‘Nfipoles.,‘&gt;,'o »&gt;&gt;■-- .'...y ¡:s!\.y-r -•*, . -, . . • Antonio Becena , Procurador alecto par la provincia de Barcakma, con ías la comisión especial para el esámea ael proyecto de lép jK&gt;í&gt;re las ve&amp;~ documentos justificativos-íle su aptitud -legahi y de que hdlindólos confpnues, tas d…</t>
  </si>
  <si>
    <t>DofiáTaAXBi</t>
  </si>
  <si>
    <t>…ejecutado después de un corto tiroteo] ’' I*M\\S ék ÁíéMo, en Canlll* U‘Vieja, ha teflMb tV honor de procla los que se hallaban en Arrieta- Que desde este punto se dirigió la cplu/ñna só- ? mar con la mayor solemnidad á su am:tda Reina DofiáTaAXBi n. El ayunta- bre Durango contra los cabecillas Luque y la Torre fue amenazaban a aquella | ¿ajento dift’siítf'correspondientes disposiciones para tan solertme acto, y acom- guarnicioDj la que había conseguido rechazarlos, poniéndolos en cobiplcta fu-J I pa^a^JsT^le f&lt;5dts lái autoridades y un nume…</t>
  </si>
  <si>
    <t>Doile, O</t>
  </si>
  <si>
    <t>O Doile</t>
  </si>
  <si>
    <t>…tropas del mando del genesal Manso marcha Ayuelas......... .. 29 Set. á 6 Oct. 36 10 4 ban á reconcentrarse á Villafranca de Montes de Oca y Monasterio. Bú rgos.................. 8 á 11 Octubre . 30 1 3 Las fuerzas expresadas del brigadier O^Doile y la guarnición de Vitoria Espinosa.............. 2 á ó ídem......... 26 No consta. 6 hicieron un movimiento en tres columnas el 11 hácia Guipúzcoa , con el ob F ñas .................... 29 Set. ¿ ó Oct. 136 Idem. 24 jeto de atacar y sorprender, si era posible, en Elguea la junta de Alava, la Ircio.....…</t>
  </si>
  <si>
    <t>Dolores, D Ramón de Ciscar</t>
  </si>
  <si>
    <t>D Ramón de Ciscar Dolores</t>
  </si>
  <si>
    <t>…30 Jumo# 43 28 1 Sr. p. Sebastian Cuesta. Sr. D. Antonio María Montenegro. Almoradí..,. . 2/ á 29 .ídem. 217 ¥ 2 • PROVINCIA DE TARaAnONA. Bigastro............ . 28 á 30 ídem. 12 8 2 fe, P. Alberto Valdric, marques de TorreraejU. Sr. D. Ramón de Ciscar. Dolores............ . 27 á 29 ídem. 78 19 2 Sr. P. Pedro Marti. PROVINCIA BE TERCER. Rojales........... . 30 Junio á 1.a Julio....... 12 00 I Sr. D. Juan Romero Alpuente. Cox.................. . 27 Junio á 2 Sr. P. Manuel de Pedro. . 201 6 48 Sr. P. Salvador Campillo. Catral. ...... . »30Julio............id. á 1.a Id.…</t>
  </si>
  <si>
    <t>Dolores, María de los</t>
  </si>
  <si>
    <t>María de los Dolores</t>
  </si>
  <si>
    <t>…Braganza, saldrán hoy á las Valladolid 5 de Octubre. seis y cuarto de la tarde del Real palacio de Queluz, acompañadas de la mar-' Ayer emprendió su marcha para Aranda de Duero, según órdenesdet quesa, camarera mayor, dé la dama Doña María de los Dolores, de las dos espitan general, el regimiento provincial de Plasencia, que hace poco llegó camaristas Breyner y Almeida y demas personas de la servidumbre , y de to aquí procedente de Extremadura. Hoy ha entrado en esta ciudad un lucido es dos los ayudantes de campo de S. M. I., para fijar su residenc…</t>
  </si>
  <si>
    <t>Dolores, Ramón de Ciscar</t>
  </si>
  <si>
    <t>Ramón de Ciscar Dolores</t>
  </si>
  <si>
    <t>…umo# 43 28 1 Sr. p. Sebastian Cuesta. Sr. D. Antonio María Montenegro. Almoradí..,. . 2/ á 29 .ídem. 217 ¥ 2 • PROVINCIA DE TARaAnONA. Bigastro............ . 28 á 30 ídem. 12 8 2 fe, P. Alberto Valdric, marques de TorreraejU. Sr. D. Ramón de Ciscar. Dolores............ . 27 á 29 ídem. 78 19 2 Sr. P. Pedro Marti. PROVINCIA BE TERCER. Rojales........... . 30 Junio á 1.a Julio....... 12 00 I Sr. D. Juan Romero Alpuente. Cox.................. . 27 Junio á 2 Sr. P. Manuel de Pedro. . 201 6 48 Sr. P. Salvador Campillo. Catral. ...... . »30Julio............id. á 1.a Id.…</t>
  </si>
  <si>
    <t>Dombrazas, Juan Bautista</t>
  </si>
  <si>
    <t>Juan Bautista Dombrazas</t>
  </si>
  <si>
    <t>…el/recaudador de -&gt;}'■ ■ -1 ■'v ^ ;.................... rentas decimales D. Clémcrite Arbizu, D. Angel La rumbe, D, Martín Ortiz Art 1? Abrirá la maVcha una partida de caballería. Seguirán cuatro pa- de Piriedo, vecino dé Madrid, D. Juan Bautista. Dombrazas*, hijo del titula— lafrvneros'y los lacayos con el banquillo para que S. M. F. bajé riel coche. 'ÍA 'Sfegdirín los másicoi-dc las'Kciiies caballerizas', dos ponreros y-et»- j.., -(O • 8e ■nwa^ttrfd oa acT e?ma4ki-natfchMde‘l#imueifV'(!r esrr.</t>
  </si>
  <si>
    <t>Domccq</t>
  </si>
  <si>
    <t>…ueron aprobados, y mandados comunicar á los interesados: No hallándose preseote el Sr. Vega y Rio á quien tocaba la palabra «a 1.° relativo á la admisión en el Estamento del Sr. D. Evaristo Pérez de Castro, -contra #j&gt;asó esta al Sr. Domccq en el mismo sentido. á éonsecuencia de su nombramiento de Prócer del reino : 2.° dirigido á igual - El &amp;•- Doffücq Estoy conforme-en la sustancia, aunque no en el modo admisión definitiva del Sr. duque de Frias, en vista de los documentos presen con que la hacen losSros. Procuradores que han firmad…</t>
  </si>
  <si>
    <t>…mente, creía debía pasar á la comisión la memoria de que se evitar que jamas una mayoría obre en favor del Gobierno, ó en contra. Este a trataba. . el medio de oír todas las razones importantes que quieran exponerse en una dis El Sr. Domccq dijo que no podía negarse á ningún español el derecho de cusión. Yo espero, pues, en atención á esto que aun los mismos Sres. Secretarios manifestar al Estamento sus ideas, no para que sobre ellas se resolviese nece del Despacho apoyarán la expresada idea , contraria á la anarquía, que comba sariam…</t>
  </si>
  <si>
    <t>…al qu£ se ha adoptado para ios tenedores de los bonos de Córtes fijado de haberle concluido laiicepcia que el Estamento le tenia concedida, ¿peti por la comisidn , y admitido por el Gobierno :d termino de un año para re ción del Sr. Domccq hablando relevado ate señor dé la comisión de Poderes, sarcir al comprador de los daños que háyá -sufrido:, me parece muy corto, y para la que fue nombrado en lugar de aquel ^el^cúal había sido repaasto eo que es materialícente imposible pueda verificarlo en tan poco tiempo. Asi, •la misma. pues, c…</t>
  </si>
  <si>
    <t>…a. Este vestuario no pudo hacerse con le» producios de las contribuciones, por Se dió cuenta de haber nombrado la mesa , en uso de sus facultades, al que estos no eran efectivos á causa de la guerra con los facciosos; viéndose no Sr. Domccq para individuo de la comisión de Poderes por la ausencia del se pocas veces que lo? pueblos se valían de este pretexto para no pagarlas, si no ñor Laiorre. llamaban 4 una gavilla cuando sabían que iba algún comisionado de la inten Se aprobaron , como proponía la misma comisión , los poderes de los…</t>
  </si>
  <si>
    <t>Domcoq</t>
  </si>
  <si>
    <t>…Reina niña. La dotación no se da ai sugeto, sino ¿ la dignidad; en concedió el Sr_ Presidente, advirtiendo que supuesto habia ya apoyado U mis los nifios, sean Reyes ó no , las necesidades son las mismas, y no cieo que pue ma el Sr. Domcoq, esperaba fuesen breves sus observaciones. En su consecuen da citarse un soto ejemplar en que solo por razón de sexo se haya dado mayor cia el Sr. Santafé apoyó k proposición en un discurso que apenas se oyó. Solo asignación &amp; üñ Rey niño míe a una Reina niña. Las peticiones de nuestras an pudo per…</t>
  </si>
  <si>
    <t>Domea</t>
  </si>
  <si>
    <t>…sta el admita.” año ZOTEsta misma persecución fue la que impulsó á Megirle nuevamente en El Sr. Trueba leyó la primera exposición del Sr. Vadillo. el afio 20 cuando se restauró la libertad de España: entonces llenó sus deberes El Sr. Domea¡ : »La comisión de poderes se ha atenido á lo que dice el tan patrióticamente ó mas que en la primera ve;. El despotismo después del Estatuto Real y el reglamento: en esto no me opongo á su dictamen ; pe año 23'1e persiguió terriblemente, y no le quedó otra recurso que abandonar ro creo debió haber…</t>
  </si>
  <si>
    <t>Domecq</t>
  </si>
  <si>
    <t>…manda formar en el artículo1 compuesta del cumpla su deseo, ni dejarte sin ^quel asilo acostumbrado ya, si lo K. arzobispo y deL gobernador civil. / Ruego, pues, á los señores procuradores que ha% pedido se adicione el artícu Et Sr. Domecq dijo que podía suprimirse la última parte relativa i ios lo, que tomando en consideración estas razonas retíren sus adiciones.*7 peregrinos , pues no era necesaria. Los Sres. Montevírgen y Domecq se conformaron con esta incitación j £1 Sr. Secretario del Despacho de Estado: »El espíritu del Gobiern…</t>
  </si>
  <si>
    <t>…as once menos cuarto. _____ ____ ra, y hecho ^1 despejo cerró el^ ParUmenlo^-se guardé la Ihve -y^e marché. Leída -el -actR*de tanñtenbr* quedó aprobada. Foco después un simphfcoronel repitió en 1659 la misma tropelía. ¿Qué in El Sr. Domecq advirtió que en el acta no se especificaba el nombre del flujo, qué poder tenían los Parlamentos antes de la restauración: Cirios 11, ofSr- Procurador que se reservó su roto en la rotación nominal del día anterior. v¡dundo la catástrofe de su padre y sus propias desgracias , despreció los dere El S…</t>
  </si>
  <si>
    <t>…e dictátnén que debía accederse á ella, pues el -interesado no tenia en la mirtosía de la comisión ni el Gob»erno han hablado de él en el art. 4*°^ dicha provincia masirenta que cuatro ipil y tantos reales, y no había residido El Sr. Domecq: «El Estamento ha decidido que la deuda se convierta en ella los dos últimos años. dos terceras partes cn activa y la otra tercera en pasiva: de este modo el que Habiéndose observado por un Sr. Procurador que este interesado podría tenia 100 rs. al 3, tendrá 103 , y el que tenia papel al 5, ahora t…</t>
  </si>
  <si>
    <t>…tender una El Sr. ptarqttes de Montévírgen: «Me parece que no hay obligación proposición, que podrá formar un articulo “separado, según la indicación del de pagar hasta que haya liquidación; pues basta entonces no hay deuda. Creo Sr. Domecq, la cual es muy justa pira evitar desigualdades. Me parece que es que pueda señalarse un término para la liquidación. Por ejemplo: los que se el mejor modo de conciliario todo: se puede votar primero el articulo, y luego presenten desde tal á tal tiempo, el Gobierno deberá decir que podrán estar la…</t>
  </si>
  <si>
    <t>…que haya de ser elegido ^rpeurador, y por el del Estatuto Real El Sr. marques de Espinaráoi ELbia pedido la palabra para manifestar solo se dice que se necesita la renta para ser Procurador: mas habiendo mejo mi optoion; pero el Sr. Domecq acaba de prevenirme en Los mismos principios rado el Sr. Palarea su justificación , le palecc que debe ser admitido como tal que iba á exponer. El haberse concedido al Sr. Palarea algún tiempo para jus •on arreglo al artículo del Estatuto. La comisión se inclina á creerlo asi: pero tificar sus rent…</t>
  </si>
  <si>
    <t>…ue* de Falce*. No se trata de destruir El Sr* Caballero: «Por mi parte1, como uno de los peticionarios, no ten el andamio, tino de proporcionarlo á la obra para consiniirla , poniéndole mas go inconveniente en admitir la ideo del Sr. Domecq, antes ia adopto.” alto ó mas bajo, y quitándole los barrotes ó estorbos que pueda presentar ¿ ios El Sr. González, (/&gt;. Antonio'): «Cuando se anunció esta discusión es operarios. Por ésto, pues, estoy enteramente conforme con la idea de ios se taba muy lejos de esperar se opu»ie&amp;as los individuos…</t>
  </si>
  <si>
    <t>…n el Gobierno en un poder monárquico, palabras sean estas ó aquellas, están conformes en que la peticioríse vote en templado por la acción de los cuerpos representativos, con el nombre de Es los términos en que la ha propuesto el Sr. Domecq ( la leí ó de nuevo) ” tamentos; el uno en parte electivo por el Soberano, y en parte hereditario, y El Sr. conde de las Ñ"avas: «Como uno de los peticionarios, quisiera el otro enteramente electivo por el pueblo bajo las bases de la propiedad. Hé que se me dijera sí estamos en el caso de poder fir…</t>
  </si>
  <si>
    <t>…los Sres. peticiona habla. Y ¿se dirá por esto que no hay Ja facultad de hablar? no por cierto, rios modifiquen el artículo, si no rno puedo aprobarlo.” . _ esta establecido primero el derecho ó regla, y después la excepción. &gt;. sr. Domecq: «Testigo hace largo tiempo «de lü» virtudes, qratwotismp y » i «.Los peticionarlos, tan patriotas como leales, han ocurrido i todo ; han sentimientos liberales, aun exaltados, del Sr. Ochoa, n&amp;da de cuánto diga yó conocido su misión perfecfamen'te. Saben que hay ocasiones en que todo pare creo pod…</t>
  </si>
  <si>
    <t>…apisas á estos principios para que sean mas firmes monarquía á ese embate continuo, á ese choque de las facciones, tan tenaz y y durad ros. tan reco contra el edificio social, como lo era'contra un muro el ariete de *&gt;Ha dicho el Sr. Domecq, y á mi ver con razón, que aquí se trata da los antiguos. Yo me atrevo á decir que no son las instituciones de Francia las resorer ün pnrtilema dificilísimo, i sahrr¡ conciliar el órden con la libertad: que salvan el truno, y á su sombra la libertad, sino una circmstanc.-a emi problema que en su ap…</t>
  </si>
  <si>
    <t>…él había sentado que cuando no estaban rett^ historia ; por lo cual no es tan opresiva como se quiere suponer. nidas las Córtes, eia precisamente cuando mas se necesitaba de Ja libertad de «Mas recordando ahora la compiracion del Sr. Domecq, y haciendo uso imprenta. de su misma alegoría, es preciso in&gt;i»tir en que no conocemos lo que andamos, El Sr. Floree. Estrada: «Todos convenimos, inclusos los Sres. Secreta como el que va en un barco por un río; y que es necesario que volvamos ia rios del Despacho, en reconocer el principio: ia di…</t>
  </si>
  <si>
    <t>…*e la p.é.ia censura por la razón de que no esta en el ca o de impugnar las observaciones que contra ella se han hecho; y lo mos en disposición de recibir este t&gt;í/n lodathi. Ei mismo señor ha cometi haré ligeramente, pues que el Sr. Domecq me ha precedido en esta parte. do también un error clásico en preguntjr que si U parle baji dei pueblo fuera »E Sr. Lnprz del Baño ha dicho que se podiia reducir ía petición í que ilustrada , qué sena de nosotros. Esto equivale á decir que La ilustración &lt;»s fu-. la cenara fuese solo por lo pertene…</t>
  </si>
  <si>
    <t>…stancia la comisión opinaba que no de viesen obligados á hacer otra nueva elección. Es necesario también piara esto bían aprobarse dichos documentos. tener presente la aptitud de los elegidos, cuando no hay tacha legal que opo El Sr. Domecq como individuo de la comisión leyó su voto particular, nerles. Por todas estas razones soy de-op*níoa de -que se -debe admitir «i voto reducido á que debían aprobarse los~podcrés 7 documentos de la aptitud legal del Sr. Dimecq, 7 desechar el dictámen de la comisión.* del Sr. D. Antonio Alcalá Galia…</t>
  </si>
  <si>
    <t>…y. He creído mayoría de la comisión se la permite hablar ilimitadamente, por qué á la mi siempre que puede interpretar la ley el que puede hacerla: el que no puede for noría no se le permitirá lo mismo! Tiene, pues, la palabra el Sr. Domecq.” marla, no puede interpretarla. No se puede,pues, decir que el Estamento ten El Sr. Domecq: «Este asunto tiene el inconveniente de tas verdades muy ga la facultad de interpretar la ley, mucho menos en el caso presente, que ha claras; al que las niega no hay modo de convencerlo. Dos leyes hay que ex…</t>
  </si>
  <si>
    <t>…a el acta de la anterior ,quedó tículo , quedó aprobado tal como se había redactado nuevamente por los Se aprobada. ñores peticionarios. Se mandaron pasar á la comisión de Poderes los del Sr. D. Esteban de Se leyó una adición del Sr. Domecq al art. 4-° reservada para este lugar, Ayala, electo Procurador por 2a provincia de Puerto-Rico. que decía ; «los negocios civiles tampoco serán juzgados por comisiones, sino Se p.osiguió la dócusion relativa á la petición sobre derechos fundamen por el tribunal competente, establecido con anterior…</t>
  </si>
  <si>
    <t>…e que prospere , 7 de «pie se la dá-el tugar que la cubierto dé los ataques del poder ; de ningún modo se puede dar otra inteli corresponde, y i que la hacen acreedora sos servicio*. gencia al artículo. La observación que hizo el Sr. Domecq también se podría « La necesidad y la política en todas épocas , y la necesidad en el día mas considerar pata este artículo; pero es necesario saber que no se trata de una particularmente por las desgraciadas circunstancia* en que se encuentra la Na causa particular; se trata «le Iodos los apañóles…</t>
  </si>
  <si>
    <t>…o en pro, pues diendo á que en los cuerpos deliberantes se coartaba con frecuencia la libertad ya lo habían hecho cuairo en contra de la propuesta. de los individuos con preguntar si el punto se consideraba suficientemente dis El Sr. Domecq apoyó la proposición manifestando que todas las disposi cutido; y dijo que esta fue una de las causas que á su parecer mas eficazmente ciones reglamentarias eran dirigidas á impedir los abusos de las mayorías, y a contribuyeran á destruir esta libertad en algunas asambleas de Francia en la hacer oí…</t>
  </si>
  <si>
    <t>…tiempo que^Jos bienes desamparada de Valladollid, con los documentos justificativos de la aptitud legal de ambos. están considerados como mostrencos, lo mismo se consideran los bienes perdíSe dió cuenta de haber sido nombrado el Sr. Domecq para la comisión dos. Las alhajas y dinero están en este caso: no hav una disposición en nuestra? de Poderes en lugar del Sr. Cuevas, que se halla con la licencia que le ha con leyes que excluya ios bienes perdidos. Si esto es evidente y cierto, no encuen cedido el Estamento. tro ra2on alguna para…</t>
  </si>
  <si>
    <t>…s padecimientos de la vista, y que Los Sres. Navas y Abargues insistieron en la misma idea que el Señor considerándola justa opinaba debía aceedcrse á ella, pasándose el oportuno avi Ochoa. so para el reemplazo de dicho señor. SI Sr. Domecq: «Yo creo que el Estamento no debe convertirse en El Sr. Mantilla dijo que este Sr. Procurador había hecho ya la misma so agente, y también creo que la comisión no debe hacerlo en tribunal. A una licitud hallándose casi ciego en las primeras sesiones del Estamento: que en comisión que duda, no se l…</t>
  </si>
  <si>
    <t>…erse que yo Be tratado" de cotnr «El captivo de haber-entendido la proposición en los términos en que se , batír la libertad de los Sres. Procuradores, y oponerme á que usen de ella'céln ha hecho, y que han parecido disonantes al Sr. Domecq, ya se ha manifestado toda latitud. .Nunca he pensado eneso ni pensaré; mas -lo que sí digo es que ‘-al Estamento; pero cqmtAyo no trato, de sostener las expresiones con que está esta libertad." tiene que sujetarse á las leyes y reglas que se han adoptado para redactada Ja misma proposición, sino s…</t>
  </si>
  <si>
    <t>…a de Hacienda á los Sres. marques de Montevirgen y mar tu de los buenos. Un corto número de victimas inmoladas en un pnne p o hu ques de Somerueios. bieran evitado muchísima sangre en lo sucesivo. Estos principios tan lumino - El Sr. Domecq manifestó que no entendiendo nada de Marina, se halla sos r tan conformes á U razón , los ha confirmado siempre la experiencia. Si ba en el caso de no poder servir en la comisión de este ramo. tuviéramos necesidad de acreditarlo, invocaría la sombra de un Tdrnjo*, de un El Sr. Presidente contestó q…</t>
  </si>
  <si>
    <t>…señor: pues todo lo dgmac hacer perder Se dió cuenta de otro oficio del Sr. D- Agustín Arguelles, electo Procu tiempo al Estamento y á la comisión.” rador por la provincia de Oviedo, en que expresaba que sus poderes se habían El Sr. Domecq. «La comisión ha dado tres dictámenes: l.° que se pidie quedado con su cquipage, y que mientras llegan presentaba los documentos de sen al Gobierno los antecedentes que citaban los acusadores: 2.° que se des aptitud legal. Se mandaron pisar á la comisión de Poderes. aprobasen los poderes del Sr. Echevar…</t>
  </si>
  <si>
    <t>…de las comprendidas en el Estatu en la que no consta mas sino que los otorgmies se comprometen á dar la ren to y Convocatoria, no debían aprobarse. ta señalada. Es, si se quiere, una obligación hipotecaria; pero esta no consti El Sr. Domecq leyó su voto particular, en que conformándose con el tuye la renta^que la ley de elecciones y Estatuto Rjbai requieren. dictamen de la comisión, opinaba que en atención á los méritos relevantes «Por lo tanto , la comisión no ha podido menos de dar su dictamen ar del Sr. D. Agustín Arguelles, y á qu…</t>
  </si>
  <si>
    <t>…por conveniente. Los que aprobaron fueron los Sres. Rodríguez Paterna, Rodríguez Veía, El Sr. Samponts expresó que no quería hacer uso de este derecho. García Carrasco, Miquel Polo, Medrano, Vahillo, Cabañil las, Vázquez Mos- El Sr. Domecq cedió el uso de La palabra que le correspondía, en aten coso, marques de Astariz, Cezar, Vifials, Bonel, Hubert, Martínez de la Ro ción i la hora. sa, conde de Villamena, González (D. Juan Gualberto), Santafé, marques de El Sr. Presidente suspendió en tal estado la discusión; y señalando para la Fa…</t>
  </si>
  <si>
    <t>…de Oca, quienes Ja cedieron al señor dictamen de la comisión, y últimamente el voto particular. La mesa, guiada Domécq por haber suscrito 4 ella. • por esta práctica, puso á votación el voto particular: si el Estamento determi El Sr. Domecq: «El incidente desagradable á que he dado lugar, me na otra cosa podrá hacerse.” pone en una posición verdaderamente embarazosa, y en que necesito mas que El Sr. Domecq: »Decidido ayer por el Estamento tácitamente, confor nunca la indulgencia con que el Estamento nie fia favorecido otras veces, y q…</t>
  </si>
  <si>
    <t>…iera ;ÍSdo^»u'ldictámeh; que si bien MI Sr^ González (Z&gt;. Antonio): »Habiendo decidido el,.Esteoáento ^q^e ahora se trataba dfeUHa preposición , era esta tal que iba ¿ sustituir un artículo., pase á la comisión la proposición del Sr. Domecq, no pucdt tqepoeidf del proyecto de ley ,-y que por tanto-debia merecer -: la ■ -ibi«óa consideración lo mismo--&lt;on tas de que se Va á dar cuenta, poirque son enteramente iguales én que aquel. Conozco bien lo qúe establece'el art. 95^del’ reglamento; mas1 su su esencia.” ...= '.. ; , puesto qúe cua…</t>
  </si>
  <si>
    <t>…tículo se tomaba en consideración, según acababa do mando por base los empleos que teniao antes del 7 de Marzo de 1820; y que leerse, se acordó asi. en su concepto, sin entrar en categorías de los que emigraron ó no emigraron, El Sr. Domecq observó que en vez de decir: «se hallaban en «1 goce de cosa agena de la cuestión , nadie era mas acreedor á consideraciones que los que sus destinos en esta fecha;” .convendría expresar: «de los que se hallaban en al habíaiL-pcrrcído en aquella época; por lo que pedia se tomase en consideración gu…</t>
  </si>
  <si>
    <t>…porqus no se desdeñan, clinaba á que debiera haberse fijado un término medio entre los desechados ya no, los Secretarios del Despacho en citarlas aquí, siempre que convenga); pero por el Estamento; y al llegar al propuesto por el Sr. Domecq, ha dicho que traer un Procurador á Córtes, al tiempo de fijarse los gastos de S. M. la Rei no era de 28 millones; por manera que la equivocación en asignar el término na Gobernadora, el ejemplo que ha-citado, en el mismo dia que se presenta medio no está mas que en un millón, como puede verse por…</t>
  </si>
  <si>
    <t>…as, pues apenas han trascurrido cuatro meses desde la reunían de las Córtes. Fúndase, ademas, en que el Sr. conde di habia declarado contra la indicación «Ademas el Estamento ba visto que ni aun se ha permitido leer en ¿1 las del Sr. Domecq j porque el término éftedío no eran 28, como proponía S. S., exposiciones que se le han remitido por algunos pueblos, que por cierto noy arguyéndole últimamente, porque afirma que hubiera votado 30 en vez de eran peticiones, ni tenian otro fin que el ilustrar Ja materia.que se discutía , ¿- 28, por…</t>
  </si>
  <si>
    <t>…órtes las que representan su contrado establecido, veo con sorpresa que los 8U0 á 900 millones de deuda lugar, y han de decidir en un caso de duda. contratada por las Oírles, y dejados de pagar en estos once años de triste me «El Sr. Domecq en la sesión de ayer hizo también algunas reflexiones, moria , los reconoce; pero no para pagarlos en este momento, bajo el especio que aunque conducían á probar lo que se habia propuesto, fueren tan espino so pretexto de que seria recargar demasiado al país. Esta misma consideración sas y resbalad…</t>
  </si>
  <si>
    <t>…a á todas horas, porque loque se dice en este lugar puede contratar úñ'empréstito _y percibir su impbtte, según los dos aspec resuena en toda la Nación, y el ministerio no teme su fallo. tos primero y segundo , presentados por el Sr. Domecq , y luego-.se. sanciona " El Gobierno ha sentado el principio de. que todos los empréstito; he el principio de que tratándose, de una deuda, existente de hecho , no hay. mas chos á nombre de la Nación «pañola, ó por ips Córte» ó por el Rey , son que cerrar los ojos y pagarla , entonces ; qué hacen…</t>
  </si>
  <si>
    <t>…ves, por medios naturales, y que no se les oponga un dique in el coloso del poder, la Nación y el Parlamento, que estaban acordes en su» ideas, adoptaron al fin una reforma apoyada solo por dos individuos, y se lle superable.” Et Sr. Domecq dijo que en la discusión anterior habia notado varias fal vó á cabo, variando nada menos que su Constitución por un bilí, por una ley, tas del reglamento: que no se habia limitadoá eso solo, sino que habia indica cosa que en otra parte hubiera costado torrentes de sangre. do también el indujo per j…</t>
  </si>
  <si>
    <t>…visto la exposición del coronel D. Antonio'Seoane , electo Pro- po que necesitamos para otros objetos, me parece que con arreglo á lo indica cifrador por la provincia de Sevilla, para que se le admita la renuncia que ha do por el Sr. Domecq, esta en el órden que se acuerde que el señor de que se cia de este cargo, á causa de-haber «ido-destinado de Real órden á continuar trata presente sus documehtos á fin de ver si tiene los requisitos legales nece sus servicios en el ejército del Norte, no podía menos de aplaudir los princi sarios p…</t>
  </si>
  <si>
    <t>…yó la exposición del goberna que después de haber estado bajo la salvaguardia del ejército francés, fue nue dor civil, y á Ja del Sr. Alcalá Zamora el artículo 2&lt;5 del reglamento. vamente entregado para ser inmolado en Madrid. EL Sr. Domecq d*jo era de sentir que. ¡debía aprobarse la elección hecha, «Los que ahora invocan nuestra compasión, no la tuvieron en verdad de porque en ella había presidido la mejor voluntad en los electores, cuando por nosotros en aquella época; y por consiguiente no es á la nación á quien deben otra parte no…</t>
  </si>
  <si>
    <t>…del mismo bre sus hombros una carga insoportable puerta por nuestra mar.j, y con el solo giro de expresión del Sr. Ministren jf, síy mil veces sí. % objeto de eludir el actual compromiso? Pero no vayamos tan allá. Nosotros se «El Sr. Domecq entre otros varios argumentos á que contestó aye^el Se riamos los primeros víctimas de nuestra inconsideración , pues las consecuencias ñor Caballero nos citó la ley' recopilada que previene que de cualquiera ma de este paso, ni son lejanas ni están envueltas entre las oscuras sombras del nera que…</t>
  </si>
  <si>
    <t>…arios; porque si no, pu los demas que no paguen contribuciones; y como por el artículo 2u del pro dieran cansarse á los ocho dias, y dejar el servicio.” yecto del Gobierno se permite que puedan componerse de voluntarios los ba El Sr. Domecq: «El voluntario que quiera hacer este servicio, aunque tallones de campafu, y al mismo tiempo el que los habitantes puedan ser re sea por poco tiempo, deberá ser admitido, mayormente cuando los apuros emplazados por los que se presenten á desempeñar dicho servicio, creo que de suelen ser en lo» pri…</t>
  </si>
  <si>
    <t>…e habiéndose xima legislatura, con arreglo al quinquenio último, pues no podría servir de regla general: que la interpretación de lenguas tiene sus aranceles; y que el unir hecho por escrito era claro debía.constar en el acta. El Sr. Domecq expuso que estaba conforme en que cada uno defendiese esta secretaría á la de Estado no produciría ninguna ventaja, por cuanto tenían que ser diferentes los oficiales de ambas: ademas que á la interpretación teníansus derechos , asi como en que no se atacasen los del Estamento , pero que creta que…</t>
  </si>
  <si>
    <t>Domécq</t>
  </si>
  <si>
    <t>…ar de otra. Sin embargo, por esta vez lo haré. Y,o no formo nunca mis pagase el dinero que dieron para áscsmarla ? Me parece que no. ' ■ resoluciones sin fundarlas en las razones que se me alcanzan.. La ..comisión de «Ha dicho el Sr. Domécq que esto no era una contribución. ¡Con qué Gobierno interior no tiene mas que cinco individuos : la comisión de ló Inte se paga este dinero! ¡El dinero que se recibe no se ha de pagar! ¡Para pagarrior abraza todo lo interior y exterior en «picha de entender 'el Estámedto, y ' le no se necesitará im…</t>
  </si>
  <si>
    <t>…sustituya al l.? del proyecto el l.°-y 3-° del (primero que el segundo? Pues tal es el caso en que yo encuentro a la Nación. dictámen de la comisión.’’ Dicen sus representantes que no deben pagar e^u deuda, porque no la recono El Sr. Domecq hizo presente que ¿l no había hecho ningún argumento cen sujeta á reglas de justicia; y yo seguramente creo que no perderá el crédi en favor del empréstito de Guebhard. to por esto, como si reconociese lo que no debe por debilidad ó consideracio .El Sr. La santal »No habia hecho ánimo de tomar la p…</t>
  </si>
  <si>
    <t>…irse la renuncia que do él hacia, pasando los avisos oportunos pata su puntó inútiles, especialmente cuando ya se ha extendido: añadiendo muchos, y reemplazo. no sin razón, que en este caso no. hacen mas que agravar los males. El Sr. Domecq pidió se sustituyese i Ja palabra renuncia otra que fuese . «Por ésto el Gobierno, como ya he dicho, Do puede proceder según el menos significativa, para noJgyxe^ne=cem-ella falta de voluptad ó de deseo ¿Mimen particular de sus individuos; y tieneque escuchar el de otras personas de servir ai-paísr…</t>
  </si>
  <si>
    <t>…uede añadirse á la 2.a clase de En efecto, el Sr. Polo y Monge leyó dicho dictámen, que es como sigue: los llamados para los batallones de campaña. La comisión de Milicia urbana, emcargada de informar sobre las adicio 2. a La del Sr. Domecq, por la cual pide «que los individuos que hayan nes al proyecto de ley para la misma, presentadas y tomadas en consideración, sacado la suerte para el servicio en el primer sorteó, no entren en suerte en es de opinión que la del Sr. marques de Falces, que dice: «Pido que en el ar otros de su clase…</t>
  </si>
  <si>
    <t>…es, que Art. 3.° Toda esta deuda extrangera se distinguirá en adelante en deuda debe admitirse la renuncia al Sr. marques de Grox.” activa y deuda pasiva. Su conversión en deuda activa y en deuda pasiva ce Et Sr. Belda: «Según el Sr. Domecq, parece que las resoluciones toma ejecutará en la proporción de una mitad en deuda activa * de otra mitad en das pop el E tamento hasta aquí, han sido contrarías 4 las renuncias, cuando es deuda pasiva. todo.lo contrario, pues han sido admitidas las presentadas; y hay una resolu «Los intereses atra…</t>
  </si>
  <si>
    <t>…to de la pe esto no dependerá del Gobierno; toca al tiempo y al celo de las autoridades tición, no entraba en la discusión dé ella; peta sí no podia menos de rectificar provinciales destruir tan dañosa preocupación.” una idea del Sr. Domecq , á su parecer inexacta^ cuál era la de que en España Sr. Domaq. «Con dificultad pudiera yo oponerme á un proyecto de pe eran nulas las leyes, y que no era'necesario dar otra nueva sobre la materia, si tición, donde están tan sabiamente expresadas todas las opiniones sobre la ma no cumplir las exis…</t>
  </si>
  <si>
    <t>…pinaba que no se le debia admitir la renuncia que ha risa en el Estamento y Jas galerías; prueban su absoluta falta de trato v con cia de dicho cargo. veniencias sociales que mentalmente le incapacitan para ser individuo de un El Sr. Domecq : «El Sr. E&gt;. Joaquín González Nieto se presenta por se^ cuerpo legislativo, en donde á cada momento daría ocasión á escenas iguales gunda vez haciendo su dimisión, y las cantidades que presenta como rentas que ofenderían su propio decoro, y degradarían la representación nacional. Las suyas asciend…</t>
  </si>
  <si>
    <t>…ha indicación, se acordó por el Esta la chancillería de Valladolíd ,de la de Granada y aun del Consejo de Castilla. mento no lomarla en consideración. Los tribunales habrán determinado en su caso con arreglo á justicia lo que -El Sr. Domecq presentó la indicación siguiente: «Pido que se añada en el hayan considerado justo; pero esto noypuede servir de regla para la decisión artículo después de ¡as palabras prestaciones devengadas las siguientes del del Estamento. Después, si se aprueba éste artículo., acudirán los que.se crean fiasco…</t>
  </si>
  <si>
    <t>…osición del Sr. D. Joaquín El Sr. Eerrer: «Creo quejhe entregado el poder, con loé demás docu González y Nieto, Procurador elicto'-por la provincia de Soria, pidiendo ,so mentos.” le admita la dimisión que hace de.dicho cargo. El Sr. Domecq: «También se gdmitió pn Ja'lijisma.smtoSraá-D^Andreáv, El Estamento quedó enterado de un oficio de la comisión de Aduanas, Arango, á quien lo&gt; facciosos habían cogido sus poderes con ía. corresponden?*—V participando haber nombrado decano de ella a! Sr. González Pérez, y secreta cía que Interceptar…</t>
  </si>
  <si>
    <t>Domecq, Francisco</t>
  </si>
  <si>
    <t>Francisco Domecq</t>
  </si>
  <si>
    <t>…no decir identidad, que mediaba entre la causa de Doña Alaría de la Gloria v S» aprobaron como proponía la comisión los poderes y documentos da la de Doña Isabel ir, había de establecer mas ó menos.pronto una alianza na V» Sres. D. Francisco Domecq , D. Francisco Javier UUoa y D. Fernando tural , íntima, permanente, como todas las que se fundan en intereses reales, Miranda, Procuradores por Cádiz y Lugo. y en el instinto de la propia conservación. También se aprobó despiies de una leve discusión el dictámén de la comi Afortunadamente el gabin…</t>
  </si>
  <si>
    <t>Domecq, SI Sr</t>
  </si>
  <si>
    <t>SI Sr Domecq</t>
  </si>
  <si>
    <t>…rgo por sus padecimientos de la vista, y que Los Sres. Navas y Abargues insistieron en la misma idea que el Señor considerándola justa opinaba debía aceedcrse á ella, pasándose el oportuno avi Ochoa. so para el reemplazo de dicho señor. SI Sr. Domecq: «Yo creo que el Estamento no debe convertirse en El Sr. Mantilla dijo que este Sr. Procurador había hecho ya la misma so agente, y también creo que la comisión no debe hacerlo en tribunal. A una licitud hallándose casi ciego en las primeras sesiones del Estamento: que en comisión que duda, no se l…</t>
  </si>
  <si>
    <t>Domeeq</t>
  </si>
  <si>
    <t>…ella deberá venir á satisfacer los deseos de la provincia que le ha elegido; y -probado su aptitud át efecto en la forma prescrita por la ley. por lo tanto se está en el caso de concederle entre tanto una licencia, que si la ' El Sr. Domeeq: «La cuestión en sí es dificultosísima, porque pende de guerra continuase se le podría prorogar. En este supuesto creo que el Estamen principios que no están admitidos, y por eso la comisioD ha tratado de eludir to deberá acordar por ahora que el expresado señor presente los documentos de la. Es un…</t>
  </si>
  <si>
    <t>Domicf</t>
  </si>
  <si>
    <t>…asi, ninguno querrá tomar dicho diario, porque sabemos y»*' la que solicita.” ' por la experiencia de la, época anteriorque le compraban muy pbeas personas.”- El Sr. Prueba: «Yo creo que será muy fácil cortar esta discusión ha El Sr. Domicf: «Yo creo' que no se pierde tuda en que pese este asun ciendo upa proposición formal. La exposiciondel Sr. Latorre es muy justa, y. to á la comisión, y se resolverá .con mas acierto. Los ejemplos anteriores no. ño te le puede negar su solicitud: por lo demás,, si cualquiera Se. Procurador, pueden s…</t>
  </si>
  <si>
    <t>Domin</t>
  </si>
  <si>
    <t>…guno el acta de unión entre Inglaterra e He venirlo en exonerar de las plazas de alcaldes madores de Je Irlanda. S. M. contestó dando gracias, añadiendo que también era su ánimo rez de la Frontera á D. Basilio García Manrique y a D. Domin conservar inviolable la alianza de los dos pueblos , y hacer cuanto estuviese en go Martínez Gal insoga. Tendréislo entendido , y lo. comunicareis á las facultades de la corona para remediar los males de sus súbditos irlandeses* quien corresponda.=Está rubricado de la Real mano.=En Aranjuez (Courie…</t>
  </si>
  <si>
    <t>…insalubridad. Al N. O. de Aro- ta, están unidas las vidas de ambos autores. che, y distante cuatro leguas y media , se halla la dehesa del Rosal, donde es — Elementos del arte de teñir, escritos en francés por M. Bertholler, por D. Domin tuvo la antigua aldea del Gáliego , destru.da por la invasión de los portugue—, go García Fernandez. Dos romos en 8.° marquilla, edición de 1795, á 18 rs. rama y ¿7 •es á mediados del siglo xvu, cuyo úlumo vecino casó en el lugar de hanta pasta común. En el prólogo de esta obra prueba su autor cuán…</t>
  </si>
  <si>
    <t>Domín, Angel</t>
  </si>
  <si>
    <t>Angel Domín</t>
  </si>
  <si>
    <t>…- t. tiene cumplido conoci ra, D. Eduardo Valle, D. José María A bel la, D. Anacido Martí, D. Ma miento. En dos pueblos ma* de la provincia se han presentada uno ó dos casos nuel Fuertes , D. Joaquín Acevedo , D. Manuel de Lucas, D. Angel Domín sospechosos, que hasta ahora no resultan caracterizados, y de este modo confio guez de. Soto, D. José Moreno, D. Francisco Javier Garay, D. Joaquín en poder preservar ¿ estos pueblos de tan horrible azote. García, D. José de Vivero y D. Antonio Bcloso: en álgebra D. Faustino Do Policía general. Me…</t>
  </si>
  <si>
    <t>Domingo</t>
  </si>
  <si>
    <t>…o para dar llerías de tierra en longitud, llevándose de encuentro ios árboles referidos, lle confianza y segundad á los buenos, como para imponer á los malos; y pór mi gó á las fábricas del cafetal la Granada , de la propiedad de D. Domingo de parte de este dia a las doce y media ya sabrá V. E. que la facción ha repasado Orta , las arrancó de raíz, haciendo el destrozo mas grande , cogiendo en ellas el Ebro dirigiéndose á S. Vicente. Los Tenientes D. Dionisio Arguelles, dei Á su familia, que se componía entre chicos y grandes en número c…</t>
  </si>
  <si>
    <t>…Sotomayor.................................................... . 4U0 ___ *En el últiíno año han viajado por el camino de hierro de Liverpool á Una señora que no manifestó su nombre............................................ 1&lt;j0 D. Domingo íande entregó 120 rs. por el presente mes de Julio, y Manqhester cerca de un millón de personas, con ia economía de una hora so ofreció igual cantidad en los sucesivo;, mientras dure la actual epi bre poco mas ó menos en el tránsito de cada una, comparándole con el anti demia. . . .1...............…</t>
  </si>
  <si>
    <t>…ga sobre la izquierda el alférez graduado de teniente del regimten- diato,neral , kenlascuyadocesecretaríade su mañana,catan deen manifiestolos estradoslosdepliegosla ordenaciónde condiciones.de dicha capitanía ge lo del Principe D. Domingo de lá Rosacon los 20 caballea-de su mando. «Como los vigías me dieron parte esta mañané temprano de observarse Nota. ^Eii el anuncio de la Gaceta núm. 317, léaae Plsdraletees en lugar de perfuego sobre la parte de Villareal, marché al punto en aquella dirección con dralaea. EN LA IMPRENTA REAL.</t>
  </si>
  <si>
    <t>Domínguez</t>
  </si>
  <si>
    <t>…el acta que se había abstenido de que sufre en poco tiempo una baja tan considerable. Creo por lo mismo que votar. se encontrarán mas prestamistas cuando bajo el plan presentado por el Gobier Se leyó la siguiente proposición del Sr. Domínguez: «Habiéndose presen no se vea que se quieren pagar los créditos que realmente se deben , que no tado la petición sobre los títulos Reales conferidos en la época constitucional cuando se ofrece pagarlos todos; porque mas bien se tiene fe en uno que pue antes que otras , cuya discusión está anunciada…</t>
  </si>
  <si>
    <t>…ó escuadrón; todo á fin de asimilar mas en lo posible b El Sr, Secretario del Despacho de Ejfado: «Me parece que'cuando ese Milicia al ejército.” " artículo habla de vacantes, se nota bien claramente que estos vacíos deben ser Ei Sr. Domínguez propuso que solo fuese el comandante, á;propuesta del Teerhpbzados por el método primitivo: asi, por ejemplo, cuando- Calta un se conseto de disciplina, el que nombrase ios sargentos, con lo cual se conformaba ñor Procurador, &amp; hace el reemplazo como se hizo la cTccoóñ. *, b comirion. g ■ »Aqui b*…</t>
  </si>
  <si>
    <t>…el ta cantidad debería, pues, liquidarse, entrando en un nuevo convenio, y re artículo , como que es lo mas aproximado á la justicia*” conocer lo que efectivamente se debiese. No obstante esto debería mas bíeo Habiendo pedido el Sr. Domínguez que se preguntase si el ponto estafas mirarse como un acto de generosidad que no de justicia, pues la justicia exi suficientemente discutido , se suscitó un ligero debate en qué tomaron parte loa gía no aprobarse nada de lo que por sí es nulo , puesto que los prestamistas Srcs. Trueba, Falces, Teja…</t>
  </si>
  <si>
    <t>…ene em ellas, al momento que se conociese asi, por no haber incurrido en dos faltas peño el Gobierno, aunque, repito, juzgo inútil la variación.” * mucho mas leves que la que motivase su expulsión. La otra observación es res '■El Sr. Domínguez: «Tal vez el Gobierno, ojendo las razones que ha pecto á los consejos de disciplina, y consiste cd que por mi parte nunca me tenido la comisión para ye ner el caso de a!.rema imprevista, aprobará su idea. conformaré con que la autoridad que imponga las penas sea menor que el con «No estando los iru…</t>
  </si>
  <si>
    <t>Domínguez, D Tomas</t>
  </si>
  <si>
    <t>D Tomas Domínguez</t>
  </si>
  <si>
    <t>…civil de la provincia de BurPROVINCIA DR MÁLAGA* ■gos D. Manuel de la Rjva Herrera con fecha dp 11 de Junio último* Sr. D. Francisco Javier de León QuiUy* Ha cuidado de asegurar La libre venta y circulación de grano®, removiendo Sr. D. Tomas Domínguez* cuantos obstáculos ée han opúesto á ella. Sr. D. Amonto Alcántara y Navarro. Ha continuado recaudando'los contingentes de pósitos, y activando la prcSr. D.Mariano Canillo de Albornos 'ttQtacijon de cuentas de este ramo* Sr. P. Miguel Gómez López. Ha facilitado á los inventores del betún de que hab…</t>
  </si>
  <si>
    <t>…en consideración. Las reclamaciones con tículo L°,y á la totalidad del 2.° del mismo proyecto, también aprobados. tra mercedes ilegales, y de consígueme viciosas, como por ejemplo las dona Se concedieron dos meses de licencia al Sr. D. Tomas Domínguez, Pro ciones henriqueíus, nada tienen que ver con lzjqr que nos ocupa; pues en curador por la provincia de Málaga, para que pase á su casa a fin de arreglar ella solo se trata del modo de reclamar, y de lai^Jte&amp;acion de los bienes que no sus intereses. tienen dueño conocido; pero U naturaleza de dic…</t>
  </si>
  <si>
    <t>…e ellos, ayudasen á los del nes, lo que siempre es un mal: al paso que todos los españoles se verán li «tro como auxiliares. bres de la congojosa posición que les resulta de no saber hasta dónde se ex Se aprobaron los poderes del Sr. D. Tomas Domínguez , procurador por tiende el delito, ni qué pena le corresponde con arreglo i fe ley. Soto esto la provincia de Málaga , según proponía la comisión de los mismos. seria, repito, una gran ventaja; pero también ofrece el proyecto otras mu También se aprobó el dictámen de la referida comisión de Poderes…</t>
  </si>
  <si>
    <t>Domínguez, Manuel</t>
  </si>
  <si>
    <t>Manuel Domínguez</t>
  </si>
  <si>
    <t>…cuera*. ? ya esta prov¡ncía.. 0«os guarde á V. E. muchos años* Toledo 5 de Mayo de En el 2.° batallón del insinuado cuerpo de la Reina, el teniente coronel 183^,—Excmo. Sx.rrGaspar de Goicocheá. = Eicmo. Sr. primer Secretario del D. Manuel Domínguez, capitán de la compañía de cazadores, D. Félix Gtií— Despacho de E^tadq. ; ’ tarte, teniente graduado de capitán ,y el subteniente D. Manuel Cácercs, am bos de la insinuada compañía; juzgo empero dignos de particular memoria 4 Partes recibidor en la Secretaria de Estado y del Despacho de la Guerra*…</t>
  </si>
  <si>
    <t>Dominguez, Manuel García</t>
  </si>
  <si>
    <t>Manuel García Dominguez</t>
  </si>
  <si>
    <t>…el dia 1.® del corriente en Extracto del pirte dado con fecha de 3 de Abril por el secretaria de la Gouvéa, El anterior habían sido desalojados de aquellas formidables posiciones subdelegaron del fomento de ia provincia de Cádiz D. Manuel García Dominguez, en ausencia del subdelegado. 600 miguelistas al mando del teniente de Rey nombrado para Almeyda, y reunidos por el capitán Mor de aquella comarca, llamado Bon, habiéndose con Se promueven los rompimientos de terrenos propios, y el subdelegado se ducido en aquel encuentro las tropas de S. M. la Rei…</t>
  </si>
  <si>
    <t>Domínguez, Manuel García</t>
  </si>
  <si>
    <t>Manuel García Domínguez</t>
  </si>
  <si>
    <t>…...... 598 139 7S ron 510 rs. al reintegrarles dicha suma. Satisfecha S. M. de esta generosa con Hospital de San ducta , se ha servido mandar se le dé publicidad en este periódico. Pablo............ 452 U/6 83 Por faUecimiento*de D. Manuel García Domínguez, quedó vacante la PROVINCIA DE CASTELLON DE tA PLANA. plaza de secretario del Gobierno civil de Cádiz, y S. M. la Reina Gober nadora se ha dignado ascender á ella en 1.* del actual 4 D. Joaquín de ViUat- Con fecha 9 del presente manifiesta su ^gobernador civil que en aquella ba, secretario del Gobi…</t>
  </si>
  <si>
    <t>Domínguez, Manuel Mana</t>
  </si>
  <si>
    <t>Manuel Mana Domínguez</t>
  </si>
  <si>
    <t>…. Ignacio Graells, en Barcelona: 1.a temporada, cedido. desde 1.® de Mayo á 15 de Julio: 2.a, desde 1.® de Setiembre á 15 de Octubre. S. M. el Rey de los franceses dió en esta ocasión una nueva muestra de su Olesa y Esparraguera. D. Manuel Mana Domínguez, en Barcelona: des interés en favor de la Reina nuestra Señora , accediendo no solamente á que de 1.® de Julio á 30 de Setiembre. los cumplidos fuesen conducidos en un buque «francés á Cartagena , sino tam bién licenciando el batallón entero para que viniese á la Península tal cual se EXTREMADURA.…</t>
  </si>
  <si>
    <t>Domínguez, Tomas</t>
  </si>
  <si>
    <t>Tomas Domínguez</t>
  </si>
  <si>
    <t>…il de la provincia de BurPROVINCIA DR MÁLAGA* ■gos D. Manuel de la Rjva Herrera con fecha dp 11 de Junio último* Sr. D. Francisco Javier de León QuiUy* Ha cuidado de asegurar La libre venta y circulación de grano®, removiendo Sr. D. Tomas Domínguez* cuantos obstáculos ée han opúesto á ella. Sr. D. Amonto Alcántara y Navarro. Ha continuado recaudando'los contingentes de pósitos, y activando la prcSr. D.Mariano Canillo de Albornos 'ttQtacijon de cuentas de este ramo* Sr. P. Miguel Gómez López. Ha facilitado á los inventores del betún de que hab…</t>
  </si>
  <si>
    <t>…consideración. Las reclamaciones con tículo L°,y á la totalidad del 2.° del mismo proyecto, también aprobados. tra mercedes ilegales, y de consígueme viciosas, como por ejemplo las dona Se concedieron dos meses de licencia al Sr. D. Tomas Domínguez, Pro ciones henriqueíus, nada tienen que ver con lzjqr que nos ocupa; pues en curador por la provincia de Málaga, para que pase á su casa a fin de arreglar ella solo se trata del modo de reclamar, y de lai^Jte&amp;acion de los bienes que no sus intereses. tienen dueño conocido; pero U naturaleza de dic…</t>
  </si>
  <si>
    <t>…los, ayudasen á los del nes, lo que siempre es un mal: al paso que todos los españoles se verán li «tro como auxiliares. bres de la congojosa posición que les resulta de no saber hasta dónde se ex Se aprobaron los poderes del Sr. D. Tomas Domínguez , procurador por tiende el delito, ni qué pena le corresponde con arreglo i fe ley. Soto esto la provincia de Málaga , según proponía la comisión de los mismos. seria, repito, una gran ventaja; pero también ofrece el proyecto otras mu También se aprobó el dictámen de la referida comisión de Poderes…</t>
  </si>
  <si>
    <t>Domnq</t>
  </si>
  <si>
    <t>…s renuncias , mucho mas estando apoyadas en enfermedades, Sr. marques de Falces , y que fue aprobada por el Estamento , la comisión dé la comisión te separaba de ella. Hacienda presenta su dictámen en los términos siguientes: £{( Sr. Domnq: «Si á todo el que hace renuncia se le hubiera de conce «La comisión ha acordado por unanimidad, y conforme con el Sr. Secre der) inútil hería que las solicitudes dirigidas 4 este objeto pasasen á la comi tario del Despacho de Hacienda t redactar el art. 2.° que te le ba pasado del sión.para su exi…</t>
  </si>
  <si>
    <t>DomRabei</t>
  </si>
  <si>
    <t>…facultativos, formando un enérgico contraste con la birtórá inliumanidad errt^leádá por Zumalacarregui y satélites cuando Consejo y Cámara de Castilla, y tpu¡eri&lt;)o presente los buen.op yervos» y firme -dhesion4.su augusta Hia la,Reina DomRabei h de lossugetos ..guíenles, asesinaron impunemente eh Heré'dta á los desgraciados prisioneros alaveses. * w¿’i4o en npmbi¿r - fsr» V plaza d¿ juez civil de Cadiz aJI. francisco Be; S. M. ha mandadó dar las mu eficaces gracias á las dignas hermana» de la &amp;¿f Navarro; Mra^a va^ fie alfaide, mayo* 4c…</t>
  </si>
  <si>
    <t>Domrcq</t>
  </si>
  <si>
    <t>…anto debe justificar, se siente en Art. I*0 La libertad individual es protegida y garantida: por consecuencia «1 ¿lamento, pues posee los 123 rs. de renta. ' . ningún español puede ser obligado á hacer lo que la ley no ordena. El Sr. Domrcq: Me parece'que esta cuestión no debería ocupamos, pues Se leí ó la lista de los Sres. Procuradores que tenían la palabra y eran en basta en mi concepto para que un Sr. Procurador sea admitido como tai, que pro: González (D- Antonio) y Caballero: en contra la ^«dtó en_cl acto el Se ténga la renta al…</t>
  </si>
  <si>
    <t>…rno y el de igual número de la com»ion , dijo vista de sus documentos quedase admitido como Procurador.*’ El Sr. Visedo, como individuo de la comisión: «Si las circunstancias no EI Sr. Medrano' «Yo creo que con lo que ha dicho el Sr. Domrcq de hubieren dado Jugará que en los pueblos se formase anteriormente &gt; la Milicia bía estar satisfecho el Estamento de que el punto, que se discute es la admisión urbana por diferentes medió*, hubiera sido muy sencilla la organización de clia ó no de la renuncia de que se trata; pero al misino tiempo o…</t>
  </si>
  <si>
    <t>…ue que te le han mandado trasladar i España los fondos que tiene en Francia: no tiene los requisitos legales, y ademas renuncia por su voluntad.” aunque da otras razones ,- en esta es en la que se funda para hacer su renuncia. El Sr. Domrcq: «Pido que se lea la primera exposición de! Sr Varl-íln.” Siempre que se pruebe que los que tienen sus fondos en pais extrangero no El Sr. Lopct. "Esta cuestión va saliéndose de su lugar. Lo primero que pueden ser Procuradores i Cortes, soy del dictámen de la comisión; pero si se nos presenta es un…</t>
  </si>
  <si>
    <t>Domtcif</t>
  </si>
  <si>
    <t>…e anunció' que iba á continuar la discusión pendiente soSi Sr. Midraaó: nYi ha dicho tm digno compafiero que citando el Es bre la deuda éxtiaugérm... , tamento trató la ota vea esta cuestión, resolvió termiñanfeménte qué no se Éi Sr. Domtcif: u Tornó UpalabrZ paraddshacCT un error notable que se edvnit*ete ¡t I que se refiere el dietámen. XA comisión no ha po ha cometido por «moda las periódicos de estacapital fa la aestOo de ayer, di dido menos de partir dtfestc principio. Por confesión del mismo Sr, Procu ciendo que yo aprobaba el em…</t>
  </si>
  <si>
    <t>Domtcq</t>
  </si>
  <si>
    <t>…eno que hoy,y por» lo mis cinco ú seis mas ó menos. Esto no es teoría nueva, como ha dicho S. S., sino mo espero combatir victoriosamente el dictamen que se ha presentado. muy antigua.” »Principiaré diciendo que en mí concepto el Sr. Domtcq y demas qué fl Sr. Isturiz: «Para rectificar un hecho. Por eso mismo de que no es han firmado la propuesta de 28 millones se han equivocado respecto de su teoría nueva, he dicho que puede reducirse al refrán de adonde va el mar, que idea; y su equivocación es material, pues 28 no es el término medio…</t>
  </si>
  <si>
    <t>Don, Antonio Martínez Arroyo y</t>
  </si>
  <si>
    <t>Antonio Martínez Arroyo y Don</t>
  </si>
  <si>
    <t>…uno de ellos, el barón Bulow,está de Valencia y dos de alcaldes del crimen de- la misma, también vacantes por en vísperas de-partir. La Francia está representada en la corte de San James por fallecimiento de D. Salvador Miralles, D. Antonio Martínez Arroyo y Don un secretario de legación; el Austria por un oficial llamado consejero de la Toribio Parfrondi, á D. Vicente del Campo, D. Ramón Rodríguez de Veembajada; la Rusia por un miembro subalterno del cuerpo diplomático coh lasco y D. Manuel Sánchez Cid; para una alcaldía del crimen de Albacete y carácter…</t>
  </si>
  <si>
    <t>Don, Cayetano Valdés y</t>
  </si>
  <si>
    <t>Cayetano Valdés y Don</t>
  </si>
  <si>
    <t>…rodujo, diversos efectos; promo De conformidad con el dictímen de la misma comisión acordó el Esta viendo ya una especie de conciliación entre los interesados (segundos principios mento la admisión definitiva de los Excmos. Sres. D. Cayetano Valdés y Don de conciencia interior de cada uno, mas eficaces que las mismas leyes), ya va Luis Balanza, en vista de haber hallado arreglados los Reales nombramientos rios juicios, litigios y fallos, unas veces sobre el reintegro ó recobro del capi que ambos tenían presentados. tal por medio de la retención de la…</t>
  </si>
  <si>
    <t>Don, Excmo Sr</t>
  </si>
  <si>
    <t>Excmo Sr Don</t>
  </si>
  <si>
    <t>…ble, Junta superior de Caridad. y convencer á los demas de que la sumisión es su único recurso. Mehemet-Alí Ija enviado á su hijo muchas tropas de refresco, y él mismo va ahora á juntár Excmo. Sr. presidente, gobernador y espitan general.=Excmo. Sr. Don sele con una escuadra para ayudar con su consejo y experiencia á la pacifica José Ricardo O-Firrill ==Sr. D. Anastasio Carrillo y Arango, alcalde ordinación de Siria. Hoy se ha verificado su salida del puerto, acompañado del coro ri&lt;i.=:Conde de Santoven¡a.=Coronel D. Francisco de Verlasco.zrPrior…</t>
  </si>
  <si>
    <t>Don, Infante</t>
  </si>
  <si>
    <t>Infante Don</t>
  </si>
  <si>
    <t>…n efecto, expedientes que bajo la división y régimen antiguo El 10 del presente mes es el cumpleaños del Sermo. Sr. Infan habrían necesitado una semana, y se han despachado mejor y con te D. Femando María Mariano, hijo del Sermo. Sr. Infante Don mas arreglo a los principios de justicia: porque con mas reflexión Francisco de Paula; y siendo dia de media gaia sin uniforme, se se puede atender al examen de las reclamaciones y documentos en anuncia al público para corregir la equivocación que se ha pade sin* quinta echada sobre doscientos ó tr…</t>
  </si>
  <si>
    <t>…nión: el he creta que era una cosa perfectamente entendida que faltando las dos augustas cho es que la retiró. ¿ Esto debe constar en el actaí Para eso son las sesiones Hijas del Sr. D. Fernando vn sin sucesión, esta recaía en el Sr. Infante Don públicas, para que todas oigan las razones que se dan, diferenciándose en esto Francisco de Paula y su linea, según nuestra legislación, por la decisión que de las secretas. En el acta no deben ponerse sino los acuerdos. No convengo acababa de pronunciar el Estamento. Yo contesté al Sr. Secretario…</t>
  </si>
  <si>
    <t>Don, Joaquih Padilla y</t>
  </si>
  <si>
    <t>Joaquih Padilla y Don</t>
  </si>
  <si>
    <t>…ito y Milicias r bios ni perdonado sacrificio para atender al socorro de sos’ convecinos ' hace provinciales que existen en esta corte, excepto la Aterra empleada en el necesario particular mención de los facultativos de medicina D. Joaquih Padilla y Don servicio de U misma, y toda la, Milicia urbana , apoyando la derecha de la Ramón Teixido, enviados por la Real academia de medicina y cirugía de Bar linea de batalla en la. fuente de la Cibeles, y prolongándose pot toda Ifs ex celona , los cuales habían desempeñado cumplidamente su peligrosa comisi…</t>
  </si>
  <si>
    <t>Don, José Vaseti y</t>
  </si>
  <si>
    <t>José Vaseti y Don</t>
  </si>
  <si>
    <t>…he podido disponer , que batí al tercer batallón de también , y á sus dignos oficiales el teniente graduado de capitán rebeldes de esta provincia, capitaneado popel cabecilla Iturriza, es D. Manuel Morgade , y á los subtenientes D. José Vaseti y Don de mi deber detallar á V. E. la operación, para que tomando en Juan Bolangero, por los esfuerzos extraordinarios que hicieron consideración todos los pormenores, pueda formarse el verdadero para alcanzar al enemieo.cz: juicio del mérito de la marcha de ayer, del de la gloriosa acción F.l distinguido m…</t>
  </si>
  <si>
    <t>Don, Juan Bautista Hernández y</t>
  </si>
  <si>
    <t>Juan Bautista Hernández y Don</t>
  </si>
  <si>
    <t>…cefon de una máquina dé serrar bano, con. un piquete de los milicianos, en busca del alférez Reql, que perrna- tablas, movida por el agua, y en beneficio de sus propios, demas de otra que ñecla en su morada con los reyes de armas D. Juan Bautista Hernández y Don. está en uso, perteneciente al rtrismo pairitní'ñio; curo nuevo ingenio, sirviendo Jiian de la Cruz Moíales; cuyos tres individuos, unidos i los primeros, posa de aumento por sus rendimientos al caudal común, presta el n&amp;erb impulso que ron á la casa capitular. Aquí fue donde el alférez Real recibió…</t>
  </si>
  <si>
    <t>Don, Juan Sacíe y</t>
  </si>
  <si>
    <t>Juan Sacíe y Don</t>
  </si>
  <si>
    <t>…la mis— -ma¡ paré que dentro del preciso-término de.tres meses tempateca i percibir la canti ■'”ÜÍWé!l&amp;tPP de tirbana,el¡¡aftménto de.14» comptáfiíás.de seguridad, dad que le corresponde de los testamentarios del difunto Berna 1, D. Juan Sacíe y Don “•’ ^jeron de eahalloa, y montura», y;.d*B»a8 0iedidas prescritas por Real» 'Gabriel¡Serraba, s-etinos de 1» referida villa; con apercibimiento qué pasado dicho termino sin haber comparecido i hacer su reclamación por si 6 por medio de Si¿¿ que legftinmméntelerepresente,Iepararáperjuicio. ^Dtrraona…</t>
  </si>
  <si>
    <t>Don, Juíto'Máríalbar Navarro</t>
  </si>
  <si>
    <t>Juíto'Máríalbar Navarro Don</t>
  </si>
  <si>
    <t>…completamente satisfecho , y convengo en duque de Gor, marques de Guadalcazar , conde de Guaqui, duque de Hijar, ■qntt la-discusión ha'-ácláraldo este punto importante manifestando á la nación conde de Humanes, Obispo de Huesca, D. Juíto'Máríalbar Navarro ¿Don que hace mas de nueve añas está sufriendo los males que ahora palpa , y que Ramón López Pelegrin , obispó de Lugo , marqués deMalpica , IX Antonio •el Gobierno de ese tiempo se puso por sí mismo en una posición desventajo— Martínez, duque dé Medinaceíi, arzobispo de Méjico’, marqués de Moncayo, •fs…</t>
  </si>
  <si>
    <t>Don, Miguel y</t>
  </si>
  <si>
    <t>Miguel y Don</t>
  </si>
  <si>
    <t>…—€op'gran placer anunciamos 4 nuestro» lectores que ya se recogen los frunot ddl'tntt'ado de la'cuádruplá.alúinza. La guem civiite ha concluido en Por o- ESPAÑA. ■■ ' -H tugal: &lt;1 íiékcito míguelista Se ha rendido f Doña María, y D. Miguel y Don . * 1 t . jCáriós acabats de cmbarcarseen un navío de guerra ingles. Madrid 15 d*. Junio.* ' Después de la victoria conseguida por el duque de Terceira- cerca de Tho- El 30 de Mayo último D. Juan Bautista Vidmncta con 4 celadores de •nMr ioa tniguetísta*, tomo antes anunciamos, abandonaron precipit…</t>
  </si>
  <si>
    <t>Don, Pablo Nicolás de S Pedro</t>
  </si>
  <si>
    <t>Pablo Nicolás de S Pedro Don</t>
  </si>
  <si>
    <t>…de Moya»cortasyCantidadesfn Valladolldde mra.en jalos1‘breriaherederosde deRodríguezlos seño la táctica de las. tropas: de la fortificación de las plazas, y de un ejército en cam res capellanes de honor difuntas D. Joaquín Diez; D. Pablo Nicolás de S. Pedro. Don po abierto: de lés máquinas;de defender y atacar las plazas, de las máquinas au Joaquín Villanueva, D. Luis Belrrart, D. Vicente Sánchez, D. Basilio Salcedo D Nfc colas.Esrerripa, D. Pedro Obando, D. Mateo Obregon, D. Luis Toledano. D Blas de xiliares para pasar nos, y otros usos de ésta naturaleza…</t>
  </si>
  <si>
    <t>Don, Rey</t>
  </si>
  <si>
    <t>Rey Don</t>
  </si>
  <si>
    <t>…endir] Gaceta extraordinaria de esa corte de 29 de Setiembre último y de la ordinaria el tributo de mi sumisión á la Runa nuestra Ser. &gt;ra , y de rogar a I). is , c&lt; de 3 de Octubre, en que se anuncia el fallecimiento de S. M. el Sr. Rey Don mo lo hago, que le conceda un largo y feliz reinado, bupljo a Y. E. que po- j Fernando vil (Q. E. E. G.), H advenimiento al trono de la Reina nuestra niendome á los pies de S. Ai. la Runa G. &gt;bcrnad--m , ie rigi pre,entes e&gt;tov Señora Doña Isabel ir, y que durante su menor edad regirá la monarquía…</t>
  </si>
  <si>
    <t>Doña'</t>
  </si>
  <si>
    <t>…condicione»., ro de 18S4'«ior-el'Gobierno de S. M.-i sus- representantes éa laiicorlesextrao-. ' Sóbrela pauta (te esta- Comunicación impostante «e trazaron Jas instruc gertt'retpectb al' reconotimiento de S- M&gt; la. Reina nuestra Señora Doña' ciones que se dieron al marques de Miradores, nombrado por 5. M. rainutep UAWt (ut -f 4^nlMttuédoo dada al .ctnbajatlqr «sfjifcl, &lt;j¿ con igual plenipotenciario en I». corte de Londres r yen el mimo sentido se extecífieróh sni», jó rM;;.;: iv; i t , £ . ¡as qtte'poeo después se crénntiicarrmál duqu…</t>
  </si>
  <si>
    <t>Doña, Casimiro y</t>
  </si>
  <si>
    <t>Casimiro y Doña</t>
  </si>
  <si>
    <t>…el juicio de abintestaro dét&gt;. Antonio García de Vargas, qué falleció én ésta cor los moravos perseguidos en su patria á fines del siglo, xv. Decidiéronse, pues, te ep 25 de Julio último, en el cual y á instancia de sps hermanos D. Casimiro y Doña á visitarlos; pero el primer rumor que hirió sus oidos al llegar á Kuebischa, María, se ha mandado citar á su.vjuo* DonadOra Recuero y su hijo D. Antonio.Gar cía Recuero, cuyo paradero se ignora; para que en el término de 30 días contados residencia del gefe de aquella tribu, fue el grito de los ul…</t>
  </si>
  <si>
    <t>Doña, Gobernadora y la Serma Sra Infanta</t>
  </si>
  <si>
    <t>Gobernadora y la Serma Sra Infanta Doña</t>
  </si>
  <si>
    <t>…andoejecución.se observe,Dado enimprima,el Palaciopubliquedel gobiernoy circuledelá Astado,quienes toen Toluca á 8 de Julio de i834*=José María Esquível.crJ. M. Cora, secretario. S. M. la Reina nuestra Señora, su augusta Madre la Reina Gobernadora y la Serma. Sra. Infanta Doña María Luisa, continúan Idem 6 Je Julio. sin novedad en su importante salud en el Real Sitio del Pardo. Hoy se ha celebrado en la catedral la solemne función del primer día del ® triduo que el cabildo metropolitano ha dispuesto hacer a la Divina Providen cia, en acción de gracias por el triunfo que…</t>
  </si>
  <si>
    <t>…...... 4°° sos too- ------------ARTICULO DE OFICIO. ---------- fue declarado. Y”de Real "Órden &amp;c. Madrid fG de Setiembre de 1854.=E1 conde de Toreno.=Sres. directores de Rentas. S. M. la Reina nuestra Señora, su augusta Madre la Reina Gobernadora y la Serma. Sra. Infanta Doña María Luisa, continúan sin novedad en su importante salud en el Real Sitio del Fardo. PARTE NO OFICIAL. NOTICIAS EXTRANGERAS. MINISTERIO DE HACIENDA. Reales órdenes. ALEMANIA. Francfort 25 di Setiembre. Conformándose S. M. la Reina Gobernadora con el dictámen del Consejo Real de España é Indias en…</t>
  </si>
  <si>
    <t>Doña, Infanta</t>
  </si>
  <si>
    <t>Infanta Doña</t>
  </si>
  <si>
    <t>…o bastado las medidas vigentes de policía urbana á Ér6riíolván: Si TM.' laTlRHiiA nuestra Señora, y sú augusta Madre evitar los incendios que la imprevisión de los particulares ocasiona la Reina Gobernadora, é igualmente S. A. la Señora Infanta Doña en Madrid; experimentándose que estos fatales accidentes se pro María Luisa, continúan sin la menor novedad en su importante sa pagan mas de lo que debieran por insuficiencia y falta de unidad lud. De Real orden lo digo á V. 'E. para su satisfacción v efectos en los medios destinados á extinguirlos…</t>
  </si>
  <si>
    <t>…r luíante D. Francisco de Paula Antonio: á uno v otra larin Excino. Sr.: S. M. la Reina nuestra Señora, y su augusta Ma del Trono en pie los Secretarios del Despacho; detras de las Peno-' dre la Reina Gobernadora, como también la Señora Infanta Doña ñas Reales los Gefes de Palacio, las Damas de honor ¡y personas de María twsa, continúan sin novedail en su importante salud. De la servidumbre que hayan designado SS. MM. y A. Real cfrdfen lo participo á V. E. para su satisfacción y para los efec A la derecha del Trono y al pie de la última erada…</t>
  </si>
  <si>
    <t>…das en los artículos anteriores se enten portante salud. derán sin. perjuicio de las que deban imponerse, previa la compe tente formación de causa, a los que con la asonada ó tumulto bayas Del miaño beneficio disfrutan SS. AA. la Señora Infanta Doña cometido asesinatos, incendios, rollos ú otros delitos. María Luisa y el Sr. Infante D. Francisco de Paula. Art. 7? Todo empleado de cualquiera clase que sea aprehendi do en un grupo sedicioso, después de tas intimaciones de ja autori De Real orden lo participo á V. E. para su satisfacción y efec d…</t>
  </si>
  <si>
    <t>…sfruta Rían A Gobernadora en el Real palacio jílt'últa SO de Junio. 1 ' , de 'Riofrio. También- ¿oía de perféctasáíud en el expresado ReáT La comisicD-compuesta dé dos presidentes de la cancillería y dos pracnBgh sitió la ’Serma. Sra. Infanta Doña í^ajría, Luisa. ‘ dores generalesque habían, sido encargados de lostrabajat prrpn ifiiiinl ieTT las*decisiones deUos Estados el JL^ide. Mayó dp este afio, acaban de.recSvüA órden de presentar proposiciones relativamente si establecimiento dc.sca.arosgfcx , MUS16IBRIO DE HACIENDA, DE INDIAS. mas ven…</t>
  </si>
  <si>
    <t>Doña-IsABEL</t>
  </si>
  <si>
    <t>…la casa consistorial en el mismo órden y en medio de un lucido acom pañamiento é inmenso pueblo, que no cesaba ide repetir con entusiasmo de Con fecha 15 del corriente dice tu gobernador ciVÜ que en aqo*{ mismo placer vivas 4 la Reina Doña-IsABEL ti: cuando llegó á las puertas de la sala día se declaraba en estado de completa salud la villa de Monta, por babor des capitular , se encontró formada la tropa para hacer los honores correspondien aparecido del todo la enfermedad que la afligía , de cuyo beneficio dttfrurébr tes al Real pendón com…</t>
  </si>
  <si>
    <t>Doña.Isabel</t>
  </si>
  <si>
    <t>…r sin' embargo que el gobierno, de la Gran Bre El cond.e de Santa Ines, residente en la Habana, impulsado de taña consienta en que se retire este hábil diplomático hasta que esté terminada su decisión en favor de la Reina.nuestra Señora Doña.Isabel ii, ha la obra á cuya formación debia contribuir, esto es, la constitución politiza de ofrecido poner á su costa en el ejército dos soldados que defiendan la Bélgica •, por. lo cual debe suponerse, que U-perspicacia de sir Roberto Adair sus legítimos derechos, y hacer el donativo de 100 uniformes p…</t>
  </si>
  <si>
    <t>Donadeu, Josef</t>
  </si>
  <si>
    <t>Josef Donadeu</t>
  </si>
  <si>
    <t>…a columna que ataco a los rebeldes de frente; al teniente graduado soua DB coMBRCio_»CW¿Sd9¿70tt de hoy ¿ las tres de la tarde. de capitán D. Antonio Gatell, al de la misma clase D. Salvador Negravcruiz, y al subteniente graduado D. Josef Donadeu, á los sargentos primeros D. Fran XVBCTOS PUBLICO*. cisco Alejo, Bartolomé Maqueda, Francisco Vázquez, Mariano Vázquez, al Inscripciones sobre el gran libro al $ p, zoo, oo* cadete D. Joaquín Vara de Rey, que siempre siguió á mi lado, y después al Dichas id, al 4 p. 100, 00* del Cápitan Sarasa, cua…</t>
  </si>
  <si>
    <t>DoñaIsabel</t>
  </si>
  <si>
    <t>/ Niím. ¿5. Domingo 6 de Abril de DE MADRID ARTICULO DE OFICIO. PRUSIA. Berlín 10 Je Mano. , IáRjítttA nuestra Señora DoñaIsabel ir, y S. M. la Reina Gobernadora, signen en el Real sitio de Aránjuezsln novedad en Se habia extendido áqui la voz de que nuestro embajador éñ sn importante salud. París, el barón de Werther, habia sido exonerado de éste em pleo, á causa de que el gabinete francés estaba descontento cón ¿1; Del mis…</t>
  </si>
  <si>
    <t>Doñalw</t>
  </si>
  <si>
    <t>…y otras con separa plarmente sin distinción alguna á los que intentan arruinar los fundamentas] ción de sexos, haciéndome conocer los medios de dar ocupación á los arresta-í do justicia que sostienen, el trono de la R&amp;tna nuestra Señora Doñalw^ü dos, y de sacar de estos brazos ociosos todo el partido que sea' posible, tanto bkl ii; en poner freno á los que se excedan de cualquier «*xk&gt;; y en %oÉoen favor de los mismos, como del bien público. Lo que comunico á V. S., pa car el espíritp de sedición. (Id.} ra que-sirviéndose reunir a la may…</t>
  </si>
  <si>
    <t>Doncel, Manuel García</t>
  </si>
  <si>
    <t>Manuel García Doncel</t>
  </si>
  <si>
    <t>…las aguas \ de las tempestades , sino tamb en del fuego. En ¡a noche del 11 Para la plaza de regente de la Real audiencia de Mallorca, va al 12, estado un incendio tembie en un buque de 64 cañones, que cante por fallecimiento de D. Manuel García Doncel , nombro á se hallaba andado en el puerto, v aunque afortunadamente no te D. Joaquin Re,-. Tendréislo entendido, v 1&lt;&gt; comunicareis á ouien nia poli ora .1 su bordo, ha sido c.1,1 todo devorado por ¡as llamas. corresponda.—Está rubricado de la Real mano.—En Aranjuez a 11 Mehemed.-Ali está con su, m…</t>
  </si>
  <si>
    <t>Donde</t>
  </si>
  <si>
    <t>…proyecto de ley sobre presupuestos.” que es sobre la que debe recaer la votación , y votación nominal, ¿Se han llena El Sr. marques de Tórremejía.: «El Estamento no puede entrar en la do estas condiciones que la ley previene? No señor. Donde las condiciones» de discusión particular de los puntos que abraza un proyecto de ley sin que antes la4ey-nó se llenan , hay infracción. lo vote. Asi lo determina el art. 92 del reglamento de una manera terminan «Parece que ha causado escándalo mi proposición en ciertos banco*'"No te; y sea que empecemo…</t>
  </si>
  <si>
    <t>Donoso, Juan Jiménez</t>
  </si>
  <si>
    <t>Juan Jiménez Donoso</t>
  </si>
  <si>
    <t>…ermo, sin que hubiese,ocurrido ningún fallecimiento. ADUNOOS. Obras quf se Sueltan de venia en el despacho de la Imprenta Reai. Despertador ó avisos para la instrucción déla juventud militar en el rompimien to &lt;le una guerra, por D. Juan Jiménez Donoso, ingeniero en segundo de lasReates Otras poéticas de D. José Somoza, cuaderno segundo. Madrid 1834- ejércitos. Cinco tomos en 4-°. edición de 1794, á 3Ó rs. raina y 61 pasta comnn. Trata esta obra de la conducta de un joven en campaña, sus obligación^ como' oficial, pre Este cuadernito contiene un…</t>
  </si>
  <si>
    <t>Dorñecq</t>
  </si>
  <si>
    <t>…die: ;Se la puede hacer un gado del Sr. Galderob es de fechl del año 1825 , y que en el año 1828 se in cargo por esto? corporó en el coiegio de la Coruña-” • Me parece que debe fijane por regla general que se presente la fe de El Sr. Dorñecq: «Alna de las comisiones mas odiosas en el Estamento es* bautismo con todos los demas documentos, pues confieso que he extrañado la Comisión de Poderes, pues sa encargo no esmas que ir contra la voluntad mucho'que no se haya verificado asi hasta ahora.” de los particulares, diciendo á unos que debe…</t>
  </si>
  <si>
    <t>Dot, Jaime</t>
  </si>
  <si>
    <t>Jaime Dot</t>
  </si>
  <si>
    <t>…personas fallecidas en la ciudad de Granada en los gidor de esta villa, refrendada del escribano del número de la misma D. Nicolás de dias que se expresan. Ortiz, por cuyo juzgado y escribanía penden los autos de testamentaría de D. Jaime Dot, vecino y del comercio que fue de esta corte; se ha señalado para junta geneDías. Varones. Hembras. Párvulos. Total. ra^ de acreedores á los bienes quedados por fallecimiento de dicho Dot, el domingo 9 del próximo mes de Marzo y hora de las nueve de su mañana en la posada de S. S. \ ------ Se eirá…</t>
  </si>
  <si>
    <t>Dotmccq</t>
  </si>
  <si>
    <t>…'y&gt;*t«i pr¿*6*f&gt;«i no te udu rr.r*-**. do, El Sr'. Métrtttfrt, M U Ueiaí «Tisfa ta dideultad e»lí, i mí entender, y«nim ti gw *é teví'te^'' H*s te.v. que «e- ue.la.de oiUí coo cj «u. ,,.*&gt; 4*4: en dmodo de i»gerit la aclnmúa del Sr. Dotmccq, «t el artículo de qoe ¿ la pasivo»*. .y «O» olí,**f‘ &lt;** fc*‘u aj&gt;.ute«k&gt; tegua «Mi, Tendrían».,» a tru Malte, . sts* i &lt;a otsc» lyr.■*»■■*» tü a «csn-S. »km i mía muy íav( «juc lod-. »*, ■ - La primera pane de ette.qne dices *»la lep no tiene efecto retroaetiro" p»hss e\ isMstrM* vía pvtesgc vts»…</t>
  </si>
  <si>
    <t>Dotnecq</t>
  </si>
  <si>
    <t>…l Sr. Ochoa dijo que le parecía que el citado decreto era anterior al Concluyó pidiendo el Sr. Pálarea que se leyera- el documento que habia año 30. presentado el Sr. Calderón; á lo que accedió el Sr. Presidente, leyéndose por El Sr. Dotnecq: «Se han confundido dos cuestiones muy distintas: pri el referido individuo de la comisión. ' . • ’ i ' mera , si se debe admitir ó no al Sr. Calderón: segunda , ;debió pedir la co El Sr. Medrano: «La comisión ha tenido presente que-el título de abo misión ese documento que 00 se pedia antes á nadi…</t>
  </si>
  <si>
    <t>Dotrufigo</t>
  </si>
  <si>
    <t>…duda con el objeto de S. M. se ha servido nombrar intendente de Aragón al de Palencia D. Do dar pruebas de interés al embajador de Inglaterra, que se cree vá á hacer su mingo Jiménez: para U intendencia de esta última provincia á D. Dotrufigo" dimisión voluntariamente en caso de que llegue á constituirse e! nuevo gabi López de Castro, superintendente de la Real fabrica de tabacos de Madrid: pa nete. Figuraba también entre los concurrentes, el Duque de Orleans, quien se ra la de la Mancha á D. José María Sánchez Chaves, que antes servia…</t>
  </si>
  <si>
    <t>Dowamd</t>
  </si>
  <si>
    <t>…igir. ¡Seria el vorort el único que ignorase lo que se ha hecho en la princesa María de Francia. Se espera en breve al general Sebastiani. El 2&amp; Suiza por medio de la imprenta y por las sociedades que están muy generali saldrá el barón Dowamd. (pateta de Augsburgo.j zadas , asi antes como después de la expedición de Saboga, para alterar la tran quilidad de estos Estados, cuando todos los gobiernos tienen en su poder prue melATsaaA. bas con que acreditar las tentativas que al intento se han hecho! Si ios Esta LSndres 1.® de Julio. dos no…</t>
  </si>
  <si>
    <t>Drault</t>
  </si>
  <si>
    <t>…todavía mas peligrosa que la represión impolítica. Voto i favor deber á la Oran Bretaña de declararse enemiga de Mehemet-Alí, cuando sus de la ley.” intereses comerciales aconsejaban conservar la amistad de aquel Príncipe. No El Sr. Drault reproduce y esfuerza los argumentos que se han hecho contra sotros trabajamos para evitar que las hostilidades tomasen una esfera mas dila el proyecto, añadiendo, que si se aprueba se destruyen los periódicos, pues el tada, y lo conseguimos. despacho de estos queda reducido á los abonos, y los impr…</t>
  </si>
  <si>
    <t>Drault, No El Sr</t>
  </si>
  <si>
    <t>No El Sr Drault</t>
  </si>
  <si>
    <t>…n indulgencia e$ todavía mas peligrosa que la represión impolítica. Voto i favor deber á la Oran Bretaña de declararse enemiga de Mehemet-Alí, cuando sus de la ley.” intereses comerciales aconsejaban conservar la amistad de aquel Príncipe. No El Sr. Drault reproduce y esfuerza los argumentos que se han hecho contra sotros trabajamos para evitar que las hostilidades tomasen una esfera mas dila el proyecto, añadiendo, que si se aprueba se destruyen los periódicos, pues el tada, y lo conseguimos. despacho de estos queda reducido á los abonos, y los impr…</t>
  </si>
  <si>
    <t>Drouet</t>
  </si>
  <si>
    <t>…1 autoridades, y r*M* asm ceremonia el Príncipe recibió en palacio tas felici-’ do la duodécima división militar, para hacer sus pcepantivte de marabú, tackmstde los grandes funcionarios del Estado. Por la noche hubo una brillan general Drouet vació en Rheims en 1765, ydMMajk voiuatario ha crist te iluminación., Xa instalación solemne del Príncipe poi Omer-Agi . cmimio^ al mas alto rango del ejércitos En k época de k.primera restauración fus nttjq di 1^ (wm «l ofocUt, y su «ttagreckm por el metropo&amp;aw&gt; da Mol Ímanto de conspirador contra…</t>
  </si>
  <si>
    <t>…chos decretos. 1 tugal debía naturalmente disfrutarse en ella de nuevo. O- v , 'En cuanto áf los nombramientos de empleados son Tos siguientes: «De acuerdo con la Francia y con las demás Potencias (que Jíaif firmado El . teniente general Drouet, conde de Erlon, comandante de la duodéci el tratado de 22 de Abrilfijaré toda mi atención en e^tos acontecimientos.. ma división militar¿ queda nombrado gobernador gcneral de las posesiones fran tan importantes para laGrán-Bretaña, y espero, fiado en la bpéna inteligen cesas en. él norte del Afric…</t>
  </si>
  <si>
    <t>Drument, D Juan</t>
  </si>
  <si>
    <t>D Juan Drument</t>
  </si>
  <si>
    <t>…vimiento la facción sostenía un diendo'la ida y ^fcfcltáftáe^tra» hasta nueva orden, y haciendo expurgar la cor- vivísimo fuego graneado por todo cl frente de su línea, que no fue-contestado réspondencij* éiiTfaarrzanáres; que'el'profesor D. Juan Drument se trasladase por nuestras guerrillas en mas de media hora, hasta que despues.de haber to actorr¿crritírlUa á’^fidújar á observar la enfermedad, é ilustrar á las autoridades mado (odas Jas oportunas localidades que ofrecía el terreno,, se vtá.repentina ^4:déúíratrv6s sobre las medidas que convenga…</t>
  </si>
  <si>
    <t>Drument, Juan</t>
  </si>
  <si>
    <t>Juan Drument</t>
  </si>
  <si>
    <t>…orden disponiendo que se dé la mayor y mas rápida publicidad á los su Con fecha 30 de Junio próximo pasado participa desde Andújar el profe cesos y conclusión de la campaña de Portugal , y mandando que se cante un sor de medicina D. Juan Drument que el número de invadidos y muertos era solemne Te Deum en acción de gracias en las capitales de todos los gobiermenor en aquella población : que el hospital se hallaba en el mejor estado de . nos civiles. {Id.) aseo, asistencia, limpieza y tratamiento médico,sin que nada dejase que desear: Real d…</t>
  </si>
  <si>
    <t>…dos. Ha despachado 54.expelientes sobre quintes, alojamientos,utensilios y ba Desde! 30 de Junio á 3 de Julio. 251 24 63gajes, y el número de los primeros que han entrado en aquel depósito ascien da i 763. El profesor dé medicina D. Juan Drument, en oficio fecho el mismo día Ha dado al establecimiento de la Milicia urbana toda la extensión que las 4 del actual en la referida ciudad de Andujar, confirma la declinación de la eircunétancús han permitido. ....... enfermedad, añadiendo que él dia anterior solo7habian entrado en el hospital Le h…</t>
  </si>
  <si>
    <t>…la facción sostenía un diendo'la ida y ^fcfcltáftáe^tra» hasta nueva orden, y haciendo expurgar la cor- vivísimo fuego graneado por todo cl frente de su línea, que no fue-contestado réspondencij* éiiTfaarrzanáres; que'el'profesor D. Juan Drument se trasladase por nuestras guerrillas en mas de media hora, hasta que despues.de haber to actorr¿crritírlUa á’^fidújar á observar la enfermedad, é ilustrar á las autoridades mado (odas Jas oportunas localidades que ofrecía el terreno,, se vtá.repentina ^4:déúíratrv6s sobre las medidas que convenga…</t>
  </si>
  <si>
    <t>…- ¡fre Jt.-- is- 186 9 50 8 :sr¿-.u/&lt; • J ,W; ú, &gt; 14^ - •■ 147 16 H, 7 -í. oísdfcv» ó m : 15 • 1142 1/ 10 9 ■ Mb' * C'6el/r3¡P » Quedan «sítenles para nufiana 140- ,;.-$8»v¿¡ *í i!fi&lt; 'J? •■ í)f.’¿ vh . . El profesora), medicina D. Juan Drument, dice desde la referida ciudad nfiíí oju^Vj de Andujar, gue eran pocos loa casos que se presentaban sin dar lugar i los re cursos del arte, y por lo mismo íe observaban curaciones muy rápidas .y enEtdW/dfiXttbréi’^UdViÜa deTMdas^Metuíadesd,til7&lt;atlí de Junio número considerable respectivamente i lo…</t>
  </si>
  <si>
    <t>DrümenV, Juan</t>
  </si>
  <si>
    <t>Juan DrümenV</t>
  </si>
  <si>
    <t>…de Razóla y en la de Bren. ritmad de Trujillo, y la del puente dcd^salon y camino desde $. Vicente £ Ál- Francia-Memoriay Portugal,sobre elporcólera-morboel profesor, segúnde medicinaobservacionesy cirugíaescrupulosamenteel l&gt;r. D. Juan DrümenV:hechas en eahtam. por Membrío, asi como la reedificación del magnífico arco del puente un tomitó en 8.° prolongado de 204 páginas de bonita impresión y papel, se vende dc-Almaráz. ' en Madrid°’en la librería de Razóla; y en Barcelona.en la |de Bergdes á t tK..en rústica. 1 ; -Hqerre de vacante médi…</t>
  </si>
  <si>
    <t>Dsyeduszchi</t>
  </si>
  <si>
    <t>…_ Una carta de Posten del 6 de Julio dice: la asamblea de los Estados pro ambos países. (Courier.) vinciales del gran ducado de Possen ha concluido su tercera sesión. Los oradores ue mas se han distinguido han sido Kossiuski y el conde Dsyeduszchi ■ el Por el buque correo Reinaldo se han recibido noticias de Rio-Janeiro que 2 Itímo imploró la indulgencia de S. M- á favor de algunos de sus súbditos que alcanzan hasta el 22 de Mayo. En esta época todo estaba tranquilo en el im tomaron parte en la revolución de Polonia. perio, y los fondos ingl…</t>
  </si>
  <si>
    <t>Dtemichels</t>
  </si>
  <si>
    <t>en el servicio merecieron las mas lisonjeras atenciones y los mas encarecido» Trillo. D. Manuel José González, en Madrid ¡ desde 20 de Junio á igual elogios del general barón Dtemichels, comandante en gefe de1 aquella colonia, y día de Setiembre. sostuvieron dignamente el renombre de la nacion á que pertenecían, y con cu CASTILLA IA VIEJA. yo nombre se honraban. Sin embargo, ni la gloria, ni el aprecio de que allí gozaban pudieron borrar de su corazón la dulce memoria de su patria…</t>
  </si>
  <si>
    <t>Dtipuy</t>
  </si>
  <si>
    <t>…accede gestas peticiones, se gada de examinarlos títulos del conde Eugenio d’Artorg, autorizado por arde, vería , aunque á pesar suyo, precisada, de acuerdo con los déma&amp; Estados de la tranza del ^Ley gara suceder á su suegro el conde Dtipuy , que murió el mismo Suiza , á tomar las medidas de precaución que juzgase convenientes, y some día en que s,e promulgó la ley en que se abolía la herencia de la dignidad ter las relaciones comerciales entre sus provincias limítrofes y U Suiza á to de par. . das las restricciones que exigiese la se…</t>
  </si>
  <si>
    <t>Duarta, José</t>
  </si>
  <si>
    <t>José Duarta</t>
  </si>
  <si>
    <t>…amente á meras letras. los deseos del siempre desconfiado agricultor. La seguridad pública está afian zada desde que tomó el mando de esta capitanía general el Excmo. Sr. Don También se ha 6ervido acceder S. M. á una solicitud de D. José Duarta, Miguel Tacón, y ya vivimos tranquilos sin los temores de ser asaltados en mandando que la dirección general de estudies le expida gratuitamente titulo las calles con puñal en mano. La corrupción del foro y el .escándalo de los de maestro de primeras letras, sin sujeción á examen, mediante á que va…</t>
  </si>
  <si>
    <t>Dubayet, Aubert</t>
  </si>
  <si>
    <t>Aubert Dubayet</t>
  </si>
  <si>
    <t>…cerrados á los buques de gtierra de todas naciones bi en perjuicio como otros tantos actos de la munificencia de Príncipes -ce-e-o~o$. Debióse en nuestro se hubiese vulnerado aquel principio, la cuestión seria muy grave, y fin al general Aubert Dubayet , embajador dei Directorio ejecutivo, la rectifi de este modo la considerarían las demas Potencias marítimas. (Muy bitn\ cación de un ceremonial considerado en Europa como una deferencia legitima Muy bien\) y honrosa, micniras que en la opinión de i »s orientales pasaba por una prueba «En fin se ha…</t>
  </si>
  <si>
    <t>Duboi</t>
  </si>
  <si>
    <t>…la orden tosca no con un león encima en ademan de abrazar ai anticuo \ r.uev-^ construcción ó reparo de caminos, y á la construcción de una cárcel. inundo, v sostener k_on una de sus ¿arras el Real pendón dispuesto para la ce El Sr. Duboi» propone que se faculte al gobierno para que pueda permitir remonia de aquel dia. La tachada principal se veía adornada con festones ce á los individuos de la familia de Napoleón que entren y residan en Y rancia. mino, ricas colgaduras, y en todos ios claros se ician varias inserípciones Uri El min…</t>
  </si>
  <si>
    <t>Dubois</t>
  </si>
  <si>
    <t>…cultivar sean relativas al cumplimiento de los tratados.” la tierra, y se difundan los adelantos que sobre este punto se han hecho. Sobre el párrafo 8.° concebido en estos términos: «Vemos con placer que Del mismo dictamen es el Sr. Dubois , que á lo dicho por el preopinante las rentas del Estado se aumentan. La Cámara concibe por lo mismo la espe añade que en los departamentos del Oeste está enteramente abandonada La agri ranza de que asi será mas fácil restablecer el apetecido equilibrio de los ingresos cultura , y no sé sale de la…</t>
  </si>
  <si>
    <t>…a legislatura Una voz de la izquierda - Es un magistrado inamovible, y no respecto al proyecto de respuesta al discurso del Rey. podéis separarlo de su destino. , »Si el gobierno ha ostentado fuerzas capaces de intimidar á los El Sr. Dubois: Aqui no hay magistrados. facciosos, se ha dicho que asustaba á los ciudadanos, que difundía El Sr. Jamin-. Al orden el ministro. el terror por la ciudad,que ponia á toda la nación en cuidado, que Voces en los extremos : Al órdeñ! al órden 1 daba sobrado valor á aquellos facciosos, y que promovía l…</t>
  </si>
  <si>
    <t>…i diar’V* 3e Febrero. de sus fuerzas, v ei resto lo O'iíc.uoii en masa en el ^entro, apm.’.r1.- al pue- I blo por un llanco y ai rio por otro F :i tan tutriz posición considere que un I Aprobada el acta de la última sesión lee el Sr. Dubois el informe de la co ataque con masa* sobre el centro m:i haber..■* d^jiojid ■ de &gt;.•* montañas de I misión que lia examinado el proyecto de ley relativo al aumento del cuerpo lados podu comprometer nue*:ras tropa* narneud-u.i* sr.tn; uo.i crande e ¡ de gendarmas. Se manda imprimir y distribuir. fru…</t>
  </si>
  <si>
    <t>…incipio de la próxima semana con dirección á cumentos y citan varios hechos para patentizar que es urgente conceder al go Vurla, y luego seguirá á Malta. Ambos gefes han sabido grangearse el aprecio bierno Jos fondos que pide: el Sr. Dubois da en nombre de la comisión algu general ¿n este pais. nas razones que convencen de la exactitud de cuanto ha dicho el ministro del Los armenios católicos que fueron emancipados bajo la protección del ge Interior, y la Cámara cierra la discusión general. neral Guilleminot, han construido en Gálata una…</t>
  </si>
  <si>
    <t>Duboucbage</t>
  </si>
  <si>
    <t>…ra socorrer las víctimas de ice' alborotos de IV5 libramiento de¡&lt;u», ^rzobispóy8e muchós obispos, y entablar negocié Abril de este ó rio - ■ ; ciones sobre este asunto/Ha sSd3“rec¡b¡do jfer el presideqté con todo el respe-' - SI vizconde' Duboucbage propone que estos socorros se den no solo^”á los a&gt;4eb¡do á su oar^ct^r sagradb y ¿omun de !ds'-drelei. Parece qdé el* ue batí'sido heridos defendiendo el órden públÍGO en los citado*: alborotos, y gobierno de Haití esta muy dispuesto á'entrar en negociáciones con lacinia lar-familias de aquellos f…</t>
  </si>
  <si>
    <t>Dubouchage</t>
  </si>
  <si>
    <t>…terio de la Guerra para el ue sean, sino que también exigen que se ponga en juicio y se condene á to año de 1834, y los seis primeros meses de 1835, as las personas nacionales ó extrangeras, de quienes se sospeche que hayan po El vizconde Dubouchage combate el proyecto de ley, porque se dirige á dido cóoperar directa Ó indirectamente á la tentativa de invasión contra U Ma aumentar la fuerza del ejérdtd hasta el número de 300,000 hombres, cuando boya. . , . á fines del año de 34 debía reducirse á 313,000. Dice que este aumento de ' TVC LATEARA.…</t>
  </si>
  <si>
    <t>…s pares__,Señm% del din 2^, quirir el afecto, son los árabes, porque estos son los únicos que pueden da'rno^ Continúa la discusión del *&gt;presupuesto de ingresos para el afia de I835.u ]a paz y la posesión tranquila del país, ^ El vizconde Dubouchage discurro largamente acerca de los gastos que se ha-i ” Estamos en Donera d^e el \2: est^ posición es 1^ llave de! Mitidja. La' cen en el Estado, y dq la necesidad de reformarlos hasta que se hallen á nivel llanura está perfectamenre tranquila. ~ de Isa ingresos; se lamenta de que los presupuestos,…</t>
  </si>
  <si>
    <t>Dubreil</t>
  </si>
  <si>
    <t>…persuadir que un hombre que sale de presidió puede volver á la socie Clara y Brassagct ; el teniente coronel del regimiento de cazadores núm. 8.°, y dad con los mismos derechos y ventajas xjue el que nunca ha sufrido la inhabi el teniente Dubreil. litación legal. Los Sres. Renouard y el ministro de Justicia corroboran'el pa Dios guarde á V». E. Cuartel general de Cartaxo 22 de Febrero da 1834 = recer. dejos Sres. Petit y Realier; los contradicen los Sres. Taillandier y De El conde de Saldaña.=Ilmo. y Excmo. Sr. Agustín José Freír*. vaux, y l…</t>
  </si>
  <si>
    <t>Ducannon</t>
  </si>
  <si>
    <t>be á casa del príncipe Talleyrand, donde estaba convidado /&amp; comer con lord que después que esta haya inmolado á los verdaderos amigos de la nueva dinas I Hollando lord John Rusell, lord Ducannon y otros persdnageSN S. S. maní- tía; que después de que hayan perecido bajo la cuchilla revolucionaria todos los I festo que estaba muy satisfecho del modo con que le había acogido S. M. en su hombres de juicio y* de talento que defienden al actual gobierno; después que [recepción en Lrighton. (Sun.'…</t>
  </si>
  <si>
    <t>…tes que todas las que se han lord Chambelán, 3058; •lordWélesley.pIord irria^Ordómo, 2^36; conde de fcect¿ Íutíta aquí. {Independiente.') Albemarle, maestre de caballería, 3350.; piarques de "Winchester, caballerizo mayor, 2130 ; vizconde Ducannon, prirtier secretario de rentas del Estado , 20; , INGLATBKXA. Mr. Tompson, tesorero de marina, 29; sir Hor,lc, fecal general-, 6200-, sir lAndres 23 de Agosto. Gambell, procurador'general, 49, Irlanda. Marques de Angleséy , lord lugar teniente.de Irlanda, 209; lord Plunkét,’ lord canciller, 89; sil…</t>
  </si>
  <si>
    <t>…o de Negocios extran— geros.nzEl gabinete ingles está definitivamente constituido. Lord Melbourne queda oe primer lord de la tesorería, sucediéndole lord Duocannon en el mi PARTE NO OFICIAL. nisterio de lo Interior, y en lugar de lord Ducannon entra en el gabinete sir John Hobhouse: los demas ministro» permanecen.=Es copia. tcsAÍfonso Foy NOTICIAS EXTRANGERAS* administrador de las líneas telegráficas. Ti comisión que se formó para disentir la cuestión del empleo que debía darse á las tropas en las obras públicas, ha terminado sus trabajo…</t>
  </si>
  <si>
    <t>…os que han 'alido del gabinete: Lord Brougham, lord canciller; vizconde Melbourne, primer lord de la teso rería; el marques de Lansdown, lord presidente del Consejo; el conde de MrlPARTE NO OFICIAL. graver lord del sello privado; vizconde Ducannon ; vizconde Palmerston; Mr. Spring-Rice, secretarios del Despacho del Interior, de Estado y de las Cóio-^ nial.; lord Auckland, primer lord del Almirantazgo; el honorableCárlosGrantj NOTICIAS EXTRANGERAS. lord Hoiland, canciller del ducado Lancaster; el honorable Eduardo JÉlííce, ministro de la Guer…</t>
  </si>
  <si>
    <t>Duchalel</t>
  </si>
  <si>
    <t>…cuestiones de orden social: nota que diciendo co El Sr. Demarqay abunda en el dictamen del Sr. Lainé, y para sostenerlo mo en la minuta clases* laboriosas, se presenta una idea demasiado vaga, y que hace varias observaciones: el Sr. Duchalel, por el contrario, recuerda que al se evitará este inconveniente adhiriendo á su parecer. fijar los presupuestos ha examinado la Cámara cqn suma atención si los gastos El Sr. C. Dupin observa que si la propuesta del Sr. de Tracy es igual eti son legítimos, y si es posible economizar mas de lo que s…</t>
  </si>
  <si>
    <t>Dúchate, Mr</t>
  </si>
  <si>
    <t>Mr Dúchate</t>
  </si>
  <si>
    <t>…iar al ministro que no enviará comisio ductos de la renta del tabaco, y al de los arbitrios destinados a la conserva nado á Paris, según se le había aconsejado en la circular. ción , aseo é iluminación de las calles de Lisboa. El ministro Mr. Dúchate! ha contestado á los comerciantes de Burdeos Se principió á discutir, el proyecto de ley relativo **á la congrua, de los con fecha dpi 12 ^Jel actual 16 siguiente: «Señores: he recibido vuestra carta párrocos” leyendo el artículo l.°, en el cual se dispone «que á todos los parro^ del 8 del actual,…</t>
  </si>
  <si>
    <t>Duchatel</t>
  </si>
  <si>
    <t>…, Bonnefons, Rous- besar la mano y despedirse de SS. MM. nlhcs, Albeit (h jo). Ernest de Giiard n, Henessy, Dufaure.de Chasslron, Ad- Cerca de la una de la tarde salieron SS. MM. del palacio de la Torre de mirault , Dasmt rtiers, conde Duchatel, Grivel, Devaux , de Larochefoucauld, Marca para el muelle del Duero, acompañados de la camarera mayor, damas Duverger de Uiuranne , T. Sebasliani, Legrand, Cornudet, Saint Hprrent, y camaristas, de! estado mayor imperta! y demas personas que tuvieron el ho B'Ssierc., Prevost-Legoynie , Garraube, L…</t>
  </si>
  <si>
    <t>…al servicio de este , acompañar el gobierno del cantón que los remita un documento que acredite Hemos ordenado y ordenamos lo que sigue : la identidad de las personas de los portadores de dicho pasaporte. Con este mo Art- l.° El conde Duchatel, ministro secretario de Estado y del departa tivo &amp;c. Zurich 25 de Junio de 1834.-—Bombelles.” mento de Comercio queda encargado interinamente del ministerio de Hacienda, Art. 2.° Nuestro presidente del consejo , ministro secretario.de Estado y ingiaterra. del departamento de la Guerra, y nuestro m…</t>
  </si>
  <si>
    <t>Dudarán</t>
  </si>
  <si>
    <t>…&gt;leoií&gt;dé''es*á olsíst de íiortdrf riinÉré y destrticéión, pues que jamas háo: pojpéñduío i escoütíír lostwribk* latidófr ik iu cóztdenaar q^ eHúe^e hs&amp; éaroerado en profanar y - El Comritr hace Vo» mayorés tldgioí ¡ekl'decwjo de lord Dudarán que</t>
  </si>
  <si>
    <t>Dúérie'i</t>
  </si>
  <si>
    <t>…lós traba yis relatryoj á ellas, así como por la Cítntná|t iéO*" ls ..................... ‘tamñande -D. Jesé Ramírez; ^taefie^y earpitan de la fragata "Ignacio^ lós ingresos de aduanas,y el tribuna! «fecomeruo alo á la sanciondél Rey. (Dúérie'i&amp;io/ OebotTJ.Jsolicitando permiso, para hacer expediciones directas desde cual-^ 1 nVlflilTilafWlfoit¡' &lt;lk FitWwva ^íJITtl4t\'í«nó V'tfinA vrSpen * «atlM1 dtttnáriñ tV\r\_ ‘ aAVIESA* 5^ 'lU'S - AfiwSeí-S'iifr Julio.' icx.ri.4!* / ' tétóiVa' álodoá IdS'WjSanoleá que quiéran hacer igúálesJ:éxpédició-…</t>
  </si>
  <si>
    <t>Duero, Puente</t>
  </si>
  <si>
    <t>Puente Duero</t>
  </si>
  <si>
    <t>…quella capital rs. arroba: id. de segunda, á 10: vinagre, á 8 rs. id. 421 personas: añade que en Aguijar, Bobadilla, Castradera, Mayorga, Mota Granada (provincia de)._Granada (2 de Julio). Trigo, á 44 rs. fa del Marques, Nava del Rey, Puente Duero, Rioseco, Tor desil las y Villa- nega : cebada, á 24 id.: habas, á 34 id..- maíz, 4 48 id: garbanzos, á 70 id : Ion seguía la enfermedad su curso ordinario. habichuelas, á 60 id.: alazor, á 26 id : yeros, 4 35 id.: aceite, á 41 rs. arro ba: vino, 4 15 id.: aguardiente, 4 40 id.: lino, á 42 id.: cáñ…</t>
  </si>
  <si>
    <t>Dufour</t>
  </si>
  <si>
    <t>…ron el jueyes á un banquete ofre La Réitia nuestra Señora feóña Isabm, it ¿ontihúa sin tiovclail cido por la sociedad. en sil jrüjjortante salud en el Real sitio (le S. Ildefonso; y de igual Hé aquí el discurso pronunciado por el general Dufour que manda en gebeneficio disfruta S. M. la 11f,1jsa Gobernadora en el Real palacio fe los contingentes federales. de Riofrio. También goza de perfecta salud eq el expresado Real •iConfederados, aifilgos, hermanos de armas: tomo la palabra non una «Rió la Serma. í»ra. Infanta Doña María Luisa. profu…</t>
  </si>
  <si>
    <t>Dugi, Francisco de Paula</t>
  </si>
  <si>
    <t>Francisco de Paula Dugi</t>
  </si>
  <si>
    <t>…den con Ips caminos y calles, estableciendo ademas los términos en que Murieron p.jr nuestra parte en e»ta acción el comandante d •’ regimiento han de cumplir algunos de dichos encargos” Se levanta la sesión, infantería de Borbon D. Francisco de Paula Dugi, y el subteniente D. Faus tino M irrinez: fue herido el teniente D. Manuel Veizsco, y contuso el capi iPKtf.__Sesión del dia \..°%de Marzo. tán D* Julián Mirú Losada; fue herido también ei sargento de zapadores Ma Jura y toma asiento el general Durrieux, diputado nombrado por el de nuel Puebla, y e…</t>
  </si>
  <si>
    <t>Duian, Agiotin</t>
  </si>
  <si>
    <t>Agiotin Duian</t>
  </si>
  <si>
    <t>…resenta el artículo 3.° (ahora redactado de S&gt; M. la Rkiva Gobernadora, teniendo presente e'. mérito literario y de-Inuevo; en él se establece que «en el consejo de Estado no puede haber mas de mas circunstancias que concurren en D. Agiotin Duian, se ha servido nom- |50 auditores.” La Cámara se conforma con esta nueva redacción. brarle secretario de ia Inspección general de ::npre;Hos y librerías del reino. El ministro de Justicia presenta dos proyectos de ley, cuyo objeto es con ceder carta de naturaleza al conde Borgarelli-d'lson y ú D. M…</t>
  </si>
  <si>
    <t>Duisa, Infanta Doña María</t>
  </si>
  <si>
    <t>Infanta Doña María Duisa</t>
  </si>
  <si>
    <t>…o de l'SOÚó'2áEcuen tos de reís que deben aplicarse exclusivamente 4-ha con^ S. M. la Reina nuestra Señora Dona Isabel ii y su augusta truccion de un camino real para la conducción de lús viageros y mercaderes de Hérmana.IaSerma. Sra. Infanta Doña María Duisa han salido hoy esta capital hasta la provincia dd Minas Generales, y de allí á Minas Nuevas. del Real'sitio íle; Sv iMefonSb, para el ,del Pardo, á las diez; y S. JVf. El establecimiento proyectado de un barco de vapor para navegar entreesta ciudad y Campos, producir! también incalculables benefici…</t>
  </si>
  <si>
    <t>Duisa, María</t>
  </si>
  <si>
    <t>María Duisa</t>
  </si>
  <si>
    <t>…áEcuen tos de reís que deben aplicarse exclusivamente 4-ha con^ S. M. la Reina nuestra Señora Dona Isabel ii y su augusta truccion de un camino real para la conducción de lús viageros y mercaderes de Hérmana.IaSerma. Sra. Infanta Doña María Duisa han salido hoy esta capital hasta la provincia dd Minas Generales, y de allí á Minas Nuevas. del Real'sitio íle; Sv iMefonSb, para el ,del Pardo, á las diez; y S. JVf. El establecimiento proyectado de un barco de vapor para navegar entreesta ciudad y Campos, producir! también incalculables benefici…</t>
  </si>
  <si>
    <t>Duittrcf</t>
  </si>
  <si>
    <t>…l ' '' nas, es falso, muy falso. Esplicaré fácilmente esta supuesta contradicción. El Sr. Vega y Rio, i quien tocaba la palabra, 00 se hallaba presente. ■ "En dos grupos puede considerarse dividida la Nación: ei uno lo com— , El Sr. Duittrcf: "Entusiasmado con el vehemente discurso que acaba dé posen los empleados, los eclesiásticos , lo* propietarias , los hombres instrui renunciar mi digno amigo y compañero él Sr. Patarra, renunciaría la pala- dos y los vecinos de las grandes poblaciones. Esto* son los que tienen opinión, ra si me fu…</t>
  </si>
  <si>
    <t>Dumeilct</t>
  </si>
  <si>
    <t>…ado extraordinario que ha sido de nuestra corte cerca de la de Berlín; y quo sidente y de los cuatro secretarios, la del diputado que ha de reemplazar al thoy sale para esta última Mr. Serruys con el carácter de encargado de Nego Sr. Dumeilct ea el empleo de cuestor, y la de Los diputados que han de com cios interinamente, y hasta que no se nombre un ministro plenipotenciario «n poner la comisión para redactar el proyecto de respuesta al discurso det trono. propiedad, que seguir te asegure deberá serlo el general Goblet. ____En una cart…</t>
  </si>
  <si>
    <t>Dumon</t>
  </si>
  <si>
    <t>…ntener el orden público, con la imparcialidad, con la mente, que no se debe restringir la facultad de enseñar. ’ sabiduría y la independencia del jurado. El Sr. Guizot, ministro de Instrucción pública, después de hacer ver que El Sr. Dumon cree que si la propuesta del Sr. Salverte se toma en su sen ae. puede dirigir un Estado con el sistema de moderación y justicia que en el día tido natural, es inútil, porque nadie niega que es preciso que el jurado deba se, sigue á pesar de que sus adversarios lo gradúan de inasequible: recuerda to…</t>
  </si>
  <si>
    <t>Dumoulin</t>
  </si>
  <si>
    <t>…Luxemburgo relamo á M. Hanno, ha excita No tiene la Puerta temor ninguno sobre este puntó, y eso es do aquí el mas vivo ínteres. ?Se ha elogiado mucho la firmeza del lo que la ha determinado á recibir con moderación las enérgicas general Dumoulin , á quien la Confederación germánica ha hecho reclamaciones de la Francia y de la Inglaterra. Por eso mismo es completa justicia declarando que habia obrado como debía en no tanto de admirar el que la Puerta, cuyos recursos pecuniarios son poner en libertad á M. Hanno hasta después de haber recibid…</t>
  </si>
  <si>
    <t>…mos del interes se destinen á un premio anual Es también objeto de graves discusiones el radio militar de la fortaleza de para el que presente la mas sabia y profunda noticia acerca de la historia iranLuxemburgo. Sabido es que el general Dumoulin quería extenderle á 4 millas, cesa, y de los estudios que le son anejos; y el otro décimo para el que mas in al paso que el general belga Dobor protestó contra ello, sosteniendo que solo mediatamente rivalice con el primero. nn estado de gúerra formal podría justificar esta extensión, y que solo po…</t>
  </si>
  <si>
    <t>Duncannon</t>
  </si>
  <si>
    <t>…ton en la secretaría de estado. (Sun.) volucionarios acaecidos allí, han llegado S Ñipóles y obtenido permiso para te-' ;l :. * sidir en aquella eiudad. Hasta aquí el duque de Lúea era el único soberano Je __ _Sh- J. C. Hobhpuse, lord Duncannon y el ministro de la Guerra visita Italia que había dado1 el ejemplo de semejante tolerancia política, cbncerfierdo ron ayer i lord Mejbourne, (Courier.) en ius dominios un-asilo á los condes Branchetti y Silvain, miembros dsl go bierno revolucionario de Bolonia. __Igualmente se avistaron syer con el…</t>
  </si>
  <si>
    <t>…e fuerte para no necesi en combatir las invasiones del poder ministerial y popular. La nobleza de alma tar socorro ageno, no tendrá mas que declararlo, y todas las tropas extrangey el desinterés son las prendas que le distinguen. Lord Duncannon , pariente y ras evacuarán los Estados de la Iglesia. Asi se cumplirá el proyecto de Casimir amigo de lord Melboume, tiene las mismas opiniones que este, pero és mas joven r de mayor resolución y valentía. Lord Auckland, pariente de lord Brpug- Perrier, que fue imposible realizar durante su vida á…</t>
  </si>
  <si>
    <t>Duncannoñ</t>
  </si>
  <si>
    <t>…a resuelto habilitar interinamente el edificio en donde Tas Cámara» celebraban sus sesiones, á fin de que puedan reunirse el día señalado en la úl ESPAÑA. tima próroga. (Globe and Travcller.) Habana 21 de Agosto. ____ Se cree que lord Duncannoñ regresará á esta capital, yque continuará sir Balanza general del comerdo de la isla de Cuba en 1833. viendo su destino. (Id?) Tenemos á la vísta en la balanza general del comercio de la isla dé Cuba Sir Peel con su esposa y su hija mayor va á hacer un viage al continen en 1833, una prueba irrecusa…</t>
  </si>
  <si>
    <t>Duncombe</t>
  </si>
  <si>
    <t>…stancia el arzobispo de Lüna, de Benavente, y el arzobispo &gt;is fartibus de Tiana, Ves- de unas diez millas. (Aibion.) pignani. La sede nuevamente erigida en Brujas, en la Bélgica, será ocupada por S. lima. Renato Boussen. ____ El capitán Duncombe que á bordo del Ckampión ha visitado la» princi No ha habido promoción de obispos franceses: se dice, sin embargo, que pales ciudades marítimas de Cataluña, dice que el desenlace de los sucesos re las dos sedes, vacantes, el arzobispado de Bessanzon y el obispado de Nevers, lativos á D. Carlos, ha…</t>
  </si>
  <si>
    <t>Duocannon</t>
  </si>
  <si>
    <t>…gráfico.znLóndres 15 de Ju lio. El embajador de Francia en Londres al Sr. ministro de Negocios extran— geros.nzEl gabinete ingles está definitivamente constituido. Lord Melbourne queda oe primer lord de la tesorería, sucediéndole lord Duocannon en el mi PARTE NO OFICIAL. nisterio de lo Interior, y en lugar de lord Ducannon entra en el gabinete sir John Hobhouse: los demas ministro» permanecen.=Es copia. tcsAÍfonso Foy NOTICIAS EXTRANGERAS* administrador de las líneas telegráficas. Ti comisión que se formó para disentir la cuestión del emp…</t>
  </si>
  <si>
    <t>Dupcrre</t>
  </si>
  <si>
    <t>…dad de la narion; que. Parece que el mariscal Mortier.ha aceptado el ministerio de Guerra y la sentía, en fin, los grandes daños causados por los últimos temporales, y que presidencia del conejo de Ministros: dicen también que el almirante Dupcrre esperaba que la divina Providencia preservaría al país de otras desgracias. sucederá al almizantp Jacob en ets ministerio de Marina. ____ Un Diario de Munich de 29 del pasado dice: estamos esperando con im ti tribunal de Caracion hizo su apertura el 4 del actual con el discurso paciencia el resulta…</t>
  </si>
  <si>
    <t>Duperré</t>
  </si>
  <si>
    <t>…gero se oculta! La otra reunión, ó por mejor decir, la impo dudaba si el príncipe cedería á los ruegos del ministerio. tente tentativa de verificarla en el café de la Corona y del Ancora, no vale la El mismo periódico dice que el almirante Duperré ha rehusado formal pena de mencionarse. El principal actor de esta farsa era el famdso doctor Wa- mente aceptar lá secretaría del Despacho de Marina; y que habiéndola ofreci der, acompañado de M. C. Buller, que se creen grandes personages, y no son do á Mr. Gauthier de la Gironda, tampoco ha quejid…</t>
  </si>
  <si>
    <t>Dupin</t>
  </si>
  <si>
    <t>…ón lo protestó el mismo Luis xvm: propone que se modo con que lord Grey insiste tanto en este punté*. suprima todo cl párrafo, mas la Cámara le aprueba. i- La divergencia de opiniones qué ha existido en el ministerio, y de que El Sr. Dupin cede la presidencia al Sr. Elienne, uno de los vicepresidentes. tamo se ha hablado, parece que ha tenido su origen en una proposición de lord El Sr. Odilon Barrot pide que después del párrafo 15 se inserte en la res Palmerston , que deseaba enviar tropas á Portugal, y sobre cuya medida se di puesta…</t>
  </si>
  <si>
    <t>…Gaceta de Augsburgo , refiriéndose á uno de sus corresponsales en Ber cionales, la fuerza moral, que es el mas firme apoyo de un gobierno libre.*’ lín, anuncia que los Estados de las provincias del Oeste han dirigido última*' El Sr. Dupin, presidente de la Cámara. "Señores, al terminar una discu mente al Rey una exposición con la solicitud de que se establezca en la monar sión, en que con entera libertad se han manifestado todas las -opiniones, bien quía un3 representación nacional; y que p.ira ei efecto se reurta la asamblea de que…</t>
  </si>
  <si>
    <t>…o que hace con casi toda Europa. Por el contrario? procuraría aprove al presidente y secretarios electos en las sesiones del 24 y 26 del corriente. charse de las ocurrencias. Creemos pues que un ministerio ingles esta obligado El Sr. Dupin , después de dar gracias á la Cámara por haberle elevado á la á proceder con la mayor prudencia en los asuntos de Oriente. (G. de Augs- dignidad de presidente de ella, hace una breve reseña de las leyes que ha vota burgo.) do en las legislaturas anteriores, manifestando asimismo lo mucho que ha con…</t>
  </si>
  <si>
    <t>Dupin, C</t>
  </si>
  <si>
    <t>C Dupin</t>
  </si>
  <si>
    <t>…ado vaga, y que hace varias observaciones: el Sr. Duchalel, por el contrario, recuerda que al se evitará este inconveniente adhiriendo á su parecer. fijar los presupuestos ha examinado la Cámara cqn suma atención si los gastos El Sr. C. Dupin observa que si la propuesta del Sr. de Tracy es igual eti son legítimos, y si es posible economizar mas de lo que se hace. La Cámara Ja esencia á lo que dice la minuta, será inútil hacer la variación que se pide: desecha la propuesta del Sr. Lainé, y aprueba el párrafo como está en la minuta. que l…</t>
  </si>
  <si>
    <t>…venientes que resultarán si U CAmara lo I petua de id. 59f. niega. I cAmara de los diputados__ Serio*i del dia 3» El Sr. Caumartin opina que en la Vendée no es necesario ni conveniente] que haya muchos gendarmas de caballería. El Sr. C. Dupin cree que se puede 1 ' Aprobada el acta de la última sesión, lee el Sr. Persil el dictámen de la acceder á lo que indica el Sr. Mercier, subsistiendo, ínterin la comisión del edfhision encargada de informar sobré el proyecto de ley para reprimir lo* abu créditos da su dictámen # los cuerpos ^egendar…</t>
  </si>
  <si>
    <t>Dupin, Cirios</t>
  </si>
  <si>
    <t>Cirios Dupin</t>
  </si>
  <si>
    <t>…s maestros y demas personas quetria de la manteca llamada de Flandes. dirigen talleres á fábricas: explicado en el Real conservatorio de artes Se ha compuesto el empedrado de algunas calles de aquella ca y oficios de París por el barón Cirios Dupin, traducido del francés por pital ; se ha prolongado el de la alberca, sobre la cual se ha de edi D. Juan López de Pefialver y la Torre. Un cuaderno en 4.°, edición de ficar un puente, y se va á construir una alcantarilla cerca del con 1827 á 8 rs. rústica. vento de Sto. Domingo, cuya comunidad se h…</t>
  </si>
  <si>
    <t>Dupin, Mr</t>
  </si>
  <si>
    <t>Mr Dupin</t>
  </si>
  <si>
    <t>…del pasado dice: estamos esperando con im ti tribunal de Caracion hizo su apertura el 4 del actual con el discurso paciencia el resultado de las negociaciones relativas al matrimonio del duque de costumbre que pronunció el fiscal general Mr. Dupin, presidente de la Cá de Leuchtemberg, para lo cual se aguarda un correo de Viena. Regularmente mara de Diputados.. Nada dijo de asudtos políticos ni de alusiones á princi no se concluirá natía sin que preceda el consentimiento del Rey de Baviera. pios ó doctrinas que pudieran referirse á los hombre…</t>
  </si>
  <si>
    <t>…ción á la intervención de Mr. Hamilton, cónsul de tar de la elección de Mr. Carlos Dupin, que perdió el derecho de sentarse en Inglaterra en Boloña. El Sr. ministro de lo Interior y el subprefecto de Bq- }a Cámara, por haber sido ministro. Mr. Dupin, que asistía á esta junta, expli loña han tenido á bien ayudarle en lo posible. có los motivos que había tenido para aceptar el ministerio, y las razones que Nada es mas útil y honroso juntamente que estos trueques que permiten le obligaron á renunciarle. En consecuencia los electores acordaron por…</t>
  </si>
  <si>
    <t>Duplanil</t>
  </si>
  <si>
    <t>…ino también á todos los que puedan tener alguna influencia en la educación física de los niñoSi Se halla enriquecida esta edición con un suplemento del traductor PROVINCIA DE VALIA DOLIO. sobre el mismo asunto, y las notas que el Sr. Duplanil puso á su muy apreciablé trzducion francesa. Partt sanitario remitido por su gobernador civil en 31 de Agosto último. Los suscriptores á la novela titulada la Catedral de Sevilla, tomada de la que es cribió en francés el célebre Víctor Hugo, con el titulo de Notre dame de Parda se Pueblos. Dias. En…</t>
  </si>
  <si>
    <t>Dupont</t>
  </si>
  <si>
    <t>…y los pasos ya dados por la asamblea de la cijtAjLA DB roa diputaDoa.__-ÍV/ion del día S de. Febrero. |-Jamaica para ponerla en ejecucioh, son motivos poderosos para anticipar los El Presidente lee una carta que le ha dirigido el Sr. Dupont (de i'Euré) ha | mas felices resultados. ' ciendo dimisión de su encargo de diputado,' y mamflorando las razone* quélfe ’¡ nOtros mochos interesantes negocios- se someterán á vuatra atención y han movido á tomar esta resolircion. La Cámara acúerda que esta carta se rené | eximen. " ta al ministro d…</t>
  </si>
  <si>
    <t>Duprat</t>
  </si>
  <si>
    <t>…orden con fecha de 17 de Enero tiros,, y cree que es preciso hacer grandes variaciones en el proyecto. I para que desde aqueL dia cese la cuarentena impuesta sobre los buques proce- En algunos puntos conviene con este dictamen el Sr. Duprat,. pero confia I denles de España, Portugal, Madera y Las Azores. (Courier.) en que la Cámara adherirá á las variaciones que sean juntas. El coronel Paix- .El encargado de negocios de España tuvo ayer una entrevista con el viz- hans reasume la discusión, y la Cámara pasa al examen de los artículos.…</t>
  </si>
  <si>
    <t>Dupuytren</t>
  </si>
  <si>
    <t>…os de Francia para informar al gobierno sobre el estado actual de la Mr. Rice, Mr. Grant» a! conde He Albemárle, á Mr. Scrjcant Arabin &gt; al ca educación en punto á lenguas vivas. pitán Ross y á otros varios. (Courier.) vi célebre barón Dupuytren ha vuelto á caer enfermo y se halla en un El lord canciller prorogará' el jueves próximo el Parlamento hasta 23 estado que da grande inquietud a sus amigos. de Noviembre próximo , y dicen que cumplido este plazo se volverá á prolo gar hasta 4 de Febrero. Se hacen grandes mejoras en la Cámara de los…</t>
  </si>
  <si>
    <t>Duque</t>
  </si>
  <si>
    <t>…de ánimo que inspira la convicción de haberse observado siempre de S. M. F.r: repitió el discurso que como presidente de aquella diputación pro independientemente de e*ta religiosa ceremonia, (/d.) nunció al entregar dicha ley al Sr.. Duque, y la contestación que S. M. L se ha bía dignado dar á la diputación. __ __$e ha publicado el decreto siguiente: Se dió cuenta del dictamen de la comisión encargada de examinar la pro «D. Pedro, Duque de Braganza ¿cc.: Hacemos saber á todos los súbditos' puesta hecha por la Cámara de Diputados resp…</t>
  </si>
  <si>
    <t>…tanto civiles co garves declaro que dicha augusta Señora había aprobado y confirmado todas mo militares, ciertossugetos que habían sido acérrimos defensores del usur las disposiciones que acerca de su casamiento había dictado el Sr. Duque de pador. El Secretario del Despacho de Marina invitó á los Sres. Diputados que Braganza, su augusto pudre, de feliz memoria; el cual con previo acuerdo r acababan de Hablar sobre este particular, que presentasen lista de los indivi- consentimiento suyo le tenia destinado para esposo ¿ S. A R. el Prín…</t>
  </si>
  <si>
    <t>Duque, José</t>
  </si>
  <si>
    <t>José Duque</t>
  </si>
  <si>
    <t>…ntaría cóncíirsada ne;D. Tomás Gsbiás* y á-vlrtitd de despacho 1** Real-audiehcia de Búrgos, í D. Vicénte Valero y Sardi corregidor de Lo brado á esta corte cumplimentado por el Sr. D. Pedro Balsera, teniente corregido» groño y í D. José Duque alcalde maybr de Caspe. (tfúm. 640 qsta villa, sq c^ta y empfaza ¿ .todos los ínteresados-que-puedan tener derecho 2 aque; jlareitamentatia, .páraqúeát término dedosmeses* que por segundo y último»: ——- concediendo al Teniente general IL Josef Ramón Rodil la gran cruz de ■concede, y que cumplirán e…</t>
  </si>
  <si>
    <t>…úrgos, í D. Vicente Valero y Sardi corregidor de Lo brado á esta corte cumplimentado por el Sr. D. Pedro Balsera, teniente corregidor qsta villa, so c^ta y empfaza ¿ .todos los interesados^ue-puedan tener derecho 2 aqu£ groño y í D. José Duque alcalde maybr de Caspe. (tfúm. 640 Jla^testamentaria, , pira que'tft ferínmo dio dos meses, que por segundo y último»: ——- concediendo al teniente general IX Jósef Ramón Rodil la gran cruz de ■concede, y que cumplirán en 17 dé'futílo",próximo, comparezcan pór sr^poV méd» la -Real órden de Girlos-iu…</t>
  </si>
  <si>
    <t>…diencia de Bur la Hija de Femando; y en prueba de esto, desde que las hordas gos, nombro á D. Vicente Valero y Sardí, alcalde mayor de Cas- revolucionarias manifestaron sus inicuos planes de la mas escanda pe ; y para esta vara á D. José Duque, alcalde mayor cesante de losa rebelión , los vecinos fieles de Autol, no contentos con con Cogolludo. Tendréislo entendido, y lo comunicareis á quien cor- servar en sus corazones los sentimientos mas puros de lealtad , han responda.=:Está rubricado de la Real mano.—En Aranjuez ¿ 23 mantenido y man…</t>
  </si>
  <si>
    <t>Durán'fisCál, Mariano</t>
  </si>
  <si>
    <t>Mariano Durán'fisCál</t>
  </si>
  <si>
    <t>…rtado, cuidando expresar sus.ideas en un estilo claro, sencillo y elemen ■1 — suprimiendo la plaza de juez mayor de Vizcaya. (Id.') • tal; de manera que su inteligencia no sea superior a la capacidad y conocimien __í_ nombrando á'D. Mariano Durán'fisCál sustituto en las islas Filipinas.^/.-/.) tos que deben'suponerse en *díscípulos que oyen la materia por primera vez. ___i mandando ocupar' las temporalidades dé varios eclesiásticos y extrañán Para'prepararse á esta lección tendrá 24 horas de tiempo-; mas no se le per dolos del reino. (Id.) ■ ' mit…</t>
  </si>
  <si>
    <t>Duran, Ignacio</t>
  </si>
  <si>
    <t>Ignacio Duran</t>
  </si>
  <si>
    <t>…la de gefe de la quima sección á Don Leoncio Macragh: para gefes de mesa de la misma á D. Juan ALEMANIA. ■Fernandez del Pino y D. Claudio Fernandez: para la de gefe de la Gran datada de Hase-Darmstadt 27 de Jinda. sexta sección á D. Ignacio Duran: para las de gefes de mesa de la Ayer se trató en la Cámara de los Comunes de la fortaleza de Maguncia. Se misma á D. Diego López Ballesteros, D. Manuel Lacerda y D. Mi acordó suplicar al gobierno tenga en consideración lo que exige la libertad in guel Ace vedo; y para la de gefe de la sección de s…</t>
  </si>
  <si>
    <t>Duran, Juan</t>
  </si>
  <si>
    <t>Juan Duran</t>
  </si>
  <si>
    <t>…a de Nassau, está enteramente resuella.” dante de Ja expedición resolvió inutilizarlas, desfondándolas y echándolas á pique , consiguiéndose de este modo el objeto que me proponia. El gobernador de la plaza accidental de Bermeo , D. Juan Duran , coro nel del regimiento provincial de Trujillo que Je guarnece, con fecha de ajer ESPAÑA. me dice entreoirás cosas lo siguiente: ♦&gt;AI aparecer Ja fragata Perla en estas aguas, y después de haber comuni Barcelona 13 de Agosto. cado con una trincadura que enrié á reconocerla , y cu) o capitán D. Ma…</t>
  </si>
  <si>
    <t>Durante</t>
  </si>
  <si>
    <t>…s en la última época, y de que las tropas rusas hablan tomado posesión de una provincia de Pcrsia, y la multiplicidad de los asuntos, han contribuido mucho á debilitar la salud del de que se iba á formar un cuerpo de &lt;53 polacos. Emperador. " Durante los últimos días ha habido muchas entrevistas entre el almirante ____ El Constitucional dice lo siguiente: Sabemos que el gabinete de S. Peten-, P*rker .abultante Gage, lord Hosvard de Walden , cónsul ingles y otros. burgo ha pedido explicaciones al de Ingtaterra en vista del extraordinario ar í* Cróni…</t>
  </si>
  <si>
    <t>Durante, Mazarino</t>
  </si>
  <si>
    <t>Mazarino Durante</t>
  </si>
  <si>
    <t>…muy ésencial, pot un rma correspomlfcneiá coinpteta atiotadá aámírgen de mano del cardenal Ma- destino común á otras'muchas cosas, se halla todavía en un país extrangero. zarinó..Debí decir 41a Cámara qút‘el carácter de letra del cardenal; Mazarino «Durante muchos siglos ha poseido la.Inglaterra considerable númerp de hbcesita unvefdádéro estudio y estar muy ejercitado en ella para conseguir des nuestras provincias meridionales, ya por alianzas, ó por resultado dé lis guer- ■ cifrarle. Nadie bá eiripreridido este trabajo, aunque ám embargo descubrirá…</t>
  </si>
  <si>
    <t>Durbam</t>
  </si>
  <si>
    <t>…h. Dentro de diez dias se pondrá el vizconde Palmerston. en camino para volver por Rusia á su país. La misma Gaceta asegura que la peste está á punto de desaparecer: también anuncia la formación de un ejerci ____El convite dado á lord Durbam en Glasgow termino con los simientes to de reserva, añadiendo que todas las provincias han recibido las ordenes del brindis. Mr. Majoribanks : a la abolición de t. dos los empleos sin oficio, v da Sultán con mucho entusiasmo, y que han empezado las quintas bajo los mas las pensiones no merecidas. M…</t>
  </si>
  <si>
    <t>Durcb</t>
  </si>
  <si>
    <t>…S. M. la Reina Gobernadora, siempre solícita en Vuna 9 de Junio. troveer á todas las atenciones del Estado, se ha dignado mandar: que {os socorros destinados al sustento de los trabajadores que se hallen sin Sr. deEl Beitzemtein,Sr. Durcb, embajadoracaba de salirde Badénpara Zurichcerca ,deconla Conferenciaobjeto de entablary adjuntoalgunasdel jornal en esa corte, se destinen con preferencia á loa que ge em negociaciones con el vorort, antes de poner en práctica las medidas coercitivas. pleen en las obras emprendidas en el Real pala…</t>
  </si>
  <si>
    <t>Durch</t>
  </si>
  <si>
    <t>…n, anotándose en el Zurich 11 de Junio. libro de inscripciones el dia y hora de su separación. Según noticias dignas de crédito, debe llegar aquí muy pronto de Viena el Art. 21. En el caso en que las fincas aseguradas se vendan ó Sr. Durch para pedir positivamente la expulsión de los alemanes refugiados en traspasen, deberán los. interesados dar cuenta a la Dirección para Suiza , á consecuencia del atentado de Francfort de 3 de Abril, en nombre de el-reconocimiento del nuevo dueño, par si quiere renovar'la Obli la conferencia que se…</t>
  </si>
  <si>
    <t>Durham</t>
  </si>
  <si>
    <t>…sa mas grata para mí será el amor de una patria cuyas señales de afecto excitan siempre en ____ El lord Mulgrave se ha encargado por fin del sello privado , con entrada mí la mas tierna simpatía ” en el gabinete. No es cierto que lord Durham vaya á Irlanda. (Globe and tra- Luego que S. M. acabo de hablar resonaron otra vez las aclamaciones en veller.j el salón. Restablecido el silencio, el ministro de lo Interior , después de tomar ____El procurador general ha presentado á la Cámara de los Comunes un pro las órdenes de S M. leyó la fór…</t>
  </si>
  <si>
    <t>…Si esto pudiese continuar, si de este mo do se dejase á las asociaciones dueñas del campo de batalla, obran ayer para Rotterdam en el barco de vapor Batavia. do vigorosa y constantemente sobre todos los puntos del territorio, F1 conde Durham, que ha llegado á París , va, según se dice, resultarla que las clases honradas dejarían de confiar en el gobierno, á Berlin encargado de una misión secreta. se disgustarían de un estado semejante, permanecerían en sus casas, ____ El gobierno francés ha dispuesto enviar dos buques á Portscerrarían…</t>
  </si>
  <si>
    <t>…fer.- núan sin novedad en su importante salud en el Real Sitio del Pardo. ,tos de la gratitud de sus habitantes hacia el que poco hace desempeñó el pievado cargo de primer ministro de la Gran Bretaña. Lord Grey iba acompa ñado de lord Durham, cuando se presentaron comisionados de diferentes p¿j-tMINISTERIO DE LA GUERRA. blos, que le dirigieron la palabra con arengas mas ó menos expresivas del res Circular dirigida d los capitanes generales de provincia y d los ins— , peto' que les merecía su persona y su conducta ministerial y parlamen…</t>
  </si>
  <si>
    <t>…a mayor actividad en El Presidente levanta la sesión. el arsenal y entre las tropas de Mehemet Ai i.” .. El Constitucional dice que el tratado firmado en Londres por los minis tros de las cuatro Potencias, prueba que la misión de lord Durham á Parts ha ESPAÑA. deshecho las intrigas de la Rusia para debilitar la alianza de Francia é Ingla terra. La unión de ambas naciones será en adelante mas compacta, y en el caso, Madrid 11 ¿ir Mayo. de una guerra con el Norte, tendrán toda la fuerza del Mediodía de Europa contra ebpoder de la santa a…</t>
  </si>
  <si>
    <t>…guiente los amigos de la libertad pueden catar, seguros de que el ministerio se halla dispuesto no menos ahora que -anXes.4efccruar tenias las medidas de reformas que parezcan necesarias. „ , PARTE NO OFICIAL. Se pregunta por qué lord Durham no ha entrado en la nueva comhtnacióte ministerial. Nosotros ignoramos si lo deseaba, y decimos que en el caso afirmaNOTICIAS EXTRANGERAS. tile, ninguna razón que sea personal 4 lord Grey le ha hecho excluir. (Jdrt .FKANCIAINGLATERRA. Pdtu 3 di Junio. hSndrei 23 dt Mayo. cavara de tos pares___feria…</t>
  </si>
  <si>
    <t>…usticia, de lá necesidad y de los sanos principios en que Fondos publicas. Tres por 100 consolidados 91$. abunda el plan adjunto, por que se ha pronunciado la guarnición de esta capi Habiendo la Revista de Edimburgo publicado que lord Durham, cuan tal , y á que se han adherido la comandancia general y el gobierno, haga que do se trató del bilí de reforma, no había querido que se bajase el censo elec sea obsequiado, publicado y ejecutado en ese, distrito, junto con este decreto, toral mas que á 20 Jib. est., el noble lord ha querido sin…</t>
  </si>
  <si>
    <t>…rior.) INGLATERRA. GRECIA. Jjóndret 31 de Octubre* játtnas 10 de Setiembre. El Tim.es hace una relación detallada de los festejos con que acaba d» ABora empieza una era nueva para nuestros monumento». Sabido es que el obsequiar a lord Durham la ciudad de Glascoav. Entre los brindis que hu Rey de Baviera ha enviado á Grecia su primer arquitecto, el Sr. de Kieuse, bo con Cí&gt;tc motivo es de notai el siguiente, propuesto por el mismo lord para que dé su parecer sobre la elección de una capital, y sobre el modo de Durham: "Al pueblo francés ,…</t>
  </si>
  <si>
    <t>- 259 -chísimo del viage de lord Durham i París, como si no pudiera fresni sus teorías, añadiéndole así' virtaálmetrte un nuevo artículo ,y -viajar un hombre calificado sin suponerle algún proyecto ó misión mucho, menos para fundarse en este artículo y querer imponer al extraordinaria, ¿ Qué importa que lord Durham haya'sido minis legisl…</t>
  </si>
  <si>
    <t>…idailas para la enagenacion de todas las de su propiedad. reinato de Irlanda; pero nada podemos todavía decir de cierto sotire este parti 6? Si el valor de las fincas vendidas (i adjudicadas en los térmi cular. Sigue U voz de que lord Durham será lord lugar-teniente de Irlanda. nos expresados en los artículos anteriores no alcanzase á cubrir el dé (Idem.") bito ó débitos iK&gt;r que procediese la Real Hacienda, y no hubiese otros responsables contra quien repetir, se declarará partida fallida ____ Según todas las noticias que Tecibimos ac…</t>
  </si>
  <si>
    <t>…enschaft, y de algunas . V ' - otras que obran en el mismo sentido , está comprobado por las ins á su verdadera libertad. trucciones que contra ellas se han dirigido en los diversos Estados Sea pues lo que fuere de .la .misión de lord Durham á París, si de la Confederación germánica, se hace indispensable se ejecuten ella vía encaminada á cimentar y robustecer la unión y recíproca buena fe de la Francia y Giay-Bretafia, será muy útil y prove con todo rigor las prohibiciones y leyes existentes. S. M., mani chosa. Ignoramos (o que hay de…</t>
  </si>
  <si>
    <t>…productos exportados consiste en paños finos, en artículos d» los valores exportados por contrabando asciende á 700,000 libras esterlinas. moda , en los cuales gozamos de una superioridad evidente. Esta contradicción En seguida, lord Durham, haciendo alusión á una declaración de -Mr. de dos delegados de la fabrica de Rúan demuestra claramente el trabajo que de Saint-Cricq, dijo,que está demostrado que á pesar del derecho protector de les cuesta á nuestros manufactureros dar una explicación satisfactoria de la ex 100 por lot), es impos…</t>
  </si>
  <si>
    <t>…or español. mero llevase el condigno castigo de su rebelión. Desde este mo ____El presidente del consejo de ministros duque de Dalmacia dió mento la victoria se decidió en favor de las leales tropas de nues ayer un gran convite á lord Durham y á M. Eilice y Dr. Bowrin. tra Reina adorada: los facciosos completamente dispersos fueron Asistieron á él todos los ministros, varios mariscales , el preridenperseguidos por espacio de dos leguas en todas direcciones hasta te de la Cámara dé los Pares y otros, muchos distinguidos perso— muy cerrada…</t>
  </si>
  <si>
    <t>…l órden, y de la industria* Mr. YYeir: al libre Copenhague 2$ de Octubre* comercio de granos., y á la abolición de todas las restricciones comerciales^ El Las noticias que cada correo nos trae de las provincias acerca de la elec ¿conde Durham: á las clases trabajadoras. Mr. Duncan: a la abolición dé los ción de diputados a nuestra primera asamblea son de las mas satisfactorias. To- impuestos que pesan sobre la industria literaria- Mr. Gray: a la memoria de da; prueban el sump interes que toma el pueblo en esta operación importante, Fran…</t>
  </si>
  <si>
    <t>…que publicó enhasta Marsella; hablamos de su elocuente peroración relativa á nuestras rela Setiembre último contra los derechos de S. M.ciones comerciales con la Francia. Si pudiera servir de algo nuestro parecer, después del de Lord Durham, á Cuyas palabras dan nuevo pesó las ocasiones • ... Se lee en el Piloto de Calvados de 12 de Noviembre:que ha tenido de observar el estado de la Opinión pública en Francia, mani «El segundo convoy de presos llegó ayer tarde del monte S. Miguel áfestaríamos toda la satisfacción que hemos recibido a…</t>
  </si>
  <si>
    <t>…del espíritu de asociación; de esta sociedad que de algunos años á confirmación de estos rumores én un correo que ha llegado de Lón- esta parte produce tan asombrosos resultados; de esta sociedad á la ' dres con despachos para el conde Durham, que se suponen relati— cual se deben todos los canales y todos los caminos de hierro de • vos á una modificación del ministerio ingles, del cual formará par Inglaterra; de esta sociedad, en fin , que promete á nuestra patria te dicho conde con otros dos nuevos ministros , siendo el objeto de innum…</t>
  </si>
  <si>
    <t>…gos y allegados. 3.a De sem¡-\vhigs, como lord Stanley, sir J. ALEMANIA. Graham, lord Ripon y el duque de Richmond. 4*a De whígs, es decir, el par Hannóver 13 de Noviembre. tido que acaba de caer,-5.a De radicales moderados, como lord Durham, Mr. Grote, Mr. Hume, Mr. Ward y Mr. Warburton; y 6.a de yltra radicáles, Guillermo iv por la gracia de Dios Rey de la Gran-Bretaña y de Ir con Mr. OConnell al frente. landa, y l*.ey de Hannóver, duque de Brunswick, y de Luneburgo &amp;c. Según el mismo periódico, el primer paso del duque de Wellington…</t>
  </si>
  <si>
    <t>…or la felicidad de nará la de los Pares por la fuerza del privilegio, á pesar de la aristocracia y iSarsábditos. Cuesta trabajo creep-’que apenas bastasen las rentas de la Sicilia del Rey. La nación inglesa se ve arrastrada hácia lord Durham, que es quien para cubrir los gastos de la administración; sin embargo, se equivocaría abso ha de dar el último golpe á la revolución inglesa de 1688 , aniquilando la aris lutamente quien atribuyese un estado de cosas tan deplorable í falta de celo tocracia que fue su autora, haciendo que la Cámara…</t>
  </si>
  <si>
    <t>Durhan</t>
  </si>
  <si>
    <t>…ión entre este país y laRéígica, y promete resultados,ventajosos para el comercio. ___ .Hemos hablado, aunque ligeramente,,de los festejos que se han hecho al «Sítcóntinúa con la mayor actividad la ejecución del camino de hierro. lord Durhan en Ja ciudad de Glascow ; y del discurso que esté pronuncio al Todóatíuncia, hasta ahora á lo menos, que no serán los gastos tan conside fin del gran convite con que se le obsequió; pero la posición política de este rables cernió se creyó al principio. i personaje nos.obliga á copiar del Sun un ext…</t>
  </si>
  <si>
    <t>Durhapi</t>
  </si>
  <si>
    <t>…land y M. Stanley, mientras dos'indivi- que probablemente caerá ¿n manos de la justicia, cuando por el duos que nó forman parte del gabinete, el príncipe Talleyránd y contrario hubiera sido un artesano buenq y honrado si no le hu lord Durhapi „»os¿nyieroq que. dfchia.guardársela fe de ios tratados. bieran distraído de su taller para^oatriculÁrlo en estas sociedades. Los demas,rtinistros se^declararon contra el epvío de tropas, y así «Omito otras muchas reflexiones, excretándome á dfccir que se opuso nuestro gobierno á la ocupación milit…</t>
  </si>
  <si>
    <t>Durhatn</t>
  </si>
  <si>
    <t>…dado por Mr. Mollier, capitán de cor beta, ha llegado á Tolon el l.° de Noviembre, procedente de Bona. (Correo Los periódicos del dia contienen cada uno según la opinión á que perte /ranees.)nece, reflexiones sobre el discurso de Lord Durhatn (1). Hay en este discurso un trozo de que han hecho hasta ahora poco caso, pero que hemos leído con Mr. Bichat, editor de la Tribuna, fue condenado ayer en rebeldía á unmucho placer, y que produciría sin duda excelentes efectos desde el Havre año de cárcel y á una multa de francos, por un artículo…</t>
  </si>
  <si>
    <t>Durnam</t>
  </si>
  <si>
    <t>…si este aumento será para suplir de Joinvdle con uniforme de marina; yá su izquierda ai dbqúe de Nerííours la contribución que se paga por las puertas y ventanas. (Brighton-Herald.) con el de coronel de lanceros. ____Dicen que el lord Durnam pasa á Viena con el encargo especial de repre El Rey permite que los Pares y Diputados tomefr asiento, se cubre, j pro sentar la nación inglesa en el congreso ministerial. Como ya tenemos en la nuncia el discurso que sigue: corte de Viena á sir Federico Lamb, no parece probable que salga un enviado…</t>
  </si>
  <si>
    <t>Duro, Juan Manuel</t>
  </si>
  <si>
    <t>Juan Manuel Duro</t>
  </si>
  <si>
    <t>…breiano V podrá» hallar cuanto se desea. { ' . D. Amonio Parra . ayudas de oratorio 1 y los de D. Luis Branchi y D. Juan Narédo. ■ ,JEI exámen jnas prolijo quedebehacersé de dichos papeles, manifestará furrieres* se presentaran 4 D.- Juan Manuel Duro, que vive en esta corte calle de To ledo, mrm. 84 cuarta principal de la izquierda, frente al parador de Ocaú*. úur las preciahDenta la prótcii.iici* de dicho tren, y dará una poterna cié noticias re- mañanas de ocho a nueve, quien dirá donde los han de recibir. * EN ÍA IMPRENTA RF.AL.</t>
  </si>
  <si>
    <t>Durrieux</t>
  </si>
  <si>
    <t>…ubteniente D. Faus tino M irrinez: fue herido el teniente D. Manuel Veizsco, y contuso el capi iPKtf.__Sesión del dia \..°%de Marzo. tán D* Julián Mirú Losada; fue herido también ei sargento de zapadores Ma Jura y toma asiento el general Durrieux, diputado nombrado por el de nuel Puebla, y ei de Borboa Francisco MontieL partamento de las Landas. En seguida se da cuenta de varias solicitudes de par ticulares. S M. se ha dignado conceder el grado de brigadier al coronel Tolrá; la El mariscal1 Soult, ministro de Guerra y presidente del Consejo…</t>
  </si>
  <si>
    <t>Dusere</t>
  </si>
  <si>
    <t>…do en las a ios lados, en cuvo centro v bajo de un hermoso dosen campeaba ei refa 4 de Julio de 1831 entre F rancia y ios Estados-Unidos. - lo de nuestra adorada Kmva, rodeado de cornucopias, arañas v candehhr*&lt; • A propuesta del Sr. Dusere decide la Carnara que se vuelva á examinar el Los carmelitas c.tizados adornaron vitocamente U fachada de la portería de proyecto de ley relativo a la liquidación y pago de deuda» de la caja de ju su convento con una bien distribuida iluminación , que remataba con un tras bilaciones. parente, donde…</t>
  </si>
  <si>
    <t>Duvai, Juaij Lañes y</t>
  </si>
  <si>
    <t>Juaij Lañes y Duvai</t>
  </si>
  <si>
    <t>…............. 6 í 9 ídem.... 2 6 11 5 ANUNCIOS. PROVINCIA DE JAEN* Obras (lúe si hallan de ventó en el despacho de la imprenta Real. Parte sanitario de los pueilos que en (i se expresan. Arte de la cria del gusano de la seda, por D. Juaij Lañes y Duvai, edición de 17$7’ Un tomo en 8.° á i rs. rama y 8 en pasta común. Siendo ran preciosa, para la EspaÁ* la cría del gusano de 1» seda, excusado es encarecer la importancia de que procuren TaMtn. Drías. Enfermos. Curados. Fallecidos* adquirir la instrucción necesaria para su conservación y mejoras los…</t>
  </si>
  <si>
    <t>Duvivier</t>
  </si>
  <si>
    <t>…e dar lugar á ninguna intervención diplomática, las medidas necesarias dores, se ha pprtado como un diestro caudillo y un tildado intrépido. El te para repelerpor,una parte, un ataque á mano armada contra estos países, con niente coronel Duvivier, que concibió y dirigió el movimiento, ha dado prue los cuales la Confederación desea con tanto empeño conservar relaciones, de bas de ¿u aptitud miUúr.==El teniente general Voirol. (Monitor de Argel.') amistad, y por otra para alejar de su suelo á los instigador* de este movimien to insensato. Usí…</t>
  </si>
  <si>
    <t>…isar el pacto, que es, según cree, el único medio de que la la orden del día que sigue , con fecha de 21 de Junio. Sriútajfegue á ser una nación fuerte y respetada. ”La Dieta actual, añade, está •• Las comunicaciones del teniente coronel Duvivier, comandante superior destinada,i completar esta obra. ¡O será esto como la piedra de Sísifo, que es de Bugia, nos refieren los hechos siguientes: tá mirando el pueblo con indiferencia hace muchos años caer sobre el mismo «En la noche del 5 al ó de Junio penetraron unos kabailes, guiados por que la…</t>
  </si>
  <si>
    <t>…iles meditaban contra Jnigía un ataque que les ha sido miento del ejército úna nueva-proeza de la guarnición, de Bugía que hace tanto tan funesto, los habitantes de otro punto de la regencia pensaban en extender Bonor al teniente coronel Duvivier, por las buenas disposiciones que ha sabido las relaciones que han entablado de algún tiempo á esta parte con está ciudad, tomar, como á las tropas qué militan bajo sus órdenes, por el valor que han relaciones que Ies han sido ya may ventajosas. En efecto , el 15 de este mes desplegado eq este comb…</t>
  </si>
  <si>
    <t>D’Argout</t>
  </si>
  <si>
    <t>…tintos, dejando el de quedarán en este apostadero bajo las órdenes del capitán Lalande. Sin embargo, gastos para cuando se trate de los presupuestos. el almirante Hugon continúa siendo gefe de toda la escuadra francesa que hay El Sr. D’Argout satisface á los argumentos que se han hecho contra el pro en estos mares. Añaden que dentro de poco saldrá para Malta la escuadra in yecto, procurando demostrar que es de suma importancia y urgencia acceder á glesa- la Jey que se propone, y asegura que el gobierno no se valdrá de esta ley sino E1 a…</t>
  </si>
  <si>
    <t>E'pOz, D Francisco</t>
  </si>
  <si>
    <t>D Francisco E'pOz</t>
  </si>
  <si>
    <t>…ro general, en ge fe Mina.=En el cuartel general de Comisión.fégia de Navarra-tesExcmo. Sí.: En esta. hora que sbn las Sncé Pamplona á 4 de Noviembre de 1834* , ■de la mañana ha tomado el mando del ejército de Navarra el teniente general D. Francisco E'pOz f Mina. El general 2). Francisco Éspols y Mina 4 los navarros.. ■ El general D. Luis Fernandez de Córdoba Salió antes de ayer con Su di , Paisanos: Acabo de posesionarme del mímelo del ejército destinado á misión y dos batallones mas en seguimiento de la facción rebelde-,, que hoy k pacificar nuest…</t>
  </si>
  <si>
    <t>E'pOz, Francisco</t>
  </si>
  <si>
    <t>Francisco E'pOz</t>
  </si>
  <si>
    <t>…al, en ge fe Mina.=En el cuartel general de Comisión.fégia de Navarra-tesExcmo. Sí.: En esta. hora que sbn las Sncé Pamplona á 4 de Noviembre de 1834* , ■de la mañana ha tomado el mando del ejército de Navarra el teniente general D. Francisco E'pOz f Mina. El general 2). Francisco Éspols y Mina 4 los navarros.. ■ El general D. Luis Fernandez de Córdoba Salió antes de ayer con Su di , Paisanos: Acabo de posesionarme del mímelo del ejército destinado á misión y dos batallones mas en seguimiento de la facción rebelde-,, que hoy k pacificar nuest…</t>
  </si>
  <si>
    <t>E-.te, Cano Manuel'</t>
  </si>
  <si>
    <t>Cano Manuel' E-.te</t>
  </si>
  <si>
    <t>…abra que e¡ de ha«.cr ver que mi proposición dei olio dia juramento en el Estamento cu-indo pueda proentar^e. no tiene analogía con ia presente cuestión/’ Después de una ligcrá d scusion en que tomaron parte los Sres. duque de El Sr. Cano Manuel'. " E-.te negocio en las circunstancias en cue nos en Rivas, Moscou, Cano Manuel y otros, quedó pend.enle la resolucicn basta contramos, creo que debe llamar muy particularmente la atención de i Estjrnerto; el fin de la sesión. y yo le considero por uno de ios apuntos de la mayor trascender: .m b- M. ha " Se…</t>
  </si>
  <si>
    <t>Eabi.i</t>
  </si>
  <si>
    <t>…eina nuestra Señora Doña Isabel u , y S. M. la Reina Gobernadora, siguen sin novedad en su importante salud. Excmo. Sr. : A su tiempo recibí el juego de monedas acuñadr-. c^n rro't'vo de la proclamación de la Ruina nuestra Señora Doña Eabi.i i i que Y. E. m * Del mismo beneficio disfrutan SS. AA. RR. los Sermos, Sres. Infantas. remitió de Real orden en 3't del anterior; v no habiendo p--&gt;di J &gt; &lt;_i.nv.rst .r en MINISTERIO DE GRACIA T JUSTICIA. tonces por mi indisposición, lo hico ahora, mar.i-estando á Y. E. que las h. recibido con el…</t>
  </si>
  <si>
    <t>Ealmerstpn</t>
  </si>
  <si>
    <t>…ayol . . z benemérito.y desventurado capitán ©¿'Domingo Muruaga, barbara- Fotutos púhiicot. Tres por l OO consolidados 92|- _ t • . - ¿ mente asesinado por la gavilla del rebelde Zavala; y que dicha per Estos dias han visitado al vizconde Ealmerstpn en la ¿secretaría &lt;fc Estádq sionséjpa en representación de lo® menores, á su madre viud¡ M. de Moraes Sarmentó, ministro porUigucs; M. Xricoupi, pienipoteaciaño Dófta'.'Sarcisá VfldÓSoTá’, ett.atención á los servicios, padecimientoxi de Grecia y y el maxqup de Miradores. embajador espapoU ¿síjítoi…</t>
  </si>
  <si>
    <t>Eatorre</t>
  </si>
  <si>
    <t>…leyó el pro: ecto del Gobierno (véase el apéndice al suplemento de la Gaceta de 12 de O - tubre último), y en seguida el dictamen de la comi-ion de E.tado sobre el Se abrió á las doce. Se leyó el acta de la sesión anterior, y el Sr. Eatorre hizo presente que en mismo, que es como sigue: el voto particular de sus compañeros y suyo, en que se separaban tanto del «La comisión nombrada para examinar el presupuesto de la Secretaría del proyecto del Gobierno, como del dictamen de la comisión , no habían mani Despacho de Estado correspondien…</t>
  </si>
  <si>
    <t>Eavoel, Joaquín</t>
  </si>
  <si>
    <t>Joaquín Eavoel</t>
  </si>
  <si>
    <t>…daban lugar á Y a r: o, qúc contribuyó con su serenidad y valor al mejor e\íto de la acción; quería columna á paso redoblado atravesase las espesuras y los ríes que cortan de los geíes de batallón de la Guardia Real de infantería D. Joaquín Eavoel camino, pasándolos á vado con el agua al mudo y vientre. na, D. llruno Aluiz y el segundo comandante interino D. Francisco Javier Por espacio de mas de una hora la situación de la brigada fue crítica y pe Ezpélela; de los comandantes- de la Guardia Real provincial P. Blas Barreda, nosa, pero las co…</t>
  </si>
  <si>
    <t>Ebrington</t>
  </si>
  <si>
    <t>…céntimos , se disminuirá ó suprimirá este derecho cuan Fondos públicos. Tres por 100 consolidados 93 j. do respectivamente se verifique esto mismo en el timbfc ingles. Esté convenio He aquí la carta que el conde Grey ha enviado á lord Ebrington en res se pondrá en ejecución dentro de algunas semanas. Oteos varios puntos, sobre puesta í otra que estele dirigió firmada de un considerable número de diputa los cuales aun no están de acuerda estas dos autoridades, serán objeto de un dos de la Cámara de los Comunes ; pidiéndole que no se retira…</t>
  </si>
  <si>
    <t>Ecbaluce, Bernardo</t>
  </si>
  <si>
    <t>Bernardo Ecbaluce</t>
  </si>
  <si>
    <t>…Vascongadas desde Vitoria, con fecha de 30 del pasado Julio, comanica á este ministerio el parte que con la La ciudad áer Cincinnaro (sobre el Ohio) no existía hace 4-0 años: en de 26 le trascribe el comandante de armas de Eibar D. Bernardo Ecbaluce, esta época se compró un terreno de 400 acres por 800 pesos, el cual divi sobre el ataque de dicho punto por una gruesa facción de Vizcaya: de dicho dido en pequeñas suertes, se vio al principio cubierto de chozas, en seguida de pártese deduce que el faccioso Zavala, titulado general en gefe, á la…</t>
  </si>
  <si>
    <t>Eccd, Pedro</t>
  </si>
  <si>
    <t>Pedro Eccd</t>
  </si>
  <si>
    <t>…cia; teis son relativos pasar la carretera para volverse á Castilla. A las inmediaciones del pueblo tuve á la regencia que' én: adelante ejercerá una sola persona, y- el último trata de aviso por el alférez de fusileros de Teruel D. Pedro Eccd, que estaba en Buo** la supresión del Consejo de Estado. La Cámara de Diputados ha decidido fia, de que la facción, se. hallabaá media hora en una paridera llamada del pqr una gran mayoría que no tenia necesidad ni de la aprobación del senado ni Llano: en su vista determiné ir con la caballería y 1…</t>
  </si>
  <si>
    <t>Eced, Pedro</t>
  </si>
  <si>
    <t>Pedro Eced</t>
  </si>
  <si>
    <t>…rito al National de I^orbon, á otro que iba con él;el sargento 2.° Lucas Fernandez, al cabecilla para desmentir .las noticias que los carlistas suponen que ha dado sobre la mala Peregil-, el teniente D. Paulino Rubio y el alférez D. Pedro Eced por su par situación de los negocios de la Reina en Navarra. «Jamas, dice el coronel Ca- te persiguieron á tres y les hicieron pagar su crimen. En fin, Excmo. Sr., el radoc, he dejado de tributar el mas justo y entero homenage 1 los talentos mi resultado ha sido no haberse escapado ninguno. He disp…</t>
  </si>
  <si>
    <t>Echaiecu, Bernardo</t>
  </si>
  <si>
    <t>Bernardo Echaiecu</t>
  </si>
  <si>
    <t>…quín Bayon y D. José Losada : al valiente tómente de ca pió un pequeño t destacamento de tiradores de Isabel n , que conducido por su rabineros á caballo D. Dionisio Troncón, y a los capitanes de cazadores de le» bizarro teniente D. Bernardo Echaiecu, salió de la casa fuerte; este movimien regimientos de Avila y del 2.® batallón de la Guardia D. José Milano y Den to ^.decia, Excmo.Br., fue decidido y nos hizo pronto y sucesivamente due Carlos López. ños de una extensa y formidable posición , tan tenazmente defendida en un «De igual recompensa é…</t>
  </si>
  <si>
    <t>Echaiecu, D Bernardo</t>
  </si>
  <si>
    <t>D Bernardo Echaiecu</t>
  </si>
  <si>
    <t>…a £). Joaquín Bayon y D. José Losada : al valiente tómente de ca pió un pequeño t destacamento de tiradores de Isabel n , que conducido por su rabineros á caballo D. Dionisio Troncón, y a los capitanes de cazadores de le» bizarro teniente D. Bernardo Echaiecu, salió de la casa fuerte; este movimien regimientos de Avila y del 2.® batallón de la Guardia D. José Milano y Den to ^.decia, Excmo.Br., fue decidido y nos hizo pronto y sucesivamente due Carlos López. ños de una extensa y formidable posición , tan tenazmente defendida en un «De igual recompensa é…</t>
  </si>
  <si>
    <t>Echalecu, Bernardo</t>
  </si>
  <si>
    <t>Bernardo Echalecu</t>
  </si>
  <si>
    <t>…etaguardia seguía el movimiento, dejando Acciones del banco español, 90. CAMBIOS. en el fuerte 150 hombres. Al vemos salir rompieron un vivo fuego; sin em 16-3 00. Paila, Cádiz, l{áfb. i 4. b. Sevilla, t bargo, el bizarro oficial D. Bernardo Echalecu , teniente de la l.* compañía Amsterdam, Bayona, 00. Alicante, Corona, ácorto pla 4 Valencia, i 4 td. ' | d. de tiradores de Isabel u, despreciando el fuego que los rebeldes hacían parape Burdeos, 00. zo, * b. Granada, i id. Zaragoza, j d. tados , avanzó hasta desalojarlos de todas sus posiciones,…</t>
  </si>
  <si>
    <t>Echalecu, O León Iriarte y D Bernardo</t>
  </si>
  <si>
    <t>O León Iriarte y D Bernardo Echalecu</t>
  </si>
  <si>
    <t>…conforme á la nueva división del territorio. señores oficiales y -tropa han llenado sus deberes en esta salida, y se han dis ——Los suscr i plores á los Principios de legislación y codificación de Btntham, pasa tinguido Matemente coronel O. León Iriarte y D. Bernardo Echalecu, quien rán k recoger ei tomo 3.° de dicha obra á las librerías de Sujo y de la viuda de Cruz. —Los suscriprores al Diccionario tecnológico de artes y oficios, pasarán á lajllbrería después de haber sufrido una herida contusa de1 bala en el brazo izquierdo, de Razóla á recibir la segunda entrega del…</t>
  </si>
  <si>
    <t>Echalucc, Bernardo</t>
  </si>
  <si>
    <t>Bernardo Echalucc</t>
  </si>
  <si>
    <t>…e nos dijeron , que no pudicndo con Títulos al portador del 5 p. 100. 68. 67$: 68$, | y $ * varías fs. ó vol. tenerme salí con unos 60 hombres de cazadores de Label n y su comandante Inscripciones en el gran libro 2 4 p. 100. 00. D. Bernardo Echalucc y el alcalde de esta villa D. Juan Ramón de Arana, Títulos al portador del 4 p- 100. 58, 574 y f»al contado: 58, 60, 59, 58 , 57J, 58$. 57$ y £ a varias fs. vol. y firme : 61 y 60 á varias fs. vol. y firme á prima qa capitán retirado y comandante de la Milicia urbana , que me acompaña siem i y 1 p. 1…</t>
  </si>
  <si>
    <t>…eblo, dejando la ,2.* hrijpH-i en Busturia p-in pr.u-f-ger rnq ambas el examen de ciertos puntos don PROVINCIA BE SEVILLA. de sospechaba pudiese estar escondida dicha pieza: para tan interesante comi sión hice salir ai comandante D. Bernardo Echalucc con los cazadores de Isa Con fecha 8 del actual avisan el gobernador civil y el presidente de la bel ir, llevando consigo, como muy conocedpr del terreno, al benemérito junta de Sanidad de dicha provincia', que el dia 17 había enfermado en la ca pital.una persona con síntomas sospechosos , no falle…</t>
  </si>
  <si>
    <t>Echalucc, D Bernardo</t>
  </si>
  <si>
    <t>D Bernardo Echalucc</t>
  </si>
  <si>
    <t>…ara_esl£-pueblo, dejando la ,2.* hrijpH-i en Busturia p-in pr.u-f-ger rnq ambas el examen de ciertos puntos don PROVINCIA BE SEVILLA. de sospechaba pudiese estar escondida dicha pieza: para tan interesante comi sión hice salir ai comandante D. Bernardo Echalucc con los cazadores de Isa Con fecha 8 del actual avisan el gobernador civil y el presidente de la bel ir, llevando consigo, como muy conocedpr del terreno, al benemérito junta de Sanidad de dicha provincia', que el dia 17 había enfermado en la ca pital.una persona con síntomas sospechosos , no falle…</t>
  </si>
  <si>
    <t>Echaluce, Bernardo</t>
  </si>
  <si>
    <t>Bernardo Echaluce</t>
  </si>
  <si>
    <t>…dministraciones de correos. pieron un fuego activo; á pesar de esto, las hicieron retirar los cazadores viz ■ i Ttsauro hisfano-iatino dispuesto por el P. Valeriano Requejo. Nueva edición caínos , mandados por su digno comandante D. Bernardo Echaluce, que tan aumentada y arreglada á la ortografía ael Diccionario de la lengua castellana en tu última impresión por la B.eal academia española. Se hallará á 12 rs. en pergauifoo-y tas pruebas tiene didits de su acreditado valor y decisión por la-causa de la le 16 en pasta en la librería de Vi^na Razó…</t>
  </si>
  <si>
    <t>Echaluce, D Bernardo</t>
  </si>
  <si>
    <t>D Bernardo Echaluce</t>
  </si>
  <si>
    <t>…todas las administraciones de correos. pieron un fuego activo; á pesar de esto, las hicieron retirar los cazadores viz ■ i Ttsauro hisfano-iatino dispuesto por el P. Valeriano Requejo. Nueva edición caínos , mandados por su digno comandante D. Bernardo Echaluce, que tan aumentada y arreglada á la ortografía ael Diccionario de la lengua castellana en tu última impresión por la B.eal academia española. Se hallará á 12 rs. en pergauifoo-y tas pruebas tiene didits de su acreditado valor y decisión por la-causa de la le 16 en pasta en la librería de Vi^na Razó…</t>
  </si>
  <si>
    <t>Echaluce, Francisco</t>
  </si>
  <si>
    <t>Francisco Echaluce</t>
  </si>
  <si>
    <t>…cias de primer órden; va , asesinado pot los facciosos en el lugar de Heredia, una pensión de 3 rea asi que, el Sultán tiene et proyecto de establecer una escuela destinada í for les diarios: á Doña Gregoria de Jáuregui, viuda de D. Francisco Echaluce, mar profesores, (Gaceta de Augsburgo.’) Miliciano urbano de la villa de Vergaru, mueno por los facciosos en la glo riosa defensa de dicha villa, una pensión de 8 rs. diarios: á Lcandra Martí INGLATERRA. nez, viuda de Francisco Lacámara, asesinado alevosamente en Heredia por los facciosos, 3 rs. de…</t>
  </si>
  <si>
    <t>Echaso, Claudio</t>
  </si>
  <si>
    <t>Claudio Echaso</t>
  </si>
  <si>
    <t>…l Fomento de esta provincia, y publicada en el Boletín oficial, para giéndoles 8 prisioneros y porción de armas. ' recoger en ella á todos los mendigos que vagan por la9 calles y plazas, excep El coronel comandante de carabineros D. Claudio Echaso alcanzo el dia tuando á los forasteros, que serán conducidos á ¿us pueblos, acordó reunirse 27 los facciosos cerca de Narvaja, cogiéndoles un prisionero y porción de fusi en sesión extraordinaria, excitando á concurrir á ella al mismo Sr* subdelegado, les, que con una caja de guerra dejaron abandon…</t>
  </si>
  <si>
    <t>Echavarria, Francisco de Paula González y</t>
  </si>
  <si>
    <t>Francisco de Paula González y Echavarria</t>
  </si>
  <si>
    <t>…. Manuel Fraile, obispo de Sigíienza y Pa- . triarca de las Indias................... .. . *............................................ ........... 3000____ El Constitucional, hablando del proceso del Morning-Post, i cuyo editor D. Francisco de Paula González y Echavarria, fabricante de gaantes. 20 principal se ha hecho comparecer á la barra de la Cámara de ios Lores de In Ademas ha ofrecido 20 rs. mensuales á contar desde l.° de Agosto. glaterra por haber puesto un artículo contra el lord canciller, lord Brouzham, Un religioso que no quiso dar su nombre............…</t>
  </si>
  <si>
    <t>Echavis, D Juan</t>
  </si>
  <si>
    <t>D Juan Echavis</t>
  </si>
  <si>
    <t>…iosos que intentaron sorprender la guarnición de Salas de lo* In secun nvin fc»ié á V. F. en mi último pirte desde Santa Gadea, recibí aviso fantes , fueron comp.etamente rcchazido»; habiendo sido muerio e; fimoso ca del teniente coronel D. Juan Echavis, capean de la compañía de seguridad becilla Dionisio Arnaiz, llamado el trompeta de Lerma. tuvieron los enemi pública de Santander, de que 3nu facciosos habían entrado á las seis de la ma gos otros muertos y heridos, y por nuestra parte hubo un muerto y do» Heridos. ñana del 18 en Villarcajo. Inmed…</t>
  </si>
  <si>
    <t>Echavis, Juan</t>
  </si>
  <si>
    <t>Juan Echavis</t>
  </si>
  <si>
    <t>…e intentaron sorprender la guarnición de Salas de lo* In secun nvin fc»ié á V. F. en mi último pirte desde Santa Gadea, recibí aviso fantes , fueron comp.etamente rcchazido»; habiendo sido muerio e; fimoso ca del teniente coronel D. Juan Echavis, capean de la compañía de seguridad becilla Dionisio Arnaiz, llamado el trompeta de Lerma. tuvieron los enemi pública de Santander, de que 3nu facciosos habían entrado á las seis de la ma gos otros muertos y heridos, y por nuestra parte hubo un muerto y do» Heridos. ñana del 18 en Villarcajo. Inmed…</t>
  </si>
  <si>
    <t>EcheCristina, D Juan</t>
  </si>
  <si>
    <t>D Juan EcheCristina</t>
  </si>
  <si>
    <t>…cogiéndoles caballos, armas bertad , del poder con la justicia, del trono con la nación «.separa y efectos en diferentes puntos. dos por desgracia hasta nuestros días, es la obra de la inmortal Otra columna al mando del teniente coronel D. Juan EcheCristina, es la piedra fundamental del Estatuto, es la prenda cier varri se ha dirigido á recorrer los valles de Sova, Buega y Parayas ta de nuestra felicidad futura. A la sombra del poder gozaremos de qué se hallaban invadidos por pequeñas partidas de la facción viz la libertad: pero gozaremos de ella, com…</t>
  </si>
  <si>
    <t>EcheCristina, Juan</t>
  </si>
  <si>
    <t>Juan EcheCristina</t>
  </si>
  <si>
    <t>…oles caballos, armas bertad , del poder con la justicia, del trono con la nación «.separa y efectos en diferentes puntos. dos por desgracia hasta nuestros días, es la obra de la inmortal Otra columna al mando del teniente coronel D. Juan EcheCristina, es la piedra fundamental del Estatuto, es la prenda cier varri se ha dirigido á recorrer los valles de Sova, Buega y Parayas ta de nuestra felicidad futura. A la sombra del poder gozaremos de qué se hallaban invadidos por pequeñas partidas de la facción viz la libertad: pero gozaremos de ella, com…</t>
  </si>
  <si>
    <t>Echevarría</t>
  </si>
  <si>
    <t>…l documento referido, para poder dar su dictámen de un modo íe abrió i las once, y leída el acta de la anterior quedó aprobada. positivo.” Se mandó agregar el voto que remitió por escrito D. Francisco Villalai Si JX _ÜggMgQ-u-»El—Sr.-Echevarría fue procesado criminalmente en la j A. I™ «f finrcs que aprobaron el proyecto de ley presentado por el_Go-— "Habana por el Gobierno: concluido que fue el sumario, lo dirigió á S. M., y biemo, relativo i excluir al inlante JL». Cárlos y su línea de la sucesión de la S. M. lo pasó al tribunal á que c…</t>
  </si>
  <si>
    <t>…con su cquipage, y que mientras llegan presentaba los documentos de sen al Gobierno los antecedentes que citaban los acusadores: 2.° que se des aptitud legal. Se mandaron pisar á la comisión de Poderes. aprobasen los poderes del Sr. Echevarría; y 3.° que se dé tiempo á él y £ La misma comisión presentó su dictamen, en que manifestaba haber exa sus acusadores para probar lo que les convenga. Si se la acu«a de parcialidad, minado la última exposición del Sr. D. Prudencio Echevarría y Ogaban, elec no sera en favor del electo. El asunto es d…</t>
  </si>
  <si>
    <t>…cedió, y aun se inculpt El Secretario Truebaleyó una exposición de un particular relativa, á que • al Gobierno de S. M. porque no defendió su'proyecto y la parte de emprésti se leyesen,originales los documentos presentados por el Sr. Echevarría. , tos que fue desechada. Asi que, el' Estamento, á mi ver, se halla comprome Til Sr. Medrana-, »Me oDonfeo á que ningún particular venga danrio — - tido i que se ponga al público todo lo que se-ha-dicho; y yo seré el primero en reclamarlo. ' - _ . »Estoy siempre pronto á responder , de cuanto diga…</t>
  </si>
  <si>
    <t>Echevarría, José-Ignacio</t>
  </si>
  <si>
    <t>José-Ignacio Echevarría</t>
  </si>
  <si>
    <t>1227 -ílo arítníhÍEtr.tííor gc:ierál tí; rentas de Navarra, D. José-Ignacio Echevarría, la. infantería en la Cilcomuna, marchando el rebelde ubrera hácia los Pucrboticario de Aranaz, una muger y 5 facciosos, y 8 zapateros de los que tra . tos, y Montañés á reclutar gente. . w bajaban para dios. . «Luego que supe en el campamento del Azud Je Cuspe est.i división de ■ "Aprehendieron 20…</t>
  </si>
  <si>
    <t>Echevarría, Manuel María</t>
  </si>
  <si>
    <t>Manuel María Echevarría</t>
  </si>
  <si>
    <t>&gt;/ 953 . cer eú el Mediodix, prueba í hacer» el: centro de kyunidad de la Alemania de„contador de Lugo a D. Manuel María Echevarría, visitador cesante del intermedia. mismo ramo en la provincia de Oviedo* ' , ... Alemania; en el v; Asi, i fines de 1828 tres líneas comerciales dividian'la Mediodía la línea bávaro-wurtemburguesa; al Norte la línea de la Frusta y el Para la plaza de oficia) segundo de la contaduría de Propios de Z…</t>
  </si>
  <si>
    <t>Echevarría, Prudencio</t>
  </si>
  <si>
    <t>Prudencio Echevarría</t>
  </si>
  <si>
    <t>…nifestar el objeto de la ley, que es bien miten los vecinos de la ciudad de Santiago de Cuba, que anteriormente repre claro, á saber: exigir prendas y garantías á los Procuradores del reino para que sentaron contra la elección de D. Prudencio Echevarría, por el que aparece sean el mas firme apoyo de las leyes fundamentales 7 del orden público- Y yo que este Señor tiene pendiente causa en uno de sus tribunales. pregunto ahora : ¿el Sr. Alcalá Galiano no da esta prenda de seguridad que La comisión de Poderes dió cuenta, de haber examinado los docume…</t>
  </si>
  <si>
    <t>Echeverría, Juan</t>
  </si>
  <si>
    <t>Juan Echeverría</t>
  </si>
  <si>
    <t>…ciado de Barasoaih; á D. Manuel Aizpun, bene este dinero deben comprarse cuatro buques de vapor de la fuerza de 200 ccbaUoS cada uno, y destinarse uno para hacer la travesía de Inglaterra á Alejandría,ficiado de Cizur la mayor; á D. Juan Echeverría, beneficiado de los y ¡os tres réstantes para ser empicados en Ja costa oriental del Istmo, uno en Atcos; I D. José Sotó, beneficiado de Arroniz; á D. Pedro María Bombay y dos en Calcuta. Irazuzta, beneficiado-de S. Sebastian; á D. José Ignacio Zabalo, be El buque de vapor de Bombay será despachado…</t>
  </si>
  <si>
    <t>Ecrmudcz</t>
  </si>
  <si>
    <t>…produjeren algún efecto. Desengañado ya, comisión .con las instrucciones convenientes; pero el gobierno quedo sorpren creyó que cualquiera demora sena peligrosa, y se resolvió á realizar el proyecta dido al saber, primero por el general Ecrmudcz, y después de oficio, que el El Gobierno se proponga dictar alguna^ ordenes desde el Cailao. h¿ elkis eran general Gamarra no querrá ya marchar. Esta inconsecuencia, esta .insubordi obedecidas cesarían ios peligros; sí no, se declararía La sedición, y cciocédo nación cn un aeneral, cuyo ejemplo no…</t>
  </si>
  <si>
    <t>Edinbnd</t>
  </si>
  <si>
    <t>…cia ascienministerio, terminada por un voto de unión entre los liberales de todos co de á mas de 909 libras esterlinas (9.000.ÜUO rs.) Ha dejado mandas á todas las lores. personas que componían su servidumbre: á su secretario, el coronel Edinbnd í,En cuanto al ministerio tory, lord Palmerston no vacila en declarar que Currey , ha dejado 209 libras esterlinas; al coronel Higgine, caballerizo mayor, no creé que pueda ir adelante, porque no concuerda con los intereses y la opi 259 libras esterlinas, y á cada uno de sus ayudantes de campo 39 l…</t>
  </si>
  <si>
    <t>Edudres</t>
  </si>
  <si>
    <t>…... 4 4 8 Amsterdam , 00. Alicante i porto pla Granada | d. 3J id.................. i 2 10 16 Bayooa, 00. zo J d. Málaga par. Burdeos, 00. Barcelona 4 pesos fs. Saotander id. 1.® de Abril.... I 5 2 8 Hamburgo; 00. i ». Santiago 1 d. Edudres 4 90 días 37J Bilbao par. Sevilla par. Observación. 'En el número de fallecidos e?tao inclusos los dp i i. Cádiz | o. Valencia id. hh4e fe» hospitales y de toda piase de enfermedades. 4 París iti I. Corufia j d. Zaragora I d. Descuento de letras 11 4 p. ios al aDo. Sitad# ¿*n¡Mw de Metepona desde t…</t>
  </si>
  <si>
    <t>Edyé</t>
  </si>
  <si>
    <t>…ana la dxpédicion encargada de explorar el Africa central, bajo la dirección del doctor Sniith, ha empacado Su peligrosa empresa Habiendo dado cuenta á la Reina Gobernadora del expedienté Los exploradores son el doetor Sniith, él capitán Edyé del regimiento 98,Instruido: á instancia del subdelegado de rentas del partido de Baza, Mr. Garlos Béll, Mr. Burrow, ademas dos indids que debed acompañar á la Jr consultado por esa dirección general acerca de que se declare que expedición hasta Lattakoo. el Uso de papel sellado de pobres no se permita…</t>
  </si>
  <si>
    <t>Eelda</t>
  </si>
  <si>
    <t>…ai Estatuto, en el cual se fijan Ips nego tirio otro dia ■ mayormente no habiendo una prisa que obligase i hacerlo boy. cios qus deben tratarse en las Córtes. El art. 110 que ha citado el Sr- preopi- , . Habiendo preguntado el Sr-Secretario Eelda si atendida la reclamación ntate se refiere i loa anteriores, y pierden por consiguiente 4oda su fuerza anterior se suspendería la discusión para otro dia, el Estamento acordó los argumentos que se han querido sacar, no haciéndose méritode tal rdfcrcn- que sí. '' __ —------ ----- " El br. President…</t>
  </si>
  <si>
    <t>…atender al Despacho de los asuntos, y pide se le nom bierno qué clase de agentes ha de enviar, ni de dónde ha de tomar dinero para bre vicecónsul.” pagarlos, á no ser que tome sobre sí la responsabilidad. Para no cargarse con El Sr. Eelda: «Yo bien sé que las reformas no se hacen de una vez; pe ella sé previene ahora.” ro quisiera llamar la atención del Estamento sobre tos cónsules para lo sucesi El Sr. Trucha: «La comisión de Estado que había procedido con la ma vo. Es seguro que de sueldo no tienen mas que de 12 á 209 rs.; pero ad…</t>
  </si>
  <si>
    <t>Eena, José</t>
  </si>
  <si>
    <t>José Eena</t>
  </si>
  <si>
    <t>…capital de esta pro y 30 caballos del 3.° ligero al mando de sus dignos gefes el coronel D. Fer vincia; el cólera había desaparecido de des pueblos de ella, y seguía disminu nando Fernandez de Rodas y del comandante de escuadrón D. José Eena- yendo en otros 14 que en la misma lo paAv-i.-in. En el momento supe que la ficción, acosada en todas direcciones, no pu- PROVINCIA DE SEGOVIA. ---------- diendo eludir la continua persecución de mis columnas y de la del goberna dor de Almagro D. Juan Carmona, que con los Urbanos de dicha ciudad y D…</t>
  </si>
  <si>
    <t>Eenkendorf</t>
  </si>
  <si>
    <t>…ncadura Cristina Don —- TTn«i carta de Revel de 30 de Setiembre dice lo que sigue: Según noticias Juan Manuel de Ondarza apresó el día 30 de Octubre 15 lanchas trañeras y de S. Petersburgo, en aquella capital se hablaba mucho del general Eenkendorf, chalanas que habían salido al mar del puerto de Motrico, punto ocupado por edecán del Emperador, que tantos servicios hizo á su amo á principios de su los facciosos, y las condujo al puerto de Lequeitio con todas sus tripulaciones en numero de 96 hombres.reinado. Hasta aquí había acompañado al Emp…</t>
  </si>
  <si>
    <t>Eerrer</t>
  </si>
  <si>
    <t>…en “última sesión se admitió á un Sr,. Procurador que por olvido no remitió sus poderes, y fue al Sr. D. Joaquin María Fexrcr.” , ...."2J del corriente. , , A la misma comisión pasó igualmente una exposición del Sr. D. Joaquín El Sr. Eerrer: «Creo quejhe entregado el poder, con loé demás docu González y Nieto, Procurador elicto'-por la provincia de Soria, pidiendo ,so mentos.” le admita la dimisión que hace de.dicho cargo. El Sr. Domecq: «También se gdmitió pn Ja'lijisma.smtoSraá-D^Andreáv, El Estamento quedó enterado de un oficio de…</t>
  </si>
  <si>
    <t>Eerrer, Baltasar</t>
  </si>
  <si>
    <t>Baltasar Eerrer</t>
  </si>
  <si>
    <t>…perdida consiste en los oticiales heridos siguientes: Alférez de la se pudiera apagarlas. {Mensageroi) Guardia Real de infantería D. Erancisco Escobar: capitanes giaduados de co ronel, del regimiento de Córdoba D. Manuel Michel y D. Baltasar Eerrer: ¡os tenientes D. Cayetano Cabaces, graduado de teniente coronel, v O. Romual do Aguado, y subteniente D. Joaquín Iglesias, todos del mismo cuerpo; v el ESPAÑA. teniente dei 6° ligeros D. Luis Mailen: contusos, el anudante del 4.0 regi miento de Guardia Real D. José Mozurd; el teniente con grado de…</t>
  </si>
  <si>
    <t>Eerrer, D Joaquín El Sr</t>
  </si>
  <si>
    <t>D Joaquín El Sr Eerrer</t>
  </si>
  <si>
    <t>…lebrada en Zamora en “última sesión se admitió á un Sr,. Procurador que por olvido no remitió sus poderes, y fue al Sr. D. Joaquin María Fexrcr.” , ...."2J del corriente. , , A la misma comisión pasó igualmente una exposición del Sr. D. Joaquín El Sr. Eerrer: «Creo quejhe entregado el poder, con loé demás docu González y Nieto, Procurador elicto'-por la provincia de Soria, pidiendo ,so mentos.” le admita la dimisión que hace de.dicho cargo. El Sr. Domecq: «También se gdmitió pn Ja'lijisma.smtoSraá-D^Andreáv, El Estamento quedó enterado de un oficio de…</t>
  </si>
  <si>
    <t>Eerrer, Joaquín El Sr</t>
  </si>
  <si>
    <t>Joaquín El Sr Eerrer</t>
  </si>
  <si>
    <t>…ada en Zamora en “última sesión se admitió á un Sr,. Procurador que por olvido no remitió sus poderes, y fue al Sr. D. Joaquin María Fexrcr.” , ...."2J del corriente. , , A la misma comisión pasó igualmente una exposición del Sr. D. Joaquín El Sr. Eerrer: «Creo quejhe entregado el poder, con loé demás docu González y Nieto, Procurador elicto'-por la provincia de Soria, pidiendo ,so mentos.” le admita la dimisión que hace de.dicho cargo. El Sr. Domecq: «También se gdmitió pn Ja'lijisma.smtoSraá-D^Andreáv, El Estamento quedó enterado de un oficio de…</t>
  </si>
  <si>
    <t>Eerrer, Manuel Michel y D Baltasar</t>
  </si>
  <si>
    <t>Manuel Michel y D Baltasar Eerrer</t>
  </si>
  <si>
    <t>…es de que «Nuestra perdida consiste en los oticiales heridos siguientes: Alférez de la se pudiera apagarlas. {Mensageroi) Guardia Real de infantería D. Erancisco Escobar: capitanes giaduados de co ronel, del regimiento de Córdoba D. Manuel Michel y D. Baltasar Eerrer: ¡os tenientes D. Cayetano Cabaces, graduado de teniente coronel, v O. Romual do Aguado, y subteniente D. Joaquín Iglesias, todos del mismo cuerpo; v el ESPAÑA. teniente dei 6° ligeros D. Luis Mailen: contusos, el anudante del 4.0 regi miento de Guardia Real D. José Mozurd; el teniente con grado de…</t>
  </si>
  <si>
    <t>Eesueres</t>
  </si>
  <si>
    <t>…rque todos son recomendables. En unión conmigo partes á los pueblos de Mimbróla, Valdepeñas, So cuanto al detalle minucioso de la acción, creo que el parte dad» lana, Argamasilla de Alba, Tomelloso, Infantes, Santa Cruz de por el comandante Eesueres habrá instruido á S. M. y V. E. con Múdela, Almagro al Sr. comindante general, con encargo á todas exactitud. Sr. Excmo.: no puedo designar i V. E. como urbanos á las autoridades de la propagación de esta noticia á los pueblos de estos vednos ni los otros de Manzanares, y solo debo decir en ver la…</t>
  </si>
  <si>
    <t>Éetehañ</t>
  </si>
  <si>
    <t>…V • jFrstuefort 7 de Octubre. v e^s de Whíte^HaU- ál palacio derSan James. ' ■fofa ,Wr porfefnéá'anñnciáf como co?a a\srta la sólida, para Berlín deMr. , . Cáipara'’dt Joi Cimuitet. Fue antiguamente una capilla ediíicada por el , Rey Éetehañ y-dcáicaeja al santo de este nombre,"y de aqui el*llamar tan fre- Yhm, comisario del gobierno, encargado de la negeciáciáhWelariva á la adhe sión de FrancfortíáLsistema de aduanasprusiano. Acompañarán í Mr. Yhm . cueqtcmente capilla de S. Eyqban á la Cámara de los Comunes. Fue reedifica -dos miembr…</t>
  </si>
  <si>
    <t>Eeydet</t>
  </si>
  <si>
    <t>…. =Sres. directores de Rentas. modificación siguiente: »&gt;la ley sobre asociaciones será, temporal. Cesará de^ple- &lt; . - - no derecho al fin do la sesión de 1835.*’ Se procede á la votación deV^Jfr»- fo l.°. de la modificación del general Eeydet, y queda desechada. h¿e ef *¥!.ni ■ escrutinio del todo tíel proyecto, y resultan 24^ votos en Favor y 1 ^4 eá ... contra. PAUTE no oficial - Se pasa ¿ la discusión del proyecto de ley, etr que se piden créditos Suple p-f . . ; . - . . , - mentarios para el año de 1834* ’ ‘~ NOTICIAS EX i R ANCKRAS…</t>
  </si>
  <si>
    <t>EF.ddJuúto</t>
  </si>
  <si>
    <t>…ompapla,». fábrica-do pililos dé 1 guíente: ''J Pozuelo de Alarcon, que ezcl.uíao de sus juntas á lúi, apoderadas de acdpautai jé Úrticüradorei dé' cOdiunidades relfiloSiS , se cita á ’fióta ¿PAtrai paraVef sífl yite -li WPXtmcr. Sr.: ‘EF.ddJuúto estado demuestra llegar 4 tu total fin la enfer- .Abril prúslnso, ’* tar d de w nniep'íirta centvdortá'de-M 'referida ebtMpsfiK j-Stta ¿dad reinante en Grariada, no estando distapté el día que'débá’ declararse h¿- .gota baj»da,de 8«Wá,firuz, adm. 3. fuario principal, .udpode deberáa-acgriiéjDdéX […</t>
  </si>
  <si>
    <t>ÉfEmperador</t>
  </si>
  <si>
    <t>…■ religiosa y de violencia criminal, sin que la autoridad haya teaidex hattanto ■ poder par» reprimirlos. Hé aqui los pormenores que recibimos por él conduc . habáa.sidO'Conoédtcla sino á individuos de mas elevado rango que él de capitán. ÉfEmperador de'Rusia te ha conférídola órden de Sta. Ana, guarnecido de to del-Havre, que confirman adema las perióthecu inglesa Uegndau ota .usa— - ñanaáPam. . m - ’ diamanta. No a cierto, como se ha dicjto, que ate atrevido navegante medita - otra expedición polar, ni que haya hecho su último viage.con ate o…</t>
  </si>
  <si>
    <t>Egea, Juan Vüldés y José</t>
  </si>
  <si>
    <t>Juan Vüldés y José Egea</t>
  </si>
  <si>
    <t>…invitado á que mantenga la mejor disciplina en su seguridad de Morclla D. Juan Vidal; y entre los individuos de tropa los sar ejército, y á que proteja á ios habitantes; pero aunque sobre esto muestra las gentos de cazadores del Rey Juan Vüldés y José Egea, el de carabineros Ma mejores disposiciones, sus tropas subordinadas en tiempo de guerra , atropellan nuel Oliven , el cazador Isidro Castellanos y corneta Ramón Muñoz, ambos completamente «ti autoridad en tiempo de paz. Los oficíales franceses que están del l.° de línea; el carabinero José Martíne…</t>
  </si>
  <si>
    <t>Egerton.que, Francis</t>
  </si>
  <si>
    <t>Francis Egerton.que</t>
  </si>
  <si>
    <t>…-.cuc.'rii posee mejor en ata clase sobre varias parta de la España. dividuo residente por la división meridiohal de Lancashire, que debe ser opues Los itinerarios del Sr. Orbigny cruzándose y siguiendo contornos enteramente to á lord Francis Egerton.que profesa opiniones torys; declaración que basta cerrados, se corrigen y se verifican por sí; sin embargo un comprobante mu ría para dar á conocer definitivamente la conducta que su señoría se propone cho mas completo ha sido dado por las observaciones astronómicas del Señor seguir; pero se sabe por…</t>
  </si>
  <si>
    <t>Eguía, Ambrosio</t>
  </si>
  <si>
    <t>Ambrosio Eguía</t>
  </si>
  <si>
    <t>…s del sistema generador, flujos blancos &amp;c., pues puede asegurarse que Extracto del parte remitido por el gobernador civil de la provincia de Se todas las personas que padecen tan rebeldes enfermedades, ó se curan, ó logran villa D. Ambrosio Eguía con fecha de 24 de Mayo último. mejorías de consideración. Ha procurado ponér'arreglo en el jardín de aclimatación y sus anejos, to La situación topográfica de Trillo es extremadamente sana, y no hay no mando conocimiento de su estado y las mejoras que admiten. . ticia que en este pueblo en ninguna…</t>
  </si>
  <si>
    <t>Egurrola, Andrés Ignacio</t>
  </si>
  <si>
    <t>Andrés Ignacio Egurrola</t>
  </si>
  <si>
    <t>…mandar que se ocupen las tempoialidades y sean extra- dactar el proyecto de contestación de la Cámara de los Pares al discurso del trono. Mañana viernes debe presentar su trabajo á sus colegas. iConrtitucion.il.) fiados del reina-D. Andrés Ignacio Egurrola, vicario de la parro quial de S. Pedro de Pasages; D. José María Vigas, beneficiado de ____ El Dr. Bowring acaba de llegar á Parts, con el objeto de hacer ¿ nues S. Sebastian, y D. Antonio María Iturralde, beneficiado de la tro ministerio, según se dice, á nombre del gobierno ingles, las observacio…</t>
  </si>
  <si>
    <t>Egurrola, D Andrés Ignacio</t>
  </si>
  <si>
    <t>D Andrés Ignacio Egurrola</t>
  </si>
  <si>
    <t>…rvida mandar que se ocupen las tempoialidades y sean extra- dactar el proyecto de contestación de la Cámara de los Pares al discurso del trono. Mañana viernes debe presentar su trabajo á sus colegas. iConrtitucion.il.) fiados del reina-D. Andrés Ignacio Egurrola, vicario de la parro quial de S. Pedro de Pasages; D. José María Vigas, beneficiado de ____ El Dr. Bowring acaba de llegar á Parts, con el objeto de hacer ¿ nues S. Sebastian, y D. Antonio María Iturralde, beneficiado de la tro ministerio, según se dice, á nombre del gobierno ingles, las observacio…</t>
  </si>
  <si>
    <t>Eh, Vicepresidente</t>
  </si>
  <si>
    <t>Vicepresidente Eh</t>
  </si>
  <si>
    <t>…rla cuan no dejar solo el asunto reducido 4 un mero expediente, pues este no se condo se presenten 4 laa Córtes los presupuestos.” ' -' r ■ ' t; v fcloiria en muchos,años por los intereses de los qtíe se opondrían 4 ello, sino El Sr. Vicepresidente - "Eh vista dfelas observaciones hechas, mediante' tomar Uña medida qué desdé luego pusiese 4 las poblaciones de Sierra Morena i que la comisión esté de acuerdo con el Gobierno, y no habiendo reclama bajo el mismo régimen qiie las demas del mino. Añadió que, respecto i los in ción ninguna sobre este part…</t>
  </si>
  <si>
    <t>Eizmendi, José</t>
  </si>
  <si>
    <t>José Eizmendi</t>
  </si>
  <si>
    <t>…ome á todas partes, lo cha regular por el .camino principal, reservándome mandarla dete que igualmente verificó el comisario de guerra habilitado de esta ner á distancia oportuna para dividirla en columnas de ataque para división D. José Eizmendi que recomiendo igualmente á V. E. tomar la ciudad á viva fuerza en caso de resistencia. No llegó este; La brillante conducta de las tropas en Portugal, conforme á pues aunque los alrededores de la ciudad y murallas del castillo es los principios de honor y .disciplina que se les ha inspirado, se ta…</t>
  </si>
  <si>
    <t>Ej, COfil-KN ADOR A AL KJ KRCfTO</t>
  </si>
  <si>
    <t>COfil-KN ADOR A AL KJ KRCfTO Ej</t>
  </si>
  <si>
    <t>…halcón \ es :mún se levantan á nuestro alrededor, que son el Portugal y la España; la cuadrón leyeron á los su)Os re*pcctivo* iu alocución siguiente alianza en fin con la Gran-Bretaña es mas estrecha cada día: acabáronse pues LA REINA COfil-KN ADOR A AL KJ KRCfTO Ej»PA$OL. las guerras y las revoluciones. La Francia, que los partidos representan tan incli nada y abatida ante la Europa, tiene sin embargo bajo su protección á la Bel- ^Soldados Herederos de la lealtad y del valor del Cid y de o ros héroes &gt; on vuestra tca, y el trono nuevo de María de Portugal, y…</t>
  </si>
  <si>
    <t>Ejército, Gobernadora I</t>
  </si>
  <si>
    <t>Gobernadora I Ejército</t>
  </si>
  <si>
    <t>…rónímo VaIdés«Excmo. Sr. Secretario de V. E. para su conocimiento y efectos consiguientes.” Estado y del Despacho de la Guerra. Lo que traslado á V. E. para su superior conocimiento, y que se sirva ha- I cerlo presente á S. M. la Reina Gobernadora. I Ejército de operaciones del norte de España.erExcmo. Sr.: Después de ha- Dios guarde á V. E. muchos años. Albolote 12 de Febrero de 1834-= I ! ber dado parte ¿ V. E. con fecha 10 del corriente de todas las operaciones eje- Excmo. Sr.=El príncipe de Anglona.=Excmo. Sr. Secretario de Estado y del | | culadas des…</t>
  </si>
  <si>
    <t>El, Ambrosio de Égúia</t>
  </si>
  <si>
    <t>Ambrosio de Égúia El</t>
  </si>
  <si>
    <t>…o principal de la provincia, siesta elaborado en la capital, ó al corregidor, alcalde mayor ú ordinario del pueblo en que re MINISTERIO DE GRACIA Y JUSTICIA. sida el interesado. Real orden nombrando comisario regio de Guipúzcoa a D. Ambrosio de Égúia 3.° El subdelegado de Fomento en la capital de la provincia, y las demas é Irigoyen. autoridades en los pueblos de su respectiva jurisdicción, harán reconocer los ar tículos presentables, y marcar y sellar el cajón, caja, tonel, bulto 6 pliego que S. M. la Reína Gobernadora ha tenido á bien nombrar á D. A…</t>
  </si>
  <si>
    <t>El, Amo</t>
  </si>
  <si>
    <t>Amo El</t>
  </si>
  <si>
    <t>…ues de la Torrecilla, D. Pedro Lafuente, D. Franeisco López Ola- El intendente de Aragón. Tarrieta, D. José Ventura Aguirre Solarte, D. Julián Harrea, di- El de Asturias. reCtór de la casa de Beneficencia , y el mariscal de campo D., Amo El contador y demas gefes y empleados de rentas de la provincia de As nio Pean. turias. D. Blas Benito Vasallo, administrador de la aduana de Cxrtaya. 3? Se autoriza la inversión de 429 rs. en las obras necesarias El subdelegado de rentas de Betanzos. para habilitar los .hospitales, según esa junta ha…</t>
  </si>
  <si>
    <t>El, Anto</t>
  </si>
  <si>
    <t>Anto El</t>
  </si>
  <si>
    <t>…18 fusiles, 2 sables, 2 cajas de guerra, y del actual, que dividida su columna en dos secciones, la que man rescatado 6 dependientes que llevaban presos de la ronda de Siresa. daba el teniente graduado de capitán del mismo cuerpo D. Anto El resto de la facción se dirigió por Panticosa al valle de Broto, nio Casariego, logró alcanzar á la facción en las alturas de la Ma en donde pienso sea alcanzada por el coronel del Real y por sía de Aleóla, que prevalida de la ventajosa posición que ocupaba, el teniente coronel graduado Midon, que v…</t>
  </si>
  <si>
    <t>El, Art</t>
  </si>
  <si>
    <t>Art El</t>
  </si>
  <si>
    <t>…es de los daños que causaren los incendios, arreglándose exacta POLIZA NUMERO y rigurosamente al capital de cada uno. Art. 63. Será de su atribución examinar la cuenta del tesorero, n. la que con su informe pasará á la Dirección. D. Art. 64. El contador formará á fin de año un estado general de D. mostrativo de los incendios ocurridos en él, sus daños é indemniza jD. ciones, y le acompañará con la cuenta del tesorero. como Directores de esta Sociedad y D. Art. 63. También formará y acompañará otro estado del capital dueño de la casa que a…</t>
  </si>
  <si>
    <t>El, Art S</t>
  </si>
  <si>
    <t>Art S El</t>
  </si>
  <si>
    <t>…■ ww*a \wm « ARTICELO DE OFICIO. recibo en la declaración, y la entregará al portador, el cual irá á presentarla al oficiaLdel puerto, Este dará entonces el permiso para partir. S. M. la Reiiía nuestra Señora, su augusta Madre la Reina Art. S.° El empleado de la aduana deberá examinar si la cantidad dejos derechos que se hayan de percibir, indicada en la declaración del oficial del Gobernadora y la Serma. Sra. Infanta Daña María Luisa, continúan puerto, es conforme con lo que la tarifa señala; si pensare que la declaración no es exacta, reci…</t>
  </si>
  <si>
    <t>El, B y P</t>
  </si>
  <si>
    <t>B y P El</t>
  </si>
  <si>
    <t>…........................................................ 500 contaba para el completo de los 123 rs. de renta propia , no era admisible en • D Marcial Nazar 20 rs. ,y mensualmenie desde 1.® de Agosto 20. . 20 este concepto. , Dr. D. B. y P....................................................................................... 40 El interesado sostuvo la validación del poder# alegando que su sueldo era Exentos. Sres. condes de S. Román........................... ......................... 1000 una renta propia adquirida en una lirg» carrera de servicios militares, y tan D. F. y Q. l6ü rs. mensuales, dando principio el 16 de Jun…</t>
  </si>
  <si>
    <t>El, Bartolomé Rósclló</t>
  </si>
  <si>
    <t>Bartolomé Rósclló El</t>
  </si>
  <si>
    <t>…combate unos vista de los gendarmas, y que uno de ello» había sido cruelmente asesinado sin 5ü muertos, según resulta del reconocimiento que en seguida hizo el tenien proqpc^eion de au parte. te de carabineros graduado de capttan D. Bartolomé Rósclló. «El gendarma preso ha dicho que se vio asaltado por cinco furiosos, y «Mi pérdida, aunque en corto número, pues que no pasan los muertos de que,uno de ellos q,u,iso arrancarle su sable, saliendo de la lucha con los dedo9 fres cazadores del l.° de línea, un sargento del 13, y un soldado de la com cortad…</t>
  </si>
  <si>
    <t>El, Baylly y Percy</t>
  </si>
  <si>
    <t>Baylly y Percy El</t>
  </si>
  <si>
    <t>…han sido nombrados comendadores de la nueva orden; y oficiales los caballo y maleta, había andado idos días errante sin tomar ningún alimento, y que fue preso en casa dei cirujano de Cobaleda, adonde había ido coa. el db¡» Sres. doctor Baylly y Percy. El príncipe de JCaradja * embajador de Grecia en Francia,, ha recibido la comisión de entregar á los franceses agraciados las cru- jeto de alimentarse. ccfccnvadas de Atenas en nombre dé Ja regencia. {Meajageroí} ,__1&gt;« muge res en el Canadá gozan del privilegio de dar sus votos en las El ayuntamiento…</t>
  </si>
  <si>
    <t>El, Bernardo</t>
  </si>
  <si>
    <t>Bernardo El</t>
  </si>
  <si>
    <t>…tado ds servicios »¡n em res Valdés: para la de Gangas de Oats á D. Amero Rubín; para la bargo se ha recogido. ~ de Cangas de Tineo á D. Pedro Pidal: para la de Grandas de Salime • á D. Manuel Queipo de Llano: para la de Llanes á D. Bernardo ____El ] O condujeron los gendarmas desde Sara un soldado faccioso qqn Sande: para la de Luarca á D. Francisco de Paula Salas y Bauyo: ha deseitado del Bastan, adonde vino en la escolta de los heridos en número para la de la Pola de Labiana á D- Facundo Vaidés He vi a: para la de 4u , que lo fueron en la…</t>
  </si>
  <si>
    <t>El, Bra</t>
  </si>
  <si>
    <t>Bra El</t>
  </si>
  <si>
    <t>…te dé la gran mayoría de los mejicanos.'Algunos comerciantes y otras s=Luis José Orbegoso. personas adelantan mensualmente Ubres de intereses 1803 pesos para que el gobierno pueda hacer frente á sus obligaciones el primer año. El general Bra El eorotul D. Juan Bautista Argüidas £ la división de operaciones. vo ha vuelto á Méjico, y Canalizo ha sido nombrado gobernador de Querétaro. (Jinies.) Conciudadanos: Habéis abierto una campaña sin ejemplo en la historia de las revoluciones: habéis abandonado vuestras casas, vuestras familias y vuest…</t>
  </si>
  <si>
    <t>Él, Brougham</t>
  </si>
  <si>
    <t>Brougham Él</t>
  </si>
  <si>
    <t>…ablecido.” El Timer dice: Ayer hubo dos reuniones insignificantes de voceadores: FRANCIA. la primera en Guildhall, convocada por un tal Ricardo Taylor, uno de los Paris 20 de Noviembre. mas miserables partidarios del ex-canciller lord Brougham. Él objeto era pe El Constitucional dice que corrían voces en Paris de que el duque de dir al lord corregidor que juntase el ayuntamiento á fin de decidir si conven Wellington habia asegurado á nuestro ministerio que bajo su administración dría presentar un mensage al Rey para hacerle saber la alarma u…</t>
  </si>
  <si>
    <t>El, CÍn</t>
  </si>
  <si>
    <t>CÍn El</t>
  </si>
  <si>
    <t>…rríjúcho que Iá precisión de leans, que hah merecido los aplausos de todos los inteligentes, esculpirá en la estar en la Cámara de los diputados, me haya privado ijael gusto de oir las ob iglesia de Jesus y María el monumento del conde CÍn¡. El caballero Sola , di servaciones que el Sr. marques de Dreux ha hecho acerca de la política que el rector de la academia española establecida en Roma, se ocupa actualmente en gobierno sigue en sus relaciones exteriores. Con todo, algunos de mis amigos fundir en bronce la estatua dél inmortal Cervant…</t>
  </si>
  <si>
    <t>El, Ckacon</t>
  </si>
  <si>
    <t>Ckacon El</t>
  </si>
  <si>
    <t>…culo .Gtox asistiese sordo al Estamento, sino que se le concediese tiempo para res y todo su piárteme ha parecido siempre el mas justo y &lt;d que recargaba me tablecerse. . / ; nos á la Nacipn en el estrecho en que ya estábamos, El Sr. Ckacon. «El facultativo dice que el expresado Sr. difícilmente «Su objeto había sido considerar el asunto política y económicamente; po : puede otr ; pero yo recuerdo al Estamento lo que ha sucedido con algunos Se líticamente porque reconociendp el principio de la desda extrangera ere?» que ñores Procuradores…</t>
  </si>
  <si>
    <t>El, D Antonio González</t>
  </si>
  <si>
    <t>D Antonio González El</t>
  </si>
  <si>
    <t>…y no falso, como se ba querido Sr. O. Juan Domingo de Baltnaseda. suponer, pero fue contra el dictamen de Bourmont , y en efecto tuvo mal-¿x¡— PROVINCIA tUI BADAJOZ. ¿o á causa de que la infantería solo constaba de 8óU0 hombres. Sr. D- Antonio González. El día inmediato propuso Bourmont i D. Miguel el siguiente plan r le dijo Sr. D. José Claros. que supuesto que la contienda de Portugal era parte de la. lucha general que Sr. D. Vrnturade Mena. había en Europa sobre principios encontrados , juzgaba que la guerra en que se Sr. D. José Villanueva. jial…</t>
  </si>
  <si>
    <t>El, D Igna</t>
  </si>
  <si>
    <t>D Igna El</t>
  </si>
  <si>
    <t>…a cumplido del modo'mas noche la hizo inútil; habiéndoles cogido dos caballos y algunas armas. Reco brillante: ha merecido la aprobación unánime de un numeroso auditorio. mienda á codas las tropas de la columna, y en plrtkular al coronel D. Igna •1 El segundo* eximen, que se verificó el día siguiente, ha! sido igualmente cio de Hoyos. _________ muy satisfactorio, principalmente en la parte de. maniobras. El príncipe ha contestado con precisión á las preguntas que se le han hecho, manifestando ESTADO SANITARIO DEL REINO. grandes conocimientos en…</t>
  </si>
  <si>
    <t>El, D Ma</t>
  </si>
  <si>
    <t>D Ma El</t>
  </si>
  <si>
    <t>…a por nuestra parte. cularidad, por si tiene á bien elevarlo á conocimiento de S. M. Dios ¿cc.” 1 No puedo ámenos de decir á V. E. que esta gloriosa jornada es debida en parte al valor y conocimientos militares de mi compañero el coronel D. Ma El capitán general de Aragón con fecha 12 del presente Julio remite á esté nuel Obregon, á quien considero digno de una particular distinción de S. M.', y el ministerio el parte siguiente: todo de ella á ios .conocimientos militares, valor, entusiasmo y decisión de ios nEscmo. Sr. Por resultas dei alc…</t>
  </si>
  <si>
    <t>EL, D Marcelino de la Torre</t>
  </si>
  <si>
    <t>D Marcelino de la Torre EL</t>
  </si>
  <si>
    <t>…orella y de Consiliarios. Castellón, viéndose precisado á huir con algunos de los suyos hacia Montalban, adonde iba en su seguimiento el coronel del provincial de Ciudad Real. En la 1.a terna................................ limo. Sr. D. Marcelino de la Torre. EL infatigable oficial de carabineros de costas D. Bernardo Dessy alcanzó En la 2.a................................................. Sr. D. Justo José Banqucri. en Mazaleon la gavilla de Jelcz , la deshizo, cogió fusiles y otros efectos, y En la 3.a.................................................. Sr…</t>
  </si>
  <si>
    <t>El, D Miguel Nájera</t>
  </si>
  <si>
    <t>D Miguel Nájera El</t>
  </si>
  <si>
    <t>…...................... Sr. D. Manuel de la Torre y RaurL mató 7 facciosos. Eh la 4.a.................................................... Sr. D. José Francisco Goyeneche. En la 5.a.................................................. Sr. D Miguel Nájera. El capitán general de Extremadura trasladando el parte que le comunica el En la ó.a.................................................. Sr. D. Manuel Alonso Viacto. corregidor subdelegado de policía de Trujillo con fecha del 10, pone en noti cia de este ministerio que habiendo sido completamente batida…</t>
  </si>
  <si>
    <t>El, D Narciso López Leuchtemberg</t>
  </si>
  <si>
    <t>D Narciso López Leuchtemberg El</t>
  </si>
  <si>
    <t>…tado y del Despacha de la Guerra. su augusto padre. Si puede darse crédito á los que divulgan los secretos d* Es tado , parece que Doña María 11 ha resuelto dar su Real mano al duque de Oficio detallando la acción de Sesma que el brigadier D. Narciso López Leuchtemberg. El presidente del consejo marques de Pálmela la dijo que ahora ha dirigido al capitán general.de Castilla la Vieja, igual al que remitió al podía elegir S. M. ai esposo que quisiese; mas Doña María contestó que la elec general en gefe cotí la fecha que se cita al fin de éL ción estaba hecha ^or^su pad…</t>
  </si>
  <si>
    <t>El, Diego Her</t>
  </si>
  <si>
    <t>Diego Her El</t>
  </si>
  <si>
    <t>…o el genio de ia Discor yordomos de semana, había dos estrados para Sras. Grandes de España y clases dia viendo con ira aquel acto. distinguidas que se habian convidado. La parte de escultura fue desempeñada por el jóven escultor D. Diego Her El cuerpo de la iglesia fue ocupado por los títulos de Castilla, gentiles- moso, y los bajos-relieves por el profesor de pintura D. Francisco Martinez, y hombres de Cámara de S. M., generales, gefes y oficiales de todas armas , au lo demas de tintas por D. José García Pelayo. toridades eclesiásticas,…</t>
  </si>
  <si>
    <t>El, Dona Isa</t>
  </si>
  <si>
    <t>Dona Isa El</t>
  </si>
  <si>
    <t>…dientes particulares de los mismos gefes, á la manera que en la actualidad mas sinceras protestas de amor y fidelidad á vuestra excelsa Hija nuestra tierna te practica con los cajeros de las tesorerías y depositarías de Rentas: / Reina Dona Isa»El 11, cuyos legítimos derechos está pronta á sostener esta 3.a y últimamente: Que por los gefes inmediatos superiores sé zelo'que los ciudad, sacrificándose,‘si menester fuere, con el mismo ardor y entusiasmo inferiores cumplan exactamente y sin disimulo sus deberes, y no acontezca el con que lo hizo…</t>
  </si>
  <si>
    <t>El, Dula María Cristina de Borbov</t>
  </si>
  <si>
    <t>Dula María Cristina de Borbov El</t>
  </si>
  <si>
    <t>…, per la salud Están conformes todas las noticias que se reciben respecto del placer y alegría y prosperidad de nuestra augusta Reina nuestra Señora D-ña Isabel 11 y de de los territorios rescatados. S. M. la Runa Gobernadora la Señora Dula María Cristina de Borbov. El dia 15 del que rige llegó á Oporto Juan José López de Silva , es El Sr. canónigo magistral de la sania iglesia catedral de Santander doctor capado de la cárcel de Lamego , el cual refirió que las autoridades rebeldes de D. Narciso Gallego Iñiguez , socio del limo. Sr. obispo en Ij visita, se convi…</t>
  </si>
  <si>
    <t>El, Eatorre</t>
  </si>
  <si>
    <t>Eatorre El</t>
  </si>
  <si>
    <t>…ernador civil en el embarazo de que lirio*, pueblos padecían el cederá y otros curador ya nombrado, pido que sea admitido como tal el Sr. Ontivcros." no: consultó al Gobierno lo que debia hacer rara que decidiera, y este deter El Sr. Eatorre\ «El gobernador civil de la provincia dice que las órde minó que los electores de ios pueblos que padecían el colera, v que por tanto nes de convocatoria las expidió el 9 del corriente, y la junta se celebró el dia no podían reunirse en la junta , enviasen por escrito v cerrados sus votos. En 15 , con q…</t>
  </si>
  <si>
    <t>El, Es</t>
  </si>
  <si>
    <t>Es El</t>
  </si>
  <si>
    <t>….” (D. de Debates.) El comandante militar de Bilbao D. Miguel de Arechavala con fecha 20 ____ Acabamos de recibir los Monitores egipcios del 8,15 y 22 de Marzo. del corriente comunica á este ministerio las noticias siguientes: El general Es El primero de estos periódicos anuncia la salida para Francia del general po partero salió el 17 de Munguia'con tres columnas en busca de las facciones re laco Dembimki y de M. Bolla, hijo, á bordo del bergantín mercante el Cé unidas en Mórga y Rigoitia, las que marcharon precipitadamente á los mon te…</t>
  </si>
  <si>
    <t>El, Félix Alzaga</t>
  </si>
  <si>
    <t>Félix Alzaga El</t>
  </si>
  <si>
    <t>…trey, y se ha colocado en frente de una de las columnas que sostienen nistro de lo Interior jD. Manuel José García^, cuyo autor se creyó que era el Ja meé- del notee* víhre 'un sericílío;pédesta 1 también dé mármol. Tiene lascara general Félix Alzaga. El artículo fue denunciado á los tribunales como libelo vuelta hacia el lado izquierdo; le cubre ima túnica senatorial; Cuyos pliegues infamatorio; y convencido el general Alzaga de haberle escrito, fue sentencia sossfcnidot por;áwbfii&lt;l6rtfzós se críizári jóbte!el pechó, y so actitud es la de up do á…</t>
  </si>
  <si>
    <t>El, Francisco</t>
  </si>
  <si>
    <t>Francisco El</t>
  </si>
  <si>
    <t>…que re hallan de venta en eiderfacha de la imprenta Real. guera' . =Excmo. Sr. capitán general de Aragón. Mordico gramatical en coloquios didascállcos, para servir de suple mento á la gramática-sindptica-francesa-castellana , por D. Francisco El marques de Moncayo, general en gefe del ejército de ope Antonio Evaristo de Cabello y Mesa. Un tomo ea 4.0, edición de 1824 raciones, avisa desde Puente la Reina, con fecha 10 del actual, i 30 rs. rústica. Esta obra , original en su género , es el complemento ó que aquel mismo dia habia salido de P…</t>
  </si>
  <si>
    <t>El, Francisco Anto</t>
  </si>
  <si>
    <t>Francisco Anto El</t>
  </si>
  <si>
    <t>…S. Ildefonso , en Alcalá de Henares. paso por aquel punto, ya se dirijan por Sedaño ó lo hagan hácia Un cuaderno en folio, edición de 1816, i 5 rs. en rústica.. Valderrible. -------Gramática francesa al uso de los eBpafioles por D. Francisco Anto El cabecilla Villalobos, que ha conseguido en estas circunstan nio Evaristo de Cabello y Mesa, 6 sea copia literal de la obra del mis cias hasta 2ü hombres montados, es perseguido de cerca por el te mo autor, titulada Gramátiea-riniptico-francera-cartellana. Un cuader- no en 4.0, edición de 1834, i 10…</t>
  </si>
  <si>
    <t>El, Francisco Cuesta</t>
  </si>
  <si>
    <t>Francisco Cuesta El</t>
  </si>
  <si>
    <t>…rito de Roveredo en los Gri- cunstanciado de todo lo ocurrido en Villarcayo, pues que tengo en este mo sones cuenta 17 á 21 casas., cuyos cimientos sirven en el día de lecho al tor mento delante á uno de los defensores, el Urbano D. Francisco Cuesta. El ene rente. ¡ migo apareció en dicha villa el 18 como á las seis y media de la mañana; en «El gobierno de Tessin ha tomado al momento disposiciones para resta el momento principió un fufcgo horroroso desde todas las casas, en las que se blecer las comunicaciones; pero hay noticias de que por el cami…</t>
  </si>
  <si>
    <t>El, Francisco Javier Ulloa</t>
  </si>
  <si>
    <t>Francisco Javier Ulloa El</t>
  </si>
  <si>
    <t>…Durance, mandada por M. Miegevílle, capitán de corbeta, Sr. D. Francisco Domecq y Víctor, áaíió de Sona el S dé este, llegó aquí el &gt;0 después de beber deseenbarez- Sr. D. Francisco Zapata y Bueno. 124 pasageros en Marsella. Sr, D. Francisco Javier Ulloa. El buco de vapor del Litado la Ciudad de HetVre, mandado pof M. Rég-* Sr. D. José Manuel Badillo.r</t>
  </si>
  <si>
    <t>El, Francisco Mam de Jugo.r</t>
  </si>
  <si>
    <t>Francisco Mam de Jugo.r El</t>
  </si>
  <si>
    <t>…a. Madrid 18 de Marao de l854.=Zarco. Dios guarde muchos años las importantes vidas de V. M. r la de su ino cente Hija la Rí-sna nuestra Señora. Vitoria 3 de Mayo de 1 834- =Seoora MINISTERIO DEL INTERIOR. A L. R. r. de V. M.rcEl comandante , Francisco Mam de Jugo.r^ El ayu dante mayor , Inocencio García de Ar.doin. = For la ciase de capitanes , José Real orden* Lino de Ügarte.rrPor la de tenientes, Cristóbal Ortíz de la Puente^rPot la de subtenientes, Pedro de Egaña.m Por la de sargentos, Julián de Echinove.3£Poc S. M.da Reina Gobernadora ha visto con desagrado q…</t>
  </si>
  <si>
    <t>El, Francisco Ranero</t>
  </si>
  <si>
    <t>Francisco Ranero El</t>
  </si>
  <si>
    <t>…indad no tra de mucha consideración. enfermedad á un mismo tiempo. Fueron estos dos eclesiásticos el Excmo. beñor Comisario general de Cruzada D. Manuel Fernandez Varela , y el Colec VARIEDADES. tor general de Espolies.y.Vacantes D. Francisco Ranero. El primero ofició el dia 21 de Julio último al Excmo. Sr. Secretario de Estado y del Despacho de El Rey de Persia, su corte, sus mugeres y sus hijos. lo Interior , participándole existia aun disponible úna suma aproximada de 153 Bajo el título de Fatkey-Aií-Schah, la sua corte et suei Moglt td i duros…</t>
  </si>
  <si>
    <t>El, Francisco So</t>
  </si>
  <si>
    <t>Francisco So El</t>
  </si>
  <si>
    <t>…servido separar de sus destinos á los oficiales de la dirección (.Gaceta ojic&amp;t del gobierno de Lisboa.) general de Correos 2.° D. Joaquín Cordero, 4° D. Gerónimo Sobrado, 16 P. Julián Barbajosa, 18 D. Manuel González Serrano, 19 D. Francisco So____ El dia 20 del corriente á las diez de la mañana pasó S. M. F., acompaña malo y Torres, y 21 P. Santiago Manuel de Arteaga, mandando que queden da de Ja camarera mayor, de la dama y del gentilhombre de servicio, 7 de la en clase de cesantes sin opcion á ser colocados. Y al propio tiempo ha tenido “demá…</t>
  </si>
  <si>
    <t>El, Franeisco López Ola</t>
  </si>
  <si>
    <t>Franeisco López Ola El</t>
  </si>
  <si>
    <t>…uos del ayuntamiento de Zamora. recilla, D. Nicolás Alfaro y D. Pablo Montesino. El gobernador civil de Soria. 21 Serán vocales de la misma junta el conde de Teña, el mar E] de Barcelona. ques de la Torrecilla, D. Pedro Lafuente, D. Franeisco López Ola- El intendente de Aragón. Tarrieta, D. José Ventura Aguirre Solarte, D. Julián Harrea, di- El de Asturias. reCtór de la casa de Beneficencia , y el mariscal de campo D., Amo El contador y demas gefes y empleados de rentas de la provincia de As nio Pean. turias. D. Blas Benito Vasallo, administrador de…</t>
  </si>
  <si>
    <t>El, Go</t>
  </si>
  <si>
    <t>Go El</t>
  </si>
  <si>
    <t>…n ser mas necesarios sus servici- s, pues de su presencia y Reina nuestra Señora Doña Isabel ii con fecha 26 de Junio ante auxilio dependía acaso la vida de sus conciudadanos. rior loque sigue: Teniendo en consideración S. M.' la Reina Go El interes público y el honor misino de la facultad exigen que bernador? el miiy considerable número de causas de menor cuantía tan criminal conducta no quede impune, y que bis nombres del cor pendientes ante la Comisión militar sobre delitos políticos; la conve to número de prolesores que por vergonz…</t>
  </si>
  <si>
    <t>…nuas ve do positivamente el tratado que el estado de de Icé asuntos de Portugal y de jaciones y levas arbitrarias de gente que se hacían de órden del general egipcio. España me inclinaron á celebrar con el Rey de los fraocses, la Reina Go- El ataque fue tan repentino, tan bien combinado é impetuoso, que dos regi berdora de España, y el Regente de Portugal; tratado que ya se ha presentado miento* fueron completamente destrozados: se introdujo él desorden y él es panto catre ios demás, y á duras penas logró lbrahim encctrarse en la fortal…</t>
  </si>
  <si>
    <t>El, Gobernadora</t>
  </si>
  <si>
    <t>Gobernadora El</t>
  </si>
  <si>
    <t>…buyan á las comisiones. - na el 17 de Noviembre último con toda la solemnidad que permiten las cir- l Se principia á discutir el proyecto de ley relativo á la organización de la cunstancias y las sabias prevenciones de la excelsa Reina Gobernadora. El al- I diputación del departamento del Sena, y de las de sus partidos. ferez mayor D. Josef de Valenzucla, maestrante de Granada, acompañado del Los Sres. Héctor d'Aunay , Satvcrte, Delaborde, Jaubert, O. Barrot y los .ayuntamiento, autoridades y de la nobleza, levantó pendones en la plaza ma minist…</t>
  </si>
  <si>
    <t>…para que con 30 escopeteros que mantiene á sus expen "aclamaciones de decidida lealtad á la Reina nuestra Señora Doña Isabel ii sas se dedique á este importante servicio, y lo ha verificado con tanto celo y ny «i augusta Madre la Reina Gobernadora.” El referido general acompaña resolución que ha logrado exterminar la gavilla del llamado Chato Pedros», algunas copias de las comunicaciones que le hacen el comandante militar y go habiendo prendido á éste y muerto á varios de los individuos que le seguían. bernador civil de la provincia de Logroño, r…</t>
  </si>
  <si>
    <t>El, Grey</t>
  </si>
  <si>
    <t>Grey El</t>
  </si>
  <si>
    <t>…se pa— ción con que lord Grey halda desempeñado el penoso deber de proponer me ettri*. didas represivas, y probando la necesidad en que se estaba de adoptarlas, y en Rj. TU. consecuencia se leyó por primera vez la proposición de lord Grey. El mismo dia propuso M. Sheil ea la Cámara de los Comunes que se en- D. P. y B. y su espesa L F. 400</t>
  </si>
  <si>
    <t>El, Guillermo</t>
  </si>
  <si>
    <t>Guillermo El</t>
  </si>
  <si>
    <t>…con la Bélgica. los mismos obstáculos para uno que para otro; ambos están exclusivamente unidos al partido whig. {Correo.) __Parece que no todos toman con tanta paciencia un acontecimiento que puede reanimar las pretensiones del Rey Guillermo. ____El duque de Orleans durante su permanencia en Valenqay repartió á los «Un correo extraordinario, dice el periódico del mismo nombre, es quien obreros de las fábricas de hierro de Lucay 500 francos, á los pobres de Valanha traído á Bruselas la noticia del cambio del ministerio ingles, que inserta qay 7…</t>
  </si>
  <si>
    <t>El, Her</t>
  </si>
  <si>
    <t>Her El</t>
  </si>
  <si>
    <t>…. la Reina Gobernadora se digne dispensarles según M S. Cristóbal , previniéndole siguiese constantemente mis movimientos, y yo al Real orden de 12 del actual. frente de dichas dos, la primera de valientes húsares, con su alférez D. Her El teniente graduado de capitán del regimiento caballería 6.a ligeros Doo menegildo Pa&amp;amontes, .y la segunda de bizarros soldados del regimiento 6.° de Juan Francisco González , desde Castrojeriz con fecha 23 del actual, me arú ligeros, marchando á mi costado el teniente amnistiado D. Cayo Muro, el s…</t>
  </si>
  <si>
    <t>El, Igna</t>
  </si>
  <si>
    <t>Igna El</t>
  </si>
  <si>
    <t>…do del modo'mas noche la hizo inútil; habiéndoles cogido dos caballos y algunas armas. Reco brillante: ha merecido la aprobación unánime de un numeroso auditorio. mienda á codas las tropas de la columna, y en plrtkular al coronel D. Igna •1 El segundo* eximen, que se verificó el día siguiente, ha! sido igualmente cio de Hoyos. _________ muy satisfactorio, principalmente en la parte de. maniobras. El príncipe ha contestado con precisión á las preguntas que se le han hecho, manifestando ESTADO SANITARIO DEL REINO. grandes conocimientos en…</t>
  </si>
  <si>
    <t>El, Isabel</t>
  </si>
  <si>
    <t>Isabel El</t>
  </si>
  <si>
    <t>…no espectáculo- Hubo aauclla noche y las dos siguien En los días 28, 29 y 3o del pasado «¡e céiebró en esta riMa la proclama tes iluminación general, castillo de pólvora y todo género de fuegos artificiales, do» de S. M. !a Rki*a Doña Isabel. El 28 tubo fjegos ar;itK luíe* y se ilu Sobresaliendo por sus adornos y n arpero de tuces U fachada de las casas consis minó con singular primor la plaza publica, croada se veía hay un rr.agn'üco toriales y U del convento del Carmen. En los dos siguientes días se corrieron dosel el retrato de nuestra…</t>
  </si>
  <si>
    <t>El, Jattregui</t>
  </si>
  <si>
    <t>Jattregui El</t>
  </si>
  <si>
    <t>…ada , asi como el Estatuto Real que nos asegura nues del general Espartero y coronel Carrera, habiendo marchado el «fia anterior tra libertad con el restablecimiento de nuestras leyes fundamentales. Coruna hacia Guipúzcoa las del brigadier Jattregui. El coronel Amor coo su cabella 23 de Julio de 1834* = El conde de Cartagena.” ría Se adelantó 4 Vitoria, de donde el 27 salía un gran convoy de víveres para (a Borunda. Badajoz 26 de Julio. En Vizcaya han quedado los brigadieres Bedoya é Inarte con algunas fuer Después de ejecutada la sentencia de mue…</t>
  </si>
  <si>
    <t>El, Joaquín de Pal</t>
  </si>
  <si>
    <t>Joaquín de Pal El</t>
  </si>
  <si>
    <t>…émbúrgo, la íríovtttzacioh Je"una parle ae las dríguez para Fonsagrada; á D. José Dionisio de Aspe para Nogales; guarniciones, y el aumento de fuerza dado á estas , el ministro añade: á^Dv.Antonio Torres y Chacón para Santiago; á D. Joaquín de Pal » El gobierno cree que en las circunstancias actuales.es prudenteljia#ny»r ma y Vinuesa pata Laliu; á D. Manuel de Cuadros para Puen- este aumento de fuerzas, ocupar el terreno durante la primavera , y conservar teareas; á D. Agustin Armendariz para Tuy; á D. Francisco Mon- nuestro ejército sobre las ar…</t>
  </si>
  <si>
    <t>El, Josd María Alvarez</t>
  </si>
  <si>
    <t>Josd María Alvarez El</t>
  </si>
  <si>
    <t>…rnte, caii todos «r estado de convalécenAMCMCIOS. «Sai 'qué desde 12á-22dél énunáádo mes no habia ocurrido ningún casó db éSitta ’W Todela', fátfédénd» árticamente 4 3® los* enfermos que había- de I03 ‘ JOmcto Rrat dr Asparas por D. Josd María Alvarez. El obieto de esta obra es días anteriores, por cuya razón había resuelto aquella junta municipal decfa— dirigir el estudio de los que se dedican á la carrera de abogados en uno de los corsos mas Importantes, á saber; el de las leyes del país en que han de ejercer su profesión. rarse en estado de salud…</t>
  </si>
  <si>
    <t>El, José</t>
  </si>
  <si>
    <t>José El</t>
  </si>
  <si>
    <t>…truir, calde mayor de Garrobiilas; á D. Manuel Calvache y Moya, alcalde mavor merece ser acusado y castigado como traidor, porque viola un pacto y un ju de Tarragona; á D. Ramón Fernandez Broto, alcalde mayor de Potes; á ramento. D. José El ola, alcalde mayor de Conccntaina; a D. Miguel Falcon AbeHemos visto en un periódico contemporáneo censurar repetidas veces lian, alcalde mayor de Albaida; á D. Jos-- Luis García, alcalde mayor de y con la mas injusta acrimonia la conducta del duque de Palmclla; y sin Chiva; a D. Francisco de Paula…</t>
  </si>
  <si>
    <t>…aquín de Zengotita de las plazas de oidores que servían en RUSIA. la audiencia de Vaiiadolid. Riga 22 de Julio. Por otro de la misma fecha se nombra para la plaza de oidor áe la audiencia de Extremadura, vacante por traslación de D. José El ministro de Hacienda anuncia que para facilitar el cambio de las mo Ignacio de Alava, á U. Esteban Moya no. nedas extrangeras que circulan en Rusia con diferentes valores, ha dado órden Por otro de igual fei ha se,jubila con las dos terceras partes de de que se admitan monedas semejantes para conve…</t>
  </si>
  <si>
    <t>…coronel y los restos de ia gavilla oimiento de V. E. por si tiene á bien elevarlo al de S. M. la Reís-a Gober de Valles, á los que puso en precipitada fuga y dispersión. nadora. Dios &amp;c. Valladolíd 23 de Diciembre de 1834.=Excm£s.Sr.=José «El teniente del 5.° ligero D. Rafael Morales, comandante del destacamen to móvil.de Alcanar, aprehendió el dia 18 a 4 rebeldes armados, los cuale» han sufrido el condigno castigo. »En virtud de las instrucciones que tengo dadas al comandante D. Vicen te Llorens, situado en la izquierda del Ebro, verif…</t>
  </si>
  <si>
    <t>El, José Lan</t>
  </si>
  <si>
    <t>José Lan El</t>
  </si>
  <si>
    <t>…espacho de la Guerra. yo, á D. Juan Muñoz Guerra; para el de Alcántara á D. Joaquín-Casiano do Campos que lo es de Torremocha; para el de Plasencia, por promoción dé Dpn Anselmo León Barradas, á D. Diego Mcndo; para el de Zafra á D. José Lan- El capitán general de Cataluña participa el resultado de las últimas ope dero; para el de Garrobiílas á D. Diego Martínez Pela yo, que lo es de Coria; raciones practicadas en el corregimiento de Tortosa y derecha del Ebro por el para el de Roa á D. Angel Ramón Muro, que lo es de Potes; para el de Ar-…</t>
  </si>
  <si>
    <t>El, José María Moscoso</t>
  </si>
  <si>
    <t>José María Moscoso El</t>
  </si>
  <si>
    <t>…de la actividad Wiaierial del país, una pro necesario á su cumplimientos Está rubricado de la Real mano. = En tección sostenida; y que ademas sus trabajos pasen á conocimiento del público. San Ildefonso á 17 de Agosto de 1834. =A D. José María Moscoso El medio mas seguro de conseguir este resultado es á mi parecer que se esta de Altamira. blezcan entre estas sociedades y-el ministerio de la Instrucción pública, rela ciones frecuentes y regulares. «No se trata aquí de ninguna centralización de negocios y de poder; no es mi intento en manera alguna a…</t>
  </si>
  <si>
    <t>El, Josef Linares</t>
  </si>
  <si>
    <t>Josef Linares El</t>
  </si>
  <si>
    <t>…itura y doctrina cristiana. no que fue de esta corte , para que en el termino de_3o días acudan á deducirle por medio de procurador; apercioidos que pasado aquel término sin verificarlo, les para El premio de ebanistería se di&lt; á D. Josef Linares. El de platería á Don rá el perjuicio que haya lugar. EN LA IMPRENTA REAL.</t>
  </si>
  <si>
    <t>El, Josefa Alvarez de Bohorques y Guiraldez</t>
  </si>
  <si>
    <t>Josefa Alvarez de Bohorques y Guiraldez El</t>
  </si>
  <si>
    <t>…dinario Mosen Esteban Martínez , gefe de la que allí se levantó el 9 de Noviembre el título de socio de mérito, y por igual motivo una medalla de oro de 2.a último, y que fue aprehendido por la justicia de Embiz de Ariza. clase á Doña Josefa Alvarez de Bohorques y Guiraldez. El general en gefe del ejército de operaciones desde su cuartel general de Finalmente, repartió la sociedad varios tornos de hilar lanas á algunas ni Vitoria manifiesta con fecha del 9 &lt;jue la columna del coronel Amor, después ñas pobres para estimular la enseñanza que dicho cuerpo tiene establecida e…</t>
  </si>
  <si>
    <t>El, Lamoniciere</t>
  </si>
  <si>
    <t>Lamoniciere El</t>
  </si>
  <si>
    <t>…uenc.i , D. Joaquín Rodrigue?, con fecha de 3 de Junio actual. artillería. Le han sostenido muy bien el coronel Bernelle, el teniente coronel Cuidará de emplear los arbitrios puestos á su alcance para facilitar ia ex Jaubert y el comandante Lamoniciere. El 4-° de línea se ha despedido del sue tracción de granos por medio del esiablecinvento de mercados en los puntos lo, africano de una manera muy honrosa. El capitán Plok del primer regimien mas á proposito, la reparación y seguridad de los caminos trasversales, y la to de cazadores de Africa, ha desplegado…</t>
  </si>
  <si>
    <t>El, Lavallejo</t>
  </si>
  <si>
    <t>Lavallejo El</t>
  </si>
  <si>
    <t>…ermano mayor del Rey, y CuáriewY y-dirigido-aLmítmlcrio de Ja Guerra y de la Marín» Tute despacho la severa administración del general Fardclla, ministro de Guerra y Marina. Se contiene algunos detalles sobre la derrota total del general Lavallejo. El presi han construido últimamente varios buques de guerra y de vapor según los me dente anuncia que después de continuas y penosas marchas, llegó el 15 de Ju jores modelos, y se ha comprado todo lo necesario y de mejor calidad para te nio, y sorprendió al amanecer los puestos avanzados de Lavallejo,…</t>
  </si>
  <si>
    <t>El, Leopoldo</t>
  </si>
  <si>
    <t>Leopoldo El</t>
  </si>
  <si>
    <t>…ministrarle Guerra, sopretexto de que, S. Gv no tiene que hacer^ntnguna reclamación contra el gobierno actual de "" Y para la plaza de regente del-obradorde fundición de la imprenta Real, •Bé|gÍca&gt; por¿ no haber servidp. nunca al Rey Leopoldo. El embajador ingles vacante por fallecimiento de D. Faustino Rod/ieucz, se ha dignado nnaboff en Bruselas nq quiere intervenir ^ y las cosas por ahora se quedan en éste es &amp; M i O# Lorenzo ^Barrio, empicado en el departamento grabado de lee tada (Keutisk Gazettei). ; Reales casas- de moneda de esta co…</t>
  </si>
  <si>
    <t>El, López</t>
  </si>
  <si>
    <t>López El</t>
  </si>
  <si>
    <t>…ramo de mi cargo, como lo he hecho con la mrmoriz La comisión de poieres, eft vista de la exposición del Sr. D. Cayetano que acabo de leer, y nada mas."’ García de la Maza, Procurador por Valladolid, pidiendo se le exonerase del Sr. López. -. " El br. Minótro de lo Interior nos dice que su deber en este cargo de Procurador por la enfermedad de la vista que padece , opinaba no ser momento es solo verificar la lectura de su memoria , y nada puede &lt; ponerse á bastante causa para privarse el Estamento de su cooperación , dispensándole en esto en…</t>
  </si>
  <si>
    <t>El, Lopezt</t>
  </si>
  <si>
    <t>Lopezt El</t>
  </si>
  <si>
    <t>…poblaciones, cuyo vecindario fuese superior é la fuerza de di ulichd.” chas compañíasEl Sr. Presidentei «Se va á pasar i la discusión sobre la totalidad." «Nuestro método de presupuestos es sin duda mas aventajado que el exis El Sr. Lopezt «El. dictémen de la comisión es relativo al proyecto del tente entonces; pero sin embargo, en fa escrituras de millones esté rnmigipule Gobierno; P°r tanto debe tenerse i la vista uno y otro) y creó que conven uno de los hecho* mas marcado* que acredita que lo* Procuradores no reamodré leer este 41 rimo…</t>
  </si>
  <si>
    <t>El, Ma</t>
  </si>
  <si>
    <t>Ma El</t>
  </si>
  <si>
    <t>…estra parte. cularidad, por si tiene á bien elevarlo á conocimiento de S. M. Dios ¿cc.” 1 No puedo ámenos de decir á V. E. que esta gloriosa jornada es debida en parte al valor y conocimientos militares de mi compañero el coronel D. Ma El capitán general de Aragón con fecha 12 del presente Julio remite á esté nuel Obregon, á quien considero digno de una particular distinción de S. M.', y el ministerio el parte siguiente: todo de ella á ios .conocimientos militares, valor, entusiasmo y decisión de ios nEscmo. Sr. Por resultas dei alc…</t>
  </si>
  <si>
    <t>El, Manuel</t>
  </si>
  <si>
    <t>Manuel El</t>
  </si>
  <si>
    <t>…bienestar interior á 27 de Julio de 1834.=A D. F rancisco Martínez de la Rosa. de la Suiza , como igualmente de una tranquilidad que toca tan de cerca á los intereses europeos/’ a Atendiendo á las circunstancias que concurren en D. Manuel El otro documento es una carta del Rey de Cerdena í sus caros amigos, aliados y confederados l* s suiaos.Gaudencio de Acevedo, secretario de la legación «le S. M. Fidelísi •&gt; Nos ha sido muy grato , dice S. M. , recibir í los d'putados que nos anunma cerca de mi augusta Hija, y-deseando darle una prue…</t>
  </si>
  <si>
    <t>El, Manuel Gar</t>
  </si>
  <si>
    <t>Manuel Gar El</t>
  </si>
  <si>
    <t>…os Herreros. Se vende en misma proporción que se observó en igual estacion( los años an esta corte en la librería de Razóla, y en Sevilla en Ja de Caro (hijo), á 4 rs. teriores. —Ejercicio para la voz, d sea escuela de canto, por D. Manuel Gar El subdelegado principal de Fomento de la provincia de Cór cía, primer tenor de la Real capilla y cámara de S. M. el Rey de Ñi póles ; académico filarmónico. El objeto de esta obra es ayudar á la na doba avisa, con fecha 13 del actual, que según parte de la junta turaleza con el arte: la experiencia h…</t>
  </si>
  <si>
    <t>El, Manuel García Gallardo</t>
  </si>
  <si>
    <t>Manuel García Gallardo El</t>
  </si>
  <si>
    <t>…Angel Ramón Muro, que lo es de Potes; para el de Ar- brigadier D. José María Coiubi, gobernador y comandante general de aquel nedo á D. Antonio Mediano, alcalde mayor de Autol, y para teniente de distrito. asistente de Sevilla á D. Manuel García Gallardo. El estado de aquel país, tan afligido hasta ahora por las continuas incur siones de los rebeldes, es verdaderamente satisfactorio. Después de la acción del 25 de Noviembre sobre la sierra de Aliara, en la que el coronel D. Antonio D. Eugenio Fourdinier, director que fue de las obras de renovación de A…</t>
  </si>
  <si>
    <t>El, Manuel Loren</t>
  </si>
  <si>
    <t>Manuel Loren El</t>
  </si>
  <si>
    <t>…o de la D. Bartolomé Amor, en Barnidano, cubrían el camino del valle de Allin por Guerra. la orilla dérécBa tfel rio Baquedano, y servían de reserva en segunda línea á la 5.*: la división al cargo del Bxcmo. Sr. mariscal de campo D. Manuel Loren El comandante de armas de Tolosa D. Elias Iturriza con fecha de 7 del zo, ocupaba el centro de dicho Baquedano, cubriendo yo la izquierda con la corriente dice al gobernador de S. Sebastian lo que sigue: 1.a división, confiada al Sr. mariscal de campo D. Joaquín Gómez y Ansa, En este momento que son l…</t>
  </si>
  <si>
    <t>EL, Marcelino de la Torre</t>
  </si>
  <si>
    <t>Marcelino de la Torre EL</t>
  </si>
  <si>
    <t>…la y de Consiliarios. Castellón, viéndose precisado á huir con algunos de los suyos hacia Montalban, adonde iba en su seguimiento el coronel del provincial de Ciudad Real. En la 1.a terna................................ limo. Sr. D. Marcelino de la Torre. EL infatigable oficial de carabineros de costas D. Bernardo Dessy alcanzó En la 2.a................................................. Sr. D. Justo José Banqucri. en Mazaleon la gavilla de Jelcz , la deshizo, cogió fusiles y otros efectos, y En la 3.a.................................................. Sr…</t>
  </si>
  <si>
    <t>El, Martimz de la Rosa'</t>
  </si>
  <si>
    <t>Martimz de la Rosa' El</t>
  </si>
  <si>
    <t>…teratnente la prestación conocida con el nombre de Voto completa del Voto , sin desatender los intereses particulares que con justicia de Santiago. esten ligados á ¿1, para no tener que volver á tratar del asunto con motivo de El Sr. Martimz de la Rosa'. «El otro dia, cuando se presentó á nom quejas ni redamaciones.” bre de varios Sres. Procuradores, y después de haber pasado por todos los trá El Sr. Acevedo subió á la tribuna y pronunció un discurso que no se pu mites del reglamento, la petición de que se trata ahora, tuve c! honor de ma do oír comple…</t>
  </si>
  <si>
    <t>El, Martín Ramírez</t>
  </si>
  <si>
    <t>Martín Ramírez El</t>
  </si>
  <si>
    <t>…ente y de Tirulos al portador del 5 p. 100, 59* al contado: 60^ al 15 de Junio ó vol.: 6l al 30 cidida dirección Canto ha contribuido al grande resultado de esta jornada, del corriente o vol. a prima de los mandaba el subteniente D. Martín Ramírez. El cirujano de mí regimiento TítulosInscripcionesal portadoren el grandel 4libroP* 100,á 4 P*55 al100contado:, 55 al 215 de, Junio5 5, ó ^»vol.ü, á 55primay 55^de áJ. varías D* Domingo Martínez no ha querido ser mero espectador, y ha cogido un pri fs., vol. y fírme: 56, 55|, 56, 55#, £ y 56 á varias f…</t>
  </si>
  <si>
    <t>El, Mauricio Medrano</t>
  </si>
  <si>
    <t>Mauricio Medrano El</t>
  </si>
  <si>
    <t>…res alaveses por Uranga, Villareal y Lusultado su completa dispersión y la captura del cabecilla Ramírez por los veci zarraga, dispuse el movimiento ál amanecer del 29 hasta el preciso termino de nos de Nambroca, capitaneados por D. Mauricio Medrano. El referido gefe ma reconocerlos y atacarlos, fuera cual fuera la suerte, aunque dejando al denuedo nifiesta con este motivo el excelente espíritu de que se halla animada la gene U confianza del buen éxito y al valor acreditado de la división de Navarra, bi ralidad de los habitantes de los.pueblos de…</t>
  </si>
  <si>
    <t>El, Mercíer</t>
  </si>
  <si>
    <t>Mercíer El</t>
  </si>
  <si>
    <t>…t contesta, entre otras cosas, que si no se concede el cré Lóndres 3 de Febrero. dito , queda comprometida la seguridad pública. Fondos públicos. Tres por 100 consolidados 88j. Los Sres. O. Barrot y Salverté apoyan la opinión del Sr. Mercíer. El minis El Rey ha llegado hoy á esta capital; y en el momento ha tenido un tro del Interior confirma lo que ha manifestado el mariscal Soult: el Sr. Gaiconsejo, al que han asistido todos los ministros. llard observa que muchas diputaciones de departamento han pedido que se au ____ En todas las tertul…</t>
  </si>
  <si>
    <t>El, Miguel</t>
  </si>
  <si>
    <t>Miguel El</t>
  </si>
  <si>
    <t>…aza, favorecidos de la El 2 del corriente salió de Yelves para Lisboa la Infanta de Portugal Do oscuridad y de Jas cuerdas que le facilitaban los oficíales y soldados de esta bri ña Isabel María , que se hallaba allí retenida por D. Miguel. El día anterior gada, que tuvieron ocasión de hablarles, después de haber aproximado la línea fue cumplimentada á nombre del gobernador de Badajoz por el teniente coro de circunvalación á tiro de pistola de la muralla, e| gefe de la plana mayor te nel del Real cuerpo de artillería D. Fernando Chacón á…</t>
  </si>
  <si>
    <t>EL, Miguel Puche SlSTAMENTO DI SEÍÍÓ'SES IIOCDIADOI</t>
  </si>
  <si>
    <t>Miguel Puche SlSTAMENTO DI SEÍÍÓ'SES IIOCDIADOI EL</t>
  </si>
  <si>
    <t>SUPLEMENTO A LA GACETA DE MADRID DEL MIERCOLES 29 DE OCTUBRE DE 183% CORTES. brada en Murcia en reemplazo del Sr. D. Antonio Posada, elevado á la dig nidad de Procer, que ha recaído en el Sr. D. Miguel Puche. SlSTAMENTO DI SEÍÍÓ'SES IIOCDIADOI EL El Estamento quedó enterado de nn oficio del Sr. Procurador D. Fausti no Garay, en el cual exponía que por hallarse enfermo no podía asistir i lis Sesión del día 28 de Octubre. sesiones. Igualmente lo quedó de un oficio del Sr. Secretario del Despacho de lo Se abrió á la* olice y media. Interior ,…</t>
  </si>
  <si>
    <t>El, Narciso López Leuchtemberg</t>
  </si>
  <si>
    <t>Narciso López Leuchtemberg El</t>
  </si>
  <si>
    <t>…Despacha de la Guerra. su augusto padre. Si puede darse crédito á los que divulgan los secretos d* Es tado , parece que Doña María 11 ha resuelto dar su Real mano al duque de Oficio detallando la acción de Sesma que el brigadier D. Narciso López Leuchtemberg. El presidente del consejo marques de Pálmela la dijo que ahora ha dirigido al capitán general.de Castilla la Vieja, igual al que remitió al podía elegir S. M. ai esposo que quisiese; mas Doña María contestó que la elec general en gefe cotí la fecha que se cita al fin de éL ción estaba hecha ^or^su pad…</t>
  </si>
  <si>
    <t>El, Nicolás Alfaro y D Pablo Montesino</t>
  </si>
  <si>
    <t>Nicolás Alfaro y D Pablo Montesino El</t>
  </si>
  <si>
    <t>…La junta de Sanidad de Madrid se aumentará con los D. Ramón y D. Hermenegildo Montero, y D. Rafael Barcia, regidores facultativos D. José Coll, D. Ramón Copdevila , D. Victoriano Tor perpetuos del ayuntamiento de Zamora. recilla, D. Nicolás Alfaro y D. Pablo Montesino. El gobernador civil de Soria. 21 Serán vocales de la misma junta el conde de Teña, el mar E] de Barcelona. ques de la Torrecilla, D. Pedro Lafuente, D. Franeisco López Ola- El intendente de Aragón. Tarrieta, D. José Ventura Aguirre Solarte, D. Julián Harrea, di- El de Asturias. reCtór de la casa de Be…</t>
  </si>
  <si>
    <t>El, Nicolás María</t>
  </si>
  <si>
    <t>Nicolás María El</t>
  </si>
  <si>
    <t>…Mediterráneo; combinándose todo de ma dréis lo necesario á su cumplimiento.s: Está rubricado de la Real nera que la llegada de un buque coincida perfectamente don la salida del otro. mano. = En Aranjuez á 7 de.Junio de 1834. =: A D. Nicolás María El barco de vapor de Bombay deberá volver á Socotora , y tomando á los pasageros que se dirigen á Ceylan , Madras y Bengala, continuará su rota para Garelly. &gt; Bombay. Al gobierno se le ha propuesto también un proyecto para la conduc ción de la correspondencia por la suma de 509 libras esterlinas dura…</t>
  </si>
  <si>
    <t>El, Ochote</t>
  </si>
  <si>
    <t>Ochote El</t>
  </si>
  <si>
    <t>…á favor de ella: de otro modo me parece inadmi contribución es mas jlista y "mas’ éq*úitátivá'~qué otras míicHás efe las que se pa sible.” ........... gan,al ErarjLo aporque realmente no es una contribución, sino-es un canon ó El Sr. Ochote. «El hablar del diezmo étí España es lo mismo que hablar carga uníÓa ¿ la» propiedades ál tiempo de adquirirías. No es una imposición de otras muchas cosas. En cada provIpciary en: cada pueblo .se cobra de un* ma nueva .con'qué* sé ¿ráváoí ¿estas, sino antigua; y es seguro que se tuvo en nera diferente,…</t>
  </si>
  <si>
    <t>El, Othon</t>
  </si>
  <si>
    <t>Othon El</t>
  </si>
  <si>
    <t>…el asunto de Samos, que se mira como termi por el reemplazo de m nistros extrargeros: Maurocprdato va á Berlín y á Mu nado. Sin embargo , este negocio dió lugar en su tiempo á varias notas diplo nich de enviado extraordinario del Rey Othon. El gobernador civil de Sida* máticas , j cuando se siguió el bloqueo, el embajador de Inglaterra creyó^que Rmo , autqt dramático é historiador estimado, ha sido llamado i aquel depar** debía pedir algunas explicaciones al príncipe de Samos, el cual le respondió do lamento. / la manera siguiente: so LA…</t>
  </si>
  <si>
    <t>El, Pablo Montesino</t>
  </si>
  <si>
    <t>Pablo Montesino El</t>
  </si>
  <si>
    <t>…de Madrid se aumentará con los D. Ramón y D. Hermenegildo Montero, y D. Rafael Barcia, regidores facultativos D. José Coll, D. Ramón Copdevila , D. Victoriano Tor perpetuos del ayuntamiento de Zamora. recilla, D. Nicolás Alfaro y D. Pablo Montesino. El gobernador civil de Soria. 21 Serán vocales de la misma junta el conde de Teña, el mar E] de Barcelona. ques de la Torrecilla, D. Pedro Lafuente, D. Franeisco López Ola- El intendente de Aragón. Tarrieta, D. José Ventura Aguirre Solarte, D. Julián Harrea, di- El de Asturias. reCtór de la casa de Be…</t>
  </si>
  <si>
    <t>El, Paix</t>
  </si>
  <si>
    <t>Paix El</t>
  </si>
  <si>
    <t>…puesta sobre los buques proce- En algunos puntos conviene con este dictamen el Sr. Duprat,. pero confia I denles de España, Portugal, Madera y Las Azores. (Courier.) en que la Cámara adherirá á las variaciones que sean juntas. El coronel Paix- .El encargado de negocios de España tuvo ayer una entrevista con el viz- hans reasume la discusión, y la Cámara pasa al examen de los artículos. |coadc P&amp;lmcrston ch ia secretaría de Estado. Después de oir las observaciones que hacen varios diputados, se admiten con cortas modificaciones los artículos…</t>
  </si>
  <si>
    <t>El, Piedad Vilches</t>
  </si>
  <si>
    <t>Piedad Vilches El</t>
  </si>
  <si>
    <t>Partes recibidos en íes secretarles de Estado y del Despacho de la Guerra* £eon Guztnan. Una medalla de plata de 2.a clase al fabricante de botones Don Josef E^menota. Otra id. por él mejor bordado á la Sra. Doña Piedad Vilches El capitán general de .Aragón con fecha de 7 del corriente da parte de loa- y Espejo. Otra como premio extraordinario de dibujo á Doña María1 de los 1&gt;er sido pasados por las armas en la mañana del 3 en Teruel el capitán Tetira-" Angeles Abtrrategui y á Doña María Josefa Abarrátegui. Otra igual por el…</t>
  </si>
  <si>
    <t>El, Pinto</t>
  </si>
  <si>
    <t>Pinto El</t>
  </si>
  <si>
    <t>…L La Cámara de Representantes se es permitido aplaudir en Africa aquellos resultados. reunió el 5 de Mayo, y fue nombrado presidente Mayer, y vicepresidente el »Pero el desvelo del gobierno se propone hacer aun mas. Anunciamos pa Sr. Pinto. El 7 se abrió formalmente la sesión, y se leyó cí discurso del go-, ra el año de 1835 cursos de geometría práctica y dibujo para los artesanos que bierno rvirque se decía que reinaba ia mayor armonía entre la república y Jas quieran perfeccionaré; en estos primeros elementos &amp;c. ¿cc.”El intendente ci…</t>
  </si>
  <si>
    <t>El, Pirct de Bikain</t>
  </si>
  <si>
    <t>Pirct de Bikain El</t>
  </si>
  <si>
    <t>…as virtudes cívicas no fueron ex- ’ teniente general barón de Muflíing para segundo. Por parte de Austria ha sido cedidas por nación alguna de las mas adelantadas en civilización; y con el mis nombrado comandante el mayor general barón Pirct de Bikain. El último go mo orgullo pudiéramos, en vez de algunos hombres grandes por su saber que bernador austríaco conde de Mensdorfif dejó á Maguncia inmediatamente des han ilustrado el nombre portugués, citar una completa lista de sabios en todos pués de haber entregado el mando á su sucesor el Príncipe Guil…</t>
  </si>
  <si>
    <t>El, Presidente'</t>
  </si>
  <si>
    <t>Presidente' El</t>
  </si>
  <si>
    <t>…Poderes. ; • nes, se acordó que convenía adoptar el grado de veinte y dos quilates para Entró á jurar y tomó asiento el Sr. D. José Camps y Soler. igualar nuestras monedas de oro con las de Italia y Francia , cesando la extrac El Sr. Presidente'. »»El órden del dia es la discusión pendiente sobre la - ción desde aquel momento. petición acerca de los derechos fundamentales, y la lectura de dos proycctós Con varias formas y denominaciones, pero cometiendo errores muy craso* de ley sobre moneda. Tiene la palabra para éste efecto el Sr. Secretario d…</t>
  </si>
  <si>
    <t>El, PrttUmtí</t>
  </si>
  <si>
    <t>PrttUmtí El</t>
  </si>
  <si>
    <t>…M» de prntMo ca «q fterl *»w«di««* f «» ’^'karte «ni ta debida eiacasa linmtote * rife!» i/*t teJte te» t*»«* spane fccieroo jwra pujar j te» Mílie tete» 4» X4«4j»4 qn* «atte*'-.»* éf te» caute' pu» C*d&lt;a por Arde* 4H ü«k «■- El Sr. PrttUmtí "El arlíeido no pstede raríafte porqoe pa «ti jpro. no ,- v cc«q»t .m*« «yMtei Atev» te» m»fsi*i&lt;ioQ pena» por tese» &lt;) decrete*. hado i ahora «o qxdb a*a« i|M el derecho de hacer alguna adición.” p»v\t«rto'«^ tts- ^i^pao «4Muc.ts.yte* peo p-s 'y&gt;*t«i pr¿*6*f&gt;«i no te udu rr.r*-**. do, El Sr'. Métrtttf…</t>
  </si>
  <si>
    <t>El, Rcinhac</t>
  </si>
  <si>
    <t>Rcinhac El</t>
  </si>
  <si>
    <t>…n. El congreso había empezado sus sesiones, haciendo uso Aprobada el acta ¿t la última sesión, juran y toman asiento los Sres. ma- de los poderes extraordinarios de que se le ha investido. El ex-presLdcnte Bus- \ f riscal Lobau y barón Rcinhac. El ministro de Justicia presenta un proyecto de tamante, y los generales Arista, Andrada y Duran, presos en Veracruz ,serán ! [ley relativo á la nueva planta del consejo de Estado. La Cámara manda que expelidos de la república, y probablemente se les enviará a los Estados-Un idos. [dicho proyecto se i…</t>
  </si>
  <si>
    <t>El, Salvador Guerrero Estado</t>
  </si>
  <si>
    <t>Salvador Guerrero Estado El</t>
  </si>
  <si>
    <t>…lla á D. Vicente Vidal y Saavedra , teniente terce- I ro de asistente de Sevilla, y nombrar para el corregimiento de letras de Santo Prosigue la. discusión dei proyecto de Jey sobre organización Consejo ¿t Domingo de la Calzada á D. Salvador Guerrero. Estado. El conde Portalis dice que la comisión, teniendo presente lo que algunos Igualmenre ha venido en nombrar á consulta de la Cámara'para la vara de Pares indicaron en. la sesión de ayer, cree que después del artículo 1.® en que se alcalde mayor de la Villa del Prado a D. Antonio Aivjrrz Baragaña: para la…</t>
  </si>
  <si>
    <t>El, Saojuanlpna</t>
  </si>
  <si>
    <t>Saojuanlpna El</t>
  </si>
  <si>
    <t>…obernador de Ciudad-Rodrigo en 11 del actual, en las pro de Estado y del Despacho de la Guerra. vincias de la Beira alta y Tras-os-montes reinaba la mayor tranquilidad. EL general Latre se mantenía con la reserva en Guarda , y el general Saojuanlpna El gobernador de Alcañiz, con fecha de 8 del corriente, da parte-alc|pj . seguía ocupando á Covilhao en la Beira baja. tan genera! de aparecer por aquellas inmediaciones facciosos dispersos de Cae— El siguiente parte contiene los detalles del encuentro de Gouvea, en que nicer, el cual con los restos d…</t>
  </si>
  <si>
    <t>El, Se</t>
  </si>
  <si>
    <t>Se El</t>
  </si>
  <si>
    <t>…comisión , si se atiende á estos hechos , pues en ambas veces se aprobó lo bierno de España.'” que hacia el parlamento y se desechó lo contrario á sus resoluciones. Asi que conclu)ó de hablar el Sr. Crespo de Tejada manifestó el Sr. Se «El 8r. Presidente de* Consejo de Ministros ha hecho varias observacio cretario Caballero que .c hab.a concluido la lisia de lodos los Sre¿ que ha- nes, mas bien respecto á política que respecto i hacienda , algunas de ias cua ¿feian pedido la palabra en pro y en contra de esta discusión; por lo cual p…</t>
  </si>
  <si>
    <t>El, Sebastian</t>
  </si>
  <si>
    <t>Sebastian El</t>
  </si>
  <si>
    <t>…co un solo instante. ronel D. Angel Jiménez Pedrero, capitán de granaderos de Alcázar de Sao Juan, herido gravemente, y á D. Pedro Miguel de Agreda, del de Salamanca, también herido; al teniente ayudante interino del mismo cuerpo D. Sebastian ‘ El dia 27 de Abril último celebró la ciudad de Ayamonte la proclama Arias, quien voluntariamente marchó con las guerrillas, y fue el primero que ción de nuestra amada Rbina y Señora Doña Isabel ii con toda la solemni por el frente que atacaba , y acompañado del sargento 2.° de cazadores Antonio dad y…</t>
  </si>
  <si>
    <t>El, Secre</t>
  </si>
  <si>
    <t>Secre El</t>
  </si>
  <si>
    <t>…nb de V. K. para las resolucione» que tenga á bien adoptar en sus sabia» v maternales providencias. Dios guarde á V. E. mucho» año». Puerro-Ruo 25 Madrid 10 de Febrero. de Noviembre de 1833.—Excmo. SrcrrMiguel de la Torrc.=Kxcmo. Sr. Secre El subdelegado principal de Salamanca ha dirigido á la sociedad económica tario de Estado y del Despacho del Fomento general del reino. 6i aquella provincia un oficio, en que manifestando los deseos de ver afirmadas «n bases seguras la prosperidad de la misma, y anunciando que el comercio re cibirá be…</t>
  </si>
  <si>
    <t>El, Serrano</t>
  </si>
  <si>
    <t>Serrano El</t>
  </si>
  <si>
    <t>…podía poner en al empréstito de los 200 millones debian apurarse los medios interiores; y esta mis manos, pues por lo mismo que -es el interés de la Nación de lo que te tra indicación fue repetida después por los Sres. González y general Serrano. El ta, esta solo debe decidir , ó debió haber concurrido legítimamente representáprimero de los tres habia añadido que habíamos elegido el .peor tiempo para el •da, y sus supremos gefes no pueden mirarse sino como sombras que se suceden empréstito, pues que nos encontrábamos en un estado de verdadera…</t>
  </si>
  <si>
    <t>El, To</t>
  </si>
  <si>
    <t>To El</t>
  </si>
  <si>
    <t>…exible suerte que íes espera vde la perse fon tfopas deí regimiento provincial de Cuenca, un piquete de caballería del re cución constante hasta que no quede uno. gimiento del Réy y ílgunas compañías dél regimiento infantería del Rey.To- El rebelde Valles ha emprendido su marcha hacia el ha ¡o Aragón con dóí Se hañ conducido ton Ja decisión y constancia qué tienen acreditado. A mí solo 19 hómbres mal armados, yen un estad» deplorable; v tan nonti c me cabe la satisfacción de poder decir i V.E. que apenas aparee ¡da la facción nao se c…</t>
  </si>
  <si>
    <t>El, Traqy</t>
  </si>
  <si>
    <t>Traqy El</t>
  </si>
  <si>
    <t>…L almirante ha .cretdo que durante ei invierno se mantendría allí en me rios de la dinastía destronada y el gobierno de la restauración: se opone á que jor estado para obrar en caso necesario. se admita la variación que indica el Sr. Traqy. _____El rumor que Ha corrido de una intervención á favor de Doña María se Replica el Sr. Garnier Pagés que el ministerio ha promovido una cuestión ha renovado hoy ; pero ignoramos la manera con que se quiere hacer. La llega en la que es peligroso entrar, porque no es justo ni oportuno exponer las ra da de…</t>
  </si>
  <si>
    <t>El, Valdés</t>
  </si>
  <si>
    <t>Valdés El</t>
  </si>
  <si>
    <t>…me. Ldudres á po días , , 4 -b. • ' Santander par- d 4 pe 100 aLafio. . 874 .Bilbao par. Santiago a á. . Según las últimas noticias del general Quesada debía salir el 24 de Logro ño para los Arcos, adonde te dirigía igualmente el general Valdés. El general AMtíNClOS. Mosco», que manda en Vitoria, había destacado sobre Vizcaya una fuertb columna, lías obras dé lascasás fuerte» dé Maestú y Estolla están’ya muy ade Los suteriptore* i la a.3 clase del nuevo periddico fitarindniso titulado ti Eco dg ópera cuafiernov los concluye el’ coo ^ue italia…</t>
  </si>
  <si>
    <t>El, Varia</t>
  </si>
  <si>
    <t>Varia El</t>
  </si>
  <si>
    <t>…oche llegó al Callao, muy cerca de lanoche. El presidente mandó eñ «Lmo- ' ' BAV1BXA. mento que formasen '•las tropas que había en la plaza. Entre tanto llegaron el Munich 17 de Octubre. Sr. Coronel Quiroz, el mayor González y el capitán Varia. El segundo fue pdestpj&amp;'ii^bá^n.-JE^iui^^li.ltttcero'éB una-pwjpia^del Cuzcp que Se espera de un dia á otro á 8. M. la Raina iSeiiutíite de X^eruse^rattep- ¡chalaba en la plaza , en lugar djcl capitán prisancho que te mandaba, yjoue de se trasladó ayer S. A. el Príncipe Luitpold. : &gt; ' í .!r ■ debut C…</t>
  </si>
  <si>
    <t>El, Vicente de la Torriente y</t>
  </si>
  <si>
    <t>Vicente de la Torriente y El</t>
  </si>
  <si>
    <t>…guientes: han sobresalido en ella el capitán retirado D. Ramón Herran, el escribano del 27 , 3 , 77, 88 y 9. ayuntamiento D. Juan de la Lomba, el cura párroco del pueblo de Lierganes D. Jo é Gómez, que con ios oficiales retirados D. Vicente de la Torriente y El premio de 2500 rs. vn. concedido en cada extracción á las huérfanas D. Diego del Camino, D. Manuel Pendo, D. Marcelino de la Torriente, Don de militares y patriotas que murieron en defensa de la justa causa de la nación Diego del Castillo, D. José Cabello y D. Gabriel Fretre .concurrieron á en la g…</t>
  </si>
  <si>
    <t>El, Vivan</t>
  </si>
  <si>
    <t>Vivan El</t>
  </si>
  <si>
    <t>…dos en Lima y mas batallón es acaso una propiedad del que lo manda! Y ¡quién era el gefe que desnudos de mérito y de servicios, fue, pues, el que hizo el primer fuego. se trataba de poner en lugar del coronel Zubiaga! El teniente coronel Vivan- El 6 dió Bermudéz un decreto declarando esta plaza en estado de blo co era amigo particular del general Gamarra, como lo ha manifestado su queo. Por ridicula que fuese esta declaración, atendidas las circunstancias, no conducta, y la confianza que han hecho de él los sediciosos, poniéndolo al dejaba d…</t>
  </si>
  <si>
    <t>El, Voirol SAVIDAtt Provincia de Cídiau</t>
  </si>
  <si>
    <t>Voirol SAVIDAtt Provincia de Cídiau El</t>
  </si>
  <si>
    <t>…ssaux , que mandaba el escuadrón de cazadores, se portó como gefe hábil y soldado intrépido; él teniente coro nel Duvivier, que ha concebido y dirigido el movimiento, hadado nuevas t pruebas de su capacidad militar.—/:,’ finiente general Voirol. SAVIDAtt. Provincia de Cídiau El gobernador civil de dicha provincia avisa con fecha 13 del corriente qoé ESPAÑA. según partes del gobernador de Tarifa y del comandante general del Oait&lt;po ha bía en aquella ciudad tres enfermos de cólicos biliosos!, cuatro en la villa de los Madrid 18 de Junio. Barrios y seis en la de Jimena &gt; que…</t>
  </si>
  <si>
    <t>Elataquedjrígido, Francisco JavicrRodriguezdeVera</t>
  </si>
  <si>
    <t>Francisco JavicrRodriguezdeVera Elataquedjrígido</t>
  </si>
  <si>
    <t>…scal improvisado, carecía de toda clart da J' tx&amp;rMem- v* áinaohx. conocimientos militares, vió desatendidasms representaciones, y la consecuen lllmo. Sr. D. Vicente Cano Manuel, del Consejo Rod. cia fuela pérdidadeiLUboí. ‘ - Sr.D. Francisco JavicrRodriguezdeVera. . &lt; Elataquedjrígido por Baurtnpttt'Contra Oporto el 25 de Jillio de 1833 Sr. D. José Rodríguez Paterna.f-e demasiado prematuro, pero se resolvióá ello de resultas de la noticia qué 1 ba recibido por el telégrafo, de que Lisboa atibaba de rendirse á lar armas ' . PROVINCIA' se AUCAKXIb de la Reina, y quiso anticipar la…</t>
  </si>
  <si>
    <t>ELcómandante, Francisco</t>
  </si>
  <si>
    <t>Francisco ELcómandante</t>
  </si>
  <si>
    <t>…T&gt;. Joaquín Perez Barrachina y D. José Zamorano González, por lí tt 6 28 3 16 21 40 del de comandante partidadisposición tiradores de Ciudad-Rodrigo de la 2.a •99 10 16 1 17 21 4 los á dicha plaza 16 restantes. que envió Quijano,D. Francisco 99 1 10 7 2 10 18 ELcómandante general de la provincia de Córdoba en 24 del actual avisa 19 10 tf 8 ”3 99 7 que el faccioso Locho, arrojado de la Mancha con el miserable resto, de 20 á 20 7 » 4 2 » 524 hombres de su gavilla, habia invadido aquella provincia por la 'parte que confina con el valle de la Alcudia; pero que el tenien…</t>
  </si>
  <si>
    <t>Eldon</t>
  </si>
  <si>
    <t>…10 de Diciembre de 1832. Dos meses de tiem individuos de aquel cuerpo literario el arzobispo de Cantorbery , el obispo de po se conceden para esto, pasado cuyo téímino cesará toda mediación de parte Exeter, el duque de Glocester, lord Eldon y otros varios personages de la de los tres gabinetes, y no se permitirá á los samios navegar bajo otra bandera primera distinción. El duque pronunció un discurso en latín con tono claro y que la del buhan, y ademas sufrirán las consecuencias de su imprudente resis expresivo, y que realmente fue clás…</t>
  </si>
  <si>
    <t>Eleix</t>
  </si>
  <si>
    <t>…Secretarios. Procedióse después á segundo cscrurinio entre los Sres. Cano grillo 2; Ezpeleta 6; Diez González 1; Fiorcz Estrada 6; marques de Torre— Manuel y Quintana, que reunieron el major núrqero de vums, q .edando ele mejü 2; Caballero 1; Eleix 2; González Alonso l; conde de A dañero 1. gido el Sr. Cano Manuel por 31 , contra 15 que obtuvo el Sr. Quintana; y Y dos votos perdidos por haber recaído en Sres. que aun no han presen ocuparon los cuatro sus asientos en la mesa de la presidencia por el orden de tado sus poderes. su elección. En s…</t>
  </si>
  <si>
    <t>Elementos, Leo</t>
  </si>
  <si>
    <t>Leo Elementos</t>
  </si>
  <si>
    <t>…rapiña; en fin, en las relaciones exteriores, la infame hipocresía que trasmi tirá á la posteridad la correspbndencia d« Mr. Capo d’Istria con los Hiélenos de ANUNCIOS. Europa, y sobre todo, los medios que empleó para impedir al príncipe Leo Elementos de hipolomta, 6 anatomía del caballo para la escuela veterinaria; por poldo que aceptasé et trono de Grecia; &lt;no es todo esjo suficiente para que la D. Antonio Robad illa, profesor de anatomía en la de esta corte; consta de dos tomos opinión europea se decida á detestad á un hombre, á quien antes admi…</t>
  </si>
  <si>
    <t>Elena</t>
  </si>
  <si>
    <t>…éft el término dé un mes acudan úersbnllmente ó J»or pfrtCürídor á reclam-«&gt;'iuS%gal&gt; ‘a CUf de Jpifl^). Trigo; 412 rí ranégi det'pdií: c¿6ida,49 tótantrlosmero 2, cuartoitstatneotario»ba ¡o. impreotáíá«FXt»Me&gt;qeUtiode le elfaeá doña Elena£due'SuaájvfvenpitinailorquédBÁ'ntii*cilledél XVeTÚriáVnsi. ¿iñtdto: íóeki, 3'42 n. aift^í. ‘ ' cario, les paratipet juicio, , ^ . '-v '• EN LA1MPRENTA REAL. I</t>
  </si>
  <si>
    <t>Elevo</t>
  </si>
  <si>
    <t>…hácia la Borunda. Dios guarde á V. E. muchos años. S. Sebastian 31 de Enero de 1834-=Excmo. Sr.;=zFernando Butron.r=Excmo. Sr. Secretario de Estado y del Despacho de la Guerra. Gobierno militar de la provincia de Alava. = Excmo. Sr.: Elevo al superior conoci miento de V. E., que sobre la una de la tarde de hoy han pasado por las inmediaciones de Greñú como 4^0 facciosos, restos de la facción alavesa, y gran parte de los fugados de Na varra; estos últimos especialmente, según el sentido hasta de sus partidarios, en un estado tan miser…</t>
  </si>
  <si>
    <t>/ I 276 de Abril actual remite á éste Ministerio el parte siguiente: Exce cuentran ocasión de dar pruebas de su amor y decisión por la justa lentísimo Sr. : Elevo al superio* conocimiento de V. E. nue en esta' causa.Estos mismos fueron los que batiendo la faccion del ex-goberciudad no ha ocurrido novedad hasta el dia de la fechi: continúa nador de Morella verificaron su aprehensión y lá de una porción de por varios puntos de la provincia la alteración consig…</t>
  </si>
  <si>
    <t>…icíales, de comendadores, de oficiales y de caballeros. Los gada de operaciones en esta provincia, me dice con fecha iSdei corriente lo que Reyes de los franceses y de Inglaterra, como también el Emperador de Rusia, sigue: Excmo. Sr.: Elevo á las superiores manos de V. E. el adjunto parte, y están á la cabeza de los grandes cruces extrangeros. Se ha enviado la gran cruz declaración recibida al titulado teniente coronel D. Ildefonso Bruno, por el al aladrante de Rigni. que se acredita la completa dispersión de la facción á que pertenec…</t>
  </si>
  <si>
    <t>…S. Cristóbal, marchaban Detalles de la derrota del rebelde Merino, anunciada en la Gaceta de ayer. con la disciplina, orden y acierto debido, pues sus cotiunSdanícssc hallaban Comandancia general de la provincia de Búrgos.=Excmo. Sr.: Elevo al sur siempre dispuestos á verificar los movimientos que les ordenaba con una rapi perior conocimiento de V. E. que en esta ciudad no ocurre novedad que me dez extraordinaria, habiendo quedado sumamente satisfecho y complacido de rezca la atención de V. E. su im'portante servicio. El coronel D. Sa…</t>
  </si>
  <si>
    <t>Eli, J J</t>
  </si>
  <si>
    <t>J J Eli</t>
  </si>
  <si>
    <t>…á veinte cuartos. Se vende en Madrid en la y arder, y ha facilitado la transacción de algunos contratos de abastos, especial librería de Razóla mente de carnes. Manual teórico y práctico de la Utografia traducido del francés por D. J» J. Eli-*;' Ha despachado con la mayor brevedad algunos expedientes de elecciones zalde. Un tomo en 8 ° con una lamina que representa ia prensa para el estampado. Se vende á 10 rs. en rústica en Madrid en la librería de Sánchez, en Cádiz en la de Feconcejales, y cuantos se han presentado relativos á propios…</t>
  </si>
  <si>
    <t>Eli, M</t>
  </si>
  <si>
    <t>M Eli</t>
  </si>
  <si>
    <t>….timo serlo, é intervendrá en la recaudación de las que correspondan al de Don t isuii.i 11. Dios guarde á V. E. muchos años. Madrid 8 eclesiástico extrañado, por diezmos y otras prestaciones; pudiendo de Abril de 1 Sl'i.—Exento. Sr.—M. Eli marques de Falces.—Ex para ello reconocer en caso necesario los libros, tazmías v otros celentísimo Sr. Secretario de Estado y del Despacho del Fomento asientos concernientes á las rentas ocupadas que obren en las de general del remo. pendencias de la respectiva iglesia. "Urbanos de caballería de M…</t>
  </si>
  <si>
    <t>Elienne</t>
  </si>
  <si>
    <t>…propone que se modo con que lord Grey insiste tanto en este punté*. suprima todo cl párrafo, mas la Cámara le aprueba. i- La divergencia de opiniones qué ha existido en el ministerio, y de que El Sr. Dupin cede la presidencia al Sr. Elienne, uno de los vicepresidentes. tamo se ha hablado, parece que ha tenido su origen en una proposición de lord El Sr. Odilon Barrot pide que después del párrafo 15 se inserte en la res Palmerston , que deseaba enviar tropas á Portugal, y sobre cuya medida se di puesta el siguiente: vidieron los ministr…</t>
  </si>
  <si>
    <t>Elisebu</t>
  </si>
  <si>
    <t>…está eo prictica el leer siempre el provecto det Gobierno y &amp; Ckviio, ■conde de Sisuréo. conde de Paraént, marques dé la Candelaria, con el ditríipen de-la comfc-ion. Conozco qué el hacerlo asi nos ocupara nsuchG; de deSta. Ana, D. Elisebu, Bardají, D. JoaquinNavarro Sangren , conde de pero no puedo prescindir de ello, sin que lo determine asi el Estamento.” S- Roman. D. Jacobo María Parga, conde de Tabeada, conde de Friegue,</t>
  </si>
  <si>
    <t>Ellemboroug</t>
  </si>
  <si>
    <t>…ice d Sun del 29, que sir Roberto Peel ha llegado, á talen. París; en este caso se le puede esperar en Londres mañana ó él lunes; La lana en bruto y en maca no paga nada; cL hilo de lana, cualquiera l ord Hill, sir Jl. Hardinge , lord Ellemboroug, el conde Rosslyn y el quesea/ teñido ó no, paga 6 talen; los tejfdos de lana, de lana y pelo de embajador de Prusía han visitado esta mañana (29) á lord Weürngton en la se otros animales, y mezclados con hiló, de lino, 20 talen. cretaria riel «misterio de lo Interior. El hierro y el acero no pagan…</t>
  </si>
  <si>
    <t>Ellen</t>
  </si>
  <si>
    <t>…se ele mucho lujo. Durante las sesiones, los Pares iban frecuentemente por la maña vará. 250 pies sobre el torrente, reemplazará al antiguó puCnte llamado de la na á leer en la biblioteca. En la última sesión ó en la precedente, lord Ellen— paide destruido j&gt;ór los.austríacas enl 814 &gt; y evitará á los carruajes un cir borough, con motivo de citar en la discusión uno de ios libros de la biblio cuito'détres cuartos-delegua. Menc^ largo, que el de,Tribuno, será mucho teca, hizo el elogio de la excelente colección de obras que poseia la…</t>
  </si>
  <si>
    <t>Ellenborough</t>
  </si>
  <si>
    <t>…derecho de la Cámara y el de los diputados le parece oportuno poner á m lyor placer en cederle la palabra. votación las dos cuestiones siguientes: "¿consiente la Cámara en que se hagan El conde Grey, contestando á una pregunta de lord Ellenborough, dijo preguntas á los ministros?” Resuelta esta cuestión afirmativamente, será la 2.a que el gobierno preparaba un proyecto de ley para la conmutación de diezmos, «¿qué dia señala Ja Calmara para que se hagan estás preguntas?” I y otro para la^ conmutación de derechos parroquiales. El Sr. Garnier P…</t>
  </si>
  <si>
    <t>…S. INGLATERRA. . Londres 18 de Noviembre. fRUSIA. Alguq^s periódicos ingleses son de parecer que el duque de 'VVellifigtórt Berlín 13 de Noviembre. disolverá la Cámara de los Comunes, y que se harán nuevas elecciones. Se habla de lord Ellenborough para ministro de Estado; de sír C. ManEl Emperador de Rusia, acompañado de S. A. I. el gran duque heredi nere Surton para ministro de lo Interior; de sir Jorge Murray para el depar tario , procedentes de San Petersburgo, han llegado á esta ciudad hoy á la&lt;¡ dos tamento de las Colonias, y de lord Ly…</t>
  </si>
  <si>
    <t>Ellenijorough</t>
  </si>
  <si>
    <t>…1 orador concluye oponiéndose i la manifestación "de la .carta que se H»uy bien conservados. Habiá^eo uno de ellos trn'sable',tarcomldo;qlof la oxipedia. dacion. y qna urna dé tierra en extremo elegante por su forma, adornada con Lord ¡Ellenijorough habla eneltnistno sentido de lord Wamqliffe, y tum- muchas molHuras en relieve perfectamente ejecutadas, que no reclama la presentacion dé la carta, cree que en principio genersí^dé}» Estosisepulcros deben- pertenecer á tiempos muy remotos, si se ha de juz manifestarse i lá Cámara. gar por la forma…</t>
  </si>
  <si>
    <t>Emiliano</t>
  </si>
  <si>
    <t>…s surtirán su efecto. Tolosa; pero sospechando que sus verdaderas intenciones serian las de contramarchar para atacar di brigadier Linares que habia llegado á Caparroso con su , ,-.-El gran duque de Hesse Darmstadt ha nombrado al príncipe Emiliano de enjumna conduciendo un convoy de varios efectos que venia de Aragón para el He&amp;se, presidente de la primera Cámara de los Estados. ejercito, mindo al coronel Amor con la caballería que está á sus órdenes qua saliese el día 4 hacia la ribera á perseguir la enemiga que estaba en aquel pun , _ M. Cabe…</t>
  </si>
  <si>
    <t>Emilio</t>
  </si>
  <si>
    <t>…ge "trapeóse, y el otro ‘Vicente Mas, su resignados como aquéllos enfermos que sufren -mu amputación -reconocida por tural de dicho Maella, en cuyo pueblo fueron pasados por Jasarmas-én Ja ma ñana dél dia l?. Dice asimismo que-el-brigadier Emilio le avisaba -que alguno» inevitable. Xos hombres que conocen mejor á Mohemet-Alí convienen , fuera de esto, facciosos continuaban -presentándose en k&gt;spuel&gt;tes, -veri(icáji«iolovari« -de ellos en qiae .jamas este príncipe ha aspirado sér-iamente al papel-y renombre-de Chi- con las armas que'tenian e…</t>
  </si>
  <si>
    <t>Emilio, Cáric</t>
  </si>
  <si>
    <t>Cáric Emilio</t>
  </si>
  <si>
    <t>…ha sobresalido la emulación y valor? El capitán general de Aragón con fecha T- de Junio da i este ministerio el pero considero dignos de ser recomendados ql ayudante de órdenes del coman- parte siguiente: Excmo. Sr : El brigadier D. Cáric» Emilio, coronel del regi / jante general de la división EX Joaquín Sanz de Men Hondo; el ayudante de miento infantería, 13 de línea, con fecha l.3 del comente, desde Andorra m© plana mayor D. Ignacio de Emparan; el subteniente adicto á ella Ó. Leandro dice lo que vopio. Excmo. Sr. El capitán de e»tc regim…</t>
  </si>
  <si>
    <t>Emilio, D Cáric</t>
  </si>
  <si>
    <t>D Cáric Emilio</t>
  </si>
  <si>
    <t>…s y tropa ha sobresalido la emulación y valor? El capitán general de Aragón con fecha T- de Junio da i este ministerio el pero considero dignos de ser recomendados ql ayudante de órdenes del coman- parte siguiente: Excmo. Sr : El brigadier D. Cáric» Emilio, coronel del regi / jante general de la división EX Joaquín Sanz de Men Hondo; el ayudante de miento infantería, 13 de línea, con fecha l.3 del comente, desde Andorra m© plana mayor D. Ignacio de Emparan; el subteniente adicto á ella Ó. Leandro dice lo que vopio. Excmo. Sr. El capitán de e»tc regim…</t>
  </si>
  <si>
    <t>Emilio, T Carlos</t>
  </si>
  <si>
    <t>T Carlos Emilio</t>
  </si>
  <si>
    <t>…con la fuerza qué puso á sus órdenes, se portaron bi Historia natural de la langosta de España, y modo de destruirla, por D. Gui zarramente. * llermo Bowies, con la instrucción dirigidaa los pueblos, para exterminar esta terri El brigadier T&gt;. Carlos Emilio, coronel del regimiento infantería de Ma ble' plaga: un cuaderno en 8.°, se hallará á 2 rs. en la librería de Cuesta., y en La do Sánchez; puede ir en carta. llorca, desde Castillo., en su marché para Aragón, y con fecha del 18, dice al —Resúmen de la historia de las antiguas Córtés de España, escr…</t>
  </si>
  <si>
    <t>Emperador</t>
  </si>
  <si>
    <t>…spafia que, nuestro Gobierno reconozca los principios por el cual la comunidad ha depositado en manos de aquel á quien eligió siguientes: l.° Que debe ponerse el mayor cuidado, do en lanzar de Portugal á por gefe con el nombre de Rey , Emperador , á otro cualquiera, la autoridad D. Cárlos María Isidro, sino en apoderarse de su persona y familia. 2.° Que tuficiente para dirimir las controversias y disputas entre lo» asociados, y dis es igualmente útil, después de asegurado, enviarle a una de nuestras posesiones poner todo aquello que tea en…</t>
  </si>
  <si>
    <t>Empiezo</t>
  </si>
  <si>
    <t>…o) la mas cuál menos, propenden al sistema de la intervención. Algunos gabinetes doctrina mas antilibéral que se hubiera oído en un congreso de legisladores. han estado neutrales, por decirlo asi, tal como el ingles,,en tiempo de Lord «Empiezo por asentar que el principiol de decir: lo hecho en tal ó cual Castlereagh , á quien no se acusará de haber sido demasiado liberal; y sin em época no es válido, ti acaso pudiera aplicarse alguna vez con justicia, nunca bargo miró Ja no intervención como regla, y la intetvmcion como excepción. seria…</t>
  </si>
  <si>
    <t>Emprendiendo</t>
  </si>
  <si>
    <t>/ 632 ' v j nEtcnjo. Sr. :EIcoronel D. Siturnino Albuin desde Molino» de Duero BROVINCIa US CA.utH. / coa fecha 5 del actual me dice lo siguiente: Exctno. Sr. : Emprendiendo mi marcha esta madrugada desde el Quintanar de la Sierra, me dirigí á los espesí Parto sanitario dt la ciudad dt Algeceras. simos- pinares, pasando por Regumiel, Dirruelo y Cobaleda, y al avistar el lilas. Enfermos. . Curados. ~ Fallecidos." pueblo de Salduero divisamos T» caballería de Basrlib y C…</t>
  </si>
  <si>
    <t>Empresarios</t>
  </si>
  <si>
    <t>….400 i«o 100. ARTÍCULO DE OFICIO. De los Cinco Gremios mayores de Madrid................... 4,000 Compañía dei Guadalquivir................................................. 4,000 S. M. la Reina nuestra Señora,-su augusta Madre la Reina Empresarios de minas con mas de 30 jornaleros.. .. 2,000 . , 1,. ._.. 300Gobernadora y la Serma. Sra- lnfanta Doña María Luisa, continúan Idem desde 3 hasta 30 operarios. ., .sin novedad en su importante salud en el Real sitio del Pardo.___ _ Maestros fie pesias por el servicio de las diligencias y carruages de p…</t>
  </si>
  <si>
    <t>En, Acevedo</t>
  </si>
  <si>
    <t>Acevedo En</t>
  </si>
  <si>
    <t>…r. Ministro paré tro» discursos deben serlmpréso* cotí toda exactitud: y siendo ¡a deuda extran- que úo vengan otras,' tampoco debió admitirse La del Voto de Santiago y de gerxnna detas coeas dlas importantts, apoyo la moción del Sr. Acevedo. En más. Siendo pues sin la menor duda. Injusta é impolítica la contribución á qué ****'&lt;firtiiMdn de dedda y empréstifoV h*h ventilado cuestiones de economía se refiere la presente petición, parece que el Estamento debe acoger esta, de poiítfeay de pólítief én general , y acerca de lar cuales cotro un…</t>
  </si>
  <si>
    <t>En, Alcalá Galiano</t>
  </si>
  <si>
    <t>Alcalá Galiano En</t>
  </si>
  <si>
    <t>…nsideracio lor del dinero en el dia, con otras épocasde nuestra edad, se vería muy em nes de tal naturaleza , que mejor se sienten que se expresan." barazado. La cuestión no es de este momento; pero el valor del metálico en la R¡ Sr. Alcalá Galiano «En uso de la facultad que me concede el ar-^ actualidad, respecto de los frutos, 7 el de otras épocas comparativamente, es tfculo 75 del reglamento, voy á deshacer algunas equivocaciones, cometidas materia muy dificil de calcular; porque habría que examinar las causas del ba por el Sr. Secretario del…</t>
  </si>
  <si>
    <t>En, Alonso Las Córtes</t>
  </si>
  <si>
    <t>Alonso Las Córtes En</t>
  </si>
  <si>
    <t>…a de la libertad bien entendida, del patriotismo y de toda suerte mero D. Lope de Haro, y después el Infante D. Manuel , que pronunció un dis de virtudes públicas y privadas. curso notable que nos ha conservado la crónica del Rey D. Alonso. Las Córtes »En la moderna Francia lo hemos visto: hace cuatro años que arrojó del de Segovia afianzaron y legitimaron el juicio de la junta de Toledo, recono trono á Cárlos x, al duque de Angulema, al de Burdeos y á toda su descen ciendo á D. Sancho el Bravo heredero de la corona. Las leyes de España, tan dencia, po…</t>
  </si>
  <si>
    <t>En, Antonio Arukade</t>
  </si>
  <si>
    <t>Antonio Arukade En</t>
  </si>
  <si>
    <t>…sino saliendo del punto desde donde se puede salir en España. el pueblo, f un discurso análogo á las circunstancias que pronunció &lt;£ presfií- [ Entre estos dos partidos no era dudosa la elección; por eso no vacilamos en re te; o D. Antonio Arukade. En los dos siguientes se esmeraron los* vecinos, y I solver, y lo hicimos en un solo día. Llegó la noticia de la muerte del Rey de principalmente el alcaide primero t&gt;. Juan Andradé. qu&lt; costeó lo principal de I España, y aquella misma noche salió el correo con nuestra determinación, por las diversiones públi…</t>
  </si>
  <si>
    <t>En, Arguelles</t>
  </si>
  <si>
    <t>Arguelles En</t>
  </si>
  <si>
    <t>…quiere decir esto que se deba reconocer otro cuyas circuns El Sr. Presidente: «Pido al orador que continúe su discurro.” tancias son mas perjudiciales que las de los demas. El Sr. Alcalá Gallano: «Digo, pues, que la ausencia del Sr. Arguelles «En este sentido puede llamársele al asunto en cuestión con propiedad debe influir mucho en esta discusión , como asimismo la del Sr. Florez Entra víctbna expiatoria, que indica que ha habido pecado. Tal es el juicio de la da, pues quedamos solo dos individuos de la mayoría de la comisión para sos mayo…</t>
  </si>
  <si>
    <t>En, Caballero</t>
  </si>
  <si>
    <t>Caballero En</t>
  </si>
  <si>
    <t>…or artículos sí que se le concediese el tiempo necesario para restablecerse. del proyecto de ley sobre deuda extrangera , y empréstito de 4ÓÜ millones.' El Sr. Belda-drjo: que no sabia cómo siendo la práctica constante del Es- El Sr. Caballero. «En virtud de la proposición presentada ayer por él tamertto admitir las renuncias , mucho mas estando apoyadas en enfermedades, Sr. marques de Falces , y que fue aprobada por el Estamento , la comisión dé la comisión te separaba de ella. Hacienda presenta su dictámen en los términos siguientes: £{( Sr…</t>
  </si>
  <si>
    <t>En, Carlos Mijnei’</t>
  </si>
  <si>
    <t>Carlos Mijnei’ En</t>
  </si>
  <si>
    <t>…dé Julio próximo pasado participa el gobernadpr ctpfi di chadas de las demas casas de la ciudad. Se distribuyeron 300=panes que dio ge- ella, que en el pueblo de Sotoca se padecían terciana* y cólico* bilioso*, sin nerósamfcflté D. Carlos ‘Mijnei’ En las mismas casas consistoriales lució; por la que basta la fecha hubiese ocurrido ningún fallecimiento :quc en l*.tap»tfl se noche ud magnífico trasparente con él rctrato de S.&lt; M. que.regalóal aytinta- disfrutaba de buena salud , asi como en la roas coóddeedble parte de- la ptp*inmiento éf pintor de C…</t>
  </si>
  <si>
    <t>…dé Julio próximo pasado participa el gobernadpr ctpfi di chadas de las demas casas de la ciudad. Se distribuyeron 300=panes que dió ge- ella, que en el pueblo de Sotoca se padecían terciana* y cólico» bilioso., sin nerósamfcflté D. Carlos ‘Mijnei’ En las mismas casas consistoriales lució; por la que basta la fecha hubiese ocurrido ningún fallecimiento :quc en la.capjtyl se noche ud magnífico trasparente con él rctrato de S.&lt; M. que.regalóal aytinta- disfrutaba de buena salud , asi como en la roas considerable parte de- laprov ¡nmiento éf pintor de…</t>
  </si>
  <si>
    <t>En, Cayetano Be</t>
  </si>
  <si>
    <t>Cayetano Be En</t>
  </si>
  <si>
    <t>…icina de Vallecas mira como totalmente extiip-' la* establecidas y regidas según lassttpcrrures órdenes .del. gobierno. ,; ^ •- k;., guTda ti enfermedad en aquel pueblo. ' '' Otra. A consecuencia de las acertadas-disposiciones de D. Cayetano Be En vÍrtudfdeprovfdencizdelos.Sres. D. Mareo dcNdrzagaray y D. Pfedf0&gt;~Bairenedicto , alcalde mayor de Colmenar Tfiejo, y del profesor de medicina Don ira» tenienrqs cqiffárdores de esf»¿villa * refreodada ppr.«l;!e&gt;CíH&gt;ano del númesoD. JuaitRaya, »e^ha'fñ^nda^o citar y «‘ñPfaiar, corno se,haqe, por Ja…</t>
  </si>
  <si>
    <t>En, D Alonso Las Córtes</t>
  </si>
  <si>
    <t>D Alonso Las Córtes En</t>
  </si>
  <si>
    <t>…ásica de la libertad bien entendida, del patriotismo y de toda suerte mero D. Lope de Haro, y después el Infante D. Manuel , que pronunció un dis de virtudes públicas y privadas. curso notable que nos ha conservado la crónica del Rey D. Alonso. Las Córtes »En la moderna Francia lo hemos visto: hace cuatro años que arrojó del de Segovia afianzaron y legitimaron el juicio de la junta de Toledo, recono trono á Cárlos x, al duque de Angulema, al de Burdeos y á toda su descen ciendo á D. Sancho el Bravo heredero de la corona. Las leyes de España, tan dencia, po…</t>
  </si>
  <si>
    <t>En, D Diego González</t>
  </si>
  <si>
    <t>D Diego González En</t>
  </si>
  <si>
    <t>…inaba debian aprobarse por estar confor Pedro Alcalá Zamora.ncjoaquin Cáceres.cnFrancisco Diez Gonzalez.ncFranmes á lo prevenido sobre este particular. Asi se acórdó. cisco Serrano. La misma comisión en vista de la exposición del Sr. D. Diego González En seguida se leyeron los dictámenes de las lies comisiones á que habia Alonso, Procurador por la provincia de Cáceres, en la que manifiesta que pasado de órden del Sr. Presidente dicha p. lición, á saben la comisión de i pesar de habérsele concedido un término de 4^ dias Para presentar los docu Guerr…</t>
  </si>
  <si>
    <t>En, D José Francisco Goyeneche</t>
  </si>
  <si>
    <t>D José Francisco Goyeneche En</t>
  </si>
  <si>
    <t>…de Jelcz , la deshizo, cogió fusiles y otros efectos, y En la 3.a.................................................. Sr. D. Manuel de la Torre y RaurL mató 7 facciosos. Eh la 4.a.................................................... Sr. D. José Francisco Goyeneche. En la 5.a.................................................. Sr. D Miguel Nájera. El capitán general de Extremadura trasladando el parte que le comunica el En la ó.a.................................................. Sr. D. Manuel Alonso Viacto. corregidor subdelegado de policía de Trujillo con fecha del 1…</t>
  </si>
  <si>
    <t>En, D José Orozco</t>
  </si>
  <si>
    <t>D José Orozco En</t>
  </si>
  <si>
    <t>…archa , y cargándolos siempre á la bayoneta á la InserípcioUes eo el gran libro á 4 P* 100, 5^ á.VaríA *fs, ó vol., Títulos al portador áel .4 p- 100, ííi, -f, 5Ó, T5|s *5ñ, é* é* 4^ f ♦ íyék vofc-de vriri ¡a Rjejm de su valiente coronel D. José -Orozco-. En esto y por fechas, vol. y firme' 56|, |, y $7 a vatíds fs., Voi. .y *firme4 prkn*¡dti1, ‘l'éy nuestra retaguardia rompió,«l fuego sobre la reserva otra fuerza, que fue con por 100. . *; , ; tenida por el Príticipe,'3.° de linea, dirigido diestramente por su coronel, el Vales Reales ao'cqasólidadós,…</t>
  </si>
  <si>
    <t>En, D Juan Camps y Soler</t>
  </si>
  <si>
    <t>D Juan Camps y Soler En</t>
  </si>
  <si>
    <t>…INO. ráneo) ............... 21 Idem (Océano)......... ........................................ 32 ISLAS SALEASES. Sr. D. Luis de S. Simón y Orlandis. Total......................................... 158 Svr D. Pedro Canals y Mayol. Sr. D. Juan Camps y Soler. En el periódico de Tolosa, titulado la Francia meridional, del 28 de Julio, se lee lo siguiente: » Habiéndosele admitido su dimisión al general Vinot, comandante del departamento de los Pirineos orientales, ha partido el 16 de Suscripción mandada establecer por Real ir den de l.° del actual para socor…</t>
  </si>
  <si>
    <t>En, D Luís López Ballesteros</t>
  </si>
  <si>
    <t>D Luís López Ballesteros En</t>
  </si>
  <si>
    <t>…n les secretaria de Estado y del Despacho Je la Guerra. la memoria que se le presentó por mano de su Secretario de Estado y deLJDcsEl comandante general de las provincias Vascongadas con (echa de 28 de pacho de Hacienda el Excmo. Sr. D. Luís López Ballesteros.. En ella se mani Noviembre participa, que habiendo hecho una salida el comandante de armas festaba el estado de la obra y lo que se tardaría &gt;n concluirla, siempre que las de Treviño el día anterior, con'el objeto de sorprender a los aduaneros, tro autoridades de Gálicta^, Astúriap y reino dé León se e…</t>
  </si>
  <si>
    <t>En, D Manuel Llau</t>
  </si>
  <si>
    <t>D Manuel Llau En</t>
  </si>
  <si>
    <t>…a de conciliar la opinión de ambos De conformidad con el dictámcn de la comisión de cxámen de títulos y Estamentos acerca del proyecto de ley relativo á la deuda extrangera. documentos, se acordó la admisión definitiva del Excmo. Sr. D. Manuel Llau- \ En seguida el Sr. Secretario González subió á la tribuna y leyó las actas der, marques dd Valle de Rjvas, mediante á haber bailado conforme su nom dé las dos sesiones de dicha comisión. (Véase la sesión deTróceres de hoy.) bramiento de Procer. Concluida esta lectura tomó la palabra, como individuo de…</t>
  </si>
  <si>
    <t>En, D Pedro</t>
  </si>
  <si>
    <t>D Pedro En</t>
  </si>
  <si>
    <t>…nes que están sujetas á contribucioa -de frutos cirií^ mentó, en que manifestaba que en virtud de la licencia temporal concedida de fincas urbanas ó de cantidades jnetáitcas. St. conde “de Adanero, había nombrado por su decano ai Sr. D. Pedro «En este supuesto, ¿en qué se había de apoyar la comisión con arreglo á Fuster. lo dispuesto por la ley para aprobar el documento presentado por el Sr. Don La misma comisión dió cuenta de haber examinado los documentos de la Agustín Argiielles? A poco que se reflexione, se verá que no hay fundamento ap…</t>
  </si>
  <si>
    <t>En, Diego González</t>
  </si>
  <si>
    <t>Diego González En</t>
  </si>
  <si>
    <t>…a debian aprobarse por estar confor Pedro Alcalá Zamora.ncjoaquin Cáceres.cnFrancisco Diez Gonzalez.ncFranmes á lo prevenido sobre este particular. Asi se acórdó. cisco Serrano. La misma comisión en vista de la exposición del Sr. D. Diego González En seguida se leyeron los dictámenes de las lies comisiones á que habia Alonso, Procurador por la provincia de Cáceres, en la que manifiesta que pasado de órden del Sr. Presidente dicha p. lición, á saben la comisión de i pesar de habérsele concedido un término de 4^ dias Para presentar los docu Guerr…</t>
  </si>
  <si>
    <t>En, Domecq</t>
  </si>
  <si>
    <t>Domecq En</t>
  </si>
  <si>
    <t>…d con que lo han'hecho los demas Sres; Procuradores. La pre y nosotros no tenemos otra pauta que nos sirva de norma, como se ha dicho sente discusión prueba la divergencia de todos los individuos del Estamento por muy bien por el Sr. Domecq. En el momento mismo en que faltemos á esta la diversidad‘de sus*’votos y opiniones. Estoy convencido de que Hubiera sido regla se entra en la linea de la arbitrariedad: de la propia manera que uno tnit ¿til haber dejado esta discusión y aprobado el' dictámen de la comisión. propondrá una rebaja, otro…</t>
  </si>
  <si>
    <t>En, Duckworth</t>
  </si>
  <si>
    <t>Duckworth En</t>
  </si>
  <si>
    <t>…acer manejables peto sin causar desastres y con la seguridad de obtener un resultado cierto y los enormes cañones de las baterías bajas, y en concluir lo que apenas estaba duráble. principiado cuando se verificó la expedición del almirante Duckworth. En la «La pretensión de Farhat, gefe del desierto, me confirma en mís espe actualidad les dos castillos de JCrlidit-Bahar y Sultamié-Kaltssi, separados ranzas. Solicita de nuevo nuestro apoyo contra Achmet-bqy, y voy á contes únicamente por cerca de 800 toesas, y armados de un modo formidable, son tarle conf…</t>
  </si>
  <si>
    <t>En, Euheróicos</t>
  </si>
  <si>
    <t>Euheróicos En</t>
  </si>
  <si>
    <t>…z./Pnjft— .Martínez ,rpn4¡» de Ofiaté ,;CCndffde Gla vi jo, conde de Guendulain, D. Ig bas tenemos de ello repetidas, y no acudamos á las crónicas y á los tiempos nacio de la Pezúéla, £&gt;V jacoboñiarfa de Parga, conde de Sta. Ana, D. Euheróicos. En nuestros dias hay ejemplos de lo que digo, yohe visto en la bata sebio Bardafí y Azara, duque de Cartroterreño, marques de Albaida, marques lla de Ghiclana hacer prodigios de valor i cuerpos brillantísimos de la Milicia ■de Villafuertes, D- Joaquín Navarro Sangran, conde de Taboada, conde do ' urba…</t>
  </si>
  <si>
    <t>En, Felipe Zamora Art</t>
  </si>
  <si>
    <t>Felipe Zamora Art En</t>
  </si>
  <si>
    <t>…Castilla la NuéVá al teniente general du TITULO X. que de Castroterrpño: gobernador de esta plaza y segundo cabo al mariscal de campo D. José Bellido; y teniente de Rey al brigádier De las relaciones entre uno y otro Estamento. . D. Felipe Zamora. Art. 96. En el Etamento de Próceres dd Reino no podrá ha cerse nunca mención de los discursos pronunciados en el Estamen S. M. la Heina Gobernadora, por Reales órdeneí de 19 del cor to de Procuradores, ni referirse lo que este haya votado, ni alu riente, se ha servido mandar qne los destinos vacaótps de superi…</t>
  </si>
  <si>
    <t>En, Florez Estrada y Cbácon</t>
  </si>
  <si>
    <t>Florez Estrada y Cbácon En</t>
  </si>
  <si>
    <t>…a desigualdad, y esta existeen la naturaleza, y no puedeatters Diez- González, de la comisión , Gi I vTrueba , González (D. Antonio), Gon mediarse; mas hay otra, hija de la ley, que tiene muchísima, mayor influencia zález Alonso, Caballero, Florez Estrada y Cbácon. En contra» Sres) Medrana, en los individuos, y cuyos perjuicios son incalculables.La,legislac¡ondebf cqfcq Latofre, marques de Falces, Santafé, Redondo, Vega, Coton, Vajo y Canals. tribuir á desterrar esta desigualdad que no traen los hambres de la .natqpa**88p Sr. López (de la comisión.) »Apoyado en…</t>
  </si>
  <si>
    <t>En, Francisco</t>
  </si>
  <si>
    <t>Francisco En</t>
  </si>
  <si>
    <t>…tas votaciones no serán válidos los votos que se salud. dieren á los que no ilayan reunido diez por lo menos en la votación Del mismo beneficio disfrutan SS. AA. la Serma. Señora In anterior.fanta Doña Mana Luisa y el Sr. Infante D. Francisco. En cualquier caso de la votación en que resulte empate, decidirá De Real ónlen lo participo á V. E. para su satisfacción y efec la suerte.tos oportunos. Dios guarde á V. E. muchos años. San Ildefonso 19 de Art. 7? Luego que se haya nombrado dicha Comisión, mandará Julio de 1834. = Nicolás María Garell…</t>
  </si>
  <si>
    <t>En, Francisco Lacueva</t>
  </si>
  <si>
    <t>Francisco Lacueva En</t>
  </si>
  <si>
    <t>…mática general con relación á las lenguas orales, á la cyal acom Él capitán general de Valencia con-fecha ó del corriente dice á este mí— paña una aplicación de la doctrina á la traducción del latín al español. Un romo en 8.° por D. Francisco Lacueva. En esta ubrita se expone sucintamente te teoría de toda gra ¿róterio lo-que sigue: «Exorno Sr.: El comandante general interino del Este mática particular, ó los principios comunes á todas las lenguas. Por lo mismo, es su jne participa en oficio de 3 del actual que las facciones de aquel distrito dispe…</t>
  </si>
  <si>
    <t>En, Gamarra</t>
  </si>
  <si>
    <t>Gamarra En</t>
  </si>
  <si>
    <t>…' pífriá ;• en que él géñéral Gamarra sacrificó la divi hasta ser invitados t&gt;or el Gobierno, á pesar de que el 19 de Diciembre con sión del Noijo, .que órden legal j y que no podia favorecer Sus cluía la época constitucional del general Gamarra. En ñn la conducta de la auras; e»fl4f {uci¿i^¿,ÍraíC|ozr a sus debetes, se puso de acuerdó cóñ los ene convención nacional ha sido la admiración de tod$£ las personas sensatas tan migos ¡que 3ebü com&amp;afir^en'qite desplegó la intriga mas baja y la mas ver to nacionales como extrangeras. Si hubiera sido…</t>
  </si>
  <si>
    <t>En, Garrtübe</t>
  </si>
  <si>
    <t>Garrtübe En</t>
  </si>
  <si>
    <t>…laGuerra,Cámara conen uba‘modificaciónvista de ellas apruebapro dmó y que pasaban dos horas cada y mediit, íuO personas minuto, loque equivale i’ 129 por cada hora. Por fortuna reinaba el órdeái y'la decencia: rtiás puesta por el coronel Garrtübe. En seguida por 205 votos ^contra 58 aprueba ¡cuÍMo trabajo perdida entre actores y espectadores que ábandbnárbn' stas'lí- ' el toda de dldlOS capítulos , pór los Cuales se concede al ministerio de Guerra l%ci pita-hacer alarde de $U fuerza sin objeto conocido! En el pie en qifeés- un crédito extraordi…</t>
  </si>
  <si>
    <t>En, Gobernadora</t>
  </si>
  <si>
    <t>Gobernadora En</t>
  </si>
  <si>
    <t>…der que individuos del Gobierno habría que Los beneficios que la Nación disfruta bajo el régimen representativo son podrían decir , que por su parte daban gran muestra de desprendimiento en no emanados en gran parte de la augusta Reina Gobernadora. En su amor al bien acelerar su discusión estando muy interesados en su mejora y pago. Pero yo de los pueblos, en la vida de su excelsa Hija, se fundan las gratas aperanzas eres que al tratar de estas cuestiones, el ínteres de los Procuradores , sean Minis que concibe (le ver afianzadas algún dia sus l…</t>
  </si>
  <si>
    <t>…r escrupulosamente en la los gefe* de la* danza* y cuadrilla* que rodeaban el tablado eQ loor de nuestra párte que prohíbe reedificar las fortificaciones de Huninga; que varíen el acta de ínclita Soberana y de su excelsa Madre la Reina Gobernadora. En seguida la Confederación germánica en perjuicio de Francia; y en fin, que procuren de pronunció un discurso alusivo á la ceremonia eí benemérito regente letrado mil modos estorbar el engrandecimiento de esta. D. Antonio Alvarez Baragaña , que fue aplaudido unánimemente, v por su Se levanta la sesió…</t>
  </si>
  <si>
    <t>…sposa varias palomas blancas con cintas de color de isabeia, símbolo de la inocencia de nuestra joven Reina, y otras de azul Cristina en J^l Sr. Perfil $e opone a la propuesta del Sr, Leyraud, porque si bien quita: obsequio de 1a Reina Gobernadora. En seguida tres señoritas hijos de los se la facultad de pregonar folletos, deja la de distribuir, y no hace mención de ios ñores Ballesteros y Casa Valiente se presentaron en una carretela elegantemen emblemas y caricaturas que son- tanto ó mas peligrosos, y porque en ia pro- te adornada, y uña de el…</t>
  </si>
  <si>
    <t>En, Gobernadora Zaragoza de Abril</t>
  </si>
  <si>
    <t>Gobernadora Zaragoza de Abril En</t>
  </si>
  <si>
    <t>…ultan de ios incendios: en 8.°. á 4 rs. Se venden en comunico en este dia, siendo el mas digno modo de*"celebrar la víspera def fas librerías de Matute, Sánchez y Cuesta, y en la imprenta de Burgos. augusto cumpleaños de S. M. la Reina Gobernadora. Zaragoza 26 de Abril En virtud de providencia del Sr. de Norzagaray, teniente corregidor de esta villa, ie sacan £ pública subasta, por término de 30 dias, cuatro pedazos de tierra sitos en de 1834-=El capitán general, conde de Ezpeleta. termino del lugar de Caravanchel de Abajo, pertenecientes á los herederos de José Ca…</t>
  </si>
  <si>
    <t>En, Goblet</t>
  </si>
  <si>
    <t>Goblet En</t>
  </si>
  <si>
    <t>…iputados que han de com cios interinamente, y hasta que no se nombre un ministro plenipotenciario «n poner la comisión para redactar el proyecto de respuesta al discurso det trono. propiedad, que seguir te asegure deberá serlo el general Goblet. ____En una carta que acabamos de recibir de Viena con fecha 12 del cor ntsurnu. rióme se encuentra el jxjsagc siguiente: «Aqui no nos alarman los preparati vos de ia Rusia en el mar Negro: lo que ocupa ciertamente nuestra atención JAndres 2S de Diciembre. es el saber cuál será el resultado del congreso qu…</t>
  </si>
  <si>
    <t>En, Hace</t>
  </si>
  <si>
    <t>Hace En</t>
  </si>
  <si>
    <t>…ia á la nación ma- Y híspana fiel á su Isabel adora. ronita. Riza-etTendi ha sido nombrado director del tesoro, y Naf-ctfendi, que Y vos, oh Reina excelsa y Soberana, hasta ahora ha ocupado este destino, pasa á mayordomo del Gran Señor. Hace En cuyas manes tuestro augusto Esposo pocos dias-«pue ha llegado á Constantinopla Nathaniel Rothschild , hijo del Depositó el poder de su corona, cónsul austríaco en Londres* y e¡»to ha hecho correr la voz de un empréstito El astro luminoso por parte de la Puerta. En Constantinopla se cree que la paz…</t>
  </si>
  <si>
    <t>En, Ijoña</t>
  </si>
  <si>
    <t>Ijoña En</t>
  </si>
  <si>
    <t>…lá tario, y la mitad para el fbndíj destinado al exterminio de anímate* comisión; y oido-elalictámen del Consejo de Gobierno y del de Mi dañinos de que sé hablará eivel tirulo 41 nistréis, en.nombre de mi muy cara y amada Hija la Reina Ijoña 14. En los montes v baldías que no pertenezcan á propios, po— Isunr. ir;'he venido en resolver y mandar se guarden y cumplan driáw cazar tos vecinos del pueblo respectivo, con sujeción á las'té— las disposiciones siguientes: irlas V restricciones establecidas en este lírulo. Las justicias pudran dar Iieerteia…</t>
  </si>
  <si>
    <t>En, Infante D Francisco</t>
  </si>
  <si>
    <t>Infante D Francisco En</t>
  </si>
  <si>
    <t>…; pero en estas votaciones no serán válidos los votos que se salud. dieren á los que no ilayan reunido diez por lo menos en la votación Del mismo beneficio disfrutan SS. AA. la Serma. Señora In anterior.fanta Doña Mana Luisa y el Sr. Infante D. Francisco. En cualquier caso de la votación en que resulte empate, decidirá De Real ónlen lo participo á V. E. para su satisfacción y efec la suerte.tos oportunos. Dios guarde á V. E. muchos años. San Ildefonso 19 de Art. 7? Luego que se haya nombrado dicha Comisión, mandará Julio de 1834. = Nicolás María Garell…</t>
  </si>
  <si>
    <t>En, Javier de Burgos</t>
  </si>
  <si>
    <t>Javier de Burgos En</t>
  </si>
  <si>
    <t>…IimiintozreEstá rubricado de la Real nnm—t» Pa que concluya el tiempo de la contrata, si antes no se encontrase modo de tran sigir, de acuerdo recíproco, sobre las condiciones ó plazos estipulados. lacio á SO de Enero de 1834*=aA D. Javier de Burgos. En los pueblos en donde se paguen las contribuciones ó se cubras otras necesidades locales con el producto de los puestos públicos, ó sea del estanco de Deseando remover cuantos obstáculos se opusieron basta ahora al fomento algunos artículos de abastos, no se hará novedad por ahora; pero deberán cony pro…</t>
  </si>
  <si>
    <t>En, Joaquín González Nieto Ifota</t>
  </si>
  <si>
    <t>Joaquín González Nieto Ifota En</t>
  </si>
  <si>
    <t>…da. nirá mañana el Estamento, y lo verificará el viernes á las diez para discutir Córdoba. ee D. Domingo Cañaveral. las peticiones que están señaladas. Ciérrase la sesión.” Se levantó esta á las 4* Soria, rr D. Luis San Clemente. D. Joaquín González Nieto. Ifota. En la sesión de 24 del actual, colum. 17. lío. 5, dice declarada léase des Sevilla. =e D. Antonio Scoane. echadJ. . » t / - • ' . / :a /• ., : ? • ■ • ÍN IA IMPRENTA REAL.</t>
  </si>
  <si>
    <t>En, Joaquín Moscoso</t>
  </si>
  <si>
    <t>Joaquín Moscoso En</t>
  </si>
  <si>
    <t>…6............ .... 500.......................... ......... .. Idem. teniente coronel D. Tomás Alonso, y el que tenia á sus órdenes á los subte nientes D. Salvador Vital, propuesto ya para teniente y ejerciendo funciones de tal, y D. Joaquín Moscoso. En la sección que quedó conmigo en el centro, compuesta de mis cazadores y algunos fusileros, venían el capitán D. Mateo bolsa de hoy á las tres de la tarde. comercio.deEFECTOS PUBLICOS. José Cepeda, el subteniente D. Fernando Ferran y el teniente D. Ramón Frías en clase de ayudante mió. Los 20 cazadores…</t>
  </si>
  <si>
    <t>En, JoaquínuFleix-o</t>
  </si>
  <si>
    <t>JoaquínuFleix-o En</t>
  </si>
  <si>
    <t>…de;l*-pieyri, y trastor- FKOVtMCM. SK lillDA. , .^I^ra'arateMTq^í^d^^’de tiouadrupía.alianx* dc^í la,Francia sola i- i, ; "9ri Ch Rabifeñ de Cácar, póf 'ñóabniñdád de veteé, demostrar príi-.;~ . ..Kf'r.usoi :■ i’,3 cojc..o.rSaSr. D. JoaquínuFleix-o 1 En- ‘ enatenrft’J^6&lt;jÜFéáé1trl^tófTÍ«t!HSÍiafe¿araloé ÚAbtta-á^rtiadPatenciáis’menesteé«5ióiM¿S«ÍtiKdadx!é 'Mrafcjjr#*, ■ MovrvctA teca. et •Fq dd . toaees Wn^birempfi,yv»jaWMk(e- eqtonq^fq^tqti.pfect^ ftmóíarcoajo én ' "E4céna;ÍtPD.foa4M»rft: Meaétbsó'* Altamit», , los dittvde, huestrá' pctmerti^véolu…</t>
  </si>
  <si>
    <t>En, José</t>
  </si>
  <si>
    <t>José En</t>
  </si>
  <si>
    <t>…ño anterior SO de los úl la de Albaida á D. Miguel Falcon Abellan : para la de Alniendra- timos acabaron sus cursos, y se retiraron sin exigir diplomas; 87los recibieron. lejo á D. José Galvez Cañero: para la del Barco de Avila á D. José En la universidad de Cassan hay 209 profesores y empleados, y el mismo número de estudiantes. En la universidad de Dorpat hay 67 profesores y em María Parejo: para la de Pontevedra á D. Juan Torrecilla de Ro pleados , y 539 estudiantes. En la época de la presentación del presupuesto , la bles: para la de…</t>
  </si>
  <si>
    <t>En, José Francisco Goyeneche</t>
  </si>
  <si>
    <t>José Francisco Goyeneche En</t>
  </si>
  <si>
    <t>…elcz , la deshizo, cogió fusiles y otros efectos, y En la 3.a.................................................. Sr. D. Manuel de la Torre y RaurL mató 7 facciosos. Eh la 4.a.................................................... Sr. D. José Francisco Goyeneche. En la 5.a.................................................. Sr. D Miguel Nájera. El capitán general de Extremadura trasladando el parte que le comunica el En la ó.a.................................................. Sr. D. Manuel Alonso Viacto. corregidor subdelegado de policía de Trujillo con fecha del 1…</t>
  </si>
  <si>
    <t>En, José María Mostoso de Altamira</t>
  </si>
  <si>
    <t>José María Mostoso de Altamira En</t>
  </si>
  <si>
    <t>…réislo entendido, y dispondréis su cumpli- tica, será tenido por enemigo del pacto social, y como tal será juzgado por miento.=Está rubricado de la Real mano.=Én el Pardo á 11 de No las autoridades respectivas. viembre de 1834.=A D. José María Mostoso de Altamira. 5. ° En el inesperado caso que los enemigos de la religión asaren atentar de palabra, por escrito ó de otra forma contra este pronunciamiento, los cunduacanecos ofrecen escarmentarlos, hacer respetar la constitución, y la auto Habiendo vacado el ¡mbierno civil de la provincia de Corana ridad del esclarecid…</t>
  </si>
  <si>
    <t>En, José Orozco</t>
  </si>
  <si>
    <t>José Orozco En</t>
  </si>
  <si>
    <t>…y cargándolos siempre á la bayoneta á la InserípcioUes eo el gran libro á 4 P* 100, 5^ á.VaríA *fs, ó vol., Títulos al portador áel .4 p- 100, ííi, -f, 5Ó, T5|s *5ñ, é* é* 4^ f ♦ íyék vofc-de vriri ¡a Rjejm de su valiente coronel D. José -Orozco-. En esto y por fechas, vol. y firme' 56|, |, y $7 a vatíds fs., Voi. .y *firme4 prkn*¡dti1, ‘l'éy nuestra retaguardia rompió,«l fuego sobre la reserva otra fuerza, que fue con por 100. . *; , ; tenida por el Príticipe,'3.° de linea, dirigido diestramente por su coronel, el Vales Reales ao'cqasólidadós,…</t>
  </si>
  <si>
    <t>En, José Sagrista y Don</t>
  </si>
  <si>
    <t>José Sagrista y Don En</t>
  </si>
  <si>
    <t>…rio, en los términos de la misma compañía sin limitación, intervención, ni restricción que los disfrutan los vecinos de los pueblos, con arreglo á sus leyea alguna. y ordenanzas municipales. Art. 50. D. Antonio Gassó y Calafell. D. José Sagrista y Don En igual conformidad tendrá derecho al uso y aprovechamiento Narciso Mercader, quedan autorizado*; 1.’ Para otorgar la contrata &lt;|e pastos en las dehesas, montes, prados y egidos para las bestias de social con los pactos que tengan por conveniente, la cual mandarán carga , tiro y silla que emplee en l…</t>
  </si>
  <si>
    <t>En, José Tomas</t>
  </si>
  <si>
    <t>José Tomas En</t>
  </si>
  <si>
    <t>…a, y á-, numentola izquierda la España, apoyándose sobre ella', parecía sumergida en la mayor , La planta primera del catafalco era un polígono de ló lados, de los cuales aflicción: toda la escultura mencionada está ejecutada por D. José Tomas. En 3 en cada uno de sus cuatro frentes formaban partes salientes; y sobre toda ella los cuatro extremos del catafalco se cofocaron los reyes de’ armas f Tefe mace- se elevaba el primer cuerdo ó iócijp imltadop granito:’este , asijhamo el todo ros, y en sujj; remediros lugares ios Reales guardias alaba…</t>
  </si>
  <si>
    <t>En, José Vidal</t>
  </si>
  <si>
    <t>José Vidal En</t>
  </si>
  <si>
    <t>…ulos que considero contrarios al espíritu del citado Real decreto, y del arca de expósitos, y 14291 rs. 16 mrs. que le adelantó el canónigo peni aunque tengo ya prevenido lo necesario para la formación de nuevas ordenan tenciario D. José Vidal. En vista de todo esto voy i ocuparme en examinar zas , voy á fijar un término, dentro del cual deban presentármelas para su de los medios de mejorar este útil establecimiento, y ponerlo en estado de qua bido eximen. llene cumplidamente tu piadoso objeto. En mi parte mensual correspondiente á Abril, ma…</t>
  </si>
  <si>
    <t>En, Juan Camps y Soler</t>
  </si>
  <si>
    <t>Juan Camps y Soler En</t>
  </si>
  <si>
    <t>…ráneo) ............... 21 Idem (Océano)......... ........................................ 32 ISLAS SALEASES. Sr. D. Luis de S. Simón y Orlandis. Total......................................... 158 Svr D. Pedro Canals y Mayol. Sr. D. Juan Camps y Soler. En el periódico de Tolosa, titulado la Francia meridional, del 28 de Julio, se lee lo siguiente: » Habiéndosele admitido su dimisión al general Vinot, comandante del departamento de los Pirineos orientales, ha partido el 16 de Suscripción mandada establecer por Real ir den de l.° del actual para socor…</t>
  </si>
  <si>
    <t>En, Loewenhilen y del Príncipe Mentschekoff</t>
  </si>
  <si>
    <t>Loewenhilen y del Príncipe Mentschekoff En</t>
  </si>
  <si>
    <t>…linas que el dia 4 del corriente se ha instalado la uni ción geográfica, como pof lo que se puede inferir de las recientes misiones á versidad católica, y que esta solemnidad había atraído á varios extrangeros, S. Peteisburgo del conde Loewenhilen y del Príncipe Mentschekoff. En. el dia entrf los cuáles se1 contaban el conde H. de Mérode y el de Robiano. . la cuestión de paz ó de guerra depende de la neutralidad de la Suecia, ó. de su ' La ceremonia empezó i las diez dé la mañana en la metrópolis de San declaración á favor de alguno de los sistemas políticos que dominan en…</t>
  </si>
  <si>
    <t>En, Luís López Ballesteros</t>
  </si>
  <si>
    <t>Luís López Ballesteros En</t>
  </si>
  <si>
    <t>…s secretaria de Estado y del Despacho Je la Guerra. la memoria que se le presentó por mano de su Secretario de Estado y deLJDcsEl comandante general de las provincias Vascongadas con (echa de 28 de pacho de Hacienda el Excmo. Sr. D. Luís López Ballesteros.. En ella se mani Noviembre participa, que habiendo hecho una salida el comandante de armas festaba el estado de la obra y lo que se tardaría &gt;n concluirla, siempre que las de Treviño el día anterior, con'el objeto de sorprender a los aduaneros, tro autoridades de Gálicta^, Astúriap y reino dé León se e…</t>
  </si>
  <si>
    <t>En, Manuel</t>
  </si>
  <si>
    <t>Manuel En</t>
  </si>
  <si>
    <t>…a; conde de Cuba, te niente general de los Reales ejércitos, decano de la sección de Guer REALES DECRETOS. ra del Consejo Real; D. Pascual Enrile , teniente general de lo* Reales ejércitos, capitán general de las islas Filipinas; D. Manuel En virtud de la prerogstiva que Me compete como Reija Go Llauder, teniente general de los Reales ejércitos, y capitán general bernadora , durante la menor edad de Mi excelsa Hija Doña Isabel ii, de Cataluña; marques del Ráfol; conde de Priegue; D. Gaspar de y con arreglo á lo que se previene en el tít…</t>
  </si>
  <si>
    <t>En, Manuel Llau</t>
  </si>
  <si>
    <t>Manuel Llau En</t>
  </si>
  <si>
    <t>…conciliar la opinión de ambos De conformidad con el dictámcn de la comisión de cxámen de títulos y Estamentos acerca del proyecto de ley relativo á la deuda extrangera. documentos, se acordó la admisión definitiva del Excmo. Sr. D. Manuel Llau- \ En seguida el Sr. Secretario González subió á la tribuna y leyó las actas der, marques dd Valle de Rjvas, mediante á haber bailado conforme su nom dé las dos sesiones de dicha comisión. (Véase la sesión deTróceres de hoy.) bramiento de Procer. Concluida esta lectura tomó la palabra, como individuo de…</t>
  </si>
  <si>
    <t>En, Mayer</t>
  </si>
  <si>
    <t>Mayer En</t>
  </si>
  <si>
    <t>…os; y es de suma urgencia bus violencia increíble. _ , car un asilo para los presos. (Mensajero.) •■Se ocupa con mucha actividad nuestro Gobierno en la organización del regimiento de Spahis,cuyo mando ha sido confiado al teniente coronel Mayer. ____ En medió-de la inclinación general que se observa en nuestros comer El escuadrón árabe actual formará parte de dicho cuerpo; pero se harán mu ciantes á las especulaciones de la bolsa, no podemos menos de elogiar el celo chas modificaciones en su uniforme y en su armamento. Se adoptarán exclu con que a…</t>
  </si>
  <si>
    <t>En, Medrana'</t>
  </si>
  <si>
    <t>Medrana' En</t>
  </si>
  <si>
    <t>…e derramase so particulares.” &lt; bre todos ellos y sobre cada uno en particular ese lleno de luz; i qué los re Para apoyarla, y como autor de ella dijo visasen cien ojos; á que, como otro Argos, no se dejase escapar nada sin el El Sr. Medrana'. «En el mero hecho de haber consentido el Estamento mas riguroso exámen. que los presupuestos se pasasen separadamente á las respectivas comisiones,-ya «No se opuso pues el Gobierno á la marcha que vió prefería el Estamen se comprometió, digámoslo asi, á seguir también este órdep en su discusión, to, po…</t>
  </si>
  <si>
    <t>En, Medranoi</t>
  </si>
  <si>
    <t>Medranoi En</t>
  </si>
  <si>
    <t>…erlo asi: pero tificar sus rentas, es una prueba de que no se le consideraba reprobado. Los qua tía embargo, lo presenta á la decisión del Estamento. estamos en el Estamento no sabíamos que íbamos á ser elegidos; de consiguien El Sr. Medranoi En ampliación de lo que ha manifestado mi compañe te no teníamos todos reunidos los documentos que acreditasen nuestras rentas. ro, diré que la cuestión que á la comisión se le ha presentado es si la calidad El Srj Palarea manifestó desde luego que estaba en posesión de una parte de ía adquirida con p…</t>
  </si>
  <si>
    <t>En, Mentschekoff</t>
  </si>
  <si>
    <t>Mentschekoff En</t>
  </si>
  <si>
    <t>…orriente se ha instalado la uni ción geográfica, como pof lo que se puede inferir de las recientes misiones á versidad católica, y que esta solemnidad había atraído á varios extrangeros, S. Peteisburgo del conde Loewenhilen y del Príncipe Mentschekoff. En. el dia entrf los cuáles se1 contaban el conde H. de Mérode y el de Robiano. . la cuestión de paz ó de guerra depende de la neutralidad de la Suecia, ó. de su ' La ceremonia empezó i las diez dé la mañana en la metrópolis de San declaración á favor de alguno de los sistemas políticos que dominan en…</t>
  </si>
  <si>
    <t>En, Mota</t>
  </si>
  <si>
    <t>Mota En</t>
  </si>
  <si>
    <t>…ballería, de los cíales debo doz................ .. 10 ídem.............. 42 00 2 hacer el elogio que se merecen , y aunque todo» se disputaban la glotia, reco miendo á V. S muy particularmente á D. Rufino Bellide de Quistnundo,- Don Mota* En el pueblo de Estremer* va desapareciendo la enfermedad, ha Francisco Campa , Leonardo Aguado y Sebastian Vcnalle» de Nobes, y i Don biendo cesado dei todo en Arganda del Rey. Luis Rodríguez, comandante de los del Val de Santo Domingo, y de mi bi zarra tropa; recomiendo á V.S. al sargento2.° Andrés…</t>
  </si>
  <si>
    <t>En, Nicolás María Gareliy</t>
  </si>
  <si>
    <t>Nicolás María Gareliy En</t>
  </si>
  <si>
    <t>…; y fiara secretario á D. José Alcántara Navarro, que lo es de la patriarcal. Tehdréislo entendido, y lo co municareis á quien corresponda. = Está rubricado de la Real mano.— REALES DECRETOS. En Aranjuez á 22 de Abril de 1834.= A D. Nicolás María Gareliy. En medio de las atenciones que me rodean para afianzar el Tro no de mi excelsa Hija contra la resistencia abierta y los ocultos ma INSTRUCCION, nejos de los desleales y perjuros que han fraguado el temerario y criminal plan de socavarle; y para que, llegando á la mayor edad, 1. La junta eclesiástica,…</t>
  </si>
  <si>
    <t>En, NOTICIAS EXTRANGERAS AUSTRIA</t>
  </si>
  <si>
    <t>NOTICIAS EXTRANGERAS AUSTRIA En</t>
  </si>
  <si>
    <t>…e V. M.^Francisco Joscf de la Ma* [ta, prior.—Josef^pd^ádol, cpi€»il.==¿&lt;^e.f MSrí^ dq N3¡rzagaray , cónsul.=Ce- PARTE NO OFICIAL. llestino del Baycí,vcxmscf sustitutó»=:VScetité*cíe Ansotegui, cónsul sustitutos ¡Mariano de Olea, secretario. NOTICIAS EXTRANGERAS. AUSTRIA. En semejantes términos han felicitado á S. M. A.bacetc. (el ayuntamiento de) Viena 15 de Diciembre. Alcaudete. (el ayuntamiento y comandante de armas de) La Gaceta de Augsburgo, refiriéndose á cartas de Inglaterra del 2 del Alhama la Seca, (el ayuntamiento de) actual, dice: S. M. Británica ha dado ord…</t>
  </si>
  <si>
    <t>En, Observación</t>
  </si>
  <si>
    <t>Observación En</t>
  </si>
  <si>
    <t>…................. 5 7 ' 6 18.. Sevilla par. (Cádiz b. í 00. París 25 id.................... 10 9 5 24. Amsterdam, Valencia par á 4 b. * Corulla d. Alicante á corto pla | Bayona, 00. Burdeos $ 00* zo par. Granada i| id. Zaragoza $ d. Observación. En el número de fallecidos están inclusos lo» de lo» hospi- Hambnrgo, 00. Barcelona i pesos fs. Málaga $ b. Descuento de tetras 1 par* Santander á 4 p. 100 al alio. ] | b. d» Santiago 1 | tales y los de toda clase de enfermedades. ¿¿adres á 9* dias' Bilbao par. Junta.provincial1 de Málaga.—Excmo. Sr.:…</t>
  </si>
  <si>
    <t>En, Paltireat</t>
  </si>
  <si>
    <t>Paltireat En</t>
  </si>
  <si>
    <t>…, y tan grandes, que ellas ción de l.&lt;55ü© rs., que es la dotación de ios Infantes de España: su augusta mismas les han aproximado mas y mas al trono.” Esposa , en virtud del art. 7.° de sus capitulaciones matrimoniales , goza hl Sr. Paltireat «En la materia que discutimos considero como un de ÓOu© rs. para los gastos de su Cámara Estas dos cantidades, que juntas forman ber nuestro manifestar cierto desprendimiento, cierta genero&gt;idad, que no sen 2.250©,!*., no pueden sufrir disminución, ni pueden ser impugnadas por la comi taría b«en en otras…</t>
  </si>
  <si>
    <t>En, Pedro</t>
  </si>
  <si>
    <t>Pedro En</t>
  </si>
  <si>
    <t>…que están sujetas á contribucioa -de frutos cirií^ mentó, en que manifestaba que en virtud de la licencia temporal concedida de fincas urbanas ó de cantidades jnetáitcas. St. conde “de Adanero, había nombrado por su decano ai Sr. D. Pedro «En este supuesto, ¿en qué se había de apoyar la comisión con arreglo á Fuster. lo dispuesto por la ley para aprobar el documento presentado por el Sr. Don La misma comisión dió cuenta de haber examinado los documentos de la Agustín Argiielles? A poco que se reflexione, se verá que no hay fundamento ap…</t>
  </si>
  <si>
    <t>En, Por</t>
  </si>
  <si>
    <t>Por En</t>
  </si>
  <si>
    <t>…ta de Carnicer, vagaban por algunos distritos con el fin de buscar apo Es copia.=Ezpelcta. yo en los desleales á quienes había alentado la invasión de este cabecilla. Segunda columna de operaciones del ejército de Aragón.r^Fxcmo. Sr.: Por En la parte de la montaña se había reunido al Rós de Eróles una fuerza no hacer demasiado extenso el parte que dirijo á V. E, , no me he detenido en de 250 hombres, reducidos á no poder $alir delas^guaridas que les ofrecen las recomendarle en particular lo* sugetos que mas se han distinguido ; pero los h…</t>
  </si>
  <si>
    <t>En, Presidente</t>
  </si>
  <si>
    <t>Presidente En</t>
  </si>
  <si>
    <t>…no con otro, y en su consecuencia ra, habla en, las demas secciones muchos militares, que constituían casi la cuar dictar la decisión mas conforme. ta parte de dicho Consejo; y que en la carrera diplomática, tan distante de la El Sr. Presidente ■■ »En virtud do la decisión que el Estamento tomó profesión militar, había mas de 20 empleados militares: »y por mi parte debo ayer en uno de los asuntos mas arduo* que pueden ocurrirle, y resultando de decir (añadió el orador), que habiendo provisto en mi tiempo seis ó siete con la votación solamente 12…</t>
  </si>
  <si>
    <t>En, Presidente'</t>
  </si>
  <si>
    <t>Presidente' En</t>
  </si>
  <si>
    <t>…recurrir en otro caso á expresarme con toda amplitud, aprobado el párrafo del proyecto del Gobierno, que asigna á S. M. la Reina y sin mas miramientos.” Gobernadora 12.000,000, rs., por 115 votoscontra 14, siendo 129 el total El Sr. Presidente'. «En la sesión de ayer no oí ninguna expresión que de Sres. Procuradores presentes. ____ __ pudiese ofender la persona de ningún Sr. Procurador, pues en el caso de ha Señores que aprobaron: Otaru, Cano Manuel, Rodríguez Vera, Abar berla oido, hubiera tomado las medidas convenientes. Sí el Sr. Ministro de g…</t>
  </si>
  <si>
    <t>En, Psdm</t>
  </si>
  <si>
    <t>Psdm En</t>
  </si>
  <si>
    <t>…es arengas. -El 'Moming Ckzpntch cuenta la siguiente anécdota que le' ha sido cttmu— (Continuación del correo anterior.) níesda por pajonas fidedignas, r cjue prueba hasta, i^ue punto ha &amp;*do cruel para el, Portugal la pendida de D. Psdm. «En una conveísacicrn c|«e tura D. Pedm enn uiirh *der suí tnedtcfn, le Petersburgo 20 de Setiembre; preguntó si tenia hyo&amp; Habiéndole re^ponditk d medw^ ^ue era padre de unx familia numerosa, respondí*» O. Pedro eirefa- «Pue* erAonce» ante todas El día de fa inauguración dé la columna de Alejandro Con…</t>
  </si>
  <si>
    <t>En, Repartidores</t>
  </si>
  <si>
    <t>Repartidores En</t>
  </si>
  <si>
    <t>…de co en la cama, aunque sip ninguna otra novedad Lasgentes sin embargo permane municación interior, y lijo ah pie el prospecto circunstanciado de este pian. cieron varias horas delante de su casa, dando vivas á la Reina nuestra Señora Repartidores. En cada barrio habrá un repartidor, ó mas si conviniese y al general Mina; y las músicas, que altemabair'con himnos patrióticos, hicie para la pronta distribución de las esquelas, los cuales percibirán un cuarto de ron el júbilo completo. Es imponderable la impresión que ha causado la venida los suget…</t>
  </si>
  <si>
    <t>En, Reuterschoeld</t>
  </si>
  <si>
    <t>Reuterschoeld En</t>
  </si>
  <si>
    <t>…a guerra. suIza. . Según ios partes oficiales han caído enfermas del cólera en esta ciudad 584$ Zurich 27 Je Setiembre, personas. El presidente de la Cámara de Hacienda, barón Kurk, ha muerto, como también el mariscal dé la corte barón Reuterschoeld. En el mismo pa El Mensagero de Waldstetten publica la siguiente nota del barón de lacio han fallecido el maestro de"ceremonias del Rey y un criado del Prínci Hertling, residente de S. M. el Rey de Baviera cerca de la Confederación pe Real. En el órden de la nobleza ha hecho el Sr. Siíwerhjelm una prop…</t>
  </si>
  <si>
    <t>En, Rodil AN UNCIOS</t>
  </si>
  <si>
    <t>Rodil AN UNCIOS En</t>
  </si>
  <si>
    <t>…ntiago,Santander,j ¿d.b. a 4 P* 100 al año. de desde aquelpueblos y Ba punto comunicación , y colocándolos á Oiirenzi dajoz, facilitando por este medio mas rapidez en las relaciones con V. E. , las autoridades de Extremadura y el general Rodil. AN UNCIOS. En mi anterior parte ofrecí recomendará V. F.. el distinguido mérito que han contraído los gefes, oficiales y empleados á mis inmediatas órdenes en i as Rea! Convocatoria para la celebración de las Córtes generales del Reino, con las operaciones que ha ejecutarlo esta brigada en PortTig.il ; y sin ser…</t>
  </si>
  <si>
    <t>En, Sicretario del Despacho de Estado</t>
  </si>
  <si>
    <t>Sicretario del Despacho de Estado En</t>
  </si>
  <si>
    <t>…el ¿&gt;r. D. Alvaro de Na*ia Ox&gt;rio. La' misma resolución recayó sobre un oficio de D. José Dionisio de Ha- Concluido este acto, tomo lj palabra y dijo - ro, electo Procurador por la Coruña, dirigido al gobernador civil de aque El Sr. Sicretario del Despacho de Estado -. "En el discurso que pare la lla provincia, manifestando que por sais enfermedades se ve precisado i renun apertura de las Corles pronunció S. M., indicó á ambos Estamentos v;e una da ciar su encargo. Us materias mas graves, mas urgeotes y de mas importancia , era el hacer pre El Sr. Secretario Belda di…</t>
  </si>
  <si>
    <t>En, Tascker</t>
  </si>
  <si>
    <t>Tascker En</t>
  </si>
  <si>
    <t>…las condiciones dé su echada por una gran mayoría» *ftmdsdfoh.” Esta modificación es apoyada por su autor, y atacada por M. Jac- Se levanta la sesión á las -seis y media. Continuará la discusión el dia siqflürtimoJ:1 guiente* F.l conde Tascker ■- ”En un pueblo que ha variado nueve veces de gobierno en el espacio de JO años; cuando se vé semejante movilidad en los hábitos é ____ Mal puede acomodamos ¿nosotros, hombres del siglo Xix, abandonatinstituciones, lo que se necesita antes de todo es la estabilidad. Se ha hablado nuestras casas, nuestras…</t>
  </si>
  <si>
    <t>En, Toledó</t>
  </si>
  <si>
    <t>Toledó En</t>
  </si>
  <si>
    <t>…oza, para donde mar siguiente continuó su fuga pasando por los pueblos de (Rastrilló, chaban en el mayor órden, -manifestando' deseos de empuñar Us Urueñás, Havares y Encinas." armas en defensa de los derechos de la RuntA nuestra Señora. \ . , - , Toledó 10. En el depósito habiah entrado 4^1 quintos, y en . Posteriormente y con (echa 12 del propio mes anuncia el Ex toda la semana lo ejecutarían los restarités'«Je la provincia? " ' celentísimo Sr. mayordomo mayor de S. M., según lo que le co Valencia 8. Sé habia hecho la quintaren esta con órden y tran mun…</t>
  </si>
  <si>
    <t>En, Torres Solanot</t>
  </si>
  <si>
    <t>Torres Solanot En</t>
  </si>
  <si>
    <t>…art. 2.a del proyecto del Gobierno y el del dictámen de la ba de heredarme! ¡y ios bienes de la muger han de ir á.sfi sobrino i «yel ma comisión. , j rido, que los ha conservado, solo tendrá una pequeña parte de gananciales! Y El Sr. Torres Solanot- «En atención á que.la variación hecha por la co ni aun esto-hasta poco tiempo hace &gt;e observaba en el reino de Cócdoba. Yo misión al art. 2.a ha sido admitida por el Sr. Secretario de Gracia y Justicia, seguramente, si me casáta con tina rica, y no tuviera sucesión'; no harta.mas desearía saber si habr…</t>
  </si>
  <si>
    <t>Encélen, Baldomero Espartero</t>
  </si>
  <si>
    <t>Baldomero Espartero Encélen</t>
  </si>
  <si>
    <t>…itorios de Bellinzone y Locarno, que tantb pa daré á V. E. el oportuno aviso. Dios guarde á V. E. muchos años.=Mundecieron en el año de 1829, jno han sido mas dichosos en el presente. Los tor- guía 16 de Setiembre de 1834-—Excmo. Sr.=Baldomero Espartero.—Encélen— ar que se presentaba excelente, lísimo Sr. Secretario de Estado y del Despacho de la Guerra. ___ ____ asi como la de forre ¡es. El agua ha arrasado campiñas enteras, y han perecido dos personas. Los caminos cantonales están muy maltratados, y las inmedia . El capitán general de Castilla la Vieja r…</t>
  </si>
  <si>
    <t>Encobar, Francisco de Paula</t>
  </si>
  <si>
    <t>Francisco de Paula Encobar</t>
  </si>
  <si>
    <t>…P. Ma venia á retaguardia observando los movimientos del enemigo no creí conve nuel labro, P. Juan Cíñate», D. Jo&gt;e Ramón Mackena, D. Joaqirfn Alon niente abandonar aquel punto en tales circunstancias, y mandé ai general Mos so, D. Francisco de Paula Encobar, D. Antonio Moraüues, D. Anselmo Blastoso, de U plana mayor, que pasase' á vanguardia y eligiese la primera ser, D. Antonio Bciuii y D. Manuel Pavía, avadante de órdenes del barón &lt;ft posición ventajosa que se presentase á la salida del bosque; con este objeto se Meer. Igual honorífica mención debo…</t>
  </si>
  <si>
    <t>Enfermos, D Luis</t>
  </si>
  <si>
    <t>D Luis Enfermos</t>
  </si>
  <si>
    <t>…gobernador civil de esta provin Parte sanitario de Vallecas en el dia 9 de Julio de 1834r cia , dicen cón fecha 4 del presente , que iba á menos la enfermedad que aHigia ^1,vecindario.de Viliamarün: que b^bia llegado á Olvera el profesor D. Luis Enfermos existentes ayer 8,26. del Valle /que asistía con esmero á los enfermos y trataba el mal con bastante Idem nuevos de hoy ,3. destreza, haciendo uso en abundancia de la nieve , y proscribiendo el del aceite, Muertos ,2. - ,que había producido funestos resultados, hallándose la mayor parte de los en C…</t>
  </si>
  <si>
    <t>Enfermos, D Manuel Sánchez Toscano Pueblos Dia</t>
  </si>
  <si>
    <t>D Manuel Sánchez Toscano Pueblos Dia Enfermos</t>
  </si>
  <si>
    <t>…Ampuero, Orejo y Bosque antiguo, con grave recelo de que sucediese lo mismo ti valle ELECCION DE PROCURADORES DEL REINO. de Camcdo: acompaña el siguiente ,? PROVINCIA DE CÓRDOBA. Parte sanitario. . Sr. D. Rodrigo María Cañaveral. Sr. D. Manuel Sánchez Toscano. Pueblos. Dia«# Enfermos. Corados. Fallecida. Partes recibidos en la secretaria de listado y del Despacho de Ja Qüerra. Santander.. .. 3 á 9 de Octubre El capitán general de Castilla la Nueva con fecha dc 6 del actual remite inclusive......... No consta. No consta. 296 ¿ este ministerio un parte que le traslada el comandant…</t>
  </si>
  <si>
    <t>Enfermos, Francisca Alvarez de Castro</t>
  </si>
  <si>
    <t>Francisca Alvarez de Castro Enfermos</t>
  </si>
  <si>
    <t>…ra de aritmética y geometría práctica de dicha capital. Ha admitido en favor de la junta de Caridad el ofrecimiento de varios Enfermos existentes ayer 29. Hombres 4* Mugeres 7: Niño* 3. créditos hechos por los 'testamentarios: de Doña Francisca Alvarez de Castro. Enfermos nuevos hoy 30. Hombres Q: Mugeres 4: Niños 1. ' Va á salir el arquitecto de aquella capital para dirigir lq importante repa Muertos. Mugeres 1. ración del puente de Ullan sobre el Duero, cuyo coste ascenderá á 21,520 rs. Curados 00. ’ Habiendo aprobado la dirección gen'eral de Correos las medidas q…</t>
  </si>
  <si>
    <t>Enfermos, Luis</t>
  </si>
  <si>
    <t>Luis Enfermos</t>
  </si>
  <si>
    <t>…or civil de esta provin Parte sanitario de Vallecas en el dia 9 de Julio de 1834r cia , dicen cón fecha 4 del presente , que iba á menos la enfermedad que aHigia ^1,vecindario.de Viliamarün: que b^bia llegado á Olvera el profesor D. Luis Enfermos existentes ayer 8,26. del Valle /que asistía con esmero á los enfermos y trataba el mal con bastante Idem nuevos de hoy ,3. destreza, haciendo uso en abundancia de la nieve , y proscribiendo el del aceite, Muertos ,2. - ,que había producido funestos resultados, hallándose la mayor parte de los en C…</t>
  </si>
  <si>
    <t>England</t>
  </si>
  <si>
    <t>…meza en cumplir la obligación que aqui he jurado.” &lt;[Objerver.) La derrota del ejército á que V. E. lima, pertenece, y la próxima extin ción de los restos que vagan por esta provincia, sin que desde la derecha del ____ El célebre doctor England, obispo de Charleston, ha sido nombrado car Tajo hasta la izquierda del Miño haya un pueblo ni habitante que no obedez denal de la iglesia romana. Este es el primer irlandés i quien los papas han con can al gobierno de dicha augusta,Soberana, son motivos poderosos para qúa cedido esta dignidad. apr…</t>
  </si>
  <si>
    <t>Enguída, José López</t>
  </si>
  <si>
    <t>José López Enguída</t>
  </si>
  <si>
    <t>…siguientes: 524u olmos, Ofema i O. Luis Martínez Laviesca: para el corregimiento de Ecija á D. An- 8U álamos, 5u fresnos, 15U acacias, 300 chopos lombardos y 3o nogales. Entre tonio ftlños: para la alcaldía mayor de San Felipe á D. José López Enguída- los olmos expresados hay 13 de superior calidad,que se venderán á 3 rs. y no«: jara la de ViHamartin de Va.ldeorras á D. Manuel Criado Ferrer: para 17 mrs. cada uno; los álamos, fresnos y acacias a 3 rs.; los demas olmos la de Celanov* i D. Antonio Arias Qniroga: para la de Alberique á D. An se venderá…</t>
  </si>
  <si>
    <t>Enguídanos, Benito López</t>
  </si>
  <si>
    <t>Benito López Enguídanos</t>
  </si>
  <si>
    <t>…cho reglamentó, proponiendo las adiciones ó modificaciones que la cial segundo de la contaduría de igual clase de Albacete, vacante por promo experiencia dé á conocer como necesarias. ción á oficial primero de D. Cipriano Saiz, á D. Benito López Enguídanos, cesante de la contaduría de Valencia! la de oficial primero de ia contaduría, de La compañía oómica. de Sevilla solicitó que por los fondos municipales se Cuenca, vacante por fallecimiento de D. Pedro Gómez Zamora, á D. Igna pagase alguna paTte de la deuda que contrajo durante,la suspensión de fun…</t>
  </si>
  <si>
    <t>Enouf</t>
  </si>
  <si>
    <t>…resenta una ley cuyo objeto es suprimir unos fo camara de ios diputados__ Sesión del dia 12. cos permanentes de conspiración , los partidarios de estas asociacio nes atacan en vez de defenderse, y el gobierno se ve precisado í El Sr. Enouf lee un informe acerca del proyecto de ley relati disculparse porque no se ha dejado destruir. Por eso antes de hacer vo á prorogar el término señalado para recoger la moneda vieja ciertas observaciones respecto á esta ley y repeler algunas de 1» de oro.y plata; y el Sr. Garaube otro concerniente al…</t>
  </si>
  <si>
    <t>Enr, Nicolás</t>
  </si>
  <si>
    <t>Nicolás Enr</t>
  </si>
  <si>
    <t>…dos caballos de ■ El genera 1 2.° cabo de Extremadura con fecha 15 del actual, y refiriéndose los mismos cuerpos, que asombrados del fuego arrojaron los ginetes y se fiau á un parte dado el-8 -por el comandante de armas de Mérida D. Nicolás Enr extraviado. V. S. conocerá perfectamente que ticas mas mérito encontqr. j rile, del marques de Monsalud, comandante del cantón de Almendralejo, ma Merino con su facción, que batirla; y que la persecución qup se le está ludennifiesta que habiendo -sido sabedor que el cabecilla Locho se habia present…</t>
  </si>
  <si>
    <t>Enri, Facundo</t>
  </si>
  <si>
    <t>Facundo Enri</t>
  </si>
  <si>
    <t>…y León; pero ha vuelto ál activo y bizarro Coronel D. Pascual Churruca , comandante del 2.® batallón i levantar cabeza de poco tiempo á esta parte. Los refugiado» polacos ' del regimiento de Zamora, i los capitanes del de América D. Facundo Enri qqe han llegado aqui reciben cuanto dinero necesitan: se supone que este ques y D. Bernardino Si del Rey : al de la misrha clase graduado de teniente proviene, no ya de las comisiones establecidas en favor suyo» tino de las •coronel del l.° ligero D&gt; José Maclas , y al del propio grado y empleo del…</t>
  </si>
  <si>
    <t>Enrile, D Nicolás Salvador</t>
  </si>
  <si>
    <t>D Nicolás Salvador Enrile</t>
  </si>
  <si>
    <t>…aque el!awtcr¡pr la prisión del cabecilla Cuesta y varios de sus compañerea en. ios términos siguientes: «Perseguido vivísimamente Cuesta y su/acción Con la misma fecha de 15 del corriente avia el presidente de la junta de por el coronel D. Nicolás Salvador Enrile, capitán comandante de la compa Sanidad de la citada provincia, que en la capital de ella , asi como en Lorca, ñía.de seguridad de esta provincia, de Badajoz, por la mitad del regimiento Tecla y Cotillas, continuaba la enfermedad su curso ascendente: acompaña ■ : provincial de Málaga 4 las órdenes…</t>
  </si>
  <si>
    <t>Enrile, Nicolás Salvador</t>
  </si>
  <si>
    <t>Nicolás Salvador Enrile</t>
  </si>
  <si>
    <t>…awtcr¡pr la prisión del cabecilla Cuesta y varios de sus compañerea en. ios términos siguientes: «Perseguido vivísimamente Cuesta y su/acción Con la misma fecha de 15 del corriente avia el presidente de la junta de por el coronel D. Nicolás Salvador Enrile, capitán comandante de la compa Sanidad de la citada provincia, que en la capital de ella , asi como en Lorca, ñía.de seguridad de esta provincia, de Badajoz, por la mitad del regimiento Tecla y Cotillas, continuaba la enfermedad su curso ascendente: acompaña ■ : provincial de Málaga 4 las órdenes…</t>
  </si>
  <si>
    <t>Enrile, Pascual</t>
  </si>
  <si>
    <t>Pascual Enrile</t>
  </si>
  <si>
    <t>…de nuestros extensos dominios en América y se tometió el mando de la marina de las mencionadas islas al segundo cabo de Asia producidos por expediciones especiales, como la que mandó dando la ellas el mariscal de campo, entonces, D. Pascual Enrile, antiguo y acreditado vuelta al mundo el capitán de navio D. Alejandra Malaspina , y Jas (fue se des oficial de la armada, poniendo á sus órdenes un capitán de fragata y ocho su tinaron á Costa-firme, á las AntilUs, á las costas del mar det Sur y de Cali balternos, con solo los goces señalados en l…</t>
  </si>
  <si>
    <t>…á sus hijos, ó medicina domestica de la primera ras comunicaciones que, después de su instalación, dirige al mismo el capitán infancia: obra, que con varias adiciones de'un médico español, publica D. Autunio general de Filipinas D. Pascual Enrile, cuyas Techas alcanzan hasta 16 de Ages M^rla González y Crespo, bachiller en filosofía y en derecho civil, Individuo d- ‘a to det año próximo pasado. antigua academia de medicina y cieocias naturales de Madrid, y corresponsal de Ja Se gozaba en aquellas islas de la mas completa tranquilidad, conse…</t>
  </si>
  <si>
    <t>…D. José Amonio Rivadeneira, obispo de Valladolid ; D. Pedro Martínez de S. Martin, obispo de Barrelona; conde de Cuba, te niente general de los Reales ejércitos, decano de la sección de Guer REALES DECRETOS. ra del Consejo Real; D. Pascual Enrile , teniente general de lo* Reales ejércitos, capitán general de las islas Filipinas; D. Manuel En virtud de la prerogstiva que Me compete como Reija Go Llauder, teniente general de los Reales ejércitos, y capitán general bernadora , durante la menor edad de Mi excelsa Hija Doña Isabel ii, de Cataluñ…</t>
  </si>
  <si>
    <t>Enrique</t>
  </si>
  <si>
    <t>…s ar-, sobre los alimentos y consignación de los hijos é hijas de SS. AA.; y por otra bitrios para los voluntarios realistas, por los cuales pagaban los pueblos mas de de 29 de Setiembre de 183u señaló S. M. al Sermo. Sr. Infante D. Enrique, 300 millones de reales, sí bien no ingresaban en las arcas de aquella institución hijo segundo del Sr. Infante D. Francisco, 5UU© rs., reservándose S. M. tomar mas que 100 ú l2ü millones, que es una tercera parte, quedándose las otras resolución , en vista de una consulta del Consejo Real, y de lo…</t>
  </si>
  <si>
    <t>Enrique, Infante D</t>
  </si>
  <si>
    <t>Infante D Enrique</t>
  </si>
  <si>
    <t>…las, U de los ar-, sobre los alimentos y consignación de los hijos é hijas de SS. AA.; y por otra bitrios para los voluntarios realistas, por los cuales pagaban los pueblos mas de de 29 de Setiembre de 183u señaló S. M. al Sermo. Sr. Infante D. Enrique, 300 millones de reales, sí bien no ingresaban en las arcas de aquella institución hijo segundo del Sr. Infante D. Francisco, 5UU© rs., reservándose S. M. tomar mas que 100 ú l2ü millones, que es una tercera parte, quedándose las otras resolución , en vista de una consulta del Consejo Real, y de lo…</t>
  </si>
  <si>
    <t>Enriqueta</t>
  </si>
  <si>
    <t>…Adoptando este medio para la ejecución de las muchas mejoras Rey en audicnoa privada dos cartas de su Soberano, anunciando en la una la que ■en ele orden recl im.i 1a provincia, el gobierno cree interpelar á un mismo mucíte de la Princesa Enriqueta, hija del Margrave Guilleimo, y en la olrt tiempo no *.iU&gt; el patriotismo sino también el íqteres individual de su&gt; habi el feliz alumbramiento de U Margravina I abel , esposa dei Margrave Guiller tante'-; ofrec éndo'e* objetos tan nobles y útiles para el empleo de capitales. mo, de una Princesa. S…</t>
  </si>
  <si>
    <t>Ensayo</t>
  </si>
  <si>
    <t>…junta local útilesdrid libreríaá la sociedadde Razóla,y 4 lay patriaren las provinciasun tomo enen8.°lasálibrerías.principales.U rs* en pastá- Se vende en. Ma\ dé Sanidad que ocurriese á entrambos objetos; y la piedad de S. M. la Reina — —Ensayo sobre ia educación de la nobleza % traducido por (¿alzada. En este óftrTra Gobernadora concedió el auxilio de 109 rs. para socorro de los enfermos po se trata de la educación de la nobleza, elección de ayos y preceptores , ciencia her41—) bres del pueblo, y remedio de las necesidades sanitarias. Di…</t>
  </si>
  <si>
    <t>Entendería, Gobernadora</t>
  </si>
  <si>
    <t>Gobernadora Entendería</t>
  </si>
  <si>
    <t>…'aJnari soló se presentan teorías, porque si hubiese pruebas, yo - ce de los dos cstablecimiéntos de SS. MM. Doña Isabel u , y. su augusta Ma- - seria ei primero á.desaprobar Ja cantidad propuesta por la comisión. Suponga- dre la Reina Gobernadora. Entendería .sí, qúe se propusiese continuar jta . mos que D. Fernando vil hubiera otorgado una escritura de 18 millones anua- asignación decretada al Rey difunto por las Córtes pasadas: en cuyo caso' no iesáfavor delaaugusta ReinaGobernadora: ¡qué hariamoá entonces después excedería de 40 millones; fa que se…</t>
  </si>
  <si>
    <t>Enteramente, Hakitación de Mr Ley</t>
  </si>
  <si>
    <t>Hakitación de Mr Ley Enteramente</t>
  </si>
  <si>
    <t>…truidas, excepto las sala» to vez su amistad al antiguo gran visir Reschid bajá, qué después' de haber per conferencias riám. 11, 12, 13 y 14, que pueden componerse. dido la batalla de Konia, capital de la Caramania, fue nombrado gobernador . Hakitación de Mr. Ley. Enteramente destruida. de Sivas.cn Romelia. Casa del presidente. El comedor que está debajo de la Cámara de los co Se dice que 12l) familias han emigrado de'Samos á NegropSñtpL munes está muy maltratado, pero puede componerse; todas las piezas desda Air. de Rudcman, encargado de Negocios de Rusia, tuvoayerYu a…</t>
  </si>
  <si>
    <t>Entonces, Presidentex</t>
  </si>
  <si>
    <t>Presidentex Entonces</t>
  </si>
  <si>
    <t>…ntre el Estamento, determinará si ha de pasar ó'ño il la co «Un célebre escritor de derecho público (no se crea que es inventadopet misión.” . , . mí) llamado Bentham, dice que cuando las leyes no corresponden i WopmjqOL, ' ■ j5t Sr.'Presidentex «Entonces tendtemot dos discusiones; k una ahora, pública están-expuestas i naufragar y perecer; y por el contrario, qué cu%ndo: y Ja otra después oue la comisión haya manifestado su dictámen, con 1¿ que se ' sé apoyan en la misma se hacen firmes y subsistente*. Esta ley ha de serretibimultiplicarán las disc…</t>
  </si>
  <si>
    <t>Entonces, Spencer</t>
  </si>
  <si>
    <t>Spencer Entonces</t>
  </si>
  <si>
    <t>…*'La dispersión del 1.® y 3.° batallón rebelde fije completa, y casi todrr el dicos, y se aguardaba una ocasión, que en efecto se presentó con la muerte de último habría caído en mi poder, cuando para salvarse se diseminó por un lord Spencer. Entonces al conferenciar el vizconde Melbourne con S. M. para. gran barranco montuoso, si ia nocbe-cateramente cerrada no hubiere hecho imel Reemplazo de lord Altorp, el Rey le manifestó desde el principio su inten jtosible recoger el fruto de la victoria. En Santa Cruz, Orbizo y San Román ción dé mudar tod…</t>
  </si>
  <si>
    <t>Entra, Florez</t>
  </si>
  <si>
    <t>Florez Entra</t>
  </si>
  <si>
    <t>…iciales que las de los demas. El Sr. Alcalá Gallano: «Digo, pues, que la ausencia del Sr. Arguelles «En este sentido puede llamársele al asunto en cuestión con propiedad debe influir mucho en esta discusión , como asimismo la del Sr. Florez Entra víctbna expiatoria, que indica que ha habido pecado. Tal es el juicio de la da, pues quedamos solo dos individuos de la mayoría de la comisión para sos mayoría respecto al préstamo de Guebhard; y así quisiera la considerasen todos tener su dictámen en un punto tan dudoso, que al decidirse en las se…</t>
  </si>
  <si>
    <t>Entrada, Florcz</t>
  </si>
  <si>
    <t>Florcz Entrada</t>
  </si>
  <si>
    <t>…} Monarca? Yo recuerdo se ven precisados á abandonar su* puchos, sus familias é hijos, y vivir en un muy b en que ei Sr. Presidente del Consejo de Ministros, al hacer la relación pueblo mas caro. Pues bien , siguiendo la idea del Sr. Florcz Entrada y del se de la conducta de D. Cirios, hizo presente que su rebelión traía origen desde ñor ministro de Hacienda, que todos los empleados cuyo sueldo exceda de 129 el año 20. Desde entonces estaba á la cabeza de Jos carlinos, de esa facc/on reales dejen la'mitad del exceso á beneficio de la patria, en cal…</t>
  </si>
  <si>
    <t>Entre</t>
  </si>
  <si>
    <t>…l gobierno y regencia del rcin vt qu? Dcípj^ho de Gracia y Justicia. durante la menor cJad de la Soberana , ha recaído en \. M. por fortuna de fio españoles, que va ex pe: i:n.‘nrri fi" ..ir,- uidos efectos de su desvelo r Hxcmn. Sr.: Entre inmensos males que me han afligido sumamente y han solicitud maternal, ■&gt; Iciucs n; is.s i-¡‘;e«_e la junta a la Rusa nucsdebiiiujo mis fuerzas poblándome frecuentemente en cama hace cerca de cua tra Señora y a V. M. '•u mas re: pete*, hnmeoacc v todo sJcr¡ñ.»!o que con tro me-&gt;es , y obligándome ;…</t>
  </si>
  <si>
    <t>…a faction alavesa , que asi como Basilio instruidos, de personas de talento y habituadas á negocios, que conozcan y con su fuerza de caballería y cinco compañías de guias navarros, vinieron al entiendan todos los ramos dé Ínteres general. Entre éstos fe encuentran el mé valle de Sta. Cruz para disputarme el paso de Arquijas, al cual llegué antes rito, las virtudes civiles, las garantías de probidad, de honor, de celo y de que ellos. En ambas los he batido, los he dispersado completamente y los he per capacidad. Júntense, pues, los elector…</t>
  </si>
  <si>
    <t>…r civil de la provincia de 20 rs. que exigía por los ganados que pasaban por aquel término, y que los Gerona D. Serafín Chavier con fecha de 9 de Julio anterior. concejales se repartían por una costumbre bastante antigua. Ejteima Sr.: Entre los rios_ que atraviesan el Ampurdan se cuenta la Con algunas cantidades que reunió la junta de caridad de la ciudad de Muga, qüe con frecuencia se desborda porque su estrecho cauce no puede con Calatayud, se ha limpiado un hermoso lavadero de 38 varas en cuadro, y se tener las aguas en las grandes,ave…</t>
  </si>
  <si>
    <t>…dei 30 en Ibarra á D,1 Basilio, Ibarrola, Cuevillas y 1» U W t» 17 4 ■ - 4 varios cogiéndoles matándoles mucha gente", prisioneros, Sopelana, ^«ite^de M 28 4 m X M y, varios capitanes, se dice están los Itmye ellos los muertos un coronel Entre que componen la ¡mita.llamada de Castilla. Idem de la villa de Rute, ' Tódo lo que participo a V. E. con la mayor satisfacción y sin detener él .Existencia del dia Invadidos jgiarte . reservándome el proponer los premios a que se han hecho acreedores lo® Días. anterior. Curados. Fallecidos. individ…</t>
  </si>
  <si>
    <t>…a sabido grangearse el ejército combatiendo en defensa del los gloriosos hechos de Vitoria, Calahorra y Villarubia de los legítimo trono y de la patria. Ojos de Guadiana. No tardó en presentarse á la vista de Almeida el brigadier D. Entre tanto el gobierno de S. M. contraminaba , del modo que Francisco Sanjuanena , comandante general de la vanguardia : y este los hechos han acreditado, los mas ocultos planes de aquella fac amago bastó para que el’ Pretendiente , abandonado al refugio ide ción aleve : y en medio de otros graves cuida…</t>
  </si>
  <si>
    <t>Entre, D</t>
  </si>
  <si>
    <t>D Entre</t>
  </si>
  <si>
    <t>…ria que ha sabido grangearse el ejército combatiendo en defensa del los gloriosos hechos de Vitoria, Calahorra y Villarubia de los legítimo trono y de la patria. Ojos de Guadiana. No tardó en presentarse á la vista de Almeida el brigadier D. Entre tanto el gobierno de S. M. contraminaba , del modo que Francisco Sanjuanena , comandante general de la vanguardia : y este los hechos han acreditado, los mas ocultos planes de aquella fac amago bastó para que el’ Pretendiente , abandonado al refugio ide ción aleve : y en medio de otros graves cuida…</t>
  </si>
  <si>
    <t>Entre, Ge</t>
  </si>
  <si>
    <t>Ge Entre</t>
  </si>
  <si>
    <t>…a embajada almirantazgo, añadiendo que lord J. Russeil será el orador del gobierno en la de Inglaterra. (Diario de los Debates.) Cámara de los Comunes. (Chronicle.) • . ____El 12 tuvo la honra de comer con S. M. y Real familia el mariscal Ge____ Entre las noticias que circulan de una nueva combinación ministerial de rard y su esposa. Por la tarde despachó S. M. con los triinistros de Justicia, del resultas de la muerte de lord Spencer, hacemos mención de la que asigna á Interior, de Guerra y con el duque de Treviso, canciller de la Legión de honor,…</t>
  </si>
  <si>
    <t>Entre, Gerard</t>
  </si>
  <si>
    <t>Gerard Entre</t>
  </si>
  <si>
    <t>…sobre pensiones, sobre ascensos, y sobre la justicia mi __ _Algunos oficiales de la secretaría dé Guerra han hecho dimisión de sus lita* dril ¿Pejército la constitución definitiva á que tiene derecho. destinas desde que salió el mariscal Gerard. Entre ellos el teniente general '«Nuestra Hacienda sfc halla en uu estado satisfactorio.,El orden que pre Nugues St. Cyr, director del personal, que entró en la secretaría cuando el side á su administración nos permitirá, yo lo espero á lómenos, emprender mariscal ascendió al ministerio, y Mr. Paravey, g…</t>
  </si>
  <si>
    <t>Entre, Manuel Lavalleja</t>
  </si>
  <si>
    <t>Manuel Lavalleja Entre</t>
  </si>
  <si>
    <t>15/12/1834</t>
  </si>
  <si>
    <t>Gaceta de Madrid n.º 304</t>
  </si>
  <si>
    <t>…perturbaciones en el Estado oriental; pero siendo rio novedad én su importante salud. seguido inmediatamente por el coronel Medina fue totalmente derrotado en las márgenes del Rio Negro, escapando á nado juntamente con su hermano Don Manuel Lavalleja. Entre tanto, el Gobierno imperial reiteró sus órdenes para que conservándose la mas estricta peutralidad de nuestra parte, se prevenga v PARTE NO OFICIAL. esono seá cuantoconsientaestamosjamas obligadoscualquier eninvasiónvirtud delde nuestroartículo territorio,10 de la convenciónsin fallar prepor limina…</t>
  </si>
  <si>
    <t>Entre, Nota</t>
  </si>
  <si>
    <t>Nota Entre</t>
  </si>
  <si>
    <t>…smo villa de Calahorra, de Autol, Tortosa................ 3 i 6 ídem.... 59 28 4 en apareciese en aquella la enfermedadlaba mucho capital y mu otros reinante chos pueblos de la provincia: añade que desde 2 á 6 del mes de la fecha cura Nota. Entre los muertos en Tarragona se incluyen seis párvulos. En Tor— ron en Alfaro 72 per-onas y fallecieron 20; y desde 10 del mismo curaron 44 tosa han sido invadidas dos personas extramuros de la ciudad, y dos han fa y murieron 5; en Igea desde 3 á 8 del propio mes fallecieron 3 personas; 6 en llecido. Agonc…</t>
  </si>
  <si>
    <t>Entre, Zentuer</t>
  </si>
  <si>
    <t>Zentuer Entre</t>
  </si>
  <si>
    <t>…uyo oficial fue mandado á Lima con pliegos, y no volvió. Ciento veinte y seis voluntarios del cuerpo dtrtropas griegas han salida Los que acompañábamos al presidente no teníamos otra esperanza que la hoy para Trieste al mando del teniente Zentuer. Entre ellos van tres eclcsiásqSre podia'darnos-maestra resolución y el influjo de la autoridad. Por lo demás, , ticos. &lt;'Gactta_di_JAugíburgoJ . " aunque el infrascrito no-dudaba de la honradez del señor coronel íbamos que mandaba el batallón Pechincha, no habiéndose acordado antes cosa alguna con JTAtlA…</t>
  </si>
  <si>
    <t>Envío</t>
  </si>
  <si>
    <t>…os conquistadores dé nuestra patria vándalo* y suevos, atribuyan este cuidado verdaderamente paternal de no Lisboa 10 de Marzo» verter mas sangre que la muy necesaria, de aplicar lenitivos donda Ejército de ope raciones. zzExcmo, Sr.: Envío á V. E. para que se pueda evitar el cauterio, de no familiarizar un pueblo religioso se sirva elevarlo a noticia de S. M. L copia del oficio det lenieótc y humano como el español, con escenas y catástrofe* horrorosas, á coronel de cazadores núm. 3 José de VasCcmcellos Bandeira de miedo y timidez: p…</t>
  </si>
  <si>
    <t>Éocairente, D Joscf</t>
  </si>
  <si>
    <t>D Joscf Éocairente</t>
  </si>
  <si>
    <t>…obtenerse sin poner en consonancia Almuñecar. (el ayuntamiento de) ambas administraciones; se ha servido mandar S. ¥■ la Reina Gobernadora, jagon. (el intendente de) , en nombre de su amada iiija la Reina Doña Ísa*Sei jj , que el Sr. D. Joscf Éocairente. (el ayuntamiento, justicia y claro de) ; d- lmar, consejero honorario de Estado y director general di .Aduanas en co— Burgos, (el ayuntamiento de) j misión; D. Luts Soxela, gefe de la Ordenación de presupuesto; D. Cristóbal Cas pe. (el ayuntamiento de) Bordiu, oficial de la secretaría del despacho…</t>
  </si>
  <si>
    <t>Éocairente, Joscf</t>
  </si>
  <si>
    <t>Joscf Éocairente</t>
  </si>
  <si>
    <t>…nerse sin poner en consonancia Almuñecar. (el ayuntamiento de) ambas administraciones; se ha servido mandar S. ¥■ la Reina Gobernadora, jagon. (el intendente de) , en nombre de su amada iiija la Reina Doña Ísa*Sei jj , que el Sr. D. Joscf Éocairente. (el ayuntamiento, justicia y claro de) ; d- lmar, consejero honorario de Estado y director general di .Aduanas en co— Burgos, (el ayuntamiento de) j misión; D. Luts Soxela, gefe de la Ordenación de presupuesto; D. Cristóbal Cas pe. (el ayuntamiento de) Bordiu, oficial de la secretaría del despacho…</t>
  </si>
  <si>
    <t>Eorbon, Carlos María Isidro de Borboo y</t>
  </si>
  <si>
    <t>Carlos María Isidro de Borboo y Eorbon</t>
  </si>
  <si>
    <t>…idere ¿ los h jos del Infante como cruelmente despojado» « La comisión encargada de presentar su dictánoen sobre el proyecto de ley de su herencia. Pero esta exhercdj;:on es puramente imaginaria, porgue no que debe excluir al Sr. D. Carlos María Isidro de Borboo y Eorbon, y á toda pueden heredarse derechos que no existen. Solo la ignorancia ó la irreflexión su línea, de la sucesión á la corona de España , tiene el honor de someter ai pudiera aplicar al caso presente 1a ley del mayorazgo, confundiendo asi la» Estamento de Sres. Procuradores el resultado desús tarcas…</t>
  </si>
  <si>
    <t>Epila</t>
  </si>
  <si>
    <t>…Pedro de Gorosa- Plasencia. ... ,. . 8 i 16 de ídem. 60 16 15 bcl.rrSr. Comisario régio de Vizcaya zz Es copiara Alomo. Escatron. . .. .. . 11 á 16 de idem. 15 3 5 En el mismo dia en que se recibieron estos partes dició S. M. la Reina Epila. ............... • Idem Ídem. ... 70 20 16 Gobernadora por la misma secretaría las órdenes oportunas para el pronto y ejemplar castigo de estos rebeldes, con arreglo á los Reales decretos vigentes. bolsa db comercio. __ Cotización dt hoy 4 las tres 4$ 1* tardt. “ ESTADO SANITARIO DE¿ REINO. BVRCTOS…</t>
  </si>
  <si>
    <t>Erancisco</t>
  </si>
  <si>
    <t>…y en Córdoba, donde también lo soy, desearla encontrarlos aunque fuese cionarios á retirar la misma por su parte, continuó ia discusión. á 7ü ú 80 rs. Los peticionarios dicen muy bien qué el desprecio en que'Ktan El Sr. Serrano (D. Erancisco): «Para entrar en materia diré desde lue los granos es efecto de no tener salida y que arruina ai país; pero los no peti go que aprobar la petición y dar la sentencia de ,inufcrte contra 12 ó -I4 pro cionarios atacamos la petición porque su contenido a un mal para las demas vincias de la monarquía…</t>
  </si>
  <si>
    <t>ErancUeo'</t>
  </si>
  <si>
    <t>…ecurso^ con,que atender á todas nuestras obliga Continuó después el oradór haciendo «arios cálculos comparativos del ciones.” ' * 1 . proyecto del Ministerio con el dictamen Ae la comisión, reducidos á probar , : El Sr. Serrano ( D. ErancUeo'): «Entrando en la cuestión del dia, com algunas diferencias .que notaba, y prosiguió después: prendo, que lo mas esencial es facilitar al. Gobierno dinero para que marchan , «En cuanto á las rebajas que propone la comisión acerca de tos gastos ton larapidernocosaria todas la» partes del Estado; y.…</t>
  </si>
  <si>
    <t>ERAS, PARTE NO OFICIAL TURQUÍA NOTICIAS EXTBAN</t>
  </si>
  <si>
    <t>PARTE NO OFICIAL TURQUÍA NOTICIAS EXTBAN ERAS</t>
  </si>
  <si>
    <t>…que^j ejército de Mchcmet Al! , podían y debían ser gobernadas por el senti miento de la dignidad y del honor militar- Soliman-Bey acaba de recibir la re compensa de sus servicios con la elevación á la dignidad de bajá (D. de los D.) PARTE NO OFICIAL. TURQUÍA. NOTICIAS EXTBAN6ERAS. Constantino fia 8 de Julio. Se cree generalmente que todas las cortes están de acuerdo en m ntiner y BSTA DOS-CV IDOS. consolidar los principios de buena inteligencia, y que con este fin nombran en viados ordinarios y extraordinarios que contribuyan, á proporcionar los bene Washington 24 de Junio.…</t>
  </si>
  <si>
    <t>Erefias, José</t>
  </si>
  <si>
    <t>José Erefias</t>
  </si>
  <si>
    <t>…capitanes D. José según, resulta del siguiente María Gurrea y D. Félix Miranda; el capitán graduado, teniente D. Antonio Parte sanitario. Sánchez; el teniente.graduado, subteniente D. Juan Moreno; los subtenientes D..Juan Orus y D. José Erefias; los sargentos primeros Manuel Chutos y Gui llermo Provees, y los cabos primeros Eusebio Quiles, Manuel Badia, José Pueblos. Dias. Enfermos. , Curados. Fallecidos. Guas, Justo Garrido y Diego Martí. Aseó................ . 19 á 25 Set. v . 48 18 5 1 Del regimiento de Extremadura, 15 de línea, el pri…</t>
  </si>
  <si>
    <t>Erefias, Juan Orus y D José</t>
  </si>
  <si>
    <t>Juan Orus y D José Erefias</t>
  </si>
  <si>
    <t>…sé Aguirre; los capitanes D. José según, resulta del siguiente María Gurrea y D. Félix Miranda; el capitán graduado, teniente D. Antonio Parte sanitario. Sánchez; el teniente.graduado, subteniente D. Juan Moreno; los subtenientes D..Juan Orus y D. José Erefias; los sargentos primeros Manuel Chutos y Gui llermo Provees, y los cabos primeros Eusebio Quiles, Manuel Badia, José Pueblos. Dias. Enfermos. , Curados. Fallecidos. Guas, Justo Garrido y Diego Martí. Aseó................ . 19 á 25 Set. v . 48 18 5 1 Del regimiento de Extremadura, 15 de línea, el pri…</t>
  </si>
  <si>
    <t>Eriales, Juan</t>
  </si>
  <si>
    <t>Juan Eriales</t>
  </si>
  <si>
    <t>…n Félix miento y á los particulares, llevándose en rehenes algunos de estos hasta efec Galilea; para el de Sedaño á D. Julián Zabalburu; para?el de Santillana del tuarlas. \ Mar á D. Gregorio Anaya jipará el de Sala de Infantes ¿ D. Juan Eriales, que ^E1 comandante del fuerte elogia el valor y serenidad de toda la guarni lo es de Villafranca Montes de Oca ; para el de Villadiego á D. Pedro Es ción y de los Urbanos de Tafalla, distinguiendo al alcalde. D.Manuel Gurrea, pinosa, que lo es de Auseio ¡ para el de Segura á X&gt;. José Feliu, que lo…</t>
  </si>
  <si>
    <t>Errado, Secretario-de</t>
  </si>
  <si>
    <t>Secretario-de Errado</t>
  </si>
  <si>
    <t>…, que hallándose en el mismo ca^o que el Se en lo esp'r.tual como en lo temporal, á los afligidos del cólera*morbo; le ñor marques de Camarada otros varios Sres. Próceres, deberían dejar de asistir yéndose otro oficio del Excmo. Sr. Secretario-de Errado en que daba cuenta al Estamento si fuese bastante excusa la alegada por aquel. de la concesión de esta Real licencia. Con este motivo expuso El Excmo. Sr. Cano Manuel, apoyando al Excmo. Sr. duque de -Rivas» El Excmo. Sr. duque de Rivas , que estando acordado per el Esta dijo: que pudo alegar la ex…</t>
  </si>
  <si>
    <t>Erranz</t>
  </si>
  <si>
    <t>…ente partido rios, y nuestra derecha defendida por un barranco de muchísima profundidad; de huir y venirse adonde suponía á este, que era en Lecumberri, precisamente petó fue dominado á la vez por el arrojo del expresado teniente coronel Erranz, cuando ya estaba hácia Segura: sabedor de ello el bizarro Figueras contramarchó con. el primes batallón de su regimiento, y la fuga de los rebeldes se hizo ge con la rapidez del rayo, y cuando llegó á Lecumberri ya había pasado el fugi neral y desordenada: viendo la marcha veloz en protección y re…</t>
  </si>
  <si>
    <t>Erranz, Cesáreo</t>
  </si>
  <si>
    <t>Cesáreo Erranz</t>
  </si>
  <si>
    <t>…cial Alcázar de S. Juan, el 2.° batallón deAj-egimiento 18 ele línea, AI- to de 1834—Ei'comandante de armas, Iturriza. raans», subiendo en pos dé estos el l.° y 2.yd^ Príncipe, el primer coman dante del mismo cuerpo , á la cabeza D. Cesáreo Erranz: los momentos fueron Excmo. Sr.: Desconfiado de recibir parte del general en gefe por el con muy críticos para el indicado coronel 01ivares\v su columna, por espacio de vencimiento que tengo de que no deja la persecución de ios rebeldes, diré á media hora, contuvo á siete batallones facciosos^ mere…</t>
  </si>
  <si>
    <t>Erro, Juan Bautista</t>
  </si>
  <si>
    <t>Juan Bautista Erro</t>
  </si>
  <si>
    <t>…cia que se comprendieron en U deuda contraída con el Gobierno francés, y por ttferéntia á todás Us órdenes dadas desde 27 d&lt; Mayo de 1823 en adelante por consiguiente no deben considerarse como de Guebhard, que principia desde el D. Juan Bautista Erro respecto al empréstito de Guebhard y sus vicisitudes. reconocimiento en que el Rey le aprobó. Ahora bien, ¿en qué principio de Concluida1 la lectura' dtí este documciuo,S. $. dijo que se abítenla de leer justicia nos apoy%mí&gt;s para tener tanta condescendencia con el Gobierno fran ótró*Vy continüó:…</t>
  </si>
  <si>
    <t>Es, Antonio</t>
  </si>
  <si>
    <t>Antonio Es</t>
  </si>
  <si>
    <t>…r las plazas de ofi-, 6,712. 1000..................... cíales primero y segundo del archivo de la dirección general de pósitos ínterin 8,388. 1000..................... se fija la planta de estas oficinas, mandando queden cesantes D. Antonio Es 3,204. 1000..................... .. . . Idem. teban y D. Juan Miguel Lardiez, que las obtenían, hasta que puedan ser colo 15,703. 1000..................... .... Barcelona. cados en el ramo de Propios con arreglo á su clase y méritos. 10,978. 400..................... a»** Madrid. 11,157. 400........…</t>
  </si>
  <si>
    <t>Es, Antonio López Lechuga y Don</t>
  </si>
  <si>
    <t>Antonio López Lechuga y Don Es</t>
  </si>
  <si>
    <t>…niente D. Vicente demostración mas convincente de que existen las circunstancias quo Talledo , algunos caballos de granaderos de dicha Guardia y del han dado margen á presentar el proyecto de ley. 3.° de ligeros con los tenientes D. Antonio López Lechuga y Don »¿Es cierto, nos pregunta el otro partido de oposición, que José López Lcrena, no permitiendo las circunstancias de premura Jas circunstancias son tan críticas como suponéis? ¿Es cierto que el que por entonces saliese urbano alguno de esta villa, que en con órden público no ha progresado? bi asi fuess,…</t>
  </si>
  <si>
    <t>Es, Cárlos</t>
  </si>
  <si>
    <t>Cárlos Es</t>
  </si>
  <si>
    <t>…ncia del momento es palpable, la con D. Cárlos y su línea es tan trascendental, que alcanza á los que siguen las bao-. veniencia del porvenir no es fácil adivinarla. deras de Dofis Isabel ii , lo mismo que á los que siguen las de D. Cárlos Es tan » Razones de política. Muchas de ellas son también dudosas, y pueden dis- trascendental, porque la representación nacional, usando de todo el lleno de sus .putarse. La política actual del Mediodía de la Europa está en contra de Don facultades, declara á D. Cárlos y toda tu línea excluidas del t…</t>
  </si>
  <si>
    <t>Es, Carrasco</t>
  </si>
  <si>
    <t>Carrasco Es</t>
  </si>
  <si>
    <t>…; y habiéndose preguntado si había lugar á votar, se acordó que poco tendremos nada que hacer dicho lunes.” sí, y que se hiciese por partes, como propuso el Sr. Acevedo; quedando en El Sr. Palarea. «Apoyo la idea expresada por el Sr. Carrasco. Es ver consecuencia aprobadas la 1.a, 4*a 7 5.*# y desechadas la 2.a, 3.a y 6.a en los dad que el asunto de Hacienda , de que se trata, es urgentísimo; pero también términos siguientes: es importantísimo, y tanto, que de ¿l depende en gran parte la felicidad de la Parte 1.a «La comisión es de dictámen…</t>
  </si>
  <si>
    <t>Es, D Gaspar</t>
  </si>
  <si>
    <t>D Gaspar Es</t>
  </si>
  <si>
    <t>…de Agosto de 1834, á las nueve de la de la mañana desde Elorrio. Cuartel genera! de Marquina 14 de Agosto da noche—Excmo. Sr.=Gaspar de Jáuregui—Excmo. Sr. general en gefe &amp;c— 1834 sA la una de la tarde.=:El marques de Rodil.=Sr. brigadier D. Gaspar Es copia.=:José Ranaon Rodil. Jáuregui , comandante general de la 4*a división de este cjército saE» copu.^F.I marques de Rodil. Los eremigos han tomado según las noticias que he adquirido la dirección de Marquina; en consecuencia me diri jo á pernoctar á Elgoibar, y V. S. procurará Excmo. Sr.: Ahora…</t>
  </si>
  <si>
    <t>Es, D Sixto Avu-r.era</t>
  </si>
  <si>
    <t>D Sixto Avu-r.era Es</t>
  </si>
  <si>
    <t>…mar respecto á la colonizucioíi de Argel , wndrá que re nuestra Señora Dona Isvhml ii, »c h.1 '.&lt;*riid - tor'Lr.r el vomerno mj.il, solver las siguientes cuestiones que el gohierno le ha presentado. político de Mordía al teniente coronel D. Sixto Avu-r.era. ¿Es sano el territorio de Atgel , y ál propósito fcara que b&gt; habiten v culti ven europeos? ¿ Hay fundamento para esperar que sm luccr sacrificios nuiy cos tosos compensará dentro de po_-&gt; U prestan del ritorio de Ar¿H , lo. g.isK* q;*e ya se han he^-ho en aquel ñus? ¿Qué símenla de adimntsir.K'nm se d…</t>
  </si>
  <si>
    <t>Es, Francisco</t>
  </si>
  <si>
    <t>Francisco Es</t>
  </si>
  <si>
    <t>…xagerado, es cierto que el barco de vapor que poco tes. Al propio tiempo se ha dignado S. M. nombrar para las cua hace llevó á Halil-Bajá á los Dardanelos, lleva también á bordo tro plazas de agentas-fiscales del nuevo tribunal á D. Francisco Es un destacamento de artilleros; es cierto que se hace leva de gente teban Ranz, D. JoséLidptr y Martinez, D. Antooio Sánchez de para la escuadra y ejército turco, y que la Rusia acaba de reclutar Ocaña y D. Fernando de la Torre, que lo eran del extinguido tropas en la Valaquia y Moldavia. Mas ¡cuál…</t>
  </si>
  <si>
    <t>Es, Gaspar</t>
  </si>
  <si>
    <t>Gaspar Es</t>
  </si>
  <si>
    <t>…de 1834, á las nueve de la de la mañana desde Elorrio. Cuartel genera! de Marquina 14 de Agosto da noche—Excmo. Sr.=Gaspar de Jáuregui—Excmo. Sr. general en gefe &amp;c— 1834 sA la una de la tarde.=:El marques de Rodil.=Sr. brigadier D. Gaspar Es copia.=:José Ranaon Rodil. Jáuregui , comandante general de la 4*a división de este cjército saE» copu.^F.I marques de Rodil. Los eremigos han tomado según las noticias que he adquirido la dirección de Marquina; en consecuencia me diri jo á pernoctar á Elgoibar, y V. S. procurará Excmo. Sr.: Ahora…</t>
  </si>
  <si>
    <t>Es, Gaspar Aguilera y Contreras</t>
  </si>
  <si>
    <t>Gaspar Aguilera y Contreras Es</t>
  </si>
  <si>
    <t>…venirme otra cosa. Dios &amp;c. Peralta 23 de Octubre de 1834^=E1 comandan censo de D. Diego Fernandez Cerezo á otra de número, se ha dignado nom te Antonio María Porta ,=Sr. comandante general de la merindad de Tudela.= brar S. M. á D. Gaspar Aguilera y Contreras. Es copia.=Sanjuanena. i Ultimamente ha tenido S. M. á bien aprobar el nombramiento hecho por El comandante general de Búrgos con fecha 24 del actual dice lo que lá Real sociedad económica de Zaragoza en D. Ramón Mateo, para la plaza I sigue: ”De las- partidas que con óbjeio de perseguir á los grupos q…</t>
  </si>
  <si>
    <t>Es, Guillermo</t>
  </si>
  <si>
    <t>Guillermo Es</t>
  </si>
  <si>
    <t>…bemos el mantenimiento del orden, nomía en todos los ramos de la administración pública, que constantemente la consolidación de nuestras leyes fundamentales, y la conservación de todos ha caracterizado los pasos y el gobierno del Rey Guillermo. Es grato saber los bienes de que actualmente disfruta la Francia. (Diario de Parts.) se esperanzas las ajustadas las di— de S. M. de aunque ver no han verificado Íiue ------ Se ha dicho que cinco ministros han hecho dimisión de sus destinos, y se país es dis y del ciencias trabaja en próspero, con Bél…</t>
  </si>
  <si>
    <t>Es, Joaquín</t>
  </si>
  <si>
    <t>Joaquín Es</t>
  </si>
  <si>
    <t>…a de sus ediciones, anotaciones, índices, variantes del texto latino, y la apología estructura de los telares, en el modo de urdir y en el de conducir la lanzade de este excelente historiador; por D. Cayetano Sixto, presbítero, y D. Joaquín Es ra. Estas mejoras y las que recibió el arte de hilar, junto con la máquina de querra, profesor de humanidades. Cuatro tomos en 4*° mayor, edición de 1794, á 89 rs. rama y 110 pasta comun. Traducida esta historia por el Sr. Coloma, supo conservar Johnson acabarán de perfeccionad los telares de vapor…</t>
  </si>
  <si>
    <t>Es, José Casáis</t>
  </si>
  <si>
    <t>José Casáis Es</t>
  </si>
  <si>
    <t>…mpuestos, cuyos corcho enlabias; correza de alcornoque y pieles de'córdero y cabrito, la cual productos hubieran permitido disminuir oíros multiplicados y onerosos, y pre estabaprohibida , y por privilegio exclusivo se concedió á D. José Casáis. Es parado la simplificación de las-remas Reales; lá cual debemos tanto ansiar ^asi tos derechos produjeron enT933 reales vellón 3.359,293 001*27 maravedís, y por el ínteres dedos contribuyentes , coino por el del Real Tesoro. Las rela desde su creación ¿430, 899 reales 2 maravedís. De-la inversión de…</t>
  </si>
  <si>
    <t>Es, Juan Rivera</t>
  </si>
  <si>
    <t>Juan Rivera Es</t>
  </si>
  <si>
    <t>…adrid, librería de Sojo; Barcelona, Sierra; y Cádiz en de Hortal.do de Albarracin. Ja -■ ■ -Tratado de ¡os delitos y de las penas, escrito en italiano por el marques de BecaPROVINCIA DB TOtEJDO. ría. y traducido al castellano por D. Juan Rivera. Es importante en las actuales cir cunstancias , en quese va á discutir el codigo criminal presentados las Cortes. Un romo en 8.° mayor. Se vende en Madrid, librería de Sojo; Barcelona, Sierra; y Cádiz en la Según oficio de 21 del presente es muy raro el caso de enfermedad sos de Hortal. pechosa que oc…</t>
  </si>
  <si>
    <t>Es, Manuel Ceballos</t>
  </si>
  <si>
    <t>Manuel Ceballos Es</t>
  </si>
  <si>
    <t>…ios aipírantcs, con cup medida se llenará con mas prontitud el servicio que recútoá lá humanidad do Partes recibidos en la secretaría de Estado y del Despacho de la Guerra• liente. El comandante de las armas de la ciudad de Soria D. Manuel Ceballos Es calera avisa á este ministerio con fecha 31 de Mayo ultimo» que el día anterior bolsa i)B cose Enero.__Cotización de hoy 4 las tres de Id 'taris. le decía el coronel y comandante general de aquella provincia D. José María Cistue desde Reznos» que después de una penosa marcha de 24 Horas por los EFE…</t>
  </si>
  <si>
    <t>Es, Pedro</t>
  </si>
  <si>
    <t>Pedro Es</t>
  </si>
  <si>
    <t>…lana del tuarlas. \ Mar á D. Gregorio Anaya jipará el de Sala de Infantes ¿ D. Juan Eriales, que ^E1 comandante del fuerte elogia el valor y serenidad de toda la guarni lo es de Villafranca Montes de Oca ; para el de Villadiego á D. Pedro Es ción y de los Urbanos de Tafalla, distinguiendo al alcalde. D.Manuel Gurrea, pinosa, que lo es de Auseio ¡ para el de Segura á X&gt;. José Feliu, que lo es de propietario, joven de prendas recomendables. - Jabea; para él de Mérida a Ó. Juan Vicente Vesga, regente de Quintana; pa Eraso con sus batallon…</t>
  </si>
  <si>
    <t>Es, Secretaria del Despacha de Hacienda</t>
  </si>
  <si>
    <t>Secretaria del Despacha de Hacienda Es</t>
  </si>
  <si>
    <t>…noa ahomriamoa estadio ti le deciaram antro uno de loa psmo*mas importantes en la materia; cual es, loa Maaupwatoa da admitido ó no admitido al proyecto." ' ingresos y gastos, boicot documento» que podirodar á la comuiau mltim El Sr. Secretaria del Despacha de Hacienda-. «Es predio «fiscutir en la idea de las nryreidades y. recunot dd país. Hieda toy bien sp snda &lt;1 asta totalidad el «surto cómo ha dicho el Sr. Presidente. Luego entraré la discu do que se prewnu en dicho informe, y la roeniiicu no «sega que ha «m; pero' sión de la primara parte del dictimen da la comin…</t>
  </si>
  <si>
    <t>Es, Sixto Avu-r.era</t>
  </si>
  <si>
    <t>Sixto Avu-r.era Es</t>
  </si>
  <si>
    <t>…ecto á la colonizucioíi de Argel , wndrá que re nuestra Señora Dona Isvhml ii, »c h.1 '.&lt;*riid - tor'Lr.r el vomerno mj.il, solver las siguientes cuestiones que el gohierno le ha presentado. político de Mordía al teniente coronel D. Sixto Avu-r.era. ¿Es sano el territorio de Atgel , y ál propósito fcara que b&gt; habiten v culti ven europeos? ¿ Hay fundamento para esperar que sm luccr sacrificios nuiy cos tosos compensará dentro de po_-&gt; U prestan del ritorio de Ar¿H , lo. g.isK* q;*e ya se han he^-ho en aquel ñus? ¿Qué símenla de adimntsir.K'nm se d…</t>
  </si>
  <si>
    <t>Es, Subercase El</t>
  </si>
  <si>
    <t>Subercase El Es</t>
  </si>
  <si>
    <t>…tual, opinaba que se de La com;sion de Marina notició por medio de la secretaría haber nom clarase su aptitud legal para desempeñar el cargo que su provincia le había con brado para su decano al Sr. Ulloa, y para su secretario ai Sr. Subercase. El Es ferido i mediante estar ya decid.do que los bienes de la muger son pi opios del tamento quedó enterado. marido. Asi se aprobó. Igualmente lo quedó de las exposiciones remitidas por los Sres. D. Ma- A invitación del Sr. Presidente entraron i jurar y tomaron a.iento los nuel María Losada , electo pro…</t>
  </si>
  <si>
    <t>Es, Viga y Rio</t>
  </si>
  <si>
    <t>Viga y Rio Es</t>
  </si>
  <si>
    <t>…gación á pagar las contribucio- * y todos deben'jrrtstirse con igualdad á las cargas del servicio público.” «nes votadas libremente por Us Córtes” ... Se pidió por el Sr. Serrano (D. Ginés) que se votase el artículo por par- _ El Sr. Viga y Rio-. «Es seguro que .e) ramo mas, dificil ei el de contri : tes, y se acordó no se hiciese tal división. buciones en lodos los Estados. Si solo hubiese contribuciones directas podria Se votó nominal mente el artículo, según se acordó, resultando aprobado' pasar el artículo; pero no puede hacerse porque hay…</t>
  </si>
  <si>
    <t>Escalera</t>
  </si>
  <si>
    <t>….zc: Excmo. Sr. Se-rcUrio do Eiquín Tarancon , canónigo doctoral de ia íunta iglesia catedral de Vaüadoiid, Udo V dei Despacho de la Guerra. y provisor y vicario general de aquella diócesis. El mismo capitán general añade: que el coronel Escalera habla vuelto h Soncil ú», de donde 1c dÓM parte c^n igual fecha dei ¿4, de que algu- os faccioso* se habían dirigido hacu Va.drrredtbic , en cuva virtud dispuso d cho general Partes recibidos en la secretaría de Estado y del Despacho de la Guerra. la marcha hacía aquel puruo dei batallón de Ca»tiha…</t>
  </si>
  <si>
    <t>Escalera, D Joaquín de la</t>
  </si>
  <si>
    <t>D Joaquín de la Escalera</t>
  </si>
  <si>
    <t>…dicha columna y de la de D. Miguel que fue de esta corte, par¿ que en el término de 30 dias, contados desde este, acudan Cosío que concurrieron á la acción de S&lt;*dupe; y prevengo al brigadier D. Ra 4 ejercitarle en el juzgado del sr. D. Joaquín de la Escalera, del consejo de S. M., su món Gómez de Bedoya, que haciendo de sus columnas las divisiones conve alcalde de Real casa y corte, y en el que, y escribanía de provincia del habilitado D« Vicente Rumerál, se baila radicado el juicio de testamentarla; con apercibimien nientes, persiga los restos de la»…</t>
  </si>
  <si>
    <t>…que una comisión, compuesta de D. José Ma Vengo en suprimir la secretaría de la presidencia del extingui ría Calatrava, ministro dei supremo tribunal de España é Indias; do Gmsejó de Castilla, cuyos papeles se pasarán al archivo general -■ D. Joaquín de la Escalera, ministro de la Real audiencia de Ma del Consejo Real de España é Indias; quedando tesantes todos los drid; D. Pedro Jiménez Navarro, fiscal del mismo tribunal; D. Fe- empleados en ella, con el sueldo que les corresponda por clasifica Jipe López Valdemoró, abogado del colegio de Madrid, y D. Ma ció…</t>
  </si>
  <si>
    <t>Escalera, D Manuel Ceballos</t>
  </si>
  <si>
    <t>D Manuel Ceballos Escalera</t>
  </si>
  <si>
    <t>…ítico; en una palabra, si son innovaciones debidasá teorías abstrac El comandante general de la provincia de Soria con fecha del 12 tas ó á la imitación servil, y cuyos principios por consiguiente es-t^, dá parte, que&gt;el teniente coronel D. Manuel Ceballos Escalera le . tan en lucha con el espíritu, y aun con el lenguaje nacional, ha decia desde la campiña de S. Esteban de Gormaz, que el dia 10 llarán grande oposición en las rqasas, sumamente tenaces de sus había perseguido con su columna móvil á varios rebeldes ó ladro habitudes: y esta oposición producirá m…</t>
  </si>
  <si>
    <t>Escalera, Joaquín de la</t>
  </si>
  <si>
    <t>Joaquín de la Escalera</t>
  </si>
  <si>
    <t>…se lia servido S. M. de Está, rubricado de la Real inano.=Aranjuez 27 de Abril de 1854.= clarar hallarse muy satisfecha.A D. Tomas Lobo. Rara formar la dotación de ministros de la Real audiencia de Madrid, he venido en nombrar á D. Joaquín de la Escalera; á Don Gerónimo Manuel Caballero; á D. Ramón Vicente; á D. Fermín PARTE NO OFICIAL. Gil de Linares; á D. Juan Modesto de la Mota; á D. José Alonso; á D. Fra neisco Verea y Cornejo; á D. Francisco Crespo y Rascón y NOTICIAS EXTR AXGERAS. á I). Miguel Moreno, que lo son de la misma; á D. José Francis…</t>
  </si>
  <si>
    <t>…a columna y de la de D. Miguel que fue de esta corte, par¿ que en el término de 30 dias, contados desde este, acudan Cosío que concurrieron á la acción de S&lt;*dupe; y prevengo al brigadier D. Ra 4 ejercitarle en el juzgado del sr. D. Joaquín de la Escalera, del consejo de S. M., su món Gómez de Bedoya, que haciendo de sus columnas las divisiones conve alcalde de Real casa y corte, y en el que, y escribanía de provincia del habilitado D« Vicente Rumerál, se baila radicado el juicio de testamentarla; con apercibimien nientes, persiga los restos de la»…</t>
  </si>
  <si>
    <t>…misión, compuesta de D. José Ma Vengo en suprimir la secretaría de la presidencia del extingui ría Calatrava, ministro dei supremo tribunal de España é Indias; do Gmsejó de Castilla, cuyos papeles se pasarán al archivo general -■ D. Joaquín de la Escalera, ministro de la Real audiencia de Ma del Consejo Real de España é Indias; quedando tesantes todos los drid; D. Pedro Jiménez Navarro, fiscal del mismo tribunal; D. Fe- empleados en ella, con el sueldo que les corresponda por clasifica Jipe López Valdemoró, abogado del colegio de Madrid, y D. Ma ció…</t>
  </si>
  <si>
    <t>Escalera, Manuel Ceballos</t>
  </si>
  <si>
    <t>Manuel Ceballos Escalera</t>
  </si>
  <si>
    <t>…n una palabra, si son innovaciones debidasá teorías abstrac El comandante general de la provincia de Soria con fecha del 12 tas ó á la imitación servil, y cuyos principios por consiguiente es-t^, dá parte, que&gt;el teniente coronel D. Manuel Ceballos Escalera le . tan en lucha con el espíritu, y aun con el lenguaje nacional, ha decia desde la campiña de S. Esteban de Gormaz, que el dia 10 llarán grande oposición en las rqasas, sumamente tenaces de sus había perseguido con su columna móvil á varios rebeldes ó ladro habitudes: y esta oposición producirá m…</t>
  </si>
  <si>
    <t>Escandon, D Mariano</t>
  </si>
  <si>
    <t>D Mariano Escandon</t>
  </si>
  <si>
    <t>…racia de Dios, Gran duque de Badén y duque de ella señala.=Dígolo á V. S. en contestacion.=:Dios y libertad. Méjico l.° de Zaereingein, hacemos saber á quien corresponda de derecho, que es manifiesto Junio de 1834.=Lombardo.=rSr. diputado D. Mariano Escandon. que en el cantón de Berna hay continuamente, y son toleradas reuniones de (Censor de VeracruzJ) trabajadores, en las cuales se falta á las consideraciones debidas á los Príncipes y u las doctrinas monárquicas, vertiendo expresiones y cometiendo actos desPolonia. precíabil simos; que los trabajadore…</t>
  </si>
  <si>
    <t>Escandon, Mariano</t>
  </si>
  <si>
    <t>Mariano Escandon</t>
  </si>
  <si>
    <t>…Dios, Gran duque de Badén y duque de ella señala.=Dígolo á V. S. en contestacion.=:Dios y libertad. Méjico l.° de Zaereingein, hacemos saber á quien corresponda de derecho, que es manifiesto Junio de 1834.=Lombardo.=rSr. diputado D. Mariano Escandon. que en el cantón de Berna hay continuamente, y son toleradas reuniones de (Censor de VeracruzJ) trabajadores, en las cuales se falta á las consideraciones debidas á los Príncipes y u las doctrinas monárquicas, vertiendo expresiones y cometiendo actos desPolonia. precíabil simos; que los trabajadore…</t>
  </si>
  <si>
    <t>Escario, D Ventura</t>
  </si>
  <si>
    <t>D Ventura Escario</t>
  </si>
  <si>
    <t>…de la provin n©miwodo_el t¡empo,y el trabajo , que Í£ ¡sociedad anhela el momento de ver cia de Palencia, para la de Valladolid. los instituidos en esta plaza. Con el propósito-, pues, de conciliar en lo posi -. , ..nombrando al coronel D. Ventura Escario., gobernador civil que era da ble ambos extremos, ha .acordado fa sociedad que la memoria átaace no solo la provincia de Lérida, para la de Pdlencia. QNúm. 274.) ' «1 plan para, plantificar y afianzar la estabilidad de uná' aíóciáékm cjg socorres Real decreto sancionando la ley sobre la deuda extran…</t>
  </si>
  <si>
    <t>…roducido el efecto de poneT en movimiento todos los partido»» por haberme servido trasladar al de Valladolid al conde de Gabarros, pues es muy de notar que ninguno ha mirado con indiferencia la comunica tengo á bien conferirlo al coronel D. Ventura Escario, gobernador ción de esta nota. Los adversarios de Berna esperan ver en fin humillado est» civibde la provincia de Lérida. Tendréislo entendido, y dispondréis cantón, y los radicales piensan que está á punto de tomarle una decisión* su cuniplimienlo.=Está rubricado de la Real mano.=En el Pardo á Ber…</t>
  </si>
  <si>
    <t>Escario, José</t>
  </si>
  <si>
    <t>José Escario</t>
  </si>
  <si>
    <t>…na, acompañado de la primera división S. M. la Rbina Gobernadora ha tenida á bien nombrar una conñsot^ del mismo ,al mander del Teferido general Lorenzo, con la cual se unió en él compuesta del se(.retarlo del tribunal de Cruzada D. José Escario, del canó Bastan, asi como un convoy de dinero destinado para aquel ejército. nigo D. Nicolás García P;re, y de D. Pío Molina, para que bajo las órdenes El expresado general en gefe habia sido recibido con entusiasmo por las é instrucciones del gobierno civil de Madrid, visite todos los establecimi…</t>
  </si>
  <si>
    <t>…a ilustración y celo que distinguen á D. Manuel Fernandez Va reía, del Consejo de Estado, y comisario general de la ____ En la Gaceta que se publica en esta capital se inserta entre otras cosas lo santa Cruzada; al duque deGor; á D. José Escario y á I).,i’uliio .Mon siguiente: Las Potencias arrugas del imperio Otomano har tenido siempre mi tesino»; lie \cnido en nominardi&gt;s para la comisión creada por Real nistros y encargados de Negocios cerca de la sublime Puerta, y teniendo U decreto de 51 de Agosto próximo pasado, con olijeto de formar e…</t>
  </si>
  <si>
    <t>Escario, Ventura</t>
  </si>
  <si>
    <t>Ventura Escario</t>
  </si>
  <si>
    <t>…rovin n©miwodo_el t¡empo,y el trabajo , que Í£ ¡sociedad anhela el momento de ver cia de Palencia, para la de Valladolid. los instituidos en esta plaza. Con el propósito-, pues, de conciliar en lo posi -. , ..nombrando al coronel D. Ventura Escario., gobernador civil que era da ble ambos extremos, ha .acordado fa sociedad que la memoria átaace no solo la provincia de Lérida, para la de Pdlencia. QNúm. 274.) ' «1 plan para, plantificar y afianzar la estabilidad de uná' aíóciáékm cjg socorres Real decreto sancionando la ley sobre la deuda extran…</t>
  </si>
  <si>
    <t>…el efecto de poneT en movimiento todos los partido»» por haberme servido trasladar al de Valladolid al conde de Gabarros, pues es muy de notar que ninguno ha mirado con indiferencia la comunica tengo á bien conferirlo al coronel D. Ventura Escario, gobernador ción de esta nota. Los adversarios de Berna esperan ver en fin humillado est» civibde la provincia de Lérida. Tendréislo entendido, y dispondréis cantón, y los radicales piensan que está á punto de tomarle una decisión* su cuniplimienlo.=Está rubricado de la Real mano.=En el Pardo á Ber…</t>
  </si>
  <si>
    <t>Escartin, Mariano</t>
  </si>
  <si>
    <t>Mariano Escartin</t>
  </si>
  <si>
    <t>…................. 20 llejo, se halla en M.idrid y se ocupa con verdadero celo en aprender en aquélla Un Sr. Excmo. é limo........................................................ ................. .. 500 escuela normal, el‘abogado D. Mariano Escartin, depositario de policía de esta &gt; D. Francisco Ortiz de Floresi.................. ............................................ 500 provincia, quien con licencia de la superintendencia general del ramo .reside en D. Bonifacio Fernandez de Córdoba..............................'..................... 3…</t>
  </si>
  <si>
    <t>Eschasseriáux</t>
  </si>
  <si>
    <t>…nque los prisioneros me aseguraron que eran ocho escuadrones) diri El Sr. Rogcr pide «que se declare que en tiempo de paz no se nombren al- giéndose á Villa Nova de Outeiro y caserío de Santa María con 12 piezas de mirantes;”y el Sr. Eschasseriáux «que solo haya 8 vicealmirantes y 16 con artillería y tres obuses. tralmirantes.” , Desde el momento que observé los movimientos del enemigo, conocí que Los Sres. Lacuée, Drault, Bodin, Eschasseriaux y Roger, comparando el había un ataque sério sobre nuestra izquierda, y al efecto hice colocar unos…</t>
  </si>
  <si>
    <t>Escobar, Erancisco</t>
  </si>
  <si>
    <t>Erancisco Escobar</t>
  </si>
  <si>
    <t>…alguna gracia. no es de extrañar que las llamas hayan hecho grandes progresos antes de que «Nuestra perdida consiste en los oticiales heridos siguientes: Alférez de la se pudiera apagarlas. {Mensageroi) Guardia Real de infantería D. Erancisco Escobar: capitanes giaduados de co ronel, del regimiento de Córdoba D. Manuel Michel y D. Baltasar Eerrer: ¡os tenientes D. Cayetano Cabaces, graduado de teniente coronel, v O. Romual do Aguado, y subteniente D. Joaquín Iglesias, todos del mismo cuerpo; v el ESPAÑA. teniente dei 6° ligeros D. Luis Mailen:…</t>
  </si>
  <si>
    <t>Escobcdo</t>
  </si>
  <si>
    <t>…as anteriores Córtes, dbqjue) pOrmiñ sin éste réquisítono tendría derecho para entrar en el Estamento. Menester, pues, se hace para defrostnr'él déficit, dar una razón de U si-: edtídb'dk Pltséqt repuso que ál referir él caso del Sr. Escobcdo tío tuición del tesoro* ‘ 1 bebía: fftki viffewmq'hf dé que él Ettaméntó l‘ó tomase por norma, sino de ba- Situación del Rtal tesoro. L Ks. f eer verqms él Batimento estafo^ en ci' cato :de providenciar por tf miadlo en el El producto total de las Remás de la corona (inclusas lás ' ^ - • 1 H'fire N…</t>
  </si>
  <si>
    <t>Escosura, Gerónimo de la</t>
  </si>
  <si>
    <t>Gerónimo de la Escosura</t>
  </si>
  <si>
    <t>…do qq^.sq recomiende á las casas de educación los compendios Títulos al portador del 5 p. 100. 60 al contado. de la historia de Cjrppja., Roma y„ España, que ha publicado en esta corte Inscripciones en el gran libro á Vp. 100,00. D. Gerónimo de la Escosura (Id.) Títulos al portador del 4 P* 100; Í3¿ al contado: S4Í á 60 d. f. 6 rol. ai contado. no consolidados, Vales Reales \7\ 00. negociable de $ p. 100 4 — ■ - resolviendo que la solemne apertura de las Cortes- generales del reino se Penda papel, verifique en el salón del palacio de Proceres. (Afam.…</t>
  </si>
  <si>
    <t>Éscosura, Gerónimo de la</t>
  </si>
  <si>
    <t>Gerónimo de la Éscosura</t>
  </si>
  <si>
    <t>…uadida S. M. la Reina Gobernadora' de la necesidad de fijar reglas Para la plaza de censor regio supernumerario de esta provincia, vacante uniformes á las sociedades económicas del reino para el desempeño de sus pa por ascenso de D. Gerónimo de la Éscosura á otra de niímero, se ha servido trióticas tarcas, se ha dignado encargar en Real orden de 4 del corriente á una S. M. la Reina Gobernadora nominar á D. Cipriano Clemencin. comisión compuesta del Sr. D. Juan Alvarez Guerra, de D. Antonio Sandalio de Arias y dé D. Joaquín María Perez Quintana, la fo…</t>
  </si>
  <si>
    <t>Escotara, Gerónimo de la</t>
  </si>
  <si>
    <t>Gerónimo de la Escotara</t>
  </si>
  <si>
    <t>…mpuesta de D. Joaquín Carrion, ministro del siten personalmente sus respectivas diócesis en la parte agitada por tan destruc supremo Consejo de Hacienda» de dicho subdelegado D. Fermín Rodríguez, y toras discordias. Dios dcc.' de D. Gerónimo de la Escotara, vocal de la Real junta de Fomento de la ri queza dd reino, forme y me proponga por vuestro conducto un proyecto de A consecuencia de las Reales órdenes anteriores dirigidas á los RR. obis pos y prelados, el de CMdhorr.t y la Calzada se halla en Vitoria despees de' ley que determine la calidad de l…</t>
  </si>
  <si>
    <t>Escovedo, Ramón Luis</t>
  </si>
  <si>
    <t>Ramón Luis Escovedo</t>
  </si>
  <si>
    <t>…te de pro manifiesta mucha simpatía por el que va á reemplazarle. * vincia, y en la actualidad oficial de la dirección general de Rentas¿ y para la Se dice que lord Granville anunciaba que pronto dejaría la embajada in de Avila a D. Ramón Luis Escovedo, también antiguo intendente de pro glesa en Paris; anadia que el duque de Wellington no había manifestado aun vincia. ninguna intención acerca de su reemplazo; que si el duque se uniese á una fracción de liberales moderados, no era imposible que le insinuase algunos de seaos de quedarse en Paris. L…</t>
  </si>
  <si>
    <t>Escu, Rafael</t>
  </si>
  <si>
    <t>Rafael Escu</t>
  </si>
  <si>
    <t>…ridos, 6 contusos, 2 prisioneros, de ellos un oficial y 7 las casas apoyadas sobre el convento de Sama Clara , é hice que el teniente de caballos entre muertos y heridos. artillería D. Juan Vasco y el subteniente de la misma arma D. Rafael Escu dero bajasen del Campillo un cañón, que se situó en el camino de la Rioja tan El mismo comandante general remite el parte siguiente que le ha dirigido Oportunamente, que parapetados los facciosos en la venta llamada del Gallego, el de Guipúzcoa. la abandonaron; y avanzando el canon en proporción qu…</t>
  </si>
  <si>
    <t>Escudero, Teótimo</t>
  </si>
  <si>
    <t>Teótimo Escudero</t>
  </si>
  <si>
    <t>…edita adtñírñstticion ¿e justicia^ elevando uno' y fchpiTs S Tuertes, £ D. José Móntemáyor; á D. José Villattueva,' á pojn conocimiento de S.' Míj bara la resOfüCÍdJi que estime concediente. José Martínez Areta, á D. José Mier, á D. Teótimo Escudero,! De -Afad orden lo°di¿» s:V. E. pati suimtwigOTC¡xytatiñfflimián!- D. Matías Herrero Prieto, á D. Francisco Redondo y á D. José to. Dios guarde á V. E. muchos años. AraDjuez l.° de Abril de María Calatrava. Y para fiscales de las mismas a D. Manuel Liza- I8.34. = Nicolas María Garelly. = Sr. Presi…</t>
  </si>
  <si>
    <t>…n, paguen por puertas los 4 rs. v 20 mrs. señalados en la tarifa, v I ría Manescau , que lo es de ia de Granada; debiendo pasar el actual goberna- sean libres las emporradas en los buques. 6* Que las pipas del reino vacías ó [dor D. Teótimo Escudero á servir su plaza en el Consejo Real. Tendréislo en- llenas sean libres de toda «lase de derechos y arbitrios á su extracción del reino. [ [tendido, y dispondréis lo necesario á su cumplimientoc^Está rubricado de la 7.a Que los flejes de hierro paguen por derechos de entrada, los que están se-I [Re…</t>
  </si>
  <si>
    <t>Ese, CatalUra</t>
  </si>
  <si>
    <t>CatalUra Ese</t>
  </si>
  <si>
    <t>…Estado pidió que se leyera el arL 130 servadoras los males causado* por la reacción de 1823 , que ahrió una larga del reglamento, y asi se verificó. brecha en la sociedad, qne hizo enmudecer á la justicia negándose al desagra El Sr. CatalUra- "Ese artículo trata del modo de hacer la* peticiones los vio, y que considerada moralmcnte es un inmenso vacíoProcuradores, y no puede tomarse ahora en cuenta.” Entrc los. actos arbitrarios de esta época, de dolorosa recordación, ninguno El .Sr. Secretario drl Desparto de Estado-. "El reglamento está cl…</t>
  </si>
  <si>
    <t>Esmiieyes, Ramón María de Arrióla y</t>
  </si>
  <si>
    <t>Ramón María de Arrióla y Esmiieyes</t>
  </si>
  <si>
    <t>…la persona que facilite la multiplicación de los ejemplares de aquellasVaqupr, á D. José Banguells de Eixalá, á D. Felipe Martínez Motápeles se le aplicarán inmediatamente ¡as penas impuestas por las retin, á D. Antonio Veas, y á D. Ramón María de Arrióla y Esmiieyes de la imprenta á los contraventores, publicándolo en la Gacetavel: y para fiscales, á D. Pedro Pasdasio Galvo, de lo civil, y á Don de Madrid y Anales administrativos: la policía formará sin dilaciónJoaquin Alconisa, de lo criminal: Y es mi voluntad que cada uno una matrícula ó empadronamiento de todo…</t>
  </si>
  <si>
    <t>Ésñuña</t>
  </si>
  <si>
    <t>…ra lo* botánico* ? cosecheros no alcance está ttdap$*&lt;Ut?:.M&gt;- 4 cuyo para los inteligentes, y agricultores tes de otra naturalezaj cuyas maderas y leñas aumenten su riqueza y como sobre algodon el cultivo con aplicación moría en general 4 Ésñuña* y cosecha dei y didades.. particularmente á Motril: por el misino autor: un fofteto en 4*° Véndense en Tps li *•* Otro premio de medalla de oro y patente de socio al autor que pres brerías de Ranz y de Brun: la 1.a 4 16 r*. en rustica y 20 en poste, y la 2." 4 9&gt; t». ijft iente la mejor memoria biogr…</t>
  </si>
  <si>
    <t>Eso, Presidente</t>
  </si>
  <si>
    <t>Presidente Eso</t>
  </si>
  <si>
    <t>…s de Villacampo contestó que ya se habia sustituido la pa se han de agregar para hacer las propuestas, no puede adoptarse la adición del labra escuadra. Sr. de Agreda, que es como sigue: «No estando expresado en el artículo 12 El Sr. Presidente. «Eso podrá verificarse cuando se dé cuenta del pro quien ha de nombrar el individuo de cada clase que se ha de asociar al consejo yecto de ley; pero no tratándose del acta.” de disciplina para hacer las propuestas de capitanes, tenientes ó subtenientes, Se mandaron pasar á la comisión de lo Interior las…</t>
  </si>
  <si>
    <t>Eso, Presidente'</t>
  </si>
  <si>
    <t>Presidente' Eso</t>
  </si>
  <si>
    <t>…to debe re* comisión se ha creído en deber, pera corresposidcr é 1a confianza del Estamen caer la discusión nuevamente sobre la totalidad del proyecto.” to , de examinar detenidamente el proyectojjue te ha presentado por el Go El Sr. Presidente'. «Eso es precisamente lo que va í ejecutarse; pero el bierno. De este eximen resalta que él ha faltado en dicho proyecto, y aa al dictimen de la comisión abraza ñau totalidad si proyecto de ley, y lo dtti- modo de-presentarlo, é larrircunEtancias qoe proviene di referido Estatuto. Se faltó é «a disposici…</t>
  </si>
  <si>
    <t>Espada</t>
  </si>
  <si>
    <t>…s por este Mo Los concurrentes tuvieron en esta ocasión el grato placer de ver por pri narca en sus visitas á la exposición de pinturas, prolongada por complacerle. mera vez.cqfijcfidocn la clase el retrato del Excmo. ¿ limo. Sr. obispo Espada, Lo que granjea al Emperador todos los corazones es su mucha sencillez; re ¿ cuyo filantrópico é ilustrado anhelo por el engrandecimiento j prosperidad corre á pie todos los barrios de la ciudad. En el último baile que se ha dado de esta'isla-de su predilección, debe lq.'Habana no-solo la erección…</t>
  </si>
  <si>
    <t>Espada, Manuel</t>
  </si>
  <si>
    <t>Manuel Espada</t>
  </si>
  <si>
    <t>…los Fanch ; D. í oren/r* Smuhs. Soria , 9.° de linca =1 enicntc , D 1c nací o V: ñcd alféreces , D. Nicolás de El comandante genera! de Asturias avisa con la misma fecha hallarse aquel ll Fax, herido . v D. Jo-*e Antonio luri rt: D. Manuel Espada: D. Sumías principado en completa tranquilidad , y que los facciosos que compusieron las Chaquetón ; D. Joaquín Alberti, D. Angel Prat. D. Nicolás fiedano; D- Luij</t>
  </si>
  <si>
    <t>Espaitero</t>
  </si>
  <si>
    <t>…bricas de lana, compuso una disertación le de los mejores y mas decididos de los ex-realistas de Bilbao. Según dice el que va unida á este tratado sobre el estado de las fábricas en aquella ciudad, por la gobernador de Bermeo, el general Espaitero persiguió por espacio de tres ho que mereció la atención y elogios de la sociedad económica. ras i los enemigos, que se retiraron á Gucrnica, llevando muchos heridos.” Elementos de Gramática general con relación á las lenguas orales, á la cyal acom Él capitán general de Valencia con-fecha ó del cor…</t>
  </si>
  <si>
    <t>España, Francisco Miranda y</t>
  </si>
  <si>
    <t>Francisco Miranda y España</t>
  </si>
  <si>
    <t>…s á propios, ha Intervenido la contaduría to , tremolando el pendón Real, por ausepcia del Sr. marques de San Martin, provisional el ingreso en la depositaría ds rentas de aquella ciudad de 34,585 alférez mayor de aquella ciudad, D. Francisco Miranda y España; y seguía á rs, vn. la procesión una numerosa comitiva de militares, empleados y particulares con Se -van despachando todos los expedientes sobre excepciones para cargos vidados á aquella ceremonia por el ilustre ayuntamiento. Apenas llegó la.pro- municipales, y todos-los relativos á construcción,…</t>
  </si>
  <si>
    <t>ESPAÑA, Guillermó-Fcderico-Enriqun</t>
  </si>
  <si>
    <t>Guillermó-Fcderico-Enriqun ESPAÑA</t>
  </si>
  <si>
    <t>…Cronstadt, se presentó á bordo del Zeeun un ayudante del Emperador, para hacer el servicio cerca del Príncipe, y poco después se presentó el mismo Emperador en persona, habiendo salido de Peterhof en un buque de vapor. Recibió al Príncipe Guillermó-Fcderico-Enriqun ESPAÑA. coa la mayor cordialidad, y aunque apenas había anclado aun el Zeeun, y Madrid 21 de Jallo. aunque caía del cielo en aquel momento un fuerte aguacero, examinó el navio hasta en SUS menores detalles, después de lo cual -S. M., acompañado del jóveik CORTES. Principe, visitó un navio de línea ruso que…</t>
  </si>
  <si>
    <t>ESPAÑA, Ltlenborougn</t>
  </si>
  <si>
    <t>Ltlenborougn ESPAÑA</t>
  </si>
  <si>
    <t>…sión de cues dre patria. Se asegura ha sido nombrado director uno de los mas ríeos prcEpfe tarios de bienes raíces que s* conoce en esta capital. {Mifuagerv}. tiones políticas- , Vn b Cámara de Lores del 13 del corriente preguntó lord Ltlenborougn ESPAÑA. . cubado empezarían tu vacantes de pascua y cuánto tiempo durarían. El conde 'Grey dijo que proponía'á U noble Cámara suspender sus sesiones desde el 25 Ugijjr 28 dt Frhrrro. ! Fl rrunramwnto de 1» filia de ílfijaf. antigua -capital de Im Alpujarm. ‘ 'Marzo hasta el 14 de Abril siguiente, y asi se…</t>
  </si>
  <si>
    <t>ESPAÑA, Luis de Irbach-Schoenberg El Prín</t>
  </si>
  <si>
    <t>Luis de Irbach-Schoenberg El Prín ESPAÑA</t>
  </si>
  <si>
    <t>…hoy el coronel Gustawson, y el general Cubieres. En Berlín es considerable la afluencia de extrangeros. El príncipe Mauro* cordato, embajador de Grecia en Munich, llegó el 14, y piensa permanecer aquí algún tiempo, y lo mismo el conde Luis de Irbach-Schoenberg. El Prín ESPAÑA. , cipe Federico de Holanda salió el 17 para el Haya, y nuestro Príncipe Au gusto está ya casi curado de la caída que dio del caballo. Madrid 2 de Diciembre. Entre los extrangeros que mas llaman la atención pública debe citarse á Parte recibido en el ministerio de Grada y Justicia.Mr. Rossetti, cóns…</t>
  </si>
  <si>
    <t>España, Ser La</t>
  </si>
  <si>
    <t>Ser La España</t>
  </si>
  <si>
    <t>…precisada á defender su terreno anualmente contra las olas del mar, reducida como los otros por su causa, otra cosa seria. únicamente á sus canal» y su tráfico... «Respecto al-estado de las provincias meridionales, la pintura del Sr. Ser '«La España , para valerme de un ejemplo mas cercano, es un pais agríco rano, mas ó menos recargada, « exacta: y {cómo se remedia «te mal? Los las pero que ai mismo tiempo tiene provincias litoral», que por su posición productores dicen: «no hay caminos, no hay canal»; pero extraigan ustedes geográfica tienen…</t>
  </si>
  <si>
    <t>Españoles</t>
  </si>
  <si>
    <t>…inó este debate, continuando la-discusión. asi podía llamársele á Fernando vn. Recordemos, Señores, aquel célebre ma El Sr. Alcalá Galiana: «Precisamente el incidente que acaba de termi nifiesto de M^20 de 1820, en el que dijo el Rey: «Españoles, marchemos y narse, añade nuevos embarazos á los que de suyo me ofrece la cuestión, para yo el primero por la senda constitucionaly si bien es cierto que algunas no renunciar la palabra, ni seguir el consejo de un Sr. Procurador. que no por provincias, respondiendo al eco de la Isla de León y Cádiz…</t>
  </si>
  <si>
    <t>Esparta</t>
  </si>
  <si>
    <t>…; habien deshecho lo vondujeron los facciosos á un pueb.o de Alava, y ios demes andan do tomado posición en una altura, á la que se seguían otras y'Ofras; los gran - errantes en peque?**» grupo* pe-^cguidus por las tropas del Sr. general Esparta-</t>
  </si>
  <si>
    <t>Espartara</t>
  </si>
  <si>
    <t>…aquella capital y pueblos de su Vt- 'prevenido se dirigiese a Manaría por sí el enemigo caía sobre aquel punto; cr- 1 ga sí disfrutibáídabsl saludt y &lt;jue' en lá ciudad dé Motril seguía disminuyendo jesjeftda.de ,nMÍc#&amp; dej ¡Srf general Espartara,,. ¡fui; i RiJbao.yófl.el ohjeto de “el númerode^énfertrios-y fallecidos, habiendo ocürridqsolo tres casos dé ésta,jalgirj $i paradera, y, ¿ají mjsmó tle aqpcj cg,u^, tropa; tlrto. y. otr¡a lo xonsqgiq, • lúlt¡ma&lt;¡lase dótdéel 26 al 28 de "Mayo ambos inclusive. B»&amp;% ” ’ " r...................... ’…</t>
  </si>
  <si>
    <t>Esparte</t>
  </si>
  <si>
    <t>…do que disfrutan cada Partes recibidos en la secretaria de Estado y del Despacho de la Guerra. uno: cuáles $og£us atribuciones; y si se puede suprimir alguna de sus plazas, De los últimos partes relativos á Vizcaya resulta que el brigadier Esparte sin faltar al buen servicio de La casa. ra, comandante general de aquella provincia, sorprendió á las cuatro de la 4. a Qué clase de personas enfermas se admiten en ella: cuántas suele tener mañand del 23 de Febrero en Bermeo , el llamado balaban de Barrutia, que constantemente por un cálculo regul…</t>
  </si>
  <si>
    <t>…divisará los rebeldes ^ El comandante general de. las provincias Vascongadas con fecha de 30 en el valle llamado las Muelas, y al momento dispuse que el alférez del regi de Noviembre manifiesta, que habia llegado á aquel punto el general Esparte miento de caballería del Rey, D. Martín Ramírez, se encargase de la van ro, con tres compañías, siguiendo el brigadier Iriarte la persecución de las guardia compuesta de 4 soldados de su regimiento, 11 lanceros y un ordenanza facciones de Castor, Sopeiana é Ibarrolilla, que llevaba por delante huye…</t>
  </si>
  <si>
    <t>Espártelo</t>
  </si>
  <si>
    <t>…1os Por.litó votos contra' í So se aprueba el trido de la ley , y se levanta la 'fácerbsos vizcaínos se épcáminabaii por diversas direcciones 4 su provincia, sien ,-sesion.. -'•■'••- do. pétseguidos p6f las íropas al toando ‘del brigadier Espártelo. l- . ■ Hh despacho telegráfico1 de Lyon anuncia con fecha de hoy que han sido ; E1 brigadier Bedoya había tfsjfaí&gt;Iec»do columnas móvílés^a! apero de fos. presos Ios-cabecillas de la sed itiOn que excitaban fia poblacioñ de Saint* Etienne plintos fuertes de Ordi/fía,’Valftiaseda y Castrourdiáles, p…</t>
  </si>
  <si>
    <t>Espartenj, BálnQnjerQ</t>
  </si>
  <si>
    <t>BálnQnjerQ Espartenj</t>
  </si>
  <si>
    <t>…JL , para -qúé si lo tiene ¡á bien .se sirva .eleyárld al . de S. M. i- a. Dios &amp;C.- Cuartel .general divisionario.de Plencia 9 de Octubre de 1834* Según. Ios-partes dei comandante general de las provincias Vascongadas -ssEjcamo..Sr.=BálnQnjerQ /Espartenj^ésEttctno. Sr. Secretario de Estado y del .del 21, Jos movimientos de ladivision disl .brigadier Odoyle sobre .Vizcaya, Despacho de ia Guerra. , &gt; habian obligado alPretendiente |á retirarse hacia Elorrio, de donde so decia que por Mondrágon sé dirigía á .Oñate. .. Excmo. Sr.:! Ai iExctno. Sr. .Cap…</t>
  </si>
  <si>
    <t>Espartér.o</t>
  </si>
  <si>
    <t>…del medio dia de hoy, y por medio dé nado á dicho eqtrierno buena ocasión para manifestar á ja Francia qae jf* en contrado en eí ejército el mas fimfc apoyo: ventaja (qpq no sacrificará lizeua- un confidente recibo el oficio del general Espartér.o que con- fe tnente, hacíendpjejservir de instrumento para conseguirjotras miras!, ____! „ cha 14 del actual desde Munguia me dice lo siguiente: Excelen El mariscal Soult, tan señalado durante el imperio por sus hazañas, -había tísimo Sr.: Después de fres dias de penosísimas marchas en que 'perdido…</t>
  </si>
  <si>
    <t>Espartere, Baldomero</t>
  </si>
  <si>
    <t>Baldomero Espartere</t>
  </si>
  <si>
    <t>…go el honor de manifestar í V. E para su superior conoci Pamplona............. 20 Set á 5 Oct.* ^ cindario. 2 22 &gt;251 milita—miento. Dios &amp;c. Cuartel general divisionario de Guernica 5 de Octubre de 1834* » res. ... 16 17 =Excmo. Sr.=Baldomero Espartere.=Excmo. Sr. Secretario de Estado y del f 86 en el veDespacho, de la Guerra. Puente la Reina.. 26 Set á 2 Oct.&lt;) cándano. 24 18 1 5A militaExcmo. Sr.: Según mi parte de ayer vendrá V. E. en conocimiento de res. . . . 13 7 que el dia 5 fueron dispersadas por mi columna, y alejadas de estas cercanías,…</t>
  </si>
  <si>
    <t>Espartero</t>
  </si>
  <si>
    <t>…en las costas:” los capítulos 4 y 7 El comandante general de las provincias Vascongadas con la misma fecha so se toman en consideración por haber sido aprobados en el otro presupuesto. dice, que las cuatro columnas del mando del general Espartero, de los briga M. Mercier propone «que los libros ó estampas que se den á luz por cuen dieres Benedicto é Iriarte y del coronel Carrera, persiguen vigorosamente á ta del gobierno, ó los que este adquiera por suscripción, se distribuyan única Castor y sus compañeros que están muy apurados. mente á la…</t>
  </si>
  <si>
    <t>…on fecha 28 de diciones de los accionistas en el fondo de la compañía á aquellas personas que Setiembre último dice á este ministerio lo que sigue: tengan conexiones con la Península por su comercio y propiedades. Exctno. Sr.: El general Espartero desde Elorrio^y en 26 del corriente Para inteligencia de las personas que ignoran las nricasiextensas^deTós . me 4mtatfcri6~que'en 17 le decía desde Bérmeo el gobernador D. Juan Du empresarios, se hace presente que observándose una exacta regularidad en las ran, coronel del provincial de Trujillo,…</t>
  </si>
  <si>
    <t>…7 enfermos que en 25 del mismo mes existían rq.la sierra de Aralas, según parte del gobernador de aquel punto, también for «n dicho pueblo padecían enfermedades estacionales con algunas leves sínto tificaJp. . . mas de cólera. El general Espartero, que desde Ochandiano se había dirigido al valle da PXOVIHCtA »B OVIEDO. ArrZ.tif sobre Jaj facciones de Sopelana, Ibarrola y Castor, no pudo obligar íais a combatir; y habiendo llegado oportunamente sobre ellas desde las Encar En los dias 23, 24 y 25 de Octubre anterior murieron 32 peisonas en la…</t>
  </si>
  <si>
    <t>…triótico objeto del autor de estos programas, que lleva hecha mención en el parte anterior, se dirigió ú Bilbao con el fin de no solamenté ha acordado su publicación, sino que queriendo realzar en cuanto ponerse de acuerdo con el brigadier Espartero para la continuación de los mo [esté de su parte el valor de los premios ofrecido», promete i los que merezcan vimientos , y en seguida regresó pot Amurrio á continuar la persecución de alcanzarlos el título de sócio de mérito, conservando también á los autores Iz Castor con el objeto de impedir su…</t>
  </si>
  <si>
    <t>…lta dignidad: para evitar que se entorpezca la marcha del Gobier Iriarte dispersó el dia 29 los restos de Ja facción de Castor, que no por la interposición de fuerzas mal dirigidas; y en fin, para ase ’ acosada por la columna del brigadier Espartero, se dirigia á Gelgurar todos los bienes que S. M. ha hecho y prepara á la nación. dames. Los rebeldes huían en grupos de 40 y 50 hácia GordejueÉste importante beneficio coronará los demas. la, dejando en poder de nuestras tropas dos cargas de paños, bastan te cantidad de pólvora, pistolas, sables y…</t>
  </si>
  <si>
    <t>…el bloqueo de. las plazas Mayo desde Vitoria da parte á este Ministerio de haber recibido aviso del go inmediatas, de Jurumeña, Yelves, Campomayor y Ougüela, decidí oficiar al bernador de Vergara, por el que le comunicaba que el general Espartero habí* gobernador de la dicha de Yelves, como mas principal, en los términos que atacado en las inmediaciones de Dima el dia 28 á las facciones reunidas de Tor 3p*receQ de la copia húmero 1.a, escribiendo al mismo tiempo lo que refiere ré , Castor, Sopelana, Basilio, Goiri ¿ {barróla, á quienes desp…</t>
  </si>
  <si>
    <t>…ción i ia poca extensión de las piezas en que se hallan establecidas Según las últimas noticias de las provincia Vascongadas, el 28 marchaban k mayor parte de ellas: desde el dia 2 del corriente se hace diariamente la reunidos el general Espartero y el brigadier Eedoyasobrc Zumalacarrcgui , que limpieza de las calles: se ha principiado á ejecutar la clasificación de los.men retirándose delante de nuestras tropas, habia llegado á Azpeitia y Azcoitia; de digos, y concluida, que será en breve, saldrán de la capital los forasteros, previa cuyas re…</t>
  </si>
  <si>
    <t>…á bien separar á D. Manuel Gócongadas, que tampoco habia novedad en Alava; y que por la parte de-Viz mez del Casal de la plaza de oficial Z° de la estafeta de Pontevedra, man—,caya se estaba realizando el movimiento combinado del general Espartero y lo» dando que se le proponga para otro destino fuera de las provincias de Galicia,brigadieres Iriarte y barón dei Solar de Espinosa. reemplazándole en el actual D. Victot García, oficial 3.D de la contaduríadé Propios, de dicha provincia, i Asimismo se ha dignado- S. M. conferir la plaza de oficial…</t>
  </si>
  <si>
    <t>…j Arpiada, (¿i.) : á ‘ 1 El comandante general de lat provincias Vascongadas, cCm Techa de 3 del Real orden arrufada á dos prelados del clero secular y regular de España .ava actual desde Vitoria, 'traslada el parte siguiente del brigadier Espartero, coman dándoles empinar tlas -facultades que les concede sy. elevado ministerio f dante general de U provincia de Vizcaya. ' contener lA excesos de áígúnos de s*a respectivo* . . . Excmo. Sr.’. Después de haber perseguido sin descanso por muchos dias á publicando, para que sirva de ejemplo, la fide…</t>
  </si>
  <si>
    <t>…s. Fallecidos. obrando yo del iW»tno , ipodo, cuidando ^e'manifestar é V. É. los ulteriores Gravee* Levte* qiie tésultáfjps creo'ventajosos , por lo expuesto. 24 4 ' *»' a» «a , H ,«%i? de buen conducto saber'por Áeitio gué¿l Sr. general Espartero ha *pr¡* 26 4 9» . M H M prendido en la mañana dei 30 en Ibarra á D,1 Basilio, Ibarrola, Cuevillas y 1» U W t» 17 4 ■ - 4 varios cogiéndoles matándoles mucha gente", prisioneros, Sopelana, ^«ite^de M 28 4 m X M y, varios capitanes, se dice están los Itmye ellos los muertos un coronel Entre que comp…</t>
  </si>
  <si>
    <t>…ándose sucesivamente 'mas fuerzas de tima y otra parte, hasta conseguir que lo estuviesen todas las del enemigo r que serian como $9 hombres mandados por Zumalacarregui, á los cua les con solos 2 500 venció . derrotó/ dispersó el general Espartero, protegido eficazmente en reserva por la primera brigada dé la lAdi visión, dirigida inmediatamente par el general Lorenzo, á quien habia advertido yo lo conveniente, cumpliéndolo con la exactitud que acostumbra: mis disposiciones se extendieron á preparar las medidas oportunas para no per der de v…</t>
  </si>
  <si>
    <t>…ciones de la santa Alianza El primer batallón de voluntarios de la Rioja marchaba el 3 ¿ acanto relativamente á la Alemania^ que debieran ser de la mas alta importancia para narse en Haro. 1 el gobierno francés.” (Aiensarno.') El general Espartero, después de haber repuesto á las tropas de su man . -7 do de los efectos mas precisos, salió de Vitoria el primero para obrar otra ____ Escriben de Toion lo siguiente: vez en Vizcaya, conduciendo el dqüipo que había allí detenido perteneciente "Me apresuro á anunciaros la llegada á nuestro puerto d…</t>
  </si>
  <si>
    <t>…situados en la parte de Guernica, habían hecho correr la voz de que trataban de venir 4 atacar esta villa, lo que no dudé rea bolsa de comercio.__Cotización de hoy 4 las tres de la tarde• lizarían para ver si lograban distraer al general Espartero de sus operaciones; con efecto al amanecer del 28 lo verificaron, presentándose en las alturas de EFECTOS PUBLICOS. Begoña, como unos 300 hombres: los deje bajar 4 tiro largo de fusil, en donde Inscripciones sobre el grati libro á f p. 100. 00. fueron tantos los insultos y denuestos que nos dijeron ,…</t>
  </si>
  <si>
    <t>…nBUbeó- lar fuerzas reunidas del generat Esparten»' Muertec^Zs-; ‘ '--'.t-' t , : it y ¿el brigadier Bedoya„que ahuyeritarqá de "Vizcaya á ZumatacaTregui, buf- . Curadpa&gt; 4* : -p httdb^íei-pTeyecHts jaé liabian' separado :la*&lt;&lt;Ml general Espartero principiaban TyrVi., .^Wflpwi^-iPPTODWbluu: t.&gt; - . . -- -.1*- a .1 A subdivídirse en. las guarniciones. dcHibaf j, lequj:¡itoK Alarqtüna:y otraspara Con fójKatí det corriente pqrtjtdpa el gobernador civil de dtetí fréoieliUí continuar et desasne dit país ? y las dél brigadier Bedoya-debian volvers…</t>
  </si>
  <si>
    <t>…sibilidad á vuestros males, he rendido gracias al cielo porque mo Excmo. Sr.:En mi últimocomunicado fecha 28 del anterior manifesté i V. H. ha colocado de nuevo en posición de renovar nuestras antiguas reladioMts, y la marcha del general Espartero sobre el valle de Arratia, del que arrojó á lo* de cooperar en unión con ellas, y con la fuerza del valiente y disciplinado enemigos que tomaron la dirección de Llodio, adonde los persiguió , hasta que ejército que tengo el honor de mandar, á vuestra entera pacificación, haciendo habiendo hecho mov…</t>
  </si>
  <si>
    <t>…estameñas finas, El gobernador de Bilbao cón fecha 31 de Agosto dice al comandante ge sempiternas, sargas lisas y labradas, barraganes y otros te)idus dobles por lo respectivo neral de las provincias Vascongadas: » Hallándose el general Espartero fortifi • 1 telar angosto de píe, con varias laminas que demuestran los telare;, maquinas y cando á Lequeitio, la facción de Vizcaya que reunida le atacó, ha sido com impresoherramientasen 1786,necesarias:á 12 rs. porramaManueljr 15 enSantos*rústica.fabricanteEste fabricante,de Valladoliddistinguid…</t>
  </si>
  <si>
    <t>…ara matando uno y cogiendo tres mas, sin pérdida alguna por su parte. Tegernsée á juntarse con la Princesa su madre. Ei cotnandanre militar de Bilbao con fecha del día 4 manifiesta que con tinuando hacia -Guemica las columnas del general Espartero y brigadier Iriar— . , El primogénito de la familia,ducal de Berkenfeld, Guillermo, duque de te en persecución de los facciosos batidos en Arratia, tuvo noticia del expre Baviera, acaba de ceder sus dominios de Eanz, en el alto Palatínado, y la renta sado general de que le esperaban en un bosque por…</t>
  </si>
  <si>
    <t>…en la madrugada siguiente para Ldodres á 90 dias j b. [Santander par. á 4 p. 100 al afio. Ochandiano, y desde allí á Dima, para atacarlos en donde quiera que los en 37¿* t Bilbao par á J d. ¡Santiago 1 d. contrase. . anuncios. El brigadier Espartero desde Durango le decía con fecha del 7 que después de haber arrojado del valle de Arratia á las facciones mandadas por Latorre, Sermones del P. D. Teodoro de Almeida , de la congregación de S. Felipe Neri de Luqui y ©tros, á,quienes había tomado algunas armas, municiones y 8o0 ra Lisboa , traducido…</t>
  </si>
  <si>
    <t>…ebesariamente estos números; pues no ha llegado nunca la Cá El comandante militar de Bilbio con fecha del 6 del corriente tra.mil, » mara, sino en dos ocasione», al número de 4bU individuos presentes. este ministerio un parte dei general Espartero desde Elorrio con la del IA dd Hoy este estado de cosas se modifica de la manera siguiente: l&gt;e la antigua actual, ccvo tenor es el siguiente. Cámara han salido J62 individuo», de estos ha perdido la opo&gt;icicn* 82, la por -■La facción Navarra, que en unión con la guipci^ana al mando de ZuK ción int…</t>
  </si>
  <si>
    <t>…rsecución de al las de Toledo, se dirigió á Fuenlabrada, en Extremadura, en cuya gunos que se habían atrevido á marchar hácia aquel punto. En dirección le salían al encuentro los urbanos de Villanueva de It Vizcaya el infatigable brigadier Espartero había tenido algunos en Serena y tropas de aquella provincia. cuentros con los rebeldes, á quienes perseguía constante y viva En las de Guadalajara y Cuenca las tropas de S. M. han vuel mente. El S se oyó fuego en Ochandiano hacia las Peñas de Gor- to á sus acantonamientos por haber sido arrojado ¿…</t>
  </si>
  <si>
    <t>…ornamcntosjde que usa en los dias mas solemnes , y en la parte ex Jáuregui , procedente de Guipúzcoa, operaba también en Vizcaya en combi terior, y sobre su elevada torre, flameaban banderas y gallardetes. Las campa nación con el general Espartero. na?, tirada* á vuelo, anunciaron que era llegada la hora del sacrificio de la mi No se sábele Merino, que alguno* suponen enfermo y oculto : se sospe ta, en que este devoto pueblo debía rendirse ante el Dispensador de ios dones chó que se hallaba en el monasterio de S. Juan de Ortega; mas hab«¿ndoi…</t>
  </si>
  <si>
    <t>…ó Manso.—Excmo. Sr. Secretario de llecido también el titulado brigadier Marrón, por cuanto se le encontró el Estado y del Despacho de la Guerra. adjunto pasaporte y otros muchos papeles que tengo en mi poder, y que remi Parte del general Espartero. tiré á V. E. tan pronto como reúna los que me ofrece de Vicente, y un .hijo de Cuevillas, según la voz general de los vecinos que habían quedado en Mo Excmo. Sr.: Al Excmo. Sr. general en gefe digo con esta fecha lo que si lina;; El níimero dé Heridos debe haber sido de mucha consideración, por los…</t>
  </si>
  <si>
    <t>…rnoctando las brigadas en hizo llamar á un médico. Fue fácil conocer que aquella difunta , al parecer de Guernica. unos 37 años de edad , no había perdido la vida de resultas de ningún crimen, «El 6, habiendo recibido órdenes del general Espartero, ocupó la divi «¡no que su cabeza, llevada de un hospital, habia servido para los estudios de sión nuevos puntos , ejecutando sus movimientos en combinación con las tro algún joven anatómico. Es probable que el agua del caldero no era pura, y pas de cite general , con el objeto de circuir el terren…</t>
  </si>
  <si>
    <t>…desde el 27 al 31 inclusive del próximo pasado Ju tería D. Joaquín Ortega buscaron en lo mas activo del fuego, y sin reparar en lio, en que sucintamente le indiqué haber batido en el día al rebelde Zutnala- ningún peligro, al Sr. general Espartero y demas gefes,' á quienes comunicaron carregui, ofreciéndole los detalles de esta brillante jornada. mis órdenes oportunas eficaz y activamente durante lo mas reñido de la ac El enemigo, Exento. Sr., quedó el 30 emboscado, mas atrás del puerto ción, en que tuve también ocupado al recomendable capitán…</t>
  </si>
  <si>
    <t>…ber y sus escritos; sugeto ademas que merece la confianza de los obispos para dlrigia á las,Amescoas, hacia cuyos' puntos se hallaba Zumalacarregui. organizar el nuevo establecimiento literario. El presidente del colegio es el El general Espartero regresaba á Vizcaya, y parte de su fuerza se encami presbítero Hermans . antiguo profesor en Thiel y párroco de Uracene. So naba hacia el valle de Zuya, adonde marchaba el general Manso en persecu han nombrado seis catedráticos para enseñar filosofía y literatura, á saber : pa ción de las reliquias…</t>
  </si>
  <si>
    <t>…seguido enteramente por haber de marchar parte de las tropas da que sea la aprobación de 5. Munas á Guipúzcoa con el barón del Solar, que debía unirse con .el general Bu trón el 14 en Vergara, y otras para Navarra. El 8 batió el brigadier Espartero en Lcmona á los cabecillas Lángara y La junta de;gobierno del Banco español de S. Fernando, cop presencia de Latorre, dispersando completamente los que llaman sus batallones, cogiéndoles las utilidades efectivas que resultan del estado de operaciones, y teniendo pre armas, municiones, piedras y otr…</t>
  </si>
  <si>
    <t>…rruriaga arriba, y la de Santísima Tripidad, por el convento de la comuni-, Parces recibidos en la secretaría de Estado y del Despacho de la Guerra• dad religiosa de la misma denominación , entró en número de cuatro compañías El? general Espartero, comandante general déla provincia de Vizcaya, en la casa de Francisco Ignacio de Amuchásteguí, sita fuera de la guamicioa^ coa fecha 29 dd pasado desde Lequeitio dice á este ministerio lo siguiente: y pasando 4 la casa hospicio por medio de otra inhabitada, franqueó la puer «Excmo. Sr.: Al Excmo.…</t>
  </si>
  <si>
    <t>…ra su seguridad, y por Lóndres, A 90 días, id. Id. Santander,' Id. id. ¿ 4 pv 100-«l a4f» Azpeitía y Eigoibar je dirigió i Vizcaya i de donde i ia sazón huía el Precea- . .J8*. ¡Bilbao, par. Santiágo,.gd. diente'perseguido por el general Espartero que al efecto salió de Lequeitio, dejando aquel punto fortificado, artillado y guarnecido. .Este general, que cond»U¿ ni persecución hasta que súpo la dirección que aquel había, tomado para ANUNCIOS. las AmascuaS; y la vuelta de la-faccion vizcaína a sú provincia, pasó á Vitoida, de donde salió el…</t>
  </si>
  <si>
    <t>…isiones, del general Córdoba y Oráa, y la del brigadier O-Doyie ha regresado á las inmediaciones de esta ciudad para emprender nue vas operaciones. | ____ El gobierno de Berna recibió el 25 de Setiembre otra nota del embajadof El general Espartero ha hecho levantar el bloqueo de Bcrmeo, y ha pro austriaco Mr. de Bombelles para que hiciese salir á todos los ¡austríacos residen visto de carnes aquel puntotes actualmente en el cantón en el término de 10 dias. El consejo ejecutivo respondió que el ministro de Austria podía dirigirse al directori…</t>
  </si>
  <si>
    <t>…e el yerro no es voluntario, y qüe conductos diferentes se le uniese por JBarambio; mas ninguno de estos avisos llegó desea enmendarlo si fuese dable. Veremos con gtisto probada la ilegalidad de al brigadier Iriarte. Al llegar el general Espartero á Orozco se encontró que no cualquier hecho, porque estamos ciertos de que se reparará el maL £1 ciudadano estaban allí los enemigos, y que habían pedido raciones para que se las lleva honrado, el sincero amigo de la libertad, el portugués sensato, que á costa de sen á unos caseríos que estaban muy…</t>
  </si>
  <si>
    <t>…o. Sr. D. Juan González Anleo, á quienes repetí de 5$ hombres, mandados por el mismo, fueron vencidas y dispersadas por mis órdenes de que en combinación y sin ella so ocupasen de perseguir , batir, 2500 hombres á las Órdenes del general Espartero, sostenido por el general destruir y aniquilar al mencionado Zumalacarrcgui , pues que yo me ocupaba Lorenzo. Ei enemigo fue perseguido en todas direcciones, y el general Rodil de hacerlo al Pretendiente durante existiese sobre la tierra , y por esto resolví lea seguía aun él alcance el primero dei…</t>
  </si>
  <si>
    <t>…e su pretendido Rey,- Al intento he procurado marchar con la 1.a i Marquina para dirigirme á la contram-irchó á Bctelu y Eirasquín £ara incorporársele en S. Miguel de Excelsierra de Gastíburo hácia Bcchrona , verificándolo el Sr. general Espartero con sis, y no lo consiguió hasta Lizarraga, donde desosaron bien poco unos 7 la referida 5.a división por Bcrriatua á A morolo; mas si hubiese certeza ^de otros, porque les persezuia Figueras,y tuvieron que venirse i Alsasua, y como que el enemigo se hubiese retirado hácia Guernica , lis dos divisi…</t>
  </si>
  <si>
    <t>…a cérea de 3Ó(&gt;9 fanegas,' y su valor aproximado la provincia de Guipúzcoa, y obraba desde ella en dirección de las sierras que Í unos ^millones de reales, produciendo sil conducción hecha por labradores la separan de Navarra: el general Espartero; reforzado con algunas tropas'que de,dichas provincias rnas.de 3.SotiQ es.; pero que hahiindote aumentado lo* te le unieron ep Alava, volvió i Vizcaya, encaminándose á buscar las fa-cioportazgos y lo* derecho* que a* cobraban, habían tenido que suspender tita es aerdel valle de ArratU: el brigadier…</t>
  </si>
  <si>
    <t>…qoc pueda merecer consi pio objeto en Maestú ■, refugio antiguo de ia facción alavesa, y cambien cu fc.s- deración. tclla, cujas inmediaciones lo son comunmente de parle de la de Navar/a. Aíiru ría* Se aseguraba en Vitoria que el brigadier Espartero, comandante general Me han dado noticia de alguTus minas de cobré y plata , sobre cuya situa de Vizcaya, había tenido un encuentro ventajoso con los enemigos de aquella ción y explotación estoy reuniendo datos para reconocerlas con oportunidad, provincia. habiendo ya tomado disposiciones á fin de e…</t>
  </si>
  <si>
    <t>…cultades de-los corregidores (fnairts); ti modo • manda la columna nun-il de Alava y U guarnición de la Puebla; se puso en de hacer las subastas para obras ú otras cósás que se paguén dé' los fondos de movimienuví^deMironda, y el brigadier Espartero como de Durango a Ochanlos pueblos , y algunas de las atribuciones de los ayuntamiento^” be levanta la dia no pira seguir si hubiese sido preciso. i/ j^{C brigadier batió el 15 por la tarde en Ceanuri a los cabev.úas Luque p: sesión.</t>
  </si>
  <si>
    <t>…s rebeldes cesario , y varió de dirección sobre los facciosos, hallándose el mismo 19 en pe dirigieron en precipitada fuga hacia Navarra en dirección de Azcarate y Alzama. &lt; i. , . r.» • • , , . • , San Miguel., El 16 marchaba el brigadier Espartero sobre Güero ica, persiguiendo las Mientras las compañías de voluntarios y celadores daban nueras pruebas de restos de la facción de Vizcaya, con ¡él fin doevitaé que,se rehagan. MU valor y. decisión nunca desmentidos , las dos companias.de preferencia del El 20 debían salir de Vitoria para Castilla…</t>
  </si>
  <si>
    <t>…adas en 1&lt;5 comparezcan por la escribanía de Cámara de Fuga á exponer el derecho del corriente haciendo referencia á la acción del 19 dada en Ur- que les asista en los auto# que sigue D. Ignacio García, como marido de quía por el general Espartero confirma la considerable pérdida que Do fia María de) Cármen Perez, con DoBa Feliciana de la Moneda, mu gar de Damián Feraz, vecinos de la villa de Lupion, partido de Baeza, los facciosos tuvieron de 150 muertos y 200 heridos. sobre restitucloo á esta, pomo parte de sus bienes dótales, de una buer-…</t>
  </si>
  <si>
    <t>…corriente comunica rada todos su deber. v con espccn'.ód eí a.ferez de cabañería de Fvh- o D á este ministerio las noticias siguientes: Fi jr.cisco }V.uti-: i, !). Ki .• •'•c. &gt; Migviei y D. \Ncc-? .* Ró? , subtenantes del , »»E1 general Espartero sajín de e?ta villa al amanecer del dia 10 en direc .■ i m icn I o ric ^la.. ' rea, 1 ' i!c • ” ea. L ■&gt;, s i - • - i ¿ i . v « ' o e ¡ 'v ■ • n: ^ c u - - ' -&gt; ción al valle de Arraóa , en el que encontró á lo, cabecillas La-Torre, Luqui, Antonio Gil v D. Siturn.no Lioresida, el csbo 2.*' de cabj.…</t>
  </si>
  <si>
    <t>…os pueblos salían á porfia con palos y azadones en Los brigadieres Bedoya ¿ Iriarte han salido hny para Sodupe, donde espe su persecución , y los de Valdenegríllos, Castillejo y Valdcprado con-tus respe ran las comunicaciones del general Espartero para obrar con ia 1.a y 2.a bri tables párrocos á la cabeza. La partida de Urbanos de Aguilar fue Ja primera gada en vista de las/noticias que adquieran de la posición del enemigo. La 3.a que tuvo la gloria de batirlos, dispersarlos y cogerles un prisionero,.y el pue brigada queda ocupando el pais…</t>
  </si>
  <si>
    <t>…l Carrera, que el 6 del corriente emprendieron ItRVSlA. • ’ , sus operaciones, sobre los confines de Vizcaya. El brigadier Iriarte Berlín 17 de Abril. ' deshizo á Castor, en cuya persecución sigue; y el coronel Carrera se unió al general Espartero, habiéndose obtenido en consecuencia Los sangrientos desórdenes que han ocurrido' en Francia, y el modo con las ventajas que muestra el parte siguiente; ’ que el gobierno de aquel pais ha sido protegido y ayudado por Ja fuerza arma da , son áílos tojos. d¿ nuestros políticos una nueva prenda que. a…</t>
  </si>
  <si>
    <t>…á las autoridades legítimas, amantes del orden y zelosos por el bien y que será reemplazado por otro del mismo cuerpo procedente de aquella isla. j de la sociedad. Tal es la paz sólida y verdadera que el Hijo del Eterno Padre El brigadier Espartero, comandante general de Vizcaya, habia salido con [vino á establecer en el mundo haciéndose hombre, como lo publicaron los án- las fuerzas de su mando sobre Zavala y sus partidarios, que trataban de engroIgeles^anunciapdo su «¿cimiento; tal la que con su ejemplo y doctrina procuró •arse-cntre Marqui…</t>
  </si>
  <si>
    <t>…«4 b. Descuento de letras» Pretendiente bajo la dirección de Simón Torres, dejando el resto de sus1 fuer- Londres , á 90 dias, i id. Santander, 1 id. * 4 p. 100 al año. las , al mando del cabecilla Villareal, en observación del' general Espartero, 3H i l Bilbao, par. Santiago, ¿d* que se hallaba fortificando á Plencia. «Me persuadí que el ataque se trataba de dar con todo empeño por ha ber sabido que Castor, que se hallaba en Areta.tres leguas de ésta, recibió la ANUNCIOS. órden -para venir á ocupar la parte de Albia. Al amanecer empezaron…</t>
  </si>
  <si>
    <t>…a edad ofrecía muchos modelos, ha robado al tiempo v al ot— I ca, y la de Torre y Luqui fue -sorprendida-antes de ayer en Cearruri por la co vido la memoria de un ilustre guerrero, tan borrada por la negligencia de loe! lumna del brigadier Espartero, que le suato 20 hombres, hizo algunos prisio españoles en el «ludio de la historia, que muchos le han comutídido, engi-1 neros, y cogió bastantes armas. L). Basilio cti la Rio ja á la parte de Castilla se ñudos por la igualdad dei nombre , con Hernando del Pulgar , cronista del hallaba muy persegu…</t>
  </si>
  <si>
    <t>…uienes hizo 30 prisioneros, sin poderles dar alcance en su fuga hacia Cegama. voisa dk cotfBRCio.M-ttyiS4fÍ0* de hoy 4 las tres dt la tarde* El 23 se hallaba Castor en Gordejuela huyendo del brigadier Iriarte y del OTOS PUBLICOS. general Espartero, que con su columna estaba en Llodio para dirigirse también Inscripciones en el gran libro al 5 p. 100,00. sobre el mismo Castor y sobre Latorre. Títulos al portador del 5 p. 100 , 664, 67,66J , 6J£, [66¿, , | y 67 í varias ft. val. y fírme. Él general D. Rafael de llore remide un parte de! coronel…</t>
  </si>
  <si>
    <t>…el cólera-morbo: que desde luego habia hecho uso de las existencias pecunia ta, asi como Latorre y Luqui al valle de Arratia; por el parte adjunto del rias que tenia á su disposición , para socorrer con la posible enconomía á los general Espartero se enterará V. E de la certeza de mi comunicación. absolutamente pobres, y habia abierto ademas una suscripción voluntaria en «Posterior á este parte me avisa el general Espartero desde Lequeitio con toda la provincia para invertir su producto entre los pueblos epidemiados, y fecha de 20, que habia…</t>
  </si>
  <si>
    <t>…fábricas de ca cual tan pronto como se aproximaron las tropas de S. M. se dispersó en gru tarlos j i pretexto de la escasez de fondos, ha resuelto admitir la propuata de pos que huían por todas las alturas; que sabedor Ote que el general Espartero varia ayuntamientos que ofrecen construirlos á costa del vecindario, bajo la con dos brigadas , y ademas la del coronel Carrera, se dírigian hacia aquellos condición de que las fábricas en lo sucesivo no ,1a exijan el derecho de se valla , se había puesto en comunicación con ellos, avisándola del m…</t>
  </si>
  <si>
    <t>…adier Santa Cruz y el Parte sanitario de ¡os pueblos que se expresan. coronel Nogueras que mandan las fuerzas respectivas. Eñ Vizcaya obran activamente las tropas de aquella provincia al mando Existencia Id va lid oS. Falleci del general Espartero, que periigue vivamente á Zavala hacia los confines de Poblaciones* Días. del día Total. Curados. dos. Guipúzcoa, el cüal ha tenido mucha deserción después que fue batido el 14 anterior. Graves. Leves. en Ermua; y mientras tanto el brigadier Bedoya con la división de Castilla opera sobre el valle d…</t>
  </si>
  <si>
    <t>…toridades contuvieron el desorden , y las heles tropas con los benemé Lis fuerzas de Guipúzcra , Vizcaya y Alava , al mando dei brigadier Jáuritos milicianos Urbanos se hicieron dignos del aprecio de todos los buenos, y regui, dd general Espartero y dél coroael Carrera, se reunieron el mismo dia S. M. recibió una nueva prueba de su constante fidelidad, y de que son el mas en Salvatierra. firme apoyo de su Real trono. Los facciosos se hallaban casi enteramente reconcentrados en la Borunda, » El gobierno ha mandado instruir la competente causa p…</t>
  </si>
  <si>
    <t>…Fournel, samimomano, que dirigió en Francia las tninai El comandante militar de Bilbao da parte fi este ministerio con -feht 24 de Creuzot. No ha querido admitirlo este tibio |óven, y se ha vuelto á.Francia. del corriente que el general Espartero satió.de aquella ciudad el día interior Dentro da algunas semanas se abrirá una escuela politécnica en un palacio con dirección á tas Encartaciones-y en combinación coo el brigadier Iriirtc,</t>
  </si>
  <si>
    <t>…ble'ti't'rtal fias hace respdnsaíHéf dél destino futuro de multa I la Concha de jñáflsíjove , por háber filiado i varloí, Jff&amp;ilos deí ban tu patria' y de sii felicidad propia 'y ta'^® sus h.tióií'NÓ obstante , contó foqué do del general Espartero, ^ particularmente por'’ haber hecfidfuego de fusilería 'tlésea es el nditeríó'i da á los misenóSuréglas infalibles |úrá conseguirle', feglatCqú)! y c^ifon desde el fuerte que defiende dicho puerto; que.habiéndose presentado se reducen i ho aconsejarse sinó cb» su concietieiá , y á ¿omparar el1 mér…</t>
  </si>
  <si>
    <t>Espartero, Baldomcro</t>
  </si>
  <si>
    <t>Baldomcro Espartero</t>
  </si>
  <si>
    <t>…fei retrato de la Riüna nuestra Señora. A fcsto debe añadirse el con tiro, hiriéndole ligeramente, y en seguida lo capturó y condujo ante el briga tento extraordinario del pueblo, manifestado en la iluminación general de to dier D. Baldomcro Espartero, quien dispuso se le intimase la orden de qu; se das las casas hasta de los mas infelices, y en el esmero del ayuntamiento en las- preparase á morir cristianamente , y a las siete de la mañana del dta 25 fue pa diversiones de novillos , músicas escogidas y en la decoración de Jas casas con sado pot…</t>
  </si>
  <si>
    <t>…amos con la mayor impaciencia la llegada del correo, que deberá á V. E. para su debido conocí miento. Dios &amp;c. Lequeitio 23 de Agosto traer de oficio este importantísimo documento, para comunica rio'al público y de ld;&gt;4.= Excmo. Sr.—Baldomcro Espartero^rExcmo. Sr. secretario de Esta Satisfacer de este modo la impaciencia en que se halla desde que han corrido do y del Despacho de la Guerra.'* los rumores de encontrarse en esta ciudad dicho documento, pudiendo agregar cjue S. M. la Reina, por su Real decreto fecha 10 de Abril en Aranjuez , se sirvi…</t>
  </si>
  <si>
    <t>…e cuestión. Se ha descubierto la intriga, y directas circuns lio remite á este ministerio el parte siguiente: tancias inclinan á creer que no se retirará todavía esta legislatura. El Sr- Webster «Exento. Sr.: El mariscal de campo D. Baldomcro Espartero, desde Eybar ha expresado en un largo discurso su opinión sobre la crisis actual, y ha decla fecha 28 me dice, que sabedor de que toda la facción de Navarra y Guipúzcoa rado que el presidente jackson habia errado con suma torpeza en sus experien se hallaba en Elgoybar, salió de Durango con su divis…</t>
  </si>
  <si>
    <t>…Eugui á 28 de Agosto de 1834, á las doce de la Zumálacarregui, al tenor de las prevenciones que le he hecho, y á que podrán noche.=Excmo- Sr.=El marques de Rodil =Excmo. Sr. Secretario de Estado coadyuvar el Sr. mariscal de campo D. Baldomcro Espartero desde Vizcaya, y del Despacho de la Guerra.” según se lo he indicado, y desde la Borunda el Sr. brigadier Figueras. „Según los partes que reciba arreglaré mis operaciones, y ojalá fuesen tan «Excmo. Sr.: Hoy, como he informado á V. E. ayer, emprendí una ba satisfactorias que me obligasen á despacha…</t>
  </si>
  <si>
    <t>…Cullizas y la entrada del puente, y situando Con fecha de 5 del corriente dice e! comandante general de las provincias en este la pieza de artillería se arrojó sobre sus contrarios, que se pusieron en Vascongadas que el brigadier D. Baldomcro Espartero, comandante general de precipitada fuga hasta llegar al cerro de Zambujal. El resultado de esta acción Vizcaya, después de haber sorprendido y batido á los facciosos ca Oñ«iTc, se fue perder el enemigo varios soldados y caballos muertos y bastantes heridos, dirigió al amanecer del dia 3 sobre Eibar…</t>
  </si>
  <si>
    <t>…los mención honorífica recomendando su mériro á la consi me contenté oon situar las divisiones del modo siguiente: la 5.a, al mando del deración soberana de la augusta Reina. Gobernadora- Dios guarde á V. E. Sr. mariscal de campo D. Baldomcro Espartero, en Artaza y Galiana: la bri muchos años. Cuartel general de Muez 3 de Agosto de 1834-=Excmo. Sr.= gada- de,la 4-1, al mando del Sr. coronel Carrera, y la caballería del del Señor José Ramcn Rodil—Excmo. Sr. Secretario de Estado y del Despacho de la D. Bartolomé Amor, en Barnidano, cubrían el camin…</t>
  </si>
  <si>
    <t>…ha 8 con que se reclaman 100 cuando la deuda es solo de la mitad, excita á qüe del actual manifesté á V. E. que en aquel día había salido el comandante ge el engaño niegue aun esa mitad. neral de esta provincia, mariscal de campo D. Baldomcro Espartero con el bri Hay quien con las mejores intenciones se ha abandonado á una intole gadier Iriarte: este pasó á pernoctar á Amurrio, y aquel lo hizo en Llodío. rancia frenética, y con sentimiento hemos visto plumas de mérito mojadas en La facción de Castor, Sopelana é Ibarrola, que se había dirigido ¿ A…</t>
  </si>
  <si>
    <t>…on otras dos divisiones, al cargo del precitado brigadier comandante geneial de la misma , y de la S.J d¡- después de derrotar a los enemigos en Olazogoitia, salió d: Salvatierra el 2:9 t visión al mando del Sr. mariscal de campo D. Baldomcro Espartero, Eran de Julio para las, Amezcuas, principal guarida de las facciones de Navarra y lás once de la mañana cuando Jjs dos columnas sin descansar, variaron la di Alava. rección de la izquierda paralelamente en distancia de tres cuartos de legua una El 30 hizo el general una batidi de todo el país , y…</t>
  </si>
  <si>
    <t>…slada á este dejaba ver sus despojos y las víctimas del fanatismo y de la igno ministerio el parte que en 12 de Abril actual le comunica desde rancia sacrificados por la ambición de sus miserables conductores. Bilbao el brigadier D. Baldomcro Espartero en los términos si Nuestra pérdida ha consistido en 14 heridos, entre ellos un subte guientes: 1 niente de cazadores de Almansa. Excmoi Sr.: Habiendo sabido que los cabecillas Zavala , Val- El valor, la disciplina, el entusiasmo, y sobre todo la deci despina y otros se hallaban reunidos con 39 facc…</t>
  </si>
  <si>
    <t>…, después de restablecida en la isla la autoridad del Ciran Señor, Comandancia general de las provincias Vascongadas.=Excmo. Sr. - El sin haber sido preciso derramar sangre, y que Las naciones amigas podían con mariscal de campo D. Baldomcro Espartero, comandante general de la divi tinuar comerciando en dicha isla dei misino modo que lo hacían antes de es sión de Vizcaia, con fe^ha 18 del actual desde Orduña me dice lo siguiente tablecer el bloqueo. {Idem.) «Excnio. Sr.: Habiendo dejado en Bilbao los heridos de las acciono gloriosas que sostuvie…</t>
  </si>
  <si>
    <t>…to de operaciona del Norte.=Excmo. Sr.=En ate día vine aquí, de Guipúzcoa en dirección de Elorrio, por lo que he pensado que el Sr. ma cierto de que el Pretendiente se dirigió hácia Baraibar repasando la sierra de riscal de campo D. Baldomcro Espartero con la 5.a división de su mando, que Aralar, en la que con la densa niebla y día tempestuoso se ha .perdido, mere de en Vizcaya, situándose habitualmente en Durango para obrar contra estos ciendo á la fortuna de un pastor que halló, el que lo condujese á Madoz, don facciosos del modo mas decidido y…</t>
  </si>
  <si>
    <t>Espartero, Baldomero</t>
  </si>
  <si>
    <t>Baldomero Espartero</t>
  </si>
  <si>
    <t>…lario de la Crusca, como f AJMnm , en muy mal estado. Igualmente del gran Diccionario de Alberti de Villanova , por D. J. L B. Cormoo y D. Vicente Maurl. Un tomo 8.° pasta. Véndese á ¿o rs. eo la librería de D. Tamas Elbrigadier- D. Baldomero Espartero, comandante general de Vizcaya, re- Jord:*n, Cé' e de lá Concepción gerónlma. { míre con fecha de 29 del próximo pasado Enero copia de los partes que había — Tratado de la círíw/&lt;iWof» artificial de la moneda, per medio de un crédito público I dirigido al gencral fn gefe del ejército de operaciones…</t>
  </si>
  <si>
    <t>Éspartero, Baldomero</t>
  </si>
  <si>
    <t>Baldomero Éspartero</t>
  </si>
  <si>
    <t>…ue se hayan he dos brigadas mandadas, lá una por el brígadr^r £). Manuel Bene cho acreedores, promoviendo desde luego á mariscal de campo.al dicto, y la) otra por él cotona! de Almatisi D. fausífj dtl HoJOjl infatigable brigadier D. Baldomero Éspartero. *' formándolas los bravos de los regimientos de Gerona, Príncipe-, f s Almansa, un piquete de cazadores á caballo de la Guardia Real, Las facciones reunidas de Sopelana y demas cabecillas que se otro de la misma arma del Príncipe, 3.a de ,línea, y otro de ca .dirigían á lá parte alta de la provinci…</t>
  </si>
  <si>
    <t>Espartero, D Baldomcro</t>
  </si>
  <si>
    <t>D Baldomcro Espartero</t>
  </si>
  <si>
    <t>…del Desfocho Garelly. de la Guerra. Vengo en nombrar para ministros de la Sala de Indias del su- De los diferentes partes que el comandante general de Vizcaya .premo Tribunal de España é Indias, instituido por mi decreto de 24 el brigadier D- Baldomcro Espartero ha remitido al ministerio de de Marzo último, i D. Manuel María Arbizu y Alava; á Don la Guerra: resultan los siguientes detalles: Manuel Genaro Viilota; á D. Manuel Plácido Berriozabal; al Sabedor que la facción de Luqui y Latorre se hallaba en Orozmarques de Piedras-Blancas y 4 D. Juan José Recac…</t>
  </si>
  <si>
    <t>…amino das Cullizas y la entrada del puente, y situando Con fecha de 5 del corriente dice e! comandante general de las provincias en este la pieza de artillería se arrojó sobre sus contrarios, que se pusieron en Vascongadas que el brigadier D. Baldomcro Espartero, comandante general de precipitada fuga hasta llegar al cerro de Zambujal. El resultado de esta acción Vizcaya, después de haber sorprendido y batido á los facciosos ca Oñ«iTc, se fue perder el enemigo varios soldados y caballos muertos y bastantes heridos, dirigió al amanecer del dia 3 sobre Eibar…</t>
  </si>
  <si>
    <t>…ciones traslada á este dejaba ver sus despojos y las víctimas del fanatismo y de la igno ministerio el parte que en 12 de Abril actual le comunica desde rancia sacrificados por la ambición de sus miserables conductores. Bilbao el brigadier D. Baldomcro Espartero en los términos si Nuestra pérdida ha consistido en 14 heridos, entre ellos un subte guientes: 1 niente de cazadores de Almansa. Excmoi Sr.: Habiendo sabido que los cabecillas Zavala , Val- El valor, la disciplina, el entusiasmo, y sobre todo la deci despina y otros se hallaban reunidos con 39 facc…</t>
  </si>
  <si>
    <t>…gadier Figueras, para que aprovechen los instantes los enemigos, como por ponerme en comunicación directa con los Sres. Anleo, sobre Zumaiacarregui. Figueras, conde Armilde* de Toledo y demas destacamentos que he dejado en Al Sr. general D. Baldomcro Espartero le previne hoy anta de salir de Navarra anta de emprender la persecución del Prciend ente, Ce los que no re OSale lo conveniente, y por todo inferirá V. E. que en Cuanto á lo que á cibí la menor noticia hasta que he llegado esta tarde aqui , que sobre las seis mí toca, y en lo que me está inmediato…</t>
  </si>
  <si>
    <t>Espartero, D Baldomero</t>
  </si>
  <si>
    <t>D Baldomero Espartero</t>
  </si>
  <si>
    <t>…ra I Dios.-guarde á V. E. muchos, años. Puerto-Rico 25 de Noviembre de l833.= Excmo. SncrMiguelde la Torre.ssExcmo. Sr. secretario de Estado y Comandancia general de las provincias vascongadas. EXcmo. Sr. : Por el ! del Despachó. brigadier D Baldomero Espartero, comandante general de Vizcava, y en ofi cio de ayer se me dice lo riguienfe: Comandancia general de Vizcaya. Lxce- í La augusta Reina Gobernadora ha oido con. particular satisfacción la an lentísimo Sr.: Según dije á V. E. desde Oñate en mi parte dei, 2 del actual tecedente noticia oficial del est…</t>
  </si>
  <si>
    <t>Éspartero, D Baldomero</t>
  </si>
  <si>
    <t>D Baldomero Éspartero</t>
  </si>
  <si>
    <t>…remios á que se hayan he dos brigadas mandadas, lá una por el brígadr^r £). Manuel Bene cho acreedores, promoviendo desde luego á mariscal de campo.al dicto, y la) otra por él cotona! de Almatisi D. fausífj dtl HoJOjl infatigable brigadier D. Baldomero Éspartero. *' formándolas los bravos de los regimientos de Gerona, Príncipe-, f s Almansa, un piquete de cazadores á caballo de la Guardia Real, Las facciones reunidas de Sopelana y demas cabecillas que se otro de la misma arma del Príncipe, 3.a de ,línea, y otro de ca .dirigían á lá parte alta de la provinci…</t>
  </si>
  <si>
    <t>Espartero, Tamas Elbrigadier D Baldomero</t>
  </si>
  <si>
    <t>Tamas Elbrigadier D Baldomero Espartero</t>
  </si>
  <si>
    <t>…a español, y el Vocabulario de la Crusca, como f AJMnm , en muy mal estado. Igualmente del gran Diccionario de Alberti de Villanova , por D. J. L B. Cormoo y D. Vicente Maurl. Un tomo 8.° pasta. Véndese á ¿o rs. eo la librería de D. Tamas Elbrigadier- D. Baldomero Espartero, comandante general de Vizcaya, re- Jord:*n, Cé' e de lá Concepción gerónlma. { míre con fecha de 29 del próximo pasado Enero copia de los partes que había — Tratado de la círíw/&lt;iWof» artificial de la moneda, per medio de un crédito público I dirigido al gencral fn gefe del ejército de operaciones…</t>
  </si>
  <si>
    <t>Espartero-tóXequcitio</t>
  </si>
  <si>
    <t>…per- «fguidó por el general-Lorenzo, el cuál sé unió con las fuerzas de su ovando «l 9 en Salvatierra á( '■brigadier Figucrás. £1 Pretendiente estaba en (Iruemica •oísa db -comeíoio. Cotización de hoy á las tres dt la tarde. y el general Espartero-tóXequcitio. ’ . efectos «nucos* , Capitanía general de í'á.Tagon. = Excmo. Sr.: El gobernador de Jaca en Inseripoioaes-en 4Ibro el gnu» á í p. 100* 00. «Acto del 7 me avisa que habiéndose introducido en el distrito de su mando ¿el «l portador 'Tirulos 5-p. lOOvOO. lós ocho facciosos-que "Fueron sorprendidos y…</t>
  </si>
  <si>
    <t>Esparterq</t>
  </si>
  <si>
    <t>…ncho las tropas que han mani- &gt; obrado y combatido., Daré 4 V. E. los detalles de esta acción brillante luego que el tiempo me lo permita y reúna las noticias convenientes; mas en tanto debo decir á V. E. que hace honor al tefior general Esparterq y á los gefes, oficiales y tropa que han peleado con tanta lealtad y decisión. Dios guarde a V. E. muchos años. Cuartel general enf el Campo del Puerto de Artiza 31 de Julio de 1834» ^ i*5 doce de la noche. =Excmo. Sr.= José Ramón Rodil^= Excmo. Sr. Secretario de Estado, y del Despacho de la Guerra.…</t>
  </si>
  <si>
    <t>Espe</t>
  </si>
  <si>
    <t>…le ex da, ha bajado á Haro, dedóbdésé rtsiituia hicia los montes de Oca. En tas En presar ni en este género ni con aquella versificación lo* movimiento* tapidas y cartaciones deben, obrar la* fuerzas del brigadier Aznar ; las del general Espe desordenados dél corazón ó de la fantasía, que son.propios dé la lírica exaltad*. tera estaban también en movimicnto sobre el valle de Amtió. El gépcral 'én Un buen poeta, traduciría muy bien en ua rosnasaoe h oda de Horacio Dense «efe con lar tropss de su inmediato mando se hallaba el JS en Vitori…</t>
  </si>
  <si>
    <t>Espiado, Fernando</t>
  </si>
  <si>
    <t>Fernando Espiado</t>
  </si>
  <si>
    <t>…Criminal ó nulo el principio, que es la heri alguno, sin sujeción, sin miras de afición particular haya hécho siempre su da, el socorro, que es su consecuencia, ¡debiera ser nulo ó criminal también! absoluta voluntad, ha sido el Rey Fernando. Espiado desde su cuna por ene «Otro: supongamos que soy presa de unos ladrones, y que para libertar migos domésticos, tuvo desde luego motivos para adquirir la cualidad mo m¡ vida ofrezco una cantidad que no tengo. Acudo á la generosidad del Señor ral ^que en todas épocas le ba distinguido, la desconfianza…</t>
  </si>
  <si>
    <t>Espinardo</t>
  </si>
  <si>
    <t>…ropa efectiva se ve de esto, y muchas veces el último soldado da la por la comisión á La idea de que se propusiese por el consejo de disciplina la alarma y previene á los grfes.” privación de empleo á los gefes y oficíales i y el Sr. Espinardo contestó que sí, El Sr. Secretario del Des pacho de lo Interior : «Para que se verifique eso y que seria objeto de una adición. es preciso que el país este en estado de cuerra u cu un c¿:0 excepcional , en que Se declaró el punto suficientemente discutido, y se votó el artículo por la Milicia misma…</t>
  </si>
  <si>
    <t>Espiñeira, Ramón</t>
  </si>
  <si>
    <t>Ramón Espiñeira</t>
  </si>
  <si>
    <t>…smasseguidassustancias,de la tantoexposiciónen los depaíseslos compañeros,extrangeros comocriaderosen los*yespañolesetíad relativa1de la dePenin-estas eiyjg iottrpcciqn es mas extensa y está mas perfeccionada. aula y America, por D. Ramón Espiñeira. para el uso del Real estudio mineralógico en á 4 Madrid marquill*-. de orden superior, año de 180:3, Un tomo en 8.° No debe atribuirse seguramente i la mayor instrucción del pueblo el m*- establecido ' ‘ ' " rustica. reales rama é ídem' yoraiúraejcp! de,crímenes que se cometen en estos paises compa…</t>
  </si>
  <si>
    <t>Espinel, D Manuel Eaureaue</t>
  </si>
  <si>
    <t>D Manuel Eaureaue Espinel</t>
  </si>
  <si>
    <t>…de ia mañana, en la escrib.uia dr Fernanda 1. pa ra celebrar juuta genera! de acreedores á ios bienes que han quedado p&gt;&gt;r f.lleciobservación impuesta por reglamento á los pueblos declarados en estado de sos mfento Intestado del doctor D. Manuel Eaureaue Espinel, cura párroco que fue «o pecha, obtengan los citados de Marbella y Ojén su Ubre trato, comunicación la misma. TSN"IA imprenta real</t>
  </si>
  <si>
    <t>Espinel, Manuel Eaureaue</t>
  </si>
  <si>
    <t>Manuel Eaureaue Espinel</t>
  </si>
  <si>
    <t>…mañana, en la escrib.uia dr Fernanda 1. pa ra celebrar juuta genera! de acreedores á ios bienes que han quedado p&gt;&gt;r f.lleciobservación impuesta por reglamento á los pueblos declarados en estado de sos mfento Intestado del doctor D. Manuel Eaureaue Espinel, cura párroco que fue «o pecha, obtengan los citados de Marbella y Ojén su Ubre trato, comunicación la misma. TSN"IA imprenta real</t>
  </si>
  <si>
    <t>Espinosa, Antonio</t>
  </si>
  <si>
    <t>Antonio Espinosa</t>
  </si>
  <si>
    <t>…y se en efecto en el día 8 del próximo pasado. D. J.C.................................................;................................................. 40 La Real cárcel de esta capital recibirá las posibles mejoras luego que su D. Antonio Espinosa..........................................................................1. 300 ayuntamiento me remita el presupuesto de las obns uue en ella deberán ha ■ Sra. Viuda de D. é H............................................................................. 2ü0 cerse. Sres. Arratia y sobrinos......................................... ................................. 3000 Se h…</t>
  </si>
  <si>
    <t>…oba. 1 «Por consiguiente el burgomaestre y consejo de Estado del vorort debían El deGiradalajata. . . esperar que semejantes medidas tomadas por los cantones fronterizos serian ' El T&amp;gUtüento provincial de Jerez, y su comandante D. Antonio Espinosa mejor apreciadas, y que no darían lugar i las prescripciones contrarias al co Sotela. . , mercio é industria mencionadas en la carta que les dirigió S, E. d Sr. barón de El ayuntamiento de Letra. Turcketm el 24 de Abril. El contenido de esta can* debía causarles úna ito- La sociedad económica de Sa…</t>
  </si>
  <si>
    <t>Espinosa, D Antonio</t>
  </si>
  <si>
    <t>D Antonio Espinosa</t>
  </si>
  <si>
    <t>…•El de Córdoba. 1 «Por consiguiente el burgomaestre y consejo de Estado del vorort debían El deGiradalajata. . . esperar que semejantes medidas tomadas por los cantones fronterizos serian ' El T&amp;gUtüento provincial de Jerez, y su comandante D. Antonio Espinosa mejor apreciadas, y que no darían lugar i las prescripciones contrarias al co Sotela. . , mercio é industria mencionadas en la carta que les dirigió S, E. d Sr. barón de El ayuntamiento de Letra. Turcketm el 24 de Abril. El contenido de esta can* debía causarles úna ito- La sociedad económica de Sa…</t>
  </si>
  <si>
    <t>Espinosa, Joaquín</t>
  </si>
  <si>
    <t>Joaquín Espinosa</t>
  </si>
  <si>
    <t>…dijo que con motivo de haberse sabido el 18 del. mismo que una partida de ladrones esperaban en un olivar distante una legua de dicha bolsa de COUEZC2o~Cotizaciott de hoy á las tres de la tarde• villa al coche del correo, dispuso D. Joaquín Espinosa, administrador de aque lla estafeta, con algunos pocos Urbanos que á la sazón se hallaban en el pue 1FRCTOS PUBLICOS. t blo , salir á impedir'el atentado, á pesar de un fuerte aguacero que hacia; y en Inscripciones en el gran libro A S p.“ 100 * 00. efecto prendió dos ladrones famosos en aquella co…</t>
  </si>
  <si>
    <t>Espinosa, Josef</t>
  </si>
  <si>
    <t>Josef Espinosa</t>
  </si>
  <si>
    <t>…Moraba quizá sin remedio bajo la opresión del po-j titud y reconocimiento. Dios guarde á V. E. muchos años. Huesca 12 de Di- deroso; y allanar los obstáculos que dificultaban la marcha rápida del bien y" I cícmbrq de l833.=Excmo. Sr.=Josef Espinosa. = Vicente Puéyo de.Orries.=r de los asuntos del Real servicio en todos los ramos, son los felices resultados! Francisco Domenechv= Antonio Aysa. = Onofrc Arasanz.^: Joaquín Lucas de ‘ que provendrán de una determinación tan sabia como vuestro Real decreto! Enac=rJaime de Ciavex.=sRamon Oalindo.—Mar…</t>
  </si>
  <si>
    <t>Espinosa, Pedro</t>
  </si>
  <si>
    <t>Pedro Espinosa</t>
  </si>
  <si>
    <t>…tugares , ora fuesen católicos, armenios, griego*, cophtos ó ju frente de las tres, y bajo su dirección, el teniente coronel, capitán de este Aidíos. A esto debe afiadirse el mal trato dado por Ibrahim al famoso Abou- timo cuerpo D. Pedro Espinosa, y el espitan de húsares D. Pedro Lavtfia. Ghos, gefe de las montañas de Jerusalen, condenado á ias galeras de S. Juan Que el capitán del 1.® de línea D. Manuel Vivero, y el teniente &lt;t«t S.® li de Acre por haber quebrantado la prohibición referida. El numero de insur geros D. Juan Arró.pide siguie…</t>
  </si>
  <si>
    <t>…con las tapias y casas de las inmediaciones; pero sin adelantar ope que se rindiese. El alcalde mayor del pueblo de Ausejo , y coman* ración alguna, sufrieron la pérdida de siete muertos y un herido dame de la fuerza armada de el D. Pedro Espinosa, á la sola noti de gravedad, causándonos solo la de la muerte del sargento 2.° de cia de mi ambo á Lodosa se me presentó con 12U hombres arma las compañías de infatitería de Rioja Andrés Luis de Gordejuela, dos que me han acompañado hasta este punto , en que le mando que murió de un balazo al tiemp…</t>
  </si>
  <si>
    <t>Espío, J</t>
  </si>
  <si>
    <t>J Espío</t>
  </si>
  <si>
    <t>…caHerz¡ judicó por no haberse presentado obra alguna, y io mismo sucedió con el de de Mimegui , Hermoso y Carrafa , y en el de papel rayado, calle de la Cruz. 3.a cías?. — -Las elegantes mazurca y galop, compuestas para piano por D. J. Espío, á 3 rs. El ídem de 2.a fue declarado á favor de L&gt;. Manuel Noguera. Tanda de rigodones sacados de las óperas la. Chiara di Rosemberg y Fausta , compues El de 2.a clase de escultura, que era una medalla de plata, se dió á D. Ce arregladastas para pianopara porguitarraEspin,porá García5. Tanda, á 5.…</t>
  </si>
  <si>
    <t>Esposa</t>
  </si>
  <si>
    <t>…yó el párrafo dd proyecto del Gobierno que asignaba al Sermo. Se misión , y por el contrario la deja según está; lo mismo sucede con la dota ñor Infante D. Sebastian y su esposa 3 millones de rs., y en seguida el dd dicción de su Sra. Esposa, que se halla estipulada en los contratos matrimoniales: támeo de la comisión, que señalaba 1-15&lt;&gt;9 rs. luego la Nación cumple con sus deberes, y la comisión no ha tratado de alte El Sr. Secretario de! Despacho de Hacienda dijo que habrendo visto que rar, en nada esto. Pasemos mas adelante: los hij…</t>
  </si>
  <si>
    <t>Esposé</t>
  </si>
  <si>
    <t>…dice qop algunos de ellos, están ya recoaocidea como Infantes, te merecen tddo nüéstro m i raOHento.Loi ierricio, del Sr. Iaf&lt;uite.£). Francis- porque asi lo &lt;tbpuso;‘f&gt;- 'Férñando %«. No lo niego*•ni me opongo á ello; , co jr sa Sra. Esposé í S. M. la RnnfAnue»tra Señora, á su excelsa Mátirp, í , peyó ií repetiré loque ya se ha dicho, £ saber, que si reconocemos todos loe la Nacíon espafiola y tí! sistema que^bos rige, sooltíenconocidos, panqué sea, decretos de aquel Monarca!^ no haremos ninguna economía, pues no hay*qp*T necesario re…</t>
  </si>
  <si>
    <t>Espoz, D Francisco</t>
  </si>
  <si>
    <t>D Francisco Espoz</t>
  </si>
  <si>
    <t>…Grande es en verdad la varra y de las tropas que operan en aquel reino al mariscal de campo conde de responsabilidad que toman sobre sí todos los elegidos en las graves circunstan Armildez de Toledo, hasta la.llegada del teniente general D. Francisco Espoz cias dél dia, y yo particularmente confieso la debilidad de mis fuerzas para di y Mina, salió de dicha plaza con una columna destinada á obrar por 1a parte rigir en tan dificultosa ¿poca el timón del Estado. Mas, en fin, no he podido de Salvatierra, y dirigiéndose por la-Borunda llegó el dia l.° á…</t>
  </si>
  <si>
    <t>…la fuerza movible á /09 hom cuencia de esta Real resolución se ha dignado asimismo S. M. encargar el man bres , los. cuáles se tomarán Be los individuos que tengan de &gt;2o á 3ü años de do del primero de dichos cuerpos al teniente general ,D. Francisco Espoz y edad. La reserva federal se compondrá de hombres de 30 á 35 años, y será la Mina, y el del segundo interinamente al mariscal de campo D. Joaquín dé mitad de la fuerza anterior. Finalmente, el' Zawdt¿^r, formadp de todos los hom Osma; permaneciendo por a&amp;ora de comandante general de-Nav&amp;rra con carg…</t>
  </si>
  <si>
    <t>Espoz, Francisco</t>
  </si>
  <si>
    <t>Francisco Espoz</t>
  </si>
  <si>
    <t>…s en verdad la varra y de las tropas que operan en aquel reino al mariscal de campo conde de responsabilidad que toman sobre sí todos los elegidos en las graves circunstan Armildez de Toledo, hasta la.llegada del teniente general D. Francisco Espoz cias dél dia, y yo particularmente confieso la debilidad de mis fuerzas para di y Mina, salió de dicha plaza con una columna destinada á obrar por 1a parte rigir en tan dificultosa ¿poca el timón del Estado. Mas, en fin, no he podido de Salvatierra, y dirigiéndose por la-Borunda llegó el dia l.° á…</t>
  </si>
  <si>
    <t>…n, sita en el piso segundóle Partes recibidos eti la Secretaría de listada y del Despacho de la Guerra. la casa titulada del platero, todos los dias no feriados y horas de diez á una El general en gefe del ejército de operaciones D. Francisco Espoz y de la mañana. La presentación deberá hacerse bajo dobles carpetas y con ab Mina dice desde Pamplona, con fecha 5 del actual, lo siguiente: soluta separación de documentos de deuda con interes y sin el, cuidando de «Excroo. Sr.: Las noticias que se han recibido de los movimientos de Zii- estampar en cada…</t>
  </si>
  <si>
    <t>…a movible á /09 hom cuencia de esta Real resolución se ha dignado asimismo S. M. encargar el man bres , los. cuáles se tomarán Be los individuos que tengan de &gt;2o á 3ü años de do del primero de dichos cuerpos al teniente general ,D. Francisco Espoz y edad. La reserva federal se compondrá de hombres de 30 á 35 años, y será la Mina, y el del segundo interinamente al mariscal de campo D. Joaquín dé mitad de la fuerza anterior. Finalmente, el' Zawdt¿^r, formadp de todos los hom Osma; permaneciendo por a&amp;ora de comandante general de-Nav&amp;rra con carg…</t>
  </si>
  <si>
    <t>Espronceda, José</t>
  </si>
  <si>
    <t>José Espronceda</t>
  </si>
  <si>
    <t>…producida por la situación actual, po no Josef de Larra, y adelantar ei importe del p.°, y x.° de la nominada drá y deberá cesar, apenas cesen las circunstancias accidentales que Sancho Soldqña , o el CasteltanO. de Cuellar, por D. José Espronceda, á la hacen conveniente. 'Va"librería de Escantilla, donde sigue abierta la soccripcloa, y Je haHap venales las'dos novelas el Primogénito de Jtlburquerqué, y el Doncel ie . De este modo se conservaría la esencia de la institución, sin D. Henrique el Doliente, 4'3» rs.'en rústica cada una, y 40 en…</t>
  </si>
  <si>
    <t>Esscn</t>
  </si>
  <si>
    <t>…ximación se indica el punto donde se h3 encontrado un peñasco Rescripto de S. A. 1 el Czarevitch Alejandro, gran duque heredero, al debajo-del agua en la costa meridional de la Crimea al oeste, y no lejos de general de infantería conde Esscn, gobernador general militar de S. Petersburgo. Eupatoria, y á lo largo del puerto cosaco llamado Arschinmihy. Este peñasco, «Habiendo llegado á la época de la mayor edad, he tenido la dicha de des aolo Cubierto por 10 pies de agua, fue hallado el año último por M. Sepikh, empeñar mi primera obligac…</t>
  </si>
  <si>
    <t>Esta</t>
  </si>
  <si>
    <t>El capitán-general de Awgoñ "remite á este ministerio los partes siguien en tales términos, que cada uno escapó por distinto camino dejándose las armás, tes. Primera brigada del ejército de Aragón—Excmo. Sr.: «Esta mafiana.salí de siéndoles preciso- á loe oficiales el salir á los montes á volverlos á reunir. Los lá villa de Ustarroz con dirección á la de Ochagavia, i Bu de atacar el batallón' facciosos tenian en este pueblo ira depósito de I SO robos de trigo y 60de ceba rebelde nominado de Salazar, que á las…</t>
  </si>
  <si>
    <t>…ndo al encargarse de él. El Esta española: aunque sí diré que lo hecho en las fechas de 15 de Junio y 20 d« mento acordó que se leyeran dichos documentos; y verificado así, dijo Setiembre pudo ser legitimado por la aprobación del Rey. Esta le daría toda El Sr. Chacón: »He tomado la palabra para pedir que se manifieste que su fuerza ; pero conforme con los principios manifestados por los Sres. Ferrer el Estamento ha oido con particular satisfacción el contenido de estos docu y Gahano, y complaciéndome en unirme con ellos en dichos pri…</t>
  </si>
  <si>
    <t>…olítica reco cesidid dé clavijas, pudiendo cualquiera témpfar el instrumento por medió de nocen que este suceso se debe enteramente á la alianza entre Inglaterra y Fianuna llavecita que no excede en tamaño á la de un costurero de señora Esta. in ■cía, 7 que estas Potencias han obligado é todo el Occidente de Europa é unirse vención produce otra ventaja. No cuando las cuerdas sujetas á las_ clavijas no £ sú ¿¡¿tema. bay peligro, de qué se rompan ni aflojen,, y el piano se cooserva afinado mu cho tiempo. La invención dé M. Cluesma'hn debe…</t>
  </si>
  <si>
    <t>…sobre el enemigo. faltó otra cosa que algunas compañías de voluntarios , cuya ausen Dios guarde á V. E. muchos años. Logroño 11 de Abril de cia ha sentido hasta el último soldado. 1834.=Excmo. Sr.=Joaquin de Quiñones.—Excmo. Sr. Secretario Esta derrota ha sido causada sin perder un solo soldado por mi de Estado y del Despacho de la Guerra. parte , á pesar de que los valientes celadores se mezclaron con los enemigos. Estos merecen premio, Excmo Sr., y principalmente El 10 por la mañana salió el general Quesada de Puente la el subteniente D…</t>
  </si>
  <si>
    <t>…su arma acudió á mi socorro de la preci necesita que primero se ponga el gobierno de acuerdo con la corte de Roma, tada villa de Arechavaleta. dice que ignora el resultado de las negociaciones entabladas , aunque cree que Exento. Sr.: Esta pequeña ocurrencia , aunque insignificante, mayormente no tendrán ningún resultado, porque es muy posible, y casi cierto para quien si se atiende al deber á que estamos constituidos, solo tiene el mérito de qpe conozca la corte de Roma, que diri: «No, no conseotiTentos en la supresión casi todós lo…</t>
  </si>
  <si>
    <t>…ander, áon trié'con otro bergantín y varios buques de dicha nación, que envía aquel gobierno paré que'crucen a la vista de nuestras costas, y auxilien , en caso necesario, á los defensores de la causa legítima de la Reina nuestra Señora, Esta demostración , aun cuándo too pasé de tal, va á producir Continua la lista de los donativos voluntarios para socorro de los enfermos y muy buen efecro, tomo uila muestra manifiesta de’las disposiciones amistosas de menesterosos .de esta capital, con motivo de las enfermedades que se paaquél gabinet…</t>
  </si>
  <si>
    <t>Ésta</t>
  </si>
  <si>
    <t>…to el comandante Araoz, los enemigos que se mantenían en marques de Campoverde, coronel del provincial de Granada, cuyo tenor es las inmediaciones, cobraron osadía, y vinieron á la carga sobre dicho batallón el siguiente: «Excmo. Sr.: Ésta tarde a las tres, he logrado alcanzar al cabe hasta la mitad del monte que se dejaba. El general Benedicto dispuso marcha cilla Villalobos en el pueblo de Ahedo délas Pueblas; he conseguido disper sen dos compañías del primer batallón con su comandante D. José García sarle toda su facción y dejar e…</t>
  </si>
  <si>
    <t>…referencia á los partes que se le habían dado, le confirmaba la anteñor PROVINCIA DB NAVARRA. noticia. s Oficio que se tita en el anterior.' Sí. D. José María Monrea!. ' Primera brigada del ejército de Aragón, DÚmero 168.=ExcmoI Señor: Esta mañana me puse en camino para Roncal, con arreglo á lo qne ya tenia &gt;i. - ii^ása— —,_____ ■- indicado á V. E ; pero me vi precisado á volver rápidamente á esta villa por las noticias recibidas por el gobernador de este punto, y cura v autoridades de Partes recibidos en la secretaría de Estado y del…</t>
  </si>
  <si>
    <t>Esta, Ballesteros</t>
  </si>
  <si>
    <t>Ballesteros Esta</t>
  </si>
  <si>
    <t>…ierno, porque de otro modo serian infructuosos los traba este fue el resultado del balance hecho por un quinquenio efl ÍS.'I o 32 en jos del Estamento, si en loa suevos no se tomase en consideración esta cuea— . el ministerio del Sr. Ballesteros- Esta suma no es esoe*ivT p.ir.» España; pe-</t>
  </si>
  <si>
    <t>Esta, Cár</t>
  </si>
  <si>
    <t>Cár Esta</t>
  </si>
  <si>
    <t>…Bugeaud es concluyente..... El ministerio solo ofrece lo Manitva 11 de Diciembre* que puede cumplir. Se ha presentado la cuestión española: hemos tomado parte eo ella.,... Milagro « que no nos critiquen por no haber favorecido á D. Cár- Esta villa, que no cede á piogurt* de la nación en fidelidad á fiuesíra ama kfc. Dicen que hemos sacrificado el porvenir, siendo excelente lo que existe en da Soberana , Ocogio para levantar pendones en su nombre el día 8 del cornea- I lai actualidad. Por una parte el partido de D. Carlos con los fraile…</t>
  </si>
  <si>
    <t>Esta, Cárlos</t>
  </si>
  <si>
    <t>Cárlos Esta</t>
  </si>
  <si>
    <t>…s general y propia de este caso « como título de distinción yde hopor ¡ tí puede ejercer esta supremacía, y declarar excluida de la corona á la línea de tulo que ño debe tener D. Cárlos, y del que creo está ya, desposeído pon loa D. Cárlos. Esta es la Única razón que yo invoco, y la única.quc me.tiene de decretos mismos de la augusta Reina Gobernadora,, Digo, púa, que desea cidido á adoptar dicha exclusión; porque las de mas, sea cual fuere Ja. fuerza ría te dijese simplemente.,«Se .declara quedar 1 excluido;4 D. Cárlos María que quiera dá…</t>
  </si>
  <si>
    <t>Esta, Carrasco</t>
  </si>
  <si>
    <t>Carrasco Esta</t>
  </si>
  <si>
    <t>…selecta á Jos españoles: « recomitándome á este punto diré que lo qitp.entró.en las arcas de la Regencia en «nozco'vuestrajdeuda; porqpe justa , y lo misipo. la de las Córtes;” y ha-. dos meses fue Ja suma pequeña que expresó él Sr. Carrasco. Esta roe parece . . olendo lo misóte co.n las .del ¿ño‘$3. acá, haríamos una gracia á loa extrangéseria la única cantidad sobre que podríamos entrar en cuestión ; cuestión que ros, y un perjuicio á los españoles. Dijo también S. $. que debía tenerse en seria muy difícil de resolver, como han expuesto lo…</t>
  </si>
  <si>
    <t>Está, D Fermín Iriarte</t>
  </si>
  <si>
    <t>D Fermín Iriarte Está</t>
  </si>
  <si>
    <t>…ón para que aquel puerto sea habilitado como los demás, y El capitán general interino de Castilla la. Vieja con fecha 26 del presente habla de las ventajas que de ato resultarían. da parte desde Burgos á este ministerio de que el brigadier D. Fermín Iriarte Está planteando el atablecimiento de un mercado y una plaza de abasta en 24 del mismo desde Arziniega le manifiesta que el 23 había marchado al en aquella capital, lo que será muy útil i consumidora y vendedora. . valle de Sopuerta i perseguir la facción de Castor que «taba en Galdames, la Activa la con…</t>
  </si>
  <si>
    <t>Esta, Dupotet</t>
  </si>
  <si>
    <t>Dupotet Esta</t>
  </si>
  <si>
    <t>…Gaceta de Lausana dice Jo siguiente: ♦«habiendo sabido el consejo de los esclavos de (a Martinica, e» absolutamente semvjmie i lo que refiere el ejecutivo de Berna que algunos refugiados alemanes tenían preparados para Ja contra almirante Dupotet. Esta conformidad de opiniones de parte de dos hom prensa folletos revolucionarios, cuya circunstancia podía suscirar nuevos emba bres, que se han encontrado en tan buena disposición para conocer la verdal, razos en Us relaciones de la Suiza con los ortos gobiernos, ha mandado reco nos parece capaz por s…</t>
  </si>
  <si>
    <t>Esta, Félix Bnciso Castrillon</t>
  </si>
  <si>
    <t>Félix Bnciso Castrillon Esta</t>
  </si>
  <si>
    <t>…curso ANUNCIOS. para que se pueda verificar la identidad. Lorenzo, i los prometidos esposos, novela histórica del siglo X vil. sacada de toe anales de Milán, publicada en italiano por Alejandro Manzoni, y puesta en castellano por D. Félix Bnciso Castrillon. Esta obra, que es muy apreciada de los literatos, y que se ha traducido en varios idiomas de Europa, en donde sellan multiplicado las Judiet dt ¡os Reales decretos y órdenes publicadas en este periódico durante ediciones, consta de tres tomos cu 8.°, que se bailarán á 29 rs. en rústica, y 34 en pasel me…</t>
  </si>
  <si>
    <t>Está, Fermín Iriarte</t>
  </si>
  <si>
    <t>Fermín Iriarte Está</t>
  </si>
  <si>
    <t>…e aquel puerto sea habilitado como los demás, y El capitán general interino de Castilla la. Vieja con fecha 26 del presente habla de las ventajas que de ato resultarían. da parte desde Burgos á este ministerio de que el brigadier D. Fermín Iriarte Está planteando el atablecimiento de un mercado y una plaza de abasta en 24 del mismo desde Arziniega le manifiesta que el 23 había marchado al en aquella capital, lo que será muy útil i consumidora y vendedora. . valle de Sopuerta i perseguir la facción de Castor que «taba en Galdames, la Activa la con…</t>
  </si>
  <si>
    <t>Está, Ge</t>
  </si>
  <si>
    <t>Ge Está</t>
  </si>
  <si>
    <t>…y la sociedad eco nes de Aguaviva, matándoseles al capitán José Torres y 50 individuos, cogién nómica sobre el establecimiento de un lazareto de observación. 1 doseles 5 prisioneros, de los cuales dos oficiales D. Pedro del Mar y D. Ge- Está reuniendo datos sobre la diversidad de pesos y medidas de la provin lónimcrCollado, que están en capilla: uno que parece ser desertor del 12.° ¡n- cia, y promueve la conformidad de estas con los patrones legales. fantíría^efc linea, otro herido que se está muriendo, y otro muchacho llama Ha pedido…</t>
  </si>
  <si>
    <t>Está, Gobernadora</t>
  </si>
  <si>
    <t>Gobernadora Está</t>
  </si>
  <si>
    <t>…el Consejo de Gobierno y del de Ministros, darle la san- bien sea de todos acatada y obedecida. Tendréislo entendido, y dispondréis lo necesario á sa campU— «LasCórtes generales del reino, después de haber examinado mientd.=Yo la Reina Gobernadora—Está rubricado &amp; la Real uta— con el debido detenimiento, y observando todos los trámites y for- no.=En el Pardo á 6 de Noviembre de l83i=A D. Nicolás María itidlidades prescritas, el asunto relativo á la abolición del Voto de Garelly. _____ Santiago, que por orden de V. M, dé 23 de Agosto último, y con…</t>
  </si>
  <si>
    <t>Esta, Jáurcgui</t>
  </si>
  <si>
    <t>Jáurcgui Esta</t>
  </si>
  <si>
    <t>…s y epístolas le han dado un lugar distinguido entre los escritores] ga volver á casa. La de Guipúzcoa parece también ahuyentada y debilitada por del siglo zv; pero que no siguió la carrera militar, sino la diplomática. Y sinf el brigadier Jáurcgui. Esta diputación va á ocuparse en la reposición de U fuer* embargo Pulgar merecía, según dice y con mucha razón el Sr. Martínez de ía| za perdida^ trabajando sin descanso hasta que se logre el aniquilamiento de es Rosa, «*que España le apellidase, como Francia al famoso Bayaido, '/ tos vándalos que no qu…</t>
  </si>
  <si>
    <t>Esta, Joaquin de Quiñones Excmo Sr Secretario</t>
  </si>
  <si>
    <t>Joaquin de Quiñones Excmo Sr Secretario Esta</t>
  </si>
  <si>
    <t>…olumna del general D. Manuel Lorenzo sobre el enemigo. faltó otra cosa que algunas compañías de voluntarios , cuya ausen Dios guarde á V. E. muchos años. Logroño 11 de Abril de cia ha sentido hasta el último soldado. 1834.=Excmo. Sr.=Joaquin de Quiñones.—Excmo. Sr. Secretario Esta derrota ha sido causada sin perder un solo soldado por mi de Estado y del Despacho de la Guerra. parte , á pesar de que los valientes celadores se mezclaron con los enemigos. Estos merecen premio, Excmo Sr., y principalmente El 10 por la mañana salió el general Quesada de Puente la el subteniente D…</t>
  </si>
  <si>
    <t>Esta, Joaquín Lorenzo VllUoueva</t>
  </si>
  <si>
    <t>Joaquín Lorenzo VllUoueva Esta</t>
  </si>
  <si>
    <t>…raciones? ¿Llamaremos cristiano al que desobedece los preceptos del Viage literario de las iglesia* de España , publicado Con algunas observaciones Evangelio, que mandan la obediencia á las leyes reguladoras de la sucesión al por D. Joaquín Lorenzo VllUoueva. Esta obra, que consta de lo tomos en 8.° ma Tronó, y quebrantan los vínculos de unión fraternal que nos ligan á nuestra ca quilla, cuyos cinco últimos no han podido venderse hasta ahora por no hallarse cor lveza Jesucristo i &lt; Podrá titularse realista el que se levanta contra la Reiva en rienterústica s…</t>
  </si>
  <si>
    <t>Esta, José García Sanz</t>
  </si>
  <si>
    <t>José García Sanz Esta</t>
  </si>
  <si>
    <t>…jas, y modo de practicar el bará y Pont de Armentera , apareció á la derecha del Mas de Jesús, y tam de las simientes indianas, ( vulgo chinas o calabrinas) con todo lo necesario al ramp de semillas y plantaciones de moreras: por D. José García Sanz. Esta obra ha mereci bién fue destruida , cesando la persecución por haber sobrevenido la noche: do justamente, que el Sr. gobernador civil de la provincia de Madrid, Ja recomiende á la mañana siguiente se encontraron varios muertos, y un fraile francisco lego como necesaria, para la extensión y fomento…</t>
  </si>
  <si>
    <t>Esta, José María González</t>
  </si>
  <si>
    <t>José María González Esta</t>
  </si>
  <si>
    <t>…4 rs. detomandoortografíatodacastellana,la colección,compuestoy a 5 pory tratadosarregladosueltos.a La inteligencia *de to* seguirían su movimiento para verificar su reconcentración, mientras apoyaba el da clase de personas, por D. José María González. Esta obrira que contiene todas 1* flanco izquierdo de estas operaciones el general Rodil. voces de dudosa ortografía, y las abreviaturas, es ciertamente muy útil a las señoras empicados, militares y comerciantes; y la única en su especie de que pueden servir* con aprovcchainíentQen las casas de primera…</t>
  </si>
  <si>
    <t>Esta, Lopct</t>
  </si>
  <si>
    <t>Lopct Esta</t>
  </si>
  <si>
    <t>…aunque da otras razones ,- en esta es en la que se funda para hacer su renuncia. El Sr. Domrcq: «Pido que se lea la primera exposición de! Sr Varl-íln.” Siempre que se pruebe que los que tienen sus fondos en pais extrangero no El Sr. Lopct. "Esta cuestión va saliéndose de su lugar. Lo primero que pueden ser Procuradores i Cortes, soy del dictámen de la comisión; pero si se nos presenta es una renuncia hecha por el Sr Vadi'ln, apovada principal esto no se probare, soy de parecer que se dé un término correspondiente al se mente en que tiene s…</t>
  </si>
  <si>
    <t>Esta, Mariano Rementeria</t>
  </si>
  <si>
    <t>Mariano Rementeria Esta</t>
  </si>
  <si>
    <t>…a,simas &amp;c.ó descripciónmas considerablesde los árboles,del globo;plantas,obra escritacataratas,en blicación del Estatoio Real con Us demostraciones de contento debidas á tan francés por M., Añroine. y traducida al castellano por D. Mariano Rementeria. Esta obrita no puede meñosd* ser muy útil á los niños, para Inspirarles el amor al estu augusta concesión del trono. En obsequio de este acto se adornaron ias ficha dio de la naturaleza • por los cuadros que presenta de lo mas raro y prodigioso que das , y hubo repique de campanas é iluminación; por la…</t>
  </si>
  <si>
    <t>Esta, Morales</t>
  </si>
  <si>
    <t>Morales Esta</t>
  </si>
  <si>
    <t>…reopinantes, debe aprobarse el nernos en el estado de prosperidad porque anhelamos sino se le daban medios dictámen de la mayoría de la comisión.” para ello: que la sola idea de empréstitos le estremecía, y que no quisiera oir El Sr. Morales. «Esta cuestión importantísima, en que tanto se ha ha jamas hablar de ellos. El orador continuó haciendo varias observaciones acerca blado en pro , y tan poco en contra del dictamen de la comisión , ha excitado de lo acertado que le parecía el dictámen de la mayoría de la comisión de re en mí el deseo de…</t>
  </si>
  <si>
    <t>Está, Pedro del Mar y D Ge</t>
  </si>
  <si>
    <t>Pedro del Mar y D Ge Está</t>
  </si>
  <si>
    <t>…ta el ayuntamiento y la sociedad eco nes de Aguaviva, matándoseles al capitán José Torres y 50 individuos, cogién nómica sobre el establecimiento de un lazareto de observación. 1 doseles 5 prisioneros, de los cuales dos oficiales D. Pedro del Mar y D. Ge- Está reuniendo datos sobre la diversidad de pesos y medidas de la provin lónimcrCollado, que están en capilla: uno que parece ser desertor del 12.° ¡n- cia, y promueve la conformidad de estas con los patrones legales. fantíría^efc linea, otro herido que se está muriendo, y otro muchacho llama Ha pedido…</t>
  </si>
  <si>
    <t>Está, Tomas JLobo</t>
  </si>
  <si>
    <t>Tomas JLobo Está</t>
  </si>
  <si>
    <t>…gnias. Tenriréfelo eúten- í de soberanía y propiedad, el t.rr'.torfe» tjuí le u.¿ ^rií Mido páraos efectos correslpondiemes.rrFn el llardo á 12 de Octubre los artículo^ 4^ } d^l acta'del ■? V.feri Wf- •:$, • ' 'P-'- de ,ÜS5b.^:^. D. Tomas JLobo^Está rubricado de la Real manp. venios ulterior^’, \obre la ohlU i^uV?^ dei Rbi:s, r hs nz~ .M¿ ahora bajo la. denomir^cíon ¿c fir-HifAfo Je \ Art. !2.° Kl Rey de 1'rus.u acepta e«tá ce*i vn . v ,u :.crc ¡7"' el princípado de' JLíw1rtcmbcr¿ ¿od t .|lps, los tk*rc^hos uW ¿¿aci.y no %,-i.^c ' ' _ , '• ri…</t>
  </si>
  <si>
    <t>Esta, Toribio Ansotegui</t>
  </si>
  <si>
    <t>Toribio Ansotegui Esta</t>
  </si>
  <si>
    <t>…muy conocedpr del terreno, al benemérito junta de Sanidad de dicha provincia', que el dia 17 había enfermado en la ca pital.una persona con síntomas sospechosos , no falleció ninguna, y quedabansubteniente de los mismos cazadores D. Toribio Ansotegui. ¡ Esta pequeña columna, después de un largo y penoso escudriño de los re .seis con ¡guales síntomas; y que en Arahal y la Campana seguía la enfermodad su curso ordinario.. feridos puntos de sospecha, tanto mas difícil por la escasez de noticias e» que estamos en este país enemigo, tuvo por -fin. la suerte…</t>
  </si>
  <si>
    <t>Está, Trczel</t>
  </si>
  <si>
    <t>Trczel Está</t>
  </si>
  <si>
    <t>…mplanza, en que se da puntual noticia del número de El teniente general comandante interino, Voirol.rzEs copia.zzEl mariscal personas que frecuentan los 14 grandes cafes mas concurridos de LóndrSs. de campo, gefe del estado mayor general, Trczel. Está averiguado, d.jo M. Buckingham, que en una taberna de Holbora entraron en un solo dia 2880 hombres, 1855 mugeres, y 289 muchachos, no __Estado mayor genera!. Argel 27 de Mayo de 1834* á la verdad por mero pasatiempo, sino para entregarse á ia crápula. Desgracia Las depredaciones é insultos continuo…</t>
  </si>
  <si>
    <t>Estadas</t>
  </si>
  <si>
    <t>…RTICELO DE OjFICIO. , Es el caso, que alucinados algunos cabecillas con la idea de íá independencia dé Alemania, creyeron deber empezar por la Prusia para revolucionar todos loe La REíb-A nuestra Señora Doña Isabel ii, y S. M. la Reina Estadas alemanes. Escapáronscles, en medio de sus culpables Conciliábulos, al— loliernailbrá, .siguen tái el Real sitio de Aranjucz sin novedad gunas sangrientas proposiciones que han exagerado luego considerablemente Al gunos periódicos extrangeros. •. . ' • ju su imponíante salucl. ,- , La policía se ha…</t>
  </si>
  <si>
    <t>Estadística, Cristóbal Linares de Rnrmn</t>
  </si>
  <si>
    <t>Cristóbal Linares de Rnrmn Estadística</t>
  </si>
  <si>
    <t>…go; todo lo que he dispuesto sea trasladado esta mañana ,&amp; la villa de Roúcal: yo continuaré mis movimientos VARIEDADES.por el punto mas conveniente. Dios &amp;c. Aburrea alta á las once de la noche de 28 de Setiembre de 1834-—Excmo. Sr. —Cristóbal Linares de Rnrmn.— Estadística eoxopea. ([Primer artículo-) Excmo. Sr. capitán general del ejército y reino de Aragón.” Las grandes cuestiones de economía social ocupan en el dia todos las áni mos, y su solución facilitada por numerosas experiencias, por grandes sucesos, «Primera brigada del ejército de Aragón. =rExcmo. Sr.: Ya…</t>
  </si>
  <si>
    <t>Estado, Zaragoza</t>
  </si>
  <si>
    <t>Zaragoza Estado</t>
  </si>
  <si>
    <t>…Ló odres á 90 dias 37g. Bilbao par. Sevilla par. provincial de Málaga, que la enfermedad reinante en la villa de París y 19. Cádiz | b. Valencia £ d* Estepona tocaba ya á su término, según aparece del siguiente estado. Corulla -J d. Zaragoza ' ' ‘- «5»* Estado sanitario de la villa de Estepona desde el día l.° al 7. Descuento de letras á 4 p. too al afio. de Marzo. Existencia del día Dias. anterior. Invadidos. Total. Carados. Fallecidos. ANUNCIOS. Graves. Leves. Obras que se hallan de venta en el despacho de ¡a imprenta Real. 1 ¿0 0 8 52 120 63 6 Adverte…</t>
  </si>
  <si>
    <t>Estados</t>
  </si>
  <si>
    <t>…vo-de Berna con fecha 28 de Rf.ina Gobernadora conceder honores de alcalde del crimen de la Abril, el aviso satisfactorio de que dicho consejo , atendido» los votos de los audiencia de Sevilla á D. Eugenio Javalquinto y Portillo, alcalde Estados confederados creyendo necesario una resolución unánime entre e pue mayor de la villa de Priego. blo suizo y sufi gobiernos , propondrá al consejo suprer.io la expulsión de Es refugiados que han tomado parte en el atentado contra Jo» Estados de CerdcrU; pero que al mismo tiempo mira como un deber ».…</t>
  </si>
  <si>
    <t>Estamento, Antonio Remon Zarco del Valle</t>
  </si>
  <si>
    <t>Antonio Remon Zarco del Valle Estamento</t>
  </si>
  <si>
    <t>…rreglar la divergencia suscitada sobre el particular entre ministerio de la Guerra, y otra del de admisión de la renuncia que ha hecho los dos Estamentos, he visto con sentimiento quejas opiniones no hayan po de este cargo el Sr. D. Antonio Remon Zarco del Valle. £1 Estamento que dido concillarse, y sobre todo que la mía no haya podido coincidir con la de dó enterado. mis dignos compañeros los Sres. Procuradores que conmigo fueron elegidos pa Se mandaron pasar á la comisión de lo Interior varios documentos que el la la comisión arriba enunciada. La nueva discusión de es…</t>
  </si>
  <si>
    <t>Estamento, Cezar El</t>
  </si>
  <si>
    <t>Cezar El Estamento</t>
  </si>
  <si>
    <t>…pecial encargada del eximen del presupuesto de Gracia y cano. Justicia, dió parte de haber nombrado por decano de ella al Sr. Cano Ma Se mandaron pasar á la misma comisión de Poderes los presentado* Con nuel , y por secretario al Sr. Cezar. El Estamento quedó enterado. los documentos justificativo* de su aptitud legal por el Sr. D. Manaei Montes El Sr. D. Miguel Pardo Bazan, Procurador electo por la provincia de de Oca, electo Procurador por la provincia de Cádiz. Pontevedra, presentó los documentos justificativos de su aptitud legal que pa La com…</t>
  </si>
  <si>
    <t>Estamento, D Antonio Remon Zarco del Valle</t>
  </si>
  <si>
    <t>D Antonio Remon Zarco del Valle Estamento</t>
  </si>
  <si>
    <t>…ra arreglar la divergencia suscitada sobre el particular entre ministerio de la Guerra, y otra del de admisión de la renuncia que ha hecho los dos Estamentos, he visto con sentimiento quejas opiniones no hayan po de este cargo el Sr. D. Antonio Remon Zarco del Valle. £1 Estamento que dido concillarse, y sobre todo que la mía no haya podido coincidir con la de dó enterado. mis dignos compañeros los Sres. Procuradores que conmigo fueron elegidos pa Se mandaron pasar á la comisión de lo Interior varios documentos que el la la comisión arriba enunciada. La nueva discusión de es…</t>
  </si>
  <si>
    <t>Estamento, D José Quintana Llarena</t>
  </si>
  <si>
    <t>D José Quintana Llarena Estamento</t>
  </si>
  <si>
    <t>…ila, en que manifestaba haber llegado á esta ca res. Señalo el lunes para la discusión de este proyecto de ley.” pital el día 20 de Noviembre último , y que no se había presentado aun al En seguida entró á jurar y tomó asiento el Sr. D. José Quintana Llarena. Estamento por hallarse indispuesto; pero que lo haría en cuanto estuviese res El Sr. Presidente anunció que la comisión encargada de presentar su dictablecido. El Estamento quedó enterado. támen sobre el proyecto de ley relativo á las adquisiciones á nombre del Esta Se mandaron pasar á la comisión de Poderes…</t>
  </si>
  <si>
    <t>Estamento, El</t>
  </si>
  <si>
    <t>El Estamento</t>
  </si>
  <si>
    <t>…tomado posesión de su destino. quisiera que en esta parte no hubiese ni aun discusión; y me lisonjearla extraor £n seguida tomó la palabra y dijo dinariamente el ver por los resultados que al expresarme de este modo no he El Sr. Caballero: «El Estamento recordará que hace dos meses se dió hecho otra cosa que servir de órgano y de intérprete de los sentimientos del cuenta de una petición firmada por suficiente número de Sres. Procuradores, Estamento entero. Creo que ni la política, ni la conveniencia, ni la gene dirigida á que S. M. se sirviese pre…</t>
  </si>
  <si>
    <t>…referido len , venerable caudillo, cuyo nombre va unido á una de las mayores glo dictamen el jueves 18 del corriente á las 10 de su mañana. rias de nuestra patria.” Se hizo presente si Estamento haber sido nombrado el Excmo. Sr. Don El Estamento acordó, que los Sres. Secretarios manifestasen por escrito Joaquín Navarro, conde de Casa-Sarria, para la comisión de Guerra, en lo al Sr. duque de Bailen lo grato y satisfactorio que le ha sido haberse visto gar del Excmo. Sr. Presidente, el cual cerró la sesión pública para quedara* presidido por…</t>
  </si>
  <si>
    <t>( htcén aborrecida; pero el segundo punto es mas delicado, porque ya no tiene El Sr. Caballero : «¿El Estamento decide que se proceda á la votación de «1 carácter de contribución ó exacción, peculiares del Estamento y de las Cor la petición en su totalidad? ” Asi se aprobó. tes , sino que se trata de ¡ntcre&amp;es particulares del que debe y del que exige ó Acto continuo preguntó el mismo Sr. Secretario si se ap…</t>
  </si>
  <si>
    <t>Estamento, Gobernadora El</t>
  </si>
  <si>
    <t>Gobernadora El Estamento</t>
  </si>
  <si>
    <t>…ras; como una carga indeterm nada y vaga , que muda según el sroftá V* Reina nuestra Señora Doña Isabel ii, y durante su minoría á su poder de los que la ex gen, y según el poder y facultades de los que se oponen excelsa Madre la Reina Gobernadora. El Estamento manifestó quedar ente á satisfacerla. rado, y mandó se le comunicase haber oído con agrado sus senitm entos. «El Gobierno ha visto la dirección torcida que se daba ¿ los negocios Se dtó cuenta de un dictamen de la comisión de examen de Documentos contenciosos que se promovían por esta exacción; ha…</t>
  </si>
  <si>
    <t>Estamento, Ignacio S Pons y Bar El</t>
  </si>
  <si>
    <t>Ignacio S Pons y Bar El Estamento</t>
  </si>
  <si>
    <t>…l ihismo Sr. Moscoso que asi que se leyese en el las juntas electorales de Tarragona y Barcelona, por las cuales habían sido elec Estamento de Proceres, se imprimiría y repartiría. tos Procuradores los Sres. D. Guillermo Oliver y D. Ignacio S. Pons y Bar El Estamento quedó enterado. lú en reemplazo de D. Ramón Ciscar. Asimismo acompañaba una exposición EL Sr^ conde de las Navas dijo: «Quisiera aprovechar la ocasión de es del referido Oliver renunciando su efergo, por no permitírselo desempeñar sus tar presente el Sr. Ministro de lo Interior pa a que contestara…</t>
  </si>
  <si>
    <t>Estamento, José Quintana Llarena</t>
  </si>
  <si>
    <t>José Quintana Llarena Estamento</t>
  </si>
  <si>
    <t>…en que manifestaba haber llegado á esta ca res. Señalo el lunes para la discusión de este proyecto de ley.” pital el día 20 de Noviembre último , y que no se había presentado aun al En seguida entró á jurar y tomó asiento el Sr. D. José Quintana Llarena. Estamento por hallarse indispuesto; pero que lo haría en cuanto estuviese res El Sr. Presidente anunció que la comisión encargada de presentar su dictablecido. El Estamento quedó enterado. támen sobre el proyecto de ley relativo á las adquisiciones á nombre del Esta Se mandaron pasar á la comisión de Poderes…</t>
  </si>
  <si>
    <t>Estamento, O Cirios María de Borbon Ei</t>
  </si>
  <si>
    <t>O Cirios María de Borbon Ei Estamento</t>
  </si>
  <si>
    <t>…x «Es bien sensible que algunos individuos de este Estamento nos hayamo* posición hecha a S. M por e! de Gracia y Justicia-relativa á la conducta del visto en la precisión de hacerlo presente cuando estamos en vísperas de decidir Sr. O. Cirios María de Borbon. „Ei Estamento acordó quedar enterado, y man* sobre un negocio en que se cifra nuestra ventura. Nos» hartamos responsables dó que se repartiesen á los Sres. Proceres. ante el pueblo español , y objeto de su censura severa, si guardásemos silencio en asunto de e»ta naturaleza , viendo que nos habíamos limitado á i…</t>
  </si>
  <si>
    <t>Estamento, Presidente' El</t>
  </si>
  <si>
    <t>Presidente' El Estamento</t>
  </si>
  <si>
    <t>…leerse el acta de las ESTAMENTO DB SEÑORES PROCURADORES. sesiones de la comisión mista respecto 4 la deuda extrangera.” Se leyó el acta mencionada (véase la sesión anterior), diciendo en seguida Sesión del dia 6 de Noviembre. El Sr. Presidente'. *»El Estamento recordara que la comisión de Procu radores que se ocupó de este asunto en unión con la de Proceres, dió su pare Se abrió 4 las once y cuarto, 7 leída el acta de la anterior quedó aprobada. cer de palabra; y que en seguida leyó su voto, particular uno de lo-, mismo, in Se mandaron pasar 4 la comisió…</t>
  </si>
  <si>
    <t>Estamento, Sánchez Toscano El</t>
  </si>
  <si>
    <t>Sánchez Toscano El Estamento</t>
  </si>
  <si>
    <t>…r. marques de Montenuevo no poder tomar parte en los trabajos dad pública, en que manifestaba haber nombrado decano suyo a| Sr. Lasanta, de la comisión de rentas estancadas por falta de salud, la mesa había nombra y Secretario al Sr. Sánchez Toscano. El Estamento quedó enterado. do para reemplazarle al Sr. Floreé Estrada. La comisión de Poderes presentó su dictamen acerca de la exposición di El Sr. Presidente preguntó en qué estado, se hallaba el proyecto de ley rigida por el Sr. D. Joaquín González Nieto, electo Procurador por la pro sobre moneda, en atenc…</t>
  </si>
  <si>
    <t>Estamento, Torres Solanot El</t>
  </si>
  <si>
    <t>Torres Solanot El Estamento</t>
  </si>
  <si>
    <t>…indicado. JE»ta reflexión , unida i proyecto de ley sobre bienes mostrencos, participando haber nombrado deca las que ha hecho el Sr. Domecq, haji puesto á la comisión en el C3SO de pro no de ella al Sr. Larriva, y secretario al Sr. Torres Solanot. El Estamento poner que se aprueben los poderes del Sr- Queipo de Llano. , quedó enterado. «El Sr.-conde de las Navas ha citado este ejemplo como único de jji cla Lo quedó igualmente de la comunicación que hacia la comisión de Ren- se que la comisión ha propuesto. Será enhorabuena el único que la comisión tai es…</t>
  </si>
  <si>
    <t>Estamos</t>
  </si>
  <si>
    <t>…e ha hecho no con bastante decidir si hubo ó no libertad para votar las contribuciones ? ¿ Los pueblos por st exactitud. Yo me lisonjeo de que al menos este atropello de los derechos de propios? Esto conduciría á la anarquía. &lt;E1 Rey! Estamos, señores , en un pais la Nación , esta especie de violencia, fueron cabalmente extranjero* los que la donde por bocas augustas, que en otro tiempo dieron lugar á decir para pro perpetraron, y que asi como todos los historiadores no» han pintado este acon verbio de una cosa exacta "p¿labra de Rey,"…</t>
  </si>
  <si>
    <t>Estamos, López</t>
  </si>
  <si>
    <t>López Estamos</t>
  </si>
  <si>
    <t>…ón, asi de esta cuestión como del arre y mas al oir de vuestra boca principios y deseos, cuya ejecución bastará á ha glo municipal, no menos importante.” cer 1* prosperidad de esta Nación heroica; prosperidad á que es llamada por Sr. López. «Estamos conformes, tanto los Sres. Secretarios del Despa un concurso de circunstancias felices, pero de que constantemente la alejó por cho como los demasíen la mayor parte de los principios, y solo hay diferen mucho tiempo el olvido de sus antiguas instituciones. Regenerar esta patria cia en las expresion…</t>
  </si>
  <si>
    <t>…ión, asi de esta cuestión como del arre y mas al oír de vuestra boca principios y deseos, cuya ejecución bastará á ha glo municipal, no menos importante.” cer U prosperidad de esta Nación heróica; prosperidad á que es llamada por Sr. López. «Estamos conformes, tanto los Sres. Secretarios del Despa un concurso de circunstancias felices, pero de que constantemente la alejó por cho cómo los demas, en la mayor parte de los principios, y solo hay diferen mucho tiempo, el olvido de sus antiguas instituciones. Regenerar esta patria cia en las expresi…</t>
  </si>
  <si>
    <t>Están, Gobernadora</t>
  </si>
  <si>
    <t>Gobernadora Están</t>
  </si>
  <si>
    <t>…aquella ciudad y provincia, asi como denlas cárceles y escuelas para mejorar su paternal gobierno de nuestra inocente y amada Reina , y de su augusta Madre administración , ó hacer en ellos las mejoras posibles y convenientes. la Reina Gobernadora. Están ya organizadas las sociedades económicas de Carmona y Osuna, y la de aquella e pítal sigue ocupándose en el establecimiento de las cátedras de ma temáticas y química aplicadas á las artes. . bolsa de comercio__ Cotización de hoy d las tres de la tarde• El asentista que ha tomado á su cargo las func…</t>
  </si>
  <si>
    <t>Estando, Órtiz de Velaseo</t>
  </si>
  <si>
    <t>Órtiz de Velaseo Estando</t>
  </si>
  <si>
    <t>…sentase su fe.de bautismo. Hay-muchos señores que conocen perto^ j tacé taitas filas no» «capa, se Jia hablado, me limitaré £ hacer tres ligeras ob raímente 4 este interesado ,&lt; y pueden decir su edad^—^ . ■ V servaciones. ‘ _ El Sr. Órtiz de Velaseo «Estando5 marcadas expresamente las cualidades «Primera :'se no» dice que de no prometer el pago total de los intereses que debe tener el nombrado Procurador, claro es que 'las pruebas bañ de ser de la deuda que ya hemos recooncido, no tendremos crédito, y la Consecuencia claras y directas. ¿Cuál es la prue…</t>
  </si>
  <si>
    <t>Estanicnlo, Pr'etidentír El</t>
  </si>
  <si>
    <t>Pr'etidentír El Estanicnlo</t>
  </si>
  <si>
    <t>…io Reai, como asi.se en que ^ se c-qsoJia dicho, fría lo , ciedaracion de la^nter.c;a arbirial l&gt;ech 1 por , hizo* • • . ' ^ - , •• - . • , S. ^Ljá in*íi*tica ele 1 M. R.íarzobivpp y cabildo ate aquella inctroiiolitana iglc- ■ £1 Sr. Pr'etidentír. «El Estanicnlo no se hü ocupado de tudlt h.iy^ ahora,; su; sin 4^ndct áí qfap por dicha RcaiTi_l -^rden^dejaJ..I í.sC:_ éS. wM'., rrsaSfej \ " *Ig cosHiniPK.. .</t>
  </si>
  <si>
    <t>Estas</t>
  </si>
  <si>
    <t>…de elevar i S. M. una obtenerlas, es abrir la puerta á muchas males. ¡Quienes son los amigos! ¡quubj petición, se decidió i mirar esta institución como una ley fundamental del Es Califica la amistad política! ¡quién ha de ser el juez! Estas son dificultades qué tado; es decir, por un extremo diametralmentc contrario al que ta'ha querido no se pueden'vencer. El principio general es: que todo el que respeta la socie considerar el Sr. Alcalá Galiano; aunque yo debo confesar que aquella Opinión dad y está interésado en su conservación y e…</t>
  </si>
  <si>
    <t>Estas, Ga</t>
  </si>
  <si>
    <t>Ga Estas</t>
  </si>
  <si>
    <t>…narios, que se hagan reformas en el régimen municipal; y decir que absolutamente se quedó aprobada. necesite par* ella que los ayuntamientos rengan otra planta- * Sé nombró pan la comisión de rentas estancadas, en sustitución del Sr. Ga ” Estas corporaciones , tales como están en el día, ó con agregación á ellas ra y que se halla enfermo, al Sr. Ciscar y Oriol. de otras personas que se les unan con este objeto, tendrán puntos de contacto Los Sres. Crespo Tejada, Fonragud, Otazu , Domecq, Ferrer, Marques de con la formación de la Milicia;…</t>
  </si>
  <si>
    <t>Estas, Isidoro Colocorroní y Kaliopulos</t>
  </si>
  <si>
    <t>Isidoro Colocorroní y Kaliopulos Estas</t>
  </si>
  <si>
    <t>…riego había man Perez Seoane, a O. Eviris'o Paevo de Urr-esr pira la de oidor, vacante en la dado prender -30 personas mas como cómplices en la conspiración de Zavalla,' mdiencia de Sevilla por salida dé D. .Imn Amonio Almagro, 4 D. Isidoro Colocorroní y Kaliopulos. Estas prisiones se habían hecho sin dar motivo á Saenz derVeiasco, oidor cesante: y para la de alcalde del crimen de ía Real ninguna inquietud de parte del-pueblo, pues reina la mayor tranquilidad, y las audiencia de Citalufia, vacante también por salida de D. Serafin CSavier, á leyes son obedecidas. . »…</t>
  </si>
  <si>
    <t>Este</t>
  </si>
  <si>
    <t>…dfica blale Sanabria 28 de Marzo de 1834*=José Vázquez y Lopezccs de los nombres de pueblos y lugares de la Península, con aplicación á Excmo. Sr. capitán general de Castilla la Vieja. la topografia y á la historia. Por D. Fermín caballero. Este tratado, que puede considerarse como un estudio preliminar á la geografía patria, El comandante general de la provincia de Santander dice al ofrece por la novedad del asunto un ínteres poco común en tiempos en que es ya difícil decir sin copiar, d sin imitar á otros escritores. Los mismo capitán ge…</t>
  </si>
  <si>
    <t>Este, Angel López</t>
  </si>
  <si>
    <t>Angel López Este</t>
  </si>
  <si>
    <t>…s de ejércitos: de que se constituye gefe supremo? la tranquilidad de la provincia, y contener la necia pretensión de D. Geróni i.á Byton en Harron prestar á su íntimo aqaigo el apoyo de su talento juvenil? mo Helguera, y del Dr.'D. Angel López. Este aturdido ya calculaba sobre vues i quién no admiraría ver á Watt, á la edad-de 6 años, sustraerse á la vigilan tras fortunas, que yo siempre he respetado; ofrecía grandes sumas á los ejecu cia paterna para ir á observar el efecto del vapor escapándose de un caldero? tores de su inicuo plan, después…</t>
  </si>
  <si>
    <t>Este, Calderón Collantes</t>
  </si>
  <si>
    <t>Calderón Collantes Este</t>
  </si>
  <si>
    <t>…l poseedor, Cesa bien rales , y que estén reconocidos legalmente; y aun en este caso les llama sin cruel.-Pór lo tanto, pues’, me conformo con la comisión.” perjuicio de los derechos preferentes de los trasversales legítimos.” El Sr. Calderón Collantes-. « Este artículo fue uno de los que detuvieron El Sr. Ochoa deshizo una equivocación que dijo haberse padecido en la mas á la comisión en sus trabajos, y que djó lugar á discusiones ritas empeña discusión. das. La asistencia del "Sr. Secretario de Gracia y Justicia á una de sus sesiones, El Sr. marques de…</t>
  </si>
  <si>
    <t>Este, Cirios</t>
  </si>
  <si>
    <t>Cirios Este</t>
  </si>
  <si>
    <t>…timas noticias de la Guiana in tu noticias da España no «on-satUfactoriar, y hstTengaitado las esperan- glesa, y especíalmeñte de Berbicepque atcanzan hasta el 2 de Julio,~son muy ms que se habian concebido sobre la expedición de D. Cirios. Este no haca satisfactorias. Nos dicen con efecto que el sistema de aprendizage de los negros regresos, y su partido es demasiado débil para poder luchar contra el de la se ha puesto en planta desde 1de Marzo último, y esto se debe á la ilustra 5IxixA. Los pequeños movimientos de Cataluña, con los cuale…</t>
  </si>
  <si>
    <t>Este, Gobernadora</t>
  </si>
  <si>
    <t>Gobernadora Este</t>
  </si>
  <si>
    <t>…Isabel ir, habiéndoles leído 14 b. Cidla, Sevilla, 4k el Sr. gobernador interino la proclama de l.° de Enero dada al ejército por ABayona,muerdan.,00. 00. Paris,Alicante,16-54 cortoi 6. pla d. Coruña, 1 Valencia, 4 id. la augusta Reina Gobernadora. Este brillante y tierno espectáculo terminó Burdeos, 00. zo, | b. Granada, Id. id. Zaragoza, j d. tpn dos descaigas de batallón precedidas de los vivas á Isabel ri J &amp; lá Reina Htimburgo; 00. Barcelona, 4 ps. fs., M41aga. |b.„ * Dcscnénto de lenas» Regénta, desfilando en seguida por delante del gobernad…</t>
  </si>
  <si>
    <t>Este, Ildefonso Ocon</t>
  </si>
  <si>
    <t>Ildefonso Ocon Este</t>
  </si>
  <si>
    <t>…V. Miro* Juan de Avila, clérigo, aposto! de la Andaluza: 9 tomos 20 en el pinar de Ontoria por cí subteniente del regimiento de infantería de tn 4.0, edición de varios años, á 18 rs. cada tomo en rústica y 17 en roma, para Borbon D. Ildefonso Ocon. Este o6dal hirió por su propia mano de un sa demayorlos comodidadtratados siguientes:del públicoDecretose vendede estaN. M.obraS. P.porClementeionios sueltos.vui, E¡de 1.°8 decomprenFeoreblazo en la cabeza al caudillo de los rebeldes, quienes tuvieron ademas 2 muer- ru de J759, declarando constar las vi…</t>
  </si>
  <si>
    <t>Este, Isabel</t>
  </si>
  <si>
    <t>Isabel Este</t>
  </si>
  <si>
    <t>…al ver que da su dinero; que su libertad y su independencia no quedan mos el deseo de salvar la Nación y el trono legítimo de nuestra Reina y Se garantidas; que la facción crece y gana victorias; que pierde en fin su dinero ñora Doña Isabel 11. .Este fin es común á todos. inútilmente, y dirá con mucha razón: ¿quieren Vy. dinero? Lo damos con «¿ Qué confianza se puede tener , ha dicho el Sr. conde de las Navas, pa mucho gusto; pero necesitamos garantías. Y si nos preguntan por qué como ra dar ese dinero! A pesar que la proposición ha recaído sob…</t>
  </si>
  <si>
    <t>Este, Jose Manso</t>
  </si>
  <si>
    <t>Jose Manso Este</t>
  </si>
  <si>
    <t>…eños fragmentos dispersados Argüe i les x del-L° de 4-ieems , yD. Vicente Salvador, de húsares. Dios en todas direcciones: asimismo destruyó un colmenar de mas de 2óU cajas. Cuartel general de Burgos 13 de Octubre de ltí34=Excmo- Sr.=Jose Manso. Este remolino ó manguera cogió de ancho como una caballería de tier =Excmo. Sr. Secretario de Estado y del Despacho de Guerra. ra, arrancando de Taiz yerbas, plátanos y todo cuanto encontraba, retroce diendo de dicho punto hasta donde se formó, durapdo como una hora (según Parte segundo. el informe de l…</t>
  </si>
  <si>
    <t>Este, Lafuente</t>
  </si>
  <si>
    <t>Lafuente Este</t>
  </si>
  <si>
    <t>…ora que los gobernadores civiles de las provincias, mientras no sidente con todas sus tropas, en número de 12(10 hombres. Aquel los ha pues pueda destinarse á cada una de ellas un ingeniero civil, dirijan los to bajo el mando del general Lafuente. Este suceso puede considerarse como decisivo para acabar con la insurrección, y á él deberemos el pronto resrabfe— danos de las obras de esta especie por conducto de este ministerio á J licha dirección general para su examen y aprobación antes de pro cimiento'de la tranquilidad. El Presidente cuenta sal…</t>
  </si>
  <si>
    <t>Este, María</t>
  </si>
  <si>
    <t>María Este</t>
  </si>
  <si>
    <t>…té: ^ue-se mul-&gt; - - El tintado celebrado entre las cuatro Potencias no se ha recibido todavía tiplican sobre manera los casui cít que se ha de impottqp el úhmojsüplicio t jq én-'Lóndres, aunque está ya firmado por el gobierno de Doña María. Este do fin que es una ley draconiana. {Murmullo en tos centros.') »»¡Y los nombres, cumento viene á bordo del buque de vapor Pembroke, que sécreia llegaría an continúa, que durante el gobierno de la restauración pedían que se aboliese 1» tee que-el Espoir, pero ha sucedido al revés. (Id*) pena de muerte,…</t>
  </si>
  <si>
    <t>Este, Nicolás</t>
  </si>
  <si>
    <t>Nicolás Este</t>
  </si>
  <si>
    <t>…en aquella capital la ratificación de su corte del convenio con cluido en Petersburgo con Ahmed-bajá, embajador extraordinario del Sultán Jos habitante»de este pueblo, heredero de la fidelidad nutnanlina , y la hizo cir cerca del Emperador Nicolás. Este personage estaba para llegar á Constamino- cular en el Boietin oficial, donde Recordándoles las repetidas pruebas que tienen dadas, hasta con las ^rmas en la mano, de su decisión en favor de los derechos pla de un dia á otro , y con este motivo el gobierno turco habia hecho insertar en su Gaceta oj…</t>
  </si>
  <si>
    <t>Este, Presidentex</t>
  </si>
  <si>
    <t>Presidentex Este</t>
  </si>
  <si>
    <t>…dito exige, porque se pague 1»&gt; contra misión. tado. Esta conducta realza el nombre de un particular, mucho mas el de una Confluida esta lectura dijo Nación; y bien calculado todo, las ventaja* que resultan en intereses son ma El Sr. Presidentex «Este dictamen se imprimirá y distribuirá inmediata yores que la* perdidas pvr lo p.ig.i fó á un supuesto indebido. mente: si fuese'posible que mañana se verificase esto, »efta*ana para su di&lt;u- 8. a Que la decisión dei no reconocí «iento no exime su honor ni concien akm el lóttts próximo; maa como ciéo…</t>
  </si>
  <si>
    <t>Esteban, D Manuel</t>
  </si>
  <si>
    <t>D Manuel Esteban</t>
  </si>
  <si>
    <t>….................. . 25 4 28 id.... 72 30 10 eapitan D. José María Villaronte; los capitanes graduados, tenientesD. Alon Tortosa.............. . 24 4J27 id.... 21 10 2 so del Marmol y D. Francisco Saurco; el subteniente graduado, sargento 1.°,. D. Manuel Esteban; el sargehto l.° Pedro Tellez; el 2.° Miguel Alrambra, PROVINCIA DE TERUEL. y los cabos primeros Francisco Gamona y Juan Antonio Rodríguez: del re-, gimiento de Navarra, 6.a ligero, el' primer comandante D. Francisco Casti- Manifiesta su gobernador civil en oficio de 30 de Setiembre anterior, quo I…</t>
  </si>
  <si>
    <t>Esteban, Manuel</t>
  </si>
  <si>
    <t>Manuel Esteban</t>
  </si>
  <si>
    <t>…... . 25 4 28 id.... 72 30 10 eapitan D. José María Villaronte; los capitanes graduados, tenientesD. Alon Tortosa.............. . 24 4J27 id.... 21 10 2 so del Marmol y D. Francisco Saurco; el subteniente graduado, sargento 1.°,. D. Manuel Esteban; el sargehto l.° Pedro Tellez; el 2.° Miguel Alrambra, PROVINCIA DE TERUEL. y los cabos primeros Francisco Gamona y Juan Antonio Rodríguez: del re-, gimiento de Navarra, 6.a ligero, el' primer comandante D. Francisco Casti- Manifiesta su gobernador civil en oficio de 30 de Setiembre anterior, quo I…</t>
  </si>
  <si>
    <t>Estéban, S</t>
  </si>
  <si>
    <t>S Estéban</t>
  </si>
  <si>
    <t>…elona, á ps. fs., Málaga, 4 b. Descuento de letras, donaban cuanto hacia embarazosa la huida, que se verificó en,1a dirección de Londres» á 90 dias, id. id. Santander, 1 id. á 4 p. 100 al aña. 384. Bilbao , par. Santiago , -J á 1 d. S. Estéban. Los paisanos que han traído los partes del teniente coronel Bray me han dicho que la junta no salió con media hora de ventaja á la llegada do nuestras tropas. En el pueblo*encontraron la fábrica de pólvora, que con otra de Araraz quedaron destruidas. . ANUNCIOS. «Al llegar yo aquí de regreso de mis exp…</t>
  </si>
  <si>
    <t>Esterhazy</t>
  </si>
  <si>
    <t>…. De Real orden &amp;c. Dios &amp;c. Aran- Palmerston se retiraba del ministerio; el Globo habla de estos rumqres con.cl juez^.qé Mayo de itó4u=Garelly.=Sr, colector general de Espolios desprecio que se merecen. , r , y Vacantes. _____El príncipe Esterhazy se ha embarcado’ para el contmentn. A £ visitó an tes de partir á la familia Real, y tuvo upa entrevista con el Vimonde Palmera ton. (Id ) ........ fian felicitado á Sl M, por la publicación del BstAtdto Rui las corpo* raciones y personas siguientes: . Se han recibido noticias de Nueva.-York del 24…</t>
  </si>
  <si>
    <t>…nuestra época, sin conceder mente una entrevista con lord Palmerston. (Courier.) fondos mas considerables que los que están señalados actualmente. ”S. A. R. no duda que siguiendo el orden de los negocios que se ha pres ------ El príncipe Esterhazy sale mañana para el continente, y parece que sa crito, os dedicareis con el mayor zelo y actividad á realizar en el desempeño ausencia durará alglín tiempo. (’fjlobe.) de vuestra comisión las esperanzas que el gran duque y el país han puesto en vosotros, protestándoos por mi conducto cuán adictos s…</t>
  </si>
  <si>
    <t>…s de ISO hombres. Las estacionad», qué de tan manifiesta nulidad solo se deben exceptuar to providencias je jus juiuo al Rín están todas completas. ticia ordinaria.óde gobietno, que por su naturaleza no tieneti carácter políti El príncipe Esterhazy , embajador austríaco cerca de la córte británica, pa co ni puedeá sufrir dilación: queriendo la regencia evitar desde ahora.cuantas- só por Augsburgo el 7 de Junio para ir á Viena. (&amp;. de Augetvrgo.') ' dudas pudieran sobrevenir en lo futuro acerca de -los asuntos del tesoro^ y qui INGLATERRA. tar…</t>
  </si>
  <si>
    <t>Estevanes, José de Saqui y</t>
  </si>
  <si>
    <t>José de Saqui y Estevanes</t>
  </si>
  <si>
    <t>…. Noticia de los pueblos y administraciones donde han cabido los 16 premiar, mayores de los 1200 que comprende el sorteo de este dia. Para la plaza de oficial tercero de la contaduría de Propios de Lérida, vacante por dimisión de D. José de Saqui y Estevanes, ha nombrado S. M. á NÚMEROS. PREMIOS. ADMINISTRACIONES. D. José de-Mateo y Urrutia, cesante del ramo, propuesto en primer lugar. 5,591. 12000 ps. fe............ .. • • Barcelona. Para la plaza de oficial tercero de la contaduría de Propios de Ponteve 6,325. . 5000............... .. . . Madrid. dra…</t>
  </si>
  <si>
    <t>Estevez, Hipólito</t>
  </si>
  <si>
    <t>Hipólito Estevez</t>
  </si>
  <si>
    <t>…d,. Elementosen los dequeVeterinariase trata del escritosexteriorparadel caballoel uso de, suslosenfermedades,alumnos del Realremedioscolegiofice.,de Teka, donde se halla la goma laca y la gutagamba, siendo ya el precio de es por D. Hipólito Estevez: coosta de 2 tomos en 4.0, los cuales, aunque sirven de io ta 60 pesos fuentes el quintal, cuando antes tenian que procurársela del reino nios 5.0 y 6.° de la obra de Malats, se venden juntos y separados.-----Descubrimiento de Siam; y habiendo ya dado las instrucciones convenientes sobre el modo de…</t>
  </si>
  <si>
    <t>Estfada, Florea</t>
  </si>
  <si>
    <t>Florea Estfada</t>
  </si>
  <si>
    <t>…irtr' la'discusión pendiente sobre él presupuesto dél m¡ní#- 'otráobservséton que se- ha presentado sobre s! l2-4úfórizacion de 'que serrata ■ ■tériot'de Estado:i- .■ . - *••• : debe ser limitada ó absoluta, es muy importante. El Sr. Florea Estfada,"eoh el Se leyó el artículo ó párrafo l.° que dice: tino, que acostumbra, ha hecho mención de un caso que pudiera ocurtir y ser Párrafo l.° Secretáría de Estado 723S re. vn. ■ funést'o i lá Nacían: tal' es el. de que el Ministerio se Compusiese de otros sa Igualmente se leyó el dictámen de la comis…</t>
  </si>
  <si>
    <t>Esto</t>
  </si>
  <si>
    <t>…que se les hizo por esa Dirección portancia por lo que puede facilitar la de Coimbra), nos hacen esperar el pró general en 6 de Abril de 1832, recomendándoles el uso de la buena tinta para ximo fin de la carrera militar de'aquel Príncipe. Esto se hace mas probable si los sellos, la limpieza de ellos, y el cuidado y esmero en estamparlos, á fin de es verdad , como se asegura, que en la guarnición de Santarem reinan muchas evitar perjuicios á ia Real Hacienda y al comercio: que se construyan punzo enfermedades y abatimiento. De todo puede…</t>
  </si>
  <si>
    <t>…igera equivocación. te^ servicios. Es el único Príncipe de su sangré que se ha mostrado fiel á la Na El Sr. Alvarez García hizo algunas observaciones que se percibieron, mal, ción, fiel £ su alta estirpe y fiel £ nuestra inocente Reina. Esto creo que debe reducidas á que estaba indeciso entre el dictámen del Gobierno y el de la co servir de algún peso en la consideración del Estamento, el cual en mi opinión misión, pues en el uno le parecía mucha, y en el otro muy poca la asignación debe conformarse con lo propuesto por el Gobierno.” f…</t>
  </si>
  <si>
    <t>Estorhazy, Pablo</t>
  </si>
  <si>
    <t>Pablo Estorhazy</t>
  </si>
  <si>
    <t>…que clamen y amenacen los fabricantes. Porque los principios |1 4+Noifrntbri.- &amp; tifia. Sana economía *• vaqvh^iqnd^rd&amp;4ia en 4gp.mas.%ni%g» k los janeases, al pasó q#e sq desacreditan los sófismuade ld¿jja-&lt;/h¡h'cionistd,s. L £1 Príncipe Pablo Estorhazy, después de haber tomado posesión de fu man Según la opinión de. piucho» hombres, expertos de 4: A^q^a^ la-Tapion de Hit#; ds&amp;= 4 í^Wires «p. -4tid%¿ 4 éngMMfob X **,trasjad%i4 4 «I aduapqj alemana» qontjibuirá esencialmente no ^olojfi que »*&gt; realícen ea Fjahdestino en la primavera inmediata. El c…</t>
  </si>
  <si>
    <t>Estos</t>
  </si>
  <si>
    <t>…señal de un triunfo verdadero, y el sím que si le” tocase la suerte de soldado se le destine, como igualmente bolo constante del orden, de la unión y de la lealtad. al que la adquiriese siendo va quinto, al arma correspondiente, don Estos son , Señora , los sentimientos de la Milicia ui baña de Valeria ; y un* de se le dará la ocupación compatible con su respectivo delecto: con de sus mas ardientes desees, que *• si V. M. en días mas pacíficos y se la circunstancia, de que probado que sea q-ue uno se lia mutilado renos , que seguirá…</t>
  </si>
  <si>
    <t>fiscal y secretario. Estos deben ser 'permanentes; y especialmente en cuanto al ordenanza está prevenido que no se pueda dar parte de ninguna falta ó suceso de fiscal, creo que será tiihy oportuno se adopte lo que dice el Gobierno, á ski expresar la providencié que el gefe natural haya tomado para , corregirlo ó saber: que s…</t>
  </si>
  <si>
    <t>Estos, Gerónimo Collado</t>
  </si>
  <si>
    <t>Gerónimo Collado Estos</t>
  </si>
  <si>
    <t>…......... .... Sao. . . . . ......... ......... .. Algeciras. de ellos titulado capitán llamado D. Pedro de Mar, y otro titulado subtenien 17483............ .... soo.......................... ............ Jerez de la Frontera. te D. Gerónimo Collado. Estos dos últimos han sufrido la pena que la ley 7,126............ .... soo.......................... ......... .. Madrid. manda, después de recibir los consuelos de nuestra santa religión; se les han co 15,163............ .... 500.......................... ............ Idem. gido armas de fuego y blancas, c…</t>
  </si>
  <si>
    <t>Estos, Mana Cristina</t>
  </si>
  <si>
    <t>Mana Cristina Estos</t>
  </si>
  <si>
    <t>…idioma castellano el caso , explicándole desde el principio hasta el puestos por 8. Saldoni, maestro de solfeo para el canco .en el Real .Conservatorio de £n , con expresión de sus causas, del diagnóstico, del pronóstico y de la cura Mana Cristina. Estos solfeos, esdrírns en ios veinte y ?uatf0 tomos mas usados, son ción. Esta exposición deberá versar, no solo sobre el estado actual del dotiente, propios para ser vocalizados, y ofrecen por el carácter desús melodías modernas bás sino que se extenderé, é lo que exigió en el principio y requiera hast…</t>
  </si>
  <si>
    <t>Estos, Scarpati</t>
  </si>
  <si>
    <t>Scarpati Estos</t>
  </si>
  <si>
    <t>…años. RADA. Riofrio 29 de Julio de 1834.=Nicolas María Garelly.=Sr. Secreta Aráfoltt S Je Juño. rio del Despacho de Estado. Ayer salieron de este puerto con dirección i Palomo los navios él Veru bio , espitan Lettieri, y el León, capitán Scarpati. Estos dos buques pertenecen á la marina Real, y se cree que van encar gados de alguna misión secreta. (G. dt Augeburgo.) PARTE NO OFICIAL. CtGLATBRXA. NOTICIAS EXTRANGERAS. Zdndret 19 dt Julio. En la sesión de la Cámara de los Lores del 13, entró el conde Grey en el salón , y se sentó en el banco ministerial…</t>
  </si>
  <si>
    <t>Estoy</t>
  </si>
  <si>
    <t>…por los Secretarios dei Despacho las oportu- ne á los individuos de que se hace referencia por el proyecto de ley. En virtud, - ñas órdenes.’* pues, de todas estas consideraciones la comisión insiste en la necesidad de que El Sr. Caballero: «Estoy enteramente satisfecho, y tanto mas cuanto mi se adopte su adición; aunque en punto á las palabras admitirá cualquiera redac objeto no ha sido inculpar á nadie, sino hacer una advertencia que roe parecía ción que se presente como mas adecuada al objeto.*? natural.*9 El Sr. Cuesta: «En una discusión…</t>
  </si>
  <si>
    <t>…iones que establecía en el llamamiento al servicio extraordinario en nen kJs sargentos: los nombra el comandante á* escuadrón ó batallón; y por caso que no hubiese quien se prestase á hacerlo voluntariamente. último, ios cabos el capitán. Estoy muy conforme en esto; pero veo un vacío Declarado el punto suficientemente discutido, se aprobó el artículo eo los en el artículo, como s&gt;c propone ahora al hablar de que los comandantes, ayu términos siguientes: dantes y abanderados tendrán Real despacho, y no ios capitanes. No importa Art. 18- Se…</t>
  </si>
  <si>
    <t>Estoy, Atoare Guerra</t>
  </si>
  <si>
    <t>Atoare Guerra Estoy</t>
  </si>
  <si>
    <t>…ido, se acordó nombrar una comisión especial para entender en « Asi, pues., me parece que la memoria po debe ser examinada ¡por b oo- •&gt;te asunto. mision*” La comisión de exáínen y revisión de documentos dio su dictámen acerca El Sr. Atoare* Guerra-. .«Estoy acorde en que la memoria no debe-pasar de los presentados por los Excipps. Sres. duque de Medinacelj , duque de S. Lo i la comisión. Me .parec^jue las memorias -actuales tienen do« objetos: *1 pri renzo, y conde de Sta. Ana , exponiendo que habiendo llenado sus pruebas de mero y principal es ponemo…</t>
  </si>
  <si>
    <t>Estoy, Galwey</t>
  </si>
  <si>
    <t>Galwey Estoy</t>
  </si>
  <si>
    <t>…Sr. Secretario de Estado; y que terminó con re que tanto en el proyecto de ley presentado por el Gobierno, como en el de nunciar la palabra el orador. la comisión, se encuentra el mismo vacío, porque ni uno ni otro dicen en su El Sr. Galwey. «Estoy muy lejos de no conformarme en el fondo con lugar los deberes á que se compromete la Milicia urbana. Este vacío es el que las ideas del Sr. González; pero como no encuentro la adición tan clara como quiere llenarse con esa adición , y está visto y probado que es muy justo este está el art. 26 del p…</t>
  </si>
  <si>
    <t>Estrada</t>
  </si>
  <si>
    <t>…ue ahora no tiene ni un solo arroyuelo donde poderse que se ha querido se modifique , no está ni desechado ni aprobado. Esto es lo resarcir. Ni puede sub-ananc con exportaciones, sino que tiene que ser metáli que nos ha movido al Sr. Estrada y á mí á separarnos del dictamen de la ma» co líquido. La Nación quedaría exhausta , el comercio paralizado , y k do ani yorti, y reproducir el artículo del Gobierno modificado según el espíritu del quilado por falta de numerario. Asi, pues, yo creo que en vista de todo debe Estamento. El Gobierno pr…</t>
  </si>
  <si>
    <t>Estrada, Alonso</t>
  </si>
  <si>
    <t>Alonso Estrada</t>
  </si>
  <si>
    <t>…columna de aquel gefe contribuyeron á la Al momento previne al teniente D. Bernardo Molina que iba de descu derrota del Locho. Mientras tanto ios 40 Urbanos de infantería y 3 de caba bierta con el sargento l.° graduado de alférez D. Alonso Estrada, continuase llea ki que habían quedado en esta villa, ocuparon las avenidas de la sierra , por la marcha y rompiese el fuego sobre ios enemigos tan pronto como estuv e en cu)o medio lograron matar algunos facciosos y capturar otros, contribuyendo á tiro. Por la izquierda destaqué una guerriHa con e…</t>
  </si>
  <si>
    <t>Estrada, Alvaro Florez</t>
  </si>
  <si>
    <t>Alvaro Florez Estrada</t>
  </si>
  <si>
    <t>…obre el particular: voy a contraerme únicamen grandes propietarios en aquella provincia: cito como testigos irrefragables á mis te al dictamen que ha presentado la comisión, sintiendo mucho no estar de dignos compañeros tos Sres. D. Alvaro Florez Estrada , y D. Alvaro Navia acuerdo en Su contenido, y verme obligado i impugnarle. y Osorio, hermano del marques de Ferrera, uno de los otorgantes. «Dice la comisión que el Sr. Arguelles no tiene la renta legal , y que de «En este supuesto, es indudable que el Sr. D. Agustín Arguelles posee consiguiente n…</t>
  </si>
  <si>
    <t>Estrada, Elorez</t>
  </si>
  <si>
    <t>Elorez Estrada</t>
  </si>
  <si>
    <t>…os principios restablecidos no ¿Qué fe pública, qué concepto daría al Gobierno español semejante proce los hayan aconsejado á 6. M. los Sres. Ministros , sino que cjco haber oido de der?.... Se dice á esto que ya ha contestado el Sr. Elorez Estrada; pero ó yo cir á dicho* señare» que la restitución de estos derechos es una gracia.” no le he comprendido bien , ó ba estado muy lejos de satisfacerme. S. S. dijo: El Sr. marques de Aíonte virgen: «He pedido la palabra para deshacer •&gt;E1 Gobierno en estas materias reconoce Ja necesidad de acudir á…</t>
  </si>
  <si>
    <t>Estrada, FIbtet</t>
  </si>
  <si>
    <t>FIbtet Estrada</t>
  </si>
  <si>
    <t>…estamos ventilando , pudiese dar liigar á tan jaiva discuFrancia; ws 4ta|£stj^cj|n''íiaj^ gjfa improvisada , ni fpuifcérojtio^exigir K. -- ; - '■ 1 . tanto del GóbiernoVy ánn dé' reparar este vacío, y evitar la iniquidad del JSl'Sr. FIbtet Estrada: « Eá Comisión hi teñido pftsenteá las tres obje reparto, podria obligarse á los ayuntamientos de todos los pueblos de España á ciones que ha hecho el Sr. marques de Torremejía. En primer lugar no pod;a -, fijar en un parage público por espacio ^ie 22 dias, inclusos tres domingos., las la comisión…</t>
  </si>
  <si>
    <t>Estrada, Fiorez</t>
  </si>
  <si>
    <t>Fiorez Estrada</t>
  </si>
  <si>
    <t>…en España eran la vanguardia de la »Señorcs, también se han hecho reflexiones sobre la opinión de la Fran santa alianza; precedieiónles los agentes de cambio, los espías, el oro que la cia. lia Francia, como dijo ayer muy bien el Sr. Fiorez Estrada, es una Na misma santa alianza había esparcido en la Nación para extraviar y diiidir los ción ilustrada, liberal en so mayoría; y aun cuando esa opinión facticia, que ánimos. Y ¿cuál fué el resultado? Que hombres comprometidos por la liber ha hecho crear el reconocimiento de los bonos de Cortes, po…</t>
  </si>
  <si>
    <t>Estrada, Florea</t>
  </si>
  <si>
    <t>Florea Estrada</t>
  </si>
  <si>
    <t>…nos aun Suficientemente las causas que pueden haber impedido su concur «En cuanto á los excesos del 17 y 18 quiere S. S. mas energía: hó creo r rencia.” que pueda enunciarse de un modo mas exquisito y terminante qué manifestan El Sr. Florea Estrada interrumpió al orador, diciendo estaba discutiendo do la peligrosa influencia que pudieran tener en la causa de la libertad. por artículos; pero el Sr. Medrano contestó era preciso hacerlo asi para hablar «Sobre los males que aquejan á todo el reino, cree S. S. que debía haber Al total: ademas, qti…</t>
  </si>
  <si>
    <t>Estrada, Floreé</t>
  </si>
  <si>
    <t>Floreé Estrada</t>
  </si>
  <si>
    <t>…en que manifestaba haber nombrado decano suyo a| Sr. Lasanta, de la comisión de rentas estancadas por falta de salud, la mesa había nombra y Secretario al Sr. Sánchez Toscano. El Estamento quedó enterado. do para reemplazarle al Sr. Floreé Estrada. La comisión de Poderes presentó su dictamen acerca de la exposición di El Sr. Presidente preguntó en qué estado, se hallaba el proyecto de ley rigida por el Sr. D. Joaquín González Nieto, electo Procurador por la pro sobre moneda, en atención al tiempo que habia trascurrido desde que se paso vincia de…</t>
  </si>
  <si>
    <t>Estrada, Floree</t>
  </si>
  <si>
    <t>Floree Estrada</t>
  </si>
  <si>
    <t>…as Córtes, eia precisamente cuando mas se necesitaba de Ja libertad de «Mas recordando ahora la compiracion del Sr. Domecq, y haciendo uso imprenta. de su misma alegoría, es preciso in&gt;i»tir en que no conocemos lo que andamos, El Sr. Floree. Estrada: «Todos convenimos, inclusos los Sres. Secreta como el que va en un barco por un río; y que es necesario que volvamos ia rios del Despacho, en reconocer el principio: ia dificultad es una cuestión vista á la orilla para ver la tierra que dejamos atras. Hace pocos meses no era lí simple. La libertad…</t>
  </si>
  <si>
    <t>Estrada, Florez</t>
  </si>
  <si>
    <t>Florez Estrada</t>
  </si>
  <si>
    <t>…para impedir se repitan semejantes excesos.” expresión.” Igualmente quedó aprobado el párrafo 4-°, modificado por la Comisión. »Tengo.presentes los argumentos-empleados1 por varios Sres. Procuradores Leido el párrafo 5-° dijo el Sr. Florez Estrada seria necesario expresar en la Idiscusipn general, y entre ellos el Sr. conde, de Toreno, respecto á que que las relaciones amistosas de las Potencias extrangeras eran relativas á la con se hacia cierta injuria á S. M. en suponer no conocía del todo las desgracias de servación de la independencia y…</t>
  </si>
  <si>
    <t>…de algunos puntos de América de emi so hay otros muchos importantes que la comisión no ha tenido presentes, y grados d- todos Irs países, diversos en usos, costumbres, educación y aun idio entre ellos los mismos indicados por el Sr. Florez Estrada : la organización ma, entonces etUria bien, si se quiere, esa consignación de principios genera municipal y la cuestión de las Américas. Seguramente nadie negará que el ar les; pero no son oportunos en el discurso que analizamos, relativo á una Na reglo municipal es mas urgente é importante que el…</t>
  </si>
  <si>
    <t>…Estamento y del Gobierno en mantener á toda costa los derechos del trono y los derechos de Contestación del Estamento de Sres. Procuradores al discurso di S. X., /r— la Nación.” , ¿un ha sido aprobada en las dos últimas sesiones, Sr. Florez Estrada : «He oído con mucha satisfacción al Sr. Secretario de E.tído que el Gobierno se ocupa en la cuestión de América , y me congra— 1. ° SeSora: El Estamento de Procuradores del reino ha experimentado tula con él por esto ; pero mi intención no fue mas que al tratarse de asuotos el mayor ^placer al ver…</t>
  </si>
  <si>
    <t>…rdia” se dijese «interesante sal cit.que la desigualdad legal es mas intolerable , cuando cabalmente ha sido to- vaguardia” ó cosa equivalente. (i dtf lo coatraap.; ppcs..en oingiína monarquía deüiuropa^ha ji^.bidp tngnos des- El Sr. Florez Estrada manifestó que supqestó se hablaba en el .párrafo de igualad ,'mi ha sido menos opresora la aristocracia ; y aun posteriormente qui váriias necesidades políticas de la Nación, podría lambían hacerse íricncion. del zá se'ha tocadb «rv^Léxtremo: opuesto; pues.no parece piro que ha tenido por arreglo d…</t>
  </si>
  <si>
    <t>…una discusión entre varios Sres. Procuradores, que D. Cirio: sus provectos de usurpación, y muy especialmente la aXttud amena dando al fin aprobado. zadora y hostil que Había tomado contra la legítima Soberana-de España, de | Si Sr. Florez. Estrada, i nombre de ia «emisión de Hacienda, pidió se au jaban libre v dcsemhaiarado á su Gobierno para seguir la línea política que es mentase «»ta con dó» individuos mas. timase mas justa y conveniente, sin tener que guardar con un enemigo decíaEl Sr.’ Presidente manifestó se romariaeta petición en. con…</t>
  </si>
  <si>
    <t>…e discutirse la totalidad, ño que por esto m uno de loa farolero! de ambos Estamentos. ' comprometa ningún individuo é aprobar ó desaprobar alguna parte." ~ Se mandó pasar i la comisión de Poderes ira oficio con que D. Jacinto El Sr. Florez Estrada insistió en su idea. de Romarafe, Procurador electo por la provincia de Vizcaya, remitía los do El Sr. Presidente: «Ahora no se trata de votar, sino rolo de cumentos justificativos de st|i aptitud legal para serlo. sobre la totalidad del asunto, sin que la opinión que se emita sobre casa SO Igualme…</t>
  </si>
  <si>
    <t>…ara no cumplir lo pac yo el mismo puesto que ahora , y ascendía el total á 45 millones, poco mas ó tado; y habríamos «cogido mal la primera víctima.” menos, sin contar con que habia que atender también á reclamaciones nuestras El Sr. Florez Estrada expuso que siendo ya sabido que no es orador, se contra aquella potencia, y á que siempre habia que examinarlas todas antes de limitaba á hacer, algunas observaciones sobre lo dicho por el Sr. Secretario de celebrar el tratado. Llegó el mes de Diciembre del mismo año, y cuando ya Estado. Manifestó…</t>
  </si>
  <si>
    <t>…l mismo tiempo que se contrataba este otro que aho este tratado, ni aun para confirmarle, y que no lo consentiría ni la Francia ni ra se quiere también reconocer, dos actos que se bacian el uno á nombre de el Gobierno español. El Sr. Florez Estrada contestó, i mi juicio, victoriosa Fernando vii , presente y al fíente de la Nación, y el otro á nombre del mis mente á este modo de pensar del Sr. Ministro; pero yo añadiré solamente que mo, solo virtualmente por la regencia de Urgel j.dijo el Sr. Aguirre Solarte si las Córtes tienen derecho de exa…</t>
  </si>
  <si>
    <t>…la comisión, sin que nos haya manifestado la causa de esta Un dos; y yo, como individuo de la comisión, diré que esta, por no entrar en , diferencia. * contestaciones y dilaciones emha'azosas, precedió al reconocimiento de la «El Sr. Florez Estrada, Con su acostumbrada urbanidad, ha dicho que primera; y con respecto á la segunda, creyó bastante lo que acerca de ella ex habia contribuido á ello el que este tratado lo habia celebrado el actual minis pone en su memoria el Sr. Secretario de Estado. terio , porque cabalmente fui yo el que lo hice;…</t>
  </si>
  <si>
    <t>…tre pen inútil. 1 siones de gracia y de justicia. En cuanto á las observaciones del Sr. Torremejía, «Respecto á la tercera observacion.de que al Gobierno solo se le autori han; sido ya contestadas por el Ministro de Hacienda y el Sr. Florez Estrada. ce por cuatro meses, es no menos infundada, y es también innecesaria, porque Me parece, pues, que estamos en el caso de aprobar la ley supletoria de que se el Gobierno no pide una autorización tan larga, juzgando como seguro que an trata.” tes de tres meses estarán aprobados los presupuestos. El Sr…</t>
  </si>
  <si>
    <t>…ial, en este artículo la cantidad de ^88,780 rs. no porque en él dia haya la menor desconfianza de los actuales Secretarios del Como dicha rebaja recaía sobre diversos puntos, se pasó al examen de ca Despacho, como ya ha dicho el Sr. Florez Estrada , puévno habrá ningún señor da uno, mediante las observaciones de los Sres. Torremejía, Ferrer y Ca Procurador ni español que ios créa capáces de poner trabas 4 las disposiciones ballero. de las Córtes; sino porque, como el Estamento conocerá muy bien, podria ha En su consecuencia se leyó el párraf…</t>
  </si>
  <si>
    <t>…antiago no propuso variación ninguna. La modificación que se hizo en acuerdo con lo que dijo ayer , de lo que me felicito extraordinariamente. uno de sus artículos fue á virtud de propuesta de un Sr.: Procurador.” (Insistiendo el Sr. Florez Estrada en su idéa, hicieron varias observacio El Sr. Redondo pidió se leyesen algunos párrafos Ae la sesión del ló nes los Sres. López, Montevírgen,..) por el suplemento de la Gaceta. ” Me parece que después de esto, muy poco ó nada queda que deci r sobre El Sr. 'Vicepresidente: «No teniendo la Gaceta en…</t>
  </si>
  <si>
    <t>Estrada, Jacinto El Sr Florez</t>
  </si>
  <si>
    <t>Jacinto El Sr Florez Estrada</t>
  </si>
  <si>
    <t>…o creo que debe discutirse la totalidad, ño que por esto m uno de loa farolero! de ambos Estamentos. ' comprometa ningún individuo é aprobar ó desaprobar alguna parte." ~ Se mandó pasar i la comisión de Poderes ira oficio con que D. Jacinto El Sr. Florez Estrada insistió en su idea. de Romarafe, Procurador electo por la provincia de Vizcaya, remitía los do El Sr. Presidente: «Ahora no se trata de votar, sino rolo de cumentos justificativos de st|i aptitud legal para serlo. sobre la totalidad del asunto, sin que la opinión que se emita sobre casa SO Igualme…</t>
  </si>
  <si>
    <t>Estrada, Martel IITIWBVTOPI PlOCOtiPOl El Sr Floree</t>
  </si>
  <si>
    <t>Martel IITIWBVTOPI PlOCOtiPOl El Sr Floree Estrada</t>
  </si>
  <si>
    <t>…MIÉRCOLES 17 DE SETIEMBRE DE 1834. CORTES. guirte el órden que acuerde el Estamento ¡ pero en le diseña:ou me pernee que debe seguirse el indicado, como que aa el mas natural." Se leyó el artículo 92 del reglamento i petición del Sr. Martel. IITIWBVTOPI PlOCOtiPOl El Sr. Floree. Estrada ■* « Creo que habiendo dos partea en el dictémen de la comisión; una de ellas en que toda esté conforme , y otra en que dúfa. " Sttion del día 16 ¿ Setiembre. ten sus individuos , no puede discutirse ni votarse la totalidad sin obligarlmd incurrir en contradicción. Por ló tinto, me parece que debe…</t>
  </si>
  <si>
    <t>Estrella, Juan</t>
  </si>
  <si>
    <t>Juan Estrella</t>
  </si>
  <si>
    <t>…reparó con las roces de brera, y otra de una escuela normal según el método de D. José MarianoVa0¡d, oíd., oidj y cuando hubo concluido, el Sr. alférez Real D. Feliz Quin llejo, que gratuitamente se ha ofrecido 4 dirigir el sócip D. Juan Estrella. tero dejó satisfechos sus deseos publicando: Castilla, Castilla, Castilla: la J¡:1 ciudad de Santiago de las Vegas proclama y jora por su KÉítra y So berana í Daña Isabel ji (Q. D. G ), y tremolando por Ues reces et Real pendón sobre el pueblo; en señal de que quedaba obediente i S. M., el señor El…</t>
  </si>
  <si>
    <t>Et, Gregorio Ceruelo de Va</t>
  </si>
  <si>
    <t>Gregorio Ceruelo de Va Et</t>
  </si>
  <si>
    <t>…que su bencmeuto a&gt;timauyi-rnto d.»puso la jura de la Prin Aguiiar y á D. Juan Modesto de la Mota: para la de oidor, que este deja va cesa de Asturias, hoy nuestra Ri-uní yS&lt;ñoV.í. cante fcn la Real Chancii-tería de Vuljadolid, á D. Gregorio Ceruelo de Va- Et capitán general, que tomó una crün paoe en todos los festejos r regó- j lasco, que lo m de la de Galicia, y para esta plaza ¿ D. Angel Casimiro Go- cijo» públicos! quiso ob&gt;equiar común niigtalwu-b.ulc a autoridades v per-j vajHtfs, oidor-cesante. Asimismo se ha dignado nombrar para la fiscalía de…</t>
  </si>
  <si>
    <t>Etchegaray, Catalina</t>
  </si>
  <si>
    <t>Catalina Etchegaray</t>
  </si>
  <si>
    <t>…Dassaoce. natural de Halson , de— arrainento de los bajos Pirineos en el distrito de Bayona de Francia,, Instituyendo por Con fecha 30 del'mes último manifiesta su gobernador civil que el día 27 eredera.en primer lugar á su madre Doña Catalina Etchegaray, vecina de dicha po declaráronlo, facultativo, que la enfermedad que alli sc,padccia era el cólera: blación. ; re la cita por término de 30 dias, para que deqtro de ellos se presente'por *f que desde aquel dia hasta el de la fechq inclusive habían ocurrido 74 casos, de 6 por medio de persona que le…</t>
  </si>
  <si>
    <t>Etienne</t>
  </si>
  <si>
    <t>…ación polaca» de zapadores, ifiiaadpro * yhombres agregados' al servicio Ac artillería.” .. y ha hecho por ella lo que estaba en su mano. v k ./ a* *t'- . . TRAMOLA. ' La Cámara aprueba el párrafo que propohe el Sr. O. Barrot. El Sr. Etienne, vicepresidente, lee el párrafo 17, qqe dice ¿si: «Este es, Parí* 7 áf d* Enero. - Señor, el aníhelo de los diputados de Francia, .que do haden presenté i V. M, .-t^címaralos- DipuTAi&gt;os..*_J&gt;//ofi del día 9 de Enerp. ' £ ¿ oGontiñúa la discusión de la minuta de respuesta al discurso del Rey. El (1…</t>
  </si>
  <si>
    <t>Etienne, O Barrot El Sr</t>
  </si>
  <si>
    <t>O Barrot El Sr Etienne</t>
  </si>
  <si>
    <t>…con interés á la nación polaca» de zapadores, ifiiaadpro * yhombres agregados' al servicio Ac artillería.” .. y ha hecho por ella lo que estaba en su mano. v k ./ a* *t'- . . TRAMOLA. ' La Cámara aprueba el párrafo que propohe el Sr. O. Barrot. El Sr. Etienne, vicepresidente, lee el párrafo 17, qqe dice ¿si: «Este es, Parí* 7 áf d* Enero. - Señor, el aníhelo de los diputados de Francia, .que do haden presenté i V. M, .-t^címaralos- DipuTAi&gt;os..*_J&gt;//ofi del día 9 de Enerp. ' £ ¿ oGontiñúa la discusión de la minuta de respuesta al discurso del Rey. El (1…</t>
  </si>
  <si>
    <t>EUenborough</t>
  </si>
  <si>
    <t>…e atrillería. en. el ministerio de Negocios extrangeros. Slir EdmUtMo Kiiatdhbull, pagador da guerra. Cottds de Ahórdeetr. 'pritfter lbrd del.almi ra trtazgo. 1*1 embajador extraordinario y ministro plenipotenciario cfcl GoMeriío Lord EUenborough . ^residente'de la junta ást Controk. &lt; cspafíol cerca de iá cortekde Rusia, Paez.de la Cadena, ha salido para Dresde. Mr. Harrias, ministro de la Guerra. ; d ; - (Gaceta de Pruiia.’) Lord Lyndhiust, lord canciller. , .. Str Jacobo Scarlett, lord primer barón del echiquier. ____ Eli Emperadot Nicol…</t>
  </si>
  <si>
    <t>Euforia</t>
  </si>
  <si>
    <t>…la discusión de la peti cente Cano Manuel y Chacon.crJosé Claros:—Pablo Santafé. ==: Salvador Cam ción sobre la conrrihni-ii-in que se paga en Aragón para1 el canal Imperial, que pillo. ___ __ —------—— "rJ leyó, y dice así. - El Sr. Euforia: «No molestaría al Estamento si se tratase'de un tribu Los infrascritos "Procuradores del reino, deseando contribuir eficazmen to pára acudir á las necesidades del Estado, puesto qüe entonces hubria que cu te al alivio dé ios males que le afligen, no llenarían sus deberes si. dejasen dé brir su déf…</t>
  </si>
  <si>
    <t>Eugenio</t>
  </si>
  <si>
    <t>…y. Art. 25. El impresor ó librero que vendiese ejemplares íle un El marques de Louvois dice que la comisión encargada' de examinar los do número prohibido pagará por cada ejemplar el importe de ¿500 al cumentos presentados por el conde Eugenio d’ Astorg, últimamente elevadoi precio de venta. la dignidad de Par , opina que se le debe admitir Art. 26. Los sueldos de los censores, asi de Madrid como de las se procede á la discusión del proyecto, de ley relativo á *»la peimutá de cier provincias, se satisfarán por mitad , hasta la aprobación…</t>
  </si>
  <si>
    <t>…jerla contra la tiranía de los capita Para formar la planta de ministros de la Real audiencia de nes, los cuales, apenas se apoderan de ia fuerza , persiguen á los cristianos con Burgos vengo ftn nombrar por la clase de oidores á D. Eugenio toda especie de vejaciones. Asi han llegado estos á ser los defensores naturales Manuel Cuervo, D. Indalecio Almansa, D. Juan de Ortega, Don del Sultán, el cual lo mejor que puede hacer ahora es emancipar á la poblacioñ Joaquín María López de Ayqda y D. Mariano de la Bodega; por la cristiana de;la.…</t>
  </si>
  <si>
    <t>…os, y curando 4 ea el primer punto y otras tantas en el segun tas anuales, sin los réditos de sus grandes capitales, ascendían á ó.RU 3 reales. do : aparece también que el dia 16 del referido Octubre fueron acometidas 4a Murió el Príncipe Eugenio en Munich en 21 de lebrero de 1821. Dejó personas en la villa de Segura de cólicos y. diarreas, y 4 con calambres ademas dos hijos y cuatro hijas; el mayor es el actual duque de Leuchtemberg Augusto de dichos síntomas, y que de este último número murieron tres, y una de las Carlos Eugenio, que naci…</t>
  </si>
  <si>
    <t>…rieron desde 26 á 29 del propio mes 12 personas: que en Chiclana cedía considerablemente la enfermedad; pero que en Alcalá Turitt 27 de Agorto. 1 de los Gazules se habían manifestado algunos casos sospechosos. SS. MM. y AA. H. el príncipe Eugenio y la princesa Filibettade Sabo ya Qmfiaa salieron el 20 del sitio de Racconi para el de Polleiua, adonde ti) Ley J.*, til. 9 ", lib. 9-° de la Nov. R-ecop.</t>
  </si>
  <si>
    <t>…licia ofrece estos rasgos sublimes. expulsar á los emigrados, conforme á las órdenes del voron, la Se celebra con mucha justicia la grandiosa contestación que dió Confederación germánica enviará un cuerpo de tropas federales á el príncipe Eugenio á uno de los generales que tenia á sus órdenes, Suiza. Se cree que el Rey de los franceses empleará todos sus es y se admiraba de que lo llenasen de tanta satisfacción los oficios fuerzos para hacer salir del territorio de la república á los polacos que recibía del gobierno aprobando su conducta mi…</t>
  </si>
  <si>
    <t>…istosas con respecto á ja'Suiza , ponerlas J El vicepresidente,barón Seguier nombra varias comisiones. Una está encar en ejecución; pero' si para 6nes de este mes no se accede gestas peticiones, se gada de examinarlos títulos del conde Eugenio d’Artorg, autorizado por arde, vería , aunque á pesar suyo, precisada, de acuerdo con los déma&amp; Estados de la tranza del ^Ley gara suceder á su suegro el conde Dtipuy , que murió el mismo Suiza , á tomar las medidas de precaución que juzgase convenientes, y some día en que s,e promulgó la ley en qu…</t>
  </si>
  <si>
    <t>EúgeytrqemJ</t>
  </si>
  <si>
    <t>…Askersuñd, Gustavo Braktireú -‘" " ' ' tampas &lt;jue representan las principales poblaciones* y aJgunas de sus preciosidades* todas primorosa(ñentá gravadas,130 rs. rama &gt;*148 holandesa. Estos dos tomos, resul Una mala tragedia del Sr.,EúgeytrqemJ y una comedia pésima, son las tado esparte de losr viages verificados de órden de) gobierno en los años de 1791,179Í únicas producciones dramáticas originales qne han producido en todo.el año pa y 1793.* son muy-fecomepdablexpor la exactitud con que está descrito en ellos el reino sado !ps ingenios d…</t>
  </si>
  <si>
    <t>Eurrola, Andrés Ignacio</t>
  </si>
  <si>
    <t>Andrés Ignacio Eurrola</t>
  </si>
  <si>
    <t>…rezclos, bien que tan infundadas aquéllas como Habiéndose ausentado de sus iglesias para unirse á los rebeldes O. Juan estos, en los que jgpo.ran enteramente que hay ciertas bases en la política de Martínez, arcediano de Mellid ; D. Andrés Ignacio Eurrola , vicario de la Inglaterra que^nunca varían, sea cuaí fuere el sistema de su gobierno. parroquial de S. Pedro de Pasagcs; D. José Ma/ía Vigas y IX Jóse Jiurralde, JLa ño intervención, declarada solemnemente como primer principio de beneficiados de S. Sebastian; D. Antonio Membíola, canónigo de la m…</t>
  </si>
  <si>
    <t>Eusebio</t>
  </si>
  <si>
    <t>…es del banco español, 00. para el manejo de los fondos destinados al socorro de los enfermos se habia for mado una jqnta compuesta del doctor D. Gregorio de Torres, vicario capitu CAMBIOS. lar eclesiástico, D. Patricio O-connor y D. Eusebio dei Olmo, de aquel co- Ámsterdam, 00. París, 16-1 á 2. Cádiz, 14 b. Sevilla, i b. Bayona, 00. Al (cante, á corto pla Cor uña, ¿ d. Valepcia, id. id. tnercio, cuyos individuos habían redactado un reglamento para llenar cumpli Burdeos, 00. zo, ¿ d. Granada, i k £ Id, Zaragoza, , d. damente el fin de…</t>
  </si>
  <si>
    <t>Eusebio, Patricio O-connor y D</t>
  </si>
  <si>
    <t>Patricio O-connor y D Eusebio</t>
  </si>
  <si>
    <t>…., vol. y fírme. Acciones del banco español, 00. para el manejo de los fondos destinados al socorro de los enfermos se habia for mado una jqnta compuesta del doctor D. Gregorio de Torres, vicario capitu CAMBIOS. lar eclesiástico, D. Patricio O-connor y D. Eusebio dei Olmo, de aquel co- Ámsterdam, 00. París, 16-1 á 2. Cádiz, 14 b. Sevilla, i b. Bayona, 00. Al (cante, á corto pla Cor uña, ¿ d. Valepcia, id. id. tnercio, cuyos individuos habían redactado un reglamento para llenar cumpli Burdeos, 00. zo, ¿ d. Granada, i k £ Id, Zaragoza, , d. damente el fin de…</t>
  </si>
  <si>
    <t>Eusehio</t>
  </si>
  <si>
    <t>…n bizarramente, y avanzando yo en seguida conTena para habilitar las embarcaciones de aquellos puntos inmedia tos; y si están corrientes á mi llegada, mañana quedará en España mi plana mayor, ayudantes, y el capitán de ingenieros D. Eusehio la vanguardia, v la 1“ división al dia siguiente, durmiendo yo en Quincoces y el regimiento del Príncipe, conducido por su bizarro Valencia de Alcántara para obrar con las tropas que allí existen, brigadier D. Manuel de Benedicto, al grito de viva la Reina fueron mientra!'llegan las que me siguen por…</t>
  </si>
  <si>
    <t>Eustaquio</t>
  </si>
  <si>
    <t>…, con todo D. Valentín Fernandez de la Maza, y- otra de reserva al del capitán D. Anto los demas oficiales á que hace referencia, á quienes. considero acreedores á lá nio Antón quedasen á retaguardia al mando del teniente coronel D. Eustaquio recompensas que S. M. la Reina Gobernadora se digne dispensarles según M S. Cristóbal , previniéndole siguiese constantemente mis movimientos, y yo al Real orden de 12 del actual. frente de dichas dos, la primera de valientes húsares, con su alférez D. Her El teniente graduado de capitán del regimi…</t>
  </si>
  <si>
    <t>Eustaquio, D</t>
  </si>
  <si>
    <t>D Eustaquio</t>
  </si>
  <si>
    <t>…io Antoo, con todo D. Valentín Fernandez de la Maza, y- otra de reserva al del capitán D. Anto los demas oficiales á que hace referencia, á quienes. considero acreedores á lá nio Antón quedasen á retaguardia al mando del teniente coronel D. Eustaquio recompensas que S. M. la Reina Gobernadora se digne dispensarles según M S. Cristóbal , previniéndole siguiese constantemente mis movimientos, y yo al Real orden de 12 del actual. frente de dichas dos, la primera de valientes húsares, con su alférez D. Her El teniente graduado de capitán del regimi…</t>
  </si>
  <si>
    <t>Evaia</t>
  </si>
  <si>
    <t>…calidad-de reintegro de otros fondos, y ya sin esta ci rcuns- Sruselas 9 de Noviembre, tanCia , redama se -ponga Termino á estas arbitrariasextracciones. Y S. M. considerando los piadosos fines de estos establecimientos, eri- El general Evaia, ministro de Guerra, ha regresado i esta desde Pañis* ífMos inuchos poV fundaciones particulares, y sostenidos todos por 'fes libradores para su ayuda mutua en beneficio de la agricultura, y teniendo presente lo mandado en la instrucción del ramo y en dife- ÍNGLAT-filíJU yéntés Reales órdenes para…</t>
  </si>
  <si>
    <t>Evain</t>
  </si>
  <si>
    <t>…os recibido de Amberes, su fecha 8 del que rige, se pedido que se hace por el ministerio de Guerra. Este informe y el proyecto dice lo siguiente: que le acompañan se mandan imprimir y distribuir para discutirlo después del «M. el barón Evain, ministro director del departamento de la Güeña, que trata de asociaciones políticas. acaba de llegar á esta ciudad, y se ha dirigido inmediatamente á la cindadela Continúa la discusión del proyecto de ley sobre atribuciones de los ayun en compañía de vano» oficiales de ingeniero». El coronel Priss…</t>
  </si>
  <si>
    <t>Evangelios</t>
  </si>
  <si>
    <t>…iM., se arrodillarán delante del que no "sean eclesiásticas ó militares, y j/or consiguiente la ejerce JL Patriarcal y tocando con la mano derecha el libro de los Santos rán en las funciones y actos públicos en que no concurra el capitán Evangelios, dirá cada uno en voz.alta: SI JURO: y volverá á stt general de la respectiva provincia. ' &gt; puesto. De Rea! orden lo comunico á V, para su inteligencia Art. 22. Frente al !ugar-en que esten ei R. Patriarca de las Indias, correspondientes a su cumplimiento. Dios guarde a V. nUtchu» el Presidente de…</t>
  </si>
  <si>
    <t>Evans</t>
  </si>
  <si>
    <t>…su repetición. De Mr. Guest : i.* que ningún dependiente de la Cámara pueda .recibir . De Mr. Tancourt: que se prohíba dar azotes á los soldados, giatificaeionipiesente ó derecho, excepto los señalados en'él arancel. 2.° qutt Del coronel Evans: que se suprima la contribución de puertas y ven tampoco-puidalfitponer en su'provecho de ningún papel impreso que se haya tanas. ------ . ' ~ ' costeado dé los -fondos públicos. 3:° que quede sin vigor la orden de 22 de De Mr. Tooke: que se suplique á S. M. se digne expedir su Real cuta pa Noviemb…</t>
  </si>
  <si>
    <t>…escrito, aplaudiendo el zelo patriótico de su autor; y después ____ Sir S. Whalley y otros miembros del Parlamento que asistieron i U rede haber oido sobre el particular a la comisión de instrucción gene unión en que presidió el coronel Evans, pudieron experimentar cuán útil etjral militar, se ha servido resolver, á nombre de su augusta Hija la en dicha asamblea la presencia de algunos teóricos que están esperando un re Reirá nuestra Señora. partimiento de tierras , pups parece que en aquellas junta se cufiaron menos al 1? Que desde lue…</t>
  </si>
  <si>
    <t>…ndrer l.° de Marzo. ocurrir en la ejecución de la ley que se pretende restablecer, pues el cuidado Fondos públicos. Tres por 100 consolidados 91.* de allanar dichas dificultades corresponde á los jueces, y principalmente al su El coronel-Evans ha diferido hasta el 15 de Mayo la mocion que tenia ya premo tribunal de justicia. preparada para la supresión de la contribución, impuesta sobre puertas y venta La Cámara resuelve que se proceda á deliberar; el Presidente lee el artículo nas» Esta conducta puede muy bien considerarse como una prue…</t>
  </si>
  <si>
    <t>…en (Continuación del correo anterior.) su importante salud. ' ■«, INGLATERRA. Del mismo beneficio disfrutan SS. AA RR. los Scrmos. Se ñores Infantes. Lóndrcs 29 de Marzo. cámara de tos comunes.__Sesión del 25. Reales decretos. El coronel Evans presentó una petición á favor de los polacos residentes en Inglaterra, y dijo: '’&amp;ffit&amp;tkáarr es de una sociedad Deseando restablecer en su fuerza y vigor las leyes fundamen-* instituida con el objeto de socott^^^^^Mfcliccs, la cual habien tales de la monarquía; con el fin de que se lleve á cumplid…</t>
  </si>
  <si>
    <t>…'*’• ¿ - *■' d&amp; 11 comisión fue-aprobado. - vV* *• \ v •. \ » v ■*, . &gt; Sobre estos principios de M. Peel he fundado yo la necesidad del nombra miento de la comisión. Mi opinión franca-en esta materia es que la Iglesia de ____ El coronel Evans, en la sesión de la Cámara de los Comunes del 12, Irlanda posee una suma de rentas mayor déla que necesita para el sostenimien propuso que se suspendiese eí pago deifiqué &amp;atís£acra¡ la Jdgfeterra por el em to del cmUo y manutención del clero, y que es un principio que el Estado tie préstito heland…</t>
  </si>
  <si>
    <t>ExceIen</t>
  </si>
  <si>
    <t>…ión, en que hay varíe» seño Argüelles.=José Camps y Soler.=cEl marques de Montesa.=M. El marques de res Procuradores, para que vean de qué manera puede ponerse en practica la Falces.=Tclesforo de Trueba Cosío.=Alberto de Valdric, secretario.:=ExceIen- elección de los individuos de ayuntamientos en aquellas provincias, ó en otras tísimo Sr. Presidente del Estamento de Procuradores del reino.” que se hallen en una situación semejante. ' Concluida la lectura de este dictamen, y no habiéndose pedido por nin «He hecho esta manifestación, para que el…</t>
  </si>
  <si>
    <t>Excelmans</t>
  </si>
  <si>
    <t>…la discusión del proyecto de ley relativo á la residencia de los ¿xtrangeros refugiados en Francia. El conde de Montlosier cree que la ley que ' ■ ■■■■- $e lee en el Carreo de León lo siguiente: sé examina es sobrado rigorosa. El conde Excelmans se opone á que se aprue— Algunos periódicos han exagerado locamente el valor de las pérdidas oca- .Vi el artículo adicional que trata de la pena que se ha dé imponer á los que sionadas-por las balas y los incendios durante nuestros seis dias de guerra civil. contravengan á esta ley, porque agrava d…</t>
  </si>
  <si>
    <t>Exceptuando, José Ma V</t>
  </si>
  <si>
    <t>José Ma V Exceptuando</t>
  </si>
  <si>
    <t>…s de que es vocal. Tendréislo en G0 rs. de sobresueldo, 40 los dos que le siguen, y 20 los cuatro res tendido, y dispondréis su cumplimiento. = Señalado1 de la Real mano tantes. dé S. M- —En Carabapchel ¿ 27 de Junio de 1854. = A D. José Ma 4V Exceptuando los cargos de juez y fiscal del tribunal de la Ca ría Queipo de Llano. pilla, los Jemas cargos se proveerán por rigorosa antigüedad, guar dando el órden de escala prefijado en el artículo anterior. En consideración á los distinguidos méritos y servicios de Pon ó? Los capellanes de honor á quienes se ag…</t>
  </si>
  <si>
    <t>Excmo</t>
  </si>
  <si>
    <t>…provincia el método de lectura de D. Mariano W* Doña M. B.... ____"......................:..................................................... 20 llejo, se halla en M.idrid y se ocupa con verdadero celo en aprender en aquélla Un Sr. Excmo. é limo........................................................ ................. .. 500 escuela normal, el‘abogado D. Mariano Escartin, depositario de policía de esta &gt; D. Francisco Ortiz de Floresi.................. ............................................ 500 provincia, quien con licencia de…</t>
  </si>
  <si>
    <t>…to que he turrrudo , ,4 y al que he llegado á las diez dadas. confianza que en ñus disposiciones tiene la tropa, ia que tengo yo en su n.&gt;b c No puedo decir á V. E. la pérdida del enemigo, poique no me he entre decisión. Hé aqui, Sr. Excmo. , la verdadera razón de adquirir gloria. Juramos tenido en registrar &lt;1 campo; pero puedo asegurar á V. E. que he visto sobre sostener el trono de nuestra amada Reís a, y nuestro juramento es cumplido. 40 muertos , y* que los heridos han sido bastantes. Prisioneros no se han hecho, Todos han llenad…</t>
  </si>
  <si>
    <t>…tenes, que con las tapias que hice construir dias anterio rida; y socorriéndolos, en vez de mirarlos con «1 desprecio que se res ofrecían la mejor defensa á la población; se ponen guardias en mejantes vándalos merecieran. Por fin,Sr. Excmo,‘estoy bien persua los depósitos de caudales de correos, del ayuntamiento y Real en dido, é igualmente el comandante de la columna vencedora el Sr. de comienda, y giran las patrullas interiores sin cesar compuesta toda Bessiercs, que á solo Manzanares se debe lá pronta destrucción de la* fuerza de…</t>
  </si>
  <si>
    <t>Existencia, Gonzalo</t>
  </si>
  <si>
    <t>Gonzalo Existencia</t>
  </si>
  <si>
    <t>…ce del haya ocurrido ninguna prisión ni el menor disgusto, y que las autoridades mez siguiente estado. cladas con el pueblo parecían enteramente unos padres rodeados de sus propias familias. Estado sanitario di la villa de Puente D. Gonzalo. Existencia del día Extracto del parte remitido por el subdelegado de Fomento de la provincia Dias. anterior. , Invadidos. Total. Curados. Fallecidos. de Sevilla D. Juan Antonio Almagro, con fecha de 31 de Marzo último. Ma continuado instruyendo los expedientes formados en solicitud de ter Graves. Leves, , renos p…</t>
  </si>
  <si>
    <t>Existía, Mendizabal Pueblatomcsa de Setiembre</t>
  </si>
  <si>
    <t>Mendizabal Pueblatomcsa de Setiembre Existía</t>
  </si>
  <si>
    <t>…e loa blos de Villareal, Almazora y Vi ver: el estado dé la provincia aparece del Negocios del reino. Hacienda, Justicia,.Guerra y al duque de la Tercera. siguiente Parte sanitario. ____ A las cinco.de la tarde S. M. L recibió al caballero Mendizabal. Pueblatomcsa 11 de Setiembre. Existía un sol» enfermo, coya enfernv dad sthabia hecho crónica. ‘ Idem 7. (Pueblos. Dias. Enfermos. Corados* Faltecid. S. M. I. continúa en su curacíon.=Tavares, primer médico. (¿Suplemento al núm. §9 de la Gaceta ojicial del. txobicmo.) Soneja.............. . 7 á 9 Setiembre. 60 4 8 Boletín del dia 7 Je…</t>
  </si>
  <si>
    <t>Exmouth</t>
  </si>
  <si>
    <t>…os’ de Berbería. Aun distanta de aquel tiempo en que1 eran tan terribles las piraterías de lo» berbe mas puedo decir,el Gobierno, á lo menos en mi tiempos y es que he hallado riscos;-y principalmente desde la famosa expedición de lord Exmouth, el trata la mejor voluntad en estas comunidades religiosas. Hace poco ha ocurrido que do concluido por los anglo-americanos, y posteriormente la toma de Argel por estando ruinosa la casa de nuestro cónsul general en Tánger, y un palacio que los franceses! pero, á pesar dé esto, aquellas fondos tie…</t>
  </si>
  <si>
    <t>Explicó</t>
  </si>
  <si>
    <t>…cia necesaria para mahifestarlos como se debe. Por eso he Bayona, 00. Al ican te, á cortopla- Coruña, 4 d. Valencia, 4 Id. rehusado el ministerio siempre qüe me lo han ofrecido. Burdeos, 00. ' *0, 1 ú Granada, id. id. Zaragoza, | d. Explicó el orador la parte que ha tenido en la formación del ministerio Hamburgo,Londres, i 00¿90 dias, Barcelona,4 id. ips. fs., MálagaSantander,,46*1 U, Descuentoá 4 p. 100dealletras»a&amp;o. dimisionario; se quejó de qüe se haya atacado á estos ministros, y de que los 38*. Bilbao, * d. Santiago, 1 d. hayan…</t>
  </si>
  <si>
    <t>Explicó, Gerard</t>
  </si>
  <si>
    <t>Gerard Explicó</t>
  </si>
  <si>
    <t>…mas ó menos talento para hablar, sino las prendas que sualmente llevo dos dias y una noche de estar á caballo sin descanso alguno.” os distinguen eminentemente, la probidad, la franqueza y el amor a la patria. Entonces aceptó el mariscal Gerard. Explicó en seguida el orador que no acepta para" sí ni jara las personas KEAI LOTERIA PRIMITIVA. qué votan con él la calificación de partido, ni de tercer partido: declara que no ha entrado en ninguno, porque entonces tendría que sujetarse a ciertas con En la extracción celebrada en este día han salido agr…</t>
  </si>
  <si>
    <t>Expulsión</t>
  </si>
  <si>
    <t>…o extraordinrrio serán pteferidos los que voluntariamente se expresandot esteJos motivos.. .presten á desempeñarlo; á falta de estos serán llamados por la autoridad civil 6.a «Multas] desde 8 i SüO rs. del pueblo por conducto del comandante 7.° «Expulsión con nota-de las filas de la Milicia urbana. ■ 1°. » Los solteros. Art. 24- «Ningún batallón, escuadrón, compañía ó escuadra de H Milicia 2.° »Los viudos sin hijos. urbana, podrán deliberar ni «levar en cuerpo exposiciones,, quejas/, reclama S.° «Los casados sin hijos. ciones á S. M., ni á ninguna a…</t>
  </si>
  <si>
    <t>EXTR, Francisco Crespo y Rascón y NOTICIAS</t>
  </si>
  <si>
    <t>Francisco Crespo y Rascón y NOTICIAS EXTR</t>
  </si>
  <si>
    <t>…venido en nombrar á D. Joaquín de la Escalera; á Don Gerónimo Manuel Caballero; á D. Ramón Vicente; á D. Fermín PARTE NO OFICIAL. Gil de Linares; á D. Juan Modesto de la Mota; á D. José Alonso; á D. Fra neisco Verea y Cornejo; á D. Francisco Crespo y Rascón y NOTICIAS EXTR AXGERAS. á I). Miguel Moreno, que lo son de la misma; á D. José Francisco ValtléS y Posada, oidor decano déla audiencia de Asturias; á Don Francisco García Chave*, oidor de la de Sevilla; á D. Jaime Perera INGLATERRA. y Rius, fiscal de lo civil de la de Vallailolid, y á D. Julián de Sujo, teniente…</t>
  </si>
  <si>
    <t>Extracto</t>
  </si>
  <si>
    <t>…vol. ion tomadas y destruidas inmediatamente por la tropa y la guar Id. sin interes, 7 al contado. dia nacional. ('(raUignants Messenger.) Acciones del háoce espafiol, 00. OA «ICIOS. Amsterdam, 00. Alicante 4 corto pla Granada $ d. Extracto del parte dado-con fecha del 5 del actual por el sub Bayona, 00. zo 4-d. Málaga por. delegado de Fomento de la provincia de Salamanca D. José Marta Burdeos , 00. Barcelona 4 pesos fs. Santander | b. Cambronera. __ - Hamburgo, 00. O- Santiago $ 4 1 d. Ha excitado á la sociedad económica para que medite…</t>
  </si>
  <si>
    <t>…s justas para la determinación de S. M. de 5 horas de marcha á un trote largo, consiguió dispersar ia facción , y coger le 3 caballos y otros efectos. ANUNCIOS. Al Estatuto Rzal, gran vals á cuatro manos para pláno, compuesto por Don Extracto del parte remitido por el gobernador civil de la provincia de Cór Joaquín Espin y Guillen. Se hallará grabado en el cuievoalihacen dé música, earréi* doba D- Juan Antonio Delgado, con fecha de 15 de Mayo actual. de S. Gerónimo, aun. 23. En dicho almacén se hallará 1 2 ri «1 mfsriló val$, extrae* Desean…</t>
  </si>
  <si>
    <t>Extracto, D José María Cohibí</t>
  </si>
  <si>
    <t>D José María Cohibí Extracto</t>
  </si>
  <si>
    <t>…ra lo .cual ha dado pasos, y, también para la de una larmente ei valor, actividad, zelo y talentos militara que eó un grado rele carretera que desde Ja Pobia de Segur llegue á aquella capí tai. vante ha repetido en ata ocasión el brigadier D. José María Cohibí. Extracto delatarte "remitido por el gobernador Civil de la provincia de El capitán general de Aragón con fecha del 25 acompaña los partes del Huelvq D. José Huet, con fecha de 4 de Mayo actual. ‘ gobernador de Alcañiz del 24., y del coronel Nogueras del 20,22 y 23: el Dice qué la coseíha se presenta muy mal…</t>
  </si>
  <si>
    <t>Extracto, Gonzalo</t>
  </si>
  <si>
    <t>Gonzalo Extracto</t>
  </si>
  <si>
    <t>…mientos de beneficencia , y evitar qus lativos á los pueblos de Puente Don Gonzalo y Benamejí. se cierren, promoviendo suscripciones voluntarias, ínterin se curan de raiz sus males. Parte de los enfermos de la 'villa de Puente de Don Gonzalo• Extracto del parte remitido por el subdelegad® del Fomento de la provin Existencia del dia Días. anterior. Invadidos. Curados. Fallecidos. cia de Almería D. Bernardino Lillo con fecha de 3 de Abril último. Elogia el terreno y clima de la provincia, cuyas cosechas y exportaciones Graves, Leves, se aumentarán sob…</t>
  </si>
  <si>
    <t>Extracto, José María Cohibí</t>
  </si>
  <si>
    <t>José María Cohibí Extracto</t>
  </si>
  <si>
    <t>…l ha dado pasos, y, también para la de una larmente ei valor, actividad, zelo y talentos militara que eó un grado rele carretera que desde Ja Pobia de Segur llegue á aquella capí tai. vante ha repetido en ata ocasión el brigadier D. José María Cohibí. Extracto delatarte "remitido por el gobernador Civil de la provincia de El capitán general de Aragón con fecha del 25 acompaña los partes del Huelvq D. José Huet, con fecha de 4 de Mayo actual. ‘ gobernador de Alcañiz del 24., y del coronel Nogueras del 20,22 y 23: el Dice qué la coseíha se presenta muy mal…</t>
  </si>
  <si>
    <t>Extracto, Marques de Montesa</t>
  </si>
  <si>
    <t>Marques de Montesa Extracto</t>
  </si>
  <si>
    <t>…o cual junto con otras noticias que reúne le harán conocer exactamente la verdadera población de to PROVINCIA DE NAVARRA. da aquella provincia y el estado de su industria agrícola , fabril y comercial. Sr. D. Joaquín de Ezpelela. Sr. Marques de Montesa. Extracto del parte remitido por el gobernador civil interino de la provin Sr. D. José Francisco Muguiro é Iribarren. cia de Córdoba D. Simón de Rodas con fecha de 19 de Junio últimoHa socorrido á varios labradores con parte del trigo de los pósitos, reser vando la mitad de las existencias para los gastos del có…</t>
  </si>
  <si>
    <t>Extracto, Miguel</t>
  </si>
  <si>
    <t>Miguel Extracto</t>
  </si>
  <si>
    <t>…l que según voces, iban á reducir á la obedien ner á S. M. mejoras considerables en tan importante ramo. cia á varios pueblos que se habían negado al pago de las exorbitan tes contribuciones en especie y dinero que habia impuesto Don Miguel. Extracto del parte dado por el subdelegado de Fomento de la provincia de Soria D. Laureano Gutiérrez con fecha de 5 del actual. El comandante de armas de la villa de Daimiel D. José Bes- Se ha repuesto con un centenar de plantas el paseo denomina sieres con fecha 22 del corriente remite el parte que le dirigió…</t>
  </si>
  <si>
    <t>EXTRANGERAS, Luis Rodrí NOTICIAS</t>
  </si>
  <si>
    <t>Luis Rodrí NOTICIAS EXTRANGERAS</t>
  </si>
  <si>
    <t>268 ' . . Para la mas ordenaba y expedita administración de justicia, he PARTE NO OFICIAL. reñido en separar de la intendencia de Rentas de Valladolid él cargo de corregidor; y nombro para esta plaza á D. Luis Rodrí NOTICIAS EXTRANGERAS. guez Camaleño. Tendréisló entendido, y dispondréis lo neééurio á ALEMANIA. , su cumplimiento. = Está rubricado de la Real mano. = En Anuíjuez á 17 de Abril de 1834*=A D«, Nieblas María Garelíy. Afanhcim,26 de Marzo. Se, asegura que el ¿Ongréso &lt;fe Vienta deja, intactas Jas Consti He venido en separ…</t>
  </si>
  <si>
    <t>EXTRANGERAS, Mi NOTICIAS</t>
  </si>
  <si>
    <t>Mi NOTICIAS EXTRANGERAS</t>
  </si>
  <si>
    <t>…fecha l.° de Mayo se dice que han consecuencia Lisboa el entre En libre de enemigos territorio y Oporto. PARTE NO OFICIAR. subido los fondos portugueses. (Couríer■) ___ (.Noticias venidas de Constantinopia hablan de la muerte del príncipe Mi- NOTICIAS EXTRANGERAS. losch, Soberano de Servia; sin embargo necesitan de confimacion. ____Gerónimo Bonaparte y su comitiva han llegado á esta ciudad proceden (Continuación del correo anterior.) tes de Ostende. ALEMAN LA. ____El Corresponsal de Nuremberg, refiriéndose á una carta de Francfort del Francfort 4 de Mayo. 2…</t>
  </si>
  <si>
    <t>EXTRANGERAS, NOTICIAS</t>
  </si>
  <si>
    <t>NOTICIAS EXTRANGERAS</t>
  </si>
  <si>
    <t>Núm. 54.. Martes 15 de Abril de 1834. I\ MADRID. ARTICULO DE OFICIO. PARTE NO OFICIAL. La Rbiha -nuestraSeñora Doña Isabel ti, y S. M. la Reina' NOTICIAS EXTRANGERAS., Gobernadora, siguen en el Real sitio de Aran juez sin novedad en (Continuación del correo anterior.) su importante salud. ' ■«, INGLATERRA. Del mismo beneficio disfrutan SS. AA RR. los Scrmos. Se ñores Infantes. Lóndrcs 29 de Marzo. cámara de tos comunes.__Sesión del 25. Reales decretos. El corone…</t>
  </si>
  <si>
    <t>Extremadura, Dow</t>
  </si>
  <si>
    <t>Dow Extremadura</t>
  </si>
  <si>
    <t>…® de infantería de ZR Josef Mariano Tallejo, podrán acudir i recoger ei tomo 3.'* i las librería donde linca..................................... n. 6. . 86. se hayan suscrito. Esta obra, que esta dedicada A nuestro difumo Rey el Señor Dow Extremadura 15 de ídem........... ,3. 2. . . 7. Fernando vil, y á que nuestra excelsa Reina Gobernadora.tuvo la dignado» de Almansa 18 de ideta................. •4' .. ..8. ■arsuscribirse,aguas en cuandotodas parteavivía paratodavíaeV abastecimientosu augusto Esposo,de lostienepueblos,por objetoy satisfacerrí propoi…</t>
  </si>
  <si>
    <t>Eyrfard</t>
  </si>
  <si>
    <t>…s. NOTICIAS EXTRANGERAS. MINISTERIO DE HACIENDA DE ESPAÑA. (Continuación del correo anterior.) CRECIA. 1leales órdenes. Nauplia 15 de Marzo. Enterada la Reina Gobernadora de lo expuesto por la junta de Deseando la Regencia dar al caballero Eyrfard una merecida rhue*trs de Aranceles en 4 de este mes; se lia servido S. M. mandar que los reconocimiento por todos los servicios que ha hecho á la Grecia , y por md-is dos carros de nueva invención, el uno de cuatro ruedas y el otro los sacrificios que de tantos años á esta parte ha estado haciendo…</t>
  </si>
  <si>
    <t>Eyüard</t>
  </si>
  <si>
    <t>…t, sean despachados como modelos, con pago Real de S. Salvador. El ¡oven Soberano de Grecia por su propio impulso, y del 1 por 100 de su valor, que es el derecho designado en la Real con una simple nota de su mano, ha nombrado al caballero Eyüard gran cruz orden de 19 de Octubre de 1826, que permite la entrada de la ma del úrden Real de S Salvador. quinaria é instrumentos útiles para la agricultura. De Real orden lo Nuestros asuntos van en muy buen estado, y mejor de lo que anunciaba el (ligoá V. SS. para los efectos corresjiond¡entes ;! su…</t>
  </si>
  <si>
    <t>Ezeiza, Francisco</t>
  </si>
  <si>
    <t>Francisco Ezeiza</t>
  </si>
  <si>
    <t>…s y Ocupación de témpora— tierro en él pueblo que él Gobierno _ »r¿ Á j ^ IMadtetr (le- los - edesiáBtkaas siguientes: D. Manuel María. Rentarles; tiempo que se haya fijado en la sentencia; el cualBoTi D. Ignacio, Gómez Barrio, y D. Francisco Ezeiza, canónigos de Búr- dos añas.ni pasará de seis: quedando después m v«¡_ mgjD.Juan^arasuá, sochantre de la misma iglesia metropolitana;. pecjal de las autor idades locales.- 3i Si el injly* i deui» j Rpiyd,. áyiptfjbiTi -Ae rhiMatájaa'palla a I). Ildefonso' jUerena. tefeiela fuere eclesiástico^ se le…</t>
  </si>
  <si>
    <t>Ezpcleta, Francisco</t>
  </si>
  <si>
    <t>Francisco Ezpcleta</t>
  </si>
  <si>
    <t>…fírme: 49 á £o días ó voL a prima de i p. ico: 47$, f &gt; i» f y i á varias fs., vol. y y oficiales ya mencionados enceste parte, como asimismo los comandantes de la firme, sio cupón. Guardia D. Joaquín Bayonij D. Bernardo Uncela, D. Francisco Ezpcleta, eL Vales no Consolidados, *2 nueve díet y seis «vos y lag al eonado; xaf al 98 Abril mente coronel de dicho Real cuerpo D. Tomás Yarto, y el segundo coman Deudaó vol.negociable del 5 p. 100 i papel, 00. dante de Africa D. Sebastian Mora, que puestos á la cabeza de sus respectivas Id. sio Interes,…</t>
  </si>
  <si>
    <t>Ezpcleta, Francisco Javier</t>
  </si>
  <si>
    <t>Francisco Javier Ezpcleta</t>
  </si>
  <si>
    <t>…d y un terreno t,n montañoso y quebrado: ai amanecer de hoy me encon Meer, de los coroneles D. Tomas de Yat'to , D. Joaquín Bayona, D. Bruno traba va sobre Urigoiti , que hu.e circunvalar á la d.rtancia competente por las Alftiz, D. Francisco Javier Ezpcleta,y del teniente L). José María Badillo, in compañías de cazadores y tramperos al mando del captan D- Fehx Samzilj dividuos todos pertenecientes al 4-° regimiento de granaderos de la Guardia Real que debían permanecer ocultas ínterin 10 con el resto de ia columna precisase de infantería-, de los coma…</t>
  </si>
  <si>
    <t>Ezpeleta, D Miguel</t>
  </si>
  <si>
    <t>D Miguel Ezpeleta</t>
  </si>
  <si>
    <t>…Exemo. Sr.=Ramon B-ebo- £tcck*o&amp;, han-quedado completamente burlados por el heroico valor de la llo.z=Excmo. Sr. espitan general del ejército y reino de ,Atagon.=: Es copiacr: tropa que había en dicho pueblo; por el denuedo de su comandante D. Miguel Ezpeleta. . w ILodriguez, subteniente del 1,3'de líneá; por el de la columna del mando del coronel Rebollo; por la decisiofCy acertadas disposiciones de este gefe. Acom Columna móvil del Guadalope.=:Excmo. Sr.; He hecho un reconocimiento paño á V. E. copia del duplicado del primer parte que me dirigió de est…</t>
  </si>
  <si>
    <t>Ezpeleta, Miguel</t>
  </si>
  <si>
    <t>Miguel Ezpeleta</t>
  </si>
  <si>
    <t>…Ramon B-ebo- £tcck*o&amp;, han-quedado completamente burlados por el heroico valor de la llo.z=Excmo. Sr. espitan general del ejército y reino de ,Atagon.=: Es copiacr: tropa que había en dicho pueblo; por el denuedo de su comandante D. Miguel Ezpeleta. . w ILodriguez, subteniente del 1,3'de líneá; por el de la columna del mando del coronel Rebollo; por la decisiofCy acertadas disposiciones de este gefe. Acom Columna móvil del Guadalope.=:Excmo. Sr.; He hecho un reconocimiento paño á V. E. copia del duplicado del primer parte que me dirigió de est…</t>
  </si>
  <si>
    <t>F, Gregorio</t>
  </si>
  <si>
    <t>Gregorio F</t>
  </si>
  <si>
    <t>…14 en rama. ——JVorjx á la conducto de España comparada con la de Inglaterra. Un cuaderno en 8.°, edición de 1805, A real. servancia tan fitil medida. Dios guarde ■ -Ensayo sobre el azúcar de uva, por D. Luís Proüst, publicado por D. Gregorio F«br«ro de 1834u=M. el marques de Valdcgema.=Sres. justicia y ayuntamien González Azaola. Un cuaderno en 8.°, edición de 1806, A4 rs. en rústica. En este fo to^ de los pueblos de la provincia. lletoy sustancias, despuésquede reconocerles suelenlasacompañardiferentesy especiesdistinguirde entreazúcare…</t>
  </si>
  <si>
    <t>F.eix</t>
  </si>
  <si>
    <t>…ibre «Se dice que estos empréstitos no son masque continuación de los fie mente la opinión , hubiera desaprobado altamente dichos empréstitos Guebl’a'd. Llórenla perpetua no es consecuencia de ese empréstito. El em- « Ha dicho el Sr. F.eix que las Cortes no podian,dciertninar este negocio. pré.iltn de Guebhard, propuesto y contratado en 1823 por la Regencia de Las Cortes , precisamente son las que pueden hacerlo, y esta facultad la ba re Madrid, no por la de Urgel como equivocadamente se ha dicho, y apro conocido de hecho el Gobierno…</t>
  </si>
  <si>
    <t>F.ievo</t>
  </si>
  <si>
    <t>…Imperial, que recibí hoy al anochecer por el ayudante que en el se reriere. " Capitanía general de F'xtremadura.^Ejercito de optaciones en Portugal Dios guarde á V. E. muchos años. Cuartel general de Valencia de A Cantara Excmo. Sr. : F.ievo a las superiores manos ce Vr. F. c|e:npiare&gt; de la pr- flauta i ‘¿2 efe Mayo de !#3¿-=Excmo. Sr.=José Ramón KodiL=Exuno. br. Secre que he creído conveniente dirigir en e*ie dia á'U*. habitantes de la capit.mta tario de Estado y del Despacho de la Gruerra. general de mi cargo, de quienes me prometo…</t>
  </si>
  <si>
    <t>F.sta</t>
  </si>
  <si>
    <t>…s tierna complacencia la comunicación que Y. E- *e sirve hacerme , en que SClNISTKRlO DB GRACIA Y JUSTICIA. me trasmite los afeaos de amor y de entusiasmo de esa guarnición y demás Señorío de Vizcaya.=Seccion de gobicrno.= Excmo. Sr.: F.sta diputación testigos de las bondades de S. M. la Reina Gobernadora» al dignarse pasarles general ha recibido la Real orden de 9 del corriente comunicada por conducto ,1a revista. Esta» noticias, igualmente que ia lectura de la memorable y precio-, I de V. E., en la que S. M. la Reina Gobernadora se…</t>
  </si>
  <si>
    <t>Fabfo, Jnsé</t>
  </si>
  <si>
    <t>Jnsé Fabfo</t>
  </si>
  <si>
    <t>…á legua de mí, tedia tiempo sobra María Savaleta; habiendo resultado contusos el teniente de 1, anjrdu D. Joa do para atrevesar los bosques y llegar á la parte despejada del camino deSegura* quín de Al va, el alférez de Ja miarla D. Jnsé Fabfo, y io&gt; sargentos D. José antes que el enemigo pudiese cargar mi retaguardia, En efecto , la artillería y Cujo y Cayetano Alaria Sivelo y fuertenirate el cadete de cabáMería de Cuba bagage alravcsarorj^el bosque, pero los rebeldes prácticos en el terreno, y que D. Fernando Mófibran: también se disti…</t>
  </si>
  <si>
    <t>Fabie, Antonio</t>
  </si>
  <si>
    <t>Antonio Fabie</t>
  </si>
  <si>
    <t>En punto 4 U Industria ^comercio j [niñería nadp tiene que añadir 4 lo que farmacia de.aquella capital D. Antonio Fabie, y se han tomado las disposi expuso en loj partes anteriores.' ciones oportunas para proporcionar la-adquisición de la citada raizq con el án .. Deje libe, el ragqeijo.de todos los pueblos de aquella provincia, causado por de ensayar su virtud, y poder publicar el resultado de estas indagaciones ,…</t>
  </si>
  <si>
    <t>Fabris</t>
  </si>
  <si>
    <t>…or los escultores Guácherini, Baíní, discusión!)” Laboureur y Stocchi, adornarán el interior de la basílica de S. Pablo. S. S. Gre La Cámara cierra la discusión sobre e! todo del proyecto, pasa á discu-» gorio xvi ha encargado al caballero Fabris la ejecución de una estatua,^ tam tirio por párrafos, y aprueba los cuatro primeros según los ha presentado la bién colosal, que deberá colocarse en la iglesia de S. Francisco de Paula. comóion, variando solo una palabra en el cuarto. El mismo artista debe restaurar ‘el sepulcro del Tasso y el mausole…</t>
  </si>
  <si>
    <t>Fabro, Manuel</t>
  </si>
  <si>
    <t>Manuel Fabro</t>
  </si>
  <si>
    <t>…nal ¿ los artículos 10 y 35 de la ordenaoza de reemplazos O. José Orive, y ct teniente del mismo cuerpo D. José Ferez Mozón, que con de 27 de Octubre de 1B00. Un cuaderno en 4.0, edición de 1817, 4 a rs. en rústica. los alféreces D. Manuel Fabro, D. Anselmo Blaser, D. Francisco Escobar y — Real instrucción ó reglamento adiciona) de la ordenanza de reemplazos de 27 de Ocrubre de 1800 : uo cuaderno en 4.°, edición de 1819 á 4 rs. eu rústica. D. Antonio Bay mandaban las guerrillas primeras unidos á las compañías de ——Discurso pronunciado en l…</t>
  </si>
  <si>
    <t>Fadriquc</t>
  </si>
  <si>
    <t>…dicho qiie hagan á ios ayuntamientos de Huesca y la rados, cuyos poderes no tengan la calidad de percibir cantidades por los dividendos, que se hicieren, para que ep el término de quince días presenten los correspondida PuebH de D. Fadriquc para llevar adelante la importantísima obra del canal tes documentos al dóctor D. José Fernandez de Haro, síndico de dicha testamentaría, Tfomado dc Múifcia. bajo apercibimiento de que parará perjuicio al que no 3o verifique. EN LA IMPRENTA REAL.</t>
  </si>
  <si>
    <t>Fadrique</t>
  </si>
  <si>
    <t>…ordinario, particularmente durante tres dias consecutivos, en ocurrido un fallecimiento de la enfermedad reinante, y dos cá igual período en que el termómetro subió á 93° á la sombra. Los animales estaban enteramente la Puebla de D. Fadrique. postrados; algunas personas y caballos cayeron en las calles y espiraron, sucum biendo unos al agua fría que bebían, y otros á la violencia de los rayos del sol. PROVINCIA DE HUELVA. Casi todos los obreros que trabajaban fuera de cubierto suspendieron sus ,obras; Su gobernador civil avisa en( ofici…</t>
  </si>
  <si>
    <t>Fajardo, José Clavijo y</t>
  </si>
  <si>
    <t>José Clavijo y Fajardo</t>
  </si>
  <si>
    <t>…or Bu meros del mes último. fón , con la continuación de la historia natural dé los cuadrúpedos oví A sacón__Alcañiz. Trigo, 4 134 rs. fanega del país: cebada, paros y de las culebras por M.-de la Cepede, traducida por él cé ebre D. José Clavijo y Fajardo, adornada coa láminas iluminadas; pasarán i 16 id.: aceité, j rs. arroba: vino, á S rs. cántaro. la librería de Ríos á recoger e| tomo que tieneo pagado y anticipar el Earbastro. , Trigo, ¿ 14 fs. fanega: cebada, á 7 id.: aceite, á Importe del siguiente, que se eptreg.n i la mayor brevedad. Continú…</t>
  </si>
  <si>
    <t>Falces</t>
  </si>
  <si>
    <t>…ndo el peso bueno. Convengo en ello; pero esta no es una razón para que deje de haber ta-‘ de las razones que asi el ministerio como varios Sres. Procuradores expusie les leyei, porque en este caso están todas, y como ha dicho el Sr. Falces, el ron , abandonó, por decirlo asi, el campo, y dejó-en libertad al Estamento hombre honrado ño las necesita; pero se hacen para reprimir al malvado. El para expresar su parecer. Este fue desaprobar el párrafo, como consta del acta. argumento que se hace, de que estando en las leyes fundamentales,…</t>
  </si>
  <si>
    <t>…unesto « Añad.ó csie señor que en el ano 12 todos los españoles querían ,1o oijis-’ qué puedi ser para la sociedad el abuso de la imprenta , no se puede negar qué' % mo; y esta comidcMCion t;cne mucha analogía con ío d eho por eh Sr. Falces, le produce también iguales ventajas. - de que los pueblos de E*pána no estaban en disposición de recibir in*tiiuc ones n Las le &gt;es no pueden establecer por de pronto los medios de contener 'saludables, como asi se expresó también el Sr. Martínez de ía Rosa. Pero todos los abusos que puedan hacers…</t>
  </si>
  <si>
    <t>…bagan saber á los que se nombren de la petición sobre derechos fundamentales de lo» españoles, se leyó el arti nuevamente al tiempo de darles parte de su elección. culo 4*° » concebido en le* si¿u'crte* te. mino*: A petición del Sr. Falces se acordó que este dictámen quedase sobre la Art. 4® La ley no lier.e efecto retroactivo; y ningún español será juzga mesa para instrucción de los Sres. Procuradores. _ do por comisiores , sino por los tribunales establecidos por ella antes de La per La misma'comisión dió cuenta de haber examinado…</t>
  </si>
  <si>
    <t>…iones y demás. Este es perecerán un patíbulo! ¿el'que ha presenciado las desgracias de su patria,ó él el principio: no tratemos de las excepciones. que no ha hecho zúas que oírlas contar, por lo cual solo ha podido formar una »El Sr. Falces ha dicho que ayer el $rr Trueba trató de calificar á esta idea.GQnfusa de lo que ha sucedido! Por eso creo que en esta cuestión no debo glagg pffinmq rptfr peíleneiimi i hr~Eitpresada época, hablando solamente de entrarse en tales diferencias, mucho mis cuando la. petición no bace ninguna 4os emigr…</t>
  </si>
  <si>
    <t>…dero que este artículo era innecesario, y que por lo drá inconveniente en votar el primer artículo.” mismo pudieran retirarlo los señores peticionarios.” Después de unas ligeras contentaciones entre los Sre*. Arguelles y Secre £2 Sr. Falces: «No temo la nota de roñoso y tacaño tratándose de de tario del Despacho de Hacienda, y de algunas indicaciones presentadas por los fender intereses que no son míos. Me parece que con la nueva redacción que Sres. Cuesta y conde de las Navas, se preguntó si estaba el punto suficientemen se ha dado a…</t>
  </si>
  <si>
    <t>…r consiguiente no se está en Igual' caso, y sí trror las Tazones' del Sr. Palarea podia inferirse que los que compioteron de anular la elección.” la junta electoral de provincia erais personas limitadas y asustadizas, y qqe la Él Sr. Falces-. "Las razones que da la comisión me hacen fuerza, porque intervención del gefe los intimidaba. Lejos de ser asi, se ve que en la junta Veo que la mayoría reclamó que asistiera á la junta el elector antiguo; pero en alegaron, todas las.razones .que quisieron; que el nuevo elegido asistió también; cuentro…</t>
  </si>
  <si>
    <t>…o se menciona este último, y no se mienta parí bierno yio se oponía á la lectura del proyecto que había presentado -é\ murrio, n.da al primero. lio p^iqu^ lo mirase con- indiferencia ry creyese que deb a ic^iraric, sino par * »El Sr. Falces nos ha opuesto ePart. 95 del reglamento- (Lo leyó.) Con que &lt;k*pue» de la Rrga lectura del dictámen' de la comisión, me ^parecía que vengo en que puede haber caves en que se discuta el proyecto de ley del Gotaer* no ¡fiafuá incon enience, asi como tampoco necesidad, en leer una cos^ que no por no h…</t>
  </si>
  <si>
    <t>…producto de las multas en que incurran, los Urbanos.” • tomó en consideración, y se acordó que pasase á lá comisión. El consejo de administración y disciplina entenderá y será responsable de Lo mismo sucedió con la siguiente del Sr. Falces al 4-° todo lo concerniente á la distribución é inversión de la» cantidades procedentes «Pido que en el art. 4-° se intercalen después de las palabras »no serán de dichos fondos que para estos objetos se pongan á su disposición , llevando la incluidos en el alistamiento”, las siguientes: »los que t…</t>
  </si>
  <si>
    <t>…rbitrios análogos, opino debe Suspenderse el examen de esta observaciones y otras muchas que podrían añadirse, conviene aprobar la pe petición.” tición-” El Sr. Trueba dijo que al hablar el otro día sobre ocuparse el Estamenio El Sr. Falces deshizo uní equivocación que dijo haber padecido el señor en cosas mas importantes que las peticiones sobre impuestos de pasas ¿te., ha preopinante , quien contestó deshaciendo otra. bía sido su intención manifestar lo oportuno que seria que el Gobierno pre El Sr. Claros, como uno de los autores de…</t>
  </si>
  <si>
    <t>…ado. bierno á esta parte de la petición. Hay, repito, uh‘principio conservador del No es esto dar un ejempto de inmoralidad á los pueblos, como ha dicho et órden de que una ley no debe obrar sjno desde el momento en que Mr sancio Sr. Falces; nr tampoco tiene relación alguna el Voto de Santiago con las con na ó promulga. El sábado se ventilarán íos puntos que abraza el proyecto, tribuciones Reales. No hay inmoralidad , porque para ello seria necesario pro porque hoy no se ha hecho. Lo que está ctaro como la luz del dia, son las falbar…</t>
  </si>
  <si>
    <t>…stá sujeta á la prestación del Voto de San poder independiente de los otros dos , oír las tazones por una y otia parte, y tiago.” pronunciar lx decisión con arreglo ¿ las leyes. Después de,unas ligeras observaciones hechas por el Sr. Falces impugnan »Asi es que nada, valen los argumentos que ba citado el Sr. Secretario, de do, y por el Sr. Lasanta apoyando dicha indicación, se acordó por el Esta la chancillería de Valladolíd ,de la de Granada y aun del Consejo de Castilla. mento no lomarla en consideración. Los tribunales habrán deter…</t>
  </si>
  <si>
    <t>Falces, Gobernadora.ar.M</t>
  </si>
  <si>
    <t>Gobernadora.ar.M Falces</t>
  </si>
  <si>
    <t>…eis Art. S.° Los intendentes vigilarán acerca de la exactitud v ze reunido, al crito de saltación v de gloria: \ iva Isiril i i : viva lo con que las comisiones desempeñen este encargo, pidiendo con nuestra augusta bienhechora la Reina Gobernadora.ar.M. Falces." frecuencia estados de ingresos á las contadurías, y podrán dictar providencias conformes á las leves administrativas que sean conve PARTE NO OFICIAL. nientes para enmendar cualquiera error ó descuido, y evitar las omi siones ú ocultaciones de rodas clases. N O T IC1 A S ' E X T R A N G E R A SArt.…</t>
  </si>
  <si>
    <t>Falcon, Antonio</t>
  </si>
  <si>
    <t>Antonio Falcon</t>
  </si>
  <si>
    <t>…capitán general de Valencia con iecha 22 de Abril actual por todos los que, y otros avisos que he tenido resulta han sido comunica el parte siguiente: batidos los facciosos con la pérdida de un muerto, un herido y 14 Excmo. Sr.: D. Antonio Falcon, capitán del regimiento in prisioneros, entre estos el llamado Joaquin Sebastian, segundo de fantería de Mallorca, encargado de la persecución de la gavilla ca Saperez, sin que por nuestra parte tenga noticia de la menor des pitaneada por el Mayorazgo de Sarrion , me participa con fecha 1J gracia:…</t>
  </si>
  <si>
    <t>Falcon, D Antonio</t>
  </si>
  <si>
    <t>D Antonio Falcon</t>
  </si>
  <si>
    <t>…e, El capitán general de Valencia con iecha 22 de Abril actual por todos los que, y otros avisos que he tenido resulta han sido comunica el parte siguiente: batidos los facciosos con la pérdida de un muerto, un herido y 14 Excmo. Sr.: D. Antonio Falcon, capitán del regimiento in prisioneros, entre estos el llamado Joaquin Sebastian, segundo de fantería de Mallorca, encargado de la persecución de la gavilla ca Saperez, sin que por nuestra parte tenga noticia de la menor des pitaneada por el Mayorazgo de Sarrion , me participa con fecha 1J gracia:…</t>
  </si>
  <si>
    <t>Falcon, José Faleon y</t>
  </si>
  <si>
    <t>José Faleon y Falcon</t>
  </si>
  <si>
    <t>…lla, elecciones á los Presidentes de los Ayuntamientos de los pueblos que que lo es actualmente, á D. Francisco de Paula González Olmedo, son cabeza de Partido, según la División judicial aproliada jor S. M. fiscal de la misma, á D. José Faleon y Falcon, á D. Vicente Mar en Real decreto Je 21 de Abril próximo pasado: y en los Partidos tin Gómez, á D. Francisco María Henriquez; y para la plaza de fis en cavas Capitales no existan aquellas cor¡&gt;oraoiones, á les Comi cal , á D. Felipe Suarez: y es mi voluntad, que cada uno de los mi sionados especial…</t>
  </si>
  <si>
    <t>Faldera, D José</t>
  </si>
  <si>
    <t>D José Faldera</t>
  </si>
  <si>
    <t>…rzos de los malvados que intentan alterarla, por el buen espí Guardia Real de i.¡if.intcrM.=Cap;tan&lt;s , D. Leopoldo O-DonelJ; D. Luis ritu tjue reina en los habitantes , y las activas y enérgicas disposiciones do las García Luna; teniente*, D. José Faldera; D. José Oriol Despajo!: alférez -autoridades. ccs, D. Miguel Azígra ; D. darlos Fanch ; D. í oren/r* Smuhs. Soria , 9.° de linca =1 enicntc , D 1c nací o V: ñcd alféreces , D. Nicolás de El comandante genera! de Asturias avisa con la misma fecha hallarse aquel ll Fax, herido . v D. Jo-*e Antonio l…</t>
  </si>
  <si>
    <t>Faldera, José</t>
  </si>
  <si>
    <t>José Faldera</t>
  </si>
  <si>
    <t>…malvados que intentan alterarla, por el buen espí Guardia Real de i.¡if.intcrM.=Cap;tan&lt;s , D. Leopoldo O-DonelJ; D. Luis ritu tjue reina en los habitantes , y las activas y enérgicas disposiciones do las García Luna; teniente*, D. José Faldera; D. José Oriol Despajo!: alférez -autoridades. ccs, D. Miguel Azígra ; D. darlos Fanch ; D. í oren/r* Smuhs. Soria , 9.° de linca =1 enicntc , D 1c nací o V: ñcd alféreces , D. Nicolás de El comandante genera! de Asturias avisa con la misma fecha hallarse aquel ll Fax, herido . v D. Jo-*e Antonio l…</t>
  </si>
  <si>
    <t>Fallecido, Pedro Ontíveros Pueblos Pías Enfermos Curado</t>
  </si>
  <si>
    <t>Pedro Ontíveros Pueblos Pías Enfermos Curado Fallecido</t>
  </si>
  <si>
    <t>…nte; y de los de más pueblos de dicha provincia que sufrían loa estragos del cólera, solo m ha ELECCION DE PROCURADORES DEL REMO. bía recibid» noticia de loa que expresa d siguiente provincia t&gt;B cLckxbs. , -v Parte sanitario. &amp;. D. Pedro Ontíveros. ■ Pueblos. Pías. Enfermos» . Curado*. Fallecido» - : ' ESTADO SANITARIO DEL R,|ENO. . , ; l/- , PROVINCIA D* ALICANTE. . f‘i ' /' Aldcanneva.... 11 á 1S Set..*. 25 12 1 In oficio do 13del corriente dice su gobernador civil qoe la enfermedad Almonacid de / yrmqpiab» 4. declinar en aquella capital, pues s« nouba atawa « Zorita...........10 412 íde…</t>
  </si>
  <si>
    <t>Faltaría</t>
  </si>
  <si>
    <t>…citcntan varios oficiales, y el ayudante mayor del titulado próximo mes hubo en Estepa 81 enfermos, curaron 41 y fallecieron 8. brigadier Andechaga. Por mí parte solo he tenido tres heridos, entre ellos un PROVINCIA JDB TOLEDO. ' capitán. . «Faltaría £ lo mas sagrado de mi deber si no recomendase muy particular Avisa su gobernador cí*il con fecha 21 del corneare que en aquella ca mente el mérito y bizarría con que se portaron el brigadier D. Pedro Aznar, pital y demas pueblos de la provincia se disfrutaba de buena salud, excepto en gefe de la )…</t>
  </si>
  <si>
    <t>Fano, Alejandro</t>
  </si>
  <si>
    <t>Alejandro Fano</t>
  </si>
  <si>
    <t>…ad contra la barbarie un justo horror hacia sus acción al dar la carga, y los del propio regimiento D. Félix. Gómez, te autores, determinó no detenerse en Tarragona mas que el tiempo necesario niente graduado de capitán: teniente D. Alejandro Fano, y porta-estandarte para dictar las mas terminantes órdenes al general segundo cabo para que im D. Lírarq Cambil: el teniente de artillería retirado , y ayudante de campo del pidiese á Carnicer repasar el Ebro; y sabiendo que este aparentaba dirigirse por brigadier Bretón D. Francisco de Mora y Pau…</t>
  </si>
  <si>
    <t>Fano, D Alejandro</t>
  </si>
  <si>
    <t>D Alejandro Fano</t>
  </si>
  <si>
    <t>…a humanidad contra la barbarie un justo horror hacia sus acción al dar la carga, y los del propio regimiento D. Félix. Gómez, te autores, determinó no detenerse en Tarragona mas que el tiempo necesario niente graduado de capitán: teniente D. Alejandro Fano, y porta-estandarte para dictar las mas terminantes órdenes al general segundo cabo para que im D. Lírarq Cambil: el teniente de artillería retirado , y ayudante de campo del pidiese á Carnicer repasar el Ebro; y sabiendo que este aparentaba dirigirse por brigadier Bretón D. Francisco de Mora y Pau…</t>
  </si>
  <si>
    <t>Fano, Félix Sánchez</t>
  </si>
  <si>
    <t>Félix Sánchez Fano</t>
  </si>
  <si>
    <t>…a cooperación se promete grandes ventajas. tado de sus valores, del cual aparece que los de ios 44 pueblos que le» tienen, juntos con los de los pósitos píos ascienden á mas de 99,640 fanegas de gra Extracto del parte que .remite D. Félix Sánchez Fano, secretario del go no, y 389,066 reales vellón en dinero. Por lo demas ha autorizado los repar bierno civil de ta provincia de Huesca, ,pór ausencia del gobernador, con fe tos que han solicitado algunos pueblos, sujetándolos al conocimiento é inter cha 11 de Mayo. vención de la contaduría de propio…</t>
  </si>
  <si>
    <t>Faofhan</t>
  </si>
  <si>
    <t>…ro de los que le de l.° de Junio: »se anuncia que la escuela de artillería de Metz debe ensayar firman, como por el elevado rango que tienen en la sociedad. Semejante mani dentro de algunos días el famoso mortero inventado £ar él coronel'’ Faofhan festación de aprecio me constituye en el caso de arrostrar todatlase de sacrificios y que los extraordinarios efectos que produce, no menos que- su volumen, le pata afianzar mas y mas los principios que han regulado la conducta de la han dado el nómbrele mortero monstruoso. Nuestros lectores no hab…</t>
  </si>
  <si>
    <t>Fardclla</t>
  </si>
  <si>
    <t>…oriental (Revera), escrito en el cuartel general de progresos bajo la dirección del príncipe deGapua, hermano mayor del Rey, y CuáriewY y-dirigido-aLmítmlcrio de Ja Guerra y de la Marín» Tute despacho la severa administración del general Fardclla, ministro de Guerra y Marina. Se contiene algunos detalles sobre la derrota total del general Lavallejo. El presi han construido últimamente varios buques de guerra y de vapor según los me dente anuncia que después de continuas y penosas marchas, llegó el 15 de Ju jores modelos, y se ha comprado to…</t>
  </si>
  <si>
    <t>Fardella</t>
  </si>
  <si>
    <t>…tinuas y penosas marchas, llegó el 15 de Ju jores modelos, y se ha comprado todo lo necesario y de mejor calidad para te nio, y sorprendió al amanecer los puestos avanzados de Lavallejo, compuestos ner provistos los arsenales. El general Fardella es' un hombre hábil, que des de indios, y que los dispersó completamente. Lavallejo ha abandonado el terri pués de haberse distinguido en el ejército durante una larga carrera, ha ascen torio brasileño, donde han sido desarmados sus partidarios; el coronel Lavalle* dido at ministerio de ia Guerra;…</t>
  </si>
  <si>
    <t>Fassarí, Federico</t>
  </si>
  <si>
    <t>Federico Fassarí</t>
  </si>
  <si>
    <t>…toda la Palestina y que el teniente di húsares D.CefermoG-alindo, al frente de uní mitad, cargan Galilea. La causa aparente fue una leva de soldados mandada por Ibrahim-bajt; al enemigo por la derecha, el alférez del mismo cuerpo D. Federico Fassarí pero la verdadera fue la prohibición hecha á los gefes de las montanas de reci con otra por la izquierda, y el alférez D Francisco Castejon, del 6° I¡veros, bir el tributo que tenían costumbre de cobrar de todos los peregrinos que visi con la que mandaba protegiese i las otras dos por el centro, ma…</t>
  </si>
  <si>
    <t>Fassio, D Francisco Marta</t>
  </si>
  <si>
    <t>D Francisco Marta Fassio</t>
  </si>
  <si>
    <t>…reina Doña María sobre'un puehha libre: lia Constitución es los motivas que antes la habían paralizado, y haber recaído 'iepiexaltación tá establecida sólida é irrevocablemente.^¡Cuando subimos al ministerio, de empresario en el Sr. D. Francisco Marta Fassio, vecino dé Madrid, sugero era Femando vil Rey de España , y no había en este pais verdadera libertad que se balla.cn la mejor inteligencia y armonía con la junta; rigiéndose esta civil; ahora la.¿paña reconoce las leyes de un gobierno ¡lustrado, y como la por un nuevo reglamento tan satisfactorio c…</t>
  </si>
  <si>
    <t>Fassio, Francisco Marta</t>
  </si>
  <si>
    <t>Francisco Marta Fassio</t>
  </si>
  <si>
    <t>…na Doña María sobre'un puehha libre: lia Constitución es los motivas que antes la habían paralizado, y haber recaído 'iepiexaltación tá establecida sólida é irrevocablemente.^¡Cuando subimos al ministerio, de empresario en el Sr. D. Francisco Marta Fassio, vecino dé Madrid, sugero era Femando vil Rey de España , y no había en este pais verdadera libertad que se balla.cn la mejor inteligencia y armonía con la junta; rigiéndose esta civil; ahora la.¿paña reconoce las leyes de un gobierno ¡lustrado, y como la por un nuevo reglamento tan satisfactorio c…</t>
  </si>
  <si>
    <t>Fáurc</t>
  </si>
  <si>
    <t>…el en la fachada de las casas consistoriales. Siguieron dos informes relativos á la connaturalización del conde Borgarelli y del Sr. Or- i este acto varias diversiones públicas, durante las cuales manifestó el pueblo Bla; otro el Sr. Fáurc sobre el proyecto de ley, también aprobado por la Cá su mas cordial adhesión á los legítimos derechos de nuestra amada Soberana. mara de Diputados, acerca de los que pregonan papeles, litografías écc. La Cá Madrid 3 de Marzo. mara manda qiie dichos informes se impriman y distribuyan. En seguida pri…</t>
  </si>
  <si>
    <t>Faus</t>
  </si>
  <si>
    <t>…demas los términos en que Murieron p.jr nuestra parte en e»ta acción el comandante d •’ regimiento han de cumplir algunos de dichos encargos” Se levanta la sesión, infantería de Borbon D. Francisco de Paula Dugi, y el subteniente D. Faus tino M irrinez: fue herido el teniente D. Manuel Veizsco, y contuso el capi iPKtf.__Sesión del dia \..°%de Marzo. tán D* Julián Mirú Losada; fue herido también ei sargento de zapadores Ma Jura y toma asiento el general Durrieux, diputado nombrado por el de nuel Puebla, y ei de Borboa Francisco Mont…</t>
  </si>
  <si>
    <t>Faushawe</t>
  </si>
  <si>
    <t>…España es j • tal, que para ser acometida por una nación, que no sea Francia ó Inglaterra, Porstniouth 13 de Junio. seria necesario que estas dos Potencias dejasen de existir políticamente. Con la ._ £1 Ddnegal de 78 cañones, su capitán Faushawe, ha llegado esta mañana cuadrupla alianza ó sin ella, no es posible que los gabinetes de París y de Lon ‘trayendo á_hordo á D. Carlos, su esposa, sus hijos y la comitiva: total 60 dres permitan á ninguna otra nación hostilizar á la Península: y esto mismo personas, entre ellas obispos, generales &amp;c…</t>
  </si>
  <si>
    <t>Fausti</t>
  </si>
  <si>
    <t>…brada en Murcia en reemplazo del Sr. D. Antonio Posada, elevado á la dig nidad de Procer, que ha recaído en el Sr. D. Miguel Puche. SlSTAMENTO DI SEÍÍÓ'SES IIOCDIADOI EL El Estamento quedó enterado de nn oficio del Sr. Procurador D. Fausti no Garay, en el cual exponía que por hallarse enfermo no podía asistir i lis Sesión del día 28 de Octubre. sesiones. Igualmente lo quedó de un oficio del Sr. Secretario del Despacho de lo Se abrió á la* olice y media. Interior , en que manifestaba que para reunir los documentos, pedidos en 23 de Le…</t>
  </si>
  <si>
    <t>Fausti, Procurador D</t>
  </si>
  <si>
    <t>Procurador D Fausti</t>
  </si>
  <si>
    <t>…E 183% CORTES. brada en Murcia en reemplazo del Sr. D. Antonio Posada, elevado á la dig nidad de Procer, que ha recaído en el Sr. D. Miguel Puche. SlSTAMENTO DI SEÍÍÓ'SES IIOCDIADOI EL El Estamento quedó enterado de nn oficio del Sr. Procurador D. Fausti no Garay, en el cual exponía que por hallarse enfermo no podía asistir i lis Sesión del día 28 de Octubre. sesiones. Igualmente lo quedó de un oficio del Sr. Secretario del Despacho de lo Se abrió á la* olice y media. Interior , en que manifestaba que para reunir los documentos, pedidos en 23 de Le…</t>
  </si>
  <si>
    <t>Faustino'Sanz, X Rafael</t>
  </si>
  <si>
    <t>X Rafael Faustino'Sanz</t>
  </si>
  <si>
    <t>…onocen dueño, aunque du loso , se dejm en manos de sus actuales posee Sr. D. Antonio Ayarza”, electo Procurador por la provincia de Valencia, y dores, y tanto mas si cuentan con una posesión de siglos, como en el caso que los del Sr. X*. Rafael Faustino'Sanz, que lo es por la de ValUdolid , con los se ha citado. documentos justificativos de.su aptitud legal, y hallándolos arreglados á. la* le «El presente proyecto no ha creado una nueva legislación sino para los yes, era de dictámen1 que bebían aprobarse. Asi se acordó. bienes mostrenco*; e&gt;to es, teso…</t>
  </si>
  <si>
    <t>Fausto</t>
  </si>
  <si>
    <t>…ación, de indi También merecen particular mención los de la misma clase D. Salvador car la clase de que haya de ser el monumento: todo lo deja á la elección de los Gambarte, primer comandante de carabineros de costas y fronteras; D. Fausto opositores hasta el sitio en que haya de colocarse en esta corte. Asi pues al ex del Hoyo, del regimiento de Almansa, 18 de línea, y D. Joaquín Gómez Bar citar á nuestros artistas á esta heroica empresa, dejando á su acendrado gusto y reda , teniente coronel mayor del regimiento de Córdoba, por su…</t>
  </si>
  <si>
    <t>Fcrrer</t>
  </si>
  <si>
    <t>…la comisión. I " el Gobierno calculaba que con este aumento, quedaría el ejército completo y Se puso á discusión el artículo 3.° del dictámen de la misma. con un aumento de 133 hombres; y que tenia el proyecto de aumentar 2U0 El Sr. Fcrrer: «Al tratarse de este asunto no puedo menos de hacer pre hombres por batallón, para que dicho aumento fuera menos costoso. Es, pues, sente al Estamento, para que lo sepa la Epaña y aun la Europa, que en las, poco probable que ocurra este caso extraordinario. 2.° Si ocurriese, el aumen provincias de…</t>
  </si>
  <si>
    <t>Fcrretti</t>
  </si>
  <si>
    <t>…tadero en.la vil]^ df peranzas de los liberales italianos. Ha producido una viva impresión en Bolo Oreja, y sé(ha mandado ejecutar la obra, graduada en 700^5 lí&amp;ft r¿^ nia la noticia de que el marques de Zappi, de esta ciudad, el conde Fcrretti, Ha sido destruida enteramente ja,partida del esecilla Carrasco, qy&lt;; yaga— de Ancona, y el Sr. Sarti, abogado de Bolonia, excluidos todos ellos ríe la ba por los móhtes de Alarhih á .rós confines efe esta provincia, pcrícj?j¿dp$ amnistía papal, han.obtenido del gobierno napolitano el permiso de re…</t>
  </si>
  <si>
    <t>Fcsch</t>
  </si>
  <si>
    <t>…gada á guar tercera parte en el año de 1833, comparada con 1832. dar cama, conservando siempre el mismo carácter y hablando mucho de los El correo emplea hoy, haciendo un servicio regular, 24 buques de vapor: aucfc&amp;os pasados. £1 cardenal Fcsch la visita- todos los dias. (JO* de los O.') 4 entre Liverpool y Dublin de unas 300 toneladas cada uno y de fuerza de Capoles 10 de Setiembre. 140 caballos; 6 entre Holyhead y Dublin; de 235 toneladas cada uno y 100 caballos; 4 cntrc Milford y Waterford, de 189 á 237 toneladas de carga y Por conducto d…</t>
  </si>
  <si>
    <t>Fctici, D Joaquín María</t>
  </si>
  <si>
    <t>D Joaquín María Fctici</t>
  </si>
  <si>
    <t>…r. Ene también aprobado este dicta meo. nacionales efectuadas desde 1820’ á 1823. 1 - Dicha comisión presentó otro manifestando haber examinado los docu El Gobierno i la mayor heevecbd pondrá en pnwiw de dicho» hiena á mento* del Sr. D. Joaquín María Fctici, electo Procurador por. la provincia las personas que los compraron. ' i de Guipúzcoa, y que estimaba debían aprobarsepetó con la protesta de que Art. 2.° También re reconocen las redcncioen» da censo» y las de hitppórtente sjs poderes, pac* no lo1 habas hecho sin duda por un error involun Esde apo…</t>
  </si>
  <si>
    <t>Fctici, Joaquín María</t>
  </si>
  <si>
    <t>Joaquín María Fctici</t>
  </si>
  <si>
    <t>…ne también aprobado este dicta meo. nacionales efectuadas desde 1820’ á 1823. 1 - Dicha comisión presentó otro manifestando haber examinado los docu El Gobierno i la mayor heevecbd pondrá en pnwiw de dicho» hiena á mento* del Sr. D. Joaquín María Fctici, electo Procurador por. la provincia las personas que los compraron. ' i de Guipúzcoa, y que estimaba debían aprobarsepetó con la protesta de que Art. 2.° También re reconocen las redcncioen» da censo» y las de hitppórtente sjs poderes, pac* no lo1 habas hecho sin duda por un error involun Esde apo…</t>
  </si>
  <si>
    <t>Fe, Rey D</t>
  </si>
  <si>
    <t>Rey D Fe</t>
  </si>
  <si>
    <t>…viembre 18 de l833-=$cñora.=NicoIas Alonso An abundancia, porque se creyó indispensable averiguar con exactitud cuáles eran drade y San Juan. los ramos que debían considerarse comprendidos en el citado Real decreto, Exposición al Sr. Rey D. Fe matulo m (Q. E. E. G.). cuánto producían, y cuáles eran las cargas de justicia que sobre ellos gravita ban. De esta averiguación resultaron algunas resoluciones parciales, en cuya vir Señor: El ayuntamiento de vuestra M. N. y L. ciudad de Manila, lleno tud se sujetaron á la acción de ia Real Hacien…</t>
  </si>
  <si>
    <t>Fe.-nando</t>
  </si>
  <si>
    <t>…de prosperidad y de ventura no sacábamos mas* que para pagar 120 millones cidos á los que mediaron para contratar el empréstito de Guebhard. de deuda, podíamos dejar la carrera que habíamos Comenzado. "Ha dicho el Sr. Domecq que D. Fe.-nando vu no estaba rodeado de «Pero , Señor, si todas las mejoras, que la Nación debe esperar , se re ninguna facción qué coartase su libertad, y én prueba de ello nos ha citado ducen í 120 millones de economías; íi 183 Procuradores con 1$Q ilustres Pró el hecho de que, á pesar de tos esfuerzos de esa fa…</t>
  </si>
  <si>
    <t>Federico</t>
  </si>
  <si>
    <t>…iujtrar i VV. AA. PP. rnnkl acostumbrado,, la a matura de. los Estados generales por S. M.el Rey, que las rentas dePEstádo corresponden bajo todos aspectps á las esperanzas qué ucompuñado dc bS. AÁ. RA. el Príncipe de Orange y el Príncipe Federico de nos animaban. El crédito público, fundado en -el descaí peño fiel dé nuestros loa Países flafosc- - comprogusos y en la conocida probidad del pueblo i^íerlandéSy. .sé ¿consólida • jSb aquí el discurso pronunciado en esta ocasión por SL M.: * 1 . , de dtti'cn.Hiftn .''. , «Alto», y poderosos Señores…</t>
  </si>
  <si>
    <t>…hospicio», hospital*; .cárceles, oa¿ por, los que ejecutaros al óleo á la Real presencia de SS. MM. loi 9» da fiyiraSegraáaylrarniaiiSladlri "y cefcadf»- «e-gsieéleft toraer has* ' pintores de-cámara D.i José de Madrazo y su hijo D. Federico; leí -f «i «.¿Meiogad® U pciipa-en «Ha*. expresado» retratos son de igual tamaño, estampados en papel de ■_ TaraAM*» sjbMüib «m «ttóíso ftir fuera 4e la «tufad de Guada-*. marca mayor &lt;sc&gt;bre fino de vitela; y se venden al precio de 2Q r. Jijara para ftcmplaair l*-p«fte&lt;l«l dcZ»r.«goz» que atravies…</t>
  </si>
  <si>
    <t>…adén. 3? De la organización definitiva del Real cuerpo facultativo de Berlín 20 de Aoziembre. minas, y alteráciones que pueda sufrir la que se le ha dado por el Real decreto de 21 de Setiembre de 1853, teniendo presente que la El príncipe Federico , co-Regente de Sajonia ; Mr. de Minkwitz, minis voluntad de S. M. es que se considere con toda la preferencia que tro de Negocios extranjeros, v el barón de Lutzerode, embajador de Sajonia ea la corte de Rusia , han llegado á Berlín procedentes de 1)resde. reclama el mejor servicio á los facultati…</t>
  </si>
  <si>
    <t>…desechadas, que Jas sumas pedidas sean concedidas ó negadas , que estas mismas ___Escriben de Bruselas con fecha del 23 que han llegado i aquella ciudad el se conserven ó supriman, iipporta poco á la religión; pero importa mucho, príncipe Federico, hermano del Rey, y el príncipe Lciningcn, hijo de la du pomo ha dicho el honorable M-Dupin, i la fidelidad de nuestras transacciones quesa deKeot, y que permanecería allí algunos dias. con Jas corles extrangeras. Importa mucho , en fin, á la paz del Estado , com , El fiscal general ha apelado de .…</t>
  </si>
  <si>
    <t>…ue tengan mayor necesidad de ellos: Asta suma, que se repartirá por igual entre los dos ministerios, será todavía Haya 26 Je Setiembre, acrecentada desde el primer año, sí se presenta alguna posibilidad, por pequeña SS. AA RR. el Príncipe Federico y su esposa han salido para el Loo, que sea, y aumentada gradualmente en.lo sucesivo hasta que la suerte de di donde S. A. R. el Príncipe Alejandro, hijo segunda de -SS. A A. RR, el Prínchos empleados quede asegurada de una manera sólida y correspondiente- á sus cipe y la Princesa de Orange, hará su…</t>
  </si>
  <si>
    <t>…el Haya con fecha 6 del corriente r Se espera que llegará maña de Procuradores al discurso de apertura, se verificará lo dispuesto en né á Rotterdam la Reina de Inglaterra; saldrán.á recibirla y cumplimentarla el artículo 42. el* príncipe Federico y los embajadores de Inglaterra^ de Rusia. Visitará el Art. &lt;50. El Presidente del Estamento, ó el Vicepresidente en su mismo dia S. M. la ciudad da Gouda para ver todas sus curiosidades: volverá defecto, y los cuatro Secretarios presentarán en una de las primeras en seguida á Rotterdam, y se embarcará e…</t>
  </si>
  <si>
    <t>Fedro</t>
  </si>
  <si>
    <t>…o urbano sí renovaba las mismas preguntas que hizo la noebe anterior , cuan do S* S. estábil ausente. Tampoco creía que hubiese inconveniente en hacerlas, fkrríhen de Copenhague con fecha de 25 de Alare. y por tanto preguntaba si D. Fedro se había mostrado agradecido á la Ingla ^E! célebre capitán Ross ha estado aquí algunos días, r se dirige á Suecia terra y á las demas Potencias contratantes por el último convenio, y si (o había y Noruega con el objeto, secun se dice, de construir barcos c m madera de ratificado en todas sus parte…</t>
  </si>
  <si>
    <t>Fél, D</t>
  </si>
  <si>
    <t>D Fél</t>
  </si>
  <si>
    <t>…quedó allanado.á satisfacción del público. A él se le mandó buscar para pasó la comisión de ayuntamiento,asistida de mi el escribano, á la morada del acordad lo conveniente en, el arbitrio qu¿ debía tunarse por la escasez de Jos Sr. D. Fél x Quintero, regidor alférez Real , y habiéndosele manifestado el fondos, y que cl caso tx/gia según U Real cédula de que está instruida esta cor objeto de la nns on , se incorporó á ella con- los dos reves de amias , el Sr. re poración? y sin haber recibido el aviso sino al llegar , provocó Un lueg…</t>
  </si>
  <si>
    <t>Felegriñ, Lope</t>
  </si>
  <si>
    <t>Lope Felegriñ</t>
  </si>
  <si>
    <t>…tenderán las diligencias con los estrag sino del hombre en sociedad ó del ciudadano. óos de dicho juzgado, y les parará perjujeio.. r Pero aun este no puede adquirir derechos políticos ó civiles sino en vir— ——Por providencia del Sr. Lope* Felegriñ,.se* cita' á todos los que se considere;! con tud de la ley, que obliga á los demas con su Sanción i respetarlos. Una decla derechoMarta dea Chaves.VillarroeUlos bienes que han quedadovecino queporfuefallecimientodf ysta corte,intestadoócurfidodelen 20Sr.deD.JulioRamónúl ración di derecho», anterio…</t>
  </si>
  <si>
    <t>Féleígrin'</t>
  </si>
  <si>
    <t>…ño^de&lt;30 dias ecudah á dicho iuigadouy citada escrÍbants?por.me#Íó4e péocuradorá usar del que ies oompetá^ •percibidos.que pasado dicho-térmléo les pam» perjuicio. . . • • , - . ; PROVINCIA. DE SgAHAHANCA» —¿-¡Por providencia del Sr. Féleígrin', refrendada "del escribano Romeral , se líamaq por'el término óe 30 días É Jo« acreedores dé la testamentaría dé lX. TédWGárcia Ba-^ jo» vecino nuc fue de nts villa, 4 .fln de/qoe dentro do él nui dl ljñ úlcisíBMaw " " Desde el dia 4*1 7 del présente curaron en la 'cájjif al "5 S' personas, lalle-'…</t>
  </si>
  <si>
    <t>FelÍ</t>
  </si>
  <si>
    <t>…yo nombre el señor conde tacral, y una banda de músicos tocó vareas piezas escogidas ante las «. ^ ro. - Pozzo-di-Borgo pronunció el discurso siguiente: tonales y edificio de la uriversidad , ambos primorosamente adornad &gt;-, \ : »Señor: FelÍ2 presagio ha sido del año que hoy comienza el que acaba de íetrato de la Ruina nuestra Señora en el centro de sus respectivas fadiudas. concluir. Todos lo* gobiernos y naciones se convencen cada dia mas de los in mensos beneficios que produce la conservación de la paz; y los Monarcas qué Aíadrid 1…</t>
  </si>
  <si>
    <t>Feliciano</t>
  </si>
  <si>
    <t>…acon2.a Juan Josef Recacbo, del referido supremo de Indias; D. Vicente de Oc.unpo, clusión ; el último período de la campaña de llalla por Bonaparte en dicho »0o; y Ja alcaide del crimen cesante de la. Real audiencia de Cataluña; D. Feliciano da continuación de la guerra por este mismo general en r797, hasta sus preliminares de ! Bringas, contador de S, A. el Sermo. Sr. Infante D. Francisco de Paula; Don la paz de Campo-Furmlo. Dkho periodo se divide en secciones, para qne se distin gan de aquellos capítulos. A estos cuatro tomos. á mas de…</t>
  </si>
  <si>
    <t>…cias en nombre de S. M. por sus nobles y piadosos sentimientos. ma, manifestándole mis intenciones, y que estaba pronto á suministrar gratis las cantidades del medicamento necesarias para su encajo, con tal que fuera por mano del D. Feliciano, por estar instruido en las dósis y su modo de obrar, Desde que la enfermedad conocida con el nombre de cólera-morbo tras todo lo cual fue manifestado á la junta del siguiente dia , y se mandó pa^r pasó los límites del Asia, los profesores del arte de curar se afanaron con no con urgencia á la Real…</t>
  </si>
  <si>
    <t>Felipe</t>
  </si>
  <si>
    <t>…on la Reina ción ejerció en las Córtes de 1789, restableciendo la forma -primitiva en el Doña Isabel r , y las providencias que acordaron las Córtes reunidas con aquel órden de suceder en la corona, alterado igualmente por el Sr. D. Felipe v. motivo en Segovia y .Vallado¡íd:él año de 1475, y en Madrigal el año si 3.° Que desde que dicho Sr. 'Infante tuvo noticia del fallecimiento del Sr. Don guiente, es un testimonio irrefragable de la.' fuerza y poder dé las Córtes. A Fernando vu, se declaró Rey de España, y presumió ejercer los act…</t>
  </si>
  <si>
    <t>…lexión y de la experiencia, descansando sixr^temor en pl juicio que pro—, tájas que resultarán de esta empresa, serán debidas á la revolución de Julio y nunciarán nuestros conciudadanos, que sin ningún género de duda nos ha de al Rey Felipe, cuya generoridad le inspira-hacer «tn uso tan útil y tan nohla ser favorable.” (ChronicU.) dé ios fondos que le destina la nación para sus necesidades personales.” (JdJ) r '.'-C—*. cL.: .• . '* -El almirante Napier conservará sxt gpdo en Portugal y recibirá medio ____ En la noche del domingo al lu…</t>
  </si>
  <si>
    <t>…nientemente pre Real decreto mandando que D. Guillermo Moragues continúe en el gobierno parado* los edificios en - que han de celebrar sus sesiones uno y otro Esta-1 Civil de las islas Baleares, y nombrando para el de Barcelona i D. Felipe . mentó. (Id.) ■ . 1 Igual. (Dúm. 96) , ‘ - sobre U provisión de beneficios en la* provincias vascongadas y reino do' __ Concediendo honores de alcalde del crimen de la audiencia de Sevilla £ Navarra. (Id.) D. Eugenio Javalquinto y Portillo. (Id.) __ _ la anterior sóbre la apertura de la* Córtes, c…</t>
  </si>
  <si>
    <t>…arcelona, á ps. fs., Malaga , par. Descuento de letra gasto que provecho. El Sr. Clcmencin cita un documento muy curioso, y es Londres, á 9O días, ^ b. Santander, £ b. a 4 P- 100 al asa una carta de D. Diego Hurtado de Mendoza ai Rey Felipe rr; en la cual coin -37 i* Bilbao, 4 d. Santiago, ¿ d. cide aquel célebre estadista con el juicio de Cervantes. Añade el comentador que este mismo dictámen fue seguido en tiempos posteriores por otros que acon sejaron abandonar los demas presidios de la costa de Africa. Habla después de. ANUNCIOS.…</t>
  </si>
  <si>
    <t>…ículo no se trata de la ley de imprenta, sino como ley-fundamenta] , como ver la luz pública? ¿Qué se puede decir á favor de ese auto mal acordado de base , porque sus expresiones son que todo español es libre de publicar sus pen D. Felipe, y contra tanta serie de leyes , contra la costumbre inviolable desde samientos por medio de la imprenta, y todo lo que se añade para modifi el establecimiento de la monarquía á favor de sus derechos? ¿ qué se podrá es carla en la segunda parte estará bien ó mal; pero esto no es la esencia de la cr…</t>
  </si>
  <si>
    <t>…eres público podrían muy bien aquellos dirigirse á él, y mentira recursos. Asi se ve que los gastos de la casa Real ascendían bajo el rei preguntar si se ventilaría tal ó cual cuestión. En eso se comprometerían menos nado del Sr. D. Felipe tu á la suma de 2.531,105 ducados, á la de 35.505,020 que en otros pasos que á veces se dan; y si el Gobierno se negase entonces á reala bajo el del Sr. D. Felipe v , á la de 41 millona bajo él Sr. D. Fernan responder, el Sr. Procurador ó Procuradores á quien tal aconteciese, en uso de do vr, y á l…</t>
  </si>
  <si>
    <t>Gaceta de Madrid n.º 181 · suplemento</t>
  </si>
  <si>
    <t>…existe un soto ramo, una sola fucnte.de las que sitase el ¿Spóyp de le autoridad, ninguna podría presentar mas oportuna que IV fbrman la riqvíeza y la prosperidad general, que no convalezca, aunque lenta del magnánimo, Rey el Sr^D. Felipe v, cuando en su Real cédula de 18 dé mente, de las calamidades pasadas , sin que se halle uno solo en tan abatida y Octubre de L73J te explicaba «n éstos' términos i »Gomo la invisible mano dé ruinosa sfru«cion como la marina Real. la Omnipotencia colocó sobre los triares Océano y Mediterráneo los…</t>
  </si>
  <si>
    <t>…os que no excedan de 103 almas, y en todos los demas la materia desde la ley 6.a, título 10, libro l.° de la Novísima Recopilación, .usa cantidad equivalente é la triple cuota prefijada en la anterior clasifica dictada por el Sr. D. Felipe n ep 1565 después de concluido el Concilio, has ción, podrán ser comprendidos en el alistamiento con el beneplácito de sus ta nuestros días, para que yo me ocupe en citar sus disposiciones individual podres. mente. , «Los dependientes de escritorios, tiendas y fábricas, cuyos dueños paguen «Partien…</t>
  </si>
  <si>
    <t>…sus decididos y entusiasmados Milicianos urba y 98.619, todos de 100 pesos, y creación de l.° de Enero 1824» &amp;1 que los tuviese, los nos, que ansiaban porque bajasen para medir sus fuerzas y hacerles conocer que entregará á dicho D. Felipe en Bilbao, ó * D. Laureano en Madrid, 6 en la caja de Amortización, en donde están reclamados para Impedir sü circulación. prefieren la muerte á sucumbir á esta horda de foragidos. —El dia 20 de Noviembre próximo se^ubastá en tos estrados de la intendencia geste - «Me llena de gozo, Excmo. Sr., el…</t>
  </si>
  <si>
    <t>…sostuvo único que que tiende el iba de caballería, 2A ¿línea, ManuetLópez, de I59B, Reales áte. año concordatos, limpieza testamentos 8». y concluye en el ra, •1 fuego con su carabina. en el de 166? «m «1 testamento diíL, Sr. Rey D. Felipe iv. ' J ■Toda mi tropa se portó con el valor que caracteriza i la de nuestra amada RxrwA , no podiendo menos de recomendar á V. E. el vator que -ha desplegado - Los suicriptores k las Obras completas Hé Buffon* aumentadas por Cuvier, pasa eJr«obteniente ILSarnoa Pascual Díaz, valiéndose también con…</t>
  </si>
  <si>
    <t>…; pero no en todos, y entre ellos especialmente en el que fijan respecto de agovian y destruyen, será una medida útil y.necesaria. los 39 ducados de renta.' Yo por mi parte hubiera deseado que se hubiese-fija- «En I7ü5 ya conoció D. Felipe v esta necesidad,~y por esto ordenó que do una* cuota mas elevada, extendiéndola hasta el punto de que fuese de preci los censos quedasen reducidos de 5 á 3 por lOU en la corona de León v Cas sa condición que todo mayorazgo produjera la renta designada en'el Estatu tilla, porque las fincas no produ…</t>
  </si>
  <si>
    <t>Felipe, D</t>
  </si>
  <si>
    <t>D Felipe</t>
  </si>
  <si>
    <t>…do con la Reina ción ejerció en las Córtes de 1789, restableciendo la forma -primitiva en el Doña Isabel r , y las providencias que acordaron las Córtes reunidas con aquel órden de suceder en la corona, alterado igualmente por el Sr. D. Felipe v. motivo en Segovia y .Vallado¡íd:él año de 1475, y en Madrigal el año si 3.° Que desde que dicho Sr. 'Infante tuvo noticia del fallecimiento del Sr. Don guiente, es un testimonio irrefragable de la.' fuerza y poder dé las Córtes. A Fernando vu, se declaró Rey de España, y presumió ejercer los act…</t>
  </si>
  <si>
    <t>…Ínteres público podrían muy bien aquellos dirigirse á él, y mentira recursos. Asi se ve que los gastos de la casa Real ascendían bajo el rei preguntar si se ventilaría tal ó cual cuestión. En eso se comprometerían menos nado del Sr. D. Felipe tu á la suma de 2.531,105 ducados, á la de 35.505,020 que en otros pasos que á veces se dan; y si el Gobierno se negase entonces á reala bajo el del Sr. D. Felipe v , á la de 41 millona bajo él Sr. D. Fernan responder, el Sr. Procurador ó Procuradores á quien tal aconteciese, en uso de do vr, y á l…</t>
  </si>
  <si>
    <t>…ueblos que no excedan de 103 almas, y en todos los demas la materia desde la ley 6.a, título 10, libro l.° de la Novísima Recopilación, .usa cantidad equivalente é la triple cuota prefijada en la anterior clasifica dictada por el Sr. D. Felipe n ep 1565 después de concluido el Concilio, has ción, podrán ser comprendidos en el alistamiento con el beneplácito de sus ta nuestros días, para que yo me ocupe en citar sus disposiciones individual podres. mente. , «Los dependientes de escritorios, tiendas y fábricas, cuyos dueños paguen «Partien…</t>
  </si>
  <si>
    <t>…y S sostuvo único que que tiende el iba de caballería, 2A ¿línea, ManuetLópez, de I59B, Reales áte. año concordatos, limpieza testamentos 8». y concluye en el ra, •1 fuego con su carabina. en el de 166? «m «1 testamento diíL, Sr. Rey D. Felipe iv. ' J ■Toda mi tropa se portó con el valor que caracteriza i la de nuestra amada RxrwA , no podiendo menos de recomendar á V. E. el vator que -ha desplegado - Los suicriptores k las Obras completas Hé Buffon* aumentadas por Cuvier, pasa eJr«obteniente ILSarnoa Pascual Díaz, valiéndose también con…</t>
  </si>
  <si>
    <t>Felipe, Luis</t>
  </si>
  <si>
    <t>Luis Felipe</t>
  </si>
  <si>
    <t>…os de Abril, aca * ba hoy de daros cuenta de sus operaciones. Lista de todos los que desde el 3^ de Julio de 1830 han formado mas «La sociedad, violentamente atacada en nuestros muros, se ha visto re ó menos tiempo el consejo del Rey Luis Felipe: ducida á la dolorosa necesidad de emplear medios terribles de represión; estos Los Sres. Dupont (de l'Eure), el barón Luis, el mariscal Gerard, el mediós han causado muchas desgracias, arruinado á muchas familias, y costado conde Rigúy, Bignon, Guizot, de Broglie, el mariscal Maison, Monfalivet, l…</t>
  </si>
  <si>
    <t>…el mas profundo respeto, Señor, de V. M. el mas humilde y obediente servidor y leal vasal!o. =:El ministro Secretario de Estado en el de vbaucta. partamento de la instrucción pública, Guizot. . ; París 31 de Agosto* . Decreto del Rey. Luis Felipe &amp;c. . . Visto el artículo 2.° de la ley de 13 de Marzo de 1804, y el ártícnlo 10 ■ Informe. Al Rey. Señor: Cuando indiqué i-V. M. en el informe que tu del decreto de 21 de Setiembre del mismo año sobre la organización de la* es ve la honra c|e presentarle cosa fecha 31 de Diciembre de 1833 algunas…</t>
  </si>
  <si>
    <t>…edad, la cual dirruida, perecerían también sus ne tanta necesidad de artistas como de soldados.”, (Mensagero.). riquezas: la gloria hace respetable la nación á los ojos de las densa*, _.__Se ha anunciado de oficio en Tolon que el Rey Luis Felipe y esto resulta én utilidad de sus empresas mercantiles: los servicios, irá á visitar este puerto al fin del'mes de Mayo, y que le acom hechos al Estado son productores de justicia, de victoria, de órden, pañará pn este viage el almirante de Rígni, ministro de la Mari de prosperidad, y todo esto es or…</t>
  </si>
  <si>
    <t>…nido ni tenia intención de Germain, gefe de batallón, oficial de la legión de honor , y gobernador dé la colonia. obrar arbitrariamente, antes al contrario insistía en el sistema político que ha adoptado desde el advenimiento del Rey Luis Felipe, sistema que consiste en »La mayor actividad reina hoy en el puerto de Rochefort, en donde se hacerse cargo del derecho y de las circunstancias. están armando el Tritón, navio de 8ü cañones , 2 buques de vapor , el Fulton y el Meteore , y 3 bergantines. Se acaba también de dar la orden para que en-…</t>
  </si>
  <si>
    <t>Felipe, Rey D</t>
  </si>
  <si>
    <t>Rey D Felipe</t>
  </si>
  <si>
    <t>…os, y S sostuvo único que que tiende el iba de caballería, 2A ¿línea, ManuetLópez, de I59B, Reales áte. año concordatos, limpieza testamentos 8». y concluye en el ra, •1 fuego con su carabina. en el de 166? «m «1 testamento diíL, Sr. Rey D. Felipe iv. ' J ■Toda mi tropa se portó con el valor que caracteriza i la de nuestra amada RxrwA , no podiendo menos de recomendar á V. E. el vator que -ha desplegado - Los suicriptores k las Obras completas Hé Buffon* aumentadas por Cuvier, pasa eJr«obteniente ILSarnoa Pascual Díaz, valiéndose también con…</t>
  </si>
  <si>
    <t>FelipeSe</t>
  </si>
  <si>
    <t>…e y vino 4 librería de Cuesta ¡jr en la de Sánchez. la tropa, y comida í, los presos. Fue extraordinario el entusiasmo del pueblo, de— —Suevoescribanosformulariode Toledo,deUninstrumentostomo en 4*°públicos*á 26 rs. poren rústica.D. FelipeSe hallaráSánchez,en delMadridcolegioen tró'pay u&gt;baños, sin que en medio de tan general regocijo ocurriese el mas le la librería de Razóla* y en Toledo en la de Hernández. ve stótbma de desórden. —^Numanci*, tragedia española representada en los,teatros de esta corte. Se hallará i 4 rs. en la librerí…</t>
  </si>
  <si>
    <t>Félix</t>
  </si>
  <si>
    <t>…uy curioso para los habitantes de aqueta capital ver í v aunque los rebeldes hicieron alguna resistencia, fue inútil, pues logró batirla, los mismos litigantes defender sus causas ante los tribunales. V pesar de esto feien que el D. Félix pudo escapar por la fragosidad de aquellos montes; sin reinó el mayor orden, y en una mañana se despacharon mas tegocios que an embargo, se le* han muerto cinco hombres, herido cuatro, y cogido otros tan tes en muchas semanas, prescindiendo del dispendio y de lo vdnminoso de loe tos prisioneros con…</t>
  </si>
  <si>
    <t>…l servicio, y cuando «lnmediatamente dispuse que la vanguardia, compuesta de las compañías nó lo. sea, se le' dará su importe en tasación. Si lé acomodare'continuar en el de cazadores de la 2.* brigada, mandadas por el comandante D. Félix harasa, arma i se le destinará á uno de los cuerpos del pais con el haber de 6 rs. viydia- atravesasen el pueblo y marchasen á desalojar los enemigos de su fosicion ; y vo rios, que'gozará por el tiempo que subsista en él, dejándole ademas su caballo con mi plana mayor y ayudantes de campo , seguid…</t>
  </si>
  <si>
    <t>…den, y por la derecha al capitán ilimitado D. Francisco Mediavilla y al Madrid 2B dt Abril. teniente retirado D. Juan José del Arenal, siguiendo yo con el subteniente .Don José del Busto y los sargentos segundos D. Elias Alvarez, D. Félix ^ionF.n celebridad del cumpleaños de S. M. la Reina Gobernadora se vistió real y D. Anselmo Miranda, y el resto de la columna por el centro con direc ayer la corte de gala con uniforme , y hubo en el Real sitio de Aranjuez besa ción á la villa. A la entrada de esta , rompió el fuego la descubierta…</t>
  </si>
  <si>
    <t>…lidades de la ley: los ciegos ó ¡lefsonasD. Manuel Leonardo Vizmanos, fiscal del crimen de dicha audiencia, que los pregonen serán arrestadlas v expulsados en la misma hora á P- Gas|&gt;ar Ondovilla, que lo era de la de Barcelona, á D. Félix de la corte, como vagamundos, destinados al lugar de su ormn.lez, Alonso Calzas, alcalde del crimen dé la de Zaragoza, y á D. Paldo bajo la especial vigilancia «le la justicia respectiva: y al impresor (S Santafé: en clase de alcaides del crimen á D. Francisco de Paula persona que facilite la multiplicac…</t>
  </si>
  <si>
    <t>Félix, D</t>
  </si>
  <si>
    <t>D Félix</t>
  </si>
  <si>
    <t>…útil para el servicio, y cuando «lnmediatamente dispuse que la vanguardia, compuesta de las compañías nó lo. sea, se le' dará su importe en tasación. Si lé acomodare'continuar en el de cazadores de la 2.* brigada, mandadas por el comandante D. Félix harasa, arma i se le destinará á uno de los cuerpos del pais con el haber de 6 rs. viydia- atravesasen el pueblo y marchasen á desalojar los enemigos de su fosicion ; y vo rios, que'gozará por el tiempo que subsista en él, dejándole ademas su caballo con mi plana mayor y ayudantes de campo , seguid…</t>
  </si>
  <si>
    <t>Félix, Pantalón</t>
  </si>
  <si>
    <t>Pantalón Félix</t>
  </si>
  <si>
    <t>…po que llevaban uno de ca la lsla de Leoná D. José María Gómez y Aceves; para ú'j^é Gijon á Don ballería gravemente herido; Los rebeldes exigieron diferentes multas al ayuntar .Pedro Saavcdra y Pardo; para él de Miranda de Ebro á D. Pantalón Félix miento y á los particulares, llevándose en rehenes algunos de estos hasta efec Galilea; para el de Sedaño á D. Julián Zabalburu; para?el de Santillana del tuarlas. \ Mar á D. Gregorio Anaya jipará el de Sala de Infantes ¿ D. Juan Eriales, que ^E1 comandante del fuerte elogia el valor y serenidad de…</t>
  </si>
  <si>
    <t>Feman</t>
  </si>
  <si>
    <t>…de Campo-Furmlo. Dkho periodo se divide en secciones, para qne se distin gan de aquellos capítulos. A estos cuatro tomos. á mas de los diferentes planos v ma [ Cilio» .Valentín Fraile, asesor electo del gfibierno de la Habana, y D. Feman- pas de que están adornados, acompaña un gran mapa que representa el teatro gene l do líluidobro, capellán dé honor de S. M., tuvo la honra de ser admitida el ral de la guerra que se describe. Se halla en el despacho de la Imprenta Real.* 4 |-d«a'-27 de Enero último á besar la Real mano do S. M. la…</t>
  </si>
  <si>
    <t>…; otros para la imitación , por lo mucho que de un tiempo 4 otro varían las circunstan aprobarán el del Gobierno, desechando los demas; y otros por él contrario cias. Diez y seis navios armados tenia en su escuadra en 1817 el Rey D. Feman desechando éstos, abrazarán el particular. Este es el órden que se ha seguido: de do ^ que con los demás buques correspondientes 4 ella , gastaban anualmente. consiguiente con arreglo á él determinó la mesa que se procediése desde luego 140 millones do reales, 4 razón de ó millones por navio; y aho…</t>
  </si>
  <si>
    <t>Feman, D</t>
  </si>
  <si>
    <t>D Feman</t>
  </si>
  <si>
    <t>…ular; otros para la imitación , por lo mucho que de un tiempo 4 otro varían las circunstan aprobarán el del Gobierno, desechando los demas; y otros por él contrario cias. Diez y seis navios armados tenia en su escuadra en 1817 el Rey D. Feman desechando éstos, abrazarán el particular. Este es el órden que se ha seguido: de do ^ que con los demás buques correspondientes 4 ella , gastaban anualmente. consiguiente con arreglo á él determinó la mesa que se procediése desde luego 140 millones do reales, 4 razón de ó millones por navio; y aho…</t>
  </si>
  <si>
    <t>Feman, I</t>
  </si>
  <si>
    <t>I Feman</t>
  </si>
  <si>
    <t>…los azotan ó los cortan la cabeza. Pero en un Gobierno representati hace con respecto á la Francia. vo, en que el Rey divide su poder con sus mismos súbditos, en que estos te «En el año de 20 se señalaron 40 millones de Testes al Sr. I&gt;. Feman señalan fondos para subsistir y sostener las cargas del Estado, y que no tiene do vi t, y entonces-este Rey pasó un oficio á las Córtes diciendo. «Me «asé con los medios para bacetse obedecer que uno absoluto, se necesita dar prestigio al la Señora Princesa de Sajorna, que es la actual Rkiha. , y e…</t>
  </si>
  <si>
    <t>Femando</t>
  </si>
  <si>
    <t>…tar la larga cadena de los abonos de sueldos atrasados de toda clase, que traen éa origen desde el 1.® de Julio de 1828; se ha dignado en su consecuencia mandar S. M. , de conformidad con lo informado por di Exposición al Sr. Rey D. Femando vji (Q. E. E. G.) cho supremo tribunal en acordadas de 19 de Ago-to y 20 de Enero últimos, Señor : D. José Antonio de Portuondo, conde de Sta. Inés, caba.íero co que siendo los premios de constancia una adquisición tan justa y piivilegiada, mendador de la Real orden americana de Isabel la Católica…</t>
  </si>
  <si>
    <t>…loa Estax-Unidos no han des- lable fidelidad á nuestra Señora la Reivá Isabel ir, como Hija primogénita y apSreeido todavía, porque el partido conocido bajo el imbje de nullijl cateurs, heredera de nuestro,difunto Monarca el Sr. D. Femando vii y de sá muy au insiste' en constante oposición á las disposiciones' del ^biemo. Los periódicos' gusta Esposa la Reina Madre, única Gobernadora de estos reinos, y que to tíe Washington y de Filadclfia con fecha del 15 del ns último anuncian con dos nos reunamos alrededor de su trono como el muro…</t>
  </si>
  <si>
    <t>Nám. ¿1, Martes 8 de Abril de 1834. ARTICULO DE OFICIO. fragio del alma del Sr. D. Femando, á quien llorar» para «em- pre la nación si el cielo propicio no le -ensanchase con Ja venturo La Reina nuestra Señora Diña Isabkl n,yS. M. la Reina sa suerte que le protegía en la augusta ¿ucespra del trono la ino Gobernadora, siguen en el Real sitio de Aran juez sin novedad en cente Doña Isabel t…</t>
  </si>
  <si>
    <t>…ida 2.a dice mas, y que aun en la hipótesis de la citada ley de Partida? No: quien se halla en este caso es la Ruina Doña que D. Cirios hubiera tenido justo título para suceder en España , debía ser Isabbí ji, primogénita del Sr. D. Femando vil, último poseedor. D. Cirios excluido de la sucesión. Establece esta ley que aquel que no respetase Jos fue no es el pariente mas cercano: lo es Doña Isabel ii. La 2.a manera que indi ros de la Nación, que no obrare con justicia y atacare los intereses públicos, ca la misma lev , es la del conve…</t>
  </si>
  <si>
    <t>…gresos que hace la marina rusa, y que unidos á los grandes preparativos V. M. su profundó dolor por la funesta pérdida de su amado Monarca el Señor en que sin cesar se trabaja, llaman la atención pública. Nuestro corresponsal nos D. .Femando vu; eleva sus votos al cielo por el descanso de su alma en la refiere muy por menor las disposiciones que últimamente se han tomado, y de efeTna mansión de los justos, y pide al Todopoderoso prospere el gobierno de qu« según dice ha sido testigo presencial; todos los marineras saben perfecta V. Mi…</t>
  </si>
  <si>
    <t>…rtículos primero y tercero. circunstancia. El trono* el ófcdcn y el reposo publico encontraron siempre en Art. 7.° Se autoriza al gobierno para conceder licencias temporales con él su apoyo; y cuando ai fxflocím rento del Sr. Rey D. Femando v n (q. c. e. g.) las maquinaciones de la ambición se manifestaron con audacia, el ejercito fue, medio sueldo á ios oficiales de la armada y la artillería de marina que no mas que en ninguna otra ocasión, digno del aprecio de S. M. y de la futría. siendo necesarios para el servicio quisieren obtene…</t>
  </si>
  <si>
    <t>…gq$ti’-Ma&lt;!re la cantidad dé 32 millones feñtaranaftacoénfá' exacta: , entonces * núr voto“ estabacótúortoe con—'r". el #cyo.La ^¿ conja díferénciá de-qué -si se ha &lt;fet'd¡vt4¡r en &lt;íos partidas, lo cual tío ‘Ríuna ha heredado de D. Femando v« una porción de cargas, á saber; criajiecesartPj Oodriaíséfialarsé 2(Tá S M.DófiárRabel ii, y 12 á Ja Reina * * pensiones f otras f asi como Uí Nación ha heredado el^einpréstifo ifc Gtíe- ,"Qffl^e¿^ulpra. Digo que po creó necesaria esta división, porque siendo como /‘bhítrd. Yo no qútsiéra record…</t>
  </si>
  <si>
    <t>…alle mica extrangera.*’ ría de) ITALIA. Oliera, (el ayuntamiento, alcalde mayor, curas párrocos y el comandante Boma 28 de Noviembre. de armas de) Ora. (el alcalde mayor de) Sí ha sido sentida de todos la muerte prematura del Sr. D. Femando vii r Osorio. (D. Fernando de) de las Españas, lo ha debido ser particularmente de los subdito-. He aquel Mo Paltnzuela. (el ayuntamiento de) narca, cuya vida preciosa era tan cara i la heroica nación que tema la di-h.i de Paredes, (el presbítero doctor D. Manuel de) gobernar. La religión , úni^o l…</t>
  </si>
  <si>
    <t>…dia dfi honor á la Real estatua. = DESIDERIO FIDEUTATB CLABI3SIMO Tacón* * IMAGINE CORDE Breve rcL'tcion de la fundan celebrada eH la plaza de Armas en la mañana PERPETUO ADESSB VOLO IT. de ayerf al descubrirse la estatua del Rey D. Femando vn (Q. £, E.Gi)t colocada en su centro. ^ MDCCCXIXUI. En el lado derecho se hallan de medio relieve los atributos de U atmm^ Al amanecer de hoy, un concurso numeroso se dirigía á la plaza de Ar- dañera sobre dos mundos, y en el izquierdo los del comercio y de la marina. ntas, £ard-presenciar el act…</t>
  </si>
  <si>
    <t>…; pero permítaseme que yo haga uso de rancadas de nuestros códigos, y que no han tetado en práctica durante 3 siglos. . f su mismo argumento. No basta que nosotros digamos que no debemos; pero «Este solo hecho cierto demuc&amp;Ua que D. Femando vu podía contraer los</t>
  </si>
  <si>
    <t>…jos que la sobrevivan, cobrándolas-de las cajas Redes dé Logroño con calidad PbÁReal resolución de 29 de Noviembre de 17^7 se dignó'facultar tí Se de reintegro del fondo de temporalidades de la mitra,de León, en conformi ñor'Rey D. Femando vr al corregidor de Madrid para entender cd el gobicr» dad del Real decreto de 26 del presente. De Real orden lo digo á V. S. para I no de los teatros y‘en Ir composición de las compañías cómicas, enyo conoci- su inteligencia y efectos convenientes. Dios guarde i V. S. muchos años. Ithieiito había…</t>
  </si>
  <si>
    <t>…ncia de Lérida, cuyo subdelegado me avisa por este correo su arribo á aque ¡ augusta Reina Doña Isabel íi de Castilla, como Hija primogénita del Señor lla plaza. En cuanto á D. Joaquín Rey he tenido el disgusto de no poder efec I D. Femando vu, último Monarca, que falleció sin dejar hijo varón, y excité tuar otro tanto, con motivo de habérseme presentado á manifestarme el senti j en cuanto pendía de mí á que los extraviados se aprovechasen de la paternal miento que le cabía porque el estado delicado de su salud no le permitía encar i…</t>
  </si>
  <si>
    <t>Femando, D</t>
  </si>
  <si>
    <t>D Femando</t>
  </si>
  <si>
    <t>…cortar la larga cadena de los abonos de sueldos atrasados de toda clase, que traen éa origen desde el 1.® de Julio de 1828; se ha dignado en su consecuencia mandar S. M. , de conformidad con lo informado por di Exposición al Sr. Rey D. Femando vji (Q. E. E. G.) cho supremo tribunal en acordadas de 19 de Ago-to y 20 de Enero últimos, Señor : D. José Antonio de Portuondo, conde de Sta. Inés, caba.íero co que siendo los premios de constancia una adquisición tan justa y piivilegiada, mendador de la Real orden americana de Isabel la Católica…</t>
  </si>
  <si>
    <t>…a de loa Estax-Unidos no han des- lable fidelidad á nuestra Señora la Reivá Isabel ir, como Hija primogénita y apSreeido todavía, porque el partido conocido bajo el imbje de nullijl cateurs, heredera de nuestro,difunto Monarca el Sr. D. Femando vii y de sá muy au insiste' en constante oposición á las disposiciones' del ^biemo. Los periódicos' gusta Esposa la Reina Madre, única Gobernadora de estos reinos, y que to tíe Washington y de Filadclfia con fecha del 15 del ns último anuncian con dos nos reunamos alrededor de su trono como el muro…</t>
  </si>
  <si>
    <t>…Partida 2.a dice mas, y que aun en la hipótesis de la citada ley de Partida? No: quien se halla en este caso es la Ruina Doña que D. Cirios hubiera tenido justo título para suceder en España , debía ser Isabbí ji, primogénita del Sr. D. Femando vil, último poseedor. D. Cirios excluido de la sucesión. Establece esta ley que aquel que no respetase Jos fue no es el pariente mas cercano: lo es Doña Isabel ii. La 2.a manera que indi ros de la Nación, que no obrare con justicia y atacare los intereses públicos, ca la misma lev , es la del conve…</t>
  </si>
  <si>
    <t>…os artículos primero y tercero. circunstancia. El trono* el ófcdcn y el reposo publico encontraron siempre en Art. 7.° Se autoriza al gobierno para conceder licencias temporales con él su apoyo; y cuando ai fxflocím rento del Sr. Rey D. Femando v n (q. c. e. g.) las maquinaciones de la ambición se manifestaron con audacia, el ejercito fue, medio sueldo á ios oficiales de la armada y la artillería de marina que no mas que en ninguna otra ocasión, digno del aprecio de S. M. y de la futría. siendo necesarios para el servicio quisieren obtene…</t>
  </si>
  <si>
    <t>…caballe mica extrangera.*’ ría de) ITALIA. Oliera, (el ayuntamiento, alcalde mayor, curas párrocos y el comandante Boma 28 de Noviembre. de armas de) Ora. (el alcalde mayor de) Sí ha sido sentida de todos la muerte prematura del Sr. D. Femando vii r Osorio. (D. Fernando de) de las Españas, lo ha debido ser particularmente de los subdito-. He aquel Mo Paltnzuela. (el ayuntamiento de) narca, cuya vida preciosa era tan cara i la heroica nación que tema la di-h.i de Paredes, (el presbítero doctor D. Manuel de) gobernar. La religión , úni^o l…</t>
  </si>
  <si>
    <t>…guardia dfi honor á la Real estatua. = DESIDERIO FIDEUTATB CLABI3SIMO Tacón* * IMAGINE CORDE Breve rcL'tcion de la fundan celebrada eH la plaza de Armas en la mañana PERPETUO ADESSB VOLO IT. de ayerf al descubrirse la estatua del Rey D. Femando vn (Q. £, E.Gi)t colocada en su centro. ^ MDCCCXIXUI. En el lado derecho se hallan de medio relieve los atributos de U atmm^ Al amanecer de hoy, un concurso numeroso se dirigía á la plaza de Ar- dañera sobre dos mundos, y en el izquierdo los del comercio y de la marina. ntas, £ard-presenciar el act…</t>
  </si>
  <si>
    <t>…s hi jos que la sobrevivan, cobrándolas-de las cajas Redes dé Logroño con calidad PbÁReal resolución de 29 de Noviembre de 17^7 se dignó'facultar tí Se de reintegro del fondo de temporalidades de la mitra,de León, en conformi ñor'Rey D. Femando vr al corregidor de Madrid para entender cd el gobicr» dad del Real decreto de 26 del presente. De Real orden lo digo á V. S. para I no de los teatros y‘en Ir composición de las compañías cómicas, enyo conoci- su inteligencia y efectos convenientes. Dios guarde i V. S. muchos años. Ithieiito había…</t>
  </si>
  <si>
    <t>Femando, Rey D</t>
  </si>
  <si>
    <t>Rey D Femando</t>
  </si>
  <si>
    <t>…n de cortar la larga cadena de los abonos de sueldos atrasados de toda clase, que traen éa origen desde el 1.® de Julio de 1828; se ha dignado en su consecuencia mandar S. M. , de conformidad con lo informado por di Exposición al Sr. Rey D. Femando vji (Q. E. E. G.) cho supremo tribunal en acordadas de 19 de Ago-to y 20 de Enero últimos, Señor : D. José Antonio de Portuondo, conde de Sta. Inés, caba.íero co que siendo los premios de constancia una adquisición tan justa y piivilegiada, mendador de la Real orden americana de Isabel la Católica…</t>
  </si>
  <si>
    <t>…an los artículos primero y tercero. circunstancia. El trono* el ófcdcn y el reposo publico encontraron siempre en Art. 7.° Se autoriza al gobierno para conceder licencias temporales con él su apoyo; y cuando ai fxflocím rento del Sr. Rey D. Femando v n (q. c. e. g.) las maquinaciones de la ambición se manifestaron con audacia, el ejercito fue, medio sueldo á ios oficiales de la armada y la artillería de marina que no mas que en ninguna otra ocasión, digno del aprecio de S. M. y de la futría. siendo necesarios para el servicio quisieren obtene…</t>
  </si>
  <si>
    <t>Femaodí</t>
  </si>
  <si>
    <t>…a de la ley, temiendo el fallo de la nación, intentaba po diera c&gt;tar de nuestra historia; pero bastará recordar lo ocurrido en tiempo de loa ner á salvo su ilegítima causa, presentando el sello del supremo Hacedor, cuyo hijos 4? D./Femaodí?id*;.la Cerda p y en tiempo de la rein3 Doña Isabel, cuyo nombre profanaba. sqlq nombre dospiprta -Un gloriosos recuerdos, y parece que alienta á la espe— «Hay mas; al mismo tiempo que el Príncipe remitió esta especie de onza.... . • protesta, encargaba al Rey que la-comunicase i losSobcianos extra…</t>
  </si>
  <si>
    <t>Fer, Benito</t>
  </si>
  <si>
    <t>Benito Fer</t>
  </si>
  <si>
    <t>…n Covilhá al Sr. mariscal de campo D. Francisco Sanjua- los que se crean con derecho al vinculo y mayorazgo fundado en esta corte por el doc nena con la vanguardia. tor D. Francisco Fernandez Munilla, cuyo ultimo poseedor ha sido D. Benito Fer La disciplina de estos cuerpos continúa recomendable, sin baja alguna en nandez MuniLU, para que en el preciso término de treinta días comparezcan a dedu la fuerza efectiva, siendo satifactoria* la salud que disfruta el ejército. cirlomientoantede elquereferidopasado juez,dicho yterminopor laescribaní…</t>
  </si>
  <si>
    <t>Fer, D</t>
  </si>
  <si>
    <t>D Fer</t>
  </si>
  <si>
    <t>…gué el día 24 a Puértollano con mi columna, compuesta de 150 infantes del provincial de Córdoba, En 25 del actual se disfrutaba de buena salud en la capital de esta pro y 30 caballos del 3.° ligero al mando de sus dignos gefes el coronel D. Fer vincia; el cólera había desaparecido de des pueblos de ella, y seguía disminu nando Fernandez de Rodas y del comandante de escuadrón D. José Eena- yendo en otros 14 que en la misma lo paAv-i.-in. En el momento supe que la ficción, acosada en todas direcciones, no pu- PROVINCIA DE SEGOVIA. ---------…</t>
  </si>
  <si>
    <t>…o en España, cado de nuevo en las Córtes de Madrid del año próximo pasado, al reconocer &lt; asi ¡cómo en otros países,h y casó en todas las monarquías de Europa) nunca y jurar como sucesora en estos reinos á la Hija primogénita del Sr. D. Fer tuveilugsr semejante disposición. Ni esa ley de Felipe v puede propiamente nando VII. llamarse! ley Sálica*) porque solo establqée la agnación, llamando luego á rei- »Por consiguiente, admitiendo el principio de que Felipe v y aquel las Cór nar'fclq» hembras.-* r'-'n -o . : - tes pudiesen alterar l…</t>
  </si>
  <si>
    <t>…se la pidan Señora: El ayuntamiento de la villa de Alcoy, al paso que no puede olvi— 1 pór Mí, y conducto del ministerio de vuestro cargo, y circular todas las órde dar la sensible pérdida del mejor v mas amado de los Monarcas el Sr. D. Fer- ' nes generales y particulares á todos los subdelegados que tuviese Yo á bien co nando vti (Q. E. G. D.), a cuyo gobierno paternal debe esta villa el progreso I municarla sobre el ramo de impresión é introducción de libros, igualmente que y prosperidad de sus acreditadas fábricas, no puede menos de…</t>
  </si>
  <si>
    <t>…contra los débiles esfuer Lándres 21 de Marta. zos de los que se interesaban en anticipar á V. M. los justos senti Hé aqM' un extracto sucinto del largo discurso de M. $bc*l td: mientos, prolongó la vida del mas amado Soberano el Sr. D. Fer pedir los papeles oficiales relativos al tratado turco-ruso, y de 1* nando vu (Q. S. G. G.) &gt; es la misma que para premiar sus vir respuesta de lord Palmcrston. tudes determinó definitivamente sacarle de este destierro para la En otoño de 1831, dijo M Shei!. marchó Ibrahim á la Siria: verdadera y e…</t>
  </si>
  <si>
    <t>…ca he en ta divergencia; pues partiendo de principios opuestos, difícil era dedujésemos trádmeos mas disgusto y desconfianza á usarla, como en la ocasión presente. La consecuencias que no lo fuesen. Hay quien pretende que S. R el Rey D. Fer cuestión es doloro&gt;ísima, pues se trata del disenso de dos Estamentos que deben nando vu pudo Legitimar este empréstito; mi opinión, juntamente con la de vtr unidos, para que la máquina legislativa y gubernativa gire bien y produzca mis dignos compañeros de la comisión en su mayoría, es que no pudo…</t>
  </si>
  <si>
    <t>…, secretario. trañas maternales hacia esta monarquía, que caracterizan á V. M.^pidiendo a Dios le continúe dando sus auxilios, para que en su gobierno consiga vasallos Señora: Luego que recibí la noticia del fallecimiento del Sr. Rey D. Fer que sean buenos cristianos, con lo que hará la España feliz en lo espiritual y nando vn (Q. S. G. G.) me apresuré á trasladarla á todos los individuos de en lo temporal. Dios guarde la importante vida de V. M. muchos años en mi jurisdicción, y á expresar al ministro de Marina , que me comunicó por…</t>
  </si>
  <si>
    <t>…ado sobre la Inglesa para ejemplo de todas las demás; por el corooel D. Josef González Torres 4 1799. un en forma edición de cuaderoito 12 rs. en rústica. Navarra: de carrera, Capitanía general de Castilla la Vieja—Excmo. Sr.: El coronel D. Fer de son Esta dividido compa cuyos obra se ha Gramática cuadernos, en tres títulos : i.° mín Triarte, comandante de la columna de Santander, me dice desde Balmase- rada ; a.3 Diccionario radical; y 3.0 Versiones literarias. Basta para eosalzar su mé da con fecha de l.° del actual lo que sigue.=Excmo. Sr…</t>
  </si>
  <si>
    <t>…avor de la Ibenéficos cuidados, y que no recusará. V. M. adelantar las mercedes que le fue- xnociqá pendiente. En efecto, habiéndose votado, el ministerio logró una matron franqueadas tan largamente en el glorioso reinado del Sr. Rey D. Fer yoría’contra M. Hume de 15/ diputados. (Galignani Messengtr.) nando. y RANCIA. P A! expresar la, ¡unta estos sentimientos a V. timie también el alto ho-r wói de renovar los de su inalterable lealtad é íntima adjKsion á la Sucesora le— Parts 9 de Afar&amp;i, roúima del trono, asi como los de su espontán…</t>
  </si>
  <si>
    <t>Fer, Domingo García</t>
  </si>
  <si>
    <t>Domingo García Fer</t>
  </si>
  <si>
    <t>…ido detnanganesar coo varias observaciones acerca del modo de grabar este instrumento y demás utensilio? de cristal por medio del ácidofaMOlt.'. .... 44 6Han..... 35 1 8 fluórfeo, por el C. Decroizilles; traducido del francés por D. ¿Domingo García Fer nandez, edición dé |796. Urr tomo en 8,° marquilU á írt.tamayy eri pasta común. Jaén.............- 8 410 Idem.... 430 95 48 Esta obra, según su traductor, debe considerarse como un complemento del arte de teñir. Lo* ViUate».... Idem 4 Idem... 00 00 12 No habiendo tenido efecto el remate señalado pa…</t>
  </si>
  <si>
    <t>Fer, Francisco</t>
  </si>
  <si>
    <t>Francisco Fer</t>
  </si>
  <si>
    <t>…ir.í?,oon3to á las 11 de la mañana del l.° del corriente en el salón llamado de Ciento do Sr. B.ir.igaña, el cual Je*pues de haber obsequiado ai av..ntani.ent1'' v a mu de las casas consistoriales, y atli el Excmo. Sr. corregidor D. Francisco Fer chas otra* personas con un suntuoso banquete, o leo una ahuciarte _omida nandez hizo entrega del Real pendón al Excmo. Sr. conde de Santa Coloma , re para los presos, y repartió á cada uno de ios pobres un reai de vei.on y una gidor decanoj haciendo funciones de alférez mayor. La comitiva salió en…</t>
  </si>
  <si>
    <t>Fer, Infanta Doña María Luisa</t>
  </si>
  <si>
    <t>Infanta Doña María Luisa Fer</t>
  </si>
  <si>
    <t>…s conciu ■Lá Reina nuestra Señora Doña Isabei, ji, S. M. ,1a Reina dadanos , se convierte en oprobio si estos pueden acusarlas de impre visión ó indiferencia en el cumplimiento de sus principales deberes; gobernadora, y la Serma. Sra.- Infanta Doña María Luisa Fer mucho mas cuando la Providencia les dispensa todo el tiempo nece nanda siguen en el Real siüp de San Ildefonso sin novedad en sario para desempeñarlos con la calma y prudencia convenientes. su importante salud. Estos principios' no deben ocultarse á ninguna autoridad, y es pecialmente á las encarga…</t>
  </si>
  <si>
    <t>Fer, José</t>
  </si>
  <si>
    <t>José Fer</t>
  </si>
  <si>
    <t>…la mas severa moral Alcaráz; a D. Ramón i'ejeiro, alcaide mayor de la Coruña ; a D. Pedro Tor que á nadie sé puede hacer cargos porque niegue obediencia á preceptos que recilla Hidalgo, alcalde mayor de Jerez de los Caballeros; a D. José Fer su conciencia no tiene por legítimos, y á la que jamás dió expreso asenso: nandez Míluego, alcalde mayor de Fregenal de la Sierra; á D. José Artal, al solo aquel que reconoce la autoridad, y después la desprecia y quisiese destruir, calde mayor de Garrobiilas; á D. Manuel Calvache y Moya, alcalde m…</t>
  </si>
  <si>
    <t>…civil, que en aquella, de aquel cadáver por D. Vicente Arias Oamon y D. Gumersindo Gómez capital se disfrutaba de buena salud; el estado de los demás pueblos invadidos Atinjo* ambos del colegio de Madrid, y bajo la presidencia de D. José Fer- en aquella provincia resulta del siguiente_________ ______ ______ rcr, médico del cabildo de Astorga; : *--------- ----------- ¡r - — Noto. En la Gaceta núm. 198 se dijo que en la capital de esta provincia Parte sanitario, se había declarado el cólera: efectivamente enfermó'.en úna posada un forast…</t>
  </si>
  <si>
    <t>Fer, María Luisa</t>
  </si>
  <si>
    <t>María Luisa Fer</t>
  </si>
  <si>
    <t>…eina nuestra Señora Doña Isabei, ji, S. M. ,1a Reina dadanos , se convierte en oprobio si estos pueden acusarlas de impre visión ó indiferencia en el cumplimiento de sus principales deberes; gobernadora, y la Serma. Sra.- Infanta Doña María Luisa Fer mucho mas cuando la Providencia les dispensa todo el tiempo nece nanda siguen en el Real siüp de San Ildefonso sin novedad en sario para desempeñarlos con la calma y prudencia convenientes. su importante salud. Estos principios' no deben ocultarse á ninguna autoridad, y es pecialmente á las encarga…</t>
  </si>
  <si>
    <t>Fer, Martin</t>
  </si>
  <si>
    <t>Martin Fer</t>
  </si>
  <si>
    <t>…banohel sin novedad én su im niente general de laReal armada, y capitán general del departamen to de Cídiz; marques del Cerro de la Cabeza; D. Manuel de la Boporta nlé salud. dega, decano de la sección de Indias del Consejo Real; D. Martin Fer Del mismo beneficio disfrutan SS. AA. RR. los Serraos. Se nandez Navarrete, decano de la sección de Marina del mismo Con ñores Infantes. sejo; D. José Amonio Rivadeneira, obispo de Valladolid ; D. Pedro Martínez de S. Martin, obispo de Barrelona; conde de Cuba, te niente general de los Reales ejércitos…</t>
  </si>
  <si>
    <t>Fer, Rey D</t>
  </si>
  <si>
    <t>Rey D Fer</t>
  </si>
  <si>
    <t>…lado, secretario. trañas maternales hacia esta monarquía, que caracterizan á V. M.^pidiendo a Dios le continúe dando sus auxilios, para que en su gobierno consiga vasallos Señora: Luego que recibí la noticia del fallecimiento del Sr. Rey D. Fer que sean buenos cristianos, con lo que hará la España feliz en lo espiritual y nando vn (Q. S. G. G.) me apresuré á trasladarla á todos los individuos de en lo temporal. Dios guarde la importante vida de V. M. muchos años en mi jurisdicción, y á expresar al ministro de Marina , que me comunicó por…</t>
  </si>
  <si>
    <t>…á favor de la Ibenéficos cuidados, y que no recusará. V. M. adelantar las mercedes que le fue- xnociqá pendiente. En efecto, habiéndose votado, el ministerio logró una matron franqueadas tan largamente en el glorioso reinado del Sr. Rey D. Fer yoría’contra M. Hume de 15/ diputados. (Galignani Messengtr.) nando. y RANCIA. P A! expresar la, ¡unta estos sentimientos a V. timie también el alto ho-r wói de renovar los de su inalterable lealtad é íntima adjKsion á la Sucesora le— Parts 9 de Afar&amp;i, roúima del trono, asi como los de su espontán…</t>
  </si>
  <si>
    <t>Ferelló</t>
  </si>
  <si>
    <t>…rimeros Eusebio Quiles, Manuel Badia, José Pueblos. Dias. Enfermos. , Curados. Fallecidos. Guas, Justo Garrido y Diego Martí. Aseó................ . 19 á 25 Set. v . 48 18 5 1 Del regimiento de Extremadura, 15 de línea, el primer comandante Ferelló.............. . 20 á 27 id.... 10 '4 D. Pascual Menacho; el 2.° D. José Boadella; el teniente coronel graduado, Reus.................. . 25 4 28 id.... 72 30 10 eapitan D. José María Villaronte; los capitanes graduados, tenientesD. Alon Tortosa.............. . 24 4J27 id.... 21 10 2 so del Marmol y D. Francisco…</t>
  </si>
  <si>
    <t>Ferfer</t>
  </si>
  <si>
    <t>…l mismo-artículo señalaba el término de diez años para su colonos; y esta es la cama principar de su decadencia;, puesbajo'el pretexto de duración. - que no se reúnan dos dotaciones en un individuo, ó de que este las- labra de El Sr. Ferfer époyó lo dicho por los señores preopinantes, y manifestó ' uno ú otro modo, pierde el colono la propiedad y aun las mejoras que ha he haberse ya tratado este asunto en las Córtes de 18 13, siendo el resultado dar cho en ella,, cuando asi place á la autoridad. estas el decreto de 24 dé Marzo del mis…</t>
  </si>
  <si>
    <t>Fermín</t>
  </si>
  <si>
    <t>…al y filosdfica blale Sanabria 28 de Marzo de 1834*=José Vázquez y Lopezccs de los nombres de pueblos y lugares de la Península, con aplicación á Excmo. Sr. capitán general de Castilla la Vieja. la topografia y á la historia. Por D. Fermín caballero. Este tratado, que puede considerarse como un estudio preliminar á la geografía patria, El comandante general de la provincia de Santander dice al ofrece por la novedad del asunto un ínteres poco común en tiempos en que es ya difícil decir sin copiar, d sin imitar á otros escritores. Los…</t>
  </si>
  <si>
    <t>…o; con todo, se arriesga á de 6 del corriente, remite á este ministerio el siguiente parte: manifestar su opinión para que nunca le quede el sentimiento de haber faltado Excmo. Sr: Recibo noticias muy satisfactorias del brigadier D. Fermín á sus deberes. Examina y censura el sistema de contribuciones que actualmente Inarte. Por sus comunicaciones del 4 desde San Esteban dfe Carranza, de tás se observa en Francia; y concluye pidiendo que se suprima la que pagan la sal, cuales traslado á V. E. dos por separado, se vé las grandes ventaj…</t>
  </si>
  <si>
    <t>…r notablemente- los estragos del cólera; y que del silencio que guardaban las dida que 3 heridos. \ justicias de los otros 26 que habian sido invadidos, infería que iba desapare «No puedo menos de recomendar £ "V. E. al brigadier D. Fermín lriarte, ciendo la calamidad que afligía á sus vecindarios. al coronel D. Julián Olivares, al primer comandante del Príncipe D. Cayetano García Olloqui, y al coronel D. Francisco Linage, gobernador de Orduña, PROVINCIA DB VALENCIA. con todos los oficiales de las compañías de cazadores del Príncipe…</t>
  </si>
  <si>
    <t>…ver mas que unos 4^0 hombres varlo á conocimiento de £ M. la Reina Gobernadora. Dios dcc. Fuerte de que á larga distancia pasaron á ocupar el camino de JLertn, entregándose todos Peralta 12 de Noviembre de 1834- = Excmo, Sr. = El comandante Fermín de ios demas í los preparativos para el ataque, con cuyo objeto horadaron las ca- Iracheta.=Excmo. Sr. general en gefe del ejército de Navarra.” sds hasta la última, que apenas dista 20 pasos del fuerte, y aspilleraron las pa íteles dé la huerta, que por tres puntos le rodeaban. Concluidos ya estos tr…</t>
  </si>
  <si>
    <t>Fermín, D</t>
  </si>
  <si>
    <t>D Fermín</t>
  </si>
  <si>
    <t>…n al pueblo; con todo, se arriesga á de 6 del corriente, remite á este ministerio el siguiente parte: manifestar su opinión para que nunca le quede el sentimiento de haber faltado Excmo. Sr: Recibo noticias muy satisfactorias del brigadier D. Fermín á sus deberes. Examina y censura el sistema de contribuciones que actualmente Inarte. Por sus comunicaciones del 4 desde San Esteban dfe Carranza, de tás se observa en Francia; y concluye pidiendo que se suprima la que pagan la sal, cuales traslado á V. E. dos por separado, se vé las grandes ventaj…</t>
  </si>
  <si>
    <t>…mas pér dcr notablemente- los estragos del cólera; y que del silencio que guardaban las dida que 3 heridos. \ justicias de los otros 26 que habian sido invadidos, infería que iba desapare «No puedo menos de recomendar £ "V. E. al brigadier D. Fermín lriarte, ciendo la calamidad que afligía á sus vecindarios. al coronel D. Julián Olivares, al primer comandante del Príncipe D. Cayetano García Olloqui, y al coronel D. Francisco Linage, gobernador de Orduña, PROVINCIA DB VALENCIA. con todos los oficiales de las compañías de cazadores del Príncipe…</t>
  </si>
  <si>
    <t>Fermín, Manuel</t>
  </si>
  <si>
    <t>Manuel Fermín</t>
  </si>
  <si>
    <t>…s, útiles para la primera enseñanza de la juven tud.en las:escuelaa, y necesarias á los que han: de profesar con perfec Una marcha sin descanso y andando toda la noche les puso so ción las bellas letras, auxiliadas coa notas, por D. Manuel Fermín de &amp;- bre el alto de la sierra de Andia, mientras que en la mañana del don é Iturralde. Se hallara á 5 rs. en rústica en la librería de Escribano. H habíamos efectuado nuestra reunión las tres columnas en el va ----- Horrores del fatalismo d el Pílades sideero : poema épico, dividido eD siete cantos.…</t>
  </si>
  <si>
    <t>Fernan</t>
  </si>
  <si>
    <t>…erra con rias , al que se debe gran parte de la independencia nacional, y ese otro de 11 la reacción de los Estuardos, opinó que debían descartarse del dictámen de la de Setiombre , expedido con motivo de querer Bonaparte casar á D. Fernan ■ comisión las razones en que esta lo apoyaba respecto á las leyes de Partida, y do vií con una princesa de Francia. Los españoles, viendo que se trataba de tal ceñirse á solo la resolución de lis Córtes, cómo era costumbre. cosa., no dudaron un momento éü traer á juicio á Fernando; y las Córtes ex…</t>
  </si>
  <si>
    <t>…a clase beneficios? D. Antonio Andreu, graduado de teniente, que aunque herido de gravedad En España ni ha habido ¿rf/íV ni la habrá. Este nombre no puede aplicarse en una pierna no quiso retirarse de la arfiion; D. Miguel Gómez, D. Fernan á una situación, triste á la verdad, pues al cabo son españoles los que han mo do Gil y D. Alejo Basallo, que incorporados á la columna marchaban á Za vido una guerra impía a su patria; pero en la cual ni ha estado ni ha podido ragoza. Igual elogio hace el comandante de esta del subteniente del 9.°…</t>
  </si>
  <si>
    <t>…an menos nado del Sr. D. Felipe tu á la suma de 2.531,105 ducados, á la de 35.505,020 que en otros pasos que á veces se dan; y si el Gobierno se negase entonces á reala bajo el del Sr. D. Felipe v , á la de 41 millona bajo él Sr. D. Fernan responder, el Sr. Procurador ó Procuradores á quien tal aconteciese, en uso de do vr, y á la de 47.740,926 rs. y 6 mrs. en el año de 1691. La comisión no tus facultades, seria dueño de explicarse en el Estamento como el Gobierno ocultará al Estamento ni á L Nación que en algunos años del reinado de…</t>
  </si>
  <si>
    <t>…ión de los em negocios de Hacienda; hacerlo en nombre de la Nación legítimamente repre pleados de los años desde el 20 al 23 ; y sin que mi ánimo sea anticipar mi sentada , que era la que corroborabi todas las operaciones del Sr. D. Fernan opinión, únicamente recuerdo este asunto por si pudiese algún tanto aumen do vil, y que en el mismo dia se contraíase otro empré&gt;tito por una facción, tar los apuros del Gobierno. por une junta de insurgentes no reconocidos por nadie, y que para conseguir « De todas estas consideraciones parto yo p…</t>
  </si>
  <si>
    <t>…r toda sus acciones hasta el heroismo, presenta igual carácter de elevación y de gran vía un verdadero sistema de instrucción que llene todas las condiciones , ha deza en lo-» acontecimientos que han seguido á la muerte del Señor D. Fernan nombrado una junta de escogidos militares, que deberá ocuparse de presentar do vn (Q. E. E. G-) lo, y tiene preparadas las instrucciones para ios oficiales que han de viajar con En nueve meses ha superado su constancia obstáculos sin cuento; ha des este objeta baratado los planes mejor preparados;…</t>
  </si>
  <si>
    <t>Fernan, Angel</t>
  </si>
  <si>
    <t>Angel Fernan</t>
  </si>
  <si>
    <t>…de Octubre. . reanima cqnsullegada: su nombre ¿ incomparable decisión inspiran, una con . - • . fianza superior á todas las probabilidades; teúnense pocos"," pero valientes, que S. M. la Reina Gobernadora se ha seryfilo reponer i D. Angel Fernan ya en las Azores aniquilaran fuerzas centuplicadas del usurpador. A costa de dez de los Ríos en la plaza de teniente de Corregidor de Madrid con la anti ; sacrificios de tqda especie se prepara una expedición de que! es general en gefe güedad de su título, confirmándole los honores de esta Real aud…</t>
  </si>
  <si>
    <t>Fernan, D</t>
  </si>
  <si>
    <t>D Fernan</t>
  </si>
  <si>
    <t>…terían menos nado del Sr. D. Felipe tu á la suma de 2.531,105 ducados, á la de 35.505,020 que en otros pasos que á veces se dan; y si el Gobierno se negase entonces á reala bajo el del Sr. D. Felipe v , á la de 41 millona bajo él Sr. D. Fernan responder, el Sr. Procurador ó Procuradores á quien tal aconteciese, en uso de do vr, y á la de 47.740,926 rs. y 6 mrs. en el año de 1691. La comisión no tus facultades, seria dueño de explicarse en el Estamento como el Gobierno ocultará al Estamento ni á L Nación que en algunos años del reinado de…</t>
  </si>
  <si>
    <t>…osición de los em negocios de Hacienda; hacerlo en nombre de la Nación legítimamente repre pleados de los años desde el 20 al 23 ; y sin que mi ánimo sea anticipar mi sentada , que era la que corroborabi todas las operaciones del Sr. D. Fernan opinión, únicamente recuerdo este asunto por si pudiese algún tanto aumen do vil, y que en el mismo dia se contraíase otro empré&gt;tito por una facción, tar los apuros del Gobierno. por une junta de insurgentes no reconocidos por nadie, y que para conseguir « De todas estas consideraciones parto yo p…</t>
  </si>
  <si>
    <t>…ordenar toda sus acciones hasta el heroismo, presenta igual carácter de elevación y de gran vía un verdadero sistema de instrucción que llene todas las condiciones , ha deza en lo-» acontecimientos que han seguido á la muerte del Señor D. Fernan nombrado una junta de escogidos militares, que deberá ocuparse de presentar do vn (Q. E. E. G-) lo, y tiene preparadas las instrucciones para ios oficiales que han de viajar con En nueve meses ha superado su constancia obstáculos sin cuento; ha des este objeta baratado los planes mejor preparados;…</t>
  </si>
  <si>
    <t>Fernanda</t>
  </si>
  <si>
    <t>…direcciones. Continué en la persecución de uno de los &gt; or el coronel D Francisco Yarto, y los oficiales adictos á la misma IX Fer grupos principales, al que fui picando su retaguardia todo el d«a 28, dejando nando Norzatzarai , D. Fernanda? Santiago y D Miguel Aiagra, que ordena en nuestro poder tres carros que conducían con víveres , algunas armas y otro* ron las primeras tropas que acudieron bajo el fuego del enemigo: el teniente efectos, sin que las forzadas marchas de estas incansables tropas fueran suficien JX Ignacio Puñet, y l…</t>
  </si>
  <si>
    <t>…o orden 3c" pnneren estad&amp; fieñícTcnV;TTy entrada 3e los Darjara Espafw! El recuerdo de l«í*pre'matur3 y sentida muerte de nuestro augusto daneloit,.prohibiendo que pase ningún buque sin expresa Ucencia del Gran SeSoberano el Sr. D. Fernanda vu (Q. E. E. G.), que dejó en horfandad y des ñor. Al mismo tiempo el v¡rey de Egipto aumenta sus tropas, que ya forman ee nsuelo á toda esta grande nación, no pudo menos de causar este triste efecto un ejército superior ai que tienen algunas de las Potencias europeas: solo de en una corporación Fo…</t>
  </si>
  <si>
    <t>Fernanda, D</t>
  </si>
  <si>
    <t>D Fernanda</t>
  </si>
  <si>
    <t>…dado orden 3c" pnneren estad&amp; fieñícTcnV;TTy entrada 3e los Darjara Espafw! El recuerdo de l«í*pre'matur3 y sentida muerte de nuestro augusto daneloit,.prohibiendo que pase ningún buque sin expresa Ucencia del Gran SeSoberano el Sr. D. Fernanda vu (Q. E. E. G.), que dejó en horfandad y des ñor. Al mismo tiempo el v¡rey de Egipto aumenta sus tropas, que ya forman ee nsuelo á toda esta grande nación, no pudo menos de causar este triste efecto un ejército superior ai que tienen algunas de las Potencias europeas: solo de en una corporación Fo…</t>
  </si>
  <si>
    <t>Fernanda, Infanta Doña Luisa</t>
  </si>
  <si>
    <t>Infanta Doña Luisa Fernanda</t>
  </si>
  <si>
    <t>…talento y i la aplicación; y por último, alentadas las esperanzas de de Enero f 2á de Agosto, en solemnidad de los años y dias de su au los hombres de mérito con la hermosa perspectiva que ofrece la venturosa gusta Hija la Serma. Sra. Infanta Doña Luisa Fernanda, hermana época de libertad, reforma é ilustración que se abre delante de la generación que de la Reina é inmediata sucesora al Trono, se celebre en lo sucesi ahora empieza á desarrollarse: corresponded á la patria con el frutó de vues vo con gala con uniforme y besamanos. De Real órden lo digo á tr…</t>
  </si>
  <si>
    <t>Fernanda, Infanta Doña María Luisa</t>
  </si>
  <si>
    <t>Infanta Doña María Luisa Fernanda</t>
  </si>
  <si>
    <t>…aun á toda clase de'personas* Un tomo en 8.° gusta Hija la Reina nuestra Señora Doña Isabel 11, y en el asiento delan 69? páginas- Se vende en el despacho de la imprenta Statl á 16 rs* en rústica 7 ¿0 cnr tero S. A. R. la Serma. Sra. Infanta Doña María Luisa Fernanda, Her pasta. ——Por providencia delSr. Balsera, teniente corregidor de esta villa, refrendada del mana de la Reina , é inmediata sucésora al trono.! Por el mal tiempo se había escribano Vargas* se cita 4 todos los qué se crean con derecho én concepto dé acreedo dignado mandar S. AL se retirasen las t…</t>
  </si>
  <si>
    <t>Fernanda, Infanta Doña María Xuisa</t>
  </si>
  <si>
    <t>Infanta Doña María Xuisa Fernanda</t>
  </si>
  <si>
    <t>…ue pudie La navegación del rio Sapucahy es uno de los proyectas de (a compañíaran comprómetfef fas muy preciosas vidas de SS. MM. y A- la 'Se formada en Pozo-Alegre: el rio fue explorado y .no se halló eft él ningún oh», renísima Sra. Infanta Doña María Xuisa Fernanda; y que ante tan táculo insuperable. Esta testal iva conducirá después i la navegación de Lcquiñuaugustos y caros objetos ninguna atención merecen las reglas comu- honha que tiene su origen en el distrito Diamantino y corre por todo el distri nepsobre los perjuicios délas incomunica dones sanitarias…</t>
  </si>
  <si>
    <t>Fernanda, Luisa</t>
  </si>
  <si>
    <t>Luisa Fernanda</t>
  </si>
  <si>
    <t>…a aplicación; y por último, alentadas las esperanzas de de Enero f 2á de Agosto, en solemnidad de los años y dias de su au los hombres de mérito con la hermosa perspectiva que ofrece la venturosa gusta Hija la Serma. Sra. Infanta Doña Luisa Fernanda, hermana época de libertad, reforma é ilustración que se abre delante de la generación que de la Reina é inmediata sucesora al Trono, se celebre en lo sucesi ahora empieza á desarrollarse: corresponded á la patria con el frutó de vues vo con gala con uniforme y besamanos. De Real órden lo digo á tr…</t>
  </si>
  <si>
    <t>…tios, si uná.'fic- - Gobernadora hacen 42, f dos que indicó antes de ayer el Sr. Ministro de Ha -ca que en el año 14 les daba una cantidad señalada, ño sé na reducido boy dia cienda: que'-se habían olvidado para la Serma. Infanta Doña Luisa Fernanda son á una tercera ó cuarta parte: este es el mejor barómetro para 'Conocer la ri 44 millones ; do suerte que-por tres asignaciones diferentes vendremos á parar en queza. : " que, se señalan á la corona cuatro millones mas que en los años 14 Y 20; por "Esforzando el Sr. Ministro de Hacienda este arg…</t>
  </si>
  <si>
    <t>…ovedad alguna, yan ejecutado en el mes respectivo, para que S. M., oyendo á ia di S. 54- la. Reirá nuestra Señora Doña Isabel u y S. A. la Serma. Se rección general de Caminos, pueda conocer si se emplea el celo y ac ñora Infanta Doña Luisa Fernanda á las cuatro de la tarde, y S. M. tividad que exige la importancia y utilidad de que se faciliten las la Reirá Gobernadora á las diez de la noche. - - i comunicaciones del reino antiguo de Galicia. Dios guarde á V. E. muchos años. Real Sitio del Pardo 29 de 87 Ultimamente, las disposiciones anterio…</t>
  </si>
  <si>
    <t>Fernanda, Luisa María</t>
  </si>
  <si>
    <t>Luisa María Fernanda</t>
  </si>
  <si>
    <t>…e su por la citada Real academia, por ei acierto con que había tratado la enferme Madre la Reina Gobernadora, y de su Hermana la Sentía. Sra. In- / dad , y por la generosa resolución con que permaneció ca él pueblo del fférelanfa Doña Luisa María Fernanda, se presentó en carretela descubierta, se Hó, cuando de regreso para Barcelona supo que se j^b*a declarado en él él guida de todos lo» generales, oficiales de la plana mayor dé los cuerpos, ede colera y carecía de, facultativo: encarece el caritativo con que él profesor canes, ordenanzas , y demás…</t>
  </si>
  <si>
    <t>Fernanda, María Luisa</t>
  </si>
  <si>
    <t>María Luisa Fernanda</t>
  </si>
  <si>
    <t>…lase de'personas* Un tomo en 8.° gusta Hija la Reina nuestra Señora Doña Isabel 11, y en el asiento delan 69? páginas- Se vende en el despacho de la imprenta Statl á 16 rs* en rústica 7 ¿0 cnr tero S. A. R. la Serma. Sra. Infanta Doña María Luisa Fernanda, Her pasta. ——Por providencia delSr. Balsera, teniente corregidor de esta villa, refrendada del mana de la Reina , é inmediata sucésora al trono.! Por el mal tiempo se había escribano Vargas* se cita 4 todos los qué se crean con derecho én concepto dé acreedo dignado mandar S. AL se retirasen las t…</t>
  </si>
  <si>
    <t>Fernanda, María Xuisa</t>
  </si>
  <si>
    <t>María Xuisa Fernanda</t>
  </si>
  <si>
    <t>…avegación del rio Sapucahy es uno de los proyectas de (a compañíaran comprómetfef fas muy preciosas vidas de SS. MM. y A- la 'Se formada en Pozo-Alegre: el rio fue explorado y .no se halló eft él ningún oh», renísima Sra. Infanta Doña María Xuisa Fernanda; y que ante tan táculo insuperable. Esta testal iva conducirá después i la navegación de Lcquiñuaugustos y caros objetos ninguna atención merecen las reglas comu- honha que tiene su origen en el distrito Diamantino y corre por todo el distri nepsobre los perjuicios délas incomunica dones sanitarias…</t>
  </si>
  <si>
    <t>Fernandez</t>
  </si>
  <si>
    <t>…desconocido hasta ahora en aquéllos países, ha producido algunas-defectúosas &gt; las cuales.no se han Incluido cu esta colección; porque siendo la .los dulces sentimientos del amor paterno y del amor filial;de modo que en idea del Sr. Fernandez publicar únicamente lo que pudiese servir de modelo y dar vez de aerificar en el día los hijos a la holgazanería, al orgullo y á las supers una alta idea de nuestra poesía fr los extraneeros, el publicarlas rodas habría sido au tición», los crían y educan con el mas tierno cariño. Han edificado ald…</t>
  </si>
  <si>
    <t>Fernandez, Agueda</t>
  </si>
  <si>
    <t>Agueda Fernandez</t>
  </si>
  <si>
    <t>…esor general de Xa Real casa y .si tio del Pardo , y por la escribanía de Sáenx Tobía se cita á las personas que se crean Parte sanitario de 13 de Octubre. cpn derecho á los bienes que han quedado por fallecimiento abintestato de Doña Agueda Fernandez, viuda de P. José Alvarez, conserge que fue de las Reales caballerizas dé dicho sitió, para que en el preciso término de 20 dias acudan por sí ó por apoderado Pueblos. Dias. Enfermos. Curados. Fallecidos. á deducirle en la audiencia del expresado juez, con apercibimiento dé que no verifi / cándolo…</t>
  </si>
  <si>
    <t>Fernandez, Ana María</t>
  </si>
  <si>
    <t>Ana María Fernandez</t>
  </si>
  <si>
    <t>…el ministerio que se le ha dada del escribano Romeral, se cita á todas las personas que se cread con derecho á los ofrecido. Su hermano, que ayer asistió á la tertulia de Mr. Dupin, ha dado bienes &lt;?&lt;&gt;* han quedado por muerte de Doña Ana María Fernandez, viuda de D. Juan Aguado Muzqútz. á fin de que en el término de 30 días se presenten á deducirle ante esta noticia i todos los concurrentes. (Idetfi.) el referidq. juez; con apercibimiento que de no baeerlo les parará perjuicio. EN LA fMPRENTA REAL.</t>
  </si>
  <si>
    <t>Fernandez, Cesáreo</t>
  </si>
  <si>
    <t>Cesáreo Fernandez</t>
  </si>
  <si>
    <t>…varias contestaciones entro S. Felipe de Játiva al cesante D. Pedro Juan Cardenal: la de Aranda de Due aquella corporación y el alcalde mayor de Caspe, bajo cuya inspección y au ro al cesante D. Lucas de la Maza: la de Pamplona á D. Cesáreo Fernandez toridad había de realizarse el proyecto, sobre el punto donde debía tomar el de Aceilana, administrador de la renta en Miranda de Ebro: la plaza de ofi agua la acequia que se intentaba construir; y en su consecuencia se comunicó cial 15.a de las oficinas dé la dirección general alcesante D.. José M…</t>
  </si>
  <si>
    <t>Fernandez, Claudio</t>
  </si>
  <si>
    <t>Claudio Fernandez</t>
  </si>
  <si>
    <t>…misma a D. José Sánchez Ocaña y ' {Continuación del correo anterior.) al marques de Villagarcía: para la de gefe de la quima sección á Don Leoncio Macragh: para gefes de mesa de la misma á D. Juan ALEMANIA. ■Fernandez del Pino y D. Claudio Fernandez: para la de gefe de la Gran datada de Hase-Darmstadt 27 de Jinda. sexta sección á D. Ignacio Duran: para las de gefes de mesa de la Ayer se trató en la Cámara de los Comunes de la fortaleza de Maguncia. Se misma á D. Diego López Ballesteros, D. Manuel Lacerda y D. Mi acordó suplicar al gobierno ten…</t>
  </si>
  <si>
    <t>Fernandez, D Luis</t>
  </si>
  <si>
    <t>D Luis Fernandez</t>
  </si>
  <si>
    <t>…Ta les (cuentos de Altrive) se ha empezado 4 publicar en-1832, y debe constar , Ei comandante general ele las dos Riojss traslada por extraordinario el de 12 volúmenes. .. V .^ ... siguiente parte fue le lia sido, dirigido por el general D. Luis Fernandez 'de ' Las obras dé'Hogg no pueden dejar de presentar átnplia materia 4 la Córdoba, con fecha del dialó.' crítica rutinera ^ compasada que juzg* en rirtutfjde reglas convenidas, y de las Las tropas de jpi tniudo tuvieron ayer dos encarnizados combates con críales no es licitó'separarse so pena de anatema: El…</t>
  </si>
  <si>
    <t>Fernandez, El Excmo Sr D Luis</t>
  </si>
  <si>
    <t>El Excmo Sr D Luis Fernandez</t>
  </si>
  <si>
    <t>…ha explicado sobre esta asunto : el ejemplo que le ha dado el Electorado El comandante general de Navarra en 4 del corriente dice-lo que sigue: cíe Hesse le guiará sin duda en su resolución. En cuanto á la repentina exone Excmo. Sr.: El Excmo. Sr. D. Luis Fernandez de Córdoba, comandan ración de Mr. de Meisterleín, presidente del ministerio de Hacienda de este du te general de la 3.* división del ejército de mi-interino-mando-, con fecha 30 cado, no sabemos qué pensar. ¡Será por.ventura una concesión hecha álos Es de Setiembre próximo pasado desde su cuartel gen…</t>
  </si>
  <si>
    <t>Fernandez, Francisco</t>
  </si>
  <si>
    <t>Francisco Fernandez</t>
  </si>
  <si>
    <t>…xpedido los si empeñaron; ha resuelto b. M. declarar libres de quinta* a todo* aquellos que guiente*; , _ sírvan honradamente los cual re» año* señalado* , en atención a que no marcan Queriendo dar una prueba de mi Real aprecio á D. Francisco Fernandez lus interesados ci tiempo por que se ein^Kuan , y s; esta deterrm -.ado por u .a del Pino por los servicios que ha contraído y decidida adhesión que profesa a resolución soberana. Iodo lo que de Rcai orden digo a % . E. para que ha^.en-¡ mí augusta Hija la Ri-jsa Doña ls\at.L n, en su nombre corno…</t>
  </si>
  <si>
    <t>Fernandez, Ignacio</t>
  </si>
  <si>
    <t>Ignacio Fernandez</t>
  </si>
  <si>
    <t>…puestas por Balaguer en la hiladura de la seda, se re Asimismo se ha dignado S. M conferir la estafeta de Patencia al oficomienden á los gobernadores civiles de Valencia, Alicante, Castellón de la Cral 2.® de la principal de Lugo D. Ignacio Fernandez; esta plaza á D. Anto Plana , Zaragoza, Huesca y Teruel, para que dándoles lá conveniente publi nio Díaz, interventor de la renta-en el Ferrol, reemplazándole D- Gabriel cidad , exciten por los medios, posibles á los fabricantes y cosecheros de sus res Rebellón, administrador de la estafeta de Vive…</t>
  </si>
  <si>
    <t>Fernandez, IX Mateo</t>
  </si>
  <si>
    <t>IX Mateo Fernandez</t>
  </si>
  <si>
    <t>…la guerrilla de su arma j y en fin. rock*.. pues todos han rivalizad* VJfaí aquel puntó, IBinéndolo yo por ti centra con los 25- caballos de «q decisáon al grito eléctrico de tréa /sas&amp;l ir." U Rei&amp;*, al mando ^ ca^an e| teofeate coronel IX Mateo Fernandez, y Todo lo que traslado á V, E. para conocimiento da S. M., no pudimda teniente el capitán £&gt;. José Hod!rijp&gt;eif, alguno* húsares de la Princesa al del mecos de recomendar muy. eficazmente la incansable actividad del teniente coalférez IX Pablo Mantilla, y cabo I&gt; Juan EscansilU. lóael CUrefiía ea…</t>
  </si>
  <si>
    <t>Fernandez, Juan</t>
  </si>
  <si>
    <t>Juan Fernandez</t>
  </si>
  <si>
    <t>…——Por providencia del Sr. de Norzagaray, teniente de corregidor de esta villa, re frendada de Gaona y Loeches, escrlbanrt de! número de la misma, seelta a D. Miguel - Puebles. Pili. Enfermos. Curados. Fallecidos. Perez Casasolar. D. Juan Fernandez, D Juan Manuel Gómez, D. Luis García Chabarti, tesorero de anualidades y medias anatas, y al director de la Real Caja de Amortiza ■ i ......... ción 4 cuyo favor fue endosado el vale Real consolidado de 100 pesos, de la creación de 1 o de Setiembre dé 1830, núm. 81,076, para.que dentro del termino…</t>
  </si>
  <si>
    <t>…bastian Artajona; los LóndresVi ¿ i®* á o0 dias, Bilbao,ib. par. Santiago,Santander*1 $d.b* á 4 p. 100 al afta. cabos primeros de fusileros Miguel Lor y Gerónimo Romeo, y todos los in dividuos de la caballería, particularmente el sargento 2.® Juan Fernandez, y el soldado Jasé Sillero. ANUNCIOS. Se han cerrado los baños de Amedillo para evitar lósperfuicios que podría causar ESTADO SANITARIO DEL REINO. 1a afluencia de personas procedentes de los puntos en donde se padecen enfermedades sos pech osas. PROVINCIA I1S ALICANTE. *-----£1 ayuntamiento y junta…</t>
  </si>
  <si>
    <t>Fernandez, Justo</t>
  </si>
  <si>
    <t>Justo Fernandez</t>
  </si>
  <si>
    <t>…D. Vicente -de Orche -había sido «invadida *^asi eotnodas de Tórtola^ y las«de. Algoraxy ArGarcía Socasa , y D* José García á los voluntarios D. Juan Pardo, D. Apo - eos, del .partido de .Sigüenza. linar Garda* D- Gabriel Trucha* D. Justo Fernandez, menor, D. Manuel de ¡PROVINCIA DE KADRID. la Peña, D. Gabriel de Ve lasco , D. Lázaro de Arredondo, D. Gil García, D. Indalecio del Corral, D. Miguel Garmilla, D. Manuel Zorrilla; y en Del parte recibido el dia'20 del actual en el«3*ebíern©.'civil&gt;de».esta propartícularal capitán de Betanzos O. Vi…</t>
  </si>
  <si>
    <t>Fernandez, Leandro</t>
  </si>
  <si>
    <t>Leandro Fernandez</t>
  </si>
  <si>
    <t>…........................ Madrid. [.exposición de la Real academia de buenas lclras.de Sevilla,. juntamente con dos. 2,467. . ............ 500.................................... Retí». | ejemplares impresos del ^Juicio erítico de D.;. Leandro Fernandez, de Crluruí m, 12.718.. ............ 500......... Sevilla. ^ I obra que ha.sido premiada por dicho cuerpo literario. El elogio de |ino de los 607.. ............ 500..................... Earcelona. [ mas ciatos.-ingenios que ha.- producido España en nuestros días , no podía menos 7,511.. ______ 500.…</t>
  </si>
  <si>
    <t>Fernandez, Lucas</t>
  </si>
  <si>
    <t>Lucas Fernandez</t>
  </si>
  <si>
    <t>…e Lorenzo Echard : escrito perecido á no ser por la bizarría del soldado Diego Blanco que le paró dos en ingles, traducidoy aumentado al francés y de este al castellano, que es el único que lanzadas tiradas por retaguardia, y del sargento Lucas Fernandez que acudió el tenemos mas completo en este idioma. Por D. «Francisco Pere y Casado. Tres tomos en 4.0, edición de 1796, £ 39 rs. pasta y 27 rama. primero al pelotón que combatía. Los subtenientes Arocena y CLorio compi tieron en denuedo destrozando la infantería. ' Filosofía política y ó elementos…</t>
  </si>
  <si>
    <t>…, y tuve JParis 11 de Setiembre. la satisfacción de derribar al cabecilla Troñes-, mi ordenanza Venancio Sánchez^ El . cargad Caradoci que acaba de llegar i ésta ciudad, ha escrito al National de I^orbon, á otro que iba con él;el sargento 2.° Lucas Fernandez, al cabecilla para desmentir .las noticias que los carlistas suponen que ha dado sobre la mala Peregil-, el teniente D. Paulino Rubio y el alférez D. Pedro Eced por su par situación de los negocios de la Reina en Navarra. «Jamas, dice el coronel Ca- te persiguieron á tres y les hicieron pagar su cr…</t>
  </si>
  <si>
    <t>Fernandez, Luis</t>
  </si>
  <si>
    <t>Luis Fernandez</t>
  </si>
  <si>
    <t>…cuentos de Altrive) se ha empezado 4 publicar en-1832, y debe constar , Ei comandante general ele las dos Riojss traslada por extraordinario el de 12 volúmenes. .. V .^ ... siguiente parte fue le lia sido, dirigido por el general D. Luis Fernandez 'de ' Las obras dé'Hogg no pueden dejar de presentar átnplia materia 4 la Córdoba, con fecha del dialó.' crítica rutinera ^ compasada que juzg* en rirtutfjde reglas convenidas, y de las Las tropas de jpi tniudo tuvieron ayer dos encarnizados combates con críales no es licitó'separarse so pena de anatema: El…</t>
  </si>
  <si>
    <t>Fernandez, Manuel Jacobo</t>
  </si>
  <si>
    <t>Manuel Jacobo Fernandez</t>
  </si>
  <si>
    <t>…gundos, 11 tambores, 2 cornetas, 48 , GALICIA. cabos y 372 soldados; en todo 3 oficiales, un cirujano y 455 hombres de tro pa. S. M. dejó en plena libertad á dichos individuos para disponer de su suer Caldas de Reyes y de Cuntís. D. Manuel Jacobo Fernandez, en Santiago: te ; únicamente había prevenido al gobernador de Caí ¿rgena que les advirtiese desde l.° de Julio a 30 de Setiembre. que S&gt;. M. aceptaría los servicios de los que voluntariamente quisiesen prestarlos Candelas de Tuy. D. Victo González, en Vigo : desde 1.® de Julio á fin en favor de la…</t>
  </si>
  <si>
    <t>Fernandez, Marcos</t>
  </si>
  <si>
    <t>Marcos Fernandez</t>
  </si>
  <si>
    <t>…r lo mismo p¡— sobre el proyecto de ley, relativo al sistema monetario , por Presidente de ella den que establecida la igualdad se considere á los funcionarios de la época cons al Sr. D. José Fontagud Gargollo, y por Secretario á D. Marcos Fernandez titucional con las pensiones ó sueldos de su clase , y que el Gobierno se pro Blanco. f nuncíe por este acto de justicia, siguiendo el ejemplo de otras naciones cultas: El Estamento quedó enterado. , &lt;fc este modo saldrán muchos de una situación que toca en la miseria y.deses El Sr. Presidente anun…</t>
  </si>
  <si>
    <t>Fernandez, Martin</t>
  </si>
  <si>
    <t>Martin Fernandez</t>
  </si>
  <si>
    <t>…s de lar administración : Ja t tonio Majr^rítqig marques de lis Amarillas; obispo de Barcelona; D. Javier Burdivisión del territorio, la separaciou y deslinde cintré la parte ad d^Ofafia; D. José María Puig; conde de Casa-Sarria; D. Martin Fernandez ministrativa y la judicial, la supresión de antiguos Consejos y las nuevas Audiencias creadas en beneficio de algunaa-Rrovincias;-le#’’-1 láavarrelérpítriarca de las Indias; conde de Venadito; D. Ignacio de la Pezuemuchas trabas que se han quitado al desarrollo de la riqueza públi la; D. Juan Alvar…</t>
  </si>
  <si>
    <t>Fernandez, Pió</t>
  </si>
  <si>
    <t>Pió Fernandez</t>
  </si>
  <si>
    <t>…nes ocurrida con motivo del fallecimiento del Sr. D. Fernando vtt, y de ia cial de la contaduría de Almena, vacante por cesantía de D. Juan Cuervo, á reedificación del teatro; y S. M., en vista de las necesidades' de la compañíj, D. Pió Fernandez, cesante de la de Avila. . se ha dignado concederla su Real permiso para diez Ipailes públicos de másca ras en el inmediato carnaval, contribuyendo con alguqa parte de los productos de estas funciones al'socorro de los establecimientos de beneficencia mas nece La junta Sindical del colegio de Agent…</t>
  </si>
  <si>
    <t>Fernandez, Ramón</t>
  </si>
  <si>
    <t>Ramón Fernandez</t>
  </si>
  <si>
    <t>…nanda .y Don Curso eompleto de Gramftica- parda. Por D. Ranjon Soler, 2.a'edic¡on: Francisco Noto»; al granadero del 1? batallón de la Guardia Real provincial Un torno en 8.° (I). v * AIonso Neiro, que fue herido de un balazo; al sargento Ramón Fernandez, Este opúsculo, que ya ha obtenido los honores de la reimpresión, aunque Andrea Novo, Ramón de Prado y José Piraentel. pertenece al género satírico, ni peca por el vició de la mordacidad , ni es uno de aquellos libros condenados á perecer en la tienda pop-la frivolidad, Hésu malcría. - ESTADO SANrí…</t>
  </si>
  <si>
    <t>Fernandez, Teodoro</t>
  </si>
  <si>
    <t>Teodoro Fernandez</t>
  </si>
  <si>
    <t>…ma de Bellini. tos urbanos de esta villa bajo las órdenes del teniente coronel gra Se admiten suscripciones-, á razón de 36 rs. por cada trimestre, en los almacenes de música de esta corte, eo donde se bailarán de venta las duado D. Teodoro Fernandez, del regimiento l.° de ligeros, que piezas ya-publicadas, y se dará el prospecto gratis, y en las principales accidentalmente se halla en esta población para tomar el mando de librerías de las provincias. la columna referida. Y como crea del mejor ínteres llegue á cono -----Cuestiones críticas sobr…</t>
  </si>
  <si>
    <t>Fernandez, Valentín</t>
  </si>
  <si>
    <t>Valentín Fernandez</t>
  </si>
  <si>
    <t>…e ^ presidente, y ét los 1 5 dias lo derribó su predecesor con la fuerza de las bayo que prueba U variedad de temperatura. netas. La Convención que eligió al presidente destronado fue di.persad» y per Vi la fábrica de curtidos de D. Valentín Fernandez, de Ponferrada, el coal, seguida, y U capital quedó en poder de la facción; pero al cabo de algunos intenta suplir la casca que se echa en los nogues con la arandaneray se 1*^ dias el partido de la Convención volvió-á hacerse dueño de la capital á fuerza sonjea que ha de conseguir un resultado favo…</t>
  </si>
  <si>
    <t>Fernando</t>
  </si>
  <si>
    <t>…bul ii , a •n la ’ dar que re'panMINISTERIO 1&gt;E LA GUERRA. decc v bondad que resalta en el gobierna de su R ;\a .Madre: Cass -\Íjc estad es que son para la España lo que la aurora y c! so. \para !a tierra. Reales órdenes. El .Sr. D. Fernando vn, aun desde la mi *&gt;n misma Jei rm eterno, parece e&gt;tar continuando su* paternales de-vu.- que tuvo en \o ia p r ,i clona Cpn fecha de hoy se circula por el ministerio de la Guerra á los capitanes y prosperidad de esU nación, habiendo dejad.' n las Reales mar.o de V. M. y comandantes generales y…</t>
  </si>
  <si>
    <t>…el párrafo 16 de muchas cuestiones, y entre Rkika nuestra Señora Doña Isabel. ii en los mismos términos que lo estaba •lias de la otomana, la Cámara enuncia un principio general que no compromete cerca del difunto Monarca el Sr. D. Fernando vii (Q. E. F. G &gt; S. M. , en al gobierno, pero que le obliga á estar alerta sobre todo lo que interesa ó pue este solemne acto , se dignó manifestar a dicho distinguido-dip.omático el apre da interesar á la nación: porque siempre que se quebranten los tratados ó se cio que hacia de sus cualidades p…</t>
  </si>
  <si>
    <t>…tema de gobierno cuando volvió de Valcn- blo apóstol. Contiene las Instrucciones de S. Cárlos Borroifleo, él discurso místico v moral del bcMo Leonardo de Puerto Mauricio, y el tratado de asistir y aoxiliar á lo* qey S- M. el Rey D. Fernando vn. Ninguno de ios nombres funestos, que en moribundos: traducido al castel ano por D, Juan Pta2 de Baeza, presbítero, uoJtomá aquella época de irritación se impusieron recíprocamente los partido*', se halla en 8.° Se vende en Madrid en la librería de Viana; Sevilla en la de Hidalgo; Cádiz, una sol…</t>
  </si>
  <si>
    <t>…r las debidas gracias á S. M., por cuya dilatada vida, salud y feliz Señora: Pasando ya el natural termino del dolor en que U temprana muergobierno dirijo mis votos y oraciones al Todopoderoso. te de nuestro amado Soberano el Sr. D. Fernando vu (Q. E. G. K.) sumergió 'Dios guarde á V. E. muchos anos. Barbasiro l/ de Diciembre de 1833. á todos sus leales súbditos; después que este ayuntamiento de Molina, capital Jaime, obispo.rrExcmo. Sr. Secretario del Despacho de Gracia y Justicia. d* vuestro Real señorío, cumplió con sus primeros deh…</t>
  </si>
  <si>
    <t>…sus fueas con los franceses; miento y voluntad de la nación en las Cortes de 1789 : lo es por la disposísin embargo preparan baterías, ejercitan la milicia, hacen a-as y provisiones,y cion testamentaria de su augusto Padre el Sr. D. Fernando vir; y como tai en todo se dan el aire de intentar una resistencia. Si tal su»diese, los franceses Reina y Señora nuestra está reconocida y jurada de la manera mas pública v residentes aquí tendrían que huir, porque á pesar de las segridades dadas por A solemne en las célebres Cortes de Madrid de e…</t>
  </si>
  <si>
    <t>…se dirigía hacia la Cevoliera y Cañadilla, dispuse Nuestra eterna gratitud debe recordarnos muy particularmente en este día mi marcha esta madrugada con dirección á estos pueblos, y habiendo pa£a¿6 Ja memoria del gran Rey el Sr. D. Fernando vu, que fue el padre de la pa per ambos, supe que efectivamente estuvo sobre las diez de U n&lt;xhc en el se tria: ha dejado de existir bajando á la tunyba; p=ro su memoria vivirá eterna gundo, v que después de haber extraído raciones se háSian dirigido hacia Bel mente en nuestros corazones, reconocid…</t>
  </si>
  <si>
    <t>…do que todo capitán de buque que entre cn el puerto de Baltimore he renovado nuestras relaciones diplomáticas con el Portugal. declare bajo juramento, á las 24 horas de haber fondeado y á presencia del cor En España la muerte del Rey Fernando vu ha llamado al'trono á ia Prin regidor., el nombre y profesión de cada uno de los pasageros que traiga, y en cesa mí hija : yo me he apresurado á reconocer á la Reina Isabel ti coa la es-» caso de falsedad ó de omisión pague 20 pesos fuertes de multa por cada pasa - peranza de que este pronto rec…</t>
  </si>
  <si>
    <t>…drid 3 de Prbrtro. guarnición, ll*0 granaderos provinciales de la guardia Real pertenecientes á U de la Puebla y 25 caballos, había atacado el día 27 en el pueblo de Oquina En 16 &lt;fe Jubfo del afio próxímó pasado S. M. el Sr. Rey D. Fernando vh á la facción del cabecilla Luzurlaga, á la que sin embargo de haber huido ^co I U sífVió aütóffiífr ‘l D. Josef María'.deY Castillo, abogado de los Reales con- bardemente pudo cogerle á su aproximación 4 cajones de municiones, una caja se'jo* y promiótcrfl'fisial de la subdelegado!* de montes y…</t>
  </si>
  <si>
    <t>…ión por los imprescriptibles derechos de-1* Rjuva nuesír*.Se Atil:; y por ultimo, que siendo el día de. pasado mañana el de nuestro difunto ñora Doña Isabel ii, encontrarán en mi digno sucesor un gefe franco j- un Soberano el Sr. D. Fernando vii , deseaba S. E. al concluir su mando solemni padre amoroso decidido á premiar las virtudes que caracterizan á este leal ejérzarlo de un modo digno de la grata memoria de'un Monarca, particularmente cito.=Ricafort^= Alejandro Araná, secretario. djstinguido por la bondad de su corazón,.y que nada…</t>
  </si>
  <si>
    <t>…a cuestión de suce~ aquellas en que no es 'poaesario descender á pormenores, desentrañar los hechos; tion t sino de principios* una de aquellas causas en que los Estados , por el instinto de su propia conser «La respuesta del Sr. D. Fernando vii estaba llena de dignidad; y reci vación , tienen que pronunciar el fallo. bió del modo debido da indicación de dar parle de esta protesta i los Sobe ‘ ;i ^Mirando, pues,hajo este aspecto la cuestión presente, entremos á obser- ranos. ta.r cuál ha sido,Ia conducta del Principe, y á presentarla b…</t>
  </si>
  <si>
    <t>…ipadamente este nudo, y se esperaba á la muerte de los Reyes; a la hembra; y que por lo tanto, el cetro deCaslíRa no pertenecía á Doña de «te modo se evitaba el que hubiese la menor suspensión en la autoridad Real, Isabel, sino á D. Fernando, por los derechos que había heredado de sa Padre. en esta autoridad eminentemente tutelar y conservadora , que no puede cesar «Este es el único ejemplo que presenta nuestra historia de haberse que un solo instante sin que se conmueva el Estado. rido suscitar dudas acerca del derecho de las hembras.…</t>
  </si>
  <si>
    <t>…s la dignidad mamente enlazaíhhéón si triunfo de la causa de la -Reina nuestra Señora; y suprema del reino, á la cual se sucede con arreglo .á las leyes- establecidas en al-momento ihisiño de recibir la nueva de la muerte del Sr. D. Fernando vn, pro comunal del Estada La Opción, la espectétiva á heredar la corona es un ofreció á laaugusta hertdéra de so tronó el apoyo mats firme y sincero. La derecho político que no^puede equiparme con los derechos civiles, nt está su Ftencía aplaudió uníniiqe esta noble decisión de su Rey ; y España n…</t>
  </si>
  <si>
    <t>…por personas que lodos conocer, «No era precisp expresarlo en ei proyecto, porque claro es que, con arre mos, y cuyos noíVjldcs no quiero pronunciar en este recinto por no profana rJo; glo á citas leyes, ¿ falta de dos hijas del Sr. £&gt;. Fernando vu entraña á rei hay mas, que si I^quitar toda esperanza del trono a D. Carlos y a su deseen-, nar, la línea n&gt;a$ próxima , saltando por la de D. Cárlos, excluida como id denciano coKcluye la guerra civil; ni nosotros hasta cierto punto podriamqs. quedará por todos Jos poderes del Estado. ¿Para qué…</t>
  </si>
  <si>
    <t>…as. Apenas- fiado hacerse litas hasta el alio de 829, en el Viluma, con'retencion del gobierno civil de esta provincia. - que fue invitado el autor á continuar s¿js tardas bajo la protección y con el au xilio del Gobierno. El Sr. D. Fernando vu (Q. E. E. G&gt;) le honró, sobremanera acogiendo bondadosamente y dignándose manifestar qué había visto con el mayor aprecioPartes recibidos en les secretaria de Estado y del Despacho Je la Guerra. la memoria que se le presentó por mano de su Secretario de Estado y deLJDcsEl comandante general de l…</t>
  </si>
  <si>
    <t>…medias ga la misma. (Id.) la quev se observaban anteriormente, por haber trascurrido ei medio año de _ admitiendo la dimhion que ha hecho de su destino el Sr. de Rubianes, sub luto riguroso desde el fallecimiento de S- M. el Sr. D. Fernando vu (Q. E. delegado del Fomento de la O'rufu , v mandando se pub.ique en la Gaceta R G.) (Id.) la generoidad con que ha cedido sus sueldos en favor del Estado, (id.) 1- estableciendo reglas uniformes que fijen las relaciones que los estableci nomhranHo subdelegados del Fomento de las provincia* de A…</t>
  </si>
  <si>
    <t>…medias ga la misma. (Id.) la quev se observaban anteriormente, por haber trascurrido ei medio año de _ admitiendo la dimhion que ha hecho de su destino el Sr. de Rubianes, sub luto riguroso desde el fallecimiento de S- M. el Sr. D. Fernando vu (Q. E. delegado del Fomento de la O'ruru , v mandando se pub.ique en la Gaceta R G.) (Id.) la generoidad con que ha cedido sus sueldos en favor del Estado, (id.) 1- estableciendo reglas uniformes que fijen las relaciones que los estableci nomhranHo subdelegados del Fomento de las provincia» de A…</t>
  </si>
  <si>
    <t>…yéndose solo í las necesidades del país, y prescindien J2 , celebradas en Cádiz, se resolvió y decretó, tratándose de la sucesión i la do absolutamente de lo que pudiera tener relación con las naciones extranjeras. Corona del Sr. D. Fernando vil .quesería por línea recta masculina, pero que Ha indicado sus Ideas de un modo general, porque sabe que en lo sucesivo han en &gt;u defecto se seguiría rigorosamente U línea femenina- Contra tan solemne da venar las discusiones sobre los mismos asuntos, y ha contraído sus observa decisión , en una…</t>
  </si>
  <si>
    <t>…a en uno ó otro alguno de aquellos, el cual en este caso tiene derecho Kl relator de la comisión contestó que esa expresión aludia á la tarifa que á manifestar su opinión particular. se hizo en el año 2 5' por el Gobierno drl Sr. D. Fernando vii; pero que (a Et J*r. Calderón Cotiantesi «Habiendo habido en las prolijas sesiones que comisión se convenia en suprimir dicha expresión. ha tenido la comisión sobré el señalamiento de la dotación á la Real familia El Sr. Secretarío de) Despacho de Hacienda preguntó vi ro había algún distintas o…</t>
  </si>
  <si>
    <t>…-'' que se pub.iquen , y si se ¡e* despotismo ¿ ilustración a un tiempo, tralo'de cercenar las facultades del Con ye-en se escandalizaría todo ci m-itivl.' de que en e¡ ano de no se permita sejo de Gobierno, instituido por el Sr. D. Fernando vit. Entonces la prensa imnrhnir lo que ellos contienen. N ^ traía de expresiones ni de frases, sino periódica se presentó con valor á defender al mismo consejo y sus atribuciones, de materias. Sobre la misma libertad de imprenta ha hab-do censor en Madrid á quien aquel.a adminislrac on denominaba…</t>
  </si>
  <si>
    <t>…estino le puso en el glorioso peligro de perder la vida por orden las cosas humanas. del Príncipe Murat el día 3 de Mayo de 18U8, irritado de que se hubiese puesto en dicho periódico un artículo relativo a la proclamación del Sr. Don Fernando vi i en la ciudad de León. bolsa SE comercio.__Cotización de hoy á las tres de la tarde. En l.° de Diciembre dei mismo afio salió de la corte, con el objeto de seguir al Gobierno español, abandonando á su familia, precisamente en el mo EFBCTOS PUBLICOS. mento en que su esposa quedaba accidentada: p…</t>
  </si>
  <si>
    <t>…la Real sociedad de amigos del rector, José María Sánchez Chavés.r=El secretario, José María de^Cüeltar.—---- país de esta capital: erigida por el virtuoso Cirios nt, protegida porjsu au gusto hijo Carlos iv, y honrada por el Sr. D. Fernando vn (Q. E. G. E.), ha desempeñado el objeto de su instituto sirviendo al Rey y i la Pátria: todos ios años en los dias de S. M. ha celebrado sesión pfiblica para premiar el méri Tratado de los Sofismas, sacado de los manuscritos de Jeremías Ben— to y la aplicación; y en este ha señalado para tan sol…</t>
  </si>
  <si>
    <t>…lar por el bien del mismo pueblo que bas del crimen de alta traición cometido por aquel mal aconsejado príncipe. »e sotnete á su dominio. Es un principio de eterna verdad que donde reside Vivía y reinaba su augusto hermano el Sr. D. Fernando vn (Q- E. P. D.) aptitud para conceder derechos, ha dc/haberla También p*ra derogarles. Y esta cuando ya te empezaron i urdir tramas contra la segundad del trono y del Es es la práctica que siguen las Naciones desde el momento que asi lo exige su tado poruña faction rebelde y sanguinaria: crecían y…</t>
  </si>
  <si>
    <t>…e ahorar. , individuóde bita qué ascendíase ai trono, el ipcoaveriiCDteerá el Élcdridestablcíd» GastillaRuylopez fflvtUm «n *U 4rtílgí ti ;pató» siste?HÁ de £&gt;vCáríot es mdstem&amp;I* qbt I&gt;.Cáf¡ot fHÍJtno, dtjo cnioncei S. S., ,cipe D. Fernando .durante ia minoría ideíJ.Juui el n, la proclama* y yo lo repitoahoril y«U «la única razón, 1* de laconvétuenebr públi ba , diciendo qne siempre debían otar todos sujetoslí.lo -que b utilidad pó~ ca, laque yó quisiera te adoptase para la ékclosion. Nada de apelar^alderé-- bliea pidiese como justo.…</t>
  </si>
  <si>
    <t>…en, 10. Que todavía seria mas extraño el aplicar áeste género de transaccio un fondo que no habia, puesto que el tesoro Real no existió hasta que el Rey nes la ley de lesión enorme, y mucho mas la de usura, sobre todo cuando^ no D. Fernando vil salió de Cádiz, y por un ácto de su autoridad suprema lo res estarían seguramente exentos de ésos mismos vicios los demás ¡empréstitos en tableció. No entraron pues en éL éstas cantidades , sino que se suministraron á cuyo reconocimiento se ha convenido. * ^ las personas encargadas de hacer la…</t>
  </si>
  <si>
    <t>…trario las consecuencias *er¡an:terr¡bUs..; ¡ .-j. blica. ■ ■/ ' ' • /" ' «Cuarto vició' dé este empréstito: que fue dcrog*dp„pot;.qp decreto oe . «Si recorocemós este empréstito., adoptamos prúsicamente el principio S. M. el Sr. D. Fernando vite y Jo fue contodasolemnjdad1:;lQómp1,,pq^, de que ja. Nación es responsable de los contratos que establezcan sus Gobier nosotros, si tomásembs dos balánzasíguaUs-para pesar los argumentos engrio y nos,'y esto da seguridad á los contratantes', y crédito .i la Nación :el crédito, en contra, de és…</t>
  </si>
  <si>
    <t>…punto; y solo sí se grande obstáculo consiste en su mala causa, y en no responder la Nación á su ha tratado de la legitimidad ó ilegitimidad de un acto que si no habia sido con llamamiento é insinuaciones. cluido por S. M. el br. D. Fernando vn cuando se hallaba restituido á la que *»En orden á la razón que le e$ persona!, y ha indicado el Sr. Ferrer, do sí llamaba plenitud de sus derechos, fue á lo menos aprobado y reconocido por haber votado en Cádiz que no se reconocería ningún empréstito, es seguro qu« él del modo mis explícito. Po…</t>
  </si>
  <si>
    <t>…or extraordinario y plenipotenciaDios. Todos están decididos á hacer mil pedazos al infame que intente siquiera rio del Rey de los franceses, presentó ames de ayer, en el palacio de invierno, no venerar la última voluntad del Sr. D. Fernando vil (Q. E. E. O-)', y sus credenciales á nuestro Emperador: concluida la audiencia fueron presentados vuestro fiel ayuntamiento de Matanzas, mientras cuente con el honor de tener á S. M. I. el barón Larne y el marques de Chasseloup-Laubat, ayudantes dei á su cabeza un gefe tan virtuoso y tan agrade…</t>
  </si>
  <si>
    <t>…á Dios ¿a^ 'nombre del suspirado y amado Rey que el Señor tuvo á bien llamar para sí; cesantemenle por ei cícir.o descanso de nuestro difunto Monarca el Señor Don labora os hablo en nombre dc.su amada Hija la Rkina nuestra Señora Doña Fernando vil, por la salud y larga vida de nuestra augusta Soberana Dó4k| ¡ Isabel il (¡Q. D. G4) , á quien él mismo nos designo por Sus.c*ura, y de »u Is\bll u, por U pro'per íi; v UvierJj en su gobierno de nuí'tra Rliva Grt-j [augüsit^Madre la Reina Gobernadora, señalada por él mismo Rey su augus- bernado…</t>
  </si>
  <si>
    <t>…mo. Sr.=A:Uonio , obispo de Alai. wiun. br. D. J-an C.i■ ja. oertsduque Presidente del consejo Real, para comunicar á aquel supremo tribunal González, ministro de Gracia \ Justina. las cláusulas del testamento otorgado por el Sr. D. Fernando vn en 12 de Ju nio de 1830, y en virtud de los cuales nuestro difunto Soberano instituye a su Excmo Sr. : He recibido c m el nu\or aprecio la exprés S. M. augusta Esposa Regenta y Gobernadora de esos reinos, durante la menor edad la Reina Gobernadora se sirve honrarme , rcm.nerd. me p Y. 1de su exc…</t>
  </si>
  <si>
    <t>…e en las Reales proclamaciones, para advertir al pueblo que presar su profundo dolor por la temprana y sentida muerte del mejor de los ha de estar pronto á militar á la sombra de tal bandera, y á sacrificar sus vidas Reyes el br. D. Fernando vn (Q. E. E. G ), y á jurar obediencia y respero en defensa de sus Reyes, si necesario fuese. eterno a su augusta sucesora la Reina nuestra Señora Doña Ra^hl ii y á Asi lo harían los habitantes de Tenerife; pero estos esperan que no serán V. M. como Reina Gobernadora durante su menor edad. necesari…</t>
  </si>
  <si>
    <t>…xposición, en que después de expresar su dolor por ia tem por plcard y Mazerez, y arreglada al teatro español por A. G. Se vende á 4 rs. en y Piferrer. en Barcelona rústica en la librería en la de de Calleja, prana muerte del Sr. D. Fernando vn (Q. E. E. G.), felicita á S. M. por el con por de Haciendo, aplicación D. Josef Canga Arguelles, á España, ——Diccionario advenimiento al trono de la Reina nuestra Señora Doña Isabel h , bajo la ministro jubi ado del consejo supremo de las ladias. Esta obra, que es U primera de tutela de su augus…</t>
  </si>
  <si>
    <t>…orrerá voluntaria ñores Infantes. y respetuosamente á rendir á su legítima e idolatrada Reina los homenajes le gales con tanta justicia debidos, cuando en su cumplimiento halla un desahogo á su profunda pena por la muerte del Sr. D. Fernando vn, v una nueva oca MINISTERIO DE HACIENDA DE ESPAÑA. sión de probar á V. M. su lealtad, su amor y su decisión en favor del trono de las Españas ? Circular sobre el pago de la contribución del subsidio en las rentas por Dígnese , pues , V. M. oir benigna la expresión pura é ingenua de f&gt;s sen menor…</t>
  </si>
  <si>
    <t>…Be- en esto la conducta de la Inglaterra, y no seremos menos previsores que los rengucla nos demuestra la firmeza que tenia esto. __ ___ representantrs He aquella nacínn lo f.i-rnn al excluir del trono la rama de los «El Infante D. Fernando de la'Cerda, que pasó á ser reconocido por la Estuardos. Y tampoco seremos menos previsores que tos franceses-^qtie-al ex Nación española unida en Córtes; ese mismo Infante, que debía trasmitir el cluir la de Cárlos x no exceptuaron de la exclusión á Henrique de Eerry , i derecho á sus menores , no qu…</t>
  </si>
  <si>
    <t>…á ello el haberse creído en ei ex* «Una de las primeras ha sido que el Secretario de Estado dijo ayer era ab- trangero que el Estamento se había vuelto atíás de su resolución , y su error en stirdo suponer coacción en S M el Rey D. Fernando va cuando confirmó el esta parte provenía de una cosa muy sencilla. En Francia se acostumbra primerq empréstito de que se trata. El Sr. Martínez de U Rosa no empleó la palabra discutir todas L»s modificaciones que se hacen á los artículos de las leves, v des abiurdo\ y cuando se impugna es preciso…</t>
  </si>
  <si>
    <t>Gaceta de Madrid n.º 49</t>
  </si>
  <si>
    <t>…traer las aguas Peí mismo beneficio disfrutan SS. AA. RR. los Sermos. Se del rio Mundo, reservándole sin embargo el derecho que crea, asis ñores Infantes. tirle para que use de ¿1 en justicia conforme á lo dispuesto por d Sr. Rey D. Fernando vil (Q. E. E. G.). Con este motivo se la Real decreto. servido declarar S. M. por regla general que ningún particular ni Teniendo en consideración que por mi Real decreto de 2&lt;5 de' corporación pueda distraer en su origen ni en su curso las ¡aguas de. Enero último mandé que el Consejo de Castilla c…</t>
  </si>
  <si>
    <t>…pero que se ha mal Gobierno para que procediese á nueva elección. bía simpiificado~hotablemente con'respecto á España, desde el punto en que También lo'quedó el dictámen de la misma respecto i ios poderes y do- por muerte del Só D. Fernando vn (Q. E. E- G-.) había ascendido al nono aumentos del Sr. D. Juan Gualberto González, nombrado por Huelva. La co su augusta Primogénita, y se había atrevido un Priscipe.de la estirpe Real á misión bailaba ios poderes conformes,y^que la renta del interesado era de mas querer disputarle la Corona. J…</t>
  </si>
  <si>
    <t>…exaoeio^ev y graváajene*-&gt;~&amp;á»° antes bien recibiendo de ellos los senti- laciones mas amistosas con el gabinete español á la época del fallecimiento del miemaá m^ auténticos, dé la disciplina y -buen comportamiento, de nuestras "Sr. £&gt;. Fernando vii; m cabía r&lt;£dtffc_ que . ofreciere la mqpor dificulta^ ó re tropas jípenéÍTarón eíías destle las fronteras del reino hasta el- corazón de Por tardo el reconocimiento de su augusta:Primogénita como^legítima heredera de tugal; coadyuvándola! prónto~y felíSréxito de aquella prolongada contienda. s…</t>
  </si>
  <si>
    <t>…Real compañía de Filipi nas por la cédula de ÍÓ de Marzo de 1785 y otras posteriores que JtmiSTERIO DE LO 1RTEBI0R. confirmaban y continuaban aquellos, llamaron muy particularmente la atención «leí augusto Esposo de V. M. el Sr. D. Fernando vit ' . Reales órdenes. (Q.ELE. G.): con el objeto «le acudir á remediarlos se formó on volu \ minoso expediente, en el que resulta¡ según los 'informes de mu chas personasy corporaciones ilustradas y amantes de la prosperidad, Eicttló. Sr.; Enterada S. M. la Reirá Gobernador* de los fe nacional, q…</t>
  </si>
  <si>
    <t>…profundas r te por háber muerto por lo que mas amaba ; ademas hemos tenido 44 heridos, bien cubiertas, v que las casas se desinfectasen al momento de salir los cadáve incluso el subteniente de cazadores del regimiento de Mallorca D. Fernando res: elogia el celo del clero de aquella c.ifG il . d &gt;*!el corregidor interino en ia Sequeira levemente, y de los de la clase de tropa P de gravedad, é inmediata misma D. Antonio L'h^mochin , y esl del alcalde mayor de Negorbc: finaimenmente que los curó el facultativo que viene con la. columna de…</t>
  </si>
  <si>
    <t>…la retiraba, porque el Estamento era de su opinión: el he creta que era una cosa perfectamente entendida que faltando las dos augustas cho es que la retiró. ¿ Esto debe constar en el actaí Para eso son las sesiones Hijas del Sr. D. Fernando vn sin sucesión, esta recaía en el Sr. Infante Don públicas, para que todas oigan las razones que se dan, diferenciándose en esto Francisco de Paula y su linea, según nuestra legislación, por la decisión que de las secretas. En el acta no deben ponerse sino los acuerdos. No convengo acababa de pron…</t>
  </si>
  <si>
    <t>…as corriendo sus cuatro'■fuentes de mármol/ solicitud derla parroquia de San Miguél, campo de Salinas, para separarse de aunque con el sentimiento de que por po. haber llegado la estatua colosal del la ciudad de Orihucla. Sn, Rey D. Fernando vn, no se hubiera erigido conto&amp;ne 1 mis deseos y á (psdcl conde de ViÚanueva, principal autor de esta grandiosa obra. Por la tar-' Extracto del parte remitido por el gobernador civil de la provincia de-Tar de todos los cuerpos francos de la guarnición formaron extramuros en gran pi ragona D. Anton…</t>
  </si>
  <si>
    <t>…e que hasta el liz exaltación al trono de ios Sres. D. Carlos iv y Doña Luisa de Borbon, su augu«ra&gt; presante disfrutamos, i pesar de la infección general en que arden todos los esposa, y la jura como Principe de Asturias del Sr» D. Fernando vil, adornada cota. puebles que. nos rodean. once estampas finas en que se describen los ornatos que hubo en diversas casas de 1¿' carrera que llevaron S$. MM Un cuaderno en folio, edición de 1788, áS4rs. rústica,1 —Descripción de las máquinas de mas general utilidad que hay ea el Real gabinete de…</t>
  </si>
  <si>
    <t>…edad , y por mil gloriosos recuerdos. D. Carlos á retirarse de los dominio* portugueses. En vista de estos poderosos motivos; no dudó el difunto Monarca el Se Arf. 2.° S. M la Reina Gobernadora y Regente de España, durante la ñor D. Fernando vii mandar que se promulgase, con la debida solemnidad p . menor edad de sü Hija Doña Isabel ii , Reina de España, rogada é invitada requisitos, el acuerdo de las citadas Cortés; el cual no era*4 su vez sino la res por él presente acto por S. M. I. el duque de Braganza, Regente en nombre tauración…</t>
  </si>
  <si>
    <t>…no muchos años después en las Cortes de no tendrán nada de aventurado contra los principios conservadores de la so Madrid de 1789ciedad europea , sino que producirán , por el contrario (tál es su intención y En el de 1830 el Sr. D. Fernando vil mandó promulgar solemnemente deseo), el sumo bien de tranquilizar,á la Europa, asegurando el órden y el so el acuerdo de las mencionadas Cortes respecto de la sucesión á la corona, siego en la Península; lo cual jamas pudiera conseguirse encaminándose por el acueYdo que estuvo tan lejos de mira…</t>
  </si>
  <si>
    <t>…agaban las letras giradas sobre el ramo por la dirección del ció en España la contribución llamada subsidio del Comercio. Per tesoro, dándose lugar á que se concediesen facultades arbitrarias y suadido el Gobierno de S. M. el Sr. D. Fernando vu de que á me discrecionales á las juntas, y á que la Real orden de 18 de Enero dida que se aumentan los grados de prosperidad y de civilización de 1826 amenazase con la privación de sus empleos á los intenden en cualquier pais, se multiplican las ramificaciones de la fuerza pro tes que permitiese…</t>
  </si>
  <si>
    <t>…illa, podía ya reputarse primera vista parece para el bienestar y tranquilidad de este pais; como extrangera después de la elevación al trono aragonés del In siendo uno ^ sus resultados la fácil reunión de todos los quintos fante D. Fernando el Honesto: peleaba contra la turbulencia de que he mandado presentar en esta ciudad en todo el dia 15 del los grandes y poderosos del reino , dispuestos siempre á tomar las presente mes, para trasladarlos al momento al depósito que les es armas, para adquirir después en la paz nuevos aumentos de r…</t>
  </si>
  <si>
    <t>…diatos acudió á restablecer el órden con el mayor entusiasmo, pro — — Diario del alma en presencia de su Dios , compuesto y dedicado al Rey nuesrró tegiendo, al decidido y activo capitán retirado de infantería D. Francisco Señ ir D. Fernando vu, por el Rmo. P. Fr. Ram-m Manrique. Un tomo en 8.a, edi ción de 18H, a 4 rs. rama y 7 pa&lt;ra caíaos. Contiene este libro diferentes actos de Ufaneo, ‘ subdelegado de policía de aquel partido, ha obtenido el feliz re gracias y peticiones al Supremo Hacedor, sti Santísima Madre, Santo Angel de l* s…</t>
  </si>
  <si>
    <t>…e arreglo de tribunales de primera instancia, y en uno de sus arcar de explicar' nú idea» He querido demostrar que contra el tenor de la carta que los se establece que en cada partido haya un promotor fiscal que desempeñe las dtó D. Fernando prohibiendo que tuviesen bienes raíces los religiosos del con facultades que1 se reclaman. Se p;esciuar¿ con brev^edad al Estamento.”</t>
  </si>
  <si>
    <t>…n igual administrativo hubiesen de proseguir sin la ejemplar economía en plan, en tiem dad de circunstancias al lado de los demas acreedores. po y en caudales de nuestras provincias y ciudades industriosas , serian escasas El Sr. D. Fernando vii hizo en ios artículos 7.° y 9.° del contrato ma no solo las cantidades que fija la co .listón, sino también las que ha propuesto trimonial del Sr. Infante D. Sebastian y su Esposa, la asignación de 55o9 rea el Gobierno. Mas si en ,estos dias se ha de tender compasiva vista á un reino les al pri…</t>
  </si>
  <si>
    <t>…a anterior contribuyó cada uno, a cuyo seis meses de alivio del luto rigoroso que viste la corte por el fallecimiento de fin , y sin perjuicio de dar desde luego las órdenes oportunas para que asi se ve su muy amado Esposo el Sr. D. Fernando vil (Q. E. G. E.) den principio rifique, puede V. S. pedir á los ayuntamientos testimonio del sorteo anterior,]en 30 del corriente; debiéndose usar en los tres primeros de cabos blancos, y y en caso de necesidad la conveniente noticia á los intendentes de las prosea- Idé colores en los tres últimos…</t>
  </si>
  <si>
    <t>¿OV •, ' i obediencia y amor &amp; la excelsa Hija y sucesora del angosto'protector de la» tán general, y ha nombrado otro en comisión, dañdo conocimiento al Real ciencias el Sr. D. Fernando vn (Q. E. E. G.). Con éste motivó recuerda 1» acuerdo. universidad las pruebas nada equívocas que ha dado én todas épocas de lealtad Ha instalado la junta de policía urbana de aquella mudad, la cual ha pu y firme adhesión á sus Soberanos, y. deseosa de eternizar, en.cuanto pueda la blicado ya un ba…</t>
  </si>
  <si>
    <t>…probación de la imposibilidad de que esto pueda verifi tal como está redactado, bien sea en el proyecto de ley , bien sea en el dictá carse, la historia reciente del último año. men de la comisión” «No bien había fallecido el Sr. D. Fernando vti, se levantó un pendón, .Lo leyó en efecto en los términos siguientes: «La Milicia urbana se com al rededor del cual quiere reunir á los españoles un Gobierno absoluto, pero pondrá ; de todos los individuos que actualmente sirven en los cuerpos que reformador. Este toma del Gobierno pasado la fo…</t>
  </si>
  <si>
    <t>…r&gt;- ", y también esta m»cripc¡ &gt;n : ¡a he— 1 [ La brillante iluminación de las casas consistoriales, la de la pirámide donde Tü'ua Cristis a muestra á su Hija ya jur./Ja el templo de la inmortalidad, ; ! se halla el busto del Sr. D. Fernando vti, oficina» de Real hacienda, consulado, y ios bustos veneradlos ae sus jm litas Aruelas. i correos y sub Jelegacíon de policía eran dignas de la admiración pública , si-.i que El 4-° representaba á la España en trace v ademan de una noble matronal ! por ello cediesen en nada las del vecindario e…</t>
  </si>
  <si>
    <t>…beza ó íes tes de Toledo y Ciudad-Real, y á las órdenes de un tal Marchena principia por cada rebaño. ron á causar grandes estragos. Como esta hermandad tiene el privilegio de nombrar individuos de ella »Esto llamó la atención de D. Fernando m , eí que mandó formar e^as á quienes quiere, hay otro inconveniente cual es el que dichos individuos pue-p hermandades; para lo cual trató con un rico home de Castilla, y sus dos hijos en den gastar coda especie de armas sin que á las justicias ordinarias íes sea posible el año 249. Afortunadamen…</t>
  </si>
  <si>
    <t>…lar, en lo posible; mas ré que ademas de la asignación que coriesponda, se debe dejar á disposición de sm embargo como algunos de los que lo han hecho, han sentado opiniones SS. MM. y AA, el pafrimonio Real , comp lo tenia el Sr. D. Fernando vil. que'requieren comentación, tengo la necesidad de verificarlo, procurando sea A este patrimonio se encuentran unidas rentas y obligaciones de diferentes cla con brevedad, y excusando el roce con otras cuestiones. ses, como son prebendas y propina* que tiene S. M. en algunas corporaciones, «Ante…</t>
  </si>
  <si>
    <t>…cílculo de las pro dora; y á mí parecer no podríamos dar á esta una prueba mas evidente de nues babilidades , pedia pronosticar la resolución de la mayoría del Estameato,si tro filial amor que señalarle igual suma que el Sr. Rey D. Fernando vu seña* "bien no he dicho una palabra de unanimidad, pomo se ha figurado S. S..* tenia ló á sus augustos padres. también en mi favor para pensar asi el creer que en cuestión de esta ciase cier «Se ha dicho que en el año 1820 se señaló mayor cantidad á la persona tos nobles sentimientos harían incl…</t>
  </si>
  <si>
    <t>…referido J rrtitn, ¡o» batió, ;mn« un refx-.de, que el dia anterior hub&gt;a celebrado aquel superior-tribunal la-» exequias por el un o, ,4' „• ’iv* - d rendo ,.t;o con xa'.-'S tiodN de v.1 v . j» rociones -c^c alma de S. M. el Sr. D. Fernando vu (Q. E. P. D&gt; Durante la función se h.ib 1". '!..it", . &gt;m: mando dc las v»artida&gt; o persecución de ios resto» dijeron valias mitas en la iglesia de S. Francisco de Asís de la Corana, v con U b i::dj que iu.ia hacu N’tzca' acluida prenuncio la oración fúnebre un religioso del misino convenio. I-o…</t>
  </si>
  <si>
    <t>…ro Gómez Zamora, á D. Igna pagase alguna paTte de la deuda que contrajo durante,la suspensión de funcio cio María Uzcundun, cesante de la suprimida dirección del ramo; y la de ofi nes ocurrida con motivo del fallecimiento del Sr. D. Fernando vtt, y de ia cial de la contaduría de Almena, vacante por cesantía de D. Juan Cuervo, á reedificación del teatro; y S. M., en vista de las necesidades' de la compañíj, D. Pió Fernandez, cesante de la de Avila. . se ha dignado concederla su Real permiso para diez Ipailes públicos de másca ras en el…</t>
  </si>
  <si>
    <t>…estarán sujetos á todas las regla» y es probable que si las comunicaciones entabladas entre nuestro ministro y el que se les impongan. El ministro de Instrucción pública, queda encargadb &amp; gobierno español antes de la muerte del Rey Fernando no se han interrumpi vigilar los institutos particulares de esta clase, y dar cuenta de cuando eir cuan do por este doloroso suceso, se vengí á una conclusión final en los mismos tér do al Emperador. minos que se ha hecho con otras Potencias. Asi es de esperar de la franqueza ------ El Emperador de…</t>
  </si>
  <si>
    <t>…lo mismo quí se marcaba en la petición, en la za y vigor. Si la Reina Gobernadora ha sostenido el cetro durante la enfer cual se decía se concediesen sus sueldos y honores á Jos empleados de . la época medad ¡del Sr. Rey difunto D. Fernando vn; si ha tomado después las riendas constitucional; en cuyo caso, ó era indispensable que desempeñasen nueva del Gobierno, y las sostiene durante la menor edad de su augusta Hija; si ha mente sus destinos, dejándolos vacantes los que los obtenían actualmente, ó se convocado las Cortes generales de…</t>
  </si>
  <si>
    <t>…iones se satisfagan por la Real presadas en ci artículo'anterior, debiendo reunir las circunstancias siguientes: mano, debiendo esta captarse la voluntad de los puoblos? veipte y ciníp años. «Cuarenta millones se asignaron al Rey D. Fernando vtí en el año 14, Contribuir con'unj cüótí doble de la señalada para «1 Miliciano ur- y aunque se ha dicho que en aquella época era la Nación meaos pobre que en a a-:.:-:---------:—.. hallarse esta, es muy cierto sin embargo que entonces había pueblos que solo se com ponían de ca^as arruinadas ¿ in…</t>
  </si>
  <si>
    <t>…dos cstablecimiéntos de SS. MM. Doña Isabel u , y. su augusta Ma- - seria ei primero á.desaprobar Ja cantidad propuesta por la comisión. Suponga- dre la Reina Gobernadora. Entendería .sí, qúe se propusiese continuar jta . mos que D. Fernando vil hubiera otorgado una escritura de 18 millones anua- asignación decretada al Rey difunto por las Córtes pasadas: en cuyo caso' no iesáfavor delaaugusta ReinaGobernadora: ¡qué hariamoá entonces después excedería de 40 millones; fa que se señalase á SSL MM., y me parecería que de tantas veces corn…</t>
  </si>
  <si>
    <t>…ias de la sociedad*, y después de adquirir' liber no, á falta de hijo varón, á su augusta Primogénita; por lo mis tades y franquicias municipales, aspiraroná su vez á tener tambiea mo que, apenas ocurrido el fallecimiento del Sr. D. Fernando vir voto en las asambleas generales de la Nación • (Q. E. E. G.) aclamó la nación como Reina legítima de España Lográronlo en efecto; y antes tal vez en España que en otra a la que deriva su derecho de las antiguas leyes, de las costumbres monarquías de Europa; y favoreciendo la Potestad Real esta…</t>
  </si>
  <si>
    <t>…lo digo á los Sres. de si hubieran sido apios suyos y aislados; mas hubo sanciones posteriores que los la comisión, no como ministre , sino como Procurador, como español inte legitimaron. Legitimó el empréstito de Guebhard el Sr. D. Fernando vn cuan resado en la causa de la ILb-ika nuestra Señora, en ia causa constitucional, y do fue restituido á la plenitud de sus derechos, y su aprobación ha sido la que de la patria; lo digo con toda la efusión de que «rs capaz mi corazón , y así ha legitimado semejante operación A este empréstito, o…</t>
  </si>
  <si>
    <t>…que ha gratado de persuadir que volucion son criminales: la abdicacion de Cárlos. iv en 1808, verificada qn no es justada petición. El Sr. de Falces ha calificado ejia de importante y es Aran juez, cuando setrasmitió la corona al Rey Fernando yj^tuvo por norma pinosa. Sin dificultad convendré co que la, cuestión es importante , pero no una revolución, y hasta ahora,no ha habido una persona que califique «te he en que es espinosa. De la manera que la ha considerado seria espinosa; pero cho de revolucionario: no por cierto. Entonces se cr…</t>
  </si>
  <si>
    <t>…resentante pie impuso un terrib e deber, misma justicia que ellos para ser atendidos. Todos entraron en el vastísimo que estoy obligado á desempeñar hasta exponerme al riesgo de ser vituperado campo á que los llamaba S. M. el Rey D. Fernando vn: todos fueron llama por abogar en favor de lo que crea justo. Por esto repito, señores, que me ha dos á seguir la senda constitucional, obedeciendo decretos expedidos en su llo interesado personalmente en esta cuestión, y no me avergüenzo dé ello; nombre y por su Oobierno, y rubricados por él. V…</t>
  </si>
  <si>
    <t>…js, luyo articulo no e-taba expre 11. Subsistirá la preferencia que sucesivamente concedieron á los criadores sado en el arancel de aquciias: se ha servido S. M. resolver: de todas las provincias los señores .Reyes D. Carlos iv y D. Fernando va en L° Que subsista la prohibición de intn*ducir del extrangero el hebLJUge lis compras de los desechos de los caballos padres de la casa de monta del Real ordinario de hierro no fundid.) para correaje de caballerías. sitio de Aranjuez y de Jas Reales caballerizas. 2. ° Que la misma clase de hebi…</t>
  </si>
  <si>
    <t>…res, y Oración fúnebre que en las solemnisihias exequias, celebradas en la una parte de su caballería, en acción tenida á las inmediaciones de iglesia del Real monasterio del Escorial, de drden y á expensas del Rey nuestro1 Señor D. Fernando vn, i la justa y digna memoria deí Rey Ruidera á las cuatro de la tarde de ayer por la columna de urba cristianismo Luis xvm, pronunció el Dr. D. Fraoclsco Antonia Gon nos de esta villa é infantería de la Princesa y cazadores de la guar zález. Un cuaderno en 4.0, edición de 1824, á 4 rs. en rústica…</t>
  </si>
  <si>
    <t>…iol, al hombre de bren, ti una suma de.4$ arillo«a con señores preopinantes, creó, el Sr. marques de Torremejia. Este mismo señor que se gravaría la Nación ha de ser causa: primero, pura cometer una injusta- ‘ demcitró que el Sr: D. Fernando vrr habiendo pasado ya al trono de sus ma éit: segundo, para desacreditarnos y sepultarnos cti él desprecio &amp; toda la yores , fue reconocida &gt;u soberanía en toda la extensión que habían tenido to Europa , precisamente en él momento en que decimos «pie la Nsctpn va i re dos sus predecesores; poto cl…</t>
  </si>
  <si>
    <t>…obsequio de la misma ? si se consulta la equidad, da gitimidad de los Reales nombramientos civiles. militares ■ ccles-iástíc&lt;-&gt;s„&amp;Y._ br~ reclama este artículo en favor de los empleados que comprende, y aun dirá ló chos por S. M. D. Fernando vn desde él 7 de Marzo de 1820 hasta 30 de mismo la justicia. Para esto no Ocurriré á invocar la justicia que establece la Setiembre de 1823, los que los obtuvieron y estaban en ellos en la última fe igualdad entre los particulares; no invocaré estos principios, porque esa misma cha , recobrarán Io…</t>
  </si>
  <si>
    <t>…iesen Ayuntamientos. La» bases del Gobic.no no habtan variado, estribaba este como en un laberinto , sin lograr desarraigar el mal. en ios mismos fundamento* que había tenido; pero presto se conociu que ia Si la ordenanza del Sr. D. Fernando el -vi d»ó 4 los Intendentes Corregído autoridad mas inmedura i ios pueblos, ia que hab'S de ejecutar las Ordene* y ro*: facultades para reunir los fondos del erario, puso también á su cuidado ¡o providencias gubernati ras, ao era cual convenia. Parecieron insuficientes ios contencioso de reste rem…</t>
  </si>
  <si>
    <t>…o por jueces inamovibles: los empleados y agentes modo «-que^no redunde en perjuicio del Estado. El alivio de tales desgracias de la administración tienen que ser revocables. La autoridad judicial camina Jlamó la aienbion del Sr. D. Fernando vn CO- ~E- E. G.), quien á este fin en* sujeta á reglas lentas y solemnes: la marcha de la administración debe ser por 16 de Julio de rü33 mandó expedir por ei Ministerio de Fomento un exce-’ lo cnmira rápida, y variarse según las circunstancias. lente decreto, ordethmdo el establecimiento de Junta…</t>
  </si>
  <si>
    <t>…l 115 millones de rs. El Estamento verá la diferencia que hay en los di del medio de poner las obligaciones con cantidades distintas. Se ha dicho que el versos estados que presento, sabiendo que lo que Se paga ahora anualmente im Rey Fernando vil aprobó este empréstito, y que por consecuencia se debia porta 134 millones. Nosotros por nuestra responsabilidad estamos obligados á reconocer lo mismo que los otros. Es necesario ver cómo y cuándo lo aprobó atenderá la conveniencia de la Nación. A los extrangeros les importa poco Fernando vti;…</t>
  </si>
  <si>
    <t>…ro. Sin entrar á desentrañar hasta qué punto es exac al informe y parecer del Cornejo de Gobierno, creado con suma previsi-.c ta la denominación de empréstito nacional, porque lleve ese título, en virtud por el testamento del br. D. Fernando vil , para dir su parecer en asuntos ar de contratarlo españoles, bastó solo el nombre para decidir el ministerio que duos y de trascendencia: y nadie negará que este asunto lo era. El ministerio debería preferirle. En esto llevó también un fin político, que es fácil conocer, quiso, no solo que dij…</t>
  </si>
  <si>
    <t>…ue El Sr. Cuadra en fin largo y elocuente discurso en el qué hizo fifia nar contratado en 22 de Setiembre de 1823, tan solo ocho dra» antes qae el señor ración dé todas las circunstancias que concurrieron en eiie empréstito, mani D. Fernando vfi reasumiese el poder supremo por la entrega que de él le hicie festó que era ilegitimo por todos conceptos , porque aunque no estaba bien im ron las Córtes en Cádiz; aprobado por este ep l.° de Octubre; y no habiendo puesto de las cantidades que la ¡unta de Urgel habia recibido, en lo que no te…</t>
  </si>
  <si>
    <t>…s , Crespo Rascón, Onis, Trucha Cosío , VillaEl Sr. Afiquel Polo: «Como individuo de la comisión debo manifestar laz, Melendez, López del Baño, San Clemente, Anaya, Crespo de Tejada, que esta nada tiene que decir, sino que el Sr. D. Fernando vn en el año 181$ Latorre, Ochoa, Ruiz de Carrion, Subercase, conde de Adinero, Alvarez señaló á sus augustos Padres la cantidad de 12 millones, y que cree que el Es García, Romarate, Butrón , Garay, Laborda, Polo y Monge, Camps y So tamento debe hacer ahora lo mismo.” ler, San Simón, A rango, Ayal…</t>
  </si>
  <si>
    <t>…tomado la palabra en esta discusión, si bien para elogiar Ademas, si hubiésemos de respetar y dejar en su fuerza y vigor todas las re •l celo de lds individuos de la comisión, que no menos que yo desean las eco soluciones del Sr. D. Fernando vn , es claro que nada podríamos hacer respec nomías, á fip de aliviar á los pueblos, y proporcionar medios para cumplir to de economías y aun de otros puntos. La comisión por consiguiente se ha fi las obligaciones dei Estado sin gravarle* con nuevos impuestos, al misino tiem jado en la cuota que d…</t>
  </si>
  <si>
    <t>…se acaban ahora de disminuir mas de dos millones al Sermo, se ' tales. Me acuerdo muy bien que cuando nació el primer hijo del Infante Don ñor Infante D. Francico y su augusta familia, se conformaba el Gobierno Cárfos, el Sr. Rey D. Fernando ie dedaró Infante, diciendo en su decreto so también en esta parte con el dictámen de la comisión. ^ bre el. particular. »No sicmfy nuevo en España que loa hijovde Infante sean EloSr. Miguel Poto: " La comiskm va i ocuparse ahora de La asignación</t>
  </si>
  <si>
    <t>…es en aquella ¿poca ; pero se asignaron porque entonces estaba D. Sebastian dicho Infante á la que ahora es nuestra Rb»na y Señora, como hija dd Señor en. España. En el dia no lo está, sea la razón la que se Quiera, que no la sé, D. Fernando vii; pero que á pesar de eso la comisión no tendría inconvenien ó si la sé , no tengo.por conveniente decirla aquí; f no corresponde á España te en modificar su opinión, si se la convencía de que en efecto no había razón mantenerle: Rentas'tiene en el priorato de S. Juan, y eso ya lo veremos en par…</t>
  </si>
  <si>
    <t>…rca del particular, la respuesta fue: «percibe de la tesorería potestad soberana* Sermo. Sr. Infante D. Sebastian por asignación que se le hízó en vida del -El Sr. lrifantet&gt;. Sebastian había salido de esta corre pan tomar los ba Sr. 0. Fernando vil, en virtud del contrato dutridtontil, $¿o9/r$., y tu au ños de Sierra Morena, á causa dé la enfermedad de la Serma. Sra. Infanta su gusta esposa Ó0Ó&amp;* augusta Esposa, unida con la Gobernadora con vínculos tan estrechos; Invistiendo el $r. Arguelles, para votar con conocimiento , en que la co ha…</t>
  </si>
  <si>
    <t>…spaña 3 por 100 39J. Empréstito Real de id 78 j. Renta per petua de id. 6l|. 1 La ciudad de Matanzas luego que recibió la orden de jurar por heredera Cámara de ios paees. —Sesión del dia 3. del trono á la Hija primogénita del Sr. D. Fernando vn , se apresuró á pres El mariscal Soult presenta el proyecto de ley , adoptado ya por la Cámara tarla el homenage propio de su lealtad y ei de su adhesión sincera a la me de los Diputados, acerca de la liquidación de créditos activos y pasivos de la trópoli. ‘ casa Real de darlos x. Se manda impr…</t>
  </si>
  <si>
    <t>…tes de anoche que la compañía de cazadores de Laredo, Obrar que re hallan de venta en el despacho de la imprenta Real. qué se hallaba en Briviesca, y 25 caballos del 5.° de ligeros al Reglamento aprobado por el Rey nuestro Sefior D. Fernando vn mando del bizarro teniente Díaz, saliesen k su encuentro por Poza para el restablecimiento, dirección y gobierno de los seis colegios ma al Páramo de Villalta con orden de destruirlos, ya intenten su yores de S. Bartolomé, Cuenca, Oviedo y el Arzobispo, en Salamanca, de Sta. Cruz, en Valladolid,…</t>
  </si>
  <si>
    <t>…identes de la guerra de la independencia. No solo no pedia ser cho sirvió para privar de la libertad á los pueblos. Se ha querido decir que los estimada sino que no era conocida, y lo que no se conoce no se ama. Las aprobó el Rey D. Fernando vil; pero yo creo que no fue asi, y solo diré mismas Cortes de Cádiz, cuando creyeron conveniente su establecimiento, tu que cuando se contrajo no pudo aprobarlo , porque se bailaba en el seno de sus vieron que mandar á los curas párrocos de ta Península que explicasen la hijos, en medio de la repr…</t>
  </si>
  <si>
    <t>…lo. de 1540 , del empréstito contratado por el emperador Cárlos v, á cuya nega - »Tál fue siempre el poder que ejerció en España, durante su vida el Rey tiva se siguió luego la absoluta, nulidad de las Córtes. No citándose hechos D. Fernando. anteriores puede dudarse si.en .este punto las Córtes cesaron de un poder ya « Ahora bien: ¿este poder fue usurpación, ó fue efecto de la costumbre reconocido si seguían una práctica constante, ó si era aquel el primer de la ley ?E1 siglo su fue la época célebre del gobierno feudal en Europa, ejemp…</t>
  </si>
  <si>
    <t>…spicios de niños desamparados en Van acompañados de algunas notas críticas del editor, de una tabla cronológica de ios América-, y nuestra institución filantrópica; establecimientos que, deben con- reyes de Castilla y Lrun, desde D. Fernando 1 hasta D. Fernando 11, y de nn discurre íiderarse como parte integrante de un buen sistema ¿^disciplina criminal. Mr. filosófico acerca del levantamiento y guerra de los cristianas contra los moros. Los se Simplón de Edimburgo, en un excelente opíisculo que hi publicado reciente abiertañores suscr…</t>
  </si>
  <si>
    <t>…ente una noticié circunstanciada de lo descartando toda otra consideración que no sea pura y meramente económica, que hayan importado estos ingresos, y de su inversión, tanto en las cantidades dirá que ni en el testamento del Sr. D. Fernando vir (Q. E. E. G.) , ni en libradas de Real órden, como en laé que directamente administren los religio ejemplares mas antiguos, se halla determinado el sueldo y consideración que sos que tas recaudan. deben tener los individuos llamados al referido consejo, bien nominalmente «Con' respecto á las su…</t>
  </si>
  <si>
    <t>…una casa ni almacén, á del pesar inexplicable que la aflige desde que recibió el infausto anuncio de la I excepción de aquellos calos en qus el seguimiento de una causa requiera que se temprana rpuicrtc de su muy amado Rey el Sr. D. Fernando vil (Q. E. E. G.), I btisque el cuerpo del delito, ó que de hecho se persiga el bulto ó género desde y persuadida dé qUe su afligida voz no alcanzará nunca á explicado en toda su I el punto por donde se introdujo 6 por hallarse en la calle; intensidad, se acoge al silencio, elocuente intérprete de…</t>
  </si>
  <si>
    <t>…a de) ITALIA. Oliera, (el ayuntamiento, alcalde mayor, curas párrocos y el comandante Boma 28 de Noviembre. de armas de) Ora. (el alcalde mayor de) Sí ha sido sentida de todos la muerte prematura del Sr. D. Femando vii r Osorio. (D. Fernando de) de las Españas, lo ha debido ser particularmente de los subdito-. He aquel Mo Paltnzuela. (el ayuntamiento de) narca, cuya vida preciosa era tan cara i la heroica nación que tema la di-h.i de Paredes, (el presbítero doctor D. Manuel de) gobernar. La religión , úni^o lenitivo del dolor que ha causa…</t>
  </si>
  <si>
    <t>…s operaciones de ban Gobiernos de los años desde eL 23 estaban autorizados para hacer estos prés ca con que se ha querido^ demostrar lo contrario. Necesitamos unos 400 mi tamos ó no; de si el Gobierno debía ó no hacerlo; de si el Rey Fernando llones de reales, según dice el Gobierno, y yo creo ser asi á ojos cerrados, y estaba en libertad ó privado de ella; de sí quiso hacer todo lo que pudo; me los concedería con mano franca y leal. Por ia negativa de reconocer dicho em ha hecho ver que todas estas cuestiones son impertflíentes para la…</t>
  </si>
  <si>
    <t>/ h libertad en que «tuvo «1 Sr. D. Fernando vii de contratar estos émprésti^ discurso en qué el Sr. Ministró me sorprendió, sin embargo de las. pruebas qile tos, y en contestación al argumento hecho por otro Sr. Procurador ldé que es temamos ya de su elocuencia y Verbosidad, por las brillantes razónés con, que taba dominado por una facción,…</t>
  </si>
  <si>
    <t>…idencias, qye sin atacar la libertad de Us Cortes, evitasen desvíos y preci como todos los Ministros, á las' honras que la Grandeza hacia por el descanso pitaciones qué perjudicasen ¿ esta y ofendiesen á la potestad Real. del Sr. D. Fernando vn, y llegó, como yo, cuando se había votado la'peti- *? «Dice etiSrú1 Graliano, citando á Benjamín Constan», que en Francia la cion: habló no sé si el primer dia; pero después ninguno de nosotros tomó la monarquía se habia perdido por los temores dé la libertad, y la libertad por los palabra , y e…</t>
  </si>
  <si>
    <t>…que hayan llegado á la edad prefijada, si la suerte las favo rece en el sorteo que se haga entre las aspirantes; en cuyo caso será» reempla Real orden. zadas en las clases del hospicio por otras huérfanas. Al disponer el Sr. Rey D. Fernando vu (O. E. E. G.) en Real Las que hayan acabado su educación en las dichas clases podrán volver al orden de 20 de Abril de 1885 la publicación en las provincias de seno de sus familias en caso de que lo deseen; pero si no tienen padres, se des un periódico con el título de Boletín oficial, se propus…</t>
  </si>
  <si>
    <t>…ene Id. sin ínteres, 12f p. 100 ai cpntado : 12 p. 100 á 15 d. f. ó voL rables prerogativas. Tampoco deberá omitirse en este monumento el recuerdo Acciones del banco español ,00. de la magnanimidad con que en 1827 destruyó el Sr. D. Fernando vir la CAMBIOS. numerosa facción, que amenazaba, como la reciente, los derechos del trono y Ara'terdam, 00. París, 16-3. Cádiz, 14 b. Sevilla, 4 b. el bien estar de los pueblos. Bayona, 00. Alicante, á corto pla Cor uña, 4 d« Valencia, par. Tal ts la idea que se propone &amp; los artistas nacionales pa…</t>
  </si>
  <si>
    <t>…los clérigos, concederla. y mucho mas si se atiende á que ellos gozan franquicias en ciertos impuestos »Se ha dicho, para probar la legalidad de los empréstitos contraidos des que no tienen los demas. de el año de 23 acá, que el Rey Fernando vii era dueño de su voluntad y «Otro medio seria el disponer de los grandes fondos que hay en Cruzada libre por consiguiente de contratarlos por sí y ante sí. Esto podrá ser cierto, y Espolies y Vacantes. ¡Por qué no se aplican al tesoro este» fondos! Siempre 1 si se quiere, diplomáticamente hablan…</t>
  </si>
  <si>
    <t>…consejo disfruta que conceptúe mas aptas para ayudar á la Ruina tutora, y que e,t.t oiga su sen el sueldo de sus respectivosMest¡nos de carrera, no excediendo de 909 rs.; dictámen en materias graves y árduas. Es decir: que el Sr. D. Fernando vu al que se redujese i tres el número de cinco oficiales con 24, 18 y 149 rs.; que instituir este consejo , no hizo mas que seguir lo dispuesto por aquella sabia ley; se suprimiesen los escribientes: y respecto á los porteros, que se atendiese álos reservando el ejercicio de la potestad régia á S.…</t>
  </si>
  <si>
    <t>…e dice que el Emperador N.cola» no quiere admitirle. (Pw/.) I patria. Lo fue con singular amor para esia numerosa porción de sus hijos nues ('.orre la voz de que el gabinete de Husia ha tomado un tono roa* wmiso j tro Rey y Señor D. Fernando vil, derramando en su favor cuantas franqui- con respecto á los negocios del Oriente , y que ya no sera necesario enriar núes- ] £¡j5 y gracias le pidieron, y atestiguara la historia con el incremento de pros tro* buque* de guerra al Mediterráneo, hjbicndo esperanza* ¿t que todo *e con peridad y ri…</t>
  </si>
  <si>
    <t>…quizá necesidad, de presentar para dichas mitras, su sangre, si necesario fuese, el juramento que tienen prestado á la augusta Hija pidió á la Cámara los fondos necesarios para dotar las nuevas diócesis. La Cá primogénita del Sr. D. Fernando vu. mara concedió parte de lo que se le pedia, negando la otra, en lo que usó de su prerogativa: pero no dejando por esto de estar vigente la del gob.crno , hizo Santander 25 de Diciembre. este la presentación, wAcostumbrémonos, señores, añade, á conocer que un El 15 del corriente dispuso el ayunta…</t>
  </si>
  <si>
    <t>…rio' y' rhinisttó1 plertipotenciario de España' agravaban el peligro; cuandQ llegó la noticia de la inesperada muerte de su me- l |¿n la córte de Lóndres, sean los que desempeñen el honorífico encargo de pre- morablc Rey y .Señor D. Fernando vn (Q. E. E. G.) 1 Isentar i uno y otro Soberano el collar de la expresada Orden. Nada demuestra mejor la magnitud de una aflicción que el hacer callar otra I anterior; y asi sucedió á este honrado vecindario, que olvidándose del gravé I Bfifismuo DE HACIENDA DB F-SPAÍÍ A. motivo insinuado que tant…</t>
  </si>
  <si>
    <t>…roporcionar la reconceptracion de ia corporación se presenta i los R. P. de V. M. manifestando el profundo do-l -k (iieraa &lt;Ud&gt;¡éá-cÍt(^jiaírí^ací qperadones militares. ' lor consiguiente á la pérdida sensible de su Monarca el Su D. Fernando nf ] r&gt;,T5'‘15^R.^Vorden lotügó'á V* E* para su inteligencia y cumplimiento, en (Q. G. G.), temprana y lamentable para sus leales vasallos: j cuando ^feoáéttjrtty lie düe S. MI :fiá'zelt&gt; y prudencia de V. E, e^te importante setlos españoles págaa con el justo tributo del sentimiento las señaladas…</t>
  </si>
  <si>
    <t>…cuadros de S. M. lo pueden adquirirse sobre el terreno á costa de grandes gastos, y por la Reina nuestra Señora podrán recoger el cuaderno 39 y adelan los medios que da la ciencia. Este último paso estaba reservado al sefior fiey D. Fernando vn, que infatigable en fomentar por todos medios el tar el importe del 40 al Real establecimiento litográfico, situado í bien público, facilitó al zelo del ayuntamiento de Madrid el emplear la subida del Buen-Retiro, Las estampas de que aquel se compone una gran parte de los caudales municipales en…</t>
  </si>
  <si>
    <t>…igue: «Por mi oficio del 11 anuncié á despiesde haberla jurado como sucesora de su hermano D Henrique, para V. S. que las autoridades portuguesas me pedían auxilio para destruir la facción alcanzar del Rey de león á su hijo mayor D. Fernando, tan caro á los espa compuesta de españoles y portugueses, mandada pos un tal Cachapuz, ia cual ñoles; inmediaro estaba el famoso Pimentel, conde de Alburquerque, que re amenazaba la tranquilidad de la provincia: al punto emprendí la marcha con presentaba las Cortes de Segovia donde la proclamación…</t>
  </si>
  <si>
    <t>…ierno posteriormente establecido én España? «Cómo han de ser nulos los cia de Urge), que nó‘ la recónociarhingun gobierno, ni el de Francia,- ni el empréstitos contratados después de las Córtes por un Gobierno universal mente Sr. D. Fernando vn. En segundo jugar este empréstito y cuando el Rey ló re reconocido t conoció sen el afio de 24'F71° redujo al estado que ahora tiene, se trató que »Por lo tanto creo que la cosa mirada sincera y sencillamente es clara, fuese leembolsable en 2lPafíoa; pero no solo se ha reembolsado ya', sino que…</t>
  </si>
  <si>
    <t>…y buen gusto de los adornos, es digna de cualquiera capital de Eurppít, y^por rno’ sigue: . lo tanto excita la admiración de los extrangeros. 7 Los'batidores de lanceros del Rey, que desde el principio de la forma La estatua del Rey Fernando, construida en Roma por el célebre cscut- T° ción estarán á la derecha de la artillería/romperán la marcha cuando se or tor español D. Antonio Sola, se halla colocada sobre un pedestal de marmol déne: séjuirá la artillería hasta dejar terreno suficiente al primer batallón en blanco estatuario, del…</t>
  </si>
  <si>
    <t>…el trascurso del tiempo, los progresos de la ci Pueblos»—— ÉU*. Enfermo*. Curados. Fallecidos.' vilización y de la administración pública.” Ya se cometió- esta operación i varias ¡Untas sin resultado alguno en el reinado del Sr. D. Fernando vn, reconociéndose la necesidad de la reforma, y Agoncillo.......... 1 5 á 17 Setiemb. 00 00 4 echándose de menos como al presente la instrucción particular de estafetas anun Alfato................ Idem idem..... 11 00 6 ciada en el capítulo 1.a, titulo 3.a de las mismas Ordenanzas, como también Br…</t>
  </si>
  <si>
    <t>…da* de Estado, en legítima. Sin embargo, algunos señores que se oponen á fa aprobación del pri el 3° te anuncia que no se pagará mas que la mitad. Ha dicho el Sr. M*n siró que mer artículo del proyecto de ley han dudado si el Sr. D. Fernando vu podía |i no debemos anular los hechos de un Gobieino reconocido.- Nosotros no hemos contraer deudas ¿ imponer contribuciones. Con este morís o se ha dicho que ¿ tratado de anular* los hechos de un Gobierno reconocidq: queremos anular los nuestras leyes fundamentales establecían las reglas, según…</t>
  </si>
  <si>
    <t>…s veces que de no adoptar en esta parte que hacer la conducta de Aguado. Yo creo que la Nación , sin faltar á la bue el proyecto del Gobierno, y no dar á este los auxilios que reclama, podría na fe, no podría contravenir á lo que D. Fernando vu hizo respecto á los hundirse el país, resultando grandes trastornos. Yo ya he manifestado en la bonos de Cortes. Si el empréstito de Guebhard en su grandísima totalidad en- discusión general que estoy por mi parte pronto á dar al Gobierno todos los tró en arcas durante el reinado de D. Fernando…</t>
  </si>
  <si>
    <t>…ción del Gobierno francés para vestir las milicias provin creo nada hay que añadir; pero sin embargo, haré una ligera observación , y ciales y cuerpos españoles. De todas manera» venimos i parar en que tan m- es que cuando el Sr. D. Fernando vu aprobó dicho empréstito, no pudo tener Ilgmfifcame Cantidadatendida la masa de la deuda, fue incorporada en el te-/ verdadera libertad para hacerlo. S. M- publicó antes un decreto por el cual de conocimiento que hizo el Sr. D. Fernando vu en_1828 Por consecuencia éste claraba á la fax"de toda Eu…</t>
  </si>
  <si>
    <t>…deudas, por ser abiertamente la propiedad cuando niega el reconocimiento de los empiéstitos hecho sin concurrencia de las Córtes, ó del Consejo Real que bacía en cierto • contraídos desde el año 23 aca. Se funda para ello en que D. Fernando vn no "modo sus veces. Nunca ha hecho tales veces el Consejo Real; nunca tuvo fa tenia facultades para celebrar semejantes contratos; y que si lo hizo fue infrin cultades legislativas, y era meramente un cuerpo consultivo, como significaba gido las leyes que debía respetar. Pero estas leyes que pre…</t>
  </si>
  <si>
    <t>…préstitoj primeros no vemos refundidos mas que piquiñas partidas , siendo -**Ha dicho ci Sr. Fleíx que los empréstitos habían sido reconocidos por el osi que enlre estos últimoste iocluyci] qna porción de deudas de las mismas Sr. D. Fernando vir , y que habiéndolos él reconocido, la Nación debió se reconocidas por las Corles. Ademas de los empréstitos contraídos en estos últimos guir su eicmplo. Aqui hay una notable equivocación. Nadie disputa la Facul once años, forman parte de ia última deuda las siguientes-caniidades: ralea tad que…</t>
  </si>
  <si>
    <t>…ir pnr tercera vez al pueb’o español una quin otro camino, adoptó el de hacer la operación del reemplazo igual en lo esencial ta de 250 hombres, pues tal ha sido la del año de 33 y la del corriente, y á la que viviendo aun el Sr. D. Fernando vn se ejecutó, fijando la quinta en que ha de verificarse bajo e! pie violento, bajo el pie injusto, y bajo el pie 25¿) hombres. Este mismo número se propone ahora: y aun así, siendo Opera desequilibrado que se ha hecho hasta aquí, desearía que se dijere al menos la ción sencilla al parecer, por ha…</t>
  </si>
  <si>
    <t>…amiento de las ]«arciones de terrenos ó edificio* orden de la junta, y reformadas por esta en vista de lo que aque de propiedad particular, de realengo, comunales ó baldíos que debe llos expusieron, mandó mi augusto Esposo el Sr. D. Fernando vii Ocupar el canal y sus de|iendencias; y finalmente las tasaciones por (Q. E.-E. G.), teniendo presente nueva propuesta hecha por los ein- ]&gt;eritos nombrados con las formalidades que previenen las leyes, y. resarios en ó de Abril de 1833, que una comisión esjiecial compuesta demás operaciones ind…</t>
  </si>
  <si>
    <t>…r¡aí, aunque no graduadas to Jura de la Reina nuestra Señora Doña Isabel 11 como Princesa heredera, li davía de sospechosasr{Ñ&gt;í'íóí (iexAiztiiros. Remite ademas *1 estado de los en tografiadas de órden de su augusto Padre el Sr. D. Fernando vn (Q. E. E. G.) fermos. de la eapit^ f jdel cual apare?»; que las enfermedades que alli reinaban en el Real establecimiento, de Madrid, y dedicada á S. M. la Reina Madre eran fiebres intermitentes, gástricas y diarreas. Doña María ‘Cristina de Borson , Regenta y Gobernadora del reino. Dicha colecc…</t>
  </si>
  <si>
    <t>…., para apoyar este empréstito, que cía *»el empréstito de.Guebhard, que con tal fecha confirmó la regencia de era preciso no olvidar el principio de na hagas Á otra lo que na quieras para, Madrid, y con tal otra le aprobó el Sr. D. Fernando vu” Siento no tener tí. Este principio, tan exacto y evidente, lomado con tanta latitud, obligaría aquí dicha guia, que sino leciia textualmente el párrafo. Nada existe en él que</t>
  </si>
  <si>
    <t>…ra pid.ó que se preguntase ti el puntó estaba suficien quien la dijo; se levantó al hablarse de cómo se había de recibir al Rey, y di temente discutido; y habiéndolo verificado el Secretario Trucha, resultó que jo: «Si el Sr. Rey D. Fernando yiene á España.deberá ser absoluto, como fue no por 43 contra 42* ron sus padres y sus abuelos.” Pues, señor, tai fue el chubasco que se levantó El Sr. Crespo de Tejada; «Estoy de acuerdo con el Sr. Caballero en en el Congreso y el público al oir tan inesperada como escandalosa expresión, ue se adm…</t>
  </si>
  <si>
    <t>…e la Habana, sino de todas las po cuales convienen á un pueblo cubo, y 1 las justas consideraciones que se deben blaciones inmediatas. Se reunieron en las casas consistoriales el Excmo» Sr. ca- guardar á U reciente pérdida dd Sr. D. Fernando vi* de feliz recordación»</t>
  </si>
  <si>
    <t>…institución de los visitadores de Rentas no ha servido por desgracia para llenar, bajo HOLAN. A. el pie en que se hallan, las miras benéficas que se propusiera al El Haya 13 2/ Agosto. erearia mi mnv amado v augusto Esposo el Rey D. Fernando vir" (Q. E. E G.) por su Real decreto é instrucción de'3 de Julio S. A. I el principe feld mariscal ha publicado la siguiente órden del dia: de 1821 ; y no siendo justo (jue en una época en que todos los es Orden del dia para el ejército en campaña. fuerzos de la mayor economía apenas bastan para c…</t>
  </si>
  <si>
    <t>…manifestar que luego que dia Real/* me encargué de la Secretaría de la Guerra , me llamó la atención un expe El Sr. Secretario del Despacho de Hacienda contestó que estaría en el diente instruido durante la administración del Sr. D. Fernando vil con su reso presupuesto; y después de haberlo leído, dijo que ascendería de unos 22 £~23 lución , para que se observase lo que manda la ordenanza en esta parte: los co Bullones. roneles , inspectores y directores de la guardia se entendiesen con S. M. por El Sr. Arguelles: «La comisión propone…</t>
  </si>
  <si>
    <t>…s del gabinete de Austria. El estado rio de esta ciudad otros que los de sacrificarse en defensa de los derechos de ia de los negocios interiores de la Puerta hace presumir una destrucción cercana. augusta Primogénita d«l Sr. Rey D. Fernando vit, bajo cuyo paternal gobier Se habla de conspiraciones en la capital, de incendios preparados , de miseria y no ha.prosperado la isla; la cual espera llegar al colmo de felicidad que pue descontento en Constantinopla, y de sedición en las provincias. El gobierno ni den gozar los pueblos, en «1 r…</t>
  </si>
  <si>
    <t>…ocÉtcioh¿dfl Real ysupttjno Conseja de Navhtra. J . puedo mentís de acompañar con mis exhorto? la bondad y clemencia de Aucstra legítima Soberana. | .Navarros: Cuando el Consejo de Navarra en su auto acordado del dp8 Nuestro B.ey D. Fernando vu de Borbon, rescatado un tiempo con vues jd¿',Octubre filtimo'tiecCTrdó á los ayuntamientos y justicias del reino la obliga- tra sangre y heroísmo, os recomendó su augusta Hija para que la defendieseis clon ¿Je conservar él'o¿$íén público y de obedecer a las leyes, que han sidp pre- sobre el frog…</t>
  </si>
  <si>
    <t>…spacho de la Jmprenta Real* bastante probabilidad, se dará una idea de 1 os trabajos de este escritor. A me La Música* poema por D. Tornas de Iríarte* tercera edición* año de 1789. Uncu*' diados del siglo pasado nombró el Sr. Rey D. Fernando vi á dicho Veiazquez; derno en +.°, adornado con seis estampas finas, a «¿ó rs. rama y 36 pasea común. £ste poei para averiguar y reconocer las antigüedades de¿España, recorriendo ! este fin ma se halla dividido en cinco cantos: el primero ofrece una idea de los elementos de arte * reduciéndolos a…</t>
  </si>
  <si>
    <t>…ores (abusando de vuestra benevolencia), hacer una re de la Tempestad. seña prolija de los acontecimientos notables ocurridos desde el fallecimiento del Por aquel tiempo tomaron las cos3S nuevo aspecto. Fue preciso buscar ett Rey D. Fernando vir, que en general son bastante conocidos. Tampoco en el celo, en la fidelidad al trono, en el móvil del amor patrio, el impulso que traré en_parmenores ni explicaciones circunstanciadas de los muchos y diversos debía dar nueva vida á este cuerpo desfalleciente. Se puso sobre las armas el oBjetos…</t>
  </si>
  <si>
    <t>…. problemático el derecho que dice tener el cabildo dé Santiago para percibir el Voto, en razón de que , según tengo entendido, no hay ningún decreto det Se abrió á las once, y leída el acta de la anterior quedó aprobada. Sr. Rey D. Fernando vn después del año 23 para Ja rehabilitación de él. El Estamento quedó enterado de un oficio del Sr. Secretario del Des- « No basta decir generalmente que se anuló todo lo hecho en tiempo de la icho dq Guerra, al que acompañaba el original de la memoria de su ramo Constitución, puesto que vemos muc…</t>
  </si>
  <si>
    <t>…es establecidas en las plazas y puntos de continua guar del país. nición. "Por la fragata Paz que salió de Cádiz en. Diciembre último se comuni Hé aquí los medios-de llegar al fin propuesta có á Filipinas el fallecimiento del Sr. D. Fernando vtr, acompañando órde Sin salir de España, siempre que se han empleado, aunque en pequeña es nes é instrucciones propias para ta conservación de aquella parte importante de cala , han correspondido en gran manera. Las célebres escuelas de Avila, de la Monarquía, que ha sido confiada al mariscal de…</t>
  </si>
  <si>
    <t>…brica 24 ‘tC'á que sea menor la disminución enunciada, y a que vuelvan las entradas de los de aquel reino. 1 á su nivel anterior,1 como ya empieza á notarse debido en parte, dígase «Por Real orden de 8 de Junio de 1828 , el Señor Don Fernando vii lo que se qbie^a, á ia vigilancia del Gobierno. Contribuciones extraordina (Q. E. G. E.) tuvo á bien declarar que la uva moscatel y planta de que se ha rias. Él Estamento sabe muy bien que tampoco hus^a ahora han reñido efec ce pisa no está exenta de pagar- diezmo, debiendo satisfacerle en uva…</t>
  </si>
  <si>
    <t>…os ín* soñaba poder cobrar. terciados para que no llevasen sus pretensiones mas allá de lo que la costumbre res causas puede haber, no obstante , para que el cabildo de Valencia había establecido. La misma Instrucción del Sr. Rey D. Fernando vn del año se oponga á nuestra justa pretensión : la primera es la tendencia que todas las de Lo2'd dice; ”sin perjuicio de la costumbre que se halle establecida anterior corporaciones ricas tienen i enriquecerse cada vez mas: la segunda nace de loi mente'*, porque no hay ninguna ley que este estab…</t>
  </si>
  <si>
    <t>…a organización cesóá principios deb siglo taquígrafos pongan todo el cuidado que sea posible en la redacción exacta de actual,.quedando extinguidas las dos compañías flamenca é italiana; y mas las sesiones.” adeladte, Tcicando ya D. Fernando vil, se dió al' cuerpo la actual organiza- , El Sr. conde de lar Nava/: «Tengo el honor de someter á la delibera eíon' por escuadrones, que es mas propia de su instituto ; y aunque han cesado - ción del Esta'ínento, y suplico haga pasar á la comisión de Gtaerra, una proposi en’ parte las razones qu…</t>
  </si>
  <si>
    <t>Fernando, D</t>
  </si>
  <si>
    <t>D Fernando</t>
  </si>
  <si>
    <t>…a Kabul ii , a •n la ’ dar que re'panMINISTERIO 1&gt;E LA GUERRA. decc v bondad que resalta en el gobierna de su R ;\a .Madre: Cass -\Íjc estad es que son para la España lo que la aurora y c! so. \para !a tierra. Reales órdenes. El .Sr. D. Fernando vn, aun desde la mi *&gt;n misma Jei rm eterno, parece e&gt;tar continuando su* paternales de-vu.- que tuvo en \o ia p r ,i clona Cpn fecha de hoy se circula por el ministerio de la Guerra á los capitanes y prosperidad de esU nación, habiendo dejad.' n las Reales mar.o de V. M. y comandantes generales y…</t>
  </si>
  <si>
    <t>…e en el párrafo 16 de muchas cuestiones, y entre Rkika nuestra Señora Doña Isabel. ii en los mismos términos que lo estaba •lias de la otomana, la Cámara enuncia un principio general que no compromete cerca del difunto Monarca el Sr. D. Fernando vii (Q. E. F. G &gt; S. M. , en al gobierno, pero que le obliga á estar alerta sobre todo lo que interesa ó pue este solemne acto , se dignó manifestar a dicho distinguido-dip.omático el apre da interesar á la nación: porque siempre que se quebranten los tratados ó se cio que hacia de sus cualidades p…</t>
  </si>
  <si>
    <t>…sistema de gobierno cuando volvió de Valcn- blo apóstol. Contiene las Instrucciones de S. Cárlos Borroifleo, él discurso místico v moral del bcMo Leonardo de Puerto Mauricio, y el tratado de asistir y aoxiliar á lo* qey S- M. el Rey D. Fernando vn. Ninguno de ios nombres funestos, que en moribundos: traducido al castel ano por D, Juan Pta2 de Baeza, presbítero, uoJtomá aquella época de irritación se impusieron recíprocamente los partido*', se halla en 8.° Se vende en Madrid en la librería de Viana; Sevilla en la de Hidalgo; Cádiz, una sol…</t>
  </si>
  <si>
    <t>…favor las debidas gracias á S. M., por cuya dilatada vida, salud y feliz Señora: Pasando ya el natural termino del dolor en que U temprana muergobierno dirijo mis votos y oraciones al Todopoderoso. te de nuestro amado Soberano el Sr. D. Fernando vu (Q. E. G. K.) sumergió 'Dios guarde á V. E. muchos anos. Barbasiro l/ de Diciembre de 1833. á todos sus leales súbditos; después que este ayuntamiento de Molina, capital Jaime, obispo.rrExcmo. Sr. Secretario del Despacho de Gracia y Justicia. d* vuestro Real señorío, cumplió con sus primeros deh…</t>
  </si>
  <si>
    <t>…dir sus fueas con los franceses; miento y voluntad de la nación en las Cortes de 1789 : lo es por la disposísin embargo preparan baterías, ejercitan la milicia, hacen a-as y provisiones,y cion testamentaria de su augusto Padre el Sr. D. Fernando vir; y como tai en todo se dan el aire de intentar una resistencia. Si tal su»diese, los franceses Reina y Señora nuestra está reconocida y jurada de la manera mas pública v residentes aquí tendrían que huir, porque á pesar de las segridades dadas por A solemne en las célebres Cortes de Madrid de e…</t>
  </si>
  <si>
    <t>…res, se dirigía hacia la Cevoliera y Cañadilla, dispuse Nuestra eterna gratitud debe recordarnos muy particularmente en este día mi marcha esta madrugada con dirección á estos pueblos, y habiendo pa£a¿6 Ja memoria del gran Rey el Sr. D. Fernando vu, que fue el padre de la pa per ambos, supe que efectivamente estuvo sobre las diez de U n&lt;xhc en el se tria: ha dejado de existir bajando á la tunyba; p=ro su memoria vivirá eterna gundo, v que después de haber extraído raciones se háSian dirigido hacia Bel mente en nuestros corazones, reconocid…</t>
  </si>
  <si>
    <t>…J Madrid 3 de Prbrtro. guarnición, ll*0 granaderos provinciales de la guardia Real pertenecientes á U de la Puebla y 25 caballos, había atacado el día 27 en el pueblo de Oquina En 16 &lt;fe Jubfo del afio próxímó pasado S. M. el Sr. Rey D. Fernando vh á la facción del cabecilla Luzurlaga, á la que sin embargo de haber huido ^co I U sífVió aütóffiífr ‘l D. Josef María'.deY Castillo, abogado de los Reales con- bardemente pudo cogerle á su aproximación 4 cajones de municiones, una caja se'jo* y promiótcrfl'fisial de la subdelegado!* de montes y…</t>
  </si>
  <si>
    <t>…ecisión por los imprescriptibles derechos de-1* Rjuva nuesír*.Se Atil:; y por ultimo, que siendo el día de. pasado mañana el de nuestro difunto ñora Doña Isabel ii, encontrarán en mi digno sucesor un gefe franco j- un Soberano el Sr. D. Fernando vii , deseaba S. E. al concluir su mando solemni padre amoroso decidido á premiar las virtudes que caracterizan á este leal ejérzarlo de un modo digno de la grata memoria de'un Monarca, particularmente cito.=Ricafort^= Alejandro Araná, secretario. djstinguido por la bondad de su corazón,.y que nada…</t>
  </si>
  <si>
    <t>…s una cuestión de suce~ aquellas en que no es 'poaesario descender á pormenores, desentrañar los hechos; tion t sino de principios* una de aquellas causas en que los Estados , por el instinto de su propia conser «La respuesta del Sr. D. Fernando vii estaba llena de dignidad; y reci vación , tienen que pronunciar el fallo. bió del modo debido da indicación de dar parle de esta protesta i los Sobe ‘ ;i ^Mirando, pues,hajo este aspecto la cuestión presente, entremos á obser- ranos. ta.r cuál ha sido,Ia conducta del Principe, y á presentarla b…</t>
  </si>
  <si>
    <t>…o; es la dignidad mamente enlazaíhhéón si triunfo de la causa de la -Reina nuestra Señora; y suprema del reino, á la cual se sucede con arreglo .á las leyes- establecidas en al-momento ihisiño de recibir la nueva de la muerte del Sr. D. Fernando vn, pro comunal del Estada La Opción, la espectétiva á heredar la corona es un ofreció á laaugusta hertdéra de so tronó el apoyo mats firme y sincero. La derecho político que no^puede equiparme con los derechos civiles, nt está su Ftencía aplaudió uníniiqe esta noble decisión de su Rey ; y España n…</t>
  </si>
  <si>
    <t>…varas. Apenas- fiado hacerse litas hasta el alio de 829, en el Viluma, con'retencion del gobierno civil de esta provincia. - que fue invitado el autor á continuar s¿js tardas bajo la protección y con el au xilio del Gobierno. El Sr. D. Fernando vu (Q. E. E. G&gt;) le honró, sobremanera acogiendo bondadosamente y dignándose manifestar qué había visto con el mayor aprecioPartes recibidos en les secretaria de Estado y del Despacho Je la Guerra. la memoria que se le presentó por mano de su Secretario de Estado y deLJDcsEl comandante general de l…</t>
  </si>
  <si>
    <t>…as y medias ga la misma. (Id.) la quev se observaban anteriormente, por haber trascurrido ei medio año de _ admitiendo la dimhion que ha hecho de su destino el Sr. de Rubianes, sub luto riguroso desde el fallecimiento de S- M. el Sr. D. Fernando vu (Q. E. delegado del Fomento de la O'rufu , v mandando se pub.ique en la Gaceta R G.) (Id.) la generoidad con que ha cedido sus sueldos en favor del Estado, (id.) 1- estableciendo reglas uniformes que fijen las relaciones que los estableci nomhranHo subdelegados del Fomento de las provincia* de A…</t>
  </si>
  <si>
    <t>…as y medias ga la misma. (Id.) la quev se observaban anteriormente, por haber trascurrido ei medio año de _ admitiendo la dimhion que ha hecho de su destino el Sr. de Rubianes, sub luto riguroso desde el fallecimiento de S- M. el Sr. D. Fernando vu (Q. E. delegado del Fomento de la O'ruru , v mandando se pub.ique en la Gaceta R G.) (Id.) la generoidad con que ha cedido sus sueldos en favor del Estado, (id.) 1- estableciendo reglas uniformes que fijen las relaciones que los estableci nomhranHo subdelegados del Fomento de las provincia» de A…</t>
  </si>
  <si>
    <t>…ntrayéndose solo í las necesidades del país, y prescindien J2 , celebradas en Cádiz, se resolvió y decretó, tratándose de la sucesión i la do absolutamente de lo que pudiera tener relación con las naciones extranjeras. Corona del Sr. D. Fernando vil .quesería por línea recta masculina, pero que Ha indicado sus Ideas de un modo general, porque sabe que en lo sucesivo han en &gt;u defecto se seguiría rigorosamente U línea femenina- Contra tan solemne da venar las discusiones sobre los mismos asuntos, y ha contraído sus observa decisión , en una…</t>
  </si>
  <si>
    <t>…crepa en uno ó otro alguno de aquellos, el cual en este caso tiene derecho Kl relator de la comisión contestó que esa expresión aludia á la tarifa que á manifestar su opinión particular. se hizo en el año 2 5' por el Gobierno drl Sr. D. Fernando vii; pero que (a Et J*r. Calderón Cotiantesi «Habiendo habido en las prolijas sesiones que comisión se convenia en suprimir dicha expresión. ha tenido la comisión sobré el señalamiento de la dotación á la Real familia El Sr. Secretarío de) Despacho de Hacienda preguntó vi ro había algún distintas o…</t>
  </si>
  <si>
    <t>…itid-'' que se pub.iquen , y si se ¡e* despotismo ¿ ilustración a un tiempo, tralo'de cercenar las facultades del Con ye-en se escandalizaría todo ci m-itivl.' de que en e¡ ano de no se permita sejo de Gobierno, instituido por el Sr. D. Fernando vit. Entonces la prensa imnrhnir lo que ellos contienen. N ^ traía de expresiones ni de frases, sino periódica se presentó con valor á defender al mismo consejo y sus atribuciones, de materias. Sobre la misma libertad de imprenta ha hab-do censor en Madrid á quien aquel.a adminislrac on denominaba…</t>
  </si>
  <si>
    <t>…n todas las Tnaierifis sujeta» á cen-ur.i, a quiere» se reparta por turno el examen y calificación de las olmas, como se estableció Xo pudiendo existir U absoluta é ilimitada libertad de imprenta, publica-*- por mi augusto Tío el Rey D- Fernando vi á consulta de su Consejo pleno 1 esen y circulación de libros y papeles, sin ofensa de la pureza de nuestra reli— de 19 de Julio de 1756. Arr. 12. Les censores serán nombrados por Mí, á propuesta de los subde| gion católica, y sin detrimento óej, bien general, ni todas las trabas y rcstricI cion…</t>
  </si>
  <si>
    <t>…de la Real sociedad de amigos del rector, José María Sánchez Chavés.r=El secretario, José María de^Cüeltar.—---- país de esta capital: erigida por el virtuoso Cirios nt, protegida porjsu au gusto hijo Carlos iv, y honrada por el Sr. D. Fernando vn (Q. E. G. E.), ha desempeñado el objeto de su instituto sirviendo al Rey y i la Pátria: todos ios años en los dias de S. M. ha celebrado sesión pfiblica para premiar el méri Tratado de los Sofismas, sacado de los manuscritos de Jeremías Ben— to y la aplicación; y en este ha señalado para tan sol…</t>
  </si>
  <si>
    <t>…y velar por el bien del mismo pueblo que bas del crimen de alta traición cometido por aquel mal aconsejado príncipe. »e sotnete á su dominio. Es un principio de eterna verdad que donde reside Vivía y reinaba su augusto hermano el Sr. D. Fernando vn (Q- E. P. D.) aptitud para conceder derechos, ha dc/haberla También p*ra derogarles. Y esta cuando ya te empezaron i urdir tramas contra la segundad del trono y del Es es la práctica que siguen las Naciones desde el momento que asi lo exige su tado poruña faction rebelde y sanguinaria: crecían y…</t>
  </si>
  <si>
    <t>…el Sr. Secretario Belda, relativa 4 que el Sr. Presidente quedase au cibieron cantidad alguna procedente de dicho empréstito, habiéndose cobrado torizado para conceder las licencias en semejantes casos. los primeros fondos por el Rey D- Fernando vn después de su regreso i Ma Se dió cuenta, y el Estamento quedó enterado , de un oficio del Sr. Se drid en 1823; y es bien sabido que esta clase de contratos no pueden llamarse cretario del Despacho de lo Interior, comunicando al Estamento que S* M. consumados hasta que se principian á regulariza…</t>
  </si>
  <si>
    <t>…ocontrario las consecuencias *er¡an:terr¡bUs..; ¡ .-j. blica. ■ ■/ ' ' • /" ' «Cuarto vició' dé este empréstito: que fue dcrog*dp„pot;.qp decreto oe . «Si recorocemós este empréstito., adoptamos prúsicamente el principio S. M. el Sr. D. Fernando vite y Jo fue contodasolemnjdad1:;lQómp1,,pq^, de que ja. Nación es responsable de los contratos que establezcan sus Gobier nosotros, si tomásembs dos balánzasíguaUs-para pesar los argumentos engrio y nos,'y esto da seguridad á los contratantes', y crédito .i la Nación :el crédito, en contra, de és…</t>
  </si>
  <si>
    <t>…com ro que contrataron Us Córtes con bases parecidas al de Guebhard» en cuanto % prenda la penetración de los Sres. Procuradores. ser reembolsable, hubieran reclamado y con razón los prestamistas interesados, *»Sc ha dicho que ei Sr. D. Fernando vu no aprobó aquel empréstito, y ai no se les igualase con lo» del último; reclamación que seria muy arreglad* ¿ que solo se halla en el expediente la palabia aprobado , sin que siquiera sea los/principios de equidad y de justicia. de letra de S. M , careciendo también de rúbrica [a resolución. Me…</t>
  </si>
  <si>
    <t>…ajador extraordinario y plenipotenciaDios. Todos están decididos á hacer mil pedazos al infame que intente siquiera rio del Rey de los franceses, presentó ames de ayer, en el palacio de invierno, no venerar la última voluntad del Sr. D. Fernando vil (Q. E. E. O-)', y sus credenciales á nuestro Emperador: concluida la audiencia fueron presentados vuestro fiel ayuntamiento de Matanzas, mientras cuente con el honor de tener á S. M. I. el barón Larne y el marques de Chasseloup-Laubat, ayudantes dei á su cabeza un gefe tan virtuoso y tan agrade…</t>
  </si>
  <si>
    <t>…Excmo. Sr.=A:Uonio , obispo de Alai. wiun. br. D. J-an C.i■ ja. oertsduque Presidente del consejo Real, para comunicar á aquel supremo tribunal González, ministro de Gracia \ Justina. las cláusulas del testamento otorgado por el Sr. D. Fernando vn en 12 de Ju nio de 1830, y en virtud de los cuales nuestro difunto Soberano instituye a su Excmo Sr. : He recibido c m el nu\or aprecio la exprés S. M. augusta Esposa Regenta y Gobernadora de esos reinos, durante la menor edad la Reina Gobernadora se sirve honrarme , rcm.nerd. me p Y. 1de su exc…</t>
  </si>
  <si>
    <t>…icitar * M. el barón de Evom por haber prevenido tan nifestar á V. M. el alto sentimiento que produjo en todo este fiel vecindario la favorablemente una deliberación qac reclama la humanidad, la religión y la prematura muerte del Sr. D. Fernando vit, el acatamiento y entusiasmo con sociedad. {Liberal.") que proclama á nuestra Reina Doña Isabel jj , y ia decisión y noble delirio inglatkrxa. con que se ha pronunciado por el ilustrado y maternal'gobierno de V. M., Lóndres 2 3 de Diciembre. empañaría el brillo de sus sentimientos eminentemente…</t>
  </si>
  <si>
    <t>…avaricia de Ibrahim-bajá , y que no puede sufrir las contribuciones que to, porque en toda ella no solo era querido y adorado el macnanimo Soberano le exige su nuevo amo para sus gastos personales y mantenimiento del ejército. el Sr. D- Fernando vn, sino que solo el recuerdo de su nombre pre-»e:;rcbu en La suerte de Candía no es mejor: sus habitantes se ven forzados á pagar mas los semblantes el respeto v la veneración hacia su augusta Real Persona, v !e veian duros impuestos que cuando vivían bajo el cetro de la Turquía. como su ídolo y t…</t>
  </si>
  <si>
    <t>…te exposición, en que después de expresar su dolor por ia tem por plcard y Mazerez, y arreglada al teatro español por A. G. Se vende á 4 rs. en y Piferrer. en Barcelona rústica en la librería en la de de Calleja, prana muerte del Sr. D. Fernando vn (Q. E. E. G.), felicita á S. M. por el con por de Haciendo, aplicación D. Josef Canga Arguelles, á España, ——Diccionario advenimiento al trono de la Reina nuestra Señora Doña Isabel h , bajo la ministro jubi ado del consejo supremo de las ladias. Esta obra, que es U primera de tutela de su augus…</t>
  </si>
  <si>
    <t>…no correrá voluntaria ñores Infantes. y respetuosamente á rendir á su legítima e idolatrada Reina los homenajes le gales con tanta justicia debidos, cuando en su cumplimiento halla un desahogo á su profunda pena por la muerte del Sr. D. Fernando vn, v una nueva oca MINISTERIO DE HACIENDA DE ESPAÑA. sión de probar á V. M. su lealtad, su amor y su decisión en favor del trono de las Españas ? Circular sobre el pago de la contribución del subsidio en las rentas por Dígnese , pues , V. M. oir benigna la expresión pura é ingenua de f&gt;s sen menor…</t>
  </si>
  <si>
    <t>…buyó á ello el haberse creído en ei ex* «Una de las primeras ha sido que el Secretario de Estado dijo ayer era ab- trangero que el Estamento se había vuelto atíás de su resolución , y su error en stirdo suponer coacción en S M el Rey D. Fernando va cuando confirmó el esta parte provenía de una cosa muy sencilla. En Francia se acostumbra primerq empréstito de que se trata. El Sr. Martínez de U Rosa no empleó la palabra discutir todas L»s modificaciones que se hacen á los artículos de las leves, v des abiurdo\ y cuando se impugna es preciso…</t>
  </si>
  <si>
    <t>…a extraer las aguas Peí mismo beneficio disfrutan SS. AA. RR. los Sermos. Se del rio Mundo, reservándole sin embargo el derecho que crea, asis ñores Infantes. tirle para que use de ¿1 en justicia conforme á lo dispuesto por d Sr. Rey D. Fernando vil (Q. E. E. G.). Con este motivo se la Real decreto. servido declarar S. M. por regla general que ningún particular ni Teniendo en consideración que por mi Real decreto de 2&lt;5 de' corporación pueda distraer en su origen ni en su curso las ¡aguas de. Enero último mandé que el Consejo de Castilla c…</t>
  </si>
  <si>
    <t>…e ellos algu cirse igualmente que la última, tentativa de D. Carlos, su fuga clandestina de nas circunstancias peculiares* la‘ tierra'que le ofreció asiló, su desleal correspondencia para con los mismos Desde el momento en que el Sr. D. Fernando vu (Q. E. Ei G.) mandó gobiérnbs que1 le habían Favorecido en su desgracia, y su manifiesta intención promulgar como ley del reino el acuerdo de las Cortes de Madrid de 1789 de alimentar con su presencia el fuego de la guerra civil en las provincias suble (que no era en realidad sino la renovación…</t>
  </si>
  <si>
    <t>…á la Real compañía de Filipi nas por la cédula de ÍÓ de Marzo de 1785 y otras posteriores que JtmiSTERIO DE LO 1RTEBI0R. confirmaban y continuaban aquellos, llamaron muy particularmente la atención «leí augusto Esposo de V. M. el Sr. D. Fernando vit ' . Reales órdenes. (Q.ELE. G.): con el objeto «le acudir á remediarlos se formó on volu \ minoso expediente, en el que resulta¡ según los 'informes de mu chas personasy corporaciones ilustradas y amantes de la prosperidad, Eicttló. Sr.; Enterada S. M. la Reirá Gobernador* de los fe nacional, q…</t>
  </si>
  <si>
    <t>…que la retiraba, porque el Estamento era de su opinión: el he creta que era una cosa perfectamente entendida que faltando las dos augustas cho es que la retiró. ¿ Esto debe constar en el actaí Para eso son las sesiones Hijas del Sr. D. Fernando vn sin sucesión, esta recaía en el Sr. Infante Don públicas, para que todas oigan las razones que se dan, diferenciándose en esto Francisco de Paula y su linea, según nuestra legislación, por la decisión que de las secretas. En el acta no deben ponerse sino los acuerdos. No convengo acababa de pron…</t>
  </si>
  <si>
    <t>…armas corriendo sus cuatro'■fuentes de mármol/ solicitud derla parroquia de San Miguél, campo de Salinas, para separarse de aunque con el sentimiento de que por po. haber llegado la estatua colosal del la ciudad de Orihucla. Sn, Rey D. Fernando vn, no se hubiera erigido conto&amp;ne 1 mis deseos y á (psdcl conde de ViÚanueva, principal autor de esta grandiosa obra. Por la tar-' Extracto del parte remitido por el gobernador civil de la provincia de-Tar de todos los cuerpos francos de la guarnición formaron extramuros en gran pi ragona D. Anton…</t>
  </si>
  <si>
    <t>…rtugal , las tropas españolas; Jas cuales serán recibidas y tratadas en lo trono (base del público sosiego en las Monarquías hereditarias), convocó el dos conceptos como sean recibidas y tratadas las tropas de Ó. M. Fidelísima; y Sr. D. Fernando vii (Q. E. E. G.) Us Cortes del Reino por el mes de Junio S. M. la Reina Regente se obliga á Hacer retirar sus tropas fuera del territo del año próximo pasado, 4 fin de que reconociesen y jurasen 4 su augusta pri rio portugués apenas ei objeto mencionado de la expulsión de los infames se mogénita c…</t>
  </si>
  <si>
    <t>…gada no muchos años después en las Cortes de no tendrán nada de aventurado contra los principios conservadores de la so Madrid de 1789ciedad europea , sino que producirán , por el contrario (tál es su intención y En el de 1830 el Sr. D. Fernando vil mandó promulgar solemnemente deseo), el sumo bien de tranquilizar,á la Europa, asegurando el órden y el so el acuerdo de las mencionadas Cortes respecto de la sucesión á la corona, siego en la Península; lo cual jamas pudiera conseguirse encaminándose por el acueYdo que estuvo tan lejos de mira…</t>
  </si>
  <si>
    <t>…se pagaban las letras giradas sobre el ramo por la dirección del ció en España la contribución llamada subsidio del Comercio. Per tesoro, dándose lugar á que se concediesen facultades arbitrarias y suadido el Gobierno de S. M. el Sr. D. Fernando vu de que á me discrecionales á las juntas, y á que la Real orden de 18 de Enero dida que se aumentan los grados de prosperidad y de civilización de 1826 amenazase con la privación de sus empleos á los intenden en cualquier pais, se multiplican las ramificaciones de la fuerza pro tes que permitiese…</t>
  </si>
  <si>
    <t>…le en igual administrativo hubiesen de proseguir sin la ejemplar economía en plan, en tiem dad de circunstancias al lado de los demas acreedores. po y en caudales de nuestras provincias y ciudades industriosas , serian escasas El Sr. D. Fernando vii hizo en ios artículos 7.° y 9.° del contrato ma no solo las cantidades que fija la co .listón, sino también las que ha propuesto trimonial del Sr. Infante D. Sebastian y su Esposa, la asignación de 55o9 rea el Gobierno. Mas si en ,estos dias se ha de tender compasiva vista á un reino les al pri…</t>
  </si>
  <si>
    <t>…en la anterior contribuyó cada uno, a cuyo seis meses de alivio del luto rigoroso que viste la corte por el fallecimiento de fin , y sin perjuicio de dar desde luego las órdenes oportunas para que asi se ve su muy amado Esposo el Sr. D. Fernando vil (Q. E. G. E.) den principio rifique, puede V. S. pedir á los ayuntamientos testimonio del sorteo anterior,]en 30 del corriente; debiéndose usar en los tres primeros de cabos blancos, y y en caso de necesidad la conveniente noticia á los intendentes de las prosea- Idé colores en los tres últimos…</t>
  </si>
  <si>
    <t>…comprobación de la imposibilidad de que esto pueda verifi tal como está redactado, bien sea en el proyecto de ley , bien sea en el dictá carse, la historia reciente del último año. men de la comisión” «No bien había fallecido el Sr. D. Fernando vti, se levantó un pendón, .Lo leyó en efecto en los términos siguientes: «La Milicia urbana se com al rededor del cual quiere reunir á los españoles un Gobierno absoluto, pero pondrá ; de todos los individuos que actualmente sirven en los cuerpos que reformador. Este toma del Gobierno pasado la fo…</t>
  </si>
  <si>
    <t>…i lar&gt;- ", y también esta m»cripc¡ &gt;n : ¡a he— 1 [ La brillante iluminación de las casas consistoriales, la de la pirámide donde Tü'ua Cristis a muestra á su Hija ya jur./Ja el templo de la inmortalidad, ; ! se halla el busto del Sr. D. Fernando vti, oficina» de Real hacienda, consulado, y ios bustos veneradlos ae sus jm litas Aruelas. i correos y sub Jelegacíon de policía eran dignas de la admiración pública , si-.i que El 4-° representaba á la España en trace v ademan de una noble matronal ! por ello cediesen en nada las del vecindario e…</t>
  </si>
  <si>
    <t>…hablar, en lo posible; mas ré que ademas de la asignación que coriesponda, se debe dejar á disposición de sm embargo como algunos de los que lo han hecho, han sentado opiniones SS. MM. y AA, el pafrimonio Real , comp lo tenia el Sr. D. Fernando vil. que'requieren comentación, tengo la necesidad de verificarlo, procurando sea A este patrimonio se encuentran unidas rentas y obligaciones de diferentes cla con brevedad, y excusando el roce con otras cuestiones. ses, como son prebendas y propina* que tiene S. M. en algunas corporaciones, «Ante…</t>
  </si>
  <si>
    <t>…illo cílculo de las pro dora; y á mí parecer no podríamos dar á esta una prueba mas evidente de nues babilidades , pedia pronosticar la resolución de la mayoría del Estameato,si tro filial amor que señalarle igual suma que el Sr. Rey D. Fernando vu seña* "bien no he dicho una palabra de unanimidad, pomo se ha figurado S. S..* tenia ló á sus augustos padres. también en mi favor para pensar asi el creer que en cuestión de esta ciase cier «Se ha dicho que en el año 1820 se señaló mayor cantidad á la persona tos nobles sentimientos harían incl…</t>
  </si>
  <si>
    <t>…el referido J rrtitn, ¡o» batió, ;mn« un refx-.de, que el dia anterior hub&gt;a celebrado aquel superior-tribunal la-» exequias por el un o, ,4' „• ’iv* - d rendo ,.t;o con xa'.-'S tiodN de v.1 v . j» rociones -c^c alma de S. M. el Sr. D. Fernando vu (Q. E. P. D&gt; Durante la función se h.ib 1". '!..it", . &gt;m: mando dc las v»artida&gt; o persecución de ios resto» dijeron valias mitas en la iglesia de S. Francisco de Asís de la Corana, v con U b i::dj que iu.ia hacu N’tzca' acluida prenuncio la oración fúnebre un religioso del misino convenio. I-o…</t>
  </si>
  <si>
    <t>…Pedro Gómez Zamora, á D. Igna pagase alguna paTte de la deuda que contrajo durante,la suspensión de funcio cio María Uzcundun, cesante de la suprimida dirección del ramo; y la de ofi nes ocurrida con motivo del fallecimiento del Sr. D. Fernando vtt, y de ia cial de la contaduría de Almena, vacante por cesantía de D. Juan Cuervo, á reedificación del teatro; y S. M., en vista de las necesidades' de la compañíj, D. Pió Fernandez, cesante de la de Avila. . se ha dignado concederla su Real permiso para diez Ipailes públicos de másca ras en el…</t>
  </si>
  <si>
    <t>…, y establece en la primera.’’ porque creo que todas las consecuencias dé estos reconocimientos nos son feli MI Sr. Palana-. "Con sorpresa y admiración he oido el discurso del Se ces. Si no se niega la validez de la autoridad del Sr. D. Fernando vn, no té ñor preopinante, porqué bien penetrado de su lógica, de su saber y de su ta por cierto en qué sentido se puedan tomar sus hechos, ni sé tampoco bajo qué lento, extrañaba que discurriese de una manera tan agena, asi de la letra como concepto se puedan subrogar los nombramientos actuales...…</t>
  </si>
  <si>
    <t>…tenciones se satisfagan por la Real presadas en ci artículo'anterior, debiendo reunir las circunstancias siguientes: mano, debiendo esta captarse la voluntad de los puoblos? veipte y ciníp años. «Cuarenta millones se asignaron al Rey D. Fernando vtí en el año 14, Contribuir con'unj cüótí doble de la señalada para «1 Miliciano ur- y aunque se ha dicho que en aquella época era la Nación meaos pobre que en a a-:.:-:---------:—.. hallarse esta, es muy cierto sin embargo que entonces había pueblos que solo se com ponían de ca^as arruinadas ¿ in…</t>
  </si>
  <si>
    <t>…medias de la sociedad*, y después de adquirir' liber no, á falta de hijo varón, á su augusta Primogénita; por lo mis tades y franquicias municipales, aspiraroná su vez á tener tambiea mo que, apenas ocurrido el fallecimiento del Sr. D. Fernando vir voto en las asambleas generales de la Nación • (Q. E. E. G.) aclamó la nación como Reina legítima de España Lográronlo en efecto; y antes tal vez en España que en otra a la que deriva su derecho de las antiguas leyes, de las costumbres monarquías de Europa; y favoreciendo la Potestad Real esta…</t>
  </si>
  <si>
    <t>…sto lo digo á los Sres. de si hubieran sido apios suyos y aislados; mas hubo sanciones posteriores que los la comisión, no como ministre , sino como Procurador, como español inte legitimaron. Legitimó el empréstito de Guebhard el Sr. D. Fernando vn cuan resado en la causa de la ILb-ika nuestra Señora, en ia causa constitucional, y do fue restituido á la plenitud de sus derechos, y su aprobación ha sido la que de la patria; lo digo con toda la efusión de que «rs capaz mi corazón , y así ha legitimado semejante operación A este empréstito, o…</t>
  </si>
  <si>
    <t>…representante pie impuso un terrib e deber, misma justicia que ellos para ser atendidos. Todos entraron en el vastísimo que estoy obligado á desempeñar hasta exponerme al riesgo de ser vituperado campo á que los llamaba S. M. el Rey D. Fernando vn: todos fueron llama por abogar en favor de lo que crea justo. Por esto repito, señores, que me ha dos á seguir la senda constitucional, obedeciendo decretos expedidos en su llo interesado personalmente en esta cuestión, y no me avergüenzo dé ello; nombre y por su Oobierno, y rubricados por él. V…</t>
  </si>
  <si>
    <t>…nteriores, y Oración fúnebre que en las solemnisihias exequias, celebradas en la una parte de su caballería, en acción tenida á las inmediaciones de iglesia del Real monasterio del Escorial, de drden y á expensas del Rey nuestro1 Señor D. Fernando vn, i la justa y digna memoria deí Rey Ruidera á las cuatro de la tarde de ayer por la columna de urba cristianismo Luis xvm, pronunció el Dr. D. Fraoclsco Antonia Gon nos de esta villa é infantería de la Princesa y cazadores de la guar zález. Un cuaderno en 4.0, edición de 1824, á 4 rs. en rústica…</t>
  </si>
  <si>
    <t>…eldos si se exceptúan pocos1 casos, á lo necesa pudo contraer todos los que le convinieron i nombre de la Nación «pie regia? rio para mantenerse.Desde el afio de 18o8*e han ido bajando , y en el de 1823 El Gobiernq legítimo ..del Sr. D- Fernando vti, reconocido y considerado por se les dió, por decirlo asij él último golpe; ademas, yo creo que es imposi todas las Naciones, reconoció el empréstito «le Guebhard, lo sancionó y lo ble, si se quiere que Jos hombres cumplan con su obligación, privarles de la selló con su autoridad y aprobación e…</t>
  </si>
  <si>
    <t>…de que después no sea reconocida la deuda. Cuando laEuropj vea la reli D. Antonio desde su muerte se han administrado por su albacea testamentario giosidad con que procede la Nación española reconociendo los créditos justos,.y el Sr. D- Fernando vii, cuya testamentaria h? durado largo tiempo, y según desechando solo los que proceden de un principio falso, nuestro crédito se afian tengo entendido ,- se continúan administrando ahora por la mayordomía mayor. zará mas y mas, porque aquí no se trata del crédito de una persona, no es el del Esto…</t>
  </si>
  <si>
    <t>…perdiesen Ayuntamientos. La» bases del Gobic.no no habtan variado, estribaba este como en un laberinto , sin lograr desarraigar el mal. en ios mismos fundamento* que había tenido; pero presto se conociu que ia Si la ordenanza del Sr. D. Fernando el -vi d»ó 4 los Intendentes Corregído autoridad mas inmedura i ios pueblos, ia que hab'S de ejecutar las Ordene* y ro*: facultades para reunir los fondos del erario, puso también á su cuidado ¡o providencias gubernati ras, ao era cual convenia. Parecieron insuficientes ios contencioso de reste rem…</t>
  </si>
  <si>
    <t>…ativo por jueces inamovibles: los empleados y agentes modo «-que^no redunde en perjuicio del Estado. El alivio de tales desgracias de la administración tienen que ser revocables. La autoridad judicial camina Jlamó la aienbion del Sr. D. Fernando vn CO- ~E- E. G.), quien á este fin en* sujeta á reglas lentas y solemnes: la marcha de la administración debe ser por 16 de Julio de rü33 mandó expedir por ei Ministerio de Fomento un exce-’ lo cnmira rápida, y variarse según las circunstancias. lente decreto, ordethmdo el establecimiento de Junta…</t>
  </si>
  <si>
    <t>…ceras , Crespo Rascón, Onis, Trucha Cosío , VillaEl Sr. Afiquel Polo: «Como individuo de la comisión debo manifestar laz, Melendez, López del Baño, San Clemente, Anaya, Crespo de Tejada, que esta nada tiene que decir, sino que el Sr. D. Fernando vn en el año 181$ Latorre, Ochoa, Ruiz de Carrion, Subercase, conde de Adinero, Alvarez señaló á sus augustos Padres la cantidad de 12 millones, y que cree que el Es García, Romarate, Butrón , Garay, Laborda, Polo y Monge, Camps y So tamento debe hacer ahora lo mismo.” ler, San Simón, A rango, Ayal…</t>
  </si>
  <si>
    <t>…«He tomado la palabra en esta discusión, si bien para elogiar Ademas, si hubiésemos de respetar y dejar en su fuerza y vigor todas las re •l celo de lds individuos de la comisión, que no menos que yo desean las eco soluciones del Sr. D. Fernando vn , es claro que nada podríamos hacer respec nomías, á fip de aliviar á los pueblos, y proporcionar medios para cumplir to de economías y aun de otros puntos. La comisión por consiguiente se ha fi las obligaciones dei Estado sin gravarle* con nuevos impuestos, al misino tiem jado en la cuota que d…</t>
  </si>
  <si>
    <t>…que se acaban ahora de disminuir mas de dos millones al Sermo, se ' tales. Me acuerdo muy bien que cuando nació el primer hijo del Infante Don ñor Infante D. Francico y su augusta familia, se conformaba el Gobierno Cárfos, el Sr. Rey D. Fernando ie dedaró Infante, diciendo en su decreto so también en esta parte con el dictámen de la comisión. ^ bre el. particular. »No sicmfy nuevo en España que loa hijovde Infante sean EloSr. Miguel Poto: " La comiskm va i ocuparse ahora de La asignación</t>
  </si>
  <si>
    <t>…de España 3 por 100 39J. Empréstito Real de id 78 j. Renta per petua de id. 6l|. 1 La ciudad de Matanzas luego que recibió la orden de jurar por heredera Cámara de ios paees. —Sesión del dia 3. del trono á la Hija primogénita del Sr. D. Fernando vn , se apresuró á pres El mariscal Soult presenta el proyecto de ley , adoptado ya por la Cámara tarla el homenage propio de su lealtad y ei de su adhesión sincera a la me de los Diputados, acerca de la liquidación de créditos activos y pasivos de la trópoli. ‘ casa Real de darlos x. Se manda impr…</t>
  </si>
  <si>
    <t>…incidentes de la guerra de la independencia. No solo no pedia ser cho sirvió para privar de la libertad á los pueblos. Se ha querido decir que los estimada sino que no era conocida, y lo que no se conoce no se ama. Las aprobó el Rey D. Fernando vil; pero yo creo que no fue asi, y solo diré mismas Cortes de Cádiz, cuando creyeron conveniente su establecimiento, tu que cuando se contrajo no pudo aprobarlo , porque se bailaba en el seno de sus vieron que mandar á los curas párrocos de ta Península que explicasen la hijos, en medio de la repr…</t>
  </si>
  <si>
    <t>…s ó impuestos, y los empréstitos lo son, «Tal fue, señores, el poder absoluto que las leyes concedían al Soberano pues que hay que pagarlos. Bajo tres aspectos puede considerarse un empréstito: español. Por ley y por costumbre el Sr. D. Fernando vil era único Soberano, primero, ei de contiaerse , y entonces no hay que pagar, tino recibir; enton ñnico legislador , única representante de la Nación en todos los ramos ; y , ó ces no solo no hay que imponer contribuciones, sinp que evita recargarlas. Se se ha de decir, que la España no podia co…</t>
  </si>
  <si>
    <t>…ondiente una noticié circunstanciada de lo descartando toda otra consideración que no sea pura y meramente económica, que hayan importado estos ingresos, y de su inversión, tanto en las cantidades dirá que ni en el testamento del Sr. D. Fernando vir (Q. E. E. G.) , ni en libradas de Real órden, como en laé que directamente administren los religio ejemplares mas antiguos, se halla determinado el sueldo y consideración que sos que tas recaudan. deben tener los individuos llamados al referido consejo, bien nominalmente «Con' respecto á las su…</t>
  </si>
  <si>
    <t>…ninguna casa ni almacén, á del pesar inexplicable que la aflige desde que recibió el infausto anuncio de la I excepción de aquellos calos en qus el seguimiento de una causa requiera que se temprana rpuicrtc de su muy amado Rey el Sr. D. Fernando vil (Q. E. E. G.), I btisque el cuerpo del delito, ó que de hecho se persiga el bulto ó género desde y persuadida dé qUe su afligida voz no alcanzará nunca á explicado en toda su I el punto por donde se introdujo 6 por hallarse en la calle; intensidad, se acoge al silencio, elocuente intérprete de…</t>
  </si>
  <si>
    <t>…providencias, qye sin atacar la libertad de Us Cortes, evitasen desvíos y preci como todos los Ministros, á las' honras que la Grandeza hacia por el descanso pitaciones qué perjudicasen ¿ esta y ofendiesen á la potestad Real. del Sr. D. Fernando vn, y llegó, como yo, cuando se había votado la'peti- *? «Dice etiSrú1 Graliano, citando á Benjamín Constan», que en Francia la cion: habló no sé si el primer dia; pero después ninguno de nosotros tomó la monarquía se habia perdido por los temores dé la libertad, y la libertad por los palabra , y e…</t>
  </si>
  <si>
    <t>…las que hayan llegado á la edad prefijada, si la suerte las favo rece en el sorteo que se haga entre las aspirantes; en cuyo caso será» reempla Real orden. zadas en las clases del hospicio por otras huérfanas. Al disponer el Sr. Rey D. Fernando vu (O. E. E. G.) en Real Las que hayan acabado su educación en las dichas clases podrán volver al orden de 20 de Abril de 1885 la publicación en las provincias de seno de sus familias en caso de que lo deseen; pero si no tienen padres, se des un periódico con el título de Boletín oficial, se propus…</t>
  </si>
  <si>
    <t>…y vene Id. sin ínteres, 12f p. 100 ai cpntado : 12 p. 100 á 15 d. f. ó voL rables prerogativas. Tampoco deberá omitirse en este monumento el recuerdo Acciones del banco español ,00. de la magnanimidad con que en 1827 destruyó el Sr. D. Fernando vir la CAMBIOS. numerosa facción, que amenazaba, como la reciente, los derechos del trono y Ara'terdam, 00. París, 16-3. Cádiz, 14 b. Sevilla, 4 b. el bien estar de los pueblos. Bayona, 00. Alicante, á corto pla Cor uña, 4 d« Valencia, par. Tal ts la idea que se propone &amp; los artistas nacionales pa…</t>
  </si>
  <si>
    <t>…ste consejo disfruta que conceptúe mas aptas para ayudar á la Ruina tutora, y que e,t.t oiga su sen el sueldo de sus respectivosMest¡nos de carrera, no excediendo de 909 rs.; dictámen en materias graves y árduas. Es decir: que el Sr. D. Fernando vu al que se redujese i tres el número de cinco oficiales con 24, 18 y 149 rs.; que instituir este consejo , no hizo mas que seguir lo dispuesto por aquella sabia ley; se suprimiesen los escribientes: y respecto á los porteros, que se atendiese álos reservando el ejercicio de la potestad régia á S.…</t>
  </si>
  <si>
    <t>…rque se dice que el Emperador N.cola» no quiere admitirle. (Pw/.) I patria. Lo fue con singular amor para esia numerosa porción de sus hijos nues ('.orre la voz de que el gabinete de Husia ha tomado un tono roa* wmiso j tro Rey y Señor D. Fernando vil, derramando en su favor cuantas franqui- con respecto á los negocios del Oriente , y que ya no sera necesario enriar núes- ] £¡j5 y gracias le pidieron, y atestiguara la historia con el incremento de pros tro* buque* de guerra al Mediterráneo, hjbicndo esperanza* ¿t que todo *e con peridad y ri…</t>
  </si>
  <si>
    <t>…aun quizá necesidad, de presentar para dichas mitras, su sangre, si necesario fuese, el juramento que tienen prestado á la augusta Hija pidió á la Cámara los fondos necesarios para dotar las nuevas diócesis. La Cá primogénita del Sr. D. Fernando vu. mara concedió parte de lo que se le pedia, negando la otra, en lo que usó de su prerogativa: pero no dejando por esto de estar vigente la del gob.crno , hizo Santander 25 de Diciembre. este la presentación, wAcostumbrémonos, señores, añade, á conocer que un El 15 del corriente dispuso el ayunta…</t>
  </si>
  <si>
    <t>…ordinario' y' rhinisttó1 plertipotenciario de España' agravaban el peligro; cuandQ llegó la noticia de la inesperada muerte de su me- l |¿n la córte de Lóndres, sean los que desempeñen el honorífico encargo de pre- morablc Rey y .Señor D. Fernando vn (Q. E. E. G.) 1 Isentar i uno y otro Soberano el collar de la expresada Orden. Nada demuestra mejor la magnitud de una aflicción que el hacer callar otra I anterior; y asi sucedió á este honrado vecindario, que olvidándose del gravé I Bfifismuo DE HACIENDA DB F-SPAÍÍ A. motivo insinuado que tant…</t>
  </si>
  <si>
    <t>…Gobierno posteriormente establecido én España? «Cómo han de ser nulos los cia de Urge), que nó‘ la recónociarhingun gobierno, ni el de Francia,- ni el empréstitos contratados después de las Córtes por un Gobierno universal mente Sr. D. Fernando vn. En segundo jugar este empréstito y cuando el Rey ló re reconocido t conoció sen el afio de 24'F71° redujo al estado que ahora tiene, se trató que »Por lo tanto creo que la cosa mirada sincera y sencillamente es clara, fuese leembolsable en 2lPafíoa; pero no solo se ha reembolsado ya', sino que…</t>
  </si>
  <si>
    <t>…aman el trascurso del tiempo, los progresos de la ci Pueblos»—— ÉU*. Enfermo*. Curados. Fallecidos.' vilización y de la administración pública.” Ya se cometió- esta operación i varias ¡Untas sin resultado alguno en el reinado del Sr. D. Fernando vn, reconociéndose la necesidad de la reforma, y Agoncillo.......... 1 5 á 17 Setiemb. 00 00 4 echándose de menos como al presente la instrucción particular de estafetas anun Alfato................ Idem idem..... 11 00 6 ciada en el capítulo 1.a, titulo 3.a de las mismas Ordenanzas, como también Br…</t>
  </si>
  <si>
    <t>…deuda* de Estado, en legítima. Sin embargo, algunos señores que se oponen á fa aprobación del pri el 3° te anuncia que no se pagará mas que la mitad. Ha dicho el Sr. M*n siró que mer artículo del proyecto de ley han dudado si el Sr. D. Fernando vu podía |i no debemos anular los hechos de un Gobieino reconocido.- Nosotros no hemos contraer deudas ¿ imponer contribuciones. Con este morís o se ha dicho que ¿ tratado de anular* los hechos de un Gobierno reconocidq: queremos anular los nuestras leyes fundamentales establecían las reglas, según…</t>
  </si>
  <si>
    <t>…cipación del Gobierno francés para vestir las milicias provin creo nada hay que añadir; pero sin embargo, haré una ligera observación , y ciales y cuerpos españoles. De todas manera» venimos i parar en que tan m- es que cuando el Sr. D. Fernando vu aprobó dicho empréstito, no pudo tener Ilgmfifcame Cantidadatendida la masa de la deuda, fue incorporada en el te-/ verdadera libertad para hacerlo. S. M- publicó antes un decreto por el cual de conocimiento que hizo el Sr. D. Fernando vu en_1828 Por consecuencia éste claraba á la fax"de toda Eu…</t>
  </si>
  <si>
    <t>«mpréstitoj primeros no vemos refundidos mas que piquiñas partidas , siendo -**Ha dicho ci Sr. Fleíx que los empréstitos habían sido reconocidos por el osi que enlre estos últimoste iocluyci] qna porción de deudas de las mismas Sr. D. Fernando vir , y que habiéndolos él reconocido, la Nación debió se reconocidas por las Corles. Ademas de los empréstitos contraídos en estos últimos guir su eicmplo. Aqui hay una notable equivocación. Nadie disputa la Facul once años, forman parte de ia última deuda las siguientes-caniidades: ralea tad que…</t>
  </si>
  <si>
    <t>…exigir pnr tercera vez al pueb’o español una quin otro camino, adoptó el de hacer la operación del reemplazo igual en lo esencial ta de 250 hombres, pues tal ha sido la del año de 33 y la del corriente, y á la que viviendo aun el Sr. D. Fernando vn se ejecutó, fijando la quinta en que ha de verificarse bajo e! pie violento, bajo el pie injusto, y bajo el pie 25¿) hombres. Este mismo número se propone ahora: y aun así, siendo Opera desequilibrado que se ha hecho hasta aquí, desearía que se dijere al menos la ción sencilla al parecer, por ha…</t>
  </si>
  <si>
    <t>…eñalamiento de las ]«arciones de terrenos ó edificio* orden de la junta, y reformadas por esta en vista de lo que aque de propiedad particular, de realengo, comunales ó baldíos que debe llos expusieron, mandó mi augusto Esposo el Sr. D. Fernando vii Ocupar el canal y sus de|iendencias; y finalmente las tasaciones por (Q. E.-E. G.), teniendo presente nueva propuesta hecha por los ein- ]&gt;eritos nombrados con las formalidades que previenen las leyes, y. resarios en ó de Abril de 1833, que una comisión esjiecial compuesta demás operaciones ind…</t>
  </si>
  <si>
    <t>…dTnar¡aí, aunque no graduadas to Jura de la Reina nuestra Señora Doña Isabel 11 como Princesa heredera, li davía de sospechosasr{Ñ&gt;í'íóí (iexAiztiiros. Remite ademas *1 estado de los en tografiadas de órden de su augusto Padre el Sr. D. Fernando vn (Q. E. E. G.) fermos. de la eapit^ f jdel cual apare?»; que las enfermedades que alli reinaban en el Real establecimiento, de Madrid, y dedicada á S. M. la Reina Madre eran fiebres intermitentes, gástricas y diarreas. Doña María ‘Cristina de Borson , Regenta y Gobernadora del reino. Dicha colecc…</t>
  </si>
  <si>
    <t>…S. S., para apoyar este empréstito, que cía *»el empréstito de.Guebhard, que con tal fecha confirmó la regencia de era preciso no olvidar el principio de na hagas Á otra lo que na quieras para, Madrid, y con tal otra le aprobó el Sr. D. Fernando vu” Siento no tener tí. Este principio, tan exacto y evidente, lomado con tanta latitud, obligaría aquí dicha guia, que sino leciia textualmente el párrafo. Nada existe en él que</t>
  </si>
  <si>
    <t>…Zimora pid.ó que se preguntase ti el puntó estaba suficien quien la dijo; se levantó al hablarse de cómo se había de recibir al Rey, y di temente discutido; y habiéndolo verificado el Secretario Trucha, resultó que jo: «Si el Sr. Rey D. Fernando yiene á España.deberá ser absoluto, como fue no por 43 contra 42* ron sus padres y sus abuelos.” Pues, señor, tai fue el chubasco que se levantó El Sr. Crespo de Tejada; «Estoy de acuerdo con el Sr. Caballero en en el Congreso y el público al oir tan inesperada como escandalosa expresión, ue se adm…</t>
  </si>
  <si>
    <t>…es de la Habana, sino de todas las po cuales convienen á un pueblo cubo, y 1 las justas consideraciones que se deben blaciones inmediatas. Se reunieron en las casas consistoriales el Excmo» Sr. ca- guardar á U reciente pérdida dd Sr. D. Fernando vi* de feliz recordación»</t>
  </si>
  <si>
    <t>…la institución de los visitadores de Rentas no ha servido por desgracia para llenar, bajo HOLAN. A. el pie en que se hallan, las miras benéficas que se propusiera al El Haya 13 2/ Agosto. erearia mi mnv amado v augusto Esposo el Rey D. Fernando vir" (Q. E. E G.) por su Real decreto é instrucción de'3 de Julio S. A. I el principe feld mariscal ha publicado la siguiente órden del dia: de 1821 ; y no siendo justo (jue en una época en que todos los es Orden del dia para el ejército en campaña. fuerzos de la mayor economía apenas bastan para c…</t>
  </si>
  <si>
    <t>…de manifestar que luego que dia Real/* me encargué de la Secretaría de la Guerra , me llamó la atención un expe El Sr. Secretario del Despacho de Hacienda contestó que estaría en el diente instruido durante la administración del Sr. D. Fernando vil con su reso presupuesto; y después de haberlo leído, dijo que ascendería de unos 22 £~23 lución , para que se observase lo que manda la ordenanza en esta parte: los co Bullones. roneles , inspectores y directores de la guardia se entendiesen con S. M. por El Sr. Arguelles: «La comisión propone…</t>
  </si>
  <si>
    <t>…miras del gabinete de Austria. El estado rio de esta ciudad otros que los de sacrificarse en defensa de los derechos de ia de los negocios interiores de la Puerta hace presumir una destrucción cercana. augusta Primogénita d«l Sr. Rey D. Fernando vit, bajo cuyo paternal gobier Se habla de conspiraciones en la capital, de incendios preparados , de miseria y no ha.prosperado la isla; la cual espera llegar al colmo de felicidad que pue descontento en Constantinopla, y de sedición en las provincias. El gobierno ni den gozar los pueblos, en «1 r…</t>
  </si>
  <si>
    <t>…l despacho de la Jmprenta Real* bastante probabilidad, se dará una idea de 1 os trabajos de este escritor. A me La Música* poema por D. Tornas de Iríarte* tercera edición* año de 1789. Uncu*' diados del siglo pasado nombró el Sr. Rey D. Fernando vi á dicho Veiazquez; derno en +.°, adornado con seis estampas finas, a «¿ó rs. rama y 36 pasea común. £ste poei para averiguar y reconocer las antigüedades de¿España, recorriendo ! este fin ma se halla dividido en cinco cantos: el primero ofrece una idea de los elementos de arte * reduciéndolos a…</t>
  </si>
  <si>
    <t>…señores (abusando de vuestra benevolencia), hacer una re de la Tempestad. seña prolija de los acontecimientos notables ocurridos desde el fallecimiento del Por aquel tiempo tomaron las cos3S nuevo aspecto. Fue preciso buscar ett Rey D. Fernando vir, que en general son bastante conocidos. Tampoco en el celo, en la fidelidad al trono, en el móvil del amor patrio, el impulso que traré en_parmenores ni explicaciones circunstanciadas de los muchos y diversos debía dar nueva vida á este cuerpo desfalleciente. Se puso sobre las armas el oBjetos…</t>
  </si>
  <si>
    <t>…ost*. problemático el derecho que dice tener el cabildo dé Santiago para percibir el Voto, en razón de que , según tengo entendido, no hay ningún decreto det Se abrió á las once, y leída el acta de la anterior quedó aprobada. Sr. Rey D. Fernando vn después del año 23 para Ja rehabilitación de él. El Estamento quedó enterado de un oficio del Sr. Secretario del Des- « No basta decir generalmente que se anuló todo lo hecho en tiempo de la icho dq Guerra, al que acompañaba el original de la memoria de su ramo Constitución, puesto que vemos muc…</t>
  </si>
  <si>
    <t>…itares establecidas en las plazas y puntos de continua guar del país. nición. "Por la fragata Paz que salió de Cádiz en. Diciembre último se comuni Hé aquí los medios-de llegar al fin propuesta có á Filipinas el fallecimiento del Sr. D. Fernando vtr, acompañando órde Sin salir de España, siempre que se han empleado, aunque en pequeña es nes é instrucciones propias para ta conservación de aquella parte importante de cala , han correspondido en gran manera. Las célebres escuelas de Avila, de la Monarquía, que ha sido confiada al mariscal de…</t>
  </si>
  <si>
    <t>…á los ín* soñaba poder cobrar. terciados para que no llevasen sus pretensiones mas allá de lo que la costumbre res causas puede haber, no obstante , para que el cabildo de Valencia había establecido. La misma Instrucción del Sr. Rey D. Fernando vn del año se oponga á nuestra justa pretensión : la primera es la tendencia que todas las de Lo2'd dice; ”sin perjuicio de la costumbre que se halle establecida anterior corporaciones ricas tienen i enriquecerse cada vez mas: la segunda nace de loi mente'*, porque no hay ninguna ley que este estab…</t>
  </si>
  <si>
    <t>Fernando, Duque de S</t>
  </si>
  <si>
    <t>Duque de S Fernando</t>
  </si>
  <si>
    <t>…s Próceres, y otro por los Sres. Procuradores, y re Asimismo se aprobó otro dictámcn de la propia comisión que proponía servándose pira el momento de la discusión el exponer mas completamente las la admisión definitiva del Excmo. Sr. Duque de S. Fernando, mediante a ha razones en que se han fundado para no admitir la propuesta de conciliación, ber mejorado la condición 3..1 que prescribe el Estatuto. hecha por 11 de los ilustres Próceres. Habiendo anunciado el Sr. Presidente que existía.una petición relativa á »Sin embargo haré una indicación para…</t>
  </si>
  <si>
    <t>Fernando, EX</t>
  </si>
  <si>
    <t>EX Fernando</t>
  </si>
  <si>
    <t>…exija. ducir el patrimonio, son 42; luego aun eran 2 millones mas, claramente. El *&gt;Ha dicho él Sr. Padrea que si se impusiera una contribución de un 2 por 100 sobre los sueldos de los empleados, entonces resultaría una economía Sr. EX Fernando vir se conformó, y esto es histórico , con los 4b millones, y de 12 chillones de reales, añadiendo que para expresarse asi estaba'en la mejor apareció tan sumamente gustoso,'por decirlo asi, que dió una Real orden po niendo á disposición de la Nación sü Real patrimonio. Existe e^ta órden en el posi…</t>
  </si>
  <si>
    <t>Fernando, Francisco Javier UUoa y D</t>
  </si>
  <si>
    <t>Francisco Javier UUoa y D Fernando</t>
  </si>
  <si>
    <t>…ue mediaba entre la causa de Doña Alaría de la Gloria v S» aprobaron como proponía la comisión los poderes y documentos da la de Doña Isabel ir, había de establecer mas ó menos.pronto una alianza na V» Sres. D. Francisco Domecq , D. Francisco Javier UUoa y D. Fernando tural , íntima, permanente, como todas las que se fundan en intereses reales, Miranda, Procuradores por Cádiz y Lugo. y en el instinto de la propia conservación. También se aprobó despiies de una leve discusión el dictámén de la comi Afortunadamente el gabinete de S. M. R, ligado con vínculos espec…</t>
  </si>
  <si>
    <t>Fernando, Gobernadora</t>
  </si>
  <si>
    <t>Gobernadora Fernando</t>
  </si>
  <si>
    <t>…o hecho en tres años, ampi ando, corno ya se ha dicho aqui, este mal en un que la misma ley no observada por espacio de 300 años, y que ha revivado en término mayor , pues son diez años. * el dia por la magnanimidad de la augusta Reina Gobernadora. «Fernando vu, malamente aconsejado , declaró por nulo lo hecho en tres «Parece que todos los Síes. Piocuradores viet.en á convenir en que deben años; ¡y cuáles han sido las consecuencia»l Esos mismos empiéstitos lo prueban; reconocerse de un modo ó de otro todos los empréstitos, excepto el de Gue que después…</t>
  </si>
  <si>
    <t>Fernando, IX</t>
  </si>
  <si>
    <t>IX Fernando</t>
  </si>
  <si>
    <t>…rentes columnas que reconocían el terreno, y no encontrando ma* ar de banderas al regimiento provincial de Soria las cruces que la munificencia del bitrio para evadirse de ella que el ir d esconderse en la ciudad de S. Felipe, en Sr. IX Fernando vu concedió a las tropas en decreto de 19 de Julio último la que entró en la noche del 24, al aproximarse á su casa á las tres de la mi para perpetuar la memoria de la jura de su augusta Hija como heredera del rria, fue conocido por el referido D. Vícente, quien le intimo que se rindiese; trono , y…</t>
  </si>
  <si>
    <t>…que ha llegado para ellos el día de los benefi cita á sí mismo y a toda la nación; puesto que si algua lenitivo pudiera tener cios, perderán estos leales vasallos sus fortunas y sus vidas. *Ia pérdida del mejor de los Monarcas el Sr. IX Fernando vn, caro Esposo de 1 ales son nuestros votos, Señora, tal el juramento que hacemos á la faz V. M., aquel solo podría encontrarse en continuar siendo mandados y prote del universo, de obedecer solo á nuestra legítima Soberana Doña Isabel ii , y gidos por V. M., que nos ha de seguir tratando con el a…</t>
  </si>
  <si>
    <t>Fernando, L</t>
  </si>
  <si>
    <t>L Fernando</t>
  </si>
  <si>
    <t>…que obtener que se nombre un censor regio. tad , que hov defendemos, desde que subió al 1 tuno nuestra Rlí'A Doña «En el art. I 4. hay otra cosa mas chocante todavía. Se dice que ¡os artí Isabel ii. Es notorio que á la muerte del Sr. L&gt;. Fernando vii existía en Es culos que venasen sobre materias políticas ó administrativas se presentaran á paña un cuerpo armado respetable, que pasaba u.dudibicmcnte de 3.hom la censura sin enmienda, y que el censor hara en ellos las moa: A. ación* s que bres , formado en ios once años de reacción, )’ que ba…</t>
  </si>
  <si>
    <t>Fernando, O</t>
  </si>
  <si>
    <t>O Fernando</t>
  </si>
  <si>
    <t>…la de declamación se lespompa y magnificencia que siempre ha acostumbrado, también se reservó tri instruirá en Las primeras letras, religión, literatura, historia, geografía y mito butar los últimos obsequios á su malogrado Rey y Señor O. Fernando vn logía, y á los que manifiesten disposición para adelantar en dicho arte se les (Q.-E. G. E.), como lo anunció expresamente aquel dia su ayuntamiento en suministrarán gratuitamente el papel y libros de que necesiten para su estudio. la enérgica alocución que dirigió áeste leal vecindario. En su c…</t>
  </si>
  <si>
    <t>Fernando, P</t>
  </si>
  <si>
    <t>P Fernando</t>
  </si>
  <si>
    <t>…o elemental delgiro% por I&gt;. J. M. Brott. Un tomo «n 4** á-20 rt. en rústi garbanzos, de 54 4 60 id.: habas, de 40 á 48 id.: aceite, de 34 4 35 rs. ar ca. Se vende en la librería de Razóla. roba. — -Exposición dirigida á S. M. el Sr. P. Fernando vn, desde París en 24 de Enero Osuna. Trigo, de 64 á 67 rs. fanega: cebada, de 28 4 30 id.: habas, de de 1826 por el Excmo. Sr. D. J. de Búrgos, sobre los males que aquejaban á España 50 á 34 id.: aceite, de 33 4 34 rs. arroba. en aquella época, y medidas que debía adoptar el Gobierno para remediar…</t>
  </si>
  <si>
    <t>Fernando, Pe</t>
  </si>
  <si>
    <t>Pe Fernando</t>
  </si>
  <si>
    <t>…o petición sobre derechos fundamentales de los españoles; y dctpues de haber en hubieran existido el ministerio de Godoy ni la paz de Basilea , ai el vtage do trado á jurar y tomado asiento, á invitación del mismo Sr- Presidente, D. Pe Fernando á Bayona, ni la entrega de las fortalezas á los franceses, ni la apro dro Jacobo Pizarro, Procurador por4» provincia de Huelva , se leyó el artí ximación de estos á Madrid con un ejército de 609 hombres, ni dos de Mayo, culo 2.° de dicha petición, concebido en los términos siguientes: ni pronunciam…</t>
  </si>
  <si>
    <t>Fernando, Rey D</t>
  </si>
  <si>
    <t>Rey D Fernando</t>
  </si>
  <si>
    <t>…u ' J Madrid 3 de Prbrtro. guarnición, ll*0 granaderos provinciales de la guardia Real pertenecientes á U de la Puebla y 25 caballos, había atacado el día 27 en el pueblo de Oquina En 16 &lt;fe Jubfo del afio próxímó pasado S. M. el Sr. Rey D. Fernando vh á la facción del cabecilla Luzurlaga, á la que sin embargo de haber huido ^co I U sífVió aütóffiífr ‘l D. Josef María'.deY Castillo, abogado de los Reales con- bardemente pudo cogerle á su aproximación 4 cajones de municiones, una caja se'jo* y promiótcrfl'fisial de la subdelegado!* de montes y…</t>
  </si>
  <si>
    <t>…Agosto último participa su gobernador civil que des-, roso, de quien he recibido las pruebas mas positivas de su obediencia, de su de 25 á 27 del mismo hubo *n la Puebla de Tornesa 7 enfermos, de los cua gratitud á la memoria del Sr. Rey D. Fernando vrr, y decisión en sostener les falleció 1 y curaron 2: que aun no se atrevían los facultativos á decir fuese los derechos sagrados de *u inocente Hija la Reina nuestra Señora Doña Isa el cólera la enfermedad que se padecía en Nules; mas coa todo á precaución ha bel ii , recibiendo y obedec endo co…</t>
  </si>
  <si>
    <t>…pueda extraer las aguas Peí mismo beneficio disfrutan SS. AA. RR. los Sermos. Se del rio Mundo, reservándole sin embargo el derecho que crea, asis ñores Infantes. tirle para que use de ¿1 en justicia conforme á lo dispuesto por d Sr. Rey D. Fernando vil (Q. E. E. G.). Con este motivo se la Real decreto. servido declarar S. M. por regla general que ningún particular ni Teniendo en consideración que por mi Real decreto de 2&lt;5 de' corporación pueda distraer en su origen ni en su curso las ¡aguas de. Enero último mandé que el Consejo de Castilla c…</t>
  </si>
  <si>
    <t>…sencillo cílculo de las pro dora; y á mí parecer no podríamos dar á esta una prueba mas evidente de nues babilidades , pedia pronosticar la resolución de la mayoría del Estameato,si tro filial amor que señalarle igual suma que el Sr. Rey D. Fernando vu seña* "bien no he dicho una palabra de unanimidad, pomo se ha figurado S. S..* tenia ló á sus augustos padres. también en mi favor para pensar asi el creer que en cuestión de esta ciase cier «Se ha dicho que en el año 1820 se señaló mayor cantidad á la persona tos nobles sentimientos harían incl…</t>
  </si>
  <si>
    <t>…, y que se acaban ahora de disminuir mas de dos millones al Sermo, se ' tales. Me acuerdo muy bien que cuando nació el primer hijo del Infante Don ñor Infante D. Francico y su augusta familia, se conformaba el Gobierno Cárfos, el Sr. Rey D. Fernando ie dedaró Infante, diciendo en su decreto so también en esta parte con el dictámen de la comisión. ^ bre el. particular. »No sicmfy nuevo en España que loa hijovde Infante sean EloSr. Miguel Poto: " La comiskm va i ocuparse ahora de La asignación</t>
  </si>
  <si>
    <t>…ir á las que hayan llegado á la edad prefijada, si la suerte las favo rece en el sorteo que se haga entre las aspirantes; en cuyo caso será» reempla Real orden. zadas en las clases del hospicio por otras huérfanas. Al disponer el Sr. Rey D. Fernando vu (O. E. E. G.) en Real Las que hayan acabado su educación en las dichas clases podrán volver al orden de 20 de Abril de 1885 la publicación en las provincias de seno de sus familias en caso de que lo deseen; pero si no tienen padres, se des un periódico con el título de Boletín oficial, se propus…</t>
  </si>
  <si>
    <t>…alá Zimora pid.ó que se preguntase ti el puntó estaba suficien quien la dijo; se levantó al hablarse de cómo se había de recibir al Rey, y di temente discutido; y habiéndolo verificado el Secretario Trucha, resultó que jo: «Si el Sr. Rey D. Fernando yiene á España.deberá ser absoluto, como fue no por 43 contra 42* ron sus padres y sus abuelos.” Pues, señor, tai fue el chubasco que se levantó El Sr. Crespo de Tejada; «Estoy de acuerdo con el Sr. Caballero en en el Congreso y el público al oir tan inesperada como escandalosa expresión, ue se adm…</t>
  </si>
  <si>
    <t>…las miras del gabinete de Austria. El estado rio de esta ciudad otros que los de sacrificarse en defensa de los derechos de ia de los negocios interiores de la Puerta hace presumir una destrucción cercana. augusta Primogénita d«l Sr. Rey D. Fernando vit, bajo cuyo paternal gobier Se habla de conspiraciones en la capital, de incendios preparados , de miseria y no ha.prosperado la isla; la cual espera llegar al colmo de felicidad que pue descontento en Constantinopla, y de sedición en las provincias. El gobierno ni den gozar los pueblos, en «1 r…</t>
  </si>
  <si>
    <t>…en el despacho de la Jmprenta Real* bastante probabilidad, se dará una idea de 1 os trabajos de este escritor. A me La Música* poema por D. Tornas de Iríarte* tercera edición* año de 1789. Uncu*' diados del siglo pasado nombró el Sr. Rey D. Fernando vi á dicho Veiazquez; derno en +.°, adornado con seis estampas finas, a «¿ó rs. rama y 36 pasea común. £ste poei para averiguar y reconocer las antigüedades de¿España, recorriendo ! este fin ma se halla dividido en cinco cantos: el primero ofrece una idea de los elementos de arte * reduciéndolos a…</t>
  </si>
  <si>
    <t>…t Afost*. problemático el derecho que dice tener el cabildo dé Santiago para percibir el Voto, en razón de que , según tengo entendido, no hay ningún decreto det Se abrió á las once, y leída el acta de la anterior quedó aprobada. Sr. Rey D. Fernando vn después del año 23 para Ja rehabilitación de él. El Estamento quedó enterado de un oficio del Sr. Secretario del Des- « No basta decir generalmente que se anuló todo lo hecho en tiempo de la icho dq Guerra, al que acompañaba el original de la memoria de su ramo Constitución, puesto que vemos muc…</t>
  </si>
  <si>
    <t>…ción á los ín* soñaba poder cobrar. terciados para que no llevasen sus pretensiones mas allá de lo que la costumbre res causas puede haber, no obstante , para que el cabildo de Valencia había establecido. La misma Instrucción del Sr. Rey D. Fernando vn del año se oponga á nuestra justa pretensión : la primera es la tendencia que todas las de Lo2'd dice; ”sin perjuicio de la costumbre que se halle establecida anterior corporaciones ricas tienen i enriquecerse cada vez mas: la segunda nace de loi mente'*, porque no hay ninguna ley que este estab…</t>
  </si>
  <si>
    <t>Fernando, S</t>
  </si>
  <si>
    <t>S Fernando</t>
  </si>
  <si>
    <t>…ue si el Princ-pc D C*rlos ó tóricos que puedo citar en mí apoyo. Las facultades de la Nación fueron bien cualquiera de su familia atiende al trono de España , la sola iísta i4- los nom demostradas en el advenimiento al trono del Rey S. Fernando y del conde de bres de cuantos aquí estamos , sena el primer registro ab erto á las prosenpXrastamara. Nadie desconoce el ruidoso suceso de los Infantes de la Cerda. Y c ones y á los cadalsos. Por eso mismo es por lo que c:bemos tratar con la esa misma Navarra , que hoy se declara en favor de la ley sáli…</t>
  </si>
  <si>
    <t>Fernando, XX</t>
  </si>
  <si>
    <t>XX Fernando</t>
  </si>
  <si>
    <t>…que «No se crea que yo huyo de entrar en cálculos, como muchos Sres. han hecho : también entraré para hablar , como he dicho, de todo en mi discurso. debe seguirse. Yo quiero disminuir los gastos do esta Nación, para que pueda Al Sr. XX Fernando yxi se le asignaron 4-0 millones en mejores circunstancias en el menor tiempo dado venir á ser generosa y franca , y sostener esa opinión que las actuales, por mas que se diga lo contrario, manifestando asi que ó no de generosidad que tan justamente conserva; y quiero sostener el brillo y de se vió…</t>
  </si>
  <si>
    <t>Fernando.To</t>
  </si>
  <si>
    <t>…de la isla, sino también de misma, edicion.de. 1792 fr 7 rs. rama y 8 ed rústica. libertar á sus vasallos de los sangrientos sacrificios que exigía su religión; pero 9. ° Obras de Cristóbal de Castillejo* Secretario del Emperador D. Fernando.To mos 12 y 13 * edición de J792 fr 17 rs. rama y I9*en rustica. no bién habia empezado á poner en práctica su proyecto, cuando tomó las ar 10. Conquista de la Bélica, poema heroico de Juan de la Cueva. Tomos lfr y 14* mas contra él uno de sus principal» gefes para vengar la causa de los dios» Impreso…</t>
  </si>
  <si>
    <t>Fernando.To, D</t>
  </si>
  <si>
    <t>D Fernando.To</t>
  </si>
  <si>
    <t>…s mugeres de la isla, sino también de misma, edicion.de. 1792 fr 7 rs. rama y 8 ed rústica. libertar á sus vasallos de los sangrientos sacrificios que exigía su religión; pero 9. ° Obras de Cristóbal de Castillejo* Secretario del Emperador D. Fernando.To mos 12 y 13 * edición de J792 fr 17 rs. rama y I9*en rustica. no bién habia empezado á poner en práctica su proyecto, cuando tomó las ar 10. Conquista de la Bélica, poema heroico de Juan de la Cueva. Tomos lfr y 14* mas contra él uno de sus principal» gefes para vengar la causa de los dios» Impreso…</t>
  </si>
  <si>
    <t>Férnapíb</t>
  </si>
  <si>
    <t>…advertido el Sr. preoplpatíle dej no gítimos ;y. de la .libertad- &gt; expresarse, ¿a^artvi que debe suceder a la coronad.falta de las augustas hijas del . . »^OT otra parí^.pw“dx»am«s:á: ia^óafiírai eo un grayistmo compromiso, Sr. D. Férnapíb yn, eso el Gobierno absolutamente se ha abstenido:.de ha «Iíp0r7*ina desgracia frdjficií, peyó .ppsible j el cielo nos.arrebatase esas dos, cerlo , porque Jó .oreja imprudente p innecesario* :* tieringt-preodas, y no hubiéseflsos adqplafip. la resolución *}ue debemos, pues, «Seria, imprudente aporq…</t>
  </si>
  <si>
    <t>Férnapíb, D</t>
  </si>
  <si>
    <t>D Férnapíb</t>
  </si>
  <si>
    <t>…p ha advertido el Sr. preoplpatíle dej no gítimos ;y. de la .libertad- &gt; expresarse, ¿a^artvi que debe suceder a la coronad.falta de las augustas hijas del . . »^OT otra parí^.pw“dx»am«s:á: ia^óafiírai eo un grayistmo compromiso, Sr. D. Férnapíb yn, eso el Gobierno absolutamente se ha abstenido:.de ha «Iíp0r7*ina desgracia frdjficií, peyó .ppsible j el cielo nos.arrebatase esas dos, cerlo , porque Jó .oreja imprudente p innecesario* :* tieringt-preodas, y no hubiéseflsos adqplafip. la resolución *}ue debemos, pues, «Seria, imprudente aporq…</t>
  </si>
  <si>
    <t>Fernatn, Syqpdjcr IX</t>
  </si>
  <si>
    <t>Syqpdjcr IX Fernatn</t>
  </si>
  <si>
    <t>…ahr E i apümi paúl ale Cmili Ea Vieja, desde «as enaste! general de ViComandancia ale las jemas ale Santa ' “ Toai nm. ceas fñcáa 2 de Snuabr, iiamee 4cste ministerio el furte que sidmr al cmariririmrodTsi M^TsJma I pxse —ITeenm. Sr. &amp; Syqpdjcr IX Fernatn litarte, comandante general de deiaasfti y Eneas emanes» ue £ce dñde Anspueto con fecha de ayer lo s«- gne le dbij» en c^feslk s yaamv Ema Se: Segas nmmfoaé i V. E. hice una marcha fortáda dode Sanan Se: A i» ana y, meaja de b i ■ deoaeo has, y etmaegui dar alcance 4 la facción ame JtS ana»5|cDaaia…</t>
  </si>
  <si>
    <t>Féroatado</t>
  </si>
  <si>
    <t>…sfera ^ so** ha aludido eí. mismo Sr. Procurador , j que, yo. referiré .ti mi' memoria no está blime que no pueden llegar basta él las tormentas políticas; y á la Nación.por demasiado,.flaca, es ,1a escriturado (orgáda por cl Se. D. Féroatado vu en favor que deja la líberjtad á sus Procuradores de mirar por sus- intereses, sin que ea de su Esposa la.Reina Doña Amalia para eí caso de que le sobreviviese. Hallán ningún caso pueda verse comprometido el decoró de la corona. dome en aquella época encargado de un ramo de la administración, co…</t>
  </si>
  <si>
    <t>Ferran, Fernando</t>
  </si>
  <si>
    <t>Fernando Ferran</t>
  </si>
  <si>
    <t>…la sala eran pabellones de tisú: igual adorno la primera cuarta. Destaqué en el instante la última cuarta á las órdenes de! tenían les puertas: los retratos de SS.MM. se veian en el frente principal bajo subteniente de cazadores D. Fernando Ferran á apoderarse de una «&amp;cvat&gt;Oii su correspondiente corona é imperial : á sus pies estaba el trono: el tocados que teníamos í nuestro frente un poco sobre la izquierda; lo que desempe de lu señoras estaba cual correspondía, tambicn con el retrato de los Sobcra- ñó con la mayor prontitud . y contribuy…</t>
  </si>
  <si>
    <t>…aquín Moscoso. En la sección que quedó conmigo en el centro, compuesta de mis cazadores y algunos fusileros, venían el capitán D. Mateo bolsa de hoy á las tres de la tarde. comercio.deEFECTOS PUBLICOS. José Cepeda, el subteniente D. Fernando Ferran y el teniente D. Ramón Frías en clase de ayudante mió. Los 20 cazadores de la derecha los manda Inscripciones en el gr3n libro á S p. 100. 00. ba el teniente D. Sebastian Portillo, y íós 27 caballos, cuya inteligente y de Tirulos al portador del 5 p. 100, 59* al contado: 60^ al 15 de Junio ó vol.: 6l…</t>
  </si>
  <si>
    <t>Ferrar</t>
  </si>
  <si>
    <t>…entes de la administración de justícis. reciban Jt&gt;s nombramientos ó Reales despacho*. «La comisión encuentra oportuna la aclaración ó adición ««sentada por Art. 28. »É1 armamento, cartuchera ó canana y las municiones serán su el Sr. Ferrar al *tt.' 7.®, á cuya continuación podría decirse: «ysinper juicio de ministradas por cuenta del pstado; pero el entretenimiento de diebas prendas la recompensa ó derechos que con arreglo-i las disposiciones que rigieren adserá coswada«pot él :&lt;M®uiá(j áMneno^quetA déWtioro pfOvqngasdiríatto del 'qu…</t>
  </si>
  <si>
    <t>…o del embajador de París, que acompaña uno del agente diplomáti únicamente para hacer ver que quedó nula la contrata.” co de los cantones suizos pidiendo que se concluya este negocio; pero como es EISr. marques de Sámenselos: «El Sr. Ferrar, que me ha precedido en te es ramo que tiene que ver con-el Ministro déla Guerra, y~es menester co Ja palabra, lo ha verificado también-respecto de la pregunta que iba á hat^r pa nocer el estado de los cuadros de esos regimientos suizos, no podía yo tomar ra poder votar, y que ha dado motivo a la a…</t>
  </si>
  <si>
    <t>Ferraz, Francisco</t>
  </si>
  <si>
    <t>Francisco Ferraz</t>
  </si>
  <si>
    <t>…00. Burdeos, (hiaésin) so, i &lt;L 14* gusutes.»*.- ■ Individuos de la junta provincial. Hamburgo, 00. Barcelona, 4 pS. fk, Mklsg», áld. landres , á 9O dias, *bw ‘ Santander, ás. El presidente comandante genera 1, mariscal de campo D. Francisco Ferraz. *d. Santiago, 14. El Sr. alcalde mayor l.° L&gt;. José- Enjuto, hasta el dia 3 del corriente que fue atacado de la enfermedad reinante. El Sr. provisor y vicario general del obispado D. Femando Lorenzo y Mar ANUNCIOS. tin, vocal. El Sr. D. Juan Soto, vocal por la clase del comercio. El Sr. D. Francisc…</t>
  </si>
  <si>
    <t>Ferref, Ramón</t>
  </si>
  <si>
    <t>Ramón Ferref</t>
  </si>
  <si>
    <t>…las gavillas de Papaceite, el barquero de Amposta y Ch&amp;mboüet habían sido dis persadas en el Mas de Barberan por la columna del mando del teníenré coro____Por un despacho telegráfico recibido ayer tarde en el ministerio de Ne nel D. Ramón Ferref, cogiéndoles un prisionero. Dicha gavilla constabagocios extrangeros, se sabe que el 10 del corriente han sido admitidos por de 100 hombres escasos, 30 de los cuales no tenían armas.S. M. B. á prestar jüramentó el duque de Wellington, sir Roberto Peel y lord Lyndhurst; el primero en calidad de mint…</t>
  </si>
  <si>
    <t>Ferreira</t>
  </si>
  <si>
    <t>…l artículo en todas sus partes como lo presentaba la co y lisclausulas del tratado iáe la cuádruple alianza, son bañeras insuperables misión. contra las cuales se estrellan unos proyectos tan insensatos; y ademas la na Reclamo el Sr. Ferreira la lectura de una adición que habia presentado: el ción española, amante del trono de la Reijía , y confiada en su triunfo, cui Sr. Presidente respondió que se tomaría en consideración ai tratar dei artículo da poco de intrigas diplomáticas, y ni aun se toma ei trabajo de averiguar en 3.°, y levantó I…</t>
  </si>
  <si>
    <t>Ferrer</t>
  </si>
  <si>
    <t>…prevalezca, seré el primero en firmar una petición para que se reconozcan co- tal excepción es ilusoria. De aqui se infiere que los argumentos hechos por el justicia los intereses de los empréstitos constitucionales, y por vía de Sr. Ferrer en su discurso, me parece se hallan desvanecidos por sí solos, que equ did los 177 millones del empréstito de Guebhard.** dando sin ningún valor por los argumentos que acabo de- alegar los emeo Ú seis El Sr. Atontes de Oca : » Desharé una equivocación que me parece ha pa vicios que creía dicho seño…</t>
  </si>
  <si>
    <t>…este fien po se' han leído á menudo- cartas que se decían mayor mal á Fiancia de su anulación que po de su confirmación. del Ministro de Hacienda, ó párrafos que se daban por suyos. »No es tampoco equitativo loque ha indicado el Sr. Ferrer contra la bue- ■ «Pues rodas estás cartas, todos estos p irrafas, han sido falsos, del todo fal na fe de la Francia, y como si esta Nación hubiese con frecuencia faltado á sos. El Ministro de Hacienda, á pesar eje los muchos amigos que tiene en París, ella. Por desgracia los fastos de todas las Nac…</t>
  </si>
  <si>
    <t>…era el empréstito llamado de Guebhard, contraído por una de tas regen tecedentes de esta aprobación no son á la verdad cual se requiere, y lo observó cias, cuyos actos no podemos reconocer. Faltaban ademas en aquella época al el Sr. Ferrer; pero esto es debido á la confusión que reinaba en aquel momen gunos datos indispensables de los que hay en el día, otros-estaban equivocados, to en las oficinas en Sevilla: confusión y desorden eicéado i tal punto ,'que el y Dada tendría de particular que variase la opinión de un Procurador nvjor…</t>
  </si>
  <si>
    <t>…r. Trueba respecto de una carta confidencial, no se hace uso de ella sin' el prévio per y el Sr. Galiano. Yo creo que el decir que si el Estamento de Procuradores miso de su dueño. (Al llegar aqiii el Sr. Secretarío de Estado, el Sr. Ferrer pi ■variasede dictámen cometería una falta, yharia una ofensa á su' honor inia’- dió la palabra; y prosiguió el Ministro): ' ’- mo, no es ni justo níexacto; y qué semejante doctrina, si llegase á prevalecer, v »El Sr. Ferrer, que acaba de pedir la palabra, me llama la atención: S. S. ' lejos de hac…</t>
  </si>
  <si>
    <t>…rece á cierta planta, que se repliega y recoge aun antes que lfl cho una cosa semejante; solo un particular lo hará tal vez por escrúpulo de toque la mano. conciencia; pero de Gobierno á Gobierno, nunca jamás. Nótese bien que «El Sr. Ferrer dijo ayer, con una integridad que le honra, que á lo me la Francia tuvo que rescatarse por una de aquellas desgracias que de tiempo en llos por equidad podría pagarse; y e-o que ninguno mas opuesto que S. S. á tal tiempo tienen que sufrir las Naciones... (¿la España misma no fue señora de am emprés…</t>
  </si>
  <si>
    <t>…apoyar que dicha expresión continúe gera no se cumplían tas capitulaciones que se hirieron, &gt;' cuanta libertad en fia «orno determinó este Estamento.” tuvo el Gobierno para .levar a cabo siix-iJcas No^*¿, purs, cómo pueda da— El Sr. Ferrer: *» Es costumbre en todos los Cuerpos representativos que cirse que hubo coacción en c-=íos acto?- Pero descendamos ya al empréstito 4a Cuando uná ley pasa enmendada de una Cámara i otra, sus artículos vuelvan Gusbíurd ’ He oido manifestar a a*gunos señores que v¡o e iUrqn ai Rey, y claros y en for…</t>
  </si>
  <si>
    <t>…de Córtes, que actualmente constituyen lo que se el derecho por haberse adherido á un nuevo contrato. llama deuda diferida, y que había de convertirse con el tiempo en deuda del Se declaró el punto suficientemente discutido, y el Sr. Ferrer manifestó 3 por 100 en la série de 40 años. que deberia hacerse una rectificación en el artículo, respecto á la expresión «Es verdad que los tenedores de esta clase de papel renunciaron á Ja deuda activa y pasiva, pues que en nuestro idioma y en toda Europa tenia ventaja que se les proporcionaba ah…</t>
  </si>
  <si>
    <t>…Domecq y. Ochoa deshicieron respectivamente algunas equivodel reglamentó; y preguntado' por el Sr. Presidente con qué objeto había reda - caciones. . mado su lectura, manifestó S. S. que por creer no podía ocuparse el Estamen El Sr. Ferrer, que tenia pedida la palabra, la renunció: y habiendo re to en la cuestión presente 1 causa de ser objeto de reglamento. clamado otro Sr. Procu/ador, contestó el Sr. Presidente que Id habia pedido El Sr. Secretario del Despacho de Hacienda manifestó que la proposición para la discusión anterior p p…</t>
  </si>
  <si>
    <t>…sponsable á las reclamacio la responsabilidad en que habrían de incurrir los falsos denunciadores, porque nes de tercero.” conocía una persona contra quien se habían hecho tres denuncias, y los de Se leyó la siguiente adición del Sr. Ferrer al mismo artículo 7.° "Pido al nunciadores habían quedado a cubierto, sin que ni aun llegara á descubrir su Estamento que la adjudicación al Estado de los mostrencos de mar sea sin nombre la parte denunciada después de haberle obligado á gastar crecidas su perjuicio de los derechos y títulos que ad…</t>
  </si>
  <si>
    <t>…co no ha de tributárseles tanto respeto como á una obligación precisa. En el cír mo también el artículo 92 del reglamento á petición del Sr. Navas. culo en que nos hallamos, y en el que nos hemos encerrado, hemos dejado echar El Sr. Ferrer preguntó para votar qué resultaría de aprobar la proposi la llave; y cerrada la puerta con aquella por fuera, ya no tenemos con que ción , á lo que contestó el Sr. Presidente que seguir lo dispuesto por el artícu abrir; por lo que, una de dos, ó quebrantamos la cerradura, ó saltamos la lo que acaba…</t>
  </si>
  <si>
    <t>…temente discutido, se leyó de nuevo dicha adi debite en que tomaron parte varios Sres. Procuradores:* se leyeron los artícu ción , y fue apTóbada. los 95 y 9ó del reglamento; y declarado el punto suficientemente discutido , se El Sr. Ferrer reclamó que la decisión que el Estamento acababa de lo- aprobó que las adiciones que fuesen tomadas en consideración por el Estamen mir, no debería oponerse á que se hicieran nuevas adiciones sobre el mismo to se pasasen i la comisión para su exámen, sin entorpecer por esto la discu asuno: á lo que…</t>
  </si>
  <si>
    <t>…omisión, mo premio que á los que descubren un tesoro en tierra sin trabajo ni peligro quedó aprobado. ninguno!” Se leyó el párrafo 4*° referente á la adición del Sr. González (D. An El Sr. Istúriz: «Lo propuesto en la adición del Sr. Ferrer y en eí dictonio).El Sr. González (D. Antonio'): «Me parece que la comisión, al exten dichotámen aldeEstamentola comisión, á sobresaber:laquemisma,los buquesme afirmannáufragosmas noy masson mostrencos.en lo que yaPorhe der su dietámen, ha padecido una equivocación, y me haré cargo de los fun consecu…</t>
  </si>
  <si>
    <t>…aqui, hasta el 30 de Abril próximo ve cho mas cuando recae en personas de alta gerarquia, que no necesitan el suil— nidero.” ................... . . dor por tanto considera suficiente medio millón de reales para sueldo dél mis El Sr. Ferrer, para hacer una aclaración: «Creo que el Sr. Caballero y mo. Igual razón ha tenido para reducir los gastos de embajada, pues disminui yo estamos conformes en la idea , aunque Jio en Jas. palabras; y me parece que do el número de los qúe tos producían, deben disminuir aquellos. En cuanto 4 con la' i…</t>
  </si>
  <si>
    <t>…de capitanes , que ella ne razan.” ha ad&lt;‘ptado con respecto á los Reates despachos. El Gobierno, en v.sta de io Se leyó el art.. 12 aprobado ayer. aprobado en el artículo 12, se conforma con e*u variación de b comisión. En / El Sr. Ferrer: «Creo que el art. 13 que se sigue á este no e*t i de mas , por cuvsto al secundo párrafo , para referirse al mismo artículo citado, cree el Goque no habla del modo de ¿acer lo» nombramiento', sino del de provecí Us bcruo deberá decir que lós sargentos primero* sean nombrados por los gober— vacante…</t>
  </si>
  <si>
    <t>…regularizarlas para evitar trabas y en razones que iba yo á desenvolver; pero no lo haré, porque ya se mé ha q^Bsr torpecimientos al comercio.” tado este trabajo de entre las manos, para decirlo asi, por los' Sres. Secretarla» El Sr. Ferrer: «Las observaciones que iba á hacer se han desvanecido en del Despacho. En consecuencia me limitaré hacer solo una nueva observación parte con lo dicho por el Sr. Secretario del Despacho acerca de estarse tratando sobre la materia, sin entrar en la cuestión de la utilidad ó Ventajas que traiga del…</t>
  </si>
  <si>
    <t>…el reglamento se fijarán los casos y regías para los tribunales competentes los culpables , pues nunca ha sido la intención del aplicar las penas.” Gobierno dejar facultades discrecionales a los gobernadores civiles sobre esta El Sr. Ferrer: «Las observaciones de los Sres. preopinantes me han pre particular. venido en gran parte, y asi solo haré dos muy ligeras. Una es respecto al pár «Res pecio d la última variación, el Gobierno la considera inútil; pues,, rafo 6r°, sobre el cual me conformo mas con la idea del Gobierno que con la ó…</t>
  </si>
  <si>
    <t>…avor de la Real Hacienda deSpues El Sr. Secretario del .Despacho de lo Interior manifestó que el Gobierno de cubiertas las caigas de la colonia t y ai sé adoptan las economíasde que es sus- tenia presenté el decreto citado por el Sr. Ferrer, y qqe acaso daría iguales dis : ceptible . podré aumentar considerablemente los ingresos ' del Réal tesoro. posiciones 4 las contenidas en él; pudiendo asegurar que antes de mucho tomam Hay enel distrito de su territorio grandes propiedades de hacendados, ria resolucion en la materia, y tal vez an…</t>
  </si>
  <si>
    <t>…ona ejerza esta facultad extraordinaria, baya de acudir á |a dan asegurar las operaciones del ejército.” Nación, puesto que deben estar reunidas las nuevas Córtes dentro dél término El Sr. Butrón apoyó lo que habia manifestado el Sr. Ferrer, excitando al de un año. Gobierno para que auxilie á las provincias con el fin de poner sobre las armás «Me parece que S. S. quedará satisfecho: l.° por lo raro que será el que toda la gente del pais que sea posible. el ministerio use de la facultad que se le concede en el art. 3.° de este proyec E…</t>
  </si>
  <si>
    <t>…prelcribie la justicia al interes privado. Por lo tanto vo creo que debem &lt;s tos en graves inconvenientes para hacer frente a lodos los ga.tjs que con ellos no admitir la petición, á lo menos tal como se presenta.” se cubren. Fl Sr. Ferrer: «No puedo menos de defender la peticicn, por c:n: «Observo que los Sres; Procuradores de las provincias del Mediodía con en ella veo dos objetos de pública conveniencia muy importables: c, lo » r, su celo acostumbrado proponen la supresión de muchos de clLos, al paso que disminuir en cierta manera…</t>
  </si>
  <si>
    <t>…. peticionarios se puertos para permitir ó no la introducción de granos, no es necesaria, sino per convencerán del daño que puede causar, la petición, daño irreparable en las pro judicial, la petición.”. vincias meridionales.” El Sr. Ferrer: »Soy uno de los peticionarios, y mi dfsepal serlo es que El ír. Trucha-. «Siendo uno dé'los promovedores déla petición, me es las producciones nacionales hállen consumidores en la Nación, sin qu$ la .con sumamente grato observar que esta, lleva-consigo un apoyo en las respetables currencia extranj…</t>
  </si>
  <si>
    <t>…a. rectificar esta equivocación. En cuanto á la de milicias, ha considerado que la También se acordó | después de una ligera discusión, promovida por el porción de oficiales que estaban designados en ella cargaba sobre la Nación, Sr. Ferrer, en que tomaron parte varios Sres. Procuradores, que no constasen porque no son estos como los del ejército, en razón de que no gozan ningún en el acta los nombres de los que habían estado presentes en el acto de pasar sueldo*en provincia sino estando empleados; y asi, atendiendo á la planta que ay…</t>
  </si>
  <si>
    <t>…ormalizar en su caso, para que se cierre la puerta á arbitrarieda- yese justo á lín general ascendido á tal por sus méritos particulares»' de é injusticias.” El marques de Falces: «Dos ligeras observaciones, después de las que El Sr. Ferrer: «Sobre este artículo me ha prevenido e! Sr. Rodríguez ha expuesto el'ijrr Secretario del Despacho de la Guerra, son las que voy &amp; Vera; pero no^por eso dejaré de llamar la~ atención liel Estamento *sóbre la someter á la consideración del Estamento. • economía que propone ía comisión , y que á .mi…</t>
  </si>
  <si>
    <t>…con mas ex.ensiony seguri «Por lo demas, en cuanto á las consideraciones del Sr. Carrillo (de Al dad en este asunto en que se administra por separado.” bornoz, convengo en* ellas en la parte que puedo hablar , no como Ministro Ei Sr. Ferrer: «La insinuación que acaba de bacpr el Sr. Ministro de h de la Guerra , sino como militar , porque todo lo que pertenece á la guardia Guerra es de la mayor importancia; y llamo sobre ella la atención deLEstaReal desde el año 24 está segregado de la Secretaría de mi ramo, quedando solo mentó. Tal es…</t>
  </si>
  <si>
    <t>SUPLEMENTO A DA GACETA DE MADRID DEL MARTES 30 DE DICIEMBRE DE 1834 CORTES. individuo de que se trata; y la segunda es la regla general que ha indicado el Sr. Ferrer, y apoyado el Sr. Traeba. Me parece que cada una de estas cuestión ESTAMENTO DE SEÑORES PROCURADORES. nes debe resolverse de distinta manera. El informe ó dictámen de la comisión, reducido á que no debe admitirse su renuncia á un Procurador que quiere exi Sfgion del dta 29 de Diciembre. mirse de es…</t>
  </si>
  <si>
    <t>…59 rs.” La comisión estaba opinión, y se valiera de la existencia de estos cuerpos, como parte del ejér conformé coSheste artículo jdel Gobierno. _ -~ cito permanente (leyó el dictámen dé la.comisión). Es visto que no "pueden JSI Sr. Ferrer: «Preguntaré al Sr.’ Ministro de la Guerra si la contrata hacer-servicio como cuerpos existentes personas que forman unos cuadros muy con los cantones suizos (que no diré yo que se inflinja) .prohíbe al Gobierno, pequeños; y el Gobierno los puede, emplear, no como oficiales de Tos cuatro puesto que…</t>
  </si>
  <si>
    <t>…decir si será de 60 , de 80 ó «En punto á administración militar del cuerpo, quisiera que se tuviesen 1003 rs.; y es mas natural qu» dependa del sueldo que le corresponda según presentes las justas reflexiones hechas ayer por el Sr. Ferrer respecto de los de la graduación que tenga Ja persona encargada de guardar un depósito tan pre más de la casa Real; quisiera que estuviese sujeto al mismo método y norma cioso, como que en él están cireadás las esperanzas de la Nación.” que los.-demas, pues asi habría uniformidad. Por lo mismo que.…</t>
  </si>
  <si>
    <t>…a á un de los Sres. Procuradores; y repito que nunca ha podido ser mi objeto el que capitán general; y que por consiguiente no debía compararse el sueldo de ch se supone.” - ebos gobernadores con el de los capitanes generales. El Sr. Ferrer: «También yo entro con desconfianza en la discusión de Declarado en seguida el.punto suficientemente discutido, y habiendo reti este artículo, puesto que la comisión, teniendo á la vista-todos los datos nece rado la comisión su’ dictamen, se puso á votación el del Gobierno y fue apto* sarios, do es…</t>
  </si>
  <si>
    <t>…ptq tnoíibcargue del conoc¡miéhtos'puedeéserl¿;sin ::.qiKi',gpr mincttériordqla , metjrdiquáá **puúa»ri qi- «scéíetioi -¿aooiiwMno . quier' aimarqucsea, I»)’* de eMardescLudo do&gt;«&gt;típcim¡áí¡to6. Sobre -ratejlufó es ha indicado el Sr. Ferrer, porque el Ministro. no puede arreglárjo tOdo} pócás sobre lotpiftiarecaídq "fi&gt; «baja cte la coroisipn.,ypQí'Io:tan*ó.creo que calan sinoexigienda labres jjonsabittdad del - gefc del: ramo, ibajó ís^yaídífecworti'caóre. mos'én; d casa di: aprobarla-” ‘«He excitado el celo del actual intendente gei…</t>
  </si>
  <si>
    <t>Ferrer, Baltasar</t>
  </si>
  <si>
    <t>Baltasar Ferrer</t>
  </si>
  <si>
    <t>…ría del regimiento de Córdoba, 6.° ligero/mas una mitad de caballería para cumplimentarlas. El celo acreditado del coronel graduado capitán de Cór ____ Las noticias positivas que hemos recibido de nuestro corresponsal de San doba D. Baltasar Ferrer que las mandaba , no fue bastante para evitar el que Petersburgo destruyen todas las conjeturas formadas sobre una próxima reunión esta fuerza fuere envuelta por dos batallones facciosos, que sin ser vistos eje de los.tres Monarcas del Norte en el campo de Turas, en Moraviu. Ya los he cutaron ejTa…</t>
  </si>
  <si>
    <t>Ferrer, D Joaquín María</t>
  </si>
  <si>
    <t>D Joaquín María Ferrer</t>
  </si>
  <si>
    <t>…a , el cabildo tiene el monstruoso privilegio de hacer una en e»:e dia, por decano de la misma al Sr. D. Francisco Crespo de Tejada, y contra-pregunta, por la cual deben ser examinados, antes de prestar la decla por Secretario al Sr. D. Joaquín María Ferrer. ración que deben dar, ios sencillos y rústicos testigos que presentan los litigan /./ Sr. Praidtntt: **Xo hay ningún asunto pendiente de que pueda ocu tes. E-u es una red en la cual se enreda á aquellos infelices; monstruoso y fa parle el Estamento hasta que las comisiones concluyan sus trabajos y…</t>
  </si>
  <si>
    <t>Ferrer, D Ramón</t>
  </si>
  <si>
    <t>D Ramón Ferrer</t>
  </si>
  <si>
    <t>…de la izquierda por la de carabine S. M., plenamente satisfecha del acierto en las disposiciones del capitán ge neral , idel mérito contraído por el general Carratalá , y del brillante conuvK- ros de dicho batallón ai mando de su capitán D. Ramón Ferrer y por los de tamíento de los gefes, oficiales y tropa, asi del ejército como de la Milicia costas v fronteras del cargo del teniente coronel graduado D. N. López; todos re empeñaron porque el enemigo se resistía: movió este su columna al toque urbana y hatailone* de Isabel u , que á porfía ostentaron…</t>
  </si>
  <si>
    <t>Ferrer, Ei Sr</t>
  </si>
  <si>
    <t>Ei Sr Ferrer</t>
  </si>
  <si>
    <t>…expresarse con mas ex.ensiony seguri «Por lo demas, en cuanto á las consideraciones del Sr. Carrillo (de Al dad en este asunto en que se administra por separado.” bornoz, convengo en* ellas en la parte que puedo hablar , no como Ministro Ei Sr. Ferrer: «La insinuación que acaba de bacpr el Sr. Ministro de h de la Guerra , sino como militar , porque todo lo que pertenece á la guardia Guerra es de la mayor importancia; y llamo sobre ella la atención deLEstaReal desde el año 24 está segregado de la Secretaría de mi ramo, quedando solo mentó. Tal es…</t>
  </si>
  <si>
    <t>Ferrer, Francisco de Paula</t>
  </si>
  <si>
    <t>Francisco de Paula Ferrer</t>
  </si>
  <si>
    <t>…J.a pé.dida del enemigo ha sidp de mucha consideración; pues pasan-de Igual parte da con respecto*4 la ciudad de Avila el secretario del gobierno 100 ios múeitns, entre los que se encuentran el presidente de U llamada junta civil D. Francisco de Paula Ferrer por ausencia del gobernador. de Castilla D. Francisco José deEzeiza, canónigo que fue de Burgos, otro cu Asimismo el marqnes de Valdegema, gobernador civil de la provincia de ra, un titulado coronel, dos tenientes coroneles, dos capitanes, varios oficiales, Zamora, da cuenta de los públicos regocij…</t>
  </si>
  <si>
    <t>Ferrer, Joaquín Mari</t>
  </si>
  <si>
    <t>Joaquín Mari Ferrer</t>
  </si>
  <si>
    <t>…ento dé mismos del Gobierno, que procurará siempre se obedezca lo que se manda. haber nombrado la com¡»ioQ,£cneral de ^presupuestos por decano de la misma á «La contabilidad general del Estado necesita ciertas reformas, empezando D. Joaquín Mari» Ferrer, y por Secretario á D. Javier de Istúnz. desde el ultimó &amp;mtabie, permitáseme la expresión, hasta el tribunal mayor, El Sr. Vicepresidente manifestó-que en el dia- de mañana, según indica que es como la cúpula de e$*te edificio. Falta , pues, bastante que hacer, é imi ción del Sr. Secretario del De…</t>
  </si>
  <si>
    <t>Ferrer, Joaquin María</t>
  </si>
  <si>
    <t>Joaquin María Ferrer</t>
  </si>
  <si>
    <t>…ello. por id., id. Corona de España á D. Cárlos María Isidro Borbota .y. su descendencia; y que, D. Baltasar Carrilloí83ntique, jíóf Gliá8a1i}áirí",AfW id. se„&lt;Ljcsc al Gobierno cuide de hacerla en la imprenta Real en el mismo ta D. Joaquin María Ferrer, pqr Guipúzcoa, por hallarse comisionado en maño en que lo está el expediente y dictámen de la comisión sobre este partí- . Bayona por las autorida'dés‘ pVovinciales"par'i"a«l,ígílar la certeza de la vecular. . , , ___ ----Anunció-el Sr..Presidente que los’Fxcmos Sres. Próeeres Timf'hfaHns para D.…</t>
  </si>
  <si>
    <t>Ferrer, Joaquín María</t>
  </si>
  <si>
    <t>Joaquín María Ferrer</t>
  </si>
  <si>
    <t>…re los carlistas; pues una división del general Rodil se había sa , pues los emisarios que mandé anoche á aquel valle me han dado parle de acercado á dicho punto. no haber ocurrido novedad. A las cuatro de la tarde del dia de hoy D. Joaquín María Ferrer ha re El gobernador de Sos y las justicias de estos pueblos no tienen conoci cibido del comandante de armas de Irun la papeleta adjunta, pidiéndole dicha miento de que se hayan aproximado tropas por la parte de Lumbier ni otro auroiidad me la comunique , y yo la traslado á V». JL4ara.su. superior-x…</t>
  </si>
  <si>
    <t>…el cabildo tiene el monstruoso privilegio de hacer una en e»:e dia, por decano de la misma al Sr. D. Francisco Crespo de Tejada, y contra-pregunta, por la cual deben ser examinados, antes de prestar la decla por Secretario al Sr. D. Joaquín María Ferrer. ración que deben dar, ios sencillos y rústicos testigos que presentan los litigan /./ Sr. Praidtntt: **Xo hay ningún asunto pendiente de que pueda ocu tes. E-u es una red en la cual se enreda á aquellos infelices; monstruoso y fa parle el Estamento hasta que las comisiones concluyan sus trabajos y…</t>
  </si>
  <si>
    <t>Ferrer, Magin</t>
  </si>
  <si>
    <t>Magin Ferrer</t>
  </si>
  <si>
    <t>…a á un regente , siete oidores, cinco alcaldes y dos fiscales. Y (Diario de Smimai) nombro para la plaza de regente á D. Francisco Olavarrieta, que Idem 20. actualmente la desempeña; en clase de oidores , á D. Miguel Castells , á D. Magin Ferrer, á D. Juan Hernández de Alva, á D. Vi Una persona fidedigna escribe desde esta ciudad con la indicada fecha lo cente Ruiz Morqueeho, ¿ D. Joaquín Lorenzo Lázaro, que lo son siguiente : »La peste que se ha declarado, en primer lugar en Jada y despoe* de dicha audiencia , á D. Francisco Calvet y á D.…</t>
  </si>
  <si>
    <t>Ferrer, Manuel Criado</t>
  </si>
  <si>
    <t>Manuel Criado Ferrer</t>
  </si>
  <si>
    <t>…hopos lombardos y 3o nogales. Entre tonio ftlños: para la alcaldía mayor de San Felipe á D. José López Enguída- los olmos expresados hay 13 de superior calidad,que se venderán á 3 rs. y no«: jara la de ViHamartin de Va.ldeorras á D. Manuel Criado Ferrer: para 17 mrs. cada uno; los álamos, fresnos y acacias a 3 rs.; los demas olmos la de Celanov* i D. Antonio Arias Qniroga: para la de Alberique á D. An se venderán á 2 rs. y 17 mrs., los chopos lombardos á 2 rs., y los nogales drés Llagaría: para la de \lmazan á D. Juan Teran: para la de Priego á Do…</t>
  </si>
  <si>
    <t>Ferrer, Ramón</t>
  </si>
  <si>
    <t>Ramón Ferrer</t>
  </si>
  <si>
    <t>…e estos foragidós, que invocando el nombre de la religión, son el Antonio Azpiroz, y toda la compañía de tiradores de su cuerpo: el capitán oprobio de la especie humana por sus atrocidades. de la compañía de carabineros del mismo D. Ramón Ferrer: los comandan Deseoso el capitán general de castigar los asesinatos cometidos por aquellos tes D. Joaquín Ramos y D. Miguel Mirambell: los capitanes D. Vicente malvados en Falset en las personas del capitán D. Miguel Sala, en eL teniente Llorens y D. Mariano López, el primero graduado de Teniente c…</t>
  </si>
  <si>
    <t>Ferreras, Lorenzo María</t>
  </si>
  <si>
    <t>Lorenzo María Ferreras</t>
  </si>
  <si>
    <t>…, ven Íelfy, se encargue interinamente de la Secfetaría del Despacho del go en nombrar, por la clase de oidores, á D. Manuel José de V il- "omento. r± Está rubricado de lá Real mano. = Aranjuez 17 de ches; á D. Antonio Heredia; á D. Lorenzo María Ferreras; á Don Abril de 1834—A D. Francisco Martínez de la Rosa, Presiden Mariano de la fuente; á D. Fernando López de Sagredo, qüc ac te del Consejo de Ministros. tualmente lo soh de la misma; á D. José Vecino/ fiscal de k&gt; ci vil dé la audiencia de Búrgos, y á D. José López de CoZar y i Eli atención á lo…</t>
  </si>
  <si>
    <t>Ferro, Francisco González</t>
  </si>
  <si>
    <t>Francisco González Ferro</t>
  </si>
  <si>
    <t>…trosaot ¡gaos fueros, y ;l¿Jtoayor cordialidad &lt;y unión entre todos tos lubitaiites de esta ldtl ciudadi ■ : E Extracto dél parte remitido por «1 subdelegado de Fromento de la provin ^ ;. ' t SepU¡f}2B d(Á}tr!l. ,v cia de Cáceres D. Francisco González Ferro con fecha de 31 de Marzo último. Ha tomado medidas para la extinción del canutillo de langosta que se ha El cumpleaños Ále -nuestra iugusta-RmnA Gobernadora, se;celebré ayer en bía manifestado-en algunos terrenos. asta ciudad con el regocijo mas acendrado- Desde por la mañana estuvo ex-pues». Asegu…</t>
  </si>
  <si>
    <t>…idados, 19¿ al contado: 20¿, i, 20, é, i y á 4 varias fs. 6 voluntad. Deuda negociable de 5 p. 100 á papet, 00 Extracto del parte remitido por el gobernador civil de la provincia de Cá-' Id. sin Interes, H{y 12 al contado. eeres, D. Francisco González Ferro con fecha de 30 de Abril último. Acciones del banco español» 00* Las lluvias, aunque tardías, y la extinción de la langosta, han remediado CAMBIOS. •n gran parte el mal estado de los campos. Amsterdani, 00. París, 16—2. Cádiz, 1 b. Sevilla, * b. Ha repartido á los labradores 1500 fanegas de terreno…</t>
  </si>
  <si>
    <t>…lido los PROVINCIA DE TOLEDO. . . , places que se proponían al atravesar el Ebro. Partee sanitarios. Extracto del parte remitido por el gobernador civil de la provincia de Cá- Pueblos. Dias. Enfermos. Curados. , Fgltecldoa, ceres D. Francisco González Ferro con fécha de 4 de Junio último. Ha distribuido bastantes porciones de terreno inculto entró los labradores, bajo un moderado cánon , coh destino al fondo de propios, y bajo la misma Mora......... (Desde el 6 tl fl condición ha logrado que los ayuntamientos transijan con algunos particulares " | de…</t>
  </si>
  <si>
    <t>Feryendo, MartiU</t>
  </si>
  <si>
    <t>MartiU Feryendo</t>
  </si>
  <si>
    <t>…Alvarez Guer ha leido otra vez, se ha impreso y repartido, y d volverlo á leer alargaría la discusión. Es verdad que el artículo dice que se tea; pero puesto que se van le ra . duque de Nobleiss, marques de' Mansera y de Malpica, D. MartiU Feryendo los párrafos aegun*se van discutiendo, me parece qu^ esto es mfi- ñández de Navarrete, D. Ramón Gil de ia Cuadre, D. Manuel José Quintaw, D. José García teon y Pkarro, D. Gaspar Vigodet, marques de Espe C&gt;ent&lt;JEJ Sr, VicefresiJente:~^Ya no puedo prescindir é^ observar el regla ta, í). Antonio Martínez,…</t>
  </si>
  <si>
    <t>Fexrcr, D Joaquin María</t>
  </si>
  <si>
    <t>D Joaquin María Fexrcr</t>
  </si>
  <si>
    <t>…anió» _ ramo iTe ha hraho en otras ocasiones. En la,’; tta varias ilegalidades cometidas en. la Junta electoral celebrada en Zamora en “última sesión se admitió á un Sr,. Procurador que por olvido no remitió sus poderes, y fue al Sr. D. Joaquin María Fexrcr.” , ...."2J del corriente. , , A la misma comisión pasó igualmente una exposición del Sr. D. Joaquín El Sr. Eerrer: «Creo quejhe entregado el poder, con loé demás docu González y Nieto, Procurador elicto'-por la provincia de Soria, pidiendo ,so mentos.” le admita la dimisión que hace de.dicho cargo.…</t>
  </si>
  <si>
    <t>Fexrcr, Joaquin María</t>
  </si>
  <si>
    <t>Joaquin María Fexrcr</t>
  </si>
  <si>
    <t>…» _ ramo iTe ha hraho en otras ocasiones. En la,’; tta varias ilegalidades cometidas en. la Junta electoral celebrada en Zamora en “última sesión se admitió á un Sr,. Procurador que por olvido no remitió sus poderes, y fue al Sr. D. Joaquin María Fexrcr.” , ...."2J del corriente. , , A la misma comisión pasó igualmente una exposición del Sr. D. Joaquín El Sr. Eerrer: «Creo quejhe entregado el poder, con loé demás docu González y Nieto, Procurador elicto'-por la provincia de Soria, pidiendo ,so mentos.” le admita la dimisión que hace de.dicho cargo.…</t>
  </si>
  <si>
    <t>Fi, Josef Vaaqusjt</t>
  </si>
  <si>
    <t>Josef Vaaqusjt Fi</t>
  </si>
  <si>
    <t>…El alférez mayor perpetuo, mún, c-ireis á quien corresponda para los efectos convenientes. Palacio 22 do Diego Josef Ballesteros^=El procurador sindico general, Francisco Javier CarEnero de 1834.=E»tá rubricado de la Real mano-=A D. Josef Vaaqusjt Fi— rillo.ccEl conde de Casa-Valiente.= Andrés Díaz Cacho.=Josef González de güeros. la Cruz. = Francisco Romero, —Por la villa de Alhambra, Antonio Pedro KTNISTKRiO DEL TOMENTO GXVKKA1. DSC IZUNO. Alcaide.—Tomas Orcajaía^rPedro Josef Alarcon.=Josef Joaquín Jimencz-en Josef Arias.—Ju.rn Antonio Gigant…</t>
  </si>
  <si>
    <t>Fi, Josef Vázquez</t>
  </si>
  <si>
    <t>Josef Vázquez Fi</t>
  </si>
  <si>
    <t>…desmintieron sus jura En atención i los antiguos y recomendables servicios, y i la acendrada leal mentos solemnes, me manda excitar su rejo para que, devorados de él, contri tad que en todas épocas y circunstancias ha manifestado D. Josef Vázquez Fi- buyan á borrar la nota con que ha querido mancillar el noble lustre del estado gUcVoa i rm Secretario del Despacho de Marina, he venido en concederle, á eclesiástico la conducta criminal de los individuos suyas, fautores, cómplices ó mantee de tai muy amada Hija Doña Isabel ir, plaza efectiva en el…</t>
  </si>
  <si>
    <t>Fiartcáco</t>
  </si>
  <si>
    <t>…por tierra ..^f PROVINCIA DX CXXOStA. contra ituéstros ataquen'Cerdudo élmat i nuestros buque* ¡T jr; abriéndole solo Sr, D. José, Fina del Vitar. . . . - 4 Ipf' Mjyds-y ájps de,^^’sdeuíig^ rlí^Ipg^wtá pudo.ptDlQngar duran ‘ Sr, D. Fiartcáco javier de FmiMa . te 22 años la lucha de la'Europa contra la Francia. Lo repetímos:;,1a mtervea- m....-sg.dl j©4a* viAti». - cktóéte;^rtta tn«r^á.wntWiritqWaei «^^eñdtenlciat de;l*-pieyri, y trastor- FKOVtMCM. SK lillDA. , .^I^ra'arateMTq^í^d^^’de tiouadrupía.alianx* dc^í la,Francia sola i- i, ; "9…</t>
  </si>
  <si>
    <t>Fidalgo, Bernardo Echaluce y D Santos</t>
  </si>
  <si>
    <t>Bernardo Echaluce y D Santos Fidalgo</t>
  </si>
  <si>
    <t>…oluma al punto donde estuviesen los re 4.a shcciov._G- abismo general de la provincia económico y político de los beldes, y habiéndose verificado asi, fuerorreorprendidos estos por la infantería pueblos. mandada por los oficiales D. Bernardo Echaluce y D. Santos Fidalgo que ata caron al pueblo por diferentes puntos, haciendo huir á los rebeldes, quienes Ayuntamientos: gobierno económico y municipal de los pueblos: cuidado fueron después alcanzados y destruidos, no escapándose sino 3 de 20 que eran, y administración de los propios y arbitrios: policía urbana y rúst…</t>
  </si>
  <si>
    <t>Fidalgo, Santos</t>
  </si>
  <si>
    <t>Santos Fidalgo</t>
  </si>
  <si>
    <t>…tuviesen los re 4.a shcciov._G- abismo general de la provincia económico y político de los beldes, y habiéndose verificado asi, fuerorreorprendidos estos por la infantería pueblos. mandada por los oficiales D. Bernardo Echaluce y D. Santos Fidalgo que ata caron al pueblo por diferentes puntos, haciendo huir á los rebeldes, quienes Ayuntamientos: gobierno económico y municipal de los pueblos: cuidado fueron después alcanzados y destruidos, no escapándose sino 3 de 20 que eran, y administración de los propios y arbitrios: policía urbana y rúst…</t>
  </si>
  <si>
    <t>Fidelísimo</t>
  </si>
  <si>
    <t>…ción; y pues tuviese su debido cumplimiento la soberana resolución. «que se había convenido en complacer al Rey despties que tomasen á Lisboa En dicha exposición presenta á S. M. el Sr. -Secretario del Despacho un «las tropas del Rey Fidelísimo, esperaría á que esto se vejificaseV3 extracto de los hechos oficiales mas señalados que obran en las secretarías del En. aquellos días ocurrió «1 fallecimiento de S. M., sin que se hubiesen he Despacho de Estado y de su cargo; un recuerdo de las leyes del reino y de los cho efectivas las conminaci…</t>
  </si>
  <si>
    <t>Fieix</t>
  </si>
  <si>
    <t>…taron desde el año 20 al 23 , es decir» ios empréstitos gar no se halla en la*-mismas circunstancias en que se hallaba-en el año de 20 de las Córtes. al 23. En segundó lugar es necesario tener presente Jo que se ba dicho aquí «El Sr. Fieix supone equivocadamente que el no reconocimiento de los varias veces, á saber: que la Francia*está presidida por un Monarca ilustrado, empréstitos venía de Ja inobservancia de un principio, que es cabalmente el que nunca comprometerá por el interes de unos pocos individuos el de la Na que los Sres.…</t>
  </si>
  <si>
    <t>Fierre, Cayetano Federico</t>
  </si>
  <si>
    <t>Cayetano Federico Fierre</t>
  </si>
  <si>
    <t>…ps. A, GranadaMálaga, •fb.Id. Id. Descuento de tetras,' Idndrer. i 90 días. i id. ' Santander, I* id. á 4 p. lOVai afio. Y á propuesta de la dirección general de Pósitos ha tqnido á bien S. M. Bilbao, par. Santiago, Id. nombrar a D. Cayetano Federico Fierre para la plaza de tesorero depositario del pósito monte-pío de la, ciudad de Sevilla. - /del joven valencianoANUNCIO.D. Vicenta Oferrall en eu víate k la Sucesos y aventuras ESTADO SANITARIO DEL REINO, Italia: novela:histórica nueva, escrita por O J. M. dc G.. en ti zúa! u dan lecciones de la escuel…</t>
  </si>
  <si>
    <t>Figue, Juan López</t>
  </si>
  <si>
    <t>Juan López Figue</t>
  </si>
  <si>
    <t>…e aquel dia. una medalla de segunda clase á los niños I), llenrique Villalobos, D. Manuel ------ Por providencia del señor ./.c- de q- curte D. Aotonlo Josef GaVlodu, refrendada Díaz, D. Francisco Melgarejo, ID. Antonio Vázquez y D. Juan López Figue- del escribano de provincia P. j ‘ Urrun.j, se clfa á las personas que se creafi cou roa, por sus adelantos en la gramática, ortografía y aritmética. A otros varios derecho á los bienes quedadas pur fallecimiento intestado de D. Josef Inclan , veci se distribuyeron medallas de lectura, escritura y doctr…</t>
  </si>
  <si>
    <t>Figueras</t>
  </si>
  <si>
    <t>…el baile terminó á la una y media. reccion al Bastan , dejando al general Anleo en observación de las Atnescuas, Las colgaduras, banderas y arcos subsistieron el tercer dia sin embargo de donde el 4se hallaba Zumalacarregui; y al brigadier Figueras en Irurzun : aquel la lluvia. Varias jóvenes, bajo el nombre de ninfas rosarenses que adoptaron, y este con las correspondientes instrucciones. En la noche del mismo dia ocupó eligieron su deidad presidenta , y acordaron publicar una loa i las siete de la no á Lanz, y el 7 por la mañana marchaba so…</t>
  </si>
  <si>
    <t>…r encuentra con abusos anejos sostenidos por las autoridades municipa Irurzun, no tuvo mas remedio que huir hasta Mezqueta, á donde también le les, que han motivado nuevos recursos desde mi último parte, los que constan siguió el brigadier Figueras. temente decido en favor de la propiedad. Entretanto, el general en gefe obligaba i correr pavorosamente al Preten Mientras los ganaderos no se convenzan y sientan la necesidad de renun diente, y sabedor Figueras da que debía pasar por Lecumberri , contramarchó ciar á la posesión en que se hallan de…</t>
  </si>
  <si>
    <t>…enfermo saliere á la calle por orden del facul vatierra con la fuérzale su inmediato mando , que se habla reunido con Ja del tativo-, ó sin ella, cesará el subsidio respectivo por conceptuarse terminada U general Lorenzo y la^del brigadier Figueras en la Borunda, dónde se estable enfermedad. cía el cuartel general del ejército. Ha sídoj incorporada á la capitanía general 5. ° No basta que un individuo se sangre ó tome algún remedio preventivo de Aragón, para la dirección de las operaciones militares,la'merindad dcTudc- para ser auxiiiado aunq…</t>
  </si>
  <si>
    <t>…ge.estaba cpp„el 8e" v**fligs*-4 !f cípittj &amp; fteral Ánlto, .de Lééumbem. á Pamplona, por no ser; necesaria en lasjmoiita- dia siguiénfe uniolemnc TT.e Djum ien acción de.graciajs al ’Jodóptjderoso, pro^- fias, dejó en Trürzun al brigadier Figueras^ y habiendo pasado los desfiladeros cediendo después ql expqrgQ dé las casas infestadas, y su|ptandosp i ntiéve dias de la venia de Gutiña y Erice, supo que Zumalacarreguicortabá por aquel de observación ¡ .dice ademas que culos otros pueblos de lq provincia én donde Íittntoope, masel caminono pudo.ob…</t>
  </si>
  <si>
    <t>…y la otra con dicho Pretendiente en dirección de Segara. Es cuanto por el momento puedo decir i V. E., sin que tenga noticia A mi paso por Aramayona me informaron que Castor con 400 hombres ha de las columnas del general Anleo y brigadier Figueras, cuya muestra de su bía permanecido allí todo ayer, y que hoy á las siete de la mañana subió i existencia me prometo y anhelo por momentos. los alto de mi izquierda en dirección de Elorrio, seguramente para regresar i Dios &amp;c. Cuartel general de Zumarraga 20 de Agosto de 1834 á las retaguardia. Pos…</t>
  </si>
  <si>
    <t>…cogieron de Agosto de 1834 á las-doce del dia.=Excmo. Sr—El-marques de Rodil. prisionero al conde de Viamahuel, á quien conduce Zumaiacarregui con con sideración , tratándolo bien. = Este propio es de confianza, é informará ¿ El brigadier Figueras con fecha de ayer desde Zalira i las once de la no V. E. de los movimientos de los enemigos. z=El conde Armildez de Toledo.= che me dice: Es copia. = El marques de Rodil. »Según las noticias, los enemigos marchan á toda prisa sobre el Bastan, adonde llegarán mañana. He llegado á este punto y contin…</t>
  </si>
  <si>
    <t>Figueras, D Francisco de Paula</t>
  </si>
  <si>
    <t>D Francisco de Paula Figueras</t>
  </si>
  <si>
    <t>…s gefes de brigada de esta el brigadier D. José Marta determiné, asegurados los valles de Araquil y la Borunda con la división de Herrera, coronel D. Francisco Ocaña, gefe de la plana mayor marques de vanguardia á las órdenes del brigadier D. Francisco de Paula Figueras, salir Villarcampo, brigadier D. Manuel O-Doy le, gefe de la 1.* brigada de la de Echarriaranaz ayer con las divisiones 1.* y 2 1 de infantería, mandadas por 1. a división , mariscal de campo D. Joaquín Gómez y Ansa, y coronel Don los mariscales de campo D. Joaquín Gómez y Ansa y D. Manuel Lorezo,…</t>
  </si>
  <si>
    <t>…es de ñor.=Joaquin de Osma.=Exemo. Sr. Secretario de Estado y del Des Portugal.=Es copia.=José Ramón Rodil. pacho universal de la Guerra. En Extremadura se habrán reunido las fuerzas que deben com— poner la división del mando del brigadier D. Francisco de Paula Figueras, á cuyo fin habrán llegado algunas de todas alonas proceden PARTE NO OFICIAL. tes de Andalucía. NOTICIAS EXTRANGERAS. El gobernador de Ciudad-Rodrigo con fecha de 19 dice lo si guiente: (Continuación del correo anterior.) Excmo. Sr.:Las comunicaciones que he recibido del Portugal, de la provincia d…</t>
  </si>
  <si>
    <t>Figueras, Francisco</t>
  </si>
  <si>
    <t>Francisco Figueras</t>
  </si>
  <si>
    <t>…jyfacral, se extendió en guerrilla por el valle de Araquil y 5. Miguel de Excslsis, se dirigió á Lecumoem: sa d 2.° de Gerona; Alcázar le sirvió de reserva, hasta que le llegó el instante bedor de ello el general de la vanguardia D. Francisco Figueras, se echó sobre de atacar la derecha del enemigo apoyado de un despeñadero cubierto de bos él la mañana del 7 persiguiéndolo hasta el puerto de Amezcutu; pero fue Un que de muy difícil acceso, que necesitó la ayuda bizarra del referido batallón to lo que corrió, y la prisa que se dió á huir , que no…</t>
  </si>
  <si>
    <t>Figueras, Francisco de Paula</t>
  </si>
  <si>
    <t>Francisco de Paula Figueras</t>
  </si>
  <si>
    <t>…brigada de esta el brigadier D. José Marta determiné, asegurados los valles de Araquil y la Borunda con la división de Herrera, coronel D. Francisco Ocaña, gefe de la plana mayor marques de vanguardia á las órdenes del brigadier D. Francisco de Paula Figueras, salir Villarcampo, brigadier D. Manuel O-Doy le, gefe de la 1.* brigada de la de Echarriaranaz ayer con las divisiones 1.* y 2 1 de infantería, mandadas por 1. a división , mariscal de campo D. Joaquín Gómez y Ansa, y coronel Don los mariscales de campo D. Joaquín Gómez y Ansa y D. Manuel Lorezo,…</t>
  </si>
  <si>
    <t>…iente de 35 grados, 53 pesos la bota: id. prueigualmente que los batallones de ia 3.a división al cargo del señor brigadier ba de Holanda, á 28 id.: vmo del país del año anterior, de 12 á 15 rs. arrocomandante general de la misma D. Francisco de Paula Figueras, viniendo el ba; aceite , á 37 rs. íd.cñor mariscal de campo'D. Francisco Sanjuanéela con la vanguardia á Villa-? Ronda. Trigo, de 28 á 31 rs. fanega: garbanzos, de 50 á 50 id.: aceiteboin, y todos me seguirán en carros y bagajes cotí la mayor velocidad posible, de 4&lt;5 á 52 rs. arroba.haciendo los…</t>
  </si>
  <si>
    <t>…=Joaquin de Osma.=Exemo. Sr. Secretario de Estado y del Des Portugal.=Es copia.=José Ramón Rodil. pacho universal de la Guerra. En Extremadura se habrán reunido las fuerzas que deben com— poner la división del mando del brigadier D. Francisco de Paula Figueras, á cuyo fin habrán llegado algunas de todas alonas proceden PARTE NO OFICIAL. tes de Andalucía. NOTICIAS EXTRANGERAS. El gobernador de Ciudad-Rodrigo con fecha de 19 dice lo si guiente: (Continuación del correo anterior.) Excmo. Sr.:Las comunicaciones que he recibido del Portugal, de la provincia d…</t>
  </si>
  <si>
    <t>…. su suprema autoridad, que no os separareis de la senda de lá obediencia y del El 25 , dejando en aquel punto 4 la vanguardia del mando del bngadiét deber, que desechareis las sugestiones de los malvados, con las cuales intentan D. Francisco de Paula Figueras, y marchando el general en gefe ¿ Salvatierra algunos pocos excitaros á desconocer y resistir las disposiciones del Gobierno; con la 1.a y 2 a división y alguna caballería , se presentaron los enemigos, man manteniéndoos sumisos y obedientes, viviréis seguros y tranquilos en vuestras dados por Zuma…</t>
  </si>
  <si>
    <t>Figueroa</t>
  </si>
  <si>
    <t>…ormente algunos gefes adic Puente D. Gonzalo. (el alcalde mayor y ayuntamiento de) tos al gobierno habían acometido á los caudillos de la insurrección, y derrota Puerto Rea!, (el alcalde mayor y ayuntamiento de) do sus tropas. El general Figueroa logró escaparse, pero la mayor parte de los Roa. (el ayuntamiento de) que le acompañaban fueron hechos prisioneros. Por un documento que ha pa Ribera dei Fresno, (el ayuntamiento de) sado el gobierno á la Cámara de Jo» Diputados aparece que el gabinete britá Rute, (el alcalde inajor y ayuntamiento…</t>
  </si>
  <si>
    <t>Figueroa, D Felipe</t>
  </si>
  <si>
    <t>D Felipe Figueroa</t>
  </si>
  <si>
    <t>…ta el 28 de Setiembre, Idem, (el intendente, gefes de rentas Reales y propios de) sabemos lo siguiente: Los negocios políticos de la provincia de Ca tama rea pre Nájera. (el alcalde mayor y ayuntamiento de) sentan mal aspecto. Su gobernador D. Felipe Figueroa ha juntado tropas para Noya.' (el ayuntamiento de) destruir el gobierno, y de otro lado el general Aramburu iba á oponerse á Fi Peñaranda de Bracamonte. (el alcalde mayor y ayuntamiento de) gueroa con la milicia que tenia á su disposición. El Sr. Heredia, gobernador Pedro Manrique y los 25 pueblos…</t>
  </si>
  <si>
    <t>Figueroa, Felipe</t>
  </si>
  <si>
    <t>Felipe Figueroa</t>
  </si>
  <si>
    <t>…Setiembre, Idem, (el intendente, gefes de rentas Reales y propios de) sabemos lo siguiente: Los negocios políticos de la provincia de Ca tama rea pre Nájera. (el alcalde mayor y ayuntamiento de) sentan mal aspecto. Su gobernador D. Felipe Figueroa ha juntado tropas para Noya.' (el ayuntamiento de) destruir el gobierno, y de otro lado el general Aramburu iba á oponerse á Fi Peñaranda de Bracamonte. (el alcalde mayor y ayuntamiento de) gueroa con la milicia que tenia á su disposición. El Sr. Heredia, gobernador Pedro Manrique y los 25 pueblos…</t>
  </si>
  <si>
    <t>Figueroa, José Vázquez</t>
  </si>
  <si>
    <t>José Vázquez Figueroa</t>
  </si>
  <si>
    <t>…municareis á quien corresponda.^: ciones llamadas antes principales que en las que se denominaban de Rubricado de la Real mano en Aranjuez á 4 de Abril de 1834-= partido, pues que conforme al espíritu y letra de la ley penal no A D. José Vázquez Figueroa. hay ya mas que una sola suerte de subdeíegacioncs de Rentas igua les entre sí, y todas dependientes del superintendente general de Para llevar á efecto mi Real decreto de 24 de Marzo último, Real Hacienda, sin conocerse prioridad en. las que desempeñan los relativo á los Tribunales supremos del rei…</t>
  </si>
  <si>
    <t>Figueroa, Juan.García</t>
  </si>
  <si>
    <t>Juan.García Figueroa</t>
  </si>
  <si>
    <t>…dad de maestrescuela de la santa metropolitana• los alcaldes del crimen; mandando que los negocios pendientes en ellos se continúen y fallen, desde dicha época, por los alcaldes ma iglesia de Granada, vacante por fallecimiento de D. Juan.García Figueroa, nombro á D. Bartolomé Venegas y Cabrera, canónigo elec yores ó corregidores letrados dél partido, por ante los escribanos en , cuyos oficios radican; los cuales desde la supresión de dichos juzga to de la santa iglesia colegial del Sacromonte de Granada. Tendréis lo entendido, y lo comunicareis á…</t>
  </si>
  <si>
    <t>Figuren</t>
  </si>
  <si>
    <t>…mjfecxrraaui, que enfermedad que afligía á fe capital y varios pueblos de fe misma seguía su &lt;aira* fcatfabanr al frente enku valles de Gd5i jrm h An»».. Typ ^ •o natural, Dolándose sin embargo que en algunos iba disminuyendo. EL brigadier Figuren, que manda enfe Bunmda, iba en da alguoús cuespas de facciosos alaveses, según la áoticus que se jeenfea en Vi- PROVINCIA DB GRANADA. De parte» conformes dados por el coafc Anailár? de Toledo, de Pamplo El presidente de fe junta de sanidad de dicha provincia avisa con fecha na T dd capitel general…</t>
  </si>
  <si>
    <t>Filelístmo</t>
  </si>
  <si>
    <t>…Cários contestó de uí importancia.” no haber variado de resolución; y pues te había, convenido en complacer al Al rrnlmo tiempo, habiéndose sabido que se disponía i pasar i Coimbra Rey, después que tomasen i Lisboa las tropas del Rey Filelístmo,* esperaría A Braga, se le preyino en Real orden de 7 Mayo, «que S. M. se oponía á que esto se verificase. / decididamente ¿-cualquier viage al interior efe Portugal.” Habiendo ocurrido por aquellos días el fallecimiento de vuestro Augusto En 13 del propio mea contestó «estar resuelto i Hacer la vo…</t>
  </si>
  <si>
    <t>Filippi</t>
  </si>
  <si>
    <t>…r un momento, no tardarán acaso eñ estallar con mas Comerció en armonía con aquel, de modo que aparezca consecuente violencia. y homogéneo él cuerpo de la legislación española; lié venido en El encargado de Negocios de Cerdeña el Sr. Filippi, que presentó sus cre mandar en nombre de mi excelsa Hija Doña Isabel u, que una co denciales hace algunas semanas, acaba de sucumbir a una jfiebre nerviosa. El misión compuesta de D. Juan Gualberto González, D. Juan Alvarez Sr. Testa, encargado de Negocios provisorios de la Holanda, ha recibido su…</t>
  </si>
  <si>
    <t>Filippó</t>
  </si>
  <si>
    <t>…a, compuesta anteriormente recibir la orden de ejercer de nuevo un puesto honroso, mientras tanto que se de un regente, d i ez oidores, cinco alcaldes y dos fiscales, quede re provee de ua modo difiniiivo al reemplazo del difunto conde Filippó. ducida á un regente , siete oidores, cinco alcaldes y dos fiscales. Y (Diario de Smimai) nombro para la plaza de regente á D. Francisco Olavarrieta, que Idem 20. actualmente la desempeña; en clase de oidores , á D. Miguel Castells , á D. Magin Ferrer, á D. Juan Hernández de Alva, á D. Vi Una person…</t>
  </si>
  <si>
    <t>Finalmente, Como</t>
  </si>
  <si>
    <t>Como Finalmente</t>
  </si>
  <si>
    <t>…pesos respecto de las- tario de Estado y del Despacho del Fomento general del reino. provincias limítrofes. La minería está en mejor estado, y ofrece7 mas utilidades para lo sucesivo. Junta superior de Sanidad de Granada. Excmo. Sr.: Como Finalmente los ayuntamientos, estadística, cementerios, hos .residente de la junta-superior de Sanidad de esta- provincia digo á - picios , hospitales, cárceles, caminos, canal» &amp;c. son objetos que Ía suprema del reino con esta -fecha lo siguiente: " Mn llamado la atención del gefe administrativo delá provincia,…</t>
  </si>
  <si>
    <t>Finalmente, Juan Lcnio</t>
  </si>
  <si>
    <t>Juan Lcnio Finalmente</t>
  </si>
  <si>
    <t>…, marcharon los cuerpos de su mando sobre Coimbra, en pone en el caso de optar á las gracias que S. M. quiera dispensarles, como volviendo el español aquella posición por la izquierda del Mondcgo , sobre cu igualmente el cazador D. Juan Lcnio. Finalmente contrajeron mérito muy ya margen derecha tiene su asiento dicha importante ciudad. El 6 arrolló la marcado por su valor cí teniente del regimiento caballería 1.® de ligeros Don vanguardia del duque á unos miguelisras, que al apoyo de la sierra de Busaco Antonio Paez, e! de la misma clase de carabin…</t>
  </si>
  <si>
    <t>Finat, José</t>
  </si>
  <si>
    <t>José Finat</t>
  </si>
  <si>
    <t>…graduado teniente para formar el plan de instrucción primaria del reino. del regimiento, infantería voluntarios de Aragón , 2.° ligero, D. Andrés Pelaez , me d ice desde Yébenes , con fecha de ayer, lo que sigue: El dia 7* ha- A D. José Finat, del comercio de esta capital, se ha servido S. M. con1 lindóse mi columna internada en las sierras, no lejos del cortijo de Malagon, ceder próroga de un año y un dia para poner en planta un privilegio para in &lt;n el valle de Valdeyemo y Barranco, -llamado del Nabo; fue descubierta uní troducir de F…</t>
  </si>
  <si>
    <t>Fiot</t>
  </si>
  <si>
    <t>…que gozan dichas intere sejero de Estado antes de cumplir 30 años, ni auditor de él antes de los 25.” sadas están pagados los servíaos de sus esposos. En vista de las reflexiones de los Sres. Decazes, Mole, Mounier, Portalis y El Sr. Fiot enumera los méritos contraídos por los militares de que se tra el ministro de Justicia, se acuerda que vuelva á la comisión el artículo 3.a que ta; asegura que el ejército sufriría gustoso un descuento, y el pueblo contribui trata del numero de auditores que debe haber en d consejo de Estado. ría d…</t>
  </si>
  <si>
    <t>…hechos en circunstancias idénticas, asi versa, sin necesidad de nuevos procedimientos. corr c! Si* Mauguin en 1830 y 1831, como con él en el año próximo pasado. _En la Cámara de los Comunes anunció M. O'Connel que cuando se traEl Sr. Fiot adhiere al parecer del preopinante, corroborándolo los Sres. Mau- ' tase del bilí sobre diezmos de Irlanda, baria una mocion para que el clero se guin y O. Barrot con varias observaciones, de las cuales deducen que la Cá I limitase al número dc^ministros necesarios al servicio espiritual de las igl…</t>
  </si>
  <si>
    <t>Fitz-James</t>
  </si>
  <si>
    <t>…apor el Brozier procedente de Argel, y ha Art. 3.° Todo individuo que sin estar legalmente autorizado fabrique ó desembarcado 35 pasageros militares. construya, venda ó distribuya armas de guerra, cartuchos y otras municiones «El general Fitz-James, que salió de Mostaganim el 3 por la mañana, de guerra, ó sea tenedor de armas de guerra, cartuchos ó municiones de guer ha llegado á Arzew- en la noche del 3 al 4 de Agosto. El batallón del 66.°, ra , ó de un depósito de cualesquiera armas, será castigado con U pena de un que debe volver á Oran co…</t>
  </si>
  <si>
    <t>Fjconcluido</t>
  </si>
  <si>
    <t>…la Península. asegura que las fuerzas que iban con Zumalacarrcgui se han dividido en do* El tratado, tan conforme á la verdadera política de la Francia, que V. M. ha cuerpos, uno de los cuales perdigue el general Anleo, y otro el brigadier Fjconcluido con el Rey de la Gran lircl.lííi, ¡a Reina de'España ,y la Reina gucras, de quien ha recibido el parle siguiente.= *» Excmo. Sr. : Pasan ai hospi de Portugal, debe por otra parte ejercer el mas saludable influjo en el resta tal militar de esa plaza 27 enfermos de la división de mi cargo, escoltados…</t>
  </si>
  <si>
    <t>Flaza, Román José de la</t>
  </si>
  <si>
    <t>Román José de la Flaza</t>
  </si>
  <si>
    <t>…spos de Asistió á las vísperas y nocturno, á las honras y los responsos una numero Oajaca y Orihuela, y los limos. Sres. obispos de Astorga y Canarias; y pro sa orquesta compuesta de escogidos profesores. nunció el elogio fúnebre D. Román José de la Flaza, cura del Carpió. Celebró el limo. Sr. obispo de Oajaca, asistiendo los Excmos. Sres. Patriar ca de las Indias y obispo de Tortosa, y los limos. Sres. obispos de Canarias y de Orihuela; y pronunció la oración fúnebre el Dr. D. Pedro Rico y Amat, predicador de S M. - ■ . , - Presidió el Excmo. Sr go…</t>
  </si>
  <si>
    <t>Fleix</t>
  </si>
  <si>
    <t>…clase de bienes que le producían la renta á fin de poder dar la comisión su dic— Habiendo hecho igual pregunta el Sr. Presidente respecto, del proyecto dé támen Asi se aprobó. . ley sobre responsabilidad de los jueces, contótó el Sr. Fleix, que por Id deli El Sr. D. Pedro Bcrmudez, Procurador, por la provincia de la Corulla, cado del asunto aun no se habia podido concluir. ■ remitía su voto conforme con lo acordado por el Estamento en la cuestión so El Sr. Presidente manifestó que su 'ojeto al hacer estas preguntas era únibre excluir…</t>
  </si>
  <si>
    <t>…el Sr. Infante D. Francis «Yo no molestaré al Estamento con repetir cálculo* minuciosos;1 pero co-, y los óOli© para la Cámara de su Esposa, ha considerado necesario 5o© du me parece que son exactísimos los que han presentado el Sr. Fleix y el Go cados para cada uno de los“e¿nco hijos mayores de siete años, y habrá creído bierno, y contra datos de guarismos no sirve oponer reflexiones. Tengamos, que para los tres menores bastaba á cada uno la de 25'lf© rs., pues con este cál pues, presentes los eminentes servicios que S. A. ha prestad…</t>
  </si>
  <si>
    <t>…no se halla en el ca*o de pagar aun les q ie fue en contra la facción, la fbica del ejército, ni nada, si no se les prí cuando se declarasen validos.” vase de una vez del medio de adquirir recurso». Pdra conseguirlo, y que no El Sr. Fleix: «Cuando se trató del proyecto en general que ahora nos repítan el funesto ejemplo de la junta de Urgel, e? nece&gt;ano, indispemable, ocupa, me abstuve de hablar, no obstante haber pedido la palabra , porque vi que no se aprueben y sancionen aquí las clandestinas operaciones que se hicie que los seño…</t>
  </si>
  <si>
    <t>Fleíx</t>
  </si>
  <si>
    <t>«mpréstitoj primeros no vemos refundidos mas que piquiñas partidas , siendo -**Ha dicho ci Sr. Fleíx que los empréstitos habían sido reconocidos por el osi que enlre estos últimoste iocluyci] qna porción de deudas de las mismas Sr. D. Fernando vir , y que habiéndolos él reconocido, la Nación debió se reconocidas por las Corles. Ademas de los empréstitos contraídos en estos últimos guir su eicmplo.…</t>
  </si>
  <si>
    <t>Fleíx, Se</t>
  </si>
  <si>
    <t>Se Fleíx</t>
  </si>
  <si>
    <t>…zarro , Santafé, marques deTalces, Serrano (D. Francis he querido hacer alusión á persona alguna1’ co), Acuña, Diez González, Blanco, Mantilla, marques de MonO’vírgen, El Sr. conde de las Ñavas: n No puedo menos de dar gracias al Sr. Se Fleíx, Ruiz de Bucesta , marques de Someruelos , Miranda y Olmedilla , Vega cretario del Despacho de la Guerra por los buenos deseos é intenciones que ha y Rio, Vázquez Queipo, Calderón de la Barca, Gargollo, marques de la manifestado en este augusto recinto de llevar á cabo las reformas en unión con Gán…</t>
  </si>
  <si>
    <t>Flete</t>
  </si>
  <si>
    <t>…a ó mi conducta la des ¿ indisolubles argumentos que se han becbo durante la discusión contra él mas leve reconvención cuando volviera á mi provincia.” empréstito de Gucbhard. Este empréstito, se ba dipbo mil veces y es Tuérza El Sr. Flete: «El Estamento, en ia resolución que tomó ayer, dió un repetir, es absolutemcnte nulo, cualquiera que sea la relación en que «e-Te testimonio á la España y á la Europa entera de no haber faltado ¿ la lealtad examine; nulo por su primitivo origen , como emanado de una rebelión: nulo castellana, segú…</t>
  </si>
  <si>
    <t>Fleuri</t>
  </si>
  <si>
    <t>…recio xo rs. Los demas saldrán con la mayor brevedad, —Catecismo histórico, ó Compendio de la historia sagrada y de la doctrina cristia Partes recibidos en la secretaría de Estado y del Despacho de la Guerra. na, compuesto por el Abad Fleuri, traducido del francés para utilidad é instruc ción de la tierna juventud: un tomo en 8.° de buena letra. Se hallará en la librería de Razóla, á a| rs, eo pergamino, y por docenas á a8. El capitán general de Valencia con fecha de 4 del corriente dice que el co ■ » •Estampa iluminada que representa…</t>
  </si>
  <si>
    <t>Florea, Alvaro</t>
  </si>
  <si>
    <t>Alvaro Florea</t>
  </si>
  <si>
    <t>…mandó pasar i la comisión y fuerza moral &lt;jue ellas comunican á las autoridades establecidas. de Poderes. Las garantías políticas son muy débiles cuando ellas no afianzan derecho* El Estamento quedó enterado de una exposición de D. Alvaro Florea positivos. El Estatuto Real con la institución de Córtes , con la discusión y Estrada, electo Procurador por la provincia de Oviedo, en la que manifestaba consentimiento de las leyes , y con la votación de las contribuciones , nos ofre sjne por no haberle sido posible reunir antes todos los documen…</t>
  </si>
  <si>
    <t>Florea, Jacobo</t>
  </si>
  <si>
    <t>Jacobo Florea</t>
  </si>
  <si>
    <t>…egar á eso había artículos dispositivos de aquella base; y que sin licitando se le exonere de dicho cargo; los poderes y documentos justificativos oponerse á lo que decía el Sr. preopinante, creía debía seguir la discusión del de D. Jacobo Florea, electo Procurador por la provincia de la Coruña,.y un artículo 4*° del Gobierno con la del 5.® de la comisión. oficio de varios vecinos de la ciudad de Santiago de Cuba , reclamando contra Se preguntó sí el Estamento aprobaba que se entrase en la discusión del la elección de dicha ciudad por las i…</t>
  </si>
  <si>
    <t>Floreé, Marcelino Pérez Pestaña</t>
  </si>
  <si>
    <t>Marcelino Pérez Pestaña Floreé</t>
  </si>
  <si>
    <t>…................................................... 20o0 . del Sr. Posada. &gt;f . , D. Jo»é Lav¿ña . consiguiente á la oferta hecha ála junta de Caridad. 1000 La Comisión de poderes dió cuenta de los respectivos á los Sres. Alvarez D. Marcelino Pérez.............................................................................. 20 Pestaña Floreé fisfraitó, Balmaseda, Alcalá Zamora.Santa Fé.Mosco- . Excmo. Sr. conde de Pino-Fiel, presidente, y ministros del supre sodeAÍttmirav’m^rqués'deSóttiáruelos, Rutz de Bucesta , Flcix , Calderón de mo Tribunal de Hacienda.......................*........................................ 3000 la Barca, A…</t>
  </si>
  <si>
    <t>Flores</t>
  </si>
  <si>
    <t>…stro comercio con los Estádós-Unidos tendrá que cesar, porque no tenemos nada que enviarles en Leída el acta de la última sesión se da cuenta del informe de la comisión i cambio de sus importaciones. En la república de Bolivia el general Flores se de gastos particulares de la Cámara respecto al nombramiento de segundo bi ¡ha apoderado de la presidencia con las bayonetas, y el congreso se ha visto bliotecario, y se manda imprimir y distribuir. obligado á confirmar su elección, bien que esto no ha impedido la deportación Continua la discusi…</t>
  </si>
  <si>
    <t>…s una respuesta, satisfactoria á tjp de Noticias de Guayaquil representan á la república da Boltvta en un esfadtí evitar él entredicho comercia! (de que está amenazada la Suiza; pero el consejo de inceritdumbrc y de inquietud. El general Flores, presidente, y el partido pensado que la exasperación de loá ánimos y su incompetencia no le permi contrario á él iban diariamente aumentando sus fuerzas* y no podía operario te* responder, y ha dirigido i! consejo de Estado las deliberaciones acerca de ‘sino una guerra desastrosa. El comercio, com…</t>
  </si>
  <si>
    <t>Flores, D Jacobo</t>
  </si>
  <si>
    <t>D Jacobo Flores</t>
  </si>
  <si>
    <t>…rón de la mundo la sabe, que es por haber estado emigrado. Me parece que el nombre Barca. Igualmente quedó enterado. de Vadillo basta para probar que el tener sus fondos en Francia no es por También lo quedó de una exposición del Sr. D. Jacobo Flores, electo efecto de poco amor á su nación. Si la ley prohíbe su admisión, estoy confor Procurador por la provincia de la Coruña, en que manifiesta los motivos quo me-, pero si no la prohibe, creo que la interpretación legal está en favor de han retardado su presentación en las sesiones, y que verific…</t>
  </si>
  <si>
    <t>Flores, Jacobo</t>
  </si>
  <si>
    <t>Jacobo Flores</t>
  </si>
  <si>
    <t>…de la mundo la sabe, que es por haber estado emigrado. Me parece que el nombre Barca. Igualmente quedó enterado. de Vadillo basta para probar que el tener sus fondos en Francia no es por También lo quedó de una exposición del Sr. D. Jacobo Flores, electo efecto de poco amor á su nación. Si la ley prohíbe su admisión, estoy confor Procurador por la provincia de la Coruña, en que manifiesta los motivos quo me-, pero si no la prohibe, creo que la interpretación legal está en favor de han retardado su presentación en las sesiones, y que verific…</t>
  </si>
  <si>
    <t>Florez, A'L R P de V M.rrAñtomo</t>
  </si>
  <si>
    <t>A'L R P de V M.rrAñtomo Florez</t>
  </si>
  <si>
    <t>…___ El capitán del buque de vapor Royal William ha llegado á esta ciudad, nester la monarquía española. Ayuntamiento de Santander y Febrero 21 y dice que á su salida reinaba la mayor tranquilidad en Lisboa. Nadie dudaba de 18?4..=Señora.==A'L. R. P. de V. M.rrAñtomo Florez Estrada, zz Anto- en aquella capital que el primer encuentro que se verifique, y que no püede J nio Zavjjt.Francisco JSanchez de Porrea. —J. J. de Argutñdegui. = Manuel' tardar, entre los dos ejércitos contendientes, será favorable á las armas de Don íaría Martjnez.isjVsé. María d&amp; Mónt¡alban.==Feí…</t>
  </si>
  <si>
    <t>Florez, D Francisco</t>
  </si>
  <si>
    <t>D Francisco Florez</t>
  </si>
  <si>
    <t>…re «El Sr. preopinante en general se ha limitado á hacer el debido elogio 4 sentación de los mismos. Asi se acordó. que son acreedores los cuerpos de la Milicia urbana: en esto el Gobierno de Se presentó á jurar y tomó asiento el Sr. D. Francisco Florez, electo S. M. está de acuerdo con los señores de la comisión, y podrá presentar repe Procurador por la provincia de U Coruña. tidos testimonios &lt;jel aprecio,quc ha dispensado á la Milicia urbana, así como El Sr. Presidente anunció que se iba 4 proceder 4 la discusión del pro de los sentimientos de…</t>
  </si>
  <si>
    <t>Florez, Francisco</t>
  </si>
  <si>
    <t>Francisco Florez</t>
  </si>
  <si>
    <t>…El Sr. preopinante en general se ha limitado á hacer el debido elogio 4 sentación de los mismos. Asi se acordó. que son acreedores los cuerpos de la Milicia urbana: en esto el Gobierno de Se presentó á jurar y tomó asiento el Sr. D. Francisco Florez, electo S. M. está de acuerdo con los señores de la comisión, y podrá presentar repe Procurador por la provincia de U Coruña. tidos testimonios &lt;jel aprecio,quc ha dispensado á la Milicia urbana, así como El Sr. Presidente anunció que se iba 4 proceder 4 la discusión del pro de los sentimientos de…</t>
  </si>
  <si>
    <t>Florez, Manuel García</t>
  </si>
  <si>
    <t>Manuel García Florez</t>
  </si>
  <si>
    <t>…eclla por el morrión que llevaba y de-» braba tener su guarida de noche este foragido, dirigiéndole también cl subte mas señales, el cual herido por un cazador, y huyendo aun , el subteniente gra niente dp cazadores de Isabel ti, D. Manuel García Florez, con 30 cazadores duado de teniente D. Ildefonso Mata, arrojándose sobre el lo paso con su, espa al de Caüzo, por si se hablan quedado en aquel caserío, de modo que debían da, y despojado de sus vestiduras, se notó que el morrión que conserva dicho protegerse uno á otro. '/S oficial , tenia galón d…</t>
  </si>
  <si>
    <t>Florian</t>
  </si>
  <si>
    <t>…a establecido un correo terrestre semanal des Viit, ó Valuó, califa Ommiadita, hasta su expulsión por el Rey tí. Fei’pe 111, escri de Manila hasta las provincias de Batangas ,Tayabas, las de Camarines N. yS. to eo fraftees por el caballero Florian, traducido al castellano y puesto en un tomo en 8.°, d 8 rs. rústica y 10 en pasta. Se hallan de venta en Modr-id librería de Mu- •y Albay, haciéndose el viage en 4-0 horas , que en otras ocasiones no se logra- naiz y Miliaria, donde se darán eo todas estas obras y demas de su fondo, un ejemha por…</t>
  </si>
  <si>
    <t>Folache, Alonso</t>
  </si>
  <si>
    <t>Alonso Folache</t>
  </si>
  <si>
    <t>…desde el principió de la acción, en la que sú valor no le privó de continuar del mismomodq; Por no haberse presentado en Teruel el oficial tercero-primero del go el carabinero León Salido, y el trompeta José Bueno. j bierno civil D. Alonso Folache., ~5. M. se ha dignado ascender á esta plaza al _ La fuerza del enemigo consistía en Manolin con mas de 40 caballos y ^oficial tercero-segundo de la misma oficina D. Manuel Esteban y Zarazaga. 40 infantes, á los cuales he estado observando durante algunos dias. Todos los - , 1 ~ oficiales y tropa de…</t>
  </si>
  <si>
    <t>Folanco, Mariano Ferrer y</t>
  </si>
  <si>
    <t>Mariano Ferrer y Folanco</t>
  </si>
  <si>
    <t>…s de los mismos, se verifique su abono, tanto con respecto á en 4 de Abril último , ha prestado en manos de vuestro alcaide ore r.ano de los reclamados por Mariano López, como los de todos los demas que se hallen primera elección D. Mariano Ferrer y Folanco, por sí y en nombre U; mi, | en su caso hasta el l.° de Julio de 1828 , con cargo á la Hacienda civil , y jos, herederas y sucesores , juramento y pleito homenage , reconociendo a 1 a ■ [.desde dicho día en adelante por la administraciqn militar, satisfaciéndoles en Serma. Sra. Doña María Isabi’-u…</t>
  </si>
  <si>
    <t>Fondas</t>
  </si>
  <si>
    <t>…ante, á corto pla Coruña, \ d. Burdeos, 00. co* ± d. Granada, f á é id. Hamburgo, 00. Barcelona* á ps. fs.« Málaga, f id. ^ * r * ’ VARIEDADES. ( Lóndres, á 9O días, ib. Santander, i b. 4 4 p. 100 al 38*. Bilbao, é d. Santiago, | d. Fondas yeajes IUvados á las casas. La dificultad de emplear bien los capitales y el arte de especular, tan per ANUNCIOS. feccionado en Francia y en Inglaterra, acaban de producir en París una inven— cílra.fil, r&lt;f¿sP«Kfiosa , cuyo tíiuío equivale éb castellano al de fondas y Por providencia'del Sr. de Nor…</t>
  </si>
  <si>
    <t>Fondoe</t>
  </si>
  <si>
    <t>…IKGIATERKA. de que.su territorio po .llegue á ^er.up foco permanente ,dq desórdenes y cons- . Undret 13 de Mayo. - . ■- ^ ■ piÁaones, y no puede abrigar en su seno í unos hómbrts qúe buscan ajh- Skitb para turbar la tranquilidad general. Fondoe público!. Tres por 100 consolidados 92{. ,,^CceptapdOi pues en consecuencia las disposiciones anunciadas en el oficio F.1 11 del corriente hap con/erenciado con lord Palmqrston el principe de federativo de, 13 ,de Marzo, y cuya ejecución se asegurará por las fapLidji- Talleyrand, M. Sylvain 'dé ’lV…</t>
  </si>
  <si>
    <t>Fondos</t>
  </si>
  <si>
    <t>…rtamento de la Guerra, y nuestro ministro secretario de Estado y del departamento de Hacienda, quedan encargados ¿le la ejecución do ia.presente Londres 4 de Julio. Real orden. Dada en París el 4 de Julio de 18¿4-—Luis Fei¡pe.—El ministro Fondos públicos. Tres por 100 consolidados 93. secretario de Estado y de Hacienda , Humann. Nos ha causado la mayor satisfacción ver el modo con que la princesa Victoria fue recibida por el pueblo en su ida y vuelta del concierto musical —■—M. Humann ha salido hoy de París para trasladarse á Strásburgo, y…</t>
  </si>
  <si>
    <t>…. ...... iao ifio 8oPara Canarias....... ....... 38o IUK&gt; &lt;PPara ludias............ ....... 400 300 loo. GACETA DE MADRID. ARTICELO DE OFICIO. INC t, ATERRA. \ Idndrcs 9 de Mayo. La Reina nuestra Señora Doña Tsarel ii, v S. M. la Reina Fondos públicos, Tres por 100 consolidados 92f.Gobernadora, siguen en el Real sitio de Aranjttez sin novedad en su importante salud. Los generales Momiíla y O'Leary, encargados de una misión importante Del mismo beneficio disfrutan SS. AA. RR. los Sermos. Se- para los intereses de Colombia y la América de…</t>
  </si>
  <si>
    <t>…Kader. y que nos han acarreado tan fatales consecuencias. - \b¡ de Octubre,-------------------■—raris Tenia por enemigos á los rurcos Quc-quedaron en muchas plazas de lo .que es lonja de hoy. Cinco por 100 consolidados IOS fr. 75 d. Fondos espa ahora su imperio; contaba entre los scheícks, sus vecinos, poderosos adversa ñoles j renta de España al 3 por luu 28i. Empréstito Real de id. 26. Ren rios. Pudimos haber hecho uso de estos elementos para evitar los progreíos de su influencia: ¿por qué hemos preferido contribuir á la ruina de s…</t>
  </si>
  <si>
    <t>Fonseca, Juan José</t>
  </si>
  <si>
    <t>Juan José Fonseca</t>
  </si>
  <si>
    <t>…4 P- 100, 5*4 y i ai contado: 55 , 4» 54J, 55, $, 54b Extracto del parte remitido por el subdelegado de Fomento de la provincia 4 , y 54 { á va rías fs.» vol. y firme: 56, 554» 56, 4 y 56 a varias fs.. vol. y firme a de Granada , D. Juan José Fonseca, con fecha de 18 de Abril último. prima de I » 4* H y i P- 100. Da una idea ventajosa del estado de la agricultura en aquella provincia, y Vales Reales no consolidados, 154 contado: 154 á 60 d. f. ó vol. : 16 á 60 d. f. 0 dice que la subdelegacíon tiene intentados varios trabajos sobre aprovechamie…</t>
  </si>
  <si>
    <t>…eja: fue recibido por estos habitantes con el mayor entusiasmo, que se au Extracto del parte remitido por el gobernador civil de la provincia de mentó con la llegada de un correo qúe trajo á S. E. la Gaceta extraordinaria Granada D. Juan José Fonseca con fecha de 30 de Mayo último. de 8 del corriente, en la que se anuncia haberse ratiGcado el tratado de la cua Ha reunido á los interesados en el aprovechamiento de las aguas del rio drupla alianza, y que el Pretendiente se embarcó en el Tajo. Este feliz aconte Genil para promover el aumento del c…</t>
  </si>
  <si>
    <t>Fonseca, Pereira</t>
  </si>
  <si>
    <t>Pereira Fonseca</t>
  </si>
  <si>
    <t>…tomindo 4 batideras. Al mismo tiempo me dijo el capitán que cuando ei se do* leguas, matándole mucha gente, y haciéndole 78 prisioneros, entre ellos separo del conde quedaba este general en el puente de Vaídeiobo&gt;, a media le «1 capitán Pereira Fonseca, y cogiendo 72 caballos con sus correspondiente* gua de Santarcn. Dios *$cc. Qu.nta de Ribeira 3u de Enero de lb?4..e=limr&gt;. y monturas. Añade que no ha ocurrido mas contratiempo que haber sido leve Excmo. Sr. Agustín Joscf h reire. = Duque de Tercera. (.Víniri ^wutitucio-* mente contuso el capitán…</t>
  </si>
  <si>
    <t>FonSeca, Ramón María</t>
  </si>
  <si>
    <t>Ramón María FonSeca</t>
  </si>
  <si>
    <t>…s principios religiosos, y la gravedad de sus hábitos ¿Querréis , aña Ramírez, fiscal del crimen de la de Valladolid, á D. Ramón Ortiz dió , que nuestros jóveoes se bagan semejantes á los que frecuentan las escuelas de Varona y 4 D. Ramón María FonSeca : en clase de alcaldes 4 Don de París, los cuales á cada revolución se hacen notar por su espíritu turbulen Juan de Serilla,4 D. Salvador María Quiroga, que lo son de la to, anárquico y antirclígioso! misma, 4 D. Agustín Alcaide, 4 D. Manuel' Alvarado y 4 D. Leo E&lt; arzobispo de Cantorbery habla con…</t>
  </si>
  <si>
    <t>Font, Manuel Massip y</t>
  </si>
  <si>
    <t>Manuel Massip y Font</t>
  </si>
  <si>
    <t>…era de la torre, y esperaron con la mayor serenidad los sucesos. Por to el cólera en Onda habia dispuesto pasase á socorrer Su vecindario el; fa último, los facciosos abandonaron repentinamente el pueblo de Cenicero con cultativo D. Manuel Massip y Font , cuyo celo filantrópico estaba muy acre pérdida de mas de 100 hombres entre muertos y heridos, después de 2/ horas ditado; y que en los otros 13 pueblos de la citada provincia que sufrían el dé ataque Contra sus heroicos Urbanos, quienes asi que vierou al enemigo re cólera era por lo general corto…</t>
  </si>
  <si>
    <t>Fontaine, Mr</t>
  </si>
  <si>
    <t>Mr Fontaine</t>
  </si>
  <si>
    <t>…ui-de-dome. Acom INGLATERRA. pañan á S. A. sus sobrinos y los duques de Aumale y de Monrpensier, y for UnAre! 23 de Setiembre. man parte de su comitiva la condesa de Rumilly, el conde de Chatciux , el conde de Rumilly, edecán del Rey, Mr. Fontaine , arquitecto de S. M-, y Fondor públicos. Tres por 100 consolidados 90f 1 }. MM. Cuviliiers, Fleuri y Latour, preceptores de los Principes. S.M. vino el 16 i esta ciudad para asistir á un Consejo de ministros en ____Un profesor de la universidad de Paris viaja al presente por los departa que se res…</t>
  </si>
  <si>
    <t>Foñtan, Domingo</t>
  </si>
  <si>
    <t>Domingo Foñtan</t>
  </si>
  <si>
    <t>…4 P- 100 al año. autor de tan preciosa obra. Tuvo el noble y grandioso pensamiento de acome 38$. Bilbao, $ d. Santiago, 1 d. ter tamaña empresa, y logró la satisfacción de llevarla á cabo después de 17 áños dé constancia, el Dr. D. Domingo Foñtan, catedrático de matemáticas ANUNCIOS. sublimes en la universidad de Santiago, de mecánica industrial por el Real conservatorio de artes, y socio correspondiente de la Real academia de la Los suscriptores de esta corte 4.1a Biblioteca general de historia, cienciat, ar historia. tes y literatura, se…</t>
  </si>
  <si>
    <t>Fontan, Juan Francisco</t>
  </si>
  <si>
    <t>Juan Francisco Fontan</t>
  </si>
  <si>
    <t>/ $96 i jL—concedicódó £ D. Francisco Martínez dé U Rosá la gran cruz 4e la Real Reales decretos conce^eodo £ D. Juan Francisco Fontan honores de ministro ■ y distinguida orden de Cirios tif. (Id.) ^ ' C del Tribunal supremo de Hacienda. (Núm. 132.) / nombrando una comisión para reformar el código de comercio.^^T«m&lt;— ___ __nombrando ¿ E&gt;. Agustín Rodríguez director general de rentas en proro 1190 . ’&gt; • piedad. (Id.) . ' ■ / 1 man…</t>
  </si>
  <si>
    <t>Fonte, Manuel Massip y</t>
  </si>
  <si>
    <t>Manuel Massip y Fonte</t>
  </si>
  <si>
    <t>…2.° del Gobierno civil de Teruel, para que había sido nombrado, ga el celo, cariñoso cuidado y puntual asistencia de los facultativos D. Jós¿ S. M. se ha servido conferirlo en 2 del actual á D. Mariano Ruiz de Molina. Batí les y D. .Manuel Massip y Fonte, aquel de Valencia y este de Cactelfoa de la Plana, que se habían prestado i trasladarse i dicho pueblo de VilLareal Por Real ó edén de L* del actual han sido exonerados de sus respectivos. pata socorrer a su afligido vecindario: que mereciendo consideración el estado</t>
  </si>
  <si>
    <t>Fonte, Pedro José</t>
  </si>
  <si>
    <t>Pedro José Fonte</t>
  </si>
  <si>
    <t>…eales ejérci ejércitos, capitán general de la isla de Cuba; conde de Ezpeleta, te tos, del Consejo de Gobierno, y Presidente del Consejo Real de Es niente general de los Reales ejércitos, capitán general de Aragón; paña é Indias; D. Pedro José Fonte, arzobispo de Méjico, del Gan- D. Gerónimo Valdés, teniente generaLde los Reales ejércitos, capi sejo de Gobierno; marques de las Amarillas, teniente general de los tán general de Valencia; D. José Martínez de S. Martin, maris Reales ejércitos, del Consejo de Gobierno; D. José Ramón Rodil, cal de c…</t>
  </si>
  <si>
    <t>Fontecillas</t>
  </si>
  <si>
    <t>…ría. mismo concejo, cometiendo ei crimen de tocar las campanas á somaten en al Según parte que también ha recibido el mhrno capitán general del expre gunas parroquias. En su consecuencia el comandante general de Asturias dis sado brigadier Fontecillas, resulta que después de la acción que tuvo el valien puso que saliesen dos columnas de carabineros, una á las órdenes del capitán te Rute y sus compañeros, salieron los urbanos de TrujiHo, Montancbes y graduado D. Manuct Samos, y otra á las del subteniente D. Pablo Pascual; otros pueblos en la tard…</t>
  </si>
  <si>
    <t>Fontemberta</t>
  </si>
  <si>
    <t>…innumerables ventajas de un Gobierno represen opinaba, que no siendo estas razones de las requeridas por la ley, el Estamen tativo, á las que contribuyen todos Los que son individuos de los cuerpos que los to podía acordar que el Sr. Fontemberta dijese á cuánto asciende su renta; y forman, habra siempre cierta repugnancia á tomar parte en sus deliberaciones. taí vez en ella hallaría una razón justa para otorgarle su dimisión. De esto es buena prueba el mismo señor de que se trata, que cree mas honor El Sr. Ferrer: «Yo me alegro de que naya…</t>
  </si>
  <si>
    <t>Forbes</t>
  </si>
  <si>
    <t>…han debido aumentarse -------Con fecha 5 del corriente escriben del Havre lo que sigue: «Hoy ha en cada día con solo tratar y revolver la cuestión que se agita. Pero el ministerio trado en este puerto el paquebot americano Sully, capitán Forbes, y trae no ticias de los Estados-Unidos hasta 10 de Abril. A su salida de Nueva-Yorck., es deudor á la nación y al Soberano de su perseverancia en sostener, el principio de la integridad del imperio británico con la salvaguardia de la corona, y de que fue el dia 11 del mismo mes, habían ocurrido gr…</t>
  </si>
  <si>
    <t>Forcelledo, Benito</t>
  </si>
  <si>
    <t>Benito Forcelledo</t>
  </si>
  <si>
    <t>…sendo de la Vega, doctoral de la de Mondoñedo La mayoría de la asamblea aprobó la conducta y respuesta del directorio. Sin embargo, los estados de Lucerna, Argovia, San Gal, Bas i lea-Campo, y actual Procurador á Cortes, y al Dr. D. Benito Forcelledo, canó Thurgovia, Glaris, Friburgo, Vaud y Ginebra se han reservado positivamen nigo de la de Santiago. te, en virtud de su soberanía cantonal, ya ejercer el derecho de asilo, ya juz gar en qué caso ha sido ó no violada la hospitalidad, no concediendo i nadie el. derecho de mezclarse en esta cuestió…</t>
  </si>
  <si>
    <t>Foremar</t>
  </si>
  <si>
    <t>…, y surtirá efecto el remate dignidad deParcs al concluirse la presente legislatura: sir Gisber Heathcale siempre que haya postor que cubra las dos terceras partes de su con el nombre de lord Normanton , sir F. Bourdett con el de lord Foremar— .aprecio. ke , sir George Phillips con el de lord Sheldon, Mr. Hanburg Trac y con el 51 Ao habiendo postor que cubra este señalamiento se retasar,ín de lord Tracy , Mr, Rjgne con el de lord Wrotham, y Mr. Litleton con el las fincas, y hecho, se publicará otra vez el remate sirviendo de base de lor…</t>
  </si>
  <si>
    <t>Forfuoí, Jnsé</t>
  </si>
  <si>
    <t>Jnsé Forfuoí</t>
  </si>
  <si>
    <t>/ / t IV' és navegación M «l BAjwSena. _M_ Cordlef defiende los ilíievos Artículos de la tencia, mando al túbfenienfe del provincia! dé Ségovfa D. Jnsé Forfuoí qoe comisión, qae-tfen Adoptados. En el escrutinio secreto fue 'Aprobada la ley'por cón la infantería envolviese su tianco izquierdo, dirig.endose él con ia caballe 224 votos-coatí* 47. ¡ ' ' ría por el derecha. . El ófdeo del di* es la dtscusioo del capitulo del presupuesto de guerra , re» . Este…</t>
  </si>
  <si>
    <t>Fornells, Ramón</t>
  </si>
  <si>
    <t>Ramón Fornells</t>
  </si>
  <si>
    <t>…, desha* por todos los medios que han estado á disposición de la autoridad Suprema: cíendo á satisfacción de! público las objeciones que se le hicieron. nada se ha omitido para evitar la propagación del mal, arrancarle víctima* y D. Ramón Fornells explicó el comercio marítimo conforme á las dispo prepararle á recibirle con precauciones acertadas. siciones del código de comercio, deteniéndose particularmente en la parte le Estas y otras han sido y son las ocupaciones del ministerio de lo Interior, gislativa de los fletes, seguros y averías; c…</t>
  </si>
  <si>
    <t>Forrada, Pablo</t>
  </si>
  <si>
    <t>Pablo Forrada</t>
  </si>
  <si>
    <t>…tal claman contra el privilegio cíones serán asistir en las enfermedades de ‘meaíéiña y cirugía á todos íos empleados del Real sitio y en las casas de Tos Reales bosques, á Jos criados de S. M. que Va^an de exclusivo concedido á- D. Pablo Forrada para la exportación de pieles, y él servidumbre en tiempo de jornada cuando'naya necesidad,ye g los enFermútdel hos Comercio contra tos derechos del peso Real y almud! enageoados en 1756 á fa- pital. Los pretendientes han de estar graduados-de ipéd¿co~cjrüjangsi habiéndo var del marques de' Perales…</t>
  </si>
  <si>
    <t>Fort</t>
  </si>
  <si>
    <t>…mnas que venían de aque Excmo. Sr.: IH general Lorenzo desde Ecay con fecha de aver me dict lla dilección; y te»ueíio á sostener ei honor de mi columna, dispuse desplegar siguiente : do* guerrillas de infantería a las órdenes del teniente Fort y del sargento Al- «Ftirmo. Sr.: A las once He llegado á este punto, en el que He sabido "Varez , y unj de caballería á las dei calxj Juan Francisco Marioteta » las que que el Pretendiente v Zumaiacarregvn *.r'n cuatro b.»tallanes durmieron anoche fueron cardada» por fuerzas tan superiores, que conociend…</t>
  </si>
  <si>
    <t>Fort, Esteban</t>
  </si>
  <si>
    <t>Esteban Fort</t>
  </si>
  <si>
    <t>…te hubo un muerto y do» Heridos. ñana del 18 en Villarcajo. Inmediatamente le di la órden para que se situase Tjmbicn ha sido cogido por Ja tr¿&gt;pa y conducido i Lerma c¿ cabecil» Jfcn Soncil'o y avisase al teniente de Extremadura D. Esteban Fort , que con 40 Berbi*. nombres de dLho cuerpo se hallaba en las Cabañas de Birtus, para que se lo El general en gefe del ejercito del Norte, marques de Rodil,'da pane reiinie»e, con el objeto de atacar con esta corta fuerza á la facción al siguiente desde su cuartel general de Echarrcn , con fecha 23…</t>
  </si>
  <si>
    <t>Fortes</t>
  </si>
  <si>
    <t>…fiel, que sobrellevando con re- casen las sesiones de Jas-Cámaras. LpsjSres. Leonel, Botto, Castro y Azev«ii!p sipncielsLiinoS niales -que nó merece", -y-ágeno del deseo de innovar, ve qüespr apoyáron la idea del Sr. Sánchez:.el Sr. Fortes manifestó .jjue ^etía opO(Tj¿k&gt; lo con la constancia, la concordia y el amor á las leyes y al orden se acredi celebrar un concurso de oposición para examinar los taquígrafos, á fin de ele ta el yerdadero amor á la patria.” gir los que fuesen capaces de desempeñar el objeto que se deseaba, y que den…</t>
  </si>
  <si>
    <t>Fosler</t>
  </si>
  <si>
    <t>…ciesen. (Silencio.)■da carta del Rey mandando que se ponga inmediatamente el gran sello en co Presidente: «Resulta que todos tienen derecho de pedir la palabra cuan misión. Los comisarios nombrados son el justicia mayor Bushe, el barón Fosler, y el justicia mayor Moore. Esta disposición está muy lejos d* ser popular, do les acomode: no habiendo ahora quien use de este derocho levanto la sesión, y los Diputados pasan á trabajar en sus respectivas comisiones.” y no fien* ejemplo en Irlanda. « .La comunicación que ha hecho el duque de Well…</t>
  </si>
  <si>
    <t>Fotalemanes, Francisco de Asís y Doña Isabel</t>
  </si>
  <si>
    <t>Francisco de Asís y Doña Isabel Fotalemanes</t>
  </si>
  <si>
    <t>…uanas de Alemania. Acordes con la comisión de la drinos SS. MM. el Rey de los franceses y su augusta Esposa, y en su Real Dieta, nombrada para entender en los negocios de comercio con los Estados nombre los Scrmos. bres. Infantes D. Francisco de Asís y Doña Isabel Fotalemanes, hemos contestado hoy mismo que la Suiza aceptaba la propuesta de nandina. dejar las cosas según actualmente se hallan, hasta el momento en que se pon ga en planta el arancel de la unión, á consecuencia de entrar en dicho sistema el gran ducado. Por lo demas nos reservamos hacer las comunicaciones…</t>
  </si>
  <si>
    <t>Fotalemanes, Isabel</t>
  </si>
  <si>
    <t>Isabel Fotalemanes</t>
  </si>
  <si>
    <t>…des con la comisión de la drinos SS. MM. el Rey de los franceses y su augusta Esposa, y en su Real Dieta, nombrada para entender en los negocios de comercio con los Estados nombre los Scrmos. bres. Infantes D. Francisco de Asís y Doña Isabel Fotalemanes, hemos contestado hoy mismo que la Suiza aceptaba la propuesta de nandina. dejar las cosas según actualmente se hallan, hasta el momento en que se pon ga en planta el arancel de la unión, á consecuencia de entrar en dicho sistema el gran ducado. Por lo demas nos reservamos hacer las comunicaciones…</t>
  </si>
  <si>
    <t>Fourdinier, Antonio D Eugenio</t>
  </si>
  <si>
    <t>Antonio D Eugenio Fourdinier</t>
  </si>
  <si>
    <t>…Gallardo. El estado de aquel país, tan afligido hasta ahora por las continuas incur siones de los rebeldes, es verdaderamente satisfactorio. Después de la acción del 25 de Noviembre sobre la sierra de Aliara, en la que el coronel D. Antonio D. Eugenio Fourdinier, director que fue de las obras de renovación de Azpiroz batió completamente á la facción ocasionándole bastante pérdida, pasad los edificios arruinados por ios terremotos de Murcia y Orihuela en 1829, ha de 30 rebeldes los que han caído en poder del brigadier Coiubi, los que han si cedido en benefi…</t>
  </si>
  <si>
    <t>Fourdinier, D Antonio D Eugenio</t>
  </si>
  <si>
    <t>D Antonio D Eugenio Fourdinier</t>
  </si>
  <si>
    <t>…García Gallardo. El estado de aquel país, tan afligido hasta ahora por las continuas incur siones de los rebeldes, es verdaderamente satisfactorio. Después de la acción del 25 de Noviembre sobre la sierra de Aliara, en la que el coronel D. Antonio D. Eugenio Fourdinier, director que fue de las obras de renovación de Azpiroz batió completamente á la facción ocasionándole bastante pérdida, pasad los edificios arruinados por ios terremotos de Murcia y Orihuela en 1829, ha de 30 rebeldes los que han caído en poder del brigadier Coiubi, los que han si cedido en benefi…</t>
  </si>
  <si>
    <t>Fourdinier, Eugenio</t>
  </si>
  <si>
    <t>Eugenio Fourdinier</t>
  </si>
  <si>
    <t>…l estado de aquel país, tan afligido hasta ahora por las continuas incur siones de los rebeldes, es verdaderamente satisfactorio. Después de la acción del 25 de Noviembre sobre la sierra de Aliara, en la que el coronel D. Antonio D. Eugenio Fourdinier, director que fue de las obras de renovación de Azpiroz batió completamente á la facción ocasionándole bastante pérdida, pasad los edificios arruinados por ios terremotos de Murcia y Orihuela en 1829, ha de 30 rebeldes los que han caído en poder del brigadier Coiubi, los que han si cedido en benefi…</t>
  </si>
  <si>
    <t>Foxá</t>
  </si>
  <si>
    <t>…do las tropas reunidas de AlEsta máxima es cierta y evidente. El gobierno no se ha esta cañiz en dos columnas; una mandada por el coronel Nogueras, y bleado sino para hacer feliz á la sociedad; y como esto no puede la otra por el brigadier Foxá, en dirección de Maella y Calaceitc, conseguirse sin fuerza, claro es que deben prestársela los ciudada pues se suponía que el grueso de la facción estaría sobre Batea con nos: mas no toda la que ellos tienen, porque no toda es necesaria, los cabecillas Carnicer y Quilez. á lo menos en los casos or…</t>
  </si>
  <si>
    <t>Foxá, José</t>
  </si>
  <si>
    <t>José Foxá</t>
  </si>
  <si>
    <t>…ías. Enfermos. Curados. Fallecidos: das en Villar-del Rey dos partidas, una de infantena del regimiento 2.° de lí i ■ nea i, las órdenes del teniente D. Fernando Carrascal, y otra de caballería 4 las del alférez del ,3.° de línea D. José Foxá, y 30 Urbanos de esta plaza al man do del subteniente D. Antonio Ríos ; acompañando 4 esta fuerza el ayudante Cíeza.................. 10 i 12 Julio. . lio 34 7 ' de dicha Milicia urbana D. Francisco Meseguer para designar los puntos da apostadero, como práctico en el terreno. Puerto de Lum «Se dier…</t>
  </si>
  <si>
    <t>Fradcjas, Ramón</t>
  </si>
  <si>
    <t>Ramón Fradcjas</t>
  </si>
  <si>
    <t>…ada uno dé lor pobres vergonzantes de las parroquias de la ciudad; lo» Jo&lt;. que quedaron en e»U villa con el comandante D. J"o»ef Concha y d sargen traficantes en maderas y albañiles dieron 4UU rs. de limosna a ia cusa de expó to D. Ramón Fradcjas para tomar las avenida» por donde pudieran dirigirse Jos sitos, haciendo lo mismo los carpintero» con los pobres ciego»; y en bn, los demas facciosos, que un pane recibido decía ser en número de 14panaderos y pasteleros , unidos á ios maestros de molinos de harina , distribu Si fueron laud-iblcs lo…</t>
  </si>
  <si>
    <t>Fraile, D Manuel</t>
  </si>
  <si>
    <t>D Manuel Fraile</t>
  </si>
  <si>
    <t>…................................. 1000 «Con el debido respeto, &amp;c^=El teniente general comandante interino de D. José Magon y Campaoeu............................... 60los cuerpos de ocupación de Africa, VoiroL” El Excmo. é limo. Sr. D. Manuel Fraile, obispo de Sigíienza y Pa- . triarca de las Indias................... .. . *............................................ ........... 3000____ El Constitucional, hablando del proceso del Morning-Post, i cuyo editor D. Francisco de Paula González y Echavarria, fabricante de gaantes. 20 principal se h…</t>
  </si>
  <si>
    <t>Fraile, Florentino</t>
  </si>
  <si>
    <t>Florentino Fraile</t>
  </si>
  <si>
    <t>…ipado de Asturias. Asimismo ha venido en nombrar en el reino de Lisboa 9 dt Agosto. Galicia, para la vara de Arzua á D. Ramón Biaza: para la de Cor- Por Real órden del 6 de este mes se prohíbe i los empleados ejercer sos cuhion á D. Florentino Fraile: para la de Alaniz á D. Antonio Ra destinos sin haber recibido el competente diploma para obviar el abuso que món Folgueira: para la del Ferrol á D. José Velazquez Queipo de había de instalarse los empleados con solo la publicación desús nombramientos Llano; y para la de Cañiza á D. Antonio Arias y…</t>
  </si>
  <si>
    <t>Fraile, Manuel</t>
  </si>
  <si>
    <t>Manuel Fraile</t>
  </si>
  <si>
    <t>…del suprimido Gvnsejo de Indias; conde de VillanueVa. la Vieja; D. Francisco Javier Caro, del Consejo de Gobierno; Don intendente de la Habana; marques de la Candelaria de Yara rabo; Joaqoin López Sicilia, arzobispo de Valencia; D. Manuel Fraile, conde de Fernandina;,conde de S. Román, teniente general de los obispo de Sigiienza y Patriarca de las Indias; conde de Guaqui, te Reales ejércitos, é inspector general de Milicias; conde de Montene niente "enerul de los Roab s ejércitos; marques de Campo ¡sagrado, gro, mariscal decampo de los Rea…</t>
  </si>
  <si>
    <t>…............................. 1000 «Con el debido respeto, &amp;c^=El teniente general comandante interino de D. José Magon y Campaoeu............................... 60los cuerpos de ocupación de Africa, VoiroL” El Excmo. é limo. Sr. D. Manuel Fraile, obispo de Sigíienza y Pa- . triarca de las Indias................... .. . *............................................ ........... 3000____ El Constitucional, hablando del proceso del Morning-Post, i cuyo editor D. Francisco de Paula González y Echavarria, fabricante de gaantes. 20 principal se h…</t>
  </si>
  <si>
    <t>Fraile, Marta del Pilar</t>
  </si>
  <si>
    <t>Marta del Pilar Fraile</t>
  </si>
  <si>
    <t>…ón que desbarató los proyectos de Arroyo sobre aquella parte de la- de 1808 en Madrid , ha cabido en suerte con el primer extracto de la de esta precitada provincia, en la cual pretendía rehacerse de la derrota que habla ex dia á Doña Marta del Pilar Fraile, hija del patriota D. Dionisio, muerto en perimentado en Vizcaya: concluye diciendo que Arroyo co°ntinuaba su sistema al campo del honor. da rapiña. _______ SOLIA D8 ooJtBacio. Cotización dt hoy á las tres dt la tardt¡ En el ministerio de lo Interior se ha recibido hoy el parte siguiente del profes…</t>
  </si>
  <si>
    <t>Fraitr</t>
  </si>
  <si>
    <t>…i de atónte»'qué por la derecha túrcüñdan la población, con objéto k $ irs»' ‘ • sin dtfdadclpodfcVSrsé'dé lamontafia tituladaTosaí, que está unida á la villa, —Lecciones gramaticales de ideplggta puétem¡dtica, Obra compuesta por D. Fraitr» # domina todo pt ¿it'cíntó. En vista de elló mandó el gefe dé los Urbanos oéu-4 ebeo Pérézdel Rivero: consta de tres tomos en 4.0 En el'día se halla ya completa enteramente ésta obra en la librería de Rasóla, y en las principales de las provincias, «urrdicha móntaña-poé ótrá Compañía de los mismos…</t>
  </si>
  <si>
    <t>Fram, Juan</t>
  </si>
  <si>
    <t>Juan Fram</t>
  </si>
  <si>
    <t>…r firme-, 124 y MI eaelas f. o.toI., a prima de 4 p. 10Q. J tísimo Sr. D. Manuel Fernandez Vareta, comisario general déla Santa Cruza- Acciones del banco español, 00. Ha vicepresidente á D. Manuel Silvestre Armero, y secretario á D. Juan Fram cisco Fon tan, cuyas elecciones han merecido todas la aprobación de S.M. la ■anuos. Reina Gobernadora. Amsrerdam, 09. París, 16-í. (Cádír, Sevilla, # b. Sayona, 00. Alicante, ácorto pía- Corufia* id« Valencia, -Burdeoa* 00. zo,£&lt;U [Granada,Jid. Zaragoza, . Hatnburgo, 00. Barcclona, 4 ov fr* Málaga,…</t>
  </si>
  <si>
    <t>Fran</t>
  </si>
  <si>
    <t>…se discute ahora. Uljoa, Domecq, Cuevas ^ Alcalá Zamora, conde de las Navas, Cano Manuel Despucs de impreso es cuando está al alcance de la autoridad; porgue yo me (hijo), Caballero, Bel monte , Toledo, Pizarro, Aranda , Serrano (D. Fran atrevería á sostener que un escrito hasta que se ha publicado no está bajo la cisco) , Mantilla , Blanco, Diez González, marques de Montevírgen , mar autoridad del Gobierno. La censura impone una pena real y efectiva antes de ques de Someryelos , Miranda Oimediila, Marte!, marques de ia Gándara, sa…</t>
  </si>
  <si>
    <t>…po D. Toteas ¿García Berna!, y el segundo interiao , teniente coro do diré i V. E puntual aviso. nel graduado D. Valerio León, capitán de dicho batallón, han ejecutado con Oíos óíc. Campo sobre Serpa 29 de Mayo de 18.14-“ íixemo. Sr.”Fran todo acierto y oportunidad la* órdenes que les he dado. cisco Serrano.^zExcmo. Sr. Secretario de Estado y ci^c 1 cspaclio de laGuerra. Conozco muy b¡en que iodos hemos hecho muy poco en proporción á nuestros ilimitados deseos; mas la ocasión de acreditar éstos ha sido tan sucin El brigadier D. Fran…</t>
  </si>
  <si>
    <t>…ia del sofista es como la toma de una plaza cuya guarnición estaba vendi ■ ■ Compendio del derecho Real de España, extractado de la obra de D. Juan Sala por preguntas y respuestas para la mayor inteligencia de los litigantes, por D. Fran da secretamente.*’ cisco González, un tomo en 8.° Se hallará 4 6 rs. rústica y 3 en pasta en.la librería ót A esta obra está añadida como apéndice, con el título de Sofismas anár Hurtado. quicos, la crítica de la Declaración de los derechos del hombre, hecha por la -—Se halla vacante el partido de méd…</t>
  </si>
  <si>
    <t>…evitar otros males le dieron mes, era de opinión que debían aprobarle. Asi se acordó. ! esos facultades. Un decreto de las Cortes declaraba nulos todos los empréstito» En seguida juraron y tomaron asienjo dicho Sr. Acuña y el Sr. D. Fran que se contratáran sin su anuencia; pero esta disposición no tuvo la publicidad cisco Javier Istúriz, Procurador por la provincia de Cádiz. necesaria. No trato de condenar este acuerdo ni ios demas actos memorable» de El Sr. Presidente anunció que iba á continuar la discusión acerca del pro aquella…</t>
  </si>
  <si>
    <t>…entrada general. Pues ep medio de tantas dificultades , no expresado Señor. Asi se acordó. solo hay que atender á las provincias sublevadas, sino á otros puntos del rei A invitación del Sr. Presidente entró á Jurar y tomó asiento D. Fran no , donde á cada paso se descubren maquinaciones. cisco de Paula Crespo Rascón, Procurador por Salamanca. ♦»E1 gran problema consiste en ver cómo esta vasta extenston de terreno El Sr. Butrón: ♦«Señores, he tomado la palabra, no con el fin de im que tiene la Península se cubre con la tropa , la Mi…</t>
  </si>
  <si>
    <t>…^- cialidad de los dos expresados gefes, víctimas de su arrojo, de los capitanes bierno. Y «estos hombres triunfarían de toda la nación española, precisamente graduados de teniente coronel D. José Larrevillas, herido levemente, y D. Fran ea el momento en que- está mas unida al solio de sus Reyes por el amor y los cisco García, también ilimitados, y de los subtenientes de la misma clase beneficios? D. Antonio Andreu, graduado de teniente, que aunque herido de gravedad En España ni ha habido ¿rf/íV ni la habrá. Este nombre no puede a…</t>
  </si>
  <si>
    <t>…e sente á V. E. á fin de que, si lo tiene á bien, sé'sírva elevarlo á conocimiento láminas. —^—Domiaici CavallarU in regia neapoütana academia primarii profestoris, Int— de S. M. Dios dec. Pamplona 3 de Diciembre de lff34*=Excmo. Sr.=Fran— titutiones Jyrit canonice* qtíibus velar et nova ectesst* disciplina enarratur. Editio cisco Espoz y Mina.=Fxcmo. Sr. 5ccrct ano de Estado y del Despacho de la prima hispana* ad iprum auctoris opas ex amusstm atptata. Constará de dos tatitos Guerra. en8.° 4 2q r$. en rústica; él l.° se halla venal…</t>
  </si>
  <si>
    <t>…itán de marina Liot, y al capitán Bart de los soldados de marina ingleses. Todos los oficiales y demas per ANUNCIOS. sonas en general se portaron con ¡a mayor bizarría. Tengo la hon ra &amp;c.Camiña 24 de Marzo de 1834—Unto. Y Excmo. Sr. Fran cisco Simoes Margiochi.rrVizconde del cabo de S. Vicente. Obrar que se hallan de venta en el despacho de la imprenta Real, . P^D. Hallé aquí el Scorpion, y me apoderé de él. Mandé de Ensayo analítico acerca de las leyes naturales del drden social &lt;j del cir al comandante del fuerte de la isla que s…</t>
  </si>
  <si>
    <t>…rada el día de ayer en la capi dido; y lo comunicareis á quien corresponda.=Está rubricado de la tal , y á que se contrae este vecindario, respecto á la nrrr*.¡A*A suma, en que Real mano. =\En el Pardo á 2 de Noviembre de 1834.=A D. Fran se halla la Iglesia. cisco Martínez de la Rósa, Presidente del Consejo de Ministros.' 3. ° : Como el presbítero José María Alpuche é Infante ha sido para, los cunduacanecos, no pastor sino carnívoro lobo, piden igualmente (pac es supre mo gobierno dd Estado, tome a——-y-h- raptTnJn 11J ■ ■ ' — —— He…</t>
  </si>
  <si>
    <t>…ta quedo vicecanciller de la santa iglesia; el cardenal Odescalchi, vicario de S. S.; el sabedor de que el batallón faccioso alavés, mandado por Villareal, se había escardenal Justiniani, prefecto deja congregación del índice; el cardenal Fran- tablecido en Alecha (pueblo cercano, y ¿ poco mas del tiro decanos desoni, prefecto de propaganda Jide, y el cardenal Lambruschini, prefecto de Miestú), dispuso hacer una salida con 144 hombres del regimiento de infanla congregación de estudios. Los candidatos al primer capelo vacante de ,cardo ter…</t>
  </si>
  <si>
    <t>…a ha consis-, bondad de hacerles, i cuyo efecto no puedo menos de recomendarles i V. E, tido en afganos heridos: la de los enemigos ha sido considerable, ya por et nú y principalmente á Doña Grcgoria de Jauregui, viuda del Urbano D. Fran mero de múcrtos dejados en el campo de batalla, como por el de heridos que cisco de Echalucc, hermana del Sr. comandante general de esta provincia, han retirado 4 loa pueblos de Navarniz, Ereño y otros. Lo que tengo el ho que dejó tres hijos, D. Bernardo, D. Fermín y D- Juan, de tierna edad, y nor…</t>
  </si>
  <si>
    <t>…e la expresada Secretaría del Despachó; y para dispondréis lo necesario á su cumplimiento.=Está rubricado de la darle una muestra de lo satisfecha que estoy de la actividad y zelo ■ Real tnano—En Aranjuez'á 17 de Abril de 1834-iA D. Fran non que ha promovido reformas útiles al Estado, he Venido en cisco Martinez de la Rosa, Presidente del Consejo de Ministros. concederle la gran cruz de la Real y distinguida órdetl de Car los ut. Tendreislo entendido, y lo Comunicareis á quietl cor res Para que D. José Seoañe, oidor de ía Real audi…</t>
  </si>
  <si>
    <t>…imprimir con aprobacioo de S. M. por Aprovechando otros arbitrios que parecen tolerables se reani el £Xcmo. ayuntamiento de esta M. H. villa, y Apéndice di mismo Pro yecto, que contiene observaciones hechas sobre él por los Sres. D. Fran mará la sociedad económica, y tomará á su cargo la conservación cisco Bustamante, D. José Agustín de Larramendi, D. Amonio Gutiér de las fuentes y paseos públicos, el establecimiento de una escuela rez, D. Antonio López Aguado, D. Pedro Miranda y D. Juan Calixto de de niñas, y la promoción de otros…</t>
  </si>
  <si>
    <t>…uerdan perfectamente con do, y dispondréis lo necesario á su cumplimiento =; Esl.i rubricado los nuestros y con el mie&lt;é’ q ^e nos insp ran , trnto la Confederación , como de la Real mano. = En Riofrio á 27 de Julio de 11134. = A D. Fran cada cantón en put culjr. Lo- diputado» o» signfis.ar.in cuán satisfechos hemos cisco Martínez de la Rosa. quedado. Entre lanío teneiU"» un placer en repct.ro» la segundad del sincero deseo que nos anima de mantener buena inteligencia y relaciones de amistad con la bu z i.” El Rey concluye aseguran…</t>
  </si>
  <si>
    <t>Fran, Alonso de Ascanio y D Gabriel</t>
  </si>
  <si>
    <t>Alonso de Ascanio y D Gabriel Fran</t>
  </si>
  <si>
    <t>…vuelven hoy representados por la misma dipu tas faenas. tación , aumentada con mayor número de compañeros de luto; é inclinado» con el mas profundo respeto ante el excelso trono de V. M., tienen por se El marque» do Villafuerte, D. Alonso de Ascanio y D. Gabriel Fran- - gunda vez la honra de besar su Real mano, y dar á V. M. el pésame por la cisco Pimienta, propietario» en el valle de Taoro, en la isla de Tenerife, re pérdida, que con la muerte de vuestro augusto Padre, nosotros y V. M. la currieron á S. M. en solicitud do privilegio exclusivo por 10 años para u…</t>
  </si>
  <si>
    <t>Fran, D</t>
  </si>
  <si>
    <t>D Fran</t>
  </si>
  <si>
    <t>…por evitar otros males le dieron mes, era de opinión que debían aprobarle. Asi se acordó. ! esos facultades. Un decreto de las Cortes declaraba nulos todos los empréstito» En seguida juraron y tomaron asienjo dicho Sr. Acuña y el Sr. D. Fran que se contratáran sin su anuencia; pero esta disposición no tuvo la publicidad cisco Javier Istúriz, Procurador por la provincia de Cádiz. necesaria. No trato de condenar este acuerdo ni ios demas actos memorable» de El Sr. Presidente anunció que iba á continuar la discusión acerca del pro aquella…</t>
  </si>
  <si>
    <t>Fran, Gabriel</t>
  </si>
  <si>
    <t>Gabriel Fran</t>
  </si>
  <si>
    <t>…dos por la misma dipu tas faenas. tación , aumentada con mayor número de compañeros de luto; é inclinado» con el mas profundo respeto ante el excelso trono de V. M., tienen por se El marque» do Villafuerte, D. Alonso de Ascanio y D. Gabriel Fran- - gunda vez la honra de besar su Real mano, y dar á V. M. el pésame por la cisco Pimienta, propietario» en el valle de Taoro, en la isla de Tenerife, re pérdida, que con la muerte de vuestro augusto Padre, nosotros y V. M. la currieron á S. M. en solicitud do privilegio exclusivo por 10 años para u…</t>
  </si>
  <si>
    <t>Franci</t>
  </si>
  <si>
    <t>…spectador ó asistente á las sesiones, de cual 7 en.lréislo entendido, v dispondréis lo necesario á su puntualquier* clase ó condición quesea, podrá dar de hecho ó de palabra cumplimiento.—San Ildefonso,! I.á de Julio de lftíi.r.V D. Franci*-•eñal de aprobación ó desaprobación de 'os discursos n votos. co Alartinez de la Rosa, Presidente del Gansejo de Ministros. Art. l4»A El espectador que incurra en esta demasía, ó que no guarde el silencio y decoro que debe, será expulsado 'le la tribuna por los Celadores, y en caso de (fue el desa…</t>
  </si>
  <si>
    <t>Francia, D Higinio</t>
  </si>
  <si>
    <t>D Higinio Francia</t>
  </si>
  <si>
    <t>…ader , sobre la montaña se servirá graduar el mérito de esta acción , y darle la importan de la izquierda de mi frente, con el fin de cortar Ja retirada al cia que se mereee; debiendo yo recomendar a V. E. á todos los enemigo; al coronel D. Higinio Francia, primer comandante del individuos en general, y en particular al gefe y oficiales dé la pla 2.° batallón de la Princesa-, se apoderase de la altura deNarbatazu; na mayor, al primer comandante del regimiento de Zaragoza, Don al teniente graduado de capitán D. Joaquín Salvador, comandante Jaime Merca…</t>
  </si>
  <si>
    <t>FRANCIA, Federi</t>
  </si>
  <si>
    <t>Federi FRANCIA</t>
  </si>
  <si>
    <t>…e hace al objeto de su 105 pies de largo sobre lÜ'dBantho, solo cala dos pies y medio. viafe, .se dice que no.es otro que el votvér acompañando á su esposa á S. pe tersburgo, y que se propone ademas dar las gracias á su suegro el Rey Federi FRANCIA. co Guillermo por haber enviado á Rusia destacamentos prusianos para asistir á la inauguración del monumento de Alejandro. ) , París *0 de Noviembre. »Ño falta quién dice, sin embargo, qué ademas de los objetos indicados, 1 Aufique siempre es desagradable la continua variación de ministro», en se pr…</t>
  </si>
  <si>
    <t>Francia, Higinio</t>
  </si>
  <si>
    <t>Higinio Francia</t>
  </si>
  <si>
    <t>…obre la montaña se servirá graduar el mérito de esta acción , y darle la importan de la izquierda de mi frente, con el fin de cortar Ja retirada al cia que se mereee; debiendo yo recomendar a V. E. á todos los enemigo; al coronel D. Higinio Francia, primer comandante del individuos en general, y en particular al gefe y oficiales dé la pla 2.° batallón de la Princesa-, se apoderase de la altura deNarbatazu; na mayor, al primer comandante del regimiento de Zaragoza, Don al teniente graduado de capitán D. Joaquín Salvador, comandante Jaime Merca…</t>
  </si>
  <si>
    <t>Francico</t>
  </si>
  <si>
    <t>…seguramente; i lo menos 00 están reconocidos por las leyes como Señora, y que se acaban ahora de disminuir mas de dos millones al Sermo, se ' tales. Me acuerdo muy bien que cuando nació el primer hijo del Infante Don ñor Infante D. Francico y su augusta familia, se conformaba el Gobierno Cárfos, el Sr. Rey D. Fernando ie dedaró Infante, diciendo en su decreto so también en esta parte con el dictámen de la comisión. ^ bre el. particular. »No sicmfy nuevo en España que loa hijovde Infante sean EloSr. Miguel Poto: " La comiskm va i ocupars…</t>
  </si>
  <si>
    <t>Francis</t>
  </si>
  <si>
    <t>…183U; y S. M. ha tenido á bien resolver , en nombre de gusta Hija la Reina Doña Isabel ii, en nombrar á D. José Sar tu augusta Hija Doña Isabel ir, que en el caso propuesto deben torio, D. José Quevedo y Chieza, D. Diego Butrón, D. Francis sustituir á los contadores los asesores respectivos de cada subdele co Quevedo Bueno, D. José Benitez y D. Antonio Galindo; los gacion, bien hayan sido nombrados por S. M. ó por el superinten tres primeros de la dase de generales , y los demas de la de toga dente general de Reai Hacienda; pero que…</t>
  </si>
  <si>
    <t>…jarse pira otro fjoSért, Tojedo, Martínez:de la Rosa, Bonel, González (D. Juan Gua.ber- tiempo mis lejano. Se dice en él que todos lo. españoles dtbrn contribuir (.Ityd H&gt;)i PijWríO, Heredia , marques de Falces, A randa, Serrano (D. Francis- ti artículo.) Es Claro que en e&gt;ta calificación redor deben entrar las clases pt i— á¡y,iMántiluy-EIanco, Diez González, marques de Montcvíigen, Bucesta, vilegiadás, tales son los celes á.ticós y las comunidades que est n exentas de Miranda OlmídiíU.'Vega y RBi Gargollo, Calderón de la Barca, Maité…</t>
  </si>
  <si>
    <t>…posición. nocida y apreciada) una organización vigorosa y bien entendida* que facilite el di—- su de importante servicio. Un tomo en 4.0 con 30 láminas: se vende k3ia- Ha prevenido al ayuntamiento de aquella ciudad que facilite á D. Francis empeño de Orea. rústica en la librería co Desolme las noticias que necesita para formalizar las condiciones de la pro — -Las mas nobles ideas de los defensores de Isabul rr, y los depravados pensa puesta que hace de Construir un puente colgante de hierro en lugar del de -bar mientos de los enemigos…</t>
  </si>
  <si>
    <t>…chos que parecen demostrados, son los grandes armamentos de Prusia é Ingla terra , con miras evidentemente opuestas. Algo de importancia debe resultar do Cementerios. Recomienda al ministerio á los facultativos de aquella capital D. Francis «nal demostraciones marcadas de tanta» maneras. {Mcssager.') co Tajarne», D Mariano Mira y-D. Mariano Miguel, que por insinuación suya han pasado voluntariamente á la ciudad de Orihuela, invadida del cólera y es —Escriben de Berlín con fecha de 18 de este mes lo siguiente: casa de profesores, á pre…</t>
  </si>
  <si>
    <t>…correspondientes, se dirigió el oficial comandante de la partida del 6.° de lige que seria el total. Y aunque todavía no he recibido el parte directo de Iriarte, ros por el centro, tomando la derecha el oficial de Urbanos de esa D. Francis me apresuro á comunicar esto á V. E. para noticia de $. M., sin perjuicio’do co Javier Rodríguez, ocupando la izquierda el del 5.°, llevando cada uno de trascribir el que aquel me dé. Dios &amp;c. Burgos 12 de Mayo de 1834=Exce- «lio* lo* paisanos armados que necesitaban para recorrer el terreno que se…</t>
  </si>
  <si>
    <t>…e creo, no sola Porret, Bonel, Hubcrt, Martínez de la Rosa, conde de Villamena, Carrillo mente autorizado, sino también obligado á denunciar los desórdenes ; pero no Manrique, Ferrer, Pizarro , Santafé, marques deTalces, Serrano (D. Francis he querido hacer alusión á persona alguna1’ co), Acuña, Diez González, Blanco, Mantilla, marques de MonO’vírgen, El Sr. conde de las Ñavas: n No puedo menos de dar gracias al Sr. Se Fleíx, Ruiz de Bucesta , marques de Someruelos , Miranda y Olmedilla , Vega cretario del Despacho de la Guerra por lo…</t>
  </si>
  <si>
    <t>Francisca</t>
  </si>
  <si>
    <t>…dirigirse a sus cantones, haciendo al propio de la caballería y 35 infante,, que marcho pnr la falda de L sierra hada el rio tiempo la artillería los último, saludos. Martin , al mando aquella del alférez del regimiento de Borbon D. Francisca bb. MM., antes de regresar á Carabanchel , se dignaron honrar con su pre Bautista, y los 35 infantes al del subteniente ID. Fulgencio MígucI , y la se sencia , apeándose del coché, una gran barraca dispuesta al intento, adornada gunda de SO mis órdenes á cortar los montes de las Parras, ordenando a…</t>
  </si>
  <si>
    <t>Francisca, Infanta Doña María</t>
  </si>
  <si>
    <t>Infanta Doña María Francisca</t>
  </si>
  <si>
    <t>…idad de decirlo asi, respetando el carác S. M. la Reina seiscientos y tantos mil reales: para el Sr. Infante I&gt;. Carlos ter sublime del Oobicrno; pero valiéndome del no menos sublime del cargo 1,65053: para gastos de cámara de la Sra. Infanta Doña María Francisca 5003: que desempeñamos como Procuradores de los pueblos: ha sido dirigido mala para el Sr, Infante D. Francisco 1.650®: para gastos de cámara de la Sral In mente por el Gobierno, Y si no yo invito á suS mismos individuos á que me fama Doña Luisa Carjpta Ó00®; para el Sermo. Sr. duque de Lúea 72®. I…</t>
  </si>
  <si>
    <t>Francisca, María</t>
  </si>
  <si>
    <t>María Francisca</t>
  </si>
  <si>
    <t>…lo asi, respetando el carác S. M. la Reina seiscientos y tantos mil reales: para el Sr. Infante I&gt;. Carlos ter sublime del Oobicrno; pero valiéndome del no menos sublime del cargo 1,65053: para gastos de cámara de la Sra. Infanta Doña María Francisca 5003: que desempeñamos como Procuradores de los pueblos: ha sido dirigido mala para el Sr, Infante D. Francisco 1.650®: para gastos de cámara de la Sral In mente por el Gobierno, Y si no yo invito á suS mismos individuos á que me fama Doña Luisa Carjpta Ó00®; para el Sermo. Sr. duque de Lúea 72®. I…</t>
  </si>
  <si>
    <t>Francisca, Pablo</t>
  </si>
  <si>
    <t>Pablo Francisca</t>
  </si>
  <si>
    <t>…la ruina de un establecimiento que le hace tanto honor y debe contribuir poderosamente á la gloria del gobierno de S. M. bolsa i&gt;H Cohibícío. Cotización de hoy 4 lar tres de ¡a tarde. Ha aprobado el proyecto que le han presentado D. Pablo Francisca! La» verrerie y D. Carlos Moireau para establecer una fábrica de productos químicos íRECTOS PUBLICOS. de mucho consumo en las artes, especialmente en la tintorería, que tan exten Inscripciones en el gran libro á J p. 100 , 00. dida está en aquella ciudad, y ha ofrecido á dichos empresarios la prote…</t>
  </si>
  <si>
    <t>Franciscci</t>
  </si>
  <si>
    <t>…Real, dictámen de la comisión y voto con las antiguas prácticas y costumbres nacionales, la asignación de 5.760© rea particular, cuya discusión estaba señalada para este día. la que propone el Gobierno para el Sermo. Sr. Infante D. Franciscci, su au Leído en efecto dicho proyecto (véase el apéndice al suplemento de 12 gusta Esposa y familia. En el año de 1772 percibía el Príncipe de Astúrias, de Octubre último), se leyeron asimismo el dictámen y voto particular, que como inmediato sucesor á la Corona , 2 millona de rala, 549.999 su Espo…</t>
  </si>
  <si>
    <t>Franciscci, Infante D</t>
  </si>
  <si>
    <t>Infante D Franciscci</t>
  </si>
  <si>
    <t>…esto de Casa Real, dictámen de la comisión y voto con las antiguas prácticas y costumbres nacionales, la asignación de 5.760© rea particular, cuya discusión estaba señalada para este día. la que propone el Gobierno para el Sermo. Sr. Infante D. Franciscci, su au Leído en efecto dicho proyecto (véase el apéndice al suplemento de 12 gusta Esposa y familia. En el año de 1772 percibía el Príncipe de Astúrias, de Octubre último), se leyeron asimismo el dictámen y voto particular, que como inmediato sucesor á la Corona , 2 millona de rala, 549.999 su Espo…</t>
  </si>
  <si>
    <t>Francisco</t>
  </si>
  <si>
    <t>…e las colum "Nadie se ha distinguido porque todos han rivalizado en valor; pero es dig nas del bajo Aragón , prueba de la decadencia de unas facciones que por tanto na de particular mención la valentía con que el teniente coronel D. Francisco tiempo han desolado aquel país, que por su proximidad á este principado, Curado, el capitán D. Antonio Rey, y el teniente D. Dionisio Arguelles donde no han podido sostenerse, han obligado ¿ adoptar constantes medidas de cargaron ¿ la cabera de sus compañías así como el arrojo de los sargentos pri…</t>
  </si>
  <si>
    <t>…uchas patrullas en las calles', y se ha buey á D. Pedro Henrique Montero: .para la de Ñavahrioral de la dado orden para que al momento que se anuncie fuego en algún punto se avi Mata" nueva á D. Simón Benavides: para la de Coin á D. Francisco se á los cuarteles , y se cubran principalmente las calles que dan vista á la cár María Sánchez Castilla: para la de Totana á D. Ramón Marín Alfo- cel , que en el dia encierra algunos reos de crímenes políticos. El bíaroa de Rufcea: para la de Alcañiees á D. Fernando de Galarza: para la de Mel- fin…</t>
  </si>
  <si>
    <t>…En seguida continuaba elevándose el edificio con un pequeño zócalo ó so mayores efectos. tabanco , y sobre él un cuerpo ático de forma octógona , de 6 pies de altura, La dirección de esta obra.fue encargada, según se ha dicho, á D. Francisco con dos pequeños resaltos á las fachadas, en. donde había tableros rehundidos Javier de Mariátegui ,arquitecto mayor de esta M. H. villa, á quien por una para la colocación de bajos relieves, rematando con una cqrnisa arqui trabada, orden particular de S. M. la Reina Gobernadora, se le mandó proyec…</t>
  </si>
  <si>
    <t>…arán me mente se la pasen. didas favorables al bien público, que es el primer objeto de la solicitud pater 6.’ Esta comisión la compondrá, como gefe, el intendente Pon nal de S. M.” {Debates') Joaquín Gómez de Liaño; como vocales D. Francisco de l.eunda, AlBMANtA. oficial que ha sido de la secretaría de Hacienda de Indias, y Don Francfort 19 de Julio. Domingo Fernandez de Angulo, administrador de Rentas que fue Hay ahora entre las autoridades militares de la Confederación germá de la provincia de Asturias, auxiliando sus trabajos en caso d…</t>
  </si>
  <si>
    <t>…ares y determinadas. Si Alcalá Zamora, conde de las N*vas, Bermudez, C-roo Manuel (hijo), Caba en la época que se nos indica hubo mates en la Nación , serian efecto de la ma llero , Bclmonte , Toledo, P zarro , Hcredia , Serrano (D. Francisco), Man la aplicación del principio, de la disposición de muchos jueces á favorecer á tilla, Blanco, D ez González, marques de Montevírgen , Miranda Olmedt— los partidarios de la reacción , y del espíritu tal vez de un celo mal entendido • lia , Calderón de U B^rca , Ma&gt;tel, Domínguez , Lasan t* , Pu…</t>
  </si>
  <si>
    <t>…io; comparezcan en el juzgado del Sr. Balsera, y escribanía vacante considerado en'abstracto, no tiene derechos; y por eso la Convención en la de de García Huerta, á usar de su derecho en los «uros formados por el abintestato del Don Francisco * qúe Sé. bailan recibidos á prueba por termino de 40 dias comunes i las par claración que hizój-que también examina nuestro'autor, no habló del hombre^ tes ; con apercibimiento que de n&lt;» hacerlo se entenderán las diligencias con los estrag sino del hombre en sociedad ó del ciudadano. óos de dicho…</t>
  </si>
  <si>
    <t>…al olvido. &lt;Pero quién no ve al lado monte, Caballero , Cano Manuel y Chacón, Ce zar , Carrillo Manrique , Pi de esas mismas leyes decrépitas, si se quiere, el principio inmutable de conve zarra, Santafe, Torre, A randa, Serrano (D. Francisco), Diez González, niencia pública , y el derecho soberano de la Nación para proveer á su seguri Mantilla, Montevírgch, marques de Someruelos, Miranda y Olmedilla, Cal dad , declarando no deber suceder en el mando ninguno de una estirpe de quien derón de la Barca, marques de la Gándara Real, Martel,…</t>
  </si>
  <si>
    <t>…ef Estamemólia por 81 Votos cofitra 3i, idé 120-que componían la tolafídad; habiéndose- abs^ - decididoy lo sostendrán con energía y, saber: ti es contráfia se aclarará w«« y ■ tenido de votar los Sres.Cezar .Domínguez, Serrano (D. Francisco), Mattel, tnaslamatería. Palarea, Ciceres, De Pedro y Butrón. '' ' J®' :; . - ’ «Para quintq individuo éh^í uno de los Sres. qtte-^e-abstüvieron de votar. Los Sres. .qué dijeron que- si fueron los siguientes: Qtazu % Rodcigue^PaSi no he acertado en esta elección, lo.siento; pero me ha dirigido en e…</t>
  </si>
  <si>
    <t>…n alguna recelábamos dé capital y sus hospitales, ya en los pueblos de la provincia invadidos, para don los buenos resultados, porque estamos convencidos de que las afistoloquias no de salen hoy los profesores D. Vicente Cuenca y D. Francisco í njtrnev Lon poseen otra virtud sobré la economía que la emenagoga, tal cual vez la aborti el exclusivo objeto de administrar los polvos de las viboreras y recoger expe va , y siempre la incitante: con mas energía según su escala.de aristoloquia, riencias , nos den suficientes á sancionar de canon…</t>
  </si>
  <si>
    <t>…í' cosjs. peote.^ion de &lt;a ley; premio datenuevn, A'calá i conde de las Navas, Vázquez, Cano M,anuct(' i]o)f d ’ por e*'a, y castizo imp^p'to p&gt;r la man». L« proT-ccon de la :ey a toCiba'iero, Belmonie , Toledo, Pi2arro, Serrano (D. Francisco), dws a ^anza, desde el mis pobre h isra el mis re- a tni&lt;&gt;% profese i/uaimen— Blanco, marques de Monteyírgen, Bucesta, Miranda, Calderón dc la B Tw-i, te sin distinción de cl^se. , y es una expresión que a nad e puede ^fender^ porMafiel, Gándara , Bendicho, Dom-nguez, Carrillo, Lasania , marques d…</t>
  </si>
  <si>
    <t>…padre.... Soldados, oficiales y ciudadanos de todas conJ817 casó este Príncipe con la Sra. Doña María Leopoldina .archiduquesa de diciones_derramaban lágrimas, y miraban el féretro con aquel respeto .religioso Austria, é hija del Emperador Francisco i, de cuyo consorcio nació en 4 de que inspira un templo arruinado que fue mansión de una divinidad. Parte de Abril de 1819 la muy augusta Sra. Doña' María de ia Gloria, boy Reina rei Jas calles por dónde pasó el entierro, estaban Colgadas de negro: las'tiendas nante de la monarquía constitucional…</t>
  </si>
  <si>
    <t>…las ideas que ha vertido el Sr. Caballero respecto á. Ros» . Carrillo Manrique, Pizarro, Heredia, Santafé, Torre y Solanot, Araneste punto! Ninguna; y tomadas ¡sus expresiones en su sentido rigoroso, serian &lt;Ja, Palees, Serrano (D. Francisco), Diez González, Fernandez Blanco, Man peligrosas y nocivas. ✓ tilla, Monte virgen , Fleix, Ciscar (D. Ramón), Bucesta, Someruelos, Miran ,,El Estamento lo que hace es como brazo del cuerpo legislativo, y de da y Olmedilla, Moscoso y Altamira, Vega y Rfio, Calderón de Ja Barca, consuno con el.otro…</t>
  </si>
  <si>
    <t>…uevo estímulo para seguir con honor la carrera, y un premio de otras varias reflexiones , apoyó la petición tundido en su utilidad. justo de los servicios hechos en ella; servicios que siempre han llenado de glo El Sr. Sefratio ( D. Francisco) dijo que aun guando estaba persuadido de ria 4 la Nación. las buenas intenciones del actual ministerio , creía debe tomarse en considera «Es claro que al proveer dichos destinos en los militares , debe también ción la petición presentada al Estamento, porque nadie aseguraría a este que consultarse…</t>
  </si>
  <si>
    <t>…de Hun- [nar é iluminar los balcones y fachadas de sus casas en demostración del placer sa y otros puntos hasta Murguía, donde pernocte sin que hubiese ocurrido no ' ue les causaba tan plausible acontecimiento. El regidor decano D. Francisco vedad en este dia. svier Márquez tremoló el Real pendón por Doña Isabel ir de Castilla, res- En el de ayer salí del indicado pueblo con dirección á esta con las precau 3 [ pondtcndo el pueblo con inmensos vivas á S. M. y á su augusta Madre. Du- ciones que exigen Las Circunstancias: pero al llegar m…</t>
  </si>
  <si>
    <t>…elmonte, Nación y la legitimidad del Trono. Hubert, Toledo , Martínez de la Rosa, Bonel, Pizarro , Santafe , Heredia, Los Procuradores del reino están persuadidos de U justicia que asiste á los marques de Falces, Aranda, Serrano (D. Francisco), Mantilla, Diez Gon funcionarios de la ¿poca constitucional para quejarse del olvido y abandono zález, marques de Montevírgen, Fleix , marques de Someruelos, BueeSla , Mi á que se les.condena: ellos no piden* remuneraciones que serian muy justas; se randa Olmedilla, Vega y Rio, Gargollo, Calderón…</t>
  </si>
  <si>
    <t>…as valientes compañías supieron burlar proyecto tan ratero, apoderán escogida para esta reunión; á ella debían trasladarse el Emperador Nicolás y el dose de algunas casas de que tío pudieron desalojarlos los facciosos, á pesar de Emperador Francisco; después dijeron que la salud^del último no le había per sus esfuerzos. La división acantonada en los pueblos de Ugar y Azcona To mitido emprender tan largo viage. Aseguróse por tanto que el Emperador Ni mó inmediatamente las armas, y marchando las dos brigadas sobre Abarzuza colás y ei Rey Guiller…</t>
  </si>
  <si>
    <t>…bre anterior, quo Ilon; los capitanes D. Andrés Herrera y D. Tadeo Lolikoski; el subteniento desde'26 á 29 del mismo mes existieron en aquella capital 109 enfermos," cu D. Francisco Galan; el sargento l.° D. Juan Valle; el cadete D. Francisco raron 37, y murieron i4 = que había sido invadido el pueblo de Comin Real: Mullen; los cabos primeros Pedro García y Vicente Eravo, y los soldados que en los 20 pueblos de la provincia que sufrían el cólera y le daban noti Antonio Fernandez, José Coronel, Francisco Orillana, Juan Jaén, Juat) cia de…</t>
  </si>
  <si>
    <t>…e sus recursos, y con la miserable si ha establecido, y que la han guiado constantemente en sus tareas. Pero, señor, tuación de los pueblos, ha sido el objeto que ha tenido constantemente á la la proximidad del Sermo. Sr. Infante D. Francisco á la sucesión eventual vista, y que se ha propuesto llenar del mejor modo posible. de la Corona, su numerosa familia, su notoria adhesión á la causa del trono La corona de España, á cuya disposición estuvieron por espacio de siglos legítimo y de la libertad , y otras consideraciones de semejante na…</t>
  </si>
  <si>
    <t>…a cerrado la discusión. Peto res A la Rbika Gobernadora......... ............................................... 12.0u&gt;,000 pecto á la que el Sr. Trueba hizo anta», v que yo he sU'cr t-' ahora , p~rqúe en v Al Serillo Sr. Infante D. Francisco, su augusta Esposa y Fa observancia del reglamento no se podía discutir sin haberla lormahrado pof es milia........................................ 3-500,000 crito , no puedo menos de decir que la discusión, por muy complicad! que sda, Al Sermo* Sr. Infante D« Sebastian y su augusta Esposa...... 1.…</t>
  </si>
  <si>
    <t>…stos se hallan arrendados -.Joaquín Osoriu García, regidor.=Krancisco Mercader y Sorda, regidor—Joa alzadafnénté; S. M. ha tenido á bien mandar que los expresados administrado- quín Fábregas, reqidor. = Jaime Gasset.^Jaimc Maixe, diputado Francisco tes eñ los casos de arriendos alzados ó en grande de Jos ramos decimales, dis Clavel!, regidor.=Stcolas Roig y Rivas.=.Manuel Vassallo, regidora Anto fruten las asignaciones que se señalan en la adjunta relación; pero sin hacen»: nio Lindeman menor, diputado.=:helix Javier Sola, síndico p:-curador…</t>
  </si>
  <si>
    <t>…no solo consta de notoriedad , sino de documento* me. =C. María Francisca.” auténticos que obran en la Secretaría de mi cargo. Entre los efectos aprehendidos en la villa de Guarda en el mes de Abril Tercera cubierta. &gt;&gt;A1 Infante Don Francisco mi muy querido hermano.” del presente año, se encuentran varios papeles de las supuestas Secretarías de Interior. «Santarem 4 de Octubre de 1833. = Le da el pésame añadiendo: Estado , Gracia y Justicia, Guerra y Hacienda , al cargo de D. Joaquín Abar Llegó el caso....... de que cumpla la declaració…</t>
  </si>
  <si>
    <t>…Cádiz, servido últimamente fael y D. Josef María Maestre de ¿&gt;. Juan y D. Pedro de Torres, por I&gt;. Miguel Brignon, y que se pretende pertenecer al mayorazgo fundado por Do i En matemáticas fueron premiados el alumno de geometría D. Francisco ñaDueñasClara áCaballerofin de que, poren elagregacióntérmino deque30 díasá él hizocomparezcaDoña Teresaen dichoManuelasupremoVázqueztribunalde rDiaz, y el de aritmética D. Matías Díaz. y por ia escribanía de Cámara de Abuin, á deducir el derecho de que se crea asistido. En educación primaria, aunq…</t>
  </si>
  <si>
    <t>…rs de las actuales instituciones; cuando se sienta aliviado de las cargas que monte, Caballero, Cano Manuel y Chacón, Cezar, Ferrer, Pizarro# Serrano W abruman,. y sálga de ia miseria espantosa en que yace, para pasar á gozar de (D. Francisco), Acuña, Miranda, Olmedília, Calderón de la Barca, Martel# una^subsistencia desahogada, noTo dudemos, entonces, inútil sera la ley que le Calderón Col lames , Trucha, conde de Hust, Morales, Carrion , Butrón, Orimponga el deber de inscribirse en las filas de los ciudadanos armados. £1 vo tiz de Vel…</t>
  </si>
  <si>
    <t>…dos por la ignoran mena, Carrillo Manrique, Ferrer, González (D. Juan Gualbcrto), Pizarro, cia, ha malogrado las mas santas empresas, y lejos de precipitarla ha dete Heredia , Santafé, Torres Solanot, marques de Falces , Serrano (D. Francisco), nido la perfección del género humano. Los frutos del Gobierno representati Acuña, Diez González, Fernandez Blanco, Mantilla, Montevírgen, Ciscar, vo no se cojen repentinamente : cuando ha sido precedido por otro de Opresión Ruiz de Bucesta, marques de Som:ruelos, Miranda, Moscoso y Altamira, y de…</t>
  </si>
  <si>
    <t>…ndante, el coronel Don Bujalance.............. 2 á 5 Noviembre. 39 25 8 Francisco de Paula Guajardo, gefe de la 1.a brigada de caballería. D. Donato Cañetede las Tor- i Tomos, mt ayudante de órdenes, teniente graduado de alférez. D. Francisco jes...................... Idem................... S4 12 6 Toledado, sargentp primero graduado de alférez. Demetrio de Hita, cabo pri Fernannuñez. . .. 1 á 4 ídem......... s 3 00 mero. Miguel Elena, id- segundo. Martin Tapial, cazador. Manuel Castillo, Montemayor. . .. 30 Oct- á 5 Nov. V \6 s idem.…</t>
  </si>
  <si>
    <t>…inas; sé muy bien que el que hoy se cree de I808 en Madrid, ha cabido en suerte con el primer extracto de la de esto gefe de un partido, suele llegar á ser mañana el último de sus miembros. Siem diá á Doña Celestina Diez, hija de D. Francisco, teniente que fue de lanceros pre seré, lo repito, el hombre de la justicia y de la ley— y si, siguiendo esta de Rioja, muerto en acción de guerra. línea, se me ha unido muchas veces la mayoría, es porque la mayoría ha sim patizado con mi amor al órden y á la legalidad, libre y claramente proclamad…</t>
  </si>
  <si>
    <t>…zar, Vifials, Bonel, Hubert, Martínez de la Ro ción i la hora. sa, conde de Villamena, González (D. Juan Gualberto), Santafé, marques de El Sr. Presidente suspendió en tal estado la discusión; y señalando para la Falces, Serrano (D. Francisco), Moscoso de Altamisa, Vega y Rio, Vázquez seaion de mañana la de las adiciones al proyecto de ley sobre mostrencos y la Queipo, Jaramillo, Carrillo de Albornoz, Rodas, Alcántara Navarro, Pala- continuación de la interrumpida, cerró la de este dia a las cuatro y cuarto. -É- / EN LA IMPRENTA REAL.</t>
  </si>
  <si>
    <t>…r. Caballero: y aunque no guarde el mismo órden que han segui que es la de su Esposa Daña María Francisca............................... 600,000 do los Sres. Procuradores que han impugnado el dictámen de ia mayoría, al Al Infante D. Francisco........................................................ 1.650,000 que se ha asociado el Ministerio, seguiré mas bien el enlace y trabazón de las A su Esposa............................................ ................................ óuO.OuO ideas, que ei órden material de la discusión. A la duquesa de Lúea...............................................…</t>
  </si>
  <si>
    <t>…primera aclaración. ; . que se daría cuenta de ellas.; Asi se hizo , resultando ser las siguientes: ‘ Habiéndose declarado'el punto suficientemente discutido, sé preguntó si se ■x Segunda, de los SreV. García Carrasca y Serrano ,(D. Francisco): «Pedi aprobaba el párrafo S.° del dictámende la comisión con dichas, aclaraciones, y mos al Estamento se sirva votar 28 millones para S. M. Doña-IsAaur 11.” quedó aprobado. Tercera, del Sr. Cuesta: «Pido al Estamento tenga 4 bien votar para pre El Sr. Pre.idente anunció que se iba 4 continuar la…</t>
  </si>
  <si>
    <t>…dores de agi lia Infanta Doña María Luisa Fernanda. SS. MM. y S. A. deben permanecer lidad y destreza; y que debiendo el gobierno destinar fondos á diferentes ense- ! luna temporada en dicho Real Sitio. Los Sermos. Sres. Infantes D. Francisco fianzas, existen otras infinitamente mas útiles que reclaman de preferencia los Ide Paula y D. Sebastian , acompañados de sus augustas Esposas, salieron para auxilios hasta ahora dispensados á ia de lidiar toros, y están mai dotados mu I el Real Sitio, el primero á las tres, y el segundo mas tarde,…</t>
  </si>
  <si>
    <t>…mables bósniacos que habitan la Croacia inl&amp;edutó al portante salud. Del mismo beneficio disfrutan igualmente SS. A A. nuestro, y que hace mucho tiempo se mostraban opui y+.¡m los Seranos. Sre?. Infanta Doña María Luisa é Infante D. Francisco estado de anarquía, y que también hace rpóchos años _ de Paula. Día Real orden lo comunico á V. E. para su satisfacción y en nuestro territorio, han llenado el colmo de nuestro sBfGñmícttto cosfeL, efectos .oportunos. Dios guarde á V. E muchos años. San Ildefonso han cometido en la noche del 10 al…</t>
  </si>
  <si>
    <t>suyo ciar* é infalible. Haciéndose a tiana liquidación formal entre 1* Conta Serrano (D. Francisco), conde dé las liaras, Palare*, Abaígnés, Diez Gon duría general dé distribución y la Intervención general del ejército; y Lea ella zález, Caballero, Belda y Mantiila; y en contra, los Sres, MiguerFoFo, Po resultará el'déficit verdadero del presupuesto de Guerra. • lo Monge, y marques de Falces.- ”…</t>
  </si>
  <si>
    <t>…el Oobicrno; pero valiéndome del no menos sublime del cargo 1,65053: para gastos de cámara de la Sra. Infanta Doña María Francisca 5003: que desempeñamos como Procuradores de los pueblos: ha sido dirigido mala para el Sr, Infante D. Francisco 1.650®: para gastos de cámara de la Sral In mente por el Gobierno, Y si no yo invito á suS mismos individuos á que me fama Doña Luisa Carjpta Ó00®; para el Sermo. Sr. duque de Lúea 72®. Infié digan con toda franqueza si ño podían haberle dado otro giro mejor. ¿Ño hu rase , en vista de Ja- lectura q…</t>
  </si>
  <si>
    <t>…ción á los extensos conocimientos en la ciencia de la D. António Fernandez del Castillo, oidores cesantes con sueldo: administración y demas cualidades1 que adornan á D. Juan Alva- por la clase de alcaldes á D. Andrés MasegoSa; á D. Francisco iez Gueíra, he venido en nombrarle para la plaza de decano de lá GalveZ Fernandez y á D. José Alonso Villastnte, que son tam sección de Fomento del Consejo Real dé España é Indias, vacan bién de la misma, y á D. José Aguilera, elerto para el consejo te p6f promoción de D. José María Moscoso de Alta…</t>
  </si>
  <si>
    <t>…. alférez Real á reunir varias personas de carácter, siendo una de ellas el Sr. regidor, cultura ó á la industria, seria inútil enviarle esta circular, que no puede apli gentilhombre de cámara con entrada D. José Marfa Lima; Lie. D. Francisco carse sino á ¡as que tienen relación con mi ministerio á causa de la naturaleza José de Quesada; el alcalde de la Santa hermandad D. Angel Caballero; Doét de sus trabajos. Mariano González; D. Gregorio Almeida, nosotros y varias personas mas: «O* suplico además que me hagáis saber-* !.°S¡ existen e…</t>
  </si>
  <si>
    <t>…isamente de ofender á nadie, y menos al Sr. Pizarro, (D. Juan Gualbeno), Piarro, Hercdia y Godino, Santafé, Torres y Soiacon quien jamás he tenido ninguna relación. Tratándose pues solamente de sa not, marques de Falces, Serrano (D. Francisco), Acuña, Diez González, Fer ber si yo resentido he ..querido hacer una ofensa personal; responderé que no, nandez Blanco, Mantilla, marques de Montevírgen, Fleix, Rulz de Bucesta, como ya ayer lo insinué privadamente.” Miranda y Olmedilla, Moscoso&gt;de Altamira, Vega y Rio, Vázquez Queipo, El Sr.*Pre…</t>
  </si>
  <si>
    <t>…fecto. La rebaja dé 2.26o© rs. que la comisión hace en el presupüesto de 5 7ilO,Cóu rs. La comisión , al hacerlo ^i por razón del estado de penuria del país, ha queri que el Gobierno ha considerado necesitar el Sermo. Sr. Infante D. Francisco do guardar todas las conóderaciones á que son acreedores tanto S. A. como su de Paula para acudir 5 los gastos de su casa y familia, es excesiva. y se opo augusta Esposa, sintiendo infinito no poder hacer en su &lt; b«£quio.lodo lo que ne en mí concepto á la justicia. S. A. disfruta desde su menor edad l…</t>
  </si>
  <si>
    <t>…ano , Vázquez Mo^coso, Flores, Caballero, de lleno en tas economías que hace precisas la penuria del país; y diré para Cano' Manuel (hijo), Serrano (D. Gines), Cezar, Viñals, Porret, conde de principiar que desde 5. A. el Infante D. Francisco hasta el último empicado, Villamcna , Fcrrcr, Pizarro, Heredia , Santafé , SoUnot, marque*, de Falces, debemos sacrificar alguna parte de nuestros goces para asegurar el todo; á la ma Acuña, Blanco, marques de Montevírgen , Ciscar ( D. Ramón), Bucesta, nera que se nos dice á los propietarios, pues…</t>
  </si>
  <si>
    <t>…dis há habido, no hubiera dependido del Infante D. Sebastian, puesto que no se le frútase el priorato dentro de.España, y hallándose ahora fuera de ella, creo que ha exigido dicho juramento; porque si es verdad que el Sé. Infame D. Francisco se. debe hacer con ¿1 lo mismo que se hizo entonces con el Infante I). Gabriel. lo prestó, es porque asistió á la augusta ceremonia de lá jura, y se'creyó necesa «Una sola razón, para mí respetable hasta cierto'punto, y aquí llamo la rio que su Alteza prestase el juramento como todos los que estaba…</t>
  </si>
  <si>
    <t>…ecretaría del proyecto del Gobierno, como del dictamen de la comisión , no habían mani Despacho de Estado correspondiente al año próximo de 18d 5 , tiene el hon-r festado la cantidad que deseaban se señalase al Sermo. Sr. Infante D. Francisco; de presentar al Estamento de Señores Procuradores el resultado de sus tareas. y que estimulado por sus dignos compañeros, lo baria presente si el Estamento Ha tenido particular satisfacción en hallar prevenidos en parte sus deseos por el 5r. Secretario de aquel Despacho, que ha reducido á 8-465,14…</t>
  </si>
  <si>
    <t>…, y recibieron muchos testimonios de su benevolencia. Al por la cabeza de Laoocon, núm. 4Ó. salir los Príncipes de la audiencia tuvieron la honra de ser presentados á los Sala de copias al lápií. Cuerpos enteros. Primer premio: á D. Francisco dos hijos del Sultán, y despuea fueron h caballo 4 visitar al gran visir y al Angueira, por la Beneficencia, cuadro núm. 28. Segundo: á D. Gabriel José seraskáer-bajá. _ ¡ Mastrati, por La Danae, núm. 16. Tercero: á D. José Sánchez Baubet; por él grupo de Laoocon. ____ Hé aquí un ejemplo del lujo y séq…</t>
  </si>
  <si>
    <t>…o, diendo A la confianza que S. AI. le lia 4,&gt;sPensaJ°- ministro dei tribunal supremo de España é Indias; á D. José Ala De Real orden lo comunico á V. para su inteligencia y cum ría Manosean, Regente de la audiencia (le Madrid; A D. Francisco plimiento. Verea y Cornejo, ministro de la misma, v A L). Marcial Antonio Dios guarde á V. muchos años. Palacio 21 de Junio de 1834.= Lopéz, fiscal del mismo tribunal; de cuyo zelo y experiencia ilus Francisco Alartinez de la Rosa. trada Ále prometo que desempeñahi este encargo tan acertadamente co…</t>
  </si>
  <si>
    <t>…particular atención casas de que &gt;e habían apoderado. Que los dos batallona de este recimiento, di de parte del subdelegado, que ha dispuesto que el de expósitos de Lorca se tras rigidos por sus dignos gefes, el primer comandante D. Francisco bantiaco v el lade á otrá casa situada en parage mas excusado, y está tomando los oportunos segundo D. Francisco María Caturla, habían hecho prodigios de valor, siendo informes para hacer las reformas que necesite su administración. por lo tanto acreedores á toda recomendación estos bizarros gefes,…</t>
  </si>
  <si>
    <t>…e promueven la guerra civil en España, y qui persecución. tarles todos los recursos con que pueden incitar á la perturbación del órden, creyó oportuno verificar un movimiento hacia Chaves Excmo. Sr.: El teniente, capitán graduado D. Francisco de anjes que entrase en ella el cabecillaDelgado con su gavillade 300 Paula Muñoz, del regimiento de caballería de Castilla, l.° de li rebeldes, para sálirles al encuentro á impedirles se aproximasen al geros, comandante de la columna móvil de observación sobre esta parage donde se hallaba el depósito…</t>
  </si>
  <si>
    <t>…io, *e dirigieron á la puerta que sale al desengaño y éscarimemo reciente, que anuncia el éxito que tendría jardín det'ftéfiró, en la que .recibieron í S. Si. I4 Reina Gobernadora y al cualquiera loeánénrativa. Sermo. Sr. Infante D. Francisco, de Paula, que la acompañaba. S« M. ocupó ¡ Al propio tiempo que sé terminaba la cuestión de Portugal, se una silla bajo del solio, sentándose S. A, eü otra fuera de él, pe^o á Su inme~ ratificaba en Londres el tratado solemne que tenia-por objeto ub fin diaclorrcolocándose al1 rededor del trono lo…</t>
  </si>
  <si>
    <t>…Toledo en la artillería los oficiales del mismo D Ignacio Bayon , espitan Je 'a compañía que me aseguraba, que las dos brigadas que se hallaban en Navarra con la caba de carabineros; D. Blas María Castelvich, de la de caradores; D. Francisco llería, emprenderían el suyo según les teuia prevenido para el día de hoy. Figuerols, también capitán , y D. Joaquín Muc-as , subten-enie , que mezclán Durante mi marcha y sobre el pueblo de Ciordia, descubrieron las guerrillas dose con los grupos que penetraron hasta cerca de los montagesacabaron…</t>
  </si>
  <si>
    <t>…oba de pasa que se paga en Málaga: 3.a Sobre reducción Moscoso, Astaríz, Flores, Vifials, Hubert, Rosa, Ferrer, Heredía, Santafé, de censos de obrhs pías: Sobre abolición dé diezmo dél aceite del Ajara marques de Falces, Serrano (D. Francisco), Diez González, Fernandez Blan fe y otros pueblos de Sevillaco, Mantilla, Bucesta, marques de Someruclos, Moscoso, Rio, Vázquez Quei- »E1 viernes próximo, si hubiere lugar, se discutirán las siguientes: 1.a so po, Calderón dq la Barca, Fontagud, marques de la Gándara, Jjramillo, Car bre abolición…</t>
  </si>
  <si>
    <t>…o á las enmiendas, correcciones y adiciones Santiago á los Sres. González (D. Juan Güalbcrto), Claros, Osea, Medrano, qpe los representantes acuerden, no separándose en los trámites y forma de sus Blanco, Diez González y Serrano (D. Francisco). deliberaciones, de los principios consagrados en nuestras leyes fundamentales.” La comisión de Poderes después de examinados los de! Sr. D. Ramón de Madrid lñ de Agosto de 1834-r=Permin Caballero-czCctnde, de las Navas.cn Llano y Chavarri, electo Procurador por la provincia de Barcelona , y los A…</t>
  </si>
  <si>
    <t>…an únicamente desastrosos para nuestro pais. del Villar , Belmonte, Cabjllero, Cano Manuel (hijo), Cezar , Toledo , Pi- «Contra todos estos principios yo no veo mas.que el compromiso que zarro, Hetedia, Santafé , Aranda, Serrano (D. Francisco), Diez González, hay para los señores que han llevado opiniones contrarias a las mías, de de Blanco, Mantilla , marques de Montevírgen, Miranda Olmedilla, Calderón clarar hoy que el empréstito de Guebhatd no es deudá deí Estado, ni se reco de la Barca, Martel, Domínguez, Bendicho, marques de E^pina…</t>
  </si>
  <si>
    <t>…jornadas, sien á V. E. por su decisión en esta acción, como en la de Paules, lo hace de t&lt;&amp; do la última de once: fue tal el denuedo y entusiasmo de esta valiente, tropa, Ja tropa de su mando, pero con particularidad del cadete - D.-Francisco de la qué¿ las repetidas voces de viva la Ruina, inflamándose con ellas nuestros co Infantas, que á su lado fue el primero que se arrojó sobro la gavilla. razones de un noble ardor, dejaron losienemigos sobre el campo44 muertos ,'8 Por los partes que de la derrota del rebelde Merino voy recibiendo de va…</t>
  </si>
  <si>
    <t>…. D. Diego Mcdrano para Vicepresidente. Sr. EL Francisco de Paula Vega por U provincia de Gerona. El Sr. Posadas , Presidente interino, al entregar la presidencia á su suce Por último se pasó á 4a misma una representación del Sr. D. Francisco sor , dijo: Muguiro é Iribarren, pidiendo se le exonetc-del cargo de Procurador por Na— y» Señores: Llegó -el momento tan sentible para mi coraron de separarme Tana, en atención al mal estado de su saluda de que acompaña certificación de de mis amados compañeros, facuirativo- •»Queriendo S. M. la R…</t>
  </si>
  <si>
    <t>Francisco'</t>
  </si>
  <si>
    <t>…Urdax , de resul tivo de las enfermedades que padecen varios pueblo» de las Andalucías: que tas de haber entrado en Elizondo tropas de, la Reina , ocupando asimismo las con el fin de remediar este daño 'había conferido comisión á D. Francisco' de ccrdañtás t los empleados de la aduana'hicierón saber á los récienllegados, que Paula Gonzalos , vecino de Encinasola, para que poniéndose de acuerdo coa si entraba) en Franctaserianinternadós inmediatamente ¡ en consecuencia pre el gobernador civil de Badajoz se estableciesen palenques al confín d…</t>
  </si>
  <si>
    <t>Francisco', Serrano QD</t>
  </si>
  <si>
    <t>Serrano QD Francisco'</t>
  </si>
  <si>
    <t>…las necesidades que tengan. Asi que yo suplicaría á la comisión tuviese la bondad de fijar para dichas compañías el número de 40 á 60 hombres; y si lo hace, estoy conforme con su redacción.” estakbnto db señores procuradores. El Sr. Serrano QD. Francisco'): «He pedido la palabra para apoyar las ra- ‘ zones de los Sres. marques de Torremejía y conde de las Naras. La fuerza de Sesión del día 21 de Noviembre, 100 caballos para una compañía es mucha. Los escuadrones en España, con ar reglo á las ordenanzas militares, no admiten mas que 100 hombres, ó lo…</t>
  </si>
  <si>
    <t>Francisco'Castilla</t>
  </si>
  <si>
    <t>…Una partida de infantería y caballería de la de esta capital y al frente de ella su digno comandante interino ID. José de Reinoso, con noticia que se ____ Se lee en el Eco de Rúan, periódico ministerial: tuvo de que ei cabecilla D. Francisco'Castilla, teniente retirado en S. Miguel «Los comisionados del comercio del departamento del Sena inferior, y de del Pino, se guatecia en el pueblo de Mucientes, salió ayer tardecen medio de la Cámara de comercio de Lila, obtuvieron ayer una audiencia de S. M. Mr. un aguacero terrible, y consiguió aprehende…</t>
  </si>
  <si>
    <t>Francisco, D</t>
  </si>
  <si>
    <t>D Francisco</t>
  </si>
  <si>
    <t>…gefes1 de las colum "Nadie se ha distinguido porque todos han rivalizado en valor; pero es dig nas del bajo Aragón , prueba de la decadencia de unas facciones que por tanto na de particular mención la valentía con que el teniente coronel D. Francisco tiempo han desolado aquel país, que por su proximidad á este principado, Curado, el capitán D. Antonio Rey, y el teniente D. Dionisio Arguelles donde no han podido sostenerse, han obligado ¿ adoptar constantes medidas de cargaron ¿ la cabera de sus compañías así como el arrojo de los sargentos pri…</t>
  </si>
  <si>
    <t>…ismas Córtes de Cádiz reclamarían ahorr ía suspensión. El Es el total de individuos presentes lü2. tamento ia .pediré igualmente si la contempla una medida saludable* por él ries Se mandaron pasar á la comisión de Poderes lo* del Sr. D. Francisco de go de las circunstancias; pero para pedir la excepción es necesario haber fija Paula Crespo Rascón, electo Procurador por la provincia de Sa'amanca. do antea el principio á que se quiere aplicar. £1 Sr. Presidente: «El lunes á las diez de la mañana se reunirá el FsSc ha repetido por ei Sr. Martínez…</t>
  </si>
  <si>
    <t>…recido una particular atención casas de que &gt;e habían apoderado. Que los dos batallona de este recimiento, di de parte del subdelegado, que ha dispuesto que el de expósitos de Lorca se tras rigidos por sus dignos gefes, el primer comandante D. Francisco bantiaco v el lade á otrá casa situada en parage mas excusado, y está tomando los oportunos segundo D. Francisco María Caturla, habían hecho prodigios de valor, siendo informes para hacer las reformas que necesite su administración. por lo tanto acreedores á toda recomendación estos bizarros gefes,…</t>
  </si>
  <si>
    <t>…l Sr. D. Diego Mcdrano para Vicepresidente. Sr. EL Francisco de Paula Vega por U provincia de Gerona. El Sr. Posadas , Presidente interino, al entregar la presidencia á su suce Por último se pasó á 4a misma una representación del Sr. D. Francisco sor , dijo: Muguiro é Iribarren, pidiendo se le exonetc-del cargo de Procurador por Na— y» Señores: Llegó -el momento tan sentible para mi coraron de separarme Tana, en atención al mal estado de su saluda de que acompaña certificación de de mis amados compañeros, facuirativo- •»Queriendo S. M. la R…</t>
  </si>
  <si>
    <t>Francisco, Fr</t>
  </si>
  <si>
    <t>Fr Francisco</t>
  </si>
  <si>
    <t>…urante algunos dias un busto colosal de S. A. que ha ejecutado uno de estos estime oportunas—Palacio de las Necesidades 30 de Setiembre do 1834*=^ últimos, Mr. Albie, jóven escultor de mucho mérito, discípulo de la escuela Obispo Conde, Fr. Francisco. ([Gaceta oficial del Gobierno?) francesa:. Este busto es de una semejanza maravillosa, y seguramente se verán copias de él en Francia. Semejante condescendencia es ya un paso agigantado Idem 6 de Octubre. hacia las bellas artes, que á no ser por este hombre singular, hubieran hallado címara de los…</t>
  </si>
  <si>
    <t>…fallecimiento de estas augustas personas, ó por otro cualquier motivo, las Cortes resolverán y Pueblos. Dias. Enfermos. Curados. F*ilec¿do*&gt; providenciaran lo que juzguen conveniente.!’ Lisboa 13 de Octubre de I834~=e F.l Obispo conde, Fr. Francisco, ministro y secretario de Estado de loe Nego Aseó................. . 1 é 9 Octubre.. 39 18 1 cios del Reino. Gandesa............ . 4 i 7 ¡d........... 4 00 1 Concluida la lectura, dijó: »&gt;Nó quiero detenerme en menciónar los be Perelló.............. . 9 á 13 id..... 10 3 1 neficios que .eL Sr. Duqu…</t>
  </si>
  <si>
    <t>Francisco, Fran Sermo Sr Infante D</t>
  </si>
  <si>
    <t>Fran Sermo Sr Infante D Francisco</t>
  </si>
  <si>
    <t>…metálico, es menester que seamos sumamente económicos en su dis Alvarez García. tribución. „ Se leyó el párrafo del dictamen de la comisión , que señala 3.5009 rs. al «Se nos ha dicho que debemos grandes Servicios al Sr. Infante D. Fran Sermo. Sr. Infante D. Francisco y si^^eugusta esposa; y habiéndose preguntado cisco. ¿Quién lo niega I Son tan claros como la luz del medio dia. Pero por lo inmediatamente si se aprobaba , fue aprobado en efecto. mismo n&lt;5 creo que sean susceptibles de pagarse con dinero , y me parece que Algunos señores reclamaron contra la votaci…</t>
  </si>
  <si>
    <t>Francisco, Genaro Marta de Quesada y José</t>
  </si>
  <si>
    <t>Genaro Marta de Quesada y José Francisco</t>
  </si>
  <si>
    <t>…mjvor y mi secretario de campana, y del adicto á la pla itacaba nuestra derecha se dirigió por los mpntes á cortar el camino de Segura, na mavor teniente D. Antonio Ugarte, que con mis ayudantes de campo Don José Mánuel Carrillo, D. Genaro Marta de Quesada y 0. José Francisco Bí— sobre el cual se hallaban los caudales y bagage, á los que cargó, pero fue re dondo, que distribuyeron mis órdenes en medio del mas vivo fuego coa la mayor chazada vigorosamente por la compañía del 4-° regimiento de la Guardia serenidad y valor; del aposentado^ y gobernador del cuartel general…</t>
  </si>
  <si>
    <t>Francisco, Infame D</t>
  </si>
  <si>
    <t>Infame D Francisco</t>
  </si>
  <si>
    <t>…el cual no es posible hacer alteración alguna : de consiguiente, dome al caso presente, diré que mi opinión es que el Gobierno pide lo justo ambas cantidades las hubieran disfrutado los dos csposoSusin disminución, en el para el Sr. Infame D. Francisco. La numerosa familia de S. A., la justa gra caso de que Oíos no hubiese bendecido su unión con una descendencia tan nu titud que le debemos, asi como á su augusta Esposa, por la adhesión que tie merosa como la que tienen. Las Córtes del año 1821 asi lo reconocieron. Pe nen al actual nrien de cosas, y m…</t>
  </si>
  <si>
    <t>Francisco, Infante D</t>
  </si>
  <si>
    <t>Infante D Francisco</t>
  </si>
  <si>
    <t>…criminarnos al tratarse trono de España por fallecimiento ó falta de sucesión de S. M. Ja Reina Doña de una materia extraña hasta cierto punto , y me atrevo á decir de una manera Isabel ii y la de su augusta hermana á $. A. R. el Sr. Infante D- Francisco tan poco merecida. Cualquiera que sea el juicio que se forme acerca de los prin de Paula Antonio y su descendencia legítima por el órden regular de sucesión, cipios políticos del ministerio, ciertamente la,cuestión de Portugal es la meaos con arreglo á las leyes de España.” i proposito que se pudie…</t>
  </si>
  <si>
    <t>…la escasez de sus recursos, y con la miserable si ha establecido, y que la han guiado constantemente en sus tareas. Pero, señor, tuación de los pueblos, ha sido el objeto que ha tenido constantemente á la la proximidad del Sermo. Sr. Infante D. Francisco á la sucesión eventual vista, y que se ha propuesto llenar del mejor modo posible. de la Corona, su numerosa familia, su notoria adhesión á la causa del trono La corona de España, á cuya disposición estuvieron por espacio de siglos legítimo y de la libertad , y otras consideraciones de semejante na…</t>
  </si>
  <si>
    <t>…que va se ha cerrado la discusión. Peto res A la Rbika Gobernadora......... ............................................... 12.0u&gt;,000 pecto á la que el Sr. Trueba hizo anta», v que yo he sU'cr t-' ahora , p~rqúe en v Al Serillo Sr. Infante D. Francisco, su augusta Esposa y Fa observancia del reglamento no se podía discutir sin haberla lormahrado pof es milia........................................ 3-500,000 crito , no puedo menos de decir que la discusión, por muy complicad! que sda, Al Sermo* Sr. Infante D« Sebastian y su augusta Esposa...... 1.…</t>
  </si>
  <si>
    <t>…lisonjearse de tener á su frente á la Reina Gobernadora , creo que la Rei dad que se señalaba por el proyecto del Gobierno para la asignación del na Gobernadora no puede lisonjearse menos de estar al frente de esta Nación. Sermo. Sr. Infante D. Francisco, por lo que la había reducido á los 3 millo «La Nación española, como ha dicho el Sr. Arguelles, salvó el trono de nes y 500d reales, y que ademas no era conforme con nuestras antiguas prác S. Femando y de Cárlos ut; y no solo le salvó, sino que volvió i colocar en ticas. él á la misma persona que…</t>
  </si>
  <si>
    <t>…nciales al efecto. La rebaja dé 2.26o© rs. que la comisión hace en el presupüesto de 5 7ilO,Cóu rs. La comisión , al hacerlo ^i por razón del estado de penuria del país, ha queri que el Gobierno ha considerado necesitar el Sermo. Sr. Infante D. Francisco do guardar todas las conóderaciones á que son acreedores tanto S. A. como su de Paula para acudir 5 los gastos de su casa y familia, es excesiva. y se opo augusta Esposa, sintiendo infinito no poder hacer en su &lt; b«£quio.lodo lo que ne en mí concepto á la justicia. S. A. disfruta desde su menor edad l…</t>
  </si>
  <si>
    <t>…enester que seamos sumamente económicos en su dis Alvarez García. tribución. „ Se leyó el párrafo del dictamen de la comisión , que señala 3.5009 rs. al «Se nos ha dicho que debemos grandes Servicios al Sr. Infante D. Fran Sermo. Sr. Infante D. Francisco y si^^eugusta esposa; y habiéndose preguntado cisco. ¿Quién lo niega I Son tan claros como la luz del medio dia. Pero por lo inmediatamente si se aprobaba , fue aprobado en efecto. mismo n&lt;5 creo que sean susceptibles de pagarse con dinero , y me parece que Algunos señores reclamaron contra la votaci…</t>
  </si>
  <si>
    <t>…la palabra en materia de pre tian no se hallaba aqui cuando la reunión de las Córtes; por consiguiente no supuestos; y asi es que buscando siempre los medios de conciliar su dictámen pudo prestar el juramento, como lo verificó el Sr. Infante D. Francisco por con el de la mayoría de la comisión, ha tratado desde el primer dia de poner hallarse presente; pero había reconocido á la Reina nuestra Señora como Prin* se de acuerdo con ella; y hecho esto, ha dejado al Estamento que ilustre la*- - cesa de Astúrias, y por consiguiente sus derechos al trono;…</t>
  </si>
  <si>
    <t>…esto de la Secretaría del proyecto del Gobierno, como del dictamen de la comisión , no habían mani Despacho de Estado correspondiente al año próximo de 18d 5 , tiene el hon-r festado la cantidad que deseaban se señalase al Sermo. Sr. Infante D. Francisco; de presentar al Estamento de Señores Procuradores el resultado de sus tareas. y que estimulado por sus dignos compañeros, lo baria presente si el Estamento Ha tenido particular satisfacción en hallar prevenidos en parte sus deseos por el 5r. Secretario de aquel Despacho, que ha reducido á 8-465,14…</t>
  </si>
  <si>
    <t>…ido de palacio, *e dirigieron á la puerta que sale al desengaño y éscarimemo reciente, que anuncia el éxito que tendría jardín det'ftéfiró, en la que .recibieron í S. Si. I4 Reina Gobernadora y al cualquiera loeánénrativa. Sermo. Sr. Infante D. Francisco, de Paula, que la acompañaba. S« M. ocupó ¡ Al propio tiempo que sé terminaba la cuestión de Portugal, se una silla bajo del solio, sentándose S. A, eü otra fuera de él, pe^o á Su inme~ ratificaba en Londres el tratado solemne que tenia-por objeto ub fin diaclorrcolocándose al1 rededor del trono lo…</t>
  </si>
  <si>
    <t>Francisco, Infante IX</t>
  </si>
  <si>
    <t>Infante IX Francisco</t>
  </si>
  <si>
    <t>…a, lo que importa es que esté hecha con arreglo i justicia. Concluyo economías que aliviarán á los pueblos, y no la mezquina cantidad de 759 du pues diciendo, que en mi Opinión debe aprobarse 1o que propone La comisión.*’ ros. El Sr. Infante IX Francisco ademas tiene ocho hijos, y ha prestado eminen El Sr. Palarea deshizo una ligera equivocación. te^ servicios. Es el único Príncipe de su sangré que se ha mostrado fiel á la Na El Sr. Alvarez García hizo algunas observaciones que se percibieron, mal, ción, fiel £ su alta estirpe y fiel £ nuestra inoc…</t>
  </si>
  <si>
    <t>Francisco, Tomas y U</t>
  </si>
  <si>
    <t>Tomas y U Francisco</t>
  </si>
  <si>
    <t>…Mayo. Ebcuartel general de brigadieres báron de Meer y D. Cristóbal Linares, asi como los eefes de pijna Huarte Araqu l. Sorprendido hasta el mas alto grado al examinar hoy algunas «mayor de sus respectivas columnas los coroneles D. Tomas y U. Francisco d; las cananas y fusiles del primer batallón , no he pr-d*do menos de manifes Yarto, y los demás gefes y oficiales de los cuerpos y de piaña mayor, coad tar mi descontento é indignación á sus gefcá y oficiales,'conociendo el extre yuvaron , no soló á ejecutar las órdenes que se les comunicaron , si…</t>
  </si>
  <si>
    <t>Francisco, Vicente Cuenca y D</t>
  </si>
  <si>
    <t>Vicente Cuenca y D Francisco</t>
  </si>
  <si>
    <t>…aunque sin prevención alguna recelábamos dé capital y sus hospitales, ya en los pueblos de la provincia invadidos, para don los buenos resultados, porque estamos convencidos de que las afistoloquias no de salen hoy los profesores D. Vicente Cuenca y D. Francisco í njtrnev Lon poseen otra virtud sobré la economía que la emenagoga, tal cual vez la aborti el exclusivo objeto de administrar los polvos de las viboreras y recoger expe va , y siempre la incitante: con mas energía según su escala.de aristoloquia, riencias , nos den suficientes á sancionar de canon…</t>
  </si>
  <si>
    <t>Franciscon</t>
  </si>
  <si>
    <t>…os de dicha provincia*que,aun padecían aquella enfermedad, con- res y deuias personas que lacrean con derecho á Ips bienes de 1* icstameiifatía del se tippámfo.^tów^^^WiléntitMíiíRl Berípáo.descqndvjite en aquella capital. ñorque D.,Franciscon&lt;¿ se hayan presentadode C^barrús,hastacondeahoraque» y fuecuyosdelcréditossnisipo. notitulo,han sido’reconocidosespecialmente á porlos V -----í-'--------- que juzgado para de á estos mismos, síndicos, lo hagan los Sr. teniente dicho ó en el 'ti &amp;1 'WMhW.IfTIBteOk, SAl.tR '.'V“¿*u de la Gloria, ® Po…</t>
  </si>
  <si>
    <t>FranciscoRamón</t>
  </si>
  <si>
    <t>’ na groa plano de la de Cuajan, que «a la capital 4* ' xjlñam^sq aftista vlqtbas Jones que hubia deicomlruír los referidos ittstrumenJ€33 por su actual gobernador D. FranciscoRamón de^ijlalijbnp. Jp^destg tot.quje ton un «írcutn mural de seis pies de diámetro , un anteojo meridiano modo se adelantada geografía de nuestras posesiones, y se fací uta el trato y 6 de pasages y im péndulo real, en el tiempo de dos años, y por el precio comunicación entrenuestros.españoles, aunque sep…</t>
  </si>
  <si>
    <t>FranciscoRamón, D</t>
  </si>
  <si>
    <t>D FranciscoRamón</t>
  </si>
  <si>
    <t>FranciscoVilloldo</t>
  </si>
  <si>
    <t>…, podríanhaber*idocurada$ ^ intrecando l tiempo loe«ffilt&lt;*deIa Me bellos del regimiento del Rey, 1° de línea, al mando del alférez graduado de dicina, y no obstinándose en permanecer én sus estrechos y sucio §)í&gt;*rgUej. teniente D.. FranciscoVilloldo; que este llegó i laí cuatro de la tardp del 22 tío ha fallecido hasta ahora una solapersnnadelax qua dirfruran Ai al referido Aleonar donde estaba la facción, la que fue sorprendida de tal modo, comodidades. . ... , 1... &gt; que no tuvo tiempo para fugarse,' habiendo sido cargada con tan extraordina…</t>
  </si>
  <si>
    <t>FranciscoVilloldo, D</t>
  </si>
  <si>
    <t>D FranciscoVilloldo</t>
  </si>
  <si>
    <t>…a. muerto, podríanhaber*idocurada$ ^ intrecando l tiempo loe«ffilt&lt;*deIa Me bellos del regimiento del Rey, 1° de línea, al mando del alférez graduado de dicina, y no obstinándose en permanecer én sus estrechos y sucio §)í&gt;*rgUej. teniente D.. FranciscoVilloldo; que este llegó i laí cuatro de la tardp del 22 tío ha fallecido hasta ahora una solapersnnadelax qua dirfruran Ai al referido Aleonar donde estaba la facción, la que fue sorprendida de tal modo, comodidades. . ... , 1... &gt; que no tuvo tiempo para fugarse,' habiendo sido cargada con tan extraordina…</t>
  </si>
  <si>
    <t>Francjtco, Inflate D</t>
  </si>
  <si>
    <t>Inflate D Francjtco</t>
  </si>
  <si>
    <t>…quisiera pregante! de quéalivio podría servir _ fantes no tenuo necétidad de ier declarados tales. 7S® du éo*£¡tíí tÍ¿'’cbtíÍT ibucSope«. Ei clero que'deberí ser bjencárt©,, .mu- . ’»En este casereitaizte,rápecto dé loe hijos dél;Sr. ¡Inflate D- Francjtco. cho vtmt íi'tieéotísidera que Ul‘rebaja recae «obre;uaas personas que ciertamen Bien sé "qué se dice qop algunos de ellos, están ya recoaocidea como Infantes, te merecen tddo nüéstro m i raOHento.Loi ierricio, del Sr. Iaf&lt;uite.£). Francis- porque asi lo &lt;tbpuso;‘f&gt;- 'Férñando %«. No lo niego*•ni me…</t>
  </si>
  <si>
    <t>Franclc-Carré</t>
  </si>
  <si>
    <t>…casa del conde de Bcthune fue horroroso: los des- mera instancia de León, haciyndot.de ahogado gqtryral , con encargo de sustituir P°¡os füeron llevados y repartidos en la plaza de Saint-Gery. en ausencia del fiscal general, y al.Sr. Franclc-Carré sustituto de nuestro fiscal general en el tribunal .real de Ptriy, haciendo dé süstituto dél fiscal general', y . La Union dice • Ayer se h izó un registro e* varias casas particulares, qué estos tres individuos’comp'óndfátf’él estrado de riueitro tribunal de los Pares. ha producido «( descubrimien…</t>
  </si>
  <si>
    <t>Franco, Baltasar</t>
  </si>
  <si>
    <t>Baltasar Franco</t>
  </si>
  <si>
    <t>….. looü......................................... Idem. cuadrados superficiales, y está tasada últlmameute por el arquitecto dei Reai sitio 13,383.............v. loco...................................... . S. Fernando- deAranjuez D. Baltasar Franco, en la cantidad de 143,50^ rs. y 264 mrs., de los que 518.................. 1000......................................... Algecira». se han de rebajar las cargas que peseo soore la mNtau. Quien quisiere hacer postura acuda ante el Sr. alcalde de corte. D. Antonio Josef Galindo, por la escribanía de…</t>
  </si>
  <si>
    <t>Franco, Ludo</t>
  </si>
  <si>
    <t>Ludo Franco</t>
  </si>
  <si>
    <t>…los nomina- oro, plata, felpilla, plumas, paja, ballena, cera, concha &amp;c., con el arte de plu Jes de las acciones ó testimonios literales de los mismos bajo de lac dos carpe mista , por M-d. Cetuart, y traducido al castellano por D. Ludo Franco de ia Selva, tas como en los dividendos anteriores. adornado con una lamina. Un tomo en 8.°, se hallará con los demas manuales de Con estos documentos y exhibición del poder que tengan ó hayan presen—. ciencias y artes que hasta ahora hay traducidos, eo Madrid en las horarias de Cues ta y Sánchez, á 1…</t>
  </si>
  <si>
    <t>Francólocales</t>
  </si>
  <si>
    <t>…siendo si cabe Manuel (hijo), "Víñals, Hubert, Carrillo ManriqueGonzález (D. Juan de mas interes general ó nacional que el canal, se costean no solo con arbitrios Gualberto), Pízarro, Heredia , Santafé, Torres Solanot, Serrano ( D. Francólocales» sino con imposiciones generales á los distritos ó provincias. La de Va co), Fernandez Blanco, Mantilla, Fieix , Ciscar (D- Ramón), marques de lencia hace 40 años paga una imposición para el Grao, y en muchísimo tiem Someruclos, Olmedilla,.Calderón de la Barca, Gargollo, .Martel, Paez Japo ni siqui…</t>
  </si>
  <si>
    <t>Franeísco</t>
  </si>
  <si>
    <t>…competente á la Corporación. Fueron notables igualmente las ilu , E! Excmo. Sr. consejero, de Estado, regidor alférez Real de esta fidelísima minaciones de las casas de las principales autoridades, corporaciones y particucapital, D. Franeísco dc Arango^ Parreño, queriendo solemnizar del modo larespudientes, asi como las de los buques de: la Real armada, que, en espe- /I mas espléndido que le fuese posible el fausto acontecimiento en que había des otal el hermoso navio Héroe f estaban vistosísimos y empavesados de un modo empeñado p°r &amp;u…</t>
  </si>
  <si>
    <t>Franeiseb</t>
  </si>
  <si>
    <t>…comunicareis i quien corresponda, er Esti rubricado'de la lo coattmioareis i quien corresponda. eéEstí rubricado de la Real Real mano.—fcn Aranjuez á 3tí de Marzo d* 1834-esA D. Ni-* tmvanstsBn Aranjuez á 3o de Marzo -de 1834 = A D. Franeiseb colas María Garelly. .. ...... * Martínez de la Rosa. &lt;■ *»• »í .........u. III. b i Pbra 1* plaza de Secretario del cónsefó Real dé España é In Para la plaza de decano de la sección de Gtacia y Justicia ¿féT dias, creado por decreto de ¿í del presente, vengo en nombrar 4 Contejo Real de España é I…</t>
  </si>
  <si>
    <t>Franquía, D Juan Antonio Cologró y</t>
  </si>
  <si>
    <t>D Juan Antonio Cologró y Franquía</t>
  </si>
  <si>
    <t>…y le ofrece una guía que indique las Sr. Di José Quintana Llarcna. . - ; / principalesayuda de estosfuenteseleinehtos,en que debentodos adquirirlos que debet*mas profundossufrir unconocimientos.examen en queEnsolofin,secontrateJa Sr. D. Juan Antonio Cologró y Franquía# de las general idades de la ciencia, podrán prepararse á él de un modo pronto, poco pe $t&gt; marques de Viiiofuerte. noso, y al mismo tiempo agradable. — -Nueva y completa gramática italiana, explicada en español, dividida en dos tro PROVINCIA CB CUBKCA. tados; el l.° contiene el modo de hablar toscano…</t>
  </si>
  <si>
    <t>Franquía, Juan Antonio Cologan y</t>
  </si>
  <si>
    <t>Juan Antonio Cologan y Franquía</t>
  </si>
  <si>
    <t>…declaren como derechos fundamentales, ca , en reemplazo del Sr. conde de Toreno, que optó por la de Oviedo: de la los que contiene la petición siguiente.” Asi se aprobó, quedando los arríen de lo: Sres. D. José Quintana Llarena, D. Juan Antonio Cologan y Franquía los que aquella comprendí» en los términos en que lo habían sido en las dis y Sr. marques de Villafueite, por las islas Canarias; y las de D. José Seinsjut cusiones respectivas á los mismos. y D. Esteban de Ayala, por la de Pueito-Rico. ’ El Sr. García Carrasco leyó el siguiente dictámen de la comisión…</t>
  </si>
  <si>
    <t>Franquía, Juan Antonio Cologró y</t>
  </si>
  <si>
    <t>Juan Antonio Cologró y Franquía</t>
  </si>
  <si>
    <t>…ofrece una guía que indique las Sr. Di José Quintana Llarcna. . - ; / principalesayuda de estosfuenteseleinehtos,en que debentodos adquirirlos que debet*mas profundossufrir unconocimientos.examen en queEnsolofin,secontrateJa Sr. D. Juan Antonio Cologró y Franquía# de las general idades de la ciencia, podrán prepararse á él de un modo pronto, poco pe $t&gt; marques de Viiiofuerte. noso, y al mismo tiempo agradable. — -Nueva y completa gramática italiana, explicada en español, dividida en dos tro PROVINCIA CB CUBKCA. tados; el l.° contiene el modo de hablar toscano ó se…</t>
  </si>
  <si>
    <t>Frao</t>
  </si>
  <si>
    <t>…de mí aviso» sin detenerse mas que para entregar los prisioue- -------Elementos de equitación militar para el uso de la caballería espafiola, escritos pa ra los alumnos de )a Real escuela militar de equitación de esta corte, por D. Frao- *&lt;a hechos al enemigo y \6 nuestros rescatados» marchó inmediatamente a so- cisco de la Iglesia y Darrac. Un tomo én 4,0 coa láminas, edición de 1819, á 30 rs. guarnición, cuyo re*ult#4o ha sido el qií* contten# el parte que en pasta, 34 «□ rústica y 22 en rama. nrsgtnel rinfcluyo á V. H» —Sátira c…</t>
  </si>
  <si>
    <t>Fraocis</t>
  </si>
  <si>
    <t>…are la reclusión en-un conVeiñov» m iajuaite liatói; D. Manuel Alonso, capellán de Salinas de Aña na; D. Isido dos años repasará de seis. 4* Eos qué á sabienda* j1 [ópn*. • ro Azcué, capellán salmista de la colegial de Valpuesta; D. Fraocis- taren láfcásaén qué vivan, a otro edífiéío qué tuv , Cándido Marín, capellán de Fresneda de la Sierra; y D. Melchor sicion, bien sea como propietario,"bien como.itqttiHM-, WcfyepMao' de Teran, acólito beneficiado de Porquera de los Infantes. Y es mi - administraJcÑés, 6 por cualquier otro título, p…</t>
  </si>
  <si>
    <t>Fratictscó</t>
  </si>
  <si>
    <t>…egamos Jas consigna tan sido también tomadas en consideración por ia conúsiori tajo varios íspocciones que paga la mismá.tesorería ¿ ciertos establecimientos de cducaciony ca - toa No ha olvidado al tratar de la del Sr. .Infante -D.-Fratictscó los servicie* sas de beneficencia, cuya utilidad no entro ¿ examinar, aun serán mayores las prestados por S. A. á la causa pública; y queriendo dar un testimoniodel sumas de los gastos, (a autoridad Real necesita hacer muchos para atraerse el 'aprecio que le:merecen, aunque ha rebajado á tres millones…</t>
  </si>
  <si>
    <t>Fray, Manuel</t>
  </si>
  <si>
    <t>Manuel Fray</t>
  </si>
  <si>
    <t>…toros que ie | He venido en jubilar al R. Patriarca de las Indias D. Antonio Alluc; verifique en las capitales de provincia y en las ciudades en que hav establecí- I liombrando para esta dignidad y para las que le están anejas á D. Manuel Fray- das maestranzas, de 160 en las demas ciudades y villas, y de 100 por cada cor- I lie, obispo de Sigüenza. Tendréólo entendido, y dispondréis lo necesario á su rida de novillos, destinados á la subsistencia de aquella escuela, ingresarán en 1 I cumplimiento.=Está rubricado de la Real mano.=En Aranjuez á…</t>
  </si>
  <si>
    <t>Frayle, Manuel</t>
  </si>
  <si>
    <t>Manuel Frayle</t>
  </si>
  <si>
    <t>…os. de Febrero de 1834&lt;:=^r3nalBe.=^res. directores generales de Rentan Teinímdbtíft éoftsicférácton las eminentes virtudes que distinguen al patriar KINlSTfiAJO DEL FOXEKTO CKNEJLAX DKt XEXKO. ca dí ls^triiñas bbíspO de Sigüenza D. Manuel Frayle, y queriendo darle un testíintÉfíib^iJte'mi Reaf aprecio; he venido en conferirle, en nombre de mi cara Real otden. v augusta H^ja, Í3f dignidad dfc gran canciller déla Real Orden de Carlos ni. He dado cuenta á S. M. la Reina Gobernadora de las dudas que han ocur'Teádras}o&lt;¿ntén&lt;fido^ 7 dispondréis…</t>
  </si>
  <si>
    <t>Freiges, Francisco</t>
  </si>
  <si>
    <t>Francisco Freiges</t>
  </si>
  <si>
    <t>…domingos , y se había trasladado á los sábados en perjuicio cia de Gerona D- Serafin Cbavier con fecha 6 de Abril último. de la comarca. Ha reconocido con un facultativo las obras proyectadas sobre los ríos Ter Hadado comisión á D. Francisco Freiges para que examine una mina de y Daró, ha pedido un ingeniero hábil que pueda continuarlas, ha procurado carbón de piedra en el término de Tarroja , y otra en el de Vilella baja, y que se domicilien en aquella provincia algunos arquitectos aprobados, y ha mandará reconocer unas canteras de mármol neg…</t>
  </si>
  <si>
    <t>Freír, Agustín José</t>
  </si>
  <si>
    <t>Agustín José Freír</t>
  </si>
  <si>
    <t>…y el ministro de Justicia corroboran'el pa Dios guarde á V». E. Cuartel general de Cartaxo 22 de Febrero da 1834 = recer. dejos Sres. Petit y Realier; los contradicen los Sres. Taillandier y De El conde de Saldaña.=Ilmo. y Excmo. Sr. Agustín José Freír*. vaux, y la Cámara resuelve que no se discutan los artículos de la proposición. Estado que se citk en el parte anterior. Se levanta la sesión. PORTUGAL. Muertos. Un sargento, un tambor y 27 cabos y soldados." Lisboa 24 de Febrero. Heridos. Un coronel, 2 rnayoreé, 6 capitanes, 9 tenientes, 9 subten…</t>
  </si>
  <si>
    <t>Freiré, A J</t>
  </si>
  <si>
    <t>A J Freiré</t>
  </si>
  <si>
    <t>…aun legalmente constituida, podía tomar conocimiento sobre este aquella capital disminutan progresivamente dos estragos de la enfermedad, la negocio. ^cual seguía su curso ordinario en Aranzueqiie4 Bp buega, Yebra, Marchámalo El Sr. A. J. Freiré sostuvo que la Cámara, en el estado en que se halla y Tórtola, siendo de notar que los pueblos que se habían aislado tomando me ba, está legalmente constituida para aprobar ó no este parecer; y de la misma didas extraordinarias de precaución, se habían consternado «tanto que «1 abatí— opinión fuero…</t>
  </si>
  <si>
    <t>Freire, Agustín</t>
  </si>
  <si>
    <t>Agustín Freire</t>
  </si>
  <si>
    <t>…esgraciadamente hicieron a tiempo, Con fecha 25 de Enero corriente participa el conde de Saldanha desde su y se reembarcaron protegidos por alguna artillería que tenían en U parte mcu- ♦uartel general de Torresnovas al Excmo. Sr. D. Agustín Freire, que habiendo dional dei Tajo. Entre tanto se tiraban algunos cañonazos de una parte a otra dejado el mando de la plaza de Leiria al teniente coronel Vasconcelos, se tras- en el' puente de Asscca; pero el enemigo presentaba tan poca fue iza v peleaba “fttJó el dia 24 con la fuerza de su mando á la…</t>
  </si>
  <si>
    <t>Freiré, Agustín José</t>
  </si>
  <si>
    <t>Agustín José Freiré</t>
  </si>
  <si>
    <t>…straron los soldados das como brutales y fieras sus pasiones. de esta expedición. Cuartel general de Cartaxo 6 de Marzo de 1834- Pero ¡debiéramos haber leído en un escrito de esta capital que =E1 conde de Saldaña-zcllmo. y Excmo- Sr. Agustín José Freiré. esta cobardía y miedo, que los facciosos atribuyen á nuestro go limo. Sr.; Doce dias hace que esperaba la ocasión segura para bierno , no los atribuyen sin fundamento! ¡ Cuál puede ser ese fun destacar una fuerza á la aldea de Cruz, y batir á los realistas de damento'. ¡La clemencia que se ha usado…</t>
  </si>
  <si>
    <t>…. E. Se levanta la sesión. para que se sirva elevarlo al conocimiento de S. M. L Dios guarde á V. E.zr IDBH DB IOS Sesión del dia 18. Cuartel general de Cartazo i J8 de Febrero de 1834-=Excmo. Sr^sEI conde de Sal daña.=Excmo. Sr. D. Agustín José Freiré. (Diario mercantil de Cádiz.') El conde Abnal lee el informe de la comisión que ha examinado el pro yecto de ley relativo al aumento del cuerpo de gendarmas. La Cámara manda Madrid S de Marzo. que se imprima y distribuya para discutirlo en ia sesión del dia 21 del cor— •xieote. El ayuntamiento y vec…</t>
  </si>
  <si>
    <t>…mitación de las instituciones de estos dc« remos, á cuia política, tanto inte Estado ^ del Despacho de la Guerra, á 4 de de 1834- —limo, y Exce rior como exterior, supone sometidas á España y Portugal. Estas acusaciones lentísimo Sr.= Agustín José Freiré-=:llmo,‘y Excmo. Sr. Benito Pcreira do proceden de la habilidad reconocida de la Gateta de Fran.ia en I3 diploma Carmo. C Zd-&gt; cia de los partidos: porque no ignora que los emanóle' somos quizá mas aman-« tes de la independencia nacional que niocün otro pueblo civilizado; y asi piigna por desacredit…</t>
  </si>
  <si>
    <t>…ir para el mismo pun tumbres antiguas , y restablecido por el Estatuto, es cí de los Pro to. Dios &amp;c. Beja 25 de Marzo de 1834—Baron de Sá.=Iiustns¡- curadores del reino. Su poder es en cierta manera independient* mo y Excmo. Sr. D. Agustín José Freiré. (Crónica Constitucional del trono, en la parte que es activo, á saber; la Votación de lo* de Lisboa.) impuestos. Pero este no es un poder político, sino'civil y de jus ESPAÑA. ticia universal: asi como lo es la independencia de los jueces, que deben estar sometidos no á los hombres ni á las circuns…</t>
  </si>
  <si>
    <t>Freire, D Agustín</t>
  </si>
  <si>
    <t>D Agustín Freire</t>
  </si>
  <si>
    <t>…ue desgraciadamente hicieron a tiempo, Con fecha 25 de Enero corriente participa el conde de Saldanha desde su y se reembarcaron protegidos por alguna artillería que tenían en U parte mcu- ♦uartel general de Torresnovas al Excmo. Sr. D. Agustín Freire, que habiendo dional dei Tajo. Entre tanto se tiraban algunos cañonazos de una parte a otra dejado el mando de la plaza de Leiria al teniente coronel Vasconcelos, se tras- en el' puente de Asscca; pero el enemigo presentaba tan poca fue iza v peleaba “fttJó el dia 24 con la fuerza de su mando á la…</t>
  </si>
  <si>
    <t>Freiré, D Agustín José</t>
  </si>
  <si>
    <t>D Agustín José Freiré</t>
  </si>
  <si>
    <t>…ía V. E. Se levanta la sesión. para que se sirva elevarlo al conocimiento de S. M. L Dios guarde á V. E.zr IDBH DB IOS Sesión del dia 18. Cuartel general de Cartazo i J8 de Febrero de 1834-=Excmo. Sr^sEI conde de Sal daña.=Excmo. Sr. D. Agustín José Freiré. (Diario mercantil de Cádiz.') El conde Abnal lee el informe de la comisión que ha examinado el pro yecto de ley relativo al aumento del cuerpo de gendarmas. La Cámara manda Madrid S de Marzo. que se imprima y distribuya para discutirlo en ia sesión del dia 21 del cor— •xieote. El ayuntamiento y vec…</t>
  </si>
  <si>
    <t>…salir para el mismo pun tumbres antiguas , y restablecido por el Estatuto, es cí de los Pro to. Dios &amp;c. Beja 25 de Marzo de 1834—Baron de Sá.=Iiustns¡- curadores del reino. Su poder es en cierta manera independient* mo y Excmo. Sr. D. Agustín José Freiré. (Crónica Constitucional del trono, en la parte que es activo, á saber; la Votación de lo* de Lisboa.) impuestos. Pero este no es un poder político, sino'civil y de jus ESPAÑA. ticia universal: asi como lo es la independencia de los jueces, que deben estar sometidos no á los hombres ni á las circuns…</t>
  </si>
  <si>
    <t>Freiré, D Manuel</t>
  </si>
  <si>
    <t>D Manuel Freiré</t>
  </si>
  <si>
    <t>…ue vadamente con cada'opositor en el párage que se determine. Los censores cali los reemplacen en propiedad. (Id.) ficarán el mérito respectivo de los aspirantes en el momento que -acabe cadá Real decreto concediendo al teniente .general ,D. Manuel Freiré el tituló do ejercicio, fundándose en la aptitud que cada uno haya manifestado en el con marques de S. Marcial para sí y sus sucesores. (Núm. 189.) curso^ y en los méritos Particulares que haga cónstar en debida-forma. Real órdén declarando que los gefes ida todas Jas dependencias de Hacienda La do…</t>
  </si>
  <si>
    <t>Freire, D Manuel</t>
  </si>
  <si>
    <t>D Manuel Freire</t>
  </si>
  <si>
    <t>…el decreto de la Convocatoria á Cortes y elecciones, y las Reales órdenes de 24 de los expedientes que siguen. y 27 de Mayo último. Uno del Excmo. Sr. marques de Castroterrcño, cuyos documentos encon Se leyó un oficio del Excmo. Sr. D. Manuel Freire, excusándose de no ha tró conformes, y fueron aprobados. ber podido asistir á la sesión Regia por hallarse de cuartel y de guardia á Otro del Excmo. Sr. marques de Albayda, quien habiendo mejorado la SS. MM; y ademas encargado del mando del cordon sanitario de San Ilde prueba de la condición 3.a, l…</t>
  </si>
  <si>
    <t>Freiré, Manuel</t>
  </si>
  <si>
    <t>Manuel Freiré</t>
  </si>
  <si>
    <t>…nte con cada'opositor en el párage que se determine. Los censores cali los reemplacen en propiedad. (Id.) ficarán el mérito respectivo de los aspirantes en el momento que -acabe cadá Real decreto concediendo al teniente .general ,D. Manuel Freiré el tituló do ejercicio, fundándose en la aptitud que cada uno haya manifestado en el con marques de S. Marcial para sí y sus sucesores. (Núm. 189.) curso^ y en los méritos Particulares que haga cónstar en debida-forma. Real órdén declarando que los gefes ida todas Jas dependencias de Hacienda La do…</t>
  </si>
  <si>
    <t>…sta réplica en cuanto á que Jos canónigos y prebendados de Santiago debían tado en manos de este igual, juramento el Exea». Sr. marques de S. Marcial satisfacer en su traslación la parte de derechos respectiva al aumento de renta D. Manuel Freiré: otro en que el Sr. duque de Almodovar acusaba desde qüe adquiriesen por la opcion; pe^o en cuanto á exigirles el pago en la tota Córdoba el recibo de la circular de 9 de Agosto haciendo présente que por, lidad manifestaron que no conceptuaban que la Caja tuviese derecho á ello , so- el mal estado…</t>
  </si>
  <si>
    <t>…ivi.; obispo de Vailadolid, ausente; cónde Montenegro; D. Gerónimo Valdes; D. Luís Balanzat; prímópe de Anglona; del Venadito, presente; duque de Veraguas, id.; D. Gaspar -Vigoáet, ídem; conde Armildez de Toledo; D. Miguel Tacón; D. Manuel Freiré; D. Caye marque» de VüUfucrtcs, id.; y duque de Zar.i¿o^a. tano Valdés; marques del Cerro; conde de Villanueva , y D. Jacobo María de El br. Presidente del Consejo de Mu.isiro» ie\ó un Real decreto expedi ^arga , con Real licencia. do por crl Sr, Secretario de Grdcia y Justicia, por d cual *c digna…</t>
  </si>
  <si>
    <t>Freire, Manuel</t>
  </si>
  <si>
    <t>Manuel Freire</t>
  </si>
  <si>
    <t>…decreto de la Convocatoria á Cortes y elecciones, y las Reales órdenes de 24 de los expedientes que siguen. y 27 de Mayo último. Uno del Excmo. Sr. marques de Castroterrcño, cuyos documentos encon Se leyó un oficio del Excmo. Sr. D. Manuel Freire, excusándose de no ha tró conformes, y fueron aprobados. ber podido asistir á la sesión Regia por hallarse de cuartel y de guardia á Otro del Excmo. Sr. marques de Albayda, quien habiendo mejorado la SS. MM; y ademas encargado del mando del cordon sanitario de San Ilde prueba de la condición 3.a, l…</t>
  </si>
  <si>
    <t>Freite, Manuel</t>
  </si>
  <si>
    <t>Manuel Freite</t>
  </si>
  <si>
    <t>…no de la sec No siendo compatible con la repta administración de justicia la ción de Hacienda del mismo Consejo; D. Fr.-Ilijtólito Sánchez doble representación de juez y parte que tienen los interventores Rangel , ohispo de Lugo; D. Manuel Freite .teniente general de con respecto á los intereses de las casas intervenidas, ni la inhibi los Reales ejércitos, comandante general de la Guardia Real de ca ción de los acreedores de estas en el manejo é inversión de las ren ballería; p. Toméis González Carvajal, intendente de ejercito, é in tas del…</t>
  </si>
  <si>
    <t>Frerre, Agustín Josef</t>
  </si>
  <si>
    <t>Agustín Josef Frerre</t>
  </si>
  <si>
    <t>…orden para que toda la tropa de línea disponible en Lisboa Dios &amp;c. Cuartel general de Temes 3 31 de Enero de 1834=Conde de marchase 4 Cartaxo, asi como todos los solteros de ia guardia nacional faji, y Saldanha.=Ilmo. y Tierno.. Sr. Agustín Josef Frerre. (Suplemento á la Crónica el almirante Napier con los soldados de marina: lodos a mas tardar deben salir df Lisboa de 3 de Fe-breve.') mañana, y compondrán de 22ou á 24bO hombres, Jos cuales con 12$de bue ------ Con fecha de ayer í las tres de la tarde nos escriben desde Cartaxo lo na tropa'que tien…</t>
  </si>
  <si>
    <t>Fretre, Gabriel</t>
  </si>
  <si>
    <t>Gabriel Fretre</t>
  </si>
  <si>
    <t>…dido en cada extracción á las huérfanas D. Diego del Camino, D. Manuel Pendo, D. Marcelino de la Torriente, Don de militares y patriotas que murieron en defensa de la justa causa de la nación Diego del Castillo, D. José Cabello y D. Gabriel Fretre .concurrieron á en la guerra de la independencia, inclusas las de los víctimas del 2 de Mayo la expedición que desbarató los proyectos de Arroyo sobre aquella parte de la- de 1808 en Madrid , ha cabido en suerte con el primer extracto de la de esta precitada provincia, en la cual pretendía rehacers…</t>
  </si>
  <si>
    <t>Fretre, José Cabello y D Gabriel</t>
  </si>
  <si>
    <t>José Cabello y D Gabriel Fretre</t>
  </si>
  <si>
    <t>…2500 rs. vn. concedido en cada extracción á las huérfanas D. Diego del Camino, D. Manuel Pendo, D. Marcelino de la Torriente, Don de militares y patriotas que murieron en defensa de la justa causa de la nación Diego del Castillo, D. José Cabello y D. Gabriel Fretre .concurrieron á en la guerra de la independencia, inclusas las de los víctimas del 2 de Mayo la expedición que desbarató los proyectos de Arroyo sobre aquella parte de la- de 1808 en Madrid , ha cabido en suerte con el primer extracto de la de esta precitada provincia, en la cual pretendía rehacers…</t>
  </si>
  <si>
    <t>Frevilic</t>
  </si>
  <si>
    <t>…dad general de tan leales y honrados súbditos, y en reparar del modo pondrá de los Sres. barón, Meunier, Davillier, duque de Praslin, conde de posible la pérdida, por lo demas irreparable, que todos experimentamos con la Tascher, barón Frevilic, conde Roy y conde d'ArgOut. Se levanta la sesión. falta del inmortal Regente, Padre de la patria y verdadero amigo de ios por tugueses. . . , .:í* címaxa'db los'niPUTAnos^.JVrion de idem. - »M¡ casamiento con el Príncipe Augusto, Duqute de Leuchtemberg y de Santa Cruz, ajustado y concluido bajo ló…</t>
  </si>
  <si>
    <t>Frey, D Manuel</t>
  </si>
  <si>
    <t>D Manuel Frey</t>
  </si>
  <si>
    <t>…se habían hallado ya antes al servicio de la Sajonla, y que ral de caballería á la comandancia general de la Guardia Real de ténian oficiales que le conocían á fondo. Ahora se asegura que d la misma arma que desempeña el teniente general D. Manuel Frey- combate á la bayoneta se va á introducir cü todos los regimientosre, reservándose recompensar los dilatados y buenos servicios del (Corresp. de Nuremburgo.') de igual clase D. Diego Ballesteros, de cuyo zelo está muy satis ALEMANIA. • ' fecha. Kiel (Holstein) 6 de Marzo. | Asimismo se ha dignado co…</t>
  </si>
  <si>
    <t>Frey, Manuel</t>
  </si>
  <si>
    <t>Manuel Frey</t>
  </si>
  <si>
    <t>…n hallado ya antes al servicio de la Sajonla, y que ral de caballería á la comandancia general de la Guardia Real de ténian oficiales que le conocían á fondo. Ahora se asegura que d la misma arma que desempeña el teniente general D. Manuel Frey- combate á la bayoneta se va á introducir cü todos los regimientosre, reservándose recompensar los dilatados y buenos servicios del (Corresp. de Nuremburgo.') de igual clase D. Diego Ballesteros, de cuyo zelo está muy satis ALEMANIA. • ' fecha. Kiel (Holstein) 6 de Marzo. | Asimismo se ha dignado co…</t>
  </si>
  <si>
    <t>Freyre, D Manuel</t>
  </si>
  <si>
    <t>D Manuel Freyre</t>
  </si>
  <si>
    <t>…orona ha producido una grande impresión. S. M. no he pitán de Guardias; de su servidumbre y comitiva. Adelantóse á rc_.birla cn disimulado las esperanzas de desorden que todavía abrigan las facciones, y las este punto el teniente general D. Manuel Freyre , capitán general de Ca^túla !a intriga»-de sus agentes para causar una revolución que seria mas social que po Nueva, que cñ virtud de Real orden tenia el ñutido de todas las tropis du lítica. El primer objeto dé sus perversos designios seria la persona del Rey por rante el acto de la revista; el c…</t>
  </si>
  <si>
    <t>Freyre, Manuel</t>
  </si>
  <si>
    <t>Manuel Freyre</t>
  </si>
  <si>
    <t>…producido una grande impresión. S. M. no he pitán de Guardias; de su servidumbre y comitiva. Adelantóse á rc_.birla cn disimulado las esperanzas de desorden que todavía abrigan las facciones, y las este punto el teniente general D. Manuel Freyre , capitán general de Ca^túla !a intriga»-de sus agentes para causar una revolución que seria mas social que po Nueva, que cñ virtud de Real orden tenia el ñutido de todas las tropis du lítica. El primer objeto dé sus perversos designios seria la persona del Rey por rante el acto de la revista; el c…</t>
  </si>
  <si>
    <t>…encias de Hacienda de las mismas. REAL DECRETO. Dios guarde á V. SS. muchos años. Madrid 31 de Julio de 1834.=: He venido en conceder al teniente general de mis Reales ejér Toreno. =Sres. Directores generales de Rentas (I). citos D. Manuel Freyre la merced de título de Castilla para sí, sus hijos y sucesores bajo la denominación de marqués de S. Marcial, y en premio de su constante fidelidad y señalados servicios. Tendréislo PARTE NO OFICIAL. entendido, y dispondréis lo necesario á su cumplimiento.=:Esl.i rubri NOTICIAS EXTRANGERA&amp;, cado de la…</t>
  </si>
  <si>
    <t>Frías</t>
  </si>
  <si>
    <t>…rlo, sin que se ofen partamentos á sus mas íntimos amigos. La escolta del presidente ¡era hechura diese su hermano. suya, lo mismo que la mayor parte de los edecanes del gobierno, y todo el Este se presentó con la renuncia que el general Frías hizo d- la Prefectu servicio del palacio. No podía el gefe supremo dar un paso, sin que lo supiese ra de Avacucho. Ll&gt;s prefectos interinos deben nombrarse de las temas, r no el general Gamarra: en fin, la revolución estaba hccna, y no se apuraban a había en ellas otro expedito que el coronel Zubia…</t>
  </si>
  <si>
    <t>…talento, derrota, seguida1 de una gran ¿Jisj&gt;cís¡Djj y de/la¡'f&amp;fjji&lt;£ildc 3fl^™ombres. Xa uno de lo^ cuales esta^ntre1 nosotros, sin cuya cooperación hubieran sido'in- del cnemJ^O’fue,'poca, pero entre los muertos se encontró al general Frías, vi fructuósos. mis cojaaísifeS^^iea/ui apoyado .por la confianza’qti¿ me dispensó da y alma dé la i facción. „ ' el Soberano, aunque nada hubiera sido suficiente, si no hubiera tenido á mi fa-r / '. A pesaVde’ este rebes, parece que posteriormente Tos desastres de'Lima se Tor, en medio de dificult…</t>
  </si>
  <si>
    <t>Frías, D Ramón</t>
  </si>
  <si>
    <t>D Ramón Frías</t>
  </si>
  <si>
    <t>…ción que quedó conmigo en el centro, compuesta de mis cazadores y algunos fusileros, venían el capitán D. Mateo bolsa de hoy á las tres de la tarde. comercio.deEFECTOS PUBLICOS. José Cepeda, el subteniente D. Fernando Ferran y el teniente D. Ramón Frías en clase de ayudante mió. Los 20 cazadores de la derecha los manda Inscripciones en el gr3n libro á S p. 100. 00. ba el teniente D. Sebastian Portillo, y íós 27 caballos, cuya inteligente y de Tirulos al portador del 5 p. 100, 59* al contado: 60^ al 15 de Junio ó vol.: 6l al 30 cidida dirección Can…</t>
  </si>
  <si>
    <t>Frías, Juan</t>
  </si>
  <si>
    <t>Juan Frías</t>
  </si>
  <si>
    <t>…to*, Del 26 al 29 Ag. No consta. No constfi. 31 para et uso de los alumnos; por Mr. Capuron (José), en latín y castellano» y aumen Mayorga............... Del 22 al' 2’4 id. 239 Id. 22 tados con notas prácticas por D. Ramón Frau y D.- Juan Frías, doctores en medicina: 4*°» rs. romos á 44 de Marrinez véndense en en la librería Peñafiel................. No consta. No consta. Id. 92 dos ■■ 1 de del Boletín medicina dia 4 del corriente. Trata núm. 14. cirugía y farmacia* Quintanilla de Ar del contagio del cólera; habla de la epidemia actual; C…</t>
  </si>
  <si>
    <t>Frías, Julián</t>
  </si>
  <si>
    <t>Julián Frías</t>
  </si>
  <si>
    <t>…papel, 00. acompañó en el ataque y persecución á la cabera de la caballería y las guerri Acciones del banco español* OCX llas, y comunicó mis órdenes con actividad admirable. El subteniente del pro CAMBIO*. vincial de Ciudad Real D. Julián Frías, cuyo valor y decisión por la causa Amsterdara, 00. Paris* 16-1. Cádiz, ti k iba de S. M- he recomendado en otras ocasiones. Es igualmente digno de toda re Bayona * 00. Alicante, k corto pla Corona, | d. muneración el sargento l.° distinguido del 13 de línea D. Agustín GaiIIca Burdeos * 00. zo, par…</t>
  </si>
  <si>
    <t>Frías, Ramón</t>
  </si>
  <si>
    <t>Ramón Frías</t>
  </si>
  <si>
    <t>…quedó conmigo en el centro, compuesta de mis cazadores y algunos fusileros, venían el capitán D. Mateo bolsa de hoy á las tres de la tarde. comercio.deEFECTOS PUBLICOS. José Cepeda, el subteniente D. Fernando Ferran y el teniente D. Ramón Frías en clase de ayudante mió. Los 20 cazadores de la derecha los manda Inscripciones en el gr3n libro á S p. 100. 00. ba el teniente D. Sebastian Portillo, y íós 27 caballos, cuya inteligente y de Tirulos al portador del 5 p. 100, 59* al contado: 60^ al 15 de Junio ó vol.: 6l al 30 cidida dirección Can…</t>
  </si>
  <si>
    <t>Frías, Ramón Frau y D Juan</t>
  </si>
  <si>
    <t>Ramón Frau y D Juan Frías</t>
  </si>
  <si>
    <t>…ófica» y dispuesto*, Del 26 al 29 Ag. No consta. No constfi. 31 para et uso de los alumnos; por Mr. Capuron (José), en latín y castellano» y aumen Mayorga............... Del 22 al' 2’4 id. 239 Id. 22 tados con notas prácticas por D. Ramón Frau y D.- Juan Frías, doctores en medicina: 4*°» rs. romos á 44 de Marrinez véndense en en la librería Peñafiel................. No consta. No consta. Id. 92 dos ■■ 1 de del Boletín medicina dia 4 del corriente. Trata núm. 14. cirugía y farmacia* Quintanilla de Ar del contagio del cólera; habla de la epidemia actual; C…</t>
  </si>
  <si>
    <t>Frión</t>
  </si>
  <si>
    <t>…retaría dt Estado y de los Negocios del reino. fXAXCIA. Tengo á bien , en nombre de la Reina, aprobar el programa adjunto fir París? di Agotto. mado por el ministro y secretario de Estado de los Negocio» del reino, para la Bl Sr, conde Frión, nombrado gobernador de Argel, estará de vuelta en sesión Real de apertura de las Córtes generales y extraordinarias de la nación Parts del 7 al 8 del corriente. Sebido es que después de su nombramiento, pasó portuguesa, y mando que se ejecute literalmente fuanto en él se empresa. Tén i Nantes, cab…</t>
  </si>
  <si>
    <t>Frrnando</t>
  </si>
  <si>
    <t>…oles que lo habíamos sido con los los vales Reales; ni Cirios iv al contraer.la deuda de Holanda consultaron á extrangeros , dijo que el mismo inconveniente.había siguiendo el díctámen de ninguna corporación. Admitido , pues, que D. Frrnando vn ó su Gobierno . la mayoría de la comisión , porque aprobando lesta los de las Córtes , y negan pudo haber contraído j&gt;or sí ys ante sí, sin los requisitos que se echán menos, do los otros, la deuda interior, que era tendría que recopocersé. Yo las deudas desde el año 1823 acá,quedará reducida la…</t>
  </si>
  <si>
    <t>Ftrrer</t>
  </si>
  <si>
    <t>…responsabilidad de los Ministros es una cosa que se ve en un siglo, cuando el tándola el Gobierno, como creó que no tendrá dificultad en hacerlo.” excitar una discusión sobre un objeto parecido puede'repetiíse continuamente.” El Sr. Ftrrer: «El otro dia se desechó que el Gobierno estuviese obli El Sr. Secretarlo del Despacho de Hacienda: «Por, lo mismo que sé la gado á dar cuenta á las Córtes cuando movilizase la Milicia; pero ahora se tra práctica de los Gobiernos representativos y conozco las facultades de las Pro ta de un punto ma…</t>
  </si>
  <si>
    <t>Fue, Dr D Francisco Rodríguez Piedra</t>
  </si>
  <si>
    <t>Dr D Francisco Rodríguez Piedra Fue</t>
  </si>
  <si>
    <t>…talla, y corría mezclada la sangre de los fieles con según la ley, debía ser de las temas. El único que en el Callao se hallaba en la de los traidores. Desdé las cuatro de la. tarde hasta las once de la noche du- este caso erá el Sr. Dr. D. Francisco Rodríguez Piedra. Fue, peía, nombrado prefecto interino, y el Sr. Dr. D. Manuel Saravia juez de derecho de Cajámarca, y también diputado, entró á desempeñar la judicatura de este distrito. Era también preciso nombrar un auditor de guerra y marina, y recayó tras ffilas una multitud de pasados y dispersos. Muy pocós llega…</t>
  </si>
  <si>
    <t>Fue, Francisco Rodríguez Piedra</t>
  </si>
  <si>
    <t>Francisco Rodríguez Piedra Fue</t>
  </si>
  <si>
    <t>…corría mezclada la sangre de los fieles con según la ley, debía ser de las temas. El único que en el Callao se hallaba en la de los traidores. Desdé las cuatro de la. tarde hasta las once de la noche du- este caso erá el Sr. Dr. D. Francisco Rodríguez Piedra. Fue, peía, nombrado prefecto interino, y el Sr. Dr. D. Manuel Saravia juez de derecho de Cajámarca, y también diputado, entró á desempeñar la judicatura de este distrito. Era también preciso nombrar un auditor de guerra y marina, y recayó tras ffilas una multitud de pasados y dispersos. Muy pocós llega…</t>
  </si>
  <si>
    <t>Fuen</t>
  </si>
  <si>
    <t>…IOS. Amsterdam , 00. Paris, 16-2 s 3. [Cádiz, Hi |b- [Sevilla. 4 R Bayona , 00. Alicante, a corto pla- [Coruña*, 4 Valencia, id. id. Almazan............. 14 á 21 Setiem. 34 17 5 Burdeos: 00. , ao , 4 b. Gnnad^t id. id. 2arag0ia 4 d. Fuen#lnonge. . . 14 á 17 idem. .. 6 00 00 Ha.nburgo , 00. Barcelona, 4 ps. fs., Málaga« i b. Descuento de letra!, * a 4 id. a 90 días, Santander^-id. id, I 4 4 P* 100 al año. 7 Londres, 9 00 . 14 idem. 9 í ... Radona............... 384. par- | Santiago Bilbao, * | d. 3 11 19 ídem. 17 á .. 17 Utrilla....…</t>
  </si>
  <si>
    <t>Fuente, Angel Esteban de la</t>
  </si>
  <si>
    <t>Angel Esteban de la Fuente</t>
  </si>
  <si>
    <t>…antes asciende i 4609. Ademas de estas seis universidades superiores y efe Pando: para la de Carballó á D. José Vázquez de Parga: para la de los distritos que les están asignados, el presupuesto habla también de cuatro Peñafiel á D. Angel Esteban de la Fuente: para Jal de Piedrabita á nuevos distiitos organizados en los últimos años, á saber: el distrito de la Ru D. José Leocadio Ahumada: para la de Padrón á D. Antonio Galle sia blanca, el de Odessa, el del Cáucaso y el de la Siberia. (G. dt las postor go Moron: para la de Rioseco á D. José Velasco de C…</t>
  </si>
  <si>
    <t>Fuente, Antonio Gutiérrez de la</t>
  </si>
  <si>
    <t>Antonio Gutiérrez de la Fuente</t>
  </si>
  <si>
    <t>…este acontecimiento habían terminado las agitaciones del político que pernos abrazado; pero puedo decir que el principio constante que Perú. ha seguido nuestra administración ha sido mantener el honor del pueblo, y no «El general D. Antonio Gutiérrez de la Fuente había sido destarado 4 ceder 4 otro ninguno la supremacía política. , la América central por el gobierno de Orbegoso.” «Aumjue se nos ha acusado de hacer concesiones 4 la Francia, hemos convertido en. amiga 4 una nación enemiga, y téngase presente, que. mientras -que las teorías nos acusaban aqui d…</t>
  </si>
  <si>
    <t>Fuente, D Antonio Gutiérrez de la</t>
  </si>
  <si>
    <t>D Antonio Gutiérrez de la Fuente</t>
  </si>
  <si>
    <t>…, y con este acontecimiento habían terminado las agitaciones del político que pernos abrazado; pero puedo decir que el principio constante que Perú. ha seguido nuestra administración ha sido mantener el honor del pueblo, y no «El general D. Antonio Gutiérrez de la Fuente había sido destarado 4 ceder 4 otro ninguno la supremacía política. , la América central por el gobierno de Orbegoso.” «Aumjue se nos ha acusado de hacer concesiones 4 la Francia, hemos convertido en. amiga 4 una nación enemiga, y téngase presente, que. mientras -que las teorías nos acusaban aqui d…</t>
  </si>
  <si>
    <t>FuhandJijÜae</t>
  </si>
  <si>
    <t>…brieron conducido , con motivo de hallarse invadida por el colera la ciudad de Lorlos retratos, hasta las tres de la madrugada del siguiente, estuvieron tocando Cü, D. Rafael Sánchez Sarabia, depositario de su junta de Sanidad, v D. FuhandJijÜae música militar, habiendo principiado el baile á las nueve de la noche. genio Fourdimer , superintendente interino de la Real empresa de mzuas en la La que antes se llamab^ plaza del Duque, y desde tan feliz dia glorieta misma ciudad; y enterada c■ &gt;n agrado b. M. de los méritos de dichos indivi de…</t>
  </si>
  <si>
    <t>Fulchiron</t>
  </si>
  <si>
    <t>…uy extraña y Prosigue la discusión general sobre el proyecto de ley relativo singular lo que ha pasado desde la revolución de Jdlio. (Risa iró á las asociaciones. nica en el lado izejuierdo. Una voz del mismo lado: Ks verdad.) El Sr. Fulchiron dice que el proyecto manifiesta que en el Es Hemos tenido veinte, treinta, cincuenta motines, sea en París, sea tado hay elementos subversivos , y que está convencido de que es en distintos puntos del reino. Pues bien, Señores, nunca ha teni preciso poner térmico á unas intrigas que al fin vendrán…</t>
  </si>
  <si>
    <t>…porcionarse armas. nadora : pero no por esta seguridad de perpetuarlos, que deberemos »Pero uno de los medios mas poderosos, y del que hablaré al trotío, pierden su mérito aquellos beneficios, ni han dejado ni muy poco, porque el Sr. Fulchiron ha dicho casi todo lo que hay dejan de excitar el entusiasmo de todos los buenos españoles. Lds sobre el particular, son las confederaciones de trabajadores. trabas quitadas a la industria; los medios de comunicación desen «Si se quiere saber cuáles son Las arterías de que se valen para vueltos; la…</t>
  </si>
  <si>
    <t>…o, me impone un nuevo deber y un tributo de justicia que debo pa ponga á la&lt; Cámaras el restablecimiento de las fortificaciones de Huninga. Con ngar con el mas decidido amor, con la acendrada fidelidad y con una gratitud testa el Sr. Fulchiron que el patriotismo de los suizos y el afecto que profesan [sin límites á una Reina, en quien se cifra la futura prosperidad de la nación, á Francia impedirán que se verifique lo que rezela el Sr. Lárabit; y la Cámara£ll Ty en quien con la mas segura confianza esperamos (si el cielo nos la conserva…</t>
  </si>
  <si>
    <t>…tidos.) t inesperados^y qpe Han comprometido nuestra tranquilidad, no han podido ser Sr. Fulchiron. Pido la palabra. autorizado» .por la Dieta germánica, ni obtendrán la aprobación de ningún gá-• Sr. C. Dupin. Nada se pregunta al Sr. Fulchiron. híñete de Europa. Con razón invocáis la garantía de las Potencias que firmaron Muchas voces, hl Sr. Fulchiron no es ministro, dejad que hable un mi ■J* convención de Londres, y que solemnes testimonios han probado que no era nistro. lilúsoria. El Senado puede descansar en mi solicitud de defender e…</t>
  </si>
  <si>
    <t>…les les profesa. En lo que menos piensan esos supuestos amantes del género huma que hay empeño en atribuir á las sociedades. Vota contra el proyecto. no que especulan en la credulidad popular, es la -suerte del hombre que debe El Sr. Fulchiron, coincidiendo con la Opinión del Sr. Giraud, cita algu su existencia á sus btazos y á tu trabajo diario; lo que sin cesar procuran aque nos ejemplares para corroborar lo que aquel ha dicho, y cree que se debe apro llos es extraviar á los honrados y pacíficos trabajadores, excitarlos al desorden, ba…</t>
  </si>
  <si>
    <t>…pre en ella se expresa la idea que actualmente prevalece entre todos los franceses. pedirá que se mejefre la situación de las clases menesterosas. No mas revolución : harto ha sufrido la Francia; pide y necesita descanso, y si El Sr. Fulchiron rectifica algunas equivocaciones en que ha incurrido el hay abusos que corregir, la nación por medio de los electores, y la Cámara puf preopinante hablando de las ocurrencias de León , y hace ver que el vecinda sus votos, lograrán «mediarlos. Declaro que en la minuta hay muchos princi rio de dicha…</t>
  </si>
  <si>
    <t>Furiong</t>
  </si>
  <si>
    <t>…é el título de licenciado en de»- ídor JEerjpng;:pero este.so .había resistido, y-contestado que rechazaría todo cjffOvserá ñus glorioso, mas difícil de obtener en la facultad de París que cu iji ataqúe- hasta el último tranca El gobernador Furiong es de origen irlandés; y Otras facultades del reino; pero ya existe semejante desigualdad entré la» fiad I segpp.jSf; difú-, hombre; tnpy resuelto y valiente; de manera que mq podrá me-, la detén que hace-parte dé ios- cursos la enseñanza del derecho administrativo, nosd^ter/qn jmpedimqaropjra Sant…</t>
  </si>
  <si>
    <t>Fuster</t>
  </si>
  <si>
    <t>…nto sin justifica haría en semejante caso: creo qué me «echaría en un pozo. Se trata del honor ción alguna, la comisión do debió variar su dictámen.” de un magistrado; y el Estamento antes de desecharlo debe convencerse de que El Sr. Fuster: « La comisión al dar su dictámen manifestando que de crim’mal. Entonces yo seré el primero que v,pte contra su admisión; y aun si bían desaprobarse los documentos que ¡presentaba el Sr. .Ogaban, hizo justiciad tuviésemos facultades para otros procedimientos, seria mi voto el mas agrio; la npioion…</t>
  </si>
  <si>
    <t>…to. . ^ , »Si el Sr. Palarea se alarmq de la influencia que supone ha tenido el go La Secretaría dió cuenta de que habiendo obtenido Itfencia temporal «J bernador civil en esta elección popular, yo me alarmo también de la influen Sr. Fuster, había nombrado la mesa para ocupar su lugar en Ja comisión de cia que daría al Gobierno la máxima de que un empleado separado de su des Poderes al Sr. conde de Adanero, que había ya regresa» cumplida ,1a saya.. . tino dejase por el hecho mismo de ser elector. El Sr. Societario del Despacho de Haci…</t>
  </si>
  <si>
    <t>Fuster, VD Pedro</t>
  </si>
  <si>
    <t>VD Pedro Fuster</t>
  </si>
  <si>
    <t>…de la anterior quedó apro y vida á todos los puntos de la circunferencia, que dispusiera de armas , de au bada. xilios Scc. Hé aquí io que necesita esta fuerza: esta creo que será la verdadera Se d¡ó cu.enta de una exposición del Sr. VD. Pedro Fuster, dirigida 4 que cuestión de vida ó rpuerte de la Nación.” - se le concediesen dos meses de licencia para pasar 4 la ciudad de Valencia y El Sr.. Secretario del Despacho de lo Interior: «La duda que se presenta cobrar sus rentas, 4 causa de no poder hacerlo por él su familia, en razón de en cuanto a…</t>
  </si>
  <si>
    <t>Fxanc</t>
  </si>
  <si>
    <t>…arzO de )8u8. por los guardias de la Real Persona, y prece fid* de Jos gefes de EM&amp;itío y de A fin de prevtritr¿tí’íó'sucesivo,sémejardes infraccionesMytf 'tonfteuen- más servidumbre desígnala al efecto, y del Sermo, Sr. Infante: D. 'Fxanc«co ci&amp;s pudieranser'graves, os recomiendo qufc travjnttaís inríiepiatamenie estas de Pauta. La carrera desde Palacio á la puerta del salón del Estamento de Próinstrucciones á los ugíeres, (hacen veces de alguaciles, porteros de estrado y ceres estaba entoldada , las casas vistosamente colgadas, y f…</t>
  </si>
  <si>
    <t>Fxcmo</t>
  </si>
  <si>
    <t>. _ 3JS prJrnlr/les'dljo: compañeros y amigos: he querido que participaseis de Ja a- pitan.general, Fxcmo. ayuntamiento y personas convidada» para dar mayor so- •thfaccion que siento# y al mismo tiempo aliviar mi corazon de ia profunda / Jeoinidad al acto de la Real proclamación. A las" fres de la tarde ¿arió la co pena que le aflige , anunciándoos que la lucha deplorable de que ha sido teatro , mitiva*…</t>
  </si>
  <si>
    <t>Fyanp, Infante D</t>
  </si>
  <si>
    <t>Infante D Fyanp</t>
  </si>
  <si>
    <t>…fueron las que requería el decoro de tivos de haberse recogido 1» proposición, y que ep vez ^e hallarse por c*o .per-, la Nación; no para exigir la entrega, 'dcl Príncipe como un prisionero enemi judicados los derechos dol Sermo. Sr. Infante D- Fyanp^po j de toda su des go (porque no lo era), perosí para que no pudiera volver á dañar á su patria. cendencia , sirva más bien este incidente de una nueva ¿ irrefragable prueba ,de. «No quiso -el Príncipe acceder á cuanto,se le propuso con -éste, objeto; y ¿n cumplimiento del tratado de -cu$dnuplc al…</t>
  </si>
  <si>
    <t>G, Antonio Aléali</t>
  </si>
  <si>
    <t>Antonio Aléali G</t>
  </si>
  <si>
    <t>…r___ nopta. - ' ... , , enteeiSilm yEttcrateaSehallará 44*ra&gt;an lalUsreríadeUermoso. ................... fiéis áfios- hace que emprendieron los rusos -so campafia en Turquía,. —ifáxicnat yigr.icfclgtos de Ugiilacion untoiruU por D. Antonio Aléali. G consejo de S. M* Sé vende ti en lá librería de la viuda dé Croa, 4 10 rs. en y antes dé lo« desastres «fe la Polonia, pertenecia á la Rusia, sin que nadie se det ;■■■; '■‘í. li'éúltortá..-'''"" lo disputara ; et*á parte del "imperio de Constantino, A ello contribuián los ¡ —*D2kj« de doa tlpiáS ca…</t>
  </si>
  <si>
    <t>G, L G y</t>
  </si>
  <si>
    <t>L G y G</t>
  </si>
  <si>
    <t>…Otímedádes, lo cual es bien extraño en verdad. Las tropas continúan trabajando D. Joaquín de EzpeJeta............................................... 32oen establecer y perfeccionar los caminos, lo cual ademas de lo útil que es ed D. L. G. y G...............................:....................................................... 50ti mismo, tiene la Ventaja de ocuparlos en un ejercicio neeesario para mante El señor marques de Iturbieta.............................................,............... 2000ner la salud y para que no se relaje la disciplina. &lt; D. Francisco y…</t>
  </si>
  <si>
    <t>G, Manúd</t>
  </si>
  <si>
    <t>Manúd G</t>
  </si>
  <si>
    <t>…entó la gran cruz de que se propicié «i£ Áte-capitáf el pól¿ra* morbo. (X¿,&gt; . V de la Real órden americana deTsabel la Católica. (162.) Circular del'minóterío de Interior sobre elección de Procuradores á Cortes -m— concédrendc Í D. Manúd"G4ude&amp;cío de Accvedo la cruz de comenda ntHftibíidos poí* miw~dc Una proriricix. (Nüm. 139.) dor de la misma Real órden. Cid.) .-Real nombrando para varias plazas de magistrados. (Zrf.) ¿i___mandando cesar las comisiones militares en todas las provincias del peino. — ..- - concediendo pensione^ a los…</t>
  </si>
  <si>
    <t>G, Q D D</t>
  </si>
  <si>
    <t>Q D D G</t>
  </si>
  <si>
    <t>…incias, bien sean de la Milicia urbana o de otra con fecha de 2\) de Setiembre último y Re,al decreto que mcluve anunciando I cualquiera clase; Los cuales tendrán derecho aL expresado enganchamiento y al ia muerte del Rey nuestro Señor (Q. D- D. G.) acaecida a las tres meno. jabono del tiempo, contados desde su alistamiento en dichas compartías para cuarto de la tarde del citado día. completar los cuatro años que deben servir. En oficios separados he relerido a V. E. el amargo y general sentimiento 5. ° Los cumplidos de los cuerpos del ejérci…</t>
  </si>
  <si>
    <t>G, Q E E</t>
  </si>
  <si>
    <t>Q E E G</t>
  </si>
  <si>
    <t>…^ilps Mauricio Talleyrand Pei* que alguna de las cortes que han retardado hasta ahora reconocer como here rígord, Prínc7pe duque de'Talleyránd, par de Francia, émhajariór extraordi dera del trono k la Hija primogénita del difunto Rey (Q. E. E. G), se hu nario y ministro plenipotenciario de S. M. el Rey der losí franceses, cerca de biese detenido por la mas leve duda ó escrúpulo acerca de los títulos valederos S. M. Británica, Gran Cruz de la Legión de Honor, caballero dé la Órden incontestables,,que aseguran á ia augusta Princesa el. legít…</t>
  </si>
  <si>
    <t>…recibió V. F. po: e! ber | veniente publicidad, disponga y active su cumplimiento. Dios guarde á V. E. gantín de guerra Gvadaisfe la funesta noticia de la muerte del Rev nuestro | muchos años. Madrid 16 de Enero de l834»^^airco- Señor (Q. E. E. G.), y que en oficio de 5 del comente se sirve comunicár mela ion el mas profundo domr, m¿u\endonie para sus efe^r^s 1 &gt;s urprc'-s HxfosicioneJ. que contienen v anos Reales decreta } Li mamlcsta^ion de 8. M. ,a Kt.is 1 Excmo. Sr.: Los fieles habitantes de esta ciudad recordaban con el placer Gobernado…</t>
  </si>
  <si>
    <t>G, Tomás</t>
  </si>
  <si>
    <t>Tomás G</t>
  </si>
  <si>
    <t>…Arizaga alcalde del crimen de "r-Ante el Sr. D. José.Maceda, leáúndó teniente de ásisVénte .dé la ciudad *de SéCin*» U Real audiencia dé Granada, i D. Vicente Calvo fiscal de lo civil de la nettde la téstqtnemafíe cóncíirsada ne;D. Tomás G*laréa* y á-vlttitd de despache l*** Real-audichcia de Búrgos, í D. Vicente Valero y Sardi corregidor de Lo brado á esta corte cumplimentado por el Sr. D. Pedro Balsera, teniente corregidor qsta villa, so c^ta y empfaza ¿ .todos los interesados^ue-puedan tener derecho 2 aqu£ groño y í D. José Duque…</t>
  </si>
  <si>
    <t>G.-hemadora</t>
  </si>
  <si>
    <t>…comunica estás notiwias , salía estequiu de Óstíia. r-. .; . r - gefe para dar un golpe i los facciosos. ■ *■'•’Eaaa:pBl»brasfrandas enérgicas del general, y sobre todo la inestimable distinción y extraordinaria honra pon que la Reina G.-hemadora se. dignaba £1 capitán general de esta provincia, con fecha 2 del actual, comunica á agraciar á la Milicia urbanáj fuero* recibidas tbri 'demostraciones tan'vivas de este ministerio, que de^puo ¿&lt; u viva persecución que ha sufrido la gavilla gratitud que la pluma no pudiera describirlas¿iñ temor dé…</t>
  </si>
  <si>
    <t>G.ildiann, José María</t>
  </si>
  <si>
    <t>José María G.ildiann</t>
  </si>
  <si>
    <t>…nda, no ,e volverán á n. 11 ij i 11 r en lo ,mr,ivo la, 'pie se. presen E’t ennsiderai-ion á los distinguidos méritos oinfraidos en su ten por v ia de fianzas, sin que se baja prév ¡amerite su v..! •, c ¡- &gt;n dilatada tartera por D. .José María G.ildiann, y á que ert tni Real por el producto en renta, sacando el capital j^&gt;r la base !•• un ñ mr decreto de ID’dei rorriente mandé se le tuviera presente para su llKI, bajo el '-"til epti) de que la justific ación .le la icriti que pe luz debi-la recompensa por Ii.il&gt;er quedado satisfecha del reto cort…</t>
  </si>
  <si>
    <t>G.nbriel</t>
  </si>
  <si>
    <t>…n: Málaga, viuda d? Aguijar: Mal Horca, Guaps: Manresa, Trullás : Murcia, Benedicto: Orense, Pazo: Orihuela, Ibafipz: O^uoa, Edii to remitido por la junta superior de Sanidad de Granada al ministerio Montero: Ovi edu , Longoria , D. G.nbriel : Pa mplona , Eras un : Plasentia, Pis: Puigdel Fomento con ojicio de 11 de Enere. eerdá , A badal : Reus , viuda de A n ge ion : S . la manca . Reyes : S.. ntander , Otero : San tiago, Rey Rom-ro: Sevilla, Caro, D. Mariano: Tarragona, Vrrdegu-r: Toledo, I Las esperanzas que la junta superior le Sa…</t>
  </si>
  <si>
    <t>Ga, Alcalá</t>
  </si>
  <si>
    <t>Alcalá Ga</t>
  </si>
  <si>
    <t>…do aprobado por cutido. Se originó con este motivo up corto, pero vivo, debate, en que toma jel Estamento de ilustres Próceres (Véase el Suplemento á la Gaceta del do ron parte varios Sres. Procuradores, terminándose con hacer el Sr. Alcalá Ga mingo 19 dé Octubre último), dijo liano igual petición. El Sr. Secretario del De¡pacho de Hacienda: «Diré dos palabras para Verificada la pregunta resultó estar el punto suficientemente discutido, y mayor claridad de este artículo. Se sabe que ya en este Estamento sufrió una en seguida pidieron var…</t>
  </si>
  <si>
    <t>…mente ambos á otras, el Gobierno es de ppinion de que subsista la legislación vigente sobre extremos.” - introducción de granos, como un término medio que concilla en lo posible El Sr. Secretarlo del Detpacho de Ettetdo: «Como el Sr. Alcalá Ga los dos opuestos extremos.” icano manifiesta deseos de conocer la opmüm del Gobierno, y no puede ha El Sr. Galiano deshizo varias equivocaciones. cerlo él Sr.1 Secretario dé Hacienda por estar elt despacho con S. M., ni el de El Sr. López manif«tó que había tomado la palabra en contra de la pe lo Interior…</t>
  </si>
  <si>
    <t>Ga, Femando</t>
  </si>
  <si>
    <t>Femando Ga</t>
  </si>
  <si>
    <t>…Lene el artícu el ac ó de su separación ya no concurría en ¿l ninguna deJas circunstancias re lo 2.° haciendo obligatoria la Milicia: es ademas inoportuno; v aun añadiré queridas; y que habiendo sido decidido que fuese elector el D. Femando Ga- que es inútil. Es inoportuno , porque en las circunstancias en que nos hallamos Jarza en la junta porcuna mayoría de cinco votos contra cuatro, resultó elegi no hay una necesidad ni una obligación de que todos los españoles acudan á las do el Sr. D. Manuel de Viltachíca por una mayoría de seis voto…</t>
  </si>
  <si>
    <t>Ga, Francisco</t>
  </si>
  <si>
    <t>Francisco Ga</t>
  </si>
  <si>
    <t>…Nueva-Yorck, que alcanzan basta ci 2 dei corriente, con- Duero á D. Antonio Ramón de Cireaga: p ira la vira'de alcalde mayor de la firqun las noticias que habían dado muy por encima tas recibidos anteriormen villa de 1 r gdiana á D. Francisco Ga-_ i baarvz: pira la dei Burgo de Osma i te. Sanlana había entrado en Guanijua'o sin opodeion , y la tranquilidad se D. Juan Perez Piinentel : para la de Autol á D. Antonio Mediano, y para la habla restablecido en todo el país. El 2u de Octubre llegó á Méjico con 4-28 de Cebolla a D. Antonio Encuo y…</t>
  </si>
  <si>
    <t>Ga, Nicolás María</t>
  </si>
  <si>
    <t>Nicolás María Ga</t>
  </si>
  <si>
    <t>…raducidos de -orden de la Real sociedad económica de esta corte, por so individuo D. oomingo Agüero y Neira. Dos tomos en 8.° «barquilla, edición de jfioo, d gg rs. rama 741 rf^^fró¿con^rieñd'o^'Secretaría de1 Oracía y Justicia í D.'Nicolás María Ga* pasta. Los ensayos políticos, económicos y filosóficos del conde de Runjfbró. ventajos«tmeóte conocido en la república de las letras; nó tienen Otro objeto qué oiani&amp;s- ■ s ' ■■ 5 : í i ~tdf á us personas pudientes, a la p*r que caritativas, 1os medios de poder ejercer »u rclly’'7 caridad con ios…</t>
  </si>
  <si>
    <t>Ga, Sebastian</t>
  </si>
  <si>
    <t>Sebastian Ga</t>
  </si>
  <si>
    <t>…ncluida la dos restantes que obraron como el anterior voluntariamente en las guerrillas r y función se cantó un solemne Ti Heurn, y en aquella noche y las dos siguien se distinguieron por su bizarría , como igualmente el cirujano D. Sebastian Ga tes hubo fuegos artificiales, canciones patrióticas é iluminación general. banes, que con el botiquín del cuerpo curó a estos individuos en el momento, siguiendo á la retaguardia del regimiento según se le había ordenado. Cuartel Las Cabezas (Provincia de Sevilla) 18 de Febrero. de Viilaro 4. de Ma…</t>
  </si>
  <si>
    <t>Gabet</t>
  </si>
  <si>
    <t>…cho lo que d Sr. Cabet,yo le habría hecho l3s mismas observa 'con 1j doctrina que el Sr. Sade estableció en el año de 830 hablando de los ciones.” teles; doctrina que es aplicable á los que pregonan folletos, litografías dcc-, El Sr. Gabet dice que ya'sabe que el pueblo v i a nación son una misma con. tanta mas razón, cuanto es menor el daño &lt;jue causan los carteles, puesto cosa: que las expresiones tienen dos sentidos", uno general v otro particular, y hque puede suceder que nadie fije U vista en ellos, mientras que los vendedores q…</t>
  </si>
  <si>
    <t>Gabriel</t>
  </si>
  <si>
    <t>…y Collantes, Vocal Secretario. 1821 gozaba exprimo decreto el Sr- Infante D. Cirios, proceden de la asig nación que por Real órden de 9 de Setiembre de 1788 se concedió sobre los Voto particular -fondos del tesoro al Sr. Infante D. Gabriel para sí, sus hijos y sucesores, co mo pensión alimenticia agregada al Gran Priorato de la órden de 5. Juan, AL deber penoso, y por cierto nada apetecido , erf que me constituye el que i título de mayorazgo posee en virtud de sentencia judicial el Sr. Infante haber sido nombrado para la comisión de…</t>
  </si>
  <si>
    <t>…pcion genecal. distribuía je su propio ¿peculiootros muchos socorros, jivian. líci-nes. Jd je^eate modo la-miseria y desconsuelo de muchas familias: finalmente,, el- ■ .Obras-de Cayo Satustio Crispa, traducidas por el Sr. Infante D. Gabriel, é im gbbemador civil -ofrece no-perdonar medio para mejorar la suerte de los des— presas de órden supcrior&lt;l año de 180^ Pos romos etv8.° marquilla, cun un^t estampa fina, á 21 rs. Tama, 27 -rústica y 39 pasta fina. El mismo en papel vitela, a 3 4 rs. rama piídos, -ten cuya empresa cooperan con él…</t>
  </si>
  <si>
    <t>…estó su juramento á la Reinas nuestra Se sión propone, fundado en lo que se hizo en las beneméritas Cortes del año 20, ñora como Princesa de Astúrias: no lo ha prestado después, lo uno por no será en que al Serenísimo Sr. Infante D. Gabriel, á pesar de ,-stxJo , no se-le inclu la costumbre de España, y lo otro porque estaba ausente entonces. Ya con res yó en el presupuesto. de - casa Real, porque entonces estab^! fuera .de Españ». pecto á S. M., v ya respecto-al Estatuto Real, no se ha exigido juramento á Por esta misma razón no se de…</t>
  </si>
  <si>
    <t>1298 t '' hienun___________deber penoeo que„ venimos._ ir , y tolo puede aliviá-t nuékro sen^ y dÓ del S.° de ligeros i la del capitab D. Juan Tegeiro y dL alférez D. Gabriel timiento la dicha de ver que la hija augusta dél regenerador y libertador de la de Castro; y que la infantería del regimiento provincial de Plasehciá, mandada patria, el grande héroe qup ya fue nuestro Rey y Regente, ocupa hoy" el trono por el eapitan de cazadores D. Pedro Juan de Salcedo, el tenie…</t>
  </si>
  <si>
    <t>Gabriel, Infante D</t>
  </si>
  <si>
    <t>Infante D Gabriel</t>
  </si>
  <si>
    <t>…ino Calderón y Collantes, Vocal Secretario. 1821 gozaba exprimo decreto el Sr- Infante D. Cirios, proceden de la asig nación que por Real órden de 9 de Setiembre de 1788 se concedió sobre los Voto particular -fondos del tesoro al Sr. Infante D. Gabriel para sí, sus hijos y sucesores, co mo pensión alimenticia agregada al Gran Priorato de la órden de 5. Juan, AL deber penoso, y por cierto nada apetecido , erf que me constituye el que i título de mayorazgo posee en virtud de sentencia judicial el Sr. Infante haber sido nombrado para la comisión de…</t>
  </si>
  <si>
    <t>…s campo— cyipcion genecal. distribuía je su propio ¿peculiootros muchos socorros, jivian. líci-nes. Jd je^eate modo la-miseria y desconsuelo de muchas familias: finalmente,, el- ■ .Obras-de Cayo Satustio Crispa, traducidas por el Sr. Infante D. Gabriel, é im gbbemador civil -ofrece no-perdonar medio para mejorar la suerte de los des— presas de órden supcrior&lt;l año de 180^ Pos romos etv8.° marquilla, cun un^t estampa fina, á 21 rs. Tama, 27 -rústica y 39 pasta fina. El mismo en papel vitela, a 3 4 rs. rama piídos, -ten cuya empresa cooperan con él…</t>
  </si>
  <si>
    <t>…Sebastian prestó su juramento á la Reinas nuestra Se sión propone, fundado en lo que se hizo en las beneméritas Cortes del año 20, ñora como Princesa de Astúrias: no lo ha prestado después, lo uno por no será en que al Serenísimo Sr. Infante D. Gabriel, á pesar de ,-stxJo , no se-le inclu la costumbre de España, y lo otro porque estaba ausente entonces. Ya con res yó en el presupuesto. de - casa Real, porque entonces estab^! fuera .de Españ». pecto á S. M., v ya respecto-al Estatuto Real, no se ha exigido juramento á Por esta misma razón no se de…</t>
  </si>
  <si>
    <t>Gaceta, Aviles Cerca de Alcafíices La</t>
  </si>
  <si>
    <t>Aviles Cerca de Alcafíices La Gaceta</t>
  </si>
  <si>
    <t>…rnri Las ventajas-adquiridas en el resto ¿e Portugal ^se Iban consolidando: las coincidió con ia cordura del pueblo. tropas españolas guarnecen en parte 4 Chávese, dándose la mano con Valenzado-Minho y Braganza^ donde se halla ci general Aviles. Cerca de Alcafíices -——-La Gaceta politica.de Munich publica un parte oficial, por el cual el Rey fue deshecha una guerrilla de miguelistas y carlistas, que desapareció entera Guillermo declara que aun cuando lo dfsease no podría consentir en ninguna mente. El general Latré dice desde Guarda, al partir para Castelo-branco, que cesi…</t>
  </si>
  <si>
    <t>Gaceta, Carlos La</t>
  </si>
  <si>
    <t>Carlos La Gaceta</t>
  </si>
  <si>
    <t>…qtte una comísioB de esa guamicion, igual-, de da Guerra R importaril&amp;tata noticia de que iba. á embarcarse él. Pretendien mente que otras por Jurumeña, CambQtnayof y Ougüela, pasen al cuartel1 ge-¡ te , d!desaconsejado Infatjee D. Carlos. La Gaceta extraordinaria del ,3 ios en neraJ.tfcl Excmo.'Sr¿ diíque de Térdakaen Aserucha-á acuiir-órdenes, ínsterará de tan fausto suceso. Veis cumplido en su mayor parte el pronóítko que trucciones, y cerciorarse (fe los tratadas acordados en Evora para felicida4.de, os hacra anta de ayer:, yrituy e» breve…</t>
  </si>
  <si>
    <t>Gaceta, Nota En la</t>
  </si>
  <si>
    <t>Nota En la Gaceta</t>
  </si>
  <si>
    <t>…pasado dicho termino sin haberlo verifíc*dAIn Ram burgo, 00. Barcelona, Malaga, par. Descuenro de letras, le parara el perjuicio que haya lugar.JLondres, i oQ dias. ib. Santander, i b. £ 4 P» 100 al año. m* Bilbao,** Santiago, 4 d. Nota. En la Gaceta del 27 de este mes, número 66, página 310, columna 1». lú. nea antepenúltima, dice 22, lé^se 25. re* v*u«m a. , urEN LA IMPRENTA REAL</t>
  </si>
  <si>
    <t>Gafóte</t>
  </si>
  <si>
    <t>…íos que aquí se publican, la censura es muy severa, y la ejerce el por la independencia y honor de 1* patria!” (Prolongados aplausos j nume ministerio pot sí mtunta (Corresponsal de Nwremberg.) rosos uñas asagieren ti brindis del general Gafóte/.) SUIZA. " ’ • j ttittii Ztarieh 20 de. Julio. lienta 1S-ir JW¿&gt;. ¡ Un tiempo hermosísimo fia favorecido b fiesta del tiro. Caminé* circulan- So tcah* de establecer en esta cindtd una «ompxltíi de «ccfemistai par» do al rededor'dé loa ctrabinero» uzia Inmensa múltítud, y i cada «boniato Üe&gt; matear…</t>
  </si>
  <si>
    <t>Gafranga</t>
  </si>
  <si>
    <t>…ongías que vacaren, y estas razones son las que han| impulsado 4 la Se leyó y aprobó el acta de la anterior. comisión para no variar en nada el artículo.” ' Se mandó pasar á Ja comhion de Poderes una exposición- del Sr. Don 99 El Sr. Gafranga:» La palabra opcion tiene diferentes acepciones co Francisco Zapata, electo Procurador por la provincia de Gádiz, en que hacia mo todas las palabras en la lengua castellana y en todos los idiomas del mun presente que según participó ai Estamento $ fines de Junio último', se haÜab* do; pero en el ar…</t>
  </si>
  <si>
    <t>Gafranga, El Sr</t>
  </si>
  <si>
    <t>El Sr Gafranga</t>
  </si>
  <si>
    <t>…en las canongías que vacaren, y estas razones son las que han| impulsado 4 la Se leyó y aprobó el acta de la anterior. comisión para no variar en nada el artículo.” ' Se mandó pasar á Ja comhion de Poderes una exposición- del Sr. Don 99 El Sr. Gafranga:» La palabra opcion tiene diferentes acepciones co Francisco Zapata, electo Procurador por la provincia de Gádiz, en que hacia mo todas las palabras en la lengua castellana y en todos los idiomas del mun presente que según participó ai Estamento $ fines de Junio último', se haÜab* do; pero en el ar…</t>
  </si>
  <si>
    <t>Gagentes</t>
  </si>
  <si>
    <t>…go, no bastará á reducirme al silencio. Yo deberé hacer ahora la misma pro y la tranquilidadén el país después de tantas borrascas nacidas de opiniones diver testación de principios que hizo el otro día mi dignísimo compañero el Sr. Gagentes , jamas debe sentar principios de desunión, y antes bien si debe aparecer liano. Cualquiera que sea el resultado de esta discusión, cualquiera que sea la intolerante, ha de serlo únicamente con la intolerancia. Solo asi se distinguirá decisión que sobre ella se adopte, la veré, si no con gusto, al…</t>
  </si>
  <si>
    <t>Gagera</t>
  </si>
  <si>
    <t>…cias del Congreso, per E. F- Hofftmn) no fu mudado de Opinión en maneta alguna , como lo pnmr siste en ’nó. admitir el destino.', ba la discusión de hoy. Eü él último Oficio -dé contestación, dando gracias por la confianza que El diputado Gagera habcchoun resumen del estado de nuestros negocio* ha merecido i los diputados de la república, y renovando su firme resolución extrangeros. " _ de no acéptar el cargó ¡fe gobernador, dice: , Ha dicho que sería de desear en el ínteres del pueblojr fet gobernó qug «Él infrascrito sabe que fosdertehoS…</t>
  </si>
  <si>
    <t>Gahtíyn</t>
  </si>
  <si>
    <t>83* D. Gahtíyn^haB sido inútiles contraía violencia del viento, ó por mejor decir; varías armas de fuego, habiéndose salvado los 4 restantes en las fragosidades del huracán, que reinaba hacia ya cuatro días/1 (Idem?) /. del terreno,.adonde se acogieron después de abandonar sus caballos. El expresado comandante de…</t>
  </si>
  <si>
    <t>Gaiconsejo</t>
  </si>
  <si>
    <t>…consolidados 88j. Los Sres. O. Barrot y Salverté apoyan la opinión del Sr. Mercíer. El minis El Rey ha llegado hoy á esta capital; y en el momento ha tenido un tro del Interior confirma lo que ha manifestado el mariscal Soult: el Sr. Gaiconsejo, al que han asistido todos los ministros. llard observa que muchas diputaciones de departamento han pedido que se au ____ En todas las tertulias se habla del discurso que debe pronunciar mañana el mente eJ cuerpo de gendarmas; el Sr. Lefebvre defiende el proyecto del gobier Rey a la apertura del Pa…</t>
  </si>
  <si>
    <t>Gaideron</t>
  </si>
  <si>
    <t>…promete, que no el que ofrece sin saber qué. Por citó quisiera tán prescritas , las ha desecbadp. Por corea gíbente , me parece que no debe que no nos compfoilíetiésemos 4 pagar eL total de intereses que no podemos, admitirse al Sr. Gaideron hasta que justifique en forma la edad.” . . ¿no solo-que cXasnmáseñtas^qué paHe podemos satisfacer-antes de ,empeñar la El Sr- Visedo: »No faltando mas 4 dicho Sr. que la fe de bautistqo, se ialabra indiscretamente. Esto seria confórme con lo que S) M. nos anunció en le podía dar el tiempo necesari…</t>
  </si>
  <si>
    <t>Gaielly, Nicolás María</t>
  </si>
  <si>
    <t>Nicolás María Gaielly</t>
  </si>
  <si>
    <t>…lo necesario á su cumplimiento. = Está Las noticias que recibimos hoy de la frontera del Brabante jep rubricado de la Real mano.cz En Aranjuez á 8 de Abril de 1834* tentrional, no nos dejan duda de que la Holanda medita.alguna sA D. Nicolás María Gaielly. nuera tentativa. Las tropas están prontas á ponerse en camino , Jo mismo que la artillería. Parece que eBte ejército solo espera la lio-, MINISTERIO DEL FOMENTO CENEXAi BEI REINO. gada de su eefe para hacer un movimiento hacia adelante. En esta situación/esperamos que no se dormirá cP ministro, do…</t>
  </si>
  <si>
    <t>Gaiiano</t>
  </si>
  <si>
    <t>…la con la prosperidad de la Nación; de ver si exige de suyo aquel mas sacrificios do vacío de ellas, y no era por cierto el mohiento mas oportuno de calificarle que los que esta puede hacer. aquel en que se me iba á contestar. El Sr. Gaiiano afirma que la mejor prueba »Es necesario reducir los gastos de la corona todo lo posible, i fin de que ha podido dar de no ser lisonjero, ni aspirar á ocupar puestos elevados, es consolidar mas y mas ese mismo trono, y tanto mas cuanto está demostrado el de atacar la opinioh del Gobierno respecto a…</t>
  </si>
  <si>
    <t>…los Sres. Procuradores á ía Opinión del Monarca; pero hay en esto algo de equivocación, no respecto á la consi*- que sostengo. j nación hecha al Monarca, sino al total de la asignación que se hizo á la casa «Después ha aludido el Sr. Gaiiano i una cuestión muv delicada, cual es Real, pues entonces subió á 45 millones , y ahora se proponían ?ó. Por esto la de los derechos legítimos de la Reina Doña Isabel ii. Yo no he excitado quisiera yo que en atención á la penuria dei Estado, se redujese dicha asigna teta cuestión; ha sido provocada…</t>
  </si>
  <si>
    <t>…ido asi) que en Sr. Galiano pidió U palabra para deshacer una equivocación, } Si yo no he 'ésllát máteriis y 'éV ístá discusion, to mismo que én cualquiera otra, nunca es comprendido mal, me parece que ha sido esto lo que dijo el Sr. Gaiiano.” lícito invocar elfíómbfé ni apoyarse en el prestigio de ciertas personas colo- £1 Sr. Galiano: Si las reglas observadas en 4 Estamento me lo per ' Üadaí por bien rf¿1 Sitado t iln* íítütá tári elevada, que tp ,iriflu|o no,debe sen miten, poftdié al Sr. Secretario del Despacho en el terreno que yo…</t>
  </si>
  <si>
    <t>Gaiiano, Alcalá</t>
  </si>
  <si>
    <t>Alcalá Gaiiano</t>
  </si>
  <si>
    <t>…dicho que le ve djspuesio, ó sabe que su este debate, retirando el Sr. Hubert su mocion; con lo cual continuó la discu voluntad es conceder los 30 millones que dice la mayor»! , y los 12 que pro sión, concediéndose la palabra al Sr. Alcalá Gaiiano, á quien le tocaba. pone la misma á la augusta Rüina Gobernadora. Yo no alcanzo á ver tanto, £í Sr. Alcalá Galiana i «Entre los discursos que he oido en Ja presente y no sé lo que resolverá el Estamento; pero desde ahora aseguro que hav una discusión, el mas notable es el del Sr. Secretario de Haci…</t>
  </si>
  <si>
    <t>…adqui-- desconocidos á los Sres. Procuradores, sino he sentado 'proposiciones 'genérales rió en virtud de uña revolución anterior. En segundo lugar debo decir que á mi que podrá aplicárselas, si gusta,.quien quiera. Desde que el Sr. Alcalá Gaiiano parecer no pudicrTHaber elegido S. S. argumento mas fatal y opuesto á su idea, principió su discurso dijo que su posición era muy ventajosa , y la nuestra muy al pues los mas acérrimos amigos de revoluciones no hubiesen empleado otro para contrario; y sin embargo que me seria útil dar por cierta es…</t>
  </si>
  <si>
    <t>Gaiilard-Kebertin</t>
  </si>
  <si>
    <t>…Continúa la discusión general sobre abolición de mayorazgos y ‘sustitu el príncipe y la princesa heredera de Orange acababan de llegar felizmente ciones. y sin-la menor novedad á S. Petersburgo; que habían pasado U noche ante El.Sr. Gaiilard-Kebertin opina que no es justo ampliar los efectos de la rior en Strelna, y que á la mitad del camino desde este punto á S. Petersburgo ley que se piensa establecer á los mayorazgos que antes de promulgarse dicha tuvieron la satisfacción de encontrar á $. M. el Emperador que había salido á ley no hubiesen s…</t>
  </si>
  <si>
    <t>Gal, D Eduardo</t>
  </si>
  <si>
    <t>D Eduardo Gal</t>
  </si>
  <si>
    <t>…la que el gen que pongamos ^un dique al torrente impetuoso que nos amenaza. Torrente Estamento le concedió. — - -__ que creciendo espantosamente en su curso destructor , pudiera al fin arrastrar y Entró á jurar y tomó asiento el Sr. D. Eduardo Gal vez, Procurador por sumergir en sus aguas procelosas al trono de Isabhi, perdiéndose también en el la provincia de Málaga. naufragio aquellos derechos que han sido felizmente restaurados por la mano JEl ~Sf7 Presidenta: «Habiéndose cerrado en la sesión úttima ix disanto» benéfica de la Reina. Gober…</t>
  </si>
  <si>
    <t>Gal, D Vicente Alcala</t>
  </si>
  <si>
    <t>D Vicente Alcala Gal</t>
  </si>
  <si>
    <t>…es. La meteorología aplicada á la agricultura: memoria premiada por la Real Socie Provincia de guadalajara. dad de las ciencias de‘ Moinpeller , escrita por el abate D. José Toa Ido, traducida e ilus trada con varias nocas por el capitán D. Vicente Alcala Gal ¡ano. Un tomo en 4.0, edi Su gobernador civil participa con fecha 25 del corriente que en aquella ción de 1786, á 8 rs. rama y 1? pasta coinun. capital había disminuido notablemente la enfermedad que la afligía; pues desde Los suscriptores á la nueva edición del Ano cristiano, e crito por él P. Crr…</t>
  </si>
  <si>
    <t>Gal, Domingo Martínez</t>
  </si>
  <si>
    <t>Domingo Martínez Gal</t>
  </si>
  <si>
    <t>…icano de ia misma clase que el repre D. Francisco Herrero Blanco; para la de Navalmoral de la Mata nueva £ Don sentante ingles en Washington, no depende de que se hayan alterado en lo mas José Simón Benavides; para la de Murcia £ D. Domingo Martínez Gal insoga; mínimo las relaciones amistosas éntre la Inglaterra y América, sino de las para el corregimiento de Coin £ D. Francisco María Sánchez Castilla; para el desavenencias entre el Presidente de los Estados-Unidos y el Senado, que no de Ronda £ D. Juan Manuel Caro y Mosquera; para la alcaldía may…</t>
  </si>
  <si>
    <t>Gal, Eduardo</t>
  </si>
  <si>
    <t>Eduardo Gal</t>
  </si>
  <si>
    <t>…que el gen que pongamos ^un dique al torrente impetuoso que nos amenaza. Torrente Estamento le concedió. — - -__ que creciendo espantosamente en su curso destructor , pudiera al fin arrastrar y Entró á jurar y tomó asiento el Sr. D. Eduardo Gal vez, Procurador por sumergir en sus aguas procelosas al trono de Isabhi, perdiéndose también en el la provincia de Málaga. naufragio aquellos derechos que han sido felizmente restaurados por la mano JEl ~Sf7 Presidenta: «Habiéndose cerrado en la sesión úttima ix disanto» benéfica de la Reina. Gober…</t>
  </si>
  <si>
    <t>Gal, José Martínez</t>
  </si>
  <si>
    <t>José Martínez Gal</t>
  </si>
  <si>
    <t>…n á Roma el mes próximo, y después de una corta de interinos para la vara de alcalde mayor de la ciudad de Almería estancia en aquella ciudad pasarán á Ancona, y allí se embarcarán para Gre ¿ D. Diego Sevilla: para la de Murcia á D. José Martínez Gal insoga: cia. Después de estar algún tiempo con su Mjo volverán á Munich i fines de para la de Ronda á D. Juan Manuel Caro y Mosquera: para la de Noviembre. Se dice que el gobierno intenta emplear la primavera próxima las San Roque á D. Francisco de Paula Linares: para la de Colmenar tropas en la ob…</t>
  </si>
  <si>
    <t>Gal, Vicente Alcala</t>
  </si>
  <si>
    <t>Vicente Alcala Gal</t>
  </si>
  <si>
    <t>…eteorología aplicada á la agricultura: memoria premiada por la Real Socie Provincia de guadalajara. dad de las ciencias de‘ Moinpeller , escrita por el abate D. José Toa Ido, traducida e ilus trada con varias nocas por el capitán D. Vicente Alcala Gal ¡ano. Un tomo en 4.0, edi Su gobernador civil participa con fecha 25 del corriente que en aquella ción de 1786, á 8 rs. rama y 1? pasta coinun. capital había disminuido notablemente la enfermedad que la afligía; pues desde Los suscriptores á la nueva edición del Ano cristiano, e crito por él P. Crr…</t>
  </si>
  <si>
    <t>Galan, Cnanto</t>
  </si>
  <si>
    <t>Cnanto Galan</t>
  </si>
  <si>
    <t>…mejor y mas liberal de los gobiernos , como Un señor sacerdote. ................................................................................ 5(5 el más digno jde un 'gran pueblo, y como eí mas favorable á los progresos de la D. Cnanto Galan.......................................................................... v. . . ¿0 civilización , ¿qué mas podemos desear sino la conservación de la ¿arta? Este Un sugeto que no ha querido dar su nombre...................................... 32o es el gobiernd que con tanto placer se prometían nuestros padres en los glorio D. José María Arbizu............................…</t>
  </si>
  <si>
    <t>Galan, Francisco</t>
  </si>
  <si>
    <t>Francisco Galan</t>
  </si>
  <si>
    <t>…sti- Manifiesta su gobernador civil en oficio de 30 de Setiembre anterior, quo Ilon; los capitanes D. Andrés Herrera y D. Tadeo Lolikoski; el subteniento desde'26 á 29 del mismo mes existieron en aquella capital 109 enfermos," cu D. Francisco Galan; el sargento l.° D. Juan Valle; el cadete D. Francisco raron 37, y murieron i4 = que había sido invadido el pueblo de Comin Real: Mullen; los cabos primeros Pedro García y Vicente Eravo, y los soldados que en los 20 pueblos de la provincia que sufrían el cólera y le daban noti Antonio Fernandez, Jo…</t>
  </si>
  <si>
    <t>Galan, José Alegre</t>
  </si>
  <si>
    <t>José Alegre Galan</t>
  </si>
  <si>
    <t>…ez Solano , en Salamanca: desde 1.“ namente este rasgo de amor pátrio, y accedió á su solicitud, sin mas condición de Junio hasta fin de Setiembre. que la justa y razonable de que cumpliesen el empeño que con el gobierno Ledesma. D. José Alegre Galan, en Madrid: desde l.° Junio a 30 de francés hablan contraido. Cumplieron, en efecto, cerca de 300 hombres el Setiembre, tiempo de su servicio en los tres primeros meses de este año, y con la debida an cataioRa. ticipación se entablaron las negociaciones necesarias para su trasporte directo á España…</t>
  </si>
  <si>
    <t>Galano</t>
  </si>
  <si>
    <t>…os pueblos , y qaroer mas ijempre que sé trata de imponer cargas i los pueblos, por nías precisas, por fácilmente su benéfico influjo. toas necesarias, por más convenientes* qué sean, siempre cuesta dificultad «1 ~ » Dijo ayer el Sr. Galano, hablando cabalmente de esta materia, que al ' Concederlas. Sin enibarjgo, en esta materia aun cuándo se .haya dicho que la po gunos habita suscitado ea Europa U cuestión, y la resolución había «ido dis sición del ministerio e» desventajosa, y un Sr. Procurador á Córtes haya teni- tinta, de vt podr…</t>
  </si>
  <si>
    <t>Gálarza, Fernando</t>
  </si>
  <si>
    <t>Fernando Gálarza</t>
  </si>
  <si>
    <t>…causa nuestra, que no es la suya. Es ción por la provincia de Zamora: que en la segunda para reemplazar al Señor necesario no perder de vista esta consideración; nosotros no decimos que se D. Manuel González Allende, se presentó D. Fernando Gálarza, que había susciten persecuciones, que se exciten rencores, que se abran nuevas causas; de sucedido al alcalde mayor, y sido elegido por el partido , fundándose este para cimos que no pueden defender U misma causa hombres de ideas opuestas y hacerlo en que al referido García, habiendo dejado de ser…</t>
  </si>
  <si>
    <t>Galarzi</t>
  </si>
  <si>
    <t>…ienes vinculados, enagenados se» voto» contra cu.it r». M.is oros sol» puede decirle que fueron cinco voto* en virtud de~los decretos de las anteriores Cortes. A su consecuencia el Exce contra cuatro ; porque si hubiere votado el Sr. Galarzi, a quien vo creo cor lentísimo Sr. D. Pedro González Vallejo le leyó desde la tribuna (se inserta respondía , es claro que no hubiera votado en favor de los que se opusieron a rá el tKa señalado para la discusión). que entrabe en la junta. F.n tal caso hubiera salido empatada iJ votación , v de Aca…</t>
  </si>
  <si>
    <t>Galban, Saturnino</t>
  </si>
  <si>
    <t>Saturnino Galban</t>
  </si>
  <si>
    <t>…anterior, qnedó«probada. Aprobada Se leyó la proposición del Excmo. Sr. marques de las Amarillas conce El Estamento quedó enterado de un oficio del Gobierno, en que le cobida en- loe términos siguientes: munica el nombramiento de D. Saturnino Galban para escribiente de su se Tengo el honor-de proponer al ¡lustre Estamento ruegue á S. M. tenga i cretaría, «n lugar de D Manuel Gutiérrez, que ha fallecido.bien determinar un medio supletorio para que presten el juramento los ilustres Igualmente lo quedó de un oficio del Presidente del Consejo de M…</t>
  </si>
  <si>
    <t>Galbct, Eduardo</t>
  </si>
  <si>
    <t>Eduardo Galbct</t>
  </si>
  <si>
    <t>…ulo 4 ° del proyecto de ley estaba en armo Ei comisión de Poderes dió cuenta de haber examinado los presentados nía con el 4*°, pero no con el 3.°, del dictamen de la comisión; porque ea con los documentos de su'aptitud legal por D. Eduardo Galbct, y hallándo aquel se califican como deuda pasiva todos los intereses devengados de los bo los conformes , opinaba que debían aprobarse. Asi se acordó. nos de-Córics desde el año 23; de consiguiente no se puede saber el fondo que También fue aprobado otro dictámcn de la misma comisión , en que ma re…</t>
  </si>
  <si>
    <t>Galderob</t>
  </si>
  <si>
    <t>…mera , si se debe admitir ó no al Sr. Calderón: segunda , ;debió pedir la co El Sr. Medrano: «La comisión ha tenido presente que-el título de abo misión ese documento que 00 se pedia antes á nadie: ;Se la puede hacer un gado del Sr. Galderob es de fechl del año 1825 , y que en el año 1828 se in cargo por esto? corporó en el coiegio de la Coruña-” • Me parece que debe fijane por regla general que se presente la fe de El Sr. Dorñecq: «Alna de las comisiones mas odiosas en el Estamento es* bautismo con todos los demas documentos, pues con…</t>
  </si>
  <si>
    <t>Galdiano, José María</t>
  </si>
  <si>
    <t>José María Galdiano</t>
  </si>
  <si>
    <t>…como casi extinguida la Industria y artes. enfermedad epidémica, se proceda al expurgo y desinfección de la población. (Idem.') 4 Ciento seseqta reales al que presente á la sociedad una obra de su arte ú Real decreto nombrando á D. José María Galdiano gobernador civil de la oficio bien acabada y de utilidad conocida. provincia de Granada. (Núm. 22/.) ^ , a Real órden en que se previenen los requisitos que se han de observar para la Ciencias naturales* venta de fincas embargadas para pago de alcances á favor de la Real Hacien da, y para evitar la…</t>
  </si>
  <si>
    <t>…nes, como lo demuestra entre otras cosa* la falta de las lamí* Extraeto ddl parte remitido por el gobernador civil de la provincia de ñas. Esta táctica, ademas de ser cumplida en todas sus parles, tiene la ventaja de 5er Valencia D. José María Galdiano, con fecha X.° del actual. muy manual por su impresión en 6.a , U clara y bonita tipografía , y U corregida V Ha atendido á las reclamaciones de varios ganaderos , sobre oposición de completa conclusión de las láminas que la adornan. Ja hactu'mas recomendable que Jas justicias á que suá ganados pas…</t>
  </si>
  <si>
    <t>Gálfóftb</t>
  </si>
  <si>
    <t>…alido de .elios para im- concepto, m lo| principios personales de delicadeza y decoro que deho-aT Es ^agháriJAutfcrro parece*. *J J 1 ’ v&gt;yu q o : - ' tamento, ai Sr. Galiano', y ¿ mí mismo, me podían hacer olvidar h^r* tal - ' l Sr. Gálfóftb qué cábilmehté'tn'^iigLterra hacia algunos años puntó el carácter que tiéne un Secretario del Despacho, órgano de la potestad 'qtie^e Tráf jlia'de estás-ciiéstíónes dé ecóíiotníip en los presupuestos ; y que Iss Real, para apropúrbie tridcbidamei’télos beneficios que^a dispensado aquella. Si kCípgh…</t>
  </si>
  <si>
    <t>Galia</t>
  </si>
  <si>
    <t>…e mas si cabe que ninguno, porque hubiera deseado admirar la elocuencia de este cretario del Despacho, y en las escritas de su letra ni siquiera las firma, i Y se orador en defensa de una causa tan mala. Pero solo la modestia del Sr. Galia podrá decir que el Monarca no ha confirmado un empréstito cuando se ve no ha podido decir que esta causa la miraba como desamparada; siendo asi que anunciado en la Gaceta oficial de aquel Gobierno; cuando nombra comisiona el mismo Sr. Galiano y el Sr. marques de Montevírgen están aquí para defen do…</t>
  </si>
  <si>
    <t>…ta España ocupa en este asunto; por mi parte desisto en que se eleve esta petición. El con esto, quiere olvidartodo género de resentimientos, y no rehúsa entrar en bien ó el mal de su discusión ya se ha producido, como observó el Sr. Galia negeelaciones; pero no quiere, y muy justamente, que estas sean entabladas con no; pues por lo mismo, si ha sido un bien, ya lo hemos conseguido; si un daño conocido: no quiere desconocer su dignidad hasta el punto de presentar mal, no lo acrecentemos con distraer al Estamento del exámen dc asuntos…</t>
  </si>
  <si>
    <t>…tendría inconveniente en retirarlo. Es decir, señores, que admitido el prin políticas. cipio consignado en esta ley, cuyo carácter e$ la permanencia y ia estabilidad, "Pero una sola palabra, que ha dejado escapar de sus labios el Sr. Galia admitido por el Estamento el principio de que el servicio de ia Milicia urba no, manifiesta bien cq qué puede fundarse el sistema de la comisión , ó por lo na es obligatorio, como lo ¿% el de servir con Jas armas en la mano á la Na menos de los que se oponen al proyecto presentado por el Gobierno.…</t>
  </si>
  <si>
    <t>Galiana</t>
  </si>
  <si>
    <t>…as empleados, lo «No estoy, pues, conforme con lo propuesto en el dictámen de la comi que no debía perderse de vista en el presupuesto de dicho ramo.” sión ; pero debo decir que tampoco lo estoy con lo que propone el Gobierno. El Sr. Galiana: «Para votar déscaria que se me contestase á una pregun A mi parecer el menor número de individuos que podia componer este tribu ta,.tanto mas, cuanto he oido hablar sobre ella al Sr. Serrano. Ha dicho S. S. nal seria el de diez ó doce, pues asi se evitarían los inepn venientes que he cita que en a…</t>
  </si>
  <si>
    <t>Galiana, Alcalá</t>
  </si>
  <si>
    <t>Alcalá Galiana</t>
  </si>
  <si>
    <t>…s, se puede dar de 13. Asi Estamento , con protesta de presentir dichos poderes. Asi se acordó. que , yo desearía saber en qué consiste esta morosidad.” El Sr. Presidente anunció que se iba á loer el dictamen de la comisión de El Sr. Alcalá Galiana: «Yo creo que se ha padecido equivocación en el Guerra sobre el presupuesto de este ramo. ' sentido que se ha dado á mi pregunta. Yo be distado mucho do hacer por ella Se leyó dicho dictamen. la menor inculpación; mi único deseo ha sido el del acierto, liada estaba mas El Sr. Presidente: »Este dict…</t>
  </si>
  <si>
    <t>…rques de la Gándara Real, es preciso que lo verifique, ó que renuncie i hacerlo, para proceder í la vo Lasanta, Trueba, Fuster, Hortiz de Velascó. tación.” Concluida la votación anunció el Sr. Presidente que mañana se continua El Sr. Alcalá Galiana: pNo me hallo con fuerzas suficientes para veri ría esta discusion; y cerró la sesión i las cuatro menos cuarto. i m s Cj / ) / ■*&gt; .7 I i 0</t>
  </si>
  <si>
    <t>…i la otra discusión señalada, que es el de los presupuestos, pudiéndose entrar después de ella en la de ese arreglo que presupuesto de la casa Real.” se reclama, y sobre el cual trabaja el Gobierno incesantemente. Añadiré á es El Sr. Alcalá Galiana: » Antes de pasar á esa discusión reclamo la lectu tas observaciones otra, y es que el tiempo adelanta notablemente. Ei Gobier ra de una proposición que he hecho en unión con otros señores sobre el orden no necesita tener corrientes los presupuestos del año próximo, pues si se dilata de la misma.”…</t>
  </si>
  <si>
    <t>…iscu voluntad es conceder los 30 millones que dice la mayor»! , y los 12 que pro sión, concediéndose la palabra al Sr. Alcalá Gaiiano, á quien le tocaba. pone la misma á la augusta Rüina Gobernadora. Yo no alcanzo á ver tanto, £í Sr. Alcalá Galiana i «Entre los discursos que he oido en Ja presente y no sé lo que resolverá el Estamento; pero desde ahora aseguro que hav una discusión, el mas notable es el del Sr. Secretario de Hacienda* S. S. há habla porción de Procuradores que estamos decididos á que no sea la concesión tan do como correspond…</t>
  </si>
  <si>
    <t>…que fuese nominal Is , rea, Ruche, Ezpeleta, merques de Montéis, Pestaña, Calderón CoUtatm, votación/ . : ■'■■'■■■ v,. '.y .■ ■. 1 ' ' . .' ’'.'/Jrí--’ Osorió, conde d^Toreno, Montenegro, Llórente, Cícera, Agreda, Morales, - * El Sr. Alcalá Galiana: «Para votar quisiera hacer una preguntar reía- San Clemente, marque» de Torremejía, Campillo, De Pedro, Latorre, Ochoa, tira iji al fijar los gastos noceuricwí la,casa Real se habían tenido datos exao- conde de.Almodovar, Subercase, conde’ de Adanerp, Aguirre Solarte, Roma» tos, ¿ soto se habia he…</t>
  </si>
  <si>
    <t>…el fuesen criminales se podrían poner entre sus nombres otros de alta categoría; y Sr. Cosío en e»to , se terminó este debate, continuando la-discusión. asi podía llamársele á Fernando vn. Recordemos, Señores, aquel célebre ma El Sr. Alcalá Galiana: «Precisamente el incidente que acaba de termi nifiesto de M^20 de 1820, en el que dijo el Rey: «Españoles, marchemos y narse, añade nuevos embarazos á los que de suyo me ofrece la cuestión, para yo el primero por la senda constitucionaly si bien es cierto que algunas no renunciar la palabra, ni se…</t>
  </si>
  <si>
    <t>…se ve la -verdadera aristocra «Admitido este principio , en cuya demostración no me derengo, por cia del país, no 1a que forman las leyes, sino la que nace de la esencia misma haberlo hecho ya con la maestría que le es propia el Sr. Alcalá Galiana, y de la sociedad- porqtse le juzgo como un axioma que no necesita demostración, no puede me «Después de abolidos los antigüos consejos, se nombró un consejo Real: nos de convenirse en la inmediata consecuencia de él, cual es que todos los em el ministerio no alega como ún mérito lo que hizo entonc…</t>
  </si>
  <si>
    <t>…; y bana y la de suspender su organización en algún pueblo o provincia, son esto se salva diciendo que se restablezca en el término de un afio.” exclusivas de S. M., según lo exijan las circunstancias y el bien y seguridad del El Sr. Alcalá Galiana: «Deseo saber si en el caso, por ejemplo, de que Estado. "" pudiera yo proponer una adición, en que.se dijese dando cuenta, sin expresar « Esta suspensión ó disolución no podrá prolongarse á mas de un ano, con motivada , opondría el Gobierno de S. M. la misma resistencia” tado desde el dia que se v…</t>
  </si>
  <si>
    <t>…do rebajarse su mérito basta el pon-: que hacer gastos de consideración, como era el de sostener una mesa correspon to que se habiá 'pretendido. ■ diente á su clase, mantener caballos para recorrer su distrito, y otros de esta El Sr. Alcalá Galiana: «Nunca ha sido mi objeto rebajar en manera especie, los cuales no podían compararse con los de un gobernador civil, que alguna el mérito de los que siguen la noble carrera de las armas, porque pre eran mucho menores; y que por consiguiente el sueldo debía de ser á propor tenda que se hagan en ella…</t>
  </si>
  <si>
    <t>Galiana, Alcald</t>
  </si>
  <si>
    <t>Alcald Galiana</t>
  </si>
  <si>
    <t>…tan pre más de la casa Real; quisiera que estuviese sujeto al mismo método y norma cioso, como que en él están cireadás las esperanzas de la Nación.” que los.-demas, pues asi habría uniformidad. Por lo mismo que.he servido en El Sr. Alcald Galiana: ® El. Sr. Presidente del consejo de Ministros np ese cuerpo , me duele que costando tanto como cuesta á la Nación , no se pre ha formalizado la proposición que ha anunciado, en cuyo caso yo me opongo sente- Con la brillantez que debe según se vió en la última revista en que hacia á ella. La ha emi…</t>
  </si>
  <si>
    <t>Galiana, Aléala</t>
  </si>
  <si>
    <t>Aléala Galiana</t>
  </si>
  <si>
    <t>…ijos de los milicianos pudiesen serlo, tamos, respecto de los pueblos cortos, el Gobierno no tiene empeño en que en st querían voluntariamente.” las mayores poblaciones sea de 6 ' ú 8U reales; siempre estará por el mas sub do, Ei Sr. Aléala Galiana-, «Había pensado hablar muy brevemente sobre pero no se opondrá á que se rebaje, si al Estamento le parece mas'conveniente. aste artículo, y aun lo haré con mas brevedad después de modificado por el se «Respecto de iBs hijos, el Gobierno cree que siempre deben tenerse to ñor Secretario de lo Interio…</t>
  </si>
  <si>
    <t>Galiano</t>
  </si>
  <si>
    <t>…la ley de eleccio ministros de un Dios de paz, solo ordenan para complacerlo la matanza y.el nes todas las aclaraciones que exige. exterminio; de unos hombres, repito, que á la cabeza de hordas inmorales y »De las cualidades del Sr. Galiano no quiero hablar; en materia de opi desalmadas han trocado el pacífico ÍDceosariopor la espada matadora, la es nión , lo que para unos seria, mérito , podía ser para otros inconveniente. Tam tola por el tahalí^ y los himnos consoladores y augustos de nuestra religión poco negaré que lo que es nulo…</t>
  </si>
  <si>
    <t>…jetaré á la resolución del Estamento que declare si se ha precisa; pero dejando al mismo en la calidad de víctima propiciatoria , no tiene faltado ó no.” gran fuerza este argumento. Ademas, porque en virtud de razones de conve El Sr. Galiano: «Yo desearía sobre este punto que mi conducta se so niencia pública se hayan reconocido una porción de actos cuya mala tenden metiese á esa deliberación , para,que se viese si me he separado de mi deber.” cia confesamos, no quiere decir esto que se deba reconocer otro cuyas circuns El Sr. Presiden…</t>
  </si>
  <si>
    <t>…cia justa, dijo que no le habia aprobado. Es verdad que aun cuando trato de demostrarlo, . sin lisonja, de igual á igual, de un modo noble y decoroso. no lo hizo; porque la falta que S. S. habia notado en el documento de apro »E1 Sr. Galiano empezó por lamentarse dé la falta de asistencia del dig bación, no importa nada; el Monarca no rubricaba mas que los decretos y las no Procurador el Sr. Arguelle?, y todos participamos de ese sentimiento: y yó consultas del Consejo; las resoluciones, por graves que sean, las rubrica un Se mas si ca…</t>
  </si>
  <si>
    <t>…ien siempre con satisfacer, y sin que le quede recurso ni aun para acudir á las Córtes en mucho ''incertidumbre y continuas oscilaciones. tiempo; porque es claro que desechado este empréstito en esta legislatura , ya «Ha dicho el Sr. Galiano, y no esperaba menos de su ilustración, que en durante ella no puede volverse á tomat en consideración; y como en la riguiciicuanto al Gobierno francés no habia que temer ahora.de sus intenciones. Mas te los mismos Diputados que ahora lo desaprueben , tienen que volver á ser juéyo añadiré por nii p…</t>
  </si>
  <si>
    <t>…, una especie de juicio en segunda instancia , no se «Sobre la denominación de regencia deTriinb ^ emplea en un esta han desvanecido las razones que hubo para dar la sentencia en primera. Res do de la caja de Amortización , ya el Sr. Galiano ha h¿cno al Gobierno la jus pecto a la pronunciada por el otro Estamento, no lo fue porque estuviese con ticia debida, diciendo que no se habrá empleado de deliberado propósito. Ya vencido de lo contrario que este, sino por las consecuencias de la dada por él, en la denominación , ya en U inexactit…</t>
  </si>
  <si>
    <t>…erca Sánchez Toscano, Caballero, Cano Manuel y Chacón, Cezar, Ferrer, Pizarno la civilización y el bienestar de las Naciones mas cultas de Europa. ro, Acuña, Diez Gonzalez, Mantilla, marques de Montevírgen, Miranda y «Vea pues el Sr. Galiano como no se ha presentadó un proyecto poco Olmedilla, Calderón de la Barca, Mattel, Lasanta, Palatea, Trueba Cosío y meditado, como S. S. parece creer al ver el calor con que ayer y hoy fia in Fuster. culpado al Gobierno, y de maaera que lleva la de recrearse, digámoslo asi, en Los señores que se ab…</t>
  </si>
  <si>
    <t>…ron los gastos á 91 millones, y llegaron á la enor «De otra suerte, si los individuos de la oposición se guiasen solo por ha me cantidad de 100 millones de rs. en tiempo del Sr. D. Cirios iv, abuelo blillas Vulgares, como dicq el Sr. Galiano, y el Gobierno siguiendo dicho ejem de nuestra inocente y amada Reina. plo hiciera otro tanto, y juzgara á la misma oposición por hablillas también Preciso a confesar que atos excaos con ninguna ventaja compensados, vulgares de esas que se esparcen contra los señores que la componen, me parece han…</t>
  </si>
  <si>
    <t>Galíano</t>
  </si>
  <si>
    <t>/ / ' / / - - ■ " Óél Sr. Galíano: resultando ponerse ¿ votación si se había de proceder á la de - del ejército, hay ana muy poderosa ; y es la de que quiere presentar, en la des la referida adición. graciada lucha que aflige á varías provincias, una desigualdad tan palpable de Antes de preguntarse manifestó el Sr. González que se…</t>
  </si>
  <si>
    <t>…reiba en el Estamnento en este momento ,;mas Dalldera gloriosa de Isabel ti , mejoras, ilustración , leyes fundamentales. j feaerte que nunca; pero Procurador del reino, interesado como el que mas en tamos en tina revolución! El Sr. Galiano ha dicho que si. Seria tafo elhpefiaf-^ la salvación de la patria, he querido dejar, consignada itil opínion-hablando de Se en una cuestión de palabras-, y por cierto cuando tantos son ltts enemigo*' esta manera. Tengamos presente, señores, que si se falta al principio del alista-1' contra el ttOno…</t>
  </si>
  <si>
    <t>…e dió cuenta de la siguiente adición al mismo artículo 3.°, propuesta por El Sr. Secretario del Despacho de lo Interior contestó que la observación el Sr. Calderón Gollantes: «Pido que á continuación de las palabras los hijos del Sr. Galiano recaía sobre la parte adicionada por la comisión; y que aun de los que paguen la cantidad de 60 rs. arriba, se añada y los de los em cuando no entrabaren las ideas del Gobierno el hacer esta reforma, sin em pleados y militares cuyos sueldos no bajen de 69 reales. bargo no se opondría á qpe se fíjas…</t>
  </si>
  <si>
    <t>…e trata de una persona cuyos conocimientos y virtudes son bien conocidos: so dividuos en que se desaprobase. Bajo este entender entro en la cuestión. trata de una persona con quien me ha unido y une una amistad íntima: se tra «El Sr. Galiano nps ha dicho que cuando la ley es dudosa debe interpre ta finalmente de una persona por la cual de nuevo me veo colocado, sin mere tarse favorablemente’al interesado. Exactamente es esta la idea de la comisión; cerlo , en este püesto, que mas bien es un lecho de espinas que no de rosas. No pero ha…</t>
  </si>
  <si>
    <t>…cción de suscribir á la pe za que de ellos se hizo; de esa época de que con tanta elocuencia, justamente tición , a fin de apoyarla con mi débil voz, porque la creo justa, justísima y europea, ha hecho un recuerdo tan oportuno el Sr. Galiano en la discusión an de mas importancia y trascendencia de lo que á primera vista aparece. Yo no terior. Aunque no con tantos títulos como S. S., yo recuerdo también con en la miro, señorís, como una cuestión puramente de personas, sino de cosas;aun tusiasmo las memorias de aquel tiempo. Muy ¡oven er…</t>
  </si>
  <si>
    <t>…o poder -de Bonaparte; que al fin de la guerra se encontró con una ¡ninenvos.-Este •íce mi argumento»” sa deuda, con una paralización casi general en las operaciones mercantiles, vio El Sr. Stcrftario del Despacho de. Estadox «El Sr. Galiano ha pedido que hasta la misma paz, por una combinación extraordinaria, empezó por obs la palabra para deshacer una equivocación: y yo, que deseo dé buena femó in truir los antiguos canales de la riqueza pública, y tuvo que sufrir en medio de currir en ellas, he interrumpido de buena voluntad mi disc…</t>
  </si>
  <si>
    <t>…otra , sin mas que y administración de estos últimos años (de la cual no nos hemos declarado anunciar los augustos títulos con que se distinguen; y tanto mas, cuanto qüe jamas herederos, como.equivocadamente supuso el otro dia el Sr. Galiano), sí si fuera una cosa nueva, extraña, peregrina, podría haber llamado la atención diré que en el hecho de haber habido cierta paz, que no¿e había conocido ha del Sr. Arguelles; pero no es asi. Ei ejemplo mismo de Portugal, que se ha cia muchos años') el no Juber habido guerras extrangeras, y de ha…</t>
  </si>
  <si>
    <t>…eña fe se puMé presentar la cuestión'bajo su verdadero punto de .vista. Europa por algunos escritores, es ocioso absolutamente el hablar de ella. (El Rara ello es conveniente (y y» el 'Sr1. Argüe lies lo ha reconocido asi) que en Sr. Galiano pidió U palabra para deshacer una equivocación, } Si yo no he 'ésllát máteriis y 'éV ístá discusion, to mismo que én cualquiera otra, nunca es comprendido mal, me parece que ha sido esto lo que dijo el Sr. Gaiiano.” lícito invocar elfíómbfé ni apoyarse en el prestigio de ciertas personas colo- £1 S…</t>
  </si>
  <si>
    <t>…sino por gratitud, está amenazado por una impía y fuerte facción; es ne¿eurío 4e guardase la compostura y órden debido. ) que se mire én justicia á los hombres que están comprometidos con la suerte «Se trata asimismo (continuó el Sr. Galiano) de cuestiones y principio* del actual sistema. &lt; Y cuáles son estos? Aquellos que mas de una vez compro sobremanera impórtame*; principios que versan sobre las doctrinas fundamén metieron su vida por la Nación; aquellos que en premio de su decisión se vie tales de la sociedad, y sobre el respeto q…</t>
  </si>
  <si>
    <t>…con que se Babia recuerdos gloriosos, como acontece cabalmente á las que forman ia hcreixcia y de aprobar y publicar la exclusión de los' Estuardos. patrimonio de los españoles. «Otra materia de mas gravedad, á que ha aludido el-Sr. Galiano, es el «Mas al restablecer bs antiguas instituciones no cn posible resucitar las principio que una vez asenté, y que repito ahora, á saber: que el régimen ac Córtes bajo la forma que antes tenian; porque esto hubiera sido una especie de tual no era ni el constitucional -ni el absoluto v no porque,…</t>
  </si>
  <si>
    <t>…estinos á los que dignamente los ocupan; tual de usar arbilrarie^fodes, y de ser causa de persecuciones (porque asi se eapero sepárense aquellos que son sospechosos, y que hasta ahora el Gobierno ha , tendió por todos, si bien el Sr. Galiano ha rectificado después la idea); en conservado equivocadamente en sus puestos. tonces el Sr. Secretario del Despacho de Estado, expresando que no se tratase ««Por qué han eje estar tan desatendidos, tan olvidados, tan arrinconados de examinar las cuestiones ó arbitrariedades de los tiempos actuales…</t>
  </si>
  <si>
    <t>…evalidamos sus nombramientos, también revalidamos sus separa «Pero volviendo al asunto en cuestión, repito que haciéndose las aclara ciones, sus destituciones. Nos ponemos en el mismo mismísimo caso que si es ciones dichas por el Sr. Galiano, el artículo creo se aprobará con la misma tuviésemos en el 30 de Setiembre de 1823 respecto á esto. Todos los que obte unanimidad que ayer.” nían destinos en comisión, como tales se considerarán, no como empleados El Sr. AUala Galiano. «Yo he entendido que estaba as: expresad.-» en efectivos. Al q…</t>
  </si>
  <si>
    <t>…a la casa Real 33 millones, es autorice para ia pregunta de que se trata.” ' claro que ahora con las economía* planteadas, gastará y necesitará mucho El Sr. Vicepresidente: «En una de las sesiones anteriores se hizo por el menos. Sr. Galiano y otros señores la proposición de que no se declarase este asunto ' «Ha hecho el Sr. Palarea tina espécie de reconvención á los que queremos discutido mientras hubiese un Sr. Procurador que tuviese pedida la palabra. Esta rebajar el presupuesto de qqe se tratá,&lt;jiíC¡éndonos que acasó muchos de nues p…</t>
  </si>
  <si>
    <t>…terminantemente sobre la utilidad ó perjuicio á'e-io que ^e propone. Habiendo un Sr. Procurador prommpido en la expresión al &amp;r4enfal (Para qué? Pára qué el Gobierno tenga lugar de ver cómo se\podr¿n llevar á orden, se detu vo el Sr. Galiano. efecio'las,medidas que se prppoñen, y qué inconvenientes tendraq en lá ejecu- El Sr. Presidente : «Si algún Sr. Procurador tiene que reclamar el órden, cíon. Todos estos fines hacen indispensables ciertos Trámites, cierta\dciencionc«, hago presente que debe dirigirse á mí;,pero dé ningún modo hacer…</t>
  </si>
  <si>
    <t>El Sr.'Secretario de Estad»,: «No hay.nada mas en el vjden que ia tet- de idees que te agolpan imi imaginación, me distraen del rcriadero-objeto, dad, y es unaverdadde hecho la que el Sr. Galiano ha dichó-” y del camino comenzado. Et Sr. Galiano'- «Por mi parte a nadie trató de tnculpár, y mucho me- «S. S. no‘debe creer que el Estamento desea vulnerar el Estatuto Rbai; al no»á &amp; S.;.y todo» «mecerán, y S. S. el primero,,que no be tenido, «i por contrario el Estamento lo venera; pero lo cier…</t>
  </si>
  <si>
    <t>…mismo 3os que quieren parar sobradamente Já máquina cuando ’&gt;En Francia cuando la Carta de Luis xvm , ta iniciativa pertenecía v4.de priesa ;4oGDÍsmolos que «e imaginan que podrán detenerla, si la empu al Rey: motivo, ha dicho el Sr. Galiano, por e'l que se precipitó, si no jan demasiado,,y se rompe todo lo que modera el movimiento. Yo quisiera acaeció la revolución del afio de 30: puesto que, ha añadido dicho señor, si que-ise imitara-en esTo al digno Sr. Arguelles; jamas se advierte en sus discursos mal ap he entendido, tuvieron las…</t>
  </si>
  <si>
    <t>…de tai modo, que auxilie á la administración en véz de en sotros, no ja comisión, sino personas que disentíamos igualmente del proyecto torpecerla. de la comisión que del Gobierno, que la Milicia urbaaa fuese voluntaria: el •&gt;E1 Sr. Galiano, en su breve, discurso, ha hecho confesiones que le hon Estamento juzgó de otro modo. Ya no nos quedaba este medio de alejar el in ran ; á mí me ha cabido una verdadera satisfacción al oír de boca de S. S. que conveniente de dar cabida en la Milicia á personas que no inspiraren confian no hubiera v…</t>
  </si>
  <si>
    <t>…ctec conveniente; pues solo quiero deber su contes «Entre los motivos que había pira no desear las elecciones de cierto mo tación á un favor particular de S. S. Esta se reduce, á saber, si ei intento del do, y á que ha aludido el Sr. Galiano, si no me equivoco es uno de ellos el de Gobierno es extender el principio que ha establecido , á ios capitanes.” que las reuniones que exigen pudieran originar desórden y altercados en que El Sr. Secretario del Despacho de lo Interior manifestó que el Gobierno las pasiones se rozan, dando lugar á…</t>
  </si>
  <si>
    <t>…como nos dijo el Gobierno el dia anterior, pasado el cual se dificar unos y otros, y moderando su impulso exclusivo, protegerlos á todos. permite introducir grano para satisfacer la necesidad. Uno de los señores peti «Ha dicho-el Sr. Galiano que la cu«tion no « entre nacional» y excionarios-nos ha hablado de la necesidad de pasos-pregr»ivos en la libertad de tradgeros, sino entre productor» y consumidor»; {pero acaso «tos no «tan in comercio; y « extraño, atendida la ilustración de S. S., el que nos proponga teresados en la suerte de a…</t>
  </si>
  <si>
    <t>El Sr.'Galiano pidió la palabra para deshacer dos equivocaciones , y dijo; ' sueldo de tales gobernadores es exorbitante (lo leyó); y por consiguiente es un «Precisamente yo no había hablado de'losgenerales en gefe que. hay en Fran rámq este .cn que hay que hacer mochas economías. En primer lugar hay pao- • cia.…</t>
  </si>
  <si>
    <t>Galiano'</t>
  </si>
  <si>
    <t>…n equivocado arma defensiva, cuando los Sres. Píocuradorc» se han valido de .elios para im- concepto, m lo| principios personales de delicadeza y decoro que deho-aT Es ^agháriJAutfcrro parece*. *J J 1 ’ v&gt;yu q o : - ' tamento, ai Sr. Galiano', y ¿ mí mismo, me podían hacer olvidar h^r* tal - ' l Sr. Gálfóftb qué cábilmehté'tn'^iigLterra hacia algunos años puntó el carácter que tiéne un Secretario del Despacho, órgano de la potestad 'qtie^e Tráf jlia'de estás-ciiéstíónes dé ecóíiotníip en los presupuestos ; y que Iss Real, para apropúrbi…</t>
  </si>
  <si>
    <t>Galiano, AJcalá</t>
  </si>
  <si>
    <t>AJcalá Galiano</t>
  </si>
  <si>
    <t>…tido la comisión , i lo qué contestó el Sr.,pnarques.de Es cuerpos sin uniformar, ’ pinardo que había sido tm error de imprenta , que pódria enmendarse; . «Por lo que hace á los oficiales estampada acuerdo la comisión; y el Go EI Sr. AJcalá Galiano manifestó que en atención £ la gravedad del asun bierno. Sin embargo, esté no insistirá en que se adopte su ppinion. Lo que de to, deseaba saber del Sr. Presidente si suspendería la' discusión de este articuló sea es que^se baga el servicio con regularidad, y que no se grave mas á.los que .para mañ…</t>
  </si>
  <si>
    <t>Galiano, Alcalá</t>
  </si>
  <si>
    <t>Alcalá Galiano</t>
  </si>
  <si>
    <t>…i b ra presentar el., parecer que exponía en el acta quo se bahía leído ¿ ^ba á im comisión ¿ i fin de ganar tiempo. primirse. ■ . v El Sr. Residente contesto que por su parte no había ningún inconvenien Del mismo parecer fue el Sr. Alcalá Galiano, manifestando que defería te én ello si el Estamento lo acordaba asi. Hizo ademas leer lo* arts. 88 y 89 á la idea del Sr. Secretario del Despacho de Hacienda, con tanta mas razón, del reglamento. cuanto por algunas expresiones de S. S. en sesiones anteriores podría creerse El Sr.'ArgüelIes manifes…</t>
  </si>
  <si>
    <t>…on contra la elección de D. Prudencio Echevarría, por el que aparece sean el mas firme apoyo de las leyes fundamentales 7 del orden público- Y yo que este Señor tiene pendiente causa en uno de sus tribunales. pregunto ahora : ¿el Sr. Alcalá Galiano no da esta prenda de seguridad que La comisión de Poderes dió cuenta, de haber examinado los documentos ex^ge la ley? ¿el Sr. Alcalá Galiano no presenta un testimonio público que déla aptitud legal del Sr. D. Antonio Alcalá Galiano, electo Procurador «Ecredita la propiedad de la renta que la ley ex…</t>
  </si>
  <si>
    <t>…res nucios, coas todas que no se han hecho nes ¡ como viene ahora la, comisión , no en calidad de duda , sino con el dxtá- en otras juntas. Pero en medio de estas contradicciones y diversidades, la de roan de que. no te admita al Sr. Alcalá Galiano? Yo no sé cómo esto pueda pa cisión del Estamento siempre ha sido lo mismo;,prescindir de lo accidental, y</t>
  </si>
  <si>
    <t>…ntrastada por la dulzura; la violencia por la justicia; la igno el dictámen de la comisión, y en consecuencia aprobados los poderes y docu rancia por la ilustración ; y el insulto y desprecio del hombre y de sus santos mentos del Sr. Alcalá Galiano, por 62 votos contra 47 del total de 113 se derechos, por el pacto sagrado que asegura la dignidad del primero, y el mas ñores votantes, habiéndose abstenido de votar 4 de los mismos. inviolable respeto por los segundos. Tal es la alternativa que ofrecen los prin Los señores que aprobaron el dictám…</t>
  </si>
  <si>
    <t>…ís. Mi opi coacción y coacción, y verse en el compromiso de declarar cuál era válida. nión pues entonces versó sobre e\ capital, y no sobre los intereses.” t «También es punto muy importante lo que se alega en la razón 8.a (la El Sr. Alcalá Galiano: «Se ha dicho que el empréstito de Guebhard leyó), y el estar en la posición de ser casi solo por falta de los comptñeroS de en su anularon ha producido funestos efectos 4 nuestro crédito; y el Sr. Secre comisión , me impide entrar de lleno en él, por lo que solo diré que la opi tario ¿e Hacienda h…</t>
  </si>
  <si>
    <t>…da en deuda activa; por manera que los intereses se anteponen al capi ros tendrán la misma suerte que los demas interesados en los bonos de Córtes.” tal. Asi creo que esta modificación no puede correr en los términos en que es El Sr. Alcalá Galiano apoyó la adición manifestada, diciendo que era tá concebida, y seria preferible el que la mejora recayese sobre el capital. justo beneficiar á los tenedores de bonos de Cortes postergados á los demas « Ademas cuando se trata de la totalidad de la deuda pasiva, me parece acreedores; y que en cuanto…</t>
  </si>
  <si>
    <t>…tratada como conviene, aquellas ventajas mercantiles á que nos dan derecho la iíentidad de lengua, de con honor, con dignidad y maduro detenimiento.” hábitos, de costumbres, asegurándonos alguna preferencia con respecto á los El Sr. Alcalá Galiano deshizo una equivocación que dijo haber padecido qxtrangeros Tal ha sido, ni otro pudo ser, el objeto de los peticionarios: ahora el Sr. Secretario del Despacho de Hacienda. .' bien, - este objeto se ha conseguido! Esto es lo que debemos examinar. Aquí Se leyeron á petición del Sr. Caballero los ar…</t>
  </si>
  <si>
    <t>…él sea presen- vilizados de E^uropa sucede lo mismo. En el reglamento de las Cortés pasados tsar una petición, que es de lo que habla el art. 13ü.” se establecía que para evitar los males que pudieran resultar, antes de pregun El Sr. Alcalá Galiano expuso que no tenía presente el artículo del regla tarse si estaba el punto suficientemente discutido, debiesen haber hablado tres mento; pero sí entendía que siendo representativo nuestro Gobierno, no se Diputados, ahora Procuradores, en pro y tres en contra, si los hubiera que podía privar á los…</t>
  </si>
  <si>
    <t>…e se tratabi tenia dos puntos de vista: primero.., como relativa a un caso equivocaciones en la lista, por pedir la palabra varios señores á la vez. particular, y respecto de este el Estamento podía resolver La medida que abra El Sr. Alcalá Galiano dijo que siendo la cuestión de que se trataba pu zaba si lo tenia por conveniente para el asunto de que se tratase: segundo, ramente reglamentaria y de fórmula, no veia hubiese inconvehiente en que se como regla general para todos los casos; y en este era preciso que se mirase adoptase la proposici…</t>
  </si>
  <si>
    <t>Galíano, Alcalá</t>
  </si>
  <si>
    <t>Alcalá Galíano</t>
  </si>
  <si>
    <t>…, no ha hecho mas qfrv§cguir la marcha de una vez, como vaciadas en un molde, tan perfectas que no tengan defectos. dicada entonces por el Estamento.” Seria el primer país del mundo donde se hicieran de tal manera que no hubie El Sr. Alcalá Galíano pidió que se leyese el acta do la w*ion de 10 do ra que tocar á las leyes. La Francia lleva muchos años de esta institución, na Setiembre, en que se acordó por el Estamento. cida desde el año de 80 y modificada.succsivameatc. y todavía están dando nue MI Sr. Arango: «Yo siento que nos entretengamos…</t>
  </si>
  <si>
    <t>…Córtes. en las discusiones sobre presupuestos no se declaren los puntos suficientemente «Creo, pues, haber satisfecho al Sr. conde de las Navas con lo dicho; discutidos ínterin haya Procuradores que tengan pedida la palabra.” El Sr. Alcalá Galiano? «T?o se me ocultan los Inconvenientes que po reasumiéndolo con repetir que el Gobierno presentará dentro de poco el ar reglo de la deuda interior, sin que obste no estarlo ya para discutir los pre drían resultar de prolongar mas allá de los términos convenientes las discusio supuestos.” nes sobre…</t>
  </si>
  <si>
    <t>…idad de la Nación en cuanto sea com de 30 millona será suficiente para cubrir con desahogo los gastos de la Ral patible con la libertad y el órden.” Casa, y las obligaciones que ha satisfecho hasta el dia sin menguar en lo mas El Sr. Alcalá Galiano; «Para deshacer una importante equivocación. Si mínimo el decoro y esplendor del Trono. No ha olvidado tampoco que siendo el discurso del Sr. Secretario de Hacienda se dirige á mí, tendrá presente S. S. atas asignaciones variables por su misma naturaleza, estarán siempre sujetas á que ha equivocado…</t>
  </si>
  <si>
    <t>…fica lo que se derramaba sangre española por manos españolas. Si no hablase tan claro el mismo autor de la proposición no habrá querido significar.” la experiencia, no se daría importancia á las palabras, como tampoco si no se El Sr. Alcalá Galiano pidió se leyese la fórmula del juramento. (Se leyó.) manifestase pn empeño en querer reproducirlas. El Gobierno no se desdeña de El Sr. González ( D. Antonio)'. «El Sr. preopinante ha padecido la adoptar las reformas útiles que hicieron las anteriores Cortes, porque no obra equivocación de ‘suponer…</t>
  </si>
  <si>
    <t>…ítica! ¡quién ha de ser el juez! Estas son dificultades qué tado; es decir, por un extremo diametralmentc contrario al que ta'ha querido no se pueden'vencer. El principio general es: que todo el que respeta la socie considerar el Sr. Alcalá Galiano; aunque yo debo confesar que aquella Opinión dad y está interésado en su conservación y en el mantenimiento dél buen or no era la mía ; porque esta institución jamas debe entenderse corno fundamen den , merece la confianza de la Nación, y debe esta darle las armas. Comí» no tal, porque pueden exist…</t>
  </si>
  <si>
    <t>…eyó-todo el art. 3.0~á fin de ver si estaba conforme con lo aprobado; \ Antes de procederse á la votación de la 3.a parte del articulo 3«° pre y e! Sr. Serrano (D. Gines) observó que era mas natural que ésta última parte guntó el Sr. Alcalá Galiano al Sr. Secretario del Delpacbo.de lo Interior, si el del artículo qué se acababa de aprobar , según había propuesto el Sr. Mocoso, Gobierno accedía i lo que, si no estaba equivocado, había él mismo indicado se antepusiese á la clasificación de las cuotas; en lo que convino este señor, y el anterior…</t>
  </si>
  <si>
    <t>…echo. Este es el sentido en que la comisión ha sentado su dic Esta es la cuestión , y lo demas es divagar. Por tanto yo creo que debe ser ad tamen.” mitido el Sr. Argiielles, y de consiguiente desaprobarse el dictamen de la co El Sr. Alcalá Galiano: •&gt; Seguramente fuera de desear que en esta cues misión.” tión , como en todas las demas, al ocuparnos de las cosas, no nos ocupásemos El Sr. Medrana: «No sé si es mas desagradable el haber tenido que de las personas; pero por desgracia es imposible. Verdaderamente que para se emitir el dictámen en…</t>
  </si>
  <si>
    <t>…antes de ayer álgtinas proposiciones trimonio daria mayores productos. ‘ que me parece deben contestarse detenidamente, sin embargo de haberlo hecho • "Paso á manifestar las razones spor que creo que el.pedido delGobierno, ya el Sr. Alcalá Galiano con aquella elocuencia que le es propia. Dijo dicho -que.es ya el mismo que,propone la comisión, me parece todavía excesivo. La •Sr. Ministro que la Cuestión podia tener mucho influjo en otras naciones. Esta primera razón que encuentro es la corta edad de cuatro años .que tiene la Rki- es una gener…</t>
  </si>
  <si>
    <t>…a, la misma causa y la,misma redactada.” necesidad que aquellos que lo hicieron en el año 1808, cuyas revoluciones no No habiendo quien hablase en contra se concedió la palabra en pro al han sido condenadas por ninguna persona. - Sr. Alcalá Galiano. «Los que asi obraron se han hecho acreedores á la consideración nacional, El Sr. Cosío pidió la lectura; del fart. 66 del reglamento , la cuál se veri y ocuparán un lugar distinguido én las páginas de nuestra historia los individuos fico, y ocasionó un ligero debate, relativo á si no habiendo quien habl…</t>
  </si>
  <si>
    <t>…amente. iía, lo haiseguido tinibicn en la práctica. £1 Sr. López ir, Después de haber oído el extenso y enérgico discurso de, «Tratóse de establecer el Estamento de Próceros;, y para esta dignidad,, nuestro dignísimo compañero el Sr. Alcalá Galiano, poco podié yo decir que hereditaria en unos y vitalicia en otros, tal fue la forma que se dió -á esta ins contribuya á robustecer las razones que ha expuesto S- S. con aquella fuerza de titución., establecida de uno á otro modo en todos los países donde bay régi lógica, y aquel vuelo de imaginació…</t>
  </si>
  <si>
    <t>…o puede ser la inten ver qué la cuestión de hoy'es la mas memorable que se puede ventilar en este ción n¡ el objeto de los Sres. peticionarios. Digo esto porque todos sabemos augusto recinto. No es una simple medidá, como dijo el Sr. Alcalá Galiano, que en aquella época hubo muchos empleados que dejaron de serlo, y sin em de justicia pública, y de resarcimiento de los daños causados 4 los patriotas bargo conservan en su poder ios nombramientos. éñ cuyo favor se hace la petición: se trata nada menos que de la libertad espa «Añadiré que un empl…</t>
  </si>
  <si>
    <t>…la redac legítimo. Tal vez contra esto obrará el efecto de una metáfora brillante que oí ción del artículo tal como la ha propuesto el Sr. Villagarcía.” con mucho gusto; metáfora pronunciada con todo el lujo y el brillo de una El Sr. Alcalá Galiano: «Ayer hemos conseguido una victoria impor imaginación viva y fecunda, y que al paso mismo que me complací en oírla tantísima , y ahora solo se trata de ver el modo de aprovecharla para que no me hizo ver que tenia mucho de platónico, mucho de fantasía. Es aquella me sea inútil No se crea que aludo…</t>
  </si>
  <si>
    <t>…o que *c reduzca la petición á una simple recomendación ai Go rían nuestra miseria, aun los mas opuestos en principios’ General se llamaba bierno.” al general constitucional cuando se le daban 2o duros por caridad: coronel al F.t Sr. Alcalá Galiano se manifestó satisfecho de esta aclaración. coronel, y asi de los demas. ¿Ignoran acaso que se hace una nueva é incontes . Ei Sr.. Secretario del Despacho de Hacienda-. ^Conforme vamos ade table profesión de fe política, al conservar en la adveisidad los títulos dados lantando en la discusión, vamo…</t>
  </si>
  <si>
    <t>…a trascendencia.” se podrá ejercer, i De qué manera? Según lo determine el reglamento. E^tc fi El Sr. Caballero deshizo una equivocación de hecho. jará las limitaciones ó las ampliaciones en que puede hucerie u-&gt;o de este dere El Sr. Alcalá Galiano: «Cabalmente el discurso del Sr. Secretario de cho. Es elástico, permítaseme decirlo asi, el modo de ejercerlo, puesto que el Estado acaba de revelar una cosa, con la buena fe qua es característica á dicho reglamento es de suyo variable. señor, que aunque la sabíamos, y ya la ha indicado el Sr. Arg…</t>
  </si>
  <si>
    <t>…buso que eran capaces támen, no dijo como el Gobierno: »que el servicio de ia Milicia urbana sea de cometer, citando hechos recientes de uno de ellos. obligatorio*." en el modo con que presentó su dictámen la comisión, esta no El Sr. Alcalá Galiano, también para deshacer una equivocación, expuso hizo mas (según ha expresado de una manera delicada el Sr- Palarea) que es que el haber defendido la junta propuesta por la comisión, había sido solo con quivar la dificultad; el.Gobierno fue mas franco. el objeto de que esta ejerciese, no una autorid…</t>
  </si>
  <si>
    <t>…nes se rozan, dando lugar á disgusto» consiguientes; no á causa de ia no tenía inconveniente en hacerlo extensivo á la elección de ios capitanes. bulla que hubiese á la puerta de ios a\untamientos , si esta bulla fuese solo la El Sr. Alcalá Galiano : «Agradezco mucho á S. S. esta contestación. que pioducen las fiestas y los regocijo» , pues es seguro que el Sr. Ministro de Efectivamente , ha variado mucho el terreno en que estamos. lo Interior nunca se opondrá á las recreaciones ju»tas é inocentes. La concur «El principio electivo adoptado po…</t>
  </si>
  <si>
    <t>…y em mientras hubiera los trabajos extraordinarios que causaban los expedientes, y pezar la discusión por W de milicias, cuya plantilla tengo aquí.” otras operaciones ; asi es que lodos los que excedían de la dotación cobraban El Sr. Alcalá Galiano dijo que en vista del giro que había tomado esta r sus regimientos; pero en el día no'puede hacerse esto, porque el Gobierno discusión, ío que debía hacerse era que el Gobierno retirase, como podía, es mandado que en estas circunstancias no salgan los oticiaies d- ^us filas; ta parte, y que después…</t>
  </si>
  <si>
    <t>…e! caso de satisfacer. cion cuando estamos tratando de rebajar los sueldos hasta de los últimos em be declaró el punto suficientemente discutido. pleados. Quisiera pues sabeV si el rhinisterio puede obrar en esto independien-iEl-Sr. Alcalá Galiano dijo que antes ó¿ pvocederse á la votación, desea temente, ó si es responsable acerca del particular.'’ ría se manifestase la li-.ta de los capitanes generales que tiené hoy dia nuestro £1 Sr. Secretario de! Despacho de Ha.iendn: «Yo quisiera que‘ el se Estado mayor, á lo que contestó un Sr. indivi…</t>
  </si>
  <si>
    <t>Galiano, Alcala</t>
  </si>
  <si>
    <t>Alcala Galiano</t>
  </si>
  <si>
    <t>…alabarderos debería sujetarse á hay ya lugar á establecer esta regla , porque hemos fijado en 603 rs. el sueldo la regla adoptada ya por el Estamento. del decano del tribunal supremo de Guerra y Marina, y el de los inspectores El Sr. Alcala Galiano indicó que nada tenia que decir si en efecto se y directores generales de las armas, bien sean tenientes generales ó mariscales adoptaba para el sueldo del capitán la misma regla que para el de guardia, de de campo, ó-acaso brigadieres: adoptada la regla propuesta por el Sr. Secreta la.Real Persona…</t>
  </si>
  <si>
    <t>Galiano, Alcali</t>
  </si>
  <si>
    <t>Alcali Galiano</t>
  </si>
  <si>
    <t>…gnación de los 35 millones fue cosa de los mi llalaz, Pcrez González , condede Hust, Marti, Crcspo Tcjada , Camoa, Gar nistros: la disminución á 30 dimanó de S. M.la Reiua'.Gobernadora.’9 cía, ¿aborda, Polo y Monge, y Del Rey. El Sr. Alcali Galiano insistió en su pregunta , y el Sr. Secretario de Ha Se abstuvieron de votar los Sres. Melendez y Ciscar (D. Jasé.) cienda repitió qué solo era la voluntad de S. M. la que había producido la.1*- El Sr. Oais reclamó la equivocación de haberse^ incluido én la Esta al rebaja. Sr. Crespo Rascón, que no…</t>
  </si>
  <si>
    <t>Galiano, Antonio Alcalá</t>
  </si>
  <si>
    <t>Antonio Alcalá Galiano</t>
  </si>
  <si>
    <t>…que la amagan; no cumplirte la comisión con los deberes que También se pasaron á dicha comisión los documentos justificativos de la le impone su cargo si vacilase en emitir del modo mas franco y decisivo la aptitud legal del Sr. D. Antonio Alcalá Galiano, electo Procurador por la expresión de su convencimiento. Es ya llegado el día en que las Cortes ejerzan provincia de Cádiz. ' aquellas facultades amplias é imprescriptibles, que en todos tiempos tuvieran á Se díó cuenta de una exposición del Sr. D. José Paco Cánovas, Procura nombre y para el bien…</t>
  </si>
  <si>
    <t>…¿el Sr. Alcalá Galiano no da esta prenda de seguridad que La comisión de Poderes dió cuenta, de haber examinado los documentos ex^ge la ley? ¿el Sr. Alcalá Galiano no presenta un testimonio público que déla aptitud legal del Sr. D. Antonio Alcalá Galiano, electo Procurador «Ecredita la propiedad de la renta que la ley exige: No veo , pues , razón para por la provincia de Cádiz; y de que consistiendo estos en la escritura de com que no sea admitido. Por otra parte hay un principio de conveniencia, me pra de una casa en dicha ciudad , la cual si bien…</t>
  </si>
  <si>
    <t>Galiano, D Antonio Alcalá</t>
  </si>
  <si>
    <t>D Antonio Alcalá Galiano</t>
  </si>
  <si>
    <t>…de urr ejército nacional. Los otros dos hombres de PROVINCIA DE C.ÍDIZ. estado convienen en las mismas ideas, y ordinariamente se les oye hablar mal de los griegos , de sus hábitos y de las necesidades del pueblo. No se puede ex Sr. D- Antonio Alcalá Galiano. plicar de otra manera su conducta y el sistema con que en lugar de gobernar Sr. D. Manuel Montes de Oca. la Grecia á la griega, han seguido una dirección diplomática, que es propia suya, adoptando teorías político-administrativas tan costosas como las expe riencias militares, y que no han hecho mas…</t>
  </si>
  <si>
    <t>…ales que la amagan; no cumplirte la comisión con los deberes que También se pasaron á dicha comisión los documentos justificativos de la le impone su cargo si vacilase en emitir del modo mas franco y decisivo la aptitud legal del Sr. D. Antonio Alcalá Galiano, electo Procurador por la expresión de su convencimiento. Es ya llegado el día en que las Cortes ejerzan provincia de Cádiz. ' aquellas facultades amplias é imprescriptibles, que en todos tiempos tuvieran á Se díó cuenta de una exposición del Sr. D. José Paco Cánovas, Procura nombre y para el bien…</t>
  </si>
  <si>
    <t>…ra : ¿el Sr. Alcalá Galiano no da esta prenda de seguridad que La comisión de Poderes dió cuenta, de haber examinado los documentos ex^ge la ley? ¿el Sr. Alcalá Galiano no presenta un testimonio público que déla aptitud legal del Sr. D. Antonio Alcalá Galiano, electo Procurador «Ecredita la propiedad de la renta que la ley exige: No veo , pues , razón para por la provincia de Cádiz; y de que consistiendo estos en la escritura de com que no sea admitido. Por otra parte hay un principio de conveniencia, me pra de una casa en dicha ciudad , la cual si bien…</t>
  </si>
  <si>
    <t>Galiano, D Ramón Conti y</t>
  </si>
  <si>
    <t>D Ramón Conti y Galiano</t>
  </si>
  <si>
    <t>…, que con ia mayor actividad comunicaba poua i&gt;b coxB.BíCio.-~Cottzacfon dt hoy 4 las trts 4* la tsrds* las órdenes; al capitán de granaderos del provincial de Granada D..Manuel EFECTOS PUBLICOS. ¡- de Ürrea, herido levemente, al capitán D. Ramón Conti y Galiano, de ja com pañía de cazadores de Segovia , al teniente ríe la misma-D. José de Miera, y Inscripciones en el gran libro i $ p. 100, í6|^l contado. aí subteniente dé ídem D. Antonio Saaveríra, y D. José Valero, subteniente Tirulos al portador del 5 p. 100, S8¿ a variu fs. ó val. íe .carabineros. , Ti…</t>
  </si>
  <si>
    <t>Galiano, El Sr Alcali</t>
  </si>
  <si>
    <t>El Sr Alcali Galiano</t>
  </si>
  <si>
    <t>…e la asignación de los 35 millones fue cosa de los mi llalaz, Pcrez González , condede Hust, Marti, Crcspo Tcjada , Camoa, Gar nistros: la disminución á 30 dimanó de S. M.la Reiua'.Gobernadora.’9 cía, ¿aborda, Polo y Monge, y Del Rey. El Sr. Alcali Galiano insistió en su pregunta , y el Sr. Secretario de Ha Se abstuvieron de votar los Sres. Melendez y Ciscar (D. Jasé.) cienda repitió qué solo era la voluntad de S. M. la que había producido la.1*- El Sr. Oais reclamó la equivocación de haberse^ incluido én la Esta al rebaja. Sr. Crespo Rascón, que no…</t>
  </si>
  <si>
    <t>Galiano, O Antonio Alcali</t>
  </si>
  <si>
    <t>O Antonio Alcali Galiano</t>
  </si>
  <si>
    <t>…ngera del año 1 8ü8, á la entrada de los franceses, y sa Se abrió á las doce, y leída el acta de la anterior quedó aprobada. queo general que hubo entonces; y últimamente el empréstito de Guebhard y Se díó cuenta de un oficio del Sr. O. Antonio Alcali Galiano, en que todas sus consecuencias con que se ha cargado á esta Nación, se verá que no comunicaba hallarse enfermo en cama, de la que no podria sfelir en algunos solamente es pobre, sino pobrísima: de consiguiente esto es una verdad. Que se días, lo que avisaba para que constase al Estamento y al públ…</t>
  </si>
  <si>
    <t>Galiano, Ramón Conti y</t>
  </si>
  <si>
    <t>Ramón Conti y Galiano</t>
  </si>
  <si>
    <t>…n ia mayor actividad comunicaba poua i&gt;b coxB.BíCio.-~Cottzacfon dt hoy 4 las trts 4* la tsrds* las órdenes; al capitán de granaderos del provincial de Granada D..Manuel EFECTOS PUBLICOS. ¡- de Ürrea, herido levemente, al capitán D. Ramón Conti y Galiano, de ja com pañía de cazadores de Segovia , al teniente ríe la misma-D. José de Miera, y Inscripciones en el gran libro i $ p. 100, í6|^l contado. aí subteniente dé ídem D. Antonio Saaveríra, y D. José Valero, subteniente Tirulos al portador del 5 p. 100, S8¿ a variu fs. ó val. íe .carabineros. , Ti…</t>
  </si>
  <si>
    <t>Galiapara</t>
  </si>
  <si>
    <t>…nadie; pero es suyo, complicadas, y en las que unas provincias ganan loljue otras pierden. to no me autoriza para disponer sin eximen de los bienes de mis comitentes, ••Siento mucho que mi discurso anterior haya parecido débil al Sr. Galiapara mandar sin tasa en la bolsa agena. Se ha hablado aqui de generosidad, de no, porque su opinión para mí ha sido siempre de peso; sin embargo creo que largueza, de avaricia; pero, señores, la cuestión no es relativa á esto: no se no lo es tanto como le parecepues siguiendo mi costumbre constante de n…</t>
  </si>
  <si>
    <t>Galidno, Alcalá</t>
  </si>
  <si>
    <t>Alcalá Galidno</t>
  </si>
  <si>
    <t>…se imprimirá y distribuirá, y en se lejano de mi idea en el momento de hacerla que el intento da inculpar á nadie.” guida señalaré dia para su discusión.” El Sr. Presidente: «Cuando se remita la lista de que se trata» ae pasa Él Sr. Alcalá Galidno: «Quiero únicamente hacer una pregunta a! se rá i la comisión respectiva, pues regularmente llegará á-tiempo, respecto á ñor Secretario interino de Guerra. Parece, según el informe de la comisión lo largo que es el dictámen sobre el presupuesto de su ramo.” que acabamos de oir, que se ha pedido una…</t>
  </si>
  <si>
    <t>Galindo</t>
  </si>
  <si>
    <t>…n la Real audiencia de Mi1 Lasauca á de ella D- drid los ministros Cavia, Alfonso D. José , D. Antonio 1 Al expedir mi Real decreto de 16 de Febrero próximo pasado que con- Suarez en 5u José D- Domingo Pinuaga; Femando y nombro y D. Galindo, j tiene las tases de la organización y servicio de la Milicia urbana, tuve á bien 1 lugar á Du José Alonso,.que lo es supernumerario de la misma: á D. Rafael I mandar se circulase con la propia fecha £ los capitanes generales la competente de Urbina, oidor decano de U de Granada; á D. Francisco Ve…</t>
  </si>
  <si>
    <t>Galindo, Antonio</t>
  </si>
  <si>
    <t>Antonio Galindo</t>
  </si>
  <si>
    <t>…r tu augusta Hija Doña Isabel ir, que en el caso propuesto deben torio, D. José Quevedo y Chieza, D. Diego Butrón, D. Francis sustituir á los contadores los asesores respectivos de cada subdele co Quevedo Bueno, D. José Benitez y D. Antonio Galindo; los gacion, bien hayan sido nombrados por S. M. ó por el superinten tres primeros de la dase de generales , y los demas de la de toga dente general de Reai Hacienda; pero que en cuanto á las funcio dos; debiendo tomar unos y otros su respectiva antigüedad con los nes administrativas sustituyan los…</t>
  </si>
  <si>
    <t>Galindo, Antonio Josef</t>
  </si>
  <si>
    <t>Antonio Josef Galindo</t>
  </si>
  <si>
    <t>…50^ rs. y 264 mrs., de los que 518.................. 1000......................................... Algecira». se han de rebajar las cargas que peseo soore la mNtau. Quien quisiere hacer postura acuda ante el Sr. alcalde de corte. D. Antonio Josef Galindo, por la escribanía de 5,352.................. looü........................................ Valencia. provincia de Urrutta, que se Je admitirá, siendo arreglada, previniéndose que su 7/¿l.................. 1000......................................... León. remate se halla señalado para el dia 4 del…</t>
  </si>
  <si>
    <t>Galindo, José Benitez y D Antonio</t>
  </si>
  <si>
    <t>José Benitez y D Antonio Galindo</t>
  </si>
  <si>
    <t>…mbrar á D. José Sar tu augusta Hija Doña Isabel ir, que en el caso propuesto deben torio, D. José Quevedo y Chieza, D. Diego Butrón, D. Francis sustituir á los contadores los asesores respectivos de cada subdele co Quevedo Bueno, D. José Benitez y D. Antonio Galindo; los gacion, bien hayan sido nombrados por S. M. ó por el superinten tres primeros de la dase de generales , y los demas de la de toga dente general de Reai Hacienda; pero que en cuanto á las funcio dos; debiendo tomar unos y otros su respectiva antigüedad con los nes administrativas sustituyan los…</t>
  </si>
  <si>
    <t>Galindo, Manuel</t>
  </si>
  <si>
    <t>Manuel Galindo</t>
  </si>
  <si>
    <t>…e CBfc«n»b«»:&lt;wida4-de parlamentario á los hadjutas, al hijo de Sidi-AJah Andalucía, cuya aprehensión se consiguió por el arrojo con que tes detuvo fl»r*l&gt;«t t pero su vuelta.pos hizo perder toda esperanza de pacificación. Creían D. Manuel Galindo, vecino de Fuentes, á quien salieron á robar, y que de** ■IOS; hadjutas que,estando separados de nosotros por el Oued-Argel y por un fend.endose de ellos dió tiempo á que acudiese la partida a quien atrajo d rui btWque podrían sustraerse; al castigo que ios amenazaba. do de los tiros, y pudiera de…</t>
  </si>
  <si>
    <t>Galindo, Tomás.Guillen y</t>
  </si>
  <si>
    <t>Tomás.Guillen y Galindo</t>
  </si>
  <si>
    <t>…bdes facultad para establecer un mercado sc- personas que se crean con derecho á 1» iticesioit usufructuaria dé los bienes Ap^rpcntrmanai; y ha propúesto 4 S. M: facilitar la navegación del Ebro entre tanto necieron al licenciado D. Tomás.Guillen y Galindo, presbítero, y. quede jó estable cida por la disposición testamentaria (mjo que falleció, para que dentro de dns meses que se concluye la obra del cana! Imperial. . comparezcan á deducirlo en dicho juzgada con apercibimiento que de no verificarlo Ha acabado de arreglar loe ayuntamiento», y está reu…</t>
  </si>
  <si>
    <t>Galinsoga, Domingo Martínez</t>
  </si>
  <si>
    <t>Domingo Martínez Galinsoga</t>
  </si>
  <si>
    <t>…e Granada.:=Excmo. Sr.: Como presidente de de létras de León i D. José García Suelto: para la vara de alcalde mayor se la junta superior de Sanidad de esta provincia digo i la suprema del reino con gundo de Jerez de la Frontera á D. Domingo Martínez Galinsoga, corregidor asta fecha lo siguiente: de Ciudad Real: para esta vara que resulta vacante á D. Ginés María Serrano: Excmo. Sr.: La enfermedad reinante en Granada va descendiendo sensibleara la vara de la Villa del Rio á D Félix Alvarez Arenas: pan la de Mon- mente, no obstante la desigualdad de la es…</t>
  </si>
  <si>
    <t>Galiono, Alcalá</t>
  </si>
  <si>
    <t>Alcalá Galiono</t>
  </si>
  <si>
    <t>…ra que se res sión, se reproducirán toda*, las razones que se manifestaron el otro dia en un tablezca este en el término de up afio. casó semejante.” v ../• ( «En cuanto á la primera, prescindiendo de que la palabra jnotñada a El Sr. Alcalá Galiono: «No he intentado yo hacer una acusación al. extrangera, está declaradajai. el Estainento otra parte de ún artículo semejan Gobierno: se trataba de Una discusión; y el Sr- Secretario del Despacho de/Ha te á este; y asi parece qúeno hay motivo para su discusión. En cuanto á "la ‘sea- cienda conoce b…</t>
  </si>
  <si>
    <t>Galitzin</t>
  </si>
  <si>
    <t>…er el cumplimiento de cuarentena en la plaza y territorio de pasó revista á varios regimientos, y después de haber comido con el goberna Gibraltar, se mandó entre otras cosas que la orden ú órdenes dadas de cuandodor de la ciudad príncipe Galitzin, honró el teatro con su presencia. en ciando por la junta ide sanidad de Gibraltar en conformidad de dicha orden El Correrponsal de Fburemberg del 24, refiriéndose á noticias recibidas de de S. M., sean debidamente publicadas por bando en Gibraltar: la frontera de Saboya del 19 , dice lo siguiente:…</t>
  </si>
  <si>
    <t>Gall</t>
  </si>
  <si>
    <t>…a doctrina verdadera se entiende de uq 1.S25.............. . . . 4000. r.................... Madrid. modo tan diverso por Jos que no la han estudiado á fondo. 2Í175.............. ... 1000....................... , , Zaragoza. »&gt;El doctor Gall procura establecer que Los diversos sentimientos, faculta 12,094............... ... 1600........................ ,. Cádiz. des é inclinaciones del hombre tienen órganos determinados que adquieren 3./j7.-t.............. ’inoo......................... . • Madrid. mayor ó menor desenvolvimiento, según…</t>
  </si>
  <si>
    <t>Galla</t>
  </si>
  <si>
    <t>…mo ana cuestión de »Otra razón personal, y por consiguiente pequeña, me ha impelido á frbúifños, porque juzgamos mas bien inoportuno que conveniemc desentrañar entrar en esta cuestión antes de lo que pensaba: y son las citas del? Sr. Galla la legalidad y validez de los actos del régimen constitucional ó del Gobierno rlo, que tan cumplidamente desmiente el dicho del célebre Condillac: »de que que te ha sucedido. El ministerio no entra en esas cuestiones, de suyo delica las personas de mucha memoria son sospechosas de poco entendimiento.”…</t>
  </si>
  <si>
    <t>Gallado, Antonio Josef</t>
  </si>
  <si>
    <t>Antonio Josef Gallado</t>
  </si>
  <si>
    <t>…atías Díaz. y por ia escribanía de Cámara de Abuin, á deducir el derecho de que se crea asistido. En educación primaria, aunque la sociedad solo habia anunciado en el pro ------ En virtud de providencia del señor alcalde de corté D. Antonio Josef Gallado, grama que manifestaría su aprecio y gratitud al maestro de primeras letras que refrendada del escribano de provincia D. Josef Urrutia, se convoca á los acreedores ausentes é ignorados de D. Luis Antonio Smtibdflez, vecino que fue de esta corte, presentase ^íscípuios perfectamente instruidos, con t…</t>
  </si>
  <si>
    <t>Gallano, Alcalá</t>
  </si>
  <si>
    <t>Alcalá Gallano</t>
  </si>
  <si>
    <t>…se si me he separado de mi deber.” cia confesamos, no quiere decir esto que se deba reconocer otro cuyas circuns El Sr. Presidente: «Pido al orador que continúe su discurro.” tancias son mas perjudiciales que las de los demas. El Sr. Alcalá Gallano: «Digo, pues, que la ausencia del Sr. Arguelles «En este sentido puede llamársele al asunto en cuestión con propiedad debe influir mucho en esta discusión , como asimismo la del Sr. Florez Entra víctbna expiatoria, que indica que ha habido pecado. Tal es el juicio de la da, pues quedamos solo dos i…</t>
  </si>
  <si>
    <t>Gállara, Alcali</t>
  </si>
  <si>
    <t>Alcali Gállara</t>
  </si>
  <si>
    <t>…si pasa militares y sus priores , cuyas hazañas y servicios son notorios. Porque los Reexposición al Gobierno , es claro que este la examinará.” ' yes no se .hallaban enroncós con bastante poder, y tenían que valerse, ora dor El Sr. Alcali Gállara: «Deseo'únicamente, por lo que acaba de decir los ricos-homes, ora de los gefes de estas corporaciones,; y no tiene nada de nos/él Sr. Presidente del Consejo de Ministros, enterarme de una circuns extraño-que los llenasen-de honores y. rentas, porque las invertían en bien dql tancia de ésta pequeña…</t>
  </si>
  <si>
    <t>Gallardo</t>
  </si>
  <si>
    <t>…r , se presentarán los documentos legales que acredíten A que hay que atender y de empleados que hay que ocupar; tal, pues, fue el plan plenamente el derecho del nuevo poseedor ó heredero, si es por testamento ó que se propuso el Sr. Gallardo en la formación de esta obra. Y al efecto, y A fio de .ultima voluntad, con testimonio legalizado en forma de la cabeza, cláusula de peder hacerlo con la debida claridad, consultó los libros de ctírtes , ltís concilios, or heredero'y píc del' Testamento bajo que hubiese fallecido el anterior poseed…</t>
  </si>
  <si>
    <t>Gallardo, Diego Leonardo</t>
  </si>
  <si>
    <t>Diego Leonardo Gallardo</t>
  </si>
  <si>
    <t>…a ello. (77.) xilno.ájaadoce d« aumañana, en la cas* del' ordenador «efe de Hacienda'militar, enr las referidas Islas. Rospliegoudeeondicionet. bajo los cuales ha dehacerse e;ie servicio.; . comisionando á D. Angel Villalobos y a D. Diego Leonardo Gallardo se hallarán de' manifiesto en ia secretaria de dicha ordenación , y en poder de los comi para que páséná^Lóndres a instruirte en la éiírefíariza pública láncasteriana, sarios de Guerra inspectores del ramo en tas piaras de Ibixa y Menorca, los cuales ad y acompañando las instrucciones que deberán o…</t>
  </si>
  <si>
    <t>…n todo su dirección, teniendo siempre presente que á D. Angel Villalobos, oficial de la teneduría de libros de la inter .deben volver á plantear el sistema de enseñanza mutua, y ejercitarlo en un vención general del ejército, V á D. Diego Leonardo Gallardo, resi país distante donde no hay otras escuelas de esta especie ni maestros con quie dente en Cádiz, para que pasen á Londres con el objeto de adquirir nes consultar lf&gt; que duden ó ignoren. en la escuela central, fundada por la sociedad denominada de Escue 4-° Se les encarga muy particularmente qu…</t>
  </si>
  <si>
    <t>Gallardo, Joaquina</t>
  </si>
  <si>
    <t>Joaquina Gallardo</t>
  </si>
  <si>
    <t>…un caballo y algunas armas, todo inútil y de muy poco valor, habien de 1808 en Madrid , ha cabido en suerte con el primer extracto de la de este do conseguido ademas la dispersión general de toda la facción , como se prueba dia á Doña Joaquina Gallardo, hija del patriota D. Tomas, muerto en el por los partes de las justicias de los pueblos que luego que concluya de recibir campo del honor. los pasaré á sus manos, y una relación nominal de los presentados en sus casas. Lo que tongo el honor de trasladar á V. E. Scc., debiendo hacerle presente se s…</t>
  </si>
  <si>
    <t>Galle, Antonio</t>
  </si>
  <si>
    <t>Antonio Galle</t>
  </si>
  <si>
    <t>…presupuesto habla también de cuatro Peñafiel á D. Angel Esteban de la Fuente: para Jal de Piedrabita á nuevos distiitos organizados en los últimos años, á saber: el distrito de la Ru D. José Leocadio Ahumada: para la de Padrón á D. Antonio Galle sia blanca, el de Odessa, el del Cáucaso y el de la Siberia. (G. dt las postor go Moron: para la de Rioseco á D. José Velasco de Castro: para la de Francfort.) de Vigo á D. Antonio Arteagaj para feyle Cambados á D. Ricardo «AVIESA. Bovo; para la de Ujijar á D. José de Navas García : para la de Ta—…</t>
  </si>
  <si>
    <t>Gallego, Antonio</t>
  </si>
  <si>
    <t>Antonio Gallego</t>
  </si>
  <si>
    <t>…be-infundir sospecha de existir en la actualidad alguna Mellizo, regidor decano de*este ayuntamiento, vocal; D. Antonio Ortuño, sín causa extraña que produce en estos últimos dias aliteración en la salud pública.' dico del común; D. Antonio Gallego, presbítero, vocal; D. Cristóbal Rodrí y obrando con la franqueza y legalidad observada en todas sus comunicaciones guez, médico titular, y D. Francisco del Cid, vocal; se dio cuenta de un ofi deciara á dicha capital en estado de sospecha, con arreglo a] aríbu'o 5.° de ¡a cio de D. Sebastian de Med…</t>
  </si>
  <si>
    <t>Gallego, José</t>
  </si>
  <si>
    <t>José Gallego</t>
  </si>
  <si>
    <t>…os resultados de mis dis esta villa, se cita y emplaza á todos los interesados que puedan tener derecho a los bienes de aquella testamentaria, para que al termino de dos meses que por segundo y posiciones: el ayudante de la misma D. José Gallego, ha ten ¡do una parte muy último se concede, y que curpplir^n en 17 de Junio próximo, comparezcan por ti ó activa en ellas, acompañándole en todas con inteligencia y puntualidad: y mi por medio sle personas Icgalinente autorizadas en dicho juzgado y escribanía de pon ayudante D. Manuel Sánchez del…</t>
  </si>
  <si>
    <t>…sonas que por cualquier concepto se piaron 4 saquear el pueblo; mas e) depositario de policía, el estanquero y otros créan con derecho á loa cortos bienes que han quedado por fallecimiento de D. Manuel dos hombres mas asociados 4 Don José Gallego, sargento l.° retirado, y al Tomas de Beascoechea,, natural de Bilbao v que falleció en esta corte: para que en el preciso términode 20 dias acodan á deducirle en.la aúdlencla del expresado juez¡ en el presbítero D. José Morilla, se arrojaron sobre los rebeldes, quitándola al concepto deque pasado…</t>
  </si>
  <si>
    <t>Gallego, Manuel López</t>
  </si>
  <si>
    <t>Manuel López Gallego</t>
  </si>
  <si>
    <t>…igual sentimiento hemos visto que con la misma injusticia y por se- D. Santos Navarro Taricgo; para d de Hsro á D. Antonio Martínez Gil; viajante motivo se censura al conde .de Villa Real, porque se Opuso á e$a para el dé Alora á D. Manuel López Gallego, que lo es de Casares ; para el de raiints rsnrt li cuyos principios fue siempre contrarío. El que .con sinceridad Avila á D José Cuenca, que loes deQuintaniUa de Somuño; para el de Potes selbtc ¿.una Opinión, lejos de merecer que se dude de sú probidad, acredita á D. Minuel María de Quijano; para…</t>
  </si>
  <si>
    <t>Gallegos, D Vicente</t>
  </si>
  <si>
    <t>D Vicente Gallegos</t>
  </si>
  <si>
    <t>…4 32 rea les por razón de portes: Barcelona, Gaspar y Píferrer; Zaragoza, Jaurcgui; Valladoprovincia de GUIPÚZCOA. lid Rodríguez; Cádiz , Hortal y compañía: Murcia, Benedicto; Coruña , Calvete. ___l]_a corbeta española Zafiro, su capitán D. Vicente Gallegos, acabada Je carenarse „ y forrarse en cobre nuevo, se habilitará para dar la vela desde el puerto de Cádiz para El comisionado regio de esta provincia dice en oficio de 22 de Noviem Manilapresenta4 lasprincipiosmejores decomodidades.Marzo próximo:Se despachaadmite enalgún»Cádizcargapor ysupasageros…</t>
  </si>
  <si>
    <t>Gallegos, Vicente</t>
  </si>
  <si>
    <t>Vicente Gallegos</t>
  </si>
  <si>
    <t>…les por razón de portes: Barcelona, Gaspar y Píferrer; Zaragoza, Jaurcgui; Valladoprovincia de GUIPÚZCOA. lid Rodríguez; Cádiz , Hortal y compañía: Murcia, Benedicto; Coruña , Calvete. ___l]_a corbeta española Zafiro, su capitán D. Vicente Gallegos, acabada Je carenarse „ y forrarse en cobre nuevo, se habilitará para dar la vela desde el puerto de Cádiz para El comisionado regio de esta provincia dice en oficio de 22 de Noviem Manilapresenta4 lasprincipiosmejores decomodidades.Marzo próximo:Se despachaadmite enalgún»Cádizcargapor ysupasageros…</t>
  </si>
  <si>
    <t>Gallo, F</t>
  </si>
  <si>
    <t>F Gallo</t>
  </si>
  <si>
    <t>…......................................... 20 ha usado con un súbdito. D; Juan Fernandez Castilla, 60 rs. por ahora , y 20 rs. mcnsuala. 60 ■nLa nación , continúa el Couritr, necesita un ministerio vigoroso , y sobre Sra. viuda de D. F. Gallo, del comercio de esta ciarte , por abora todo unido. Los torys están fuera de la cuestión; pues un ministerio contrario 500 rs., y si se declara el cólera 5 rs. diarios durante 4 meses,,. „. .— "SOR i la reforma general y á la de _la_lglesi» deTrtanda , no duraría un mes. Tam Un sugeto de la~ calie…</t>
  </si>
  <si>
    <t>Galloestableciendo, José</t>
  </si>
  <si>
    <t>José Galloestableciendo</t>
  </si>
  <si>
    <t>…periodistas y de observar su número y predisposición á !j defensa , me acerque á menos de me algunos miles de perturbadores y de ambiciosos burlados en sus esperanzas, dio tiro de fusil de la muralla, acompafado de mis ayudantes D. José Galloestableciendo al mismo tiempo la opresión de los hombres de bien. Dice que go , D. Manuel Sánchez del Campo, el secretario D- Francisco Rayón y el el abuso que se hace de la libertad de imprenta es la causa del disgusto en que capitán graduado de caballería de León D. Joaquín Garcíj , desde cuya inme todos viven…</t>
  </si>
  <si>
    <t>Galtano, Alcalá</t>
  </si>
  <si>
    <t>Alcalá Galtano</t>
  </si>
  <si>
    <t>…tó y dijo: «Reclamo el órden, Sr. Presidente: gunos pecados, y pecados muy grandes, que requerían alguna expiación. Yo eso es salirse de la cuestión.” bien sé que estoy en un Terreno peligroso; pero al paso que caminaré por él El Sr. Alcalá Galtano: «Hago una alusión á la difícil posición en que con cautela, debo hacerlo con valentía. Bien sé que no se debe acusar al augus nos pone la falta de un individuo a los demas que componemos la mayoría de to personage que hizo el reconocimiento; pero es preciso hacerlo i sus 'malos la comisión.” conse…</t>
  </si>
  <si>
    <t>…en otras provincias solo se considera dores que pertenecen a puertos de mar y ciudades populosas» saben que los. rían como unos pueblos regulares.” dependientes det comercio tienen cuantas garantías pueden desearse , y tal vez El Sr. Alcalá Galtano: «Si se dijese «capitales de provincia, puertos ha mayores que los hijos de familia, algunos de los cuales no tienen ninguna por bilitados y poblaciones que excedan de 209 almas” me parece que se llenaría ai. Entre aquellos se hallan jóvenes industriosos» bien educados» y con garan mejor el objeto…</t>
  </si>
  <si>
    <t>…, puesto cual proporcionará un ahorro que a mi parecer es de suma consideración.” que este servicio no es menos activo ni menos importante que 16$ demas.” ' El Sr. marques de Torremejia: «La senda que seguimos en "la discusión El Sr. Alcalá Galtano: «Aunque está muy adelantada la discusión, de los presupuestos está sembrada de obstáculos y dificultades sin' fin, y es abso puesto que el'Gobierno consiente en fijar una regla general, como esta no se lutamente indispensable salir de ella, porgue no sabemosá punto fijo la canti •¿alia sometida á…</t>
  </si>
  <si>
    <t>Galvcz, Juan</t>
  </si>
  <si>
    <t>Juan Galvcz</t>
  </si>
  <si>
    <t>…Q estado por su avanzada edad de resistir á las maquinaciones de su nieto Emma- La Excma. Sra. de los mHmos títulos y con la citada calidad ...... luO0 Lamed. Este joven se habla rebelado antes de que su abuelo abdícase. Le tenia D. Juan Galvcz , pintor de S. M............................................................. 2 ÚQ sitiado por hambre en su capital, y hacía grandes esfuerzos para ganarse á sus V. Victoriano Hernando............................................................................ 3u0 partid irios á fin de que le entre…</t>
  </si>
  <si>
    <t>Galvo, Pedro Pasdasio</t>
  </si>
  <si>
    <t>Pedro Pasdasio Galvo</t>
  </si>
  <si>
    <t>…rtínez Motápeles se le aplicarán inmediatamente ¡as penas impuestas por las retin, á D. Antonio Veas, y á D. Ramón María de Arrióla y Esmiieyes de la imprenta á los contraventores, publicándolo en la Gacetavel: y para fiscales, á D. Pedro Pasdasio Galvo, de lo civil, y á Don de Madrid y Anales administrativos: la policía formará sin dilaciónJoaquin Alconisa, de lo criminal: Y es mi voluntad que cada uno una matrícula ó empadronamiento de todos los inen«ligos que se ende dichoí ministros» en su respectiva clase, ocupe el lugar que le cuentren en la…</t>
  </si>
  <si>
    <t>Galvrey</t>
  </si>
  <si>
    <t>…se á la clasificación de las cuotas; en lo que convino este señor, y el anteriormente de que se rebajase ia cuota en algunos puntos, porque jesto seria Estamento asi lo acordó. muy importante. v " Se leyó la siguiente adición del Sr. Galvrey al art. 3.° A esto el Sr. Secretario del Despacho de lo Interior contestó que el «Pido que en las capitales de provincia y puertos habilitados donde hay Gobierno estaba tan lejos de proponer que se rebajase la cuota señalada, que derecho de puertas, se excluyan las rentas provinciales como contribu…</t>
  </si>
  <si>
    <t>Galwey</t>
  </si>
  <si>
    <t>…tal vez no estaría exenta de peligros ¿ incon esto pudiera acarrear inconveniente alguno; y para demostrarlo me sera fácil venientes.” citar un ejemplo de Inglaterra cuando estaba en guerra con los Estados-Unidos. A petición del Sr. Galwey se leyeron las firmas de los individuos que sus Mister Conwey, ó sea el general Conwey , hizo una mocion en la Cámata de cribían la petición; y habiéndole preguntado el Sr. Presidente con qué objeto los Comunes proponiendo que se considerase como enemigo publico ai que reclamaba dicha lectura, mani…</t>
  </si>
  <si>
    <t>…e que lo son: v « Y ochenta en Madrid y puertos habilitados cuya población pase de 359 no pueden comprenderse en ellas de ninguna manera las del derecho de puí - almas.” tas. Pudiera, pues , añadirse eñ lugar de la indicación del Sr. Galwey la si Se leyó el final del artículo, que dice: guiente: «Se consideran como contribuciones directas en el sistema actual de «Se consideran como contribuciones directas en el sistema actual de Hacien Hacienda las de rentas provinciales en los casos en que lo son ” da la de rentas provinciales, la de fr…</t>
  </si>
  <si>
    <t>…o i nuestro digno amigo el Sr. lstúriz. Veo que hemos entrado en una cuestión posible esa desigualdad, adoptándose la base que ya indiqué antes” espinosa, que yo descarta evitar, pues no es del Caso ilustrarla ahora; tal es la El Sr. Galwey: «Por mi parte encuentro muy oportuna la adición del cuestión entre proletarios1 y propietarios. - _ ' , Sr. lstúriz y 'aclaración posterior; porque hay ,en muchos pueblos de comercio sKo es esto arreglado al espíritu con que ha1 sido dictada la adición. El una porción de, jóvenes que dependen de e…</t>
  </si>
  <si>
    <t>…O á 60 caballos por compañía; y respec El Sr. Agreda: «Voy á hablar, no para oponerme á la sustancia , sino to á los demas puntos, estamos acordes.” mas bien á las palabras de una de las adiciones de la comisión. Yo estoy siem El Sr. Galwey hizo algunas reflexiones sobre el pfrrafo 2.°, y dijo que pre contra el mal uso de las palabras en las leyes. Por tanto quisiera que la se no se oponía á que fuese pane del reglamento la división de los batallones por gunda de las adiciones referidas no contuviera una recomendación, sino un barrios…</t>
  </si>
  <si>
    <t>…onda hacer. el ser Del Sr. Belda al articulo 20. »Los solteros coh easa abierta serán equi vicio.”' - - . f ■ parados á los viudOssin hijos.” ' . L. , ,'JEí Sr,.Montffleg?y. uNorgue^p^enos de insistir en que creo inas opor- - Del Sr. Galwey al artículo 17: »En las capitales de provincia y plazas , turto-clónbnquc pipporielacoimsíon, que el que se haga este servicio por la de guerra, y en.,los casos en que tenga: que salir la guarnición, la duración edad. Los' mismos inconvenientes qué sé han,indicado haber en el sorteo, «sis- del serv…</t>
  </si>
  <si>
    <t>…ue se baga esta elección por el método seña Sr. D. José Porret, electo Procurador por la provincia de Geron», como igual lado en el articulo 9.° mente los documentos justificativos de su aptitud legal, y hallándolos confor La del Sr. Galwey al artículo 17, que dice: «,En las capitales de pro mes , opinaba que debían aprobarse. Aij se acordó. vincia y plazas de guerra , y en los casos que tenga que salir la guarnición, la El Sr. Secretario del Despacho de Gracia y Justicia Temitió al Estamento duración del servicio ordinario será de un…</t>
  </si>
  <si>
    <t>…9&lt;a lio. 6?* en ve* de decirlo Sres. que se abstuvieron de votar: Belda , González (D. Antonio), l^ase oirto. Trueba. Idem en la del 22, colum. t.S lín» 33« donde se dice El Sr. marques de Torre* Se leyó la siguiente adición del Sr. Galwey i «Pido que en la presente tnejía , Idase El Sr. marques de Espinar do. Idem en la sesión de ayer del Estamento de ilustres Proceres, pág. 4*a* líns. 13 yquinta queden las clases nobles equiparadas í las demas, y que el juicio de ex 14. dohdt haciéndose relación del voto del Sr. marques de Espeja,…</t>
  </si>
  <si>
    <t>Gamarra</t>
  </si>
  <si>
    <t>…país.. trabajaban para sostenerlo, temciosoá deque él ’pif'ísysfl ttríi mgMg^| deseando que el presidente bajaseáde su silla pot scda’ ia ^aeraa de laa^snsfeitir* ' ' \ ' Memoria. ciones. El influjo de estas personas Á quienes el general Gamarra ¿0tzc sus enemigos, fue el que ie sostuvo ¿y le hizo ciusplú^ tu ’ ctBtnc&amp;je enn^i . Señor: El ministro que suscribe cree un deber suyo dar cuenta í la Con tucional; pero cegado por la ambición¿no jitribuyó -esto áau vencional de los sucesos del mes de Enero, en el cual ha desempeñado el car sino á…</t>
  </si>
  <si>
    <t>…a Señora, su augusta Matlre la Reirá álguri lazo qué se le tendía, y se resolvió a quedarse en Lima, donde todo lo Gobernadora y la Serma. Sra. Infanta Xloña María Luisa, continúan tenía asegurado. Uno de ios grandes defectos del general Gamarra es !a «ama dc^confianza que tiene de todos. Este es uno de Iris motivos porque uu.i-t pua~ sin novedad en su importante salud en el Real sitio del Pardo. dé tener amigos. Los hombres honrados no son capaces de sufrir que se les soa peche. Inmediatamente que conocen que no se tiene de ello* toda U c…</t>
  </si>
  <si>
    <t>…ta_di_JAugíburgoJ . " aunque el infrascrito no-dudaba de la honradez del señor coronel íbamos que mandaba el batallón Pechincha, no habiéndose acordado antes cosa alguna con JTAtlA. Ó, y sabiéndose ál mismo tiempo la táctica del\ general Gamarra de asegurar i jos subalternos por los gefes, y á estos por aquellos, no se podia confiar en Ñápales 18 de Setiembre: «1 batallón, mientras que la compañía de Cuzco, que estaba, aquí con la fuerza Según un informe presentado al ministerio de do Inferior Jp pobla?ion de 8e irlas de 10Ó plazas, era posit…</t>
  </si>
  <si>
    <t>…y de servicios, fue, pues, el que hizo el primer fuego. se trataba de poner en lugar del coronel Zubiaga! El teniente coronel Vivan- El 6 dió Bermudéz un decreto declarando esta plaza en estado de blo co era amigo particular del general Gamarra, como lo ha manifestado su queo. Por ridicula que fuese esta declaración, atendidas las circunstancias, no conducta, y la confianza que han hecho de él los sediciosos, poniéndolo al dejaba de manifestar el espíritu de los sediciosos. Para apoyarla , trajeron sus frente del departamento de Lima. No…</t>
  </si>
  <si>
    <t>…os. El obispo de Cork tiene actualmente 1253 francos; el de el general Orbegoso, presidente interino de. la república, ocupaba á Callao, y Leighlin 2003; el de Cloyne también 2009-. Pero en cambio los párrocos ,y su adversario el general Gamarra estaba en Lima. Diariamente había escaramu demas eclesiásticos encargados del servicio espiritual no reciben mas que de 15 zas entre ambas tropas, y la esposa de Gamarra aparece como una heroína que á 20 guineas. La. mayor pariere los que obtienen. grandes beneficios en Jos toma una parte activa en…</t>
  </si>
  <si>
    <t>…ben, Pechlin, Grunne, Schaek, Beust, Both, Leo i . L/Sndres 16,-de Noviembre. na rtk., Smidt, ,Tbomas.” HOLANDA. Hemos recibido algunos pormenores de la. guerra civil en Lima por los últimos correos que han llegado. Parece que el general Gamarra, viendo que * Hay» 12 de Noviembre. . no era posible sostenerse á causa de la deserción de las tropas, y de la mala vo Los miembros de los Estados generales han vuelto á sus casas, y entre luntad de los habitantes, se ha refugiado en el territorio de Bolíviá, y que el tanto el gobierno aprovechará…</t>
  </si>
  <si>
    <t>Gamarra, José</t>
  </si>
  <si>
    <t>José Gamarra</t>
  </si>
  <si>
    <t>…nciller ¿pova la segunda lectura del bilí, diciendo.que po tienenardo Gil de la Cue6ta; y para- fiscales á D. Diego González Alonso, necesidad de recordar su objeto k pues o bastante conocido. Cree que si se adop de lo civil, y i D. José Gamarra y.Cambronera, de lo criminal, Y ta esta med dt las universidades quizá no la cumplirán con \* buena' voluntad» es mi voluntad que todos los ministros ocupen el lugar que les cor que seria er único medio de hacer gozar á los disidentes de ias ventajas que se responda según la antigüedad de sus prime…</t>
  </si>
  <si>
    <t>Gambarte, Salvador</t>
  </si>
  <si>
    <t>Salvador Gambarte</t>
  </si>
  <si>
    <t>…en tres columnas de ataque, la pnmera com tro zelo sedicioso.” . . i ^ puesta de las compañías de cazadores y ISO carabineros á las ordenes del coro Con este lenguage, tan .propio de la cátedra de la. verdad, amonesta el dig nel D. Salvador Gambarte; la segunda de tas de granaderos á las del coronel no ministro -del Evangelio i los españoles de todas las dasei que juren obe D. Fausto del Hoyo, y la tercera de los batallones de Córdoba á Us del coro diencia en las aras de la legitimidad, cbmo asr lo quieren !as*'!eyéi fundamen nel graduado! ten…</t>
  </si>
  <si>
    <t>Gamberini</t>
  </si>
  <si>
    <t>…de gran penitenciario, por el cardenal de Gregorio; de vicecanciller, por el cardenal Odescalchi; de prosecretario de memoriales &gt; por el cardenal PROVINCIA DH \ ALBNC!A. Giustmiani; de secretario de Estado de lo Interior, por el cardenal Gamberini; de secretario de Breves y de bibliotecario de la santa iglesia, por el car El día 27 de Noviembre próximo Visado se cantó el Te Deum en la cadenal Albani; de secretario de Estado, por el cardenal Bernetti. Un prelado pítat de e*.ta provincia, para d-ir gracias al l"¡3opoderoso de haberla liberta f…</t>
  </si>
  <si>
    <t>Gamboa, Francisco de Romo y</t>
  </si>
  <si>
    <t>Francisco de Romo y Gamboa</t>
  </si>
  <si>
    <t>iftjl; último ¡destino en D. Francisco de Romo y Gamboa, en atención á su» destacado de dicha columna con el subteniente de! propio cuerpo D- Lucas ZaIméritos y circunstancia*. valetat algunos cazadores y 15 caballos de húsares, mandados por el sargento Del mismo modo’y por otro Redi decreto! de la misma fecha se ha digna- secundo Ildefonso Perez, Esta…</t>
  </si>
  <si>
    <t>Gamboa, Francisco Romo y</t>
  </si>
  <si>
    <t>Francisco Romo y Gamboa</t>
  </si>
  <si>
    <t>…eseña histérica sobre las islas Sandvskk y la Sociedad antes Je 1820 = Estado actual de su civilización. (Concluye el artículo de la Gaceta anterior.) Extracto del parte remitido por el gobernador civil de |a provincia .de Huesca D. Francisco Romo y Gamboa con fecha de 1¿ de Julio actual, Desde 179? empezó la sociedad de civilización de Londres í enviar mu v i Exima. Sr.f Con el fia de facilitar algunos riegos, tan útiles en la pre chos agentes y artesanos á las islas georgianas (Otahiti ócc.), y sucesivamente á</t>
  </si>
  <si>
    <t>…os arrabales y tres moltnosa Los pretendientes dirigirán los memoriales, fraíleos de porte, al ayuntamiento de dicha villa en el termino de 30 dias. Extracto del parte remitido por el gobernador qivil dé‘la provincia de Hues ca , D. Francisco Romo y Gamboa, con fecha.de 12 de Junio último. Mota. En la Gaveta de ayer , columna 6.*, línea 61, donde dice p. Palito ¡areno y Mir/tIHa. léase 13. Pablo Torrtnl y MiralHi: y en la misma columna , linea 8J, Se está organizando en aquella capital la 4.a compañía de infantería de la donde dice D. José Ramón Ruev…</t>
  </si>
  <si>
    <t>Gamboa, Lorenzo Romo y</t>
  </si>
  <si>
    <t>Lorenzo Romo y Gamboa</t>
  </si>
  <si>
    <t>…ectrizó a nuestro ejército y produjo la mas PROVINCIA PE GUAU Al A; ARA* viva simpatía entre este y el ruso. Pero es menester confesar que este último no está aun tan civilizado como el nuestro; sabemos también que entre nues Sr, D. Lorenzo Romo y Gamboa* tro ejército y el de otra Potencia al¡ada (d Austria) no existen relaciones muy amistosas como se nos quiere hacer creer. Aun hay quien dice que en una ciu dad (Maguncia), donde hay destacamentos de ambos ejércitos, está prohibido - f'r'-P- ■ ■** i los oficiales de la última Potencia tratarse con…</t>
  </si>
  <si>
    <t>Gamero, Flora</t>
  </si>
  <si>
    <t>Flora Gamero</t>
  </si>
  <si>
    <t>…os cnal merecen los "des de S. Gerdoimo, y en Cádiz eo el dé Moya. ----- Por providencia del alcalde mayor de la ciudad de Cdrdobá se cita' graciados en semejantes-ocasiones. Varios de ellos es probable pertf-. á los parientes de Doña Flora Gamero, viuda de D. Antonio Morales, na ciaron en aquella noches y en efecto, el fraile Salaverri, que iba tural de la villa de Palma del Rio y vecina de dicha ciudad, bija legi en una caballería, quedó alli muerto sin poder ir mas adelante. Co- tima de D. Antonio Gamero y de Doüa María LlBan y Salvador,…</t>
  </si>
  <si>
    <t>Gamez, Secreta Juan</t>
  </si>
  <si>
    <t>Secreta Juan Gamez</t>
  </si>
  <si>
    <t>…e ligeros de caballería D. Juan Lo que tengo la honra de participar &amp;c. Dios &amp;c. Ochandiano 10 de Contreras, y los de igual clase D. Ramón Gómez , del mismo cuerpo, y Don Setiembre de 1834-=Excmo Sr.zzBuldoméro Espariero.enExcmo. Sr. Secreta Juan Gamez, del de húsares de la Princesa, quienes con 60 caballos de los dos do de Estado y del Despacho de Guerra. cuerpos se arrojaron en medio del pueblo, rompieron el cuadro que ios rebel des tenian formado, esparciendo el terror y la muerte de mas de 40 hombres El comandante general de las provincias Va…</t>
  </si>
  <si>
    <t>Gamier-Pagés</t>
  </si>
  <si>
    <t>…o fiscal general, ha sacrificado á la causa de la revolución su vida, su exis Prosíguela discúsionSde la minuta de contestación al discurso del Rey. tencia, su sosiego y sus'bienes: i pesar de haber conocido desde el principio El Sr. Gamier-Pagés: «Fácilmente se conocerá oyendo leer la minuta de ue habría hombres retrógados, -pues cuando h¡n gobierno desaparece siempre respuesta que este, ano es el último de nuestros poderes legislativos; porque es f 3 eja arqigos y partidarios; que por otra pafte aparecerían hombres exagerados forzoso cobí…</t>
  </si>
  <si>
    <t>Gamundi, Pedro</t>
  </si>
  <si>
    <t>Pedro Gamundi</t>
  </si>
  <si>
    <t>…perjuicio de las gracias á que la piedad de ia Ruina nuestra Señora los consi por. el atentado cometido contra la nacionalidad polaca» dere acreedores. •*Hemos tenido la d cha de oír de boca de V. M. palabras de unión , tan «Y el sargento Pedro Gamundi, á quien previne.me pasase un parte de la dignas de un principe generoso é ilustrado. Cuando llaméis, Señor , á todos los ocurrencia deayer, me ha dado el siguiente: Excmo. Sr.: hn ei d a de .iur ve buenos.ciudadanos en derredor de vuestro trono constitucional, estad seguro ntamos á esta plaza de*d…</t>
  </si>
  <si>
    <t>Gándara</t>
  </si>
  <si>
    <t>…s observaciones sobre su redac respecto de esto en la idea eapresada por el Sr. Manilla. ■■■•' ción. Seria una-ridiculez que yo , ni ninguno, dijese que los españoles no están «Por lo demás, debo insistir en l*i observaciones del Sr. Gándara y á pe : ‘ obligados á pagar las contribuciones. Por eso, y Siendo ¡poco amigo de diva- tar de la contestación que ha dado el Sr. González. Cualesquiera que hayan »ís g*r, me ceñiré'í solo dos ó tres observaciones Creo que debe suprimirse la . do las circunstancias de. otras ¿pocas, nosotros estamos…</t>
  </si>
  <si>
    <t>Gandara, D Joscf de la</t>
  </si>
  <si>
    <t>D Joscf de la Gandara</t>
  </si>
  <si>
    <t>…n V n . a. ínníi-t-........................ -___ ga rro , fue batido aquel por un corto destacamento de 15 cazadores de América ló|5ó^s «!* n « n ■ .d - 1000............................. -.... Barcelona. i las órdenes del segundo comandante D. Joscf de la Gandara-, que los disper 4,020.................. 4000............................. só en el monte de Colbay , cogiéndoles una caja de guerra y otros efectos, lle 23,900............... 1000.............................. vando en seguida otro segundo golpe por el teniente graduado de capitán dél .............…</t>
  </si>
  <si>
    <t>Gandara, Joscf de la</t>
  </si>
  <si>
    <t>Joscf de la Gandara</t>
  </si>
  <si>
    <t>…ínníi-t-........................ -___ ga rro , fue batido aquel por un corto destacamento de 15 cazadores de América ló|5ó^s «!* n « n ■ .d - 1000............................. -.... Barcelona. i las órdenes del segundo comandante D. Joscf de la Gandara-, que los disper 4,020.................. 4000............................. só en el monte de Colbay , cogiéndoles una caja de guerra y otros efectos, lle 23,900............... 1000.............................. vando en seguida otro segundo golpe por el teniente graduado de capitán dél .............…</t>
  </si>
  <si>
    <t>Gándara, José de la</t>
  </si>
  <si>
    <t>José de la Gándara</t>
  </si>
  <si>
    <t>…rrirán á los fuegos para auxiliar las disposiciones de la autoridad municipal. Exemo. Sr. ¡ Enterada S. M. la Reina Gobernadora de los ser vicios contraídos en su dilatada y- honrosa carrera militar por el co mandante de batallón D. José de la Gándara , que ha muerto glorio CAPITULO II. samente en la provincia de Cataluña á manos de los rebeldes de aquel De las disposiciones y medidas que se han de observar piara precaverpais . batiéndose ■ denodadamente con ellos en defensa de los legíti y evitar los incendios.mos derechos de la Reina nuestra S…</t>
  </si>
  <si>
    <t>Gangarin</t>
  </si>
  <si>
    <t>…rto número de auxiliares que están muy emerados dcl neDeReáí orden lo comunico á V. S. para su inteligencia y efectos , goció de que se trata. correspondientes á su puntual cumplimiento. Dios guarde á V. S. Sobre el enviado ruso, príncipe Gangarin, no podemos anunciar otra cosa, muchos años. Madrid 28 de Junio de 1834. = Moscoso. =Sr. corregi sino su llegada á Haya. dor de esta II. villa. - Los fondos españoles continúan subiendo en la lonja de Amsterdam. EL .2 También se ha comunicado esta Real orden al superintendente de Junio la renta per…</t>
  </si>
  <si>
    <t>Gannercm</t>
  </si>
  <si>
    <t>…e ha de presentar al Rey la contes maneceremos fielesá nuestros juramentos y á nuestros deberes, seguros de co tación de la Cámara. ger el Trufo de nuestra perseverancia y esfuerzos: desalentadas las facciones, des A petición del Sr. Gannercm sé resuelve que el lúnes próximo principie aparecerán ante la voluntad soberana de un pueblo, que sin entregarse al ocio, la discusión del proyecto de reglamento para gobierno del departamento del quiere descansar de las turbulencias que por largo tiempo le han tenido en agi Sena; que concluida dic…</t>
  </si>
  <si>
    <t>Gapo</t>
  </si>
  <si>
    <t>…chos, sino también una atención obstinada y colectiva; cosas que Mr. Thiersch no tiene derecho Avisa su gobernador civil cotí fecha 14 del corriente que,,en aquella ca- sr«X4gir de la iftayor paite de sús lectores. La memoria del conde Gapo d’ls Í)itala fechadisminuíafallecieronel númeroen ella de8 personasinvasiones:y quedabanque en los73tresenfenhas:dias anterioresañade queal dede triaformaresistirá,: acaso pues,Mr. Thierschtodavía hubieraá este ataqueandadodemasiadomis comedidorepentinoen susy violentopalabras sietihusu los dem.is…</t>
  </si>
  <si>
    <t>Gar'mer</t>
  </si>
  <si>
    <t>…car la' reunión. Los celadores cumentos qqe,obran en poder .de los jueces: documentos que se obedecieron , pero á i^^j,,ig*ukaroa , ,y^ habién^ojqs preguntado Ijan encontrado, ya en casa de los individuos .de las secciones, ya el Sr. Gar'mer por qué estaban allí, respondieron que ninguna or en Iá dfc los gefes de estas mismas secciones. Creo que esta nomen den tenían ^ue .recibir &lt;je &amp; , clatura dice mas que cuanto yo pudiera manifestar sobre este punto. «Sé había reunido alguna gente, y se lanzaron algunas piedras «Se ha supuesto asim…</t>
  </si>
  <si>
    <t>Gar, Alvarez</t>
  </si>
  <si>
    <t>Alvarez Gar</t>
  </si>
  <si>
    <t>…forma que se ha me parece que no podemos nosotros absolutamente aprobarla, por contener una bía principiado; y lo conveniente que seria que la comisión de Hacienda for infracción d&gt;recta del reglamento, á pesar de lo dicho por el Sr. Alvarez Gar mase una especie de memoria análoga á la del Gobierno para facilitar ai Esta cía , de que lo mismo resultaría (me parece que ha querido decir esto) discutien mento la resolución de tan delicado y complicado asunto. do la totalidad del proyecto de ley de una vez, que discutiéndolo por partes, Pregun…</t>
  </si>
  <si>
    <t>Gar, Mihuel</t>
  </si>
  <si>
    <t>Mihuel Gar</t>
  </si>
  <si>
    <t>…6 ocultado; si la Cuadra , D. José de Cafránga, conde de CerveHon , inarques de Espeja, ■están dentro ó fuera dei reino, el Gobierno no nos lo ha dicho ni se sabe. Si B. Martin FérnaíSdei de Navarrete, Patriarcado las' Inid las, D. Mihuel Gar iBhanPpcrdido ó ¿o, eso doctores tiene la Sta. madre Iglesia como, suele de- cía Herreros ', ÍX Pomas GohzalezCatv-ijaT (quejo hizo-de ofidio por ¿Star enfermo), conde González dé Cástcjon , obispo IX 'Pedro Üonzalez'V al le jo,■¿itse?’‘i- , a El jr. CanoManuel: «Estoy completamente satisfecho , y…</t>
  </si>
  <si>
    <t>Gar, Pedro</t>
  </si>
  <si>
    <t>Pedro Gar</t>
  </si>
  <si>
    <t>…sla, de Cuba. Cid.) Obras Qut st hallan de venta en el despacho-de ta imprenta Peal. «_r prescribiendo &gt;etías para evitar que bajo prétéxto de medidas sanitarias Comentarios de la pintura encáustica del pincel , por el presbítero D. Pedro Gar— sufran los Procuradores del Remo que se trasladan, á esta capital detenciones ' cía de la Huerta. Un tomo en 8.°, edición de 1AI5 a 5 rs. rama y ') en pasta común. indebidas ó .innecesarias. Cid.) ——Curso rlemenral de meteorología por D. José Garriga. Un tomo en 8.°, edición Circular al cuerpo dip…</t>
  </si>
  <si>
    <t>Garaube</t>
  </si>
  <si>
    <t>…ley relati disculparse porque no se ha dejado destruir. Por eso antes de hacer vo á prorogar el término señalado para recoger la moneda vieja ciertas observaciones respecto á esta ley y repeler algunas de 1» de oro.y plata; y el Sr. Garaube otro concerniente al proyecto de objeciones que se hicieron en la sesión de ayeT, me es indispensa ley sobre alistamiento^ 8lá&amp;-hoinbres de la clase de 834. Ambos ble rebatir ciertas acriminaciones ya generales, ya particulares, que informes se mandan imprimir y distribuir, acordando que el de el G…</t>
  </si>
  <si>
    <t>Garay</t>
  </si>
  <si>
    <t>…e se ha citado una época que siempre se nos dice no nos puede servir de de deuda que se ha arreglado, conforme á los principios adoptados en tiempo ejemplo, ó se procura desacreditar; época cuyos hechos admitiré o rehusaré se del Sr. Garay, de deud* consolidada y no consolidada. ¡Ojalá todas las cosas gún lo crea conveniente, pero que en general no me parece de peor condición que ha hecho el Gobierno en estos años hubieran sido tan poco desacertadas! que ninguna otra, pues como las demas, pertenece á nuestra historia. Si efecti En es…</t>
  </si>
  <si>
    <t>Garay, D Faustino</t>
  </si>
  <si>
    <t>D Faustino Garay</t>
  </si>
  <si>
    <t>…nzo y pronto lo estará el Sr. D. Pío taborda. * enlosado de los pórtales de la plaza mayor. En seguida se promoverán otras Sr. D. Francisco del Rey. - mejoras de policía urbana como son la reparación de las calles y el restableci Sr. D. Faustino Garay. miento del alumbrado público. Sr. X&gt;- Joaquín Ortiz de Velasco. Para atender á los objetos que están á cargo d* la sociedad económica se Sr. D. Aúgel Pojo. piensa en hacer algunas rifas de alhajas, arbitrio que es el que ofrece menos in convenientes por las razones que se expresan. Se trata asimism…</t>
  </si>
  <si>
    <t>…ro también ofrece el proyecto otras mu También se aprobó el dictámen de la referida comisión de Poderes , res chas y considerables mejoras. Enfre estas se vei*á la pena de muerte, si bien pecto á los documentos presentados por el Sr. D. Faustino Garay , electo por no desterrada de nuestro Código, por no permitirlo nuestras costumbres, ni Zaragoza. La comisión opinaba que eran suficientes, por lo que podía proce el estado de la sociedad, ni las circunstancias en que se halla la Nación, re der el interesado á la presentación de sus poderes. ducida…</t>
  </si>
  <si>
    <t>Garay, Faustino</t>
  </si>
  <si>
    <t>Faustino Garay</t>
  </si>
  <si>
    <t>…y pronto lo estará el Sr. D. Pío taborda. * enlosado de los pórtales de la plaza mayor. En seguida se promoverán otras Sr. D. Francisco del Rey. - mejoras de policía urbana como son la reparación de las calles y el restableci Sr. D. Faustino Garay. miento del alumbrado público. Sr. X&gt;- Joaquín Ortiz de Velasco. Para atender á los objetos que están á cargo d* la sociedad económica se Sr. D. Aúgel Pojo. piensa en hacer algunas rifas de alhajas, arbitrio que es el que ofrece menos in convenientes por las razones que se expresan. Se trata asimism…</t>
  </si>
  <si>
    <t>…imo. Real servicio, del que no cree deben separarse. -Sé mandaron pasar á la comisión de Poderes los de D. Tomas Domín El Sr. duque de Gor dijo que desde luego apoyaba la proposición, siem- guez , electo Procurador por Málaga , y D. Faustino Garay por Zaragoza, Í&gt;re que se entendiera el sentido de la misma con los empleados; pero no con acompañados de los documentos necesarios. ós qué ño estuviesen en este caso, los cuales deberían presentar sus papeles y Conformándose el Estamento con el dictámen de la comisión de Poderesdocumentos. se apro…</t>
  </si>
  <si>
    <t>…ambién ofrece el proyecto otras mu También se aprobó el dictámen de la referida comisión de Poderes , res chas y considerables mejoras. Enfre estas se vei*á la pena de muerte, si bien pecto á los documentos presentados por el Sr. D. Faustino Garay , electo por no desterrada de nuestro Código, por no permitirlo nuestras costumbres, ni Zaragoza. La comisión opinaba que eran suficientes, por lo que podía proce el estado de la sociedad, ni las circunstancias en que se halla la Nación, re der el interesado á la presentación de sus poderes. ducida…</t>
  </si>
  <si>
    <t>Garay, Francisco Javier</t>
  </si>
  <si>
    <t>Francisco Javier Garay</t>
  </si>
  <si>
    <t>…e la provincia se han presentada uno ó dos casos nuel Fuertes , D. Joaquín Acevedo , D. Manuel de Lucas, D. Angel Domín sospechosos, que hasta ahora no resultan caracterizados, y de este modo confio guez de. Soto, D. José Moreno, D. Francisco Javier Garay, D. Joaquín en poder preservar ¿ estos pueblos de tan horrible azote. García, D. José de Vivero y D. Antonio Bcloso: en álgebra D. Faustino Do Policía general. Me be dedicado á U formación de una matrícula general, mínguez y D. Juan Pardo y Silva;'en geografía elemental D. Pablo Carcafio, de que ca…</t>
  </si>
  <si>
    <t>Garcerán, D Francisco</t>
  </si>
  <si>
    <t>D Francisco Garcerán</t>
  </si>
  <si>
    <t>…njuto, hasta el dia 3 del corriente que fue atacado de la enfermedad reinante. El Sr. provisor y vicario general del obispado D. Femando Lorenzo y Mar ANUNCIOS. tin, vocal. El Sr. D. Juan Soto, vocal por la clase del comercio. El Sr. D. Francisco Garcerán, médico vocal consultor, hasta el dia 2 del Ofirmt quw tt hsiinn tU v*nt* tn tí dtxpneho d* U ímpttnts Rtmk •articule que falleció. El Sr. D. Serafin García, médico vocal consultor, hartad 7 que falleció. Arte poética de M. Boileau Despreaux, traducida en veno sueleo castellano* y dedicada á la cla…</t>
  </si>
  <si>
    <t>Garcerán, Francisco</t>
  </si>
  <si>
    <t>Francisco Garcerán</t>
  </si>
  <si>
    <t>…o, hasta el dia 3 del corriente que fue atacado de la enfermedad reinante. El Sr. provisor y vicario general del obispado D. Femando Lorenzo y Mar ANUNCIOS. tin, vocal. El Sr. D. Juan Soto, vocal por la clase del comercio. El Sr. D. Francisco Garcerán, médico vocal consultor, hasta el dia 2 del Ofirmt quw tt hsiinn tU v*nt* tn tí dtxpneho d* U ímpttnts Rtmk •articule que falleció. El Sr. D. Serafin García, médico vocal consultor, hartad 7 que falleció. Arte poética de M. Boileau Despreaux, traducida en veno sueleo castellano* y dedicada á la cla…</t>
  </si>
  <si>
    <t>García</t>
  </si>
  <si>
    <t>…ará entonces; al que se ~ lo mismo que las cantidades prestadas, en las dos terceras partes.” présente después se le pagará después: pero entiendo que se debe fijar un tér El Sr. Marques de Montévírgen: «La reflexión hecha por el Sr. García mino para que principíen á correr los intereses.” Atocha es justísima; pero debía haberla expuesto antes. Se reduce á que lo* Mi Sr, Msmttvírgen: «Yo creo que todos tendrías derecho cuando esté prestamistas de la época que cita han estado II años sin percibir intereses: es hecha la liquidación: el…</t>
  </si>
  <si>
    <t>…ros con que la ha Cámara de R.epresetnáiités, y'está'mandó pasar lá renuncia á la comisión de acompañado.*? ¡" '' v ■ ! ‘ ' . ., Negocios constitucionales* . . , r '' ■ El mismo dfá acudió í la Cálnara el ministro dé lo Interior, Sr. García, b, K.,i ITt» estátria,ééhi!'érigido á:Mfí'lCannirig en la abadía de Westminsfer, con motivo del incidente que vamos á referir- En la Gaceta mercantil de 15 fcsóttaáatjior susferéjjcibri enríe sus'arrtfgris jt admiradores. Es de mármol, y obra de Mayo se insertó un articulo bajo el epígrafe de «avi…</t>
  </si>
  <si>
    <t>…ntenderemos. En cuanto á la edad es menester que debe ser alistado en la Milicia són.” &gt; ' , ; tengamóspresente.que en nuestro-climaes mas adelantada que en otros. Ade Se declaró él punto suficientemente discutido, i petición del Sr. García más, en el caso~qúe se supusiese que.un joven de,17 años no presenta suficien Carrasco. 1 tes fianzas paralarle tararmas, tampoco podría prestarlas á los 18 ni á los 20, El Sr. Presidente dijo iba á votarse al artículo por partes;- y dsspucs</t>
  </si>
  <si>
    <t>…hombre, es poco compati servir en e»la Muicia, cuanto que p .r, ella se compromete al egoísmo , ds que ble con la reflexión que debe dominar en las leyes/’ por desgracia hay muchí imo en España. Del modo que aquí se propone se El Sr. García tierreros^ para deshacer una equivocación. «Yo no he compromete al egoísta , obligándole a sostener con las armas su» mas sagrados dicho que el entusiasmo sea la sola garantía que se exija para ser admitidos en derechos. Intercalado en las tías con les demas compañeros , por mas egoísmo la Milicia,…</t>
  </si>
  <si>
    <t>…uc- vecinos indistiptámente tienen el deber de presentarse y obedecer el llamamienparaf’conservát'. el órdenijpúblicSj.'mas'para ésos casos nc tores ót'^abjidáñes'del ganadpPnb los dueñosíde ídlós.” ‘f '~,r,t¡ t^r'iE'liffütorldad Sr. García dejitochai » Eítoyconfíyrme en la Redacción del artícu *'"■•**—'*':j"'4hay jsnecesidad 4-Je que los empleado^----- —-----------------------------------esten inüctitos como milicianos,;i'-:—1 -.........-pues salo tal como lo presenta la comisión’; pero.me hqUo también persuadido de quo;“ beaájuelclj…</t>
  </si>
  <si>
    <t>…; y 3.° que no asistió el elector legítimo. Pero esto es suponer bueno en lugar de otro bueno que ya está nombrado. No se diga que la con lo mismo que se disputa. Precisamente ia dificultad está en si el elector que currencia del Sr. García se opone á una perfecta elección, pues se ha visto que asistió es el que debía asistir. Observo que los Sres. Procuradores que impug en la junta electoral primera, de que formó parte, resultaron nombrados el Se nan el dictámen recorren el círculo de errores que i primera vista detuvieron ñor genera…</t>
  </si>
  <si>
    <t>…tiempo con También quedó enterado de una cxpus-cu n del Sr. D. C'pri qo de la los documentos ju tificativos de su aptitud legal para desempeñar su cargo. R iva, procurador porBúgos, m-Vniftslando hallarse conva’ec¡endo en ola El Sr. García man fe.ió que el poder de este interesado, se le había en corte de la enfermedad remante q^u® le acometo en Villacastin, y que en tregado el Sr gobernador civil al darle el suso propio. Cuanto Cité rest b eodo be presenta-a rn las sesione*. El Estamento quedó entecado de la exposición del Sr. Manri…</t>
  </si>
  <si>
    <t>…corregidor de esta villa, re* ! ' Saez, de á Doña escribano ftendada de Díaz Antonia número del Antoñaoa, se citadé Junio de 1834—Excmo. Sr.=Francisco de Paula Alcalá.mExcmo. Sr. ca- \ D« Doña heredera Concepción María Mariano de D. García, López, Juan viuda y JÍUui general de Apagón.” Medra no, D. Andrés González, de Gómez, D. Pedro Su'arez Al varado , D. Juan del I Corral, y demas acreedores á la testáméntaría de Doña Donata González, para que en i el termino de 30 días acudan á continuar sus reclamaciones, y usar de lasaccionc^ qu…</t>
  </si>
  <si>
    <t>…ieron los rebeldes pudieron to el campo de batalla, y los demas que se dieron sepultura en los pueblos inme marse todas las disposiciones para recibirlos antes que desplegasen sus numeró diatos. Entre estos se cuentan el titulado coronel García y gran número de ofi te gavillas, que multiplicándose extraordinariamente cubrían los campos cir ciales. Los heridos son innumerables, 200 fueron conducidos al valle de Olio, cunvecinos i mi posición, y amenazaban corriéndose á la derecha nuestra caba y al de Ulzama y puntos inmediatos, otro número m…</t>
  </si>
  <si>
    <t>…de Estado z »Voy meramente á hacer B1 Sr.íVicepresidente anunció que iba á continuarse la discusión sobre el tina acUracioo. Qgsdc luego ha convenido el Gobierno, aun1 sin tener el Ai» lprés8ptteste»de Guerra^, ■ enunciado por el Sr. García, en que, habiendo variado Ja naturaleza dei objeto ■ ■ '.Seleyó.1 artículo 2A dei capítulo 6° que fija para gastos de las secreta- k que estaban destinadas esas atorres y vigías, debe variar el ministerio de que tías:de las cap'tanías generales 933,352 rs. dependen. Al principio tuvieron un objeto…</t>
  </si>
  <si>
    <t>García, Afoartz</t>
  </si>
  <si>
    <t>Afoartz García</t>
  </si>
  <si>
    <t>…i bierno es á quien toca proponerla al Estamento); entonces el Estamento ten- llones, y á los tres ó cuatro meses se votaron basta 19 y mas millones.” driá un embarazo menos en sus deliberaciones; y tal vez podría conceder con El Sr. Afoartz García: «Me parece muy laudable el objeto de loe au mano larga lo que ahora se trata de rejbajar del presupuesto de casa Real. tores de la proposición que se discute, que en mt concepto no es otro que evi «Et bren extraño, señores, que el Gobierno rehuya tanto entrar en esta tar el compromiso en que se ha…</t>
  </si>
  <si>
    <t>García, Agustín</t>
  </si>
  <si>
    <t>Agustín García</t>
  </si>
  <si>
    <t>…que 100 hombres, ó lo mas Se abrió á las once y media; y leída el acta de la anterior quedó apro 120: por consecuencia, siendo las compañías de 100 caballos, los escuadrones bada-El Estamento concedió licencia de dos meses al Sr. D. Agustín García cualconstaránno debende 200;ser númeromas quedemasiadode lUO. grandeAsi, pues,para lacreotácticadebeespañola,fijarse su segúnnúmeroia de Atocha, y de 15 días ai Sr. D. Fermín Caballero , para arreglar sus asun de 40 á 60.” tos domésticos. El Sr. Palarea: «Yo no entraré en la cuestión de la1 fuerza…</t>
  </si>
  <si>
    <t>García, Aharez</t>
  </si>
  <si>
    <t>Aharez García</t>
  </si>
  <si>
    <t>…uesto por parccerle convenía discu escollos y embarazos. Por lo tanto, opino que aprobándose la proposición, se tirse dicho presupuesto cuando los demas. forme después una comisión central en la forma que he indicado, para que El Sr. Aharez García: «Me parece que no salimos del caos en que no# examine todo el proyecto y las adiciones y enmiendas que á él se hagan.” hallamos, y que no atendemos á lo que es mas urgente. Si cada comisión está El Sr. Presidente manifestó que antes de pasar la discusión adelante, de encargada de entrar en el exám…</t>
  </si>
  <si>
    <t>García, Alvarez</t>
  </si>
  <si>
    <t>Alvarez García</t>
  </si>
  <si>
    <t>…se sirva declarar nos hallamos en el caso prevenido de acordar estos fondos, sobre los objetos de su inversión &amp;C. Ócc. De consi en el artículo 92 del reglamento con respecto al presupuesto de Casa Real, guiente, ¿cómo quiere el Sr. Alvarez García que se produzca ei mismo resul considerándose cada uno de los presupuestos como un proyecto diferente, res tado empezando por donde lodos acaban , que haciéndolo según el orden recu pecto á que cada uno de ellos sigue los trámites que el mismo señala.” lar de las cosas? El dicho Sr. marques de Socn…</t>
  </si>
  <si>
    <t>…one La comisión.*’ ros. El Sr. Infante IX Francisco ademas tiene ocho hijos, y ha prestado eminen El Sr. Palarea deshizo una ligera equivocación. te^ servicios. Es el único Príncipe de su sangré que se ha mostrado fiel á la Na El Sr. Alvarez García hizo algunas observaciones que se percibieron, mal, ción, fiel £ su alta estirpe y fiel £ nuestra inocente Reina. Esto creo que debe reducidas á que estaba indeciso entre el dictámen del Gobierno y el de la co servir de algún peso en la consideración del Estamento, el cual en mi opinión misión, pue…</t>
  </si>
  <si>
    <t>García, Angela</t>
  </si>
  <si>
    <t>Angela García</t>
  </si>
  <si>
    <t>…que puedan tener derecho £ bou a i&gt;B comercio.__Cotización de ayer á las tres de la tarde. los bienes que han quedado por muerte de D. José Patricio Wanufifel, vecino y agen,- te de negocios que fue de esta corte, y de su esposa doña Angela García, para que en el indicado término acudan £ deducirle en el juzgado del Soñor López Pelegrin, te EFECTOS PUBLICOS. niente corregidor de esta villa, y por la escribanía de Romeral; con apercibimiento de que no verificándolo les parara perjuicio. inscripciones en el gran libro k 5 p. 100, 00. ——Por Rca…</t>
  </si>
  <si>
    <t>García, Cayetano</t>
  </si>
  <si>
    <t>Cayetano García</t>
  </si>
  <si>
    <t>…ra ser al Estamenro, según la posibilidad que de ello tuvieren en razón de los servicios Procurador. que estuviesen prestando, como los que se hallan en las Provincias; no asi con A la misma se mandó pasar otra exposición del Sr. D. Cayetano García los que esten en Madrid, á quienes no se les debe considerar como exentos de de la Maza, Procurador por la provincia de Valladolid, pidiéndose le exone la asistencia, excepto al capitán general, que Jo está por sus ocupaciones: por re de este cargo por no poder desempeñarle, i causa de la enfermedad ha…</t>
  </si>
  <si>
    <t>García, Clemente</t>
  </si>
  <si>
    <t>Clemente García</t>
  </si>
  <si>
    <t>…desde esta ciudad con la indicada fecha lo cente Ruiz Morqueeho, ¿ D. Joaquín Lorenzo Lázaro, que lo son siguiente : »La peste que se ha declarado, en primer lugar en Jada y despoe* de dicha audiencia , á D. Francisco Calvet y á D. Clemente- García cu Smi/na, ha hecho aquí también su aparición , habiendo ya ocurrido «ario* Escudero .alcalde del crimen de la misma: en clase de alcaldes del accidentesenfermedadenunestacaráctercapitalmaligno.y sus arrabales, aunque hasta ahora no presenta la crimen á D. Joaquín Velluti, á D. Cayetano Muñiz, alca…</t>
  </si>
  <si>
    <t>García, D Agustín</t>
  </si>
  <si>
    <t>D Agustín García</t>
  </si>
  <si>
    <t>…mas que 100 hombres, ó lo mas Se abrió á las once y media; y leída el acta de la anterior quedó apro 120: por consecuencia, siendo las compañías de 100 caballos, los escuadrones bada-El Estamento concedió licencia de dos meses al Sr. D. Agustín García cualconstaránno debende 200;ser númeromas quedemasiadode lUO. grandeAsi, pues,para lacreotácticadebeespañola,fijarse su segúnnúmeroia de Atocha, y de 15 días ai Sr. D. Fermín Caballero , para arreglar sus asun de 40 á 60.” tos domésticos. El Sr. Palarea: «Yo no entraré en la cuestión de la1 fuerza…</t>
  </si>
  <si>
    <t>García, D Cayetano</t>
  </si>
  <si>
    <t>D Cayetano García</t>
  </si>
  <si>
    <t>…, para ser al Estamenro, según la posibilidad que de ello tuvieren en razón de los servicios Procurador. que estuviesen prestando, como los que se hallan en las Provincias; no asi con A la misma se mandó pasar otra exposición del Sr. D. Cayetano García los que esten en Madrid, á quienes no se les debe considerar como exentos de de la Maza, Procurador por la provincia de Valladolid, pidiéndose le exone la asistencia, excepto al capitán general, que Jo está por sus ocupaciones: por re de este cargo por no poder desempeñarle, i causa de la enfermedad ha…</t>
  </si>
  <si>
    <t>García, D Gregorio</t>
  </si>
  <si>
    <t>D Gregorio García</t>
  </si>
  <si>
    <t>…los Sres. Don que los presente conforme á lo mandado. Asi se aprobó. Luis de S. Clemente, y D. Joaquín González Nieto, y de la de Guadalajara Asimismo manifestó dicha comisión haber examinado el oficio del señor en reemplazo del Sr. D. Gregorio García, que ha recaído en ei Sr. D. Fran D. Francisco Pcramon, electo por la provincia de Gerona, en que solicita se cisco Murati. le exonere del cargo de Procurador; y que hallando justo lo expuesto por di A la misma comisión se pasaron los poderes y documentos de su aptitud cho Sr., era de dictamen que…</t>
  </si>
  <si>
    <t>García, D José</t>
  </si>
  <si>
    <t>D José García</t>
  </si>
  <si>
    <t>…e se archivase, y dispuesto por la Real convocatoria de 2u de Mato último, en que S. M. se asi se acordó. sirvió mandar y ordenar que para el 2J de Jallo se hallasen reunidos en esta El Estamento se enteró de un oficio del Excmo. Sr. D. José García de capital todos los Prócercs á qu&gt;cnes de derecho correspondiese t y los de mas León y Pizarro , manifestando que por hallarse en París tomando baños mi á quienes había tenido á bien conferir e&gt;ta dignidad. Ha cortvde»-ado igual nerales y arreglando sus intereses, no había podido aun trasladarse á es…</t>
  </si>
  <si>
    <t>…tres, he logrado alcanzar al cabe hasta la mitad del monte que se dejaba. El general Benedicto dispuso marcha cilla Villalobos en el pueblo de Ahedo délas Pueblas; he conseguido disper sen dos compañías del primer batallón con su comandante D. José García sarle toda su facción y dejar en el campo 40 muertos, habiéndome apoderado Jove en apoyo del 2.°, lo que dicho gefe ejecutó con tal rapidez y bizarría, de 49 prisioneros: mañana daré á V. E. los detalles, en cuyo dia salgo para que los enemigos volvieron á ser echados de las alturas- de Gallarraga,…</t>
  </si>
  <si>
    <t>García, D Nicolás</t>
  </si>
  <si>
    <t>D Nicolás García</t>
  </si>
  <si>
    <t>….con el óbjeto de no dar lugar á que se rehicieran las fuerzas ene- Acciones del banco español «00, &lt;rhigas; tá carga se ejecutó á la voz de viva Isabel ti, con una bizarría sin CAMBIOS. ejemplo, imitando á su digno comandante el teniente D. Nicolás García, sos Amsterdam, 00. París, 16-4- Cádiz* 1| b. Sevilla* i b. tenida por la partida del regimiento infantería, &lt;S¡° ligero, al mando del Bayona, 00. Alicante, acorto pla Coruña, * d. Valencia, id. Id. 'catKt&amp;n D. Lucas Pineiro, y del teniente D. Pedro Amau, quienes nada me Burdeos, 00. zo, * b. Grana…</t>
  </si>
  <si>
    <t>García, D Serafin</t>
  </si>
  <si>
    <t>D Serafin García</t>
  </si>
  <si>
    <t>…tin, vocal. El Sr. D. Juan Soto, vocal por la clase del comercio. El Sr. D. Francisco Garcerán, médico vocal consultor, hasta el dia 2 del Ofirmt quw tt hsiinn tU v*nt* tn tí dtxpneho d* U ímpttnts Rtmk •articule que falleció. El Sr. D. Serafin García, médico vocal consultor, hartad 7 que falleció. Arte poética de M. Boileau Despreaux, traducida en veno sueleo castellano* y dedicada á la clase de poética del Real Seminario de Nobles por D. Juan Bautista dé El-secretario D. Francisco Antonio Moreno. Arriara. Un tomo en 8*°* a 6 rs. rama y 10 past…</t>
  </si>
  <si>
    <t>García, Felir</t>
  </si>
  <si>
    <t>Felir García</t>
  </si>
  <si>
    <t>…no tiene fundamento alguno la noticia de ui congreso italia del pasado Diciembre, dice que el 24 por la tarde salió de Toledo á marclias no que se había propalado en los periódicos. forzadas á perseguir la facción capitaneada por D. Felir García; qqe en virtud ____El mismo Corresponsal dice que el 4 del corriente empeó en Berlín el de losavísos que se I« habían dado siguió el rastro á la facción hastaldar con ella nuevo sistema que se ha adoptado en las sumarias y en la «íblicidad de los. el dia de su salida en un profundo valle de aquello…</t>
  </si>
  <si>
    <t>García, Francisco</t>
  </si>
  <si>
    <t>Francisco García</t>
  </si>
  <si>
    <t>….piloto v cinco No extraño que semejante sistema halle cabida en unos perió marineros de dicho buque , y á los pasageros D. JoseChavez , Don dicos justamente despreciados ya por el publico; pero á lo menos Gerónimo Pérez García, D. Francisco García de bosa , D. Luis me lisonjeaba de que no tendría acogida en esta Cámara. Martínez Diaz, D. Felipe Cliavez, D. Leandro Cuevas v D. Fran Sin embargo, no hace mucho que de resultas de las asonadas de cisco González Chavez , habiéndose quedado en Abaco el capitán Par is, habían repelido los periódicos su…</t>
  </si>
  <si>
    <t>…ersonal que huyen del compromiso de venir í poncurrir con sus Sa mandaron pasar á la comisión de Poderes la ex posición y documentos esfuerzos al bien de la patria. Creo que no hay razón alguna para qué tomando presentados por el Sr. £}. Francisco García, electo Procurador por Guadalaja- una medida asi dos hiciésemos á nosotros mismos el poco hónor de supones J», en qut manifestaba faltarle , solo 19 rs. escasos para completar la renta le había individuos capaces de esto, y ya lo supondría el hac^r una prevéncíoá yó «querida por el Estatuto Rbal pa…</t>
  </si>
  <si>
    <t>García, Gil</t>
  </si>
  <si>
    <t>Gil García</t>
  </si>
  <si>
    <t>…cía á los voluntarios D. Juan Pardo, D. Apo - eos, del .partido de .Sigüenza. linar Garda* D- Gabriel Trucha* D. Justo Fernandez, menor, D. Manuel de ¡PROVINCIA DE KADRID. la Peña, D. Gabriel de Ve lasco , D. Lázaro de Arredondo, D. Gil García, D. Indalecio del Corral, D. Miguel Garmilla, D. Manuel Zorrilla; y en Del parte recibido el dia'20 del actual en el«3*ebíern©.'civil&gt;de».esta propartícularal capitán de Betanzos O. Vicente María Seguróla. -vincia aparece queel dia*I6 delqiropio había en-Carábanchél-alio 3B enfer- -mos, de los cual…</t>
  </si>
  <si>
    <t>García, Gregorio</t>
  </si>
  <si>
    <t>Gregorio García</t>
  </si>
  <si>
    <t>…en muchos en esta libertad; pero yo contestaré, que todas las facqltadcfe Igualmente manifiesta la comisión .que habiendo examinado los poderes concedidas al hombre, asi como todos los actos de este, estaq.-qujetas 4 las. mte; de D. Gregorio García por la provincia de Guadalajara, resulta de los docu- mas contingencias; y que para esto son las leyes no represivas&gt; sino sábiamcn-; meatos justificativos que ha presentado 'no poseer toda la renta necesaria para te preventivas de los abusos para contenerlos ¿ impedir se reproduzcan. ¿ Y sqtá pode…</t>
  </si>
  <si>
    <t>…uel Gutiérrez de Caviedes, por la Coruña.que no puede menos de tomarse este punto en consideración, porque la ausen D. Diego Gómez Alonso, por Cáceres. cia de tantos Sres. Procuradores ofrece dos inconvenientes: el uno, verse pri D. Gregorio García , por Guadalajara.mado el Estamento de las luces que forzosamente acumularía su presencia, y el D. José María de Monreal, por Navarra. otro que las provincias no tienen completa la representación que les está asig D. Manuel Joaquin de Tarancon , por Soria. nada, como quieren y deben querer. No soy…</t>
  </si>
  <si>
    <t>…Sres. Don que los presente conforme á lo mandado. Asi se aprobó. Luis de S. Clemente, y D. Joaquín González Nieto, y de la de Guadalajara Asimismo manifestó dicha comisión haber examinado el oficio del señor en reemplazo del Sr. D. Gregorio García, que ha recaído en ei Sr. D. Fran D. Francisco Pcramon, electo por la provincia de Gerona, en que solicita se cisco Murati. le exonere del cargo de Procurador; y que hallando justo lo expuesto por di A la misma comisión se pasaron los poderes y documentos de su aptitud cho Sr., era de dictamen que…</t>
  </si>
  <si>
    <t>García, Ignacio</t>
  </si>
  <si>
    <t>Ignacio García</t>
  </si>
  <si>
    <t>…l comandante general de las provincias Vascongadas en 1&lt;5 comparezcan por la escribanía de Cámara de Fuga á exponer el derecho del corriente haciendo referencia á la acción del 19 dada en Ur- que les asista en los auto# que sigue D. Ignacio García, como marido de quía por el general Espartero confirma la considerable pérdida que Do fia María de) Cármen Perez, con DoBa Feliciana de la Moneda, mu gar de Damián Feraz, vecinos de la villa de Lupion, partido de Baeza, los facciosos tuvieron de 150 muertos y 200 heridos. sobre restitucloo á esta,…</t>
  </si>
  <si>
    <t>García, Jos Luis</t>
  </si>
  <si>
    <t>Jos Luis García</t>
  </si>
  <si>
    <t>…D. Ramón Fernandez Broto, alcalde mayor de Potes; á ramento. D. José El ola, alcalde mayor de Conccntaina; a D. Miguel Falcon AbeHemos visto en un periódico contemporáneo censurar repetidas veces lian, alcalde mayor de Albaida; á D. Jos-- Luis García, alcalde mayor de y con la mas injusta acrimonia la conducta del duque de Palmclla; y sin Chiva; a D. Francisco de Paula Caballero Infante, alcalde mayor de Don guardar consideración á los importantísimos servicios que ha hecho, y que han Benito; á D. José Antonio Casares, alcalde mayor de Santilla…</t>
  </si>
  <si>
    <t>García, José</t>
  </si>
  <si>
    <t>José García</t>
  </si>
  <si>
    <t>…archivase, y dispuesto por la Real convocatoria de 2u de Mato último, en que S. M. se asi se acordó. sirvió mandar y ordenar que para el 2J de Jallo se hallasen reunidos en esta El Estamento se enteró de un oficio del Excmo. Sr. D. José García de capital todos los Prócercs á qu&gt;cnes de derecho correspondiese t y los de mas León y Pizarro , manifestando que por hallarse en París tomando baños mi á quienes había tenido á bien conferir e&gt;ta dignidad. Ha cortvde»-ado igual nerales y arreglando sus intereses, no había podido aun trasladarse á es…</t>
  </si>
  <si>
    <t>…grado alcanzar al cabe hasta la mitad del monte que se dejaba. El general Benedicto dispuso marcha cilla Villalobos en el pueblo de Ahedo délas Pueblas; he conseguido disper sen dos compañías del primer batallón con su comandante D. José García sarle toda su facción y dejar en el campo 40 muertos, habiéndome apoderado Jove en apoyo del 2.°, lo que dicho gefe ejecutó con tal rapidez y bizarría, de 49 prisioneros: mañana daré á V. E. los detalles, en cuyo dia salgo para que los enemigos volvieron á ser echados de las alturas- de Gallarraga,…</t>
  </si>
  <si>
    <t>…que se van le ra . duque de Nobleiss, marques de' Mansera y de Malpica, D. MartiU Feryendo los párrafos aegun*se van discutiendo, me parece qu^ esto es mfi- ñández de Navarrete, D. Ramón Gil de ia Cuadre, D. Manuel José Quintaw, D. José García teon y Pkarro, D. Gaspar Vigodet, marques de Espe C&gt;ent&lt;JEJ Sr, VicefresiJente:~^Ya no puedo prescindir é^ observar el regla ta, í). Antonio Martínez, marques de Montealegre, conde de, Montijo, conde mento, ni de. que está eo prictica el leer siempre el provecto det Gobierno y &amp; Ckviio, ■conde de S…</t>
  </si>
  <si>
    <t>García, José de Navas</t>
  </si>
  <si>
    <t>José de Navas García</t>
  </si>
  <si>
    <t>…del Cáucaso y el de la Siberia. (G. dt las postor go Moron: para la de Rioseco á D. José Velasco de Castro: para la de Francfort.) de Vigo á D. Antonio Arteagaj para feyle Cambados á D. Ricardo «AVIESA. Bovo; para la de Ujijar á D. José de Navas García : para la de Ta— Munich 2 de Mayo. rancon á D. Manuel de los Ríos Gómez de Salazar: para la de Oli- Ya se han puesto en ejecución las medidas adoptadas contra los suizos, y venza á D. Diego Alvarez Osorio; y para la de Torreíaguna á D. Lo aun se han extendido á los franceses y á los polacos. Ya muc…</t>
  </si>
  <si>
    <t>García, Juan Antonio López</t>
  </si>
  <si>
    <t>Juan Antonio López García</t>
  </si>
  <si>
    <t>…Francisco Castañares.......... .............................................................. 400 Un señor eclesiástico...................... 100 el título de aristocrática , y piensa reunirse en uno de los espaciosos salones del D. Juan Antonio López García................................................. 500 teatro de San Carlos. Para ser admitido en ella es menester probar un cierto D. Manuel U...................................................................... 300 número de cuarteles de nobleza; y es lo tnas notable, que la perspna, que se Doña Mariana U.................... 10o gún se dice debe…</t>
  </si>
  <si>
    <t>García, Manuel Alvarcz</t>
  </si>
  <si>
    <t>Manuel Alvarcz García</t>
  </si>
  <si>
    <t>…co, rigor. Si se quiere consecuencia fea la-.- resulta haber sido nombrados-Procuradores por aquella provincia tos Sres. Don comisión en tenerle, ¡por qué no se'qqiere también -constante indulgencia .err, Rafael Faustino Sanzj, y D. Manuel Alvarcz García; como asimismo otro de el'Estamento! Hasta, hoy ni he-conocido ni aun saludo el nombre del S.eúor ¡ la verificada en Zamora para Procurador de esta provincia, que ba recaído en Queipo de Llano. La comisión al principio propuso.no admitirle; &gt;pero des—.', eíSr. P. Manuel Villachica. Se mandaron pasa…</t>
  </si>
  <si>
    <t>García, Manuel Álvarez</t>
  </si>
  <si>
    <t>Manuel Álvarez García</t>
  </si>
  <si>
    <t>…mar el código de comercio.^^T«m&lt;— ___ __nombrando ¿ E&gt;. Agustín Rodríguez director general de rentas en proro 1190 . ’&gt; • piedad. (Id.) . ' ■ / 1 mandando que se presente á la Real aprobación una nueva planta de las - nombrando á D. Manuel Álvarez García intendente de primera clase secretarías del Despacho, y que se establezcan subsecretarios en cada una .de con el sueldo de este empleo. (Id.) ellas.(Núm. 12ü.) - — nombrando á D. Domingo de Torres director general de rentas en pro ' exonerando al gobernador civil de Jaén y nombrando en su lugar al…</t>
  </si>
  <si>
    <t>García, Manuel Francisco</t>
  </si>
  <si>
    <t>Manuel Francisco García</t>
  </si>
  <si>
    <t>…uan de Dios Gómez, la del Sr. comandante fugarse, dejando en poder de la columna de Santoña 21 prisioneros, 25 fusi del resguardo, la del Sr. intendente honorario D. José Arango, la del cura les y dos cajas de municiones. párroco D. Manuel Francisco García, la de O. Félix Pujadas, la de Ü. Luis Terminada esta expedición supo Aznar que los sublevados proyectában una López Yillavicencio, 3a del Sr. D. Luis Shoemaker, cónsul de los Estados- reunión general .entre La Nestosa y Ampuero, y prestándose á las -instancias Unidos, la del vicecónsul de XLusia D…</t>
  </si>
  <si>
    <t>García, Mariano</t>
  </si>
  <si>
    <t>Mariano García</t>
  </si>
  <si>
    <t>…e dice que dejará el También se ha dignado nombrar, á consulta d« la Cámara, para la rara de poder ejecutivo el vicepresidente de la república, y que su intención es retirarse ilcdde mavor de la villa de Catarroja, en Valencia, á D. Mariano García, y á sus haciendas para restablecer su salud, que está muy quebrantada a conse para la de Planes a D. Pantaleon Garníca y Herrera. cuencia de las últimas campañas. El cólera disminuía, y se esperaba que en breve quedarían Ubres de este azote. ror oxcai accreio ae o ae uicicmore FRANCIA. la Reiva Go…</t>
  </si>
  <si>
    <t>García, Mateo</t>
  </si>
  <si>
    <t>Mateo García</t>
  </si>
  <si>
    <t>…a; sargento segundo de id. Felipe Mar Bayona, 00. Alicante, .cortopla Coruña, 4 d. Valencia, id. Id. tin ; id. id. Pedro Gómez; cabo primero de id. Félix Calzada, y los soldado* Burdeos. 00. zo, { b. Granada, id. id. Taragoza , 4 d. Mateo García, Gregorio Margañon, Narciso López; no pudiendo menos de Humburgo,Londres * % W00. dias, Barcelona,4 a t id. k pz fz, Santander,Málaga. 4 b.id. id. Detcoenro* 4 p. 100de allet/ae,año. elogiar el valor del soldado de la 4-1compañía del provincial de Granada Die ***• Bilbao, par. Santiago, i d. go Lóp…</t>
  </si>
  <si>
    <t>García, N</t>
  </si>
  <si>
    <t>N García</t>
  </si>
  <si>
    <t>…ilen, 5.° ligero, del subteniente de voluntarios coronel capitán de carabineros de costas y fronteras D. N. López; y el sub Solé y otros varios que no se tiran, porque ningún parte oficial hasta ahora lo teniente del mismo cuerpo D. N. García: el teniente coronel capitán del re ha aclarado; y debiendo excitar en los que todavia pudieran mirar con indife gimiento de caballería de Navarra D. Blas Sotomavor, que fue herido en la rencia esta lucha de la humanidad contra la barbarie un justo horror hacia sus acción al dar la carga, y los del…</t>
  </si>
  <si>
    <t>García, Nicolás</t>
  </si>
  <si>
    <t>Nicolás García</t>
  </si>
  <si>
    <t>…os; cada.calle^cslá.destinada á te la enfermedad de su augusto Esposo, que le mandó dibujar y grabar en Real • k-venta-de un solo objeto de comercio, comoTas sedería*-de—fceoñ 7Tas~cíntas orden deT9 de"Febrero de El^dibuiti es de D. Nicolás García, y el • de Sr/ Etienne, las indianas de Rúan, los paños de Sedan, de. Elbeuf y de grabado de D. Blas Aroetller, que le ha Concluido en poco mas do un año. So Louvpers. halla de venta ca la Rcal Calcografía, á 30 rs. So las orillas del Ródano se establecen los genoveses con sus frutas, secas . y sus…</t>
  </si>
  <si>
    <t>…aliente y esforzado caGonzález' Llanos, í quien en l.° del actual se habia conferido igual plaza en ’ tó de carabineros de co&amp;tas Pablo Floiran; y heridos el teniente graduado del el gobierno civil de Cádiz. 4 _____ .mismo cuerpo D. Nicolás García, herido de punta de lanza desde el principió de la acción, en la que sú valor no le privó de continuar del mismomodq; Por no haberse presentado en Teruel el oficial tercero-primero del go el carabinero León Salido, y el trompeta José Bueno. j bierno civil D. Alonso Folache., ~5. M. se ha dignado as…</t>
  </si>
  <si>
    <t>García, O Juan</t>
  </si>
  <si>
    <t>O Juan García</t>
  </si>
  <si>
    <t>…los cuales curaron 50 , y perecieran 3 ; y en Hooriibia desde19.á 15 delmmmo tarse los facciosos, los que estando empeñados entre aquellas quebradas, fueron hubo 41 'enfermos,»de cuyo mátnero ¡se. desgraciaron 14. atacados por el sargento O. Juan García, emprendiendo inmediatamente su fuga por aquellos despeñaderos, que parecían impracticables, con la misma fa -PROVINCIA 0&gt;B GUAD ALA JARA. cilidad que si lo hicieran en buen terreno; pero á pesar de lo dificil de los Segun*óficio'dcl gobernador civil de ella ,'fecha*21 «del quejigo,, «en !* derrumb…</t>
  </si>
  <si>
    <t>García, Pedro</t>
  </si>
  <si>
    <t>Pedro García</t>
  </si>
  <si>
    <t>…os de que se pueda echar mano para aten D. Miguel La Cuadra, D. Josef Gómez Cano, D. Ignacio Beza y D. Jbsef der á Ia manutención de los presos, confiada ahora solamente a la caridad pu Alavarrv; los tenientes el capitán graduado D. Pedro García, D. Francisco blica. Jimeno y D- Pascual Cümens; y los subtenientes, teniente graduado L). Vic Ha dirigido también su atención á la mejora de caminos, para lo cual ha torino Tabuenca , el capitán graduado D. Salvador brigola, v D. Pedro Re oficiado al administrador de correos de la capital, deseand…</t>
  </si>
  <si>
    <t>García, Rafael</t>
  </si>
  <si>
    <t>Rafael García</t>
  </si>
  <si>
    <t>…stor, lbartola, Basi traído el brigadier Linares, quien me ha recomendado especialmente el que lio y Sopela'na, pira lo que me dediqué á la mas activa persecución de los men contrajeron el alférez de la Guardia Real de infantería D. Rafael García de cionados en combinación con el brigadier D. Fermin Iriartc. Con este objeto Tuna , el cadete del regimiento de Soria D. Luís Coll, que se portó con una dividí las fuerzas en cuatro columnas, mandadas por los beneméritos gefr* lo* notable bizarría , en la defensa de la ermita , el tambor del mismo c…</t>
  </si>
  <si>
    <t>García, Román</t>
  </si>
  <si>
    <t>Román García</t>
  </si>
  <si>
    <t>…en el Monitor se haya pu servido nombrará D. Nicolás Malatesta,’"alcalde mayor de Ciud^d-Rodrieo: blicado con notas uh artículo que se insertó en la Gaceta de Petersburgo en para la vara de alcalde mayor de U villa de Alcañ.ces á D. Román García, 13 de Agosto último: por manera que la situación actual de Polonia no es electo de Soba: paja la de Ecija al alcalde mavor cesante D. Roque Naranjomas que un hecho material que no está reconocido por el gabinete de Francia y para la de Enguera á D. Josef Caiabuig y Beíiot.ni por el de Inglaterra.…</t>
  </si>
  <si>
    <t>…e se castiguen delitos perdonado» La comisión de Poderes dio cuenta de un dictamen , en que exponía que por S. M. ? Hay una gran diferencia entre olvidar los errores, extravíos y de el partido de Alcalices nombró por su elector á D. Román García, su alcal litos pasados, y querer igualar los buenos con lo* malos, y. querer os poner en de mayor, el cual en calidad de tal concurrió á la junta para la primera elec un mismo cuerpo para defender la justa causa nuestra, que no es la suya. Es ción por la provincia de Zamora: que en la segunda para…</t>
  </si>
  <si>
    <t>García, Salustíano</t>
  </si>
  <si>
    <t>Salustíano García</t>
  </si>
  <si>
    <t>…hombre de servicio, 7 de la en clase de cesantes sin opcion á ser colocados. Y al propio tiempo ha tenido “demásservidumhre^al palacio de las Ndcesidades, y asistió al consejo de Esta S. M. á bien conferir la plaza de o6cial 18 á D. Salustíano García, adminis do. Al medio dia se trasladó con el mismo séquito al palacio de las Cortes, á trador que fue de_Toledo, y agregado en la actualidad á la dirección can 109 fin. de prestar solemne juramento como Reina reinante, en los términos pres reales de sueldo: la de 19 al cesante P. Leoncio Nuñez Aren…</t>
  </si>
  <si>
    <t>García, Serafin</t>
  </si>
  <si>
    <t>Serafin García</t>
  </si>
  <si>
    <t>…vocal. El Sr. D. Juan Soto, vocal por la clase del comercio. El Sr. D. Francisco Garcerán, médico vocal consultor, hasta el dia 2 del Ofirmt quw tt hsiinn tU v*nt* tn tí dtxpneho d* U ímpttnts Rtmk •articule que falleció. El Sr. D. Serafin García, médico vocal consultor, hartad 7 que falleció. Arte poética de M. Boileau Despreaux, traducida en veno sueleo castellano* y dedicada á la clase de poética del Real Seminario de Nobles por D. Juan Bautista dé El-secretario D. Francisco Antonio Moreno. Arriara. Un tomo en 8*°* a 6 rs. rama y 10 past…</t>
  </si>
  <si>
    <t>García, Tomas González Carvajal y D Manuel</t>
  </si>
  <si>
    <t>Tomas González Carvajal y D Manuel García</t>
  </si>
  <si>
    <t>…rlos conformes. se recordase su remisión bien confidencialmente ó de oficio. Entraron á jurar y tomaron asiento los Excmos. Sres. patriarca de las In Se preguntó de cual de estas dos maneras se haría el recuerdo , y habién dias , D. Tomas González Carvajal y D. Manuel García Herreros. dose manifestado por algunos Señores que mediante la buena inteligencia que El Estamento quedó enterado de un oficio del Excmo. Sr. Secretario del reinaba entre el Gobíernó y el Estamento, no había necesidad de pasar oficio, Despacho de lo Interior, dirigido al Excmo. Sr. Duque Presidente…</t>
  </si>
  <si>
    <t>García, Toriblo</t>
  </si>
  <si>
    <t>Toriblo García</t>
  </si>
  <si>
    <t>…a y de la patria hombres valerosos y enérgicos, mas deseosos dé ----- Manual de los niños, ó eñsefianza práctica de lectura .por un métQn medir sus armas con'los enemigos, que de reducirse en una guar do particular, compuesto por,D. Toriblo García, profesor de primera educación: 2;1 edición,'Se vende á 2 rs. en la librería'de Sánchez, y en nición sosegada al empleo importantísimo, pero no tan activo co Valladolid e&amp; la de Roldan. , .too mo ellos quisieran, de mantener la tranquilidad pública. ----- Segunda tanda de rigodones sacados de la óp…</t>
  </si>
  <si>
    <t>García, Ursula</t>
  </si>
  <si>
    <t>Ursula García</t>
  </si>
  <si>
    <t>…tismo impefiál, lo hemos descubierto completamente en D- José Manuel de Torre....................................................................... SoO la Carta de IB30- Nuestra obediencia á la Carla no es de resignación, ni for Doña Ursula García................. 5i*0 zada «sino una obediencia ' de convicción. Nos apoyamos en ia Carta como Un caballero que no ha querido manifestar su nombre...................... 2i 00 cualquiera se ppoya en su propia opinión , en sí mismo. La ruina de la Carta Los dueños de la Real fábrica de hilados, tejidos y estampados d…</t>
  </si>
  <si>
    <t>García, Vicente Ramos</t>
  </si>
  <si>
    <t>Vicente Ramos García</t>
  </si>
  <si>
    <t>…e lws Reales ejércitos, coman la Reunión de .Nueva Esqiaña, teniente general de los Reales ejérci dante general de Navarra; conde de Mollina; conde de O-Reitos , director del colegio general militar; D. Pedro Cevallos, del 11 v ; D. Vicente Ramos García, obispo electo de Almería; D. Maria Conseo de Estado; conde de Cartagena, teniente general de los no Liñan, obis|&gt;o electo de Teruel; marques de Jura Real; D. Justo Reales ejércitos, capitán general de Galicia; marques de Moni ayo, María lbar Navarro, del Consejo de Estado; D. Francisco Arango, ten…</t>
  </si>
  <si>
    <t>García, Vicente Ramos y</t>
  </si>
  <si>
    <t>Vicente Ramos y García</t>
  </si>
  <si>
    <t>…D. Antonio La Reina nuestra Señora Doña Isabel ir, y S. M. la Reina Posadas; al R. obispo que fue de Mallorca D. Pedro González VaGobernadora , siguen en el Real sitio de Aranjuez sin novedad llejo; al R. obispo electo de Almería D. Vicente Ramos y García; al R. obispo electo de Teruel D. Mariano Liñan: y para la clase de en su iinporlanLe salud. seglares á D. Ignacio Pezuela , del Consejo Real en la sección de Es— i Del mismo beneficio disfrutan SS. AA. RR. los Sermos. Se- lado; á D. Tomas González Carvajal, de dicho Consejo en la sección de Guerra…</t>
  </si>
  <si>
    <t>García, Víctor</t>
  </si>
  <si>
    <t>Víctor García</t>
  </si>
  <si>
    <t>…el ramo, propuesto en primer lugar. 5,591. 12000 ps. fe............ .. • • Barcelona. Para la plaza de oficial tercero de la contaduría de Propios de Ponteve 6,325. . 5000............... .. . . Madrid. dra , vacante por salida de D. Víctor García á segundo de la estafeta de aquella 11,380. 2000................ ... . Idem. ciudad, se ha servido nombrar S. M. á D. Simón de Pazos y Bazarra. 7,6,76. 1000..................... • • • • Murcia. 2,9/0. 1000..................... ... • Valladolid. „ S,M, la Reina. Gobernadora se ha servido suprimir la…</t>
  </si>
  <si>
    <t>García, Victot</t>
  </si>
  <si>
    <t>Victot García</t>
  </si>
  <si>
    <t>…se estaba realizando el movimiento combinado del general Espartero y lo» dando que se le proponga para otro destino fuera de las provincias de Galicia,brigadieres Iriarte y barón dei Solar de Espinosa. reemplazándole en el actual D. Victot García, oficial 3.D de la contaduríadé Propios, de dicha provincia, i Asimismo se ha dignado- S. M. conferir la plaza de oficial 2.° ds la ad Por Real orden de 31 de Octubre último se ha servido S. M. la Reina ministración de correos de Toledo á D. Manuel Sánchez: la de interventor de Gobernadora aprobar…</t>
  </si>
  <si>
    <t>Garcíj, Joaquín</t>
  </si>
  <si>
    <t>Joaquín Garcíj</t>
  </si>
  <si>
    <t>…esión de los hombres de bien. Dice que go , D. Manuel Sánchez del Campo, el secretario D- Francisco Rayón y el el abuso que se hace de la libertad de imprenta es la causa del disgusto en que capitán graduado de caballería de León D. Joaquín Garcíj , desde cuya inme todos viven: amplifica esta Opinión corroborándola con algunas reflexiones; y diación vi unos 300 hombres cargar las armas y quedar pasivos, aunque lodos concluye diciendo, que si bien el proyecto de ley no es tan severo como él en sus respectivos puestos con muchas peñas sobre lo…</t>
  </si>
  <si>
    <t>Gardon, José</t>
  </si>
  <si>
    <t>José Gardon</t>
  </si>
  <si>
    <t>…genalpor traslaciónde la Sierrade áD.D.DiegoFernandoAlvarezBaile,Osorío,que loa Dones déla Elfrontera.brigadier Linares avisa desde Sos que salía á recorrer algunos pueblos Manuel Antonio Novoa, que lo es de Trujillo; para este á D. José Gardon; Las partidas de rebeldes del bajo Aragón que han sido recientemente dis para el de Jerez de los Caballeros á D. Manuel AJejo Izquierdo, que lo es persadas son perseguidas con la mayor actividad. —de Arroyo deL "Puerco; parad-de Llcrena i D- Diego Alvarez Osorio, que lo Dios &amp;c. Zaragoza 9 de Dicie…</t>
  </si>
  <si>
    <t>GareHy, Nicolás Alaría</t>
  </si>
  <si>
    <t>Nicolás Alaría GareHy</t>
  </si>
  <si>
    <t>…careis á quien cor- lo comunicareis á quien corres ponda. = Está rubricado de la Real responda.=Está rubricado de la Real mano.=En el Pardo á 19 de mano.nEn el Pardo a 19 de Noviembre de 1854.=A D. Nicolás Ma Noviembre de I834.=A D. Nicolás Alaría GareHy. ría GarellyPara uniformar todas las audiencias del reino al tenor de lo Para la plaza de la Real audiencia de Madrid, vacante por fa dispuesto para la de Madrid, he venido en mandar, que desde el llecimiento de D. Gerónimo Alanuel Cabañero, nombro á T&gt;. J-isé año próximo de 1835 los ministros de aq…</t>
  </si>
  <si>
    <t>Gareily, Nicolás María</t>
  </si>
  <si>
    <t>Nicolás María Gareily</t>
  </si>
  <si>
    <t>…riaza, viuda de José Raparach, asesinataría del Despacho de su cargo. Dios &amp;r. Aranjuez 8 de Mavo deib en el mismo punto, dos reales de vellón diarios: á Tomasa Montes, tecina de Salinillas, viuda con cuatro hijos de Hipólito del Rey, 1834.=Nicolás María Gareily. =Sr. Secretario del Desjacho de Ha test nado en Heredia , cuatro reales de rellon diarios: á Miguel del cienda, Rey, de la misma vecindad, ]&gt;adre del dicho.Hipólita que perdió ademas otros dos hijos asesinados en aquel punto, tres reales de ve Han felicitado i S. M, con motivo de U publicación del…</t>
  </si>
  <si>
    <t>…ividuos de La Milicia urbana o naturales armados d*l país , que ha) an miento. = Está rubricado de la Real mano, z: En Aranjuez á ¿.6 de Marzo de faiioJdo en tan noble contienda, una pensión compatible con Las esc&amp;eces del 18S4=A D. Nicolás María Gareily. erario. Real Sitio de Aranjuez 25 de Marzo de 1804. z= Zarco. Los asilos que la religión ha consagrado al retiro y á la virtud no pudieran MINISTERIO DE HACIENDA DE ESTAS A. convertirse en centros de rebelión sin mengua y daño de- los mismos institutos que son objeto de la veneración de una nación…</t>
  </si>
  <si>
    <t>Garellv, Nicolás María</t>
  </si>
  <si>
    <t>Nicolás María Garellv</t>
  </si>
  <si>
    <t>…illones. Mas tarde daremos á conocer los diferentes productos 6 mercade-testamento de mi augusto Esposo (Q. E. E. G.), corresponde entrar rías que componen este movimiento comercial, y las modificaciones que ha ex en la vacante á D. Nicolás María Garellv, nombrado suplente ríe di perimentado desde 1832 á 1833; únicamente mencionaremos desde ahora el cho Consejo en el citado testamento; y conviniendo al mejor servi carboh de piedra, cuya importación ha excedido en 9&lt;J millones de kilogra cio del Estado que continúe desempeñando la Secretaría del Des…</t>
  </si>
  <si>
    <t>Garelly</t>
  </si>
  <si>
    <t>…to, en él de los sueldos y gastos del tribunal de Real, sin duda por una equivocación involuntaria de la secretaría del Despa Nunciatura , que importaron 494*12*1 rs. en 1827 , 490,000 en 1828, y 5009 cho de Estado; y cobrando el Sr. Garelly el’ sueldo como Ministro, resultan en 1831, según datos que á la verdad no son oficiales, y por ello6 tiene enten 280,000 rs. de rebaja efectiva; y agregando á ella la de que no exceda el suel dido la comisión que en el dia se pagan dichos sueldos y gastos por el mismo do de los demas Consejeros de…</t>
  </si>
  <si>
    <t>Garelly, Nicolás Alaría</t>
  </si>
  <si>
    <t>Nicolás Alaría Garelly</t>
  </si>
  <si>
    <t>…éislo entendido, y dispondréis lo necesario á su cumplimiento. Zurieh 26 de Mayo. =Está rubricado de la Real mano.=En Carabanchel á 13 de Junio Mientras que las respuestas dirigidas por el vorort al Austria, Prusia, Bade i834.=¿i D. Nicolás Alaría Garelly. viera y Wurtemberg están todas redactadas en el mismo sentido y fundadas sobre el principio propuesto anteriormente, la nota pasada al gobierno del Du cado de Badén contiene un párrafo especial que se aplica al supuesto proyecta de impedir la entrada de los refugiados en el Ducado. Hé aqui el conte…</t>
  </si>
  <si>
    <t>…eis á quien corres- puesto en mi Real decreto de 9 de Febrero ultimo con respecto á ponda.=Está rubricado Je la Real mano.=En el Pardo á 22 de No la Real audiencia y juzgados inferiores de Madrid, lie venido en viembre de 1834.=A D. Nicolás Alaría Garelly. decretar, que desde principio del año próximo de 1835 queden su primidos los juzgarlos llamados de Provincia, que están á cargo de Para la dignidad de maestrescuela de la santa metropolitana• los alcaldes del crimen; mandando que los negocios pendientes en ellos se continúen y fallen, desde dicha é…</t>
  </si>
  <si>
    <t>Garelly, Nicolás Mafia</t>
  </si>
  <si>
    <t>Nicolás Mafia Garelly</t>
  </si>
  <si>
    <t>…unicaréis á quien cor Qberittído dar á ía Real maAffanza de' caballería de Sevilla respónda. = Está fabricado de la Real mano. = En Aranjuez á 1/ •» púbtieO testimonio do mi Real aprecio por las notorias mués-' de Abril de 1834—A D. Nicolás Mafia Garelly.</t>
  </si>
  <si>
    <t>Garelly, Nicolás Mana</t>
  </si>
  <si>
    <t>Nicolás Mana Garelly</t>
  </si>
  <si>
    <t>…io á su -cumpli «sóde placer, se abservafán las mismas reglas establecidas ante- miento, nEstá rubricado de la Heai mano. = En Aranjuez á 5 de norntenie, según la calidad de las orillas, á no ser que haya costum Mayo de f&amp;54. = A D. Nicolás Mana Garelly. bre ó contrato en contrario.</t>
  </si>
  <si>
    <t>Garelly, Nicolás María</t>
  </si>
  <si>
    <t>Nicolás María Garelly</t>
  </si>
  <si>
    <t>…nicareis í.qiiten comu ~ Para la placa de decano de la sección de Marín del Cotisejo pondi.ee Está rubríca lo de la Real nuno.ee Elt Aranjuez 4 dé Real da- España i Indias, creado por decreto de 24 del presente, Marzo de 1 B34-=A D. Nicolás María Garelly. vengo en nombrar i D. Martin Fernandez Navarrete. Tendréislo «•tendido, y bt coawnurei» 4 quien corroponda-sEsti rubricado ■ ' R M. la Reina Gobernadora, én nombre de su augusta Hija</t>
  </si>
  <si>
    <t>…general de la isla de Puerto-Rico. QNú . Á la mejor memoria relativa á las asociaciones de amigos de la sobriedad mero 284*) aplicadas.á España.una obra literaria, el diploma de socio de mérito, y re Real decreto resolviendo que D. Nicolás María Garelly, ministro de Gfacía comendación, si la pide. Al que gane «1 accésit, nombramiento de socio hono y Justicia, queda dispensado de asistir al consejo de Gobierno, del que ec rario, y particular recomendación en caso necesario. Las memorias se dirigirán individuo en el dia por muerte de D. José María P…</t>
  </si>
  <si>
    <t>…ario á su cumplimiento. Está ru necesidádes del servicio, sin dar entrada á manos innecesarias ni bricado de la Real mano. = En Riofrio á 2 de Agosto de 1854. = A entorpecer'el curso de los negocios por falta de los colaboradores D. Nicolás María Garelly. qué exija su pronto y buen despacho. Planta antigua de la Secretaria ¡le Estado y del Despacho de Gra. a La uniformidad en la dirección de estos, asi como la obser y Justicia de España. vancia del régimen interior de la Secretaría, serán los ventajosos re sultados del establecimiento del Subsecreta…</t>
  </si>
  <si>
    <t>…i quien oOrresj&gt;onda.=:Está mo ley el preseáte proyecto las prestaciones de pan y vino, conoci das con el nombre de Voto general y particular de Santiago, cuales rubricado de la Real mano¿=Ea el Pardo á ó de Noviembre de 1834= A D. Nicolás María Garelly. quiera ^ue sean la dignidad, corporación, establecimiento o persoHe venido en jubilar con sus honores y sueldo que les corres mJírt 2o prestaciones devengadas hasta et dia señalado en el ponda por clasificación á D. Francisco Castillo Valero ya D. José artículo anterior, se podrán hacer efectivas p…</t>
  </si>
  <si>
    <t>…ncio, y lo* embajadores extrangeros no han dicho nada por coésíguienie al corresponda. =Éstá rubricado de la Real mano.=En Riofrio á 4 de Soberano. La conducta de M. Dawkins ha excitado una sorpresa universal. Agosto de 1834. = A D. Nicolás María Garelly. (B. de PJ Idem XS. jtmirrERio de la guerra. ■ , Se ha verificado por fin uña mudanza de ministerio muy importante, y el Real orden. país parece estar muy contento cotí los nuevos nombramientos. El señor Maurocordato, ministro de Negocios extrangeros, de la Cali deí Exento. Sr.: Conformándose S. M.…</t>
  </si>
  <si>
    <t>…éis lo necesario á su cumpliLa Reina nuestra Señora Doña Isabel n , y S. M. la Reina miento.=Está rubricado de la Real mano. = En Aranjaez í 14) de Gobernadora, siguen en el Real sitio de Aranjucz sin novedad en Abril de 1834-= A D. Nicolás María Garelly. su importante salud. MINISTERIO DE LA GUERRA. Del mismo beneficio disfrutan SS. AA. RR. los Sermos. Se ñores Infantes. Real órden. S. M. la Reina Gobernadora se ha dignado extender los be Reales decretos. neficios del Real decreto de 11 de Febrero último relativo á la clasificación definitiva de to…</t>
  </si>
  <si>
    <t>…urada esta gloria por tantas otros decretos, mayormente cuando su cumplimiento. = Rtá rubricado de Ja Real _mano. c= En Palacio í 9 de Fe V. M. ha sabido dar 4 aquel un rralce con ,1a brillante y bien meditada ins brero de 1834—A D. Nicolás María Garelly- trucción para gobierno: de los subdelegados del Fomento, cúya simple lecturaWtnrafERIO DB HACIENDA DB BáTAftA. , ■ debe convencer á cualquiera de las imponderables ventajas del. nuevo método d* Real orden mandando no je provean laj plazas vacantes dt escribientes n! administración adoptado por V. M…</t>
  </si>
  <si>
    <t>…nicareis á ouien nia poli ora .1 su bordo, ha sido c.1,1 todo devorado por ¡as llamas. corresponda.—Está rubricado de la Real mano.—En Aranjuez a 11 Mehemed.-Ali está con su, m,lustros ír&gt; el t uro, adonde de ‘de Abril de 1834 —A D. Nicolás María Garelly. be también ir muy prójimo su hijj Ibrabim-bajá para tener una</t>
  </si>
  <si>
    <t>…ún tuvo el vorort la honra de anunciárselo con fecha 17 da para su cúmplimientiS. =Está rubricado de la Real mano.=En Aran- Abril al Sr. encargado de Negocios. Desde esta época han obtenido el consen juez, á 9 de Junio de!1834.=A D. Nicolás María Garelly. timiento de los cantones las resoluciones, por las cuales deben ser expelidas del territorio de la Confederación todos los extrangeras que han abusado del dere cho de asilo: dentro de pocos diqs se pondrán en ejecución, y la Suiza se verá libre de unos hombres que han tenido la osadía de cometer ac…</t>
  </si>
  <si>
    <t>Garélly, Nicolás María</t>
  </si>
  <si>
    <t>Nicolás María Garélly</t>
  </si>
  <si>
    <t>…á quien cor responda .=Está 31 Que el Secretario de Gracia y Justicia, con arreglo á lo dis rubricado de la Real mano^En el Parda á 10 de Diciembre de puesto en los decretos vigentes, proponga á S. M. los socorros ó pen lfe4t.=Á D. Nicolás María Garélly. siones que hayan de concederse á los huérfanos y viudas de los que murieron víctimas de su lealtad, ó í los que padecieron en sus per Teniendo presente los alivios que ¿ara abreviar el despacho fue sonas ó en sus bienes por defender tan gloriosa causa. ron dispensados por mis augustos Padre y Abuel…</t>
  </si>
  <si>
    <t>…e timientos que yo y mis compañeros podamos tener como indivi sario á su cumplimiento, re Está rubricado de la Real mano. 1= En duos particulares , deben modificarse cuando bajo el respecto de mi Aranjuez á 13 de Abril de 1834 =A D. Nicolás María Garelly. nistros de la corona somos excitados á votar fondo- que han de sa lir del tesoro público. Yo no me encuentro en situación de poder dar esperanzas al bizarro coronel Evans de que su petición sea san (1) El Estatuto Real, de qoe hace mención este decreto, con la cionada. El ejemplo á que se ha aludid…</t>
  </si>
  <si>
    <t>…eis rector de la policía recibirá poderes muy extensos. a quien corresponda. = Está rubricado de la Real mano. = En Cara— Los gastos que ocasionará á nuestra ciudad esta nueva organización de 1# Lauchel á iá de Junio de 1834. = A D. Nicolás María Garelly. policía ascenderán anualmente á 333 florines. Ni los Estados representativa^^ del pueblo , ni el cuerpo legislativo han votado todavía la concesión de esta so ma; pero es probable que no opongan dificultad alguna. La asamblea legiilitH va ha nombrado para este efecto una comisión compuesta de siete…</t>
  </si>
  <si>
    <t>…y dispondréis lo necesario á su cumplíArt. 33. Para la formación de las leyes se requiere la aproba míento.rzKstá rubricado de la Real mano.rzKn Aranjue* á 14dc ción de uno y otro estamento y ta sanción del Rky. Abril de 1834 ^A D. Nicolás María Garelly, Art. 3q* Con arreglo á la iey 1.a, título 7.°, libro 6.° de la Nueva Recopilación, no se exigirán tributos ni contribuciones, de MINISTERIO OIS GRAMA Y JUSTICIA. ninguna cíase, .sin que á propuesta dd Rky los hayan votado la* Reales órdenes. Córtes. Art. 35. Las contribuciones no podrán imponerse…</t>
  </si>
  <si>
    <t>Garelly, Nicolás Maria</t>
  </si>
  <si>
    <t>Nicolás Maria Garelly</t>
  </si>
  <si>
    <t>…idor de la de Sevilla. Tendréislo entendido, y lo comunicareis á Reales decretos. quien corresponda.—Está rubricado de la Real mano.—En AranHabiendo llegado á mi conocimiento por parte oficial del co juez á 13 de Abril de 1834-=A D. Nicolás Maria Garelly mandante general de las Provincias Vascongadas, que en la noche del 7 al 8 del presente abandonaron el convento de S. Francisco, extramuros de la ciudad de Orduña, los RR. PP. Fr. Juan Se S. M. la Reina Gobernadora, á nombre de su augusta Hija bastian Garibi, guardián, definidor honorario, y Fr. Ju…</t>
  </si>
  <si>
    <t>…isma religión existentes aquí, se reunieron en un sitio llamado responda.=:Está rubricado de la Real mano. = En Palacio á 14 de Febrero del 1 la Pescanta, entre dos y tres de la tarde: allí se entregaron á excesos, gritos 1834-=A D. Nicolás María Garelly. | sediciosos é insultos; y por último principiaron á disparar piedras, y á perseI guir á algunos-vecinos que se acercaron á reprenderles. Seria el anochecer cuan Queriendo dar á la cria caballar el mas poderoso de todos los estímulos do se formalizó algo la reyerta con los paisanos; mas la aproxima…</t>
  </si>
  <si>
    <t>…unio. * corresponda para los efectos convenientes á su cumplimiento.=Está Parece que S. M. la Reina ha suspendido por este afio su viaje i Alema rubricado de la Reaí mano. =;En Carabanchel á 17 de Junio de 1834, nia. (Cb»riVr.) A D. Nicolás María Garelly. ____Los ministros que acaban de renunciar han debido entregar i S. M. el ^ del corriente los sellos de sus respectivos departamentos, y sus sucesores prestar - Mientras que como Gobernadora del Reino durante la menor el juramento acostumbrado. (JeL) ' , «dad de mi miiy querida Hija la Reina Doña Isabel ii…</t>
  </si>
  <si>
    <t>…á quien corresponda. = Está tatito para sí, como para sus respectivos territorios, sih oponerse rubricado de la Real mano. =:En Aranjuez á 17 de Abril de 1834- sin embargo ni embarazarlas relaciones y pactos que han contraído =A D. Nicolás Maria Garelly. como miémbros de la Confederación germánica: que Jas Cámaras no ejercerán en adelante los detechos que recientemente se han ab Para el corregimiento de Arévalo, vacante por remoción de rogado , y que no esten escritos en su respectiva Carta constitucio D. Manuel Romero y Perez, nombro á D. Valentín…</t>
  </si>
  <si>
    <t>…o.=Está ru el boyardo Jorge Phiiipesco fue elevado por un partido poqo numeroso. Se te bricado de la Real mano.=En Carabanchei á id de Junio de 1854.= me por otra parte que ,GHik.a ceda demasiado al indujo de los griegos. Ya ha A D. Nicolás María Garelly. nombrado á un griego llamado Arístarchos, agente &amp;uyp en Const^ntinopla, y á otro llamado Mauros, le ha encargado la dirección de los negocios de lo. Atendiendo á los méritos y servicios de D. Leojtoblo de Grego interior. La Valaquia debe á la verdad grandes beneficios a1 general K.uvselcff y rio,…</t>
  </si>
  <si>
    <t>…los comisionados, con una provisión del Consejo de Gastó.a, le» cumplimiento.^£stá rubificado de U Real mano. = En Aranjuez á 21 de al pago de cantidades por suministros que hicieron des.de el año de lo o ai de Mftrzo de 1834-=A D. Nicolás María Garelly. 1813, y propone que se instruya en este muw»ícr»o de inL ^argo un c\p.c cr.:e general gubernativo sobre el pago de créditos procedente» Ce .o&gt; &gt;w.n..-v&gt;» 'Declarada por Real decreto de 11-del mes último la suerte de los milita-r que se hicieron á las tropos de Napoleón en la guerra de la me-*penden…</t>
  </si>
  <si>
    <t>…éis lo necesario á su cumplimiento. = Está ru S. M. I. el Duque de Braganza, Regente de Portugal en nom bricado de la Real mano.czEn Aranjuez á 21 de Abril de 1834--= bre de S. M. Fidelísima la Reina Doña María de la Gloria, ha A D. Nicolás María Garelly. enviado como ministro en misión extraordinaria cerca de la Reina nuestra Señora aL Sr. consejero D. Alejandro Tomas de Moraes * A nombre de mi augusta Hija la Reina Doña Isabel rr he Sarniento, el cual ha tenido la honra de presentar á S. M. la Reina venido en nombrar secretario de la sección de Gu…</t>
  </si>
  <si>
    <t>…y señalados servicios. Tendréislo PARTE NO OFICIAL. entendido, y dispondréis lo necesario á su cumplimiento.=:Esl.i rubri NOTICIAS EXTRANGERA&amp;, cado de la Real mano.= En S. Ildefonso á ló de Julio de 1834. = A ------------ JI7 "i D. Nicolás María Garelly. ( Continuación del correo anterior.) MINISTERIO DE HACIENDA DE ESPAÑA. I FRANCIA. Reíd ¿rilen» Partí 7 di Agosto. Me he enterado de la exposición de "V. SS., fecha 13 del cor cí vara i&gt;K los oí Rut a nos. Sitian dti di* S dt Agosta. riente , con motivo del prtrte dado por el gobernador civil de Tol…</t>
  </si>
  <si>
    <t>…ien corres] iond a-= teandoen el orden judicial serian incompletas si no se estableciese Está rubricado de la Real mano.=En el Panlo á 19 de Noviembre un sistema ordenado y general, que fíjase el número, clases, atribu de 1834.=A D. Nicolás María Garelly. ciones y cualidades que deben tener los escribanos de todo el reino, he ve-nido en mandar que una comisión, compuesta de D. José Ma Vengo en suprimir la secretaría de la presidencia del extingui ría Calatrava, ministro dei supremo tribunal de España é Indias; do Gmsejó de Castilla, cuyos papeles se…</t>
  </si>
  <si>
    <t>…ue por Tendréislo entendido, y lo comunicareis á quien corresponda=Está la felicidad de los españoles. rubricado de la Real mano.=En Aranjuez á 23 de Abril de 1834- El alcalde mayor, recientemente agraciado por V. M., tiene la —A D. Nicolás María Garelly. dicha y satisfacción de estar á la cabeza de un pueblo leal por ex celencia , y acreedor á todas las consideraciones; pues ni un solo Para el corregimiento de Logroño , vacante por promoción de individuo ha titubeado en reconocer y proclamar la legitimidad de D. Vicente Calvo á fiscal de lo civil d…</t>
  </si>
  <si>
    <t>…ando á la solemne promulgación del Estatuto Real y de la nicareis á quien corresponda. = Está rubricado de la Real mano. = Convocatoria á Cortes, conforme á lo que se les anunció en Real or En Aranjuez á 2¡J de Mayo de 11154. = A D. Nicolás María Garelly. den de 12 de este mes. 2’ El acto de la promulgación se verificará con todas las Forma lie venido en jubilar á D. Vicente García Diaz y á D. Agustín lidades acostumbradas hasta ahora en la Je las leves del Reino: le Castellanos, ministros de la Real audiencia de Asturias, con sus ho yéndose íntegra…</t>
  </si>
  <si>
    <t>…ue se procure hermanar cuanto sea [visible la división ecle cesario á su cumplimiento. — Está rubricado de la Real mano. = En siástica con la civil para que el sacerdocio y el imperio se auxilien Aranjuez.i22 de Abril de 1854.= A D. Nicolás María Garelly. recíprocamente. 8.' Que se supriman todos los Iv-neficios simples que no sean fa Para la, junta eclesiástica , creada por mi decreto de este dis miliares; desligando sus rentas, "Cumio fuere necesario, para reilo- ¡~vengo en nombrar1 al M. R. arzobispo de Méjico D. Pedro Jos&gt; taeion de curatos , ó…</t>
  </si>
  <si>
    <t>…r del Reino á mi Secretario de Estado significante en sí mismo, y darle el aspecto de una reunión en forma, de arte sanos alemanes. El gobierno se dirigió al prefecto, como encargado superior dey del Despacho de Gracia y Justicia D. Nicolás María Garelly, en la policía del distrito, para saber con exactitud io que había ocurrido,"y en se atención á sus distinguidos méritos y señalados 'servicios. Tendréislo guida del parte recibido , viendo la autoridad competente que no había lugar entendido, y dispondréis lo necesario á su cúmplimiento.=Está ru d…</t>
  </si>
  <si>
    <t>…ndido, y dispondréis lo necesario á su cumjdi- que fue rehusaría por este oficial. niientasTo la Reirá Gobernadora^rEn el Pardo á 27 de Octubre rYa había leído en otros perióxJicos semejante aserto, sin. mas diferencia de Í834-=A D. Nicolás María Garelly. sino que hacían subir la suma á 289 libras. En general, tengo la costumbre, de no prestar mucha atención á esta especie de noticias insertas en los diarios, ro las cartas que' he recibirlo de varios amigos, sobre este asunto, me han prodo que el medio mas corto de responder era informar á V. de que…</t>
  </si>
  <si>
    <t>…icia con la lealtad y celo &lt;le que estoy tan satis Idem 18. fecha; he tenido á bien t*esolver, en nombre de mi excelsa Hija Do S. M. contestó lo siguiente á la diputación de *la Cámara de Repreteü-*ña Isabel ii, qué el mencionado D. Nicolás María Garelly quede tantes que le presentó la respuesta al discurso del trono: (1)dispensado de asistir al Consejo de Gobierno mientras esté ásu car "Señores: Aprecio los sentimientos que animan á la Carnaza de Represengo dicho ministerio. Tendréislo entendido, y dispondréis lo necesa tantes, de cuya adhesión á…</t>
  </si>
  <si>
    <t>…esario á su cumplimiento. = designare el Gobierno, á? La reincidencia en««atquiera dfcjnsj^-. ESá rubricado de ía Real mano.=En Aranjuez á 2S de Abril de sos expresados en este artículo, será castigada con el dupsq de HS 1834. =A D.. Nicolás María Garelly. penas en él establecidas; entendiéndose que et' castillo, IwulSa é, convento será en las provincias de Ultramar. ^ Art. Ó1 Los tribunales ordinarios confuirán de este delito cote Siendo notorios los males que en varios tiempos y paise» han arreglo á las leyes; quedanjo derogados todas Ice fueros de…</t>
  </si>
  <si>
    <t>…á su'cuinnlimiento.=Esú,rubricado El 19 se elevó basta el cáelo, ana gran columna de humo, que de repensó dé ía‘Real ináno de 'S. lÜl.=En Ríofrio á 29 de Julio de i.ó34. —A lo oscureció, cuando antes se hallaba claro y despejado. D. Nicolás María Garelly. , , El 20 se oyeron grandes detonaciones, divididas al principio par- largo» intervalos, y que al oscurecer se, hicieron nos frecuente, y repetidas. ministerio se lo interior. El 21 se manifestó la lava, que i media noche se «tendió por el sitio co Meal ¿fetéh'. nocido con el nombre CroctUt dtl Sah…</t>
  </si>
  <si>
    <t>Garelly, Nicolás Marta</t>
  </si>
  <si>
    <t>Nicolás Marta Garelly</t>
  </si>
  <si>
    <t>…is lo necesario á su alojándolo sucesivamente de todas las alturas y bosques inmedia cumplimiento.=Está rubricado de la Real mano.=En Aranjuez tos, hasta que en completj dispersión huyó por varias dirccciqá l.° de Abril de 1834—A D. Nicolás Marta Garelly►- - , ,.jjej, omtegjdo por la oscuridad de la noche, que impidió á nucss?</t>
  </si>
  <si>
    <t>Garfil, Nicolás</t>
  </si>
  <si>
    <t>Nicolás Garfil</t>
  </si>
  <si>
    <t>…Consejo para que lo mande circular pori Real decreto. cédula en la forma acostumbrada. En Palacio í 26 de Tinero de 1834-—Está Verificada la división territorial según el Real decreto de 30 de Noviem rubricado de la Real mano.=A D. Nicolás Garfil y. bre último, era no menos urgente que útil uniformar la demarcación judicial ton la administrativa, y hacer una distribución proporcionada de territorio én MINISTERIO DE GRACIA Y JUSTICIA. Jas audiencias y chancílJerias, con el doblq objeto de facilitar á los pueblos el Real orden. acceso á los trib…</t>
  </si>
  <si>
    <t>Gargallo, Joaquín</t>
  </si>
  <si>
    <t>Joaquín Gargallo</t>
  </si>
  <si>
    <t>…caminos mas ásperos que ción de Carnicer por las tropas de Cataluña, previ la importancia pueden presentarse; y antes de llegar al pueblo, dispuse que el te de cubrir con algunas fuerzas la parte de aquel principado corres niente D. Joaquín Gargallo se dirigiese con una pequeña partida pondiente á la gobernación deTortosa, en donde aprovechando los por una de las avenidas del pueblo, y Martí, que conocia el ter enemigos la ausencia de las tropas que al mando de su gobernador reno , por otra. Esta población, situada en un cerro escarpado que D.…</t>
  </si>
  <si>
    <t>Gargollo</t>
  </si>
  <si>
    <t>…ia trascurrido desde que se paso vincia de Soria, solicitando se le exonerase de este cargo, en razón de seguír á la cpmlsion nombrada al efecto. , sele perjuicios de consideración de venir á desempeñarlo, j de que no posee la El Sr. Gargollo expresó estar á puntó de concluirse y poder presentarse clase de renta que se requiere para ello. La comisión opinaba que la primera en la próxima Semana. ' ' causa no era bastante al efecto solicitado, por ser común á todos los Sres. Pro El Sr. Carrillo de Albornoz hizo presente la dificultad de l…</t>
  </si>
  <si>
    <t>Gargollo, D José Fontagud</t>
  </si>
  <si>
    <t>D José Fontagud Gargollo</t>
  </si>
  <si>
    <t>…mpre las causas, funestas que nos han dividido; por lo mismo p¡— sobre el proyecto de ley, relativo al sistema monetario , por Presidente de ella den que establecida la igualdad se considere á los funcionarios de la época cons al Sr. D. José Fontagud Gargollo, y por Secretario á D. Marcos Fernandez titucional con las pensiones ó sueldos de su clase , y que el Gobierno se pro Blanco. f nuncíe por este acto de justicia, siguiendo el ejemplo de otras naciones cultas: El Estamento quedó enterado. , &lt;fc este modo saldrán muchos de una situación que toca en l…</t>
  </si>
  <si>
    <t>Gargollo, José Fontagud</t>
  </si>
  <si>
    <t>José Fontagud Gargollo</t>
  </si>
  <si>
    <t>…las causas, funestas que nos han dividido; por lo mismo p¡— sobre el proyecto de ley, relativo al sistema monetario , por Presidente de ella den que establecida la igualdad se considere á los funcionarios de la época cons al Sr. D. José Fontagud Gargollo, y por Secretario á D. Marcos Fernandez titucional con las pensiones ó sueldos de su clase , y que el Gobierno se pro Blanco. f nuncíe por este acto de justicia, siguiendo el ejemplo de otras naciones cultas: El Estamento quedó enterado. , &lt;fc este modo saldrán muchos de una situación que toca en l…</t>
  </si>
  <si>
    <t>Garlos</t>
  </si>
  <si>
    <t>…a imprenta, y todo lo que se añade para modifi el establecimiento de la monarquía á favor de sus derechos? ¿ qué se podrá es carla en la segunda parte estará bien ó mal; pero esto no es la esencia de la cribir á favor del Infante D. Garlos que no pudiera contrarestarse? Yo he oí ley fundamental. Por lo tanto yo creo que conviene se declare esta ley como do aqui que la Nación oo quiere la libertad de imprenta. Parte de la Nación fundamental , sin que esta declaración obste á la interior discusión de todas las ni la quiere ni la aborre…</t>
  </si>
  <si>
    <t>Gárlos, Dionisio</t>
  </si>
  <si>
    <t>Dionisio Gárlos</t>
  </si>
  <si>
    <t>…el pueblo yel Príncipe cier Igualmente* dtó cuenta la misma comisión de haber examinado‘los pode- tas convenciones que se renuevan con juramento, y cuanto -se hace contra sus yes y documentos justificativos de la aptitud legal de D. Dionisio Gárlos de disposiciones es nulo de derecho.” 'Esto-decían los que destruían la lty fun Oáís, cicero Procurador por la provincia de Salamanca; y de que hallándolos damental de España, y para destrailla :se apoyaban en ella misma. ¡‘Estaba -tambren arteglados i opinaba que se aprobasen. Asi se resolvió. apoyad…</t>
  </si>
  <si>
    <t>Garmilla, Miguel</t>
  </si>
  <si>
    <t>Miguel Garmilla</t>
  </si>
  <si>
    <t>…Apo - eos, del .partido de .Sigüenza. linar Garda* D- Gabriel Trucha* D. Justo Fernandez, menor, D. Manuel de ¡PROVINCIA DE KADRID. la Peña, D. Gabriel de Ve lasco , D. Lázaro de Arredondo, D. Gil García, D. Indalecio del Corral, D. Miguel Garmilla, D. Manuel Zorrilla; y en Del parte recibido el dia'20 del actual en el«3*ebíern©.'civil&gt;de».esta propartícularal capitán de Betanzos O. Vicente María Seguróla. -vincia aparece queel dia*I6 delqiropio había en-Carábanchél-alio 3B enfer- -mos, de los cuales curaron 17., y-no-murió-ninguno; y .que^el…</t>
  </si>
  <si>
    <t>Garnica, Juan Antooio</t>
  </si>
  <si>
    <t>Juan Antooio Garnica</t>
  </si>
  <si>
    <t>…buen régimen del Estado y con la pacífica posesión de una libertad saludable. El oficial primero de la subdelegacion de Fomento de la provincia de San Ni el voto de una y otra Cámara, ni la sanción del Monarca, ni el peso tander D. Juan Antooio Garnica, encargado por el Sr. comandante general de de la opinión pública , cada día mas severa contra los perturbadores del común la misma y por su respectivo gefe de diferentes comisiones importantes, y sosiego, nada fue bastante á contener á una facción inquieta, que tantos daños de acompañarme en la pe…</t>
  </si>
  <si>
    <t>Garnici</t>
  </si>
  <si>
    <t>…o á la Cámara que si aprueba esta Un periódico de esta capital, que se publica solo algunas veces ley, se hará acreedor al agradecimiento.de la nación francesa. al mes,se queja del ansia que manifiestan muchas personas y escri El Sr. Garnici: Pag» explica detenidamente los principios que tores porque se hagan reformas, señaladamente en el orden,polí las asociaciones republicanas profesan respecto á la propiedad: pro tico : con cuyo motivo hace reflexiones muy exactas y prudente» cura demostrar que la causa de los males que afligen al E…</t>
  </si>
  <si>
    <t>Garnier</t>
  </si>
  <si>
    <t>…an no sólo al gobierno, sino á persona colocada en mas Seria ademas dejar el campo' abierto á nuevas exigencias de par elevada esfera. . te de las Potencias, exigencias á que conviene oponer de una vez «Extraño sobremanera que el Sr. Garnier, que con tanta vehe un lenguage enérgico, propio de los representantes de un pueblo mencia ama la libertad, no quiera consentir ni aun que se ridiculi libre. cen en una canción las imputaciones que tan bajamente se hacen La discusión ha sido animada é interesante, y 108 votos con contra, las person…</t>
  </si>
  <si>
    <t>…s tiempos ha manifestado el que en las perturbaciones sociales quieren satisfacer su ambición. ministro de Instrucción pública (el Sr. Guizot); los proyectos de ley pidiendo ' El Sr. Chapuis Monlaville conviene con la opinión del Sr. Garnier, soste- autorización para declarar á París en estado de sitio, y para circundarla de for niendo que ia minuta no es en sustancia mas que el panegírico del ministerio tificaciones aisladas: la presentación de obispos para las diócesis erigidas cbntra de 13 de Marzo, y el proyecto del ministerio pers…</t>
  </si>
  <si>
    <t>Garnier-Pagés</t>
  </si>
  <si>
    <t>…im contraría á la revolución de Julio. prenta, conservando la independencia de la profesión de pregonar impresos &amp;cFijando después su atención en los repetidos abusos que de seis meses á esta El Sr. Caber abunda en la Opinión del Sr. Garnier-Pagés, y por lo mismo parte se han cometido pregonando folletos incendiarios ó denigrativos sin que desaprueba el proyecto del gobierno, el de la comisión y la propuesta del Se el fiscal general haya procedido contra ios vendedores, los impresores y auto- ñor Leyraud, porque á su entender valdría mas abo…</t>
  </si>
  <si>
    <t>Garraube</t>
  </si>
  <si>
    <t>…V. mis atribuciones y sus obligaciones respectivas. Quedarían en I Continua la discusión del proyecto de ley sobre el estado de los oficiales. nulidad las altas miras y sabias disposiciones de S. M., señaladas en el Real de— I £1 Sr. Garraube propone que la Cámara declare »que los tenientes y subtenien creto de la institución del ministerio del Fomento de SdeNoviembre de 1832,1 tes en servicio pasivo disfrutarán las tres quintas partes de su paga.” El Sr. Mar y la instrucción aprobada por 5. M. I4,Ruina Gobernadora en 30 de Noviem-I tin…</t>
  </si>
  <si>
    <t>Garrído.sSmdíco, Domingo</t>
  </si>
  <si>
    <t>Domingo Garrído.sSmdíco</t>
  </si>
  <si>
    <t>…s grande honor i las Ornaras y al país. Se trataba de socorros recla Celestino Inozo.=Antonio Fernandez, regidor 2.° = Diputado l.°, Francisco mados en favor de los polacos refugiados en la Bélgica que se hubieran acorda Ga5taño.=Diputado 2®, Domingo Garrído.sSmdíco general, Antonio Re- do'^ levantar la sesión, si el ministro de la Guerra, luego que ovó la cues quena.=Francisco Sánchez Peral, secretario. tión» y sin dar lugar á discutirla no hubiese ofrecido inmediatamente el poner á disposición de los refugiados, y mientras no s* examinaban sus respectivas re…</t>
  </si>
  <si>
    <t>Gartian, Diego Tro</t>
  </si>
  <si>
    <t>Diego Tro Gartian</t>
  </si>
  <si>
    <t>…eal academia de Medicina y Cirugía de Granada. Excmo. Sr.t propicianb^y empleado; 1). Agapito Mena, empleado en la empresa; TÍ. Ma Ciando movido del zelo que caracteriza a V. E. y -á esa junta superior que nuel Isidro, médico , y D. Diego Tro Gartian, rector de los Irlandeses. 3.* La preside, por el bien de esta capital y *u provincia, ofició á esta Real academia primera junta se celebrará en la sala consistorial á las once de la kiañana en el ep 19 de Enero anteripr, para que oyendo á los facultativos l^e esta ciudad ma próximo domingo. Salama…</t>
  </si>
  <si>
    <t>Gartlan, Diego Tro</t>
  </si>
  <si>
    <t>Diego Tro Gartlan</t>
  </si>
  <si>
    <t>…solo ha disminuido el to; del contador de propios de la ciudad, del arquitecto de la misma, de Don número de enfermos de la estacional, sino que también en los que se han pre Josef Perez Sánchez, del Sr. reétor de los Irlandeses D. Diego Tro Gartlan y sentado disminuye extraordinariamente la intensidad de los síntomas, hasta el de D. Alejandro Gil de la Vega en calidad de secretario, proponganá la bre punto de hacerse leves y aun curables en los ancianos, en los que regularmente vedad posible, las reforjas y alteraciones que exige el estado de l…</t>
  </si>
  <si>
    <t>Garzón, Luis</t>
  </si>
  <si>
    <t>Luis Garzón</t>
  </si>
  <si>
    <t>…con actividad las causas de los revoltosos; consideres con derecho a los bienes que han quedado por frúector.enro de Doba Ma tea aquel dia debió llegar la columna móvil de Soria con el doble objeto de ría Manuela Real, esposa de D. Luis Garzón, brigadier que fue del Real cuerpo^de coAimuar persiguiendo los restos de Basilio. guardias de la Rea) Persuua, y especia 1 inen tr i uius tierras labrantías que poseyó eo 1» villa de pozuelo de Alarcon, á fin de que en el termino de 30 días comparezcan á I :jpi- facción de Navarra se dirigía según…</t>
  </si>
  <si>
    <t>Garzón, Ramón</t>
  </si>
  <si>
    <t>Ramón Garzón</t>
  </si>
  <si>
    <t>…ón debida á su clase. Los bo Sala de modelos de yeso. Primer premio: á D. Nicolás Pulido Arcos, por yardos de la comitiva de los hospodares fueron admitidos á su vez á la presen el Germánico de espaldas, cuadro núm. 3. Segundo; á D. Ramón Garzón, cia del Gran Señor, y recibieron muchos testimonios de su benevolencia. Al por la cabeza de Laoocon, núm. 4Ó. salir los Príncipes de la audiencia tuvieron la honra de ser presentados á los Sala de copias al lápií. Cuerpos enteros. Primer premio: á D. Francisco dos hijos del Sultán, y despuea fuero…</t>
  </si>
  <si>
    <t>Gas, D</t>
  </si>
  <si>
    <t>D Gas</t>
  </si>
  <si>
    <t>…sión reverente [orden fiara íii inteligencia y satisfacción. Dios guarde á V. E. muchos años: de su gratitud por la justicia y merced que ha dispensado á esta ciudad en el [Palacio 30 de Diciembre de 183 ranckco de Zea. Bermudez»=Sr. D. Gas- decreto de división territorial, y mantenerle la distinción justamente acordada, [ par Remisa. sin embargo de cualquier recurso. • • MINISTERIO DE HACIENDA DE ESPAÑA. Dios conserve las importantes vidas de V. M. y de su excelsa Hija nuestra Reina- Isabel ii los muchos años que ha menester. Ayuntami…</t>
  </si>
  <si>
    <t>Gasart, Alejandro</t>
  </si>
  <si>
    <t>Alejandro Gasart</t>
  </si>
  <si>
    <t>…lla constitucional; que á la mañana siguiente rodeáronla aldea las D. Buenaventura Tomás, D. Nicolás Collard. Sargentos primeros: D. Tomas guerrillas enemigas de Moura y Serpa, y Batalla cayó sobre ellos, les mató 19 Espiriquiti, D. Alejandro Gasart, D. Amonio Leoreses, Ramón Ga.vez, hombres y cogió 15, teniendo jzor su parte dos hombres muertos y uno heri Tomás Lizanda, Joaquín Trullcn. Cadetes: D. Juan Sevilla, D. Antonio Re do ; finalmente, que los enemigos se habian retirado á Moura. (Idem.) set, D. José Calvet, D. Salvador Calvet. Sargent…</t>
  </si>
  <si>
    <t>Gasirc, Serafín</t>
  </si>
  <si>
    <t>Serafín Gasirc</t>
  </si>
  <si>
    <t>…to con mas de 400 pies de álamo Francisco García Velasco, comandante de una partida en persecu negro las márgenes del rio Abien. ción de los facciosos dispersos del Locho, en ti cual refiere, que no En Velamazan por direcccion de D. Serafín Gasirc se ha he ticioso del punto en que pudieran estar guarecidos y ocultos algu cho una plantación en ambos lados del camino que llaman de Carnos de ia misma Villa, salió á las tres de la madrugada con 17 ur raberlanga, ayudándola con agua de riego, aunque con mucho banos de infantería y el cabo Andrés…</t>
  </si>
  <si>
    <t>Gaspar</t>
  </si>
  <si>
    <t>…y Asarta. 1 1 ciones y vivas repetidos. El pueblo, á pesar del bullicio v contento á que se en tregó durante la ceremonia, mostró su cordura y amor al orden, tamo en los El capitán general de Guipúzcoa da parte de que el coronel D. Gaspar del regocijos públicos como en el acto de recoger las monedas de plata y cobre ■Jáuregui le dice con fecha del 22 desde Villafranca, que sabedor de que la fac-| que desde los tablados se arrojaron. cion guipuzcoana y un batallón de Navarra ocupaban los puntos de Segura V Dióse una abundante comida á lo…</t>
  </si>
  <si>
    <t>…prerogstiva que Me compete como Reija Go Llauder, teniente general de los Reales ejércitos, y capitán general bernadora , durante la menor edad de Mi excelsa Hija Doña Isabel ii, de Cataluña; marques del Ráfol; conde de Priegue; D. Gaspar de y con arreglo á lo que se previene en el título u del Estatuto Real; Vigodet, teniente general de los Reales ejércitos, del Consejo Real; lie venido en nombrar Proceres del Reino, para que tomen asiento conde de Monterron; conde de Villafuertes; D. Fr. José Seguí, ar en el Estamento de esta clase, ju…</t>
  </si>
  <si>
    <t>…dormir sobre unas mantas que le tendieron en el suelo. A'» S. Antonio de Vergara en marcha 13 de Agoste» de I8.I4— El marques de descansados , y sin la zozobra de que pudiere dirigirse por allí Figucras, toma Rodil =Sr. brigadier D. Gaspar jáuregui, comandante gencial de Guipúzcoa. ron para ia Barranca , donde puó la noche , y á la mañana siguiente se enca =Es copia &amp;c. minó por el puerto de Lizagarra , qye es de lo mas áspero de esas montañas, 7 Excmo. Sr.: Salí hoy al amanecer de Elgoibar con las divisiones 1.a y se dirigió al mism…</t>
  </si>
  <si>
    <t>…ro de hecho marchar 'sofo-^Viltáfr^nca las compañías de voluntarios y.celadores, y Aralar. cóñfiniie corr las de' San “Fernando, el provincial de Chinchilla y la caballería Las compañías de S. Fernando á las órdenes del brigadier D. Gaspar de sobre este punto. Jáuregui rompieron el movimiento desde Villafranca sobre la misma ermita Nuestra pérdida ha consistido en un celador muerto, 2 voluntarios y 2 ca marchando por Zaldivia; á la media hora se dirigió al mismo punto desdelcha- zadores de S. Fernando heridos, el uno de ellos gravemente…</t>
  </si>
  <si>
    <t>Gaspar, D</t>
  </si>
  <si>
    <t>D Gaspar</t>
  </si>
  <si>
    <t>…de Nazar y Asarta. 1 1 ciones y vivas repetidos. El pueblo, á pesar del bullicio v contento á que se en tregó durante la ceremonia, mostró su cordura y amor al orden, tamo en los El capitán general de Guipúzcoa da parte de que el coronel D. Gaspar del regocijos públicos como en el acto de recoger las monedas de plata y cobre ■Jáuregui le dice con fecha del 22 desde Villafranca, que sabedor de que la fac-| que desde los tablados se arrojaron. cion guipuzcoana y un batallón de Navarra ocupaban los puntos de Segura V Dióse una abundante comida á lo…</t>
  </si>
  <si>
    <t>…echaron 2 dormir sobre unas mantas que le tendieron en el suelo. A'» S. Antonio de Vergara en marcha 13 de Agoste» de I8.I4— El marques de descansados , y sin la zozobra de que pudiere dirigirse por allí Figucras, toma Rodil =Sr. brigadier D. Gaspar jáuregui, comandante gencial de Guipúzcoa. ron para ia Barranca , donde puó la noche , y á la mañana siguiente se enca =Es copia &amp;c. minó por el puerto de Lizagarra , qye es de lo mas áspero de esas montañas, 7 Excmo. Sr.: Salí hoy al amanecer de Elgoibar con las divisiones 1.a y se dirigió al mism…</t>
  </si>
  <si>
    <t>…ragosa cerro de hecho marchar 'sofo-^Viltáfr^nca las compañías de voluntarios y.celadores, y Aralar. cóñfiniie corr las de' San “Fernando, el provincial de Chinchilla y la caballería Las compañías de S. Fernando á las órdenes del brigadier D. Gaspar de sobre este punto. Jáuregui rompieron el movimiento desde Villafranca sobre la misma ermita Nuestra pérdida ha consistido en un celador muerto, 2 voluntarios y 2 ca marchando por Zaldivia; á la media hora se dirigió al mismo punto desdelcha- zadores de S. Fernando heridos, el uno de ellos gravemente…</t>
  </si>
  <si>
    <t>Gast, Gonralez</t>
  </si>
  <si>
    <t>Gonralez Gast</t>
  </si>
  <si>
    <t>…en para modificar el art. 3.°, la apoyé VlEratones dé- justicia y de convenien licia urbana, conforme á las baScs establecidas en esta ley.1” cia pública, que me proporcionaron la honra dé que el Estamento la tomase El gécmo- Sr. conde Gonralez Gast^o» &gt;p«esentó-. l9 siguiente adición al «rrcordiáéracion. Pot'ió tabtb creí queMa comisión y el Sr. Secretario de Gtaart- 27: «Citando los cuerpo*'deUrfeanosi sálgan iadutíkn unioardon los» del cia y justicia, fundídm en las mismas tizones, calificaría*! mi adición cerni ejército;? iósbérán hacerlo…</t>
  </si>
  <si>
    <t>Gastlereá</t>
  </si>
  <si>
    <t>…e la primera nota.** (D* ¿fe Debates.') nEl ministro de Hacienda está autorizado para redimir del capital, intereses y demás gastos,;4.1os libreros que se han.interesado eo el socorro dé 30 millones „■ . -Mientras el hermatío del lord Gastlereá§h, ministro &lt;jué la tónta Alianza abierto al comercio por ley de 17 de Octubre de 1830 , y que ofrezcan al go obligó i suicidarse, hacia esfuerzos para excitar la Cámara alta contra la crnSn* bierno ceder las.obras que ban dado en seguridad.” Se procede i la votación, y cípacioü de la Península, ya…</t>
  </si>
  <si>
    <t>Gatell, Antonio</t>
  </si>
  <si>
    <t>Antonio Gatell</t>
  </si>
  <si>
    <t>…n gra duado de teniente coronel D- Félix Sarasa por el mérito que contrajo en el mando de la columna que ataco a los rebeldes de frente; al teniente graduado soua DB coMBRCio_»CW¿Sd9¿70tt de hoy ¿ las tres de la tarde. de capitán D. Antonio Gatell, al de la misma clase D. Salvador Negravcruiz, y al subteniente graduado D. Josef Donadeu, á los sargentos primeros D. Fran XVBCTOS PUBLICO*. cisco Alejo, Bartolomé Maqueda, Francisco Vázquez, Mariano Vázquez, al Inscripciones sobre el gran libro al $ p, zoo, oo* cadete D. Joaquín Vara de Rey, que…</t>
  </si>
  <si>
    <t>Gatell, D Antonio</t>
  </si>
  <si>
    <t>D Antonio Gatell</t>
  </si>
  <si>
    <t>…l capitán gra duado de teniente coronel D- Félix Sarasa por el mérito que contrajo en el mando de la columna que ataco a los rebeldes de frente; al teniente graduado soua DB coMBRCio_»CW¿Sd9¿70tt de hoy ¿ las tres de la tarde. de capitán D. Antonio Gatell, al de la misma clase D. Salvador Negravcruiz, y al subteniente graduado D. Josef Donadeu, á los sargentos primeros D. Fran XVBCTOS PUBLICO*. cisco Alejo, Bartolomé Maqueda, Francisco Vázquez, Mariano Vázquez, al Inscripciones sobre el gran libro al $ p, zoo, oo* cadete D. Joaquín Vara de Rey, que…</t>
  </si>
  <si>
    <t>Gatuno</t>
  </si>
  <si>
    <t>…o que dirección de los negocios públicos, fuimos empleados y Ministros en la época he cita'dcr.'.Ottas équirocaciones pudiett deshacer; "pero'necásitaria volver £ la constitucional , y ninguno lo ha sido en la época posterior. El Sr. Gatuno, «Escusión, 16:qhé tib tné péritiiieWfibglaasentts^1'i'1 '■ &lt; ■“■ u- :■■■'.. ’ - honrándome con recuerdos de que me glorío, seguramente me ha colocado ea '' . El j'r. JVrrr»&lt;»rfi&gt;' df .E/»,«JO: «Coíno:a» ha:exttaítado( ehsüencio del rai- una posición muy ventajosa; porque ha recordado que el minist…</t>
  </si>
  <si>
    <t>Gaüano, Alcalá</t>
  </si>
  <si>
    <t>Alcalá Gaüano</t>
  </si>
  <si>
    <t>…s les ha dado la li que propone la mayoría de la comisión, ni adoptar uuamezquina rebaja, en rea* bertad y un Gobierno representativo. lidad mas costosa.” ' «Reasumiendo, pues, mis observaciones, digo que en vista de la necesi El Sr. Alcalá Gaüano: «Tengo qué deshacer las multiplicadas equivo dad de conciliar el decoro del trono con la miseria del Jetado, me adhiero al caciones cometidas por el Sr. Secretario del Despachó, emendóme, coulorme voto particular del Sr. Samponts; pero distribuyéndose las cantidades que seña ál reglamento, á desva…</t>
  </si>
  <si>
    <t>Gaultier</t>
  </si>
  <si>
    <t>…ticas, han sido en extremo maltrata escuadra de cuatro navios; el Sujfnn, de 100 cañones, capitán Mr. Parseval; das en los campos y en muchos corrales. Han perecido muchos cuadrúpedo» el Duquesne, de 80, capitán Casi; Néstor, 74, capitán Gaultier; Toulon, bajo el granizo, y se han encontrado algunos cadáveres humanos arrastrados id., capitán Baudieu; y de tres fragatas; la Dijo, de 66 cañones, mandada por por la corriente de los ríos, que han salido de madre. (Diario del Gers.) Regaudit, y en donde tiene su insignia el contraalmirante Masie…</t>
  </si>
  <si>
    <t>GaUrdt, Francisco</t>
  </si>
  <si>
    <t>Francisco GaUrdt</t>
  </si>
  <si>
    <t>…icas, y cuidar de que¿c cumpla lo que previenen las leyes y Reales reso- por haber sido nombrado alcalde mayor de iWaircme D José López Engló lociones vigente», ó hacer prcscntcs al'GobáerBO los abusos para la corro pon- banos, ¿ D. Francisco GaUrdt» oficial primero dei gobierno civil de Av4a*;y diente «solución, sé W dignado disponer $ Myíe remita al comisario regió para la vacante de oficiaL tercero-segundo por el ascenso de Calahorra,* Dóa i* Cit^^xpósícum pam la- ¿solución gubernativa «jué eMime Marcelino Eran», CQtttonne.á la íu odáciotty…</t>
  </si>
  <si>
    <t>Gavina, D Manuel</t>
  </si>
  <si>
    <t>D Manuel Gavina</t>
  </si>
  <si>
    <t>…de^SUs servicios en la magistratura. R. B......................................................................................................... 120 El,interesado.contestó que los alimentos de la escritura de transacion pro El Sr. D. Manuel Gavina , padre............................ ............ .............. 2000 cedían de bienes propios, porque á él le pertenecían por un derecho en virtud El Sr. D. Manuel Gavitel , hijo........................................................... 10o0 del cual"hjzó lá cesión de la propiedad , en retribución…</t>
  </si>
  <si>
    <t>Gavina, Manuel</t>
  </si>
  <si>
    <t>Manuel Gavina</t>
  </si>
  <si>
    <t>…SUs servicios en la magistratura. R. B......................................................................................................... 120 El,interesado.contestó que los alimentos de la escritura de transacion pro El Sr. D. Manuel Gavina , padre............................ ............ .............. 2000 cedían de bienes propios, porque á él le pertenecían por un derecho en virtud El Sr. D. Manuel Gavitel , hijo........................................................... 10o0 del cual"hjzó lá cesión de la propiedad , en retribución…</t>
  </si>
  <si>
    <t>Gavitel, D Manuel</t>
  </si>
  <si>
    <t>D Manuel Gavitel</t>
  </si>
  <si>
    <t>…stó que los alimentos de la escritura de transacion pro El Sr. D. Manuel Gavina , padre............................ ............ .............. 2000 cedían de bienes propios, porque á él le pertenecían por un derecho en virtud El Sr. D. Manuel Gavitel , hijo........................................................... 10o0 del cual"hjzó lá cesión de la propiedad , en retribución de Iá cantidad que se le D. Juan Sevillano................................................................................... 1500 ha otorgado por vía de alimentos, y que…</t>
  </si>
  <si>
    <t>Gavitel, Manuel</t>
  </si>
  <si>
    <t>Manuel Gavitel</t>
  </si>
  <si>
    <t>…que los alimentos de la escritura de transacion pro El Sr. D. Manuel Gavina , padre............................ ............ .............. 2000 cedían de bienes propios, porque á él le pertenecían por un derecho en virtud El Sr. D. Manuel Gavitel , hijo........................................................... 10o0 del cual"hjzó lá cesión de la propiedad , en retribución de Iá cantidad que se le D. Juan Sevillano................................................................................... 1500 ha otorgado por vía de alimentos, y que…</t>
  </si>
  <si>
    <t>GaVlodu, Aotonlo Josef</t>
  </si>
  <si>
    <t>Aotonlo Josef GaVlodu</t>
  </si>
  <si>
    <t>…uarto 2.0, á resolver lo que sea mas conveniente en la junta general que ha de ce lebrarse aquel dia. una medalla de segunda clase á los niños I), llenrique Villalobos, D. Manuel ------ Por providencia del señor ./.c- de q- curte D. Aotonlo Josef GaVlodu, refrendada Díaz, D. Francisco Melgarejo, ID. Antonio Vázquez y D. Juan López Figue- del escribano de provincia P. j ‘ Urrun.j, se clfa á las personas que se creafi cou roa, por sus adelantos en la gramática, ortografía y aritmética. A otros varios derecho á los bienes quedadas pur fallecimiento in…</t>
  </si>
  <si>
    <t>Gavner, Eduardo</t>
  </si>
  <si>
    <t>Eduardo Gavner</t>
  </si>
  <si>
    <t>…do de adquirí#*)' cnagcnar bienes comunes, hacer cntre’ioda» las del Sr. gobernador, subdelegado de Rentas, comisario de guer tfaqsacioftes, y aceptar donativos y legados; hacer amendos, distribuir baldío* ra, Sr. alférez mayor y D. Eduardo Gavner. y pasto»j,entablar demanda» á nombre del común; quien ha de cobrar las rentas A la derecha'de las casas capitulares »e levantó un magnífico tablado con correspondientes á los pueblos, y en que término» ha de hacerlo: quien debe otro a! lado opuesto para U música; y entre viva» v aplauso» se enarbeió…</t>
  </si>
  <si>
    <t>Gayan</t>
  </si>
  <si>
    <t>…de Mayo.) Trigo de Castilla, guimiento, y se han multiplicado subdividiépdose en otras de menor fuerza de 14 á 15 pesos el cahíz: id- de la huerta, de 11 á 12 id.: cebada, á 6 rs. barpara persegúir en todas partes los gropos. El coronel Gayan perseguía muy de chilla: maíz, á 7 id.: habas, á 7 id.: habichuelas, á 13 id.: algarroba, de 5 á cerca al amanecer de hoy la facción de Jober, y la aparición de esta gavilla 6 rs. arroba: acéite de primera calidad, de 48 á 50 rs. arroba: id. de segunda, en ia Muela ha hecho conocer el buen espíritu…</t>
  </si>
  <si>
    <t>…nisterio el parte siguiente. Me avisameft» autoridades militares tengo de que los que han escapado.&lt;6 la(accioij,serán aprehendidos y muertofc- y locales de Calahorra, que en la;*proximacion de loa facciosos han rivalizado por el coronel Gayan v que iba en suseguinaiento hicia cl Moncayo, ó por los ios Urbanos, corLej destacamento do;la compafiia de cazadores, é individuos Urbanos de aquella pirtaí que estaban eri .movimiento , debe! meces ariamente; del resguardo para evitar qué pásense! Ebro: Batí cubierto los vádos, han hecho producir…</t>
  </si>
  <si>
    <t>Gayan, Mayiauo</t>
  </si>
  <si>
    <t>Mayiauo Gayan</t>
  </si>
  <si>
    <t>…ada contra aquella benemérita guarnición, se retira ^fe ^TroyoTde Puerco i D. 4ucnayentura pla.v¿: para la de Nules a D. To- ron después hacia Mendeica. El comandante del fuerte no puede detallar la ^ax'Brk; pata la de Marcbena á D. Mayiauo Gayan: para la de Al mansa t pérdida que los facciosos han tenido por haberles favorecido la oscuridad de la 5. JoséTaconibe -, y para ¿1 corregimiento de Andujar, vacante por separación noche para ocultarla; la de los leales ha consistido en un herido y tres contu leD. Manuel Angel del Pozo, á D. Antoni…</t>
  </si>
  <si>
    <t>Gazquez, José</t>
  </si>
  <si>
    <t>José Gazquez</t>
  </si>
  <si>
    <t>…de Abril y de Oporto el 25. Las noticias que da de Lisboa son que las caldes mayores interinos de Jerez de la Fron: a D. Isaac Bachiller operaciones militares están suspendidas por una especie de convenio tácito en y Jaramillo y D. José Gazquez. tre ambas partes» supuesto que las negociaciones diplomáticas que han empeza MINISTERIO DEL INTERIOR. do, hacen inútil el progreso de la lucha. Muchas personas de distinción han abandonado el partido del usurpador, entre ellos el general Santa Mar'ta y el Por el artículo 21 de la instrucción aproba…</t>
  </si>
  <si>
    <t>Gchoa, Ramón</t>
  </si>
  <si>
    <t>Ramón Gchoa</t>
  </si>
  <si>
    <t>…z de la Isla. / ? , mi-, i JLándrts HdelOetubre. Pora la de"revisor de la aduana de Jijón „ con arreglo al artículo 44 de La reclamación de 209 libras esterlinas^ hecha por el duque de líVellin^- . Xa ley de imprentas, lo ha sido D. Ramón Gchoa, médico bttdar de yr-flV • viila^ ^ • - i'- ton , á título de atrasos de su .sueldo como inspector general de las fortalezas de la Bélgica, lia sido rehusada-por el ministrarle Guerra, sopretexto de que, S. Gv no tiene que hacer^ntnguna reclamación contra el gobierno actual de "" Y para la plaza de…</t>
  </si>
  <si>
    <t>Gdiano</t>
  </si>
  <si>
    <t>…duzco la palabra por ser muy fuerte) la atención del Estamento: preveo que el resultado de la discusión no será fa perseverar en el error. vorable á mi Opinión; pero creo me haráel Estamento la justicia de conocer «Ha asentado el Sr. Gdiano que la bolsa de Londres se ha resentido, no es obligación mía disputar el terreno palmo á palmo en esta grave materia, co por la anulación del empréstito de Guebhard, sino por haberle adoptado la di mo individuo de la comisión;:en el concepto de que como tal me reservo ei de visión de 1j deuda en a…</t>
  </si>
  <si>
    <t>Ge, D Vicente</t>
  </si>
  <si>
    <t>D Vicente Ge</t>
  </si>
  <si>
    <t>…ra de Castilla. franca y simultanea flFnodas las clases nos hace esperar un venturoso porvenir. Quiera el cielo pro.perar largoí'años las interesantes vidas de V. M. y de ru*s- I Atendiendo á los relevantes servicios del teniente general D. Vicente Ge tra augusta Hija la Ruina nuestra Señora para bien y felicidad de esta no- I naro de Quesada t ¿ las repetidas pruebas que me ha dado de lealtad y adhesión narquia. „ _ I al trono de mi augusta Hija, á U decisión con que sostiene sus legitimo» dere Casas conú»toru-cs de Lérida a 28 de Enero de loj&gt;…</t>
  </si>
  <si>
    <t>Ge, Vicente</t>
  </si>
  <si>
    <t>Vicente Ge</t>
  </si>
  <si>
    <t>…stilla. franca y simultanea flFnodas las clases nos hace esperar un venturoso porvenir. Quiera el cielo pro.perar largoí'años las interesantes vidas de V. M. y de ru*s- I Atendiendo á los relevantes servicios del teniente general D. Vicente Ge tra augusta Hija la Ruina nuestra Señora para bien y felicidad de esta no- I naro de Quesada t ¿ las repetidas pruebas que me ha dado de lealtad y adhesión narquia. „ _ I al trono de mi augusta Hija, á U decisión con que sostiene sus legitimo» dere Casas conú»toru-cs de Lérida a 28 de Enero de loj&gt;…</t>
  </si>
  <si>
    <t>Geed, Pedro</t>
  </si>
  <si>
    <t>Pedro Geed</t>
  </si>
  <si>
    <t>…storia díél compuestas de 300 infantes y 30 caballos, en las inmediaciones de VUÍarluengo: hombre, y de láminas ia 32 y 33 qoe corresponden á aves y cuadrúpedos. Continua la suscripción. que el teniente de fusileros provisionales D. Pedro Geed dispersó' la única ga abierta suscríptores al periódico titulado Almacén pintoresco 6 el Jnstrssetor, pasa — Los cilla dé 18 facciosos que existia en el partido de Teruel, cogiendo 2 de ellos, rán á recoger los cuadernos 6.° y 7.° á las librerías de Sánchez y de Calleja. Sigue ' que fueron 'pasados…</t>
  </si>
  <si>
    <t>Geíard</t>
  </si>
  <si>
    <t>…rnición de este ____ Se espera en esta á Mr. de Talleyrand. (Idem) punto en una salida que hizo últimamente alejó y desordenó las partidas de Sagastibclxa, en ocasión que empezaban á levantar trincheras á poca distancia ------ El mariscal Geíard ha desocupado ya la casa destinada al ministerio de de la casa de misericordia. la Guerra. * La junta permanecía en Lesaca , adonde llegaron el dia 6 diez muías de tiro cogidas, según dijeron, en Oñate: conforme á ías noticias que en Lesaca circu -------Un periódico ministerial dice que se han hech…</t>
  </si>
  <si>
    <t>Gemelo, Gregorio</t>
  </si>
  <si>
    <t>Gregorio Gemelo</t>
  </si>
  <si>
    <t>…fecha se jubila asimismo con el que tienen un valor de 100 rublos en oro 6 plata, vuelvan á circular con el mismo valor en moneda rusa de oro ó plata. Para las sumas mas considerablessueldo que les corresponda por clasificación á D. Gregorio Gemelo se expedirá un libramiento sobre la administración de minas, cuyo importe de Velasco, oidor de la expresada audiencia; á D. Alonso Ramón será pagado inmediatamente en S. Petersburgo. En ninguno de los do* caso» se Rubio; i D. Fermin Ladrón de Cegama; á D. Pedro de ]Nava; á hará deducción alguna por…</t>
  </si>
  <si>
    <t>Genara</t>
  </si>
  <si>
    <t>…tres grandes capitales de U presidencia bri dientes de la Señora Doña María 11 , pasará la corona á la colateral; y como tánica en las Indias, y poT este motivo se Us podía atacar separadamente sin esta línea sea la de la Señora Doña Genara, hermana de S.-M. la Reina fide -que-pud4e$en prestarse socorros mutuos , se trata en el día de ocurrir á este in lísima , propongo lo‘siguiente: conveniente abriendo caminos que esten en relación con las operaciones defen 1. ° Que se declare comenzar la línea colateral de que trata e! artículo 88…</t>
  </si>
  <si>
    <t>Genara, Infanta Doña</t>
  </si>
  <si>
    <t>Infanta Doña Genara</t>
  </si>
  <si>
    <t>…con las operaciones defen 1. ° Que se declare comenzar la línea colateral de que trata e! artículo 88 sivas de! país. Estos trabajos están ya muy adelantados; pero aun se quiere ha de la Carta constitucional :en la perspna da la Señora Infanta Doña Genara y cer mas; y es que como la frontera N. E. del Indostan confinante con Penjal »u descendencia legítima. seria la mas amenazada, se ha proyectado para resguardarla un medio de comu 2. ° Que el gobierno-de S. M. se encargue de negociar con. la corte de BJonicación mas pTonto y mas fácil que el de los c…</t>
  </si>
  <si>
    <t>Generación</t>
  </si>
  <si>
    <t>…ís, 16r7 k 8. Cádiz, par. Sevilla, ib. Propiedades de los poliedros., y medida de sus ángulos, superficie y vo Bayona , 00. Alicante, á corto pla Coruña, 4 d. Valencia, id. lumen. Burdeos, 00. zo, ib. Granada, Id. id. Zaragoza, i d. Generación y propiedades de los cuerpos redondos y medida de su su Hamburgo, 00. Barcelona, k ps. fe.» Málaga, i b. Descuento de letras, 1 Santander, i k i id. k 90 dias, id. á 4 P» 100 al año.perficie y volúmen. Lóndres, Bilbao, Santiago« 1 d. i d* 38*. Propiedades y medida de los cuerpos regulares. TRIGONOMET…</t>
  </si>
  <si>
    <t>GENERAL, Ramón de Aguír MINISTERIO DEL FOMENTO</t>
  </si>
  <si>
    <t>Ramón de Aguír MINISTERIO DEL FOMENTO GENERAL</t>
  </si>
  <si>
    <t>…de Val-, Pío de Aramburu, canónigo lectora! de la misma; D-Simón Ruiz verde^zSr. Secretario del Despacho de la Guerra. de Luzuriaga , presbítero beneficiado de Salvatierra: D. Manuel Nanclares, presbítero beneficiado de la misma: D. Ramón de Aguír- MINISTERIO DEL FOMENTO GENERAL DEL REINO. re, presbítero beneficiado de la misma: D. Fausto de Luzuriaga, Ex posición. clérigo beneficiado de la misma: D. Francisco Ruiz de Ganna, beneficiado de Eguino: D. Pablo de Amurrio, presbítero benefi Excmo. Sr.: Reunidos hoy todos los sugetos que deben componer ciado de la Bastida: D. Gr…</t>
  </si>
  <si>
    <t>Genzakk</t>
  </si>
  <si>
    <t>…oyecto: el Estamento sio yecto es reconocer que este dominio supletorio y accidental que proporcionan embargo decidirá lo que tenga por conveniente.” los mostrencos, vacantes ó abintestatos al dicho Crédito, nada tiene que ver El Sr. Genzakk (O. Antonio')- «No es mi ánimo impugnar los princi con la teotía de las contribuciones destinadas á cubrir las cargas de! Estado á pios en que se fundan , tanto el proyecto de ley del Gobierno como el dicta las que deben , si se quiere, hasta cierto punto concederse alguna prerogativa en men de la…</t>
  </si>
  <si>
    <t>Geoffroy</t>
  </si>
  <si>
    <t>…xactas hechas en de ctíbaye, ó cochino de la India, qué habitan los llanos mas elevados de pa el mismo parage, las alturas y los caracteres fugaces de locas esas plantas que tagones , y en fin, dos otros roedores de Chile, que el Sr. Geoffroy mira como ofrece el catálogo del Sr. d’Orbigny. tipos de otras tantas clases nuevas! Me resta, sigue el relator, hablar de un trabajo importante que nuestro El Sr. d’Orbigny reduce á una sola las dos especies hasta entonces admi naturalista lia emprendido y seguido con una perseverancia y un talent…</t>
  </si>
  <si>
    <t>Geoffroy, Isidoro</t>
  </si>
  <si>
    <t>Isidoro Geoffroy</t>
  </si>
  <si>
    <t>…ue esta clase se encuentra en tros botánicos en las obras de algunos antiguos naturalistas que habían dibu todas las partes del continente americano. jado estos árboles sobre el sitio, como Rumphlns, y Pluiirier.’Se ha dado un El Sr. Isidoro Geoffroy, muy al corriente por su posición de todo lo que gran paso en estos últimos tiempos por la publicación de la hermosa obra del posee el museo en mamalogla, hace ascender el número ¡de las especies nuevas, ¡&gt;r. Martinssobre las palmas del Brasil; pero esta obra apenas se habia publi relatadas por el…</t>
  </si>
  <si>
    <t>Ger, D Ramón</t>
  </si>
  <si>
    <t>D Ramón Ger</t>
  </si>
  <si>
    <t>…ujaraloz, por si los cabecillas rebeldes intentan dirigirse al Burdeos, 00. Barcelona 4 pesos fs. Santander id. Hamburgo, 00. 4 b. Santiago 1 d. Ebro. Ldndres 4 90 días 37I Bilbao par. Sevilla par. El capitán graduado de teniente coronel D. Ramón Ger, ti París 16 4 l£-i9. Cádiz i b. Valeocia | d. tulado comandante del proyectado batallón 6° de Navarra y l.° Coraba j d. Zaragoza j id. Descuento de letras 4 4 p. 100 al alio. de Aragón, y comisionado por la junta rebelde de Navarra para Teclutar en el alto Aragón , ha sido aprehendido por los fusi…</t>
  </si>
  <si>
    <t>Ger, Ramón</t>
  </si>
  <si>
    <t>Ramón Ger</t>
  </si>
  <si>
    <t>…, por si los cabecillas rebeldes intentan dirigirse al Burdeos, 00. Barcelona 4 pesos fs. Santander id. Hamburgo, 00. 4 b. Santiago 1 d. Ebro. Ldndres 4 90 días 37I Bilbao par. Sevilla par. El capitán graduado de teniente coronel D. Ramón Ger, ti París 16 4 l£-i9. Cádiz i b. Valeocia | d. tulado comandante del proyectado batallón 6° de Navarra y l.° Coraba j d. Zaragoza j id. Descuento de letras 4 4 p. 100 al alio. de Aragón, y comisionado por la junta rebelde de Navarra para Teclutar en el alto Aragón , ha sido aprehendido por los fusi…</t>
  </si>
  <si>
    <t>Gerard</t>
  </si>
  <si>
    <t>…violentamente atacada en nuestros muros, se ha visto re ó menos tiempo el consejo del Rey Luis Felipe: ducida á la dolorosa necesidad de emplear medios terribles de represión; estos Los Sres. Dupont (de l'Eure), el barón Luis, el mariscal Gerard, el mediós han causado muchas desgracias, arruinado á muchas familias, y costado conde Rigúy, Bignon, Guizot, de Broglie, el mariscal Maison, Monfalivet, la vida á centenares de inocentes. ¡El incendio ha devorado ricos edificios y casas Merilhout, d'Argout, el mariscal Soult, Barthc, Girod (de 1'A…</t>
  </si>
  <si>
    <t>…IAKCU. cipe Eugrmo de Saboya Caiigaan príncipe de sangre Real,y como tal con de recho á suceder á la corona. París 22 de Julio. SI mariscal duque de Dalmacta, presidente del Consejo; M. Dúchate!, ESPAÑA. ministro del Comercio; el mariscal Gerard; los fabricantes que recibieron la aruz de honor y las medallas de oro, y Varios Sus. oficiales superiores, tuvie Madrid 3 de Agosto. ’’ ron el honor de comer el 1J. con el Rey, la Reina y la familia Real. Continuando la Real compañía del Guadalquivir ▼ canal de'San Feman (Debates.) do en su empres…</t>
  </si>
  <si>
    <t>…endo á ’la‘estadística oficial mas reciente que' ha hecho el gobierno. TZAWC1A. Se cuentan i saber; 6 comisario» para desempeñar las funcione» del lord grandealmirante de París 27 de Agosto. los 3 reinos. Hace algunos días que el mariscal Gerard sufrió un ataque de gota que le</t>
  </si>
  <si>
    <t>…K Ren año anterior, á saber: ta perpetua de id. 45|. De azúcar, en. ................ .. 41 &gt; 139 J arrobas. De café....................................................... 517,469 'Parece que el Rey ha admitido la dimisión que el mariscal Gerard ha hecho del ministerio de Guerra. Esta mañana ha habido consejo de ministros. De cera............................................. . . 11,533$ De tabaco en rama.................................. I6,ü4¿$ (Diario de los Debates?) De ídem torcido....................................... lo9,59u Noticia…</t>
  </si>
  <si>
    <t>…maras. ” El artículo 21 del código civil se le debe aplicar y y no puede volver é Hoy á la una S. M. acompañado de SS. A A. RR. el duque de Orleaes Francia sin haber obtenido antes permiso del Rey. y el príncipe de Joinville, del mariscal Gerard, presidente del consejo y mi «Os invito por consiguiente ¿ que le impidáis la entrada en el reino* nistro de Guerra, dél mariscal Lobeau, del duque de Treviso y de un nume si se presenta en la frontera , aunque traiga pasaporte en regla: come es posible roso y lucido estado mayor, salió á caballo d…</t>
  </si>
  <si>
    <t>…lo, ya juz gar en qué caso ha sido ó no violada la hospitalidad, no concediendo i nadie el. derecho de mezclarse en esta cuestión. (Constitucional.) PAUTE NO OFICIAL. FRANCIA. NOTICIAS EXTRANGERAS. Parií 31 de Julio. Circular del mariscal Gerard d los capitanes ¿enerales de los departamentos. (Continuación del correo anterior.) General: Llamado por la confianza de S. M. á suceder en la* funciones TUXQUIA. de Presidente del consejo de Ministros y de secretario del despacho de la Guer ra á un ilustre mariscal que con tanta firmeza y habilida…</t>
  </si>
  <si>
    <t>…y- dirigido una conspiración en los meses de Mayo, Junio/ Burdeos se trasladará á Pau, y volv.ítá i París por Perigueiix y Limoges. La; Julio, Agosto y principios de Setiembre; conspiración que tenia por objeto indisposición del mariscal Gerard , que debe acompañar al Rey en su viage, yertuihac la tranquilidad pública, excitar i los súbditos de S. M. al robo y al. ha hecho diferir la salida de Paria, que debió verificarse el de estemes.rt ' ‘ asesinato , y variar la forma de gobierno existente. Los acusa en consecuencia (.Mensagero.y de h…</t>
  </si>
  <si>
    <t>…ón á los gallos, á los juegos permitidos por la ley, á los tres bailes y por desavenencias personales con el mariscal Soult, acaba de ser repuesto por el demas diversiones honestas que habia con tan plausible motivo. Desdeel indi mariscal Gerard en la lista del estado mayor del ejército. viduo mas elevado ha»ta el mas humilde de la jurisdicción, nadie pensaba mas que en-demostrar su amor y lealtad á la Reina. ¡Quiera el cíelo que el nuevo __Algunos trabajadores cavando en la plaza de los Predicadores de Aix aca Sol que alumbra á la Penínsu…</t>
  </si>
  <si>
    <t>…ían sistema da la instrucción religiosa. Por lo mismo se opone i la segunda lectura construido el puente. A las cinco y media de la tarde llegó S. M. á caballa, del biU. acompañado dei duque de Orleans, del principe de Joinville, mariscal Gerard, El doqpt.de WcUington habla en el mismo sentido, y recuerda al pri M. Thlers, Lohau, conde Rambutcau, prefecto dri bena, y un hri-</t>
  </si>
  <si>
    <t>…s saldrán ios lunes, martes, Jueves la vísta del tamaño de.una_bomba. No ha sido visible mas que dos jmpu££fe, y y viernes. ! * ' luego ha desaparecido en el horizonte. (Indicador de Burdeos.) De París escriben que renunciando el mariscal Gerard la presidencia det Consejo de ministros, recaería en el almirante Rigny ó en el duque de Jbroglie. Idem 30. '■ : - —Pnr una carta de Jamaica, su fecha 7 de Setiembre, vemos que la ciu El Sr. teniente general barón Janín pasó ayer mañana de improviso al dad de Kingston ha sufrido un violento terremoto.…</t>
  </si>
  <si>
    <t>…veo perplejo, pues por una par excelentes , renunciaron al poder.” te debo guardar todo miramiento, al paso que por otra estoy obligado á ma Mr. de Paisy: «Pido la palabra.” nifestar á la Cámara la verdad toda. Cuando el ilustre mariscal Gerard dejó de Mr. lidere : «No quisiera ofender en nada á ninguno de los Sres. Dipu ser ministro, todos estuvimos de acuerdo en poner á la cabeza del consejo uno tados.” de estos guerreros célebres que tanta gloria han dado á Francia. Mas en aquella Mr. de Passy: «Mi intención es dar algunas explicacione…</t>
  </si>
  <si>
    <t>…ciones que aclararan todas las I daHás,' ■ ’’ '' ; ‘ •' -... Di ó entonces el orador algunos detalles sobre la entrada d£l mariscal ESPAÑA.' Gerard én el ftiinisterio: declaró que él ha sido la causa principal de qu¿ acep tara el mariscal Gerard, como lo fue de que aceptara hace algunos años Mr. Ga- i Afadrid 15 de Hiciembre. siói¡r*Pdrier. Sí entohces rió entróed el ministerio, fue porqueda impopularidad qúe sí’habiü grángeatfo con su enérgica resistencia á las pretensiones de los fac El alcalde,mayor de Colmenar- Viejo, desde dicho puebl…</t>
  </si>
  <si>
    <t>…teres ruso, que tiene sus «presentantes y sus mandatarios clan ____ El Constitucional dice que no puede menos de ser en extremo sensible -la destinos hasta en el seno mismo de. nuestro gobierno, inspira muchas veces, renuncia del mariscal Gerard por sus raras prendas y su carácter desinteresado ya que no las pague, las soñadas revelaciones de la prensa del otro lado del y respetable. El público hubieia deseado que continuase en la dirección de los RJtin. negocios, y que apoyado en la opinión, hubiera llevado á cabo un grande acto «Esto no…</t>
  </si>
  <si>
    <t>…instrucción públi a cuyo bordo vienen, los Heve á sus respectivos países. ca y sobre guardia cívica. «En todos tiempos ha sido la Bélgica un pais hospitalario, pero es me ____El Constitucional dice que después de la renuncia del- mariscal Gerard nester que esta hospitalidad no pueda ¡amas redundar en perjuicio suyo. Una se había ofrecido el ministerio de la Guerra al mariscal Mortier; que no ha ley especial sobre este punto, que se os presentará muy en breve, acabará de fi bía querido aceptarle, y que habiéndose dirigido á una persona rela…</t>
  </si>
  <si>
    <t>…d Spencer el mi y recibió al embajador de Austria, al gran canciller de la Cámara de los Pares, nisterio de las Colonias. Sin embargo, nada se sabe hasta aqui de positivo. al almirante Villaumez y á Mr. Delabordére. El 15 tuvo el mariscal Gerard {(jiote.') una audiencia del Rey, é igualmente la tuvieron el almirante Jacob y el duque de Choiseul. El siguiente día recibió S. M. al conde de Mont^livct, al duque __Algunos piensan que Mr. Bajríng será nombrado canciller del Echiquier, de Bassano, al mariscal Gerard y á Mr. Carlos Dupin. aunque…</t>
  </si>
  <si>
    <t>…l 2$ di Julio* tificaciones que parece se dabíri jior derechos de fiVma al gefe que ¿probaba las bvjuf'. I ■ - hijuelas. - -------- .. . laplBb un periódico da la tarde publicsdo en París-el^dia1 t8 del corriente tt •Mgura que el mariscal Gerard es el sucesor del mariscal Soult. ESTzVDO SANITARIO t&gt;feL REINO. PXOVINCLA DH KAD1UD. ¥eerte recibido en la secretaría de Estado y del Despacho de la Guerra.. Parte sanitario», X *F.l capitán general de Castilla la "Vieja con fecha 21 del actual desde B5r- «M'dlce lo siguiente: «Ei capitán del prov…</t>
  </si>
  <si>
    <t>…la próxima sesión. Esta contradicción manifiesta realizar sus proyectos. con sus antecedentes, y con la oprnion que manifestó cuando todavía era mi Como su objeto es hacer nuevas adquisiciones, y solo puede conseguirlo nistro el mariscal Gerard, será un incidente curiosgi,al principiar las sesiones debilitando al Sultán , y aprovechándose de la somnolencia de La Europa, se de la Cámara. ve que impele al primero para envolverle en nuevos apuros, mientras tanto Acerca del segundo punto que se discutía hubo menos unanimidad. Mr. que hace est…</t>
  </si>
  <si>
    <t>…blica. : (Continuación del correo anterior.) 1 , VXANCIA. — AyerS. M. Luis Felipe, acompañado de SS. A A. RR. el^ duque de Orleans, de Nemours, príncipe de Joinville, mariscal Soult, ministro de la guer P¿sris 14 de Abril. ' ra y mariscal Gerard , pasó revista en el patio de las Tullerías á los regimien tos 5.° ligeros , 54 de línea y cazadores á caballo- Las tropas entusiasmadas die cXxaka de 10* DIPUTADOS.__Sesión del dia 18 de Marzo. / ron él grito de viva el R.y repetido muchas veces al recorrer S. M. las filas. El órden del día es la…</t>
  </si>
  <si>
    <t>…ros coñducto*, y por la-correspondencia del lord lugarteniente da ba ti rutado, cj decreto que,,qp vista de la dknisioa dtj mariscal -%tuR, traslada , aquella parte interesante del Reino Unido, me he convencido, Como lo estaba al mariscal Gerard el mm&gt;M«io dé Guerra y lapresideneie del cojnpqo óe mijhace tiempo, de-qna Ja Irlanda do puede ser regida bajo la ordinaria protec ción de la ley, *1 ño que es menester que el gobierno esté revestido de facul (jtcé tiempo que él mariscal Soult, había dicho que pensaba retirarse. Debi tades extraord…</t>
  </si>
  <si>
    <t>…e duda preguntareis con el ma observa que hace algunos dias que el general Sebastian! tiene frecuen yor cuidado i los conductores: procurareis adquirir todos lo1 conocimientos y tes conferencias con el Rey,'como igualmente con el mariscal Gerard, Presi datos posibles: me preguntareis por el camino que sea mas corto. En cuanto á 1 dente del consejo. Mr. Sebastian! ha asistido estos últimos días á muchos con los efectos de equipo, armamento y cuanto tenga relación con el ejercicio de sejos que ha habido en palacio. (Constitucional.) * 1* gue…</t>
  </si>
  <si>
    <t>Gerard, ESPAÑA.'</t>
  </si>
  <si>
    <t>ESPAÑA.' Gerard</t>
  </si>
  <si>
    <t>dudwisj que al instante liüViera 'pedido explicaciones que aclararan todas las I daHás,' ■ ’’ '' ; ‘ •' -... Di ó entonces el orador algunos detalles sobre la entrada d£l mariscal ESPAÑA.' Gerard én el ftiinisterio: declaró que él ha sido la causa principal de qu¿ acep tara el mariscal Gerard, como lo fue de que aceptara hace algunos años Mr. Ga- i Afadrid 15 de Hiciembre. siói¡r*Pdrier. Sí entohces rió entróed el ministerio, fue porqueda impopularidad qúe sí’habiü grángeatfo con su enérgic…</t>
  </si>
  <si>
    <t>Gerard, Sebastian Criado Cere</t>
  </si>
  <si>
    <t>Sebastian Criado Cere Gerard</t>
  </si>
  <si>
    <t>…edio dia el Rey , acompañado de los señores duques de Orleans, conservadores de montes la Real orden siguiente! de Nemours , del príncipe de Joínville , del ministro de la Guerra , del mariscal -En exposición documentada solicitó D. Sebastian Criado Cere- Gerard , del duque de Treviso ¿ de muchos generales y de un numeroso estado io, vecino de la villa del Rió, provincia de Córdoba, se declarase mayor, ha pasado revista en los pifio» de Tuilcrías y en la plaza de Carrouse!, que el auto publicado en 1789 |K&gt;r el alcalde mayor de Montoro, á un batallón de ca…</t>
  </si>
  <si>
    <t>Gerarfl</t>
  </si>
  <si>
    <t>…ue lé pertenecían. Tales pormenores hicieron reir mas de una vez orador, ; por qué habiendo estado acordes los secretarios del Despacho con el al célebre viajero, que manifestó después su deseo de asistir á una audiencia ▼aliente mariscal Gerarfl, han. estado discordes para buscar quién había de solemne: se asegura que debe haber una la semana próxima. reemplazar á dicho mariscal? {Por qué después de dejar de ser individuos del mi Lord Brougham, acompañado; siempre de Mr. Dupin, visitó en seguida nisterio, han vuelto á serlo tan pronto? «Cu…</t>
  </si>
  <si>
    <t>Gerartf</t>
  </si>
  <si>
    <t>…er.) NOTICIAS EXTRANGERAS. . —.—£1 fin de todas las inquietudes y aprensiones que pudo producir en el ánimo de muchos millares de personas la disolución dpi ministerio francés es el nombramiento del mariscal Mortier en lugar del- mariscal ‘Gerartf, y pro SUECIA. bablemente el de Mr. Martin du Nord en lugar de Mr. Pensil. Nuestro'corres ponsal de Parts es de. opinión que la prensa periódica de aquella capital no tie Stockalmo Si dt Octubre. ne la influencia en el público quetenia antea. Dirigida aquella, como general- ' La cotnkien de ios Est…</t>
  </si>
  <si>
    <t>Germing</t>
  </si>
  <si>
    <t>…que s,e promulgó la ley en que se abolía la herencia de la dignidad ter las relaciones comerciales entre sus provincias limítrofes y U Suiza á to de par. . das las restricciones que exigiese la seguridad detestas provincias ' El conde Germing da cuenta de varias solicitudes que no producen dis Cumpliendo las órdenes que ha recibido, cuya respuesta satisfactoria espera cusión. tener pronto el infrascrito , aprovecha también esta ocasión para renovar á Si E. Á las tres se retira W Cámara á sus oficinas para proceder á su .org^ninel burgomaes…</t>
  </si>
  <si>
    <t>Germiny</t>
  </si>
  <si>
    <t>…de los belgas acaba de nombrar ana comtstori encargada de pu electos secretarios MM. conde Klc¡o y A. Larochefoucauld, el general d'An— blicar toda» las crónicas belgas inédita*. Forman parte de esta comisión los a*» thouard y el conde Germiny, los cuales ocupan inmediatamente el puesto que ñores ReifFcnber y Warnkoeoig, profesor el priníero en la universidad d* les corresponde. ' Lobaina, y el segundo en la de Gante. (£&gt;. de Debates.) El presidente lee la lista de los Pares que componen las comisiones; pre viene á los de la que está enc…</t>
  </si>
  <si>
    <t>Geró</t>
  </si>
  <si>
    <t>…critor de monios, y muy recientes, qúe prueban el perniciosísimo influjo que ejercen algunas constituciones: que no unían á los poderes de! Es ti. do como caballos esos hombres en los pueblos. El digno espitan general de Valencia D. Geró pira conducir un cano , sino para descuartizar á un reo. Por el contrario, c! nimo Vaidés, para sofocar uní conspiración que hubiera sublevado toda la pro objeto d? jj.n buen régimen político es establecer vínculos de unión entre lo* vi néia, ácabi de expulsar dé élla á una porción de sugetos de al…</t>
  </si>
  <si>
    <t>Geróni</t>
  </si>
  <si>
    <t>…istrito de Granada, se hace saber al público , advir numero 12, manzana 38. tiendo á los qué quieran concurrir como licitadores que la menor cuota señala ------El Real tribunal di? comercio de esta plaza ha declarado en quiebra k D. Geróni mo Landaluce. agente de cambios de la bolsa de la misma, mediante su fuga notoria da por 5. M. es U dcJ&amp;6S,737 rs. vn. en cada año , con arreglo á las condicio de esta corte; y eptre los pa^ticu)ares acordados lo son, el que ninguna persona le ha nes aprobadas para la subasta , cuyo primer remate s…</t>
  </si>
  <si>
    <t>…ador organi «En este estado me ha sido preciso valerme de la fuerza, para asegurar zando á sus colegas en cuerpos de ejércitos: de que se constituye gefe supremo? la tranquilidad de la provincia, y contener la necia pretensión de D. Geróni i.á Byton en Harron prestar á su íntimo aqaigo el apoyo de su talento juvenil? mo Helguera, y del Dr.'D. Angel López. Este aturdido ya calculaba sobre vues i quién no admiraría ver á Watt, á la edad-de 6 años, sustraerse á la vigilan tras fortunas, que yo siempre he respetado; ofrecía grandes sumas…</t>
  </si>
  <si>
    <t>Gerónimo</t>
  </si>
  <si>
    <t>…s de plata con «t Sr. Marc-Dalbourg á tan laudable fin, y que han ilustrado mas y mas provincial tuviese el valor óe cuatro rea'es de vellón justos, ó treinta y cuatro la materia con sus luces, han sido los Sres. D. Manuel Viado, D. Gerónimo cuartos, en lugar de los treinta y dos que estaban prefijados; el real de plata de de la Escosura, y el Sr. Sepúlveda, de la casa de la moneda. Debemos hacer su especie diez y siete cu irtos, en vea de diez y seis; y el medio real dé plata conmemoración de estos señores, y hacerles la merecida just…</t>
  </si>
  <si>
    <t>…ria imposible adquirir si se hubiese de registrar el sin fin de abras por donde están di seminados. Constara de dos tomos en 8-° marquilia, que saldrán á luz en ocho cuádra Guiso Elemental áé historia para Uso de la juventud, por D. Gerónimo nos á precio cada uno de 4 r5- en Madrid y 4á cu las provincias, verificándose las en de la Escosura- Esta obra, recomendad» por S. M. la Reina Gobernadora tregas con solo 20 ó 25 dias de intermedio de una 4 otra. Se suscribe en Madrid en lis en Real órdén inserta en íá Gaceta de 9 de Julio último…</t>
  </si>
  <si>
    <t>Gervasio</t>
  </si>
  <si>
    <t>…ente , y quitada- chez y D.. Ramón Tajonera; en trigonometría esférica D. Jo&gt;é Ruibal, D. An la monstruosidad de que AI monte, que está á un extremo de la provincia, de gel Hernando, D. Francisco Vrliamil, j dichos D. Miguel Rúa, D. Gervasio pendiese de Ayamonte , que está al opuesto en este ramo. En su virtud , siendo Araujo, D. Pablo Carcafio, D. Andrés de Castro, D. Pedro y D. Robustta— tejs los partidos judiciales de estacha sido la distribución muy fácil y sencilla, no Pequeño, D. José Sánchez y D. Ramón Tajontfta: en cosmografía…</t>
  </si>
  <si>
    <t>Gervis</t>
  </si>
  <si>
    <t>…la correspondiente instrucción, ^la sociedad, cOníqrme á supropúestá y á¡ cualesquiera sintomas-de rebelión, una vez que*este se declare.” , - _ ... lo que se le manda en la- citada Real órden, ha acordado ábrir el dia 19 del El Sr. Gervis dijo que* no, habia -sido su ánimo ofender al Sr. ministro actual ¿ para solemnizar el de nuestra augusta Soberana , esta enseñanza qué de Marina. - ' j ■! 1 continuará en lqs mañanas, de los domingos de todo el añi¡&gt;¿ en el mismo lo . \. Hablaron ademas, ya presentando nuevas adiciones-, ya, soste…</t>
  </si>
  <si>
    <t>Gerxrd</t>
  </si>
  <si>
    <t>…en Este príncipe, que nació en 1754', tiene actualmente 80 años. poca» horas por una afección intestinal,, esparció ayer un terror pánico que di siparon luego los partes de los médicos. Estaremos 4 la mira, y dentro de dos ... El mariscal Gerxrd, que fio salé de su cuarto, aunque ya no hace comí, ó tres dias sabremos de fijo si existe entre nosotros la terrible plaga de que se propone, luego que su salud se lo permita, visitar los campamentos de irtiaino» debían preservarnos las circunstancias locales de nuestro territorio* Gompicña y Sant…</t>
  </si>
  <si>
    <t>Gestal, Domingo Vazquez y D José</t>
  </si>
  <si>
    <t>Domingo Vazquez y D José Gestal</t>
  </si>
  <si>
    <t>…a 24 Ver seguía la bastante rigor,y de esta república.'dadanos ' , ' ,;.'n‘'(.í't ,pe&gt;- los cuales de la I8ó enfermos, fecha huboén Valdenebro del mes.de propietarios Sánchez, " á 4 del cpmercio de esta capital D. Modestó 4-° los D. Domingo Vazquez y D. José Gestal que Han solicitado del "gobierno su , recicron 8. ^ ‘ aquiescencia á esta declaración, serán inmediatamente1responsables del buen' í&amp;o .. PROVINCIA DE TARRAGONA. - que debe hacerse de ella, constituyéndose garantes tfe’tódá Y cualquiera Ope ración de las expediciones que se dirijan por su conducto.…</t>
  </si>
  <si>
    <t>Gestal, José</t>
  </si>
  <si>
    <t>José Gestal</t>
  </si>
  <si>
    <t>…stante rigor,y de esta república.'dadanos ' , ' ,;.'n‘'(.í't ,pe&gt;- los cuales de la I8ó enfermos, fecha huboén Valdenebro del mes.de propietarios Sánchez, " á 4 del cpmercio de esta capital D. Modestó 4-° los D. Domingo Vazquez y D. José Gestal que Han solicitado del "gobierno su , recicron 8. ^ ‘ aquiescencia á esta declaración, serán inmediatamente1responsables del buen' í&amp;o .. PROVINCIA DE TARRAGONA. - que debe hacerse de ella, constituyéndose garantes tfe’tódá Y cualquiera Ope ración de las expediciones que se dirijan por su conducto.…</t>
  </si>
  <si>
    <t>Ghika, José Aejmdro</t>
  </si>
  <si>
    <t>José Aejmdro Ghika</t>
  </si>
  <si>
    <t>…arbo.,Lowenstern, vicepresi señalen.' Y nombro para esta comisión á D. Manuel García Herre dente, ha manifestado al dirán que cesa ea stis funcÍQiacs* El nuevo hospodar, ros, del consejo Rea] en la sección de Gracia y Justicia; á D. José Aejmdro Ghika, ha ido á ConstantinopU acampanado de su hermano Cons— María Calatrava, ministro del tribunal supremo de España é Indias; lamino y de muchos oficiales de las tropas valacas nuevamente organizadas, ¿i á D. Juan de la Dehesa, del supremo de Guerra y Marina,, y a Don ayudante general barón Beliin2haus…</t>
  </si>
  <si>
    <t>Ghos, Pedro Lavtfia</t>
  </si>
  <si>
    <t>Pedro Lavtfia Ghos</t>
  </si>
  <si>
    <t>…riego*, cophtos ó ju frente de las tres, y bajo su dirección, el teniente coronel, capitán de este Aidíos. A esto debe afiadirse el mal trato dado por Ibrahim al famoso Abou- timo cuerpo D. Pedro Espinosa, y el espitan de húsares D. Pedro Lavtfia. Ghos, gefe de las montañas de Jerusalen, condenado á ias galeras de S. Juan Que el capitán del 1.® de línea D. Manuel Vivero, y el teniente &lt;t«t S.® li de Acre por haber quebrantado la prohibición referida. El numero de insur geros D. Juan Arró.pide siguiesen con otra de refuerzo ; y al bizarro coronel…</t>
  </si>
  <si>
    <t>Giao</t>
  </si>
  <si>
    <t>…ados. .Horcajo murieron 9 enfermos de los 35 que luibo en dicho pueblo desde el 20 Leyó en seguida el parecer de la segunda comisión de poderes su relator al 22 del mismo mes; y que en Tarancon, Valdecolmenas y (Pederroso no hael Sr. Giao, exponiendo que los poderes examinados estaban conformes con 3&gt;ia ocurrido -invasión ni caso funesto durante los tres dias citados. las actas electorales; y que si se hallaban en ellos irregularidades, eran estas tan pequeñas, que no podían excitar la menor duda acerca de" tu legal idad. ______ .gR…</t>
  </si>
  <si>
    <t>Gibralcon</t>
  </si>
  <si>
    <t>…rra, (el alcalde mayor y ayuntamiento de) Fuentes de Andalucía. (Ídem ídem de) POLONIA. Galisteo. (ídem Ídem de) Varsovia 24 de Diciembre. Gárrobillas. (Ídem Ídem de) Queriendo el príncipe gobernador celebrar los días de S. M. el Emperador Gibralcon. (el corregido» de) Nicolás, conformándose en todo con las altas intenciones del Monarca , usando ' González de Yuste. (D. Josef) de los plenos poderes que este se ha dignado conferirle, acaba de acordar un Granada, (el alcalde mayor segundo de) perdón absoluto á 50 individuos que habían tenido part…</t>
  </si>
  <si>
    <t>Gigüda, Miguel.-Jurumeña y</t>
  </si>
  <si>
    <t>Miguel.-Jurumeña y Gigüda</t>
  </si>
  <si>
    <t>…continuará dispensándole su protección, co guarnecido á Yelves sus tropas, y desfilaron por aquí gran parte de las que ocu mo la mas lisonjera recompensa á que puede aspirar por premio de sus tareas.” paban aquella fortaleza por D. Miguel.-Jurumeña y Gigüda siguieron el ejem S/M. se dignó escuchar con su natural afabilidad esta exposición, mani plo de las dos antedichas plazas, sin ocurrir ninguna otra novedad en el ejér festando á los comisionados de la sociedad económica de Santiago lo gratos que cito por esta parte, como igualmente en todo el distr…</t>
  </si>
  <si>
    <t>Giíap</t>
  </si>
  <si>
    <t>…alguna pendiente. Amsterdam, 00. Paris, lñ-3. Cádfz* 14 b. Sevilla, |b. Ha nombrado comisiones en algunos pueblos para hacer efectivas las deu Bayona , 00. .Alicante; k corto pla- Corona, 4 d. Valencia* par, 3 Burdeos. 00. XO, 4 d. Giíap^da, 4 á i id. (Zaragoza, 4 d. das en favor del caudal de pósitos. Hambtirgo * 00. Barcelona* á ps. fs»« Malaga * 4 id. Descuajto de1 letéM* Sigue socorriendo á los pueblos acometidos por el cólera-mórbo del modo I.óndres, i 90 días» \ i ^ Santander, 4 b» a4P-l0áala$r dispuesto por S. M. »8*. ' silbad*…</t>
  </si>
  <si>
    <t>Giir.cy</t>
  </si>
  <si>
    <t>…o en favor del se ha vertido mas sangre que en la duración de todos los ministerios que segundo. Soto, secretario def tesoro, y Pensó, ministro de Nc^opip» Cft.- abofen Inglaterra desde 1780? trangeros f han hecho su dimisión. El general Giir.cy, el coioncl RodríguezÍ Igualmente *e ha ponderado el estado brillante de nuestras relaciones diplo y otros dos han sido condenados por un tribunal militar á la pena de ser fusi máticas, y la seguridad del moteni miento de Ja paz en Europa. En cuanto i lados por haber intentado asesinar al capitán D…</t>
  </si>
  <si>
    <t>Gijon, Alfonso López</t>
  </si>
  <si>
    <t>Alfonso López Gijon</t>
  </si>
  <si>
    <t>…mitirán las posturas que se hicie tanco, del-aguardiente. ren (siendo arregladas á lo anteriormente prevenido) en la escribanía principal Sigue promoviendo la reconstrucción de un pantano de que ha hablado en de Marinará cargo de D. Alfonso López .Gijon, sita en la calle de Relatores, los partes .anteriores, y.que mejorará sobre manera el estado de la agricultura en número 13 , .cuarto bajo. varios pueblos. , Procura hermanar dos industrias que hasta ahora se hábian mirado como enemigas, haciendo que Jos labradores sean ganaderos, ó que estos hall…</t>
  </si>
  <si>
    <t>Gil, Antonio Martínez</t>
  </si>
  <si>
    <t>Antonio Martínez Gil</t>
  </si>
  <si>
    <t>…ctiva ? Estarna? convencidos de que no. jar; para este á D. Juan Víctor Navarro, que lo es de Lerma ; para este a Con igual sentimiento hemos visto que con la misma injusticia y por se- D. Santos Navarro Taricgo; para d de Hsro á D. Antonio Martínez Gil; viajante motivo se censura al conde .de Villa Real, porque se Opuso á e$a para el dé Alora á D. Manuel López Gallego, que lo es de Casares ; para el de raiints rsnrt li cuyos principios fue siempre contrarío. El que .con sinceridad Avila á D José Cuenca, que loes deQuintaniUa de Somuño; para el de…</t>
  </si>
  <si>
    <t>Gil, Higimo de Agustra</t>
  </si>
  <si>
    <t>Higimo de Agustra Gil</t>
  </si>
  <si>
    <t>…reglas que al efedro debían observarse; y enterada brar á D. Fulgencio Perez, interventor de la administración de Lugo; para la S. M. de lo expuesto sobre el particular por el gobernador civil de aquella de Andujar; y al cesante D. Higimo de Agustra Gil para U plaza de ofi capital, se ha servido mandar por Real orden ck 9 del actual, de conformi cial 4-° de está última administración. dad con el dictamen de aquel, que atendiendo á lo ventajosas que pueden ser 4 la nación las mejoras propuestas por Balaguer en la hiladura de la seda, se re Asimismo…</t>
  </si>
  <si>
    <t>Gil, Josef San</t>
  </si>
  <si>
    <t>Josef San Gil</t>
  </si>
  <si>
    <t>…tropas del mando del general Lorenzo , reforzadas con parte de la Iroso de pueblo á la plaza Real y del Mercado, donde el alférez mayor y maes- guarnición de Pamplona, marchaban de nuevo sobre la facción de aquel reino,! [trante D. Josef San Gil levantó pendones por S. M. la Reina entre aclama- que tanto sufrió en la gloriosa acción de Nazar y Asarta. 1 1 ciones y vivas repetidos. El pueblo, á pesar del bullicio v contento á que se en tregó durante la ceremonia, mostró su cordura y amor al orden, tamo en los El capitán general de Guipúzcoa…</t>
  </si>
  <si>
    <t>Gil, Manuel</t>
  </si>
  <si>
    <t>Manuel Gil</t>
  </si>
  <si>
    <t>…M. se ha dignad#* conceder l¡á'’S'. Férrean&lt;íó'de. clase al bri gadier conde de Mirasol; el gradó‘dé le Alióte al subteniente D. Elias Mini no ; cruz de Isabel it cfeá'alti paga il 'sár^ébto dé láf 'Milicia Urbana de caba llería D. Manuel Gil, al de igual clase de caballería de Borbon que también se distinguió, y al soldado del misma cuerno Antonio Cedacero; y diez.cruces de. Isabel para qué al frente de las Irópás %arf puestas porél 'brigadier Mirasol nía están' &gt;deAKUiifiestoi ia «alidad.y tasación de lasipred£osV y coadicSaibc»'é* ll…</t>
  </si>
  <si>
    <t>Gil, Mariano</t>
  </si>
  <si>
    <t>Mariano Gil</t>
  </si>
  <si>
    <t>…partidario decidido de la Inglaterra. D. B. G..........................................................................................................‘ 32p Ahora bien, que el periodista de Ultramar descubra su afición al último, D. Mariano Gil............................................................................................. lóoij es cosa que se comprende, y que nace de la propensión del joven Príncipe i D. Antonio Alvarez de la Villa................................................................ 32ü -favorecer los intereses británicos; pero que pretenda el redactor apoyarse en el Un sugeto que no quiso decir su nombr…</t>
  </si>
  <si>
    <t>Gil, Ramón</t>
  </si>
  <si>
    <t>Ramón Gil</t>
  </si>
  <si>
    <t>…verdad que el artículo dice que se tea; pero puesto que se van le ra . duque de Nobleiss, marques de' Mansera y de Malpica, D. MartiU Feryendo los párrafos aegun*se van discutiendo, me parece qu^ esto es mfi- ñández de Navarrete, D. Ramón Gil de ia Cuadre, D. Manuel José Quintaw, D. José García teon y Pkarro, D. Gaspar Vigodet, marques de Espe C&gt;ent&lt;JEJ Sr, VicefresiJente:~^Ya no puedo prescindir é^ observar el regla ta, í). Antonio Martínez, marques de Montealegre, conde de, Montijo, conde mento, ni de. que está eo prictica el leer siempr…</t>
  </si>
  <si>
    <t>Gil, Salvador</t>
  </si>
  <si>
    <t>Salvador Gil</t>
  </si>
  <si>
    <t>…rigo, de 24 4 30 n. fanega: ceba —El Sr* Jiménez Navarro, teniente corregidor de esta villa, ha señalado para jun da, de 12 4 14 id.: centeno, de 15 í 16: vino, de A ¿ 6 rs. cántaro: aguar- ta general dé acreedores al concurso de D. Salvador Gil el miércoles 19 del corriente dfeme, d* 28 á 30 id __________ L_ á las 10 de la mafiane en su audiencia 4 apercibidos que de 00 comparecer les parará perjuicio. . —En la rifa del cerdo, ejecutada en beneficio de U Real Inclusa de estt corte ‘ ffibkndo dispuesto el Exorno* Sr* duque de Castroterrtft…</t>
  </si>
  <si>
    <t>Gilallarte, Jacinri</t>
  </si>
  <si>
    <t>Jacinri Gilallarte</t>
  </si>
  <si>
    <t>…aba construyendo. Por providencia del Sr. de Ñor zaga ray * teniente corregidor de está ylíía, refren dada del escribano Fernandez del Canto, se cita á rodo* lo*.que se crea'h condérecUd k los bienes que han quedado pur muerte de Doña Jacinri Gilallarte, para qué én el ELprofelor de medicinaD.Pedro María Rubio, comisionado de Rqal 6r- Íprecisocrido Sr.términojuez dey citadoií dias,escribano,comparezcanJt deducidpor si oelpor,derechomediodedel^uepranradbrse crean asistido;;aptfel r#~:v¿ éen en la villa de Mera!, ha dirigido al Sr* Secretario del De…</t>
  </si>
  <si>
    <t>Gilíes</t>
  </si>
  <si>
    <t>…do se discdtió el projícto'del Gobierno en su totalidad»- nada se. vaberrera, García Carrasco, Domecq , Miguel Polo, Montenúevo, Váz dijo sobre la reducción de ladeqdaextrangera en activa y pasiva que-sé pro quez Moicoso, Serrano(D. Gilíes), Vifiáls, Bonel, Húverto , Martinez de ponía en el mismo, y solo te habló de s ¡convenía ó no reconocer los etnprés- la Rosa, González (D Juan Gnalberto), Flcix, Bucesta, marques dé Sométitos celebrados desde el año 2a en adelante. ----- 4rucios, Vega y Rio, Fontaeud Gargollo,Carrillo dé Albornoz,…</t>
  </si>
  <si>
    <t>Gillon</t>
  </si>
  <si>
    <t>…rez mayor le ia ciudad, ga la energía c indefendemia de la magistratura y del jurado. El ministro y acto continuo por e! del Principado, que io es ci conde de Toreno, en la de Comercio y el Sr. Portalis se unen á la propuesta del Sr. Gillon; pero el se plazuela del Real casiillo y fortaleza. ñor Carlos Dupin hace ver qué la propuesta del Sr. Gillon no es mas que un Las demostraciones de público alborozo con que se ha solemnizado tan efugio para reproducir la del Sr. Salverte. fausto suceso, y á que han cooperado con la mas sincera cor…</t>
  </si>
  <si>
    <t>Giménez, Félix</t>
  </si>
  <si>
    <t>Félix Giménez</t>
  </si>
  <si>
    <t>…entcs y- de mucha parte de los individuos de su ayuntamiento, Perales de Tajufia. l.° á 7 Agosto.. 000 00 3 ha encostrado sin embargo un gran consuelo en los tres regidores, síndico y diputado D. Befnabé Clararana, D. José Soler, D. Félix Giménez, D. Juan VsipufioijiD'; ilVgqstWrGitbert (este ha sido victima ¿le la epidemia), y Don Ambite................ S Agosto.......... 22 00 6 Manuel Botca, Secretario, que con el gobernador presidente permanecieron fir mes enau puéiroi, dando camello un ejemplo de patriotismo digno de elogio y de reooMp…</t>
  </si>
  <si>
    <t>Ginart, Blas</t>
  </si>
  <si>
    <t>Blas Ginart</t>
  </si>
  <si>
    <t>…z y Pedro Nevares; al del 12 de línea Manuel Diaz, y al cabo segundo del A propuesta de la dirección general de presidios, se.-ha servido S. M. 6.° ligero Juan González; á los cabos de carabinéros Jaime Peral y Antonio conferir i D. Blas Ginart, subteniente retirado de infantería, la plaza de ofi Fernandez; á los soldados del mismo cuerpo Leandro Isant, Ignacio Barrera, cial cuarto de la secretaria de la misma dirección. Santiago Rampon, Bernabé Encina, José Goberna, Rafael Bruel, y los he ridos arriba dichos el trompeta José Bueno y León…</t>
  </si>
  <si>
    <t>Ginas</t>
  </si>
  <si>
    <t>…stablecido este mismo principio en una pe Los que le aprobaron fueron los Sres. Martínez de la Rosa, Domecq, tición que ha firmado: y según lo que dice ahora, habría que añadir a aquel Agreda, Fleix, Cano Manuel (padre), Serrano (D. Ginas), González (Don principio: »á menos que la pública utilidad no ¡o exija.” Juan Gualberto), Vega, Diez González, Mantilla, García de Ja .Maza, Co «Esta misma discusión está probando los perjuicios que se siguen cuando tón., Cosío ,'Hubert, Sar.íafc, Ibivaberrera, Otazu, Vázquez, Montesa, Bucada pode…</t>
  </si>
  <si>
    <t>Gine</t>
  </si>
  <si>
    <t>…rio del Despacho de Gracia y Justicia: «Yo no digo que trencos, aprobado por el Estamento, y los de los Sres. González (D. Juan no sea cierto lo que ha.referido el Sr. preopinante; pero sí digo que no perte GualbertoJ, y Serrano (D. Gine&gt;) contrarios á los párrafos I.* y 2.° del ar nece a la ley de mostrencos tomarlo en consideración. Las reclamaciones con tículo L°,y á la totalidad del 2.° del mismo proyecto, también aprobados. tra mercedes ilegales, y de consígueme viciosas, como por ejemplo las dona Se concedieron dos meses de l…</t>
  </si>
  <si>
    <t>Giné</t>
  </si>
  <si>
    <t>…mayor placer para la comisión, si al fijar ia ex cación pública. 6° Los maestros de primefes letras con escuela pública.” cepción de este artículo no hubiere visto en los españoles mas que una familia A petición del Sr. Serrano (D. Giné$) se refundieron ios dos primeros de hermanos, una opinión unánime, un deseo igual y un voto general por párrafos en uno solo diciéndose: «criados de labranza y ganadería.” sostener ios derechos de la Nación y del trono de Is.^bex ií ? Entonces sí que Se pasó á la votación de! artículo, la cual se…</t>
  </si>
  <si>
    <t>Gine'Vácarcel</t>
  </si>
  <si>
    <t>…os» en pjraq -goseskjp s?'ba Gobernadora, siguen en el Real sitio de Aran juez sin novedad en ilan he huertas de Murcia y Ülnhuela, $. Jl- Ja Reina. Goberna su importante salud. dora fia tenido á bien resolver que ni el expresado D. Gine'Vácarcel ni otro individuo n cuerpo alguno pueda extraer las aguas Peí mismo beneficio disfrutan SS. AA. RR. los Sermos. Se del rio Mundo, reservándole sin embargo el derecho que crea, asis ñores Infantes. tirle para que use de ¿1 en justicia conforme á lo dispuesto por d Sr. Rey D. Fernando vil (Q. E. E. G…</t>
  </si>
  <si>
    <t>Ginéa</t>
  </si>
  <si>
    <t>…caso del decreto de las Córte» Declarada la adición suficientemente discutida » no fue aprobada. ' por el que declararon privados de sus destinos á los que no siguieran al Go Tampoco se tomó en consideración otra del Sr. Serrano (D. Ginéa) rela bierno. Las consecuencias de este decreto no pueden pesar sobre aquellos em tiva á que la medida adoptada con respecto á las viudas é hijos de los militare», pleados que como los gefes políticos, lejos de cumplir con su deber si hubie fuese extensiva á los empleados civiles: ni tampoco la del…</t>
  </si>
  <si>
    <t>GineO</t>
  </si>
  <si>
    <t>…e esplendor ficticio para sepultarse en las ruinas de su aparente poder V ¿ De Sres. que se abstuvieron de vptar: Sampons: conde de las Navas , Serrano qué nos serviría usar un rasgo de generosidad y desprendimiento si bien pron (D. GineO, Viñals, Bonel y Or¿íc , Carrillo y Albornoz, Airare* Pesuña, to había do suceder U vergüenza de no poder pagar y el amargo desconsuelo Villalaz, Subercasc , San Simón.</t>
  </si>
  <si>
    <t>Ginés</t>
  </si>
  <si>
    <t>…ar. la Francia y la Inglaterra. «Y por qué se perdió entonces ia libertad? No lo Los que desaprobaron fueron los Sres. Domecq, Agreda, Fleix, Serrano olvidemos: porque se creyó que se podia dividir la causa del trono de la de la (D. Ginés), González (D. Juan Gualberto), Garay, Martínez de la Rosa, nación; y no hay libertad sin la unión de estos, dos poderes. Perdimos la liber conde de Toreno, Moscoso, Hubert, Bonet, Coton y Zúñiga, Cosío, Vega tad porque el poder abusó de sus prerogativas; porque la nobleza separó su cau y Rio, Sant…</t>
  </si>
  <si>
    <t>…os que le servían en los destinos, riva, Tosqueljas, Miguel Polo, Medrano, marques de Montenuevo , Vázquez «o solo los que se prestaron á ser instrumentos de su gobierno, sino que escri Moscoso, Colon y Zúñiga, Bermudcz, Serrano (D. Ginés), Hubert, Mar bieron otros muchos que estaban en las Provincias ocupadas, que perteneciañ tínez de la Rosa , Bonel, González (Don Juan Gualherto) , Santafé, Hcre— ai mismo partido. Todavía están llenas Jas librerías y bibliotecas de pápele? día, marques de Falces, .Fleix , Bucesta, Vega y Río , Gar…</t>
  </si>
  <si>
    <t>Gines</t>
  </si>
  <si>
    <t>…En él el cetro tiene á su favor ha&gt;ta el poder de las ilusiones; pues empuñado rera , Medrano, Montenuevo, Coton y Zúñiga, Vázquez , Moscoso, Serrano por un sexo el mas á propósito para fomentar las dulces costumbres de la tran (D. Gines), Viñals, Hubert y Muñoz, Martínez de la Rosa, González (Don quilidad y de la paz , por un sexo á'quien concedió la naturaleza un mágico Juan Gualberto), marques de Falces, Fieix , Ciscar, Ruiz de Bucesta , Mos ascendiente sobre el nuestro., y la virtud de mandar hasta con el ruego, tiene coso de A…</t>
  </si>
  <si>
    <t>…reguntase si el punto estaba suficiente^ Mediano, marque* de Montenuevo, Baillo,' Coton y Zúñiga, Vázquez Mos- ' mente discutido; á lo que contestó el Sr. Presidente que se verificaría estodes- coso“7 marques de Astariz, Serrano (D. Ginés),(Vifials, Bonel, Hubert, pues dé baber desechó los Sres. Procuradores qué tenían pedida la palabra algu Martínez de la B-osa, conde de Villamena, Carrillo Manrique, González nas equivocaciones. i (D. Juan Gualberto), marques de Falces, Fernandez Flaneó, Fleiz,Ciscar, •LosSres. Alcali Galiano, Ferr…</t>
  </si>
  <si>
    <t>Gínés</t>
  </si>
  <si>
    <t>…rono legítimo-, y al excluir á los hijos de aquel príncipe se, V Zóñiga , Vazquez Moscoso , Belmonte , Cabal lero , Cauo Manuel y Chacón, da un ejemplar terrible para los que.intenten seguir las.huellas de la usurpación^ 5errano (D. Gínés), Cezqr, Vifials, Eonel y Orbe, Hubert , Martínez de la, (Qué exactitud hay pues en las ideas que ha vertido el Sr. Caballero respecto á. Ros» . Carrillo Manrique, Pizarro, Heredia, Santafé, Torre y Solanot, Araneste punto! Ninguna; y tomadas ¡sus expresiones en su sentido rigoroso, serian &lt;Ja, Pal…</t>
  </si>
  <si>
    <t>…que le sostuviesen. Diré con este mo lo, Tosquellas, Medrano, marques de Montenuevo, Baillo, Colon y Zúñiga, tivo que el Gobierno no creyó necesario descubrir todos los fundamentos en Vázquez Moscoso, marques de Astariz, Serrano (D. Gines), Viñals, Bonel y que estribaba su plan de división en deuda activa y pasiva. Ya hemos indicado Orbe, Hubert, Martinez de la Rosa, conde de Villamcna, Carrillo Manri los mas principales: contar con los medios actuales, y asimilar algún tanto la que, González (D. Juan Gualberto), marques de Falces,…</t>
  </si>
  <si>
    <t>…o; guiente: «Todos los españoles tienen igual obligación á pagar las contribucio- * y todos deben'jrrtstirse con igualdad á las cargas del servicio público.” «nes votadas libremente por Us Córtes” ... Se pidió por el Sr. Serrano (D. Ginés) que se votase el artículo por par- _ El Sr. Viga y Rio-. «Es seguro que .e) ramo mas, dificil ei el de contri : tes, y se acordó no se hiciese tal división. buciones en lodos los Estados. Si solo hubiese contribuciones directas podria Se votó nominal mente el artículo, según se acordó, resultando…</t>
  </si>
  <si>
    <t>…unciadores, porque también podría suceder que los naciones que tienen consignados ciertos derechos por el salvamento, los cuales hubiese solo por hacer daño., . en Inglaterra son mucho mayores que en otras partes. El Sr. Serrano (D. Ginés) dijo que siendo el objeto de la adición del Se » Deseando, pues, que no quede reducida á un miserable jornal la recom ñor González preservar i los ¡udividuos particulares del abuso que pudiera ha pensa de los que con peligro de sn vida se arrojan en tiempo de tempestad, á la cer el Estado,' y esta…</t>
  </si>
  <si>
    <t>…la Milicia nacional, y ios que cano, Coton, Vázquez MoscosO, marqúes de Astarjz, Flores, Belmente, Car no están en este caso personalmente, son hijos ó parientes de aquellos; de mo frailero , Cczar, Cano-Manuel (hijo), Serrano ( D. Ginés}, Bonel, Hubert, do que yo creo que se recibiría con agradecimiento y entusiasmo esta innova Martínez de la Rosa, conde de Villamena , Carrillo Manrique, Fcrrer, Gon ción, tanto por la Milicia como por la Nación entera. zález (D. Juan), Pizarra, Heredia, Santafé, Torres- Solanof, Aranda. mar » En c…</t>
  </si>
  <si>
    <t>…nvocarán las Córtes de la Nación española"; y; Villacampo, Miguel Polo, Tosquellas, Medrano, Bahillo, Cotoo, Vázquez en seguida añade: «para que entiendan en tes asuntos graves por cbyá- Caosa te Moscoso,A:tariz, Flores, Serrano {D. Gines), Vifials, Boncl, Hubert, Mar hayan convocado, pira qué discutan las leyes í para que las voten &amp;c.” Y, hé. &gt; tínez dé la Rosa.VilUmtna , González ( D. Juan Gúalberto), Santafé, Fal ' aqui cómo la léy fundamental'de España presenta bases;; lo mismo hace la ley ces , Cécár, Bucesta, Someruclos, Mosc…</t>
  </si>
  <si>
    <t>…os se oponía también la , creyéndola capuz de labrar la felicidad de mi patria. Sostuve los mismos á que se diese el punto por discutido. principios cuando veoian 4^9 hombres sobre esta capital; y cuando ya estaba El Sr. Serrano (D. Gines) manifestó que en su entender no debía decla abierto (permítaseme decirlo) el calabozo en que iban á sepultarme, hice una rarse el asunto discutido ínterin quedase uno que tuviese pedida la palabra; pero proposicioft para que el diputado que consintiera en que se destruyese ó altera que en cuanto á…</t>
  </si>
  <si>
    <t>…llí cada ciudadano era un soldado. Cuando enemigos exterio llas, Medrano, Vahillo, Coton y Zúñya, Vázquez Moscoso, marques dcAsres amenazaban su independencia, ó la integridad de su territorio, cuando su tariz, Flores , Serrano ( D. Gines)# Viñals, Bonel. Hubcrt. M? niñez déla libertad se veia en inminente peligro, todos indistintamente volaban á las ar Rosa, Villamena, Camilo V_nr qie, González (D. Juan Gualberto), He— mas. Todos combatían con decisión y con denuedo, y el triunfo jamas podía redi*, Stntafé, Torres Solanot, Falces,…</t>
  </si>
  <si>
    <t>…caso de creer hablillas, casos privados , ni en esto ni en ninguna cosa. La comisión quiere aclarar este particular, y manifestarlo al Estamento; lo solo se consigue concediendo tiempo.” ESTAMENTO DE PROCURADORES- El Sr. Serrano (D. Ginés) deshizo una_equivoca£Íe&amp;. ----- El Sr. conde de las Navas-pidió" que se leyese la certificación de la sen ten— 1 Sesión Ael dia 14 de Octubre. - — - ____ xia-que presenta éfacusador; y después de leída continuó El Sr• conde de tas Iracas. «Yo no tengo que decir mas que cuatro pa Se abrió á las onc…</t>
  </si>
  <si>
    <t>…uedó aprobada^ ‘2.a «Tener la edad deT8 a Su años cumplidos.” ,, Se leyó-todo el art. 3.0~á fin de ver si estaba conforme con lo aprobado; \ Antes de procederse á la votación de la 3.a parte del articulo 3«° pre y e! Sr. Serrano (D. Gines) observó que era mas natural que ésta última parte guntó el Sr. Alcalá Galiano al Sr. Secretario del Delpacbo.de lo Interior, si el del artículo qué se acababa de aprobar , según había propuesto el Sr. Mocoso, Gobierno accedía i lo que, si no estaba equivocado, había él mismo indicado se antepusies…</t>
  </si>
  <si>
    <t>…otra y en ocasión de que bajo un sistema distin Para la de Gracia y Justicia: Sres. Cano Manuel (padre), Laborda, Pí— to , y formando una masa compacta los defensores de la Nación y del trono, tarro, Palaudaxias, Gozar, Serrano (D. Ginés), Claró*, Mar te 1 y Diez Gon marchemos en unión íntima, cualquiera que haya sido la pequeña diferencia del zález. rumbo que entonces seguimos. Para la de Estado: Sres. Alcalá Galiano, Onís, Trucha, marques de «Y he dicho que la Nación entera se sacrificó en dicha ¿poca, porque no Montesa, marques…</t>
  </si>
  <si>
    <t>Gínes</t>
  </si>
  <si>
    <t>…onomía y economía; mientras mas bajen mas economía har Medrano, Vahíllo, Cábanillas, Colon . Vázquez Moscosó, marques de Asla- brS; ¿ñamó meóor Sea la cuota, mayor Será la economía. El triste estado de fifis rjz, Flores, Serrano (D. Gínes), Cezar , Vifials", Bonel, Hubért, Martínez campos, la miseria dé los pueblos , ¡a insoportable carga de excesivos tributos de Ja '&amp;bsá, conde-dé'Villaniena, González (D. Juan Gufilbe'rto), Santafé; ¡no hacen que baftn . ppr ejemplo,,! 2ü mi!lones! Pues menos serán 18, me marqués dé Falces ¡ Serrán…</t>
  </si>
  <si>
    <t>…el eximia totalmente, sino que se les dejaba la alternativa de alistarse ó no. ampliarla á otras clases. No se tomó en consideración. _ «Cualquiera de los que conocemos las costumbres de los pueblos, sabemos 3. a Del Sr. Serrano (D. Ginés): «Atpárrafo ó.° se añadirá: los precepto que por un simple resentimiento , por cuestiones sobre interese» privados, ó por res de latinidad con estudio público.” No se tomó en consideración. simples rivalidades de orgullo , se aprovecha cualquiera ocasión para vulnerar 4~* De los Sres. García Carra…</t>
  </si>
  <si>
    <t>…draPorque si en otros ramos pueden hacerse economías, esto no quita que se ba no, Montenuero , Vaillo , Cabañil las, Zúñiga , Astariz , Florez, Serrano gan también las posibles en el presupuesto de casa Real; en cuyo caso dos mi (D. Ginés), Cezar, Vinals, Bonel, Huberc, Martínez de la Rosa, Villamellones de ahorro, por ejemplo, de tal ramo, cuatro de tal Otro, y seis de otro, na, González (D. Juan Gualberto), Santafé, Solanot, Falces, Serrano (don formarían doce fnillones de economía; y esos menos gravarían sobre las clases Francisc…</t>
  </si>
  <si>
    <t>…Sin embargo, como yo nunca das , Sánchez Toscano, Coton y Zúñiga, Vázquez Moscoso, marques de Astame desdigo de ló que haya podida decir una vez, afirmo sí que en el calor del riz, Florez, Belmonte, Cano Manuel y Chacón, Serrano (D. Ginés), Cczar, desagradable incidente que tuvimos ayer pronuncié algunas expresiones, pero Eoncl y Orbe, Muñoz, Martínez de la Rosa, Carrillo Manrique, González no con intención precisamente de ofender á nadie, y menos al Sr. Pizarro, (D. Juan Gualbeno), Piarro, Hercdia y Godino, Santafé, Torres y Soiaco…</t>
  </si>
  <si>
    <t>…eso mismo me creo en estado de poder entrar mas conde de las Navas, Sánchez Toscano , Vázquez Mo^coso, Flores, Caballero, de lleno en tas economías que hace precisas la penuria del país; y diré para Cano' Manuel (hijo), Serrano (D. Gines), Cezar, Viñals, Porret, conde de principiar que desde 5. A. el Infante D. Francisco hasta el último empicado, Villamcna , Fcrrcr, Pizarro, Heredia , Santafé , SoUnot, marque*, de Falces, debemos sacrificar alguna parte de nuestros goces para asegurar el todo; á la ma Acuña, Blanco, marques de Mont…</t>
  </si>
  <si>
    <t>…que ét ha hecho. antes 105 oficiales prime Pedrajas , cofidé de lás Návay, Toseaoo, Coton, Vazqúéá . marques de Astí- ros tenían 529 rs. Pero tal ejemplo no es de modo alguno aplicable; ademas, tiz . Belmome, Caballero, Serrano &lt;D. Ginés), Cezar. Viftaís, Bonel, Hu- de .que en Paria las cosas necesarias á la vida y tas de lujo están á precias subidos. bert, Mártinsa dé la Rosa, conde de Villamena, Ferrer, Gobrñlez CP- Jdátt De consiguiente es preciso que lew secretarios‘de embajada, que como dije ayer Gualbeho), Bizarro, Hetedia, S…</t>
  </si>
  <si>
    <t>…n las disposciones particulares por el mis- guel Polo , Tonque lia, Medrano, marques de Montenuevo , Bermudez, Co i»i órden con que esten en el proyecto presentado por el Gobierno. Esto no lon y Zúñiga, Blazquez Moscoso, Serrano (D. Ginés), Bonel, Hubert, Mar quiere decir que el Estamento quede ligado á adoptar los artículos del proyec tínez de la Rosa , González (D. Juan Gualberto),, Heredia, Santafé, mar to .presentado por el Gobierno; puede modificarlos , altérarlos ó desecharlos; ques de Falces , Fleix, Ruiz de Bucesta, marques…</t>
  </si>
  <si>
    <t>…iderables, particularmente de partiría , y se pasaría para su eximen á una comisión especial, que se anunció las que vienen de América; es seguro que ya se gastará poco con aquel objetos ser compuesta de los Sres. Ochoa, Serrano (D. Gines), Latorre, Cabanilles, en especial desde que se apoderaron del santo sepulcro los religiosos griegos, Crespo de Tejada, Anaya, Ayarza, Villachica y Ruiz de Bucesta. apoyados para ello en el favor que da la prepotencia da la Rusia, y la A invitación del Sr. Vicepresidente el relator de la comisión d…</t>
  </si>
  <si>
    <t>…orzador! Gobierno á con-. Somoza, Llano Chavares, La Riva , Rivaberrcra , Miguel Polo, Tosquclt», tritifírt empréstito (y todo* los Señores Procuradores han convenido en este Medráno, Montenuevo, Zúfiiga, Vázquez Moscoso,Serrano (D. Ginés), Bo. pnhtts') j ¡do qué modo se presentará con mas vendija en los mercados cxtran- nel y Orve, Hubert, Martínez de la Rosa,González'(D. Juan Gualberto), geros’ iditifendbr »sé han reconocido los empréstitos dé las Córtes; pero be- Heredia, Santafé, marqua de Falca, Fleix, Bucesta,marqua de Somerue…</t>
  </si>
  <si>
    <t>…ue abera sé sigue; que sea operación mera BaíUo, Zamora, Cabañil les, Pedraza, 'íosqano, Cotoñ, Ástariz, Vázquez mente ejecutada por las autoridades administrativas ; que &gt;e distribuya coa. mas Móscoso, Flores, Belmonte, Serrano (D. Gines), Bonel, Hubert, Rosa, Car-X equidad y con. píenos excepciones; pues.sabe mu/ bica.pl Gobierno que sobre r¡Up Martínez, Villamena , Ferrer, Heredia, Sanlafé, Torres Solanot, Falce*, . ser esta contribución la mas penosa, puesto que es de sangre, se hácc muchas Serrano (D* Francisco) , Acuña, Díaz G…</t>
  </si>
  <si>
    <t>…, pues, de que es imposible satisfacet todo ese cúmulo de mecq , Miguel Polo, Medrano , marques de Montenuevo Coton y Zúmga, intereses, se hace indispensable establecer una escala fija de los que merecen Vázquez Moscoso, Serrano (D. Gines), Viñals , Bonel, Hubert, Martínez la preferencia. En esta escala deben figurar, primera los gastos perentorios del de la Rosa, marques de Falces, Fleix , Ciscar, Ruiz de Bucesta, marques dé estado; segundo los intereses de la deuda interior, y tercero, los intereses de Someruelos, Vega y Rio, Font…</t>
  </si>
  <si>
    <t>…ividuos que han podido ser nombrados, pues ig no, Bcrmudez del Villar, Colon, Vázquez Moscoso, marques de Astariz, noraba que se hubiesen ya nombrado y quiénes son. No he hablado de perso Bel monte, Cano Manuel y Chacón, Serrano (D. Gines), Cezar, Viñals, nas; me he limitado solamente á épocas atrasadas, porque me creo, no sola Porret, Bonel, Hubcrt, Martínez de la Rosa, conde de Villamena, Carrillo mente autorizado, sino también obligado á denunciar los desórdenes ; pero no Manrique, Ferrer, Pizarro , Santafé, marques deTalces, Ser…</t>
  </si>
  <si>
    <t>Gines, José</t>
  </si>
  <si>
    <t>José Gines</t>
  </si>
  <si>
    <t>…as de negros paños, y sus puertas interiores con de escultura, ejecutadas, la Justicia y Fortaleza , por D. José Piquer, y la colgaduras del mismo color. Sobre la del medio se había colocado una lápida Templanza y Prudencia , por D. José Gines. coronada de laurel, y sostenida por dos genios, en la que se leía la siguiente Descansaba este cuerpo sobre un zócalo de 8 píes de altura, que se di-1 inscripción, compuesta por el R. P. Poyal, rector de este colegio: vidia en dos partes , la primera de 5 pies, y la segunda de 3. Por el frente se r…</t>
  </si>
  <si>
    <t>…elineanto restante de piedra berroqueña. D. Mariano Peinio. La escultura como va referido fue ejecutada por los pro Por último , cargaba sobre el ático otro sotabanco de corta altura, y con fesores D. José Tomas, D: José Piquer y D. José Gines: los bajos-relieves fue cluía la composición con una pirámide truncada cuadrangular , que aparecía ser ron pintados por D. Leonardo Alenza: el resto de la pintura del catafalco y de piedra berroqueña, con cuatro grandes arcos semicirculares abiertos en los coro, que como queda dicho, era imitado á…</t>
  </si>
  <si>
    <t>Ginés, Serrano D</t>
  </si>
  <si>
    <t>Serrano D Ginés</t>
  </si>
  <si>
    <t>…ues' es upa economía que ét ha hecho. antes 105 oficiales prime Pedrajas , cofidé de lás Návay, Toseaoo, Coton, Vazqúéá . marques de Astí- ros tenían 529 rs. Pero tal ejemplo no es de modo alguno aplicable; ademas, tiz . Belmome, Caballero, Serrano &lt;D. Ginés), Cezar. Viftaís, Bonel, Hu- de .que en Paria las cosas necesarias á la vida y tas de lujo están á precias subidos. bert, Mártinsa dé la Rosa, conde de Villamena, Ferrer, Gobrñlez CP- Jdátt De consiguiente es preciso que lew secretarios‘de embajada, que como dije ayer Gualbeho), Bizarro, Hetedia, S…</t>
  </si>
  <si>
    <t>Ginet</t>
  </si>
  <si>
    <t>…r-Diez; González, Fernandez López; Bclda, Visedo, Belmonte , Ciscar (D. José), Subercase, Rodríguez Pa— Blanco, Mantilla, marques de.Montévírgén,.Miranda.y Olmcdilla, Calderón terna, buster, Cuchas,'Caballero, Carrion,y Serranó (Don Ginet), de la Barca, Domínguez,marque»deEspinardo, Lasaiua, Palotea, Fuga, Ace- El Sr- Eresidmtt^sjMañanaj siendo los dias de:nuestra augusta REivA, vedo, Cáceres, .Morales.- Diez, de lo Cortina, De Pedro, Anaya ,,Crespo de Te «o seireunirá eLsEstamerito; pero seria de desear que lo verifitasen las comis…</t>
  </si>
  <si>
    <t>Gioés</t>
  </si>
  <si>
    <t>…íccre*, KisoonV-Onii, Trueba, Medifanó, Cabanillas, Pcdr*|is'. Triscáno, Goton, Vázquez; Moscosn, Marque* "Villatáz, GouinleaPérez, Conde de Hmt,liapa del Bailo, Martí, CanVpide Astáriz, Caballero; Carió Manuel y Chacón, Serrano (D. Gioés), Cezar, . ílo, DePedro.,Creipo Tejada, Ochqa.sConde de Almodovar, Rui* dé CarVifijU, JPorret, Bonell. Hubert, Martínez dc[la Rosa.-Férrer,González(Don , ‘ríoq, Súbercase ,Ad¡tnero,Aguirre ¡jplarté, Airarez Garda,.Romarate, BuJuán Gualterio), pizarro/Serrano (0,'Fradcnco), Santafé, Toño y Solano!,…</t>
  </si>
  <si>
    <t>Giralberto, Juan</t>
  </si>
  <si>
    <t>Juan Giralberto</t>
  </si>
  <si>
    <t>…lde las rentas que previeaeel Es monte, Cañilero, Serrano (D.Giocs), Gezar,' Vifiáls, Porref, Bonel, Hubert, tatuto-.y^que en vista de no bailarse en este &gt; caso, y de estar empeñad^ per-- Martínez de la Rosa, Ferrcr . Goilzalez (D. Juan Giralberto), Pizatror, He- sonalmente en una lucha,de cuyo-resultado depende la felicidad de la Nación, redta, Santafé, Torres Solanot, marques de Falces, Serrano CD; Francisco), había resuelto no abandonarla hasta comeguir el completo triunfo í&amp; porder la Acuña, Diez González . Fernandez Blanco, Mantilla, Fí…</t>
  </si>
  <si>
    <t>Giraldo, D Ramón</t>
  </si>
  <si>
    <t>D Ramón Giraldo</t>
  </si>
  <si>
    <t>…ado. cunstancias, era llana y segura la senda que he debido seguir. También lo quedó el dictámen de la misma relativo á que se accediese á El objeto mas importante y urgente que se presentó desde luego i Qsi vis la exposición del Sr. D. Ramón Giraldo, nombrado por Ciudad-Real, exo ta fue la grave cuestión de Portugal; cuestión que se había complicado por di nerándole del cargo de Procurador por no tener la renta suficiente, y se avisa- versas causas durante la larga contienda trabada en aquel reino; pero que se ha mal Gobierno para que procedie…</t>
  </si>
  <si>
    <t>Giraldo, Ramón</t>
  </si>
  <si>
    <t>Ramón Giraldo</t>
  </si>
  <si>
    <t>Gaceta de Madrid n.º 173 · suplemento</t>
  </si>
  <si>
    <t>…en del Gobierno. Pasó i la cpmision El Sr. conde de Toreco, Secretario de Estado y del Despacho de Hacien de Poderes. da, leyó un proyecto de ley sobre deuda pública que presentida al Estamento, Se dió cuenta de otra instancia de D. Ramón Giraldo, electo Procura diciendo que había sido aprobado por S. M. y ramhign por el Consejo de Go dor por la provincia de Ciudad-Real, en que manifiesta que habiéndosele otor- bierno. . gado término por la junta preparatoria para justificar su renta por no haber Después de leído se acordó que se imprimiese…</t>
  </si>
  <si>
    <t>…e España é Indias, nombro á Don plomático , de los secretarios dé Estado, de los: sínodos y otros cuerpos consti Maruiel María Arbizu y Alava, ministro del mismo; para esta re tuidos. Por la noche hubo grande iluminación. sulta á D. Ramón Giraldo, regente de la audiencia de Valladolid; y El ministro ingles M. Dawkins, que toma ordinariamente la palabra en pata esta plaza á.D. José -Joaquín Ortiz, oidor dé la Real audien hombre de] cuerpo diplomático, ha observado por esta vez el mas profundo cia de Barcelona. Tendréislo entendido, y lo comu…</t>
  </si>
  <si>
    <t>…de desorden. Nosotros, lejos de ver en «te suceso una muestra de desaliento ó flaqueza moral, vemos al contrario una Extracto deí parte remitido por el gobernador civil de la provincia de Al señal de mejora y de adelanto. bacete D. Ramón Giraldo con fecha de 10 de Mayo último. El espíritu público ni merece los elogios que se le han dado por los acon Elogia á las juntas de arbitrios establecidas en ios pueblos, y se lamenta de tecimientos pasados, ni la censura con que se le acrimina por los presentes. No no poder satisfacer sus deseos por…</t>
  </si>
  <si>
    <t>…cunstancias, era llana y segura la senda que he debido seguir. También lo quedó el dictámen de la misma relativo á que se accediese á El objeto mas importante y urgente que se presentó desde luego i Qsi vis la exposición del Sr. D. Ramón Giraldo, nombrado por Ciudad-Real, exo ta fue la grave cuestión de Portugal; cuestión que se había complicado por di nerándole del cargo de Procurador por no tener la renta suficiente, y se avisa- versas causas durante la larga contienda trabada en aquel reino; pero que se ha mal Gobierno para que procedie…</t>
  </si>
  <si>
    <t>Gíraórr</t>
  </si>
  <si>
    <t>…contra los egipcios para ciar un golpe decisivo, inhabilitándola para El conde de Taipa hizo varías reflexiones acerca de algunos de los indi operaciones ulteriores. viduos que componen el nuevo ministerio: replicaron i rilas el Sr. Gíraórr, el Sr. barón do Pico do Celleiro y el ministro de Negocios extrangeros, sin Tina carta reciente de Buebarest dice: los rusos al evacuar el principado que de ello resultase discusión ni resolución ulterior. reforzaron la guarnición de Silistria, y acuartelaron tropas en diferentes pun El conde de T…</t>
  </si>
  <si>
    <t>Giraud</t>
  </si>
  <si>
    <t>…completamente quieta. Después &lt;jo haber-dado Debe rebajarse de este elogio ia parte déla exageración italiana; pero ra muerte al gefe de la rebelión, y haber desarmado á los habitantes, el virey ha indudable, sin embargo, que el conde Giraud era uá poeta cómico de mucho hecho un» leva de 189 hosnhsa. Ha dispuesto igualmente aprestar su escuadra tárenlo. Una de sus comedias C Ajo nelNmhara&amp;zo, ha sido traducida hace al ra que salga cuanto antes, y se cree que esta demostración de fuerzas uavagunos allos al francés y reprerenuda en tres…</t>
  </si>
  <si>
    <t>…odo siguiente la prisión de M.. Sr. Giraud. Pido la palabra para hacer una pregunta á los Sres. ministros. Hanfio; en. la noche del 15 del corriente un destacamento de la guarniciona de Presidente. i Accede la Cámara al deseo del Sr. Giraud? LuxefnHu^ga fue á Bettemburgó, y se apoderó de la persona de M. Hanno, Muchas voces. ¿Sobré qué versa la pregunta que se quiere hacer? comisario jp'Qvjsional del distrito de Luxemburgo por el gobicrno belga- Su ar- Presidente. Manifestad el objeto de la pregunta* , rcstq-Jfc. ainbuye á haber exten…</t>
  </si>
  <si>
    <t>…upuestos amantes del género huma que hay empeño en atribuir á las sociedades. Vota contra el proyecto. no que especulan en la credulidad popular, es la -suerte del hombre que debe El Sr. Fulchiron, coincidiendo con la Opinión del Sr. Giraud, cita algu su existencia á sus btazos y á tu trabajo diario; lo que sin cesar procuran aque nos ejemplares para corroborar lo que aquel ha dicho, y cree que se debe apro llos es extraviar á los honrados y pacíficos trabajadores, excitarlos al desorden, bar la ley. porque á ht sombra de este esperan…</t>
  </si>
  <si>
    <t>Gircíá</t>
  </si>
  <si>
    <t>…e Agosto. dicha capital y varios puntos de la Península, con el fin de proporcionar á su grey los consuelos espirituales que pueda dispensarla como ministro de un Dios Concluida la lectura de la acta de la sesión anterior dijo el Sr. Gircíá de paz. Herreros que en ella no se hacia mérito de una proposición que S. E. trató de En los mismos términos lo quedó del remitido por el Sr. D. Manuel de hacer, y no tuvo tiempo de escribir, porque al tiempo de hacerla había toma** la Bodega, haciendo presente que el mal estado de su salud no le perm…</t>
  </si>
  <si>
    <t>Girod</t>
  </si>
  <si>
    <t>…nes del Fulano. pasado por París, dirigiéndose a Vizcaya. Según se presenten Us propuestas, el gobierno tendrá ocasión de acredi tar con aquella generosidad que e&gt;tc en la esfera de sus facultades, hasta dóndu ------«Eli teniente coronel Girod, Mr. Gottchiek, gefe de escuadrón, y MM. llega el iire'cs q jC 1c anima por c'l logro y multiplicación de empresas, que co Pclion y Tjriareau , todos cuatro oficiales de estado mayor, acompañarán al mo esta, considera en extremo necearías e importarte*'; 1c basta por ahora in conde de Lrlon á Argel…</t>
  </si>
  <si>
    <t>Girón, Francisco Vázquez</t>
  </si>
  <si>
    <t>Francisco Vázquez Girón</t>
  </si>
  <si>
    <t>…facciones mandadas por Latorre, Sermones del P. D. Teodoro de Almeida , de la congregación de S. Felipe Neri de Luqui y ©tros, á,quienes había tomado algunas armas, municiones y 8o0 ra Lisboa , traducidos en Castellano por el P. D. Francisco Vázquez Girón: 3.* edición, ciones, continuó persiguiéndolos hasta aquel pueblo; y que al prepararse para corregida y enmendada. Año de 1798: 3 tomos en 8.° marquilla, á 36 rs. en pastal marchar sobre Marquina, donde se habían retirado dichos rebeldes para unirse Comprende el tomo i.° de esta obra los sermooes d…</t>
  </si>
  <si>
    <t>Gisbert, Gregorio</t>
  </si>
  <si>
    <t>Gregorio Gisbert</t>
  </si>
  <si>
    <t>…s , te niente primero de corregidor de Madrid. l ESPAÑA. Asimismo ha tenido á bien nombrar por Reales decretos de 13 del actual, Pamplona 8 de Octubre. en consideración á los servicio* que han prestado á la Iglesia y al Estado, á D. Gregorio Gisbert para una canongía de la santa iglesia de Cuenca : a Don Hoy se ha publicado en esta el siguiente edicto: Nicolás García Page para la dignidad de abad de Santa Leocadia de la metro «Don Manuel Lorenzo, caballero de la Reai y militar órden de S. Her politana iglesia de Toledo; y á D. Poli carpo Romea…</t>
  </si>
  <si>
    <t>Gisbert, Jorge</t>
  </si>
  <si>
    <t>Jorge Gisbert</t>
  </si>
  <si>
    <t>…olbl V Zaragoza á R- Ramón Giraldo v D. Joae María Gnldiano, lia tenido á bien ñores Infantes. por Real decreto de 2¡i de A dril último conlerir la suhdelegacion de r omento de la jirovincia de Albacete, que obtenía el primero, á Don Jorge Gisbert, y la de la provincia de \ alenria, que estaba al car REALES DECRETOS. go del segundo, á D. Juan Antonio (iastejon. En atención á los distinguidos méritos y servicios, y á las de Por Real derroto de 511 de Abril último, se ha dignailo S. M. lamas circunstancias que adornan al teniente general conde…</t>
  </si>
  <si>
    <t>…Sanlúcar y Jerez. Real Órden fijando la planta y ordenando la distribución de los negocios que ‘ Ha formado dos juntas bajo el título de mejoras de la provincia y dé la están á cargo de la misma, (/A) capital. ____ confiriendo a D. Jorge Gisbert la subdelegaron de Fomento de Alba Se ocupa en realizar los atrasos de propios y hacer las reformas convenien cete, i D. Juan Antonio Cástejon la de Valencia, y á D. Guillermo Mo tes en el tráfico de carnes. nguea la de Barcelona, vacante por haber sido nombrado director déla Real ' Ha dado las dispos…</t>
  </si>
  <si>
    <t>…Sanlúcar y Jerez. Real Órden fijando la planta y ordenando la distribución de los negocios que ‘ Ha formado dos juntas bajo el título de mejoras de la provincia y dé la están á cargo de la misma, (/A) capital. ____ confiriendo ! D. Jorge Gisbert la subdelegaron de Fomento de Alba Se ocupa en realizar los atrasos de propios y hacer las reformas convenien cete, á D. Juan Antonio Cástejon la de Valencia, y á D. Guillermo Mo tes en el tráfico de carnes. nguea la de Barcelona, vacante por haber sido nombrado director déla Real ' Ha dado las dispos…</t>
  </si>
  <si>
    <t>Gizaldo</t>
  </si>
  <si>
    <t>…e le reformase y arreglase al discurso á la Rosa, García Herreros-&amp;c.; y habiendo en España Hatos lan preciosos, hu que contestaba. " ------ biera sido por demas buscarlos fuera. Asi que acabó de hablar él Sr. Redolido reclamó el Sr..Gizaldo te pre o Ha dicho el Sr. preopinante que la nación no está aun preparada para guntase si ci asunto estaba suficientemente discutido. recibir la libertad de imprenta, y parece como que ha querido indicar que á El Sr. Secretario Caballero hizo presente no habla ningún artículo del esa misma libertad…</t>
  </si>
  <si>
    <t>Glais-Bizoin, José Maria M</t>
  </si>
  <si>
    <t>José Maria M Glais-Bizoin</t>
  </si>
  <si>
    <t>…y medio de francos á la cantidad que se le ha concedido pi-l y en este concepto espera S. M. que poniéndose V. E. ó nombran ra socorrer i los extrangeros refugiados en Francia. I do persona que se ponga de acuerdo con el referido D. José Maria M. Glais-Bizoin dice que aprueba el proyecto en la inteligencia de que ItS no Valiejo, dedique el ilustrado zelo que le distingue al mas pronto Cámara use de esta generosidad para manifestar la simpatía que tiene con 1» y puntual cumplimiento de la presente Real orden; en la inteligen polacos. cia de que la trasla…</t>
  </si>
  <si>
    <t>Glenelg</t>
  </si>
  <si>
    <t>…orio fronterizo por una parte, y con el incre ------ Corre la voz de que Mr. Cárlos Grant será promovido á la dignidad d e mento por la otra de la navegación de Uruguay. De allá salen el sobrante de Par del reino con el título de barón Glenelg, y que después será nombrado los ganados; de aquiel de las pieles, piaderas, la cáscara de curtimbre, la cal, gobernador de la India oriental (Ledger.) diversos combustibles &amp;c. que hallan un mercado seguro en las costas del Plata, y alguna vez del Paraná. ------ El Corresponsal ¿le Hamburgo dice q…</t>
  </si>
  <si>
    <t>Globe</t>
  </si>
  <si>
    <t>…r en oposición con las venerables instituciones del Estado y de la Iglesia. Es imposible que dure EiMonitor Otoenano que hemos recibido hoy anuncti la formación da nmgutt ministerio, impulsado de tales influenciat.==3 de Junio.=G rey.”(Globe una guardia nacional en Turquía, (Monitor.) ' and Traveller.) , ‘ , ”, .¡,„i—€op'gran placer anunciamos 4 nuestro» lectores que ya se recogen los frunot ddl'tntt'ado de la'cuádruplá.alúinza. La guem civiite ha concluido en Por o- ESPAÑA. ■■ ' -H tugal: &lt;1 íiékcito míguelista Se ha rendido f Doña Ma…</t>
  </si>
  <si>
    <t>Gloria, Alaría de la</t>
  </si>
  <si>
    <t>Alaría de la Gloria</t>
  </si>
  <si>
    <t>…aba se aprobasen aquellos, y se le oficiase para que quier clase que fuesen , debían ya ceder á una sola; y que la semejanza, por purificase io prevenido en el referido artículo.' no decir identidad, que mediaba entre la causa de Doña Alaría de la Gloria v S» aprobaron como proponía la comisión los poderes y documentos da la de Doña Isabel ir, había de establecer mas ó menos.pronto una alianza na V» Sres. D. Francisco Domecq , D. Francisco Javier UUoa y D. Fernando tural , íntima, permanente, como todas las que se fundan en intereses reales, Mirand…</t>
  </si>
  <si>
    <t>Gloria, Ataría de la</t>
  </si>
  <si>
    <t>Ataría de la Gloria</t>
  </si>
  <si>
    <t>…llamos es este un buen ejemplo, que debe citarse y seguirse. «Alaveses: EJ ejército español ha llevado 9us armas victoriosas á Portugal. Oran 5 Je Alril Je 1834- Sr. corregidor:'O:, devu-ivo la bandera que los Combinado con el de Doña Ataría de la Gloria, ha conseguido en pocas se habitantes de Nimes confiaron al 4*° batallón de la legión extrangera cuando manas los resultados mas memorables. Las tropas de D. Miguel, acocadas en te organizó este cuerpo en vuestros muros. Las disensiones que despedazan á todas direcciones, derrotadas en varios encue…</t>
  </si>
  <si>
    <t>Gloria, Mar de la</t>
  </si>
  <si>
    <t>Mar de la Gloria</t>
  </si>
  <si>
    <t>…incia, que según resulta de las cuentas de propios, son do gran consideración. Según aviso del general Sa-da-Bandeira, gobernador del Algarbe por la A pesar de las instancias que ha hecho para reunir noticias solo ha podido Reina Doña Mar» de la Gloria, los miguelistas, rechazados de Faro el 4 con averiguar hasta ahora que hay en la provincia 62 fabricas de jabón, 16 de gran perdida, atacaron ei 9 á Olhao, donde lo fueron igualmente después de aguardiente, 4 de tintes, varias de curtidos y muchos telares en los pueblos; pe 12 horas de vivísimo fu…</t>
  </si>
  <si>
    <t>Gloria, María de la</t>
  </si>
  <si>
    <t>María de la Gloria</t>
  </si>
  <si>
    <t>…mi entrada puente, electo por Teruel, para presentar los documentos juslificativus de sa en el ministerio una respuesta categórica acerca de las miras é intenciones del renta. t • - Gobierno español respecto del reconocimiento de Doña María de la Gloria La coteislon de Poderes, después de examinar la proposic’on del Sr. conde como Reina de Portugal, y del tiempo en que debería aquel verificarse, y en da las Nivas, relativa á que se admitan por punió general todas las renuncias qué forma, v con qué condiciones. que hagan lós Sres. Procuradores de su c…</t>
  </si>
  <si>
    <t>…reconocimiento de la Bélgica como nuevo Estado-admitido en la gran fami Mas asi que S. M. la Reina Gobernadora juzgó llegado el caso de reco lia europea; mas el ejemplo de otras naciones, el déseo de satisfacer los votos nocer á Doña María de la Gloria como Reina de Portugal, ofreciendo caflpo de los augustos Aliados de S. M., y sobre todo el deber de no desatender los anuncio y primicias del reconocimiento la cooperación leal y desinteresada de intereses de la nación, que exigen el entablar con el nuevo reino relaciones po nuestras armas; asi qu…</t>
  </si>
  <si>
    <t>…trabajo y desvelos, al jóven delicado al lado del artesano honrado, y formando veira de Lacerda , declarando que venían á reconocer el gobierno de S. M. la lozana juventud de Castro-Urdiales líneas con ios carabineros, presentaba Doña María de la Gloria. i una masa homogénea de patriotismo y lealtad. El día 22 de este mes entró en Lamego el duque de Terceira. El general El limo. Sr. diocesano, queriendo participar de tan halgüeña perspectiva, barón do Pico do Celeiro se mantiene en las mismas posiciones al sur del pasó desde la iglesia á los balcon…</t>
  </si>
  <si>
    <t>…ayas tenido que hacer grandes esfuerzos surrección que había sofocado el indicado barón: e&gt;(e solo tenia y-^Ü hombres para reunir la época presente con nuestra historia: la segunda confundir las, de las tropas de S. M. Fidelísima Doña María de la Gloria , y sin embargo de Córtes de Isabel i con las de Carlos v. Empezaremos por éste último punto. esta desproporción de fuerzas logró, después de diez horas de combate, rechazar En tiempo de Isabel t constaban las Cortes de España de todos los elemen á Bourmont, causándole la pérdida de 300 hombres ent…</t>
  </si>
  <si>
    <t>…irnos todos £ esta villa; pero habiendo tocado en mayare* de he 802 que comprende el torteo de ettt dia , incluía/ la/ do/ Agiieira, supimos que en la noche anterior habían salido de aquel punto como aproximacioner. 80 hombres de Doña María de la Gloria y algunos pocos earabineros oon di rección á Miranda, y que en el camino habían batido alguno* de lo* disperso* nómbkos. riEWios.' AwmriírrxACKMnsw de aquella ciudad , con cuya noticia el Sr. comandante Guerrero se dirigió m 13,139..*... ......... Cádiz. su busca con algunos oficiales portugueses que…</t>
  </si>
  <si>
    <t>…y | qne influyen en la desaplicación de sus individuos; como son los portuguesa para apoderarse del puerto de Figueiras , único punta i vicios propios de lá opulencia, y el poco estímulo para el trabajo marítimo que no reconoce á Doña María de la Gloria. i literario. Pero débese advertir que este inconveniente queda des truido, apenas se establece un órden de cosas en el cual la sabidu Partes recibidos en la secretaría de Estado y del Despacho de ría sea un título de gloria, y no de proscripción ó de menospre cio: porque entonces las clases acomoda…</t>
  </si>
  <si>
    <t>…Por S. Lúcar de Guadiana se sabe que i las cinco de la maña •iguientes: na del día 11 llegaron al pueblo de Alcautin un místico y seis l.° Siendo el principal objeto del ejército exterminar la fac botes con tropas del gobierno de Doña María de la Gloria, cerca ción que se organiza en Portugal, para atentar contra los legítimos ron el pueblo para su entrada disparando algunas descargas, y á las derechos de la Reiva nuestra Señora, encargo muy particularmen ocho de la noche tomaron posesión de él. te la conservación del orden, I que se guarde la mej…</t>
  </si>
  <si>
    <t>Gaceta de Madrid n.º 61 · suplemento</t>
  </si>
  <si>
    <t>…as españolas á la vis de sus efectos y propiedades que han podido traer sobre sus hom ta de Almeida el dia 33 del corriente, de donde huyó el Preten bros. diente para no verse bloqueado en aquella plaza , se ha declarado esta por Doña María de la Gloria en la madrugada del 18 , según resulta de los siguientes partes del 19 del gobernador de CiudadRodrigo. Respecto á la fuga del Pretendiente, perseguido por las tropas de la Reina nuestra Señora,da el general Rodil ei parte siguiente: Excmo. Sr.: Las noticias que he recibido hoy sobre la direc Excmo…</t>
  </si>
  <si>
    <t>…ompuesto N., por D. J. tirador ------ Ei cazador y Un destacamento de las tropas españolas que guarnecen á Chaves se adelan se en que los varios secretos obra a todo aficionado arte de cazar , por al ella nulísima tó con otras de Doña María de la Gloria á lo interior de la provincia de Tras manifiestan: contiene también el método de criar, enseñar y conversar los perros de oí-montes y su comandante el coronel D. Joaquín Ort¡7 de Zarate, gefe de !a caza; y las reglas para precaverse de las desgracias frecuentes que resultan de no Cono plana mayor,…</t>
  </si>
  <si>
    <t>…réislo en tendido , y dispondréis lo necesario á su cumplimiento. = Está ru S. M. I. el Duque de Braganza, Regente de Portugal en nom bricado de la Real mano.czEn Aranjuez á 21 de Abril de 1834--= bre de S. M. Fidelísima la Reina Doña María de la Gloria, ha A D. Nicolás María Garelly. enviado como ministro en misión extraordinaria cerca de la Reina nuestra Señora aL Sr. consejero D. Alejandro Tomas de Moraes * A nombre de mi augusta Hija la Reina Doña Isabel rr he Sarniento, el cual ha tenido la honra de presentar á S. M. la Reina venido en nombra…</t>
  </si>
  <si>
    <t>…gualmente que su Señora , familia el de igual clase del regimiento de Castilla, agregado á la plana y comitiva. Ayer á las nueve de su mañana se declaró Almeida mayor, D. Luis del Arco, y los soldados del precitado escuadrón, por Doña María de la Gloria, quedando en libertad los49 y tan se me dió el quién vive por tres centinelas diversas, siendo mi tos prisioneros que yacían allí por opiniones políticas : en semejan contestación mandar y dar la carga á los que estaban en 13 plazuela te suceso influyeron extraordinariamente los encargos que al in…</t>
  </si>
  <si>
    <t>…/ dos que en Almeida podían refugiarse. «Mas ningún servicio podrá ser provechoso si cada uflo de lbs Como todos los pueblos se han pronunciado en dicho reino por individuos que hoy componen la guarnición df la plaza no se halla Doña María de la Gloria, es mgular que sean cogidos. Lo que pon convencido de que la subordinación, es la base esencial de todas las go en conocimiento de V. E. para que tenga la bondad de hacer operaciones, y la condición indispensable para lograr el triunfo; y lo presente á S. M. la Reina Gobernadora. Dios guarde á V. E…</t>
  </si>
  <si>
    <t>Gloría, María de la</t>
  </si>
  <si>
    <t>María de la Gloría</t>
  </si>
  <si>
    <t>…pirámide coronada de pla aunque la estoy procurando con empeño; y con el mismo solicitan lasSrillas de ta , leyéndose en los ángulos de una, viva Isabel ii , y en los de la otra; viva Cubilla , Celórico y otras , pronunciadas por Doña María de la Gloría , que Cristina ; y ambas tenia en uno de sus frentes las armas de la Habana. les acantone tropa; en efecto, pasado mañana irán á la primera dos batallones Duró p4 baile hasta el amanecer, reinando toda la noche la alegría mas y un escuadrón de la vanguardia con el señor general Sanjuanena , y á, la…</t>
  </si>
  <si>
    <t>…e ha dignado condecorar con la gran cruz 7,238................ .. 2000................................ Zafra, S. Ildefonso y Ade la Real y militar orden de S. Fernando al duque de Terceira, general del randa. ejército de la Reina Doña María de la Gloria, que mandó la batalla de Sei 12,942;.............. .. 1000................................ Madrid. sena, de cuyas resultas evacuó el de D. Miguel la fuerte posición de Santaren. 9,813................ .. 1000................................,.. Málaga. Al propio riempo se ha dignado S. M. promover á…</t>
  </si>
  <si>
    <t>…tlitiitc i la Nación -&amp;¿'.n de Campómayor y Yelves. " ' “ Bl,brigadier Serrano, comandante de&gt; li brigada del Condado de Niebla, dice eí 23 del corriente , quesegun los avisos del general Sa-da-Bqndeira , que mándá las t ropas de Doña María de la Gloría en el Algarbe, el 20’se hallaba xolsa db oauSictó.—.Cotización dt hoy £ia¡ tnr dt la tarde. el generql enemigo Cabreira en Loulé, de dqnde habían salido el 19 un bata ! llón y algunos realistas para Evora , á consecuencia de la derrota dé D- Miguel SFtCTOS FUSUCOS. , y su retirada de Santaren á ést…</t>
  </si>
  <si>
    <t>Gmés</t>
  </si>
  <si>
    <t>…tido, y se pidió qué la vota-' Vázquez Queipo, Fontagud Gárgollo, Paez Jaramillp, Carrillo Albornoz, cioná que iba á precederse fuese nominal. León Bendicho, Rodas, Gaivey, Alcántara Navarroj.marques de Espinardo, El Sr. Serrano (D. Gmés): «Pido que cuando se haga el resúmen de la Puche, Ezpeleta,. Montesa, Alvaréz Pestaña, Puga, Valladares, Calderón discusión sobre este asunto, se verifique como esti prevenido, haciendo una re (D. Saturnino]), Ííavia Osorio, conde de Toreno .Orense, Redondo, Mon lación de las razones que se han ma…</t>
  </si>
  <si>
    <t>…ferente con hombres que mereciendo la esti Montepuevo , Alcalá Zamora , conde de las Navas , Vázquez Mostoso , Ber- mación pública, están resueltos á sacrificarlo todo por el bien general de la mudez, Cano Manuel (hijo), Serrano (D. Gmés), Caballero , Belmonte, Nación y la legitimidad del Trono. Hubert, Toledo , Martínez de la Rosa, Bonel, Pizarro , Santafe , Heredia, Los Procuradores del reino están persuadidos de U justicia que asiste á los marques de Falces, Aranda, Serrano (D. Francisco), Mantilla, Diez Gon funcionarios de la ¿…</t>
  </si>
  <si>
    <t>Gnís</t>
  </si>
  <si>
    <t>…o de les ha delineado con todo su tino, pero no ha satisfecho todavía. La comisión no demas. Por consiguiente me adhiero al dictamen de la comisión.” ha entrado en su exámen , ciñéndose solo á opinar que se rebajen los sueldos E} Sr. Gnís deshizo una leve equivocación d« guarismos, en que dijo ha de los consejeros, sobre cuyo punto nada habla el testamento del difunto Rey bía incurrido el Sr. Torremejía. ■.'/*. que creó este Consejo; testamento que las C6rt es no~han visto ni examinado Se preguntó si estaba el punto suficientemente…</t>
  </si>
  <si>
    <t>Gnldiano, Joae María</t>
  </si>
  <si>
    <t>Joae María Gnldiano</t>
  </si>
  <si>
    <t>…d en su importante salud. Con motivo de haberse dignado S. M. la Reina Gobernadora Del mismo beneficio disfrutan SS. AA. RR. los Sermos. Se nombrar regentes de las Reales atulictv-ias de Valladolbl V Zaragoza á R- Ramón Giraldo v D. Joae María Gnldiano, lia tenido á bien ñores Infantes. por Real decreto de 2¡i de A dril último conlerir la suhdelegacion de r omento de la jirovincia de Albacete, que obtenía el primero, á Don Jorge Gisbert, y la de la provincia de \ alenria, que estaba al car REALES DECRETOS. go del segundo, á D. Juan Antonio (iaste…</t>
  </si>
  <si>
    <t>Go, Angel Casimiro</t>
  </si>
  <si>
    <t>Angel Casimiro Go</t>
  </si>
  <si>
    <t>…nuestra Ri-uní yS&lt;ñoV.í. cante fcn la Real Chancii-tería de Vuljadolid, á D. Gregorio Ceruelo de Va- Et capitán general, que tomó una crün paoe en todos los festejos r regó- j lasco, que lo m de la de Galicia, y para esta plaza ¿ D. Angel Casimiro Go- cijo» públicos! quiso ob&gt;equiar común niigtalwu-b.ulc a autoridades v per-j vajHtfs, oidor-cesante. Asimismo se ha dignado nombrar para la fiscalía de U sorvai mas distinguidt» de lj cuidad, sirv;envi,fc un abundante refresco y am- | Red ih.in.ilierw de Granada, que rciuta vivante por ptomocion del…</t>
  </si>
  <si>
    <t>Go, D Ramón</t>
  </si>
  <si>
    <t>D Ramón Go</t>
  </si>
  <si>
    <t>…pefa los- que se presentaren mi alocución de 9 de Julio abandonar aquel país y á dispcraafSf/9 último; ' • ' , 2.° Las persona» que. proporcionen de cualquiera modo auxilios de armas* £1 mtsmo^capitan general incluye un parte del brigadier D. Ramón Go- municiones, víveres ó dinero á los rebeldes, ó favorezcan tus crimínales . mez de Bedoya, comandante de la columna de Castilla que opera en las pro empresas, sufrirán igualmente la.pena de muerte. vincias Vascongadas, por el que resulta que habiendo sabido que Castor con su 3.° Conforme á lo que se…</t>
  </si>
  <si>
    <t>Go, Ramón</t>
  </si>
  <si>
    <t>Ramón Go</t>
  </si>
  <si>
    <t>…que se presentaren mi alocución de 9 de Julio abandonar aquel país y á dispcraafSf/9 último; ' • ' , 2.° Las persona» que. proporcionen de cualquiera modo auxilios de armas* £1 mtsmo^capitan general incluye un parte del brigadier D. Ramón Go- municiones, víveres ó dinero á los rebeldes, ó favorezcan tus crimínales . mez de Bedoya, comandante de la columna de Castilla que opera en las pro empresas, sufrirán igualmente la.pena de muerte. vincias Vascongadas, por el que resulta que habiendo sabido que Castor con su 3.° Conforme á lo que se…</t>
  </si>
  <si>
    <t>Go, S M la Reina</t>
  </si>
  <si>
    <t>S M la Reina Go</t>
  </si>
  <si>
    <t>…be percibir cada uno de sus individuos con motivo de la está poseyendo la marquesa de Andia dentro de ios 72 mojones que con tienen la dehesa y ejidos de los despoblados de Abollegne y la Celada, ■proclamación de la Reina nuestra Señora. S. M. la Reina Go término y jurisdicción de la villa de Chílorcbes, por los cuales se se bernadora se ha servido aprobar esta determinación generosa, y para la parte que de dichos despoblados está disfrutando la propia vida mandar que por ello se den las gracias al ayuntamiento fn su Real y la que posee la referida…</t>
  </si>
  <si>
    <t>Goaiberto, Juan</t>
  </si>
  <si>
    <t>Juan Goaiberto</t>
  </si>
  <si>
    <t>…suso de esta ó el defecto de toa ¡ur proyectó A*, Í*T T*l«üro fi la exclusión de D. Cirios de la sucesión é la coro- ces se ha de pedir que se sancione un principio que todos reconocemos? Lo tan m, compuesta de lo» Sm. Gofixalex (D. Juan Goaiberto), Cano Manuel go por tnfilil. Yo pediría á loa señorea que han firmado la petición que modr- *—r l,^!i-.y w. - ^--------------- -------------------------------- ■casen esta artículo» y sí se quiéra» que le pusieran cómo eo U Constitución (*) Kom Inserta intacta esta petidoc por no Habar llegado 4 a…</t>
  </si>
  <si>
    <t>Goazalez, Francisco Verdejo</t>
  </si>
  <si>
    <t>Francisco Verdejo Goazalez</t>
  </si>
  <si>
    <t>…omiar la protección que debió aquel cuerpo á las bondades del Sr. Don — ■ -Compendio de matemáticas puras y mixtas para instrucción de la juventud, por Fernando vi; , manifestaba sus esperanzas de que no medrarían menos todos los D. Francisco Verdejo Goazalez, catedrático de los Reales estudios de esta corte; dos ramos de instituto bajo el cetro de Isabel ii adoctrinada por su augusta Ma .tomosde la vidaen pasta,de esteenfamoso4.°, a sugeto50 rs.—Genealogíapor su hijo D.de AlfonsoGil tilasBlasde SanttUanade Liria , ,restituidacontinuacióná la dre. Hizo…</t>
  </si>
  <si>
    <t>Gob.ernadora</t>
  </si>
  <si>
    <t>…; pero luego que se liara comprado una cierta suma, y Barcelona; Señora de Vizcaya y de Molina &amp;c. &amp;c.; y en su Real que se lijará mas adelante, se anulará esta, y entrará á la suerte una nombre Doña María Cristina deBorbon, como Reina Gob.ernadora tuina equivalente de la deuda pasiva en la deuda activa, y partici durante la menor edad de Mi excelsa Ilija , á Iodos los que las pre pará por consiguiente del pago de los intereses y de la amortización. sentes vieren y entendieren, sabed: Que habiendo juzgado conve Art. ftb .No padecerá alteració…</t>
  </si>
  <si>
    <t>Gobarsi, Cosme</t>
  </si>
  <si>
    <t>Cosme Gobarsi</t>
  </si>
  <si>
    <t>…l caballero veinticuatro y te de S. Mateo D. Vicente Carroneo, del que resulta haber sido batida la facción niente de alférez mayor el Sr. D. Pedro del Prado y Mesía entre tn numeroso capitaneada por el cx-comandante de realistas D. Cosme Gobarsi , y Don concurso de gentes, y en medio de un regocijo que cs,?ámposÍble describir. Se Miguel de Soto, dejando tres muertos, ocho heridos y tres prisioneros, y acuñaron monedas en cantidad de 39 rs., que en aquel acto se repartieron al abandonando en su fuga varias armas, mochilas y mantas. V con la…</t>
  </si>
  <si>
    <t>Gobcmadora</t>
  </si>
  <si>
    <t>…e 1834. GACETA DE MADRID. ARTICULO DE OFICIO. t detenido18261á bien4, deresolverJulio deque1829lo pongay 3 deenAgostonoticia dede 1831V. E.; , y comoenteradolo ejecutoS. M. dehn ti Reina nuestra Señora Doña Isabel ir , y S. M. la Reina. Gobcmadora, Real orden, á fin de que se sírva disponer que por el ministerio de su c-ivo siguen en el Real sitio de Aranjucz sin novedad en su importante salud. se recuerde á las chanciller u» y audiencias e’. cumplimiento Rea les órdenes. Y habiendo manifestado dé nuevo la Dirección general de Hrr.-ji Xtel/’…</t>
  </si>
  <si>
    <t>Gobcrnadora</t>
  </si>
  <si>
    <t>…satisfecha que se halla de su comportamiento , y dell encendido, y lo comunicareis á quien corresponda.=:Est¿ rubricado de la Real de todos los individuos de marina destinados alió que se les den las gracias en] mano de S, M. la Reina Gobcrnadora.=:Ea Aranjuez á 18 de Marzo de 18$4- su Real nombre, v se haga notoria esta soberana determinación en la Gaceta] =A D. Javier de Burgos. del gobierno. De Real orden &amp;c- Dios ¿ce. Madrid 20 de Febrero de 1834. = ' MINISTERIO DE HACIENDA DE ESPAÑA. Figueroa.=Sr. Secretario ds la junta superior de gobi…</t>
  </si>
  <si>
    <t>Gobefnadóla</t>
  </si>
  <si>
    <t>…á sús Reyes, tro compatriota! ha aceptada el manda del ejército, y se espera que y poí los sacrificios que ha hecho á favor de la independencia pro se córten lo* progresos de la insurrección, • pia y la legitimidad dé! tfOno? La Reina Gobefnadóla, que ha - * '»T&lt;tía él pats situáda éfttrc Méjico y Vefácfuz esta infestada tenida siempre por blanco de su gobierno remediar las necesidades dé Andidos organizados en cuadrillas sometidas á gefes que sa públicas, fla querida oirlas dé basca de la misma daeictn por el ór quean casi todas las dilig&lt;…</t>
  </si>
  <si>
    <t>Gobeftta</t>
  </si>
  <si>
    <t>…rtículo de oficio. Logtofio , con calidad de reintegro del fondo de temporalidades de la mitra &lt;fe León. De Real orden 1q drgp á V. ÍS.jjara su snleilgénciay demás efrttfcrscon La Reina nuestra.'Seflora"Doña Isabel ii, y S. M. la Reina Gobeftta- venientes Dios guarde á V. S. muqjíosañdi.Aranjuez íá'ae Nbno de 1854—— dora , «¡giren en el Real sitio de Aranjuez sin novedad en su importante salud. Garelly^eSr. comisionado rqgio tic Alara. Del mismo beneficio drafrutan SS. AA.H.R. les ictznos. Sre*. Infantes. Deseando recompensar el valor y le…</t>
  </si>
  <si>
    <t>Gober</t>
  </si>
  <si>
    <t>…os Espalter y A mi gó.^ José Folguera^S: Fedro Tuyel ~ Francisco Bosch^Jaime gremiales. A mbos escritos se los remito á V. E. -con el sólo objeto de que vea, Carranca. y sí fo donsídera oportuno ponga V. E. en noticia de S. M. la Reina Gober nadora, el excelente espíritu que anima á todos los individuos de los expresa- ¡ dos cuerpos, los cuales forman la miyor masa de los habitantes de esta ciudad. ,F.l subdelegado de la provincial-fe Zamora ha dirigido al ministerio el par* Dios guarde á V. E. muchos anos. Btrcelona 19 de Febrero de 1…</t>
  </si>
  <si>
    <t>…coger los depósitos de municiones zación, á cuyo saludable influjo deben su grandeza y poderío. que el enemigo tenia exultas en sus escabrosas inmediacionas, al mismo tiempo La exposición del Consejo de Ministres hecha á S. M. la Reina Gober que yo con la brigada de Benedivto marchaba por la costa y hacia ejecutar en nadora haciéndole presente lo necesario que es el reunir las Cortes en las cir los punios de E anchove, Nachitua; Hea é Ispeen las órdenes que anticipada—, cunstancias en que se halla la nación, es un documento que hace ho…</t>
  </si>
  <si>
    <t>…tilmente, seducir la valiente guardia nacional, libertad de hecho que ya gozamos, y los demas beneficios adminis pues algunos se han hecho anotar en las listas, para ver si se po trativos que inmortalizarán la regencia de nuestra Reina Gober dían introducir en este cuerpo, y proporcionarse armas. nadora : pero no por esta seguridad de perpetuarlos, que deberemos »Pero uno de los medios mas poderosos, y del que hablaré al trotío, pierden su mérito aquellos beneficios, ni han dejado ni muy poco, porque el Sr. Fulchiron ha dicho casi todo…</t>
  </si>
  <si>
    <t>…Gobierno, después Asimismo se dió cuenta de otra comunicación del Sr. Presidente del Con que tome las noticias oportunas. Hablando de la necesidad de dotar la fábrica sejo de Ministros, en que participaba haberse servido S. M. la Reina Gober de la iglesia de Santiago, me acuerdo haber dicho que tenia confianza,,y espe nadora mandar que quede sin efecto la medida gubernativa del comandante ge raba que el Gobierno lo ejecutaría con el decoró que exije el culto del Señor, neral del ejército del Nono, relativa al confinamiento del Sr. conde de G…</t>
  </si>
  <si>
    <t>…a, pues no tiene un momento de descansó, y solo á esto debe hasta ahora i ho haber sido aprehendido. "Excmo. Sr.: Acaba de llegar una partida del cuartel general: viene ua "Lo que esporo se servirá v. E. hacer presente i S. M. la Reina Gober correo con pliegos del general en gefe que pasa á esa corte, por lo que me abs nadora. tengo de dar noticias á V- E. de la parte de los Pirineos, pues el general ca "Dios guarde á V. E. muchos afios. Pamplona 30 de Agosto de 1834-= gefe manifiesta a V. E., para conocimiento de S. M., la activa pers…</t>
  </si>
  <si>
    <t>…endencia de la nación. dehrémente su protección y ayuda, generosa después del triunfo, y respetando Con motivo de esta comunicación importante, S. M- recibió nuevos da en' el propio enemigo los derechos de la adversidad, S. M. la Reina Gober tos y pruebas de que la posición política de aquellos gabinetes respecto del Go nadora^ dado el testimonio mas público y solemne de que cualesquiera que bierno español no habían cambiado esencialmente; y aunque el desarrollo de sean los ásales que atraiga á la nación el vano intento de usurpar el t…</t>
  </si>
  <si>
    <t>…lo dicho ge [circunstancias, y en todos respiró la mas pura alegría, adhesión constante y neral en gefe á dicha ciudad de Vitoria para ocuparse de varios objetos necesa [gratitud á los beneficios que dispensa la mano augusta de U Reina Gober- rios á la administración del ejercito, v que en el ínterin dejaba encargado al I nadora. brigadier Jáuregui de perseguir v hosti.izar al enetnigo. Pedro-Muiíoz 6 de Diciembre. Fi mismo general en gele hace el mavor elogio del entusiasmo , constancia y sufrimiento de todas las tropas que habían oper…</t>
  </si>
  <si>
    <t>…mal de ^ascendencia, determinó S. M. en el articulo 18 deL expresado Real decreto se suspendiesen los efectos de la circular de 16 de Enero (Continuación del correo anterior.1) , último. Verificada la quinta, y queriendo S. M. la Reina Gober nadora mantener existente en cuanto sea posible la tuerza detallada^ ESTA DOS-UNIDOS. tara el tiempo de guerra en los cuerpos de todas anuas, y dismi- Washington 28 de Febrero. ' ir á la vez el contingente que deba señalarse en el ano próximo aediato para cubrir las bajas que hayan ocurrido en el p…</t>
  </si>
  <si>
    <t>…usurpado mu circunstancias que la han rodeado,hace votos para que vuelvan Jos días bonan chos terrenos de los señalados para caminos, ya haciendo que estos desaparez cibles y serenos de la paz general, en que tanto %. M. como la Reina Gober can enteramente, ya disminuyendo el ancho que deben tener; y que prescri nadora durante el tiempo de su mando, puedan realizar los deseos innatos de biendo el derecho á los 3u años, se acerca la época en que sea imposible sacar su corazón de promover el bien y la ventura de los españoles. del poder…</t>
  </si>
  <si>
    <t>…se le dé publicidad en este periódico. Pablo............ 452 U/6 83 Por faUecimiento*de D. Manuel García Domínguez, quedó vacante la PROVINCIA DE CASTELLON DE tA PLANA. plaza de secretario del Gobierno civil de Cádiz, y S. M. la Reina Gober nadora se ha dignado ascender á ella en 1.* del actual 4 D. Joaquín de ViUat- Con fecha 9 del presente manifiesta su ^gobernador civil que en aquella ba, secretario del Gobierno civil de Zaragoza. capital había entrado la enfermedad en su periodo descendente: que en YriiaTtal casi había cesado el c…</t>
  </si>
  <si>
    <t>…cas de estas ba puede menos de posar esta proposición á la comtsíoa para que de su d’cramen, jas , no solo no ofenderá £ la Nación nuestra memoria , sino que nada tendrá no podemos ocuparnos interinamente de la consignación de ia Reina Gober que desear en puuto á economías. nadora; y me apoyo para esto en el art. 95, que trata del órden progresivo «Se ve, pues, que todos los argumentos presentados ruedan vagamente so que debe seguirse en las discusiones, y previene que no se puede proceder al bre la necesidad de nacer economías; pero n…</t>
  </si>
  <si>
    <t>…brán controvertido, y no una sola vez, todas sus disposiciones. La disposición mas importante del Estatuto Real, monu- La historia de todos los pueblos del mundo manifiesta la nece «tento «temo de la bondad y sabiduría de nuestra Reina Gober sidad dél principio aristocrático en los estados, á lo menos de al nadora , es la división del cuerpo legislativo en dos estamentos, en guna extensión. De las repúblicas de la antigüedad solo dos fueron cargado el primero de representar los intereses morales dé la so- durables, Roma y Esparta, y lo…</t>
  </si>
  <si>
    <t>…ontinuaron persiguiendo al cabecilla y al ministración de justicia y la observancia de las leyes, que se diri resto de su gente en mas de legua y media. B1 resultado de esta bri gen á sostener el órden y la felicidad qpe S. M. la Reina Gober llante acción ha sido matarles 60 hombres, cogerles 10 prisione nadora desea y promueve en beneficio de todos los pueblos de la' ros, rescatar á 9 urbanos de la villa de Carrizoáá que llevaban pre Península. Yo, en cumplimiento de tan honorífico encargo, no sos, después de haber fusilado uno, y apo…</t>
  </si>
  <si>
    <t>…el profesor, cominujrán én cl Real jardíttBtíiáftlÉíó Dicho comandante general de Búrgos, en vista del anterior de esta corte desde el lunes 21 déj, ¿órnente á las cincb de l&amp;taiídcr parte, no puede menos de recomendar á S. M. la Reina Gober nadora al expresado capitán Herrera por su actividad y decisión, ¿ cargo del vkeprofesor de botánica D. José Alonso Quintaníllaí de que le tiene dadas pruebas. MOLSa de cou-BActa.~—Cotizac!oft,de hoy á las tres dt id tardé. Extracto del parte dado por el subdelegado del Fomento de la xFictos Públic…</t>
  </si>
  <si>
    <t>…cnagcnadas. darse después cuenta en el de Sres. Procuradores i Córles; manifestándose de •» Acaecieron después los sucesos que no es necesario recordar; pero sí que este modo las ventajas que lleva el régimen restablecido por la Reina Gober en virtud de un decreto dado en 1.® de Octubre de 1823 se declararon nulo» nadora , en el que las leyes no se hacen en un momento, ni se ven tan expues todos los actos del Gobierno de los tres años anteriores. No calificaré oi la tas á los errores á que está por desgracia sujeto el juicio de un sol…</t>
  </si>
  <si>
    <t>…bargo que las autoridades eclesiásticas y civiles de cooperar firme y sinceramente i tan be el número Je urbanos será arreglado al de habitantes en la proporción de uno neficioso y crUtiaoo fin, han impulsado el ánimo de S. M. Ja Reina Gober por cada ciento que establece el artículo 2.° del Real decreto mencionado. nadora á manifestar á V. E., como lo ha hecho á ios demas prelados de las I Tendréisio entendido, y lo comunicareis á quien corresponde.sEstá rubricado órdenes religiosas que tienen conventos en aquellas provincias, que será…</t>
  </si>
  <si>
    <t>…ndar y dar la carga á los que estaban en 13 plazuela te suceso influyeron extraordinariamente los encargos que al in de guardia con los equipages, mandando al comandante accidental tento V. E. me tiene hechos de orden de S. M. la Reina Gober del escuadrón D. Juan Parejo tomase las avenidas de la población nadora, y la entrada en Portugal de las tropas de nuestra Soberana para que ninguno escapase, sosteniéndome con una compañía. Los Dona Isabel n : al amanecer de hoy me trajo un confidente tan enemigos fueron sorprendidos como esperaba, ha…</t>
  </si>
  <si>
    <t>…igilar de cerca cesado las causales que motivaron !a creación de la junta reservada de Estado ei desempeño de los jueces inferiores, como también de reprimir á Jos crimí en Julio de 18*23. Én su consecuencia se ha servido S. Mt U Reina Gober nales con la mayor prontitud de los castigos. En consecuencia, después de exa nadora suprimir dicha junta, mandando que todos sus índices y papeles se re minados los planos, estados, memorias y provectos, que con tan importante mitan á csu Secretaría del despacho de mi cargo , para que, previo su r…</t>
  </si>
  <si>
    <t>…de hacer dístín- el Real pendón, proclamando por nuestra augusta Soberárta á la Señora Dó*3 ciort entré el jurado y la magistratura, propone que en lugar de la frase que Isabel n en debida observancia de U Real carta que S. M. la Reina Gober proponen los'Sres. Salverte yPortalís, se ponga la energía de la magistratu nadora tuvo a bien dirigir con fecha 18 del mes de Octubre próximo anterior. ra y del jugado. * p Se verificó este grandioso y respetable acto siguiendo el estilo y colúmbre de El Sr. Salverte dice que adhiere i la idea del…</t>
  </si>
  <si>
    <t>Gober, Regenta</t>
  </si>
  <si>
    <t>Regenta Gober</t>
  </si>
  <si>
    <t>…idad acreditada pueden y la lealtad de sus súbditos, habiéndome proporcionado por su conducta la ayudarle en la grande empresa de reformas saludables , que necesariamente de gloria de poderlo asi manifestar en justicia á S. M. la Reina Regenta Gober ben producir los frutos benéficos de la pública prosperidad , mira en el valien nadora, como lo he hecho siempre; y ahora con esa experiencia, espero con te ejército español, que por tantos títulos se ha hecho acreedor á su bondadosa entera confianza que el ejército de la isla de Cuba continuará si…</t>
  </si>
  <si>
    <t>GoberilidAra</t>
  </si>
  <si>
    <t>…as de las desagradables ocufréticíds del dia. 17 del vomasúlmacenplezas deestxde músteiÓperacarrerase publicaránde S. Gerónimo,en la Liranúm.de23,Apoloy enyel/Ecode Hermoso.de la óperaLJ*itade 7 jnefyyr,];ii7«»oluciqn de $. ÍA^ W Reina GoberilidAra de aplicar í liana. . 1 . ^ : l^ÉWiSiifirróy.i^flyé^'y Í.«j*¡p4i¿mlíj^'.todo^.érrTgor;;8é'las t«yár{/d.) —Debiendo celebrarse en el dia 1&gt; del corriente en Ja sala de la dirección de minas el segundo remate para el arrendamiento por dos años del Importe de la tÓíntVítfifcíon del cinco por ciento de Io…</t>
  </si>
  <si>
    <t>Gobermdora</t>
  </si>
  <si>
    <t>…nodibre Doña María Cristina de Borbon, como Reina Gobernadora cencia ó literarios, serán impuestas sobre otras rentas eclesiásticas. durante la menor edad de Mi excelsa Hija, i todos los que las' pre Sanciono, y ejeeútese.=Yo la Reina Gobermdora-=Está rubrica sentes vieren y entendieren, sabed: Que habiendo juzgado conve do de la Real tau|iio.=En el Pardo á S de Noviembre de 1834-~Como. niente al bien de estos reinos presentar á las Cortes generales, con Secretario de Estado y del Despacho universal de Gracia y Justicia nttealo á lo que pre…</t>
  </si>
  <si>
    <t>Goberna</t>
  </si>
  <si>
    <t>…primeros y 29 de ios últimos. blico por bando ó en el Diario el dia en que se ejecute , y concur Merecen recomendación particular los heridos para las gracias á que los considere acreedores la munificencia soberana de la augusta Reina Goberna riendo á ella en cuerpo el Ayuntamiento; y para que Jo avise igual dora; También son dignos de igual recomendación los que mas se han distin mente á los Prelados de las comunidades religiosas, al Vicario ecle guido , sin que dejen de ser acreedores al Real aprecio de S. M. y benevolen siástico y de…</t>
  </si>
  <si>
    <t>…dole de los Monar por voluntad de vuestro augusto Esposo (Q. E. E. G.) ejerció V. M. interina cas ingleses fue variando en su aplicación, hasta que sucesivamente los Parla mente la potestad suprema, como desde qtjte en calidad de Reina Goberna mentos fueron declarando derechos y consolidando asi la libertad. Donde hay dora preside V. M. a los destinos de este jais. V. M- le ha puesto en el ca derechos hay constancia en la libertad, y se afianza cada vez mas esta. Asi pues mino de las reformas saludables y restituídole su antigua libertad…</t>
  </si>
  <si>
    <t>…al valor que le hu El Sr, Presidente del Consejo dé ministros me dice con fecha de biese dado. 1? del actual lo siguiente: Art. 6? Para el gobierno económico y administrativo de la so -Ocupado incesantemente el ánimo de S. M. la Reina Goberna ciedad habrá cuatro directores, un contador y un tesorero. dora en procurar el bien estar de la Nación, que las leyes funda Art. Ti Estos destinos serán electivos por la sociedad, y se des mentales de la Monarquía y la voluntad de su augusto Esposo empeñarán gratuitameute por dos años, eligiéndose…</t>
  </si>
  <si>
    <t>…leales defensores de Poetes recibidos en la secretaría de Estad9 y del Dtspaeko de la Grucrro. Isabel i i. No puedo menos de elogiar á V. E. la conducta de este oficial v su tropa, para que se sirva ponerlo en noticia de S. M. la Reina Goberna sñfh que las divisiones del general Córdoba y brigadier Oria se di dora. Dios &amp;c. Valladolid 2 de Diciembre de 1834^sE*cmo- $rc=Jose Ruchas rigían desde Salvatierra á cubrir la marcha del importante convoy de vestua Excmo. $r. Secretario de Estado y del Despacho de la Guerra. rios y otros efectos q…</t>
  </si>
  <si>
    <t>…aj ....... • A ... • j Í77J DE l;:3'•■&gt;•’! ARTICULO DE OFICIO. NXNISTEHIO DI HACIENDA DE ESP Ai? A. Real orden prescribiendo las reglas que deberán observarse par.a el resnteg# I La Rbíma miestr»'Seffbra Doña Iíádbi n, y S. M. la Reina Goberna • de varias cantidades exigidas por el gobierno constitucional en calidad dt¡ dora , siguen sin novedad eB su importante talud. préstamo forzoso. .. ; , */| ÍJel mitmo beneficio díifrutan SS. AA. RR. los Sermo». Srea. Infante*. He dado cuenta á S. M. la Retna Gobernador* ífeFéipedicnto promcvujj do por…</t>
  </si>
  <si>
    <t>…portante que se ha ofrecido para concurren en ellos las calidades que prescriben las ordenanzas ds poner á prueba la medida de la división territorial, ha correspon este instituto. dido dignamente á la alta, previsión de S. M. la Reina Goberna— doré. Y este resultado es tanto mas precioso, cuanto es mayor en el bolsa de CQUKH.C10.—Cotización de hoy á las tres de la tarde. día lq Urgencia de aumentar nuestras fuerzas contra una facción, que? negándose á Roclos los principios de religión, humanidad y de EFECTOS PUBLICOS. recho público, y h…</t>
  </si>
  <si>
    <t>…nuestra Señora Dona IsAZEt.ir, j S. M. la Reina conservar los derechos antiguos j públicos» en pjraq -goseskjp s?'ba Gobernadora, siguen en el Real sitio de Aran juez sin novedad en ilan he huertas de Murcia y Ülnhuela, $. Jl- Ja Reina. Goberna su importante salud. dora fia tenido á bien resolver que ni el expresado D. Gine'Vácarcel ni otro individuo n cuerpo alguno pueda extraer las aguas Peí mismo beneficio disfrutan SS. AA. RR. los Sermos. Se del rio Mundo, reservándole sin embargo el derecho que crea, asis ñores Infantes. tirle para q…</t>
  </si>
  <si>
    <t>…sfruta S. M. la Reina Gobernadora en el Rea! palacio de Riofrio. También goza de perfecta salud en el expresado Real sitio la Serma. Sra. Infanta Doña María Luisa. Por Real decreto de‘2Gde Junio último se sirvió concellerS. M. la Reina Goberna lora honores de ministro togado de la Real au diencia de Sevilla á D. José Rivero de la Herran. ' . MINISTERIO DE LA GUERRA. Beales órdenes. S. M. me .manda remitir á V. E. el índice adjunto de las dife PARTE NO OFICIAL. rentes disposiciones y resoluciones que se lia dignado dictar para la incorpor…</t>
  </si>
  <si>
    <t>…e reconocer como' legíti ticulo: ¡juráis fidelidad y obediencia á la Reina nuestra Señora Doña Isa mo todo lo bueno que se haya hecho; se afana por plantear ó adoptar rodas bel ii, jr en su nombre durante su menor edad á S. M. la Reina Goberna las reformas útiles , vengan de donde vengan; pero no quiere irritar, cuando dora! Yo digo defender -, no es lo mismo fidelidad y obediencia que defender trata de que su misión sea la de olvido, de transacción, de reconciliación ge— ' ti trono. Otra equivocación es, que en la ley francesa, después de e…</t>
  </si>
  <si>
    <t>…onsejo de Minis midos de la obligación de asistir al Estamento, cuando el desempeño de su em pleo no se lo permita; y que para que conste í la secretaría, se pida á la Ma tros, en que participaba haber puesto en manos de S. M. la Reina Goberna dora la contestación del Estamento al discurso de apertura. yordomea mayor una lista de los Sres. Proceres que se encuentren en este caso.” Se suscitó una ligera discusión sobre si debían ó no omitirse las palabras Se levantó la sesión á la una y media, señalándose para la de mañana-la • • • • ”sea…</t>
  </si>
  <si>
    <t>…o algunos Sres. Pro adoptásemos el voto del Sr- Samponts; pero dándole otra forma, es decir, se curadores*; f 'habiendo cedido él gobierno por su parte I lo qué propone Ja ñalando 2l) millones á la Reina nuestra Señora, y 12 á la Reina Goberna misma comisión, creo que sin sér ptófeta, y por el sencillo cílculo de las pro dora; y á mí parecer no podríamos dar á esta una prueba mas evidente de nues babilidades , pedia pronosticar la resolución de la mayoría del Estameato,si tro filial amor que señalarle igual suma que el Sr. Rey D. Fernand…</t>
  </si>
  <si>
    <t>…ci yas , secretario. sión y lealtad á la Ruina nuestra Señora, influye poderosamente-en la destruc ción de las gavillas rebeldes que han osado presentarse, asi como el ardor e in Los subdelegados de Fomento, nombrados por S M. la Reina Goberna fatigable zelrt de-Us tiopas, renueva frecuentemente los triunfos de su constante dora , según se anunció en este periódico , van llegando á las provincias en que fidelidad, en cuva prueba debo decir á V. £. que el comandante P. Antonio deben ejercer suS funciones , y empiezan i desempeñarlas despu…</t>
  </si>
  <si>
    <t>…a de Val-de-Castrados, generales y gefes militares, y extraordinario número de personas dis tro que domina el pueblo, y ofrecía una brillante posición , en la que hicieron tinguidas que fueron .á cumplimentar á SS. MM. la augusta Reina Goberna alguna resistencia, pero infructuosa , pues atacados por todas partes con orden é dora y su excelsa Hija. intrepidez se pusieron en precipitada fuga y completa dispersión. La capital celebró también tan fausto dia con iluminación, salvas de arti Viendo que los facciosos huían en pequeños grupos por…</t>
  </si>
  <si>
    <t>…valiente, que por sí mismo mató 3 facciosos, cu- 22 238 29 9 270 5 31 yb mérito particular recomiendo igualmente á V. E. para que ,si lo tiene á 23 134 37 16 287 11 27 bien, se digne elevarlo al superior conocimiento de S. M. la Reina Goberna dora, á fin de que asi á este como á los demas de que llevo hecho mérito, se digne darles la recompensa á que su notoria generosidad Ies estime acreedores. 1 Y me apresuro á trascribirlo á V. E. para su superior conocimiento y demás Quedan existentes para el dia 24,249. fines que estimé oportunos.…</t>
  </si>
  <si>
    <t>Gobernado</t>
  </si>
  <si>
    <t>…quiso hacerlo: y motivo hubo iluminación, fuegos artificiales y canciones acompañadas de mú habiendo llegado después un sargento y 12 soldados que á la sazón se hallaban sica en loor de los sábios decretos expedidos por S. M. la Reina Gobernado en el pueblo , é intimado la rendición, también se resistió á hacerlo; y por ra, principalmente los relativos á la unión y concordia de los españoles. ultimóse pegó un tiro el mismo, entrándole por el oido derecho y saliendo Hilo 1 3 Je Febrero. por lo alto de la cabeza. E*ie facineroso es el capit…</t>
  </si>
  <si>
    <t>…tículos.mas tonioVila Cedrón.Becerril de Hinojoisa, y para la alcaldía mayor de .Mantilla® i IX Joan sin embargo advierte que ha dejado un^ vacío en el artículo 12, que trata de A consulta de la Cámara ha tenido i bien nombrar la Reina Gobernado-.</t>
  </si>
  <si>
    <t>…acho de Gracia y Justicia. el cudí con la cárcel, conforme al texto de las leyes musulmanas, y á quien la autoridad francesa ha creído deber libertar de este castigo ; circunstancia que Habiendo toipado en cofrpideracion S. M. la Reina Gobernado ha ocasionado la destitución del juez indígena. ra las dudas 5cque lia dado lugar la inteligencia del artículo 2K del El Pueblo soberano refiere el mismo hecho con circunstancias muy di Real decreto ¡le IR de Febrero de 1824, promulgado en Real cédula ferentes. «Hé aquí una anécdota de que se ha ha…</t>
  </si>
  <si>
    <t>…han mejorado muchos de estos establecimientos, y se ha es Lo que tengo el honor y satisfacción de manifestar á V. E. tablecido una escuela normal gratuita á cargo dei profesor D. Ber para que se digne hacerlo presente á S. M. la Reina Gobernado nardo Díaz'Malo. ra, como que los habitantes de los pueblos déla raya de este partido El subdelegado trata ademas de restablecer la sociedad econó de mi mando, luego que supieron la invasión de los facciosos, sa mica de Talavera de la Reina, para lo cual se instruye expediente. lieron contra ellos…</t>
  </si>
  <si>
    <t>…por la anulación com cidos; de que"se trataba de que hubiese unidad de sentimientos, españoles y pleta inmediata. Pero los individuos que rehúsan votar esta nulidad hacen un raRuina Isabel? Pero tanta nobleza en la conducta de la Reina Gobernado ciocinio generoso: es verdad, dicen, que tu origen es vicioso, que se empleó ra, tan noble confianza no bailó simpatías en ciertos pechos bastardos: apenas mal el producto; pero á un honrado padre de familias que ha tomado los bo tomó las riendas del Gobierno, un partido corrió á las armas, enarbol…</t>
  </si>
  <si>
    <t>Gobernado-'</t>
  </si>
  <si>
    <t>…deración , y áun injusticias k muchos vendedores de tas, y solo del capital, roas no de los réditos* bienes vinculados. Esta razón, y la de no ser yo' interesado en la cuestión, «Para reparar una injusticia tan chocante* S. M. la Reina Gobernado-' por no haber sido comprador ni vendedor, me hace que tome U palabra en és ra, luego que fue llamada por fallecimiento de su augusto Esposó á tomar las ta discusión: cuando las grandes revoluciones prodúcéa cn las naciones un tras riendas del Gobierno, dispuso quedase sin efecto dicha Real cédula en…</t>
  </si>
  <si>
    <t>Gobernadoj</t>
  </si>
  <si>
    <t>…eatro gene l do líluidobro, capellán dé honor de S. M., tuvo la honra de ser admitida el ral de la guerra que se describe. Se halla en el despacho de la Imprenta Real.* 4 |-d«a'-27 de Enero último á besar la Real mano do S. M. la Reina Gobernadoj »a y y felicitar la-por el advenimiento al trono de su excelsa Hija Doña Isabei ii. maniíató su Real aprecio con la bondad, dignidad y dulzura que la Los suscríptores á la obra Diccionario enciclopédico de Teología de Mr. Btrgier, I «adarartiaan. É pueden acudir á las librerías donde esten suscrito…</t>
  </si>
  <si>
    <t>Gobernador</t>
  </si>
  <si>
    <t>…vadidos no se tenia noticia ea ú capital el día 25 del propio mes, y en el resto dc la provincia no ocurría novedad. . Programa de la Jleal sociedad económica Gaditana, , PROVINCIA Pfi JAEM* Invitada esta Sociedad ccoaómñm por el Sr. Gobernador civil para que ' Avis* *n g&lt;Aenítd&lt;^ tívfli cotr^tcha 22 dél corriente, que el cÓlor*. ha- ' exponga su dictamen acerca del establecimiento en esta ciudad de un, asocia bit enviado m m periodo descendente en la villa de Porcuna , pues desde 17 i ción de socorros mútuos, eñ la que contribuyendo sus…</t>
  </si>
  <si>
    <t>…es. Dios guarde Presburgo ó en Raab un depósito general para lás mercancías procedentes del á V. S. muchos años. Madrid 30 de Noviembre de 1834~Moscoso.= Norte y del Sur de la Alemania; y trasportarán las que se destinan á ser em Sr. Gobernador civil de la Coruña. barcadas, desde Viena hasta el depósito general, unos carrusgos de vapor por medio de un camino de hierro, que debe construirse en toda esta distancia. La sociedad, en caso de urgencia, ha formado el proyecto de extender la nave gación desde Constantinopla hasta Trebisonda. El e…</t>
  </si>
  <si>
    <t>…io de 1834- — Antonio Gil, secretarlo. y 28. Roca-Ud=m 2$ Notas.Gr“''d0 61 ?2 4 • nou* *....».) 1. a La adjudicación de estos premios se hará en 24 de Julio del siguiente PROVINCIA IB MADRID. año de 183$ , dias de nuestra augusta Reina Gobernador*. 2. a El término para la presentación de las memorias será precisamente Parte sanitario Je Valleeae. • hasta fin de Junio del siguiente año de 183$. Enfermos existentes ayer 2 de Julio, 30. 3. a Las memorias tendrán un lema ó señal que será igual i otro de un pliego cerrado, en que exprese el nomb…</t>
  </si>
  <si>
    <t>…stros , fechas'de 6 y 8 del corriente, comunicando por el prl- Estado y del Despacho que en cumplimiento de lo prevenido en el fistarvlci mroque para el día de hoy debía pasar la exposición respectiva al ministerio Real, S. M. la Reina Gobernador» le mandaba presentar amopainta de ici'cargo ; y el segundo, que conforme á lo que S. M. te dignó anunciar concerniente al estado de la Nación con las Potencias exlrangcras , cuy*, trt en el discurso de apertura, habia mandado.se presentase al Estamento de ilus ■noria y documentos se mandaron impri…</t>
  </si>
  <si>
    <t>…e los benéficos objetos que anhela mi solicitud terior, se prosigue con la mayor actividad, gracias al zelo de los señores Pa para estas provincias , siguiendo el ejemplo y las instrucciones de nuestra in res instructores. mortal Reina Gobernador^. v El mismo tribunal se reunió el 21 á las doce en Cámara de consejo pa «Con el lenguaje militar expreso mis sentimientos; con la sinceridad de mi ra fallar en virtud de una requisitoria del Sr. procurador general del Rey, corazón- invito á las autoridades de estas provincias á segundar mis intenc…</t>
  </si>
  <si>
    <t>…s correspondientes. Dios guarde ácendio de parte de la iglesia, én el robo y destrucción de casas par V. S. muchos años. Madrid 10 de Diciembre de 1854.=Moscaso.=ticulares y en la escandalosa perpetración de los ultrages mas inhu Sr. Gobernador civil de Albacete.manos, se ha servido §. M. la Reina Gobernadora mandar, que el comisario régio de Navarra D. Florencio García Goyena por sí, ó (!) Léase tn articulo de Madrid «1 pane en t^ue se da cuenta de los alentados ce*», nombrando un letrado y escribano de Acreditada lealtad, actividad y me…</t>
  </si>
  <si>
    <t>…la Confederación $uÍ2a. Inmediatamente han pedido .V E. para su inmediata publicación en los parages acostumbrados. ú todos los gobiernos cantonales, que de antemano habían sido invitado* á en Madrid 18 de Julio de 1854.=Moscoso.=Sr. Gobernador civil de es viar sus diputaciones 4 la Dieta ordinaria dei año de 1834» &lt;?uc *e reunirá ta provincia. dentro de pocos dtas, den á aquellas las instrucciones que crean oportunas res pecto al contenido de dicha nota. / . . .. ha recibido, y la Confederación reetbtri con 1* ■■ &gt; - -y. lí :■ 1 ■ , ■*■■…</t>
  </si>
  <si>
    <t>Ndbto. 10. Martes 21 dé Enero de I83¿. GACETA DE MADRID. ARTICULO DE OFICIO. á cualquier punto del reino que le acomode, sin otra formalidad que la de ha I* Reina nuestra Seftora Dofia IsajEi n, y S. M. la Reina Gobernador», cerse inscribir en el gremio del pueblo de su nueva residencia. iiguctl sin novedad en tu importante talud. 8. * Todo individuo puede ejercer simultáneamente cuantas industrias posea, sin otra obligación que la de inscribirse en los gremios respectivos á ellas. Dd mismo beneficio dk&amp;uUn SS. AA. R…</t>
  </si>
  <si>
    <t>…; tomando una posición conveniente el rato de lq infantería. Procuradores , decidió la tuerteen favor del Sr. González. Concluida esta elec La facción viéndose perseguida se dividió marchando los de 4 pie por la ción se retiró el Sr. Gobernador civil con su Secretario, y el Presidente y Se sierra, y la caballería no atreviéndose á subir par la montaña) continuó su cretarios interinos se colocaron en sus respectivos puestos, nombrando acto fuga por la izquierda; pero habiendo sido alcanzada por la nuatra , aunque continuo la Comisión inter…</t>
  </si>
  <si>
    <t>…n &amp;c. Dios &amp;c. Madrid 29 -de Marzo de 1334«3úrgos. -un entusiasmo tan decididos y dignos de ser imitados,, se deben también en amicha parte al interes natural que inspiran en. todo corazón bien nacido la He dado cuenta á S, M. la Reina Gobernador:, de una exposición del sub horfandad é inocencia de la tierna Isabel, y las virtudes y temprana- viudez de delegado de Fomento de Toledo en solicitud de que S. M. se digne reducir en su incomparable Madre Cristina ; por cuyos legítimos derechos deben estar la subasta de arrendamiento del teatro de…</t>
  </si>
  <si>
    <t>…de¡ todn insignificantes. (Oateta de Augebargó.') MINISTERIO DE HACIENDA. Real árdea. 1 • • rver ateua. A consecuencia de lo expuesto por V.',S. en 20 del próximo pa Landres 11 de Setiembre. sado, se ha servido declarar S--M. ia Reina Gobernador*, que solo Ha habido últimamente varias reuniones de parroquias, en las cuales se en el caso de que los empleados encausados sean plenamente absuel- ha decidido que »c nombrarían jcnrasi pira vigilar fas opei'aci' mes de los co tos por semencia definitiva del tribunal-que ir» juzgare, tendrán misar…</t>
  </si>
  <si>
    <t>Gobernador, El</t>
  </si>
  <si>
    <t>El Gobernador</t>
  </si>
  <si>
    <t>…sortto de este dia , inelusas las das aproximaciones. ■ Et capitán general de Castilla la Vieja-con fecha 2 del actual desde Búr— NÚMBaOSs —.PREMIO?. atDMtNisrnAciqirÉa. gosremitei este ministerio el parte que sigue t »» Exento. Sr.: El Gobernador civil de Logrofio-con fecha 30- de Junio último me dice 1 o,siguiente: Excelen- 6733.. 8000 ps, fs. Vajeada» tfsióto-Sr.: Desdb el üt imo parte que tuve el honor de dirigir ¿ V. E.,con fe 23.327.. 1000______ ftatcclona. cha 27 del corrientes, beredbido varias coa testaciones que atestiguan el exce-…</t>
  </si>
  <si>
    <t>Gobernador, Enterada S M la Reirá</t>
  </si>
  <si>
    <t>Enterada S M la Reirá Gobernador</t>
  </si>
  <si>
    <t>…Reales órdenes. (Q.ELE. G.): con el objeto «le acudir á remediarlos se formó on volu \ minoso expediente, en el que resulta¡ según los 'informes de mu chas personasy corporaciones ilustradas y amantes de la prosperidad, Eicttló. Sr.; Enterada S. M. la Reirá Gobernador* de los fe nacional, que deben desaparecer tales privilegia como incotnpati- lices resultados que ha producido, y continua produciendo en lá ma btea óa» la justa protección'qúe merecen todos los españoles que dé yor parte’de los Estados de Entripa da itustraite "prutttecíon qae iu» ambos hemisferios se…</t>
  </si>
  <si>
    <t>Gobernadora</t>
  </si>
  <si>
    <t>/ Núm. 15. Sábado I.° de Febrero de 1834. GACETA DE MADRID. ARTICULO DE OFICIO. Exposición 4 S. M. la Ríijca Gobernadora. La Reina nuestra Señora Doña Isabel n, y 5. M. la Reina Gobernadora, Señora - Si el sentimiento de la pérdida de un objeto guarda ■a*, r’oporI siguen sin novedad en su importante salud. cion con el amor que se le profesaba y coa los bienes■ que de el se c btemer.; v Del mismo beneficio disfrutan SS. AA. RR- los Sermos. Sres. Infantes. si también sucede que la afecc…</t>
  </si>
  <si>
    <t>…terar la existencia de los Estados de Italia; asi al fomento de la agricultura, artes y comercio de, las provincias limítrofes. y confia &lt;^ue si alguna vez se intentase, el Santo Padre imitaría la conducta fir Complacida S. M. la Reina Gobernadora, admitió la oferta del R. obispo de me de Pío vii, que se negó constantemente á adherir á la confederación ita Sigiienza, mandó que se le diesen gracias en su Real nombre, que concluido ei liana , proyectada por Napoleón. puente, llevase el nombre de Puente del Obispo, v se colocase en el una lapi…</t>
  </si>
  <si>
    <t>…relativas- á lo* 1 en las oficinas del extinguido Crédito público,y en ¡as contadurías ds las estudiantes prusianos. , pTOVinciaiJ* 1. * "Fuera de la época de vacaciones ningún estudiante fe la* universida Conformándose S. M. la Reina Gobernadora con los dictámenes dados des del reinó podrá obtener permiso para viajar. l óót esa Dirección getieral, por la contaduría general ¡fe Valores, por el direc- 2. * "Podrá concederse éste permiso, Como Un* excepción i la regla , siem ftot fe la Real caja di Amortización, y antes de ahora pot el Conse|…</t>
  </si>
  <si>
    <t>…l correspondiente expediente , después de haber abjurado ídem de los diputados___JV.rron de ídem. sus errores ante el Sr. vicario eclesiástico de Madrid en la iglesia de S. Igna cio de la calle det1 Príncipe, se sirvió S.’' M. la Reina Gobernadora señalar Juran, y toman asiento dos diputados. Continúa la discusión que ayer que el expresado domingo para qtíe en la enunciada parroquia de S. Ginés, en cuya dó pendiente. El Presidente lee el art. S.°, por el cual se concede al gobierno* demarcación habitan la Doña Amalia y su esposo, se celebras…</t>
  </si>
  <si>
    <t>…a i Indias, creado por decreto de 24 del presente, Marzo de 1 B34-=A D. Nicolás María Garelly. vengo en nombrar i D. Martin Fernandez Navarrete. Tendréislo «•tendido, y bt coawnurei» 4 quien corroponda-sEsti rubricado ■ ' R M. la Reina Gobernadora, én nombre de su augusta Hija</t>
  </si>
  <si>
    <t>…res. Para la caballería el punto de residencia del cuarto escuadrón será el se Circular Á leí capitanes y comandantes ¿(rurales de provincia. ñalado para depósito* J desde luego debe pasar á él todo lo que se Excmo- Sr.: S. M. la Reina Gobernadora deseosa de emplear previene para la infantería. en las operaciones activas á que puedan dar lugar las circunstancias BaSages- Los gefes marcharán á caballo, y también podrán para destruir los planes que desarrollan los enemigos del trono de hacerlo los ayudantes en razón de la mayor fatiga á que lo…</t>
  </si>
  <si>
    <t>…ndices de sastre contra quienes sus maestros habian dado algu En vista del primer artículo inserto en el capítulo de Madrid nas quejas fueron expulsados de la ciudad. Pero no habiendo obe del Boletin de Comercio de ayer, S. M. la Reina Gobernadora, decido la orden dos de ellos, se les volvió á dar de nuevo para,qué oido el dictamen de su consejo de señores Ministros, se ha servido saliesen , con cuyo motivo sus camaradas en número de 33 sé re mandar que desde hoy quede suprimido dicho periódico. Lo que de unieron diciendo que querían partici…</t>
  </si>
  <si>
    <t>…la liber último adopta las mismas bases del de Burdeos con afgppas excep tad. Porque nada menos que tan gloriosos y. felices resultados se ha ciones, y declara que por los conocimientos prácticos, ¿poyados en .propuesto S. M. la Reina Gobernadora y su ilustrado gobierno. los principios de economía política , ha llegado el caso de la eman Para conseguirlos, es necesario ubk al amor del bjqn.que cipación del comercio , si no de un modo repentino, 4 lo menos gra medita los beneficios, y al talento y actividad que crean, las dis dual y progresivo…</t>
  </si>
  <si>
    <t>…ea el arreglo definitivo del, sistema judicial de Portugal, terminada tan felizmente y con tanta gloria de los ge de que os estáis ocupando, me consultará por terna para los empleos nerales y soldados &lt;le aquel ejército. S. M. la Reina Gobernadora de judicatura y piezas eclesiásticas, tanto de España como de Indias. quiere que V. S. dé la mayor y mas rápida puldicidad á estos suce 6? Comunicará á quien coi-responda los nombramientos que yo sos para la satisfacción de los que jamas han dudado -del triunfo de tuviese á bien hacer, ya sea á consul…</t>
  </si>
  <si>
    <t>…ó vtol. 4 varias do Ucátédra de química, aplicada á las artes, erigida por el Sr. D. Fernan Títulosfs., vol.al portadory firme. del 4 p. 100, y 4 al contado: 60, g, |, 4 . i, t y 60 do vir (O- E. E. G.), y promovida por S. M. la Reina Gobernadora , y Vales Reales no consolidados, 18}, 18 y 181 si contado: 18}, 18, 17}, 18} y 18 k va puesta bajo la inspección de dicha sociedad. Fue lucidísimo el concurso que asis rias fs. ó vol. ■ tió i este acto. Id.Deudasin negociableínteres, 10 del¿d. $id.p. 100 4 papel, 18 p. 100 al contadb. .Él Sr. vice…</t>
  </si>
  <si>
    <t>…demas del. reino.' Su indecisión en adoptar las medidas Real orden. , sanitarias que convengan, las consideraciones-de ninguna clase que puedan retardar ni un solo instante suejecucion, la confianza en di ~u He dado cuenta ir la Reina Gobernadora del erpediente promo latar para mañana lo que hoy pueda realizarse, todos serán contra vido por, D. Henriqué Koose y Dr Matías Huelin , apoderados deJ co ellas juntos motivos de reconvención, tanto mas graves, cuanto en mercio de Málaga, en solicitud de que se alce la prohibición que mí hallarán todos…</t>
  </si>
  <si>
    <t>…El del Mediodía tiene á su favor al Norte, la Bélgica , al de los cuales se propone el Sr. Rodríguez Busto implorar la inagotable com Este, la Suiza y tus fronteras están en el Mosa y en el lago de Constanza. La pasión de ¿ M. la Reina Gobernadora. adhesión de la Bélgica y de la Suiza al sistema del Mediodía es un hecho reali Procura reunir noticias circunstanciadas acerca de los baldíos y montes de zado, y lodo lo que viniese á perturbar esta unión, á procurar destruirla , á so arbolados que hay en la provincia. licitar que pasaran estos dos…</t>
  </si>
  <si>
    <t>…decisión de las; Cortés , y les hace justicia creyendo que esta de pañabaparael uso del [Estamento 200 .ejemplares del discurso, leído,por S. M, cisión será digna de ellas. Los Próceires del Reino corresponderán por su parta, Ía-REINA. Gobernadora en, la sesión Regia tío apertura de las Cófles. Señora , á está alta y honorífica confianza. Las leyes , la costumbre, ef reconocáIgualmente se leyó otro oficio del Excmo. Sr. Secretario de Estado .y def zniento nacional, 7 sobre todo ¡i conveniencia pública, tienen ya «orno an I&gt;eípscbcr de Grac¡a…</t>
  </si>
  <si>
    <t>…y de las del partido, cuyos intereses acaba de abrazar. La población, generalmente hablando, está contra él; y en Tampicu Real orden. la Oposición se ha declarado abiertamente; pero hay en Veracruz un partido He dado cuenta á la Reina Gobernadora de una instancia de qu- le es favorable. Santana tiene en la ciudad dos millones de dolars, que se Doña ¡María Antonia de Soria, acogiéndose bajo su Soberano ampa propone enviar por la costa cuando tenga bastantes tropas para escoltarlos. ro, como viuda de D. Felipe Arquimhau, teniente que fue del re-…</t>
  </si>
  <si>
    <t>…ión y documentos que La acompañaban, informase si y de lenguaje. A la notificación que le hizo nuestro plenipotenciario de las procedía ó no la declaración solemne á que termina, de deberse excluir á di Reales órdenes de S. M. la Reina Gobernadora, relativas al mismo objeto cho Sr. D. Carlos y toda su linea del derecho de suceder en la corona de Es que las anteriores, contestó: «que las circunstancia* habían variado compictapaña , siente todo el peso de la gravedad de este asunto; pero los documentos «mente; que nadie tenia autoridad para ma…</t>
  </si>
  <si>
    <t>…n hospital que se llama de los do, que cabalmente el actual ministerio es el que por sí propio , muy luego que Lazarinos, destinado á enfermos leprosos, de los que aun se conservan algunos fue honrado con la confianza de S. M. la Reina Gobernadora, se ligó á sí mis vestigios , aunque en lo general haya desaparecido tan cruel enfermedad; mo las manos para no proveer las prebendas vacantes ,á cuyo fin dió un decre cuyo hospital se sostiene con una pensión de 1009 rs. vn. impuesta sobre los to en los primeros dias de su administración , prohibi…</t>
  </si>
  <si>
    <t>…itir por ahora toi ministro de la Puerta, que tienen por objeto, según se dice, un tratado de co libros permitidos que procedan del extrangero. mercio entre ambas potencias. La peste sigue haciendo estragos y arrebatando S. M. la Reina Gobernadora se ha enterado de la erposicion víctimas hasta en las clases mas elevadas. (Gatita dt Augi burgo.) de V. SS. de 26 del actual sobre las reglas que podrían adoptarse SOSIA. para admitir y despachar en ,las aduanas habilitadas los libros usa dos y los efectos pertenecientes á equipagesde las personas…</t>
  </si>
  <si>
    <t>…oticia de haber aparecido el cólera en el Con motivo del fallecimiento de S. M. I. el Sr. D. Pedro de Braganza, pueblo de la Bastida, ha manifestado que costeó de su bolsillo cuantos medi regente de Portugal, ha resuelto S. M. la Reina Gobernadora que desde hoy camentos pidieron los facultativos; y complacida S. M. al ver su celo y despren l.° de Octubre se vista la corte de luto por tres meses, el primero rigoroso y dimiento en esta ocasión, se ha dignado mandar se le manifieste asi, y que se los otros dos de alivio. haga mención en la Gace…</t>
  </si>
  <si>
    <t>…ueves 2 de Enero de I83¿. GACETA DE MADRID, ARTICULO DE OFICIO. Excmo. Sr.rzFrancisco, obispo de Mondoñedo.rzExcmo. Sr. D. Juan Gualberto González, Ministro de Gracia y Justicia. La Reina nuestra Señora Doña Isabel u , y S. M. la Reina Gobernadora, siguen sin novedad en su importante salud. Excmo. Sr. : A su tiempo recibí el juego de monedas acuñadr-. c^n rro't'vo de la proclamación de la Ruina nuestra Señora Doña Eabi.i i i que Y. E. m * Del mismo beneficio disfrutan SS. AA. RR. los Sermos, Sres. Infantas. remitió de Real orden en 3't del a…</t>
  </si>
  <si>
    <t>…lado &amp;c. Dios &amp;c. Madrid 16 de Marzo de 1834-=Ja- , , Reales órdenes. vier de Burgos. ,■ El Sr. secretario del Despacho de Hacienda con fecha 17 de MAYORDOMEA MAYOR. Febrero me dice lo que sigue: Real orden. » He dadp cuenta á la Reina Gobernadora del expediente pro movido por la junta de comercio de Santander y por varios co Exeme. Sr.: S M. la Reiva Gobernadora en consi leracion á merciantes de Barcelona y de Zaragoza, en solicitad de que suspen Jiaber trascurrido el medio año de luto" riguroso que se vistió con diéndose por las razones que al…</t>
  </si>
  <si>
    <t>…ciudades y villas de considera- , ble población, en las cuales suelen reunirse con mas frecuencia los Por Réal órden de 23 de Febrero último se ha servido S. M. elementos de discordia y de desórden. ¿ Cuál es su objetoi Oejaf la Reina Gobernadora aprobar el establecimiento de serenós en disponible aquella parte de tropa dé línea, que sin la Milicia urba Toledo, pagados de los sobrantes de los Wbitricís de alumbrado y na tendría que empleatsé en iViá’ñtener el sosiego, para dirigirlalimpieza.contra los enemigos y aumentar las fuerzas del ejé…</t>
  </si>
  <si>
    <t>“ VT*. ■íí.QQM íí*1 í' .v í* -'■¿S DEL MIERCOLES 2 DE ABRIL DE-1834 ;-í.-: t, mrn ARTICULO DE OFICIO. vrNTSTEIMO »E ESTAIXV ■ -Buales órdenes. ' Rn virtyd de haber reconocido S. M. el. Rey de Suecia d nues S. M. la Reina Gobernadora ha tenido l bien mandar que tra augusta Reina Doña Isabel ii , ha presentado sus nuevas crer- los ministros del supremoTtíbunal de España é Indias, excep denciales eí caballero Lorichtz en calidad de encargado de Nego tuándose su Presidente , ocupen en él mismo el lugar que les cor cios de aquel So…</t>
  </si>
  <si>
    <t>…too. GACETA DE MADRID. -*■*-**■ r * ** f * 75Í( de Abril de 1854.=Ga- ARTICULO DE OFICIO. guarde á \. S. muchos anos. Aranjuez relIy.=Sr. regente de la Real audiencia de Madrid. La Reina nuestra Señora Doña Isabel ii, y S. M. la Reina Gobernadora, siguen en el Real silio de Aranjuez sin novedad en su importante salud. Con motivo de haberse dignado S. M. la Reina Gobernadora Del mismo beneficio disfrutan SS. AA. RR. los Sermos. Se nombrar regentes de las Reales atulictv-ias de Valladolbl V Zaragoza á R- Ramón Giraldo v D. Joae María Gnldiano…</t>
  </si>
  <si>
    <t>…747 rs. 27 mrs. que alcanzaba de sus sueldos cuando en 25deFe ciación. brero de 1814 se separó del servicio por dimisión que hizo de su plaza. Y 5. M- »&gt;Todos aquí, dice este periódico aleman, hacen justicia á la excelente con la Reina Gobernadora ha tenido á bien admitir lesta cesión, mandando que ducta del ministerio francés, convencidos de que mientras subsistan sin impe se publique en la Gaceta. dimento alguno corporaciones políticas organizadas que profesen y declaren su mortal antipatía contra el gobierno, será imposible mantener el or…</t>
  </si>
  <si>
    <t>…el puente dí SírtifjapfioWé el rió AlcaEl ayuntamiento y vecindario de Carrátraca, oh la provincia de Málaga, ce nadre, para facilitar el paso á ía ermjta de Saptiago, en donde te podría esta lebró el feliz cumpleaños de S. M. la Reina Gobernadora con una solemne blecer un cementerio mayor que el actual. ... función de iglesia , limosnas á los pobres y toda clase de festejos públicos, esme Se trata de promover la ilustración por medio de representaciones teatrales, rándose , á pesar de su reducida población , en dar una prueba auténtica de s…</t>
  </si>
  <si>
    <t>…: y pro15 de línea.** "meten ya una buena cosecha. Tengo 2a satisfacción de trasladarlo al conocimiento de V. E., creyendo Sigue tomando informes sobre el estado de las minas existentes en la pro de mi deber recomendar á S. M. la Reina Gobernadora, el brillante com vincia , y examinando las cuernas de propios y arbitrios. portamiento de todos los que han merecido particular elogio del benemérito Ha resuelto do» expedientes á favor de unos compradores de terrenos co coronel D. Juan de Arcos, cuyo denuedo y bizarría ha proporcionado tan be* mu…</t>
  </si>
  <si>
    <t>…aun pendiente. nando un. individúo una cosa y otro otra. En seguida se leyó por el Sr. López el proyecto de contestación ál dis Sr. Medrana-. »La comisión está conforme en sus ideas: admitir las re curso pronunciado por S. M. la Reina Gobernadora én la sesión Regia, re nuncias de los qué las hagan: evitar toda coacción ó violencia á los Procura dactado por la comisión encargada al efecto; que á la letra dice asi: ' dores: cuandp .representan sobre enfermedad pasagera'y darles tiempo á su resta blecimiento. Tal '.es la doctWna de la comisión…</t>
  </si>
  <si>
    <t>…revestidos , ¡se dirá que la institución de los jueces es mala, y que no de suficientes seguridades de su talento y decisión, que de ningún modo pueden be haber tribunales i ___ l sernos dudosas. Pero por desgracia ni la augusta Reina Gobernadora, ni los «Se dirá tal vez que no está la España todavía en estado de gozar de esos actuales Secretarios del-Despacho pueden ser inmoilales; y por esta razón se derechos ¡Cuándo lo estará! Señores, yo he vivido la mayor parte de mi vida debe-tratar de afianzar'para la posteridad las correspondientes…</t>
  </si>
  <si>
    <t>…6c-4.—José María Mostoso Je AUatnira. no no era bastante grande para contener dos afecciones muy fuertes á la vez, y este moralista tiene razón. Rodeado yo de objetos y de atenciones capaces de. Teniendo en consideración S. M. la Reina Gobernadora el es excitar y satisfacer el propio orgullo, un sentimiento único domina mi cora tado de la salud pública en todo el Reino, y deseando conciliar In zón , y este es el de una íntiína y profunda gratitud. Indigno seria, señores, de comodidad (le los fabricantes y artistas con la brillantez 'f concur…</t>
  </si>
  <si>
    <t>…..Trata Mr. de Jonnés de las rentas públicas en diferentes épocas, tros, D..Francisco Martínez de la Rosa, ha tenido la bondad dé presentársela 4 d« su origen, del total de sus recursos ordinarios, del producto de los derechos la Reina Gobernadora , quien ha dado órden á su embajador en París de que d« aduanas, de los gastos del Estado, de los diferentes presupuestos, de la deu «n sii Real nombre dé las gracias al autor, y le manifieste oficialmente la satis da nacional y de los medios de extinguirla. facción que ha recibido con su lectura.…</t>
  </si>
  <si>
    <t>…inisterio, ni tampoco ninguno de los grandes y á la corona nuevos timbres. Y á fin de que sea solemne la publi principios que han dirigido hasta ahora la conducta del gobierno. Asi. es que la cación de esta resolución de S. M. la Reina Gobernadora, clisjion- ligera mudanza sucedida en el personal del ministerio, ha dejado ¡tjj^ctos el drá V. que dicho Real decreto y esta Real orden se lean por bata espíritu y sistema político del gabinete francés, tanto en el Interior co^opsi llones en gran'parada con todo el aparato marcial de estos actos.…</t>
  </si>
  <si>
    <t>…fly.=Sr. Cardenal Arzobispo de Toledo. de 1834. = Francisco Martínez de la Rosa. =Sr. Secretario del Des pacho de lo Interior. MINISTERIO DE LO INTERIOR. Meóles órdenes. MINISTERIO. DE GRACIA Y JUSTICIA. He dado cuenta á S. M. la Reina Gobernadora de la exposición en que esa junta manifiesta los funestos resultados que ocasiona á los Meóles órdenes. t pueblos de la provincia, en la mayor parte de Iqs cuales se. padece ^^Dcseandq S. M- Ja Reina Gobernadora dar nuevos testimonio^, el cólera-morbo, la incomunicación con esa capital.y con Tos qi% se d…</t>
  </si>
  <si>
    <t>ttf f ro|VÍr3« f y faludarotr áíos retratos ¿e'I» RttnrA nuétfrs Señora y de su 1 taomciA »x eract, augusta Tma^re la Reina, Gobernadora, que se hallaban colocadosbajo un dosel en íáa casas consistoriales, estando colgadosEy adornados \áa..balconea y far En oficio de 29 dé Julio próximo pasado participa el gobernadpr ctpfi di chadas de las demas casas de la ciudad. Se distribuyeron 300=panes que dio ge- ella, que en el pueblo de Sot…</t>
  </si>
  <si>
    <t>ttf f ro|VÍr3« f y faludarotr áíos retratos ¿e'I» RttnrA nuétfrs Señora y de su 1 taomciA »x eract, augusta Tma^re la Reina, Gobernadora, que se hallaban colocadosbajo un dosel en íáa casas consistoriales, estando colgadosEy adornados \áa..balconea y far En oficio de 29 dé Julio próximo pasado participa el gobernadpr ctpfi di chadas de las demas casas de la ciudad. Se distribuyeron 300=panes que dió ge- ella, que en el pueblo de Sot…</t>
  </si>
  <si>
    <t>…ativos, cuando lo exigen las circunstancia», Interior acompañando 2ÓQ ejemplares impresos del proyecto de contestación se acomodan á estas, y por lo tanto creo yo que usando el Estamento de la al discurso pronunciado'por S. M. la Reina Gobernadora en la solemne aper facultad que explícitamente se le concede por este párrafo, debiera hacer algu tura de las Córtes. na indicación con el respeto y decoro con que siempre se trata al trono , y los Asimismo lo quedó de una exposición del Sr. D. José Palafox, manifes mlimos señores de la comisión se…</t>
  </si>
  <si>
    <t>…s naciones, roas adelantadas que líticos.... por lo demás, el ministerio no tiene que hacer mas en este tíúntñ da» nosotros en el régimen representativo; pero parece que se echa de menos que seguir la senda tratada por la augusta Reina Gobernadora; por no Te ha expresado de unamancra mas explícita.... Señores: ¿es tal la urgencia, de cuyos labios no han salido nunca sino palabras consoladoras de tal la prisa, que desde el primer día ya se quiere una enumeración circunstan y de olvido. Alúdase si se quiere i los mal» pasados; condénese una ép…</t>
  </si>
  <si>
    <t>…á siempre pronto insistir sobre que se impusiese el condigno castigo á los perpetradores de rama- á condescender con los deseos de los ilustres Prócera, contestando a sus pre ños atentados, por confiar en la promesa augusta de la Reina Gobernadora. guntas con la única cortapisa de guardar reserva en le» casos en que asi lo exija El Sr. Cano Manuel: o La comisión ha trazado el cuadro de nuestra si el bien público, ó en que las negociaciones pendientes pudieran comprometerse tuación interior; pero tratando de las ocurrencias lamentables de los…</t>
  </si>
  <si>
    <t>…miento como españoles, y Los Sres. gefes y oficiales recordarán hoy la memoria de aquel gran Mo vuestros juramentos como militares honrados. narca y su munificencia con el ejército; recibiendo al mismo tiempo las expre La augusta Reina Gobernadora, rodeada de cuantos hombres leales de siones de mi gratitud por sus desvelos en conservar la disciplina, la instrucción experimentado celo por la felicidad dtt la nación y capacidad acreditada pueden y la lealtad de sus súbditos, habiéndome proporcionado por su conducta la ayudarle en la grande emp…</t>
  </si>
  <si>
    <t>…. ARTICULO DE OFICIO. riencia de la guerra que casi siempre se ha hecho, tomando el nombre de este país, á todo cuanto es favorable á esta ciudad. Quizás hoy se respetarán los tí La Reina nuestra Señora Doña Isabel u , y S. M. la Reina Gobernadora, tulos que ha adquirido recientemente á la benevolencia de V. M., principal ¡ siguen sin novedad en su importante salud. mente si los que gobiernan la Guipúzcoa reflexionan lo que les importa no provbcar revelaciones lobre los últimos acontecimientos. Del mismo beneficio disfrutan .SS. A A. RR. los…</t>
  </si>
  <si>
    <t>…romper las facciones, aunque vanamente, lo que grandioso y tierno espectáculo, en que S. M. la Rj:ina nuestra Señora Doña hace «n verdad que en ningún lugar el Rey de los franceses goza con mas ple Isabel 11 y su augusta Madre la Reina Gobernadora han cautivado nueranitud, de su elevada dignidad que en el seno de las Cámaras. píente al mas excelso grado el ánimo de los españoles, que hubiera sido de de , Hoy se han oido aclamaciones pronunciadas con mayor entusiasmo que en sear se hubiesen encoutrado todos en el campo de los Guardias, extram…</t>
  </si>
  <si>
    <t>…, á 41 rs- fanega: cebada, á 19 id.: garbanzos, á 60 id.: maíz, Muy poco después comenzó á desfilar en columna de honor la infantería, ar á 28 id.: aceite, á 33 rs. arroba. tillería y caballería; para cuyo acto se colocó S. M. la Reina Gobernadora, En todo el mes próximo pisado salieron del Guadalquivir cinco goletas in cerca del costado del guia de dicha columna, sola, delante de los generales y glesas cargadas de naranjas para Londres. comitiva expresada , que se mantuvo á cierta distancia. S. Al. la Reina Isabel Utrera. Trigo, de 28 á 32…</t>
  </si>
  <si>
    <t>…. posibles sobre los delitos perpetrado* v sus c:r..unsti.n.¡dS esenciales, solare los prr&gt;cedimicnto* que originan -m caliiica^ion le/ i i \ s'bre .a1' pen.o que se ap. ¡c - "V. La Rhina nuestra Señora Doña Isabel ii, y S. M. la Reina Gobernadora, para su condigno castigo e 'n !o, cfcJos que pr -ducen. siguen sin novedad en su importante salud. E^ medio adoptado h.ota ci día para conseguir tan importante estadística, Del mismo beneficio disfrutan SS. AA. RR. los Sermos. Sres. Infantes. hilUbdsc reducido a remi;.: j &gt;, tribunales superiores…</t>
  </si>
  <si>
    <t>…l príncipe de Orange. El viage de S. A. á Rusia es gados del ayuntamiento de la siempre fiel ciudad de Jerez de la Frontera , han regular que no haya tenido otro objeto sino interesar al Emperador á favor de felicitado á S. M. la Reina Gobernadora por la exaltación al trono de las su casa. Españas de su augusta Hija la Reina nuestra Señora Doña Isabej. ii, desem— La misma Gaceta añade que en cuanto ¿ las voces que han corrido de un peñajSdo tan'distinguido y honorífico encargo pojr medio dé una corta y enérgica tratado reciente entre'Rust? y…</t>
  </si>
  <si>
    <t>…ICULO DE OFICIO. Milicias urbanas, los capitanes generales propondrán lo ceftiveniente, atendidas las circunstancias locales. Tendréislo entendido, y lo comunicareis i quien cor T« Ruina nuestra Señora Doña Isabel ii , y S. M. la Reina Gobernadora, responda para su cumplimiento. = Está rubricado de la Real mano en Palacio I siguen sin novedad en su importante salud. á 1.® de Marzo de A D. Antonio Remon Zarco del Valle. Del mismo beneficio disfrutan SS. AA. RR. los Sermos. Sres. Infantes. La circular de que habla el Real decreto anterior es l…</t>
  </si>
  <si>
    <t>…a el =zGareIJy.=Sr. duque Presidente del Consejo Real. objeto especificado en los artículos 3.a y 4*°&gt; remitirá copia de ellas al subdele gado de Fomentó de la provincia inmediatamente que las haya firmado, mani Teniendo S. M. la Reina Gobernadora en consideración las extraordina festando sí el género ó artículo es de mucho 6 poco despacho en la provincia rias circunstancias en que se hallan las provincias Vascongadas y Navarra, y ¿ fiiettt de ella. conformándose con el dictámen del Consejo de Señores Ministros, se ha servi 8»* Lúego que los…</t>
  </si>
  <si>
    <t>…de Diputados, acerca de los que pregonan papeles, litografías écc. La Cá Madrid 3 de Marzo. mara manda qiie dichos informes se impriman y distribuyan. En seguida principia la discusión general sobre el proyecto de ley relativo La Reina Gobernadora por Reales decretos dirigidos al presidente dd ¿ «la represión de los delitos que cometan los franceses en las escalas de Levan- Consejo y Cámara de Castilla se ha servido nombrar para la plaza de alcalde te.” No habiendo quien pida la palabra sobre ei todo del proyecto, pasa la del crimen de la au…</t>
  </si>
  <si>
    <t>…iempo que hubieren la junta suprema dsl ramo. -j permanecido en la cárcel Art. 8.° En el caso de qué una enfermedad contagiosa invada una provincia donde no haya junta provincial, el subdelegado la Habiendo dado cuenta á S. M. la Reina Gobernadora de la formará al punto , componiéndola. = Del mismo como presiden-*consulta hech^ por el intendente subdelegado de Rentas de Sevilla te. = Del praidente del ayuntamiento de la capital Gomo vicepre con motivo de haber solicitado francisco María Redondo y Fran sidente. = De un gefe militar nombrado por el…</t>
  </si>
  <si>
    <t>…azos. *=&gt; gados de intereses tan importantes sobre todos los asuntos graves Queriendo el patrón ingles poner término á esta reyerta, que de la monarquía'. podía á la larga serle funesta, cogió un fusil cargado con bala, y S. M la Reina Gobernadora, íntimamente penetrada de las apuntando- al -patrón del barco francés le disparó é hirió ligera obligaciones del trono y de Ja naturaleza del gobierno civil, que se mente, á pesar de lo cual cayó al suelo el hetidb gritando: «"Me reducen en último resultado á solicitar la mayor suma posible de han…</t>
  </si>
  <si>
    <t>…'pñn:, \j: . Jteal orden.'. - ,. . blicos, y limosnas á los pebres. Los obreróv-ócupádos enlel nuero canal do Pios. dri han recibido un escudo y una niédallí cída uno , y Se hail Hecho magntfi^ Rs la'soberana roluntad.de S. M. la Reina Gobernadora, que Iá eos presentes al ingeniero'que dirigé-lóS trabajos. (-W.) • - ’ - pensión ,de 400 ducados que-sobre los. fondos de la extinguida inquiuroLATsauá-sicion cobraba el prófugo D. Pedro Francisco Barcena, quede ad judicada desde luego á. los. dos-hijos de menor edad que ha dejado el Líndrrs' 19 J…</t>
  </si>
  <si>
    <t>…, cuyas vidas se hallan terior (2). íntimamente unidas con la prosperidad de la nación; atendido el es MINISTERIO DE LO INTERIOR. tado sanitario de Mora, Vallecas y algunos pueblos de la Mancha, Real orden. •e ha servido S. M. Id Reina Gobernadora mandar lo siguiente: Artículo 1? Se establecerá un puesto militar en Guadarrama .El gobernador civil de Almería diú parte á este ministerio de para las personas y efectos que vengan de Castilla la Nueva con di liaber encargado al contador de Propios de la provincia , las funcio rección á Castilla l…</t>
  </si>
  <si>
    <t>…mportante salud en el Real sitio de San Ildefonso; y de igual las adyacentes, con tres oficiales: á la segunda los eclesiásticos de las mismas, con dos; reservándose para la tercera todo» lo» civiles y beneficio disfruta S. M. la Reina Gobernadora en el Real palacio "de RioFrioT También goza de perfecta salud en el expresado Real eclesiásticos de los dominios de Ultramar, con un oficial. Esta me parece la distribución que indica la índole misma de sitio la Berma. Sra. Infanta Doña María Luisa. los negocios; todos tendrán,, según'eLia, su cen…</t>
  </si>
  <si>
    <t>…os. Lo mismo puede decirse respecto qfié5mtó A.herif la delicadeza de lá comisión; pero creo que si fuese posible al juraA. La comisión no entra en la cuestión A si es o no tiempo de esta coÚVéntfria m Ahó T¿ reticencia. S; Mi la Reina Gobernadora , con la fran- blecerlo: habla sí de que es útil; y como el Estamento dura tres años, nada cftK^á'que btiHá, entódo su discurso; ha trazado el cuadro de nuestra situación, tiene de particular que exprese ahora esta idea, reservándose entrar en la dis diciéndonos que é» poco halagüeño: la comisión c…</t>
  </si>
  <si>
    <t>…no puede ser de otra manera, pues en las formas representativas en ello el agradecimiento, ásu causa están ligados todos los bienes que debemos á la. perdiendo el Ministerio la confianza del cuerpo legislativo, tiene que dejar do Reina Gobernadora; á ella debemos nuestra situación actual ios mismos pros serlo. El Ministerio actual debe su reputación á las Córtes, á las libertades por critos que hace dos años unos estaban en los destierros, otros en los calabozos. quienes tantos sacrificios han hecho sus individuos, y por las que tanto han $t…</t>
  </si>
  <si>
    <t>…los demas seguirán tenece á ella; pen&gt; debe reconocer S. E. que la dinastía actual principia en este después. Prueba de que están convencidos de su incoherencia y defectos; pero caso en Isabel 11, cuyo trono está gobernado por la Reina Gobernadora, y cuando tratan de esto, no deben los ministros consentir en silencio que se diga poseso en este sentido se habla, no solo de los intereses de la actual dinastía por los legisladores mismos esa expresión poco meditada de legisla, Ln absur coa;esta voz, sino que en ella se comprenden como es natura…</t>
  </si>
  <si>
    <t>…pueden remediarse de pronto todos los ma nombre de la nación, la disposición franca y enérgica en que estamos de con les de una nación; y no sé crea qüe se alucinan los pueblos con palabras: ya tribuir á las miras benéficas de la Reina Gobernadora cri nombre de su au saben lo que valen las falaces promesas con que otras veces se les halagó. Ese gusta Hija. Veamos pues si la comisión ha cumplido ccm esté encargo propio vano alarde tfe mejoras, qué tal vez luego no pueden realizarse , no es mas que de las circunstancias, que en mi concepto no…</t>
  </si>
  <si>
    <t>…s alborotadores que vi. conservación. - El Sr Gira ¡do: » Cuando después de diez años de Opresión y de calamidades, • «Se pregunta si el Príncipe está en Navarra, y hasta se ha extrañado el mía mano benéfica cual la de la augusta Reina Gobernadora, nos facilita silencio del gobierno. Ha callado, es verdad; pero todos los periódicos lo han los medios de buscar el alivio á estas calamidades, me parece que debía no anunciado, lo han discutido; cada cual ha manifestado su opinión; ban copiado presentarse un proyecto de contestación al discurso d…</t>
  </si>
  <si>
    <t>…ud en el Real Sitio del Fardo. reino, sin contar el principado de Neufcbatel, ascendía á fines de 1833 4 12.223,385. _ - ---------------------------- TI Mercurio Je Sueña da las siguientes noticias de Munich: el Rey y la S. M. la Reina Gobernadora se ha servido nombrar en calidad Reina de Baviera visitarán á Roma el mes próximo, y después de una corta de interinos para la vara de alcalde mayor de la ciudad de Almería estancia en aquella ciudad pasarán á Ancona, y allí se embarcarán para Gre ¿ D. Diego Sevilla: para la de Murcia á D. José Mar…</t>
  </si>
  <si>
    <t>…ue déjo se había cantado el Te Deum \ en Montealegre, Elche de la Sierra , Almansa* agilitándose para cuando sean necesarios. Bonillo y. Aldea de la Pared seguía la enfermedad su período descendente; en He dado cuenta á S. M. la .Reina Gobernadora, y espero con la mayor Hellin, la Roda y. Villa de Ves continuaba su curso ordinario, y finalmente confianza que no solo se dignará aprobar el proyecto, sino también que prote que en Tobarra falacia aquella mas estragos que en los demas pueblos que la lur gerá con Real munificencia tan indispensabl…</t>
  </si>
  <si>
    <t>…de nuestra Señora la Reina Doña mente que habia dispuesto que en los pueblos en que aun no se habian cons truido cementerios, según está mandado, se procediese desde luego á enterrar Isabel ii, de los dias de su augusta Madre la Reina Gobernadora, y por em provisionalmente los cadáveres en las hermitas ó lugares sagrados que se ha pezar nuestra regeneración política y prosperidad, tenia dispuesto D. José Ma riano Val 1cjo celebrar exámenes públicos de la construcción del mapa de Es llasen fuera de poblado, cuya disposición, cumplida ya por…</t>
  </si>
  <si>
    <t>…e JlfhiUtros- «Ilustres Plóccres. En 4 dq do arreglados los documentos presentados por S. E., debía ser admitido defi Abril próximo pasado, cuando los Secretarios del Despacho tupieron la honra nitivamente. de proponer á S. M. la Reina Gobernadora la restauración de las antiguas le En virtud del díctámen de dicha comisión fue admitido al Estamento yes de la monarquía, como el cimiento mas firme para asegurar el treno y el Excmo. Sr. conde de Guendulain; quedando enterado del aviso que dá de hermanar la causa de este con la libertad y derechos d…</t>
  </si>
  <si>
    <t>…r'eino. En uno de los-artí no prendió el fuego por falta de alimento. culo» de dicho tratado se establecía ( siguiendo los sentimientos nobles de « Yodas estas tentativas para lanzar al Monarca legítimo del trono , se hi S. M. la Reina Gobernadora, y condescendiendo con la generosa ioietce* cieron en tiempo en que no tema lugar la cuestión de sucesión; cuando el tion de sus augustos Aliados), que al Príncipe D. Cirios se Je señalaría una Principe de que se trata era el sucesor inmediato; cuando tenia fundadas espe asignación decorosa, para d…</t>
  </si>
  <si>
    <t>…, concluyó suplicando i ios señores dé! Estamento se la dc hís sccrcVarías-noDíbrándoiC los empleados que hablan'de servir en ellas; sirvan tomar en consideración Jas razones que. se alegan en esta petición , y que pero la misrna Reina Gobernadora ha conocido que e&gt;os nombramientos eran se eleve a S. M. para que *e digne declarar.que al Estamento de Procuradores solamente provisionales , y que eslá en las atribuciones de los Estamentos nom- corresponde el derecho de formar,$u reglamento, y todo aquello que no se brarlos-cn lo. sucesivo. Lo m…</t>
  </si>
  <si>
    <t>…en conducir al acierto.” les eran las facultades que las Cortes tentóncomparadas cón las qüe ahora tene ” Esjnuy distinto el modo con que deben proceder en sus operaciones los mos , y veremos si merece él hombre de usurpadóráTa j Reina ‘Gobernadora, pódete^ El ejecutivo es necesario que rráiielvade pronto: el judicial necesita - que ha establecido y dado mas latitud á aquellas. Dígasenos con toda franqueza ya mucha mar calma ,~y muchas mas Fórmulas, porque sus fallos tienen con cuál era él reglamento interior de esas Cortes; -no me redero á l…</t>
  </si>
  <si>
    <t>…léricos de La misma ciudad no existían el dia 27 mas que 19 enfermos, Sr. D. Rafael Cabañil las. inclusos los convalecientes: en los pueblos de los partidos de Alcira y Murviedro disminuían mucho los estragos del cólera. S. M. la Reina Gobernadora, por Reales decretos, se ha servido sepa PROVINCIA DE VALLADOtm. rar de sus respectivos destinos á D. José María Tejero, alcalde mayor de Talavera de la Reina - á D. Manuel Martínez, alcalde mayor de Villadiego: á Parte sanitario de 29 de Octubre. D. Manuel Ruiz de Montoya, corregidor de Verin: á D…</t>
  </si>
  <si>
    <t>…ario de hsta.Jo y del sm perjuicio de ios otros medios que podran .púcarse después ai reembolso Ó. Despacho de Gracia y Justicia estaba encargado de presentar una ctpia ori la deuda pasiva” ginal de la ley sancionada por S. M. la Reina Gobernadora sobre La ex Procedieron en seguida los mismos señores á exponer los fundamentov ea clusión del Infante D. Carlos María Isidro de Borbon y su línea del de que se había apoyada ^jc. Estamento para suprimir en ei art. I.3 i»s palabra» recho de suceder en la corona de España, á fin de que se publicase…</t>
  </si>
  <si>
    <t>…nto, en unión con la de ilustres Proce los documentos presentados que acreditan haber sido S. E. elevado á la digni res, al tiempo de presentar el acta, ba dudado si debería dar informe por es dad de Grande de España por S. M. la Reina Gobernadora, y en tal con crito, conforme á lo que dispone el art. Iu3 del reglamento, ó adoptar la cepto individuo nato del Estamento, mediante á concurrir en S. E. las condi práctica que se habia segúido ya en.la cuestión del Voto de Santiago. Aunque ciones prescritas en el Estatuto Real. en 14 discusión que…</t>
  </si>
  <si>
    <t>…spíritu en la población turca. La Madrid 3 de Diciembre. creación dé esta especie de milicia produce un gran bien en un pueblo que para llegar á la civilización y al órden legal ha menester que se le sujete á la Deseando S. M. la Reina Gobernadora aliviar la desgraciada suerte de disciplina militar. las viudas, huérfanos y familias de los Milicianos urbanos y demas españoles Se debe' pues creer que semejantes medidas serán muy útiles en Turquía y leales sacrificados por los facciosos, se há servido conceder por el ministerio regenerarán la n…</t>
  </si>
  <si>
    <t>…talla entre las tropas de los dos hermanos de Portugal, dada el 10 poner en ejecución lo que por punto general estaba prevenido, to de Marzo en frente de Santaren. Se supone que la división belga davía ha sido sensibte á S. M. la Reina Gobernadora haber de se ai servicio de D. Pedro había hecho prodigios de valor, 7 que parar algunos empleados de la carrera que se propusieron seguir; derrotado D. Miguel, 35) hombres de su ejército habían sido con pero el bien de los pueblos, cuyas cargas es de justicia disminuir, tados por el conde de SaldaS…</t>
  </si>
  <si>
    <t>…einó; la móvil solo ha hecho el servicio de campaña en casos apurados»' usandó dé las ámpliaS facultades -qué por diferentes Reales órde como cuando se temía el desembarco dé Napoleón. Y ¿qué otra nes me tiene conferidas S. M- la Reina Gobernadora, y las qué cosa han sido los tercios de lar provincias Vascongadas, que sé me concede el artículo 1.a, título 3.a, tratado 7-°de las Reales or formaban cuando su territorio era amenazado, síno uná milicia denanzas, he venido en mandar lo siguiente: móvil pagada por las diputaciones, y que se retira…</t>
  </si>
  <si>
    <t>…os &amp;c. .Madrid 27. de Ahhil de ltli5*.=luláz. iSres. dÍTec- «trés generales do Remas, MINISTERIO DE HACIENDA PE ESPAÑA. Circular pnsvli al ministerio de Hacienda por el de. hí Guerra. Rarte no oficial. He dado cuenta ¡\ 5. M. !;t Reina Gobernadora del érvédicnté NOtfCl AS EXTRA ACERAS. promovido á consecuencia de las Reales órdenes de 19 (Je Maro y 12 Je Julio de 1832, 11 de Febrero, 1.5 do Abril, 1.5 de Novicrn- ¡lie y 26 de Diciemltre del año anterior de 1855, expedidas por ij ministerio de la Guerra, en que se manifiestan nuevas dudas acerca…</t>
  </si>
  <si>
    <t>…dé las Indice de los Reales decretos y órdenes publicados en este periódico en todo audiencias respectivas. (Id.) el mes anterior. Estatuto Real para la convocación de las Cortes generales del reino, mandado observar por S. M. la Reina Gobernadora en 10 dei corriente.(\um. 55.) Reales decretos suprimiendo el convento de S. Francisco extramuros de la ciu | Urales decreto^ nombrando presidente del Consejo Real de España é Indias, y dad de OrduiiJ. (A«m. 56.) I -*¿^ianos las secciones del mismo. (Gaceta num. 40.) nombrando recente de la Real au…</t>
  </si>
  <si>
    <t>…e Setiembre. con las armas en la mano en defensa de los legítimos derechos de la Reina Arteijoy Carballo. D. Pedro Sanjurjo, en la Corulla: desde principio de nuestra Señora Doña Isabel ii. Julio hasta fia fie Setiembre. S. M. la Reina Gobernadora admitió gustosa esta expresión de lealtad tan VALENCIA Y XURCIA. propia de verdaderos españoles, y ha manifestado de un modo eminentemente honorífico el señalado aprecio que le merecen el valor, la disciplina y la gloria Archena. D. Sebastian Gómez, interino, en Ocaña: 1.a temporada, desde de nuest…</t>
  </si>
  <si>
    <t>…USTICIA. Al t. 7'.' Los gobernadores civiles propondrán en terna á S. M. ]&gt;or conducto del ministerio de lo Interior los sugetos que contem Real orden. plen dignos de este encargo por su conocida ilustración, por su im -S. M. _|a Reina Gobernadora se ha enterado con satisfacción del parcialidad, y cuyas opiniones políticas estén en armonía con los oficio de V. E., fecha 17 ilel presente, en que me avisa haberse ins principios conservadores sancionados en el Estatuto Real. talado en el convento de lá Trinidad deesa corte la jama eclesiásti Ar…</t>
  </si>
  <si>
    <t>…ormasen, se sustanciar in y terExcmo. Sr. : S. SÍ. la Reina nuestra Señora igualmente que minarán dichas causas con arreglo á las laves vigentes por la misma Comisión militar. De Real orden lo digo á V. E, para su inteli S» M- Ia Reina .Gobernadora su augusta Madre, y S. A. la Señora gencia, y que disponga su cumplimiento. Y de la misma Real or Infanta Doña María Luisa, continúan sin la menor novedad en su den lo traslado á V. E. , para que previo el nombramiento de la co imjjort^qfe salud. Lo que de Real orden |iartici|&gt;o á V. E. para su mis…</t>
  </si>
  <si>
    <t>…hombres interés y amor hacia sus con 1 Art. 17. Los tutores y curadores de menores, dueños de fincas, ciudadanos, haciéndolos participar1 recíprocamente de sus males y presentarán el discernimiento deeu- caigo- ‘ bienes, Sv M. la Reina Gobernadora acogió con benignidad, un pro Art. 18. - Recibidos que sean en la Dirección los 'documentos ex yecto de reglamento presentado por varios propietario* para asegu presados, Se procederá á la inscripción en el libro destinado al efec rar de incendios los edificios de las afueras de esta corte á media…</t>
  </si>
  <si>
    <t>…necesaria la vigilancia, porque no está aun completamente asegurada la paz general. El anuncio de un sistema constitucional en Ñipóles, el movi miento de un ejército ruso sobre la frontera de Persia, y el yugo impuesto á S. M. la Reina Gobernadora lia tenido á bien conferir á su au Francfort, son otros tantos síntomas de desavenencia entre las grandes nacio gusto Pariente y' Aliado, S. M. I. el duque de Braganza, la gran nes.” (Gaceta de Zurich.) cruz y banda de la Real y militar orden de S. Fernando; como el rrAiiA. mejor testimonio que pue…</t>
  </si>
  <si>
    <t>…n el Real sitio de San Ildefonso; y de igual volencia, prometiendo sumisión al Sultán y atribuyendo su reiterada rebelión á la torpeza del gobernador ó á cualquiera otra circunstancia, para volverá rebebeneficio disfruta S. M. la Reina Gobernadora en el Real palacio larse apenas la Puerta, cediendo á pérfidas promesas, haya retirado su ejército. de Riofrio. Tamhien goza de perfecta salud en el expresado Real Pero la Puerta no se dejará engañar de nuevo, antes bien se esforzará en soste sitio la Serma. Sra. Infanta Doña María Luisa. ner el or…</t>
  </si>
  <si>
    <t>…hallan de t\enta en et despacho de la imprenta Real. sentimiento , continuando lás antiguas trabas que ha removido la piedad y sa Casrí Gonzalessi Emeritepsis compendiaría in Gcaecíam via, sive ,pnett^nt(gnMi biduría de S. M. la Reina Gobernadora, he dado las órdenes convenientes lingiim gradea: sCriptorum jiorífiá, ad usum hispan» fuventurís. Ün toitio en 8.°, edi para que cesen semejantes arbitrariedades. ción de 1792, á f n- rama, 6 en rústica y 10 pasta común.—Idem. In Láríum"víi, slre La pronta reparación de ía acequia de Llar es de su…</t>
  </si>
  <si>
    <t>…para que sobra ella recaiga la resolución'del Esta tamos en el afio 23-, y el 34, qwe el cielo nos ha deparado por medio de ese mento , teniendo presentes en mis observaciones das consideraciones' hechas en Angel bienhechor , la Reina Gobernadora , á quien tanto debemos , me pa- la sesión actual, porque están tan enteramente ligadas con las dé ay£í*t que son jéceqtie no solo consiente, sino que -aun reclama la libertad de imprenta, y unas mismas. El Sr. Santafé ha insistido en que no se diga le¿itl.ieion dbJur.la por lo mismo la comisión lo…</t>
  </si>
  <si>
    <t>…acude por esta clase de argu permitía imprimir ni aun de aquello que no tocaba en nada al Gobierno; soto mentos-, pero no tienen la fuerza que lé suponen Los mismos que lo hacen. un almanack ó la gula de forasteros. Felizmente la Reina Gobernadora , á Todos sabemos la causa que hubo entonces para los extravíos que se experi quien es menester confesar que debemos mucho , en el dia 4 de Enero de este mentaron , y por lo mismo no la quiero repetir; pero lo que sí diré es que año dió la primera ley de imprentas mas ó menos incompleta, pero que y…</t>
  </si>
  <si>
    <t>…Santiago tiene derecho indis Quedó asimismo enterado de un oficio del Sr. Presidente del Consejo da putable i la contribución nacional en virtud de varios diplomas legítimos de Ministros1, en que participa haber accedido S. M. la Reina Gobernadora á la nuestros Reyes, del consentimiento general de la Nación, de sentencias judi exoneración de Prócer del reino, que ha solicitado el M. R. Arzobispo da ciales fundadas en este mismo consentimiento, y de una posesión por espacio Búrgos. de 700 años. A lo cual solo añadiré , ,y todo en comprobación…</t>
  </si>
  <si>
    <t>…las eri^perjúicio del Estado: estas acusaciones tan graves encontrar en el preámbulo de la petición, manifestando es inoportuna ai ha y que parece exigirían un escrito muy difuso, precisamente están contenidas blarse con S. M. la Reina Gobernadora. Los peticionarios jamas han tenido en los pocos renglones de este preámbulo. Me constan las rectas intenciones de la idea de ofender á la Reina Gobernadora, que tama parte ha tenido en la los señores peticiónanos, cuya delicadeza conozco y aprecio; pero quisiera restauración de los antiguos derechos de…</t>
  </si>
  <si>
    <t>Gaceta de Madrid n.º 294</t>
  </si>
  <si>
    <t>…ido voces sediciosas, y 87 han sido condenadas, á saber: .nuestra augusta Reina Doña Isabel ii , colocando* los retratos de S. M. y 8 á la pena capital: 18 á trabajos públicos perpetuamente: 28 á esta misma de su augusta Madre la Reina Gobernadora en el balcón principal de la fa pena temporalmente; y 33 á permanecer en reclusión por algún tiempo. La chada de las casas consistoriales: á este acto, como á todos los demasque se proporción entre el número de personas absueltas por delitos políticos, y el dispusieron, contribuyeron eficazmente y…</t>
  </si>
  <si>
    <t>…cia v JUSTICIA. a la caridu! c-"mun y pa r ti^u a r. F . :.i c» &lt;.'■ . i: :n i ere : cera c que ce * Real orden. be:r.os seca r especui .it: v a v pr,:^‘ ..rr.ar.te ¡ q*ie C.beni^s pr.^t.^ar ' cr. Colocado el gobierno de S. M. la Reina Gobernadora en una actitud vi p j!)...■) y en s..: cf ■ ) s. !.» d:;i » a e . t , - : .:.c ■ en »e:d - m • s .gorosa, y dispuesto á reprimir eficazmente lodos los excesos que en vualqu.cr re-'s de a: :r rr D » y d- : - h rb-.- , y nc no':s a» rce sentido puedan alterar la tranquilidad pública, entre las medida…</t>
  </si>
  <si>
    <t>…uadido de que esta disposición era indispensable para MINISTERIO TOMENTO GENERAL DEL REINO* proteger nuestro territorio.” Real orden. Leído el párrafo 13, concebido en estos términos: «La unión íntima de He dado cuenta á S. M. la Reina Gobernadora de una exposición de Don vuestro Gobierno con el de la Gran Bretaña, el vivo ínteres de los pueblos I Telesforo Josef Escovar, sodio y apoderado de la empresa titulada Francisco y el deseo con que todos apetecen el reposo, nos dan margen para contar con ISoria y compañía, en solicitud de que se le con…</t>
  </si>
  <si>
    <t>…..':■ ' , ■ .; Num. 29. Jueves 6 de Marzo dé 183 4. GACETA DE MADRID. ARTICULO DE OFICIO. cenado tres millones de libras esterlinas de la suma de 15 millones que antes importaba. La Reina nuestra Señora Doña Isabel ir, y S. M. la Reina Gobernadora, El mismo ha pedido e! contingente de 273 hombres para el servicio de mar siguen sin novedad en su importante salud. en el corriente ano de 1834* M* Hume propuso que solo fuesen 253, pero su Del mismo beneficio disfrutan SS. AA. RR. los Sentios. Sres. Infantes. mocion fue desechada. Para sueldos de…</t>
  </si>
  <si>
    <t>/ Niím. ¿5. Domingo 6 de Abril de DE MADRID ARTICULO DE OFICIO. PRUSIA. Berlín 10 Je Mano. , IáRjítttA nuestra Señora DoñaIsabel ir, y S. M. la Reina Gobernadora, signen en el Real sitio de Aránjuezsln novedad en Se habia extendido áqui la voz de que nuestro embajador éñ sn importante salud. París, el barón de Werther, habia sido exonerado de éste em pleo, á causa de que el gabinete francés estaba descontento cón ¿1; Del mismo beneficio disfrutan SS. AA RR.…</t>
  </si>
  <si>
    <t>…cia españo honoríficos, y después de la constitución, somos deudores á la ex la ha sido la primera en adherir al saludable sistema de reformas posición de los 221 de nuestras libertades constitucionales. (Mo adoptado por S. M- la Reina Gobernadora; y toda la nobleza y vimiento.') (Se continuará.) todas las clases ilustradas han seguido unánimemente tan hermoso ____El anuncio de la evacuación de los principados por las tropas ejemplo. Es esto tan cierto, que no se cuenta mas que un solo Gran rusas desde el 15 de Abril se da como positivo en l…</t>
  </si>
  <si>
    <t>…ncurrencia de los tres claveras.' (Se concluirá-) ÍSndres 20 de Junio. S. M. honró con su presencia el convite que da todos los alíos el duque de "Wellington.á los oficiales generales y de estado mayor que estuvieron con S. M. la Reina Gobernadora, de conformidad con lo que-se pre él en Waterioo, en celebridad del aniversario de aquella famosa batalla. (Idi) viene en el artículo 14- del Estatuto Real, se ha servido resolver que cuando un individuo haya sido elegido Procurador á Cortes ____Corre la voz, aunque con poco crédito, que el conde d…</t>
  </si>
  <si>
    <t>…stablezca por regla general se admitan las renuncias manos pérfidas las dos leyes mas ventajosas para la felicidad de esta nación ; las que hahan los Sres. Procuradores.’' Se pasó á la comisión de Poderes. dos leyes que S. M. la- Reina Gobernadora acaba de tener la gloria de resta ÉflSt;. Presidente anunció se iba á proceder á la discusión -por párrafos del blecer; las das leve» relativas á no poderse imponer contribuciones sin la in leyes se suprimieron de nuestros cudigos: ejtan en la nueva Recop.iacicn, t&gt;eroprdyécto;levóde conresracionel…</t>
  </si>
  <si>
    <t>…ctuales y á su instin ... fíeai orden. to natural para todo )o justo y bello, se ve que no hay pueb’o mas dócil, mas fácil de contertar, mas sensible á todo el bien que se le hace, mas generoso' Teniendo en consideración S. M. la Reina Gobernadora que , ni mas paciente. por la extinción Vid supremo tionsejo de Hacienda no pueden cum «El orden y la tranquilidad reinan en todas partes. Los miembros del plirse literalmente algunas de las disposiciones contenidas en el Real ministerio-actual siguen por el camino de las mejoras con firmeza y la m…</t>
  </si>
  <si>
    <t>…de la historia, á la que sin embargo ha venido concesiones, es preciso ir despacio para ver cómo se ha de hacer de modo que i parar para corroborar lo que habla apoyado en la razón. Ha dicho que según no tenga que ariepentirse la Reina Gobernadora de haber dado á los españo •lia el pensamiento e» un don natural; no hay duda , es un don que debe les las instituciones que hoy disfrutan. mos al Criador-, pero de esta base, que es incomestible, ha sacado conse «Se ha dicho por el Sr. preopinante que no es lo mismo la época actual cuencias que no lo…</t>
  </si>
  <si>
    <t>…no que Ved aquí, HH. SS., el verdadero plan del ministerio, sus deseos y sus daría debidamente recompensada con las gracias acordadas ya por tniras. Ugar el ínteres de los individuos con el del público, y por este medio S. M. la Reina Gobernadora, según el respectivo mérito de cada poner un término á las hostilidades de dos agentes que unidos pueden hacer su dicha, y separados no harán mas que dañarse recíprocamente, el uno con el uno de aquellos esforzados, cuya decisión y valor sobrepuja todo poder, el otro con arterías. elogio. Los rebel…</t>
  </si>
  <si>
    <t>…' pasado, desde el día 21 al 24. del propio mes fueron invadidas L3 personas en el partido de Nogales, de las cua Madrid S de Octubre. les fallecieron 4» en Riotárto, Metían, Rececende y otras parroquias no exísrEnterada S. M. la Reina Gobernadora de una .exposición de losíndívi- \ tía enfermo alguno en 29 del citado mes; solo en Fcrreira-Beüa había 6 do carácter benigno.dúos que componen el batallón ligero de la Milicia urbana de Murcia, ofre ciéndose á combatir contra los enemigos de su augusta Hija la Reina nuestra NAVARRA. Señora, y solicit…</t>
  </si>
  <si>
    <t>…San tosía 30 de Noviembre. cuatro de la tarde. (Gaceta do Govertto.') - Ayer hemos tenido la satisfacción de ver fondear en este puerto el barco ____ Con la mayor satisfacción anunciamos que el matrimonio de S. M. F. la -de vapor Reina Gobernadora, enviado á estas costas por el Gobierno espa Reina, objeto tan deseado por toda la nación,,debe,celebrarse dentro de po ñol ~ dicho buque viene al mando del brigadier de la Real armada; D. l edecos dias con el Sermo. Príncipe de LeMcbteqaberg. Parece que el día l.° de rico Henry ; trae lól hombres…</t>
  </si>
  <si>
    <t>…n su permiso, porque este es el órden. Se leyó un oficio del Sr. Secretario del Despacho de Hacienda , remitien Conduyo, pues, repitiendo que el Gobierno está pronto á satisfacer cualquiera do un Real decreto por el cual S. M. la Reina Gobernadora se ha servido duda, pues este es su deber y también su deseo.” nombrar, con arreglo á los artículos 112 y 113 del reglamento interior del El Sr. Carrillo de Albornos.: «La comisión pidió de oficio la lista de que Estamento de Sres. Procuradores, como comisionados regios para asistir á la se trata,…</t>
  </si>
  <si>
    <t>…7 de Enero de 1834. GACETA DE MADRID. ARTICULO DE OFICIO. sura sea favorable, sin mi Real permhn, expedido por la serreta: a de 1-»: á que pertenezca la materia de dichas obra». La Repía nuestra Señora Doña Isabel ii , y S. M. la Reina Gobernadora, Art. «a° " Tampoco e»!an exentas de censura la1- obras que triter. de siguen sin novedad en su importante salud. gía , historia y viages, ti ¡.as de recreo n pasatiempo, coma p&lt;*e»;a-. , • • composiciones dramáticas; m los pen&lt;'d¡o&gt;» qjc n &gt; sean puramente I-eCr... .0 Del mismo beneficio- disfruta…</t>
  </si>
  <si>
    <t>…ión, cuyas ventajas en favor de Idem (ti Real tribunal de comercio de) Jos pueblos y de su fomento no pueden obtenerse sin poner en consonancia Almuñecar. (el ayuntamiento de) ambas administraciones; se ha servido mandar S. ¥■ la Reina Gobernadora, jagon. (el intendente de) , en nombre de su amada iiija la Reina Doña Ísa*Sei jj , que el Sr. D. Joscf Éocairente. (el ayuntamiento, justicia y claro de) ; d- lmar, consejero honorario de Estado y director general di .Aduanas en co— Burgos, (el ayuntamiento de) j misión; D. Luts Soxela, gefe de la…</t>
  </si>
  <si>
    <t>…s de todas clases, y varios gefes y oficiales obedientes y dóciles á las Reales órdenes de nuestra joven Reina que se ex que con la correspondiente tropa vinieron de Algeciras. F.ntre el aparato y lu piden por su augusta madre la Reina Gobernadora.” cimiento que por 3 dias presentó este leal vecindario, se distinguían los ador nos de las casas consistoriales, la del Sr. corregidor y Ja de D, Antonio Perez de la Calle, que hizo funciones de alférez mayor, y que con tan plausible mo Partes recibidos en la secretaria de Estado y del Despacho de…</t>
  </si>
  <si>
    <t>bajo la tutela benéfica do su augusta Madre la Reina' Gobernadora. La» meda-1 oposición nuestra columna dé granaderos, fue con denuedo admirable desorde nada .y arrojada de fa falda del bosque, obligándola á replegarse sobre el pueblo Jlas que se distribuyeron eran ac plata y del peso de onza y media, «a cuyo | anverso sé leía: Por la txait aciott al trono dt S, M. D…</t>
  </si>
  <si>
    <t>…, La Reina nuestra Señora Doña Isabel ir, y S. M. la Reina MINISTERIO DE HACIENDA DE ESPAÑA. Gobernadora, siguen en el Real sitio de Aranjuez sin novedad en su- importante salud. Real orden. Excmo. Sr.: He dado cuenta á S. M. la Reina Gobernadora Del mismo beneficio disfrutan SS. A A. RR. los Sermón Se de una exposición del intendente subdelegado de Rentas de esta ñores Infantes. corte, en que consulta quién debé sustituir al intendente y conta dor de provincia para ejercer la subdelegacion de Rentas en caso Reales decretos. de enfermedad, ause…</t>
  </si>
  <si>
    <t>…a. El gobierno, Sr. mariscal, pueda MINISTERIO de estado. tener la mayor confianza en todos los cuerpos del ejército. . Los Sres. intendente civil y comandante del apostadero, han asistido á la •Habiendo resuelto S. M. la augusta Reina Gobernadora, des revista con todos sus subalternos. pués d e oír el dictamen del Consejo de Gobierno y del de Minis Hubo á la noche un baile en mi casa. Numerosa era la reunión y presen tril , reconocer al gobierno imperial del Brasil, se ha servido nom taba aquella especie de encanto poético que producen aquí…</t>
  </si>
  <si>
    <t>…ción de los infelicos á V. E. que la loma de esta plaza es para sus habitantes un día de agradable y reco^idos'en el hospicio. tierna memoria. A todos en general he ofrecido garjntias de seguridad indivi Enterada de todo S. M. la Reina Gobernadora tuvo á bien mandar, que dual y de propiedad en cuanto no se oponga á las disposiciones del gobierno el referido ministro excitase el zelo del R. obispo de aquella diócesis, lo que de la Reina de Portugal. habiéndose verificado , contesta S. lima, prestándose gustoso á cuanto se la Esta noche salgo…</t>
  </si>
  <si>
    <t>…fachadas, en. donde había tableros rehundidos Javier de Mariátegui ,arquitecto mayor de esta M. H. villa, á quien por una para la colocación de bajos relieves, rematando con una cqrnisa arqui trabada, orden particular de S. M. la Reina Gobernadora, se le mandó proyectarla; el que, asi como los cuerpos salientes, aparecían ser de piedra de Colmenar, y lo ayudante elegido por dicho profesor fue D. Fernando Gutiérrez, y delineanto restante de piedra berroqueña. D. Mariano Peinio. La escultura como va referido fue ejecutada por los pro Por últim…</t>
  </si>
  <si>
    <t>…ren incorporado y de los que se hubiesen separado. Oficio recibido en el ministerio de lo Interior. Art. 66. Tendrá una de las tres llaves del arca. Excmo. Sr.: S. M. la Reina nuestra Señora, igualmente que CAPITULO VII. S. M. la Reina Gobernadora su augusta Madre, y S. A. la Serma. Infanta Doña María Luisa, continúan sin la menor novedad en su Del tesorero. importante salud. Lo que de Real orden participo á V. E. para su Art. 67. El tesorero recibirá y pagará todas las cantidades qu«r satisfacción y efectos ojiortunos. Dios guarde á V. E. m…</t>
  </si>
  <si>
    <t>…El Sr. Presidente del Consejo de Ministros participa en Real or den de 4 del corriente al Sr. Secretario de Estado y del Despacho S. A. el duque de Lúea ha salido para Badén, y pasará de allí á Lúea. de lo Interior, que S¿ M. la Reina Gobernadora se ha servido man Hemos recibido -noticias de la Transilvania. Todavía no se ha abierto la dar, que el puebla de Guadarrama cese de ser el punto de detención Dieta, ni se ha fijado tan siquiera el dia de su apertura. de los viageros que transitan de una á otra Castilla, en atención á Parece muy dud…</t>
  </si>
  <si>
    <t>…i el gobierno de quien son apoyo, han cambiado como lo repiten las facciones. Defienden y quieren hoy lo que defendían y querían seis afios hace. La única diferencia es que seis anos hace querían adquirirlo, y hoy quie- gS. M. la Reina Gobernadora se ha dignado resolver por Rea! orden de ren conservarlo; y la Francia entera, los aplaude y los sostiene. Xa oposición y 29 de Junio próximo pasado, en virtud dev propuesta de la Dirección general las facciones son las que han mudado de lugar y de doctrinas, y por esto los* de Correos, que el cond…</t>
  </si>
  <si>
    <t>…Península; y el recargo será tal, que produzca en la venta una di en su importante salud en el Real sitio de San Ildefonso; y de igual ferencia de 4 |&gt;or I0U en favor de la industria nacional. Madrid 2 beneficio disfruta S. M. la Reina Gobernadora en el Real palacio de Agosto de 1854; = Señora. = A L, R. 1*. de V. M. = E1 conde de de Riofrio,También goza de perfecta salud en el expresado Real Torent). sitio la Serma. Sra. infanta Doña María Luisa. REAL DECRETO. Habiendo tomado en consideración las repetidas quejas que ha EXPOSICION HECHA A S…</t>
  </si>
  <si>
    <t>…el manijo de las tropas prusianas y aus tríacas al coronel del batallón de Francfort, que, cuando entraron estas tropas Real orden. con motivo de los sucesos del mes de Abril del año pasado, rehusó someterse Excmo. Sr.: S. M. la Reina Gobernadora se ha servido resol- i las órdenes del general austríaco. \ ver que esa junta superior gubernativa proponga uno ó dos faculta Las tropas prusianas continúan ocupando a Bockenheim, pueblecillo cer tivos de loa de mayor ilustración, á los cüaíes se encargue la redac- cano perteneciente al electorado…</t>
  </si>
  <si>
    <t>…suma igual efdia J.° de Noviembre próximo^ y de continuar sus donativos pop nimiento para comprender el vigío, y capacidad para combatirle. ¿ mas tiempo si la patria exige nuevos sacrificios y sus medios se 4o permiten, S. M. la Reina Gobernadora, profundamente penetrada de los patrióticos sentimientos que animan á'este digno sacerdote español y de su adhesión tan as a i iotbria hqcejina. pronunciada al trono de la Reina nuestra Señora y al sistema de gobierno quQ rige en el dia á la España, se ha dignado aceptar esta generosa oferta, y man…</t>
  </si>
  <si>
    <t>…pliendo con lo man fante D. OTríc». ' dado en el testamento de nuestro augusto difunto Monarca, que con tanta sa Se leyó un oficio en que el Sr. marques de Bellisca desde Valencia par» biduría y previsión puso al lado dé S. M. la Reina Gobernadora un Conse ticipa al Estam^n^o qué .Su Sr.*padre, Prócer del remo como grande de Es» jo de Gobierno, con quien consultase todos los ai untos arduos y graves que ‘ paña de primera clase , habla fallecido el 29 de Agosto próximo pasado. Se ocurriesen, y conociendo ser de esta clase el de la supresión d…</t>
  </si>
  <si>
    <t>…chas de hallarse inculcados en la comyuracioap rbuf) paso tan temerario. Pero 4 medida que,sfi aproximaba el momento, se fueron puestos en libertad brevemente, también era verdad que á otro**4 ¿es Repelían los avisos : La augusta Reina Gobernadora estaba ya próxima á po impuso ei castigo del destierro sacándolos dei calabozo» . nché en ¡camina; no faltaban mas que pocas horas*.... Se da el último aviso, y £.1 Sr. (jonzaUz. (¿&gt;. Antonio)-. &gt;?Ha dicho el Sr. Secretario delJDespfe te repite por varios lados, añadiendo que no eraa acusaciones ra…</t>
  </si>
  <si>
    <t>…rono de Isabhi, perdiéndose también en el la provincia de Málaga. naufragio aquellos derechos que han sido felizmente restaurados por la mano JEl ~Sf7 Presidenta: «Habiéndose cerrado en la sesión úttima ix disanto» benéfica de la Reina. Gobernadora. acerca de la petición relativa al reglamento interior , y no presentándole aho «Estas graves consideraciones no permitirán dudar á nadie de la imperio ra ninguna otra en lugar de ella por los señores peticiónanos, se va á poner sa necesidad de sancionar una ley que excluya para siempre al Infante D…</t>
  </si>
  <si>
    <t>…ntos del Voto de Santiago;y si hubiere algunas proce ' Barcelona; Señora de Vizcaya y de Molina &amp;c. &amp;c.; y en su Real dentes de título oneroso ó con destino á establecimientos de benefi nodibre Doña María Cristina de Borbon, como Reina Gobernadora cencia ó literarios, serán impuestas sobre otras rentas eclesiásticas. durante la menor edad de Mi excelsa Hija, i todos los que las' pre Sanciono, y ejeeútese.=Yo la Reina Gobermdora-=Está rubrica sentes vieren y entendieren, sabed: Que habiendo juzgado conve do de la Real tau|iio.=En el Pardo á S…</t>
  </si>
  <si>
    <t>…aud. No solo se utilizarán para la agricultura 2o3 acres de La publicación de la Real cédula de convocatoria á Cortes, v los días tierra, en el espacio que media entre ios tres lagos de liienne, Morat y Neuf- de nuestra Señora {a Reina Gobernadora se celebraron en esta ciudad en chatel, sino que ademas los distritos vecinos de Iverdun , Orbe &amp;c. adquiri los dias 22, 23 y 24 del corriente de la manera que vamos á expresar: rán una grande extensión de terreno. Todavía los cinco cantones interesados La publicación de la Real cédula se verificó…</t>
  </si>
  <si>
    <t>…rnador*, compo PROVINCIA »B OVIEDO. nejcp AA ra.pir»n D. Pedro Oller.y puesto en música por el referido Pons; _ Avisa su gobernador civili en,Oficio de 29 del mes próximo pasado , que terminando con los vivas i Isas i. l ii, á la Reina Gobernadora y ál Esta si bien era casi el mismo el número de invasiones que ocurrían en aquella ca tuto Real. lili seguida los señores oficiales del regimiento acompañaron á las pital, eran con todo mucho mas benignas, y por consiguiente menor el nú señora je .invitaron á los caballeros que se hallaban presentes…</t>
  </si>
  <si>
    <t>…or últi mo le obligó á meterse en ios espesos pinares de Mosquerucia , lo que coinci Los Milicianos urbanos de la villa de Cenicero han dirigido i S. M. la dió con la recalada sobre Cantavieja de Camicer con 13 infantes y 20 caba Reina Gobernadora, por conducto del gobernador civil de Logroño, la ex llos, única fuerza que le quedó de resultas del choque con Nogueras, adonde posición siguiente: igualmente llegó Batilés con unos 160 hombres de los 4^0 con que había "Señora: Los Urbanos de Cenicero hemos visto con lamas vira y tier empezado su…</t>
  </si>
  <si>
    <t>…e su patria. Teridreislo entendido, y dispondréis lo conveniente ,1a Península, ninguno ha causado tan profundo dolor en el piadoso svrazotef I i su cumptimienro^cEsrá rubricado de la Real manOc=En Palacio i 7 de Fe- ale S. M. la Reina Gobernadora, como el de haber tomado parte en ella al Ibrcro de Í83:4¿=A D. FranciscoMartinez de la Rosa, Presidente del Consejo gunos individuos del clpro secular y regular, unas veces entrometiéndose á re | de Ministros. solver altas cuestiones del derecho público nacional, que no están al alcance de sus est…</t>
  </si>
  <si>
    <t>…sediciones y Real orden. alzamientos que tienen conmovido aquel desgraciado paiS; la grave y estrecha obligación en que se halla el Gobierno de apurar cuantos medios es ten dentro *Exctno. Sr.: Habiendo hecho presente á S. M. la Reina Gobernadora que de sus facultades para apagar el fuego devorador de las discordias, y •! deber consideraba ageno de este ministerio el negociado de casas de Moneda, pare— en que [están todas las autoridades eclesiásticas y civ.iles.de cooperar firme y sin ciéndome que debía volycr al JeL cargo de Vi. E», en el…</t>
  </si>
  <si>
    <t>…dignará accp- grar taT1 benignamente, y el ayuntamiento de su capital ofrece ademas respetuoso tactas ‘toifiiofaifenégés de gratitud, de fidelidad y de amor consagrados í su Rkina y destru SéfiOra DofiajIsAmnt'ii ,“y i V. M. como Reina Gobernadora, rogando al cion : satisfaciéndola seremos fieles á nuestros juramentos, y acreditaremos que Ctéki conserve raa prectosér vidas para bién y prosperidad de toda la monar- no ha sido vana la confianza que en nosotros ha depositado. «tuía, Salas consistoriales de Búrgos S de Febrero de 1834~=Sef&gt;ora r…</t>
  </si>
  <si>
    <t>…aris; modo de elegirlos y requisitos para tener voto en ríales, en cuyo centro se velan ios. retratos de S. M. Doña Isabel 11 y de su I dicha elección; número de electores que de cada cuartel de Paris debe concur augusta Madre la Reina Gobernadora. rir á la elección: y se establece que cada uno de dichos cuarteles tenga un cor Bornes 30 de Diciembre. regidor (maíre) y dos adjuntos. \ El ministro de Comercio presenta otro proyecto de ley para la organiza La proclamación de S. M. se verificó en esta villa el 15 del cor/ientq con I ron de los ay…</t>
  </si>
  <si>
    <t>…ientos e ideas decisión general. Todo el gasto de las funciones se ha hecho ¿ expensas de los con mas precisión y sinceridad. vecinos, y señaladamente se distinguió la beneficencia deL Excmo. Sr. margues »»No dejaré, dice nuestra Reina Gobernadora, á nombre de su augusta de Villafraoca, quien distribuyó i/óu raciones de pan y 3uu de carne, y otras Hija (Q. D. G) estadiza y sin cultivo esta posesión preciosa que le espera. Co 3UÜ también de carne el honrado labrador D. Antonio de Mesa. nozco los males que ha traído al pueblo la serie de nuest…</t>
  </si>
  <si>
    <t>…S. M. la Retna Gobernador* ífeFéipedicnto promcvujj do por varios interesados en solicitud de que se les #2¡#fi^re de variis'eabttd^l des exigidas por el gobierno constitucional en calidad1 de préstatrib -forzoso;j¿| ■■ S.Hr. la Reina Gobernadora se ha servido expedir por conducto de-la enterada S. M. de lo" consultado por el Consejo supremo de Hacienda V4* priméra Secretaría de"Est?do y del Despacho los Reales decretos siguientes:. servido mandar, que para proceder en esta clase dé‘reclamaciones sé observen.'! ' Queriendo dar á la Real Mae…</t>
  </si>
  <si>
    <t>…ICIA. otras potencias, lo» diversos ramos del gobierno, á nombre y como Real orden. turara de la Reina Doña Isabel ii por voluntad expresa del rec to y bondoso Fernando , como se ha patentizado ya por las sábtas Deseando S. M. la Reina Gobernadora remover cuantos obs y tan bien meditadas disposiciones que se han publicado. El Todo truios se opongan á la pronta y expedita administración de justi poderoso , Señora, desplegue sus luces sobre V. M. y el respetable cia , que la vindicta pública reclama imperiosamente en las causas consejo que el…</t>
  </si>
  <si>
    <t>…nos de simpatizar con la desgr».- lla la Nueva. '■ cia dé aquellos infelices, y él se alegraba de ver i ingleses tomar tanto interés por unos hoinbres injustamente oprimidos y condenados. Por tanto exhortab» ¡ He dado cuenta á la Reina Gobernadora de un escrito que á in los concurrentes 4 que continuasen en su noble etnpeñohasta restituir i los de citación mia me dirigió D» José Mariano Valiejo, ¿obre el modo de portados al seno de sus familias, y que al efecto elevasen una respetuosa ex difundir y generalizar la instrucción primaria entre los…</t>
  </si>
  <si>
    <t>…rio generalnumerode5+.las ciencias medicas, pasarán á la librería tributaron sus compañeros de armas. -—..Exámenes celebrados el día 27 de Abrí!, cumpleaños de nuestra excelsa Rrina Lo que comunico 4 V. E. para conocimiento de la Reina Gobernadora, Colimadora en las escuelas normales, establecidas por Re.,1 orden bajo la inspección 4 quien puede V. E. asegurar que con el entusiasmo y decisión que asi en esta inmediata de D. Jo.e Mariano Vallej.i, y distribución de los premios adjudicados el 11 de Mayo en las mismas, por el Excmo. Sr. duque d…</t>
  </si>
  <si>
    <t>…tenciario en aquella corte co se obliga á usar de todos los medios que esten en su jxxler para obli mo su Embajador en la de Paris, se ha dignado mandar la augusta gar al Infante D. Carlos á retirarse de los dominios portugueses. Reina Gobernadora que se ponga inmediatamente en conocimiento’ Art. 27 S. M. la Reina Gobernadora y Regente de España, del público esta transacción importante, que aGanza mas y mas el durante la menor edad de su Hija Doña Isabel ii , Reina de Espa triunfo del legítimo trono, y que ha de influir tan poderosamente en…</t>
  </si>
  <si>
    <t>…n elministerio de lo Interior. No habiendo bastado las medidas vigentes de policía urbana á Ér6riíolván: Si TM.' laTlRHiiA nuestra Señora, y sú augusta Madre evitar los incendios que la imprevisión de los particulares ocasiona la Reina Gobernadora, é igualmente S. A. la Señora Infanta Doña en Madrid; experimentándose que estos fatales accidentes se pro María Luisa, continúan sin la menor novedad en su importante sa pagan mas de lo que debieran por insuficiencia y falta de unidad lud. De Real orden lo digo á V. 'E. para su satisfacción v efec…</t>
  </si>
  <si>
    <t>…atria, impone hoy al ayunta medidas fuertes, á las cuales por ahora ha creído útil poner un término el nue miento el agradable deber de unir sus votos á los de este ilustre vecindario vo ministerio.*1 para manifestar á la augusta Reina Gobernadora y su excelsa Hija los sent k micntos de nuestra eterna gratitud por el inmenso beneficio que acaba de disTa Oaceta de Leipsíck anuncia, que e! único motivo que haf inducido al pchsar á sus pueblos en Ja promulgación del Estatuto Real. gobierno bávaro á sujetar los periódisos-á un examen antes de ser…</t>
  </si>
  <si>
    <t>…. en los Sres. Procuradores, pocas veces se babrí pronunciado un voto mas de El Sr. Secretario del Despacho de Estado subió á la tribuna y dijo: acuerdo con la mayoría de ¡a Nación que el que se pronunció respecto al em ”S. M. la Reina Gobernadora me manda leer al Estamento su augusta préstito de Guebhard. sanción á la ley sobre abolición del Voto de Santiago.” (Leyó dicha ley san « Me acuerdo que el Sr. marques de Torretnejía, cuyos conocimientos en cionada por S. M.) esta y otras materias aprecio en sumo grado, pronunció un discurso, que ¡…</t>
  </si>
  <si>
    <t>…su encargo. De Real orden lo digo á V. S. para su inteligencia y efectos Real orden. correspondientes á su cumplimiento. Dios guarde á V. S. muchos años. Madrid 4 de Diciembre de 1854.=Moscoso.=A la dirección ge Enterada S. M. la Reina Gobernadora de lo propuesto por la neral de minas. ... - junta de Aranceles con motivo de la duda ocurrida al administra dor de la aduana de Mahon en el despacho de 1,5 libras de tapioca-y cinco de torbisco, procedentes dé Ciotat; se lia servido resolver S. M. que la tapioca y fécula de Sahagu pague por cada libr…</t>
  </si>
  <si>
    <t>…en 12 de Ju nio de 1830, y en virtud de los cuales nuestro difunto Soberano instituye a su Excmo Sr. : He recibido c m el nu\or aprecio la exprés S. M. augusta Esposa Regenta y Gobernadora de esos reinos, durante la menor edad la Reina Gobernadora se sirve honrarme , rcm.nerd. me p Y. 1de su excelsa primogénita la Reina nuestra Señora Doña Isabel i i , y crea un juego de monedas de las aue uiax «un m.-tivo de . . g e .n.ac.a 1 ^ 1 . i-. . ¡» . -■un consejo de Gobierno designando sus lunciones y los individuos que le han i^esa corte de su aug…</t>
  </si>
  <si>
    <t>…á jurar obediencia y respero en defensa de sus Reyes, si necesario fuese. eterno a su augusta sucesora la Reina nuestra Señora Doña Ra^hl ii y á Asi lo harían los habitantes de Tenerife; pero estos esperan que no serán V. M. como Reina Gobernadora durante su menor edad. necesarios otros sacrificios que los del amor y los de la acendrada lealtad espa Estos habitantes, Señora, que en todos tiempos han sido un constante mo ñola; pues puesto el reino bajo el gobierno y dirección de V. M., su bondad, delo de fidelidad y amor á sus Monarcas, y cuy…</t>
  </si>
  <si>
    <t>…ej¡ Sultán, que en las circunstancias actuales le son mas útiles bajo miento del Rey nuestro Señor, el testamento de 6. M., los decretos de S. M. el aspecto político que bajo el ínteres pecuniario. Corren noticias de que el go lo Reina Gobernadora durante la menor edad de nuestra Señora la Retva bierno ingles envía diferentes buques de guerra al Mediterráneo; y de Odesa es Doña Isabel ii , y el manifiesto que con tan extraordinario motivo ha^e a la nación. ! criben también que se hacen pieparjlivos navales por la Rusia en los puertos del mar…</t>
  </si>
  <si>
    <t>…rto pla Coruja | A. Valencia 4 b. Madrid 8 de Enero* Burdeos,Hamburgo,00.00. Barcelonazo ^ b. i pesos ft. GranadaMálaga |1 b.Id. ZaragozaDescuentoi ded. letras par Santander á $ d. á 4 p. 100 al alio. id. á 90 días i á i S. M. la Reina “Gobernadora, por su Real decreto de 22 de Diciembre, Lóndres Id* Santiago £ Bilbao d. i »«• atendiendo á los méritos y servicios de D. Fermín Gil de Linares, alcalde de lá Real casa y corte, y subdelegado principal de policía de la provincia de Ma drid, ha tenido á bien concederle los honores del Real y suprem…</t>
  </si>
  <si>
    <t>…enigna la expresión pura é ingenua de f&gt;s sen menor de las velas de sebo. timientos de la Real sociedad cubana, y persuadirse que estos misinos ser^n los que siempre alimentarán los individuos que la componen. He dado cuenta á la Reina Gobernadora del expediente instrui Dios guarde la Real católica Persona de V. M. ios años que esta Real so ciedad desea para que haga la felicidad de la heroica nación española, á que do en la Secretaría del Despacho de mi car^o, á virtud de una ex tiene este pueblo cubano la dicha de pertenecer. Santiago de Cuba…</t>
  </si>
  <si>
    <t>…ega cemos todavía de elementos de esta ciencia, la cual vemos difundirse con velocidad dío y fábricas* desde que se ha conocido su importancia, y estamos seguros que debe ocupar su lugar La misma el día del cumpleaños de S. M. la Reina Gobernadora, dis enca enun queplanlasde pasionesestudios arregladose hallabaná lasen Francialuces delensiglo.su mayorSu autorefervescencia;la escribió eny unaconcluyeépo tribuyó á su costa á los pobres 233 panes de á dos y media libras, y otras li su prólogo con el siguiente parrafito, que parece se escribiera…</t>
  </si>
  <si>
    <t>…. M., ha tenido á bien mandar: 17 Que por ahora se cierre dicho colegio de jesuítas de Pasages; Excmo. Sr.: SS. MM. la Reina nuestra Señora, y su augusta y todos los bienes, efectos y alhajas pertenecientes á-la comunidadMadre la Reina Gobernadora, como también la Señora Infanta Do se inventaríen y custodien cuidadosamente, y se pongan en admiña María Luisa continúan sin la menor novedad en su importante nistración, bajo las competentes seguridades, a cargo de personassalud. De Real orden lo comunico á V. E. para su satisfacción y de la mayo…</t>
  </si>
  <si>
    <t>…uirá.)’ el peligro de que torciéndose alguna vela prenda fuego en ellos. En entierros, funerales, honras, cabos de año, llamados de primera clase y toda pompa, se pondrán, en el altar mayor seis velas de libra y Enterada S. M. la Reina Gobernadora de una instancia en que seis al titular; cuatro en cada uno de los costados: seis velas de me D. Jayme Gregorio Mova, oficial-segundo de la administración de dia libra en cada uno de los dos primeros colaterales, y cuatro en ca Rentas de la provincia de Córdoba, solicita se le admita en prueba da uno…</t>
  </si>
  <si>
    <t>…el Real Sitio de San Ildefonso; y de igual partidarios entre los árabes, pero no se deben sacar de estos sucesos consecuen cias tales que disminuyan la justa desconfianza con que debe mirarlos el ejér beneficio disfruta S. M. la Reina Gobernadora en el Keal palacio cito de ocupación. (Mentíajero.) dé RiofriO. También goza de perfecta salud en el expresado Real Sitio la Serma, Sra. Infanta Doña María Luisa. CRECIA. , Naup'ia 3 de Junio. =■ El I.° de Junto, aniversario del nacimiento de nuestro Soberano, ha sido REAL DECRETO. ufl día de regoc…</t>
  </si>
  <si>
    <t>…con los últimos paroxismos, se / Madrid 8 de Octubre. . reanima cqnsullegada: su nombre ¿ incomparable decisión inspiran, una con . - • . fianza superior á todas las probabilidades; teúnense pocos"," pero valientes, que S. M. la Reina Gobernadora se ha seryfilo reponer i D. Angel Fernan ya en las Azores aniquilaran fuerzas centuplicadas del usurpador. A costa de dez de los Ríos en la plaza de teniente de Corregidor de Madrid con la anti ; sacrificios de tqda especie se prepara una expedición de que! es general en gefe güedad de su título, c…</t>
  </si>
  <si>
    <t>…l reino, y ocupó el trono en 1109 en el siglo xti. Se verificó esto también sel 11, de la augusta Hija de Fernando vn y de nuestra excelsa Cristina, sin existir derecho escrito sobre el particular , sino por el derecho consuetudi Reina Gobernadora: las de la libertad legal, las de la ilustración , las de la nario de U Nación , según el cual, consultándose el principio de conveniencia tolerancia y de la paz, las de la alianza íntima con las naciones vecinas, las pública , las hembras pasaban á ocupar el trono. del Mediodía, poderosas, floreci…</t>
  </si>
  <si>
    <t>…palabra Infante; llamándole solamente D. Cario* María él: nosotros vivimos bajo el gobierno paternal de nuestra Reina Dofis Isabel ir, Isidro de Borbon, porque aunque sé muy bien que ysa de la acepciones y de su augusta Madre la Reina Gobernadora; donde por los medios ordina de ala voz se aplica á todos los hijos que no sean.el primogénito del Rey, la rios y legales, por el conducto regular de loa representantes de la Nación, se mas general y propia de este caso « como título de distinción yde hopor ¡ tí puede ejercer esta supremacía, y dec…</t>
  </si>
  <si>
    <t>…usado de cierto argumento, á que no cree un Se estaba de esto el ministerio , que como ya ba dicho en otra ocasión , antes de cretario del Despacho que pudiera' dejar de contestar sin faltar á sué mas sagra presentar á la augusta Reina Gobernadora el proyecto del Estatuto Rhai, das obligaciones. Y siento por último que en una cuestión de esta naturaleza, manifestó en su exposición que esta era una cuestión tan trascendental en sus tan capital, y en la que el ministerio ha cumplido con el honroso deber de to consecuencias, como que tal vez ib…</t>
  </si>
  <si>
    <t>…0 salieron el general Espartero d* guerra civil que os devora. En nombre de nuestra legítima Reina Isabel ii, Llodio, é Iriarte de Amurrio, y al anochecer alcanzaroh á la facción en las in y por órden de su augusta Madre S. M, la Reina Gobernadora, traigo á to mediaciones de Arteaga, reunida la de este valle á Sopelana, Ibarrola y do* dos la paz en una mano; pero con la otra empuñaré la espada, y haré una batallones de la costa ; el resultado fue que dejaron los facciosos porción d* guerra de exterminio á cuantos persistan en la obcecación d…</t>
  </si>
  <si>
    <t>…dió en sus filas, que inme yo.=Excmo. Sr. Secretario de Estado y del Despacho de la Guerra. diatamente abandonaron el puesto. Las compañías de reserva de la Princesa, al toque de ataque y á la voz de viva la Reina , dada S. M. la Reina Gobernadora, al oir el parte que antecede, se espontánea y unánimemente, y repetida por todos los de sus guer dignó mandar al punto se diesen gracias, en su Réal nombre y en rillas, las de Zaragoza é'Isabel n, con arma á discreción, desaloja el de su augusta Hija la Reina nuestra Señora, al brigadier Oráa; ron…</t>
  </si>
  <si>
    <t>…in diarios: á Josefa Antonia Zulieldia, vecina del Barrio de Bedayo, humanamente por las facciones : prévias las justificaciones necesarias, en Guipúzcoa, viuda de José Antonio Jáuregtii, asesinado en Arri jt ha dignado S. M. la Reina Gobernadora conceder sobre los fondos ba, dos reales de vellón diarios: á la viuda de D. Bernardo Alero- &lt;]e la mitra de León, y de las prebendas, canonjías y beneficios de rio, teniente graduado de la columna mpvil de carabineros de Ara eclesiásticos extrañados, las viudedades siguientes ; A Agueda Naida, gón…</t>
  </si>
  <si>
    <t>…cuadros están llenos de rasgos hermosísimos, originales, y que hala gan la&gt;.fanlasia. Sus comparaciones, generalmente hablando, son propias y su periormente acabadas;.y en fin, lucha felizmente con los poetas latinos, de S. M. la Reina Gobernadora,se ha servido resolver que en la, Redacción cuyas imitaciones está lleno el poema. ' de la Gaceta haya dos taquígrafos segundos, cada uno con 123 rs. vn. de do No es, pues , el Bernardo de Valbuena una obra de perfecta elocución; tación anual, y que los aspirantes sean aprobados por un profesor, in…</t>
  </si>
  <si>
    <t>…inisterio de lo Interior. renos de avisar á todas las personas que delien asistir a ellos y resi dan en sus res [lectivos distritos. Después de dar la voz de la hora Excmo. Sr.: S. M. la Reina nuestra Señora, su augusta Ma dre la Reina Gobernadora, y S. A. la Señora Infanta Doña María añadirán la de «fuego en tal parroquia” para conocimiento del ve-' cindario.Luisa, continúan sin novedad alguna en su importante salud. De4t&gt;. Todas las guardias y piquetes de la población destacarán UBReal orden lo participo á V. E. para su satisfacción y para…</t>
  </si>
  <si>
    <t>…DE AGOSTO DE 1834CORTES. Ex posición leída en las Círtes generales del Rema par el SeeretarioTeí Des pacho de Estado en cumplimiento de lo prevenido en el Erra-mo Re ai. BRAUXVrO DE PAOCU*ADOSE». Desde el momento en que S. M. la Reina Gobernadora me honró "con Sesión del día 9 de Agosto. su augusta confianza, nombrándome Secretario del Despacho de Estado y Pre Se ábrió á la» diez menos cuarto, y leída el acta de la anterior quedó sidente dtl Consejo de Ministros, no tardé en convencerme de qóe én medio •probada. de las dificultades que ofre…</t>
  </si>
  <si>
    <t>…Príncipe que tantos bien eran favorables al sistema de común equilibrio. males ha acarreado á su patria con sus ambiciosos conatos. A pesar de todo, Justo es repetir en esta ocasión, como S. M. se dignó ya hacerlo en el S. M. la Reina Gobernadora , llevada del impulso de sus generosos sentimien discurso de apertura de las C-órtes7-que los mencionados,gabinetes, no hanma tos, y correspondiendo á los deseos de sus augustos Aliados,'manifestó que esta nifestado la intención ni el deseo de entrometerse en una cuestión meramente ba pfonurá señat…</t>
  </si>
  <si>
    <t>…sase por largo- nete español ha retardado por motivos plausibles de circunspección y delicadeza, tiempo reconocer á aquel Estado. N ' el reconocimiento de la Bélgica como nuevo Estado-admitido en la gran fami Mas asi que S. M. la Reina Gobernadora juzgó llegado el caso de reco lia europea; mas el ejemplo de otras naciones, el déseo de satisfacer los votos nocer á Doña María de la Gloria como Reina de Portugal, ofreciendo caflpo de los augustos Aliados de S. M., y sobre todo el deber de no desatender los anuncio y primicias del reconocimiento…</t>
  </si>
  <si>
    <t>…uel fuego, que es ciendo un servicio bastante activo. necesario sofocar en Su principio si queremos que nuestros comitentes disfru «En las provincias del Norte hay sobre 409 hombres, de los cuales son ten de los beneficios que la Reina Gobernadora nos señala. No son ellos movibles 2G9 en tres columnas, la que menos de 69 hombres, y los otros bastantes para reprimir á los que se han reunido pira combatir el Trono de 209 están destinados á guardar los puntos fortificados, las costas Scc: en esos nuestra adorada Reina Doña Isabel-ii : á las bay…</t>
  </si>
  <si>
    <t>…general de liquidación de ¡a deuda del Estado. S. M. se ha dignado conferir el vireinato de Navarra al teniente general D. Francisco Espoz y Mina, general en gefe del ejército de operaciones del Conforme á lo mandado porjS. M. la Reina Gobernadora en Real Norte, y nombrar comandante general de las provincias Vascongadas al ma órden de 20 de Octubre último, deben ser admitidos á liquidación todos los riscal de campo D. José Carratalá. créditos contra el Estado, que no fueron presentados en el tiempo prevenido por Real decreto de 4 de Febrero…</t>
  </si>
  <si>
    <t>…otro hemisferio, que, como jico, Buenos-Áires y otros diversos puntos. El año 1833, preparado el nuevo quiera, españoles son; no americanos. Ni considero vulnerados en lo mas míni orden de cosas, y ilgiendo ya el Estado S. M. la Reina Gobernadora á vir mo los derechos de los peticionarios , ni el Estamento cercena los suyos, acor tud del testamento del difunto Monarca, firmé, como individuo suplente del dando una suspensión que ya tantas veces se ha hecho. Asi lo hemos visto coa Consejo de Gobierno, una exposición á S. M. excitándola á que…</t>
  </si>
  <si>
    <t>…hallaren los bienes que se reclamen. cosas. Art. 18. Ningún particular podrá ejercitarlas acciones que sobre la ma Para poner término' i tamaños males, conforme á los desees de S. M. la teria de esta ley correspondan al Estado. , Reina Gobernadora, siempre solícita de avanzar con paso firme en el camino Art. 19. Los promotores fiscales en primera instancia, y los fiscales de de la pública prosperidad, tengo el honor de presentar á las Cortes el adjunto las Audiencias y Tribunales supremos en las ulterioresde acuerdo con el di proyecto de ley…</t>
  </si>
  <si>
    <t>…DE MADRID. ARTICULO DE OFICIO. en el trono heredado de sus mayores á su augusta Hija primogénita nuestra amada é inocente Reina la Señora Doña Isabel ii, y á su heroica Madre en la Reina nuestra Señora Doña Isabel ii , y S. M. la Reina Gobernadora, cargada de la regencia durante su menor edad. El vecindario de esta villa y de I siguen sih novedad en su importante salud. los 34J pueblos que componen su partido, está animado de los mismos senti mientos, y naturalmente obediente y sumiso se dispone á contribuir por su Del mismo beneficio disfru…</t>
  </si>
  <si>
    <t>./ ' ■ 23 publicada en el de S. E. el teniente gobernador eon fecha del 17 Madrid 10 de Uñero. ¿9 Julio último,, ; v ./ *?Dado en Gibraltur el dia 30 de Diciembre del ano del Señor lS33.= S. M. la Reina Gobernadora r á npmbre de su augusta Hija la Reina nuev I Gruiliermo/Honstoun, teniente general y teniente gobernador. =s De orden de tra Señora Doña Isabel ii , se ha.servido conceder gobierno militar y político I S. É., J. Adderley, secretario político. de la plaza de Fígueras al brigadier de infantería D. A…</t>
  </si>
  <si>
    <t>…manifestaron todos los individuos que com 21,630................ 500...................... ......... Valencia- ponen este batallón ; y recomendar á la consideración de V.E., para si tiene a bien elevarlo á la superior de S. M. la Reina Gobernadora, al capitán gra duado de teniente coronel D- Félix Sarasa por el mérito que contrajo en el mando de la columna que ataco a los rebeldes de frente; al teniente graduado soua DB coMBRCio_»CW¿Sd9¿70tt de hoy ¿ las tres de la tarde. de capitán D. Antonio Gatell, al de la misma clase D. Salvador Negravc…</t>
  </si>
  <si>
    <t>…CETA DE MADRID. de los de oidores del Consejo de Navarra Martin Javier D. Por separación ARTICULO DE OFICIO. en Muzquiz nombrar venzo y D. Joaquin Olál , D. Ignacio y Villela Polo, La Reina nuestra Señora Doña Isabel ii, y S.M la Reina Gobernadora, en su luear á D. Pedro García del Valle, audiror de Guerra de Pamplona, á [ siguen $in novedad en su importante salud. D. Josef Aguilera y á D.-Fulgencio Barrera. Tendráse entendido en la Cáma ra para su cumplimiento.zzEstá rubricado de la Real mano.zrEn Palacio a 9 Del mismo beneficio disfrutan S…</t>
  </si>
  <si>
    <t>…ARTlLLLO 1&gt;L OMUM*. considerando que la censura de los periódico seria luii’il si no tuviesen facul tad ios, que la ejercen para prohibir lo que m&gt; estimaren conveniente; que si La Reina nuestra Señora Doña Is v bhl u, y S. M. la Reina Gobernadora, porque el censor suprimiese un articu.o impertinente o sedicioso pud.erj-: . - g= siguen sin novedad en su importante salud. diaristas publicar sus papeles crin ias cohimn is en blindo, sena ape.ar dei ju 1 — 9 cío legal del censor á las pasiones y al e^p.ritu de partido: que tal ha debido jn Del…</t>
  </si>
  <si>
    <t>…iempre manifestó por las glorias de la patria y la sucesión legítima del trono. Lo que manifiesto á V. E. para que se sirva elevarlo á conocimiento de La proclamación de Doña Isasei ii formará época en los anales de este S. M. la Reina Gobernadora. pueblo , y siempre se recordará con júbilo por sus descendientes. Dios guarde i V. E. muchos años. Sevilla 5 de Marzo de J834-=Excclentísimo brc=Migucl Tacóme Excmo. Sr. Secretario de Estado y del Despa Madrid 10 de Marta. cho del Fomento general del reino. Por Reales decretos dirigitjos al Sr. Pre…</t>
  </si>
  <si>
    <t>mil .. rnmmmmmmmmmrn 14B bolsa pb coMHSLCio*~—.C(&gt;tizd$c ion 49 hoy 4 las tres 4* Ut tarde, Lo que traslado i V. E., acompañando la nota de que se hace mérito, a fin de que se sirva dar cuenta á S. M. la Reina Gobernadora. triCTOS PUBLICO», Dios guarde á V. E. machos años. Loja i de Marzo^ de 1834-= Exce Inscripciones sobre el gran libro al 5 p. 100,^00. lentísimo Sr.=El príncipe de Anglona.=Excmo. Sr. secretario de Estado y del Dichas idem al 4 p. 100, 00. Despacho-del Fomento general del reino. Títulos al portador…</t>
  </si>
  <si>
    <t>…ltad Se reúnen noticias para formar el estado de las escuelas de pri y adhesión, y de todos sus habitantes á S. M. la Reina nuestra meras letras y demas dé enseñanza pública dé todos los pueblos de Señora, y í su augusta Madre la Reina Gobernadora, dispusieron la provincia; y en breve se publicará eri su capital un periódico por medio de una suscripción voluntaria que se abrió, levantar con el título del Mensajero aragonés. pendones por nuestra inocente idolatrada Reina Doña Isabel u, Los bailes de fiuscara concedidos por S. M. en favor de l…</t>
  </si>
  <si>
    <t>…ID. ARTICULO DE OFICIO. están usando de licencia temporal, sean gefes ó subalternos. De Real orden ¿te. Madrid ó de Alayo de 1854. = lmáz.r;Sres. Directores ge nerales de Rentas. La Reina nuestra Señora Doña Isabel ii, y S. M. la Reina Gobernadora, siguen en el Real sitio de Aranjuez sin novedad SaBgBaMíá^iii^•■■■■■»— en su impórtame salud. PARTE KO OFICIAL. Del mismo beneficio disfrutan SS. AA. RR. los Sermos. Se ñores Infantes. NOTICIAS EXTRANGERAS. MINISTERIO DE HACIENDA DE ESPAÑA. (Continuación del correo anterior.) CRECIA. 1leales órden…</t>
  </si>
  <si>
    <t>Gobernadóra</t>
  </si>
  <si>
    <t>…racto del parte remitido por el subdelegado de Fomento de Uíprovln. unos y la mejora de lo? otros. Entre tanto para cumplirlos benéficos deseos de cía de Alicante D. Bernardo de Borjas Tarrius, con fecha de 18 &lt;¡le Abril S» M. la REiNA-Gobernadóra ha acordadb coo-U ¡unta de la Real casa de Mi* último. \ seWcordia de aquella ciudad algunos medios prontos dé socorrer la necesidad en Ha forfnado un expediente con el objeto de encontrar el modo de crear que se halla* ** una especie de fondo pió para socorrer á los cultivadores "de barrilla y^ ar…</t>
  </si>
  <si>
    <t>…el ministerio de lo Interior. Señor luíante D. Francisco de Paula Antonio: á uno v otra larin Excino. Sr.: S. M. la Reina nuestra Señora, y su augusta Ma del Trono en pie los Secretarios del Despacho; detras de las Peno-' dre la Reina Gobernadora, como también la Señora Infanta Doña ñas Reales los Gefes de Palacio, las Damas de honor ¡y personas de María twsa, continúan sin novedail en su importante salud. De la servidumbre que hayan designado SS. MM. y A. Real cfrdfen lo participo á V. E. para su satisfacción y para los efec A la derecha d…</t>
  </si>
  <si>
    <t>…RgMA Gobernadora, durante la menor edad de su excel nes de aquellas corresponderá su presidencia a ios gobernadores ci sa Hija? ¿Juráis guardar y cumplir las leyes jundamentales de la viles ó á los capitanes generales; y S. M. la Reina Gobernadora, de JUonar /uía, procurando por cuantos medios esten d vuestro alcancé su seando evitar el choque y competencias que pudieran resultar cutre mantenimiento y firmes t ? ¿Juráis haberos fiel y lealmente en el gra las primeras autoridades de las provincias en daño del Real servicio, ve encargo que vai…</t>
  </si>
  <si>
    <t>…MM. han consentido en entrar como paites en el propuesto convenio. Muy Sr. mío: Al encargarme del ministerio de Estado , que se ha digna Al efecto S$¿ MM- han tenido á bien nombrar como Plenipotenciarios, do confiarme la augusta Reina Gobernadora , llamó naturalmente mí aten á saber : ción el inesperado retraso que había padecido el reconocimiento de la Reina S. M. la Reina Regenté de España, durante la menor edad de su Hija mi Señora Doña Psabel ii , por parte de algunas Patencias de Europa; retra Doña Isabel n . RtmrAr-dc-EspAiía t á O. M…</t>
  </si>
  <si>
    <t>…, U voluntad generaLd© la Nación, hasta el triunfo mis de la Reisa nuestra Señora. mo dé laS armas (si pudiera citarse en tal materia) , todo ha venido á confir mar los derechos de Isabel ii al trono de su augusto Padre. S. M. la Reina Gobernadora me ordena dirigir á V. E. copia del des ■-Nií:és posible concebir, por lo tanto, en qué se apoya la indecisión de pacho comunicado de Real órden al ministro de S. M. en Viena , con el fin - algunos gabinetes en materia que aparece tan clara; siendo tal ver de recelar ■que en el mismo documento se e…</t>
  </si>
  <si>
    <t>…egítima en virtud de las lepes p costum JO» Soberanos,, psi puede refluir algún dia en Ja perturbación de otros Estados bres de la Monarquía. el que .dure por largo tiempo en la Península la agitación y zozobra, que nace S. M. la Reina Gobernadora tiene tanta confianza en la previsión p siempre de discordias intestinas y del choque de encontrados partidos. Él Tro prudencia que distinguen al esclarecido varón que hop ocupa la silla de San no de Isabbi n, asentado sobre bases sólidas y estables, es el único que pue Pedro, que no teme que conti…</t>
  </si>
  <si>
    <t>…r las cuotas con proporción á las ganancias individuales, siendo imposible averiguarlas, y el no comprender indistintamente á todas , REAL DECRETO. las clases y profesiones para evitar que sufriesen las u'ria..»el grava S. M. la Reina Gobernadora se ha servido dirigir el autógra men de que se exceptuaba á otras, ocasionó no poco^ disgustos y des fo Real decreto siguiente al mayordomo mayor de S. M.: Que abrimientos, que llegaron á su colmo cuando se tocó por experiencia riendo solemnizar el fausto natalicio de mi muy querida Hija la la falt…</t>
  </si>
  <si>
    <t>…sición de dicho señor la suma de 153 rs. de los productos del honor de comunicar á V. E. ¿ fin de que tepga a bien elevarlo a conocimien indulto cuadragesimal, prometiéndose de su laudable celo, si llega á ser auxi to de S. M. ia Reina Gobernadora; no pudiendo menos por tni parte de elo liado, como es de esperar, por los vecinos piadosos de esta corte, sin k&gt; cual giar el mérito contraido, tanto por dicho general, cuanto por los demas indi— 1 sería imposible se realizase, que la nueva casa de Misericordia lo sera bien viduos, á quienes parti…</t>
  </si>
  <si>
    <t>…n y objeto de los comisio nados. ' Real orden. 3. ° El director de la escuela Mr. Cromby, cuya principal ocupación es la de formar maestros, naturales y extranjeras &gt; y que la desempeña con gran Eterno. Sr. Conformándose S. M. la Reina Gobernadora con lo crédito , los instruirá de cuanto deben hacer , y los conducirá por ei camino . propuesto por esa comisión en cumplimiento de lo que se la previ mas seguro y breve al conocimiento que se desea del sistema. Deberán por tan no en Real rc-den de 4 de Octubre último, se ha dignado comisionar to…</t>
  </si>
  <si>
    <t>…s medidas que le dicte su celo para que esta parte tan importante del ser Parte sanitario de 31 de Octubre. vicio se desempeñe con la actividad y buen éxito correspondientes. Pueblos* Pías. Enfermos. Curados. Fallecidos^ S. M. la Reina Gobernadora se ha servido nombrar á D. Ramón Arce Cabeza de Baca, oficial cesante de la contaduría de Propios de Santander, para Aroche.................. 15 a 21 de Oct. 119 80 9 la plaza de primero de la de Huesca, vacante por salida de D. Pedro Palacio Cortegana............. 12 á id. ¡d-... 78 10 12 i segund…</t>
  </si>
  <si>
    <t>…as armas, descansando al misf ¿Juráis fidelidad y obediencia á la Reina nuestra Señora Doña Isabel n,. mo tiempo en la confianzi que debe inspirarle la parte que le cabe en los codty en su nombre durante su menor edad, á S. M. la Reina Gobernadora? sejos de revisión, ó sean comisiones que han de juzgar de las excepción^. j ¿Juráis guardar y cumplir el Estatuto Real y las leyes de la Monar Deseando, pues, conciliar las ventajas y los inconvenientes, el porvenir quía: defender con las arma*&gt;.el territorio contra los enemigos exteriores é inte…</t>
  </si>
  <si>
    <t>…n en el Real sitio de Aranjucz sin novedad en Abril de 1834-= A D. Nicolás María Garelly. su importante salud. MINISTERIO DE LA GUERRA. Del mismo beneficio disfrutan SS. AA. RR. los Sermos. Se ñores Infantes. Real órden. S. M. la Reina Gobernadora se ha dignado extender los be Reales decretos. neficios del Real decreto de 11 de Febrero último relativo á la clasificación definitiva de todos los oficiales del ejército no emplea-' Deseando que se respeten debidamente la inmunidad personal dos, en excedentes y retirados, á los cadetes', sargento…</t>
  </si>
  <si>
    <t>…0, 40i. Empréstito Real triunfará vuestro ardiente patriotismo guiado por el digno gefe y de id. 81 f. Renta perpetua de id. 65. ofici^es que ha pussto á.vuesUo'fíente la inmortal-Gjustina. Vi va $¿»gx u, viva su excelsa Madre la Reina Gobernadora.” camara de ios DiruTADos.__iCpncluyetla sesión Éel diJ13. i PAUTE NO OFICIA! a. M. de Remusat-dice-que el orador-que-acaba de-bftjar-de'hi tri buna se ha propuesto, según parece, dos cosas: 1.a vindicar á un r ♦ÍOTI'CIAS EXTRANJERAS. .partido del ataque qu? le hizo ayer el ntírttetro de ImtruCCion.…</t>
  </si>
  <si>
    <t>…o el 8 del próximo mes á la Señora Doña Isabel ii de Borbon como Reina legítima de las Españas, en cuya defensa quisiera vuestro gobernador y el pueblo que tiene á sus órdenes derramar hasta la última gota de su sangre ' S. M. la Reina Gobernadora, á nombre de su augusta Hija la para poner asi el sello de la inmortalidad á su lealtad nunca desmentida. Ma Reina nuestra Señora Doña Isakf.l ii, se lia servido conferir el go tanzas y Enero 26 de 1834- =Señora. = A L R. P. de V. M. = Francisco bierno militar y político de la plaza del Ferrol al c…</t>
  </si>
  <si>
    <t>…eglo á las instrucciones que ti, y efectos cogidos en ella. Lo que pongq en noticia de V.E. para que .se Je he comunicado, verificará, tanto en este distrito como en Castilla ó cualquier .sírva elevarlo á conocimiento de S. M&gt; la Reina .Gobernadora. otro puntoUna de las partidas del coronel Rebollo, empleada en la persecución de ..Parte.4 que se refiere el oficio anterior. una gavilla de 5 hombres montados mandados por el Gaitero, ha conseguido coger dos de estos, un caballo y varias armas. 1 Exento. Sr.: Consecuente á lo que insinué á V. E. e…</t>
  </si>
  <si>
    <t>…rt. 8? Los profesores de medicina, á quienes los rigores de la Real órden. \ enfermedad epidémica ofrecen ocasión para cubrirse de gloria en su noble carrera, que. acrediten haberse distinguido por su celo en la Deseando S. M. la Reina Gobernadora facilitar á los pueblos asistencia de los enfermos, merecerán la particular consideración de afltg idos por el cólera-morbo todos los auxilios que reclama su tris S. M. para ser atendidos en sus solicitudes, asi en las de su profesión, te situación; considerando que la salud pública es la primera d…</t>
  </si>
  <si>
    <t>…a de la división activa. Mañana esperan en el cuartel general de la divi sión al teniente general Soult. (Diario de París.) SCSCRIPTORES- Re. de OH. Cartas recibidas hoy de Génova anuncian la llegada de D. Miguel á aquel S. M. la Reina Gobernadora............................................................. puerto , á bordo de la fragata inglesa Stag. (Monitor.) S. A. el Sermo. Sr. Infante D. Francisco de Paula Antonio......... S. A. la Serma. Sra. Infanta Doña Luisa Carlota, su Esposa. (L). . Han entrado dé Bélgica eh Francia durante el año de 1833 , 79 cabezas El primer Secretario de Estado y del De…</t>
  </si>
  <si>
    <t>…asparencia Ar riba del primero estaba un sol bello y resplandeciente, i cuyo rededor giraban Madrid 11 de Agosto. dos planetas colocados sobre los segundos: dentro, y en medio de-mil-adornos, Se han celebrado los dias de S. M. la Reina Gobernadora y la solemne se hallaba Doña María Cristina i&gt;b £oabon , ni*g&amp;tr*r Rliva Regenta Gobernadora, con I&amp;abju it en los brazos: la inoccptQh:nberana tenia en sus apertura de las Cortes generales del Reino crin las mayores demostraciones de gratitud y amor, y toda clase de fiestas y regocijos públicos, en las…</t>
  </si>
  <si>
    <t>…rio para que presten el juramento los ilustres Igualmente lo quedó de un oficio del Presidente del Consejo de MinisPróceres que, después de haber hecho constar ante la comisión correspondien tros , en que participaba que S. M. la Reina Gobernadora le habia autorizadate tener las calidades requeridas, y estar aprobadas por el Estamento, haya ma para presentar al Estamento el proyecto de código criminal, cuya lectura ba nifestado ó manifieste el Gobierno de S. M. están empleados en destinos del ria el martes próximo. Real servicio, del que no…</t>
  </si>
  <si>
    <t>…tivos gobernadores civi les, manifestando que si bien aquella soberana determinación es. sélCTC-A. útilísima y justa en lo general, no por eso deja de ser perjudicial en Bruselas 21 de Agesto. atounos casos particulares; S. M. la Reina Gobernadora, queriendo evitar los inconvenientes que pudiera ofrecer la aplicación unifor El Monitor de hoy publica la lista de las personas que habiendo residid, en Bélgica desde 1814 • han manifestado su intención de ser consideradas como me de la citada Real orden en las diferentes provincias, se ha ser hij…</t>
  </si>
  <si>
    <t>…; porque es seguro que todos mente, fue aprobada por 61 votos contra 46. los que entonces votaron la petición creyeron qué era meramente el deseo de Los Sres. que la aprobaron fueron los siguientes: Otazu, Cano Manuel, pedir á la Reina Gobernadora que se diera una ley sobre esta institución; pe Rodríguez Paterna, Osea, Clarós, Llano Chavarri, Lcrjriva, Rivaherrera , Do ro no se trató de su nombre: y apelo sobre ello á la buena fe de los Sres. Pro mecq, Montes de Oca, Cuevas, Miguel Polo, Tosquellas, Medrano, Bahillo, curadores. Yo por mi par…</t>
  </si>
  <si>
    <t>…arse con crímenes. Madrid 11 de Diciembre. Muchos caracteres háy que si una vez se proponen un fin por convic ción ó por capricho, jamás desisten de sus proyectos. La política, que es el Por Reales decretos se ha servido S. M. la Reina Gobernadora separar ■arte de conducir las naciones, debe conocer ¡os hombres , y prevenir ó apro de sus respectivos destinos á D. Celestino González Azpilcueta/corregidor de vechar sus disposiciones individuales. Es un principio de la mas severa moral Alcaráz; a D. Ramón i'ejeiro, alcaide mayor de la Coruña ;…</t>
  </si>
  <si>
    <t>…que se ha anunciado, que ellos tendrían un gran Isabbl ii deberá reducirse á la de 30 millona, y aprobarse la asignación de 12 interes en que se tratase de la cuestión y se despachase pronto y bien, mostran millona para S. M. la Reina Gobernadora. do su desapego á lo que lea es personal en el mismo detenimiento con que pro La comisión ha examinado con sumo detenimiento la necesidad de la pri ceden. mera asignación; ha tomado y reunido cuantas noticias y datos la han sido po «Por lo tanto insisto , y por eso principalmente me he levantado, y par…</t>
  </si>
  <si>
    <t>…zón incontestable de que como pensión alimenticia concedida al Señor ros en ella, en los dos puntos de las asignaciones de S* M. , y&lt;de su augusta Infante Di Gabriel, ¿ independiente de la fundación del citado mayorazgo, Madre la Reina Gobernadora. debía cesar á su fallecimiento , y no trasmitirse á los que le sucediesen en él. Sin entrar en discusiones, que desearía de todo corazón que se evitasen, La comisión, adoptando estos principios, y considerando esta pensión pu- sobre la lista civil de otros Estados atendida la proporción de su rique…</t>
  </si>
  <si>
    <t>…o al trono de S. M. Los yan. El presidente levanta la sesión. votos de este pueblo son la felicidad de la monarquía, la unión de los espa CÁMARA DB LOS DIPUTADOS.—JV/I0H de Ídem* ñoles, y el acierto en sus providencias de S. M. U Reina Gobernadora, una Aprobada el acta de la última sesión, se da cuenta de varias solicitudes de de las tutoras mas sobresalientes que en ninguna época ha presentado la historia de España.Iparticulares, entre ellas la del Sr. Vecchiarelli, napolitano refugiado, que se Gradefes 16 de Diciembre.[queja de que los tri…</t>
  </si>
  <si>
    <t>…ICULO DE OFICIO. rificar en esta provincia la quinta de 259 hombres últimamente decretada, res- I pecto á que no tiene noticia de los pueblos que por efecto de la nueva división I La Reina nuestra Señora Doña IsAsbz n, y S. M. la Reina Gobernadora, territorial deben agregarse á dicha provincia , ni tampoco de ios que se segre siguen sin novedad en su importante salud. gan de ella; y enterada S. M. se ha servido resolver: Del mismo beneficio disfrutan SS. AA. RR^Jos Sermos. Sres. Infantes. 1. ° Que á cada uno de los pueblos que componían la a…</t>
  </si>
  <si>
    <t>…l de las provincias vascongadas. EXcmo. Sr. : Por el ! del Despachó. brigadier D Baldomero Espartero, comandante general de Vizcava, y en ofi cio de ayer se me dice lo riguienfe: Comandancia general de Vizcaya. Lxce- í La augusta Reina Gobernadora ha oido con. particular satisfacción la an lentísimo Sr.: Según dije á V. E. desde Oñate en mi parte dei, 2 del actual tecedente noticia oficial del estado progresivo de mejoras de la isla de Puerto- ha quedado enteramente batida y dispersa la facción de mas de hombres, j Rico, dignándose mandar qu…</t>
  </si>
  <si>
    <t>13 de Abril de IS34. GACETA' DE MADRID. ARTICULO DE OFICIO. MINISTERIO DEL TOMENTO GENERAL DEL REINO. Real ¡irden. La Reina nuestra Señora Doña Isabel ii, y S. M. la Reina Gobernadora, siguen en el Real sitio de Aranjuez sin novedad en He dado cuenta á S. M. la Reina Gobernadora de la consul su importante salud. ta de V. S. acerca de la distribución qi.e deba darse ahora á los Del mismo beneficio disfrutan SS. AA. RR. los Sermos. Se derechos de doce , ojio y cuatro reales que se…</t>
  </si>
  <si>
    <t>…suelen ocupar á las au Real orden. toridades en demasía, y ocasionar notable pérdida de tiempo coi» perjuicio del breve despacho de asuntos útiles y urgentes: S. M. la Teniendo en consideración S. M. los distinguidos méritos que Reina Gobernadora se ha servido mandar, que j»ara que disfruten tiene contraídos D. Andrés de Arango , y su acendrada lealtad y ad los subdelegados de Fomento de la presidencia que les corresjionde hesión al legítimo trono de su augusta Hija Doña Isabel n, se lia y está declarada cuando concurran á solemnidades ó re…</t>
  </si>
  <si>
    <t>…ella. puesto de 1834 Para socorrer á los extrangeros refugiados en Francia; y 3.° pa* Habitantes de las provincias de mi distrito: ra abrir un nuevo crédito de 2209 francos con objeto de socorrer á los conde «Al honrarme S. M. la Reina Gobernadora en nombre de su augusta Hi nados por delitos políticos en tiempo de la restauración. ja , con el mando de esta provincia , una de las circunstancias que mas estimu El orden del dia es la discusión del proyecto de ley relativo á abrir un cré lan mi reconocimiento , es la muy satisfactoria de estar á…</t>
  </si>
  <si>
    <t>…rse yporel Oficio recibido en el ministerio de lo Inierior. menor movimiento militar á.que se viese forzado el Gran Señor, causaría un golpe mortal á su poder. (Idff Eterno. Sr.: S. M. la Reina nuestra Señora, su augusta Madre la Reina Gobernadora, como también S. A. la Señora Infanta Doña XUSIA. Mária Luisa, continúan sin la inenor novedad en su importante sa lud. De Real orden- lo participo á Y. E. para su satisfacción y para Petenburgo de Junto. los efectos oportunos—Dios guarde á V. E. muchos años.=S. Ildefonso La noticia que traen los p…</t>
  </si>
  <si>
    <t>…administración con sus medios y fines deducidos de sus hechos mería T&gt;. Bemardino Lillo con fecha de 10 de Junio último. públicos; precediendo a todo una rápida ojeada sobre lai esperanzas que hizo concebir el enlace de S. M. la Reina Gobernadora con el difunto Monarca, y medios iror lo* Trataú de remover los obstáculos que han entorpecido la* obras necesarias que se frustraron en un principio. Se venden en Madrid á 4 rs. en la librería de Sán para el riego de aquella vega, y pueblos comarcano*. chez. Ha instruido un expediente para la cons…</t>
  </si>
  <si>
    <t>…l ti continúa sin novedad inteligencia y efectos correspondientes. Dios guarde á V. E. mu en su importante 'salud en el Real sitio de San Ildefonso; y de igual chos años. Madrid 1U de Agosto de 18-34-. beneficio disfruta S. M. la Reina Gobernadora en el Rea! palacio de Riofrio. También goza de perfecta salud en el expresado Real sitio la Serma. Sra. Infanta Doña María Luisa. Por Real decreto de‘2Gde Junio último se sirvió concellerS. M. la Reina Goberna lora honores de ministro togado de la Real au diencia de Sevilla á D. José Rivero de la H…</t>
  </si>
  <si>
    <t>…ropages, mostrando la gentileza de sus talles, y todos los atractivos que la naturaleza les ha prodigado con singular esmero; la misma’Terpsícore na Doña Isabel ii (Q. D. G-)&gt; y para esto ha aprovechado el dia de nuestra augusta Reina Gobernadora, y en que al mismo tiempo se instalaban las Cór- daba el compás, y animaba las mudanzas que hacían en las danzas;y el hombre tcs generales del reino. Dispuso con este motivo una función , propia de su menos sensible, al mirar el cuadro que formaba aquel conjunto de facciones tan instituto, en que s…</t>
  </si>
  <si>
    <t>…arzo último: concluido otros sobre cementerios permanentes, dan vincias de mi mando; en uso de las ámplias facultades que me tiene conferidas do curso i muchas solicitudes pertenecientes a loa maestros de pt i mera educa S. M. la Reina Gobernadora, he decretado lo que se contiene en los artícu ción pidiendo sus debidos honorarios. Se han reconocido infinidad de cuentes los siguientes : de propio»* hecho su deducción del 20 por 100 para el ingreso en tesorería, y l.° Todos los que pertenezcan i las Blas rebeldes y sean aprehendidos por devuel…</t>
  </si>
  <si>
    <t>…aunque en vano, usurpar la corona «Reasumiendo lo expuesto , digo: que el proyecto contiene, ademas del de nuestra augusta Reina Doña Isabel ii. Código penal, el de procedimientos; y que , cuando después de oido el dic »S. M. la Reina Gobernadora, bien convencida de que en el día es tamen de U comisión de 1 F-stamento se presente á la discusión del mismo, importantísima la decisión de este asunto, ya indicó en el d-a de la apertura el Gobierno animado de los mejores deseos entrará 2ustoso en ella, seguro de de las Cortes que sería el primer…</t>
  </si>
  <si>
    <t>…inantemente S. M. que se embarcase. Ministros. i . Sin embargo, por la autógrafa de 8 de Junio desde Coimbra , aparece que se excusó de hacerlo á pretexto del cóleras. Y á la intimación verbal del Exposición presentada á S. M. la Reina Gobernadora por el Secretario plenipotenciario de Real órden, contestó en ll de dicho mes: «veremos;” del Despacho de Gracia y Justicia, y mandada pasar de Real órden d añadiendo que «obedecería al Rey en lo que pudiese ” las CÓrtes ¿enerales del Reino. Pero S. M., en la autógrafa del 15 , después de deshacer…</t>
  </si>
  <si>
    <t>mandato con la competente energía , como Reina Gobernadora. plices ; los resultados de sus doctrinas subversivas, que estallaron en 1826 y 27 Eni y 6 de dicho mes avisó.el plenipotenciario haberle respondido Don en las provincias ,de Guadalajara y Cataluña, y que se comprimieron desuna Carlos lo siguiente: . manera palialivf; éstos indudables sucesos ocurri…</t>
  </si>
  <si>
    <t>…froga perjuicio á derecho de tercero; porque este derecho se halla esencial duda que no se puede privar á las presentes Córtes, en unión con V. M. co mente subordinado al anterior é imprescriptible de la existencia de la misma mo Reina Gobernadora, de ejercer tan importante preiogativa. sociedad. La unión sincera de la nación y del trono en materia tan grave y de tan Tampoco tienen lugar las doctrinas comunes de los mayorazguistas, se ta trascendencia, aleja toda sospecha de parcialidad ó resentimiento, y dará i gún las cuales los llamados á…</t>
  </si>
  <si>
    <t>…e los franceses, á la Carta constitucional y leyes del «En este punto, los individuos del Gobierno siguen en un todo las bené reino: este es el juramento que se hace en Francia* Ademas, la adición que he ficas miras de la augusta Reina Gobernadora; y apelo á los Sres. Procuradores presentado al art. !.°, cuando la extendí y redacté en los términos en que se i 4 Cortes y á la misma Nación; no son otros nuestros deseos sino de que se bor halla, tuve presente la fórmula de! juramento que prestan todos los Sres. Pro ren los vestigios, las huella…</t>
  </si>
  <si>
    <t>…del incendio causaron Gobernadora y la Serma. Sra. Infanta Doña María Luisa, continúan aquellos en unión con los desleales que los auxiliaron, se ha servilla sin novedad en su importante salud en el Real Sitio del Pardo. S. M. la Reina Gobernadora mandar: 1? Que el comisarlo régio ó su delegado que ha de instruir las causas sobre los crímenes indicados se ocupe desde luego en formar y remitir á esta secretaría del Despacho de mi cargo una razón exac REALES DECRETOS. ta de las viudas, huérfanos y demas personas que hayan perdido en aquella lu…</t>
  </si>
  <si>
    <t>…ellas algún alivio á sus »Sus individuos, dóciles siempre i la voz de la razón, lo mostrarán mas infelices conciudadanos. aun en esta ocasión, en que se trata de un asunto de los mas interesantes-” »En cuanto á la dotación de la Reina Gobernadora, en la comisión se El Sr. Presídeme anunció que se suspendía esta discusión para continuarla caminó bajo el supuesto de qtie no debía hacerse ninguna innovación , y por esto mañana , y cerró la^sesion á las cuatro. causó tanta extrafieza el ver que uno de ais individúes presentase voto sepatado, í…</t>
  </si>
  <si>
    <t>…os intendentes. Distante la dirección de los pueblos administrados, ocu ñan la relación de la revista pasada á la guarnición de esa corte por S&lt; M. la I pada la atención de los intendentes con otros asuntos graves, y sumida la ha Reina Gobernadora, la Real alocución dirigida al ejército , y las 4-? cruces I cienda de los Propios en un abismo de amortización á fuerza de exenciones militares de Isabi.l ii. He trasmitido con la mayor rapidez á los gobernadores I y de privilegios, no ha sido posible cortar de raíz los abusos introducidos, ni de…</t>
  </si>
  <si>
    <t>…to de es^o^er c-to» dderentes suceso» historíeos I Madrid 13 de Enero, y alegorías alu-.ivas ya a la legislación de E»paña, v tradición inmemo-I rijl de elegir por Ri.inac J las hemd-as en falta Je vjron.v va a los recuerdos I La Reina Gobernadora por Reales decretos dirigidos al Sr. presidente del de la conquista de las Indias, tafi unidas a !.i irjagy»lad v gloria del poder es- I Consejo y Cámara de Castilla, slé h.» servido nombrar para las dos plazas va pañol, y dd triunfo de sus arma» en el nuevo mundo; v a»i es que los habí-| cante» de…</t>
  </si>
  <si>
    <t>…es Infantes. comunicar esta noticia á nuestros lectores, queríamos esperaT á que un hecho cualquiera comprobase nuestras sospechas; y ahora cree mos ya poder asegurar que el Sr. barón Neuman , que ha sido mi Exposición á S. M. la Reina Gobernadora. nistro del Austria cerca de la conferencia de Londres, irá á BibeSeñora: El ayuntamiento de esta ciudad de Vitoria presidido rích , juntamente con un diplomático prusiano , á fin de obtener el por vuestro comisario regio de la provincia de Alava se contem deseado consentimiento. Ademas el Diario de…</t>
  </si>
  <si>
    <t>…el partido de retirarse. De todo se lia enterarlo S. M. la Runa Gol«ernadora detenidamente, Real orden. y oido el dictamen del Consejo «le Sres. Ministros, se lia servido acordar lo siguiente: Habiéndose dignado resolver S. M. la Reina Gobernadora, á IV Se aprueba la conducta «le V. S. en esta ocasión, y merece el propuesta del Consejo de Ministros, que la a|&gt;ertura solemne de las aprecio de S. M. la entereza con que sostuvo 1a autoridad que ejer Cortes generales de! Reino que van á convocarse, se verifique el ce en nombre de su augusta Hija…</t>
  </si>
  <si>
    <t>…e le presentaron algunos Castro-Ürdiales, del que se despidieron deseando se repóa por largas edades y soldados, y dió libertad á los presos por opiniones. en tiempos, mas serenos en honor del suave y acertado Gobierno de S. M. U Reina Gobernadora, á cuya memoria le ded.can. p,.,. El gobernador militar de Beíra-alta participa con fecha de 22 del mismo desde el cuartel general de Lamego, que en casi todos los pueblos de aquella provincia han proclamado al gobierno legítimo, habiendo tomado las disposi Madrid 1 3 de Maro. ciones oportunas para…</t>
  </si>
  <si>
    <t>…rno brasileño acaba de nombrar al marques de Licbeo encargado de Negocios en Bruselas. Excmo. Sr.: S. M. la Reina nuestra Señora, y su augusta Ma —-----M. Mary , encargado de Negocios en el Brasil, ha presentado sus creden dre la Reina Gobernadora, é igualmente S. A. la Señora Infama ciales el 14 de Febrero al ministro de Negocios extrañecros del Brasil. El 18 Doña María Luisa, continúan sin la menor novedad en su impor se presentó al Emperador D. Pedro n y á la Regencia. tante salud. De Real orden lo participo á V. E. para su satisfacción y…</t>
  </si>
  <si>
    <t>…Isabel fi eorrtimía sin noy edad tentación del b 11 actual.ffn su joipertame MlutTen el Real sitio de San Ildefonso; y de igual Lord M.tlboumr : **Es inútil recordarme mi profeúon de fe en favor de! beneficio disfruta . S. M- la Reina Gobernadora en el Real palacio mantenimiento de la Iglesia, porque sobre este punto, no solo mis opiniones de Riofrio. También goza de perfecta salud en el expresado Real serán siempre francas ,sino que ademas mi conducta se conformará siempre coa sitio la Serma. Sra. Infanta Doña María Luisa. mis palabras. Am…</t>
  </si>
  <si>
    <t>…estado en que se hallaban los ramos que las causas que le impidieron asistir á la sesión Regia y demas subsiguientes en a «tan á.targo.de.su ministerio, leída en Ja sesión de 8 del actual. En cumpli - virtud de órden de S. M. la Reina Gobernadora, mandándole permanecer en miento de lo mandado por S. M , el Estamento-acordó que se archivase. el Real sitio de S. Ildefonso, como caballerizo mayor que es de S. M. Doña - -' También se dió cuenta, y el Estamento quedó enterado de un oficio con ' Isabel ii. - que el ayuntamiento tile Madrid remite…</t>
  </si>
  <si>
    <t>…mbre. 46 21 6 Carrion. .............. 31 Oct. á 6 Nov. 66 36 6 ESPAÑA. Cisneros................. 23 id. á 4 ‘ó.... 35 30 S Saldaña.................. 28 id. á 3 id.... 37 27 $ Madrid 13 de Noviembre. Valoría de Al S. M. la augusta Reina Gobernadora se ha servido mandar que desde cor....................... 25 id. á 1.» id. .. 17 4 i el dia 15 del corriente cese el luto de corte que principió el dia L° deí pasado Villada................... 26 id. á 2 id. — 63 31 16 Octubre, con motivo del fallecimiento de S. M. I. Don Pedro de Braganza, Villaco…</t>
  </si>
  <si>
    <t>…marse á ellos, y el razonamiento me ha conducido naturalmente á exa que se encuentran. Estos mismos principios son los que sostengo ahora, que minar si en caso de ser aquel justo era oportuno, podría producir mas utilida S. M. la Reina Gobernadora se ha dignado honrarme con el ministerio; y ios des que males á la sociedad.Fara resolver puntos tan espinosos, me ha pareci mismos que sostendría sentado en e*os escaño», si S. M. tuviese á bien relevar do necesario remontarnos al origen , al blanco de la institución de la Milicia me de tan honros…</t>
  </si>
  <si>
    <t>…sois ruso, y que debéis conformaros c&lt; m las leyes de vuestro país.” Varias personas responden de U exactitud de oslames después del último caso de cólera morbo ocurrido en esta Cor anécdota.*(Gaceta de las Postas.") te, S. M. la Reina Gobernadora ha resuelto trasladarse á ella, con toda la Real Fam-ilia, en el dia de mañana. XBLGICA. . , S. M. la Reina nuestra Señora, su augusta Madre la Reina Bruselas 1.° de Diciembre. Gobernadora y la Senna. Sra. Infanta Doña María Luisa, continúan sin novedad en su importante salud en el Real sitio del P…</t>
  </si>
  <si>
    <t>…ase V. R avisarme del recibo de este oficio, y noticiarme haber he cho saber su contenido á las tropas y plazas de su mando. Dios guarde á V. E. muchos años. Madrid 11 de Diciembre de 1834-= Valle de Rivas. Conformándose S. M. ia Reina Gobernadora con el parecer del gober nador civil de Avila, sé ha servido conceder su Real permiso al ayuntamiento dé la villa del Barco de dicha provincia, para que pueda celebrar una feria en los días 6,7 y 8 de Mayo deseada año. ESTADO SANITARIO DEL REINO. PROVINCIA DE BADAJOZ. La correspondencia de Santande…</t>
  </si>
  <si>
    <t>…aciendo la desgracia de Hedwjcn efecto esta pregunta, el Estamento dccídiópor ia. afirmativa, y sus amado; púebíos. Conozco en toda su extensión los inmensos benefició» de quedó aprob¿5oélartículo. que somos deudores á la Augusta Reina Gobernadora: no tienen precio; ló En segqidase leyeron las siguientes adiciones á dicho artículo , presenta 'diré sin vacilar; puesto que no lo tiene la libertad d$l hombre qué su mano das por el Sn duque de Gor, que no se tomaron en consideración. benéfica nos ha devuelto, sacándonos de un estado de esclavitu…</t>
  </si>
  <si>
    <t>…aconsejan el honpr y la razón. Ahora,bien, todas es esta es una cuestión muy delicada^ y yo creo que los beneficios que nos ha dis— tas personasqde forman ia familia Real \ tienen medios de subsistir fuera de ios penSado'S. M. la Reina Gobernadora no son de tal; especie, que se puedan pa quería Nación les puedá proporcionar? Es claro que no, Y no se trate ahora gar con dinero: su recompensa e» mas noble , mas digna de su generoso cora de que puedan temer algunas fincas particulares: yo solo hablaré de los medios zón; su recompensa se debe bu…</t>
  </si>
  <si>
    <t>…a poner en parangón un tiempo con otro, no bay mas que con cunstancias son las mismas; y si no somos nosotros los que debemos el estar sultar á los que viajaron entonces por toda la Nación, y á ios que "viajan al •aquí á S. M. la Reina "Gobernadora, y no S. M. á nosotros el ocupar el presente: ellos dirán si en este momento se encuentra en un estado tan deplo pue-Io que ocupa. La Reina Isabel sin duda reina en el corazón de los espa rable como en el año 14- Añade S. S. que en aquel tiempo no había cólera, es ñoles, y estos y su voluntad suste…</t>
  </si>
  <si>
    <t>…oponen, lo mismo que nosotros, á se muestra dispuesto á concederlos en cuanto está de su parte. ¡Cómo podemos estos argumentos mas que el de economía, economía y economía. En cuanto á dejar de agradecer que renunciando la augusta Reina Gobernadora á las im la óéccsidad de sostener el decoro del trono y su esplendor, estamos confor presiones del absolutismo, de que tantos ejemplos ha tenido á la vista, se mues mes: también lo estamos en cuanto á la necesidad de hacer todas las posibles tre solcira por nuestra libertad! ¡Hemos de manifestar nu…</t>
  </si>
  <si>
    <t>…ue los Monarcas no hiciesen la mas mínima concesión voluntariamente ? ejecutar esta medida, puesto que sabemos todo» lo dispuesta que se halla S. M. 3N0 temerían exponerse á ser mal retribuidos'de los pueblos y de sus represen la Reina Gobernadora á cuanto puede redundar en bien de su pueblo. tantes? En verdad que minea podría emplearse mejor argumento para alejar del «Al mismo tiempo que se ha hablado de Francia ¿Ingla'erra. nada se ha 5|késpmtu de los monaicasítoda especie de concesión, qué el alc£ido por el señor dicho de Portugal, cuyas…</t>
  </si>
  <si>
    <t>…ACETA DE MADRID ARTICULO DE OFICIO. dividuos, el parage donde celebre sus sesiones, y los documentos que deben ex hibirle los gefes y oficiales que se presenten :i clasificación. La Reina nuestra Señora Doña Isabel ii, y S. M. la Reina Gobernadora, 3.* En consecuencia de lo prevenido en los artículos l.° v 2.3 del Real siguen sin novedad en su importanre salud. decreto, las juntas clasificaran á los gefes y oSciales de todas armas que corres Del mismo beneficio disfrutan SS. A A. RR. los Sermos. Srcs. Infantes. pondan á la capitanía general…</t>
  </si>
  <si>
    <t>…mayor número de vacantes de gefes^y oficiales que cuando están en provincia; queriendo conciliar al propio tiempo el ínteres del ^ Reales órdenes. Servicio de suyaugu^ta Hija Ja Reina nuestra Señor^JJoña Isabel ii , con“la M. la Reina Gobernadora se sirvió dirigirme en 22 de Diciembre úl [ equidad dcbida.cn la carrera y suerte de los que se consagran a la noble pro timo el Real decreto siguiente: fesión militar en sus diferentes armas ¿institutos, sin alterar en lo posible la Correspondiendo que los gefes y empleado* d« las subdelegaciones…</t>
  </si>
  <si>
    <t>…e con columna de 1"&gt;m hombres al mando del brigadier Linares, que hab.a sa.iC » ce curren en D. Luis López de la Torre Aiilon, oficial 6.° de la primer j secre Zaragoza v estaba cer«.a de ^os. taría del Despacho, se ha dignado la Reina Gobernadora, en nombre de Mi augusta Hija la Reina nuestra Señora Dona Isabel 11, nombrarle secretario El comandante general interino de !a provincia de Burgos, con fe„ha q de de la embajada de S. M. en París i en reemplazo del conde de Coiombn Febrero actual, partí, ip.i a este ministerio ¡a importante proion…</t>
  </si>
  <si>
    <t>…del cot&amp;ervaKrio de Arre». Ambas Reales órdenes. han expuesto unánimes que el arte de litografiar v todas lar llamadas libcrciees’an.p: r su índole misóla exentas de privilegios exclusivos , y que ei concedi Excmo. Sr.: S. M. la Reina Gobernadora se ha enterado con satisfacción do al Real establecimiento de Madrid es incompatible coa el fomento de a del oficio tjue me dirige V. E- en 8 de Enero último, participando haberse litografía , debiendo considerarse mas que como privilegio como una gracia es construido ’a sus expensas y sin gravamen…</t>
  </si>
  <si>
    <t>…o, que es el primer ele—, famia, designándolo desdé este momento á/la\ animadversión pú mentó .déla felicidad asi para las naciones como para los individuosblica; en una:palabra, trabajando en destruirlo, al mismo tiempo ¡v M. la Reina Gobernadora ha profesado muy claramentequedo dejan subsistir. Luego todas las proposiciones tienen idénti los verdaderos principios de la sana política, para que puedan des—, co fin, idéntica idea fundamental; y.hé aquí por lo que he dicho conocerse ni. olvidarse los beneficios que ha hecho á la nación. Ha: qu…</t>
  </si>
  <si>
    <t>…8 el general Rodil. Las tropas han qu= con su actividad y luces me fue de la mayor utilidad. Lo participo 4 V-E» sido recibidas por los habitantes dei país con el mayor entusiasmo y alborozo* para la debida noticia de la augusta Reina Gobernadora, i cay* 6dfa(firatti Los miguélistas que se retiraron de Coimbra en número como de 29 hombres, consideración no puedo menos de elogiar el zelo y disposicioneadd expresado se dirigían á Santarem , dispersándose algunos de los realistas. La reunión de las Sr. general barón de Carondelet en la jornada…</t>
  </si>
  <si>
    <t>…de la prosperidad de la monarquía contra sus ilusos lo tanto no puedo dejar de recomendarle á V. E. y rogarle se sirva hacer lo enemigos, ocupa un distinguido lugar la muy brillante acción de Mayalls , en propio para con S. M. la Reina Gobernadora , por si mereciese su soberana que las tropas y los Urbanos de Cataluña, dirigidos por el digno segundo cabo aprobación y para los efectos de su conocida piedad en favor de los que han de aquel principado el mariscal de campo D. José Carratalá, según las instruc perecido, y los que se han distingui…</t>
  </si>
  <si>
    <t>…festado aclaman pendios judiciales, y únicamente bajo la tutela del gobierno civil. do públicamente á S. M. la Rbina Dolía Isabel ii y í su augusta Madre la Ha dado las órdenes oportunas para que se le envíen los planos y papeles Reina Gobernadora, y vitoreando al digno general que tenia el gusto de ver en concernientes al canal de Huesear á fin de habilitarle completamente; y espera «sta villa. S. E. comunicó por extraordinario esta plausible, noticia á Logroño, cooperar con fruto á la ejecución del que intenta abrir por su cuenta la villa…</t>
  </si>
  <si>
    <t>…el ministerio de lo Interior• los depósitos de las harinas, como lo que deberán satisfacer por de Excma Sr.: S. M-la Reina nuestra Señora, y su angosta Ma pósito, concediendo espera para ios pagos que do excedan de cuatro dre la Reina Gobernadora, é igualmente S. A. la Señora infanta Ineses. Pona María Luisa, siguen sin la menor novelad.en su importante 10. Los derechos señalados á las harinas en los artículos 1?, 2?, salud. Esta tarde ha llegado á este Reai Sitio, procedente del de San 3? y 4? se cobrarán mientras S.‘ M. no sancione otros…</t>
  </si>
  <si>
    <t>…o que el Reglamento dis tar siempre y cuando acomode á un Sr. Procurador sobre cualquier punto pen pone, y aun de si habrá algún artículo por el cual pueda hacerse este género diente de su cargo. Deben solo esta satisfacción á la Reina Gobernadora, en de proposiciones, porque efectivamente no es una petición , es solo un deseo quien reside únicamente la facultad de gobernar y de ejecutar cuanto concier de un Sr. Procurador, en el cual tal vez convengamos los demas, de saber el na á la salvación de la patria. Mas el darla al Estamento, cuyas…</t>
  </si>
  <si>
    <t>…: "Sabe muy hien el Sr. Secretario del Despacho qué y que todos los poderes del Estado se entiendan y se pongan en armonía : todo al Presidente es á quien corresponde evitar la transgresión del Reciamente." se puede esperar de la Reina Gobernadora que siempre se ha prestado y se El Sr. Secretario del Des pacho:" El Gobierno no tiene derecho de interpre presta á cuanto exige de ella el bien público: yo no sé poTque no ha de haber tarlo; pero sí de exigir qué se respete. El Estatuto Rbal fija el modo como ■ la misma franqueza de parte de los S…</t>
  </si>
  <si>
    <t>…na actividad, prudencia y tino tan esmerados, que junto á sus do que el cólera-morbo habia penetrado en pueblos de sus respectivas provinrelevantes circunstancias de honradez, instrucción y finura, me obligan á reco cies, S.M. Ia Reina Gobernadora se ha dignado mandar se faciliten á los mis mendarlo de nuevo á la justificada bondad de V. E., á la cual quisiera deber, mos gefes las cantidades que á continuación se expresan; extendiéndose al mis que tomándolo en Consideración, lo propusiese á S. M. como acreedor á una mo tiempo su maternal sol…</t>
  </si>
  <si>
    <t>…tiene que dar parte de ello al corregimiento en das primeras Al Sr. Secretario del Despacho de la Guerra se dijo lo siguien véinte y cuatro horas; lá Omisión de esta parte se mirará y castigará te: Habiendo dado cuenta á S. M. la Reina Gobernadora de las re según las circunstancias como ensayo de un robo v como un robo petidas exposiciones dirigidas á este ministerio de mi cargo por el mismo, que trae consigo, si ha'sido con el dhjéto de ocultar los gé comisario general de cruzada, colector general de Espolies y comi neros, la&gt; pérdida del derecho…</t>
  </si>
  <si>
    <t>…Vargas, hubiera progresado, y acarreado dias de angustia y de pesar. Dignos son por lo mismo, Excelentísi mo. Sr*, de que su decisión y el mérito que^han contraído sean recompensados VARIEDADES. por la munificencia de la excelsa Reina Gobernadora, ¿ cuyo soberano cono pstatlearriffnto de confinarían para los delincuentes* cimiento ruego á V. E. tenga 4 bien elevar esta distinguida acción, y los nom bres de los que la ejecutaron. Ella es tanto mas digna , y de tanto mas valor, Con este título se baila registrado en el Araucano d« ChiU Utl if…</t>
  </si>
  <si>
    <t>…ay dos cabezas de i toro en relieve. Én el lado opuesto i la escena que rentes ensalzaban y vitoreaban á nuestra excelsa Reina ; y £%i augusta Ma acabamos, de describir, se ve un trofeo.militar formado por una espada y úna dre Ib-Reina Gobernadora. ... lanza cruzadas, dominadas por un escudo donde se vé un águila romano. Sirve de asa i la tapa una bellota de bronce, y está adornada de guirnaldas de hojas de viña, de zoble Scc. En su parte superior é inferior tiene el vaso los mismos ornamentos. Nunca se habían hallado en este pais antigüedade…</t>
  </si>
  <si>
    <t>…o los deseos que segutl me manifestáis animan al cuerpo díplo-* Las Ciudades anseáticas han contestado en iguales términos al anuncíe &lt; mático á favor de la nación francesa, al de mi familia y al mió. Sabéis con las hizo S. M. la Reina Gobernadora de los mismos &gt;uce-os : recibiendo d¡. cuanto anhelo he procurado siempre que no se turbe la paz, y los esfuerzos que contcstdcíon por conducto de nuestro cónsul genera! en Hambjrgo D- Jo-.cf j sin cesar he hecho para lograr tan apetecible objeto. La confianza de que esté Tiburcio de Vivanco. bien será du…</t>
  </si>
  <si>
    <t>…o la* Reales órdenes. Córtes. Art. 35. Las contribuciones no podrán imponerse cuando mas En cumplimiento del Real decreto de 26 de Marzo último sino por término de dos años; antes de cuyo plazo deberán votarse ha servido S, M. la Reina Gobernadora conceder á las viudas de de nuevo por las Córtes. José Arricia, Manuel Fernandez y Sebastian Garrido, y a la ma Art. 36. Antes de votar las Córtes las contribuciones que ha dre de Marcos de Segura, sacrificados inhumanamente el 17 de yan de imponerse, se les presentará por los respectivos Secretari…</t>
  </si>
  <si>
    <t>…estra Señora, y que he recomen campaña de S. Fernando, y aprovechándome de su reunión em dado en mis anteriores partes, son en mi concepto muy acreedores prendí la marcha para Alegría. Al llegar á este punto destaqué con á que la Reina Gobernadora premie sus servicios del inoio que dos caballos al ayudante mayor D. Joaquin Sanz de Mendiondo á lo considere justo, asi como á los que se han distinguido en la bn Tolosa, con el objeto de tomar noticias de los enemigos, y de co liante jornada á que se refiere el parte inserto para estimulo de lo,…</t>
  </si>
  <si>
    <t>…su importante salud. Pe Real orden lo comunico á V. para su inteligencia y cumpli miento. Dios Se. Madrid 2 de Abril de 1854. = Javier de Burgo». Del mismo beneficio disfrutan SS. AA. RR. los Sermos. Se He dado cuenta á S- M. la Reina Gobernadora de úna instancia ñores Infantes. que lia dirigido á este ministerio el ayuntamiento Je la villa de Vi— llalpan lo, en solicitud de que tanto á esta villa como á los demás pueblos de su jurisdicción, que según la división judicial que a ca MINISTERIO DE HACIENDA DE ESPAÑA. lía de formarse, sufren un pe…</t>
  </si>
  <si>
    <t>390 . Reino, ijpara la «solución conveniente y equitativa; propuso á la de separar la Irlanda dé la Inglaterra, sino ejercer sobré el país entero el mis augusta aprobación de S. M. la Reina Gobernadora su dictamen, re mo dominio que ya ejerce sobre uní parle; tener un. Parlamento de su propia -reticcion,'fittóiglesia de su propia fabrica, leyes hechas por sí y tfnte sí; pciiducido ¡í que debe preferirse.hacer frente á los gastos del Estado .por Ios-medios -que -parecieren mas seguros y menos grav…</t>
  </si>
  <si>
    <t>…lo interior. Continúan las demoliciones en lá ciudad, aunque los ingenieros por ahora Excmo. Sr.: S. M. la Runa mu-aira Señora, y su angosta Ma las hacen recaer sobre inmuebles secuestrados, de que se habían apoderado algu dre la Reina Gobernadora, continúan sin la menor novedad en su nos individuos. Pero en cambio los compradores de bienes rurales redoblan de importante salud. Del mismo beneficio disfrutan SS.-AA. la Sere árdor, y hay en este momento algunos pleitos sobre terrenos situados en Bohanísima Señora Infanta Doña María Luisa y el…</t>
  </si>
  <si>
    <t>…arts en el momento de su reunión. Madrid 15 de Julio•Esta sin embargo no ofrece la mayor importancia, pues solo se reduce á la eje cución del art. 42 de la Carta. Pero el gobierno no puede ni debe hacer empe Admitida por S. M. la Reina Gobernadora la cesión de un crédito de zaras trabajos en esta ¿poca , pues no podrían estar prontos para ella ningún 5058 ts. vn. que ha hecho en favor del Real erario D. José Barca , vecino dt proyecto de ley , rii tampoco el presupuesto ; prescindiendo de que nuestras cos la villa de Puerto Real, y escribiente…</t>
  </si>
  <si>
    <t>…abandono, no solo ha contribuido á su ra do todas las ilusiones', y prevaleciendo el fundado temor de ser irreparables sus dical aniquilamiento, sino lo que aun es peor, á fortificar la funesta preven males, manifesté á S. M. la Reina Gobernadora veces diferentes y de distin ción é indiferencia con que la nación toda mira las cosas del mar, y las utili tos- modos mi enérgica y sincera repugnancia á encargarme del ministerio de dades que de ellas puede reportar, observando el olvido y el absoluto menos este ramo: repugnancia que solo podía c…</t>
  </si>
  <si>
    <t>….Noticie det Giorrm.') i : -. Yidiaíiiéivlose eojUimíeado por eStfe ministerio las órdenes con venientes por lo respectivo á los militares que estando en campaña Roma 23 de Agosto. han sido electos procuradores; quiere §. JV1. la Reina Gobernadora hSga' V.ventender á los nombrados ó que se nombraren por esa pro- El tiempo continúa siendo, á excepción de algosos dias de lluvia; muy vincia. y á los que residieren en ella, d acuerdo del Estamento, y hermoso, y muy templada la temperatura. La cosecha de trigo ha sido ex celente , y se espera que…</t>
  </si>
  <si>
    <t>…3 del corriente. acuerdo con el dictamen presentado por la referida comisión. El Estamento Se dió cuenta al Estamento de tres Reales decreto*, por los que S. M. la quedó enterado y mandó que estos votos se insertasen en el acta. Reina Gobernadora /accediendo á las reiteradas instancias del Excmo. Sr. du La com sion de Examen de documentos presentó los expedientes de Tos que de Bailen, se había servido relevarle del cargo de Presidente del de ilus Excmo*. Sres. marques de Marcial, marques de la Reunión de Nueva Espa tres Próceres, nombrando…</t>
  </si>
  <si>
    <t>…oña María Luisa, continúan sin novedad en su importante salud en el Real Sitio del Fardo. PARTE NO OFICIAL. NOTICIAS EXTRANGERAS. MINISTERIO DE HACIENDA. Reales órdenes. ALEMANIA. Francfort 25 di Setiembre. Conformándose S. M. la Reina Gobernadora con el dictámen del Consejo Real de España é Indias en i su sección de Hacienda, se Se lee en la Gaceta Nacional alemana: ha servido declarar, que jas viudas y huérfanas de los comandantes. Hay á veces en la vida política y «n la vida privada ciertos mcamtaA 1? y 2í de resguardo ae Madrid, y los de…</t>
  </si>
  <si>
    <t>…corona de 14 oficies y 10 carretillas cón vaban de su augusto y siempre adorado Esposo, como se ve por la respuesta la facultad do elegir loo mozo» que hagan este servicio, tuvo á bien mandar que se pone á continuación. S. M. la Reina Gobernadora que pasase el expediente al consejo Real, á fia ««Señora: Los habitantes de la muy leal ciudad de Lisboa, fieles subditos de que reuniéndose lai secciones de Marina y de lo Interior propusiesen la me de V. M., que tuvieron la honra de acompañar los restos mortales de su ín dida que estimasen justa;…</t>
  </si>
  <si>
    <t>…o de haberse ausentado de Pasages D. Pedro Juan de Mutizapersona. bal, vocal de la Real junta de obras de conservación y limpia de aquel puer to , se ha servido S. M. acordar su reemplazo en Real orden de 9 del que rige, S. M. la Reina Gobernadora se ha servido aprobar las medidas toma nombrando para ello á D. Juan Florencio Samon, vecino de la villa de Ren das por el gobernador civil de Valencia en cumplimiento de lo prevenido en tería, en conformidad de lo que dispone el reglamento de 20 de Junio de 1828. el Real decreto de 4 de Enero de e…</t>
  </si>
  <si>
    <t>…anía; en, inteligencia s bolsa pb coMEjiCio.—CotUacion de hoy 4 las tus di la tardt»^ de que no se admitirá ninguna que no cubra las tasaciones y capitales respectivos. Z7SCTOS PUBLICO!. Nota. En el decreto autógrafo que %. M. la Reina Gobernadora se ha servido di rigir al Sr. mayordomo mayor con feehff 9 del corriente, y que se inserto en la Gacita Inscripciones en el gran libro A 5 p* 105, 00. del 11, donde dice y demas derechas qut Un otro titulé 4 Ja costumbre se exijen ' Títulos al portados del 5 p, 100* 49i *1 contado. abusivamente, de…</t>
  </si>
  <si>
    <t>…contestó que no había expresado lo que acababa de indi repito, los actos pasados; al contrario, en ellos es menester que busque su fuer car el Sr. preopinante, sino lo mismo quí se marcaba en la petición, en la za y vigor. Si la Reina Gobernadora ha sostenido el cetro durante la enfer cual se decía se concediesen sus sueldos y honores á Jos empleados de . la época medad ¡del Sr. Rey difunto D. Fernando vn; si ha tomado después las riendas constitucional; en cuyo caso, ó era indispensable que desempeñasen nueva del Gobierno, y las sostiene d…</t>
  </si>
  <si>
    <t>…ENDA. tos agraciados adonde se dirijan los buques, una nota por mayor del Real orden. cargamento ó cargamentos que conduzcan á ellos, para que se exa minen y registren por si contienen otros que no sean especificados. Enterada la Reina Gobernadora de una exposición hecha por Los gefes militares en los expresados puertos, sean de ejército ó de el intendente de la provincia de Málaga, relativa á que se declare marina, ó las personas que deleguen, estarán autorizados para con si las disposiciones contenidas en la Real orden circulada por e»te curr…</t>
  </si>
  <si>
    <t>…épocas; y se ha sostenido con razo «Él Sr. Arguelles ha dicho que no alcanzaba ni comprendía por qué se' nes encontradas uoo.y otro parecer. No voy á entrar en este exámen; pero no hacia esta diferencia entre la asignación de la Reina Gobernadora 7 la de puedo menos de ínanifestar que lo que dijo ayer el Sr. Secretario del Despa S. M. Doña Isabel ii. Me permitirá S. S- que le diga que esto es fácil d* con cho de Hacienda es exacto. No es fácil entrar en estc-paralelo; porque según cebir. Porque eo la mera expresión de decirse la Reina Gobernadora,…</t>
  </si>
  <si>
    <t>…tiene grabado en su cora mas activos y laboriosos. , zón este cuadro; y asi solo diré, que reflexionando sobre la magnanimidad , la «La última equivocación de S. $.es puramente de números. Cuando ha grandeza de alma de la excelsa ReIna Gobernadora, sobre la filantropía de que blé de las asignaciones anteriormente hechas al Rey y Reina, una de 500 y está dotada, y de que tantas pruebas y tan positivas nos tiene dadas, estoy fir otra de 400 maravedís, hice ver que siempre se suponía gastaba mas el prime memente persuadido de que si supiese la…</t>
  </si>
  <si>
    <t>…paramos en Ja dflféreh^ presente y no-perder de yú» *n,csta disensión.que no .testamos de señalar á la- cii del .Sr. Samponts y U1' it-ii—c. as t. --- , «asa Real upa eonsignagipiy.dntad*** pomo se luzpen 1820; vamos á señalarla Reina Gobernadora, del afio 35: de comigu¡ente siTai circumtariciaJde.Ja Nacion4L^ran tales que valia 6 millones.* en rae, año. de 35 se pudiesen: aumentar las. asignaciones los Estamentos lo -harian iadudablemente.asi como si viesen que era mas triste Ja situación de los pueblo» ,JoV¡ueno es de esperar, las rebajar…</t>
  </si>
  <si>
    <t>…ü, que me son absolutamente necesarios, me rebajasen en «¡to no se me acusará de indiscreto, que la asignación que constituye el es lOyno podria subsistir. Pues señores, la Reina tenia 4u'millones y se la reba tablecimiento de la Reina Gobernadora puede tener dos fundamentos. jan á 20, es lo mismo comparativamente, pues que la Reina tenia sus nccesi- «En primer lugar puede considerarse como una especie de viudedad para . dadcs que ascendían á 40 millones. el caso eventual de que S. M. se apartase con sentimiento general durante la »Yo suplic…</t>
  </si>
  <si>
    <t>…restigio parece que ya indica una cosa indeterminada y ' «Digo, pues, que atendiendo á que tengo ya enunciado un voto con res vaga; pero eso mismo le da una fuetza y un valor inmenso. Todas las razones pecto á la asignación de la Reina Gobernadora de 12 millones, me veo pre que militan en los grandes Hitadas que se hallan en el grado de civilización cisado á no conformarme de manera ninguna con el dictamen de la comisión, en que está España a favor dq ia monarquía-; todaaias- razones que prueban U respecto á lá que propone para la Reina Doña Is…</t>
  </si>
  <si>
    <t>…1834-=A D. Nicolás Maria Garelly mandante general de las Provincias Vascongadas, que en la noche del 7 al 8 del presente abandonaron el convento de S. Francisco, extramuros de la ciudad de Orduña, los RR. PP. Fr. Juan Se S. M. la Reina Gobernadora, á nombre de su augusta Hija bastian Garibi, guardián, definidor honorario, y Fr. Juan de Zorrer la Reina nuestra Señora Doña Isabel ii, se ha servido nombrar ía, lector de teología, y los PP. Fr. Antonio Victor de Gartes- comandante general de la provincia de la Mancha al brigadier quiz, lector de…</t>
  </si>
  <si>
    <t>…iendo sido A primera vista se nota que de ninguno de estos defectos adolece el resultada coger 4 de aquellos y un caballo. el Estatuto Real para la convocación de Córtes; monumento glo- . ríoso de la sabiduría de nuestra inmortal Reina Gobernadora, y que Extracto del parte del subdelegado de Fomento de Cuenca desde hoy mismo ocupa ya un lugar distinguido en los anales de la D. Joaquín Rodriguen, correspondiente al mes de Marta, historia. Sus determinaciones dimanan del trono, fuente de todo po der y legislación. Un congreso de Monarcas (el d…</t>
  </si>
  <si>
    <t>…á la aldea de Almedíntlla. Añade que en S. Luis. -----Fantasía con variaciones para violín y piano sobre an dúo del Esn- Benamejí y Puente Don Gonzalo continuaba la enfermedad que en le di Roma, compuestas y dedicadas á S. M. la Reina Gobernadora por ella se padece, en los términos que resulta de los estados siguientes. D. Juan Diez, vtolin de la Real capilla de S. M., y maestro del Real conservatorio de María Cristina. Se venden en el almacén de músicaEstado sanitario de la villa de Benamejí desde el día 7 al 10 española y extrangera, de l…</t>
  </si>
  <si>
    <t>…ue fue por lo mas e^pe^ de los pinares, S. M. que llena de honor á estos bizarro» que no puedo menos de recomendar por cuyo motivo, la larga y penosa marcha de ayer y por esperar a que e l co ¿ V. E para que se digne hacerlo á la Reina Gobernadora, como asimismo</t>
  </si>
  <si>
    <t>…en ciertos delitos leves en sí de contrabando, defrauda ción ó sus incidencias; se ha dignado resolver, en nombre de su au Exento. Sr.: S. M. la Reína nuestra Señora y su augusta Madre gusta nija Doña Isabel ii, lo siguiente: la Reina Gobernadora, continúan sin la menor novedad en su im Artículo 1? Los subdelegados de rentas, tan luego como reciban portante salud. esta Real determinación, acompañados de sus asesores, practica- De igual beneficio disfrutan SS. AA. la Sra. Infanta Doña María rán una visita extraordinaria de todos los presos a…</t>
  </si>
  <si>
    <t>…as inmediaciones del pueblo de Huerta, llano de lar Yeguas y alturas de Ca fluir en la prosperidad del país. ^ Y habiendo visto con satisfacción S. M. la beza Adan, creo de mi deber decir á V. E. que me refiero al detall dé dicha Reina Gobernadora el celo de aquellas patrióticas corporaciones en coadyuvar acción dado por el expresado Sr. comandante general, añadiendo lo m^y satis sus maternales miras, ha mandado se les manifieste asi, y se inserte en ¿a Ga fecho que estoy de! brillante comportamiento de Iqs Sres. oficiales y tropa del ceta y…</t>
  </si>
  <si>
    <t>…ha tomado te de Sanidad de Madrid y su provincia. un carácter alarmante. La irritación de los ánimos puede tener consecuencia» funestas. No queda día que no corra la sangre por las calles , y en que no haya Exento. Sr.: S. M. la Reina Gobernadora se lia servido mandar suplicios. que nombrando esa junta una comisión facultativa de su seno, pase Mehemet-Alí envía muchas tropas á Siria. Han llegado últimamente dos ¿reconocer los cementerios de esta corte, y examine si el enterra regimientos con el objeto de reprimir la insurrección que se ha m…</t>
  </si>
  <si>
    <t>…............................. 320 ejecutada podrá ser muy favorable á la agricultura de aquellos pueblos y á su ganadería y fomento. Industria y sus agregados. En mi último parte expuse extensamente la Los dias de nuestra augusta Reina Gobernadora, en que se verificó la so tendencia y aun necesidad que se siente en esta provincia de fomentar su in lemne apertura de las Cortes generales del reino, se celebraron en la villa de la dustria , trafico y comercio; y también indiqué lo que le falta para que se desen Guardia con el mayor júbilo y reg…</t>
  </si>
  <si>
    <t>…e á tratar; por lo cual se contrajo el orador á decir que cretario del Despacho de Gracia y Justicia á leer la memoria relativa á loa crcia no debía aprobarse el dictámen propuesto. negocios de su ramo por estar cerca de S. M- la Reina Gobernadora, lo ha Despees de deshacer una equivocación el Sr. González Alonso, propuso ría el mismo el lunes 18 á las diez y media de su mañana. el $r. Latorre en nombie de la comisión , que para evitar ulterior discusión El Sr. Secretario del Despacho de la Guerra pasó i leer la memoria de no tendría esta in…</t>
  </si>
  <si>
    <t>…oro. Sabemos que el inventor, que se ocupa ac tín Pérez de Lerma en favor del Real erario 23,284 rs. que se le adeudan por tualmente en la confección de los modelos, ha insistido en que su nombre quede sueldos atrasados, S. M. la Reina Gobernadora ha tenido á bien admitir con, secreto hasta que se haya verificado el examen de su. máquina; delicadeza que particular aprecio esta cesión; mandando que se den las gracias á tin digno ofi sin duda sabrá apreciar iln ministro ingles. (D. de D.) cial , y que se publique en la Gaceta este rasgo de su…</t>
  </si>
  <si>
    <t>…rly, en presencia de una multitud considera - ^l;i3|í rector general de rentas estancadas digo con esta fecha lo que ble de cultivadores y de curiosos, que hibia atraído este espectáculo tan nuevo atgaé: He dado cuenta á S. M. la Reina Gobernadora del expedien para nosotros. Los miembros de ia sociedad de agricultura del distrito acudie té instruido á consecuencia de las reclamaciones del M. R. cardenal ron con el sübprefecto: se había levantado una especie de tienda para los jura arzobispo dé Toledo y RR. obispos deCartagena y Tuy, para la de d…</t>
  </si>
  <si>
    <t>…te Gobierno fue reconocido por todas las potencias de Europa: $e lla esta clase. Nosotros hq podemos dudar de las benéficas intenciotiea que aníman mó legítim&amp;i y este mistpo Gobieroo fue.el que declarando nula la abdicación i lá Reina Gobernadora: tampoco podemos dudar dé los compfomísósea de la coronare había hecho femando vji,. Jevolvió á llamar para que se sen-* que están los Srea. Secretarios del Despacho, respecto de la Nación ¿ porque tase cn el trono. Nadie.¿a .tachado este acto de ¡legalidad: se llegó áe*tableccr no pueden tener otr…</t>
  </si>
  <si>
    <t>…MrÍ«r desdefiareWaj.-ftOTtéiifUlprltWnérfiP^'ítWjt í- » EUmiiüste+iona -ha hecho -en éste punto arias queserél intérprete- fieles. deieg qtmdos iSMsífih»cuiaíl?ryepseíí»Be!nésfe,pptK;ipj&gt; ipíHPflí , generosas rniras'de la augusta Reina Gobernadora; elL ministerio actual en- | can menos obstáculos y cmbaralfmiJifliiiUgex pgl»brnf;eÍ, mjnjíteria qq se opone coniri) que en la amnistía publicada por S- M. en Jra conos- moinsntois^que aL;pr¡lHtip¡¡afd4iJÓ3 ptértk.y^expoue.kgehuame&amp;tc l¡u; dificultades en!su aplimanejé rnterinariientelas riendas d…</t>
  </si>
  <si>
    <t>…y peligrosos, se me exigió que reconociese á -la Regencia. Contesté co Gobierno tiránico, y el-liberal , representativo, y benéfico que debemos á la mo he hecho siempre* En este Estamento existen hoy compañeros de infortu augusta Reina Gobernadora? Pero no es esta la cuestión, señores. Se pregunta nio, que saben como he contestado en los calabozos, y la firmeza con que he si están suficientemente garantidos los derechas del hombre; si tenemos bastan sosteniio mis principios políticos, á riesgo de salir á un suplicio. Me negué, te libertad; s…</t>
  </si>
  <si>
    <t>…lud quebrantada tao me permite ya soportar. Real orden. Terrera. Poniéndonos en el caso de que yo me prestase á correr esos ries gos inminentes, y á sufrir toda clase de padecimientos entregándome de lleno á '"''Deseando S. M. la Reina Gobernadora facilitar la publicacidri toda ventura y á todo sacrificio, nada podría hacer por mí solo; tendría que de las producciones literarias sin desatender las, prudentes precau contar precisamente con la cooperación de otros hombres, que por el mismo ciones establecidas en el Rail decreto de 4 dé Eneró y…</t>
  </si>
  <si>
    <t>…casado* sin/hijos menores. . «jJuráis fidelidad y obediencia í la Reina nuestra Señora Pqña lsASRi, ti, «Si en cualquiera de estas clases hubiere individuossobrxntes á los del nú y en su,nombre, durante su menor edad, á $. M- la Reina Gobernadora! mero pedido, sel limará este por med¡&lt;&gt; de sorteo éntralos de U misma duro. t Juráis .guardar y cumplir el Estatuto Real y las leyes de la monarquía;,de «Este sorteo lo verificará,el.syuntimiento respectivo en acto público,con fender con las armas el territorio contra los enemigos exteriores e int…</t>
  </si>
  <si>
    <t>…te mas; á lo que contribuirá La mismi abunlancia de pro cienda por órden de S. M. al presentarlo. En 30 lo fijó la comisión ¡ rebaja en posiciones, que deberán seguir iguales trimueN que la presente..Hay ademas un la que S. M. la Reina Gobernadora, espontánea y generosamente, tuvo la artículo del reglamento, el 91, que lo previene asi; e&gt;to es, que no podra dis bondad de convenir. Desaprobóse esta cantidad por el Estamento, y ya habrá cutirse ningún proyecto de ley sin que una comisión has a dado su dicúmen que reducirla. Suponiendo se fije…</t>
  </si>
  <si>
    <t>…I83¿. GACETA DE MADRID. ARTICULO DE OFICIO. se anunciase en el Diario extraordinario de 23 del corriente en la forma que V. E. v'eri por el ejemplar que respetuosamente acompaño. La Reiva. nuestra Señora Doña Isabel ii, y S. M.la Reina Gobernadora, Como el capitán de! citado bergantín A ama que condujo tan fatal nr-’-;- [ siguen sin novedad en su importante salud. cia, la diese también de que el bergantín de guerra Cru.id&gt;i:'?re salió dei pire"'* Del mismo beneficio disfrutan SS. A A. RR. los Sermos. Sres. Infantes, de Cádiz e! I4 de Octubre…</t>
  </si>
  <si>
    <t>…AíadriJ 1."' de Enero. cesado, asi p«)r la sensatez de sus habitantes, como por la energía de su gobier no. La tranquilidad de aquel Estado nos era muy interesante , y V* M. lo ha F.t dia 7 del presente mes ha ejecutado S. M. la Reina Gobernadora una favorecido del modo que debía hacerlo con el desinterés y fidelidad que debía dft aquellas acciones sublimes, que tan espontáneamente na.en en &gt;u . :a.\ n. » esperar de un aliado tan antiguo. que afirman de un mojo un seguro *u inipan • soore c. dr &gt;.0*. &gt;•. » Mac no es solo en su frontera en d…</t>
  </si>
  <si>
    <t>…na ella sola en ciada de su establecimiento, que remitiré á V. E., suplicándole desde ahora que España , siendo abominadas todas Jas sectas, y mirados coa mal ojo los que no se sirva recomendarlo á la soberana consideración de la Reina Gobernadora. arreglan sus costumbres conforme á las máximas de La Religión. Dios guarde á V. E. muchos años. Barcelona 11 de Enero de. 1834*=ExcelenEducada nuestra augusta Reina con la vigilancia ce Madre tan piadosa, tísimo Señor—Manuel Llauder.=Excmo. Sr. Secretario de Estado y del Des no dudemos que la sagra…</t>
  </si>
  <si>
    <t>…azo, un fraile levemente en «I pescuezo, y algunos vez lo hicieron perturbando la tranquilidad de este leal vecindario y compro contusos.” metiendo la suerte de la capital de la monarquía, si V. M. se digna acceder al Enterada la Reina'Gobernadora ha tetado ¿ bien mandar que la Cámara dictamen del Consejo de Gobierno y al parecer de sus Ministros, oyendo en se ocupe en la sesión de boy de este grave negocio, oyendo á los tres fiscales, su piadoso corazón la voz de la clemencia, nos atreveríamos á proponer á y consulte la medida que estime ju…</t>
  </si>
  <si>
    <t>…rbitrios ó impuestos abolidos por el artículo anterior las tarifas adjuntas al Real decreto de 31 de Maso de 1828. Y siendo ¡a vo se exigirá en lo sucesivo el de 4’J rs. vn. mensuales para aplicarse á la mejora luntad de S. M. la Reina Gobernadora, cj..te esta misma s^Serar..} reroijjnn de Ls castas españolas, á iodo caballo de lujo extrangero, )a sea entero, cas rija y se entienda con respecto a los directores subinspectores de Ir. een ¡erro, trado ó yegua que no esten precisamente destinados á la reproducción. Las mu- me manda, á nombre de…</t>
  </si>
  <si>
    <t>…a nin buena tinta para los sellos que se estampan en los géneros s con otras gún obstáculo para que la corte se instale y resida en aquella ciudad. (Diario disposiciones sobre el mismo objeto. de Trieste.) Excmo. Sr.: Enterada la Reina Gobernadora del expediente promovido INGLATERRA. con motivo de la causa formada en la subdelegacíon de Rentas de Jerez de la Frontera por aprehensión de varios géneros de lícito comercio sin sellos, ó que Undres l.° de Febrero, los tenían dudosos; y asimismo de lo expuesto por V. E. y V. SS. en 2\ de Las última* n…</t>
  </si>
  <si>
    <t>…opas no puvi c-ai esta* en mas del tres hor.is coronar la altura,, lo que il lm &gt;e • &gt;'o después Je p^mersc el fcol,| Madrid 1 7 de Febrero. habiendo el general Lorenzo sub.d. &gt; la :r. . :\:.nd, .biigido v activado sh ata- I * La Reina Gobernadora por Reales decretos dirigidos al Presidente del que v n ci ni.u or-a*, icrto. Mientra* tanto \ a .-i w demna dei centro, acosada} I Consejo y Cantara de Castilla, se ha servido nombrar para la plaza de oidor por el luego de nue*ti.is guerrilla*, !■ i.mv'.o-i &gt;do «Uvonammic varias pe*- 1 de la audie…</t>
  </si>
  <si>
    <t>…darles alcance, habiéndolos perseguido por entre nieves y caminos Lo que manifiesto ¿ V. E, para que se sirva elevarlo ¿ conocimiento del I .casi intransitables hasta las mismas crestas del Pirineo, desde donde determine S. M. la Reina Gobernadora. f 1 dirigirme ¿ esta plaza; pero habiendo sabido en el pueblo de Línzoam que 6t-0 Dios guarde á V. E. muchos años. Sevilla 12 de Febrero de 1834*=Exce-l I-hombres al mando de Sagastíbelza tenían sitiado y en el mayor apuro en la lentísimo Señor.=Miguel• Tacon.=Excma Sr. Secretario de Estado y del D…</t>
  </si>
  <si>
    <t>…; y los infractores incurrirán en la pena del duplo, Reales órdenes. con arreglo á lo prevenido en la citada Real.orden de 28 de Mayo de 1330. De la de S. M. &amp;c. Dios &amp;c. Madrid 15 de Marzo de 1834-:=Búrgc*. Considerando S. M. la Reina Gobernadora que los enemigos del trono dé I su de sus planes de ejecución augusta activan la contando Hija trastorno, con PARTE NO OFICIAL. I las les facilidades esperan buena que de unas la miseria proporcione la estación, I clases y la ignorancia de otras; NOTICIAS EXTRANGERAS. I. Que si en circunstancias or…</t>
  </si>
  <si>
    <t>…jemplares del Estatuto Real Mas no por eso ha debido perderse de vista que el mejor me para la convocación de las Córtes generales del reino , que S. M. la dio de mantener ¡lesa la autoridad soberana, especialmente atendi augusta Reina Gobernadora ha mandado guardar, cumplir y pro do el espíritu del siglo y el estado general de las naciones, es no mulgar con la solemnidad debida. negar á los pueblos lo que tienen derecho de pedir, con arreglo á El solo anuncio de dicho documento manifestará á V. su im las leyes fundamentales; sino antes hien…</t>
  </si>
  <si>
    <t>…TERIO DE GRACIA Y JUSTICIA. BAVrERA. Real órden dirigida á los Sres. presidentes del Consejo Real y Munich 26 de Marzo. supremo Tribunal de Espaiía é Indias. Ha vuelto á extenderse de nuevo la voz de que los polacos que S. M. la' Reina Gobernadora ha tenido á bien mandar, que se hallan en Suiza intentan penetrar, juntamente con algunos otra en las salas del Consejo Real de España é Indias y en las de los aventureros políticos, en los vecinos Estados alemanes, con el ob- ] Tribunales supremos y superiores de toda la Monarquía, se colo jeto de…</t>
  </si>
  <si>
    <t>…esentación y protesto dentro del plazo fegal, se ad mitirá á los portadores como excepción legítima contra el lapso de Reales órdenes. este, para conservar su garantía sobre el librador y endosantes, lá He dado cuenta á S. M. 'la Reina Gobernadora del' expediente interceptación del correo en que se remitiera la letra para la pre ihstruido á consecuencia de las redamaciones que han hecho varios sentación en tiempo hábil. empleados de Real hacienda en solicitud de que se les abone el tiem 2? Esta prueba deberá presentarse en forma legal por el…</t>
  </si>
  <si>
    <t>…3......... ...4 500......................... .... Idem. Lo que tengo el honor de trasladar á V. E. para que se sirva elevarlo al sobe 4.309......... .... 500......................... ......... Cádiz. rano conocimiento de S. M. la Reina Gobernadora, no pudiendo menos de 12,908......... .... 500......................... .... Madrid. recomendar á su Real consideración muy particularmente los servicios presta 4,236......... .... 500......................... .... Cádiz. dos en la citada jornada por el alcalde mayor subdelegado de policía de Al— 2…</t>
  </si>
  <si>
    <t>…ERIO DE LO INTERIOR. A consecuencia de una propuesta de M. C. Grant se nombró una comi Meal orden. sión para examinar un proyecto de comunicación entre Inglaterra y la Indis por medio de barcos de vapor. He dado cuenta á S. M. la Reina Gobernadora de la exposición Igualmente se ocupó la Cámara en varias leyes interesantes que se leyeron del alcalde primero de la villa de Cortes de Arenoso, en que mani por secunda vez, relativas á los defensores de los acusados, á la pena de muer fiesta los servicios que en unión de. 19 vecinos de aquel pueblo hizo…</t>
  </si>
  <si>
    <t>…catoria y Elecciones para las próximas Cortes generales del reino, ha RANCIA. distribuido e! gremio de ebanistas de esta córte 1$ rs. entre las viudas y huér * París 7 dt Junio. ' fanos de los maestros pobres de su arte. S. M. la Reina Gobernadora ha sabi do con satisfacción particular este rasgo de beneficencia, y se ha servida man Por disposición testamentaria del general Araktcheiew se han depositado dar se publique en la Gaceta. en el banco de S. Petersburgo 50$ rublos, que permanecerán allí 93 años, acu mulándose los intereses dé los in…</t>
  </si>
  <si>
    <t>…ades,positivas. en general ó en particular, nos diesen instrucciones de hecho, y Oficio recibido en el ministerio de lo Interior• ALEMANIA. Exentó. Sr.: &amp;. M. la Riisa nuestra Señora y cu augusta Ma- (Croacia) 11 de Junio. dre la Reina Gobernadora, siguen sin la menor novedad en su im Los-indómables bósniacos que habitan la Croacia inl&amp;edutó al portante salud. Del mismo beneficio disfrutan igualmente SS. A A. nuestro, y que hace mucho tiempo se mostraban opui y+.¡m los Seranos. Sre?. Infanta Doña María Luisa é Infante D. Francisco estado de…</t>
  </si>
  <si>
    <t>…con nosotros. » Los gendarmas franceses, en corto número, concurren ya con la gendar-i mena mora á patrullar por la llanura. Madrid 17 de Julio. »Queriendo también demostrar á los árabes la acción de la justicia, he en-* S. M. la Reina Gobernadora, oyendo con el mayor sentimiento la triste viado últimamente al Sr. procurador del Rey con una pequeña escolta para que situación de los pueblos invadidos por la enfermedad remante en la provincia arrestase á un árabe, acusado de haber cometido muchos robos y de haber^com-* de Murcia, y ansiosa de…</t>
  </si>
  <si>
    <t>…nde de Toreno. administrador patrimonial del Real sitio de S. Ildefonso, con el suel do anual de 24c) reales. Tendréislo entendido, y disjiondreis lo con veniente á su cumplí mi ento.= Está rubricado de ia Real mano.= En S, M. la Reina Gobernadora se ha servido nombrar á D. Ra Carabanchel á 18 do Junio de 1854.—Al marques de Valverde. fael Gregorio de Veleña , decano de la Real audiencia de Sevilla, • K1HISTERIO DE HACIENDA DE ESPAÑA. para la plaza de ministro del tribunal supremo de Hacienda, vacante por fallecimiento de D. José Rafael Vill…</t>
  </si>
  <si>
    <t>…corporación de todo, acordó admitiendo la ce con una representación por triplicado que redactarán los señores comisarios de sión que el Sr. alférez Real D. Félix Quintero hace de los 1500 pesos que este ayuntamiento para S. M. la Reina Gobernadora, en la que se patentice pidió para ayuda de los gastos en la régia proclamación y que se prestó á su á S. M- el amor, fidelidad y adhesión de esta corporación y vecinos a quien re plir con calidad de reintegro, dar las gracias á dicho Sr. por la generosa acción presenta, á S. M. su excelsa Hija y R…</t>
  </si>
  <si>
    <t>…nta y significa sea la ron con todo dos personas; concluye manifestando que durante el plazo enun norma de nuestra marcha. . \ ' ciado habían ocurrido 32 casos nuevos en-Quintanar del Rey , de los, cuales «Viva Isabel ir, viva la Reina Gobernadora, viva'el Estatuto y las curaron 11 y fallecieron 19; en el Horcajo un caso nuevo, un muerto y 5 cu leyes que de él emanen.—El comandante, Francisco M. de Jugo.” rados, quedando exislenics 3 enfermes; y en Honrubia 16 casos nuevos y 8 Por la tarde se corrieron novillos, hubo bailes en la plaza al es…</t>
  </si>
  <si>
    <t>…planos topográficos de sus provincias respectivas, con presencia&lt;EI Pardo á-16 de Setiembre de 1834—Al Presidente de mi Consejo de los cuáles se ha de formar una nueva carta general del reino, y de Ministros. persuadida S. M. la Reina Gobernadora de que un buen resultado MINISTERIO DE HACIENDA DE ESPAÑA. general pende inmediatamente de la seguridad conque se opere en el Real orden. terreno de cada provincia, para que la precisión y exactitud de los puntos parciales produzca en su reunión el total correcto á que se He dado Cuenta á S. M. la Rei…</t>
  </si>
  <si>
    <t>…rn3&lt;Iora y la Serma. Sra. Infanta Doña María Luisa, continúan ' sin novedad en ¿u importante salud en el Real Sitio del Pardo. PARTE NO OFICIAL. MINISTERIO DE HACIENDA. NOTICIAS EXTRANGERAS. Real órílen. He dado cuenta á S. M. la Reina Gobernadora del expediente instruido cotí motivo de las varias exposiciones en rjue el tribunal (Continuación del correo anterior.) de Cruzada ha pretendido que tos apremios que sea necesario expe TURQUIA. dir para la cobranza de los débitos pertenecientes á este ramo, sean Conítantinopla 4 de Setiembre.excluidos…</t>
  </si>
  <si>
    <t>…erdieron sus bienes. española y del restablecimiento de su libertad. Apareciendo esta con nueva glo Todos se creerían con un derecho á esa indemnización; por Jó que creo que no ria, nosotros ‘debemos rendir un justo homenage á la Reina Gobernadora, puede entenderse con esa latitud que se le ha querido dar, y que debe lomarse porque nos ha dado el Estatuto Real; pero también digo, como español y por regla suprema la conveniencia pública. Yo opino que se lograría e! objeto representante de la Nación, que si nosotros debernos gloriarnos de tene…</t>
  </si>
  <si>
    <t>…esto, es que, viéndose los empleados bene da pues de naber prestado infinitos servicios i su país: ate juicio sc-ha senten méritos poco considerados , se enfrian, y no están tan dispuestos á defender á ciado favorablemente por la Reina Gobernadora; de consiguiente, deben re Isabel ti; y yo pregunto: si acontecen cosas milagrosas; todas ellas tienen su cobrar su antigüedad. Yo creo que por ato no puede ofenderse nadie, púa loe Causa; y es equivocado el querer que tin hombre desconceptuado y no atendido que hayan sido nombrados posteriormente…</t>
  </si>
  <si>
    <t>…cuerdo de las (Artes, crease-en lo venidero, y la parte de la deuda antigua mencionada en el art. 5? que entrase á Real órtlen. participar del pago de intereses que deben aplicarse á la deuda activa. ¡ Fie d'ado cuenta á S. M. la Reina Gobernadora de la exposi Art. 6? La deuda pasiva se com]&gt;OT&gt;e de la parte de deuda men ción que le ha dirigido esa comunidad, pidiendo permiso para eracionada en el art. 3?, que no se hubiese conven ido en deuda activa. -venar dos casas que le pertenecen en la villa de (octava. con el. Los intereses atrasados de,los…</t>
  </si>
  <si>
    <t>…r de las familias! Y si bien es cierto que en el año de 1832 no funestísimo. (gracias al espíritu conciliador y á la generosa magnanimidad de nuestra in «Resuelto, como lo está, que la Milicia sea legal y no voluntaria, se mortal Reina Gobernadora) se rasgaron las negras hojas de esos libros d« pretende ahora por el ministerio que tengan entrada en ella todos indistinta proscripción, en los que la malignidad y la estupidez alistaban á la par al hom mente, y sin hacer la justísima exclusión de aquellos que son conocidamente bre honrado y virt…</t>
  </si>
  <si>
    <t>…¿ las restituciones ya hechas mandó que el consejo de Cas 3. ° «Que esto hace presumir que no se habrá hecho á la generosa bondad tilla propusiese el medio de una justa conciliación, puesto que el trascurso de deS. M- la augus'a Reina Gobernadora un cuadro acabado ni.de las actuales ,10 años había envuelto la cuestión, de manera que era imposible dictar una me necesidades del reino,.ni de los medios de mejorar la Real casa sin menguar el dida general sin tropezar ^n graves inconvenientes. . bienestar de las atenciones que se deben i las alt…</t>
  </si>
  <si>
    <t>…s la libertad y las leyes. En esta parte, nó solo y) contmuó=- ; * e - • 2 El Sr. conde d« tas Jtfavasi «Con esa lectura creó que queda probado nosotros, sino la Huropaenterá haíe justicia á la Nación, y conoceque esta mi ra á la Reina ‘Gobernadora y á su augusta Hija cómo el iris, de paz que han * que po se tienen tódóa los datos necesarios én la materia-que discutimos , y en consecuencia yo me adhiero al voto particular. sido, son y serán para disipar las tormentas políticas que s$. han desencadena- ‘ do por tan largo tiempo contra ella, y qu…</t>
  </si>
  <si>
    <t>…yo citaba las economías de ese Rey intruso para que pudiesen servir d* casa Real. El Sr. Secretario del Despacho de Hacienda dijo el otro dia que modelo en todos los demas de su remado. Se equivoca S. S. Es menester que S. M. la Reina Gobernadora se conformaba con Jos 3u millones propuestos sepa que si como español defendía , coadyuvando á formar leyes, la libertad de por la mayoría, ó con la cantidad que tuviesen á bien asignarle los Procurado- la patria, entonces yo por defender esta misma patria tenia los armas en la res de la Nación. &lt;…</t>
  </si>
  <si>
    <t>…la facultad de examinar los presupues tos. ('¡Gaceta de Manheitn.) MINISTERIO DE MARINA. INGLATERRA. Real orden. LStidres 4 de Abril. Al secretario de la junta de Gobierno de la Armada digo Cotí esta fecha lo siguienre: S. M. la Reina Gobernadora se ha dig Fondor públicos. Tres por 100 consolidados 90¡fnado hacer extensivos á la Marina los beneficios que expresa la Hoy se espera en esta ciudad al embajador de España conde Real órden de 6 del corriente, expedida por el ministerio de la de Floridablanca. (Globel) Guerra, de la que incluyo á V…</t>
  </si>
  <si>
    <t>…lar Madrid 18 dt Abril. Ínteres, sino por todos los de la sociedad. Los trámites mismo» que "será preciso observar para hacerlas ,. son una nueva garantía d» su bondad. Un proyecto propuesto por cUtrono, aprobado por lo» S. M. la Reina Gobernadora se ha servido admitir á D. Ma- Procuradores del reino, y por el estamento de los Proceres, y san bu«l López Maestre, pagador militar retirado en Valencia:, el do cionado y convertido en ley por la misma Potestad Real que 1« nativo de cinco certificaciones de crédito importantes 6213 reales propuso,…</t>
  </si>
  <si>
    <t>…con csp'ecialidad el alférez de caballería de Extremadura Don videncias del Gobierno, y asi es como podré contribuir á vuestro Ajntonio Lechuga, el urbano de Manzanares D. José Izquierdo, y bien y i las intenciones con las que la Reina Gobernadora, en el cabo y soldado de aquel cuerpo Félix Blanco y Felipe QuileZ, nombre de su augusta Hija la Reina Isabel Ii , me ha confiado la que estuvieron á las inmediaciones dé su comandante en lo mas ac autoridad de alcalde mayor de este pueblo. Vosotros conocéis la tivo de la persecución. obligación en…</t>
  </si>
  <si>
    <t>…il: pero faltaría á mi de ciudad estuviese ocupada con alguna tropa, continué á efectuar un ber si no recomendase á V. E. ,por si tiene á bien hacerlo á S- M. reconocimiento con la caballería tomando la derecha del castillo, y la Reina Gobernadora á los citados oficiales de P. M. D. José haciendo avanzar para sostenerla la compañía de cazadores del pri Hallegg y D. Luis del Arco;-par'la infatigable actividad con que mer batallón de Castilla, mientras que la infantería seguía su mar han comunicado misArdenes., acompañándome á todas partes, lo…</t>
  </si>
  <si>
    <t>…tas. ñores Infantes. MINISTERIO DEL INTERIOR. Real órden. MINISTERIO DE LA GUERRA. Acudiendo directamente al ministerio de mi cargo dirersoo Real órdem ayuntamientos del reino, no obstante que desde el establecimients Enterada la Reina Gobernadora de la acordada del Consejo su de los gefes gubernativos de las provincias debieron hacerlo por su premo de la Guérra, acerca del recurso entablado por Pedro de la medio, y de que en varios casos particulares asi se ha prevenido; Varga, quinto oon el número 20 por la ciudad de Sto. Domingo de S, M. la Rei…</t>
  </si>
  <si>
    <t>…inleli- Del mismo beneficio disfrutan SS. AA. RR. los Sermos. Se gencia y efectos correspondientes. Dios guarde á V. muchos años. ñores Infantes. Aranjuez 12 de Junio de 1834. r: José María Moscoso de Altamira. Deseando S. M. la Reina Gobernadora que se adopten desde lue REALES DECRETOS. go todas ias medidas conducentes para preservar £ los leales habitan Accediendo á las repetidas súplicas que me ha dirigido D. José tes'de esta M. H. villa de las dolorosas consecuencias que se expe ri de lmaz, y en consideración á su quebrantada s-lud; lie…</t>
  </si>
  <si>
    <t>…e fabricar y custodiarse en di cho convento municiones de guerra y armas; y qué á la entrada de Excmo. Sr.: S. M. la Reina nuestra Señora y su augusta Madre mi ejército, casi la totalidad de los religiosos le abandonó, uniéndo la Reina Gobernadora, continúan sin la menor novedad en su impor- se muchos á la facción rebelde: en nombre de mi excelsa Hija Doña portante salud. „ Isabel ii, he venido en suprimir dicho convento de S. Francisco de Del mismo beneficio disfrutan SS. AA- la Sra. Infanta Dona A bandeóle Bilbao; y mando que con respecto…</t>
  </si>
  <si>
    <t>…onde sú cura pirroCo p. Pedro José O-Campos, revestido de capa plu El corregidor y ayuntamiento de Requena han celebrado loi días de vial , el sacristán niifbt‘DiiJoit Marír Arfan Jf -el presbítero D. José Pió de nuestra -augusta Reina Gobernadora y la apertura de las Cortes generales del Flores, revestido seguir les correspondía, recibieron el cuerpo capitular con el. reino con tres dias de festejos públicos. En el primero hubo una magnífica ceremonial de costumbre i é introducido basta el presbiterio , el sacristán ma función de iglesia, y fue…</t>
  </si>
  <si>
    <t>…dóle repartiesen á ios Sres. Próceros. ría por el acto de jurar y tomar posesión. El mismo Excmo. Sr. trasladó ai Estamento la Real orden por la que El Excmo. Sr. Búrgos contestó que no era aplicable el caso ni la conse 8. M. la Reina Gobernadora concede Real licencia al Excmo. Sr. obispo cuencia que el Sr. preopinante quería deducir, porque la restricción con que de Valladolid para que regrese á su diócesis á prestar á su grey los consuelos el Sr. marques de Camarasa había sido admitido le hacia variar enteramente, y espirituales y tempora…</t>
  </si>
  <si>
    <t>…e allí pasó. Por esto creo que no puede tener tan no es acusador ni apologista de ningún sistema, sigue el camino derecho y ta fuerza aquel acto como se le quiere dar; pero voy á demostrar ahora que grandioso que la misma augusta Reina Gobernadora le ha trazado al abrir i’ admitido el principio de la mayoría de la comisión, se daría un golpe mortal la Nación una nueva senda de legalidad, de orden, de ventura. Se sigue, sin i la independencia nacional, y á la dignidad de la Corona. Ningún principie volver los ojos atras, sin reproducir inútil…</t>
  </si>
  <si>
    <t>…para que conste en él estar cum plida esta parte de la condenación. Real orden. , 13. Todos los tribunales y juzgados auxiliarán y protegerán efi cazmente con sus providencias la mencionada recaudación. He dado cuenta á S. M. la Reina Gobernadora del expediente 14. En atención á las extraordinarias circunstancias que concur instruido y consultado por esa Dirección genébal acerca de la nece ren en la corte, no se hará novedad por ahora en el plan adoptado sidad de adoptar medidas que eviten la falta de reintegro que ex por el extinguido Consejo…</t>
  </si>
  <si>
    <t>…dente del Consejo de Minis ras necesarias ó útiles. tros, dijo: ■ ' »Acaeció, pues,-que cabalmente al ascender al tronoS. M. Doña Isa JEi Sr. Presidente, del Conseja de Ministros. &gt;• Ilustres Próqeres: S- M. la bel ii, la augusta Reina-Gobernadora, movida de los sentimientos de justicia, Reina Gobernadora me ha mandado tener la honra de presentar 4 este ilus de equidad y de reparación, que son el norte y la guia de su conducta, expidió tre Estamento el proyecto de ley que voy i leer; proyecto de ley reparador, un decreto en 23 de Octubre del…</t>
  </si>
  <si>
    <t>…e la primera. Se dice que el an Habiendo ocupado la tribuna el Excmo. Sr. Secretario del Despacho de terior alcalde ir.avor no debió concurrir á la junta electoral por haber dejado de Hacienda , dijo: «Habiéndose servido S. M- la Reina Gobernadora dar su serlo; y que sí este no hubiera concurrido tal vez no .hubiera podido salir cicgído sanción al proyecto de ley sobre reconocimiento de la deuda extranjera, v au el Sr. Villachica. Pero habiendo seis votos contra cuatro, siempre hubiera ob torización para contratar un empréstito de 4l-,0 mill…</t>
  </si>
  <si>
    <t>…es que ese ayuntamiento que reclama contra su elección prime ley sobre,deuda extrangera y empréstito de 400 millones de reales sancionada ra , fundado en que el nombrado no tenia fincas ni nada que lo ligase al pais, por S. M. la Reina Gobernadora. 1 haya nombrado,en su lugar otro empleado, acabado de llegar i su destino, y Concluida su lectura dijo el Sr. Presidente: »E1 Estamento de Srey. Pro que no tiene fincas tampoco. ¡Quéjase de que el primer elector rio tenia otra curadores del reino ha oido con la veneración que debe la augusta sanció…</t>
  </si>
  <si>
    <t>…isión, inoportuna ¿ impolítica: y en apoyo de ello no puedo menos de inocénte Isabel ii , 'sino del sistema de Gobierno que ha restablecido la au citar lo ocurrido en Galicia cuando el Sr. conde de Cartagena desarmó los rea gusta Reina Gobernadora para la monarquía: esta facción, repito , en muchas listas. Muchos de los individuos de estos cuerpos, que estaban en ellos con el partes esta con Us armas en la mano, y en otras trabaja ocultamente con la único objeto de buscar recorvo* para sobslstir, tomaron parte después del des mina y la zapa.…</t>
  </si>
  <si>
    <t>…los Sres. Ministros, de donde salió, y designar al Sr. conde deToreno. Gobierno y el dictámea de la comisión en cuanto á la asignación de 12 mi Todos podemos equivocarnos con buena ó mala intención; pero quiero dejar llones á la Reina Gobernadora.” bien puesto mi honor; pues si S; S. es caballero,caballero soy yo y lo he sido El Sr. Palarea renunció la palabra que tenia pedida en pro, porque no siempre. Exijo por lo mismo que tenga la bondad de explicarse, y si su inten habiendo quien la tuviese en contra, dijo le parecía ocioso y excusado^e…</t>
  </si>
  <si>
    <t>…marques de la Gíndara, Martel, Jaramiílo, Carrillo de A bornoz, Palamo habia personas que estaban por sus opiniones mas cerca de D. Cirios que rea, marques de Montesa, Losada, Puga, marques de Valladares, Florez Fu de la augusta Reina Gobernadora. trada, Cuenta, marques de Villagarcía, Trucba Cosío, Villalaz , Agreda, Como S. S. se extendiese en manifestar los perjuicios que traían a la cau González Prrczr conde de Hust, López del Baño, San C emente,, Martí, Al sa de S- M- la cercanía de dichas personas, el señor Vicepresidente le recordó va…</t>
  </si>
  <si>
    <t>…ICULO DE OFICIO. en que no están comprendidos los sueldos, pues estos y las demas obligaciones de justicia se satisfarán por la misma dependencia cuando sean satisfechas las de j La Reina nuestra Señora Doña Isabel u , y S. M. la Reina Gobernadora, igual naturaleza que están comprendidas en los presupuestos. De Real orden Jo siguen sin novedad en $u importante salud. comunico á V. E. para que se sirva dar las convenientes á su cumplimiento, f Del mismo beneficio disfrutan SS. AA. RR- los Sermos. Sres. Infantes, Dios guarde á V. E. muchos año…</t>
  </si>
  <si>
    <t>…último déla fron bernadora. tera del territorio de Ginebra, junto á Casraje: que.el dia 3 á las siete de la mañana entregaron las armas; en fin, que la expedición se ha disuelto por sí Madrid 19 de Febrero. misma. (7¿L) S: M. Ia Reina Gobernadora se dignó condecorar por sí en su Real Cá— I ____,El Corresponsal Je Uctmburgo dice bajo la rúbrica de Berlín lo siguien mara el dia 16 del actual con las insignias de gran cruz de la Real y distinguí- í te: Los armamentos de Francia y de Inglaterra en el Mediterráneo se han re da orden de Cirios m,…</t>
  </si>
  <si>
    <t>…200 granadas, 500 balas de metralla, 32 fusiles y 5 trabucos. Ó1 salvo ía ruina de tantos desventurados! Ruego á V. E. que se digne elevarlo Dios guarde á V. E. muchos años. Barcelona 12 de Febrero de!834'=Manuei todó á S. M. la Reina Gobernadora para su inteligencia y satisfacción. Dios Fidalgo—Es copia. guarde á V. E. muchos años. Barcelona 12 de Febrero de 1 HS^.cnh’xcnlo. Sr.rc Manuel Llauder. Impreso citado en el parte anterior. Con fecha 15 del corriente avisa el presidente de la ¡unta superior de Sani dad de Andalucía, que en todos l…</t>
  </si>
  <si>
    <t>…ARTICULO DE OFICIO. rechos de entrada 30 rs. en bandera extrangera y 20 rs. en española. 2.a Que I las mismas duelas paguen por derechos de puertas el S por U'i.) del valor que I La Reina nuestra Señora Doña Isabel ii, y S. M. la Reina Gobernadora, estimen los vistas en el actc del despacho; y que no se consideren como pr" siguen en el Real sitio de Aranjuez sin novedad en su importante salud. meras materias para la rebaja de la tercera parte concedida á estas. 3.a Que las I Del mismo beneficio disfrutan SS. AA. KJL los Sermos. Srcs. Infante…</t>
  </si>
  <si>
    <t>…uestros diputados pretenden que si se ha puesto en libertad á y Hermano mayor, y durante su menor edad las que dicte su excelsa y digní M. Ha nno, esto se ha verificado bajo ciertas condiciones; pero nosotros mejor■ sima Madre la Reina Gobernadora, suplicándole permíta'que por uno de los y mas bien informados podemos asegurar con certeza que se le puso en liber mejores pintores de Cámara se saque el retrato de nuestra Reina y Señora, tad pura y simplemente, y sin condición alguna. (El Independiente.) extendiendo esta gracia Á que también nos…</t>
  </si>
  <si>
    <t>…dejando los pormenores á un segundo con greso, compuesto principalmente de diputados instruidos en hacienda, que so Madrid 19 de Marzo. celebrará en Munich después de concluido el congreso político de Viena.” Atendiendo S. M. la Reina Gobernadora al rnéóto, servicios y circuns FRANCIA, tancias del mariscal de campo D. Miguel Tacón y á su lealtad acreditada, se ha servido conferirle la capitanía general de la isla de Cuba , y presidencia de la Parts 5 de Marzo. Real audiencia, promoviéndole á teniente general de los Reales ejércitos. Lonja d…</t>
  </si>
  <si>
    <t>…n en mí un admirador de dica, que el director de ella citase á ios asociados cuando lo tuvie sus virtudes y de su lealtad: yo1 las haré conocer de nuestra augus se por conveniente, porque mereciese su confianza; bastaba que de ta Reina Gobernadora, cuya alma grande y generosa no las oirá clare la asociación que no se reunirá en dias determinados para es sin aprecio, ni dejara sin recompensa. capar del rigor de la pena. «Los habitantes pacíficos, que solo se ocupen en las especula «Lo repito, es cosa risible. Si conocéis la necesidad de soste…</t>
  </si>
  <si>
    <t>…glorioso que nunca el que ha de ser» Real orden. aquí y en toda la nación para siempre simbolo de la unión y del óidcn , terror de los malvados, estímulo del valor y de !a lealtad , y prenda inestimable de fe He dado cuenta á la Reina Gobernadora, dorante la menor edad licidad y ventura. De mis salas consistoriales Vitoria 3 de Mayo de de su augusta Hija la Reina nuestra Señora , del oficio de V. E. de 3 ñora.=A L. R* P. de V. M.=Vicenlc Pereda-zrjuan Bautista Ccrain.^Pede Enero último, en que á consecuencia de la exposición que le ha dro L…</t>
  </si>
  <si>
    <t>…se les impondrán 100 ducados de multa; poblaciones se han reparado dos fuentes que empezaron 4 correr el día 2/ en y ha pasado á esta contaduría principal ide Propios copia de las Reales ór • celebridad del cumpleaños de S. M. la Reina Gobernadora. denes ¿ instrucciones vigentes sobre pósitos» Continúala formación y aumento de la Milicia urbana, y las diligencias Frocura hacer prosperar la fabricación de la seda; ha remitido al tribunal para la construccion.de cemenltnoi. de comercio, completo.ya con el nombramiento del cónsul sustituto, la m…</t>
  </si>
  <si>
    <t>…anteriores artículos se apli Oficio recibido en el ministerio de lo Interior. carán á todos los comprendidos en ellas, sin distinción de dásdS, fetctoo.'Sr.:S. M.;la Reina nuestra Señora y S14 augusta Madrp fueros ni personas. la Reina Gobernadora, continúan sin la menor novedad en sü im &lt; Art. 6.’ Las penas referidas en los artículos anteriores se enten portante salud. derán sin. perjuicio de las que deban imponerse, previa la compe tente formación de causa, a los que con la asonada ó tumulto bayas Del miaño beneficio disfrutan SS. AA. la S…</t>
  </si>
  <si>
    <t>…IOR. que si no bastan sin embargo para conseguir el objeto que se desea, la reunión Reales órdenes. del Ducado no sa verificará. Los enemigos del orden público y de las sabias instituciones Idem 2 de Julio. acordadas por S. M. la Reina Gobernadora, zelosos del entusiasmo Los papeles públicos hablan de un proyecto detallado que deben servir dé con que estas fueron recibidas, determinaron aprovecharse de la base fundamental para un decreto literario de la Confederación germánica. No aflicción en &lt;jue las enfermedades epidémicas que reinan hace…</t>
  </si>
  <si>
    <t>…suceso trágico fr-ieba que el espíritu de resistencia contra las reformas del Por Real decreto de 8 de Agosto del presente año se Ira servi Sultán aun no está vencido, y que existe siempre una tendencia á combatir di do S. M. la Reina Gobernadora nombrar para la plaza -de oidor de chas innovaciones. Es indudable que los habitantes ó las tropas son los autores la audiencia de Granada , vacante por fallecimiento de D. Manuel del incendio; no se sabe sin embargo s¡ este incendio puede compararse con el José de Vilcbes, á D. Antonio Andeiro y A…</t>
  </si>
  <si>
    <t>…á condición de expender 2® pesos fuertes en la carena del mismo ^^.Extractamos lo que dicen algunos periódicos franceses sobre el discurso de bucjbe. El gobierno español ha adoptado esta medida como principio, y ha deci 8. M. la Reina Gobernadora en la apertura de las Córtes. dido que todas las embarcaciones extrangeras completamente carenadas en Ma Diario de los Debates* El discurso de S M. la Ruina Gobernadora de nila, y cuyos gastos de carena asciendan á una cantidad análoga, disfrutarán del España está lleno de nobleza y dignidad. No es…</t>
  </si>
  <si>
    <t>…batallones, y que marchaban tomando la dirección por la izquierda de Ciraugui. I Faltaría á mi deber si dejara de elevar al superior conocimiento de V. E. PROVINCIA DE SEVILLA. para que lo haga (si le parece justo) al de S. M. la Reina. Gobernadora, los Con fecha 13 del presente dice el presidente de Sanidad de dicha provin relevantes servicios que ha prestado el Excmo. Sr. conde de Viamanuel, des cia que iba terminando la enfermedad que afligía á varios-pueblos de la mis plegando una actividad y celo inexplicable, como asimismo el particular…</t>
  </si>
  <si>
    <t>…661 siendo ministro Colbert......... .. 600 millonea. capitán comandante de la bandera de recluta de dicho cuerpo, establecida en la 17n8......... ídem.... Nicolás Desatareis. 800 id. Coruña, á la persona que se designe. S. M. la Reina Gobernadora se ha ser 1754......... Ídem.... De Sechctles........... 1 16ü0 id.. vid* aceptar, en nombre de.su excelsa Hija la Rkihx nuestra Señora, esta sin 1788..... ídem. ... Kécker. ................ 2i 00 id. gular y laudable muestra de los sentimientos generosos de lo* individuos d:l re 1797......... ídem…</t>
  </si>
  <si>
    <t>…00; y en tl años Nación&gt; quién trate de debilitar por ningún medio la justa gratitud que la Na» que ha regido el poder absoluto se ha contratado por valor de 2900 millones. cioo toda debe á Ja heróica decisión con que ia augusta .Reina Gobernadora ha Pero señor, (qué diferencia de la primera deuda respecto de la segunda! La.re restablecido las leyes fundamentales; pero una vez restablecidas, ya estamos en presentación nacional fue la que reconoció la deuda de Holanda, en la que en el pleno-derecho de las prerogativas que nos_coocede el Estat…</t>
  </si>
  <si>
    <t>…—Advertiste del 11 dé julio lo siguiente: Real orden. «El jueves por la mañana la dxpédicion encargada de explorar el Africa central, bajo la dirección del doctor Sniith, ha empacado Su peligrosa empresa Habiendo dado cuenta á la Reina Gobernadora del expedienté Los exploradores son el doetor Sniith, él capitán Edyé del regimiento 98,Instruido: á instancia del subdelegado de rentas del partido de Baza, Mr. Garlos Béll, Mr. Burrow, ademas dos indids que debed acompañar á la Jr consultado por esa dirección general acerca de que se declare que expe…</t>
  </si>
  <si>
    <t>…sta 20 20 Madrid 19 de Octubre. Santander.......... . 10 á 13 id... - ( id. No-consta 108 Nota. En Laredo había 80 personas en convalecencia. EI Sr. D. Mariano LiSan, comisario general de la Santa Cruzada, ha di rigido á S. M. la Reina Gobernadora la exposición siguiente: PROVINCIA SE SEVILLA. "Señora: Cuando recordaba con el mayor placer las muchas é inapreciables distinciones con que se ha dignado V. M. premiar mi corto mérito, eligiéndo Participan con fecha 11 del presente el presidente de la junta de Sanidad me obispo de la santa iglesia de…</t>
  </si>
  <si>
    <t>…ís 100,000 rs. sobre el sueldo del'em gefe que tenia concertado un plan, que no me comunicaba por la importancia bajador, que es de 600,890i lu.OOO rs. sobre el de secretario, que del secreto; pero que hiciese presente i S. M. la Reina Gobernadora que es de 50,000 con casa, mesa y asistencia, y 40,00o sobre yastbs or no se cesaría un momento en la.activa persecución de los rebeldes. dinarios , para los cuales se abonan 100¡9 al año: total de estas -té- «Por todos los datos y noticias contestes se sabe que es inmensa la fuerza moral que el ej…</t>
  </si>
  <si>
    <t>…eal orden de 3 de Noviembre anterior I se opongan indirectamente ó y reglamentos locales que directa artículos de esta ley; y si ocurrieren dudas en su interpretación -ó aplicación i para examinar tan importante materia, S. M. la Reina Gobernadora se ha' I algunos casos ó circunstancias, las consultarán las autoridades municipileS c6n dignídb ,Standar, oido el Consejo de Gobierno y el de Ministros: ¡ I el subdelegado provincial de Fomento, quien si lo creyóse necesario informará ‘ l.° J,ys ganaderos quedan completamente libres para adoptar l…</t>
  </si>
  <si>
    <t>…na partida de caballería seguida de una com Af.iJriJ 20 de Uñero. pañía de granaderos, seis dependientes del Fxcmo. Sr. corregidor, los músicos de la ciudad, los cuatro maceres del ayuntamiento, los individuos del cuerpo S. M. la Reina Gobernadora, que no omite oca-ó-, de manifestar «u vivo municipal con nuevos y bordados trajes y sus correspondientes palafreneros, anhelo por ¡a telLidad del Estado, se di^no presentare de imp:- \oo la ma cuatro Reyes de armas con sus volantes, el pendón Real llevado por el Exce ñana del dia 1** del corriente…</t>
  </si>
  <si>
    <t>…aballos al mando del teniente de caballería de lal Fernando vil, la socorrió con el gobierno de la heroína, su última muy cara y Albuhera D. Antonio Alcázar, logró éste batir y dispersar á la gavilla de fac-1 amada Esposa &amp; M. la Reina Gobernadora, la admirable Cristina, uno de ciosos capitaneada por el cabecilla Eguia, quienes á pesar de hallarse parapeta- I los portentos en que el Supremo Hacedor se complace en ostentar que su poder dos en el pueblo de VilUfria en número de 30 caballos y 8 infantes, fueron I no tiene límites; calmando de e…</t>
  </si>
  <si>
    <t>…mbre de mi augusta Hija la Reina Doña Isabel ti, he venido en nombrar secretario de la sección de Marina del consejo La Reina nuestra Señora Doña Isabel n, y S. M, la Reina Real, instituido por mi decreto de 2J de Marzo último,al capitán Gobernadora, siguen en el Real sitio de Aran juez sin novedad en de navio retirado de la Real armada D. Francisco Basurto. Ten su importante salud. dréislo entendido, y lo comunicareis á quien corresponda.reSeñalaDel mismo beneficio disfrutan SS. AA. RR. los Sermos. Se do de la Real mano. = En Aranjuez á 9 de…</t>
  </si>
  <si>
    <t>…prendas. la columna del coronel Barcena seguía el movimiento de los caza Lo que elevo al superior conocimiento de V. E. i fin de que dores que los perseguían por la altura , cuando advirtiendo algunas se digne hacerlo á S. M. la Reina Gobernadora para su augusta fuerzas enemigas en posición sobre el cerro á la derecha de Val- satisfacción, no podiendo menos ademas de apoyar las fundadas re puesta , di órden al comandante Cosío para que con la columna de comendaciones que expresamente hace el brigadier Triarte , llamar su mando las atacase.…</t>
  </si>
  <si>
    <t>…e los negocios. EL príncipe pasará á Berlín á mediados de Mayo, Real orden. para ir desde allí á S. Petersburgo con el príncipe Real de Prusia. Una reciente resolución ministerial ha decretado la confiscación de dos fo . S. M. la Reina Gobernadora se lia dignado nombrar subdelega lletos revolucionarios, prohibiendo que se vendan en el territorio del reino. £1 do principal de Policía de la provincia de Madrid á D. Miguel Vi- uso se intitular la 'Pototua^y sus héroes , por Román Sokykj y-dotro: Cere— gil de Quiñones, fiscal del tribunal de Cru…</t>
  </si>
  <si>
    <t>…evo club que había del corriente me dice lo que sigue: adoptado las instituciones masónicas, pero que en realidad se ocupaba en ganar el espíritu de los oficiales de tropa, lo que prueba la situación desesperada de este „S. M. la Reina Gobernadora se ha servido resolver que los pe partido, que no se atreve á presentarse según es. Las escenas de Paris y'de LJon^ didos de armas y municiones para la Milicia urbana,se deben hacer le acaban de dar el último golpe mortal. El número de* los que sé áHrneñrttn? por los ayuntamientos á fos gobernadore…</t>
  </si>
  <si>
    <t>…l isoluta de votos, ó si la obtu vieren algunos, pero no los cinco que se necesitan, se procederá á Eicmo. Sr.: S. M. la Reina nuestra Señora y su augusta Ma segunda votación, ó á mas si fuere menester, por el mismo método dre la Reina Gobernadora , continúan sin novedad en su impoitante y forma ; pero en estas votaciones no serán válidos los votos que se salud. dieren á los que no ilayan reunido diez por lo menos en la votación Del mismo beneficio disfrutan SS. AA. la Serma. Señora In anterior.fanta Doña Mana Luisa y el Sr. Infante D. Franc…</t>
  </si>
  <si>
    <t>…mplar castigo de los que lian perpe Art. 54. El Presidente estará encargado, asi de declarar á quién trado tan atroz delito, sirva de freno y escarmiento.' corresponde el turno de la palabra, como de que se guarde en los S. M. la Reina Gobernadora , de acuerdo con el Consejo de Go discursos y discusiones el buen orden y decoro debidos. bierno y el de Ministros, se ha servido dictar al efecto las providen Art. 66. Ningun Prócer tendrá facultad de hablar dos veces en cias mas enérgicas, de las cuales verá V. una muestra en el Real de la misma…</t>
  </si>
  <si>
    <t>…Francia á Bayona de España. La dirección que ha parecido á S. M. mas conveniente entre las que se han propuesto, es la trazada Madrid 20 de Setiembre. desde Ramales por Arredondo, La Cavada, Puente de Carandía, Puente de S. M. la Reina Gobernadora, en vista de propuesta del director general San Miguel, Cabezón de la Sal y Treceño al citado San Vicente. Esta via es de presidios, sé ha dignado nombrar para la plaza de oficial tercero de la secre la mas abrigada y cómoda, cruza por las jurisdicciones mas pobladas, fértiles taría de la dirección…</t>
  </si>
  <si>
    <t>…teníamos derecho, ni admitido el Gobierno, como única base conforme con los verdadero» prin podíamos exigir nada. Nunca me cansaré dé bendecir la mano de la augusta cipios del crédito, cop la buena fe, con el decoro de la Nación. Reina Gobernadora, á quien somos deudores indudablemente de infinitas gra- "fia dicho el ministerio que cuando se trate después de la posibilidad del ciarrpero no por eso desconozco ni desconocerá el Gobierno que la Nación pago, y np del reconocimiento del principio (pues spn dos cosas del todo dis (el rotulo mismo…</t>
  </si>
  <si>
    <t>….1 gurar por su distribución.en las diferentes provincias el impórtame Ocho compañías &lt;8 tenientes. . .. &gt;á 124 y 123 hombres.. 996 objeto de acabar con las facciones en su cuna; se ha servido resolver (16 subtenientes.) S. M. la Reina Gobernadora, á consulta del Guise jo de Sres. Minis Fuerza de un batallón........... 1,000 tros, que se movilice desde luego la fuerza que se considere necesaria; v para que esta 0|ieracion se haga ahora y en lo sucesivo con tolo Tara servir en la Milicia urbana movible se preferirán los sol orden, desempeñand…</t>
  </si>
  <si>
    <t>…manantial’ ‘ . . Real orden. " * ‘ ' ’ “i "u ' ‘ r de toda prosperidad, tomará nuevo incremento en consecuencia de la protec ción que se le concederá; y nadie duda que una caja de descuentos contribuye , He da$o cuenta á S. M. la.Reina Gobernadora de varias ex- muy eficazmente ¿ facilitar y aumentar las operaciones mercantiles. rxjsiciorjes de la direecio^ general de Pósitos, en que manifestando (Aotizie acl Cj turnad)Jliabér^e extraído por dispqsipion de algunos goberna&lt;lores civiles cantidades I de. consideración de los de sus respectivas pro…</t>
  </si>
  <si>
    <t>…ramo á consecuencia del pedido de aquella. «El Sr. Medrano ha dicho muy bien que á la comisión no la consta de Se dió cuenta de una solicitud del Sr. marques de la Vilueña, pidiendo oficio el llamamiento del Sr. Seoane. S. M. la Reina Gobernadora, al nom que se le devolviese una escritura que presentó á fin de probar su aptitud para brar al general Mina gefe del ejército del Norte, le dijo que eligiera los ofi el cargo de Procurador, de que había sido exonerado. El Estamento acordó ciales que quisiese para organizar su ejército. El general…</t>
  </si>
  <si>
    <t>…enprontodesignados:posible se preso*tenentre estasenes lasanareferidisla que sicuctJpro ' X MINISTERIO DB GRACIA T JUSTICIA. M. R. P- provincial de la de Castilla , maestro Fr. Manuel de Saias.rrfl Real orden. Excmo. Sr.: $. M. U Reina Gobernadora se ha servido mandar que Don Bien sabido nos es, que la rebelión contra el irt no es un crimen tan horrtvcoso, y de tan fatales consecuencias para toda Ia nación, que no har lev divina] Joséf Alonso, ministro supernumerario de la Real audiencia de Madrid, pase xu humana que no la repruebe y condene…</t>
  </si>
  <si>
    <t>…des, y porque en la abundancia de una paz sólida y verdadera sea lidad é independencia. IjDios alabado y glorificado! Sí, M. R. P. provincial. »Señores de la Cámara de los Comunes: 1 ’ Por tanto; ^porque asi nds lo manda S. M. la Reina Gobernadora, por »Yó he ordenado que se os presente el presupuesto del añó próximo, “fbr- [expreso del Excmo. Sr. ministro de Gracia y Justicia, os ordenamos encareci- mado con la mas rigurosa economía y con todas las reducciones compatibles [damente, y en caso necesario os mandamos, que si os halláis restable…</t>
  </si>
  <si>
    <t>…limiento. En la ciudad de las Palmas de Canaria, aunque precisada la ilustre corpo ración municipal á obrar con restricción, sujetándose á las economías sabia MINISTERIO DHL FOMENTO GENERAL DEL REINO. mente ordenadas por S. M. la Reina Gobernadora, no dejó ^de marcar en Reales órdenes. ambos dias con moderado aparato el respeto grandioso y la satisfacción sincera Con -el objeto de que U comisión nombrada por el Real decreto de 1/ de que la ocupaba en la proclamación y acción de gracias. El regimiento de la Febrero último para formar un índic…</t>
  </si>
  <si>
    <t>…......... 183 754 persigan los fraudes la octava parte señalada al fonda del Blancas.................................. 76 317 resguardo en las aprehensiones. Burbaguena.......................... 280 1193 He dado cuenta á S. M. la Reina Gobernadora del expedien Calamocha............................ 443 1538 te instruido con motivo de haber solicitado D. José María Cabello Camin Real......................... 238 810 se- le-entregase, y á-Jos demas que le acompañaron en la aprehen Castejon de Tornos.............. 85 384 30 130sión, de géneros de il…</t>
  </si>
  <si>
    <t>…rtante salud. Del mismo beneficio disfrutan SS. AA. RR. los Sermos. Se ñores Infantes. PARTE AO OFICIAL. NOTICIAS EXTRA N&amp;E RAS. ministerio de gracia t justicia. Reales órdenes. (Continuación dd oorraojnt^Jgr.) Queriendo S. M. la Reina Gobernadora premiar debidamente IUSI Aj/ la bizarría y decisión que lia manifestado en defensa de la justa S. Petrrsburgo A 2 de Atril. * causa de la Reís a Doña Isabel ii Marcos Lozano, escribano de nú mero y ayuntamiento de la villa de Navalmoral de la Mata, que en Considerando S M. el Emperador de Rusia que…</t>
  </si>
  <si>
    <t>…ados dcTiurana, y esta noche desalentadas y cansadas d£ la ceremonia, encareciendo los beneficios de la instrucción fomentada por por una persecución tan activa se hallaban reducidas á 17Ú hambres, quedando 1a generosa mano de la Reina Gobernadora, y excitando el amor al estudio entre los pueblos de Mirabé y Sant Climent á hora y media de Solsona, y en en los corazones de la tierna infancia. Estos adelantos en la enseñanza de la ju tre las dos columnas que ayer no las dejaron ni comer ni descansar, y otras dos ventud de León se deben princip…</t>
  </si>
  <si>
    <t>…rden de las respectivas escribanías de los tribunales superiores é El ejército de operaciones de Portugal, que había llamado viva inferiores ordinarios ó privilegiados procesos ya fenecidos, y que se mente la aténcioD de S.'M. la Reina Gobernadora cuando seguía devuelvan los que sin ella se hubiesen facilitado. De orden de S. M. de lejos sus gloriosos pasos por el interior de aquel reino, donde su lo comunico á V. E. para inteligencia de la Beccion, y que disponga disciplina ha dejado eterna memoria, decidiendo sus operaciones de su circulac…</t>
  </si>
  <si>
    <t>…obado; pero no Oficio recibido en el ministerio de lo Interior; podrá exponer ninguna razón ni motivo, ni usar de aquel derecho' £xcmo. Sr.: S. M. la Reina nuestra Señora y su augusta Madre sino dentro del término de 24 horas. la Reina Gobernadora, continúan sin la menor novedad en su im portante salud. titulo vn. Del mismo beneficio siguen disfrutando SS. AA. la Serma. Se ñora Infanta Doña María Luisa, y el Sermo. Sr. Infante D. Fran Disposiciones peculiares á la discusión -de los proyectos de ley. cisco de Paula. De Real orden lo participo…</t>
  </si>
  <si>
    <t>…neral interino de Castilla la Nueva. • Art. .94. .Dichos Comisionados regios se colocarán cerca de los Secretarios del Despacho, y nunca podrán hablar sino á nombre, del Gobierno, ni tomar parte alguna en las votaciones, S, M. la Reina Gobernadora se ha dignado nombrar interina mente capitán general de Castilla la NuéVá al teniente general du TITULO X. que de Castroterrpño: gobernador de esta plaza y segundo cabo al mariscal de campo D. José Bellido; y teniente de Rey al brigádier De las relaciones entre uno y otro Estamento. . D. Felipe Zam…</t>
  </si>
  <si>
    <t>…1 '40 (n*. para el Keiuo..-.......... 320 l(ÍO 8o. de Correos. - - Faca ........... 3ik&gt; ]t&gt;o «A Para India.*....,.. ........ 4°o loo XOO. i GACETA DE MADRID. ARTÍCULO DE OFICIO. S. M. la Runa nuestra Señora y su augusta Madre la Reina Gobernadora, como la Señora Infanta Doña María Luisa, continúan «n novedad en su imjiortante salud en el Real Sitio de San Ildefonso. EXPOSICION DIRIGIDA AS.M. POR EL SEÑOR PRIMER SECRETARIO DE ESTADO, PRESIDENTE DEL CONSEJO DE MINISTROS. Señora: En cumplimiento de vuestro Real decreto de 16 de Junio prójimo p…</t>
  </si>
  <si>
    <t>…isminuye considerablemente el número Reales órdenes. de buques que pasan el Sund. En 1830 su número ascendía 4 13,162; en 1831, 4 12,942; en 1832 4 12,202; en 1833 a 10,385 , yen el corriente año de J834 Habiendo dado cuenta á la Reina Gobernadora del expediente sigue este número disminuyendo progresivamente de un modo notable, lo cual instruido.á consecuencia de la causa formada en la subdelegacion de se atribuye á las causas siguientes: 1.a La poca solidez de las relaciones políticas: rentas de Murcia contra Francisco Vicente, de edad de 11 añ…</t>
  </si>
  <si>
    <t>…con currencia con Ds muchos mñ-.s que han quedado ha- rfan * \ abandonad s por consecuencia de la epidemia padecida en aquella capital; y deseando $. M. ocurrir al remedio de e*ta urgente necesidad, se ha dignado mandar $. M. la Reina Gobernadora se ha dignado conceder su real permiso i al gobernador civil de aquella provincia que atienda a la conservación de las Doña María de Castro-Villavicencio para establecer en Málaga una casa pen citadas escuelas con los fond.'-s dei pósito Montepío, instituid •&gt; para objetos sión de señoritas á imita…</t>
  </si>
  <si>
    <t>…AÑA. ta hallarse suplántente satisfecho del celo con que los individuos de la enun ciada junta de Sanidad habían desempeñado su encargo. Madrid 21 de Diciembre• PROVINCIA DE SEVILLA» El temporal que reinaba el dia en que S. M. la Reina Gobernadora en tró en esta corte de regreso del Real bino del Pardo ^fflrív4-á S. M. de la sa— El día 13 del actual se disfrutaba de cabal salud en todos los pueblos de tisfaccion que deseaba de ver reunidas las tropas que guarnecen esta capital y esta provincia, excepto en La villa de Almadén, en 1*. cual hab…</t>
  </si>
  <si>
    <t>…informado por V. 1. en 2ó de Abril ya electo de la misma para que ejecute otro tanto. Y por ahora suplico 8 último, y de lo expuesto en su vista últimamente por la citada Dirección ge V. E. tenga la bondad de hacer presentes á la Reina Gobernadora mis senti neral , se ha servido resolver: l.° que comunique á V. S. la Real orden de 20 mientos de gratitud por el honor hecho i la dignidad episcopal , y mis doeos de Octubre de 1831 , para que circulándola á los subdelegados de las provin de que asi á ella como á su augusta Hija conceda el Todopo…</t>
  </si>
  <si>
    <t>44 L- ;■ Sultán. Él embajador francés respondió que lá situación incierta del Oriente, ® Exposicion á S. M. Ja Reina Gobernadora. d (f' : &gt; unida ¿ otras circunstancias recientes y extraordinarias, habían obligado á su go~ |É Señora: Ltf Real sociedad económica de amigos del país de esta capital, bjerriQ ¿prepararse para todo evento. La respuesta del embajador ingles fue mas que había interrumpido sus tareas por los ruidosos…</t>
  </si>
  <si>
    <t>…en la junta do Aranceles. 13,949.. ............ 3000.-4............. , Zaragoza. \ &lt;5,818.. -é » • i « ♦ 2000- '.s-s-j *;• *. J - • • - - . . , Utrera. jo, 104.. ♦...... • 2000.. ..........................J ; Atendiendo S. M, la Reina Gobernadora d la lealtad y sem'cios del roa- 3,145.. ......... .. J000.................................... Madrid. I riscal de campo de líos Reales ejércitos XX. Jotef Martínez' de 5. Martin, so ha- J3,&lt;54&lt;5.. . .......... 1000- . -a ............. Qrihuela. I écrVido*,- en nombre de su augusta Hija - Id Reina…</t>
  </si>
  <si>
    <t>…0da&gt; v . .. de América y Asia» be venido en mandar que el presidenta, mi nistros y fiscal del citado nuevo tribunal supremo de Hacienda an tes de tomar posesión de sus respectivas plazas presten el juramento Eterno. Sr.; S, M. la Reina Gobernadora ha tenido á bien siguiente: »Juro ser fiel á la Reina Doña Isabel ii y a su augus mandar: l.° Que el nuevo tribunal supremo de Hacienda, institui ta Madre» como Regenta y Gobernadora, observar las leyes del do por Real decreto de 24 de Marzo último, se instale en el dia reino, y administrar justici…</t>
  </si>
  <si>
    <t>…Muñoz, que fue herido.” frailes, curas y sacristanes, se presentaron en el pueblo de la H¡- Y al tener el honor de trasmitirlo á V. E. para la debida no- nojoxa á las nueve de la mañana de aver pidiendo 2oO raciones; licia de la Reina Gobernadora, debo reiterarle mi particular reco pero habiendo pedido y exigido el alcalde el pa-aporte, y ios ha mendación en favor del expresado brigadier y demás que refiere su bitantes de aquel pueblo puestos en movimiento, dejaron de to-</t>
  </si>
  <si>
    <t>…ÑA. mo las de salubridad, vigilancia y tranquilidad, y el alistamiento y declaración de los urbanos. Villa-Clara (isla de Cuba) 18 de Marzo* Se ha establecido en la misma el método de Vallejo, y el dia del cum pleaños de S. M. la Reina Gobernadora, se celebraron exámenes públicos y El día 15 del corriente á las cinco de la tarde pasó sobre esta villa y sus se distribuyeron premios. inmediaciones una nube que impelida de una impetuosa columna de viento del Habiendo visitado los hospitales y hospicios de dicha capital y los de AsN. O. en cinco…</t>
  </si>
  <si>
    <t>…jados de sus posiciones se pusieron, en precipitada fuga , habiendo A las seis y media se presento á. la derecha de la línea en un lando abierto temeo mis ele 8o mu-rtbs y muchos mas heridos: nuestra perdida consolé en 2 S. M. la Reina Gobernadora , llegando á su derecha á b. M. hi Ruin a l r ñ i n:i./:to, y ! ó he d'&gt;. Nuestra artib'ería Jes causo mucho daño. Las facciones Isabel ii. SS. MM, fueron recibidas en el orden de parada y acuma-ia-» c-n\ toni ;:nr i.; r}¡reccion de Aramavona , v como su p’an será correrse sobre Arviva^ dados por l…</t>
  </si>
  <si>
    <t>…Estamento de Proceres. Oficio recibido en el ministerio de lo Interior. Art. 1(9. El Estamento de Proceres ejercerá atribuciones judi Excmo. Sr.: S. M. la Reina nuestra Señora y su augusta Madre ciales en los casos siguientes: la Reina Gobernadora, continúan sin la menor novedad en su im- 1“ Cuando juzgue á los Secretarios del Despacho, en virtud da .portante salad. una acusación entabTdi por el Estamento de Procuradores del Rei Del mismo beneficio siguen disfrutando la Serma. Señora Infanta no, con arreglo á la ley de responsabilidad y segú…</t>
  </si>
  <si>
    <t>…indispensable hacer. loxsA bb comercio___Cotivacion de hoy i las tres ds la tarde. PaoVINCtA pB MURCIA. La junta de Sanidad de dicha provincia da gracias en oficio de 15 del ac JE7ZCTOS PMUCOI. tual por los auxilios que S. M. la Reina Gobernadora se ha dignado propor Inscripción** en el gran libro á 5 p. 100 , 00. cionarle para que pueda atender á las necesidades de aquella capital y de los Títulos al portador ¿el 5 d, 100 s 00. Ülscripciones en el gran libro a 4* p« 100* 00. demas pueblos de su distrito, que se hallen afligidos por la enfe…</t>
  </si>
  <si>
    <t>…olicía, relativamente á la conducta MM. Daunou, Demarqay jr Górmenla. política de algunos de los empleados de Hacienda de aquella provin Se aprueban, én vista de los informes de la comisión, Ibs poderes de cia. Y deseosa S. M. la Reina Gobernadora, á quien ne dado cuen MM. Chasles y Raimbert, y se suspende fallar acerca de los de otros diputa ta de este negocio, de prevenir por medio de una medida general do» ínterin estos no presenten ciertos documentos que se les han exigido. que se repitan iguales quejas desde otros puntos, marcando de un…</t>
  </si>
  <si>
    <t>…cuyo asiento ha de ser en Berna, no parece que serán aceptadas por la Dieta, y se espera al contrario su desaprobación. Madrid 22 de Setiembre. ____Una carta de Zurich del 29 del mes último dice lo siguiente: Siempre con S! M. la Reina Gobernadora se ha dignado Resolver que las tropas que el temor de una invasión extranjera bajo el especioso nombre de intervención, hoy componen,el ejército del Norte de España, al mando del teniente general Ja Suiza emplea diariamente todos sus conatos en mejorar su organización mili marques de Rodil, se divi…</t>
  </si>
  <si>
    <t>…iso mas grande , v a una bancarrota tos y de las personas mas á propósito para seguir planteándole. Verdad es que que servirá de oprobio á los que tuvieron fa irriprevts.on &lt;ic aconseur-a , aun la mignanimid.id de nuestra excelsa Reina Gobernadora ha hecho que el cam cuando no obren de mala fe. bio sea sin convulsiones- Ha dicho S. S. que aquí no hay reñidores ni trn,/- "Otras much's razones podría ale2ar. pero la discusión se ha ¿ .ata-V ri dof. perdóneseme que diga no puede de manera alguna adoptarse esta proposi demasiado , y e¡ tiempo es…</t>
  </si>
  <si>
    <t>…oficial del gobernador de la sala por mar y tierra; que se habían aumentado considerablemente sus del crimen de la Real audiencia de Valencia, se ha enterado S. M. fuerzas navales en la embocadura del Escalda, y que numerosos la Reina Gobernadora de que el subdelegado de Fomento ha ins cuerpos de tropas iban concentrándose en las cercanías de Breda en truido un procedimiento contra algunos curiales de aquella, en ra actitud de operar. Como la convención del mes de Mayo de 1833 zón de su conducta política, y que los procesados han sido suspen p…</t>
  </si>
  <si>
    <t>…o de Aranjuez sin novedad Rosa, Presidente de mi Consejo de Ministros. en su imjiortanie salud. MINISTERIO DEL INTERIOR. Del m ismo beneficio disfrutan SS, A A. RR. los Sermos, Se Reales órdenes. ñores Infantes. Deseando S. M. la Reina Gobernadora dispensar los alivios po-. sibles á Doña Narcisa de Vildosola, reducida al estado de viudez REAL CONVOCATORIA por el atroz asesinato que ejecutaron las gavillas rebeldes en la per PARA LA CELEBRACION DE LAS CORTES GENERALES DEL REINO, sona de su marida el capitán D, Domingo de Muruaga al tiempo de…</t>
  </si>
  <si>
    <t>…ue didos primero en dos, y después en tres columnas, y solo la noche espero llenará todas las prevenciones que me tiqne hechas V. E. de ha terminado su persecución; pero la escabrosidad de los montes que orden de S. M. la augusta Reina Gobernadora. hemos recorrido no ha permitido recoger todo el friyo que era ile esperar de esta dispersión. Los enunciados cuatro batallones y caba El fiarte citado del coronel Teijeiro, es como sigue: llería se han dirigido á diversos puntos en grupos, á los cuales perse Excmo. Sr.: En la marcha de ayer, que di…</t>
  </si>
  <si>
    <t>…gua potable supe MINISTERIO de lo interior. rior al de los 2UU reales que le comprara la villa de Madrid , será due ño absoluto del exceso, podiendo disponer de él según se lo sugieran Real orden. sus intereses. Enterada S. M. la Reina Gobernadora de las privaciones, inco 12. Si el empresario lo solicitare el Gobierno le facilitará el modidades y desaseo que ocasiona en Madrid la escasez de aguas; numero de presidiarios, que de acuerdo con la Dirección de presi persuadido su Real ánimo del fundado temor de que estos niales va dios tuviere á bien ot…</t>
  </si>
  <si>
    <t>…civil de la provincia de Madrid. '•■■ ■• : ' ; S'-Mew-, •• t. ó c&gt; -d . r Gdtna de Zanfe . ^ue ^a llcgado.aqu: esta mañana, las autoridaJts tnarrfióí^li;d*'aquella' isla'hacen' "grandes preparativos para' úna' expedición S. M. la Reina Gobernadora se ha servido nomb'ftif alcaldes W&amp;r: ■ ■ 'contra TrlptjlSv'i.a intención de la Inglaterra es probablemente fundar-,4.. imiyores interinos á 1). José Durango Calderón para Santa -Marta dé. ¡i tación de la Francia, una colonia en la costa septentrional de Africa. (DiarioOrtigueira ; á D. Joaquín San…</t>
  </si>
  <si>
    <t>810 Todo , lo que traslado á V. E.4. fin de que tad heróica acción llegue de Monovar, Petrel y Vil la joyosa habían sido invadidos dé enfermedad sos á conocimiento de S. M. la Reina Gobernadora f exponiéndole qué por mí . pechosa* bien que en los dos primeros no era de consideración d número de parte* 4_la llegada'de estos valientes* les be dado una gratificación para que sniiertos: que en Novdda disminuían los estragos de dicha enfermedad , asi co pudiesen desayunarse y refrescará la sal…</t>
  </si>
  <si>
    <t>…y Vacantes digo con esta fécha U»m»«nto, v proporc¡onariesT-en cuanto podamos, 4a facilidad de acrecentar stf lo siguientes bienestar por medio de útiles trabajos, interrumpidos lo menos que sea posible He da.lo cuenta á S. M. la Reina Gobernadora de una exposi por este servicio, hemos reconocido la posibilidad de suprimir para siempre las ción de V. S., consultando si en virtud de la Real orden circular levas generales de reclutas en el império en tiempo de paz, y sustituirles levas parciales, efectuadas anualmente por el orden siguiente en do…</t>
  </si>
  <si>
    <t>…cuatro fusilas inutilizado» elevo al superior conocimiento de V. E. Lo que traslado á V. E. para cono de las bala» de los enemigos: ellos han perdido cuatro muertos, encontrados en. cimiento y satisfacción de V. E. y de S. M. la Reina Gobernadora, reser el campo, f multitud de hqyidos que manifiestan los vecinos de los caseríos que vándome recomendar á V. E-, para que se sirva hacerlo á S. M., á los bene Jes han visto conducir, y algunos próximos al fallecimiento; este ha sido el re méritos defensores de Villarcayo, largo que reciba noticia…</t>
  </si>
  <si>
    <t>…del patrimonio ^Leal ó del tesoro público, y una y otra opinión' Exento. $y. Presidente del consejo de Sres. Ministros, en que participaba qye ha estado en mas ó menos valimiento, según han sido las ideas del siglo; asi S. M. la Reina Gobernadora se había dignado señalar hoy martes á la una .y como ha variado también el destino que se ha dado á los -fondos procedentes media de la tarde para recibir la comisión que debía poner en sus Reales de los referidos bienes. manos el proyecto de ley orgánica de Milicia urbana. El Estamento manifies «H…</t>
  </si>
  <si>
    <t>…Bailen, este dignísimo general, cuyo, habido en él, ni puede haberla; pues ño puede pasar de ser un cuerpo consulti nombre splo inspira recuerdos gloriosos, no cobra mas sueldo que el de capitán vo; quedando siempre á la augusta Reina Gobernadora la facultad de confor -'general de ejército. El ilustre prelado de Méjico se contenta con la módica marse ó no con su parecer. Por eso en todos los proyectos de ley que se pre .renta de su prebenda, y ha cedido á beneficio del Estado el sueldo á que podía sentan, y en los que se han sancionado hasta e…</t>
  </si>
  <si>
    <t>…que durante dos años haya llamado su atención, no casas consistoriales junto con el Real pendón se colocaron ios Tetratos de S. M. comprende cómo de improviso se han concebido esos temores á que hoy se da y de su augusta Madre la Reina Gobernadora que en los tres dias que dura tatlTO'valor; y le es todavía mas dificil comprenderlo cuanto habiéndose fortifi ron las fiestas de la/proclamación fueron saludados con vivas de general alegría. cado la ciudad de León, lodo el vecindario de aquella ciudad se convenció de F.l ayuntamiento dispuso que…</t>
  </si>
  <si>
    <t>…se hallarán á [pensar.: unánimes idtpsum sapientes, E^to es lo que enseña la religión catóii- 6 rs. Cada una en los almacenes de música’ ya anunciados, y en el de papel rayado, tczry.prescribe elGeie supremo del Estado,que es la Reina Gobernadora, cu- caile——Elementosde la Cruz,de ágeografíaizo rs. laastronómicacolección enteray tísica,encuadernadaescritos porá lael rústica,coronel D. Antonio jf^^°bcitud se emplea en buscar todos los medios de hacer nuestra felicidad, y Montenegro. Esta obra, para cuya perfección no se ha perdonado gasto ni…</t>
  </si>
  <si>
    <t>Núm. 25. Martes 25 de Febrero de I83¿. ARTICULO DE OFICIO. Marzo de este año. De Real orden &amp;c. Madrid 17 de Diciembre de 1833. zz | Marriñez.rrSfcs. directores de Remas. La Reina nuestra Señora Dofii Isabel ii, y S. M. la Reina Gobernadora, Qtrrr sería lando el medio de reintegrar d los compradores de escribanías y ofi liguen sin ñor¿dad en su importante salud. cios incorporados a la corona en las cantidades que entregaron ,y fueron . Del mismo beneficio disfrutan SS. AA. RR. los Sermos. Sres. Infantes. ingresadas en las tesorerías d…</t>
  </si>
  <si>
    <t>…el Frayle, y queriendo darle un testíintÉfíib^iJte'mi Reaf aprecio; he venido en conferirle, en nombre de mi cara Real otden. v augusta H^ja, Í3f dignidad dfc gran canciller déla Real Orden de Carlos ni. He dado cuenta á S. M. la Reina Gobernadora de las dudas que han ocur'Teádras}o&lt;¿ntén&lt;fido^ 7 dispondréis lo necesario á su cumplimiento.zrEstá ru rido á varios subdelegados de Fomento al tiempo de hacerse cargo de los ex bricado de Ib Real rano. ±=Áranjuez 20 de Marzo de 1834* = A D. Tomás pedientes gubernativos de pósitos, en que conocían antes l…</t>
  </si>
  <si>
    <t>474 • mente, para que sí lo tiene á bien se sírva dejarlo í conocimiento de S. M, l* y comercio con los restantes de la provincía,i cuyo efecto les dirijo con.esta Reina Gobernadora para que les dispense las gracias á que con tanto herois- fecha la correspondiente circular. Todo lo que-tengo el honor de participará fflo se han hecho merecedores. V. E. para su inteligencia y el de la suprema junta de Sanidad deí reinó que tan dignamente preside.” ^ 1 Arrojado de Vizcaya y Alava…</t>
  </si>
  <si>
    <t>Gaceta de Madrid n.º 37 · suplemento</t>
  </si>
  <si>
    <t>…to de mi augusto Esposo sos del fuero de guerra, de marina v de extrangería. (Q. E. E. G-) se instituyó un Consejo de Gobierno para que Yo le consultase Art. 7.a Estas salas podrán dividirse en cuatro ó reunirse en pleno jui como Reina Gobernadora, los asuntos arduos, trascendentales, y que forman cio y disposición de la superioridad ó del presidente, según el número y la ín regla general; y que en virtud de esta disposición, que debe tener fuerza y vi- dole particular de los negocios. ^or durante la menor edad de mi excelsa Hija Doña Isabel…</t>
  </si>
  <si>
    <t>…miento de D. Miguel Lizana, vengo en Otra sobre el derecho trasversal de herencia. nombrar á D. Andrés Crespo Cantolla. Tendréislo entendido, y Jo comunicareis á quien corresponda.—Está rubricado de la Real Conformándose S. M. la Reina Gobernadora con el dictámen mano—En Aranjuez á 23 de Abril de 1834-=A D. Nicolás Ma del Consejo supremo de Hacienda , se ha servido resolver que Don ría Garelly. Santiago Feautrier está en el caso de satisfacer el derecho trasver sal de herencias por las inscripciones de renta francesa que tiene ad Para la pla…</t>
  </si>
  <si>
    <t>…muchos años como lo desea Almadén pasó el día siguiente á este pueblo desde donde comuni él procurador del ayuntamiento de Alustante unido con sus esco ca su parte. peteros. Bruchales 13 de Abril de 1834—Anselmo Samaren. S. M. la Reina Gobernadora lo ha estuchado con agrado, y El comandante general de la provincia de Búrgos avisa en 20 ' se ha dignado mandar que se publique sim alterar en nada su . del propio mes que la facción de Merino y sus secuaces son cons lenguaje. tantemente perseguidos por las columnas que ha destinado al efec to, y…</t>
  </si>
  <si>
    <t>…la carltal, beneficio de su cuadros mas célebres de Ticiano, y compañero del Bacanal, que mo precio que aumentará los motivos de gratitud hácia Duestra augusta sirvió de estudio á grandes artistas pintores y escultores que conti Reina Gobernadora, que se ocupa sin descanso en facilitar los medios de acometer tan árdua empresa, y que sin duda llevarán á cabo sus nuamente le copiaron para penetrarse de las formas tiernas y her constantes desvelos por la prosperidad pública. Se venden en la librería mosas de los niños. Estos forman la bella co…</t>
  </si>
  <si>
    <t>…icas.) , Art; 41. Cada uno de los nombrados Procuradores á Córtes debe Peal orden. rá presentarse en el pueblo que al efecto haya designado la Real Convocatoria, antes del dia prefijado para la apertura solemne de las Enterada la Reina Gobernadora de lo expuesto por esa Direc Cortes. ción general con feclia 15 de Abril próximo pasado acerca del ex Art. 42. Dicha apertura solemne se celebrará esta vez en la he pediente que la misma instruyó con motivo de la queja producida roica Villa de Madrid el dia 24 de Julio del presente año. por Francisco…</t>
  </si>
  <si>
    <t>…ancisco, paso el Excmo. ESPAÑA. ayuntamiento a la Su. iglesia catedral, donde se entono un solemne Te Deum Madrid 24 de Mayo* en acción dt: gracias ai Todopoderoso por la que había dispensado á la nación El cumpleaños de S. M. la Reina Gobernadora, se ha celebrado en la española concediéndola una Reina Gobernadora modelo de virtudes, y i su ▼illa de Villaescusa de Haro con el mayor entusiasmo y con toda la magnifi augusta Hija la Rbina nuestra Señora Doña Isabbl ii, en la que se halla sim cencia posible. Fueron expuestos en la piara pública…</t>
  </si>
  <si>
    <t>…mando de aquel brigadier durante su per En la de etiqueta preparada paniVl baile, en su testero habia un regio trono y manencia en Portugal.” Dios ¿k. Braganza 5 de Mayo. =: Excroo. Sr.=Jorge colocado en él el retrato de S. M. la Reina Gobernadora; á sus ladosestábatl dlAvilés. cuatro guerreros españoles armados de lanza y capacete, y eran Pedro Anzares que gobernó á España en las turbulencias que precedieron al reinado de Do Pormenores de ¡a acción de que se hizo mérito en la Gaceta núm. 91. ña Urraca, y que entregó á esta Reina, como valie…</t>
  </si>
  <si>
    <t>…lo expuesto por los asesores de la superintendencia general «le Real orden. Real Hacienda, ha tenido á bien resolver S. M.: que á contar desde 1? de Julio de 1831 en que debió hacerse pública en todo el reino He dado cuenta á la Reina Gobernadora de lo que esa Direc la citada Real aclaración de1 2 de Mayo de 1830, á las dudas con ción general lia hecho presente én 29 de Marzo último, con motivo sultadas acerca de la inteligencia de los artículos 46 y 48 «leí Real del expediente.que se maulló instruir en lt) de Marzo de 1833, á decreto de 16 de…</t>
  </si>
  <si>
    <t>…arrojados de su territorio: al oír lá señal de haber salido de palacio, *e dirigieron á la puerta que sale al desengaño y éscarimemo reciente, que anuncia el éxito que tendría jardín det'ftéfiró, en la que .recibieron í S. Si. I4 Reina Gobernadora y al cualquiera loeánénrativa. Sermo. Sr. Infante D. Francisco, de Paula, que la acompañaba. S« M. ocupó ¡ Al propio tiempo que sé terminaba la cuestión de Portugal, se una silla bajo del solio, sentándose S. A, eü otra fuera de él, pe^o á Su inme~ ratificaba en Londres el tratado solemne que tenia-p…</t>
  </si>
  <si>
    <t>…ón han ocurrido ya disensiones entre este gobier REAL DECRETO. no y el virey de Egipto. Si Reschid-bajá consigue reprimir á los kurdos, y le son propicias las circunstancias, no seria extraño que se prevaliese del descon S. M. la Reina Gobernadora, en nombre de1 su augusta Hija tento general de aquellas provincias contra los egipcios, y del aprieto en que Doña Isabel ii, se ha dignado por decreto deol de Julio próximo pa lbrahim se hallaba para cargar sobre sus tropas, bajo cualquier pretexto,y pro sado conceder al Sr. marques del Salar y de…</t>
  </si>
  <si>
    <t>…n respecto i los empréstitos contra Si, todos somos españoles, todoeeuamos reunidos para velar por los intereses tado* en tódas esta épocas, he dicho otra vez, y repito ahora , que es el em- píirios, y cooperando con la magnánima Reina Gobernadora, sostenemos el préstito de Guebhard: nosotros podemos derogar, unidos con el poder Real, trono de su augusta Hija, que és el iris de paz y de ventura entre los :doa os«lq«iiefi aiedtdaadopuda por ffl Oobienyuntcrigr que no ia creamos justa, Mundos. ■ • . ■ - Ctantiguosque S. M.fueros.ha. devueltoEn…</t>
  </si>
  <si>
    <t>…do de completamente de los sentimientos de sus augustos^AJiados, y de Negocios en aquella corte, como su embajador en la de Paris, se ha seoso ademas de dar una justa retribución á los empeños contraídos dignado mandar la Augusta Reina Gobernadora que se ponga desde por S. M. la Reina Regente de España en el art. 21 del tratado de luego esta transacción importante en conocimiento del público. ■ 22 de Abril de 1854 , se obliga á cooperar, en caso necesario, en La ratificación , á que se refiere el parte telegráfico arriba in ayuda de S. M. C.…</t>
  </si>
  <si>
    <t>…judicada ninguna especie de industria, y se respeta gio , y yo no puedo menos de recomendarlos á V. E., por si tiene á bien ele^ ría sobre todo el trabajo que asegura la subsistencia del obrero.” varios á conocimiento de S. M. la Reina Gobernadora para su satisfacción. (Correo francés)) La tranquilidad pública sigue inalterable. Dios &amp;c. Valladolid 22 de No viembre de 1834.=Excmo. Sr.:=José Rich.=Excmo. St. Secretario de Estado y del Despacho de la Guerra. 1 Se lee en el Diario de Maine y Loira del 3 de Noviembre: ** «Ei hecho siguiente que…</t>
  </si>
  <si>
    <t>…nistros. Sin embargo, las comisiones reunidas han visto con particular satisfacción Una poniendo en conocimiento del Estamento haberse servido S. M. la que tanto en las respuestas de los fiscales del Consejo de Castilla, extingui Reina Gobernadora elevar á la dignidad de Procer del reino al Excrao. Se do antes que hubiese podido evacuar la consulta , como en los dictámenes del ñor D. Miguel de la Torre, capitán general de la isla de Puerto-Rico. Consejo Real y del de Gobierno, se ha trabajado con loable celo parí superar Otra en que traslada…</t>
  </si>
  <si>
    <t>…cobran los religiosos fran El Sr. Secretario del Despacho de ¡o Interior-. »E1 Estamento tendrá ciscos de Jerusalen , y de que los Procuradores de Valladolid tendrán noticia; presente que entre las peticiones elevadas á S. M. la Reina Gobernadora ha pues en dicha ciudad poseen aquellos una casa , y cobran un tanto por cqda sido una la relativa á la extinción de las santas Reales y viejas hermandades de pueblo; lo cual es una contribución forzosa, y de consiguiente parece tamr¡nH^ Rml, Tala vera y Toledo. S. M. lo ha tomado «a «mridenaci an…</t>
  </si>
  <si>
    <t>…ministro correspondiente al arma de ingenie ros "en el Tribunal supremo de Guerra y Marina, vacante por renuncia de D. Manuel Pueyo, á D. José Santa (sruz. Tendréislo entendido , y lo comunicareis á quien corresponda. =: S. M. la Reina Gobernadora, á nombre de su augusta Hija Está rubricado de la Real mano. = En Aran juez á 23 de Abril la'Reina nuestra Señóla Doña Isabel ii , se ha dignado nombrar de 1834—A D. Antonio Remon Zarco del Valle. gobernador militar y político de la plaza de Zamora al mariscal de campo D. Fernando Butrón; y para re…</t>
  </si>
  <si>
    <t>…cuerpos expedicionarios continúan con la mejor disciplina á los beneméritos urbanos que verificaron la prisión de los tres re y llenos de entusiasmo para sosrener los legítimos derechos de la beldes , y no dudo que satisfecha la Reina Gobernadora de sus Reina nuestra Señora, sin haber tenido ninguna baja en la fuerza servicios y leal comportamiento, se dignará mandar se haga de ellos efectiva, y muy pocos enfermos en la disponible. una mención honorífica. Dios guarde a V. E. muchos años. Va Dios guarde á V- E. muchos años. Cuartel general de l…</t>
  </si>
  <si>
    <t>…es generales de Rentas.ñores infantes. MINISTERIO DEL INTERIOR. . REALES DECRETOS. Real orden. Deseando proporcionar á D Lorenzo Gotarredona, regente de la Real auiliencia de Asturias, el honroso duscauso que merecen sus S. M. la Reina Gobernadora se lia servido mandar que se co Rueños y dilatados servicios, lie venido en concederle su jubilación munique á los Gobernadores civiles de las Provincias el Estatuto cou todos sus honores y dos terceras partes de su sueldo, Tendréislo Rf.al, la Convocatoria para las Cortes generales del Reino, y el…</t>
  </si>
  <si>
    <t>…n el manto do* ceremonia. MINISTERIO DF. LO INTERIOR. Tendré i si o entendido, y dispondréis lo necesario á su cumplimiento. Real orden. = Está rubricado de la Real mano. = En Carabanchel á 24 de Junio lie dr.dn cuenta á S. M. la Reina Gobernadora de varias con de 1854.= A D. Francisco Martínez de la Rosa, Presidente del Con sultas hechas á este ministerio sobre si los escribientes v meritorios sejo de Ministros. de las oficinas de Propios, comprendidos en el reglamento aprobad &gt;. ’ MINISTERIO DE GRACIA Y JCSTIC1A. por Real orden de 10 de Mavo…</t>
  </si>
  <si>
    <t>…el délos donas, con esta última especie de créditos, se satisfará precisamente el pre que habiendo adoptado al principio los cordones acabaron jvor co-i cio máximo 6 total de la tasación. nocer v confesar su ineficacia; S. M. la Reina Gobernadora se dig áí, Si las fincas rústicas que hayan de darse á censo enfitéutieo nó mandar que la junta suprema de Sanidad del reiiv) propusiera tuviesen monte altp, se verificará la dación á censo tan solamente las reformas que creyese o]vortunas en las disposiciones sanitarias</t>
  </si>
  <si>
    <t>…ira. disposición natural del terreno en ese intervalo disminuye las dificultades que ofrece en otros puntos; pues la tercera parte de la anchura es ocupada por el grande lago de Nicaragua. CUniversal de Montevideo.') 1 , S. M. la Reina Gobernadora se ha dignado conceder á D. Pe Idem 19. dro de la Hoz, fiscal general de correos, la jubilación que ha pedi Proyecto de artículos adicionales á la ley de 8 de Mayo de 1828 que rige do, en atención al quebranto de su salud; nombrando para suceder- provisoriamente la libertad de imprenta hasta la san…</t>
  </si>
  <si>
    <t>…onsideración de Inglaterra está deprimi —-------- -— i-m ■ 1------- da entre las naciones europeas. Poique , añade, si el rango de un Estado debe medirse por la calidad de los embajidores enviados á su corte, no hay duda S. M. la Reina Gobernadora se ha servido nombrar para la regencia de que actualmente la Gran-Bretaña carece de este lustre que en otro tiempo la la audiencia de Madrid, vacante por promoción de D. José María Manescau, distinguía. Mientras el gabinete de San James tiene en las cortes de—les demás á D..Francisco Vereá y Cornej…</t>
  </si>
  <si>
    <t>…as qne las de los árabes y moros de Argel y de Marruecos; estos em que se denominará de liquidación de la extinguida compafiia de Filipinas; S. M. pleaban mas particularmente su conato en hacer prisioneros i los cristianos con la Reina Gobernadora, en vista de la propuesta de la expresada junta de go quienes estaban en guerra; pero en algunas tribus tártaras se vendían los hom bierno, se ha servido señalar el .lia 31 de Octubre próximo, á las diez de la bres unos á otros, caian sobre sus vecinos, y causaban no pocos perjuicios á los mañana ,…</t>
  </si>
  <si>
    <t>…la isla 4.° Se observará con ti mayor rigor cuanto dispone el artículo 2.° de la de Cuba. Ningún otro obsequio podu ser mas grato ¿l corazón de nuetira misma circular de 3 de Setiembre, y de las otras publicadas anteriormente en Reina Gobernadora, y ninguno capaz de producir en su bella alma senti lo que concierne á la legalidad de los documentos. mientos mas nobles y elevados; porque le recordaran el predilecto cariño de Dios guarde &amp;c. Lisboa de Octubre de 1834—Pr. Joaquín Javier de Fernando, la» palabras de amor coa que puso en sus manos…</t>
  </si>
  <si>
    <t>…' in'uh—mm .í i ARTICULO DE OFICIO, _ gunaplan útilde lasy económicoplazas vacantesde lasquenuevasocurranplantillas,en las aduanas,cura formaciónhasta queestáse apruebeencargadael Fa Reina nuestra Señora Doña Isabel u, y S. M. la Reina Gobernadora* » esa.Dirección general para la mejor organización de las oficinas de dicha ren lugufn sin novedad en su importante salud* &lt; ■ i . ta. De Real orden 1q comunico á V. SS. para su inteligencia y demas efectos. •Del mismo beneficio disfrutan SS. AA. RBó los Sermo^ Srea. Infantes Dios &amp;c. Madrid 25 de…</t>
  </si>
  <si>
    <t>…ID. ARTICULO DE OFICIO. Art. 5.° Los objetos consagrados al culto , pertenecientes á los monasterios ó conventos que se suprimieren á virtud del presente decreto, se distribuirán La Reina nuestra Señora Doña Isabel ir, y S. M. la Reina Gobernadora, por los respectivos diocesanos entre las parroquias mas necesitadas , ‘dándome [siguen en el Real sitio de Aranjuez sin novedad en su importante salud. cuenta de haberlo ejecutado. Art. 6° Los bienes muebles é Inmuebles pertenecientes á los monasterios Del mismo beneficio disfrutan SS. AA. RR. los…</t>
  </si>
  <si>
    <t>…icados los aviso* a las comisiones de la empresa de mas ímprobo y con el mas decidido entusiasmo: lo cual ruego á V. E. tenga guardacostas, al bergantín Guadaíete y al comandante general interino de Vi— á bien elevarlo á S. M. la Reina Gobernadora en justo obsequio de tan loable !go¿ el coronel D. Sebastian Cuesta, de la vigilancia mas rigurosa pifia la apre conducta. Dios guarde á V. E. muchos años. Vigo 18 de Marzo de 1834 = hensión de la balandra Express Packet , que cargada fie efectos de guerra para Kxcmo. Sr.t=El comandante general int…</t>
  </si>
  <si>
    <t>…los hospodares una independencia mas comple Madrid 26 de Mayo. ta. En todo caso si los hospodares fuesen á Constantinopla á recibir la investitidura , se miraría esta acción como una complacencia de la Rusia, dirigida á S. M. la Reina Gobernadora se ha servido admitir con aprecio, mandan lisonjear la ambición del Sultán. (Mensajero.) do que se publique en la Gaceta , la cesión que ha hecho en faror del Estado D. Henrique Schenelibuhel , inspector que fue de las rumas de Marbella , y ac ____ En las cartas que se han recibido de Lima (América…</t>
  </si>
  <si>
    <t>…ragoza* f d. haberse recibido el dia anterior el libramiento de los 403 rs. vn. con que S. M. Hainburgo', 00. Barcelona* k ps, fs*, Málaga ,4 id. Descuento dé letras Londres, á 90 días r 1Mb. Santander* 4 h* á 4 p. 1Q9 al aófw la Reina Gobernadora ha socorrido i aquellos desgraciados. Se hace regular t»8* Bilbao, 4 &lt;L Santiago* | i mente el repartimiento de la sopa económica, con lo que se impide la vagan cia de los mendigos1; y se persigue con actividad é los autores de alzónos robo» •ometidos en los dias de mayor consternación. En fin, ha…</t>
  </si>
  <si>
    <t>…r general está ya redactando ’el proyecto de un nuevo sistema ;; 1. ; .1 Real (¡rilen. i Cl.jH !i -- ■** ' ....... * f de aduanas para los ducados. El proyecto deberá ser primero, examinado por la : iBremo. Sr.: Enterada S. M* la Reina Gobernadora de-¡una ins-- dimisión enc4rgad?de lós traba yis relatryoj á ellas, así como por la Cítntná|t iéO*" ls ..................... ‘tamñande -D. Jesé Ramírez; ^taefie^y earpitan de la fragata "Ignacio^ lós ingresos de aduanas,y el tribuna! «fecomeruo alo á la sanciondél Rey. (Dúérie'i&amp;io/ OebotTJ.Jsolicitand…</t>
  </si>
  <si>
    <t>…ntado d las Córtes de orden ne Basílica de los recursos necesarios para continuar la magestad de su culto, de 5. M. el Gobierno procurará adquirir exacto conocimiento de los rendimientos del Las reclamaciones dirigidas á S. M. la Reina Gobernadora en queja de Voto que percibía dicha fabrica, y de lo que esta necesite. Y oyendo al M. re los gravámenes que sufrían los labradores de algunas provincias de la España verendo arzobispo y á Ja Real Junta eclesiástica, designará los arbitrios que peninsular por la prestación conocida con el nombre de…</t>
  </si>
  <si>
    <t>…&gt; llegar a! Calibo al bravo coronel Valle, conduciendo toda la caba Al intendente de Filipinas se dire lo siguiente: Flalñcudo liado llería que los traidores teman en La, p»ra consumar sus crimines. Habéis visto cuenta á S- M. la Reina Gobernadora del espediente promovido reunirse nns los buques de guerra y a valiente La nao con las tropas que manda.- acerca de permitir el tráfico en los dominios de Indias de las hojas 'ba, y habéis visto al virtuoso y valiente coronel Loyola conducir prisionera, de espadas llamadas machetes, se ha dignado decla…</t>
  </si>
  <si>
    <t>…la píe para tocar i - otro* va- . - cion del Estamento con la siguiente petición para que hallándola conforme, ríos; y nos hallariamos privados de una parte considerable de nuestros recur Ge sirva elevarla á conccimiento de S. la Reina Gobernadora. sos. Es preciso también observar que el terreno donde se exige esta imposición, ^ -Señora: El Estamento de Procuradores del reino, conociéndo la existencia aunque fuese mar gravosa que las parecidas de otros punto», proviene de fincas 1 de algunos envejecidos males que sin ofrecer utilidad al tesor…</t>
  </si>
  <si>
    <t>…n! ARTICULO DÉ QFICIO. Desde la publicación di este mi Real decreto se admitirán las apelaciones para ante los tribunales superiores á que el pueblo queda sujeto, con inclusión La KeiwA nuestra Señora Doña Isa bei ii , y S. M. la Reina Gobernadora, de Madrid y su rastro. Exceptúanse las del territorio asignado á los de Burgos siguen sin novedad en su importante salud. y de Albacete, de cuyos pueblos se llevarán aL tribunal a que en la actualidad pertenecen , hasta que realmente quéden las nuevas audiencias instaladas con el Del mismo benefic…</t>
  </si>
  <si>
    <t>…viageros, tanto por su aspecto, como por medio de las tór Já'juñfa jfuúféMsrdé:Sanidad' del Reiho, sobre el modo de llevar preguntas que juzgue necesario hacer, y declarará inmediatamente si a eféctp M'iAísraq arfíciflo^S. M. la Reina Gobernadora se ha ser- se hallan ó no en estado de salud. 4i^b máüáaí¡ ijtié^por tfá^Ql.'prñajéjres civiles, los gefes de los cor- 93 Cuando el módico declarase que alguno de los viageros no se dopes'^anJjajrips^roseo^Rnfántesde/los„puntos de paso y comuni- halla en estado de salud, el alcaide de la casa de ob…</t>
  </si>
  <si>
    <t>…la Guerra por conducto del ordena ca , mereciendo por el servicio preferente que han prestado los mayores elogios, dor y del intendente general del ejército para noticia de S. M. Si á consecuen habiéndolos recomendado á S. M. la Reina Gobernadora para que le conste cia de la declaración del perito decisivo, el gefe del cuerpo ó el asentista no los decididos defensores que tiene en este distrito,, y que en ellos se estrellarán quedasen satisfechos y quisiesen, cuando el suministro en cuestión fuese el pan, las ■ impotentes maquinaciones de l…</t>
  </si>
  <si>
    <t>…causa atribuir toda esta actividad, y por otro lado el gobierno emplea los re ambos trinitarios calzados del convento de la villa de Fuensanta, bao acudid» cursos mas minuciosos para impedir que traspire ninguna cosa.” á S. M. la Reina Gobernadora, por .medio del gobernador civil de Albace te , pidiendo que se les destine á los sitios en donde la enfermedad reinante .T^ legislatura de los Estaco» de Baviera se cerró el 2 de Julio en hombre cause mas estragos , pues no tienen incoo veniente en qticiiid asa en los ofi del Rey por eJpríncipe Oe…</t>
  </si>
  <si>
    <t>…y en sus dependencias; y que sin ellos apenas pue ___ Ludiendo considerarse ya casi extinguida la enfermedad epidé de formarse el nuevo |dan de cittidtOsT adecuado a las noee.-udades mica que ha afligido á esia capital, S. M. la Reina Gobernadora, presentes, y que ha de influir tan directamente en la sólida instruc después de oido el dictamen de la junta de Sanidad de la misma v ción de la juventud y culos progresos del saber; he vetoido en de su provincia, ha tenido á bien mandar se proceda al expurgo y des cretar, á nombre de mi augusta I…</t>
  </si>
  <si>
    <t>…s prestaran una fianza á satisfacción de la junta, de que Al considerar los inmensos beneficios que debemos á nuestra adorada -aL menos concluirán el camino hasta &lt;^&gt;mpletar el dicho puente del cío ArReina, y ^su augusta Madre la Reina Gobernadora, desde el momento en mfndariz, siendo la obligación expresa y bien extendida, de los fiadores que en que se encargó del mando de las Españas, nuestros ojos deben arrasarse en la caso de no verificar la construcción hasta ese punto habrán de pagar a Li junta grimas de ternura y gratitud; y faltaríam…</t>
  </si>
  <si>
    <t>…o todos los enfermos que existían en aquella época, sin que ninguno mas circunstancias. Hubiese perecido desde entonces. Los que quieran concurrir á ello^prcsentarán memorial al director ge**- neral de caminos y canales. S. M. la Reina Gobernadora se ha servido mandar que á principios de La expedición de correspondencia general que salió de Madrid para SanAbril del año próximo venidero se celebren exámenes de los jóvenes que as tander y Bilbao el jueves 20 del corriente, después de medía nocJie, fue depiren á entrar de alumnos en la escuela…</t>
  </si>
  <si>
    <t>…n regido has- hacerlo presente para que conste en el acta , y se sepa que cuando este Sr. Pro curador , cuyo celo es un conocido , no asiste á las sesiones es por imposibili -ta aqui. Madrid 20 de Diciembre de 1834- , . »S. M. la Reina Gobernadora me manda en consecuencia, que la ley asi dad absoluta de hacerlo.” aprobada por el Estamento de Sres. Procuradores la presente £ este Estamento El Sr. Vicepresidente dijo que k manifestación de S. S. era bastante pa de ilustres Próceros pare su eximen y resolución. Madrid 22 de Diciembre ra que con…</t>
  </si>
  <si>
    <t>…uier título ó concepto haya teni rendición á uei facciosos armados, que le hirieron 3e"muerte, ha llamado muy do sobre sisas ú oíros fondos municipales. Tendféislo entendido , y dispondréis particularmente la atención de S. M- lá Reina Gobernadora; y para enjugar lo necesario para su cumplimiento. = Está rubricado de la Real mano.— En las lágrimas de su viuda y de los seis huérfanos qué ha dejado, se ha servido Aranjuez á 24 de Marzo de 1834- = A D. Javier de Búrgos. íj, M. concederle la pensión vitalicia de 8 rs. vn. diarios, trasmisible á…</t>
  </si>
  <si>
    <t>…encias entre la Holanda y la Bélg¡c¡|.*e T5U\ á go en el estado de emprender sin fatiga maniobras militares de combate. En nar en Vicna por la cesión que se le hará á esta úbima de todo el Limburesta atención, y deseando S. M. la Reina Gobernadora contribuir de una par- go, cesión perfectamente conforme á la naturaleza, y esencialmente favorable, u:.a|,.»MVI° del benemérito ejército que sostiene la causa de su augusta Hija, y tanto al comercio de los dos Estados como al de lo* p.i.hes vecinos. Ed tal caso de rjtra 'sacar de las fuerzas de qu…</t>
  </si>
  <si>
    <t>…do el tributo que deberán satisfacer á la Puerta los dos principados de Moldavia y Valaquia , y arreglado otras disposiciones rela tivas al gobierno interior de las mismas provincias. En virtud del convenio re He dado cuenta á la Reina Gobernadora de la consulta promo cientemente celebrado se procederá en breve por ambas partes contratantes al vida por el antecesor de V. S. en 21 de Febrero de í83í relativa á cange o6cial de la ratificación ; las tropas rusas evacuarán dichos principados, y. si el abono de un mes de liaber, premio y pan que señala…</t>
  </si>
  <si>
    <t>…Mediavilla y al Madrid 2B dt Abril. teniente retirado D. Juan José del Arenal, siguiendo yo con el subteniente .Don José del Busto y los sargentos segundos D. Elias Alvarez, D. Félix ^ionF.n celebridad del cumpleaños de S. M. la Reina Gobernadora se vistió real y D. Anselmo Miranda, y el resto de la columna por el centro con direc ayer la corte de gala con uniforme , y hubo en el Real sitio de Aranjuez besa ción á la villa. A la entrada de esta , rompió el fuego la descubierta que man manos general , asistiendo á un acto tan augusto el cuer…</t>
  </si>
  <si>
    <t>…os de sus provincias, mancomunados por sus propios Moscoso de Altamira. intereses en la prosperidad de ellas, y que colocados por su fortuna en tina posición independíente, se haHen tan distantes de sacrificar Convencida S. M. la,Reina Gobernadora de las ventajas que re-, sus deberes á las exigencias dél poder, como á las seductoras inspi sultán al Estado y á todos los particulares de que se generalicen las raciones de la ambición ó de una popularidad mal entendida. obras elementales .destinadas á inculcar en la infancia sanos princi La diferente o…</t>
  </si>
  <si>
    <t>….............. ,.. Guadalajara. Torana , capitán de artillería de Elvas. , 1,984............... ..' 3000................................ ,.. Manresa. 967................ .. 2000................................ Barcelona. S. M. la Reina Gobernadora se ha dignado condecorar con la gran cruz 7,238................ .. 2000................................ Zafra, S. Ildefonso y Ade la Real y militar orden de S. Fernando al duque de Terceira, general del randa. ejército de la Reina Doña María de la Gloria, que mandó la batalla de Sei 12,942;........…</t>
  </si>
  <si>
    <t>…£ L.aa M — ... Msagrada'.A ^ i i? -3 M 'sé' IILalía aLdigrta’dó'rila'hdá1 rf éÍ|.^J obligación_1.1 W EnL1' A..su- consecuenciaK /• A n ■ . rt A1 __ l_Estos'dias se han esparcido noticias alarmantes de disturbios graves ocurri la Reina Gobernadora que todos los empleados dependientes de los dos en Lisboa, con otros rumores qqeftecujqtyaeqte^haMxircular el interés ó diversos ramos del'mmisterio de mi Cargo, cualquiera,tjttp/sest'SUa el agiotage de los eápCaflaJrjréiv# niOKfe lifjJ ¿áviondol portugueses, y aun clase ó gerarquía, permanezcan en…</t>
  </si>
  <si>
    <t>…es servado ocupan las tropas Marathonisi. La Reina nuestra Señora Doña Isabel n continúa sin novedad ^ SUIZA. {{¿aceta de Augsburgo) en su importante salud en el Real sitio de San Ildefonso; y de igual beneficio disfruta S. M. la Reina Gobernadora en el Real palacio Zurick 8 de Julio. de Riofrio. También goza de perfecta salud en el expresado Real El vorort ha comunicado á los Estados dos nuevos documentos diplomáti •itio ia Sernaa. Sra. Infanta Doña María Luisa. cos. E primero es una caria d r g'da al vorort por M. de Bom^cllrs, embaja dor…</t>
  </si>
  <si>
    <t>…te reglamento, no tolo la Ta provincia. Pecomiendo á V. E. su noble y valeroso comportamiento; y es buena asistencia de tos pobres en los instituios de «ta dase, tino el esmeradopero sé Sirva hacerlo í la munificencia de S. M. la Reina Gobernadora del cuidado de los expósitoi; la instrucción en la lectura bajo el método de Va— inérito cpntraido por los gefes que los han dirigido, y muy particularmente lie jo; la reunión de señoras distinguidas y benéficas qu» ve presten á este latidapor el alcalde Aseó, herido en' la acción. Dios nuestro Señor g…</t>
  </si>
  <si>
    <t>…Relies órdenes. gan de orden de alguna autoridad; rio permitiendo la fijación de nin Al Director gene-al de Caminos digo con esta fecha lo siguiente: guno que no esté en este caso, sin la previa autorización «leí propio „S. M. la Reina Gobernadora se ha servido mandar que V. ¡5. remi subdelegado, acreditada con sil rúbrica en el mismo papel. De Real ta á este ministerio los planos, presupuestos, informes y todos los orden lo comunico á V. S. para su inteligencia y efectos correspon antecedentes que tenga relativos á los caminos proyectados,…</t>
  </si>
  <si>
    <t>…gido el exequátur al cónsul de ñores Reyes D. Cárlos iv y D- Fernando vn (Q. E. E. Gt.), y su embajaPrusia en esta plaza, por haberse mezclado en aspntos relativos á los facciosos dor en varias cortes de Europa, ha suplicado á la Reina Gobernadora desde' de España. (Carta particular.) su retiro en el monasterio de S- Gerónimo de Sevilla, donde se halla algunos años hace, que se digne admitirle en favor del Real erario el donatbo de —-El fiscal del Rey (Procureur du Roi) de este distrito ha dirigido á los 7~?\$ rs. vn., procedentes de crédito…</t>
  </si>
  <si>
    <t>…la misma comisión con el empresario PROVINCIA 1)£ JAEK. de los teatros acerca del modo de cobrar el producto de aquellas localidades. Sr. D. Pedro Antonio Acuña. Por Real cédula expedida en 22 del que rige, se ha dignado S. M. la Reina Gobernadora conceder a D. Donato González Saravía y compañeros Por Real órden de 2fi de-este-mes, 5. M. la Reina Gobernadora ha —pü-vilegio exclusivo por cinco años para asegurar la propiedad de cierta pasta servido autorizar al ayuntamiento de Madrid para llevar á efecto lá mejora en o betún de piedra arcillo…</t>
  </si>
  <si>
    <t>…beneméritos defensores del trono de su augusta Hija que tuvieron parte vincia de Córdoba, y capitán de los Urbanos de dicha villa, ha acudido á «n este glorioso encuentro, y particularmente al expresado comandante Porta; S. M. la Reina Gobernadora, pidiendo por sí, y en nombre de ISO indivi al teniente graduado de carabineros D. Nicolás García, que herido al principio duos de sir cuerpo, ser destinados á las provincias Vascongadas, ofreciendo no de la*acción no quiso separarse hasta que se concluyó; rasgo de heroísmo dig- regresar á sus hoga…</t>
  </si>
  <si>
    <t>…antes. Ministros, he venido en decretar, en nombre de mi amada Hija la Rei*a Doña Isabei ii , la siguiente: Artículo 1.* Se declara libre la venta y compra, negociación y tráfico de En la maEana de este día se ha dignado S. M. la Reina Gobernadora pre harinas , trigo, centeno, escanda,cebada, maíz , arena y demás granos y semi sidir el Consejo de Ministros, para oir ventilar en su augusta presencia los gra llas en todo el interior del reino é islas adyacentes sin sujeción á tasa ni estor ves intereses del Estado. bo alguno que coarte ó dific…</t>
  </si>
  <si>
    <t>…rales del ramo, MINISTERIO DE LA GUERRA. asignaciones á establecimientos públicos, y otras varias’que se satisfacen menRtql orden para que los individu-os de tropa retirados á dispersos sean asis tualmente, se ha servido S. M. la Reina Gobernadora autorizar al contador tido* en los hospitales militares lo mismo que los de activo servicio. general de Propios para expedir por ahora las mismas libranzas, como se hacia Enterada la Reina Gobernadora d? la. consulta de que trata el oficio de antes de crearse dicha dirección. De Real orden lo comun…</t>
  </si>
  <si>
    <t>…ensos Bkll titi enen unun magníficomagnihco lab,adotaimado construidoconstruido a!a; efectoetccto entrentre inmensos vivas y fevivas de un concurso numerosísimo. Realzaban la función los maestros y ofi liwitJw¡one» a S. M. y a la Reina Gobernadora, fue lucidísimo e! concurso de ciales de los gremios que ejecutaron trabajos de sus respectivos oficios, y los perdona* a cubado que acompañaren al ayuntamiento por la carrera señalada ricos adornos de la carrera en que se velan arcos, fuentes, pirámides e inscrip- que&gt;onduc¡a á la plaza, y muchas…</t>
  </si>
  <si>
    <t>…u voz seria désoida y menospreciados sus consejgs, como' raen un el dolor del delito, y temen el rigor de las leyes. HIJOS de) cariño qiie á los navarros profesa. A despecho del zelo y esfuerzos de En este caso la clemencia de la Reina Gobernadora, de la Esposa de vues todas, las autoridades, las voces de levantamiento y desobediencia, aun á las tro Rey Fernando, de ia Madre de vuestra Reina, suspende por un momen mismas leyes návarrás, veneradas en todos tiempos, han resonado con estrépito to la espada de la justicia para ejercer un rasgo d…</t>
  </si>
  <si>
    <t>…reduciendo á la sola clase que antepone su propio ín «Excmo. Sr.: Tengo el honor de poner en conocimiento de V. E., para que teres ai bien general de los españoles, ha tratado en sus lúgubres reuniones de lo eleve al de S. M. la Reina Gobernadora, que según parle que acabo de re variar el plan de ataque, y de sustituir á la fuerza visible y de frente otra mas cibir por propio del subdelegado de policía de Colmenar Viejo, la desprecia pérfida y mas temible. ble facción de 10 hombres a caballo que el 24 del actual se presentó en el No podemos…</t>
  </si>
  <si>
    <t>…-------En virtud de pfóvídencia del Sr. dé' tlorens, del consejo de S. M. en el Stlfíri*? rao de'Castllla , jurerInterventor de la casa y estados-del conde de Montlib y Minad* I dé^ciriAmstancias, según la Real orden de S. M. la Reina Gobernadora,. El da , se cita por término de 30 días á los legatarios de la difunta condesa del iVlpotij&amp;í 1 que fuere nombrado tendrá las obligaciones de asistir á todas las funciones que para que por si ó por medio de apoderados acudan á dicho juzgado de iíHervenc¡tía.s I í'ál presente se celebran y"prescrib…</t>
  </si>
  <si>
    <t>…cción del perjuro Merino en las inmediaciones de Herrera de Rio cisión de los valientes militares que componen esta columna, para que llegando Pisuerga, el cual, para conocimiento de V. E., á la tetra copio. á noticia de S. M. la Reina Gobernadora, se dígne, si lo tiene á bieu, darlo «Después de diez dias de marchas forzadas, y muchas veces por caminos y su merecida recompensa, pudiendo asegurar á V. S. que me glorío de la vera veredas desusadas , por donde seguía la pista á la gruesa facción del rebelde Me cidad y exactitud de mis partes, p…</t>
  </si>
  <si>
    <t>…to que ha experimen ñores Infantes. tado en aquella nación el ansia del saber. A principios del año pasado habia e» la universidad d» S. Pttsnbmga 54 profesores y empleados, y 206 estudiantes. La universidad de Moscou po S. M. la Reina Gobernadora se ha servido nombrar en calidad see 113 profesores y empleados, y 54I estudiantes; de estos 144 deja-cn Un de interinos, para el corregimiento de Medina del Campo á D. Ma aulas en diversas épocas del año, habiendo ganado curso 110, y habiendo re teo Herrera de la, Riva: para el de Ledesma á D. Jos…</t>
  </si>
  <si>
    <t>…o el no ble Conde que está á la cabeza del gobierno, y el noble Marques presidenta ' Eterno. Sr.: S. M. la Reina nuestra Señora Doña Isabel rt, y del Consejo apoyaban semejantes medidas, ni cómo declaraban no solo la com S. M. la Reina Gobernadora han llegado felizmente á este Real Si-* petencia del Estado en el despojo violento de los bienes de la Iglesia, mas aun tio en el dí'á'de hoy. SS. MM. y S. A. continúan sin novedad en la triste necesidad de hacerlo. Sin duda (tal era á lo menos su esperanza) el no su importante salud. Lo qtíe Comun…</t>
  </si>
  <si>
    <t>…u tiempo, es de lo mejor que sobre el particular 5c ha escri actual, apoyando la exposición que ene dirigió; para que enterada de el la $. M. to. Del tercero al doce inclusive está comprendida la Continuación de la Crónica por la Reina Gobernadora, y tomando en consideración las poderosas razones en Morales, y en !• s tres últimos varios opúsculos, discursos y cartas muy curiosas dei que estriba , se dígne, por un efecto de su magnánima piedad, hacer á aquel mismo. Estas y algunas noticias de la vida y escritos del maestro Fluxu.n de Ocampo*…</t>
  </si>
  <si>
    <t>…ropia, y tan legalmente reconocida por tal como el Se dió cuenta de un oficio del Sr. ministro de la Guerra, en que manifes mismo mayorazgo- Por consiguiente, soy de opinión de que el dictamen de la taba haber determinado S. M. U Reina Gobernadora se cstnbkciesen dos comisión debe rectificarse y manifestarse por el Estamento que el interesado guardias, cada una de ellas mandada por un oficial-, destinadas á ios respectivos -en el ínterin permanezca menor su hija y sea usufructuario legal del mayoraz salones de Proceres y Procuradores, cuyo*…</t>
  </si>
  <si>
    <t>…puntos hasta el de 32, y para cuja apli alentado á otros. Sea dicho en obsequio de la justicia. La elección de personas cación han sido todavía necesarias continuas y variadas aclaraciones, que hasta dignísimas que nuestra sabia Reina Gobernadora hizo durante la enfermedad ahora producen un tomo en cada afío. del Rey en la Granja, para el mando importante de las capitanías generales Siendo la Milicia urbana esencialmente civil, y esta una de las mayores de provincia , proporcionó el elemento mas poderoso quizá de cuantos produ garantías de…</t>
  </si>
  <si>
    <t>…er Figueras, para que hiciesen esfuerzos inmediatos so por tomar al Pretendiente y aniquilar á sus secuaces : sírvase V. E. asi ratifi bra Zumaiacarregui por si intenta reunirse con el fugitivo , previniendo al carlo á la augusta Reina Gobernadora paja la debida satisfacción de S. M. Sr. mariscal de campo D. Baldomcro Espartero lo conveniente; aprovechando Dios &amp;C. Cuartel general de Leiza á 22 de Agosto de IS34 á las doce al mismo tiempo ata ocasión para cerrar el convento de Ktra. Sra. de Aran- da la noche, zz Excmo. Sr. = El rnarqua de Ro…</t>
  </si>
  <si>
    <t>Es cuanto digno de la consideración de V. E. debo participarle ets este de Rodil —Excmo. Sr. conde Armildez 4e Toledo en cargo* de vireyes Es momeotSparítlá debida-noticia de la augusta Reina Gobernadora: cdpiai—El marques dfc Kodtl. ; T~ -&lt;p &lt;*-. E)ios cSfc/ Cuartel general de Lizazu' S'24 do. Agosto de 1834i las doce deIanoche.=¿Excmo. Sr—El marquesde Rodil. ' Ejército de operácidnes del NoKte. = ÉTcmo, Sr. rsEJPrefeticfiefltedésde Roncesvalles, dónde tuvo entrevista con Zumaiacarregui, que subió…</t>
  </si>
  <si>
    <t>…ecreto en que V. ¡I/. se ore. mandar pie hi ron— tadurii general de Valori s quede subordinada a la dirección peñera! París 15 de Saímrrf. de Heñías. El Rey pasó arer revista á las tropas del campo de C"&gt;Tnpie?Tie r i la S. M. la Reina Gobernadora se ha servólo dirigirme el decreto guardia nuionil. $. M. sub.it á cabai A ¿ mrc¡.? ¿.a f acompañ ¿.r.do.e d &lt;j_que sigue: Habiendo acreditado la experiencia que las funciones di que ¿t Armáis, el mim-tro del Intermr, el rrur.&gt;Cdl Cjjuc de T:;v.ao, el rectivas que resultan ejercerse de mancomún por…</t>
  </si>
  <si>
    <t>…la atención del Rey Carlos Juan en haber enviado al conde de Lowenhiclm para asistir á la gran {unción de Alejandro ! MINISTERIO de lo interior. que acaba de celebrarse en. San Petersburgo. . Real orden. PKUS1A. Enterada S. M. la Reina Gobernadora de una consulta del go SerUn l.° de Octubre. bernador civil de Toledo, preguntando si los empleados públicos han Acaba de publicarse una nueva ley sobre la navegación del Rhin, por la de ser Admitidos en el alistamiento de la Milicia urbana movible, cual todo barco tendrá que llevar una patenta, ya pa…</t>
  </si>
  <si>
    <t>…tería , qu* do la mas mínima desgracia. inflamada al oír el fuego, y olvidándose de su larga marcha, nos siguió sin Lo que tengo la satisfacción de poner en conocimiento de V. E- para que se sirva elevarlo al soberano de S. M. la Reina Gobernadora; pudiéndola comer ni descansar. «El d saludo de esta penosa jomada no ha Sido tan completo como pu asegurar de todas veras, que su alcalde mayor de Almodovar del Campo , siem do serlo ante* de ayer en Tortoles, desde donde vengo siguiendo la ficción, y pre fiel al juramento que tiene prestado de de…</t>
  </si>
  <si>
    <t>…que el prefecto del departamento de la dio de aquellos, lejos de arredrarles, repetían todos los encantadores nombres Alancha visitó la cárcel del monte S. Miguel, y después de haberse enterado de Isabel ii y su augusta Madre la Reina Gobernadora, reiterando su ju del dafio causado por el incendio, que poco hace ocurrió en aquella casa ,paS5 ramento de morir por tan caros objetos. Luego que pude descubrir los lugares á ver los presos detenidos por delitos políticos, y alabó la conducta que ha- desde donde se nos dirigía el fuego de la artil…</t>
  </si>
  <si>
    <t>…n á luz en ocho cuádra Guiso Elemental áé historia para Uso de la juventud, por D. Gerónimo nos á precio cada uno de 4 r5- en Madrid y 4á cu las provincias, verificándose las en de la Escosura- Esta obra, recomendad» por S. M. la Reina Gobernadora tregas con solo 20 ó 25 dias de intermedio de una 4 otra. Se suscribe en Madrid en lis en Real órdén inserta en íá Gaceta de 9 de Julio último á todos los estable- librerias.devincias en laslaslibreríasv iudss deprincipales.Cruz y Miyar y en la de Razóla , y en Jas capitales de pro cimientos de ins…</t>
  </si>
  <si>
    <t>…sa, conti 24 de Diciembre de 1834-=Moscoso.=Sr. director general de Ca núan sin novedad en su importante salud. minos. MINISTERIO DE LO INTERIOR. • PARTE NO OFICIAL. Reales órdenes. NOTICIAS EXTRANGERAS. He dado cuenta á S. M. la Reina Gobernadora del plano, des cripción y presupuesto de gastos de la carretera que debe abrirse desde Rabade á Ferrol, formada por los ingenieros D. Julián Ro TURQUIA. dríguez y D. Alejo Andrade Yañez, como asi bien de cuanto V. S. propone en 20 del corriente acerca de su mas pronta y económica Constantinopia 18 de N…</t>
  </si>
  <si>
    <t>…FaverjesyáTurin. {Mensajero.') de que sus hijos la honrarán distinguiéndose entre los valientes y leales defen sores dé la patria y de su augusta Reina Doña Isasex ii. ____ Escriben de Ginebra con fecha 8 del corriente: S. M. la Reina Gobernadora ha vista con aprecio los sentimientos leales »Se ha dado órden para expulsar de todos los puntos.de la frontera suiza i de este ayuntamiento y vecindario : y se ha dignado mandar al propio tiempo todo francés ó vjagero que venga de Francia, en caso de que no tengan sus pa se publique el precedente…</t>
  </si>
  <si>
    <t>…duría de Propios, y dar V. S. cuenta á este ministerio de'ldr en su importante salud en ei Real sitio de San Ildefonso; y de igual respectivos ingresos, para que S. M. disponga la aplicación mas útil) beneficio 'disfruta S. M. la Reina Gobernadora en el Real palacio que de ellos pueda hacerse en beneficio del ramo. de Ríofrío. También gozá de perfecta salud en el expresado Real De Real orden lo comunico á V. S- para su inteligencia y efec sitio la Serma. Sra. Infanta Doña María Luisa. tos correspondientes á su cumplimiento. Dios guárele á V.…</t>
  </si>
  <si>
    <t>…..................... .. - 20 ««Soldados, Milicianos urbanos: hoy es el día mas memorable para la na La comunidad de PP. trinitarios calzados....................................... 1200 ción. Al paso que-celebramos los dé nuestra Reina Gobernadora , es el seña Doña María Luisa Ustaiz...................................................................... 320ndo paya la apertura de las Cortes, que deben labrar nuestra felicidad. Fijad F. G., criado de servir......................................................................... ;60, la atenci…</t>
  </si>
  <si>
    <t>…eresante asunto de D. Cárlos en el modo que lo ñor Presidente del consejo de Sres. Ministros, uno comunicando de Real or hicieren los que por imposibilidad fisica no pudiesen asistir, á cuyo efecto pe den haberse dignado S. M. la Reina. Gobernadora conceder permiso al dia que se le remitiese un ejemplar del dictamen de (a comisión y de los de Excmo* Sr. arzobispo de Granada para no concurrir á las sesiones de ilustres mas documentos relativos á estas cuestiones que se repartan á los Sres. Proce Próceros por el tiempo que sea necesario para no…</t>
  </si>
  <si>
    <t>…••Por la Real Convocatoria de 20 de Mayo se manda y ordena presentarse que en las funciones augustas á que he sido llamado porWa benevolencia do en el Estamento en el dia 24 be Julio 4 los Sres. Pióceies* y por este manda nuestra Reina Gobernadora,no veo ninguna especie de compromiso, ni otra to expreso están obligados á cumplir con lo que S- M- ha resuelto; debe obe— cosa que mucha gloria que ganar , cooperando al bien y á la regeneración de decerse est« mandato, y mucho mas los Sres. Prócere» que representan tan emi nuestra patria. nente d…</t>
  </si>
  <si>
    <t>…su inalterable lealtad sus ar cuándo por los .jueces civiles; abreviando los procedimientos de manera que sin. terías y maquinaciones. salir de la esfera de lo justo, produjesen un pronto y saludable escarmiento. L* No en vano la Reina Gobernadora, al dirigirle su voz, apellidó sus fi junta presentó sus trabajos en breve tiempo; y estos fueron de gran provecho las: las jilas de la lealtad. para las disposiciones sucesivas que en distintas épocas se han tomado después Guando la nación vuelva en sí de tantos y tan largos infortunios, y pueda s…</t>
  </si>
  <si>
    <t>…al, que no pierde .ninguna ocasión da 4 f Real ártlen. presentarse donde puede Ser útil, fue uno de los primeros que acudieron, dan do sus ordenes y dirigiendo los trabajos hasta que se apagócl incendio. He dado cuanta á S. M. la Reina Gobernadora de una exposi El pueblo, siempre penetrado de la mas viva gratitud por los cuidados ción de D. Vicente,José Sanguino, vecino de Casar de Cáceres, en llenos de humanidad y el valor extraordinario de que ha dado tantas pruebas solicitud de que se te expida gratuitamente y sin sujeción á eximen S. AR. mi…</t>
  </si>
  <si>
    <t>…Alcalá Galiano , y Onís. Las comisiones de lo Interior, nos del caos én que está el país, pido, digo al Estamento que se dirija en de de Gracia y Justicia y de Estado, por las que había pasado con arreglo al re rechura á S. M. ia Reina Gobernadora , cuyos deseos nos estap. muy mani-* glamento, opinaban no había ningún inconveniente en que se discutiese en pú ¿estos ,.y no son otros que el bienestar del pais , y le haga presente estar dis blico. puesto por sü partí; á tomar cuantas medidas exija la suerte de la patria, en 1? El Sr. Pres'tdsnt…</t>
  </si>
  <si>
    <t>…íí Los empleados que lo fueron durante la expresada’époy Barcelona; Señora de Vizcaya y de Molina &amp;c. &amp;c.; y en su Real ci en ramos y dependencias extinguidas en 1825, y que no se han nombre DkvfiaJfcÍARlA Cbmiíba de Bórbón, como Reina Gobernadora restablecido posteriormente, tendrán derecho á los honores y haber durante la m^ñor edad- dé Mi excelsa Hija, á todos los que las pre cómo"cesantes que correspondan á la primera carrera, según el gra sentes vieren, sabed: Que Tiabiendp' juzgado conveniente presentar do ó empleo que obtenían, al sep…</t>
  </si>
  <si>
    <t>…l resto de la provincia se disfrutaba de mero 314 dereste periódico, se presentó hoy en el Real Palacio í la una y buena salud. media del diatuna Comisión del Estamento de Ilustres Próceras, y puso en las Reales manos de S- M. la Reina Gobernadora, hallándose presentes los Excmos. Sres. Secretarios del Despacho de Gracia y Justicia y' del Despacho bolsa de comercio___JCotizacion de hoy A las tres de la tarde. de Hacienda, el proyectp de ley aprobado por las Córtes sobre continuación de-los actuales presupuestos de gastos é ingresos hasta la…</t>
  </si>
  <si>
    <t>Gobernadora'</t>
  </si>
  <si>
    <t>…mayor sueldo que obtuvo por el filtimo destino, con nombramiento de la Dirección , antes y después de la , - Real arjen. época constitucional, se le clasifique de nuevo bajo esto conceplo: 5.° Que mien He rljtdo cuenta á S: M. la Reina Gobernadora' del expediente instruido tras ésten pendientes de la clasificación se les abone la cuarta parte de! sueldo I en este ministerio de mi cargo, de resultas de habeV solicitado el cabo 2.®, re que disfrutaron por los citados nombramientos , y que luego que se ejecute este tirado i dispersos en la ciudad de…</t>
  </si>
  <si>
    <t>…................................................ 20,000 Al de la de Oviedo.................................................... 20,000 Al de la dp Pontevedra.............................................. 20,000 Persuadida S. M. la Reina Gobernadora' de la necesidad de fijar reglas Para la plaza de censor regio supernumerario de esta provincia, vacante uniformes á las sociedades económicas del reino para el desempeño de sus pa por ascenso de D. Gerónimo de la Éscosura á otra de niímero, se ha servido trióticas tarcas, se ha dignado encargar en Real o…</t>
  </si>
  <si>
    <t>…'herencia de este empréstito. ^tódaslásícántidades que se asignen y todas las rentas que-tenga Doña Isabel n, i Y cuántos y cuantoslcgados de &amp;me¿antectase tendrá esta Señora? ¿Ypodra £cajaotitt las debe percibir j administrar la Reina Gobernadora' y disponer decir: «criados de raf padre¿ andad-cott&amp;Dios, áotrptqucós mantenga**; y ha de' eli^i para la manntencion de cu.Hija y la suya: mi voto ea 32 millones. cer lo mismo;respecto d? otras obligaciones de cftí ftafaraleza ? DetansjguiétíRespectó á.los demás particulares que abraza el proyecto, c…</t>
  </si>
  <si>
    <t>…sciende cinco años vecinos. Los poblacloii que deberán tener tes, El caballero Sarmentó ba tenido la honra de poner ayer en manos de la de francos memoriales los de secrctatló-dei estudios, ayuntamiento dirigirán porte ai •uguati Reina Gobernadora' la carta credencial de S, M. I¡ el Sir. duque de' dicha villa. EK LA IMPRENTA RE AL</t>
  </si>
  <si>
    <t>Gobernadora, CAMBIOS</t>
  </si>
  <si>
    <t>CAMBIOS Gobernadora</t>
  </si>
  <si>
    <t>…sin ínteres, 11 al contado: lié a60 d. t. i vol. ya de que reconozcan su impotencia para resistir al poder y á la voluntad gene Acciones del banco español, 00. ral de la Nación. Conforme á los sentimientos maternales de S. M. la Reina CAMBIOS. Gobernadora, que desea ver restablecido el órden en esta provincia sin mas der Amsrerdam ,03. Paris, 16-5 á 6. Cadla.lfb. . Sevilla, i b. d. C o niña , J 00* Alicante, Acorto pla 14* é Valencia,ramamiento de sangre entre hermanos,que con igualdad considera y llama á Bayona, Id. Id. Granada, } 00. Zaragoza . Bu…</t>
  </si>
  <si>
    <t>Gobernadora, Carlos María Isi</t>
  </si>
  <si>
    <t>Carlos María Isi Gobernadora</t>
  </si>
  <si>
    <t>…ibra en los pechos.españoles; pues al nombre de Isabel ir, á las concesio á parece. que -asp pppde ser mas explícito el nes generosas de su augusta Madre Doña María Cristina de Borbon, Ruina i- pttSf^tCCr^QucdcexcUjido ci Infantc D. Carlos María. Isi- Gobernadora, debernos el hallarnos aquí congregados, y que ac hayan echado drft.d^ííhdJon^yrBorboo.y toda su Jfoea deldejccho de suceder á la corona las bases sólidas.sobre que ha de levantarse el grandioso edificio de la felicidad doflaprtifc’VBi Gpbierppicreyó que no podia decirse mas; ¿nicómo es pon- nacion…</t>
  </si>
  <si>
    <t>Gobernadora, Conformándose S M la Reina</t>
  </si>
  <si>
    <t>Conformándose S M la Reina Gobernadora</t>
  </si>
  <si>
    <t>…A las once en punto, y dada otra señal de cinco cañonazos, no a. per 1leal orden. mitirá la circulación de ningún carraage en las calles designadas. En el mismo instante, y á una señal particular, todas las tropas saldrán Excmo. Sr.: Conformándose S. M. la Reina Gobernadora coO de sus cuarteles para formarse en batalla en la plaza. lo expuesto por esa dirección general en cumplimiento del artícu Cuando todas las tropas hayan ocupado los puntos designados, S. M. L lo 4'i del Real decreto de su creación de 2á del corriente , se ha ser en persona dará la órden de partir…</t>
  </si>
  <si>
    <t>…■ , Se ha verificado por fin uña mudanza de ministerio muy importante, y el Real orden. país parece estar muy contento cotí los nuevos nombramientos. El señor Maurocordato, ministro de Negocios extrangeros, de la Cali deí Exento. Sr.: Conformándose S. M. la Reina Gobernadora con Rey y de la Marina ha hecho*1 dimisión* * * * * *de sus funciones, y ha sido nombrado el parecer del supremo tribunal de Guerra y Marina, expuesto en ministro plenipotenciario cerca de las cortes de Munich y de Berlín: debe re su acordada de 23 de Mayo último, acerca d.e la instancia que diri e…</t>
  </si>
  <si>
    <t>…, instruyéndole de la misión y objeto de los comisio nados. ' Real orden. 3. ° El director de la escuela Mr. Cromby, cuya principal ocupación es la de formar maestros, naturales y extranjeras &gt; y que la desempeña con gran Eterno. Sr. Conformándose S. M. la Reina Gobernadora con lo crédito , los instruirá de cuanto deben hacer , y los conducirá por ei camino . propuesto por esa comisión en cumplimiento de lo que se la previ mas seguro y breve al conocimiento que se desea del sistema. Deberán por tan no en Real rc-den de 4 de Octubre último, se ha dignado comisionar to…</t>
  </si>
  <si>
    <t>…mortización de loe proporción á La adversidad con que suele ejercitar á los mortales, se dejó verr erraos en cada redención ó imposición. j írury pronto sobre este piadoso pueblo , ya libertándole de dicha terrible enfec-l Excmo. Sr.: Conformándose S. "M. la Reina Gobernadora con el dfetí-. ¿Piedad, como lo hizo de la fiebre amarilla en el año de 1800, ya inspcránddle I [men dado por V. E. y V. SS. acerca de la consulta hecha pór'et intendente de las mas lisonjeras esperanzas en el presente reinado de otra l&amp;AfeEi que imitará! I Jaén á consecuencia' de haberse opuesto e…</t>
  </si>
  <si>
    <t>Gobernadora, Cuando S M la Reina</t>
  </si>
  <si>
    <t>Cuando S M la Reina Gobernadora</t>
  </si>
  <si>
    <t>…omunico ,í V. para su inteligen MINISTERIO DE LA GUERRA. cia, circulación y cumplimiento. Dios guarde á V. muchos años. Aranjuez 11 de Mayo de 1834. = José Alaria AIoscoso de Altamira. = Real orden. Sr. subdelegado de..... Excmo. Sr.: Cuando S. M. la Reina Gobernadora tuvo á bien «pedir el Real decreto de 21 de Febrero último para la ejecución déla quinta del presente año, consideró el perjuicio que podría re PARTE IVO OFICIAL. saltar á los pueblos si en el momento que estando efectuando los soneos se permitia á los mozos sentar plaza voluntariamente por cua NOT…</t>
  </si>
  <si>
    <t>Gobernadora, Deseando S M la Reina</t>
  </si>
  <si>
    <t>Deseando S M la Reina Gobernadora</t>
  </si>
  <si>
    <t>…La Milicia urbana de Cartagena. El alcalde mayor , ayuntamiento y clero de la villa de Torbúeon. JONISIKRÍO BS LO INTSBIOB. , La Real sociedad económica matritense. La de la provincia de Murcia. Real orden. La de Avíli. ' Ercmo. Sr.: Deseando S■ M. la Reina1 Gobernadora que no se La de Carmóíia. La Real universidad de Valladolid. Omita ninguna de cuantas medidas puedan contribuir á la conser I-a de Huesca. 1 vación de fa salud en esta corte, y conformándose con lo propuesta El tribunal de Comercio de Zaragoza. por esa junta , se ha servido mandar lo siguiente: La…</t>
  </si>
  <si>
    <t>…gosto bertad hasta que la conquisten con sus propias fuerzas (CtwrxVr.) de 1834. Corre la voz de que un buqué americano que Pecaba i b^rdo IOS fusi les por cuenta de D. Carlos ha sido detenido en el Támesis de orden del Go Eicmo. Sr.: Deseando S. M. la Reina Gobernadora multiplicar bierno. Puede decirse que esta providencia ha sido pronta y pasta , y debemos las pruebas de su Real aprecio á las lieneméritas tro|ias que con tap añadir que nos asiste motivo pir3 creer que el Gobierno ha sido igualmente ia lealtad y gloria defienden la justa' causa de su augusta Hija…</t>
  </si>
  <si>
    <t>Gobernadora, Enterada la Reina</t>
  </si>
  <si>
    <t>Enterada la Reina Gobernadora</t>
  </si>
  <si>
    <t>…ños de paradas, que al introducir ca se introduce del extrangero. ballos de fuera acrediten que los traen con destino á la reproducción, no solo no pagarán la cuota establecida en el artículo anterior, sino que en su intro Excmo. Sr.: Enterada la Reina Gobernadora del expediente promovido ducción gozarán entera libertad de derechos. De igual ¡franquicia disfrutarán por el administrador de aduanas de G¡j mi, eon motivo de haberse pre en.tado las yeguas de vientre extrangeras á su introducción, cualquiera que sea el desti en ella para su despacho una partida de he…</t>
  </si>
  <si>
    <t>…no presentando ya nin buena tinta para los sellos que se estampan en los géneros s con otras gún obstáculo para que la corte se instale y resida en aquella ciudad. (Diario disposiciones sobre el mismo objeto. de Trieste.) Excmo. Sr.: Enterada la Reina Gobernadora del expediente promovido INGLATERRA. con motivo de la causa formada en la subdelegacíon de Rentas de Jerez de la Frontera por aprehensión de varios géneros de lícito comercio sin sellos, ó que Undres l.° de Febrero, los tenían dudosos; y asimismo de lo expuesto por V. E. y V. SS. en 2\ de Las última* n…</t>
  </si>
  <si>
    <t>Gobernadora, Enterada S M la Reina</t>
  </si>
  <si>
    <t>Enterada S M la Reina Gobernadora</t>
  </si>
  <si>
    <t>…O HE GRACIA T JUSTICIA. Lord Atthorp, hablando del impoesto sobre casas, dijo que la reducción hecha el año pasado había sido de 24^$ libras esterlinas, y que en el presente Real orden., seria de l.tíOO de la misma moneda. Excmo. Sr.: Enterada S. M. la Reina Gobernadora de k) expuesto por ____ Los periódicos de Caracas que alcanzan hasta el 14 de Diciembre ultime^ 1&lt;M cinco tenientes de villa de Madrid acerca de si los oficiales de sala que ac contienen varios decretos relativos á mejorar la educación, abrir nuevos cami tuaban con los alcaldes de corte en sus respect…</t>
  </si>
  <si>
    <t>…les y militares, y la Dirección de la SoMaría GareUy.zaSr. Secretario del Despacho de Hacienda. ciedad de Seguros mutuos contra incendios, concurrirán á los fuegos para auxiliar las disposiciones de la autoridad municipal. Exemo. Sr. ¡ Enterada S. M. la Reina Gobernadora de los ser vicios contraídos en su dilatada y- honrosa carrera militar por el co mandante de batallón D. José de la Gándara , que ha muerto glorio CAPITULO II. samente en la provincia de Cataluña á manos de los rebeldes de aquel De las disposiciones y medidas que se han de observar piara precaverpais…</t>
  </si>
  <si>
    <t>…los frutos del país que vayan por mar 8.° El sello de las Reales armas estampado en ella es el modelo del que- de tránsito para el extrangero. han de usar exactamente las subdelegaciones de provincia para toda su corres '‘Excmo. Sr.: Enterada S. M. la Reina Gobernadora de una exposición en pondencia, disponiendo se grabe en alto sobre latón, y que se ponga á cada que D. G. A. Wieling y compañía, de Alicante, solicita se declare que los uno el nombre de la respectiva provincia. frutos del país que vayan por mar de tránsito para el extrangero tengan el mis De Real ord…</t>
  </si>
  <si>
    <t>…duca dos. El procurador general está ya redactando ’el proyecto de un nuevo sistema ;; 1. ; .1 Real (¡rilen. i Cl.jH !i -- ■** ' ....... * f de aduanas para los ducados. El proyecto deberá ser primero, examinado por la : iBremo. Sr.: Enterada S. M* la Reina Gobernadora de-¡una ins-- dimisión enc4rgad?de lós traba yis relatryoj á ellas, así como por la Cítntná|t iéO*" ls ..................... ‘tamñande -D. Jesé Ramírez; ^taefie^y earpitan de la fragata "Ignacio^ lós ingresos de aduanas,y el tribuna! «fecomeruo alo á la sanciondél Rey. (Dúérie'i&amp;io/ OebotTJ.Jsolicitand…</t>
  </si>
  <si>
    <t>Gobernadora, Enterada S M la Reisa</t>
  </si>
  <si>
    <t>Enterada S M la Reisa Gobernadora</t>
  </si>
  <si>
    <t>…hacer intervenir su augusto nombre en las'dis cusiones. MINISTERIO DE LA CUEREA, Art. 90. Ningún asunto se podrá discutir en el Estamento de Peal órdén. Próceres sin haberse pasado aviso, con \in dia de antelación cuando Exentó. Sr.-. Enterada S. M. la Reisa Gobernadora por los par-, menos, al Secretario del Despacho respectivo. tes del Secretario del Despacho de lo Interior, del capitán general Art. 91. Cuando uno de los Secretarios del Despacho manifieste y superintendente general de policía, del gobernador civil de esta qne tiene que presentar algunos datos ó d…</t>
  </si>
  <si>
    <t>Gobernadora, Enterada S M la Runa</t>
  </si>
  <si>
    <t>Enterada S M la Runa Gobernadora</t>
  </si>
  <si>
    <t>…iones escritas al intento el modo de dis en favor de los mismos. tribuir los premios que me propongo adjudicar á los criadores q&amp;e mas se esme ren en la cría de caballos, y el sistema mas conveniente para sacar todo el par Excmo. Sr.: Enterada S. M. la Runa Gobernadora de lo expuesto por tido posible de los elementos de protección que les otorgo, esa dire^^ion general con motivo de la consulta hecha por ei contador general 15. Quedan derogaefas todas las leyes, ordenanzas, pragmáticas, órdenes, de Distribución sobre la inteligencia de la Real orden de 20 de Marzo u.…</t>
  </si>
  <si>
    <t>Gobernadora, Excmo Sr.i S M la REtNA</t>
  </si>
  <si>
    <t>Excmo Sr.i S M la REtNA Gobernadora</t>
  </si>
  <si>
    <t>…ridades interesantes sobre lo mismo. Lo haremos otro día, y mientras tan- juez el 23 del’ aclual por el ministerio de la Guerra, cuyo tenor es el siguieme: -to so!n diremos, que la parle que ha tomado ei pueblo en la fiesta de Ja Reina «Excmo. Sr.i S. M. la REtNA Gobernadora, que jamas considera excesivas Oobernadora, y el entu.-a^mo que ha producido la vjsta de nuestra Milicia ha las pruebas de su Real aprecio con que generosamente recompensa los hechos sido extraordinario, y ofrece las mejores espct-Rzas para el espíritu público en■insignes de valor y lealtad que por…</t>
  </si>
  <si>
    <t>Gobernadora, HOTICÍASEXTRANGERAS</t>
  </si>
  <si>
    <t>HOTICÍASEXTRANGERAS Gobernadora</t>
  </si>
  <si>
    <t>…OÍ. - . :í.;;,.= Para Canarias............ 38o lyo yi. Para Indias................ 4oó auo IOO. - 'vi y ■ , ■ , ..wJ(]...: . ■ ■ ; MADRID. ARTICULO DE OFICIO. i PARTE ÑO OFICIAL. La Reina nüeslra Señora Doña Isabel ti, y S. M. la Reina HOTICÍASEXTRANGERAS. Gobernadora , siguen en Carabanchel sin novedad en su ira- ------ ~ ------- poPtánte sálud. tuzquia. Constantinopla 6 de Mayo, Dól mismo beneficio disfrutan SS. AA. RR. los Sermos. Se Se han celebrado con toda pompa las bodas de Halil-bajá con la hija del ñores' iilfánles. Sultán, el l.° de este mes, y en ella…</t>
  </si>
  <si>
    <t>Gobernadora, I la Rv-iva</t>
  </si>
  <si>
    <t>I la Rv-iva Gobernadora</t>
  </si>
  <si>
    <t>…es, pastor de esta iglesia. Le conservaré en mi poder con el mayor aprecio mien (.para mangos de herramientas en el monte llamado Matavegid. Enterada S. M. tras dure mi gobierno , y después tendre el gusto de presentarle al digno obispo I la Rv-iva Gobernadora, como también lo informado por V. 1. en 2ó de Abril ya electo de la misma para que ejecute otro tanto. Y por ahora suplico 8 último, y de lo expuesto en su vista últimamente por la citada Dirección ge V. E. tenga la bondad de hacer presentes á la Reina Gobernadora mis senti neral , se ha servido re…</t>
  </si>
  <si>
    <t>Gobernadora, Inglaterra</t>
  </si>
  <si>
    <t>Inglaterra Gobernadora</t>
  </si>
  <si>
    <t>…9 de Abril de 1834. DE MADRID. ARTICULO DE OFICIO. Ni era tampoco un memorándum, sino una simple nota, la que presentó al divan en los primeros dias de este mes el embajador de LaRjsntA nuestra Señora Doña Isabel ii , y S. M. la Reina Inglaterra. Gobernadora, siguen en el Real sitio de Aranjuez sin novedad en Se dice con mucha sequedad en esta nota que la situación ac tu importante salud. tual es capaz de producir complicaciones de tal gravedad, que im porte mucho el evitarlas á las Potencias europeas, por lo cuál se1 Del mismo beneficio disfrutan SS.…</t>
  </si>
  <si>
    <t>Gobernadora, IsA EL U I</t>
  </si>
  <si>
    <t>IsA EL U I Gobernadora</t>
  </si>
  <si>
    <t>…en j modo de su exacción que por su cantidad , pesa de una manera embarazosa so defensa de los legítimo» y xobcraoos derechos de la Reina nuestra Señora Doña bre el tráfico y circulación interior, ha tenido á bien mandar £. M. la Reina IsA&amp;EL U. I Gobernadora, en nombre de su anuda Hija la- Ki ina Doña Rabel n, que Estos son lo» sentimientos de este ayuntamiento y de todo este vecindario I D. Josef Benitez, consejero honorario del supremo de la Guerra, eri unión que tiene la dicha de ofrecer á los Reales pies del trono de vuestra excelsa Hija I con D. C…</t>
  </si>
  <si>
    <t>Gobernadora, M U Reina</t>
  </si>
  <si>
    <t>M U Reina Gobernadora</t>
  </si>
  <si>
    <t>…o quemas tienenprontodesignados:posible se preso*tenentre estasenes lasanareferidisla que sicuctJpro ' X MINISTERIO DB GRACIA T JUSTICIA. M. R. P- provincial de la de Castilla , maestro Fr. Manuel de Saias.rrfl Real orden. Excmo. Sr.: $. M. U Reina Gobernadora se ha servido mandar que Don Bien sabido nos es, que la rebelión contra el irt no es un crimen tan horrtvcoso, y de tan fatales consecuencias para toda Ia nación, que no har lev divina] Joséf Alonso, ministro supernumerario de la Real audiencia de Madrid, pase xu humana que no la repruebe y condene…</t>
  </si>
  <si>
    <t>Gobernadora, Madre</t>
  </si>
  <si>
    <t>Madre Gobernadora</t>
  </si>
  <si>
    <t>…el ii (Q. D. G.), que de Real orden me resada.” - - [ remite V. E. para conservar la memoria de tan fausto suceso. Esta apreciable El Sr. Larabit recuerda cuán fácil es que en caso de guerra permitan los [demostración, con que la Reina Madre Gobernadora distingue y honra el suizos el paso de un ejército austríaco, y pide que el ministro de Guerra pro j episcopado, me impone un nuevo deber y un tributo de justicia que debo pa ponga á la&lt; Cámaras el restablecimiento de las fortificaciones de Huninga. Con ngar con el mas decidido amor, con la acendra…</t>
  </si>
  <si>
    <t>Gobernadora, Miguel de PortugalobligánS M la Reina</t>
  </si>
  <si>
    <t>Miguel de PortugalobligánS M la Reina Gobernadora</t>
  </si>
  <si>
    <t>…rios de las cuatro Potencias aliadas que en bas Partes contratantes, con el objeto de cooperar con las de S. M. Fidelísima, á fin de liacer retirar de los dominios portugueses á los él se expresan. Infantes D. Carlos de España, y D. Miguel de PortugalobligánS. M. la Reina Gobernadora y Regente de España durante . dose ademas S. M. la Reina Gobernadora, Regente de España, ,i la menor edad de su Hija Doña Isabel ii, Reina de España, y mantener por cuenta de la España y sin gasto alguno del Portugal, S. M. I. el Duque de Braganza, Regente del reino de Portu las tropas españolas; l…</t>
  </si>
  <si>
    <t>Gobernadora, MINISTERIO DE HACIENDA DE ESPAÑA</t>
  </si>
  <si>
    <t>MINISTERIO DE HACIENDA DE ESPAÑA Gobernadora</t>
  </si>
  <si>
    <t>Niím. ¿6. Lunes 7 de Abril de 183 i. GACETA DE MADRID. ARTICULO DE OFICIO. neral del reino de Valencia al teniente general de loa Reales ejércitos D. Gerónimo Valdés. , La Reina nuestra Señora Doña Isabel ir, y S. M. la Reina MINISTERIO DE HACIENDA DE ESPAÑA. Gobernadora, siguen en el Real sitio de Aranjuez sin novedad en su- importante salud. Real orden. Excmo. Sr.: He dado cuenta á S. M. la Reina Gobernadora Del mismo beneficio disfrutan SS. A A. RR. los Sermón Se de una exposición del intendente subdelegado de Rentas de esta ñores Infantes. corte, en que consult…</t>
  </si>
  <si>
    <t>Gobernadora, NOTICIAS EXTkANGERAS</t>
  </si>
  <si>
    <t>NOTICIAS EXTkANGERAS Gobernadora</t>
  </si>
  <si>
    <t>….. a4o tao 6o. Fára^el Heípo^J..,.....3ao 160 8o. r.)i{, e ArOorreoa. ”;■■'■ - • Para Canarias^—38o 190 y5. 4°ó 900 ioo. “ - - ARTICULO DE OFICIO. PARTE NO OFICIAL. "■ • ' 1¿ ... S. M. la Reina nuestra Señora, su augusta Madre la Reina NOTICIAS EXTkANGERAS. Gobernadora y laSerma. Sra. Infanta Doña María Luisa, continúan Stockolmo 19 de Agosto. REALES DECRETOS. El jueves pasado sé presentó el proceso del capitán Liudeherg al cornejo dé Estado, presidido por S. M. el Rey. Todavía no se han filmado les proto Atendiendo á las reiteradas instancias que me ha dirigido él…</t>
  </si>
  <si>
    <t>Gobernadora, Penetrada S M la Reina</t>
  </si>
  <si>
    <t>Penetrada S M la Reina Gobernadora</t>
  </si>
  <si>
    <t>…IOR. mismo con destino al socorro de las viudas y huérfanos de los leales, Real orden.sacrificados inhumanamente por los facciosos: teniendo también S. M. en consideración, que los dueños de las fincas afectas al pago del Exento. Sr.: Penetrada S. M. la Reina Gobernadora de la nece diezmo las han adquirido con la baja deí capital que representa es sidad de facilitar á los niños que concurren A las escuelas de prime te gravamen, y se hallan por tamo obligados á soportarlo; y que el ras letras algunos conocimientos de la historia de Grecia v de Roma ejemplo de tolerar q…</t>
  </si>
  <si>
    <t>Gobernadora, Queriendo S M la Reina</t>
  </si>
  <si>
    <t>Queriendo S M la Reina Gobernadora</t>
  </si>
  <si>
    <t>…HACIENDA DE ESPAÍÍA. 2 ° Se permite la extracción de los merinos con el derecho de 4^ te- P°T fl cada rtiacho, y 20 por cada oveja. I Reales ordenes. g.° La sociedad económica de Madrid nombrará una comisión que redacte I Exento. Sr.: Queriendo S. M. la Reina Gobernadora del reino dar al co una cartilla breve y sencilla, en que con aplicación al suelo y clima de España I mercio, en favor de sus operaciones mercantiles, pruebas del singular aprecio se reúnan las observaciones y conocimientos adquiridos por algunos ganaderos I y distinción que merece~tir su Realánitpo es…</t>
  </si>
  <si>
    <t>Gobernadora, Rbtka</t>
  </si>
  <si>
    <t>Rbtka Gobernadora</t>
  </si>
  <si>
    <t>…s ademas de toda especie; esto es, 1 escrito sobre 109 habitantes. Se observa en Francia un aumento considerable de obras sérias: desde 1812 hasta 1826 ha ascendido la cantidad de escritos impresos Debiendo proveerse por S. M. la Señora Rbtka Gobernadora, á propileo De teología, desde.................................... 13.851,861 hasta 23 168,420 ta de la Real comisión de restablecimiento de los colegio* mayores, la plaza da Industria, id.............................................. 1.344»903 id. 3.032,191 rector que se halla vacante en el titula…</t>
  </si>
  <si>
    <t>Gobernadora, Regenta</t>
  </si>
  <si>
    <t>Regenta Gobernadora</t>
  </si>
  <si>
    <t>…ía de triste recuerdo, cu los momentos en-que l834.=Míguel Tacon.=Antonio María de la Torre y Cárdenas, secretario. debo separarme de vosotros, usando de las facultades con que irre hallo reves tido, y á nombre de nuestra excelsa Reina Regenta Gobernadora, he veni do en conceder la cruz de Rabel u á un soldado por compañía, disponiendo lo ____ Soldados: Testigo del noble y bizarro comportamiento del ejército que que corresponda para su élécEíon y formalidades con que han de ser condeco «atiene en la Península los legítimos derechos de nuestra Reina…</t>
  </si>
  <si>
    <t>…encia directa , de que me lio Antonio, obisp &gt; de Ib.za.— E\-ir. &gt;. br. ID. J...m G..a.bc:; G rca.cz, Scglorío hallarse poseídos todos y cada uno de estos fieles vasallos de S. Al. la cietario de Estado en la de Graua \ Justicia. Reina Regenta Gobernadora, á cuyos Reales pies confio tendrá V. E. la bon dad de hacer presente estos sentimientos de honor, de gratitud y de deber. * Excmo. Sr. : El jueg^ monedas que de Real orden ! V. E. Dios guarde á V. E. muchos años. Puerto-Rico IJ. de Noviembre de 1833. de las acuñadas con nv. e la pr -...ama. un de…</t>
  </si>
  <si>
    <t>…na Doña Isabel la volvió con un botín de carneros y algunos bueyes. Católica. Estos sentimientos de mi fidelidad ruego á V. E. los haga presente á Los árabes corrieron en grande número á atacar nuestra columna, siguiendo $. M. la Reina Regenta Gobernadora con los homenages de mi respeto y de todo el dia á retaguardia; pero cuando se acercaban demasiado, los ahuyenta que son idénticos á los de estos fieles vasallos de S. M. en todas las clases que ban nuestros artilleros, que se han acreditado de certeros y valientes cu una forman los de esta isla, s…</t>
  </si>
  <si>
    <t>…uella provincia. Ha pedido infor los individuos a quienes S. Id, había agraciado , dlrigiehdó al ejército lá misma mes á fin de construir unos soportales en la plaza de Fernando 7,°, y asegurar alocución con quf lo honró S. M. la.Reina Regenta Gobernadora. de este modo la celebración de los mercados semanales en tiempos malos 6 j£n todas las diversiones y en estos actos he tenido la complacencia de ob lluviosos. servar-el noble entusiasmo con que todas las clases están animadas, y el amor Ha encargado al ayuntamiento de Tortosa, qué le proponga arbitrio…</t>
  </si>
  <si>
    <t>…brigadier Linares, que obraba en la frontera del alto Ara solutamente te tdñtaseH dineros por impuesto ni repartimiento vecinal, expre gón, se dirigía al Roncal con el fin de proteger el alzamiento de aquel varié. sando S. M. la Reina Regenta Gobernadora, que las muestras de cordialidad El brigadier Bedoya, que salió de Bilbao sobre las Encartaciones para impedir y beneficencia serán el obsequio mas grato á su corazón , y el testimonio mas los planes de ios facciosos por aquella parte, estaba el 5 en Gordejuda, y lo* solemne de amor y de lealtad en…</t>
  </si>
  <si>
    <t>…ber CAPITAL. * XEKTA* cangeado sus respectivos plenos poderes , han convenido en los artículos si Pesos fuertes------------------i Pesos fuertes______ guientes : O sean francos__________ } O sean francos____ Articulo 1.® S. M. la Reina Regenta Gobernadora, á nombre y en re presentación de S- M. Católica Doña Isabel it, se obliga á pagar á los Estados- E! portador de la presente t'cne derecho á una renta anual de pesos Unidos, por saldo de las reclamaciones arriba mencionadas, la cantidad de do fuertes, ó sea de francos, pagaderos en París por semest…</t>
  </si>
  <si>
    <t>…yvun niño alado quitándole de las manos con la ma yor viveza la declaración del Rey y Cortes, convocadas por el Sr. D- Carlos iv, En Arttequera ha *'do batida una gavilla de foragidos por los individuos augusto abuelo de S. M. la Reina Regenta Gobernadora, y celebradas en el pa- de la Milicia urbana y varios labradores de su término, y unas partidas del re lacjo de Buen Retiro el año de 1789, cuvas actas y loa dictámenes dados sobre gimiento caballería de Vitoria, 4*° dc ligaros, de quo resultó muerto uno de Ja inamia se mandaron imprimir y publicar…</t>
  </si>
  <si>
    <t>Gobernadora, Regenta y</t>
  </si>
  <si>
    <t>Regenta y Gobernadora</t>
  </si>
  <si>
    <t>…las autoridades MINISTERIO SE HACIENDA SE ESPAÑA. constituidas, juzgó necesario la Magestad del Sr. D Carlos ivi para evitar el Rtal orjtn. escándalo de varios predicadores, circular U Real orden de 16 de Marzo de ••Queriendo la Reina Regenta y Gobernadora de estos reinos que se.reduz redi , que es otra de las leyes recopiladas, por la que se sirvió «encargar á to ca cuanto sea posible el número de comisionados de apremio que en él día se ados los prelados seculares y regulares mandaran á sus subditos que no abusadirigen por distintas autoridades contra…</t>
  </si>
  <si>
    <t>Gobernadora, Reina</t>
  </si>
  <si>
    <t>Reina Gobernadora</t>
  </si>
  <si>
    <t>…en so sea el privilegio ó fuero de que gozaren; pues S. M* lo deroga des acendrada fidelidad á su digna Reina la Señora Doña Isabel jtj, jr da ghnr* cuanto menester fuere, para que tenga efecto esta- itnpor- á su augusta madre la Señora Reina Gobernadora, después de ha ■Utítmcdida, que no menoscaba en manera alguna la justa defen berles rendido el tributo que la gratitud y el amor démaodan.q» sa de los procesados. Madrid 6 de Abril de l834-=Garelly. la muerte de tan amado Rey, Padre tierno y Esposo idolatrado^ MINISTERIO SE LA GUERRA. también les f…</t>
  </si>
  <si>
    <t>Gobernadora, Rueda</t>
  </si>
  <si>
    <t>Rueda Gobernadora</t>
  </si>
  <si>
    <t>Núm. 61.. Martes 22 de Abril de I83¿. GACETA DE MADRID ^ * ARTICULO DE OFICIO. Procedentes de la provincia de Huesca. Bujaraloz y el monasterio de nuestra Señora de Xa Reina nuestra Señora Doña Isabel ii , y S. M. la Reina Rueda................................................................. 441 1597 Gobernadora, siguen en el Real sitio de Aranjuez sin novedad en La Almolda.................................. ........................ 280 1443 su importante salud. Total........... .. 5609 23450 Del mismo beneficio disfrutan SS. AA. RR. los Sermos. Se ñores Infantes. Art. 2.° Quedan incorporados en la provinci…</t>
  </si>
  <si>
    <t>Gobernadora, S M la Reika</t>
  </si>
  <si>
    <t>S M la Reika Gobernadora</t>
  </si>
  <si>
    <t>…oridad legal.’* En seguida hizo una moción contraria M. Quincy, opinando que eran in constitucionales las medidas propuestas sobre el banco; pero fue desechada por Real orden. una mayoría de 14ó votos contra 65. (Courier.) Excmo. Sr.; S&lt; M. la Reika Gobernadora se ha dignado resolver FRANCIA. que el actó de la solemne apertura de las Córte* generales del reino sé Veerit 15 de Junio. verifique en el salón del palacio de los Proceres, ep que ha de ce Discurso pronunciado el 22 de Junio en Vitry-le Franeáis, por M. Rolebrar sus sesiones el Estainentrt de est…</t>
  </si>
  <si>
    <t>Gobernadora, S M la Reina</t>
  </si>
  <si>
    <t>S M la Reina Gobernadora</t>
  </si>
  <si>
    <t>…de los militares. Para la caballería el punto de residencia del cuarto escuadrón será el se Circular Á leí capitanes y comandantes ¿(rurales de provincia. ñalado para depósito* J desde luego debe pasar á él todo lo que se Excmo- Sr.: S. M. la Reina Gobernadora deseosa de emplear previene para la infantería. en las operaciones activas á que puedan dar lugar las circunstancias BaSages- Los gefes marcharán á caballo, y también podrán para destruir los planes que desarrollan los enemigos del trono de hacerlo los ayudantes en razón de la mayor fatiga á que lo…</t>
  </si>
  <si>
    <t>…os que por inclinación y deber acaba de prestar, ni a descubrir algunas ¿osas que afligirían á V. M. [Quiera Dios que se contengan Real orden. las pasiqnes de localidad! Ellas solas podrías disputar á S. Sebastian el honor Excmo. Sr.: S. M. la Reina Gobernadora se ha dignado dirigir, con esta que se le dispensa con el mismo fundamento que tendría Aícobendas para dis f fecha á D. Alateo Agüero, por conducto de esta primera secretaría de Estado putarlo á Madrid; pero si acaso hiciese alianza con esas pasioncillas, como de mí cargo, ei Real decreto siguiente…</t>
  </si>
  <si>
    <t>…nes que V. E. tenga á bien hacer. Dios guarde á V. E. muchos años. ’San Ildefonso 2 de Julio dé. 1834;=Franeiscó Martínez de la.Rosa=Sr. Secretario del Despacho (Coatí mneion del correo anterior.) de lo Interior. AUSTRIA. Exento. Sr.: S. M. la Reina Gobernadora, siempre solícita en Vuna 9 de Junio. troveer á todas las atenciones del Estado, se ha dignado mandar: que {os socorros destinados al sustento de los trabajadores que se hallen sin Sr. deEl Beitzemtein,Sr. Durcb, embajadoracaba de salirde Badénpara Zurichcerca ,deconla Conferenciaobjeto de entablar…</t>
  </si>
  <si>
    <t>…ue de todos lós ánimos recuerdos sumamente agradables. Tengo el honor &amp;c.srFinpa- 'Medinaceli, marques de Stá. Cruz, duque de Villahermosa, marques do¿=Voiról. {Monitor argelino-') de Cerralbo y conde de Oñate. ALKXAVIJk , Excmo. Sr.; S. M. la Reina Gobernadora, confiando en la acen drada lealtad y zelo por el bien público que animan á- V. E., se ha Francfort 2 de Mayo. dignado comisionarle, juntamente con el marques de Sta. Cruz, du ¿fots deja Confederación getmánica á la muy loable Confederación suiza. que de Villahermosa, marques de Cerralbo y conde de…</t>
  </si>
  <si>
    <t>…ldrá del que MINISTERIO DE ESTADO. considere á propósito bajo de sü responsabilidad, acordando con la Real orden. Dirección la recompensa que mereciese, y en virtud del libramiento intervenido del contador le será abonado. Bxcmo. Sr.: S. M. la Reina Gobernadora se ha servido dirigir Art. 69. Dará en fin de año su cuenta, que presentará al conta me con esta fecha el Real decreto siguiente: dor para su eximen acompañada de los documentos de su justifi En consecuencia de Mi Real decreto de 16 de Junio próximo cación. pasado, por el que tuve á bien crear los…</t>
  </si>
  <si>
    <t>…nta en confiar el manijo de las tropas prusianas y aus tríacas al coronel del batallón de Francfort, que, cuando entraron estas tropas Real orden. con motivo de los sucesos del mes de Abril del año pasado, rehusó someterse Excmo. Sr.: S. M. la Reina Gobernadora se ha servido resol- i las órdenes del general austríaco. \ ver que esa junta superior gubernativa proponga uno ó dos faculta Las tropas prusianas continúan ocupando a Bockenheim, pueblecillo cer tivos de loa de mayor ilustración, á los cüaíes se encargue la redac- cano perteneciente al electorado…</t>
  </si>
  <si>
    <t>…á la dirección del cot&amp;ervaKrio de Arre». Ambas Reales órdenes. han expuesto unánimes que el arte de litografiar v todas lar llamadas libcrciees’an.p: r su índole misóla exentas de privilegios exclusivos , y que ei concedi Excmo. Sr.: S. M. la Reina Gobernadora se ha enterado con satisfacción do al Real establecimiento de Madrid es incompatible coa el fomento de a del oficio tjue me dirige V. E- en 8 de Enero último, participando haberse litografía , debiendo considerarse mas que como privilegio como una gracia es construido ’a sus expensas y sin gravamen…</t>
  </si>
  <si>
    <t>…el descontento ha tomado te de Sanidad de Madrid y su provincia. un carácter alarmante. La irritación de los ánimos puede tener consecuencia» funestas. No queda día que no corra la sangre por las calles , y en que no haya Exento. Sr.: S. M. la Reina Gobernadora se lia servido mandar suplicios. que nombrando esa junta una comisión facultativa de su seno, pase Mehemet-Alí envía muchas tropas á Siria. Han llegado últimamente dos ¿reconocer los cementerios de esta corte, y examine si el enterra regimientos con el objeto de reprimir la insurrección que se ha m…</t>
  </si>
  <si>
    <t>…INO. miguelistas. Su salida se verificara dentro de tres ó cuatro dias. Di cen que ha sido menester toda la persuasión de Silva Carvalho pa Reales órdenes. ra obligarle á aceptar el mando; y sabemos que este ministro dijo Exento. Sr.: S. M. la Reina Gobernadora ha oido con gran al duque y á sus compañeros en presencia de D. Pedro: «déjanos KlisW-íálii!,.'' satisfacción el oficio que me dirigió V. E. desde Guadix, tan lue «por Dios nuestras misereóles disputas y rivalidades; obremos de go como recibió el aviso de su nombramiento para la subdelega- «concier…</t>
  </si>
  <si>
    <t>…a, se dividan en grupos, y-espe^ ren el momento de entrar en campaña. No, yo no combato uñ ab MAYOKDOMIA MAYOR DE S. M. surdo con otro absurdo.' ■ - ¡ Real órden. «No es esta una vana concesión, ni una precaución oratoria; Excmo. Sr.: S. M. la Reina Gobernadora se ha servido resol porque á Dios gracias, no están todavía los ánimos bastante ofus ver que desde el día 27 del corriente cese enteramente el luto que cados por el miedo (violentos murmullos en los centros) para, que viste la corte con motivo del fallecimiento de su muy amado Es tenga que justific…</t>
  </si>
  <si>
    <t>…enda de espada. to de todos los hombres ilustrados; asi como crecerá dentro y fue ra de su país la estimación y aprecio del gobierno francés por la Reales órdenes. ley últimamente redactada contra las sociedades políticas. Fxcmo. Sr.: S. M. la Reina Gobernadora ha tenido á bien La misma Gaceta con referencia á otra carta de Viena del 27, mandar que el tribunal supremo de Hacienda, instituido por Real dice-- Ayer hubo sesión plena en que se discutió el punto de la li decreto de 24 de Marzo último, conste de los subalternos siguien bertad de imprenta. En ad…</t>
  </si>
  <si>
    <t>Gobernadora, S M la Reiva</t>
  </si>
  <si>
    <t>S M la Reiva Gobernadora</t>
  </si>
  <si>
    <t>…o del Despacho de Hacienda con fecha 17 de MAYORDOMEA MAYOR. Febrero me dice lo que sigue: Real orden. » He dadp cuenta á la Reina Gobernadora del expediente pro movido por la junta de comercio de Santander y por varios co Exeme. Sr.: S M. la Reiva Gobernadora en consi leracion á merciantes de Barcelona y de Zaragoza, en solicitad de que suspen Jiaber trascurrido el medio año de luto" riguroso que se vistió con diéndose por las razones que alegan los efectos de la Real orden de motivo del fallecimiento de su muy querido Esposo (Q. E. F. G), 5 de Febcero…</t>
  </si>
  <si>
    <t>Gobernadora, S M la Ruina</t>
  </si>
  <si>
    <t>S M la Ruina Gobernadora</t>
  </si>
  <si>
    <t>…a.” I día 20 acababa de publicar, y á que todos nos apresurásemos á tributar los tes En su vista, y de ia renuncia que ha dirigido por separado D. Joaquín Rey, timonios de nuestro amor, firme adhesión é inalterable fidelidad á la Reina S. M. la Ruina Gobernadora, por Real decreto de este dia, se ha dignado j nuestra Señora Daña Isabel ii. nombrar subdelegado de Fomento de la provincia de Tarragona, en atención á Hoy se concede nuevo término para lograr aquel beneficio: nadie está ex sus méritos y circunstancias, á D. Antonio Satorres, diputado que fue á la…</t>
  </si>
  <si>
    <t>Gobernadora, S.-M la Reina</t>
  </si>
  <si>
    <t>S.-M la Reina Gobernadora</t>
  </si>
  <si>
    <t>…misma. ’&gt;Los católicos irlandeses, dijo, no ambicionar, el r -der a .to ,¡‘&gt;;5 fl RealeJ drdenes. protestantes , luchan por obtener ios derechos polukos , v lucharán hasta -conse- fl cuir la independencia de su patria." B Excmo. Sr.: S.-M.- la Reina Gobernadora se ha servido mandar, que ín terin se establece la subdeiegacion de fomento de c-ta provincia, desempeñe Idem 19- H V. E. las funciones que comete á los suhJelcgido» dc¡ momo ramo el Real .decreto de 4 de Enero de este año relativo á U uiipicsion, publicawio.i y cir M. Littleton llamó la atención d…</t>
  </si>
  <si>
    <t>Gobernadora, Seoane S M la Reina</t>
  </si>
  <si>
    <t>Seoane S M la Reina Gobernadora</t>
  </si>
  <si>
    <t>…onsignarlo. del mismo ramo á consecuencia del pedido de aquella. «El Sr. Medrano ha dicho muy bien que á la comisión no la consta de Se dió cuenta de una solicitud del Sr. marques de la Vilueña, pidiendo oficio el llamamiento del Sr. Seoane. S. M. la Reina Gobernadora, al nom que se le devolviese una escritura que presentó á fin de probar su aptitud para brar al general Mina gefe del ejército del Norte, le dijo que eligiera los ofi el cargo de Procurador, de que había sido exonerado. El Estamento acordó ciales que quisiese para organizar su ejército. El general…</t>
  </si>
  <si>
    <t>Gobernadora, Silveira</t>
  </si>
  <si>
    <t>Silveira Gobernadora</t>
  </si>
  <si>
    <t>…INTERIOR. do, hacen inútil el progreso de la lucha. Muchas personas de distinción han abandonado el partido del usurpador, entre ellos el general Santa Mar'ta y el Por el artículo 21 de la instrucción aprobada por S. M. la Reina general Silveira. Gobernadora en 30 de Noviembre último se previno que las ferias El 2i se celebró un consejo de ministros en el palacio de las Necesidades y mercados debían fijar particularmente la atención de los goberna para tomar en consideración un despacho de D. Miguel , el cual no rehúsa ne dores civiles de las provincia…</t>
  </si>
  <si>
    <t>Gobernadora.tuvo</t>
  </si>
  <si>
    <t>…donde linca..................................... n. 6. . 86. se hayan suscrito. Esta obra, que esta dedicada A nuestro difumo Rey el Señor Dow Extremadura 15 de ídem........... ,3. 2. . . 7. Fernando vil, y á que nuestra excelsa Reina Gobernadora.tuvo la dignado» de Almansa 18 de ideta................. •4' .. ..8. ■arsuscribirse,aguas en cuandotodas parteavivía paratodavíaeV abastecimientosu augusto Esposo,de lostienepueblos,por objetoy satisfacerrí propoicio-las ne Zaragoza 12 de ¡dem........... . .. .2. .. .18. cesidades de la industria y agricul…</t>
  </si>
  <si>
    <t>Gobernadora.’</t>
  </si>
  <si>
    <t>…de los fondbs de Propios , y? en Juráis fidelidad y obediencia á la Reina nuestra Señora Dóña Isabel ii, su defecto por un reparto vecinal, en muchos pueblos, en donde los prime'os y en su nombre durante su menor edad, á S. M. la Reina Gobernadora.’ son casi nulos, habría que apelar al último, en cuya ejecución hay graves in »; Juráis guardar y cumplir el Estatuto Real y las leyes de la monar convenientes , porque muchos vecinos procuran eximirse según las clases á que quía : defender con las armas el territorio contra los enemigos exteriores…</t>
  </si>
  <si>
    <t>Gobernadoranna</t>
  </si>
  <si>
    <t>…marchas forzadas, alguna» de que significar á V. E., no perdiendo momento ni sacrificio para lograr eí gran mas de ocho leguas por terrenos sumamente escabrosos y de difícil transito en dioso objeto que me ha confiado la augusta Reina Gobernadoranna estación muy lluviosa, y en que cada barranco es un riachuelo y un obs Dios &amp;c. = Cuartel general de Tolosa 2l de Agosto de 1834 á las táculo. . , doce de 11 noche. = Excmo. Sr.=El rnarqua de Rodil. Dios &amp;c. Cuartel general de Mondragon á 17 de Agosto de 1834 á lan dqc* de la noche. = Excmo. Sr.=El…</t>
  </si>
  <si>
    <t>Gobernadoraotros</t>
  </si>
  <si>
    <t>…y El referido segunio cabo gobernador de'Tarragona salió el mismo dia 7 con ventura que prometí desde mi llegada á Cataluña en nombre de nuestra ama otra respetable columna de tropas del ejército y de la milicia de Reus y de ble Reina Gobernadoraotros puntos hasta Riu de Cois, desde cuyo pueblo, marchando el día 8 á Fal- E1 mismo capitán general con fecha 2 del corriente di&lt;^ al ministerio de la tet, varió dé dirección hacia Porrera, por saber en el camino que los rebeldes Guerra entre otras cosas: c, estaban allí, donde no le esperaron, huyendo…</t>
  </si>
  <si>
    <t>Gobernadow</t>
  </si>
  <si>
    <t>…J sin íen'er siquiera &lt;eJ recurso, de, 4. fuga , que se.les.niega .en. ía- i rendir # . - , __ __ fvór de vV^ptroi. Se,e).esrado en ^ue as falláis; se que la provincia, de.Grana- licitándole por U confianza que ha mereqijdo de ¡a Reina Gobernadow, y.pp- .idaj’^rjT:Pfrq ¡tiempo Un ■rica.)' floreciente, ha plegado por Ias^vidisjtudes de los niéndose bajo sus órdenes, asegurándole de las excelentes dísposiejones que ani • ticíjipívs i uoagran decadenciaimpero sé también-que la caridad es ingeniosa, man á los agremiados para manifestar i.todo t…</t>
  </si>
  <si>
    <t>Goberriadora</t>
  </si>
  <si>
    <t>…ísimo» que de un esta mar y excitar esperanzas é intereses se han extendido á la oficialidad y tropa do regular pudiere prestar, excitara el enérgico deseo y la decidida voluntad de de mar todos los benéficos decretos de S. M. la Reina Goberriadora, expedi extender á la marina Real una mano protectora, si ho para levantarla á su an dos por el ministerio de la Guerra sobre amnistía, clasificaciones y ventajas en tiguo esplendor, para sostenerla al menos é impedir que se sepulte en su» pro cuanto estas son compatibles con la diversa institución…</t>
  </si>
  <si>
    <t>Gobetnadora.se</t>
  </si>
  <si>
    <t>…echo de la Nación en ulteriores negociaciones , si la convenien cia pública las exigiese; rehusando tomar sobre si la grave-responsa ' Reales órdenes* bilidad de resolver la cuestión del reconocimiento de los empréstitos s. M. la Reina Gobetnadora.se ha servido resolver que los gas celebrados en los años de 1820, 1821 y 1822, cuestión que el Go to» que ocasione el equipo y prest de los tambores y trompetas de bierno de S. M. está decidido á someter á las Cortes generales del</t>
  </si>
  <si>
    <t>Gobierno, Anto</t>
  </si>
  <si>
    <t>Anto Gobierno</t>
  </si>
  <si>
    <t>…ente se ocupan en esto Los que desaprobaron fueron los siguiente: Cano Manuel (D. Vicente), en Europa, con especialidad en Inglaterra. Propuestas favorables tiene ya el Abargues, Belda, López, Vísedo, Carrasco, Chacón, González ( D. Anto Gobierno, que es probable se realicen, restablecida en el reino la paz y la nio), García de Atocha , Garda Carrasco, Ontiveros , Ulloa, Alcalá Galia tranquilidad. Por ese medio atraeríamos á nuestra patria extrangeros. útiles, y no, Isturiz, Cuevas, Alcalá Zamora, López de Pedrajas, conde de las Navas, su i…</t>
  </si>
  <si>
    <t>Gobierno, Crespo de Tejada El</t>
  </si>
  <si>
    <t>Crespo de Tejada El Gobierno</t>
  </si>
  <si>
    <t>…tenerse al resultado de los documentos que se presentaban; y únicameote Esta aclaración pensaba el Gobierno haberla hecho como adición al artículo.” podría dar otro dictámen cuando los electores de la provincia avisaran que el El Sr. Crespo de Tejada-. "El Gobierno ha propuesto que se haga un sugetQ de que se trataba, tenia las cualidades necesarias; por lo que concluyó fondo al $ por 100. Es fácil .ejecutar la reducción: haciéndola al ínteres del 3 manifestando que debía aprobarse el dictamen de la comisión. por ciento , cabalmente no-redituará mas que 60: a…</t>
  </si>
  <si>
    <t>Gobierno, El</t>
  </si>
  <si>
    <t>El Gobierno</t>
  </si>
  <si>
    <t>…qoe «todos los pagos sé entiendan 4 cuenta y con su pertenece.4 esa distinguida clase, va 4 reemplazarle otra persona que no es del jeción 4 lo que se determíne en tos presupuestos.” mismo rango eh punto 4 rentas; un distinguido general. El Gobierno puede El Sr. Aeevedo: «Supuesto que el Gobierno, con la mayor franqueza, echar mano, según Jas circunstancias, de un grande ó de un particular; y tal accede al dictámen de la cpünúion, pido se pregunte si está ei punto suficien vez puede nombrar 4 un hombre ó empleado de mérito, que no tchga patri…</t>
  </si>
  <si>
    <t>…nconveniente en;admitirlo.” Justicia la considero de la mayor importancia para la retolucion-dcl Estamen En seguidb fue aprobado dicho párrafo. to ; pues no hay partes oficiales, si bien son noticias positivas.” El Sr. Secretario Caballero: «El Gobierno presenta otro presupuesto de El Sr. conde de las Navas dijo que se reservaba el Hacer por escrito la los gastos del cuerpo diplomático cuando todas las legaciones caten completas. proposición qué habiaátídicado .Guacido se rscibiesen lúa partes ..oficiales, y pi El Estamento decidirá.jsi-se ha desc…</t>
  </si>
  <si>
    <t>Gobierno, Joaquín-María Feyrer</t>
  </si>
  <si>
    <t>Joaquín-María Feyrer Gobierno</t>
  </si>
  <si>
    <t>…rte que esto no está tan clatobcomo debiera. De consiguiente, sin renunciar Entraron á jurar y tomaron asiento los Sres. D. Pedro Martí, D. Pedro nosotros el dercehoiqmi njnuw dcsedirfk exposición nfuiit puede pasar al Opúsolos y D.- Joaquín-María Feyrer. Gobierno; y Tvelreczreigetir qUe dosabiatúcñ uña palabra de ella.” _ r En sqpüda el $r. Secretario del Despacho'de Estado subió i h tribuna y 'El Sr. ¿rfr^ &gt;dlAia pedidoYa paj^fcdf para confirmar ^lo que ha dicho.' dijo: "EnandocfSr. Secretario da Gracia y Justicia en el Real jipo del Par el Sr. Secretano^e…</t>
  </si>
  <si>
    <t>Gobierno, Minis El</t>
  </si>
  <si>
    <t>Minis El Gobierno</t>
  </si>
  <si>
    <t>…to do...... En una palabra, se causa un mal á la Nación sin ventaja ni utilidad al mado en consideración como lo hubiera hecho el Gobierno español en igual guna.” caso. F.l Sr. Presidente• «Al paso que siento la desaprobación de! Sr. Minis ' »El Gobierno francés no nos hará la guerra por este empréstito, ni ser tro de Estado, respecto del nombramiento de la com-.s.^n que ha salido de es virá esto de base para destruir las buenas relaciones policios con la España; es te Estamento para formar la mi&amp;ta que había de tratar de conc har la ^ivercierto; n…</t>
  </si>
  <si>
    <t>Gobierno, Montevírgen El</t>
  </si>
  <si>
    <t>Montevírgen El Gobierno</t>
  </si>
  <si>
    <t>…ría al infinito. va, entonces considérese que no he dftho nada.” Sin embargo esta no seria una razón suficiente si no hubiese otras para desapro El Sr. Secretario del Despacho de Hacienda: «El Gobierno no ha bar Ja indicación del Sr. Montevírgen* El Gobierno, al presentar el asumo "en adoptado esa misma expresiot/por haber en Francia una deuda española deno cuestión al Estamento, ha llevado por objeto el uniformar toda la deuda ex minada diferida, procedente de operaciones verificadas en el año 31, y por trangera , para que confundiéndose en ella todas…</t>
  </si>
  <si>
    <t>Gobierno, Ra</t>
  </si>
  <si>
    <t>Ra Gobierno</t>
  </si>
  <si>
    <t>…min El Sr. Secretario del Despacho de Hacienda leyó los artículos SS y Si del go Batmaseda. reglamento, y manifestó que siendo de suyo tan grave el asunto, el ínteres dd La coüusion de Poderes dió cuenta de haber examinado loa de D. Ra Gobierno, que era el mismo que él del Estamento, exigia se ventilase coa b&gt;- fael de Rodas, electo Procurador por la provincia de Málaga, y sus docu da latitud la totalidad; y que cuando se trztasode «otar se vería d órdea ana mentos justificativos, y de que hallándolos conformes, era de parecer que de debi…</t>
  </si>
  <si>
    <t>Gobierno, Rivaherrersfc Éi</t>
  </si>
  <si>
    <t>Rivaherrersfc Éi Gobierno</t>
  </si>
  <si>
    <t>…o loiiayaéx presado; Estro asunto demasiado sério, y debe mirarse con '■El Sr: ■Secretario,dei Deepaeho de fíáíchnda ■■ y,Creo querepe mucha ' detención. En todo el proyecto’de ley no hay inda que contradiga disha idea,-, nréq cI Sr. Rivaherrersfc Éi Gobierno no-ríéoe fnconveniente en qoír se haga sino todo ál contrario.” •• » asi. He extendido’ esta adición, que como becha de priesa puede teiier algún El Sr. Caballero: «Crep que todos los Sres. quo han hablado están con- . defecto*n su redacción. » A medida que so vaya liquidando la deuda activa se.. v…</t>
  </si>
  <si>
    <t>Gobierno, Secretariodrl Despacho de Haciendd El</t>
  </si>
  <si>
    <t>Secretariodrl Despacho de Haciendd El Gobierno</t>
  </si>
  <si>
    <t>…éla terco* parte de los tituló* , y que no tuviesen en un mismo, capital el falor :Ei Sr. Rhoherrera: «El Gobierno de deuda activa y pasiva. f- -xV*'-'r términos ti ha-dávénficar la conversión: á los que'se presenten habrá que El Sr. Secretariodrl Despacho de Haciendd ■ «El Gobierno pensaba pagarles. También pudiera' ócurrir alguna dificultad al Gobierno , porque en que hubiera dos títulos dife remes,‘uno para la deuda activa y oUtKpara la pa esas liquidaciones ocurren con-frecuencia; y el Gobierno'debe resolverlas. EÍ siva, pues habrá tenedores que quieran negociar la deuda a…</t>
  </si>
  <si>
    <t>Gobierro, Je Maeienda' El</t>
  </si>
  <si>
    <t>Je Maeienda' El Gobierro</t>
  </si>
  <si>
    <t>…ivisión que se quiere hacer «Se alega'It posición en que nos encontramos, posición conocida de toda de la deuda en activa y pasiva.” Europar un cambio político, guerra intenor , desórdenes del Gotrerno pre Ei Sr. conde de Tormo , Ministro Je Maeienda'. «El Gobierro debe cedente en la administración, y otras mil cosas que la hacen mas y mas em estar sumamente agradecido á las ra/ones de! Sr. preopinante, que hi defen barazosa f delicada. dido lo propuesto por el Micmtro de Hacienda , razones que si ¿c hubieran ex n La Nac»on se encuentra , pues, en e! caso de…</t>
  </si>
  <si>
    <t>Goblet</t>
  </si>
  <si>
    <t>…ecesidad de alejar de la Península á D. Carlos y á D. Miguel, pues JRLG1CA. to que este es el primer paso que hay que dar para restablecer la tranquilidad en uno y otro país. , Brusela/ 29 de Abril. Anuncian varios diarios que el general Goblet no ha sido recibido todavía El Globo no se atreve á salir garante de la aütenticidad de los rumores -por la corte de Berlín. Sabemos en efecto que esta corte ha elevado contra la que corren de dos dias á esta parte acerca de un tratado entre España, Portu recepción del ilustre general algunas dific…</t>
  </si>
  <si>
    <t>…Año de &gt;' en ci reverso las armas de la ciudad conveniente. De aqui se ha originado una notable indiferencia, cuya causa po orladas con el lema de »&gt;Por su constancia, amor y ¿de.idad es muy noble y dría declarar, si quisiera, el general Goblet, ministro belga, muy mal recibido muy leal/’ en todas partes. Una carta particular de Viena anunciaba hace poco que M. En el mismo orden descrito siguió la comitiva por toda U ralle de la Real Mttternich había aprobado altamente la vigorosa respuesta del Diario de Franc Fortaleza hasta Ja pbza de b…</t>
  </si>
  <si>
    <t>Gobornado</t>
  </si>
  <si>
    <t>…os, y adornando Es demas precauciones tomadas ticular , sin que por ello se perjudique á los fondos municipales á en circunstancias análogas de contagios exóticos, que en otros tiemque pertenezcan, se lia servido mandar S. Al. la Reina Gobornado- jm&gt;s afligieron la monarquía. El Gduerno al dictar estas medidas no ¡ ra se observen sobre este punto las reglas siguientes: e.stali.i po.-eido de gran confianza en su resultado; mas no desoo1 “ Los ayuntamientos de los pueblos formarán de propio acuer no. iendo el poder moral de las preocupaciones…</t>
  </si>
  <si>
    <t>Gócongadas, Manuel</t>
  </si>
  <si>
    <t>Manuel Gócongadas</t>
  </si>
  <si>
    <t>…esante de la contaduría principal de Propios de la provincia de Soria, administrador interino que ha Con la misma fecha dice el comandante general de las provincias Vas sido de la renta en su capital; y ha tenido á bien separar á D. Manuel Gócongadas, que tampoco habia novedad en Alava; y que por la parte de-Viz mez del Casal de la plaza de oficial Z° de la estafeta de Pontevedra, man—,caya se estaba realizando el movimiento combinado del general Espartero y lo» dando que se le proponga para otro destino fuera de las provincias de Galicia,briga…</t>
  </si>
  <si>
    <t>Gofii, Martin</t>
  </si>
  <si>
    <t>Martin Gofii</t>
  </si>
  <si>
    <t>…s mas acostumbradas á la Rs. rn. disciplina y menos expuestas á la seducción, ha recurrido s su padre, el cual le ha enviado dos regimientos de infantería, y ha mandado que otros tres los sigan Sr. marques de Montesa, á nombre de D. Martin Gofii, presbítero da sin demora. El virey se ha incomodado mucho con esto suceso , porque sabe to Pamplona...................................................'.......................... ¿004 das las consecuencias que puede tener una primera insurrección en un pais con Una señora viuda que no quiso dar su…</t>
  </si>
  <si>
    <t>Gofii, O Francisco</t>
  </si>
  <si>
    <t>O Francisco Gofii</t>
  </si>
  <si>
    <t>…publicada por Monfort» acompañado de un ofi gfieaza¿ lo» rebeldes, y es muy recomendable la decisión del teniente coronel cio satisfactorio. D. Bruno Ortiz de Zarate, comandante de cazadores de caballería, celadores de Alava, del teniente O. Francisco Gofii, que con tres caballos mas, unidos al capitán Castell, salvaron el ganado caballar y arrojaron i los enemigos ¿ la Madrid 24 de Agosto* masa de su fuerza. Del mismo modo debo mencionar con honor la conducta bizarra del Lie. D. Casimiro Martínez y de Francisco Valencia , ambos Urba En medio de las d…</t>
  </si>
  <si>
    <t>Goicoechea, José</t>
  </si>
  <si>
    <t>José Goicoechea</t>
  </si>
  <si>
    <t>…................ 400 Ltfndres 9 de Julio. &gt;• El embajador de Francia en Lóndres al Sr. ministro D. J. de G............................................................................................. 200 de Relaciones txtcrioies. D. José Goicoechea, intendente de esta provincia.............................. 1500 »Los lores Grey y Althorp han presentado al Rey la dimisión de sus res D. J. M. E. 160 rs. por ahora, y 30 mensual «mientras dure la pectivos'destinos. S. M. la ha aceptado, y en su consecuencia ha llamado al ep demia.................…</t>
  </si>
  <si>
    <t>Goitzri</t>
  </si>
  <si>
    <t>…teá í » «EncuaDfoá ló que se ha dicho en órden í las mismas , eso es mojr jisen el artículo concluido cn las palabras votaduj ymr lai &amp;rtrr.Y‘ ■ í posterior ¡ y aqui no tratamos mas que de fundar un derecho, ó dar la pósibi- * El Sr. Goitzri/.-z (D; Antuniu): »La» observaciones■ del Sr. preopinante | lisiad de que todos los españoles puedan optar í las carreras que quieran. Por lo se reducen í dos-puntos, de los qué roe voy á hacer cargo para desvanecer sui l tanto crep que el articulo no perjudica ni se opone i los intereses de nadie…</t>
  </si>
  <si>
    <t>GoKtM’ez</t>
  </si>
  <si>
    <t>…(D- Antonio) y Caballero: en contra la ^«dtó en_cl acto el Se ténga la renta al tiempo de sentarse en e1 Estamento, aunque no U haya teni ñor Slntafé. do hasta después de nombrado. El Sr* Vadillo no tenia rentas en España cuan El Sr. GoKtM’ez: La petición que hoy ocupa la atención dei Estam ‘jxto do fue elegido Procurador, y se le concedieron 4^ dias para trasladar^?»; luego es de tal importancia , que creo que todos los Sres. diputados se tomaia¡\ el d el Estamento ha de incurrir en una contradicción, ó se debe admitir al señor mas viv…</t>
  </si>
  <si>
    <t>Goliernadora</t>
  </si>
  <si>
    <t>…rid 1'.’ de Julio de 1834.=Zareo.=Sr. capitán genera! de... . MINISTERIO DF. GRACIA T JUSTICIA. MINISTERIO DE HACIENDA OE ESPAÑA. Real orden. Real orden. r Deseando S. M. Ir Rfjwa Gobernadora facilitad todo género de Enterada la Reina Goliernadora de lo expuesto por esa Direc auxilios á los pueblos afligidos por el cólera-morlo, v evitar el des ción general con feclia 11» de Abril último acerca de la consulta he aliento que origina la ausencia de las autoridades de los puntos don cha .i la misma por el administrador de la provini ia de Madrid c…</t>
  </si>
  <si>
    <t>…abla bastante del viage que piensa hacer el Rev á Taris. Sabemos sejo de Sres. Ministros el Sr. primer Secretario del Despacho de Esque para el 7 de este mes se espera á S- M en Capua , donde las guarniciones íado de que S. M. la Reina Goliernadora ha tenido á bien mandar reunidas de Ñipóles, Gaeta y Capua formarán un campamento y ejecutaran e se tomen las disposiciones convenientes en la forma acostumbra- grandes maniobras: se confiara el n«ndo de estas trop,5 a| general principe de para’proceder en seguida á tratar del reconocimiento dél Br…</t>
  </si>
  <si>
    <t>…róle» -vrHir «ret tñes ártrertor y prcserite; y conviniendo que pa ra cuando llegue su próxima probable extinción esten toiuadas to das las providencias necesarias jora el expurgo y desinfección de la TURQUIA. población, S. M. la Reina Goliernadora se ha servido mandar Conetantinopla 11 d* Julia. que se encargue de ambos esa junta de Sanidad : que cométa su eje Continúan las negociaciones con Inglaterra y Francia con motivo de] tra cución en cada uno de los cuarteles en que se divide Madrid á uno tado ruso. Pero parece que estas dos nacion« v…</t>
  </si>
  <si>
    <t>…stá rubricado de la Real Julio de 1834.=Francisco Martínez de la Rosa.=Señor Secretario del mann-En S. Ildefonso á 15 de Julio de i8.34. = A D. Nicolás María Despacho de lo Interior. Garelly. * ministerio de lo interior. g. M. la Reina Goliernadora y en su Real nombre el Consejo de Real orden. Gobierno y el de Ministros en todo conformes, profundamente afli Excmo. Sr. : Habiendo dado cuenta á S. M. la augusta Reina gidos de loá desórdenes é inauditos atentados cometidos en la noche Gobernadora del parte sanitario remitido por V. E. del que apar…</t>
  </si>
  <si>
    <t>Gollantes, Calderón</t>
  </si>
  <si>
    <t>Calderón Gollantes</t>
  </si>
  <si>
    <t>…ento. en el ánimo de redactar el artículo en los términos que había indicado. Se dió cuenta de la siguiente adición al mismo artículo 3.°, propuesta por El Sr. Secretario del Despacho de lo Interior contestó que la observación el Sr. Calderón Gollantes: «Pido que á continuación de las palabras los hijos del Sr. Galiano recaía sobre la parte adicionada por la comisión; y que aun de los que paguen la cantidad de 60 rs. arriba, se añada y los de los em cuando no entrabaren las ideas del Gobierno el hacer esta reforma, sin em pleados y militares cuyo…</t>
  </si>
  <si>
    <t>Gómale</t>
  </si>
  <si>
    <t>…su linea ”Las Oórles de. 1713 , reunidas por orden de Felipe v , no tuvieron otro tje la suppsion de la cproija de España. __________ ______ derecha, que el. que aquel las marcó; se falló i la voluntad nacional; se atacó i la —r: Sr. Gómale* (D.AnCunú,)-. «Tomo la palabra en contra del dic— disposición general de las leyes; se destruyó el uso antiguo de ¡a Nación españo tímen de U pomísion, porque me parece que en los fundamentos que en él se la; y sin embargo , por el poder que ejercía el Monarca, no se pudo menos de . exponen no se…</t>
  </si>
  <si>
    <t>Gomales, José Ganso</t>
  </si>
  <si>
    <t>José Ganso Gomales</t>
  </si>
  <si>
    <t>…cados. da , Cristóbal Lanares de Butrón. Continúan los trabajos con la mayor actividad en los tres distritos en que está dividida la carretera. En el l.° se emplean 300 paisanos para la habilitación de los tramos de El licenciado D. José Ganso Gomales dirige al Gobierno desde Vega de Venta Quemada ; y 180 con 400 confinados en la construcción de los dificilei Rivadeo (Galicia) una memoria acerca del cóiera-morbo, en la que después de pasos de los Reventones inmediatos á la Caserna. exponer sumariamente la historia de esta enfermedad , sus causas…</t>
  </si>
  <si>
    <t>Gome, Anastasio</t>
  </si>
  <si>
    <t>Anastasio Gome</t>
  </si>
  <si>
    <t>…de Sarrion : se ha servido S. Al. la Reina Colimadora de vellón diarios: á Josefa de Azpillaga, viuda con familia, vecina de Viana, ¿orno madre de José Martínez, asesinado en el mismo pun concederle 40 rs. de vellón anuales, y á D. Anastasio Gome? Balbé, presbítero de Villarubia de los Ojos, que habiéndose presentado to, tres reales de vellón diarios: á María de Urarte, viuda con fami contra la facción del Locho, fue hecho prisionero v corrió los ma lia, vecina de Y,*ana, como madre de Romualdo Chasco, asesinado «« Hetedia, Fres reales de v…</t>
  </si>
  <si>
    <t>Gome, D Ramón</t>
  </si>
  <si>
    <t>D Ramón Gome</t>
  </si>
  <si>
    <t>…do constantes y repetidas vio á proseguir á las seis de Ja tarde, según unos para Muaguis, 7 en concepta pruebas de su adhesión á la Rkina -nuestra Señora y de la disciplina que los de otros para Galdácano, mas creo que si el Sr. brigadier D. Ramón Gome* distingue. Bedoya, como estaba advertido, y le debieron indicar los movímicnte* faccio Dios guarde s V. E. muchos años. Cuartel general de Beasain á 12 de sos , salió de Bilbao á tiempo (con 29 hombres) que podía reunir, y Jai brigav Agosto de 1834, ^ las doce de la noche. Expmo. Sr. = Jo$é Ramón…</t>
  </si>
  <si>
    <t>Gome, Ramón</t>
  </si>
  <si>
    <t>Ramón Gome</t>
  </si>
  <si>
    <t>…tes y repetidas vio á proseguir á las seis de Ja tarde, según unos para Muaguis, 7 en concepta pruebas de su adhesión á la Rkina -nuestra Señora y de la disciplina que los de otros para Galdácano, mas creo que si el Sr. brigadier D. Ramón Gome* distingue. Bedoya, como estaba advertido, y le debieron indicar los movímicnte* faccio Dios guarde s V. E. muchos años. Cuartel general de Beasain á 12 de sos , salió de Bilbao á tiempo (con 29 hombres) que podía reunir, y Jai brigav Agosto de 1834, ^ las doce de la noche. Expmo. Sr. = Jo$é Ramón…</t>
  </si>
  <si>
    <t>Gomes, Manuela</t>
  </si>
  <si>
    <t>Manuela Gomes</t>
  </si>
  <si>
    <t>…inmediatamente:a. las Fullerías. El príncipe se presentó á las tres de la tarde, dada del escribano Gaona y Loecbes, se cita por término de 15 dias á los que te crean con derecho á los bienes que han quedado por fallecimiento de Doña Manuela Gomes, y no salió de palacio hasta mas de las seis. Se dice que en estas tres horas ha viuda de D. Sebastian Abajo, vecina que rué de esta corte* ¿ fin de qúe acudan á de estado encerrado con el Rey conferenciando los dos solos. (Idem.) ducirle al citado juzgado y escribanía; en inteligencia que de n« ha…</t>
  </si>
  <si>
    <t>Gómez, Agustín</t>
  </si>
  <si>
    <t>Agustín Gómez</t>
  </si>
  <si>
    <t>…conformes á la opinión de los individuos de la comisión, dente del Consejo y Cámara de Castilla ha tenido á bien trasladar a D. Ra no puede con todo presentarlas á nombre de esta porque no se las ha comu món Josef de Mendiok y á D. Agustín Gómez, oidores de U Real audiencia nicado. de Puerto-Príncipe, á ¡guales plazas de la chancillería de Granada v audiencia Recuerda con este motivo la discusión que en Julio último hubo en el Par de Cataluña, respectivamente vacantes por muerte de D. Azust'.n* Rieuclmc lamento Ingles respecto á Polonia, y…</t>
  </si>
  <si>
    <t>Gómez, Dámaso</t>
  </si>
  <si>
    <t>Dámaso Gómez</t>
  </si>
  <si>
    <t>…onferir la administración principal de Córdoba á Don Cayetano Antonio Martin , administrador de igual clase en Salamanca: la su El ayuntamiento de Castelserás solicitó, y le fue concedido, Real permi balterna de Daroca al cesante D. Dámaso Gómez: la de Lorca á D. Miguel to para aprovechar en el riego unas aguas sobrantes del rio Guadalope, que la Marchante, oficial cuarto de la principal de Lugo: la intervención de la de negaba el ayuntamiento de Calanda. Ocurrieron varias contestaciones entro S. Felipe de Játiva al cesante D. Pedro Juan C…</t>
  </si>
  <si>
    <t>Gómez, Félix</t>
  </si>
  <si>
    <t>Félix Gómez</t>
  </si>
  <si>
    <t>…udieran mirar con indife gimiento de caballería de Navarra D. Blas Sotomavor, que fue herido en la rencia esta lucha de la humanidad contra la barbarie un justo horror hacia sus acción al dar la carga, y los del propio regimiento D. Félix. Gómez, te autores, determinó no detenerse en Tarragona mas que el tiempo necesario niente graduado de capitán: teniente D. Alejandro Fano, y porta-estandarte para dictar las mas terminantes órdenes al general segundo cabo para que im D. Lírarq Cambil: el teniente de artillería retirado , y ayudante de ca…</t>
  </si>
  <si>
    <t>Gómez, Gregorio</t>
  </si>
  <si>
    <t>Gregorio Gómez</t>
  </si>
  <si>
    <t>…idos ¿ Almeida, cuyo gobernador al dar conocimiento de es te suceso , añade ser uno de los aprehenhidos el ex-capitan de la guardia de in í Los militares observadores y amantes de nuestra Reiva Doña Isabei. it, fantería ilimitado D. Gregorio Gómez. q *e hallan sumamente complacidos al ver el desarrollo de un plan concebido El mismo gobernador asegura que desde el Miño i Santarem no ha queda diestramente por el Gobierno, de acuerdo probablemente con el de Doña Ma— do en toda aquella mitad de Portugal ni una partida de facciosos españoles. El i…</t>
  </si>
  <si>
    <t>Gómez, Gumersindo</t>
  </si>
  <si>
    <t>Gumersindo Gómez</t>
  </si>
  <si>
    <t>…uerto del mis PROVINCIA DB SORIA. mo modo oira persona en Palacios de Valduerna, en donde se hizo la autopsia Con fecha 16 del presente manifiesta su gobernador civil, que en aquella, de aquel cadáver por D. Vicente Arias Oamon y D. Gumersindo Gómez capital se disfrutaba de buena salud; el estado de los demás pueblos invadidos Atinjo* ambos del colegio de Madrid, y bajo la presidencia de D. José Fer- en aquella provincia resulta del siguiente_________ ______ ______ rcr, médico del cabildo de Astorga; : *--------- ----------- ¡r - — Noto. En la…</t>
  </si>
  <si>
    <t>Gomez, Joaquín</t>
  </si>
  <si>
    <t>Joaquín Gomez</t>
  </si>
  <si>
    <t>…erificado su salida del puerto, acompañado del coro ri&lt;i.=:Conde de Santoven¡a.=Coronel D. Francisco de Verlasco.zrPrior del con nel Campbell, cónsul general de Inglaterra, y se dice que Ibrahim-bajá está vento de Santo Domingo.=:D. Joaquín Gomez.=D. Narciso García Mora. actualmente en JafFa , donde espera 4 su padre. No debe inferirse sin embargo, Convocados los S.es. vocales de la junta superior demandad por el diario de que porque Ibrahim no levante mano en la conscripción son menos sinceros sus este mismo día, de ó;den del Excmo. Sr. pre…</t>
  </si>
  <si>
    <t>Gómez, Joaquín Urbina y D Miguel Tomas</t>
  </si>
  <si>
    <t>Joaquín Urbina y D Miguel Tomas Gómez</t>
  </si>
  <si>
    <t>…irtud de las razones expuestas por el Sr. Gonxaler. (Don res por la provincia de Málaga de los Sres. D. Eduardo Galier y D. Rafael Juan Guaiberto), nombró en su lugar para la cccmsinn referida al Sr. mar de Rodas, en reemplazo de D. Joaquín Urbina y D. Miguel Tomas Gómez. ques de M.&lt;‘Ateta *, y en &lt;egu:da , í invitación del St. Presidente p cutió i turar Se mandó pasar á la comisión de Poderes. y tomó asiento el ¿&gt;r. D. Alvaro de Na*ia Ox&gt;rio. La' misma resolución recayó sobre un oficio de D. José Dionisio de Ha- Concluido este acto, tomo lj palabra y dijo - ro, ele…</t>
  </si>
  <si>
    <t>Gómez, José Codina y</t>
  </si>
  <si>
    <t>José Codina y Gómez</t>
  </si>
  <si>
    <t>…Real mano.= En Aranjuez á 18 de Marzo de 1834-=A1 Dios guarde &amp;c.= Madfíd 29 de Enero de l834-=Aranalde. =:Sres. directores! ¡Presidente del Consejo y Cámara de Castilla. de Rentas. 1 Accediendo á los deseos que me ha manifestado D. José Codina y Gómez, MINISTERIO DE MARINA. f subdelegado de Fomento de Castellón de ía Plana, de volver á la carrera de la Real-orden. ¡ magistratura, en la que ha^servido con integridad y zelo por espacio de 30 años, he venido en nombrarle para la plaza de oidor delaReal audiencia de Valencia, El capítan de fragata d…</t>
  </si>
  <si>
    <t>Gómez, José María</t>
  </si>
  <si>
    <t>José María Gómez</t>
  </si>
  <si>
    <t>…tro de infantería. anónimo de medias figuras, núm. 4ó. Paisages. Primer premio: á D. José Sánchez Baubet, por el castillo da T» ciudad de Como, patria de Alejando Volta, ha resuelto levantar un Meillan, cuadro núm. 43. Segundo: á D. José María Gómez, por la vista monumento en honra de aquel ilustre físico en la plaza Tosca, la que en lo de Thiers en Francia, núm 23. . Sucesivo se llamará plaza Volta. Se ha confiado su ejecución al escultor Pom- Hecha la distribución de los premios', el Sr. presidente dió las gracias en peyo Marchesi, uno de lo…</t>
  </si>
  <si>
    <t>Gómez, Juan</t>
  </si>
  <si>
    <t>Juan Gómez</t>
  </si>
  <si>
    <t>…dará parte detallado de esta gloriosa acción ,-no puniendo decirme la pérdida que ha sufrido su columna, pero si que tenía dos oficiales3 Según otro parte que en 9 del propio mes da el citado capitán general, heridos. el alférez D. Juan Gómez, del regimiento húsares da la Princesa, dirigiéndose «V. E- se sorprenderá sin duda que con un tercio de fuerza me bar* re el 8 hacia Pancorvo en observación de la facción de Cuevillas,con 12 hombre» suelto á atacar tres batallones rebeldes y óo caballos; pero contando con el ar de su regimiento y…</t>
  </si>
  <si>
    <t>Gómez, Juan de Dios</t>
  </si>
  <si>
    <t>Juan de Dios Gómez</t>
  </si>
  <si>
    <t>…Limpias, y hubieran acabado con ellos, á no ha del-. áJ-alde ordinario de primer voto O. Antonio María Lascanó de Palacios, ber aprovechado e6tos la oscuridad de la noche y las malezas del terreno para ta del regidor alférez Real D. Juan de Dios Gómez, la del Sr. comandante fugarse, dejando en poder de la columna de Santoña 21 prisioneros, 25 fusi del resguardo, la del Sr. intendente honorario D. José Arango, la del cura les y dos cajas de municiones. párroco D. Manuel Francisco García, la de O. Félix Pujadas, la de Ü. Luis Terminada esta expedi…</t>
  </si>
  <si>
    <t>Gómez, Manuel Antonio</t>
  </si>
  <si>
    <t>Manuel Antonio Gómez</t>
  </si>
  <si>
    <t>…s extrangeras que circulan en Rusia con diferentes valores, ha dado órden Por otro de igual fei ha se,jubila con las dos terceras partes de de que se admitan monedas semejantes para convertirlas en monedas rusas fuera su sueldo á D. Manuel Antonio Gómez , oidor de la audiencia de de San Petersburgo, en la oficina de contraste de Moscou, de modo que las Vaiiadolid. Y por otro de la propia fecha se jubila asimismo con el que tienen un valor de 100 rublos en oro 6 plata, vuelvan á circular con el mismo valor en moneda rusa de oro ó plata. Para las su…</t>
  </si>
  <si>
    <t>Gómez, Miguel</t>
  </si>
  <si>
    <t>Miguel Gómez</t>
  </si>
  <si>
    <t>…ientes de la misma clase beneficios? D. Antonio Andreu, graduado de teniente, que aunque herido de gravedad En España ni ha habido ¿rf/íV ni la habrá. Este nombre no puede aplicarse en una pierna no quiso retirarse de la arfiion; D. Miguel Gómez, D. Fernan á una situación, triste á la verdad, pues al cabo son españoles los que han mo do Gil y D. Alejo Basallo, que incorporados á la columna marchaban á Za vido una guerra impía a su patria; pero en la cual ni ha estado ni ha podido ragoza. Igual elogio hace el comandante de esta del subtenie…</t>
  </si>
  <si>
    <t>Gómez, Miguel Tomas</t>
  </si>
  <si>
    <t>Miguel Tomas Gómez</t>
  </si>
  <si>
    <t>…expuestas por el Sr. Gonxaler. (Don res por la provincia de Málaga de los Sres. D. Eduardo Galier y D. Rafael Juan Guaiberto), nombró en su lugar para la cccmsinn referida al Sr. mar de Rodas, en reemplazo de D. Joaquín Urbina y D. Miguel Tomas Gómez. ques de M.&lt;‘Ateta *, y en &lt;egu:da , í invitación del St. Presidente p cutió i turar Se mandó pasar á la comisión de Poderes. y tomó asiento el ¿&gt;r. D. Alvaro de Na*ia Ox&gt;rio. La' misma resolución recayó sobre un oficio de D. José Dionisio de Ha- Concluido este acto, tomo lj palabra y dijo - ro, ele…</t>
  </si>
  <si>
    <t>Gómez, Pedro</t>
  </si>
  <si>
    <t>Pedro Gómez</t>
  </si>
  <si>
    <t>…a en Madrid en 1* CkjtiHas. a,.. .*# Del l ai 9..... 7 4 libreríada ew la dede VianaBenavldes.Razóla, donde senallá el primer cuaderno a 6 rs. vn,, y en GranaArchcna.. ... --------Del-8 al Jl.... 4o 2 . 0 -------Por jubilación de D. Pedro Gómez-* médico dé ia vHia de Cinrruénifo en Nav a*ra, Blanca ... Del, 5 al 12.... o 98 9 yt de D. Bonifacio La vega, círtiftiQp dj? escuche de lto, mispia^M? háljan vacantes ambos Cueza! .... ...Dell 101 al 13.. .1 3 1(5 1 partidor, siendo la dotación dei priméfo 6500 rs. de yn. anuales, y Ja del segundo…</t>
  </si>
  <si>
    <t>Gómez, Ramón</t>
  </si>
  <si>
    <t>Ramón Gómez</t>
  </si>
  <si>
    <t>…nemigos en bas en muchas de particular bizarría.” el principio de la acción por el alférez del l.® de ligeros de caballería D. Juan Lo que tengo la honra de participar &amp;c. Dios &amp;c. Ochandiano 10 de Contreras, y los de igual clase D. Ramón Gómez , del mismo cuerpo, y Don Setiembre de 1834-=Excmo Sr.zzBuldoméro Espariero.enExcmo. Sr. Secreta Juan Gamez, del de húsares de la Princesa, quienes con 60 caballos de los dos do de Estado y del Despacho de Guerra. cuerpos se arrojaron en medio del pueblo, rompieron el cuadro que ios rebel des tenia…</t>
  </si>
  <si>
    <t>…oderarse de ellos , pero fue infructuosa su' resolución, por beres. Igualmente recomienda al capitán de caballería del 1.a ligero que al oir el cabecilla la voz de alto ahí, salió de la cocina, don D. Juan Antonio Ruiz, y alférez D. Ramón Gómez, y al ayu de estaba , y lé dió un mortal golpe en el vértice de la cabeza, que dante de campo del Excmo. Sr. capitán general D. Eduardo Pous, al poco tiempo murió. que hallándose á sus órdenes han desempeñado todas las comisio Confiado en la noticia que debia traer no se verificó la sorpre nes conf…</t>
  </si>
  <si>
    <t>Gómez, Sebastian</t>
  </si>
  <si>
    <t>Sebastian Gómez</t>
  </si>
  <si>
    <t>…admitió gustosa esta expresión de lealtad tan VALENCIA Y XURCIA. propia de verdaderos españoles, y ha manifestado de un modo eminentemente honorífico el señalado aprecio que le merecen el valor, la disciplina y la gloria Archena. D. Sebastian Gómez, interino, en Ocaña: 1.a temporada, desde de nuestras armas, su generosidad en recompensar la decisión por la justa causa 1.® de Abril i 23 de Junio: 2.a, desde 1.® de Setiembre á fin de Octubre. de su augusta Hija, y la consideración que le merecen las vivas recomendacio Busot. D. JoaquínRuíz de L…</t>
  </si>
  <si>
    <t>Gómez, Vicente Arias Oamon y D Gumersindo</t>
  </si>
  <si>
    <t>Vicente Arias Oamon y D Gumersindo Gómez</t>
  </si>
  <si>
    <t>…consecuencias; habiendo muerto del mis PROVINCIA DB SORIA. mo modo oira persona en Palacios de Valduerna, en donde se hizo la autopsia Con fecha 16 del presente manifiesta su gobernador civil, que en aquella, de aquel cadáver por D. Vicente Arias Oamon y D. Gumersindo Gómez capital se disfrutaba de buena salud; el estado de los demás pueblos invadidos Atinjo* ambos del colegio de Madrid, y bajo la presidencia de D. José Fer- en aquella provincia resulta del siguiente_________ ______ ______ rcr, médico del cabildo de Astorga; : *--------- ----------- ¡r - — Noto. En la…</t>
  </si>
  <si>
    <t>Gon, D Juan Gualbcrto</t>
  </si>
  <si>
    <t>D Juan Gualbcrto Gon</t>
  </si>
  <si>
    <t>…érdida si afortunadamente no apare Dios guarde á V. E. muchos años. Ceuta 14 de Diciembre de 1833.=Er- ciese al mismo tiempo para su alivio y consuelo el remado de la digna sucesoracclentísimo Srcrrjuan , .obispo de Ceuta.=Excmo. Sr. D. Juan Gualbcrto Gon do la ínclita Isabel, y el gobierno de V. M. tan distinguido desde los prime zález, Secretario dé Estado y del Despacho de Gracia y Justicia. ros momentos por su sabiduría y maternal solicitud en preparar la ventura de esta monarquía. ¡ * 'Exento. Sr.: He recibido el juego de las monedas acuñadas con mot…</t>
  </si>
  <si>
    <t>Gon, Fraoclsco Antonia</t>
  </si>
  <si>
    <t>Fraoclsco Antonia Gon</t>
  </si>
  <si>
    <t>…Real monasterio del Escorial, de drden y á expensas del Rey nuestro1 Señor D. Fernando vn, i la justa y digna memoria deí Rey Ruidera á las cuatro de la tarde de ayer por la columna de urba cristianismo Luis xvm, pronunció el Dr. D. Fraoclsco Antonia Gon nos de esta villa é infantería de la Princesa y cazadores de la guar zález. Un cuaderno en 4.0, edición de 1824, á 4 rs. en rústica. dia Real, y algunos granaderos de caballería de la misma, y urba nos de otros pueblos, que reunidos hace dos dias marchaban contra Los suscriptores á ia i.a clase del…</t>
  </si>
  <si>
    <t>Gon, José</t>
  </si>
  <si>
    <t>José Gon</t>
  </si>
  <si>
    <t>…íe á tierra En la fiel ciudad de Santiago, en 25 de Abril de 1834» « retiñieron en los.Sres. alcalde presidente, alférez Real , los dos comisarios, los reyes de ar la sala capitular los señores alcalde ordinario de segundo roto , D. José Gon mas, el escribano y las dos personas que conduzcan das monedas, r subido á zález Ferregur, presidente: regidores alférez Real D. Félix Quintero: fiel eje dicho tablado, romperá la voir-uno de los reyes de armas con la palabra de si cutor D. José Gabriel Almeyda, D. José María Lima, gentilhombre de…</t>
  </si>
  <si>
    <t>Gon, Juan Gualbcrto</t>
  </si>
  <si>
    <t>Juan Gualbcrto Gon</t>
  </si>
  <si>
    <t>…da si afortunadamente no apare Dios guarde á V. E. muchos años. Ceuta 14 de Diciembre de 1833.=Er- ciese al mismo tiempo para su alivio y consuelo el remado de la digna sucesoracclentísimo Srcrrjuan , .obispo de Ceuta.=Excmo. Sr. D. Juan Gualbcrto Gon do la ínclita Isabel, y el gobierno de V. M. tan distinguido desde los prime zález, Secretario dé Estado y del Despacho de Gracia y Justicia. ros momentos por su sabiduría y maternal solicitud en preparar la ventura de esta monarquía. ¡ * 'Exento. Sr.: He recibido el juego de las monedas acuñadas con mot…</t>
  </si>
  <si>
    <t>Gon, Justo José Banqueri y D Vicente</t>
  </si>
  <si>
    <t>Justo José Banqueri y D Vicente Gon</t>
  </si>
  <si>
    <t>…el con Reales decretos. A sejo Real de España é Indias , creado por mi Real decreto de 24 de Marzo último, vengo en nombrar á D. Jóse Canga Arguelles, He venido en jubilar á D. Juan Crisóstomo de Frias y á Don D. José de Heredia, D. Justo José Banqueri y D. Vicente Gon José María Cherif, oidores de la Real audiencia de Sevilla, con zález Arnao. Tendréislo entendido, y lo comunicareis á quien corel sueldo que les corresponda por clasificación. Tendréislo entendi responda.=Está rubricado de la Real mano, pr En Aranjuez i 7 de do, y lo comunicareis á quien correspon…</t>
  </si>
  <si>
    <t>Gon, Mariano Joscf</t>
  </si>
  <si>
    <t>Mariano Joscf Gon</t>
  </si>
  <si>
    <t>…ico,á multiplicaren que losse malesmauificstapque producelas principalesesta enfermecausas do aquél gefe permisos para la extracción del último con dirección á los puer dad, V los mejores medios para evitarlos ó disminuirlos. Por D. Mariano Joscf Gon tos de ía China. zález y Crespo: médico de 1a corte, y director pur S: M. de los Reales baños de Tri Para conocimiento del Gobierno remite un mapa del Archipiélago filipi llo. Se vende á 2 rs. en las referidas librerías. Puede ir en carta. no, y da cuenta de que en U isla de Mindanao se encuentran…</t>
  </si>
  <si>
    <t>GoneaUx</t>
  </si>
  <si>
    <t>…ino no puedo convenir en el todo, de Marzo .son criminales, que obraron Contra la yoluntad.del Monarca, y que tino con la limitación, que he propuesto.” no son acreedores á «tas consideraciones. Yo diré que ng solamente no son El Sr. GoneaUx. (O. Antonio): «Las ideas que acaba de manifestar el criminales, sino que han adquirido justos títulos de gloriará sil favor, y que la Sr. marques de Falces, los raciocinios que ha presentado á la consideración del Nación tiene la obligación de recompensar los peligros á que se expusieran en Estamen…</t>
  </si>
  <si>
    <t>Gonernadora</t>
  </si>
  <si>
    <t>…o» GACETA DE MADRID. ARTICULO DE OFICIO. de este piadoso establecimiento, y próximo á un paseo público bas tante concurrido-, especialmente en tiempo de invierno; S. M. la S. M. la Reina nuestra Señora y~su augusta Madre ía Reina Reina Gonernadora se ha servido mandar quede al&gt;olida para siem Gobernadora, como la Señora Infanta Doña María Luisa, continúan pre la costumbre de enterrar á los difuntos procedentes de dichos sin novedad en su importante salud en el Real Sitio de San Il hospitales generales en el expresado cementerio particular, v…</t>
  </si>
  <si>
    <t>Gonernadora, Reina</t>
  </si>
  <si>
    <t>Reina Gonernadora</t>
  </si>
  <si>
    <t>…»00 loo» GACETA DE MADRID. ARTICULO DE OFICIO. de este piadoso establecimiento, y próximo á un paseo público bas tante concurrido-, especialmente en tiempo de invierno; S. M. la S. M. la Reina nuestra Señora y~su augusta Madre ía Reina Reina Gonernadora se ha servido mandar quede al&gt;olida para siem Gobernadora, como la Señora Infanta Doña María Luisa, continúan pre la costumbre de enterrar á los difuntos procedentes de dichos sin novedad en su importante salud en el Real Sitio de San Il hospitales generales en el expresado cementerio particular, v…</t>
  </si>
  <si>
    <t>Goñí</t>
  </si>
  <si>
    <t>…establee i miento*, de beneficencia: v Al bajar la cuesta de Lizarraga una descubierta cfiy&lt;’&gt; sobre Tonauro con tin con respecto á la casa de expósitos reclama la protección del gobierno , pues no Luena oportunidad, que mató al comandante Goñí, á un capitán jj i doq cape— ■3 baftptvpira cubur sus necesidades las limosnas recogidas por »a asociación de</t>
  </si>
  <si>
    <t>Goñi, D Sebastian</t>
  </si>
  <si>
    <t>D Sebastian Goñi</t>
  </si>
  <si>
    <t>…vos miembros del gabinete pertenecen , según el testimonio de la prensa in nición de di;ho Vcrgara y 40 celadores de la misma villa, mandados por el glesa , á„aquella opiníon liberal cuerdamente progresiva, que se halla en una in capitán D. Sebastian Goñi, y subteniente D. Juan Ignacio de Artola. mensa* mayoría en el Reino Unido, asi como de esta parte del estrecho: habrá *&gt;El rebelde y cabecilla Guibelalde, que tal vc2 temiendo el movimiento puts mas homogeneidad en las opiniones del consejo, y no se correrá á cada la brigada, reunió igualmente en…</t>
  </si>
  <si>
    <t>Goñi, Sebastian</t>
  </si>
  <si>
    <t>Sebastian Goñi</t>
  </si>
  <si>
    <t>…bros del gabinete pertenecen , según el testimonio de la prensa in nición de di;ho Vcrgara y 40 celadores de la misma villa, mandados por el glesa , á„aquella opiníon liberal cuerdamente progresiva, que se halla en una in capitán D. Sebastian Goñi, y subteniente D. Juan Ignacio de Artola. mensa* mayoría en el Reino Unido, asi como de esta parte del estrecho: habrá *&gt;El rebelde y cabecilla Guibelalde, que tal vc2 temiendo el movimiento puts mas homogeneidad en las opiniones del consejo, y no se correrá á cada la brigada, reunió igualmente en…</t>
  </si>
  <si>
    <t>…estar á V. S., que llegando á las cuatro de la ma mi concepto particular y especial recomendación el capitán que mandaba Jos drugada é informado de Ja justicia de que los Cdc¿to:Oí se hallaban en Alcaine, ¿JO celadores de Vergara D. Sebastian Goñi, y el subteniente herido D- Juan •y teniendo que andar cuatro horas por escarpadas montañas para llegar i esto Ignacio Arrola. Todo lo que elevo al superior conocimiento de V. E. cu cum- pueblo, hice montar la mayor parte de la tropa en muías que me facilitó dichz i piimiento de mi deber. Dios &amp;c.”…</t>
  </si>
  <si>
    <t>Gonjínúa</t>
  </si>
  <si>
    <t>…rúbricas,- salmos y detñaSsegún el misal y breviario romanos.,.? cob algunas^notas para acta-: rar él sentido de.calguoos pasages que, ei traducror ba.crpldp&gt;no .eslan.al alcance de. Jupia superior de Sanidad de Andalucías:Excmo. Sr. : Gonjínúa disfnir todos: lleva al fin et Ordinario dé lá misa también en castellano, y oraciooes para) dése de la mas completa salud en todos los. pueblos de este distrito. antes de la cbéféSlon y sagrada'comuoion. un tomb étf ld.° dé marca mayor, ador . „■ ¡Lo ¿Sé, «nanifiéstq.á.y. Tv para que ie' sirva ele…</t>
  </si>
  <si>
    <t>Gontalez</t>
  </si>
  <si>
    <t>…epetir lo hecho de hacerlos á nadie; solo si he manifestado las razones que yo. tenia para usar en otras legislaturas anteriores, que con gloria suya.no tuvieron la menor dis tales ejemplos.” — cusión sobre este punto. ' ■ - J El Sr. Gontalez (D. Antonio)'. «Tengo que rectificar dos equivocacio «Se dice por el Sr. Secretario de Estado que es indispensable al prestigio nes- La . una es que cuando'hablé de las rentas y asignaciones respecto de In que debe tener la cDtona en las monarquías constitucionales ese fausto, ese de glaterra, Fran…</t>
  </si>
  <si>
    <t>Gontalrz</t>
  </si>
  <si>
    <t>…-loa | esto seria poco decoroso pira-las Córtes y el Gobierno: par* este porque se le individuos del Gobierno capaces 4®. emplearlas.” l/-&gt;‘ . --v i supondría capaz de emplear intrigas , amaños y asechanza* á fin de influir en El Sr. Gontalrz: «Debo rect'fiear la rquivocacion dél Sr.ipraof^napte. núesIras votaciones, y paré aquellas porque se supondría que los Procuradores Yo ño ¡ncu'póá ios individuos actuales del Gobierno' nj »1 EstaninitOcrEstoy se dejarían seducir por esta* mismas arterias. Yo creo que no debemos hacer seguro de qué…</t>
  </si>
  <si>
    <t>Gonxaler</t>
  </si>
  <si>
    <t>…mprome Igualmente se dió cuenta de otro oficio del Sr. Secretario del 'Despacho tido que me hallo.'* de lo Interior, á que acompañaba el acta de la elección hecha para Procurado La mesa , en virtud de las razones expuestas por el Sr. Gonxaler. (Don res por la provincia de Málaga de los Sres. D. Eduardo Galier y D. Rafael Juan Guaiberto), nombró en su lugar para la cccmsinn referida al Sr. mar de Rodas, en reemplazo de D. Joaquín Urbina y D. Miguel Tomas Gómez. ques de M.&lt;‘Ateta *, y en &lt;egu:da , í invitación del St. Presidente p cutió i…</t>
  </si>
  <si>
    <t>Gonzá</t>
  </si>
  <si>
    <t>…nizar los perjuicios que cause 40® ra-&gt; «una solo la catedral de Santiago tres millones. se puedan seguir á los canónigos, tanto de Santiago como dé las otras iglesias «Yo bien sé hasta qué punto tienen fuerza ias reflexiones del Sr. Gonzá de que hace mención el artículo que se discute; y me parece por tanto que es lez , peño esto no es del momento'; cohecho cierto es , que la caja de Amorti tos deben tenef confianza en el mismo Gobierno, pues que ya les.Ha manifes zación, á quien están consignados estos derechos, va á dejar.de percibí…</t>
  </si>
  <si>
    <t>…ipio ha señoras que habían pedido la palabra , preguntó el Sr. conde de Toreno qué existido siempre en las antiguas Córtes españolas,que ha echado raices jan pro redtccion se daba definitivamente al artículo: á lo que contestó ei Sr. Gonzá fundas, que aun en nuestros dias se ha conservado esa sombra ó simulacro en lez que esta: "todos los españoles tienen igual obligación de pagar las contri el impuesto ó contribución de millones. Hasta los términos en que se baila buciones libremente votadas por las Córtes concebida esa escritura, a…</t>
  </si>
  <si>
    <t>González</t>
  </si>
  <si>
    <t>…ucho tiempo en dar su fallo. Se nos ha he Zamora, Orense, marques de Espinardo , marques de Falces, Ulloa, Butrón, cho presente que aprobándose el artículo tal como se presenta, resultará un dé Villanueva, Ochoa, Lasanta, Trucha, Caballero, González (D. Antonio), ficit que tendrán que cubrir los.pueblos: se ha dicho también que la renta ecle Sonioza, Marin, Fuster, Calderón de la Barca, Cuevas, Subercase , Torráis y siástica es muy superior á las demás del Estado. Esta idea tiene algo de cierto Miralda, marques de Torremejía, Polo y Monge, Tos…</t>
  </si>
  <si>
    <t>…decreto del afio ¡pasado, estableciendo que pueda uno reciTi Sr. Palaréa pidió que se leyese dentículo 14 del Estatuto Real, lo b'rse de abogado, pero no actuar hasta lo» 25 años. Si se rec.b.ó en el colesio cual verificó el Sr. Secretario (González.: . .. de la Corona á este, cabal ¡ero para actuar como abogado en el año 28, desde El mismo Sr. Palarisa reclamó en seguida que se .leyera la fei de bautismo este al de 34 • van 6 ■■ de consiguiente tiene 31 años; Es , pue&gt;, un documento del Sr. Calderón, á lo qué contestó el individua de lá comisi…</t>
  </si>
  <si>
    <t>…a es la discusión sobre la petición acerca perecer ó restaurarse. En resolución, se puede decir que la Inglaterra tiene li de derechos políticos bertad y goza plenamente de todos los derechos sociales desde el año de 1688, El Sr. Secretario González leyó la petición (Véase en el suplemento de la en cuya época se dió el memorable bilí citado antes. Gaceta del 29 de Agosto último1) y los dictámenes de las comisiones del Có «Esta reseña histórica la he hecho con el objeto de hacer ver que no digo criminal, Milicia urbana é Interior sobre la misma…</t>
  </si>
  <si>
    <t>…, Ciscar, Órense, V'wavs?*-"iííai^joea»-.:' .’ ■ -■ " Torremejía, Ulloa, Butrón, Fusier, Cuevas., (inattjues de Sometiielos, Lar .. ,,)£/ ¿r, JPrttfdente: «Se suspende esta discusión para continuarla mañana santa, Belda , Trueba, Caballero., González (D, Antonio), y Sr. presidentf. 4 la? diez de ella; pero para conocimiento delEstamento se idará dienta de linos ¿os que dijeron que no Babia lugar á proceder á ia votación fueron:. jpodfres de un Sr, Procurador que acabado llegar-.dy ganar tiempo patá su Fleix, Serrano, {González (D. Juan Gualteri…</t>
  </si>
  <si>
    <t>…arán ínteres; se proveerá ul creía que toda la deuda activa que se hubiese de reconocer, se debería mandar teriormente á su amortización y reembolso. presentar en el mes de Enero, Febrero ó Marzo, dando un término señalado El Sr. Secretario González observó que en este artículo se notaba la equi luego que se principiase á pagar. vocación de imprenta de decirse en su primera parte art. 1.® debiendo decir El Sr. marques de Montévírgen: » Antes de aprobarse el art. 1.” del pro art. 3.° yecto de ley fui de opinión que debería darse preferencia á u…</t>
  </si>
  <si>
    <t>…al órde». taba en disposion de admitir aquellas mejoras que han adoptado otras naciones Quedando este debate en tal estado, se presentó para sustituir al artículo mas atrasadas que la nuestra. votado la siguiente proposición del Sr. González (D. Antonio) suscrita por va El Sr. hopee.-. Como el reglamento no me permite hablar otra vez á fa rios Sres. Procuradores: «Las leyes protegen y aseguran la libertad -individual” vor del artículo, me limitaré á deshacer algunas equivocaciones que ha padeci Habiéndose preguntado si se tomaría en co…</t>
  </si>
  <si>
    <t>…n FérnaíSdei de Navarrete, Patriarcado las' Inid las, D. Mihuel Gar iBhanPpcrdido ó ¿o, eso doctores tiene la Sta. madre Iglesia como, suele de- cía Herreros ', ÍX Pomas GohzalezCatv-ijaT (quejo hizo-de ofidio por ¿Star enfermo), conde González dé Cástcjon , obispo IX 'Pedro Üonzalez'V al le jo,■¿itse?’‘i- , a El jr. CanoManuel: «Estoy completamente satisfecho , y convengo en duque de Gor, marques de Guadalcazar , conde de Guaqui, duque de Hijar, ■qntt la-discusión ha'-ácláraldo este punto importante manifestando á la nación conde de Huma…</t>
  </si>
  <si>
    <t>…nformidad con el dictámcn de la comisión de cxámen de títulos y Estamentos acerca del proyecto de ley relativo á la deuda extrangera. documentos, se acordó la admisión definitiva del Excmo. Sr. D. Manuel Llau- \ En seguida el Sr. Secretario González subió á la tribuna y leyó las actas der, marques dd Valle de Rjvas, mediante á haber bailado conforme su nom dé las dos sesiones de dicha comisión. (Véase la sesión deTróceres de hoy.) bramiento de Procer. Concluida esta lectura tomó la palabra, como individuo de la comisión,y dijo Igualmente se ap…</t>
  </si>
  <si>
    <t>…respecto a 1c» Después de una ligera discusión en que varios Síes. Procuradores habla rucesos desgraciados de los días \ 7 y 18. Yo creo que esta cláusula debiera ha* ron en pro y en contra , se aprobó la proposición hecha por el Sr. González berse omitido, y que hubiera sido mejor manifestar la parte que el Estamento, Alonso concebida en estos términos : «quede sobre la mesa para discutirlo en toma en sus sentimientos. otra sesión.” »»En el pátrafo 4 ° habla la comisión de las medidas que parece deben Se d ó cuenta de haber presentado…</t>
  </si>
  <si>
    <t>…andamio, tino de proporcionarlo á la obra para consiniirla , poniéndole mas go inconveniente en admitir la ideo del Sr. Domecq, antes ia adopto.” alto ó mas bajo, y quitándole los barrotes ó estorbos que pueda presentar ¿ ios El Sr. González, (/&gt;. Antonio'): «Cuando se anunció esta discusión es operarios. Por ésto, pues, estoy enteramente conforme con la idea de ios se taba muy lejos de esperar se opu»ie&amp;as los individuos del Estamento, ni mucho ñores peticionarios; pero no lo estoy en los términos con que la expresan. menos el Gobiern…</t>
  </si>
  <si>
    <t>…pet £&gt;espacho&gt;b* &lt; ' Se suscitó Uda^ligera d*8W*ion sobre si era d o©-admisible tuia- propon— dicbonqraé el efcsebfrénodb esta libemid' perjudicaba, no sáiainénte áda-í?rin- ció del Sr.Florez Estrada, í laque también suscribió el Sr. González (D. An da * atofe á-todg ila-jsiitope; ' no negarét-por ufa momento quería libertad dedm**- tonio), reducirte í rqué seria de) desear que la Hbeftád dé imprenta ió tetablezca prenta haya producido algunos males, pero esos que tasto pohdera dSr* 8e-S entre nosoitos «**nta de ¡tr¿stdy)en breve tSetnp…</t>
  </si>
  <si>
    <t>…e , como redacción de la segunda parte del párrafo 10 del discurso de contestación al no lo tendrá jamas, en dar todas las noticias, todas las contestaciones que exi .tronó: se aprobó toda el acta con la modificación hecha por el Sr. González jan los Sres. Procuradores á Córte»; porque al mi.mo tiempo que en ello da Alonso, que es como sigue: «habiéndose puesto á votación fue desaprobada la mayor prueba de su franqueza y sinceridad, lo mira como el cumplimien esta parle del párrafo, y á propuesta de algunos Sres. Procuradores se mandó t…</t>
  </si>
  <si>
    <t>…vos, en que se minan los ci~*. La parte segunda : «El oportuno establecimiento del jurado , salvaguardia mientos del Estatuto Reai , y se atacan por consiguiente las leyes funda de la inocencia” fue votada, y al pronunciar el Sr. Secretario González que mentales de la Nación; aquellas leyes á que debió su prosperidad y gloria en estaba desaprobada porque nadie se levantaba, pidió el Sr. conde de las Navas tiempos mas felices. fuese la votación nominal. Este incidente produjo algunas contestaciones, que «Considere pues, el Estamento, el daño qu…</t>
  </si>
  <si>
    <t>…ivos , en que se minan los ci-» La parte segunda : «El oportuno establecimiento del jurado , salvaguardia miemos del Estatuto RjsAtfy*se atacan por consiguiente las leyes funda de la inocencia” fue votada, y al pronunciar el Sr. -Secretario González que mentales de la Nación; aquellas leyes á que debió su prosperidad y gloria en estaba desaprobada porque nadie se levantaba, pidió el Sr. conde de las Navas tiempos mas felices. fuese la votación nominal. Este incidente produjo algunas contestaciones, que «Considere pues, el Estamento, el daño qu…</t>
  </si>
  <si>
    <t>…t. 3.° de la petición. Tenia pedida la palabra en pro el se-^ Art. 7.° La ley de las monedas de oro será de veinte y un quilates ó vein fior Gonzalezte y una partes de oro fino yUres de liga. Los doblones de ocho serán á la ta El Sr. González: «Voy á considerar, scñore&lt;, el art. 3° de la peti lla de ocho y medio al marco, y por consiguiente deberá pesar cada uno qui ción como derecho y como garantía, haciéndome r*e-pue» cargo de Ja opor nientos cuarenta y dos gnnos y dos diez y siete avor, los doblones de á cuatio, tunidad pare c^ablece…</t>
  </si>
  <si>
    <t>…el reinado de la» luces, el pirtidQ de la ilus nen para desenvolver sua ideas; y que por todo ló dicho me opongo al artícu tración. ! : lo que se discute.* . «Por consiguiente yo creo que nunca es mas oportuno establecer esto* El Sr. González deshizo uña equivocación, diciendo que según lo expues principios y ponerlo* én práctica que cu al d¡a# en que hace falta la coopera-</t>
  </si>
  <si>
    <t>…como relativas la obligación y el derecho, e! deber gas, conducían i probar su objeto; y continuó diciendo: J la garantía. Prosigo adelante. ■Para que mis expresiones no puedan ofender á determinadas personas, ni «Ha dicho el Sr. Secretario'González que esta garantía de seguridad in se crea que mí objeto es otro que exponer la verdad como yo la entiendo, voy dividual está consignada en nuestras antiguas le jes. No lo dudo. Hay peticio i hacer mi profesión de fe política, sencilla, clara , verdadera , y digo asi: que nes de varias Cortes, en la…</t>
  </si>
  <si>
    <t>…rabajo que acabo de tener el honor de leer nes, ¿se darían por nulos, lo» pagos que le hub!¿en hecho los contribuyentes? al Estamento.* ‘ 5 ‘ / De ninguna manera. Podrá también decirse, aunque no tengo presente si hizo -:&gt; TiISr. Secretario González (D. Antonio) leyó, la lista de los señores también valer este argumento el Sr. preopinante , que reconociendo este em qué ’tetaUh la palabra en pro y en contra, siendo los primeros los Sres. Ferrcr, préstito, se autoriza al Pretendiente para que contraiga otros; pero obsérvele la Trúéba y Goniytlc*…</t>
  </si>
  <si>
    <t>…lecciones en la senta D. Fernando Miranda y OJmedilla, Procurador por la provincia de forma que se han hecho y se desestimen las reclamaciones de jos individuos del Lugo. ' citado* ayuntamiento. Asi lo acordó e! Estamento. El Sr« Secretario González manifestó que D. JoséM^ría Sanz, nombrado Entraron á jurar y tomar asiento los Sres. Morales, Montenegro, y Ro por el Gobierno escribiente segundo de la clase.de segundos, había hecho re dríguez de Vera. nuncia de este destino fundándose en que los servicios que prestó en la épo Se procedió k la le…</t>
  </si>
  <si>
    <t>…puede hacer un documen A petición del Sr. Palarea se leyó el art. 14 del tít. 3.° del Estatuto to que acredite haber adquirido esta renta , aun cuando no se poseyese al tiem Real. po de la elección , ya está barrenada ia ley. El'Sr. González ( D. Antonio') «Siento mucho no estar de acuerdo con «Siento que esta circunstancia me haya obligado á tomar la palabra; 7 el dictámen de la mayoría de la comisión; mas no me es posible, porque creo tolo lo he hecho en defensa del Gobierno, para probar quía lejos de haber la que está fundado en pri…</t>
  </si>
  <si>
    <t>…e exprésen principios, que’ dependientes del resguardo podrán* éntrar en la casa en que haya contrabando? ti endo mera mente axiomas, tienen luego aplicaciones falsas. ¿No existe el'fuePorque rio nos engañemos: lo que ha dicho el Sr. González no es cierto; Se ro militar! lluego no es cierto , Señor , que la ley sea común á todos, cuando entra en la casa de los ciudadanos cuando tienen culpa, cieno: pero y cuantié tantas excepciones s ’* "" L lo. indicios no sean tales que esten probados,- ¿la policía, por ejemplo, po que no ha de api' d…</t>
  </si>
  <si>
    <t>…En cuanto á ia segu nda ello: si se pretende que se señale dia para tal discusión á fin de que los Secrc- _ parte del arlículo creo que está de mas.” tarios del Despacho vengan al Estamento á tratar en él materias de Gobierno, El Sr. González (D. Antonio): «Ha dicho el Sr. marques de Falces no puedo Consentirlo. En el caso de que se necesite saber el número de tro que en vez de-gastar tiempo en discusiones poco importantes , seria mejor pas, los medios que se han empleado y demas , ~sr et~ ministro de la Guerra que el Estamento se ocupa…</t>
  </si>
  <si>
    <t>…e artículo conforme á mis observaciones, si como creo parecen dose dice «empleos civiles y militares,” se añadiesen también estoy asi co- ( justas.” , mo lós de migistrattlre,-tfe'instrucción pública; y creo que del mismo modo El Sr. González deshizo alguhss equivocaciones en que dijo habia incur los'dcstinos eclesiásticos, porque lió todos se proveen por oposición , deberían, rido el Sr. preopinante; y habiéndole interrumpido este, el Sr. Presidente incluirá.- en el ai itculo. Pero coa respecto i la restricción que condene , y pa mandó…</t>
  </si>
  <si>
    <t>…caprichos de los mandatarios. ■cerca de las diferentes redacciones del articulo, presentadas por algunos seño «Con todo, como nunca insistiré en atenerlos simples: términos, siem res Procuradores , quedando al fin admitida la del Sr. González (D. Antonio), pre que las ideas te conserven , no me negaré á qpe se rectifique el artículo concebida en estos términos: ’ ■ ' quitando la redundancia que puqda haber en él, y dejándole reducido i lo si i » Los españoles son igualmente admisibles i todos los empleos del Estado; guiente: «Todos los…</t>
  </si>
  <si>
    <t>…uerdo y votase las contribuciones cipio clásico no puede ser atropellado por el Gobierno sin serlo Us bases fun ¿ pesar de la oposición de una minoría amante de su pais, siendo con arregio damentales. Se ha citado un hecho por el Sr. González, hecho tristísimo, á la forma establecida por la ley, no podria aplicarse et caso que se quiere se cual fue el que tuvo lugar en las revueltas del siglo xvi, cuya reparación ha ñalar con la palabra en cuestión. «Quién habia de ser el juez ? ¿Quién habia de costado tres siglos de desgracias; pero es…</t>
  </si>
  <si>
    <t>…creto: lo decir, señores, que hasta la línea que puede llegar el ministerio , sin faltar £ las cual nunca Jo pedirían los Secretarios del Despacho.” reglas del decoro, ha llegado; pero esa línea no la pasará. El Gobierno puede El Sr. González (D. Antonio): «Como uno de los peticionarios, no fjecir que desea entrar en esta cuestión , para resolverla de una vez, de: un mo tendría dificultad en convenir con las opiniones del Sr. Martínez de la Rosa si do imparcial y equitativo; puede decirlo esto á la faz de la Nación, y en el viese que se…</t>
  </si>
  <si>
    <t>…eron también están discordes, y no basta que intente uno la conciliación y ceda; es preciso los artículos 132 y 133 , asi como el 94. del reglamento. que cedan ambos. Es claro que cediendo uno se facilita la accesión del otro; El Sr. González (D. Antonio)-. »Para rectificar un hecho me haré cargo , pero no siempre basta esto para conseguir el resultado. de la petición (la leyó). Según hah manifestado los Sres, Secretarios del Des ’&gt;El primer objeto de la petición, que era intentar la reconciliación , abrir pacho, el Gobierno ha tomado y…</t>
  </si>
  <si>
    <t>…chos modos de atacar la libertad individual, mientos. Ella ve 7 sufre los desaíra que se la hacen; la* excesivas precaucio la seguridad 7 el honor.” na que t* toman pare que no se rama, 7 en «mschas partes la resistencia abier El Sr. González.: » La observación que acaba «le hacer el Sr. Vega 7 Rio ta que se opone á su organización 7 aumento: ella ve ocupar empico* impér (obre el artículo presentado no puede tener fuerza ninguna ,7a impractica tanla í personas que han servido en la época del gobierno pasado, que han ble que sea comprendi…</t>
  </si>
  <si>
    <t>/ SUPLEMENTO ¡3 DE «a ' DEL JUEVES 11 DE DICIEMBRE DE I8S4. CORTES. El Sr. González (X). Antonio ): *&gt; Celebro itrbcho* haber tenido la satis facción de oir al Sr. Ministro de Gracia y Justicia las razones en que se funda XITAK1NTO Pt SBSORBS PROCURADORES. el art. l.°; pero por mas que sea satisfactorio oír las reflexiones de erudición que ha presentado al Estamento, todavía estas…</t>
  </si>
  <si>
    <t>…omo he dicho antes, en que- np&gt; se.restablezca la ’ ción. d¿la parte,que corresponda á cada uno; sino de sentar el principio de ley de Partida.” ' „ que cuando finó muere sin dejar personas capaces de sucedería, entra el Estay El Sr. González (Z). Antonio): «Cuando ha dicho el Sr. Secretario de do: de consiguiente, si ha de set en el todo o parte de la herencia la sucesión Gracia y Justicia que no será un objeto de industria el hacer excavaciones, creo de aquellos, es cuestión de los interesados, no dé la ley. Esta es ,1a primera ob que…</t>
  </si>
  <si>
    <t>…ad conyugal, han concedido á los cónyuges de Se leyó el artículo 3.° del proyecto del Gobierno, y después de algunas rechos preciosos que les estimulan í promover el aumento de los intereses de ligeras observaciones hechas por el Sr. González (D. Antonio), á que satisfiy la familia , y les recompensan su conducta virtuosa. El derecho de la mitad zo e[ Sr. Secretario del Despacho de Gracia y Justicia quedó aprobado en estos de los gananciales, ese derecho desconocido en la legislación romana, introdu términos: cido por el Fuero Juzgo, ad…</t>
  </si>
  <si>
    <t>…nquietados, éá la ppsesiopi hasta set veqcidosen vándoles ett* derecho en ej ¡término citado, pesadl e! cual sin -presentarse í ' juicio.” ; acreditar la legitima pertencae»-.4*4ót--b¡ct&gt;esvquedábiadclEstado. Leído el art. 5.® el Sr..González (D. Antonio) observó que m qn el ar El Sr. Istúriz repuso que en exacto lo expuesto por el Sr. Secrctario del , tículo S.°, ni en .ninguno del prpyecto.de ley, como ni tampoco en el dictá- . Despacho; pero que uq buque que naufraga no debe considerarse desamparado men de la comisión, veia te pusies…</t>
  </si>
  <si>
    <t>…haber que Jes corresponda, según clasificación.” poseedor, por ejemplo, á quien se había despojado i virtud de la doctrina ad Se leyó el art. 22, ^ mitida éñ el tribunal privativo de mostrencos, estará autorizado en virtud de Mi Sr. González {D. Antonio): «Para presentar algunas observaciones esta ley para reclamar el reintegro en la posesión. En el progreso del juicio se acerca del artículo, me haré cargo de varios casos particulares que pueden tratara por parte suya de acreditar si son ó no bastantes los títulos, según el ocurrir al…</t>
  </si>
  <si>
    <t>…ictámen»de la comisión, seria mas oportuna. ! Villachica, electo Procurador por la provincia de Zamora , con los documen El Sr. marques de Espinardo: «La comisión coincide con las ideas del tos justificativos de su aptitud legal. Sr. González, y no dió su dictámen conforme á las mismas, porque creyó El Sr. Presidente anunció que el asunto señalado para hoy era la discu que debía atenerse á lo propuesto en el proyecto del Gobierno- Asi que , no sión por artículos del proyecto de ley para la organización de la Milicia ur debe pasar á la c…</t>
  </si>
  <si>
    <t>…ero no he visto en‘ella quese pres principios»y á la franqueza que sirve de norté-á su conducta , si Ttó cHéTa gran te el juramenro referido; y aunque se prestase se podría mirar como redundante. de importancia á las palabras. El'Sr. González ha dicho que el Gobiernó tie Ademas, ya que el autor de la adición ha tomado por base el ¿rt. l.°de la ley ne mas datos para Conocer las verdaderas ideas de los pueblos, y se halla en la francesa , no sé por qué la ba variado, cuando esta y aquella tienen el mismo obligación de atender á ellas; y y…</t>
  </si>
  <si>
    <t>…ceder á la de - del ejército, hay ana muy poderosa ; y es la de que quiere presentar, en la des la referida adición. graciada lucha que aflige á varías provincias, una desigualdad tan palpable de Antes de preguntarse manifestó el Sr. González que se convenía en su fuerzas, que afiance dentro y fuera del reino el convencimiento de qué es se primir la palabra constitucional, que en eHa se usaba* guro el triunfó del Trono y de la patria; quiere qué se vea de un lado..á una Preguntado si en estos términos se habla de proceder á vota/ la adi…</t>
  </si>
  <si>
    <t>…a saber.1 que sería necesario votar un presu lo que prometió cuando fue admitido en el Estamento. puesto supletorio para que las contribuciones no empezaran á exigirse sin perf La mesa dió cuenta de que en consideración á que el Sr. González ( Don miso de las Córtes desde l.d de Enero de 1835. Antonio) pertenece i la comisión de lo Interior y á la secretaría , habia tenido »»Lás propuestas por el Gobierno son de tal naturaleza que no pueden i bien separarle de la del Código de procedimientos criminales, nombrando en principiar á cobrar…</t>
  </si>
  <si>
    <t>…del día 11, pero que se esforzaría pira aquel en el Estamento. Este se^ conformó con el dictamen de la comisión. asistir ¿ Jas de la discusión. - ' Tambíen se conformó con otro parecer de la misma, en que decia que El Excmo. Sr. conde González contestaba que desde l.° de «te mes es 1 examinados los documentos presentados por el Excmo. Sr. D. José de Cafran- taba padeciendo Ja enfermedad reinante de que aun está convaleciendo. 1 fcayitoa.hallaba arreglados; por lo que debían ser aprobados y admitido por El Excmo. Sr. D. Tomás González Car…</t>
  </si>
  <si>
    <t>…imados de los mis los benéficos' deseos de V. M,, que haciendo la prosperidad de sus pueblos, lle mos sentimientos que los Sres. Procuradores en beneficio de la Nación.” vará hasta la inmortalidad su augusto y glorioso nombre: El Sr. González (D. Antonio')-. ” En-virtud de lo expuesto por el Señor ‘ «Pide á "V. M. el Estamento de Procuradores del Reino se digne acoger Secretario de Estado no tengo inconveniente por'mi parte , como peticionario, benignamente ésta reverente petición, declarando ¿n su virtud suprimida des en qne sé suspend…</t>
  </si>
  <si>
    <t>…do no tienen la seguridad que da vestir el un*forme y da» mandándose expresar en ella que el Sr. conde de las Navas adhirió á la llevar una escarapela que los iguale á los afectos al Gobierno* representativo* adición hecha por el Sr. González (D. Antonio) al art. l.° del proyecto de ¿qué seria entonces! ley sobre Milicia urbana; pero no conforme la redactó la segunda vez su autor, »&gt;Se dice, Señores, que estamos en tiempo de olvidar rencores pasados; suprimiendo la palabra constitucional. que es necesaria la conciliación, y hasta olvida…</t>
  </si>
  <si>
    <t>• gasto cu las monarquías, son espaciosos ha»* ■ El Sr. González {¡D* Antonio): «Haré muy breves observaciones por ••'r t|JpfértO‘pi^nÍOfKo háy duda en qóe nd. puede gastar un Monarca como un no alargar demasiado la discusión, contentándome con rebatir al paso varios parficúlary y] e! esplendor que exige es de esencia. Esie esplendor no es solo - argumentos. Se…</t>
  </si>
  <si>
    <t>…exi del deseo que tiene el Gobierno de satisfacerles, sin faltar á los deberes que ge una materia de su importaúcíá.? ^ ' . v impone el Estatuto y el Reglamento. El Gobierno fio reconoce las propo Entró á^juTar y tomó asiento, el Sr. González , electo Procurador por la siciones, y siempre dará una contestación cuando se le pida en la1 forma pres provincia de Huelva. crita en la ley fundamental. Esta la sostendrá siempre hasta el último extremo, Sr. conde de las Pravas: «El asunto de que acaba de tratar el Sr. López persuadiéndose al mis…</t>
  </si>
  <si>
    <t>…ña: que hubo Milicia nacional en tiempo de BftTAHgKTO DE SEÍJORES PROCURADORAS. la Constitución; y que tan pronto como ahora se abrió el alistamiento p*ra ¡a Milicia urbana, corrieron á alistarseSesión del dia 14 de Noviembre. El Sr. González (D. Antonio) contestó que y* había dicho también en su discurso que los que se alistaban en tales poblaciones mostraban la mayor de Se abrió á las once y cuarto. cisión , y daban ia mejor prueba de su adhesión á las instituciones, que nos ri Leída ei acta de ia anterior quedó aprobada. gen , pues t…</t>
  </si>
  <si>
    <t>…o menos, aunque con dolor, de dar franc3 y terminante pone al documento que le da., la aptitud legal. mente su parecer en los términos en que lo ha hecho." «He pedido al Sr. Presidente se leyese íntegro, para hacer ver que los El Sr. González (D. Antonio'): «No quiero detenerme en hacer una primeros propietarios de Asturias le hacen la obligación, no solo en común, relación de los méritos V virtudes que distinguen al Sr. D. Agustín Arguelles, sino cada uno m solidum, de los 128 rs. anuales que exigen el Estatuto, porque no es este el lu…</t>
  </si>
  <si>
    <t>…te malamente calumniadas; pero que nunca desmintieron sus sentimientos de leal ner, sino por los productos industriales, agrícolas y mercantiles. tad , su entusiasmo á favor del Monarca, ei deseo de rcrlc colocado en el tro »&gt;E1 Sr. González citó un ejemplo, al tratar de reducir la asignación de no de sus mayores. Repito que S. S. ha pagado un tributo de justicia á los que la Rí.ima de España, diciendo que á la de Portugal se la consideralwn 10 mi-1 tuviesen la desgracia ó la dicha de pertenecer á aquellas Cortes. Ellas fijaroo en llon…</t>
  </si>
  <si>
    <t>…nisterio buscó estas personasen todas las «Al ocuparse el Estamento de la suerte de los empleados de la época clases, recompensando el mérito en todas las carreras; y cualquiera que haya constitucional, Creo que, como ha dicho el Sr. González, debe mirar la cuesvisto el Estamento de Próceres, desde luego observará cn sus diferentes ensa tion bajo el aspecto de justicia y de política-, y debe mirarla asi, - porque la yos hombres que han vuelto á recobrar la noble herencia de su abuelos; Gran conveniencia pública lo exige, y puede hacerlo…</t>
  </si>
  <si>
    <t>…laró que sí, y puesto á votación el párrafo 3&gt;° del dictamen de la comisión, mo premio que á los que descubren un tesoro en tierra sin trabajo ni peligro quedó aprobado. ninguno!” Se leyó el párrafo 4*° referente á la adición del Sr. González (D. An El Sr. Istúriz: «Lo propuesto en la adición del Sr. Ferrer y en eí dictonio).El Sr. González (D. Antonio'): «Me parece que la comisión, al exten dichotámen aldeEstamentola comisión, á sobresaber:laquemisma,los buquesme afirmannáufragosmas noy masson mostrencos.en lo que yaPorhe der su dietám…</t>
  </si>
  <si>
    <t>…esta parte. Una Cosa es decirlo, ea,, la discu.- MI Sr. topee li&gt;*Yo no he dicho que toda proposición, una vez tomada sion, y otra hacerlo.” . _■ . , , en consideración ;hayaforzosamentede pasar ála cóáíísióü; pero sí qúe debe Mi Sr. González. (D. Antonio)-. »Se van i leer varias prógosjejanré, que verificarse esto-Con aqueljas cuya importancia esf comb la nde la presente; y exi pasarán! la comisión.” -. - ! .. í jo el cumplimiento del art.- 95 del reglamento, ‘qúéeí1 lápaúta qüe nós -debe - El Sr: Secretario del Despacho de Estado manif…</t>
  </si>
  <si>
    <t>…e de ejercito, é in tas del deudor; ni tamjtoco el consiguiente estado precario del rein dividuo ilel Consejo Real; D. Ramón Gil de la Guadia, del mis tegro de aquellos: deseando proveer de remedio á semejantes males, mo Consejo; conde González,de .Castejon , mariscal de campo de oido el Consejo, de Gobierno; he venido en mandar, ¿ nombre de Mi los Reales ejércitos; marques de Y esulla y-de las. Hormazas; con excelsa Hija Doña Isabel ti: de de Guindillain; D. -Miguel Ricardo de, Alaya, teniente gene 1? Gis jueces interventores, en unión c…</t>
  </si>
  <si>
    <t>…llero, Belda y Mantiila; y en contra, los Sres, MiguerFoFo, Po resultará el'déficit verdadero del presupuesto de Guerra. • lo Monge, y marques de Falces.- ”Se ha hablado de mas sorpresas que las que yo he indicado: i la verdad Ei Sr. González (R Antonio): uEntro con suma descbnfiaflza en una no las tengo presentes; y aquí importa advertir t que suele darse este nombre á cuestión tan grave y espinosa, y mucho mas cuando en ella falta, como dice ataques imprevistos y aun nocturnos, comunes en este género de guerra, y que la comisión, el n…</t>
  </si>
  <si>
    <t>…Segovia en 1380, en tiempo de D. ‘Juan i, manifestaron que de ninguna ma «No hay duda que el primer punto es esenciaiísimo, y en esto voy de nera podían pedirse pot^eí Rey empréstito ni dinero ó maravedís, ni otra acuerdo con el Sr. González; pero no puede hacerte inmediatamente, como cosa alguna sin permiso de las Córtes, y que si lo.tomase era nulo el contrato. cree, y no bastan cuatro ni seis meses para plantear tales mejoras. Aun en las »EI referido Rey accedió á la petición que sobre ello le presentaron; sa contribuciones directas…</t>
  </si>
  <si>
    <t>…azones no son suficientes ni produzca efecto inmediato y acudir al alivio de los apuros que nos cercan. tienen todo el peso que quiere dárselas. El Sr. marques de Torremejia dijo »He contestado á las principales observaciones del Sr. González; pero an muy bien ayer que esta costumbre había caído en desuso; y prueba de ello es tes d: concluir no puedo menos de hacerlo también á dos indicaciones que S. S. que el Sr. Cárlos itt al emitir los vales Reales entre los años 1776 y 1788, ha hecho, á saber: que tanto el ministerio francés actual,…</t>
  </si>
  <si>
    <t>…in faltar caudarse legalmente, sirvan para el objeto de sacarnos adelante, asi como los . a la verdad , que su dinero era el que constituía el fondo de este estableci bienes confiscados al Pretendiente, y otros que ha indicado el Sr. González, miento. que me ha precedido. ¿ «Estas partidas componen la suma de 954 millones, a la que tengo quo «Acaba de llegar á mi noticia, que una Sra. viuda de un empleado del añadir la de 320 millones, que en virtud de un tratado expreso, se deben al tiempo de Calomarde, disfruta 603 rs. de viudedad y m…</t>
  </si>
  <si>
    <t>…enido en cierto modo de entrar en este ó.° Los maestros de primeras letras con escuela pública. Aprobado. eximen: no designa la clase de opiniones, porque conoció que no debía ni po Concluida la votación del artículo, dijo el Sr. Secretario González (Don día con justicia señalarlas. Olvídense enhorabuena los resentimientos; no sir Antonio) que iba á darse cuenta de una porción de adiciones que se habían van las opiniones pasadas en perjuicio de los que amen la reconciliación; sea hecho al mismo. mos todos unos los españoles; pero estas ideas,…</t>
  </si>
  <si>
    <t>…osos.” de la Milicia urbana:” ... Verificada la .votación resultó desaprobada, dicha adición por 75 .votos El Sr. Caballero ley0. la petición, y los dictámenes de las comisiones por contra 37, habiéndose abstenido de votar »iol.-(Sr. González (D. Antonjojr que había pasado.,'.y ;qae opinaban no había inconveniente en que se discutiese total 113. . ? ; ,/H en público, sobre-.que.se suprima el impuesto en el vino que pagan las provin Los que la aprobaron fueron Jos Sne. Abargues, López, Visedo, Tonens cias de VaIenc¿a , Ai»rante y Castell…</t>
  </si>
  <si>
    <t>…s dignos compañeros, lo baria presente si el Estamento Ha tenido particular satisfacción en hallar prevenidos en parte sus deseos por el 5r. Secretario de aquel Despacho, que ha reducido á 8-465,147 rs. el pre lo permitía- El Sr. Secretario González (D. Antonio) que habia leído el acta, dijo que supuesto que en el año anterior fue de 12.523,500 rs. «Es verdad que este ahorro efectivo de 4-075,147 rs. no aparece i prime se podria insertar su voto en la de mañana. £1 Sr. Chacón pidió que se hiciese también mención de su voto, confor ra vista, po…</t>
  </si>
  <si>
    <t>…sponde al Sr. Secretario del "Ademas, entre los beneficios que resultan del Gobierno representativo, Despacho, y de manera alguna á la comisión.9 . ■ “ uno de los mar ores és qüe los agentes responsables del poder vengan á exooÉl Sr. González (_D. Antonio^ «No puedo-menos de aplaudir el celo ner á la vista de'la Nación el modo como han cumplido su importante jende todos los ..individuos de la comisión de Estado al presentar las economías que cargo, Pero e.te deber importantísimo, severo, exige i su vez cierta lalitui en resultan del dic…</t>
  </si>
  <si>
    <t>…incipalmente en esa multiplicidad de secretarías, tantas dividuo suelto se mueva de un sitio á Otro y desaparezca sin ser sentido. cuantas secciones.” "Ha venido á parar eñ seguida el Sr. conde de las Navas én que si hubiera • El Sr. González manifesté la comparación que podia hacerse éntrelos habido ley de responsabilidad, seria el caso de exigirla con este, motivo, por no gastos de los Estados-Un ¡dos y los de Francia con los nuestros: á lo primeros haber nombrado un agente btstante activo y celoso que hubiera prevenido los ya ha resp…</t>
  </si>
  <si>
    <t>…so se tomase un término medio, y se diese al Sr. Procurador de que se la mas exacta. Esta reclamación quien la debe hacer es el mismo Sr. .Seoane, trata una Ucencia temporal para desempañar su comisión, sin que por eso se pues el Sr. González no estará tan enterado de los pormenores que ha referi le privase de venir aquí tan luego como la guerra fuáe terminada, o las cir do,, como aquel.” cunstancias variasen, pero justificando pféviamente, su aptitud para ser Procu En tal estado se puso á votación el dictámen de la coknision, y fue apr…</t>
  </si>
  <si>
    <t>…Creo, pues, que debemos toaneglot,Aungue ^u descenderla-importancía;po^i(»,pacutat afilie ser económicos , y dejándonos de gastos, cuya necesidad no está bien mostrad», como nao esos convites-y recios que_se han citado.*’ , ; El Sr. González (Z&gt;. yínfokjo) : &gt;&gt;Guandó ayer tuve elhonor de ipmar la,palabra sobre la total idaddeeste asunto, manifesté mis ideas respecto 4 la podido .eiecutarse, como en Grecia y el Brasil ¡ ya; lo ha. hecho el Gobierno; pero ep loí déma» países,no pueíle ser , por la diferente categoría d« uno y orto dotaci…</t>
  </si>
  <si>
    <t>…anunció que ayer quedó pendiente la indicación que guido los mismos trámites; y concluyó diciendo que el Estamento-no obraba por iba á leerse. espíritu de partido, y que no debía sacrificar ninguna de sus prerogarivas. (So El Sr. Secretario González (D. Antonio) leyó dicha indicación, conce leyó el artículo 95 del reglamento.) bida en estos términos: ( El Sr. Marques de Falces: ” No hay situación mas delicada que aquella «Que deCida él Estamento si se baila ó no en el caso de que se baga la en que se trata de defender una cama que tiene contra…</t>
  </si>
  <si>
    <t>…es: poniendo lo que ha sucedido, todo el Estamento estará coa* dose las sesiones en la Gaceta , no de una manera oficial, porque no lo es eq forme.” esta parte dichó periódico; pero sí con alguna prolijidad, aunque algo atrasa El Sr. González: «No hay inconveniente en que se pongan esas palabras.” das, como lo hacen los taquígrafos pagados por el Gobierno, tendría la Na En consecuencia quedó aprobada el acta, sustituyendo á las,palabras «que ción un cuadró bastante exacto de ellas, que le costaría menos dinero que el dó aprobada la tota…</t>
  </si>
  <si>
    <t>…e general sobre los diversos puntos en »En el afio de 1767; se erigieron las nuevas poblaciones de Sierra Morena que se rozaban intereses particulares. y Andalucía, para lo cual suministró: el Real erario mas de 35 millones en El Sr. González ( D. Antonio) manifestó qué puesto que el Gobierno metálico, y Otro tanto en ornamentos, vasos sagrados y otros varios efectos y se mostraba dispuesto 4 hacer lo que en el fondo se pedia en la petición, no ■ ganados, procedentes de las temporalidades ocupadas á los jesuítas. insistiría en manifesta…</t>
  </si>
  <si>
    <t>…cida 2; marques de Somcruelos 2; marques de Falces 2; La de la Candelaria con 3; el Sr. Martinez con 1 ; Sr. Burgos con 3; duque de Maza I. Gor con 3; conde de Monterron con 1; duque de Hijar con 1; marques de En la lista*del Sr. Secretario González resultaron distribuidos los votos en la S. Felices con 3; conde de Guaqui con 2; y habiendo obtenido los Sres. Cle forma siguiente: Sres. conde de Almodovar 65 tvotos; Cano Mmucl (ptlrc) mencia f duque de Rivas, y marques de Guadalca2ar la mayoría, quedaron 26; Latorre 10; Ochoa 7; Otazu 3; Rodrígu…</t>
  </si>
  <si>
    <t>…aba su nom Por lo tanto quedaron excluidos de !a nueva rotación los Sres. Diez y Torbre, siendo asi que había verificado tan solemne formalidad. remejía, procediéndose á ella entre los otros tres. Quedó electo el Sr. Belda El Sr. Secretario González contestó que la lista á que se aludía no era ofi por 43 votos; teniendo 17 el Sr. Chacón, y 15 el Sr. marques de Espinardo. cial , sino solo puesta en su lugar en el extracto inserto en la Gaceta , que como Concluida esta elección leyo.?eii alta voz el Sr. Secretario interino los cua periódico teni…</t>
  </si>
  <si>
    <t>…enos cuarto. en sesión secreta, y por el mismo hecho coovino en que no'había dificultad en Se leyó el acta del dia anterior, y quedó aprobada. que se diese cuenta de él al Estamento. Si no se podía-dar Cuenta , ¿por qué el El Sr. Secretario González, como individuo de la comisión del Código Sr. Secretario'dijo qiie sí? Posteriormente sé presentó otro caso igual; y el criminal:«Con motivo de haberse pasado ayer un oficio de la misma comisión mismo Sr. Secretario dijo-que se tratase en sesión secreta. El Estamento, si manifestando lo urgente que…</t>
  </si>
  <si>
    <t>…que de tiese la renuncia de este Sr. Procurador , y se diesen las órdenes para proce ben examinarla, y no limitarse á decir simplemente, si conviene ó no discu der á nueva elección. tirla , sino manifestar si la aprueban ó no. El Sr. González. ( D. Antonio') «Antes de que se proceda á votar el El Sr. Ochoax «El Sr. preopinante sienta la proposición de que las co dictámen de la comisión me parece del caso dar una idea de los motivos que misiones deben extender su dictámen á decir si aprueban ó no la petición que ban obligado al Sr. marque…</t>
  </si>
  <si>
    <t>…producir lo establecido en nuestras actuales instituciones respecto al Es malcría, tan, luego como se lo. permitan.sus muchas y urgentes atenciones." tamento de Proceres: nada de eso; y aun,suando parezca una paradoja, no creo £l Sr. González ( D¡.^Antonio ): «Como uno de los peticionarios, tomo necesario apelar á principios de conveniencia política para defender hasta cier la palabra par* contestar á algunas observaciones del Sr. Secretario del Despa to grado li institución de vinculaciones; basta solo examinarla con' respecto 4 cho. P…</t>
  </si>
  <si>
    <t>…la sus- necientes á manos muertas. pensíon; y habiéndose preguntado st se suspendería esta discusión, se resolvió No habiendo ningún Sr. Procurador que tomase la.palabra en contra de 1* que sí. petición, habló á favor de ella el Sr. González ( D. Antonio), apenando Jo Se pasó á discutir otra petición sobre redención de censos, que había sido dicho por el Sr. Clarós, y manifestando que solo se proponía en elia ia reno examinada por las comisiones de lo Interior, Hacienda y Consolidación , las vación de las leyes dadas en tiempo de ^Carl…</t>
  </si>
  <si>
    <t>…é Soria So hallaba en el ejército del Norte. Santiago de Cuba.ee D. Pedro Echavarria y Ogaban. El Sr. Ayala dijo que el Sr. Saint Yuste habla salido ya d« PuertorPrín Guada lajara. = D. Francisco Morales. cipe para Marsella. I El Sr. González (D. Antonio) manifestó que la casualidad de haber lle Señores cuya elección consta, por las actas, y que han avisado hallarse en gado á esta capital.el Sr. Scoane facilitaría la contestación que se esperaba al ofi fermos. cio que se habia pasado sobre su renuncia, cuya dilación habia sido efecto de…</t>
  </si>
  <si>
    <t>…ue se abs de sus conciudadanos será el objeto constante de sus deberes; en esta virtud: tendría de hablar no abriéndose la discusión mas; no en otro caso. »&gt;Los Procuradores del reino piden respetuosamente á V. M. que se digne El Sr. González (D. Antonio) expresó que creía inútil se entrase en una proponer, una ley de ayutamientos con la brevedad que exige la conveniencia discusión que ya no tenia objeto , mediante que la opinión emitida por el Señor pública, el ínteres del trono y bienestar de los pueblos; suspendiéndose entre Secretar…</t>
  </si>
  <si>
    <t>…omisión, leyó el proyecto y dicta men de dicha comisión que dicen asi: Sesión del dea 27 de Diciembre. • Proyeeto di ley. Se abrió £ las once y media. &lt; «En atención al retraso que ha experimentado (J eximen de le* prestí— El Sr. Secretario González leyó k lista de los Sres. Procuradores, y. re -puestos para el próximo afio de 1835 ,y i fin de que no se siga perjuicio algu^? sultando hallarse presente suficiente número de los mismos pata celebrar Ja se no al servido del Estado, particularmente en las ^irtSnstancias actuales, S.M. sión , leyó e…</t>
  </si>
  <si>
    <t>…nzález ( D. Antonio) , López, Accvedo y Caballero, y bierno tiene mas artículos, abraza otros extremos. Se me dirá, quizá , que este en contra ninguno. es un caso imprevisto. No señor; nosotros tenemos una regla, de la que do nos Sr. González ( D. Antonio'): «Cuando se trata de una petición que tiené podemos separar tina línea, de que no debemos salir : nosotros no podemos salir por objeto la conveniencia y la justicia de la abolición de una contribución ¿el reglamento; y aunque fuera el presente un caso imprevisto, yo contesta onerosa,…</t>
  </si>
  <si>
    <t>…de discutirla por párrafos; y concluido esto , elevarla al conoci menos según Jas razones que aleguen.” miento de S. M. para que la tome en consideración.” El Sr. conde de las Nava* : «He pedido la palabra, no para entrar en h l Sr. González: « Esta cuestión se va á hacer interminable: se me per el fondo de la cuestión , que nadie impugna , porque hay verdades que cansa el mitirá que bagá una ligera observación. El art. 128 señala de una manera cla oirlas, sino para pedir al Estamento que se siga en esta discusión el mismo ór ra el mod…</t>
  </si>
  <si>
    <t>…Sr. Secretario del Despacho de Hacienda, se con nas, y de que solo existen los vestigios,de lo que fueron, y no sabe cuál es la tinuó la discusión. causa de tal decadencia! El orígtn de estas capellanías, el de la amortización El Sr. González ( Ti. Antonio): «Cuando el Sr. Secretario del Despacho civil y'eclaiástica se debe, no solamente á la munificencia y piedad mal en pidió la palabra, me persuadí que era ptra atacar el principio «tablecido en la tendida ds algunos Soberanos, sino á las transacciones que grandes pecadora petición; pe…</t>
  </si>
  <si>
    <t>Gaceta de Madrid n.º 289 · suplemento</t>
  </si>
  <si>
    <t>…dero, cuya presentación S. M. pidiendo se digne dictar una ley que prohíba la extracción del ganad** correspondía al encargado de la Secretaría del Despacho de Guerra, el cual no merino al extrangero. Madrid 7 de Octubre de 1834-=Conde González. = Ei se presentaba 4 causa de una indisposición que se lo impedía. duque de Rivas == Conde Parsent-zsD. Gaspar Vigodet. =rDuque de San Lo En seguida leyó S. E. los dos proyectos de ley indicados, y los oficios renzo y del Parquc.^El conde de Sástágo. = D. Manuel García Herreros = con que el Sr. Pre…</t>
  </si>
  <si>
    <t>…esidente; « No hay duda que cuando se haya decidido que está sión del 26.) «probado el proyecto en su totalidad, se pasará á la discusión de los artículos.” En seguida se leyó por el Sr. Medrano el dictámen de la comisión espe El Sr. González: «Me propongo hacer una observación para adelantar to cial nombrada para examinar dicho proyecto de ley propuesto por el Gobier do el tiempo posible. Como el objeto primordial del proyecto que se hatorotno , la cual después de haberle examinado opinaba debía aprobarse en todas sus do en consideraci…</t>
  </si>
  <si>
    <t>…gadas tienen aplicación á la catedral de Santiago, piezas eclesiásticas, . tición. hospitales &amp;c.; y que creía por lo mismo que debía aprobarse el artículo. El Sr. Secretario dtl Dejpacko dt Etterdo - «Me había propuesto no to El Sr. González (O. Antonio): REsta discusión se ha hecho mas larga mar la palabra en esta discusión; en primer lugar porque el principio de que de lo que debía esperarse, porque nos hemos ocupado del primer artículo en se trata me pareGÍa tan claro y evidente, que creí no sufriría discusión; y en soque estábamos…</t>
  </si>
  <si>
    <t>…da por su autor, se resolvió también que no clarse en los resultados de las demandas que ac entablen; ¡imitándose el arti se tomase en consideración. culo i decir que se' pague lo. devengado hasta el día de ¡a promulgación g[r El Sr. González (D. Antonio) hizo la siguiente indicación: •&gt;Pido que se loJey, &lt; en virtud dé la posesión y derechos que tengan los reclamantes pata añada al art. 2.a que esta disposición no perjudique á las pueblos ó contribu exigirlo. yentes que sostengan pleitos ante los tribunales.'! Tampoco se tomó en consi…</t>
  </si>
  <si>
    <t>González'há</t>
  </si>
  <si>
    <t>…a comisión propone que de .no suprimirse que dé ellas depende i veces lé influencia dejos rcpra»CBtgnt«-dclaNac«ffl en se rebaje su sueldo; pero isa razón alegada de enfermedad, lo mismo milita res £13 diversas córtes.:Ademas, el Sr.-González'há dicho que la Francia paga me pectó de un individuo que de. dos. .Estas son las razones que ha tenido iz comi nos 4 los suyos que nosotros; y de consiguiente que Jsspafia, descaecida J&gt;or sión para proponer las rebajas que ha propuesto.” . ,. tantas .desgracias sucesivas de su antiguo esplendor, res…</t>
  </si>
  <si>
    <t>González, Andrés</t>
  </si>
  <si>
    <t>Andrés González</t>
  </si>
  <si>
    <t>…a de Díaz Antonia número del Antoñaoa, se citadé Junio de 1834—Excmo. Sr.=Francisco de Paula Alcalá.mExcmo. Sr. ca- \ D« Doña heredera Concepción María Mariano de D. García, López, Juan viuda y JÍUui general de Apagón.” Medra no, D. Andrés González, de Gómez, D. Pedro Su'arez Al varado , D. Juan del I Corral, y demas acreedores á la testáméntaría de Doña Donata González, para que en i el termino de 30 días acudan á continuar sus reclamaciones, y usar de lasaccionc^ que j les convenga .apercibidos que en su defecto les parará perjuicio. I Dese…</t>
  </si>
  <si>
    <t>González, Antonio</t>
  </si>
  <si>
    <t>Antonio González</t>
  </si>
  <si>
    <t>…o S M. el Emperador de Rusia que las hijas pobres os ofi unión de un corto número de Milicianos urbanos de la misma villa, ciales cuyo grado es inferior al de mayorV ó de los empleados de rantxís corres dirigidos ]&gt;or el teniente Don Antonio González, consiguieron des pondientes , si pierden á su padre ó á su madre ó á ambos se hallan í_veces pri truir la facción de Don Ildefonso Muñoz, rindiendo á este cabecilla vadas , no solo de una educación conveniente , sino aun de todo i¡í¡o en una el expresado Lozano, y capturando otros individuos de la…</t>
  </si>
  <si>
    <t>…causado mucha ¿atfefaccioñ el haber visto fondear «1 bergantín de concerniente ¿ la sesión régia se concluyó la de este dia a la una y cuarto, as guerra ingles nombrado eíl Sarraceno, procedente de Lisboa y la Coruña con ' Fermín Caballero^Antonio González. dirección i Santander, áon trié'con otro bergantín y varios buques de dicha nación, que envía aquel gobierno paré que'crucen a la vista de nuestras costas, y auxilien , en caso necesario, á los defensores de la causa legítima de la Reina nuestra Señora, Esta demostración , aun cuándo too pasé de ta…</t>
  </si>
  <si>
    <t>…r. marques de Alcañices, opinaba debía probar la condición 2.a, y la sesión celebrada el 26 del corriente salieron electos secretarios del rrmmo mejorar la 3-*; y que hallándose en igual caso el Excmo. Sr. marques de Casloe Sres. D. Antonio González, D. Fermín Caballero, D. Tele&amp;foro Trueba telar , podía admitirse á jurar á dichos Excmos. Señores, bajo la condición de y\Cosío, y D. Francisco Beida. cumplir con estos dos extremos; lo que aprobó el Estamento. Otro del limo. Sr. obispo de Huesca, excusándose de asistir á las sesiones El Sr. Presi…</t>
  </si>
  <si>
    <t>González, Antonio Felipe</t>
  </si>
  <si>
    <t>Antonio Felipe González</t>
  </si>
  <si>
    <t>…e remítan al dignísimo e iiustrísimo obispo de Asf 'rca, D. Gregorio Martínez de Mollinedo........................................................ 3000 con quien ya sobre el particular, habii. yo conferenciado, quedando encargado D. Antonio Felipe González, agente de la BoWa de comercio.......... 500 dicho prelado de hjcerlas examinar científica y facultativamente. D. F. M.......................................................................................................... 300 He mandado limpiar calles, rellenar sitios donde se estancaban aguas,…</t>
  </si>
  <si>
    <t>González, Belda El Sr Secretario</t>
  </si>
  <si>
    <t>Belda El Sr Secretario González</t>
  </si>
  <si>
    <t>…aceta, no se hallaba su nom Por lo tanto quedaron excluidos de !a nueva rotación los Sres. Diez y Torbre, siendo asi que había verificado tan solemne formalidad. remejía, procediéndose á ella entre los otros tres. Quedó electo el Sr. Belda El Sr. Secretario González contestó que la lista á que se aludía no era ofi por 43 votos; teniendo 17 el Sr. Chacón, y 15 el Sr. marques de Espinardo. cial , sino solo puesta en su lugar en el extracto inserto en la Gaceta , que como Concluida esta elección leyo.?eii alta voz el Sr. Secretario interino los cua periódico teni…</t>
  </si>
  <si>
    <t>González, D Francisco Diez</t>
  </si>
  <si>
    <t>D Francisco Diez González</t>
  </si>
  <si>
    <t>…biesevenido antes á tierra. . provincia os uso*. Las consecuencias son bien conocidas: D. Miguel camina ahora para Italia, Sr. D. Marcos Fernandez Blanco. lub endor escogido por compañeros de su destierro á los mismos hombres que Sr. D. Francisco Diez González. por su ignorancia., estupidez ó traición han sido los primeros autores de su des- Sr. D. José María Quiñones, marque»de Mbntevirgea. . gracia. (Cvurier."} Si. D. Francisco Antonio Mantilla. ____ Cartas de Nueva Yorck dicen que Tos intereses del comercio se resentían PROVINCIA BS lOOMltqn de las últ…</t>
  </si>
  <si>
    <t>González, D Juan Gualberto</t>
  </si>
  <si>
    <t>D Juan Gualberto González</t>
  </si>
  <si>
    <t>5^ Núm. I. Jueves 2 de Enero de I83¿. GACETA DE MADRID, ARTICULO DE OFICIO. Excmo. Sr.rzFrancisco, obispo de Mondoñedo.rzExcmo. Sr. D. Juan Gualberto González, Ministro de Gracia y Justicia. La Reina nuestra Señora Doña Isabel u , y S. M. la Reina Gobernadora, siguen sin novedad en su importante salud. Excmo. Sr. : A su tiempo recibí el juego de monedas acuñadr-. c^n rro't'vo de la proclamación de la Ruina nuestra Señora Doña Eabi.i i i que Y. E. m * Del…</t>
  </si>
  <si>
    <t>…bía simpiificado~hotablemente con'respecto á España, desde el punto en que También lo'quedó el dictámen de la misma respecto i ios poderes y do- por muerte del Só D. Fernando vn (Q. E. E- G-.) había ascendido al nono aumentos del Sr. D. Juan Gualberto González, nombrado por Huelva. La co su augusta Primogénita, y se había atrevido un Priscipe.de la estirpe Real á misión bailaba ios poderes conformes,y^que la renta del interesado era de mas querer disputarle la Corona. Je 809 fs. vn.; pero no resultaba ser de la dase que previene el art. 36 del Era manifi…</t>
  </si>
  <si>
    <t>…del mes de Marzo del afio de 18331 convenio preliminar,.aúpan St. D. Agustín Aivarez de Sototnayor. ratificaciones se han cangeado en Caracas, el tercer dia del mes de Eneres deá riovtHciA os ■tratar*. Sr. D. José Ctarói. Exc.no. Sr. D. Juan Gualberto González. mrtcio establecidas hace muchos años entre los Estados de S. M. el Rey loy franceses y Venezuela, de favorecer su extensión y perpetuar su duración yor un tratado de amistad, comercio y navegación que consagre al mismo Partee recibidos en la secretaria de Estado y det Despacio Je Ja Guerra. tiempo…</t>
  </si>
  <si>
    <t>González, D Lorenzo</t>
  </si>
  <si>
    <t>D Lorenzo González</t>
  </si>
  <si>
    <t>…dia 9 del corriente mes D. José Vilianueva, vecino del arrabal de Ote pronto corno avistaron la criminal facción; elogiando igualmente al teniente I ro, extramuros de Oviedo, y ex-voluntario realista de caballería, alzó el grito coronel D. Lorenzo González, que con los tiradores de Guadalupe se unió afl I de rebelión en el concejo de Langreo, logrando seducir unos 130 incautos del expresado ayudante Rute, comportándose con la mayor bizarría. mismo concejo, cometiendo ei crimen de tocar las campanas á somaten en al Según parte que también ha recibido…</t>
  </si>
  <si>
    <t>González, D Ramón</t>
  </si>
  <si>
    <t>D Ramón González</t>
  </si>
  <si>
    <t>…la la Vieja: Excelentísimo Señor: Aun la Huerta, el cual se adelantó al punto hácia los enemigos con una guerrilla,he recibido el parte detallado de la acción de 'ayer en Ja Molina, de lo &lt; . siguiéndole con 1* reserva 4e ella él teniente D. Ramón González ^.1 puente inhero que la columna continúa en persecución de los rebeldes, conforme y el referido'ayudante. , ■ jlo que le tengo prevenido repetid» veces desde ayer .tarde. Igual encargo El capitán D. Joaqu u Diaz de Rehago, que habia ido 4 reforzár la crv</t>
  </si>
  <si>
    <t>González, Dí</t>
  </si>
  <si>
    <t>Dí González</t>
  </si>
  <si>
    <t>…esentante de Nación, ni lo he aprobado , tu lo Apriiebo ni . dictámeit de la minoría-confieso tiene mucha concisión , mucho órden lo aprobaré nunca.”, y g&gt;an disposición; siguí al proyecto de ley presentado por el Gobierno , y El Sr. Dí*&amp; González: «En los cuatro dias que hace dura la discusión con franqueza digo que le aventaja ¿ pues no tiene principios tan contradicto presente, he oído las mismas reflexiones que á mi me habían ocurtido, y con rio: . Después de reconocer los empi «stltos, cercena y modera las condiciones del fieso qqe me h…</t>
  </si>
  <si>
    <t>González, Diez</t>
  </si>
  <si>
    <t>Diez González</t>
  </si>
  <si>
    <t>…se queda muy atras de lo que yo encuentro. No es tan in tículo.” significante como parece esta indemnización; ni es una medida tan provisional El Sr. marques de Montevírgen: «Me parece qoe este artículo se puede como ha dicho el Sr. Diez González, esperando el resultado de los trabajos de considerar discutido, y debe correr la misma suerte que el anterior por las ra Ja junta eclesiástica. Acaso se pasen dos, tres ó cuatro años sin que se vuilíque zones que se han manifestado en su discusión.” la reforma, que es objeto de dichos trabajos, y…</t>
  </si>
  <si>
    <t>…continuarán circulando en el á los extrangeros con preferencia 4 los nacionales, aumentando sus padeceres y estado en que se hallan, y sus sorteos se verificarán como basta aquí. su miseria. Por tanto, me opongo al artículo.” El Sr. Diez González: «Habiéndonos descartado del empréstito de Gue El Sr. marques de Sámemelos: «Como en el principio de esta dilatada bhard , ba resultado por esta razón un descargo de 4u millones 4 favor de la • discusión hubo tanta divergencia de.opiniones, creo oportuno hacer una bre Nación, aunque y j saco solame…</t>
  </si>
  <si>
    <t>…en que chado este artículo de inexacto y de significar demasiado. Yo por el contrario, estamos, y por eso me opongo á que se admita esta petición. me atrevo á sostener que es exacto, y que todavía dice poco. La ley de Partida, El Sr. Diez González: Hasta aquí la discusión de este artículo ha cami antecedente irrecusable para los Sres. Secretarios del Despacho, pues que es el nado con gran copia de erudición, lo que acaso podría arredrarme; pero al fia punto sobre que se han apoyado, nos dice que la ley es la regla de las acciones me he deter…</t>
  </si>
  <si>
    <t>…iscur mismas Córtes, ¡no es acreedor i que se haga de él algún elogio, y no se le re so, porque no se han seguido las reglas presentís en este caso.’1 gateen, por decirlo asi, las expresiones? La reclamo como español, no como, El Sr. Diez González manifestó que la comisión , al redactar e! proyecto ministril. de que se trata , examinó con detenimiento cómo habiá de formar su discurso « En 'cuanto á la situación interior del reino, si las palabras de la comisión para contestar al de la corona , como también el estado en que la nación se en en…</t>
  </si>
  <si>
    <t>…ia la discusión sobre el proyecto de voluntad ¿eneral; todo te ha pronunciado en faver de vuestra excelsa liija. ••atestación al discurso del Trono.. " Esta voluntad general no es ahora del día; existe ya mucho tiempo Hace. Ea El Sr. Diez González, individuo de la comisión encargada de redactarle, épocas en que la nación ha tenido todavía mas Eberiad de la que en el d a dis mtpifestó que su intención al tomar la palabra no era tanto dar el mismo pro fruta , cuando nada se oponía á que cualquiera manifestase sus ¡deas, no hubo jacto «H su tot…</t>
  </si>
  <si>
    <t>…ndría que se modificase con arreglo a eila la peti al ministerio con la premura. Si se abre la discusión nuevamente sobre é«, di ción que discutimos.” ré y probaré que no es tan defectuoso comparándole con los que han existido Él Sr. Diez González: «Todos los señores que me han precedido en ia en otras épocas dentro y fuera de España: con este reglamento no perecerá la palabra han convenido en que el reglamento actual tiene defectos y omisiones, Nación. No es tampoco cierta esa premura. Si por ella entiende el Sr. Do y en que por consiguient…</t>
  </si>
  <si>
    <t>…zación desde principio del siglo últi misma secretaría: viniendo ese proyecto de ley al Estamento, nombrará este mo bajo el nombre de Sinking-futtds; mas varió su naturaleza, y se adoptó una comisión de su seno, comó ba dicho: el Sr. Diez González, para que se el 1 por 100 con el interés compuesto, conforme á las opiniones del doctor cTamioe Con el alma el cuerpo , la voz y las pasiones que le son propias, y se Price, que aplicó en toda su extensión Pitt durante su ministerio. hagan en el proyecto cuantas variaciones parezcan convenientes: n…</t>
  </si>
  <si>
    <t>…, y que asi creía que el Estamento de "Para adelantar tiempo, si el Estamento decide que vuelva á la comisión, bía acceder á la que ahora ha presentado. desde ahora digo que ni mis compañeros ni yo tenemos nada que exponer. Es El Sr. Diez González expuso que había sido testigo de los padecimientos muy duro que se excluya á este Sr. Procurador después de un largo via^e y del Sr. García de Ja Maza, y de que había hecho todo lo posible para mani otros sacrificios; pero que vuelva este asuoto á la comisión, es inútil, pues esta festar al Estamen…</t>
  </si>
  <si>
    <t>…onducir la Nación á su rui aprobación del artículo que la que ayer hubo en la de Ta totalidad de1 la peti na y cargarla de cadenas t'cuándd el Estamento por la equidad se vió arrastra ción. A este efecto me adhiero al parecer del Sr. Diez González; y nte parees do á echar sobre la misma la carga de pagarlo todo; ¡con cuánta mas justicia que podria conseguirse, dando al artículo de que tratamos, una forma nueva, deberá guardarte esta equidad en favor de aquellos que, lejos de perder la pa que voy á presentar á la consideración del Estamento.…</t>
  </si>
  <si>
    <t>…dos le faltar á ellas si han de cumplir debidamente con su obligación. Es cierto; paro contestaban qua antrs era el servicio de la Milicia nacional. también los comerciantes tienen sus obligaciones domésticas, y á pesar de eso El Sr. Diez González propuso que después de los ordenados in sacris so están obligados á hacer el servicio activo en la Milicia ciudadana. Los inopina dijese: «y cuantos gocen del privilegio del canon.” dos tienen un ínteres muy grande «n la conservación del orden y dé vuestras El Sr. Puche, insistiendo en la Idea de q…</t>
  </si>
  <si>
    <t>…pasarme, pudiendo mas en ¿1 su laré á decir que la justicia y la necesidad impelen y obligan á que el Estamen delicadeza qué todas estas razones. Las penalidades de un viage han podido to deseche este empré.cito. Dijo muy bien el Sr. Diez González que el Con mas que su deseo, y he tenido el disgusto de dejarle enfermo en la Mota, á ductor de la Nación no lo puede todo: que es un mandatario un apoderado, pesar de no estar todavía libre del cólera. Me/rogó antes de separarnos que lo á quien se le confia el poder, no para destruir la Nación , s…</t>
  </si>
  <si>
    <t>…vincia optaban, contestó el Sr. Caballero que asi lo habían hecho ya dos 38 votos necesarios, y solo tuvieron los siguientes: Sr. Belda 27; Sr. Chacón de Jos que se expresaban, y Jo harían Jos demás aJ presentar sus poderes. 18 ; Sr. Diez González 9; Sr. marques de Espinardo 14» f Sr. marques de Tor Un Sr. Procurador tomó la palabra piara reclamar que en la lista de los Se remejía 8. ñores que juraron en la sésion Regia, inserta en lá Gaceta, no se hallaba su nom Por lo tanto quedaron excluidos de !a nueva rotación los Sres. Diez y Torbre, s…</t>
  </si>
  <si>
    <t>…irla en activa y pasiva; porque á la Nación, que se obliga í pagarla, El Sr. marques de Sámemelos contestó 4 algunas de las observaciones he fio puede fijársele un período determinado al efecto. Asi que el reducir ios chas por el Sr. Diez González, y dijo que si te hubiese de proceder desde intereses del modo que se propone , seria Una contradicción y un compromiso luego i la reducción de toda Ja deuda, ramo interior como exterior^ seria para la$Córtcs,si la hubiesen motivado y autorizado: esta sí que seria una preciso echar sobre la Nación…</t>
  </si>
  <si>
    <t>…meditar los inconve bra , al terror, á la' inquisición, porque la propiedad no se creía en cierto! liem- nientes que podiian resultar en la práctica. pbsegura de su rapacidad. De aquí viene la fundación de un gran número de •&gt;£1 Sr. Diez González ha fundado sus raciocinios para impugnarla en la capellanías que bou .unos mayorazgos disimulados, pues á favor de una misa ó justicia y. razón que debe haber para cumplir los legados pios ó-memorias de dé otra manda piadosa ve disfruta una buena renta. Los Procuradores de la Na misas. Pero ¡serán…</t>
  </si>
  <si>
    <t>González, DiVt</t>
  </si>
  <si>
    <t>DiVt González</t>
  </si>
  <si>
    <t>…dible hre del Estado quedan adjudicados al pago de la deuda pública, y serán uno de s^que sea.” ' " \ los arbitrios permanentes de la Caja de Amortización ” El Sr. Ochoa \ *» Creo que no puede hacerse mejor elección que la del El Sr. DiVt González.: »Por este artículo se aplican losblenes móetren- Crédito público para la aplicación al mismo de los'bienes de que se trata; y eos al pago de la deuda páblicá, ó sea ¿ la Caja de Amortización: me parece aun si hubiera otro establecimiento que contribuyera por su parte á que no se que podría dársele…</t>
  </si>
  <si>
    <t>González, Donata</t>
  </si>
  <si>
    <t>Donata González</t>
  </si>
  <si>
    <t>…oña heredera Concepción María Mariano de D. García, López, Juan viuda y JÍUui general de Apagón.” Medra no, D. Andrés González, de Gómez, D. Pedro Su'arez Al varado , D. Juan del I Corral, y demas acreedores á la testáméntaría de Doña Donata González, para que en i el termino de 30 días acudan á continuar sus reclamaciones, y usar de lasaccionc^ que j les convenga .apercibidos que en su defecto les parará perjuicio. I Deseando la diputacioo de comercio de la provincia de Soria establecer inmedia- j . , y IS'comisario rigió,de lá provincia de Al…</t>
  </si>
  <si>
    <t>González, Francisca</t>
  </si>
  <si>
    <t>Francisca González</t>
  </si>
  <si>
    <t>…tes dé~ élpiraé á&lt;a 4*1 gob&amp;nó. „ , d mes de Mayo. (Twwr.) , ' El gobernador civil dé U provincia &lt;b Teruel D. Joaqtub Montesoro y ‘ *r ... . -j . , TV Munich escriben lo siguiente: ' El g^eóniador dvU de' la provincui de Cleenes D. Francisca González algunos dias ha tomado la policía, y han l EtfftS. , 'U ' J . . x, ' aevnterpretadbi quizt équivpcadamcnte &lt;n los países eatrangetot, /seria abul-t El tríbunat de cómenci» de la ciudad de la Coraba., , tad«s por los periodistas franóesec. Ett ^a nófee dcá 4r de-S*yo se . doMfi lq ,universidad liter…</t>
  </si>
  <si>
    <t>González, Francisco</t>
  </si>
  <si>
    <t>Francisco González</t>
  </si>
  <si>
    <t>…ciones de la junta particular toda la parte administrativa del lias: alaba la exactitud y dulzura con que se condujeron durante aquella desgra monte, la admisión de nuevos individuos en él, prévios los informes corres ciada época D. Francisco González, facultativo titular de la amma^vtlU de pondientes , y la formación de las propuestas para los empleados que deben Chipión», y D. Pedro Brondí, también facultativo, que se trasladó a aqurllaañualmente removerse en el modo que indica el artículo tercero del capítulo desde Cádiz, solo para auxiliar c…</t>
  </si>
  <si>
    <t>González, Francisco Diez</t>
  </si>
  <si>
    <t>Francisco Diez González</t>
  </si>
  <si>
    <t>…evenido antes á tierra. . provincia os uso*. Las consecuencias son bien conocidas: D. Miguel camina ahora para Italia, Sr. D. Marcos Fernandez Blanco. lub endor escogido por compañeros de su destierro á los mismos hombres que Sr. D. Francisco Diez González. por su ignorancia., estupidez ó traición han sido los primeros autores de su des- Sr. D. José María Quiñones, marque»de Mbntevirgea. . gracia. (Cvurier."} Si. D. Francisco Antonio Mantilla. ____ Cartas de Nueva Yorck dicen que Tos intereses del comercio se resentían PROVINCIA BS lOOMltqn de las últ…</t>
  </si>
  <si>
    <t>González, Francisco Manuel</t>
  </si>
  <si>
    <t>Francisco Manuel González</t>
  </si>
  <si>
    <t>…o en que los batían, con la columna de su mando , compuesta de unos 50 infantes y 60 asi como la intrepidez y bizatiia del ayudante de caballería dei f&gt; 3 caballos de diferentes cuerpos, inclusos 32 urbanos de caballería, ligero, D. Francisco Manuel González , pues tuvo la gloria rte ser á los restos de la gavilla del Locho, encontró á esta en Ruidera el el primero que acuchilló á los facciosos sin que le contuviese U día 14 situados en la posición mas ventajosa, y en número do 200 espesura del monte, ni los demas obstáculos que se encontraban,</t>
  </si>
  <si>
    <t>González, Gregorio</t>
  </si>
  <si>
    <t>Gregorio González</t>
  </si>
  <si>
    <t>…quella parte de Siria se valuaba en unos 253 D. Ignacio de Hotos confié la reserva compuesta de otras dos mitades al cargo hombre-»: pero luego prendió el fuego de la insurrección erpre los árabes ane del teniente del S.® ligeros D. Gregorio González, y del alférez del 6.® Don xes al Oriente del Jordán y entre los amafies en las montañas de Trípoli. Un Joaquín Gallarza, para acudir con prontitud,adonde lo exigiesen las cir regimiento de caballería que por falta de infantería disponib e env ó Ibrahim cunstancias. " contra los napíusos, fue acome…</t>
  </si>
  <si>
    <t>González, José</t>
  </si>
  <si>
    <t>José González</t>
  </si>
  <si>
    <t>…terreno, sosteniendo una partida del regi miento l.° de ligeros de caballería y de carabineros, que con el teniente Don Excmo. Sr.: El comandante general del distrito de la provincia de Badajoz Antonio Paez, el de la misma clase D. José González , y el alférez de caza con Fecha 8 del actual me dice lo que copio: Excmo. Sr.: El comandante del dores á caballo de la Guardia Real D. Francisco Matheu, mi ayudante de cantón de Jerez de los Caballeros con fecha de ayer 7 del corriente me dice lo campo, persiguieron con todo calor á los dispersos,…</t>
  </si>
  <si>
    <t>González, José Zamorano</t>
  </si>
  <si>
    <t>José Zamorano González</t>
  </si>
  <si>
    <t>…eves. habiáh entrado en Aldea Dávila 18 facciosos españoles que fueron aprehen 51 6 11 14 2 52 didos en Villarino de Portugal, y de los cuales fueron fusilados los titulados 22 $ 9 4 52 40 oficiales T&gt;. Joaquín Perez Barrachina y D. José Zamorano González, por lí tt 6 28 3 16 21 40 del de comandante partidadisposición tiradores de Ciudad-Rodrigo de la 2.a •99 10 16 1 17 21 4 los á dicha plaza 16 restantes. que envió Quijano,D. Francisco 99 1 10 7 2 10 18 ELcómandante general de la provincia de Córdoba en 24 del actual avisa 19 10 tf 8 ”3 99 7 que el…</t>
  </si>
  <si>
    <t>González, Juan</t>
  </si>
  <si>
    <t>Juan González</t>
  </si>
  <si>
    <t>….* del corriente en Artara, y ha dicho de la Pola de Lena á D. Rodrigo Castañon: para la de Pravia á Don que toda la facción se hallaba desanimada, y los soldados muy estropeados y Benito Canilles Meana: para la de Villaviciosa á D. Juan González muy mal vestidos. A este le dirigen á la legión extrangera en Argel por ha Miranda : para la de Inlleslo áD. Vicente Miguel Vigil; y para la de berlo solicitado ¿1 mismo. Vega de Rivadeo á D. Ramón Cuervo y Requena, todas en el prin- POKTUCAl. cipado de Asturias. Asimismo ha venido en nombrar en el…</t>
  </si>
  <si>
    <t>González, Juan Gualberto</t>
  </si>
  <si>
    <t>Juan Gualberto González</t>
  </si>
  <si>
    <t>…radores de la misma r elecciones de que se ha dado cues aprobados los poderes. Pasó á la comisión de Poderes; á la mLma¿ se remitie ta al Estamento por la misma comisión; esta dice, que mediante á que Ica ex— ron lo» que presenta D. Juan Gualberto González, Procurador por ia provin ponentes fundan su pretensión en razones especiosas, la comisión es de parecer cia de Huelva, para justificar la renta que posee; los que con igual objeto pre que, si el Estamento lo tiene á bien, queden aprobadas dichas elecciones en la senta D. Fernando Miranda y OJmedil…</t>
  </si>
  <si>
    <t>…simpiificado~hotablemente con'respecto á España, desde el punto en que También lo'quedó el dictámen de la misma respecto i ios poderes y do- por muerte del Só D. Fernando vn (Q. E. E- G-.) había ascendido al nono aumentos del Sr. D. Juan Gualberto González, nombrado por Huelva. La co su augusta Primogénita, y se había atrevido un Priscipe.de la estirpe Real á misión bailaba ios poderes conformes,y^que la renta del interesado era de mas querer disputarle la Corona. Je 809 fs. vn.; pero no resultaba ser de la dase que previene el art. 36 del Era manifi…</t>
  </si>
  <si>
    <t>…mes de Marzo del afio de 18331 convenio preliminar,.aúpan St. D. Agustín Aivarez de Sototnayor. ratificaciones se han cangeado en Caracas, el tercer dia del mes de Eneres deá riovtHciA os ■tratar*. Sr. D. José Ctarói. Exc.no. Sr. D. Juan Gualberto González. mrtcio establecidas hace muchos años entre los Estados de S. M. el Rey loy franceses y Venezuela, de favorecer su extensión y perpetuar su duración yor un tratado de amistad, comercio y navegación que consagre al mismo Partee recibidos en la secretaria de Estado y det Despacio Je Ja Guerra. tiempo…</t>
  </si>
  <si>
    <t>…encargado de Negocios de Cerdeña el Sr. Filippi, que presentó sus cre mandar en nombre de mi excelsa Hija Doña Isabel u, que una co denciales hace algunas semanas, acaba de sucumbir a una jfiebre nerviosa. El misión compuesta de D. Juan Gualberto González, D. Juan Alvarez Sr. Testa, encargado de Negocios provisorios de la Holanda, ha recibido su Guerra, D. Angel Fernandez de los Ríos y D. Salustiano Olozaga, nombramiento definitivo. que desempeñará ademas las funciones de secretario, poniéndose de Se han comprimido los alborotos de Trebisonda ¿ y al…</t>
  </si>
  <si>
    <t>González, Lorenzo</t>
  </si>
  <si>
    <t>Lorenzo González</t>
  </si>
  <si>
    <t>…el corriente mes D. José Vilianueva, vecino del arrabal de Ote pronto corno avistaron la criminal facción; elogiando igualmente al teniente I ro, extramuros de Oviedo, y ex-voluntario realista de caballería, alzó el grito coronel D. Lorenzo González, que con los tiradores de Guadalupe se unió afl I de rebelión en el concejo de Langreo, logrando seducir unos 130 incautos del expresado ayudante Rute, comportándose con la mayor bizarría. mismo concejo, cometiendo ei crimen de tocar las campanas á somaten en al Según parte que también ha recibido…</t>
  </si>
  <si>
    <t>González, Manuel</t>
  </si>
  <si>
    <t>Manuel González</t>
  </si>
  <si>
    <t>…120 señale los alcaldes, regidores y mayordomos de las Vi 1 las de Aroche , Mora y El Excmo. Sr. duque del Infantado, por ro^no del contador de su casa Encinasola, como se previene por el capítulo 21 de la citada concordia de 14 D. Manuel González, entregó para socorro de los pobres enfermo» de Octubre de 1542 , para recorrer las mojoneras y convenir en lo» demas pun de la epidemia 12d rs. vn., sin embargo de estar contribuyendo pa tos que interesan á las mismas sobre la forma prescrita pare su aprovechan ren ra el de los pueblos de sus esta…</t>
  </si>
  <si>
    <t>González, Manuel Gregorio</t>
  </si>
  <si>
    <t>Manuel Gregorio González</t>
  </si>
  <si>
    <t>…de estos reinos, y desde luego se ocupen las temporalida INGLATERRA. des a D. Alejandro León, presbítero, vicario del Pueyo; á D. Flo rencio Goya, abad de Oricin; á D. Juan José Vergara, vicario de IjSndrit 28 de Mayo. Añezcar; á D. Manuel Gregorio González, vicario de Salinas de Los negociantes de'Lóndres han recibido de Calcuta un proyecto en for Monreal; á D. Pedro Miguel Irañeta, vicario de Huarte Araquil; ma de circular relativo á establecer una comunicación entre las Indias orien á D. José Antonio Aldave, rector de Ziga, á D. Pedro Beistegui, ta…</t>
  </si>
  <si>
    <t>González, Manuel José</t>
  </si>
  <si>
    <t>Manuel José González</t>
  </si>
  <si>
    <t>en el servicio merecieron las mas lisonjeras atenciones y los mas encarecido» Trillo. D. Manuel José González, en Madrid ¡ desde 20 de Junio á igual elogios del general barón Dtemichels, comandante en gefe de1 aquella colonia, y día de Setiembre. sostuvieron dignamente el renombre de la nacion á que pertenecían, y con cu CASTILLA IA VIEJA. yo nombre se honraban. Sin embargo, ni la gloria, ni el aprecio de…</t>
  </si>
  <si>
    <t>…nn obús y una cureña que los facciosos habían ocultado en un case Nota. El director de los baños de Trillo es D. Mariano José González y Crespo-, río. Igualmente prendieron y fue fusilado el célebre confidente de los facciosos no D. Manuel José González ,como por equivocación se dijo ett la Gaceta aUm. *4. - W3I . : ÉN LA IMPRENTA REAL</t>
  </si>
  <si>
    <t>González, Mariano José</t>
  </si>
  <si>
    <t>Mariano José González</t>
  </si>
  <si>
    <t>…se experimentó , 4 4 rs.------J?rde nuestra riqueza industrial, fundados en relaciones verdaderas , hubiera sido jlcxtohes sobre elCóífra-rrtorbo asiático, en que' se manifiestan Jos hiedios peta' evitaT y disminuir este mal, por D. Mariano José González yCrespp, 4 2 rs..* se hallarán eir necesario tener á la vista una^completa y bien formada estadística» que entre ta librrria de .Razóla. , nosotros está aun muy atrasada, y iin estado exacto de las importaciones y ex —Tratado de los paragranizos metálicos, ó preservativo contra el azote de la pie—,…</t>
  </si>
  <si>
    <t>González, Oidz</t>
  </si>
  <si>
    <t>Oidz González</t>
  </si>
  <si>
    <t>…ht ven Jo ai filamento .on %u cr.nceplo f* -ma V ya á la discusión al Sr. Procurador que )a hub'C-C habiad»». fc.n vntud de esta ob s^.b'e c-la. Dt'pue» se ha i,usir»d^ mi» la materia c*- n i.i Hiscusit n- ^ &gt; er . nservación el Sr. Oidz González no cont nu() la pai.hra. do pues que e»ra md.cacion debe 'ezuir l «s mismas :■ m fr&gt; en ei ca' de c El Sr. Le pez desh-zo! una equ-vocac*' d , mamfe-tai.do no haber dicho nun e. hst miento la a din ti, porque d« re ►ente no debe d Zurríe, rn razo-, de ,;jue ca qu&lt;" el derecho de igualdad estaba en…</t>
  </si>
  <si>
    <t>González, Pérez</t>
  </si>
  <si>
    <t>Pérez González</t>
  </si>
  <si>
    <t>…la petición relativa á prohibir la introducción do granos extran- que tienda á imponer trabas es perjudicial al comercio y tráfico. Como soy geros.”; propietario y hacendado en Castilla y Andalucía, pintaré el estado en que se El Sr. Pérez. González: »Creo que habiéndose ya remediado la escasez de hallan estas provincias, y el Estamento juzgará si la petición es ó no oportuna la Andalucía, en parte, por la llegada de cargamentos de trigo de Castilla, no en las actuales circunstancias. En Castilla soy propietario y tengo abundantes tiene objeto…</t>
  </si>
  <si>
    <t>González, Ramón</t>
  </si>
  <si>
    <t>Ramón González</t>
  </si>
  <si>
    <t>…ja: Excelentísimo Señor: Aun la Huerta, el cual se adelantó al punto hácia los enemigos con una guerrilla,he recibido el parte detallado de la acción de 'ayer en Ja Molina, de lo &lt; . siguiéndole con 1* reserva 4e ella él teniente D. Ramón González ^.1 puente inhero que la columna continúa en persecución de los rebeldes, conforme y el referido'ayudante. , ■ jlo que le tengo prevenido repetid» veces desde ayer .tarde. Igual encargo El capitán D. Joaqu u Diaz de Rehago, que habia ido 4 reforzár la crv</t>
  </si>
  <si>
    <t>González, Tomas</t>
  </si>
  <si>
    <t>Tomas González</t>
  </si>
  <si>
    <t>…de Velascohásta el de 1798, siempre con su celo y acierto acostumbrados. Entre jpttas merece particular porque desecho de acudir 41 auxilio de sus ancianos padres y de procurarla iteñeion el informe que dió en 1833 en compaBía de D. Tomas González, ya colocación de sús hermanos, temía que se lo dificultasen las obligaciones de .difunto, y de D, Félix José Reinbso, auditores de la Rota', sobre el cerceno- ■su nuevoestado. (jüiso antes de imponerse, los deberes de su honesta inclina nial; ¡y disposiciones relativas i la jura en Córtes, como Pr…</t>
  </si>
  <si>
    <t>González, Victo</t>
  </si>
  <si>
    <t>Victo González</t>
  </si>
  <si>
    <t>…en Santiago: te ; únicamente había prevenido al gobernador de Caí ¿rgena que les advirtiese desde l.° de Julio a 30 de Setiembre. que S&gt;. M. aceptaría los servicios de los que voluntariamente quisiesen prestarlos Candelas de Tuy. D. Victo González, en Vigo : desde 1.® de Julio á fin en favor de la justa causa de la legitimidad, cuando dicho gobernador antes de de Setiembre. recibir aquella órden remitió una exposición en que todos los indicados oficia Cariallino y Partovia. D. Benito Sanjurjo y Mosquera, en Orense: desde les y tropa se ofrec…</t>
  </si>
  <si>
    <t>González.manifestó</t>
  </si>
  <si>
    <t>…o á 809 como propone la comisión.” taré tari Opinión al Estamento; f protesto desde ahora que deseo que su sueldo Ei Sr. Butrón: «La comisión no se b* atenido al caso actual, tino al en .... caté en relación con sus servicios. El Sr. González.manifestó que-quería ae que no fuese capitán general el destinado á capitán de la guardia. Está bien que . 1 nííiilantn hooorea, y no dinero; pero yo soy de parece» contralto, pues hay el que lo es en la actualidad, como capitán general, tenga sueldo.de tal; peto</t>
  </si>
  <si>
    <t>Gonzalezenvol</t>
  </si>
  <si>
    <t>…e motivo reclamo otro de los principios que se asientan ción entre ambos extremos ; lo que no creo posible que pueda demostrarse. . en la petición presentada-por «arios señores!?roturadores, á saber: que la ley El argttmeúlo del 'Sr. Gonzalezenvol vería un principio poco conforme debe ser igual para todos,. - Supóngase que .hubiesen de pagar los canónigos de «sania justicia y. con la sana razón , á saber: que siempre que el Estamento, jSantiago, y que debiesen ,cobrar ios labradores (esta clase menesterosa, que á di propuesta del Gqbierno, d…</t>
  </si>
  <si>
    <t>Gonzalo</t>
  </si>
  <si>
    <t>…to de) de Tucuman, trató de conciliar á estos dos rivales de intenciones tan diferen Pueblü de Cazalla. (el alcalde major y ayuntamiento de la) tes; pero su mediación no ha surtido efecto. Posteriormente algunos gefes adic Puente D. Gonzalo. (el alcalde mayor y ayuntamiento de) tos al gobierno habían acometido á los caudillos de la insurrección, y derrota Puerto Rea!, (el alcalde mayor y ayuntamiento de) do sus tropas. El general Figueroa logró escaparse, pero la mayor parte de los Roa. (el ayuntamiento de) que le acompañaban fueron he…</t>
  </si>
  <si>
    <t>…ruétano de gavilla del *9 99 *9 H 6 6 24 Juan. Diez Rodero. Y un poco antes fue también aprehendido José Manza nares (a) el Sastre, vecino de Ballesteros, uno de los que componían la Parte de los enfermos de la villa de Puente de Don Gonzalo. mencionada facción.' Lo que pongo en el superior conocimiento de V. E., no pudíendo menos Existencia del dia de recomendar altamente al dignísimo alcalde mayor, para que si lo tiene ¿ Dias. anterior. Invadidos. Curados. Fallecidos, bien se sirva elevarlo al de la Rbina nuestra señora. Dios &amp;c. Ciud…</t>
  </si>
  <si>
    <t>…nuestra Señora y de su excelsa Madre; baste decir que duran la capital y pueblos de la provincia se disfrutaba de cabal salud , excepto ea te idos dias han estado á todas horas las calles y plazas llenas de gente, sin qué Puente D. Gonzalo, en donde la enfermedad segura el curso que aparece del haya ocurrido ninguna prisión ni el menor disgusto, y que las autoridades mez siguiente estado. cladas con el pueblo parecían enteramente unos padres rodeados de sus propias familias. Estado sanitario di la villa de Puente D. Gonzalo. Existenc…</t>
  </si>
  <si>
    <t>…nacido de Policía genera). Ha sofocado/una conspiración que se tra desarreglos gástricos y dé la impresión deí terror. maba en Villacscu&amp;a de Haro, y asegura que Caniicer no ha en Parte keJtos etifermot de la villa del Puente de Don Gonzalo. contrado ácogida én las sierras de esta provincia. Todos sus habi tantes, ydqs individuos de la Milicia urbana han acreditado el me* ; , Existencia del día ' ' ■ ■ Curados. Fallecidos. jor espíritu y entusiasmo por la causa de la Reina nuestra Señora. DlasL; anterior. Invadido». Instrucción pública…</t>
  </si>
  <si>
    <t>…rito'de la provincia de Cáceres, que allí se decía que 19 en aquella capital y demas pueblos de su provincia se gozaba de buena salud, hombres de dicha partida se hallaban en dispersión entre Valdefuentes y Tor— excepto en Puente D. Gonzalo, en donde continuaba la enfermedad el curso retnocha, y que los perseguían tenazmente todas las fuerzas destinadas á su ex que aparece del estado qne acompañaba, y es el siguiente: terminio. Añadía igualmente el mismo que en el sitio de la Rechona habían dejado los Cuestas varios caballos y montura…</t>
  </si>
  <si>
    <t>…7 del propio tr.es participa el subdelegado .de Fo coronel D. Agustín Nogueras, gefe de'una de las columnas volan mento-de Córdoba, que la enfermedad sospechosa que reina en los tes de aquel reino. pueblos de Benamejí y-Puente de Don Gonzalo , seguía su curso en Excmo. Sr.: lie pasado lodo el día'en marchas y contramar los términos que aparece en los siguientes partesw chas y en persecución de los facciosos que en bastante número y Parte -de los enfermos- de la villa de Puente de Don Gonzalo. en diferentes partidos vagaban por los mont…</t>
  </si>
  <si>
    <t>…un .muerto y un herido. en algún pueblo de la provincia había ocurrido tal cual caso sos pechoso , no constaba de oficio. El mismo comandante general dice que el batallón del 3.° li El curso y progreso de la enfermedad en Puente D. Gonzalo geros que forma parte de la guarnición de Vitoria regresaba á di resulta del siguiente estado.' cha ciudad después de haber recorrido toda -la Rioja alavesa por Lagran y la Población , limpiándola de vándalos que en ninguna parte Estado sanitario de la villa de Puente Don Gonzalo. han querido esper…</t>
  </si>
  <si>
    <t>…í presencia del capitán ú oficial que promoviese la que yor zeioá'la extinción de la expresada turba, y tanto estos como las autori ja , si es ó no admisible para uso de la tropa. En el primer caso se admitirá y dades, de Pucntfc Don Gonzalo , especialmente él comandante de armas, las de distribuirá, y en el segundo el gefe de hacienda militar, dispondrá que la pro Miragenil y los Milicianos urbanos de ambos pueblos, han dado una prueba visión apronte en el acto otro de recibo. De la queja, trámites, y resultado del nada equivoca de su…</t>
  </si>
  <si>
    <t>…esto, de 20 á 20 7 » 4 2 » 524 hombres de su gavilla, habia invadido aquella provincia por la 'parte que confina con el valle de la Alcudia; pero que el teniente del "provincial de Pia- Parte de los enfermar de ta villa dt Puente Don Gonzalo. senciá D. Joaquín Alvafez Aguado, auxiliado con 18 caballos al mando del Existencia del dia porta del 3.° ligeros D. Manuel María Padial, procedentes de las columnas de Dias- anterior. Invadidos. Curados. Fallecidos. la Mancha , los Urbanos de los pueblos que mas adelante se mencionan y va rios vec…</t>
  </si>
  <si>
    <t>…cobraba dicho Señor una peranzas de V. bS." renta líquida de t8,830 rs- vn. anuales; pero al fin de este documento aparecía El Sr, conde de Almodovar tomo la palabra y dijo: "Quisiera en este un testimonio del escribano de Puente D. Gonzalo, por-el cual se acreditaba momento manifestar á V. SS. mi agr^..«cimiento por la buena voluntad que que dichas fincas coostifruian el mayorazgo de Doña María de la Concepción me han mostrado al designarme palto una Ocupación muy superior á ñus debites Alvarez de Sotoroayor, hija del mismo» Ln comis…</t>
  </si>
  <si>
    <t>…de una misma tierra; de suerte que el per da la agricultu rj; sin embargo de que todavía se conservan restos del primiti judicado es el agricultor, que no debería pagar mas que el diezmo de uno de vo origen, como se ve en Puente D. Gonzalo, donde hav una fabrica de ollas ios des. Ks tal el incremento que hj tomado la pasa en el .Reino de Valencia, y pucheros de que se paga el diezmo, y hj»ta las zambombas lo psgan en Gra que de pocos años í esta parte, solo en el radio de cuatro leguas al rededor de nada. Esto , como digo, tiene su o…</t>
  </si>
  <si>
    <t>Gonzalo, Miguel</t>
  </si>
  <si>
    <t>Miguel Gonzalo</t>
  </si>
  <si>
    <t>…00. corte, de oficio carretero, dedicado £ cestero, sospechoso en la causa criminal que por el juzgado del Sr. D. Santos López Peleerin, del Consejo de S. M., teniente corregidor CAMBIOS. de esta villa, y escribanía del numero de D. Miguel Gonzalo, se esta siguiendo de ofi cio sobre la triuerre violenta dada á José Alvares, mozo de cordel que era en esta di-I cha corte, la noche del J.° de Enero ulrimo, «m la c-lle de la Comadre, para ane eñ 16. b. Cádiz,Aimterdam par. Sevilla, | ,00. / París* de en dias siguientes de al presente nueve este…</t>
  </si>
  <si>
    <t>GonzaU</t>
  </si>
  <si>
    <t>…rata memoria* .9-° Luego que el Estamento tome conocimiento de las obligaciones del Góbterbo, se ocupará del modo de llenarlas. Entre tanto anticipará una idea que Nota. En la sesión del dia ■$, col. 6.*, penúltimo párrafo» dice: Sr. GonzaU* podrá servir de termómetro i su verdadera opinión. Procurar Us mayores eco- (J&gt;. Amonio}» léase; Sr. Triaba* *b i': ov-i-. i-:.; ;&gt; &lt; .&lt; ’;r.' .&lt; &gt;. í r y ( ■ : : " : i ,.; EN LA IMPRENTA REAL. •vj T-É &gt; *.í -¿.ó tu [ tío O. í</t>
  </si>
  <si>
    <t>Gonzilez</t>
  </si>
  <si>
    <t>…or de pre&gt;idir un cuerpo respetable; J ra si se h \ de aprobar ia petición en --u totalidad: secunda si se ha proceder al el ni sitio camino siguieron los que ocuparon igual destino.” examen de las disposiciones particulares.” El Sr. Gonzilez h zo 3* leyó la siguiente proposición. "Pido al Edamen- .ÍV, Brida : «Cuando se votó la contestación al decurso del trono , que es to que recaiga la votación sobre la verdadera pet'cion, con exclusión de la ex lo que mas amlogía tiene con el asunto presente, se hicieron dos votaciones posición de l…</t>
  </si>
  <si>
    <t>Gonzslez</t>
  </si>
  <si>
    <t>…A GACETA DE MADRID DEL MARTES 9 DE SETIEMBRE DE 1834- ■ ■■■ ■ — ■ u oeaooeowa—»—— * CORTES. (padre), Ezpeleta , marques de Falces , Trueb* ( R ornante , Vega y Ríe, ■urques de la Gándara y Marte;." arTAMKHTO DI PIOCOXAEVO* IIA El Sr. Gonzslez (Z&gt;. Jutn Gualterio'): «Suplico al Sr. Presidente u airra exonerarme de la cotnís on encargada de! proyecto de ley que uní Sttion dtl di* 8 dt Sttitmlrt, preveutar relativo á D- Cirios*. Me partee que no e&gt;tr&gt;y en el caso de votar ni ser individuo de la cofn *&gt;on. El Pielendienre con fecha de 26 de…</t>
  </si>
  <si>
    <t>Gonzuzlez</t>
  </si>
  <si>
    <t>…cumentos de la. Es un principio, que no puede renunciar un cargo el que no lo tiene, y que su aptitud legal, para en su vista resolver lo conveniente.” acaso no lo podrá tener; porque teniendo imposibilidad de obtenerle, ¿cómo hl Sr. Gonzuzlez (D. Antonio'): «Para evitar que se alargue mas la dis lo ha de renunciar ? De consiguiente no puede concederse la renuncia del cargo cusión, haré algunas aclaraciones. El coronel Seoane estuvo emigrado todo el de Procurador al que todavía no ha probado su'aptitud para obtenerle: mien tiempo de la r…</t>
  </si>
  <si>
    <t>Goosenj, Pedro</t>
  </si>
  <si>
    <t>Pedro Goosenj</t>
  </si>
  <si>
    <t>1 ^4^ ' calorí no contribuyeron poco ¿ aumentar estas indisposiciones» ya por el uso Un vecino de Bilbao, por mano de D. Pedro Goosenj................. ¿00 ' que muchos haciaji de estas aguas recientes, como también porque la humedad D. J.M. J....-......... .............................. .......................... ............... en que mantuvieron la atiúoífera disipaba la irritación'y aflujo que el calor -■ D. Manuel Grajales, suscrito por la de…</t>
  </si>
  <si>
    <t>Gopptjh</t>
  </si>
  <si>
    <t>….® del corriente ~L£I 2$ floocurr «/novedad en Vizcaya, y el brigadier Jáuregui había .re- que en aquella capital y su provincia se disfrutaba de buena salud , exceplo tn gtosado&lt;*rN»éírnt¿áGutp&lt;ucoa. ' ' ' ; la villa &lt;je. Pugnte D. Gopptjh¡rquyo estado remite, np_ haciéndalo dél de Bc- -- t.t.’nsiin-* ' »!- namcjí por qo haberlo recibido- .. . i-,- . . -lEf comatidante jjétseral de Toledo disé con focha 5 del corriente, -que aquelia provinoiii'ha^iwdbdo libreide:facciosas. - -fletado sanitario-de la villa de Puente £&gt;.Gotnala. • ,. i…</t>
  </si>
  <si>
    <t>Gopzalez, Diez</t>
  </si>
  <si>
    <t>Diez Gopzalez</t>
  </si>
  <si>
    <t>…' de 23 de Julio, ,D.N. ................................................................................. 160 „ Tércera y últim^ junt# preparatoria f l i ¡ r...........* E. P... .1 320 Sq^abrió lp sesiqq.á las diez y cuarto, y,el Sr. Diez Gopzalez pidió que se- í&gt;. B. F 400 rectifitíase en acta de la sesión anterior el párrafo relativo' á 'íafc' poder es det D. Pedro Salomón, sin perjuicio- de contribuir con mas si sigue la Sr. P^ada*; pues se dpcia qué el dictamen de la Comisión era que se desapro-. enfermedad.. ............... ............…</t>
  </si>
  <si>
    <t>Gordon</t>
  </si>
  <si>
    <t>…rmación de un puer ciudad; una multitud de personages ingleses y rusos han alquilado habitacio to de segundo órden para la arribada de los buques del Estado, y ver si se pu nes; el marques de Hatfords, la marquesa de Anglesea, el general Gordon, dieran establecer en él astilleros de carenas. Ya hace mucho tiempo que existe sir Tomas Moore. Entre los rusos se cita el feld-mariscal príncipe de Wittgcns- este proyecto; y esta es, según creo, la segunda vez que ha ¡do al sitio indi tein, el que empezó bastante mal las operaciones militares en…</t>
  </si>
  <si>
    <t>…e»'de Tito y Vespasieno en de lá ley marciat. Se han puesto á preció las caberas de del circo, sqpte «teíére Plinto.” (¿MutilaBurdtits.y ^elde&amp;vf te ofrecen porreada tina de ellas&amp;í ^dracmas ^ iidente del consejo &lt;fc guerra es el coronel Gordon. in____jSo lee-en el Cmjintia delMoja ■. Laarmeria de Mnrij iviadó á aquellas provincias un comisiónado jara rfcstábleyortT y mas'licrtnosas 40c posee la ; Francia cjtpda puede údentc de la regencia está indispuesto hacj? unos.qias. Se principal salón,.donde se ven colocidps.cn un,orden admi ronto i…</t>
  </si>
  <si>
    <t>Gorfiag</t>
  </si>
  <si>
    <t>…tes, no sérá ün iespl- lis demas legaciones; pt&gt;r ejemplo:-d ministro en.Munich es al .mismo tiem tádo qué lisonjee y afiance las' esperanzas inicuas de nuestros enemigos', que sin po ministro cerca de- la Dieta e^. Francfort: él conde Gorfiag, méesuo de duda .ven cn é^te saCíííciójla pérdida total de; lafeputacion.dél infrascrito, y céremonias, ha sido nombrado ministro en Casel; y hace tumy poco, Mc. de •I dcsquició completo de Tódo el poder popular que sostieúií U causa nacional Turckeim. ministro en Eiefavich ■ igióú^nente gire ai pr…</t>
  </si>
  <si>
    <t>Gorrera, Manuel</t>
  </si>
  <si>
    <t>Manuel Gorrera</t>
  </si>
  <si>
    <t>…zos L convención nacional , y que ahora la junta de Aranceles al ministerio de mi cargo, y promovido en la mismo saquea la capital del Perú, y la tiene sumergid i en Uto v llanto. ; Com intendencia de Cádiz por D- Ramón Cabello v D. Manuel Gorrera, parara el pérfido Gamarra Jos execrables nombres de Bermudez, Elespuro, de áquel comercio, solicitando el primero que se mollifique el de Allende y Frías, con ios de Necochea, Niel ), Levóla, Valle, Qu¡:ú-, Ramos, recho-de entrada impuesto á las plumas de avestruz; v el segundo, Valle Ríestra y ¡o…</t>
  </si>
  <si>
    <t>Gorria, Ffcmeiseo</t>
  </si>
  <si>
    <t>Ffcmeiseo Gorria</t>
  </si>
  <si>
    <t>…¿fe 13 de se há servido nombra* p*ra la plaza de oficial pnipSfo dc ia contaduría tfe Propios dé la ^rdyyhCtq d&lt; Ma drid v* vacante por saliera d&amp;D* José Eugenio de Rojas á secretarte &lt;kL .gobierno VARIEDADES. civil de.Zamora, á D. Ffcmeiseo Gorria, oficial primero de ia sectetaiía dél gobfefnp civil de Lugo.. , „ ’V¿ Ur/ cebado achual de la Grecia ¿ y de lar medios de llega* 4 tm ¿tthttoca don, pOr jf^edrrisro TkiefSck, dós tVfnai en 8.*, TarptSL y Para las dos plazas de cérisores regios supernumerario* de Barcelona, va (Concluye el segundo…</t>
  </si>
  <si>
    <t>Gortschtkóff</t>
  </si>
  <si>
    <t>…le pareciese. Pero muy pronto conoció que 1* bureues, ha ¡do á Marienbad para cumplimentar á su Soberana. Mas tarde pa faltaban todos estos elementos, porque la escuadra había orlo apresada ¡ d ej¿p sará á los blfios.de Pirna-.El príncipe Gortschtkóff ha quedado interihasoente cito (excepto la caballería) se hallaba en un estado miserable; y D. Miguel encargado de los’Negocios de la embijada de Rusia; y ei conde de Valdbnurg- no quería seguir mas opinión que la suya propia. El primer puso de BourZein y Wuraach de 1» de lá embajada wurtemburgues*…</t>
  </si>
  <si>
    <t>Gorvea, Francisco</t>
  </si>
  <si>
    <t>Francisco Gorvea</t>
  </si>
  <si>
    <t>…u[tiene,mjjcha impqrtancia cómo documento históriep. -Al estudiar |a ñalad.) p-ti junta general de acreedores a la casa comercio qde fue de ttoi ebrrt, titula u&amp;réH¿,ll¿ liÍ agínióúeiítéVtuiór que arroja ert el lienzo, para da de D. Francisco Gorvea y sobrinos, él domingo 14 de éste mesé las nueve de su mu anihur él^fóníi'í, té percibe un cuadto Bit &lt;Je tas costumbres españolas después quedeñan*, enno laconcurriraudiencialesdeparara.S. S.,perjuicio.que la tiene en la «asa de ayuntamiento} apercibido! EN LA IMPRENTA REAL.</t>
  </si>
  <si>
    <t>Gotarredona, Lorenzo</t>
  </si>
  <si>
    <t>Lorenzo Gotarredona</t>
  </si>
  <si>
    <t>…es que siguen; 1? Tan luego como los Gnliemadores civiles reciban las citadas Para la plaza de regente de la Real audiencia de Asturias, va Reales disposiciones, acordarán el día, que será el mas inmediato cante por jubilación de D. Lorenzo Gotarredona , he venido en nom posible, en que se lia Je proceder en la Capital Je la Provincia de brar á D. J uan Arguelles Valdés. Tendréislo entendido, y lo comu su mando á la solemne promulgación del Estatuto Real y de la nicareis á quien corresponda. = Está rubricado de la Real mano. = Convocatoria á Cort…</t>
  </si>
  <si>
    <t>Gotiertjalljralijrim</t>
  </si>
  <si>
    <t>…obernador, se instaló la nueva sociedad al dia,&gt;23 del próximo püádo con satisfacción" de aquéllos leales habitantes que •80 de Junio y 2 d« Julio. 32 7 J ven en esta medida una de las muchas prüebas del amor maternal de S. M. la Reina Gotiertjalljralijrim0 de lostnascficaces medto»/para fomentar los ma nas tiale» de la riqueza pública eq aquella fértil provincia. S. M que se ha en ! isotRA de coitERC[o._Cor/úe/on de hoy i las tres de la tetrde. terado con agrado de este suteso, Va ha dignado disponer que se manifieste asi RFzcros míticos. de su Real órd…</t>
  </si>
  <si>
    <t>Gótricz, José Remigio</t>
  </si>
  <si>
    <t>José Remigio Gótricz</t>
  </si>
  <si>
    <t>…los- oprimidos que recobrasen su1 para la de Brihuega £ D, Andrés Ruiz; para la déChinchillaá D, Jhsé Mar libertad; sufría que D. Miguel violase los. empeños-contraídos con nuestro go- tínez Bustamante-, pjtra lá de Piedrahita á'D. José Remigio Gótricz; pira la de , hiernó;}abaridonabá £ nuestra antigua aliada la Puerta en manos de- los rusos; Betanzos £ D. Gregorio Goyane» y Balboa; para la de Cazáila £' D. Antón» DO iiripedfa los’denátrbsos acontecimientos que condujeron al trinado de Andri- María Cúnelos y Lanuza; y para el corregimiento de Re…</t>
  </si>
  <si>
    <t>Gottzalea, Dita</t>
  </si>
  <si>
    <t>Dita Gottzalea</t>
  </si>
  <si>
    <t>…término medio. Hago estas obsecraciones antes que se pase á la discusión del mento con justísima razón al de severa justicia que se trató de seguir en uir artículo, reservándome el tomar la palabra cuando lo juzgue necesario.” El Sr. Dita. Gottzalea.: ” En la discusión de la totalidad del proyecto de principio, para que reconociendo lo mas justo se mantenga nuestra armonía con todos, y el ciédito no padezca; si hemos de reconocer por equidad una ley lo impugné:sin embargo, ahora tomo la palabra en favor del art. 3.a La buena correspondencia, se…</t>
  </si>
  <si>
    <t>Goü, Sebastian</t>
  </si>
  <si>
    <t>Sebastian Goü</t>
  </si>
  <si>
    <t>…parte dado pot el capitán D. Juan Antonia Uzurjaga, ..&lt; ir apoyada en A valor. El coronel D. Joaquín deUrw««ida ,cl espitan IX* gobernador y comandante militar de Vergara y su distrito, relativo i la defen- Isidoro Iracbeta, otfó D. Sebastian Goü, y d de igual dase avudaate.de pNr » de aquella villa, ejecutada en el día 5 del corriente , que á la letra a como xa D. Cayetano de Lili, han combatido y prestado sus servicios en todo* loa rigue: .puntos.que se les ha señalado-, como asimismo los doce celadores. Dios &amp;c-r= .4-</t>
  </si>
  <si>
    <t>Gourgaud</t>
  </si>
  <si>
    <t>…nmediaciones á fin de poder hacer marca artillería 13.0669 francos; 7 el dictámen de la comisión que pide se rebajen de ciones á tierra de dia para situarlo con perfección; pero por el color del agua dicha suma 4*6739 francos. El general Gourgaud manifiesta las razones que tie inferimos que habia mucho fondo por todo su alrededor, y lo mismo de una ne el gobierno para pedir la suma enunciada: el general Demarqay dice que los á otra piedra. No cabe ninguna duda en la existencia de dicho bajo, pues estu fusiles que usa el ejército francés son…</t>
  </si>
  <si>
    <t>…nes cree que es suficiente seguros de que el ministerio empleará la misma prudencia, yrdiscernimiento que cantidad laaque se asigna para este objeto. ha mostrado hasta aquí en la elección de los Proceres reservada á la Corona, El general Gourgaud observa que para el ejército y la guardia nacional or es de creer que esta asamblea caminará pacíficamente á la regeneración de Es ganizada se necesita 1.760,325 fusiles; que á dicha suma es preciso agregar los paña sin violencias de ninguna clase. (Idi) que hacen falta para las plaza; fortificadas…</t>
  </si>
  <si>
    <t>…e hallaba i la derecha del regimiento 22 ’ para gastos de la Ocupación de Argel. de linea: cuatro baterías del primer regimiento de artillería , mandadas por el M. Garfan de la Rochrfoucauld'. «Señores: ha dicho M. de Sade que no general Gourgaud y el coronel Laplace, ocupaban la plaza de armas. los re debéis conceder los fondos que se piden para establecer una colonia en Argel: gimientos l.° y 2.a de carabineros, de guarnición en Versalles; el 4-° regi convengo con la Opinión de este diputado, porque es la misma que os mani miento de lancero…</t>
  </si>
  <si>
    <t>…mentánea, i No hubiera sido mas prudente y político en los ga sus ejercicios de fuego el primer regimiento de artillería. El Príncipe Real en binetes de Europa consagrar como un principio U separación del Egipto y de cargó al Sr. general Gourgaud, director de la escuela, que manifestase á los la Turquía, que ya existe de hecho? La Rusia, es verdad, se hubiera opuesto artilleros el placer: que recibía riendo su hermoso porte é instrucción; y ha á una medida tan útil á ambas partes, porque excitando el espíritu belicoso qt&amp;rido añadir pruebas…</t>
  </si>
  <si>
    <t>Govan, Pablo</t>
  </si>
  <si>
    <t>Pablo Govan</t>
  </si>
  <si>
    <t>…ales, aunque hasta ahora no presenta la crimen á D. Joaquín Velluti, á D. Cayetano Muñiz, alcaldes de di » E»u legación griega continua experimentando las dificultades y disgusto* cho superior tribunal, á D. Francisco Cortazar, á D. Pablo Govan- que hace tiempo sufre de paite del gobierno turco. Mas de 81) buques griego* tes y á D. Blas Damián de la Vega: y para fiscales, á D. Claudio siguen detenidos sin obtener el firman de salida, ni para el mar Negro, ni pa Antón de Luzuriaga , de lo civil, y á D. José Joaquin Casaux para ra el Archipi…</t>
  </si>
  <si>
    <t>Govantes, Angel Casimiro</t>
  </si>
  <si>
    <t>Angel Casimiro Govantes</t>
  </si>
  <si>
    <t>…gado de Fomento de esta provincia, la obligación de averiguar y conocer con exacti Para la plaza de oidoT de la Real audiencia de Galicia, vacan tud cuáles son los verdaderamente indigentes, imposibilitados de te por promoción de D. Angel Casimiro Govantes, nombro á poder adquirir el sustento; cuáles los que por carecer de trabajo en D. Manuel María de Manuel y Céspedes, alcalde del crimen de que ocuparse se hallan en la miseria; y cuáles los que escudados Sevilla. Tendréislo entendido, y lo comunicareis á quien corres- , con la apariencia de enferme…</t>
  </si>
  <si>
    <t>Govantes, José Agustín</t>
  </si>
  <si>
    <t>José Agustín Govantes</t>
  </si>
  <si>
    <t>…corriente se abrió con la mayor solemnidad el curso de dere ción ó alteración de la referida contribución. (Boersem-HaiL) cho en el Real colegio seminario de S. Carlos, en cuyo acto pronunció su ilus trado catedrático licenciado D. José Agustín Govantes un elocuente discurso, FRUSTA. en que, haciendo patentes las inmensas utilidades que reporta la sociedad de la ciencia del derecho, enumeró los conociniientos prévios que deben adquirir Berlín 16 de Noviembre. lOs qué quieran aplicarse con provecho á la jurisprudencia, y se extendió en luminosas re…</t>
  </si>
  <si>
    <t>Goyena, Florencio García</t>
  </si>
  <si>
    <t>Florencio García Goyena</t>
  </si>
  <si>
    <t>…ados bajo la protección inmediata dei gobernador, y su Vicente Calvo y á Di José Plá y Puig; y para fiscales á D. José ministrarles armas para que defiendan sus derechos y los de la Puerta otomana María del Busto de lo civil, y á D. Florencio García Goyena para contra la violencia de los capitanes. De este modo, no solo evitaría el Sultán Jo criminal: y es mi voluntad que todos los ministros ocupen el lu la necesidad de enviar un ejército á la Bosnia, sino que aun podría lévantar numerosas quintas en este país» (Gr. de Augi burgo.) gar que le corresp…</t>
  </si>
  <si>
    <t>…drid 10 de Diciembre de 1854.=Moscaso.=ticulares y en la escandalosa perpetración de los ultrages mas inhu Sr. Gobernador civil de Albacete.manos, se ha servido §. M. la Reina Gobernadora mandar, que el comisario régio de Navarra D. Florencio García Goyena por sí, ó (!) Léase tn articulo de Madrid «1 pane en t^ue se da cuenta de los alentados ce*», nombrando un letrado y escribano de Acreditada lealtad, actividad y metidos por los facciosos en el pueblo de Villafraoca. encía, auxiliado de lá fuerza necesaria, se dirija inmediatamente dicha villa, abr…</t>
  </si>
  <si>
    <t>Goyri, Manuel María</t>
  </si>
  <si>
    <t>Manuel María Goyri</t>
  </si>
  <si>
    <t>…TO S&gt;U SOS PKOCURADOSES. dos almohadas, dos fundas y una manta. 1 D. J. P.......................................... ........................................................ loo Primera junta preparatoria celebrada el 20 de Julio. D. Manuel María Goyri, con destino i la sopa ecónomica......... .. lQGO Se abrió la saion l las doce y cuarto con asistencia del gobernador civil D. José Machón........................................................................................ 320 d* ests provincia Conde de Villeberrnoso y su secretario, conforme a…</t>
  </si>
  <si>
    <t>Gozalez, Diez</t>
  </si>
  <si>
    <t>Diez Gozalez</t>
  </si>
  <si>
    <t>…rá el resultado.” __ —— ---------- cesitan para el pagó de los iotere»es reconocidos. -Segtm-4*--c-pinicn r. na. sé . El Sr. Santafc: «Tan distante estoy de convenir con las ideas del señor si del Sr. marques de Montevírgen ó del Sr. Diez Gozalez, y según la cuen preopinante, que creo que si se adoptase el art. 3»° de la mayoría, no so ta que ha hecho, resultan lóu millones mas, y según otros 40 menos. En e?to_^ lamente se destruiría el hermoso edificio "presentado por el Sr. Ministro de □o entra la deuda de Francia ni la de Inglaterra. Hac…</t>
  </si>
  <si>
    <t>Gozlan</t>
  </si>
  <si>
    <t>…s llamamos caracteres! La pintura de prosa misma U usaban, de cuyos ensayos puede formarse alguna idea con el estos exige un hábito de observar muy ejercitado, y sucede también á ocasio- que ha publicado recientemente mi amigo el Sr. Gozlan.” nes/que se atribuye al carácter lo que solo es perteneciente á la moralidad.... El El redactor de este artículo se propone entrar en un campo mas vasto: va autor del Cid ha hecho cuanto podía: la exaltación caballeresca de todos los á presentarnos en otros números do la revista la literatura españ…</t>
  </si>
  <si>
    <t>Graccs, Hilario</t>
  </si>
  <si>
    <t>Hilario Graccs</t>
  </si>
  <si>
    <t>…s los partidos ele la Cáma á D. Manuel Martínez , alcalde mayor de Villadiego; á D. Casimiro de la ra electiva, parece que se trata únicamente de hacer sospechoso á la opinión Piedra y Urrutia, alcalde mayor de la Isla de León; a D. Hilario Graccs* al pública á un portugués, altamente apreciado en Francia y en Inglaterra por calde mayor de Sala de los Infantes; á D. Bartolomé Felipe Almendro, al sus luces y por los eficaces -servicios que ha hecho en favor de la causa de la calde mayor de Mérida; á D. Juan Nepomuccno Hidalgo, alcalde mayor d…</t>
  </si>
  <si>
    <t>Graeé</t>
  </si>
  <si>
    <t>…y pagando sus intereses. Yo no veo en esto mas que mucho juicio y buena fe. sin ningún motivo que aparezca justo.” No se crea que hablo de memoria. El Luego que tenga la mayoría de la comisión los documentos que acrediten la le- coronel Graeé*&lt;..fea sido • desterrado en 24 horas de Barcelona , y obligádmele gitimidad de aquel, lo reconocerá; pero entre tanto me parece que debemos, á dejar áiaa&amp;madré Octogeriana yá abandonar sus bienes, sin saber por qué. lejos de desaprobar su dictámen, estarla muy agradecidos por la prudencia y Creo po…</t>
  </si>
  <si>
    <t>Graells, Ignacio</t>
  </si>
  <si>
    <t>Ignacio Graells</t>
  </si>
  <si>
    <t>…meros meses de este año, y con la debida an cataioRa. ticipación se entablaron las negociaciones necesarias para su trasporte directo á España , en lugar de que pasasen i Toloa como en el órden regular habría su Caldas de Mombuy. D. Ignacio Graells, en Barcelona: 1.a temporada, cedido. desde 1.® de Mayo á 15 de Julio: 2.a, desde 1.® de Setiembre á 15 de Octubre. S. M. el Rey de los franceses dió en esta ocasión una nueva muestra de su Olesa y Esparraguera. D. Manuel Mana Domínguez, en Barcelona: des interés en favor de la Reina nuestra Señora…</t>
  </si>
  <si>
    <t>Graes, Mr</t>
  </si>
  <si>
    <t>Mr Graes</t>
  </si>
  <si>
    <t>…l Gers.) Regaudit, y en donde tiene su insignia el contraalmirante Masieux dé Cereval; la Artemisa, de 54 cañones, mandada por Mr. Laine; la Se lona, de 40, ____Un huracán que sobrevino en Burdeos á fines del mes pasado &gt; no sola capitán Mr. Graes; y de.una corbeta,la Lamprea, de 12 bocas de fuego,man mente asustó á los que estqban de paseo, sino que ha producido graves y fudada por Mr. dc Trcbisac. • ~ P? &lt; &lt; nestófeefectos para tnuchoá spropietarios deL departamento. Blanquefort, BruLa Fortuna, corbeta de trasporte, salió ayer con destino…</t>
  </si>
  <si>
    <t>Grajales, Manuel</t>
  </si>
  <si>
    <t>Manuel Grajales</t>
  </si>
  <si>
    <t>…as aguas recientes, como también porque la humedad D. J.M. J....-......... .............................. .......................... ............... en que mantuvieron la atiúoífera disipaba la irritación'y aflujo que el calor -■ D. Manuel Grajales, suscrito por la del corriente mes.................... 4 sostenía en lh piel y aumentaba la del caoal digestivo. . ' D. M F. L., suscrito por la del comente me*........... ...................... 2\) No faltaron, ó mejor dicho; se repitieron fcn este mes en mayor pumero D. A.- P. L por ahora 80 rs ,…</t>
  </si>
  <si>
    <t>Grajo, Juan Manuel</t>
  </si>
  <si>
    <t>Juan Manuel Grajo</t>
  </si>
  <si>
    <t>…ara uso de la juventud: escrito en Estado sanitario. francés por M. A. M. D. G.; traducido libremente al castellano de la séptima edición corregida por el autor, y aumentada con algunas útiles adiciones y reflexiones mora les por D. Juan Manuel Grajo, presbítero, capellán de las religiosas franciscas de la Pueblos. Dias. Enfermos. Curados. Fallecidos. Anunciación, vulgo Coflstantinopla, de esta corte. Contiene los principales sucesos de la sagrada Biblia,desde la creación del mundo hasta el nacimiento del Salvador, y Illana.....................…</t>
  </si>
  <si>
    <t>Granada</t>
  </si>
  <si>
    <t>…uientes de al presente nueve este anuncio je de la publicación termino el £ * Alicante, d. $ Coruña,Rayona, 00. * d. Valencia, de en que justicia real cárcel administrará hiciese, si asi lo se le oirá y Corte; laBurdeos, 00. zo, ¿d. Granada, $ id. Zaragoza, ¿ id. que la tuviere; con apercibimiento, que pasado dicho termino sin haberlo verifíc*dAIn Ram burgo, 00. Barcelona, Malaga, par. Descuenro de letras, le parara el perjuicio que haya lugar.JLondres, i oQ dias. ib. Santander, i b. £ 4 P» 100 al año. m* Bilbao,** Santiago, 4 d. Nota…</t>
  </si>
  <si>
    <t>…babeo español, 00. CAMBIOS. jí??r&gt;'Cn observación, y haciéndose después de esta el corxcspon- A'msterdam, 00. París, 16-3. Cádiz, Hb. de »u persona y efectos. ^ * Bayona, 00. Alicante, á corto pla Coruña, \ d. Burdeos, 00. co* ± d. Granada, f á é id. Hamburgo, 00. Barcelona* á ps. fs.« Málaga, f id. ^ * r * ’ VARIEDADES. ( Lóndres, á 9O días, ib. Santander, i b. 4 4 p. 100 al 38*. Bilbao, é d. Santiago, | d. Fondas yeajes IUvados á las casas. La dificultad de emplear bien los capitales y el arte de especular, tan per ANUNCIOS. feccio…</t>
  </si>
  <si>
    <t>…terio de su ramo que habiendo intimado el cabecilla Castor la ren Bayona, 00. A1 icante, á corto pla Coruña, } d. Valencia, } d. ‘ dición de-aquel punto y la entrega de 19 raciones, la corta fuerza de carabine Burdeos, 00. zo , ¿ d. Granada, } id. Zaragoza, } id. ros que álli sé hallaba, con el paisanage de la villa y parte de la marinería ar Hamburgo, 00. Barcelona, k ps. fs.. Málaga , par. Descuento de tetras, á 4 p» 100 ai año.mada, se puso en movimiento para atacar á aquel fbragido, cuyo mensa?, iue Londres,37*. á 90 dias. Bilbaoi…</t>
  </si>
  <si>
    <t>…abían dirigido i Tuppoya, donde habian tomado tierra. Los habitantes, Bayona, 00. Alicante* k corto pía*, Coruña* 4 d. Valencia, opr. detpues de haberles arrebatado sus canoas, los habian despojado de cuanto po Burdeos, 00. ao, 4 d. Granada, id. id. Zaragoza, f d. 00. Barcelona, frpa.fr., Málaga * fr id. Descuento de letras»seían; pero esperaban que Pomarra los recibiría bajo su protección. ¡Por qué, Hamburgo* Lóndres* 4 90 dias * Bilbao, fr d. fr 4 p. 100 alado. Santander* 4 b* 1» preguntó el capitán, no habéis procurado vengaros en…</t>
  </si>
  <si>
    <t>…frtfrüctífero el instituto asturiano, planteado que sea con- Bayona, 00. Alteante, ácortopla- Corufia, | W. • " , ^r-Jencia , ídv’ fOrtne^á la Real órden de ’l4 de Marzo, qüe ha excitado la gratitud de todos Burdeos, 00. • zo. é d. Granada., 4-id» &lt;. Hamburgo, 00. . Barcelona, á os. £*., Malaga, , , Jos Vtnáttfes de nacional. y* prosperidad la gloria á _90 dias; Londres, b. Santander, i ibÁlaJ&gt;á él zelo y conducta Económica de aquella provincia, y de la sociedad a ^ i d. ; a 4 p. ÍOqali ‘ ' Bilbao, i d.: . ' Santiago , í papeL espera…</t>
  </si>
  <si>
    <t>…par. —— suprimiendo el derecho consular denominado de ambulancia. (Id.) L Bayona, 00. Alicante. 4 cortopia- Corufia, 4 d. 'Valencia, id. ——— sobre bu. letres de cambio procedente* de las provincia*'Vascongadas r Burdeos, 00. 10, *d. Granada, 4 id. Zaragoza, 4 d. Malaga, id. id. Ierras, Desciwnto de b. Navarra. (Id.) '' j ‘ \ ' - ' Ha|ubur|otLóqdres, a 00.90 dias,,. Barcelona,tb. 4 ps. fin, Santander, i al 4 4 p. 100 mandando se recuerde al ayuntamiento de Madrid la Real; órden de 11 l7£. BUbao, 4 d. Santiago 1 I d. añc. de .Mareo últi…</t>
  </si>
  <si>
    <t>…6—2. Cádiz, 14 b. Sevilla, i b. poraciones reunidas en jos actos y funciones publicas. Cid*) Alicante, acorto pla Coruña, 1 d. Valencia, par. t— 2 prescribiendo pedidas para facilitar á los pueblos afligidos por el cólera- zo , 4 d. Granada, id. id* Zaragoxa, ¿ d. d. Malaga , J á o*, fs., Barcelona, Descuento de letras 14-5.) (Afatfi. los auxilio^ que reclama sú triste situación morbo todos , a icj Londresuiiu 1 b. b. £ Santander, á 4 P* ^90 año. al de magistrado honores audiencia concediendo Reai-'decreto de la Real de Ma 1 d. Santia…</t>
  </si>
  <si>
    <t>…s providencias para el aseo y ventilación de los cuarteles: cooti- Bayona, 00. Alicante, k coreo pía- Coruña, | d. Valencia, par. fiadla visita domiciliaria, aplicando remedio á varios abusos: se están baoien- Burdeos., 00. xo, 4 d. Granada , 4 id. Zaragoza , f 4. 2 0 camisas, pantalones y alpargatas para los presos de la cárcel de villa, i los Hamburgo, 00- Barcelona, k ps. fs., Málaga, id. id. Peecueat» de letras, Santander, b. 4 4 p* 100 4L.tfa. i k oO días. Bilbao, 41cuajes se dardo también mantas para su abrigo: desde hoy 4 ha pr…</t>
  </si>
  <si>
    <t>…00. París, Cádiz, H b. Sevilla, * b. Ayefve,se ha impedido esta violación mediante las órdenes dadas oportuna Bayona , 00. Alicahte, ifcértópla- Cor uña» l d. Valencia t par. mente' á los alcaldes dé aquellos. Burdeos. 00. *0, * d. Granada/id. id. Zaragota , { d. Hamburgo, 00. Barcelona,-¿ pS» &amp;«, Málaga, * id. Descuento de ttm, .Londres, á 90 días»; .1 b. Santander, 100*1 «fio. Extracto del parte remitido por el secretario dd -gobierno civil de la 37* i f. Bilbao, { d. Santiago ,1 d. provincia de Almería, D. Antonio de Gamo, con fec…</t>
  </si>
  <si>
    <t>…rnador civil y Amsterdam, 00. Taris. 16—2. Cádiz, 1 b. Sevilla, ^ b. al comandante de armas. Concluida esta ceremonia en que brillaron rasgos de Buyocia, 00. s Alicante.á corto pla Cortina, | d. Valencia , pan Burdeos* 00. zo , ^ d. Granada, -i id» ¿arjg.ir®, fd. ternura y fidelidad por parte de todas ias autoridades, el comandante de Ur Hamburgo, 00. Barcelona, á ps. fs.. Malaga , 4 id. Descuento de Ierras banos D. Francisco Moiada dió un espléndido convite á varios de sus compa Londres , á 00 días, 1 b. Santander, ¿ b. a 4 p* 100 al…</t>
  </si>
  <si>
    <t>…evilí», | id. de del de id. 25 del arroba: vino país, 5(5 a 64 ¡A: priorato, 24 4 Alicante, á corto pla Bayona, 00. Coruñáf j d. d. Valencia, i Málaga (provincia de)__ Ante quera (31 de Mayo). Trigo, de 44 í 48 Burdeos, 00. zo, i d. Granada, é-i&lt;4« Zaragoza, £ d. 1 rs. fanega: cebada, de 25 á 27 id.¡maíz,de 4$ á 50 id.: habas, de 34.4 38 liainburgOi 00. Barcelona, i ps. fs., Málaga, ida,id* IJescuento de Jeeras . id.: garbanzos,“de 70 4 100 rs. id.: aceite, de 37 4 39 rs. arroba: vino, dé;16 4 1 Londres,38. 4 90 dias, Bilbao»I b. $ d.…</t>
  </si>
  <si>
    <t>…Excmoi Sr. Comandante general del ejército del reino de Valencia.s^Es copia.:s Valdés. - Amsterdam , 00. Taris, 16 papel. Cádiz, | b. Sevilla, par. Bayona, 00. Alicante, acorto pía- Coruña, J d. Valencia, $ d. Burdeos. 00. zo, ¿ d. Granada, f id. Zaragoza, f id. El capitán general de Castilla la Nueva en 4 de Mayo actual dice á este Hamburgo, 00. Barcelona, á ps. fs.. Malaga . par. Descuento de letras, ■ministerio lo siguiente: Londres, a 90 días. i b. Santander, i b. a 4 p» 100 al año» Excmo. Sr.:El comandante general de la provinci…</t>
  </si>
  <si>
    <t>…vol. D. Juan Manuel Ballesteros. Acciones del banco «pañol, 00. damos. Amsrerdam, 00. París, 16-2. Cádií, 1*R SevBU.ih, Bayona, 00. Alicante, i oorto pla- Corulla, | 4 Valencia, ifd. ESTADO SANITARIO DEL RUNO. Burdeos, 00. xo, $ d. Granada ,$id. Zaragoza, fd, HamburgO, 00, Barcelona, a pa. fs., Málaga, id. id, OescsKato de tetras, Lóndrcs, o0 i * b. i Uaptandcr, |.b,. tP9 al año. PROVINCIA BE CADIZ. ' *8. Santiago, 14 *&amp; En l.° del corriente avisan el proideote de la junta de Sanidad y el gober nador civil de esta provincia, que en l…</t>
  </si>
  <si>
    <t>…poéticos, expresa Amsterdam, 00. París, 16-2. Cádiz, 1 b. .Sevilla. 4 b. Bayona, 00. Al icante, 4 corto pla Coruña, 4 d* Valencia, par. dos con todo el estro'de la musa de Homero y de Virgilio, al mismo tiempo Burdeos, 00. zo, 4 d. Granada, 4 id. Zaragoza, jid. que se observan en los que anteceden y preceden la falta de gusto y de madu Hamburgo, 00. Barcelona, 4 ps. fs., Málaga, 4 id. Descuento de letra* rez! Valbuena poseía naturalmente el verdadero talento poético de la descrip landres , 4 90 días, 1 b. Santander, i b. 4 4 P* 169 a…</t>
  </si>
  <si>
    <t>…RO. Amsterdam, 00. París, 16-3. Cidiz, 1* ij b. Sevilla, i b. Resulta del oficio que en fecha 3 del presente ha remitido su gobernador Bayona, 00. Alicante, 4 corto pla Corulla , } d. Valencia,* 44 M. ’ 00*. Burdeos, zo, i b. ld. d. Granada, Zaragoza, * i civil, que desde 26 de Setiembre á 2 dél mes de la fecha fallecieron en‘aquella Humburgo, 4 00. Barcelona, ps. fs.. Málaga, 1 b. Descuento dé lrrras, capital 22 personas y curaron 3; y que en los otros 19 pueblos de la provin Londres , í 90 dias, Id. id. . Santander, 1 id. 4 4 9- 100…</t>
  </si>
  <si>
    <t>…repartido á los labradores 1500 fanegas de terreno inculto en el partido Bayona, 00. Alicante, á corto pla Coruña, ^ d. Valencia, par. de Trujillo y en otros muchos bajo la imposición de un canon moderado, con Burdeos, 00. zo , i d. Granada, 4 id. Zaragoza , * d. destino £ la composición del camino desde aquella ciudad £, la de Caceres. Hamburgo, 00. Barcelona, i ps» fs.. Málaga, f id. Descuento de letras, Londres, i 90 dias, 1 b. Santander, f b. á 4 P&gt; 100 al año. Ha rescindido algunas subastas de terrenos públicos en las que aparecí…</t>
  </si>
  <si>
    <t>…quella provincia. Amsterdam, 00. París, 16 papel. Cádiz, £ b. Sevilla, par. Bayona, 00. Alicante, a corto pía* Coruña, | d» Valencia ,.i&lt;L Extracto del parte remitido por el marques de Víllores, subdelegado de Burdeos , 00. zo, \ d. Granada, $ id. Zaragoza, j J. Fomento de la provincia de Castellón de la Plana, con fecha de 15 d« Abril Hamburgo, 00. Barcelona, i p&amp; fs*. Málaga, par. Descuento de letras, Santander * 4 4 b. b. á 4 -100 al año. último. • &amp; Londres, á g0 días. d* Bilbao, 4 $ d. Santiago, Instruye un expediente para propon…</t>
  </si>
  <si>
    <t>…as InceS, y amueblándolas decentemente? el edificio de los cé Bayona , 00. A1 Icante* á corto pla Coruña, 4 d. Valencia* par. lebres baños de la Piscina, que estaba ruinoso y casi inservible, se ha reedifica** Burdeos. 00. zo * i d. Granada, 4 id. Zaragoza, d. Hamburgo, 00. Barcelona, á ps. fs.* Málaga * ¿ id. Descuerno de letras* do, y hoy compite en brillantez con los demas del establecimiento. Todas las Londres, á 90 días 1 b. Santander * 4 b. á 4 p* 100 al año. pilas que se surtían por canales descubiertos, y carecían de derrames…</t>
  </si>
  <si>
    <t>…n oficio de 11 del presente dice su gobernador civil que según le avisa Bayona, 00. Alicante, k corto pla 1 Coruña* d. Valencia* par. el alcalde de Carabanchel alto, la enfermedad que en dicho pueblo se padecía Burdeos, 00. co» £ d. Granada, id. id. Zaragoza, { d. - había tomado diferente carácter del que manifestó al principio, y que los en Hatnburgo, 00. Barcelona, 4ps.fr, Málaga, i d. Descuento de letras JLóndres, á 9O diar, Ib. Santander« £ b» 4 4 *. 100 el *60.fermos no daban cuidado por el momento; acompaña asimismo el siguiente…</t>
  </si>
  <si>
    <t>…que habíamos quitado á los Amsterdcm, 00. París, 16 papel. Cádiz, 2 hL SevilU,par. óí). Vjilencii,'id. Alicante, d. á corto pía* Coruña, |rebeldes por no bailarse pueblo ninguno á las inmediaciones. Desde él empren Bayona, zo, 2 d. 00. ! 2 Granada, l^&gt; ¿aragoza* 2'd- Burdeos , dían la mañana de hoy mi movimiento hacía esta villa con el objeto de ata Hamburgo, 00. . ■ Barcelona, h ps. fs., Málaga, pat. Descuento- de tecvaii car á Zavala, si se hubiese dirigido sobre ella , donde he llegado con algunos ¡Londres , a oQ días, 2 b., Santander, fb…</t>
  </si>
  <si>
    <t>…invertir cuanto poseen por realizar un proyec Am^terdam, 00. ¡París, 16-1 4 2. CldJa, ti b. BHlis, iW, 'Bayona, 00. Al icante, i cortó pió* Coruña, f d. |Valencia, id,i&lt;L to dé que depende su futura felicidad. Burdeos, 00. zo, 4 d. Granada, i 4 i Id. I Zaragoza f -id. Han sido de grande utilidad los pósitos en aquella provincia r y el gober Hamburgo, 00. Barcelona, 4ps. tu Malaga, id. id. 1 Descuento de letra!. nador civil ha cuidado de atender con parte de sus existencias al socorro de loa Londres, 4 QÓ dias, Santander), i b. i 4 4…</t>
  </si>
  <si>
    <t>…quel co- Ámsterdam, 00. París, 16-1 á 2. Cádiz, 14 b. Sevilla, i b. Bayona, 00. Al (cante, á corto pla Cor uña, ¿ d. Valepcia, id. id. tnercio, cuyos individuos habían redactado un reglamento para llenar cumpli Burdeos, 00. zo, ¿ d. Granada, i k £ Id, Zaragoza, , d. damente el fin de su instituto: añade que para dar ocupación á los pobres se Hamburgo, 00. Barcelona,- á ps. fs., Málaga, id. id. Descuento de letras; Habia proyectado una obra en las inmediaciones de aquella capital, y concluye Londres , 4 oO días, 4 b. Santander, ¿ b. 4…</t>
  </si>
  <si>
    <t>…ientos, y en ia que estimulaba el zeló de los habitantes para alistarse en la Milicia urbana. Amsterdam , 00. lWís, 16 papeL Cádiz, £ b. Sevilla, par. Bayona, 00. Alicante, acortopla- Coruña, £ d. Valencia, id. Burdeos, 00. zo, i d. Granada, £ id. Zaragoza, ¿ d. Hamburgo, 00. Barcelona, á ps. fs.. Málaga . par. Descuento de letras, Extracto del parte remitido por el subdelegado de Fomento de la provin Londres, á 90 dias, £ b. Santander, £ b. á 4 p* 100 al año. cia de Oviedo D. Joaquín María Suarez, con fecha de 30 de Abril último. m y…</t>
  </si>
  <si>
    <t>…otros pueblos de la provincia. Concluye en fin dicho capitán general dicien Bayona, 00. Alicante, acorto pla Curuña, $ d. Valencia, par. do que por comunicación que le hace desde Lumbicr con fecha del 10 el bri Burdeos, 00. zo, $ d. Granada , $ id. Zaragoza, $ d. gadier Linares, se preparaba á marchar para Pamplona con un convoy de 17 Londres,Hamburgo,a 00.90 dias. Barcelona,1 b. á ps. fs.. Santander,Malaga. 4 id.4 b. Descuentoa 4 p. 100aealletras»año. carros y 2UU caballerías. 38*. Bilbao» { d. Santiago , $ d*. El capitán general de…</t>
  </si>
  <si>
    <t>…órdenes superiores Amsterdam*Bayona, 00. 00. ' París,Alicante,16-2k cortok 3. pla Cádiz,Corona,1*4 b.d* . Sevilla,Valencia,*6.id. y giro? artículos que les corresponde» Dado en el cuartel general de Puente la Burdeos, 00. zo, fc d. Granada, i fc £ Id. Zaragoza* i &lt;L R&amp;£na á 12 de Julio de 1834* — José Ramón Rodil. Hamburgo, 00* Barcelona* fcps.fr., Málaga, i Id. Descuento de letras* Londres * á 9O días. Bilbao» 4 d. Santander, fc b, fc 4 p* 100 al año. Santiago, 1 d&gt; Se halla vacante la segunda plaza de médico-cirujano del Real sitio…</t>
  </si>
  <si>
    <t>…o español, 00. auKBiot* Otero deHerrérot. .......................... 1 1 09 ' ¿HstCTdam.OO. París, 16-1. Cádiz, í b. Sevilla, i b* Bayona, 00. Alicante, 4 cortopla- Cazuña, | d. Valencia, par. 2arZuefá del Mon- Burdeos, 00. so, ¿ d. Granada, 1 d. Zaragoza, f d. 00. Hamburgo, Barcelona, á pt.fi., Málaga, 1 id. Descuento letras da . 4 O0 días, 1 b. ' ié.' .:..6 i 11 Agosto. 2 \ 1 i landres Santander, ¿ b. k 4 p. 100 al año. Sn á 4- Bilbao t par. Santiago, 1 d. - NavarresdeAyuso. 9 á IX idem. .. 12 00 s ■ La Maúlla...... Idem idem... ü •…</t>
  </si>
  <si>
    <t>…i ü. SeVilfir, ; .'TÉ* reconocido d, molino de Garfias y la^ acequia de Zara ¡che, y ha totná-4_ Bayona, 00. Alicante, kcortopla- Cor uña, {d, Valencia, Id. M* do'm medidas-mié oportunaspara-su reparación. - ‘ Buedeos, 00. .zo« | d. Granada, id. id, da ‘ Ha aclarado las dudas que se habian suscitado sobre varias obras necesarias Miiibbtiri{oiLondres á 00.90 dias, Barcelorta, i f&amp; ft,. SantaQder.iUMÜága, 4 4 , p. «b/tíjliierta de aquélla provincia. - ,SamUgo, í .' i . V i i.N.itf.'íu fMPREKTA MAH.</t>
  </si>
  <si>
    <t>…ipcc y Silpho , destinados por el gobierno de aquella nación á cruzar Bayona, 00. Alicante,á corte pía- Coruña, $ d Valencia, par. sobre las costas orientales de España desde Rosas hasta la embocadura del Ebro Burdeos , 00. so, $ d. Granada, 1 d. Zaragoza, | d. 00. ps. fs.. Barcelona, Hamburgo, á Descuente de letra» Málaga, i td.con el objeto de oponerse á cuanto sea susceptible de favorecer las empresas de . Lóndres 9O días, Santander, $ b. Ib. . i k 4 p* 100 al aña. los rebeldes españoles. BiLbae* par. Santiago, 1 d. Según parte del…</t>
  </si>
  <si>
    <t>…ado en ella una hermosa lápida con la siguiente insejíp- Amsterdam,00. 00.'' París,Al icante,16-3.á corto pla Cádiz,Coruña,1Jj b.d. Sevilla,Valencia,4 par.b. cion: Rkinanjjo DoSa María Isabel lj. ASío de 1834* Burdeos' 00. zo , 4 d. Granada, id. Zaragoza, 4 d. Se .han concluido 10 cementerios, se están construyendo otros, y ya quedan Hamburgo, QO. t Barcelona, á ps. £5*, Málaga, 4,i&lt;l. Descuento d? letras, pocos pueblos en donde.no los haya. Londres, á 90 días, Ib. Santander ,4 b. k 4 p* ICIO al año. 384. Bilbao, f d. Santiago , 3 d.…</t>
  </si>
  <si>
    <t>…o se ba presentado ningún caso nuevo de cólera, ni ha fallecido ninguno Bayona, 00. Alicante, á corto pit Corufla, | d. Valenci*, par. .de lo* 8 convalecientes de que habló en el parte anterior. Añade que en el Burdeos, 00. eo, i d. Granada, 1 d. Zangos*, « i 00. Hamburgo, Barcelona, * n«fe. Málaga, * id. de Descuento letraspueblo de Moscardón han ocurrido tres casos de cólera en una joven y dos an a0 dias, Lóndres, á 1 b. Santander, 4 b. «fe *4*100*1 cianos, habiendo fallecido estos en pocas horas, y curado aquella. *74kl. Bilbao, pa…</t>
  </si>
  <si>
    <t>…París, 16-3. Cádiz, 14 b. Sevilla, 4 b. el bien estar de los pueblos. Bayona, 00. Alicante, á corto pla Cor uña, 4 d« Valencia, par. Tal ts la idea que se propone &amp; los artistas nacionales para que manifiesten Burdeos, 00. zo, 4 d. Granada, 4 id. Zaragoza, g d» ta ingenio , su buen gusto, su lealtad á la legítima sucesión del sólio hispano. Hamburgo, 00. Barcelona, á ps. fs., Málaga, 4 ¡d* Descuento -de ' letras, Lóndres ,¿90 dias, 1 b. Santander, | b, á 4 P* 100 al año.Presentarán á este objeto al Excmo. Sr. capitán general y junta…</t>
  </si>
  <si>
    <t>…b. Sevilla, par. •1 estante, cuyo proyecto, prometiendo resultados de incalculables ventajas, Bayona, 00. A1 icante, á corto pla Coruña, £ d. Valencia, id. cuenta ya con una cria robusta debida á esta mezcla. Burdeos, 00. zo , -i d. Granada, 4 id. Zaragoza, $ d. Habla de la fábrica de paños de Yenguas, y asegura que se sostiene por el • LondresHamburgo,, á 00.90 dias, Barcelona,íb. á ps. fs., S^ntand^r,Malaga , id. 1 b. Descuentoá 4 p* 100dealletras,año. consumo del pais y la extracción 4 las provincias de Andalucía que retornan 3 n-…</t>
  </si>
  <si>
    <t>…or al orden , que ellos perturban, y Amsterdam, 00, París 16-1. Cádiz 4 b. Sevilla 4 i. Valencia par. ^d. 00. á pla Corulla Alicante corto¡de zelo por la patria, cuyas entrañas despedazan. Esta clase de gentes se levan- Bayona, 4 d. Granada &gt;4 id- Zaragoza b. 00. par Burdeos, to t á |ta contra nuestro legítimo gobierno, se rebela contra el trono, y quiere dispo Hamburgo, 00. Barcelona a pesos ft. Milaga 414b. Descuento de letras i ner á tu antojo de la autoridad pública para hacerla servir á su propia conve- Ldndres á 90 dias 4 Id. Sa…</t>
  </si>
  <si>
    <t>…nel Nogueras desde Valde- Amsterdam,Bayona, 00. 00* París,Alicante,16-3.ácorto pla Coruña,Cádiz, 1}■} b.d. Valencia,Sevilla, 4 par.b. robles, la facción de Cabrera, Valles y Mestre se dividió en tres pelotones, Burdeos, 00. zo, 4 d. Granada, 4 á 4 Id. *^aragoz*, \ d. los cuales andan errantes, y de quienes se desertan muchos. Hamburgo, 00. Barcelona, á ps. fs., Malaga, 4 id# descuento de letra?* Londres, k 90 días, 1 á|b. Santander, 4 b. ¿ 4 P- 100 al año. 38J. BUbao, i d. Santiago, |d. ~ El mismo capitán general con fecha 21 dél corr…</t>
  </si>
  <si>
    <t>…l ii : no solo han estado AmsterdaoL, 00* París 16 U. Cádiz, $ b. Bayona, 00. Ai icante, á corto pía* Coruña, ¿ d. Valencia, ¿ d. puntualísimos con los partes y avisos, sino que se han prestado gustosa y volun Buratos* 00. zo , i d. Granada, i Id. Zaragoza-, 3 id. tariamente á la persecución de la gavilla; por lo que les considero acreedores á Hamburgo, 00. Barcelona, i ps. fs., Málaga , par. Descuento de letras l¡t gratitud nacional. Londres, á 9O días, 1 b. Santander, 4 b~ á 4 P* 100 al año. . "Hago á V. E. particular recomendación,…</t>
  </si>
  <si>
    <t>…casos fulminantes recientemente ocurridos, pues se ve que el número de los Bayona,00. Al icante, á corto pla¿ Coruña, 4 Valencia, par. que sanan és mayor por lo regular que el de los qué fallecen. Avisa también Burdeos, 00. *0, i d. Granada* 4 á Zaragoza* f d. haberse recibido el dia anterior el libramiento de los 403 rs. vn. con que S. M. Hainburgo', 00. Barcelona* k ps, fs*, Málaga ,4 id. Descuento dé letras Londres, á 90 días r 1Mb. Santander* 4 h* á 4 p. 1Q9 al aófw la Reina Gobernadora ha socorrido i aquellos desgraciados. Se hac…</t>
  </si>
  <si>
    <t>…e mi mando á Viscaret. El 15 hizo una contramarcha Zumalacarregui, y: Bayona , 00. Alicante, a corto pla Coruña,j d. Valencia., ¡d* vino don dos batallones á Zubiri y Urdaniz; Iturraldé con el tercer batallón á Burdeos, 00. zo , ¿d. Granada, * id. Zaragoza» jí», Ochagavia- El general Lorenzo permanecía en Lumbier para reponerse los cuer Hamburgo, 00. Barcelona, k os. fs., Málaga , la. id. Descuento de letras * Santander, b¿ i 40. *00 ^ ano. Santiago, * d.pos de varios efectos, y yo pasé de observación 4 Burguete. Londres37* papel.,390…</t>
  </si>
  <si>
    <t>…, | b. Sevilla, par. capital comó én'lór'détnas ptfeblós ¡de la provincia, dedicándose muy particu- Sayona, 00.£ Alicante,acorto pla Coruña,4 d. Valencia, 4 4. lírmente á protaovér la construcción de cementerios. Burdeos a 00. zo d. Granada, $■ id. Zaragoza, | id. Viendo qué1 algunos pueblos carecen de escuelas de primeras letras, ha pre HamburgOt-00. Barcelonaá ps. fs.. Málaga,, par. Descuento de lerr** Londres , k 9O días* i b. Santander ,$b. v 44 p» 15)0 al año. venido 4 snsayuntamientós que propongan medios de establecerlas y dota…</t>
  </si>
  <si>
    <t>…l expresado general Hore recomienda al coronel Mazarredo por lo bien Bayona, 00, A1 ¡cante, í corto pla Coruña, { d. Valencia, Id. que se ha portado en esta acción , y por la importancia de ella, atendidas las Burdeos, 00. zo , 4 d. Granada, i id. Zaragoza, 4 d. Hamburgot* 00. Barcelona, í ps. fs., Málaga , id. id. Descuento de letras, circunstancias de aquel país: lo hace igualmente del coronel Nbgueras, que'ha- Londres , á 90 dias. 1 b. Santandsr, f b« á 4 p» 100 al año. biehdo oido en su tnarcha un vivo fuego, acudió oportunamente…</t>
  </si>
  <si>
    <t>…inco de otras dife Amsterdam, 00. París, 16-3. Cádiz, 11 b. Sevilla, f b. Bayona, 00. Altean te, á corto pla- Coruña, 1 dv \f^encu;1p^f.. rentes enfermedades; que durante aquel, dia no habia enfermado ni muerto Burdeos, 00. zo, 4 d. Granada, 1 á 1 id, Zaragoza, 1 d. persona alguna, y se habían curado dos de célicos biliosos y una de tercianas. Hamburgo, 00. Barcelona, á p$. fs., -Málaga, 1 Id. Descuento de letras, Londres, á 90 dias, 1 á |b. 1 Santander, i b. ■' á 4 pt ' lOQ ál ano. PROVINCIA DE MADRID. 38*. Bilbao, * d. Santiago, * d…</t>
  </si>
  <si>
    <t>GRANADA, I PROVINCIA SE</t>
  </si>
  <si>
    <t>I PROVINCIA SE GRANADA</t>
  </si>
  <si>
    <t>…ridmedidasen lasanitariasi mprentacirculadasReal, y enporlasel provinciasSr.1 gobernadoren todascivillasdeadministracionesSegovia. Se suscribede Correos.en Ma — prontuario He artillería para el servicio de Campaña, por el segundo comandante I PROVINCIA SE GRANADA, ' de dicha arma D. Ramón de Salas; segunda edición muy aumentada. En esta obra, ( primera que se ha escrito en su clase ) se hallan 'muchos daros y noticias del mayor El presidente de la junta de Sanidad de dicha provincia dice con fecha 9 sidad,Ínteres yy parautilidadtodosparalos delos ingenieros…</t>
  </si>
  <si>
    <t>Granada, Id</t>
  </si>
  <si>
    <t>Id Granada</t>
  </si>
  <si>
    <t>…canales- Amsterdant , 00. París, 16-3. Cádiz, 14 4 f fa. Sevilla, 4 b. -f d. A Ucante, 4 corto pla Coruña, 4 4 ¡d. Valencia,.4 Bayona , 00. reducen los gastos de trasporte á 1,25, puesto que un caballo -puede arrastrar Zaragoza 4 d. Id. 4 Granada, 00. Burdeos. zo, 4 b. una carga de 484 quintales. Hamburgo, 00. Barcelona, 4 ps. fs., Málaga, 4 b. Descuento de letras, En el espacio de 50 años ba gastado la Inglaterra 800 millones de fran Lóndres, 4 90 dias, ¡d. id. Santander, 1 id. 4 4 P* 100.al año. cos en construcciones de caminos y canales,…</t>
  </si>
  <si>
    <t>Granada, José Juan Bo</t>
  </si>
  <si>
    <t>José Juan Bo Granada</t>
  </si>
  <si>
    <t>…; D. José Cafranga, del llonsejo Real; D. Luis Ba ccino de Guerra; conde de Clavijo; Conde de Teha; D. Ignacio de lanzas mariscal de campo de los Reales ejércitos,capitán general de a Pezuela, del Consejo Real de España é Indias; D. José Juan Bo- Granada; D. Jacobo María Parga , del Gmsejo Real; conde de Ta nel y Orbe, obispo de Córdoba; D. Evaristo Perez de Castro, envia beada. Y es mi voluntad que á cada uno de los Proceres menciona do extraordinario y ministro plenipotenciario en Lisboa; ptineipe de dos se le expida el título del nombramiento qu…</t>
  </si>
  <si>
    <t>Granada, María de la</t>
  </si>
  <si>
    <t>María de la Granada</t>
  </si>
  <si>
    <t>…cribeno SJerriu ae cita k to—1 tschercks, y se adelantaron de Kubacha hasta TiffliS, dónde.les hizo.igual das las personas que én concepto de acreedores se consideren con derecho- á ip» fcleues ue han quedado por fallecimiento de Doña María de la Granada ^laew.y pacheco, mente muy buena acogida el príncipe del país; pero no Miaron otros vestigios é estado viuda del Sr.' D. Francisco de Prado Ordufiex, cófttúV gérietál'qué fue por de crrstianiimo en aquella parte, del Cáucaso, mas que ruinas de .iglesias anti SrM. Católica en la curte de Ñapóles; pa…</t>
  </si>
  <si>
    <t>Granadle</t>
  </si>
  <si>
    <t>…sto vasallo. La misma carta dice que Abdi-effendi, último gefe de la misión de Egipto i París r en cuya capital se distinguió pofsus adelantos en las ciencias, ha sido .. Mr. Barthe ha salid* de París para viajar tn Italia. S. 1. lord Granadle nombrado-ministre de lo Interior dé Egipto.</t>
  </si>
  <si>
    <t>Grandville</t>
  </si>
  <si>
    <t>…vincias de Sudoeste; Se dice que los pre parativos y medidas tomados en los puertos de mar y en las depósitos de ma- Parte 23 de Setiembre. riwi ¿ lis Jyrgrrde las costáis del mar Negroqiie tanta influencia han tenido en S. E. el lord Grandville ha llegado á París de su viage por el Mediodía (os negocios do óriente, corito también los cuerpos de ejército acantonados en de Francia. . la Cfiftlea, crida Taurrde y en la Besarahia atraen principalmente á esta parte del imperio al pode triso Soberano del Norte, que quiere examinar por sí mismo…</t>
  </si>
  <si>
    <t>Grané, Salvador María</t>
  </si>
  <si>
    <t>Salvador María Grané</t>
  </si>
  <si>
    <t>…gún lo referido por un rebelde moribundo , hemos impedido la reunión La comunidad de S. Felipe el Real de esta corte............................... 1200 del cura Merino y demas canalla en Torducles , donde se hallaban citados. La D. Salvador María Grané* 120 rs., y la misma cantidad mensual-* justicia de este pueblo ha reconocido en un cadáver al hermano del cabecilla mente............................................................................................................... 120 Duran. Lo que lenco el honor de repetir á V. E. por haber sab…</t>
  </si>
  <si>
    <t>Granel, Mariano</t>
  </si>
  <si>
    <t>Mariano Granel</t>
  </si>
  <si>
    <t>…Cataluña. En la mañana actual, que habiendo salido d da voluntarios de Castc.ion de u Piaña ] -del dia iS del presente, aprovechando los enemigos de 1? noble causa que de- D. Viqente {bjaguer cotí orden de perseguir al cabecilla D. Mariano Granel!, fcademós/íni ausencia de esta capitál .lograron con sus manejos ocultos prepa- fue aprefcéhdldó1 este el di* W'fvi dicho capitán en YiH#nueva de Aleóles. raz un movimiento popular, que ¡rremiiublcmcpte iba a turbar el orden v dispÓTiiendh fuBi*’conducido cené ocho voluntar ux a Cbstelloo; pc«&gt; qu…</t>
  </si>
  <si>
    <t>Gransula</t>
  </si>
  <si>
    <t>…íanle de tierra en presencia de toda ia familia que cantaba entra Bayona, 00. A1 lean te, 4 corté pla Coruña, $ d. Valencia, par. tanto y-tañía, instrumentos para que no se oyesen los quejidos de la víctima, y Burdeos, 00. ceo, $ d. Gransula, id Id- Zaragoza, 4 dla misma madre alborotaba á veces mas que todos los demas. ■ ■ Hamburgo, 00. Barcelona, 4 ps. Es, Málaga, 4 d. Descuento de letras, lAndres. 4 90 días, Santander, 4 b, 4 4 P- 100 al año. No es pues de admirar que tomasen los hijos terribles represalias contra 4*. Bilbao, 4 d. S…</t>
  </si>
  <si>
    <t>Granville</t>
  </si>
  <si>
    <t>…r los embajadores y mi Brusela/ 18 de Diciembre. nistros plenipotenciarios en grande uniforme. Se observaba sntr© dio» á losr se Ayer aprobó sin discusión la Cámara de Representantes la ley que fija el ñores conde Pozzo di Borgo, lord Granville, el conde de Appdny y el barón H continúenle del ejército para el año de 1834 cn c* P*c de guerra, y que sccom- de Werther. pondra de 1 K&lt;£) hombres, sin contar la guardia cívica movilizada del mismo La Reina, las Princesas, madama Adelaida y los duques de Aumale y de modo que cn 1833 , y el alista…</t>
  </si>
  <si>
    <t>…NCIA. inauguración; se celebró el servicio divino en el templo de Teseo, y por la Parts 19 de Junto. noche hubo una magnífica iluminación en toda la ciudad. El 28 de Febrero fueron apresadas dos embarcaciones griegas en las aguas Lord Granville y el conde de Appony se juntaron el Í8 en el ministe de Chio por un corsario, que después de apoderarse de las mercancías y dé rio de Negocios eitrangeros, donde tuvieron lina conferencia que duró hora jr todos los objetos de valor que halló á bordo de dichos buques, asesinó inhu media, de ha observa…</t>
  </si>
  <si>
    <t>…sé ve'ádiih', otras sé Ajaban para leer, y otras se cuatro horas; y el mismo dia tuvieron una conferencia con el almirante Rigcopiaban i copias hubo que costaron enormes cantidades. Según Eusebia, el ni el embajador de Inglaterra lord Granville, y el A Austria conde de Apony. ímrrrW^Cjjiyy—f‘‘I']]^ÍITÍ1 Ebe«aln«ente á;los que.buscah.ya4ibrt&gt;s y a IcL que sScabari cc Olas, .particularmente si gran de las sagradas Escrituras. -En este afio la corona ha empleado en varias obras de VersaUes, TonPáraoste p^etoi se¡dat» mrjefp del’tésord| imper…</t>
  </si>
  <si>
    <t>…o d£ 1836 la cuestión de la resistencia del agua. {Mensagerv.) S. M. atendiendo á los servicios y méritos de D. Joaquín Martínez v Cintoca , abogado de los Reales tribunales, ha venido en concederle los honores de - . El sarao de lord Granville atrajo ayer una afluencia de concurrentes mas auditor de guerra. numerosa de lo acostumbrado; asistieron muchos ministros y miembros de nuestro cuefpo diplomático y de nuestras asambleas, sin duda con el objeto de S. M. se ha servido nombrar intendente de Aragón al de Palencia D. Do dar pruebas de…</t>
  </si>
  <si>
    <t>…onciencia no me permite continuar en mi propósito» una carta autógrafa de S. M el Rey de la Gran-Bretaña. A su regreso por «He sentido sobremanera ser testigo de la escena que ayer se representó en París ha entregado una carta al lord Granville, en la que se le anuncia la pró esta Cámara. Acabamos de llegar de nuestros departamentos con encargo de xima llegada de Mr. Peel, que ayer pasó ya por León, y esta noche ó mañana dedicarnos con todo sosiego y atención á labrar la felicidad de la nación; por la mañana á mas tardar deberá llegar á e…</t>
  </si>
  <si>
    <t>…ador de la Reina - eos dé itepor que existen ya , y las trasportarán á Bombay. de España en esta corte: en seguida estuvo largo tiempo con el mismo minis «Mr. Tomas Gailonay, que sirve hace lo años al bajá en clase de inge tro el lord Granville, embajador de Inglaterra. (IX ae Parir.') niero, y á quien fe deben muchos establecimientos industriales de vapor, tale» como,herrerías, fundiciones dtc,, acaba de ser nombrado bey en premio de sus servicios; ayer salió en el bergantín iv«¿r que S. A- ha puesto á su disposi . j V&lt;tS para llegar de…</t>
  </si>
  <si>
    <t>…os, atraídos de la curiosidad. Por falta bla, como candidatos para este ministerio, de Mr. Dumon y de Mr. Remusat. dé número suficiente no tuvo lugar dicha reunión. El mismo papel da la noticia , según rumores que corrían, de que lord Granville, embajador inglés en la corte de Paris, seria reemplazado por sir ____ Ayer varios miembros del ayuntamiento se reunieron en Guildhall, con William A’Court. el objeto de examinar la oportunidad de pedir al lord corregidor que convoca se el cuerpo municipal, con motivo de la separación de los minist…</t>
  </si>
  <si>
    <t>GranvÜle</t>
  </si>
  <si>
    <t>…icina , la Regencia rn de D- Carlos en Vizcaya y Navarra. {Con.tituuonUi.) nombre del Emperador, licnc á bien mandar remitir á V. b, una copia de la susodicha descripción para su conocimiento. ------El Eco de Vaucluse dice: S. K. lord GranvÜle acompañado de su fami *» Dtp* guilde á V. S. Palacio Marzo 6 de 1834-=Antonio Pinto Chí- lia llegó el 2 del corriente á Avin-'n, de transito para Marsella. Visitó el an ehoito de Gama—Al presídeme de la sociedad de medicina/’ tiguo pjlaco de los Papas, mcreciendo'e particular mención las hermosas p…</t>
  </si>
  <si>
    <t>Grasada, Zaragoza I</t>
  </si>
  <si>
    <t>Zaragoza I Grasada</t>
  </si>
  <si>
    <t>…. de haltoráo rs. librería rústica. pel, b. Valencia par i Corulla d. corto'pla- Alteante vol.| i i , 4 ■y , 100. de 'dtat.bo.firme p. y prima f j i Carnaval: los filarmónico: hombres en id.—Contra el furor sátira.—Contra t—~EI 4 d. Zaragoza I Grasada ¿ zo ii Id* par. v (WiT, d 40 f. oO.consolidados, d. Vales vol. su tai i defeo&amp;a tos manto id.—Contra la para de mugeres: escribir público; el de id^Rer Descuento de letra* Málaga b. i fs. pesos 00. oburgo, i P- oo. oegoclable papel, beoda . del á ico Barcelonas D. un Todas baile de en cuerdos de o…</t>
  </si>
  <si>
    <t>Grecia, D Manuel Montes de Oca la</t>
  </si>
  <si>
    <t>D Manuel Montes de Oca la Grecia</t>
  </si>
  <si>
    <t>…as, y ordinariamente se les oye hablar mal de los griegos , de sus hábitos y de las necesidades del pueblo. No se puede ex Sr. D- Antonio Alcalá Galiano. plicar de otra manera su conducta y el sistema con que en lugar de gobernar Sr. D. Manuel Montes de Oca. la Grecia á la griega, han seguido una dirección diplomática, que es propia suya, adoptando teorías político-administrativas tan costosas como las expe riencias militares, y que no han hecho mas que aumentar la confusión que ya Partes recibidos en la secretaría de listado y del Despacho de la Guerra. había,…</t>
  </si>
  <si>
    <t>Grecia, I la</t>
  </si>
  <si>
    <t>I la Grecia</t>
  </si>
  <si>
    <t>…estado de ver asesinadas sus familias, yrobadás sus.po -existen en Munich contra las doctrinas constitucionales i. sesiones, fundar en medio de los horrores de la guerra y de-te piraterk-ia.pla -Puesto que la Europa debía dar un Rey I la Grecia, poco importaba sin , za de Sira: los chiotas no darán soldados í la patria; pero la darán dinero. Y 'tíuíla que' este Rey fuese bávaro, belga ó dinamarqués. El partido ilustrado esto es lo que han hecho con un. desprendimiento admirable los habitantes de "verdaÁramcnte nacional de ía Grecia, «te p…</t>
  </si>
  <si>
    <t>Grecia, Manuel Montes de Oca la</t>
  </si>
  <si>
    <t>Manuel Montes de Oca la Grecia</t>
  </si>
  <si>
    <t>…y ordinariamente se les oye hablar mal de los griegos , de sus hábitos y de las necesidades del pueblo. No se puede ex Sr. D- Antonio Alcalá Galiano. plicar de otra manera su conducta y el sistema con que en lugar de gobernar Sr. D. Manuel Montes de Oca. la Grecia á la griega, han seguido una dirección diplomática, que es propia suya, adoptando teorías político-administrativas tan costosas como las expe riencias militares, y que no han hecho mas que aumentar la confusión que ya Partes recibidos en la secretaría de listado y del Despacho de la Guerra. había,…</t>
  </si>
  <si>
    <t>Grego</t>
  </si>
  <si>
    <t>…nsigo los 4-00 hánibrés que había-reuní-' mentó de la provincia de Patencia, se puso á la cabeza de los ur do, entre ellos SO caballos portugueses. El 7 permanecía allí toda banos y paisanos dé su distrito: entre tanto el capitán D. Grego vía con indicios' de próxima marcha, que se suponía hácia Caste- rio González, del regimiento dé la Albuhera, dio alcance el 6 en 1 obra neo y Abrán tés. tás tropas del tnando del general Rodil tre Lerma y Aranda á SO facciosos que se decían ser de Merino, ^ marchaban paralelanieiite i la frontera…</t>
  </si>
  <si>
    <t>Grego, D</t>
  </si>
  <si>
    <t>D Grego</t>
  </si>
  <si>
    <t>…vando consigo los 4-00 hánibrés que había-reuní-' mentó de la provincia de Patencia, se puso á la cabeza de los ur do, entre ellos SO caballos portugueses. El 7 permanecía allí toda banos y paisanos dé su distrito: entre tanto el capitán D. Grego vía con indicios' de próxima marcha, que se suponía hácia Caste- rio González, del regimiento dé la Albuhera, dio alcance el 6 en 1 obra neo y Abrán tés. tás tropas del tnando del general Rodil tre Lerma y Aranda á SO facciosos que se decían ser de Merino, ^ marchaban paralelanieiite i la frontera…</t>
  </si>
  <si>
    <t>Gren</t>
  </si>
  <si>
    <t>…iranaxnup.rle del mejor dedos Reres, I" rázppes en queap apoya esta intervención. (CuüúsQ ~ del augusto Esposo de V, M., défSr. D. Tcrnindo vu (Q. E. S. G. E.), no — ----Ayer á las seis de la tarde murió en Dropmore el respetable lord Gren- '.pueble, menos de sentir la pérdida del gran Monarca , del Padre de la? Espinas, ville á lai edad de ,74 años: hacia tiempo que sé había retirado enteramente de qúe parlicularmente lo fue .de .esta preciosa pane de sus dominios. los negocios públicos, (Gloñp.) , , . La ^rpargura,de esta Real corpo…</t>
  </si>
  <si>
    <t>Grer</t>
  </si>
  <si>
    <t>…año pasado en igual período de tiempo. (Tíme/.) mas dios terceras partes, la adjudicación de dichas fincas á la Real Hacienda, adquiriendo de consiguiente su propiedad. ____ Se trata por el ayuntamiento de Lóndres de presentar al conde Grer una á’.’ Administrará la Real Hacienda estas fincas, que adquiere |&gt;or felicitación, con motivo de su renuncia del ministerio, expresándole el alto aprecio de aquel cuerpo por sus eminentes servicios hechos al país mientras ha la adjudicación, en los propios términos que lo hace con las demas estad…</t>
  </si>
  <si>
    <t>…llamas, pero afortunadamente con l.i abundancia gobierno francés, v d.n.h.erse en secu;da ar.tc una nimona de la Cimbra'de lo* de agua que se tenia á la mano , l.i ciudad fue preservada de un incendio ge Comunes. neral. {Olote.') Lord Grer se r»c'ne al frente del gob!ern^&gt; v al instante se man ¿esta el Sistema exte-.'r de InC dte".á e-' 'j -ntuna . n ..1 Kran:;i, la’ reforma _____Ctrías de Veracru/ hablan de haber aparecido en aquella ciudad la fiebre patlamentam cornni o c hia h; sro-m.; de c -betr,^ imeTicr. amarilji» y de que este…</t>
  </si>
  <si>
    <t>Gres</t>
  </si>
  <si>
    <t>…qué-una .parte de la «- Lord WaracliSe se levanta para presentar su mocion, con el objeto de cuadra¿inglesa se baila en el puerto de Vurla, y que tiene intención de-dete que se comunique la correspondencia que ha mediado entre el conde Gres- r nerse allí algún tiempo, como resulta de la compra de víveres hecha para la el lord lugar-teniente de Irlanda con respecto al bilí de represión, pidiendo manutención de todo el equipaje. Las tropas de tierra que se hallan i bordo particularmente que se dé cuenta de una carra reservada, que forma…</t>
  </si>
  <si>
    <t>Grev</t>
  </si>
  <si>
    <t>…de ninguna clase, ¿ por luO su determinación de repeler cuanto sea relativo a Us ventajas comerciales de -a sobre ju valor prudencia!. Gran Bretaña.” . 13. Los géneros y efectos que por disposición de su dueño se subdivídiesen El conde Grev contento que propiamente no podían llamarse negocia.io Cn diferentes lotes para facilitar su mejor y nus pronta venta, devengaran el nes los p.oos dadtis por Inglaterra v 1-rancia acerca del .omrrcrn de ambas ra derecho de subasta que al importe reunido de ellos .e correspondiese por escala. ciones…</t>
  </si>
  <si>
    <t>…a. Cuando entró en Edimburgo fue un dia de fiesta para sus habitantes que salían a las ventanas, balcones y calles para vcric , habien Petersburgo 10 de Setiembre. do hido recibido por las autorídadev 3 lis puerta'' de la ciudad. Lord Grev no pudo menos de conmovewe profundamente por tan singulares muestras de afec El Príncipe Güiliento de Prusia y el Príncipe Paskewitch han llegado to, y pov las aclamaciones de gratitud y repelo con que era saludado, tale* á esta ciudad que quiza nunca se habían visto en la capital de E'o.fs.ia. Lle…</t>
  </si>
  <si>
    <t>Grey</t>
  </si>
  <si>
    <t>…tenecen á la marina Real, y se cree que van encar gados de alguna misión secreta. (G. dt Augeburgo.) PARTE NO OFICIAL. CtGLATBRXA. NOTICIAS EXTRANGERAS. Zdndret 19 dt Julio. En la sesión de la Cámara de los Lores del 13, entró el conde Grey en el salón , y se sentó en el banco ministerial en frente del Presidente. (Continuación del correo anterior.} El asunto en discusión era la segunda lectura del bilí, que tiene por obje TURQUIA. to restringir en ciertos casos la aplicación de la pena de muerte- Despoes de ha ber hablado algunos señ…</t>
  </si>
  <si>
    <t>…estada al principio entre los ministros, habiadesr- imposibilitarán de trabajar por algún tiempo. aparecido ya. No pegaré que Jord Althorp ha mostrado en esta ocasión dema siada escrupulosidad , y quc su dimisión ha causado la de lord Grey: circuns ___Sé,hcaba dedescubrir reclenteménte en Daíville-aux-Forges CMeuse) en la tancia que todos debemos lamentar, j que tantos embarazos y dificultades ha cumbre dq.una montaña muy, elevada al uortelde. esta: población.,:/niuchos se suieitado al- gobiernes de-S. M. pulcros- oeipíedra de ocho p…</t>
  </si>
  <si>
    <t>…4 erigirse en .memoria dri Br. Doyle Üériaá tm inscripción qué él mismo dtjó escrita! Hic jacet J. K. ~L. El sábado w espera 4 la Etinccsa de Orange en Ia casa rfe recreo deí tóo . de vuelta de suvlage dh Alemania. ___E1 conde y condesa Grey han tenido en su cáai tiM mudan en nttt de .Antes de ayer el barón Ventó*1? vatí^ssefen dio él primer: gran convite ' estas últimas ñocha, í que hín esktide todos tos emHsjadóra y minúltos eí- . al cuerjw'diplomáticdy otrOs penonagcs, después de su vitadla dé Vfcní, ’ trabgetos, y un gran húmero de…</t>
  </si>
  <si>
    <t>…á continuación se expresan. ] niente continuarlo. (-D. de ¡oí De batee.) 1.° Por oficio á esfa Real corporación de la expresada junta municipal do Sanidad, resulta haber fallecido los nueve enfermos existentes en el hospital do -Lord Grey ha sido primer ministró tres afios,siete meses y veinte y dos la sangro, á quienes se Ies-administró dicho remedio bajo la diwvrlon A-I ’ dias. Su predecesor el duque de Wéllihgton lo fue año y medio menos, y des ciado D. Antonio Navarrete y D. José María de la Cuadra, siendo el prime de el de J754…</t>
  </si>
  <si>
    <t>…ra, unos 50 hombres entre muertos y heridos, de este numero 3 oficiales. La de dice: Conviene recordar que el Rey quiso formar un ministerio misto cuando los rebeldes no puedo calcularla, porque el terreno de la acción era muv ex lord Grey se separó de los nego-ios; pero lord Melbourne, encargado de esco tenso y cubierto , y porque se prolongo aquella durante la noche; pero pí&gt;r los ger los individuos del Gobierno, se opuso á toda combinación de esta especie, partes de los gefes v la relación de los paisanos, no puede bajar de muerto…</t>
  </si>
  <si>
    <t>…alla modificado actualmente, se compone de las verificada en la Península, se limitará á su recinto? Nosotros creemos que no, y personas siguientes: casi es imposible que tal suceda. Sin duda no pensamos ver gobiernos represen El conde Grey, primer lord de la tesorería, tativos en Austria y Prusia , ni tampoco que medio millón de hombres libres lord Brougham, lord canciller. que habitan el vasto territorio de la Rusia (pues los 4-9 millones y medio res Marques de Lansdown , lord presidente. tantes son siervos ó esclavos) sean convocad…</t>
  </si>
  <si>
    <t>…tj 1 timo número del Diario de química médica contíeñe' una noticia los primeros y mas ardientes partidarios de la reforma parlamentaria, intro de Mr. Fonienelle, en que se compara el número de sentencias pronunciadas ducida por lord Grey, y solo los achaques de una edad avanzada le impidie por diferentes crímenes en Francia é Inglaterra. La estadística de los crímenes ron asociarse á la grande y noble misión de este ministro ; pero la acompañó de falsario da en Francia por término medio, desde 1825 á 1831,283 por con sus votos, y s…</t>
  </si>
  <si>
    <t>…subasta que se expresan en la siguiente escala, pagaderos por el ven— Lóndres 11 de Febrero. decior en contado, y de todo libres para el comprador; 2 por loO sobre el va En la Cámara de los Lores preguntó el vizconde Strangford á lord Grey si lor én que se rematen los muebles; por lUU sobre el en que queden reina- las negociaciones entabladas entre Inglaterra y Francia sobre intereses comer Udps los frutos, géneros y efectos de comercio hasta (a cantidad de J 09 rs. in ciales estaban á punto de concluirse, v si había esperanzas de bu…</t>
  </si>
  <si>
    <t>…semejante tolerancia política, cbncerfierdo ron ayer i lord Mejbourne, (Courier.) en ius dominios un-asilo á los condes Branchetti y Silvain, miembros dsl go bierno revolucionario de Bolonia. __Igualmente se avistaron syer con el conde Grey los lores Holland, Melbourne, Palmerston y Althorp. (Id-) ____ El Diario di las Dos Si. ¡lias del 3 de Julio contiene un tratado dé co mercio conctuido el 17 de Noviembre de 1833 entre el Rey de Ñapóles y el ____ Sir T. Lamb, nuestro embajador en Viena , llegará caanro antes i esft bey de Túnez. Igualm…</t>
  </si>
  <si>
    <t>…W".„, A" : cree que SS. MM. permanecerán en esta ciudad hasta fin del mes, y El sueldo de los ministros del Rey, según el estado de 1833 , es como qne.voixetátK4feBju$das-,porGhjstelles, Thourut, Roulers, Ipres, Msnin, sigue: el conde Grey, primer lord de la tesorería, 59 libras esterlinas; vízcon— Cdúrtray, Oudcnaidé Grammont y Ninove; de Álthorp, canciller del -edhiquier, 59; lord-Bfougtíam plórí cáiiciHerv marques de Landowne, presidente del Consejo , 2S; conde de Ripon, guarda • Sr los, en «1 Diario de Flandes : El secretario del…</t>
  </si>
  <si>
    <t>…egundo se hizo habiendo dentro de Francia SuO ó ÓUU9 soldados ex/-- tar al eximen de las Cámaras. Se dice que Mr. Stanley no está contento del trangeros, y por cuya razón lo protestó el mismo Luis xvm: propone que se modo con que lord Grey insiste tanto en este punté*. suprima todo cl párrafo, mas la Cámara le aprueba. i- La divergencia de opiniones qué ha existido en el ministerio, y de que El Sr. Dupin cede la presidencia al Sr. Elienne, uno de los vicepresidentes. tamo se ha hablado, parece que ha tenido su origen en una proposici…</t>
  </si>
  <si>
    <t>…MjfXnxiteplerfkrlé,' Irf-vÁpera de Sarffltrfa» ye ¡Buafiad fceftnjLsdft formadorrs rr.llrmadot por periodistas «gnorzans» y rlaamautln» «r -o»» yrraMysc y .* capulí» det harinoso templo, y el da signante ae gnamnit &amp;ogo» scué— El conde Grey r sua oomprjirr.rs hteútMaút &lt;y»c iaicttar .uox hth»»rtaCers aa» rrotete -n rf —teóHu de Sroisnatgetm- f/é-) nunca se habían presentado a arepa» usa» ral erar» amaur ree ueja same as esmapa de l.o* Loica se mostraba buacil i -lo#» nt'mr’irhar ,nrfmi»i^f yve xnj» »- ráccfii del 16 drf :</t>
  </si>
  <si>
    <t>…osios ministros, y i la que no podran resistir, de fortificar** o probar surfuc’rzas apresurando un movimiento que su razón les dscc que cebe retardarse por prudencia, hste es un peligro que deben conocer , y ro dudam-s que si el conde Grey se ha decidido a admitir la dimisión de sus compañc’o*, AUSTRIA. ha sido por la convicción de ia imposibilidad material de diferir ci arrecio de la cuestión de U iglesia de Irlanda, respecto de ia cual se ha msn. Testado la VUna 11 de Mayo* Opinión de la C*iium de los G muñe* y ¡a de ia majoru mini…</t>
  </si>
  <si>
    <t>…ual hemos creído los trastomadores del orden púbiicq. deber dar publicidad , sabiendo que entre las personas bien informadas había ob Con este motivo se suscita un acalorado debate entre el ministro de Justi tenido algún crédito. Lord Grey continuará ciertamente dirigiendo el gobierno. cia y MM, De Tracy, Salvandi y O. Barrot. El Presidente levanta la sesión» {The Globe¿) ÍSAVC1A. París 31 de Mayo* ESPAÑA. Antes'Se abrirse ayer la lonja se notaba que los especuladores estaban favo Madrid 7 de Junio. rablemente dispuestos. y desde que…</t>
  </si>
  <si>
    <t>…a^es del t'^f do, nete el sistéflH de violencia y de per?onalidad que tristemente la caracrenjo en y solo podemos asegurar que tendrán mas latitud que las de Baviera v Wur- la discusión de la reforma del Parlamento. El sucesor de lord Grey ha redun lemberg , supuesto que éstos dos reinos juntos no tienen tanto comercio como do estos ataques cen una dignidad y energía que son de buen agüero para entrar la sola ciudad de Francfort. También podemos asegurar de positivo que los en la lucha que por desgracia tendrá que sostenerempleados d…</t>
  </si>
  <si>
    <t>…fu misión al mismo tiempo que el ministerio whig. Opinaba también el embajador que no seria elegido el conde PROVINCIA 1)F. CACERE&amp;. de Aberdeen, porque el duque de Wellington no se atreverla á hacer á la Francia tamaño ultrage. Lord Grey no dará por consiguiente su dimisión has Avisa su gobernador civil en oficio de 2 del actual, que desde 24 á 27 ta la formación definitiva del ministerio tory, en caso de que se forme. del mes último no había ocurrido ninguna invasión ni fallecimiento en Tor- (1Constitucional.) rejoncillo, por,cuya…</t>
  </si>
  <si>
    <t>…ber si nuestro gobierno ha contraido guiría el mismo sistema que el anterior; pues sus miembros mas podían lla algún empeño con la Francia para auxiliar á la ¡oven Ruina de España, ó si marse continuadores de la administración de lord Grey, que sucesores. Esta se ha propuesto mantener el principio de no intervencion- declaración solemne y franca es una nueva garantía de la feliz alianza que une •&gt; En lo que mira al estado interior del pais, suplico al noble vizconde que en intereses y en sentimientos políticos á las dos grandes nacio…</t>
  </si>
  <si>
    <t>…ucsen-Hitérprctg?de lasyenrímfer.- núan sin novedad en su importante salud en el Real Sitio del Pardo. ,tos de la gratitud de sus habitantes hacia el que poco hace desempeñó el pievado cargo de primer ministro de la Gran Bretaña. Lord Grey iba acompa ñado de lord Durham, cuando se presentaron comisionados de diferentes p¿j-tMINISTERIO DE LA GUERRA. blos, que le dirigieron la palabra con arengas mas ó menos expresivas del res Circular dirigida d los capitanes generales de provincia y d los ins— , peto' que les merecía su persona y su…</t>
  </si>
  <si>
    <t>…ios, y han exagerado mucho las inmunidades concedidas á los barcos balle ta tan confundido por vuestras bondades, que no tengoaliento para continuar.’’ neros, puede decirseique con la reducción progresiva qyc se ha hecho en la su Lord Grey se conmovió profundamente al acabar su discurso , que fue ma destinada al efícto , esta industria no cuesta anualmente sino algo mas de aclamado por los circunstantes con grandes vivas y aplausos. un millón de francos; y por poco que las circunstancias la favorezcan, debe es perarse que muy pronto…</t>
  </si>
  <si>
    <t>…ormidad en los negocios políticos. (Mensajero.) - la fortuna de llegar á Jerusalen. ' _ ^ . lbraliim-bajá, que estaba en esta ciudad, me recibi¿ con la mayor atención; Por equivocación se ha anunciado la llegada á esta capital de lord Grey me convidó, á comer, y muchas veces tuve el gusto de visitarle. Como yo y de su familia. hacia continuas excursiones entre las árabes, y ellos hablaban conmigo sin re Lord Grey no ha salido de Inglaterra. serva» descubrí que estaban muy. descontentos del gobierno del bajá, y princi palmente de que…</t>
  </si>
  <si>
    <t>…indecible lo que hemos debido á la generosidad y ____„El Tiempo dice que cuando se examina la serie de excelentes leyes pre bien entendida política de los españoles, y señaladamente del ilustre general sentadas al Parlamento por lord Grey y sus compañeros, es preciso confesar Rodil , y del activo general Villalobos, gobernador de Ciudad-Rodrigo. Se que no pueden los ingleses quejarse de su gobierno, so pena de ingratos é in han desclavado, montado y habilitado un gran número de piezas de artillería» justos. »&gt;La posición , dice, que h…</t>
  </si>
  <si>
    <t>…mbajador ruso Mr. de ButeniefT ha vuelto á esta ciudad pasando por Odesa. Convite dado en Edimburgo á lord Grer. Ta peste continúa haciendo estragos: entre las víctimas se cuenta á Mr. El recibmiento-que se ha .hecho en Escocia a lord Grey, ha sido una Wood* intérprete cerca de la embajada inglesa. {Diario de Varij.) ovación completa: por todas partes mensajes de bienvenida, procesiones, ban deras, felicitaciones, arengas, bandas de música y un inmenso pueblo reunido rusia. por do quiera que pasaba. Cuando entró en Edimburgo fue un d…</t>
  </si>
  <si>
    <t>…e nunca se mezclarán en sus deseos los arre ministro nuevamente levantado al poder, ó que se^halla en el^yigor d^,su edad¿ batos de la. violencia.” „ de largos y buenos servicios, ó de quien se tienen esperanzas que los prestirá' Lord Grey concluyó su discurso dando gracias muy encarecidas por las en adelante en algún destino público: no, señores: este obsequió extraordinario bondades con íjué" se veía favorecido, y brindando á la salud de los nuevos se hace k un ministro descendido, por no decir cáido, del podera ctíyú exis electore…</t>
  </si>
  <si>
    <t>…ei barón Nathaniel de Rothschild había llegado Fondos públicos. Tres por 100 consolidados 88J. á aquella ciudad para tratar del pago con que la Grecia debe indemnizar á la Lord Holland ha dado un gran convite el día de Navidad al conde Grey, Turquía. príncipe Talleyrand, duquesa de Dino, princesa de Lleven, barón Bulow, ba ESPAÑA. rón \Vessemberg y M. de Bacourt. Se cree que el pronto regreso del príncipe de Talleyrand á esta capital es Algeciras 31 de Diciembre. sin duda motivado por la necesidad de que Inglaterra* y' Francia esten d…</t>
  </si>
  <si>
    <t>…que en su apoyo alega hasta nuestros dias, insistió •principalmente en lia Opinión que manifestaron con el autor de ella; aprueba el artículo 5.° del proyecto «que anula todo lo dis tra-el acta de unión, al tiempo de verificarse, lord Grey, Plunket y otros puesto acerca de la Snateria en cuanto sea contrario al tenor de esta ley;" y es grandes personages, individuos del Parlamento en aquella época, y citó trozos seguida por 219 votos contra 20 aprueba el todo de dicha ley. Igual resolución de ios discursos que pronunciaron entonces.…</t>
  </si>
  <si>
    <t>…o Rey, no es regular que se sienta in ARTICELO DE OFICIO. do á de su variar clinado conducta repente política. La Reina nuestra Señora Doña Isabel ii, y S. M. la Reina Las vacantes que han ocurrido no deben atribuirse Tealmente 4 lord Grey; la minoría se ha retirado porque no juzgaba poder consentir en las medidasGobernadora se han trasladado;í Carabanchel ,eu donde siguen que la matoría miraba como necesarias, y entonces se hacia preciso elegir sue siu novedad en su importante salud. vos ministros, no para variar dichas meuidjs sino…</t>
  </si>
  <si>
    <t>…rala esta madrugada por las calles de Oñate á la primera se rante algunos dias han causado inquietudes, hoy felizmente desvanecidas. ñal que le hicieron los vigías y avanzadas, situadas en las cumbres mas eleva «El ministerio del lord Grey podrá por lo tanto seguir con menos oscila das, y pasó inmediatamente á tomar , la posición del cerro de Aizgorri ó de ciones un sistema de política interior y exterior, cuyo buen éxito desean en Alona, cubriendo drsdc la población el camino de Aranzazu y vereda que por todas partes los amigos de l…</t>
  </si>
  <si>
    <t>…gefes han visto sus cabezas en grave peligro ¡ pero se acusa i Armapsperg de entregarse i la influencia inglesa , y de haber casado' urgencia, propongan con ¿cuerdo del ayuntamiento de cada pueblo á á su hija mayor cpn el hijo de lord Grey , capitán de fragata en el Levante. la aprobación de S. M. el arbitrio ó arbitrios que consideren nece Mientras que Maurocordato , hombre necesario i todos les gobiernos , esta-' sarios para ocurrir á I» asistencia de los enfermos y demas que exija ba estrechamente unido con Armansperg, y satisfací…</t>
  </si>
  <si>
    <t>…el de Arenas de h. Pedro a L&gt;. Juan Jiménez Monteagudo; Aquellos hombres* Sin ofender la verdad y el sano principio, &lt; se podrá negar para el de Montefrio á D. Ramón Toral ; pira el de Oríhuela a D. Juan Tor que ton liberales el conde Grey, el lord Holland, Xhiers, Dupin y Lafayct- recilla de Robles, alcaide mayor de Pontevedra; para este pan ¿do á D. Juan ti!— ¿Querrían estos que en Francia y ¿^Inglaterra hubiese solo una Cáma Te jeito; para el del Barco de Avila á D. Jacobo Ulioa, que lo es de Bera electiva ? Estarna? convencidos d…</t>
  </si>
  <si>
    <t>…i nadie es dado vivir sin Ocupación, si vida tai) activa y laboriosa.” (biguerv 3uU Irruías.) . -7 quiere gbzácjdc consideración en la sociedad. La suerte os ha destinado al tra CQnoluida4» lectura de esta felicitación,’ dijo el conde Grey: «Me con- -• bajó mattíjial: ós ruego por tanto que cumpláis fielmente vuestros deberes, por— eidero muy dichoso al recibir tantas pruebas de confianza de parte de lbs.pue- 'ijue^de lo contrario sereis denunciados á los magistrados que el Rey ha enviado blos y ciudades por donde he pasado; pero pue…</t>
  </si>
  <si>
    <t>/ ¡ 4135 ministerio de lord Grey cuando se discutían los prefimínares del bilí de re tas como era de temer á los rigores del hambre. A pesar de las * iffipOrtac¿onc¿ forma. Si esta noticia se ha comunicado directa ó indirectamente por algún se sostiene el precio de los granos, y aun es posible que aumente todavía.'* Cid.) miembro…</t>
  </si>
  <si>
    <t>…es de las co ce mas de tres centurias de años que brilla en este suelo, es de creer por lomislea» as. mo que otro es el origen de su persecución: esto pues desea saber el pueblo oriEl banquete ha sido brillantísimo: se brindó por lord Grey con el ma- zabefio, y no cesará de levantar su voz hasta que se le manifieste. yer entusiasmo. &lt;Z&gt;. de Parts.) El mérito de este grande prelado, Excmo. Sr., es conocido del mundo entero; su infatigable celo por la salud espiritual de sus oveja? le ha hecho - comisión encargada de conservar los monu…</t>
  </si>
  <si>
    <t>…na clase de individuos á violentos sacrificios, sino que los ponga en si Solo hay una Opinión con respecto á la fiesta de Edimburgo, celebrada tuación de que cada uno encuentre su bienestar propio en la prosperidad ge en honor de lord Grey, y puede decirse que unos mismos sentimientos han neral. Todas las partes serán oidas: el único deseo del ministro, el-mismo sin animado á los individuos de todas clases. La demostración ha sido Verdadera duda que animara á la junta de comercio, es fijar hechos y someter todas las mente nacional. L…</t>
  </si>
  <si>
    <t>…en Francia es solo de 5 céntimos , se disminuirá ó suprimirá este derecho cuan Fondos públicos. Tres por 100 consolidados 93 j. do respectivamente se verifique esto mismo en el timbfc ingles. Esté convenio He aquí la carta que el conde Grey ha enviado á lord Ebrington en res se pondrá en ejecución dentro de algunas semanas. Oteos varios puntos, sobre puesta í otra que estele dirigió firmada de un considerable número de diputa los cuales aun no están de acuerda estas dos autoridades, serán objeto de un dos de la Cámara de los Comunes ;…</t>
  </si>
  <si>
    <t>…itódad ruego á la Cámara que' use de indulgencia con vaf consigo ningún perjuicio, supuesto -que por. este, aumento ,en intereses as KQ enemigo débil. encuentran anualmente acumulados,- y'que aun la última obligación reembolsa El conde Grey sostiene (pie el autor del artículo se ha hecho culpable de da en el último sorteo recibirá 22SO frapcos. ^Debates.') ' &gt; -qne disfamicion demasiado atroz, paya que soló sea simplemente amonestado. - • -.£• discusión se prolonga, y M Bittlerston se mjnda.retener bajo la guardia ------ .Ibrahim-bajá…</t>
  </si>
  <si>
    <t>…rse mayor sutileza que la que sirve — Mr. Stranley ha escrito al editor de Preston-Pilot una carta on que de de apoyo á las razones asignadas para las providencias restrictivas que se inten clara que la Correspondencia entre él y lord Grey, publicada por algunos pe tan. Los Estados, se dice, solo son llamados á regular los gastos, y á exami riódicos , no es mas que un tejido de falsedades, y que la tal correspondencia nar ti se han hecho legalmente, y si las salidas han sido mayores que las en-, no se parece ni en el fondo ni en la f…</t>
  </si>
  <si>
    <t>…Meibourne, dice: Un suceso de tal importancia no es efecto de me nales. ros deseos de mudanzas, ni debe atribuirse á capricho del Soberano, i.a renun La primer idea que nace de la discusión de ayer, es que en esta tribuna cia de lord Grey fue el gérmen de la futura disolución del gabinete whig, pues se viene a defender la pVerogatrvade la corona contra sus consejeros. Sí, seño desde aquel momento el partido radical manifestó sin reserva sus pretensiones, res: en mi opinión, creer que la sanción de la Cámara se debe, agregar al y á p…</t>
  </si>
  <si>
    <t>…cia de lo que risdicción la privativa que ejerce el juez de la Real casa en el Real S- S. llama gloriosos sucesos de Portugal. •Sitio’del Pardo: He venido en mandar en nombre de mi excelsa Hi El marques de Landsdowne responde que lord Grey se halla eq éste mo ja Doña Isabel 11, qtie la suprema junta de Apelaciones de la Real mento ocupado con S. M.; pero que mañana, en que regularmente asistirá á las sesiones de la Cámara , juzga que no tendrá dificultad en satisfacer los deseos del .Casa, los gobernadores, administradores y bailes d…</t>
  </si>
  <si>
    <t>…o de alcances á favor de XAndres S de Agosto. la Real Hacienda, se tasarán de nuevo con arreglo al estado que en tonces tengan, sin que sirva para el caso la valuación que de las pro Parece cierto que el actual gabinete ofreció á lord Grey el ministerio del pias fincas se hubiese practicado en la época en que se hipotecaron. sello privado. (JNntul) 2? La venta de estas fincas se anunciará con sujeción á la nueva ____Esta es la lista de los sugetos, que según se dice, van á ser elevados i la tasación prevenida en el artículo anterior,…</t>
  </si>
  <si>
    <t>…dos se levanta la sesión. bre su contenido, sin embargo, todas convienen en que nada de positivo y ter minante se podrá decir en orden á las cuestiones de la política extrangera. rpKW- Sesión del dia 4- — . .El Albion dice que el lord Grey se encuentra con dificultades que vencer El coronel Paixhans lee el dictámen de la comisión que ha examinado el I para redactar en estas circunstancias el discurso del Rey; y añade »&gt; que es una proyecto de ley relativo al modo de asegurar el estado de los oficiales del ejér-1 cosa terrible el no p…</t>
  </si>
  <si>
    <t>…os sentimientos de por sí mismas. Dos años hace que nuestro suelo se vio plagado de eHas: des este cuerpo, órgano fiel de los de su vecindario, que por medio del duque de truirlas, decían los torys, con una ley vigorosa: no, dijo lord Grey, mejor es Alba tiene el honor de elevar hasta el trono de V. M. dejarlas á sí propias, y desaparecerán inevitablemente. Ninguna ley se hÍ20, y Dios guarde la Real Persona de V. M. y la de la Reina nuestra Señora acabaron ya todas. Nosotros, deseáramos que el gobierno hubiera obrado con la los mucho…</t>
  </si>
  <si>
    <t>…an tenido va igual suma á Nueva-Yorck, que es el total de lo que tienen depositado en aque rias entrevistas con lord Palmerston, ministro de Negocios catnngeros, y tam lla caja. Este acuerdo ha causado gran situación. bién coa el conde Grey, (fourier.)</t>
  </si>
  <si>
    <t>…é la comisión que ha examinado la pro saje á S. M. votado por la Cámara de los Comunes sobre-el acta de unión en posición que un Par ha hecho acerca de los caminos vecinales: este informe se tre Inglaterra é Irlanda, pronunció el conde Grey, primer ministro déla Graa manda imprimir y distribuir. Bretaña, él discurso siguiente: ' * • . Se principia á discutir .el proyectó de ley relativo á los finiquitos délos pre »&gt;Me levanto, milores, para proponeros la inmediata adopción del mensas supuestos del año de 1831; y se aprueban sin oposic…</t>
  </si>
  <si>
    <t>….................................................... 500 _Por conducto fidedigno nos consta, dice el Courier, que el ministerio de D. Manuel Borrajo.... .......................................................... ............. 100 lord Grey quedó ayer «Jispelto, porque vienclá el lord Althorp Jós graves in La compañía de Cárdenas por una ..vez.................................................. 1000 convenientes que se presentaban para sostener en la Cámara de los Comunes el f&gt;. Losé Santiago Martínez,...................................…</t>
  </si>
  <si>
    <t>…le Marques sobre si el El qq$ sea elegido por varios distritos , debe representar á uno solo. (Corres- tratado es propio para causar la paz ó la inquietud en Portugal, S. St podrá fonsa} Je Hamburgo.) pensarlo que quiera, mas él (lord Grey) juzgaba que todo nombre racional ALEMANIA. sería de parecer que no podía tener por resultado sino la paz. fincado de Raden 23 de Mayo. .— —Ayer en la corte de por la mañana presentó el principe de Talleyrand á Es tan gránele el contrabando que se hace en la parte superior de nuestro S. M. al prínc…</t>
  </si>
  <si>
    <t>…an los Sres. Próceres; -y sido la de despedida para el continente. (Standard.) para ella han sido electos los Sres. duque de Gor , duque de Veraguas , mar ques de Guadalcazar, cbnde de Teba y D. José Manuel Quintana: algunos de 1 conde Grey, primer ministro de Inglaterra, propiño en la sesión de la los Sres. Próceres han presentado á esta comisión los títulos y documentos en Cámara de los Lores de 1.® del corriente la renovación del bilí sobre medidas que* fundan su derecho para tomar asiento en el Estamento-, otros han ofrecido repre…</t>
  </si>
  <si>
    <t>…inción ha sido dirigida á ios Sres. mariscal Soult, duque de Broglic,. príncipe de Talley-rand , mariscal Maison , conde sares entre los rebelde*, por lo que con arreglo á las-Reale* órdenes vigentes Guilleminot, lord Palmcrston, lord Grey, sir Stralford Omning, sir Y.Gra- dispuse que después de obtenidos ios auxilios como cristiano fuese pasado por ham, primer lord del alqtürantazgo ingles; conde Nesselcode, principe de Lie- las armas, cual se ejecutó á las doce de la mañana de.éste dio. Lo que traslado ven, conde Matuchewits, de Ri…</t>
  </si>
  <si>
    <t>…fr. 55 c. Fondos españoles: renta de ger era! por hdher sido nombrado M. Abercombv director de monedas, con España al 3 por 100,4^f* Empréstito Real de id. 87f. Renta perpetua de aliento en el gabinete, se extiende al elogio del conde Grey , en quien reco idem 79. noce i,íníl'qS ind^píhs^tlffUl reconóíi'tmehto del pais ..np.solo por el acta de 4 rrfoijna ,¿dc qué hd^|?tí^el autor hace 4^ años, sino por la manera con que — - El mariscal Soult ha leído en el consejo tm tratado sobre la organización has^^b reVisti^^tins^aipara de Payes…</t>
  </si>
  <si>
    <t>…del Alemania, se reciben los papeles franceses por conducto de Inglaterra* Esto se _ corriente, se aseguraba en aquella capital que lord'Mellxmrne-ha—reempladebe á la ~comimrcacicrir-de-4es- buques de vapor- (CourUr^ — —' zado á lord Grey en el destino de primer Lord de la tesorería, y que el mi nisterio ingles permanecía compuesto de los mismos individuos que antes, que T.a Gaceta de Quebec publica un estado comparativo de los hombres, bu dando lord Palmerston encargado del departamento de negocios extrangeros. ques y toneladas que…</t>
  </si>
  <si>
    <t>…cuentan algunos que ya en 1806 tomaron parte en lsr aplausos. adopción del bilí para abolir el tráfico de negros. Mr. F. Buxton propuso otro brindis á la emancipación de los negros; pe El orador hizo en seguida mención honrosa de lord Grey, diciendo que ro antes dijo que la asamblea otria con mucho gusto al ilustre Presidente , que se esforzaria en imitar suejemplo y doctrinas, y de su antecesor Mr. Stanley había sido el último gobernador de la Jamáica, el cual podría informar acerca por la prudencia y sabiduría con que habia dirigid…</t>
  </si>
  <si>
    <t>…de sus nobles compañeros, tenia el so el derecho de la Cámara y el de los diputados le parece oportuno poner á m lyor placer en cederle la palabra. votación las dos cuestiones siguientes: "¿consiente la Cámara en que se hagan El conde Grey, contestando á una pregunta de lord Ellenborough, dijo preguntas á los ministros?” Resuelta esta cuestión afirmativamente, será la 2.a que el gobierno preparaba un proyecto de ley para la conmutación de diezmos, «¿qué dia señala Ja Calmara para que se hagan estás preguntas?” I y otro para la^ conmu…</t>
  </si>
  <si>
    <t>…riente. Numeroso nínsula: pues ¿cómo ahora de;pues de tantos discursos y protestas siguen un sis .era el acompañamiento: e¡ batallen de guardia nacional llamado el délos tema enteramente contrario? Yo deseo saber del noble conde (lord Grey ) la plumeros blancos á que pertenecía el d.funto, asistió casi todo entero , igual conducta política que se propone adoptar con respecto á España y Portugal. mente que un gran número de guardias mcionales de los otros cuerpos. Ocho Lord Grey- Yo no me he engañado un momento en creer que la inten h…</t>
  </si>
  <si>
    <t>…ban chincbina , de quien eran tributarios, y que unidos á las poblaciones rebeldes todos los amigos del sistema al mismo tiempo conservador y progresivo de de Camboya quieren proclamar su independencia. Si llegan á poner en ejecu lord Grey. Los ministros opuestos á la reforma constitucional de la iglesia d: ción este osado proyecto, el Asia poseerá un rsino irías. (G*tb de Milán.') Irlanda han sido reemplazados por hombres que profesan las mismas doctrinas IKOI.ATERKA. en todo lo que no pertenece á dicha cuestión Esta crisis, que habla he…</t>
  </si>
  <si>
    <t>…___ El vizconde Melbourne, el lord canciller , lord John Rnsell, los ilustre» este fin. Spring Rice, C. Grant, E. EUice y J. Abercombry, han estado ayer á visi Art. 113. Dichos Comisionados régios serán nombrados por S. M. tar al conde Grey y al vizconde Althorp. (Times.') en virtud de un decreto especial, comunicado á las Cortes por el FRANCIA. Secretario del Despacho respectivo; y solo jxxlrán tomar parte en las discusiones concernientes á la platería para que hayan sido ex París 17 de Julio. presamente autorizados. Tanja de hoy. Cinc…</t>
  </si>
  <si>
    <t>…o, ron arreglo al artículo 48 del Esta Ldndrrs 1S J' Judo. tuto Real, en los casng simiientes: En la sesión que el Parlamento celebró el dia 9 del corriente, pusoíl 1? Ciando se digne .8. M. remitir á las Gírtes algitn asunto que lord Grey á disposbion de la Cámara de los Lores una copia del tratado cele por *n narpraleza lo requiera, expresándose en el Retíl decreto de brado entre los gobiernos de Hspaiu, Francia, Inglaterra y Portugal: la Cá runition que haya de deliberarse en secreto sobre aquella materia. mara ícofdii que duba co…</t>
  </si>
  <si>
    <t>Gréy</t>
  </si>
  <si>
    <t>…nden mal á las esperanzas que ye hablan conce ____ El mismo periódico hablando de la repentina-disolución del ministerio inbido &lt;fe «tíos, se debe atribuir principalmente á la falta de estudios preparato gles, y de la renuncia de lord Gréy, dice que este suceso es de la mayor im rios. Por este motivo en la universidad católica vamos i ofrecer á los cursantes portancia, unto por las cualidades dei primer ministro que ha dirigido hastaen filosofa, letras humanas y ciencias todos los auxilios que pudieran desear, á aquí los negocios de…</t>
  </si>
  <si>
    <t>…tenían en el camino del Callao; mas todo fue ———Los habitantes de Falmouth y sus inmediaciones se han reunido para di en vano. El pueblo triunfó, y ellos se vieron-en la necesidad de huir de la ca rigir un mensage de, gracias al conde Grey , manifestarle el- sentimiento que pital en completa derrota. Se les peis¡gile con empeño, y muy pronto no pro han tenido por sú separación del ministerio; y lo satisfechos-qüe han quedado fanarán ya con sus crímenes la tierra dé la libertad. por su modo de desempeñar aquel alto encalco. ([Herald.)…</t>
  </si>
  <si>
    <t>…e las telas de color y de los metales, y se colocarán en él Sabemos con satisfacción queet estado de salüddíf generíl&amp;íínalé ha per varias vasijas chatas llenas de la solución concentrada de uno de los mitido pagar las visitas al conde Grey, lores Holland y Altnbrp, y al muy* cloruros, aumentando artificialmente cuanto sea posible la tempe honorable E. Ellice. El tiempo se acerca eiv que podrá servir á su pjUria A un ratura de aquel cuarto. Después de recibir por algunas horas el va modo correspondiente i 'sus' distinguidas cualidades…</t>
  </si>
  <si>
    <t>lia. llegado i Vpujla. la corbeta Seout, mandada por tan hijo de lord Grey, Inmediato, y encontrándole firmemente resuelto en ra Idea, mu fue preciso dar primer ministro ingles, parece haberse adelantado á la escuadra trayendo la cuenta de lodo á S. M., y pensar en el camino que debía tomar yo mismo. nuera de su próxima llegada. Esta corbeta está en el Bósforo desde la se…</t>
  </si>
  <si>
    <t>…ra. Sin embar go perdió sus decoraciones de diamantes y su sable, y ademas , varios soldado* Se lee en el Imparcial. Todos nuestros votos son por la continuación del que le acompañaban perecieron en aquella confusión.” sistema de lord Grey con otros hombres, herederos de sus ideas, y resueltos, no á variar de principios, no i precipitar el ¡movimiento de la reforma, no í _ . Se lee eti el Nevi-Fork-Timesr romper las antiguas instituciones de Inglaterra, sino á seguir el mismo espíritu ” Las noticias que trae de Europa el Orfeo son en…</t>
  </si>
  <si>
    <t>…de bienes raíces que s* conoce en esta capital. {Mifuagerv}. tiones políticas- , Vn b Cámara de Lores del 13 del corriente preguntó lord Ltlenborougn ESPAÑA. . cubado empezarían tu vacantes de pascua y cuánto tiempo durarían. El conde 'Grey dijo que proponía'á U noble Cámara suspender sus sesiones desde el 25 Ugijjr 28 dt Frhrrro. ! Fl rrunramwnto de 1» filia de ílfijaf. antigua -capital de Im Alpujarm. ‘ 'Marzo hasta el 14 de Abril siguiente, y asi se adoptó1782 salían por el correo de esta capital 3.070,000 periódicos: en I79tf» ha…</t>
  </si>
  <si>
    <t>…que si ha habido jamas dos hombres obligados á continuar retiro de la vida privada, retiro que yo considero como una ealamtdad para en el servicio de’su Soberano , mientras pudieran hacerlo siij deshonor, eran este país, de quien lord Grey era el ornamento y la gloria. Si-, milores: des *\ú disputa lord Althorp y lord Grey: yo no veo ninguna cosa-capaz de jus pués de 50 años no ha amanecido para Ja Inglaterra un día mas funesto que tificar su renuncia en el estado actual de los negocios públicos, la cual verda aquel en que se ha anun…</t>
  </si>
  <si>
    <t>…ones de que ha sido víctima lá segunda, explican' suficientemente, ocasión el parecer del mismo lord Melbourne, como siguió, hace cuatro me sin la intervención de la diferencia de cultos, los levantamientos de las- po ses , el de lord Grey.{Standard.") blaciones contra el gobierno establecido.” El Timer dice: Ayer hubo dos reuniones insignificantes de voceadores: FRANCIA. la primera en Guildhall, convocada por un tal Ricardo Taylor, uno de los Paris 20 de Noviembre. mas miserables partidarios del ex-canciller lord Brougham. Él objeto…</t>
  </si>
  <si>
    <t>…n Irlanda como en que tuviese i bren remitir uná copia de las instrucciones dadas á ta comisión encargada de examinar el estado de la Iglesia de Irlanda. '. Los ministros, dijo, se han desposeído voluntariamente de la cooperación Lord Grey: Milores: nunca acostumbré en las discusiones públicas acoger dé ciertos, jjpmísre» públicos, 4 quienes él pai»ha acordado hasta aquí su entera me á un cobarde silencio, y mucho menos lo haré en L presente: ocís¡on. Voy, cpnfiaóxé: fitas han roto, por decitio a«,_ la cadenáquesaludábleménte les pue…</t>
  </si>
  <si>
    <t>GreyY.cuyo</t>
  </si>
  <si>
    <t>…osotros, jf ?qn&gt;zá I U mjiyora de este Cemars. Porque ¿quién no ha profundarnepté que; iin 4igrnbre supe Lándres í 6 de Julio, rior; á tod6sJ« hombres-de Estado de nuestro siglo se separe de la administráDetpues &lt;¡tcÍ discurso de lord GreyY.cuyo extracto dímcft en la Gacela de &gt; ckm pública , estando todas sus facultades tan enteras, y cuando su. tiento y •yer , tomó Va palabra/ el duque de W'élUngton, y dijo; Si lord Qrey se hu- actividad parcciáaxreccr i medida que aumentaba Ja complicación de ciicunsblera limitado í rerclírtrorVcSTiTOti…</t>
  </si>
  <si>
    <t>Grillo, Cirios</t>
  </si>
  <si>
    <t>Cirios Grillo</t>
  </si>
  <si>
    <t>…donación perfecta que hizo en favor de nuestra augusta Sobera Palma ; de. la compañía dejniljcias provinciales de caballería de Wajay al de na» nucatra Reina Doña I&amp;a*ei ii ,.que- dió lugar á que esu corporación gus» JU teniente D. Cirios Grillo, y del S.° escuadrón de la milicia rutal de Fert—itnrnf admitido en cabildo ordinario de ¿S^de Abril, poniendo en sus ma-*</t>
  </si>
  <si>
    <t>Grillo, D Cirios</t>
  </si>
  <si>
    <t>D Cirios Grillo</t>
  </si>
  <si>
    <t>…reparó la donación perfecta que hizo en favor de nuestra augusta Sobera Palma ; de. la compañía dejniljcias provinciales de caballería de Wajay al de na» nucatra Reina Doña I&amp;a*ei ii ,.que- dió lugar á que esu corporación gus» JU teniente D. Cirios Grillo, y del S.° escuadrón de la milicia rutal de Fert—itnrnf admitido en cabildo ordinario de ¿S^de Abril, poniendo en sus ma-*</t>
  </si>
  <si>
    <t>GrmusUt</t>
  </si>
  <si>
    <t>…otalidad: se preguntó si babia á las reclamaciones que se han hecho se ha contestado que no se podía decir lugar al exámen por artículos, y nada mas se hizo.” . .nada á los periódicos porque no son oficiales.”_ ________ ____ _ El Sr. GrmusUt-^.n. AñtrMÍa\■ «Según la práctica seguida por el Esta El Sr. Martínez de la Rosa: «El Presidente del Consejo de Ministros mento , me parece que, es lo mismo aprobar en su totalidad que proceder á se ha ocupado ya de este asunto. No tengo muy presente lo que contó ti dia examinar por artículos el pro…</t>
  </si>
  <si>
    <t>Gros, Ines</t>
  </si>
  <si>
    <t>Ines Gros</t>
  </si>
  <si>
    <t>…e&lt;cinta blanca con banderola blanca , en fondo de 15 pies,á Los Sfes. Mígudetorena y hermanos....................................... 2000 ^í. E. 29° la altiraude su punta del cabo de Taganrog. A &gt;?. E. 11° el lazare— Los hijos de Doña Ines Gros*..................................................... 150 to. A N. E. 58° el molino de Xuraoff. (Flraiado ) El oficial superior de ser vicio ,/Williams Moff. El Sr. director del hospicio 300 n., J 40 mensuales ínterin dure la epidemia.................................................................…</t>
  </si>
  <si>
    <t>Grosvenor</t>
  </si>
  <si>
    <t>…tocaba armarse á sus expensas para de ^desempeñe desde el palco de la Villa; y quedando libre, por consecuencia dfe fender sus casas y familias. ■ 3esta Real resolución, en cada uno de I09 dos teatros el que ocupaba eL aldálde El coronel Grosvenor hizo el elogio de los cuerpos de voluntarios, parti ¿de corte, con cuyp beneficio no se contó para la celebración de la contrata de cularmente de los de caballería, y dijo que en su dictamen no era suficiente el ^arrendamiento dejos mismos .teatros , se^ha dignado resolver S. M. que el pro sueldo q…</t>
  </si>
  <si>
    <t>GroucKy</t>
  </si>
  <si>
    <t>…istribuya. mapgjq ejército del Norte. (/&lt;/*) Prosigue la .discusión del proyecto $Je iey cp que se fija el estado /le Iqs qg. cíales del ejército y armada. ’ -Una carta de Madrid del 13 de Abril anuncia que el gobierno español El mariscal GroucKy, él conde de Cessac, los generales Schneider, Dejean ha reconocido á Doña María, y hecho un tratado de alianza ofensiva y defen y Morand, y M. Dupin, hacen algunas observaciones respecto á varios artícu siva con Portugal. los del proyecto, y la Cámara aprueba los artículos 3.°, 4-° y tres párrafos…</t>
  </si>
  <si>
    <t>Gsbiás, Tomás</t>
  </si>
  <si>
    <t>Tomás Gsbiás</t>
  </si>
  <si>
    <t>…e Arizaga alcalde del crimen de "r-Ante el Sr. D. Jow5 Maceda, leáúftdó teniente de ásisVénte .dé la ciudad *de Sc^Uá U Real audiencia dé Granada, i D. Vicente Calvo fiscal de lo civil de la nettde la testamentaría cóncíirsada ne;D. Tomás Gsbiás* y á-vlrtitd de despacho 1** Real-audiehcia de Búrgos, í D. Vicénte Valero y Sardi corregidor de Lo brado á esta corte cumplimentado por el Sr. D. Pedro Balsera, teniente corregido» groño y í D. José Duque alcalde maybr de Caspe. (tfúm. 640 qsta villa, sq c^ta y empfaza ¿ .todos los ínteresados-que-pu…</t>
  </si>
  <si>
    <t>Gsorio, Alvaro de Natía</t>
  </si>
  <si>
    <t>Alvaro de Natía Gsorio</t>
  </si>
  <si>
    <t>…jjufú los días 12* 13 y Í4 Ás iíoviembre por medio de ama suscripción vo compue&amp;ta de tropa de los provinciales de óriedo y Laredo, bajo, las órdenes luntar jaVmo&amp;ttanclo aquel entusiasmo y alegía que -solo es producido por el do D. Alvaro de Natía Gsorio*-coronal del primero de dichos cuerpos, qoe- ¿mor acendrado á sus Soberanos y por-su fidelidad ¿ la madre patria. dando fiada ia defensa de fa plaza á la poca tropa restante y bJ benemérito ve Esas demostraciones de la ciudad de Matanzas en el juramento y pleito cindario de la misma que desde -el m…</t>
  </si>
  <si>
    <t>Gtéy</t>
  </si>
  <si>
    <t>…cepresidente, destino que dres- Mas ígUoramog hasta .ahprq que cl«t¡tip se quiere proponerles. No- ót&gt;stan« había quedado vacante pór haber concluido la-diputación de Mr. Passy, que te se,indica ,como probable el:nombramiento ¿el conde Gtéy para lugarte ha sido 'nuevamente electo por Su departamento. La Cámara por 27o votoy niente de Irlanda,,y ,el, dé G,. K.’¡pa^^on^para:secretario déL almirantazgo. ' Contri Al reelige áMEPassy jjyra Cuarto vicepresidente. El presidente anun También dice el Standar^ .que éstá.autorizado para declaraf…</t>
  </si>
  <si>
    <t>Gtíníaló</t>
  </si>
  <si>
    <t>…do á su capricho y sai, asi en lo eclesiástico comp en lo civil, extractado de .vajfios aiftoríí Oite en Vi^s ámbící¿h, sinmítami¿nto''!ííi^úrtó,3 vütístfíWlpadtéS1, ¿ vuestros Híjoé/á vues obras han tratado'estas ntdferias , por D.' Gtíníaló josé Jrmeñee* GaTrloñ1, abogado dél tros hermanos y todas vuestras1 ^¿q'uefias fortunas? Las valientes tropas de mi colegio de esta corte. El objeto de este Prontuario*‘y,de.todd auagiCp-ep Al se trafraV^s muy -importante: Xa tranquilad de la^qohcjepcia , elbien^star.de.la^s familias, el de Zuma la…</t>
  </si>
  <si>
    <t>GToces, Te</t>
  </si>
  <si>
    <t>Te GToces</t>
  </si>
  <si>
    <t>…egimiento. •. '/ rido fundirlo en que así sucedía en Francia; pero ésto és úna equivocación que tp ha comprobado por uña carta-de M. Dupin, presidente de la Cámara de Diputados de Francia, escrita á un amigg-suyb de este país. El duque ¿Te GToces;er decía en lá Sesión de la Cartiara de los Lores de l.b de Agostó del áfio pasado lo siguiente; »Los judíos en Francia se hallán i PÍEtE NO OFICÜL. exactamente en el mismo estado que eh Inglaterra. Allí hi pueden ser miem r NOTICIAS ¡ÍEXTRANGERÁ&amp; bros de lá Cámara de Pares, ni.de la Cámara de Dipu…</t>
  </si>
  <si>
    <t>Gtrardirt</t>
  </si>
  <si>
    <t>…sión; pero lo que solo principia i traslucirse &lt;» fh plaban, y at fin cayó ecr tierra# £n breve sc'apoddró de sus miembros un frió mano que ha tomado la Rusta en las vejaciones causadas a los griegos,"al mortal. En vancT trató cí doctor Gtrardirt, qpe fue llamado inmediatamente* Othon y á su encargado de Negocios. La Rusia, enojada con ht condenación de excitarle ef calor: todo fue inútil. Bistaígne fue llevado a casa de su madre, de Colocotroni en Nauplia, y con la tetldcncia dé los morabas á librarse de y i pesar de todos los cuidados que…</t>
  </si>
  <si>
    <t>Gu, Antonio Alonso y</t>
  </si>
  <si>
    <t>Antonio Alonso y Gu</t>
  </si>
  <si>
    <t>…e seis pueblos, en los cuales, así como en cubrimiento de este.bajo es enteramente nuevo, pues aunque se quiera suponer ios demás invadidos, seguía la enfermedad su período descendente; uno mismo con el que hizo en 1822 el piloto D. Antonio Alonso y Gu tiérrez en igual viage, las circunstancias de ambas vigías son distintas, hallán PROVINCIA DE VALENCIA. dose esta última citada oculta debajo del agua, y existiendo entre ambas la diferencia de Io, 21/, SO** en latitud y de 30' en longitud. El dia 15 del actual, solo en algunos pueblos del partido…</t>
  </si>
  <si>
    <t>Gu, D Manuel</t>
  </si>
  <si>
    <t>D Manuel Gu</t>
  </si>
  <si>
    <t>…e se puede trasmitir su dirección á oirás mano» que las ya acostumbra dcspues-.de' y na leve discujiori. das á desempeñarla; y ciertamente no querrían las Cortes que un padre de fa La misma comisión en vista de lo expuesto por el Sr. D. Manuel Gu milia se viese en la necesidad de quebrar, ó inutilizarse para siempre por esta tiérrez de Cavicdes , eleclo por la Coruña , relativo á que sus rentas procedían sola causa. Por lo mismo no creo que las Córtcs alentarán a la libertad que del mayorazgo de sus hijos menores, opinaba no poderse aprobar…</t>
  </si>
  <si>
    <t>Gu, Laureano</t>
  </si>
  <si>
    <t>Laureano Gu</t>
  </si>
  <si>
    <t>…Burgos. de Coruña á D. Antonio Loriga, confiriéndole este encargo en comisión: de la de Cuenca á D. Ventura de Córdoba: d&amp;b$ Habiéndome dignado aprobar en esta fecha la Ordenanza ge Logroño á D. Pío Pita Pizarra: de la de Lugo á D. Laureano Gu neral de los presidios del reino, é instituyéndose en ella el destino tiérrez : de la.de Soria á D. Manuel Pezuela, marque* de Vllun,. de director general de los mismos, vengo en conferirlo al mariscal y de la de Zaragoza á D. Pedro Clemente Ligues. de campo de los Reales ejércitos D. José Viiués r…</t>
  </si>
  <si>
    <t>Gu, Manuel</t>
  </si>
  <si>
    <t>Manuel Gu</t>
  </si>
  <si>
    <t>…puede trasmitir su dirección á oirás mano» que las ya acostumbra dcspues-.de' y na leve discujiori. das á desempeñarla; y ciertamente no querrían las Cortes que un padre de fa La misma comisión en vista de lo expuesto por el Sr. D. Manuel Gu milia se viese en la necesidad de quebrar, ó inutilizarse para siempre por esta tiérrez de Cavicdes , eleclo por la Coruña , relativo á que sus rentas procedían sola causa. Por lo mismo no creo que las Córtcs alentarán a la libertad que del mayorazgo de sus hijos menores, opinaba no poderse aprobar…</t>
  </si>
  <si>
    <t>Gua.ber, Juan</t>
  </si>
  <si>
    <t>Juan Gua.ber</t>
  </si>
  <si>
    <t>…o para oponerme ai artículo so, Cotón y Zúñiga, Cano Manuel (hijo), Serrano (D. Ginés), Caballero, *n su fondo, sino solo por que creo que,su. práctica debe dejarse pira otro fjoSért, Tojedo, Martínez:de la Rosa, Bonel, González (D. Juan Gua.ber- tiempo mis lejano. Se dice en él que todos lo. españoles dtbrn contribuir (.Ityd H&gt;)i PijWríO, Heredia , marques de Falces, A randa, Serrano (D. Francis- ti artículo.) Es Claro que en e&gt;ta calificación redor deben entrar las clases pt i— á¡y,iMántiluy-EIanco, Diez González, marques de Montcvíigen,…</t>
  </si>
  <si>
    <t>Güadagny, Francisco</t>
  </si>
  <si>
    <t>Francisco Güadagny</t>
  </si>
  <si>
    <t>…el jueves pasado en solem de los caballos empleados en la conducción de la madera procedente de lo* ne sesiort para honrar la memoria de Su Erna, el difunto cardenal Pietro Ca montes del Estado. (Diario de París 7) prario. . . El Sr. Francisco Güadagny-, miembro del colegio filológico, pronuncié -__Se habia creído generalmente hasta ahora que ias maquinas locomotivas no con este motivo un elogio en latín que ha recibido los mayores aplausos. podían emplearse con utilidad mas que en caminos de hierro, cuya inclina SS; EE. los cardenales Lambruschin…</t>
  </si>
  <si>
    <t>Guadalcazar</t>
  </si>
  <si>
    <t>…de las tristes ocurrencias de los días 17 El Sr. Navarro Sangran dijo .que le parecía estar pendiente aiun (a califi y 18 del próximo pasado Julio. cación de los Próceres; esto es, si se entendía por tal el mero nombramiento, El Sr. Guadalcazar hito presente que pasada i la secretaría la exposición ó ti era preciso esperar á que hubiesen jurado y tomado posesión da so destino, que se cita, se habia entregado al Sr. Clemencin , y que habiendo caido enfer- y hecho las prqebas necesarias para este caso. ‘ no y obrando entre sus papeles, no s…</t>
  </si>
  <si>
    <t>…mento? camente se referia á aquellos que solicitasen permiso para ausentarse por moti Sobre lo-cual nó había dicho nada la comisión. vos particulares. * El Sr. duque de Rivas-dijo que apoyaba la idea del Sr. Bítrgos; y que con El Sr. Guadalcazar opinó se añadiese á la proposición esta última cláu arreglo ¿ laceriada ley.se podía exigir el juramento á los Próceres ausentes, sula, en lo que se convino su autor y volvió á leerse, redactada en estos términos: presentándose una proposición formal al Estamento para que recayese su deli Pido se d…</t>
  </si>
  <si>
    <t>Guadalcázar</t>
  </si>
  <si>
    <t>…ial «El Gobierno men de las comisiones envuelve una disposición que debe ser objeto de una ley, está en un todo conforme con la adición propuesta por el ¡lustre Procer mar pues en vez de sujetarse á lo propuesto en la adición del Sr. Guadalcázar , han ques de Guadalcázar, y lo está tamb;en con la extensión que Ja han dado las trasmitido á otra dase de contratos derechos que no están comprendidos, ni comisiones reunidas; pues aunque en sentir del mismo su contenido se hallaba en el proyecto de ley del Gobierno, ni en 2a adición. Podrá &lt;&gt;ef…</t>
  </si>
  <si>
    <t>…e tanta Gobierno, sino de los que se refieren á propuestas de Sres. Procuradores. Sf se gravedad que mereciese la que por dicha partease dictaba.„ tratan de un dictámen de esta clase, seria justamente, citado el art. 56; .pero El Sr. Guadalcazar, observo que en lo que proponía la comisión no se no siendo '«si, y adelas estando de acuerdo láéamitíon con el Gobierno, no encerraba el carácter de una conminación, sino cumplir con el celo del Esta hay óbice alguno pan qúc empiece-la discustoo.^ mento , diciendo á S. M. obligase á asistir á él á…</t>
  </si>
  <si>
    <t>Guadalcozar, Gar</t>
  </si>
  <si>
    <t>Gar Guadalcozar</t>
  </si>
  <si>
    <t>…; coritle de jado de tal modo la cuestión, que eL Estamento convino en que no había nece Castejon, id.; obispo Vallejo, presente; duque de Gor, id.; marques de sidad de sentar ninguna nueva proposición, ni por consiguiente la del Sr. Gar Guadalcozar , presente; conde de Guaqui, id.; duque de Hijar, id.; conde cía Herreros. Este repuse que aun cuando eso fuese cierto, el acta debía referir de Humanes, idi; D- Justo María Ibar-Navarro, enfermo; D. Ramón Ló lo; á lo que contestó el Sr. duque de Rivas qüe en el acta se indicaba solo io pez Pelegri…</t>
  </si>
  <si>
    <t>Guadia, Ramón Gil de la</t>
  </si>
  <si>
    <t>Ramón Gil de la Guadia</t>
  </si>
  <si>
    <t>…ón de los acreedores de estas en el manejo é inversión de las ren ballería; p. Toméis González Carvajal, intendente de ejercito, é in tas del deudor; ni tamjtoco el consiguiente estado precario del rein dividuo ilel Consejo Real; D. Ramón Gil de la Guadia, del mis tegro de aquellos: deseando proveer de remedio á semejantes males, mo Consejo; conde González,de .Castejon , mariscal de campo de oido el Consejo, de Gobierno; he venido en mandar, ¿ nombre de Mi los Reales ejércitos; marques de Y esulla y-de las. Hormazas; con excelsa Hija Doña Isabel ti:…</t>
  </si>
  <si>
    <t>Guaibcrto, Juan</t>
  </si>
  <si>
    <t>Juan Guaibcrto</t>
  </si>
  <si>
    <t>…-ob-e e^te prem*r« v cj't-jr« s»e u«Sia va, Medrano, Otón Zúñiga , Serrano (J). Gines), Hubtrt, M^rt ncz d^* la paree "1 1 i-je se conciliaria la ''pin -»n &lt;lc i*»s :ts s»n&lt;*s %eñ -s qu-* Sin *u»v ’ dvj Rosa , poncl, González , ( D. Juan Guaibcrto) , M'^n&gt;o , Vega Rio , Csia- r e\¡ redando el artuulo er »&lt;.• te'O irx's refer Jes. . h :n .on. 1. • ¡ue pcleta , xonde de Toreno , Melendcz, Cosío , López del Baño , Agreda , Cam establee ido el pr -nc 1 pío es .im,t I ntr a' en la ex pi - ca» ion de l is c .r-e. nr- .. as pillo , Garay , y Canals…</t>
  </si>
  <si>
    <t>Guaiberto, Eduardo Galier y D Rafael Juan</t>
  </si>
  <si>
    <t>Eduardo Galier y D Rafael Juan Guaiberto</t>
  </si>
  <si>
    <t>…io del 'Despacho tido que me hallo.'* de lo Interior, á que acompañaba el acta de la elección hecha para Procurado La mesa , en virtud de las razones expuestas por el Sr. Gonxaler. (Don res por la provincia de Málaga de los Sres. D. Eduardo Galier y D. Rafael Juan Guaiberto), nombró en su lugar para la cccmsinn referida al Sr. mar de Rodas, en reemplazo de D. Joaquín Urbina y D. Miguel Tomas Gómez. ques de M.&lt;‘Ateta *, y en &lt;egu:da , í invitación del St. Presidente p cutió i turar Se mandó pasar á la comisión de Poderes. y tomó asiento el ¿&gt;r. D. Alvaro de Na*ia Ox&gt;ri…</t>
  </si>
  <si>
    <t>Guaiberto, Rafael Juan</t>
  </si>
  <si>
    <t>Rafael Juan Guaiberto</t>
  </si>
  <si>
    <t>…o que me hallo.'* de lo Interior, á que acompañaba el acta de la elección hecha para Procurado La mesa , en virtud de las razones expuestas por el Sr. Gonxaler. (Don res por la provincia de Málaga de los Sres. D. Eduardo Galier y D. Rafael Juan Guaiberto), nombró en su lugar para la cccmsinn referida al Sr. mar de Rodas, en reemplazo de D. Joaquín Urbina y D. Miguel Tomas Gómez. ques de M.&lt;‘Ateta *, y en &lt;egu:da , í invitación del St. Presidente p cutió i turar Se mandó pasar á la comisión de Poderes. y tomó asiento el ¿&gt;r. D. Alvaro de Na*ia Ox&gt;ri…</t>
  </si>
  <si>
    <t>Gual, D Juan</t>
  </si>
  <si>
    <t>D Juan Gual</t>
  </si>
  <si>
    <t>…amantes de la libertad; La comisión de Poderes presentó su dictamen acerca de que hallándose cosa que se repitió en las elecciones del 22. Todos eran igualmente sabio* y conformes los documentos justificativos presentados por el Sr. D. Juan Gual- celosos de la libertad , y aun aquellos que1 por su clase particular no querían aaberto González antes del término que se le señaló, debía declararse-definitiva* torízar se derrocasen algunos abusos que interesaban á ella, estaban bien con mente admitido Procurador de su provincia. Se aprobó este d…</t>
  </si>
  <si>
    <t>Gual, Juan</t>
  </si>
  <si>
    <t>Juan Gual</t>
  </si>
  <si>
    <t>…ntes de la libertad; La comisión de Poderes presentó su dictamen acerca de que hallándose cosa que se repitió en las elecciones del 22. Todos eran igualmente sabio* y conformes los documentos justificativos presentados por el Sr. D. Juan Gual- celosos de la libertad , y aun aquellos que1 por su clase particular no querían aaberto González antes del término que se le señaló, debía declararse-definitiva* torízar se derrocasen algunos abusos que interesaban á ella, estaban bien con mente admitido Procurador de su provincia. Se aprobó este d…</t>
  </si>
  <si>
    <t>…mentos hechos contra la comuioo.” Los que aprobafoti fueron los-Sres. Cano Manuel (padre), Abargues, El Sr. Ockoaz «Confieso que est% discusión es muy desagradable por la Be’monte t Boncl, Hubert, Mirtinez de le' Rosa, González ( D. Juan Gual— . persona á que se refiere: pero me parece que por muy alta que sea la ciase del be?to), Mantilla, Félix Miranda, Mostoso de Altamrra, Vega y Rio, Mar— Sr. Infante, hay-tina gran distancia entre ella y el trono, y no por eso nos leí , Rodas, Alcántara Navqíro, Lasanta, Palarea, Puche, conde de Tor…</t>
  </si>
  <si>
    <t>Gualbcrto, Juan</t>
  </si>
  <si>
    <t>Juan Gualbcrto</t>
  </si>
  <si>
    <t>…versal reforma en todos los desórdenes nés), Cezar, Viñals, Porret, Bonell, Hubert, Martínez de la Rosa, Villaintroducidos por el despotismo, y soportados y aun aplaudidos por la ignoran mena, Carrillo Manrique, Ferrer, González (D. Juan Gualbcrto), Pizarro, cia, ha malogrado las mas santas empresas, y lejos de precipitarla ha dete Heredia , Santafé, Torres Solanot, marques de Falces , Serrano (D. Francisco), nido la perfección del género humano. Los frutos del Gobierno representati Acuña, Diez González, Fernandez Blanco, Mantilla, Montevírg…</t>
  </si>
  <si>
    <t>Güalbcrto, Juan</t>
  </si>
  <si>
    <t>Juan Güalbcrto</t>
  </si>
  <si>
    <t>…que el reglamento interior del Estamento especial encargada de examinar el proyecto de ley sobre abolición del Voto de de Procuradores del reino está sujeto á las enmiendas, correcciones y adiciones Santiago á los Sres. González (D. Juan Güalbcrto), Claros, Osea, Medrano, qpe los representantes acuerden, no separándose en los trámites y forma de sus Blanco, Diez González y Serrano (D. Francisco). deliberaciones, de los principios consagrados en nuestras leyes fundamentales.” La comisión de Poderes después de examinados los de! Sr. D. Ramón d…</t>
  </si>
  <si>
    <t>Gualbeno, Juan</t>
  </si>
  <si>
    <t>Juan Gualbeno</t>
  </si>
  <si>
    <t>…, Cczar, desagradable incidente que tuvimos ayer pronuncié algunas expresiones, pero Eoncl y Orbe, Muñoz, Martínez de la Rosa, Carrillo Manrique, González no con intención precisamente de ofender á nadie, y menos al Sr. Pizarro, (D. Juan Gualbeno), Piarro, Hercdia y Godino, Santafé, Torres y Soiacon quien jamás he tenido ninguna relación. Tratándose pues solamente de sa not, marques de Falces, Serrano (D. Francisco), Acuña, Diez González, Fer ber si yo resentido he ..querido hacer una ofensa personal; responderé que no, nandez Blanco, Manti…</t>
  </si>
  <si>
    <t>Gualberto, José Ctarói Exc.no Sr D Juan</t>
  </si>
  <si>
    <t>José Ctarói Exc.no Sr D Juan Gualberto</t>
  </si>
  <si>
    <t>…á Zamora. cas él día 11 del mes de Marzo del afio de 18331 convenio preliminar,.aúpan St. D. Agustín Aivarez de Sototnayor. ratificaciones se han cangeado en Caracas, el tercer dia del mes de Eneres deá riovtHciA os ■tratar*. Sr. D. José Ctarói. Exc.no. Sr. D. Juan Gualberto González. mrtcio establecidas hace muchos años entre los Estados de S. M. el Rey loy franceses y Venezuela, de favorecer su extensión y perpetuar su duración yor un tratado de amistad, comercio y navegación que consagre al mismo Partee recibidos en la secretaria de Estado y det Despacio Je Ja Guerr…</t>
  </si>
  <si>
    <t>Gualberto, Juan</t>
  </si>
  <si>
    <t>Juan Gualberto</t>
  </si>
  <si>
    <t>…sulten en las catedrales se Los que aprobaron la parte votada fueron: los Sres. Martínez de la Rosa, destinen al crédito público ó caja de Amortización. ¡No seria también hacer conde de Toreno, Fleix, Serrano (D.Guies), González (D. Juan Gualberto), una injusticia á aquellas víctimas que han adquirido tatitos méritos, y que son Vega y Rio, Diez González, Hübert, Santafé, Rivaherrera, Otazu,López del dignos de recompensa , perjudicarles en sus intereses por dejar de hacer el pa- Baño, Montenegro, marques de Someruelos, Romarate, Mena, Osea, E…</t>
  </si>
  <si>
    <t>…nglaterra. «Y por qué se perdió entonces ia libertad? No lo Los que desaprobaron fueron los Sres. Domecq, Agreda, Fleix, Serrano olvidemos: porque se creyó que se podia dividir la causa del trono de la de la (D. Ginés), González (D. Juan Gualberto), Garay, Martínez de la Rosa, nación; y no hay libertad sin la unión de estos, dos poderes. Perdimos la liber conde de Toreno, Moscoso, Hubert, Bonet, Coton y Zúñiga, Cosío, Vega tad porque el poder abusó de sus prerogativas; porque la nobleza separó su cau y Rio, Santafé, Bermudez Otazu, Vázquez,…</t>
  </si>
  <si>
    <t>…s de Astariz, Serrano (D. Ginés),(Vifials, Bonel, Hubert, pues dé baber desechó los Sres. Procuradores qué tenían pedida la palabra algu Martínez de la B-osa, conde de Villamena, Carrillo Manrique, González nas equivocaciones. i (D. Juan Gualberto), marques de Falces, Fernandez Flaneó, Fleiz,Ciscar, •LosSres. Alcali Galiano, Ferrer y Montevírgen, io Verificaron; y en Ruiz de Bucesta, marques de Someruelos, Moscoso y Altanara, Vega y Rio, seguida se declaró el asuntó suficientemente discutido, y se pidió qué la vota-' Vázquez Queipo, Fontagud…</t>
  </si>
  <si>
    <t>…a su plan de división en deuda activa y pasiva. Ya hemos indicado Orbe, Hubert, Martinez de la Rosa, conde de Villamcna, Carrillo Manri los mas principales: contar con los medios actuales, y asimilar algún tanto la que, González (D. Juan Gualberto), marques de Falces, Fleix, Ciscar (Don deuda exterior con la interior; pero tenia entre otros varios también uno quizá Ramón), Ruiz de Bucesta, marqués de Someruelos, Moscoso de Altamira, algo profundo, y que no se ha mencionado aun. Claro es que el mal de nues Vega y Rio, Vázquez Queipo, Fontagut…</t>
  </si>
  <si>
    <t>Gúalberto, Juan</t>
  </si>
  <si>
    <t>Juan Gúalberto</t>
  </si>
  <si>
    <t>…tes asuntos graves por cbyá- Caosa te Moscoso,A:tariz, Flores, Serrano {D. Gines), Vifials, Boncl, Hubert, Mar hayan convocado, pira qué discutan las leyes í para que las voten &amp;c.” Y, hé. &gt; tínez dé la Rosa.VilUmtna , González ( D. Juan Gúalberto), Santafé, Fal ' aqui cómo la léy fundamental'de España presenta bases;; lo mismo hace la ley ces , Cécár, Bucesta, Someruclos, Mosco»} y Altamira, Vega y Rio, FontaOrgánica dé la Ouardia\naciona| de Francia, que empieza estableciendo el ob-&lt; gúd Gargollo, Jaramiilo, Alcántara Navarro, Puche; Ezpel…</t>
  </si>
  <si>
    <t>…ridad de su territorio, cuando su tariz, Flores , Serrano ( D. Gines)# Viñals, Bonel. Hubcrt. M? niñez déla libertad se veia en inminente peligro, todos indistintamente volaban á las ar Rosa, Villamena, Camilo V_nr qie, González (D. Juan Gualberto), He— mas. Todos combatían con decisión y con denuedo, y el triunfo jamas podía redi*, Stntafé, Torres Solanot, Falces, Diez González, Fernandez Blanco, ser dudoso. ¡Y de dónde nació esta decisión unánime, y~jama# ^psmeoii- Mantdla, marques de Montevírgen , Fleix, Ciscar, Bucesta, marques de So-, d…</t>
  </si>
  <si>
    <t>…le i runo-.n vengo én elegirle Secretario dc Estado y del despacho de Gracia y Justicia; y su estado, tales han sido las principales deposiciones con que V. M.", propicia hallándome muy satisfecha del zelo y acrisolada lealtad de D. Juan Gualberto ‘siempre a mejorar la suerte de sus le des vasallos , ha querido en nomh-e de su González, que ha desempeñado el ministerio del mismo ramo , le concedo ho 'muy atnadi Hija la Rfina nuestra Señora D m» Isabel n , señaba: la -egunda nores det ¿onsejo de Estado, en nombre de mi augusta Hija la Reina D…</t>
  </si>
  <si>
    <t>…Vahillo, Cabañil las, Vázquez Mos- El Sr. Domecq cedió el uso de La palabra que le correspondía, en aten coso, marques de Astariz, Cezar, Vifials, Bonel, Hubert, Martínez de la Ro ción i la hora. sa, conde de Villamena, González (D. Juan Gualberto), Santafé, marques de El Sr. Presidente suspendió en tal estado la discusión; y señalando para la Falces, Serrano (D. Francisco), Moscoso de Altamisa, Vega y Rio, Vázquez seaion de mañana la de las adiciones al proyecto de ley sobre mostrencos y la Queipo, Jaramillo, Carrillo de Albornoz, Rodas, Al…</t>
  </si>
  <si>
    <t>…las posibles en el presupuesto de casa Real; en cuyo caso dos mi (D. Ginés), Cezar, Vinals, Bonel, Huberc, Martínez de la Rosa, Villamellones de ahorro, por ejemplo, de tal ramo, cuatro de tal Otro, y seis de otro, na, González (D. Juan Gualberto), Santafé, Solanot, Falces, Serrano (don formarían doce fnillones de economía; y esos menos gravarían sobre las clases Francisco), Bucesta, Moscoso de Altaraira, Vega y Rio, Queipo, Martel, productivas. Jaramillo, Albornoz, Alcántara Navarro, Lasanta , Palarea, Pucb, Ezpeleta, «Finalmente, ha concl…</t>
  </si>
  <si>
    <t>…en el proyecto presentado por el Gobierno. Esto no lon y Zúñiga, Blazquez Moscoso, Serrano (D. Ginés), Bonel, Hubert, Mar quiere decir que el Estamento quede ligado á adoptar los artículos del proyec tínez de la Rosa , González (D. Juan Gualberto),, Heredia, Santafé, mar to .presentado por el Gobierno; puede modificarlos , altérarlos ó desecharlos; ques de Falces , Fleix, Ruiz de Bucesta, marques de Someruelos , Moscoso de y en este último caso es cuando entra el de substituir los propuestos por la ma Altamira; Gargollo , Paez Jaramillo , C…</t>
  </si>
  <si>
    <t>…curadores han convenido en este Medráno, Montenuevo, Zúfiiga, Vázquez Moscoso,Serrano (D. Ginés), Bo. pnhtts') j ¡do qué modo se presentará con mas vendija en los mercados cxtran- nel y Orve, Hubert, Martínez de la Rosa,González'(D. Juan Gualberto), geros’ iditifendbr »sé han reconocido los empréstitos dé las Córtes; pero be- Heredia, Santafé, marqua de Falca, Fleix, Bucesta,marqua de Someruelos, mo*r declarado bulos los empréstitos contratados durante diez años, que ascieu- Moicoso de Altamira, Vega y Rio, Fontagut Gargollo, Paea Jaramillo,…</t>
  </si>
  <si>
    <t>Gualcircunstancias, Juan</t>
  </si>
  <si>
    <t>Juan Gualcircunstancias</t>
  </si>
  <si>
    <t>…zón!- Es muy notable la observa Polo, Medrano, marques de Montenuevo, Vázquez, Colon, Serrano (Do» ción qbe el Sr. Martínez de la Rosa nos ha hecho, de que precisamente las Groé**), Hubeit, Bonel , Martínez de la Rosa, González ( D. Juan Gualcircunstancias en que queremos establecer esta garantía son sin duda las mis- berto), Sanufé , Fleix , marques de Someruelos, Bucesta , Gargollo , Carrillo, das en que otras naciones la han suspendido. No estamos absolutamente encon marques de E-pinardo , Ezpeleta , marques de Montea, marques de Valladares, trado…</t>
  </si>
  <si>
    <t>Gualherto, Juan</t>
  </si>
  <si>
    <t>Juan Gualherto</t>
  </si>
  <si>
    <t>…á ser instrumentos de su gobierno, sino que escri Moscoso, Colon y Zúñiga, Bermudcz, Serrano (D. Ginés), Hubert, Mar bieron otros muchos que estaban en las Provincias ocupadas, que perteneciañ tínez de la Rosa , Bonel, González (Don Juan Gualherto) , Santafé, Hcre— ai mismo partido. Todavía están llenas Jas librerías y bibliotecas de pápele? día, marques de Falces, .Fleix , Bucesta, Vega y Río , Gargollo , Brndicho, folletos escritos á favor de Napoleón , contra las Córtes de Cádiz y el go— marques de Espinardo, Ezpeleta, marques de Montesa…</t>
  </si>
  <si>
    <t>Gualterio, Juan</t>
  </si>
  <si>
    <t>Juan Gualterio</t>
  </si>
  <si>
    <t>…ero para conocimiento delEstamento se idará dienta de linos ¿os que dijeron que no Babia lugar á proceder á ia votación fueron:. jpodfres de un Sr, Procurador que acabado llegar-.dy ganar tiempo patá su Fleix, Serrano, {González (D. Juan Gualterio), Garay, Maj-tinez de Ja aprobación.”ayiUUÜ^lUtl.' .'• .' ■ • ■ ' . ¡ • "^ &lt;’ Rosa, Toreno, Moscoso, fclebert, Bendicho, Coton, Zúñiga, Cosío, Risa - . d*ó cueota &lt;;p cfc&lt;;to;jde lp8 respectivos á p. juan dé Palárea, los-t] ue se Herrera, Vega del Río, Santafé, Otazu r_Bucesta, Melendez, Campillo,…</t>
  </si>
  <si>
    <t>Guaqui</t>
  </si>
  <si>
    <t>…n- su opinión sobre si debían ó no emplearse en la circular términos enérgicos ‘te por el Sr. Burgos, Eremos. Sres. conde de Clavijo , Obispo de Córdoba, para hacer venir á los ausentes , el Sr. Cano Manuel dijo que de ninguna ma conde Guaqui , marques de Santiago, y marques de........... nera debía obligarse á venir á aquellos Próceres que estavieseq en servicio ac— El Estamento quedó enterado d¿ un oficio del Excmo. Sr. D. José Mar tivo , i quienes únicamente debía exceptuarse en este caso. tínez de San Martin, manifestando tener pres…</t>
  </si>
  <si>
    <t>…s dé puedan adoptarse en lo sucesivo pata todo lo demas de la deuda pasiva. Una Sta. Cruz, duque de S. Lorenzo, Puig, conde de Castcjon, obispo de Lugo, circunstancia debe empeñarnos aun mas en' esto. Es pues que el Pretendiente, conde Guaqui, obispo de Córdoba, duque de Gor, marques dé S. Felices, entre-las medidas que ha tomado, ha sido una el- reconocer los empréstitos he conde de Cerbellon , duque de Alba, conde de Pinohermoso, marques de AIchos désde el afio 23 hasta el de 32, dejando i un lado Jos de Córtes. Esta de cafiíces, duqu…</t>
  </si>
  <si>
    <t>Guardian, Fer E Manchecter</t>
  </si>
  <si>
    <t>Fer E Manchecter Guardian</t>
  </si>
  <si>
    <t>…lazar al actual embajador de Viena, dar 3 muertos en el campo, cogiéndoles 4 fusiles. conde dz Lutzoyr, á .quien censuran de falta de energía. {Galignani's Messenger.) El mismo manifiesta que el teniente del provincial de Granada D. Fer __E1 Manchecter Guardian refiere un hecho histórico bastante curioso. nando Vivar con 20 hombres del mismo cuerpo é igual número de Urbano», aprehendió en los portillos de Cubülas 10 caballos, algunas monturas, un fu «Durante las turbulencias del reinado de Carlos i, fue á Lóndres á bus sil , 3 carabinas, 1 trabuco y otros…</t>
  </si>
  <si>
    <t>Guarnición, Se</t>
  </si>
  <si>
    <t>Se Guarnición</t>
  </si>
  <si>
    <t>…se hace más indispensable en proporción que la faltado pe muchos años. Ciudad-Rodrigo 20 de Abril de 1834 á las once del ricia aumenta la dificultad en el servicio militar. dia.rcExcmo. Sr.=Alejandro González Villalobos .ncExcmo. Sr. Se «¡Guarnición de la plaza de Almeida! Yo os recomiendo la cretario de Estado y del Despacho de la Guerra. obediencia á vuestros gefes y oficiales, el respeto á las autoridades, la protección á las propiedades. Convenzamos á nuestros enemigos de la superioridad de nuestros principios, y hagámosles ver que los Excmo. Sr…</t>
  </si>
  <si>
    <t>Gucreau, D Miguel Oca y</t>
  </si>
  <si>
    <t>D Miguel Oca y Gucreau</t>
  </si>
  <si>
    <t>…e de- Sr. P. Jqáquin María López. b’ó á la precipitacion.de Bourmont, y masque todo.el sistema erróneo de que* Sr. L&gt;. Bérnarnino Vitoria .comerciante, re- avanzar con una nube de tiradores, y no con una columna 'de. suficiente , Sr. D. Miguel Oca y 'Gucreau. fuerza. _ . Sr. D. Francisco Belda, barón de Casanova de Bocairente, La marcha sobre Lisboa fue retardada por la villanía de los proveedores de Sr. D. Andrés Vicedo, hacendado. víveres, que robaron las tres cuartas'partes de las provisiones destinadas al ejér cito, y obligaron i los soldados á dete…</t>
  </si>
  <si>
    <t>Gucreau, Miguel Oca y</t>
  </si>
  <si>
    <t>Miguel Oca y Gucreau</t>
  </si>
  <si>
    <t>…- Sr. P. Jqáquin María López. b’ó á la precipitacion.de Bourmont, y masque todo.el sistema erróneo de que* Sr. L&gt;. Bérnarnino Vitoria .comerciante, re- avanzar con una nube de tiradores, y no con una columna 'de. suficiente , Sr. D. Miguel Oca y 'Gucreau. fuerza. _ . Sr. D. Francisco Belda, barón de Casanova de Bocairente, La marcha sobre Lisboa fue retardada por la villanía de los proveedores de Sr. D. Andrés Vicedo, hacendado. víveres, que robaron las tres cuartas'partes de las provisiones destinadas al ejér cito, y obligaron i los soldados á dete…</t>
  </si>
  <si>
    <t>Guéhcnequ</t>
  </si>
  <si>
    <t>…se cita; debiendo ademas manifestarle koff, grande almirantea de Rusia, be dice que loa. Sres. Desage, el general que de declaración del rebelde Bruno resulta que « presentó voluntariamente Schneidcr, el contraalmirante Hugon, ci general Guéhcnequ y el barón Kouen i U facción el 3 de Marzo, y que fue por el cabecilla Zavala nombrado ayu dante mayor de húsares; que disperso en la tarde del 12 , habiendo perdido so han recibido la cruz de grandes oficiales- Los Srcs. generales Fabvier, Trezel y Corbet han sido nombrados comendadores de la nueva…</t>
  </si>
  <si>
    <t>Gueieca, Sixto</t>
  </si>
  <si>
    <t>Sixto Gueieca</t>
  </si>
  <si>
    <t>…sin crñburgo que nos dejaran el 27. ¡No ss que escupía del-quoeehaila en la'sacristía derla catedral, pintado por ¿1 di sabe si la Emperatriz se pondrá en camino con su Esposo; pero se Cree que nc^ funto Mr. Metcslf, sacada por, D. Sixto Gueieca, alumno de la academia'de Hoy debía verificarse una gran parada con motivo de la llegada del Emperador; dibujo y pintuní^ldS. Alejandro, y dedicada por los ..estudiantes de derecho pero S. M, I.,' teniendo presentes los gastos y las fatigas que ocasionan estas ce de S. Cárlps^ recordó el Sr. catedr…</t>
  </si>
  <si>
    <t>Guer, Juan Alvarez</t>
  </si>
  <si>
    <t>Juan Alvarez Guer</t>
  </si>
  <si>
    <t>…ppr’ unanimidad dé., reglamento, soy de parecer que no se lea el dictámen de la comisión, pues se los asistentes i la sesión, que fiiwon los Excmo*. Sres. conde de Pinofiel .mar ques fie Monreal y dqSat&gt;tkgo,'D. José deCafranga, D. Juan Alvarez Guer ha leido otra vez, se ha impreso y repartido, y d volverlo á leer alargaría la discusión. Es verdad que el artículo dice que se tea; pero puesto que se van le ra . duque de Nobleiss, marques de' Mansera y de Malpica, D. MartiU Feryendo los párrafos aegun*se van discutiendo, me parece qu^ esto es mf…</t>
  </si>
  <si>
    <t>Guerra, A'varez</t>
  </si>
  <si>
    <t>A'varez Guerra</t>
  </si>
  <si>
    <t>…a es estar escaso, y otra el tener necesi y sin perjuicio de los otros medios que podrán aplicarse después al reembolso dad de recursos. de la deuda pasiva.” «Hoy día los Gobiernos, aun los mas adelantados, tienen necesidad de Ei Sr. A'varez Guerra: «La comisión no tiene ningún inconveniente recurrir iodos los años á Jos empréstitos: la misma Francia, que tiene una ad en que se admita esa adición: lo único que podría parecería era aun poco en ministración tan arreglada, está contrayendo uno de 5u á ÓO millones de fran favor de los acreedores…</t>
  </si>
  <si>
    <t>Guerra, Afínistro de la</t>
  </si>
  <si>
    <t>Afínistro de la Guerra</t>
  </si>
  <si>
    <t>…cipio del presente año, sin perjuicio de las mejo Gobierno á las Córtes como corresponde, y estas no se negaran nunca á cuán ras sucesivas.” tas medidas créan indispensables para la salvación de la patria l y si publica El Excmo. Sr. Afínistro de la Guerra:,»En cuanto á la indicación he da faltare el soldado i su cumplimiento, no será más que un desertor digno cha por el ilustre Prócer Sr. duque de Gor, puede informar el Secretario de la ' del mas duro castigo.” Guerra, que siendo Inspector general de Infantería, se acordó* y se reunieron El Sr. Secr…</t>
  </si>
  <si>
    <t>Guerra, Afvarez</t>
  </si>
  <si>
    <t>Afvarez Guerra</t>
  </si>
  <si>
    <t>…España se cobra el diezmo de algunos artículos laboreados, como en la fatigado labrador en justo premio del sudor que ha derramado sobre ella para na, manteca y vino, principalmente en las provincias del Norte. b.neficiarla. ■ El Sr. Afvarez Guerra: «Empezaré desvarteciendo un concepto equivo -Los nuevos y siguientes gastos que después de alzado un fruto se hacen cado que se ha formado acerca del objeto de esta petición. No se trata de ua en aquellos artículos que son susceptibles de elaboración, ya dejan de pertene diezmo como todos los dema…</t>
  </si>
  <si>
    <t>Guerra, Aleare</t>
  </si>
  <si>
    <t>Aleare Guerra</t>
  </si>
  <si>
    <t>…con ar .llevada 4 su complemento y perfección, será upo de. ios, una* robusto* apoyo* reglo 4 las estipulaciones del tratado. del trono y de la libertad.” , • = «El Gobierno español, conforme con los sentimientos generosos de la Sr. Aleare* Guerra:,”Ea A. discurso de S, MU echaba yo de.imetaoa.que «Ríina.Gobernadora, en quien todo impulso magnánimo nace del coraron y no se hubiese «dicho nada dé la Milicia urbana- «DStitustPjB,. que según sabemi», no de- cálculo político; y queriendo corresponder -debidamente á los deseos de .es debida 4 la…</t>
  </si>
  <si>
    <t>Guerra, Alvarcz</t>
  </si>
  <si>
    <t>Alvarcz Guerra</t>
  </si>
  <si>
    <t>…y el Se-* los que se encargan de hacerlo son particulares que tienen responsabilidad retí ñor Presidente co..testó que el Estamento lo decidiría.' y moral; tienen sus relaciones y otros medios para conseguirlo que do tiene el El Sr. Alvarcz Guerra manifestó que el dividir el artículo en dos partea Gobierno. Este ha de valerse para esto de sus empleados ó de casas que no tie para la votación, seria sin duda con.el objetp de aprobar la una y desaprobar nen ya el mismo interés para llevarlo á cabo que en el caso de ser por canti la otra, siendo…</t>
  </si>
  <si>
    <t>Guerra, Alvares</t>
  </si>
  <si>
    <t>Alvares Guerra</t>
  </si>
  <si>
    <t>…Me alegro que hayan Sr. Burgos, á lo cual contestó la secretaría que no habiéndose formalizado no empezado por nosotros; pero no quisiera que se hubiesen quedado /circunscr*-1 podía ponerse i votación. ¡ tas á este recinto. . EI Sr. Alvares Guerra dijo que no podía hacerse esa adición, por estar «Para aumentar la riqueza pública son necesarias severas economías. Tras ya el-artículo votado y aprobado. ¿t un empréstito hace falta otro; IjsfTÓrtfes, pues, deben evitar que asi suceda, El-Sr. Burgos contestó que su adición nada tenia que ver con…</t>
  </si>
  <si>
    <t>Guerra, Alvarez</t>
  </si>
  <si>
    <t>Alvarez Guerra</t>
  </si>
  <si>
    <t>…narquía, que ha extendido sus estragos hasta la capital misma; pero Quedó aprobado este párrafo, suprimiéndose las palabras sobre todo á pro •que le es aun mas sensible, ti cabe, que prevaliéndose del terror que infun- puesta del Sr. Alvarez Guerra. odíó el repentino desarrollo del cólera, se hubiesen cometido por hombres ma- «Debidas son á V. M. rendidas acciones de gracias por haber hecho pe olévolos delitos tan agenos del carácter noble y bizarro del pueblo español.” netrar Us tropas españolas en Portugal , y puesto en pocos días fin á una…</t>
  </si>
  <si>
    <t>…nsando en la fe de sus abados, presarse.” '. ,, _. .4 esperó el curso de los sucesos. Puesto.á votación el párcafoi, se aprobó con 1». adición propuesta por ei «Como el Príncipe D. Carlos no habia caído en manos del ejército espa Sr. Alvarez Guerra. ■ . : ' i - ’w ñol ; como el general Rodil no estaba en Evora; como no era posible que hu «También'la Milicia urbana, que. debe su existencia 4 la ilustrada previ biese un agente del Gobierno en cada punto de Portugal, en que pudiera ter sión dé Y. ,M-, ba hecho, apenas formada, servicios ¿tnportan…</t>
  </si>
  <si>
    <t>…ano para con el Estado, que las de un prelado para estar admitido; que ademas hacia presente hallarse de comandante de escua con su diócesis. drón agregado al regimiento de granaderos de caballería de la guardia Real, Preguntó el Sr. Alvarez Guerra, si el Sr. arzobispo de Burgos había encargado de atender á U custodia y segundad de U excelsa Umvs Don* U.\- solicitado su licencia después de ser nombrado individuo de la comisión es bex n , por lo que creía deber estar comprendido en lá clase de Próceres au pecial para el eximen de la exposición…</t>
  </si>
  <si>
    <t>…l. frangen. Tres opiniones hay sobre este particular : la del Secretario del Des Los Sres. Gano Manuel y duque de Rivas fueron del mismo dictámen que pacho de Hacienda, y la de la comisión dividida en dos. La primera es que s« el Sr. Alvarez Guerra. reconozca toda la deuda extrangera , dividiéndola en activa y pasiva: esta sin Después de varías contestaciones entre algunos Sres. Próceres*; se pregun réditos, pero con opciori de ir pasando á la primera clase; y U segunda coa tó si .había, lugar á votar la adición del Sr. Burgos, y se decidió po…</t>
  </si>
  <si>
    <t>…probarse en su totalidad y cada fuertes de renta, es medida muy poco medítuda.’ El Gobierno español facit^’ artículo en la forma que está redactado.” mente tomaría su desquite si fuese capaz de hacerlo. Es siempre muy aventura El Sr. Alvarez Guerra manifestó que en la segunda partida de la prime do tener que habérselas con una Nación, por apurada que se halle; y si noso ra columna de la recapitulación de la deuda extrangera, impresa y unida al dic tros negásemos á la plaza de París las ventajas que daríamos á las otras, en tamen, habla un err…</t>
  </si>
  <si>
    <t>…«Entendiéndose libres de la devolución Cervellon, conde de Sta. Ana, marques de Santiago, duque de Hijar, conde aquellos á quienes les vendieron los bienes sus tutores y curadores.” de Pino-fiel, Sr. Cafranga, marques de Bcsolla, Sr. Alvarez Guerra, condo Leido el art. 4-° del proyecto, preguntó el Sr. duque de Veraguas si el de Noblejas, marques de Malpica, Sr. Navarrete, Sr. Gil de la Cuadra, señor Gobierno admitía el de las comisiones, ó insistía en que se aprobase el suyo. Quintana, Sr. Vigodet, marques de Espeja , conde del Montijo, cond…</t>
  </si>
  <si>
    <t>Guerra, Atvarez</t>
  </si>
  <si>
    <t>Atvarez Guerra</t>
  </si>
  <si>
    <t>…, conde de Monterron , conde de Villafuertes, en los términos que lo he propuesto.” conde de S. Román, Sr. Navarro y Sangran , obispo de Teruel, conde de Cu Después de una ligera discusión entre los Sres. obispo Vallejo y mar ba, Sr. Atvarez Guerra, duque de Noblejas, marques de Malpica, Sr. Nkvar- ques de S. Felices, quedó aprobado el artículo según se hallaba. ‘ rete, Sr. Cuadra, Sr. Quintana, Sr. García Herreros, Sr. obispo Val lejo, se- . Art. 3.° Quedan suprimidos desde dicha época ios juzgados protectores ñor Vigodet, Sr. Martínez, cond…</t>
  </si>
  <si>
    <t>Guerra, Cárlos y de la</t>
  </si>
  <si>
    <t>Cárlos y de la Guerra</t>
  </si>
  <si>
    <t>…ue el pre porque no sancionando este principio, se sancionaría la obligación de recono supuesto dé su antecesor, el presupuesto de gastos extraordinarios del ministro cer mas tarde España y Portugal loé empréstito» contraídos por D. Cárlos y de la Guerra para l.os últimos meses dél año, y el de Ja caja de Amor|iza- D. Miguel, la Bélgica los de Holanda , y la Francia los de Enrique v. Estos son ciep, Estos son los que la comisión ha examinado, y pp la han convencido: principios positivos. Ayer se d'jo por algún Sr. Procurador que no reconocer l&amp; que…</t>
  </si>
  <si>
    <t>Guerra, D Juan Alvarez</t>
  </si>
  <si>
    <t>D Juan Alvarez Guerra</t>
  </si>
  <si>
    <t>…nso de D. Gerónimo de la Éscosura á otra de niímero, se ha servido trióticas tarcas, se ha dignado encargar en Real orden de 4 del corriente á una S. M. la Reina Gobernadora nominar á D. Cipriano Clemencin. comisión compuesta del Sr. D. Juan Alvarez Guerra, de D. Antonio Sandalio de Arias y dé D. Joaquín María Perez Quintana, la formación de un re Para las dos de supernumerario de Sevilla á D- Francisco de Paula Alva glamento general de sociedades, en el que se fijen de un modo preciso los lími rez y D. José López Rubio; y para pna de la misma clase…</t>
  </si>
  <si>
    <t>Guerra, D Rafael Faustino Sanz de la</t>
  </si>
  <si>
    <t>D Rafael Faustino Sanz de la Guerra</t>
  </si>
  <si>
    <t>…que las conceptúe acreedoras-por tan bizarro com portamiento. Dios ócc.=rCuartcl general de Haro 24 de Octubre de 1834^=7 __ _______ - patrvTNCIA DE VAUABOUB. ¿remo. Sr.=José Manso^=Ezcm&lt;i Sr. Secretario de Estado y del Despache Sr. D. Rafael Faustino Sanz. de la Guerra. ■ Sr. D. Manuel Alvarez García. Excmo. Sr.: El teniente coronel D. bíarcíso CU vería, con fecha 23 dei PROVINCIA DE ZAMORA. corriente desde Meceneyes, me dice lo que sigue: «Excmo. Sr.: Habiendo salido á las cuatro de la mañana de Ctiíemcí&lt;r Sr. D. Manuel Villathica. de abajo, hallé después de ser…</t>
  </si>
  <si>
    <t>Guerra, D-Manuel</t>
  </si>
  <si>
    <t>D-Manuel Guerra</t>
  </si>
  <si>
    <t>…ón á que pertenece, igualmente que el capitán de Exento» Sr.: Después de haber quedado en la Borunda y ralle Araquil navio que le acompaña. = - la vanguardia de este ejército á las órdenes del Sr. brigadier D. Francisco de El Sr. coronel D-Manuel Guerra, mis ayudantes de campo, el teniente Paula Jugueras, extendí mis operaciones í toda la amplitud que dieron de sí coronel D. Juan Tran, el alférez de caballería, capitán de la Milicia urbana la» circunstancias y los movimientos del enemigo, según tuve el honor de par de Valenéia de Alcántara D. Gonz…</t>
  </si>
  <si>
    <t>Guerra, Diego Gpo-t</t>
  </si>
  <si>
    <t>Diego Gpo-t Guerra</t>
  </si>
  <si>
    <t>…r tanto res pee* rior con que remitía testimonio del a:ta de elección de D. PcdroOnttveros^a- lo de está partida no hay défiqit en el tesoro. Hay mas: en el presupuesto de va Procurador por la provincia de Cíceres en reemplazo de D. Diego Gpo-t Guerra, habiéndose mandado aumentar ios carabineros por Real órden de lí' *a!ea Alomo; y al m smo fiempo acompañaba un oficio remitido por el go de Abril de este año , se han incluido 500 que pertenecían al ejército , y que bernador civil de aquella provincia, manifestando Us-inexactitudes que se ba- todo…</t>
  </si>
  <si>
    <t>Guerra, Je</t>
  </si>
  <si>
    <t>Je Guerra</t>
  </si>
  <si>
    <t>…sados concurriesen circunstancias que dismi tado; pero muchas providencias absolviendo á los acusados han probado que se nuyan el delito, se aplicará el articulo Jrta del código.” había mirado con indiferencia. El mariscal Soult, ministro Je Guerra: «Señores: S. M. nos encarga pre «Os proponemos, señores, en el presente proyecto el castigo del hecho solo sentaros dos proyectos de ley, dirigidos á poner, durante los años de 1834 y de tomar armas, aunque sea fuera de complot ó de atentado. Un individuo que 1835 , el ejército bajo un pie de fuer…</t>
  </si>
  <si>
    <t>Guerra, Joan Álvarcz</t>
  </si>
  <si>
    <t>Joan Álvarcz Guerra</t>
  </si>
  <si>
    <t>…las can sas externas que se' conjuraron contra el sistema; y por cada ejemplo que me 1 Lctda y aprobada el teta de lá sesión anterior, manifestó el Exento. Se- pongan en contra de mis aserciones, pondré yo ciento á;su favor. fiof D. Joan Álvarcz Guerra, que siendo uno de los individuos de la comi- ”He entrado, señor, con tanto mas desahogo en esta digresión apologéti siofi de Milicia'urbana, y no habiendo suscrito al dictamen per hallarse enfer- ca , cuanto que veo con gusto en derredor de mí algunos de asá ilustres y dig xaá cuando se' firmó par…</t>
  </si>
  <si>
    <t>Guerra, Joaquín Manuel Alba V D Miguel</t>
  </si>
  <si>
    <t>Joaquín Manuel Alba V D Miguel Guerra</t>
  </si>
  <si>
    <t>…no lector general de Espolios y Vacantes-, 4^ rs» de manifestando al mismo Alaiz; los capitanes D. Juan de Dios LasaU y D. José Obrera ; los tenien tiempo cuánto siente que la escasez de fondos que sufre la colecturía general tes D. Joaquín Manuel Alba V D. Miguel Guerra; cl.aifcicz D. Antonio Ca no le permita ampliar mas este donativo. llejas; los sargentos segundos jóse Pciez, f rancisco Rubiales, Antonio Na-</t>
  </si>
  <si>
    <t>Guerra, Jua Alvarez</t>
  </si>
  <si>
    <t>Jua Alvarez Guerra</t>
  </si>
  <si>
    <t>…s ; y son como sigue: ma quedaba sujeta á nuevas discusiones, y llegaría el caso de hacer intermina Excmos. Sres. marques de Albaida, presente; marques de Alcañiccs, au bles las sesiones. sente; obispo electo de Almería, enfermo; D. Jua» Alvarez Guerra, presen El Sr. duque de Rivas manifestó que la Secretaría del Estamento estaba te; marques de las Amarillas, id.; conde Atares, ausente; duque dé Bailen* convencida de esta verdad; pero que deseando que las actas tuviesen la exten presente; obispó de Barcelona, enfermo; D. Eusebio Borda jí y Azara,…</t>
  </si>
  <si>
    <t>Guerra, Juan Aivarcz</t>
  </si>
  <si>
    <t>Juan Aivarcz Guerra</t>
  </si>
  <si>
    <t>…nombrados (véase la sesión de 1&lt;5 del corriente) se indi de S. Marcial, conde de Sta. Ana, duque'de 0&gt;una , duque de Veraguas, mar có por la Secretaría que el Excmo. Sr. duque de Nrblejas había sido nbmbrado ques de Guadaicázar, D. Juan Aivarcz Guerra* duque de Gor, marques de para la misma en lugar del Excmo. Sr. duque de Gor, que quedaba ocupando E&gt;peji. y marques del Salar. la silla efe hrpresidencia: restituida la comisión al seno del Estamento, ocupo El Excmo. Sr. Presidente anunció que el Excmo. Sr, Secretario del Des el txemo. Sr. Preside…</t>
  </si>
  <si>
    <t>Guerra, Juan Alvarez</t>
  </si>
  <si>
    <t>Juan Alvarez Guerra</t>
  </si>
  <si>
    <t>…dra Pedro, obispo de Barcelona.^ Manuel García Herreros.^ do merino, á los Excmos. Sres. marques de Espeja, duque de NobVejas, Don El duque de 5. Lnrcnzo y del Parque. José de Caftanga.zrjuan José, obispo Ramón Gil de la Cuadra , D. Juan Alvarez Guerra, obispo de Córdoba, y de Córdoba —I. El marques de Sta. Cruz.=R. El duque de Berwik y A ba.=^ conde del Montijo. Vicente Ramos. = El marques de Albiida y de S José. = hi conde de Ota El Estamento quedó enterado de haber* sido nombrado para la comisión ba, cr Pedro González de Vallejo. de Hacienda e…</t>
  </si>
  <si>
    <t>…de D. Gerónimo de la Éscosura á otra de niímero, se ha servido trióticas tarcas, se ha dignado encargar en Real orden de 4 del corriente á una S. M. la Reina Gobernadora nominar á D. Cipriano Clemencin. comisión compuesta del Sr. D. Juan Alvarez Guerra, de D. Antonio Sandalio de Arias y dé D. Joaquín María Perez Quintana, la formación de un re Para las dos de supernumerario de Sevilla á D- Francisco de Paula Alva glamento general de sociedades, en el que se fijen de un modo preciso los lími rez y D. José López Rubio; y para pna de la misma clase…</t>
  </si>
  <si>
    <t>…D. Martin Fernandez de Navarrete, deca de Floridablanca. Hoy, acompañado del caballero Vial, ha hecho no; D. Agustín Perales; D. Miguel Moreno- una visita á lord Palmerston, y el 16 será presentado á S. M. Un Para la de Fomento á D. Juan Alvarez Guerra, decano; Don número considerable de distinguidos personages, incluso el cuerpo José Canga-Arguelles; D. José de Heredia; £&gt;. Justo José Ban- diplomático, han ¡do á visitarle. (Courier.) queri; D. Vicente González Arnao. ____ La Gaceta de Augsbttrgo copia un parte deViena del 26 úl Para la sección d…</t>
  </si>
  <si>
    <t>…sejos y las nuevas Audiencias creadas en beneficio de algunaa-Rrovincias;-le#’’-1 láavarrelérpítriarca de las Indias; conde de Venadito; D. Ignacio de la Pezuemuchas trabas que se han quitado al desarrollo de la riqueza públi la; D. Juan Alvarez Guerra; D. EusebioBardají y Azara ; conde González Castejon; P. Ramón Gil de la Cuadra; marques de Montealegre, conde de Oñate; ca , el alivio concedido á los pueblos de varias exacciones onerosas, marques tic StarCruz; obispo de Córdoba; D. Justo María Ibar-Navarro; du y otras mejoras que se están prepar…</t>
  </si>
  <si>
    <t>…compondrían los Excmos. Sres. duque de Gor, sada petición en sesión pública. marques de San Felices, marques de Espeja, marques de Santa Cruz y San Es Procediendo á su discusión pidieron la palabra varios Sres. Proceres en tiban, D. Juan Alvarez Guerra, duque de 0*una y marques do Alcafiices. contra y en pro de la petición; y tomándola el Excmo. Sr. marques de Espeja, El mismo Sr. Presidente hizo presente que iba 4 procederse 4 la discu expresó no ser su ánimo oponerse á la sustancia ú objeto de la petición , sino sión anunciada de la petición he…</t>
  </si>
  <si>
    <t>Guerra, Juan Muñoz</t>
  </si>
  <si>
    <t>Juan Muñoz Guerra</t>
  </si>
  <si>
    <t>…rio, que lo Dios &amp;c. Zaragoza 9 de Diciembre de 1834*—Excmo. Sr.rrEl condé do «S de Olivenza; para el de Coria por traslación de D. Diego Martínez^ Pela— Ezpeleta^Excmo. Sr. Secretario de Estado y del Despacho de la Guerra. yo, á D. Juan Muñoz Guerra; para el de Alcántara á D. Joaquín-Casiano do Campos que lo es de Torremocha; para el de Plasencia, por promoción dé Dpn Anselmo León Barradas, á D. Diego Mcndo; para el de Zafra á D. José Lan- El capitán general de Cataluña participa el resultado de las últimas ope dero; para el de Garrobiílas á D…</t>
  </si>
  <si>
    <t>Guerra, Miguel</t>
  </si>
  <si>
    <t>Miguel Guerra</t>
  </si>
  <si>
    <t>…lios y Vacantes-, 4^ rs» de manifestando al mismo Alaiz; los capitanes D. Juan de Dios LasaU y D. José Obrera ; los tenien tiempo cuánto siente que la escasez de fondos que sufre la colecturía general tes D. Joaquín Manuel Alba V D. Miguel Guerra; cl.aifcicz D. Antonio Ca no le permita ampliar mas este donativo. llejas; los sargentos segundos jóse Pciez, f rancisco Rubiales, Antonio Na-</t>
  </si>
  <si>
    <t>Guerra, Minisuo.de la</t>
  </si>
  <si>
    <t>Minisuo.de la Guerra</t>
  </si>
  <si>
    <t>…ene el Reglamento con arreglo al Estatuto, entonces el Gobierna i las diez pan discutir el asunto que acaba de indicarse, y para, oir. la me manifestará cuanto se le exija con una franqueza sin igual .Justa el punto que moria del Sr. Minisuo.de la Guerra; con lo que so cerró la sesión á las dos le tea dado.’* T ■IKVi i ?/ , lOí'i- 4 0 7 .;V- ■ í í: I Í1ÍH3.6Í US OI I &gt;■'-................. .... '.4- : "i';11 . - . r.-'O- i.'" ;.h-*,,&gt; .t4 ■' ') •'i H-iví • f ; í .1 4./; ~ ' O ’l/r-O'íd ■ f)v fi n .4 44:- ',- V; !)ii rO!W;.I t-h-ít-'l ‘ ÜJí lA ttlt^E…</t>
  </si>
  <si>
    <t>Guerra, Secretarlo de la</t>
  </si>
  <si>
    <t>Secretarlo de la Guerra</t>
  </si>
  <si>
    <t>…ael de Rodas, Procurador so de la guerra pidan los oficiales su retiro; per lo demas esto no quiere decir por Malaga. que muchos oficiales no hayan acudido prontamente á tus filas ni que oíros ha Acto continuo pidió la palabra el Sr. Secretarlo de la Guerra. yan dejado de encontrar obstáculo para realizarlo siendo muchas veces el ma El Sr. Secretario del Despacho de la Guerra : »Siento sobremanera ha yor esa misma falta de dinero de que se trata. Aludios excedentes se encuen ber dé distraer la atención del Estamento de una discusión tan importante co t…</t>
  </si>
  <si>
    <t>Guerreiro</t>
  </si>
  <si>
    <t>…enemigo es crítica. El duque de sobre el camino. La primera compañía del segundo batallón de cazadores que 3raganza está a la cabeza del valiente ejército constitucional: sus soldados dese bailaba á vanguardia fue situada por el capitán Guerreiro en una altura muy r&amp;ean con ansia que llegue el momento de acabar con los enemigos. (Ja.) próxima al parage en que estaban los cuadros enemigos, y .coq su fuego hizo que en el cuadro formado por el regimiento núm. 17 se^nolfese algún desorden; el teniente coronel Costa, aprovechando la oportunidad,…</t>
  </si>
  <si>
    <t>Guerrero</t>
  </si>
  <si>
    <t>…80 hombres de Doña María de la Gloria y algunos pocos earabineros oon di rección á Miranda, y que en el camino habían batido alguno* de lo* disperso* nómbkos. riEWios.' AwmriírrxACKMnsw de aquella ciudad , con cuya noticia el Sr. comandante Guerrero se dirigió m 13,139..*... ......... Cádiz. su busca con algunos oficiales portugueses que le acompañaban; y yo con los 11,'308......... .... 3000.................................. Puerto de Sea. Maris. Urbanos me restituí á esta villa.-Todo lo que pongo en el superior conoci 14,551.......... .... 2…</t>
  </si>
  <si>
    <t>Guerrero, Antonio</t>
  </si>
  <si>
    <t>Antonio Guerrero</t>
  </si>
  <si>
    <t>…de costumbre ^ pero tuvieron mas ocasión pa muertos; 15o de tropa heridos gravemente, luu contusos y heridos leve de distinguirse los susodichos comandantes del Príncipe y capitanes de cazado mente, y sobre lOÜ dispersos. res, y D. Antonio Guerrero, de la der granaderos del primer batallón, asi como «Dos compañías del regimiento infantería de la Reyna , y otra del pro el cirujano del batallón de Gerona O. Sebastian Gabanes, que en esta ochsioa vincial de Alcázar de $. Juan, y alguno® convalecientes de diferentes cuerpos, como en todas se ha d…</t>
  </si>
  <si>
    <t>Guerrero, Francisco</t>
  </si>
  <si>
    <t>Francisco Guerrero</t>
  </si>
  <si>
    <t>…e alas Cortes vinieren.’4 *Esta* 7 *ley* loes dp ñor comandante accidental de !i c&lt;»!umni m vil de carabineros de costas des Alonso xi en las Córtes de Madrid de 13Ó7, de Henrique m en U pragmática tinada á recorrer esta frontera D. Francisco Guerrero , que: acababa de Pegar á que dió en Madrid á 13 de Junio de 1393 , de Juan n en las Córtés de Va esta villa; le hice presente asimismo lo útil que serta al servicio de S. M. ia lladead de 1420» y de Carlos v en las Córtes de Madrid de 1523. En ningu Reiva nuestra Señora el hacer desaparecer d.wha…</t>
  </si>
  <si>
    <t>Gufilbe'rto, Juan</t>
  </si>
  <si>
    <t>Juan Gufilbe'rto</t>
  </si>
  <si>
    <t>…mía. El triste estado de fifis rjz, Flores, Serrano (D. Gínes), Cezar , Vifials", Bonel, Hubért, Martínez campos, la miseria dé los pueblos , ¡a insoportable carga de excesivos tributos de Ja '&amp;bsá, conde-dé'Villaniena, González (D. Juan Gufilbe'rto), Santafé; ¡no hacen que baftn . ppr ejemplo,,! 2ü mi!lones! Pues menos serán 18, me marqués dé Falces ¡ Serráno’(D^ Francisco ), Fleix ,'Bucesta, Moscoso de Al- nos Id, y asi sucesivamente. Pero todos llegan 4 un punto eu que dicenw/e crqn¡ tamira. y&lt;tga y Rió. Jifgzquiz Queipo , 'Páéz Járamillo,…</t>
  </si>
  <si>
    <t>Guibelaide</t>
  </si>
  <si>
    <t>…fusileros de S. Fernando regui que los tres batallones rebeldes, en fuerza de mas¿dc 1800 hombres y dos con seis de Africa establecidas ál pie del cerro de Valerdi, foriraban'la.reserva compañías de guías del titulado comandante general Guibelaide , se habían re de las compañías de ataque, y admiraban con placer el 'valor de sus bravos dimido en Amezqueta; y corroborando más este movimiento el objeto que pre compañeros de armas, que persiguieron al enemigo en distancia de una legua sumía de que intéptaban^colOcárs^ á ral retajfbar3íí, di las…</t>
  </si>
  <si>
    <t>Guidq</t>
  </si>
  <si>
    <t>…Felipe se ha dignado ponerme á vuestra renovar á V. K. las reguridades de mi alta consideracion^rEl cónsul de la bél cabeza; al aceptar este puesto importante no he consultado mas que el amor gicas Fernando Delisle.c= A S. E. el general Guidq, ministro de relaciones que todo francés debe a su patria. Estoy seguro de haiiar en vosotros ios mis exteriores,” - mos ^cniimicntc*. . Carta Jel Rey Leopoldo. Señor y gran amigo: llamado por la Providencia Bajo las órdenes de mi predecesor,,cu yo méritc y brillantes cualidades y los votos de un p…</t>
  </si>
  <si>
    <t>Guíldhall</t>
  </si>
  <si>
    <t>…GACETA DE MADRID. ARTICULO DE OFICIO. elnatal,tributoy allíde hareconocimientorecibido las felicitacionesá su^ rilemosde muchosy á su largapuebloscarreraque hanpolítica.prestado S. M. la Reina nuestra .Señora, su augusta Madre la Reina Guíldhall hubo una numerosa reunión que se verificó en medio de la pía;3 Gobernadora, y la Serma. Sra. Infanta Dona María Lnása, conu- con el objeto de nombrar comisionados que fucsen-Hitérprctg?de lasyenrímfer.- núan sin novedad en su importante salud en el Real Sitio del Pardo. ,tos de la gratitud de sus h…</t>
  </si>
  <si>
    <t>Guilleminot</t>
  </si>
  <si>
    <t>…del comercio , si no de un modo repentino, 4 lo menos gra medita los beneficios, y al talento y actividad que crean, las dis dual y progresivo. cusiones que perfeccionan lo creado: y ya se ve que esto no puede ____ Se dice que el general Guilleminot va á ser nombrado gober hacerse en un momento. El festín.a lente de la naturaleza debe ser nador civil v militar de Argel. imitada en todas las obras de los hambres; pero principalmente en Actualmente se está construyendp una línea telegráfica entre las instituciones políticas, si no se quiere h?ce…</t>
  </si>
  <si>
    <t>…blican hace algunos días: cuando llegue el de las educados bájo los auspicios de M. Jomard, del Instituto. Después de la paz de elecciones la coalición no existirá sino en el nombre, por mucho influjo que la AndrinópoÚs invitó el general Guilleminot al gobierno turco á que imitase Cotidiana emplee para hacerla durar. este" ejéniplo y le diese mas extensión , de manera que pudiese la Puetta después Cuanto mas se acerca el momento de las elecciones mas bullen los partidos, de algunos años poseer un gran número de jóvenes instruidos. M. Amadeo au…</t>
  </si>
  <si>
    <t>Guiller</t>
  </si>
  <si>
    <t>…el defecto de esta marina está en las tripulaciones. dignidad y de la felicidad de los imperios.” 1 ( En seguida el lord canciller declaró en nombre de S. M. que el Parla — .—Noticias de Estockolmo del 24 de Julio anuncian que el príncipe Guiller mento quedaba prorogado hasta el día 2$ de Setiembre próximo venidero. mo , hijo del príncipe de„Orange , llegó el día anterior á aquel puerto á bordo del navio de línea Zeeuw desde S. Peíersburgo; al echar el ancla delante de la rSAMCU. fortaleza, las baterías hicieron el saludo Real, y al desemba…</t>
  </si>
  <si>
    <t>Guillermo</t>
  </si>
  <si>
    <t>…y, ha sido adoptado definitivamente por los Estados.” ■ {Idem.’) Hemos recibido noticias de Constantinopla del 21 de Octubre. Todo estaba tranquilo en aquella ciudad y en las provincias , y se esperaba qUe, el ____ Se sabe que el Rey Guillermo concede pensiones de media paga y suel Sultán entraría en negociación coh Mchemet-Alí. Los negocios comerciales dos provisionales á algunos empleados originarios de las provincias meridiona se reanimaban; se hacian pedidos considerables de géneros coloniales, prueba les que han permanecido fieles á…</t>
  </si>
  <si>
    <t>…. No creemos lignac; los diferentes partidos que componían la oposición, fuese necesario insistir mucho sobre el peligro que habria en fiarse del cual fuese su origen, se reunían para resistir. Continué pues hacien tratado que el Rey Guillermo ha firmado en 21 de Mayo último do parte de la sociedad Ayúdate, y el cielo te ayudará- Me -pare en unión con la Inglaterra y la Francia. Si llegase á violarlo, y ció que no había llegado, la época de salir de ella, aunque.-casi no un resultado inmediato coronase su esfuerzo , la Europa, en el es i…</t>
  </si>
  <si>
    <t>…lrededores del palacio del gotternador, rentes iñmpñ dé industria á que tienen una inmediata aplicación, donde se apeo S. M. I., estaban llenas las calles de una inmensa multitud que se ha servido mandar que el inspector de Minas D. Guillermo interceptaba el paso completamente : todas las miradas estaban fijas en las ven ScliuU ejecuté el reconocimiento científico de todo el principado de tanas , á fin de gozar, aunque no fuera mas que por un instante, de la dicha Asturias, formando.su mapa petrográfico con la descripción corres-; de ve…</t>
  </si>
  <si>
    <t>…ersiguen constantemente á los revoltosos, logrando ventajas sobre ellos: la del — ■ -Los tomos 5.0 y 6,° de la Biblioteca de Damas, 5.0 del Ivonhoe ó el Cruzado, y I capitán Noriega del provincial de Laredo ha cogido al cabecilla D. Guillermo 1.0 ¿el OJiciat aventurero, se venden en esta corte librería de Rasóla, y en Barcelo- I na en ia de Bergnes y compañía, á 4 rs. llevando toda la colección, 745 por nove- ] Díaz en el pueblo de Lastras: el coronel D. Fermín de Iriarte, en Bilmaseda, las sueltas. , ha dispersado el dia 30 del pasado…</t>
  </si>
  <si>
    <t>…us esfuerzos. La división acantonada en los pueblos de Ugar y Azcona To mitido emprender tan largo viage. Aseguróse por tanto que el Emperador Ni mó inmediatamente las armas, y marchando las dos brigadas sobre Abarzuza colás y ei Rey Guillermo vendrían á visitar al Emperador de Austria, no con las dos mitades de caballería de la Guardia Real por el centro, hizo desis siendo posible que el campo de Moravía hubiese sido formado sino con un hn tir á los bandidos de su primer empeñoque reunieren «us fuerzas, compues político-, fin con el cua…</t>
  </si>
  <si>
    <t>…ticular hasta conseguir que en la provincia de su respectivo mando no haya cuanto á Holanda tampoco quiere intervenir en su» negocios , de manera queei pueblo alguno en que no se ocurra á la necesidad que motiva esta circular. De Rey Guillermo se verá obligado á arreglar sus diferencias con la Bélgica por Real orden &lt;Scc.=M¿drtd 13 de Febrero de 1834-=Búrgos. sí mismo. __—F.l príncipe de Talleyrand ha dado un esplendido banquete á varios indi Exposición á S. M. la TLeiva Gobernadora. viduos del cuerpo diplomático. Señora: La ciudad de Al…</t>
  </si>
  <si>
    <t>…ando conociendo el tribunal de Arbi con respecto á la Holanda. De muchos, dias á esta parte nos hablan los perió tros en un negocio, será necesario que los Estados manifiesten su dictamen en dicos de varias medidas tomadas por el Rey Guillermo, medidas, muy dignas órden á que se continúe ó se suspenda; y si en el caso de que se declaren por de llamar la atención de la Cámara- Si hemos de creer á lo» diarios, se han la negativa, el gobierno podrá entonces continuarle ó suspenderle Se espera dado órdenes para reforzar eL ejército holandés.…</t>
  </si>
  <si>
    <t>…orsú sólida construcción pudieran de día 27 de Setiembre llegó á Berlín la Emperatriz de Rusia y su hija nominarse puentes; síi diámetro, ancho y alto de siete y medio pies cada una mayorila gran duquesa María, acompañadas por el Príncipe Guillermo do de las tr£s sobre el rio Serones, cimentadas para mayor firmeza con un zam Prusia. S. M. salió á recibir a su hija a Friedríschsfelde. peado de madera de pino verde, asegurado al terreno arenisco con pilotes ó es tacas, y los cajones embutidos de piedra; y la cuarta, situada entre aquel y el , PORTUGAL. r…</t>
  </si>
  <si>
    <t>…la cata facultad en que podrá disolver dichas sociedades, no diré arbi capital holandesa, y aquella misma noche se reunió un consejo de trariamente, porque.esta palabra se toma en mal sentido, sino se- ministros presidido por el Rey Guillermo en persona. . i su prudencia le dicte, sin que haya obligación de ocurrir ••El 6 de Abril saldrá la corte del Haya para Amsterdam, la autoridad judicial para disolverlas. Supongo por un mo donde se detendrá ocho dias. mento que el resultado que el preopinante espera de esta facultad •• EL general B…</t>
  </si>
  <si>
    <t>…eno.=Sres. directores de RerliS 22 Je Setiembre. *» Rentas, &lt;::Scgun las noticias recibidas de Kocntgsberg, S. MJ la Emperatriz de Ru HIÑISTERIO DE ¿O INTERIOR. sia , acompañada de S.. A. I. la gran Duquesa María y de $. A. R. el Príncipe Guillermo, hijo del Rev, llegará hoy 2*2 á Tapiau, viniendo á Berlín; los au Real orden. gustos viajantes pasarán ía noche en aquel púeoio, y continuarán su camino por K.oenig$ber§ sin detenerse en ninguna parte, debiendo llegar á esta capital Elcottsul Üé S. M. en Liorna con fecha de S del corriente ma el d…</t>
  </si>
  <si>
    <t>…árlos, con riesgo de herir el orgullo nacional de los españoles desarmando. Este hecho es sin duda importante, ,y e* primer paso oslen», ble que ya tienen bastantes tropas para triunfar de una rebelión local de aventure que da el Rey Guillermo hácia un sistema pacífico; es encaminarse á un trata ros y guerrilleros? ¿ó bien se reducirá á proporcionar pertrechos, municiones do definitivo , y es en una palabra un suceso que no significa nada menos smo de guerra, caballos, reclutas voluntarios &amp;c.? Este plan saria mas prudente y que se renun…</t>
  </si>
  <si>
    <t>…ender y apoderarse de todas las lanchas que aun se abrigaban en é! de Biberich. Para llegar á este resultado es indispensable el consentimiento, del con el auxilio de Jos rebeldes, á cuyo fin destaqué por rnar á la trincadura del Rey Guillermo que no desairará á su plenipotenciario. Hn todas las cuestiones mando de D. Pedro de Zuluaga para que guardase ía salida de dicho p jern hoLado belgas las instrucciones rec»b.das por los ' diplomáticos holandeses han En efecto, una y otra fuerza llegaron con tal oportunidad á los pantos prefi sido…</t>
  </si>
  <si>
    <t>…apaces de todo, podemos decirlo sin vanidad, porque lo hemos nombradas alternativamente por el Austria y la Prusia, esta última Potencia probado. La India atestiguar.; siempre nuestro carácter emprendedor y nuestros ha elegido al Príncipe Guillermo, hermano del Rey, para gobernador, y al indomables esfuerzos. Oporto dirá que nuestras virtudes cívicas no fueron ex- ’ teniente general barón de Muflíing para segundo. Por parte de Austria ha sido cedidas por nación alguna de las mas adelantadas en civilización; y con el mis nombrado comandante el…</t>
  </si>
  <si>
    <t>…20:, exhibiendo loi título* sido admitida. Existen todavía en Holanda muchos caballeros belgas, que fie-, originales ó un testimonio de ellos autorizado en debida forma, sin cuyo re lfes i la religión del juramento han seguido al Rey Guillermo, y que están su» quisito, y cumplido el término señalado, no serán admitidos. friendo con impaciencia las dilaciones diplomáticas que se experimentan en e) arreglo definitivo de los negocios de Bélgica y Holanda, y deseando volver á Debiendo proveerse dos plazas de'citujano-sangradores para la.asis…</t>
  </si>
  <si>
    <t>…nido fqego con tado i la Holanda, no son 4 propósito para,concilláis?[la^voluptad,&lt;^emingujnj tuvo a los kábilas, y díÓ margen a que otra tribu que se adelantaba en auxilio nación t y los ministros pueden estar persuadidos que el Rey Guillermo no de la de Mesoya, emprendiera )a retirada sin querer,entrar en acción. aceptará jamás el arrpglo que se Je propon?. , 1 En él día trabajan nuestros soldados sin que nadie los incomode, y tenemos «Ya he dicho otras veces qúe la guerra de Portugal habla sido movida, ya un blokaus mas con dos cañone…</t>
  </si>
  <si>
    <t>…nte sueco Coyct., El primer edecán deLRey, acompañado del ParU 17 di Agosto. gobernador de Estockolmo y el chambelán del príncipe Real, fueron á cum Tanja de aytr. Cinco por J00 consolidados, 10Ó fr. S c. Fondos espa plimentar al príncipe Guillermo , el cual se ha alojado en palacio, y piensa ñoles; renta de España 3 por 100 26f. Renta perpetua de id. 4^i* Emprés permanecer en dicha capital durante algunos dias. tito Real de id. 44*- Se han publicado varios decretos Reales concerniente» á la organización definitiva de la colonia de Argel y al…</t>
  </si>
  <si>
    <t>…ela y los mi -------Quedan desvanecidos todos los recelos a que podía dar margen la posibi nistros, de manera que no seria extraño ver al duque agregado al gabinete por lidad de que en Inglaterra se formase un ministerio torv. El Rey Guillermo, tugués. ha manifestado hasta el fin un di^icrnimicntc¿-perfeoto-j v-qtte- -sabe-dar su justó La-venta de encomiendas y otros bienes que %z han incorporado á Li coro Vjlox-á los-deseos deF público. Ha cumplido dunamente el deber de un verda na, se calcula en lu millones de libras esterlinas, y esta…</t>
  </si>
  <si>
    <t>…lido.sus promesas, y si ha sido fiel 1 tus principios. Cuando entra fortaleza federativa de Maguncia , por el Austria á la Prusia, para lo que ven mos yo y mis compañeros á desempeñar las secretarías del despacho., eran su drá el príncipe Guillermo, hermano dél Rey de Prusia, á desempeñar sus al mamente •críticas las relaciones de Inglaterra con respecto' á la política exterior, tas funciones; pero su mansión en Maguncia será de poco tiempo, porque trata y ahora .la paz de Europa está cimentada en firmes bases, y hay mayor proba de pasar á su…</t>
  </si>
  <si>
    <t>Guillermo-Federtco-Enrique</t>
  </si>
  <si>
    <t>…ia de que-el navio de línea el Zeeun, á cuyo nas puso pie en tierra, fue acudir á la iglesia mas cercana, que es la de nuestra Señora de las Viñas; y apenas llegó al santuario, se precipitó de rodillas, cubordóse hallaS. A. R.-eI Príncipe Guillermo-Federtco-Enrique, ha anclado brió su rostro con su pañuelo, y permaneció durante toda la misa como se enfrente de Cronstadt el 2l de Junio; por la mafiana, después de haber hecho pultado ca esta singular actitud. Después de la ceremonia, pasó á la posada de la travesía de Kiage, cerca de Copenhague-, en el tiempo e…</t>
  </si>
  <si>
    <t>Guillet</t>
  </si>
  <si>
    <t>…s. comestibles i nuestros mercados. El comercio de lanas inscriben de Amberes fecha 29,de junio: con especialidad sigue extendiéndose notablemente, pues sé han vendido S9 •tlAnuncian la* noticia» que han llegado de Holanda que el Rey Guillet- quintales én pocos dias. Yodo en fin va tomando un aspecto favorable, y tipa I I I V x</t>
  </si>
  <si>
    <t>Guirea, Santiago</t>
  </si>
  <si>
    <t>Santiago Guirea</t>
  </si>
  <si>
    <t>Ibhó i , jitid D. Manuel Peres áe Quintero, y al jóvcn distinguido de, carabineros d* cos bala por lina ventana -á media tarde, y de resultas murió al otro die. tas D. Santiago Guirea, que circularon mis órdenes á rodos lóS puntos del fue- ' Dia-21. «Desdeéste día al 28 ,' amboémclcsives, sin novedad, á pesar del go, y me acompañaron.luego á, llevar la tropa á la carga con valor y sereni continuado fuego que hacian en todas direcciones. En los 12 dias que lós rebel dad, en lo cu…</t>
  </si>
  <si>
    <t>Guisa, Infanta Dpña María</t>
  </si>
  <si>
    <t>Infanta Dpña María Guisa</t>
  </si>
  <si>
    <t>…los caso, en S. M. ía Reina nuestra Señora, su augusta Madre la Reina que se proceda á su pago sin preceder la tasación; y no podrán excu sarse de manifestar á los recaudadores los procesos y expedientes, Gobernadora y la Senna. Sra. Infanta Dpña María Guisa, continúan 6Í los piden para su instrucción, con la calidad de no sacarlos de.su sin novedad en sn importante salud en el Real sitio del Pardo. oficio. 12. La carta _de pago ó documento que acredite que la Re d Ha cienda está reintegrada del papel en tos casos que tiene lugar, MINISTERIO DE HACIEND…</t>
  </si>
  <si>
    <t>Guiüejninot</t>
  </si>
  <si>
    <t>…nza. Esta memoria fúnebre ha sido en reconocimiento de haber hecho siguientes: conde Mole, presidente del consejo, y ministró de Negocios extrañ D. Pedro una fundación para los huérfanos de Munich de un capital de 4b3 fraíl aros; general Guiüejninot, ministro de Guerra; Mr. Pelet de la Lozere, mi eos, en ocasión de su matrimonio con la Emperatriz viuda. Asistieron á la nistro de lo Interior; Mr. Calmen, ministro de Hacienda; Mr. Cárlos Dupin, piadosa ceremonia el burgomaestre, el ayuntamiento, la servidumbre del du ministro de Comercio; Mr. Co…</t>
  </si>
  <si>
    <t>Guizot</t>
  </si>
  <si>
    <t>…res, pues las conspiraciones nunca han de tener mas sia; y otra comunicación igual ha hecho el embajador de Francia, resultado, que aumentar el poder del gobierno. aunque en términos mas moderados. No se sabe lo que contestará El Sr. Guizot, ministro de Instrucción pública: Antes de la Puerta, pero es de creer que reproducirá-su antigua respuesta, principiar la discusión, desvaneceré un error en que ha incurrido reducida á que siente no poder acceder á los deseos de las dos Po el preopinante, asegurando que la facultad de asociarse es…</t>
  </si>
  <si>
    <t>…campa en esta dirección conduce Dios la Francia. Nunca os apartéis de ña, por lo menos de'susttfuir a los que están en, guarniciones, y «Ha.’’ (Repetidos aplausos.) dejarlos de-punibles para las operaciones activas. Luego que el Sr. Guizot baja de la tribuna, se nota en (a ia- Y ;á qúe&gt;e debe esta inapraciable ventaja sino i la división</t>
  </si>
  <si>
    <t>…lí se disTruta, fueron obra de algunos agitadores y trayendo ¿ la memoria las opiniones que en otros tiempos ha manifestado el que en las perturbaciones sociales quieren satisfacer su ambición. ministro de Instrucción pública (el Sr. Guizot); los proyectos de ley pidiendo ' El Sr. Chapuis Monlaville conviene con la opinión del Sr. Garnier, soste- autorización para declarar á París en estado de sitio, y para circundarla de for niendo que ia minuta no es en sustancia mas que el panegírico del ministerio tificaciones aisladas: la present…</t>
  </si>
  <si>
    <t>…citud de que se cargo de diputado, la Cámara tiene con todo eL de disponer que se use de aquella I reforme la legislación existente sobre introducción de granos: entre otras se facultad bajo ciertas reglas. Del mismo sentir es el Sr. Guizot, ministro de leyó una de Glasgow que tenía firmas. Instrucción pública: la Cámara accede á que el Sr. Salverte haga al ministro Con este motivo M. Hume pronunció un largo discurso, en que tejiendo las preguntas que ha indicado, y que esto se verifique en la sesión de mañana. I la historia de las vi…</t>
  </si>
  <si>
    <t>…a solo de la cantidad de la contribución; y final cuenta también, para mantener el orden público, con la imparcialidad, con la mente, que no se debe restringir la facultad de enseñar. ’ sabiduría y la independencia del jurado. El Sr. Guizot, ministro de Instrucción pública, después de hacer ver que El Sr. Dumon cree que si la propuesta del Sr. Salverte se toma en su sen ae. puede dirigir un Estado con el sistema de moderación y justicia que en el día tido natural, es inútil, porque nadie niega que es preciso que el jurado deba se, sig…</t>
  </si>
  <si>
    <t>Gularza, Tontas</t>
  </si>
  <si>
    <t>Tontas Gularza</t>
  </si>
  <si>
    <t>…tuto Real estereotipado. ------Ante el Sr. D. José M.iceda , segundo teniente de asistente de la ciudad de Sevilla, do mención en particular de! tefe de esta plana mayor , teniente coronel gra pende la testamentaria concursada de D. Tontas Gularza. y a virtud de despacho li duado D. Bruno Portillo y Velado, que tanto ha contribuido con sus cono brado á esra corre cumplimentado por el Sr. D. Pedro Bjlsera, teniente corregidor de cimientos y actividad en las combinaciones á los buenos resultados de mis dis esta villa, se cita y emplaza á todos lo…</t>
  </si>
  <si>
    <t>Gúnzale</t>
  </si>
  <si>
    <t>…anto cionarios públicos no puedan Llenar debidamente sus obligaciones por falta da todos deben prestarle igua’mente á las cargás del servicio público. conocimientos para ello. Por Jo tanto, creo que no debe haber dificultad ea El Sr. Gúnzale i ( O. Antonio): «Habiendo firmado la petición de que ■probar el artículo en los tétennos en que se halla redactado.” se trata , y habiendo acordado con (os demas individuos que la han htmado que El Sr. Torrentejía «Aunque la discusión de los varios articulo! que en el artículo que acaba de leerse…</t>
  </si>
  <si>
    <t>GuO, Francisco Antonio de Chjvarri</t>
  </si>
  <si>
    <t>Francisco Antonio de Chjvarri GuO</t>
  </si>
  <si>
    <t>…I Deberemos admirarnos de csu~drvcrgeneta ~en "punto ¿ hechos ma mente , á contar desde 1 9 dz Agosto , oíros 16 J............................. 16ú teriales? Lo contrario, serta sin duda lo maravilloso; porque el artículo de que D. Francisco Antonio de Chjvarri...................... 3GuO hablamos f está sacado de ur? periódico ingles el United Service-journal, el cual D. J. S. M.............................................................. 1000 ro disimula su aversión al bajá reinante AH, amigo de la Francia, y ensalza D. F. F.C......................................................…</t>
  </si>
  <si>
    <t>Guraceta, Roque</t>
  </si>
  <si>
    <t>Roque Guraceta</t>
  </si>
  <si>
    <t>…bastante benig del Real conservatorio de artes debe desempeñar las formalidades expresa nidad. das en el Real decreto de 17 de Marzo de 1826. (Núm. 2Ó4-) PROVINCIA II MADRID. ____ mandando que el comandante general del apostadero D. Roque Guraceta sea el protector de las obras que hayan de ejecutarse en la bahía del En oficio de 3 del corriente manifiesta el gobernador civil de esta pro Ferrol. (Núm. 205.) vincia, que en Alcobendas habían muerto dos personas del cólera morbo ful ____ nombrando 4 D. Manuet Fernandez Varela, al duquf de |Gor,…</t>
  </si>
  <si>
    <t>Gurrea</t>
  </si>
  <si>
    <t>…semidesnudas por el pueblo, cuya atroz saña ha horrorizado to tomar alguna medida seria, pues he notado en los buenos de estos pueblo* do este pais. bastante sentimiento considerando í sus familias con igual suerte «n caso se El coronel Gurrea me participa, que la facción se hallaba ayer en los mejante. pueblos de Nardues, Aldunate, Domeño, Arbuñies y Lumbiér, y que las co Habiendo pedido al teniente alcalde y vicario de Villafranca una lista lumnas de Córdoba y Oráa, según le participa el Excmo. br. general en gefe, délas desgracias ocu…</t>
  </si>
  <si>
    <t>…ó en la cual y dos masas arrolló en la marcha. acción una columna de 200 hombres, que el general en gefe mandó sa «El fuego y la persecución duró desde las dos y media hasta media hora lir de Pamplona á las dos de la mañana, y el coronel Gurrea llegó igual después de oscurecido, por lo que no es posible graduar la pérdida del enemi mente desde Artajona, de modo que en breves momentos se hizo una horri go, que debe ser de mucha consideración, y la nuestra no bajará de 2o&lt;) hom ble carnicería en las filas rebeldes, asegurando los bagageros…</t>
  </si>
  <si>
    <t>…sus frecuentes incorreccio cayó sobre Zuñiga, y el enemiga tuvo que huir vergonzosamente en la mayor nes, y las. faltaste estilo y lenguage en queno -puede, dejar de incurrirá cada dispersión por S. Vicente de Arana, pues que el coronel Gurrea cayó también jaso un genio inculto abandonado á las inspiraciones déla naturaleza. al valle por la parte de Sta. Cruz. James Hógg disfruta eii su ancianidad, en el .seno de una dichosa me El brigadier Oráa pernoctó en lós cantones de los rebeldes: ignpro su dianía , la amistad dé los petsonages mas…</t>
  </si>
  <si>
    <t>…tipfsip» todos d^eamo» restituirups.al ' peni', debientfc atacar él ípór bit puente, aüentras d brtgadier Oifia defaia ata - aeno de-msestras famiüaswdespues qué f hayamos.hmlm todo el. biei» que poda- car por la’ espalda,’ y-^cl coronel Gurrea por otro puntes. El general Gúr- ■■ mos _r j ’• ' doba aé presentó con 'tus tropas, ’qOe toaaatr» cuatro vaocs el puente f ias - imúestriídesgraciida.-(Atriaí^^j,.-¡£( Sr. cmi» dt lur-r jVúoite'»Si por cwiMiiidad; tomo puede suceder, alnírai*, causattdó gran' mortandad «a loe «áemigna: Oría no pere…</t>
  </si>
  <si>
    <t>Gurrea, D Manuel</t>
  </si>
  <si>
    <t>D Manuel Gurrea</t>
  </si>
  <si>
    <t>…pie por cinco leguas. Comprende el cuadro de toda otros equipages, vino, granos y carnes .para dicha plaza , escoltado por las tro ella ocho pies de largo y otros ocho de ancho. Se dividió en dos grandes bandas, pas del mando del coronel D. Manuel Gurrea, las cuales pernoctaron el 25 la una oriental, que se extiende desde el meridiano central hasta la confluencia en Caparroso, y el 2tí en Tafalla; y el 27 salió el general en gefe á la cabe del Navia; y la otra occidental, que termina en el cabo Touriñan; y no obstan za de una columna compuesta de 8…</t>
  </si>
  <si>
    <t>Gurrea, D.Manuel</t>
  </si>
  <si>
    <t>D.Manuel Gurrea</t>
  </si>
  <si>
    <t>…e Infantes ¿ D. Juan Eriales, que ^E1 comandante del fuerte elogia el valor y serenidad de toda la guarni lo es de Villafranca Montes de Oca ; para el de Villadiego á D. Pedro Es ción y de los Urbanos de Tafalla, distinguiendo al alcalde. D.Manuel Gurrea, pinosa, que lo es de Auseio ¡ para el de Segura á X&gt;. José Feliu, que lo es de propietario, joven de prendas recomendables. - Jabea; para él de Mérida a Ó. Juan Vicente Vesga, regente de Quintana; pa Eraso con sus batallones marchó á las cuatro de la tarde con dirección á ra el de Gata á IX Ignaci…</t>
  </si>
  <si>
    <t>Gurrea, Manuel</t>
  </si>
  <si>
    <t>Manuel Gurrea</t>
  </si>
  <si>
    <t>…cinco leguas. Comprende el cuadro de toda otros equipages, vino, granos y carnes .para dicha plaza , escoltado por las tro ella ocho pies de largo y otros ocho de ancho. Se dividió en dos grandes bandas, pas del mando del coronel D. Manuel Gurrea, las cuales pernoctaron el 25 la una oriental, que se extiende desde el meridiano central hasta la confluencia en Caparroso, y el 2tí en Tafalla; y el 27 salió el general en gefe á la cabe del Navia; y la otra occidental, que termina en el cabo Touriñan; y no obstan za de una columna compuesta de 8…</t>
  </si>
  <si>
    <t>…mez Nieva, ayudante. José Ramírez, soldado. Carabineros á caballo de costas y frcnteras.=Agu«tin Chacón, carabine PROVINCIA DE JAEN. -------- ro. Francisco León, Ídem. Manuel Conejo, idem. Manuel Germán, idem. Excedentes^rCoronel D. Manuel Gurrea, gefe de la 2.a brigada de caba— Avisa su gobernador civil «i oficio de 8 deJ actual, que desde 3 i 6 del Hería. D. Blas Royo, adicto á la plana mayor, subteniente. mismo habian curado en Porcuna 17 personas, falleciendo 32, sin que en loa D. VictorianojMmilla, comisario de guerra. demás pueblos de…</t>
  </si>
  <si>
    <t>Gurrei</t>
  </si>
  <si>
    <t>…toy em »H» dicho asimiSipo el preopirante que accediendo á lo que pedimos se barazado con los heridos; rrias espero poder continuar mis operaciones, Si el comprometerían dos deféthos de la Cámara. Partiendo de una idea falsa,ása- coronel Gurrei llega á tiempo de custodiarlos y Conducirlos á nuestros hospi ber, que la Cámara iba á identificarse con el ministerio, y que después de ofre tales, no habiendo en este Valle baga ge ni paisano alguno, porque todos se ios cer su cooperación se Vería precisada. Como consecuencia de este paso, á con…</t>
  </si>
  <si>
    <t>Gustawson</t>
  </si>
  <si>
    <t>…su inconsolable viu rianós, sardos y bá varos,* concurrió la Duquesa María Luisa de Parma, el da nuestra gratitud y nuestra generosidad! (/dj Duque de Módena, el príncipe Oustavo Wasa, hijo del ex~Rey Oustavo iv de Suecia, hoy el coronel Gustawson, y el general Cubieres. En Berlín es considerable la afluencia de extrangeros. El príncipe Mauro* cordato, embajador de Grecia en Munich, llegó el 14, y piensa permanecer aquí algún tiempo, y lo mismo el conde Luis de Irbach-Schoenberg. El Prín ESPAÑA. , cipe Federico de Holanda salió el 17 para el…</t>
  </si>
  <si>
    <t>Gutiér, Amonio</t>
  </si>
  <si>
    <t>Amonio Gutiér</t>
  </si>
  <si>
    <t>…de esta M. H. villa, y Apéndice di mismo Pro yecto, que contiene observaciones hechas sobre él por los Sres. D. Fran mará la sociedad económica, y tomará á su cargo la conservación cisco Bustamante, D. José Agustín de Larramendi, D. Amonio Gutiér de las fuentes y paseos públicos, el establecimiento de una escuela rez, D. Antonio López Aguado, D. Pedro Miranda y D. Juan Calixto de de niñas, y la promoción de otros objetos de utilidad y recreo que Ojeda. Pocos negocios son capaces de llamar la atencioqdel público con costeó en otro tiempo. mas inter…</t>
  </si>
  <si>
    <t>Gutier, Manuel</t>
  </si>
  <si>
    <t>Manuel Gutier</t>
  </si>
  <si>
    <t>…dicha revolu pacho de lo Interior las actas de las elecciones siguientes ■ la de la de D. Be ción , sino la coalición que se formó para destruir la libertad. Antes de entrar nedicto Leal por la provincia de la Coruña, en lugar de D. Manuel Gutier- en ella el duque de Brunswick empleó todos los medios mas infames para con rez Caviedes, cupos poderes no fueron aprobados : la de la de D. José Porre seguir su objeto, cuales fueron poner a! rededor del Monarca consejeros pér ra por la provincia de Gerona, en reemplazo de D. Jo»é Fina del Villar;…</t>
  </si>
  <si>
    <t>Gutiér, Manuel</t>
  </si>
  <si>
    <t>Manuel Gutiér</t>
  </si>
  <si>
    <t>…moria del Secretario de lo tiene noticia el Estamento: Ciérrase la sesión.” Interior, y otros 1-5Ó de la del de Estado remitidos por los mismos. Se levantó esta á las doce y media. El Estamento quedó enterado de una exposición de D. Manuel Gutiér rez de Caviedes, electo Procurador por la Cortina, en que pide se inserte ín Nota. En algunos ejemplares del suplemento k la Gaceta núm. 184, columna 4-*, tegra as» U Gaceta la que hizo solicitando se U exonerase de este cargo. línea SS-, dice consideración^ debe decir consignación. en la imprenta…</t>
  </si>
  <si>
    <t>Gutierre</t>
  </si>
  <si>
    <t>…ntroducido en el distrito de su mando ¿el «l portador 'Tirulos 5-p. lOOvOO. lós ocho facciosos-que "Fueron sorprendidos y ahuyentados el día 3 en las inme- Inscripciones en el gran libra *4 p-. 100» 00. dtacioue, de Huesca por el teniente Gutierre^ del provincial de Búrgos, con" Títulos al portador deJ. 4 p* 100, í3 al contada:í6yííá$0 d.f.ó voL, á rprima- de j " 1 71# Ó* 100. ___ ____ _ djpérdida' dé seis caballos, armas y ptro^cfectos,-según dije.á V. E. en mi par- 'Vales Reate no consolidados, 18-«I contada: 18^ y I8i á-varras'fe.^ó yol. té de…</t>
  </si>
  <si>
    <t>Gutierre, Antonio</t>
  </si>
  <si>
    <t>Antonio Gutierre</t>
  </si>
  <si>
    <t>…refrendada trito de Selva. ' / de! escribano del numero Gaona y Locches, se ba scfialado paré una ¡unta general de ; «delanu el pasco del Borne y la construcción del encallado para' !i fuen* acreedor» e inferrwdos á los bienes de D. Antonio Gutierre», vecino que fue de «ra corte. el dia 22 dr Junio 4 las 9 de su mañana, fft 1» potftdt 4i Si, u Ln M, CUyo círculo oa piedra jaspa dsl país primoroiamenie labrada, queda ya Itíiciigencia que dé oo facerlo les pararé perjuicio. EN LA IMPRENTA REAL.</t>
  </si>
  <si>
    <t>Gutierres, Antonio</t>
  </si>
  <si>
    <t>Antonio Gutierres</t>
  </si>
  <si>
    <t>…l Sr. Balsera , teniente de corregido» de esta villa, dada 4 Ins- rancia de los ecreedores é interesados k ios bienes que bao quedado por fallecimiento embarazado, que oculta el Vacío de los pensamientos bajo las tinieblas del de D. Antonio Gutierres, y refrendada por el escribano Gaona y Loeches, se sacan 4 estilo,, y cuyas sátiras arrojaba- al fuego Fenelon «para hacerlas, mas cla públ ica subasta la casa y demas bienes que pertenecen á dicha testamentaría en la villa ras-”, según decía! «Seriad improvisador Estacio escritor fácil é ingenioso…</t>
  </si>
  <si>
    <t>Gutiérrez, Amonio</t>
  </si>
  <si>
    <t>Amonio Gutiérrez</t>
  </si>
  <si>
    <t>…ALES DECRETOS. necesidad de nuevo nombramiento, á D. Rosendo de la Vega y Ría. doctoral de la Santa iglesia de Mondnñedo, capellán de honor y Pro Para la formación de urr p’an general de instrucción pública curador á (/irles, v á D. Amonio Gutiérrez, catedrático de geome • que extienda la esfera de la enseñanza y contribuya á propagar los tría, mecánica y física del Real Conservatorio de Artes, residente conocimientos nns inmediatamente útiles, tuve á bien nombrar en en París en comisión, reservándome atender á los vocales que han 0L de Enero…</t>
  </si>
  <si>
    <t>Gutiérrez, Celestino</t>
  </si>
  <si>
    <t>Celestino Gutiérrez</t>
  </si>
  <si>
    <t>…a López Yillavicencio, 3a del Sr. D. Luis Shoemaker, cónsul de los Estados- reunión general .entre La Nestosa y Ampuero, y prestándose á las -instancias Unidos, la del vicecónsul de XLusia D. Henrique Coit, y otras muchas com -de D. Celestino Gutiérrez, alcalde mayor de Laredo, hi-zo que en compañía petían entre ¿ en el buen gusto de sus adornos. • de dicho juez saliese el dia 27 alguna fuer/a del provincial de Oviedo, que pre Fl batallón ligero de Galicia , .que no cede á ningún otro del ejército en sentándose en Gibaja á la misma hora en que de…</t>
  </si>
  <si>
    <t>Gutiérrez, Fernando</t>
  </si>
  <si>
    <t>Fernando Gutiérrez</t>
  </si>
  <si>
    <t>…ndo con una cqrnisa arqui trabada, orden particular de S. M. la Reina Gobernadora, se le mandó proyectarla; el que, asi como los cuerpos salientes, aparecían ser de piedra de Colmenar, y lo ayudante elegido por dicho profesor fue D. Fernando Gutiérrez, y delineanto restante de piedra berroqueña. D. Mariano Peinio. La escultura como va referido fue ejecutada por los pro Por último , cargaba sobre el ático otro sotabanco de corta altura, y con fesores D. José Tomas, D: José Piquer y D. José Gines: los bajos-relieves fue cluía la composición con un…</t>
  </si>
  <si>
    <t>Gutiérrez, Gabriel</t>
  </si>
  <si>
    <t>Gabriel Gutiérrez</t>
  </si>
  <si>
    <t>…mayor Casasola...... ., 15 Ag. á 6 Oct.. 379 323 52 de Infantes jy á D Eugenio Javalquinto y Portillo, alcalde mayor de Priego. Portillo............. .. 1 á 24 Oct......... No consta. No consta. 35 También se ha servido jubilar á D. Gabriel Gutiérrez, alcalde mayor Santervas. .... . 18 Set. á 11 Oct. Idem.. Idem. 18de Valladolid: á D. Manuel Martin y Bayon, alcalde mayor de Burgos; y á D. Antonio Ramón Careaga, alcalde mayor de Aranda de Duero. Asimismo se ha servido nombrar S. M. la Rein a Gobernadora, en ca PROVINCIA DE ZAMORA. lidad de inter…</t>
  </si>
  <si>
    <t>Gutiérrez, Laureano</t>
  </si>
  <si>
    <t>Laureano Gutiérrez</t>
  </si>
  <si>
    <t>…an los pro gresos de la enfermedad en los términos que demuestra el parte adjunto. Extracto del parte remitido por el gobernador civil de la provincia de Soria Estado sanitario de la población de Aihendin desde, el 11 hasta el 15 D. Laureano Gutiérrez con fecha de 7 de Mayo actual, de Maya. En v¡sta de un proyecto presentado por D. Fausto Antonio de la Mata, vecino de S. Pedro Manrique, para hacer fructífera una porción de terreno, Existencia del día trayendo 4 él agua del arroyo de Val de Avellano, y habiendo oido al ayun Días. anterior. Invadi…</t>
  </si>
  <si>
    <t>…ortante ramo. cia á varios pueblos que se habían negado al pago de las exorbitan tes contribuciones en especie y dinero que habia impuesto Don Miguel. Extracto del parte dado por el subdelegado de Fomento de la provincia de Soria D. Laureano Gutiérrez con fecha de 5 del actual. El comandante de armas de la villa de Daimiel D. José Bes- Se ha repuesto con un centenar de plantas el paseo denomina sieres con fecha 22 del corriente remite el parte que le dirigió el do la Dehesa en aquella capital. dia anterior el sargento de urbanos de caballería de…</t>
  </si>
  <si>
    <t>Gutiérrez, Lorenzo</t>
  </si>
  <si>
    <t>Lorenzo Gutiérrez</t>
  </si>
  <si>
    <t>…na entre siete y ocho de la misma en la sierra y monte de Sigüenza, ba Parta recibidor en la secretaría dt Estado y del Despacho de la Guerra. tiéndole y causándole bastante pérdida. «El patriota administrador de salinas de Rocío D. Lorenzo Gutiérrez, ve Excmo. Sr.: Al Excmo. Sr. general en gefe de este ejército digo con esta cino de e,ta villa, se me presentó con el mayor anhelo en la madrugada de fecha lo siguiente: hoy, para salir con cinco caballos i hacer un reconocimiento sobre ViUhrca- «Exorno. Sr.: El coronel gobernador de Bermeo me dic…</t>
  </si>
  <si>
    <t>Gutiérrez, Manuel</t>
  </si>
  <si>
    <t>Manuel Gutiérrez</t>
  </si>
  <si>
    <t>…a-mas completa salud v prosperidad en todos a., ramo, de r¡q..e/i. mar una junta compuesta de D. Higinio García Burunda, de D. Antonio Ma Dios guarde a V. E. mucE &gt;s afv &gt;s. Puerto- R ico 1 4 ce N’ &gt;v i = :iv ;e de ría Seijas, de D. Manuel Gutiérrez, intendente de provincia, vocales de la Excmo. ¿&gt;r.= Miguel de la Tur:e.= hxvnvj. Sr. Secretario de E.tad, v d De Real junta de Aranceles, y de D. Josef Vasooni, para que examinando el es 1 pacho. tado actual de esta contribución de puertas, proponga los medios que podrán MINISTERIO DE GR.'o IA V J…</t>
  </si>
  <si>
    <t>Gutiérrez, Santiago</t>
  </si>
  <si>
    <t>Santiago Gutiérrez</t>
  </si>
  <si>
    <t>…. M. se ha servido trasladar á D. José María Ozores, contador de Propios de la provincia de Oviedo , á la contaduría de Valladolid, vacante por jubila Igualmente se ha servido conceder su Real permiso para que en la villa ción de D. Santiago Gutiérrez, nombrado para la de Oviedo, á D./Vicente de Melgar de Fernamental se celebren dos ferias, una desde el 19al21 de Mar Valdtrrama, coronel de infantería y primer comandante en el primer regi zo, y otra desde el 24 al 26 de Octubre de cada año, en conformidad de lo miento de cazadores provinciales de…</t>
  </si>
  <si>
    <t>Gutiérrez, Silvestre</t>
  </si>
  <si>
    <t>Silvestre Gutiérrez</t>
  </si>
  <si>
    <t>…Ramón Blasco, t&gt;. y y debo recomendar asimismo al administrador de la aduana de Canfranc D. José ministerio del Fomento general del temo hasta fin &lt;te julio próximo t en el su Amotina, que con el cabo del resguardo de aquel punto D. Silvestre Gutiérrez, puesto de que pasado dicho termino, se someterán 4 la resolución de S. M. las sus dependientes, el alcalde de dicho pueblo Francisco Sánchez y .30 paisanos, qóe resultaren, y se verificará la-adjudicación de laa fábricas ea venta Real 6 i . &gt;aliutan »l puerto de Izas en seguimiento de la facción.…</t>
  </si>
  <si>
    <t>Gutiérrez, Valentín</t>
  </si>
  <si>
    <t>Valentín Gutiérrez</t>
  </si>
  <si>
    <t>…wniientd», y estos cuerpos mismos, son -lo» do y propietario: D. Marcelino Sánchez,lbótScdno y propietario; D. Cayetana aflos náftüraffrilSrte1 de la -ejecockm de tódo- lo concetoiehte i fomento que Zúfiiga, regidor y hacendado; D. Valentín Gutiérrez, regidor y hacendado; inetido especialmente i atgirta autoridad particular1, por órdenes pon- ............. lu— oí&lt;A á la értáctóil de aquel nüeío íftfHisferio, r i - • i:,;,..........(r) Por et último decreta de quinta se cometld í firmiunas astorldieíts néfe ii»- • 2? Lós presidérttés de ajhittfa…</t>
  </si>
  <si>
    <t>…fermedades, lo que en verdad no sucede asi; pues las y'de los Sres. D. Antonio Calama, canónigo de esta Sta. iglesia catedral; Don que esporádicamente se presentan siguen su marcha regular; y por último, que1 Cayetano de Zúñiga y D. Valentín Gutiérrez, regidores de este ayuntamien felizmente observan que en el dia de ayer y hov, no solo ha disminuido el to; del contador de propios de la ciudad, del arquitecto de la misma, de Don número de enfermos de la estacional, sino que también en los que se han pre Josef Perez Sánchez, del Sr. reétor de los…</t>
  </si>
  <si>
    <t>Gutrra, Alvarrz</t>
  </si>
  <si>
    <t>Alvarrz Gutrra</t>
  </si>
  <si>
    <t>…stancia, fidelidad y denuedo le.haceui tan , presteza queera de esperar , y con una rapidez aun nus asombrosa que seuna— acreedor «4 .vuestra especial, benevolencia^ al recqpocj!nte»?to de la patría-'í -v gmaba: - -i...:-’ •- ;:t Sr. Alvarrz Gutrra: «Me parece que cuando se habla de ejército debsa . «Las tropas españolas entraron en Portugal ames de firmarse el tratadpi.y -añadirse armada; puet áunquenuestras fuerzas na vales’seanpordésgrícia cor aun.antes:que este se ratificase, la pericla y boarría del ejército portugués,.di tas , no por es…</t>
  </si>
  <si>
    <t>Guülemínof</t>
  </si>
  <si>
    <t>ion í'.lí-^s.álos-Srcs. general Guülemínof; almirante. Hugon; Jouanin, intérprete permanecía estacionaría: que en el resto de la provincia tampoco hacia mayo dei lí.éy; Laugsdorflf; Saint-Aulaire; Laborde &amp;c. Todos estos señores han res estragos: que en la ciudad de Mérida habían ocurrido algunos casos sospe conversado directamente, ó pe® m…</t>
  </si>
  <si>
    <t>Guzoun, Josef Berriz y</t>
  </si>
  <si>
    <t>Josef Berriz y Guzoun</t>
  </si>
  <si>
    <t>…húsares, mandados por el sargento Del mismo modo’y por otro Redi decreto! de la misma fecha se ha digna- secundo Ildefonso Perez, Esta operación, que ha dejado libro ^ comunicación ido S. Al conferir la subdelegaron de Canarias i D. Josef Berriz y Guzoun. con Vitoria, interrumpida por las excursiones de dicha banda, se verificó de noche por la dificultad que ofrecía el hacerlo de día , aprovechándose tan bien el citado Castell de las instrucciones que 1c dió el coronel Tolra , que álas once £1 mismo dia que se celebró en la villa de Pedroñeras la pr…</t>
  </si>
  <si>
    <t>H, D J G</t>
  </si>
  <si>
    <t>D J G H</t>
  </si>
  <si>
    <t>…uyendo el oportuno expediente para llevar á cabo la construc D- José de la Cruz, teniente general.................................................... 1000 ción de un puente á la sóida de la villa deTamante, y en el arroyo llamado D. D. J. G- H. por suscripción mensual............................................. 60 Lasos:!, intrunsiiable y peligrobo en t:eríipo de lluvias. El puente de Sarmena D. Manuel Berriozabal............................................................................ 100 deberá empezar a ce n lru rse lurgo que el ay…</t>
  </si>
  <si>
    <t>H, Diego Díaz Miguel Romero</t>
  </si>
  <si>
    <t>Diego Díaz Miguel Romero H</t>
  </si>
  <si>
    <t>…orquez.=Viccnte Romero y Olivares, escribano.—Salva dor García Mairena, parroco.=Viccnte Olivares, beneficiado™Juun Tardío de Señora: Con inexplicable gozo la villa de Serón , provincia de Granada, Morales™Diego Cahezas.=Jo$ef de Reina.=Diego Díaz.—Miguel Romero™ H ba recibido los gloriosos objetos de toda su veneración y acendrado amor á la Diego de Reina.=Fcmando Cabezas.=Euenaventura Romero. J legítima descendencia de sus Reyes; el plausible advenimiento al trono de sus mayores , y la cordial proclamación de nuestra angelical Reina y Señora Doña PARTE Np O…</t>
  </si>
  <si>
    <t>H, Isabel</t>
  </si>
  <si>
    <t>Isabel H</t>
  </si>
  <si>
    <t>…cS- AL de esta inslituejtln 1 -no debe: atribuirse 4 -promesas ó renuncias. ¡Qué importa. ¿la. Ruina de Eápafia la, renuncia de uij una reticencia,maiieiosa de parte,dd Gobierne«eiiWéteá: yq olvidó inwilmísúbdkó..tebeUe¡ La ReiNA-Doña Isabel H ha ascendido al trono en vtrtu¿ tírio, que eí Estamento remedla 'con este páriafoki. -: u. uíicí-m j, / de una, ley venerable, inmemorial, ourtca violada desde el principio de la mo- .. Sr. Stct stario.de Estadot de. taz ^loAUAdNo ha sidcsendlvido: «arquja; en contra de una disposición extraogeta,…</t>
  </si>
  <si>
    <t>H, M y A T</t>
  </si>
  <si>
    <t>M y A T H</t>
  </si>
  <si>
    <t>…............ 100 VXANCIA. D. José Ventura de Aguirre Solarte.................................................. 4^00 Kxcmo. Sr. marques de Cerralvo........................................................... 6000 París 11 dt Julio. D. M. y A. T. H. mensuales mientras duren las circunstancias. . .. 240 lonja dt hoy. Cinco por 100 consolidados, IOrí fr. 50 c. Fondos espa Uno que no quito decir su nombre....................................................... 4 dóla, renta de España 3 por 100,4?f ■ Renta perpetua de id. 68. D. J.yS...............…</t>
  </si>
  <si>
    <t>H.uB'BaUnzat</t>
  </si>
  <si>
    <t>…ifeieñdaríbj oon toda la eficífcia qUc-merecen. -’1 ¿ .1 ■■- Dios guárde í Vi Hj miiéhós a^i ^PSffl;i»aliíP^iaiíteSíí*^8«Í&amp;Éftíi- • 1 ■ &gt; 4No’,titáfitó'eiípiláíados en ’ H parte lo» -nombra¿:yalaÍ«s do loe Stcf. gefe* celenüsitñó Señor•=H.uB'BaUnzat.=Sr.'Secret*ri6;&lt;fe1Estidó! jr°d(li ifcapieboed# a*-¿ a., i. ajf.'láift. 2&amp;ó&amp;.au* Hicieron: esta; brillak-' la Guerra. «afSKraí^ _ \ Excmo. Sr.: Tengo la mayon :a y satisfacción en poner ep cococimiento de V. E., que como.á jas oncq ; de «te día salió la’ parti- . gobernador 4ela¡éxpre-¡" •¿EHIfllii…</t>
  </si>
  <si>
    <t>Ha, Amonto Alcántara y Navarro</t>
  </si>
  <si>
    <t>Amonto Alcántara y Navarro Ha</t>
  </si>
  <si>
    <t>…Rjva Herrera con fecha dp 11 de Junio último* Sr. D. Francisco Javier de León QuiUy* Ha cuidado de asegurar La libre venta y circulación de grano®, removiendo Sr. D. Tomas Domínguez* cuantos obstáculos ée han opúesto á ella. Sr. D. Amonto Alcántara y Navarro. Ha continuado recaudando'los contingentes de pósitos, y activando la prcSr. D.Mariano Canillo de Albornos 'ttQtacijon de cuentas de este ramo* Sr. P. Miguel Gómez López. Ha facilitado á los inventores del betún de que habló en sus partes antCTio* ' ' Excmo. Sr. D. Joaquín Urbina. res, todos los medios…</t>
  </si>
  <si>
    <t>Ha, D Amonto Alcántara y Navarro</t>
  </si>
  <si>
    <t>D Amonto Alcántara y Navarro Ha</t>
  </si>
  <si>
    <t>…e la Rjva Herrera con fecha dp 11 de Junio último* Sr. D. Francisco Javier de León QuiUy* Ha cuidado de asegurar La libre venta y circulación de grano®, removiendo Sr. D. Tomas Domínguez* cuantos obstáculos ée han opúesto á ella. Sr. D. Amonto Alcántara y Navarro. Ha continuado recaudando'los contingentes de pósitos, y activando la prcSr. D.Mariano Canillo de Albornos 'ttQtacijon de cuentas de este ramo* Sr. P. Miguel Gómez López. Ha facilitado á los inventores del betún de que habló en sus partes antCTio* ' ' Excmo. Sr. D. Joaquín Urbina. res, todos los medios…</t>
  </si>
  <si>
    <t>Ha, D Francisco Javier de León QuiUy</t>
  </si>
  <si>
    <t>D Francisco Javier de León QuiUy Ha</t>
  </si>
  <si>
    <t>…una fcnbliotoo* pública en aquella capital. Sr. Conde deViihunecuu Extracto del parte rcmittdó por ei. gobernador civil de la provincia de BurPROVINCIA DR MÁLAGA* ■gos D. Manuel de la Rjva Herrera con fecha dp 11 de Junio último* Sr. D. Francisco Javier de León QuiUy* Ha cuidado de asegurar La libre venta y circulación de grano®, removiendo Sr. D. Tomas Domínguez* cuantos obstáculos ée han opúesto á ella. Sr. D. Amonto Alcántara y Navarro. Ha continuado recaudando'los contingentes de pósitos, y activando la prcSr. D.Mariano Canillo de Albornos 'ttQtacijon de cuenta…</t>
  </si>
  <si>
    <t>Ha, Francisco Javier de León QuiUy</t>
  </si>
  <si>
    <t>Francisco Javier de León QuiUy Ha</t>
  </si>
  <si>
    <t>…fcnbliotoo* pública en aquella capital. Sr. Conde deViihunecuu Extracto del parte rcmittdó por ei. gobernador civil de la provincia de BurPROVINCIA DR MÁLAGA* ■gos D. Manuel de la Rjva Herrera con fecha dp 11 de Junio último* Sr. D. Francisco Javier de León QuiUy* Ha cuidado de asegurar La libre venta y circulación de grano®, removiendo Sr. D. Tomas Domínguez* cuantos obstáculos ée han opúesto á ella. Sr. D. Amonto Alcántara y Navarro. Ha continuado recaudando'los contingentes de pósitos, y activando la prcSr. D.Mariano Canillo de Albornos 'ttQtacijon de cuenta…</t>
  </si>
  <si>
    <t>Ha, José de Búrgos y Tello</t>
  </si>
  <si>
    <t>José de Búrgos y Tello Ha</t>
  </si>
  <si>
    <t>…y en el de reunir las cor Sr. D. Nicolás Bonet y Orbe. rientes del Guadalcte al Guadalquivir, como asimismo en la pronta compo Sr.-D. Juan de Toledo y Muñoz. sición del arrecife que desde el rio Zurraque conduce á Chic lana. Sr, D. José de Búrgos y Tello. Ha procurado eh. vano formar una fcnbliotoo* pública en aquella capital. Sr. Conde deViihunecuu Extracto del parte rcmittdó por ei. gobernador civil de la provincia de BurPROVINCIA DR MÁLAGA* ■gos D. Manuel de la Rjva Herrera con fecha dp 11 de Junio último* Sr. D. Francisco Javier de León QuiUy* Ha c…</t>
  </si>
  <si>
    <t>Ha, M'ni'irn He</t>
  </si>
  <si>
    <t>M'ni'irn He Ha</t>
  </si>
  <si>
    <t>…s devengados y no pagados de la deuda con: a da des que no podía discutirse «a»ta ia sesión inmediata. de 1820 i 1323 y loe billete» 1 i ¿nudo* de premio, se capital ¿ar . por una Ei Sr. Cnacon «Atendiendo á lo que ha expuesto e! Sr. M'ni'irn He Ha cuadras ¿urna parte en los cuarenta año* comprendidos desde l.° de Enero de cienda, no tengo inconveniente en ret*rar la preposición como auto» de el¡a." 1835 i 31 de Diciembre de 1874 » formando 4^ knes , que por sorteos anua El Sr. C t tallero: " No me opondré ¿ que se proceda con toda la breveda…</t>
  </si>
  <si>
    <t>Ha, Ministrode</t>
  </si>
  <si>
    <t>Ministrode Ha</t>
  </si>
  <si>
    <t>…luego cosas bue pero ha deducido de él consecuencias en mi concepto inexactas, y que podrían nas: Esto no lo permite la justicia , la equidad, m la ley. En este caso nd hay producir una funesta impresión sí no se combatiesen. Ei Sr. Ministrode Ha nulidad en este empréstito ni en ninguno de les otros; para ello seria menester cienda ha dicho que los gobiernos nuevos no deben nunca empezar por decla interponer una demanda de rescisión que, como ya he dicho antes, se ha pasa rar nulos los actos de los que Íes han precedido. Estoy conforme con…</t>
  </si>
  <si>
    <t>Ha, P Miguel Gómez López</t>
  </si>
  <si>
    <t>P Miguel Gómez López Ha</t>
  </si>
  <si>
    <t>…omínguez* cuantos obstáculos ée han opúesto á ella. Sr. D. Amonto Alcántara y Navarro. Ha continuado recaudando'los contingentes de pósitos, y activando la prcSr. D.Mariano Canillo de Albornos 'ttQtacijon de cuentas de este ramo* Sr. P. Miguel Gómez López. Ha facilitado á los inventores del betún de que habló en sus partes antCTio* ' ' Excmo. Sr. D. Joaquín Urbina. res, todos los medios posibles para aprovechar su descubrimiento.</t>
  </si>
  <si>
    <t>Ha, Secretaria del Despacho de Estado'</t>
  </si>
  <si>
    <t>Secretaria del Despacho de Estado' Ha</t>
  </si>
  <si>
    <t>…ticulo primero el objeto de dicha institución en términos guez Verá, Abargues, Peída, López, Osea, V¡sedo , Carrasco, Chacón. Cla claros y terminantes.”. ros, González (D. Antonio), Marín, Atocha, García Carrasco, Ontiveros, ' El Sr. Secretaria del Despacho de Estado'. «Ha dicho el señor preopi Domecq, Galiana, Montes de Oca, Isturiz, Cuevas, Zamora, Pedrazas, Navas, nante que el ministerio aprobó ia denominación de que se trata, cuando se Toscano, Bel monte, Caballero1, Cano Manuel y Chacón-, Ferrer, Pizarro, Hediscutieron las peticiones. Me parece que fui el único…</t>
  </si>
  <si>
    <t>Ha, Serrano</t>
  </si>
  <si>
    <t>Serrano Ha</t>
  </si>
  <si>
    <t>…oy con lo que propone el Gobierno. El Sr. Galiana: «Para votar déscaria que se me contestase á una pregun A mi parecer el menor número de individuos que podia componer este tribu ta,.tanto mas, cuanto he oido hablar sobre ella al Sr. Serrano. Ha dicho S. S. nal seria el de diez ó doce, pues asi se evitarían los inepn venientes que he cita que en adelante no se pasarán tantas consultas al tribunal de Guerra y Marina. do. Por lo demas soy de la misma opinión que el Sr. Secretario de Guerra: no ¿Este tribunal está reducido á la clase de conte…</t>
  </si>
  <si>
    <t>Ha, Stnarf de Rdtb</t>
  </si>
  <si>
    <t>Stnarf de Rdtb Ha</t>
  </si>
  <si>
    <t>…,a; r Til Cottrief dice /que no hay duda que el conde de Rosal yn sera lord lu garteniente de Irlanda, y Sir Henrique Hardinge secretaria También te con Ndpoles 6 de Noviembre. federan como probables los siguientes nombramientos; lord Stnarf de Rdtb* Ha hecho una grande impresión en esta capital la obra que circula en el ldia, y que todos para leerla sé, la quitan de bis manos en los gabinete» de Icc- CO Veis* la Gaceta num 3*í.</t>
  </si>
  <si>
    <t>Había</t>
  </si>
  <si>
    <t>…e Haniburgo, Brema y Lubek. (Monitor) Címara, ó sabrá resistir! Adhiero á la opinión de nuestro ilustre presidente Mr. Dupin.” ------ Ayer llegó á esta capital el correo que es portador de la respuesta de Mr, Mr. Sauzet (Atención general.")-. «Había resuelto no hablar, porque Roberto Peel. Este correo es Mr. Hudson, page y secretario particular de la mi posición particular, y el poco tiempo que hace qne soy individuo de esta Reina de Inglaterra: su comisión no soló se limitaba á llevar las cartas del Cámara, hacian conveniente esta resolución;…</t>
  </si>
  <si>
    <t>Habiendo</t>
  </si>
  <si>
    <t>…la funesta y prolongada duración de, las sediciones y Real orden. alzamientos que tienen conmovido aquel desgraciado paiS; la grave y estrecha obligación en que se halla el Gobierno de apurar cuantos medios es ten dentro *Exctno. Sr.: Habiendo hecho presente á S. M. la Reina Gobernadora que de sus facultades para apagar el fuego devorador de las discordias, y •! deber consideraba ageno de este ministerio el negociado de casas de Moneda, pare— en que [están todas las autoridades eclesiásticas y civ.iles.de cooperar firme y sin ciéndome qu…</t>
  </si>
  <si>
    <t>…va prénda de nuestra unión cimentará.Ja.tlliapea.qi^ babeis contraído con cí pueblo belga, y consolidará cuerpo de ocupación de Africa, ai Sr. mariscal ministro de la Gurn&lt;J. su sndepeiidéncui.'' ‘ . Argel 25 de Mayo de 1834- Sr. mariscal:,Habiendo jasinumerciMt dc- «Los infrascritos, órgano de las cuatro legiones de la guardia cínica de ' predaciones ejercidas por los ñadiutas enlas tierras v rebaños'dqBe'tuKham exas-, JJkjt, os ruegan que admitaia el homenaw de su inalterable fidelidad.” = Lie- ¿tetado considerablemente i loá-arabes/he crei…</t>
  </si>
  <si>
    <t>…= A D. Nicolás María Despacho de lo Interior. Garelly. * ministerio de lo interior. g. M. la Reina Goliernadora y en su Real nombre el Consejo de Real orden. Gobierno y el de Ministros en todo conformes, profundamente afli Excmo. Sr. : Habiendo dado cuenta á S. M. la augusta Reina gidos de loá desórdenes é inauditos atentados cometidos en la noche Gobernadora del parte sanitario remitido por V. E. del que aparece de ayer, se dirigen con confianza á todos los vecinos honrados de la el repentino desarrollo que ha tenido en ei dia de ayer la…</t>
  </si>
  <si>
    <t>…e Agosto desde Pamplona de las propiedades que resultan de su conjunto en la formación de polígonos, remite á este ministerio el parte siguiente: averiguó la magnitud de sus ángulos y de las áreas que comprenden , dando so Excmo. Sr.: Habiendo enviado esta mañana una partida de caballería*á lucione» adecuadas á los problemas de geometría que se le propusieron; y final hacer un reconocimiento sobre Irurzun, regresa ahora , y me trae un oficio del mente , D. Francisco Barba , dada una idea del objeto principal de la trigono comandante de a…</t>
  </si>
  <si>
    <t>…cho de la Guerra. ■ pasar por la frontera pusiéron en libertad al baile, á quien quisieron entregar ■ süs armas; pero habiéndolo rehusado, las arrojaron, asi como las municiones Comandancia militar de la provincia dé $oria.=Excma Sr.: Habiendo sa *quc llevaban, y se internaron en territorio francés. Ignoro hasta ahora las dis— bido que el que capitaneaba la facción de los que se aproximaron á Berlánga 'posiciones que habrá tomado aquel Gobierno para.su arresto y confinación; era el mismo rebelde Merino en persona, dispuse.que ayer mañana…</t>
  </si>
  <si>
    <t>…dos por la ambición de sus miserables conductores. Bilbao el brigadier D. Baldomcro Espartero en los términos si Nuestra pérdida ha consistido en 14 heridos, entre ellos un subte guientes: 1 niente de cazadores de Almansa. Excmoi Sr.: Habiendo sabido que los cabecillas Zavala , Val- El valor, la disciplina, el entusiasmo, y sobre todo la deci despina y otros se hallaban reunidos con 39 facciosos en el pueblo sión manifestada hacia nuestra augusta Soberana por todas las tro de Mendata, me puse en marcha el 6 del actual desde Durango con p…</t>
  </si>
  <si>
    <t>…ez que exige la conciliación de intereses tan diversos. Agosto, desde su cuartel general de O-handiano remite á e»ie ministerio el «Pero, Señor, por lisonjera que sea esta perspectiva de prosperidades, por parte siguiente: Excmo. Sr.: «Habiendo recibido antes de ammcccr av¡so» po grandes,que sean los recursos que prometa en adelante , será insuficiente sin el sitivos de que el Pretendiente habia dormido en Villaro, me dirigí por DuranOrden en las rentas, que en un Estado a la primera garantía de órden. Es ab go á Ocbandiano con la 1.a div…</t>
  </si>
  <si>
    <t>…Espartero, comandante general de la divi tinuar comerciando en dicha isla dei misino modo que lo hacían antes de es sión de Vizcaia, con fe^ha 18 del actual desde Orduña me dice lo siguiente tablecer el bloqueo. {Idem.) «Excnio. Sr.: Habiendo dejado en Bilbao los heridos de las acciono gloriosas que sostuvieron esta división y la del brigadier lriarte en 9 y l‘&gt; dei worriente, Mr. de Tschadí, ministro de Ñapóles en Suiza, ha recibido de su gobier secun tengo a Y. K. manifestado por mi ultimo parte, y con la notuia de quy no la orden de…</t>
  </si>
  <si>
    <t>…Secretario del Despacho de la Guerra ha recibido direc . da aquella parte de frontera, y dé infundir' á 'los portugués dife-* tamente ^1 parte'míe sigue: rentes ideas dé las que tenían formadas de nuestras-tropas, por los Excmo. Sr.: Habiendo tenido noticia por un disperso de Mo fajsos colores con que los rebeldes habían ocultado su excelente dis lina que el cabecilla ex-cura de la Bodera habia dejado en Teruel ciplina , marcial continente, y sobre todo el ardiente entusiasmo do toda la caballería de su mandó correspondiente al 5.Q bata…</t>
  </si>
  <si>
    <t>…pache Sr. D. Rafael Faustino Sanz. de la Guerra. ■ Sr. D. Manuel Alvarez García. Excmo. Sr.: El teniente coronel D. bíarcíso CU vería, con fecha 23 dei PROVINCIA DE ZAMORA. corriente desde Meceneyes, me dice lo que sigue: «Excmo. Sr.: Habiendo salido á las cuatro de la mañana de Ctiíemcí&lt;r Sr. D. Manuel Villathica. de abajo, hallé después de ser de d¿a, en ei mente de Caserillo de Solaran*, señales del vivac que ocupó anoche la facción, cuyas huellas seguí constan temente hasta que á las dos de esta tarde la aviste desde una altura á un…</t>
  </si>
  <si>
    <t>Habiendo, D Sa</t>
  </si>
  <si>
    <t>D Sa Habiendo</t>
  </si>
  <si>
    <t>…, y leída ei acta de la sesión anterior, concedido el permiso de hablar las veces que tuvieran por conveniente; pero quedó aprobada. . no asi un autor de una proposición. Se mandó pasar á la comisión de Poderes una exposición del Sr. D. Sa Habiendo manifestado el Sr. Presidente que iba á votarse la proposición turnino Calderón, electo Procurador por la provincia de Orense, relativa á que se discutía, se procedió á su lectura; y concluida, el Sr. García Herreros varias dudas que le ocurrian respecto á la división de bienes entre marido y dijo:…</t>
  </si>
  <si>
    <t>Habiendo, María Luisa REAL DECRETO</t>
  </si>
  <si>
    <t>María Luisa REAL DECRETO Habiendo</t>
  </si>
  <si>
    <t>…neficio disfruta S. M. la Reina Gobernadora en el Real palacio de Agosto de 1854; = Señora. = A L, R. 1*. de V. M. = E1 conde de de Riofrio,También goza de perfecta salud en el expresado Real Torent). sitio la Serma. Sra. infanta Doña María Luisa. REAL DECRETO. Habiendo tomado en consideración las repetidas quejas que ha EXPOSICION HECHA A S. M. producido y produce la actual forma de administración de la renta de salinas, y deseando proporcionar á los pueblos cuantos alivios sean POR EL SECRETARIO DE ESTADO Y DEL DESPACHO DE HACIENDA. coinratihies con las necesida…</t>
  </si>
  <si>
    <t>Habiendo, Palarea'</t>
  </si>
  <si>
    <t>Palarea' Habiendo</t>
  </si>
  <si>
    <t>…bana. cuerpos representativos, procuraré ser sumamente breve. Yo juzgo que para con Se concedió la palabra al Sr. Palarea como individuo de la comisión. seguir el objeto que se propone la comisión, que no es otro que el del Go El Sr. Palarea'. «Habiendo recaído la impugnación que ha sufrido este bierno y el de todos, basta el artículo que presenta el Gobierno, y es inútil art. 5.°, en el que están enteramente conformes la comisión y el Gobierno, Ja adición de Ja comisión. No se me oculta que la cuestión es muy delicada , y iolo sobre la adición qu…</t>
  </si>
  <si>
    <t>Habiendo, Sa</t>
  </si>
  <si>
    <t>Sa Habiendo</t>
  </si>
  <si>
    <t>…leída ei acta de la sesión anterior, concedido el permiso de hablar las veces que tuvieran por conveniente; pero quedó aprobada. . no asi un autor de una proposición. Se mandó pasar á la comisión de Poderes una exposición del Sr. D. Sa Habiendo manifestado el Sr. Presidente que iba á votarse la proposición turnino Calderón, electo Procurador por la provincia de Orense, relativa á que se discutía, se procedió á su lectura; y concluida, el Sr. García Herreros varias dudas que le ocurrian respecto á la división de bienes entre marido y dijo:…</t>
  </si>
  <si>
    <t>Habiendo, Síedraho</t>
  </si>
  <si>
    <t>Síedraho Habiendo</t>
  </si>
  <si>
    <t>…2ones me parece que el objeto de la petición es sumamente tiempo, y después se erigió como.tributo 4" virtud de privilegios de varios be justo.” yes. En fines del siglo xiv se revalidaron los anteriores privilegios, y se mandó El Sr. Síedraho-. »&gt;Habiendo ya expuesto el Sr. preopinante lo relativo á que las hermandades cobrasen en determinados distritos el derecho de asadura la parte de economía para los pueblos, me limitaré á muy cortas observación mayor y menor que se sustituyó én lugar de la re» que primero percibieron por nes, La santa hermandad…</t>
  </si>
  <si>
    <t>Habiéndose</t>
  </si>
  <si>
    <t>…re el arreglo general de ayuntamientos; lia tenido á bien Ercmo. Sr.: El Secretario del Consejo de Sres. Ministros me resolver, después de oído-el dictámen de su consejo de Ministros, dice.en íi del actual lo siguí en te.=Exorno. Sr.: Habiéndose dado que hasta tanto que se promulgue como tal la mencionada lev, no se cuenta en sesión del Consejo de Sres. Ministros de una exposición llaga novedad en la conqiosicion personal de dichas corporaciones, de lós procuradores de la provincia de Vizcaya, manifestando que subsistienlo en el ejercicio…</t>
  </si>
  <si>
    <t>Habiéndose, Presidente</t>
  </si>
  <si>
    <t>Presidente Habiéndose</t>
  </si>
  <si>
    <t>…* Sres. Carrasco, Gárgol lo, conde de Altnodovar, conde de Adanero, Belda, marques de Falces f Aranda, Latorre , Rodríguez Paterna / marques de Espi Grtjon 13 de Julio, r • ' nando , y los secretarios Caballero y González con el Sr. Presidente. ^ Habiéndose , acordado por conclusión algunos pormenores del ceremonial Aquí hs-causado mucha ¿atfefaccioñ el haber visto fondear «1 bergantín de concerniente ¿ la sesión régia se concluyó la de este dia a la una y cuarto, as guerra ingles nombrado eíl Sarraceno, procedente de Lisboa y la Coruña con ' Fermín C…</t>
  </si>
  <si>
    <t>Habla</t>
  </si>
  <si>
    <t>…mperante Trabajo guidas circunstancias que le adornan, como asimismo de las muestras de adhe se proceda por todos lo* tribunales con e. zcio, actividad y esmc:o(que debe &gt;cr sión v lealtad que ha dado á mi muy amada Hija la Ruina Doña Habla i;; su distintivo. he venido en concederle, en su Real nombre, la gran cruz de la Real &gt; dis De Real orden lo digo a V. E- para *u inteligencia y demás efectos consi tinguida orden de Carlos m. lendretslo entendido, y dispondréis lo necesario guiente* a su cumplimiento. Dio* guarde a \ . E. muc.'io…</t>
  </si>
  <si>
    <t>…uyo proyecto, prometiendo resultados de incalculables ventajas, Bayona, 00. A1 icante, á corto pla Coruña, £ d. Valencia, id. cuenta ya con una cria robusta debida á esta mezcla. Burdeos, 00. zo , -i d. Granada, 4 id. Zaragoza, $ d. Habla de la fábrica de paños de Yenguas, y asegura que se sostiene por el • LondresHamburgo,, á 00.90 dias, Barcelona,íb. á ps. fs., S^ntand^r,Malaga , id. 1 b. Descuentoá 4 p* 100dealletras,año. consumo del pais y la extracción 4 las provincias de Andalucía que retornan 3 n- Bilbao, f d. Santiago, $ d. género…</t>
  </si>
  <si>
    <t>Habla, Cenarruza</t>
  </si>
  <si>
    <t>Cenarruza Habla</t>
  </si>
  <si>
    <t>…unas medidas para disminuir sus funestos efectos Colubi y gobernador de Berga , con varias otras fuerzas que maniobraban á la con respecto á los campos y la ganadería. espalda de los rebeldes, logren atcanzarlo9 y concluirlos. El capitán Cenarruza Habla de ^^establecimientos industriales, y de las providencias tomadas es digno de todo elogio por la decisión y bizarría que ha mostrado en una ac en el ramo de Propios y el de instrucción pública, habiéndose dirigido á loa ción tan desigual con solos 53 granaderos que formaban su compañía. ayuntamientos…</t>
  </si>
  <si>
    <t>Hablaré, López del Bailo</t>
  </si>
  <si>
    <t>López del Bailo Hablaré</t>
  </si>
  <si>
    <t>…tho concluyo manifestando asi que se pregunte si está el punto suficientemente discutido; pero estamos en un •probación al artículo que se discute ” caso particular, y tenemos el ejemplar de lo que sucedió ayer en el Estamento El Sr. López del Bailo - «Hablaré del 2.a artículo de la petición, na de ilustres P róce res. Acaso se dirá que aquel era un caso extraordinario, y que porque me oponga al uso libre de ía prensa, siendo racional, ni á que se con por eso se decidió que no se tuviese por concluida la discusión mientras hu ceda á la nación la cantidad de…</t>
  </si>
  <si>
    <t>Habló</t>
  </si>
  <si>
    <t>…enteramente, pues la mayor parte de ellos tengo ahora en mi presencia. ’ ‘ " ’ han debido experimentarle. «Los actuales prelados, y lo digo con satisfacción tanto de ellos como del , Ei Rey respondió mas bien como padre que como Rey. Habló del 'senti clero en general , punca han sido tan recomendables como.al presente por su miento suyo, de las esperanzas que la robusta organización de su hijo les habia sabiduría , piedad , zelo y cumplimiento de sus deberes. Si en algún ramo sub hqcbo concebir, esperanzas tan cruelmente desvanecidas. al…</t>
  </si>
  <si>
    <t>Habria</t>
  </si>
  <si>
    <t>…uerra, en que se fijan los gastos ordina de los 12000 soldados que hay en ella? ¡con qué objeto se tiene aquí este rios y extraordinarios para atender al ramo militar , se ve el presupuesto ministe ejército! no puedo adivinarlo , señor. ¡Habria tantos facciosos , si los emplea rial de la Guerra, que en las circunstancia; presentes asciende á 28 millones de dos de Calomarde no cqntinuáran en sus destinos! Esos tribunales, que no reales , y no á 32 , como,sin duda equivocadamente ha dicho el Sr. Secretario están bien organizados! ¡ por qué…</t>
  </si>
  <si>
    <t>Hace</t>
  </si>
  <si>
    <t>…on sujeción Excmo. Sr. =Luis Fernandez de Córdoba.” al pliego general de condiciones aprobado por S. M. en 15 de Junio de 1832 y demás Reales resoluciones que tratan del particular; con,prevención de que, según está dis— » Excmo. Sr.; Hace rriuy poco que por Irurzun he dado 4 V. R extensa "■püRSfoTnora del acto se^dtfrttfríirde lá subasta;propuestasdicho aetbsueleassé verificaráa la adjudicaciónen los estradosdel mismode la intendenciasuministro fuege cuenta de mi Operación de ayer y movimiento de hoy, y h á un instante que se neral.…</t>
  </si>
  <si>
    <t>Hace, Lafitte</t>
  </si>
  <si>
    <t>Lafitte Hace</t>
  </si>
  <si>
    <t>…nutiliza in se anuncien y vendan á voces por las calles unos periódicos titulados, uno el mensos terrenos que pueden ser de muchísima utilidad. Republicano , y otro el hegitimista. 14 Cámara toma en consideración la propuesta del Sr. Lafitte. Hace ver que no hay motivo ninguno para rezelar que el gobierno se valga Principia'la discusión general Sobre el proyecto de ley relativo á los que de esta ley para influir en las elecciones; y después de recordar. los insultos y venden por laS calles foHetos, lítogírafias &amp;c. ultrajes que han sufrido a…</t>
  </si>
  <si>
    <t>Hace, Pedro Jiménez Herrera</t>
  </si>
  <si>
    <t>Pedro Jiménez Herrera Hace</t>
  </si>
  <si>
    <t>…resentado varios presupuestos . Se ocupa en procurar la mejora del hospicio, la casa de expósitos y la cár de equipo y prest de tambores y trompetas, los que se esfán examinando. cel de aquella capital, y el alcalde mayor de Muía D. Pedro Jiménez Herrera Hace todo lo posible para activar en Carcagente las .obras de la azuda que ha colocado en la de dicha villa una pila de piedra con agua corriente para el toma agua en el Jucar , de la limpia de la acequiar Real y derramador de esta uso de los encarcelados. al molino de AlboVchi; y ha autorizado la aplic…</t>
  </si>
  <si>
    <t>Hace, Scbastiani</t>
  </si>
  <si>
    <t>Scbastiani Hace</t>
  </si>
  <si>
    <t>…do en breve se pondrá de manifiesto ante la Ha hecho aquí mucho efecto que haya sido llamado á’su corte M. Durand Cámara, y entonces me üsonjeo'poder contestar menudamente á cuantas refle de Mareuil,, y haya venido en su lugar el general Scbastiani. Hace una sema xiones quiera el noble lord dirigir al ministerio. na que empezaron las grandes maniobras de Capua; el general Bigoní mandada guarnición , el príncipe Satriano (hilangieri) las tropas de sitio: el Rey hace el FRANCIA. servicio de coronel á las órdenes del último. F.l número de personas que…</t>
  </si>
  <si>
    <t>Hacemos, D José María Pedrajas</t>
  </si>
  <si>
    <t>D José María Pedrajas Hacemos</t>
  </si>
  <si>
    <t>…de Marzo de 1833 entre la ELECCION DE PROCURADORES DEL REINO. ' Francia y la república de Venezuela. rXOVTHCIA OS CÓXDOIA. ¿uis Ftlipe , rey de loe franceses. Sr. Marques de Guadaleszar. A lodos los presentes y venideros, salud.' Sr. D. José María Pedrajas. Hacemos saber que entre No* y la república de Venezuela se ha concluido Sr. Conde de las Navas. un convenio preliminar de amistad, comercio y navegación, firmado en Cara Sr. D. Pedro Alcalá Zamora. cas él día 11 del mes de Marzo del afio de 18331 convenio preliminar,.aúpan St. D. Agustín Aivarez de Sototna…</t>
  </si>
  <si>
    <t>Hacemos, José María Pedrajas</t>
  </si>
  <si>
    <t>José María Pedrajas Hacemos</t>
  </si>
  <si>
    <t>…arzo de 1833 entre la ELECCION DE PROCURADORES DEL REINO. ' Francia y la república de Venezuela. rXOVTHCIA OS CÓXDOIA. ¿uis Ftlipe , rey de loe franceses. Sr. Marques de Guadaleszar. A lodos los presentes y venideros, salud.' Sr. D. José María Pedrajas. Hacemos saber que entre No* y la república de Venezuela se ha concluido Sr. Conde de las Navas. un convenio preliminar de amistad, comercio y navegación, firmado en Cara Sr. D. Pedro Alcalá Zamora. cas él día 11 del mes de Marzo del afio de 18331 convenio preliminar,.aúpan St. D. Agustín Aivarez de Sototna…</t>
  </si>
  <si>
    <t>Hacienda, Nuestra</t>
  </si>
  <si>
    <t>Nuestra Hacienda</t>
  </si>
  <si>
    <t>…la justicia mi __ _Algunos oficiales de la secretaría dé Guerra han hecho dimisión de sus lita* dril ¿Pejército la constitución definitiva á que tiene derecho. destinas desde que salió el mariscal Gerard. Entre ellos el teniente general '«Nuestra Hacienda sfc halla en uu estado satisfactorio.,El orden que pre Nugues St. Cyr, director del personal, que entró en la secretaría cuando el side á su administración nos permitirá, yo lo espero á lómenos, emprender mariscal ascendió al ministerio, y Mr. Paravey, gefe de sección, encargado de sucesivamente gr…</t>
  </si>
  <si>
    <t>Hacienda, Secretario-de</t>
  </si>
  <si>
    <t>Secretario-de Hacienda</t>
  </si>
  <si>
    <t>…. que de los 1209 que ahora se pagan á los Secretarios del .Despachó, masa] punto á que eLministerio deseara y aplaudiría/9 - 609 fuesen como sueldo, y los otros 609 como en pago de una comisión,sín El Sr. Palarea:'** Ha dicho el Sr. Secretario-de Hacienda que yo me he duda con el ihtento de que ün Ministro cesante quede cotí 309 rs. ,y no con entrometida en las facultades del Gobierno. Las pocas palabras que he hablado 609, que de otro modo le corresponderían. En esta cuestión hay dos\ la per han sido bien claras: he dicho remetidas veces que solo e…</t>
  </si>
  <si>
    <t>Hacnburgo, Cosío y</t>
  </si>
  <si>
    <t>Cosío y Hacnburgo</t>
  </si>
  <si>
    <t>…par. Valencia id, * d.charon fuerzas hacía Molina y Daroca cuando se supo su aparición. Burdeos,Bayona , 00.00. Alicantezo par.á corto pla CorullaGrdO.da |id.idv Zaragoza Con igual actividad las columnas del brigadier Iriarte, el coronel Cosío y Hacnburgo , 00. Barcelona á ps. fi. Malaga par. Descuentos de letras otras que de continuo maniobraban en las merindades de Castilla á las órdenes ¿.¿odres 1 90 dial ib. Santander id. á 4 p. 100 ai año del activo brigadier Bedoya, han inutilizado los planes de los facciosos en todo J7Í« Bjlbao par. Santiago…</t>
  </si>
  <si>
    <t>Hadándome</t>
  </si>
  <si>
    <t>…de su mando para dirruirse i tar interino de las Menndades de Castilla U Vieja con fecha de 2o del actual las Encartaciones, hacia donde hábu marchado el coronel Quintana, eBcatmoix^ desde Santander me dice lo s'guiente: ”Excmo. Sr.: Hadándome en persecu dow á Sopuerta. ción del c-hecrHu Santiago Villalobos con 3u caballos de la Reina y 5u infan tes del reg-miento de Fxtrem idura ni mando del teniente D. Manuel Corripio, Los facciosos que intentaron sorprender la guarnición de Salas de lo* In secun nvin fc»ié á V. F. en mi último pirte d…</t>
  </si>
  <si>
    <t>Hallándome</t>
  </si>
  <si>
    <t>…, que también hizo Oficio del conde Je Saldanha al ministro de Guerra. 4 prisioneros. (Crónica constitucional de Latea de 28 de Enero.) ____ El barón de Faro avisa desde dicha plaza, con fecha 5 del actual, que ins limo, y Excmo. Sr.: Hallándome el dia 28 en el puente de Alviella, tur® truido deque el enemigo se disponía á atacar á Olhao, á cuyo ha tema )a ■viso de que el enemigo había hecho salir la mayor parte de su fuerza por el tres cañones en Buenavista, reforzó la guarnición de Oihao, y tomó las dis camino de Pernes, después de haber…</t>
  </si>
  <si>
    <t>…4 virtud del citado decreto, por el que se declararon nulos y de nin-K Voto particular. gun valor todos los actos del Gobierno, de cualquiera dase y condición, des de 7 de Marzo de 1820 basta 30 de Setiembre de 1823. Esta medida general, «Hallándome con el nuevo pesar de verme separado por mi opinión de aplicada al caso de los compradores de bienes vinculados era tan chocante que la de mis dignísimos compañeros de comisión de presupuesto df la Real casa, el Gobierno mismo.no pudo menos de pensar ep modificarla; y con efecto cuyo celo é indepen…</t>
  </si>
  <si>
    <t>…l Despacho, de la Gücrii?*1^ / mia-nd tiene-no» qúéunsolo ramal; péíolóscónceskmarto* han atfejuirido ya \-*L terreno * necesario para hacer un segundo rainalsi llegara 1 exigirlo en lo 'J_ Comandancia general de Vizcaya^rrExcmo. Sr.: Hallándome caatpado en 'sucesivo la^ prosperidad creciente del comercio. &lt;JD¿4e Pañi.y - Bebona con la diritíoo de mí cargo, me puse en marcha ¿ (as JÍ de la mañana de este día cpn dirección á Guemica, ívfin de atacar í Zagala y Valdtspina ___Se lee en el Constitucional de Neufchatel: ^ ^ que con 4 batallones…</t>
  </si>
  <si>
    <t>…en mo*l ▼imiento, me adelanté sobre ella con los 66 caballos que traía, dejando de— Alcaldía mayor de Almodovar del Campo y su partido judiciaL— tras 7o infantes para que siguiesen mí movimiento, acelerando el paso lo qu* Excmo. Sr.: Hallándome en ei día de ayer en la casa de campo titula da del Rincón, entre las vilUs de Argamasilla de Culatrava y Alder del les permitiese una marcha de 7 leguas que ya habíamos hecho. «A tiro de fusil de esta villa empieza un espeso monte de encinas, á cu Rey, practicando una diligencia judicial con el ab…</t>
  </si>
  <si>
    <t>Hallé</t>
  </si>
  <si>
    <t>…portaron con ¡a mayor bizarría. Tengo la hon ra &amp;c.Camiña 24 de Marzo de 1834—Unto. Y Excmo. Sr. Fran cisco Simoes Margiochi.rrVizconde del cabo de S. Vicente. Obrar que se hallan de venta en el despacho de la imprenta Real, . P^D. Hallé aquí el Scorpion, y me apoderé de él. Mandé de Ensayo analítico acerca de las leyes naturales del drden social &lt;j del cir al comandante del fuerte de la isla que si no se rendía tomaría poder del ministro y del súbdito en la sociedad, traducido del francés el castillo por asalto y pasarla á cuchill…</t>
  </si>
  <si>
    <t>Hallegg, José</t>
  </si>
  <si>
    <t>José Hallegg</t>
  </si>
  <si>
    <t>…á mis órdenes en Portugal, subversivas, pero sin hallar acogida en los pueblos, se dirigieron y particularmente al brigadier D. francisco Sanjuanena, sus ayu á sus antiguas guaridas en las provincias de Santander, Burgos y dantes D. José Hallegg , D. Luis del Arco, y comisario de guer Soria. Juntamente se advirtió el mismo impulso en las facciones ra habilitado D. José Izmendi. Voy á salir á la Guarda con toda de la Provincias Vascongadas y de Navarra. Basilio García se in la fuerza que me sigue, y á dar todas las disposiciones necesarias…</t>
  </si>
  <si>
    <t>…inmediato al subte dispuse que el escuadrón de la Reina, dejando en esta sus grupas, niente de Ja plana mayor D.Luis del Arco, el empico de capitán saliese á dar alcance á los equipages; lo que verificó á las cinco de al graduado D. José Hallegg,, y los honores de comisario de guer la tarde llevando su comandante las instrucciones convenientes. ra á D. José Eizmendi. IN LA IMPRENTA REAL...</t>
  </si>
  <si>
    <t>Hamburgo</t>
  </si>
  <si>
    <t>…io de Orikuela. CAMBIOS. Amsterdam, 00. París, 16-3. 1 Cádiz, lfb. Sevilla, 4 b. Bayona, 00. Alicante, 4 corto pía* Coruña* 4 d. Valencia, par. Sisa. Enfermos. Curados. Fallecidos. Burdeos, 00. BOy 4 d, Granada, 4 id. Zaragoaa, f d. Hamburgo, 00. Barcelona, 4 ps. ñ., Málaga, 4 Í4. Descuento de letras, Lóndres, 4 9O días, |b. Santander, 4 b. i 4 4 P* 4W al año. 22 211 60 9 384. Bilbao, 44. Santiago, fd. 23 206 60 10 I 24 202 6 15 25 226 50 18 ANUNCIOS. Los tomos 24 y 25 de ta Biblioteca Je Jamas, (3.° y 4*.° Jet Bravo), se hallarán en e…</t>
  </si>
  <si>
    <t>…mente reinaba en la ciudad, tenia fun Bayona, 00. Alicante, i corto pía* Cprufia, 4 d. Valencia, 4 á. | id.¡ dado motivo para sospechar que habría alguna inexactitud en este parte. puédeos, 00. so, 4 b. Granada, | id. Zaragoza^ f d. 1 Hamburgo, 00. Barcelona, k p* fu, Málaga ,4 b. Descuento de letras PROVINCIA DE SBGOVIA. Londres, i 90 dias, id. Id. Santander., 1 id. á 4 p. 100 al año. — Bilbao, par. Santiago, £ i 1 d. Parte sanitario de 29 de Setiembre. Pueblos. Dios. Enfermo*. Curado* Fallecidos. ANUNCIOS. ! Obras qut ** hallan d* vsnt…</t>
  </si>
  <si>
    <t>…mo para minorar sus estragos. Amsterdam , 00. París, 16-ÍL Cádiz, 1¿ á £ b. Sevilla, | b. Bayona, 00. Alicante, á corto pla Cor uña, j d. Valencia, par á 4 id. PROVINCIA BE TERUEL. Burdeos, 00. zo, $ b. Granada, 1 id. Zaragoza, ¿ d. Hamburgo, 00. Barcelona, á ps. fs.. Málaga , $ b. Descuento de ierras, En 26 de Agosto próximo pasado continuaba la villa de Torremocha sin LÓndres, á 90 dias, Í id. Santander, | id. a 4 P- 100 al año. enfermo alguno desde el 2 del propio mes; lo mismo sucedía en Moscardón 38. Bilbao, par. Santiago. ^ d. de…</t>
  </si>
  <si>
    <t>…* b. Ayefve,se ha impedido esta violación mediante las órdenes dadas oportuna Bayona , 00. Alicahte, ifcértópla- Cor uña» l d. Valencia t par. mente' á los alcaldes dé aquellos. Burdeos. 00. *0, * d. Granada/id. id. Zaragota , { d. Hamburgo, 00. Barcelona,-¿ pS» &amp;«, Málaga, * id. Descuento de ttm, .Londres, á 90 días»; .1 b. Santander, 100*1 «fio. Extracto del parte remitido por el secretario dd -gobierno civil de la 37* i f. Bilbao, { d. Santiago ,1 d. provincia de Almería, D. Antonio de Gamo, con fecha de 18 de Julio último. Exento.…</t>
  </si>
  <si>
    <t>…s políticas de I8I4 interrumpieron su car Bayona, 00 Alicante, icono pla Coruña, £ d. Valencia, 4 id. rera pública, mas no sus trabajos literarios. En esta época fue nombrado se Burdeos, 00. zo, 1 b. Granada, Id. Id. Zaragoza . 4 d. Hamburgo, 00. Barcelona, k p*. £*.* Málaga, i b. Descuento de letras, cretario de la academia de la historia. Ldndres, i 90 días, 4 ki id. Santander, 1 id. á 4 P- 100 al año. En 21 de Marzo de 1820 fue repuesto en su plaza de la secretaría de la 384. {Bilbao» id. Santiago, 1 d. Gobernación, en la cual se le…</t>
  </si>
  <si>
    <t>…general del ejército f Anisterdam, 00. París, ip-7 i 8. fcádlz, par. _ Sevilla , 4 b. r, reind de Afagoñ.rt Bayona, 00.' AI icante, á corto plz- Coruña, 4 n. Valencia, 4 id. * Burdeos, 00. ' zo, 4 b. Granada, id. id, Zaragoza, 4 d. Hamburgo, 00. - Barcelona, 4 ps. fe. Málaga , i b. Descuento de letras. £1 Captan general de Castilla la Nueva con fecha del 4 del presenté tóndres. k 90 (lias. 4 w: Santander, 1 id. * 4 p. 10O al año. traslada el siguiente parte del comandante general de la provincia de Ciudad- SBf Bilbao, 4 3. Santiago, 1…</t>
  </si>
  <si>
    <t>…2 1 24- Amsterdam, 00. ¥arts 15-18-19. Cádiz i b. Sevilla par. 3 id................. 3 8 1 12. Bayona, 00. Alicante á corto pla Corulla | d. Valencia Id. 4-id................ 4 2 2 8. Burdeos, 00. no par. Oranada 1 id. Zaragoza 1 d. Hamburgo, oo» — Barcelona i pesos fs. Málaga i á par* Descueut.0 de letras Santander par. á 4 p. xoo al año. á 90 dias i *». Observación. En el número de fallecidos están inclusos los de los hospi Ldndres d. Santiago 1 Bilbao par. 37* papel. tales y los de toda clase de enfermedades. ANUNCIOS. VARIEDADES ES…</t>
  </si>
  <si>
    <t>…ifestando el buen romportamiemo Bayona * 00. Alicante, acortopla- Coruña, $ d. 'Valeocia, id. que han observado nuestras tropas en aquel reino, dice lo siguienfe: »*Ilustrisí- Burdeos, 00. zo, t J. Granada ♦ 4 a J id. Zaragoza, ¿ d. 00. Hamburgo, Barcelona', i ps. fs., Mzlaga , id. Id.. letras* de Descuento u*o y Excmo. Sr.: Tengo el honor de poner en conocimiento de V. E. quc.cn 90 días, Londres, a ib. b. Saoranicrr, t a 4 P* 100 al 'tete dia acabaron de retirarse de esta plaza las tropas españolas que V. E. pe 33. BUbao, $ d. Santiago, £…</t>
  </si>
  <si>
    <t>…centemente? el edificio de los cé Bayona , 00. A1 Icante* á corto pla Coruña, 4 d. Valencia* par. lebres baños de la Piscina, que estaba ruinoso y casi inservible, se ha reedifica** Burdeos. 00. zo * i d. Granada, 4 id. Zaragoza, d. Hamburgo, 00. Barcelona, á ps. fs.* Málaga * ¿ id. Descuerno de letras* do, y hoy compite en brillantez con los demas del establecimiento. Todas las Londres, á 90 días 1 b. Santander * 4 b. á 4 p* 100 al año. pilas que se surtían por canales descubiertos, y carecían de derrames superio J8¿. Bilbao * | d. Sa…</t>
  </si>
  <si>
    <t>…I* á | b. Sevilla, ) V. tus 700 mugeres. Bayona, 00. Alicante, á corto pía- Coruña, ) d. Valencia, id. Id* La corte de Teheram no es muy brillante; consiste en unos 50 señores, Burdeos, 00. zo , | b. -Granada, id. Id. Zaragoza, ) d. Hamburgo, 00. Barcelona, á ps. ft.. Málaga, i b. Descuerno dr Isn sa^ antiguos testigos de la eclipsada grandeza de su patria, afligidos en el dia Londres , á 90 dias, é a $ id. ÍSahtandfr, id. 2&lt;L -á 4 p. 100 al año* con «I1.espectáculo de su decadencia actual. Rara vez da Fathey-Alí funciones Bilbao, par.…</t>
  </si>
  <si>
    <t>…ólera iban á menos Anuterdam, 00. París, 16-4- Cádiz, 14 A fb. Sevilla ,4 b» Bayona, 00. A1 icante, á corto pía- Coruña, 4 d. Valencia, id. id. los estragos de dicha enfermedad. fe Burdeos, 00. 20, 4 b. Granada, 4 Id. Zaragoza, | d. Hamburgo , 00. Barcelona, A ps. fs., Málaga: , 4 b. Descuento de letras» GUIPUZCOA. landres, A 90 días, id. id. Santander, 1 id. A 4 p* 100 al año» 38|. i Bilbao, par. Santiago, 1 d. El comisionado régio participa con fecha 2 del actual que en toda aquella provincia se disfrutaba de perfecta salud , según l…</t>
  </si>
  <si>
    <t>…el zeló de los habitantes para alistarse en la Milicia urbana. Amsterdam , 00. lWís, 16 papeL Cádiz, £ b. Sevilla, par. Bayona, 00. Alicante, acortopla- Coruña, £ d. Valencia, id. Burdeos, 00. zo, i d. Granada, £ id. Zaragoza, ¿ d. Hamburgo, 00. Barcelona, á ps. fs.. Málaga . par. Descuento de letras, Extracto del parte remitido por el subdelegado de Fomento de la provin Londres, á 90 dias, £ b. Santander, £ b. á 4 p* 100 al año. cia de Oviedo D. Joaquín María Suarez, con fecha de 30 de Abril último. m y i. Bilbao, £ d. Santiago, £ d.…</t>
  </si>
  <si>
    <t>…deHerrérot. .......................... 1 1 09 ' ¿HstCTdam.OO. París, 16-1. Cádiz, í b. Sevilla, i b* Bayona, 00. Alicante, 4 cortopla- Cazuña, | d. Valencia, par. 2arZuefá del Mon- Burdeos, 00. so, ¿ d. Granada, 1 d. Zaragoza, f d. 00. Hamburgo, Barcelona, á pt.fi., Málaga, 1 id. Descuento letras da . 4 O0 días, 1 b. ' ié.' .:..6 i 11 Agosto. 2 \ 1 i landres Santander, ¿ b. k 4 p. 100 al año. Sn á 4- Bilbao t par. Santiago, 1 d. - NavarresdeAyuso. 9 á IX idem. .. 12 00 s ■ La Maúlla...... Idem idem... ü • 1 00 1 ANUNCIOS. PROVINCIA DB SOR…</t>
  </si>
  <si>
    <t>…nete; y que desde 9 á 12 del mes de la fecha curaron 9 personas en Saeli- Bayona, 00. Alicante, k corto pla Cor uña, $ d. Valencia, id. id. ces, murieron 8 y quedaban 7 enfermas. Burdeos, 00. zo , $ b. Granada, $ id. Zaragoza,' $ d. Hamburgo, 00. Barcelona, k p*. £$., Málaga, $ b. Descuento de letras, PROVINCIA DE CUADALAJARA. IAndres, á 90 días, i id. Santander, 1 id. ^ 4 P« 100 al año» *8|á*. Bilbao, par» Santiago, $ d. Resulta del parte que su gobernador civil da en 16 del presente que en Tamajon se cantó el Te Deum el dia 14 por ve…</t>
  </si>
  <si>
    <t>…a policía tortuosa á la acción de Bayona, 00. Alicante, Icorto pla Corona, | d. Valencia, Id. id. las leyes; la delación, penetrando en el ?eno de las familias, dividiendo entre sí Burdeos, 00. zo, 4 b- Granada, i id. Zaragoza, J d. Hamburgo, 00. Barcelona, 4 ps. fs., Málaga, 4 b. Descuento de letras» á los allegados, y extinguiendo toda moralidad en la nación; la educación, Londres. 4 90 días, * id. Santander, 1 i&lt;L 4 4 P- 100 al año» protegida al principio aparentemente, y luego comprimida hasta lo sumo; ia 38jái. Bilbao, par. Santia…</t>
  </si>
  <si>
    <t>…0. CAMBIOS. Pueblos. Dias. Invadido». Curados. Fallecidos. Amsterdam * 00. París, 16-1, Cádiz, 14 á 4 bu Sevilla, 1 b. Bayona» 00. Alicante, acorto pía- Coruña, | d. Valencia, par. Burdeos* 00. zo, par. Granada* 1 id* Zaragoza, 1 d. Hamburgo, 00. Barcelona* á ps. fs.. Málaga * 4 Id. Descuento de letras, Mota del Marqué». 18 de Agosto... 12 Londres, á 90 dias* ib. Santander * 4 b. A 4 P- 100 al año. Rioscco. • 18 37J. Bilbao, 4 d. Santiago * 1 d. Tnfdttitbs. ..... 82 'Vsltffecftltac 19 id................... 4 Villanubla........... 18 id…</t>
  </si>
  <si>
    <t>Hamburgó, Madrid de Diciembre</t>
  </si>
  <si>
    <t>Madrid de Diciembre Hamburgó</t>
  </si>
  <si>
    <t>…prima de t p. 100. Acciones del banco español, 00. CAMBIOS. ESPAÑA. Amsterdam,Bayona, 0p. 00. París,Alicante,16-7Acorroi 8. pla Cádiz,Coruñíf*par.i d. Sevilla*Valendá ib.* d* id» Burdeos. 00. zo, 1 b. Granada *Jd. Id* Zaragoza* j,d. Madrid 5 de Diciembre. Hamburgó; 90. Barcelona, i pe. £u, Málaga, ¿b. ’ Descuento de letra** ■ JLOndret, 4 90 días, BlíbaoVéi Santander* lid. alafia «*• Santiago* 1 d* ESTADO SANITARIO DEL REINO. PtOVINcia DE BADAJOZ. ANUNCIOS. Avisa su gobernador civil en oficio de 29 de Noviembre próximo pasado que en el Hava, la Serena y Zarza…</t>
  </si>
  <si>
    <t>Hamburgo, Pueblos Pías Enfermos Curados Fallecidos</t>
  </si>
  <si>
    <t>Pueblos Pías Enfermos Curados Fallecidos Hamburgo</t>
  </si>
  <si>
    <t>…!, 00. CAMBIOS. que resulta del siguiente i Parte sanitario. Amsterdam, 00. París, 16-4* Cádiz, l|b. Sevilla, 4b« Bayona , 00. Al Icante, k corto pla- Corana, 4 d. Valencia, 4 Id. Burdeos, 00. zo, 4 b. Granada, jd. Id. Zaragoza | d. Pueblos. Pías. Enfermos» Curados. Fallecidos. Hamburgo, 00. Barcelona, k ps. &amp;, Milaga, 4 b. Descuento de letras, Lóndres, k 90 días, í á 4 id. Santander, 14 id. h 4 p. 100 al afio. 384 a 4. Bilbao, par. Santiago, 1 d. Cilleros el hondo. 22,de Octubre.. No consta- id. 5 Fotfoleta............ .. TI á21 id.... 6 4 00 ----------^u—,— Rollan....... .. id i…</t>
  </si>
  <si>
    <t>Hamburgq</t>
  </si>
  <si>
    <t>…zo de-arriba, y que ios demas . Bayona, 00. Alicante, á corto pla Coruila, 4 d. Valencia, Id, Id. pueblos invadidos en esta provincia se hallaban en la situación que indica el ü- Burdeos, 00. zo , 4 b. ranada, id. Id. Zaragoza, i d. Hamburgq, 00. Barcelona, í ps. fs-, Sálaga, 4 b. descuento de letras IAndres, i 90 dias, i i í id. Santander, id.id. á 4 p. 100 al «fio» Parts sanitario. »s*. Bilbao, par. Santiago 4 é MI— X&gt;hu. Enfermos, Curados. Fallecidas ANUNCIOS. propeRcat. ... 26 Ag. 49 Set., 7 5 2 Obras qus ss hallan ds -venta tn si…</t>
  </si>
  <si>
    <t>Han, Diego Clemencia</t>
  </si>
  <si>
    <t>Diego Clemencia Han</t>
  </si>
  <si>
    <t>…es en el sitió indicado; y cumpliendo con tmunixA. lo que prescribe el artículo 3.° del reglamento, han procedido al nombramien LSsidres 9 de Julio. to de dos Secretarios interinos, resultando nombrados los Sres. duque de Rizas y D. Diego Clemencia. Han pasado en seguida á nombrar la comisión que . La princesa de Lleven ha tenido una audiencia de S. M. la Reina, que ha debe reconocer los títulos y documentos que presentan los Sres. Próceres; -y sido la de despedida para el continente. (Standard.) para ella han sido electos los Sres. duque de Gor ,…</t>
  </si>
  <si>
    <t>Han, Gobernadora y S A la Se</t>
  </si>
  <si>
    <t>Gobernadora y S A la Se Han</t>
  </si>
  <si>
    <t>…de 1834. = Moscoso. = Sr. presidente Oficio recibido en el ministerio de lo Interior. de ía junta de Sanidad de Madrid y su provincia. Excmo. Sr.: Tengo la satisfacción Je participar á V. É. que la Reina nuestra Señora, S. M. la Reina Gobernadora y S. A. la Se Han felicitado á S. M. por la publicación del Estatuto real las eotptr= ñora Infanta Doña María Luisa continúan sin la menor novedad en raciones y personas siguientes: su importante salud. De Real orden lo participo á V. E. para su no El ayuntamiento de la villa de Reto. ticia y efectos oportunos. Dios…</t>
  </si>
  <si>
    <t>Hantzeri, Telemaco</t>
  </si>
  <si>
    <t>Telemaco Hantzeri</t>
  </si>
  <si>
    <t>…e ha notado el menor disgusto que diese ocasión á aci Rusia, ha condecorado con las insignias de su orden guarnecidas de diamantes barar un solo instante tan fcüz y deseado suceso. E! entusiasmo que este ha al consejero de estado príncipe Telemaco Hantzeri, y á M. Pjsani, primer dra- producido, la unión y fraternidad que mas que nunca se han manifestado, los ’goman de la embajada rusa, por su actividad y buenos servicios en las últimas trasportes de general alegría con que se ha sellado un awontecimienrn en que negociaciones. todos los españoles cifr…</t>
  </si>
  <si>
    <t>Haraburgo</t>
  </si>
  <si>
    <t>…oca, no parando hasta Castellote, don Bayona, 00. Alicante, acorto pla- Corana, 4 &lt;5* Valencia, 4 id. de se.hallaban el dia l.°, y en donde debían ser perseguidos por nueves fuer Burdeos, 00. zo, 4 b* Granada, id. Id. Zaragoza, 4 d. Haraburgo,00. Barcelona, á ps. fs., Malaga , 4 b. Descuento de letras, zas que había reunido hacia aquel punto. .Londres, k 90 dias, 4 id. Santander ,14 id. á 4 P« 100 al año. ------------------------ 38 tk± Bilbao, par. Santiago, 1 &lt;L ESTADO SANITARIO DEL REINO. a Nuncios. PROVINCIA DE FALENCIA. Tercer cuad…</t>
  </si>
  <si>
    <t>…nco español ,00. snirng." 1,1 ’ ' ' " • CAMBIOS. Anssterdam, 00. París, 16-7 ii 8. Cídii, * i, * Id. Sevilla, * b. tm Bayona,Borderó, 00.00, Alicante,*' zo , * b. corto pía- ; Granada,Coruña, ** aid.1 id, Valencia,Zaragoza, ** id.d. Haraburgo, 00. Barcelona, * ps- fs.,; Malaga, * b. Descuento de letras, ESPAÑA. Lóndres , á 90 dias, Id. Id. '*Santander,- 1 Id. i 4 p-100 al año. *8*. Bilbao, *d* iSantiago, 1 &lt;L, ''Gfctós Í6 ¿i Diáemhrr. En «1 'Ófdrlo de lafímbastst del' 30 de Octubre pt óximo pasado te lea ANUNCIOS. «í aigi^f^fcá&amp;io! ' ;…</t>
  </si>
  <si>
    <t>Haraentíi, Secretano e</t>
  </si>
  <si>
    <t>Secretano e Haraentíi</t>
  </si>
  <si>
    <t>…a.” _ r En sqpüda el $r. Secretario del Despacho'de Estado subió i h tribuna y 'El Sr. ¿rfr^ &gt;dlAia pedidoYa paj^fcdf para confirmar ^lo que ha dicho.' dijo: "EnandocfSr. Secretario da Gracia y Justicia en el Real jipo del Par el Sr. Secretano^e Haraentíi, y pita loporiermé a que pasase a la comisión díe do , me manda S. M la Reiva Gobernadora que lea la siguiente ley sancio lo Interior la exposición de que se trata. Es cierto cue les Procuradores de las nada por S. M., relativa á la exclusión dd Infante D- Cirios María Isidro y provincias de Valenc…</t>
  </si>
  <si>
    <t>Haré, Pro</t>
  </si>
  <si>
    <t>Pro Haré</t>
  </si>
  <si>
    <t>…párrafo q.,e se ha leído dice: que concluiremos con levantar la obr*i. It pT ivaba de poder asistir al Estamento. Concluiremos desde luego; esta es nuestra divisa. Con este motivo -se suscitó una ligera discusión acerca de si un Sr. Pro— «Haré cuatro o seis insinuaciones que me ocurren en este momento. Creu fitf podía en virtud de -las órdenes vigentes ser juzgado por tribunal distinto del que no hubiera estado lucra de su lugar en la contestación que nos ocupa, in qué se establece por el tuulo doce del reglamento. El Sr. Presidente dijo…</t>
  </si>
  <si>
    <t>Haríspe</t>
  </si>
  <si>
    <t>…detalles. No reasumiremos mas que los mas importantes.- ..... El 5 del comente escriben deJBurdeos que el barón de Bergen, á quien se ' En 1833 han sido importados en Francia: . le había tenido por D. -Miguel, y contra el cual el general Haríspe publicó usa 1 Valores eíec— _ Derechos pere i órden del día, acaba de regresar á Francia. Se ha detenido en Bayona, y los Cabezas. ti vos. bidos. noveleros se han ocupado con mucho intetes en averiguar el verdadero carácter de este personage, y el objeto de sus viages. Lo que se ha podido saber de…</t>
  </si>
  <si>
    <t>Harona, F Jerez y</t>
  </si>
  <si>
    <t>F Jerez y Harona</t>
  </si>
  <si>
    <t>…do en dicho pueblo el número de invadidos» y aun estos *n sus relaciones con la población, por J. C. L. Simonde de Sismondi , traducidos al lo eran con mas benignidad; y que D. Luis Bisíe , practicante de medicina, castellano por D. F. Jerez y Harona, pasaran á recoger el primer cuaderno del to había restituido i la vsda dos moribundos, propinándoles la aristoloquia re mo 2.° en Madrid a la librería de Viana y Razóla, y en Granada á la de Benavides. la suscripción. Sigue abiertadonda: que en Fitero aumentaba el número de fallecimientos, y que s…</t>
  </si>
  <si>
    <t>Harrea, Julián</t>
  </si>
  <si>
    <t>Julián Harrea</t>
  </si>
  <si>
    <t>…or civil de Soria. 21 Serán vocales de la misma junta el conde de Teña, el mar E] de Barcelona. ques de la Torrecilla, D. Pedro Lafuente, D. Franeisco López Ola- El intendente de Aragón. Tarrieta, D. José Ventura Aguirre Solarte, D. Julián Harrea, di- El de Asturias. reCtór de la casa de Beneficencia , y el mariscal de campo D., Amo El contador y demas gefes y empleados de rentas de la provincia de As nio Pean. turias. D. Blas Benito Vasallo, administrador de la aduana de Cxrtaya. 3? Se autoriza la inversión de 429 rs. en las obras necesari…</t>
  </si>
  <si>
    <t>Hartig</t>
  </si>
  <si>
    <t>…', el Sr. presidente dió las gracias en peyo Marchesi, uno de los artistas mas afamados de Italia. La primera piedra hombre de la Real sociedad económica y de la sección á toda la academia en fue puesta, el 22 de Setiembre por el conde Hartig, gobernador de la Lombar- general , animando á sus alumnos á continuar sus trabajos con el entusiasmo dfa, que vino expresamente 4 Como para esta solemnidad, la cual atrajo una que hasta ahora han manifestado, con lo que so concluyó el acto. = Vicenta fren concurrencia da naturales y extrangerosv O…</t>
  </si>
  <si>
    <t>Hasta</t>
  </si>
  <si>
    <t>…da da felici felicitarle po'rel.áffiversario de su nacimiento. . \ dad futura, y que me llenaba de halagüeñas esperanzas. Conformémonos con. »Yó, dijo el Monarca, por convicción y por la9 circunstancias de mi vida la voluntad del'Señor. Hasta ahora ha velada sobre el destino dé la Bélgica i nai he llevado lá tolerancia hasta el punto que justamente puede llegar; pero no apartará de ella'su mano poderosa.” debe permitirse que degenere en licencia. La tolerancia tiene sus límites, que es El Rey, después de la audiencia en que fue admitida…</t>
  </si>
  <si>
    <t>…aba el inmortal jurado de la nistros.'Sfc han despachado muchos pliegos á Brigthom, en donde S. M. está en Gran Bretaña, tan rígido protector de la libertad, y tantos otros célebres va el dia, y de allise han recibido algunos del Rey. Hasta ahora tenemos justos rones, distinguidos por su saber, por sus estudios y por la opinión de sus con motivos para creer que todavía no se ha resuelto cosa alguna respecto á las va ciudadanos.” riaciones que es indispensable hacer en el ministerio por consecuencia de Asistían á la apertura del tribun…</t>
  </si>
  <si>
    <t>Hasta, Cáceres</t>
  </si>
  <si>
    <t>Cáceres Hasta</t>
  </si>
  <si>
    <t>…rueba de su obediencia á Burgos 5- A 444 ascendía el número de quintos admitidos ea los preceptos soberano?, y de su adhesión á ía Real persona de la el deposito, número casi igual al que cerrespónde á la provincia. Reina nuestra Señora.” Cáceres 8. Hasta la fecha habían ingresado en el depósito de la Con respecto á- Menorca é Jbiza, en cuyas islas debió recibirse capital 370 mozos. mas tarde el Real decreto, se esperaban noticias de haberse verifi Gerona 30 de Marzo. El subdelegado ha dado sus dkpósicio-1- cado la quinta en ella? :cón no menor puntual…</t>
  </si>
  <si>
    <t>Hasta, Fernando</t>
  </si>
  <si>
    <t>Fernando Hasta</t>
  </si>
  <si>
    <t>…Luis xiv estamos en una oposición completa, pero no es asi. Sepárense los artículos en Corría por sus venas. que todos convenimos, los artículos que todos reprobamos, y se verá que los » A esta série de Reyes absolutos sucedió el Rey Fernando. Hasta el idio puntos de oposición son pocos. Bien conoció el Sr. conde de las Navas la de ma mostraba las ¡deas de la Nácion respecto al poder del Rey. £1 Rey tres bilidad de las pruebas de la llamada costumbre , puesto que esta era tan incier imagen,de Dios , se decía para mostrar lo sagrado de su orige…</t>
  </si>
  <si>
    <t>Hasta, Isabel y Doña María</t>
  </si>
  <si>
    <t>Isabel y Doña María Hasta</t>
  </si>
  <si>
    <t>…Inglaterra, la Francia, la España y el Portugal para asegurar el Parece que los miguclislas estaban echando un puente sobre el Tajo en restablecimiento del órden en I3 Península bajo el cetro de las dos jóvenes Rei Abranles. nas Doña Isabel y Doña María. Hasta recibir el cambio de las ratificaciones de las cortes de Madrid y Lisboa, el gobierno ingles no ha dado , según cos tumbre, ninguna publicidad á un documento no revestido todavía de las últi Partet recibidos en la Secretaría de Estado y del Despacho de la Guerra* mas formalidades; pero en aquel pai…</t>
  </si>
  <si>
    <t>Hasta, María</t>
  </si>
  <si>
    <t>María Hasta</t>
  </si>
  <si>
    <t>…a Francia, la España y el Portugal para asegurar el Parece que los miguclislas estaban echando un puente sobre el Tajo en restablecimiento del órden en I3 Península bajo el cetro de las dos jóvenes Rei Abranles. nas Doña Isabel y Doña María. Hasta recibir el cambio de las ratificaciones de las cortes de Madrid y Lisboa, el gobierno ingles no ha dado , según cos tumbre, ninguna publicidad á un documento no revestido todavía de las últi Partet recibidos en la Secretaría de Estado y del Despacho de la Guerra* mas formalidades; pero en aquel pai…</t>
  </si>
  <si>
    <t>Hauch</t>
  </si>
  <si>
    <t>…en (eL Conciudadano), do al autor mis de 12 años de.trabajo, y que Ucva-el sello'de un ingenio vi periódico radical que se publicaba bajo la dirección délteniente coronel Hyci goroso y original. El sitio de Mastrick, tragedia del Sr. Hauch, ha sido tra ta , uno de íos mas fogosos y testarudos miembros de la oposición. Habiendo ducida al aleman. sido citado ante los tribunales el editor ¿ causa-deUun articulo incendiario que - Entre las publicaciones recientes .que han producido alguna sensación en la provocaba á la rebelión, fue cond…</t>
  </si>
  <si>
    <t>Hauiburgo</t>
  </si>
  <si>
    <t>…s, 16-5 4 6. C4diz, 1$ b. Sevilla, f b. Bayona, 00. Alicante, acorto pla Cor uña, $ d. Valencia, $ Id. Avisa su gobernador civil en oficio de 5 del presente que en los días 1, 2, Burdeos, 00. zo, $ b. Granada, Id. Id. Zaragoza, $ d. Hauiburgo, 00. Barcelona, 4 ps. fs., Málaga, $ b: Descuento de letras, 8 y 4 del mismo habían fallecido en aquella capital 45, 54, 26 y 31 perso Londres, k 90 dias, $ id. Santander. 1$ Id. 4 4 p. 100 al año» nas respectivamente: añade que el cólera se había manifestado en algunos pue- 38fá $. Bilbao, par. Sa…</t>
  </si>
  <si>
    <t>Hausen</t>
  </si>
  <si>
    <t>…ugar á conceder el premio. La comisión ha sido posible adquirir noticia alguna. Una chalupa dinamarquesa, llamada ha reconocido que par! tratar bien esta cuestión era indispensable hacer antes Feut-soskrdem, ó las Cinco hermanas, capitán Hausen, procedente de Nuexperiencias demasiado largas. En consecuencia de esto ha decidido que no se xeite, sobre el Beltá, y con'rumbo á Lóndres, ha naufragado igualmente en tratase de ella en el certamen. el mismo sitio. Cuatro personas de la tripulación se han salvado, gracias ai Premio de fisiología e…</t>
  </si>
  <si>
    <t>Havin</t>
  </si>
  <si>
    <t>…esentaba el puerto una magnífica vista con tanto barco empa Los Sres. Cxíraudy Isambeft y Luneau desvanecen los reparos que ha puesto vesado y gallardetes enarbolados. A las siete de la mañana empezaron á mover el Sr. Stroltz. El Sr. Havin esfuerza y sostiene el parecer del Sr. Stroltz;el Se se las tropas, y. mas tarde salló la comitiva, que por sus trenes, caballos, lujo ñor Dubois manifiesta los motivos que la comisión ha tenido para redactar et de trages, séquito y numeróse^ acompañamiento, era cuanto podía desearse, y artículo en…</t>
  </si>
  <si>
    <t>Havin, Stroltz El Sr</t>
  </si>
  <si>
    <t>Stroltz El Sr Havin</t>
  </si>
  <si>
    <t>…' cuyo motivo presentaba el puerto una magnífica vista con tanto barco empa Los Sres. Cxíraudy Isambeft y Luneau desvanecen los reparos que ha puesto vesado y gallardetes enarbolados. A las siete de la mañana empezaron á mover el Sr. Stroltz. El Sr. Havin esfuerza y sostiene el parecer del Sr. Stroltz;el Se se las tropas, y. mas tarde salló la comitiva, que por sus trenes, caballos, lujo ñor Dubois manifiesta los motivos que la comisión ha tenido para redactar et de trages, séquito y numeróse^ acompañamiento, era cuanto podía desearse, y artículo en…</t>
  </si>
  <si>
    <t>Hawks-le-Grice</t>
  </si>
  <si>
    <t>…nflujo, adictos al sistema prohibitivo. , ; - Hay en este cantón cerca de 59 personas empleadas en hilar algodón, y reciben un salario de 3n0§ florines sobre poco mas ó menos: la fabricación de ' .-Su Santidad acaba de nombrar al conde Hawks-le-Grice biblioteca cintas que cuenta de 3 á J29 telares, emplea 160 personas, cuyo salario me* rio honorario de la biblioteca católica extranjera de Rorm. También le ha dio asciende á unos 7u09 florines. La «edería puede ocupar cerca de 11,300 concedido al mismo tiempo el órdeq de mérito de S. Gregorio el…</t>
  </si>
  <si>
    <t>Hay, Cárlos</t>
  </si>
  <si>
    <t>Cárlos Hay</t>
  </si>
  <si>
    <t>…pa?. deítrono, sin incurrir á su parecer eq la nota de rebelde, facilitarse los auxilios que nece- quedaron excluidas de la suepsidn. i sitabaparayisurpatel.trono. , . Por identidad de razón debá'excluirse la descendencia del Sr, D. Cárlos. Hay sobre esto un convencimiento tan íntimo y general en la/nacion, que El interés de la seguridad y estabilidad del trono , la felicid^cL el bienestar y evita á la. comisión Ip necesidad de desenvolver mas esta- idea. La conducta que la tranquilidad general ,'ia libeftad y segúridad íqd¡Vidual, y ej p…</t>
  </si>
  <si>
    <t>Hay, Medrano</t>
  </si>
  <si>
    <t>Medrano Hay</t>
  </si>
  <si>
    <t>…me fundo para decir que en el, caso actual ceres, participando haber sido hombrado portero 2.° del mismo D. Benito hay mas amplitud que otras veces.” ' Fernandez, macero del Estamento de Sres. Procuradores, i fin de que se dis El Sr. Medrano.- «Hay upa circunstancia muy esepciSl en. el ..concepto ponga que el interesado se'presente á servir su plaza. El Estamento quedó en-* de la co ni i-ion parrque.se deba admitir al individuo dé que se trata, y es que terado, y se acordó comunicar la órdeh correspondiente á dicho interesado. hay sucesor col…</t>
  </si>
  <si>
    <t>Hay, Medrarlo</t>
  </si>
  <si>
    <t>Medrarlo Hay</t>
  </si>
  <si>
    <t>…ue se establezca un diario de Corles. Se abrió, á las once. ^ Él Sr. Trueba preguntó cómo se presentaba esta proposición. Leída el acta de la anterior, dijo El Sr. conde de las Navas: «Esta proposición es muy sencilla: los Pro Mi Sr. Medrarlo - »Hay una pequera equivocación en el acta, según está curadores que la hemos firmado la presentamos al Estamento con el objeto redactada. Se dice en ella que quedó aprobado en su totalidad el proyecto .-esto de que la tome en consideración. Si lo hace, y.la pasa á la comisión de JcrIn no es exacto: lo qu…</t>
  </si>
  <si>
    <t>Haya</t>
  </si>
  <si>
    <t>…stimado, ha sido llamado i aquel depar** debía pedir algunas explicaciones al príncipe de Samos, el cual le respondió do lamento. / la manera siguiente: so LAN da. % -Copia dt la respuesta dada por ti principe dt Samos 4 S. E. el embajador Haya 29 dt Julio. — • de Inglaterra. Los llamados Schoetwnaktrs y Lecdecvig, citado* ante el tribunal crimttel « El comodoro de la flotilla turco no se niega ¿ reconocer en loe anuos el de UHolanda meridional por delito de robo et* la iglesia católica de Hiuegom, derecho de emigrar; ce opone si momentán…</t>
  </si>
  <si>
    <t>Hcra, D José Santos de la</t>
  </si>
  <si>
    <t>D José Santos de la Hcra</t>
  </si>
  <si>
    <t>…los ejércitos. Estas reuniones, ofrecen también los medios de dar i los soldados que deben todos los años pasar del ejército activo á los Acabamos de recibir de Santiago de Cuba la siguiente alocución de su go bernador el Excmo. Sr. D. José Santos de la Hcra: Cuerpos de reserva, el complemento dt instrucción que no se adquiere sino en Habitantes de Cuba: Ha llegado para nosotros el dia venturoso de manifes los campamentos. »&gt;0&gt; proponemos al mismo tiempo y por las mismas consideraciones, que tar al mundo entero los sentimientos de lealtad que siempre h…</t>
  </si>
  <si>
    <t>Hcra, José Santos de la</t>
  </si>
  <si>
    <t>José Santos de la Hcra</t>
  </si>
  <si>
    <t>…ejércitos. Estas reuniones, ofrecen también los medios de dar i los soldados que deben todos los años pasar del ejército activo á los Acabamos de recibir de Santiago de Cuba la siguiente alocución de su go bernador el Excmo. Sr. D. José Santos de la Hcra: Cuerpos de reserva, el complemento dt instrucción que no se adquiere sino en Habitantes de Cuba: Ha llegado para nosotros el dia venturoso de manifes los campamentos. »&gt;0&gt; proponemos al mismo tiempo y por las mismas consideraciones, que tar al mundo entero los sentimientos de lealtad que siempre h…</t>
  </si>
  <si>
    <t>He, Antonio Rcmon Zarco del Valle</t>
  </si>
  <si>
    <t>Antonio Rcmon Zarco del Valle He</t>
  </si>
  <si>
    <t>…s á la per» Tendréislo entendido , y k&gt; comunicareis á quien corresponda.eeEs secucioh del faccioso Carmccr , se ha servido expedir d Real de tá rubricado de la Real mano, ee En Aranjuez á 3U de Marzo de creto siguiente: 1834-scA D. Antonio Rcmon Zarco del Valle. He venido en remover al corregidor de Molina de Aragón D. Juan Víuot Navairo; y nombro para esta plaza á D. Jos* dé V. Poveda. Tendreolo entendido, v lo comunicareis í.qiiten comu ~ Para la placa de decano de la sección de Marín del Cotisejo pondi.ee Está rubríca lo de la Real nuno.ee Elt Aranjuez 4 d…</t>
  </si>
  <si>
    <t>He, Castle</t>
  </si>
  <si>
    <t>Castle He</t>
  </si>
  <si>
    <t>…propusieron transacciones que luego no tuvietales capitales, y aun cuando asi fuese, se estancarían con notable perjuicio , re* zoh efecto. V tirándolos de la circulación. ~- «Todo el mundo sabe que desde la primera propuesta de lord Castle- • He prescindido de si debía.Jotrarse ó no en la cuestión como principio reagh en 1820 , Hasta los congresos de Verona y Laybach, estaba resuelto fundamental, porque otros varios Sres., la han tocado ya bastante; pero no puedo abolir en España y en todas partes todo cuanto oliese á constitución y li men…</t>
  </si>
  <si>
    <t>He, Cresfo Tejada</t>
  </si>
  <si>
    <t>Cresfo Tejada He</t>
  </si>
  <si>
    <t>…os; que puede • existir aquella con unos ú otros individuos en el ministerio, y que por consi 473.634,960 30 del 4 por 100. 18.945,398 H guiente no se hunde porque ocupen semejante destino ules á cuales indivi duos.” • , , , i Fi Sr. Cresfo Tejada-. -He tomado la palabra para convencer con mi* 7¿4 433,128 23 del S p. 100 i papel.I - 827.928,094 4 de Vales no consol..! '“aP,,aUzaDd0 4 razones, aunque débilmente expresadas, á los Sres. Procuradores de que no apro bando el primer artículo del proyecto del Gobierno y minoría de la comi- 50 p. 100 por…</t>
  </si>
  <si>
    <t>He, F M</t>
  </si>
  <si>
    <t>F M He</t>
  </si>
  <si>
    <t>…........ 3000 con quien ya sobre el particular, habii. yo conferenciado, quedando encargado D. Antonio Felipe González, agente de la BoWa de comercio.......... 500 dicho prelado de hjcerlas examinar científica y facultativamente. D. F. M.......................................................................................................... 300 He mandado limpiar calles, rellenar sitios donde se estancaban aguas, y D. M. P.......................................................................................................... 320 quitar cuantos objetos puedan ser nocivos á la salud pública, haciendo sobre D. J.F.............................…</t>
  </si>
  <si>
    <t>He, Florez Estrada'</t>
  </si>
  <si>
    <t>Florez Estrada' He</t>
  </si>
  <si>
    <t>…tamento y del Gobierno en mantener á toda costa los derechos del trono y los derechos de Contestación del Estamento, de Sres. Procuradores al discurso de S. Af., /f* 1j Nación.” t ¿un ha sido Aprobada en las dos últimas sesiones. Sr. Florez Estrada'. «He oído con mucha satisfacción al Sr. Secretario de E-.t^do que el Gobierno se ocupa en la cuestión de América , y me congra 1.° Señora: El Estamento de Procuradores del reine ha experimentado tulo con él por esto ; pero mi intención no fue mas que al tratarse de asuntos el mayor placer al ver á V. M.…</t>
  </si>
  <si>
    <t>He, FUixi</t>
  </si>
  <si>
    <t>FUixi He</t>
  </si>
  <si>
    <t>…ictámen de en que las ‘‘dotaciones de los diversos individuos excederían á la del &gt;jefc de la la comisión, en vez de lo que propone el Gobierno.** - v*‘ familia y del Estado , y ya ve S. S. los inconvenientes que esto produciría. Sr. FUixi «He tomado la palabra en esta discusión, si bien para elogiar Ademas, si hubiésemos de respetar y dejar en su fuerza y vigor todas las re •l celo de lds individuos de la comisión, que no menos que yo desean las eco soluciones del Sr. D. Fernando vn , es claro que nada podríamos hacer respec nomías, á f…</t>
  </si>
  <si>
    <t>He, Marcos Cubillo</t>
  </si>
  <si>
    <t>Marcos Cubillo He</t>
  </si>
  <si>
    <t>…ema en que los agentes principales del gnjiigifr? ven y palpan por D. A. C. ..................................................................................................... 3oo0 sí mismos las necesidades que aquello* tienen. D. Marcos Cubillo................................................................................. 200 He visto por mí mismo construidos cementerios efl fodot los pueblos por Excitw. Sra. marque-a de Sta. Cruz............................................................ 1000 donde he pasado, y allané en la maior parte las dificultades que había en V¿- E&gt; Domingo Ronchi, director general de Realea Loteií…</t>
  </si>
  <si>
    <t>He, MMiVt</t>
  </si>
  <si>
    <t>MMiVt He</t>
  </si>
  <si>
    <t>…- íaay que dudarlo: aunque intervenga la autoridad , no pagarán el Voto, pues póraéírfn ,‘ésfablec¡rhiéfitó 6 jjéíicéfe qfUis ¡Tas neícíbiá. * ■ tienen que atender á sus necesidades, y estas les obligarán á no pagarlo. Fun ’ ■ pf Sr.'MMiVt He \a ®díwl¿it* ¡ ÁSiéndo' la primera vez que babto'éq dado en esto, pido que se pohga por adición al primer artículo, que la ley tfrt s'tfólaf) téfffeiWe', díiérl'feaflf¡fífíW»,Ii» baga cón’ tf’ijíidez-.'más sí* embargo cómprenla et Voto de este año.” Me atrcVo á bSréHó'fiido éh la iitdííláefiéiá di…</t>
  </si>
  <si>
    <t>He, Súntafi</t>
  </si>
  <si>
    <t>Súntafi He</t>
  </si>
  <si>
    <t>…posible imaginar una impugniciori mas amarga que la que ha hecho el Sr. Caballero. Seguramente no me hubiera determinado fi éstísuficietiremente discutida. ilmrl l« .l» rte I. n..-;..-. q-l- --.. ir pr.'n ¡p rPflbfg'lH'" -fl 1 El'Sr. Súntafi- He dicho queje trataba de despreciar el Estatuto Real Constituciones. Presentar esia especie de tabla necrológica , ese panteón de en el eóhceptb de hallarme como me hallo convencido de que cuando una ley Constituciones, que todas ellas han perecido.i pesar de contener una declara se cpnSideira insufi…</t>
  </si>
  <si>
    <t>He, Truebax</t>
  </si>
  <si>
    <t>Truebax He</t>
  </si>
  <si>
    <t>…ncias de ellos, con aUuno ademas se conserve á esta en el goce de lodos los bienes y rentas que pertene que otro menos notable. Todos son gravosos; especialmente como han sido cen al patrimonio Real.” administrados hasta aquí. El Sr.'Truebax «He pedido la palabra, no solo en contra del presupues «El de Aragón pioduce en verdad, y producirá mucho mas con mejor to del Gobierno, sino también en contra del dictamen de U comi»ion. Bien arreglo y dirección. S¡n embargo S. M. acab.i de hacer cesiones muy impor veo que la materia es sumamente deli…</t>
  </si>
  <si>
    <t>Hecha</t>
  </si>
  <si>
    <t>…y reconocidos mas que 600 millones de su tai Vez erá nulo. «En este caso me vi precisado á tomar la palabra : estas ton las ventajas total. „ Pero el Gobierno , según so proyecto, consolida desde luego de deuda de la-discusion en general. Hecha en general, y habiendo el Estamento deter extrangera Ja mitad; por consiguiente, resulta notablemente perjudicada nues minado seguir la marcha conservadora de reconocer cualquier empréstito he tra deuda interior; cosa que no hubiera sucedido si se hubiese tenido presento cho por otro Gobierno, esta…</t>
  </si>
  <si>
    <t>Hecha, D Antonino de Pineda y Bar</t>
  </si>
  <si>
    <t>D Antonino de Pineda y Bar Hecha</t>
  </si>
  <si>
    <t>…y personas distinguidas que se habían dignado honrar con su asistencia Hurtado. aquel acto tan solemne. ——Comparación entre ¡os caminos ordinarios, los de hierro y los canales de navegación, Después de un intermedio de música el Sr. D- Antonino de Pineda y Bar- Hecha por M. P. S. Girard, ingeniero en gefe de puentes y calzadas de Francia. Tra rayan , canónigo de la colegiata de nuestro Salvador, y secretario perpetuo de ducida al castellano con algunas notas, haciendo aplicaciones á España, por D» Fran cisco Javier Barra, iuteodente honorario de proviucia; impr…</t>
  </si>
  <si>
    <t>Hechas, D Miguel</t>
  </si>
  <si>
    <t>D Miguel Hechas</t>
  </si>
  <si>
    <t>…se formarán tres ejemplares originales para el general del mayores de los 752 que comprende el sorteo de este dia, inclusas las dot ejercito español, y otros tantos para el comandante en gefe de la brigada del aproximaciones. del Sr. D. Miguel. Hechas y acordadas en el cuartel general de Portalegre á 24 NÚMEROS. FRBHIOS. ADXKKISTBAcrONBa. de Mavo de lo.v¡..—José Ramón Rodil.—Felipe Neri de Souza Cavciro, co ronel del regimiento de milicias de V¡llavíciosá.i=FrancUco Correia Mariscal de Abuins, teniente coróne! graduado del regimiento 13.=Antonio F…</t>
  </si>
  <si>
    <t>Hechas, Miguel</t>
  </si>
  <si>
    <t>Miguel Hechas</t>
  </si>
  <si>
    <t>…ormarán tres ejemplares originales para el general del mayores de los 752 que comprende el sorteo de este dia, inclusas las dot ejercito español, y otros tantos para el comandante en gefe de la brigada del aproximaciones. del Sr. D. Miguel. Hechas y acordadas en el cuartel general de Portalegre á 24 NÚMEROS. FRBHIOS. ADXKKISTBAcrONBa. de Mavo de lo.v¡..—José Ramón Rodil.—Felipe Neri de Souza Cavciro, co ronel del regimiento de milicias de V¡llavíciosá.i=FrancUco Correia Mariscal de Abuins, teniente coróne! graduado del regimiento 13.=Antonio F…</t>
  </si>
  <si>
    <t>Hedrek</t>
  </si>
  <si>
    <t>…Sesma, y todos se disponen á partir en breve. acontecimiento en que se libran tantas esperanzas. Aqui se hace justicia al ta lento de M. Abel y á la actividad de M. Maurer; pero se opina generalmente que estos dos políticos y el general Hedrek no han conocido bien el país ni la situación en que se halla. Particularmente con respecto al general se nota que ESPAÑA. ademas de su indiferencia é inacción tiene demasiado odio i todo lo que es na Madrid 2 de Oitubre, cional y militar. Esto es lo que él llama el sistema de los palicares. A él se…</t>
  </si>
  <si>
    <t>Heidecksiguesiempreenfermo'</t>
  </si>
  <si>
    <t>…..... 593,08® ra yiAe, lo hacerte r le aconapa fiarán i Atenas. £1 conde de Armanspeig y «1 consejero de -Estado ds KobclJ se han trasladado á aquella ciudad en Ja fea— Total.... ... 630,000al «fio. jlfa'ínglcsa la MaJagaicar. El general Heidecksiguesiempreenfermo', y loe Con respecto al ■timbre hay en el trimestre dan disminución dj^^ftSbas, médicos le han prohibido que viaje. Reinan muchas calentares en Atenas. que se explica bástante por la abolición del derccho'Sobre los almanaques. Los principales cabezas de la rebelión del Peloponeso han sido presos to-…</t>
  </si>
  <si>
    <t>Heidiger.que</t>
  </si>
  <si>
    <t>…irschot y Eyndhoven, adonde los holandeses han enviado 60 pie prometerse. ¡Será el altar? Menos; recuerda una alianza que le ha zas de canon, sirvieron durante la campaña de Amberes de cuartel sido funesta. general, el primero al general Heidiger.que mandaba la reserva, y «La carta de 1814, de que durante cifcrto tiempo se hatjia heet segundo al general Meyer,que mandaba la 13.a división del ejér 1 cho una máscara, no se atreve ya á invocarla ni á sostener ningu cito. El mismo periódico dice que el Handesblad, diario de Ams- no de sus antiguos…</t>
  </si>
  <si>
    <t>Helena, Carolina Teresa</t>
  </si>
  <si>
    <t>Carolina Teresa Helena</t>
  </si>
  <si>
    <t>…de los raifazays, nistro plenipotenciario de.S, M. el Rey de Baviera, ba entregado al Rey en de que le ha presentado un modélico de yeso M. Fournel. audiencia particular, jas cartas en que anpel. Je participa el nacimiento de la princesa Carolina Teresa Helena, hija de SÍ, A, el duque Maximiliano y de S.A. R. la princesa,Luisa de Baviera., , Inmediatamente después el caballero de Abreu y Lima, enviado extraordi nario y ministro plépipotenciario deS. M.la Reina de Portugal, ha presen ESPAÑA. tado aj Rey l^s cartas que le acreditan en calidad de tal cerca…</t>
  </si>
  <si>
    <t>Hemos</t>
  </si>
  <si>
    <t>…s ai de cualquier otro que salgi agraciado! ¡Y no es verdad que este como cristianos. juicio acusador se repetirá tantas veces cuantos fueren los casos de exclusión! Para el logro de esta expedición, el citado comandante de amias Don Hemos, dicho muchas veces, y lo diremos siempre, porque nos lo inspira la Miguel Marín hizo salir dos partidas de su destacamento al mando de los sub conciencia, que la imparcialidad es nuestra divira. Arnicas enim l'lsto, sed tenientes del propio cuerpo D. Miguel de Vargas y D. José Machad 1 á las trwgi…</t>
  </si>
  <si>
    <t>Hemos, Juan</t>
  </si>
  <si>
    <t>Juan Hemos</t>
  </si>
  <si>
    <t>…do se han Ortiz, regidor 2.°icCasimifo de Dueñas, "regidor 3.°=Juan de la'Vega, regí- . dirigido varios correos al general Rosas para que active y apresure su regreso. | dor 4s&lt;%=Francisco de Lunar y Villanoua, procurador síndico general.=Juan Hemos recibido estas noticias por el comercio de Rio-Janeiro.,,, (Courier.)’ Martin, procurador personer&lt;x=Juan Fontelos , diputado 2.°=rJosef Gómez de - Segun noticias de Veracruz el diputado de la república de Méjico Zavala «^secretario. va de encargado de Negocios á Francia , y según dicen lleva misió…</t>
  </si>
  <si>
    <t>Henares, Eduardo</t>
  </si>
  <si>
    <t>Eduardo Henares</t>
  </si>
  <si>
    <t>…: 1.a temporada desde 15 de La isla de Lamoedusa.......................................... .. Idem. Abril á 15 de Junio: 2.a desde 15 de Julio á 15 de Setiembre. Los puertos deí imperio ruso bañados por el marl ,. , . Carratraea, D. Eduardo Henares, en Granada: desde 25 de Junio i 20 Negro y el de Azof.............................................}Idem * provisionalmentede Setiembre. La Nueva-Orleans y el Mississipí............................. Idem Idem. Graena. . D. Juan Alix, los Santos: 1.a temporada desde 1.® i fin de Ju Méjico. .........…</t>
  </si>
  <si>
    <t>Henc</t>
  </si>
  <si>
    <t>…l 4.0 y Ultimo lomo de la tliulatU.el S-rimogcnisa tk alltniqacrcitc adr. rimenta 1, qu imica, mineralogía, ó se Hallen adelantados en el dibujo serán laot.r el importe del y.° de la colección, y i.° de la a.“ novela el Dokce, de D. Henc preferidos en .igualdad dé las deiyias circunstancias. rique el Doliente, por D. Mariano Josef de Larra, a la librería de Escantilla. En 1* misma se halla, veoal la nomioada el JtrimogánUa aa -jgtoiirqunrque a 31 rs. ctrriísrTcy Lo6 examenes coménzafán í principios de Abril próximo, y las personas…</t>
  </si>
  <si>
    <t>Henri, Facundo</t>
  </si>
  <si>
    <t>Facundo Henri</t>
  </si>
  <si>
    <t>…sten interesarse El capitán general de Cataluña en 26 del anterior, refiriéndose al parte del en ella, acudan á la dirección de la referida Real cabaña, sita en Palacio en el bizarro capitán de la compañía de cazadores de América D. Facundo Henri- loca! que ocupa la de Reales Encomiendas, el dia 7-del presente mes dft Ma quez, comunica á este ministerio haber sido completamente batida la facción yo, á la una y media de la tarde, en que se celebrará el remate. que con el Ros de Eroíes se había formado de mas de 200 hombres, restos de otras ga…</t>
  </si>
  <si>
    <t>Henri, Ricardo Joaquín</t>
  </si>
  <si>
    <t>Ricardo Joaquín Henri</t>
  </si>
  <si>
    <t>…camino de Bercedo, Albacete á D. Valentín Capitán: la de oficial 2? de la principal de Manza cuya disposición dure ínterin la urgencia de tete servicio extraordinaria. nares á D. José Sánchez Sandino r y la de 3.° de la de Lago i D. Ricardo Joaquín Henri, todos cesantes del ramo. Por otra de igual fecha se ha aprobado asimismo el establecimiento do una carrera entre Albacete é Infantes para la comunicación de las provincia* Habiendo tenido á bien S. M. conceder á D. Vicente Castro y Lamas la de Albacete y Ciudad-Real con el producto del sobreporte…</t>
  </si>
  <si>
    <t>Henrique</t>
  </si>
  <si>
    <t>…hacen conveniente. 'Va"librería de Escantilla, donde sigue abierta la soccripcloa, y Je haHap venales las'dos novelas el Primogénito de Jtlburquerqué, y el Doncel ie . De este modo se conservaría la esencia de la institución, sin D. Henrique el Doliente, 4'3» rs.'en rústica cada una, y 40 en pasta,y que se inutilizasen los recursos que prometen á la causa de la Rei 4 36 en las provincias, en rústica, . . .. na y de la patria hombres valerosos y enérgicos, mas deseosos dé ----- Manual de los niños, ó eñsefianza práctica de lectura .por…</t>
  </si>
  <si>
    <t>…menos la justicia de dudar; pero los demas se hallan auto Henrique 11 en su provisión dada en la misma ciudad de Valiadolid á 8 de rizados para censurar con mas ó menos indulgencia, según el carácter y prin Febrero, era de I4IÓ; D. Henrique m en la suya de l.° de Jubo de 14&lt;Jl; cipios de cada cual , las contradicciones, equivocaciones é inexactitudes en lo D. Juan 11 en su carta de S de Setiembre de 1421 * J los mismos Reyes Ca redactado é impreso como producción mía. Triste cesa es hallarse tanto en tólicos en la que dieron en Sevill…</t>
  </si>
  <si>
    <t>…os históricas or.gioales espaha-ax, se ser7 aceite, 4 46 rs. arroba. vlrán pasar 4 recoger el 6.° tomo de dicha colección y z.° d'- la nove-a el Doncel de Zaragoza. Trigo, 4 14 rs. fanega: cebada, 4 6 id.: vino , á 5 rs. eantaro: D. Henrique el Dosiénte, por D. Mariano Josef de Lnfra, y adelantar e( importe der aceite, á ¿n n. arroba. i la librería de Escamilfa Sigue abierta ia suscripáoa eu M:«dr)d a 6 ti. ruróory Los campos empiezan 4 mejorarse á beneficio de algunas lluvias. 7 en las pro vi ocias. La primera novela el Primogénita de…</t>
  </si>
  <si>
    <t>…stra del estilo, siempre Descuento de letras á 4 p. 100 al alio. animado, pero con modestia; siempre elegante, pero con sencillez, Cual requieren las obras históricas, copiaremos solamente dos pasages. El primero es el retrato de D. Henrique iv, llamado el im ANUNCIOS. potente, hijo de D. Juan ir. «Jamas hubo educación mas mala, ó por mejor decir, mas abandonada, que la del malhadado Henrique iv. Obras que se hallan de venta en el desfacho de la imprenta Real. Entregado para la instrucción á uji fraile ignorante que nada le po Poesías…</t>
  </si>
  <si>
    <t>Henriquez, Francisco María</t>
  </si>
  <si>
    <t>Francisco María Henriquez</t>
  </si>
  <si>
    <t>…González Olmedo, son cabeza de Partido, según la División judicial aproliada jor S. M. fiscal de la misma, á D. José Faleon y Falcon, á D. Vicente Mar en Real decreto Je 21 de Abril próximo pasado: y en los Partidos tin Gómez, á D. Francisco María Henriquez; y para la plaza de fis en cavas Capitales no existan aquellas cor¡&gt;oraoiones, á les Comi cal , á D. Felipe Suarez: y es mi voluntad, que cada uno de los mi sionados especiales, que deben presidir las elecciones conforme al nistros de este superior tribunal ociqie el asiento que le corresponda artí…</t>
  </si>
  <si>
    <t>Henriqut</t>
  </si>
  <si>
    <t>…illa. ca de la desgracia^ pérdida de España , la descripción de la monarquía: de ¿Astu lle de Carretas, donde sigue abierta la.suscripción, y se dan en venta, súbita;las,dna novelas El primogénito de Albur peer que, y El doncelde D. Henriqut eljboiiante, y rias, y los anuncios de la gloria futura de la nación; anuncios y recuerdos que '8 rs. cada tólnó en rústica y 10 én ,parta:' " Valbuena no olvida^ todo-esto-hubiera bastado para formar un poema excelen r——Los Miscríptorts 4 los Nanos pélete!pias de ocemtssid- folitica,1',Tó dé l*Vig…</t>
  </si>
  <si>
    <t>Henrlque</t>
  </si>
  <si>
    <t>…e ladehistoriaS. Isidro.deiTomoP. Marianavhi» queconcomprendenotas del editor;los librosuna reunión de los dispersos, he dispuesto que la guarnición de Covarrubtes cubra tabla cronológica de los Reyes de Castilla y de León, de&lt;fe D. Henrlque it hasta la él.piutto de Retuerta, y la de Puente Dura el de Torduelles, mientras que mi muértedeD. Henrique tv,yun largo y cxcelentedtscorso cuque se tocan muchas co columna dividida en secciones batirá todos los montes inmediatos. Lo que digo sas importantes y curiosas acerca delanrigútrGobierno…</t>
  </si>
  <si>
    <t>Hente, Vicepre</t>
  </si>
  <si>
    <t>Vicepre Hente</t>
  </si>
  <si>
    <t>…umplir aquí los dido la palabra el Sr. Domecq, se hizo presente por el Sr. Acevedo qwe no deberes de tales. Asi que, si el electo Procurador que ha ráerecido la confian ponía usar de ella estando ya hecha tal declaración: pero el Sr. Vicepre^Hente za de su provincia tiene las cualidades legales , que venga aquí; y si no quiere hizo leer el articulo 76 del reglamento, yj:oncedió la palabra pedida , dicien venir, tiene un camino abierto, que es el de no justificar su renta. De consi do en consecuencia guiente mi opinión es que se apruebe el di…</t>
  </si>
  <si>
    <t>Heorique</t>
  </si>
  <si>
    <t>…circunspección este asunto, y como acaba de decir el Sr. marques de Navarra ; no ofrece en su historia muchos ejemplos de su abierta contradicción Falces, con seriedad impasible. con lo que ahora defiende ? Doña J uana i, hija de D. Heorique, sucedió al tro Nada diré en punto á derechos , porque cuento con la franqueza y liber no de aquel reino en 1274= Juana n reinó en 1328- En fin, doña Catalina tad de la discusión; y espero que ella m&gt;sma demostrará lo absurdo de cuantas ciñó Ta corona por la temprana muerte de su hermano; y aunque…</t>
  </si>
  <si>
    <t>Hepedido, Medrami</t>
  </si>
  <si>
    <t>Medrami Hepedido</t>
  </si>
  <si>
    <t>…y por lo tanto el*Estamento debe aprobar Ja adición El Sr, Cuesta: «Lo que yo niego es que se vote st la adición ha de pasar 1 que se ha propuesto.” * A no i la comisión pan que dé tú dictámen. Si se reduce la giesiion á catea El Sr. Medrami «Hepedido la palabra en contra dé la adición, enpri-, términos, convengo.* - mer lugar pofqóé la comidero redundante. El Sr. preopinante, a! apoyarla, ha</t>
  </si>
  <si>
    <t>Her, Eugenio Rufino</t>
  </si>
  <si>
    <t>Eugenio Rufino Her</t>
  </si>
  <si>
    <t>…illanue- de casos desgraciados; va de los Infmtesá D. Javier de Surga: para la de Morilla del Palancar á D. José María Serrano: para el corregimiento de Talayera de la Reina á Don Francisco de Paula Murciano: para el de Requena á D. Eugenio Rufino Her La empresa del canal de Aragón, deseosa de propagar el ramo de arbolado nández: para el de Andujar á D. Laureano Rojo de Norzagaray: para el de con arreglo á las órdenes de S. M., se halla con un crecido número de árboles Chinchilla á D. Benito Romero: para el de Verin á D. Buenaventura Olave: sobrant…</t>
  </si>
  <si>
    <t>Heras, Bernabé de las</t>
  </si>
  <si>
    <t>Bernabé de las Heras</t>
  </si>
  <si>
    <t>…tra fuerzas muy superiores, en terreno deivemafoso, y «Nuestra pérdida consiste en el espitan retirado D. Manuel de Iríbe, en el cual el soldado ha tenido que superar las mayores fatigas para acercarse a muerto; el de igual clase D. Bernabé de las Heras, herido gravemente sin es sus enemigos, parapetados entre las peñas y separados por las infinitas dificulta peranza de vida; el subteniente de=la Reina D. Luis Cornejo, gue recibió un des que presentaban estas. balazo en la mano izquierda y dos en la pierna del mismo lado, y que pro «El comandante…</t>
  </si>
  <si>
    <t>Herasprimer, Santiago de las</t>
  </si>
  <si>
    <t>Santiago de las Herasprimer</t>
  </si>
  <si>
    <t>…en la suerte dp que sus triunfos sean de la mayor consecuencia por la muchísimos heridos. Hn dicho dja, según relaciop de Ida prisioneros, murie— calidad de las personas, que perecen, y los efectos morales que estas circunsron el coronel Santiago de las Herasprimer comandante del primer ba- tandas producen. A la muerte de Areitio, Salazar y otros geFes y oficiales en ■tallón de, AUva, Basilio García, comandante de Castilla, y Antonio Aguir- la Molina, se lia seguido la del comandante Las Heras, uno de los m^s vaTé, segundo comandante del 2.° batallón de Alava…</t>
  </si>
  <si>
    <t>Herat</t>
  </si>
  <si>
    <t>…xl: Entonces In sorprendió la muerte^ Un padre de familia que administra su caudal y hace productivos sin que llegase á verificar sus proyectos. La distancia de Tauris a sus bienes, que educa bien sus hijos: este es ocioso. (Risa general.) Herat es igual á la que media entre Herat y Pischaver, límite de lY por qué? Porque no trabaja por sus propias manos, ó porque la India inglesa: habia pasado el desierto, y después de Cabul no no hace...... que se yo que—.. libros, artículos para periódicos. hallaría ningún obstáculo natural. La presenci…</t>
  </si>
  <si>
    <t>Herbiu-Dessaux</t>
  </si>
  <si>
    <t>…uilidad pública en la frontera de Ja Suiza del lado do bles. J.os que se escaparon vinieron i perecer por las balas, y en las bayonetas la Saboya, han,adoptado, independientemente de toda influencia extranjera y de los zuavos. El capitán Herbiu-Dessaux, qye mandaba el escuadrón de caza antes de dar lugar á ninguna intervención diplomática, las medidas necesarias dores, se ha pprtado como un diestro caudillo y un tildado intrépido. El te para repelerpor,una parte, un ataque á mano armada contra estos países, con niente coronel Duvivier, que concib…</t>
  </si>
  <si>
    <t>Heredera</t>
  </si>
  <si>
    <t>…ón en decir á cada paso que la Nación no tiene recursos ríe ría de la comisión-, convendría señalar una cuota para la augusta hermana de ninguna sueite; esto no es cierto, y tratamos de aumentarlos. Y acordémonos la Reina nuestra Señora . Heredera actual de la cotona, para quien ningún i can que apenas ha habido época en que se haya pagado con mas puntualidad y se tidad queda fijada; y á mi entender-la cuota podría ser dos millones de reales, haya ocurrido mejor á las necesidades del Estado; en especial, si atendemos á los que habría en tal…</t>
  </si>
  <si>
    <t>Heredia</t>
  </si>
  <si>
    <t>…opas para Noya.' (el ayuntamiento de) destruir el gobierno, y de otro lado el general Aramburu iba á oponerse á Fi Peñaranda de Bracamonte. (el alcalde mayor y ayuntamiento de) gueroa con la milicia que tenia á su disposición. El Sr. Heredia, gobernador Pedro Manrique y los 25 pueblos de su jurisdicción, (el ayuntamiento de) de Tucuman, trató de conciliar á estos dos rivales de intenciones tan diferen Pueblü de Cazalla. (el alcalde major y ayuntamiento de la) tes; pero su mediación no ha surtido efecto. Posteriormente algunos gefes adi…</t>
  </si>
  <si>
    <t>Heredia, Antonio</t>
  </si>
  <si>
    <t>Antonio Heredia</t>
  </si>
  <si>
    <t>…l audiencia de Granada, ven Íelfy, se encargue interinamente de la Secfetaría del Despacho del go en nombrar, por la clase de oidores, á D. Manuel José de V il- "omento. r± Está rubricado de lá Real mano. = Aranjuez 17 de ches; á D. Antonio Heredia; á D. Lorenzo María Ferreras; á Don Abril de 1834—A D. Francisco Martínez de la Rosa, Presiden Mariano de la fuente; á D. Fernando López de Sagredo, qüc ac te del Consejo de Ministros. tualmente lo soh de la misma; á D. José Vecino/ fiscal de k&gt; ci vil dé la audiencia de Búrgos, y á D. José López d…</t>
  </si>
  <si>
    <t>Heredia, D Pablo</t>
  </si>
  <si>
    <t>D Pablo Heredia</t>
  </si>
  <si>
    <t>…a plaza de Santarem produjo en ÍROVINCIA DB WOMtQÁI fermedades que costaron la vida á millares de personas: las intrigas se aumenr Sr. D. Pablo Santafé. yaron jtn ciréoto-, y los hombres sensatos fueren mirados como sospechosos y Sr. D. Pablo Heredia. de. mal agüero En una palabra, todo se convirtió en un caos de confusión, ad- Sr. D. Alejandro Naya, barón de Alcali. nmánd-isc J&lt;s hombres mas juiciosos del partido miguelista de que aquella máquim desconcertada no hubiesevenido antes á tierra. . provincia os uso*. Las consecuencias son bien conocidas…</t>
  </si>
  <si>
    <t>…. Ramón de Madrid lñ de Agosto de 1834-r=Permin Caballero-czCctnde, de las Navas.cn Llano y Chavarri, electo Procurador por la provincia de Barcelona , y los Antonio Gonzalez.s=Miguel Chacon.=TeIcsforo de Trueba Cosío.=Rufino del Sr. D. Pablo Heredia , ídem por Huesca, como asimismo los documentos García Carrascoc^Manuel de Pedro—Javier de Ulloa~Fernando de Eutron.cn justificativos que los acompañan, opinaba debian aprobarse por estar confor Pedro Alcalá Zamora.ncjoaquin Cáceres.cnFrancisco Diez Gonzalez.ncFranmes á lo prevenido sobre este part…</t>
  </si>
  <si>
    <t>Heredia, Pablo</t>
  </si>
  <si>
    <t>Pablo Heredia</t>
  </si>
  <si>
    <t>…aza de Santarem produjo en ÍROVINCIA DB WOMtQÁI fermedades que costaron la vida á millares de personas: las intrigas se aumenr Sr. D. Pablo Santafé. yaron jtn ciréoto-, y los hombres sensatos fueren mirados como sospechosos y Sr. D. Pablo Heredia. de. mal agüero En una palabra, todo se convirtió en un caos de confusión, ad- Sr. D. Alejandro Naya, barón de Alcali. nmánd-isc J&lt;s hombres mas juiciosos del partido miguelista de que aquella máquim desconcertada no hubiesevenido antes á tierra. . provincia os uso*. Las consecuencias son bien conocidas…</t>
  </si>
  <si>
    <t>…r en los negocios decano i De Manuel Mhrú de Ácevedo , y para secretario á D. Angel Polo y Monje. ’ &gt;• -■ ; ■ «Esta ilustre corporación dijo que estaba de acuerdo en cuanto al punto Se pasaron á la comisión de Poderes los del Sr- D. Pablo Heredia, electo -principal; pero que notaba la poca instrucción del expediente, y que era preciProcurador por la provincia de Huesca- _ ’ v. . ' V *P “darle mas amplitud* En esta situación creyó el ministerio que era necesario Igualmente pasó a la misma comisión una solicitud del Sr. marques'de (entraren o…</t>
  </si>
  <si>
    <t>…món de Madrid lñ de Agosto de 1834-r=Permin Caballero-czCctnde, de las Navas.cn Llano y Chavarri, electo Procurador por la provincia de Barcelona , y los Antonio Gonzalez.s=Miguel Chacon.=TeIcsforo de Trueba Cosío.=Rufino del Sr. D. Pablo Heredia , ídem por Huesca, como asimismo los documentos García Carrascoc^Manuel de Pedro—Javier de Ulloa~Fernando de Eutron.cn justificativos que los acompañan, opinaba debian aprobarse por estar confor Pedro Alcalá Zamora.ncjoaquin Cáceres.cnFrancisco Diez Gonzalez.ncFranmes á lo prevenido sobre este part…</t>
  </si>
  <si>
    <t>Herían, José Rivero de la</t>
  </si>
  <si>
    <t>José Rivero de la Herían</t>
  </si>
  <si>
    <t>…s mismos regimientos con sus resulta». PROVINCIA DB SALAMANCA. (Id.) Real decreto concediendo honores de ministro togado de la Rea! audiencia de En oficios de 23 y 27 del presente avisa el gobernador civil que el día 2f Sevilla á D. José Rivero de la Herían. (Id.) se manifestó ¿1 cólera en aquella capital; que al punto se abrieron los dos hos- .__ nombrando i varios ministros para la planta de la Real audiencia de „¡tales que ya estaban dispuestos, y al siguiente día se principió á habilitar Valladolid.(A«ó»i. 179.) el 3 o, que en el Siguiente empezó á…</t>
  </si>
  <si>
    <t>…s mismos regimientos con sus resulta». PROVINCIA DB SALAMANCA. (Id.) Real decreto concediendo honores de ministro togado de la Rea! audiencia de En oficios de 23 y 27 del presente avisa el gobernador civil que el dia 2f Sevilla á D. José Rivero de la Herían. (Id.) se manifestó ¿1 cólera en aquella capital; que al punto se abrieron los dos hos- .__ nombrando i varios ministros para la planta de la Real audiencia de „¡tales que ya estaban dispuestos, y al siguiente dia se principió á habilitar Valladolid.(A«ó»i. 179.) el 3 o, que en el Siguiente empezó á…</t>
  </si>
  <si>
    <t>Hermene</t>
  </si>
  <si>
    <t>…o venia la compañía de cazadores de Ciudad*Rodrigo, quien en mi concepto se ha he- pronto estaban perdidos. Este cabecilla iba también herido y llevaba dos jleguas ■ cho digno de una ‘particular atención ; el Réntente de la misma D. Hermene .del conde de Sta. Coloma, la una herida. Su dirección era a tos pinares, si las gildo Luengo, y todos los valientes sargentos, cabos, y soldados de esta compa -tropas dé Soria, adonde habían ido avisos anticipados, los han dejado pa ñía, y recomendados particularmente por su capitán, los cabos Manuel S…</t>
  </si>
  <si>
    <t>Hermenegildo, José</t>
  </si>
  <si>
    <t>José Hermenegildo</t>
  </si>
  <si>
    <t>…erpo; v el ESPAÑA. teniente dei 6° ligeros D. Luis Mailen: contusos, el anudante del 4.0 regi miento de Guardia Real D. José Mozurd; el teniente con grado de teniente Madrid i 0 de Octubre. coronel D. Julián Pordoy, y subteniente D. José Hermenegildo, del regi miento de Córdoba, y el ayudante de la plana mayor D. Ramón Corres, te Penetrado el Excmo. Sr. comisario general de C^ruzadá de cuánto interesa niente graduado dé capitán. La de tropa lo es cuatro soldados heridos v un á la moral, a la salud pública, á la decencia, y hasta el honor de est…</t>
  </si>
  <si>
    <t>Hermida, Manuel González</t>
  </si>
  <si>
    <t>Manuel González Hermida</t>
  </si>
  <si>
    <t>…o de darlas, contestó el vorort en 24 de Junio,; cuya contestación somete al mas antiguo de la Santa Iglesia metropolitana de Sevilla; al Doctor juicio de la Dieta, pues á ella sola toca decidir si es justa la queja, que se habia D. Manuel González Hermida, cardenal mayor de la catedral de dirigido contra la conducta del vorort. Santiago, auditor honorario de la Rota y administrador del semina- El Sr. presidente pregunta á la Dieta si la contestación del directorio será rio conéiliar; ál licenciado D. Ramón. Somoza, canónigo de la de Considerada como…</t>
  </si>
  <si>
    <t>Hermosa, D Fernando</t>
  </si>
  <si>
    <t>D Fernando Hermosa</t>
  </si>
  <si>
    <t>…del parte que dirigí á V. E. en 24 del actual he re reno Jo permitía por nuestra izquierda, 2u caballos de cazadores de la Guardia cibido varios avisos oficiales relativos á los movimiento* v operaciones de la Real, al mando del teniente D. Fernando Hermosa, sostenidos por oiro pi facción del cabecilla Barba , que apareció con 24 á 30 hombres en el término quete de 1S caballos del S.° ligero, al mando del alférez graduado de teniente de la ciudad de Montero , y de ellos rcsult3 que por la combinación Jiecha por D. Raimundo Hernández, y por una compañí…</t>
  </si>
  <si>
    <t>…ez D. José Lasala; el ellos causaba dicha enfermedad. sargento:2.° Jacinto Martínez, y soldado José Montero: de cazadores de la Guardia Real de caballería el coronel graduado, capitán D. Manuel Jacome, PROVINCIA DE VALENCIA. y el teniente D. Fernando Hermosa; del 6.a ligero de caballería el teniente —coronel graduado D-Juan García Tejida. Se recotTircnda itiruy particularmen Según parte de 4 del corriente en los cuatro primeros dias de este mes te al comisario habilitado D. Nicolás Mezquirez, cuyo comportamiento en curaron en la capital de esta provinc…</t>
  </si>
  <si>
    <t>Hermosa, Fernando</t>
  </si>
  <si>
    <t>Fernando Hermosa</t>
  </si>
  <si>
    <t>…e que dirigí á V. E. en 24 del actual he re reno Jo permitía por nuestra izquierda, 2u caballos de cazadores de la Guardia cibido varios avisos oficiales relativos á los movimiento* v operaciones de la Real, al mando del teniente D. Fernando Hermosa, sostenidos por oiro pi facción del cabecilla Barba , que apareció con 24 á 30 hombres en el término quete de 1S caballos del S.° ligero, al mando del alférez graduado de teniente de la ciudad de Montero , y de ellos rcsult3 que por la combinación Jiecha por D. Raimundo Hernández, y por una compañí…</t>
  </si>
  <si>
    <t>…é Lasala; el ellos causaba dicha enfermedad. sargento:2.° Jacinto Martínez, y soldado José Montero: de cazadores de la Guardia Real de caballería el coronel graduado, capitán D. Manuel Jacome, PROVINCIA DE VALENCIA. y el teniente D. Fernando Hermosa; del 6.a ligero de caballería el teniente —coronel graduado D-Juan García Tejida. Se recotTircnda itiruy particularmen Según parte de 4 del corriente en los cuatro primeros dias de este mes te al comisario habilitado D. Nicolás Mezquirez, cuyo comportamiento en curaron en la capital de esta provinc…</t>
  </si>
  <si>
    <t>Hermosa, Pedro Gómez</t>
  </si>
  <si>
    <t>Pedro Gómez Hermosa</t>
  </si>
  <si>
    <t>…tonio,MarAr*.- 4? Los juicios que se entablen después de publicad» la abo quez Osorio, á D. Jorge Martines, í D. Ramón López Vázquez; lición del Voto, á virtud de pactos ó convenios anteriores, se sus-/ para alcaldes del crimen á D. Pedro Gómez Hermosa, á D. Pedro fáticiárán en igual foVma áttte los mismas jtízgádos ordinarios com- Regalado López Montenegro, á D. Vicente Sandino, áD. Francisco Tames Hevia, á D. José María Pardo Montenegro; ¡y para fiscal á Los actuales individuos deí venerable cabildo de la Sáiita D. Juan Bravo Murillo. Tendréisl…</t>
  </si>
  <si>
    <t>Hermosllla, José Gómez</t>
  </si>
  <si>
    <t>José Gómez Hermosllla</t>
  </si>
  <si>
    <t>…con cejales para cumplir el Real decreto de 30 de Noviembre último. Obras que se hallan de venta en el despacha de la imprenta Real. En todo el mes de Mayo quedará realizada la construcción de Arte de hablar en prosa y verso, por D. José Gómez Hermosllla. alcantarillas en aquella capital, según se estipuló en presencia del Obra declarada de asignatura para las clases de humanidades. Dos tomos Sr. subdelegado en 24 del anterior. ep 4.°, edición de 1826 á 48 rs. pasta, 40 rústica y 38 rama. £1 autor se ha propuesto eu esta obra entresacar de los innum…</t>
  </si>
  <si>
    <t>Hernández</t>
  </si>
  <si>
    <t>…los preparativos y construyendo 500 vestuarios; pero lo usas singular es que todo se hace' con conocimiento de Pizarra Martínez, nuestro cónsul en aquel puerto. Parece que se pondrá á la. cabeza de esa expe ANUNCIOS. dición el ex-general Hernández.” (£7 Censor.) Madrid 6 ds Agosto. En la Gaceta número 162 se dió cuenta de la destrucción de la facción Obrm fu# st hallan de venta en eldescacho do la imprenta RoaL que se habia formado en los pueblos de Buendia, Sacedon, Poyos y el Real Deminic*», ferias y fiest*» movible» del año cristiano de Es…</t>
  </si>
  <si>
    <t>Hernández, Angel</t>
  </si>
  <si>
    <t>Angel Hernández</t>
  </si>
  <si>
    <t>…, para de este modo lograr todos los ma&gt;ores pro D. Andrés de Castro , D. Robustiano Pequeño, D. José Sánchez y D Ra ductos de este ramo, su mejor manejo y administración. Las dos subdelegacio món Tajoncra;-en trigonometría plana D. Angel Hernández, D. Miguel nes que había en esta establecidas en Ay amonte y dracena han quedado las Rúa , D. Francisco Villamil, D. Gervasio Araujo, y dichos D. Pablo Carcamismas, con la diferencia que desde l.° del corriente cada una ha de adminis fio, D. Andrés de Castro, D. Pedro y D. Robustiano Pequeño, D. Jo…</t>
  </si>
  <si>
    <t>Hernández, Raimundo</t>
  </si>
  <si>
    <t>Raimundo Hernández</t>
  </si>
  <si>
    <t>…ón del cabecilla Barba , que apareció con 24 á 30 hombres en el término quete de 1S caballos del S.° ligero, al mando del alférez graduado de teniente de la ciudad de Montero , y de ellos rcsult3 que por la combinación Jiecha por D. Raimundo Hernández, y por una compañía de granaderos provinciales que el teniente coronel D. Antonio Vhlderrama, según las instrucciones que le co lo estaba al del ayudante D. Ramón Luaces, que lo verificaron con mucho ar munique, se vieron cercados lo* facciosos, tanto por las tropas que lleva consi rojo y contribuy…</t>
  </si>
  <si>
    <t>Hernando, Crispar</t>
  </si>
  <si>
    <t>Crispar Hernando</t>
  </si>
  <si>
    <t>…por acuellas breñas sobre la facción, m# ellas se úna copia del presente decreto, y visto que el perdón que ch él se con causó el mayor placer. Todos son acreedores á las gracias que S. M. tensa ai v bien dispensarles. El capitán D. Crispar Hernando, que V. E. destinó á mis or*cede es conforme á la culpa, lo declararán asi, mandando sobreseer en la cau denes, me ha sido muy útil por sus conocimientos del terreno. El resultado desa, y procediendo en lo demas según en tales caros se practica. El ministro secretario de Estado de Negocios eclesiás…</t>
  </si>
  <si>
    <t>Hernando, D Crispar</t>
  </si>
  <si>
    <t>D Crispar Hernando</t>
  </si>
  <si>
    <t>…ojaron, por acuellas breñas sobre la facción, m# ellas se úna copia del presente decreto, y visto que el perdón que ch él se con causó el mayor placer. Todos son acreedores á las gracias que S. M. tensa ai v bien dispensarles. El capitán D. Crispar Hernando, que V. E. destinó á mis or*cede es conforme á la culpa, lo declararán asi, mandando sobreseer en la cau denes, me ha sido muy útil por sus conocimientos del terreno. El resultado desa, y procediendo en lo demas según en tales caros se practica. El ministro secretario de Estado de Negocios eclesiás…</t>
  </si>
  <si>
    <t>Hernando, Gaspar</t>
  </si>
  <si>
    <t>Gaspar Hernando</t>
  </si>
  <si>
    <t>…la obra del mis cias hasta 2ü hombres montados, es perseguido de cerca por el te mo autor, titulada Gramátiea-riniptico-francera-cartellana. Un cuader- no en 4.0, edición de 1834, i 10 rs. ea rústica. Por el método de esta niente D. Gaspar Hernando en la dirección de las Peñas de Amaya. gramática se enseúa en xo lecciones de una hora cada una y sin maes Con estas disposiciones y con el auxilio de las tropas y artille tro, el sooido, valor y empleo de los signos del pensamiento, y de con ría , cuya acelerada marcha me avisa el Excmo. Sr. capit…</t>
  </si>
  <si>
    <t>Hernando, Oaspar</t>
  </si>
  <si>
    <t>Oaspar Hernando</t>
  </si>
  <si>
    <t>…silloo, presbítero , de la congregación recomienda el zelo del alférez del escuadrón ligero de Madrid D. Juan de la del Oratorio, uno de los cuarenta de la academia Ira ocesa , y obispo de Clermont, Torre, y del teniente retirado D. Oaspar Hernando, que fueron los encargados adviento,traducidos cuaresma,ai español diferentespor el F. DpanegíricosPedro Diaz, deconferenciasGuereflu: eclesiásticas,contiene los sermonesla paráfrasisde-H de aquella comisión, que desempeñaron debidamente, ahuyentando toda aque de algunos salmos y muchos discursos s…</t>
  </si>
  <si>
    <t>Heros, D Nicolás de los</t>
  </si>
  <si>
    <t>D Nicolás de los Heros</t>
  </si>
  <si>
    <t>…decreto de 18 de Mayo último sobre el establecimiento de socie mé Dámaso de Rojas, fundados eu el convento de S. Cayetano de esta corte. dades económicas me proporciona los medtos de mejorar la enseñanza de esta Los herederos del Sr. D. Nicolás de los Heros, regidor que fue de esta provincia, de fomentar la agricultura y de estimular los rames de industria que M. H. V.' . posee, y de promover ios mas adecuados al suelo y genio de sus habitantes con Eí Sr, marques de Ameba,como heredero de la Sra. marquesa de Villa- la erección de tres sociedades, una…</t>
  </si>
  <si>
    <t>Heros, Nicolás de los</t>
  </si>
  <si>
    <t>Nicolás de los Heros</t>
  </si>
  <si>
    <t>…eto de 18 de Mayo último sobre el establecimiento de socie mé Dámaso de Rojas, fundados eu el convento de S. Cayetano de esta corte. dades económicas me proporciona los medtos de mejorar la enseñanza de esta Los herederos del Sr. D. Nicolás de los Heros, regidor que fue de esta provincia, de fomentar la agricultura y de estimular los rames de industria que M. H. V.' . posee, y de promover ios mas adecuados al suelo y genio de sus habitantes con Eí Sr, marques de Ameba,como heredero de la Sra. marquesa de Villa- la erección de tres sociedades, una…</t>
  </si>
  <si>
    <t>Herrainz, Afanado</t>
  </si>
  <si>
    <t>Afanado Herrainz</t>
  </si>
  <si>
    <t>…regencias de Tónez, Trípoli y Ar- 1. de Jumo í fin de Setiembre, aunque pueden usarse con utilidad en cual quiera tiempo del año. §”» ? da lo* puertos sujetos al actual gobierno griego, deben llevar certifica-* „ ,&amp;laZ 4f cfbras. D. Afanado Herrainz, en Cuenca: desde 15 ke Junio á . dr cónsul de S. M. residente en ellos ,*que pueda reemplazar U patente sa 15 de Setiembre, nitaria, y tenga Ja declaración exigida por lo» artículos 18,19 y 20 del re glamento unitario. 1</t>
  </si>
  <si>
    <t>Herran, Ramón</t>
  </si>
  <si>
    <t>Ramón Herran</t>
  </si>
  <si>
    <t>…do alcalde ma En la extracción celebrada en el dia de hoy han salido agraciados l:L nfiyor los sugetos que mas parte habían tenido en aquella jornada , añadiendo, que tueros siguientes: han sobresalido en ella el capitán retirado D. Ramón Herran, el escribano del 27 , 3 , 77, 88 y 9. ayuntamiento D. Juan de la Lomba, el cura párroco del pueblo de Lierganes D. Jo é Gómez, que con ios oficiales retirados D. Vicente de la Torriente y El premio de 2500 rs. vn. concedido en cada extracción á las huérfanas D. Diego del Camino, D. Manuel Pendo, D…</t>
  </si>
  <si>
    <t>Herre, Manuel García</t>
  </si>
  <si>
    <t>Manuel García Herre</t>
  </si>
  <si>
    <t>…incipado® ha concluido. El genera! I£i&amp;seíe£^ de parte interesada, para que sea efectiva en todos los casos que se presidente, ha partido para Petcrsburgo» y el barbo.,Lowenstern, vicepresi señalen.' Y nombro para esta comisión á D. Manuel García Herre dente, ha manifestado al dirán que cesa ea stis funcÍQiacs* El nuevo hospodar, ros, del consejo Rea] en la sección de Gracia y Justicia; á D. José Aejmdro Ghika, ha ido á ConstantinopU acampanado de su hermano Cons— María Calatrava, ministro del tribunal supremo de España é Indias; lamino y de much…</t>
  </si>
  <si>
    <t>Herrera</t>
  </si>
  <si>
    <t>…uiridas por el comandante del fuerte, posteriores al parte que anticipé á V. E. me el comandante del fuerte sobre sus movimientos: mandé simultáneamente la noche del 28 , el número de los rebeldes no bajaba de hombres, que for al brigadier Herrera, que cubría la retaguardia aquel dia, se quedase en Iruri- maban el S.° y 6.° batallón de Navarra, dos compañías de guias, li escolta ta con dos batallones en posición sobre el camino de hantesteban para obser de la junta, algunos destacamentos sueltos mandados por Ibarrola y Lans,° y var las fuerz…</t>
  </si>
  <si>
    <t>…al jardíttBtíiáftlÉíó Dicho comandante general de Búrgos, en vista del anterior de esta corte desde el lunes 21 déj, ¿órnente á las cincb de l&amp;taiídcr parte, no puede menos de recomendar á S. M. la Reina Gober nadora al expresado capitán Herrera por su actividad y decisión, ¿ cargo del vkeprofesor de botánica D. José Alonso Quintaníllaí de que le tiene dadas pruebas. MOLSa de cou-BActa.~—Cotizac!oft,de hoy á las tres dt id tardé. Extracto del parte dado por el subdelegado del Fomento de la xFictos Públicos. provincia de Murcia D. José Muss…</t>
  </si>
  <si>
    <t>…y desmenuzar unos Calemos tan nuevos, tan delicados y de tanta com Al manifestar la utilidad particular que resultara á esta isla de publicar plicación , tratara de un modo no común y con la claridad que exigen los do la obra del Sr. Herrera, no queremos en manera alguna dar á entender que los mas puntas sobre que versan en general las obras de agrimensura. conocimientos que en ella se presentan sirvan solo para los que deben dedicarse jLa ciencia del cálculo es una escarpada roca cuya subida presenta por to á la agrimensura en este pa…</t>
  </si>
  <si>
    <t>Herrera, Andrés</t>
  </si>
  <si>
    <t>Andrés Herrera</t>
  </si>
  <si>
    <t>…completamente al mismo tiem Traducción del francés al castellano, en 5 tomos en 4*°* edición de 1791 y 94 £ po que los cazadores del 12 de línea con su capitán Solano, los del 6.° á las 105 rs- vn. y 80 en ruina. órdenes del suyo D. Andrés Herrera, y el subteniente Lagera , acometieron -------Anales eclesiásticos y seculares de la muy noble y muy leal ciudad de Sevilla, metrópoli de la Andalucía, quecontienen sus mas principales memorias desde el ano por Jos flancos, y yo á la cabeza de unos pocos caballos me dirigí por la iz de 1246, en que…</t>
  </si>
  <si>
    <t>Herrera, D Manuel de la Kiva</t>
  </si>
  <si>
    <t>D Manuel de la Kiva Herrera</t>
  </si>
  <si>
    <t>…dpi Gob iernn fuese preciso'facerlo; que ensdiclM primera y i También se aprobaron i propuesta de dicha coovstón los documentos presesión'liq.t|iBtrt y ¡resolvería eldictámen dé la comisión quequed.b¿pendien-4», -lentados por el Sr. D. Manuel de la Kiva Herrera , Procurador'pórBúgoi te, y levantó la sesión, adviniendo que se avisaría i los Sres. Pióceres el día por igual razón. — vn que dehu reunirse el Estamento. La misma comisión, . informada de las circunstancias y en vista de los poderes del Sr. D. Jacinto Romarate , electo por la provincia de Vizcaya…</t>
  </si>
  <si>
    <t>Herrera, Desiderio</t>
  </si>
  <si>
    <t>Desiderio Herrera</t>
  </si>
  <si>
    <t>…curiosktadcs dp' la- ciencia tcndrim la satisfacción de ver Una preciosa fór Jeconclaye el artículo del tratado completo de atgrfmensura, tiento .por mula: inventada porél pará hallar de un golpe el área de un polígono, habido , D. Desiderio Herrera, profesor de•. matemática!, agrimensor público y de . es que no há podido nadie ¿asta, hoy robar este secreto á la ciencia ,_acaso por Real ¿[atienda érc—Obra/inédita. no habeise dedrcadó á su investigación los' hércules dé las matemáticas. Tam poco «s'ignorado que la triangulación es circunstancia…</t>
  </si>
  <si>
    <t>Herrera, Fernando</t>
  </si>
  <si>
    <t>Fernando Herrera</t>
  </si>
  <si>
    <t>…ada y paja Camino, D. Gregorio Salines, D. Uomingo RodriguCa, D, Sebastian Luzon j&gt;,.Jaiine pa,a tos caballos rstontes y {gaseuntes en Ja demarcación militar de la capitanía ¡jer-i:- I&gt;.,t. D. Vicente Salbey, D. Manuel BJazquez , D. Fernando Herrera , Uommgo Lcoral la Nueva. Se han señalado para el sulo y único rema te L-1 di a 1.1 del pró paris, Juan Sala, Doña'Marra Josefa Moreno, y i los hijos menores de D. Alonso ximo níés de Julio' í 1 as drice dé su mañana en los estrados dé la Ordenación de dieha T(irres, y ¿n el caso que alguno de esto…</t>
  </si>
  <si>
    <t>Herrera, Francisco de Paula</t>
  </si>
  <si>
    <t>Francisco de Paula Herrera</t>
  </si>
  <si>
    <t>…edro Jacobo Pizarro, para su reemplazo, y la circunstancia de ser soldados hechos casi fiscal electo del crimen de la de Sevilla; á D. Joaquín Beneito y todos los individuos que se empeñan en él, produce la ventaja de Beneito y á D. Francisco de Paula Herrera; y en clase de fiscales, que esta tropa pueda servir y batirse desde el dia que principia ¿ para lo civil á D. Demetrio Ortiz, que actualmente sirve esta pla- pagarla el Estado; ventaji importantísima que ha tenida S. M. á ja-, y para lo criminal á D. José Huet. Y es mi voluntad que ca«la la vista…</t>
  </si>
  <si>
    <t>Herrera, José</t>
  </si>
  <si>
    <t>José Herrera</t>
  </si>
  <si>
    <t>…Búrgos con la misma fecha del 14 trada en la sierra; pues van en el peor estado. =Lo que pongo en dice á este ministerio lo que sigue Excmo. Sr.: El capitán graduaconocimiento de V. E. á fin de que tome las medidas que crea . do D. José Herrera desde Paubles del Agua con fecha de ayer oportunas para el logro de su captura, é impedirles el paso; de me da el siguiente parte; biendo advertir á V. E, que á estas horas dicho comandante Leto «Son las tres de la tarde de este dia, y tengo la satisfacción de na, con una partida de urbanos de caba…</t>
  </si>
  <si>
    <t>Herrera, Manuel de la Kiva</t>
  </si>
  <si>
    <t>Manuel de la Kiva Herrera</t>
  </si>
  <si>
    <t>…Gob iernn fuese preciso'facerlo; que ensdiclM primera y i También se aprobaron i propuesta de dicha coovstón los documentos presesión'liq.t|iBtrt y ¡resolvería eldictámen dé la comisión quequed.b¿pendien-4», -lentados por el Sr. D. Manuel de la Kiva Herrera , Procurador'pórBúgoi te, y levantó la sesión, adviniendo que se avisaría i los Sres. Pióceres el día por igual razón. — vn que dehu reunirse el Estamento. La misma comisión, . informada de las circunstancias y en vista de los poderes del Sr. D. Jacinto Romarate , electo por la provincia de Vizcaya…</t>
  </si>
  <si>
    <t>Herrera, Manuel de la Riva</t>
  </si>
  <si>
    <t>Manuel de la Riva Herrera</t>
  </si>
  <si>
    <t>…tamento, Alonso concebida en estos términos : «quede sobre la mesa para discutirlo en toma en sus sentimientos. otra sesión.” »»En el pátrafo 4 ° habla la comisión de las medidas que parece deben Se d ó cuenta de haber presentado D. Manuel de la Riva Herrera , Procu adoptarse pcvt quitar a! mal aconejado Príncipe hasta U mas remota esperan-* rador electo por la provincia deBúrgos, un documento justificativo déla ren 7a al trono de É*paña; y dice que esto i.:» reclama el ínteres de la actual di-* ta que; posee y se requiere para ser Procurador , cupo do…</t>
  </si>
  <si>
    <t>…que se cumplan las Reales órdenes é instrucciones vigentes. Madrid 10 de Mayo, Extracto del parte remitido por el subdelegado del Fomento de la provin Parte recibido en la primera secretaría del despacho de Estado*. cia de Burgos D. Manuel de la Riva Herrera con fecha de lo de Abril ¿¡timo. Comandancia general de la provincia de Toledo. — Excmo* Sr.: He tenido . Ha suprimido con arreglo á las últimas Reales disposiciones las trabas ó ei honor de recibir su oficio de 4 del corriente manifestándome haber enterado impuestos ilegítimos que existían en algu…</t>
  </si>
  <si>
    <t>…sidente: «En atención á que las co eludas para la presentación de sus poderes. Se pasó á la misma comisión una misiones no han presentado sus trabajos , el Estamento suspenderá sus sesiones escritura de varias fincas que presenta D. Manuel de la Riva Herrera por la hasta pasado mañana á las diez para continuar los asuntos pendientes y quedar provincia de Búrgos , en justificación de su renta. después en sesión secreta relativa al expediente de D. Cárlos Palacios do que ya Se mandaron repartir ISO ejemplares de la memoria del Secretario de lo tiene noti…</t>
  </si>
  <si>
    <t>Herrera, Manuel de la Rjva</t>
  </si>
  <si>
    <t>Manuel de la Rjva Herrera</t>
  </si>
  <si>
    <t>…. Sr, D. José de Búrgos y Tello. Ha procurado eh. vano formar una fcnbliotoo* pública en aquella capital. Sr. Conde deViihunecuu Extracto del parte rcmittdó por ei. gobernador civil de la provincia de BurPROVINCIA DR MÁLAGA* ■gos D. Manuel de la Rjva Herrera con fecha dp 11 de Junio último* Sr. D. Francisco Javier de León QuiUy* Ha cuidado de asegurar La libre venta y circulación de grano®, removiendo Sr. D. Tomas Domínguez* cuantos obstáculos ée han opúesto á ella. Sr. D. Amonto Alcántara y Navarro. Ha continuado recaudando'los contingentes de pósitos…</t>
  </si>
  <si>
    <t>Herrera, Pantaleon Garníca y</t>
  </si>
  <si>
    <t>Pantaleon Garníca y Herrera</t>
  </si>
  <si>
    <t>…residente de la república, y que su intención es retirarse ilcdde mavor de la villa de Catarroja, en Valencia, á D. Mariano García, y á sus haciendas para restablecer su salud, que está muy quebrantada a conse para la de Planes a D. Pantaleon Garníca y Herrera. cuencia de las últimas campañas. El cólera disminuía, y se esperaba que en breve quedarían Ubres de este azote. ror oxcai accreio ae o ae uicicmore FRANCIA. la Reiva Gobernadora a D. Felipe Riersi título de Castilla para su y sus sucesores, con la denominación de marques de Casa-Riera. Taris 30 de…</t>
  </si>
  <si>
    <t>Herrera, Riva</t>
  </si>
  <si>
    <t>Riva Herrera</t>
  </si>
  <si>
    <t>…ha~ entendido, como luego se probará en el ble que la es tener que desaprobar los documentos de algún Sr. Procurador. expediente del Sr. Alvarez Sotomayor.” Los que halla arreglados inmediatamente los aprueba; pero no puede ha El Sr. Riva Herrera: « Las rentas del Sr. Romarate exceden muchísimo cerlo asi cuando no los halla conformes con las fórmulas prevenidas en el re á las que se necesitan para ser Procurador; mas sus ocupaciones no le han per glamento. mitido de ninguna manera el hacer las diligencias necesarias para justificarlo; «Se h…</t>
  </si>
  <si>
    <t>Herrero, Manuel Garifa</t>
  </si>
  <si>
    <t>Manuel Garifa Herrero</t>
  </si>
  <si>
    <t>…;&gt;v.vr; i . , 2. ° » De todos los individuos que deberán ser alistados por reunir la»calida J&amp;l Sr. marques ^r/Ej^íW.u^IIí^ref Sr^Prócer ^ptirópinante ha con- des que determinan los artículos siguientes.” cedidobasUnte» ' 1 ' El Sr. £&gt;. Manuel Garifa Herrero1: »Las atribuciones propias y rcce.qtierer; peculiares á la institución de la Milicia urbana son las de garantizar la libertad y la tranquilidad,., . ... . ..... . , , y conservar la tranquilidad interior del reino, y ayudar al Gobierno para man- ■ prpcducíoncs respecto á |)s d^mas c(afcs&gt; Xofjps s…</t>
  </si>
  <si>
    <t>Herrero, Mariano</t>
  </si>
  <si>
    <t>Mariano Herrero</t>
  </si>
  <si>
    <t>…embajadores deprimera clase, pues lord Minto está en Berlín, lord lid , vacantes por'fallecimiento de D. José Moreno Ramírez y D. Juan NeGrandville en París, sir Frederick Lainb en Viena, lord Ponsonjby en Cons- pomuceno Vela, á D.. Mariano Herrero, teniente corregidor de Madrid, y á tantinopia, sir Roberto Adair en Bruselas, y asi en las demas, nosotros solo D. José Jalón y Jalón, ministro de la de Oviedo; para otra plaza de oidor tenemos dos embajadores residentes aquí, y uno de ellos, el barón Bulow,está de Valencia y dos de alcaldes del c…</t>
  </si>
  <si>
    <t>Herrero, Segundo</t>
  </si>
  <si>
    <t>Segundo Herrero</t>
  </si>
  <si>
    <t>…¿ juez civil de Cadiz aJI. francisco Be; S. M. ha mandadó dar las mu eficaces gracias á las dignas hermana» de la &amp;¿f Navarro; Mra^a va^ fie alfaide, mayo* 4c U v4&gt;? 4»Rkhe a D. Mig5jbscaf.para.laBe.Yeclavacante pdr separación de D. Segundo Herrero, i Cáridad. • w ; r glaseó Amaró? s^Lope*: para U. ,de JBaeqi,. vacante, rór exoneración de El comandante general de Burgo* en ^3 de Marzo da parte de lá vigorosa í&gt;. foA María Rodas, á D. Juan Antoha SemoUnos: pdr»la de Ciempozue- resistencia hecha1 por la guarnición, de Orduña contra las faccione…</t>
  </si>
  <si>
    <t>Herreros, D Manuel García</t>
  </si>
  <si>
    <t>D Manuel García Herreros</t>
  </si>
  <si>
    <t>…fante D. Cárlos, había con de la fórmula completa del juramento, dando cuenta á S. M. de haberlo cluid.* su encargo , y se iba á leer al Estamento. Se leyó el art. 36 del regla verificado. mento, v acercándose á la mesa el Excmo. Sr. D. Manuel García Herreros, También quedó enterado d Estamento, de un oficio del Excmo. Sr. at- l’fó el dictamen presentado por aí^ha comisión (1). Concluida la lectura , el 2obfepo de .Valencia, por ei que participa.el xectbo de la circular de 9 del Excmo, Sr. Presidente dijo que se imprimirá y repartirá d lunes, quedancorr…</t>
  </si>
  <si>
    <t>Herreros, D Mariano</t>
  </si>
  <si>
    <t>D Mariano Herreros</t>
  </si>
  <si>
    <t>…áfioles; las efusiones de miestro gozo fuegos artificiales de ruedas, cohetes Ótc., parte de los cuales Ja generosidad y no podían reprimirse en nuestros pechos , y determinamos celebrar con regoci- entusiasmo del Sr. teniente de gobernador D. Mariano Herreros tuvo, á bien jos públicos en tres dias continuos tan feliz acontecimiento. facilitar para engrandecér mas el acto. A las nueve empezó el baile, que alegraban bellas jovenes, cuanto escogida reunión, sosteniéndose el mejor.or Primer día. den, corne ja mas placentera armonía, y dándose en el banquete…</t>
  </si>
  <si>
    <t>Herreros, García</t>
  </si>
  <si>
    <t>García Herreros</t>
  </si>
  <si>
    <t>…empos mas modernos, en los nuestros ha sucedido lo mismo en Rusia, catre el trono de las Kspaiías y el Infante D. Cárlos, sus hijos y sucesores.” nación quizá la mas opuesta á c ertos principios. En ese país ha sucedido, no há El Sr. García Herreros dijo que la comisión de propósito ni habia cita muchos años, que el gran duque Constantino renunció á la Corona por sí; do leyes ni se habia fundado en ellas, órden con que el Gobierno había hecho siendo claro que esa renuncia se extendía á los descendientes que pudiese te su propuesta para ilustra…</t>
  </si>
  <si>
    <t>…s económicos en lis palabras f estando conforme con el dictamen de U sejan al Príncipe que en virtud de una ley tiene derecho á ser Rey, y un comisión.” acuerdo recíproco del entendimiento y la voluntad se aúna con el amor pro El Sr. García Herreros *. **La comisión no ha entendido bien U idea del pio, que tanto ciega á los hombres, para que el Principe mire con cierto inte Sr. preopinante respecto á ios documentos de que resultaría probado él delito rés los goces de una categoría de esta clase. Hé aquí el origen. No hay dere del Infante , y por esto…</t>
  </si>
  <si>
    <t>…reducida i que no se permitiese á X&gt;. Cárlos y sus descendientes volver Salvatierra, marques de S. Felices, duque de S. Lorenzo-, marques' de S. '4 España. tin de-Hombreiros, conde de S. Román, contje de Santa Ana, marques de El Sr. García Herreros manifestó que la comisión no tenia inconvenien Santa Cruz , marques de Santa Cruz y S- Esteban, conde de Sástago, duque de te-do adoptarla , y varios Sres. Próceres lo apoyaran. S. Cárlos, conde de Teba, D- Mariano Liñad, condé del Venad i to, du Se preguntó en seguida si algún Sr. Prócer pedia la…</t>
  </si>
  <si>
    <t>…xposición del Sr. D. Sa Habiendo manifestado el Sr. Presidente que iba á votarse la proposición turnino Calderón, electo Procurador por la provincia de Orense, relativa á que se discutía, se procedió á su lectura; y concluida, el Sr. García Herreros varias dudas que le ocurrian respecto á la división de bienes entre marido y dijo: que había empleados á quienes debía dejárseles la libertad de asistir ó no muger para acreditar poseer la renta requerida en el Estatuto Reas, para ser al Estamenro, según la posibilidad que de ello tuvieren en razón…</t>
  </si>
  <si>
    <t>…los que deben obrar en ia Secretan*; y que había extrañado que en la cecuresolución tomada por el Estamento tuviese efecto para lo sucesivo. lar a que contestaba se íe clasificase en la de JPxóceres natos que no han pre El Excmo. Sr. García Herreros contestó que no eran menos sagradas las sentado aun *us títulos, cuando esperaba la declaración de su aprobación y de obligaciones de un ciudadano para con el Estado, que las de un prelado para estar admitido; que ademas hacia presente hallarse de comandante de escua con su diócesis. drón agregado…</t>
  </si>
  <si>
    <t>…itar una materia teoría de indemnizaciones no se podría establecer tampoco ninguna ley, porque cualquiera que sea que ha de producir una ley. ' □o hay una que al tiempo de establecerse no cause algunos perjuicios; y aun £1 -Escmo Sr. García Herreros, contestando al Sr. Burgos, dijo: que que partamos del principio de que las leyes sean el resultado del voto de la S. E. se había» limitado á impugnar el dictámen qpc se discutía, por1 la parte mayoría ¡quién nos asegura que upa ley asi hecha no pueda traer mas perjui-' relativa á indemnizaciones,…</t>
  </si>
  <si>
    <t>…na ligera discusión entre los Sres. obispo Vallejo y mar ba, Sr. Atvarez Guerra, duque de Noblejas, marques de Malpica, Sr. Nkvar- ques de S. Felices, quedó aprobado el artículo según se hallaba. ‘ rete, Sr. Cuadra, Sr. Quintana, Sr. García Herreros, Sr. obispo Val lejo, se- . Art. 3.° Quedan suprimidos desde dicha época ios juzgados protectores ñor Vigodet, Sr. Martínez, conde de Oñate , conde de Clavijo , conde del del Voto de Santiago. Los juicios pendientes para hacer efectivas las prestación Montijo, marques de Espeja, marques de Monreal…</t>
  </si>
  <si>
    <t>…e dinero está en poder de los herederos de los qu$ érá lo qtie’se debía y. á quién como igualmente s¡ el pago de los intere que enagenarón la finca.” ses, qué se proponía había de hacerse en la cantidad señalada de 3 por 100 ó El Sr. García Herreros: «Esté en poder de quien quiera, el que entregó no, porque era evidente qüe desde el año de 1820 en adelante no habían pro un capital por una finca tiene derecho á decir , ya que se le ha privado de ella, ducido las fincas tanto que pudieran pagar el ínteres con que se los quería gra venga mi diner…</t>
  </si>
  <si>
    <t>…tos, respecto á la cortedad de Ios-productos de número de familias.” las fincas de estos en los años trascurridos, y á la grah baja de todas las rentas* El Sr. conde de $¡Lstago: «Las razones en que se funda el art. 7.° que , El. Sr. García Herreros: «El $r. preopinante ha procedido en su discur se está discutiendo , si bien son dignas de una ley en que se trata de hacer jus so con la misma equivocación que varios de los señores que hablaron ayer. No ticia, parece que, atendidas las circunstancias que ha puesto de manifiesto el Se se traía aqu…</t>
  </si>
  <si>
    <t>…suha que tado xie ipá empleados en destinos interesantes t c,#y° desempeño les, impide ia, con este motiva h«z&lt;&gt; el Consejo de Gobierno. aefstenoia á'las sesiones ,&gt;« considera exento de? ésta obligación: y- añade, que- EL Excmo. Sr. García Herreros manifestó que: tfo se Vabtyn remindó mas ora sel© admita ó no el juramento que pidió se le 'permitiera prestar por po documentos que. los que se mencionan en e! dictimeiiHeido^ y que entre ellos der especial, S. E.Je jien©hecho en só ánásno.de coadyuvar al bien de la Na no se halla la cónsulu que c…</t>
  </si>
  <si>
    <t>Herreros, Garda</t>
  </si>
  <si>
    <t>Garda Herreros</t>
  </si>
  <si>
    <t>…ienta la proposición de que de ellos resultaría U comprobación la sucesión, adopta el reconocimiento del inmediato sucesor para eviur los referida^ ' . males mas peligrosos. Entonces ya reconocido tiene derecho, forma ya parte El Sr. Garda Herreros : «No es exacto eso; la comisión no ha sentado con la nación, porque aunque se diga que no está reinando, ya se mira su per nada; ha sido el Gobierno en su memoria, como {Hiede rerse por su lectura. sona con cierta inviotabidad , con cierto/,Respeto. (Leyó). Recuerde ademas el Sr. preopinante lo qu…</t>
  </si>
  <si>
    <t>Herreros, Manuel García</t>
  </si>
  <si>
    <t>Manuel García Herreros</t>
  </si>
  <si>
    <t>…cupaciones tranquilas y abezados at regalo desús familias; los espa ga, marques de Mancera y de Mal pica, duque de Noblejas, D. Manuel José ñoles, señor, todos son guerreros, todos están dpp$» dej^spíritp. necesariopara Quintana, D. Manuel García Herreros, conde del Mcmtijo, D. Antonio sufrir privacionesv, pata arrostrar los peligros yt la muerte ppr su paírjz./Pnjft— .Martínez ,rpn4¡» de Ofiaté ,;CCndffde Gla vi jo, conde de Guendulain, D. Ig bas tenemos de ello repetidas, y no acudamos á las crónicas y á los tiempos nacio de la Pezúéla, £&gt;V jacobo…</t>
  </si>
  <si>
    <t>…fuertes; D. Fr. José Seguí, ar en el Estamento de esta clase, juntamente con los Grandes de Espa zobispo de Manila; D. Blas Alvarez de Palma, arzobispo 4e Graz ña á quienes de derecho corresponda, por reunir las condiciones nada; D. Manuel García Herreros, del Consejo Real; D. Diego,Gleprefijas en la citada ley fundamental, á los muy RR. arzobispos, menciri, bibliotecario mayor; D. Manuel José Quintana, secretario RR. obispos, títulos de Castilla y personas elevadas en dignidad é de la interpretación de Lenguas; D. Antonio Cano Manuel, del Con ilust…</t>
  </si>
  <si>
    <t>…ia verdadera ó equívoca de los Concluido este corto discurso , leyó dicho Sr. Secretario del Despacho el pueblos de que es contagiosa la enfermedad, y de que por lo tanto deben pre-^ informe de la comisión, compuesta de los Sres. D. Manuel García Herreros, «verse y defenderse de su entrada. Cuando apareció en Huelva , y mientras se D. José María Calatrava, D. Juan de la Dehesa y D. Diego Villa, y el pro conservó en aquel punto, pareció fácil aislarla; por lo que se aplicaron con ri yecto de ley formado por ia misma. gor las medidas sanitarias por el…</t>
  </si>
  <si>
    <t>…su remisión bien confidencialmente ó de oficio. Entraron á jurar y tomaron asiento los Excmos. Sres. patriarca de las In Se preguntó de cual de estas dos maneras se haría el recuerdo , y habién dias , D. Tomas González Carvajal y D. Manuel García Herreros. dose manifestado por algunos Señores que mediante la buena inteligencia que El Estamento quedó enterado de un oficio del Excmo. Sr. Secretario del reinaba entre el Gobíernó y el Estamento, no había necesidad de pasar oficio, Despacho de lo Interior, dirigido al Excmo. Sr. Duque Presidente , comunic…</t>
  </si>
  <si>
    <t>…usa de una indisposición que se lo impedía. duque de Rivas == Conde Parsent-zsD. Gaspar Vigodet. =rDuque de San Lo En seguida leyó S. E. los dos proyectos de ley indicados, y los oficios renzo y del Parquc.^El conde de Sástágo. = D. Manuel García Herreros = con que el Sr. Presidente del Estamento de Sres. Procuradores los remitió al D. Hipólito, obispo de Lugo. El conde de Guaquí. :=sD. Martin Fernandez Gobierno. Navarrete. == Conde de Puñonrostro.c^El marques de Vesolla^sEi marque.- de Concluida la lectura, el Excmo. Sr. Presidente dijo que el proy…</t>
  </si>
  <si>
    <t>…e D. Cárlos, había con de la fórmula completa del juramento, dando cuenta á S. M. de haberlo cluid.* su encargo , y se iba á leer al Estamento. Se leyó el art. 36 del regla verificado. mento, v acercándose á la mesa el Excmo. Sr. D. Manuel García Herreros, También quedó enterado d Estamento, de un oficio del Excmo. Sr. at- l’fó el dictamen presentado por aí^ha comisión (1). Concluida la lectura , el 2obfepo de .Valencia, por ei que participa.el xectbo de la circular de 9 del Excmo, Sr. Presidente dijo que se imprimirá y repartirá d lunes, quedancorr…</t>
  </si>
  <si>
    <t>Herreros, Mariano</t>
  </si>
  <si>
    <t>Mariano Herreros</t>
  </si>
  <si>
    <t>…s efusiones de miestro gozo fuegos artificiales de ruedas, cohetes Ótc., parte de los cuales Ja generosidad y no podían reprimirse en nuestros pechos , y determinamos celebrar con regoci- entusiasmo del Sr. teniente de gobernador D. Mariano Herreros tuvo, á bien jos públicos en tres dias continuos tan feliz acontecimiento. facilitar para engrandecér mas el acto. A las nueve empezó el baile, que alegraban bellas jovenes, cuanto escogida reunión, sosteniéndose el mejor.or Primer día. den, corne ja mas placentera armonía, y dándose en el banquete…</t>
  </si>
  <si>
    <t>Hervé</t>
  </si>
  <si>
    <t>…opina que se deben re £1 J|dorningrCkrünjcU habla de la división que» según cree» reina entre clamar los restos mortales de aquel gTan capitán. " • rA los ministros; con cuyo motivo cita las*palabras del Evangelio: »Todo reino El Sr. Hervé cree que la seguridad del Estado es la primera ley de toda so dividido perecerá/* ciedad, y que si se permite vuelva á Francia la familia imperial se comprome El, tig&amp;riVr asegura por su parte que todo cuanto se dice sobre la mudanza te lá seguridad pública. ^| de miaistros carece de fundamento. Lo…</t>
  </si>
  <si>
    <t>Hervin-Dessaux</t>
  </si>
  <si>
    <t>…é marques de Moncayo, fue sentenciado -4 ser pasado por las armas, como asi sé hizo en ellos un horrible destrozo, ayudada en gran parte por las balas y las verificó el día 12 á las diez de la mañana. bayonetas de los zuaves. El capitán Hervin-Dessaux , que mandaba el escuadrón de cazadores, se portó como gefe hábil y soldado intrépido; él teniente coro nel Duvivier, que ha concebido y dirigido el movimiento, hadado nuevas t pruebas de su capacidad militar.—/:,’ finiente general Voirol. SAVIDAtt. Provincia de Cídiau El gobernador civil de dicha…</t>
  </si>
  <si>
    <t>Herweneperseguía</t>
  </si>
  <si>
    <t>…urte con fecha 29 de Mayo último desde Durango i*«r dice lo siguiente: res á las-gracias de S. M. JKmo. Sr.fYa he tenido el honor de manifestar á V. E. qué constantemente También son muy dignos el teniente que manda la cabullería D. Herweneperseguía á la facción de Castor, y que este se habla visto obligado á salir de gildo González, y el graduado de teniente D- Blas Ruiz , también dz cafeol le las Encartaciones. Ayer, después de una penosa marcha de nueve leguas, su jía. Bástame solo añadir á V. E. que después de esta.gloriosa \ brillante jor…</t>
  </si>
  <si>
    <t>Hetreros, García</t>
  </si>
  <si>
    <t>García Hetreros</t>
  </si>
  <si>
    <t>f marques de las A-mar ¿lias á su autor á que la formalízase, y habiendola'escri- El Sr. García Hetreros observó que solo tuviese lugar esta medida con los to, la presentó y decía: . - , f 1 empleados ep el servicio inmediato de SS. MM., y que nada se dijera con res »Pído que los/Sefiores Próceres que esten empleados en el servicio jnme- pecto á los de SS. ÁÁ. ^diato de las Personas de SS. MM. y. AA.…</t>
  </si>
  <si>
    <t>Heyden</t>
  </si>
  <si>
    <t>I 48 ' —_F.1 Emperador de Rusia ha promovido á la $lase de almirantes al prínoi— ^ los en paralelo con lo que después ha ocurrido en Europa, pregunta rquérha ■peMenschikoff y al vicealasiraifte conde Heyden b El almirante Ricord ha sido de la nación polaca! ;Qué se ha hecho en favor de Italia! &lt;Qué sistema sido nombrado comandante de la primera división de la escuadra, y AL Browt- político »é sigue respecto á Alemania! Finalmente ;si se piensa en abandonar zyn primer intendente de la escuadra y puerro…</t>
  </si>
  <si>
    <t>Hice</t>
  </si>
  <si>
    <t>…las táculo. . , doce de 11 noche. = Excmo. Sr.=El rnarqua de Rodil. Dios &amp;c. Cuartel general de Mondragon á 17 de Agosto de 1834 á lan dqc* de la noche. = Excmo. Sr.=El mafques de Rodil. Ejército de operaciona del Norte.= Eicmo. Sr. = Hice tránsito aqui hoy con la columna que me sigue, y me he cerciorado que el Preten diente salió de ate pueblo á las cinco de la tarde de ayer con un batallón y dos Ejército de operaciones del Norte.=Excmo. Sr.=Cierto de que el Pre compañías de guias, habiendo pernoctado en Erasun, á cuyas inmcdiaciote…</t>
  </si>
  <si>
    <t>Hidalgo, Josef Valero</t>
  </si>
  <si>
    <t>Josef Valero Hidalgo</t>
  </si>
  <si>
    <t>…na. El con— 30 de Noviembre de 1333 respecto á los individuos del ejército que se distin curso; fue lucídó y numeroso, quedando todos muy satisfechos del distinguido gan por sus particulares servicios. (la ) I méjito dpl profcsor D. Josef Valero Hidalgo, que ha’sabido por su ilustración, Otra dcc'arando que la causa formada en 3 de Noviembre de 1832 al te [ zeld y desfempefio instruir en muy poco tiempo á unos niños, que siendo los niente O. Juan Antonio Suarez no le sirva de nota en su carrera.(Id.) mas de seis á siete años1; han manifestado un e…</t>
  </si>
  <si>
    <t>…na. El con— 30 de Noviembre de 1333 respecto á los individuos del ejército que se distin curso; fue lucídó y numeroso, quedando todos muy satisfechos del distinguido gan por sus particulares servicios. (Ia ) I méjito dpl profcsor D. Josef Valero Hidalgo, que ha’sabido por su ilustración, Otra dcc'arando que la causa formada en 3 de Noviembre de 1832 al te [ zeld y desfempefio instruir en muy poco tiempo á unos niños, que siendo los niente O. Juan Antonio Suarez no le sirva de nota en su carrera.(Id.) mas de seis á siete años1; han manifestado un e…</t>
  </si>
  <si>
    <t>Hidalgo, Juan Nepomuccno</t>
  </si>
  <si>
    <t>Juan Nepomuccno Hidalgo</t>
  </si>
  <si>
    <t>…, altamente apreciado en Francia y en Inglaterra por calde mayor de Sala de los Infantes; á D. Bartolomé Felipe Almendro, al sus luces y por los eficaces -servicios que ha hecho en favor de la causa de la calde mayor de Mérida; á D. Juan Nepomuccno Hidalgo, alcalde mayor de libertad de su patria. Llcrena; á D. Juan Barago» alcalde mayor de Alcántara, y a D. Eusebio Es «Cuáles son los hechos que se citan para fundar esta amarga crítica? Se di quió ve, alcalde mayor de Roa. ce qué él duque de Palmella no seguía la causa nacional el año de 1820. Para S.…</t>
  </si>
  <si>
    <t>Higgine</t>
  </si>
  <si>
    <t>…Ha dejado mandas á todas las lores. personas que componían su servidumbre: á su secretario, el coronel Edinbnd í,En cuanto al ministerio tory, lord Palmerston no vacila en declarar que Currey , ha dejado 209 libras esterlinas; al coronel Higgine, caballerizo mayor, no creé que pueda ir adelante, porque no concuerda con los intereses y la opi 259 libras esterlinas, y á cada uno de sus ayudantes de campo 39 libras ester nión del país. linas. Debemos añadir, en honor del noble duque, que nunca contrajo deudas, „No es este el parecer del Times…</t>
  </si>
  <si>
    <t>Hignon</t>
  </si>
  <si>
    <t>…feliz con una paz que en nada oferté elección , alucinando á gentes incapaces de descubrir que sí la Gaceta de Eran- da á su honor.” 5 ■ ■ j ' . f ctu se une al partido republicano para pedir el voto universal, lo Hace porque El Sr. Hignon dice que habiendo Uegado la discusión i los párrafos ea que ■abe pauy bien que á este seguiría la república, que anegaría la patria en sangre; se habla de la política exterior, cree que-las observaciones que piensa haétt</t>
  </si>
  <si>
    <t>Higtnio</t>
  </si>
  <si>
    <t>…dificil-en loa Alberca. ¿el ayuntamiento y ql regente de la Real jurisdicción ww'pjwp,*- ' i si, ■ - . , - Alcánt#ra,&lt;el alcaide mayor dejl . . i • En Conformidad de estos principios, reconocidos y proclamados en el in Alcolea. (D. Higtnio de) ’</t>
  </si>
  <si>
    <t>Higueras</t>
  </si>
  <si>
    <t>…uestros conocimientos fmco-matcmáticoS. al Roncal , adonde debía hallarse el coronel Barrena-, el de igual clase Amor Si seeun ellos se quisiera uno detener un instante á examinar la teoría del con su caballería se habia unido al brigadier Higueras en Monre.il el 22. El manejo de estos tiros, crecen dificultades hasta llegar á la linea de lo impo^ brigadier Linares marchaba el 24 á Ia Canal de Verduro. sible. Los repetidos choques de la bala en el ánima del cañón, ya golpeándo se por las paredes laterales, ya por las superiores c inferiores d…</t>
  </si>
  <si>
    <t>Hija, Isabel</t>
  </si>
  <si>
    <t>Isabel Hija</t>
  </si>
  <si>
    <t>…entre S. M. Católica ylos Efia dos—Unidos de América. , Núra.» RENTA PERPETUA DE ESPAÑA Deseando S. M. la Retna Regenta Gobernadora de España, duranie la Cupón de ÍAGADXRA nt PARES edad augusta de S. M. Católicamenor y el Gobier Doña Isabel Hija, n, su pesos fuertes de ren A Rizón DE 5 POR XOO AL ANO, las dé losno definitivo Estados-Unidos un arreglo por terminar de América, reclamaciones promovidas por una y otra parte, evitando de esta manera lodo ta , pagadero en inscrita en el Gran Libro de la Deuda consolidada.motivo de desavenencia ,…</t>
  </si>
  <si>
    <t>Hill</t>
  </si>
  <si>
    <t>…63; . ■ ... \ 3.'- . „ lord Rqssel, pagador del ejército;,.29: lord Liuleton, primer setarefario de-ir_La entrega de la bandera de honor, bordada por la Reina, á la sociedad^ landa , 550¡1: Mr. Klüce, ministro de la Guerra, 2580; lord Hill, comandar de la Gresstde armonía, se verificará luego que SS. MM- vuelvan de Ostende. le en gefe de las tropas, 3458 ; Mr. Remt-; dÍTector general"de artillería, 39; ■Con este motivo se hacen grandes preparativos; y creemos que las fiestas que 'lord Auckland, director de moneda y comercio, 29; duqu…</t>
  </si>
  <si>
    <t>Himno, Grfberñadora</t>
  </si>
  <si>
    <t>Grfberñadora Himno</t>
  </si>
  <si>
    <t>…; -demasiado débil para - Sil Grito de Hiparía con motivo.de "la Real convocatoria para la.celebracion de exlsiir por sí misma , volverá -5 caer sin duda eri manos del Suban. En cúantó las Cortes generales del Reino por S. "M. lá Reina Grfberñadora. Himno pafrióiico al Egipto rtó es imposible que vea formarse en su -seno nuevas dihastías milita ■por I». ¡Jocc -IJirz -ie Triada: se veode en la librería de v-iana á 2 rs. ------'Sinónimos de la l'ngua casttilaná por D. José Jíavch, adición 4 los publicados res , nuevas milicias mamelucas,a menos que un…</t>
  </si>
  <si>
    <t>Hinojosa</t>
  </si>
  <si>
    <t>…o les 8 honphres, y cogiéndoles porción de armas, con 15 cajones mas de cartuchos. Asimismo se me asegura que el cabecilla Gavizas había sido puesto en precipitada fuga del pueblo de Osina que ocupaba con 26 cabatlos /‘‘-y qué el coronel Hinojosa debía mar char al Berron con el objeto de sorprender á Sopelana» que con 250 facciosos debía pernoc tar en dicho punto el día de ayer, sin que en el resto de esta provincia se haya alterado la tranquilidad pública. D:os guarde á V. E. muchos años. Burgos 5 de Febrero de 1834*“ Excmo. Sf. = Rafael d…</t>
  </si>
  <si>
    <t>Hipólito</t>
  </si>
  <si>
    <t>…de San Lo En seguida leyó S. E. los dos proyectos de ley indicados, y los oficios renzo y del Parquc.^El conde de Sástágo. = D. Manuel García Herreros = con que el Sr. Presidente del Estamento de Sres. Procuradores los remitió al D. Hipólito, obispo de Lugo. El conde de Guaquí. :=sD. Martin Fernandez Gobierno. Navarrete. == Conde de Puñonrostro.c^El marques de Vesolla^sEi marque.- de Concluida la lectura, el Excmo. Sr. Presidente dijo que el proyecto sobre San Felices. = El marques de Monreal y Santiago. =: El marques de Alcañice^" ree…</t>
  </si>
  <si>
    <t>Historia</t>
  </si>
  <si>
    <t>…del ejercito. ' . El mismo subdelegado lia publicado la siguiente circular: r. No ignoran VV. que una de las causas mas influyentes de U postración de nuestra agricultura es sin duda alguna la carencia de riegos artificiales, en don Historia de la guerra de la inde pendencia de España contra Napoleón de lá naturaleza no los1 proporcionó por abundantes y frecuentes lluvias. En Bonaparic desde I808 hasta 18 L4, escrita sobre los documentos autentica dcF esta provincia existen manantiales, arroyos y raudales bastante caudalosos, de gobierno; pu…</t>
  </si>
  <si>
    <t>Hizo, Miguel</t>
  </si>
  <si>
    <t>Miguel Hizo</t>
  </si>
  <si>
    <t>…con dicho Infante, cual era el ha desapruebo el dictámen de la comisión.” ! llarse fuera de España, y precisamente en Italia, donde estaba también el exEl Sr. Acevedo hizo una pregunta que no pudo entendérsele bien, pero Infante D. Miguel. Hizo otras varias reflexiones; y concluyó diciendo que que al parecer era reducida á si el Infante O- Sebastian había jurado ¿ la Ruina mientras el Infante D. Sebastian no prestase el juramento debido al Estatuto nuestra Señora como heredera de estos reinos. Real , acompañándole con una adhesión y un am…</t>
  </si>
  <si>
    <t>Hod, José</t>
  </si>
  <si>
    <t>José Hod</t>
  </si>
  <si>
    <t>…centra con los 25- caballos de «q decisáon al grito eléctrico de tréa /sas&amp;l ir." U Rei&amp;*, al mando ^ ca^an e| teofeate coronel IX Mateo Fernandez, y Todo lo que traslado á V, E. para conocimiento da S. M., no pudimda teniente el capitán £&gt;. José Hod!rijp&gt;eif, alguno* húsares de la Princesa al del mecos de recomendar muy. eficazmente la incansable actividad del teniente coalférez IX Pablo Mantilla, y cabo I&gt; Juan EscansilU. lóael CUrefiía ea perreguir por espacio da tres dias la facción, tía dar usía ▼Los enemigos, parapetados esa b» eérc** y c…</t>
  </si>
  <si>
    <t>Hoffiqanñ</t>
  </si>
  <si>
    <t>…elebrado varias reuniones entre algunos diputados pan ... „La decisión de nuestra segunda Cámara, que ha ratificado la elección, del examinar y prevenir laé 'contingencias’ de la vacante del trono con motivo de • fepresentante e- Sr. Hoffiqanñ , ha producido hoy grandes debates. Quince di la muerte del Príncipe Real , se celebrará otra dentro de breves dias para to putados han rehusado dar síis votos, y 21 se han pronunciado en favor de la mar una resolución final acerca de este asunto, y someterla i la deliberación it Validéis ai la ele…</t>
  </si>
  <si>
    <t>Hoiland</t>
  </si>
  <si>
    <t>…rivado; vizconde Ducannon ; vizconde Palmerston; Mr. Spring-Rice, secretarios del Despacho del Interior, de Estado y de las Cóio-^ nial.; lord Auckland, primer lord del Almirantazgo; el honorableCárlosGrantj NOTICIAS EXTRANGERAS. lord Hoiland, canciller del ducado Lancaster; el honorable Eduardo JÉlííce, ministro de la Guerra, y el honorable J. Abercrombv , director de la moneda. El conde de Mulgrave entregó el sello privado á S. M., y lo mismo hi RUSIA. cieron los vizcondes Paimerston y Ducannon, y Mr. Spring-Ricc de sus res pectivos m…</t>
  </si>
  <si>
    <t>Holla</t>
  </si>
  <si>
    <t>…otslyn, los lores to'á las cuales se continuarán, observando los reglamentos que en el dia Cowley y Maryborough, y_sir Enrique Hardingé. Estos probablemente son rigen. _ ^ los elementos de que va á componerse el nuevo ministerio. Lord Holla nd, Art 2.° «Para remunerar los servicios que se hagan en ía administración que también asistía al consejo, ha hecho entrega en manos de S. M. de los se de Hacienda, después del dia l.° de Enero de 1836 , se establecerá nueva caja llos de canciller del ducado de Lancaster, y se designa por su suces…</t>
  </si>
  <si>
    <t>Holland</t>
  </si>
  <si>
    <t>…isle , lord del sello privado, colegios electorales; pero las mejoras de todas clases que indefectiblemente van lord Althorp, canciller del echiquier. á hacerse en España y Portugal, serán imitadas por otros gobiernos y por otros lord Holland, ducado de lancaster. países de Europa, los cuales , sin obrar quizás ninguna variación en la forma lord Palmerston, ministro de Estado, de sus instituciones, serán llevados por una necesidad inevitable á recoger tam lord Melbourne, ministro de lo Interior. - bién el fruto de las reformas, cuyo eje…</t>
  </si>
  <si>
    <t>…en LSndres 28 de Diciembre. tarse por algún tiempo, y que ei barón Nathaniel de Rothschild había llegado Fondos públicos. Tres por 100 consolidados 88J. á aquella ciudad para tratar del pago con que la Grecia debe indemnizar á la Lord Holland ha dado un gran convite el día de Navidad al conde Grey, Turquía. príncipe Talleyrand, duquesa de Dino, princesa de Lleven, barón Bulow, ba ESPAÑA. rón \Vessemberg y M. de Bacourt. Se cree que el pronto regreso del príncipe de Talleyrand á esta capital es Algeciras 31 de Diciembre. sin duda motivad…</t>
  </si>
  <si>
    <t>…e h. Pedro a L&gt;. Juan Jiménez Monteagudo; Aquellos hombres* Sin ofender la verdad y el sano principio, &lt; se podrá negar para el de Montefrio á D. Ramón Toral ; pira el de Oríhuela a D. Juan Tor que ton liberales el conde Grey, el lord Holland, Xhiers, Dupin y Lafayct- recilla de Robles, alcaide mayor de Pontevedra; para este pan ¿do á D. Juan ti!— ¿Querrían estos que en Francia y ¿^Inglaterra hubiese solo una Cáma Te jeito; para el del Barco de Avila á D. Jacobo Ulioa, que lo es de Bera electiva ? Estarna? convencidos de que no. jar; pa…</t>
  </si>
  <si>
    <t>…confesión republicana en aunque sufrió alguna incomodidad de su viage á Brighton, fue de tan poca im ; una de las últimas sesiones, que puede considerarse como el grito desesperado portancia, que no le impidió pagar una visita á lord Holland yá su esposa in- y moribundo de la sanguinaria Convención y del sistema de Robespierre, pero I mediatamente después de concluido el convite. nadie respondió á sus. voces, nadie mostró simpatía con sus máximas, ni quiso i___El príncipe de Talleyrand y el caballero Vial, encargado de Negocios de asoc…</t>
  </si>
  <si>
    <t>Holstein, D Manuel Llórente El Sr Souza</t>
  </si>
  <si>
    <t>D Manuel Llórente El Sr Souza Holstein</t>
  </si>
  <si>
    <t>…D. Ramón Pardifias. El Presidente propuso, y la Cámara aprobó por unanimidad , que se nom brase una comisión para que asistiese á las exequias del Sr. duque de Braganza, PROVINCIA DB PONTEVEDRA. y fuese á dar el pésame á S. M. F. Sr. D. Manuel Llórente El Sr. Souza Holstein propuso que se erigiese un monumento á la memo Sr. Marques de Villagarcía. ria del Sr. Duque de Braganza, para perpetuo testimonio del agradecimiento &gt; nacional. Después de una breve discusión adhirió la”'Cámari á la propuesta, acor dando ademas que se trasladase inmediatamente á la de Sres. Diputa…</t>
  </si>
  <si>
    <t>Holstein, Manuel Llórente El Sr Souza</t>
  </si>
  <si>
    <t>Manuel Llórente El Sr Souza Holstein</t>
  </si>
  <si>
    <t>…amón Pardifias. El Presidente propuso, y la Cámara aprobó por unanimidad , que se nom brase una comisión para que asistiese á las exequias del Sr. duque de Braganza, PROVINCIA DB PONTEVEDRA. y fuese á dar el pésame á S. M. F. Sr. D. Manuel Llórente El Sr. Souza Holstein propuso que se erigiese un monumento á la memo Sr. Marques de Villagarcía. ria del Sr. Duque de Braganza, para perpetuo testimonio del agradecimiento &gt; nacional. Después de una breve discusión adhirió la”'Cámari á la propuesta, acor dando ademas que se trasladase inmediatamente á la de Sres. Diputa…</t>
  </si>
  <si>
    <t>Holstein, Souza</t>
  </si>
  <si>
    <t>Souza Holstein</t>
  </si>
  <si>
    <t>…sidente propuso, y la Cámara aprobó por unanimidad , que se nom brase una comisión para que asistiese á las exequias del Sr. duque de Braganza, PROVINCIA DB PONTEVEDRA. y fuese á dar el pésame á S. M. F. Sr. D. Manuel Llórente El Sr. Souza Holstein propuso que se erigiese un monumento á la memo Sr. Marques de Villagarcía. ria del Sr. Duque de Braganza, para perpetuo testimonio del agradecimiento &gt; nacional. Después de una breve discusión adhirió la”'Cámari á la propuesta, acor dando ademas que se trasladase inmediatamente á la de Sres. Diputa…</t>
  </si>
  <si>
    <t>Hor, Aiajasdro de Iá</t>
  </si>
  <si>
    <t>Aiajasdro de Iá Hor</t>
  </si>
  <si>
    <t>…tud que debo í V.E, cuya fiajls» Óc b Igferror _«mó'.sd benévola ha realizado uno de más mas grato» deseo». '•Acreditar á la faz del miando la fraternidad de iras qaenc á la Ratia crin la frusta; rodear él monumento consagrado al Emperador Aiajasdro de Iá Hor de los vállente» que tuvieron la dicha de combas rr jatfgtra con £4. -¿r Gc3a£rr&amp;. el bajo laa mánus banderas, tal era, según mi toarttom úaóu, rí páadrvo bomehage que debí tributar al Príncipe cristiano qué reconoce» Sar.vJdgoee.cg Eí Csjrrm frjmerz 1Z~ ¿coi ^rsr/vt .£e£ amrcitjuío de Ucfitonberg:, hacha…</t>
  </si>
  <si>
    <t>Horacio</t>
  </si>
  <si>
    <t>…iatrcón la 116' Íóníásí bertad individual y con el primero de todos los derechos constitu Con igual fecha ha sido nombrado embajador de Ñapóles el cionales, en que se funda el gobierno representativo; el de negar teniente general conde Horacio bebastiani.. las Cámaras los impuestos.” M. Barthe ha sido nombrado Par de Francia y presidente dél De lo dicho deduce el orador, que es imposible crear una li tribunal mayor de Cuentas, y M. d’Argout director del banco. bertad , sin que al momento se forme una asociación para su de (Monitor.) fens…</t>
  </si>
  <si>
    <t>Horc</t>
  </si>
  <si>
    <t>…emnidad de levantarse pendones por Isabbi^u de Castilla, Con la misma fecha hace referencia e! capitán general de Valencia de un leuyo advenimiento al trono han saludado los españoles como la aurora de la parte que le traslada el general Horc, del cual resulta haber sido aprehendido- [tranquilidad y bonanza. Insertaremos los pasajes mas notables, ya que no es si cabecilla Pelegrin Grau , que se hallaba en la Igleftuela , inmediato a Canta- [dado trascribirla entera, para que no queden sin publicidad los bellos ejemplos vieja , por el su…</t>
  </si>
  <si>
    <t>Horcasitis, Antonio KVBCTOI PUBLICOS Wanters y</t>
  </si>
  <si>
    <t>Antonio KVBCTOI PUBLICOS Wanters y Horcasitis</t>
  </si>
  <si>
    <t>…rreglo á Reales decretos vigentes. El capitán general de Castilla la Nueva con fecha 28 del actual dice, qrie bolsa db comercio__ Cotización de hoy á las tres de la tarde. un destacamento de 16 hombres mandados por el subteniente D. Antonio KVBCTOI PUBLICOS. Wanters y Horcasitis, encontró la facción de Perfecto Sánchez, y le causó la pérdida de 5 hombres muertos. Inscripciones en el gran libro i 5 p. 100. 00. Títulos si portador del i p. IOS. oQJ * 63 d. f. o vol. El mismo, con referencia á parte dél comandante general dé la provin Inscripciones en el gran libro i 4 p. 100…</t>
  </si>
  <si>
    <t>Hore</t>
  </si>
  <si>
    <t>…o , que con la columna de Jaén 20 de Diciembre. su mando continúa limpiando aquel distrito de los pocos bandidos que divagas errantes por las montañas. £1 8 del corriente se celebró en esta ciudad ía proclamación ¿t nuestra au El general Hore trascribe el parte dado el 23 pot el comandante de armas gusta Soberana, alzando el pendón de Castilla el caballero veinticuatro y te de S. Mateo D. Vicente Carroneo, del que resulta haber sido batida la facción niente de alférez mayor el Sr. D. Pedro del Prado y Mesía entre tn numeroso capitaneada…</t>
  </si>
  <si>
    <t>…gobernar nuestra casa. atención de S. M. El capitán general de Valencia, con fecha 27 de Junio remite á este mi Parter recibidos en la secretaria de Sitado y del Despacho de ¡a Guerra* nisterio el parle siguiente: Excmo. Sr.: El general Hore en oficio de 25 del Conociendo los facciosos del Norte de España el peligro que les amenaza actual me dice desde Morella lo que copio: "Excmo. Sr. : En papel del d:a 23 con la próximh llegada de las tropas del mando del general Rodil , concibie del actual he tenido el honor de manifestar á V. E. qu…</t>
  </si>
  <si>
    <t>…isto obligado á conceder permisoa, dando avi nisterio lo siguieme:•&gt; Exento. Sr. De los últimos partes que el brigadier Santa so á la Dirección, para la corta de maderas con que reparar los muchos da Cruz dirije desde Peñarroyaal general Hore , resulta que los puertos de Bcceite ños causados por ías aguas en los puentes, molinos, presas y otros artefacto* y Tortosa han-quedado limpios de los perturbadores del órden, que se guare indispensables. cían en ellos: la gavilla de Mestre se ha disuelto del todo, presentándose los A pesar de la…</t>
  </si>
  <si>
    <t>…na, continuando en su seguimiento el general Lorenzo. CAMBIOS. Amsterdam, 00. [Alicante i corto plá- Granada f d. Con fecha. l.° del actual el capitán general de Valencia mani Bayooa, 00. I zo par á $ d. Málaga par. fiesta que el general Hore toma las mas enérgicas disposiciones pa Burdeos, 00. Barcelona i pesos ft. Santander Id. Ha en burgo , 00. 1 $ b. Santiago 1 d. ra asegurar la tranquilidad de su provincia, ¿ impedir cualquiera Ldodres » 90 días 37} Bilbao par. SevIHa par. movimiento que se intentase en ella por los enemigos del re…</t>
  </si>
  <si>
    <t>…delegados, la su ;E«crjio. Sr.: Ei segundo comandante/ de carabineros D. Manuel Pasaron, en perintendencia general de policía, y las direcciones de pósitos, caminos, cor qficnoi fechado en S. Mateo de 31 de Enero último, y que el general Hore me reos, minas é instrucción pública siguen conociendo de los asuntos de su res jgrastldte en oficio dc 2 del actual, participa que el teniente del mismo cuerpo pectiva competencia; pero los pueblos y autoridades especiales de cada ramo se D. Bartolomé Rosillo, sabedor que en el Mas de Sites se hal…</t>
  </si>
  <si>
    <t>…io de la enunciada casa bajo un cenador cons V. E. la adjunta copia del parte que el coronel del provincial de Cuenca Don truido al intento, formando un lucido contraste los trages moriscos con los Manuel Mazarredo ha dirigido al general Hore, y que este me trasmite coa - aliformes de los comandantes españoles y marinería: á continuación se dirigie oficio del 30 de Abril último, en el que manifiesta que este feliz encuentro es ron todos á la aguja triangular, iluminada con trasparencia, situada en Las cua sumamente ventajoso para la cau…</t>
  </si>
  <si>
    <t>…después de repetidas conferencias, parece se disponían á penetrar gadier Fojá, y otra del provincial de Cuenca, dependiente de Moté I en las meriridades de Castilla, apoyando la irrupción qué hacia Ha; en cuya plaza se hallaba el general Hore, comandante general Castor y Arroyo que se adelantaban en dirección de la Lievana. del norte del reino de Valencia. En el de Aragón no había mas par El bizarro brigadier Iriarte que manda en dichas merindades mar tida que la de Conesa, que sorprendida por el coronel Rebollo á chaba á su encuentro,…</t>
  </si>
  <si>
    <t>…dible que pue na nueva facción. de encontrarse. Las pocas caljes que hay forman una gran cuesta Para ocurrir á este mal, di desde luego las órdenes mas preci sin otro flanco que los grandes barrancos; de modo que cada paso sas al general Hore y al gobernador de Peñíscola para que con toda es una dificultad casi invencible; y el castillo, aunque antiguo, la fuerza disponible ocupasen toda la parte del Ebro correspondiente tiene una buena plaza y un rastrillo muy bueno. El teniente Gar al distrito de Tortosa, y tengo la satisfacción de mani…</t>
  </si>
  <si>
    <t>…erido teniente Casariego persigue á los enemigos El gobernador interinó de Almeida, pronunciada por Doña de S. M.; sobre cuyo recomendable mérito me habla también el María 11, me dirigió la adjunta carta por el comisionado, quien general Hore, á cuyas órdenes se halló en la sumisión de Morella, manifiesta que los prisioneros que alli había son los que guarnecen desde cuya época Ha continuado en aquel punto sita descanso, y sin esta plaza , que dejó abandonada la tropa y gobernador miguelista que haya querido ser relevado en su penosa co…</t>
  </si>
  <si>
    <t>…to fijo, pero sí encontró muchos rastros de sangre; habiendo él tenido por su parte 3 muertos, y 2 caballos perdidos deí regimiento,!.0 de CAMBIOS. línea.’ ! AmsterdBm, 00. París, 16-1 papel. Cádiz, 1 b. Sevilla, |d. El expresado general Hore recomienda al coronel Mazarredo por lo bien Bayona, 00, A1 ¡cante, í corto pla Coruña, { d. Valencia, Id. que se ha portado en esta acción , y por la importancia de ella, atendidas las Burdeos, 00. zo , 4 d. Granada, i id. Zaragoza, 4 d. Hamburgot* 00. Barcelona, í ps. fs., Málaga , id. id. Descuen…</t>
  </si>
  <si>
    <t>…a toda la leal ^ciudad de Málaga. Se está formando el sumario correspondiente, y con arreglo iPfrttJ recfrxdos.tn íaetcrtftri* dt distado y del JDespaeko de la Guerra. 4 las leyes serán juzgados los que aparecieren criminales. El general Hore participa al capitán general de \ alencia con fecha 21 dtl | Capitanía general del ejército y principado de Cataluña. En la mañana actual, que habiendo salido d da voluntarios de Castc.ion de u Piaña ] -del dia iS del presente, aprovechando los enemigos de 1? noble causa que de- D. Viqente {bjaguer…</t>
  </si>
  <si>
    <t>Hortensia</t>
  </si>
  <si>
    <t>…El Presidente mandará citar, con un rlia á lo menos de rqiembros presentes; y entre lo» espectadores, atraídos por tan solemne espec anticipación, á todos los Procuradores á Cortes, designando la hora táculo , se en óntraba á la Reina Hortensia y al príncipe Luis JJonapáTfé. en que lia de principiarse la sesión, para discutir el proyecto de con No ha sido del todo independíenle de la -po+írrea esta Besta música: las testación que la Comisión debe presentar. exigencias de los gabinetes, la dócil complacencia del vorort y la pusilanimi Art. 4…</t>
  </si>
  <si>
    <t>Hospital</t>
  </si>
  <si>
    <t>…s, cl sable del cabecilla, 19 cananas, una corneta y un Lo trascribo á V. E. para su debido conocimiento, no pudiendo menos do caballo ha sido el resultado de una sorpresa que ha concluido con esta gavilla, recomendarle al activo capitán Hospital, y á los oficiales, sargentos y dema» que por la circunstancia de ser el cabeciliá hijo del mismo valle hacia conti individuos que el mismo particularmente menciona, á fin de que V. R , si nuamente sus correrías en él. lo estima oportuno, se sirva elevarlo á conocimiento de $. M. para la resolu •’F…</t>
  </si>
  <si>
    <t>Houstoun, D Guillermo</t>
  </si>
  <si>
    <t>D Guillermo Houstoun</t>
  </si>
  <si>
    <t>…e Diciembre. sin duda motivado por la necesidad de que Inglaterra* y' Francia esten de acuer En Gibraltar se ha publicado el bando siguiente: do acerca de los medios que deban adoptarse en los interesantes negocios del «Kl Excmo. Sr. D. Guillermo Houstoun, caballero gran cruz de la muy Oriente. Algún otro individuo del gabinete francés parece es de opinión que honorable orden militar del Baño, y de la Real orden de los Guelfos, tenien viendo la imposibilidad en que se encuentra en el dia la Puerta para defender te general de los Reales ejércitos, co…</t>
  </si>
  <si>
    <t>Houstoun, Guillermo</t>
  </si>
  <si>
    <t>Guillermo Houstoun</t>
  </si>
  <si>
    <t>…ciembre. sin duda motivado por la necesidad de que Inglaterra* y' Francia esten de acuer En Gibraltar se ha publicado el bando siguiente: do acerca de los medios que deban adoptarse en los interesantes negocios del «Kl Excmo. Sr. D. Guillermo Houstoun, caballero gran cruz de la muy Oriente. Algún otro individuo del gabinete francés parece es de opinión que honorable orden militar del Baño, y de la Real orden de los Guelfos, tenien viendo la imposibilidad en que se encuentra en el dia la Puerta para defender te general de los Reales ejércitos, co…</t>
  </si>
  <si>
    <t>Howard</t>
  </si>
  <si>
    <t>…abánfói de (pbseriíer.) hablar interesan especialmente,á un Congreso que se ocupa en tratar .de tai fié» gocios de Alemania ¿ á menos que estos sucesos debiesen imprimir _ tTnar caW«fc&lt;§é Lisboa del 2 de'Junio dice lo siguiente: «Lord Howard de dirección á la política europea de la Confederación germánica enél&amp;fel&amp;dittfgé" "Waldén dró uní grín banquete el 29 de Majó último, aniversario del n&amp;cttrfienneral de los Estados. {Mercurio de Suevia.) ío del Réy dé Inglaterra, al que fue convidado todo el cuerpo diplomáticq, es deéir, los ministi’…</t>
  </si>
  <si>
    <t>…os en libertad to el dia cuestión portuguesa ha sido causa de un nuevo cisma entre dos los griegos que se hallaban presos por consecuencia de los últi nuestros ministros. Parece que cuando el Pike salió de Lisboa, aun que todavía lord Howard deWaldcn no había tenido ninguna au mos alborotos. Se nos ha comunicado como positiva la noticia siguiente: Están diencia del Emperador, este no dejó de pedir por el mismo buque para terminarse los asuntos de Samos, y tal vez lo estarán ya. La con las mayores instancias un cuerpo auxiliar británico…</t>
  </si>
  <si>
    <t>…lo eleve al soberano conocimiento de ó* M* I res de esta plaza. (Extracto de la Cróni.a constitucional de Lisboa.) El comandante general de la provincia, habiendo recibid? partes dfc I____ Hoy ha llegado el nuevo embajador ingles lord Howard. (.Id.) la captura del cabecilla , contestó a! com-ind-inte de las a-mas Je Lorca en X de! actual hiciese ejecutar el Real decreto de S. M. U Rfina nuestra Señor* B Idem 3 de Marzo. de 21 de F.nero próximo pasado , según me dice en oñcio de aquel día. Tengo el honor de dar á V. E. cabal noticia de t…</t>
  </si>
  <si>
    <t>…vaciones que hacen los Sres. Mercier,sus oficiales, que era el valiente coronel de cazadores núm. 8. (Courier.) Persil, Vivien , Giíion , Alby , Foy y el minislio de Comercio apruebi ios La iudisposicion de D. Pedro ha impedido á lord Howard presentar sus artículos 17 á 19, ambos inclusive, y dos adiciones de los Sres. DuboisvCac- credenciales. ■ — - El Tintes hace varias reflexiones sobre la situación de la Francia a conse martin, en las cuales "se fija la cantidad que los ayuntamientos pueden incluir én sus presupuestos para ¿astos i…</t>
  </si>
  <si>
    <t>Howard'de'Walden</t>
  </si>
  <si>
    <t>…usia, y que se ha resuelto á-manifestarlo abierta nuevo poder en el Estado.' Ahbra bieft : lá constitución ha determente. ¡(Courirr.') ' . minadatodos los poderes que deben existir en j:l Estado , yno,. ha ___L,Corren Tumores que'lord Howard'de'Walden pedirá al Em biendo admitido las asociaciones ,’resiilfa de ello natural y necesaperador D. Pedro la fnudanza de su actual ministerio, y que la •riamehle^.que solo..puede autorizarlas el gobierno. Luego ¡no son respuesta del Regente será &lt;jüe no tiene dificultad en hacerlo , mien de derecho natural…</t>
  </si>
  <si>
    <t>Howick</t>
  </si>
  <si>
    <t>…e desposeídos de ellas.no. prueben habersérheoho las compras. con los requisitot ^cxageradVO^ÍfcüüJ ...... que se previenen en el artículo anterior, pueden sin embargo solicitar de los ____Anunciamos con la mayor satisfacción que lord Howick va á presentar subdelegados la legitimación de dichas eaagenaciones, y estos quedan autoriza un bilí á las Cámaras de Ing^terrrpara .que dos ^magistrados puedan moderar dos oarp legitimarlas, siempre que se obliguen los adquirentes á pagar al fondo ciertas penas que hasta aquí han' stdrfde ejecució…</t>
  </si>
  <si>
    <t>…pro SUIZA. ceda con tino, y no olvide que si la muchedumbre puede ser oprimida por al Zurich 19 de Abril. gún tiempo, es imposible que lo sea para siempre. Parece que se preparan en Berna sucesos de consideración. No puede menos Lord Howick dijo que la cuestión podría tratarse cuando estuviesen presenta de sorprender aun á los observadores mas superficiales.la violencia con que se los secretarios del Despacho, los cuales sin duda defenderían las medida» que fu* explican de 1 S dias á esta parte todos los periódicos de aquel cantón, y…</t>
  </si>
  <si>
    <t>…de hacerse alguna reducción después de la he conducta se fia encarecido, estuvo preso en^l820, y fue condenado á cuatro cha por la comisión. A la objeción de este diputado y de otros varios contestan meses de galeras por ladrón. Lord Howick creía por los papeles que se habían el ministro del Interior y M. Duvergter de Hauranne. Se procede 4 la votación, encontrado á los reos, que no por meros instrumentos ú hombres puramente y queda aprobado el artículo envíos términos siguientes: »&gt;Se abre al minis ilusos habían caído en manos de la…</t>
  </si>
  <si>
    <t>…han dirigido diferentes personas que aseguran haber presenciado (os hechos ; paron á la Cámara de los Comunes hasta muy tarde. M. Poulett 3 hompson y que refieren; y después las pone en paralelo con los artículos que sobre dicho» lord Howick. aunque dependientes ,del .ministerio apojaron á M. Hume: lord acontecimientos ha publicado el Monitor, para deducir que el gobierno ha pro : Ahhorp, lord Palmer&amp;ton, M. Baring y el conde de Darlington hablaron en curad i ocultar y disminuir en cuanto ha podido la gravedad de estos desgra Contra. Es…</t>
  </si>
  <si>
    <t>Hóy, Cárlos</t>
  </si>
  <si>
    <t>Cárlos Hóy</t>
  </si>
  <si>
    <t>…s de la Nacionpueden ser destronados, co .cuando,en cuando usan las nácionpsr.este derechí^ lo está- boy ejercien do el.Es mo diceííel ¿creiariÓ'Ahtomo López, y nombrar otros ín su tugare el bien tamento respecto de la persona de D..Cárlos. Hóy fijamos nuestra fu tina suer público; is fój primerqñqiíc se debe atender, y ninguna consideración puede ha te ; él va á ser juzgado por nosotros ,, por los répresehtantcs de la Na ción es cer que Ve pospónga oste debfcrá^olro. ■ ~ pañola. • ' ' *' " "Para probar el derecho de elección que ba tenid…</t>
  </si>
  <si>
    <t>Hoy, Lovoestine</t>
  </si>
  <si>
    <t>Lovoestine Hoy</t>
  </si>
  <si>
    <t>…no que ocupa ó que pietende ocupar, al duque de Frías, embajador de España, al barón de Pappenkein, encarga y cuyos limites ni aun siquiera están demarcados. La Francia es la que le ha do de Negocios del gran duque de Reste, y al general Lovoestine. Hoy á las cuatro y media han salido para bruselas la Reina y las Prin reconocido. La menor reflexión , el sentimiento de la dignidad francesa, el interés co cesas María y Clementina. {Diario de Debates?) lonial debían haber prevenido la precipitación que han influido en nuestras re- - jamones con Abdel…</t>
  </si>
  <si>
    <t>Hoz, Manuél Ciudad de la</t>
  </si>
  <si>
    <t>Manuél Ciudad de la Hoz</t>
  </si>
  <si>
    <t>…uda efe permanecer algún tiempo, pues se han cele Rosclló, subtenientes D. Datmacio Aragonés y D. Fernando Otero, asi como brado contratas paya el abasto de Los buques por cuatro meses. Las tropas que el ayudante dcL mismo cuerpo D. Manuél Ciudad de la Hoz, y el alférez det Se bailan ¿ bordo, que ascienden á ISOQ hombres, desembarcan todos los dias regimiento de Caballería del Rey D. Martin Ramírez, quien nq pudiendo to para ejercitarse en las maniobras. Nada se trasluce respecto de los navios de mar parte por lo escabroso del terreno, aprovechó un p…</t>
  </si>
  <si>
    <t>Htimburgo</t>
  </si>
  <si>
    <t>…d. Coruña, 1 Valencia, 4 id. la augusta Reina Gobernadora. Este brillante y tierno espectáculo terminó Burdeos, 00. zo, | b. Granada, Id. id. Zaragoza, j d. tpn dos descaigas de batallón precedidas de los vivas á Isabel ri J &amp; lá Reina Htimburgo; 00. Barcelona, 4 ps. fs., M41aga. |b.„ * Dcscnénto de lenas» Regénta, desfilando en seguida por delante del gobernador, y restituyéndofe i Londres , á 90 dias, 4 id. Santander. 1| id. 4 4 p. 100 al año. 3*4*4- Bilbao, par. Santiago, Id. su cuartel. A las nueve de la noche dió el ilustré ayuntamien…</t>
  </si>
  <si>
    <t>Hubert</t>
  </si>
  <si>
    <t>…aprecio los tra los derechos mas sagrados del hombre. Pero apenas bajó á la tumba, y es sentimientos nobles y patrióticos del que la ha suscrito.” taban aun calientes las cenizas del Monarca, ¿qué hemos visto! ¡ hablen los he El Sr. Hubert: «Cuando la ley habla, me parece que no deben tener lu chos! Dilatarse é insistir sobre este punto seria superfluo, y por lo mismo yo gar las reflexiones. En el Estatuto Real se dice que un reglamento particu lo juzgaría poco generoso. Nuestras ¡ejes de Partida, el derecho público por el lar determ…</t>
  </si>
  <si>
    <t>…isitudes de Jos tiempos son tales que podría llegar. Para que que debe formarse; y habiéndose propuesto que pasasen á la comisión de Mi no podamos, pues, ser reconvenidos por nuestros comitentes de qae hemos deja licia urbana, el Sr. Hubert se opuso diciendo que ningún particular se podía do las discusiones sin la claridad necesaria, hemos creído conveniente presentar dirigir al Estamento. *&gt; ■ . esa proposición; y espero que el Estamento la tome en consideración , reser El Sr. conde de las Navas dijo que era una cosa muy singular el…</t>
  </si>
  <si>
    <t>…mas sagaz que la mía ha adivinado cuál será la que si se hacia dicha pregunta fuese nominal la votación sobre ella. Se terminó resolución del Estamento, y nos ha dicho que le ve djspuesio, ó sabe que su este debate, retirando el Sr. Hubert su mocion; con lo cual continuó la discu voluntad es conceder los 30 millones que dice la mayor»! , y los 12 que pro sión, concediéndose la palabra al Sr. Alcalá Gaiiano, á quien le tocaba. pone la misma á la augusta Rüina Gobernadora. Yo no alcanzo á ver tanto, £í Sr. Alcalá Galiana i «Entre los d…</t>
  </si>
  <si>
    <t>Hubett</t>
  </si>
  <si>
    <t>…de sus pormenores equilibrio. Mi Opinión en el caso presente es que esto se conseguirá , mas bien cuando se entre en la discusión de los artículos.” que con el dictámen de la comisión , con el voto particular del Sr. Sampons, El Sr. Hubett pidió sé preguntase si el punto estaba suficientemente dis pues me parece que con 24 millones basta para atender al esplendor dei trono. cutido ; y habiéndose opuesto los Sres. conde de las Navas, Gaiiano y otros se Yo no estoy dotado del don de profecía que parece anima ai Sr. Secretario de suscit…</t>
  </si>
  <si>
    <t>Hueiva, Civil'de</t>
  </si>
  <si>
    <t>Civil'de Hueiva</t>
  </si>
  <si>
    <t>…de Concha, para proporcionarles subsistencia y un medio eficaz de servación de carreteras generales; sin que haya que suspender sus obras; no ha reparar el desasne que han sufrido. tenido á bien S. M. acceder á una instancia del gobernador Civil'de Hueiva, pi diendo sé destinase i la habilitación de los caminos de aquella provincia upa De conformidad con lo establecido en Real órden circulár de 26 de-Mar parte del expresado arbitrio; mas se ha prevenido al citado gobernador que zo último, se ha servido S.-M. declarar, qué la presidencia de 1* junta…</t>
  </si>
  <si>
    <t>Huelin, Henriqué Koose y Dr Matías</t>
  </si>
  <si>
    <t>Henriqué Koose y Dr Matías Huelin</t>
  </si>
  <si>
    <t>…s-de ninguna clase que puedan retardar ni un solo instante suejecucion, la confianza en di ~u He dado cuenta ir la Reina Gobernadora del erpediente promo latar para mañana lo que hoy pueda realizarse, todos serán contra vido por, D. Henriqué Koose y Dr Matías Huelin , apoderados deJ co ellas juntos motivos de reconvención, tanto mas graves, cuanto en mercio de Málaga, en solicitud de que se alce la prohibición que mí hallarán todos los auxilios y recursos que dependan del Gobier impone ppr Real-órden de 28 de Julio de 1829 de introducir por no de S., M. para l…</t>
  </si>
  <si>
    <t>Huerta, Aun la</t>
  </si>
  <si>
    <t>Aun la Huerta</t>
  </si>
  <si>
    <t>…espacho de laGuer de la derecha, que habia tenido que subdtvidirse para buscar los puntos mas ac cesibles , y con ellos el subteniente graduado de capitán D. Hilario García de Capitanía genera! de Castilla la Vieja: Excelentísimo Señor: Aun la Huerta, el cual se adelantó al punto hácia los enemigos con una guerrilla,he recibido el parte detallado de la acción de 'ayer en Ja Molina, de lo &lt; . siguiéndole con 1* reserva 4e ella él teniente D. Ramón González ^.1 puente inhero que la columna continúa en persecución de los rebeldes, conforme y el re…</t>
  </si>
  <si>
    <t>Huesca, Juan Ramón</t>
  </si>
  <si>
    <t>Juan Ramón Huesca</t>
  </si>
  <si>
    <t>…en todas las líneas de ministerio dé Gracia y Juslicia-prfra que se 4c atienda, según el Real decreto costa y en todos los países donde se. han establecido, especialmente donde »e de 26 de Abril último, la familia del benemérito D. Juan Ramón Huesca, carece de buenos caminos y canales, que la naturaleza de las costas de la Penín muerto gloriosamente en dicha acción. &lt; sula hace dificíles de efectuar. Con estas miras se ha intentado limitar en lo posible el número y con El comandante general de lág províncias Vascongadas con fecha 28 de dicione…</t>
  </si>
  <si>
    <t>Huet, Huelva D José</t>
  </si>
  <si>
    <t>Huelva D José Huet</t>
  </si>
  <si>
    <t>…ores beneficios. Acciones del banco español, 00. CAMBIOS. Amsterdam, 00. París, 16-2. Cádiz, b. 1 . Extracto dél parte remitido por el gobernador civil de la provincia de Bayona, 00. Alicante, a cotfo pla Coruña, 4 d. Valencia, f d. Huelva D. José Huet con fecha de 5 de Junio último. Burdeos-,Hamburgo,00.00. Barcelona,zo, i d. k ps. fs., Granada,Málaga, id.4 id.id. Zaragoza,Descuento $ded. letras, Elogia el buen espíritu de los habitantes de dicha provincia. Londres , i 9O días, ib. Santander ,4 b. M p. tOO al año. Ha pedido noticias circunstanci…</t>
  </si>
  <si>
    <t>Huet, José</t>
  </si>
  <si>
    <t>José Huet</t>
  </si>
  <si>
    <t>…esde esta capital á la de Soria, y que deberá continuar hüsta esa cor Extracto del parto remitido por el gobernador civil de la provincia de te, el cual será de la mayor importancia al comercio de estas provinvias y la do Huel-va D. José Huet eoá fecha de ó de Julio actual. Navarra, y á la rapidez de las comunicaciones de La corle. . El •estado de contagio en que se hallan muchos pueblos de la Andalucía, He pedido á la misma sociedad riojana todos los plañe» y proyectos que y basta ahora uno solo de esta provincia, es un estado de calam…</t>
  </si>
  <si>
    <t>…icios. Acciones del banco español, 00. CAMBIOS. Amsterdam, 00. París, 16-2. Cádiz, b. 1 . Extracto dél parte remitido por el gobernador civil de la provincia de Bayona, 00. Alicante, a cotfo pla Coruña, 4 d. Valencia, f d. Huelva D. José Huet con fecha de 5 de Junio último. Burdeos-,Hamburgo,00.00. Barcelona,zo, i d. k ps. fs., Granada,Málaga, id.4 id.id. Zaragoza,Descuento $ded. letras, Elogia el buen espíritu de los habitantes de dicha provincia. Londres , i 9O días, ib. Santander ,4 b. M p. tOO al año. Ha pedido noticias circunstanci…</t>
  </si>
  <si>
    <t>…os y tejidos de D. Juan Francisco Clarací-esi co mo podrá ser de importancia U de alabastros que solicita establecer ei italiano Extracto del parte remitido por et subdelegado del Fomento de la provin Maneto Maneti. cia de Huelva D. José Huet con fecha 6 de Abril ultimo. \ Se Umenta det mal estado del comercio, indicando también las causas de Describe el estado de la agricultura en aquel territorio, y espera poder tno ftu paralización , y á fin der disminuirla en cuanto está de su parte, ha concedido ¡orarla construyendo canales Je rieg…</t>
  </si>
  <si>
    <t>…ales, que esta tropa pueda servir y batirse desde el dia que principia ¿ para lo civil á D. Demetrio Ortiz, que actualmente sirve esta pla- pagarla el Estado; ventaji importantísima que ha tenida S. M. á ja-, y para lo criminal á D. José Huet. Y es mi voluntad que ca«la la vista al decretar el referido aumento, sin que por esto se grave* uno de los ministros de este superior tribunal ocupe, según su cla los presupuestos. Madrid Abril 20 de 1834—Imáz. “ se el lugar que le corresponda por la fecha de su primer titulo, y los nuevamente nombra…</t>
  </si>
  <si>
    <t>…la capí tai. vante ha repetido en ata ocasión el brigadier D. José María Cohibí. Extracto delatarte "remitido por el gobernador Civil de la provincia de El capitán general de Aragón con fecha del 25 acompaña los partes del Huelvq D. José Huet, con fecha de 4 de Mayo actual. ‘ gobernador de Alcañiz del 24., y del coronel Nogueras del 20,22 y 23: el Dice qué la coseíha se presenta muy mala por la falta de lluvias, si bien parte del primero se reduce á demostrar la existencia de las facciona del Mon ato mismo ha sido causa de que los labra…</t>
  </si>
  <si>
    <t>Hugon</t>
  </si>
  <si>
    <t>ion í'.lí-^s.álos-Srcs. general Guülemínof; almirante. Hugon; Jouanin, intérprete permanecía estacionaría: que en el resto de la provincia tampoco hacia mayo dei lí.éy; Laugsdorflf; Saint-Aulaire; Laborde &amp;c. Todos estos señores han res estragos: que en la ciudad de Mérida habían ocurrido algunos casos sospe conversado directamente, ó pe® medio de los intérp…</t>
  </si>
  <si>
    <t>…los únicos buques que á su entender se han debido presentar dos proyectos distintos, dejando el de quedarán en este apostadero bajo las órdenes del capitán Lalande. Sin embargo, gastos para cuando se trate de los presupuestos. el almirante Hugon continúa siendo gefe de toda la escuadra francesa que hay El Sr. D’Argout satisface á los argumentos que se han hecho contra el pro en estos mares. Añaden que dentro de poco saldrá para Malta la escuadra in yecto, procurando demostrar que es de suma importancia y urgencia acceder á glesa- la Jey qu…</t>
  </si>
  <si>
    <t>Huiert</t>
  </si>
  <si>
    <t>…sguardo y carabineros de costas hecho: ha Indicado la necesidad de verificar lentamente la economía de que se para evitar el contrabando. ------ — trata, y que esta no puede ser del momento. Si á esas torres se les da,otro des El Sr. Huiert: «La comisión no ha considerado este punto como un ob tino, los individuos que las guardan se incorporarán al cuerpo que se designe, jeto de economía inmediata ó del momento, sino para lo sucesivo. No es, pues, pero no serán desechados enteramente. Supuesto que la comisión no ha tenido una rebaja d…</t>
  </si>
  <si>
    <t>Human</t>
  </si>
  <si>
    <t>…priman y dls- de clases ni de personas. Desde que se enviaron tropas á Tinos para restablecer I , tribuvan , y pasen á examen de las comisiones. la tranquilidad-, «Tordjüí público no ha sido alterado. Unos pocos griegos uní- I E; Sr. Human , ministro de Hacienda, da cuenta del estado en que se ha- dos á algunos extrangeros han hecho tentativas de alborotar el país; mas su ar Illan 1 u rentas públicas, y presenta los presupuestos de gastos y de entradas para resto y el juicio que van á sufrir ante sus jueces legítimos, les enseñará qu…</t>
  </si>
  <si>
    <t>Humann</t>
  </si>
  <si>
    <t>…Helvecia.del dia" 17 de Febrero. bujeira, y siguió1 por las alturas al frente de Almoster á Villanova, amenazan do siempre pasar la laguna que separa la posición que ocupamos .de aquellas Aprobada el acta de la última sesión, eí Sr. Humann, ministro de Hacien alturas. da, presenta do* proyectos de ley: el primero, para que « declare wque hasta Seguí constantemente sus movimientos, determinado á no oponerme á su l.° de Octubre de 1834 se admitirán por su valor nominal los escudos de seis paso, en la certeza de que este era el único me…</t>
  </si>
  <si>
    <t>…que en la sesión del sábado expliquen marca, siguieron á esto las demas proclamaciones en los sitios de costumbre, y dichos señores sus proposiciones. principalmente fue muy solemne la de la plaza Real, en la que el generoso ' El Sr. Humann, ministro de Hacienda, presenta dos proyectos de ley, re síndico procurador general D. Plácido del Pazo había dispuesto un magnífico | lativo el uno al beneficio de minas de sai y de los manantiales y pozos de agua tablado sostenido sobre cuatro columnas imitando el orden júnico^todo cu-| [salada,…</t>
  </si>
  <si>
    <t>Humblot</t>
  </si>
  <si>
    <t>…encia a cartas de Roma dice, que’ el reglamentos relativos ¿ la conservación de los caminos vecinales. La Camara santo Padre trata de ceder la ciudad v territuno de Bo v-Jnu al grjn duque de toma en consideración la propuesta del Sr. Humblot, y manda que se impri 1 osea na , val duque de Módena la ciudad \ territorio de Ferrara, mccuntc ma y distribuya, asi como el discurso que su autor acaba de hacer sobre el mis-’ una indemnización pecuniaria. Parece que lo que ha ciado lugar a esta n u:.*a, mo asunto. que generalmente encuentra poco…</t>
  </si>
  <si>
    <t>…12 de" Marzo. ponerse S. E. encatqino parafr ,a W‘^Ur A Jas cpqfcrenqiqs. de ViepaV V, fl.Pr^aisníí.tótó,la&lt;¿«4áfeif'fqfe-'ha de Wormar sóbrela -ÓropdesU Éstííotíciá parece que viene de un oug^ríSdkL (J^itsfiQ.m F.rfflcfort.y del Sr. Humblot rés^ecdo a carados Vecinales. - : O "t&amp;hía corridq la voz hace algún tiempo" dé que la universidad de Jcna sé ’ El du^úé ae'iEissaiio lee fcl j&amp;torütfcde la coniiiñin que ha ennünftd &lt;tfjixUdará ou* patte^. ppro sábeme* qfofJuuadsmeniC qqe ^ngftjante noti ptoyecto de ley jieUtivo á ¡risHlutionés'/…</t>
  </si>
  <si>
    <t>Humblot-Conté</t>
  </si>
  <si>
    <t>…utación general y ayuntamientos del departamento d$l Sena, y á ia del mo presupuesto de uh ano para mantener las tropas de tierra. ayuntamiento de París. Según el Globo los negocie» de Portugal no presentan todavía un fin pró El, Sr. Humblot-Conté presenta redactados de nuevo por, la comisión va ximo. Ambbs partidos sop, fuertes y* tenaces, y los migüelisras están resueltos nos párrafos de los artículo* aprobados en Ja sesioo de ayer, que para dicho fin a defenderse mientras haya uni Vislumbre de esperanza, creídos que sola la fuer-, se Le d…</t>
  </si>
  <si>
    <t>Humboldt</t>
  </si>
  <si>
    <t>…cursión en los territorios someti rá que se complete la historia de esta especie tan notable: una nueva especie dos á la Puerta. En Lóndres están persuadidos de la necesidad de inclinarse á de dourouculi, clase establecida por el Sr.«Humboldt, y designada singular la política rusa , y proceder de acuerdo con esta Potencia. Las animosidades que mente por IUeger, bajo el nombre de aotus (sin orejas) aunque sea-uno de sus reinaban hasta aquí van á cesar; y la paz »e consolidará en Oriente. Si Mehe caractéres el tenerla mas grande que lossd…</t>
  </si>
  <si>
    <t>Huyó</t>
  </si>
  <si>
    <t>…os toda la libertad que le es debida : la edad media tuvo el fanatismo; la re de unos 20 hombres, que se cree mandada por el cabecilla López en Palas de volución francesa el sistema de nivelación. Hombres de otra época , tengamos Rey. Huyó la facción á la vista de la tropa que la persiguió hasta San Martinnuestra pasión propia, j que sea esta el amor al bien y á la felicidad de las de Condes, en cuya taberna á las ocho de la noche del 6 de Mayo sorprendió masas, que nos dé luces para concebir grandes pensamientos y valor para eje unos c…</t>
  </si>
  <si>
    <t>Hyci</t>
  </si>
  <si>
    <t>…que ha costa de la moderación. Ha dejtdo de pñblicarse el Mtdbogáren (eL Conciudadano), do al autor mis de 12 años de.trabajo, y que Ucva-el sello'de un ingenio vi periódico radical que se publicaba bajo la dirección délteniente coronel Hyci goroso y original. El sitio de Mastrick, tragedia del Sr. Hauch, ha sido tra ta , uno de íos mas fogosos y testarudos miembros de la oposición. Habiendo ducida al aleman. sido citado ante los tribunales el editor ¿ causa-deUun articulo incendiario que - Entre las publicaciones recientes .que han pr…</t>
  </si>
  <si>
    <t>I, Cotí</t>
  </si>
  <si>
    <t>Cotí I</t>
  </si>
  <si>
    <t>…la Guerra. parecieron exigirlo las circunstancias de los tiempos, hasta que por último se creó en 3 de Abril de 1824 una dirección general en la corte, y bajo su inme Capitanía general de los reinos de Valencia y Murcia. = Excmo. Sr.: Cotí I diata dependencia subdelegaciones en las provincias, que recayeron en los res indecible placer he recibido la Real orden del 2 de] actual, á la que acompa pectivos intendentes. Distante la dirección de los pueblos administrados, ocu ñan la relación de la revista pasada á la guarnición de esa corte…</t>
  </si>
  <si>
    <t>I, Fronteras de Polonia Je Febrero</t>
  </si>
  <si>
    <t>Fronteras de Polonia Je Febrero I</t>
  </si>
  <si>
    <t>…ión de los datos que estos arrojen ,y con presencia de los que faciliten tam bién lo» demas citados en fas reglas 6/ y 7.a, se pueda con toda exactitud lieW lllHd&lt;S&gt;i&lt;?hi éítóhti 'y téton de todo eéte servicio por la-intervención general Fronteras de Polonia 22 Je Febrero. I det'fijéta'm. Se h bli de dar una nueva extensión al decreto de amnistía coapmíecde - &amp; 9. a Y finalmente: que todas las demas prendas, enseres y efectos de cual- los polacos. Va se habían tomado algunas disposiciones .aateriqfmtftte Bobe« uieranciase que sean, que se hallen almacenadas y en estado…</t>
  </si>
  <si>
    <t>I, Gobernadora</t>
  </si>
  <si>
    <t>Gobernadora I</t>
  </si>
  <si>
    <t>…Interior contesta que alegra hoy a la nación entera, y que es el preludio venturoso de la felicidad I el gobierno ha usado de la mayor humanidad y miramientos con los polacos que esperamos todos del acertado gobierno de S. M. la Reina Gobernadora. I que se han refugiado en Francia, y que la mayor parto de estos han correspon dido muy mal á los beneficios, alterando el orden público en los puntos en Molina 18 Je Diciembre. ¡donde residían la mayor parte de estos; y finalmente, que los refugiados pola- Habiéndose acordado por el ayuntamiento y d…</t>
  </si>
  <si>
    <t>…Justicia. «Señores: cuando á los pocos di as de las ocurren titucton que recordará siempre los beneficios que se deben al maternal gobiernó í cias de Julio 1830 aparecieron dentro de París estas asociaciones republica de S. M. la Reina Gobernadora. • I nas, que remedando en algunas reuniones las asambleas deliberantes, pugnaban Las aclamaciones dél numeroso pueblo, que acudió como siempre á com-.| por contraponer al trono constitucional un poder rival siempre amenazador y templar de cerca las gracias y amabilidad de !a augusta Recenta del reino,…</t>
  </si>
  <si>
    <t>I, González</t>
  </si>
  <si>
    <t>González I</t>
  </si>
  <si>
    <t>…asar á la comisión la adición, pues esta la adopta por suya-*' bana; pero que antes de pasar á la del 2.a artículo se iba á leer una adición El Sr. Presidente'. «Aprovecho esta ocasión que me proporciona el in al l.° hecha por el Sr. González. I dividuo de la comisión 4 fin de decir al Estamento que las comisiones tienen ~ Se leyó dicha adición, que es como sigue: «Esta Milicia tiene por objeto facultad para variar, aumentar , disminuir y cambiar lo que quieran en los pro defender la autoridad Real constitucional, las leyes fundamentales,…</t>
  </si>
  <si>
    <t>I, Gregorio</t>
  </si>
  <si>
    <t>Gregorio I</t>
  </si>
  <si>
    <t>…a columna, alcanzó la retaguardia dei batallón que había estado en Aibar, A NUNCIOS. el cual, tomando Ja dirección del Carrascal, habia pasado en dispersión por las Ensayo sobre el hombre: poema de Pope, traducido cfet Inglés por D. Gregorio I inmediaciones de Tafalla, perseguido por las tropas del citado brigadier. González Aiaola, Un cuaderno en 8.°, edición de 1821 , á 4 rs. rústica. Trata esta I obra en 1as cuatro epístolas que contiene escritas por el mayor poeta filósofo al sabio | Bollogbroke; i,°, de la naturaleza y estado del ho…</t>
  </si>
  <si>
    <t>Í, Hoy</t>
  </si>
  <si>
    <t>Hoy Í</t>
  </si>
  <si>
    <t>…modos espero las órdenes de V. para moverme al punto que me in persecución; y con ánimo de batir dicha sierra mañana, ocupé al anochecer de dique.” boy con siete destacamentos las siete únicas salidas que puede tener aquel en V. D. Hoy Í medio dia permanecía todavía en la borda, y lá gente rene caso dé ser positiva la confidencia, según me lo acreditará el día de mañana.</t>
  </si>
  <si>
    <t>I, Isabel María S M</t>
  </si>
  <si>
    <t>Isabel María S M I</t>
  </si>
  <si>
    <t>…tas se han visto aparecer en las provincias Septentrionales desde que la^ "El día 6 á las dos de* la" t^rde llegó á esta capital 1¿ Serma. Sra^ Infanta ocupó el duque de Tercería? Y sin embargo, allí están las cordilleras mas ex* Doña Isabel María. S. M. I. recibió á S» A., y entrando en el carruage en su tensas y las sierras mas fragosas del reino: pues la que separa el Alentcjo dq compañía y en la de la Serma. Sra. Infanta Doña Ana, se dirigió á Benfica, los Algarbes es demasiado pequeña y despoblada para servir de foco á una guer-* allí se despidió…</t>
  </si>
  <si>
    <t>I, JoreOrMz</t>
  </si>
  <si>
    <t>JoreOrMz I</t>
  </si>
  <si>
    <t>…sface en esta parte la curiosidad de leas lectores en las notas y en un Obrar que se ha.'ian de renta en el despacho Ue Ja ít previ a Heal. apéndice colocado ai fin de su libro. t'ufif ar ^u:: e¿ rr.mco untu u arto üe hspaña, por D. JoreOrMz. I n t. mo en folio, LPrimamente debemos ai autor la publicación de una obra del mismo Her contieneedición de¡a descripciónifcc.7. adornadodel teatrodP varj.isde lalartunasve.ecre ñn.is.S&lt;¡¿untoa 126.hoyrs. enrú-tMcrvodro,c.i. Estaa-dinir^doobra nán Perez del Pulgar, que inserta reimpresa en el Bosque…</t>
  </si>
  <si>
    <t>I, Joscf</t>
  </si>
  <si>
    <t>Joscf I</t>
  </si>
  <si>
    <t>…n que se alcalde mayor de la Villa del Prado a D. Antonio Aivjrrz Baragaña: para la I determina quiénes han de componer el consejo de Estado, se añada oiro decla de la villa de Gausin á D. Josef Antonio Cires : pira la de Lorca á D. Joscf I rando «que todos los secretarios del Despacho pueden tomar parte en las deli López Pclegrin, y para la de Ciudad-Rodrigo a D. Ramón Angel de1 las [ beraciones del consejo de Estado siempre que aquellas no versen sobre asuntos Cuevas. ! judiciales.” La Cámara adhiere al parecer de la comisión. El mi…</t>
  </si>
  <si>
    <t>I, Josef Vázquez Ftgueróa</t>
  </si>
  <si>
    <t>Josef Vázquez Ftgueróa I</t>
  </si>
  <si>
    <t>…ejercicio de sus funciones. Tendréislo entendido, ; pondréis lo necesario á su cnmplimiento.cz Está rubricado de Ja Real n áS.At-'fa’Rtwa 'GóBtt-itídbfa-seha servido expedir por conducto de la En Palacio á 5 de-Febrero de 1834-=A D. Josef Vázquez Ftgueróa. I primera Secrctaríade Esfado y del Despacho los Reales decretos siguientes: I- - 'ÁtémHendoyhrs razones 'que me habéis expuesto , y conformándome con el ErHisrixio de cbacia y justicia. Ufietiriten tle mi Consejo de Ministros, he tenido i'bien, en nombre de mi Reales Órdenes. l'ñtny imada Hija DoCal…</t>
  </si>
  <si>
    <t>I, Juan</t>
  </si>
  <si>
    <t>Juan I</t>
  </si>
  <si>
    <t>…el general de Vitoria 16 de Abril de 1834— el expresado juez y por la escríbanla de Barroso. Exento. Sr—El marques de Moncayo. a—En virtud de providencia del consejo supremo de Hacienda se cita á los hijos y herederos del difunto D. Juan I defonso de Torres, vecino que fue de la ciudad de (Jbeda, á fin de que en el término de 15 dias El comandante general de las provincias Vascongadas en 1&lt;5 comparezcan por la escribanía de Cámara de Fuga á exponer el derecho del corriente haciendo referencia á la acción del 19 dada en Ur- que les as…</t>
  </si>
  <si>
    <t>I, Manuel Liza</t>
  </si>
  <si>
    <t>Manuel Liza I</t>
  </si>
  <si>
    <t>…orden lo°di¿» s:V. E. pati suimtwigOTC¡xytatiñfflimián!- D. Matías Herrero Prieto, á D. Francisco Redondo y á D. José to. Dios guarde á V. E. muchos años. AraDjuez l.° de Abril de María Calatrava. Y para fiscales de las mismas a D. Manuel Liza- I8.34. = Nicolas María Garelly. = Sr. Presidente del supremo Tri na y á D. Juan Nepomuceno San, Miguel. Tendréislo entendido, bunal de España é Indias. y lo comunicareis á quien corresponda.—Está rubricado de la Real mano.=En Aranjuezá 1.® da Abril de 1834-^AD- Nicolás María Partes recibidos en la se…</t>
  </si>
  <si>
    <t>I, Presidente del Consejo Real</t>
  </si>
  <si>
    <t>Presidente del Consejo Real I</t>
  </si>
  <si>
    <t>…arácter y facultades de deliberante y la denominación de Rej)l juuta superior a V. E. muchos años. Madrid 7 de Febrero dcl334-=Nicolas María Garellycs: r de gobierno y administración económica dé la Real armada , compuesto de la* Sr. Presidente del Consejo Real. I personas que he nombradoyen la que ademas de las obligaciones que eran peIcubares i los empleos de-director y mayor generales, se reuna ct mando supe En 4 del presente remili al M. R. P. vicario, general de S. Francisco la</t>
  </si>
  <si>
    <t>I, Prócer</t>
  </si>
  <si>
    <t>Prócer I</t>
  </si>
  <si>
    <t>…pesar algunos nuevos Estados. que babia causado á la 'secretaría tan triste acontecimiento. Igualmente dio cuen «No era natural ni posible que ninguno de los gobiernos qne han suspen ta el mismo Sr. duque de la muerte del ilustre Sr. Prócer I). José de Itnaz. dido hasta ahora el reconocimiento dé vuestra excelsa Hija mostrase la inten El Sr. Presidente anunció que iba á procederse A la lectura del proyecto ción ó el deseo de entrometerse en nuestros asuntas domésticos. Mas natural es de contestación al discurso del Trono, como asi se ve…</t>
  </si>
  <si>
    <t>I, Rafael</t>
  </si>
  <si>
    <t>Rafael I</t>
  </si>
  <si>
    <t>…ado que con- Suarez en 5u José D- Domingo Pinuaga; Femando y nombro y D. Galindo, j tiene las tases de la organización y servicio de la Milicia urbana, tuve á bien 1 lugar á Du José Alonso,.que lo es supernumerario de la misma: á D. Rafael I mandar se circulase con la propia fecha £ los capitanes generales la competente de Urbina, oidor decano de U de Granada; á D. Francisco Verea y Cornejo, IReal orden para que con presencia de ella manifestasen su dictamen acerca de cesante de la misma; á D- Eugenio Larrumbide, oidor de Sevilla; y á…</t>
  </si>
  <si>
    <t>I, Rafafel Rute</t>
  </si>
  <si>
    <t>Rafafel Rute I</t>
  </si>
  <si>
    <t>…tomar otras medidas que matorrales y relato de los cuatro prisioneros. EJ mencionado brigadier reco se estimaban convenientes para la pacificación de aquel territorio. mienda el ardor, denuedo y bellas disposiciones del ayudante D. Rafafel Rute I en esta jornada, como asimismo el entusiasmo con que se ha comportado ej g subteniente del provincial de Orense D. Manuel Ribera con 1&lt;5 hombres dd f Partes recibidos en ¡a secretaría de Estado y del Despacho de la Guerra. propio regimiento y 13 tiradores de vanos pueblos de la Sierra, quienes en.…</t>
  </si>
  <si>
    <t>I, Rariion López Pélégrin Oyó V M</t>
  </si>
  <si>
    <t>Rariion López Pélégrin Oyó V M I</t>
  </si>
  <si>
    <t>…le y (mo rado partido, y que abrazase la heróica resolución de restaurar el trono de su V. E. muchos años. Madrid 28 de Agosto de 1834.=El conde de I'o hija, dando asi por segunda vez la libertad á la nación portuguesa. Teno.=Sr. D. Rariion López Pélégrin. «Oyó V. M. I. nuestros1'votos, ó por mejor decir, siguió los impulsos de su magnánimo coraron, se encargó de la regencia en nombre de la RsntA, es tregóse á las fatigas, peligros y cuidados de su gloriosa misión, y este grande PARTE NO OFICIAL. propósito divulgado en Europa proparcicaó desde luego i V.M.I. los m…</t>
  </si>
  <si>
    <t>I, Santiago</t>
  </si>
  <si>
    <t>Santiago I</t>
  </si>
  <si>
    <t>…d. id. Ierras, Desciwnto de b. Navarra. (Id.) '' j ‘ \ ' - ' Ha|ubur|otLóqdres, a 00.90 dias,,. Barcelona,tb. 4 ps. fin, Santander, i al 4 4 p. 100 mandando se recuerde al ayuntamiento de Madrid la Real; órden de 11 l7£. BUbao, 4 d. Santiago 1 I d. añc. de .Mareo último sobré el pagó de *u* réditos corrientés y arrisos.'(/d.) • q, recomendándo la mayor actividad en la formación tfel tamario sobre la* . draagrádable» oCurreócjqf. dejerez de la Frontera dé 6 y 7 de este toes. (Id.) —_ sobre las sociedades económica*. (IJ) •■*■■■ &gt;-íi- i ANUN…</t>
  </si>
  <si>
    <t>I, Zaragora</t>
  </si>
  <si>
    <t>Zaragora I</t>
  </si>
  <si>
    <t>…antiago 1 d. Edudres 4 90 días 37J Bilbao par. Sevilla par. Observación. 'En el número de fallecidos e?tao inclusos los dp i i. Cádiz | o. Valencia id. hh4e fe» hospitales y de toda piase de enfermedades. 4 París iti I. Corufia j d. Zaragora I d. Descuento de letras 11 4 p. ios al aDo. Sitad# ¿*n¡Mw de Metepona desde ti dia 2$ al 28 de la fachs%* Existe acta de) ¿i* $(*». afi&amp;eniw. Invadidos. | Totjti. [Curados Fallecidos. ANUNCIOS. Graves. Leva ] " tos sascrlptores i la a.a parte del nuevo periódico de música titula do el Eco de ia ¿per…</t>
  </si>
  <si>
    <t>I.opez, Manuel</t>
  </si>
  <si>
    <t>Manuel I.opez</t>
  </si>
  <si>
    <t>…concluyó las evoluciones de su objeto , obtuvo un de la misma junta encargada de exa.lunaria. incesante aplauso de sus conciudadanos, y repetidísimos vivas i todo el cuerpo. El brillante de caballería dió los piquetes exteriores. D. Manuel I.opez , impresor y librero de Asilencia, ha obtenido ReaL per En el cuartel de este, establecido en la alameda de los Hércules, se colo miso para publicar en aaucHi ciudad un periódico con el titulo de Diario caron también los retraros de SS. MM., habiéndose erigido para su adorno un Mcrcati:il, haciendo…</t>
  </si>
  <si>
    <t>I.tériz</t>
  </si>
  <si>
    <t>El Sr. I.tériz dcihizo uní equivocación que no se pudo percibir, y ¿ la Se declaró el asunto suficientemente discutido, y se puso i rotación el que contestó en breves palabras el Sr. Secretaria de Estado. párrafo del proyecto del- Gobierno en los términos siguientes JE! Sr. Argüellet: «El Sr. Istúriz principió po…</t>
  </si>
  <si>
    <t>IA, Santiago</t>
  </si>
  <si>
    <t>Santiago IA</t>
  </si>
  <si>
    <t>…1&lt;L 4 d. zo, Qranada, | i iHamburgu, 00. - Barcelona, é os, ñ,. M alagav &gt;d^ Id. Descuento de letras, Lóndres , i oQ dias, i b. Santander ,4 b. k 4 p* 100 «i i Baetn;.................. 29 Jun.52 Júl. 1120 226 54 38 a *. Bilbao, i d. Santiago 4'IA , ' Beoanteji............. 30 Jun. í 2 Ju¡. 272 29 10 ANUNCIOS. Cibra................... 29 Jun. i 2 Jul. 2075 319 10 Boletín He medicina, cirugía y farmacia, núm. 6 de hoy 10 del corriente. Con Castro del Rio... 30 Jun. i 3 Jul. 315 113 77 tiene:continuacióndiscusiónde ladogmáticainstrucciónsobrep…</t>
  </si>
  <si>
    <t>Iabefc</t>
  </si>
  <si>
    <t>tantos ¿Jos primitivos'tiempos de la monarquía vi^o-goda.-Entonce* la corona . zó U nacloü í manifestarse intimada ¿favor dé la Princesa Doña Iabefc Y# no (ira hereditaria, era electiva; aporque los costumbres guerreias de aquellos ; la cuestión es entre dos hembras;,macsía^bi ja ~dei Rey,y laotra mlirnin pueblos, que llegan comígo -ql sello de .1» rudera de la época, exigían que el, na&lt;4&lt;&gt; Muere débil: Monarca^ y, qisda; la¡: nacicmueirrl mas ta…</t>
  </si>
  <si>
    <t>Ibabelii</t>
  </si>
  <si>
    <t>…..^......... 38o iyo 95, Para India*............... 4*a 900 • loa*-. "-5-' ( ; iÜtiCCLO DE OFICIO. .equipo y adorno-interior de sús dos palacios, deberán ser ¡papisa- mente fabricados en España. ^ ' "ti--*1 Ta Rewa nuestra Señora Doña Ibabelii continua ón. novedad Art. 6? En el ministerio de lo Interior se cóñserrXrán Tós'thoJé. en tu importa o te aahifl-en el Real sitio de San LIdefuoao; y de igual los de los trages y bordados señalados, á los cuales se arreglarán exac LeneiicáQcdisfruta .S. -M.-&lt; la Reíiu Gobernadora en ei Real. palaci…</t>
  </si>
  <si>
    <t>Ibaentusiasmadas</t>
  </si>
  <si>
    <t>…pereza del terreno. cer algún dia un pernicioso, indujo en una esfera muchotmas extcma; y q»ée Todas las demas.pyovtncias permanecen quietas, sumisas, cada dia mas al contrario, la consolidación del trono de nuestra augusta Reina Doña Ibaentusiasmadas por Ja causa de su legítima S&amp;beráh*; ¿¡o que haya podido basta be 1 11, es no solo una áncora de salvación para España, tínn fma prendando ahora la facción que promueve el desorden, como preludio de la usurpación, •estabilidad y de órden para la Europa entera. ' 1 hacer que se extienda la lucha de…</t>
  </si>
  <si>
    <t>Ibafiez, Manuel</t>
  </si>
  <si>
    <t>Manuel Ibafiez</t>
  </si>
  <si>
    <t>…n los comandantes Sagastibelci, Uzalbe y Ripalda, el pri qué salieron al encuentro por disposición del Sr. coronel, gefe de la plana ma mero se cree ha muerto ya, de tuerte que puede considerarse el total de ni yor de U división, D. Manuel Ibafiez. i pérdida en 4 gefes, gran número de oficiales y 800 hombres fuera de cotnba- ' Dispuesta ya toda la división para recibir al enemigo , empezó este 1 avan . te. La nuestra , aunque bastante considerable, sin embargo muy inferior pro— zarse con la mayor audacia sobre mis líneas, que formaban un ángu…</t>
  </si>
  <si>
    <t>Ibañez, José</t>
  </si>
  <si>
    <t>José Ibañez</t>
  </si>
  <si>
    <t>…de artículos adicionales á la ley de 8 de Mayo de 1828 que rige do, en atención al quebranto de su salud; nombrando para suceder- provisoriamente la libertad de imprenta hasta la sanción de la ley permanente. le al agente fiscal D. José Ibañez, y para esta resulta a D. Mariano Art. l.° Ningún periódico ni papel suelto podrá imprimirse sin llevar ci Muñoz y López. nombre del editor, que será responsable en todo abuso de la libertad de im prenta que se note en su contenido. 2. ° Siendo los asuntos políticos materia de discusión grave y ser…</t>
  </si>
  <si>
    <t>Ibañez, José Muría</t>
  </si>
  <si>
    <t>José Muría Ibañez</t>
  </si>
  <si>
    <t>…rre^ws cállW ¿¿dornadog1 corl cinta? c^.la cabeza y en J¿¿ v de teniente coronel del reginíiettto del Rey í.° de líéea D. Bartolomé Serrano cintura, y empuñando sendos garrotes. que las mandabáV y h^^óo gravemente el subtecniente D. José Muría Ibañez. ^gMochp jic^npo hace ya que recibió orden la policía de impedir estas san-* Éste incidente hizo que éstas se retirasen; y creyendo los facciosos que É^bia j^íSu?K '‘c^áfrcTonesV qhfe1 tanto recuerdan los tiempos del feudalismo. Ayer á llegado el, momento de su victoria, sb arrojaron bárbaramente so…</t>
  </si>
  <si>
    <t>Ibañez, Miguel</t>
  </si>
  <si>
    <t>Miguel Ibañez</t>
  </si>
  <si>
    <t>…el comprador quiere arrancarlos por su cuenta para él corregimiento de Ubeda á D. José Ramón Moreno: para la alcaldía se le rebajará medio real en cada uno; pero si se arrancan por cuenta de la em mayor de TorrecilLi de Cameros á D. Miguel Ibañez: para la de Burgos á presa se pagarán los precios señalados. Se hallan repartidos en los departamen D. Juan Rodríguez Cj1:: cora la de Villarcayo á D. Lorenzo Cobo de tos del Bocal y términos de la ciudad de Zaragoza; y las personas que quieran Héras: para la de Melgar de Fernamental á D. Gerónimo…</t>
  </si>
  <si>
    <t>Ibar-Navarro</t>
  </si>
  <si>
    <t>…alase el artículo de e»tc á Las com‘^t&gt;r^ reunidas dé Gracia y1’Justicia y de fjjíactetlda preseptaron ^ que pudiese referirse el caso en cuestión. 1 su dictamen , por el que parecía arreglado el de la cotni^ion mi^a t nom- ■' El Sr. Ibar-Navarro contestó que’el tít. 14 del mismo estaba bien termí-V bridaspaVa conciliar la divergencia de opiniones entre uno y otro ^staímento ■ , paste , pues uno de los casos en que determina que se celebren sesiones secretas _ en ordfcn á los artículos 5.0 y 6.° del provecto de ley relativo ¿ la Abolición e…</t>
  </si>
  <si>
    <t>Ibar-Navarro, Justo María</t>
  </si>
  <si>
    <t>Justo María Ibar-Navarro</t>
  </si>
  <si>
    <t>…. EusebioBardají y Azara ; conde González Castejon; P. Ramón Gil de la Cuadra; marques de Montealegre, conde de Oñate; ca , el alivio concedido á los pueblos de varias exacciones onerosas, marques tic StarCruz; obispo de Córdoba; D. Justo María Ibar-Navarro; du y otras mejoras que se están preparando, os mostrarán mi solícito . que dé Rivas; D. Antonio Cano Manuel; arzobispo de Méjico; conde de Monanhelo, y ofrecen ya á la Nación las mas lisonjeras esperanzas. No terron; duque de Medlnaceli; conde de Atarés; marques de la Candelaria de »e ocultará sin…</t>
  </si>
  <si>
    <t>Ibarreta, Miguel</t>
  </si>
  <si>
    <t>Miguel Ibarreta</t>
  </si>
  <si>
    <t>…lida del pueblo y gos , ha hecho brillar la intrepidez de toda la compañía, la de su arrojado y su flanco izquierdo: no tardaron los rebeldes en desplegar una numerosa línea valiente capitán D. Antonio Zumeta, la de los tenientes D. Miguel Ibarreta de tiradores sobre nuestros puntos, siendo careado el de la derecha con intre y D. Pedro Argoti, y la del hijo del capitán D. Miguel , de edad de 15 años, pidez por fuerzas considerables y cabal 1ería , Io que le obl.có á ceder la posición, que fue uno de los primeros que entraron en la casa. Este biz…</t>
  </si>
  <si>
    <t>Icháro</t>
  </si>
  <si>
    <t>…prüeba los artícu para viciar su codicia, U cual lev hizo marchar en 24 horas mas de nueve le los 9 d 15 , ambos inclusive, y una adición del Sr. Barbel, en los cuales »‘se gua?. A U primera noticia acudió Velozmente á Vitoria el coronel Icháro, que dhttfrtínirtaVf las atribúcrónfcs 5y facultades de-los corregidores (fnairts); ti modo • manda la columna nun-il de Alava y U guarnición de la Puebla; se puso en de hacer las subastas para obras ú otras cósás que se paguén dé' los fondos de movimienuví^deMironda, y el brigadier Espartero como…</t>
  </si>
  <si>
    <t>Ichaso</t>
  </si>
  <si>
    <t>…ratado, sqs firmas se colocan tan natural ñon habian pedido los facciosos 5*00 raciones de pan, vino, y fió de cebada mente al lado de las de los gabinetes de Madrid y Lisboa que aquellas dos Po que se les preparaba, dió avisó al coronel Ichaso, el cual destacó una partida tencias disfrutan en esta circunstancia de un privilegio poco frecuente en polí que recogió las raciones. tica; á sab,er, el de cumplir una obligación atendiendo á su prdpio Ínteres. Congratulamos sinceramente al ministro por el éxito de esta negociación. El comandante…</t>
  </si>
  <si>
    <t>Ichazu</t>
  </si>
  <si>
    <t>…ronto exterminio de este cabecilla. Id. slu interes, 00. Acdooesdel banco español, 00. cAnuos. El día 19 destacó el gobernador militar de Alava una columna sobre Ar ■! Sevilla par 4 CSdiz b. i t b. id. Valencia laban al mando del coronel Ichazu, quien logró batir una pequeña partida dé Amsterdam,Bayona, 00. oo.. ParísAlicanteIJ-IÍ.a corto pía. Corulla d. 4 rebeldes, aprehendiendo cinco, entre ellos i su gefe el canónigo D. Josef Ar Burdeos, oo* ao par. . Granada I¿ ¡&lt;L Zaragoza } d. bulo , que fue el día 20 pasado por las armas en Vitoria…</t>
  </si>
  <si>
    <t>Icnido, Habiendo</t>
  </si>
  <si>
    <t>Habiendo Icnido</t>
  </si>
  <si>
    <t>…os Ocson Oneill, capitán del expresado regimienta de la Guardia, que Comandancia general de la provincia de Soria y columna móvil de la mis- haciendo uso de su valor y conocimientos militares , ha tenido una parte muy ma.ssExcmo. Sr. : Habiendo Icnido noticia en Monteagudo-d^-qn^-los rghelttea -activa en esta ocasión; asimismo son dignos de Va consideración de S. M. ei te Cucvillas y Basilio García, con su facción compuesta de 5lH) hombres, se ha niente del mismo cuerpo D. Isidro Ortiz de Zarate y el alférez D. “Lorenzo bían dirigido ai convento…</t>
  </si>
  <si>
    <t>Id, Antonio Dichas</t>
  </si>
  <si>
    <t>Antonio Dichas Id</t>
  </si>
  <si>
    <t>…. An aracTos públicos. drés Godino, los que con su actividad incansable lograron capturar á 4 faccio Inscripciones sobre el gran libro al 5 por 100, 53 J al contado. sos, y según referencia del digno comandante de aquella milicia D. Antonio Dichas Id. al 4 p. 100, 00. Pcrez Aloe, no pierde la esperanza de capturar al cabecilla , por el empeño con Íítulosd. id. deal 4portadorp. 100, de*8f,5 p.i,100,y $ ai00.contado: 48! y 4 A varias fs., dentro de 60 dias, que lé buscan todos los que componen esta&gt;pequeña columna, que a porfia d^n. voL y firme*:…</t>
  </si>
  <si>
    <t>Id, Bal</t>
  </si>
  <si>
    <t>Bal Id</t>
  </si>
  <si>
    <t>…erecho á los bienes de Febrero 5......... 1 5 25 3 43. Id. 6............... 2 7 35 i 11 73. seraD. Manuel, por laFelipeescribaníaSampelayo,de Sanchapara, dondeque acudauradicani losdeducirloautos deeosue.l abiótest^to.juzgado del Sr. Bal Id. 7................ 16 38 15 69. Nota. E« la Gaceta anterior, columna 2.*, línea 8.a, ea lugar de ¿&gt;. Antonio Me58 98 29 185. dreno: léase D. Antonio Mediano, y eo la linea ig léase D. y acobo Viilanova y Jor Observaciones. En el número de fallecidos están inclusos ios de los tres hos dán*Mayo,en léa…</t>
  </si>
  <si>
    <t>Id, Fran</t>
  </si>
  <si>
    <t>Fran Id</t>
  </si>
  <si>
    <t>…a rias ís, o vol. y firme. El capitán general de Castilla la Vieja remite el parte siguiente : lleuda negociable de $ p. 100 4 papel, 20 f, í y 21 4 varias fs. ó vol. «Excmo. Sr.: El coronel del regimiento provincial de Plasencia D. Fran Id. sin ínteres • 00. cisco de Azpiroz y Jalón me dice desde Carazo con fecha 1/ del actual lo Acciones del tánico español, 00. . que sigue: Excmo. Sr. Una marcha de nueve leguas dirigida solo por la huella CAMBIOS. que iba dejando la facción de Lucio Nieto, me puso ayer á la inmediación de Amsterdam,…</t>
  </si>
  <si>
    <t>Id, Valencia</t>
  </si>
  <si>
    <t>Valencia Id</t>
  </si>
  <si>
    <t>…1° de Marzo.. ¡ " 8 1 14- Acciones del banco español, 00, CAMBIOS. 2 id................ 11 12 1 24- Amsterdam, 00. ¥arts 15-18-19. Cádiz i b. Sevilla par. 3 id................. 3 8 1 12. Bayona, 00. Alicante á corto pla Corulla | d. Valencia Id. 4-id................ 4 2 2 8. Burdeos, 00. no par. Oranada 1 id. Zaragoza 1 d. Hamburgo, oo» — Barcelona i pesos fs. Málaga i á par* Descueut.0 de letras Santander par. á 4 p. xoo al año. á 90 dias i *». Observación. En el número de fallecidos están inclusos los de los hospi Ldndres d. Santiago 1 B…</t>
  </si>
  <si>
    <t>Ida, Be</t>
  </si>
  <si>
    <t>Be Ida</t>
  </si>
  <si>
    <t>…endemos á lo que es mas urgente. Si cada comisión está El Sr. Presidente manifestó que antes de pasar la discusión adelante, de encargada de entrar en el exámen del presupuesto de su ramo, y la totalidad bía decir que el plan del Sr. Be Ida podría herir á las comisiones ya nombra se halla dividida en Tantas partes ó artículos cuantos son Los presupuestos que das, y que se habían ocupado de estoi trabajos; ademas de que las comisiones abraza, examinada la cuestión al presentar cada comisión sus trabajos, resultará no podían ser de núme…</t>
  </si>
  <si>
    <t>…uata que expresa el articulo 92 dél reglamento.” *&gt; el Estamento que me -explique asi , pues tro puedo dejar de hacerlo al ver loa El Sr. Medrano, auior de la indicación, dijo que su intención al hacerla esfuerzos que ha hecho el Sr. Be Ida para probar que el dictámen de la comisión había sido, visto el estado; tan delicado en que se bailaba la discusión, buscar es el que debe ponerse á votación, y no el proyecto de ley presentado por el un medio breva y eficaz-de-cortarla; j que leipÉscc¡a.qu&amp;SSÍQ padiuaconarse Sr. Ministro de Hacien…</t>
  </si>
  <si>
    <t>…í 7 N .que se discufán Jas peticiones eppújsl¡co, han llenado sus deberes.”. - Sr. Presidente: «Esa sexáiaslínea paÜío sucesivo: pero atsaráiJIDS debe-,', , El Ettamenia.aprohó.éL triodo de proceder de laLcomisiones. ‘ - - El Sr. Secretario Be Ida, después de leer el art. 57 y el 135 del regla caso presente.” el mas ocupar en unas de Después ligeras contestaciones, se puso á votación si habia lugar mento, pidió que asi esta petición como las dos presentadas ayer se imprimie sen y repartiesen á los Sres. Procuradores, para que tuviesen conoci…</t>
  </si>
  <si>
    <t>Idem</t>
  </si>
  <si>
    <t>…ándose con este dictamen, resuelve que el presidente Berün 2 de Junio- y secretarios nombren una comisión de nueve diputados paca que examine dichos proyectos. (M.) Ayer tarde S. A. el príncipe Real salió de aquí pera Stettin: la Princesa Idem 12. hereditaria le seguirá dentro de ocho dias. Se trata otra vez de mudar el uniforme del ejército; pero como esto seria Continúan con la mayor actividad los trabajos de la ciudadela de Gante, muy costoso, el minijtro de la Guerra se ha opuesto 1 ello. (Mercurio de bajo la dirección del ingeniero…</t>
  </si>
  <si>
    <t>…e' concluido cuatro-cuyos interesados .teniendo todos los requisitos pre reaidos « Reales órdenes han sido puestos en posesión de- sus fincas. . Quintanar del las obras vigor Han'Vuelto mayor y con continuaría i principiar proyec Rey.. Idem ídem..... 30 00 8 tadas lisonjeán que de Palmas en entrada esta ciudad, enéPpúénte facilita la dome de qué antes que llegue la estación lluviosa esté hecho de nuevo el pavi Villar de Cañas. 23 de Idem.... . 39 4 Smento de' grahito de la mitad del puente, que todo él tiene 933 varas de lon gitud. .'…</t>
  </si>
  <si>
    <t>Idem, El Iznajar</t>
  </si>
  <si>
    <t>El Iznajar Idem</t>
  </si>
  <si>
    <t>…e. Luego que la tropa descanse , regresaré á Ca- Doña Mencía. .. 3 á 5 idem.... 183 77 ’ 8 latayud ,ó tomaré la dirección que juzgue mas conveniente , dando de lodo i V. E. puntual aviso. Dios &amp;c. Alama 9 de Julio de 1834— Excmo. Sr. = El Iznajar.................... Idem 4 idem.. 52 - 21 6 coo^e de Mirasol. = Excmo. Sr—Conde de Expélela.” Lucena.................... 29 Jun. i6 Jul. 239 65 29 Luque..................... 3 i 5 idem.... 326 153 14 . Extracto del parte remitido por el gobernador civil de las islas Baleares D- Guillermo Mor agües con fecha de 31 de Mayo ú…</t>
  </si>
  <si>
    <t>Idem, Isidoro Bo</t>
  </si>
  <si>
    <t>Isidoro Bo Idem</t>
  </si>
  <si>
    <t>…11 9 tica y 16 pasta común. " _ Vatseca» Idem................... 10 7 00 —Viage artístico á varios pueblos de España, cpn el fulclo de los obras de las tre* nobles aites que en ellos existen, y epr^cas i que pertenecen. Su autor Don Isidoro Bo Idem.................... 10 1 3 tarte. Tcxtío \,o viage á Segovia. VaUadoiid y Burgos, edición de I8Q4, á 8 rs. rama y 14 pasta común. Nota* Seguían presentándose casos sospechosos en algunos pueblos de 1* —Visitas al Santísimo Sacramento y á la Virgen * traducidas del franees al castellano provincia, bien que en la mayor…</t>
  </si>
  <si>
    <t>Idem, José María Moscoso Francfort de Altamira</t>
  </si>
  <si>
    <t>José María Moscoso Francfort de Altamira Idem</t>
  </si>
  <si>
    <t>…dente de la Dieta, adoptará esu algunas resolucio cesario para su cumplimientos Está rubricado de la Real manos nes que darán á conocer la clase de instrucciones que han venido de Viena á En San Ildefonso á 17 de Julio de 1834.=A D. José María Moscoso Francfort. de Altamira. Idem 30. S. M. la Reina de Inglaterra pasará en breve por esta ciudad para trasla SECRETARIA DE ESTADO. darse 4 Sajorna-Meimmgen. S. M. no se detendrá aquí mas que una noche. To Real orden. do está dispuesto para recibirla. ~- Habiendo determinado S. M. la Rf.tna Gobernadora trasladarse T» reunión del d…</t>
  </si>
  <si>
    <t>Idem, Pe</t>
  </si>
  <si>
    <t>Pe Idem</t>
  </si>
  <si>
    <t>…intervalo disminuye las dificultades que ofrece en otros puntos; pues la tercera parte de la anchura es ocupada por el grande lago de Nicaragua. CUniversal de Montevideo.') 1 , S. M. la Reina Gobernadora se ha dignado conceder á D. Pe Idem 19. dro de la Hoz, fiscal general de correos, la jubilación que ha pedi Proyecto de artículos adicionales á la ley de 8 de Mayo de 1828 que rige do, en atención al quebranto de su salud; nombrando para suceder- provisoriamente la libertad de imprenta hasta la sanción de la ley permanente. le al age…</t>
  </si>
  <si>
    <t>Ido, José Toa</t>
  </si>
  <si>
    <t>José Toa Ido</t>
  </si>
  <si>
    <t>…nta en el despacho de la imprenta Real. toda clase de enfermedades. La meteorología aplicada á la agricultura: memoria premiada por la Real Socie Provincia de guadalajara. dad de las ciencias de‘ Moinpeller , escrita por el abate D. José Toa Ido, traducida e ilus trada con varias nocas por el capitán D. Vicente Alcala Gal ¡ano. Un tomo en 4.0, edi Su gobernador civil participa con fecha 25 del corriente que en aquella ción de 1786, á 8 rs. rama y 1? pasta coinun. capital había disminuido notablemente la enfermedad que la afligía; pues desd…</t>
  </si>
  <si>
    <t>If.rt</t>
  </si>
  <si>
    <t>…bombas y vasos de colores, formaba un sorpren rei alta con fe;ha del á, me d¡*e lo que s.ijue: Ejercito, de operaciones Jet dente espectáculo, y recomendaba el patriotismo de O. Josef María Marcha— Norte líe top iiij._ij.Hxk.mn. Sr.: If.rt . c-. y■* 1 .t V. E. que habiendo id*» en pe-senulo que la adornó á sus expensas. cueiori d: los oat-dloncs navarros Iv _.5 v compañías de prercrcr}ci 1 de _1 3 En los t^es dias dió el ayuntamiento una abundante comida 2 los presos de con ia junta, que ni i ludidos por Zum il.u.ir 're •»&gt; se habían…</t>
  </si>
  <si>
    <t>IfeS</t>
  </si>
  <si>
    <t>…e un particular, cuva área debe servir de plaza , j juicio sumarísimo7 según en dióhó 'arfítiúosé determina, las personas compren para la debida compensación se le c*tá construyendo una magnífica, que con didas en la frase vaga'y general «IfeS dWítn asilo ó proteCcióhJ” Sala de las se otra que levanle el cura párroco, servirán para adorno de la misma plaza; S&amp; hallan muy b.en empedradas sus mlics , blanqueadas sus casas, y construido un gracioso y camodo paseo, á cuyo extremo hav un espacioso estanque v her mosa fuente que hacen las debe…</t>
  </si>
  <si>
    <t>Ifórth</t>
  </si>
  <si>
    <t>…: La en 8v9 Se vende á 4 rs. en rústica en Madrid en la librería de Calleja * y eo Vallado-. junta provincial de mi presidencia, en consideración al estado sanitario de la lid en la de Rodríguez. Historie de la administración del lord Ifórth, primer ministro qiie Tue de Ingla ciudad de Marbella, donde según los avisos oficiales que acaba de recibir se han terra, y la guerra de las colonias basta la paz de 1703 r'hn tolmo eíi 04®'Está obra, presentado algunas enfermedades bastante sospechosas, ha dispuesto en sesión escrita en Ingles y…</t>
  </si>
  <si>
    <t>Iglesias</t>
  </si>
  <si>
    <t>…Por separado me anuncia* qué sí las noticias adquiridas se confirmaban, cerciorarme mas no abandone este punto., en el que aca.ba.de incorporárseme marcharía en seguimiento de las facciones; para cuyo efecto se había puesto en el comandante Iglesias con las dos compañías que se hallaban en Peñarroyacomunicación con el brigadier Colubi, que se dirigía desde Horta á Arnés. Igualmente he sabido hoy ha tenido el enemigo 61 heridos, v se han hallado Espero que Vi E. se servirá patentizar á S. M. el distinguido mérito de dos pellejos de alquitrán qu…</t>
  </si>
  <si>
    <t>Iglesias, Joaquín</t>
  </si>
  <si>
    <t>Joaquín Iglesias</t>
  </si>
  <si>
    <t>…antería D. Erancisco Escobar: capitanes giaduados de co ronel, del regimiento de Córdoba D. Manuel Michel y D. Baltasar Eerrer: ¡os tenientes D. Cayetano Cabaces, graduado de teniente coronel, v O. Romual do Aguado, y subteniente D. Joaquín Iglesias, todos del mismo cuerpo; v el ESPAÑA. teniente dei 6° ligeros D. Luis Mailen: contusos, el anudante del 4.0 regi miento de Guardia Real D. José Mozurd; el teniente con grado de teniente Madrid i 0 de Octubre. coronel D. Julián Pordoy, y subteniente D. José Hermenegildo, del regi miento de Córdoba,…</t>
  </si>
  <si>
    <t>Iglesias, Manuel</t>
  </si>
  <si>
    <t>Manuel Iglesias</t>
  </si>
  <si>
    <t>…su capitán D. José Jara, y por un piquete de nuel Arregui, que se halló con el mayor entusiasmo en todas partes; del ca convalecientes del regimiento de Córdoba, asistentes y varios soldados sueltos pitán de equipage ya nombrado D. Manuel Iglesias, que ademas del mérito de otros cuerpos que se trasladaban á Pamplona, animados por el valor y deci contraído ruando fueron atacados, se mostró en todos lado«&gt; con su valor y se sión del conductor de equipajes el capitán ilimitado D. Manuel Iglesias que se renidad en medio de los mayores peligros:…</t>
  </si>
  <si>
    <t>Igna</t>
  </si>
  <si>
    <t>…¡ . pximeba. económica de Madrid; EV .Francisco' Asas y p. Antonio Calama, canónigo* ' Para que los jhieWósde la províncla de Salamanca encuentren fácil y len- de esta santa iglesia ; D. Josef Borreguero, prebendado de la misma: D. Igna ülámeote et níedicr de comunicarse ccm la subdelegaron de Fomento, insta- cio Moptes, catedrático de prim^en mediciq?; D-Oistóba) Solano, caledtáida solemnemeété en el día; de -hoy según la circular de esta- fecha, me ba'pa- tico.de astronomía; el doctor D.^liguel. Marcos; D. Josef Pérez Sanchéii.a…</t>
  </si>
  <si>
    <t>…Enguídanos, cesante de la contaduría de Valencia! la de oficial primero de ia contaduría, de La compañía oómica. de Sevilla solicitó que por los fondos municipales se Cuenca, vacante por fallecimiento de D. Pedro Gómez Zamora, á D. Igna pagase alguna paTte de la deuda que contrajo durante,la suspensión de funcio cio María Uzcundun, cesante de la suprimida dirección del ramo; y la de ofi nes ocurrida con motivo del fallecimiento del Sr. D. Fernando vtt, y de ia cial de la contaduría de Almena, vacante por cesantía de D. Juan Cuervo…</t>
  </si>
  <si>
    <t>Ignacio</t>
  </si>
  <si>
    <t>…e los Reales ejércitos, capitán general da teniente general de los Reales ejércitos, presidente del tribunal su las islas Baleares; D. José Cafranga, del llonsejo Real; D. Luis Ba ccino de Guerra; conde de Clavijo; Conde de Teha; D. Ignacio de lanzas mariscal de campo de los Reales ejércitos,capitán general de a Pezuela, del Consejo Real de España é Indias; D. José Juan Bo- Granada; D. Jacobo María Parga , del Gmsejo Real; conde de Ta nel y Orbe, obispo de Córdoba; D. Evaristo Perez de Castro, envia beada. Y es mi voluntad que á cada uno…</t>
  </si>
  <si>
    <t>…stración. por lo tanto acreedores á toda recomendación estos bizarros gefes, como los 'también las cárceles han sido objeto de su solicitud; y después de haber oficiales del mismo cuerpo los capitanes el teniente coronel graduado D. Ignacio hecho en ellas las mejoras del momento que estaban á su alcance, ha encargado La Puente, D. Josef Sol.ins, el teniente coronel graduado D. Pedro Rute, di ayuntamiento lé proponga arbitrios de que se pueda echar mano para aten D. Miguel La Cuadra, D. Josef Gómez Cano, D. Ignacio Beza y D. Jbsef der…</t>
  </si>
  <si>
    <t>…extrañamiento de estos reinos y Ocupación de témpora— tierro en él pueblo que él Gobierno _ »r¿ Á j ^ IMadtetr (le- los - edesiáBtkaas siguientes: D. Manuel María. Rentarles; tiempo que se haya fijado en la sentencia; el cualBoTi D. Ignacio, Gómez Barrio, y D. Francisco Ezeiza, canónigos de Búr- dos añas.ni pasará de seis: quedando después m v«¡_ mgjD.Juan^arasuá, sochantre de la misma iglesia metropolitana;. pecjal de las autor idades locales.- 3i Si el injly* i deui» j Rpiyd,. áyiptfjbiTi -Ae rhiMatájaa'palla a I). Ildefonso' jUeren…</t>
  </si>
  <si>
    <t>Igual, Felipe</t>
  </si>
  <si>
    <t>Felipe Igual</t>
  </si>
  <si>
    <t>…ues, ven 3.® Otra del ministro residente de Baviera , del 25 de Abril. go en mandar que continúe en el de las Islas Baleares.que obtenía, 4-° Otra del ministro de Negocios extrangeros del .reino de Wurrerrbcrg, y confiero aquel á D. Felipe Igual, ministro que fue de la Real au fecha en Siutlgard el 18 de Abril. diencia de Cataluña. Tendréislo entendido, y dispondréis su cum 5.® Otra del ministro de Negocios extranjeros del gran decado de Badcn plimiento. = Está ruhicado de la Real mano.—En Aranjuez á 22 de fecha en Carlsruhe el 24 de Abii!…</t>
  </si>
  <si>
    <t>Igual, Lorenzo</t>
  </si>
  <si>
    <t>Lorenzo Igual</t>
  </si>
  <si>
    <t>…e en que consten las ventajas de aque jeto de llevarse los mozos y dinero qúe hubiese en los pueblos, habiendo con lla obra, su coste y arbitrios menos gravosos. tribuido al mejor logro de esta prisión el administrador de Salinas D. Lorenzo Igual providencia he adoptado con respecto al pueblo de Mueca, en que Gutiérrez por sus conocimientos prácticos en el país. podría favorecer mucho á la agricultura la construcción de dos estanques para el riego de la mayor parte de las tierras del monte. Con igual fecha avisa el propio capitán general qu…</t>
  </si>
  <si>
    <t>Igualmente, Agustín Ar</t>
  </si>
  <si>
    <t>Agustín Ar Igualmente</t>
  </si>
  <si>
    <t>…ra, presentó los documentos justificativos de su aptitud legal que pa La comisión nombrada para ei eximen del presupuesto del ministerio dé saron á la comisión de Poderes. Estado dio cuenta de haber nombrado decano de ella al Sr. D. Agustín Ar Igualmente se pasó á la misma ei testimonio del acta de la elección de la guelles , y por secretario al Sr. marques de Torremejía. El Estamento quedo provincia de Córdoba , que ha recaído en los Sres. D. Rodrigo María Cañave enterado. ral , y D. Manuel Sánchez Toscano. El Sr. Presidente anunció que los negoci…</t>
  </si>
  <si>
    <t>Igualmente, D Agustín Ar</t>
  </si>
  <si>
    <t>D Agustín Ar Igualmente</t>
  </si>
  <si>
    <t>…evedra, presentó los documentos justificativos de su aptitud legal que pa La comisión nombrada para ei eximen del presupuesto del ministerio dé saron á la comisión de Poderes. Estado dio cuenta de haber nombrado decano de ella al Sr. D. Agustín Ar Igualmente se pasó á la misma ei testimonio del acta de la elección de la guelles , y por secretario al Sr. marques de Torremejía. El Estamento quedo provincia de Córdoba , que ha recaído en los Sres. D. Rodrigo María Cañave enterado. ral , y D. Manuel Sánchez Toscano. El Sr. Presidente anunció que los negoci…</t>
  </si>
  <si>
    <t>Igualmente, D Manuel González Allende</t>
  </si>
  <si>
    <t>D Manuel González Allende Igualmente</t>
  </si>
  <si>
    <t>…, cuanto apenas se esperaba recoger la simiente. PaovmclA Hg ZAMORA. Se ha conseguido también 4 fuerza de perseguirla , y de resultas de las agua Sr. I&gt;. Fernando Gómez de Butrón. , ceros , la casi total extinción de la langosta. Sr. D. Manuel González Allende. Igualmente se lia logrado mediante una grande actividad f oportunas dispo siciones , atajar la propagación de la virbéla en el ganado rperino. Pa.OVrNCIA DE ZARAGOZA Se concluyeron las obras del arrabal de S, Lorenzo y pronto lo estará el Sr. D. Pío taborda. * enlosado de los pórtales de la plaza mayor. En se…</t>
  </si>
  <si>
    <t>Igualmente, Manuel González Allende</t>
  </si>
  <si>
    <t>Manuel González Allende Igualmente</t>
  </si>
  <si>
    <t>…anto apenas se esperaba recoger la simiente. PaovmclA Hg ZAMORA. Se ha conseguido también 4 fuerza de perseguirla , y de resultas de las agua Sr. I&gt;. Fernando Gómez de Butrón. , ceros , la casi total extinción de la langosta. Sr. D. Manuel González Allende. Igualmente se lia logrado mediante una grande actividad f oportunas dispo siciones , atajar la propagación de la virbéla en el ganado rperino. Pa.OVrNCIA DE ZARAGOZA Se concluyeron las obras del arrabal de S, Lorenzo y pronto lo estará el Sr. D. Pío taborda. * enlosado de los pórtales de la plaza mayor. En se…</t>
  </si>
  <si>
    <t>Ihabia, Canals</t>
  </si>
  <si>
    <t>Canals Ihabia</t>
  </si>
  <si>
    <t>…ión, para personas que no mceciesen la confianza de las provincias! Hé aqui por qué e*' que lo redactasen en otro* términos. necesario que se exprese que los impuestos sean votados libremente. Ademas, El Sr. Belda contestó que el Sr. Canals Ihabia partido de un supuesto también podria dirse el caso en que las Grites se reuniesen en un punto donde falso ai sentar que el Estamento se estaba ocupando de principios abstractos; hubiese gran fuerza armada, y abusándose de ella no tuviesen los Precuradoies —aiendrs ntn tan al contrario, como que en…</t>
  </si>
  <si>
    <t>Ii, Isabel</t>
  </si>
  <si>
    <t>Isabel Ii</t>
  </si>
  <si>
    <t>…r á vuestro Ajntonio Lechuga, el urbano de Manzanares D. José Izquierdo, y bien y i las intenciones con las que la Reina Gobernadora, en el cabo y soldado de aquel cuerpo Félix Blanco y Felipe QuileZ, nombre de su augusta Hija la Reina Isabel Ii , me ha confiado la que estuvieron á las inmediaciones dé su comandante en lo mas ac autoridad de alcalde mayor de este pueblo. Vosotros conocéis la tivo de la persecución. obligación en que estáis constituidos de obedecer y respetar las le Asimismo recomienda á Miguel González, vecino del Tomeyes…</t>
  </si>
  <si>
    <t>II, ISABEL</t>
  </si>
  <si>
    <t>ISABEL II</t>
  </si>
  <si>
    <t>…ruña v supresión de Ja supe ' AL CUMPLEAÑOS rior del distrito de la captt.in.a general de Gabina, conforme a lo resuelto por J)B LA REINA NUESTRA SEÑORA' punto general acerca de estas c arponad mes, y ha quedada S. M. muv satisfe DOÑA ISABEL II, cha de los servicio» pota-! ■&gt; p&gt;r i.-*» v «..res de dicha junta superior , v espe EL ALISTENTE INTERINO cialmente por cu pieMcieníe el cor.de Je Cartagena, quien en este encardo ha DE ESTA CIUDAD. dado nuevas pruebas de su ^e’u&gt;, haito acreditado en cuanto interesa al Real En todos los puntos ind…</t>
  </si>
  <si>
    <t>II, Juan</t>
  </si>
  <si>
    <t>Juan II</t>
  </si>
  <si>
    <t>…de nues nuestros antiguos predecesores se mostraron en este punto muy celosos. La ley tra regeneración política. Eitoy persuadido de que estos artículos son el ba 6.a , título 4° , libro 3.5* de la Novísima Recopilación, dada por D. Juan II, luarte indispensable y la base de nuestro código. Estos derechos los habíamos en hts Córtesde Valladolid de 1448» declara la inviolabilidad del mismo modo perdido; se nos habían usurpado por siglos enteros: la Rbjwa Gobernadora, &lt;pic.ahora pedimos los peticionarios; y observando algunas infraccion…</t>
  </si>
  <si>
    <t>II, P Felipe</t>
  </si>
  <si>
    <t>P Felipe II</t>
  </si>
  <si>
    <t>…idea de la obra manifiesta su utilidad e importancia. bordinación. -— Crónica general de España que recopilaba el maestro Florian de Ocampo, coro— Habiéndome hecho presente el ayuntamiento de Villa]pando la miseria que nista del Rey P. Felipe II, y que posteriormente continuó el maestro Ambrosio de amenaza á aquel vecindario por el lastimoso estado que presenta su cosecha, ediciónMnralet decon1791los ?tresá 290tomosrs. ramade opúsculos.215 en rústica,del mismo230Morales.en pergaminoSon quincey 290 tomosen pastaen 4.°,co pasé á reconocer,lo…</t>
  </si>
  <si>
    <t>Iíádbi</t>
  </si>
  <si>
    <t>…&gt; &gt;; cr.' S¡ y.i hito...: aj ....... • A ... • j Í77J DE l;:3'•■&gt;•’! ARTICULO DE OFICIO. NXNISTEHIO DI HACIENDA DE ESP Ai? A. Real orden prescribiendo las reglas que deberán observarse par.a el resnteg# I La Rbíma miestr»'Seffbra Doña Iíádbi n, y S. M. la Reina Goberna • de varias cantidades exigidas por el gobierno constitucional en calidad dt¡ dora , siguen sin novedad eB su importante talud. préstamo forzoso. .. ; , */| ÍJel mitmo beneficio díifrutan SS. AA. RR. los Sermo». Srea. Infante*. He dado cuenta á S. M. la Retna Gobernador*…</t>
  </si>
  <si>
    <t>Iiaiantd</t>
  </si>
  <si>
    <t>…La comisión está conforme en que se exprese elevada , como grandes de España , no es tan general como-parece sentar terminantemente la idea enunciada.” -la comisión: ahora mismo después de haber desempeñado-la comisión que lle El Sr. Iiaiantd: «Me parece que ia objeción hecha sobre pagos se po vó á Lóndres, y de un modor-rouy satisfactorio, el marques de Miraflores, que dria solventar con decir qoe «todos los pagos sé entiendan 4 cuenta y con su pertenece.4 esa distinguida clase, va 4 reemplazarle otra persona que no es del jeción 4 lo…</t>
  </si>
  <si>
    <t>III, Carlos</t>
  </si>
  <si>
    <t>Carlos III</t>
  </si>
  <si>
    <t>…c-Dálbourg, francés de nacimiento, pero en rea A pesar de Untos progresos y mejoras durante los reinados de los Señores lidad espiñol por los muchos años que lleva entre, nosotros, y por estar casa Don Felipe V, Don Fernando VI y Don Carlos III, todavía se advierten do con una' española há mas de diez , presentó en Noviembre último vario* ciertas imperfecciones que con la mayor urgencia conviene desterrar. Antigua proyectos de reforma monetaria, muy bien entendidos, y poniendo en evi mente el real pronunciado como suena , era el real de p…</t>
  </si>
  <si>
    <t>III, Fernando VI y Don Carlos</t>
  </si>
  <si>
    <t>Fernando VI y Don Carlos III</t>
  </si>
  <si>
    <t>…tonces D. José Marc-Dálbourg, francés de nacimiento, pero en rea A pesar de Untos progresos y mejoras durante los reinados de los Señores lidad espiñol por los muchos años que lleva entre, nosotros, y por estar casa Don Felipe V, Don Fernando VI y Don Carlos III, todavía se advierten do con una' española há mas de diez , presentó en Noviembre último vario* ciertas imperfecciones que con la mayor urgencia conviene desterrar. Antigua proyectos de reforma monetaria, muy bien entendidos, y poniendo en evi mente el real pronunciado como suena , era el real de p…</t>
  </si>
  <si>
    <t>III, Hcorique</t>
  </si>
  <si>
    <t>Hcorique III</t>
  </si>
  <si>
    <t>…ndo en sus-máaos á su tierna Hija nuestra Rbiva., nos presenta el código, ley las sucesiva* Córtes,, dieron otra en el año 14^3, por la cual ordenaba el ata piedra diamantina, para qué sobre ella levantemos el edificio de nuestra Rey £&gt;. Hcorique III cumpliese la. ley anterior , y fuesen nulas y de ningún regeneración. Los artículos anteriores no los juzgué necesarios ; pero ahora mi valor cuantas cédulas hubiese en contrario. Asi pues, creo que supuesto que opinión es enteramente diferente. Considero que nuestra lev fundamental ne nuestros ant…</t>
  </si>
  <si>
    <t>IIOCDIADOI, D Miguel Puche SlSTAMENTO DI SEÍÍÓ'SES</t>
  </si>
  <si>
    <t>D Miguel Puche SlSTAMENTO DI SEÍÍÓ'SES IIOCDIADOI</t>
  </si>
  <si>
    <t>SUPLEMENTO A LA GACETA DE MADRID DEL MIERCOLES 29 DE OCTUBRE DE 183% CORTES. brada en Murcia en reemplazo del Sr. D. Antonio Posada, elevado á la dig nidad de Procer, que ha recaído en el Sr. D. Miguel Puche. SlSTAMENTO DI SEÍÍÓ'SES IIOCDIADOI EL El Estamento quedó enterado de nn oficio del Sr. Procurador D. Fausti no Garay, en el cual exponía que por hallarse enfermo no podía asistir i lis Sesión del día 28 de Octubre. sesiones. Igualmente lo quedó de un oficio del Sr. Secretario del Despacho de lo Se abrió á la* olice y media. Interior…</t>
  </si>
  <si>
    <t>Íirocurarevantar</t>
  </si>
  <si>
    <t>…ta que él gobierno ha desplegado en esta ocasión. Verá que esos gobiernos, si bien patria desgraciada; poner en acción todos los resortes de su engrandecimiento, . han tenido por—conveniehlc suspender el reconocimiento de nuestra Reina, Íirocurarevantar sobrese dé estastoda labaseslatitudel augustoy garantíasmonumentonecesariasde áalianzalos derechosy uniónsociales,entre ely nonacional:han mostradocuestiónningunque solodeseoes dela entrometerseestricta aplicaciónen unadecuestiónnuestrasexclusivamenteleyes funda Trono y el pueblo, tales son los des…</t>
  </si>
  <si>
    <t>Iittíriz</t>
  </si>
  <si>
    <t>…incurrido en esos errores, y á mí me habría evitado el trabajo do llegue el caso de la liquidación, tengo el convencimiento íntimo de que su de levantarme.” birán á una suma mucho mayor. Habrá también que añadir 36.666,666 del El Sr. Iittíriz: «Yo pido que se vea por el mismo presupuesto si el nuevo empréstito presupuesto porhl Sr. Ministro de Hacienda: 600.000 rs. por quinquenio último produjo 556 millones y pico líquidos, si el déficit que re una parte y 120.000 por otra, perteneciente del reconocimiento de la deuda sulta entre este q…</t>
  </si>
  <si>
    <t>Ijedro</t>
  </si>
  <si>
    <t>…za, tanto en los Parir 7 Je Octubre, negocios de la Europa en general como en los de la Alemania, y de nuestro Estado libre en particular: á lo menos esta opinión es general entre-nosotros, El porreo francés dice que los actos de D. Ijedro durante los dos años que y no hay duda de que contribuyen á fomentarla diversas circunstancias. "Ver . ha sido Regente de Portugal, han dado mucho lustre é interés á los últimos dad es que ha salido fallida la creencia en que estábamos de que los Monarcas momentos de su vida. Su carrera pública des…</t>
  </si>
  <si>
    <t>Ijfurham</t>
  </si>
  <si>
    <t>…del otro medio, de este'ó de aquel artículo; para intimarle que tenga otra objeto que cl de un simple particular ? , revoque el artículo 291 y establecer la libertad de asociaciones á El Standard al contrario dice que «i viage de lord Ijfurham á toda costa, aun dado caso que las' circunstancias fuesen tales que •Paris es Una verdadera misión del gobierno británico, lar cual no obligasen á destruir al punto su propia obra, á cubrir con un velo solo sé extíendbá los negocios de Orienté y al exámen de las íela la estatua de la libertad al t…</t>
  </si>
  <si>
    <t>Ijúrgos, Javier-de</t>
  </si>
  <si>
    <t>Javier-de Ijúrgos</t>
  </si>
  <si>
    <t>…sión, se ha dig Tendréislo entendido, y dispondréis lo necesario á su cumplimiento —F.stá nado S. M. en su consecuencia mandar se observen puntualmente las reglas si rubricado de la Roal mabo.=En Aranjuez á 2/ de Marzo de 1834.=A Don Javier-de Ijúrgos. s . I.*1 * Que se destinen exclusivamente a los regimientos de milicias provincia ministerio db gracia y justicia* les , previa su valoración, todas las casacas procedentes de 1os extinguidos vo Reales orJrnrt. luntarios realistas del reino, que se conserven almacenadas en las capitanías ge Habiénd…</t>
  </si>
  <si>
    <t>Ilccidos</t>
  </si>
  <si>
    <t>…, r niente coronel graduado D. Rufo Miñhn á la cabeza, la distancia qué los na que en la ciudad de Motril seguía disminuyendo el número de acometidos y ít turales calculan en ocho, y asi logramos alcanzar la facción en Jarque, de don Ilccidos del cólera. de salió precipitadamente al aproximarnos. Seguimos en su alcance tomando la caballería la vanguardia, y at llegar á, Con la de S del mismo, participa el gobernador civil de la provinciaás lo alto de los cerros donde hay un pedazo de llano, volvieron caras á espaldas Córdoba, que en aquella…</t>
  </si>
  <si>
    <t>Ildefon</t>
  </si>
  <si>
    <t>…cticada por del C3pitan graduado y teniente comandante de dicha compañía D. Juan de mí al amanecer dei 30 del pasado en el pueblo de Virigoiii, tomaron la reso Torres, y la 2.a al de! teniente graduado y subteniente de la rnijiru D. Ildefon lución de dividirse en pequeñas partidas : esta noticia lacomuníqué al comandan so Mata, previniéndoles tomasen, cl Ila derecha del pueblo, y e! 2.® U iz te de armas de Portugalete á fin de que con la guarnición de su cargo procurase quierda al trote, ínterin yo con mi 4*'1 compañía marchaba por el…</t>
  </si>
  <si>
    <t>Iluiel</t>
  </si>
  <si>
    <t>…as.n ' ’ ’ .'«;S - leticia de escribir lleva el remedio consigo misma. La oposición se Esta mañana á las once y inedia salió el Rey i caballo acótb— siénte estrecha dentro de ios límites de la libertad, y por eso pide pafiado del general Iluiel y de un numeroso estado mayor; retor la licencii. Pues bien, que se la dé: que se sade de licencia1 hasta no la calle Ducal, y vió, no sin gran sentimiento, los destrozos henchirse: .lo que ella mita como un triunfo, nosotros lo conside cometidos «n el palqcio del príncipe de Ligne. A la vista de S. M.…</t>
  </si>
  <si>
    <t>Imam, Manuel A</t>
  </si>
  <si>
    <t>Manuel A Imam</t>
  </si>
  <si>
    <t>…con las clases obreras, de donde Es atedia i las enere de k mañana ha sido fusilado en esta villa dermrun por lo general. Los grandes propietarios, el alto comercio ¿ quienes se «-teniente coronel retirado, y coronel en k facción D. Manuel A Imam; acusa especialmente de tener intereses opuestos á los de las masa», están sin aprehendido en la madrugada de 3 0 del pasado mes de Mayo, en U sorpresa duda en minoría en los colegios electorales, donde domina laclase media. ¿ los facciosos en Urtgoiti. La restauración, mas justa en esto que 4a rep…</t>
  </si>
  <si>
    <t>Imáz</t>
  </si>
  <si>
    <t>…n circunstancias tan críticas «El rpinisterio actual lo intentó á su vez, y tanto el Sr. de Aranalde, y apuradas eran mas ventajosas que las hechas en los once años anteriores de ministro de Hacienda interino , como su sucesor el Sr. Imáz, son públicos los gobierno absoluto; y no so'o superaban á estas, sido también a las contratadas pasos que dieron para conseguirlo. No solo los dio el Sr. Imáz, valiéndose del con las mismas Córtes desde 1820 á 1823. Hecho importante, notable, que crédito que le proporcionaba su conocida honradez (…</t>
  </si>
  <si>
    <t>Imáz, José</t>
  </si>
  <si>
    <t>José Imáz</t>
  </si>
  <si>
    <t>…s Reales no consolidados, 19# al contado: 19, i, 20, $ á varias fs. ó vol. Reales decretos admitiendo la dimisión que ha hecho det cargo de Secretario Deuda negociable de 5 p. 100 á papel, 00. de Estado y del Despacho de Hacienda D. José Imáz. (Núm. 122.) Id. sin ínteres* y 12 á varias f«. ó vol.: 12| á 40 d. f. ó vol. á prima de •$ p. 100. Acciones del banco español, 00. nombrando en su lugar al conde de Toreno. (Id.) ___ elevando á D. José Imáz á la dignidad de Procer del reino. (Id.) CAMBIOS. Reales órdenes resolviendo que ínterin se…</t>
  </si>
  <si>
    <t>Imáz, José Ayuso e</t>
  </si>
  <si>
    <t>José Ayuso e Imáz</t>
  </si>
  <si>
    <t>…ia á D. Ramón López Pelegrin, su inteligencia, y que se sirva disponer su cumplimiento. Dios decano; D. José Cafranga; D. Vicente Gano Manuel; D. Manuel uarde á V. E. muchos anos.’Madrid 20 de Abril de 1834-mJosé García Herreros; D. José Ayuso. e Imáz.=Sr. presidente del tribunal supremo de Hacienda. la de al marques de de Nueva Espa Para la Reunión Guerra al general decano; á loa PARTE NO OFICIAL. Francisco teniente Javier Abadía; D. ña, mariscales de campo D- Felipe Montes y D. Gaspar Diruel, y á NOTICIAS EXTRANGERAS. y D. Tomás González Carvaj…</t>
  </si>
  <si>
    <t>Imbiehis, Jo e Duv</t>
  </si>
  <si>
    <t>Jo e Duv Imbiehis</t>
  </si>
  <si>
    <t>…hubo función de toros, cuyo despejo hizo la lucida compa de ^darlos jiabhaje-T -t-rt-n-rrcht de maquinas \ manufacturas, traduci ñía de granaderos de la Milicia urbana, precedida de la escuadra de gastadores da al castellano por D. Jo^e Duv Imbiehis ; pero con la condición de que este y de las bandas de música y tambores. Desde que se presentó esta fuerza patrió -haga previamente en eiijs las curaciones en que se convino con la comisión tica en la plaza, hasta que concluyó las evoluciones de su objeto , obtuvo un de la misma junta encargada de…</t>
  </si>
  <si>
    <t>Imedio, Félix</t>
  </si>
  <si>
    <t>Félix Imedio</t>
  </si>
  <si>
    <t>…penosa jomada en atención á la ex mente tenía destinada i este objeto, al mando del capitán graduado del regimien cesiva lluvia. Mañana pienso continuar á Sos, donde me detendré un par de to caballería do Extremadura, 3.° ligero, D. Félix Imedio y algunos Urbanos días. £1 general en gefe y brigadier Oráa se hallan por el valle de Bastan con délos pueblos inmediatos, habiéndolos alcanzado en la escabrosa montaña llama el objeto de dar alcance á la junta si les es posible. Los batallones rebeldes se da Val deseoso , en cuya ventajosa posicioo…</t>
  </si>
  <si>
    <t>Imlr, José</t>
  </si>
  <si>
    <t>José Imlr</t>
  </si>
  <si>
    <t>…to de 24 del presente, fiares Infuses, , i n vengo;en.nombrar á D.Eétipe de Córdoba. Tendréislo entendido, .y lo comunicareis á quien cofrfes ponda. í= Está rubricado de la Reáf. £1; . tnano.-aEn Aranjuez á 30 de Mjrzo de 1834*=A D. José Imlr, JteaUí decretar. Vil , Para tá plaza de decano de la sección de Fomento del Consejo Real de España é Indias, creado por deczcto de 24 del presente, Pifa la plaza de "Presidente del Consejo Real &lt;je España ¿ tn« vengo'én nombrar á»D. José María Moscoso de Altamira. Tendias, creado ppr decreto de 24…</t>
  </si>
  <si>
    <t>Importante</t>
  </si>
  <si>
    <t>…a nuestra Señora Diña Isabkl n,yS. M. la Reina sa suerte que le protegía en la augusta ¿ucespra del trono la ino Gobernadora, siguen en el Real sitio de Aran juez sin novedad en cente Doña Isabel ti, nuestra legítima y reconocida Reina. Importante salud. Sí, Señora, el cicLo, repite este cabildo, enjugará, mejor di cho , hará correr con abundancia sus lágrimas á la España, no y# Del mismo beneficio disfrutan SS. AA. RR. los Sennos. Scde pena y sentimiento, sino de gozo y placer por la inteligencia fipres Infantes. ó prudencia, justicia recta…</t>
  </si>
  <si>
    <t>IMPRENTA, Juan Antonio de Baruicil EN LA</t>
  </si>
  <si>
    <t>Juan Antonio de Baruicil EN LA IMPRENTA</t>
  </si>
  <si>
    <t>…ñas, salió inmediatamente á perseguirle; loque bles reatos que vagan por estas montañas cometiendo toda clase de excesos y habla verificado con tal actividad , que tolo le quedaban tinos 50, habiéndose vejaciones. Dios &amp;c. Excmo. Sr.=Juan Antonio de Baruicil. EN LA IMPRENTA REAL ...</t>
  </si>
  <si>
    <t>In, Josdf</t>
  </si>
  <si>
    <t>Josdf In</t>
  </si>
  <si>
    <t>…as pata -la Religión -y el Estado, de k» que desgraciadamente se Hija 'Doña Isaxki ir, 'lajilaza de director general de Rentas , vacante por as- han patentizado.desdo mediados &lt;K Octubre último: y se sipote animada, y es ceBSO de D. Josdf In¿z. Téndríóló entendido , y dispondréis lo conveniente á pera que el Todopoderosa, cuyo ministerio ejerce, para enfrenar al que obra su cumplimánto-rcEstá rubricado de la Real mano—En Palacio á 7. de Fe mal, le dará toda la fortaleza necesaria para salvar el trono, removiendo cuan brero de T&gt;.’Frand…</t>
  </si>
  <si>
    <t>Inane</t>
  </si>
  <si>
    <t>…bre venus , rendtnóerrtó rar de los decididos oficiales que mandan las columnas, deberá ser muy feliz.” de cuentas y supresión de derechos de propios. Se han despachado varios expe Añade dicho capitán grnctt;l que nene ofic o del brigadier Inane, fe^ho dientes de este ramo, y se han hecho alguno» repartimientos de gratro» eotr* en Balmascda el 14, del efífrienu*, y dando parte de haber hecho fusilar á las Jos libradoras. doce del día á Ramón Castaños, que « titulaba capitán de lá compañía be han mandado devolver algunas multas y costas imp…</t>
  </si>
  <si>
    <t>Inarte</t>
  </si>
  <si>
    <t>…la cercanía á una Nación de donde han podido recibir mas ó menos recido la insurrección del valle del Roncal; se han batido por el general Mañ socorros, 4 pesar de que aquel Gobierno lo Ba impedido-y “lo esta mipidicndo oso y-ei-brigadier Inarte los cabecillas de las provincias que trataban de enlazar' mas que nunca , los convidan á la especie de guerra que están haciendo. Sin em sus operaciones con las de Merino. No es esto , repito , reclamar méritos para bargo, la gente ilustrada del país no ha dudado en unir su causa á la de todos el minis…</t>
  </si>
  <si>
    <t>…nes viene, digámoslo asi, de van- ' Tengo el mayor gusto en trasladar á V, E. el parte anterior Como conti- , guardia , y perece «n la Molina , destruidos aquellos, que en completo desórHnaden de las ventajas que ha conseguido el brigadier Inarte sobre la facción, den y desmoralización huyen precipitadamente de un país que les es tan Tu que osando Invadir por cuarta vez á Castilla, ha vuelto como siempre derrota- nesto, sin que á pesar de haber vuelto á sus antiguas guaridas se haya logrado Á á las provincias Vascongadas, sin conseguir mas…</t>
  </si>
  <si>
    <t>Inarte, D León</t>
  </si>
  <si>
    <t>D León Inarte</t>
  </si>
  <si>
    <t>…ctual remite á este relación con la agricultura. Ministerio la copia de un parte del gobernador interino de las Cinco villas, 2.a sección.——Industria y sus agregados. trasladando otro que le comunica con ia de 25. del anterior el capitán D. León Inarte, comandante de las compañías de tiradores de Navarra , quien regresan- Artes y oficios: gremios: fábricas: caza y pesca: minas y canteras. do de la villa de Sos para Pamplona de custodiar la correspondencia oficial con 23 lanceros y 54 tiradores de dichas compañías, trató de averiguar el paradero 3…</t>
  </si>
  <si>
    <t>Inarte, Fermín</t>
  </si>
  <si>
    <t>Fermín Inarte</t>
  </si>
  <si>
    <t>…Soria D. Luís Coll, que se portó con una dividí las fuerzas en cuatro columnas, mandadas por los beneméritos gefr* lo* notable bizarría , en la defensa de la ermita , el tambor del mismo cuerpo Ma brig;H&gt;eres D. Manuel Benedicto, D. Fermín Inarte, y los coroneles D. Fé leo LoíÍis, el primero que conoció el engaño de que 6C valían los enemigos lix Carrera y D. José Ozores, con quien marché, tas que lograron arrojar de pira sorprendernos, é incitó á su compañía á romper el fuego: el capiran Don sus guaridas á dichas facciones , prensándolas á…</t>
  </si>
  <si>
    <t>Inarte, Fermio</t>
  </si>
  <si>
    <t>Fermio Inarte</t>
  </si>
  <si>
    <t>…paz, y al fácil restablecimiento del órden , afortunadamente no «Hoy se me ha presentado el Sr. brigadier D. Ramón Gómez Beduya coa se ha realizado. Ya es tiempo de restablecer en nuestios presupuestos una fiel el de igual clase D. Fermio Inarte y su columna, que no he pod.do *un rcrivtar. balanza. Conocemos que es una obra penosa ; pero lá emprenderemos , y la Cá También he relevado en este día las guarniciones de Durango y O-bandiano. mara proseguirá con perseverancia una obra de que no podría desentenderse sin Desde mi salida de Pamplona…</t>
  </si>
  <si>
    <t>Inarte, León</t>
  </si>
  <si>
    <t>León Inarte</t>
  </si>
  <si>
    <t>…mite á este relación con la agricultura. Ministerio la copia de un parte del gobernador interino de las Cinco villas, 2.a sección.——Industria y sus agregados. trasladando otro que le comunica con ia de 25. del anterior el capitán D. León Inarte, comandante de las compañías de tiradores de Navarra , quien regresan- Artes y oficios: gremios: fábricas: caza y pesca: minas y canteras. do de la villa de Sos para Pamplona de custodiar la correspondencia oficial con 23 lanceros y 54 tiradores de dichas compañías, trató de averiguar el paradero 3…</t>
  </si>
  <si>
    <t>Inchauste, Manuel</t>
  </si>
  <si>
    <t>Manuel Inchauste</t>
  </si>
  <si>
    <t>…del Cinca tomadas en el Grao, con el fin de com medio todo el incremento de que es susceptible. Por orden del Con pletar las que se necesitan para el riego de 2U0í) cahizadas de tierra; sejo Real practicó entonces el arquitecto- D. Manuel Inchauste un V 21 sentando el principio de que se han de introducir de una sola reconocimiento facultativo de los rios de donde baldan de extraerse derivación todas las aguas por el Cinca en el mismo punta del Grao, las aguas, del modo mas fácil de establecer su derivación y del ter pasando luego el Esera so…</t>
  </si>
  <si>
    <t>Inclan, Josef</t>
  </si>
  <si>
    <t>Josef Inclan</t>
  </si>
  <si>
    <t>…gue- del escribano de provincia P. j ‘ Urrun.j, se clfa á las personas que se creafi cou roa, por sus adelantos en la gramática, ortografía y aritmética. A otros varios derecho á los bienes quedadas pur fallecimiento intestado de D. Josef Inclan , veci se distribuyeron medallas de lectura, escritura y doctrina cristiana. no que fue de esta corte , para que en el termino de_3o días acudan á deducirle por medio de procurador; apercioidos que pasado aquel término sin verificarlo, les para El premio de ebanistería se di&lt; á D. Josef Linares. El…</t>
  </si>
  <si>
    <t>Independiente</t>
  </si>
  <si>
    <t>…0 de este mes á las doce del dia se cantará un Té Deum en ]a igle co sino cuando el cuarto problema; sin duda nunca había resuelto ningu sia de los Santos Miguel y Gúdulo, con motivo del aniversario del naci no igual.” miento del Rey. (Independiente.) Añadiremos á estos pormenores interesantes la nota siguiente que acaba de publicar la universidad de Moscou: ’ . El Sr. ministro de la Guerra ha dado órden á muchos oficíales superiores «Cuando el Emperador visitó el gimnasio de Kostroma, el rector hono .. rario del mismo establecimiento tuvo la h…</t>
  </si>
  <si>
    <t>INDIAS, ÍJE ESPAÑA É</t>
  </si>
  <si>
    <t>ÍJE ESPAÑA É INDIAS</t>
  </si>
  <si>
    <t>…a'.íñjc'ripcion: . .. ña 4 la alza del curso: y por lo tanto, copio en estas materias son mas elocuor, «'ARIA ISABEL MISA SE BORBOK tes los guarismos que las razones, creemos que ¿o será fuera de propósito po ■ i- ■“........... ‘ REINA ÍJE ESPAÑA É INDIAS, ner de bulto, por decirlo así, la mayor extensión que han tomado las opera „ . , . , ■ . ...... PRpCIAKADA. ciones mercantiles en la Bolsa de Madrid, no solo.como un síntoma de cor • , en S. djí rebrsro de 1834- fianza en lo presente , sino como un. presagio favorable para lo futuro. Estados compa…</t>
  </si>
  <si>
    <t>Indias, Patriarca de las</t>
  </si>
  <si>
    <t>Patriarca de las Indias</t>
  </si>
  <si>
    <t>…en que se publique la ley en ia capital de cada pro Los Excmos. Sres. que aprobaron fueron: duque de Bailen, conde del vincia.” Esto consagra el derecho á lo devengado, y fija los términos en que Venadito, marques de la Reunión, Sr. Patriarca de las Indias, Sr. Burgos, puede ejercerse este derecho. Si no se hiciese asi, nos podríamos encontrar con Sr. obispo Posada, conde de Ofalia, Sr. Puig, marques de Albaida, arzobispo un inconveniente gravísimo. Figurémonos que se publica mañana la ley en de Méjico, marques de Sta. Cruz, duque de Castroterreño ,…</t>
  </si>
  <si>
    <t>Infama</t>
  </si>
  <si>
    <t>…de Licbeo encargado de Negocios en Bruselas. Excmo. Sr.: S. M. la Reina nuestra Señora, y su augusta Ma —-----M. Mary , encargado de Negocios en el Brasil, ha presentado sus creden dre la Reina Gobernadora, é igualmente S. A. la Señora Infama ciales el 14 de Febrero al ministro de Negocios extrañecros del Brasil. El 18 Doña María Luisa, continúan sin la menor novedad en su impor se presentó al Emperador D. Pedro n y á la Regencia. tante salud. De Real orden lo participo á V. E. para su satisfacción y para los efectos oportunos. Dios gua…</t>
  </si>
  <si>
    <t>Infame</t>
  </si>
  <si>
    <t>…inistros, se sirvió S. M. ía Reina Gobernadora ex nos la permanencia del Sr. D. Cárlos en el de Portugal. S. M. quiso certificarse pedir la Real órden de 16 de Octubre del año próximo pasado, en que se de de las disposiciones del Sr. Infame para concurrir al acto solemne de la jura, clara. rr«Que el Infante D. Cárlos por su conducta temeraria y pertinaz había de las que había dado anteriormente motivos de desconfianza; y en Real órden incurrido en U nota legal de con&gt;pirador contra el Monarca, pacíficamente de 21 de Abril del año próx…</t>
  </si>
  <si>
    <t>Infan</t>
  </si>
  <si>
    <t>…ió órden á su mi / iy Es qosa singular que ya desdo el año de 1822, al primer anuncio de nistro de Estado para que de ningún modo entrase en contestaciones ni admi reacciones políticas, seoyó proclamar, á Ja sombra del nombre del'Sr. Infan tiese explicaciones directas ó indirectas acerca de, este punto. te, un. prtncipro de, Oposición á la autoridad soberana, ti bien bajo el pretex «Por fortuoa todos los gobiernos de Europa han reconocido el principio, to de darle mas firmeza y ensanche. de que no debian mezclarse en nuestros negocio…</t>
  </si>
  <si>
    <t>…hallaba el pedición de los negocios. dia 4 en Codos. En- pocas horas, pueden ahora despacharse, y se han despacha do en efecto, expedientes que bajo la división y régimen antiguo El 10 del presente mes es el cumpleaños del Sermo. Sr. Infan habrían necesitado una semana, y se han despachado mejor y con te D. Femando María Mariano, hijo del Sermo. Sr. Infante Don mas arreglo a los principios de justicia: porque con mas reflexión Francisco de Paula; y siendo dia de media gaia sin uniforme, se se puede atender al examen de las reclamacio…</t>
  </si>
  <si>
    <t>Infanta</t>
  </si>
  <si>
    <t>…proyectado para resguardarla un medio de comu 2. ° Que el gobierno-de S. M. se encargue de negociar con. la corte de BJonicación mas pTonto y mas fácil que el de los caminos,á saber: un canal que Janeíro la entrega de la referida Señora Infanta, á'fin de &lt;jué sea educada en reunirá «1 Zumfia y el Sulteg. 1 Portugal conforme al uso y costumbres de este reino. (G. ojicial del Gu^Vkh*-) El primero de.estos ríos desemboca en el Ganges, y e! segundo en el In do. Su reunión formará un espacio navegable de 8uu leguas, que permitirá tras portar e…</t>
  </si>
  <si>
    <t>…ue por ahora se cierre dicho colegio de jesuítas de Pasages; Excmo. Sr.: SS. MM. la Reina nuestra Señora, y su augusta y todos los bienes, efectos y alhajas pertenecientes á-la comunidadMadre la Reina Gobernadora, como también la Señora Infanta Do se inventaríen y custodien cuidadosamente, y se pongan en admiña María Luisa continúan sin la menor novedad en su importante nistración, bajo las competentes seguridades, a cargo de personassalud. De Real orden lo comunico á V. E. para su satisfacción y de la mayor confianza que nombrará V. S. de a…</t>
  </si>
  <si>
    <t>…ias, y que S. M. la Rwwa nuestra Señor^.’su :áijguistá Madre la Runa riendo evitar los graves perjuicios que de no admitirse resultarían á los poseedores de dichos Vales y créditos, ee ha dignado resolver: Gobernadora f la Serma. Sra. Infanta l&gt;ofia Mana Luisa, contináan 1? Que sean rehabilitados todos los Vales Reales, asi consolidados sin novedad en su importante sahul en el Real sitio del Pardo. como no consolidados que en ío sucesivo fqeren presentados partí eL efecto, aonque perdiendo los primeros los intereses vencidos hasta él di…</t>
  </si>
  <si>
    <t>…le hízó en vida del -El Sr. lrifantet&gt;. Sebastian había salido de esta corre pan tomar los ba Sr. 0. Fernando vil, en virtud del contrato dutridtontil, $¿o9/r$., y tu au ños de Sierra Morena, á causa dé la enfermedad de la Serma. Sra. Infanta su gusta esposa Ó0Ó&amp;* augusta Esposa, unida con la Gobernadora con vínculos tan estrechos; Invistiendo el $r. Arguelles, para votar con conocimiento , en que la co había salido, cuando á la sazón amenazójbI cólera ; se interrumpieron- las co- misión dijese terminantemente «¡^consideraba esta dotaci…</t>
  </si>
  <si>
    <t>…tinúan sin la menor novedad en su im- 1“ Cuando juzgue á los Secretarios del Despacho, en virtud da .portante salad. una acusación entabTdi por el Estamento de Procuradores del Rei Del mismo beneficio siguen disfrutando la Serma. Señora Infanta no, con arreglo á la ley de responsabilidad y según los trámites qua -Dofift Alaría r.uisa, y el Sr. Infante D. Francisco de Paula. esta señale. De Real orden lo participo á y. EL para su satisfacción y para 2? Cuando, conforme á lo que establezcan las leyes, conozca da ■los efectos oportunos. Dios…</t>
  </si>
  <si>
    <t>…inúan sin la menor novedad en su im Art. 29. En esta primera sésion procederán á^ elegir los caneo portante salud. Procuradores del Reino en quienes ha de recaer la elección deS. M. Del mismo beneficio disfrutan SS. AA. la Serma. Señora Infanta para Presidente y Vicepresidente de dicho Estamento. Doña María Luisa, y el-Sermo. Sr. Infante D. Francisco. Art. 30. La votación se hará de esta suerte: Se colocará ana . De Real orden lo participo í V. E. para su satisfacción y efec urna sobre la mesa en la que cada uno de los Procuradores deposi…</t>
  </si>
  <si>
    <t>Infanta, Ignacio de la</t>
  </si>
  <si>
    <t>Ignacio de la Infanta</t>
  </si>
  <si>
    <t>…Real provincial D. Javier Linares, y al soldado herido del provincial CAMBIOS. dé Granada Antonio Justicio; al sargento primero de la compañía ríe cazado Amsterdam, 00. P.rli, 16-2 i 3. Cádiz, 14 i fb. Sevilla, éb. res de Segovía D. Ignacio de la Infanta; sargento segundo de id. Felipe Mar Bayona, 00. Alicante, .cortopla Coruña, 4 d. Valencia, id. Id. tin ; id. id. Pedro Gómez; cabo primero de id. Félix Calzada, y los soldado* Burdeos. 00. zo, { b. Granada, id. id. Taragoza , 4 d. Mateo García, Gregorio Margañon, Narciso López; no pudiendo menos de…</t>
  </si>
  <si>
    <t>Infanta, Ni Gobernadora y la Sernta Sra</t>
  </si>
  <si>
    <t>Ni Gobernadora y la Sernta Sra Infanta</t>
  </si>
  <si>
    <t>…ey la de generalmenteRusia ha dejadode losiempreque gastanaquí sumaslos empleaenor mes para hacerse partidarios. \ S. M. la Reina nuestra Señora, su augusta Madre la Reina Los periódicos franceses que han sentado que el viace del Emperador Ni Gobernadora y la Sernta. Sra. Infanta Doña Mará Luisa, continúan colás tenia un objeto inmediatamente hostil a la Francia, han procedido, a nuestro parecer, con alguna ligereza : se trata sencillamente de ponerse de acuer sin novedad en su importante salud en el Real Sitio del Pardo. ^ do aobre-st-crmvendría HeclaiaT atTamentg-ia-tmioa…</t>
  </si>
  <si>
    <t>Infanta, Vicente Gobernadora y la Serma Sra</t>
  </si>
  <si>
    <t>Vicente Gobernadora y la Serma Sra Infanta</t>
  </si>
  <si>
    <t>…TICULO DE OFICIO. al su origen. le deben qne industrias Y S. M. se ha servido nombrar para esta comisión al Sr. D. Ja- S. M. la Reiita nuestra Señora, su augusta Madre la Reina cobo María de Parga, Procer del Reino, presidente; á D. Vicente Gobernadora y la Serma. Sra. Infanta Doña María Luisa, continúan González Arnao, del consejo Real; á D. Rafael Cabanillas, inspec sin novedad en su importante salud en el Real sitio del Pardo. tor general primero del ramo; á D. Estanislao de Peñafiel; á Don Juan Montoto, contador de la dirección general, y á los inspectores de distrit…</t>
  </si>
  <si>
    <t>Infante</t>
  </si>
  <si>
    <t>…pacho universal de Gracia y Justicia; la que se presentó al como era de esperar, y en 21 de Setiembre dió aviso el plenipotenciario de la Estamento de Proceres del reino, para que ocupándose con urgencia de ella, contestación del Señor Infante,:^” que no había variado de resolución; y pues tuviese su debido cumplimiento la soberana resolución. «que se había convenido en complacer al Rey despties que tomasen á Lisboa En dicha exposición presenta á S. M. el Sr. -Secretario del Despacho un «las tropas del Rey Fidelísimo, esperaría á que est…</t>
  </si>
  <si>
    <t>…s providencias que acordaron las Córtes reunidas con aquel órden de suceder en la corona, alterado igualmente por el Sr. D. Felipe v. motivo en Segovia y .Vallado¡íd:él año de 1475, y en Madrigal el año si 3.° Que desde que dicho Sr. 'Infante tuvo noticia del fallecimiento del Sr. Don guiente, es un testimonio irrefragable de la.' fuerza y poder dé las Córtes. A Fernando vu, se declaró Rey de España, y presumió ejercer los actos mas ellas acudieron lew Reyes.Católicos para contener los funestos estragos de la sublimes de lá soberanía. 4…</t>
  </si>
  <si>
    <t>…ser patrimonio de una familia; y si á un Monarca elevándolo á tan alta varios documentos originales relativos á la conducta observada por el referido dignidad , se le revisté de poder y fuerza, y se le circunda de brillo y esplen Sr. Infante en Portugal; y examinados estos papeles ofrecen otras tantas prue dor, es para defender los derechos y velar por el bien del mismo pueblo que bas del crimen de alta traición cometido por aquel mal aconsejado príncipe. »e sotnete á su dominio. Es un principio de eterna verdad que donde reside Vivía…</t>
  </si>
  <si>
    <t>…n un periódico contemporáneo censurar repetidas veces lian, alcalde mayor de Albaida; á D. Jos-- Luis García, alcalde mayor de y con la mas injusta acrimonia la conducta del duque de Palmclla; y sin Chiva; a D. Francisco de Paula Caballero Infante, alcalde mayor de Don guardar consideración á los importantísimos servicios que ha hecho, y que han Benito; á D. José Antonio Casares, alcalde mayor de Santillana de la Mar; sido reconocidos con repetidos aplausos por todos los partidos ele la Cáma á D. Manuel Martínez , alcalde mayor de Villadiego…</t>
  </si>
  <si>
    <t>…iüjuan de sé trató este particular con el tino y sabiduría que las distinguió. Resulta allí Morales, re Manuel de Pedro, r: José de Viñals.rrIgnacio Samponts. r= J oaquín que los 1 $0$) .ducados que percibe en* U actualidad dicho Sr. Infante, y que en Cáccres. = Saturnino Calderón y Collantes, Vocal Secretario. 1821 gozaba exprimo decreto el Sr- Infante D. Cirios, proceden de la asig nación que por Real órden de 9 de Setiembre de 1788 se concedió sobre los Voto particular -fondos del tesoro al Sr. Infante D. Gabriel para sí, sus hijos…</t>
  </si>
  <si>
    <t>…a un solo acto de pa nozcas.” Y habiéndose negado á ello el D. Luis Fernandez de Córdoba con la labra ó por escrito, por el que dicho Príncipe desaprobase un horrendos crí ¡ firmeza y valentía propia de un español leal, repuso el Sr. Infante:”haces Reo, menes ¡menudos á nombre suyo , sin embargo de que parecían reclamar e&gt;U i está bien, vete;” y le entregó en el acto cinco cartas. manifestación su honor, la tranquilidad del reino y la preservación de las víc timas inmoladas por ambas parles. Primera cubierta. «A la Reina viuda, mi muy…</t>
  </si>
  <si>
    <t>…de sus pueblos. Las ideas de los modernos, publicistas la presentan como propuesta por el Gobierno, no le ha parecido reducirla á la consignada al bienhechora, la describen como revestida solo del poder de hacer bien, como mismo Sr. Infante por las Córtes de 1820 y 21. Sin embargo, en este: punto, incapaz de obrar el mal; .y para lo primero ha menester recursos. La comisión como en los demas, si á la comisión se la convence , no tendrá inconveniente no ha querido descender a pormenores. Sin embargo de todas estas considera- en hacer a…</t>
  </si>
  <si>
    <t>…imir á los pueblos , á Ser mas cautos; y es segurq que aunque se les pre tesoro del Estado. ‘ sente ocasión de ganar un 50, un &lt;50, un 70 por 10U , no darán su dinero por «Tengo también noticia1 de otro abuso. Las encomiendas del Sr.' Infante temor de que después no sea reconocida la deuda. Cuando laEuropj vea la reli D. Antonio desde su muerte se han administrado por su albacea testamentario giosidad con que procede la Nación española reconociendo los créditos justos,.y el Sr. D- Fernando vii, cuya testamentaria h? durado largo tiempo,…</t>
  </si>
  <si>
    <t>…andes sumas para no pagarlas con puntualidad. Muchísimas razpnes y dere /tos que ha citado el Sr. preopinante, y ha(respetado la asignación personal del chos tenían-el Sr¿Infante 0/Francisco, su augusta esposa y .familia para ser Sr. Infante, asi como la que respecto de su augusta Esposa nace de ios contratos dotados, ge^c^o^apiante y. ser mirados c&lt;^n agradecimteni o de parte déla Na matrimoniales; pero_en cuanto i las asignadas posteriormente por S. M. Don ción ^ pe$é? si Ao pdrmtte (¡iié-'nos ¿atendamos ¿ mas. el estado de~evt»^ m ¡…</t>
  </si>
  <si>
    <t>…roporción con lo ya aprobado El Sr, Samponts: «Tres son los argumentos que ha hecho contra la co en las anteriores, rebajando una octava parte de Jó propuesto por el Gobierno, misión el Sr. preopinante: la gratitud que se debe al Sr. Infante por sus servi como se había hecho con la asignación de SS. MM., puesto que los á,7 millo cios ; las economías hechas y que se harán en Varios ramos, y la mezquina que nes que se proponían para ella por el Gobierno se habían reducido á resulta de un ahorro de 759 duros. Yo no entraré en largos discu…</t>
  </si>
  <si>
    <t>…era”, Abargues, Osea, se desvanezca por sí misma, como falta de apoyo y fundamento, los Secretarios Vísedo , C»rrasco, Chacón , Claros, González ( D. Antonio), Marín , Llano del Despacho h«n creido de su deber vindicar de ella al Sr. Infante; si bien Chavarrí, Torren1», Ulloa, Istúríz, Vahiüo, López de Pedr.ijis, conde de la* creo que el Sr. Abargues no haya tenido por objeto dirigir contra esa augusta Navas, Sánchez Toscano, Florez, Belmonte, Caballero, C«no Manuel, Cha persona tan no merecida acusación.” cón , Serrano ( D GineO, Porr…</t>
  </si>
  <si>
    <t>…o de So de M'arzO de )8u8. por los guardias de la Real Persona, y prece fid* de Jos gefes de EM&amp;itío y de A fin de prevtritr¿tí’íó'sucesivo,sémejardes infraccionesMytf 'tonfteuen- más servidumbre desígnala al efecto, y del Sermo, Sr. Infante: D. 'Fxanc«co ci&amp;s pudieranser'graves, os recomiendo qufc travjnttaís inríiepiatamenie estas de Pauta. La carrera desde Palacio á la puerta del salón del Estamento de Próinstrucciones á los ugíeres, (hacen veces de alguaciles, porteros de estrado y ceres estaba entoldada , las casas vistosamente co…</t>
  </si>
  <si>
    <t>…erinamente ia potestad supreqta, por voluntad de nifestó en nombre de S. M. que las Cortes generales del reino quedaban ins mi augusto Esposo, manifesté cuáles eran mi intención y deseos; taladas; y levantándose S. M. y el Sermo. Sr. Infante, acompañados de los Se ñores Secretarios del Despacho y de los gefes de palacio, y precedidos de las borrar con el olvido los vestigios de males pasados, plantear en Ja comisiones de ambos Estamentos, salió del salón en medio de los aplausos det ¡actualidad las reformas posibles, y preparar con la…</t>
  </si>
  <si>
    <t>Infante, El</t>
  </si>
  <si>
    <t>El Infante</t>
  </si>
  <si>
    <t>…a excitar los sentimientos de gratitud. habútde incluir en el presupuesto á un Principe de la familia Real que ño «Mas si opicaq que no es licito; en tales materias, apelar al influjo de las, hubiese reconocido á la Reina nuestra Señora ! El Infante se halla, fuera con personas colocadas en una alta esfera; con mucha mas razón juzgan qué debe Ucead» queS. MJ le ha concedido para ir á Nápoles.” estar prohibido y vedado descender á una especié do arena , para entablar una . El Sr. conde de.las Navas: «Me había propuesto no hablar sohre éste luch…</t>
  </si>
  <si>
    <t>Infante, Facundo</t>
  </si>
  <si>
    <t>Facundo Infante</t>
  </si>
  <si>
    <t>…estas medidas, lord Stanley y sir James Graharn se han opuesto a ellas, ferir el Gobierno civil de la provincia de Soria, que se hallaba á y sir Koberto Peel no querría ¡multar á estos hombres ilustres llamándolos su'cuidarlo, á D. Facundo Infante, en atención á sus méritos v cir á formar parte de su gabinete, si las reformas que se propone hacer do son ds cunstancias. Tendréislo entendido, V dis|)ondreis su cumplimiento.;; Un carácter mas templado. Esta rubricado dé la Real mano.=En Palacio á 22 de Diciembre de No podemos criticar las inten…</t>
  </si>
  <si>
    <t>Infante, Francisco de Paula Caballero</t>
  </si>
  <si>
    <t>Francisco de Paula Caballero Infante</t>
  </si>
  <si>
    <t>…alcon AbeHemos visto en un periódico contemporáneo censurar repetidas veces lian, alcalde mayor de Albaida; á D. Jos-- Luis García, alcalde mayor de y con la mas injusta acrimonia la conducta del duque de Palmclla; y sin Chiva; a D. Francisco de Paula Caballero Infante, alcalde mayor de Don guardar consideración á los importantísimos servicios que ha hecho, y que han Benito; á D. José Antonio Casares, alcalde mayor de Santillana de la Mar; sido reconocidos con repetidos aplausos por todos los partidos ele la Cáma á D. Manuel Martínez , alcalde mayor de Villadiego…</t>
  </si>
  <si>
    <t>Infantes, Infante S M y Señores</t>
  </si>
  <si>
    <t>Infante S M y Señores Infantes</t>
  </si>
  <si>
    <t>…rtas que se ex mudez, se refieren á las contestaciones que habían mediado entre el Sr. Don tractan en la exposición del Sr Secretario de Gracia y Justicia, dirigidas á Fernando vir yiS. M. la Reina Gobernadora por una parte, y el Sr. Infante S. M. y Señores Infantes, al duque Presidente, y otras autoridades, exigiendo de la otra, relativamente al reconocimiento y jura de S. A* R. que hoy reina que se le reconociese por Rey de España, y que se circulasen las órdenes se felizmente, por Princesa heredera dei trono, según las leyes fundamentales de gún costumbre.…</t>
  </si>
  <si>
    <t>Infieren, Miguel de Braganza</t>
  </si>
  <si>
    <t>Miguel de Braganza Infieren</t>
  </si>
  <si>
    <t>I j-i t/ mas flcxiblo que D. Miguel de Braganza. Infieren también que de este moda ittrto recompensado quedaba cate giavámea coa ol alivio que re había propor— , podrís' D. CíHos fotmSrsie' irtl'jpaitídd -¡¿ti Ii?pafia,«itv reparar qtwloí^pafioles- cíbiad&lt;\i: los pdcblo?•; conciuyó adhiriendo al-parecer de la ccxnírioa, pero son yá demasiado siisptcaices…</t>
  </si>
  <si>
    <t>Informado</t>
  </si>
  <si>
    <t>…provincia de Avila remite al ministerio un parte que fes, y la pesada donde había 12 caballos de fianqueadores. A pesar de estas dice asi: ventajas , los facciosos fueron completamente rechazados en todas pdrtes , en al . Excmo. Sr.: Informado de que la enseñanza de primeras letras se halla gegunas ¿ la bayoneta, mostrando bien las tropas su bizarría a ejemplo de sus líefperalróerjte descuidada en la mayor parte de los pueblos de esta provincia , ha.- les y oficiales, como lo acredita la muerte de un capitán de Extremadura v unbieado alguno…</t>
  </si>
  <si>
    <t>Inglaterra, Pooleá</t>
  </si>
  <si>
    <t>Pooleá Inglaterra</t>
  </si>
  <si>
    <t>…dispuesto á hacer para no sufrir los males que le amenazan, fue retirado de su embajada de Roma, y en el de 53 fue comisionado por el entre los cuales no seria el menor la pérdida de su comercio. Emperador para impedir la ida del cardenal Pooleá Inglaterra, lo que verificó Con este recurso, que espera obtener de V. E., Córdoba adelantaría sus efectivamente luego que este entró en el Palatínado. No fue tan estimado de miras hasta el punto de introducir la guerra en el mismo territorio de los sal Felipe ii como lo habia sido de su padre; asi es que des…</t>
  </si>
  <si>
    <t>INGLATERRAMartínez, Francisco</t>
  </si>
  <si>
    <t>Francisco INGLATERRAMartínez</t>
  </si>
  <si>
    <t>…uida; se espera que estos tres proyectos podrán'ser revi y lo comunicareis á quien corresponda-=Está rubricado de la Real sados y presentados para fines de este año. {Monitor belga.') mano.=En el Pardo a 2 de Noviembre de 1854.=A D. Francisco INGLATERRAMartínez dé la Rosa, Presidente del Consejo de Ministros. .1 . ' Lóndrcs 21 de Octubre. Deseando dar á D. Antonio Remon Zarco del Valle una mues Varios comerciantes de té tratan de construir un grande edificio en esta tra de lo gratos que me han «Sido sus servicios durante el tiempo ciudad para la venta de…</t>
  </si>
  <si>
    <t>Ingnanzo, Agustín Gómez</t>
  </si>
  <si>
    <t>Agustín Gómez Ingnanzo</t>
  </si>
  <si>
    <t>…ender á sus negocios; que este es el caso en que accidentalmente Altobuey á D. Pedro Henrique Montero; para el corregimiento de Carrion de se halla la Gran-Bretaña con respecto á los enviados de las Potencias amigas; los Condes £ D. Agustín Gómez Ingnanzo; para la alcaldía mayor de Getafq £ y que el no tener un representante americano de ia misma clase que el repre D. Francisco Herrero Blanco; para la de Navalmoral de la Mata nueva £ Don sentante ingles en Washington, no depende de que se hayan alterado en lo mas José Simón Benavides; para la de Mur…</t>
  </si>
  <si>
    <t>Iñiguez, Narciso Gallego</t>
  </si>
  <si>
    <t>Narciso Gallego Iñiguez</t>
  </si>
  <si>
    <t>…orbov. El dia 15 del que rige llegó á Oporto Juan José López de Silva , es El Sr. canónigo magistral de la sania iglesia catedral de Santander doctor capado de la cárcel de Lamego , el cual refirió que las autoridades rebeldes de D. Narciso Gallego Iñiguez , socio del limo. Sr. obispo en Ij visita, se convi aquella ciudad habían-hecho salir en los días 8 y 9 para Almeida 44-0 presos, dó por una espontánea emoción de su corazón á tomar pane en la función de quedando en las cárceles otras tantas víctimas, á quienes se intimó que segui este día, y celeb…</t>
  </si>
  <si>
    <t>Ininactoncs</t>
  </si>
  <si>
    <t>…Acto conúnuó-Mr-Gaucby , archivero de la Cámara de los Pares, lee el triado ley algún a_en Ja -primera- sesión dé las Cima tas. A esto se reducen las acriacta de la sesión regia , hasta llegar al discurso que en ella pronunció et Rey; Ininactoncs hechas al ministerio. Preguntaremos ahora nosotros si se di uoa el Presidente lee este discurso, y asi que acaba de hacerlo concluye M. Caucby prueba de patriotismo y se defienden los intereses de nuestro comercio t echan» la lectura dei acta. do en esto la culpa al gobierno francés , que ha hecho…</t>
  </si>
  <si>
    <t>Inmediatamente</t>
  </si>
  <si>
    <t>…ha dirigido al Importa, pues, sobremanera el que VV. den á conocer á sus representados ministerio del mismo Tamo la exposición siguiere : ' estas ideas, en que todos deben abundar; asegurándoles ademas de nuesira_|&gt;trie, Excmcj. Sr. ¡'Inmediatamente que tuvo efecto la instalación de esta si/bde- que haremos todos los esfuerzos que esten á núfcstfo alcance para corresponder legacion de Fomento , ■se "mi presentaron ios comisionados de los colegios y á U confianza que los colegios y gremios depositaron en nuestra solicitud. I gremios, felicitánd…</t>
  </si>
  <si>
    <t>…reconciliarlos, ts de los cuales el 9-° contiene el sistema de los vegetales ó resumen de la parte práctica de botánica del misino Linneo. Cuesta toda la obra 153 rs. rama y 234 pasta común* someten á Ig decisión del tribunal del Rey. Inmediatamente son llamados ante Toiaiij sueltos cada uno á 17 rs. raipa. Convencidos los españoles en ei reinado del se una asamblea general de |a tribu. El lugar dé la reunión es por lo regular el ñor Dt Carlos ni de lo mucho que fas ciencias naturales contribuyen á la prosperidad «atablo común «le la aldea, ó…</t>
  </si>
  <si>
    <t>Ino, LuvLni de Tes</t>
  </si>
  <si>
    <t>LuvLni de Tes Ino</t>
  </si>
  <si>
    <t>…e S. M. con respecto 4 los nuevos colonos.” pondrá de dos brigadas o de ocho batallones. Los soldados del Jura oirán con Siguen las disposiciones reglamentarias. placer que deben formar parte de la brigada mandada por el valiente coronel LuvLni de Tes&amp;Ino. habla siempre del viage de S. M. el Rey de Bavícra, que dicen ven El campo y ejercicios duraran de 10,4 15 dias, pasados los cuales volve drá 4 visitar al Rey su hijo hacia el mes de Setiembre próximo. rán las tropas 4 sus respectivos acantonamientos, habiendo recibido ya los pue El hermano del fam…</t>
  </si>
  <si>
    <t>Inojbsa</t>
  </si>
  <si>
    <t>…impedir que se engruesen los 100 hombres de Me «Se ha dicho que no ha habido mas que una sorpresa de utr general: ha rino- El Gobierno contrajo su atención, y formó empeño en reforzar el ejér habido otra, que fue la que sufrió el coronel Inojbsa , el cual abandonó ver cito del Norte,-y asi se ha verificado: para su aumento cuenta con ios recursos- gonzosamente el campo, y después de Haber él huido , sus tropas batíeron á los que el Estamento le proporcionará, porque con dinero se tienen fuerzas, y con facciosos. El mismo general en gefe, e…</t>
  </si>
  <si>
    <t>Inscripciones</t>
  </si>
  <si>
    <t>…(lothacion de toy 4 tai tres de la tardeI _ comunicando que. el gobierno de Toscana ha dado una órden para quitar , .todos los derechos que adeudában las mercaderías á su introducción en el . XMcrds etruacos. puerto cíe liorna. (*d.)- ^ Inscripciones en efjran lfbroA. 1 p i60, 60. __ prescribiendo reglas para percibir eí reintegro del papel sellado. (Nú Títulos al portador del 5 p. IÓ0, 00t Inscripciones en el gran libro á 4, p. tOÓ, 00. mero 24/.) . Títulos al portador del 4 P* 100, ijf ai contado: ñf, fTÍli varias £s. á voL: ÍH ____ resolvien…</t>
  </si>
  <si>
    <t>…á f p. 100. 00. fueron tantos los insultos y denuestos que nos dijeron , que no pudicndo con Títulos al portador del 5 p. 100. 68. 67$: 68$, | y $ * varías fs. ó vol. tenerme salí con unos 60 hombres de cazadores de Label n y su comandante Inscripciones en el gran libro 2 4 p. 100. 00. D. Bernardo Echalucc y el alcalde de esta villa D. Juan Ramón de Arana, Títulos al portador del 4 p- 100. 58, 574 y f»al contado: 58, 60, 59, 58 , 57J, 58$. 57$ y £ a varias fs. vol. y firme : 61 y 60 á varias fs. vol. y firme á prima qa capitán retirado y comandant…</t>
  </si>
  <si>
    <t>…mugeres, las cuales ganan desde 4 á 10 rs. diarios; de la de vidrio perteneciente á D. Manuel Noriega, D. José Benito Español y D. José Dio SVSCTOS PUBLICOS. nisio Leal, que mantiene mas de SOÓ personas, y de las de cordelería de Don Inscripciones en el gran libro $ S P- 100,00, 58 al contado. Pedro Marzal y D. José Ramón Santos, hay otras de curtidos, sombreros , ja Títulos al portador del 5 p. 100, 60$ y $, á varías fs. ó vol.: 60J y 61 á varias fs. ó bones , lienzos, jarcias, tej idos de punto, de seda y lana, y de salazón , y todas vol.…</t>
  </si>
  <si>
    <t>…ue nada producen ni valen, no por otra causa que Imcrlpclones en el gran libro á i p. 100 , 00. Títulos *1 portador dél í p. 100, 04 í varias fs. 6 vol. por la dificultad y casi imposibilidad física de su conducción á los parages don Inscripciones en el gran libro ijp, 100. 00. de necesariamente deberían tener gran consumo, salida y despacho por su cali Tirulos al portador dei 4 p. 100 . 58 y i 7\ á varias ñ. 6 val. llad que .no puede, disputársele. Vales Reates no consolidados, 20) á 60 d. f. 6 vol. Deuda negociable de 5 p. 100 4 papel, 00,…</t>
  </si>
  <si>
    <t>…n» en el gran libro * 5 p. 100 , 00. tenia por la parte de Lecaroz, que está al poniente de este {«ínter; y observan Títulos el portador del $ por 100,00. do que trataba estrechar mas el bloqueo, consulté con, el teniente coronel Don Inscripciones en el gran libro k 4 P* 100 » 00. Títulos *1 portador del 4 p. 100, Í2 al contado: 11 ] y ÍJ| i verlas &amp; 6 Ve? león Iriarte una salida, y convenidos, dispuse el modo siguiente: Vales Reales no consolidados, 00. «Cincuenta tiradores de Isabel n de guerrilla con lu caballos, y Ja ó.» Penda negociable…</t>
  </si>
  <si>
    <t>Inscripciones, D José María Moscoso</t>
  </si>
  <si>
    <t>D José María Moscoso Inscripciones</t>
  </si>
  <si>
    <t>…itERC[o._Cor/úe/on de hoy i las tres de la tetrde. terado con agrado de este suteso, Va ha dignado disponer que se manifieste asi RFzcros míticos. de su Real órden al citado gobernador. La sociedad ha nombrado protector al Excmo. Sr. D. José María Moscoso Inscripciones en el gran libro al 5 p. 100, 00. de Altamira, Secretario de Estado y del Despacho de‘ loTnterior; director i Vítulos aL portador del S p. 100. 00. D. José María Bremon, gobernador civil de aquella provincia; vicedirector á .Títulos■Inscripcionesal portadoren el grandel 4 librop. 100,á.4 p. á100,14…</t>
  </si>
  <si>
    <t>Inscripciones, José García</t>
  </si>
  <si>
    <t>José García Inscripciones</t>
  </si>
  <si>
    <t>CoII : capellán, D. Francisco Vidal; sargento primero, Lorenzo Marioquin; ' xouA DE comercio.__Cotización dt hoy á lat tres dt la iardt. cazador, Anastasio Garcés. EFECTOS PUBLICOS. Caballería.=Ayudante, D. José García. Inscripciones en el gran libro £ 5 p. 100, 00. Cazad res provinciales de Ciudad-Real. ^Subteniente f O. Manuel Blaz- Tirulos al portador del 5 p. 100, 58* al contado: 60 á varías fs,,..voí. y firme á prima quez r soldados-, Gabriel Gómez: Pablo Valderas, herido; Miguel JimcDez, de 1 p. 100. Inscripciones en el g…</t>
  </si>
  <si>
    <t>Inscripciones, José María Moscoso</t>
  </si>
  <si>
    <t>José María Moscoso Inscripciones</t>
  </si>
  <si>
    <t>…C[o._Cor/úe/on de hoy i las tres de la tetrde. terado con agrado de este suteso, Va ha dignado disponer que se manifieste asi RFzcros míticos. de su Real órden al citado gobernador. La sociedad ha nombrado protector al Excmo. Sr. D. José María Moscoso Inscripciones en el gran libro al 5 p. 100, 00. de Altamira, Secretario de Estado y del Despacho de‘ loTnterior; director i Vítulos aL portador del S p. 100. 00. D. José María Bremon, gobernador civil de aquella provincia; vicedirector á .Títulos■Inscripcionesal portadoren el grandel 4 librop. 100,á.4 p. á100,14…</t>
  </si>
  <si>
    <t>Inserípelona, Mariano AmadorL EFECTOS PUBLICOS</t>
  </si>
  <si>
    <t>Mariano AmadorL EFECTOS PUBLICOS Inserípelona</t>
  </si>
  <si>
    <t>…de Escalona y Galves: la de Cíñete Ripoll Juan: i D. J rolsa db coMERcio._Co/itciooM dt htsy i las tres dt la tardt. • p a Martine;: Urioste, y la de Ordenes á D. Yanguas: Aquilino D. Julián pare *1 corregimient o de Calahorra á D. Mariano AmadorL EFECTOS PUBLICOS. Inserípelona en el gran .libro i í p- 100 . 00. Títulos si portador del 5, p. 100. 5a 31 d. f. 6 voL ESTADO SANITARIO DEL REINO. Inscripciones en el gran libro a 4 P- 100 . 00. Títulos al portador del 4 p- 100, 10, i j ÍUf al cantado: 50J, J2 r 101 á tarlas fs. PROVINCIA DE SALAMANCA. f&gt; vol. Vales Reales no co…</t>
  </si>
  <si>
    <t>Insiste, Cabet</t>
  </si>
  <si>
    <t>Cabet Insiste</t>
  </si>
  <si>
    <t>…es,una vejación, una persecución del ministerio* ' El ministro del Interior dice en breves palabras que ni el gobierno ni él El Sr..de Salvandy lee el dictamen de la comisión que ha examinado loé eri particular han calumniado al Sr. Cabet. Insiste este en lo que ba dicho, y el dos proyectos de ley relativos al arreglo del estado mayor general dei ejército ministro reproduce su contestación. y de la armada: la Cámara lo manda imprimir y distribuir. c El Sr. jollivct pide que se cierre la discusión: contradice esta pretensión el Pregue la disc…</t>
  </si>
  <si>
    <t>Insistió, Vega y Rio</t>
  </si>
  <si>
    <t>Vega y Rio Insistió</t>
  </si>
  <si>
    <t>…mismas de 21 y 22, aprobaron una disposición no habia ninguno cuya razón fuese susceptible de enterarse desde luego de los análoga como artículo de reglamento, que entonces revisaron: que respecto á asuntos, como habla sentado el Sr. Vega y Rio. Insistió en que el objeto de la lo dichq por el Sr. marques de Someruelos, era sabido que en los proyectos proposición era que cada Procurador tuviese la independencia necesaria en las muy voluminosos había muchos articulos que pasaban sin ninguna discusión, deliberaciones , porque cada uno era responsable…</t>
  </si>
  <si>
    <t>Insisto, Juan</t>
  </si>
  <si>
    <t>Juan Insisto</t>
  </si>
  <si>
    <t>…de fabricas , que creyeron desde entonces que la fuerza ma digo oiv il, formen el de enjuiciamiento, de modo que esté en armonia terial era superior ú la fuerza de la ley. enn aquel. Y nombro para esta comisión como presidente, á D. Juan *&gt;Insisto principalmente en estos hechos, porque se ha querido atribuir el Jieponmceno S. Miguel, fiscal del Tribunal Supremo de España e origen de lo* últimos alborotos de León á un principio industrial y á prome Indias, á D. Antonio Siles, á R. Joaquín Fiéis: v Solaos, a R. Feli sas hechas y no cumplidas,…</t>
  </si>
  <si>
    <t>Inspección, Presidente de la</t>
  </si>
  <si>
    <t>Presidente de la Inspección</t>
  </si>
  <si>
    <t>…. Dios guarde á V. E. muchos de esta resolución soberana, en la que se interesan á la véz la pie años. Madrid 7 de Julio de i854.=Jasé Marta Moscoso de Altamif». dad mtcicmal, los recursos de la hacienda y crédito público, y Jos =Sr. Presidente de la Inspección general de Instrucción pública. principio!} conservadores del orden social. De Real orden Id comu— ■'eoá V. E. para siyirtteligencia y exacto cumplimiento en la parte Continúa la instrucción de las reglas que se km de-observar para pPt - que le toca. Dios guarde a V. E. muchos años. S. Ildefonso ó…</t>
  </si>
  <si>
    <t>Inurrigarro</t>
  </si>
  <si>
    <t>…En este momento se me asegura que las noticias que he dado arriba »ot* gará á alojarla , á menos que no reciba antes de verificarlo órdenes de V. E. El ciertas, y que el oficio que fue dirigido anoche al brigadier Bedoya y coman comandante Inurrigarro sin darme noiicias de la facción ha marchado con el dante de Durango Jo interceptaron los facciosos cerca de este pueblo. En este batallón de voluntarios á ocupar el crucero entre Elorrio y Elgueta. Aquí se país se apura la paciencia por U imposibilidad de comunicaciones. dice que el Pretendiente h…</t>
  </si>
  <si>
    <t>Iñurrigarro, Anselmo</t>
  </si>
  <si>
    <t>Anselmo Iñurrigarro</t>
  </si>
  <si>
    <t>…e Alcaine con fecha de ayer lo siguiente; Habien cl alférez adicto también D. Manuel Rodríguez lito; el comandante del bata do sjltdo anoche del pueblo de Montalban con cl cuarto pelotón compuesto de llón de U columna guipuzco.ma D. Anselmo Iñurrigarro; e! capiían de la ].* Ja segunda de cazadores y cuarta del mismo, por órden que me comunico el compañía de ella D. Antonio Zumeta y el de la 2.a D. Isidoro Jrocheta : los Sr. teniente coronel mayor del cuerpo , pan que dirigiese mi marcha al pueblo oficia/es de ía compañía de cazadores del batallón…</t>
  </si>
  <si>
    <t>Inurrigarro, Anselmo</t>
  </si>
  <si>
    <t>Anselmo Inurrigarro</t>
  </si>
  <si>
    <t>…de guía», dos batallones de guipuzcoanos ▼ dos vizcaíno» coa ba en alejarla sí antes no recibía órdenes de V. E.; y á las nueve de la noche dirección á Guernica , 7 de aquí marcharon á las cinco de ayer tarde hácia el comandante D. Anselmo Inurrigarro que ha estado sobre el alto de Cnm- Alendara , otros dos. Sí Liarte y Bedoya estuviesen en Durango reunido» con panzar y que he hecho regresar á esta, me ha entregado el oficio que V. E. se V. S. podrían interceptar el piso de Arratia ó dirigirse á Ochandlano par» im ha servido entregarle en Vergar…</t>
  </si>
  <si>
    <t>Inurrigarro, D Anselmo</t>
  </si>
  <si>
    <t>D Anselmo Inurrigarro</t>
  </si>
  <si>
    <t>…s compañías de guía», dos batallones de guipuzcoanos ▼ dos vizcaíno» coa ba en alejarla sí antes no recibía órdenes de V. E.; y á las nueve de la noche dirección á Guernica , 7 de aquí marcharon á las cinco de ayer tarde hácia el comandante D. Anselmo Inurrigarro que ha estado sobre el alto de Cnm- Alendara , otros dos. Sí Liarte y Bedoya estuviesen en Durango reunido» con panzar y que he hecho regresar á esta, me ha entregado el oficio que V. E. se V. S. podrían interceptar el piso de Arratia ó dirigirse á Ochandlano par» im ha servido entregarle en Vergar…</t>
  </si>
  <si>
    <t>Ipiña, Rufino</t>
  </si>
  <si>
    <t>Rufino Ipiña</t>
  </si>
  <si>
    <t>…y el cargados.de víveres , dos caballos y otros' efectos que se distribuye de la-misma clase y arma D.'Agustin de la Cerda, el teniente dé ron i la tropa!'- sin que estas ventajas hayan cosjacja mas que ser infantería, ilimitado D. Rufino Ipiña, y el alférez del 3-° ligero herido el subteniente de los cazadores de Isabel riD: PebrtdGauíiy D. Mámiel Parrefio. Por último, comprende su recomendación á y dos soldados contusos, uno de dicha compañía y otro de cazado- un gran húmero de oficiales (1) que han rivalizado en esta ocasión, tes del P…</t>
  </si>
  <si>
    <t>Iportante, Andrés</t>
  </si>
  <si>
    <t>Andrés Iportante</t>
  </si>
  <si>
    <t>…que adquieran para sí mayor vigor y fuerza, en prove- que lo es de la misma: en clase de alcaldes del crimen á D. Ma ¡che» común del trono y de los pueblos. Ninguna disposición ¡m- nuel Romero Briones, alcalde de la de Granada, á D. Andrés Iportante se halla en el Estatuto que no se encuentre en las anti Masegosa de la misma, á D. Mariano José ülañeta, y á D. José guas instituciones de estos reinos: con la notable ventaja de que se Huerta, fiscal electo de la audiencia de Albacete : y en clase de fis lun restablecido meramente las que eran com…</t>
  </si>
  <si>
    <t>Iqs, Cárlos María Isidro</t>
  </si>
  <si>
    <t>Cárlos María Isidro Iqs</t>
  </si>
  <si>
    <t>…hacer porque no me era da. Ademas, el Sr. Secretario del Despacho de Estado presentará al Estamen permitido hablar dos veces. Tal es creer que el partido que .puede favorecer to la ley acerca de la exclusión del trono de España i D. Cárlos María Isidro Iqs designiostdel Iqfante D* Cárlos sea mayor hoy que. el que tenia Napoleón de Borbon y su descendencia: ciérrase la sesión,” en la guerra de la independencia. Ayer se hablaba de la libertad de li impren Se levantó esta á las tres y media* FN LA IMPRENTA REAL.</t>
  </si>
  <si>
    <t>Iracheta, Francisco</t>
  </si>
  <si>
    <t>Francisco Iracheta</t>
  </si>
  <si>
    <t>…s con síntomas sospe puntos. Los Urbanos de Peralta se encerraron en la casa fuerte; y aunque les chosos : en ios demás pueblos de la provincia se disfrutaba de buena intimaron la rendición, haciendo.ir á ia fuerza á la mqger del comandante Francisco Iracheta, nada consiguieron, ni se atrevieron á intentar ningún ata Provincia de Tarragona. que por haber muerto el primero que se aproxime. Los Urbanos de los pueblos inmediatos se pusieron en defensa, y el alcalde de Villafranca se negó al pe Parte sanitario de 4 de Noviembre. dido de seis cargas de vino…</t>
  </si>
  <si>
    <t>Irañeta, D Vicente</t>
  </si>
  <si>
    <t>D Vicente Irañeta</t>
  </si>
  <si>
    <t>…era la pasión de ios antiguos: el zelo ha dado y dará Según ellos una partida de la columna móvil del regimiento de Castilla, todavía al cristianismo tanto poder sobre la educación de las masas, si le deja mandada por el teniente coronel D. Vicente Irañeta, dió vista á una facción mos toda la libertad que le es debida : la edad media tuvo el fanatismo; la re de unos 20 hombres, que se cree mandada por el cabecilla López en Palas de volución francesa el sistema de nivelación. Hombres de otra época , tengamos Rey. Huyó la facción á la vista de la tropa…</t>
  </si>
  <si>
    <t>Irañeta, Pedro Miguel</t>
  </si>
  <si>
    <t>Pedro Miguel Irañeta</t>
  </si>
  <si>
    <t>…o rencio Goya, abad de Oricin; á D. Juan José Vergara, vicario de IjSndrit 28 de Mayo. Añezcar; á D. Manuel Gregorio González, vicario de Salinas de Los negociantes de'Lóndres han recibido de Calcuta un proyecto en for Monreal; á D. Pedro Miguel Irañeta, vicario de Huarte Araquil; ma de circular relativo á establecer una comunicación entre las Indias orien á D. José Antonio Aldave, rector de Ziga, á D. Pedro Beistegui, tales y Europa por medio de buques de vapor. Al proyecto acompaña una nota vicario de Astigarraga: á D. Andrés Velaz, vicario de A…</t>
  </si>
  <si>
    <t>Irañeta, Vicente</t>
  </si>
  <si>
    <t>Vicente Irañeta</t>
  </si>
  <si>
    <t>…asión de ios antiguos: el zelo ha dado y dará Según ellos una partida de la columna móvil del regimiento de Castilla, todavía al cristianismo tanto poder sobre la educación de las masas, si le deja mandada por el teniente coronel D. Vicente Irañeta, dió vista á una facción mos toda la libertad que le es debida : la edad media tuvo el fanatismo; la re de unos 20 hombres, que se cree mandada por el cabecilla López en Palas de volución francesa el sistema de nivelación. Hombres de otra época , tengamos Rey. Huyó la facción á la vista de la tropa…</t>
  </si>
  <si>
    <t>Irccheta, Fermín</t>
  </si>
  <si>
    <t>Fermín Irccheta</t>
  </si>
  <si>
    <t>…lXWCfA. mozos de los recientemente sacados, que han vuelto á sus casas. Con la misma fecha manifiesta ei capitán general de Aragón el brillan Parte sanitario de 16 de Noviembre. te comportamiento del coronel de Urbanos de Peralta D. Fermín Irccheta, que despreciando las amenazas é intimación de Zumalacarregui, y con solos 4^ Pueblo*. 2&gt;ias- Enfermo*. Curadas. • Tallecí das. compañeros y 19 carabineros y tiradores de Isabel ii , se sostuvo día y medio en la casa fuerte, mirando con indiferencia los preparativos para incendiarla, y algunos tiro…</t>
  </si>
  <si>
    <t>Ircqre, Manuel</t>
  </si>
  <si>
    <t>Manuel Ircqre</t>
  </si>
  <si>
    <t>…La Francia está quieta, y concluyóse ya esa miserable guerra ci guiéndola inmediatamente el capitán de Guardias, el comandante ...ñera! de vil que durante dos años han suscitado los revolvedores. El comercio se dilata las tropas D. Manuel Ircqre, ei de -.uariel «.onde de S. Román, y Cí ¡r» nu&gt;iro y crece á la sombra de la paz de que gozamos , y que S. M nos promete para interino de la Guerra. En el mismo momento tocaron b.m lo los tambores y en adelante. Do* Estados unidos a nosotros con los vínculos de una simpatía co trompetas de todos l…</t>
  </si>
  <si>
    <t>Irían, Fermín</t>
  </si>
  <si>
    <t>Fermín Irían</t>
  </si>
  <si>
    <t>62 s El comandante general de Burgos da parte con la de 26 que el coronel / bolsa dh ccntBjiCio—jCotizaéion dt hoy &amp; las trts dt la tardt. D. Fermín Irían* había salido con su columna de la N estosa, con dirección á , XVBCTOS PUBLICOS. Carranza., en busca de unos ZOO rebeldes capitaneados por Castor, y que ha Inscripciones sobre el gran libro al 5 p. 100, 53Í y $4 al colado: 53I i40 d. f. tí vol. j biéndolos encontrado cerca del pueblo de Concha, á p…</t>
  </si>
  <si>
    <t>Iriar</t>
  </si>
  <si>
    <t>…giendo tres mas, sin pérdida alguna por su parte. Tegernsée á juntarse con la Princesa su madre. Ei cotnandanre militar de Bilbao con fecha del día 4 manifiesta que con tinuando hacia -Guemica las columnas del general Espartero y brigadier Iriar— . , El primogénito de la familia,ducal de Berkenfeld, Guillermo, duque de te en persecución de los facciosos batidos en Arratia, tuvo noticia del expre Baviera, acaba de ceder sus dominios de Eanz, en el alto Palatínado, y la renta sado general de que le esperaban en un bosque por donde debían pas…</t>
  </si>
  <si>
    <t>…a sobre esta Alava. Murió sí aquí el gefe faccioso Las Heras, que era de consideración en villa, encuentran en 32 valientes del ejército y Milicia urbana una resistencia tre sos compañeros. Ultimamente, apoyo la recomendación del brigadier Iriar desesperada y temeraria, que humillando su orgullo los detiene catorce huras, te , y espero que de todo se servirá V. E. dar conocimiento á S. M. para su viéndose precisados á retirarse con vergüenza, perdiendo uno de sus principales satisfacción. cabecillas, sin que ni sus ofertas ni sus amenazas…</t>
  </si>
  <si>
    <t>Iriartc</t>
  </si>
  <si>
    <t>…ntro ventajoso con los enemigos de aquella ción y explotación estoy reuniendo datos para reconocerlas con oportunidad, provincia. habiendo ya tomado disposiciones á fin de encontrar algunas de yeso , cuya Eí brigadier Bedoya y el coronel Iriartc obraban en las Encartaciones so materia apena* se usa en la fabricación de edificios. bre los reatos de Castor , Torre y otros cabecillas. losando después á hablar de lo» avuntamienfos, díte que habiendo encon . La columna de la Guardia tveal que salió de Madrid se había adelantado á trado sin desp…</t>
  </si>
  <si>
    <t>Iriartc, Fermin</t>
  </si>
  <si>
    <t>Fermin Iriartc</t>
  </si>
  <si>
    <t>…la provincia de Búrgos.=Excmo. Sr.: licia urbana, y mas particularmente á la hermana del sargento 2.° En este mismo momento acabo de recibir el parte del brigadier ya expresado por su heroicidad, entusiasmo y decisión. El correo D. Fermin Iriartc que con fecha 11 del actual desde Villalba de de esa corte llegó ater tarde, y con la proporción de haberlo ve Losa me dice lo siguiente : ”Me apresuro á participar á V. S. que rificado en este día el de Navarra, remitiré al Excmo. Sr. general i en la mañana de hoy he batido con las columnas de mi…</t>
  </si>
  <si>
    <t>Iriarte</t>
  </si>
  <si>
    <t>…a Cuántos son los gastos de administración, y los demas que?se causan mismo llegaron á aquella villa las columnas deí mando del brigadier Bedoya y anualmente eit el establecimiento, poniéndolos con toda individualidad: cuán- del coronel Iriarte, que habían perseguido las facciones de Casíor y demás de s los recursos con que cuenta en la actualidad para subvenir á ellos: cuántos las Encartaciones, y entraron también en dicha provincia de Vizcava con di créditos activos y pasivos tiene: qué mqbras pueden hacerse en la administra rección de…</t>
  </si>
  <si>
    <t>…sobre Jaj facciones de Sopelana, Ibarrola y Castor, no pudo obligar íais a combatir; y habiendo llegado oportunamente sobre ellas desde las Encar En los dias 23, 24 y 25 de Octubre anterior murieron 32 peisonas en la taciones el brigadier Iriarte4 propuso dicho general desde Amurrio, donde s* capital de esta provincia, y quedaban 330 en convalecencia: en el Real hos hallaba el 28-,' ühá operación combmadi,sobre Viztaya, 4 cayo efecto el gene picio de dicha ciudad fallecieron en igual período 3 personas, y quedaban con ral Osma había dispues…</t>
  </si>
  <si>
    <t>…obispo. ios puntos en que formaban sus reuniones y permanencia, y persiguiéndolos también de cerca con constancia. Habiéndose dignado $. M. la Reiva Gobernadora mandar qu¿ la Real so Que en efecto lo verificó asi, y encargando al coronel Iriarte la viva per ciedad económica matritense vuelva á celebrar sus sesiones que habían quedado secución de la facción, mientras él con las-de lnojosa y Cosío tornaba direc interrumpidas desde el año de 1823, un ¿ugeto, que ha deseado callar su nom ciones diversas y distantes , cayendo después de dos marcha…</t>
  </si>
  <si>
    <t>…y al momento dispuse que el alférez del regi de Noviembre manifiesta, que habia llegado á aquel punto el general Esparte miento de caballería del Rey, D. Martín Ramírez, se encargase de la van ro, con tres compañías, siguiendo el brigadier Iriarte la persecución de las guardia compuesta de 4 soldados de su regimiento, 11 lanceros y un ordenanza facciones de Castor, Sopeiana é Ibarrolilla, que llevaba por delante huyendo del regimiento de Borbon; y que ei teniente D. Martin Pardo se diritiVe á siempre en dirección de ViiUxcal de Alava} que en su…</t>
  </si>
  <si>
    <t>…y con la fuerza del valiente y disciplinado enemigos que tomaron la dirección de Llodio, adonde los persiguió , hasta que ejército que tengo el honor de mandar, á vuestra entera pacificación, haciendo habiendo hecho movimiento el brigadier Iriarte desde las Encartaciones, con desaparecer de entre vosotros la discordia, y libertándoos de este modo de la tramarcharon , y volvieron á Arratia. El 30 salieron el general Espartero d* guerra civil que os devora. En nombre de nuestra legítima Reina Isabel ii, Llodio, é Iriarte de Amurrio, y al anoch…</t>
  </si>
  <si>
    <t>…ecientes á U Real Hacienda, existentes en dicha villa, la de Santa Cruz, linda con Castilla, á excepción de Castor,que con sus restos huía hacia Laredo. Viiiarubia de Santiago y Colmenar de Oreja, y cuyo primer remate ha de ve El coronel Iriarte perseguía á c**re muy de cerca, el brigadier Bedoya mar rificarle el dia 15 del mes actual; el segundo el 2 de Marzo, y el término del chaba tras de aquellos en dirección de Aramayona, el brigadier Jáureguí se en cuarto para el l.° de Abril. Las personas que quieran enterarse en esta corte de camin…</t>
  </si>
  <si>
    <t>…o la irrupción qué hacia Ha; en cuya plaza se hallaba el general Hore, comandante general Castor y Arroyo que se adelantaban en dirección de la Lievana. del norte del reino de Valencia. En el de Aragón no había mas par El bizarro brigadier Iriarte que manda en dichas merindades mar tida que la de Conesa, que sorprendida por el coronel Rebollo á chaba á su encuentro, mientras otras fuerzas destacadas de Santan favor de una marcha rapida hecha en carros, fue vigorosamente der se dirigían contra Arrayo. atacada y derrotada en Almonacid de las O…</t>
  </si>
  <si>
    <t>…es familias han quedado en la penosa marcha de noche de Cegama á Oñate , huyendo de las tropas leales-de Chima miseria. No sabemos el origen, ni los pormenores de esta desgracia. Guipúzcoa, se1 ha corrido á Aramayona. Idem 19. El brigadier Iriarte habia reunido el 9 en las Encartaciones las tropas de su mando para obrar sobre el confia de Vizcaya. . Asi como U Cámara de Hcsse-Cassel, la de Hesse-Darmstadt se' halla El general Manso habia dado nueva colocación á las suyas, situando su en oposición contra el gobierno, relativamente á los gasto…</t>
  </si>
  <si>
    <t>…positiva. El carácter, espíritu, ex lugar á ellos no evitándolos , por efecto de la entrada en Vizcaya de dos co tensión y recursos científicos con que se emprende esta publicación, podrán conocer lumnas de Castilla al mando del brigadier Iriarte y del coronel Carreras, y de se por eí prospecto que se distribuye gratis en la librería extrangeri de Dennp y C. la cooperación de otras tropas. calle de Jardines. Se suscribe en Madrid en la citada librería á razón de 30 rs. por tri mestre llevado á casa de los suscriptores, y de 36 para fuera de la co…</t>
  </si>
  <si>
    <t>…de habilitarle completamente; y espera «sta villa. S. E. comunicó por extraordinario esta plausible, noticia á Logroño, cooperar con fruto á la ejecución del que intenta abrir por su cuenta la villa á Pancorbo, á la división del brigadier Iriarte y á las demas tropas de Castilla, de Zujar, y el proyectado de Motrilque se hallan en Vizcaya, para que le den la mayor publicidad, circulándola Ha socorrido con los fondos de pósitos á muchos pueblos en donde los jor también á todas las autoridades; dando asimismo algunos ejemplares al corre naleros…</t>
  </si>
  <si>
    <t>…de infantería de Isabel ti, que todos en este día han hecho vesado el Ebro por Puente Larra, han sido burladas en sus espe prodigios de valor. Los enemigos han tenido mucha mortandad, ranzas por las maniobras de las columnas del brigadier Iriarte y ocasionada por nuestras repelidas cargas á 1» bayoneta. Por no ha det teniente coronel Cosío, que las han obligado á repasar dicho bérseme replegado algunas de mis columnas no puedo manifestar á rio. V. E. el número de prisioneros; pero entre varios de estos acaban de presentarme al titulado brigad…</t>
  </si>
  <si>
    <t>…as cuatro de la mañana, junto al poste de una esquina, un bar da diputación y los dos batallones de Ibarzabal y Ucrejola, mientras que el reño lleno de agua; le descubre y retrocede espeluzado de horror al percibir otro á las del brigadier Iriarte , envolvía esta misma posicioQ dirigiéndose por en ¿1 la cabeza de una muger, cuyo cráneo estaba abierto , y el cerebro echa las elevadas alturas del monte Solube; movimientos que produjeron su fuga do en parte sobre el rostro. Habiendo avisado á un comisario de policía , este en varias direcciones…</t>
  </si>
  <si>
    <t>…¡niega con la idea- de déla autoridad legítima, si són contrarías á las costumbres y re pasar al valle de Mena á recoger los quintos, fue el 2 dispersada cuerdos de la nación, si la obligan á renegar de su historia, de sq por el brigadier Iriarte , tomando por Sojo al valle de Angulo. gloria, de su carácter, y de los objetos de su culto religioso y po lítico; en una palabra, si son innovaciones debidasá teorías abstrac El comandante general de la provincia de Soria con fecha del 12 tas ó á la imitación servil, y cuyos principios por consigu…</t>
  </si>
  <si>
    <t>…Vascongadas da parte al trono de nuestra ainada Reina , tengo la amargura de que fe i este ministerio que.es grande la dispersión de las facciones bati necieron los individuos que manifiesta la relación adjunta; la qu* das por el brigadier Iriarte y refugiadas á Cuartango, de donde expresa igualmente las familias que dejan cubiertas de luto, y que aseguraban que Sopclana había sido muerto ó prisionero. deberán lá mayor parte de ellas ser víctimas déla indigencia, si no reciben los consuelos que acostumbra dispensar á los desgraciados Copia del…</t>
  </si>
  <si>
    <t>Iríarte</t>
  </si>
  <si>
    <t>…ocasiones de mayor ban en el expresado Concha de Carranza, á quienes batió y dispersó completa riesgo y fatiga, como acredita el numero de los heridos desproporcionado al de mente; y que habiéndose reunido después la columna del coronel Iríarte había la pérdida de la tropa, de cuyos nombres tendré el honor de dar a V. E. la emprendido su marcha á 1a Ncstosa con el ¿nimo de acabar de destruir á Castor, correspondiente nota por si tiene a bien elevarlo al conocimiento de S. M. Mien que con lo$ restos de su banda se había internado en el val…</t>
  </si>
  <si>
    <t>…e sin embargo la constante persecución de coailo y las gabillas de Castpr,,Ochoa y otras varias, salí de Bilbao el dia 6 las gavillas por el,brigadier Colubi, produce los mas felices resultados, po con mi columna en umon*'del Sr. brigadier Iriarte con 900 hombres de la su niéndose en un. estado de defensa que impondrá y contendrá mucho las maqui ya, j mesjirigí.á^Orozco, .donde pernocté por haberlo abandonado los rebel- naciones revolucionarias. ..... rfeTaFiabéf qne°ybt’ñ»í ajprtmriialteVdiágietidósé a-IbarA, dónde sé incorpora En el correg…</t>
  </si>
  <si>
    <t>…será pasado “mas-firmes apoyos. 4' " ' r ‘,T ' 1 1 ' *, »or las armas. V. E. echará de-menos en este parte el parage y los detalles de Se consiguen importantes mejoras en el ramo de escuelas. En SisanteJsecJ¿ fa acción. Quizá el brigadier Iríarte los haya dado en algún otro escrito que no establecido una según el método de Valjejo , y dos ¡en Villartuéva^ de ía&amp;V^ ha llegado á mis manos, pues en oficio separado se queja de interceptaciones. •cuyos vecinos lo han celebrado con bailes, comedías3fas ¡cSS&amp;as¡caretas VTodoyTódb^jgfcftfrpcintro .Pero…</t>
  </si>
  <si>
    <t>…eren Uranga y Basilio se hallaban en Murguía y Marquina', y que todas tes partes de ja sierra, no han podido todavía^jucer progresos. He las noticias estaban contestes de que-habian experimentado mucha pérdida en la acción con el brigadier Iriarte, quedándose los oficiadispuesto que el coronel Albuinse dedique excliwivamente á per seguirlas y destruirlas en su origen, ya las halle reunidas, ya sepa les sin sus maletas. radas, cuidando particularmente de. ex terminarlas* y le he dado ór El capitán general de Aragón en 15 de Abril actual manif…</t>
  </si>
  <si>
    <t>…Bayona 00. Alicante, id» d. ácortopla- Corona* Valencia* f añade dicho general que coq el mismo objeto había hecho salir de Haro un es -00* Burdeos. 1 . z.o, ¿ d. id. Granada, d. Zaragoza , £ cuadrón del l.° de ligeros; y que el brigadier Iriarte esraba el 17 en Balma— tfamburgo » 00. Barcelona, k ps. fs., Malaga, id. id. Descuento de Ierras, seda acahando de fortificar aquel punto para dejar-una guarnición, y emprender Londres* a 90 dias, 1 b. Santander* t b. a 4 p- 100 al año. nuevamente sus operaciones; habiendo recibido aviso este gefe…</t>
  </si>
  <si>
    <t>…diligencia*, eL enemigo, que llevaba mucha de iban restableciendo, siendo raro el caso nuevo que ocurría. ' -lantera, se apoderó de la angostura; pero esto no le libró de que tanto los que salieron de Orduña, como la columna del brigadier,Iriarte^que picaba su re taguardia trabando un fuerte tiroteo con él, no le cai¿sasen bastante daño, dis PROVINCIA DE .TERUEL. persándolos y matándole mucha gente, que pudo verse, sin la que quedaría en . En oficio de 14 del presente manifiesta su gobernador civil que solo tenia tre las breñas, y cogiéndol…</t>
  </si>
  <si>
    <t>…1. Cádiz | b. Sevilla par. Valencia id, * d.charon fuerzas hacía Molina y Daroca cuando se supo su aparición. Burdeos,Bayona , 00.00. Alicantezo par.á corto pla CorullaGrdO.da |id.idv Zaragoza Con igual actividad las columnas del brigadier Iriarte, el coronel Cosío y Hacnburgo , 00. Barcelona á ps. fi. Malaga par. Descuentos de letras otras que de continuo maniobraban en las merindades de Castilla á las órdenes ¿.¿odres 1 90 dial ib. Santander id. á 4 p. 100 ai año del activo brigadier Bedoya, han inutilizado los planes de los facciosos en t…</t>
  </si>
  <si>
    <t>…las recomendaciones que se me hacen por él teniente coronel S. Pedio, ruego ve hallaba en Villarcayo, salía con su columna i obrar en combinawon con á V. E. se digne hacerla muy apecial de este benemérito gefe y del capitán de el brigadier Iriarte, que desde Espinosa se dirigía al valle de Ruesga, míen ti as cazadora de Africa D. Manuel Carrascosa, entrambas merecedores de toda la el coronel Quintana apoyaba por su derecha este movimiento. consideración que la munificencia de la Ruina nuestra Señora se digne dispen sarla , tamo por ate disti…</t>
  </si>
  <si>
    <t>…stablecidos en la torre. la mendicidad 4-t) y tantas famiiias: ninguno pisa ya el suelo castellano, y la» *« Inmediatamente se puso toda la guarnición sobre las armas, haciendo valientes tropas de S. M. con su bizarro caudillo el brigadier Iriarte op^rao en fuego sobre ellos desde las ventanas los carabineros y provinciales que estaban las Encartaciones, mientras que el de igual clase Bedoya persigue por el valle alojados en la plaza; de lo que resultó matar á uno, y herir á varios, según se de Losa al cabecilla Arroyo, y se dispone á llevar…</t>
  </si>
  <si>
    <t>Iriarte, D Fermín</t>
  </si>
  <si>
    <t>D Fermín Iriarte</t>
  </si>
  <si>
    <t>…s que Inscripciones en el gran libro si.lvp- 100, 00. han tenido mas ocasión de señalarse. Pero no puedo menos de verificarlo en Títulos al portador del $ p. LOO, 62., 6lg 63, 62f y 62J k verles fs, ó yol.. „ j»?iipiilar (je! Sr, brigadier D. Fermín Iriarte , que en la brillante jornada i qué Inscripciones en el gran libro * 4 P* 100, 00. ' 1 ssstcpartp se‘refiere, y én la que fue herido el caballo que montaba, ratificó mas Títulos al portador de! 4 p. 100, )3J y 53J al contado: $4f&lt; 1, ¡&lt; ti $4. Sí, SU, S3f, Síi. J StfíJy- SS í vsrissft. ó valo.J+é,…</t>
  </si>
  <si>
    <t>…de la verdad , que el porvenir fecundizará; porque.es po dettes del brigadier Bedoya, que se compondrá de tres brigadas: la 1.* i lis ór lítica el porvenir está siempre de parte de la Justicia y de la rabón, que tienen denes del brigadier D. Fermín Iriarte* la 2.a á las dét coronel I&gt;. Juliap Oliun lugar distinguido en el tratado de 22 de Abril. Pira demostrarlo no tene vares Manzanedery -la- 3.a, que servirá de reservará las detcoroncl D..Manuel mos necesidad de mas,, que de citar las estipulaciones, del tratado T que asegu Hinojosa da SjIcedo: dichas b…</t>
  </si>
  <si>
    <t>Iriarte, D León</t>
  </si>
  <si>
    <t>D León Iriarte</t>
  </si>
  <si>
    <t>…rculación para tener vida. =Excmo. Sr.=El conde de Armildez de Toledo. La máquina locomotriz que en Virginia viaja por el camino de hierro de Petersburgo á Roaook.e(3), es una de las muchas y bellas obras que se en Excmo. Sr.: El capitán D. León Iriarte, gefe de una pequeña columna cuentran en los estados de Virginia y Pcnsilvama, debidas al joven ingeniero volante, me dice hoy desde Villava entre otras cosas lo siguiente: •&gt;Excelen Mr. Robinson. La máquina camina con su rapidez acostumbrada por una estre tísimo Sr.: Tengo el honor de poner en not…</t>
  </si>
  <si>
    <t>Iriarte, Fermín</t>
  </si>
  <si>
    <t>Fermín Iriarte</t>
  </si>
  <si>
    <t>…ripciones en el gran libro si.lvp- 100, 00. han tenido mas ocasión de señalarse. Pero no puedo menos de verificarlo en Títulos al portador del $ p. LOO, 62., 6lg 63, 62f y 62J k verles fs, ó yol.. „ j»?iipiilar (je! Sr, brigadier D. Fermín Iriarte , que en la brillante jornada i qué Inscripciones en el gran libro * 4 P* 100, 00. ' 1 ssstcpartp se‘refiere, y én la que fue herido el caballo que montaba, ratificó mas Títulos al portador de! 4 p. 100, )3J y 53J al contado: $4f&lt; 1, ¡&lt; ti $4. Sí, SU, S3f, Síi. J StfíJy- SS í vsrissft. ó valo.J+é,…</t>
  </si>
  <si>
    <t>…dad , que el porvenir fecundizará; porque.es po dettes del brigadier Bedoya, que se compondrá de tres brigadas: la 1.* i lis ór lítica el porvenir está siempre de parte de la Justicia y de la rabón, que tienen denes del brigadier D. Fermín Iriarte* la 2.a á las dét coronel I&gt;. Juliap Oliun lugar distinguido en el tratado de 22 de Abril. Pira demostrarlo no tene vares Manzanedery -la- 3.a, que servirá de reservará las detcoroncl D..Manuel mos necesidad de mas,, que de citar las estipulaciones, del tratado T que asegu Hinojosa da SjIcedo: dichas b…</t>
  </si>
  <si>
    <t>Iriarte, IX Fermín</t>
  </si>
  <si>
    <t>IX Fermín Iriarte</t>
  </si>
  <si>
    <t>…del Despacho de la Guerra.0 artillería y deníts individuos de estaarma han dirigido sus fuegos con el mayor acierto, Los 30 Urbanos que han: sido armados, se han presentado' non la ma j «Excmo. Sr.: Acabo de recibir un parte del brigadier IX Fermín Iriarte, yor decisión ! sostener los puntos que se les señalasen: para la defensa, cuyo fecha' de ayer en Medina da Pomar, que dice asi: Excmo. Sr. i Las facc ones acontecimiento pongo en noticia de V. S. para su inteligencia y satisfacción, reunidas de Castor , Sopelana i Ibamdilla, en número de 2500 á 3$…</t>
  </si>
  <si>
    <t>Iriarte, León</t>
  </si>
  <si>
    <t>León Iriarte</t>
  </si>
  <si>
    <t>…u amo. ¿Hay cosa que inspire mas alta idea del p,.der del hom fantes y 30 caballos, á las órdenes de los tenientes coronelía graduados D. Ra bre que la máquina de \rapor aplicada á los carruages en caminos de hierro? fael Medon y D. León Iriarte, recorren los pueblos de estas inmediaciones, Es mas que una máquina; es casi un ser. Marcha, corre como un caballo á es persiguiendo á los aduaneros y pequeñas partidas de facciosos, protegiendo ade cape (2). Todavía mas, respira: el vapor que sale periódicamente de ios cilin mas la concurrencia d…</t>
  </si>
  <si>
    <t>…de Jav Cinco-Villas, arrojaron el 23 de Sangüesa la retaguardia de los facciosos, habiéndose distinguido en este encuentro el capitán de caballería del Analogías para lá resolución de triángulos, y prácticas. regimiento de Borbon D. León Iriarte, y el ayudante del propio cuerpo Don Trigonometría esférica. Joscf García. - Principio fundamental de ella. Exposición de las fórmulas ó analogías de Néper. Con fecha 22 del corriente avisa el presidente de la junta superior de Sa Resolución de los triángulos esféricos. nidad de Andalucía, que Ja s…</t>
  </si>
  <si>
    <t>Iriarte, Ramón</t>
  </si>
  <si>
    <t>Ramón Iriarte</t>
  </si>
  <si>
    <t>…almirante sir Miguel Sey- y también que se haga mención especial y honorífica de los tenientes D. Joa mour , qaballero comendador de la órden del Baño, y comandante en gefe de quín de Zalsas y D. Agustín de Abajos, y subtenientes D. Ramón Iriarte, las fuerzas navales de S. M. Británica en los mares del Sur, acontecida en su D. Francisco Latorre y D. Francisco Pulgar, cómo también del subteniente residencia de Larangeiró (Rio-Janeiro) después de una larga enfermedad. El empleado en la plana mayor D. Antonio Sánchez Solis, y del capitán de Ur…</t>
  </si>
  <si>
    <t>Iriarto, D León</t>
  </si>
  <si>
    <t>D León Iriarto</t>
  </si>
  <si>
    <t>…hablan visto por aque lla parte, fue atacada por dos compañías de rebeldes, las que fueron rechaza das. Conseguido el objeto del reconocimiento, me retiré. Al anochecer de es las tres de la tarde. to dia se me reunió ei teniente coronel D. León Iriarto, y ocupó las dos ca bolsa djb coiiHxcio—Cotización dt hoy i sis del frente del fuerte ’ EFECTOS PUBLICOS. Dia 19. »En este die por la mañana reforzó el enemigo las posiciones qus Inscripción» en el gran libro * 5 p. 100 , 00. tenia por la parte de Lecaroz, que está al poniente de este {«ínter; y ob…</t>
  </si>
  <si>
    <t>Iriarto, León</t>
  </si>
  <si>
    <t>León Iriarto</t>
  </si>
  <si>
    <t>…visto por aque lla parte, fue atacada por dos compañías de rebeldes, las que fueron rechaza das. Conseguido el objeto del reconocimiento, me retiré. Al anochecer de es las tres de la tarde. to dia se me reunió ei teniente coronel D. León Iriarto, y ocupó las dos ca bolsa djb coiiHxcio—Cotización dt hoy i sis del frente del fuerte ’ EFECTOS PUBLICOS. Dia 19. »En este die por la mañana reforzó el enemigo las posiciones qus Inscripción» en el gran libro * 5 p. 100 , 00. tenia por la parte de Lecaroz, que está al poniente de este {«ínter; y ob…</t>
  </si>
  <si>
    <t>Iribarren, Mateo</t>
  </si>
  <si>
    <t>Mateo Iribarren</t>
  </si>
  <si>
    <t>…lidados, 194, * y 20 á varias fs. Vol. y firme. A propuesta de la dirección, general de Correos , se ha servido S. M. nom Deuda negociable de i p. 100 4 papeí,'l9* y 19* 160 d. f. vol." y firme. brar para la estafeta de Miranda á D. Mateo Iribarren, y para la de Lucena 4 Id. sin interes, II, i. ¡y 11.7 dieciseisavos el contado: 1 li, *, 4,12r 1H1 varia* D. Francisco Cerón. rs. o vol.: 12 y II* a varias fs. ó vol., 4 prima de * p. 100. 7 Accione, del banco español, 00. A- propuesta también de la dirección general de Minas, se ha dignado CAMBIO…</t>
  </si>
  <si>
    <t>Irígoyen, Manuel Alaría</t>
  </si>
  <si>
    <t>Manuel Alaría Irígoyen</t>
  </si>
  <si>
    <t>…yo poder ha resultado'después no ser legítimo-, se sirvió declarar S. M. administrador de Reinosa D. José Quijano ; y la de oficial 4.0, que desempe por Real óidcn de 11 de Enero úlliiii€ry~ha tenido á bien mandar se anuncie ñaba D. Manuel Alaría Irígoyen , á D. Francisco Javier de -Vita-, -oficial -faral público que en iguales casos no baste la sola lectura del poder, sino que ha norario que sirve en la administración 3e Granada. ya de quedar copia legalizada de él en las administraciones, presentando ademas el apoderado tres sugetos de conocido ar…</t>
  </si>
  <si>
    <t>Iriirtc</t>
  </si>
  <si>
    <t>…vuelto á.Francia. del corriente que el general Espartero satió.de aquella ciudad el día interior Dentro da algunas semanas se abrirá una escuela politécnica en un palacio con dirección á tas Encartaciones-y en combinación coo el brigadier Iriirtc,</t>
  </si>
  <si>
    <t>Irlanda</t>
  </si>
  <si>
    <t>…los firmaron menor edad de su Hija la Reina Doña Isabel ii, S. M. el Rey de y sellaron con el sello de sus armas. los franceses, S. M. el Rey del Reino Unido de la Gran Bretaña é Dado en Londres á 18 de Agosto del año de Nuestro Señor Irlanda, y S. M. I. el Duque de Braganza, Regente del Reino de el 183i.=(L. S.) Miraflores.ojL. S.) TalLyrand.=(L. S.) Palmerston. Portugal y de los Algarbes, en nombre de su Hija la Reina Doña =(L. S.) C. P. de Moraes Sarmentó. María ti, Altas Partes contratantes del tratado de 22 de Abril de 1854, habien…</t>
  </si>
  <si>
    <t>Irtarte, D Fermín</t>
  </si>
  <si>
    <t>D Fermín Irtarte</t>
  </si>
  <si>
    <t>…Carpió manifestando la aparición de unos 12 hombres á caballo ciones mandadas por Castor, se inserta el parte siguiente relativo á.ella. aunque U de la primera les hace subir á 27, en cuyo distrito han robado caba Excmo. Sr. : El brigadier D. Fermín Irtarte con fecha 1 l de este mes'des- llerías y varios efectos; y la de esta última , que es la de Carpió , participa que* de Arciniega en ofic*o que he recibido hoy me dice lo siguítnte: Excmo. Señor.- los Urbanos de ella han aprehendido cuatrcr caballos en el monte del Duque, El Sr. comandante de la 1.a…</t>
  </si>
  <si>
    <t>Irtarte, Fermín</t>
  </si>
  <si>
    <t>Fermín Irtarte</t>
  </si>
  <si>
    <t>…ifestando la aparición de unos 12 hombres á caballo ciones mandadas por Castor, se inserta el parte siguiente relativo á.ella. aunque U de la primera les hace subir á 27, en cuyo distrito han robado caba Excmo. Sr. : El brigadier D. Fermín Irtarte con fecha 1 l de este mes'des- llerías y varios efectos; y la de esta última , que es la de Carpió , participa que* de Arciniega en ofic*o que he recibido hoy me dice lo siguítnte: Excmo. Señor.- los Urbanos de ella han aprehendido cuatrcr caballos en el monte del Duque, El Sr. comandante de la 1.a…</t>
  </si>
  <si>
    <t>Is-.bei</t>
  </si>
  <si>
    <t>…ya por el Estamento; principio que dán licia urbana, ó excluidos de sus filas, como desafuero* ó r"*pe;b~sos: ¿Desde la dole cierto carácter de estabilidad, se opone á todo lo que sean medidas de ex subidi al trono de la augusta Reina Is-.bei i i , ó q-jizis desde misatra»; ¿ Des cepción; se opone la adición igualmente)al principio aprobado ya por «l Esta de el año 2 3 , ó será prc^iso subir ma* arr.ha, r recejar ha*ta e! año d» ] 3 I j ?.... mento de que la Milicia sea obligatoria; y una vez admitida esta bise, la co «Admitir cí princi…</t>
  </si>
  <si>
    <t>Is.vbia</t>
  </si>
  <si>
    <t>…uurde á V- 1%. mud os años. Guadix 18 de Diciembre de 1833. = por el plausible advenimiento al tr* r. ' español de^su excelsa Hija ia RlanvExcmo. br.=Josef, obispo de Guadix.:= Excmo. Sr. secretario de Estado \ del nuestra Señora Doña Is.vbia ii , y p u el gobierno y regencia del rcin vt qu? Dcípj^ho de Gracia y Justicia. durante la menor cJad de la Soberana , ha recaído en \. M. por fortuna de fio españoles, que va ex pe: i:n.‘nrri fi" ..ir,- uidos efectos de su desvelo r Hxcmn. Sr.: Entre inmensos males que me han afligido sumamente y…</t>
  </si>
  <si>
    <t>Isa, Dofia</t>
  </si>
  <si>
    <t>Dofia Isa</t>
  </si>
  <si>
    <t>…edido todas las noticias necesarias. ‘ En los dias 3,4 y 5 de Mayo solemnizó con brillantes ¿estas y regoci También ha aprobado la enagenacion a censo de unas 30 ó fanegas da jos la ciudad de Lugo la proclamación de nuestra amada Reina Dofia Isa tierras de propios en la ciudad de Mujacra, y se instruye expediente para su bel ii. Una airosa comparsa de á caballo anunció por las calles en Ja mañana bastarlas a favor del mejor postor. ~ : _ del 3 la publicación de aquella augusta ceremonia, y todo aquel día y aun du Ha suprimido en la villa d…</t>
  </si>
  <si>
    <t>…edido todas las noticias necesarias. ‘ En los dias 3,4 y 5 de Mayo solemnizó con brillantes ¿estas y regoci También ha aprobado la enagenacion a censo de unas 30 ó fanegas da jos la ciudad de Lugo la proclamación de nuestra amada Reina Dofia Isa tierras de propios en la ciudad de Mujacra, y &amp;e instruye expediente para su bel ii. Una airosa comparsa de á caballo anunció por las calles en Ja mañana bastarlas a favor del mejor postor. ~ : _ del 3 la publicación de aquella augusta ceremonia, y todo aquel dia y aun du Ha suprimido en la villa d…</t>
  </si>
  <si>
    <t>Isa, Doftá</t>
  </si>
  <si>
    <t>Doftá Isa</t>
  </si>
  <si>
    <t>…Excmo. Sr.: «El aparecimiento ¿e algunas guerrillas en diferentes que en Puerro-Rico presenciaron la solemne proclamación de la Reina ,nues puntos de ¡esta .provincia , despues que el .ejétqit» .libertador del nsaodo .dei du tra Señora Doftá Isa sur n estaba solo poseído de . la Rf.ina , y no respiraba que de Tercera pasó á operar í lá Beira, me obligó, fiado de La -buepa.,armo sino por S. M., y todos los sacrificios imaginables juró haberlos en aquellos nía qpe felizmente existe entre., el' gobierno (le S- Sdr -C. y de Si-M. Fidelúmomento…</t>
  </si>
  <si>
    <t>Isa-bel</t>
  </si>
  <si>
    <t>…ido ayer y leído con el mayor respeto mente la sabiduría con que V. M., en nombre y durante la menor edad de si. la Real carta de V. M. dada en Palacio a 18 del mes último, por la que se eucelsa y muy amada'Hija ia Reina y Señora Doña Isa-bel ii , gobierna li sirve V. M. mandar se proceda con toda brevedad a proclamar por Ruina do monarquía española. Dígnese V. M. recibir benignamente esta expresión le mis las Españas á U Señora Doña Isabel ii como heredera legítima de los vastos sentimientos y el hoinenage de mi mas profundo respeto, a…</t>
  </si>
  <si>
    <t>IsAaur</t>
  </si>
  <si>
    <t>…do, sé preguntó si se ■x Segunda, de los SreV. García Carrasca y Serrano ,(D. Francisco): «Pedi aprobaba el párrafo S.° del dictámende la comisión con dichas, aclaraciones, y mos al Estamento se sirva votar 28 millones para S. M. Doña-IsAaur 11.” quedó aprobado. Tercera, del Sr. Cuesta: «Pido al Estamento tenga 4 bien votar para pre El Sr. Pre.idente anunció que se iba 4 continuar la discusión sobre el pre supuesto ó asignación de la Rbiva Doña Isabel ii 28 millones de rs.” supuesto dé casa Real. Cuarta, de los Sres. marques de .Villag…</t>
  </si>
  <si>
    <t>Isab</t>
  </si>
  <si>
    <t>…ha tomado todo encomio. un ochavo del sueldo que pueda tocarle como embajador de Rusia. ([Cáurier.) \ Tal es el modo cqn que la siempre fiel ciudad de Santa María de! Rosario ha celebrado la proclamación de nuestra Reina y Señora Doña Isab&amp;í. ii raANciA. (Q. D. G.); con la particularidad notable de que nunca ha sido tan enérgica la vigilancia de las autoridades, ni tan vivo su celo por la conservación del or ^ Futrís 31 de Julio. den; pero inútilmente; pues no hubo la mas pequeña disputa desagradable en tre la muchedumbre de personas…</t>
  </si>
  <si>
    <t>…. de V. M =Hl c-Treguior p-e*-dente , t ay eranr M / v honrado vecindario en favor de los sagrados derechos de V. M y excelsa llija Bouvier.—El regidor dísaru», .Mouel Mana de Iri.io \ l igue- i=:b. re.; - la Reina nue-tra Señora Doña Isab .l ij. A este acto tan sagrado se dio prin dor 2.°, b rancisco Muñoz Rep — El rec ■ dor e J o*ef A c &gt; -' • n Ia1', tea — h ■ cipio por medio de un elegante discurso , pronunciado por el cura párroco , en regidor 4 °* b ranc i*co Si &gt;i&lt; n .&gt;\ • r v \1&lt; t.i . es —Y I reg uñsr e -, i- " J : el que ma…</t>
  </si>
  <si>
    <t>Isabbi</t>
  </si>
  <si>
    <t>…guirían al que comete un delito, es insuficiente. Por eso vemos que un jo tales que reconocen por Ruina de España, después de la muerte de su padre, ven soltero á quien se le insulta y provoca, toma‘inmediatamente satisfacción, á Doña Isabbi. ii , disolviendo la sociedad en ta parte que le ha sido posible. apelando á los medios que cree suficientes a la venganza del agravio; pero un ^Las leyes de Partida, que marcan , y que no elogiaremos lo bastante por la casido se Ic insulta , y esto lo vemos tolos los días por las calles, y prueba é…</t>
  </si>
  <si>
    <t>Isabbí</t>
  </si>
  <si>
    <t>…, reyes de armas y déma&amp;Lpérsónás- á quienes coe—&lt; tnó el primer día de pascua de Espíritu Santo, 18 del mes próximo pasado, á respondía 3 y arrojando-el primero desde eHoa sobre el puéble*.^ que vitoreaba, nuestra Ruina y Señora Doña Isabbí ir dé'Cástifla (Q. D. G.)f;con toda la a Isabel ii , un número excesivo de monedas muy preciosa*.del tamaño y cOil magnificencia t pompa y solemnidades .correspondientes á tari grandioso cuanto el peso dé uña-dé á idos reales f fundidas con buena, plata, perfectamente aoH interesante objetó.' Por d…</t>
  </si>
  <si>
    <t>…olo tiene el carácter augusto de Soberano temporal, S. M., de la mayor consideración p benevolencia. riño que cuadernas la cabeza visible de la Iglesia; p como la nación española se honra con el dictado de Católica (que legó otra Reina Isabbi á sus suce Kola. En algunoi ejemplares del suplemento i la Gaceta de hoy 10 de Agosto , co sores en el Trono) nacen de esta mera consideración consecuencias de tan lumna 4.a, linea 18, dice, anulación del auto, léase, anulación dil auto. &gt;*&gt; j. - A i. , , 1N IA IMPRENTA REAL.</t>
  </si>
  <si>
    <t>…uedado dueño del eamifMX ordinaria del 2 del corriente, manifestando el placer que le cabía en la colo recogí mis heridos en número de HTT^Que con tres muertos, dos contusos y tres cación de loa retrato» de nuestra amada Soberana Doña Isabbi ii y ui augura extraviados, entre ellos d pagador, ¿aman el total de mi pérdida del ene-</t>
  </si>
  <si>
    <t>…onor de presentarse á V. M, con los roas finos res petos de lealtad y sumisión, congratulándose, asi por la exaltaciónPara la plaza de fiscal de lo civil de la Real audiencia de Bur al trono de las Españas de su legítima heredera Doña Isabbi ii, gos, vacante por traslación de D. José Vecino á oidor de la de como porque su gobierno en la menor edad esté á cargo de una Granada, nombro á D. Vicente Calvo, corregidor de Logroño. Madre que, cual ángel tutelar, no anhela ni suspira mas que por Tendréislo entendido, y lo comunicareis á quien…</t>
  </si>
  <si>
    <t>Isabbl</t>
  </si>
  <si>
    <t>…r alcalde mayor, probando con el texto de nuestras leyes fun mulo para imitarlos en casos semejantes. damentales y los ejemplos de la historia que son incontrastables los derechos al trono español de nuestra amada Reina la Señora Doña Isabbl ii de borbov. Afsrdrid 28 dt Febrero. Fl subdelegado df Granada, con e! fin de abrir una suscripción m auxilio El domingo 16 de Febrero próximo pasado abjuró el protestantismo, ha de las necesidades de la capital y pueblos comprendidos en la linea de obser ciendo solemne y pública profesión de la f…</t>
  </si>
  <si>
    <t>…um. 6 L Viernes 25 de Abril de 183¿. GACETA DE MADRID ARTICULO DE OFICIO. truido en la secretaría del Despacho de mi cargo, cofi motivo de las dudas ocurridas á la comisión de. clasificación y á la contadu La Reina nuestra Señora Doña Isabbl ii , y S. M. la Rhiva ría general de distribución, acerca do clasificar á los individuos li Gobernadora, siguen en el Real sitio de Aranjuez sin novedad en cenciados con buena nota del cuerpo de carabineros de costas y su importante salud. fronteras que antes habián servido en el resguardo; y confo…</t>
  </si>
  <si>
    <t>…. la Reina Gobernadora, se ha celebrado en la española concediéndola una Reina Gobernadora modelo de virtudes, y i su ▼illa de Villaescusa de Haro con el mayor entusiasmo y con toda la magnifi augusta Hija la Rbina nuestra Señora Doña Isabbl ii, en la que se halla sim cencia posible. Fueron expuestos en la piara pública los retratos de SS. MM.: bolizada la felicidad de la nación y la prosperidad de los españoles. Concluido, hubo función de iglesia, repique general de campanas, corrida de novillos, y regresó la corporación á la sa.a con…</t>
  </si>
  <si>
    <t>Isabbl, María</t>
  </si>
  <si>
    <t>María Isabbl</t>
  </si>
  <si>
    <t>…ocer y averiguar los hechos que presenten un carácter alarmante. férez Real E&gt;. Manuel Sanjust, para que proclame por Reina de estos domi - «Fuera de este caso, puramente excepcional, la policía queda confiada al nios á la Señora Doña María Isabbl ¿i” Salió la F.xcma. corporación, y je senado,y á las autoridades ordinarias: á la primera señal de alboroto el general dió principio á la ceremonia en el siguiente orden: Abría la marcha el piquete proclamará que se halla en la circunstancia prevista por el protocolo, y toma de caballería j en dos…</t>
  </si>
  <si>
    <t>Isabec, Dóña</t>
  </si>
  <si>
    <t>Dóña Isabec</t>
  </si>
  <si>
    <t>…ntos que saca de esas acusaciones poco meditadas cpntra indispensable y urgente. ¡Quién de nosotros ve perecer sin dolor-esos valientes el espíritu con que S. S. las. pronuncia. En ella verá cómo se vale de esos me soldados dé la Reina Dóña Isabec ií , asesinados de la manera mas cruel y dios para ponderar el mal estado de la causa legítima, entre nosotros; apoyán bárbara! «Quién, d¡g°, B° se estremece y tiembla al ver hundirse la patria dose en esas declamaciones sobre que se hunde la Nación, sobré, el aumento de entre tanto borrpr’ ¡Y cómo…</t>
  </si>
  <si>
    <t>Isabed</t>
  </si>
  <si>
    <t>…a Indias................. 4oo ¿o* xoo. MADRID. ARTICULO DE OFICIO* la presentación de letras de cambio los accidentes de mar, se bagan extensivas á los casos de interceptación de correos, verificada á mano La Reina nuestra Señora Doña Isabed ii, y S. M. la Reina armada en la Península por las facciones; y oidos los informes conve gobernadora, siguen en el Real sitio de Aranjuez sin novedad nientes para el acierto en materia tan delipada, se ha servido man en su Importante salud. dar S. M. que se observen por ahora las disposiciones sig…</t>
  </si>
  <si>
    <t>Isabee</t>
  </si>
  <si>
    <t>…vor cuatro pueblos R/al es fallecimiento lito tráfico. 4 d-stancia de una legua de dicha villa, con quienes puede contratas. Ea provisión se verificará el 30 del corriente mes: los pretendientes Retrato» de k RüníA nuestra Señora Doña Isabee t&gt; y de su dirigirán sus solicitudes a) secretarlo (leí ayuntamiento de la referid» augusta Madre la Reme*. Regenta y Gobernadora, litografiados villa, francos de porte. EN LA IMPRENTA REAL</t>
  </si>
  <si>
    <t>Isabei</t>
  </si>
  <si>
    <t>….„.38o 390 95. Vara Indias..------- — 400 nao loo. ARTICULO DE OFICIO. los con ventaja cuando se. han presentado. La gloría reservada á las autoridades qué se desvelan para conservar la vida dé sus conciu ■Lá Reina nuestra Señora Doña Isabei, ji, S. M. ,1a Reina dadanos , se convierte en oprobio si estos pueden acusarlas de impre visión ó indiferencia en el cumplimiento de sus principales deberes; gobernadora, y la Serma. Sra.- Infanta Doña María Luisa Fer mucho mas cuando la Providencia les dispensa todo el tiempo nece nanda siguen en…</t>
  </si>
  <si>
    <t>…Reales ce ' 'entro 237.) , . , Á ' nombrando a D. Juan de la Deliesi individuo de Iá inspección general lebradas en esta corte con el fausto motivo de la jura de la Reina nuestrade ¡mientas y librerías del Reina (Id.) . ~ Señora Doña Isabei ii como Princesa heredera dél Reino, que ser hallan de Venta en el mencionado despacho. . Real decretó sobre el arreglo del patrimoniú de la corona de Aragón. (2V«- mero 239.) ' 't Exposición del Secretario de Estado y dél Despacho de Hacienda, sobre la contribución llamada subsidio de comercio. (I…</t>
  </si>
  <si>
    <t>…a villa por las bizarras tropas de la división del mariscal ‘de campo D. Manuel Lorenzo y las de la columna de mi mando, las cuales han rivalizado en valor y decisión por defender los legítimos.derechos de la Reina nuestra Señora Doña Isabei ii. «Dispersos los enemigos por estas fragosas montañas,! la noche ha dado fin á la' acción. Cuando tenga todos los datos de lo ocurrido daré parte á V. E. detallado, recomendando á los gefes, oficiales, caballeros cadetes é individuos de tropa que se han hecho dignos del ' aprecio de V. E, y consi…</t>
  </si>
  <si>
    <t>…e que corresponda para su élécEíon y formalidades con que han de ser condeco «atiene en la Península los legítimos derechos de nuestra Reina y Señora rados, esperando que esta gracia apreciablc servirá en los que la obtengan para Doña Isabei ii, apoyados en nuestras leyes y costumbres, me ha cabido la sa aumentar, si es posible, su lealtad; y en los demas, un noble estímulo parí tisfacción pías, pura al saber que vosotros correspondéis del mismo modo á las 1 merecerla algún día. sagradas obligaciones que os imponen vuestro nacimiento c…</t>
  </si>
  <si>
    <t>…el ral de la guerra que se describe. Se halla en el despacho de la Imprenta Real.* 4 |-d«a'-27 de Enero último á besar la Real mano do S. M. la Reina Gobernadoj »a y y felicitar la-por el advenimiento al trono de su excelsa Hija Doña Isabei ii. maniíató su Real aprecio con la bondad, dignidad y dulzura que la Los suscríptores á la obra Diccionario enciclopédico de Teología de Mr. Btrgier, I «adarartiaan. É pueden acudir á las librerías donde esten suscritos y se les entregará el cuaderno e.*' 7 último del tomo 7.0 Sigue abierta la sus…</t>
  </si>
  <si>
    <t>…e elevar á las superiores manos de V. E. para que llegue á noticia de S. M ; y me persuado que con este segundo golpe Conformándose S.M. con el parecer del gobernador civil de taragoza, se que han-recibido los enemigos de nuestra Reina Isabei n, veremos libre de ha dignado resolver que por el fondo de propios de la villa de Agitaron se abo ellos esta provinel* de Guadaíajara, = Todo lo que trascribo a V. E. con la ne anualmente á D. Fernando López, maestro titular de la misma, !a súána mayor satisfacción para que se sirva elevarlo á la…</t>
  </si>
  <si>
    <t>…de una copiosa lluvia y de la fragosidad del terreno, consideración de política interior ha influido en el reconocimiento de laRjíiN i'' llegó *1 punto señalado , y al descubrir á dos do los mozos abandonó «l cabe nuestra Señora Doña Isabei h por Francia é Inglaterra: ninguna considera cilla su arma y sp, precipitó por tjn despeñadero, logrando ocultarte en la espe ción relativa á nuestro régimen político movió al imprudente D, Miguel á 4^7 tara del monte. Ma* los mozos rodearon de centinelas aquella parte, eneendie- clararse á favor…</t>
  </si>
  <si>
    <t>…, y asi sucesivamente se irá bajan . «El argumento principal en que se fundan los que han impugnado el dic do hasta una cantidad que de ningún modo pueda cubrir los gastos de la casa támen de la comisión acerca del presupuesto de Doña Isabei i i son las gran Real. Véase por lo que yo ¡nsistq en esto mismo que han dicho los señores des economías que'se deben hacer, pues asi lo reclaman las imperiosas necesi que me han precedido en la palabra.- dades de los pueblos; Todos estamos convenidos en este puñto; pero la diferen «Hay otra razón,…</t>
  </si>
  <si>
    <t>…ntos confidenciales, reser mentales de tá Monarquía , por la potestad Real, ejercida por la augusta Viurf* vados; y alio habria derecho para preguntar cómo ce han obtenido. Cuando el del último Monarca, á nombrede su excelsa Hija Doña Isabei ii ^y.con eí Gobierno nombra una comisión, y deposita en ella cu confianza, suf.Jndtvir detecbo incontrastable que le dan las leyes, el testamento de su Esposo,Ja gra dúos no tienen derecho de hacer uso de semejantes documentos , que deben ser titud de la Nación. sagrados. Yo apelo á la delicadeza…</t>
  </si>
  <si>
    <t>…n las desembarcó 400 hombres de-Marina, que dejando las mochilas si marchas; ele su amor y decidida adhesión al benéfico gobierno de guieron á cortar las tropas de D. Miguel que se hallaban en el cas nuestra augusta y amada Reina Doña Isabei ii , confio en que en tillo de Farrabon, en Villanova; lo que consiguieron matándola su defensa verterán hasta la última gota de su sangre, y que conti bastante gente, haciendo muchos prisioneros, cogiéndoles asimismo nuarán siendo modelos de subordinación y disciplina. En esta con diferentes efect…</t>
  </si>
  <si>
    <t>…-eL entusiasmo de loé urbanos registrando lo mas frontera y Uevádoía á las plazas fuertes. áspero de la sierra, y á los soldados de caballería por las breñas con sus caba llos de mano por no abandonar á los bizarros defensores de Doña Isabei u , , En una de las últimas sesiones de La Dieta helvética se nombró una comi nuestra amada Reina. sión para extender las instrucciones y poderes que debían servir de gobierno al El resultado ha sido que se han presentado otros siete que se habían fuga directorio no estando convocada la Dieta. Con…</t>
  </si>
  <si>
    <t>Núm. 63. Jueves 2í de Abril de I83¿. ... / GACETA DE MADRID. ARTICULO DE OFICIO. PARTE NO OFICIAL. NOTICIAS EXTRANGERAS. La Reina nuestra Señora Doña Isabei ii , y S. M. la Retna Gobernadora, siguen en el Real sitio de Aran juez sin novedad en (Continuación del correo anterior.) su importante salud. INGLATERRA. Del mismo beneficio disfrutan SS. AA. RR. los Sermos. ScLondres 8 de Ah í!.fiorcs Infantes. Nota del encargado de Negocio/ de Inglaterra cerca…</t>
  </si>
  <si>
    <t>…arzo de 1834» - y ' DE MADRID. ARTÍCULO de oficio. " S. M. de lo informado por esa Dirección general en 17 de Entro él timo, yJ teniendo presente que con arreglo al artículo 2.° de la Real instrucción dfcl ta Redíá nuestra Señora Doña Isabei ii , y S. M. la Rhwa G-obcrnadora, apremios de 18 de Octubre de 1324 • están exentos de responsabilidad eo astnb* I siguen en el. Real sitio de Aiaojyez sin novedad en su importante salud. tos de esta clase los corregidores y alcaldes mayores, al mismo tiempo que no I ha tenido á bien acceder á lo…</t>
  </si>
  <si>
    <t>…drigo 21 de Abril. tugueses y conducidos ¿ Almeida, cuyo gobernador al dar conocimiento de es te suceso , añade ser uno de los aprehenhidos el ex-capitan de la guardia de in í Los militares observadores y amantes de nuestra Reiva Doña Isabei. it, fantería ilimitado D. Gregorio Gómez. q *e hallan sumamente complacidos al ver el desarrollo de un plan concebido El mismo gobernador asegura que desde el Miño i Santarem no ha queda diestramente por el Gobierno, de acuerdo probablemente con el de Doña Ma— do en toda aquella mitad de Portugal n…</t>
  </si>
  <si>
    <t>…o de I83í. GACETA DE MADRID. ARTICULO DE OFICIO. exigen sea Ubre el tráfico interior de las semillas y granos alimenticios» y Ja exportación de los sobrantes: enterada de cuanto sobre el particular ha mani La Rsina nuestra Señora Doña Isabei ii, y S. M. la RsntA Goberna festado la comisión que tuve á bies nombrar por mi Real decreto de 23 de dora , liguen lin novedad en tu importante talud. Octubre del año último; y oido el parecer del Consejo de Gobierno y del de Del mismo beneficio disfrutan SS. AA. RR. los Sernos. Sres. Infantes. Mi…</t>
  </si>
  <si>
    <t>…júbilo el dia en que su ayuntamiento, llevaodo al tinción. frente 4 su justicia mayor el conde de Mopox y de Jaruco, ha jurado á la Reí va ------ La Gaceta de Augsburgo publica noticias de Vicna, según las cuales U nuestra Señora Doña Isabei ii, vuestra augusta Hija, por sucesora de los rei Rusia ha manifestado su intención de conservar la independencia del imperio nos de España. Jamas serán los votos del ayuntamiento y de lodo el vecinda otomano, en lo que coincide con las miras del gabinete de Austria. El estado rio de esta ciudad ot…</t>
  </si>
  <si>
    <t>Isabej</t>
  </si>
  <si>
    <t>…la Frontera , han regular que no haya tenido otro objeto sino interesar al Emperador á favor de felicitado á S. M. la Reina Gobernadora por la exaltación al trono de las su casa. Españas de su augusta Hija la Reina nuestra Señora Doña Isabej. ii, desem— La misma Gaceta añade que en cuanto ¿ las voces que han corrido de un peñajSdo tan'distinguido y honorífico encargo pojr medio dé una corta y enérgica tratado reciente entre'Rust? y Austria para inantén:errta independcncifcdéT im expósicion, su fecha 20 de este mes, en la que manifiestan…</t>
  </si>
  <si>
    <t>Isabel</t>
  </si>
  <si>
    <t>/ Núm. 15. Sábado I.° de Febrero de 1834. GACETA DE MADRID. ARTICULO DE OFICIO. Exposición 4 S. M. la Ríijca Gobernadora. La Reina nuestra Señora Doña Isabel n, y 5. M. la Reina Gobernadora, Señora - Si el sentimiento de la pérdida de un objeto guarda ■a*, r’oporI siguen sin novedad en su importante salud. cion con el amor que se le profesaba y coa los bienes■ que de el se c btemer.; v Del mismo beneficio disfrutan SS. AA. RR- los Sermos. Sres. Infantes…</t>
  </si>
  <si>
    <t>…mano se disolviese, es ■preciso atenerse á lo que existe. te de aquellos Estados, acreditándole de nuevo, como tal ministro, cerca de ;a Hace ver que ^tratándose en el párrafo 16 de muchas cuestiones, y entre Rkika nuestra Señora Doña Isabel. ii en los mismos términos que lo estaba •lias de la otomana, la Cámara enuncia un principio general que no compromete cerca del difunto Monarca el Sr. D. Fernando vii (Q. E. F. G &gt; S. M. , en al gobierno, pero que le obliga á estar alerta sobre todo lo que interesa ó pue este solemne acto , se dign…</t>
  </si>
  <si>
    <t>…bación de este artículo , alegando las razones general apostólico de la Santa Cruzada, hiciese las funciones de padrino á en que fundan esta opinron; mas la Cámara lo aprueba. nombre y en representación de la Reina nuestra 9eñora Doña Isabel n, co El Sr. Vivicn pide que se haga distinción «entre las pensiones hechas á tí locándose su augusto retrato en el presbiterio bajo un riquísimo dosel de ter tulo oneroso y las que son gratuitas.” La Cámara oye las reflexiones que en pro ciopelo bordado de oro, y expidiéndose por mayordomía mayor…</t>
  </si>
  <si>
    <t>…....... ...... 4°° 900 loo. GACETA DE MADRID. ARTICULO DE OFICIO. sinos. Hará dos cosas útiles; tributará al ejército el honor que merece, y pre servará á la Francia de que se repítan semejantes atentados. La Reina nuestra Señora Doña Isabel ii, y S. M. la Reina No es posible disimular donde residen las causas de estas alteraciones perió dicas y violentas ; no es esta ocasión de insistir en esto. Los grandes poderes se Gobernadora, siguen en el Real sitio de Aranjuez sin novedad rán destruidos. Unicamente diremos , que se trata de salv…</t>
  </si>
  <si>
    <t>…parece preferible; á la dis Españas, las virtudes y las glorias de sus ilustres progenitores. Vamos á pro cusión le toca ahora establecer como, hecha U deducción de las pérdidas na clamar solemnemente por nuestra Reina y Señora á Doña Isabel n, primo turales, podrá esta incorporación elevar el efectivo del ejército al número de génita esclarecida de la inmortal Cristina y del Monarca idolatrado cuya pér dida lamentamos; y un acto tan grandioso , autorizado por el amor y el entu soldados que se desea. wSeñores, los dos proyectos que os…</t>
  </si>
  <si>
    <t>…CIO. 10. Instruirá por sus secretarías los expedientes sobre solicitudes que se me hagan para consignar alimentos á las viudas de los posee dores de mayorazgos sobre las rentas de lo» mismos, y me dirigirá La Reina nuestra Señora Doña Isabel ii, y S- M. la Reina por la secretaría del Despacho de vuestro cargo su dictámen acerca Gobernadora, siguen en el Real sitio de Aranjuez sin novedad de aquellas. en su importante salud, i 11. Instruirá en igual forma los expedientes sobre pretensiones que se me dirijan para obtener merced de título…</t>
  </si>
  <si>
    <t>…lata,pais, acasosino sobreel mayortoda quela supetéciese baya vistodel'globo,en nuestrospues pisadías,1443no solamentemartos de plata pura. En este último semestre han producido las minas un total de 3D1S La Reina. nuestra Señora Doña Isabel ii continúa sin novedad marcos y 2 onzas de plata en fundic\.n ( como el doble de U» que daban‘-ordi en su importante salud en el Real sitio de San Ildefonso; y. de igual nariamente. La explotación en bruto-díe los cinto meses precedentes fue de beneficio disfruta S. M. la Keim Gobernadora en el Re…</t>
  </si>
  <si>
    <t>…ue después de untas desgracia como •«Señora: Vuestros fieles súbditos los Proceres del reino vienen á los pies sucesivamente fia ex per. mentado la España en pocos años, no sea alhagüeño del Trono á presentar á la Reina su Señora Doña Isabel ii el homenage de el cuadro de su situación interior. i su lealtad y de su obediencia; y á V. M. como Gobernadora durante la me « Los Prócera del Reino se complacen sin embargo en saber que el Go nor edad de su excelsa Hija, el de su reconocimiento profundo, por los sen bierno de V. M. ha conseguid…</t>
  </si>
  <si>
    <t>…y con subterfugios ridículos, y despreció el inconcuso derecho qüe la na ciosos turbaren el soslégo y . bienestar de'la ¿ación. Lo ocurrido con la Reina ción ejerció en las Córtes de 1789, restableciendo la forma -primitiva en el Doña Isabel r , y las providencias que acordaron las Córtes reunidas con aquel órden de suceder en la corona, alterado igualmente por el Sr. D. Felipe v. motivo en Segovia y .Vallado¡íd:él año de 1475, y en Madrigal el año si 3.° Que desde que dicho Sr. 'Infante tuvo noticia del fallecimiento del Sr. Don guien…</t>
  </si>
  <si>
    <t>…iones Reales ce ' 'entro 237.) , lebradas en esta corte con el fausto motivo de la jura de la Reina nuestra ' nombrando a D. Juan de la Deliesi individuo de Iá inspección general de ¡mientas y librerías del Reina (Id.) . ~ Señora Doña Isabel ii como Princesa heredera dél Reino, que ser hallan de Venta en el mencionado despacho. . ■ j Real decretó sobre el arreglo del patrimoniú de la corona de Aragón. (Nú-* mero 239.) ' 't Exposición del Secretario de Estado y dél Despacho de Hacienda, sobre la contribución llamada subsidio de comercio…</t>
  </si>
  <si>
    <t>5^ Núm. I. Jueves 2 de Enero de I83¿. GACETA DE MADRID, ARTICULO DE OFICIO. Excmo. Sr.rzFrancisco, obispo de Mondoñedo.rzExcmo. Sr. D. Juan Gualberto González, Ministro de Gracia y Justicia. La Reina nuestra Señora Doña Isabel u , y S. M. la Reina Gobernadora, siguen sin novedad en su importante salud. Excmo. Sr. : A su tiempo recibí el juego de monedas acuñadr-. c^n rro't'vo de la proclamación de la Ruina nuestra Señora Doña Eabi.i i i que Y. E. m * Del mismo beneficio disfrutan SS. AA. RR. los Sermos, Sres. Infantas. r…</t>
  </si>
  <si>
    <t>…eguridad. tm'vicio interior y permanente, el mismo que produjoa resistencia de la Ca ” Ningún español puede negar que nuestra muy augusta Reiva y Señora rolina del Sur. En fin, hay ya síntomas que indican balnre que la república, Doña Isabel 11 lo sea asi de derecho como de hecho: solo el egoísmo, la am asi en el nuevo como en el antiguo mundo, no puede sbsistir. (G. de F.~) bición ú otra pasión bastarda y criminal osará desconocerla. Ella es llamada a! ——Cartas de Cartagena de Indias de 16 de Octubre aancian que ha cesado trono por la…</t>
  </si>
  <si>
    <t>…2 DE ABRIL DE-1834 ;-í.-: t, mrn ARTICULO DE OFICIO. vrNTSTEIMO »E ESTAIXV ■ -Buales órdenes. ' Rn virtyd de haber reconocido S. M. el. Rey de Suecia d nues S. M. la Reina Gobernadora ha tenido l bien mandar que tra augusta Reina Doña Isabel ii , ha presentado sus nuevas crer- los ministros del supremoTtíbunal de España é Indias, excep denciales eí caballero Lorichtz en calidad de encargado de Nego tuándose su Presidente , ocupen en él mismo el lugar que les cor cios de aquel Soberano. responda'según sus primeros títulos de ministros t…</t>
  </si>
  <si>
    <t>…............ ...... 4oo 400 too. GACETA DE MADRID. -*■*-**■ r * ** f * 75Í( de Abril de 1854.=Ga- ARTICULO DE OFICIO. guarde á \. S. muchos anos. Aranjuez relIy.=Sr. regente de la Real audiencia de Madrid. La Reina nuestra Señora Doña Isabel ii, y S. M. la Reina Gobernadora, siguen en el Real silio de Aranjuez sin novedad en su importante salud. Con motivo de haberse dignado S. M. la Reina Gobernadora Del mismo beneficio disfrutan SS. AA. RR. los Sermos. Se nombrar regentes de las Reales atulictv-ias de Valladolbl V Zaragoza á R- Ramón…</t>
  </si>
  <si>
    <t>…lo era el curso de la enfermedad el que resulta de los siguiencí regente letrado de la .Real jurisdicción de la villa de Mestanza se me comu tes estados. nica por o6cio el parte que ¿ ia letra dice asi: »&gt;V¡va nuestra amada Rkina Doña Isabel ii. El famoso Barba ha sido muerto en este sitio de Jandulílla Estado sanitario de la villa de Benamejt desde el dia 21 al 24 de la ficha.(donde me encuentro) por tres de mis urbanos, cuando ya se habían retirado desesperanzados de encontrarlo los vecinos de Fuencallente y la partida de pro Existen…</t>
  </si>
  <si>
    <t>…os contra él, ni de ver cara á cara i sus acusadores , ni de interrogar contradictoriamente i los testigos , ni de presentar, los que podia tener en su favor, ni se le ha dado en fin ocasión de defenderse. La Reiwa nuestra Señora Doña Isabel ii, y S. M. la Reiita ” En vano se alegará que la forma de esta resolución no es la de una acu Gobernadora, siguen en el Real sitio de Aranjuez sin novedad sación y aun menos de una sentencia; que la pena impuesta por la Constitución «n su importante salud. no se puede aplicar, y que en este caso n…</t>
  </si>
  <si>
    <t>…cuestión de aquel rei no , sino una guerra verdadera de gabinete. «_Por la primera vez, unos pichones-correos acaban de hacer el viage de Nadie ignora en Europa que al advenimiento al trono de nuestra amada Amberes á París. Reina Doña Isabel ii , no solo no fue reconocida por el gobierno de D. Mi Ayer mañana á las nueve seis pichones, pertenecientes á una persona de Am guel , sino que el Pretendiente estaba en el territorio que poseía aquel Príncipe, beres establecida en París, fueron despachados en la primera de las dos ciuda era trat…</t>
  </si>
  <si>
    <t>…Z; i4oi í;&gt;': Swú ' ' rStfc*f‘ ARTICULO DE OFICIO. bordo al Principé Henrique, y el ZeUdidtf debía sal it pafa tSrlskróni. W1ÍA peradot había cotifeudp á dicho Prínüpe la' Órdeñ de S. Andró). (2X dí'Pxt&amp;i la Rotita nuestra Señora Doña Isabel ii continúa sin novedad 1 aéiortle. - ..., í, s.¡ ten su importante salud en el Real Sitio dé San Ildefonso; y de igual beneficio disfruta S. M. la RfctnA Gobernadora en eí Real palacio . ’ . Stuseías 20 de Julio. ' '* En la sesioÉ de SyeTel Senado adaptó úna ley jotró la salida de leí ganf de'Riof…</t>
  </si>
  <si>
    <t>…on los cuatro números mas que recibirán cada semana. ARTICULO DE OFICIO. sea la clase á que pertenezcan, posean conocimientos en la ciencia económica, y ésten dotados de zelo por el bien de sus semejantes. Li ReínA nuestra Señora Doña Isabel ii, y S. M. la Reina 6.a Todas las autoridades, corporaciones ó hermandades en Gobernadora, siguen en el Real sitio de Aranjuez sin novedades cargadas de la dirección de los referidos estableeinticntos cumpli su importante salud. rán exactamente cuantas órdenes relativas á los mismos expidan los De…</t>
  </si>
  <si>
    <t>…poco digna de publicarse. ARTICELO DE OjFICIO. , Es el caso, que alucinados algunos cabecillas con la idea de íá independencia dé Alemania, creyeron deber empezar por la Prusia para revolucionar todos loe La REíb-A nuestra Señora Doña Isabel ii, y S. M. la Reina Estadas alemanes. Escapáronscles, en medio de sus culpables Conciliábulos, al— loliernailbrá, .siguen tái el Real sitio de Aranjucz sin novedad gunas sangrientas proposiciones que han exagerado luego considerablemente Al gunos periódicos extrangeros. •. . ' • ju su imponíante s…</t>
  </si>
  <si>
    <t>…eros de cada una de las provincias están divi didos en secciones conforme los partidos y pueblos: tienen gefes y han arreglado todo lo necesario á la gerarquía del mando: ellos mismos forman las tropas de La Reina, nuestra Señora Doña Isabel ii, y S. M. la Reina la órden', y están proveídos de armas, municiones y de una tesorería donde en Gobernadora, siguen en el Real sitio de Aranjuez sin novedad tran cada año 25.000,000 de francos, según todo sé ha descubierto por los pa en su importante salud. yóles cogidos á algunos de los princip…</t>
  </si>
  <si>
    <t>…UAdNo ha sidcsendlvido: «arquja; en contra de una disposición extraogeta, advenediza, mal,recibida por ¡ha sido que.el,gobierno se ocupajco», ahipeo m ^org*zúaai;^sta. instinicion ya lametón, y ni una sola vez observada. La Rbina Doña Isabel ha ascendí'- formada y .que.ma^ servicia ba, hecho 4 lla&gt;l)lá«atK:$ttgebicrooM.«cúpá én . do él,.trono por el voto unánime de la nación, no expresado pon vivas que se mejorarla todo Jo posible, y muathfo au orgaAtZaciomdomo -pendiente * no ha lleva el viento; con exposiciones firmadas hoy, desmenti…</t>
  </si>
  <si>
    <t>…sin espe remos de Andalucía con el celo que me inspiraban mis propios sentimientos y ranzas. Hasta que vencidas en la última y decisiva batalla de Asseiceira, y perse la legítima, tierna y honrosa causa de la Rkina nuestra Señora Doña Isabel ir, guidas.por las tropas victoriosas de V. M. I., fueron á deponer las armas den que sostiene y defiende cuanto hay de ilustre en la heroica España, correspon tro., de los mure» de Evora, y fue reconocido en todo el reino el cetro consti día á la distinguida confianza que había merecido á S. M. la…</t>
  </si>
  <si>
    <t>…de Enero de I83¿. DE MADRID. ARTICULO DE OFICIO. riencia de la guerra que casi siempre se ha hecho, tomando el nombre de este país, á todo cuanto es favorable á esta ciudad. Quizás hoy se respetarán los tí La Reina nuestra Señora Doña Isabel u , y S. M. la Reina Gobernadora, tulos que ha adquirido recientemente á la benevolencia de V. M., principal ¡ siguen sin novedad en su importante salud. mente si los que gobiernan la Guipúzcoa reflexionan lo que les importa no provbcar revelaciones lobre los últimos acontecimientos. Del mismo bene…</t>
  </si>
  <si>
    <t>…ondeado y á presencia del cor En España la muerte del Rey Fernando vu ha llamado al'trono á ia Prin regidor., el nombre y profesión de cada uno de los pasageros que traiga, y en cesa mí hija : yo me he apresurado á reconocer á la Reina Isabel ti coa la es-» caso de falsedad ó de omisión pague 20 pesos fuertes de multa por cada pasa - peranza de que este pronto reconocimiento, y las relaciones que élJiásinaCattt-J</t>
  </si>
  <si>
    <t>…e,de 38 á 4ó id.: garban^os/de 20 4 22 id. ^ Termir.ada esta lectura resonaron por el ámbito del cuadro dos vivas, el En estos pueblos se espera que la cosecha de aceitunas será mas que regular. ‘primero á la Reina nuestra Señora Doña Isabel ii, y el otro á la Reina León—(En la ciudad.) Trigo, de 36 á 37 rs. fanega; y lo de Segunda ca '.Gobernadara , que fueron dados por los comandantes de batallón y escuadrón, lidad, de 25 á 27 id.: centeno, de \6 á 18 id.: cebada, de 12 á 13 id.: vi -y repetidos uniformemente por las tropas con el ma…</t>
  </si>
  <si>
    <t>…MADRID. ARTICULO DE OFICIO. posibles sobre los delitos perpetrado* v sus c:r..unsti.n.¡dS esenciales, solare los prr&gt;cedimicnto* que originan -m caliiica^ion le/ i i \ s'bre .a1' pen.o que se ap. ¡c - "V. La Rhina nuestra Señora Doña Isabel ii, y S. M. la Reina Gobernadora, para su condigno castigo e 'n !o, cfcJos que pr -ducen. siguen sin novedad en su importante salud. E^ medio adoptado h.ota ci día para conseguir tan importante estadística, Del mismo beneficio disfrutan SS. AA. RR. los Sermos. Sres. Infantes. hilUbdsc reducido a re…</t>
  </si>
  <si>
    <t>…nuestras -------Cuanto antes va á erigirse en la placa de la comedla de Strasburgo una fronteras pira Vendee; creyó que no podía permanecer neutral. No solo reco estatua al célebre general Kieber. noció al punto el gobierno de la Reina Isabel, sino que ofreció á la Reina -------Por noticias recientes recibidas de la América del Sur se sabe que Santafla Regenta el apoyo de Francia. Esta oferta espontánea no ha sido vana. El ga estaba en Méjico, y que se había dado una orden para expeler á los gefes del f binete de Madrid pidió que se ale…</t>
  </si>
  <si>
    <t>…I83¿. GACETA DE MADRID. ARTICULO DE OFICIO. Milicias urbanas, los capitanes generales propondrán lo ceftiveniente, atendidas las circunstancias locales. Tendréislo entendido, y lo comunicareis i quien cor T« Ruina nuestra Señora Doña Isabel ii , y S. M. la Reina Gobernadora, responda para su cumplimiento. = Está rubricado de la Real mano en Palacio I siguen sin novedad en su importante salud. á 1.® de Marzo de A D. Antonio Remon Zarco del Valle. Del mismo beneficio disfrutan SS. AA. RR. los Sermos. Sres. Infantes. La circular de que h…</t>
  </si>
  <si>
    <t>/ GACETA DE MADRID. ARTICULO DE OFICIO. fcl arreglo definitivo del ramo, presididas por dichos gefes milita ra, siempre que seah de la clase de oficiala generala, y por los L* Reika nuestra Señora Doña Isabel ii , y S. M. la Reina subdelegados de Fomento en otro caso. Gobernadora, sigueh en el Real sitio de Aran juez sin novedad en Art. 5 .* Cuando los subdelegados no presidan las juntas ocu tu importante salud. parán el lugár inmediato al praidente: cuando las presidan, la v¡- Del mismo beneficio disfr…</t>
  </si>
  <si>
    <t>…. ... *4o Xao tío. el lieino........... Para ... 3io i&lt;»o 8o. dé Correos. ' Canarias.......... Para 38o ... &lt;^5* 190 Para ludias............... •*. 400 auo lotki ■ . 1 ARtICCLO' 1&gt;É, r¡ . i,OFICIO*r . . , LA Reina nuestra Séfkira Doña Isabel ii, y S. M. la Reii^Aj Parlfttde Abril. ] gobernadora f uguen en el Real .sitio, de Aranjuez sin novedad CAMARA Dfi tos DIPUTADOS__ ScSÍOH )Ul di» 2L ' ren su importante salud. ¡ : ' 1 ' rn ' Aprobada el gcta de la fihitná sesión, lee el Presidente un. eoh. qtíe lá Cámara de los Pares remrteá“la de…</t>
  </si>
  <si>
    <t>…á V. A. S. con satisfacción, que la guetra el pueblo español, gozoso con tanta dicha, repita sin cesar lleno de entusias ha terminado enpPortug-al i virtud de‘haber depuesto las armas en Evorá el mo .- Viva.nuestra Reoía y Señora Doña Isabel ji : viva la augusta Gober ejército del Sr. DT. Miguel y los españolé que seguían á D. Carlos Marra Isi nadora: viva el Estatuto Real. Valladolid l.° de Junio de 1834- =: El capi dro : por tanto me dirijo al gobernador dq esa plaza indicándole la línea que le * tán general interino, José Mamó. há t…</t>
  </si>
  <si>
    <t>…&lt;K&gt; SOO TOO. ■yiAftivu,,uY&gt;(vyiviT&gt;vr~At»*iAriVff‘riV*** * * A * * «i*»^*^**^»******"**^**^*^»^» ARTICULO DE OFICIO. menor cúmulo de negocios, los cuales se distribuirán en las tres sec ciones indicadas. 1 La Reina nuestra Señora Doña Isabel ii continúa sin novedad i A la primera tocarán los negocios civiles de la Península." é Is en su importante salud en el Real sitio de San Ildefonso; y de igual las adyacentes, con tres oficiales: á la segunda los eclesiásticos de las mismas, con dos; reservándose para la tercera todo» lo» civiles y…</t>
  </si>
  <si>
    <t>…individuos en particular contar con S. E. en cuanto le considerasen vocas dc su decisión por los imprescriptibles derechos de-1* Rjuva nuesír*.Se Atil:; y por ultimo, que siendo el día de. pasado mañana el de nuestro difunto ñora Doña Isabel ii, encontrarán en mi digno sucesor un gefe franco j- un Soberano el Sr. D. Fernando vii , deseaba S. E. al concluir su mando solemni padre amoroso decidido á premiar las virtudes que caracterizan á este leal ejérzarlo de un modo digno de la grata memoria de'un Monarca, particularmente cito.=Ricafo…</t>
  </si>
  <si>
    <t>…aba po diera c&gt;tar de nuestra historia; pero bastará recordar lo ocurrido en tiempo de loa ner á salvo su ilegítima causa, presentando el sello del supremo Hacedor, cuyo hijos 4? D./Femaodí?id*;.la Cerda p y en tiempo de la rein3 Doña Isabel, cuyo nombre profanaba. sqlq nombre dospiprta -Un gloriosos recuerdos, y parece que alienta á la espe— «Hay mas; al mismo tiempo que el Príncipe remitió esta especie de onza.... . • protesta, encargaba al Rey que la-comunicase i losSobcianos extrangeros; por r , { «Se verá siempre que cuando mas pe…</t>
  </si>
  <si>
    <t>…ialidades^ bai^ dría echarse «ñapo para esto de una muger. Por consiguiente nada hace á Ja dos» Un partidodolara abiertameziierporDoña.-Juaaa, eé otro patroemaficuestión actual la práctica observada en aquellos remotos siglos», " Doña Isabel; y una parte de la grandeza toma las armas en favor de aquella «Ocurrió luego la invasión sarracénica, y-reducida la nación- á un es Pciacesa , sosteniendo- di testara axéot del, Rey ¿ quendtzsqme deesa (Valiendoene ’ trecho recinto, en que su único asilo era, por decirlo asi, lina cueva, no . de.…</t>
  </si>
  <si>
    <t>…ada , y de un partido que , co la suerte dejos españoles,mas beneméritos, de los mismos que con tanta gloria mo ha dicho oportunamente el Sr. Secretario del Despacho, que me ha precedi defienden el trono de nuestra Reina y Señora Doña Isabel ii! La prisión, la do en la palabra , no solo quiere entronizar en España el reinado de la ignoran ignominia serian su recompensa; sus servicios serian castigados como otTos tan cia , del monopolio, del fanatismo y la inquisición , sino hacer lo mismo en tos crímenes; y hasta sus mismas heridas ser…</t>
  </si>
  <si>
    <t>…retario, extendí la presente acta que firmé.—El duque d¿ Palmella, de una cinta azul celeste, en cuyo anverso se vea el busto de la Reiva presidente-= El conde de Lumiares, Par dd reino, secretario. = El marques de nuestra Señora Doña Isabel h, y grabada en el reverso la leyenda siguien Loulé, Par del reino, secretario. te: Al denuedo de las defensoras de VergaraczzM.aM.is. Crjstiha, Reisa Go bernadora. ’ cámara DE los DIPUTADOS____Sesión de 25 de Setiembre. El 24 de Setiembre último trasladó su cuartel general á Pamplona desde Leída y…</t>
  </si>
  <si>
    <t>…mu articulo 4? chas ocasiones sus individuos con- el ejército de operaciones, lian mostrado siempre ardiente deseo de sacrificarse por la causa legíti Toda la fuerza terrestre constará de 34 comandancias, que guar ma dé la Reina Doña Isabel 11, y por la felicidad de la patria. Los necerán las provincias del continente, las islas Baleares y Caparías males,' pues, provenían de la organización heterogénea de los res se compondrá la marítima del número de buques que esuüi señala guardos, no de falta de zelo y honradez de aquel cuerpo, com…</t>
  </si>
  <si>
    <t>…gor, y están acordes las deducidas con las observadas: igual El dia 22 de Noviembre próximo pasado se celebraron los dias de nues comprobación ofrecen las bases, y la triangulación está ligada sin la menor in tra augusta Soberana Doña Isabel ii (Q. D. G.) en la ciudad de Murcia, terrupción , siendo la de primer órden de considerable magnitud. habiéndose dispuesto para mayor solemnidad de este acto una gran parada,' y Por último, se han nivelado las cordilleras y otros muchos puntos por por la noche iluminación general, fuegos artificia…</t>
  </si>
  <si>
    <t>…ados, para. ( La división entre milicia sedentaria y móvilña agfedorí contener en sus criminales tramas á los enemigos del trono de nues nuestro impugnador, es sin embarga'conocida aun entre nosotros. tra augusta é inocente Reina Doña Isabel u; y notándose que en Esta división existe en la guardia, nacional de Francia-Laa miliriA •l'dia tlrabajan con'litis calor , seduciendo á los incautos con prome de los condados de Inglaterra, en ias pocas ocasione* qne se han sa, noticias 7 hechos.supuestos, á fin de que, abandonando las fi- movili…</t>
  </si>
  <si>
    <t>…ancia; virtudes todas coa que espera qué- congadas varios ejemplares de una proclama que el cabecilla L ranga dirige á acometeréis toda clase de peligros para conserva»-. Rus precióse» derechos &gt;y loé las tropas de ftf.-la, Reina Doña Isabel ü con objeto dé ¿nriiarlas ai aban vuestros , vuestras fortunas, vuestros caros hijos, y la tranquilidad alterada por dono de sus banderas y que pasen á las facciones, ha dispuesto dicho conwn— pasiones traidoras y mezquinas-, Vuestros pechos vmvieron de murallsen dondé dante general que se inserte…</t>
  </si>
  <si>
    <t>…s nobles y patrióticos á sacrificarse 15 de Julio áfin de Setiembre. con las armas en la mano en defensa de los legítimos derechos de la Reina Arteijoy Carballo. D. Pedro Sanjurjo, en la Corulla: desde principio de nuestra Señora Doña Isabel ii. Julio hasta fia fie Setiembre. S. M. la Reina Gobernadora admitió gustosa esta expresión de lealtad tan VALENCIA Y XURCIA. propia de verdaderos españoles, y ha manifestado de un modo eminentemente honorífico el señalado aprecio que le merecen el valor, la disciplina y la gloria Archena. D. Seba…</t>
  </si>
  <si>
    <t>…as............... ....... 4oo 200’ loo. DE MADRID. . ' ' 'a . ' ARTICULO DE OFICIO. Art. .5? Los periódicos continuarán sujetos en todos sus artículos á previa censura, excepto los designados en el art. 1? La Reina nuestra Señora Doña Isabel, ii, y S. M. la Reina Art. 6'.’ La censura la ejercerán en Madrid cuatro censores re Gobernadora, siguen en el Real-sitio de Aranjuez sin novedad gios, y uno en cada una de las ciudades de Barcelona, Cídiz, Cora eú su importante salud. na, Santiago, Pamplona, Granada, Málaga, Sevilla, Palma de Ma l…</t>
  </si>
  <si>
    <t>…e S. M. cerla, abandonaron los pueblos de su residencia en los momentos en la Reina Gobernadora durante la menor edad de su augusta Hija la que debían ser mas necesarios sus servici- s, pues de su presencia y Reina nuestra Señora Doña Isabel ii con fecha 26 de Junio ante auxilio dependía acaso la vida de sus conciudadanos. rior loque sigue: Teniendo en consideración S. M.' la Reina Go El interes público y el honor misino de la facultad exigen que bernador? el miiy considerable número de causas de menor cuantía tan criminal conducta no…</t>
  </si>
  <si>
    <t>…a esforzar con mi débil voz ¡a ne- »)¿&gt;e ha dicho tamb en en el E tamento que pueden abusar de la libertad c.sdid de que *: establezca entre lo» derechos de lo» españoles el dé la im de la imprenta los enemigos de nuestra augusta Doña Isabel ii , has prenta sin censura previa, po»que lo comidero como vital y esencial absoluta ta llegar ai extremo de prevalerse de ella para defender io» derechos que prc—‘ mente para un gobierno icprocnlatjvo. En toda» la» naciones que 1c tienen es tende tener á la corona el Infante D. Cario». A mí me pi…</t>
  </si>
  <si>
    <t>…para acudir ante los jueces que ta, al menos durante la reunión de las Córtes y sin censura, para que no hu decidan sobre la materia. Esto da un ensanche enorme. Cuidado que en el biera aquel pretexto. ¿ Pues qué los derechos de Doña Isabel ii no pueden artículo no se trata de la ley de imprenta, sino como ley-fundamenta] , como ver la luz pública? ¿Qué se puede decir á favor de ese auto mal acordado de base , porque sus expresiones son que todo español es libre de publicar sus pen D. Felipe, y contra tanta serie de leyes , contra la…</t>
  </si>
  <si>
    <t>…s que desplegan los mismos en ciertos casos; menes públicos para el viernes 10 del corriente, en celebridad del venturoso temblando como azogados cuando se contraían sus dos negras cejas ó daba cumpleaños de nuestra adorada Reina Doña Isabel ii. Empezarán á las diez alguna señal de disgusto, parecian espiar en sus miradas sus menores deseos y en punto de la mañana por una amplísima explicación de la clave analítica dé querer, por decirlo asi, ejecutarlos de antemano. la lectura, que se hará á los soldados y á toda persona que no sepa l…</t>
  </si>
  <si>
    <t>…s 1832, 1833 y 1834: 78 han sido absueltas, la mayor parte acu El ayuntamiento de la ciudad de S. Fernando solemnizó los dias de sadas de haber proferido voces sediciosas, y 87 han sido condenadas, á saber: .nuestra augusta Reina Doña Isabel ii , colocando* los retratos de S. M. y 8 á la pena capital: 18 á trabajos públicos perpetuamente: 28 á esta misma de su augusta Madre la Reina Gobernadora en el balcón principal de la fa pena temporalmente; y 33 á permanecer en reclusión por algún tiempo. La chada de las casas consistoriales: á es…</t>
  </si>
  <si>
    <t>./ GACETA DE MADRID. ARTICULO DE OFICIO. estarán en armonía con la consideración que merezca cadaur.o según su respectiva clase y cancter. En oU d re.en. n .¡¿otará 5. M. t&lt; d s los rreLa Rbiva nuestra Señora Doña Isabel ii , y S. M. la Rriva Goberna d 1 • -s de su .;u!'»rid'd snb.T r:i • !a d.a esta mas crrv;-: d» de cae r. &lt; xc b¡ pací üca ví ■ r •" r. ; ~ o , t. dora, siguen sin novedad en su importante salud. «'). o c.i:i esta t;:.nr ,11': ircd puceen c i-, v ií sn:.;;,:7j _ f : • : a ríT"br’ r. .• * : c ¡a ce…</t>
  </si>
  <si>
    <t>…ia ha tenido.á bien S. M^.inandar., que el citado Doña María, sus relajones diplomáticas con Portugal, y apresurándose á re f D. Juan de Mendoza, tratado como reo en la referida causa, preste su declara- conocer la Reina de E^aña Doña Isabel n , ha colmado los deseos del mun I cíon en la forma ordinaria como se practica, sin que jamas haya ocurrido duda do civilizado, y ha escuchado los consejos de una política ilustrada, puesto que I alguna en el particular con los alcaldes mayOreÉ, corregidores y gobernadores ha contribuido á debilit…</t>
  </si>
  <si>
    <t>…r m A*™ *' j;' V- ' - ..&lt;• ..':■ ' , ■ .; Num. 29. Jueves 6 de Marzo dé 183 4. GACETA DE MADRID. ARTICULO DE OFICIO. cenado tres millones de libras esterlinas de la suma de 15 millones que antes importaba. La Reina nuestra Señora Doña Isabel ir, y S. M. la Reina Gobernadora, El mismo ha pedido e! contingente de 273 hombres para el servicio de mar siguen sin novedad en su importante salud. en el corriente ano de 1834* M* Hume propuso que solo fuesen 253, pero su Del mismo beneficio disfrutan SS. AA. RR. los Sentios. Sres. Infantes. moci…</t>
  </si>
  <si>
    <t>…a-que son vicario- general del orden de S. Francisco coopera i la sincera reunión de to- I i las.cuatro-de la tarde, 33 facciosos han sido sorprendidos y completamente ba- ' dos los españoles al derredor del trono de nuestra Rmna Doña Isabel n. &lt;/.*-) |</t>
  </si>
  <si>
    <t>…irujanos y médico* da miento pues- de esa población, penetrado de que en la esfera de sus atrrbucio- l «mba* armas, y que dichas disposiciones no tienen efecto retroactivo.” nes recibe de la augusta Madre de nuestra excelsa Reina Doña Isabel 11 igual I En seguida se procede al escrutinio secreter sobre el todo de la,ley, y queda misión qu* yo en toda la provincia, debe conocer el distinguido honor p la gloría 1 .asta aprobada por 2L7__votos contra 57. El presidente levanta la sesión. patriótica que habré de caberle en secundar mis inte…</t>
  </si>
  <si>
    <t>…. ARTICULO DE OFICIO contra seis obreros del condado de ^Dorchestcr, y 2.a que se nombrase una co- nirsioñ para inquirir las causas de la decadencia de la industria, y el modo dp sacarla de su abatimiento. La Reina nuestra Señora Doña Isabel ii, y S. M. la Reina El lord corregidor y süs adjuntos-, anade el Sforníng-Herald y estuvieronGobernadora , siguen en el Real sitio de Aranjuez sin novedad en sesión permanente en las casas consistoriales para juntar sus esfuerzos á los en su importante salud. del gobierno, pero felizmente no fue n…</t>
  </si>
  <si>
    <t>…........ ido 190 !&gt;5. Para ludias............. ...... 4oo *00 IOIK GACETA DE MADRID. ARTICUUO DE OFICIO. El Presidente con acuerdo de la Cámara nombra Ja comisión que ha de exanvnar el presupuesto de 1835. La Reiwa nuestra Señora Doña Isabel ii, y S. M. la Recta El duque de Cazcs íce el dictamen sobre dos peticiones , la una de 106 ha GobematloPa, siguen en el Real sitio de Aranjuez sin novedad bitantes de Marsella que piden una ley pronta y definitiva sobre todas las cues— eu su importante salud. tioneá relativas á Argel, y la otra de…</t>
  </si>
  <si>
    <t>…»á®w‘i»mt«?píw» -» VivCQiílttfoQ-O-J^ñfejlílWaTecha awisa.halíer^}esant?dó,fieníltHieí.en jcqj^ypjftó cou actividad*-,tanto las,rór4enes:.qut je di qomC&gt;,ja^ qa^recit&gt;ióc)e medio ael general regocijo par nuestra augusta Soberana Doña Isabel u,y,juÍ.&amp;0-defender sus- dgecjiós |s..tqda :qo&gt;|p pomo dpfoMnpWfr» legítima, fufa mismo, tíetjvpp ífiafao otro ofiqo.deí.Apresado bcígi$pjr %¡mtf¡t'su jq- -4i .c- ,/í i . / y. , ,¿ha.j^t,jBitntqseda ,el 3 J , expresándome l.9,..yieí sigue; M.p¿ftpq¡£ igfjj, brijlqqte vb . Íoraaj£íj2l&lt;:l ?§., ¿a . q…</t>
  </si>
  <si>
    <t>…l ministerio propone. Volvamos al asunto. que puedan irrogarse en lo sucesivo á los valientes defensores de} Es importante HH. SS. que una vez re»uelto á restablecer el crédito fis trono de su excelsa Hija la Reina nuestra Señora Doña Isabel i i. cal y elevarlo, si es posible, ya del modo que el ministerio lo aconseja, ya de De Real orden lo digo a V. E. para su inteligencia y efectos con otro que sea una parte de vosotros mismos, el primer paso de parte de 4* venientes. Dios guarde á V. E. muchos años. El Pardo 4 de Octubre ley se dir…</t>
  </si>
  <si>
    <t>Núm. í. Martes 7 de Enero de 1834. GACETA DE MADRID. ARTICULO DE OFICIO. sura sea favorable, sin mi Real permhn, expedido por la serreta: a de 1-»: á que pertenezca la materia de dichas obra». La Repía nuestra Señora Doña Isabel ii , y S. M. la Reina Gobernadora, Art. «a° " Tampoco e»!an exentas de censura la1- obras que triter. de siguen sin novedad en su importante salud. gía , historia y viages, ti ¡.as de recreo n pasatiempo, coma p&lt;*e»;a-. , • • composiciones dramáticas; m los pen&lt;'d¡o&gt;» qjc n &gt; sean puramente I-eCr..…</t>
  </si>
  <si>
    <t>…rario del supremo de la Guerra, eri unión que tiene la dicha de ofrecer á los Reales pies del trono de vuestra excelsa Hija I con D. Cesáreo María Saenz, director de la Re.il compañía de Filipina», y de y nuestra augusta Soberana Doña Isabel u, suplicando á V. M- se digne ad D. Manuel Viado,-examinando el sistema é índole de dicha contribución pro mitirles como un impulso de su mes acrisolada lealtad. ponga el, modo de hacerla mas desembarazada, ya sea indicando otras bases que Alcoy 18 de Noviembre de 1833 =Señora,= Á L. R. R de V. M-…</t>
  </si>
  <si>
    <t>…nde, que como los antiguos y piadosos Reyes de Israel-había k consagrado tn su penoso reinado sus cuidados y desvelos en promover el esplen ESPAÑA- dor de la casa del Señor y la gloria de su pueblo; y tu excelsa Hija primogé nita Doña Isabel ii, la Reina nuestra Señora ,• acababa de subir al trono de Tartosa 12 de Diciembre. su padre, cuando ya se oyeron rumores de que se trataba de apartar á los espjCon la solemnidad y pompa «pie acostumbra esta ciudad, y con et mismo ñolcs de lá obediencia que deben á su Soberana, no solamente por te…</t>
  </si>
  <si>
    <t>…irable desorde nada .y arrojada de fa falda del bosque, obligándola á replegarse sobre el pueblo Jlas que se distribuyeron eran ac plata y del peso de onza y media, «a cuyo | anverso sé leía: Por la txait aciott al trono dt S, M. Doña Isabel tj, y »n I de ^¿arta á sus restantes fuerzas, Al propio tiempo nuestra tercera colurtina 1 fue atacada con decisión á la bayoneta por triple fuerza al gratar de apoderarse el reverso: \cl alcalde mayor y ayuntamiento de Hava hermosa al mérito y apissacian. Concluida esta tierna ceremonia se cantó u…</t>
  </si>
  <si>
    <t>Niím. ¿6. Lunes 7 de Abril de 183 i. GACETA DE MADRID. ARTICULO DE OFICIO. neral del reino de Valencia al teniente general de loa Reales ejércitos D. Gerónimo Valdés. , La Reina nuestra Señora Doña Isabel ir, y S. M. la Reina MINISTERIO DE HACIENDA DE ESPAÑA. Gobernadora, siguen en el Real sitio de Aranjuez sin novedad en su- importante salud. Real orden. Excmo. Sr.: He dado cuenta á S. M. la Reina Gobernadora Del mismo beneficio disfrutan SS. A A. RR. los Sermón Se de una exposición del intendente…</t>
  </si>
  <si>
    <t>…a ludias............. 200 l-OO. GACETA DE MADRID. ARTICELO DE OFICIO. sen que debe ser para el dueño, ó arrendatario en su caso, las eos* tas del procedimiento si lo hay, y ademas 20 rs. va por la primera La Reina nuestra .Señora Doña Isabel ii, v S. M. la Reina vez, 50 por la segunda, y 40 |&gt;or la tercera. Gobernadora., signen en el Real sitio de Aranjuez sin novedad TITULO II. oii su importante salud. De la cas i en tierras de propios y baldíos. Del mismo beneficio disfrutan SS. A A. RR. los Se irnos. Se 9? En las tierras que no sean…</t>
  </si>
  <si>
    <t>…vvtr&gt;^ivvvvv^jvtriAAAr&gt;riiAn ARTICULO DE OFICIO. nal de Argel y 4 todas las tropas del cuerpo de Ocupación, excepto 4 las que es taban empleadas en los campamentos y en los puestos avanzados. Los caides dé La Reina nuestra Señora Doña Isabel ii, y S. M. la Reina las tribus sometidas se presentaron en Argel con un cierto número de grnetcs Gobernadora, siguen en el Real sitio de Aranjuez sin novedad bien equipados y armados, formando una caballería irregular en extremo pinto resca. Formóse esta tropa en batalla á la izquierda de los caza…</t>
  </si>
  <si>
    <t>…igueüsta, me tenia vecinos sín ser apellidados de nadie, y deseosos dé emplearse y derramar su abiertas las puertas. Las autoridades civiles y eclesiásticas, en unión con la mi sangre en servicio de nuestra adorada RrznA y Señora Doña Isabel ií j do litar , procedieron desde luego i celebrar la proclamación de la Reina de Por la patria* tugal en las casas capitulares, solemnizando este acto memorable con función de iglesia y brillante iluminación, con la misma ostentación que en la plaza El gobernador civil de la provincia de VaUadolid…</t>
  </si>
  <si>
    <t>…OFICIO. tos extrangeros, y 15 por 100 para Cuba, Puerto Rico y Filipinas. Ademas de esto se recargará el derecho de los mismos artículos de procedencia ertrangera, cuando se importen para el consumo de la La Reina nuestra Señora Doña Isabel ii continúa sin novedad Península; y el recargo será tal, que produzca en la venta una di en su importante salud en el Real sitio de San Ildefonso; y de igual ferencia de 4 |&gt;or I0U en favor de la industria nacional. Madrid 2 beneficio disfruta S. M. la Reina Gobernadora en el Real palacio de Agost…</t>
  </si>
  <si>
    <t>…e-a con des gualdad sobre unas provincias, de blicas, y su dignidad de Prócer, como también demostrar su lealtad y adhe- jando libres á otras; como una carga indeterm nada y vaga , que muda según el sroftá V* Reina nuestra Señora Doña Isabel ii, y durante su minoría á su poder de los que la ex gen, y según el poder y facultades de los que se oponen excelsa Madre la Reina Gobernadora. El Estamento manifestó quedar ente á satisfacerla. rado, y mandó se le comunicase haber oído con agrado sus senitm entos. «El Gobierno ha visto la direcci…</t>
  </si>
  <si>
    <t>…al castellano. Madrid, 1834* Véndese viembre. Ningún dia mas proporcionado i la sociedad para hacer pública su en la librería de Doña María Antonia Sojo, y en la imprenta de D. León beneficencia; es el plausible de nuestra Rbiha Doña Isabel ti; y la sociedad, Amanta, plazuela de Celenque, á 12 rs. rústica* eligiéndolo para la distribución de los premios, manifiesta sus sentimientos de Bien sabido es el célebre principio de Bentbam en materia de legislación, amor y fidelidad á la digna heredera del trono de las Españas. Su augusta Ma q…</t>
  </si>
  <si>
    <t>…a María Luisa, continúan supresión del Voto, te señalara d finido por el que deban satisfacerse sin novedad en su importante salud en el Real Sitio del Pardo. aquellas. Art. 8? El M. R. arzobispo de Santiago en unión con el gober Doña Isabel ii, por la gracia de Dios, Reina de Castilla, de nador civil, teniendo en consideración las rentas, propiedades y edi León, de Aragón, de las Dos Sicilias, de Jerusalen, de Navarra, ficio del Real hospital de Santiago, propondrán á. S. 8. por el mi de Granada, de Toledo,-de Valencia, de Galicia, de…</t>
  </si>
  <si>
    <t>…querido mancillar el noble lustre del estado gUcVoa i rm Secretario del Despacho de Marina, he venido en concederle, á eclesiástico la conducta criminal de los individuos suyas, fautores, cómplices ó mantee de tai muy amada Hija Doña Isabel ir, plaza efectiva en el Consejo caudillos de alta rebelión, y á extirpar de raíz su funesto germen, que en los de Estado; entendiéndose ésta gracia con la antigüedad de la fecha en que nii unos arranca de errores anatema lirados repetidas veces poc el Vaticano, si bien ÍBgUsto Esposo CQ. E. G. E.)…</t>
  </si>
  <si>
    <t>…voluntad del que fue sú Padre y Señor será cumplida á despecho de cuantos cooperar á la sincera reunión de todos los españoles al derredor del trono de traidores pudiera lanzar de su seno el abismo irritado. El cielo, compadecido Doña Isabel, u, sirva de ejemplo á los demas prelados de las órdenes religiosas, de nuestro acerbo pesar, no quiere que la nave -del Estado naufrague en el es y también de freno, á Jos que coq imputaciones arbitrarias, ó vagas declamacio pantoso huracán .que sufre. Un piloto esperto y una estrella resplandecie…</t>
  </si>
  <si>
    <t>…anza de dar al solio las pruebas mas solemnes y positivas de su cons Ayer fue presentado á la Emperatriz el mariscal Maison y su comitiva. tante adhesión hasta verter la última gota de su sangre en defensa de V. M. v de su R eiva Doña Isabel ii. Matanzas 7 de Diciembre de 1833-zzSeñor.i.zz A L. R. P- de V. M.zrFrancisco Narvaez, gobernador.^Antonio María Las- Berlín IX de Enero. cano de Palacios , alcalde primero.zzjosef María de Torres, y Lima, alcalde se El ministro Ancillon continúa siempre indispuesto; y aunque su enferme gundo.=Ju…</t>
  </si>
  <si>
    <t>…amento del Sena distinguiéndose principalmente por sus adornos la fachada de las casas comisto-I y el ayuntamiento de Paris; modo de elegirlos y requisitos para tener voto en ríales, en cuyo centro se velan ios. retratos de S. M. Doña Isabel 11 y de su I dicha elección; número de electores que de cada cuartel de Paris debe concur augusta Madre la Reina Gobernadora. rir á la elección: y se establece que cada uno de dichos cuarteles tenga un cor Bornes 30 de Diciembre. regidor (maíre) y dos adjuntos. \ El ministro de Comercio presenta otro proye…</t>
  </si>
  <si>
    <t>…sentimientos de interesados y abierta solamente á los servicios y méritos verdaderos, a la fideli la mas acendrada fidelidad, sin que ni uno solo de lo* eclesiásticos se hubiese dad y adhesión constante á la Reina nuestra Señora Doña Isabel ií. Ved ia desviado de sus deberes, ni propalado doctrinas sospechosas en orden á la obe rectitud de sentimientos de nuestra Reina Gobernadora , y los bienes y pros diencia debida á su Real Persona y á su legítima descendencia, no es menor la peridad. que puede prometerse esta nación heroica. satis…</t>
  </si>
  <si>
    <t>…etenidos: cárceles: casas de los oficiales como la tropa de esta corta pero bizarra columna, la viva adhesión corrección: presidios: juzgado de rematados: alistamientos, sorteos y levas para que profesan á la Reina nuestra Señora Doña Isabel ii, y el entusiasmo con el ejército y marina: juntas de agravios (1): colecturía del fondo pió beneficial: que iiempre defenderán sus legítimos derechos. hermandades y cofradías: Reales casas de moneda del reino: teatros: toda clase Según parte del mismo capitán general se hallaba el brigadier Oráa…</t>
  </si>
  <si>
    <t>…ándolas en forma legal. De Real ceden &amp;c- Dios guarde &amp;c. I hesión y lealtad que profesan sus individuos al legítimo trono de mi muy amada Madrid 6 de Enero de 1834-=Martinez.=Sre5. directores generales de Rentas. I Hija la Reina Doña Isabel u. Tendréislo entendido, y dispondréis lo necesa rio á su cumplimiento.=|tEstí rubricado de la Real mano de S. M. — En Pala Otra mandando se devuelvan los bienes confiscados que administra la Real I cio ¿18 de Febrero de.18.34 —~ " . . _ _ . Hacienda á los ex-diputados ds Círtes de la época constit…</t>
  </si>
  <si>
    <t>…picio no le -ensanchase con Ja venturo La Reina nuestra Señora Diña Isabkl n,yS. M. la Reina sa suerte que le protegía en la augusta ¿ucespra del trono la ino Gobernadora, siguen en el Real sitio de Aran juez sin novedad en cente Doña Isabel ti, nuestra legítima y reconocida Reina. Importante salud. Sí, Señora, el cicLo, repite este cabildo, enjugará, mejor di cho , hará correr con abundancia sus lágrimas á la España, no y# Del mismo beneficio disfrutan SS. AA. RR. los Sennos. Scde pena y sentimiento, sino de gozo y placer por la intel…</t>
  </si>
  <si>
    <t>…ministración^* Para Madrid..... i *&lt;&gt; (*&gt;„ Para el Reino....... ...... 3ao t*&gt;&lt;&gt; tíu. de Correos, Para (Jananas....... ..... 38a iy» l/5. ludias........... 2 00 1 LIO, GACETA DE MADRID. ARTICULO DE OFICIO* La Reina nuestra Señora Doña Isabel ii, y S. M- la Reina De las restrii dones ¡le la pesca. Gobernadora, siguen en el Real sitio de Aranjuez sin no\edad ea su inuKirtante salud. 43. Se prohíbe pescar envenenando ó inficionando las acuas en ningun caso fuera fio el .le ser estancadas v estar enclavadas en tier Del mismo beneficio disf…</t>
  </si>
  <si>
    <t>…esado de Cenete, celebró el día 9 de mente— -—Losnormales,profesoresquede vanmedicinaestableciendoy cirugíalosqueSres.hangobernadoreshecho solicitudciviles,á la plaza vacante Mayo último la proclamación de la RbiNA nuestra Señora Doña Isabel ii y de medico íirular de la ciudad de Huete, según el anuncio publicado en la gaceta del el benéfico gobierno de su augusta Madre con brillante» iluminaciones, repeti 21 de Abril ultimo, presentaran en el termino de 15 dias li-s documentos competentes das salvas y fuegos artificiales, repiques gen…</t>
  </si>
  <si>
    <t>…portugueses. Reina Gobernadora que se ponga inmediatamente en conocimiento’ Art. 27 S. M. la Reina Gobernadora y Regente de España, del público esta transacción importante, que aGanza mas y mas el durante la menor edad de su Hija Doña Isabel ii , Reina de Espa triunfo del legítimo trono, y que ha de influir tan poderosamente en ña , rogada é invitada por el presente acto por S. M. I. el Duque de la completa pacificación de estos Reinos. Braganza, Regenteen nombre de la Reina Doña María ii , y te- • niendo ademas motivos de justas y gra…</t>
  </si>
  <si>
    <t>…anos de los rebeldes de aquel De las disposiciones y medidas que se han de observar piara precaverpais . batiéndose ■ denodadamente con ellos en defensa de los legíti y evitar los incendios.mos derechos de la Reina nuestra Señora Doña Isabel ngha tenido á bien S. M. señalar, sóbre el fondo de temporalidades ocupadas á 4? Todos los hornos, fogones, hornillas y chimeneas se construi los-eclesiásticos del reino de Navarra, ocho rs. vn, diarios a Doña rán con precaución, solidez y sin madera alguna. Las que no tuvie Manuela Navarro, viuda…</t>
  </si>
  <si>
    <t>…un legado de implacable venganza en Las leyes antiguas, sino en la voluntad general de la Nación y en su in de su padre, cuya voluntad mirarían los hijos como mas sagrada, por derivar mensa fuerza. Dijo que nuestra Reina y Señora Doña Isabel ii habia subido de un proscrito y de un desgraciado. La Nación no podría creerse nunca segu al trono de su Padre , y sido jurada y reconocida por las Córtes y por la gran ra con la estirpe de D. Cárlos , y seria muy insensata en fiar á una esperanza mayoría de la Nación; que D. Carlos, desobedecien…</t>
  </si>
  <si>
    <t>…corona que cre tar. Por esto quisiera, digo, que se expresara terminantemente en el dictámen, yeron algún día ceñirse. En nuestro propio país, sin mendigar á la historia de que á falta de nuestras dos augustas Princesas, la Reina Doña Isabel h y su los extrajeres, se encuentran hechos recientes que corroboran este principio, hermana la Infanta, pudiera y debiera suceder, expresando su nombre y ape y le »poian iircfragablemente. Y ¿cuá es son estos hechos! La inmortal guer llido, Ja línea de D. Francisco de Paula Borbon y sus hijos, por…</t>
  </si>
  <si>
    <t>…ocuradores que han de componer Us comi que reina en el dia de hoy la mejor armonía entre el Gobierno (ranees y el siones: pero U opinión del Sr. Ministro de E*»t ado . que creo coincide con la español, aunque la causa de la Reina Doña Isabel ii y la de la familia reinan de otros señores en este particular , me obligan á hablar sobre esto. te en Francia están casi identificadas, y es evidente que la Francia fue la pri «Desde el momento que vi en el Estamento de ilustres Proceres que la mera que reconoció el Gobierno de la Reina, que se…</t>
  </si>
  <si>
    <t>…Enero de 1834!. GACETA DE MADRID. ¿ ARTICULO DE OFICIO. Por el suplemento á la Gaceta de ? de Octubre ue me inJuve V. E., he visto con el mayor sen ¡miento el atentado vomeriT por unto p'-A.'-’i de-beaics La Reina nuestra Señora Doña Isabel ii , y S. M. la Rbika Gobernadora, y malévolo-, en Talavcrj: de la Reina, y que fe.i'.mente fue ...da ia ! a „ - 1 siguen sin novedad en su importante salud. cion y caido en mano de las autorid.ide-» la mroT narre de u. ■ Del mismo beneficio disfrutan SS. AA. RR. los Scrmos. Sres. Infantes. componí…</t>
  </si>
  <si>
    <t>…gusto y bondadoso Padre le de la prvvtn.ia. Y si V. M., bien para defender vuestra sagrada Real Persona, Icompete á su y vuestra augusta Hija nuestra Señora la Ruina Doña Isaéul ii. bien la de vuestra augusta Hija y nuestra Reina Doña Isabel y sus indisputa Mis oraciones y sacrificios se dirigen al alivio de vuestro difunto Esposo , si.-le bles derechos al trono de las España», necesita también de nuestros sacrificios! necesita , y á que Dios mude los corazones de los que perturban la tranquilidad personales, también le aseguramos que ni…</t>
  </si>
  <si>
    <t>…el aspecto político que bajo el ínteres pecuniario. Corren noticias de que el go lo Reina Gobernadora durante la menor edad de nuestra Señora la Retva bierno ingles envía diferentes buques de guerra al Mediterráneo; y de Odesa es Doña Isabel ii , y el manifiesto que con tan extraordinario motivo ha^e a la nación. ! criben también que se hacen pieparjlivos navales por la Rusia en los puertos del mar Negro, apercibiéndose para todo evento. El mundo comercial está in Cumplimentadas por nuestro capitán general las Reales órdenes referidas,…</t>
  </si>
  <si>
    <t>…ía en la de de Calleja, prana muerte del Sr. D. Fernando vn (Q. E. E. G.), felicita á S. M. por el con por de Haciendo, aplicación D. Josef Canga Arguelles, á España, ——Diccionario advenimiento al trono de la Reina nuestra Señora Doña Isabel h , bajo la ministro jubi ado del consejo supremo de las ladias. Esta obra, que es U primera de tutela de su augusta Madre, anuncia les dias prósperos y gloriosos que se pre su clase que se ha escrito eo España, se dió á luz en Ldcdres en ios aftos de jgi¿ y paran á nuestra nación bajo la sabia adm…</t>
  </si>
  <si>
    <t>Niím. 48.. Miércoles 9 de Abril de 1834. DE MADRID. ARTICULO DE OFICIO. Ni era tampoco un memorándum, sino una simple nota, la que presentó al divan en los primeros dias de este mes el embajador de LaRjsntA nuestra Señora Doña Isabel ii , y S. M. la Reina Inglaterra. Gobernadora, siguen en el Real sitio de Aranjuez sin novedad en Se dice con mucha sequedad en esta nota que la situación ac tu importante salud. tual es capaz de producir complicaciones de tal gravedad, que im porte mucho el evitarlas á las Potencias europeas, por…</t>
  </si>
  <si>
    <t>…ota de! vorort, cuvo tono y lenguaje no una existencia marcada con hechos grandiosos de piedad, justicia y sabiduría. apruelvan generalmente nuestros políticos. No se entiende cómo la Suiza quiere Pero, Señora, el advenimiento de Doña Isabel ir, vuestra amada Hija ampararse de su neutralidad para negarse de un lado i las justas demandas de Q. D. Ct. al trono de sus augustos predecesores que tan legítimamente ha .he Estad*.»* vecinos, y ck otro para proteger i un puñado de aventurero* , que</t>
  </si>
  <si>
    <t>…la y llegué á las diez y media con una corta escolta ¿ esta la cántara:, yínio’, de'S á dj ict' ‘ v •heroica capital, modelo de entusiasmó y adhesión por nuestra legítima RhiNA MAtXcA. óprpVidcia f30 de At*rií.) Trigo, de 3$ á 44 Doña Isabel ii y .su excelsa Madre Doña María Cristina, ¿foque pueda ha-: rs. fanega.-cebadá, de 28 á $0 id.; maíz, de 3B á'4Ó id.: habas, dé 34 á 36 ber ninguna otra en la monarquía que le aventaje en cualidades tan. recomen id.: garbanzós/dc 70 á 100 id.: aceite, de 39 á ifw: aíroba: vino, do ló á 40 dables;…</t>
  </si>
  <si>
    <t>…300 IOO. GACETA ME MADRID. ARTICULO DE OFICIO. da prudencia y sano juicio. ; Pero .por qué se ha de ver en la conducta de es tos árabes otra cosa mas que una concesión á la dora lev .de la necesidad! No • La Reiita nuestra Señora Doña Isabel ii continúa sin novedad hay duda que es menester aprovechar todas las ocasiones posibles de hacerse en su.importante salud en el Real Sitio de San Ildefonso; y de igual partidarios entre los árabes, pero no se deben sacar de estos sucesos consecuen cias tales que disminuyan la justa desconfianza co…</t>
  </si>
  <si>
    <t>…iéndolo, pues, habido, como es notorio, y disponiendo dicha ley que las mugeres de mrjor : IITA^EItlD US PEOClI*ABOlB«. línea y grado sean preferidas, ; por qué razón se puede pretender que D. Cirios tenga un derecho preferente i Doña Isabel u i Sefion del dia 8 dt Octubre. 99Pero examinemos el origen de este pretendido derecho; busquemos el baluarte de su defensa: la ley sálica promulgada por Felipe v. Esa ley estable Se abrió ílas once y cuarto, y leída el acta de la anterior quedó apro cida únicamente en beneficio de los exirangeros…</t>
  </si>
  <si>
    <t>…e perder esa Nación por su desdicha y la cooperación que fuerza, y por ella, si hubiese la desgracia fatalísima de perder i la Reina dieron nuestras tropas al Valiente ejército portugués, el desenlace que tuvo aque nuestra Señora Doña Isabel a y á su augusta Hermana, y £ las líneas que cón lla guerra; todos.estos hechos han de tenerse presenteticuandó alguno se aven el tiempo pudieran proceder de ambas, claro es- que sería llamado el A-K-nH— ture, á inculpar al Gobierno. mo Sr. Infante D. Francisco y su descendencia; sin que fuera posi…</t>
  </si>
  <si>
    <t>…cartaciones, con desaparecer de entre vosotros la discordia, y libertándoos de este modo de la tramarcharon , y volvieron á Arratia. El 30 salieron el general Espartero d* guerra civil que os devora. En nombre de nuestra legítima Reina Isabel ii, Llodio, é Iriarte de Amurrio, y al anochecer alcanzaroh á la facción en las in y por órden de su augusta Madre S. M, la Reina Gobernadora, traigo á to mediaciones de Arteaga, reunida la de este valle á Sopelana, Ibarrola y do* dos la paz en una mano; pero con la otra empuñaré la espada, y haré…</t>
  </si>
  <si>
    <t>…a de . concediendo á los cosecheros de vino la libertad de vendi carabineros, decidida como todos los individuos de su cuerpo por miar en la época y forma que crean conveniente. (Núm. 32.) la causa Je nuestra.amada Reina y Señora Doña Isabel ii, seguía _____ aclarando las dudas que puedan ocurrir á los subdelegados dc sin descanso en busca de los cabecillas Villanueva y Baiña, cuya Fomento sobre la publicación del Boletín oficial. (Id.) facción habia sido extinguida por aquellos valientes. -. encargando al intendente de esta provincia…</t>
  </si>
  <si>
    <t>…FICIO, po, viuda de Pedro Asliert, asesinado por Quilez en Ah-orisa , dos reales do vellón diarios: á Paula García, viuda con cuatro lujo» de Juan Manuel Lozano, vecino que fue de Castejon de la» Armas, fu La Reina nuestra Señora Doña Isabel ii, y S, M. la Reina silado en Alarha ]&gt;or Carnicer, tres reales de vellón diarins: á AlaGol (enmelot a, siguen en el Real sitio de Aranjuez sin novedad ría Ferrer, vecina de Ateca, viuda cmi cuatro Hijos de Antonio en su impórtame salud. Pascual, lusilado en el mismo punto, tres reales de vellón d…</t>
  </si>
  <si>
    <t>…volución de 1789 y 1830, han sido para él Alaba el zelo de aquellos naturales en promover el bien público y su de mas sinceros y nobles ho|nenages, que los gritos de una muchedumbre desen cidida adhesión á la Reina nuestra Señora Doña Isabel zi. frenada , que solo busca en la muerte de los hombres grandes un pretexto para Espera destruir ia plaga de ladrones que infestan los caminos con el auxi mover confusión y alborotos. lio de Ja compañía de seguridad que se está organizando, y la Milicia urbana Si én tales circunstancias, tristes y…</t>
  </si>
  <si>
    <t>…la de Benamejs Dos sarlo debidamente en el grado que se merece , resonando en todas partes las José María Povedano , para que con 30 escopeteros que mantiene á sus expen "aclamaciones de decidida lealtad á la Reina nuestra Señora Doña Isabel ii sas se dedique á este importante servicio, y lo ha verificado con tanto celo y ny «i augusta Madre la Reina Gobernadora.” El referido general acompaña resolución que ha logrado exterminar la gavilla del llamado Chato Pedros», algunas copias de las comunicaciones que le hacen el comandante milita…</t>
  </si>
  <si>
    <t>…xa Imrisa-.....i,™.. 400 -*°n JOOh GACETA DE MADRID. ARTICULO DE OFICIO. sidode Haciendaios gastosresaltamenoresquequedesdelasJuliorealas,de lo1832cualbastaes &lt;Jeel excelentemismo mesagüerode 1833parahanlo La R*ira nuestra Señora Doña Isabel u continúa sin novedad sucesivo, porque tas rentas aumentan todos los años en proporción del aumen én su importante salud en el Real sitio de San Ildefonso; y de igual to de muchos de nuestros productos. Volvió el minisiro i hablar de su pro beneficio disfruta S. M. la Reirá Gobernadora en el Real…</t>
  </si>
  <si>
    <t>…sola; y que la semejanza, por purificase io prevenido en el referido artículo.' no decir identidad, que mediaba entre la causa de Doña Alaría de la Gloria v S» aprobaron como proponía la comisión los poderes y documentos da la de Doña Isabel ir, había de establecer mas ó menos.pronto una alianza na V» Sres. D. Francisco Domecq , D. Francisco Javier UUoa y D. Fernando tural , íntima, permanente, como todas las que se fundan en intereses reales, Miranda, Procuradores por Cádiz y Lugo. y en el instinto de la propia conservación. También s…</t>
  </si>
  <si>
    <t>…uando empezó á hablar ¿quién pues puede tener mas impaciencia que el mismo Gobierno: Ya que no el Sr. general Butrón , creí que trataba dfe impugnar alguna de las peticiones fuera por obligación , legalidad y amor á nuestra Reina Doña Isabel ii, presentadas, y no concebía adónde iba á parar su discurso; mas el fin de él ha ¿quién tiene mayor ínteres que él en que se acaben las facciones, en qué te sido una especie de interpelación al Gobierno; y como el ministerio, siempre sujeten las provincias del Norte, y en que todo se presente tra…</t>
  </si>
  <si>
    <t>…, v el Sr. gobernador delante y aproximado á las banderas, )ii¿o la alo AMERICA. cución siguiente: ISLA DE CUBA. «Brillante regimiento de Ñapóles, honor de las armas españolas. La Real benignidad de nuestra adorada Rkina y Señora Doña Isabel ii , v en nu Matanzas 17 de Setiembre» Real nombre la Ri?ina Gobernadora de las Españas, me concede por mi ac En la tarde del 15 tuvimos la satisfacción de ver la gran parada qué for tual destino el alto honor de leer al pie de sus Reales banderas las gracias mó el regimiento infantería de Ñapóles…</t>
  </si>
  <si>
    <t>1 V , ! &amp;.'■ ifn. 6. Sábado II de Enero de I83L GACETA DE MADRID. ARTICULO DE OFICIO. en el trono heredado de sus mayores á su augusta Hija primogénita nuestra amada é inocente Reina la Señora Doña Isabel ii, y á su heroica Madre en la Reina nuestra Señora Doña Isabel ii , y S. M. la Reina Gobernadora, cargada de la regencia durante su menor edad. El vecindario de esta villa y de I siguen sih novedad en su importante salud. los 34J pueblos que componen su partido, está animado de los mismos senti mi…</t>
  </si>
  <si>
    <t>…/ *?Dado en Gibraltur el dia 30 de Diciembre del ano del Señor lS33.= S. M. la Reina Gobernadora r á npmbre de su augusta Hija la Reina nuev I Gruiliermo/Honstoun, teniente general y teniente gobernador. =s De orden de tra Señora Doña Isabel ii , se ha.servido conceder gobierno militar y político I S. É., J. Adderley, secretario político. de la plaza de Fígueras al brigadier de infantería D. Antonio Cano de Orbaneja. j Asimismo el militar de la plaza de Obvenza al déla misma clase D. Alejandro I Betanzos ii Je Diciembre. Mayoli, corone…</t>
  </si>
  <si>
    <t>…11 de Febrero de 183i. GACETA DE MADRID. de los de oidores del Consejo de Navarra Martin Javier D. Por separación ARTICULO DE OFICIO. en Muzquiz nombrar venzo y D. Joaquin Olál , D. Ignacio y Villela Polo, La Reina nuestra Señora Doña Isabel ii, y S.M la Reina Gobernadora, en su luear á D. Pedro García del Valle, audiror de Guerra de Pamplona, á [ siguen $in novedad en su importante salud. D. Josef Aguilera y á D.-Fulgencio Barrera. Tendráse entendido en la Cáma ra para su cumplimiento.zzEstá rubricado de la Real mano.zrEn Palacio a 9…</t>
  </si>
  <si>
    <t>…con gran pérdida, habiendo durado el fuego hasta Fernando vii (Q. E* E. G.) para oficiar en el solemnísimo acío de la jura de. elidía 19. El portadbr de esta noticia salió de Portálegre el mismo dia 19, y la Reika nuestra Señora Doña Isabel n como Princesa heredera de estos reinos añade que á su salida habian ya entrado en dicha ciudad 120 heridos de los á falta de varón en las cortes de 20 de Junio de 1833 , y para recibir el pleitoenemigos, y que tanto ellos como los que los conducian anunciaban la denota homenage, no pudo participa…</t>
  </si>
  <si>
    <t>/ Núm. 50.. Viernes GACETA DE MADRID. ARTICULO DE OFICIO. tado , porqué son contrarias á la esencia del gobierno representati vo. La constitución ha confiado á ciertos poderes constituidos el La Reina nuestra Señora Doña Isabel ir, y S. M. la Reina derecho de deliberar sobre las leves y sobre los intereses de la na Gobernadora, siguen en el Real sitio de Aranjuez sin novedad en ción: por consiguiente, ningún otro cuerpo deliberante debe existir. bu importante salud. «La primera legislatura fue sostenida por estas asociaci…</t>
  </si>
  <si>
    <t>…ra, dispusieron la provincia; y en breve se publicará eri su capital un periódico por medio de una suscripción voluntaria que se abrió, levantar con el título del Mensajero aragonés. pendones por nuestra inocente idolatrada Reina Doña Isabel u, Los bailes de fiuscara concedidos por S. M. en favor de la proclamándola por Reina legítima de las Españas, como lo ve- Real casa de Misericordia de aquella ciudad, produjeron cantida xificarqn en el dia 26 de Diciembre último, dando -principio á des de consideración para atender ¿ la subsistenc…</t>
  </si>
  <si>
    <t>…...... 4&gt;-»o GACETA DE MADRID. ARTICULO DE OFICIO. están usando de licencia temporal, sean gefes ó subalternos. De Real orden ¿te. Madrid ó de Alayo de 1854. = lmáz.r;Sres. Directores ge nerales de Rentas. La Reina nuestra Señora Doña Isabel ii, y S. M. la Reina Gobernadora, siguen en el Real sitio de Aranjuez sin novedad SaBgBaMíá^iii^•■■■■■»— en su impórtame salud. PARTE KO OFICIAL. Del mismo beneficio disfrutan SS. AA. RR. los Sermos. Se ñores Infantes. NOTICIAS EXTRANGERAS. MINISTERIO DE HACIENDA DE ESPAÑA. (Continuación del correo…</t>
  </si>
  <si>
    <t>…lve á esta para que lo redacte nue bió f y dijo que la pondría en manos de S. M. (Jan.) vamente. Mañana continuará la discusión de los artículos. Ayer anunciamos la esperanza que teníamos de que los gobiernos de Doña María, de la Reina Isabel, de Francia y de Inglaterra, se pondrían de acuerdo IDEM DE IOS DIPUTADOSidífU. para terminar los negocios de Portugal. Hoy tenemos ya motivos fundados pa ra creer que se ha firmado un tratado entre las cuatro Potencias que fue trasmi M. Lascases pone sobre la mesa el informe de la comisión encarga…</t>
  </si>
  <si>
    <t>…n diferentes caminos. También remite por separado el los que dan mayores pruebas de amor al órdeD y al legítimo Gobierno de S. M. informe sobre el canal Imperial, que es el asunto mas importante que puede, la Reina nuestra Señora Doña Isabel ii. ocurrir en aquella subdelegaron ; y avisa que se continúa la construcción de las Manifiesta que la Milicia urbana se halla perfectamente organizada en li tres fuentes, de que habló en su anterior parte. mayor parte de los pueblos de aquella provincia , con especialidad en Alcoy, » Igualmente af…</t>
  </si>
  <si>
    <t>…. 4°° aoo loo. GACETAS , DE MADRID. fin clásico. acaba hacernos casualidad en de des nuestro suelo La portancia en ARTICULO DE OFICIO. mas de los hermosos que un será uno muy monumento cubrir ador notable, La Reiha nuestra Señora Doña Isabel ir, y S. M. la Reuta nos •'deHabiendonuestro museo.querido mudar de sitio el mástil del pabellón de la cuarentena "Gobernadora, siguen en el Real sitio de Aranjuez sin novedad de Kertch para trasportarle á un cabo donde existen los restos de una cons en su importante salud. trucción de forma circul…</t>
  </si>
  <si>
    <t>…norariodeila',Raaldutlíjertcia dé Msel debi'ío juramento en.la forma siguiente: ¿ Juráis guardarfiilididad dt^d, pase, inmediatamerfté íf ía /ciiAlaií ae'Pdrnjitóná ¿oñ'elcarácter y obeilitrw.in.ji lo. augusta Rema nuestra Señora Doña Isabel ít^eon* dé connsario'régio de Navarra,1 y con el objeto de inquirir lo que tribuyendo por cuantos medios os proporcioné vuestro Real naciidien- juzgue conveniente sobredes delitos díTóoftSpiéacíóh-? íñfiíléñcía de to ¿ ilustre. gerarqttia, al sostenlmi nto del Trono, J la observajiúa. de , cualquie…</t>
  </si>
  <si>
    <t>…s de créditos contra la Francia; y el INSCRIPCION NAPresidente de los Estados-Unidos de América á D. Cornelio P. Van-Ness, ciudadano de dichos Estados, y Enviado extraordinario y Ministro plenipoten ciario cerca de S. M. Católica Doña Isabel ii , los cuales , después de haber CAPITAL. * XEKTA* cangeado sus respectivos plenos poderes , han convenido en los artículos si Pesos fuertes------------------i Pesos fuertes______ guientes : O sean francos__________ } O sean francos____ Articulo 1.® S. M. la Reina Regenta Gobernadora, á nombre y…</t>
  </si>
  <si>
    <t>…n á saber : ción el inesperado retraso que había padecido el reconocimiento de la Reina S. M. la Reina Regenté de España, durante la menor edad de su Hija mi Señora Doña Psabel ii , por parte de algunas Patencias de Europa; retra Doña Isabel n . RtmrAr-dc-EspAiía t á O. Manuel Pando , Fernandez de Pi so tanto opas, inexplicable y extraño, cuanto no se ha alegado para él motivo nedo , A’ava y Divila , marques de MiraBcüesYeondgr dc-V/M apoternay^de ni pretexto plausible, y cuanto todas las razones de derecho y de conveniencia «.Floridab…</t>
  </si>
  <si>
    <t>…son los dignos instrumentos que emplea la usurpación. Despreciada y del derecho incontestable que tenia á la sucesión del Trono la Serenísima Prin maldecida por todas las clases elevadas y ricas, ha tenido que echarse en bra cesa Doña Isabel, ahora nuestra Reina y Señora, cuyo solo nombre recuer zos de la ínfima plebe, abasando de su ignorancia y su miseria para precipi da á ios españoles uno de los mas prósperos reinados que cuenta en sus anales tarla y perderla; y es digno de notarse que los que proclaman en sus filas sedi esta Monar…</t>
  </si>
  <si>
    <t>…domo mayor de S. M.: Que abrimientos, que llegaron á su colmo cuando se tocó por experiencia riendo solemnizar el fausto natalicio de mi muy querida Hija la la falta de una distribución equitativa de los cupos entre las pro Reina Doña Isabel ii con un rasgo de la maternal solicitud que me vincias del Reino. Señalando, por ejemplo, la enorme suma de 1129 anima en beneficio de los pueblos fiados á mi Gobierno durante la reales á la de Cartagena, donde apenas hay comerciantes, era preci menor edad de la Reina, he venido en resolver, confo…</t>
  </si>
  <si>
    <t>…si fuerza con la incorporación de multitud de hombres útiles á quienes considera-^ guiente: ciones sociales ó de familia detenían para tomar las armas, descansando al misf ¿Juráis fidelidad y obediencia á la Reina nuestra Señora Doña Isabel n,. mo tiempo en la confianzi que debe inspirarle la parte que le cabe en los codty en su nombre durante su menor edad, á S. M. la Reina Gobernadora? sejos de revisión, ó sean comisiones que han de juzgar de las excepción^. j ¿Juráis guardar y cumplir el Estatuto Real y las leyes de la Monar Desean…</t>
  </si>
  <si>
    <t>…órmula si la Guardia nacional de la misma y de las limítrofes podrá ser llamada y orga guiente: ~ nizada en batallones y compañías de campaña con sus respectivos oficiales, ¿Juráis fidelidad y obedienciá á ta Reiva nuestra Señora Doña Isabel ii, sargentos y cabos. Este llamamiento se hará por el gobernador civil de la pro- y en su nombre dórame su menor edad, á S. M. la Reiva Gobernadora? víncia en uso de sus propias atribuciones, ó requerido, por la autoridad militar, ¿Juráis guardar y cumplir jsl Estatuto Real y las leyes de la monar…</t>
  </si>
  <si>
    <t>12 de Abril de 1834. GACETA DE MADRID. ARTICULO DE OFICIO. desde luego á lo que corresponda para la dilatación de las vacan tes. Tendréislo entendido, y dispondréis lo necesario á su cumpliLa Reina nuestra Señora Doña Isabel n , y S. M. la Reina miento.=Está rubricado de la Real mano. = En Aranjaez í 14) de Gobernadora, siguen en el Real sitio de Aranjucz sin novedad en Abril de 1834-= A D. Nicolás María Garelly. su importante salud. MINISTERIO DE LA GUERRA. Del mismo beneficio disfrutan SS. AA. RR. los Sermos. Se ñore…</t>
  </si>
  <si>
    <t>…... 400 »©o lOQa GACETA DE MADRID. ARTICULO DE OFICIO. ción que tuvo el honor de elevar á V. M. este ilustre ayuntamiento con fecha 7 de Diciembre del año próximo pasado, manifestando el mas profundo dolor La Reina nuestra Señora Doña Isabel ij, y S. M. la Reina por la sensible muerte del mejor de los Monarcas, y su pronunciamiento espon Gobernadora, siguen cu el Real sitio de Aranjuez sin novedad táneo por su augusta Heredera. Dígnese V. M. admitir con su benignidad estos votos, aquel deseo y elen su importante salud. regocijo univers…</t>
  </si>
  <si>
    <t>…Indias............ ...... 4&lt;*&gt; »uo loa. GACETA DE MADRID.i el consejo sido del en el primer voto Rey, no es regular que se sienta in ARTICELO DE OFICIO. do á de su variar clinado conducta repente política. La Reina nuestra Señora Doña Isabel ii, y S. M. la Reina Las vacantes que han ocurrido no deben atribuirse Tealmente 4 lord Grey; la minoría se ha retirado porque no juzgaba poder consentir en las medidasGobernadora se han trasladado;í Carabanchel ,eu donde siguen que la matoría miraba como necesarias, y entonces se hacia preciso ele…</t>
  </si>
  <si>
    <t>…is caso de salir por algunos dias de sus casas, podrán ser de mucho provecho en columnas móviles que extingan en su origen cual contrativa com»en la de comunicaciones: He venido en decretar, en nom bre de mi augusta Hija la Reina Doña Isabel u, la formación de viene las facciones, y contribuyan de varios modos a los esfuer zos que por su parte hace el ejército; se ha dignado S. M. autorizar una comisión compuesta de personas celosas é inteligentes en la ma á V. E. para que en su caso, y del modo que su prudencia v celo loteria, que ocu…</t>
  </si>
  <si>
    <t>…to* bajada francesa. [ ais los leales , ofrecen á V. M. sacrificar su existencia en defensa de V. M. y .■r---.-,.... caf¿ ^ ja América del Norte y del Sur acaba de recibirse de Nue [ del trono legítimo de la Reina nuestraSeftora" Doña Isabel ii. va-York con fecha 8 de este mes la carta siguiente: I Dios guarde las Reales Personas de W. MM. los años que necesita esta »Hemos recibido esta mañaoa noticias de Buenos-Aires que alcanzan hasta heroica nación para volver al grado de esplendor á que V. M. tan sabiamente el 27 de Octubre próximo…</t>
  </si>
  <si>
    <t>…ámara suspende hasta el dia 28 el tos de la Reína Gobernadora durante la menor edad de su augusta Hija, ape nombramiento de la comisión que ha de informar robre este particular. nas recibió la orden de levantar pendones por S. M. Doña Isabel ii , lo efec - El Sr. Vatout dice que la comisión encargada de examinar si hay ó no ra tuó con la mayor prontitud y con alegría general de estos vecinos. Este acto zón para conceder pensión á las viudas de ciertos generales, opina que se debe solemne perpetuara la memoria del derecho legítimo al tr…</t>
  </si>
  <si>
    <t>13 de Abril de IS34. GACETA' DE MADRID. ARTICULO DE OFICIO. MINISTERIO DEL TOMENTO GENERAL DEL REINO. Real ¡irden. La Reina nuestra Señora Doña Isabel ii, y S. M. la Reina Gobernadora, siguen en el Real sitio de Aranjuez sin novedad en He dado cuenta á S. M. la Reina Gobernadora de la consul su importante salud. ta de V. S. acerca de la distribución qi.e deba darse ahora á los Del mismo beneficio disfrutan SS. AA. RR. los Sermos. Se derechos de d…</t>
  </si>
  <si>
    <t>…Para Indias......... .......... 400 300 xoo. GACETA DE MADRID. ARTICULO DE OFICIO. tan los reclutas voluntarios que se les presenten, siempre ijue na ex ceda su número de la fuerza señalada [mr regimiento. La Reina nuestra Señora Doña Isabel ii, y S. M. la Reina 2! Que estos reclutas voluntarios, ademas de tener las circuns tancias de la talla de ordenanza, robustez y buena conducta, debanGobernadora, siguen en el Real sitio de Aranjuez sin novedad empeñarse por seis años lo menos. en su importante salud. 3.“ Que á todos los que tengan…</t>
  </si>
  <si>
    <t>…epetidas pruebas en todas épocas y ocasiones* por la M- N. y M. L. ciudad de Soria , cabeza de provincia y voto en Córtes, para levantar el pendón Real de Castilla por su augusta Hija nuestra legítima Madrid 12 de .Mayo* Soberana Doña Isabel ir (Q. D. G.) Puestas de acuerdo todas las autoridades y corporaciones, á quienes se convidó con oficios para hacer mas ostentoso y Según noticias de Constantinopla del 18 de Mano último habia recibido brillante el acto, publicó la local una sencilla, pero bien meditada alocución á la legación rusa…</t>
  </si>
  <si>
    <t>…fiestecoronel Ruscaal coronelha declaradofederativotambiénRuscaquelo esmuchode opiniónque le dehaquedisgustadoel gran el¿oOseyílen guaje provocador, y'las expresiones pocD delicadas que ha empleado biWando La Reina nuestra Señora Doña Isabel ti, y S. M. la Reina á los gobiernos con quienes ei cantón del Tesino mantiene relaciones de amis Gobernadora, siguen' en Carabanchel sin novedad en su im- tad y,concordia, que desea conservar..El consejo de Estado queda encargado porlaqte salud. de ejecutar esta decisión. La comisión propone en se…</t>
  </si>
  <si>
    <t>…............... 400 lOO loo. GACETA DE MADRID. ARTICULO BE OFICIO. cuencia de heridas recibidas en ellas, se provean en los mismos regi mientos con sus resultas. De Real orden lo comunico á V. E. para su Ija IlEnvA nuestra Señora Doña Isabel ti continúa sin novedad inteligencia y efectos correspondientes. Dios guarde á V. E. mu en su importante 'salud en el Real sitio de San Ildefonso; y de igual chos años. Madrid 1U de Agosto de 18-34-. beneficio disfruta S. M. la Reina Gobernadora en el Rea! palacio de Riofrio. También goza de perfec…</t>
  </si>
  <si>
    <t>…solemnemente la exaltación al trono de larEspañas de nuestra amada Rei preciosos ropages, mostrando la gentileza de sus talles, y todos los atractivos que la naturaleza les ha prodigado con singular esmero; la misma’Terpsícore na Doña Isabel ii (Q. D. G-)&gt; y para esto ha aprovechado el dia de nuestra augusta Reina Gobernadora, y en que al mismo tiempo se instalaban las Cór- daba el compás, y animaba las mudanzas que hacían en las danzas;y el hombre tcs generales del reino. Dispuso con este motivo una función , propia de su menos sensib…</t>
  </si>
  <si>
    <t>…obierno del parecer de los magistrados que ie han formado. al desacordado Príncipe que ha intentado, aunque en vano, usurpar la corona «Reasumiendo lo expuesto , digo: que el proyecto contiene, ademas del de nuestra augusta Reina Doña Isabel ii. Código penal, el de procedimientos; y que , cuando después de oido el dic »S. M. la Reina Gobernadora, bien convencida de que en el día es tamen de U comisión de 1 F-stamento se presente á la discusión del mismo, importantísima la decisión de este asunto, ya indicó en el d-a de la apertura el G…</t>
  </si>
  <si>
    <t>…n contestación (de igual fecha) á los esfuerzos del ía obligación en que este se haftába de reconocer y jurar á S. A. R. (aho plenipotenciario , expresó «que este ya no tenia que tratar del asunto con $. A., ra ia Reina mi Señora Doña Isabel ii) por Princesa heredera del trono, sino con el Sr. D. Miguel.” según las leyes fundamentales de la Monarquía; como también en cuanto i Con presencia de tales y tantos desacatos, se sirvió expedir S. M. la si las medidas de precaución que se sirvió dictar el difunto Soberano para evi guiente tar e…</t>
  </si>
  <si>
    <t>…ha 2 del actual dice el comisionado regio, que en aquella capi El dia 10 dei corriente en celebridad del feliz cumpleaños de nuestra au tal estaban ya dispuestos dos hospitales de bastante capacidad y bien servidos gusta Soberana Doña Isabel 11 , se celebraron exámenes públicos en la escue para los pobres que fuesen atacados del cólera , y para militares otros dos , uno la normal de la calle de Santiago, empezándose por un discurso del encargado deitro de la eludid, y otro extramuros de ella: acompaña asimismo el si principal del estab…</t>
  </si>
  <si>
    <t>…ados por el traidor Zumalacarregui, y á la vista del mismo sufrido aquellos, expresando la situación en que hubiesen quedadoá principe rebelde; hé venido en mandar, en nombre de mi excelsa consecuencia de tanhorrible suceso. Hija Doña Isabel ii, que se reedifique ,á costa del Estado la iglesia de 4? Que para fe indemnización de justicia de fes pérdidas y da Villafranca, y que se erija en ella un monumento que trasmita á la ños que han sufrido las familias leales, se destinen los bienes de las posteridad mas remota el valor y lealtad ac…</t>
  </si>
  <si>
    <t>te ta excedido en la cantldad de áft millo»» queta señalado i la Resha de -proponiendo «ta rebaja cuando ni aun discusion hubo . en elparrictilar.-Pcr España Doña Isabel ii. ' ' . /n ■ &gt;&lt;’\ ~: -■■■"&lt;■■ Tina’costumbre antigua y respetada se.ha consignado en España á lar viudas de . . •&gt; La comUioo, aunque no ha descendido á un minucioso exámende los loa Monaícaslarnijm» dotación qúepropone lacomtsion. ' - ri- K ;V\ % gastos que pesan-sobre la tesorería dé la casa Re…</t>
  </si>
  <si>
    <t>…. GACETA DE MADRID. ARTICULO DE OFICIO. i sellar con su sangre las ofertas de su fidelidad, y a conservar cofa la robusta I firmeza de sus invencibles armas el precioso depósito que S. M. les confia, pues I Xa Reina nuetra Señora Doña Isabel ii , y S. M. la RiiNAjCrobernadora, i ello se creen obligados como españoles generosos y agradecidos á los conti siguen sin novedad en su importante Salud. nuos beneficios que la Real clemencia se sirve dispensarles, estrechándolos tan I Del mismo beneficio disfrutan SS. AA. RR. los Sermos. Sres. I…</t>
  </si>
  <si>
    <t>…2 de Noviembre. el Monarca legislador. *• Inmediata mente que recibió este ayuntamiento la Real carta en que se le c.1 salón donde se representaba esta C'oreni figuraba ser d« arquitectura fó '‘Mandaba levantar pendones por S. M. Doña Isabel ir, se dispuso á verificarlo tica, y adornado con todo el gusto que distingue a los edificios de la edad me- [ c«*n la solemnidad que acostumbró siempre la fidelísima Murcia, una de las de dia. A un lado del trono había sobre una me»a cubierta con rico tapiz, los to voto en Cortes. mos de las Parti…</t>
  </si>
  <si>
    <t>Niím. 53. Lunes 14 de Abril de 1834. GACETA DE MADRID. ARTICULO DE OFICIO. BÉLGICA. Bruselas 26 de Marzo. La Reina, nuestra Señora Doña Isabel it, y S. M. la Reina gobernadora, siguen en el Real sitio de Aranjuez sin novedad ea Hace ya muchos dias que sabiamos por cartas de Vierta que su importante salud. iban á tomarse medidas muy activas para obtener del duque de Del mismo beneficio disfrutan SS. AA. RR. los Sermos. Se Nassau que consin…</t>
  </si>
  <si>
    <t>…donde V. S. se hallaba ejerciendo las funciones de su destino, siempre ios diferentes mandos puestos á su cuidado; en nombre de y llegó á ser menospreciada su autoridad por medio de voces subver mi muy cara y amada Hija la Reina Doña Isabel ii , vengo en con sivas pronunciadas por algunos grupos que pedían saliesp V. S. de ferirle Ja superintendencia general de policía del reino, que desem la población, á lo que lejos de oponerse el ayuntamiento, como era peñará con retención de dicho cargo de capitán general de esta pro de su princip…</t>
  </si>
  <si>
    <t>…dias.................. jou joo ioo. GACETA DE MADRID. ARTICELO DE OFICIO. Deseando S. M. la augusta Rf.ina Gobernadora dar una muestra señalada de benevolencia al príncipe de la vi lera rw], emita ¡ador de La Reina nuestra Señora Doña Isabel ii, y S. M. la Reina S. M. el Rev’de los franceses, cerca de S. M. el Rev del Reino l nido Gobernadora, siguen en Carabancliel sin novedad en su im- de la Gran Bretaña é Irlanda, y á D. iTisíí'bjl Pedro de Mnraes Sar jxtitanlc salud. niento, enviado extraordinario de S. M. Eidelísima, que en calida…</t>
  </si>
  <si>
    <t>…y Militares y Pobresylos primeros pueblos que mabifestaron ostensiblemente su decisión á favor del 21 las de la Piscina y 19 las.de las dos nuevas fuentes; cuya temple conservan gobierno legítimo de S. M. la Rejna nuéstra Señora Doña Isabel ii. No sin alteración en todas las estaciones del año. contento con esto, y á fin de dar un público testimonio de los sentimientos que En estas aguas se encuentra oxígeno y ázoe combinados en diversas pro animan á sus habitantes* el dia 19 de Mayo último por disposición del alcalde porciones, y los…</t>
  </si>
  <si>
    <t>…lenipotenciario en esta corte, las insignias y diplomas de la Idem 2 7. gran banda de la orden.de nuestra Señora de la Concepción de Vi La segunda sociedad de aficionados á pichones de esta ciudad ha obtenida lla vicios?, á S. M. Doña Isabel n y á su augusta Madre la Reina Go aun mejores resultados que la primera: de 31 pichones qué despachó para Pa bernadora; habiendo aceptado SS. Mil. con la debida gratitiid y ria el jueves 26 á las seis de la mañana, estaban ‘de vuelta cinco á las once y Aprecio cJtt» uñero testimonio de loa amistos…</t>
  </si>
  <si>
    <t>…Melbourne) el empeño reciente que ha contraído ante la Cámara de defender la unión éntre la^lglem y e! Estado. S. 5. añade que o© ve cómo el gefe del gabjjKte puede conciliar d empeño referido coa U pre** La Reina nuestra Señora Don» Isabel fi eorrtimía sin noy edad tentación del b 11 actual.ffn su joipertame MlutTen el Real sitio de San Ildefonso; y de igual Lord M.tlboumr : **Es inútil recordarme mi profeúon de fe en favor de! beneficio disfruta . S. M- la Reina Gobernadora en el Real palacio mantenimiento de la Iglesia, porque sobr…</t>
  </si>
  <si>
    <t>…poder; pero sirye siempre a la justicia. mites correspondientes.” «No hablaré asi ciertamente respecto á los 35 millones que propone el El Sr. Medran»: «Yo creo que hubo resolución del Estamento para Gobierno para S. M. la Reina Doña Isabel ii. Esta suma me parece excesi suspender el curso de esa petición, pues á consecuencia de una indicación he va, y que por lo tanto debe rebajarse. Ni los pueblos están en estado de satis cha por el Sr. Secretario de lo Interior se preguntó al Estamento si se suspen facerla, ni la tierna edad de S.…</t>
  </si>
  <si>
    <t>…iajaron entonces por toda la Nación, y á ios que "viajan al •aquí á S. M. la Reina "Gobernadora, y no S. M. á nosotros el ocupar el presente: ellos dirán si en este momento se encuentra en un estado tan deplo pue-Io que ocupa. La Reina Isabel sin duda reina en el corazón de los espa rable como en el año 14- Añade S. S. que en aquel tiempo no había cólera, es ñoles, y estos y su voluntad sustentan en gran manera su trono; mas ascendió verdad, pero hubo en varias provincias fiebre amarilla, y á impulsos de la mi á él por los derechos here…</t>
  </si>
  <si>
    <t>…l de la asignación que se hizo á la casa «Después ha aludido el Sr. Gaiiano i una cuestión muv delicada, cual es Real, pues entonces subió á 45 millones , y ahora se proponían ?ó. Por esto la de los derechos legítimos de la Reina Doña Isabel ii. Yo no he excitado quisiera yo que en atención á la penuria dei Estado, se redujese dicha asigna teta cuestión; ha sido provocada por otros Sres. Procuradores; peró debo decir ción al menor límite posible, cual es el propuesto por el Sr. Samponts en la que son incontrastables los derechos dé es*…</t>
  </si>
  <si>
    <t>…do 15 de Febrero de I83á. GACETA DE MADRID ARTICULO DE OFICIO. dividuos, el parage donde celebre sus sesiones, y los documentos que deben ex hibirle los gefes y oficiales que se presenten :i clasificación. La Reina nuestra Señora Doña Isabel ii, y S. M. la Reina Gobernadora, 3.* En consecuencia de lo prevenido en los artículos l.° v 2.3 del Real siguen sin novedad en su importanre salud. decreto, las juntas clasificaran á los gefes y oSciales de todas armas que corres Del mismo beneficio disfrutan SS. A A. RR. los Sermos. Srcs. Infante…</t>
  </si>
  <si>
    <t>…ierd.i , v temado c-te llimo b.iiirl-s venta; sj pués el regio estandarte en la sala de cabildos bajo un hermoso dosel al lado mente: pefr&gt;-siendo esta altísima, v presentando \ nvr«, di i_u.*.¡dr en Lee*!* a del retrato de S. M. Doña Isabel ir. Otra proclamación se verificó á las tres su cinta aun sin ser ocupada por nadie, v rt, -er p-uPenre aucjrb»». en mm «ode la tarde en uno de los parages mas públicos, y ebrt la mayor suntuosidad, bre su frente sin exponerse á sufrir urn perdida grande, *e dii.ro por mas de estando la fachada de…</t>
  </si>
  <si>
    <t>…Marzo de I83¿». GACETA DE MADRID. ARTICULO DE OFICIO. resados e! perjuicio general fy particular que se peguiria de quc los extranjeros copiasen los cuadros de h escuela española, y les inrroücjiSci en es La RsrvA nuestra Señora Doña Isabel ir, y S. M. la Reiva Gobernadora, tampas, estando privarlo» de hacerlo ios españoles. siguen sin novedad en $u importante salud. Fien que se percibiese en el tenor de algunas de estas exposiciones cierta Del mismo beneficio disfrutan SS. AA. RR. los Sermos. Sres, Infantes. exageración, no dejaron s…</t>
  </si>
  <si>
    <t>Núm. 54.. Martes 15 de Abril de 1834. I\ MADRID. ARTICULO DE OFICIO. PARTE NO OFICIAL. La Rbiha -nuestraSeñora Doña Isabel ti, y S. M. la Reina' NOTICIAS EXTRANGERAS., Gobernadora, siguen en el Real sitio de Aran juez sin novedad en (Continuación del correo anterior.) su importante salud. ' ■«, INGLATERRA. Del mismo beneficio disfrutan SS. AA RR. los Scrmos. Se ñores Infantes. Lóndrcs 29 de Marzo. cámara de tos comunes…</t>
  </si>
  <si>
    <t>…........ ....... 4°° 300 1 OCK. GACETA DE MADRID. ARTICULO DE OFICIO. aprobarse el principio en que se funda el citado auto, se ha servido declarar que en tierras de su propiedad puede cada cual introducir La Reina nuestra Señora Doña Isabel ti, y S. M. la Reina en todo tiempo sus ganados ó los agenos, á pesar de cualquiera dis Gobernadora, siguen' en el Real sitio de Aranjuez sin novedad posición municipal que lo prohíba.” en su importante salud. Y siendo infinitas las reclamaciones de los pueblos que llegan diariamente á este ministe…</t>
  </si>
  <si>
    <t>…clusas las del primer batallón ligero, voluntarios Ur de Bourmont en Evora. banos de Reus y demas compañías de la misma clase de que tengo hecho mé rito en tan glorioso dia es la mas distinguida y digna de las tropas de la Rei na Doña Isabel ii , y los vivas á este ídolo de tan buenos españoles ha sido la Partes recibidos en la Secretaría de Estado y del Despacho de la Guerra. señal dei ataque. Es ciertamente la acción referida una de las mas brillantes ea Entre los gloriosos sucesos de la guerra que sostienen los defensores de su clas…</t>
  </si>
  <si>
    <t>…... .. 38o iyo g5. Para Indias..—........ .. aoo loo. ARTICULO DE OFICIO. ha apoderadoPor noticiasel 19de deGermersbeimun envío de(Baviera600 fusilesrenana)con susse sabebayonetas.que la Sepolicíaasegurase La Reiwa nuestra Señora Doña Isabel ii, y S. M. la Reiwa que debían servir para arpiar á los polacos refugiados en Suiza. Estas armas ha bían venido por agua descendiendo el Rbm, y debían ser conducidas á Gi Gobernadora, siguen en Carabanchel sin novedad en sa im nebra. portante salud. ____ Hemos llegado ya á conocer definitivamente…</t>
  </si>
  <si>
    <t>…adiela razónentrar dení quesalir todoen elbloqueopunloJbioqueado.lleva consigo.Cuandola necesidadse ver.fique,de nolapermisumi sión , y se ponga ct gobierno de la isla en manos del príncipe nombrado por la La Reina nuestra Señora Doña Isabel ii eontinóa sin noveJaJ Puerta, cualquiera samio que dci&gt;ee emigrar podrá hacerlo libremente. Pero el €n su importante saluJ en el Real sitió de San Ildefonso: y de i^tial b'oqueo tiene por objeto someter la isla, y tomar posesión del gobierno en beneficio disfruta S. ¡VI. la Rf.iba Gobernadora en…</t>
  </si>
  <si>
    <t>…ok cuantosde lase hallanmedicina,dedide esta capital de S. M. la Reina Gobernadora, viniendo á sú derecha su au cados al filantrópico artede curar, y aun á toda clase de'personas* Un tomo en 8.° gusta Hija la Reina nuestra Señora Doña Isabel 11, y en el asiento delan 69? páginas- Se vende en el despacho de la imprenta Statl á 16 rs* en rústica 7 ¿0 cnr tero S. A. R. la Serma. Sra. Infanta Doña María Luisa Fernanda, Her pasta. ——Por providencia delSr. Balsera, teniente corregidor de esta villa, refrendada del mana de la Reina , é inmedi…</t>
  </si>
  <si>
    <t>…8.. Jueves 16 de Enero de I83¿. GACETA DE MADRID. He y yodrá de radie hacerles Ccbie'os, aparar e’d--. ARTICULO" 1)E OFICIO. hitantes ii , Vivh i a la ( »-.he' Ki k Rhiv a Di ñ . Sean d ,- i K a bi.l Viva La Rbiwa nuestra Señora Doña Isabel ii , y S. M. la Rkfca Goberna .raderas eternos años tan facciosas vidas pira Icen v f-: i..d.i-j de .a rw ■■ t-- dora , liguen sin novedad en su importante salud. paiV'la. Sala consistorial de (...ehreros X de Y ñero de i i ~V*rb r, ~ \ J - R Leí mismo beneficio disfrutan i&gt;$. A A. RR. 'los Sermos.…</t>
  </si>
  <si>
    <t>…rido tras almas; y de un modo que los mares puedan llevar vuestros so de los Monarcas (cuya alma descansa en paz) , vamos á proclamar noros ecos hasta la madre patria, y aterrar en ella á los aborrecidos á su augusta Hija la Sra. Doña Isabel ii de Borbon como Reina traidores que alligen el corazón de la mas compasiva de las Sobe legítima de las Españas. ranas , gritad mil veces con vuestro dichoso gobernador, dichoso "¡Dichosos nosotros que podemos repetir nuestras veraces y ar porque manda un pueblo fidelísimo; ¡viva la gran Cristina!…</t>
  </si>
  <si>
    <t>…E OFICIO. la Milicia urbana se paguen del fondo de propios en los pueblos donde los haya , y donde no, por repartimiento vecinal; cuidando los subdelegados de Fomento de las provincias de hacer formar anti La Reina nuestra Señora Doña Isabel ii, y S. M. la Reina cipadamente un presupuesto en las suvas respectivas, y no prece Gob^teadora, siguen en el Real sitio de Aranjuez sin novedad diéndose al pago de ninguna cantidad sin su previa autorización. en su importante salud. Pe Real orden lo comunico á V. para su inteligencia y cumpli mie…</t>
  </si>
  <si>
    <t>…entre ellos dos capitanes y un teniente que ale y la de Peña de Esgueva con 8, quienes entusiasmados para verificar el mejor vosamente fue herido. La facción dispersa totalmente se retiró hacia Oquendo. servicio dc-nuesiTa Reina Doña Isabel ii, y después de haber dado los vivas Queda en dos pelotones como de 12ü hombres el uno y 300 el ctro,del5(&gt;0 correspondientes, se dirigió el oficial comandante de la partida del 6.° de lige que seria el total. Y aunque todavía no he recibido el parte directo de Iriarte, ros por el centro, tomando…</t>
  </si>
  <si>
    <t>…. ..... i tío 86. - ^^PVW’fOÍ. - . :í.;;,.= Para Canarias............ 38o lyo yi. Para Indias................ 4oó auo IOO. - 'vi y ■ , ■ , ..wJ(]...: . ■ ■ ; MADRID. ARTICULO DE OFICIO. i PARTE ÑO OFICIAL. La Reina nüeslra Señora Doña Isabel ti, y S. M. la Reina HOTICÍASEXTRANGERAS. Gobernadora , siguen en Carabanchel sin novedad en su ira- ------ ~ ------- poPtánte sálud. tuzquia. Constantinopla 6 de Mayo, Dól mismo beneficio disfrutan SS. AA. RR. los Sermos. Se Se han celebrado con toda pompa las bodas de Halil-bajá con la hija del ñ…</t>
  </si>
  <si>
    <t>…a guerra la ~"iar tos ojos para no ver traestn~situaciórf, "és necesario confesar que nos hallamos independencia, y es una de las razones porque he pedido la palabra sobre este en una crisis. El Gobierno de nuestra legítima Reina Doña Isabel ii es un asunto. Gobierno, como se ha dicho mas de una vez en este lugar , que se ha puesto «Puede que se venga por último á decir que el Gobierno va empleando al frente de las reformas de la Nación, y que se ha identificado con las liber á los individuos de que se trata; pero no basta esta razón.…</t>
  </si>
  <si>
    <t>…cuyo peculiar cncar- de) Gobierno nuestra amable Reiva Gobernadora, y cuando se juró por Prin go'seá el dt Sostener y defender i todo trance for ínteres propio el trono le cesa de Asturias á su excelsa Hija nuestra augusta Reina Doña Isabel h. gítimo, las leyes fundamentales de la monarquía y el órden interior, sin el Más claro !desde que apareció, como ePastro de vida, de vida y de consuelo, cujíl ttp bay ni {fitede haber prosperidad, es una de las mas importantes áttibu- precursor del reinado de tas'leyes y de la libertad. Y1 cuando…</t>
  </si>
  <si>
    <t>…s encontradas uoo.y otro parecer. No voy á entrar en este exámen; pero no hacia esta diferencia entre la asignación de la Reina Gobernadora 7 la de puedo menos de ínanifestar que lo que dijo ayer el Sr. Secretario del Despa S. M. Doña Isabel ii. Me permitirá S. S- que le diga que esto es fácil d* con cho de Hacienda es exacto. No es fácil entrar en estc-paralelo; porque según cebir. Porque eo la mera expresión de decirse la Reina Gobernadora, es de se míre bajo diferentes aspectos, podrá dar diversos resultados. Si en la época cir, no…</t>
  </si>
  <si>
    <t>…ificios, con los desastres y desgracias que no representan indudablemente en el día una -mitad. ha experimentado la Nación en 20 años después; -y en fin, comparar una guer » Lo que por el dictamen de La comisión se asigna á 5. M. Doña Isabel u ra exterior con la guerra civil que actualmente.nos devora,'nó lo comprérfdó. son 30-millones., á los que añadiendo los 12 que se señalan á S. M. la Reina Yo pregunto á los Sres. Procuradores,-puesto que son propietatios, si uná.'fic- - Gobernadora hacen 42, f dos que indicó antes de ayer el Sr.…</t>
  </si>
  <si>
    <t>…nsa- ^^BjKJÍníS., tutora de su Hija, tiene'frutós por alimentos,"y dé consiguiente ' nifestar que hemos tenido que cargar cón ia faUl 'herencia de este empréstito. ^tódaslásícántidades que se asignen y todas las rentas que-tenga Doña Isabel n, i Y cuántos y cuantoslcgados de &amp;me¿antectase tendrá esta Señora? ¿Ypodra £cajaotitt las debe percibir j administrar la Reina Gobernadora' y disponer decir: «criados de raf padre¿ andad-cott&amp;Dios, áotrptqucós mantenga**; y ha de' eli^i para la manntencion de cu.Hija y la suya: mi voto ea 32 mill…</t>
  </si>
  <si>
    <t>…s Córte* fueron tan gen'e-i nor afectación qne no comprendo en qué se funda la separación que hoy se.haliosa» entonces^ y'aJnari soló se presentan teorías, porque si hubiese pruebas, yo - ce de los dos cstablecimiéntos de SS. MM. Doña Isabel u , y. su augusta Ma- - seria ei primero á.desaprobar Ja cantidad propuesta por la comisión. Suponga- dre la Reina Gobernadora. Entendería .sí, qúe se propusiese continuar jta . mos que D. Fernando vil hubiera otorgado una escritura de 18 millones anua- asignación decretada al Rey difunto por las C…</t>
  </si>
  <si>
    <t>…se hallan en el grado de civilización cisado á no conformarme de manera ninguna con el dictamen de la comisión, en que está España a favor dq ia monarquía-; todaaias- razones que prueban U respecto á lá que propone para la Reina Doña Isabel ii. Considerando á esta conveniencia para afianzar el público sosiego de adoptar la -monarquía heredi Señora tan intimamente, unida con su augusta Madre: al considerar también el taria, imponen el deber de dar al trono un gran prestigio, decoro y aparato. Cuidado y ternura material que distingue i…</t>
  </si>
  <si>
    <t>…vento de S. Francisco, extramuros de la ciudad de Orduña, los RR. PP. Fr. Juan Se S. M. la Reina Gobernadora, á nombre de su augusta Hija bastian Garibi, guardián, definidor honorario, y Fr. Juan de Zorrer la Reina nuestra Señora Doña Isabel ii, se ha servido nombrar ía, lector de teología, y los PP. Fr. Antonio Victor de Gartes- comandante general de la provincia de la Mancha al brigadier quiz, lector de artes; Fr. Gerónimo de Berzazabal, lector de mo D. Juan Antonio Barutell, que lo era de la de Jaén. ral; Fr. Francisco de Eguiguiza,…</t>
  </si>
  <si>
    <t>…entes. tomándose todas aquellas medidas convenientes á la defensa, pues f I to que todos se hallaban animados del mejor espíritu en obsequio En la frontera de Portugal, por la parte de Galicia, se habité de nuestra inbeente Reina Doña Isabel ii , sin que ninguno ti retiñido cómo 300 facciosos capitaneados por los emigrados Delga tubease por causa del reducido armamento, su mala calidad, tanto do y Valdés, que recorrían aquel territorio. en las armas de fuego, cuanto en las blancas, y me fui replegando El capitán general de dicho reino…</t>
  </si>
  <si>
    <t>…............. uo Para el fírin&gt;&gt;................. rio jKo 80. de Correos. Para Canarias................ níy Para indias................ 40o 200 loo. GACETA DE MADRID ARTICULO’ DE OFICIO. PARTE A’O OFICIAL. L4 Reina nuestra Señora Doña Isabel ii, y S. M. la Reina NOTICIAS F X T R A N G F R A S. Gobernadora, siguen en el Real sitio de Aranjuez sin novedad en su importante salud. IWGLATERRA. Del mismo beneficio disfrutan SS. AA. RR. los Serraos. Se Londres 3 de Mayo. ñores Infantes. Fondos públicos. Tres por 100 consolidados 92. El l.° de…</t>
  </si>
  <si>
    <t>…'' de CeftfeoL V ‘ ■■ ■' ' ■&gt; ‘ , •’ Para Canai las............... 38o syo 9* ,.,r Para ludia?.................... 4°° * 200 ÍOO. DE M ADRIDá ARTICELO DE OFICIO. PARTE NO OFICIAL. NOTICIAS EXTR AN GF.R AS- LaRaíNA. nuestra Señora Doña Isabel ii, y S. M. la Reisa Gobernadora, siguen en Carabanchel. sin novedad en su im portante salud. (Continuación del correo anterior.) ISLAS JÓNICAS. Del mismo beneficio disfrutan SS. AA. RR. los Sor-moa. Se Corfú 2 de Abril. ñores Infantes. Por orden del ministro, fecha en los primeros dias de este mes…</t>
  </si>
  <si>
    <t>…terio de lo Interior. incurrieron en ciertos delitos leves en sí de contrabando, defrauda ción ó sus incidencias; se ha dignado resolver, en nombre de su au Exento. Sr.: S. M. la Reína nuestra Señora y su augusta Madre gusta nija Doña Isabel ii, lo siguiente: la Reina Gobernadora, continúan sin la menor novedad en su im Artículo 1? Los subdelegados de rentas, tan luego como reciban portante salud. esta Real determinación, acompañados de sus asesores, practica- De igual beneficio disfrutan SS. AA. la Sra. Infanta Doña María rán una visi…</t>
  </si>
  <si>
    <t>…é lo que le falta para que se desen Guardia con el mayor júbilo y regocijo. Estos habitantes han manifestado su vuélvan en ella estos ramos , lo que hasta que no se verifique, no me será posi entusiasmo á la Reina nuestra Señora, Doña Isabel ii , con repique general ble presentar i V. E. mayores adelantos. de campanas, y tres descargas de fusilería, que hizo con arreglo á ordenanza la Ayuntamientos. Sigue extendiéndose el beneficio de la vacuna en toda la Milicia urbana, interrumpidas con numerosos vivas á nuestra amada Reina y provinc…</t>
  </si>
  <si>
    <t>…rques de S. M. va á Koenigsberg en el barco de vapor ruso Le hora, con el objeto de Santa Cruz, he tenido á bien elegirle, en nombre de mi augusta asistir á la revista que ha de verificarse en las cercanías de aquella ciudad Bija Doña Isabel ti, para que ejerza la dignidad de Vicepresidente Idem 24- deÍEstamento de Proceres durante la reunión actual deias Cortés generales. Tendréislo entendido, y dispondréis lo necesario á su Los oficiales y soldados de la guardia que S. M. envía á S. Petersborgo CumpUmiento.=:Está rtíbricado de la Rea…</t>
  </si>
  <si>
    <t>…}io el Sr. Mrnistro.habia que rectificar en varias partes de tamento con el dietámen de la mayoría de la comisión , pedimos se señale á la ley, y que én'cuanto 4 la segunda, nó se decía en el artículo subdelegados, S. M/ la Reiva Doña Isabel u 28 millones de re. para su dotación en el sino delegados, el .$r. Secretario del Despachó de Hacienda dijó que era. Jo próximo afió de ]835.” La suscribían lps Sres. Ulloa y Montes dé Oca. . mismóV.y .que no habiendo estado en la discusión, nó habia. podido hacedla El Sr. Presidente advirtió que…</t>
  </si>
  <si>
    <t>…9. Sábado 18 de Enero de I83¿. GACETA DE MADRID. ARTICULO DE OFICIO. se anunciase en el Diario extraordinario de 23 del corriente en la forma que V. E. v'eri por el ejemplar que respetuosamente acompaño. La Reiva. nuestra Señora Doña Isabel ii, y S. M.la Reina Gobernadora, Como el capitán de! citado bergantín A ama que condujo tan fatal nr-’-;- [ siguen sin novedad en su importante salud. cia, la diese también de que el bergantín de guerra Cru.id&gt;i:'?re salió dei pire"'* Del mismo beneficio disfrutan SS. A A. RR. los Sermos. Sres. Inf…</t>
  </si>
  <si>
    <t>…Otras dos mudanzas muy im ficio de sus habitantes, decididos á sostener á todo trance el augusto trono de portantes acaban de hacerse en el sistema judicial, pero con aquella quietud ca vuestra amada Hija y nuestra legítima Rkina Doña Isabel ií. Podrán los mal racterística del gobierno de Prusia que di&lt;;ta las reformas sin ruido. Estas son vados poner en obra sus pérfidos planes, desplegar su impotente rabia contra el haber mandado que los procesos y debates sean públicos en lugar del secreto sus sagrados é invulnerables derechos, y no…</t>
  </si>
  <si>
    <t>…epitan excesos de igual naturaleza, y si por Oída la exposición precedente, la resolución de S. M. á nombre de su au desgracia sucediesen, propondrá á S. M., si se digna oiría, otras medidas aun gusta Hija la Ruina nuestra Señora Doña Isabel ir, fue la que sigue: »»S. M. mas fuertes que puedan atajar tamaños males. V. M. sin embargo se servirá re ha accedido á los deseos del Consejo de Gobierno y del de Ministres; mandan solver lo que fuere naas de su Real agrado. Madrid 15 de Febrero de 1834*M do que salgan los reos inmediatamente par…</t>
  </si>
  <si>
    <t>…l 6 de Enero último, del cual damos aquí un extracto: Alfaro, rodeada de ía facción navarra, tuvo el honor de proclamar por su «Por una carta recibida de James R. Leib, cónsul de los Estados-Unidos en Reina á vuestra augusta Hija Doña Isabel u el 3 1 de Diciembre, y aunque Tánger, he sabido que aquel agente de nuestra república se ha visto obligado á los rebeldes se acercaron á ver los fuegos artificiales y á oír las descargas de los aceptar del Emperador de Marruecos el regalo de un león y dos caballos, que leales, no osaron turbar ia…</t>
  </si>
  <si>
    <t>…ia cabeza el escuadrón de cazadores de zándolo con sus presencias; -y á lo que estamos obligados;-pidiendo También j | la Guardia Real, con orden de que se adelantase y los cargase si daba la casua- por la salud de nuestra Reina Doña Isabel ii y su augusta Madre la Reina i I Edad de poderlos.alcanzar donde pudiese ofenderlos. Efectivamente, los «nemi- Gobernadora, de ^uyas bondades ha disfrutado este vecindario , proveyendo en I habían ya puesto en marcha; pero quizás no sospechando que pudiése- su benéfico decreto de socorro á los in…</t>
  </si>
  <si>
    <t>…]de i8oi,I parte al ministerio de Fomento de haberse verificado en aquella ciudad el dia 3 precedida de los principios elementales de la botánica. Un tomo eo 4.0 en dps vuld-l del actual la proclamación de la Reiva nuestra Señora Doña Isabel ir con la menes, edición de I827, á 30 rs. en rústica y 28 en rama. Se hallan en el despacho! mayor solemnidad, habiéndose esmerado á porfia el ayuntamiento, la guarni de la imprenta Real. ción y todos los habitantes en demostrar su júbilo, y la parte que tomaban en tan plausible ceremonia. Diccion…</t>
  </si>
  <si>
    <t>…eña columna, que a porfia d^n. voL y firme*: 47$ , i, 47 y I, id. . . . id. ... Id. sin cupón: 48 * $0 d. f. 6 vol. sin muestras de la decidida lealtad y amor que profesan á su legítima Rüina y Se cupón i prima de ¿ por loo. ñora Doña Isabel n. Vales 00 consolidados, |2, á varias fs., dvfcl. Deuda negociable del 5 p. 100 á papel, 00. ltksln interés, si al contado. Acclbner'del banco españolal eontado. Junta superior de Sanidad de Málaga.nrExcrno, Sr.: A la suprema junta do «a Mi ios. Sanidad del reino digo con esta fecha io que sigue:…</t>
  </si>
  <si>
    <t>….Viernes - 18 de Abril de 1834. DE MADRID. ARTICULO DlE OFICIO. cuestan á los pueblos cuando las alcanzan por el camino azaroso de las revoluciones; se aleja el peligro de que estas se renueven , y- se , 1.a Reina nuestra Sefiora Doña Isabel h , y S. M. la Reina dan al Gobierno y á los súbditos prendas y garantías para lo por Gobernadora, siguen en el Real sitio de Aran juez sin novedad en venir. su importante salud. Concesiones que emanan del trono, y que llevan el sello de su elevado origen; instituciones eminentemente monárquicas, y…</t>
  </si>
  <si>
    <t>…jo de Gobierno servicios de V.E., y mandando se le den gracias en su Real nom y del de Ministros, he tenido i bien decretar en nombre de mi bre pof el generoso desprendimiento que manifiesta , el cual es su augusta Hija la .Reina Doña Isabel ii., la siguiente Real voluntad se publique en la Gaceta. De órden de S. -hfc-lo comunico á V. E. para su 'satisfacción y efectos correspondientes. Ordenanza general de ¡os presidios del reino. Dios guarde á V. E. muchos años. Madrid 14 de Abril de I83|. (Sigue el texto de la Ordenanza , que se est…</t>
  </si>
  <si>
    <t>…dias............ .... 4oo 100 too. GACETA DE MADRID. ARTICULO DE OFICIO. Hevia Noriega, presidente del tribunal supremo de España é Indias; marques de S. Felices; conde de Pinofiel, presidente del tribunal La Reixa nuestra Señora Doña Isabel ii, y S. M. la Reuta supremo de Hacienda; conde de Sta. Ana; D. Cayetano Valdés, te Gobernadora , siguen en Carabanohel sin novedad én su im niente general de laReal armada, y capitán general del departamen to de Cídiz; marques del Cerro de la Cabeza; D. Manuel de la Boporta nlé salud. dega, decano…</t>
  </si>
  <si>
    <t>…i S. M. el ^ del corriente los sellos de sus respectivos departamentos, y sus sucesores prestar - Mientras que como Gobernadora del Reino durante la menor el juramento acostumbrado. (JeL) ' , «dad de mi miiy querida Hija la Reina Doña Isabel ii dirijo mi Ítartieukros pueblosatenciónse me proponen;hacia las debosaludablestambiénreformasfijar miquematernalen beneficiosolicide GreyCámarase dirigede lotlordLores.LondonderrySesion délaldíamarques4 dt Junio.de Lansdowne,En ausenciaque vedeldelanteconde tud sobre el estado dél Patrimonio de m…</t>
  </si>
  <si>
    <t>…lebrar cabildo ordinario; y leída y aprobada la acta anterior se tra La Jiel ciudad de Santiago proclama y jura, por su Reí ha y Soberana día tó y acordó lo siguiente: Se leyó un oficio del Sr, alférez Real dirigido á esta Señora Doña Isabel sr pe Borbon (Q. D. G.) á que se responderá con la corporación, con fecha 25 de este mes, por el cual manifiesta que deseando palabra de viva\ y haciendo las demostraciones de placer y aplauso, tremola con el mayor esmero y entusiasmo realizar la función de la jura de nuestra So rá el Real pendón.…</t>
  </si>
  <si>
    <t>…as y muebles, ^Uarmcion deZugarraqiurdi. - - f 3 sus casas del incendio, y.pusieron de manifiesto que el valor de quienes se ba r . EojSWJtrto al Pretendiente , £ qpien RodS ha perseguido durante 4B bo-* ten por la justa causa de Doña. Isabel ii es muy superior al de aquellos que -^&gt;J^ W-ba.esUdo i pique, de.cogerlo en Donamaría, en.donde D. Carlos se en la lid no llevan otro objeto ni m.ra que el saqueo y ia devastación , y que, había retirado con solos 700 hombres, se halla tan fatigado de resultas de sus el délos primeros prevalece s…</t>
  </si>
  <si>
    <t>…ación de esta ley. El Secretario de Estado y del Despacho universal de Hacienda tomará las medidas correspondientes para que se verifique dicha conversión en las pla zas de Londres, Taris, Amsterdain y Aciberes. Tasado el término Doña Isabel ii, por la gracia de Dios, Reina de Castilla, de arriba fija ¡lo, todas las antiguas obligaciones y títulos que no se hu - Lepn, de Aragón, de las Dos Sicüias, de Jertisalen, de .Navarra, biesen presentado, perderán por lo mismo ios intereses á que tenían dfc Qratiadá, de Toledo, de Valencia, de Ga…</t>
  </si>
  <si>
    <t>…eniente. Si hubiesen seguido esc misniocamino, bernador^-, como tendrá que subsistir sucesivamente, hasta que llegado el tiem ¿ quién hubiera sido el que no hubiese convenido con uña suma redonda, sin po de la mayoría de la Reina Doña Isabel, y tomadas por $. M. las riendas ninguna especie de discusión 2 Yo creo que todos lo hubiesen votado sin titu del Gobierno, haya que variar cualquiera de ambas asignaciones, si asi se cre bear. yese oportuno entonces. *&gt; Asimismo creo que el Gobierno para evitar estas discusiones desagrada »Por tan…</t>
  </si>
  <si>
    <t>…decisión del1 Estamento, se me permitirá citar el voto dedor de ellos compuesta de la grandeza de España , cuyos individuos tos -ftitfs del Sr. Simponts, el primitivo, y diré que si se hubiera aprobado 24. millones para la Reina Doña Isabel ir, y 12 para su augusta Madre, eran 36, si no nve Cobran Sueldo; y4i tos cobran tienen suficiente patriotismo para desprenderse equ voco. Añadidos á estos, 6 , que según los cálculos mas fundados debe pro ‘de él cuando la patria lo exija. ducir el patrimonio, son 42; luego aun eran 2 millones mas,…</t>
  </si>
  <si>
    <t>Núm. 58.¡ Sábado 19 de Abril de 1834. DE MADRID. tras de adhesión y lealtad de sus individuos aí legítimo trono de ARTICULO DE OFICIO. mi muy amada Hija la Reina Doña Isabel ii, he venido en con La Reína nuestra Señora Doña Isaíbí. if, y S. M. la Reina cederla la honra de que sea la Reina la que ejerza las funciones Gobernadora, siguen en el Real sitio de Aranjuez sin novedad en &lt;fe hermano mayor, para que reciba tan ilustre cuerpo con esta su importante salud. gracia…</t>
  </si>
  <si>
    <t>…e Abril. acudiesen á reprimir la conspiración de Catilina. Sacrificar por un El 2 del comente se ha celebrado en esta villa la proclama momento algunos bienes para aumentar y asegurar para siempre 1» ción de nuestra augusta Reina Doña Isabel ii, no solo con el suma del caudal, es buena especulación. apatato debido á tan tierna ceremonia, sino también con la unión' 2. a El estamento de los Próceros sirve de cuerpo intermedio «je sentimientos y voluntades por parte de la autoridad civil y ecle entre las pasiones y doctrinas populares y e…</t>
  </si>
  <si>
    <t>…a di fantería. La excesiva ventaja que me llevaban los que componían visión» si rto entomiase su-entusiasmo y decisión por la sagrada cau el expresado grupo me privó de darles alcance, y á poco tiempo sa de nuestra Reina y Señora Doña Isabel ii y los deseos en que ios vi entrar en la ciudad por el camino que sube al castillo. arden por destruir desuda véz la infame facción ane fomenta este Como que esta entrada precipitada daba márgen á creer que la reino, y es el foco de nuestra guerra civil: pero faltaría á mi de ciudad estuviese ocu…</t>
  </si>
  <si>
    <t>…India*............. .... 4°o 300 loo. GACETA DE MADRID. ARTICULO DE OFICIO. se determine en el expediente sobre la ordenanza general de Sani dad, cuya resolución, como ha hecho presente la misma dirección, La Reina nuestra Señora Doña Isabel rr, y S. M. la Reina es urgente, se reduzca á i por 100 lo que se cobra en Cádiz por Gobernadora, siguen en el Real sitio de(Aranjuez sin novedad sanidad, exigiéndose Solamente en el comercio de importación en en su importante salud. ' todas las aduanas habilitadas del reino sobre la totalidad de l…</t>
  </si>
  <si>
    <t>…udante interino del mismo cuerpo D. Sebastian ‘ El dia 27 de Abril último celebró la ciudad de Ayamonte la proclama Arias, quien voluntariamente marchó con las guerrillas, y fue el primero que ción de nuestra amada Rbina y Señora Doña Isabel ii con toda la solemni por el frente que atacaba , y acompañado del sargento 2.° de cazadores Antonio dad y aparato.que se debían esperar de un vecindario tan fiel y amante de sus Lozano ,cazadores Diego Franco y Félix Díaz , cabo l.° dé la tercera José Mu- Soberanos. Muchas familias del fronterizo…</t>
  </si>
  <si>
    <t>…............ ...... 4eh» aoo loo. GACETA DE MADRID. ARTICULO DE OFICIO. dan cazar, y de ninguna manera los colonos sin autorización del propietario por escrito, según previene el artículo 21, se hu servido La Reina nuestra Señora Doña Isabel ii, y S. M. la Reina resolver S. M. que se lleve á debido efecto lo dispuesto j&gt;or el cita Gobernadora, siguen en Carabanchel sin novedad en su im do Real decreto, sin permitir su trasgresion en dicho Real here portante salud. ' damiento, ni otro alguno de los del patrimonio de S. M. ó sus ter reno…</t>
  </si>
  <si>
    <t>…enueve la memoriüHtíin hecho estas, y ayudarse todos prodigándose mutuamente socorros y consue esclarecido; he venido en concederle ,en nombre de mi aógtista Hija los. LaAutOridad suprema espera que tales escenas no volverán a re Doña Isabel ii, la grandeza personal con el título de duque -ta petirse: ha tomado ya las medidas para evitarlas, y contando con los ragoza. Tendreislo entendido, y dispondréis lo neeesano a su cum deberes é intereses comunes que ligan á todos los leales amantes de plimiento. = Está rubricado de la Real mano d…</t>
  </si>
  <si>
    <t>…Soberana. Asi ha sucedido, que sala capitular el concejo, justicia y regimiento , con el objeto de proclamar en medio de Jas confuí itír^cs cq qúe se hallaba esta corporación (que do repetí- por Reina y Soberana de las Españas á Doña Isabel ii ob Borbon : por dis jatos por ser constante de ¡as actas), apenas puso los pies en esta ciudad cuando posición del Sr. alcalde de primer voto D. Francisco Borrólo, su presidente, todo quedó allanado.á satisfacción del público. A él se le mandó buscar para pasó la comisión de ayuntamiento,asistid…</t>
  </si>
  <si>
    <t>…G ), y tremolando por Ues reces et Real pendón sobre el pueblo; en señal de que quedaba obediente i S. M., el señor El alcalde mayor de la villa de Carballo, por sí, y 4 nombre de las 81 presidente rompió el silencio con riras 4 Doña Isabel ii y i la Reina Ma parroquias de su jurisdicción, felicita 4 S. M. por la instalación de Is Córte» dre Doña C&amp;rsrtHA de Borbon , Gobernadora del reino por la menor edatj. generales del reino, al mismo tiempo que manifiesta lo* sentimientos de su de aquella , 4 que correspondieron todos los señores…</t>
  </si>
  <si>
    <t>…s interesados en las ventajas que resultaná su conservación v seguridad Comodidades que,ofrece; he tenido.á bien decretar, en nombre de mi del alumbrado y serenos: 41 Hechas las regulaciones y cálculo., indi ajenad^ IJíja laREiHA Doña Isabel ij, lo siguiente: cados se sumará la masa de capitales de las casas y edificios particu .Artículo 1? En todas jas capitales de, provincia donde no se ha lares y públicos del pueblo, y se prorateará entre ellos el coste de lle ya organizado el servicio de los serenos-y; alumbrado nocturno; SU alumbr…</t>
  </si>
  <si>
    <t>…labras de Platón, el cual dice: »Quc los pueblos serán felices Cuando ésten gobernados por filósofos, ó sean filósofos los que reinan.” S. A. se de S. M. la llirxA Gobernadora, en nombre de su augusta Hija la Rkixa nuestra Señora Doña Isabel ir, de 16 de Setiembre de-1834 dignóder á laresponderinstrucciónque pública?miraba /comoá los unalumnosdeber desagradoaquel yestablecimiento.precioso para ¿1 aten en conformidad del articulo 4í¡ del mismo. ‘ . S. A. llegó á la iglesia catedral en medio de no interrumpidos vivas y seDebe ser el obje…</t>
  </si>
  <si>
    <t>…ades ,particulares. Jía bastado solo en algunos que una familia, se . tomó en consideraron: »Los.notoriamente desafectos á la RJbina. nuestra Se decidiese por un sistema á¡ idea, para que las, demás adoptasen sin exámen la ñora, -Doña Isabel it, mientras dure .el estado actual de guerra, civil.” contraria. Por esto, y porque estoy—penetrado de que puede sej para los pue 'También se leyó la siguiente de los Sres. conde de las Navas, Istúriz, blos cortos un origen de disgustos y. disturbios, es por lo que no. adopto la adi .Abargues, Cue…</t>
  </si>
  <si>
    <t>SUPLEMENTO GACETA BE MADRID DEL VIERNES 19 DE DICIEMBRE DE 1834 CORTES. «Respecto al presupuesto, si tomé la palabra en contra del de la Ri-rvA Doña Isabel ii, y ahora la he tomado en favor del de la Reiva Gobernado ESTAMENTO DB SEÍJOXRS PROCURADORES. ra, es necesario que se tenga presente que aquel se ha de variar, y este no. La España es pobre, proposición verdadera: la España será rica, muy rica, pro Sesión del dia 18 de Diciembre. posición también…</t>
  </si>
  <si>
    <t>…34. GACETA DE MADRID. m ARTICULO DE OFICIO. en que no están comprendidos los sueldos, pues estos y las demas obligaciones de justicia se satisfarán por la misma dependencia cuando sean satisfechas las de j La Reina nuestra Señora Doña Isabel u , y S. M. la Reina Gobernadora, igual naturaleza que están comprendidas en los presupuestos. De Real orden Jo siguen sin novedad en $u importante salud. comunico á V. E. para que se sirva dar las convenientes á su cumplimiento, f Del mismo beneficio disfrutan SS. AA. RR- los Sermos. Sres. Infante…</t>
  </si>
  <si>
    <t>…rvicios distinguidos, su inldrigable zeio y leal comportamiento en los] plaza de Sta. Cruz de Santiago de Tenerife por nuestra legítima Ruina la Se caraos que deja. Asimismo ha nombrado S. M. comandante general de artille— | ñora Doña Isabel 11 , ha sido un suceso altamente grandioso para estos icales ría del mencionado ejercito al mariscal de campo D. Joaquín de Chuna, que al habitantes, que recordaban con este motivo las excelsaT virtudes de-Isabel la las órdenes.del general en gefe cuidará especialmente de las provincias rascón-j Ca…</t>
  </si>
  <si>
    <t>…de 183/. GACETA DE MADRID ARTICULO DE OFICIO. rechos de entrada 30 rs. en bandera extrangera y 20 rs. en española. 2.a Que I las mismas duelas paguen por derechos de puertas el S por U'i.) del valor que I La Reina nuestra Señora Doña Isabel ii, y S. M. la Reina Gobernadora, estimen los vistas en el actc del despacho; y que no se consideren como pr" siguen en el Real sitio de Aranjuez sin novedad en su importante salud. meras materias para la rebaja de la tercera parte concedida á estas. 3.a Que las I Del mismo beneficio disfrutan SS.…</t>
  </si>
  <si>
    <t>…el puebla francés, lo mismo que los restantes de Eu ni la tr.il.'ion ni oí extravio prevalecerán por largo tiempo'contra la lealtad y ropa , desea la quietud, y a pira á mejorar su condición para gozar un día de ti buen derecho. Doña Isabel íi de Castilla es ii' cabe con mayor título Reina sus felices resultados. Pasó, lu época de correr las naciones en masa á la conquis legítima de Navarra, donde siempre que un príncipe extranjero ha casado con ta de las otras, y de excitar turbulencias en su propia casa, y particularmente la-Reina p…</t>
  </si>
  <si>
    <t>…s reunidos en la capital de Austria han tomado en consideración ios El día 22 de Diciembre último se proclamó en-esta ciudad á la Reina intereses materiales de la Alemania, y reconocido la utilidad de establecer un nuestra Señora Doña Isabel ii con la suntuosidad conveniente á tan augusta sistema general de comercio acomodado á las necesidades recíprocas de los Es ceremonia. Una numerosa comitiva compuesta de las autoridades civiles y mi tados que ia componen. El diputado de Hannóver M. d’Ompteda fue el pri litares, cuerpo de la noblez…</t>
  </si>
  <si>
    <t>…m. 59, Domingo 20 de Abril de I83¿. GACETA DE MADRID. ARTICULO DE OFICIO. por lo cual es muy extraño que las Potencias que dejaron sin haCer reclamación alguna que se firmase el importante tratado de 1829, La Reina nuestra Señora Doña Isabel ii , y S. M. la Reina se opongan ahora á este que no es mas que una consecuencia de Gobernadora, siguen en el Real sitio de Aran juez sin novedad en aquel. (G. de Augsburgo.) su importante salud. FRANCIA. Del mismo beneficio disfrutan SS. AA. RR. los Sermos. Se Tolon 30 de Marzo. ñores Infantes. Ha…</t>
  </si>
  <si>
    <t>…os ha presentado otra objeción que se desvanece fácilmente. Se «Los leales, los decididos por la justa causa de nuestra angelical ha dicho que el código penal no hablaba mas que de las reuniones Soberana la Reina, nuestra Señora Doña Isabel ii , y los que so periódicas. Esto es cierto; y bastaba que la reunión no fuese perió distingan por sus servicios, encontrarán en mí un admirador de dica, que el director de ella citase á ios asociados cuando lo tuvie sus virtudes y de su lealtad: yo1 las haré conocer de nuestra augus se por conven…</t>
  </si>
  <si>
    <t>…Mu 1 un Para luJm................... &gt;u«» &lt;twt&gt; GACETA DE MADRID. ARTICELO DE OFICIO. Exposiciones á S. Al. la Resma Gobernadora. Señora : Al dirigir a V. M. la adjunta exposición de la Milicia uifeape íJ* La Reina nuestra Señora Doña Isabel ir, y S. M. la Reina ejta ciudad, ei ayuntamiento que mira con orgul.o, y recibe como suyas pro--, Gobernadora, siguen en él Real sitio &lt;le. Aranjuez sin novedad pías las glorias y honras di sus hijos , no puede meros de unirse á ehos en hi^ expresión viva del reconocimiento que elevan á V. M. por…</t>
  </si>
  <si>
    <t>…o 190 Para india*....... ..... 4oo 300 IOO. ■i GACETA DE MADRID. ARTICULO DE OFICIO. como inspectores las recorrerán constantemente, el uno del centro hacia la derecha, y el otro del centro á la izquierda. La Reina nuestra Señora Doña Isabel ii, y S. M. la Reina 12. El servicio de estos cordones sanitarios se hará con la mas se Gobernadora, siguen en Carabanchel sin novedad en su im vera puntualidad y vigilancia, y en los puntos importantes habrá patrullas que saldrán de unos pueblos á otros recorriendo la línea portante salud. hasta e…</t>
  </si>
  <si>
    <t>…sin contar con la de registros: teniendo ademas rian la sociedad misma si no se reprimiesen con firmeza y sin la me dos archivos separados con las oficinas correspondier.tes para los pa nor dilación: en nombre-de mi excelsa Bija Doña Isabel n, oido el peles de ambos hemisferios. División esta sumamente viciosa; porConsejo-de Gobierno y el.de Minístros, He Venido en decretar lo ue no teniendo las mesas unión ni enlace entre sí, no podían las siguiente: ' cris iones estar fundadas en te uniformidad de máximas y práctica Art. ÍB Toda reu…</t>
  </si>
  <si>
    <t>…el Milla á exponer la sen cimiento de V. S. para su satisfacción y la de todos los españoles que defienden cillez de las reglas en que se fundí la análisis algebraica para el despejo de las la juita causa de nuestra adorada Reina Doña Isabel ii.” incógnitas y tra-&gt;foimaciones de que son susceptibles las ecuaciones en general, Todo lo que elevo &amp; conocimiento de V. E. para su noticia , y á fin de aplicando su teoría á las de primero,segundo y aun de tercer grado, por cuyo que se digne hacerlo á la soberana consideración de S. M. la Rkxx…</t>
  </si>
  <si>
    <t>…e le tiene, respectivos pudieran ponerse de acuerdo. EL Estamento quedó enterado. &gt;. y a costa de su sangre esta sosteniendo el Trono de nuestra legítima Rkixa Se mandaron pasar á la comisión de Poderes los documentos justificati Doña Isabel 11; este aumento, que se figura en el estado ser de ocho millo vos de la aptitud legal de D. Agustín Aivarez de Sototpayor » electo Procu nes de reales, no es mas que de 5.5oo3 rs.; y de consiguiente , reunido este aumea* rador por la provincia de Cóidoba. to á los 24 millones que habia antes, son…</t>
  </si>
  <si>
    <t>…2 criben las leyes, y lo_que exige imperiosamente la conveniencia pública; y Tortosa............. .. X i 7 ídem......... 21 5 2 dando una muestra irrefragable de mi sincera adhesión á V. M. y á su aueusta Hija la Reina mi Señora Doña Isabel n. Dado este primer paso, seguiré ' PROVINCIA DE VALENCIA. fiel y constantemente el mismo camino, y no serán parte pira desviarme de él ni el aliciente de promesas y premios, ni el temor de amenazas y castigos. Per En los dias 12, 13 y 14 del corriente fallecieron en la capital 20 perso maneceré in…</t>
  </si>
  <si>
    <t>…ada presó «rña véz al dia; los inspectores dos veces en Ja semana; y elcapella'n Para solemnizar los días de nuestra augusta y amada Reina la inocente ho traía de otra1 cósa qué de la reformamoral dp los-que tiene á su cargo. Los Doña Isabel u ha dispuesto el Excmo. Sr. comisario general de Cruzada apli presos tienen libros que les sirven eñ cierto modo dj».compañía, y muchos de car todos los productos &lt;fel indulto que resultan de los estados remitidos hasta vitos’ ciícúéntórn un consuelo indecible cu la lectura que. se les permite por…</t>
  </si>
  <si>
    <t>…acho de géneros en las aduanas, especialmente la experiencia ha justificado, y de infundir con su educación en su augusta Hija I en las fronteras y puertos; y que para ello se ocupen los empleados en horas la Reina nuestra Señora Doña Isabel ii los mismos principios, á fia de que I ordinarias y fcxtraordínSrias bajo la responsabilidad de los perjuicios que se sigan al ocupar su trono conduzca esta moharquía por la senda que el ejemplo de I al Comercio. V. M. le dejara trazada á la mas alta prosperidad, asegurándola el rango que I &amp;P Qu…</t>
  </si>
  <si>
    <t>…eblo, y seguido el Tomadas con anticipación en esta ciudad todas las medidas para levantar ayuntamiento de una comitiva numerosa, volvió a las casas consistoriales con pendones en nombre y por la ínclita Soberana de las Es pailas Doña Isabel ii, su digno presidente, habiendo en todo aquel dia celebrad i el grandioso acto de instruido el público por medio del anuncio que se imprimió y circuló, prevela proclamación con danzas, iluminación, fuego* artificiales, y con una mag .nido el pendón Real primorosamente bordado con las armas Reales…</t>
  </si>
  <si>
    <t>…r y denuedo, que dejaron 5 muertos en el campo , en-1 temores de la minoridad y tutoría en que por muchos años quedaba la excelsa tre ellos el teniente que fue del antiguo resguardo D. Martin Campuzano, co- | Reina nuestra Señora Doña Isabel ii. En efecto, todos los decretos, todos giéndoseles un prisionero, 17 caballos, 8 sables, 12 armas de fuego y otros va los pasos de Ja inmortal Cristina , ó son ó prometen seguros y opimos frutos rios efectos, sin que por nuestra parte haya habido la menor desgracia. á todos los españoles acogidos…</t>
  </si>
  <si>
    <t>Ntim. 60. Lunes 21 de Abril de I83¿. GACETA DE MADRID ARTICULO DE OFICIO. A nombre de mi augusta Hija la Reina Doña Isabel ti, he venido en nombrar secretario de la sección de Marina del consejo La Reina nuestra Señora Doña Isabel n, y S. M, la Reina Real, instituido por mi decreto de 2J de Marzo último,al capitán Gobernadora, siguen en el Real sitio de Aran juez sin novedad en de navio retirado de la Real armada D. Fr…</t>
  </si>
  <si>
    <t>…gefes que he nombrado al intento. maseda.— El ejército se ha llenado de ardor y entusiasmo: muchas veces vitoreó en la marcha del dia de la fecha á nuestra adorada Reina Ebora 4 de Abrilcr Mi mayor amigo: Bien pronto han y Señora Doña Isabel n, y continúa con excelente disciplina. desaparecido de mi entusiasmó los ardorosos deseos que me hicie Dios guarde á V. E. muchos años. Cuartel general de Guarda ron venir con tanto gusto á las órdenes de este General Moreno, 16 de Abril de 1834, a las doce de la noche.=Excmo. Sr.czjosé por que cr…</t>
  </si>
  <si>
    <t>…Para el Reino............. 3ao itío 8o. de Correos. Paja Canarias............... 38o 190 95. Para Indias................... 4qo aoo__ 100. GACETA DE MADRID. ARTICULO DE OFICIO. PRESTA. Berlín 25 de Abril. £a Reina nuestra Señora Doña Isabel it, y S. M. la Reina Cada vez se confirma mas y mas la noticia de la partida del Pn’ncKj* Real Gobernadora, siguen en el Real sitio de Aranjuez sin novedad y de su augusta esposa. SS. AA. emprenderán el viaje á fines del mes que en su importante salud. viene; y probablemente no pasara de tres meses…</t>
  </si>
  <si>
    <t>…día en día: 3.° el aumento acaecidp en la importación de cia dé las encargados de administrarla f lié venido en mandar, á nom materias primeras, ahorrando grandes capitales, produce ademas otras ven-tayas: bre de mi excelsa Hija Doña Isabel ii, que una qomision coqipuesta 4«° el shtema comercial no perjudica i -!a agricultura. El curso del cambio se de individuos del Consejo Real de España é Indias y de magistra ha aumentado en estos últimos 10 anos; el aumento de las rentas de aduáins dos de Jos tribunales supremos, redacte un proyec…</t>
  </si>
  <si>
    <t>…n sistema mas popular que el que había antes; y des venir á V. E. que el primer Secretario de Estado ha manifestado en el Consejo pués de muchos siglos que aquel país estaba gobernado por un régimen espe de Ministros que S. M. la Reina Isabel ir ha mandado se tomen las dispo cial , el objeto importante en semejantes países es el establecimiento de un sis siciones ordinarias para reconocer al Brasil como Estado independiente, y que tema progresivo, cuyo carácterjadquiere indefectiblemente uti gobierno popular el deseo de S. M. es que se…</t>
  </si>
  <si>
    <t>…s cartas de Bitoglia del 13 que un cuerpo de ejército turco los Reales ejércitos Duque de Bailen; he tenido á bien elegirle, en compuesto de tropas regulares, que serian unos 83 hombres, se ba reunido en nombre de mi,augusta Hija Doña Isabel ii, para que ejerza la dig aquella ciudad, y que se esperan todavía de Constantinopla algunos millares de nidad de Presidente del Estamento de Próceres, durante la reunión hombres. Es probable que apenas llegue á Bitoglia el gran visir, se pondrán in «lelas próximas Cortes geneiales. Tendréislo ent…</t>
  </si>
  <si>
    <t>…Cárlos en España y decre ción tiene que pagarlas si son legítimas y justas. ta ; y aun hay mas: D. Cárlos presume tener derechos á la Corona de nuestra «El Sr. marques de Falces dijo que en todo contrato había dos partes, y Rbiwa Doña Isabel ii , derechos que jamas tuvo la regencia de Urgel. ¡Go que era necesario un tercero que partiese la diferencia, y que aquí no lo ha bierno el que contrajo el empréstito de Guebhard! Pues señor, si se admito bía. Dos inexactitudes noto en el modo de discurrir del Sr. marques. La pri ese principio, e…</t>
  </si>
  <si>
    <t>…cuenta cuando se celebran los con dos , diré que esta representación nacional « continuación de las afilen ores. Si tratos de «ta especie. Solo debe servir para abrir los ojos, y para no con examinamos el trono de nuestra tierna Reina Isabel 11, hija , heredera y le sentir que se reproduzcan tales abusos. ¡Donosa legalidad 1 Decidir pu sí gítima sucesora dé Fernando vu, creo que ps continuación de los il años. y ante sí el mismo que se obligó á un pago, si ei contrato es ó no obli "Repito, Señores, que estas indicaciones las he necho ú…</t>
  </si>
  <si>
    <t>…onage consecuente, dotado de gran capacidad, pero que se enreda ¿ cada celebrados en el fausto y venturoso dia del cumpleaños de nuestra idolatrada paso en los laberintos de la necesidad política que ha aceptado; un hombre, Reina Doña Isabel 11, desean instruirse en el método y óeden que se sigua en fin, que como Mr. de(Villele entre nosotros, parece á veces estar en con para la construcción del mapa de España , empezarán las lecciones el martes tradicción consigo mismo, por la simple razón de que pesa sobre su voluntad 21 del corrient…</t>
  </si>
  <si>
    <t>…ra obtenerle: mien tiempo de la reacción, y volvió á España con carácter de partiemar, cabalmen tras no remita sus documentos y se aprueben no es Procurador: por tanto, en te cuando se amenazaba el trono de nuestra ¿nocente Ruina Doña Isabel ii, el dia podrá decirse que venga ó‘no el individuo de que se trata; pero que se le y cuando el general VaMés fue nombrado para mandar el ejercito del Norte. admita esta renuncia no puede resolverse. Ruego, pues, á los Sres. que han pe Separado Valdés de dicho mando, vino el coronel Seoane á la ca…</t>
  </si>
  <si>
    <t>…efectos á la causa d^ E-.paña. El. Ministerio actual, gobierno le imulte nt desprecie; asi como no mendiga el reconocimiento de comotan ilustrado y que señaladamente tiene hov en su seno al Señor Secre ninguna potencia; porque ia Reina Isabel ii tiene fundado su trono en tario del Despacho de Gracia y Justicia, i cuya •'•ptnion y juicio defiero en to las leyés y en la voluntad de la Nación. Asi como no meadiga el reconoci das materias, y principalmente en esta , no creerá que soy ligero en la cita, ni miento de ninguna Nación, bien sea…</t>
  </si>
  <si>
    <t>…repruebe y condene. Por desgracia vemos hov el de nues inmediatamente con «t carácter de comisario regio y corregidor de Bilbao á tota adiid' y D. Vicente Pereda» cétfor de la audiencia de Aragón, k la provincia tra aucusia Reina Doña Isabel n i i, Borbon descaradamente atacado, y al gunas de sus provincias padeciendo las necesarias resultas de es:» rebelión. Una! xfe^Vlava con el mismo carácter de comisario régro, y con el objeto de inquirir guerra sangrienta entre sus mismos hijos las devora v Lis hace sentir tenias sus' lo que juzgu…</t>
  </si>
  <si>
    <t>…pre todo fiel cristiano. ción pacífica es de lá primera importancia para este país, y para la tranquili | {Cómo pues nosotros callaremos; y contentos con haber reconocido por dad general de la Europa. I Reu«A dé 4s Españasá S. M. Doña Isabel ir, y. por Gobernadora del reino á «La"paz de Turquía no ha sido alterada desde* él tratado hecho cotí M|heI la Reina- sti augusta Madre, no procuraremos por cuantos medios nos sean;po met-Aií, y confío que no se verá ámcnaéada ert adelante por ningún peligro sibles el qué todos las reconozcan, las…</t>
  </si>
  <si>
    <t>…m. 3 6. Sábado 22 de Marzo de 1834. GACETA DE MADRID. ARTICULO DE OFICIO. t detenido18261á bien4, deresolverJulio deque1829lo pongay 3 deenAgostonoticia dede 1831V. E.; , y comoenteradolo ejecutoS. M. dehn ti Reina nuestra Señora Doña Isabel ir , y S. M. la Reina. Gobcmadora, Real orden, á fin de que se sírva disponer que por el ministerio de su c-ivo siguen en el Real sitio de Aranjucz sin novedad en su importante salud. se recuerde á las chanciller u» y audiencias e’. cumplimiento Rea les órdenes. Y habiendo manifestado dé nuevo la D…</t>
  </si>
  <si>
    <t>…CIÁS EXTRAKGKRA&amp; . 'Comandancia general de Canarias. =Excmo. Sr.: Si los sentimientos del Córazoa del hombre se manifiestan siempre en sus acciones, los dé afecto y AUSTRIA. lealtad de los canarios á la joven Reina nuestra Señora Doña Isabel 11 y á - / - Vitfta 26 Je Fe tejero*,4u augusta Madre son sin duda los mas. vivos y puros, atendido el entusiasmo con que se pronunciaron en esta provincia de mi mando en la solemnidad de S. M. el Emperador, qiie durante algún tiempo'había interrumpido,su¿ au su. proclamación. diencias particulares á ca…</t>
  </si>
  <si>
    <t>…recen de fuerza para aplicar las leyes en esta plaza, que la excelsa Rkina Gobernadora se sirvió conferirme en nom medio de las amenazas de los alborotadores, y por la misma razón el jurado bre de su augusta Hija v nuestra Señora Doña Isabel ir, creí propio de mi no puede pronunciar sus fallos según su leal entender y conciencia. El Rey se deber haceros una pública manifestación de mis principios, y excitaros á la-Ve insultado personalmente» quedando impunes sus detractores; y en fin los mi puntual observancia de vuestros deberes polít…</t>
  </si>
  <si>
    <t>Núm. 61.. Martes 22 de Abril de I83¿. GACETA DE MADRID ^ * ARTICULO DE OFICIO. Procedentes de la provincia de Huesca. Bujaraloz y el monasterio de nuestra Señora de Xa Reina nuestra Señora Doña Isabel ii , y S. M. la Reina Rueda................................................................. 441 1597 Gobernadora, siguen en el Real sitio de Aranjuez sin novedad en La Almolda.................................. ........................ 280 1443 su importante salud. Total........... .. 5609 23450 De…</t>
  </si>
  <si>
    <t>…*’ Para ludias............ 300 loo. GACETA DE MADRID. ARTICULO DE OFICIO. cios de D. Venceslao González del Camjto, dignidad de tesorero de i la catedral de Oviedo, y en nombre de su augusta Hija IV&gt;ña Isa La Reina nuestra Señora Doña Isabel ii, y S. M. la Reina bel ii, ha tenido á bien concederle la cruz de comendador de la Real Gobernadora, siguen en el Real sitio de Aranjuez siu novedad orden americana de Isabel la Católica. en su importante salud. Del mismo beneficio disfrutan SS. AA. RR. los Sermos. Se ñores Infantes. PARTE AO OFI…</t>
  </si>
  <si>
    <t>….......... ....... 40o 200 too. GACETA DE MADRID. ARTICULO DE OFICIO. intervinieron en ellas, y con las glosas y comentarios que sugiere á los editores la calidad de cada documento. Y teniendo 9. M. en con La Reina nueslra Señora Doña Isabel ii, y S. M. la Réína sideración que semejantes recuerdos lejos de contribuir á las fienéfiGobernadora, siguen en Carabanchel sin novedad en su im cas miras que S. M. se ha propuesto producirán el efecto contrario* dando lugar á creer que se prejiaraba con los hechos la mas ominosaportante salud. re…</t>
  </si>
  <si>
    <t>…tos públicos, pocos se han ofrecido á España mas dignos de debiendo vivir en cualquiera de ellos. El sueldo asignado á las mismas es el de 500 ducados al año.tan grato recuerdo que el de la proclamación de nuestra legitima Reina. Doña Isabel ii- ' Así lo estimó el Exorno. Se. capitad genera! de este ejército y principado al Solicitar la gracia de llevar á su término el proyecto de ensanche de la pla bolsa db comercio.__Cotización de hoy 4 las trts de la tarde. za del Real palacio de esta ciudad ; y asi lo consignó en el manifiesto con…</t>
  </si>
  <si>
    <t>…embargo que el gobierno, de la Gran Bre El cond.e de Santa Ines, residente en la Habana, impulsado de taña consienta en que se retire este hábil diplomático hasta que esté terminada su decisión en favor de la Reina.nuestra Señora Doña.Isabel ii, ha la obra á cuya formación debia contribuir, esto es, la constitución politiza de ofrecido poner á su costa en el ejército dos soldados que defiendan la Bélgica •, por. lo cual debe suponerse, que U-perspicacia de sir Roberto Adair sus legítimos derechos, y hacer el donativo de 100 uniformes p…</t>
  </si>
  <si>
    <t>…eSevilla J4 de Octubre, vem.'.o de «ui Rea! 01 Jen al cóbernad &gt;r civil, que cuide con todo esmero del cumplimiento de las leyes sobreestá ;nat£;ij, protectoras déla religión, de la El día de Cumpleaños de la Reína nuestra Señora Doña Isabel n ha moral y de la tranquilidad publica; en el concepta de que cualquiera condes sido celebrado en esta ciudad con demostraciones que acrediup. el constante cendencia de las autoridades ios tiasgresores ia considerara £&gt;. AL como amor y la no desmentida adhesión de los leales sevillanos. \ la mas g…</t>
  </si>
  <si>
    <t>…s que en el dia tengan curso en lo interior del reino, ó en barras de oro ó de plata. Habiendo sido admitida por S. M. la Rema Gobernadora, á Respecto á las entregas que haga en pastas de oro ó plata, el nombre de su augusta Hija Doña Isabel ii, la projosicion presenta contratante conviene, no obstante lo que su proposición estipulaba, da por Mr. Ardoin al concurso abierto en 20 de Diciembre último en que sean arregladas conforme á la tarifa que se aplicó á las entre para la negociación de un empréstito de cuatrocientos millones de gas…</t>
  </si>
  <si>
    <t>…o las otras tres con bastante alivio. aprecia la noble y decidida lealtad del Ejército y de la Milicia, que con tan ta gloria sostienen y defienden la justa causa de su augusta Hija la Reina PROVINCIA DE TARRAGONA. nuestra Señora Doña Isabel 11, tuvo á bien resolver S. M. que todos los cuer pos déla guarnición y Milicia urbana formasen hoy 21 en el paseo del Prado Con fecha 9 del presente dice su gobernador civil que el cólera morbd para dispensarles la honra de revistarles personalmente^con la Reina su ex había desaparecido,totalmente…</t>
  </si>
  <si>
    <t>…isfacción de recibir con el oficio de Del mismo beneficio disfrutan-SS. AA. RR.. los Sermos. Sres. Infantes^ V. E. de 30 de Noviembre el juego de monedas de plata acuñadas ¿oo n$$tivo de la proclamación de la Reina nuestra Señora Doña Isabel ii verificada en la heroica villa de Madrid para que yo conserve la memoria de tan fausto íuccsc. &gt; Real decreta. Con el mas profundo reconocimiento queda grabada esta nueva honra tn mi corazón, y se conservará la generosa dadiva en el archivo de mi stmínario Mi maternal solicitud no ha omitido med…</t>
  </si>
  <si>
    <t>…iese admitirla con esta condición , manda que se reparta tes deseos por la próspera vida de V. M. y de nuestra augusta, inocente y le entre la universidad de Coimbra y la academia de la historia «le Lisboa. (Times.') gítima Ruina Doña Isabel ij. Badajoz 5 de Enero de l834^^ñora.=A L. ____Doña María de la Gloria ha condecorado con la cruz y banda del orden de R. P. de V. M.—Juan María Caldera, direcxor.=Manuel Toma* Sanó, vo ¿&gt;ta. Isabel á la condesa de S. Vicente, esposa del valiente almirante Napicr. cal secretario. PARTE NO OFICIAL.…</t>
  </si>
  <si>
    <t>….' Miércoles 23 de Abril de 1834. GACETA DE MADRID. ARTICULO DE OFICIO. erigidos en cabeza de partido, y los demas de que habla el artículo anterior, seguirán por ahora y hasta nueva resolución desempeñan La PvEtoa nuestfa Señora Doña Isabel ii , y S. M. la Reina do todos los cargos y atribuciones que en el dia les están cometidos. Gobernadora, siguen én el Real sitio de Aranjuez sin novedad en Art. ó.° Me reservo fijar las atribuciones propias y exclusivas su importante salud. de los jueces de partido; sus relaciones Con las otras aut…</t>
  </si>
  <si>
    <t>…nistros y fiscal del citado nuevo tribunal supremo de Hacienda an tes de tomar posesión de sus respectivas plazas presten el juramento Eterno. Sr.; S, M. la Reina Gobernadora ha tenido á bien siguiente: »Juro ser fiel á la Reina Doña Isabel ii y a su augus mandar: l.° Que el nuevo tribunal supremo de Hacienda, institui ta Madre» como Regenta y Gobernadora, observar las leyes del do por Real decreto de 24 de Marzo último, se instale en el dia reino, y administrar justicia con arreglo á eljas.” Tcpdiréislo en 25 del corriente mes; 2-° t…</t>
  </si>
  <si>
    <t>…o 80. de Correos. Para Canarias.. . 3 So 190 9»- Para ludias.................. . 4oo sao loo. GACETA DE MADRID. ARTICULO DE OFICIO. que presenta la causa de la Reina nuestra Señora bajo el aspecto militar. La Retna nuestra Señora Doña Isabel ir, y S. M. la Reina Pues si volvemos la vista al estado político, no-es menos satisfac torio y lisonjero : en medio de la agitación que produCe siempre enGobernadora, siguen en Carabanchel sin novedad en su im los Animos toda discordia doméstica, de la sublevación de alguna* portante salud. provin…</t>
  </si>
  <si>
    <t>…que hasta X • Qido el dictámen dé Iá sección de Cnicia y Justicia del Conse aprobación del indicado plan general se observe X siguiente . , - jó Real de España é Indias* y el del Consejo de Gobierno, en nom bre de mi excelsa Hija^Doña Isabel ií, be venido en mandar: Instrucción para el régimen y gobierno de las escuelas de primeras le 1? . Serán secuestrados los -bienes de todos aquellos que constare tras del reino. X ' liaber abandonado sus domicilios para incorporarse á las facciones. TITULO PR1MKBO. 2? Xas justicias dé los pueblós d…</t>
  </si>
  <si>
    <t>…no sobre nuestro estado sanitario en JL.° de A.gosto último. Resto de Julio. i ANUNCIOS. ' En la ciudad. En los campos. TotalesHimno patriótico con coros titulado el juramento Ae la Milicia urbana á nues tra excelsa y joven Reina Doña Isabel u; puesto en música para Canto y piano, á í Caso, ocurridos........................... 6 167 173 pararealespiano,¡guitarra,á 3; guitarra,&amp; 4: galopflautasacadaó violín,de la óperaa 2: nuevanueva randade Rossini,de rigodonesel Guillelmosacados deTellla De ellos fatales........................... S 1…</t>
  </si>
  <si>
    <t>…fuesen á esas cortes,oaso de restablecer- e las cortes deBeilin, Viena y S. Petersburgo, en no haber reconocido á ñute 1 se las relaciones, encargados de Negocios en vez de ministros. El segundo es tía soberana la inocente Reina Doña Isabel it. Seguramente la conduc-1 las razopes para que en esta medida deba tenerse presente la conducíanle esas t&amp;de esas cortes debe ser altamente reprobada por todo hombre en cuyas venas I portes respecto á los asuntos internos de España. Me parece1 que) seria oportuno corra sangre española; perp respe…</t>
  </si>
  <si>
    <t>…................. 4 00 a 00 i ijp. GACETA DE MADRID. ARTICULO DE OFICIO. cepciones en él expresadas. Tendréislo entendido, y dispondréis lo necesario á su cumplí mi ento.=Está rubricado de la Real mano,=En La Reina nuestra Señora Doña Isabel ii, y S. M. la Reina Aranjuez á 20 de Mayo de 18,34.=A D. Francisco Martínez de ia Gobernadora, siguen en el Real sitio de Aranjuez sin novedad Rosa, Presidente de mi Consejo de Ministros. en su imjiortanie salud. MINISTERIO DEL INTERIOR. Del m ismo beneficio disfrutan SS, A A. RR. los Sermos, Se R…</t>
  </si>
  <si>
    <t>…~*'**fc^*&lt;&gt;*****^**'**,&gt;&gt;A^^^**^** *i‘y^rv¥vvvvvvvvvv\ruvtn ARTICULO DE OFICIO. Se admitirán Jas proposiciones asi á los individuos que las quieran hacer por sí solos, como á compañías establecidas con ar. La Reina nuestra Señora Doña Isabel ii, y S. M. la Reina reglo á las disposiciones del Có ligo de comercio. Gobernadora, siguen en Carabanchel sin novedad en su im fe"? Los aspirantes deberán obligarse á conducir al punto ó puntos mas elevados de Madrid o á aquellos desde donde fuere mas fácil portante salud. hacer la distribución en…</t>
  </si>
  <si>
    <t>…ha concedido esta prima á M. Wattel bajo las mismas condicione* que á quienes interesa lealmente la conservación del trono de nuestra se han impuesto á M. de Le Esclure, excepto que la exportación que no de adorada Reiha y Señora Doña Isabel u, y el mantenimiento del berá ser sino de productos nacionales no deberá representar mas jq-ir un yalor orden y del sosiego público bajo el mando de su excelsa Madre S. M. de 309 francos. (Diario de Comercio de Ambires.) la Reiha Gobernadora, á despecho de sus pérfidos enemigos, que lo son igualme…</t>
  </si>
  <si>
    <t>…avan habia desaparecido la enfermedad que-padecian sus hahífa^t» ( y que en Ante** zar las guerrillas seguidas de las columnas de ataque, y i la voz de vívala quera se iba restableciendo el estado sagitario. Reina nuestra Señora Doña Isabel u.^in arredrarse del vivo fuego que ha cían , avanzaron á la bayoneta, cuya decisión hizo abandonar i los cobardes el ________ _____ ________ ________ MtOviMOtA nR wRvirfA,-------- -------------------- ------— rampn, dejando 20-jnuettos, muéhos heridos, y un capitán prisionero (que Aparece de los p…</t>
  </si>
  <si>
    <t>…s fiel, y con la gratitud mas cumplida , catando pron Del mismo beneficio disfrutan SS. A A. RR. los Sermos. Sre*. Infante*. tos á sacrificar nuestras vidas en favor de V. M. y de los legítimos derechos de la Reina nuestra Señora Doña Isabel ii, vuestra augusta Hija. Tales son núes- 1 tros sinceros sentimientos: dígnese V. M. admitirlos, y' persuadirse que nadie] Real decreto. excede á los Labradores, hacendados, propietarios que Suscriben, en decisión, Para el pronto y expedito despacho de los negocios del ministaTio de Ma afección y…</t>
  </si>
  <si>
    <t>…último en que todo se termine neral tremolo el Real estandarte diciendo: Vitoria, Vitoria, Vitoria, por la sin alterar la paz, bien al que aspiran en el dia todos los pueblos de Europa. católica Persona de nueitra Rejsa y Señora Doña Isabel ii, qnt vita. (¿¿entínela de tos Pirineos.') Al momento respondieron con grito» de entusiasmo todos los circunstantes, y ____ Se lee en la Emancipación de Bruselas el artículo siguiente: **El duque las músicas marciales mezclaron sus tocatas con las alegres voces de los alave de Orleans salió el di…</t>
  </si>
  <si>
    <t>…rmano y aliado el Rey del den &amp;c. Madrid 22 de Diciembre de 1833. = Mar(incz.—Sres. directores d« I I reino unido de la Gran Bretaña é Irlanda, he venido en conferirle, á nombre Rentas. / \ J Ide mi muy cara y amada Hija la Reina Doña Isabel ii, la insigne orden del! Exposición Á S. M. la Rsnea Gobernadora* iToison de Oro. Tendráse entendido en la Orden para su cumplimiento, reEstá' Imbricado de la Rtal mano de S. M.=En Palacio á 21 de Febrero de 1834-= Señora: El ayuntamiento de la M. N. L. y antigua villa-de Gibraleon en I L.D.-Cayet…</t>
  </si>
  <si>
    <t>…vilización, se apreciarán cesión de la Infanta primogénita de Espáfia,.y» la verdad jro no veo .cómo inda lós beneficios de la tranquilidad cúfopei. É« ¿iérto qúe han ocurrido su podíamos dispensarnos de hacerlo, porque al fin la Princesa Isabel fita Reina mmm</t>
  </si>
  <si>
    <t>…isposición de la superioridad ó del presidente, según el número y la ín regla general; y que en virtud de esta disposición, que debe tener fuerza y vi- dole particular de los negocios. ^or durante la menor edad de mi excelsa Hija Doña Isabel i i , han quedado Art. b.° Con arreglo á estas bases, mis Secretarios del Despacho de la sin ejercicio las atribuciones del actual Consejo de Estado , he venido en man Guerra y del de Marina, me propondrán el reglamento conveniente para la dar lo siguiente: planta y organización de dicho tribunal s…</t>
  </si>
  <si>
    <t>…omo se pensaba, hasta que de improviso salieron á escape, y dos en fin han dado en esta expedición un testimonio a la nación no tuvimos mas tiempo que para hacer una acelerada descarga, y portuguesa de que la Reina de las Españas Doña Isabel ii tiene ep el ínterin el ex-cura salió con cuatro caballos, cuyos ginetes un ejército modelo de valor .y demás virtudes que ilustrarán lu hemos cogido por hallarse fuera de la reunión, los que tenemos glorioso reinado. bien custodiados hasta que la ILejna Gobernadora determine de . -U ellos. ( El…</t>
  </si>
  <si>
    <t>…odigios de valor, manifestan- co, de quieti dice ejecutó las hazañas mas valerosas en la acción de do el mas vivo entusiasmo por la causa de nuestra muy amada So Ruidera, en la que él solo mató con su propia mano 15 de los berana Doña Isabel ri, cabiéndome la satisfacción de que por rebeldes. nuestra parte no haya habido la mas leve desgracia, y de reco mendar muy particularmente á V. E. el valor y pericia de dicho teniente de cazadores Miqueloti, la serenidad y presencia de áni Extracto del parte que da el subdelegado de Fomento de la…</t>
  </si>
  <si>
    <t>…narias....... ...... 58o ryo Para luchas............ ...i. 4oo 300 loo. GACETA DE MADRID. ARTSCO.O DE OFICIO. por escrutinio secreto, y á pluralidad absoluta de votos: en caso de empate decidirá la suerte. La Reina nuestra Señora Doña Isabel ii, y S. M. la Reina Art. 10. Podrán ser nombrados Electores: Gobernadora, siguen en el Real sitio de Aranjuez sin novedad IV Los individuos del Ayuntamiento del pueblo cabeza de Parti en su importante salud. do, inclusos los Síndicos y Diputados. 2V Los mayores contribuyentes que hayan concurrido…</t>
  </si>
  <si>
    <t>…ieron hasta las cuatro de la mañana: las puer el noble lord pudiera haberse acordado que este acto se verificó antes que notas de la ciudad estaban ocupadas por los prusianos. sotros nos encargásemos del ministerio, y sobre el de Doña Isabel ¿cómo pue Hoy reina ya la tranquilidad; se continúan prisiones, y se espera con de argiiirse que con ello hayamos promovido la guerra civil? Yo pregunto áimpaciencia el resultado de las causas que se están formando. S. S. ¿qué piensa hubiera sucedido no reconociéndola? ¿Acaso cree que por esta ITAL…</t>
  </si>
  <si>
    <t>…eramente que ha habido algunos, y tación al público se hizo con. el mayor decoro, con repique general dé campa* declara en los' términos mas positivos que el gobierno nó ha pensado ittíoca ñas, y con los mas expresivos vivas á la Reina Isabel ii y. á su augusta Madre, en abandouar la posesión de Argel, estando pof el contrario decididlo á con- cuyas aclamaciones resonaban por todo el numeroso concurso qué. ocupaba la mucfioirws cuando se halla hoy en un estado de órden y de paz, que plaza mayor; durante la solemne ceremonia estuvo tocan…</t>
  </si>
  <si>
    <t>…tal Cachapuz, ia cual ñoles; inmediaro estaba el famoso Pimentel, conde de Alburquerque, que re amenazaba la tranquilidad de la provincia: al punto emprendí la marcha con presentaba las Cortes de Segovia donde la proclamación de Doña Isabel abatió la compañía de cazadores, del 2.° batallón de Castilla, la. de granaderos1 de Lu-# para siempre las enseñas agarenas y abrió el paso á las Indias occidentales; á go y cinco carabineros, dejando en esta plaza las dos compañías de fusileros del su lado estaba el duque de Alva, que secundó las…</t>
  </si>
  <si>
    <t>…5v Fara India......--------¿o* N» roo* E MADRID. ARTIfDCLO DE OFICIO. mero, en conformidad á lo prevenido por los artículos 46 y 48 de la propia Real cédula y aclaraciones contenidas en las Reales órde , La Reís a. nuestra Señora Doña Isabel ii, y S. M. la Reina nes expedidas por este ministerio con fechas 2 «le Mayo y 51) de -Gobernadora, siguen eu Carabanchel sin novedad en su im Noviembre de 1830; y también se lia enterado S. M. de que hasta la fecha de 13 de Alayo de 1831 no se circuló por el Consejo Realpórtame salud. la expresada…</t>
  </si>
  <si>
    <t>…kurdos, y le son propicias las circunstancias, no seria extraño que se prevaliese del descon S. M. la Reina Gobernadora, en nombre de1 su augusta Hija tento general de aquellas provincias contra los egipcios, y del aprieto en que Doña Isabel ii, se ha dignado por decreto deol de Julio próximo pa lbrahim se hallaba para cargar sobre sus tropas, bajo cualquier pretexto,y pro sado conceder al Sr. marques del Salar y de Pozo-Manco, la grande curarse echarlas de los paises adjudicado? á Mehemet-Alí, pues es constante el za de España de prim…</t>
  </si>
  <si>
    <t>…que podía muy bien comprometer á los tenedores y no ser re obligaciones. «Y cuáles son los derechos, la autoridad, el poder, las obliga conocida. De ahí es que sin embargo de que ganaba un 5 por 100 de ínteres ciones de la Reina Doña Isabel! Son los de tu padre D. Fernando vn, á pagado exactamente y con arreglo al valor nominal de los bonos, su curso quien ha sucedido, como este sucedió á D. €árlos iv, este á D. Cirios ni, y no pasaba dé un 40 á un 50 por 100; y í pesar de las grandes ventajas y ga asi de eslabón en eslabón iríamos ha…</t>
  </si>
  <si>
    <t>…cangeadas en Londres en el término de 40 dias, ó antes, si fuese posible. S. M. la Reina Gobernadora y Regente de España, durante la En fe de lo cual, los respectivos plenipotenciarios los firmaron menor edad de su Hija la Reina Doña Isabel ii, S. M. el Rey de y sellaron con el sello de sus armas. los franceses, S. M. el Rey del Reino Unido de la Gran Bretaña é Dado en Londres á 18 de Agosto del año de Nuestro Señor Irlanda, y S. M. I. el Duque de Braganza, Regente del Reino de el 183i.=(L. S.) Miraflores.ojL. S.) TalLyrand.=(L. S.) P…</t>
  </si>
  <si>
    <t>…una medida que ha sido muy meditada, y no se esperaba para que tuviese efecto sino una o-ras.on En virtud de la prerozativa rpie me compete durante la menor favorable (Corresponsal de Francfort.*) edad de mi augusta Hija la Reina Doña Isabel ii, y con arreglo á lo que se previene en el título it del Estatuto Real, he tenido á ----- En I9. Gaceta nacional de A.lemania se lee lo siguiente: bien elevar á la dignidad de Procer del reino al teniente general "La disolución de los Estados de Hesse-Darmstadt (1) no es ciertamente de los Reales…</t>
  </si>
  <si>
    <t>Núm. 65. Sábado 26 de Abril de 1834. GACETA DE MADRID ARTICULO DE OFICIO. decreto de 10 de Febrero del mismo inhibe por esta vez de cono cer de ellos al ministerio de mi cargo, y con este motivo me con La Reina nuestra Señora Doña Isabel ii , y S. M. la Reina sulta lo que deberá practicar; y enterada S. M. se ha servido re Gobernadora, siguen en el Real sitio de Aran juez sin novedad en solver, que vistas las dificultades que para las quintas experimenta su importante salud. rían las recien instaladas subdelegaciones de Fomento, se…</t>
  </si>
  <si>
    <t>…. ............. 40o aou 1U&lt;J* GACETA DE MADRID. ARTICULO DE OFICIO. partidas 1.5, 16 y 17, folio 121 , epte tratan de los pañuelos de seda; se ha servido S. M. mau lar, que los pañuelos de un mismo largo y La Reina nuestra Señora Doña Isabel ii, y S. M. la Reina ancho, vengan en pieza ó sueltos, paguen un mismo derecho; y que Gobernadora, siguen en el Real sitio de Aranjuez sin novedad en su consecuencia quede sin uso la partida del arancel de pañuelos sueltos, adicionándose la partida número f-5 en estos términos: «Paen su importante…</t>
  </si>
  <si>
    <t>…....... .... 4°° 300 luCJ. ¿tf GACETA DE MADRID. Martínez, asesinado en Heredia, 2 reales de vellón diarios: á Erban^ ARTICULO DE OFICIO. Soldevilla , vecino de Logroño, como padre de Dionisio Soldevilla, I.a Reina nuestra Señora Doña Isabel ii, y S. M. la Reina asesinado en el mismo punto, 2 reales de vellón diarios: á Gregoria Gobernadora siguen en Carabanchel sin novedad en su im Sánchez, verirta de Haro, viuda de Télix Raquero, asesinado erj He portante salud. redia, 2 reales de vellón diarios: á María Cruz García, vecina de Villan…</t>
  </si>
  <si>
    <t>…TICULO DE OFICIO. te señalar,! dia para discutirlo de nuevo, precediéndose ea 1# corno sí se presentase entonces por pr imera vez. oírte iitijAn. 12+. Si el Le.miento d-e Pr.V-erea a probase la prr&gt;pupttft La Reiwa nuestra Señora Doña Isabel n continúa sin novedad jirovei to de ley, en Es términos en .pie lo haya.nKHl¡(tvuddr¿‘¿|.l|c^4i en su importante salud en eí Real Sitió de San Ildefonso; y de igual ra lo el Le.miento de Pre. '.jiniJores).se pasaiá al Gobierno parada beneficio disfruta-S1. MHasRiitsA Gobernadora en id Heal j.alaci…</t>
  </si>
  <si>
    <t>…¡.v. ;•■ é tuilu i»1 T '»»' in'uh—mm .í i ARTICULO DE OFICIO, _ gunaplan útilde lasy económicoplazas vacantesde lasquenuevasocurranplantillas,en las aduanas,cura formaciónhasta queestáse apruebeencargadael Fa Reina nuestra Señora Doña Isabel u, y S. M. la Reina Gobernadora* » esa.Dirección general para la mejor organización de las oficinas de dicha ren lugufn sin novedad en su importante salud* &lt; ■ i . ta. De Real orden 1q comunico á V. SS. para su inteligencia y demas efectos. •Del mismo beneficio disfrutan SS. AA. RBó los Sermo^ Srea…</t>
  </si>
  <si>
    <t>…rzo de 1834. GACETA DE MADRID. ARTICULO DE OFICIO. Art. 5.° Los objetos consagrados al culto , pertenecientes á los monasterios ó conventos que se suprimieren á virtud del presente decreto, se distribuirán La Reina nuestra Señora Doña Isabel ir, y S. M. la Reina Gobernadora, por los respectivos diocesanos entre las parroquias mas necesitadas , ‘dándome [siguen en el Real sitio de Aranjuez sin novedad en su importante salud. cuenta de haberlo ejecutado. Art. 6° Los bienes muebles é Inmuebles pertenecientes á los monasterios Del mismo be…</t>
  </si>
  <si>
    <t>…ron lo* facciosos de Cortina. Navarra y Alava una sorpresa en esta ciudad que solo sirvió para demostrar Parte á que hace referencia el oficio anterior. impotencia y proporcionar nuevas glorias á la causa y á las armas de S. M, U Reina Isabel ii y su augusta Madre y Tutora. El plan fue bien concebido, Comandancia general de la provincia de Tuv =Excmo. Sr.: Tengo la sa pero faltó el valor necesario para U ejecución, y esta virtud heróica que se tisfacción de anunciar á V-*E. que la balandra inglesa Express Paiket , de complació en inflam…</t>
  </si>
  <si>
    <t>…............... 4°o 300 l«s6. GACETA DE MADRID. ARTICULO DE OFICIO, trucción del referido canal lia de ser la base de las obligaciones de la compañía en cuanto á la extensión que ha de tener, &gt;• sus aplica La Reina nuestra Señora Doña Isabel ii, y S. M. la Reina ciones, asi para el riego como para la navegación. Y la compañía Gobernadora, siguen en el Real sitio de Aranjucz sin novedad queda obligada en su consecuencia á dar riego á todos los terrenos en su importante salud. comprendidos en el proyecto de Rocha, y jioner expedita la na…</t>
  </si>
  <si>
    <t>…de esta Real cédula, sin enya circunstancia ca me merece la disciplina y «xmstancia de los que con tanto denuedo' ducará la concesión,hecha á los referidos individuos, y quedará sin pétean en defensa del Trono de mi augusta Hija Doña Isabel u; he1 valor ni efecto. . 'x venido en concederles en su nombre las recompensas siguientes: • Art. ó3. Las contestaciones entre el Gobierno y los empresa Art. IV Rebajo un año de los que deban servir, según .las órde rios sobre el cumplimiento é interpretación de estas condiciones y nes vigentes, á…</t>
  </si>
  <si>
    <t>…ple Inscrtpcloner en e! gran libro k í p. 100 , 00tamente sus deberes, manifestando su decisión por la justa causa de la Reina. Tttulos al portador del 5 p. 100, 00. Inscripciones en el gran libro á 4 p- &gt;100 , 00. nuestra Señora Doña Isabel ji, no pudiéndo menos de elogiar la intrepidez y Títulos al portador del 4 p. 100, 541, f, 4. I, i y 5i 3 varias fs,, vol. y firme: Cl» valor del interventor de la aduana de Sallent D. Juan Blasco, y el cabo de la Sit. i y f á varias fs., vol. y firdie á prima de 4,1, 1 y lf. misma ronda D. Martin…</t>
  </si>
  <si>
    <t>…a»..:........... 4^0 a ytoo. GACETA DE MADRID. ARTICULO DE OFICIO. portes paraasuntoslos políticosEstados vecinosque hayan, nostomadoveremosunaprecisadospaTte activaá convocaren los actosuna Dictaalarmanex La Reina nuestra Señora Doña Isabel ir, y S. M. la Reina traordinaria por la responsabilidad que recae sobre el directorio. Gobernadora, siguen en el Real sitio de Aranjuez sin novedad Aunque concebimos ya esperanzas de que el gob erno del Estado de Berna, tomando en consideración los votos de los demas Estados de la Suiza, acceder?…</t>
  </si>
  <si>
    <t>…recibla avisos de los demás pueblos de la celebradas en esta corte en el mes de Junio de 1833 con el fausto motivo de la provincia de padecerseretrfeHHed5dgaí«W(OT'dTnar¡aí, aunque no graduadas to Jura de la Reina nuestra Señora Doña Isabel 11 como Princesa heredera, li davía de sospechosasr{Ñ&gt;í'íóí (iexAiztiiros. Remite ademas *1 estado de los en tografiadas de órden de su augusto Padre el Sr. D. Fernando vn (Q. E. E. G.) fermos. de la eapit^ f jdel cual apare?»; que las enfermedades que alli reinaban en el Real establecimiento, de M…</t>
  </si>
  <si>
    <t>…a La de la de los «aviados griega» de.ioviw- pane, depender. ARTICULO DE OFICIO. jai pronr- Samas. de piensan de hospodaresdeoMoldavia Los y da Valaquia godos to á Constactiaopja.. . ;;i; 3 , . . r 1,1 • ;Tía Reina nuestra’Señora Doña Isabel ii continua sin novedad en. st-‘ 'ámportame salud erí.el Real sitió; dé S. Ildefonso; y de igual . . _,tD/»A»Á*CA. í líéttéSicío disfruta Rían A Gobernadora en el Real palacio jílt'últa SO de Junio. 1 ' , de 'Riofrio. También- ¿oía de perféctasáíud en el expresado ReáT La comisicD-compuesta dé dos…</t>
  </si>
  <si>
    <t>…dad , corporación, establecimiento ó persona que las percibía. primitivo título , sino por la nueva solemne oferta de los Reyes Católicos Don Art. 2.“ Las prestaciones devengadas hasta el dia señalado en el artículo an Fernando y Doña Isabel , otorgada en l 5 de Mayo de 1492/ Por manera, que terior , se podran nacer efectivas por los respectivos partícipes í quienes cor las provincias de Madrid, Guad^lajara, Sigiienza, Bú gas y parte de la de To respondan , para invertirlas en los objetos de su institución. * ledo, las Vascongadas y la…</t>
  </si>
  <si>
    <t>…imo, víspera del aniversario del fausto ru secadapresente,ordenación:en casopreviniéndosede qué se'cúosldereque no tendráadmisible,efecto lasiproposiciónho mereciese;lamas ventajosaReal aproque bina tentó de S.M. la excelsa Reina Doña Isabel ii. bación. EN LA IMPRENTA REAL</t>
  </si>
  <si>
    <t>…medidas ordinarias príncipes son demasiado impopulares para que los mas acérrimos legitimisus de policía militar ó administrativa. Para todas las demas, pedirá y esperará osen hacer algo en su favor); pero &lt;c trata de reconocer á Doña Isabel y a nuestras órdenes. Doña María bajo condiciones capaces de detener los progresos revolucio Art. Z° «El agá de los árabes recogerá los informes que le pidan los ge- narios. fes de servicio, miembros del consejo de administración. Nada se sabe relativo á los negocios de Holanda, aunque son mas cono A…</t>
  </si>
  <si>
    <t>…antes con la calidad de reservados para los men de mi C.onsejó de Gobierno y el de Ministros, He veuido, en nombre de usos que convengan. De Real orden lo digo á V. E. para su inteligencia, y que mí muy cara y amada Hija la Reina Doña Isabel ti, en aprobar, como lo disponaa su cumplimiento. Dios guarde á V. E. muchos años. Madrid 26 de mas adecuado á dicho fin, la división y distribución siguiente: Enero de María Garelly.rzSr. presidente del Concejo Real. " Todos los tribunales superiores de las provincias tendrán el nombre de Reales a…</t>
  </si>
  <si>
    <t>…ias.............. ....... 4°° aoo xoo. GACETA DE Af AlDRID. ARTICULO DE OFICIO. po de Astorga D. Félix Amat; al R. obispo de Huesca D. Lorenzo Ramo de San Blas; al R. obispo que fue de Cartagena D. Antonio La Reina nuestra Señora Doña Isabel ir, y S. M. la Reina Posadas; al R. obispo que fue de Mallorca D. Pedro González VaGobernadora , siguen en el Real sitio de Aranjuez sin novedad llejo; al R. obispo electo de Almería D. Vicente Ramos y García; al R. obispo electo de Teruel D. Mariano Liñan: y para la clase de en su iinporlanLe salu…</t>
  </si>
  <si>
    <t>…a de la desgraciada lucha de Lyon, debe saberse, se pre fidelísima dudad de S. Cristóbal deja Habana proclama por su ¿rustir— gún los pormenores que da una carta digna de confianza, que la acción empe- ta Reiüa y Señora J la Sra. Doña Isabel si. Cien mil voces salidas dpi 2Ó al mismo tiempo en varios puntos, no precisamente contiguos, sino separa fondo de todos los corazones contestaron á esta proclamación con muestras del dos por Los dos ríos que cOTtan la ciudad. Los insurgentes se dirigieron con mas fervoroso entusiasmo , y cubriero…</t>
  </si>
  <si>
    <t>…astellano con notas é ilustraciones, por T&gt;. Juan Agustín Cean Bertmrfiel, así como su constante adhesión á la'causa de la Reina nuestra Señora, dez, con el objeto de conocer las preciosidades que se conservan en el Real Museo de Doña Isabel ii. enMadridrama. y en otras partes. Un tomo en edición de 1827, á 16 rs. en rústica y Ii Ademas d¿ este espléndido y suntuoso sarao, ha habido en estas cuatro no — Indice cronológico general, por óróen alfabético, de Jas materias que contienen ches Otros bailes, tanto públicos como privados, de mu…</t>
  </si>
  <si>
    <t>…a cubrir las atenciones del servi ducción. ’ ■ ' ' cio público, según lo exige la seguridad del Estado y el esplendor ■&gt; Examinadas las causas de la decadencia de esta renta, me he del trono de mi muy cara y augusta hija la Reina Doña Isabel ii, sin convencido de que una de las principales es la de haber confundid^ acudir al medio que siempre resistirá mi acendrado amor á los es su admihístiación'con lade las otras rentas del Estado; cuyo siste pañoles de reclamar de ellos mayores esfuerzos y nuevos sacrificios: ma ha producido necesar…</t>
  </si>
  <si>
    <t>…ierno, no se mirase como consecuencia necesaria que privarse el Estamento en sus trabajos de la cooperación de un hombre tan aprobando el 2.° se debían aprobar el artículo $«° y siguientes. apreciable por1 su décision en favor de Doña Isabel ii , y por sus opiniones y «En la sesión que celebró U comisión anoche , aunque no estábamos en cualidades relevantes. cargados de la redacción de los artículos siguientes a! 2.°, se habló largamen El Sr. conde de las Navas dijo: que fn su opinión 4 nadie se podía obli te de ellos, y algunos Sres.…</t>
  </si>
  <si>
    <t>…ado hasta 34 el número de enfermos én Mondoñcdo, de Según consta de los partes dados por los gobernadores civiles, los días de los cuales habían muerto 6: en Rivadeo y San Cosme fueron invadidas 156 nuestra augusta Reina y Señora Doña Isabel u (Q. D. G.) han sido cele personas desde el dia 10 hasta 15 del propio mes, curaron 75, fallecieron 11, brados con la mayor pompa y solemnidad en las ciudades de Valencia, Avi y quedaban enfermas 70. la, Castellón de la Plana, Murcia y Pontevedra. Funciones de iglesia, rasgos _ PROVINCIA DE MURCIA…</t>
  </si>
  <si>
    <t>…en cuestión no ha tenido otro origen que un banqueteó festín En virtud de la prerogativa que me compete durante la menor dado por un cierto número de artesanos alemanes en una posada de Stcinholzedad de mi augusta Ilija la Rlixa Doña Isabel ii, y con arreglo á li, cerca de Berna. El espíritu de partido, siempre pronto y ardiente en aprolo que se previene en el título 2“ del Estatuto Real; he venido en vechar todo lo que puede condu.ir á sus fines, trato de exagerar un hecho in elevar á la dignidad de Procer del Reino á mi Secretario d…</t>
  </si>
  <si>
    <t>m artículo de oficio. Logtofio , con calidad de reintegro del fondo de temporalidades de la mitra &lt;fe León. De Real orden 1q drgp á V. ÍS.jjara su snleilgénciay demás efrttfcrscon La Reina nuestra.'Seflora"Doña Isabel ii, y S. M. la Reina Gobeftta- venientes Dios guarde á V. S. muqjíosañdi.Aranjuez íá'ae Nbno de 1854—— dora , «¡giren en el Real sitio de Aranjuez sin novedad en su importante salud. Garelly^eSr. comisionado rqgio tic Alara. Del mismo beneficio drafrutan SS. AA.H.R. les ictznos. Sre*. Infantes. Des…</t>
  </si>
  <si>
    <t>…CULO DE OFICIO. esperaBayramde(12un diade Febrero)&amp; otro á S.paraE. regresarque salióporde tierraS. Petersburcoá e,ta capitalel segundodespués díaJe hadel ber terminado de un modo satisfactorio su misión. La Retíca nuestra Señora Doña Isabel ii , y S. M. la Reís.-a Según la Garría ofiiia! de esta corte , escrita en turco, Ahmed Fezzi Ba GoliernarJoro ^signen -en el Real sitio de Aranjuez sin novedad já fue enviado á Rusia con el objeto de estrechar las relaciones de amistad y en sn imjKH’latue salud. armonía que existen entre ambas Pot…</t>
  </si>
  <si>
    <t>…..... .......... 4uQ 90Q IDO. GACETA DE MADRID. ARTICULO DE OFICIO. lla é Indias, de cualquiera clase que sean, y cualquiera que fuese su estallo; salvo lo que se previene en el articulo 3'! de mi Real de La Beiiía nuestra Señora Doña Isabel ii, y S. M. la Retna creto de 8 de Abril próximo pasado. Gobernadora, siguen en el Real sitio de Aranjuez sin novedad 8'.' Terminará ademas aquellos negocios, que á consecuencia de en su importante salud. las leyes anteriores á mí Real decreto de 24 de Marzo de este año, correspondían al extinguido…</t>
  </si>
  <si>
    <t>…idos, según noticias positivas, dos caballos muertos y uno herido; 6. a Quedan garantidas las antedichas condiciones por el gobierno legítimo y pór nuestra parte hemos perdido á los Urbanos Tadéo Sentellés y Joaquín Se de la Sra. Doña Isabel ii. gura Fortuito , dos paisanos contusos, y el alférez de Urbanos D. José Sangiieza, • 77 Son responsables los gefes y oficiales de la antedicha brigada deí pun herido en el brazo derecho, del cual quedará imposibilitado. tual cumplimiento- de lo arriba pactado, y que tio.se altere, enagene ni des…</t>
  </si>
  <si>
    <t>…he emprendido en todos losáramos . 6V Los G salmistas gozarán el sueldo anual de 100 rs., y las pla relativos ft la administración de la Real Casa y Patrimonio de mi zas se darán por rigorosa ofiosicion. muy querida Hip la Reina Doña Isabel ti, combinando en todas 7V Los capellanes de honor v salmistas deberán asistir diaria ellas lo que exige-Ja eeonnmía eon las necesidades del servicio y el mente y á las horas canónicas en la Real Gapilla, y será de su obli esplendor del Trono; lia fijado particularmente mi atención la Real gación c…</t>
  </si>
  <si>
    <t>…. 4'-*° iuo too. GACETA DE MADRID sin sido y perec*do que uno ha embarco f han con hecho prwnnero: en él, ARTICELO DE OFICIO. han las que de de 1 lado allá posiciones servado ocupan las tropas Marathonisi. La Reina nuestra Señora Doña Isabel n continúa sin novedad ^ SUIZA. {{¿aceta de Augsburgo) en su importante salud en el Real sitio de San Ildefonso; y de igual beneficio disfruta S. M. la Reina Gobernadora en el Real palacio Zurick 8 de Julio. de Riofrio. También goza de perfecta salud en el expresado Real El vorort ha comunicado á l…</t>
  </si>
  <si>
    <t>…rtante salud en el Real Sitio del Pardo. que ya estaban concluidas las negociaciones relativas al casamiento &lt;jel duque Augusto de Leuchtemberg con la Reina Doña María; sin embarga no indican cuando se celebrará dicho matrimonio. Doña Isabel ii, por la gracia de Dios, Reirá de Castilla, de León, de Aragón, de las Dos Sicilias, de Jerusalen, de Navarra, ____ El Aforning Chroniele y el Courier de 17 del actual, que tenemos á la ,rle Granada, de Toledo, de Valencia, de Galicia, de Mallorca, de vista , anuncian que un horroroso incendio ha…</t>
  </si>
  <si>
    <t>…utorizará la de dlthas islas. Todas estas y otras consfderactoriesSian'decid¡tío á&gt;S.&gt;M. la Reina Gober Art. 14* Quedan abolidas y sin ningún valor ni efectoJas leyes , ordenan nadora í mandar en nombre de la Reina nuestra Señora Doña Isabel ii, que zas y reglamentos asi generales como locales que esten en oposición directa ó quede derogado el "articulo 1 iTd¿ lí clláda instrilccíóti", y restablecido el 44 de Indirecta con estas disposiciones. Si alguna duda ocurriere sobre la interpreta la ordenanza de Arsenales y los demas que con él…</t>
  </si>
  <si>
    <t>…gida á los jueces de paz de ciertos distritos, por haber justo advenimiento al trono de sus mayores de vuestra angelical Hija, Reina y sabido que se hace el tráfico de negros con escandalosa violación de las leyes. Señora nuestra Doña Isabel ii , destinada para gobernar la heroica nación es El ministro dice que semejante delito no ha podido ocultarse á la vigilancia dé ¡ pañola; el cabildo no ha olvidado un solo instante el encargo del Soberano los jueces, y que supone mucha negligencia en el cumplimiento de sus deberes. dueño ¡de los…</t>
  </si>
  <si>
    <t>…s hasta las seis de ella, han visto levantar pendones en U proclamación de sus Soberanos , acordó verificar este los vecinos de esta ciudad de Trinidad un espectáculo tan nuevo como admira ayuntamiento la de nuestra augusta Reina Doña Isabel ii el 16 del corriente. ble y magestuoso. Reinaba un viento fuerte del Nordeste, y la atmósfera esta Colgadas magníficamente las casas consistoriales v la plaza principal, corúo ba tan limpia como rara vez se logra en la presente estación; las estrellas lu igu límenle todos los balconeé y ventanas…</t>
  </si>
  <si>
    <t>…ra no los hacen restituirse á sus hogares, y volver al honroso número de buenos viados S. M. la Reina (gobernadora en nombre de la Reina nuestra Señora vecinos, dignos del nombre de pamploneses, de navarros, de españoles , de súb Doña Isabel ií en el Real decreto de 1^ de Diciembre último, que el Exce ditos fieles de Isabel i dp Navarra y 11 de Castilla. lentísimo Sr. virey interino de Navarra ha mandado imprimir y circular por Pamplona i 5 de Enero de 1834» Ei ayuntamiento de U ciudad de Pam todas las ciudades, villas y lugares de ell…</t>
  </si>
  <si>
    <t>…nque muv ro mo en dar á V. S. continuos partes de cuanto adelante en un asunto en que tan eos, voluntarios de Isabel 11 iban á ser arrastrados, por encaño sin duia, á to se interesa el legítimo gobierno de la Reina nuestra Señora Doña Isabel ii contribuir á tan criminales procederes, y que tal vez su p'-ca experiencia en (Q. D. G.), á quien espero de V. S. se servirá elevar este acontecimiento á esta clase de intrigas les conducía á un paso que su cura/ m repugnaría tan los fines que convengan. El comandante D. Pablo Santos salió inmed…</t>
  </si>
  <si>
    <t>…9$* Para India*................... j^oq • too loo. • Art. 2? En virtud de lo dispuesto en el artículo preoédénté^se - ARTICULO DE OFICIO. tendrán por fenecidos todos los juicios instaurados por tal deRto, La Reina nuestra Señora Doña Isabel n, y S. M. la Reina sin que puedan parar perjuicio á los procesados para su erAastcion. Gobernadora, sigilen en el Real sitio de Aranjuez sin novedad ó ascensos en sus respectivas carreras.| - ...... Art. 3.’ Los que desde la publicación de este .decreto pertépe*-en su impprlante salud. cieren á so…</t>
  </si>
  <si>
    <t>…sps mismo» banos ya organizados, y de varios paisanos con armas, los habitantes todos casi patrones que le íbamos siguiendo la pista, y de consiguiente qo pudo evadirse en masa se han presentado á defender los derechos de nuestra Reina Isabel ir. del choque , debiendo manifestar á V. S., que como tiene.de, costumbre, he Todos los pueblos, todas las clases,se disputaban la gloria de probar con los sabido que á la salida de este pueblo con su facción se, dirigió sobre nuestra iz hechos el ardiente entusiasmo de que se creian inflamados en…</t>
  </si>
  <si>
    <t>…. 400 a 00 100, GACETA DE MADRID. ARTICULO DE OFICIO. y en la civilización' de las diversas clases del imperio moscovita desde que M. UwarofFse ha encargado de la dirección del ministerio de la instrucción La Reina nuestra Señora Doña Isabel ii, y S. M. la Reina publica. Esto se vfc palpablemente por el presupuesto de oficio que M. UwarofF ha tenido la honra de presentar á S M. el Emperador de todas las Rusias, para Gobernadora, siguen en el Real sitio de Aranjuez sin novedad darle cuenta de las tareas y gastos del año último. Este es…</t>
  </si>
  <si>
    <t>…do en el ministerio de ló Interior. tuciones de Inglaterra. El (lord 'Wicklow) no pedia comprender cómo el no ble Conde que está á la cabeza del gobierno, y el noble Marques presidenta ' Eterno. Sr.: S. M. la Reina nuestra Señora Doña Isabel rt, y del Consejo apoyaban semejantes medidas, ni cómo declaraban no solo la com S. M. la Reina Gobernadora han llegado felizmente á este Real Si-* petencia del Estado en el despojo violento de los bienes de la Iglesia, mas aun tio en el dí'á'de hoy. SS. MM. y S. A. continúan sin novedad en la tris…</t>
  </si>
  <si>
    <t>…Parp India»——------ 4oo 900 tes B rítanlaestatt 'repartidos éntre los buques de esta escuadra , qué espora', ARTICCLO DE OFICIO. otros navios f buques dé refuerzo, 1200 hombres de tropa de desembarco y .al Xa Reirá nuestra Señora Doña. Isabel u continúa sin novedad gunas piezas de ariilléría. ¡Qué quiere decir esto? Después de haberse detenido éh'sÜ'importante salud en el Real sitio de San Ildefonso; y de ignal muy poco tiempo en Nauplia, díóíta vela esta escuadra para Salamitia(go fo ñenuiiei,o di*fnita S-M- la Reirá Gobernadora en el…</t>
  </si>
  <si>
    <t>…indias/. .... 400 - too loo. 'i ARTICULO DE OFICIO y es verosímil que dará la vela con el primer viento favorable. Se dice qui Hassan-bey, que es quien la manda, ha recibido ya todas las instrucciones del La Reina nuestra Señora Doña Isabel ie, y S. M. la Reina -gobierno: sin embargo, continúan armándose con la mayor actividad diversas Gobernadora, siguen en él Real sitio de Aranjuez sin novedad navios de línea, y nadie acierta en ias conjeturas que hace sobre su destino. (Diario de Smirna.) en su importante salud. einamascA. Peí mism…</t>
  </si>
  <si>
    <t>…g5. Para India*.................. 4oo «o#* 1 zoo. \ ARTICULO DE OFICIO. caudarse las sumas correspondientes á esa provincia bajo este con cepto en la tesorería dé Rentas de la misma, con intervención de la La Reina nuestra Señora Doña Isabel n continúa sin novedad contaduría de Propios, y dar V. S. cuenta á este ministerio de'ldr en su importante salud en ei Real sitio de San Ildefonso; y de igual respectivos ingresos, para que S. M. disponga la aplicación mas útil) beneficio 'disfruta S. M. la Reina Gobernadora en el Real palacio que…</t>
  </si>
  <si>
    <t>…tivas arcas, salidas que haya habido, y de las obras que se ha han llegado á este Real Sitio en él dia de hoy, sin novedad alguna, yan ejecutado en el mes respectivo, para que S. M., oyendo á ia di S. 54- la. Reirá nuestra Señora Doña Isabel u y S. A. la Serma. Se rección general de Caminos, pueda conocer si se emplea el celo y ac ñora Infanta Doña Luisa Fernanda á las cuatro de la tarde, y S. M. tividad que exige la importancia y utilidad de que se faciliten las la Reirá Gobernadora á las diez de la noche. - - i comunicaciones del rei…</t>
  </si>
  <si>
    <t>…ción establecidas ó que se establecieren. Art. 3? Las viudas y huérfanos de los que hubieren adquirido derecho a! Monte pió en la referida época, le tendrán al goce corres pondiente á la clase á que llegaron sus maridos ó padres. Doña Isabel ii, por la gracia de Dios, Rama de Castilla, de Art. 4! No tendrá lugar el artículo 2? respecto de aquellos que León, de Aragón, de las Dos Sicilias, de Jerusalen, de Navarra, hubieren capitalizado sus sueldos; quedando sujetos los que conser de Granada, de Toledo, de Valencia, de Galicia, de Mallo…</t>
  </si>
  <si>
    <t>…s «Je teniente ó alférez, ni el subalterno uno de después de haber reunido «le nuevo la expresada junta, he tenido á tropa; asi como el que no h.)bien«lo aspirante que reúna las cualida bien decretar, en nombre de mi excelsa Hija Doña Isabel n, y con des convenientes en las clases designadas, se provea ei empleo en otr &gt; formándome con el parecer de mi Consejo de -Ministros, las disposi imlividuo «le la clase inferior. - ciones siguientes: G* Desde luegio que un militar ocupe un destino civil, serád&amp;j'lo 1“ Se designa para los militare…</t>
  </si>
  <si>
    <t>…715 plazas para hacer tuto, sin necesidad de hacer en ¿1 reformas prematuras, y que herirían í per él servicio propio de su instituto! No por cierto, y cabalmente en el dia no sonas cuya lealtad y adhesión i la causa de la Reina Doña Isabel u es tan llegib á dicho número. Contra este hecho nada hay ' que alegar. El cuerpo ha notoria. Sabido es, señores, con cuánta energía se pronunció este cuerpo en dada’el servicio i S. M. en los sitios, ha dado en Madrid el que le correspon- Setiembre de 1832 en los memorables sucesos de la Granja;…</t>
  </si>
  <si>
    <t>Isabel, D-ña</t>
  </si>
  <si>
    <t>D-ña Isabel</t>
  </si>
  <si>
    <t>…iranía del usurpador. tinuación , rogando á Dios por la paz y las necesidades del reino , per la salud Están conformes todas las noticias que se reciben respecto del placer y alegría y prosperidad de nuestra augusta Reina nuestra Señora D-ña Isabel 11 y de de los territorios rescatados. S. M. la Runa Gobernadora la Señora Dula María Cristina de Borbov. El dia 15 del que rige llegó á Oporto Juan José López de Silva , es El Sr. canónigo magistral de la sania iglesia catedral de Santander doctor capado de la cárcel de Lamego , el cual refirió que las autoridad…</t>
  </si>
  <si>
    <t>Isabel, D.J</t>
  </si>
  <si>
    <t>D.J Isabel</t>
  </si>
  <si>
    <t>…. Jim).................... lluro porte , al escribano de ayuntamiento . en el término preciso de 30 dias. 17,H7?.......... 5oo.................... , . (iádiz. ------ Los patronos de la memoria fundada en c3ta corte por la F.xcma. Sra. D.J Isabel 5,436............ 5oo.................... .................. . Madrid- delá todasBurgolas, agraciada.'en cumplimientocon dotesde paralo dispuestotomar elpore&gt;.tad&gt;&gt;sus o demece.soresmatrimonio, a v o nreligión,v previenenpre 1,6 IX............ Soo.................... Jaén. senten para su nfupv .cu»…</t>
  </si>
  <si>
    <t>Isabel, Daña</t>
  </si>
  <si>
    <t>Daña Isabel</t>
  </si>
  <si>
    <t>…el presente los argumentos que se usan en las cuestiones » Entraré ahora en la cuestión política. Los beneficios que debemos á la au análogas en todos los países del mundo donde se ventilan de un modo ú de gusta madre de nuestra Reina Daña Isabel ii están tan á la vista, que es ex otro. Si ha habido algún argumento nuevo, es hijo de las circunstancia^ parti cusado enumerarlos ni encarecerlos- ¡ Y á favor de quién se han hecho! á favor . culares en que se halla nuestra Nación; pero permítaseme decirlo , es la misma de 12 millones-de habitant…</t>
  </si>
  <si>
    <t>…su vista, y de ia renuncia que ha dirigido por separado D. Joaquín Rey, timonios de nuestro amor, firme adhesión é inalterable fidelidad á la Reina S. M. la Ruina Gobernadora, por Real decreto de este dia, se ha dignado j nuestra Señora Daña Isabel ii. nombrar subdelegado de Fomento de la provincia de Tarragona, en atención á Hoy se concede nuevo término para lograr aquel beneficio: nadie está ex sus méritos y circunstancias, á D. Antonio Satorres, diputado que fue á las ceptuado de él, todos son capaces de conseguirlo, Cortes para la jura de…</t>
  </si>
  <si>
    <t>Isabel, Dmu</t>
  </si>
  <si>
    <t>Dmu Isabel</t>
  </si>
  <si>
    <t>…como la que tienen. Las Córtes del año 1821 asi lo reconocieron. Pe nen al actual nrien de cosas, y mas que todo por la que profesan á nuestra au ro ¿ es igual en el dia el estado de su familia* Ciertamente que no. El Gobier gura Reina Dmu Isabel ii, como lo probaron en las críticas circunstancias no, en el presupuesto que formó, tuvo Sin duda presente que eran ocho los hi y sucesos de la Granja de Octubre de 1832, nos deben impeler á ser justos y jos que tenían los Sres. Infantes D. Francisco de Paula y Doña Luisa Cirlota, generosos con él…</t>
  </si>
  <si>
    <t>Isabel, Dofia</t>
  </si>
  <si>
    <t>Dofia Isabel</t>
  </si>
  <si>
    <t>…ño de 1823 hasta ahora, los contratos y obligapérdida dé tanta iriagnitud con el advéhimientó al trono de la excelsa Hija de.qiones estipuladas en cada uno de los empréstitos, las.bases de estos, el importe V. M. la ReínA nuestra Señora Dofia Isabel ii, y con la acertada disposición¡actual dé la deuda interior ó española, su origen, conversión y motivos, con que la sabiduría del difunto Rey habla tomado de antemano para dejar coloca todas las incidencias que conduzcan á presentar este punto con toda la clartdaxi .necesaria ¡ se ha dignadq mand…</t>
  </si>
  <si>
    <t>Isabel, Dofii</t>
  </si>
  <si>
    <t>Dofii Isabel</t>
  </si>
  <si>
    <t>Núm. 25. Martes 25 de Febrero de I83¿. ARTICULO DE OFICIO. Marzo de este año. De Real orden &amp;c. Madrid 17 de Diciembre de 1833. zz | Marriñez.rrSfcs. directores de Remas. La Reina nuestra Señora Dofii Isabel ii, y S. M. la Reina Gobernadora, Qtrrr sería lando el medio de reintegrar d los compradores de escribanías y ofi liguen sin ñor¿dad en su importante salud. cios incorporados a la corona en las cantidades que entregaron ,y fueron . Del mismo beneficio disfrutan SS. AA. RR. los Sermos. Sres. Infante…</t>
  </si>
  <si>
    <t>Isabel, Dofis</t>
  </si>
  <si>
    <t>Dofis Isabel</t>
  </si>
  <si>
    <t>…igeras enmiendas. Una peres.” Por fortuna nuestra lejos de hallarnos en ese caso, estamos muy lejos de a, suprimir la palabra Infante; llamándole solamente D. Cario* María él: nosotros vivimos bajo el gobierno paternal de nuestra Reina Dofis Isabel ir, Isidro de Borbon, porque aunque sé muy bien que ysa de la acepciones y de su augusta Madre la Reina Gobernadora; donde por los medios ordina de ala voz se aplica á todos los hijos que no sean.el primogénito del Rey, la rios y legales, por el conducto regular de loa representantes de la Nación,…</t>
  </si>
  <si>
    <t>Isabel, Dofu</t>
  </si>
  <si>
    <t>Dofu Isabel</t>
  </si>
  <si>
    <t>…con ios gobiernos emanados de concesión de los se con el voto particular del Sr. Sampoms, han considerado excesivas la» asig Monarcas, stn apelar á Us revoluciones. Por consiguiente, ni he puesto ni po naciones propuestas para la Reina Dofu Isabel 11 y pjra su augusta M*diet r dido poner en duda ni en parangón con las revoluciones los derechos de la han sostenido que debían reducirse á 24 millones la de ia primera, y a tí la de Reina ; y lo advierto asi, porque no quiero cargar con una odtosidatf'que no la segunda; otros han creído justa la de. 1…</t>
  </si>
  <si>
    <t>Isabel, Doga</t>
  </si>
  <si>
    <t>Doga Isabel</t>
  </si>
  <si>
    <t>…vos países para sófrir el juicio i que haya lugar. publique en la Gaceta este rasgo de su patriotismo , 7 dé su adhesión 1 ü jus Generalmente se cree que las extraordinarias medidas adoptadas para man ta cansa de la Reina nuestra Señora Doga Isabel u- tener la paz-en Francfort, serán modificadas en gran parte, y que se dismi nuirán también las guarniciones de Austria y Prusia que ahora ocupan !• ciu dad. 6¡n embargo es poco probable que mientras Francfort continúe siepdoda Partts rteibidess en la secretaría de Petado y del Despacho de ¡a Cana…</t>
  </si>
  <si>
    <t>Isabel, Dolía</t>
  </si>
  <si>
    <t>Dolía Isabel</t>
  </si>
  <si>
    <t>…noticias contestes de los pueblos,desertándose los demas en ponderable el entusiasmo de estos honrados isleños , y su decisión en favor de grupos mas ó menos numerosos, conceptuándose ya como perdidos aquellos lot derechos de la Reina Dolía Isabel ir. miserables restos, en atención á verse sin el auxilio de la caballería, que era la encargada d£ entrar en los pueblos á la exacción de raciones. Haro 12 de Junto. Antes de ayer entró en esta villa el Sr. capitán general interino de Castilla la Vieja: fue recibido por estos habitantes con el may…</t>
  </si>
  <si>
    <t>Isabel, Dona</t>
  </si>
  <si>
    <t>Dona Isabel</t>
  </si>
  <si>
    <t>…, cupo documento , aunque no casifi. Mal expresado: no es eí ínteres ce la actual dinastía lo que debemosm de los exigidos por la ley de elecciones, cree dicho señor ijue basta para ser sostener; son los legítimos derechos de la Reina Dona Isabel ii como Hija admitido como tal Procurador; en efecto , después de una ligera discusión de Fernando vil: no es pues ^cl interes de esta Señora Jo que hay que defen entre los Sres. González Alonso, Falces y Mcdrano , quedó aprobado el der á todo trance; es su derecho , y no es lo mismo una cosa que o…</t>
  </si>
  <si>
    <t>…... 400 a 00 zoo. GACETA DE MADRID ARTICELO DE OFICIO. mediadoras encontrarán con mas facilidad en conferencias generales, medios de obtener ó suplir el consentimiento que se obstina en negar el daque de.Nassau. La Reina nuestra ¡Señora Dona Isabel ii, y S. M. la Reina \ Parece indudable que todas las Potencias están animadas del mismo deseo de acabar la interminable cuestión de Bélgica, aunque sin emplear otra vez pura Gobernadora, siguen en el Real sitio de Aranjuez sin novedad ello medios coercitivos. (G. de Augsburj;o0 en su importante sa…</t>
  </si>
  <si>
    <t>…blicidad posible, y habiéndose despachado varios expedientes En los días 18,19 y 20 celebró la villa de Lebrija cón fiestas y regoci el mismo dia en que entró la junta en ejercicio. jos.públicos la proclamación de nuestra augusta Reina Dona Isabel ii des pués de una solemne función de iglesia, en la cual pronunció el beneficiado y cúra nos antiguo D. Diego de Zara y ^cunza un enérgico discurso análogo al La correspondencia que salió de Madrid el 2 de] corriente para las monta- ,.objetpy y el ayuntamiento dió un espléndido refresco á todo lo…</t>
  </si>
  <si>
    <t>…hab.a sa.iC » ce curren en D. Luis López de la Torre Aiilon, oficial 6.° de la primer j secre Zaragoza v estaba cer«.a de ^os. taría del Despacho, se ha dignado la Reina Gobernadora, en nombre de Mi augusta Hija la Reina nuestra Señora Dona Isabel 11, nombrarle secretario El comandante general interino de !a provincia de Burgos, con fe„ha q de de la embajada de S. M. en París i en reemplazo del conde de Coiombn Febrero actual, partí, ip.i a este ministerio ¡a importante proion Jcl cjInc : ia Gieiórb Muñoz, \er»nc.uia en la» m media, iones de…</t>
  </si>
  <si>
    <t>…a ver Ia’tanti- llos casos cti que hay una necesidad forzosa de la discusión del artículo que an dad que fijaba el orador. Léanse todos cuantos discursos se han pronunciado, y tecede, porque desaprobada la asignación hecha para U Reina Dona Isabel ir, se verá que adolecen de esta falta, que no ha estado seguramente en los orado se está en el caso de que se haga una asignación nueva, ó que se enmiende con res, sino en la naturaleza de la materia. Quisieron probar lo^ue era imposible arregle á las proposiciones que se tomen en consideración. D…</t>
  </si>
  <si>
    <t>…n los gastos necesarios para sostener el honor de mi [ eorIBrtríeiS á los hermanos en la observancia de nuestras leyes y en el conven- corona y los intereses de mis reinos. | cimiento que creo tienen de la legitimidad de S. M. la Reina Dona Isabel ii, «Los datos que se pondrán á vuestra vista del estado comparativo de gastos [en la obediencia á S. M. la Reina Gobernadora, y á cuantos en sus rectos y productos, creo que os parecerán satisfactorios. I tribunales nos m'índan. Y que, cuando vuestra quebrantada salud no os lo per- «Milores y seño…</t>
  </si>
  <si>
    <t>Isabel, Dóña</t>
  </si>
  <si>
    <t>Dóña Isabel</t>
  </si>
  <si>
    <t>…fórmula si fuese capaz de subvenir á todos los gastos de la Milicia; porque existiendo una guiente : Real órden para que estos gastos se satisfagan de los fondbs de Propios , y? en Juráis fidelidad y obediencia á la Reina nuestra Señora Dóña Isabel ii, su defecto por un reparto vecinal, en muchos pueblos, en donde los prime'os y en su nombre durante su menor edad, á S. M. la Reina Gobernadora.’ son casi nulos, habría que apelar al último, en cuya ejecución hay graves in »; Juráis guardar y cumplir el Estatuto Real y las leyes de la monar conv…</t>
  </si>
  <si>
    <t>…de oido el dictamen de la junta de Sanidad de la misma v ción de la juventud y culos progresos del saber; he vetoido en de su provincia, ha tenido á bien mandar se proceda al expurgo y des cretar, á nombre de mi augusta Id ¡ja ia Reina Dona Isabel ii, lo si infección de la tioblacion. observándose para ellolas reglas siguientes: guiente: 11 En los hospitales, casas «le so«»rros y demas establecimientos 1? Queda suprimida la inspección general de Instrucción pu públicos se Manquearán las paredes y techos de las salas y habita blica. ciones en…</t>
  </si>
  <si>
    <t>…vaEl consejoá fin' de provincialobtener su desanciónMinasparadirigióel proyectouna propuestade contraerá la un¡Bambitaempréstile to de l'SOÚó'2áEcuen tos de reís que deben aplicarse exclusivamente 4-ha con^ S. M. la Reina nuestra Señora Dona Isabel ii y su augusta truccion de un camino real para la conducción de lús viageros y mercaderes de Hérmana.IaSerma. Sra. Infanta Doña María Duisa han salido hoy esta capital hasta la provincia dd Minas Generales, y de allí á Minas Nuevas. del Real'sitio íle; Sv iMefonSb, para el ,del Pardo, á las diez;…</t>
  </si>
  <si>
    <t>…salientes que dében servir que los rebeldes jugaron por mucho tiempo contra la casa en que se hallaban de defensa á dicha puerta. Con esa operación me creí superior á todas sus fuer los leales defensores de S. M. la Reina nuestra Señora Dona Isabel i i. zas, y me resolví á defender á la bayoneta la única escala que quedaba, v por El ejemplo de lealtad y bizarría que se ha dado en esta ocasión, es tanto la que, me lisonjeo en decir, que solo hollando nuestros cadáveres hubieran mas noble y digno del aprecio de S. M., cuanto en aquel trance no…</t>
  </si>
  <si>
    <t>Isabel, DoRa</t>
  </si>
  <si>
    <t>DoRa Isabel</t>
  </si>
  <si>
    <t>…Febrero de 183 ¡GACETA DE MADRID. ARTICULO DE OFICIO. rior, el gobierno y dirección de todas las partes que constituyen la misma zr-1 mada, tanto facultativas como militares y económicas, excepto las judicúle Xa ÍR'EilfA nuestra Señora DoRa Isabel ii, y S.M. la Rema Gobernadora, que deben subsistir por ahora como en la actualidad: y asimismo be tenida i l'fígüensii) novedad en su importante salud. bien aprobar en todps sus partes el reglamento que para, gobierno inierionde¡J| 1 DiÉRiisfno "beneficio disfrutin SS. AA. KR. los Sermos. Sres. In…</t>
  </si>
  <si>
    <t>Isabel, DoSa</t>
  </si>
  <si>
    <t>DoSa Isabel</t>
  </si>
  <si>
    <t>…A ‘ésto repuso Mr. Dumortier que cualquiera que fuese la divergen con toda clase de auxilios al mantenimiento y defensa de los legítimos dere cia entre sus opiniones y las de los dos ministros, jamas había dudado de su chos de la Reina DoSa Isabel n. El reconocimiento de la misma, como So patriotismo, y en seguida les preguntó si bu renuncia tenia alguna relación con berana de España, por Dinamarca, Suecia, las ciudades Anseáticas, y los Es la política extrangera. Mr. Rogier dió gracias por el buen conLepto que mere tados-Unidos de América.…</t>
  </si>
  <si>
    <t>Isabel, Duna</t>
  </si>
  <si>
    <t>Duna Isabel</t>
  </si>
  <si>
    <t>…ltad. espontáneo de lealtad y de admiración v vrartud á los beneficios dimanado-» del truno, ha- proclamado solemnemente a S. M (Q. D. G.) la Rusa nuestra El capitán general de Castilla la Vieja con fecha 16 del actual dice entre Señora Duna Isabel ii , levantando pendones en ios sitios públicos el alcaldfe otras cosas lo que sigue: *&gt; El comandante del destacamento de Lcrma avisa que de primer vo;o, y arrojando monedas, después de una lucida función de -c'eha recorrido yarjos pueble» de aquel partido Aid tener ci gusto de hallar á los ^ si a…</t>
  </si>
  <si>
    <t>Isabel, J la Sra Doña</t>
  </si>
  <si>
    <t>J la Sra Doña Isabel</t>
  </si>
  <si>
    <t>…ra formar una idea de la desgraciada lucha de Lyon, debe saberse, se pre fidelísima dudad de S. Cristóbal deja Habana proclama por su ¿rustir— gún los pormenores que da una carta digna de confianza, que la acción empe- ta Reiüa y Señora J la Sra. Doña Isabel si. Cien mil voces salidas dpi 2Ó al mismo tiempo en varios puntos, no precisamente contiguos, sino separa fondo de todos los corazones contestaron á esta proclamación con muestras del dos por Los dos ríos que cOTtan la ciudad. Los insurgentes se dirigieron con mas fervoroso entusiasmo , y cubriero…</t>
  </si>
  <si>
    <t>Isabel, JJoña</t>
  </si>
  <si>
    <t>JJoña Isabel</t>
  </si>
  <si>
    <t>…L DEL REINO. porcionar en ellos mucho mayor número de vacantes de gefes^y oficiales que cuando están en provincia; queriendo conciliar al propio tiempo el ínteres del ^ Reales órdenes. Servicio de suyaugu^ta Hija Ja Reina nuestra Señor^JJoña Isabel ii , con“la M. la Reina Gobernadora se sirvió dirigirme en 22 de Diciembre úl [ equidad dcbida.cn la carrera y suerte de los que se consagran a la noble pro timo el Real decreto siguiente: fesión militar en sus diferentes armas ¿institutos, sin alterar en lo posible la Correspondiendo que los gefes…</t>
  </si>
  <si>
    <t>Isabel, Mará</t>
  </si>
  <si>
    <t>Mará Isabel</t>
  </si>
  <si>
    <t>…ásticus; Hearique vm. rica. Ha habido algunos muertos y muchos heridos. Los eatotutos del Reino desde la conquista hasta la Reina; colección muy astriñida ca Inglaterra. Actas dei Parlamento de Escocia. T a Reina viuda de Ñapóles Doña Mará Isabel, Infanta de España, lle Estados del Parlamento desde Eduardo f. gó ayer i Pésaro á cosa de las doce, de paso para-Nápoles, adonde piensa ir El Diario de la Cámara de los Lores y el de la Cámara baja, el primero por el Abruzo. Se apeó en el palacio apostólico; el legado, el obispo, el cuer desde 150…</t>
  </si>
  <si>
    <t>Isabel, María</t>
  </si>
  <si>
    <t>María Isabel</t>
  </si>
  <si>
    <t>…o manda; y el primero os dará siempre el ejemplo de Alentejo. Todo, pues, anuncia que pronto veremos concluida la guerra de de repetir con toda la efusión de su alma que viva la Reina nuestra Señora Portugal, (D. de los Debates.) Doña María Isabel 11, que viva la Re»ka Gobernadora Doña María Cr»*- tina ue Borbon. Santiago de Cuba 30 de Enero de 1834* = José Santo* do , El Correo ingles del 13 contiene las noticias siguientes de Portugal en la Hcra. posdata escrita á las tres y media: "El Lightnine hi traído á lord Witliam Ruft&amp;el y su comiti…</t>
  </si>
  <si>
    <t>…es inútil darlas de nuevo, púa existen ya. Reclámese pues «1 cum ciones con la corte de Roma, que esta, en que dicha corte no reconoce á su plimiento de ellas, y estaremos conforma todos; pero no se ponga como ley -legítima Reina Doña María Isabel ii, y en que el calendario pontificio po fundamental lo que no lo es. ne como Rey de España á D. Cárlos? ¡Volverá á presentarse otra ocasión Todos los Sres. preopinanta han divagado en la cuation y se han exten como esta? ¡Tendrá,España por ventura una ocasión mas favorable para hacer dido á hablar…</t>
  </si>
  <si>
    <t>…oles, Madrid 12 de Marzo. renta de España al 3 por loü, 39¿. Empréstito Real de id. 74¿» Renta per Por Real decreto de 9 de este mes se ha servido S. M. la Reiva Gober petua de id* 61¿ nadora conferir en nombre de su augusta Hija Doña María Isabel. 11 la in tendencia de la provincia de Sevilla á D. Bernardo de Elizalde, que servia en cXwara de los pares__ Sesión del dia 22. comisión la de Extremadura. Esta á D. Pascual Genaro de Rodenas, que ser Aprobada el acta de la última sesión, lee el Sr. Villemain el elogio fúne via la de Málaga. Estaá D. Die…</t>
  </si>
  <si>
    <t>…rán desde dicho puer En la ciudad de S. Juan Bautista, capital de Puerto-Rico, se ha celebrado to á los de Mesina y Trieste: por consecuencia las cartas'da Grecia para Euro en representación de toda la isla la jurj de !j Princesa Doña María Isabel l&gt;k | pa sé recibirán en Ancona. Rorbon como heredera del trono, y el entusiasmo y magnificencia con que se _ Escriben de Andrinópolis que M. Bois-íe*Comte, cuya llegada á dicha ha hecho ha corrc-pondido i la antigua fidelidad de aquciia isla, y á su impor ciudad hemos anunciado ya, llevaba en su c…</t>
  </si>
  <si>
    <t>…Real de España é Indias, antes sea posible la división de los partidos judiciales por los gran vengo en conferir este destino en nombre de mi augusta Hi¡3 la des beneficios que han de resultar á los pueblos de la mas pronta Reina Doña María Isabel ii, á D. Antonio Martínez, conse administración de justicia: y considerando que la necesidad de esta jero de Estado honorario. Tendréislo entendido, y lo comunicareis medida se hace mas imperiosa y perentoria, porque ella ha de pre á quien correspondalccrEstá rubricado por S. M.zcEn Aranjuez á sent…</t>
  </si>
  <si>
    <t>…ponerse á la acción legal del gobierno, tener bido en iguales ocasiones recompensar los servicios que se hacen eq obsequio de minada su autoridad, y constituir una fuerza excéntrica, incompatible con el su cara Hija nuestra Re ma Doña María Isabel ii pb Borbov. buen régimen del Estado y con la pacífica posesión de una libertad saludable. El oficial primero de la subdelegacion de Fomento de la provincia de San Ni el voto de una y otra Cámara, ni la sanción del Monarca, ni el peso tander D. Juan Antooio Garnica, encargado por el Sr. comandante…</t>
  </si>
  <si>
    <t>…enido en ríe administradores Je los colegios v establecimientos dependientes nombrarle director general de Rentas en propiedad á nombre de de la Mayordomía mayor, percibirán únicamente la ;&gt;arte de sueldo mi augusta Hija la Reina Doña María Isabel ii. Tendréislo enten necesaria á cubrir el que se les señala en el artículo 2?, ron presen dido, y dispondréis su cumplimiento. —Está rubricado de la Real ma cia de loque haya producido la administración, podiendo conside no de S. M. = En Carabanchel á 27 de Junio de 1834.—A D. José rarse bastante…</t>
  </si>
  <si>
    <t>Isabel, Pona</t>
  </si>
  <si>
    <t>Pona Isabel</t>
  </si>
  <si>
    <t>…Febrero de 183 i. GACETA DE MADRID. , ARTICULO DE OFICIO. ¿ otros menos criminales les ha impuesto el tribunal la pena de presidio en Africa y ya en la Península; y ¿ al cunos otros, que con la prisión que han . La Reirá nuestra Señora Pona Isabel ii, y S. M. la Reirá Gobernadora, sufrido han purgado la culpa que tuvieron, los Hj juzgado a^rccdjres a que se siguen sin novedad en su importante salud. •les ponga en libertad. Peí mismo beneficio disfrutan SS. AA. RR. los Serenos, Sres. Infantes. Mientras ha seguido este proceso el curso natural…</t>
  </si>
  <si>
    <t>Isabel-ii</t>
  </si>
  <si>
    <t>…es columnas, la que menos de 69 hombres, y los otros bastantes para reprimir á los que se han reunido pira combatir el Trono de 209 están destinados á guardar los puntos fortificados, las costas Scc: en esos nuestra adorada Reina Doña Isabel-ii : á las bayonetas es á las que está re llanos inmensos de las Castillas hay un pie de 15 á 169 hombres. Es menester servada esta obra: bien conozco que al efecto son necesarios grandes sacrifi saber cuáles son las necesidades, cuáles los medios para satisfacerlas, y si es cios; mas me parece que el…</t>
  </si>
  <si>
    <t>Isabel.ii</t>
  </si>
  <si>
    <t>…. F.. comuni miento que le lia causado la muer 'e vuestro icg-.o : cante con fecha 8 de Octubre último , y entcrájoine con suma satiaf.ts. J&gt;'ti de byV E. P. ID.), no puede menc-s de ,.t-'cir j A . M ^ que la Reina nuestra Señora Doña Isabel.ii , S. -M. la Reina Gobernadora to, que retirado en la vc;da de su v. ■nvento de ; . o y su augusta Hija menor, asi como los Scrmos. Src*. Infantes continuaban sin se:wia en el año 18. *-m pcro.r en .a, .dl-.ii.n : o .novedad en su importante salud , disfrutándose igual beneficio en tod v, L&gt;s pue d,…</t>
  </si>
  <si>
    <t>Isabet</t>
  </si>
  <si>
    <t>….;,-. x.’-., , w.ruucn Cfi sv - J.: cr* ... i ARTMmO DE OÍJCIO. dodlcguc: No ventilaremósaquriestael momcdtQ^lo.muyútilrqúectie;tieme:rierorOeserá A bxnactqqqjnoa acaá fliflcdyu-ohartqqsg*qfe.cl Rey dsé&lt;gmr LaREiwA nuestra Señora Doña Isabet. ii, y S. M. laREittA su sucoor eventual al tronó. Ya los ipctiódiOos qraBgiqaÁjit^aq fuejtementy Gobernadora, siguen en el Real sitio de Aranjuez sin novedad n»teproyecto , y sabemos.ademas que rime: terribles,gdyqtbrioa^ntcealgunp* hombres de cierta opinióh , á quienesua^rihb*» po«&gt; b: &gt;4«t&gt;de .-M…</t>
  </si>
  <si>
    <t>Isabf.l</t>
  </si>
  <si>
    <t>…ad del trono de S. Fernán— ha durado el congreso, y el gran número de cuestiones vitales y paHticas que o, á que por las leyes mas venerandas ha sido llamada nuestra ino tenia que ventilar y resolver aquella asamblea. cente Reina Doña Isabf.l ii, están á par del entusiasmo de los oficia Pero no se crea por eso que se han sacrificado los intereses comerciales jr les y tropa las ocasiones que se disputan de acreditar su* Valor y su las mejoras positivas; antes bien sabemos por buen conducto gue dcntyu de popo serán objeto de la especial a…</t>
  </si>
  <si>
    <t>…RTICULO DE OFICIO. ha sidoLa massaludbiende nuestraperjudica!Reinaque dasaludablebastante, inquietud.por lo cualSuserávTagede muyá Pahrrroocorta d»~£* ración la permanencia de la corle en Sicilia, (/•i.) "La RxntA ■nuestra Señora Doña Isabf.l n continúa sin novedad en su importante salud en el Real sitio de San Ildefonso: y de i^ual Roma 10 de Julio. beneficio disfruta S. M. la Reiwa Gobernadora en el Real palacio Tres correos procedentes del Norte han pasado esta semana por nuestra, de Riofrio. También ^oza de perfecta salud en el expr…</t>
  </si>
  <si>
    <t>…arneral,losquerebañosmandubíy elenbotíngefe queinterinamente,habían cogidoles áhaloshechoenemigos.presenteEl lotenientemucho quege aprobaba esta conducta, que no puede menos de producir un excelente efecto La Reina nuestra Señora Doña Isabf.l ii, y S. M. la Reina sobre el ánimo de les indígenas. Gobernadora, signen en Carabanchel sin novedad en su im La columna, después de haber recorrido y explorado las orillas del Bourou portante salud. mi y del Oued-Jer, que no conocíamos, volvió en la mañana del 21 al campa Del mismo beneficio disfr…</t>
  </si>
  <si>
    <t>Isabfí</t>
  </si>
  <si>
    <t>…notoria lealtad y recomendables servidos del Dios &amp;c, Madrid 30 de Junio de 1834. = El copde de Toreno. = Se coronel de infantería D. Sebastian Llanos, he venido , á nombre de ñores directores de Rentas. íni augusta Hija la Reina Doña Isabfí ii , en conferirle el destino jte¡ Mayiítro de ceremonias de las CÓTje&amp; Tendréislo entendido, y lo MINISTERIO Dí IO INTERIOR. comunicareis» quien corresponda.=Está rubricado-de la Real mano de Si. M,=En San Ildefonso á 12 de Julio de 1854. =A D. Francisco Real órdéru Martínez de la Rosa , President…</t>
  </si>
  <si>
    <t>Isabfl</t>
  </si>
  <si>
    <t>…loo GACETA DE MADRID. rARTICLXO DE OFICIO. ben si se someterán ó'si resistirán á la fuerza con la fuerza. Tenemos entre tanto motivos para creer que al acercarse un ejército considerable, no solo depondrán la Reina nuestra Señora Doña Isabfl ii continúa sin novedad las armas los capitanes bosniacos, sino que se apresurarán á recibirle con bene en su importante salud en el Real sitio de San Ildefonso; y de igual volencia, prometiendo sumisión al Sultán y atribuyendo su reiterada rebelión á la torpeza del gobernador ó á cualquiera otra c…</t>
  </si>
  <si>
    <t>IsABgt</t>
  </si>
  <si>
    <t>17 2 Ipor la minoridad de la Reina nuestra Señora Doña IsABgt ii, nos prometemos ' pero,dijo que no la hacia porque el gobierno deseaba, según le escribió uno de ■ que la obra principiada por vuestro augusto Esposo merezca también vuestros los ministros, que hubiese ei menor número posible de votos á favor de la Ibenéficos cuidados, y que no recusará. V. M. a…</t>
  </si>
  <si>
    <t>IsaBi</t>
  </si>
  <si>
    <t>…- | nico á V. S. de Real orden para su cumplimiento. Dios ¿cc. Madiid 4- el® bre último, y con ella la preciosa dádiva de monedas de las .uu.adi.. con me Enero de 1834-^-Biixgos. tivo de la proclamación de la Reina nuestra Señora Doña IsaBi i verified da en esa villa de Madrid,'que V. E. me remite de de S. M. la Runa MINISTERIO DE ESTADO. Gobernadora. Agradezco muchísimo la generosa di t.nuon de S. M. en haber Excmo. Sr.: Con la Real orden de 8 de Octubre último que se ha servi me participante de tan fausto au-eso, y conservare ..o mo…</t>
  </si>
  <si>
    <t>Isabi.l</t>
  </si>
  <si>
    <t>…os. (Id ) — mandando que pasen a! tribunal mayor de Cuentas las de gastos de ofi Real orden mandando que se coloque el retrato de la Reixa nuestra Señora cinas y contingentes de propios y arbitrios ingresados en las tesorerías de Doña Isabi.l ii en 1 a salas del-Consejo Real de Españj e Indus y en los provincia hasta fin de 1833, después de examinadas y aprobadas por la con tribunales supremos \ superiores de toda la monarquía. (/**•) taduría general. (Id ) . mandando que se publique en la Crjccta la cesión que ha hecho che su — sobre l…</t>
  </si>
  <si>
    <t>Isabido</t>
  </si>
  <si>
    <t>…r! j ,1.,¿I i.’.,’''.! , considet^sáDm-Hay .pjás j .'á^pxe^tabjqcee;^as Jey^(' b* ’ hecho un "Prescindiendo de que para ayquguar.JCjáct3ttKQte,,.yresolver pon el de beneficio á JaN ación que .redunda cnpo menos prbyéchó de S. bf. Doña Isabido conQciuftisnJQ la.que debíais,4 ta cor^najén.el presupuesto, era-in- ■ ■í.ifL ti .asegurando la sucesión,’que se Jhál&gt;¡« alnjrado por ia )ey sálica de Feli dispensabíe.^at^r Jo que tiene .actjíalnaente.; y .prescindiendo también de ave pe V , y pues que ha .entazado los intereses, del ttdbó-y 'del…</t>
  </si>
  <si>
    <t>Isabil</t>
  </si>
  <si>
    <t>…perimentado la mas pu harán los honores fúnebres del modo siguiente : ra satisfacción al reunirse á sus muy queridas y augustas Hijas la Al romper el d.a se hará una salva de 21 cañonazos, y se continuará dis Reina nuestra Señora Doña Isabil ii y la Sra. Infanta Doña María parando un cañonazo cada cuarto de hora hasta que se ponga el sol. Luisa, que continúan sin la menor noypdad en su impórtame salud. Los buques del Estado amorronarán su bandera durante el día entero. Los Lo participo á V. E. de Real órden para su inteligencia y satis…</t>
  </si>
  <si>
    <t>Isabiu</t>
  </si>
  <si>
    <t>…os. (Id ) — mandando que pasen a! tribunal mayor de Cuentas las de gastos de ofi Real órden mandando que se coloque el retrato de la Reixa nuestra Señora cinas y contingentes de propios y arbitrios ingresados en las tesorerías de Doña Isabiu ii en 1 a salas del-Consejo Real de Españj e Indus y en los provincia hasta fin de 1833, después de examinadas y aprobadas por la con tribunales supremos \ superiores de toda la monarquía. (/**•) taduría general. (Id ) . mandando que se publique en la Crjccta la cesión que ha hecho che su — sobre l…</t>
  </si>
  <si>
    <t>…parienta mas inmediata, del i, X. primer soldado del regimiento de infantería de Córdoba que murió en campaña .Estado dd numerario que ha circulado en Francia desde 1661 hasta da sosteniendo los derechos de la Ruma nuestra Señora Doña Isabiu. ii, cayo Enero dé 1832. . . „ producto, que asciende á 469 pesos y 2 rs., entregará, deducido él cambio, d 1661 siendo ministro Colbert......... .. 600 millonea. capitán comandante de la bandera de recluta de dicho cuerpo, establecida en la 17n8......... ídem.... Nicolás Desatareis. 800 id. Coruña,…</t>
  </si>
  <si>
    <t>…ho reales vellón diarios sobre él fondo de temporilidadcs de la mitra corregimiento de la capital, he venido , á nombre de mi muy amada Hija la de León ; debiendo percibirla desde el dia del fallecimiento 3e sus hijos, y co Reina Doña Isabiu h, en resolver lo que sigue: 1La autoridad del corre brarse de las cajas Reales de Logroño, que se reintegrarán del fondo ya expre gidor de Madrid se limhará.en adelante al ejercicio de las atribuciones purar sado. De Real orden lo digo á V. 5. para su ioteJigeociáCy’rfectos convenien menté municip…</t>
  </si>
  <si>
    <t>Isabj</t>
  </si>
  <si>
    <t>…el cuerpo electoral de 1«H- no ts mas que el heredero y el continuador los leales y be'ueme. ilo&gt; defe:&gt;¡Me? del t-or.'o de nuotra amada Rk;\a la Seno a de los electores privilegiados de 1823- Los elementos sin embargo, no son va Doña Isabj.1 ii, y no era menor el placer que -jot toda-. p‘rte&gt; reinaba; pero los mismos ; todo es diferente de como era emon.es en la composición del llejo a '■u colmo al presentarse inopinadamente: a! frenicde ¡as filas su ellctka nuevo poder. Se ha adoptado al constituirle, el parecer de la mas liberal opo…</t>
  </si>
  <si>
    <t>Isabj.l</t>
  </si>
  <si>
    <t>…--Sir Slratford-Canning volvió aver de Brighton, donde había ido á despe le* puertoriqueños jamas podrá faltar de sus corazones, v se .encenderá ma&gt; por dirse S. M. antes de partir á su embajada de S. Petersburgo. su augusta Hija Doña Isabj.l 11 y por 3a Rl/va Madre, Gobernadora del rei ------ Carlas de Malta del 22 de Noviembre dicen que nuestro almirante tiene no, de quien tantos beneficios tiene recibidos la nación empinóla, ^orn'&gt; que ha concentrada su escuadra en la bahía de Vourla para obrar según las circunstan sido v es el iris de U…</t>
  </si>
  <si>
    <t>Isabki</t>
  </si>
  <si>
    <t>…emos á las esas posesiones que le pertenecen: sesia mengua para ia Nación misma el ver Córtes fuluras. una porción de obras magníficas, de monumentos de las artes, irse destruyendo ‘ „¡Qué se haria si tuviéramos la dicha de ver á Doña Isabki ii en ma por falta de cuidado hasta quedar convertidos en ruinas. yor edad, y que tomando estado se encargaba de las riendas del Gobierno? «Paso á la tercera consideración, y esta es ya menos circunscrita y de ¡Cuál seria entonces la asignación que debería hacerse á S. M-! ¡No dirían las terminada…</t>
  </si>
  <si>
    <t>Isabkl</t>
  </si>
  <si>
    <t>…a comisión seria la primera á revocar su opinión; Viena y Petersburgo, de las-principales de Europa, cuando llegue el caso que no debe detenerse el Estamento en proceder á votar la totalidad del presupues estas reconozcan á S. M. Doña Isabkl ii , entonces no existiendo las razones to, una vez que se reserva el derecho de aprobar ó desechar los pormenores.” . que ha alegado en favor de su opinión el Sr. Arguelles, convendrá que los El Sr. conde de las iSfavas: «El objeto de todo Gobierno es hacer fe agentes diplomáticos nuestros sean mi…</t>
  </si>
  <si>
    <t>…pleta tranquilidad, y el espíritu público se va fortificando y rehaciendo notablemente en favor de los sagrados é indisputables derechos de bolsa de comercio__Cotización de hoy á las tres de ¡a tarde. nuestra amada Reina y Señora Doña Isabkl ii. Lo que tengo el honor de EFECTOS» PUBLICOS. elevar al superior conocimiento de V. E. Dios &amp;c. Oviedo 14 de Mayo de Inscripciones en el gran libro á 5 p. 100, 00. 1834.=:E*cmo. Sr.=N Lolas de Isídro.rrExcmo. Sr. Secretario de Estado y del Títulos al portador del 5 p, 100,64J al contado: 64J, |,…</t>
  </si>
  <si>
    <t>…los españoles! manifiesta que presenció todo lo ocurrido en los días 22 y 23 de Febrero, por miranda de Duero 8 de Marzo. que su legión estuvo empleada ambos días en contener los facciosos, y que La proclamación de S. M. I3 Ruina Doña Isabkl ii se verificó en este entre los muchos desórdenes que estos cometieron insultaron á la guardia na pueblo con toda la pompa y solemnidad que supieron darla la lealtad v adhe cional y apedrearon á cinco tambores de ella que tocaban llamada en ia calle sión de estos vecinos en los dias 2i&gt;, 26 y 2’ d…</t>
  </si>
  <si>
    <t>Isabkl, Diña</t>
  </si>
  <si>
    <t>Diña Isabkl</t>
  </si>
  <si>
    <t>Nám. ¿1, Martes 8 de Abril de 1834. ARTICULO DE OFICIO. fragio del alma del Sr. D. Femando, á quien llorar» para «em- pre la nación si el cielo propicio no le -ensanchase con Ja venturo La Reina nuestra Señora Diña Isabkl n,yS. M. la Reina sa suerte que le protegía en la augusta ¿ucespra del trono la ino Gobernadora, siguen en el Real sitio de Aran juez sin novedad en cente Doña Isabel ti, nuestra legítima y reconocida Reina. Importante salud. Sí, Señora, el cicLo, repite este cabildo, enjugará, mejor di cho , hará…</t>
  </si>
  <si>
    <t>Isabkt</t>
  </si>
  <si>
    <t>…Srriptores actuales con ¡os cuati 0 húmeros rirai qtié récihiráti cadá semarua - - * ’. ., mm * -.-lo ARTICULO DE OFICIO. de Ifl Rlsal marVo.i=Eit Aranjuez i 30 de Marzo de 1834-e=A Doa José Vázquez Figueroa. Reina nuestra Señora Doña Isabkt ii, y S. M. la Reín# ^ Gobernadorasiguen en el Real sitio de Aranjuaz sin novedad ett JPata 4a plaza» de detírtO dé la sección de Hacienda del Consejo tu impórtente «alud. : V1 t&gt;el ,n)it(no beneficio disfrutan SS. A A. RR. los Sormos/$*y’ Real de España é Indias , creado por decreto de 24 del pres…</t>
  </si>
  <si>
    <t>Isablx</t>
  </si>
  <si>
    <t>…ro susceptibles, sin embargo de la horrorosa programa de monuibcnto artístico dedicado á consagrar dU memoria del jura pérdida que han sufrido, y que puede graduarse en mas de 300 hombres muer mento hecho á la Runa nuestra Señora Doña Isablx ii como Princesa here tos, entre los cuales se cuentan dos gefes y varios oficiales, asi en los dos pue dera de estos reinos , ó á la de su advenimiento al trono; tiene la satisfacción blos ya referidos, como en sus impenetrables bosques, dejando también en de proponerlo asi á los artistas españole…</t>
  </si>
  <si>
    <t>Ísabsl</t>
  </si>
  <si>
    <t>…e le admita en prueba da uno de los siguientes en- que se celebre misa: cuatro hachetas de de la lealtad que le anima por la justa causa de la Reina nuestra un pábilo inmediatas al cadáver, y doce hachas de un pábilo en la Señora Doña Ísabsl it, la cesión del 6 por 100 de su sueldo que circunferencia del féretro. Si por ser muchos los altares fuese gra ofrece en favor de las tropas del ejército del Norte; S. M. ha te voso á las partps poner dichas luces en ellos, el párroco, oyéndolas, nido á bien resolver que se le den las gracias al…</t>
  </si>
  <si>
    <t>Isabúl</t>
  </si>
  <si>
    <t>…ley presentado por el Gobierno acerca de la exclusión del Trono de España á y patriotismo que les anima de poner al abrigo el. Trono de S.-M. la Rhina D. Cirios María Isidro y á toda su descendencia. Se leyeron los artículos 1.° Doña Isabúl ii y las libertades patrias, pido al Estamento que cuando se dis— ■ y 2.a de dicho proyecto (véase la citada sesión de 8 de Setiembre último), y cuta el proyecto de ley sobre exclusión del Trono al Infante D. Cáelos Mana en seguida la lista de los señores que habían pedido la palabra; habiéndolo he…</t>
  </si>
  <si>
    <t>Isadel</t>
  </si>
  <si>
    <t>…ón ••Posteriormente al tiempo del Emperador Alfonso vi, y por muerte do que recaiga sobre ellos. su hijo D. Sancho, sucedió Doña Urraca, la que fue reconocida en las Cortes «Veamos ahora cuáles son las banderas de nuestra augusta Reina Isadel reino, y ocupó el trono en 1109 en el siglo xti. Se verificó esto también sel 11, de la augusta Hija de Fernando vn y de nuestra excelsa Cristina, sin existir derecho escrito sobre el particular , sino por el derecho consuetudi Reina Gobernadora: las de la libertad legal, las de la ilustración , la…</t>
  </si>
  <si>
    <t>…el segundo parece fue excitada la insurrección por los de el daño antes de haber de reprimirlo; he venido en decretar, a nom sertores de las partidas de Canaliso, que gritaban muerte ¿ las autoridades y al bre de mi excelsa Hija Doña Isadel ir, y después de oido el dicta congreso, y vivas al Rey. De Méjico habían salido 300 caballos y 150 infan men de mi Consejo de Ministros, lo siguiente: tes i las órdenes del coronel Pavón , para restablecer el órden en la Puebla. ' Artículo IV Ademas de la prohibición general ordenada por las Esta…</t>
  </si>
  <si>
    <t>Isaeei</t>
  </si>
  <si>
    <t>…o siguiente: Se va i fot1- »Este ayuntamiento, consiguiente á sus principios y sentimientos de cordial tnar deijtrp de algunos días un campamento de 4 á 53 hombres en las llanuras adhesión y arpor sincero á nuestra ¡nocente Reika Doña Isaeei ii, asi como de la Semina , entre las ciudades de Ruoully, de Aix-lcs-Bains y de Annecy. á su excelsa Madre la Reiva Gobernadora, y al ¡lustrado gobierno que feliz S« dice que el Rey pasará tevista.á estas tropas: y se cree, no sin alguna apa mente nos rige, y deseando dar una prueba cual puede de…</t>
  </si>
  <si>
    <t>Isael</t>
  </si>
  <si>
    <t>…o francés, que se compone de hombres honrados, la firmeza y ener— uion pública en esta ciudad y su jurisdicción á favor de Su augusta Hija la Se gia necesaria para resistir la opresión de los que tan malamente se llaman su» tter» Doña Isael ii , como lo acredita de un modo inequívoco la representa libertadores! (Gfe.V.)</t>
  </si>
  <si>
    <t>Isaéul</t>
  </si>
  <si>
    <t>…n las oficinas por las leyes de la monarquía y voluntad de su augusto y bondadoso Padre le de la prvvtn.ia. Y si V. M., bien para defender vuestra sagrada Real Persona, Icompete á su y vuestra augusta Hija nuestra Señora la Ruina Doña Isaéul ii. bien la de vuestra augusta Hija y nuestra Reina Doña Isabel y sus indisputa Mis oraciones y sacrificios se dirigen al alivio de vuestro difunto Esposo , si.-le bles derechos al trono de las España», necesita también de nuestros sacrificios! necesita , y á que Dios mude los corazones de los que…</t>
  </si>
  <si>
    <t>Isaheí</t>
  </si>
  <si>
    <t>…s Par* rft K&lt;rinov»^,.é..w. -3#l . ^.$6o:; . : 3(c¡u„ de .Correo», - PataCatiarioM.'^;. 3&amp;a ,, to® óSi’ ; rv ■' '■'í-W’.-. r ir- f i.n:i.fi!i ■ V- ' ARTÍCULO D^OTTCÍO; : i _ mCLATEKXA. Léndfet 19 dt julio* La RftWA nuestra Señora Doña Isaheí, ií contitpúá ain novedad - El célebre enano español D- Santiago de los Santos,;de Manila ; tjna se en sil importante salud en el Real sitio ¡de S, Ildefonso; y de igual -. ha manifestado en el teatro Adelphis de esta capital y en las princSpalesciiidabeneficio disfruta S, M, la Rt.rsA Gobernadora…</t>
  </si>
  <si>
    <t>Isaíbí</t>
  </si>
  <si>
    <t>Núm. 58.¡ Sábado 19 de Abril de 1834. DE MADRID. tras de adhesión y lealtad de sus individuos aí legítimo trono de ARTICULO DE OFICIO. mi muy amada Hija la Reina Doña Isabel ii, he venido en con La Reína nuestra Señora Doña Isaíbí. if, y S. M. la Reina cederla la honra de que sea la Reina la que ejerza las funciones Gobernadora, siguen en el Real sitio de Aranjuez sin novedad en &lt;fe hermano mayor, para que reciba tan ilustre cuerpo con esta su importante salud. gracia lina prueba mas de mi Real benevolencia. Téndréislo enten…</t>
  </si>
  <si>
    <t>Isaíex</t>
  </si>
  <si>
    <t>…, *.[) :.í íjí. I- a-. &gt; , ARTICULO DE OFICIO. expóiiérén enL^uéref- g*íe dé la Comisión temporal establecida para la liquida ción de atrasos del monte pío de oficinas por ei artículo 25 de hs sobe rana.¿nala Reina nuestra Señora Doña Isaíex ri, y S. M. la Rst?íK'Góbevnadora,: trtíóeicin d« 2ri’d«i ©tetembre de 1&amp;31, ha manifestado que la omisión deralsiguen sin novedad en su importante salud. ■ gnnos gefSs dé primaeia-efi contesta» i los reparos que la Comisión hshaa pues- 'Del mismo benefició tfisíVutan SS. A A. RR. los Sermós. Sire*…</t>
  </si>
  <si>
    <t>Isaiki</t>
  </si>
  <si>
    <t>Núm, 55» Miércoles 16 de Abril de 1834. ARTICULO BE OFICIO. Art. 7.° El Rey elige y nombra los demas Próceres del Rei no, cuya dignidad es vitalicia. La Rbiwa Doña Isaiki ti&gt;y S. M, la Krik a Art. 8.° Los Títulos de Castilla que fueren nombrados Proce Gobernadora, liguen en A Real sitio de Aran juez sin novedad en res del Reino, deberán justificar que reúnen las condiciones si su importante salud. guientes : J.a Ser mayores de veinte y cinco años. Del mismo benefici…</t>
  </si>
  <si>
    <t>Isaisl</t>
  </si>
  <si>
    <t>: Nuín. LL Sábado 5deAbrildeI83¿. m ARTÍCULO DE OFICIO. obligado í promoverla, pues roda contemporización en esta parta, no podría menos de presentar á la administración, como cómplice La JbtiNÁ nuestra Señora Doña Isaisl u , y S. M. U Reina del daño de los pueblos. Dios guarde &amp;C. Madrid d$ Marzo ^Gobernadora , siguen en el Real litio de Aranjuez sin novedad «n da 1834-=Javier de Burgos. su importante salud. PARTE NO OFICIAL Del mismo beneficio disfrutan SS. AA. RR. los Sermo*. Se* fiorics. Infantes. , NOTICIAS EXT…</t>
  </si>
  <si>
    <t>Isakf.l</t>
  </si>
  <si>
    <t>…blo que tiene á sus órdenes derramar hasta la última gota de su sangre ' S. M. la Reina Gobernadora, á nombre de su augusta Hija la para poner asi el sello de la inmortalidad á su lealtad nunca desmentida. Ma Reina nuestra Señora Doña Isakf.l ii, se lia servido conferir el go tanzas y Enero 26 de 1834- =Señora. = A L R. P. de V. M. = Francisco bierno militar y político de la plaza del Ferrol al coronel D. Sebas íjarvaez. tian de la Cuesta, y el de la plaza de Santoña al de la misma clase D. Antonio Ordoñez. Exposición &amp; S. M. la Rsjiía…</t>
  </si>
  <si>
    <t>IsAnri</t>
  </si>
  <si>
    <t>…RTICELO DE OFICIO. redadogratísimosr es recuerdosun acontecimientodeja primeraque completaIsabel, ylaquefelicidadderramacubanael consuelo, que despierta-en los corazones de los leales hijos de este país. I.a Ruin \ nuestra Señora Doña IsAnri. ti, y S. M. la Rfina Ningunos mas obligados á respetar, venerar y amar el nombre ^ue vuestra Gobernadora, signen en el Real sitio de Aranjnez sin novedad augusta Hija y Ruina nuestra lleva , como los cubanos , que fieles a sus legíti en sn impórtame salud. mos Monarcas en medio de convulsiones mil…</t>
  </si>
  <si>
    <t>Isapee</t>
  </si>
  <si>
    <t>…0 IOU, ’w.mi. 1UAJ M. 1 bL vJHLJr JHJ 1V ■ 1 1 11 ■ ARTICULO IWÉ OFICIO. ?i|lÓ nombrado secretario de la sección de Fomentó !en el coüsejq Reside lis ] ia ña é Indias. Enterada de todo S. ÁL, se ha dignada LíbReina nuestra Señora Doña Isapee ir, y 5Í. la Reina mandar qliese suprima la comisión régia del censé de población de C,nilernadora, siguen en el Real sitio (le Aiatijiiez sin novedad Granalla : que esta renta se administre en:lli sueesáva^or las ofkjinaS ilí lientas de oqueHa provinoia, nomo las dentáis de la Real Hacienda;en sil…</t>
  </si>
  <si>
    <t>IsArbí</t>
  </si>
  <si>
    <t>…ador civil de la provincia de academia greco-latina para el 19 de Noviembre del presente año con el plausi Cuenca D. Ventura de Córdoba, con fecha de 4 de Julio actual. ble motivo de la celebridad del dia de nuestra augusta Reina Doña IsArbí i i' Rara conservar lá salud pública de aquella ciudad ha promovido su limpie (Q. D. G.) za por todos los medios posibles y ha obtenido los resultados mas ventajosos. La forma de remisión de los discursos será el adoptado generalmente con Uf Ha resuelto que se recojan en la casa de misericordia de…</t>
  </si>
  <si>
    <t>Isarbi</t>
  </si>
  <si>
    <t>…inmediatamente después que se cierren las conferencias , sino tello-de-Vide pertenecientes al ejército del Sr. D. Miguel, se considerarán co cuando hayan llegado á ejecución en Jos Estados. mo presentados al ejército de S. M. C. Doña Isarbi ii , para la conserva-^ cion de sus honor» y ..empleos actual», asi á los que quieran continuar en el M. de Sainte-Aulaire, hijo, agregado i la embajada francesa en la corto servicio de $. M. F. Doña María n, como á los que prefieran restituirse á sis de Madrid, llegó á París hace tres días. Viene…</t>
  </si>
  <si>
    <t>Isarel</t>
  </si>
  <si>
    <t>…l telégrafo ha da Atendiendo á las recomendables circunstancias que concurren do qrdeti de prender á otras dos en Bayona.” •n D. Joaquín Vizcáij¡io, marques viudo, de Pontejos, j á su deci dida‘adhesión á mi augusta Hija la Reirá Doña Isarel ii, he veni —El Belga contiene lo siguiente: do en líonibrarle corregidor de Madrid; quedando mujr satisfecha «Algunos aficionados á pichones del nuevo jardín de Ambercs (nienwett del celo con que ha desempeñado éste desuno en comisión D. José hoQ han enviado i Pexona 4^ de estas aves el domingo 24…</t>
  </si>
  <si>
    <t>Isarfl</t>
  </si>
  <si>
    <t>…a correspondiente á su rango v nacimiento. Art 6'.’ S. M- la Reina Gobernadora, Regente de España du- - lica cerca de S. M. Británica. _ S. M. el Rey de los Franceses á D. Carlos Mauricio de Talley- rante la menor edad de su Hija Doña Isarfl ti. Reina de España, rand Perigord, Príncipe Duque de Talleyrand, Par de Francia, Em en virtud del presente artículo, declara su intención de asegurar al bajador extraordinario y Ministro plenipotenciario de S- M. el Rey Infante D. Cárlos, luego que saiga de los Estados españoles y portu de los Fra…</t>
  </si>
  <si>
    <t>Isas</t>
  </si>
  <si>
    <t>/ Núm. 56. Jueves 17 de Abril de 1834. DE MADRID. ARTICULO DE OFICIO. signe- el punto donde el comisario régio deberá poner el importe de las enagenaciones, á fin de que sea destinado á lós objetos que La Reina nuestra Señora Doña Isas ai n, y S. M. la Reina expresa el artículo 7.° del Real decreto de 26 de Marzo último. Gobernadora, siguen en el Real sitio de Aran juez sin novedad en su importante salud. Para la plaza de regente de la Real audiencia de Cataluña, va Del mismo beneficio disfrutan SS. AA. RR. los Sermos. Se cante p…</t>
  </si>
  <si>
    <t>…sta aquí, en la decisión les; provista de cartuchos con 'bala y pronta i marchar. y fidelidad de los catalanes para defender el trono de nuestra Rei*a legítima Hé aqui también algunos pormenores sobre ios alborotos de Filadelfia: Doña Isas»! n. Barcelona 18 de Setiembre,de 1834-=I-lsuder.“ varios jóvenes-que habían ido á divertirse á un juego de sortija, donde loy-negrds también tensan costumbre de asistir, habiendo sido echados ■ y maltratados por éstos, resultó de aquí, que hubo una-reunión el 12 de Agosto por la no che compuesta d…</t>
  </si>
  <si>
    <t>Isasbl</t>
  </si>
  <si>
    <t>…los medios mas fáciles de fomentarlos, oyendo antes'á los mismos interesados. Articulo l.° En obsequio del augusto nombre de' S. M. lá Reina nuestra Por el buen modo con que desempeñen este encargo merecerán la benevolen ¡Señora Doña Isasbl n comenzará la exposición pública de los productos de la cia de S. M. y el aplauso p*¡»bliCo;sín dmítir^r Mtíto^diUgencia algftfrf^pflua industria española el dia 19 de Noviembre de este aña de 1834, y permanece hacer entender á lo£artj fices de todaS dasesVciinferes y la gloria düc Ies rcsüb rá .a…</t>
  </si>
  <si>
    <t>IsAsbz</t>
  </si>
  <si>
    <t>…3X. GACETA DE MADRID. ARTICULO DE OFICIO. rificar en esta provincia la quinta de 259 hombres últimamente decretada, res- I pecto á que no tiene noticia de los pueblos que por efecto de la nueva división I La Reina nuestra Señora Doña IsAsbz n, y S. M. la Reina Gobernadora, territorial deben agregarse á dicha provincia , ni tampoco de ios que se segre siguen sin novedad en su importante salud. gan de ella; y enterada S. M. se ha servido resolver: Del mismo beneficio disfrutan SS. AA. RR^Jos Sermos. Sres. Infantes. 1. ° Que á cada uno d…</t>
  </si>
  <si>
    <t>Isasei</t>
  </si>
  <si>
    <t>…mas completa salud en todos los pueblos de este distrito. siempre manifestó por las glorias de la patria y la sucesión legítima del trono. Lo que manifiesto á V. E. para que se sirva elevarlo á conocimiento de La proclamación de Doña Isasei ii formará época en los anales de este S. M. la Reina Gobernadora. pueblo , y siempre se recordará con júbilo por sus descendientes. Dios guarde i V. E. muchos años. Sevilla 5 de Marzo de J834-=Excclentísimo brc=Migucl Tacóme Excmo. Sr. Secretario de Estado y del Despa Madrid 10 de Marta. cho del F…</t>
  </si>
  <si>
    <t>…enfermedad en Bejér : dice finalmente que los progresos dé la en pompa y regocijo el solemne acto de la jura y proclamación de la Reina nues fermedad que se padece en la ciudad de Jerez de la Frontera y eá la Villa dé tra Señora Doña Isasei ii, habiendo ostentado cd esta ocasión, tanto las au Olvera, resultan de los siguientes partes: toridades como el vecindario todo de aquella fidelísima ciudad, sus nobles sen timientos en favor de la augusta Prole del mas amado de los Monarcas el Scfior Estado de las enfermedades sospechosas que se…</t>
  </si>
  <si>
    <t>…as, y asi quedó acordado. Sr. contador general de Espolios y Vacantes................................... .. 600 La misma Comision.de poderes dió cuenta de los ¿el Sr. Palarea, opinando D. Agustín de Lct*mendi, cónsul de $. M. C. Doña Isasei ii, en que no debían aprobarse, porque el sueldo de brigadier de caballería con que la plaza de Gibralur........................................................................ 500 contaba para el completo de los 123 rs. de renta propia , no era admisible en • D Marcial Nazar 20 rs. ,y mensualmenie…</t>
  </si>
  <si>
    <t>Isasel</t>
  </si>
  <si>
    <t>…poco para mí hon rarlas con el título de valientes, y lo que mas me complace sobre todo es haber visto por mí mismo, brillar en el rostro de todos la-resolucion mas decidida y la fidelidad mas comple ta á nuestra augusta Soberana Doña Isasel ii, vitoreándola al mismo tiempo que arroja ban la muerte por la boca de sus fusiles y punta de.sus bayonetas sobre sus enemigos, cuya pérdida ha sido horrorosa, aunque la nuestra ha sido también de consideración, las que no puedo clasificar á V. E. por no dar lugar la premura del tiempo, y el tene…</t>
  </si>
  <si>
    <t>…enemigos de la libertad. V. M. ha obrado noble I fiadas con el tan plausible motivo de la proclamación en esa heroica corte de y generosamente ofreciéndole los consejos de una amistad sincera y desinte I nuestra augusta Soberana Doña Isasel ii (Q. D. G.), que de Real orden me resada.” - - [ remite V. E. para conservar la memoria de tan fausto suceso. Esta apreciable El Sr. Larabit recuerda cuán fácil es que en caso de guerra permitan los [demostración, con que la Reina Madre Gobernadora distingue y honra el suizos el paso de un ejérci…</t>
  </si>
  <si>
    <t>…3 de Enero de 183 í. GACETA DE MADRID. ARTICULO DE OFICIO. Excmo.general , Sr.^Pedrosu secretarioPascualhabilitadode Uhagonj=MarianoFrancisco de Horrmeche.nrr:xemo.de Eguia.rrrPor la diputaciónSr. Secre La. Rjsxn A nuestra Señora Doña Isasel ii , y S. M. la Rxiha Goberna tario de Estado y del Despacho de Gracia y Justicia, dora , siguen sin ñor edad en su importante salud. Excmo. Sr.: Ayer noche tuve la satisfacción de recibir con el oficio de Del mismo beneficio disfrutan-SS. AA. RR.. los Sermos. Sres. Infantes^ V. E. de 30 de Noviemb…</t>
  </si>
  <si>
    <t>…, sin que se hubiese al pertenecen á esta, y señaladamente las funciones Reales celebradas con el terado en lo mas mínimo la tranquilidad pública, teniendo abiertos sus talleres fausto motivo de la jura de la Reina nuestra Señora Doña Isasel 11, coma los artesanos, y abundando los medios de subsistencia: finalmente, que en los Princesa heredera de estos reinos. pueblos de las huertas de Alicante y Gandía, y en los de la parte del Este del partido de Denia, se había mitigado mucho el rigor de la enfermedad. PROVINCIA DE ASTURIAS. VARIED…</t>
  </si>
  <si>
    <t>Isases</t>
  </si>
  <si>
    <t>…, desde donde vengo siguiendo la ficción, y pre fiel al juramento que tiene prestado de defender los legítimos derechos de donde no la sorprendí por una desgraciada ca:nulidad; pero hoy ha quedada nuestra adorada é inocente Reina Doña Isases ti, sacrificará su existencia completamente dispersa, pudendo asegurar á V. E. que no hay ¿ir faccioso» peleando contra sus enemigos. reunidos ahoia , y que se han dividido ca todas direcciones, libertándolos d* ' Dios guarde i V. E. muchos años. Almodovar del Campo 26 de Octu *a exterminio e» espe…</t>
  </si>
  <si>
    <t>Isasex</t>
  </si>
  <si>
    <t>…o puede hacerle mayor, espera que le resulse la gran satisfacción industria á FaverjesyáTurin. {Mensajero.') de que sus hijos la honrarán distinguiéndose entre los valientes y leales defen sores dé la patria y de su augusta Reina Doña Isasex ii. ____ Escriben de Ginebra con fecha 8 del corriente: S. M. la Reina Gobernadora ha vista con aprecio los sentimientos leales »Se ha dado órden para expulsar de todos los puntos.de la frontera suiza i de este ayuntamiento y vecindario : y se ha dignado mandar al propio tiempo todo francés ó vjage…</t>
  </si>
  <si>
    <t>Isasf-l</t>
  </si>
  <si>
    <t>…Real y cuerpos del ejército, honra de prestar sosteniendo desde los momentos mas críticos los incontrover ha de tener efecto en la sala de audiencia del mismo Ministerio el l.unes 10 del tibles derechos de la Reina nuestra Señora Doña Isasf-l h &gt; s¡ bien me llevan próximo mes de Febrero , bajo las mismas bases y reglas que fueron fijadas en á manifestar cuanto creo conveniente á su Real servicio y prosperidad del Es el aviso oficial inserto por suplemento á la Gaceta del martes 26 de Noviem tado , no podrá nunca entibiar mi zelo ni la f…</t>
  </si>
  <si>
    <t>Isaski</t>
  </si>
  <si>
    <t>…bien resolver por otro decreto de este día. particular, y oido el parecer del Consejo de Gobierno y del de Ministros, re 7.° Las personas que habí mímente se dediquen al tráfico de abastecimien solver, en nombre de mi amada Hija Doña Isaski ii , que todas las ordenan tos serán consideradas comb otro» cualesquiera mercaderes, y gozaran de los be zas, estatutos ó reglamentos peculiares á cada ramo de industria fabril que rigen neficios que á estos ofrece el Coligo de comercio, asi coma pagarán las cargas hoy, ó que se formen en k&gt; suces…</t>
  </si>
  <si>
    <t>Isasrt</t>
  </si>
  <si>
    <t>…gtnio dejg.?4dicaciqn y dé la laboriosidad, yjiola r&amp;r , (Por el miañó orden seJañotacom.|&gt;er|sa je la presuntuosa ignorancia ,h'é teñido á bien decretar, . cáa las. demás clases j tiempo de eh npmhre de'mr augusta Rija la R riba Doña Isasrt »»,lb siguiente; servicio en ellas.) 1* No se. dSt|á, curio á solicitud aburra de los individuos de Real jrtombran)icuto’ c^npleados en ios gobiernos civiles, oficinas de Pro Total de servicios en la carrera militar. pios ni ^n.^íéWils^liendencias de| niinisterio de vuestro cargo* que no hayan cump…</t>
  </si>
  <si>
    <t>Isauel</t>
  </si>
  <si>
    <t>…Julio de 1854, con arreglo d la Real Convocatoria. tamente á su puesto. Artículo -i? - A la hora que S. M. se haya dignado señalar, sal Art. 15. i. M. se dignará leer dicho discurso de apertura, en drán de Palacio S. M. la Reina Doña Isauel ii y S. M. la Rf.iha tregándolo en seguida al secretario del Despacho de Gracia y Jus Gobernadora , para dirigirse al salón de Cortes destinado al efecto. ticia , para que comunique copias autorizadas á entra mi ay» Esta Art. 2? Seguirán á SS. MM. les Serenísimos Señores Infantes, mentos ; y á fin…</t>
  </si>
  <si>
    <t>Isauja</t>
  </si>
  <si>
    <t>…nto &gt; . ,n para cualquier acontecimiento. En esta villa, cabeza de las cinco del reino de Aragón, se L. . a-.:''- «El estado de Bélgica llamaba mucho tiempo hace la atención publica; y esta fecha la proclamación de S. M. la Ruina Doña Isauja u. n ■. - &gt;c :\± cW M.t siempre estrechamente unido á la Gran Bretaña, cree que se acerca el. cho el gasto indispensable , supuesto que ia* muestras de jd;ie&gt;:&lt;T. , Cj :o,vo fin de las dificultades que hasta el dia han dilatado el arreglo definitivo de un al trono son el homenage mas grato que pued…</t>
  </si>
  <si>
    <t>IsAuter</t>
  </si>
  <si>
    <t>…de acuerdo con el Gobierno se haga el uso conveniente de ellas. Mi objeto es mí deber de concurrir 4 la consolidación del trono de nuestra legitima Reina no entorpecer el proyecto de ley ya «probado , sino que como apéndice de él Doña IsAuter, it; facilitando al Gobierno únanlos recursos están i mi alcance, se tomen medida que proporcionen mas recursos al Gobierno." « «1 propio tiempo tomarme el interes que debo en alivio de mis comitentes. El Sr.Seeretnm del Deipeuko de Etfeuh■ "Haciendo la debida justicia al Bajo este supuesto no éeag…</t>
  </si>
  <si>
    <t>Isavrl</t>
  </si>
  <si>
    <t>…los extrangeros; y si este medio no alcanza, podrá alis tar al tenor de la ley, tanto para la marinería, como para el cuerpo de arti mas resuelta y efectiva cooperación de todas las clases para sostener el trono a. nuestra Señora Doña Isavrl ti, las leyes de ia patria consig llería de marina, los individuos necesarios para completar las fuerzas arriba de la Rtts nadas en el Estatuto Re.aii, y el órdey. público. decretadas. Art. ó.° Queda suspendida la provisión de los empleados de cuenta y ra E! ejército, formado sobre la base sólida d…</t>
  </si>
  <si>
    <t>Isaxei</t>
  </si>
  <si>
    <t>…e contesto, por la que S. M. cnc|rg£ mentirá los sentimientos de honor, fraternidad, amor y fidelidad á la grande eficazmente por miras de alta trascendencia, que sin pérdida de momento,, nación í que me honró pertenecer. Viva la Reina Isaxei ii : Viva la Ruina .venciendo toda clase de obstáculos, se cubran los puertos de Guetaria, LcquetGobernadora : Vivan las Córte*.” =Ei brigadier comandante general, C- mar tio y Bermeo, de modo que no tengan que temer por mar ni por tierrat que ques de Nevares. se provean aquellos de víveres, y quq…</t>
  </si>
  <si>
    <t>IsaXel</t>
  </si>
  <si>
    <t>…a Milicia urbana establecida en las quebrantan las leyes; aqui se aseguran : allí se proscribe á los Reyes, y iqili M Varias provincias, donde existe bajo diferente forma y cualquiera denomina ensalza al trono á la Reina legítima Doña IsaXel tt. NT —-i-------- ción que tenga, quedan formando parte de esta Milicia. Esta es la primera parte «¡Y es mas exacta la comparación con la reVolucioiNde julio: Todavía del art. 2.° Todos los que se alisten, por reunir las condiciones que después se tiene menos semejanza con la situación actual de E…</t>
  </si>
  <si>
    <t>Isaxel</t>
  </si>
  <si>
    <t>…ó que era necesaria aquella suma; 7 las Cortes en Abril, gunas observaciones, que me es forzoso rebatir. S. S. ha empezado por decir cuando aun no había vuelto el Rey á ocupar el trono de sus antepasados, des que ia edad de S. M. Doña Isaxel ii hacia menores los gastos, y que hasta su pués de tomados los datos necesarios de una manera severa, fijaron esa canti sexo debía tomarse en cuenta para calcularlos. Pero el Sr. Caballero sabe bien dad , que aproximadamente es la misma que ahora se propone. que no es la persona individual (la cua…</t>
  </si>
  <si>
    <t>Isaxki</t>
  </si>
  <si>
    <t>…sentes, y por hechos que nd.presentaban la gravedad , el escándalo ni las ministerio deHaéíendá, lie venido en conferirle, á nombre de mi muy amada consecuencias pata -la Religión -y el Estado, de k» que desgraciadamente se Hija 'Doña Isaxki ir, 'lajilaza de director general de Rentas , vacante por as- han patentizado.desdo mediados &lt;K Octubre último: y se sipote animada, y es ceBSO de D. Josdf In¿z. Téndríóló entendido , y dispondréis lo conveniente á pera que el Todopoderosa, cuyo ministerio ejerce, para enfrenar al que obra su cumpl…</t>
  </si>
  <si>
    <t>Isaxkl</t>
  </si>
  <si>
    <t>…voluciones d¡el Gobierno han producido. ora levantando berse rebajado 5 millones de los- 49 millones anteriormente asignados á la á unos, ora persiguiendo á otros, yTuirorllando en fin á casi todos con las pu Reina nuestra Señora Doña Isaxkl n, y de haber disminuido i 3 brillossea rificaciones-, origen fecundo de perjurios y calumnias, principal fomento de la del Sermo. Sr. Infante D. Sebastian, suspendiéndose »1 propio tiempo la desmoralización de clase tan influyente. pensión del Sermo. Sr. Infante Duque de Lúea, coa supresión dic la…</t>
  </si>
  <si>
    <t>…ncia no debe nada a los periodistas a !&gt;'"! hombres, cuyo decidido valor en defensa de los imprescriptibles derechos extrangeros: la Carta solo se hizo para los franceses, y solo ellos pueden recla de S. M. la Runa nuestra Señora Doña Isaxkl tt , despreciando el número mar los beneficios que concede, asi como están sujetos á cumplir las obligacio tan superior de los enemigos que lo* atacaron , los rechazó vigorosamen'e, cau nes que impone. sándoles 5 muertos v I4 Hcr.dos, sin que haya habido la menor pérdida de par te de los defensores…</t>
  </si>
  <si>
    <t>Isaxl</t>
  </si>
  <si>
    <t>…considerando que sin mas enseñanza que Ja practica, I xa Gobernadora , llevan^ á su derecha, en la testera del coche, á nuestra ex- y sin otro estímulo que las crecidas gratificaciones y la celebridad que propor I ceisa Soberan.i Doña Isaxl íi, y en el asiento delantero i su augusta hermana ciona ran arriesgada profesión, ha habido siempre en España lidiadores de agi lia Infanta Doña María Luisa Fernanda. SS. MM. y S. A. deben permanecer lidad y destreza; y que debiendo el gobierno destinar fondos á diferentes ense- ! luna temporada e…</t>
  </si>
  <si>
    <t>IsAZEt.ir, Dona</t>
  </si>
  <si>
    <t>Dona IsAZEt.ir</t>
  </si>
  <si>
    <t>Núm. ¿9.. Jueves 10 de Abril de 183¿. ARTICULO DE OFICIO. tiempo causarían la entera ruina de las jJ^das preciosp J a», población; y deseando proveer de remedio á males taq grave» y La Reina nuestra Señora Dona IsAZEt.ir, j S. M. la Reina conservar los derechos antiguos j públicos» en pjraq -goseskjp s?'ba Gobernadora, siguen en el Real sitio de Aran juez sin novedad en ilan he huertas de Murcia y Ülnhuela, $. Jl- Ja Reina. Goberna su importante salud. dora fia tenido á bien resolver que ni el expresado D. Gine'Vác…</t>
  </si>
  <si>
    <t>Isdisolver</t>
  </si>
  <si>
    <t>…ero con li- » El Sr. Istúriz ha sido el segundo orador que ha impugnado el art. 2.° del mitacon. Nadie ha dicho ni propuesto que el Gobierno tenga la facultad de proyecto del Gobierno, defendiendo el de la comisión; ó mas bien el Sr. Isdisolver toda la Milicia urbana. La regla general es que subsista armada; y la túriz ha impugnado la esencia misma del proyecto de ley, adhiriéndose entera excepción es disolver el cuerpo que haya dado motivo á ello. Aun mas ba he mente al principio implícito de la comisión, que parecía inclinarse á que el…</t>
  </si>
  <si>
    <t>Isi, Carlos Marra</t>
  </si>
  <si>
    <t>Carlos Marra Isi</t>
  </si>
  <si>
    <t>…cesar lleno de entusias ha terminado enpPortug-al i virtud de‘haber depuesto las armas en Evorá el mo .- Viva.nuestra Reoía y Señora Doña Isabel ji : viva la augusta Gober ejército del Sr. DT. Miguel y los españolé que seguían á D. Carlos Marra Isi nadora: viva el Estatuto Real. Valladolid l.° de Junio de 1834- =: El capi dro : por tanto me dirijo al gobernador dq esa plaza indicándole la línea que le * tán general interino, José Mamó. há trazado la suerte de los acontecimientos, y que V. A. tiéne este ejército i su disposición, pronto á redi…</t>
  </si>
  <si>
    <t>Isido</t>
  </si>
  <si>
    <t>…iela fuere eclesiástico^ se le ocuparán rnTU ■ beneficiado de Quintana;"JJ. Martin Domínguez, beneficiado de Vi-- tiempo Úue-durare la reclusión en-un conVeiñov» m iajuaite liatói; D. Manuel Alonso, capellán de Salinas de Aña na; D. Isido dos años repasará de seis. 4* Eos qué á sabienda* j1 [ópn*. • ro Azcué, capellán salmista de la colegial de Valpuesta; D. Fraocis- taren láfcásaén qué vivan, a otro edífiéío qué tuv , Cándido Marín, capellán de Fresneda de la Sierra; y D. Melchor sicion, bien sea como propietario,"bien como.itqttiHM-,…</t>
  </si>
  <si>
    <t>Isidro, Cárlos María</t>
  </si>
  <si>
    <t>Cárlos María Isidro</t>
  </si>
  <si>
    <t>…ios por el cual la comunidad ha depositado en manos de aquel á quien eligió siguientes: l.° Que debe ponerse el mayor cuidado, do en lanzar de Portugal á por gefe con el nombre de Rey , Emperador , á otro cualquiera, la autoridad D. Cárlos María Isidro, sino en apoderarse de su persona y familia. 2.° Que tuficiente para dirimir las controversias y disputas entre lo» asociados, y dis es igualmente útil, después de asegurado, enviarle a una de nuestras posesiones poner todo aquello que tea en beneficio de la comunidad. Pero desde el mo de Ultramar,…</t>
  </si>
  <si>
    <t>Isidro, Carlos María</t>
  </si>
  <si>
    <t>Carlos María Isidro</t>
  </si>
  <si>
    <t>…ompetente seguridad que reclama el En tal estado, Señora, podrá V. M. dignarse someter i la deliberación bien de la nación. El mayorazgo de la corona, fundado para precaver Jos hor de las Córtes generales del Reino la condocta de D. Carlos María Isidro da rores déla anarquía, los estragos de las guerras civiles, las intrigas de ha Borbon y Borbon, para que tomándola en la consideración debida , recaiga la elecciones, y las contiendas á mano armada sobre la sucesión del Reino, lle declaración solemne de «quedar excluido dicho Príncipe y toda su línea…</t>
  </si>
  <si>
    <t>…ñías de preferencia diese un refresco á la tropa, y continuase la marcha. Excmo. Sr.: La ruta que he informado á V. E. en mis dos partes »A1 aproximarse al pueblo de Lardosa, adonde llegué cerca anteriores llevaba el Pretendiente D. Carlos María Isidro , no se de las doce de la noche, observé varias fogatas y algunas personas , me ha desmentido hasta ahora, antes al contrario se ratifican to que atravesaban las calles con armas; y habiéndome adelantado á dos los que la observan, en que es á Santarem, como verá V. E. reconocer con el capitán gradu…</t>
  </si>
  <si>
    <t>Isidro, Cirios María</t>
  </si>
  <si>
    <t>Cirios María Isidro</t>
  </si>
  <si>
    <t>…o de »&gt;A fin de que-los Sres. Procuradores pjiedan manifestar el ardiente celo ley presentado por el Gobierno acerca de la exclusión del Trono de España á y patriotismo que les anima de poner al abrigo el. Trono de S.-M. la Rhina D. Cirios María Isidro y á toda su descendencia. Se leyeron los artículos 1.° Doña Isabúl ii y las libertades patrias, pido al Estamento que cuando se dis— ■ y 2.a de dicho proyecto (véase la citada sesión de 8 de Setiembre último), y cuta el proyecto de ley sobre exclusión del Trono al Infante D. Cáelos Mana en seguida la…</t>
  </si>
  <si>
    <t>Isidro, Nicolás</t>
  </si>
  <si>
    <t>Nicolás Isidro</t>
  </si>
  <si>
    <t>…ga. Os doy gracias por haber juzgado bien acerca de mi; Queriendo S. M. recompensar los méritos, servicios y pruebas sentimientos, y por los deseos que manifestáis de ver prosperar i la Francia, á de lealtad del mariscal de campo D. Nicolás Isidro, comandante ge- mi familia y á mí,” peral del principado de Asturias, se ha dignado agraciarle con la El Presidente de la Cámara de los Diputados M. Dupin dirigió á S. M. el gran cruz americana de Isabel la Católica. discurso siguiente : «Señor: Aunque por recomendación expresa de V. M. nos esté ve…</t>
  </si>
  <si>
    <t>Isla, Francisco Jiménez de la</t>
  </si>
  <si>
    <t>Francisco Jiménez de la Isla</t>
  </si>
  <si>
    <t>/ IdU '• ■“ T^G&amp;ATBKtfAjL '¡ - • ' * ' Pera U de igual cU?e, vacante en Cádiz, pot; dimitían Juta José Arbol i, ha sido nombrado D. Francisco Jiménez de la Isla. / ? , mi-, i JLándrts HdelOetubre. Pora la de"revisor de la aduana de Jijón „ con arreglo al artículo 44 de La reclamación de 209 libras esterlinas^ hecha por el duque de líVellin^- . Xa ley de imprentas, lo ha sido D. Ramón Gchoa, médico bttdar de yr-flV • viila^ ^ • - i'- ton , á título de atraso…</t>
  </si>
  <si>
    <t>Ístbet</t>
  </si>
  <si>
    <t>ARTICULO DE OFICIO. PARTE NO OFICIAL, , La Reina nuestra Señora Doña Ístbet, n, y S. M. la Reina NOTICIAS EXTRA NGERAS, Goberoadorá, siguett en Carabahcliel sin novedad en su im portante salud. Dét mismo beneficio disfrutan' SS, ÁA.. RR. los Sermos. Se ’ JÚJSIA^ ñores Infantes. . S. Peteriburgo 20 de JtíayQ* La Gaceta de Comercio de S. Petcrsburgo contiene un articulé muy…</t>
  </si>
  <si>
    <t>Isturijc</t>
  </si>
  <si>
    <t>…si eran oportunas, justas y convenientes las economías; que en cuanto tal vez se paralizasen los negocios dé la mayor importancia á la monarquía." al debate suscitado anteriormente , era á su entender de jurisprudencia delibe El Sr. Isturijc : «Cuando la comisión confiesa que no ¿teñe datos para ilús rativa, y no correspondía propiamente á la ocasión actual, y opinó por último tranos á fin de qué podamos dar nuestro voto con acierto, mal podremos en que debia aprobarse lo propuesto por el Gobicrpo con presencia de los por trar en detal…</t>
  </si>
  <si>
    <t>Istúriz</t>
  </si>
  <si>
    <t>…doles ett* derecho en ej ¡término citado, pesadl e! cual sin -presentarse í ' juicio.” ; acreditar la legitima pertencae»-.4*4ót--b¡ct&gt;esvquedábiadclEstado. Leído el art. 5.® el Sr..González (D. Antonio) observó que m qn el ar El Sr. Istúriz repuso que en exacto lo expuesto por el Sr. Secrctario del , tículo S.°, ni en .ninguno del prpyecto.de ley, como ni tampoco en el dictá- . Despacho; pero que uq buque que naufraga no debe considerarse desamparado men de la comisión, veia te pusiese un freno para que los agentes del Gobier ó mostre…</t>
  </si>
  <si>
    <t>…consideración la proposición leída, el Esta bien de su país; de otro modo el discernimiento que le distingue no le permi— ^ mento acordó que sí. tíria caer en tales faltas, no hijas de su corazón. Con haber leído atentamente/^ El Sr. Istúriz tomó la palabra y dijo: «Voy 4 apoyar esta proposición, y el estado B, se hubiera disipado su error. En dicho estado se individualiza tí lo haré con tanta mas confianza, cuanto creo que es el único medio que hay pago de todas las deudas. (Aquí leyó el Sr. Ministro el estado, especificando p^ra pode…</t>
  </si>
  <si>
    <t>…el mejor órden y régi el art. i.® ¡ño-se compone de siete partes , siendo otros tantos los dictámenes men en las discusiones. que sedarán sobre él? En tal caso ninguna dificultad se presenta en que se dis «Cuando he contestado al Sr. Istúriz no he dicho que la opinión de un cuta separadamente caija uno, y aun en que se proceda á la de cualquiera de Sr. Diputado bastase para destriiir el crédito de la Nación: lo que he dicho y ellos , si algún otro fuese prpeiso que pasase á la comisión. repito es que habiendo hablado de manera que pudi…</t>
  </si>
  <si>
    <t>…e 128 Sres. Procuradores pre El Sr. Secretaria del Detpacho de Estados »No trato de defender en sentes. este momento el reglamento. Sin embargo, cosa dura es que se haga una incul Se leyó dicha segunda parte de la proposición del Sr. Istúriz, concebida en pación al Ministerio, aunque de una manera indirecta, y al reglamento, en una los términos siguientes: cosa en que nq tienen culpa ni el reglamento ni los Secretarios del Despacho. - «Pido que los presupuestos pasen de nuevo á una comisión central que se «No tiene culpa el Gobierno ,…</t>
  </si>
  <si>
    <t>…e el órden del día, que era ia discusión tos es el verdadero proyecto de ley que el Gobierno nos ha presentado. El ór del presupuesto de Casa Real. den del dia marca para la discusión una de estas partes, que es el capítulo de El Sr. Istúriz reclamó que siguiera su curso la proposición. , la dotación de Casa Real; y no siendo esta la totalidad del pro) ecto, que es so El Sr. Presidente dijo que no oponiéndose esta al órden del dia, sino bre la que debe recaer nuestra resolución, es claro que se infringe el reglamento . por el contrario…</t>
  </si>
  <si>
    <t>…la experiencia, lo ha dicho la Ver »Ha dicho el Sr. Caballero que reconoce el derecho del Gobierno para dad divina: todo reino dividido perecerá. disolver algunos cuerpos de la Milicia urbana en caso necesario, pero con li- » El Sr. Istúriz ha sido el segundo orador que ha impugnado el art. 2.° del mitacon. Nadie ha dicho ni propuesto que el Gobierno tenga la facultad de proyecto del Gobierno, defendiendo el de la comisión; ó mas bien el Sr. Isdisolver toda la Milicia urbana. La regla general es que subsista armada; y la túriz ha impu…</t>
  </si>
  <si>
    <t>…mo pueblo, que Les podían haber hecho daños sin «Ha dicho S. S. (y lo siento, porque creo que se ha dirigido á mí; mas fin. si no se hubiesen alistado. supuesto que el ataque es perdona!, me toca defenderme) ha dicho S. S. que El Sr. Istúriz, en contestación asimismo al Sr. Prendente del Consejo de uno de los principales prosélitos de la--Constitución ha renegado ayer de ella. Ministros, manifestó que por su adhesión al sistema constitucional habia esta No sé si esto se dirige á mí; pero si se dirige, es poco exacto: yo pido al Es do o…</t>
  </si>
  <si>
    <t>…der á ninguno de los individuos de esta cla&gt;e, pues tan artículo 3*° hechas por varios Sres. Procuradores.” ' v lejos de sospechar de ninguno de ellos, Jos creo muy dignos; pero tratándose En consecuencia se leyó la siguiente del Sr. Istúriz: de una ley, quiere ci Gobierno que haya garantías personales, y no le es posi «En los puertos de mar y en las ciudades populosas los dependientes de es ble admitir la adición como está redactada.” critorios y de tiendas* cuyos principales y dueños paguen las contribuciones de El Sr. Istúriz: «Como…</t>
  </si>
  <si>
    <t>…votación el párrafo 3&gt;° del dictamen de la comisión, mo premio que á los que descubren un tesoro en tierra sin trabajo ni peligro quedó aprobado. ninguno!” Se leyó el párrafo 4*° referente á la adición del Sr. González (D. An El Sr. Istúriz: «Lo propuesto en la adición del Sr. Ferrer y en eí dictonio).El Sr. González (D. Antonio'): «Me parece que la comisión, al exten dichotámen aldeEstamentola comisión, á sobresaber:laquemisma,los buquesme afirmannáufragosmas noy masson mostrencos.en lo que yaPorhe der su dietámen, ha padecido una eq…</t>
  </si>
  <si>
    <t>Isturiz</t>
  </si>
  <si>
    <t>…24, lejos de ser manzana de dis que entre los gastos que acabo de citar hay siete millones y pico de reales de cordia , era prenda de concordia.” deudas que se han satisfecho por; deudas procedentes de los años en que ha diri El Sr. Isturiz: «Puede decirse que el asunto en cuestión está enteramen gido S. M. el Rey difunto la casa Real. te agotado: lógica, erudición , cálculo, historia; todo se ha desplegado en loa. «Ahora digo yo: pues si nos consta y estamos viendo que la Reina Go diferentes discursos á que ha dado lugar tan prolonga…</t>
  </si>
  <si>
    <t>…astilla, nunca conocieron la iniciati estoy con el uso de U palabra , séame permitido decir que creo hubiese sido su va, sino iolo el derecho de petición.” lugar conveniente, en vista de lo hecho por el Gobierno, et famoso pro El Sr. Isturiz para deshacer una equivocación dijo que los datos que ha grama del 4 de Abril, acaso mejor que la disposición de privar al poder le bía presentado eran los mismos del presupuesto del Gobierno , y que en ma gislativo de la iniciativa. Pero como este no sea el asunto del momento, vol terias de cálcul…</t>
  </si>
  <si>
    <t>…el objeto de la adición, por lo tanta gloria sostiene la Lucha: Por tanto es absolutamente preciso, á lo menos cual creía no era necesario admitirla* )a comisión lo juzga asi, que.se adopte un medio para que solo se arme á los El Sr. Istúriz: «Cada paso que damos en la discusión del proyecto nos que no ofrezcan sospecha. *Y cual es este medio? La comisión, lo mismo que confirma mas y mas en la imposibilidad de que sea una ley perpetua, y no de el Gobierno, no ha querido imitar lo sucedido desde 1823 en adelante, pros circunstancias, cu…</t>
  </si>
  <si>
    <t>…edio de caminar con paso firme porque ni este ni el Gobierno habían adoptado el principio de la Milicia vo por la senda de la libertad y del orden/’ luntaria. Pero, según las observaciones hechas por el Sr. marques de Tórreme— El Sr. Istúriz» para deshacer una equivocación, dijo que no habia sido áu jta, la comisión, aunque implícitamente, convenia en esto con el Gobierno. ánimo expresar que los Gobiernos civiles fuesen bajaiatos, ni bajaes ios gober Sin embargo, siempre quedará la duda derpor qué la comisión , si tal fue su dic nadore…</t>
  </si>
  <si>
    <t>…o y pagando según los presupuestos últimos. El Sr. conde de las Navas: «He tomado la palabra en contra , porque «Sobre la parte que va á ocuparme ha hecho tres observaciones: prime no encuentro Otro medio, según el reglamento. El Sr. Istúriz ha hecho una ra, que se diga que se procede en todo según el presupuesto del año 34: se aclaración que yo estaba decidido á hacer, porque es muy oportuna. Yo en gunda, que nos ciñamos únicamente á autorizar el pago de las cargas de justi cuentro que aunque está bastante explícito el dictamen de lá…</t>
  </si>
  <si>
    <t>…lar de esos consejos en razón á lo decidido an «Hay otra razón ademas indicada por el Sr. individuo de la comisión; y teriormente por el Estamento. es que esta institución, esencialmente popular, perdería mucho de su prestigio El Sr. Istúriz se opuso al artículo de la comisión y al del proyecto del si se privase á sus individuos de la parte que Ies corresponde eo las elecciones. Gobierno, manifestando no podía aprobar ninguno de los dos, mientras no se Debemos considerar á la misma * y está considerada en todos los países como le ilust…</t>
  </si>
  <si>
    <t>…l servi indicados, el Gobierno cree preferible el de que el nombramiento de sargen cio por la autoridad civil, que decía por conducto del comandante. tos primeros y segundos sea del comandante del batallón ó escuadrón, y el de El Sr. Istúriz manifestó que este servicio extraordinario se decia primero los cabos primeros y segundos sea de los capitanes de compañía.” que había de ser ^Juntario y después se hacia obligatorio; lo cual indicaba £¡ Sr. ntztrques defSámemelos'. «Me parece muy oportuna la graduación por si podía f^watrcISi^...…</t>
  </si>
  <si>
    <t>…Estado. Asi pues, ó drían resultar de un uso abusivo de esta fuerza perjuicios de consideración, co esta,adición debe suprimirse, ó dársele una latitud que seria contraria á. la li mo muy oportunamente ha dicho mi digoo amigo ei Sr. Istúriz, hablando so bertad que debe1 tener el Gobierno de disponer bajo su responsabilidad de la bre el artículo anterior. fuerza armada, y sobre todo de la de la Milicia, que es la que menos puede «Señores, yo soy sumamente franco, no quiero andar con adulaciones de inspirar desconfianza contra las liber…</t>
  </si>
  <si>
    <t>…'á leer los pormenores de este ramo, tomó la pa que se está en el caso de examinar solo si es ó no conveniente al servicio lo labra y dijo i que se propone.” El Sr. Secretario del Despacho de Estado: «Para evitar una dilatada El Sr. Istúriz: «Mi opinión en esta materia es muy sencilla. Si las cor discusión, debo decir que el cuerpo consular ha sufrido ya reformas notables; tes de Berlín , Viena y S. Petersburgo no han reconocido nuestro Gobierno, ó y el Gobierno se propone aumentarlas, con lo cual cree conseguirá grandes no han cuidad…</t>
  </si>
  <si>
    <t>…lación de un hecho. El despachar un cajón que tuviese una marca E| Sr, Secretario del Despacho de Estado: «Tal vez por la distancia no mayor que la de los demás, costaba 52 pesos y medio. Este desarreglo en las habré oido bien al Sr. Istúriz; pero me parece que S. S. ha tocado dos puntos, tarifas ha sido causa de que el consulado de Lóndres haya valido. ai menee en i que tengo ya contestado. En cuanto al de los puntos en qiie deba haber ó no .los 10 últimos afios que he residido en aquella capital, mas de29 libras esterli cánsales, es…</t>
  </si>
  <si>
    <t>…bir, y ¿ la Se declaró el asunto suficientemente discutido, y se puso i rotación el que contestó en breves palabras el Sr. Secretaria de Estado. párrafo del proyecto del- Gobierno en los términos siguientes JE! Sr. Argüellet: «El Sr. Istúriz principió por una especie de reconven «Consejo de Gobierno (520,500 rs. vn.” No se aprobó. ción irónica, dirigida í la comisión; y digo irónica, no en sentido ofensivo, En seguida se votó el dictámen de la comisión, reducido á proponer que sino eO el regular y propio de la libertad con que en este…</t>
  </si>
  <si>
    <t>…arreglar guientes: , ..................... ARTÍCULO UNICO. sus negocios. El Sr. Alcalá Galiana-. ^ Ayer no asistió á la sesión mi digno compañe .Fu tanto que se discuten sin interrupción, y aprueban los presupuestos ro y amigo el Sr. Istúriz por hallarse indispuesto, y habiéndose tocado en cita de gastos é Ingresos presentados por el Gobierno para el ano próximo de 1835, un punto en que estaba interesado como representante de su provincia , debo continuarán rigiendo los antiguos en los (pismos términos que han regido has- hacerlo prese…</t>
  </si>
  <si>
    <t>Istúriz, An El Sr</t>
  </si>
  <si>
    <t>An El Sr Istúriz</t>
  </si>
  <si>
    <t>…puesto á votación el párrafo 3&gt;° del dictamen de la comisión, mo premio que á los que descubren un tesoro en tierra sin trabajo ni peligro quedó aprobado. ninguno!” Se leyó el párrafo 4*° referente á la adición del Sr. González (D. An El Sr. Istúriz: «Lo propuesto en la adición del Sr. Ferrer y en eí dictonio).El Sr. González (D. Antonio'): «Me parece que la comisión, al exten dichotámen aldeEstamentola comisión, á sobresaber:laquemisma,los buquesme afirmannáufragosmas noy masson mostrencos.en lo que yaPorhe der su dietámen, ha padecido una eq…</t>
  </si>
  <si>
    <t>Isturiz, D Francisco Javier</t>
  </si>
  <si>
    <t>D Francisco Javier Isturiz</t>
  </si>
  <si>
    <t>…ión del Estamento. Creia á la mentos de aptitud legal de los Sres. D. Francisco Javier del Rey, electo Pro verdad que el punto estaba suficientemente discutido; pero la experiencia me curador por la provincia de Zaragoza; los del Sr. D. Francisco Javier Isturiz, demuestra que me había equivocado. Quince dias de largos debates me parecía que lo es por Cádiz, y los del Sr. D. Miguel Puche, por Murcia; manifes habrían dado bastante luz á la materia para ilustrar aun á los cortos de vista. tando que sin embargo de que en el acta de elección de este último con…</t>
  </si>
  <si>
    <t>…lo que nos querrán auadkr del Mediterráneo? Yo PXOVIXCIA DE CÁDIZ. no du.líi un instante cual ¿eru.ei resultado si la .guerra civil volviese á enecndeise en nuestro p;ti*i;jnas prevenirla y evitarla es el primer deber del cuerpo Sr. D. Francisco Javier Isturiz. legislativo v del Gobierno. £&gt;i para tener ia satisfacción de decir que hay Guar dia nacional en todo el reino, aruumos y organizamos á los satélite?, de u usurpación, sin duda promovemos la guerra civil; pero si en cumio las cir cunstancias lo exigiesen , conservamos solamente las armas cu manos d…</t>
  </si>
  <si>
    <t>Isturiz, Francisco Javier</t>
  </si>
  <si>
    <t>Francisco Javier Isturiz</t>
  </si>
  <si>
    <t>…del Estamento. Creia á la mentos de aptitud legal de los Sres. D. Francisco Javier del Rey, electo Pro verdad que el punto estaba suficientemente discutido; pero la experiencia me curador por la provincia de Zaragoza; los del Sr. D. Francisco Javier Isturiz, demuestra que me había equivocado. Quince dias de largos debates me parecía que lo es por Cádiz, y los del Sr. D. Miguel Puche, por Murcia; manifes habrían dado bastante luz á la materia para ilustrar aun á los cortos de vista. tando que sin embargo de que en el acta de elección de este último con…</t>
  </si>
  <si>
    <t>…que nos querrán auadkr del Mediterráneo? Yo PXOVIXCIA DE CÁDIZ. no du.líi un instante cual ¿eru.ei resultado si la .guerra civil volviese á enecndeise en nuestro p;ti*i;jnas prevenirla y evitarla es el primer deber del cuerpo Sr. D. Francisco Javier Isturiz. legislativo v del Gobierno. £&gt;i para tener ia satisfacción de decir que hay Guar dia nacional en todo el reino, aruumos y organizamos á los satélite?, de u usurpación, sin duda promovemos la guerra civil; pero si en cumio las cir cunstancias lo exigiesen , conservamos solamente las armas cu manos d…</t>
  </si>
  <si>
    <t>Isuiei, Ibiña</t>
  </si>
  <si>
    <t>Ibiña Isuiei</t>
  </si>
  <si>
    <t>…ra Indias............... ... aoa ...suo. GACETA DE MADRID. ARTICELO DE OFICIO. de un sejundo con 120: de un tercero con RIO: .le cuatro auxiliare» ion í«l cada uno: de otros doce eon.i.O: de otros fice con &gt;h .Je La Reina nuestra Señora Ibiña Isuiei. n continúa sin novedad otros veinte v d&gt;s con 40: de dos porteros con . &gt;J, y de otros dos en SU iinpornnm nbid rn ri Real sitio ,le San Il.iel.iiu. &gt;; y 'le i_-u.il t. m 40. benefi -io disti nta S. M. la Reina Crobernalnra en el Real j 11 i i i • &gt; .le (’ irr-’crion de pipirei r híletet. Riolrio.…</t>
  </si>
  <si>
    <t>Isvhml, Dona</t>
  </si>
  <si>
    <t>Dona Isvhml</t>
  </si>
  <si>
    <t>…Diciembre. Asegura un periódico que antes de principiar sus trabe jos !a comisión S. M. N Rf.iva Gobernadora, en nombre de oí »t)2i;sta Hiji la R. nombrada para informar respecto á la colonizucioíi de Argel , wndrá que re nuestra Señora Dona Isvhml ii, »c h.1 '.&lt;*riid - tor'Lr.r el vomerno mj.il, solver las siguientes cuestiones que el gohierno le ha presentado. político de Mordía al teniente coronel D. Sixto Avu-r.era. ¿Es sano el territorio de Atgel , y ál propósito fcara que b&gt; habiten v culti ven europeos? ¿ Hay fundamento para esperar qu…</t>
  </si>
  <si>
    <t>ITALIA</t>
  </si>
  <si>
    <t>…que VV. EE. nos dirigieron á Gi con espíritu de prudencia y conciliación. (Debates!) nebra, en que nos invitaban á no dilatar por mas tiempo nuestro viage, el Sr. chanciller Am-Rhyn pidió por medio del Sr. barón de Vignet, que el Rey ITALIA. nos diese úna audiencia. Rotnj 26 de Junio* «A la vuelta del correo que se le envió, nos llegó la noticia de que S. AL -i Los romanos creen que P. Miguel ha elegido su ciudad para fijar en ella tendría mucho gusto en recibirnos en la mañana del domingo. su residencia , como lo ejecutara muv en brev…</t>
  </si>
  <si>
    <t>Ittíhfugiados, D José Miría</t>
  </si>
  <si>
    <t>D José Miría Ittíhfugiados</t>
  </si>
  <si>
    <t>…xtrangeros que no cuerpo, una compañía de carabineros del 2.° ligeros, y la de cazadores de! pts&gt;a-; reciben socorros pecuniario* del Estado:” el general' Bugeáud nota qoe entre vihctal de Guadix, con sos respectivas banderas. El comandante D. José Miría Ittíhfugiados extrangeros, Jos que traten de-mezclarse en los desórdenes polí- Retortillo recibió la bandera en la sala capitular. Al presentarse en el batcoff^ tko*serán sin duda los que.puedan subsistir sin tos auxilios del gobierno, y dé las casas de ayuntamiento el retrato de nuestra amada Reiva, fue Saludad…</t>
  </si>
  <si>
    <t>Ittíhfugiados, José Miría</t>
  </si>
  <si>
    <t>José Miría Ittíhfugiados</t>
  </si>
  <si>
    <t>…que no cuerpo, una compañía de carabineros del 2.° ligeros, y la de cazadores de! pts&gt;a-; reciben socorros pecuniario* del Estado:” el general' Bugeáud nota qoe entre vihctal de Guadix, con sos respectivas banderas. El comandante D. José Miría Ittíhfugiados extrangeros, Jos que traten de-mezclarse en los desórdenes polí- Retortillo recibió la bandera en la sala capitular. Al presentarse en el batcoff^ tko*serán sin duda los que.puedan subsistir sin tos auxilios del gobierno, y dé las casas de ayuntamiento el retrato de nuestra amada Reiva, fue Saludad…</t>
  </si>
  <si>
    <t>Ittúric</t>
  </si>
  <si>
    <t>…a tarifa. Todo esto prueba, repito, que no se ha dejado do sionas desembolsos que no tienen.otros cónsules-' hacer mérito del dictámen de la comisión.” « Están igualmente expuestos á mil vejaciones por el estado de la civiliza El Sr. Ittúric: «El discurso del Sr. Torremejía parece dirigido á hacer ción y la índole de aquellos Gobiernos, y su suerte se halla sujeta á contin una inr^ilpacion á Los que hemos hablado anteriormente, pero S. S. se ha equi gencias y riesgos que es preciso recompensarlo de algún modo. Estas son la* vocado, y t…</t>
  </si>
  <si>
    <t>Iturralde, Antonio María</t>
  </si>
  <si>
    <t>Antonio María Iturralde</t>
  </si>
  <si>
    <t>…on.il.) fiados del reina-D. Andrés Ignacio Egurrola, vicario de la parro quial de S. Pedro de Pasages; D. José María Vigas, beneficiado de ____ El Dr. Bowring acaba de llegar á Parts, con el objeto de hacer ¿ nues S. Sebastian, y D. Antonio María Iturralde, beneficiado de la tro ministerio, según se dice, á nombre del gobierno ingles, las observaciones misma. oportunas acerca de la anomalía que se observa en el derecho que con unta desigualdad gravita sobre el carbón extrangero en Francia por mar y p^r tier ra. El interes evidente que tienen Inglater…</t>
  </si>
  <si>
    <t>Iturritf, Manuel</t>
  </si>
  <si>
    <t>Manuel Iturritf</t>
  </si>
  <si>
    <t>…una buena defensa , i cuyo apoyo^sbrana en el“ va Tueblos. Blw. M. .Enfermos. Curado*. FaUecído*. lle de Bailan-paTa señorearle una columna al mando del coronel graduado Don ú Ramón Zagarramurdi, y en clase de 2.° al del-capí &gt;an D. Manuel Iturritf, aña *11 Ág- á 3 "Set. H 54 diendo que Luego marcharía con sus fuerzas hicia Vizcaya. Mequmenza., .... 27 á 31 Agosta 7 ■ 3 4 .13 ñ , según piarte *de Vitoriadel 9, sé'hallaba el expresado general en Torcerte.... 28 i 31 ídem.... 3 1 00 glfiten liun. ' ' ZumalacarreguiSabia pasado por Alegría en di…</t>
  </si>
  <si>
    <t>Iturriza, Elias</t>
  </si>
  <si>
    <t>Elias Iturriza</t>
  </si>
  <si>
    <t>…el camino del valle de Allin por Guerra. la orilla dérécBa tfel rio Baquedano, y servían de reserva en segunda línea á la 5.*: la división al cargo del Bxcmo. Sr. mariscal de campo D. Manuel Loren El comandante de armas de Tolosa D. Elias Iturriza con fecha de 7 del zo, ocupaba el centro de dicho Baquedano, cubriendo yo la izquierda con la corriente dice al gobernador de S. Sebastian lo que sigue: 1.a división, confiada al Sr. mariscal de campo D. Joaquín Gómez y Ansa, En este momento que son las once de la noche recibo par medio de un en Zu…</t>
  </si>
  <si>
    <t>IX.Fernando</t>
  </si>
  <si>
    <t>…do que todos sus índices y papeles se re minados los planos, estados, memorias y provectos, que con tan importante mitan á csu Secretaría del despacho de mi cargo , para que, previo su recono objeto se trabajaron de orden.del Sr. Rey IX.Fernando vir, mi augusto Es cimiento con la debida circunspección, se inutilicen inmediatamente todos los posó (Q. E.' E. O.)» por untf comisión*de magistrado» y otras personas zelosas que por su contenido no ofrezcan un verdadero interes á favor del Real servi del bien público y versadas en la materia; y h…</t>
  </si>
  <si>
    <t>IX.Fernando, Rey</t>
  </si>
  <si>
    <t>Rey IX.Fernando</t>
  </si>
  <si>
    <t>…ndando que todos sus índices y papeles se re minados los planos, estados, memorias y provectos, que con tan importante mitan á csu Secretaría del despacho de mi cargo , para que, previo su recono objeto se trabajaron de orden.del Sr. Rey IX.Fernando vir, mi augusto Es cimiento con la debida circunspección, se inutilicen inmediatamente todos los posó (Q. E.' E. O.)» por untf comisión*de magistrado» y otras personas zelosas que por su contenido no ofrezcan un verdadero interes á favor del Real servi del bien público y versadas en la materia; y h…</t>
  </si>
  <si>
    <t>Izáconla, Juan Antonio Vázquez Principiaron</t>
  </si>
  <si>
    <t>Juan Antonio Vázquez Principiaron Izáconla</t>
  </si>
  <si>
    <t>…osición geográfica y-circunstancias compañía., que con la demos guarnición de dicho punto estaba á las ordenes J militares convenían perfectamente á sus planes de trastorno. Lisonjeándose qui- del capitán del provincial de Oviedo D. Juan Antonio Vázquez. Principiaron Izáconla esperanza de hacerse dueños de tan ventajoso punto., reunieron el el ataque los rebeldes., y a la señal que desde el fuerte se hizo salió de bontoña Td¿¿ 4 ^ Portugalete todas las lanchas de la costa inmediata y 4^0 hombres, un¿ columna .para socorrerlo, rompiendo al mismo tiempo el fuego ia artill…</t>
  </si>
  <si>
    <t>Izquier, Cristóbal</t>
  </si>
  <si>
    <t>Cristóbal Izquier</t>
  </si>
  <si>
    <t>…o Real orden de 15 del corriente, de conformidad con los ministe son de la misma; á D. J uan Antonio Almagro, oidor de Gra rios de Guerra y Hacienda, que se aumente su fuerza de infante nada , y i D. Manuel García de la Cotera, á D. Cristóbal Izquier ría y caballería con 2213 plazas de tropa, entre ellas 4^9 caballos do de los Santos y i D. José Cecilio de la Rosa, alcaldes mas an y 12 primeros ayudantes de la clase de capitanes , destinados al tiguos de la de Sevilla: por la clase de alcaldes á D. Antonio de detall de las 12 comandancias. La f…</t>
  </si>
  <si>
    <t>Izquierdo, Gervasio Fernandez</t>
  </si>
  <si>
    <t>Gervasio Fernandez Izquierdo</t>
  </si>
  <si>
    <t>…vende en esta corte en la librería de Razóla, y eo Barcelona eo u «Je | Saurí á 6 rs. en rústica. ] I gavilla que faltaban para que quedase totalmente exterminada, los que no duda ——A instancia de los síndicos del abintestato de D. Gervasio Fernandez Izquierdo se] [ se presentarán también al indulto en el pueblo de Aljofrin, de donde son na- ha acordado celebrar juotá general de acreedores, para la cual se ha señalado el dia] [ túfales, en cuyo caso volverá á disfrutarse,en aquel partido la tranquilidad que 31 del corriente 4 las tx de su mañana eo ej ju…</t>
  </si>
  <si>
    <t>Izquierdo, José</t>
  </si>
  <si>
    <t>José Izquierdo</t>
  </si>
  <si>
    <t>…deber mío llevar también á exacto cumplimiento las pro pero con csp'ecialidad el alférez de caballería de Extremadura Don videncias del Gobierno, y asi es como podré contribuir á vuestro Ajntonio Lechuga, el urbano de Manzanares D. José Izquierdo, y bien y i las intenciones con las que la Reina Gobernadora, en el cabo y soldado de aquel cuerpo Félix Blanco y Felipe QuileZ, nombre de su augusta Hija la Reina Isabel Ii , me ha confiado la que estuvieron á las inmediaciones dé su comandante en lo mas ac autoridad de alcalde mayor de este puebl…</t>
  </si>
  <si>
    <t>…egidor se un cuarto de hora no había un alma ya en la plaza ni en las calles. gundo D. Sebastian Sánchez Cantalejo, y acompañado de nueve Esto es en bosquejo lo que puedo manifestar á V. E. en cumpli urbanos que lo fueron el Lie. D. José Izquierdo; el legista Don miento de mi oferta, jorque estoy persuadido que no es dable á José González Elipe; José Antonio Sánchez de Avila; D. Agus pluma alguna describir con exactitud el relevante espíritu de esta tín Burgos, alférez retirado; Luis Díaz Pallares, cesante de poli población en favor de la ju…</t>
  </si>
  <si>
    <t>Izquierdo, Julián</t>
  </si>
  <si>
    <t>Julián Izquierdo</t>
  </si>
  <si>
    <t>…r del dé Bspaña de fa edad media, con desplegué dos guerrillas, una al mando de L^Jy ícente Lobato, teniente del investigaciones curiosas, y con excelentes, máximas de buen Gobierna. Dicha tomo provincial de Córdoba, y otra al de D. Julián Izquierdo, subteniente de la . está venal con los antetíofél en la librería de Cuetta, en donde continúa abierta la 87 compañía fie seguridad, poniendo uña reserva a las órdenes del teniente Suscripción1 Por providencialo inismó qi^ueSr.en Balsera,la» provincias.teniente corregidor de ésta villa, refrendada…</t>
  </si>
  <si>
    <t>Izquierdo, Manuel AJejo</t>
  </si>
  <si>
    <t>Manuel AJejo Izquierdo</t>
  </si>
  <si>
    <t>…desde Sos que salía á recorrer algunos pueblos Manuel Antonio Novoa, que lo es de Trujillo; para este á D. José Gardon; Las partidas de rebeldes del bajo Aragón que han sido recientemente dis para el de Jerez de los Caballeros á D. Manuel AJejo Izquierdo, que lo es persadas son perseguidas con la mayor actividad. —de Arroyo deL "Puerco; parad-de Llcrena i D- Diego Alvarez Osorio, que lo Dios &amp;c. Zaragoza 9 de Diciembre de 1834*—Excmo. Sr.rrEl condé do «S de Olivenza; para el de Coria por traslación de D. Diego Martínez^ Pela— Ezpeleta^Excmo. Sr. Se…</t>
  </si>
  <si>
    <t>J'aiderrabano, José</t>
  </si>
  <si>
    <t>José J'aiderrabano</t>
  </si>
  <si>
    <t>…amado el Roig de Nota. En el Real decreto formaodn la dotación de la Real audiencia de Albacete, Inserto en la Gaceta núm. 57, léase al fin de la segunda la Cenia , que también fue cogido, será fusilado en el pueblo de su columna D. José J'aiderrabano, en lugar de D. José Valdenebro. naturaleza. En otro, formando también la dotación de la de Granada, inserto en la Gaceta núm 58 , «1 fin, igualmente de la segunda columna, léase El capitán general de Galicia en 16 de Abril, y con referen en la clase de alcaldes del crimeu, D. José Manuel sirizaga,…</t>
  </si>
  <si>
    <t>J, D Gaspar</t>
  </si>
  <si>
    <t>D Gaspar J</t>
  </si>
  <si>
    <t>…nte. Estando próximos á cumplir la cuarentena y regresar de Mahon á Cádiz Con la fecha del 7 dice desHe Vitoria el comandante militar de Alava que los buques correos de la Habana, verificarán su salida de dicho puerto de Cádiz el brigadier D. Gaspar J iurcguí desde Mondragon en ó del cnL&gt;mo le comuni para Canarias, Puerto-Rico é Isla de Cuba, e.l primero el dia 17 del corriente caba entre otras cosas lo siguiente: mes, y el segundo el dia 3 del próximo Marzo, conduciendo la corresponden Esta mañana al amanecer me he puesto en marcha con las fuer…</t>
  </si>
  <si>
    <t>J, D Toyiás</t>
  </si>
  <si>
    <t>D Toyiás J</t>
  </si>
  <si>
    <t>…do al subdelegado del Fomento párñ que determine las solicitu .. • - ’ ’ \,í.a.\,:x ■ ■ '-Vr . • • \ ■’ des dé admisión en la Redi casa de beneficencia de esta 'corte, oyendo dl^íñ- X.os libros poéticos de la Santa Binlia, por et doctor D. Toyiás J¿sé González rector del mismb'establecimiento. (Id.) ’ Carvajal: 12 tomos en 8.° mayor* á ‘¿4 rs. romo rústica. Habiéridos'e 'concluido la Real órden aplicando á los*que persigan los fraudes la ochava parte seiírfada á edicióncontienende iosJos tratadoscinco primerossiguientes.tomosTomode esta£.?:ob…</t>
  </si>
  <si>
    <t>…__^ autorizando al subdelegado del Fomento pára que determine las soticitu— .. • - ’ ■ '-Vr . • • \ ■’ oes dé admisión en la Redi casa de beneficencia de esta 'corte, oyendo dl^íi&gt;- X.os libros poéticos de la Santa Binlia, por e? doctor D. Toyiás J¿sé González rector del mismb'establecimiento. (Id.) ’ Carvajal: 12 tomos en 8.° mayor* á ‘¿4 rs. romo rústica. Hahiéridos'e'cdnchutío la Real órden aplicando á los*que persigan los fraudes la ochava parte señalada á edicióncontienende iosJos tratadoscinco primerossiguientes.tomosTomode esta£.?:obra…</t>
  </si>
  <si>
    <t>J, Gaspar</t>
  </si>
  <si>
    <t>Gaspar J</t>
  </si>
  <si>
    <t>…do próximos á cumplir la cuarentena y regresar de Mahon á Cádiz Con la fecha del 7 dice desHe Vitoria el comandante militar de Alava que los buques correos de la Habana, verificarán su salida de dicho puerto de Cádiz el brigadier D. Gaspar J iurcguí desde Mondragon en ó del cnL&gt;mo le comuni para Canarias, Puerto-Rico é Isla de Cuba, e.l primero el dia 17 del corriente caba entre otras cosas lo siguiente: mes, y el segundo el dia 3 del próximo Marzo, conduciendo la corresponden Esta mañana al amanecer me he puesto en marcha con las fuer…</t>
  </si>
  <si>
    <t>J, María Arroyo ESTAMENTO D PRÓCERES D</t>
  </si>
  <si>
    <t>María Arroyo ESTAMENTO D PRÓCERES D J</t>
  </si>
  <si>
    <t>…e las enfermedades que se paaquél gabinete. "• -J . deten* - - ' I jJ^ddrtd 23 di^Jütté^f __________ . R*.vn^ CORTES. -D. J. H. C..*,........,......................................................................... 40a . t \ : &lt; Doña María Arroyo............................................................... 100. ESTAMENTO D£ PRÓCERES. ¡_ . . -D* J, S..................................................................................................... 160 ’ i Una Señora viuda hace pocos dias.................................................... 160 Alas once y media de' la tháñana dé fejy se ba celebrado la’spgunda junta Excmo. Sr. duque de San…</t>
  </si>
  <si>
    <t>J, Párrafo</t>
  </si>
  <si>
    <t>Párrafo J</t>
  </si>
  <si>
    <t>…tema político Dios guarde á V. E. muchos anos. Ciudadela de Menorca y Diciembre 29 que hasta ahora ha seguido, y que es tan eminentemente nacional.” robado.") [ de l&gt;833.=Excmo. Sf.¿=Fr. Juan Antonio, obispo de Menorca. == Excmo. Sr. Párrafo J6: I ministro de Gracia y Justicia de España. «La Francia, como parte en la estipulación de los grandes contratos euro PARTE NO OFICIAL. peos, ha tolerado y tolera con extraño desinterés que subsista un estado tan onerosamente establecido en su propio perjuicio. Ningún esfuerzo ha hecho NOTICIAS EXT…</t>
  </si>
  <si>
    <t>J, Procurador</t>
  </si>
  <si>
    <t>Procurador J</t>
  </si>
  <si>
    <t>…ión, aprobándose por 71 votos contra 38. labras »aitnquó siri revocácioii dé los'decretos, á causa de las alteraciones política:»” Los Sres. que aprobaron fueron : Domecq, Agreda, Martel, Cano Ma- por no haberlas«jíroferFdo dicho Sr. Procurador. ' ' ' . J&gt;uel (pudre), Diez González, Mantilla , García de la Maza, marques, de Mon- 0/rz*. En la sesión:del Estamento de ilustras Proceres, del dia de Agosto, inser tevírgen, Cano Manuel (hijo), Acevedo, Blanco, Rivaherrera, Bermudeí, ta en el suplemento á Ja Gaceta del 31, concluido el discurso del Sr. Búr…</t>
  </si>
  <si>
    <t>J, Tmrtmrjís</t>
  </si>
  <si>
    <t>Tmrtmrjís J</t>
  </si>
  <si>
    <t>…reviene IQr «pie pido (pac &gt;e kac* (Se leyeses}* pezr ei &amp;- El Sr Preriéente: «So *e ua StresaiBát j- lumtn de La. toi artka»loa. lia Sro. Saiama. dei fibpda ana aadidE 6» citando k I» tti veca b han pe£do ■y lian dcBHegcarfic El Sr. Tmrtmrjís - J» tri. aeajMiA skisl</t>
  </si>
  <si>
    <t>J, Toyiás</t>
  </si>
  <si>
    <t>Toyiás J</t>
  </si>
  <si>
    <t>…ubdelegado del Fomento párñ que determine las solicitu .. • - ’ ’ \,í.a.\,:x ■ ■ '-Vr . • • \ ■’ des dé admisión en la Redi casa de beneficencia de esta 'corte, oyendo dl^íñ- X.os libros poéticos de la Santa Binlia, por et doctor D. Toyiás J¿sé González rector del mismb'establecimiento. (Id.) ’ Carvajal: 12 tomos en 8.° mayor* á ‘¿4 rs. romo rústica. Habiéridos'e 'concluido la Real órden aplicando á los*que persigan los fraudes la ochava parte seiírfada á edicióncontienende iosJos tratadoscinco primerossiguientes.tomosTomode esta£.?:ob…</t>
  </si>
  <si>
    <t>…orizando al subdelegado del Fomento pára que determine las soticitu— .. • - ’ ■ '-Vr . • • \ ■’ oes dé admisión en la Redi casa de beneficencia de esta 'corte, oyendo dl^íi&gt;- X.os libros poéticos de la Santa Binlia, por e? doctor D. Toyiás J¿sé González rector del mismb'establecimiento. (Id.) ’ Carvajal: 12 tomos en 8.° mayor* á ‘¿4 rs. romo rústica. Hahiéridos'e'cdnchutío la Real órden aplicando á los*que persigan los fraudes la ochava parte señalada á edicióncontienende iosJos tratadoscinco primerossiguientes.tomosTomode esta£.?:obra…</t>
  </si>
  <si>
    <t>J, Zaragoza</t>
  </si>
  <si>
    <t>Zaragoza J</t>
  </si>
  <si>
    <t>…d. pecto á las milicias formadas én las provincias por los capitanes Ldndres á 00 días 37^ Bilbao par. Sevilla par. áf. Cádiz t 6. Valencia Id.generales antes de su publicación, ya aumentando'ei número de los París 16. Cor uña $ d. Zaragoza J d. individuos , ya extendiendo á mayor número de pueblos establecí-' Descuento de letras á. 4 p. 100 al afio.miento tan importante, no alteran en nada la esencia de la ley ni el principio én que se funda, que queda y debe quedar ileso. La Única objeción plausible que puede hacerse á este sistema no…</t>
  </si>
  <si>
    <t>…ometido y cono Ld odres á 90 dias 37$ Bilbao par. Sevilla par. ce los hombres y las cosas mejor que ningún particular, y decfile: áj. Cádiz h b. Valencia id. Aquí has de herir : aquí has de usar de denuncia. París. 16 1. Coruña 4 d. Zaragoza ¡J d. Descuento de letras á 4 p. 100 al año. ministerio de la Guirva. ANUNCIOS. Según partes trasmitidos á este Ministerio por el capitán gene Quintín Duttvard, 6 el Escoces en la corte de Luis 11, i.° y a.o to ral de Castilla la Nueva, una columna de patriotas de los pueblos ■ mo , ó 13 y 14 de la Bi…</t>
  </si>
  <si>
    <t>Ja, Argúdles</t>
  </si>
  <si>
    <t>Argúdles Ja</t>
  </si>
  <si>
    <t>…o á ser un faccioso mas, como dijo en cierta ocasión el Sr. Presidente meterse el decoro nacional. De esto pueden respónder. del consejo de Ministros , sino á atizar violentamente esa tea infernal de la «Después ha manifestado el Sr. Argúdles Ja, sorpresa y satisfacción que discordia que nos destruye? Porque al cabo españoles son los que perecen de • le ba causado la supresión del antiguo consejo de CaitilH; pero al tiempo de una y otra parte, y sangre española es )u que el férritorij español, que/- aplaudir que el Gobierno hubiese adoptad…</t>
  </si>
  <si>
    <t>Ja, D Francisco</t>
  </si>
  <si>
    <t>D Francisco Ja</t>
  </si>
  <si>
    <t>…Proceres, dió su pare Se abrió 4 las once y cuarto, 7 leída el acta de la anterior quedó aprobada. cer de palabra; y que en seguida leyó su voto, particular uno de lo-, mismo, in Se mandaron pasar 4 la comisión de Poderes los del Sr. D. Francisco Ja dividuos, que disintió del dictamen de Jos demas :_por consiguiente va 4 leerse vier del Rey, electo Procurador por la provincia de Zaragoza; los del Sr. Don este voto particular^^ie^seiha-impresoycdrf ¿I acta.” Francisco Javier Isturiz , qúcld es por la de Cádiz, y los det Juan Frao- Eñ consecuenc…</t>
  </si>
  <si>
    <t>Ja, Fermín Fernandez</t>
  </si>
  <si>
    <t>Fermín Fernandez Ja</t>
  </si>
  <si>
    <t>…en su dictamen la adopción del bilí que nombrar para la plaza de regente 4 D. José Joaquín Ortiz: en clase se discute daría un golpe mortal á las antiguas universidades del reino, que son de oidores á D. Juan Nepcimüceno Vela, 4 D. Fermín Fernandez Ja gloria de la Inglaterra. De su seno, dice el orador , ha salido hasta nuestros de la Cuesta, 4 D. Manuel Paz, que lo son de la misma, 4 I). José dias esa juventud británica tan célebre por la pureza de sus costumbres, la so Ignaciojie Alara, que lo es de la de díceres, 4 D. José Moreno lidez de sus…</t>
  </si>
  <si>
    <t>Ja, Francisco</t>
  </si>
  <si>
    <t>Francisco Ja</t>
  </si>
  <si>
    <t>…eres, dió su pare Se abrió 4 las once y cuarto, 7 leída el acta de la anterior quedó aprobada. cer de palabra; y que en seguida leyó su voto, particular uno de lo-, mismo, in Se mandaron pasar 4 la comisión de Poderes los del Sr. D. Francisco Ja dividuos, que disintió del dictamen de Jos demas :_por consiguiente va 4 leerse vier del Rey, electo Procurador por la provincia de Zaragoza; los del Sr. Don este voto particular^^ie^seiha-impresoycdrf ¿I acta.” Francisco Javier Isturiz , qúcld es por la de Cádiz, y los det Juan Frao- Eñ consecuenc…</t>
  </si>
  <si>
    <t>Ja, FrarKUwC</t>
  </si>
  <si>
    <t>FrarKUwC Ja</t>
  </si>
  <si>
    <t>…io con la jura so S. M. Doña Isabel ii al trono de las Es pañas. Levanto pend -ne&gt; er. un, mag lemne á nuestra amada Reiva como Princesa heredera del trono, y tributado nífico tablado dispuesto en la plaza mayor el regidor decapo D. FrarKUwC Ja á la memoria de su augusto Padre las exequias correspondientes, se dispusieron vier Oarreño; y después hubo una función de ig'csia para dar «tracias al Todo todos los preparativos para la proclamación de S. M. Doña Isabel ii el 2** del poderoso por la nueva era de ventura y prosperidad que empieza…</t>
  </si>
  <si>
    <t>Ja, Goliernadora</t>
  </si>
  <si>
    <t>Goliernadora Ja</t>
  </si>
  <si>
    <t>…raves han motivado este rigor, porque era tan generalmente querido, Circula)r al cuerpo diplomático español en el extrangero. que se pensó en Argel fundar para ¿i el importante empleo de asá dt los Al restablecer S. M. lá augusta Reina Goliernadora Ja fiel y pun árabes. tual observancia de las leyes fundamentales de la monarquía, que La^ destitución de este hombre, la separación de los negocios del judío i^ar— exigen para la decisión &lt;le asuntos graves la convocación de las Om bonni, y algunas otras medidas de este género, han contribuido mucho…</t>
  </si>
  <si>
    <t>Ja, Virante Bertrán</t>
  </si>
  <si>
    <t>Virante Bertrán Ja</t>
  </si>
  <si>
    <t>…que tengo á bien instituirla. cheraron los anarquista* en la nuevae albóndiga leviñtaridé baratead** que file menester derribar i cañonazos, y de donde s* arrojó «« precipitada fuga i cusa- Art 8? Nombro director de ella al mismo D. Virante Bertrán • Ja plaza, y i és de Lis, que meÍm-propuesto su fundación; y acepto con aprecio su tos quisieron defenderse. Las tropas entonces sé apoderaron to siguió un largo tiroteo entre los soldador y loa ¡Margantes, k» eu*|*M*fr* 0ferm-4e‘plantearla sin suelilo ni emolumento alguno. giados en el pasadizo ó gale…</t>
  </si>
  <si>
    <t>Jaca, Crobernar</t>
  </si>
  <si>
    <t>Crobernar Jaca</t>
  </si>
  <si>
    <t>35 ■' Bárgos, el cual después de recordar las bondades de S. M. la Reina Crobernar Jaca, dicct que la facción de Carnicer y Montaner se hábta disuelto entera Jora" en' !a concesión del indulto á favor de los rebeldes, de que les aconseja mente, separándose unos de otro» los rebeldes por no poder sufrir por . mas vivamente se aprovechen, pasa a Inculcarles la doctrina de la obediencia…</t>
  </si>
  <si>
    <t>Jaci, Pedro</t>
  </si>
  <si>
    <t>Pedro Jaci</t>
  </si>
  <si>
    <t>…tracion de U sen» bl*e utilidad que -a re:orma propuesta producirá ai mis Trocha Cosío. —Jr^c C-.iro». m M ¡reos M crip.=:C^ndc de las Nivas.= Fcr- mo clero. Convencido de U necesidad de *u institución , creo que »i ha fe iiejnía Caballero. = Pedro Jaci bo Pi/arto. = Agustín Gir^ía de Aíc-Aa. = T* mas nár Sos alto» fines á que es. llamado t es indispensable que e-te compuesto de y&gt;fflÍHgu«fy. - Vi tren» Fernando Bía&gt;co. —José M uía López de Pe íraj is. Pe hombres ilustrados y virtuosos que coa su ejempi &gt; firman ¡as costumbresB coa dro Afccalá Zam…</t>
  </si>
  <si>
    <t>Jacinto</t>
  </si>
  <si>
    <t>…Subclase. r. D. José Ciscar. | Ír. D Antonio Ayajga, j) Madrid k, dr Julio. Sf. D. Ildefonso Diez dé Rivera» conde dtAlmorÍ0*pi. ttBOCrptt DE PROCURADORES DE¿ REINO. Sé. D. Abdon Ruiz de Carrú». provincia db Suva. ■sovikcia a S. D. Jacinto d« Roñante,</t>
  </si>
  <si>
    <t>…mente detenido* y puestos á yese convenienté eíérarlo al de 5. M. la Reiva Gdbéírridbr*. Dios'Stc.TÉrdisposición dé* este magistrado. Tengo el honor &amp;c. raudo .zrEJ director da meo 16 de Julio de L834 =Juan-Manuel de OndarzaJ=Sr. D. Jacinto &amp;«ml* aduana , Retaud. i»te, toonqndante militar de Marina."</t>
  </si>
  <si>
    <t>Jacinto, D</t>
  </si>
  <si>
    <t>D Jacinto</t>
  </si>
  <si>
    <t>…iatamente detenido* y puestos á yese convenienté eíérarlo al de 5. M. la Reiva Gdbéírridbr*. Dios'Stc.TÉrdisposición dé* este magistrado. Tengo el honor &amp;c. raudo .zrEJ director da meo 16 de Julio de L834 =Juan-Manuel de OndarzaJ=Sr. D. Jacinto &amp;«ml* aduana , Retaud. i»te, toonqndante militar de Marina."</t>
  </si>
  <si>
    <t>Jack</t>
  </si>
  <si>
    <t>…no solo objetos versos Estados de la Union. Si los periódicos pueden considerarse como unos.' de historia natural, sino también observaciones científicas, el uno, Mr. Jacórganos de ja opinión pública, muy en breve sabremos que-el general Jack— quemont, ha' sucumbido ál tiempo de su regreso y en medio de sus ricas co son ha emprendido una obra muy superior á sus fuerzas. (Globo.') lecciones; el otro Mr. d’Ortíigny nos ha tenido con gran inquietud du-aute dos años sobre -su suerte y hade sus colecciones, y hemos sabido á su llegada que si…</t>
  </si>
  <si>
    <t>Jackson</t>
  </si>
  <si>
    <t>…nca se cepto. ha probado, y por esto creemos que la acusación es falsa, que el hamo Ha abusado de sus privilegios; mas conviene saber que en América todo se mira articulo 11. por el prisma del espíritu de partido, y que porque el general Jackson juz Queda también á su cargo el presentar á la brevedad posible gó que los directores del banco eran contrarios a sus intereses, se ncc&gt;. .t una instrucción en que se comprendan las obligaciones de los mis renovar la carta de dicho establecimiento, á pesar de que por dos veces o- lo mos y de los co…</t>
  </si>
  <si>
    <t>…gto# Lonja de hoy. Cinco por 100 consolidados 104- ^r* 10 c- Fon era tirano, y en la actualidad no pasa dia en que los periódicos dos españoles, renta de España 3 por 100, 40¿. Empréstito Real americanos dejen de llamar tirano al general Jackson, repitiéndo lo aun dentro de la misma Camara de los representantes, y til de id- 81 Recia perpetua de id.</t>
  </si>
  <si>
    <t>…(Continuación del correo anterior.) AUSTRIA. Escriben de Nueva-Yorck lo siguiente: El senado se ocupaba todavía el 26 de Abril én discutir la mocion de M. Clay relativa á no insertar ea sus Viena 20 de Mqyo. actas la protesta del general Jackson La discusión tomaba por momentos mi 'Puede considerarse como totalmente terminado el congreso de ministros: carácter de mucha acrimonia. yi han cesado del todo las sesiones, y no falta más que Cerrar los protocolos y Las elecciones municipales se han hecho en un sentido enteramente opues limarlos."í-1…</t>
  </si>
  <si>
    <t>…s noticias recibidas de Filadelfia con fecha 19 del pasado Oc Acciones del banco españot, 00. tubre, se sabe que se había ya restablecido la tranquilidad; y que las eleccio &gt; cambios. nes se hacían de una manera poco favorable al general Jackson. (Diario de Amsrerdam, 00. París, 16-7 k 8. Cádiz» i b. Sevilla* ¿ b. los Debates.) Bayona,' 00. Alicante, á corto pía* Coru&amp;a 1 { d. Valencia, 4 id. Burdeos, 00. ao, I b. Granada, id. id. Zaragoza, | i 1 d. -T.a Gaceta de Ausgburgo, refiriéndose á cartas de Viena, dice: Corre la Humburgo, 00. Barce…</t>
  </si>
  <si>
    <t>Jacob</t>
  </si>
  <si>
    <t>…para los Negocios extranS.° Se considera como cargada toda embarcación que lleve cargamento,' sea geros; Mr. Guillemínot para la Guerra. Se dice en fin que Mr. Mole obten entero ó parcial. drá íd presidencia del Consejo, y que el almirante Jacob volverá á su go Excepciones. bierno. (Oaceta de Francia.) 1.° Toda embarcación qu^se vea, obligada.4 entrar en un puerto, sca Por á» Ún 'buque mercante , que flegó i Marsella Octttfeip, precedente alguna tempestad ó de resultas de averías, está exenta durante ocho dias de de-6Íríatrae noticias dc f…</t>
  </si>
  <si>
    <t>…la servidumbre del du ministro de Comercio; Mr. Cousin ó Mr. Passy, ministro de Instrucción pú que de Leuchtemberg, los huérfanos y los niños del hospital. Durante la fun blica. Mr. Persil conserva el ministerio de Justicia, y el almirante Jacob eT ción se anunció en el púlpito que todos los años se repetirla esta conmemo, de Marina. (Diario de los Debates.) ración en señal de gratitud á tan insigne bienhechor.' '• ——El duque de Leuchtemberg, después de las varias conferencias que ha té____ H¿ aqui el discurso pronunciado ayer por el Rey e…</t>
  </si>
  <si>
    <t>…ara de los Pares, nisterio de las Colonias. Sin embargo, nada se sabe hasta aqui de positivo. al almirante Villaumez y á Mr. Delabordére. El 15 tuvo el mariscal Gerard {(jiote.') una audiencia del Rey, é igualmente la tuvieron el almirante Jacob y el duque de Choiseul. El siguiente día recibió S. M. al conde de Mont^livct, al duque __Algunos piensan que Mr. Bajríng será nombrado canciller del Echiquier, de Bassano, al mariscal Gerard y á Mr. Carlos Dupin. aunque otros creen que el destinado á este ministerio es Mr. Aberpromby. Se habla de lo…</t>
  </si>
  <si>
    <t>Jacobo</t>
  </si>
  <si>
    <t>…cta las imprecaciones, predicciones y blasfemias. de asociación, en virtud de la cual se obligaron sus individuos á «Ha triunfado de todo, hasta de la inverosimilitud de su exis defender la persona del Rey y su gobierno contra el Rey Jacobo tencia. No dudo, señores, que el nuevo proyecto que se os presen^ .y todos sus partidarios. Los lores y el clero firmaron otra acta ta sea un nuevo ejemplo que aumentará el número de los que ya casi semejante.” habéis dado á las Cámaras que sucederán á la actual. (Seríales nu M. Petit: «El mérito d…</t>
  </si>
  <si>
    <t>…i Estamento, y so Interior al Excmo. Sr. conde González Castejon; y parala de Hacienda at bre todo en las circunstancias difíciles y compromiso en que nos hallamos, Excmo. Sr. conde de Sania Ana",'por indisposición del Excmo. Sr. D. Jacobo tanto mas acreditaría su patriotismo; y que de consiguiente convenía con ei María de Parga. Sr. marques de las Amarillas en que solo su patriotismo fuera la norma de El Sr. Presidente anunció que el sábado 16 del corriente se rcuniria el cuándo debieran asistir ó no á las sesiones. Estamento para o…</t>
  </si>
  <si>
    <t>Jacobo, D</t>
  </si>
  <si>
    <t>D Jacobo</t>
  </si>
  <si>
    <t>…ia ai Estamento, y so Interior al Excmo. Sr. conde González Castejon; y parala de Hacienda at bre todo en las circunstancias difíciles y compromiso en que nos hallamos, Excmo. Sr. conde de Sania Ana",'por indisposición del Excmo. Sr. D. Jacobo tanto mas acreditaría su patriotismo; y que de consiguiente convenía con ei María de Parga. Sr. marques de las Amarillas en que solo su patriotismo fuera la norma de El Sr. Presidente anunció que el sábado 16 del corriente se rcuniria el cuándo debieran asistir ó no á las sesiones. Estamento para o…</t>
  </si>
  <si>
    <t>Jacome, D Manuel</t>
  </si>
  <si>
    <t>D Manuel Jacome</t>
  </si>
  <si>
    <t>…Real cuerpo de artillería el teniente graduado, alférez D. José Lasala; el ellos causaba dicha enfermedad. sargento:2.° Jacinto Martínez, y soldado José Montero: de cazadores de la Guardia Real de caballería el coronel graduado, capitán D. Manuel Jacome, PROVINCIA DE VALENCIA. y el teniente D. Fernando Hermosa; del 6.a ligero de caballería el teniente —coronel graduado D-Juan García Tejida. Se recotTircnda itiruy particularmen Según parte de 4 del corriente en los cuatro primeros dias de este mes te al comisario habilitado D. Nicolás Mezquirez, cu…</t>
  </si>
  <si>
    <t>Jacome, Manuel</t>
  </si>
  <si>
    <t>Manuel Jacome</t>
  </si>
  <si>
    <t>…cido en la audiencia de S. M. por el conde de Samt-Maurís, introductor de que nuestra caballería á hrs-órdenes dei coronel capitán de cazadores a caballo embajadores, y Mr. Jouannin, primer secretario, intérprete del Rey para las Don Manuel Jacome, tuvieron bastante parte en la dispersión compíera que lenguas orientaLes. en este dia han sufrido las hordas de Zumalacarregui capitaneadas por ei mis mo. En fin, nuestros esforzados por todas partes llevaban la muerte; v única ____Dice una carta de Leipsick. del 12 de Setiembre: mente los obstácu…</t>
  </si>
  <si>
    <t>…erpo de artillería el teniente graduado, alférez D. José Lasala; el ellos causaba dicha enfermedad. sargento:2.° Jacinto Martínez, y soldado José Montero: de cazadores de la Guardia Real de caballería el coronel graduado, capitán D. Manuel Jacome, PROVINCIA DE VALENCIA. y el teniente D. Fernando Hermosa; del 6.a ligero de caballería el teniente —coronel graduado D-Juan García Tejida. Se recotTircnda itiruy particularmen Según parte de 4 del corriente en los cuatro primeros dias de este mes te al comisario habilitado D. Nicolás Mezquirez, cu…</t>
  </si>
  <si>
    <t>Jacota</t>
  </si>
  <si>
    <t>…ente han dispensado ios En la ciudad de Pontevedra se ha establecido una escuela de lectura y Reyes. En el espacio que habia de un pórtico á la última columna del tem teoría de la numeración según el método de Vallejo, á cargo de Doña Jacota* plete se veia la España simbolizada por un corazón coronado ardiendo en Ha* Sánchez Ríos, profesora en la normal de mugeres adulta» abierta en esta corte* mas , circunvalándole dos ramos de laurel, entre los cuales y él se leía esta ins bajo U protección de S. M. la Ruina Gobernadora. Es asimismo…</t>
  </si>
  <si>
    <t>Jacp</t>
  </si>
  <si>
    <t>…o. conocida con el nombre de Voto de Santiago , le mandó pasar al mencionado Se mmdaron pasar i la comisión de eximen de Documentos, los que el Consejo; y este, habiéndole examinado con su acostumbrado celo por el bien Exqnuy Sr. D. Jacp^q AGríaParga remite desde Betanzos , con oficio , en que público, convino con la medida propuesta por el Ministerio, si bien fue da expone hallarse pronto ¿ prestar el juramento supletorio del modo que se te parecer que este instruyese con mas extensión el expediente , para conocer coa ordene, y co…</t>
  </si>
  <si>
    <t>Jacp, D</t>
  </si>
  <si>
    <t>D Jacp</t>
  </si>
  <si>
    <t>…erado. conocida con el nombre de Voto de Santiago , le mandó pasar al mencionado Se mmdaron pasar i la comisión de eximen de Documentos, los que el Consejo; y este, habiéndole examinado con su acostumbrado celo por el bien Exqnuy Sr. D. Jacp^q AGríaParga remite desde Betanzos , con oficio , en que público, convino con la medida propuesta por el Ministerio, si bien fue da expone hallarse pronto ¿ prestar el juramento supletorio del modo que se te parecer que este instruyese con mas extensión el expediente , para conocer coa ordene, y co…</t>
  </si>
  <si>
    <t>Jacqucmmot</t>
  </si>
  <si>
    <t>…partido contrario á Santana. Sin embargo, al querer averiguar el sobre este punto ha hecho el Sr, Dcludre: de lo contrario desechará el proyecto. ¡ origen de esta noticia, ba sido vano nuestsxyntento, porque ni aun se sabe que El general Jacqucmmot dice , que si bien el proyecto puede disipar en par I haya llegado correspondencia de aquel pumo. (Courttr.} te la inquietud en que se hallan, los oficiales, con todo, aun deja mucho que i Pnf noticias recibidas de Oportó que alcanzan hasta el 4 del corriente he- desear. Adhiere al dictamen de la c…</t>
  </si>
  <si>
    <t>Jacqueminot</t>
  </si>
  <si>
    <t>…a terlinas cada roes: lord Combermere 100: M. Hope 230: Sir Ti desvanecer los temores que según se dice inspifán las asociaciones.. Poore 8Ó: Sir R. Otway IOO: lord de Tabley loO: lord Hert- .Vota contra el proyecto. ford 230. El general Jacqueminot sostiene el dictamen de, ia comisión; .i____Una cárfia particular de Constantinopla, refiere que el 26 de porque a su entender es indispensable dictar una ley que reprimien Enero último se verificó en aqüella capital la inauguración de la do la osadía de las asociaciones políticas ponga al gobierno…</t>
  </si>
  <si>
    <t>…sa, que atendidas las relaciones de amistad entre las dos Potencias no ca Monceaúr por medio' de ejercicios de fuego á vista del mariscal Lovau, y del recerán de influjo sobre el litoral prusiano del Báltico, que es muy extenso y general Jacqueminot, grife del estado mayor de la guardia nacional. El próxi está sin defensa. El príncipe ha admirado también el sistema de bombas para apa. mo continuará la instrucción, como en el presente. gar los incendios, cuya ejecución y rapidez es extraordinaria. * -- - (Corresponsal de Hamburga!) Escriben de…</t>
  </si>
  <si>
    <t>…á presen que no pueda volverse a reunir, sin embargo de los esfuerzos de sus fre-et:cv&gt;s tarse con uniforme o distintivo que los dé á conocer. ^ 1 cabecillas. Muchos muertos, pasioneros, gran cantidad de fusi.es, ca}3&gt; de cuerF.1 general Jacqueminot elogia la conducta de la guardia nacional, a cuya ra , municiono, equipage&gt;, r.us*xi numero de electo* aprehendidos cabeza se hallo en los dias 22 y 23 de Febrero, y asegura que no ha visto ase ha sido el resultado de mi ataque, cu vos deludes exactos no puedo diñar»lestar a sinos disfrazados , v s…</t>
  </si>
  <si>
    <t>Jacteton</t>
  </si>
  <si>
    <t>…actualmente se hallan las escandalosas escenas verificadas el 11 con motivo de la elección del corregido» Provincias Vascongadas y la Navarra, y para desviarse lo menos po M- Lawrence, que era el candidato de los partidarios del general Jacteton, sible del espíritu y disposiciones de este Real Decreto, se verificarán esto es , de los enemigos del banco. por esta vez las elecciones pará Procuradores á las Córtes Generales El Péew-Yorck advertí:tr da cuenta de estos acontecimientos, que pueden del Reino en la forma siguiente: reducirse á lo…</t>
  </si>
  <si>
    <t>Jados, Laureano</t>
  </si>
  <si>
    <t>Laureano Jados</t>
  </si>
  <si>
    <t>…peligro parecía multiplicar ■ ría, autorizándole en comisión pala el desempeñó de la fiscalRde lá Real au laa fuerzas del alma, presente en todas partes, mostraba en lo mas pavoroso del diencia de Ma’drid, durante’lá. ausencia dt D. Laureano Jados</t>
  </si>
  <si>
    <t>Jai, D</t>
  </si>
  <si>
    <t>D Jai</t>
  </si>
  <si>
    <t>…en Agosto, y «Ei~cabildo .cn el año 1818’acud‘ó al extinguid^ Consejo de Castilla so asi respectivamenté; siendo sin embargo de esperar que la mayor actividad en licitando se mandase guard ir el fuero ó sentencia arbitral del Sr. Rey D. Jai la administración, y la desaparición de estas plagas .contribuya poderósamen- me el Conquistador, sobre pago de diezmos, ó sea fuero l.°, lib. 4» rúbrica 24 ‘tC'á que sea menor la disminución enunciada, y a que vuelvan las entradas de los de aquel reino. 1 á su nivel anterior,1 como ya empieza á notar…</t>
  </si>
  <si>
    <t>Jai, Rey D</t>
  </si>
  <si>
    <t>Rey D Jai</t>
  </si>
  <si>
    <t>…rte en Agosto, y «Ei~cabildo .cn el año 1818’acud‘ó al extinguid^ Consejo de Castilla so asi respectivamenté; siendo sin embargo de esperar que la mayor actividad en licitando se mandase guard ir el fuero ó sentencia arbitral del Sr. Rey D. Jai la administración, y la desaparición de estas plagas .contribuya poderósamen- me el Conquistador, sobre pago de diezmos, ó sea fuero l.°, lib. 4» rúbrica 24 ‘tC'á que sea menor la disminución enunciada, y a que vuelvan las entradas de los de aquel reino. 1 á su nivel anterior,1 como ya empieza á notar…</t>
  </si>
  <si>
    <t>Jaime</t>
  </si>
  <si>
    <t>…ignos y caracteres cia del articulo 291. (Interrupción.) antiguos á letras modernas y gallardas 163 voluminosas escrituras «Señores: repito que cuando digo vosotros, no es de vosotros sueltas en pergamino, de la colección del Sr. D. Jaime ir, y 23 personalmente de quien hablo: es de vuestro partido. No es hoy la de la de D. Pedro t, reuniéndolas en tres tomos ó cartularios, que primera vez que vosotros y vuestro partido representáis este papel se hallan próximos á pasar á la encuadernación. en la historia de nuestras instituciones y…</t>
  </si>
  <si>
    <t>…o Wrede, que gués, regidor. = Francisco Escarrá, iegidor.=rLuis Wontul, regidor. = Pio Boíx está allí desde 1826, por cómplice en la conspiración. Es hi^b del célebre ma y Fraixel, regidor.=.Antonio Oliva, regidor. =Joscf Llach , diputado. =Jaime riscal de este nombre. Tricoupi, último ministro de Estado, ha salido para re Moragas* diputado.zcFrancisco Vidal, diputado. = Jaime Albert, diputado.= presentar al Rey Otón en nuestra corte. Narciso Antonio Pastors, síndico procurador generah=Francisco Baltá, síndico ____ Por noticias recibidas de…</t>
  </si>
  <si>
    <t>…do considerablemente su . inculcando la religiosa observancia de la costumbre en cuanto al modo de pa cultivo; pero el cabiMo yto ha pensado sin duda en el articulo 18 de la senten gar «us diezmos y su cuota. cia arbitral del Rey D. Jaime ei Conquistador, en que se dice, que U uva dé » Asi lo atestiguan las leyes 3.* y 7.a dél tír. 6°, líb. l.° de la Novísima pasa no se sujete al pago dé! diezmo. Siendo esto asi, y siendo igualmente bien Recogí lacioifl y el misjnp Sr. Rey D. Jaime ,i respétó en tanto grado las cos sabido que no se…</t>
  </si>
  <si>
    <t>Jaime, D</t>
  </si>
  <si>
    <t>D Jaime</t>
  </si>
  <si>
    <t>…us signos y caracteres cia del articulo 291. (Interrupción.) antiguos á letras modernas y gallardas 163 voluminosas escrituras «Señores: repito que cuando digo vosotros, no es de vosotros sueltas en pergamino, de la colección del Sr. D. Jaime ir, y 23 personalmente de quien hablo: es de vuestro partido. No es hoy la de la de D. Pedro t, reuniéndolas en tres tomos ó cartularios, que primera vez que vosotros y vuestro partido representáis este papel se hallan próximos á pasar á la encuadernación. en la historia de nuestras instituciones y…</t>
  </si>
  <si>
    <t>…entado considerablemente su . inculcando la religiosa observancia de la costumbre en cuanto al modo de pa cultivo; pero el cabiMo yto ha pensado sin duda en el articulo 18 de la senten gar «us diezmos y su cuota. cia arbitral del Rey D. Jaime ei Conquistador, en que se dice, que U uva dé » Asi lo atestiguan las leyes 3.* y 7.a dél tír. 6°, líb. l.° de la Novísima pasa no se sujete al pago dé! diezmo. Siendo esto asi, y siendo igualmente bien Recogí lacioifl y el misjnp Sr. Rey D. Jaime ,i respétó en tanto grado las cos sabido que no se…</t>
  </si>
  <si>
    <t>Jaime, Él</t>
  </si>
  <si>
    <t>Él Jaime</t>
  </si>
  <si>
    <t>…orden de 1828, solicitó el pigo del diezmo de la uva. mo cita! y «Resulta .pues de todo Yo dicho, que sin embargo de la sentencia arbitral planti, sin embargo de decirse en dicha Real &lt;'|rdé&amp;:, «salta'la', costumbre lev . del Sr. Rey Él. Jaime ii, y prescindiendo de la, ¡nteli3encia que se quiera dar gítimamente establecida." Los pueblos han resistido el pago de este diezmo, y al art. (8 de la misma, nunca puetje tener aquella mas fuerza y derecho que su resistencia ha dado origen á dilatados y coStosds pleitos, cuyo fa¡|u ha mo las otra…</t>
  </si>
  <si>
    <t>Jaime, Rey D</t>
  </si>
  <si>
    <t>Rey D Jaime</t>
  </si>
  <si>
    <t>…i Conquistador, en que se dice, que U uva dé » Asi lo atestiguan las leyes 3.* y 7.a dél tír. 6°, líb. l.° de la Novísima pasa no se sujete al pago dé! diezmo. Siendo esto asi, y siendo igualmente bien Recogí lacioifl y el misjnp Sr. Rey D. Jaime ,i respétó en tanto grado las cos sabido que no se hacen pasas de otra dase de uva mas que de la moscatel y tumbres , como que .hizo sus fueros según ellas, y dando la regla de los frutos planta, sin dud¿ el sabio compilador, al pronunciar la sentencia arbitral, com d: que había de pagarse el diezm…</t>
  </si>
  <si>
    <t>Jaime, Rey Él</t>
  </si>
  <si>
    <t>Rey Él Jaime</t>
  </si>
  <si>
    <t>…eal orden de 1828, solicitó el pigo del diezmo de la uva. mo cita! y «Resulta .pues de todo Yo dicho, que sin embargo de la sentencia arbitral planti, sin embargo de decirse en dicha Real &lt;'|rdé&amp;:, «salta'la', costumbre lev . del Sr. Rey Él. Jaime ii, y prescindiendo de la, ¡nteli3encia que se quiera dar gítimamente establecida." Los pueblos han resistido el pago de este diezmo, y al art. (8 de la misma, nunca puetje tener aquella mas fuerza y derecho que su resistencia ha dado origen á dilatados y coStosds pleitos, cuyo fa¡|u ha mo las otra…</t>
  </si>
  <si>
    <t>Jalen, Mariano</t>
  </si>
  <si>
    <t>Mariano Jalen</t>
  </si>
  <si>
    <t>…el Mercurio Siluriano, apareció cubierta de una fioz i la vista de ios muro» de Salvatierra , y acompañándole )&lt; s bizarros Ur ' inmensa tpole (je agua, que se precipitaba con un ruido terrible, la montaña banos O Bemto Urrutia y D. Mariano Jalen, que voluntariamente hicieron utusijal entre Róaune y, Sant-G*rmain; arrancaron las aguas un gran núnje- ate servicio con tus propios caballos, les encargó la entrega del pliego cotr ro dearboiét, de cabezas de ganados, y aun derribaron algunas casal: 4 falda prevención de que procurasen luego inco…</t>
  </si>
  <si>
    <t>Jalón, José Jalón y</t>
  </si>
  <si>
    <t>José Jalón y Jalón</t>
  </si>
  <si>
    <t>…an NeGrandville en París, sir Frederick Lainb en Viena, lord Ponsonjby en Cons- pomuceno Vela, á D.. Mariano Herrero, teniente corregidor de Madrid, y á tantinopia, sir Roberto Adair en Bruselas, y asi en las demas, nosotros solo D. José Jalón y Jalón, ministro de la de Oviedo; para otra plaza de oidor tenemos dos embajadores residentes aquí, y uno de ellos, el barón Bulow,está de Valencia y dos de alcaldes del crimen de- la misma, también vacantes por en vísperas de-partir. La Francia está representada en la corte de San James por fallecimiento…</t>
  </si>
  <si>
    <t>Jamaica, Mulgrave-en</t>
  </si>
  <si>
    <t>Mulgrave-en Jamaica</t>
  </si>
  <si>
    <t>…, sustituyertdó eridúear de aquella el derecho que- parézca justo;** pro ponen varios dipútadtMi que el gobierno fijé Criües deben ofcr lo» vendimiér.toa Estado BO» Ulrenuncia de sir Graham. . • . ' \ La coaduoí# observadaipor «1 conde Mulgrave-en 1» Jamaica ds:,bastante dei atiicar terciado éjtiébérehna en Frióme, 4 fin d* qoe se sepi en qué das* seguridad de. que será tan útil Qotoo activo en i* dirección, general de correos. tieñen dercches-af jrééAiíio Me-ext racé-son. Sus, talento» «m bien conocidos, lo mismo que sUiOpimon de liberal; circuos- - E…</t>
  </si>
  <si>
    <t>Jameson</t>
  </si>
  <si>
    <t>…ndo á mucho* exirarvgeros, de manera que las posadas y casa* de huéspedes AMÉRICA MKRILHOSAI. están llenas. El mismo aumento de provisiones de lodj clase indica la afluen cia de gentes que han venido de fuera. Por insinuación del profesor Jameson 3 líenos- Air a 22 de Abril. se han abierto el museo del colegio de la ciudad y las bibliotecas públicas coa Debiendo subrogarse rtro distintivo al que se ha abolido en U universi el objeto de entretener la curiosidad de los extrangeros, y hacer agradable su dad, el gobierno t.a acordido y dccrctá.…</t>
  </si>
  <si>
    <t>Janín</t>
  </si>
  <si>
    <t>…do el mariscal Gerard la presidencia det Consejo de ministros, recaería en el almirante Rigny ó en el duque de Jbroglie. Idem 30. '■ : - —Pnr una carta de Jamaica, su fecha 7 de Setiembre, vemos que la ciu El Sr. teniente general barón Janín pasó ayer mañana de improviso al dad de Kingston ha sufrido un violento terremoto. Algunos dius antes la at hospital mtfitar, acompañado dc( Sr. comandante de la plaza y de -su estado mósfera despedia un gran calor, el termómetro estaba á 96 y 98 grados á la mayor: visitó con el mayor cuidado el su…</t>
  </si>
  <si>
    <t>Jaques, El</t>
  </si>
  <si>
    <t>El Jaques</t>
  </si>
  <si>
    <t>…egar en el navio- Saines entraba en el puerto de Fort-Royal fin al grande acto de la proclamación, repitiéndose en cada noche las ilumina una gabarra inglesa. • ciones, refrescos y escogidas orquestas; no debiéndose omitir que el caballero El Jaques ha llegado á Francia el 1»° del corriente. (D. Je París.') intendente mandó dar paga doble á los soldados en uno de los tres días de fies __ .Con fecha 4 del corriente se ha recibido parte telegráfico de León, anim tas , y que el comandante general arengó á Us tropas expresando la satisfacción ando…</t>
  </si>
  <si>
    <t>Jara, D José</t>
  </si>
  <si>
    <t>D José Jara</t>
  </si>
  <si>
    <t>…s órdenes en medio del mas vivo fuego coa la mayor chazada vigorosamente por la compañía del 4-° regimiento de la Guardia serenidad y valor; del aposentado^ y gobernador del cuartel general D. Ma que los escoltaba, mandada por su capitán D. José Jara, y por un piquete de nuel Arregui, que se halló con el mayor entusiasmo en todas partes; del ca convalecientes del regimiento de Córdoba, asistentes y varios soldados sueltos pitán de equipage ya nombrado D. Manuel Iglesias, que ademas del mérito de otros cuerpos que se trasladaban á Pamplona, anim…</t>
  </si>
  <si>
    <t>Jara, José</t>
  </si>
  <si>
    <t>José Jara</t>
  </si>
  <si>
    <t>…s en medio del mas vivo fuego coa la mayor chazada vigorosamente por la compañía del 4-° regimiento de la Guardia serenidad y valor; del aposentado^ y gobernador del cuartel general D. Ma que los escoltaba, mandada por su capitán D. José Jara, y por un piquete de nuel Arregui, que se halló con el mayor entusiasmo en todas partes; del ca convalecientes del regimiento de Córdoba, asistentes y varios soldados sueltos pitán de equipage ya nombrado D. Manuel Iglesias, que ademas del mérito de otros cuerpos que se trasladaban á Pamplona, anim…</t>
  </si>
  <si>
    <t>Jarabit</t>
  </si>
  <si>
    <t>I causa formada en esa subdelegaron contra D. Juan de Mendoza, del comercio Sr. Jarabit cree que el gobierno ha hpeho bien en aproximar tropas á los Dirí—; I de Granada , por aprehensión de géneros prohibidos en un buque de su propia ’ neos; pero desaprueba que haya hecho alistar 359 hombres más de los que las*' Idadí-dstcuyo testimonio1 resulta que habiéndose librado exhorto al.ímend…</t>
  </si>
  <si>
    <t>Jarcño, Pedro Vicente</t>
  </si>
  <si>
    <t>Pedro Vicente Jarcño</t>
  </si>
  <si>
    <t>…cimas. Ya tentamos en prensa nuestro número del martes en que dimos noticia Extracto del parte remitido por el gobernador civil de la provincia de dél formidable y extraordinario aguacero de granizos que descargó sobre esta Jaén, D. Pedro Vicente Jarcño, con fecha de 6 de Mayo actual. villa y sus alrededores el dia 15 del corriente,cuando supimos por varios con Ha conseguido con sus esfuerzos y los de la junta de agravios la conclusión ductos fidedignos que el 16 entre las tres y las cuatro de la tarde se vió igual del sorteo y entrega de 542 quin…</t>
  </si>
  <si>
    <t>Jardín, Francisco</t>
  </si>
  <si>
    <t>Francisco Jardín</t>
  </si>
  <si>
    <t>…mas avanzados dando pruebas de un va aviso del comandante Cosío participándome que la facción de Ba lor y bizarría que le hace recomendable. El subteniente graduada silio en lugar de seguir á Valderejo (labia contramarchado desde D. Francisco Jardín , ayudante de la 4 1 compañía y comandancia Arroyo por los montes, que inútilmente le habia seguido hasta V¡- de carabineros, es digno de elogio por su buen porte. El capitán llafria, y respecto á que sin detenerse en este pueblo continuó por de cazadores de Segovia D. R-ampc; Qqjhí y sus subaltern…</t>
  </si>
  <si>
    <t>Jareéo, Pedro Vicente</t>
  </si>
  <si>
    <t>Pedro Vicente Jareéo</t>
  </si>
  <si>
    <t>…cluiráel día 22 ende Julio próximo á las doce de la mañana en los estrados de la Ordenación de dicha- ca pitanía general, en cuya secretaría está de manifiesto el pliego de condiciones. El gobernador civil de la provincia de Jaén D. Pedro Vicente Jareéo da parte de haberse celebrado en aquella capital el dia 30 del anterior la pro- franceses,Nota, relativoEn el artículoa la próxima3.° del convóeacion2.° Real decretode las deCámaras,S. M. LuisinsertoFelipe,en la ReyGacetade tos!d¿ moigacroq dtl Ebtatoto Real, Convocatoria fi Corles y Real decreto para…</t>
  </si>
  <si>
    <t>Jasé</t>
  </si>
  <si>
    <t>…miento, =Está rubricado de la Real mano. = En el Pardo á 11 de Diciembre de 1834.:=A D. Manuel Llauder, marques He dado cuenta á S. M. fe Reina de una exposición de 1a jun ta de Sanidad de Hellin en solicitud de que se autorice á D. Jasé del valle de Rivas. Morales, D. Tomas Ruiz Hermosa y D. Luis Carbonell, para ex ministerio de gracia r justicia. pender en todo el reino las polvos llamados de las vi toreras murcia nas; y enterada S. M. de que estos sugetos no son profesores de far macia , únicos á quienes está permitido por las leves…</t>
  </si>
  <si>
    <t>…os: la disminución á 30 dimanó de S. M.la Reiua'.Gobernadora.’9 cía, ¿aborda, Polo y Monge, y Del Rey. El Sr. Alcali Galiano insistió en su pregunta , y el Sr. Secretario de Ha Se abstuvieron de votar los Sres. Melendez y Ciscar (D. Jasé.) cienda repitió qué solo era la voluntad de S. M. la que había producido la.1*- El Sr. Oais reclamó la equivocación de haberse^ incluido én la Esta al rebaja. Sr. Crespo Rascón, que no estaba presente j equivocación que se rectificó. El Sr. marques de Torremejía preguntó si en los 30 millones se co…</t>
  </si>
  <si>
    <t>Jaubctl</t>
  </si>
  <si>
    <t>…da 25 francos afc [■ «mxldi» Mtín de «stos ramos, y doi- modo y- sazón de cosregirlos con seguridad rendimiento ascenderá á 44 'billones de francos, anuales.» -t v-jU. ifyNMMkv.: • a., tiimi-v'.;. &lt;f. • .n. w- í i~ t. Contesta el Sr. Jaubctl, que tanto -éo el departamento qub él repre&amp;nM¿ constante snhclo dc tni política «Regunrfá mis pueblo* el goce como en otros varios de Frailen, hay inmensos terrenos que se pueden com$¿ \*B JalMmuiiite dé lo* bincficiorde la paztEdcttai hottdo secundado, porla tferar tomo pantanos 6 lagupar, y pert…</t>
  </si>
  <si>
    <t>Jaubert</t>
  </si>
  <si>
    <t>…eñora el 27,dc,Dici^mf&gt;rc próximo pagado.,, Al. efccjp. tra^. principia la discusión de la propuesta del Sr. Paraut respecto á mayo tó al cabildo de la santa iglesia catedral, comandante ;fhljirrtus.,y razgos y substituciones. El Sr. Jaubert suplica á sus cólegas tengan presente va prelados regulares* y á otras pcrsonasjjc distinción, y habiendo pcccqdijtj en lí rías observaciones que hace en un impreso que se les ha distribuido. Se levanta víspera repiques de campana*, iluminación gcqeral; y.ricas colgada^;#* la'sesión. ' las calles l…</t>
  </si>
  <si>
    <t>…los polacos llegados ya i Alejan dría, 6 que en adelante vinieren,, puedan volverse á Francia á expensas de su te- sula para rentas demayorazgos. sortyppotque no qtdere que el .Egipto sea tenido por uña tierra ingrata que ar- El Sr. Jaubert dice que esta proposición contradice lo dispuesto en el artí ™ roja de su seno á los que le ofrecen servicios, aun cuando no pueda aceptar culo 8.? 'de la ley que la Cámara ha aprobado para la abolición dé mayoraz los. (Monitor egipcio.) gos; que sera ilusorio poner en venta el derecho de expectati…</t>
  </si>
  <si>
    <t>Jaudenes, Vicente María</t>
  </si>
  <si>
    <t>Vicente María Jaudenes</t>
  </si>
  <si>
    <t>…ice este entre otras, cosas, cual queda suprimida. Por otro Real decreto de la misma fecha ha tenido á ,que cp el La establece el principio de que no se presuma legítimo el hijo que bien nombrar intendente de las islas Canarias á D. Vicente María Jaudenes, ítuzcp despuésde separados los esposos por adulterio de la muger, y la comisión administrador de las aduanas de Galicia. que ha. exarfúpado esta propuesta quiere por el contrario que subsista la presyn- ,cíon. de. leg'iiimídad, dejando sin embargo al padre facultad para no reconocer; Asimismo se h…</t>
  </si>
  <si>
    <t>Jaure</t>
  </si>
  <si>
    <t>…ioteca Real ejempla de donde salió huvendo ya de noche por haber llegado á dicho punto una co res de 120 obras, que una con otra contienen 1092 pliegos de impresión. Su lumna de nuestras tropas que se infiere fuese mandada por el brigadier Jaure£uÍ, poniendo que se tiran 500 ejemplares de cada obra , resulta que todas las se ignorándose U dirección que tomó, y el general en gefe se hallaba esta maña manas tienen los lectores 546¿) pliegos de letra de molde. Haciendo el cálcu na en Eguí, desde donde parece se dirigía ai valle de Erro, subdi…</t>
  </si>
  <si>
    <t>Jáuregui</t>
  </si>
  <si>
    <t>…Debo elogiar la firmeza, decisión y arrojo del 2.° batallón del 4*° regi Bridomero Espartero y coronel D. Félix Carrera» que había mandado venir miento de la Guardia Real de infantería, que correspondió al uniforme que con la del brigadier Jáuregui , previsiva y muy oportunamente , sobre estos viste, distinguiéndose particularmente su compañía de cazadores , sin embargo puntos ó inmediaciones , conforme se lo permitiesen las fuerzas facciosas , ve de haber perdido á su capitán en lo mas fuerte de ia acción. También merece rificándolo asi y es…</t>
  </si>
  <si>
    <t>…ts lái autoridades y un numeroso concurso-'asistió el 25 a la ben- ga antcs. de su llegada. . - 1 I dícion del Real estandarte, y el día inmediato se verificóla proclamación-coq z DiiM ademas que noticiosixen este punto.de que el brigadier Jáuregui ha-^ l I demostraciones extraordinarias de fidelidad de parle de este pueblo y de muchos bia ocupado í Vergara con su.columna, persiguiendo a los guípuzcoanos, que] I de la comarca que concurrieron ¿ tan plausible ceremonia. Los festejos se pro reunidos con Zavala ocupaban a Marquina, se puso el 1ó…</t>
  </si>
  <si>
    <t>…ncipiado á ejecutar la clasificación de los.men retirándose delante de nuestras tropas, habia llegado á Azpeitia y Azcoitia; de digos, y concluida, que será en breve, saldrán de la capital los forasteros, previa cuyas resultas el brigadier Jáuregui con las fuerzas de Guipúzcoa, se recon el socorro oportuno, para que queden en ella solo los verdaderos necesitados na centraba sobre Vittabona para cooperar útilmente. turales de la misma, ¿ los cuales se distribuirá sopa económica, para lo cual catán acopiadas las primeras materias: el nuevo hosp…</t>
  </si>
  <si>
    <t>Jauregui</t>
  </si>
  <si>
    <t>…ipado, en donde, á pesar dé las Rea se disputaban á porfía la ocasión de batirse con los facciosos. les órdenes expedidas , se observó que ninguna recibieran las autoridades lo cales. El mismo comandante general manifiesta que el brigadier Jauregui había Concluidas, en fin, las operaciones geodésicas en todas las comarcas que tenido un encuentro, en que había escarmentado á un batallón faccioso, al pudiese admitir el cuadro de la carta, se procedió á su cálculo, construcción tiempo de dirigirse á S. Sebastian; pero que no había recibido todav…</t>
  </si>
  <si>
    <t>Jáureguí</t>
  </si>
  <si>
    <t>…e Elizondo al cargo del gefe de la Agosto de 1834 ¿ 1“ se“ de Ia tardc.=El marques de Rodil.=Sr. brigadier plana mayor de la división 4-* *1 brigadier D. Isidro Alaix, perteneciente á Jáuregui.=Es copia.” las órdenes del referido Sr. Jáureguí, cuyo celo, interes y conocimientos me ayudan y sirven extraordinariamente en la presehte persecución. La vanguar •» Excmo. Sr.: Consiguiente á mi parte de ayer hice tránsito aquí hoy con dia también pernoctó ayer en Erice, y mañana vendrá á Hpartearaqui! pa un batallón de la Guardia Real prorincia…</t>
  </si>
  <si>
    <t>…por sospechoso su estado sanitario. Los facciosos fueron rechazadoi-por1 iL-valiente guardision de Puente Larri . El subdelegado de,Fomento¡-de Córdoba dicy con fecha 1.® del corriente ~L£I 2$ floocurr «/novedad en Vizcaya, y el brigadier Jáuregui había .re- que en aquella capital y su provincia se disfrutaba de buena salud , exceplo tn gtosado&lt;*rN»éírnt¿áGutp&lt;ucoa. ' ' ' ; la villa &lt;je. Pugnte D. Gopptjh¡rquyo estado remite, np_ haciéndalo dél de Bc- -- t.t.’nsiin-* ' »!- namcjí por qo haberlo recibido- .. . i-,- . . -lEf comatidante jjétse…</t>
  </si>
  <si>
    <t>…so alcanzarlo en Irurzun. Estado de los enfermos, curados y muertos del cólera—morbo en la isla En la Ribera siguen Zamalacairegui y el Pretendiente, cometiendo atro de Menorca. cidades. , Mis edecanes' me han traído un parte del brigadier Jáuregui de fecha del Existencia Pueblos. Dias. del dia Convaleció perseguido que que estaba acompañado noticiándome había á Guivelalde, 28, Muertas, ¡aor erior. . íes. los y de batallones 2.9 y. habla dispersado á unos 3.° de Guipúzcoa, Í00 fac ciosos , causándoles la pérdida de 8 hombres. Dios&amp;c. Parnplona 3…</t>
  </si>
  <si>
    <t>…le hizo desistir de la persecución de los pocos Huesca 27 de Diciembre. que aun no se habían dispersado, y lograron ocultarse en aquellos montes. Eli La solemne proclamación de S. M. la Reina nuestra Señora se verificó en citado coronel Jáuregui alaba la conducta de ti 3.a compañía de la columna [esta ciudad el 19 del pasado con función de iglesia y festejos públicos, en que móvil de Guipúzcoa con su capitán D. Felipe Tolosjna, que desalojo á los l 'dieron los, habitante^ señales manifiestas de adhesión á la legitimidad de su So rebeldes d…</t>
  </si>
  <si>
    <t>…primer remate ha de ve El coronel Iriarte perseguía á c**re muy de cerca, el brigadier Bedoya mar rificarle el dia 15 del mes actual; el segundo el 2 de Marzo, y el término del chaba tras de aquellos en dirección de Aramayona, el brigadier Jáureguí se en cuarto para el l.° de Abril. Las personas que quieran enterarse en esta corte de caminaba al mismo punto d--sde Oñate, y las columnas del coronel Tolrá y &lt;let la* citadas fincas, su valor y demas circunstancias, hallarán en la dirección ge brigadier Carrillo cerraban el paso á los rebeldes de…</t>
  </si>
  <si>
    <t>…do el cólera 12 pueblos, y aúnen ellos era reducido el número de fallecimientos é invasio Comandancia general de las provincias Vascongadas.=Excmo. Sr.= El nes: en el partido de Murviedro sufrían todavía la enfermedad 18 pueblos, brigadier Jáuregui, en 4 del actual, desde Villafranca , previene al gobernador siendo también corto en la generalidad de ellos el número de casos funestos. de Vergara me diga lo siguiente: &gt;&gt;Sin perjuicio de dar un parte detallado de la gloriosa acción que sostuve ayer contra los dos batallones rebeldes l.° y 2.° do…</t>
  </si>
  <si>
    <t>…á 60 y 30 d. f. ó vol. pias de los partes que en el mismo dia le dirigía el brigadier Carrillo desde Vi- Acciones del banco español, 00. jlarcal de Alava, comunicándole que los facciosos batidos sobre Aramayona , CAMBIOS. por el brigadier Jáuregui se dirigían unos hacia el ralle de Arratia y poblacio Amsterdam 00. Paris , 16. [Cádiz £ b. Sevilla £ d. s £ d. Alicante ácorto pla-iCorufia &lt;x&gt;. Valencia par. Bayona, nes de Dima , otros bacía Elorrio, verificándolo otra porción hacia Marquina; I '.Granada zo par. , * Id. Zaragoza 00. Burdeos | d.…</t>
  </si>
  <si>
    <t>…los esfuerzos extraordinarios que hicieron consideración todos los pormenores, pueda formarse el verdadero para alcanzar al enemieo.cz: juicio del mérito de la marcha de ayer, del de la gloriosa acción F.l distinguido mérito del brigadier Jáuregui, el de los señores que fue su objeto, y de los servicios generales y particulares oue se gefes, oficiales v tropa que desde el principio de esta injusta rebe hicieron en favor de la justa causa que defendemos. lión han contraído combatiendo gloriosamente por el sostemm.enAl toque de diana formaron…</t>
  </si>
  <si>
    <t>…te que los malvados me buscasen para descanso por los desfiladeros, y la prisa con que se han retirado no me ha per repetirles de nuevo la lección de Olazagoitia, como se verificó con loor eterno mitido alcanzarlos. Avíselo V. al brigadier Jauregui y á toda otra tropa del de íós que tuvieron pane en el combate contra los rebeldes que procuré hacer ejército; y al Excmo. Sr. general en gefe que ha de estar hácia el Bastan. Ma observar desde la madrugada por la dirección de dicho puerto de Artaza y Ba- ñana continuaré: hoy quedaré cerca de aquí ta…</t>
  </si>
  <si>
    <t>…oronel Carrera el mismo dia, y al siguiente cés por Alf. L. Veipeau, traducidos por los Sres. Leclerc y Elizalde, pasarán á reco ger el primer tomo de dicha obra á las librerías de Sánchez y de Calleja, y en las en Villaro la del brigadier Jáureguí, que pernoctó en Ochandiano, adonde se provincias en las que se hayan suscrito* Los traductores advierten que al publicarse dirigió desde Durango para impedir hiciese movimiento la facción por aquella el tercer tomo quedará cerrada Xa suscripción, siendo después el precio de la obra parte. El 8, de…</t>
  </si>
  <si>
    <t>…si én las iglesias catedrales como en las parroquias f cortvenrof ért Subijaca el mismo dia, y. él dicho generpl en gefe á Vitoria , mientras el de estosTeióosi segyn práctica de la- muy santa y primada iglesia de Xoledo, Rrahc*— brigadier Jáuregui desde Vergara, i curo socorro acudió, perseguía hácia Ce- pilla de S. M. y varias iglesias catedrales; por D. Vicente Perez Martínez», segunda edición becbaen !828« corregida y aumentada por el présbítéro P. Antonio Hernández. gsma los Eiatallónes que atacaron aquel pueblo. Pos tomos «n'4¿® dividid…</t>
  </si>
  <si>
    <t>…ipe los remite desde Ochandiano, adonde llegó anoche, dos 4: ei 14/20 invadidos: el 15, 17 invadidos, y 5 muertos; quedando y me lo ha despachado esta mañana á las siete, asi como anoche me remitió otro existentes 47 enfermos. el brigadier Jáuregui desde Villareal, avisáodome que el Pretendiente con cua En la ciudad de Toro se desarrolló el 13 ia enfermedad reinante, habien tro batallones vizcaínos, dos guípuzcoanos y dos compañías de guias por Vi— do muerto 14 personas desde aquella fecha hasta el 14 á las tres y media de la llaro se dirigía…</t>
  </si>
  <si>
    <t>…Guerra , que alcanzan al 13 ban i, reportar las provincias de J-ionSalamanca, Zamora y Toro de ta cár- y ló del corriente . resurta lo que sigue: Mtcrá construida de una i otra ciudad en la exportación de cereales, que en -los El brigadier Jáuregui con las fuerzas de su mando había vuelto á ocupar •flosjde. )829.á 31 llegó hasta cérea de 3Ó(&gt;9 fanegas,' y su valor aproximado la provincia de Guipúzcoa, y obraba desde ella en dirección de las sierras que Í unos ^millones de reales, produciendo sil conducción hecha por labradores la separan de N…</t>
  </si>
  <si>
    <t>…nto Je Olazagoitia en el camino de Vitoria á Pamplona por la Norte.’' Borunda, entre' Salvatierra y Echarriaranaz, y destruir con barrenos los puntos contiguos y mas frecuentados de la sierra de Ándía, proponiéndose marchar al El brigadier Jáuregui dopua de una larga marcha logró alcanzar 2 1» día siguiente al valle de Araquil. faccioso* de Guipúzcoa cerca de Oyarzun, los cuala huyeron precipitadamente. El brigadier O-Doyle tuvo el mismo día un encuentro con d enemiga» 4e que da razón el parte siguiente: El jueva 25 del comenta «» verificó es…</t>
  </si>
  <si>
    <t>…os del interior. Ciudad-Rodrigo 25 de Mayo ' 589............ .. 500............... .............. Madrid. dé l834-=Excmo. Sr.z= Alejandro González Villalobos.' 11,888........ .. 500................... .............. Barcelona. El brigadier Jáuregui sorprendió en Ofiáte i dos batallones facciosos, á quienes hizo 30 prisioneros, sin poderles dar alcance en su fuga hacia Cegama. voisa dk cotfBRCio.M-ttyiS4fÍ0* de hoy 4 las tres dt la tarde* El 23 se hallaba Castor en Gordejuela huyendo del brigadier Iriarte y del OTOS PUBLICOS. general Espartero…</t>
  </si>
  <si>
    <t>…e de la sierra dé San Miguel ó Arasecución en pos del Pretendiente i llegué á este pueblo con la 1/ división, lar, teniendo acampados los dos batallones vizcaínos, dos guipuzcóanos y dos dirigiendo la 4-* por los altos con el Sr. brigadier Jáuregui á Arechabaleta, compañías de guias que le escoltan: infiero pues que intentará atravesar dicha y la columna del de igual clase D. Ramón Gómez de Bedoya á Escoriara, sierra y volverse sobre el valle del Bastan; si tal sucediese, mañana me diri con objeto de abrazar mas la posición del enemigo jr obs…</t>
  </si>
  <si>
    <t>Jáureguí, D Gaspar</t>
  </si>
  <si>
    <t>D Gaspar Jáureguí</t>
  </si>
  <si>
    <t>…etendiente al valle del Bastan, he determinado salir de Lizaso asi que despaché aquel, dirigiéndome- i este pue Núm.2l® «Supuesto lo que V. S. me manifiesta en su duplicado y triplica blo de Al diz para proteger la marcha del Sr. brigadier D. Gaspar Jáureguí, do de hoy, que recibo í esra hora, no puedo menos de determinar que V. S. con el batallón de tiradores guipuzcoanos de Isabel u, el 2.° del regimiento de divida la fuerza en dos partes iguales, y por los puertos de Belate é inmediato Africa, y el de igual número del de S. Fernando, sirviendo tambi…</t>
  </si>
  <si>
    <t>Jáuregui, D Gaspar</t>
  </si>
  <si>
    <t>D Gaspar Jáuregui</t>
  </si>
  <si>
    <t>…ares como eclesiásticos , se pre - lo que me complace sobremanera por si me presente la ocasión de echar ma sentarán con el trage ya adoptado en las sesione* anteriores, según está deter no á un mismo tiempo á todas ellas. El Sr. brigadier D. Gaspar Jáuregui se minado. Palacio de Qucluz á 9 de Agosto de 1834-:=Benito Pcreirado Carino. halla en Villafranca, y mañana me reuniré con él para emplear las fuerzas de (Gaceta oficial del gobierno?) su mando en las operaciones que voy á emprender , y serán conformes i las del enemigo, y á las noticias que recib…</t>
  </si>
  <si>
    <t>…mienios decididos en radios de 7 le emprendió al amanecer de hoy Ja marcha de los pueblos en que pernoctó ayer, guas que Je he fijado á la vanguardia, norte ] sur , este, oeste de Echarriaranaz* y sobre ella, determiné que el Sr. brigadier D. Gaspar Jáuregui, comandante ó lo que es lo mismo , desde este local fortificado hasta Pamplona y Vitoria, general de Guipúzcoa, desfilase con cinco batallones y una mitad de caballería y cortando esta línea desde las Amezcuas hasta el ralle de Ulzama; cuyo plan, por Oñate á caer á Mondragon, donde debía concurrir…</t>
  </si>
  <si>
    <t>…e operaciona del Norte.=Excmo. Src=Proseguí hoy la perse servación en aquel terreno solitario; cuya comisión be iado á la discreción y cución del Pretendiente, que pernoctó ajer en Donamaría, saliendo ata ma conocimientos del Sr. brigadier D. Gaspar Jáuregui. ñana i las ocho en dirección de Elizondo; pero noticioso de mi marcha varió El tiempo está extraordinariamente lluvioso, ¿ imposibilita loa caminos aquella, tomando el camino de la venta de la Sangre, y desde allí subió al de un modo que la marcha mas corta es sobremanera molesta. puerto de Belate,…</t>
  </si>
  <si>
    <t>Jáuregui, Gaspar</t>
  </si>
  <si>
    <t>Gaspar Jáuregui</t>
  </si>
  <si>
    <t>…Ja,GÍ.erj^,(^t)^„;. .. ; . :... gobernador de Zamora,! ragafia , Alcalde electo* de la villa del Prailo , y para su ‘resalta á IX Julián Reales decretos nombrando a D. Fernando Butrón hlenfriez y Yanguasi'CídO 1 - ‘ V ■ *■/ • . 1 D. Gaspar Jáuregui comandante general de-'- G*aipüZeoa , y á ?D. Santos __T nombrando eorfejtúhtf de Arévalo á (D.-Valentin deGarralda. ¡ (Idíy AlTeñde teniente dé rey de la Coruña. (Id.) ' " Real órden mandando .que se apliquen las disposiciones de la de 6 del corriente Real céd(u)a fi?bre lar construcción del canal…</t>
  </si>
  <si>
    <t>Jáureguí, Gaspar</t>
  </si>
  <si>
    <t>Gaspar Jáureguí</t>
  </si>
  <si>
    <t>…al valle del Bastan, he determinado salir de Lizaso asi que despaché aquel, dirigiéndome- i este pue Núm.2l® «Supuesto lo que V. S. me manifiesta en su duplicado y triplica blo de Al diz para proteger la marcha del Sr. brigadier D. Gaspar Jáureguí, do de hoy, que recibo í esra hora, no puedo menos de determinar que V. S. con el batallón de tiradores guipuzcoanos de Isabel u, el 2.° del regimiento de divida la fuerza en dos partes iguales, y por los puertos de Belate é inmediato Africa, y el de igual número del de S. Fernando, sirviendo tambi…</t>
  </si>
  <si>
    <t>…eclesiásticos , se pre - lo que me complace sobremanera por si me presente la ocasión de echar ma sentarán con el trage ya adoptado en las sesione* anteriores, según está deter no á un mismo tiempo á todas ellas. El Sr. brigadier D. Gaspar Jáuregui se minado. Palacio de Qucluz á 9 de Agosto de 1834-:=Benito Pcreirado Carino. halla en Villafranca, y mañana me reuniré con él para emplear las fuerzas de (Gaceta oficial del gobierno?) su mando en las operaciones que voy á emprender , y serán conformes i las del enemigo, y á las noticias que recib…</t>
  </si>
  <si>
    <t>…cididos en radios de 7 le emprendió al amanecer de hoy Ja marcha de los pueblos en que pernoctó ayer, guas que Je he fijado á la vanguardia, norte ] sur , este, oeste de Echarriaranaz* y sobre ella, determiné que el Sr. brigadier D. Gaspar Jáuregui, comandante ó lo que es lo mismo , desde este local fortificado hasta Pamplona y Vitoria, general de Guipúzcoa, desfilase con cinco batallones y una mitad de caballería y cortando esta línea desde las Amezcuas hasta el ralle de Ulzama; cuyo plan, por Oñate á caer á Mondragon, donde debía concurrir…</t>
  </si>
  <si>
    <t>…na del Norte.=Excmo. Src=Proseguí hoy la perse servación en aquel terreno solitario; cuya comisión be iado á la discreción y cución del Pretendiente, que pernoctó ajer en Donamaría, saliendo ata ma conocimientos del Sr. brigadier D. Gaspar Jáuregui. ñana i las ocho en dirección de Elizondo; pero noticioso de mi marcha varió El tiempo está extraordinariamente lluvioso, ¿ imposibilita loa caminos aquella, tomando el camino de la venta de la Sangre, y desde allí subió al de un modo que la marcha mas corta es sobremanera molesta. puerto de Belate,…</t>
  </si>
  <si>
    <t>Jáuregut</t>
  </si>
  <si>
    <t>…a del Gobierno pierde en fuerza y en acción dividiéndose sobre lodos los objetos multiplicados que la exigen ; como á par de los riesgos de una contra- Excmo. Sr.: El general en gefe sé que se hallaba ayer en Lecumberri, y que el brigadier Jáuregut estaba hacia el Bastan, sin que absolutamente sepa el revolucion alzan su frente en ademan amenazador algunas pasiones vencidas por punto adonde se ha dirigido e! Pretendiente, ni los que ocupan hoy los ha— todas partes cuatro años há, y que no dudamos lo serán también en España ullones'rebeldes co…</t>
  </si>
  <si>
    <t>Jáuritos</t>
  </si>
  <si>
    <t>…onde se cometieron exce neral , marcharon »ob&lt;e !a Borunda habiendo partido de Muez el 22. sos; las autoridades contuvieron el desorden , y las heles tropas con los benemé Lis fuerzas de Guipúzcra , Vizcaya y Alava , al mando dei brigadier Jáuritos milicianos Urbanos se hicieron dignos del aprecio de todos los buenos, y regui, dd general Espartero y dél coroael Carrera, se reunieron el mismo dia S. M. recibió una nueva prueba de su constante fidelidad, y de que son el mas en Salvatierra. firme apoyo de su Real trono. Los facciosos se hallaban…</t>
  </si>
  <si>
    <t>Jáuttgui, D Gaspar</t>
  </si>
  <si>
    <t>D Gaspar Jáuttgui</t>
  </si>
  <si>
    <t>…sta , porque en el mismo dia se vino á Echarri-aranaz, hacer alto y pernoctar en los arriba dicho* Marquina y.jteerriatua , pa;a dar lu resolvieron abandonar aquel pueblo y bajarle á Oñate. gar á U 4.a división , al cargo del Sr. brigadier D- Gaspar Jáuttgui, que cum El general en gefe desde Pamplona se dirigió á Relate , y sabedor del mo pliese rol orden, consignada á contentarle á su oliJo núm. l.°, que en copia vimiento del pKtcod»ente no dudó en variar de dirección x dirigirse á Lecum incluyo, marcando aquella con el 2.a para el debido Conocimiento…</t>
  </si>
  <si>
    <t>Javier</t>
  </si>
  <si>
    <t>…'especie de prji- que de Bailen, obispó de Barcelona1, D. Eusemo Báidijí, duqtré*dÓ Rer W tele '•dénti''reserva pata-dejar campo á't’a disctriion. Por ló 'demas todos' estamos (que envió su voto-pof escritoéoór hallarse enfermo), D. Javier;sfe-BóSgOS) •persuadidos de que énaquellos documentos qstaria bien detallada ia conjuratioh marques de lá,Candelaria dé Yarayabo, D. Antonio Cano MatWélqrduqUfe 'tiontra el Rey y 'Contra la nación , Irarriadade mpcbo tiempo, puCs-tesulta sér de Castrotérreñd , conde de Clavifo , obispo de Córdoba-,…</t>
  </si>
  <si>
    <t>…veniente algún otro médio, lo proponga en artículos», dé Ofalia , como, individuo 'da lf cómision; y en contra del dictámen la pune- parado, en cuyo caso el Gobierno no podrá desentenderse de su ejecución.” ron los Exctnot. Sres. D. Javier dé Búrgos , marques de S. Felices, obispo de £1 Sr. Presidente: »EÍ Sr. Burgos deberá tener presente que ese articulo Barcelona, y conde de Monterroo. * . . que ha citado del primitivo proyecto de ley del Gobierno no coasta oficial Leído el proyectó remitido por el Gobierno , el dictimen de las cot…</t>
  </si>
  <si>
    <t>Javier, Francisco</t>
  </si>
  <si>
    <t>Francisco Javier</t>
  </si>
  <si>
    <t>…astidiosas, siempre aparece mas grande el condestable /Real sitio de S Ildefonso partió en la imadrugada de anteayer al de Castilla que todos sus enemigos: no porque el Sr. Quintana ha mando del tan decidido como valiente militar D. Francisco Javier ya disimulado ninguno de sus defectos; sino porque su valor perso Azpiroz, teniente coronel del provincial á que da nombre estaj nal y sus miras políticas eran muy superiores. El mismo Átonso eludid. . _ *13» de Aragón, que mereció después el renombre de Magnánimo por . Este intrépido oficial no ha…</t>
  </si>
  <si>
    <t>JaVter, D Francisco</t>
  </si>
  <si>
    <t>D Francisco JaVter</t>
  </si>
  <si>
    <t>…rócer, ' v ; \ . * I Se mandó pasar á 1¿ contívon de Tbderes el testimonio óc\ áctsife-cléc^'.'" " ’*Xb eré** dar uni nueva prueba * ¡de pátriot liorna,. cori^Wtvdo' nfjrt**sentí- cion defU pf^yrnwia de Cid/z que^t» recai ío en é^Sr. D. -Francisco JaVter thicnloi fen esfa pror(csra -.olenme,, que ructaqVá V.. .E.'»é sirra -nwnfékr míe te . Isturiz.*. ?n teewpbw tisi'íí.' tí. Zapata ; . . y6 clienia ai fcusirc Estamíneo para su djjbtdo conocimicmoyy 4 fifl aé Cuenta de un. oíicic» “del Sr. D- i^Ianiici Azara ,• é!é¿t&lt;| Pro1-.. i . . ' ' / - í=- ■■ ‘…</t>
  </si>
  <si>
    <t>JaVter, Francisco</t>
  </si>
  <si>
    <t>Francisco JaVter</t>
  </si>
  <si>
    <t>…r, ' v ; \ . * I Se mandó pasar á 1¿ contívon de Tbderes el testimonio óc\ áctsife-cléc^'.'" " ’*Xb eré** dar uni nueva prueba * ¡de pátriot liorna,. cori^Wtvdo' nfjrt**sentí- cion defU pf^yrnwia de Cid/z que^t» recai ío en é^Sr. D. -Francisco JaVter thicnloi fen esfa pror(csra -.olenme,, que ructaqVá V.. .E.'»é sirra -nwnfékr míe te . Isturiz.*. ?n teewpbw tisi'íí.' tí. Zapata ; . . y6 clienia ai fcusirc Estamíneo para su djjbtdo conocimicmoyy 4 fifl aé Cuenta de un. oíicic» “del Sr. D- i^Ianiici Azara ,• é!é¿t&lt;| Pro1-.. i . . ' ' / - í=- ■■ ‘…</t>
  </si>
  <si>
    <t>Jaz, Juan</t>
  </si>
  <si>
    <t>Juan Jaz</t>
  </si>
  <si>
    <t>…., pestaña ,Lq- j-'uelSj jUsapta, Belda ,;Xrut;ba., Gaballero., Gonzaíez y Sr. PKaidenle. v ¡~ ‘pezdel Baño, Somoza, marques de Montenueto, Belmónte, Cácete», XÚf,3^ V Las que desaprobaron fueron los SresFlei* .Serrano, González,(D. Juan Jaz, Chavarrí/Ito^iguei, Veta, Gargóllo, AgUirre .Solarte ¿¡ Góijzaléz, ‘Gualberto)j;G?ray, Maftinez de laRosa , Toreno , Moscoso, Hubert , BenPérez , Carrillo, Subercase, Ortiz d' Velascó, Torrera .iPoloyMoPgP, Mi .dic^,^oton;,:Cos(oi,;^ú»berreca, Vega y RiÓ, Santafé, .OUzn ¿VaZquez, randa , De Pedro…</t>
  </si>
  <si>
    <t>JBamachea, L José Antonio</t>
  </si>
  <si>
    <t>L José Antonio JBamachea</t>
  </si>
  <si>
    <t>…uélla ciudad con esta plaza hacia también Él cuerpo de artillería merece una mención particular. Todo él estaba por preciso que se adoptase algún medio para el giro de los negocios mercantiles. •i orden. Su comandante el teniente coronel L&gt;. José Antonio JBamachea, Se formó, pues, una aduana provisional, compuesta de empleados que goza pasó al gobierno desde Lima una nota de acuerdo con sus oficiales, á fin de que ban de sueldos, y que no aumentaban los gastos nacionales. Se les dijo que este se le designase el camino que debía seguir. Percibiendo los sedici…</t>
  </si>
  <si>
    <t>JBermudez</t>
  </si>
  <si>
    <t>…dodia publicó,muy dey estabaantemano.suscritaEllaporconel NOTICIAS EXTRANGERÁS. administradorlo de ministro dede gobiernocorreos D.y relacionesJosé Maríaexteriores.Pando, que se había revestido dei tita? El presidente supo que el general JBermudez habla usurpado el día 4 «l tí tulo de gefe' supremo, y cometido el horrible atentado de atacar con fuerza ar ' (Continuación deL correo anterior.) mada á la convención nacional y apoderarse de sus archivos: se le dirigió, pues, una orden echándole en cara su conducta, y mandándole que entregase AME…</t>
  </si>
  <si>
    <t>Jbsef</t>
  </si>
  <si>
    <t>…alcance, ha encargado La Puente, D. Josef Sol.ins, el teniente coronel graduado D. Pedro Rute, di ayuntamiento lé proponga arbitrios de que se pueda echar mano para aten D. Miguel La Cuadra, D. Josef Gómez Cano, D. Ignacio Beza y D. Jbsef der á Ia manutención de los presos, confiada ahora solamente a la caridad pu Alavarrv; los tenientes el capitán graduado D. Pedro García, D. Francisco blica. Jimeno y D- Pascual Cümens; y los subtenientes, teniente graduado L). Vic Ha dirigido también su atención á la mejora de caminos, para lo cua…</t>
  </si>
  <si>
    <t>Jbsef, Ignacio Beza y D</t>
  </si>
  <si>
    <t>Ignacio Beza y D Jbsef</t>
  </si>
  <si>
    <t>…que estaban á su alcance, ha encargado La Puente, D. Josef Sol.ins, el teniente coronel graduado D. Pedro Rute, di ayuntamiento lé proponga arbitrios de que se pueda echar mano para aten D. Miguel La Cuadra, D. Josef Gómez Cano, D. Ignacio Beza y D. Jbsef der á Ia manutención de los presos, confiada ahora solamente a la caridad pu Alavarrv; los tenientes el capitán graduado D. Pedro García, D. Francisco blica. Jimeno y D- Pascual Cümens; y los subtenientes, teniente graduado L). Vic Ha dirigido también su atención á la mejora de caminos, para lo cua…</t>
  </si>
  <si>
    <t>Jchaso</t>
  </si>
  <si>
    <t>…. Sr.—Pedro de la Peña.=Excmo, Sr. secretario da Es tado y del Despacho de la Guerra. Gobierno militar de la provincia de Alava.rrNúm. 1&gt;°—He recibido el parte de V. S. de 29, y leido con complacencia la acción qu« sostuvo el Sr. coronel Jchaso con gloria y ventajas de las armas de nuestra Soberana. Sírvase V. S. manifestárselo asi á dicho Sr. coro nel. De resultas de mi marcha á Lumbier se dividieron los enemigos en tres trozos, diri giéndose uno á Sangüesa , al que ha perseguido constantemente el brigadier Oráa con su bri gada, y el cor…</t>
  </si>
  <si>
    <t>Jctuglas, Mr</t>
  </si>
  <si>
    <t>Mr Jctuglas</t>
  </si>
  <si>
    <t>…de los productores franceses. (D. de los Debates.') tuno»; á cuyo fin ha pagado la Agü enle circular: Etrrihen de Tolon, 20 de Agosto: •'Él Excmo. Sr. capitán genera! del ejército y reino de Aragón me ha di La corbeta U Agata, su comandante Mr. Jctuglas, capitán de corbeta, rigido los oficios de que acompaño a V- copraq para que sirviéndose V. re acaba de recibir órden de estar pronto á dar la vela para el Levante, adonde unir lo» alcaldes del valle, les entere de la soberana resolución de S. M. y an debe llevar despachos del gobierno que el minis…</t>
  </si>
  <si>
    <t>Jcuque</t>
  </si>
  <si>
    <t>…dos. [izquierdo el estandarte Real. Hubo iluminación general, fuegos artificiales, niú- [ sicas, bailes y representaciones teatrales. Terminaron e&gt;ta solemnidad y regoci- Ejercito de operaciones del Norte de España. = Excmo. Sr.: D. Jcuque | jo público varios actos de beneficencia, y la debida acción de gracias al Todo- Vara de Rey ► comandante del segundo batallón del regimiento infantería de [ poderoso por ver exaltado al trono español á la Nieta de S. Fernando. Almansa, \n de linea, con fecha de hoy desde esta me dice lo que &gt;;guc…</t>
  </si>
  <si>
    <t>Jcuque, D</t>
  </si>
  <si>
    <t>D Jcuque</t>
  </si>
  <si>
    <t>…do gados. [izquierdo el estandarte Real. Hubo iluminación general, fuegos artificiales, niú- [ sicas, bailes y representaciones teatrales. Terminaron e&gt;ta solemnidad y regoci- Ejercito de operaciones del Norte de España. = Excmo. Sr.: D. Jcuque | jo público varios actos de beneficencia, y la debida acción de gracias al Todo- Vara de Rey ► comandante del segundo batallón del regimiento infantería de [ poderoso por ver exaltado al trono español á la Nieta de S. Fernando. Almansa, \n de linea, con fecha de hoy desde esta me dice lo que &gt;;guc…</t>
  </si>
  <si>
    <t>Jdat</t>
  </si>
  <si>
    <t>…ras zadores a caballo de la Guardia Real; concluyendo por hacer á V. E. tnéitcioil las tropas españolas llegaban, según lo concertado , cerca de la misma ciudad del teniente coronal comandante de carabineros de costas y fronteras D. Jdat^ cuando los enemigos las creian aun en Gouvea, situándose estas en Foz de nuel Rodríguez S. Pedro, ayudante interino de la plana mayor de Protiiesde donde da parte el mismo dia 8 el general Rodil. Las tropas han qu= con su actividad y luces me fue de la mayor utilidad. Lo participo 4 V-E» sido reci…</t>
  </si>
  <si>
    <t>Jdedoya, D Ramón Gómez</t>
  </si>
  <si>
    <t>D Ramón Gómez Jdedoya</t>
  </si>
  <si>
    <t>…tnaxcanas que lograron atraer á su partido, favoreciendo y aumentando ¿a su- Las columnas de la izquierda mandadas por el coronel D, Fermín delriarfeIblevacion en Sopuerta, valle de Soba y demás puntos inmediatos, y poniendo y el brigadier D. Ramón Gómez Jdedoya, gefe de ambas, ocuparon en los [coa este auxilio en grave condicto á Castro de Urdíales, á cuyo auxilio remi- dias 3 y 4 ^ Diciembre Jos pueblos de La Neslosa y Ampuero, en cuyo últi frió el gobernador de Santoña otros 15 hombres, quedando con el sentimiento mo punto se agregaron también 2o infant…</t>
  </si>
  <si>
    <t>Jdedoya, Ramón Gómez</t>
  </si>
  <si>
    <t>Ramón Gómez Jdedoya</t>
  </si>
  <si>
    <t>…que lograron atraer á su partido, favoreciendo y aumentando ¿a su- Las columnas de la izquierda mandadas por el coronel D, Fermín delriarfeIblevacion en Sopuerta, valle de Soba y demás puntos inmediatos, y poniendo y el brigadier D. Ramón Gómez Jdedoya, gefe de ambas, ocuparon en los [coa este auxilio en grave condicto á Castro de Urdíales, á cuyo auxilio remi- dias 3 y 4 ^ Diciembre Jos pueblos de La Neslosa y Ampuero, en cuyo últi frió el gobernador de Santoña otros 15 hombres, quedando con el sentimiento mo punto se agregaron también 2o infant…</t>
  </si>
  <si>
    <t>Jdejm</t>
  </si>
  <si>
    <t>…e S. M., le ae- Se calcula que el número de casas devastadas asciende i SO cea guiri de cerca, y aun se dice que se |e confiará- 1» Regencia, su corta diferencia. / ' . puesto que probablemente será bastante larga la ausencia del Rey. Jdejm 8. De algunos dias i esta fiarte corren rumores acerca de un pró ximo viage que hará el Príncipe i París. (G. de Auge,'), Hoy se han hecho numerosas prisiones. En la cárcel de Petits earmes hay 87 presos, y otros muchos en el Amigo. Roma 23 d* Mqrzo. De las diferentes qargas qirc hicierotr las tfqpas'sdb…</t>
  </si>
  <si>
    <t>Je, Francisco MaVtinez</t>
  </si>
  <si>
    <t>Francisco MaVtinez Je</t>
  </si>
  <si>
    <t>…lo comunicareis á quién corresponda del de Ministros, darle la sanción Real. para su cumplimiento. = Está rubricado de la Real mano.=En Pala pórtes generales del reino, habiendo examinado con dete cio á 50 de Diciembre de 1854.=A D.' Francisco MaVtinez Je la nimiento la; medida ¡provisional que se sometió á su examen y deli Rosa, Presidente del Consejo de Ministros. beración para evitar lós perjuicios que podrían seguirse al Estado del atrgsp.que^Ba experimentado el arreglo de los presupuestos para el próximo año de 1855, presentan respetuosamente á V.…</t>
  </si>
  <si>
    <t>Je, Ministra</t>
  </si>
  <si>
    <t>Ministra Je</t>
  </si>
  <si>
    <t>…o que debía presentarse como proyecto de ley, y en esto no estoy conforme con S. S., porque lo que quiere la comisiop es Ja pre sentación de los documentos en que se funda la deuda extrangera; y no que se Reconosimie'ito según ti Sr. Ministra. Je presente un proiecto de ley estatuyendo sobre eíJa. También se ha resentido S. S. de que se extrañe la falta de presupuestos , no oblante de ser esto muy 177.724,000 de Guebhard la ml- natural , porque sin ellos se ha caminado á ciegas; pero dijo S. S. que no los tad........................ 88.862,…</t>
  </si>
  <si>
    <t>Je.esta</t>
  </si>
  <si>
    <t>…nstrucción y amor al fomento de la riqueza pública. 2.a Siendo üdb Ipx cirtuláíei 'siguientes: ' r . . este número.considcrable, se designan desde juego á las personas siguientes: Dott &lt; ■ . ■ .’ . . r ■ -J . . Juan de la Tejerá, secretario {Je.esta subdelegaron, é individuo de ia sociedad - ¡ . pximeba. económica de Madrid; EV .Francisco' Asas y p. Antonio Calama, canónigo* ' Para que los jhieWósde la províncla de Salamanca encuentren fácil y len- de esta santa iglesia ; D. Josef Borreguero, prebendado de la misma: D. Igna ülámeote et níedicr…</t>
  </si>
  <si>
    <t>Jecióatóa, Presidente del Consejo</t>
  </si>
  <si>
    <t>Presidente del Consejo Jecióatóa</t>
  </si>
  <si>
    <t>…tínez de la Ro»j contesto que no le parecía tan exacta la idea miércoles próximo para leer dicha memoria. del Sr. preopinante con re»pcclo á que ev.a fuese una causa , sino una medida Asimismo se enteró de un oficio pasado por el Sr. Presidente del Consejo Jecióatóa bajo emo carácter »&lt; presenta por la necesidad de justicia y coave— de Ministros acompañando un modelo de lo» d ploma* aprob*do* por S. M. nicncit; de consiguiente ia comisión podra ped.rai ministerio cuantos documcn* que deben distribuirse i cada uno de lo» Excino». Sres. Proceres del Reino; lo» j…</t>
  </si>
  <si>
    <t>JECleusc</t>
  </si>
  <si>
    <t>…también la firme convicción de qde si permanecen unidas la Fran emprenderá cí mismo trabajo en los Propyleos y en el Erictcteon. Mucho sen cia y la Inglaterra, ninguna Potencia de Europa podra turbar la paz ceiwrai, timos que el Sr. JECleusc tenga que volverse muy pronto á Munich. *-y Y° Por ,n* p¿rle c^toy seguro de que ambos países recogerán los mas pre ciosos frutos de sus relaciones amistosas" ALEMANIA. Estas observaciones y otras sobre el mismo particular, han sido acogida» Kessé-D* nrstadt 17 de Octubre. por toda la asamblea en m…</t>
  </si>
  <si>
    <t>Jelski</t>
  </si>
  <si>
    <t>…ura de, Valenqay, ma. =Anaya.=:Eucas J. Obes.” acompañado por el clero'de las parroquias inmediatas. Mr* José Poniatowski, hijo adoptivo de la princesa; el prínerpe Adán CzarlóriSki, su primó herma no, el duque de Valentía y y el conde. Jelski hacían el duelo. Varios polacos que habían venido de diversos puntos de Francia, y un gran número de habi ESPAÑA. tantes de Valenqay, sé reunieron al acompañamiento, y detrás iban 200 po bres vestidos por Mr. de Talleyrand. Los despojos mortales de la princesa Tysz- Cádiz \2 de Diciembre. kiewicz f…</t>
  </si>
  <si>
    <t>JÉon</t>
  </si>
  <si>
    <t>…bous gociación; pero el mal aconsejado Principe manifestó que insistía eo reclamar de can grandiosa institución, no conviene que. seap^altesabW todos lu diaa. «us soñados derechos al trono,que legítimamente ocupa nuestra inocente Reina- JÉon todo.como.U urgencia íes guandos creq.qjs* ilptryb^johechojno txrdaíá ¿El gobierno español, satisfecho con haber; cumplido cce&gt; sus augustps aliados.y en presentarse. Digo todo esto, porque se persuada el Estamento que et oo'hamostrado sus disposiciones generosas, no dió la menor importancia á exig…</t>
  </si>
  <si>
    <t>Jervis</t>
  </si>
  <si>
    <t>…orresnovas, donde el enemigo tenia por el conde de Saldanha contra el enemigo, en lo que no me cagan;; pues á 500 caballos é igual número de infantes, hizo alto para dar lugar á que las cuatro y; media vino á mi cuartel gcrcrahcl capitán Jervis, enviado por el llegase la columna del brigadier Schwalbach , disponiendo entre tanto la caba conde de Saldanha, para comunicarme que el conde había atacado un cuerpo llería de modo que pudiese atender á los ramales que forma el camino. Reuni enemigo que observaba el aia de su mando en la Torre dei…</t>
  </si>
  <si>
    <t>…-upital , v desalojarlo de todas sus posiciones, hasta aniquilarlo totalmente; volver á la comisión solo para que lo/Redactase con mas claridad. de esos hombres, repito , existen todavía muchos, y con ellos los valientes Pidíó el Sr. Jervis que se leyese ra corrección presentada por el Sr. Silva; que después se les reunieron v participaron de sus fatigas y victorias, y* Toda y hecho, dijo que no aprobaba la primera parte de ella porque dejaba en duda vía viven los generales que los condujeron al triunfo, ¡sjue puede esperar Don si un…</t>
  </si>
  <si>
    <t>…rtugués, se firme esta resolución por todos los El cólera seguía su período descendente en la capital de está provincia, individuos de la Cámara." pues en los dias 30 y 31 de Octubre anterior solo fallecieron 1 en ella de toda El Sr. Jervis pidió que el Sr. ministro de Hacienda manifestase «si el clase de enfermedades 69, 72 y 55 personas respectivamente. tesoro tenia fondos con que pagar las cóngruas de los párrocos”, pues á su en tender, si las leyes no se habían de ejecutar, era mejor no hacerlas. PROVINCIA BE cicERES. Contestó el…</t>
  </si>
  <si>
    <t>Jes, Aparicio</t>
  </si>
  <si>
    <t>Aparicio Jes</t>
  </si>
  <si>
    <t>…nos que lo* de (a Aranda, Luciano Miguel y Juan Izquierdo, y en segunda Manuel García , Juan clase i.a El precio de la suscripción es para cualquiera de las dos clases 36 rs. por czde la Torre y Mariano Trillo, con cuyo motivo el Sr. Aparicio Jes dirigió una \ da trimestre. Se admiten suscripciones en Madrid en los almacene* de música de* afecuCion propia de las circunstancias, y orraca los concurrentes el señor alcalde Mintegui, Hermoso y Carrafa; y en el de papel rayado, calle de la Cruz; en danefe se dará el prospecto gratis; y en las pr…</t>
  </si>
  <si>
    <t>Jés, Gerónimo Vai</t>
  </si>
  <si>
    <t>Gerónimo Vai Jés</t>
  </si>
  <si>
    <t>…Kipol, Olor y los voluntarios Urbanos de diferentes puntos, se su constancia y sir entusiasma Dios &amp;c.=rMora de Rubielos 15 de Noviembre "pusieron en movimiento para encontrarlo. Noticiosos los rebelde de eSta ope de 1834*=Excmo. Sr.=Gerónimo Vai&lt;Jés=Excmo. Sr. Secretario de Estado ración , abandonaron á Set-Casas, y un grupo de §0 se dirigió a Francia- Al y del Despacho de la Guerra. ■ pasar por la frontera pusiéron en libertad al baile, á quien quisieron entregar ■ süs armas; pero habiéndolo rehusado, las arrojaron, asi como las municiones Co…</t>
  </si>
  <si>
    <t>Jesucristo</t>
  </si>
  <si>
    <t>…u&gt;,circunstancia*y D^ettzO de abajo. lili...................... . [ 0 2 2 muy particularmente para los Sres. eclesiásticos, qué por razón de su minister 10. 110 deben ignorar nada de cuanto concierna a los Sacramentos que nuestro Señor Jesucristo, PROVINCIA DE MURCIA. estableció. El presidente-dé la junta superior de Sanidad de Murcia con fecha de 16 del actual remite á la- junth el siguiente Diccionario económico administrativo de las rentas y contribuciones^ Reales• For mado por D. Francisco Jerez y Varona. Contiene una idea de la natural…</t>
  </si>
  <si>
    <t>…epidemia de cólicos vehementemente sospechosos; que la las bendiciones del ¿¡cío. le. derraman sobre la sociedad por Ja misericordia de proporción que existe entre los invadidos gravemente, y los que lo son con be Dios en nuestro señor Jesucristo.” nignidad, era hasta ayer ventajosa : que se ocupaba en las disposiciones necesa rias para alivio y socorro de los enfermos; y que á las doce del dia de ayer Leemos en un periódico ingles el siguiente extracto de una carta de Madrid existían diez de estos, los dos graves y los demas leves, sin habe…</t>
  </si>
  <si>
    <t>…n, nuestro po róftímo,----- nutn. ^23 y una -selecta colección de música vocal e instrumental a precios moderados. der 4 caballos, varias armas y efectos de equipage, sin poder yo asegurar el nú ■" 'Historia de la vida de nuestro Sr. ‘ Jesucristo y de la doctrina y moral cristianaj mero de sus heridos, que creo sea considerable en razón á que no cesé la per por el doctor D. Francisco Martines Marina* presbítero; individuo de numero de las secución basta que dispersos completamente no quedaran sino 4 reuní dos., Noso ¿leales academias Española y de…</t>
  </si>
  <si>
    <t>…e Razóla. Lo traslado i V. E. para su conocimiento, acompañando la .nota expresa — —Año panegírico ó sermones escogidos para los principales misterios de nuestro; da , y que se sirva hacerlo presente á S. M. la Reina Gobernadora. Señor Jesucristo; festividades de su santísima Madre y santos que celebra la Iglesia,^ Dios guarde i V. E. muchos años. Albolote 19 de Febrero de 1834- = repartidos en los meses del afio, sacados de los mas clásicos autores, por el P. fi. Per: dro Díaz Guereñu: 6 tomos en 4.0 Sé hallará en la librería de Orea á 96…</t>
  </si>
  <si>
    <t>Jesucristo, Gobernadora Señor</t>
  </si>
  <si>
    <t>Gobernadora Señor Jesucristo</t>
  </si>
  <si>
    <t>…en en la librería de Razóla. Lo traslado i V. E. para su conocimiento, acompañando la .nota expresa — —Año panegírico ó sermones escogidos para los principales misterios de nuestro; da , y que se sirva hacerlo presente á S. M. la Reina Gobernadora. Señor Jesucristo; festividades de su santísima Madre y santos que celebra la Iglesia,^ Dios guarde i V. E. muchos años. Albolote 19 de Febrero de 1834- = repartidos en los meses del afio, sacados de los mas clásicos autores, por el P. fi. Per: dro Díaz Guereñu: 6 tomos en 4.0 Sé hallará en la librería de Orea á 96…</t>
  </si>
  <si>
    <t>Jet, Secretaria</t>
  </si>
  <si>
    <t>Secretaria Jet</t>
  </si>
  <si>
    <t>…iese, me atribuiría esa califica - y qúe tengan, si bien ardor ¿ nuestras libertades y demás instituciones, también ción por mia muy gustoso.” . , - al propio tiempo intereses ma«eriales que defender, y scaó por conMguienTe no Mi Sr. Secretaria Jet fots pacho de Maden.la: «Yo no he calificado de menos amantes cíe la libertad bien entendida, quede! órden y da !*■ iranquiíi- santá aquella épéotpuede que haya calificado de tal U causa que fefcadfó U - dad pública. Esto quiero él Gobierno, y quiere también qtic no entre en la Nación, pero la époc…</t>
  </si>
  <si>
    <t>Jfliqq</t>
  </si>
  <si>
    <t>…damente la conductade aquel ministro á vista ca, su población , rentas, producciones, ejército, códigos; quien después de ha de la mayoría resuelta á sostenerlo. _ ber satisfecho, continuó S. M.: «Yo sé muy bien que me quiere (el general Jfliqq conozco que seria mas cómodo para los ministros que se aprobase la , Santa Cruz) como yo lo estimo: un hombre que trabaja por la felicidad del conducta par»d» ofreciendo al'mismo tiempo sostenerlos para lo futuro; com pais merece el amor de todos; y vuestro presidente, Sr. ministro, ha llenado pren…</t>
  </si>
  <si>
    <t>JG'ó'n</t>
  </si>
  <si>
    <t>…bre el pobre lamaúdúes dé Fáfctrf , ' LitVfe'ytfllda, Kifrbft', VilHríúévi, CueVa's, Ézpelda, brantin : mé explicare asir Los labradores de una yunta que siembran un pcFñster ,'Dchóa; ¡Crífsfió Tejada'j MfeaMbíf, Lasanta, Trueba, Caballero ,JG'ó'n- ujarcito , para sostener su familia, ea los mas muy dilatada , tienen con me- * Aiwfe&amp;itái?! '• 1S suficiente fanega pagar lo que aquella durante ia para mantener de trigo Múítawísati&lt;d«•• Yegliñíetitó irk tPWtáWl».' rfSbgÜjá^ dias. sostiene ¿la sumiremos ¡quién dií/sS' del en la indi Pregunto esta…</t>
  </si>
  <si>
    <t>JHéndízafcal, Blas</t>
  </si>
  <si>
    <t>Blas JHéndízafcal</t>
  </si>
  <si>
    <t>…....................................................-....................100000 lí"3»^ fondo lSf pies, á N. E. S3 el molino de Turzoff, N. E, 23° Ja aldea JOCO'JDmtti^iewka, y á N, Q. E. 38° eJ cabo oriental del, ija de, Mioná. • D. Blas JHéndízafcal...................... ..................................................... En la punta septentrional dd'banco de arena’griega tiene 1» valízacrnra D. Aureliinó-dsBeruete..................................................................... ' 520 , " D. Jaime Ccfiola.. ...................................... . —..........…</t>
  </si>
  <si>
    <t>Jíavch, José</t>
  </si>
  <si>
    <t>José Jíavch</t>
  </si>
  <si>
    <t>…fberñadora. Himno pafrióiico al Egipto rtó es imposible que vea formarse en su -seno nuevas dihastías milita ■por I». ¡Jocc -IJirz -ie Triada: se veode en la librería de v-iana á 2 rs. ------'Sinónimos de la l'ngua casttilaná por D. José Jíavch, adición 4 los publicados res , nuevas milicias mamelucas,a menos que unacolision europea arrojando á por Huerta y y 01 a uva. üsta producción enseña 4 hablar /con pureza la lengua casad Ma los turcos dé Cohslantinopla venga i construir de nuevo-cu el Egipto el trono na , -fijando ía vstacia y pecu…</t>
  </si>
  <si>
    <t>Jiiáft, Cirios</t>
  </si>
  <si>
    <t>Cirios Jiiáft</t>
  </si>
  <si>
    <t>…Mr.Humannhan tenido Éi; honrare Mr^recibMos.pof efJEéy. / ministro del Rey de Suec-ia, en .que de parte de S. M. le envía un retcatód-e : /'Hoy el duque de Bassan&lt;x/,nhnist¿&gt;^de!Í Jhtiridr?, |r ,|efcril Bemard, cuerpo entero del Rey (Cirios Jiiáft por los emineptes servicios,jqsfe' prestéjíh. tniórftro dé’Gtier/a, han despachado con S. M. / 1810 y 1812 en el jmr .Báltico á la nación sueca. El retratplüe'rie esta : dice^qttó «1 vicealmirante Jacob .ha.»flfcáflrobrado.SSÍeGan.4elJR.ey,' cripcion: Carlos -v/i-, ?fuan, a Jacabo lord de Saumarerí…</t>
  </si>
  <si>
    <t>Jim, Vicente Escribano</t>
  </si>
  <si>
    <t>Vicente Escribano Jim</t>
  </si>
  <si>
    <t>…ntes apere* del efecto que ha producido en aquel país haber sido desechada D. Manuel JuliánGraples, mensualmente........................................ ^ en la Cámara de diputados la ley de la indemnización de los 25 millones de D. Vicente Escribano.............................................................................. Jim fr. Llamamos la atención del comercio sobre algunas líneas que le interesan» D* Juan Domingo de Valmaseda................................................. .. ó"00 » Decís que la desaprobación de la ley de los 25 millones ha inspirado algu D- Camilo de Valmaseda......................................…</t>
  </si>
  <si>
    <t>Jiménez, Domingo</t>
  </si>
  <si>
    <t>Domingo Jiménez</t>
  </si>
  <si>
    <t>…e luces las no y d voto tan altamente pronunciado de toda la monarquía. fachadas de todas las casas ricamente dispuestas, distinguiéndose á porfia todas ias autoridades, y particularmente el caballero intendente de esta provincia D. Domingo Jiménez por la bella arquitectura figurad^ de su casa, hermosas Partes recibidas en la secretaría de £sf.*Jc y del Despacho de la Guerra. colgaduras, trasparentes y guato alegórico. El hospital militar fue otro de los edificios que mas excitaron ,1a atención del público; pues cj camino que condu ce á él sa…</t>
  </si>
  <si>
    <t>Jiménez, Manuel</t>
  </si>
  <si>
    <t>Manuel Jiménez</t>
  </si>
  <si>
    <t>…general de Vizcaya con fecha $ da Mayo nnrenaíca á rea y los subtenientes D. Cirios Linares y D- Fernando Ordofier; cu la de gran»* ministerio el parte siguiente; Excmo. £r.t con esta fecha difea-al Exoare, SOdsros el subteniente D. Manuel Jiménez y el de la propia clase D. José Rivas, fior comandante general de las ptpviocta» Vascongada! to que 4 V- &amp; éoptot</t>
  </si>
  <si>
    <t>Jimeqo</t>
  </si>
  <si>
    <t>…ñía, de Cádiz, y en los demas parages de la Pcníosula dondede expen de labor, ollvares'y otras propiedades que pertenecen á dichos maestrazgos, y están den sus obras. jr' situadas en tos villas y término de Porcuna, Marcos, Torre Don Jimeqo,* Lopera, L-Los suscrlptore* al Diccionario histórico enciclopédico pasarán á to^llbrería de Santiago, SantaelU, y en la ciudad de Córdooa. Para su remate se ha señalado el día 7 gorila á recoger el cuaderno núm. 4.0 del suplemento á dicha obra, y adelantar el de Abril de este aflo, á las doce de s…</t>
  </si>
  <si>
    <t>Jiowath</t>
  </si>
  <si>
    <t>…UdacW 92^. Jingcon san ministro* de Estado, costo el supino roed Tdmersazte». Los trm M- Stanley ha sádo asombrado aéaBnMb*v di asas rimen su» agenres y corresponsales en los parar*» 1‘eTTI1 ^ ^ y p ,iirí*ruii»jj en ice mplazo de lord Jiowath» ocrtéctamem» con los representantes de la santa sü»*— eirn* «do» ae forman --r *fre ./ . ~c i.' » r~ as» ilrurs , y re preparan los obstáculos gao fiageilv d ituw.nl narvimáeim» . T «) Stém&amp;att; perirxfico torr, «c Imbí recftsdo - y d curso de los progreso* y «k la» «dees yqufiu» i. nopU t según l…</t>
  </si>
  <si>
    <t>Jitór</t>
  </si>
  <si>
    <t>…quc.fueron prifVados dé‘su¿ etñpltós !yorJ^ f¿rtín4r)eíÍi,ST¿c^? 1 Se ^of l^i^i^Y ef ffita^énto decíarÓ qtfc sí por 60 votos contra ¥6. r ' 1 y&gt;qdra diferenciarles Sé ms que tuVÍerób « dldtiz áó saaimbir'^í i&amp;5,r|KÍticin- ; ^ YEl’Sr. Jitór^^^íñdícó ^qii* siendo éste 'asunto de gobierno interior ^ doyi queso idcstruyó el edificio de nuestra mdepéndfcnciá y lífcSi^adífSí eíla irf- bérii trataríe de él en sesión seéreta, con forme al reglamento , y que á este efec teligencia deJ atnodítícací ón presentada me heéqüivoeaacr;; TÍíüfchd güs…</t>
  </si>
  <si>
    <t>Jiuan</t>
  </si>
  <si>
    <t>…de-las India», icn el término de 30 se cita á todqs las-personas que se. crean, cojo derccfip á los biches que.fiap qpfdi dias, contándose desde esta fecha hasta el 21 de Febrero próximo, precedién por fallecimiento intestado ae D. Jiuan ^errá y Llorééa , Tútéfeaenté qüé fue oe 'éjg,.. dose en seguida á los ejercicios-qtie-detbcminnráa los examinadores que al efecto cito, pára que en el término de 30 divíse présenren á deducirle en el exp^ésado^db^- I j gado ; con apercibimiento que de n« veiDficarlo les parará perjuicio. ; i!.j. ^…</t>
  </si>
  <si>
    <t>JJ, Isabal</t>
  </si>
  <si>
    <t>Isabal JJ</t>
  </si>
  <si>
    <t>…’« necesidad de reparar algunos caballo» y reemplazar otros en el pueblo de ñora con una tarjeta orlcada de laurel que decía: A La muy excelsa Rei&amp;a Calzayiilla , les movió á tomar media hora de descanso, durante la que oficiaron Doña Isabal JJ en su exaltación al freno, el conde de Torres Cabrera y del á la justicia de Tamamcs, que pu»o en movimiento á varios urbanos Los de esta Mena do alto. En fin-coronaban este cuerpo arquitectónico dos Famas, la una villa procuraron no obstaute seguir el alcance de los facciosos; pdo habiendo de las…</t>
  </si>
  <si>
    <t>JJano, José</t>
  </si>
  <si>
    <t>José JJano</t>
  </si>
  <si>
    <t>…ncionado do y del Cerro, que todos componen 22 con 10,915 vecinos y 4^.34^ almas; D. José Ruibal; en navegación el mismo Ruibal, D. Santiago Rodríguez y el de Aracena compone 29 pueblos, 6in contar las aldeas, con 9,o35 vecinos y D. José JJano ; y en geografía elemental y práctica^ y trigonometría plana el 33,917 almas. A esta capital he sujetado los tres partidos de Huelva^-Moguer referido i&gt;. Faustino Domínguez; habiendo merecido 1* aplicación de todos j y la Palma, queeompemen25 pac tifos con 15,268 vecinos y 57,2ü6 almas, sus adelant…</t>
  </si>
  <si>
    <t>JJecazes</t>
  </si>
  <si>
    <t>…oy.» bia en la Cámara, se presentan en los bancos de la izquierda algunos dipteContinúa la discusión del proyecto de ley sobre el estado de los oficiales. El tados de la oposición, entre ellos MM. Audry de Puyravcau, I oyer d'Ar— duque JJecazes observa que nada se puede hacer no estando presente ningún mi genson , Lajitte y Duris-Dufresnc, • nistro. La Cámara adhiere á esta opinión y el Presidente levanta la sesión. Pasada una hora continua la sesión. Arenga hecha al Rey por el barón Pasquier, presidente de la Cámara de Presidente: Señore…</t>
  </si>
  <si>
    <t>JJonapáTfé, Luis</t>
  </si>
  <si>
    <t>Luis JJonapáTfé</t>
  </si>
  <si>
    <t>…á citar, con un rlia á lo menos de rqiembros presentes; y entre lo» espectadores, atraídos por tan solemne espec anticipación, á todos los Procuradores á Cortes, designando la hora táculo , se en óntraba á la Reina Hortensia y al príncipe Luis JJonapáTfé. en que lia de principiarse la sesión, para discutir el proyecto de con No ha sido del todo independíenle de la -po+írrea esta Besta música: las testación que la Comisión debe presentar. exigencias de los gabinetes, la dócil complacencia del vorort y la pusilanimi Art. 48. En la sesión destinada áes…</t>
  </si>
  <si>
    <t>JKodil</t>
  </si>
  <si>
    <t>…también se hacían sentir al sur de ios Pirineos: no, se&gt; piaron muchos dias-ián que su Lnilu jo Fuese tal que llevasen a dichos lugares al hom ELECCION DE PROCURADORES DEL REINO. bre que temblaba sol tmente con ia idea dq que el general JKodil estaba a corta distancia de el. :Quien sabe lo que nos querrán auadkr del Mediterráneo? Yo PXOVIXCIA DE CÁDIZ. no du.líi un instante cual ¿eru.ei resultado si la .guerra civil volviese á enecndeise en nuestro p;ti*i;jnas prevenirla y evitarla es el primer deber del cuerpo Sr. D. Francisco Javier Is…</t>
  </si>
  <si>
    <t>JLatorre</t>
  </si>
  <si>
    <t>…ió á las once. nes, y si vamos de una en otra, saltando como la mariposa, no hallaremos Se leyó y aprobó el acta da la anterior. rosa ninguna que desflorar.” La comisioh de Poderes dió cuenta de haber examinado los de D. Sebas El Sr. JLatorre: «Estamos en el caso de averiguar si la junta de que se tian Cuesta, electo Procurador por la provincia de_Pontcvedfa , con los dociL- trata es continuación de la primera, ó si es nueva. La comisión opina que esta mentos de-su aptitud legal;^dc que^iialtañdoTos conformes, era de parecer de junta es…</t>
  </si>
  <si>
    <t>JLatorre, Sebas El Sr</t>
  </si>
  <si>
    <t>Sebas El Sr JLatorre</t>
  </si>
  <si>
    <t>…eccio Se abrió á las once. nes, y si vamos de una en otra, saltando como la mariposa, no hallaremos Se leyó y aprobó el acta da la anterior. rosa ninguna que desflorar.” La comisioh de Poderes dió cuenta de haber examinado los de D. Sebas El Sr. JLatorre: «Estamos en el caso de averiguar si la junta de que se tian Cuesta, electo Procurador por la provincia de_Pontcvedfa , con los dociL- trata es continuación de la primera, ó si es nueva. La comisión opina que esta mentos de-su aptitud legal;^dc que^iialtañdoTos conformes, era de parecer de junta es…</t>
  </si>
  <si>
    <t>Jli, Isabel</t>
  </si>
  <si>
    <t>Isabel Jli</t>
  </si>
  <si>
    <t>…io de los ayuntamientos af/ncion dadas por aquellos, pronunció en alta voz las palabras Galicia, Ga á que concurran á La escuela normal establecida en. Murcia para extender el licia, Galicia: Lugo, Lugo, Lugo: por la Señora Rejna Doña Isabel Jli método de Vallejo. á que respondieron numerosísimos vivas pronunciados con el mas ardiente en , Se ha conformado con e! proyecto del capitán general de Oranada y Jaén, tusiasmo. sobre aumentar el número de compañías de escopeteros,-&gt;y Je ha remitido el En seguida las lucidas comparsas de los gremio…</t>
  </si>
  <si>
    <t>…io de los ayuntamientos af/ncion dadas por aquellos, pronunció en alta voz las palabras Galicia, Ga á que concurran á La escuela normal establecida en. Murcia para extender el licia, Galicia: Lugo, Lugo, Lugo: por la Señora Rejna Doña Isabel Jli método de Vallejo. á que respondieron numerosísimos vivas pronunciados con el mas ardiente en , Se ha conformado con e! proyecto del capitán general de Granada y Jaén, tusiasmo. sobre aumentar el número de compañías de escopeteros,-&gt;y Je ha remitido el En seguida las lucidas comparsas de los gremio…</t>
  </si>
  <si>
    <t>Jli, Rejna Doña Isabel</t>
  </si>
  <si>
    <t>Rejna Doña Isabel Jli</t>
  </si>
  <si>
    <t>…cuela por medio de los ayuntamientos af/ncion dadas por aquellos, pronunció en alta voz las palabras Galicia, Ga á que concurran á La escuela normal establecida en. Murcia para extender el licia, Galicia: Lugo, Lugo, Lugo: por la Señora Rejna Doña Isabel Jli método de Vallejo. á que respondieron numerosísimos vivas pronunciados con el mas ardiente en , Se ha conformado con e! proyecto del capitán general de Oranada y Jaén, tusiasmo. sobre aumentar el número de compañías de escopeteros,-&gt;y Je ha remitido el En seguida las lucidas comparsas de los gremio…</t>
  </si>
  <si>
    <t>…cuela por medio de los ayuntamientos af/ncion dadas por aquellos, pronunció en alta voz las palabras Galicia, Ga á que concurran á La escuela normal establecida en. Murcia para extender el licia, Galicia: Lugo, Lugo, Lugo: por la Señora Rejna Doña Isabel Jli método de Vallejo. á que respondieron numerosísimos vivas pronunciados con el mas ardiente en , Se ha conformado con e! proyecto del capitán general de Granada y Jaén, tusiasmo. sobre aumentar el número de compañías de escopeteros,-&gt;y Je ha remitido el En seguida las lucidas comparsas de los gremio…</t>
  </si>
  <si>
    <t>Jllguat, José</t>
  </si>
  <si>
    <t>José Jllguat</t>
  </si>
  <si>
    <t>…medjtaciooesde Ja Semana.parasantayJa» ^ucíop^sjSemaAafde PascuaÉoraqjooeseo«paraim ^IJsala eon^oiboeoeeaade J^eraksatWy comunJem, .i.- 1 . * -¿ .......... . ■: i .«1 '..r: :-í . *' • traducido* e i Jusrrado con noté» por el Ór. D. José Jllguat» pretbCtero» Duodécima i xxovtncia dh xuxéo* " ' v¡ 1 impresión qué precede un Urgó prefacio que explica Ja» partes.dfl Oficio divino r de. la Misa* Un »mu en 8.°. aaoroado^de e«t»iOpm¿* SO-^sY’fioU r ty fffnnw y tafilete. La misma en papel fino h 12 ». rama« * iSá fiobefnia)^^yil ávisa'co&gt;i|i&lt;íech…</t>
  </si>
  <si>
    <t>Jnaaccesibles, FernandoButron E</t>
  </si>
  <si>
    <t>FernandoButron E Jnaaccesibles</t>
  </si>
  <si>
    <t>…a clase de terreno que cubría sus Dios guarde á E. muchos años;'Cuartel divisionario íde To.losa 1/ de tatpalda?, y ocultaba su cobardía con continuos parapetos. Eran verdaderamente Marzo dé 1834/ * las diez de la noche.2=Eiccmo. Sr.= FernandoButron^E^- Jnaaccesibles sus posiciones; pero tenia-soldados españoles ¿ mis órdenes , y no celentísimo Sr. comandante general dé la» provincias Vascongada*, es Es corera de dudarse el partido que debía tomar. pia.z=Obma. - : . , . ¡ . ,i”¡ i t Ordené á las compañías de la columna guipuzcoana y la de celadores a I» órdenes…</t>
  </si>
  <si>
    <t>Jo, Acete</t>
  </si>
  <si>
    <t>Acete Jo</t>
  </si>
  <si>
    <t>…vor. Pidió que se leyese dicha escritura; y sultaría un escándalo, porque son bien públicas y notorias las virtudes que le Ces, ues de leída continuó distinguen; pero no siendo asi, no puede resultar tal escándalo. Tampoco pue El Sr. Acete Jo: «Creo ocioso hablar de Jas virtudes y méritos del señor de resultar ofensa ninguna á la provincia, porque ni la provincia ni el señor F&gt; Agu tin Arguelles, cuyo nombre es tan conocido en el Estamento, en Es D. Agustín Argiielles tienen la culpa de que este carezca de la circunstancia pina y aun en…</t>
  </si>
  <si>
    <t>Jo, D Fernán</t>
  </si>
  <si>
    <t>D Fernán Jo</t>
  </si>
  <si>
    <t>…co el valor de de 18 de Octubre del corriente año, estaba impuesto del fatal acontecimiento del las mencionadas letras, bajo la intervención de la contaduría general de Dis- fallecimiento del Rey nuestro Señor y vuestro Esposo el Sr. D. Fernán Jo vil Utbucion, y con catjgo al presupuesto del ministerio de E&amp;tado; de cuyas obli Es imposible, Señora, reducir á términos el intenso dolor en que se inundó ¿el gaciones se encargara dicha dirección en el mismo orden y forma que lo eje corazón de vuestro gobernador de esta diócesi, porque fiel en t…</t>
  </si>
  <si>
    <t>Jo, Fernán</t>
  </si>
  <si>
    <t>Fernán Jo</t>
  </si>
  <si>
    <t>…l valor de de 18 de Octubre del corriente año, estaba impuesto del fatal acontecimiento del las mencionadas letras, bajo la intervención de la contaduría general de Dis- fallecimiento del Rey nuestro Señor y vuestro Esposo el Sr. D. Fernán Jo vil Utbucion, y con catjgo al presupuesto del ministerio de E&amp;tado; de cuyas obli Es imposible, Señora, reducir á términos el intenso dolor en que se inundó ¿el gaciones se encargara dicha dirección en el mismo orden y forma que lo eje corazón de vuestro gobernador de esta diócesi, porque fiel en t…</t>
  </si>
  <si>
    <t>Jo, Juan</t>
  </si>
  <si>
    <t>Juan Jo</t>
  </si>
  <si>
    <t>…p»ra dJrlo á conocer, adornó la fichada de la saftta iglesia parroquial, co Extracto del parte remitido por el gobernador civil de la provincia de locando en su balcón otro bello retrato de S. M. la Reina Regenta Goberna Granada D. Juan Jo*é Fonseca con fecha de 2o de Julio último. dora; en el itrio ó lohja plantó seis columnas trasparentes coronadas da gra Excmo. Sr.: En este mes han quedado totalmente repartidas las existen nada, cada ana con su verso en el pedestal, é iluminó completamente todo el cias que quedaban en los pósitos,…</t>
  </si>
  <si>
    <t>Jo, Ra</t>
  </si>
  <si>
    <t>Ra Jo</t>
  </si>
  <si>
    <t>…on preferencia, do pue hallarse ausente de aquella capital. Se accedió á esta solicitud. de existir, respecto a que debe ser el del Gobierno: haré algunas observaciones, La comisión de Poderes dió cuenta de haber examinado los de D. Ra Jo mas ligeras que me sean posibles, sobre lo que ha dicho el señor individuo de fael Faustino Sienz, electo Procurador por la provincia de Valladolid; y de Ja comisión que me ha precedido en la palabra, y manifestaré la necesidad de que no habiendo remitido dicho Sr., por hallarse enfermo, los docume…</t>
  </si>
  <si>
    <t>Jo, Regenta Goberna Granada D Juan</t>
  </si>
  <si>
    <t>Regenta Goberna Granada D Juan Jo</t>
  </si>
  <si>
    <t>…tración no era botante rodavía p»ra dJrlo á conocer, adornó la fichada de la saftta iglesia parroquial, co Extracto del parte remitido por el gobernador civil de la provincia de locando en su balcón otro bello retrato de S. M. la Reina Regenta Goberna Granada D. Juan Jo*é Fonseca con fecha de 2o de Julio último. dora; en el itrio ó lohja plantó seis columnas trasparentes coronadas da gra Excmo. Sr.: En este mes han quedado totalmente repartidas las existen nada, cada ana con su verso en el pedestal, é iluminó completamente todo el cias que quedaban en los pósitos,…</t>
  </si>
  <si>
    <t>Joa, Manuel</t>
  </si>
  <si>
    <t>Manuel Joa</t>
  </si>
  <si>
    <t>…é »m tardanza í V. E. Por Jleal decreto de 9 de Junio de este año se ha servido S. M. la Rf.pía D*os guarde i V. E. muchos añas. Cuartel ceneral de Vil.arcavo 2J. de Se Gobernadora presentar para la iglesia y obispado de Zamora á D. Manuel Joa tiembre de 1834- = Excmo Sr.rrJo-jé Man*#.zc: Excmo. Sr. Se-rcUrio do Eiquín Tarancon , canónigo doctoral de ia íunta iglesia catedral de Vaüadoiid, Udo V dei Despacho de la Guerra. y provisor y vicario general de aquella diócesis. El mismo capitán general añade: que el coronel Escalera habla vuelt…</t>
  </si>
  <si>
    <t>Joaé</t>
  </si>
  <si>
    <t>curtrsc dc -no asistir cn/ ellos un solo hombre que. pueda infundir sospecha* y en la segunda de fusileros el espitan graduado de teniepte coronel D. Joaé persiguiéndole hasta su captura si alguno se encontrase. El espíritu general es García Leron y el subteniente D. Pedro Bote jara, como asimismo el ayúdame cxceieíúe, y .me- prieto tbncr afianzada Intranquilidad que se disfruta enjo maybr con grado de capitán D. Juan Gualberto Corcuera*. ? ya esta p…</t>
  </si>
  <si>
    <t>Joaé, D</t>
  </si>
  <si>
    <t>D Joaé</t>
  </si>
  <si>
    <t>Joan</t>
  </si>
  <si>
    <t>…ficio cogido 250 fusiles, -6 fardos de cartucheras y otros tantos de correajes en el nadas se prestaron, á contribuir con su habilidad á la celebración del magestuo- pueblo de Manteygas por el coronel sargento mayor de Valladolid D. Joan so acto que daba ocasión á la fiesta»* González Araujo, que con 140 hombres de su cuerpo fue encargado de apo No bastarían tos recursos de la mas viva imaginación para describir digna derarse de dichos efectos por el Sr. mariscal de Campo D. Francisco Satquamente la brillantez y elegancia de los tr…</t>
  </si>
  <si>
    <t>Joaqóín</t>
  </si>
  <si>
    <t>…ara las dos plazas de cérisores regios supernumerario* de Barcelona, va (Concluye el segundo articulo.) cante?. por renuncia dé D. Ramón de Ciscar y D. Prospero BofavuU, ha teni do á bien nombrar S. M» ¿ D. José Antonio Anglada y D. Joaqóín diastur. ¡. Uatta eltonccs los residentes se habían mostrado favorables i b marcha</t>
  </si>
  <si>
    <t>Joaqóín, José Antonio Anglada y D</t>
  </si>
  <si>
    <t>José Antonio Anglada y D Joaqóín</t>
  </si>
  <si>
    <t>…tVfnai en 8.*, TarptSL y Para las dos plazas de cérisores regios supernumerario* de Barcelona, va (Concluye el segundo articulo.) cante?. por renuncia dé D. Ramón de Ciscar y D. Prospero BofavuU, ha teni do á bien nombrar S. M» ¿ D. José Antonio Anglada y D. Joaqóín diastur. ¡. Uatta eltonccs los residentes se habían mostrado favorables i b marcha</t>
  </si>
  <si>
    <t>Joaqu</t>
  </si>
  <si>
    <t>…la él teniente D. Ramón González ^.1 puente inhero que la columna continúa en persecución de los rebeldes, conforme y el referido'ayudante. , ■ jlo que le tengo prevenido repetid» veces desde ayer .tarde. Igual encargo El capitán D. Joaqu u Diaz de Rehago, que habia ido 4 reforzár la crv</t>
  </si>
  <si>
    <t>Joaqu, D</t>
  </si>
  <si>
    <t>D Joaqu</t>
  </si>
  <si>
    <t>…va 4e ella él teniente D. Ramón González ^.1 puente inhero que la columna continúa en persecución de los rebeldes, conforme y el referido'ayudante. , ■ jlo que le tengo prevenido repetid» veces desde ayer .tarde. Igual encargo El capitán D. Joaqu u Diaz de Rehago, que habia ido 4 reforzár la crv</t>
  </si>
  <si>
    <t>Joaqu, José</t>
  </si>
  <si>
    <t>José Joaqu</t>
  </si>
  <si>
    <t>…Sr. Rossi, biblhátecarío de b galería Constitución federal. Borbon, de Nápoles. (Diario di Rama.) -Por esto» motivos el Congreso decreta tó siguiente: ” El Étado de S. Luis mira como ilegales todo* los actos públicos' del ——S, E. D. José Joaqu in de Rocha, enviado extraordinario y ministro ple Presidente, en cuanto te niega á someterse á la Constitución y á las leyes nipotenciario de S. M. el Emperador del Brasil cerca de la Santa Sede, ha te que reconocen en lea Cámaro el detecho de interpretar los artículos de U nido la honra de Ser re…</t>
  </si>
  <si>
    <t>Joaquín</t>
  </si>
  <si>
    <t>…odo el lo del Sr. Mora, y del exacto desempeño de su comisión , no obstante , cedien pais adhiere á la declaración de Cuernavaca, que devuelve al clero todo el po do á sus deseos, acordó encargar la revisión de las cuentas al Sr. D. Joaquín der que antes tenia, y coloca á Santana á la cabeza del gobierno. Gómez, quien con su dictárpgn las pasaría á los ExCmos. Sres. presidente y D. José Ricardo O-Farrill para la aprobación correspondiente, cpmo asimis TV Lima escriben con fecha 29 de Abril que la división de Bermudez) mo que se de al…</t>
  </si>
  <si>
    <t>…. (Id.) oaliará á { rüéii rústica en lá^.lfbfefía de Cuesta, y éh la de áanehex. Circular aprobando el procedimiento instruido por el subdelegado del Fomento ------Isabel y libertad: oda patriótica dedicada á Ja MÜIcla urbana por D. Joaquín ^ de la provincia de Valencia contra algunos curiales de la Real audiencia, r/rxMadridComoto, i %.bachillerrsv én la, libreríaen leyesdé.É'scamiIlá.de la universidad de Alcatf de Henares. Se vended con otras prevenciones1 benéficas y de publica utilidad. (Id.) “-^-'¿Colección ¿le traites' extrattados de la…</t>
  </si>
  <si>
    <t>…de los Sres Procuradores y de los creerte que el Gobierno no habia facilitado todos los papeles ó documentos Ilustres Próceres del reino.” que han existido en su pOder pertenecientes al empréstito de Guebhard, pues El Sr. Ferrer (D. Joaquín): «A pesar de lo que ha manifestado el se ha indicado S. S. que la comisión habia obtenido alguno extrajudicialmente. El ñor conde de Toreno, respecto á que sea suficiente la palabra aprobado pinera Gobierno repite ahora lo que ha dicho siempre, que cuantos documentos se le por un Ministro en cualq…</t>
  </si>
  <si>
    <t>…lo. del actual desde Vergara , se me dice lo siguiente: Por lo mismo la merecen todos los montados , entre los que se Excmo. Sr. :-El brigadier D. Gaspar de Jáuregui, gefe de la hallaban el gefe de la plana mayor D. José de Cova, D. Joaquín 1.a brigada de la 3.a división de mi mando, me da parte en 6 del Sanz de Mendiondo, el oficial de la plana mayor D. Manuel Ro actual de la acción que sostuvo contra los rebeldes en las inmedia-, drigue/ I-ito, mis ordenanzas, que se componen de patriotas mon dones de Astigarraga y Oyarzun en los té…</t>
  </si>
  <si>
    <t>…ntada uno ó dos casos nuel Fuertes , D. Joaquín Acevedo , D. Manuel de Lucas, D. Angel Domín sospechosos, que hasta ahora no resultan caracterizados, y de este modo confio guez de. Soto, D. José Moreno, D. Francisco Javier Garay, D. Joaquín en poder preservar ¿ estos pueblos de tan horrible azote. García, D. José de Vivero y D. Antonio Bcloso: en álgebra D. Faustino Do Policía general. Me be dedicado á U formación de una matrícula general, mínguez y D. Juan Pardo y Silva;'en geografía elemental D. Pablo Carcafio, de que carecía esta p…</t>
  </si>
  <si>
    <t>…te.=ExcmQ, Sr. : Con la mayor satisfac- y 100 Urbanos, hicieron ver á los facciosas lo que vale ta inocencia de Isamoñ traslado fntregp jb| parte dado pot el capitán D. Juan Antonia Uzurjaga, ..&lt; ir apoyada en A valor. El coronel D. Joaquín deUrw««ida ,cl espitan IX* gobernador y comandante militar de Vergara y su distrito, relativo i la defen- Isidoro Iracbeta, otfó D. Sebastian Goü, y d de igual dase avudaate.de pNr » de aquella villa, ejecutada en el día 5 del corriente , que á la letra a como xa D. Cayetano de Lili, han combatido…</t>
  </si>
  <si>
    <t>…ona en cuyo poder existan pertenencias del P. Gerónimo, haga manifestación el pliego que se enseñará á los que quisiesen enterarse en ta oficina administra y entrega de ellas por medio de notas circunstanciadas que pasarán al $r. D. Joaquín tiva de la citada Dirección, y se publicará en el Boletín oficial de la provin de Fagoagay Dotar i, juez comisario del asunto, que vive calle Mayor, num.ft, casa de la Estera, cuarto principal; bajo la pena, no haciéndolo asi, de tenerlos por ocul cia de Almena. tadores y cómplices en la quiebra. 1…</t>
  </si>
  <si>
    <t>…de &gt;2o á 3ü años de do del primero de dichos cuerpos al teniente general ,D. Francisco Espoz y edad. La reserva federal se compondrá de hombres de 30 á 35 años, y será la Mina, y el del segundo interinamente al mariscal de campo D. Joaquín dé mitad de la fuerza anterior. Finalmente, el' Zawdt¿^r, formadp de todos los hom Osma; permaneciendo por a&amp;ora de comandante general de-Nav&amp;rra con cargos bres hábiles hasta la edad de*50 años,,compondrá un total de 3 ut)9 combatientes de virey el mariscal de canapé conde Armildez de Toledo, y'co…</t>
  </si>
  <si>
    <t>…ermanezca en pie de íeo para Taboada; á D. Juan de Mata Albarado para Sarria; á guerra como hasta 'aquí. «Cree asimismo el gobierno que sin excedernos mucho de los presupuestos D. Buenaventura Alvarado para la Puebla de Tribes; á D. Joaquín debemos mantener sobre las armas la fuerza en que nuestro ejército se halla Rorieali para Villalon, y á D. Antonio Valenzuela para Val de Ca actualmente , por la reunión de los que estaban con licencia temporal, sin per balleros. juicio de dar nuevas licencias por tres meses, si las circunstancias…</t>
  </si>
  <si>
    <t>…sca , cerca de Santarem , adonde fue visitado por D. Miguel, de 1808 en Madrid, ha cabido en suerte con el primer extracto de la de este;con quien tuvo una conferencia de mas de una hora. dia 4 Doña María Mercedes Casaus, hija de D. Joaquín, capitán que fue de Hay noticia de que el duque de Terceira se hallaba el 22 en Moimenla , es infantería, muerto en acción de guerra.decir, entre Lamego, Almeida y Viseo. bolsa de comercio.—Cotizacion de hoy d las tres de la tarde. Extracto del parte dado por el subdelegado del Fomento de la provin…</t>
  </si>
  <si>
    <t>…el termino peed» de 15 dita, pues que la pro- vilion se hará el 21 de Diciembre. de los pésimos versos que se hallan al principio de los capítulos del Compen ——Se cita, llama y emplaza á todos los acreedores, de los Excmos. gres. D. Joaquín dio del P. Ida, seria müy digno de aprecio; porque nos parece imposible que él Ramírez de Hato, T de tu fiijoD. José, condes que fueron de Hornos y de Murillo, y por fallecimiento de aquellos á sus herederos y sucesores, para que en el término de un mes contado desde la publicación de este anuncio,…</t>
  </si>
  <si>
    <t>Joaquín, D</t>
  </si>
  <si>
    <t>D Joaquín</t>
  </si>
  <si>
    <t>…ue todo el lo del Sr. Mora, y del exacto desempeño de su comisión , no obstante , cedien pais adhiere á la declaración de Cuernavaca, que devuelve al clero todo el po do á sus deseos, acordó encargar la revisión de las cuentas al Sr. D. Joaquín der que antes tenia, y coloca á Santana á la cabeza del gobierno. Gómez, quien con su dictárpgn las pasaría á los ExCmos. Sres. presidente y D. José Ricardo O-Farrill para la aprobación correspondiente, cpmo asimis TV Lima escriben con fecha 29 de Abril que la división de Bermudez) mo que se de al…</t>
  </si>
  <si>
    <t>…del Norte.=ExcmQ, Sr. : Con la mayor satisfac- y 100 Urbanos, hicieron ver á los facciosas lo que vale ta inocencia de Isamoñ traslado fntregp jb| parte dado pot el capitán D. Juan Antonia Uzurjaga, ..&lt; ir apoyada en A valor. El coronel D. Joaquín deUrw««ida ,cl espitan IX* gobernador y comandante militar de Vergara y su distrito, relativo i la defen- Isidoro Iracbeta, otfó D. Sebastian Goü, y d de igual dase avudaate.de pNr » de aquella villa, ejecutada en el día 5 del corriente , que á la letra a como xa D. Cayetano de Lili, han combatido…</t>
  </si>
  <si>
    <t>Joaquín, José</t>
  </si>
  <si>
    <t>José Joaquín</t>
  </si>
  <si>
    <t>…rte á la cabeza dél regi Barcelona. re D. Juan.Plandolit. miento provincial de Mondofiedo; y aunque hasta ahora no se ha presentado Oviedo.eeD. José Serrano Salas. sus poderes existen en el ministerio de lo Interior.4’ Gu¡púzcoa.=D. José Joaquín dé Mariítegui. El Sr. Acevedo manifestóle» motivos porque no se había presentado el Sr. Procurador, electo por Oviedo, D. José SerrañoSalas. Señores cuyos poderes han sido desaprobados, y se ignora su reemplazo. El Sr. marques de Montesa manifestó que el Sr. Procurador electo por la Teruel. eeD. Ju…</t>
  </si>
  <si>
    <t>Joaquín, Manuel Rentero y Villa y D</t>
  </si>
  <si>
    <t>Manuel Rentero y Villa y D Joaquín</t>
  </si>
  <si>
    <t>…ocios, prescindiendo de que la América nos trata todavía con Briones, y esta por nombramiento de D. Modesto Cortazar, para teniente cor mayor desden dejándonos sin ministro de ninguna clase John-Bull sigue ha regidor de Madrid, á D. Manuel Rentero y Villa y D. Joaquín Romaguera; ciendo otras reflexiones análogas dictadas por un espíritu hostil al ministerio. y para oidor de la audiencia de Granada , cuya plaza se halla vacante por nom A esto contesta el Globo que lejos de encontrarse la Inglaterra en esta bramiento para otro destino de D Antonio de Heredia, £ D.…</t>
  </si>
  <si>
    <t>Jocqutn</t>
  </si>
  <si>
    <t>…del ejército: un tomo eo 8.° Se hallará na, que se ejecutaría en el mes de Diciembre por el encargado de construir y -------Novísimaá 5 rs. en rústicasemanaen lasantalibreríaen castellanode Cuesta., según la traducción del doctor D. Jocqutn dirigir los altos* hornos de fundición de hierro. Lorenzo Vlllanueva, aumentada con tod'i la semana de pascua, adornada con 8 lá Entre las providencias dictadas para el fomento del comercio, de que da minas finfcS, y puesta en 12.° meuor, tamaño cornudísimo para el bolsillo, á 10 rs. cuenta aquel g…</t>
  </si>
  <si>
    <t>Jocqutn, D</t>
  </si>
  <si>
    <t>D Jocqutn</t>
  </si>
  <si>
    <t>…llería del ejército: un tomo eo 8.° Se hallará na, que se ejecutaría en el mes de Diciembre por el encargado de construir y -------Novísimaá 5 rs. en rústicasemanaen lasantalibreríaen castellanode Cuesta., según la traducción del doctor D. Jocqutn dirigir los altos* hornos de fundición de hierro. Lorenzo Vlllanueva, aumentada con tod'i la semana de pascua, adornada con 8 lá Entre las providencias dictadas para el fomento del comercio, de que da minas finfcS, y puesta en 12.° meuor, tamaño cornudísimo para el bolsillo, á 10 rs. cuenta aquel g…</t>
  </si>
  <si>
    <t>Jominy</t>
  </si>
  <si>
    <t>…253 hom De público se dice que desde el momento que se acordó á fi bres de infantería y 153 de caballería. (Diario del Comercio.') nes de Enero formar el Estatuto de convocación, hasta el dia, es Anteayer llegó á esta capital el general Jominy, edecán del decir, en el espacio.de dos meses, ha trabajado incesantemente el Emperador de Rusia, que se dice encargado de una importante Gobierno de S. M. en este importantísimo negocio, á pesar de lo» misión cerca del gobierno francés. - muchos graves que en este Intervalo han llamado su atención…</t>
  </si>
  <si>
    <t>Jonés</t>
  </si>
  <si>
    <t>…hace ya dias no tienen noticias de que exista ni El gobernador de dicha provincia avisa con fecha 23 del corriente, que un soló faccioso. „ por haberle manifestado el alcalde de la villa de Nerpio que en ella se padecí* Mandé al coronel Jonés , gefe. de uüa de las columnas, se situase en Caspe, desde el dia 12 una enfermedad sospechosa, se había trasladado á las inmedia por ser la segunda población del distrito de mi cargo,, con el objeto de limpiar ciones de aquella villa, acompañado de un facultativo que pasaría á ella par* sus alrede…</t>
  </si>
  <si>
    <t>Jones, D Félix</t>
  </si>
  <si>
    <t>D Félix Jones</t>
  </si>
  <si>
    <t>…ibro á 4 P* 100. Títulos al portador del 4 p- 130, $6£ y 56 al contado: 57, 56R 57, 56$, $, ¿ y 56j x de firme á a vana» vo!. a prima y firme: $"J y vol. fs., arias fs., \ y 1$ p. 100. Capitanía general de Aragón. =Excmo. Sr.: El coronel D- Félix Jones, 16¡£ 16 no fs. ó J6¿ Reales Vales a varias al vot. consolidados, contado: y •«pitan del primer batallón del tercer regimiento de la Guardia Real de in Deuda negociable d¿ 5 p. 100 á papel. 00. fantería, y gefe de una de las columnas empleadas en la persecución de Carni- Id. sin ínteres, y 8-fr a*…</t>
  </si>
  <si>
    <t>Jones, Manuel</t>
  </si>
  <si>
    <t>Manuel Jones</t>
  </si>
  <si>
    <t>…á la extinguida compañía de S Fer Sanies por la columna móvil del regimentó de infantería de Mallorca, man-: nando de Sevilla; como igualmente uua porción de vales Reales é intereses que se dada por el comandante del mismo cterpo D. Manuel Jones. / referidossuponen pertenecerpapeles y documentosá la misma. noEncorrespondeneste concepto,á Mostrencosy habiéndose; todosdeclaradoios que sequecreialo* Él capiian general de Aragón cor fecha del 14 del actual, y con referen con derecho A reclamaciones contra la expresada corporación se presentara»…</t>
  </si>
  <si>
    <t>Jordán, Jacobo Villanova y</t>
  </si>
  <si>
    <t>Jacobo Villanova y Jordán</t>
  </si>
  <si>
    <t>…sobre la máquina inventada por M. Rabbage. La concurren la. fiscalía del crimen de la audiencia de Burgos, vacante por nom cia fue numerosa. Poco después de las ocho entraron en la sala el doctor Birk bramiento á otro destino de D. Jacobo Villanova y Jordán, á D. Josp beck, el lord canciller, M. Dupin, M. Tooke, y un gran número de sabios y María del Busto, magistrado cesante; y para alcalde en la Real corte literatos, los cuales fueron recibidos con grandes aplausos. El Dr. Lardner em de Navarra áD. Antonio BurbanaNavarro, auditor de guerra del ejér…</t>
  </si>
  <si>
    <t>Jordán, Jacobo Villapova y</t>
  </si>
  <si>
    <t>Jacobo Villapova y Jordán</t>
  </si>
  <si>
    <t>…xilio^ que reclama sú triste situación morbo todos , a icj Londresuiiu 1 b. b. £ Santander, á 4 P* ^90 año. al de magistrado honores audiencia concediendo Reai-'decreto de la Real de Ma 1 d. Santiago, Bilbao, á d. ¿ 34* 3H drid á D. Jacobo Villapova y Jordán. 14^0 ____r- «Nombrandoré D. Sebastian de Llanos, maestro de ceremonias de Jas Coa tes. (iVam. I48.) ANUNCIOS. Real órden fijando los derechos temporales que han de pagar las harinas espafiólas en la isla, de Cuba. Cid.) Obras Qut st hallan de venta en el despacho-de ta imprenta Peal. «_r prescribie…</t>
  </si>
  <si>
    <t>…xilio^ que reclama sú triste situación morbo todos , a icj Londresuiiu 1 b. b. £ Santander, á 4 P* ^90 año. al de magistrado honores audiencia concediendo Reai-'decreto de la Real de Ma 1 d. Santiago, Bilbao, á d. ¿ 34* 3H drid á D. Jacobo Villapova y Jordán. 14^0 ___ _r- «Nombrandoré D. Sebastian de Llanos, maestro de ceremonias de Jas Coa tes. (iVam. I48.) ANUNCIOS. Real órden fijando los derechos temporales que han de pagar las harinas espafiólas en la isla, de Cuba. Cid.) Obras Qut st hallan de venta en el despacho-de ta imprenta Peal. «_r prescribi…</t>
  </si>
  <si>
    <t>Jordán, Jacobo Yillánova y</t>
  </si>
  <si>
    <t>Jacobo Yillánova y Jordán</t>
  </si>
  <si>
    <t>…e dignó conceder honores de magistrado de la Real au delante de Spithead, y ha hecho un saludo» á que ha contestado la l’i.tori* , que había enaibolado el pabellón portugués. El almirante Napier, Indi Naptcr y diencia de Madrid á D. Jacobo Yillánova y Jordán, fiscal de la de sus dos h jas desembarcaron á las dos en Káogs Sal ¡y-Poi t, donde de nuevo les Burgos. saludó la Victoria. Portsmouth á su llegada presentaba un cuadro de los mas animados, las calles y las avenidas de Sally-Port estaban iierus de personas, cuyo objeto era recibir dignamente ¿ su…</t>
  </si>
  <si>
    <t>Jordán, Jasef Vilanov y</t>
  </si>
  <si>
    <t>Jasef Vilanov y Jordán</t>
  </si>
  <si>
    <t>…a lugar de ¿&gt;. Antonio Me58 98 29 185. dreno: léase D. Antonio Mediano, y eo la linea ig léase D. y acobo Viilanova y Jor Observaciones. En el número de fallecidos están inclusos ios de los tres hos dán*Mayo,en léatelugarMarzo.de D. Jasef Vilanov* y Jordán; y columna 8.a, Uoca 6.a, donde dice EN LA IMPRENTA REAL.</t>
  </si>
  <si>
    <t>Jordán, Tomas</t>
  </si>
  <si>
    <t>Tomas Jordán</t>
  </si>
  <si>
    <t>…el dictar reglas generales modificadas según los diversos accidentes lo otro «Manual instructivo y curioso para los niños”, impresos en Ma cales qué presentan algunas provincias ó partidos en su sistema mu drid en la imprenta de D. Tomas Jordán, y qué su co-autor D. Jo nicipal. Mas no per eso el Gobierno de S. M. ha olvidado el fijar sé Menendez goce del privilegio concedido por el Real decreto de 4 *u atención en uñ punto de tanto interes, y dejando al tiempo y á de Enero del presente año sobre impresión, publicación v circula . la. expe…</t>
  </si>
  <si>
    <t>Jorge</t>
  </si>
  <si>
    <t>…os le bastan para sostener El ministro de Guerra prdio permiso a la Camara para emplear activa la lid.Tiene 16&lt;»9 hombres sobre las armas, y puede aumentar fácilmente este mente v en comisiones importantes, a los Sres. Diputados, general Jorge de número cen reclutas síicados del Asía menor y otras provincias de que dispo Aviles y Sr. Vasconcellos. La Camara concedió por unanimidad la licencia ne. Acaba expresando que esta firmemente resuelto a sacudir el yugo de la que se pedia. Puerta, y á establecer su independencia de un modo completo. E…</t>
  </si>
  <si>
    <t>…las salas! que ^e .ha confortado la fuerza del mando de aquel brigadier durante su per En la de etiqueta preparada paniVl baile, en su testero habia un regio trono y manencia en Portugal.” Dios ¿k. Braganza 5 de Mayo. =: Excroo. Sr.=Jorge colocado en él el retrato de S. M. la Reina Gobernadora; á sus ladosestábatl dlAvilés. cuatro guerreros españoles armados de lanza y capacete, y eran Pedro Anzares que gobernó á España en las turbulencias que precedieron al reinado de Do Pormenores de ¡a acción de que se hizo mérito en la Gaceta nú…</t>
  </si>
  <si>
    <t>…liz aplicación de las ideas constitucionales. esfuerzos para dar una importancia comercial á la colonia que acaban de fun El Diario de esta ciudad, el Sottr, órgano de la mayoría vencida de la dar recientemente en el estrecho del Rey Jorge (Australia). Un particular ri regencia, ataca del modo mas amargo el sistema de este gobierno desde la nue co ha establecido allí una fábrica de paños, cuyos productos son excelentes. va miídanza. Antes de ayer contenia un artículo mas violento que ningunode El mayor Mitehel se propone visitar el i…</t>
  </si>
  <si>
    <t>Jornet, Párvulos de Francisco</t>
  </si>
  <si>
    <t>Párvulos de Francisco Jornet</t>
  </si>
  <si>
    <t>…o de personas fallecidas en la ciudad de Granada en los Este brillante resultado se debe especialmente al valor y actividad del bene dias que se expresan. mérito cabo de las rondas volantes extraordinarias de Sabadeli subteniente Don Párvulos de Francisco Jornet, el cual sorprendió ayer á la gavilla en la casa de Campo lla Dias. Varones. Hembras. ambos senos. Total. mada Soler de Bartí del condado de Centellas, habiendo entrado el primero 12 Febrero. 19 35 10 64. sulo.en ella, y conseguido la gloria de rendirlos; servicio que hace muy reco 13 id:..........…</t>
  </si>
  <si>
    <t>Jorque</t>
  </si>
  <si>
    <t>…«caso de reconocer cantidades que no. habían sido levantadas/por. órden suya/’ ge^o; Son bastante conocidas y poderosas*las razones que tuvo para -ello, por Y en la cédula que se expedia al concluirse las Córtes, que era el acta general Jorque indicare algunas, reservándome hacerlo de otras en el curso de la dis de sus sesiones, se mandó que «no fuera mas pedida por el Rey dicha canil— cusión. . «dad.” Se reprodujo, sin embargo, el pedido en 1540, y las Córtes volvie / «La comisión creyó que el estado en qué nos hallamos era U ocasión me…</t>
  </si>
  <si>
    <t>Jós, Althorp</t>
  </si>
  <si>
    <t>Althorp Jós</t>
  </si>
  <si>
    <t>….. 500 _Por conducto fidedigno nos consta, dice el Courier, que el ministerio de D. Manuel Borrajo.... .......................................................... ............. 100 lord Grey quedó ayer «Jispelto, porque vienclá el lord Althorp Jós graves in La compañía de Cárdenas por una ..vez.................................................. 1000 convenientes que se presentaban para sostener en la Cámara de los Comunes el f&gt;. Losé Santiago Martínez,................................................................... 100 bilí Sobre medidas r…</t>
  </si>
  <si>
    <t>Jos, Pedro</t>
  </si>
  <si>
    <t>Pedro Jos</t>
  </si>
  <si>
    <t>…an todos los Iv-neficios simples que no sean fa Para la, junta eclesiástica , creada por mi decreto de este dis miliares; desligando sus rentas, "Cumio fuere necesario, para reilo- ¡~vengo en nombrar1 al M. R. arzobispo de Méjico D. Pedro Jos&gt; taeion de curatos , ó tenencias, fábricas de iglesias 8re. |Fonte; al R. obispo de Sigiienza patriarca de las Indias D. Mamie Que tolos los servidores de cualquiera denominación, inclu *Fraile; al U. obispo de Lugo Fr. Hipólito Antonio Sánchez Rango! sos los de familia, se agreguen á la resfvvtiva…</t>
  </si>
  <si>
    <t>Joscf, Agustín</t>
  </si>
  <si>
    <t>Agustín Joscf</t>
  </si>
  <si>
    <t>…capitán Pereira Fonseca, y cogiendo 72 caballos con sus correspondiente* gua de Santarcn. Dios *$cc. Qu.nta de Ribeira 3u de Enero de lb?4..e=limr&gt;. y monturas. Añade que no ha ocurrido mas contratiempo que haber sido leve Excmo. Sr. Agustín Joscf h reire. = Duque de Tercera. (.Víniri ^wutitucio-* mente contuso el capitán de caballería Vasconcellos , y qué al regresar la tropa nal de Lisboa dei l.° de Febrero.) que perseguía al enemigo, dirigió un escuadrón por Golegá, que también hizo Oficio del conde Je Saldanha al ministro de Guerra. 4 pr…</t>
  </si>
  <si>
    <t>JoScrlpclohes, Joscf</t>
  </si>
  <si>
    <t>Joscf JoScrlpclohes</t>
  </si>
  <si>
    <t>…maodo de su capitán D. Pedro Sosvilla., alférez de tragatu graduado de la Real armada; admite carga y pasageros para los'que tiene las mvjoEFECTOS PUBLICOS. rés comodidades en dos espaciosas cámaros. La d«$pocha eu Cádiz su dueño D. Joscf JoScrlpclohes sobre el grán-libro al &lt; por too. c*o. María Viniegra, yen esta corte D. Juan de Guardamino, del comercio, calle de Pos Dieta* id. ai 4 P» *©o, 474 á «p’d. f. voL y firme á prima de# p. too. tas , núm. ,5. suplemento</t>
  </si>
  <si>
    <t>José</t>
  </si>
  <si>
    <t>…n.i SUS atrasos, para que por este medio pueda paula! nainente irse extinguiendo de España y todos sus dominios,-según .acredita el adjunto testimonio. F! a.!o esta carga. Asimi.mo se ha servido S. M. resolver que al conv.ndar.ie D. José solemne , sancionado no solo por nuestras antiguas y venerar ías tejes . de Lago y los demas oficiale* citados, se les acredite los sueldos correspondien también por las de la natutaleza, que rechazan como repugnante e injusta ia tes íi sus empleos en activo servicio, que dejaron de percibir de»de…</t>
  </si>
  <si>
    <t>…nmoladas, que nel Amor para perseguir á los enemigos con la primera infantería que tuvo la dando á cargo de V. E. la designación de dia y hora-, la invitación suerte de Levar la vanguardia para atacarlos, al cuidado del brigadier D. José á las autoridades que deban concurrir á este acto tan propio de uu Miría Herrera, gefe de la 1.a brigada de la 2.a división ; pero la precipitación los y facciosos que fuga muchísima ha sido que tomaron adquirieron ven tal, la medidas y la adopción de las católico, so- que conciben Íiueblo espacio…</t>
  </si>
  <si>
    <t>…nía estacionaria. jas de bastante entidad, y no puedo menos de recomendar á V. E. á los gefes de los cuerpos, el coronel del provincial de Córdoha D. Femando Fernandez PROVINCIA DE VALEUC1A. de Rodas, y el comandante de escuadrón D. José,Benavides, asi como á todos los oficiales y tropas de los mismos que con ci mayor entusiasmo han corres-1 En los dias 22,23,24y25 del presente fallecieron en aqudla capital 24 pondído á mis deseos, y han sabido superar las fatigas y privaciones de esta personas, curaron 6, y quedaban 42 enfermas: e…</t>
  </si>
  <si>
    <t>…' Míj bara la resOfüCÍdJi que estime concediente. José Martínez Areta, á D. José Mier, á D. Teótimo Escudero,! De -Afad orden lo°di¿» s:V. E. pati suimtwigOTC¡xytatiñfflimián!- D. Matías Herrero Prieto, á D. Francisco Redondo y á D. José to. Dios guarde á V. E. muchos años. AraDjuez l.° de Abril de María Calatrava. Y para fiscales de las mismas a D. Manuel Liza- I8.34. = Nicolas María Garelly. = Sr. Presidente del supremo Tri na y á D. Juan Nepomuceno San, Miguel. Tendréislo entendido, bunal de España é Indias. y lo comunicareis á…</t>
  </si>
  <si>
    <t>…particula tiandia sobré Auliestia y Navarríz. rizándose con el gefe del batallón del 3.° ligeros D.Cayetano Gar Al impulso y denuedo' de las decididas tjopas de la Reina. cía Olloqúi, el teniente del 4-° regimiento de la Guardia D. José nuestra Señora fueron puestos en vergonzosa fuga-y-complcta dis*^ Oriveq .erial ferez decabaUeríade la Albuhera D. Domingo Padu pcísion, dejando en poder de la mencionada columna tres carros ra, y á sus ayudantes D. Juan Zabala, capitán del 4-° ligero, y el cargados.de víveres , dos caballos y otro…</t>
  </si>
  <si>
    <t>…ra María Savaleta; habiendo resultado contusos el teniente de 1, anjrdu D. Joa do para atrevesar los bosques y llegar á la parte despejada del camino deSegura* quín de Al va, el alférez de Ja miarla D. Jnsé Fabfo, y io&gt; sargentos D. José antes que el enemigo pudiese cargar mi retaguardia, En efecto , la artillería y Cujo y Cayetano Alaria Sivelo y fuertenirate el cadete de cabáMería de Cuba bagage alravcsarorj^el bosque, pero los rebeldes prácticos en el terreno, y que D. Fernando Mófibran: también se distinguió y fue contuso el te…</t>
  </si>
  <si>
    <t>…d ló de Febrero de 18 34-* I do, dsndn cuenta á S. M. cada 24 horas del estado en que se hallare. 1 He venido en exonerar de las plazas que sirven en la Real audiencia de Mi1 Lasauca á de ella D- drid los ministros Cavia, Alfonso D. José , D. Antonio 1 Al expedir mi Real decreto de 16 de Febrero próximo pasado que con- Suarez en 5u José D- Domingo Pinuaga; Femando y nombro y D. Galindo, j tiene las tases de la organización y servicio de la Milicia urbana, tuve á bien 1 lugar á Du José Alonso,.que lo es supernumerario de la misma: á…</t>
  </si>
  <si>
    <t>…ROVINCIA BE ZARAGOZA. para la alcaldía mayor de Campillos á D. Antonio María Castilla; para la Manifiesta su gobernador civil en oficio de 28 del mes próximo pasado de S. Clemente í D. Francisco Senen y Senen: para la de Murcia á D. José que en los. dias 25 , 26 y 27 curaron en aquella capital 14 personas, fallecie García Veigara: para' la de Cartagena á D. José Macho de Quevedo: para la ron 3 y quedaban 14 enfermas: en los otros cinco pueblos de la misma priV-de Valls á D. Jaime Prenafeta: para la de Canjayar á D. Gines María de l…</t>
  </si>
  <si>
    <t>…l resto de la Turquía, dar de alcaldes á D. francisco Sainz Pardo, D. Cipriano de la Riva, Don les jueces propios colocados bajo la protección inmediata dei gobernador, y su Vicente Calvo y á Di José Plá y Puig; y para fiscales á D. José ministrarles armas para que defiendan sus derechos y los de la Puerta otomana María del Busto de lo civil, y á D. Florencio García Goyena para contra la violencia de los capitanes. De este modo, no solo evitaría el Sultán Jo criminal: y es mi voluntad que todos los ministros ocupen el lu la necesid…</t>
  </si>
  <si>
    <t>…vas, autoridades del mismo ramo, para que ob sé Martínez de San Martin, nombrando al mismo tiempo capitán serven con la mayor escrupulosidad á los vlageros procedentes del general interino de- Castilla la Vieja, al de igual clase D. José extrangero. Se debe á la influencia de la Confederación germariiea Manso, y segundo cabo de la provincia de Aragón al teniente ge esra disposición ciertamente rigorosa por la relación que tiene coñ neral de los Reales ejércitos D. Federico Castañon. las ramificaciones de los movimientos demagógtdos…</t>
  </si>
  <si>
    <t>…echa avisa que «n la noche del 25 que fue de Fuenteoebro: Barcelona, Gaspar y Plferrer: Zaragoza, Jáuregui: Valladolid, Rodríguez: Cádiz. Hortal: Corulla, Calvete, y Mur se prendieron en el pueblo de Estadiila al capitán graduado D. José cia , Benedicto. Continúa abierta la suscripción en Madrid 1 jo rs. cada Tardw, Manuel Galitido y Lorenzo Rodríguez que intentaron le volumen y 3a en tas provincias por razón de porte. EN LA IMPRENTA REAL</t>
  </si>
  <si>
    <t>…la dignidad, corporación, establecimiento o persoHe venido en jubilar con sus honores y sueldo que les corres mJírt 2o prestaciones devengadas hasta et dia señalado en el ponda por clasificación á D. Francisco Castillo Valero ya D. José artículo anterior, se podrán hacer efectivas por los respectivos par del Castillo, oidores de la Real audiencia de Cáceres; 4 D. Sandagp tícipes á quienes corresponda para invertirlas en los objetos de su Fernandez de Negrete, y á D. Juan Peinador y Pino, alcaides del foniíucion. „ crimen; y á D. A…</t>
  </si>
  <si>
    <t>…res , dispuse Saliese á hacer una batida á,dicho punto el capitán del re ANtllíCIÓS. gimiento provincial de Córdoba D. Calixto Vargas con uña columna , Com - ííittoria general He Es-paña del P. MSiiaña, ilustrada y continuada por D. José puesta de tropa de sil Cuerpo, cazadores de seguridad pública y 10 caballos Sabau y Blanco, canónigo que fue de S. Isidro. Tomo vil. Contiene este tomo los li del 3.° ligero: este Capitañ con fecha dél 30 taie dice lo qué copio: ^Sabiendo bros undécimo y duodécimo del P. Mariana, comehtados con alg…</t>
  </si>
  <si>
    <t>…ar* de S. M., y por los bien dirigidos tiros de la artillería, que á las órdenes del gentos son la imagen de la mas alta des’dia , hi padecido un extraordinario lenicnte del arma D. Serapio de Pedro, y del subteniente de la misma D. José detrimento, quedando en su miyr r parte reducido á la inutilidad. Lasala , rompió su fuego á metralla contra Us masas atacantes arrojando algu Cuando males tan grandes nos amenazan y nrs cercan es preciso dícfaf nas granadas , se puso aquel en vergonzosa fuga , de tal manera que al rayar el provide…</t>
  </si>
  <si>
    <t>…último, ha el primero del órden de los sacerdotes es el Sr. cardenal'Brancadono, arzobis bía desaparecido la enfermedad que atiigia al pueblo de Alcanar; en UUdecona po de Ferino; y el primero del órden de los diáconos es el Sr. cardenal José solo existían tres enfermos que no daban cuidado, y en la capital y demas pue Albani. Este es el mas anciano de los cardenales, puesto que nació en J ~5U: blos de zquclla provincia no se había alterado la salud pública desde el último el mas jóv-en es el cardenal Diego Luis Brignola , de edad Je 37…</t>
  </si>
  <si>
    <t>…nemjgos, y ,toqjiv.pew la espalda, ■ v'fe desembarcando en otnts apuntos ; las posiciones que han defendido por tierra ..^f PROVINCIA DX CXXOStA. contra ituéstros ataquen'Cerdudo élmat i nuestros buque* ¡T jr; abriéndole solo Sr, D. José, Fina del Vitar. . . . - 4 Ipf' Mjyds-y ájps de,^^’sdeuíig^ rlí^Ipg^wtá pudo.ptDlQngar duran ‘ Sr, D. Fiartcáco javier de FmiMa . te 22 años la lucha de la'Europa contra la Francia. Lo repetímos:;,1a mtervea- m....-sg.dl j©4a* viAti». - cktóéte;^rtta tn«r^á.wntWiritqWaei «^^eñdtenlciat de;l*-pieyri…</t>
  </si>
  <si>
    <t>…históricas origínate!espa ... c¿tiCet%ndO á fpsoficialtídeia secreta ría dél Gónsejo-de Go- ñolas , se servirán pasar i recoger el tomo 9.0 de dicha colección y i.V de la titulada Sancho Saldaba . Ó el Castellano de Cuellar, por D. José btfrqo el,tnisni6' uniformo que u?atr lo» de- lá» secretarías- del Esproncedft., y adelantar el importe del 10 en la litrerla de Escsmilla, Despachos'con; iguálés honóres &amp;c. {Id?} donde sigue abierta la suscripción, y se halfan venales las dos novelas (yrCular i jos1 Capftáfiés generales autorizán…</t>
  </si>
  <si>
    <t>…Al proyecto acompaña una nota vicario de Astigarraga: á D. Andrés Velaz, vicario de Abarzuza; en que se persuade á los capitalistas de la metrópoli á tomar parte en la em á D. Silvestre Mimendia, vicario interino de Legorreta; i D. José presa , para la cual se calcula necesario un fondo de 1203 libras esterlinas. Con María Oses» beneficiado de Barasoaih; á D. Manuel Aizpun, bene este dinero deben comprarse cuatro buques de vapor de la fuerza de 200 ccbaUoS cada uno, y destinarse uno para hacer la travesía de Inglaterra á Alejandrí…</t>
  </si>
  <si>
    <t>…en ordinario, extraordinario y de, campa fia; el minarla, y determinaré lo conveniente.” modo de desempeñar cada uno, y las recompensas que por ellos se obtendrán. p .El Estamento concedió la licencié de 4® días que pedia el Sr. D. José La disciplina,en los cinco artículos siguientes, fija el modo.de juzgar las Cuevas, Procurador por la provincia de Castellón de la Plana, en atención al Altaselas penas en que se incurre por ellas; la subordinación y obediencia á estado de sus intereses. las autoridades, y el juramento que deben prest…</t>
  </si>
  <si>
    <t>…ueblos, ha allí desde Cuenca. biéndose plantado 7551 árboles, y limpiado y guiado mas de 49”0. Ha reclamado las cuentas de pósitos en cumplimiento de las Reales órde Consiguiente á lo acordado por los generales duque de Tercera y D. José nes é instrucciones vigentes , ha remitido á la dirección de este ramo vanos Eamon Rodil, las tropas españolas ocuparon el S á Torrccelo y el 6 á Venta expedientes sobre perdón de deudas antiguas , y ha concedido i la junta de Ca— del Valle, siguiendo lamárgen derecha del Mondego en dirección de Co…</t>
  </si>
  <si>
    <t>…a salir á las Amezcuas, donde nos faltó el dia. nario de la sublime Puerta. «Los bien dirigidos tiros de nuestra artillería, mandada por el teniente S. E» fue conducido á las Tullerías en los coches de Tacorte, é introdu graduado D. José La sala, y la audacia con que secundó i la columna de ata cido en la audiencia de S. M. por el conde de Samt-Maurís, introductor de que nuestra caballería á hrs-órdenes dei coronel capitán de cazadores a caballo embajadores, y Mr. Jouannin, primer secretario, intérprete del Rey para las Don Manuel Jac…</t>
  </si>
  <si>
    <t>…vecindarios; y comandante D. Antonio fobar i el 2.° comandante D. Manuel Argüelles ¡ el - que en los demas puntos invadidos continuaba la enfermedad con benignidad teniente coronel graduado, capitán D. José Aguirre; los capitanes D. José según, resulta del siguiente María Gurrea y D. Félix Miranda; el capitán graduado, teniente D. Antonio Parte sanitario. Sánchez; el teniente.graduado, subteniente D. Juan Moreno; los subtenientes D..Juan Orus y D. José Erefias; los sargentos primeros Manuel Chutos y Gui llermo Provees, y los cabos…</t>
  </si>
  <si>
    <t>…e los 1200 que comprende el sorteo de este dia. Para la plaza de oficial tercero de la contaduría de Propios de Lérida, vacante por dimisión de D. José de Saqui y Estevanes, ha nombrado S. M. á NÚMEROS. PREMIOS. ADMINISTRACIONES. D. José de-Mateo y Urrutia, cesante del ramo, propuesto en primer lugar. 5,591. 12000 ps. fe............ .. • • Barcelona. Para la plaza de oficial tercero de la contaduría de Propios de Ponteve 6,325. . 5000............... .. . . Madrid. dra , vacante por salida de D. Víctor García á segundo de la estafet…</t>
  </si>
  <si>
    <t>…zarría graduado D. José de Torres, al teniente graduado D. Ildefonso Mata, al sar ,que atacando las tres casas y rompiendo Jas puertas entro en ellas á la bayone gento 2.° Joaquín García, al sargento l.°, graduado de subteniente, D. José do ta , 4 cuyo tiempo llegó Varo, que se apresuró al oir cl fuego. Fue tal el aturdi Sta. Coloma , de la compañía de cazadores, y á todos los individuo» que com miento de la canalla, que se tiraban por las ventanas á los despeñadero» en que ponen cl precitado pelotón, en cl cual no ha ocurrido desgrac…</t>
  </si>
  <si>
    <t>…do es que nos encontramos rodeados de enemigos por todas remejía, Martí, Campillo, De Pedro, Anaya, Crespo Tejada, Óchoa, con partes; que cuatro de nuestras mejores provincias arden en la guerra civil, y de de Almodovar , Girar.( D. José ), Fuster, 5uberaase, conde , de Adanero, que en las demos hay chispas; por lo que el objeto de la Milicia utbana no Rojiarate, Butrón, Garay, Qrtiz de Velasco, Polo Monge, Rey, Campe, puede ser otro que el de sostener , llevada de su entusiasmo y patriotismo, las S. Simón, Arango y Ayala. libertad…</t>
  </si>
  <si>
    <t>…á 44 id. derno en 4.0, rústica. Se hallará á 3 rs. eo la librería de Viana Razóla. Pueblos de la Alcarria. Trigo de superior calidad, de 32 á 34 rs. fanega: —Oficio parvo de nuestra Señora, traducido nuevamente al castellano por D. José id. de inferior, de 24 á 26 id.: cebada, de 17 á 18 id.: garbanzos, de 20 á 22 ' decompuestoLeglisa ydePinedo,oracionespresbítero,en forma añadidode salmos,con antífonasun devocionarioy súplicas,á larepartidomisma Virgen,en to^ rs. arroba: vino, de 5 á 6 id.:aceite,de 38 á 40 id. dos los dias de la…</t>
  </si>
  <si>
    <t>…Sr. Búrgos alegó, que según su modo de ver juzgaba á los empleados los Sres. Próceres. de la servidumbre de S. M. en igual categoría que al capitán general de Madrid, En seguida se nombró para la comisión de Estado al Excmo. Sr. D. José á quien no se le podia obligar á asistir al Estamento pues lo hará cuando quiera Ricardo de Alava, sin perjuicio de pertenecer á la de Marina. Para la de lo ó pueda; y que cuanta mas frecuente fuese la asistencia ai Estamento, y so Interior al Excmo. Sr. conde González Castejon; y parala de Haciend…</t>
  </si>
  <si>
    <t>…O 16 DE AGOSTO DE 1834 Exposición d las Córtesgenerales det reino en 1834, del Secretario de Esta miento, lo veríamos en W nulidad de nuestro comercio marítimo, yen las rui do y del Despacho Universal de Marina de España é Indias D. José nosas consecuencias del escandaloso contrabando, que ha disminuido las rentas Vázquez Etgueroa, con arreglo al artículo 36 del Estatuto Rtal dé Reales con menoscabo de todas las fuentes de la riqueza pública; males todos que 10 de Abril de este año* si derivándose principalmente de otras causas ext…</t>
  </si>
  <si>
    <t>…a. 7 20 1 2 23 5 1 Quedan existentes para mañana 17. Repertorio módica extrangero, periódico mensual de medicina, ci Ilota. Se van presentando las enfermedades comunes ,'y los rugía, veterinaria, farmacia, química y botánica; por D. José de x.j«_ tor Castroverde, doctor en medicina 8tc. Los suscrlptores acudíriaí mas de los pocos individuos invadidos en el día de la enfermedad recoger el tomo 3.0, y adelantar el importe del 4.a, á las librerías don reinante vienen del campo. de hubiesen suscrito. „ —Paralelo del cólera-morbo con el ve…</t>
  </si>
  <si>
    <t>…las disposicionesconvenientes jara el puntual cumplimiento de esta determinación, que comunico con itEAL DECRETO. igual fin al Sr. hermano mayor de Jos referidos hospitales, y con el En atención á los méritos y circunstancias de D. José de la de que la conducción de los cadáveres se ^ejecute al romper el día Cantolla, he venido en conferirle el gobierno civil de la provincia y con el decoro deludo. De orden de S. M. lo digo á V. E. para su de Santander que se halla vacante. Tendréislo entendido, y dispon inteligencia y efectos consiguiente…</t>
  </si>
  <si>
    <t>…na en Cádiz, «pite cuyos puntos era uno el de la construcción de tres instrumento» magis es muy sólido, muy cómodo y provisto de muy hsenot instrumentos. M. Totrales que hablan de fabricarse en Londres, para lo cual Se libraron á D. José, jfüo de San Miguel ha observado en íl ti paso/de Vlnus en 17ó9. A lo cual Cayetano fieroale», comerciante español establecido en aquella capital, 16UÜ añadiremos nosotros que el misnio Tofiño y D. José Vareta publicaron deis libras esterlinas, sacadas de jos productos del .establecimiento, y se aj…</t>
  </si>
  <si>
    <t>…mitido dicha (brmalidad: en les avisaría del dia y hora que S. M. se dignase señalar. ‘esta hipótesis se- puede negar que yo poseo la1 casa con justicia, y decir que no Se hizo presente al Estamento haberse nombrado al Excmo. Sr. D. José la poseo con titulo’ legúimo por haber omitido tal requisito; y en consecuen Pizarro para la comisión de Estado’, en lugar del Excmo. Sr. D. Miguel Ri cia, conservando el artículo en los términos en que está, se me obligará á de cardo de Alava. jar una casa que poseo legítimamente sin que falte mas qu…</t>
  </si>
  <si>
    <t>…o autor del Diccionario d¿ Hacienda las denomina imperr Arguelles, Orense , Víltalaz", González Pérez, conde de Hust, Martí, Crespo rinéntes i infecuntas economías. En efecto, es ahorrar 4 , exponiéndose 4: ji«rr Tejada, Ciscar ( D. José ) , Carrion, Ayarza, Villachica , Laborda , Polo y der 20. - .... -j Monge , y Del Rey. . - ’ «Mas ya que I* economía fuese la principal razón, la sólida guia en esté Los qué desaprobaron fueron los Sres. Otazu , Cano Manuel (padre), presupuesto, pyegúnto yo 4 los señores que ja alegan, ¡qué cantid…</t>
  </si>
  <si>
    <t>…del trono y de los pueblos. Ninguna disposición ¡m- nuel Romero Briones, alcalde de la de Granada, á D. Andrés Iportante se halla en el Estatuto que no se encuentre en las anti Masegosa de la misma, á D. Mariano José ülañeta, y á D. José guas instituciones de estos reinos: con la notable ventaja de que se Huerta, fiscal electo de la audiencia de Albacete : y en clase de fis lun restablecido meramente las que eran compatibles con el estado cales i D. Manuel de Scijus para lo civil, y á D. Francisco Pas ¡actual de la sociedad, y no o…</t>
  </si>
  <si>
    <t>…Reales ejércitos, capitán general de Castilla la teniente general de los Reales ejércitos, capitán general de Extre Nueva; Marques de Espeja, mariscal de campo de los Reales madura ; D. Ignacio Rives y Mayor, arzobispo de Burgos; D. José ejércitos, segundo cabo de Castilla la Nueva; conde de ArmilPalafox y Meíei, capitán general de los Reales ejércitos; marques de dez de Toledo, mariscal de campo de lws Reales ejércitos, coman la Reunión de .Nueva Esqiaña, teniente general de los Reales ejérci dante general de Navarra; conde de Mol…</t>
  </si>
  <si>
    <t>…peleando rior vá que acompañaba una comunicación del gobernador civil de la pro— heróicarocntc en las calles y en las casas, resistieron el Ímpetu de la facción Vincía de Oviedo , haciendo presentes^ Josmoti vos que irabnr temdó D. José entera por la tarde y la nuche con 4» suerte de rechazarlos^- el honor de- es- — —de Salas , electo Pruuiradür~poFTa~misma , para no presentarse en el Estamen tos cuerpos brilla boy con tanta gloria como antes de aquel suceso. No se to á desempeñar su cargo. El Estamento quedó enterado. diga, pues,…</t>
  </si>
  <si>
    <t>Jose</t>
  </si>
  <si>
    <t>…as ocasiones la columna, cotópiilfcstá efe 1&gt; 2.a compañía de cazadores dé Almansa y del pri gavilla del estudiante Grau, causándole la pérdida de 11 muertos y varios he merbatallón del Príncipe, mandada por el coronel comandante D. Jose toar- ridos, y quedando de sus resultas enteramente destruida, y dispersado sú resto. «^Jóyé.io vérificásé por Urigóifi, marchando yo sobre las alturas y pueblo También se ha capturado al cabecilla Vicente Marques de Prats de Llusánes, ¿é5al$&gt;a, desdé donde'rompieron los' facciosos un vivó fuego ,'…</t>
  </si>
  <si>
    <t>…roposición sobre los emplea los pueblos. Consiste en un estado ó libro de caja de los gastos de la casa Real dos, no habia sido mas que una hipótesis para demostrar las economías que po en el año 1811, gastos hechos por el pseudo rey José 1, á quien no seryí drían hacerse por ese lado, asi como por otros muchos, por ejemplo, propo nunca , sino al contrario, peleé en contra suya en las filas de la Nación. De él niendo que subiese et subsidio del clero á 30 millones, cuyas economías par resulta en uno de los cuadros ó estados que pres…</t>
  </si>
  <si>
    <t>…con alguna tropa, continué á efectuar un ber si no recomendase á V. E. ,por si tiene á bien hacerlo á S- M. reconocimiento con la caballería tomando la derecha del castillo, y la Reina Gobernadora á los citados oficiales de P. M. D. José haciendo avanzar para sostenerla la compañía de cazadores del pri Hallegg y D. Luis del Arco;-par'la infatigable actividad con que mer batallón de Castilla, mientras que la infantería seguía su mar han comunicado misArdenes., acompañándome á todas partes, lo cha regular por el .camino principal, re…</t>
  </si>
  <si>
    <t>…María Moscoso de Altamira. Deseando S. M. la Reina Gobernadora que se adopten desde lue REALES DECRETOS. go todas ias medidas conducentes para preservar £ los leales habitan Accediendo á las repetidas súplicas que me ha dirigido D. José tes'de esta M. H. villa de las dolorosas consecuencias que se expe ri de lmaz, y en consideración á su quebrantada s-lud; lie veniJo men l.¡ n en las poblaciones donde se padece el cólera—morbo; y en en admitirle la dimisión del cargo de Secretario de Estado y del terada del zelo y eficacia con que…</t>
  </si>
  <si>
    <t>…aballero, Cano Manuel. y Chacoq, Fer- orita por los Sres.- conde de. Almodovar,Osea, Crespo de Tejada, Abargues, rer, Fizarro, Serrano C D„ Era6cisoo&gt;, . Acuña, r-Diez; González, Fernandez López; Bclda, Visedo, Belmonte , Ciscar (D. José), Subercase, Rodríguez Pa— Blanco, Mantilla, marques de.Montévírgén,.Miranda.y Olmcdilla, Calderón terna, buster, Cuchas,'Caballero, Carrion,y Serranó (Don Ginet), de la Barca, Domínguez,marque»deEspinardo, Lasaiua, Palotea, Fuga, Ace- El Sr- Eresidmtt^sjMañanaj siendo los dias de:nuestra augusta R…</t>
  </si>
  <si>
    <t>…os y circunstancias. Tendréis- hombres. Jo entendido, v dispondréis su cumpIimiento.=Está rubricado de la Aquí se hacen grandes preparativos para aprestar cuanto antes una nume Real Ma no.=En el Pardo á 18 de Setiembre de 1834.=A D. José rosa escuadra, cuyo destino se ignora, asi como se ignora igualmente el verda dero objeto de la misión de Namik.-bcy, general de brigada, joven de las mas María Moscoso de AUamira. bellas esperanzas, y que pasa á la corte de Londres acompañado de diferentes MINISTERIO DE LA GUERRA. oficiales turcos…</t>
  </si>
  <si>
    <t>…ósito para el cultivo de principios morales y religiosos, y para preservar á ANUJ1CIOS. los detenidos dé toda contaminación, no nos parece que tiene ninguno. ' Historia general He España del P. Mariana, ilustrada y continuada por D. José -La mención de las utilidades morales que pueden sacarse de las ci recles S^hau y Blanco, canónigo que fue de S. Isidro. Tomo vi. Abraza esre tomo los libros nono y décimo del autor, en que se continúa la historia de la restauración de España. de detención, nos trae á Ja memoria los hospicios de niños…</t>
  </si>
  <si>
    <t>…eTrtanda , no duraría un mes. Tam Un sugeto de la~ caliere Segó vi a.... ■... .tt .7................. 4® poco convendríadisolverParlamento, porque de esta solución no resulta Sres. directores generala de rentas D. Antonio Alonso, D. José ría mas ventaja á los torys que el aumento de 20 ó 25 votos, cosa que para Aranalde., D. Agustín Rodríguez y D. Domingo Torra................ .. 2000 nada les sirve ” D. Joaquín Garay Arrave , por ahora.............................................. 100 VXANCIA. D. José Ventura de Aguirre Solarte...…</t>
  </si>
  <si>
    <t>…veni —El Belga contiene lo siguiente: do en líonibrarle corregidor de Madrid; quedando mujr satisfecha «Algunos aficionados á pichones del nuevo jardín de Ambercs (nienwett del celo con que ha desempeñado éste desuno en comisión D. José hoQ han enviado i Pexona 4^ de estas aves el domingo 24 de Agosto, y 18 María' Galdiano, que se tendrá presente para la debida recompensa; de ellas volvieron el mismo dia. Al día siguiente i 25 el número d. y es mi Real voluntad que la subdelegacion principal.de Policía de los que estaban de vuelta…</t>
  </si>
  <si>
    <t>…. que deja una hermana, á quien pedia que la atendiese si le era i»rato te si era preciso para flanquear á los que amenazaban por el camino de Rioja: su servicio. al cerone! teniente coronel del regimiento infantería 3.° de línea D. José del De los vándalos hemos cogido 34 prisioneros, entre los cuales había 3 de Pozo que se me presentó en aquel acto con una partida, le hice formar en co sertores del ejército , que sufrieron en el acto el rigor de la leyi después , de re lumna cerrada , único medio de imponer á los vándalos que habían forzado…</t>
  </si>
  <si>
    <t>…ado con fecha de 5 del actual por D. José Obrar que te hallan de venta en el despacho de la imprenta Real. Antonio Cervera, secretario de la subdelegacion del Fomento de La litada de Homero, traducida del griego al castellano por D. José la provincia de Albacete, y encargado interinamente de ella por Gómez Hermosilla en verso endecasilavo suelto con la mas escrupnlosa ausencia del subdelegado. fidelidad. Bella edición en tres tomos en 4.0, ano de 1831, á 72 rs. pa pel, &lt;jg rústica y 87 pasta. Se han pedido á los pueblos noticias de la…</t>
  </si>
  <si>
    <t>…lmaseda, que son las de Can tabria,Í)e Real prdeñ &amp;C- Madrid .19 de Mayo de l834.=Imáz.=Se- PARTE NO OFICIAL* ñores'Directores de Rentas. NOTICIAS EXTRANGERAS. lie «lado cuenta á la Reina Gobernadora del expediente promo vido por D. José y ,D. Francisco -Brunet, del comercio de S. Se- (Continuación del correo anterior0 , bastían, en solicitud de «fue no se exija el derecho de bandera ex- ■traiigejra á 260ó libras dé canela introduci«la en el puerto de dicha EGIPTO. ciudad «on buque español el 24 de Agosto último desde BiLlmo, adon Al…</t>
  </si>
  <si>
    <t>…■ ■ Las Veladas He la caftañA. ó lecciones de un padre anciano; por Mr. Ducray— por ser menos activo y mas desagradable de tomar que el primero. Para obte Duminil. TruJucidas nuevamenie al castellano y a lomadas con laminas. Par D. José ner el ácido carbónico el método mas pronto y conveniente es recurrir á aque MadridGarrida , yPjfezBiucís,y Jordán;profesorCadeliz,boranicaH irtal ¡Scc.;y compañía;cuatro romValencia,iS en 8.°Jimeno,Se hallahermanos,de venta; llas sustancias que lo contienen en exceso, y para lograr doprenderÍQ se…</t>
  </si>
  <si>
    <t>…precio entregado no tuviere tam se le presentase para embarcarse y reunirse al Estamento. bién un derecho indisputable al ínteres de su capital , mientras este no se de Y otra participando haber recibido una carta del Excmo. Sr. D. José volviese. García de León y Pizarro desde París, en que con fecha 10 de Octubre pró De tan equivocado sistema ha venido á resultar por razón de las even ximo pasado expresaba hallarse imposibilitado de emprender su viage, como lo tualidades á que el reintegro quedó sujeto, que los compradores nada h…</t>
  </si>
  <si>
    <t>…ha prestado gustosa á contribuir á esta obra en cuanto lo permiten sus facultades. Prontuario de medicina práctico 6 clínica, escrito en latía por -José Se ha aprobado un modelo de mercado público para la misma Cearin, médico del emperador José rs , dividido en tres partes : la pri ciudad, que reunirá á su hermosura utilidades considerables para mera trata de calenturas en común, la segunda de iofiamactoaes y la tercera de varias enfermedades, traducido, corregido y aumentado porlos gastos de policía urbana. el doctor D. Antonio La vedan…</t>
  </si>
  <si>
    <t>…n. £1 ministerio Basano hizo bajar los fondos públicos) pero la re El teniente coronel deChabanes recibió el mando de toda esta vanguardia.elección del gabinete doctrinario les habia vuelto su primitivo valor. Aguar A las ocho el comandante José y el capitán de Cambe acometierondamos, dice el Corresponsal, con mucha impaciencia, ver si el duque de al enemigo con el mayor ímpetu, á pesar dé que estaba colocado detrás de unWellington consigue formar un ministerio que tenga bastante fuerza para ha barranco, al cual no se por! i a pasar sino por…</t>
  </si>
  <si>
    <t>…ectamente. quieran personas cerrados que las pliegos en al hacer proposiciones, dirigirán ¡Martin Mur García; Orencio sus dependientes, por Ramón Blasco, t&gt;. y y debo recomendar asimismo al administrador de la aduana de Canfranc D. José ministerio del Fomento general del temo hasta fin &lt;te julio próximo t en el su Amotina, que con el cabo del resguardo de aquel punto D. Silvestre Gutiérrez, puesto de que pasado dicho termino, se someterán 4 la resolución de S. M. las sus dependientes, el alcalde de dicho pueblo Francisco Sánchez y…</t>
  </si>
  <si>
    <t>…ircustañcias de bondad ó cantidad requeridas , lo manifestará desde luego, sus El mismo comandante de armas manifiesta que sospechando de la conducta pendiendo su admisión. En este caso el proveedor hará dar noticia de ello al de D. José déla Torre, y sus hijos D.^ Miguel. y D. Antonio, y del religio Comisario de Guerra respectivo, quien pasará inmediatamente á fe provisión , y so de S. Juan'de Dios Fri Juan "Veredas, y que acaso podrían aumentar el reconocerá ó hará reconocer á su presencia el género sobre que recaiga fe queja, nú…</t>
  </si>
  <si>
    <t>…jirobado el dictámen ppr’ unanimidad dé., reglamento, soy de parecer que no se lea el dictámen de la comisión, pues se los asistentes i la sesión, que fiiwon los Excmo*. Sres. conde de Pinofiel .mar ques fie Monreal y dqSat&gt;tkgo,'D. José deCafranga, D. Juan Alvarez Guer ha leido otra vez, se ha impreso y repartido, y d volverlo á leer alargaría la discusión. Es verdad que el artículo dice que se tea; pero puesto que se van le ra . duque de Nobleiss, marques de' Mansera y de Malpica, D. MartiU Feryendo los párrafos aegun*se van disc…</t>
  </si>
  <si>
    <t>…se les señala en el artículo 2?, ron presen dido, y dispondréis su cumplimiento. —Está rubricado de la Real ma cia de loque haya producido la administración, podiendo conside no de S. M. = En Carabanchel á 27 de Junio de 1834.—A D. José rarse bastante indemnizados del tralujo y vigilancia que emplearen María Queipo de Llano. en su desempeño, con el uso de la habitación que se les conceda en los mismos establecimientos. Entre las varia? reformas que he emprendido en todos losáramos . 6V Los G salmistas gozarán el sueldo anual de 10…</t>
  </si>
  <si>
    <t>…en contrario. Por ejemplo; la* se archivase dicha memoria original. fauna) se de justicia sentencias dieron por del supremo válidas: el tribunal Ir una exposición de Poderesnida Seen mandóel mismo;pasar yá lamandócomisión del Sr. D. José consi quedado y á establecer de Ja inquisición ba no se volvió suprimido. De Martínez de Caslejon, marques de Velamazan, electo Procurador por la pro guiente , si no hay un decreto que rehabilitase la cobranza de este Voto, no sé vincia de Soria en reemplazo del Sr. D. Manuel Joaquín de Tarañcon, e…</t>
  </si>
  <si>
    <t>José'</t>
  </si>
  <si>
    <t>…o también presentes los oficiales entendido, y dispondréis su cumplimiento. = Está rubricado de la de la milicia cívica, se procedió á la elección de secretario, que recayó en eí Real mano.=En el Pardo á 7 de Noviembre de&gt; 1834—A D. José' licenciado D. Juan Bautista de Ariipc, la que verificada, el Sr. Ugartechéi María Moscoso de AJtamira. • manifestó'. Que si bien los individuos militares no se hallaban hasta hoy com prometidos pót ninguno de los objetos que agitan la presente revolución, á He venido en conferir el gobierno civil d…</t>
  </si>
  <si>
    <t>José'V’ilIanueva</t>
  </si>
  <si>
    <t>…tos necesarios. ós qué ño estuviesen en este caso, los cuales deberían presentar sus papeles y Conformándose el Estamento con el dictámen de la comisión de Poderesdocumentos. se aprobaron los de los Sres. Procuradores-siguientes: D. José'V’ilIanueva, Don El Sr. duque de Rivas contestó que la proposición del Sr. Amarillas es Ma reos Martin, D. Ventura Mena y D. José Ciarós, por la provincia de Ba taba bien clara, porque precisamente concluía diciendo, que al Gobierno com- dajoz; D. Pedro Bermudez del Villar, por la.de la Coruña; y D. Francisco…</t>
  </si>
  <si>
    <t>José, D</t>
  </si>
  <si>
    <t>D José</t>
  </si>
  <si>
    <t>…blemente inmoladas, que nel Amor para perseguir á los enemigos con la primera infantería que tuvo la dando á cargo de V. E. la designación de dia y hora-, la invitación suerte de Levar la vanguardia para atacarlos, al cuidado del brigadier D. José á las autoridades que deban concurrir á este acto tan propio de uu Miría Herrera, gefe de la 1.a brigada de la 2.a división ; pero la precipitación los y facciosos que fuga muchísima ha sido que tomaron adquirieron ven tal, la medidas y la adopción de las católico, so- que conciben Íiueblo espacio…</t>
  </si>
  <si>
    <t>…lo - en ordinario, extraordinario y de, campa fia; el minarla, y determinaré lo conveniente.” modo de desempeñar cada uno, y las recompensas que por ellos se obtendrán. p .El Estamento concedió la licencié de 4® días que pedia el Sr. D. José La disciplina,en los cinco artículos siguientes, fija el modo.de juzgar las Cuevas, Procurador por la provincia de Castellón de la Plana, en atención al Altaselas penas en que se incurre por ellas; la subordinación y obediencia á estado de sus intereses. las autoridades, y el juramento que deben prest…</t>
  </si>
  <si>
    <t>…, El Sr. Búrgos alegó, que según su modo de ver juzgaba á los empleados los Sres. Próceres. de la servidumbre de S. M. en igual categoría que al capitán general de Madrid, En seguida se nombró para la comisión de Estado al Excmo. Sr. D. José á quien no se le podia obligar á asistir al Estamento pues lo hará cuando quiera Ricardo de Alava, sin perjuicio de pertenecer á la de Marina. Para la de lo ó pueda; y que cuanta mas frecuente fuese la asistencia ai Estamento, y so Interior al Excmo. Sr. conde González Castejon; y parala de Haciend…</t>
  </si>
  <si>
    <t>…ha omitido dicha (brmalidad: en les avisaría del dia y hora que S. M. se dignase señalar. ‘esta hipótesis se- puede negar que yo poseo la1 casa con justicia, y decir que no Se hizo presente al Estamento haberse nombrado al Excmo. Sr. D. José la poseo con titulo’ legúimo por haber omitido tal requisito; y en consecuen Pizarro para la comisión de Estado’, en lugar del Excmo. Sr. D. Miguel Ri cia, conservando el artículo en los términos en que está, se me obligará á de cardo de Alava. jar una casa que poseo legítimamente sin que falte mas qu…</t>
  </si>
  <si>
    <t>Jose, D</t>
  </si>
  <si>
    <t>D Jose</t>
  </si>
  <si>
    <t>…dos distintas ocasiones la columna, cotópiilfcstá efe 1&gt; 2.a compañía de cazadores dé Almansa y del pri gavilla del estudiante Grau, causándole la pérdida de 11 muertos y varios he merbatallón del Príncipe, mandada por el coronel comandante D. Jose toar- ridos, y quedando de sus resultas enteramente destruida, y dispersado sú resto. «^Jóyé.io vérificásé por Urigóifi, marchando yo sobre las alturas y pueblo También se ha capturado al cabecilla Vicente Marques de Prats de Llusánes, ¿é5al$&gt;a, desdé donde'rompieron los' facciosos un vivó fuego ,'…</t>
  </si>
  <si>
    <t>…del precio entregado no tuviere tam se le presentase para embarcarse y reunirse al Estamento. bién un derecho indisputable al ínteres de su capital , mientras este no se de Y otra participando haber recibido una carta del Excmo. Sr. D. José volviese. García de León y Pizarro desde París, en que con fecha 10 de Octubre pró De tan equivocado sistema ha venido á resultar por razón de las even ximo pasado expresaba hallarse imposibilitado de emprender su viage, como lo tualidades á que el reintegro quedó sujeto, que los compradores nada h…</t>
  </si>
  <si>
    <t>…sas en contrario. Por ejemplo; la* se archivase dicha memoria original. fauna) se de justicia sentencias dieron por del supremo válidas: el tribunal Ir una exposición de Poderesnida Seen mandóel mismo;pasar yá lamandócomisión del Sr. D. José consi quedado y á establecer de Ja inquisición ba no se volvió suprimido. De Martínez de Caslejon, marques de Velamazan, electo Procurador por la pro guiente , si no hay un decreto que rehabilitase la cobranza de este Voto, no sé vincia de Soria en reemplazo del Sr. D. Manuel Joaquín de Tarañcon, e…</t>
  </si>
  <si>
    <t>José, D José Aicalde Julio Sr D</t>
  </si>
  <si>
    <t>D José Aicalde Julio Sr D José</t>
  </si>
  <si>
    <t>…Fallecidos. \ _ ír.-í). Alvaro Ftórez &amp;ttadí' ' . ; jfc í&gt;. Jósé Lorenzo Salas. ‘ PROVINCIA DE ÍONTirV*DR&gt;to Orihuela. . . . .. 29 Junio á 1.a Julio.. . . .... 232 39 21 Sr, D, Miguel Pardo Bazan- Albatera. . .'. . 30 Junio á 2 ‘ Sr. D. José Aicalde. Julio.............. 122 9 18 Sr. D. José Valladares- Callosa de Segura. 28 á 30 Jumo# 43 28 1 Sr. p. Sebastian Cuesta. Sr. D. Antonio María Montenegro. Almoradí..,. . 2/ á 29 .ídem. 217 ¥ 2 • PROVINCIA DE TARaAnONA. Bigastro............ . 28 á 30 ídem. 12 8 2 fe, P. Alberto Valdric, marques de TorreraejU. Sr. D. Ramón de Ciscar. Dolores..…</t>
  </si>
  <si>
    <t>José, Francisco</t>
  </si>
  <si>
    <t>Francisco José</t>
  </si>
  <si>
    <t>…Igual parte da con respecto*4 la ciudad de Avila el secretario del gobierno 100 ios múeitns, entre los que se encuentran el presidente de U llamada junta civil D. Francisco de Paula Ferrer por ausencia del gobernador. de Castilla D. Francisco José deEzeiza, canónigo que fue de Burgos, otro cu Asimismo el marqnes de Valdegema, gobernador civil de la provincia de ra, un titulado coronel, dos tenientes coroneles, dos capitanes, varios oficiales, Zamora, da cuenta de los públicos regocijos con que se solemnizó en aquella un abogado y otros suget…</t>
  </si>
  <si>
    <t>…guarnición con un lucido concurro. rez Real, quien con los reyes de armas, el scñqr regidor gentilhombre de El Excmo. Sr. comandante general entregó la bandera al digno coman cámara de S. M* con entrada D. José Marta Luna, y Lie. D. Francisco José dante del batallón, quiea'la tuvo hasta que acabadas las ceremonias de ia ben de Qucsada, incorporados á la comisión capitular, se dirigirá i esta cuadra; y dición la pasó al abanderado, y concluido todo el acto religión se prtvedió á estando en ella el Sr. presidente, previas las ceremonias de cos…</t>
  </si>
  <si>
    <t>José, Gabriel</t>
  </si>
  <si>
    <t>Gabriel José</t>
  </si>
  <si>
    <t>…ser presentados á los Sala de copias al lápií. Cuerpos enteros. Primer premio: á D. Francisco dos hijos del Sultán, y despuea fueron h caballo 4 visitar al gran visir y al Angueira, por la Beneficencia, cuadro núm. 28. Segundo: á D. Gabriel José seraskáer-bajá. _ ¡ Mastrati, por La Danae, núm. 16. Tercero: á D. José Sánchez Baubet; por él grupo de Laoocon. ____ Hé aquí un ejemplo del lujo y séquito inmenso que llevan los goberna Cabezas. Primer premio: á D. Agustin Pérez, por el rostro del Salvador, dores generales de las Indias británicas…</t>
  </si>
  <si>
    <t>José, Juan</t>
  </si>
  <si>
    <t>Juan José</t>
  </si>
  <si>
    <t>…ducido la mayor sensación en el divan. Después cargo de comandante general de la provincia de Córdoba: para go de haber insistido sobre la diferencia material que ha establecido bernador de lá plaza de Málaga al mariscal de campo D. Juan José en la posición política de la Turquía «on respecto a las demás Po San-Llorente, en reemplazo del de la propia clase D. Antonio tencias de Europa, y á la Inglaterra con especialidad, el tratado de Marta Alvarez, que pasa de comandante general de las islas Cana alianza concluido ^con la Rusia , decla…</t>
  </si>
  <si>
    <t>…Pino por la de artillería: á D. Manuel Pueyo por la Real orden. de ingenieros, ,y i D. Francisco Ramonet por la de caballería: S. M. la Reína Gobernadora se ha dignado conferir la ca para ministros togados á D. Joaquín Sistemes , D. Juan José De pitanía general del departamento de Cádiz al teniente general de licado y Diaz y D. Juan de la Dehesa: para fiscal militar á Don la Real armada D. Cayetano Valdés, en consideración á su leal José María Cienfuegos: para fiscal togado á D. Eugenio Larrum- tad , dilatados servicios, conocimientos, biz…</t>
  </si>
  <si>
    <t>José, Juan de Aretí y D Juan</t>
  </si>
  <si>
    <t>Juan de Aretí y D Juan José</t>
  </si>
  <si>
    <t>…adjudicaciónla »ubde¡egac¡onal Re&lt;&lt;ldefiscoMostrencosde los bienesde la vinculadosciudad de Búrgosque poseyeronse sigueD.expedienteJusé Are titulado comarjdjime. de batallón, y que fue aprehendido en la noche del 13 na y Garnica, D. Juan de Aretí y D. Juan José Gómez Mcodez; y resultando que es de febrero próximo pasado. te último ex i st i a en 1814, y que t-'iiia un hijo llamado Fraud, que se dice era mili Til mismo comarídante general, avisa que el dia 2 del corriente con una es tarpersonasy cuyo-queparaderotengan noticiase ignorade , Ucomoexisuuciigua…</t>
  </si>
  <si>
    <t>José, Juan de Dios LasaU y D</t>
  </si>
  <si>
    <t>Juan de Dios LasaU y D José</t>
  </si>
  <si>
    <t>…n el mismo objeto ha consignado el Sr. D. Juan Ranero y Rozas, co miento de la Guardia Real de infantería, el primer comandante D. Bruno lector general de Espolios y Vacantes-, 4^ rs» de manifestando al mismo Alaiz; los capitanes D. Juan de Dios LasaU y D. José Obrera ; los tenien tiempo cuánto siente que la escasez de fondos que sufre la colecturía general tes D. Joaquín Manuel Alba V D. Miguel Guerra; cl.aifcicz D. Antonio Ca no le permita ampliar mas este donativo. llejas; los sargentos segundos jóse Pciez, f rancisco Rubiales, Antonio Na-</t>
  </si>
  <si>
    <t>José, Lucas</t>
  </si>
  <si>
    <t>Lucas José</t>
  </si>
  <si>
    <t>…satisfacer á la codicia. HH. CC. del cuerpo legislativo en las sesiones de los dias 26y 27 de Abril El resultado de todo fue, como ya lo ignoran pocos, un consumo de rentas por el Exento. Sr. Ministro de dichos departamentos Di. D. Lucas José por anticipaciones de 2223; un recargo al presupuesto de 1109; una expropia Obes. ción de las mejores fincas urbanas, y con ella de las esperanzas que el gobierno (Continúa el artículo dé la Gaceta anterior.) era autorizado á fundar sobre esta parte del patrimonio público y el progreso de su valor…</t>
  </si>
  <si>
    <t>José, Manuel</t>
  </si>
  <si>
    <t>Manuel José</t>
  </si>
  <si>
    <t>…adanos pacíficos de Hijar, marques de Monreal y de Santiago, conde de Pinofiel, D. José Cafrandicados á ocupaciones tranquilas y abezados at regalo desús familias; los espa ga, marques de Mancera y de Mal pica, duque de Noblejas, D. Manuel José ñoles, señor, todos son guerreros, todos están dpp$» dej^spíritp. necesariopara Quintana, D. Manuel García Herreros, conde del Mcmtijo, D. Antonio sufrir privacionesv, pata arrostrar los peligros yt la muerte ppr su paírjz./Pnjft— .Martínez ,rpn4¡» de Ofiaté ,;CCndffde Gla vi jo, conde de Guendulai…</t>
  </si>
  <si>
    <t>José, Mariano</t>
  </si>
  <si>
    <t>Mariano José</t>
  </si>
  <si>
    <t>…l crimen á D. Ma ¡che» común del trono y de los pueblos. Ninguna disposición ¡m- nuel Romero Briones, alcalde de la de Granada, á D. Andrés Iportante se halla en el Estatuto que no se encuentre en las anti Masegosa de la misma, á D. Mariano José ülañeta, y á D. José guas instituciones de estos reinos: con la notable ventaja de que se Huerta, fiscal electo de la audiencia de Albacete : y en clase de fis lun restablecido meramente las que eran compatibles con el estado cales i D. Manuel de Scijus para lo civil, y á D. Francisco Pas ¡actual d…</t>
  </si>
  <si>
    <t>José, Mateo</t>
  </si>
  <si>
    <t>Mateo José</t>
  </si>
  <si>
    <t>…lamar estos po para que las alas tomasen sus respectivas posiciones, marche por la anta habitantes i las diversiones y al placer: se repitió al medio día y por la tarde, del collado derecho á Aguaviva con ol capital* de cazadores D. Mateo José mientras cada cual se preparaba al baile, que había de efectuarse en la casa del Cepeda. Sr. ayudante militar de marina y matrículas. Poco tardamos en descubrir al enemigo , como á distancia de tiro y medio Se había dispuesto por fuera un tablado para los espectadores: por medio de de fusil: en el…</t>
  </si>
  <si>
    <t>José, Maximiliano</t>
  </si>
  <si>
    <t>Maximiliano José</t>
  </si>
  <si>
    <t>…'Bonapart?, dd siguiente , . Emperador dé los franceses; fue ¿echo Príncipe' fráiiees y .viréy de Italia en .* i.'&gt; . Parte sanitario. * ' a:' 1805; casó en 13 de Enero de 180(5 con la, Prlpcesa Angusta de Batiera, hija mayor del Rey Maximiliano José., hermana del actual Rey .de Baviéfa Luis, de la actual Emperatriz dé Austria , de la archiduquesa '.Federica Sofíii dé Pueblos. • ' Pias. ;./.i 1 Enfermos. 1 Curados. Fallecido!. Ba viera, de la’ Princesa Auñalia Augusta, esposa del Príncipe Juan Neponüiceno: de Sajorna, hermano de la difunta Reina…</t>
  </si>
  <si>
    <t>José, Pedro Juan de Zuliteta y D</t>
  </si>
  <si>
    <t>Pedro Juan de Zuliteta y D José</t>
  </si>
  <si>
    <t>…ue los que mas interesados están en sostener el trono legíti á los Síes. D. Antonio Alcalá Galiano y D. Manuel Montes de Oca, en re mo y el actual órden de cosas, son ellos; y por lo tanto deben concurrir con emplazo de los Sres. D. Pedro Juan de Zuliteta y D. José Manuel de Va- sus esfuerzos á mantenerlo. Ai hacer cualquier solicitud todos ellos protestan dillo. su adhesión y su decisión á sostener la causa legítima hasta con la última gota A la misma se pasó una exposición del Sr. D. José Plándotit, electo Pro de su sangre. Pues bien; algo menos se les pide…</t>
  </si>
  <si>
    <t>José, T.nf</t>
  </si>
  <si>
    <t>T.nf José</t>
  </si>
  <si>
    <t>…as arquitectos que em ■ HH. CC. del cuerpo legislativo en las sesiones de los dias 26y 27 de Abril plee el gobierno eh levantar el templo de Minerva. Por ahora, y mas por al por el Exento. Sr. Ministro de dichos departamentos Dr. D. T.nf»« José gún tiempo, nuestro deber es formar al ciudadano, enseñarle sus obligaciones Obes. ira con Dios, la patria y su familia, segures de que dejando un libre acceso (Continúe el artículo de la Gaceta anterior.) los conocimientos que de todos los puntos del viejo mundo se precipitan hácia la América, el…</t>
  </si>
  <si>
    <t>José, V</t>
  </si>
  <si>
    <t>V José</t>
  </si>
  <si>
    <t>…o. de Portug/d ¿n llón diarios: á Pascuala Guardia, vecina dellaro, viuda de I loreneio nombre de su augusta ¡lija Doñ i Varia de la Cloria , datando aerr,litar de Orhañanos, asesinado en Heredia, 2 reales de vellón diarios: á a! general V. José llaman Rodil, comri Unte en ge je de las juerzas Jr Bonifacia de Ayo, vecina de Orduña, viuda con dos hijos de lomas 5. V. ('., cu.in. gratos le hm si lo los -vrivrm.f que con la tropa de su Qrtiz, asesinado en el mismo punto, 3 reales de vellón diarios: .i mando ha prestido d la r i usa de S. V. p…</t>
  </si>
  <si>
    <t>José.Maceda</t>
  </si>
  <si>
    <t>…4 rs. Estas piezas, grataádns y,-arregladas para guiisr0' se venden cu esta curte» calle angosta.dé.Majadericos, Aum. Ii, guitarrería de Campo Consejo de Navarra , á D. Josef Manuel de Arizaga alcalde del crimen de "r-Ante el Sr. D. José.Maceda, leáúndó teniente de ásisVénte .dé la ciudad *de SéCin*» U Real audiencia dé Granada, i D. Vicente Calvo fiscal de lo civil de la nettde la téstqtnemafíe cóncíirsada ne;D. Tomás G*laréa* y á-vlttitd de despache l*** Real-audichcia de Búrgos, í D. Vicente Valero y Sardi corregidor de Lo brado á esta…</t>
  </si>
  <si>
    <t>José.Maceda, D</t>
  </si>
  <si>
    <t>D José.Maceda</t>
  </si>
  <si>
    <t>…. á 4 rs. Estas piezas, grataádns y,-arregladas para guiisr0' se venden cu esta curte» calle angosta.dé.Majadericos, Aum. Ii, guitarrería de Campo Consejo de Navarra , á D. Josef Manuel de Arizaga alcalde del crimen de "r-Ante el Sr. D. José.Maceda, leáúndó teniente de ásisVénte .dé la ciudad *de SéCin*» U Real audiencia dé Granada, i D. Vicente Calvo fiscal de lo civil de la nettde la téstqtnemafíe cóncíirsada ne;D. Tomás G*laréa* y á-vlttitd de despache l*** Real-audichcia de Búrgos, í D. Vicente Valero y Sardi corregidor de Lo brado á esta…</t>
  </si>
  <si>
    <t>JoseChavez</t>
  </si>
  <si>
    <t>…ageros. Él bergantin americano Sarah Lee, en ramar sangre. erado hoy en este puerto, ha traído á su bordo al .piloto v cinco No extraño que semejante sistema halle cabida en unos perió marineros de dicho buque , y á los pasageros D. JoseChavez , Don dicos justamente despreciados ya por el publico; pero á lo menos Gerónimo Pérez García, D. Francisco García de bosa , D. Luis me lisonjeaba de que no tendría acogida en esta Cámara. Martínez Diaz, D. Felipe Cliavez, D. Leandro Cuevas v D. Fran Sin embargo, no hace mucho que de resultas de las…</t>
  </si>
  <si>
    <t>Josécura</t>
  </si>
  <si>
    <t>…'Memoria sobre las virtudes del guaco para corar el yolera-morbo asiático; leída Carcabuey....... 13 4 16 Setiemb. 3 1 00 blicada,en la Realporacademiala mismasevillanaacademia.—«■’aristóloquiade buenas Ierras, por óelvivoreraDr. D. Josécura deel Gatíca,cólera- morbo?.y pu idem......... 77 53 1 Colecéíím d© datos toara responder «'Cvla pregunta, qúe publica la Real academia se^.Espejo..Idem Ttlljma de buénas letras: un rotnito en 8.°, rustica 4.rs —Romancero^ ó colección .te &gt;D. Mor imprecas poesías tomados del Manuel del romanees Dr.…</t>
  </si>
  <si>
    <t>Josef</t>
  </si>
  <si>
    <t>…ros. solver altas cuestiones del derecho público nacional, que no están al alcance de sus estudios, ni en la.Índole de sus sagradas atribuciones; oteas extraviando so Atendiencloá la honrosa carrera y á los dilatados servicios de D. Josef de color de tranquil izar (las conciencias, la ópimon de los incautos, con doctrinas Imaz, director-general de Rentas, he tenido á bien, i nombre de mimuy amada que proscriben los sagrados cánones y las bulas apostólicas, por haberlas aborHija Dofia'IsABBt M, Conferirle en propiedad el ministerio del…</t>
  </si>
  <si>
    <t>Partes recibidos en íes secretarles de Estado y del Despacho de la Guerra* £eon Guztnan. Una medalla de plata de 2.a clase al fabricante de botones Don Josef E^menota. Otra id. por él mejor bordado á la Sra. Doña Piedad Vilches El capitán general de .Aragón con fecha de 7 del corriente da parte de loa- y Espejo. Otra como premio extraordinario de dibujo á Doña María1 de los 1&gt;er sido pasados por las armas en la mañana del 3 en Teruel el capitán Tetira-" A…</t>
  </si>
  <si>
    <t>…ro-1 Garrovillas. (el alcalde mayor y ayuntamiento de) cura reparar las pérdidas que ha experimentado. ^ E Gibraleon. (el corregidor de) Se han celebrado, jnuchas cohtratas con los gobiernos de Ñapóles y de Ro* I González Yuste. (D. Josef) iría, sobre todo de artículos para equipo de tropas. Es notorio que eslc¿ dos I Huercal-Obera. (el ayuntamiento de) gobiernos han principiado á reorganizar su ejército, disposición que requiere ■ Losada, (el presbítero D. JoseQ uniforme y armamento nuevo. Dicen que la tropa napolitana es muy buena…</t>
  </si>
  <si>
    <t>…árrobillas. (Ídem Ídem de) Queriendo el príncipe gobernador celebrar los días de S. M. el Emperador Gibralcon. (el corregido» de) Nicolás, conformándose en todo con las altas intenciones del Monarca , usando ' González de Yuste. (D. Josef) de los plenos poderes que este se ha dignado conferirle, acaba de acordar un Granada, (el alcalde mayor segundo de) perdón absoluto á 50 individuos que habían tenido parte en lo* proyectos de Guadalupe, (el alcalde mayor de) los alborotadores que de nuevo querían alterar la tranquilidad del reino.…</t>
  </si>
  <si>
    <t>…s, Para tvarar de fletes se acudirá eo .esta corte a\ citado capitán , calle de las Fuentes , n 0 i, cuarto, principal de la izquierda; nes de los títulos ó rentas ai portador, á saber: eñ Cádiz á D. Josef Cenon, y en Barcelona i D. Josef soler y Carbooeil. ¡Lunes-, martes y miércoles: los que corresponden al 4 P°r 100. ■ ■ Se saca A pública subasta en la ciudad de Granada el suministro de camas- pasa Jueves y viernes: los que pertenecen aí 5 por 100. la tropa del ejército que guarqpce los presidios de MfXilka, Peñón y Alhucemas, po…</t>
  </si>
  <si>
    <t>Josef, Gaspar</t>
  </si>
  <si>
    <t>Gaspar Josef</t>
  </si>
  <si>
    <t>…es que los habí-| cante» de alcaldes de Casa y Corre por fallecimiento de D. Andrés Oder y as tantev de Puerto-Rico dieron muestra» de grjnde satisfacción por el esmero r censo, de D. M.itíáiá Herrero Prieto al Consejo Real, á ' D. Gaspar Josef de delicado gusto con que su bencmeuto a&gt;timauyi-rnto d.»puso la jura de la Prin Aguiiar y á D. Juan Modesto de la Mota: para la de oidor, que este deja va cesa de Asturias, hoy nuestra Ri-uní yS&lt;ñoV.í. cante fcn la Real Chancii-tería de Vuljadolid, á D. Gregorio Ceruelo de Va- Et capitán general, que…</t>
  </si>
  <si>
    <t>Josef, Manuel</t>
  </si>
  <si>
    <t>Manuel Josef</t>
  </si>
  <si>
    <t>…os cuales será eclesiástico. go Garzón , regidor 3.°=Manuel de la Corte, regidor 4.0—Rafael García , sin- . Art. 53. Esta inspección general, ademas de las atribuciones indicadas en dico personero. =Tomas González García, síndico general. = Manuel Josef el artículo 51, y* la de oir y despachar gubernativamente todas las quejas y re Lcvia de Vitoria» secretario. clamaciones que puedan hacerse de las providencias de los subdelegados de las provincias, tendrá también la de evacuar todos los informes que se la pidan Señora: El ayuntamiento de la villa…</t>
  </si>
  <si>
    <t>Josef, San</t>
  </si>
  <si>
    <t>San Josef</t>
  </si>
  <si>
    <t>…admitido su dimisión al general Vinot, comandante del departamento de los Pirineos orientales, ha partido el 16 de Suscripción mandada establecer por Real ir den de l.° del actual para socorPerpiñan. Le sustituye interinamente el general San Josef , que manda una ro de los enfermos y menesterosos que sean invadidos por el diera asiático,brigada de la división activa. Mañana esperan en el cuartel general de la divi sión al teniente general Soult. (Diario de París.) SCSCRIPTORES- Re. de OH. Cartas recibidas hoy de Génova anuncian la llegada de…</t>
  </si>
  <si>
    <t>Jósefa</t>
  </si>
  <si>
    <t>…vicio para cortar y apagar los incendios, como uno de los ramosSeñalar,f sofife Tés f6ndtw*&lt;te *fróiportlidade8 Ocupadas á los eclesiásti pfeftehecicntes á la policía Urbana.cos de'ése reino, lá-perision de ocho rs. vn. diarios á Doña Jósefa 0rtiz, vitidij. del desgraciado D. Ramón de la O, tan cruelmente sa 2? El corregidor ó el que deba desempeñar en aquel acto sus funciones, es la autoridad superior local que dictará y hará ejecucrificado,” De Real orden lo traslado á Y. E. parasu inteligencia y tar las providencias generales para p…</t>
  </si>
  <si>
    <t>Josefa</t>
  </si>
  <si>
    <t>…T..:.' 1-4 10 O ta directiva y administrativa de la casa y rentas del Bxcmo.Sr. conde de Al lamba» JuL44.de Ag. *■ 87 193 se&lt;¡rj por 15 días á la persona en cuyo poder obre Qd crépito de 4^ y pico de réales 335 cas-t • señalado 4 Doña Josefa dicha Ramlxil, cdntra con-.el num. correipohdtenté JefiFallS.... ,28. t '9 á9 misma qttC!d¿ de la para que -ír Itrcscméervla contaduría \ con apercibimiento ño veri1" • típtí» el 11.... 224 181 43 ñcarlo ie parára ¡&lt;erjiitL¡o. 1 ~ EN LA IMPRENTA/REAL.</t>
  </si>
  <si>
    <t>JoséHallegg</t>
  </si>
  <si>
    <t>…hallaban á bastante distancia me camino de esta.ciudad'i la de Castello-branco, pienso enviar á la encaminé á ellos con mi ayudante de campo el capitán graduado plaza de Ciudad-íELotfcígo todo el equipage hallado; debiendo hacer D. JoséHallegg, el subteniente de la plana mayor D. Luis del presente á V. E^qws^los fardos no reconocidas irán sellados con Arco y mis ordenanzas, haciendo que el escuadrón de la Rei mi $ello , pues seria sumamente entretenido proceder á un examen na avanzase al trote siguiendo mi movimiento para sostenerlo en d…</t>
  </si>
  <si>
    <t>JoséM</t>
  </si>
  <si>
    <t>…Miranda y OJmedilla, Procurador por la provincia de forma que se han hecho y se desestimen las reclamaciones de jos individuos del Lugo. ' citado* ayuntamiento. Asi lo acordó e! Estamento. El Sr« Secretario González manifestó que D. JoséM^ría Sanz, nombrado Entraron á jurar y tomar asiento los Sres. Morales, Montenegro, y Ro por el Gobierno escribiente segundo de la clase.de segundos, había hecho re dríguez de Vera. nuncia de este destino fundándose en que los servicios que prestó en la épo Se procedió k la lectura del proyecto de c…</t>
  </si>
  <si>
    <t>JoseQ</t>
  </si>
  <si>
    <t>…(D. Josef) iría, sobre todo de artículos para equipo de tropas. Es notorio que eslc¿ dos I Huercal-Obera. (el ayuntamiento de) gobiernos han principiado á reorganizar su ejército, disposición que requiere ■ Losada, (el presbítero D. JoseQ uniforme y armamento nuevo. Dicen que la tropa napolitana es muy buena ,-y tj Paredes, (el presbítero doctor D. Manuel de) que tiene aire marcial. El Rey fi,a mucho su atención en el ejército; por las S Piedra-Buena, (el alcalde mayor y ayuntamiento de) mañanas muy temprano va á ios cuarteles y asi…</t>
  </si>
  <si>
    <t>JoSéTarin</t>
  </si>
  <si>
    <t>…, Art. 8í Los exámenes de maestro» y maestras que hasta ahoya 1 estos reinas D. Vicente Batanero; canónigo :dé la santa iglesia cate- se han verificado «nty, las juntas ele «tpital, se yerificarán en Jo tsu^ ' dral de Cttettca, y D. JoSéTarin, cura párroco de ViHarejo de Fuen Césivo por uña coqiision especial de maestros ó maestras tes, f que'‘se ocupen sus temporalidades; Tendrfisk» entendido, y brará ia comisión de provincia, cuióátMo de que X elpcciao’T»~ -: lo OtMíunicáreis á quién' corresponda.—Está rubricado de la Real en personas…</t>
  </si>
  <si>
    <t>JoséValdenebro</t>
  </si>
  <si>
    <t>…amón José de Mendiola , oidor de 2. a Demostrada la'nccesidad de convocar lis Córtes, aun mas la de Granada; á D. Pascual Méndez Acuña, que lo es de la de fácilmente se prueba que lo que se ha hecho no ha sido sino res Sevilla; á D. JoséValdenebro de la misma; á D. Lorenzo Casaux, tablecer nuestras antiguas leyes fundamentales; coordinándolas de oidor de la audiencia de Granada, y á D. Buenaventura Asensi, ¡tal manera que adquieran para sí mayor vigor y fuerza, en prove- que lo es de la misma: en clase de alcaldes del crimen á D. Ma ¡che» común de…</t>
  </si>
  <si>
    <t>JOsfr</t>
  </si>
  <si>
    <t>…nombrando á'.B/PrActlCo Basurto s«r«ario de laseccion de Marinadé] ■■ Consejo. expresado (Id.) ,' i £ .. f. ’ ■ fnmistíóí&gt;de desRwtiebto ddl mendionkto Consejo ■ ’ ñbfñbrindb la sédcíón f )ANYNCIOJ5. í! D. José Carita ArgffeHfcí. D. JOsfr dé- Hetedi», D* Jw*» Jai* Batiqneri - y 1&gt;. Vicente ^rfifeWí‘ kriiaO.* C/d0- ''. ,J disponiendo se aumente ia fuerza de infantería f caballería del cuerpo de carabineros de costas y fronteras. (Iti.f • ■. ' =—- Obras que se hallan He venta en el despacho de la imprenta Real. ___^ autorizando al sub…</t>
  </si>
  <si>
    <t>…ando á'.B/PrActlCo Basurto s«r«ario de laseccion de Marinadé] ■■ i Consejo. expresado (Id.) ,' f. .. £ ’ ■ fnmistíóí&gt;de desRwtiebto ■ ’ nombrando ddl mendionido Consejo la sédcíón N CI Ojp. f ) A N Y í! D. José Carita ArgSellfeí, D. JOsfr dé- Hetedi», D* J«*» Jai* Batiqneri - y 1&gt;. Vicente ^ififeWíkriiaO.* (/rfO'-oc ; • y.» j disponiendo se aumente ia fuerza de infantería f caballería del cuerpo de carabineros de costas y fronteras. (Iti.f • ■. ' =—- Obras que se hallan He venta en el despacho de la imprenta Real. ___^ autorizando a…</t>
  </si>
  <si>
    <t>JOsfr, José Carita ArgffeHfcí D</t>
  </si>
  <si>
    <t>José Carita ArgffeHfcí D JOsfr</t>
  </si>
  <si>
    <t>…istno-Oónsejo. (Id.) _____ nombrando á'.B/PrActlCo Basurto s«r«ario de laseccion de Marinadé] ■■ Consejo. expresado (Id.) ,' i £ .. f. ’ ■ fnmistíóí&gt;de desRwtiebto ddl mendionkto Consejo ■ ’ ñbfñbrindb la sédcíón f )ANYNCIOJ5. í! D. José Carita ArgffeHfcí. D. JOsfr dé- Hetedi», D* Jw*» Jai* Batiqneri - y 1&gt;. Vicente ^rfifeWí‘ kriiaO.* C/d0- ''. ,J disponiendo se aumente ia fuerza de infantería f caballería del cuerpo de carabineros de costas y fronteras. (Iti.f • ■. ' =—- Obras que se hallan He venta en el despacho de la imprenta Real. ___^ autorizando al sub…</t>
  </si>
  <si>
    <t>Josp</t>
  </si>
  <si>
    <t>…M. Rabbage. La concurren la. fiscalía del crimen de la audiencia de Burgos, vacante por nom cia fue numerosa. Poco después de las ocho entraron en la sala el doctor Birk bramiento á otro destino de D. Jacobo Villanova y Jordán, á D. Josp beck, el lord canciller, M. Dupin, M. Tooke, y un gran número de sabios y María del Busto, magistrado cesante; y para alcalde en la Real corte literatos, los cuales fueron recibidos con grandes aplausos. El Dr. Lardner em de Navarra áD. Antonio BurbanaNavarro, auditor de guerra del ejér pezó la lec…</t>
  </si>
  <si>
    <t>Jot, Difz</t>
  </si>
  <si>
    <t>Difz Jot</t>
  </si>
  <si>
    <t>…ible éi désempe¿9 de jos dcargos, á saber : de Procurador durante.aquellos seis años las conspiraciones se sucedieron rápidamente, la fac y de elector. ción que se apoderó del Rey en Valencia , soló triunfó momentáneamente; y ]El Sr. Difz &lt;Jot?*aLcz ^adió aJguius. otras observaciones al parecer en fa después de haber conseguido que lo^diputados que estaban en Madrid fuesen vor del dictámen de la comisión. . ■ _* unos condenados á presidio, yexpatrudos otros, sin que se hubieran podido en Declarado el punto suficienteimate discutido, se p…</t>
  </si>
  <si>
    <t>Jou-iselin</t>
  </si>
  <si>
    <t>…ro. cuantos sacrificios sean necesarios para mantener ilesos sus intereses, y para de Se han despachado ya las circulares de estilo á los diputados para que asis fender sus derechos.” tan 4’las sesiones del próximo Parlamento. El Sr. Jou-iselin manifiesta la diferencia que hay entre el tratado de 1814 J __Parece que los ministros han encontrado mucha dificultad para inclinar el el de 1815 : pues el primero fue libremente aceptado por Luis xvm, mientra ánimo del Rrey á que consintiese la reforma de la iglesia, que se quiere presen que el s…</t>
  </si>
  <si>
    <t>Jourdan</t>
  </si>
  <si>
    <t>…9 permanecieron con las armas en la mano contra el gobierno Animismo aprueba los dos proyectos de ley relativos á la pensión concedi nacional, y cómo se han de distribuir los socorros que no se suprimen por esta da á la viuda del mariscal Jourdan y á la del general Decaen, y declara con I ley.” naturalizados á ios Sres. de Borgareíli-d’Isson, y Oríila. I Asimismo aprueba los artículos restantes del proyecto, por los cuales «se En seguida da cuenta de varias exposiciones de particulares, y se levanta la I fija ¿[‘máximum á que pueden llegar es…</t>
  </si>
  <si>
    <t>…vecinos. Este acto zón para conceder pensión á las viudas de ciertos generales, opina que se debe solemne perpetuara la memoria del derecho legítimo al trono que por las leves señalar una pensión de 129 fr. anuales á la viuda del mariscal Jourdan, pero fundamentales y el voto de la nación asiste á la Reina nuestra Señora, v dará que no-halla razón para asignar cosa alguna á las viudas de los generales De mayor fuerza al juramento que han prestado estos habitantes de no reconocer caen, Dumesnil y Gerard. otro pqder que el de Doña Isabel ii,…</t>
  </si>
  <si>
    <t>…residir el consejo, todos los demás quedan excluidos de él; y Principia la discusión sobre las pensiones que el gobierno desea conceder k hacen ver cuan chocante serta esta exclusión, cuando el principal objeto del las viudas del mariscal Jourdan y de los generales Decaen , Dauinesnil y consejo de Estado es ilustrar á los secretarios del Despacho. Gerard. El Sr. Portalis declara que no ha entrado en la idea de la comisión excluir El Sr. Lacuée da una rápida ojeada sobre la legislación que acerca de pen los secretarios del Despacho, y sí solo dar á e…</t>
  </si>
  <si>
    <t>…a lord Althorp. Corre también 1a noticia de'que 1830, y son Dupont de l’Eure, barón Luis, mariscal Gerard, el conde de Mr. R. Gordon reemplazará á Mr. Ellice en el ministerio de la Guerra. Rigny, Bignon, Guizot, duque de Brdglie, mariscal Jourdan, Tupinier, Mole, (Times.) Sebastiani, Laffitte, Casimiro Perrier, mariscal Muison, Montalivet, Merilhou, d’Argout, mariscal Soult, Barthe, Girod de l'Ain, Humann, Thiers, Persil, Duchatel, Roussin, Jacob, duque de Bassano, Bresson, general Bcr~ — Casi todos los ministros visitaron ayer á lord Melbo…</t>
  </si>
  <si>
    <t>…o mis deseos de mejorar su condición , estable Diputados, á saber: el de aumento del cuerpo de gendarmas, y los de conce ciendo aquel régimen mas á propósito para remediar desde luego sus necesida sión de pensiones á la viuda del mariscal Jourdan y á la del general Decaen. des mas urgentes. La Cámara acuerda que dichos proyectos se impriman y distribuyan, y pasen «Con este fin me dirigí á la junta que lo administra, pidiéndola cuantos 4 las respectivas comisiones para su examen. Se levanta la sesión. datos é informes necesitaba para dictar co…</t>
  </si>
  <si>
    <t>Jourdan, Gobernadora</t>
  </si>
  <si>
    <t>Gobernadora Jourdan</t>
  </si>
  <si>
    <t>…se refieren los proyectos que se discuten. La les que circunstancias calamitosas trajeron sobre nosotros, y que empieza á re Cámara por 213 votos contra 83 accede á que se dé á la viuda del mariscal mediar la mano benéfica de la Reina Gobernadora. Jourdan la pensión de 123 francos anuales, incluyendo en dicha suma los 63 francos que le corresponden por su viudedad. San Sebastian 30 de Diciembre. Asimismo, y por IDO votos contra 86 , accede á que se señale h la viuda Hoy á las once y media de la mañana se ha verificado en la plaza nueva del teniente gen…</t>
  </si>
  <si>
    <t>Jouvencel</t>
  </si>
  <si>
    <t>…de las casas consistoriales se puSo un magnífico Idem.—Sesión del dia 10. pabellón de terciopelo carmesí con galones de oro, v ei manto v corona Reai sobrepuesto de un irumo de laurel v de una palma, v debayo un cuadro al olio El Sr. Jouvencel lee el informe de la comisión respecto á varios proyecto» representando a la augusta Gobernadora en actitud de mostrar h pueblo á la de ley en que se pide permiso para que vanos departamentos puedan exigir Kkika nuestra beñora. Al pie de dicho cuadro descansaba un eran pedestal de ciertas sumas de…</t>
  </si>
  <si>
    <t>Jovc, D José García</t>
  </si>
  <si>
    <t>D José García Jovc</t>
  </si>
  <si>
    <t>…el capitán comandante, auxiliado por mi y por las tropas .que 5t mismo tiempo que el primer batallón del regimiento dei Príncipe, manda triunfaron en Barrencalle, triunfó en Artecale, arrojando al enemigo de lá do por su bizarro comandante D. José García Jovc, y sostenido por el segun puerta y casas que llegó ¿ ocupar. do batallón del mismo, marchaba sobre los rebeldes por la parte de lsparter, «Durante en Barrencalle y Artecale.sucedía cuanto llevo relatado, el ene desalojándolos sucesivamente de Las diferentes posiciones que fueron ocupando migo atacó…</t>
  </si>
  <si>
    <t>Jovc, José García</t>
  </si>
  <si>
    <t>José García Jovc</t>
  </si>
  <si>
    <t>…comandante, auxiliado por mi y por las tropas .que 5t mismo tiempo que el primer batallón del regimiento dei Príncipe, manda triunfaron en Barrencalle, triunfó en Artecale, arrojando al enemigo de lá do por su bizarro comandante D. José García Jovc, y sostenido por el segun puerta y casas que llegó ¿ ocupar. do batallón del mismo, marchaba sobre los rebeldes por la parte de lsparter, «Durante en Barrencalle y Artecale.sucedía cuanto llevo relatado, el ene desalojándolos sucesivamente de Las diferentes posiciones que fueron ocupando migo atacó…</t>
  </si>
  <si>
    <t>Jove</t>
  </si>
  <si>
    <t>…a de Eiegueta; pero en el discurso de la acción los facciosos que se sostener dichas compañías. En estos dos ataques ha contraído un particular mé desmandaron, quemaron tres casas, incendiaron otras siete, y saquearon 14» rito el comandante Jove con su batallón y susodichas compañías de cazadores; la principal la del capitán de Urbanos D. José de Lesarri. , pues ambos han sido contra fuerzas muy superiores, en terreno deivemafoso, y «Nuestra pérdida consiste en el espitan retirado D. Manuel de Iríbe, en el cual el soldado ha tenido que sup…</t>
  </si>
  <si>
    <t>…ado con el va Títulos al portador del 4 P- 100, i 11 al contado: 13 &amp; varias A ó'vol.r 14| í 60 4 f lor y entusiasmo que tienen tan acreditado , «o pudiendo yo menos dé reco ó vol., a prima de 1 p. 100. . mendar á V. E. al'citado comandante Jove, y con especialidad al capitán Vales Reales 1,0 consolidados, 19# y 19# al contado: 19#, i, # y 19# á varias fs. ó vol.: D. Vicente Ruiz, que después de portarse bizarramente, fue herido de grave- Deuda19# ánegociable42 d. f. ó devol-,i p.á prima100 a papel.de 1# p.00.100. dad.”Todo lo que tengo el…</t>
  </si>
  <si>
    <t>Jovellanos, Baltasar de Cienfuegos y</t>
  </si>
  <si>
    <t>Baltasar de Cienfuegos y Jovellanos</t>
  </si>
  <si>
    <t>…y por ante el escribano Canal, varias ropas, muebles, efectos y pintura!» que por fallecimiento del Excmo. Sr. D, Gaspar Melchor de Jovellanos, pertenecieron s En cumplimiento de lo prevenido en el artículo 67 del reglamento de á D. Baltasar de Cienfuegos y Jovellanos, también difunto. Los licitados** acudirán por si 6 por medio de apoderado al efecto. dicha Real caja aprobado por S. M. en 15 de Agosto del año próximo pasa ------Por providencia del juez asesor general de laR^al cata y patrimonio, refrendada do, se ha dispuesto continuar las conversiones de recib…</t>
  </si>
  <si>
    <t>Jresponde</t>
  </si>
  <si>
    <t>…Ezpeleta. Dtíego María Carrasco, consultado en primer lugar en la propuesta que V. S. ¡ ¿iá remitido, declarando al mismo tiempo que en las vacantes de esta dase cor- En el artículo 25 de la Real instrucción aprobada por S. M. la Reina Jresponde se hagan las propuestas por los administradores respectivos, que por Gobernadora en 3ü de Novíeuibre último para gobierno de los subdelegados ft medio dé los subdelegados deberán dirigirlas á los intendentes, para que con sus de Fomento, ¡»e anuncia á otos que son gefe* inmediato» de ios ayuntamien…</t>
  </si>
  <si>
    <t>Jrocheta, Isidoro</t>
  </si>
  <si>
    <t>Isidoro Jrocheta</t>
  </si>
  <si>
    <t>…cl cuarto pelotón compuesto de llón de U columna guipuzco.ma D. Anselmo Iñurrigarro; e! capiían de la ].* Ja segunda de cazadores y cuarta del mismo, por órden que me comunico el compañía de ella D. Antonio Zumeta y el de la 2.a D. Isidoro Jrocheta : los Sr. teniente coronel mayor del cuerpo , pan que dirigiese mi marcha al pueblo oficia/es de ía compañía de cazadores del batallón de San Fernando, teniente de Torre Jas Arcas, porque se decía se hallaban en aquel*punto los faccioso®, D. Nicolás Suarez y subteniente D. Jo&gt;é Irive y D. José Cárc…</t>
  </si>
  <si>
    <t>Jsarel</t>
  </si>
  <si>
    <t>…anat ¿as.,. ..... 38o 190 yS. Para luchas..... «... ....... 4oo 100 too. GACETA DE MADRID. ~trtjvxivvvv\Ariru'xrvvvvvv*v*iri'*ii,“f*v*i*i* Reina 10. se S. M. la colocará en el Trono Gobernadora Art. ARTICULO DE OFICIO. ii Hija la Doña Jsarel con su Reina augusta á la derecha; y á'Ja i izquierda, en el mismo estrado y á alguna distancia, el Serenisiiro Oficio recibido en el ministerio de lo Interior. Señor luíante D. Francisco de Paula Antonio: á uno v otra larin Excino. Sr.: S. M. la Reina nuestra Señora, y su augusta Ma del Trono en p…</t>
  </si>
  <si>
    <t>JsáSej, Dona</t>
  </si>
  <si>
    <t>Dona JsáSej</t>
  </si>
  <si>
    <t>…e habían pa tificiales qufc duró tres horas, con algunos intervalos de música, arrojándose decido. muchas docenas de voladores, y concluyéndose con un árbol en cuya cima apa reció con caracteres de fuego la inscripción de viva ia Reina. Dona JsáSej, ilp En oficio también de 4 del actual participa el presidente de la junta supe prorumpiendo el pueblo en alegres vítores á S. M. rior de Sanidad de Granada que según aviso que con la misma fecha le daba la El dia siguiente se cantó un Te Deum en acción de gracias. Hubo después municipal de la ciud…</t>
  </si>
  <si>
    <t>Jsta, Gobernadora</t>
  </si>
  <si>
    <t>Gobernadora Jsta</t>
  </si>
  <si>
    <t>…cár sobre el trono al duque de Braganza. Andrada fue arres [Madrid 3 de Marzo de 1834-=eSr. comandante general del campo de Gibraltar. tado el 15, y nombrado tutor del jóvén Monarca el marques de Jtanhrheri. £xposicíom i S. M. la Reina Gobernadora. Jsta medida ha desconcertado los planes de los conspiradores. (Giobe and T, .iSeñora: Fr. Jacinto Vecera y González, monge del Real monasterio de veller.)Mn!¡cías posteriores de Rio Janeiro anuncian que se disfrutaba^ de tran [Filero en Navarra, i V. M. con el respeto debido expone: que poseído del mas…</t>
  </si>
  <si>
    <t>Jstúrii</t>
  </si>
  <si>
    <t>…Por último, la comisión no insiste en que sean 4$ m SO días, sino en que se alistamiento de una fuerza pública, salvaguardia del país. fije término.” n Mientras no existan estos consejos tutelares es imposible que aun con las El Sr. Jstúrii: «Yo no puedo menos de dar gracias al Sr. Secretario de mejores intenciones, con los mejores deseos llene el gobernador civil cumpli lo Interior, pues con sus propios argumentos ha robustecido los de ft oposi damente el objeto que se propone la ley, y por consiguiente la comisión, con ción. Por mi…</t>
  </si>
  <si>
    <t>Jtajgqol, Juan Alonso San EFECTOS PUBLICOS</t>
  </si>
  <si>
    <t>Juan Alonso San EFECTOS PUBLICOS Jtajgqol</t>
  </si>
  <si>
    <t>…la fachada de las casas capitu- .lares,'bajo un dosel magníficamente adornado, el retrato do la Reina nuestra bolsa oB couxRcio.^Cotizaciott de hoy á las tres de la tarde. . Señora r regalado al ayuntamiento por el regidor decano D. Juan Alonso San ' EFECTOS PUBLICOS. Jtajgqol: el cual, y el alcalde de primer voto D. Antonio de Alba y Casquete, . proclamaron los primeros el augusto nombre de Isabel ii al abrir el dosel des- •'inscripciones en el gran libra al 5 p. 100, 67 k JO ds. f. 6 vol. S á 40 ds. vol* al portador 6» p. f. 100, del Títulos ó ^ iglesia segundo de £1 a…</t>
  </si>
  <si>
    <t>Juab</t>
  </si>
  <si>
    <t>…iam; y habiendo ya dado las instrucciones convenientes sobre el modo de y'-conquista de América, ó Compendio de la historia general del nuevo mundo, por el autor del ouevo Robinson, traducido del francés, corregido y mejorado por D. Juab recogerla para fomentar este ramo de comercio. Corradi ; 2.a edición en tres tomos en 8.^, con 3 mapas y los retratos de los conquis Dirige igualmente muestras de una mina de cobre, que hace dos siglos se tadores. Véndese á 48 rs. eo pasta, como asimismo se halla también dicha obra con sab;a existi…</t>
  </si>
  <si>
    <t>Juan</t>
  </si>
  <si>
    <t>…ignísimo alcalde mayor, para que si lo tiene ¿ Dias. anterior. Invadidos. Curados. Fallecidos, bien se sirva elevarlo al de la Rbina nuestra señora. Dios &amp;c. Ciudad-Rea! 29 Graves. Leves, Barutcll. dede Abril 1834-=Excmo. Antonio Sr.= Juan 20 90 = Excmo. Sr. Se Abril 7 9 5 4 universal Estado la Guerra. de decretario y del Despacho 87 Id. 21 12 3 4 2 Id. 22 77 6 4 18 3 El expresado comandante genera! de la Mancha, con fecha del 27 anuncia Id. 23 66 3 15 17 3 el abatimiento en que han caído los miserables partidarios del Pretendiente,…</t>
  </si>
  <si>
    <t>…o que ninguna, me Votado este dictámen por partes quedó aprobado en todas ellas. parece se está en la necesidad de establecerla para lo sucesivo: si no obraremos F.l Sr. Trucha reclamó el expediente relativo á los poderes del Sr. D. Juan á ciegas.” , Gualberto González, electo por Huelva. , Otro Sr. Procurador expuso que la comisión parecía contradecirse , opi El Sr. Medrano contestó estaba aun pendiente. nando un. individúo una cosa y otro otra. En seguida se leyó por el Sr. López el proyecto de contestación ál dis Sr. Medrana-. »…</t>
  </si>
  <si>
    <t>…Tzavellas, Humburgo, 00. Barcelona, 4 ps. fs., Malaga r 4 b. Descuento de letras, dueño ya de Patrás, y por otra en la de Calerjis, antiguo ayudante de campo lóndres , 4 90 dias, t * t id- Santander , 1 id. 4 4 P- 100 al añm del conde Juan, que fomentaba las pasiones suspicaces de los moreotas, y re S8¿. Bilbao » 4 d. Santiago, 1 d. clutaba roldados i las claras contra el gobierno misto y el Congreso; soste nido por dos- hombres, cuya heroica conducta durante la guerra de la inde pendencia- hace muy doloroso que se hallen sus nombres…</t>
  </si>
  <si>
    <t>…u comercio y propiedades. Exctno. Sr.: El general Espartero desde Elorrio^y en 26 del corriente Para inteligencia de las personas que ignoran las nricasiextensas^deTós . me 4mtatfcri6~que'en 17 le decía desde Bérmeo el gobernador D. Juan Du empresarios, se hace presente que observándose una exacta regularidad en las ran, coronel del provincial de Trujillo, y. que literal es lo siguiente: Anoche salidas y tiempo del pasage~3e los vapores en la travesía entre Londres, Lisboa, á las ocho supe que V- S. había llegado al punto de Munguía c…</t>
  </si>
  <si>
    <t>…bosquejo que hizo D. Alonso el Sabio, como el que bija primogénita á falta de varón; reconocimiento que no tuvo efecto pof’isfc* suele hacer un pintor al trazar un magnífico cuadro; y en este bosquejo ya se ber nacido el Infante D. Juan; muere «te malogrado Príncipe» y vuelve-Doña ven llamadas á suceder las hembras, no por imitación extrangera, sino por há Isabel á ser reconocida por sucesora legítima del trono. Fallece la Princesa; bito ó costumbre nacional, establecida siglos antes entre los españoles. muere también su hijo, aqu…</t>
  </si>
  <si>
    <t>…en la capital de de Sigíienza á D. José López Ponce: para el corregimiento de Tarazona á aquella provincia, curaron 7, y no quedaba ningún enfermo : desde 20 á 25 D.! Francisco Perez de Lucía : para la alcaldía mayor de Santafé á D. Juan del mismo curó una en Cerecemos del Carrizal, y fallecieron dos; y desde el de Dios Guzman: para la de Agreda á D. José Aragón: para la de Lerma á 21 á 24 del propio mes curó una y falleció otra en Tzbara. D- Juan Víctor Navarro: para la de Antequera á D. Pedro Henrique Monte ro: para el corrcglmicrito…</t>
  </si>
  <si>
    <t>…e rizados para censurar con mas ó menos indulgencia, según el carácter y prin Febrero, era de I4IÓ; D. Henrique m en la suya de l.° de Jubo de 14&lt;Jl; cipios de cada cual , las contradicciones, equivocaciones é inexactitudes en lo D. Juan 11 en su carta de S de Setiembre de 1421 * J los mismos Reyes Ca redactado é impreso como producción mía. Triste cesa es hallarse tanto en tólicos en la que dieron en Sevilla á 20 cíe Noviembre de I4/8» confirmando (ao corto número de renglones ; pero asi sucede para que sea mayor mi con ademas cua…</t>
  </si>
  <si>
    <t>…s indicados. Dios guarde á V. S. muchos años. Madrid ó de Se Drrsde 16 de Agosto. tiembre de 1854. —Moscoso.irSr. director del Reai Conservatorio de Artes. Esta mxñana á las sets S. A R. l.i princesa Amalia de Baviera, esposa del príncipe Juan, ha dado á luz una princesa. El parto ha sido muy feliz. PARTE NO OFICIAL. ____Antes de ayer hizo un ligio que murió el célebre conde Augusto Cristó bal de Wackerbarth, feldmariscal de nuestro ejercito, homhr-e muy' erudito,, NOTICIAS EXTR ANGER AS* artista y guerrero. Con motivo drf^este aniversar…</t>
  </si>
  <si>
    <t>…veces el desti no, de primer Secretario, y una el de Presidente. Tomó parte activa en los trabajos de aquella legislatura, señaladamente en los relativos á la división ter ANUNCIOS. ritorial , de cuya comisión fue Presidente. SI alcalde Juan ¡turrón, juguete gracioso de representado para celebrar las parEn 13 de Marzo de 1822 fue nombrado 'Secretario del Desjpacho y de la cuas de Navidad en obsequio del naciexiento del niño Dios,.con cuatro Ierras de pas ^Gobernación de Ultramar, con cuyo ministerio desempeñó despijes de la crisis tore…</t>
  </si>
  <si>
    <t>…litar á Don la Real armada D. Cayetano Valdés, en consideración á su leal José María Cienfuegos: para fiscal togado á D. Eugenio Larrum- tad , dilatados servicios, conocimientos, bizarría acreditada y da bide, y para secretario á D. Juan La fuente , debiendo tomar dichos mas señaladas circunstancias con que se ha distinguido siempre ea ministros la antigüedad que les corresponda respecto á los que he su carrera: siendo la voluntad de S. M. que ínterin se presenta á tenido á bien nombrar per el ministerio de Marina para las plazas serv…</t>
  </si>
  <si>
    <t>…ientos' de revolución con motivo tos no se Babia de formar ninguna, estaríamos absolutamente sin autoridad al del levantamiento de cuatro partidos diferentes, el de su abuela , su madre , y guna. . - v _ ; sus dos tio* D. Pedro y D. Juan : feltos acontecimientos pusieron i ia Nacido El Sr. Latorre insistió nuevamente en las ideas que acababa de manifestar en la-mas completa anarquía, que solo cesó con triunfo de éstos tíos y con sus en su discurso» mueites, pues en aquellas circunstancias murieron los dos en la guerra deGra- EP Sr*…</t>
  </si>
  <si>
    <t>…man , como lo ha hecho ahora,Tobarra cata Mur / chos é historias de curaciones asombrosas de otras enfermedades venenosas con cia. Son maravillosos sus efectos en la curación de la rabia y mordedura de ..la estos polvos; y el Sr. D. Juan de'Soto, vocal de la junta de Sanidad, que víbora , contestados siempre por la experiencia. conservaba en su «poder una cantidad dq la verdadera viborera preparada en «Se componen estos polvos de tas yerbas siguientes: Yesfe, tuvo la feliz idea dé recomendarla al practicante mayor del hospital de «…</t>
  </si>
  <si>
    <t>…dirigió á Shan-ta mira. ganagh , esperando el dia señalado pira hacer su entrada pública en Dublin. La comisión encargada de recibirle está disponiendo todos los preparativos para : 4 Atendiendo á los méritos y circunstancias de'D. Juan de la nunifWar la gratitud del pueblo irlandés al defensor honrado ¿ imparcial de Dehesa, fiscal togado del tribunal supremo de Guerra v Marina, lie sus derechos- (Dublin Registtr.) venido en nombrarle individuo de la inspección general de Impren tas y Librerías del reino, en la plaza vacante por falleci…</t>
  </si>
  <si>
    <t>…mado solamente Infan pagará un tributo, no sospechoso, dé admiración. te por haberle precedido el Sr. D. Antonio, Príncipe de Beira. Fueron sus Tan grande en la muerte como en la vida, no pudieron los sofismas de la padres el Sr. D. Juan vi y la Sra. Doña Carlota Joaquina de Borbon, hija esperanza ofuscar su razón; todos vejan mejoría en su salud, y él solo veía la del Rey católico Cárlos iv. eternidad. Preparóse pues á ella cori la mas edificante resignación, y después de Por muerte del Príncipe O. Antonio en el año de 1800 vino a…</t>
  </si>
  <si>
    <t>…enanzas. plantas. decretos , é instrucciones y regla mentos expedidos para gpbicrno del tribunal y contaduría piaynr de Cuentas desde «l a’ fin de establecer en aquella capital uno digno de su población y cultura. reinado del $r. D. Juan 11 hasta el dia. Un cuaderno en folio, edición de 1829, a 16. rs. rustica. Extracto del parte remitido por el subdelegado del Fomento de la provin Los suscrlptores al Diccionario tecnológico, ó universal de artes y-oficios., pasa cia de Pontevedra D. José María Bremo con fecha de 5 de Abril último.…</t>
  </si>
  <si>
    <t>…14 de Junio. pan bajo la bandera de S. M. siciliana, y para inteligencia dei comercio, qtie Canas de Varsovia que han llegado esta mañana refieren que I» fortifica hi recibido un despacho de S. E. el Sr. comendador contralmirante D. Juan ciones de Modlm están del todo concluidas, y que el 27 de Mayo último han Bautista Staiti , comandante de la división del antedicho S. M, , coa fecha 26 del corriente , en el cual hace saber qúe se ha restablecido la armonía entre el recibido la solemne bendición del clero en presencia del gobernad…</t>
  </si>
  <si>
    <t>…l alio. animado, pero con modestia; siempre elegante, pero con sencillez, Cual requieren las obras históricas, copiaremos solamente dos pasages. El primero es el retrato de D. Henrique iv, llamado el im ANUNCIOS. potente, hijo de D. Juan ir. «Jamas hubo educación mas mala, ó por mejor decir, mas abandonada, que la del malhadado Henrique iv. Obras que se hallan de venta en el desfacho de la imprenta Real. Entregado para la instrucción á uji fraile ignorante que nada le po Poesías de D. Juan Melendez Valdes, fiscal que fue de la sala…</t>
  </si>
  <si>
    <t>…otros, aco ciones, dividí la 2.a compañía de cazadores en dos mitades , la l.1 al mando sados por nuestra activa persecución, y aterrados con la sorpresa practicada por del C3pitan graduado y teniente comandante de dicha compañía D. Juan de mí al amanecer dei 30 del pasado en el pueblo de Virigoiii, tomaron la reso Torres, y la 2.a al de! teniente graduado y subteniente de la rnijiru D. Ildefon lución de dividirse en pequeñas partidas : esta noticia lacomuníqué al comandan so Mata, previniéndoles tomasen, cl Ila derecha del pueblo, y…</t>
  </si>
  <si>
    <t>…. Valentín Gómez Parias, abusando atrevida adornada con todas sus mejores galas y alhijas • celebro ¡a :n.-i ei hxcmo. ¿ mente de las facultades que el código sagrado le demarca á un vicepresidente, limo. ^&gt;r. obispo de Mechoacan D. Juan (..octano Po;ti;gui, c ir as.Menria traspasadas con escándalo en las leyes de reformas eclesiásticas, y las de ostra del limo. Sr. obispo de Sonora, Dr. D. Angel Mjr.jao Morales, F; bachi cismo que sancionó y llevó al cabo con perjuicio de muchas beneméritas y ller D. Francisco Andrade pronuncio un…</t>
  </si>
  <si>
    <t>…és}, Bonel, Hubert, do que yo creo que se recibiría con agradecimiento y entusiasmo esta innova Martínez de la Rosa, conde de Villamena , Carrillo Manrique, Fcrrer, Gon ción, tanto por la Milicia como por la Nación entera. zález (D. Juan), Pizarra, Heredia, Santafé, Torres- Solanof, Aranda. mar » En cuanto á la base de legalidad que propone el Gobierno, encuentro ques de Falces, Serrano (D- Francisco), Acuña, Diez González, Blanco, -que tiene casi todos los inconvenientes que han notado lqs señores que me han Mantilla, marques de M…</t>
  </si>
  <si>
    <t>…podrá negar para el de Montefrio á D. Ramón Toral ; pira el de Oríhuela a D. Juan Tor que ton liberales el conde Grey, el lord Holland, Xhiers, Dupin y Lafayct- recilla de Robles, alcaide mayor de Pontevedra; para este pan ¿do á D. Juan ti!— ¿Querrían estos que en Francia y ¿^Inglaterra hubiese solo una Cáma Te jeito; para el del Barco de Avila á D. Jacobo Ulioa, que lo es de Bera electiva ? Estarna? convencidos de que no. jar; para este á D. Juan Víctor Navarro, que lo es de Lerma ; para este a Con igual sentimiento hemos visto q…</t>
  </si>
  <si>
    <t>…no puede poseer.” el voto del Sr. Puche, contrario al artículo 2.a del proyecto de ley de jhos- El Sr. Secretario del Despacho de Gracia y Justicia: «Yo no digo que trencos, aprobado por el Estamento, y los de los Sres. González (D. Juan no sea cierto lo que ha.referido el Sr. preopinante; pero sí digo que no perte GualbertoJ, y Serrano (D. Gine&gt;) contrarios á los párrafos I.* y 2.° del ar nece a la ley de mostrencos tomarlo en consideración. Las reclamaciones con tículo L°,y á la totalidad del 2.° del mismo proyecto, también aprob…</t>
  </si>
  <si>
    <t>…a. de Orewenitz; traducido del aleman al francés con notas el año de 1831 por Ra&gt;- Interin se verifica el arreglo general de presidios, ha pedido que se le co vichio de Geretzdorf; y de órden superior al castellano por el capitán D. Juan Do mínguez Sangran* subteniente del Real cuerpo de artillería. Esta obra* que es del munique una órden que hay para la formación de uno correccional en aquella mayor interes para tos artilleros, puede considerarse como indispensable para los ge capital; y ha recibido noticias sobre el mal estado de lo…</t>
  </si>
  <si>
    <t>…el punto suficientemente discutido, y después de leída nueva diezmos de cera. Posteriormente se.confirmaron estos privilegios después de la mente la petición, quedo aprobada. batalla famosa del río Salado; y asi continuaron hasta D. Juan i , el cual les El Sr. Secretario Bclda anunció iba i procederse ¿ la discusión de la peticonfirmó los mismos privilegios, y estableció el de asadura niajcr y menor. ticion sobre mostrencos, la cual leyó) y es del tenor siguiente; Por manera, que lejos de quitar este gravamen ó disminuirle, se puso…</t>
  </si>
  <si>
    <t>…de 1830, ñas particulares una nueva parroquia en esa ciudad con ei tirulo del Dulce la cual en consecuencia es conveniente renovar, con lo que la industria y la nombre de María, •dificindola con sujeción i los plañe» del profesor D. Juan nación, tributaria hoy de los extrangeros, recibirán un beneficio señalad». Miguel Inclan, aprobados por la Real academia de S. Fernando; v con tal Deseosa S. M. de proporcionarlo á sus pueblos, y enterada de cuanto re magnificencia, que V. E. la cree digna de trasmitir á las generaciones venide su…</t>
  </si>
  <si>
    <t>…á demostrarlo. No me entretendré en largas di miento: la de los bienes quedará irrevocablemente sancionada por sertaciones acerca del derecho.de asociación; la questioa se examina el restablecimiento en todo su vigor de la ley de D. Juan ti. política, no filosóficamente! (Se continuará.') Ademas «le estas tres libertades que componen los derechos jus tos de cada ciudadano, el gobierno de S. M. procura destruir cuan ESPAÑA. - . • . . - ' . I S tas trabas se oponen al desenvolvimiento de la industria, por la Madrid 14 de Abril. erecc…</t>
  </si>
  <si>
    <t>…os por delitos políticos en tiempo de la restauración. Se León. Astorga.Cea, La Bañeza, León, Murías de Paredes , Ponferrada, ' procede á la votación de los artículos, y fueron aprobados los artículos l.°y 2.® Riaño , Valencia de Don Juan , Vega-Cervera , Villafranca del Vierro. En el escrutinio fue aprobada la ley por 75 votos contra 39. Idrida. Balaguet, Cervera, Lérida, Seo de Urgel, Solsona, Sort, Talara El conde de Mollien, presidente de la comisión encargada de cuidar de la Vicjla en el valle de Aran. caja de amortización , y…</t>
  </si>
  <si>
    <t>…que durante el afio de 1833 se han recibido en 1* incluía bulios. y no menos el ejército y armada por el dinero que.se dice cooducé á de dicha capital 4^03 expósitos, de los guales 1751- fueron llevados de 1* casa bordo. El navio D. Juan va 4 *#r desarmado y pagada de remate su tripulación. destinada pira loa partos, y 281 de los demas hospitales. Entre todos ílloe La familia .del almirante-Ñapicr se. queda en Inglaterra, pero él volverá ' solamente 4^8-sé suponen ser legítimo». .Han muerto 12So en dicho hosnieyo '.pionco. Lfthoa d…</t>
  </si>
  <si>
    <t>…de mar, y entre Galiano , Cuevas, Pedrajas, conde de las Navas , Belmente, Caballero, Cano ellas el Grao de Valencia , el puerto de Tarragona y otras, que siendo si cabe Manuel (hijo), "Víñals, Hubert, Carrillo ManriqueGonzález (D. Juan de mas interes general ó nacional que el canal, se costean no solo con arbitrios Gualberto), Pízarro, Heredia , Santafé, Torres Solanot, Serrano ( D. Francólocales» sino con imposiciones generales á los distritos ó provincias. La de Va co), Fernandez Blanco, Mantilla, Fieix , Ciscar (D- Ramón), marque…</t>
  </si>
  <si>
    <t>…mino les parará per juicio. hizo cn el afio de 182;2 con sujeción á los papeles que existen en ¿l archivo de Aroche, para dar principio á la repoblación de la aldea Gállego, bajo el noro- Orttz¿ota.de Varona.En la GacetaIdase núm.D. Juan179,AntoniocolumnaVarona1.a RealOrflz.decretó,En elendecretolugar deconD.queRamónprin brede 1* tilia de Cristina del Rosal , y dé lo que cn cate particular vaya ade cipia el núm. J80, en lugar de D. francisco Cotazar, léase 2&gt;. Modesto Cotesta*. EN LA IMPRENTA REAL.</t>
  </si>
  <si>
    <t>…cese la comi&amp;ion regía conferida por Real orden de 12 de Enero 1 reinos. de Í833 al ministro.del Consejo Real D. Matías Herrero Prieto para conocer I 2.° Que se ocupen sus temporalidades. » de las causas sobre la conspiración de D. Juan deCampos y España : 2.°, que en [ "3.° Que se lé bórre del catálogo de los consejeros de Estado. adelante no tenga efecto la Real orden de 13 de Junio del mismo año, cxpc-¡ 4.0 Que la Cámara promueva desde luego la formación de causa, ante dida por la secretaría del despacho de la Guerra, en la que…</t>
  </si>
  <si>
    <t>…ación de los vientos monzones. p.ar gratis en docena, 3 en 25, 7 eo 50 y 16 en 100. Autorizado &lt;1 consulado por Real orden para comprar un ponion de va -------El Pobrecito hablador, revista satírica de costumbres por el bachiller D. Juan por á fin de limpiar la barra del puerto de Manila y el rio Pasig, lo cual no Perezla libreríade Munguia,de Escantilla,14 cuadernoscon ia cartaen 8.°,panegíricaque se dehallanAndrésde VentaNiporesasá 2 rs,á cadaun ralunoDooeu había tenido aun efecto, se ha celebrado ya la contrata para llevar de Lo…</t>
  </si>
  <si>
    <t>…los empleados: y 4” reunión de fondos diversos que conoció los empréstaos ó préstamos tomados sin su anuencia. Las Córtes de se administran por otras dependencias que las del ministerio de Hacienda. Segovia en 1380, en tiempo de D. ‘Juan i, manifestaron que de ninguna ma «No hay duda que el primer punto es esenciaiísimo, y en esto voy de nera podían pedirse pot^eí Rey empréstito ni dinero ó maravedís, ni otra acuerdo con el Sr. González; pero no puede hacerte inmediatamente, como cosa alguna sin permiso de las Córtes, y que si lo.t…</t>
  </si>
  <si>
    <t>…s solicitudes. Lorenzo, 100 individuos de tropa , todos de mi regimiento, y 20 de! de Ca M-. Duplo contesta á todos sus argumentos, y demuestra que no se ha con taluña', 6.° de ligeros de caballería, al mando del capitán graduado D. Juan tradicho respecto del discurso que pronunció en la sesión de 29 de Mayo de Cuena, escoltando el correo de Francia, con dirección á la villa de \recbava833. Apoyando el dictémen de la comisión, presenta su opinión acerca del cle leta , y recoger en este punto el de aquel reino, como asi lo practiqué…</t>
  </si>
  <si>
    <t>…0 por I Jen nombrar al ministro electo de esta D. Rafael Urbina; para esta resulta al 100 del valor que señalen los vistas. Y 9-a Que no se haga novedad en cuanto! Joidor de la dé Valencia D. Miguel Moreno, y para la de Granada á D. Juan í los flejes de madera v de hierro del reino, conservándose á estos el derecha se-1 I Antonio Almagro. Tendráse entendido en la Cámara para su cumplimiento, zz ' ñalado en la Real orden de 10 de Febrero de 1 833. De Real orden tkc.rrrj íEstá rqbricado de la Real mano.= En Aranjuez á 18 de Marzo de…</t>
  </si>
  <si>
    <t>…al adelantarse el capitán Axibus para conferenciar con el ciencia cuesta mucho de establecer, y necesita largo tiempo para arraigarse. Es gjefe de los insurgentes, este le pasó la espada á traición, y le mató. En esto verdad que D. Juan m protegió á los, sabios, y que por aquel tieiyipO fue Por «1 teniente Mauromichalis mandó hacer fuego y cargar á la bayoneta, lo que tugal la nación .mas ilustrada de Europa ; mas para .eterno desdoro de su nota ae ejecutó tan acertadamente, que los-enemigos que pudieron salvarse de las ble establ…</t>
  </si>
  <si>
    <t>…illos re había manifestado el cólera &gt; habiendo invadido \6l) personas en los dias 8 y 9 del propio mes, terminando funestamente 16 de Partí tanitario. los invadidos: también se habían presentado- casos de cólera en Valencia de / D. Juan, y se sospechaba estuviese-en igual caso el pueblo de Valderas. Turbio*. Días. Enfcrdios» | Curados. Fallecidos. . PROVINCIA CE LOGROÑO* 1 00 3 6 k 00 Setiembre. 14 ídem.......... En oficios de 8 y 12 del actual manifiesta sn gobernador civil que desgracia Mora de Ebro... 2 6 í 13 3 damente se habí…</t>
  </si>
  <si>
    <t>…once. ... —- El Sr. Vega y Rio : ”El art. 14 del Fstatuto Real fija la renta de Se leyó y aprobó el acta de la anterior. 123 reales para ser Procurador. El individuo de que se trata no tiene mas Se dió cuenta de una exposición de D. Juan , Romero Alpuente, electo que 103; y querer que se le admitan las rentas de su bijo, es querer contra Procurador por la provincia de Teruel, en la que solicita la aprobación de sus venir al artículo del Estatuto Reai. Esta es una ley: :Y quién ha dado poderes, en vista de los documentos justificati…</t>
  </si>
  <si>
    <t>…lo sugieran sus intereses. á los mismos primados de la Morea, que buscaban úna bnena Coyuntura para 7. a Si el empresario lo solicitare del Gobierno, le facilitará éste el numero desquitarse de lá opresión harto, merecida qúe el conde Juan 'habia hecho gravi de presidiarios que de acuerdo con la dirección de presidios tuviese á bien otor tar sobre sus cabezas. ........... garle; pero.cn el caso de concedérselo, el empresario satisfará el haber comple Víéronse entonces dos asambleas rivales, la una viciada en su principio, to que les…</t>
  </si>
  <si>
    <t>…s que habían sucumbido á dicho mal habían sufrido esta desgracia por no haber querido acomodarse á las En 12 del corriente fueron invadidas en su capital cuatro personas, fa-' instrucciones de los facultativos: que en Valencia de D. Juan fallecieron desde Ileció una, y el día 13 existían siete con enfermedad sospechosa: en Estepa se el dia 9 al 12 del mismo mes 6 personas, curaron 10, y quedaban 31 enfer continuaba padeciendo el cólera. mas: que en Astorga había fallecido un religioso procedente de Madrid, sin que aquella ocurrenci…</t>
  </si>
  <si>
    <t>…eterminado retroceder desde aqrii con las divisiones de infantería á pasar el Tajo por Malpica y Herrera, lagana, la cual, acometida desde luego, rompió un fuego terrible donde tengo liare dos diaS al gefe de estado mayor coronel D. Juan sobre nosotros. Las compañías de cazadores del Príncipe y Compostela, lo respondieron bizarramente, y avanzando yo en seguida conTena para habilitar las embarcaciones de aquellos puntos inmedia tos; y si están corrientes á mi llegada, mañana quedará en España mi plana mayor, ayudantes, y el capitán…</t>
  </si>
  <si>
    <t>…rme al espíritu y tenor de las soberanas disposiciones de S. bA- la Rkina que se halla el alistamiento voluntario, dice que D. Ju*n Manuel Rumv, hijo Gobernador^, que no quiere que sus vasallos sufran mas cargas que las absolu de D. Juan, vecino dc^&gt;orbas, se ha presentado mamlestanJ » que a ;-*esar vk tamente indispensables, ni las industrias mas trabas que las inevitables para con ■éstar siguiendo la carrera literaria, se alistaba desde luego voluntario pira ser servar la salud, el orden público y la buena fe en los contratosusan…</t>
  </si>
  <si>
    <t>…ubrieron un bulto como de persona que madrugada de hoy; y habiendo tomado todas las precauciones opor v corría dentro del cañizal,.al cual hicieron fuego, y siguiéndolo, se tunas en combinación con el teniente graduado de capitán D. Juan encontró un trabuco cargado con 2 balas y 11 postas y una man María Miqueloti de los expresados cazadores, logré sorprenderles ta con dos panes. la guardia de reten; y á pesar del Vivo fuego y resistencia que hi Considerando el sargento comandante'^de la partida que su fuer cieron en todos sus acua…</t>
  </si>
  <si>
    <t>…damentales: se citan por esto; y ¡qué extraño es que las ifci Interior, y se resolvió que sí. citemos nosotros, y demos solidez al Gobiérno , que se apoya en ellas, reba La comisión de Poderes dió cuenta de haber examinado los de D. Juan tiendo á los que se han «poyado en el despotismo! ¡Qué estraño será que de'Morales'Diez de la Cortina, electo Procurador por la provincia de Sevilla, nosotros hagamos eso , cuando puedo citar en apoyo de lo mismo un texto con los documentos justificativos de su aptitud legal.para serlo; y-de que-ha…</t>
  </si>
  <si>
    <t>…cherif Hassun* d’Ghies, poderhabiente del bey, ha Reconocí el térreno que debe ser regado por las agua» dei rio Eda, toma *ido retirada antes de la apertura de la discusión , en virtud dehzvisQ Comuni das en frente de Valencia de D. Juan, y vi algunas pocas mieses regadas á pa cado pór uno de los mihistros, de que se daría una completa satisfacción á la ta con el agua de un pequeño cauce, las cuales estaban sumamente lozanas^ corte de Trípoli. hermosas, é indican lo que podrá dar de sí aquel terreno saturado de agua; /.* Esta decla…</t>
  </si>
  <si>
    <t>…se diga que pudo acor vaherrera , Miguel Polo, Medraoo , marques de Montenuero , Coton v Zúmdarse asi con la esperanza de poner hoy la excepción; pues los hombres no ga , Vázquez Moscoso, Ilubert, Xlarttdcz de la Rosa, González (D. Juan juzgan por esperanzas ni por reservas mentales, y tanto menos, cuando no Gualberto) , marques de Falces, Fleix/Bucesta, marques de Someruelos, Ve pueden tener ninguna seguridad de'que sus deseos serán después cumplidos. ga y Río, Fontagud Gargolío, Paez Jaramillo, Ezpeleta, marques de Valla «Conclu…</t>
  </si>
  <si>
    <t>…n lazareto provisional -----En virtud de providencia del intendente subdelegado de Rentas de esta provincia. fuera de la villa, muy espacioso y ventilado, para trasladar á él las personas se cita á D. Pedro Chaigniaud, hermano de D. Juan , vecino y del- comercio que file1 de visuteria eo esta corte, para que en el termino de un mes, comparezca pqr^í ó que hayan tenido roce con los enfermos, y las que viven en miserables habita por medióle su representante á hacer uso de su derecho en la causa que contra el pen ciones, donde habían…</t>
  </si>
  <si>
    <t>…, restablecer la inviolabilidad de la y para su discusión se señala el lunes próximo.*’ propiedad y asegurarla de los ataques, simulados de un poder codicioso. Se dió cuenta de un dictámen de fe comisión de Poderes , en que mani D. Juan ir en las Cortes de Valiadoiid ei ano de 1448 penetrado de las festaba que habiendo examinado fe exposición de D. José Valladares , electo razones-incontestables, en que nuestros legisladores fundaron su petición, san- Procurador por la provincia de Pontcvcdia, en solic tud de que se fe exonere cip…</t>
  </si>
  <si>
    <t>…y en la segunda : «con fijó este punto en la ley^ de su primera Partida, y aun esta ley general no tuvo donándose los atrasos que están pendientes por este ramo*’ , y si el Estamento entero y cumplido efecto hasta el reinado de. D. Juan el n. Pero prescindien no lo aprobare, que se diga: «condonándose ios atrasos que están pendientes do de esto, eo el día los canónigos de Santiago tienen todos los demas re por este ramo á los primeros contribuyentes.” cursos que los de igual clase para mantenerse con el decoro que sabemos. A petic…</t>
  </si>
  <si>
    <t>…n nobles y útiles para el empleo de capitales. mo, de una Princesa. S. M. ha recibido también una c.irta del Rey de Sajomisma operación, lograda con el suceso que el gob.erno espera, servirá de nia , participando que ha nacido al Príncipe Juan, duque de Sajonia, una hija, ¿Ul ensayo j:ar* comprobar los principios de economía que el gobierno observa á quien se ha puesto en el bautismo el nombre de .Vlaiía S.donia. •n esta mat-ria , d: jando gradualmente las obras públicas «1 movimiento v desar rollo suce- ivo de la industria y de los inte…</t>
  </si>
  <si>
    <t>…no perju tiguó éntre eclesiásticos *- seglares , como he dicho antes. No me acuerdo ahora dicaban á la Nación, ó i lo menos que el perjuicio seria tolerable, hoy que se precisadwnte del año; pero el hecho es cierto. En tiempo de D. Juan al ti</t>
  </si>
  <si>
    <t>…instrucejonpesos, medidasde losy laboriososmonedas en^honradosEspaña, i artesa.—2 rea— de 20 del comeóte, desde 29 de Setiembre hasta S dd mes nos, á Z rs.—Tany&gt; luces* ó sea memoria dirigida 4 S.'&amp;I; en 9 de* Agéltb5d^'líW3, por D. Juan dé OUvarrJa; sobre el medio más, breve y eficaz de mejorar la. condición te-Cueras 57 enfermos, curaron 21 y murieron 10. física y motál del pueblo español. ‘Erstimaimeúte intéresán'té pot‘stlí originalidad*, filo sofía y patriotismo; «iij tomo en R.°:4 8 H?—Bi Tccooló^iro n*cion*l d4_ógr*f#it!irar…</t>
  </si>
  <si>
    <t>Juan, Antonio Alcázar de S</t>
  </si>
  <si>
    <t>Antonio Alcázar de S Juan</t>
  </si>
  <si>
    <t>…ael García Bastan, han practicado un reconq’ci- á'aleanzarle ayer, y que no me dirige el parte detallado de aquella miento por los montes de Toledo, después de haber asegurado en acción porque se lo exigió el capitán de su cuerpo D. Antonio Alcázar de S. Juan los fondos del Gobierno, para averiguar el pa Falcon, diciendo que él es el encargado por V. E. para la perse radero y dirección de la gavilla titulada del Lobito, que en los días cución de dicho cabecilla. Tampoco puedo prescindir de hacer pre anteriores se habia aparecido en las inmediaciones de los…</t>
  </si>
  <si>
    <t>Juan, Carlos</t>
  </si>
  <si>
    <t>Carlos Juan</t>
  </si>
  <si>
    <t>…el Real Sitio del Pardo. periódico AftontiJningm ávéfin ¡vario -jlwitrajx conjeturas enhrr el ohjcTn ri---- esta misión, la Svmska-Minerva explica su causa, diciendo que el Empera dor quiere expresar su gratitud á la atención del Rey Carlos Juan en haber enviado al conde de Lowenhiclm para asistir á la gran {unción de Alejandro ! MINISTERIO de lo interior. que acaba de celebrarse en. San Petersburgo. . Real orden. PKUS1A. Enterada S. M. la Reina Gobernadora de una consulta del go SerUn l.° de Octubre. bernador civil de Toledo, preguntando…</t>
  </si>
  <si>
    <t>Juan, D</t>
  </si>
  <si>
    <t>D Juan</t>
  </si>
  <si>
    <t>…iendo que ninguna, me Votado este dictámen por partes quedó aprobado en todas ellas. parece se está en la necesidad de establecerla para lo sucesivo: si no obraremos F.l Sr. Trucha reclamó el expediente relativo á los poderes del Sr. D. Juan á ciegas.” , Gualberto González, electo por Huelva. , Otro Sr. Procurador expuso que la comisión parecía contradecirse , opi El Sr. Medrano contestó estaba aun pendiente. nando un. individúo una cosa y otro otra. En seguida se leyó por el Sr. López el proyecto de contestación ál dis Sr. Medrana-. »…</t>
  </si>
  <si>
    <t>…nsula por su comercio y propiedades. Exctno. Sr.: El general Espartero desde Elorrio^y en 26 del corriente Para inteligencia de las personas que ignoran las nricasiextensas^deTós . me 4mtatfcri6~que'en 17 le decía desde Bérmeo el gobernador D. Juan Du empresarios, se hace presente que observándose una exacta regularidad en las ran, coronel del provincial de Trujillo, y. que literal es lo siguiente: Anoche salidas y tiempo del pasage~3e los vapores en la travesía entre Londres, Lisboa, á las ocho supe que V- S. había llegado al punto de Munguía c…</t>
  </si>
  <si>
    <t>…eclaman , como lo ha hecho ahora,Tobarra cata Mur / chos é historias de curaciones asombrosas de otras enfermedades venenosas con cia. Son maravillosos sus efectos en la curación de la rabia y mordedura de ..la estos polvos; y el Sr. D. Juan de'Soto, vocal de la junta de Sanidad, que víbora , contestados siempre por la experiencia. conservaba en su «poder una cantidad dq la verdadera viborera preparada en «Se componen estos polvos de tas yerbas siguientes: Yesfe, tuvo la feliz idea dé recomendarla al practicante mayor del hospital de «…</t>
  </si>
  <si>
    <t>…aclamado solamente Infan pagará un tributo, no sospechoso, dé admiración. te por haberle precedido el Sr. D. Antonio, Príncipe de Beira. Fueron sus Tan grande en la muerte como en la vida, no pudieron los sofismas de la padres el Sr. D. Juan vi y la Sra. Doña Carlota Joaquina de Borbon, hija esperanza ofuscar su razón; todos vejan mejoría en su salud, y él solo veía la del Rey católico Cárlos iv. eternidad. Preparóse pues á ella cori la mas edificante resignación, y después de Por muerte del Príncipe O. Antonio en el año de 1800 vino a…</t>
  </si>
  <si>
    <t>…y Carmona. de Orewenitz; traducido del aleman al francés con notas el año de 1831 por Ra&gt;- Interin se verifica el arreglo general de presidios, ha pedido que se le co vichio de Geretzdorf; y de órden superior al castellano por el capitán D. Juan Do mínguez Sangran* subteniente del Real cuerpo de artillería. Esta obra* que es del munique una órden que hay para la formación de uno correccional en aquella mayor interes para tos artilleros, puede considerarse como indispensable para los ge capital; y ha recibido noticias sobre el mal estado de lo…</t>
  </si>
  <si>
    <t>…de Enero de 1830, ñas particulares una nueva parroquia en esa ciudad con ei tirulo del Dulce la cual en consecuencia es conveniente renovar, con lo que la industria y la nombre de María, •dificindola con sujeción i los plañe» del profesor D. Juan nación, tributaria hoy de los extrangeros, recibirán un beneficio señalad». Miguel Inclan, aprobados por la Real academia de S. Fernando; v con tal Deseosa S. M. de proporcionarlo á sus pueblos, y enterada de cuanto re magnificencia, que V. E. la cree digna de trasmitir á las generaciones venide su…</t>
  </si>
  <si>
    <t>…cia he determinado retroceder desde aqrii con las divisiones de infantería á pasar el Tajo por Malpica y Herrera, lagana, la cual, acometida desde luego, rompió un fuego terrible donde tengo liare dos diaS al gefe de estado mayor coronel D. Juan sobre nosotros. Las compañías de cazadores del Príncipe y Compostela, lo respondieron bizarramente, y avanzando yo en seguida conTena para habilitar las embarcaciones de aquellos puntos inmedia tos; y si están corrientes á mi llegada, mañana quedará en España mi plana mayor, ayudantes, y el capitán…</t>
  </si>
  <si>
    <t>…éj, descubrieron un bulto como de persona que madrugada de hoy; y habiendo tomado todas las precauciones opor v corría dentro del cañizal,.al cual hicieron fuego, y siguiéndolo, se tunas en combinación con el teniente graduado de capitán D. Juan encontró un trabuco cargado con 2 balas y 11 postas y una man María Miqueloti de los expresados cazadores, logré sorprenderles ta con dos panes. la guardia de reten; y á pesar del Vivo fuego y resistencia que hi Considerando el sargento comandante'^de la partida que su fuer cieron en todos sus acua…</t>
  </si>
  <si>
    <t>Juan, D José Ctarói Exc.no Sr D</t>
  </si>
  <si>
    <t>D José Ctarói Exc.no Sr D Juan</t>
  </si>
  <si>
    <t>…lcalá Zamora. cas él día 11 del mes de Marzo del afio de 18331 convenio preliminar,.aúpan St. D. Agustín Aivarez de Sototnayor. ratificaciones se han cangeado en Caracas, el tercer dia del mes de Eneres deá riovtHciA os ■tratar*. Sr. D. José Ctarói. Exc.no. Sr. D. Juan Gualberto González. mrtcio establecidas hace muchos años entre los Estados de S. M. el Rey loy franceses y Venezuela, de favorecer su extensión y perpetuar su duración yor un tratado de amistad, comercio y navegación que consagre al mismo Partee recibidos en la secretaria de Estado y det Despacio J…</t>
  </si>
  <si>
    <t>Juan, D Pedro</t>
  </si>
  <si>
    <t>D Pedro Juan</t>
  </si>
  <si>
    <t>…oslo asi, que los consolaba de la Gándara, Procuradores por las provincias de Orense y Madrid. creyendo no llegaría, á ellos; y los gobiernos han tenido que contemporizar con La comisión de Poderes, eti vista de la exposición del Sr. D. Pedro Juan '•ata idea, que en parte los tranquilizaba. No es pues esta una cuestión tan clara de Zulueta, electo Procurador por la provincia de Cádiz, manifestando no po coiqo parece: aun dudan infinitos si el extenderse el mal es por falta de ob der ejercer este cargo Por causas independientes de su voluntad…</t>
  </si>
  <si>
    <t>Juan, D Pedro Fuster J Sr D</t>
  </si>
  <si>
    <t>D Pedro Fuster J Sr D Juan</t>
  </si>
  <si>
    <t>…hí. el B.ey Othbn continuaba siendo satisfactoria, y el amor de la tucion á St.D.D. Manuel Joaquín Tarancon. m Soberano, y la confianza de la misma en su» .intencionen aumentaba de día aa dia. (¿Monitor."} provincia db vaibncia. Sr. D. Pedro Fuster. J Sr. D. Juan Subclase. r. D. José Ciscar. | Ír. D Antonio Ayajga, j) Madrid k, dr Julio. Sf. D. Ildefonso Diez dé Rivera» conde dtAlmorÍ0*pi. ttBOCrptt DE PROCURADORES DE¿ REINO. Sé. D. Abdon Ruiz de Carrú». provincia db Suva. ■sovikcia a S. D. Jacinto d« Roñante,</t>
  </si>
  <si>
    <t>Juan, Fermín y D</t>
  </si>
  <si>
    <t>Fermín y D Juan</t>
  </si>
  <si>
    <t>…el campo de batalla, como por el de heridos que cisco de Echalucc, hermana del Sr. comandante general de esta provincia, han retirado 4 loa pueblos de Navarniz, Ereño y otros. Lo que tengo el ho que dejó tres hijos, D. Bernardo, D. Fermín y D- Juan, de tierna edad, y nor de poner en conocimiento de V. E. para que lo eleve al de S. M. la Reina sin apoyo alguno: á Mana Antonia de Landa, viuda del Urbano muerto Ba ‘Gobernadora. Y lo trascribo.á V. E con el propio efecto y en Cumplimien silio Ascargorta, que dejó una hija; y í Doña Juana Uersundi…</t>
  </si>
  <si>
    <t>Juan, Jorge</t>
  </si>
  <si>
    <t>Jorge Juan</t>
  </si>
  <si>
    <t>…sta el punto.de calcularse todo originalmente en Cádiz cuenta sobre 8U años de existencia desde su primitivo establecimiento, 3 establecimiento, con lo cual nos hemos librado de la degradante dependen- debido al celo del inmortal D. Jorge Juan, y ha seguido sus tareas desde en cu en qu« antes estábamos de los ingleses y franceses, para ciertos artículos de tonces, aunque sujeto á las intermisiones y vicisitudes que, han ocasionado las tus obras de esta dase- circunstancias en tan largo período de tiempo. Trasladado á 1a ciudad de San. Ta…</t>
  </si>
  <si>
    <t>Juan, José María de Agui Valencia D</t>
  </si>
  <si>
    <t>José María de Agui Valencia D Juan</t>
  </si>
  <si>
    <t>…cencia de reiterará V. E. las protestas sinceras de su distinguida consideración y respeto. Dios v libertad. Extracto del parte remitido por el gobernador civil de la provtncia .de Sala capitular de Orizaba.Mayo 4 de 1834.=Excmo. Sr.=José María de Agui- Valencia D. Juan Antonio Castejon con fecha I.°de Agosto actual. lar.=Joaquin Fernandez , secretario. := Excmo. Sr. general D. Antonio López Excmo. Sr.: Él estado brillante en que se halla la agricultura en esta pro de Santa Ana , presidente de los Estados Unidos mejicanos. vincia puede servir de modelo á las mas a…</t>
  </si>
  <si>
    <t>Juan, Pedro</t>
  </si>
  <si>
    <t>Pedro Juan</t>
  </si>
  <si>
    <t>…asi, que los consolaba de la Gándara, Procuradores por las provincias de Orense y Madrid. creyendo no llegaría, á ellos; y los gobiernos han tenido que contemporizar con La comisión de Poderes, eti vista de la exposición del Sr. D. Pedro Juan '•ata idea, que en parte los tranquilizaba. No es pues esta una cuestión tan clara de Zulueta, electo Procurador por la provincia de Cádiz, manifestando no po coiqo parece: aun dudan infinitos si el extenderse el mal es por falta de ob der ejercer este cargo Por causas independientes de su voluntad…</t>
  </si>
  <si>
    <t>Juan, Pedro Canals y Mayol Sr D</t>
  </si>
  <si>
    <t>Pedro Canals y Mayol Sr D Juan</t>
  </si>
  <si>
    <t>…ON DE PROCURADORES DEL REINO. ráneo) ............... 21 Idem (Océano)......... ........................................ 32 ISLAS SALEASES. Sr. D. Luis de S. Simón y Orlandis. Total......................................... 158 Svr D. Pedro Canals y Mayol. Sr. D. Juan Camps y Soler. En el periódico de Tolosa, titulado la Francia meridional, del 28 de Julio, se lee lo siguiente: » Habiéndosele admitido su dimisión al general Vinot, comandante del departamento de los Pirineos orientales, ha partido el 16 de Suscripción mandada establecer por Real ir den de l.° del…</t>
  </si>
  <si>
    <t>Juan, Pedro y D</t>
  </si>
  <si>
    <t>Pedro y D Juan</t>
  </si>
  <si>
    <t>…n acontecimientos' de revolución con motivo tos no se Babia de formar ninguna, estaríamos absolutamente sin autoridad al del levantamiento de cuatro partidos diferentes, el de su abuela , su madre , y guna. . - v _ ; sus dos tio* D. Pedro y D. Juan : feltos acontecimientos pusieron i ia Nacido El Sr. Latorre insistió nuevamente en las ideas que acababa de manifestar en la-mas completa anarquía, que solo cesó con triunfo de éstos tíos y con sus en su discurso» mueites, pues en aquellas circunstancias murieron los dos en la guerra deGra- EP Sr*…</t>
  </si>
  <si>
    <t>Juan, Principa</t>
  </si>
  <si>
    <t>Principa Juan</t>
  </si>
  <si>
    <t>…, y ea lai proyitóa» *»' toda» las administración*» Piltraau(o ~ i*»' av' ,■&amp;,». ' ' Parar! Siio. Jfa. . de Correo*;'. '" ■ ' - Pan Cat^riu.^, - 3$ó -. ígc* . $5* J^LR»r- 4°° *9** • ^ • f ------Ayer murió el caballerizo mayor del Emperador, Principa Juan déTraub1 ' '■ ¡ ARTICULO DE OFICIO. mauntorf. ~‘ í S. M. la, Reina nuestra Señora, su augusta Madre la Reina ____ Cartas de OonUanti-oplj del ] n &lt;Je Setiembre anuncian qul la pote Con Gobernadora y laSerma. Sra. Infanta Doña María Luisa, continúan tinúa ¡pecado grandes atreg; s en acjúcila ejj'.tJ…</t>
  </si>
  <si>
    <t>Juan.Plandolit</t>
  </si>
  <si>
    <t>…poderes, y se ignora su reemplazo. «El coronel D. Ramón Pardi&amp;as, nombrado Procurador por una 3e las Tarragona.=D. Guillermo Oliver. 1 provincias de Galicia, se . halla en el ejército del Norte á la cabeza dél regi Barcelona. re D. Juan.Plandolit. miento provincial de Mondofiedo; y aunque hasta ahora no se ha presentado Oviedo.eeD. José Serrano Salas. sus poderes existen en el ministerio de lo Interior.4’ Gu¡púzcoa.=D. José Joaquín dé Mariítegui. El Sr. Acevedo manifestóle» motivos porque no se había presentado el Sr. Procurador, electo por…</t>
  </si>
  <si>
    <t>Juana</t>
  </si>
  <si>
    <t>…reino. Y últimamente, que ha consu tentos y las pretensiones dél Rey dtiPórtugal á la corona de Castilla, por mado sus crímenes, no solo promoviendo la guerra civil, sino poniéndose al los derechos que presumía tener por su muger Doña Juana, hija de Henrifrente de ella. " que ív. " ' ...... , [___ _____ El primero y segundo punto tienen íntima conexión entre sí; puesto que También se hallará la segunda. Isabel en las’éjjreíentes Córtes contra I? el único fundamento de que el Sr. Infante hace descender sus pretendidos de tempestad que…</t>
  </si>
  <si>
    <t>…, y obra lá mas perfecta de «Después de tantas pérdidas y desgracias ocurridas en. poco años á la fami aquel siglo, que recadaba la grandeza romana, y que se parece á los monu lia Real, reconoce la nación por heredera del trono á Doña Juana, á pesar mentos de aquel gran pueblo, que apenas han envejecido* Pues ya en las Par de la flaqueza de su juicio. - tidas vemos una ley terminante, expresa, por la que son llamadas las hembras « En todos «tos sucesos vemos el apego constante de los español» ¿ conser á la sucesión; esta es la 2.a del…</t>
  </si>
  <si>
    <t>…obierno, quisiera que se les añadiese lo que presentó otro ejemplo, por el cual se convencerá la Nación entera de que las propuso ayer el Sr. conde de las Navas para el caso fatalísimo y no esperado mugeres pueden subir al trono. Doña Juana fue propuesta para que se re de faltar las dos augustas Princesas , á saber, que se declarase que la línea del conociese en las Córtes de 1482: sin embargo de las murmuraciones, ya Sr. Infante D. Francisco de Paula debía suceder eu este caso. Asi evitaríamos, públicas ya privadas, y de las protesta…</t>
  </si>
  <si>
    <t>…estra marcha, en la que supiraos que los rebeldes, aco toria cuenta entre los héroes; Doña Isabel i á quien el Nuevo-Mundo Ic debe sados de las tropas de Braganza, en unión con parte de la compañía de cara el ser que hoy tiene; y Doña Juana, madre del invicto Cárlos I que colo bineros, se dirigían á Rebatdelo, y efectivamente al aproximarnos huyeron có el pabellón español sobre la cima del Chimborazo. Las altas cimeras y los hácia el puente de Valdarmeiso, donde los hallamos en posición i la orilla penachados capacetes de aquellos val…</t>
  </si>
  <si>
    <t>Juana, Angel de Yoldi y de Doña</t>
  </si>
  <si>
    <t>Angel de Yoldi y de Doña Juana</t>
  </si>
  <si>
    <t>…cio , y por su inmediación ai puerto de la capital, por ia cual da salida á sus Puerto de Sta. María, y natural de Genova. sobrantes, y recibe ias primeras materias y los frutos coloniales con quecomerId. á favor de los hijos de D. Angel de Yoldi y de Doña Juana de Be- cia con lo* pueblos de &gt;u radió y con Jos del bajo Aragón. Bajo el concepto ramendi. de insliuccion ofrecen también grandes ventajas estos tres puntos por la ten Id. de D. Julián Perez de Mendraca, de Uceda. dencia que todos los habitantes de la provincia tienen á acudir á ellos en todas May…</t>
  </si>
  <si>
    <t>JuanDÍ</t>
  </si>
  <si>
    <t>…de aguas de los ríos. Pare-' Para este óbjetb bastó un cono destacamento0 de infaritérjaycabaHería^gl^íñ^^ ce’que íú diferentes parages se han roto y descompuesto los diques, en cuya „ do del teniente del 5.® ligero de esta arma, D. JuanDÍ3z¿ quien sin «hbáigó reparación se trabija sin descanso. Son también muchas las desgracias qué soj de:.Haber encontrado los rebeldes preparados á la dfeTénsk, y favorecidos pollas Cuéniái bourridas en la mar , ascetidienfló, á un crecido número los navios qíie zanjas y parapetos que habían practica…</t>
  </si>
  <si>
    <t>JuanDrumenr</t>
  </si>
  <si>
    <t>…colás' de Alfaro, i II rs. rús— superior á los recursos de un particular que caree? de Jodos los datos y noticias tica------Memoria del Cólera-morbo según observaciones escrupulosamente hechas en Francia y Portugal, por el doctor D. JuanDrumenr, i 7 rs. rúnica.*-----Memoria delnecesarias para desempeñarla con exactitud y acierto, tuve que desistir de tan Cólera-morbo. signos precursora de ata enfermedad con su pian curativo, observado laudable propósito. En efecto, para presentar á mis Lectores estados positivos 4 la cabecera de los enfer…</t>
  </si>
  <si>
    <t>JuanDrumenr, D</t>
  </si>
  <si>
    <t>D JuanDrumenr</t>
  </si>
  <si>
    <t>…t&gt;. Nicolás' de Alfaro, i II rs. rús— superior á los recursos de un particular que caree? de Jodos los datos y noticias tica------Memoria del Cólera-morbo según observaciones escrupulosamente hechas en Francia y Portugal, por el doctor D. JuanDrumenr, i 7 rs. rúnica.*-----Memoria delnecesarias para desempeñarla con exactitud y acierto, tuve que desistir de tan Cólera-morbo. signos precursora de ata enfermedad con su pian curativo, observado laudable propósito. En efecto, para presentar á mis Lectores estados positivos 4 la cabecera de los enfer…</t>
  </si>
  <si>
    <t>Juani</t>
  </si>
  <si>
    <t>…on la dignidad Real; asi como en sus últimos tiempos lo hacían los Em « Cuando por d curso de ios sncesOS'de la giKCfaíiioos vencidos Los par peradores romanos, asociando al imperio á los que querían que fueren sus su tidarios de Doña Juani, y expulsados Jos portugaéscs'dehferzitorio de-Casti cesores. Asi se practicó mas de una vez en España, hasta que con el trascurso lla, se trató de arreglar el Gobierno^ renunciando coa. dáfienátad los partidos del tiempo llegó á establecerse en beneficio público la monarquía hereditaria. al influj…</t>
  </si>
  <si>
    <t>JuanLezarna</t>
  </si>
  <si>
    <t>…a de los Reales decretos promulgados acerca de baldosadas, por el riesgo de qué cotí el calor se carbonicen é incen «ge; particular, la pensión de doa rs. vn. diarios á cada una de 1as dien loa maderos del suelo. aiete viiidás de D.; JuanLezarna, Antonio Bañares, D. Martin(¿hiin- 8? No se podrá sacar á los balcones y ventanas, ni encender en tona ,M*teo€ialáta8,Joaquin García , Evaristo Peña Iba y Antonio gllps Ios-braseros ni otra vasija con lumbre, ni tampoco arrojar las Perilla, vecinos que-faerón de dicha villa de Háro, é individuos de…</t>
  </si>
  <si>
    <t>Juany</t>
  </si>
  <si>
    <t>…resente dice su gobernador civil, que en los días 18, Colección de Poesías castellanas, traducidas en Verso toicaao* é ilustradas por el . 49 T2y',in-babia notado alguna baja en ef nütKero de los fallecimientos ocur conders. rama,D. Juany 50 pastaBautistacomún.Coatí.BstaCuatroobra*tomosá la queea 8.°acompañamarquilla*el textoedicióntosesno*de 1^82está* diviá £8 ridos ák|Í|iMlla capital-, en Pechina, Macael, Roquetas, Nacimiento, Taver- dida en tres partea; la primer* contiene las poesías líricas con algunas otras de estilo ’ Velet-R…</t>
  </si>
  <si>
    <t>Juárez, Apolinar</t>
  </si>
  <si>
    <t>Apolinar Juárez</t>
  </si>
  <si>
    <t>…lleva á efecto, no se aquellos habitantes. Los decididos Urbanos de Villafrartca, al mando, la in oye ya hablar de un solo rebelde en todos los partidos inmediatos á esta pla fantería de D. Joaquin Saavedra, y la caballería al de D. Apolinar Juárez de za,ni tampoco en el alto ni bajo corregimiento; solo quedan algunos pocos Deza, señor de Lancara y Tineo, unidos con su benemérito alcalde mayor, sa dispersos refugiados en los puertos en número muy despreciable, pues que sien lieron en su persecución, y consiguieron alcanzarlos en el punto y puebl…</t>
  </si>
  <si>
    <t>Jubiéndoic, Miratoda'éy</t>
  </si>
  <si>
    <t>Miratoda'éy Jubiéndoic</t>
  </si>
  <si>
    <t>….................................. 180' También se aprobaron bajo la condición de presentar los documentos justi- D. Santiago Salanqcva por asignación mensual................................ 20 ficativq\íquOii«.Uey seáalavlbs del Sr.:Miratoda'éy Jubiéndoic suscifado una li Éxcmo. Sr. tzsarques de Su. Cruz.................................................... .. 800 gera discusión sobre si debía fijarsetérminó.para esta presentación conforme á D. Ildefonso Bellido........... .........................................*............ 60 ios artículos 16 y 17…</t>
  </si>
  <si>
    <t>Jugueras, Paula</t>
  </si>
  <si>
    <t>Paula Jugueras</t>
  </si>
  <si>
    <t>…nto» Sr.: Después de haber quedado en la Borunda y ralle Araquil navio que le acompaña. = - la vanguardia de este ejército á las órdenes del Sr. brigadier D. Francisco de El Sr. coronel D-Manuel Guerra, mis ayudantes de campo, el teniente Paula Jugueras, extendí mis operaciones í toda la amplitud que dieron de sí coronel D. Juan Tran, el alférez de caballería, capitán de la Milicia urbana la» circunstancias y los movimientos del enemigo, según tuve el honor de par de Valenéia de Alcántara D. Gonzalo Barrantes, y el subteniente de infan ticipar ¿ V…</t>
  </si>
  <si>
    <t>Juhó.n, Montevírgsa No di</t>
  </si>
  <si>
    <t>Montevírgsa No di Juhó.n</t>
  </si>
  <si>
    <t>…Enero al l.° de Julio,te les El Sr. Caballero: «Me parece queTa observación del Sr. García Atocha pagaran los intereses del semestre qut principiaba en l.° de Enero hasta l.°da no la be entendido yo en los mismos término* que el Sr. Montevírgsa. No di 'Juhó.n~ ce que'se incorporen los intereses sn esta pártafo, sino en el primero en que ss</t>
  </si>
  <si>
    <t>Juiio, En</t>
  </si>
  <si>
    <t>En Juiio</t>
  </si>
  <si>
    <t>…4=Móscoso. un comerciante ó-en la tranquilidad de una provincia. w f 1 .Xas considerables paradas del correo en algunos puntos hacen inútil lá ce leridad fleautnarcha, y habrán dedesa parecer en . virtud deí concierto de ¿un plan general. En Juiio de 1833 pasó una nota al Gobierno el Sr. embajador ESTADO SANITARIO DEL REINO. dé'Francia expresando los perjuicios que se seguían al comercio de Bayona, de PROVINCIA DE VALENCIA. Burdeos y de París, por las 24 horas en verano y 18 á 24 tn inyierno qué sé detenia el correo en Vitoria. Él director gene…</t>
  </si>
  <si>
    <t>Julián</t>
  </si>
  <si>
    <t>…e de la Barquera á D. Segundo San á para para la de Escalona y Galves: la de Cíñete Ripoll Juan: i D. J rolsa db coMERcio._Co/itciooM dt htsy i las tres dt la tardt. • p a Martine;: Urioste, y la de Ordenes á D. Yanguas: Aquilino D. Julián pare *1 corregimient o de Calahorra á D. Mariano AmadorL EFECTOS PUBLICOS. Inserípelona en el gran .libro i í p- 100 . 00. Títulos si portador del 5, p. 100. 5a 31 d. f. 6 voL ESTADO SANITARIO DEL REINO. Inscripciones en el gran libro a 4 P- 100 . 00. Títulos al portador del 4 p- 100, 10, i j ÍUf a…</t>
  </si>
  <si>
    <t>…ales, y mucho mas cuando en el tiempo en que estamos las dé los guias de Zumalacarregui, y con él á la madre de dos de los urhános en excepciones no soh ya de moda, y los privilegios indican siempre algo de des cerrados, llamadas D. Julián y-D. Rufino de la Bastida (con la circunstan potismo. cia de que uno de ellos dejó el lechó en que estaba postrado por el cólera) pa- -&lt; «Estos principios inconcusos halló yo aplicados en el artículo que presen ra intimarles que si no entregaban Sus hijos y compañeros las armas, la pon ta el Gobier…</t>
  </si>
  <si>
    <t>…or le pa ligero, con la 1.a y 2.a compañía de cazadores del Príncipe , 3“ de infante rezca. Según la relación que ha Fecho el propio que recibo desde Bctelu, no ría de línea,'Bajo la dirección del gefe interino de brigada coronal D. Julián han debido detenerse los enemigos hasta Ataun, por donde se dirigían todos los Olivares Manzanédo, siguiendo ditbo general en apoyo de este gefe con el pro navarros, alaveses y Guibelalde, y entre ellos 300 caballos. Tolosa 7 de Agos vincial Alcázar de S. Juan, el 2.° batallón deAj-egimiento 18 ele…</t>
  </si>
  <si>
    <t>Julián, Valero</t>
  </si>
  <si>
    <t>Valero Julián</t>
  </si>
  <si>
    <t>/ . ' í 11 ■■ ¡En eUescrútinío secreto fueron aprobjiios por una gran miyaríaambos prp^-, _r en Calatayud D. Valero Julián, que habiéndome y* E “1 teniente, retirado yectoiideréeyi'l ■ c hallado en Pozuelo U1*: dijo, desearía, seguirme , y ha sido el que con su caballo : Sejppocecie-á ladiscuskxodriproyeetordqlsy relativo &amp; ifls.’tqngdores y. .fue el primero qué alcanzó á un faccioso y le dio la muerte', como' asimismo…</t>
  </si>
  <si>
    <t>JuliánGraples, Manuel</t>
  </si>
  <si>
    <t>Manuel JuliánGraples</t>
  </si>
  <si>
    <t>…cha de 29 de Mayo, recibimos los pormenores cripción á fin de Diciembre.................................... ............... .................. 3&lt;5i) siguientes apere* del efecto que ha producido en aquel país haber sido desechada D. Manuel JuliánGraples, mensualmente........................................ ^ en la Cámara de diputados la ley de la indemnización de los 25 millones de D. Vicente Escribano.............................................................................. Jim fr. Llamamos la atención del comercio sobre algunas líneas que le…</t>
  </si>
  <si>
    <t>Jumaña, Raimundo</t>
  </si>
  <si>
    <t>Raimundo Jumaña</t>
  </si>
  <si>
    <t>…ifi, marchando yo sobre las alturas y pueblo También se ha capturado al cabecilla Vicente Marques de Prats de Llusánes, ¿é5al$&gt;a, desdé donde'rompieron los' facciosos un vivó fuego ,'á que se le con- por el subteniente de Urbanos D. Raimundo Jumaña, á quien recomiendaj tüsñS ioú tinos" cuantos disparos de mis des piezas démoptaña , ínterin des- aquel rebelde lo era desde la insurrección de Galceran: contribuyeron i su pri jjlfcéabaen batálla tni cólumna de vanguardia, compuesta del' batallón de Gc- sión otros Urbanos del mismo pueblo, cuya le…</t>
  </si>
  <si>
    <t>Jun, AutoJLute</t>
  </si>
  <si>
    <t>AutoJLute Jun</t>
  </si>
  <si>
    <t>…............. Idem. Id. Id. 183 9 8 no verificarlo, les parara perjuicio. —En virtud de providencia del audttor de Guefra de esta provincia, se ha señalado para junta de acreedores alus bienes que han quedado por fallecimiento de D. AutoJLute.................... 29 Jun. i 2 Jul. 375 26 37 nio Cendre, el dia 29 del corriente 4 las diez oe su manana., en la audiencia de dicho Sr. juez, sita en la calle del Burro, núm, 33, cuarto bajo. Los que sé Crean con dere Vill* de Rio.... 30 Jun. í 3Jul. 000 000 20 cho comparecerán a usar de él por sí ó por apoderado; apercibió…</t>
  </si>
  <si>
    <t>Junio, D Juan Romero Alpuente Cox</t>
  </si>
  <si>
    <t>D Juan Romero Alpuente Cox Junio</t>
  </si>
  <si>
    <t>…30 ídem. 12 8 2 fe, P. Alberto Valdric, marques de TorreraejU. Sr. D. Ramón de Ciscar. Dolores............ . 27 á 29 ídem. 78 19 2 Sr. P. Pedro Marti. PROVINCIA BE TERCER. Rojales........... . 30 Junio á 1.a Julio....... 12 00 I Sr. D. Juan Romero Alpuente. Cox.................. . 27 Junio á 2 Sr. P. Manuel de Pedro. . 201 6 48 Sr. P. Salvador Campillo. Catral. ...... . »30Julio............id. á 1.a Id. 17 83 8 PROVINCIA DE MADRID. Parte recibido en lo secretaría de Estado y del Despacho de la Guerra. - El geneial en gefe; del ejército de operaciones del Norte P. José Ramón Parte san…</t>
  </si>
  <si>
    <t>Junio, Juan Romero Alpuente Cox</t>
  </si>
  <si>
    <t>Juan Romero Alpuente Cox Junio</t>
  </si>
  <si>
    <t>…ídem. 12 8 2 fe, P. Alberto Valdric, marques de TorreraejU. Sr. D. Ramón de Ciscar. Dolores............ . 27 á 29 ídem. 78 19 2 Sr. P. Pedro Marti. PROVINCIA BE TERCER. Rojales........... . 30 Junio á 1.a Julio....... 12 00 I Sr. D. Juan Romero Alpuente. Cox.................. . 27 Junio á 2 Sr. P. Manuel de Pedro. . 201 6 48 Sr. P. Salvador Campillo. Catral. ...... . »30Julio............id. á 1.a Id. 17 83 8 PROVINCIA DE MADRID. Parte recibido en lo secretaría de Estado y del Despacho de la Guerra. - El geneial en gefe; del ejército de operaciones del Norte P. José Ramón Parte san…</t>
  </si>
  <si>
    <t>Juño, Secreta Aráfoltt S Je</t>
  </si>
  <si>
    <t>Secreta Aráfoltt S Je Juño</t>
  </si>
  <si>
    <t>…ar í las que tenga efecto esta soberana resolución por todas las dependen tropas que están i sus órdenes. cias del ministerio de su cargo. Dios guarde 5 V. E. muchos años. RADA. Riofrio 29 de Julio de 1834.=Nicolas María Garelly.=Sr. Secreta Aráfoltt S Je Juño. rio del Despacho de Estado. Ayer salieron de este puerto con dirección i Palomo los navios él Veru bio , espitan Lettieri, y el León, capitán Scarpati. Estos dos buques pertenecen á la marina Real, y se cree que van encar gados de alguna misión secreta. (G. dt Augeburgo.) PARTE NO OFICIAL. CtGLATBR…</t>
  </si>
  <si>
    <t>Junquera</t>
  </si>
  <si>
    <t>…ropas de $. M. la Reina nuestra Señora varias ar mas de fuego, una caja de guerra ¿ tal vez la única que tenian, y otros efectos, ESPAÑA. con perdida por nuestra parte de un corneta muerto y un cazador herido. Al propio tiempo el coronel Junquera perseguía al Serrador por las in Madrid 6 d¿ Diciembre. mediaciones de BenasaK, Culla, Vistabelia y Viliafranca, hasta que por últi mo le obligó á meterse en ios espesos pinares de Mosquerucia , lo que coinci Los Milicianos urbanos de la villa de Cenicero han dirigido i S. M. la dió con la recalada…</t>
  </si>
  <si>
    <t>…2r que no habían remitido los partes - el día l.° del mes de la fecha Las mismas ventajas manifiesta haber conseguido sobre la gavilla de Torse canto el 7 e Ocnm en aquella capital por haberse extinguido totalmente la cíidell el coronel Junquera después de su última derrota; aprehendiendo dia enfermedad que la aíligia. riamente muchos de sus dispersos, habiéndosele ademas presentado entte otros i 2 con sus armas. PROVINCIA DE VALENCIA. Avisa su gobernador civil en oficio de 8 del actual, que en lo* cuatro El capitán general de Aragón, con…</t>
  </si>
  <si>
    <t>JüO, Pedro Antonio de la Cámara</t>
  </si>
  <si>
    <t>Pedro Antonio de la Cámara JüO</t>
  </si>
  <si>
    <t>…hacerse la enmienda indi fermedad ........................................................ .......................................... 220 cada; pero manifestó que debía, tenerse en consideración , que el acta estaba Él pré»b¡tero D. Pedro Antonio de la Cámara................................. JüO redactada sin otros datos que los apuntes particulares de los Secretarios , y los . D. Francisco Redondo , del Consejo supremo de España é Indias.. 500 que habiltvqjtítíldoP detener *n" la1 memoria; püe4‘rfo habiendo asistido loé taquí . D. Manuel de- Craúrza por ahora 2uü_rs., y mentalmente 20 des…</t>
  </si>
  <si>
    <t>Juslis, Manuel</t>
  </si>
  <si>
    <t>Manuel Juslis</t>
  </si>
  <si>
    <t>…e alravcsarorj^el bosque, pero los rebeldes prácticos en el terreno, y que D. Fernando Mófibran: también se distinguió y fue contuso el teniente de U habían observado mi movimiento desde Urdain, mucho írus cerca que yo lo guardia D. Manuel Juslis adicto á la plana mayor. creía / adelantaron á favor de los bosques fuerzas muy considerables por mi de Es de mi deber manifestar á. V. E. que á pesar de las triplicad is fuerzas del recha, al mismo tiempo que dirigían otras por mi izquierda y U cargaban por el enemigo, y de !u penoso de nuestra si…</t>
  </si>
  <si>
    <t>Just, D José S</t>
  </si>
  <si>
    <t>D José S Just</t>
  </si>
  <si>
    <t>…ador de que se trata no quiere admitir este da con una modificación propuesta por el Sr. Montenegro. cargo grave, expuesto y costoso por no ser ápto para ello, mi opiniones ieual Se mandaron pasar á la comisión de Poderes los del Sr. D. José S. Just, á la manifestada por mis d:gnos compañeros; pero creo que mientras asi tro lo electo Procurador por Puerto-Rico, con los documentos justificativos de su „ exprese francamente, se debe aprobar el dictámen de la comisión, pues el que aptitud legal. — no quiera admitir este cargo honroso debe decirlo…</t>
  </si>
  <si>
    <t>Just, D José San</t>
  </si>
  <si>
    <t>D José San Just</t>
  </si>
  <si>
    <t>…con una breve instrucción pre ÍSÉA DE ¿UEXTO-XICO. liminar de la gramática castellana para facilitar a los curiosos el estudio de' las dos lehguas r su autor el abate D. Pedro Tomasi. Un tomo en 4-°, cuarta edición, año de 18?4. Sr. D. José San Just. á il rs. rama y 17 pasta común. Sr. D. Esteban Ayala. ——Noticia y plan de uo víage para reconocer archivos y formar la colección diplo mática de España, encargada á D. Manuel Abella. Un romo en 4.0 marquilla, impre ■ ■ ■róJáámm. ■ so en 1795, á 4 rs- rama y 4 en rústica. En la primera parte de este…</t>
  </si>
  <si>
    <t>Just, José S</t>
  </si>
  <si>
    <t>José S Just</t>
  </si>
  <si>
    <t>…de que se trata no quiere admitir este da con una modificación propuesta por el Sr. Montenegro. cargo grave, expuesto y costoso por no ser ápto para ello, mi opiniones ieual Se mandaron pasar á la comisión de Poderes los del Sr. D. José S. Just, á la manifestada por mis d:gnos compañeros; pero creo que mientras asi tro lo electo Procurador por Puerto-Rico, con los documentos justificativos de su „ exprese francamente, se debe aprobar el dictámen de la comisión, pues el que aptitud legal. — no quiera admitir este cargo honroso debe decirlo…</t>
  </si>
  <si>
    <t>Just, José San</t>
  </si>
  <si>
    <t>José San Just</t>
  </si>
  <si>
    <t>…una breve instrucción pre ÍSÉA DE ¿UEXTO-XICO. liminar de la gramática castellana para facilitar a los curiosos el estudio de' las dos lehguas r su autor el abate D. Pedro Tomasi. Un tomo en 4-°, cuarta edición, año de 18?4. Sr. D. José San Just. á il rs. rama y 17 pasta común. Sr. D. Esteban Ayala. ——Noticia y plan de uo víage para reconocer archivos y formar la colección diplo mática de España, encargada á D. Manuel Abella. Un romo en 4.0 marquilla, impre ■ ■ ■róJáámm. ■ so en 1795, á 4 rs- rama y 4 en rústica. En la primera parte de este…</t>
  </si>
  <si>
    <t>Justicia, Jc</t>
  </si>
  <si>
    <t>Jc Justicia</t>
  </si>
  <si>
    <t>…tucional. De los delitos políticos 'de las mencionadas''asociaciones entenderá el Después de oir las observaciones de MM. Isambert, Laurence, Martin yd jurarte, conforme ai (SA^de 1*.^Carfa constitucional. Dp ^ infracciones de la ministro *Jc Justicia, se aprueban asimismo los párrafos 4-° y 2,° del citado zpresente ley, y ifel'arltculó 291 dér código1 penal, cotíotetáff los tribunales cor- tículo.: recionales. ____ «Art. 3.° Se .consideran cómplices, y se castigarán como tales los que ha M. Valette-Dcshermeaux propone tiña modificación al últim…</t>
  </si>
  <si>
    <t>Justicia, Jet Despacho de Gracia y</t>
  </si>
  <si>
    <t>Jet Despacho de Gracia y Justicia</t>
  </si>
  <si>
    <t>la aprobación del Estamento, porque es indudable que _ onda hay una legación católica, no es un gasto grande el reconocimiento y satisfacción al general Mina." . . n-jjiadaeo objeta ^demas, probablemente será un anciano £1 Sr. Secretario Jet Despacho de Gracia y Justicia: «Tengoel-gusto benemérito que «fié allí-fiset» muchos afios.” - 's * ' - ' ■ - da anúncira al tutaniento que be ¿ido' el órgano del Gobierno en Riofrio pa- El Sr. Torrentejí.t: «)La comisión crey^. rnie el secretario y capellán aora que jK^úfaé ff*ffircliffByútjÉúdf'»fcpmtediera aliKCnaral Midi, e…</t>
  </si>
  <si>
    <t>Justicia, Secretaria de Gracia y</t>
  </si>
  <si>
    <t>Secretaria de Gracia y Justicia</t>
  </si>
  <si>
    <t>…que ha, tenido para ello son muy fáciles de concebir. El la cual no seria justo pesara sobre el erario, si se quitase este gravamen á los Código criminal y el de enjuiciamientos son dos Códigos enteramente distintos. pueblos. El..Sr. Secretaria de Gracia y Justicia me ha manifestado que se está La escala de delitos y penas no tiene una conex.ion necesaria con el sistema le ocupando de este negocio, y que me lo remitirá en esta semana. De consiguien gal para fallar; asi se ve que casi todas Jas. naciones modernas ban conocido te el Sr. Presidente podra señalar…</t>
  </si>
  <si>
    <t>Justicia, Secretario' del Despacho de Gracia y</t>
  </si>
  <si>
    <t>Secretario' del Despacho de Gracia y Justicia</t>
  </si>
  <si>
    <t>…na de infantería de línea con el de la misma arma 2 ° de Córdo ba; y por mi derecha dispuse doblase ó Banquease la izquierda del enemigo el Real orden. bizarro brigadier D. Manuel O-Doy le con el primer batallón del regimiento El Sr. Secretario' del Despacho de Gracia y Justicia me dice con de Africa y una compañía de fusileros del mencionado 1 J® de la Reina; cuyo fecha iie ayer lo siguiente: movimiento siguió también lleno de honor y de tos mejores deseos el preci «Deseando S. M.- la- Ruina Gobernadora dar un nuevo testimo tado general D. Joaquín Gómez y Ansa, quedando a…</t>
  </si>
  <si>
    <t>Justicia, Secretorio del Despacho de Gracia y</t>
  </si>
  <si>
    <t>Secretorio del Despacho de Gracia y Justicia</t>
  </si>
  <si>
    <t>…, y fue aprobado. «Preguntado si estaba el punto suficientemente discutido, se declaró que sí, Leído el pár. S.° que trata de la adición del Sr. Ferrer al art. 7.°, dijo y se aprobó el párrafo 4-° del dietámen de la comisión. El Sr. Secretorio del Despacho de Gracia y Justicia: «El artículo esta Sé leyó el párrafo S.°, que es respectivo á la adición del Sr. Mantilla al ba redactado en atrostérminos, creyéndolo mas arreglado á justicia. La recom art. 24. pensa del que ha contribuido á salvarlo es muy debida; y ya dije en la cqmi- El Sr. Secretario del Despacho de Gracia y…</t>
  </si>
  <si>
    <t>Justicia, Societario de Gracia y</t>
  </si>
  <si>
    <t>Societario de Gracia y Justicia</t>
  </si>
  <si>
    <t>…o á proporción del peligro que se corre. Una vez satisfecho dad. Por esta razón he creído necesaria la adición al artículo S.° conforme con aquel, y minorado por lo mismo el valor de los efectos salvadosv la gratifica la idea del Sr. Societario de Gracia y Justicia, á fin de proteger el derecho ción extraordinaria pertenece al dueño el hacerla. Pero si el Estamento quiere de propiedad.” dejar subsistente la legislación de la materia, vuelvo á decir que por mi parte El Sr. Calderón y Collanter: «La comisión ha creído efectivamente que no hay inconveniente en a…</t>
  </si>
  <si>
    <t>Justis, Francisco</t>
  </si>
  <si>
    <t>Francisco Justis</t>
  </si>
  <si>
    <t>…cuyo precio es 120 rs. se Entre los heridos lo están de mucha gravedad los tenientes D. Jo— hallará en Madrid en la librería de So jo: en Alicante en la de Carreta tú : en Badajoz sef Burés y D. Francisco Prast, y el subteniente D. Francisco Justis, del re co la de la viuda de Carrillo: en Barcelona en la de Piferrer: en Bilbao en la de Gar gimiento dé Córdoba. cía : en Burgos en la de Arnaix: en Cádiz en la de Castillo: en Córdoba en la de Be- rard: en la Corufia eff 1* de Calvete:'en Granada en la de Saez Juano; en Jaén en la de Cereceda: e…</t>
  </si>
  <si>
    <t>Juzgo, Palmerston</t>
  </si>
  <si>
    <t>Palmerston Juzgo</t>
  </si>
  <si>
    <t>…evolencia tunos títulos, con los que podrán abogar dentro del respectivo Ter tan debida ,al infortunio , y de esto deseo que se penetre el secre ritorio! de aquellas: y.es mi voluntad que los-que aspiren á ejercer tario de Estado lord Palmerston. Juzgo sin embargo, que atendi esta jjrafesionsn. todonkis dominios de la monarquía, acudan ante das todas las circunstancias, no solo pudiera el gobierno mostrar su k sección fde G*aeia-y-Justicia; dd Consejo Real de España é In simpatía por la suerte desdichada de loi polacos, sino también vo dias, la c…</t>
  </si>
  <si>
    <t>JVlarin, D Francisco</t>
  </si>
  <si>
    <t>D Francisco JVlarin</t>
  </si>
  <si>
    <t>…de á .V". E. muchos se esta: leCe por el presente decreto.se gobernará y,dirigittá por las años. Madrid 26 de Agosto de 1834.=José Alaría Moscoso de Altainstrucciones generales y órdenes particulares.de! faino que se hallan mira.=Sr. D. Francisco JVlarin. -..i . . . . i vigentes, mientras Yb no me dignare alterarlas ó derogarlas.' Art. 6.’ Por consecuencia los administradores ‘ rentás estanca das en las provincias■ son los gefes inmediatos de todos los emplea dos ocupados en administrar y expender los efectos dé estanco. PARTE NO OFICIAL. Art, 71 Es…</t>
  </si>
  <si>
    <t>JVlarin, Francisco</t>
  </si>
  <si>
    <t>Francisco JVlarin</t>
  </si>
  <si>
    <t>….V". E. muchos se esta: leCe por el presente decreto.se gobernará y,dirigittá por las años. Madrid 26 de Agosto de 1834.=José Alaría Moscoso de Altainstrucciones generales y órdenes particulares.de! faino que se hallan mira.=Sr. D. Francisco JVlarin. -..i . . . . i vigentes, mientras Yb no me dignare alterarlas ó derogarlas.' Art. 6.’ Por consecuencia los administradores ‘ rentás estanca das en las provincias■ son los gefes inmediatos de todos los emplea dos ocupados en administrar y expender los efectos dé estanco. PARTE NO OFICIAL. Art, 71 Es…</t>
  </si>
  <si>
    <t>K, Tomas Lobo Rea.' MINISTERIO L</t>
  </si>
  <si>
    <t>Tomas Lobo Rea.' MINISTERIO L K</t>
  </si>
  <si>
    <t>…uiente* a su cumplimiento. Dio* guarde a \ . E. muc.'ios anos. Madrid 3 de á su cumplimiento.—Está rubricado de la Real mano, Palacio ¿.3 de Enero Fcbrero-dc 13¿4. = Nicous Mar;a^Garedj. — Ai Sr. Ercsidcntc del Consejo de I834.=A D. Tomas Lobo. Rea.'. MINISTERIO L&gt;K LA GUERR.V. Atendiendo á la antigua nobleza y distinguidas circunstancias que concur- [ ren en D. Pedro Agustín C.Tiron,.......... &gt; r------principer de Anglona, queriendo. reco,jipen— RfA ! oyJen ¿irculaA. •.í nlAnts Jt e fe ( sar sus servicios, como a*imi*mihiiio Lis pruebas de adhesión qbc prole*.i…</t>
  </si>
  <si>
    <t>K-sbkl</t>
  </si>
  <si>
    <t>…co por 100 consolidados lo4 fr. 5 c. Fon Habiéndose anunciado con anticipación que esta ciudad de vr.fo en Cortes ' dos españoles &amp;por 100 4*i- Empréstito Real 86. Renta perpetua 69\. debía levantar pendones por su nueva boberana Doña K-sbkl j r , fijo c¡ ]« El Rey y la Reina, acompañados de toda su Real familia# han recibida del corriente para celebrar tan solemne acto, e inmediatarre-:!:* aparee, er'*:! hoy á las once y media de la mañana á los ministros , á los mariscales de Fran adornadas las fachadas de todas las casas, y en los s…</t>
  </si>
  <si>
    <t>K.astel, Juan</t>
  </si>
  <si>
    <t>Juan K.astel</t>
  </si>
  <si>
    <t>…, ^ do en la Oaceta oficial dél gobierno.' Lisboa y magistratura suprema del co de ios cuales se ha hecho cargo la diputación del barrio de las Saletas. 520 mercio á los 18 días del mes de Julio de 1834-—Y J’° José Marta da Costa D. Juan K.astel, fabricante de cerveza de Sta. Bárbara.............. 160 Silveira da Motta, secretario de Ja magistratura, lo suscribí. = José Ferreira Borges (Gaceta oficia/ del gobierno.") D. José Sueltn , charolista.... _.......................................................... 60 D. Gabriel Muñoz, encargado d…</t>
  </si>
  <si>
    <t>K.oechlin</t>
  </si>
  <si>
    <t>…yuntamiento de Matanzas, mientras cuente con el honor de tener á S. M. I. el barón Larne y el marques de Chasseloup-Laubat, ayudantes dei á su cabeza un gefe tan virtuoso y tan agradecido á V. M., abriga la consola mariscal, y el Sr. K.oechlin agregado á la embajada francesa. dora esperanza de dar al solio las pruebas mas solemnes y positivas de su cons Ayer fue presentado á la Emperatriz el mariscal Maison y su comitiva. tante adhesión hasta verter la última gota de su sangre en defensa de V. M. v de su R eiva Doña Isabel ii. Matanzas 7…</t>
  </si>
  <si>
    <t>K.uvselcff</t>
  </si>
  <si>
    <t>…gente &amp;uyp en Const^ntinopla, y á otro llamado Mauros, le ha encargado la dirección de los negocios de lo. Atendiendo á los méritos y servicios de D. Leojtoblo de Grego interior. La Valaquia debe á la verdad grandes beneficios a1 general K.uvselcff y rio, coronel de caballería de ejército, y mayordomo de semana; lie á sti colega M. de Lowenstern. Se ha pensado levantar ,ua monumento ai ge-, venido en concederle el título de marques de Grimaldi para sí, sus neral; pero la gratitud no es una virtud común entre, los pueblos. (Gaceta 4* hijos y suc…</t>
  </si>
  <si>
    <t>Kcrsosi</t>
  </si>
  <si>
    <t>…ugiado polaco. ■ Partí 21 dt Abril. Un tal Lacombe, complicado también en la causa de los 27, y que, iCgatfl o }/El^prpg^fliand?:UTeP¿','ica se *u verificado completamente: la batalla se dice, dirigía lá insurrección en lugar del capitán Kcrsosi, fue preso «n el (tpmciáda Sf Jv^dadq: la sangre de'las franceses fia sido otra vez derramada ppr momento en que acababa de herir á un guardia municipal. mano de los mismos franceses. El Sr■ ministro de la Instrucción pública ha di- A las diez de la mañana dieron de puñaladas á un capitán del 35 de…</t>
  </si>
  <si>
    <t>Kdeuse</t>
  </si>
  <si>
    <t>…solida-ion de sus liber conservar y restaurar nuestros numerosos, edificios. Después de haber perma tades, y al aumento de sus relaciones am^t^us con la nación inglesa!" necido algunas semanas en nuestra ciudad, se ha decidido el Sr. Kdeuse por "Entre todos estos hundís, dijo su señoría, no hay ninguno que interes» Atenas, y ha obtenido de la regencia la asignación de una suma anual para la •♦mas á la prosperidad de G lasco w y de la Escocia entera, que el que vov a conservación de las antigüedades. Ha. propuesto á los Sres. Pitak-r y…</t>
  </si>
  <si>
    <t>Kea-King</t>
  </si>
  <si>
    <t>…unca bendiga sus labios.” Véase ahora cuál es la población general del imputo y de sus colonias se " Jamás acabaría si. quisiera mencionar todos los casos en que el arroz haca gún el censo que se hizo en el año 18 del reinado del Emperador Kea-King papel, ya s¡ea como manjar ó como metáfora. En esta última categoría es para Ccn 1813). los poetas tártaros lo qué el vino era para los hebreos, el azúcar para ios per * sas, y la miel para los árabes, es decir, un objeto de comparación tan grato provincias. Individual. Familias. como noble. Las mu…</t>
  </si>
  <si>
    <t>Keller</t>
  </si>
  <si>
    <t>…dos que ahujjjb del deretho de MINISTERIO HE MACEEN DA DE ESPAÑA. hospitalulad que les concedió la Suiza, turbando la tranquilidad pública de los Hedí órden. t demas Estados, sean arrojados inmediatamente díP territorio Suizo. El doctor Keller propone que la Suiza se reserve la facultad de examinar Solícita S. M. en precaver pbri todos medios la propagación de en todos los casos particulares, si las quejas presentadas contra loe refugiados la enfermedad que aflige á varias.provincias, y deseosa de ahuyen son fundadas. Esta adición ha sid…</t>
  </si>
  <si>
    <t>Kersosi</t>
  </si>
  <si>
    <t>…fres por 100 consolidados. 90¿. incorregibles enemigos. Se decretaron un sin número de prisiones , de las cua Et copela da Floridabianca lia recibido, las visitas del príncipe Talleyrand, les la mayor parte fueron ejecutadas. El capitán Kersosi, complicado en la cau iDrl FalmersCap. .y S. G- Canniug, á los cuales con otros, varios personages fia sa de los 27, fue arrestado en él momento en que se hallaba distribuyendo ósdalo un cxpléndido banquete. Sir G. Canning es conocido personalmente del denes á las secciones de la sociedad de los De…</t>
  </si>
  <si>
    <t>Kieber</t>
  </si>
  <si>
    <t>…e preparaban á pasar á España para establecer en nuestras -------Cuanto antes va á erigirse en la placa de la comedla de Strasburgo una fronteras pira Vendee; creyó que no podía permanecer neutral. No solo reco estatua al célebre general Kieber. noció al punto el gobierno de la Reina Isabel, sino que ofreció á la Reina -------Por noticias recientes recibidas de la América del Sur se sabe que Santafla Regenta el apoyo de Francia. Esta oferta espontánea no ha sido vana. El ga estaba en Méjico, y que se había dado una orden para expeler á los…</t>
  </si>
  <si>
    <t>Killoen</t>
  </si>
  <si>
    <t>…' y jtu arittócionrqúe de lifii misma* cualidades se:h&amp;llán dotados los , Hsn sido nombrados individuos dél «ajsgoprivado de Irlanda el cenia Máldobados , '€htftía Es»fia; Bueltas, Rui* de la Pefia , Sanfana, Quiro- Kinnaird y el lord Killoen, «mbosjatfti'tóáÁ.’Tftace mas de un siglo que I nia- «'V btnk: qt«'k ticiivtó«a detódosestoeesti marcada con hechos positivos gun católico se le han conferido .ó¿q¡&gt;leoií&gt;dé''es*á olsíst de íiortdrf riinÉré y destrticéión, pues que jamas háo: pojpéñduío i escoütíír lostwribk* latidófr ik iu cóztden…</t>
  </si>
  <si>
    <t>KísscldF</t>
  </si>
  <si>
    <t>…er batallón de infantería PARTE IVO OFICIAL. griega: la escuadra se compone de 13 navios. Viena de Abril. NOTICIAS EXTRANGERAS, Consiguientemente al nombramiento de los hospodares, tai tropas rasas evacuarán los principados; y el conde KísscldF, que hasta ahora ha sido presi dente del divan, volverá á S. Petersburgo. ESTADOS- UNIDOS. Todavía no está decidido sí será un comisario turco ó el conde de tCisaeleff quien estará encargado de la investidura de los hospodares; pero á juzgar TWashington "3 O di Marzo. por las importantes funciones…</t>
  </si>
  <si>
    <t>Kiuber</t>
  </si>
  <si>
    <t>…ualquier todos los nuevos pasaportes y libretos que se den. Potencia que sea, creemos oportuno poner á la vista de nuestros lectores la Art. 2.° «Todos los artesanos de Badén que se hallen actualmente en el opinión emitida por el Sr. Kiuber, célebre publicista, en los párrafos I04 y cantón de Berna deberán salir de él en el término de 15 dias, contados desde 214 de su obra sobre los derechos de ja Dieta germánica. la promulgación del presente decreto. «Las actas del congreso de Viena, declarando soberanos á todos los Es Art. 3.° "Todo…</t>
  </si>
  <si>
    <t>Kivaherrera</t>
  </si>
  <si>
    <t>…ese invadido Ja Pe Neta» En las dos votaciones Domínales de la sesión del 1.° del corriente, en el Es nínsula, teniendo ya preparado el terreno por medio de agentes secretos, de tamento de Procurad* res, debe leerse el nombre del Sr. Kivaherrera entre los demas los seductores falaces, que seguramente no habían hecho uso de la libertad que votaron por la negativa, como lo hizo el expresado Sr. en ambas votaciones; su primiéndose por tanto de la lista de los que estuvieron por la afirmativa* en que se de imprenta» puso pOf equivocación. * fi…</t>
  </si>
  <si>
    <t>KodiL, José Ramón</t>
  </si>
  <si>
    <t>José Ramón KodiL</t>
  </si>
  <si>
    <t>…madura.^Ejercito de optaciones en Portugal Dios guarde á V. E. muchos años. Cuartel general de Valencia de A Cantara Excmo. Sr. : F.ievo a las superiores manos ce Vr. F. c|e:npiare&gt; de la pr- flauta i ‘¿2 efe Mayo de !#3¿-=Excmo. Sr.=José Ramón KodiL=Exuno. br. Secre que he creído conveniente dirigir en e*ie dia á'U*. habitantes de la capit.mta tario de Estado y del Despacho de la Gruerra. general de mi cargo, de quienes me prometo ia cooperación mas eficaz para el logro de las operaciones que voy a cmprendcr sobre el A*en’ej &gt;, desean*!-* que…</t>
  </si>
  <si>
    <t>Koening</t>
  </si>
  <si>
    <t>…, al infrascrito secretario interino que imperial han producido en breve mas de luS&gt; rublos destinados al rescate de la tiene en la calle del Turco, casa dé la sociedad, cuarto segundo. Madrid 22 estos desgraciados niños; pero el Sr. Koening que lqs seguía coo una perseve de Setiembre dé 18 Sebastian Eugenio Vela. rancia infatigable, no había podido todavía, á pesar de su conocimiento de la lengua , y de la naturaleza del país, libertar mas que á dos ó tres muchachos de manos de los Yekerkesses. «, bolsa db cojsxsício—Cotización de hoy…</t>
  </si>
  <si>
    <t>Koletti</t>
  </si>
  <si>
    <t>…infantería amnistiado y retirado en esa capital, de una excelente reputación como escritor. Se ha confiado interinamente la solicita se le admitan én el Real servicio en clase de voluntarios, y plaza de Presidente del consejo al Sr. Koletti, ministro de lo Interior. £1 Se con destino al regimiento infantería del Rey, 1" de lírtea, á sus tres ñor Lesuire ha sido nombrado ministro de Marina. Lijos Manüél, Alejandro y José, y mandar quede exceptuado del Las noticias de Maina son bastante satisfactorias: se dice que está ya del liíistno s…</t>
  </si>
  <si>
    <t>Kotnarate, D Jacinto</t>
  </si>
  <si>
    <t>D Jacinto Kotnarate</t>
  </si>
  <si>
    <t>…nto de Pro los Sres. Belda, González Alonso y Medrano , se aprobó con la modificación ceres se imprimiría y distribuiría. siguiente, hecha por el Sr. González Alonso: ”Se aprobaron los poderes del El Estamento quedó enterado. • ' Sr. D. Jacinto Kotnarate con la reserva indicada por la comisión. *’ Entró 4 jurar y tomó asiento el Sr. D. Agustín López del Bailo , Procu Se mandó pasar á la comisión de poderes una solicitud de D. Sebastian rador por la provincia de Sevilla. Cuesta , electo.procurador por U provincia de Pontevedra, acerca de varias Conc…</t>
  </si>
  <si>
    <t>Kotnarate, Jacinto</t>
  </si>
  <si>
    <t>Jacinto Kotnarate</t>
  </si>
  <si>
    <t>…de Pro los Sres. Belda, González Alonso y Medrano , se aprobó con la modificación ceres se imprimiría y distribuiría. siguiente, hecha por el Sr. González Alonso: ”Se aprobaron los poderes del El Estamento quedó enterado. • ' Sr. D. Jacinto Kotnarate con la reserva indicada por la comisión. *’ Entró 4 jurar y tomó asiento el Sr. D. Agustín López del Bailo , Procu Se mandó pasar á la comisión de poderes una solicitud de D. Sebastian rador por la provincia de Sevilla. Cuesta , electo.procurador por U provincia de Pontevedra, acerca de varias Conc…</t>
  </si>
  <si>
    <t>Kouen</t>
  </si>
  <si>
    <t>…s manifestarle koff, grande almirantea de Rusia, be dice que loa. Sres. Desage, el general que de declaración del rebelde Bruno resulta que « presentó voluntariamente Schneidcr, el contraalmirante Hugon, ci general Guéhcnequ y el barón Kouen i U facción el 3 de Marzo, y que fue por el cabecilla Zavala nombrado ayu dante mayor de húsares; que disperso en la tarde del 12 , habiendo perdido so han recibido la cruz de grandes oficiales- Los Srcs. generales Fabvier, Trezel y Corbet han sido nombrados comendadores de la nueva orden; y oficia…</t>
  </si>
  <si>
    <t>Koviemhre</t>
  </si>
  <si>
    <t>…....................................................... 300 no erá admisible el expresado" poder. D. Francisco Amero Casado, 160 rs. y 100 mensuales hasta fin de La con»Í¿foü dió cuenta de los nuevos documentos presentados por el Señor Koviemhre. ................................................................................................. 160 Aranda, y opinó que en virtud de ellos debía aprobarse su poder por haber D. Bcrnardino Casado........................ 1.................................................. 20 cumplido etn la condici…</t>
  </si>
  <si>
    <t>Krabowski</t>
  </si>
  <si>
    <t>…Sanidad donde ho las había, y hallándose ya establecidos los Viena 6 di Marzo. subdelegados de Fomento, entre cuyas atribuciones se comprenden por la naturaleza de la institución el cuidado de la salad publica y Se apera aquí al general Krabowski que mandaba en la lega •1 empleó de precauciones contra las enfermedades contagiosas: ciones romanas. Se dice que atá encargado de una misión para la S.. M. la Reina Gobernadora, oido el dictárrien de la junta su Transilvania. prema de Sanidad, se ha dignado resolver que, ínterin se publica ____ S.…</t>
  </si>
  <si>
    <t>Krría</t>
  </si>
  <si>
    <t>…uponen tranquilas las Encartaciones y densa valles y mcrindades confinantes con Vipta gratuitamente, que'consiste en abusar de semejante situación, porque se perde ya, marchó á Bilbao y Durango con do. de su* brigadas i unirte al general Krría esta, cuando w quisiese ab*&gt;tr de ctla: hay utu ratón por el contrario pan partero para contribuir á U paca6cación dei beñorioencargadaddácha gertezal, j</t>
  </si>
  <si>
    <t>Ktifg</t>
  </si>
  <si>
    <t>…i¿ua jíbeftad 'p6líticá; y dé Veraguás'reumó 28; el Sr. Qunitáfíá 15; el Sh'NaráVtétc 8; el ,’SfJ Alvarez mirando este‘sin duda' cómo el don mas precioso de su' aú¿tista fiiinó, domo el Guerra 3; cí Sr; cotiHc dé Mdiitérron 2; el Sr. Ktifg6s: i; el Sr.’ bífertSiez 1; objetp.jmas caro dc^su^ matejpal jCpraaJi^ ha jVolado V. ~M. désdjíííancjo pelP- él’ Sr. conde de Tebá l, y el Sr.,fjí|jtrdués de S Féfices 1. Siendo el totiíl dé ¿tos, í ,e$ta ’ capital mfestaeji j- y’preseatídosé ¿ti medio de [una rfct&amp;ioli solenjnp lo^-Sres. Prócéres…</t>
  </si>
  <si>
    <t>Kurk</t>
  </si>
  <si>
    <t>…al interino del departamento Stockolmo 16 Je Setiembre, de la guerra. suIza. . Según ios partes oficiales han caído enfermas del cólera en esta ciudad 584$ Zurich 27 Je Setiembre, personas. El presidente de la Cámara de Hacienda, barón Kurk, ha muerto, como también el mariscal dé la corte barón Reuterschoeld. En el mismo pa El Mensagero de Waldstetten publica la siguiente nota del barón de lacio han fallecido el maestro de"ceremonias del Rey y un criado del Prínci Hertling, residente de S. M. el Rey de Baviera cerca de la Confederació…</t>
  </si>
  <si>
    <t>Kyryusky</t>
  </si>
  <si>
    <t>…res Milán 14 de Octubre. desde la parte de Serrateix, en donde los había alcanzado el gobernador interino de Manresa, trataron el dia 28 con una marcha forzada sorprender ei pueblo Esta mañana ha llegado á nuestra ciudad S. E. el Sr. Kyryusky, con dé Prats de Llusanes, para desarmar sus voluntarios Urbanos, asesinarles, y sejero privado* de S. M. el Emperador de Rusia, de paso para Palermo, adon robar después las casas de los mas adictos á la Reina nuestra Señora. de va encargado de una misión cuyo objeto se ignora. (Gaceta de Milán.) «…</t>
  </si>
  <si>
    <t>L', Isa L H</t>
  </si>
  <si>
    <t>Isa L H L'</t>
  </si>
  <si>
    <t>…a el gobierno. Son con el mayor júbilo de ios buenos, y cordiales felicitaciones a íc* dignos d&lt; mil veces mas los pretendientes que los empleos, y entre aquellos hay tantos fensores del trono de nuestra inocente R.l.ina y Señora Doña Isa&amp;*£L~H.\L'*4 beneméritos, que aun cuando se centuplicasen los destinos no bastarían para 6cc. Pamplona 21 de Octubre dé ld34-c=Excmio. Sr.rzjose García Suelto.-^ todos. No admitimos la injusta aserción de que los portugueses tienen manía de Eterno. Sr. Secretario de Diodo y del Despacho de Gracia y Justicia.…</t>
  </si>
  <si>
    <t>L'h, Antonio</t>
  </si>
  <si>
    <t>Antonio L'h</t>
  </si>
  <si>
    <t>…teniente de cazadores del regimiento de Mallorca D. Fernando res: elogia el celo del clero de aquella c.ifG il . d &gt;*!el corregidor interino en ia Sequeira levemente, y de los de la clase de tropa P de gravedad, é inmediata misma D. Antonio L'h^mochin , y esl del alcalde mayor de Negorbc: finaimenmente que los curó el facultativo que viene con la. columna del expresado re te manifi.-sta que en los 14 pueblos de la provincia que sufrfan el Culera, se gimiento del 13 £X José de Brangoli , fueron coijancidos al pueblo. guía esta enfennedad s…</t>
  </si>
  <si>
    <t>L, D José Quintana</t>
  </si>
  <si>
    <t>D José Quintana L</t>
  </si>
  <si>
    <t>…a y repartiría este díctámen , v La misma comisión dió cuenta de que habiendo examinado los podelrcs y que rn seguida señalaría dia para su discusión. También anunció que habiendo documentos justificativos de la aptitud legal del Sr. D. José Quintana L!arena, concluido sus trabajos la comisión encargada de dar su dictamen acerca de los electo Procurador por las Islas Canarias, y hallándolos conformes, era de pa- dos proyectos de ley sobre moneda, iba á leerse este por la misma. ^ecerquedebian aprobarse. Asi se acordó. Se leyó en efecto dichos dic…</t>
  </si>
  <si>
    <t>L, ÍsaE</t>
  </si>
  <si>
    <t>ÍsaE L</t>
  </si>
  <si>
    <t>…anes de segundo orden, la te dió el grito de fidelidad que acostumbran los mallorquines en el advenimien-l Cámara no debe perder de vista que todo lo que ocurra en aquellos países pue to de sus Reyes: Por la Reís a nuestra Señora Doña ÍsaE£L 11 letanía I de influir en la suerte futura de Francia, y por lo mismo informarse por me este Real pendón-, Castilla, Castilla, Castilla, Mallorca, Mallorca, Ma nor de lo o, para proceder con pu so antes de aprobar ó desaprobar. Insiste en llorca por la Rejxa nuestra Señora-, vita, tita, r ha. Oíam…</t>
  </si>
  <si>
    <t>L, José Quintana</t>
  </si>
  <si>
    <t>José Quintana L</t>
  </si>
  <si>
    <t>…repartiría este díctámen , v La misma comisión dió cuenta de que habiendo examinado los podelrcs y que rn seguida señalaría dia para su discusión. También anunció que habiendo documentos justificativos de la aptitud legal del Sr. D. José Quintana L!arena, concluido sus trabajos la comisión encargada de dar su dictamen acerca de los electo Procurador por las Islas Canarias, y hallándolos conformes, era de pa- dos proyectos de ley sobre moneda, iba á leerse este por la misma. ^ecerquedebian aprobarse. Asi se acordó. Se leyó en efecto dichos dic…</t>
  </si>
  <si>
    <t>L-'pez</t>
  </si>
  <si>
    <t>…)al principio aprobado ya por «l Esta de el año 2 3 , ó será prc^iso subir ma* arr.ha, r recejar ha*ta e! año d» ] 3 I j ?.... mento de que la Milicia sea obligatoria; y una vez admitida esta bise, la co «Admitir cí principio del Sr. L-'pez , es perderse; como que no ofrece misión propone una especie de exclu»ion discrecional , hecha por cierto núnre- ninguna regla: no reconoce íí-nítes, m datos, ni hechos, ni grados- to.Jo lo ro de personas, que se erigen en un tribunal de censura. Vamos á examinar lo «tvc erra en esta expresión: «»q…</t>
  </si>
  <si>
    <t>La-Vai, Francisco</t>
  </si>
  <si>
    <t>Francisco La-Vai</t>
  </si>
  <si>
    <t>…me ha recomendado tam también la de granaderos de Al mansa ccn el capitán D. Félix Saraza. bién especialmente al ayudante de plana mayor y mi secretario de campana A las doce y media de la noche emprendí mi movimiento, dejando en D. Francisco La-Vai lete, capitán de la Guardia Real de infantería y mi ayu posición sobre este punto y las alturas de Orozco a! resto de los mencionado* dante de campo conde de Campo-Alange, capitán del regimiento provincial de cuerpos b*jo las órdenes del brigadier D. Manuel Benedicto y coronel D. Jo&gt;e ToledoV por h…</t>
  </si>
  <si>
    <t>Labor, Angel</t>
  </si>
  <si>
    <t>Angel Labor</t>
  </si>
  <si>
    <t>…minios de $. M. ción de esta"plaza el fallecimiento del benemérito y acreditado comandante ge Para beneficiar la mina de estaño que hay en Presgueiras ha oficiado á la neral de las fuerzas navales de este apostadero el Excmo. Sr. D. Angel Labor- dirección general del ramo, con el objeto de remover las trabas que han para dé y NaVarfo, gefe de escuadra de la Real armada, después de Una enfermedad lizado la obra. penosa por espacio de cinco dias. ,, Se ocupa en un arreglo, al menos provisional, de ayuntamiento», y del ra Al anunciar este des…</t>
  </si>
  <si>
    <t>Labor, D Angel</t>
  </si>
  <si>
    <t>D Angel Labor</t>
  </si>
  <si>
    <t>…i dominios de $. M. ción de esta"plaza el fallecimiento del benemérito y acreditado comandante ge Para beneficiar la mina de estaño que hay en Presgueiras ha oficiado á la neral de las fuerzas navales de este apostadero el Excmo. Sr. D. Angel Labor- dirección general del ramo, con el objeto de remover las trabas que han para dé y NaVarfo, gefe de escuadra de la Real armada, después de Una enfermedad lizado la obra. penosa por espacio de cinco dias. ,, Se ocupa en un arreglo, al menos provisional, de ayuntamiento», y del ra Al anunciar este des…</t>
  </si>
  <si>
    <t>LaBorda</t>
  </si>
  <si>
    <t>…osición del modo que quieren los señores ques de Montevírgcn, lo cual no ha sido destruido por ninguno de los Seño &lt;jue han firmado la petición.” &gt; res Procuradores que han hablado á favor de la petición. Si bien es verdad que El Sr. LaBorda deshizo uña equivocación^, manifestando que solo 9 años el canal de ATágónP, dáudule-la-extensioaque corresponde, podría producir un no se había cobrado ia imposición, desde el 1808 á 1814, y desde ei 1H20 favorable resultado para la Nación en general, es seguro también que ya pof ‘ al 1823. la par…</t>
  </si>
  <si>
    <t>Laborda</t>
  </si>
  <si>
    <t>…lones se conduje un proyecto bución, y por tanto lo conveniente que seria aprobar la petición. en dos años» que duraría veinte á millón por año. Ya empieza á emplearse Declarado el punto suficientemente discutido, se pidió por el Sr. Laborda este sistema entre nosotros, y creo que el camino de las Cabrillas se ejecuta de que la votación fuese nomina!; y acordado y verificado así, quedó aprobada la este modo. petición por 68 votos contra lu , habiéndose abstenido de votar 11; siendo el «Por lo respectivo á si el canal es obra nacional,…</t>
  </si>
  <si>
    <t>…do por el Gobierno.” Se abrió i las doce, y leída el acta de la anterior quedó aprobada. El Sr. Secretario del Despacho de Hacienda: «En mi entender la duda Se mandaron pasar á la comisión de Poderes los del Sr. D. Antonio Ba del Sr. Laborda no es de importancia, pues estamos todos de acuerdo con lo rata, electo Procurador por la provincia de Barcelona, con los documentos jus que S S. acaba de indicar. tificativos de su aptitud legal. «El Gobierno tuvo presente esto cuando se vió precisado por las circuns La misma comisión dió cuenta d…</t>
  </si>
  <si>
    <t>Laborda, Antonio Ba del Sr</t>
  </si>
  <si>
    <t>Antonio Ba del Sr Laborda</t>
  </si>
  <si>
    <t>…proyecto presentado por el Gobierno.” Se abrió i las doce, y leída el acta de la anterior quedó aprobada. El Sr. Secretario del Despacho de Hacienda: «En mi entender la duda Se mandaron pasar á la comisión de Poderes los del Sr. D. Antonio Ba del Sr. Laborda no es de importancia, pues estamos todos de acuerdo con lo rata, electo Procurador por la provincia de Barcelona, con los documentos jus que S S. acaba de indicar. tificativos de su aptitud legal. «El Gobierno tuvo presente esto cuando se vió precisado por las circuns La misma comisión dió cuenta d…</t>
  </si>
  <si>
    <t>Laborda, D Antonio Ba del Sr</t>
  </si>
  <si>
    <t>D Antonio Ba del Sr Laborda</t>
  </si>
  <si>
    <t>…o el proyecto presentado por el Gobierno.” Se abrió i las doce, y leída el acta de la anterior quedó aprobada. El Sr. Secretario del Despacho de Hacienda: «En mi entender la duda Se mandaron pasar á la comisión de Poderes los del Sr. D. Antonio Ba del Sr. Laborda no es de importancia, pues estamos todos de acuerdo con lo rata, electo Procurador por la provincia de Barcelona, con los documentos jus que S S. acaba de indicar. tificativos de su aptitud legal. «El Gobierno tuvo presente esto cuando se vió precisado por las circuns La misma comisión dió cuenta d…</t>
  </si>
  <si>
    <t>Laborde</t>
  </si>
  <si>
    <t>…s báñeosse atreveráserian perjudiciales!á negarlo ; aunEl Rusia Mr. Pozo di Borgo, el de Priisia , el de Austria y dé Bélgica , el general cuando haya circunstancias en, que el crédito no sea necesario, es siempre un Gourgaud, el conde Laborde y otros psrsonages hicieron sus cumplidos-á nues ancla de respeto reservada para la hora del peligro, y por consiguiente es in tro ministro, felicitándole por el buen estado de la república, y por el gefe que dispensable. a toda sociedad bien constituida. Otras varias razones se alegaron la manda. ,…</t>
  </si>
  <si>
    <t>…leyeron el art. 29 del proyecto del Gobierno y el del dictámen de la miendo las palabras en la mano á petición del Sr. Agreda , según sigue: comisión. Art. 16. ’&gt;Los individuos de la Milicia urbana al tiempo de alistarse pres El Sr. Laborde manifestó que podría añadirse al artículo que este fondo tarán ante la autoridad local respectiva el juramento arreglado á la fórmula si fuese capaz de subvenir á todos los gastos de la Milicia; porque existiendo una guiente : Real órden para que estos gastos se satisfagan de los fondbs de Propios…</t>
  </si>
  <si>
    <t>Labores, José March y</t>
  </si>
  <si>
    <t>José March y Labores</t>
  </si>
  <si>
    <t>…con un valor y bizarría sin ejemplar; y asi no puedo menos de La de oficial primero del gobierno civil de Lérida, S. M. ha tenido á bien recomendar á V. S. á todos en general, y en particular al oficial y carabineros conferirla á D. José March y Labores. heridos: al capitán graduado deteniente coronel del regimientp del Infante, 5.° de línea, D. Isidro Pigem; al referido capitán D. Lucas Pineiro; á los te . Habiéndose declarado Vacante la plaza de oficial segundo de la contadu nientes D. Joaquín Taubia, con grado de capitán; á D. Pedro Arnau, y á l…</t>
  </si>
  <si>
    <t>Labores, José Marchy</t>
  </si>
  <si>
    <t>José Marchy Labores</t>
  </si>
  <si>
    <t>…anorama importe del 3.° Continúa abierra la suscripción. animado, un cuadro interesantísimo-, parece que está uno leyendo unas me ——Los suscríptores á la Historia de la revolución de "Francia desde el ario de 1787 hasta 1815, por D. José Marchy Labores, acudirán ,á recoger el tomo segundo k las morias literarias escritas- por un autor contemporáneo. ' librerías de Cuesta y Escantilla, yen las provincias donde se hubieren suscrito. La Lo que acabo de decir basta para saber con qué objeto está concebida ia historia de la revolución francesa ha sido…</t>
  </si>
  <si>
    <t>Laca, Ignacio</t>
  </si>
  <si>
    <t>Ignacio Laca</t>
  </si>
  <si>
    <t>…en esta casta de lectura tan ... «Las manchadas ovejillas, ditacíl.— -Prontuario anatómico teórico-práctlco del cuerpo humano. Primera parta, de Tos Caminando entre las jaras , huesos del esqueleto de un aduíro: por el licenciado D. Ignacio Laca va, catedrático de Sobre sus hojas y llores anatomía del Real colegio de S. Carlos, y D. Isidoro de Isauzau Un cuaderno «arca Pnstas parece- que nadan.” mayor adornado de estampas, edición de 1799,»' 50 rs. rama y 50 en rústica. En esta 2&gt;rimera parte, después de dar una clara y exacta descripción…</t>
  </si>
  <si>
    <t>Lácslleydémas, Aotohlo</t>
  </si>
  <si>
    <t>Aotohlo Lácslleydémas</t>
  </si>
  <si>
    <t>…en los escritores de este género, Francisco Garría, Manóte Cas», D. Martin Atejo, Bu PuJgehcio Jtegiup t .Ramón,Qn4&lt; , mloguez, José Hato, Juah López, Manuela,Puerto, Tomasa Lopez, Manutea P “‘ ñon, María Várgaá, Vicenta Poerto, D. Aotohlo Lácslleydémas períroait^ ’ (1) La presente edlcldtrd* eita óbte consta de 4 tetaos en «.*, y se vende en ' robadasarroyo deleo Puercoel más ,deporMarzosi quUieéende 183&amp;peranftaraeeaen los monteslaCuadrados-,causa. ca&amp;ate dtt :. p [ Madrid en ia librería de D. Manuel Viaor* zoo rs. cada ejemplar en pasta» •; . -…</t>
  </si>
  <si>
    <t>Lacuée</t>
  </si>
  <si>
    <t>•MÜ H6 , El Sr. Lacuée propone que »en tiempo dé paz i' nadie se confiera el empleó de tres cañones y un obús, mostrando á lap inmediaciones una fuerza de 29 á de almirante, que solo haya 2 empleados de esta clase, dos vicealmirantes, 6 2500 hombres con un escuadron'fuerte de "caba Hería. A las siete de la misma contralm…</t>
  </si>
  <si>
    <t>…eto del las viudas del mariscal Jourdan y de los generales Decaen , Dauinesnil y consejo de Estado es ilustrar á los secretarios del Despacho. Gerard. El Sr. Portalis declara que no ha entrado en la idea de la comisión excluir El Sr. Lacuée da una rápida ojeada sobre la legislación que acerca de pen los secretarios del Despacho, y sí solo dar á entender que uno de ellos debe siones ha regido en Francia desde el año de 1600; y después de convenir en presidir el consejo de Estado. La Cámara resuelve que el artículo vuelva á ía que el maris…</t>
  </si>
  <si>
    <t>Ladrón, Santos</t>
  </si>
  <si>
    <t>Santos Ladrón</t>
  </si>
  <si>
    <t>…sa. Al mismo tiempo que de las fuerzas reunidas en Ciudad Rodrigo de haber tenido la gloria de hacer prisionero en Navarra al primer caudillo re hizo salir en posta varios cuerpos para el Ebro, dispuso U entrada de nue^Tras belde D. Santos Ladrón, forzó el puente de Logroño, y cortando allí Jas re tropas en Portugal. Largo espacio fuera necesario para presentar las combina laciones de los facciosos de la izquierda del Ebro con los de Us montañas al Sur ciones de esta campaña gloriosa , breve y fecunda en resultados. Las tropas es de Búrgos,…</t>
  </si>
  <si>
    <t>Laell</t>
  </si>
  <si>
    <t>…navegación del Duero sq que pudieran envidiar los veteranos de mejor disciplina; dejdndo entre una y halla expedita. otra descarga un vacío , que llenó el comandante de armas con vivas repetidos á nuestra excelsa Reiva Ja Señora Doña Laell ii , á su augusta Mddrc la Se-’ - .,,Ilrao. Sr.: Participo á V. S. para que lo haga presente á S E. el Sr. ma ñora Dona María Cristina , al ajunumiento y al limo, diocesano, á que riscal conde Saldanha que en Lamego está arrestada toda uná compañía del ba contestó la tropa, las autoridades espectad…</t>
  </si>
  <si>
    <t>Laennee</t>
  </si>
  <si>
    <t>…ermedades que aquejaban á aquellos vecinos, manifiestan á la pro Zar goza en la de VagUe. * vincial de rríí presidencia, con fecha 15 dei actual , haber totalmente desapa — i — Memoria sobre nuevas aplicaciones del Stttoscapo del,profesor Laennee, por J. recido las indicadas dolencias, quedando restituida su salud al buen estado que Us-franc, traducida por él Dr. D. Ja.é de St« rU., otedrátko del Re.l colegio de medicina, drugl» y farmacia del remo de Navarra. Uu cu*df mu en 4 ^ que se vende anteriormente disfrutaban ,&gt; según también se dem…</t>
  </si>
  <si>
    <t>Lafayetie</t>
  </si>
  <si>
    <t>…bella perspectiva la fabrica de zinc , establecida en El espíritu público ha rodeado con fúnebres obsequios y con silencioso re Riopas; á esta seguirá la de latón, y se va también á poner en actividad una cogimiento la tumba del general Lafayetie, impidiendo que el desorden viniese herrería en el Salobre, aldea de Alcaráz. á mezclar sus acentos de furor con la grandeza magesluosa de una solemnidad Según parte de Socobos, en un arroyo de su término se descubren después nacional; y la tristeza de un inmenso pueblo derramado en toda la carrera…</t>
  </si>
  <si>
    <t>Lafayette</t>
  </si>
  <si>
    <t>…nas, que con capitán que conoce bien la Albania, y que era capaz de someterla, ó por la tanta impaciencia se espera.” fuerza ó por medio de negociaciones, ha sido desterrado á una provincia lejana. Leído el párrafo 6.° enumera el general Lafayette las ventajas que resul Ííl caballero Lima, embajador portugués, acompañado de otras personas, tan de la instrucción popular, y extraña que el gobierno haya prohibido las estuvo ayer á bordo del navio de guerra D. Pedro y del barco de vapor Edim reuniones de una sociedad que se había dedicado á proporci…</t>
  </si>
  <si>
    <t>…imas del campo de Marzo. : Veis gal , y se dice que designan á Saldaña para Guerra, á Guerreiro hasta donde alcanza la memoria de esta sociedad? Ni aun ¿1 ilustre para Gracia y Justicia ¿ á pálmela para el Interior, par^ Hacienda general Lafayette está libre de sus tiros. Secciones de Bruto, de a Campos, para Estado í Porto Santo, y á Qúintella para'Marina. los Montañeses, de la Insurrección de Leñtt , de la Abolición de (Timé/.) contribuciones directas, de los Sansculottes, de la Abolición de la rRANCI A. propiedad-,'de la Soberanía popular…</t>
  </si>
  <si>
    <t>…pacho de UMarinay de pira, pilrcunstanqia.que recomienda mucho el cuidado de conservar la fuetza enlas,Colonias,:. ¿ ,• : ' . --, . - - Lrl'i-, ! . march*r;"'e3tfr|óhl¡itarias, por éseabrenísimos térréndá y llorient» cari ___ -El general Lafayette mu rila antes de ayeteíi sn casa calle ^le -.Anj&lt;»ny.á las JydpW-'tériéanó^jfc^íi campaña memorable , me resta qüé «Oponer coff re*'cinco de l»niañana en el seno de su numerosa'familia, á la edad de.r£Z años, ojlnénnacioh los qñe lo merecen y ttjvleéon' jarte en las ’-oferacioues desdé «{ ' y cuand…</t>
  </si>
  <si>
    <t>…eral Castellano y el gobernador la sección de republicanos que pertenece á él,' carecen también de gefes de in de Puigcerdá me anuncian haberlo efectuado igualmente varios facciosos de las fluencia dentro y fuera de la Cámara. El general Lafayette, que durante algún gavillas que se están persiguiendo. El Ros.de Eróles ha sido activamente aco tiempo fue para ellos algo mas que un nombre, recibía todo el valor que se le da sado desde que se volvió á presentar en actitud hostil, habiendo pasado el 26 ba de su carácter personal, y con su muerte…</t>
  </si>
  <si>
    <t>…importaba que reinasen en España y Portugal dones ó del general Lamarque ha estado presente á todos le» entendimientos, mientras ¿orlas \ supuesto que lo único interesante eran los intereses deí comercio britá han durado las del general Lafayette. nico* Pero una idea semejante es tan falsa como agena de buen juicio, porque | Anarquistas', traed á la memoria vuestras prometas) de Las cuales no habéis estos señores deben sin duda saber que mas ventajosamente se hace el comercio cumplido ninguna. Vosotros decíais que cuanto mas libre fuese la p…</t>
  </si>
  <si>
    <t>…spuesto tenga su debido efecto, ordeno y mando ____Los aniigojs de las instituciones republicanas en Dundee hán enviado una se publique jjtor.bando y Se circule en„la forma acostumbrada á todas las ciu carta de pésame al hijo del general Lafayette por áa muerte de su padre, y dades , villas y lugares de este reino, remitiendo testimonio de quedar ejecuta aquel les ha contestado con otra muy atenta, dando gracias las mas expresivas. da Pamplona 8 de Octubre de 1834-=Manuel Lorenzo.” {Dundee aídrertiserl) ____ Se Kan1 recibido cartas de la Bar…</t>
  </si>
  <si>
    <t>…e emplearse, por consideracion á la buena vecindad, en sostener «ual, loa diferente* puestos militares y apostaderos navales harán i la memoria' relae onesde amistad entre lis respectivas aútóridades de las fronteras, y recom del general Lafayette los ntitmoe honores que *e hicieron á U de tu compañero pensar del modo mas Conveniente los trabajos de sus habitantes. Existen, sin de armas Washington, el padro de su país. embargo, desavenencias hace algún tiempo entre loa habitantes da la frontera ■ ■Al ordenar este público testimonio de gratitud y…</t>
  </si>
  <si>
    <t>…a rá dé una ley que produzca los saludables efectos que el .gobierno apetece y son mayoría de votos, y sin atender ¿ la oposición de muchos de" sus individuos, necesarios para bien del Estado. reunirse en casa de su presidente eí general Lafayette para protestar contra la M. Thiers, ministro de.Comercio, da cuenta de las disposiciones que ha to ley de asociaciones políticas, y emplear todos sus esfuerzos para impedir su eje mado el gobierno para enterarse de las causas que motivaron lo ocurrido en cución. Pero se añade que M. Lafayette se op…</t>
  </si>
  <si>
    <t>Lafite</t>
  </si>
  <si>
    <t>…a la alianza de la Rusia con la Turquía, y la nueva forma de gobierno nos vecinales, ofreciendo que en la sesión de 28 del corriente manifestará las que se piensa dar á la Polonia.” (Mensagero.) causas que le mueven á hacerla. El Sr. Lafite lee otra proposición sobre desagüe de pantanos y lagunas, re ESPAÑA servando explicarla también en la sesión del dia 28. Abanilla (reino de Murcia) 13 de Diciembre. El Sr. Bavoux propone que »se restablezcan las disposiciones del código civil acerca del divorcio*'; añadiendo que cree inútil exponer…</t>
  </si>
  <si>
    <t>Lafitte</t>
  </si>
  <si>
    <t>…á vuatra atención y han movido á tomar esta resolircion. La Cámara acúerda que esta carta se rené | eximen. " ta al ministro del Interior. • • ■ i&gt;l . «Lbt datos que k os presentarán, recogidos por los comisionados encargados El Sr. Lafitte reproduce lo que 1 a sesión deI año pasado dijo [de-investigar el estado-de las corporaciones municipales, de la administración y desagüe de pantanos y lagunas:’manifiesta los grandes beneficios queden* |fifeGta de las leyes sobre pobres, y del patronato y renta*'eclesiásticas en In- operación resu…</t>
  </si>
  <si>
    <t>Lafuentc, Antonio</t>
  </si>
  <si>
    <t>Antonio Lafuentc</t>
  </si>
  <si>
    <t>…zman: para la de Agreda á D. José Aragón: para la de Lerma á 21 á 24 del propio mes curó una y falleció otra en Tzbara. D- Juan Víctor Navarro: para la de Antequera á D. Pedro Henrique Monte ro: para el corrcglmicrito de Cuenca á D. Antonio Lafuentc: para el de Alcaere á D. Pinta león iVitini: para el de Barbastro á D. Anselmo Baquedano: PROVINCIA BE ZARAGOZA. para la alcaldía mayor de Campillos á D. Antonio María Castilla; para la Manifiesta su gobernador civil en oficio de 28 del mes próximo pasado de S. Clemente í D. Francisco Senen y Senen…</t>
  </si>
  <si>
    <t>Lafuente</t>
  </si>
  <si>
    <t>…sobre ¿1, ha vuelto i Urna sin ■■ En el Correo del Paso de Calais leemos lo que fisgue: «En las inmedia ser incomodada por las autoridades ' ' ■ . . ciones de Arras ha ocurrido el hecho siguiente, de cuya exactitud salimos ga El general' Lafuente, Uno de jos principales instigadores de la insurrec rantes. _ ■ . . **r ción, baldo ,á Puente de Aranas-, donde Bermudez, ex-ministro de la Guer «Luego que el cólera se declaró en el distrito de Hemn-Sur-Cojent, tpdos ra, se halla confinado. La república peruviana sale al fin de sus disturbios, J i…</t>
  </si>
  <si>
    <t>Lafuente, Pedro</t>
  </si>
  <si>
    <t>Pedro Lafuente</t>
  </si>
  <si>
    <t>…ctoriano Tor perpetuos del ayuntamiento de Zamora. recilla, D. Nicolás Alfaro y D. Pablo Montesino. El gobernador civil de Soria. 21 Serán vocales de la misma junta el conde de Teña, el mar E] de Barcelona. ques de la Torrecilla, D. Pedro Lafuente, D. Franeisco López Ola- El intendente de Aragón. Tarrieta, D. José Ventura Aguirre Solarte, D. Julián Harrea, di- El de Asturias. reCtór de la casa de Beneficencia , y el mariscal de campo D., Amo El contador y demas gefes y empleados de rentas de la provincia de As nio Pean. turias. D. Blas Benit…</t>
  </si>
  <si>
    <t>Lagaña, Martin</t>
  </si>
  <si>
    <t>Martin Lagaña</t>
  </si>
  <si>
    <t>…los parti ANUNCIOS. culares, se^auínentarian loá recursos industriales de estos últimos, y aumenta ría también la población; pero no creo que sea un gran beneficio paira las na iResumen d» la historia universal formado por el.Dr.-D. Martin Lagaña ,* abogado' ciones que se aumente el número de industriales pobres.” ta ^ i Los impuestos se dividen en contribuciones directas y contribuciones in traducidaaet iratiLCb pur ci uiimhu Ldgmra, &gt;irve oc inrroauccton a ia oora, en ia qu_ directas. Lá masa/total de ¡las?contribuciones directas, cualqui…</t>
  </si>
  <si>
    <t>Laidct</t>
  </si>
  <si>
    <t>…relativo al arreglo del cuadro del En las últimas cartas que se han recibido de Bucharest se anuncia que han . estado, mayor, del ejército y marina. estallado de nuevo los Alboroto» en la-Albania á consecuencia de la respuesta El general'Laidct observa que este proyecto es de la mayor importancia, y poco satisfactoria que la Puerta ha dado á ja petición de los representantes al- , P°r lo mismo exige un maduro exámea, porque las buenas leyes no se hacen bSnesea-r.Par» sofocar an,su,origen , si.&lt;es posible, «su, nueva insurrección , se . de…</t>
  </si>
  <si>
    <t>Lainé</t>
  </si>
  <si>
    <t>…allan paradas muchas fábricas, del Estado, se ceñirán estrictamente los ministros á las sumas que se les señalan y gran número de jornaleros sin trabajo. en el presupuesto.” El Sr. Larabit apoya la propuesta del Sr. Caumartin. El Sr. Lainé propone que se diga que la Cámara espera que se disminui El Sr. ’l racy quiere que en la segunda parte del párrafo que se discute se rán las cargas del Estado y se hará mas llevadera la suerte del pueblo: pues diga que la Cámara adherirá gustosa á todo lo que propenda á aumentar los no basta-que lo…</t>
  </si>
  <si>
    <t>Lainé, Caumartin El Sr</t>
  </si>
  <si>
    <t>Caumartin El Sr Lainé</t>
  </si>
  <si>
    <t>…y en Louviers se hallan paradas muchas fábricas, del Estado, se ceñirán estrictamente los ministros á las sumas que se les señalan y gran número de jornaleros sin trabajo. en el presupuesto.” El Sr. Larabit apoya la propuesta del Sr. Caumartin. El Sr. Lainé propone que se diga que la Cámara espera que se disminui El Sr. ’l racy quiere que en la segunda parte del párrafo que se discute se rán las cargas del Estado y se hará mas llevadera la suerte del pueblo: pues diga que la Cámara adherirá gustosa á todo lo que propenda á aumentar los no basta-que lo…</t>
  </si>
  <si>
    <t>Lalorrc</t>
  </si>
  <si>
    <t>…r una trampa legal, era mucho mejor que dijesen de la guerra; con una numerosa familia; y siendo sus hijos dc muy^corta edad, no puede abandonarlos. Sí pues el EstamentiT* ha cpoc*drdo'TtÑ:encii pará-ir a que no querian venir. El Sr. Lalorrc expuso que cofnó Procurador abundaba en las mismas ideas -sus casas á algunos señores por estas causas, rqaé'exTr.iño q.re este Us aíesu.- ¿c lo&gt; Sres, F'errer y Trueba^y que desearía que el Estamento adoptase sobre para no venir? En lo que dice acerca de que ighora las ctc-rcda una idea cíei cvtc…</t>
  </si>
  <si>
    <t>Lamarque</t>
  </si>
  <si>
    <t>…terio en sólidos fundamentos, recurrieron á miserables chanzas, tales co motín; cometido un atentado en cada fiesta nacional. El recuerdo de las honras mo decir que'poco les importaba que reinasen en España y Portugal dones ó del general Lamarque ha estado presente á todos le» entendimientos, mientras ¿orlas \ supuesto que lo único interesante eran los intereses deí comercio britá han durado las del general Lafayette. nico* Pero una idea semejante es tan falsa como agena de buen juicio, porque | Anarquistas', traed á la memoria vuestras pro…</t>
  </si>
  <si>
    <t>…los malévolos intenten minarlo miento del Estamento, de cuantos me escuchan , de la Nación entera, que lo ■f destruirlo. que sabemos es lo que cuesta la marcha tímida y vacilante de un Gobierno dé «Un ilustre general francés (el general Lamarque, individuo de la Cáma bil. Recuérdese que esta misma senda es la que hace poco nos condujo ¡ti pre ra de los Diputados&gt; no hace mucho tiempo que hablando de ios disturbios de cipicio. Pero no es necesario salir, para citar ejemplos, de la época actual. Ese la Vendée, dijo: que en las guerras civile…</t>
  </si>
  <si>
    <t>…ías, son hechos. En Fran El Sr. Secretario del Despacho de lo Interior'. «El Sr. López, reúrfén- cia mismo se estjn rxndo *n los sucesos iVtimos pruehis de asta lid : per dose á Us palabras que he citado de un general francés (el general Lamarque sonas de opiriores diversas han contribuido 2 sostener el orden ; porq-.:» h¿y ei que tuvo una gran parte en la pacific icion de los departamentos de la VendCe) ínteres individual de la conservación , que puede mas que las opiniones partí— ha supuesto que yo d¡je“que este prefería pertenecer á los…</t>
  </si>
  <si>
    <t>Lamartine</t>
  </si>
  <si>
    <t>…co de) de (el Ciprian Alaan. Sanjengo. (el ayuntamiento de) Prosigue la discusión del párrafo 10 de la minuta de respuesta al discurso Simes, (el juez Real del coto de) del Rey. ----- Villagarctá de Arosa. (el ayuntamiento de) El Sr. Lamartine, después de manifestar que eí Sr. Bigaorr no ha compren Villa-Juan, (el ayuntamiento de) dido bien la idea que él ha enunciado respecto á la cuestión de Oriente, habla del estado político y militar del imperio otomano, de la revolución y vic PARTE NO OFICIAL. toria del virey de Egipto, y presenta u…</t>
  </si>
  <si>
    <t>…que si bien no se opondrá á que se apruebe^ste PARTE NO OFICIAL. proyecto,declare el quisieragobiernoconcuáltodoes elqueverdaderoantes de estadoconcederen losquéfondos^parase halla la Vendée.este aumento NOTICIAS EXTRANGERAS. El Sr. Lamartine confiesa que hay desórdenes en la Vendée, y que es pre ciso proceder con prudencia para pacificar aquel departamento; pero opina que i TURQUIA. una amnistía produciría mejor efecto que el aumento-que se propone; añadien Smirna \ór de Diciembre. do que á su parecer hay peligro en conceder facultades…</t>
  </si>
  <si>
    <t>…o en uno de Aprobada el acta de la última sesión, continúa la discusión de la minuta I ¡ ellos será valedera en todos. de respuesta al discurso del Rey. [ __Eos papeles alemanes contienen las notas que han mediado entre el go- El Sr. Lamartine conviene en que se ha restablecido la tranquilidad, y que I ■rbiqrno francés y el gabinete ruso sobre el tratado de Constantinopla de 8 do la prosperidad comienza á renacer en Francia; confiesa que siempre que el or- j Ignito último. Hé aquí la que dirigió el encargado de Negocios de Francia al den…</t>
  </si>
  <si>
    <t>Lamb</t>
  </si>
  <si>
    <t>…á S. Petersburgo el bailfo V; E. se servirá ver por el adjunto diploma, que tengo el honor de Tattrécheff, embajador de Rusia en esta corte, que pasa á disfrutar de la li remitir á V. E. cencia que tiempo hace tenia concedida. El caballero Lamb, embajador de In ¡Ahcumplir gustoso esta resolución de S. M. I. el Regente, en glaterra , var también á hacer un viaje á su pais, con motivo de haber perdido nombre de mi Soberana, me proporciona tan lisonjero motivo la fe- . poco hace á uno de sus hermanos. . l»z oportunidad de asegurar á V. E. de…</t>
  </si>
  <si>
    <t>Lamberto</t>
  </si>
  <si>
    <t>…del gobierno sobre la fábrica de blondas ma, llenan la imaginación de los lectores de asombro y de respeto. La de la ciudad de Almagro, ofreciendo proponer medios de prote traducción, aunque difícil, está hecha por el presbítero D. Lamberto gerla sin lesión de ningunos intereses. Gil: tercera edición: dos tomos en 8.°, su precio 20 rs. en pasta. Se vende en Madrid en ia imprenta de Búrgos, y en las librerías de Cues Se han pedido noticias á los pueblos para promover la cria do ta , Sánchez y Matute. la seda por cuantos medios sean pos…</t>
  </si>
  <si>
    <t>Lambruschini</t>
  </si>
  <si>
    <t>…alavés, mandado por Villareal, se había escardenal Justiniani, prefecto deja congregación del índice; el cardenal Fran- tablecido en Alecha (pueblo cercano, y ¿ poco mas del tiro decanos desoni, prefecto de propaganda Jide, y el cardenal Lambruschini, prefecto de Miestú), dispuso hacer una salida con 144 hombres del regimiento de infanla congregación de estudios. Los candidatos al primer capelo vacante de ,cardo tería de Borbon, con el objeto de ver si lo atraia hacia la plaza. Al efecto dinal que tienen mas probabilidades de; ser electos en el…</t>
  </si>
  <si>
    <t>Lana, Juan Antonio de la</t>
  </si>
  <si>
    <t>Juan Antonio de la Lana</t>
  </si>
  <si>
    <t>…de las fábricas de manteca preparada al uso de Flandes, de las cua les hay cinco en aquella provincia, debidas ál zelo de D. Casimiro Domínguez Compendio del derecho Real de España , segunda edición. Habiendo tenido el mas Gil y D. Juan Antonio de la Lana, que han logrado elaborar hasta el mes rápido despacho La primera edición, se apresura su auror á dar al público Ja segunda anterior sobre Su® libras, y puede calcularse que en el presente año se elabo secorregidahallan eny mejorada1958 leyesEnde lalaobrarecopilación,del Sala quepartidasse enseñay…</t>
  </si>
  <si>
    <t>Landsdowne</t>
  </si>
  <si>
    <t>…rdor juvenil, mas audacia, mas energía, y de Austria y de Francia han puesto en manos del Papa la decisión de fijar el menos simpatías aristocráticas. tiempo en que le parezca que las tropas francesas salgan de Ancona , y las aus Lord Landsdowne, que ha sido mucho tiempo canciller dél echiquier, tríacas de las legaciones. gefe de los whigs moderados , y siempre hostil á los torys , ha pasado su vida Luego que el gobierno de Roma se sienta bastante fuerte para no necesi en combatir las invasiones del poder ministerial y popular. La nobleza…</t>
  </si>
  <si>
    <t>Lansdowne</t>
  </si>
  <si>
    <t>…dado , y todo anuncia que mií* alterará la paz que en el dia se disfruta en Europa. Ayer se leyó por segunda vez en la Cámara de los Lores y á propuesta del "Cuento, Sres., y contare siempre con vuestra leal cooperación. No tengo lord Lansdowne, el bilí de represión de los alborotos de Irlanda, y maña mas interes ni mas deseo que los de la nación francesa. Consolidar nuestras ins na se procederá á la tercera lectura. tituciones, reunir al rededor del Trono y de la Carta á todos los buenos fran ceses, reprimiendo con igual energía las tent…</t>
  </si>
  <si>
    <t>Laperrey</t>
  </si>
  <si>
    <t>…erpo, atrojando obuses al foso en que los kabatles se obstinaban á dé _yn canciller fedetativo, ' 1 ' hacerse fuertes, hasta la llegada de un destacamento del segundo batallón de -ii-.’p r- ■■ ' - ZEIGICA. , Africa mandado por el capitán Laperrey , que hizo huir á los sitiadores. n En la mañana del 6 se presentaron los ¿jbaríes en gran número (de 4 á 53), . Bruselas 3 de Julio.^. y casLal alcance de nuestras avanzadas: estaban colocados en muchas líneas y . , Union publica uq edicto pastoral.relativo á la universidad católica, en habían dis…</t>
  </si>
  <si>
    <t>Laplace</t>
  </si>
  <si>
    <t>…del regimiento 22 ’ para gastos de la Ocupación de Argel. de linea: cuatro baterías del primer regimiento de artillería , mandadas por el M. Garfan de la Rochrfoucauld'. «Señores: ha dicho M. de Sade que no general Gourgaud y el coronel Laplace, ocupaban la plaza de armas. los re debéis conceder los fondos que se piden para establecer una colonia en Argel: gimientos l.° y 2.a de carabineros, de guarnición en Versalles; el 4-° regi convengo con la Opinión de este diputado, porque es la misma que os mani miento de lanceros, que habia venido…</t>
  </si>
  <si>
    <t>Lapuna, Antonio</t>
  </si>
  <si>
    <t>Antonio Lapuna</t>
  </si>
  <si>
    <t>…las pasaba á los respectivos do por las armas en V11Ufrauca , con arrecio a ijí lírder^s ví^entess. Acom generales de división. H1 gencial Rodil , inlljmado con impresiones tan vivas paña este capitán general el parte del coronel D. Antonio Lapuna , que a con y tan gratas, ofreció á la Reina y á su augusta Madre en nombre de su ejer tinuación se expresa. cito morir si necesario fuere por la paz del reino y la seguridad dei Trono, á Capitar í» general de Aragón.1 crr'nn rraduadn de crroncl D An'ooio que e,ti tan íntimamente unido el p avenir…</t>
  </si>
  <si>
    <t>Lapuna, D Antonio</t>
  </si>
  <si>
    <t>D Antonio Lapuna</t>
  </si>
  <si>
    <t>…, quien las pasaba á los respectivos do por las armas en V11Ufrauca , con arrecio a ijí lírder^s ví^entess. Acom generales de división. H1 gencial Rodil , inlljmado con impresiones tan vivas paña este capitán general el parte del coronel D. Antonio Lapuna , que a con y tan gratas, ofreció á la Reina y á su augusta Madre en nombre de su ejer tinuación se expresa. cito morir si necesario fuere por la paz del reino y la seguridad dei Trono, á Capitar í» general de Aragón.1 crr'nn rraduadn de crroncl D An'ooio que e,ti tan íntimamente unido el p avenir…</t>
  </si>
  <si>
    <t>Larabit</t>
  </si>
  <si>
    <t>…gastos mo se cree; pues en Elboeuf y en Louviers se hallan paradas muchas fábricas, del Estado, se ceñirán estrictamente los ministros á las sumas que se les señalan y gran número de jornaleros sin trabajo. en el presupuesto.” El Sr. Larabit apoya la propuesta del Sr. Caumartin. El Sr. Lainé propone que se diga que la Cámara espera que se disminui El Sr. ’l racy quiere que en la segunda parte del párrafo que se discute se rán las cargas del Estado y se hará mas llevadera la suerte del pueblo: pues diga que la Cámara adherirá gustosa á…</t>
  </si>
  <si>
    <t>…to. [y de boca,.y que Jos habitantes de aquella ciudad estaban muy animados con El Sr. de Failly abunda en las ideas del preopinante. [ las recientes victorias del general Saldaña. Se decia'quc las tropas de D. MigúeL Pregunta el Sr. Larabit siesta ley se ha de observar fielmente, o si como | marchaban de Soto Redondo hacia Coimbra. (Globo.) otras leyes militares y de Hacienda será quebrantada poco después de su pro mulgación por los mismos que deben cuidar de que se observe. Manifiesta des Idem 12* pués algunas ilegalidades que se han…</t>
  </si>
  <si>
    <t>…concedan auxilios para la publica- la pronta y definitiva conclusión de los asuntos de Bélgica, que tanto tiempo 1 cíon del Diccionario tecnológico; y S. M., persuadida de la importancia de es há se hallan indecisos”; pregunta el Sr. Larabit por quién y cuándo se paga ta obra para el fomento de la industria, se ha dignado resolver que esa Real rán los gastos hechos para la evacuación de Amberes? El ministro de Instruc I junta auxilie en la forma que-pueda la citada empresa, y que se recomiende la ción pública responde que el gobierno n…</t>
  </si>
  <si>
    <t>…de la Cámara de los Diputados incluye copia del proyecto de ley aprobado por La Cámara declara que nada tiene que resolver acerca de lo que ha indica aquella sobre abolición de mayorazgos. Ambos proyectos se mandan imprimir do el Sr. Larabit; y se levanta la sesión. - y distribuir. Se lee en el Corres* belga lo siguiente: Se da cuenta de las solicitudes de varios particulares: el ministro del Inte *&gt;Por el contenido de .una carta de Berlín se sabe que el príncipe de Oranrior presenta el proyecto de ley sobre la organización de la diput…</t>
  </si>
  <si>
    <t>Lararefif.Lucgo</t>
  </si>
  <si>
    <t>…ha del 14 del pasado que había aparecido á Etienne (Loire) una horrorosa tempestad, cuyos detalles extractamos del Mer lá entrada del Bósforo uña escuadra rusa compuesta de 18 buques de guerra al curio Seguriano del 28: mando del almirante Lararefif.Lucgo que el almirante ingles supo esto, salió , ¡Noche fatal! Largos años durará su memoria entre nosotros. ¡Cuántos •on su fuerza nava!,háciV aquel punto, pero viendo que los moscovitas no se h'jus en ella han perdido á sus madres, cuántas madres ® sus hijos, y cuánto, guían adelante, se contentó con c…</t>
  </si>
  <si>
    <t>Lardiez, Juan Miguel</t>
  </si>
  <si>
    <t>Juan Miguel Lardiez</t>
  </si>
  <si>
    <t>…o y segundo del archivo de la dirección general de pósitos ínterin 8,388. 1000..................... se fija la planta de estas oficinas, mandando queden cesantes D. Antonio Es 3,204. 1000..................... .. . . Idem. teban y D. Juan Miguel Lardiez, que las obtenían, hasta que puedan ser colo 15,703. 1000..................... .... Barcelona. cados en el ramo de Propios con arreglo á su clase y méritos. 10,978. 400..................... a»** Madrid. 11,157. 400..................... ... . Algecirav A propuesta de la dirección general de Correos…</t>
  </si>
  <si>
    <t>Lariboíssierq</t>
  </si>
  <si>
    <t>…varios hechos en apoyo días pacíficos y serenos, en que tranquilizada completamente la monr.]-u, rei de lo expuesto por los Sres. Salverte y Baude. ne la justicia y la misericordia en el trono, y la concordia en ei animo de to El Sr. Lariboíssierq, comandante de la 5.a legión de la guardia nacional, dos los españoles! manifiesta que presenció todo lo ocurrido en los días 22 y 23 de Febrero, por miranda de Duero 8 de Marzo. que su legión estuvo empleada ambos días en contener los facciosos, y que La proclamación de S. M. I3 Ruina Doña Isabkl…</t>
  </si>
  <si>
    <t>Laridet, Manuel</t>
  </si>
  <si>
    <t>Manuel Laridet</t>
  </si>
  <si>
    <t>…ad de lo» perceptores de diezmos. Excmo. Sr.: Por Real orden de 16 de Diciembre del año último se dignó M. O’Connell v otros diputados irlandeses hablaron contra lo propuesto ,S. M. lá Reina Gobernadora conceder su Real permiso a D. Manuel Laridet- por M. Littleton, siendo el fondo de sus argumentos que la Irlanda se viese Ta , vecino de esta corte, para publicar un periódico con el título del Cínife, libre de pagar diezmos ¿ la iglesia protestante. sujetándose en su redacción á lo resuelto en la Real orden de 4 de Mayo ante rior y demas que…</t>
  </si>
  <si>
    <t>Larne</t>
  </si>
  <si>
    <t>…última voluntad del Sr. D. Fernando vil (Q. E. E. O-)', y sus credenciales á nuestro Emperador: concluida la audiencia fueron presentados vuestro fiel ayuntamiento de Matanzas, mientras cuente con el honor de tener á S. M. I. el barón Larne y el marques de Chasseloup-Laubat, ayudantes dei á su cabeza un gefe tan virtuoso y tan agradecido á V. M., abriga la consola mariscal, y el Sr. K.oechlin agregado á la embajada francesa. dora esperanza de dar al solio las pruebas mas solemnes y positivas de su cons Ayer fue presentado á la Emperatri…</t>
  </si>
  <si>
    <t>Larorre.me</t>
  </si>
  <si>
    <t>…1 Sr. Chacón pidió que se hiciese también mención de su voto, confor ra vista, porque el importe del consejo de Gobierno, y del consejo Real de España ¿Indias que gravitan sobre el presupuesto de Estado asciende á 3 Vi&gt;2,.'po del Sr. Larorre.me con el Sr. Vicepresidente manifestó que para que no hubiese omisión se ha rs., cantidjd próximamente igual al beneficio de aquella reducción. El «La comisión ha examinado detenidamente las partidas que contiene e&lt;tebia propuesto en una de las sesiones anteriores, y el Estamento lo habia acor dado,…</t>
  </si>
  <si>
    <t>Larrax, Antonio</t>
  </si>
  <si>
    <t>Antonio Larrax</t>
  </si>
  <si>
    <t>…*u curso descendente; y que si -bien seLhah&amp;m-natado tambor José Alvarez, -del regimiento de Córdoba; José Bueno , del -6.° iíge- -casos sospechosos en.algunbs mas.pueblos déla provincia,-solo en el.de Aidca to, y de carabineros D. Antonio Larrax , D. Luis Marques, D. Gabriel Ca— vieja había 'fallecido una persona. ribano, Antonio Parro, José López Coloma y Juan Castillo. ^ROVUNOIA BE'CASTEIION T&gt;E O.A "PLANA. Y enteradas. M. deJa^orrosadefensaque hicieron «nía renta de Gu li Su góberíiafloT'civil dice con fecha de 18 del corríente.que-enla…</t>
  </si>
  <si>
    <t>Larrevillas, D José</t>
  </si>
  <si>
    <t>D José Larrevillas</t>
  </si>
  <si>
    <t>…les quita hasta lá posibilidad de organizar un go^- cialidad de los dos expresados gefes, víctimas de su arrojo, de los capitanes bierno. Y «estos hombres triunfarían de toda la nación española, precisamente graduados de teniente coronel D. José Larrevillas, herido levemente, y D. Fran ea el momento en que- está mas unida al solio de sus Reyes por el amor y los cisco García, también ilimitados, y de los subtenientes de la misma clase beneficios? D. Antonio Andreu, graduado de teniente, que aunque herido de gravedad En España ni ha habido ¿rf/íV ni la…</t>
  </si>
  <si>
    <t>Larrevillas, José</t>
  </si>
  <si>
    <t>José Larrevillas</t>
  </si>
  <si>
    <t>…a hasta lá posibilidad de organizar un go^- cialidad de los dos expresados gefes, víctimas de su arrojo, de los capitanes bierno. Y «estos hombres triunfarían de toda la nación española, precisamente graduados de teniente coronel D. José Larrevillas, herido levemente, y D. Fran ea el momento en que- está mas unida al solio de sus Reyes por el amor y los cisco García, también ilimitados, y de los subtenientes de la misma clase beneficios? D. Antonio Andreu, graduado de teniente, que aunque herido de gravedad En España ni ha habido ¿rf/íV ni la…</t>
  </si>
  <si>
    <t>Larriva</t>
  </si>
  <si>
    <t>…término» que el Sr. Narras ha indicado. JE»ta reflexión , unida i proyecto de ley sobre bienes mostrencos, participando haber nombrado deca las que ha hecho el Sr. Domecq, haji puesto á la comisión en el C3SO de pro no de ella al Sr. Larriva, y secretario al Sr. Torres Solanot. El Estamento poner que se aprueben los poderes del Sr- Queipo de Llano. , quedó enterado. «El Sr.-conde de las Navas ha citado este ejemplo como único de jji cla Lo quedó igualmente de la comunicación que hacia la comisión de Ren- se que la comisión ha propuesto…</t>
  </si>
  <si>
    <t>Larrum, Eugenio</t>
  </si>
  <si>
    <t>Eugenio Larrum</t>
  </si>
  <si>
    <t>…ía general del departamento de Cádiz al teniente general de licado y Diaz y D. Juan de la Dehesa: para fiscal militar á Don la Real armada D. Cayetano Valdés, en consideración á su leal José María Cienfuegos: para fiscal togado á D. Eugenio Larrum- tad , dilatados servicios, conocimientos, bizarría acreditada y da bide, y para secretario á D. Juan La fuente , debiendo tomar dichos mas señaladas circunstancias con que se ha distinguido siempre ea ministros la antigüedad que les corresponda respecto á los que he su carrera: siendo la voluntad d…</t>
  </si>
  <si>
    <t>LasaHta</t>
  </si>
  <si>
    <t>…con respecto á -Ñapóles, la comisión no encuentra motivo para que' en poé él Estamento en Ib sesión anterior. Holanda, Turro &gt;y Ñapóles suceda lo mismo.” . . «Igualmente se dice qué-en Nápoles no Haya agregados, pues hay encar El Sr. LasaHta: «En cuanto i Turin y Holanda estaré conformej^peró ado ,de Negocios y secretarjo. La comisión, raí caso de volverse i restablecer si hay un cónsul en Lúea, podía estar encargado de la correspondí Iqs relaciones, no baila razón para que haya un agregado en Nápoles, cuando no - Liorna.” &gt; lo hay en…</t>
  </si>
  <si>
    <t>Lasala, José</t>
  </si>
  <si>
    <t>José Lasala</t>
  </si>
  <si>
    <t>…do ó disperso , marcase la verdadera dirección y proyectos La batería de montaña de la 2.a división al mando del teniente del Real sucesivos para seguirlos de todos modos un descansar; pues que el mariscal de cuerpo de artillería D. José Lasala, hizo disparos muy oportunos que contri campo D. Juan González Anleo con las divisiones 3.a y la de caballería, i buyeron á la fuga y desorden de las columnas enemigas de nuestra izquierda, cuya cabeza se hallan los de igual clase D. Luis Fernandez de Córdoba y el ba conduciéndose con su acostumbra…</t>
  </si>
  <si>
    <t>…frían el cólera; pero De carabineros de costas y fronteras el sargento l.° Marcos Garricho: que todavía no le habían remitido parte circunstanciado de los efectos que en del Real cuerpo de artillería el teniente graduado, alférez D. José Lasala; el ellos causaba dicha enfermedad. sargento:2.° Jacinto Martínez, y soldado José Montero: de cazadores de la Guardia Real de caballería el coronel graduado, capitán D. Manuel Jacome, PROVINCIA DE VALENCIA. y el teniente D. Fernando Hermosa; del 6.a ligero de caballería el teniente —coronel graduad…</t>
  </si>
  <si>
    <t>Lasanpalabras</t>
  </si>
  <si>
    <t>…nes ñoles ocurrió un empate, y nadie pudo decir lo que se había de hacer. Los an dirigidas á personas con quienes debemos guardar toda armonía. Tal rigor-en las tiguos reglamentos expresaban cómo se salla de esta dificultad, y el Sr. Lasanpalabras puede en cierto modo inutilizar el objeto de la petición; yo mismo, ta propuso se volviese á abrir la discusión como en ellos se prevenía. Se opu ahora en este momento, y á pesar de la moderación con que procuro impug sieron varios señores, y no se pudo salir de la dificultad, ha»ta que por último…</t>
  </si>
  <si>
    <t>Lasanta</t>
  </si>
  <si>
    <t>…udoso.” nero y capitalistas que hiciesen proposiciones. En virtud de esto'presentó su Los Sres. Santafé y Montevírgen deshicieron dos equivocaciones. proyecto , y encontró una grandísima oposición , tanto por parte ae los seño El Sr. Lasanta: «Cuando se presentó el proyecto del Gobierno, se res de la comisión, cómo por la mayoría del Estamento, y asi dentro como pudo considerar desde luego el efecto que causaría ?n nuestros fondos; pero al fuera la opinión pública se declaró contra él. El ministerio sin embargo lo mismo tiempo debía es…</t>
  </si>
  <si>
    <t>…a nada habla de curable ni incurable. ($. S. leyói ié¿t¿4o jpáza examinar'lis excusas de los que tengan á bien hacerlas. La comi- parte del informe.)” «oh do've én cllo ihcbnvcniehte; pero entre tatito no se haga , li comisión no Sr. Lasanta: "No hay entonces rizón suficiente pira excluir deT Esta plede seguir otra regla que lo que ha hecho hasta aquí.** mento al interesado. Yo creo, y todos creerán, que padece esa ecTermeda} ' ''ffií'tíiinéátcz « línicamcnte dtseo Saber si el Si*. Procuradqr de. grave; pero si puede curarse a podra dá…</t>
  </si>
  <si>
    <t>…ón det art. 4 ° cn le* térmi mismo capital de 3tK&lt;9 al 8 ; pero de estos I8i 9 quedaría reducida su terce nos en que lo p opone toda U comisión.” , ra parte á deuda p*siva , y Las otras dos á activa; de sueite que de los. l8o9 El Sr. Lasanta: '« Entiendo que habiéndose adaptado la base del artícu—i rs, quedarían al 5 por I0«, y los otro» 60 restantes á pasiva. Si el capi lo 3.°, creo que estamos en el caso de la primitiva discusión,, y que se deben tal , que se rrduce eo el d a al, 3 .por HH&gt; , eí de lOO is. al 3 quedan reduci seguir d…</t>
  </si>
  <si>
    <t>…e supongamos que las Córtes no concediesen el empréstito, no podría pagar.” decirse: «la deiida que se fije desde que se dé esta ley; lo cual es clarísimo.” El Sr. marques de Someruelos t «En mi concepto hay una dificultad bas El Sr. Lasanta: «Creo que no haya la preferencia que se ha indicado tante grande para aprobar la adición que se acaba de presentar. El art. 94 del respecto de las deudas; y asi el articulo está bien redactar»me parece, que Reglamento dice (¡o leyó.); y en la adición que ahora se presenta , se hallan tampoco se pu…</t>
  </si>
  <si>
    <t>…que habiendo ma proyecto de ley sobre expropiación ó enagenacion forzosa por causa de utili nifestado el Sr. marques de Montenuevo no poder tomar parte en los trabajos dad pública, en que manifestaba haber nombrado decano suyo a| Sr. Lasanta, de la comisión de rentas estancadas por falta de salud, la mesa había nombra y Secretario al Sr. Sánchez Toscano. El Estamento quedó enterado. do para reemplazarle al Sr. Floreé Estrada. La comisión de Poderes presentó su dictamen acerca de la exposición di El Sr. Presidente preguntó en qué estado…</t>
  </si>
  <si>
    <t>…mismo que romper los diques á un tor el código de procedimientos, los mismos tribunales. rente, dejando para después el cuidado de impedir sus estragos.” »K» menester ver tambiien-que-en 4*--aotoaÜdad la prévia censura solo se El Sr. Lasanta deshizo una equivocación que había padecido el Sr. Secreocupa de ciertas obras, y no tiene que hacer con las de ciencias, literatura, tarToííeT Despacho diciendo qué él había sentado que cuando no estaban rett^ historia ; por lo cual no es tan opresiva como se quiere suponer. nidas las Córtes, eia…</t>
  </si>
  <si>
    <t>…epresivas fueron suficientes, ó si ia autoridad-tuvo bastante cnergú para es ío mismo que ái se d jera que no existe tal libertad , como manifestó ayer ejecutarlas. Pero ahora son muy diversas la* leircunsuncias: tenemos un Go el Sr. Lasanta. bierno interesado en el. órdon , lo edan igualmente los dos Estamentos: y por "Ha otado el Sr. Secretario los ejemplares de Francia y otras paciones, tanto, las leyes que se hicieren no podrán menos de producir un resultado donde fvi sido necesario suspender Ij libertad de imprenta, o quitarla abso…</t>
  </si>
  <si>
    <t>…asta haber jurado. Que el Esta todos los dictámenes que ha dado y en los casos particulares ha sostenido lo' mento debe interpretar esta ley se dice en el articuló 44 0o leyó) de la mis mismo. No sé qué contradicción encuentra el Sr. Lasanta respecto á los casos ma Convocatoria (leyó los artículos 11 y 15 del reglamento). Dice Procura- de los Sres Palarea y Vadiilo. ¿Ores presuntosno son Procuradores porque no han jurado, según el Esta «Ya he dicho lo que tuvo presente la comisión: se la hizo un cargo tuto Real : llamo la atención del…</t>
  </si>
  <si>
    <t>…del proyecto de ley según quedó modifi «Esta parte del artículo no se votó.cuando el art. 3.a, porque volvió á la cado en el Estamento de Próceres. comisión, y «o se decidió hasta que 9e llegó al art. ó”, y en este, después de El Sr. Lasanta manifestó que habiendo la comisión mista de ilustres Pró la primera parte que dice (leyó), se añadió la que antes se había suprimido, ó ceres y Sres. Procuradores adoptado un medio término, le parecía que ate era?, sobre la que álo menos no se había resuelto cosa alguna , á saber (leyó). el que deb…</t>
  </si>
  <si>
    <t>…rió la tÜKtaiarltlke ésta proposición tal comió se presentaba nue cada provincia; y de la respectiva autoridad civil gubernativa en cada pueblo. vamente. Sin embargo , en las formaciones y actos del servicio i que concurra con El Sr. Lasanta la apoyó, manifestando que la aprobaba por el vacio qué - cuerpos del ejército, tendrá la dependencia conveniente de Las autoridades y g&lt;- .Dotaba en el zeglamemo sobre el particular, no obstante de que en sil opinión fes militares, del modo que prescribirán lós reglamciitos; v en todos los casos . er…</t>
  </si>
  <si>
    <t>…manifestó que no tenia incon «Se trata de aumentar la Milicia ciudadana, en todos tiempos necesaria, y veniente en que se adoptase esta indicación. ahora muchísimo mas; se exigen fianzas, y garantías en los que se inscriban en El Sr. Lasanta expuso lo mismo, como autor de la adición que.se discutía. ella ; ¡ s no las tienen los dependientes del coniercio' mucho mas constitujen- 1 El Sr. Presidente hizo leer el aft. 95 del-reglamento, para que al resolver dose pi r fiadores de ellos sus principales? Yo me lisonjeo pues de que esta adi s…</t>
  </si>
  <si>
    <t>…a deJ atnodítícací ón presentada me heéqüivoeaacr;; TÍíüfchd güsto ■ to ¿PS§ Üaíánta podría retirar la proposición* - * . en que sc_ dcsh?tga mi equivocación ; perode cualquiera manara iry: adhi&lt;?fdehfe~* ^~!A/cüya observación el Sr.! Lasanta contestó qúí oó se tratabá dé. gobier rápr&gt;ei&gt;te ál~ primer articuló dfl líí ¿petídióft. Me ciñó á’ fds rotós‘ ;a^ l¿s' peticio no interior , síno de que los nombramientos Hechos por las Córteí sé considénarios, porque repáfqndose la' iñjustidia cometida por la&gt;tiVantayWVérifi^J¿/la ráseti'cómo los…</t>
  </si>
  <si>
    <t>…iente su reunión al efecto es una continuación de la an-^ la cuestión. "Yo creo que estos empréstitos son de tal naturaleza,. qi¿e no deben terior.” admitirse por ningún estilo. Por las razones que dió el Sri'Torrcmejíá acerca El Sr. Lasanta: «En prjner Jugar: diré que nd me conformo Con lo del empré-tito de Guebard, todo el Estamento me parece que está conforme que ha dicho el Sr. Visedo en cuanto á los Secretarios, pues allí no hubo opo en que no debe reconocerse. Pero no es lo peor ese empréstito, sino las fatales sición. Se dice qu…</t>
  </si>
  <si>
    <t>…la comisión, y soy de parecer que se admita la renuncia ai señor tino que diccteiminantcmente estar en posesión de una renta fro'fia anual Vadillo.” de 129 rs., y en las excepciones no dice ni hace mención de la circunstancia El Sr. Lasanta: «El Sr. Latorre ha padecido una equivocación en ma en que se encuentra el Sr. Vadillo : de consiguiente creo que no estamos en el nifestar que el Sr. Vadillo ha renunciado por otros motivos: léase su exposi caso de privarnos de sus luces, ni á la Nación ni á su provincia de tan digno ción. Otra eq…</t>
  </si>
  <si>
    <t>…parte del presupuesto de Estado hasta que se estable ellos y no veo 'que se'exprese; ni si se expresase se podría dar cuenta de su in ciesen reglas generales , quedó aprobado. versión , pues entonces dejarían de ser secretos.” El Sr. Lasanta: «Tengo entendido que se creó una comisión llamada de El Sr. Secretario del Despacho de Estado: «Es claro que se compren economías, y me parece convendría que sus trabajos se tuviesen presentes por den en esta clase de gastos los secretos. En cuanto á la cuenta de su inrersion, esa nueva comisión c…</t>
  </si>
  <si>
    <t>…haber satisfecho los intereses y demas operaciones de la deuda extran- posteriormente por el Rey , formándose un embrollo difícil de desenredar. gera. Esto no es exacto: en el estado presentado por el Gobierno, á que se han » El Sr. Lasanta ha hablado de la parte de la justicia de esta operación y .referido dichos señores, no apareced una porción de semestres de intereses que de la parte política. En cuanto á la primera ba reproducido todos los argu se han pagado, y ascienden á 243 millones. Quedará, pues , reducida á 2ó ó mentos que…</t>
  </si>
  <si>
    <t>…uedó electo el Sr. Aranda, v a&gt;mo los Sre*. marques de Se presentó á la resolución del Estamento el dictamen de la comisión de Ebpí nardo v G« raido no reunieron mas de 11 votos, qu ron excluidos de la Poderes, relativo á los del Sr. Lasanta , que la referida comisión hallaba ar subsiguiente votación en virtud del articulo ya pitado de! reglamento. reglados ¿ lo prevenido sobre el particular. En virtud de este informe quedaron Para la elección del quinto y último candi dar ' verifico nueva votación aprobados. entre los Sres. Santafé, C…</t>
  </si>
  <si>
    <t>…sen , en cuyo portante detiene fuera de este recinto, para que pudiera decir con mas'exacti caso se pondría aquella á la votación del Estamento. J tud que yo las causas que hasta ahora han dilatado la presentación del proyecto El Sr. Lasanta dijo que habiendo firmado la petición con otros varios se de ley qüé seretlama. Sin embargo, puedo asegurar il Estamento: que sus de ñores, la habían retirado por habérseles ofrecido que en breve se presentarían seos están satisfechos; y que al paso-que es laudable esa impaciencia que mues por el m…</t>
  </si>
  <si>
    <t>…cupó la tribuna y principió á leer el gunda parte, respecto á la exacción de los caídos. Si el Estamento vota la peti primer párrafo de la petición. ción como se ha propuesto ,.¿ qué sucederá pasaoo mañana con él proyecto de ' El Sr. Lasanta : « Yo creo que se debe suspender esta discusión hasta el ley presentado por la autoridad .Real en virtud del derecho que le compete , y sábado, y entonces discutir párrafo por párrafo el proyecto de ley presentado para cuya discusión cí mismo Sr. Presidente ha señalado día? Si hoy decide el por el…</t>
  </si>
  <si>
    <t>…eo bien en todo igual ál de asadura; pero tiene la particularidad de que no solo.se co convencido al Estamento, le suplico apruebe la petición.” bra de los hatos ó rebaños que se estacionan á herbagear en el territorio delgran El Sr. Lasanta: «Yo np hablaré de esta petición, pues los peticionarios priorato de S. Juan, sino también de los que por él transitan ó pasan; .y lo lo han verificado ya sóbre la naturaleza y distribución detesta contribución. peor es, que para proteger estas exacciones es juez único y privativo el admi Solo he t…</t>
  </si>
  <si>
    <t>…o anunciado el Sr- ,Presidente que se pasaba í la del proyecto de Después de varias observaciones del Sr marques de las Amarillas en apo ley, dijo . , yo de lo expuesto por el señor preopinante , se declaró el'punto suficiente El Sr. Lasanta: «Yo no me ocuparé de todo el proyecto, de que se tra mente discutido, leyéndose en seguida el art. 56 del reglamento. ta , tanto parque lo han hecho antes de ayer los Sres., Procuradores que han pe EL Sr. conde de Sástago, como individuo de la comisión , dijo: «que la dido la palabras, como por es…</t>
  </si>
  <si>
    <t>ga efecto desde la cosecha de éste alio. Diré la razón qué tengo para ello. Ha dicho el Sr. Lasanta que ño se cobra el Voto hasta el mes,de Octubre; .y yo sé que es asi, pues en mi provincia lo mas pronto qué se verifica su cobranza es ai Vdisco,' Tor- ^ últimos de Setiembre. Podrá ser muy bien que esta ley se publique antes dé jvtis y tvjiraiudj i»uuicu«gi^• u«i&lt;ii(uíi wnutuuiftj marques de Somc…</t>
  </si>
  <si>
    <t>…un deslinde que corresponde hacerlo al poder judicial , y en trón , Trueba, Caballero y González (D. Antonio). Total 36. que no puede entrar el Gobierno ¡sin faltar á sus. deberes, ni el Estamento tam Se leyó una' indicación del Sr. Lasanta que decía asi : ..Pido que se de poco; porque rozándose derechos individuales toca al poder judicial, á este clare que la cosecha de este año no está sujeta á la prestación del Voto de San poder independiente de los otros dos , oír las tazones por una y otia parte, y tiago.” pronunciar lx decisión…</t>
  </si>
  <si>
    <t>Lasante</t>
  </si>
  <si>
    <t>…sino que cn lo posi co qqe las habrá grandes, inmensas; pero qué ¡acaso las dificultades son impo ble los atienda con arreglo á sus méritos.” sibilidad? Si las dificultades valiesen para no intentar empresas difíciles ¡cuáles’ El Sr. Lasante: «Después de tanto como se ha hablado, no diré mas se acometerían? Yo admitiré tanto menos este pretexto , cuanto estoy penetra que dos palabras, contestando á dos argumentos que se han hecho. A mi ine do de los talentos personales y de los conocimientos administrativos de los ac parece juntísima e…</t>
  </si>
  <si>
    <t>…; por consiguiente creo que poner hombres que una á su pais un poco de egoísmo. Todo capital movible no se debe aprobar el dictámen de la comisión.” arraiga , no une con el pais, y mucho menos al que lo tiene en el cxtrancero. El Sr. Lasante pidió que se leyese la exposición del Sr. Vadillo, y leída Por otra parte nosotros hemos manifestado cierta franqueza en admitir las re dijo: ’&gt;Ya ve el Estamento que la renuncia que hace el Sr. Vadillo es por nuncias; con mucha mas razón, pues, se debe admitir la del Sr. Vadillo . que que te le ha…</t>
  </si>
  <si>
    <t>Lasaota</t>
  </si>
  <si>
    <t>…nte el tratar boy de ella aó se oponía A lo preve pen las Cortes; pero el Sr. Procurador tiene demasiado talento para descono- . nido el día anterior. cer que el Reglamento es imalry nacida del Estatuto, y que cualquiera que ' El Sr. Lasaota notó que el Procurador que había dicho quedase sobre lar sea el órden y colocación de sus artículos nunca pueden variar los de aquel. El mesa la iñstaacia del Sr. Sotomayor para discutirla,otro día, acaraba de marchar Reglamento es nna ley orgánica sobre el modo de deliberar el Estamento, se del Es…</t>
  </si>
  <si>
    <t>Lasea</t>
  </si>
  <si>
    <t>…España á aquel Sobera ¿guíente pregunta: ¿pérjudicao favorece á la causa del Pretendiente queá etas no, el mismo que se rehúsa a reconocer nuestro Gobierno, al paso que él está horas el Pontífice rorti2no no haya reconocido á la Reina Lasea h • Yo creo bajo Ilútela de otras Naciones; limitándose como Pontífice á admitir nuestros que mucho. De este no reconocimiento se valdrán nuestros enemigos para dar á cuantiosos donativos." dicha causa una fuerza moral, que es-casi inapreciable, y d go inapreciable, por El Sr* Secretario dél Despac…</t>
  </si>
  <si>
    <t>Laseréna, Benito y</t>
  </si>
  <si>
    <t>Benito y Laseréna</t>
  </si>
  <si>
    <t>…h0ngiia.de S, Esteban, ál ministro de Prúsiá copdé Avisa su gobernador civil/ en oficio de 28delanter¡or, que el cóleras. &gt; de Alvensleben, pal ministro de Dinamarca conde Revendow: la gran cruz de Jiibia declarado enCampanario, Don Benito y Laseréna, aunque cón. sintonta* r «oarcn&lt;jadOT. de la Imperial órden austríaca de Leopoldo, al-consejero privado benignosr en la capital iba desapareciendo hasta- ría,corta inquietud «jue -pudo i d^;|5aáfcrí&lt;fc ptáschí, y la cruz de caballero dé la misma árdeaj al canciller causarla existencia del cólera; y…</t>
  </si>
  <si>
    <t>Laskan</t>
  </si>
  <si>
    <t>…a causa deben atiibuirse las grandes emigraciones que se verifican al fin de cada otoño, y que pri «El ¡unco en que yo navegaba, dice el autor, contenía 18 marinos; el van al imperio de sus mas diestros artesanos. (Je concluirá.) capitán Laskan, cuyos labios se habían Vuelto morados con el uso del bethel, fumaba en paz su larga chibuca sebre el puente, yxnandaba la maniobra levan tando ó bajando el dedo sin quitar siquiera de la boca el tubo de cuerno que estrujaba'bajo sus diehtes de hierro. Sus marineros, sumisos como esclavos y Habiénd…</t>
  </si>
  <si>
    <t>LasLowry</t>
  </si>
  <si>
    <t>…s peisorvas llamadas á la le cuales se explican los elementos de esta ciencia de un modo familiar y sencilla. Escrita gislatura, tengan á Ja vísta alguno de los modelos mas celebres de este género enrónimoinglesdeporla Escosura.U señora LasLowry,cienciastraducidaen tantode sonla sextaútiles,ediciónen cuantoal castellanocontribuyenpor iD.nuesGe de establecimientos; y con esta mira vamos á presentar aquí una exposición tro bienestar. Jo cual solo puede conseguirse á medida que generalizándose sus cono breve de lo que se ha dicho en un artícu…</t>
  </si>
  <si>
    <t>Latc, Modesto</t>
  </si>
  <si>
    <t>Modesto Latc</t>
  </si>
  <si>
    <t>…de bendiciones sobre S. M. y Real familia. En lo .do en ut: muerto y 13 herido*, entre el los ds bol inte ^ -r.-jider-ci-'n mi 3-.-u- «lemas, deseoso el ayuntamiento de proporcionar á estos habitantes un inocente dante de carfipo D. Modesto Latc»rre; el de la m.» '-.! ^ia*e de. c-ne-ai L &gt;-enz"» recreó próptó de las circunstancias, acordó que hubiese dos bailes, que fueron D. Ramón' Corres; contu&gt;o ligeramente D. Carlos Oyo.iim , también u&gt; uójtre muv concurridos, y otras diversiones , en que á la par del orden público, reinó mío, y do* ca…</t>
  </si>
  <si>
    <t>Latctre</t>
  </si>
  <si>
    <t>…3 rs. quo disfruta su hijo. Yo creo, acabándosele el tiempo del arrendamiento , y quiere decir que entonces dejarán —pues, que no se le debe desechar. el puesto. Asi, pues, yo creo que se ba padecido una equivocación, y que se El Sr. Latctre i •&gt; El Estamento desaprobó los documentos que presentó cometió un error cuando se decidió este panto. este interesado; y si ahora los aprobase cometería una contradicción. » El sugeto de que se trata, no solo tiene por sus hijos una renta de 403 »La renta que justifica este individuo es inferior á…</t>
  </si>
  <si>
    <t>Latorrc</t>
  </si>
  <si>
    <t>…echas, ya sea por enfermedad, ó ya por m^dmeote lo quedó de un oficio del Sr. ministro’ de lo Interior, que falta de voluntad. Este es mi dictámen.*’ , acokpniabá la renuncia de D. Francisco Barra de su plaza de escribiente en la Sr. Latorrc; *&gt; Verdaderamente marchamos por un camino desconocido, y secretaría del Estamento, y nombramiento en su lugar de D. Manuel Varga* no es extraño, porque no han podido tomarse medidas preventivas para cosas Gutiérrez. que aun no se sabia podían existir.. Veo que es arbitrario pisodo de alegar ex¿ Se…</t>
  </si>
  <si>
    <t>…haced. Esta cuestión no es del momen- En seguida entró á jurar y tomó asiento este $r. Procurador. tttí lo que’se tratadé saber es si se puede )admitir un medio de conciliación se- La mesa dió cuenta de qué habiendo regresado el Sr. Latorrc, en virtud iriejante al qu£ se ha adoptado para ios tenedores de los bonos de Córtes fijado de haberle concluido laiicepcia que el Estamento le tenia concedida, ¿peti por la comisidn , y admitido por el Gobierno :d termino de un año para re ción del Sr. Domccq hablando relevado ate señor dé la comi…</t>
  </si>
  <si>
    <t>Latorre</t>
  </si>
  <si>
    <t>…sen Sr. marques de Monsalud, electo por Sevilla. K1 interesado manifestaba que se ten, ya sea por enfermedad, imposibilidad ó cualquiera otra causa. veia obligado á renunciar la muestra de aprecio que le daban sus conciudadanos ■ Sr. Latorre-. ’&gt; ta comisión es de dictámen que todas las renuncias que se por hallarse, á consecuencia de sus padécimícntos, en suma escasez; ademis de hagan deben admitirse.” que no creía oportuno presentarse en la corte ínterin el (yrol'ienjo rio le vin Sr. Butrón: «Me parece que se confunde la cuestión, pues…</t>
  </si>
  <si>
    <t>…oderes del Sr. Palarea, y lo motivo porque se ha señalado ur.a renta fija, es para dar á los Sres. Procura presentaba á la resolución del Estamento. dores toda la independencia y libertad necesarias á fin de que obren sin suje El Sr. Latorre: La ley de elecciones dice en su art. 35: *&gt;para ser elegi ción á ninguna mira particular. De consiguiente , aunque en el momento de la do Procurador i Cortes se necesita estar en posesión de una renta propia de 123 elección no la haya podido justificar el Sr. Palarea, es preciso que se tenga reale…</t>
  </si>
  <si>
    <t>…•/.) Concluiré, Sres. t ya aue el.auditorio parece no está contento:.... punto estaba suficientemente discutido; y hecha esta pregunta, resultó no estarle* El Sr. Presidente -. Al qrdén, Señor: si V. S. tiene que reclamar algo El Sr. Latorre manifestó que las razones alegadas por los Sres. preopinan contra el auditorio, pida V* S. la lectura del artículo del reglamento que es tes le habían hecho creer estaba ya. el punto bastante dilucidado; y que por lo. pecialmente habla de la asistencia fiel público á las galerías. En el momento en…</t>
  </si>
  <si>
    <t>Latórre</t>
  </si>
  <si>
    <t>…uéllo que la ley no prohibee porque hay muchas cosas que no las pro pata dejar de reclamar la rectificación de un abuso parlamentario como este. híben las leyes, sino reglamentos, órdenes , mandatos de la autoridad; y es prp*» El Sr. Latórre nos ha preguntado, {qué beneficio puede seguirse á los espa ciso obedecerlas. Una de dos: ó este principio es inexacto, ó es menester en ñoles de decirles: soit libree, sino ven las leyes civiles que les aseguran su li tenderlo asi; y la prueba de que el ministerio no se opone á lo que el artículo»…</t>
  </si>
  <si>
    <t>que le sucedió su hijo Alforjo xj , llamado ci Justiciero: que habiendo que to por &lt;1 Sr. Latorre, *i porque la» layas no pueden prevente todos ios deli jido en menor edad , se sigujeron acontecimientos' de revolución con motivo tos no se Babia de formar ninguna, estaríamos absolutamente sin autoridad al del levantamiento de cuatro partidos diferentes, el de su abuela , su madre , y guna. . - v…</t>
  </si>
  <si>
    <t>…como previene el art. ló del de conceder al interesado un término, como se ha hecho con otros, para que reglamento.” rect+fiqoe ó mejoré sus docufríenios.” El Sr. González Alonso: « La comisión llama la atención del Estamento El Sr. Latorre: «Mil veces ha dicho la comisión, y lo repite , lo sensi hácia el art. .16, y creo que no lo ha~ entendido, como luego se probará en el ble que la es tener que desaprobar los documentos de algún Sr. Procurador. expediente del Sr. Alvarez Sotomayor.” Los que halla arreglados inmediatamente los aprue…</t>
  </si>
  <si>
    <t>…del Estamento si era válida ó no la anterior vota mos tomado de lenguas extrangeras algunos dictados, afeando la nuestra, rica, ción , se declaró que sí. hermosa y sonora, nos entenderíamos mejor, y en vez de decir Infantes de El Sr. Latorre dijo que si el Estamento tenia facultades para hacer que Castilla, diríamos hijos de Castilla, pues la palabra infante corresponde á la quedase consignada la opinión particular de un Sr. Procurador, S. S. desearía francesa enfantt que significa hijo. Dinamos pues hijos de España, y de con que se hi…</t>
  </si>
  <si>
    <t>…os; y de consiguiente que Jsspafia, descaecida J&gt;or sión para proponer las rebajas que ha propuesto.” . ,. tantas .desgracias sucesivas de su antiguo esplendor, resultaba .pagar mas que una Uespucs de dos breves observaciones del Sr. Latorre, que opinó, debía Nación tan rica y poderosa. No es exacto esto; y como es una cuestión de her adherirse al dictámen del; Gobierno ; y deí Sr. Palarea, que expuso no eran lo tho.-bastarí.citar este: Francia paga 4 su embajador en Lóndres 30tl9 francos; mismo las cóites del Norte que .Grecia respect…</t>
  </si>
  <si>
    <t>…no de estos casos; con que es una prueba clara de que quiere decadencia por los trastornas pasados. ■ -1- qué ño se admita £ Tos qne’se hallen rfá ellos.” La comisión de poderes , en vista de la exposición nuevamente hecha por El Sr. Latorre: «La ley quiere que el que sea Procurador i Córtes pres el Sr. D. José Manuel de Vadillo, electo por la provincia de Cádiz, mani te una garantía á la Nación. ¡Qué contribuciones pagari el Sr. Vadillo en Es festando serle imposible trasladar á España los bienes que posee en pais ex- paña cuando sus…</t>
  </si>
  <si>
    <t>…arreglar sus documentos y presentarlos en el Esta abandonarla; pero á pesar de lodo, el Sr.Vadillo estaba pronto á este nuevosa- mento.” . . , cr i ficto. Lo que previene el reglamento respecto á los modos de probar la renta, El Sr. Latorre insistió en el dictámen de la comisión, diciendo que el ac no; puede entenderse con ¿I. El reglamento supone que los bienes están en Es ceder á señalar mas tiempo al Sr. Vadillo seria variar la ley establecida. paña, y las del Sr. Vadillo están en Inglaterra y en Francia. El reglamento am Declarado…</t>
  </si>
  <si>
    <t>…ridad del pago de la expresada renta. Podrá serio; silla de la presidencia al Sr_Secretario González. mas en el dia el Sr. Romero Alpuente no es propietario de las casas que se A petición del Sr. conde de las Navas se leyó por el Sr. Latorre, indi expresan , ni tampoco de la masada. Y una prueba positiva de que no es dueño viduo de la comisión, la exposición con que acompañó el Sr. Romero Ai- de ellas, es que en la misma escritura su sobrino las cede ea administración á puente sus nuevos documentos. su tío para qué disfrute los product…</t>
  </si>
  <si>
    <t>…cia á un Sr. Procurador, no por un mal personal, sino por otro motivo á ejecutarlo.” que le llamaba la atención.” El Sr. Caballero: «Yo creo que no nos debe ocupar la cuestión de si El Sr. Acevedo : «Mi ánimo no ha sido atacar al Sr. Latorre; yo ha. será mas ó menos costoso el diario propuesto, porque todavía no lo sabemos. hecho reflexiones generales.” La Redacción de la Gaceta cuesta lo menos 833 rs., porque tiene ocho taquí El Sr. López: «Yo no me contraigo precisamente á la persona del Se grafos , cuatro del Estamento, y cuatro de…</t>
  </si>
  <si>
    <t>…s la parte mas altamente iniere-, La misma comisión hizo presente que habiéndose concedido por el Es sada en esto. El Sr. Ministro de Hawienda sabe muy bien cuál fue la causa por tamento en el día de ayer la licencia que pidió el Sr. Latorre, individuo de que se vió el duque de Broglic obligado á dejar el ministerio: sabe que fue de ella, había quedado esta reducida á cuatro individuos. resultas de no haber querido la Cámara sancionar un tratado hecho por Sebas El Sr. Presidente dijo que se reemplazaría dicho individuo, é invitó al tia…</t>
  </si>
  <si>
    <t>…Fleix 8; Calvo 1; Chacón 21; Delmonte 1; Cáceres 1; Rodríguez Se abrió í las diez y medía. Paterna 1; Labofda 7; marques de Someruelos 1; Ortiz de Velasco 1; Cueva Leída y aprobada el acta de la sesión anterior dtó cuenta el Sr. Secretario 2; Latorre 6; Miguel 1; conde de Adancro 1; Carrion 1; López i; Anaya 3; de un oficio del Gobierno, en que se participaba al Sr. Presidente interino la marques de Montcsa 1 , y Fuster 1. lista de los Sres. Procuradores que han sido electos por mas de una provincia, i Quedaron pues electos los Sres. Caballero,…</t>
  </si>
  <si>
    <t>Latr</t>
  </si>
  <si>
    <t>…ían desde Salvatierra á cubrir la marcha del importante convoy de vestua Excmo. $r. Secretario de Estado y del Despacho de la Guerra. rios y otros efectos que de aquel punto iba á Pamplona, apoyadas por una co lumna del mando dei general Latr^, la facción navarra se corrió sobre la merindad de Tudela, y en dirección de Sangüesa y Lumbier, atacando á su paso Capitanía general de Castilla la Vicja^eExcmtv Sr^rEl comandante celá iglesia dé Viliafranca, en la que se hicieron fuertes los valientes Urbano» ñera 1 de ambas Rojas con (echa 29 d…</t>
  </si>
  <si>
    <t>Latre</t>
  </si>
  <si>
    <t>…que la del brigadier López habia entrado en PROVINCIA PE VALENCIA. Logroño.. Parte sanitario de 26 de Noviembre. El comandante general de las provincias Vascongadas con fecha de 2(y, del actual avisa que la división del mando del general Latre, después de sus Pueblos. Días. Enfermos. Curados. ■Fallecidos. operaciones en Vizcaya, habia conducido á Vitoria un convoy de efectos, pro cedente de Bilbao, y entregado este se habia acantonado en llura na. Carriom........... .. 21 á 23 ídem... 13 6 0 Beccrril............. .. 18 á. 21 idem... 14 1…</t>
  </si>
  <si>
    <t>…, cuyo» agentes se veian por todas partes; se habían doblado las patru El dia 27 llegó la expresada división del general Córdoba á Salva llas de tropas austríacas, y los gendarmes de á caballo habían hecho algunas tierra, la del general Latre se aproximaba hacia el mismo punto, y La prisiones, cuando esta mañana al amanecer se ha presentado la policía en casa del brigadier, Oria se hallaba en Olazagoitia. Las facciones se habían di de siete ’ú odio -personas con orden de arrestarlas. Entre estas se cuenta Mr. rigido hácia Onraita ; y mu…</t>
  </si>
  <si>
    <t>…l mismo Lope-conocieron el nuevo son ticado, ocupaban las siguientes posiciones. El general Carondelet en Linhares. derode poesía dramática que abrió este.felicísimo ingenio, guiado solamente El general Sanjuanena en Covilhao. El general Latre con la resetva en Guar por su instinto y el del público para quien componía. No es esta ocasión de da. El cuartel general en Celórico. El duque de Terceirá debía hallarse el mis tratar una cuestión tan larga y delicada; baste decir que casi á un mismo tieen mo dia en Castro-Dairo, á cinco leguas de…</t>
  </si>
  <si>
    <t>…esuro á anunciaros la llegada á nuestro puerto del barco de va á los cuerpos que operan en aquella provincia. por el Conrear, cuya larga ausencia empezaba ya á causar grave inquietud á El 2 del corriente se dirigía la columna del general Latre á Mondragon las personas que tenian á su bordo parientes ó amigos. para conducir á Vitoria todo el armamento que había en Vizcaya. "El Coureur, su comandante Mr. Despau, teniente de navio, salió de Argel'el 10 de Octubre último con rumbo i Bona, llevando i su bordo los miembros del tribunal y del c…</t>
  </si>
  <si>
    <t>…ierno, contra lo dispuesto en la Consti obran activamente contra Merino en la fragosidad de la Sierra y los pinares. tución de la Confederación- germánica, mantiene seis tenientes generales en lu El 12 dehia llegar áValladoltd'el general Latre, nombrado 2.° cabo de Cas gar de uno, y que en general el número de oficiales superiores es demasiado tilla. grande para el contingente que suministra el gran ducado. El-gobierno todavía no se ha explicado sobre esta asunto : el ejemplo que le ha dado el Electorado El comandante general de Navarra…</t>
  </si>
  <si>
    <t>…r.z=Jo*é Ramón Rodil—Excmo. Sr- SrriirtiAi Según dice el gobernador de Ciudad-Rodrigo en 11 del actual, en las pro de Estado y del Despacho de la Guerra. vincias de la Beira alta y Tras-os-montes reinaba la mayor tranquilidad. EL general Latre se mantenía con la reserva en Guarda , y el general Saojuanlpna El gobernador de Alcañiz, con fecha de 8 del corriente, da parte-alc|pj . seguía ocupando á Covilhao en la Beira baja. tan genera! de aparecer por aquellas inmediaciones facciosos dispersos de Cae— El siguiente parte contiene los detal…</t>
  </si>
  <si>
    <t>Latré</t>
  </si>
  <si>
    <t>…ta politica.de Munich publica un parte oficial, por el cual el Rey fue deshecha una guerrilla de miguelistas y carlistas, que desapareció entera Guillermo declara que aun cuando lo dfsease no podría consentir en ninguna mente. El general Latré dice desde Guarda, al partir para Castelo-branco, que cesión ó cambio del territorio del grah ducado de Luxcmbntgó. Parece pues el espíritu del país iba mejorándose , siendo admirable ver la seguridad con que</t>
  </si>
  <si>
    <t>…iente £ dicho Robredo ¡para que en el preciso término de ÍS dias se presenten en la escriba nía del referidlo Sanz, con los documentó» que acrediten su legitimidad para percibir las nueve de la mañana £ Coja, de donde.da pane. El general Latre debía lié- el dividendo• prevenidos que de no hacerlo, les parirá perjuicio. EN LA IMPRENTA REAL.</t>
  </si>
  <si>
    <t>Latre, Manucl</t>
  </si>
  <si>
    <t>Manucl Latre</t>
  </si>
  <si>
    <t>…mas alto grado, neutralizar su* ron á la persecución y exterminio de los rebeldes. Dios guarde á V. E. muchos esfuerzos y-delatarlas á la autoridad, han de ser las fuerzas que se opongan a años. Madrid 27 de Enero de i834*=Excmo. Sr.=Manucl Latre,=Exema. Se aquellas divisiones de tropas. ñor Secretario de Estado y deí Despacho del Fomento general del reino.” Para lograr estos objetos debe tenerse presente que las desgracias en que hace tantos años se ve envuelta nuestra patria por la ignorancia, poca previsión &amp;. M. ha ten¡der-&amp;'bten mandar…</t>
  </si>
  <si>
    <t>Lauderdale</t>
  </si>
  <si>
    <t>…tas variaciones parezcan convenientes: no estoy con "Pero después se atacó mucho en Inglaterra mismo este sistema de Sin— forme en autorizar al Gobierno á que nombre una comisión del seno de las king-fundí; señaladamente le atacó lord Lauderdale en sus escritos, y una obra Córtes, pues esto seria darle entrada entre nosotros y aumentar su influjo; es que al intento ha compuesto un tal Mr. Haonilíon , viendo cuán desvariado una |variacion tal, que atacaría las atribuciones de nuestro dignísimo Presidente era pedir prestado para mantener un…</t>
  </si>
  <si>
    <t>Laudon</t>
  </si>
  <si>
    <t>…do con el nombre de Sinkingdeuda que ha dicho S. S.” funds. Pero despees,. siguiendo otra doctrina que parecían na luminosas, i .El Sr. Caballero msnífestó qne podis aprobarse el artículo añadiendo la proclamada en un escrito por lord Laudon , se ha abolido del todo la amorticláusula de los intsreses ds los empréstitos anteriores. xucioo, la cual 00 existe actualmente en aquel país. En Frauda no se ha su El Sr. Crespo Tejada propuso le hiciese uña adición relativa á loa bonos primida aun enteramente, pero sí se ha dtaminuido. de Córtes…</t>
  </si>
  <si>
    <t>Laureano</t>
  </si>
  <si>
    <t>…ados Milicianos urba y 98.619, todos de 100 pesos, y creación de l.° de Enero 1824» &amp;1 que los tuviese, los nos, que ansiaban porque bajasen para medir sus fuerzas y hacerles conocer que entregará á dicho D. Felipe en Bilbao, ó * D. Laureano en Madrid, 6 en la caja de Amortización, en donde están reclamados para Impedir sü circulación. prefieren la muerte á sucumbir á esta horda de foragidos. —El dia 20 de Noviembre próximo se^ubastá en tos estrados de la intendencia geste - «Me llena de gozo, Excmo. Sr., el ver con qué ardor y decisió…</t>
  </si>
  <si>
    <t>Laurence</t>
  </si>
  <si>
    <t>…. nuestra S-*ñ -ra. Ningún en que se hallan respecto á la capital. La Cámara, aprobando los enunciados obstáculo pudo contener su ímpetu, y los enemigo»’ desojado* fueron perse artículos 7.° y 8.° con una adición propuesta por el Sr. Laurence, declara ^que guidos en d.stinra» direcciones, dejindo 13 muertos, y co-tar.d ' mis de 4^ los corregidores Citan encargados de la publicación y ejecución de las le)es, de heridos y algunos prisioneros. Ei coronel Tolru, de quien hace c-merai Osma la policía rústica urbana y de los caminos vecinales…</t>
  </si>
  <si>
    <t>…do intendente »No se ha turbado la paz en.el imperio otomano , y estoy convencido de civil,de dichas posesiones en reemplazo del Sr. Genty de Bussy. que por aquella parte nada ocurrirá que pueda comprometer la tranquilidad de' El Sr. Laurence, miembro de la Cámara de los Diputados, ha sido nom Europa. brado comisario especial de justicia en las mismas. Está ademas encargado de »He visto" con mucho gusto que habéis examinado con detenimiento las buscar y reunir todós los hechos y documentos capaces de ilustrar al gobierno cuestiones domé…</t>
  </si>
  <si>
    <t>Lavalle</t>
  </si>
  <si>
    <t>…, que des de indios, y que los dispersó completamente. Lavallejo ha abandonado el terri pués de haberse distinguido en el ejército durante una larga carrera, ha ascen torio brasileño, donde han sido desarmados sus partidarios; el coronel Lavalle* dido at ministerio de ia Guerra; y después, con la doble cualidad de ministro jo, su hermano, ha muerto en la acción. de Marina, ha dado á conocer que podía ser empleado en ambos ramos coa Sabemos por cartas de Buenos-Aires que acaba de verificarse una reforma ▼enlaja del Estado. (Times.) en el go…</t>
  </si>
  <si>
    <t>Lavigne, D Pedro</t>
  </si>
  <si>
    <t>D Pedro Lavigne</t>
  </si>
  <si>
    <t>…e de fabricar el salitre y la pólvora, escrito y publicado de órden del. Rey El Sr. D. Pedro Cajuela, abogado de los Reala tribunales de S. M., id. nuestro Señor, y dedicado a S. M. por D. Manuel Mártires Rueda. Un tomo en 4.® El Sr. D. Pedro Lavigne, del comercio de ata ciudad, id. impreso en 1833, y adornado con lo láminas de grao tamaño».grabadas en dulce4 42 r$. rama, 46 rustica y 50 pasta común. Esta obra, debidaá la solicitud de 5. M. para El Sr. D. Marcos Oxtiz de Taranco, administrador de correos de ata ca fomento y prosperidad de nuest…</t>
  </si>
  <si>
    <t>Lavigne, Pedro</t>
  </si>
  <si>
    <t>Pedro Lavigne</t>
  </si>
  <si>
    <t>…fabricar el salitre y la pólvora, escrito y publicado de órden del. Rey El Sr. D. Pedro Cajuela, abogado de los Reala tribunales de S. M., id. nuestro Señor, y dedicado a S. M. por D. Manuel Mártires Rueda. Un tomo en 4.® El Sr. D. Pedro Lavigne, del comercio de ata ciudad, id. impreso en 1833, y adornado con lo láminas de grao tamaño».grabadas en dulce4 42 r$. rama, 46 rustica y 50 pasta común. Esta obra, debidaá la solicitud de 5. M. para El Sr. D. Marcos Oxtiz de Taranco, administrador de correos de ata ca fomento y prosperidad de nuest…</t>
  </si>
  <si>
    <t>Laviña, Pedro</t>
  </si>
  <si>
    <t>Pedro Laviña</t>
  </si>
  <si>
    <t>…da la bizarría-de cito con los del Soberano, porque cuando este se ve rodeado de un ejércir toaos los oficiales y tropa de su columna, y muy particularmente al capitán fiel, no hay que temer revoluciones. Muro; capitán de húsares D. Pedro Laviña; teniente y subteniente »E1 Emperador se habia propuesto ya visitar la capital de Polonia á ins del mismo, D. Ceferino Jalindo y D. José Zambrano; sargento segundo llde— tancias dél Príncipe de Varsovia: esto no obstante consultó á su suegro este -fonso Pérez, y otros varios individuos. En esta acc…</t>
  </si>
  <si>
    <t>Laza</t>
  </si>
  <si>
    <t>…dispersos jfoWarias direcLas cuxnpáfííaSL de la xoTumna guipuzeoana al. mandos dcL^tenientc Asura „ .ciones,, Ata .ya hq£j«cLií¿ís a.*¿n a - xo¿yo r pcráfécudiofe^ ánejnas qugQkmucha fatij* con otra de celadores á las órdenes del capitán Laza marcharon de madrugada ga, particularmente de las compañías que tuvieron una parte activa en la ac sobre la ermita de Larrainza » situada cerca de Amezqueta, al pie del pico de ción , reclamaba se atendiese á algún descanso. . En consecuencia %iandé toca? Aralar, y pudieron contener la marcha de lo…</t>
  </si>
  <si>
    <t>Lázaro, Joaquín Lorenzo</t>
  </si>
  <si>
    <t>Joaquín Lorenzo Lázaro</t>
  </si>
  <si>
    <t>…m 20. actualmente la desempeña; en clase de oidores , á D. Miguel Castells , á D. Magin Ferrer, á D. Juan Hernández de Alva, á D. Vi Una persona fidedigna escribe desde esta ciudad con la indicada fecha lo cente Ruiz Morqueeho, ¿ D. Joaquín Lorenzo Lázaro, que lo son siguiente : »La peste que se ha declarado, en primer lugar en Jada y despoe* de dicha audiencia , á D. Francisco Calvet y á D. Clemente- García cu Smi/na, ha hecho aquí también su aparición , habiendo ya ocurrido «ario* Escudero .alcalde del crimen de la misma: en clase de alcaldes del…</t>
  </si>
  <si>
    <t>Lázaro, Manuel</t>
  </si>
  <si>
    <t>Manuel Lázaro</t>
  </si>
  <si>
    <t>…V ;V . ¿' ' * - i ' í nr.Inu,.,: r . -f Reales1 -decretos nombrando'"*! marques Je ViTüma subdelegado" del Fomento f : 1 ■ rtiflcgdiendo £‘Iá' Real Tnaestfaiíza tteValeñcia igual hohrt. (Id.) ,, de la.provmcia,*}^ Santander, y á D. Manuel Lázaro subdelegado de l* de __ cóncedtendo Í E&gt;. JC&gt;s¿ Seoanej bidctt de ta Real Qiidienda de Granada, Sqria. ' { .. - " !su -jubilación, ¿oij "tóHtís: ■sus honorés-y eesiro quihW ¿artes1 de su -sñéitío j__- nombrando’^X). JosS San'tá Criiz ministró cbrrespóridiéñfe' al arijiá de mientras.no pueda 'asis^i…</t>
  </si>
  <si>
    <t>…•' V ;V . ¿' ' * - i ' í nr.Inu,.,: r . -f Reales1 decretos nombrando-al marques Je ViTüma subdelegado’ del Fomento f- : 1 ■rtiflcgdiendoá'Iá' Real Tnaestfaiíza tteValencia igual hohrt. (Id.) ,, de la.provmcia,*}^ Santander, y á D. Manuel Lázaro subdelegado de l* de __ cóncedtendoTáD’.Jós* SeoanejbidÓtítetaRealniidiendade Granada, Sqria. J { .. - " !su 'jnbilacíon, ¿oij "tóHtís: ■sus honorés-y eesiro quihW ¿artes1 de su -sñeltío j__- nombrando’^X), José’Santa Criiz ministró cbrfespóridiéñfe' al ariñá &lt;fc mientras.no pueda 'asis^ir'al tribo…</t>
  </si>
  <si>
    <t>…al subdelegado de Fomento de la provinciade 1834-=A D. Nicolás María Garelly. de Santander á D. Manuel Pezuela, marques de Viluma, electo do Para una de las plazas de alcalde del crimen que deben formar la de Soria; y para esta á D. Manuel Lázaro. la dotación de la Real audiencia de Granada, nombro á D. José Manuel de Arizaga, que actualmente la sirve. Tendréislo entendi Exposición &amp; S. M. la Rmisa nuestra Señora.do, y lo comunicareis á quien corres ponda. crEstá rubricado de la Real mano.=En Aranjuez á 23 de Abril de 1834-=A D. Nico Señora: El…</t>
  </si>
  <si>
    <t>…idas que ha tomado hubieran podido extir REAL DECRETO. par enleramcnte los abusos, y poner fin á los crímenes y desórdenes de que ha sido fecundo manantial su mala administración. Pero cualesquiera que fue . Por fallecimiento, de D. Manuel Lázaro he tenido á hien con ran estas medidas, lord Stanley y sir James Graharn se han opuesto a ellas, ferir el Gobierno civil de la provincia de Soria, que se hallaba á y sir Koberto Peel no querría ¡multar á estos hombres ilustres llamándolos su'cuidarlo, á D. Facundo Infante, en atención á sus méritos…</t>
  </si>
  <si>
    <t>Lazurita</t>
  </si>
  <si>
    <t>«Prometer pagar‘hubiera sido muy fácil; cumplir no tanto. Este'sistema JEl Sr. Lazurita: «lo que propuso la Comisión muta fueron estos cuatro se acomodaba también con el adoptado anteriormente para la deuda interior, y renglones que dicen asi: «Por lo que respecta al empréstito de Guebhard, no semejante asimilación daba i.todos ima prenda mas. de ta buena fe flcl Gobier- se reconocen…</t>
  </si>
  <si>
    <t>Lciningcn</t>
  </si>
  <si>
    <t>…ncedidas ó negadas , que estas mismas ___Escriben de Bruselas con fecha del 23 que han llegado i aquella ciudad el se conserven ó supriman, iipporta poco á la religión; pero importa mucho, príncipe Federico, hermano del Rey, y el príncipe Lciningcn, hijo de la du pomo ha dicho el honorable M-Dupin, i la fidelidad de nuestras transacciones quesa deKeot, y que permanecería allí algunos dias. con Jas corles extrangeras. Importa mucho , en fin, á la paz del Estado , com , El fiscal general ha apelado de .la decisión del tribunal civil de Amberes,…</t>
  </si>
  <si>
    <t>Ldndres, Ebro</t>
  </si>
  <si>
    <t>Ebro Ldndres</t>
  </si>
  <si>
    <t>…eferencia de esta capital, salió ayer en dirección Bayona, 00. zo i d.' M41aga par. de Bujaraloz, por si los cabecillas rebeldes intentan dirigirse al Burdeos, 00. Barcelona 4 pesos fs. Santander id. Hamburgo, 00. 4 b. Santiago 1 d. Ebro. Ldndres 4 90 días 37I Bilbao par. Sevilla par. El capitán graduado de teniente coronel D. Ramón Ger, ti París 16 4 l£-i9. Cádiz i b. Valeocia | d. tulado comandante del proyectado batallón 6° de Navarra y l.° Coraba j d. Zaragoza j id. Descuento de letras 4 4 p. 100 al alio. de Aragón, y comisionado por la…</t>
  </si>
  <si>
    <t>Le-Blofc</t>
  </si>
  <si>
    <t>…ría con su capitán Don ben adquirir honestamente el sustento con su trabajo, todo* son suyos. !ít;*fícWb Ttíé&gt;lUnC» qrBe va á Pamplona , le previne ptimaneciesen en aquella ac Del 4*° regimiento de la Guardia se me presentaron el coronel Le-Blofc titud1 imponente biíefirras pasaba ^yp.al cuartel d&lt; S. Francisco para volver, con otros dos oficiales, que con una partida de quintos acababan de llegar dé como lo Hice, con la tropa que allt estaba por la calle del Arrabal á salir á la Madrid, y han llenado los deberes militares oofi entusiasmo y…</t>
  </si>
  <si>
    <t>Leal</t>
  </si>
  <si>
    <t>…oruñs. los mayores apuros del Estado; en medio de una plaga asoladora esparcida La misma comisión dio cuenta de haber examinado otra solicitud del por toda la Nación , y cuando de todas partes se reclaman auxilios del Go referido Sr. Leal , en la que pide se le exonere de dicho cargo por razón de bierno en vez de prestárselos; en medio de una desgracia enviada por la divi sus achaques, y de que bailando justa esta solicitud, era de dictamen que se na Providencia , y que el Gobierno no puede evitar; con un déficit de 13 debía acceder…</t>
  </si>
  <si>
    <t>Leal, D José Dionisio</t>
  </si>
  <si>
    <t>D José Dionisio Leal</t>
  </si>
  <si>
    <t>…ue en particular ha dispensado á cada uno de sus PROVINCIA Í&gt;E LA OORUSíAi miembros, manifestó su justo sentimiento,al separarse de un gefe que tan dig namente ha sabido corresponder á la confianza soberana, y á que tan señalados Sr. D. José Dionisio Leal. ^ beneficios deben los habaneros; asegurando A S. E., que auüqüe su mando ha bía sido breve, la memoria de sus virtudes, la de su desprendimiento y gene PROVINCIA DE GERONA. rosidad, quedaría grabada en el corazón de-estos moradores, que siempre recor Sr. D. José Porret. darían con lágrimas de grat…</t>
  </si>
  <si>
    <t>Leal, José Dionisio</t>
  </si>
  <si>
    <t>José Dionisio Leal</t>
  </si>
  <si>
    <t>…n particular ha dispensado á cada uno de sus PROVINCIA Í&gt;E LA OORUSíAi miembros, manifestó su justo sentimiento,al separarse de un gefe que tan dig namente ha sabido corresponder á la confianza soberana, y á que tan señalados Sr. D. José Dionisio Leal. ^ beneficios deben los habaneros; asegurando A S. E., que auüqüe su mando ha bía sido breve, la memoria de sus virtudes, la de su desprendimiento y gene PROVINCIA DE GERONA. rosidad, quedaría grabada en el corazón de-estos moradores, que siempre recor Sr. D. José Porret. darían con lágrimas de grat…</t>
  </si>
  <si>
    <t>…bana , y tuvo que verificar en los momentos mas críticos una quinta de 259 Se mandó unir al expediente que tenia la comisión de Poderes una ex hombres, la cual se verificó con la mayor rapidez y tranquilidad, teniendo posición de D. José Dionisio Leal, electo Procurador por la provincia de la ademas que atender á vestirlos y equiparlos. ¿Pero en qué circunstancias: en Coruñs. los mayores apuros del Estado; en medio de una plaga asoladora esparcida La misma comisión dio cuenta de haber examinado otra solicitud del por toda la Nación , y cuando de…</t>
  </si>
  <si>
    <t>Leandro-Bernabé</t>
  </si>
  <si>
    <t>…spacho de la Guerra* por el capitán D. Antonio Zumcta, hizo cesar*el fuégo y tocar llamada, dir* í rlfe El canaendante genial de las provincias Vascongada* coo (f«cha 5 del ac- poniendo que e] subteniente adietó á la plana xfayor D. Leandro-Bernabé* cc Wv &amp; ¿ trt* mísituvio el liguKtttMpartf., \ ipunisasc U- orden ^Foorotteí -UrreizrieUj pam que Yenniete tod* U fuerza, y*</t>
  </si>
  <si>
    <t>Lebrija</t>
  </si>
  <si>
    <t>…ha forma un lugar determinado. do interinamente su ministerio, y se compone del Sr. Lombardo para el despa Cuando se busca la definición de cada una de estas penas corporales, se cho de lo Interior y de Negocios extrangeros; del Sr. Lebrija para el despacho encuentra tan corta diferencia entre algunas de ellas, que aparece una especie de Hacienda ; del Sr. Mozo para el de Guerra y Marina, y del Sr. Portugal de confusión, que no deja entender el carácter del sistema penal. No se.ve tam para ministro de Cultos. El Sr. Alaman, primer min…</t>
  </si>
  <si>
    <t>Lecreps</t>
  </si>
  <si>
    <t>…s de estos generales, y vo Se aprueban los artículos 4 ® 8 ambos inclusive, en los cuales se determi ta porque se acceda a lo que propone el gobierno. nan los casos en que quedan separados los auditores, el modo de nombrar los El Sr. Lecreps conviene con el parcecr del Sr. Lacuée. consejeros de Estado y los relatores de dicho Consejo, el número que ha de Los Sres. C. Dupin , Lcydet, Peyreleau, Delort, Bugeaud y Caminade sos haber en ambas clases, y cuándo no gozan sueldo: se establece que el empleo tienen el dictamen del Sr. Fiot. El S…</t>
  </si>
  <si>
    <t>Ledesma, Amonio Caballero D Manuel</t>
  </si>
  <si>
    <t>Amonio Caballero D Manuel Ledesma</t>
  </si>
  <si>
    <t>…... óOOi* dos. ¿Y por qué no se ha de adoptar una misma práctica cuando hay los mu Excma. Sra. marquesa de Montealegre.......................................... JDOO ñios medios, y militan las misabas razones! (G. del Mediodía-') D. Amonio Caballero............................................................................ 500 D. Manuel Ledesma......................................... 1000___ j.M. d’Oubril(, ministro de Rusia en Madrid, ha salido de España como Doña D. R............................................................................................. 100 sabemos, y ha pasado por Perpiñan el 26 de Junio con su familia y comitiva; Un…</t>
  </si>
  <si>
    <t>Ledesma, Manuel</t>
  </si>
  <si>
    <t>Manuel Ledesma</t>
  </si>
  <si>
    <t>…esa de Montealegre.......................................... JDOO ñios medios, y militan las misabas razones! (G. del Mediodía-') D. Amonio Caballero............................................................................ 500 D. Manuel Ledesma......................................... 1000___ j.M. d’Oubril(, ministro de Rusia en Madrid, ha salido de España como Doña D. R............................................................................................. 100 sabemos, y ha pasado por Perpiñan el 26 de Junio con su familia y comitiva; Un sugeto que no dió el nombre........…</t>
  </si>
  <si>
    <t>Ledro</t>
  </si>
  <si>
    <t>…ixtc. os ;t,&gt;s per-.«* v &lt;ea fíét ba-&lt; oc BacTos de verse sabiamente gobernados, v esperan maiines renta) is n h- m¡sM- &lt;h-d , 1 rmerto c-.n K er m.i r.. hah envenenado, a *0 qad se cree» c^'goberiro. La resolución que ha tomado D. Ledro de que h deudr del 'Br.ru! «r fi* rradv't ^;e ..o.ei p r- \l ¡ j ^ue en Londres, es una medida de grinde pol tu.a, que ha hecho •'ubir h-v b«ndo$ portugueses un S por loo. En la delicada pospon en que »e encuentra^ _____Se lee en ura carta .‘le MeA”» del lé de NLiv© Rs que *-cu-: «1 Portugal con respe…</t>
  </si>
  <si>
    <t>Lefcbvre</t>
  </si>
  <si>
    <t>…se á la co- I en todo el valle no hay pueblo que no haya sufrido grandes estragos y perdi misión que ha de informar sobre créditos extraordinarios. das considerables de ganados. Se cree que la sequía que reina en toda la India El Sr. Lefcbvre contradice al Sr. Mercier, y pide que se apruebe el articulo] puede muy bien ser la causa de este desastroso acontecimiento. (Morning- como lo presenta la comisión. I Herald.) Con este motivo sc suscita un acalorado debate entre los señores O. Barrot, I FRANCIA. Mercier, Salverte, Havrin y Roger qu…</t>
  </si>
  <si>
    <t>Lefebvre</t>
  </si>
  <si>
    <t>…al que han asistido todos los ministros. llard observa que muchas diputaciones de departamento han pedido que se au ____ En todas las tertulias se habla del discurso que debe pronunciar mañana el mente eJ cuerpo de gendarmas; el Sr. Lefebvre defiende el proyecto del gobier Rey a la apertura del Parlamento; y aunque las opiniones están divididas so no; mas no habiendo suficiente número de diputados se levanta la sesión. bre su contenido, sin embargo, todas convienen en que nada de positivo y ter minante se podrá decir en orden á las cue…</t>
  </si>
  <si>
    <t>Lefort, Mariano</t>
  </si>
  <si>
    <t>Mariano Lefort</t>
  </si>
  <si>
    <t>…ntamiento de Sanlúcar á fin de que exponga los medios con que cuenta y las seguridades que ofrece para verificar La desecación -_—El Delga de Bruselas dice lo siguiente: „El Rey ¡rá el 23 á Amberes don de la laguna denunciada por D. Mariano Lefort. de permanecerá dos dias, inspeccionará las tropas, y volverá á Bruselas poe Ha excitado el zeio de las sociedades económicas para establecer cátedras Lierre y Diest.*» Ayer varios holandeses hombres y mugeres fueron arrestados de agricultura; y la dtf Sanlúcar de Barrameda ha admitido la oferta hecha…</t>
  </si>
  <si>
    <t>Leidct</t>
  </si>
  <si>
    <t>…dia 18. lecciones para los que quieran aprenderlos. Continúa la discusión del presupuesto de gastos del ministerio de Guerra. M. Havin contesta á las observaciones que ayer hizo M. Falguerol les acerca del sistema de remonta. El general Leidct dice que se ha infringido la ley de 14 de Abril de 1832 considerando como empleados en el servicio varios oficíales ESPAÑA. franceses que el ministro de Guerra tiene á disposición del gobierno belga; que t los presupuestos se conceden bajo condición de que se cumplan exactamente las Cádiz 5 de Mayo…</t>
  </si>
  <si>
    <t>Leído</t>
  </si>
  <si>
    <t>…tro qU# almirantazgo:merece indudablemente los elogios dql público, y esto hice mas se ha de satísf.reerr por las protestas de los1 documentos dé esta clase.*1 ‘ tóetLoL desempeño de su sucesor Sin embargo ..nosotros creemos, que lord Leído el artículo *20 j en í+ cual sé determina sqirt entes de I." tte’Entsr» AucklankLes una persona tan-calificada cotnO Otra cualquiera, y capazpor su de 1835 se aloe la pfohStScsotr de introducir ciertos efectos que-se expresan pov iúc¡art: talentos y antecedentes do reparar t* .párdkla que sufre el…</t>
  </si>
  <si>
    <t>Leído, Diez Gon</t>
  </si>
  <si>
    <t>Diez Gon Leído</t>
  </si>
  <si>
    <t>…ede defraudado recho. En uno ú otro caso solo responderá de la cantidad líquida que hubiese de la esperanza de recobrar una cosa que le pertenece.” ingresado en sus arcas.” El Sr. Torres Solanot: «Por laudable que sea el celo del Sr. Diez Gon Leído este artículo , el Sr. Ochoa hizo algunas observaciones para demos zález en querer aplicar á las sociedades económicas los bienes mostrencos, á trar que debería suprimirse el último período de él; y habiéndose declarado el pesarle artes yo adicto como individuo de una de ellas, no creo que en ma as…</t>
  </si>
  <si>
    <t>Leiva, José</t>
  </si>
  <si>
    <t>José Leiva</t>
  </si>
  <si>
    <t>…á D. Eusebio López y á D. Juan Ma mentosnuel Gallón, alféreces de Urbanos de infantería, á D. José Vardua, sargen «Todo lo que me apresuro á manifestar 2 V. E. para que renza á bien to 2.° de la misma arma, i D. Ramón Mantilla, á D. José Leiva y á Santia elevarlo ¿ la soberana consideración de S. M-, a fin de que vea con satisfac go Morquecho .Urbanos de caballería, y en particular al sargento 2.“ distin ción el denuedo y bizarría con que defienden sus derechos estas beneméritas guido de su partida D. José Marín que acreditó coalo siempre…</t>
  </si>
  <si>
    <t>Leivcn</t>
  </si>
  <si>
    <t>…ditos rusos en los países extrangeros. FRUSZA. Después de haber establecido límites para la educación de la juventud rusa Berlín 2 de Junio. en tas plise» extrangeros por nuestro ukase de 18.de Febrero de 1831 comu La llamada del príncipe Leivcn y las nuevas atribuciones que se le han con nicado al Senado dirqptór, hemos creído necesario fijar nuestra atención en la ferido, han hecho creer-á algunas personas bien informadas de lo que pasa en residencia de ios súbditas rusos fuera del territorio del imperio. la corte de S. Petersburgo, que este d…</t>
  </si>
  <si>
    <t>Lemas</t>
  </si>
  <si>
    <t>…mero de habitantes, des las intenciones de la sociedad de los Derechos del hombre. Para ha pués qiíe han entrado en dicha ciudad lás tropas del sur al mando cer ver cual es sii tendencia, cual su espíritu y cual su objeto, me del general Lemas, y otras que han venido del norte. De resultas ceñiré á leer la lista de los nombres que han tomado algunas de detesto se ha mandado que el ejército se' acampe fuera de las mu las secciones de esta misma sociedad. rallas, esperando que la suavidad del clima modere la intensidad ¿Sección de Muerte á…</t>
  </si>
  <si>
    <t>Lembeye, Juan</t>
  </si>
  <si>
    <t>Juan Lembeye</t>
  </si>
  <si>
    <t>…tacha sido la distribución muy fácil y sencilla, no Pequeño, D. José Sánchez y D. Ramón Tajontfta: en cosmografía Don poniendo al cuidado de la subdelegaron de Ayamonte los pueblos de su parti Demetrio Zalvidea, D. Isaac Pequeño, D. Juan Lembeye y el mencionado do y del Cerro, que todos componen 22 con 10,915 vecinos y 4^.34^ almas; D. José Ruibal; en navegación el mismo Ruibal, D. Santiago Rodríguez y el de Aracena compone 29 pueblos, 6in contar las aldeas, con 9,o35 vecinos y D. José JJano ; y en geografía elemental y práctica^ y trigonome…</t>
  </si>
  <si>
    <t>Lémos</t>
  </si>
  <si>
    <t>…. .X' del príncipe políticos El primer número da cuenta de la risita Mi- Excmo. Sr.: Los'rebeldes, habiendo reunido la fuerza que tenían en Santa- y literarios. losch i Belgrado. (Standard.} - ' . / con la división mandada por el general Lémos, que ocupaba el A.lentejo, y-Ja que bajo las órdenes del brigadier .Rebocho habla venido de las inmedia ciones &lt;fe Oporto , intentaron desalojarnos de las posiciones que ocjipábamos, y para verificarlo, al mismo tiempo que amenazaban nuestro frente, procuraron1 con una fuerte división envolver nues…</t>
  </si>
  <si>
    <t>Lemos</t>
  </si>
  <si>
    <t>…l da por 208 votos contra 4/ aprueba el todo de la ley. dados diciéndoles que nosotros nos retiraríamos sobre la capital apenas nos ata Se principia á discutir la propuesta de los Sres. Taillandier y Devaux sobre casen , y que el general Lemos traia consigo todos los cuerpos de mayor con abolir la pena de muerte civil. fianza de Santarem, junto con los que había reunido del Alentejo , y los que El Sr. Petit observa que no hay urgente necesidad de alterar esta parte del habian llegado de las inmediaciones de Oporto y Coimbra al mando del…</t>
  </si>
  <si>
    <t>Lemus, Pedro</t>
  </si>
  <si>
    <t>Pedro Lemus</t>
  </si>
  <si>
    <t>…tos los principios que deben seguirse en esta cuestión: principal del Estado D. Domingo Ugartechea, y ratificado por el Sr. coman declara que ha procedido de un modo mas prohibitivo que la comisión de dante general de los Estados D. Pedro Lemus, suspender los efectos del refe aduanas nombrada por el Rey, y evalúa el aumento de los derechos propues rido decreto núm. 368, en cuanto al desconocimiento deL Excmo Sr. presi tos por ella en 388,380 rixd. por año - de manera, que el producto de las dente D. Antonio López de Santana. aduanas, que…</t>
  </si>
  <si>
    <t>Leñaos</t>
  </si>
  <si>
    <t>…, como en las de Argel, los indíge acerca de la suerte de la plaza y su guarnición, á cuyo objeto V otros puntos nas se han mezclado amistosamente con los franceses, indicando de este modo de importancia se hallaba comisionado el general Leñaos en Lisboa, y que en que acaso pronto desaparecerán enteramente las animosidades entre vencidos y tre tanto :cnun suspensas las hostilidades , pidiendo por último les concediese el termino de 8 dias pata resolver; y vista mi negativa, *t contentaron con 2^vencedores [Monitor.)</t>
  </si>
  <si>
    <t>Lentijo, José Benito y</t>
  </si>
  <si>
    <t>José Benito y Lentijo</t>
  </si>
  <si>
    <t>…n entero para que viniese á la Península tal cual se EXTREMADURA. bailaba en Oran. Asi se verificó, y en consecuencia arribó el 18 del mes an terior al puerto de Cartagena la fragata de guerra francesa Vietoire, conducien Atange. D. José Benito y Lentijo, en Valladolid: desde 1.® de Julio bas do á su bordo dicha fuerza , compuesta de 2 capitanes, un teniente, un ciruja ta fin de Agosto. no, un sargento primero, 21 sargentos segundos, 11 tambores, 2 cornetas, 48 , GALICIA. cabos y 372 soldados; en todo 3 oficiales, un cirujano y 455 hombres de tro p…</t>
  </si>
  <si>
    <t>Lentos</t>
  </si>
  <si>
    <t>…bdido áiacSir soOla las ¿ajas del tesoro. %G. de Augíburgo.') - V . v •• - Éáéadajríicntc. ségun erl dictámén de Bourmont.á Saldafia y áTercera con alguna — Florincia t\ 'de Junio* &gt; ^ r probabilidad de ¿tartaja , Je- dice que el general Lentos representó á D. Miguel la inutilidad del c'ombate, por la intervención de fuerzas luperiores con quo «Acaban de estipulárse las condiciones de un tratado de ^pat , de amiitad y ppdian'qbrártaJng'laierríyEspaBa. 5 ‘ T de Comercio eDlrc S. A. I. y R. nuestro muy atoado Soberano, y &lt;5.1 Eibpera:- y El…</t>
  </si>
  <si>
    <t>Leo, Manuel' Alvarado y D</t>
  </si>
  <si>
    <t>Manuel' Alvarado y D Leo</t>
  </si>
  <si>
    <t>…en clase de alcaldes 4 Don de París, los cuales á cada revolución se hacen notar por su espíritu turbulen Juan de Serilla,4 D. Salvador María Quiroga, que lo son de la to, anárquico y antirclígioso! misma, 4 D. Agustín Alcaide, 4 D. Manuel' Alvarado y 4 D. Leo E&lt; arzobispo de Cantorbery habla con energía contra la adopción del bilí. £1 lord canciller ¿pova la segunda lectura del bilí, diciendo.que po tienenardo Gil de la Cue6ta; y para- fiscales á D. Diego González Alonso, necesidad de recordar su objeto k pues o bastante conocido. Cree que si se adop de l…</t>
  </si>
  <si>
    <t>León</t>
  </si>
  <si>
    <t>…20 4 22 id. ^ Termir.ada esta lectura resonaron por el ámbito del cuadro dos vivas, el En estos pueblos se espera que la cosecha de aceitunas será mas que regular. ‘primero á la Reina nuestra Señora Doña Isabel ii, y el otro á la Reina León—(En la ciudad.) Trigo, de 36 á 37 rs. fanega; y lo de Segunda ca '.Gobernadara , que fueron dados por los comandantes de batallón y escuadrón, lidad, de 25 á 27 id.: centeno, de \6 á 18 id.: cebada, de 12 á 13 id.: vi -y repetidos uniformemente por las tropas con el mayor entusiasmo. no tinto, 20 r…</t>
  </si>
  <si>
    <t>…ne acto el 19 de No tham, por Esteban Dumont: traducido al castellano. Madrid, 1834* Véndese viembre. Ningún dia mas proporcionado i la sociedad para hacer pública su en la librería de Doña María Antonia Sojo, y en la imprenta de D. León beneficencia; es el plausible de nuestra Rbiha Doña Isabel ti; y la sociedad, Amanta, plazuela de Celenque, á 12 rs. rústica* eligiéndolo para la distribución de los premios, manifiesta sus sentimientos de Bien sabido es el célebre principio de Bentbam en materia de legislación, amor y fidelidad á…</t>
  </si>
  <si>
    <t>…(echa 2 del corriente da su gobernador civil, En el segundo oficio escrito á las ocho y media me dice: »&gt;En esta hora que en aquella provincia se disfrutaba de buena salud .excepto en el pueblo de se me ha presentado el teniente coronel £&gt;. León triarte, que precedió á la sa Aniñon, en el cual solo existian el día 4® La fecha 7 enfermos, los 4 fuera lida i mis edecanes con la orden verbal que le di para que se dirigiese' á Sa ■ de peligro. linas á fia de observar jos movimientos del enemigo.” ^ islas ralbaras. Viene el convoy por consiguie…</t>
  </si>
  <si>
    <t>…demuestran las calidades qbe deben tener las.carda salías'y provechosas, y las sédala que denotan su estado de insalubridad { y .lo mismo ios pescados y damas alimentos y bebidas. Un romo en 4&gt;¿ / (O - Se hallará en U imprenta de D. León ¿marica, plazuela de Celen que, y en 4 14 rs.: te vende en Madrid en Jas libteriu de Matute, Sánchez yGuata, y en Un* la librería de Doña'María Antonia So jo, ^aliede Carretas, á 17 n. en rústica. prenta de Burgos.. 1 EN LA IMPRENTA REAL.</t>
  </si>
  <si>
    <t>León, Alejandro</t>
  </si>
  <si>
    <t>Alejandro León</t>
  </si>
  <si>
    <t>…de 26 Para la fiesta de S. Pedro se espera la creación de muchos cardenales. (Zrf.) de Marzo último, he venido en mandar que sean extrañados para siempre de estos reinos, y desde luego se ocupen las temporalida INGLATERRA. des a D. Alejandro León, presbítero, vicario del Pueyo; á D. Flo rencio Goya, abad de Oricin; á D. Juan José Vergara, vicario de IjSndrit 28 de Mayo. Añezcar; á D. Manuel Gregorio González, vicario de Salinas de Los negociantes de'Lóndres han recibido de Calcuta un proyecto en for Monreal; á D. Pedro Miguel Irañeta, vicar…</t>
  </si>
  <si>
    <t>León, Gregorio</t>
  </si>
  <si>
    <t>Gregorio León</t>
  </si>
  <si>
    <t>…conocimiento por si tiene á bien elevar al dé S. M. este suceso, vella, Celedonio Rea, José Villavieja é Ignacio Macía; v del provincial de y el mérito contraído por el oficial comandante y su partida. Dios &amp;c.” ‘Ciudad Real .el sargento 2.° Gregorio León, y los soldados Blas Bótanos, Pa blo Montes y Juan Antonio del Campo. Todo lo que elevo al superior cono El capitán general de Aragón con fecha de 5 del actual dice á este mi cimiento de V. E., por si tiene á bien recomendarlos á la demencia de S. M-, nisterio lo siguiente: como asimismo la viuda d…</t>
  </si>
  <si>
    <t>León, Valerio</t>
  </si>
  <si>
    <t>Valerio León</t>
  </si>
  <si>
    <t>éfOU . S horas, que cumplirán á las tres de la tarde del día de mañana, y de su resulta propio cuerpo D. Toteas ¿García Berna!, y el segundo interiao , teniente coro do diré i V. E puntual aviso. nel graduado D. Valerio León, capitán de dicho batallón, han ejecutado con Oíos óíc. Campo sobre Serpa 29 de Mayo de 18.14-“ íixemo. Sr.”Fran todo acierto y oportunidad la* órdenes que les he dado. cisco Serrano.^zExcmo. Sr. Secretario de Estado y ci^c 1 cspaclio de laGuerra. Conozco muy b¡en que iodos hemos hecho muy poco en…</t>
  </si>
  <si>
    <t>Leonardo</t>
  </si>
  <si>
    <t>…arante y su retirada á Lamego; y con Tespecto á cual, y por Ja dd regimiento provincial de Befanzos á cargo de su las partidas carlo-migiielistas que aun se sostienen en aquel pájs capitán D. Fernando Vázquez Carril , el teniente D.; Leonardo fronterizo, el expresado capitán general, de acuerdo con el gober Bergado y el subteniente D. José Pimentel: el enemigo rompió nador de Valenza, tienen lomadas ^us disposiciones para extermi ün vivo?fuego, y despreciado por una y otra columna, los desalo narlas cuanto antes. jaron de las posiciones…</t>
  </si>
  <si>
    <t>Leonel</t>
  </si>
  <si>
    <t>…t vhAaé'dipUtádos ^unosíen; pco.y otros en cpntré.de la propuesta cibiiníento «oe de 00 verificado le*.parara perjuicio, ,t ,* : ; v , -p—Hat»i.endi&gt;;de procederse en esta «;orc« á 1» subasTa de^ suministro de titensilfiria á del Sr. Leonel, y el presidente obteraóiqi¿ tocándole á él.dirigk las tareas, de las tropas ¿«antes y transeúntes en él.dftfríro m:tirar cf&lt; AóJgrm por él fdrrhfno de la Cámara, pondría á discusión, cuando fuese tiempo, el proyecto de ley de cuatro años, que dará principio en t.^dé Maneo de r8S^-y; tfeheceri en '…</t>
  </si>
  <si>
    <t>…stación hace poco probable que estos movimientos se verifiquen para que el lo, pues asi se aceleraría la discusión. ^Emperador pase revista á estas tropas., habiéndolo ya hecho el año último en Opúsose el Sr. Soure al parecer del Sr. Leonel, sosteniendo que la dis Modlin; pero esta centralización de tropas rusas debe llamar la atención de cusión actual era sobre la totalidad del proyecto: del mismo dictamen fiie el la Europa hacia los negocios del Oriente. Sr. Sánchez: el Sr. Vasconcelos sostuvo también que el proyecto no debía vol be…</t>
  </si>
  <si>
    <t>…nservatario de Artes , los dias 15 y 16 de este mes, rina , que -preseutó el decretó de que acababa de hablar para que sirviese de de diez á dppe de la mañana , en la inteligencia de que no han de bajar de adición al articulo; el Sr. Leonel insistió en que el artículo y todas las adi : doce anos, y han de saber leer, escribir y contar. Madrid 7 de Noviembre de ciones y correcciones volviesen á la. comisión, para-que en vista de todo lo 1834=Sebastian Eugenio Vela, secretario. ' redactase de nuevo; los Sres. Sousa , Miranda, Barjona y…</t>
  </si>
  <si>
    <t>Leonor</t>
  </si>
  <si>
    <t>…o Las difíciles ¿ importantes obligaciones de su carrera política no le enterrada en la parroquia de Miedes, pueblo cercano á Calatayud, la Infanta apartaron nunca, ni del cultivo de las letras, ni de las investigaciones eruditas Doña Leonor, hija dél Rey D. Alonso el Sabio. En el mismo tomo se halla 4 que era tan aficionado. El público ha visto ya con sumo aprecio sus obras explicada una inscripción que se encontró en Bolívar, y es el epitafio de un obis impresas, como son, ademas de las ya mencionadas, un Ensayo de .traduc po llamado…</t>
  </si>
  <si>
    <t>Leopoldina, Carolina</t>
  </si>
  <si>
    <t>Carolina Leopoldina</t>
  </si>
  <si>
    <t>…L. como Regente de Portugal, entre La muy alta y muy poderosa Señora Doña María n, Reina de Portugal y de los Algarves, hija de D. Pedro, Empera Lisboa 3 de Diciembre. dor del Brasil y Rey de Portugal, Duque de Bntganza , y de la Emperatriz Carolina Leopoldina, Archiduquesa de Austria (Q. D. T. E. S. S. Cj.), v CjÍuara he tos diputados__ Sesión de 30 de Noviembre. S. A. R. el muy noble y muy excelente Principe Augusto Carlos Eugenio Napoleón, Duque de Leuchtemberg y Santa Cruz, Príncipe de Eichstett, hijo Aprobada el acta do la última sesión, se dió cuen…</t>
  </si>
  <si>
    <t>Leopoldina, María</t>
  </si>
  <si>
    <t>María Leopoldina</t>
  </si>
  <si>
    <t>…dolor; todos se irritaban como hijos qué Real de Portugal, Brasil y Algarbes, juntó con el de Duque de Braganza. En acaban de perder á un padre.... Soldados, oficiales y ciudadanos de todas conJ817 casó este Príncipe con la Sra. Doña María Leopoldina .archiduquesa de diciones_derramaban lágrimas, y miraban el féretro con aquel respeto .religioso Austria, é hija del Emperador Francisco i, de cuyo consorcio nació en 4 de que inspira un templo arruinado que fue mansión de una divinidad. Parte de Abril de 1819 la muy augusta Sra. Doña' María de ia…</t>
  </si>
  <si>
    <t>Leopoldo</t>
  </si>
  <si>
    <t>…ndo la cuarta, y el tercero ponga ron al Austria aquellas propiedades. (Id.) 7 fr. mas que el segundo, ¿cuánto costará el rebaño?” «Será de temer que este pequeño prodigio sea un instrumento dócil en —-----Parece que el viage del Rey Leopoldo á Gante tendrá por efecto un cam manos de su maestro? El perro Mundo se conserva todavía en la memoria do bio del ministerio belga, que resultará en el sentido católico. (Id.) todos. (Id.) f-----F_&lt;erihen de Nápoles 24 de Julio: 1 ESPAÑA. »Acaba el Vesubio de ser teatro de nuevos fenómenos, mas ext…</t>
  </si>
  <si>
    <t>…ispo de León, ni por tura sonas que se haba en ia lista. conduelo, que diese una amnistía. No es verdad tampoco que el duque haya El prinler cuadro inciuvc los filósofos natu -ales , v sus nombres v eda cedido cantidad alguitó al Rey Leopoldo por su inspección de las fortalezas des son como sigue; Bacon (Rugero) ”8; Burton 81; c pcmico ~J;Cu— ac aquel reino, (i'iof.) vier 64; Davy .si; buier "6; FrankUn 85 ; Gaiiie ’ ; ei f)r. Haliev 86; Her-bchei 84» lvepler 6&lt;J; Lalandi 77 ; Leveenlu^eck Vi ; Leib- ——Hemos oido que el vicealmirante C.…</t>
  </si>
  <si>
    <t>…ular última , como yase habla anunciado. lo ó.° de la Constitución «tá autorizado el Monarca á nombrar un «Sfletotjtl trono, de acuerdo con los representante de lá nación, en caso de faítfrte des- JgtGICA. cendencia masculina. El Rey Leopoldo tiene des sobrino*, de .los cuaba d «4Brusela/ 25 de Mayo. yor tiene 16 años, j ambos son hijos de su hermano el Príncipe Fernando de Sajonia-Coburg , habido* delmatrimonip qué contrajo coa U Prínceaa de.b fa La Cima» ha adoptado ti ti discusión el mensa ge del Rey, cuyo proyecto b ha ado presentad…</t>
  </si>
  <si>
    <t>…echir eon los intereses mercantiles, S. M. ha tenido á bien reconocer el nuevo Estado ' los vínculos de amistad con los gabinetes aliados; aceptar con gratitud las be de la Bélgica, y enviar un agente diplomático cerca de S. M/el Rey Leopoldo. névolas disposiciones de algunos Gobiernos; desear que se renueven Us antiguas Sería del todo inútil , y no poco embarazoso y prolijo , bosquejar la mar relaciones con otTos, pero conciliando este deseo con la propia dignidad v de cha que han seguido las negociaciones relativas á la separación de l…</t>
  </si>
  <si>
    <t>…forme ha.jde .pasar el proyecto de left. «látiro • ¡_,-,iSc habla mucho, y parece que^no sin fundamentof der dos matrimonios »á las sumas que ademas del presupuesto se conceden al ministro de Guerra pau - proyectados uno entre rl príncipe Leopoldo y una de las' hijas de Luis Felipe, atender á los gastos extraordinarios de los seas últimos meses del afín:presen» ,.y otro entred duquo de Orleans y la princesa María Carolina, hermana del ‘y seis primeros de 1835;' y el qUc trata de los detentadores ó depositario; ¿ Rey, que acaba de cumplir los 1…</t>
  </si>
  <si>
    <t>…able orador ha venido, no ya á defender.p sino A proteger el par que aunque al principio dió cuidado, parece que va cediendo á los tido carlista, ha usado de generosidad, de pura generosidad, pre remedios. Se dice que su padre el Rey Leopoldo ha llamado á un sentándonos unos hombres unidos legalmente, á 1» causa del or médico ingles, que fue el que asistía á S. M. durante su perma den , y que sin prevenciones, sin mala voluntad participan de to nencia en Inglaterra. dos los derechos y libertades que nuestro generoso gobierno ha ase F1 -…</t>
  </si>
  <si>
    <t>…ar los Estados S. M. permanecerá en Palermo hasta fin de Agosto. Se dice que la intención vecinos las garantías que para lo futuro apetecen, y que con fundado derecho del Rey en hacer este viage es de asistir al casamiento del vi rey Leopoldo con pueden exigir. ¡Seria el vorort el único que ignorase lo que se ha hecho en la princesa María de Francia. Se espera en breve al general Sebastiani. El 2&amp; Suiza por medio de la imprenta y por las sociedades que están muy generali saldrá el barón Dowamd. (pateta de Augsburgo.j zadas , asi antes c…</t>
  </si>
  <si>
    <t>….............. 611 39,715 8,820 Vacas.................... 6,970 766,700 189,882 ____El Mercurio belga dice, con relación á cartas de París, que el gobierno Temerás.................. 968 24,200 12,310 francés ha tratado con el del Rey Leopoldo, para que se haga en Bélgica un Terneros................ 9,703 339,605 22,001 examen de los artículos de comercio y de sus derechos, con el fin de unifor mar en ambos países el arancel de aduanas. {Idem.) Totales.............. 124,164 4748,108 1.140,640 F-crríhen de Ginebra: Las exportaciones en el…</t>
  </si>
  <si>
    <t>…iguo director y ma«stro D. Juap Bautista Vermay, añadiendo únicamente la copia de países por El Monitor belga del 29 de Setiembre dice que las decoraciones distri- las ventajas que resultan de esta clase de dibujos. buida»-por el Rey, Leopoldo con motivo del aniversario de la revolución bel- La sección, instruida por sí misma y por los informes de los Sres. inspec^ '■ gfeoon en numero.de IOS de primera clase, y 324 de la segunda. Las conce tores, del buen método observado en la academia, y de los brillantes resulta dida» al ejército tan…</t>
  </si>
  <si>
    <t>…nos Aires \áf áe Junio. Téncenrou (;DL&gt;sdc protejx?) Algunjs comparsas de músicos del país expresaban su júbilo con cánti Oficio del cónsul de Bélgica al ministro de Relaciones exteriores , acom cos y danzan pañando una carta del Rey Leopoldo para el presidente de la república ar7 Cuando llego á la posada del Gobierno, eLSr. conde de Erlon recibió gentina. inmediatamente á los oíLules del estado mayor de las diferentes armas, a las wÉxcfnó. Sr.: De conformidad i las órdenes recibidas de mi gobierno, principales autoridades, a las perrun…</t>
  </si>
  <si>
    <t>Leopoldo'</t>
  </si>
  <si>
    <t>…estruyendo la verdade sión de los negocios de la Península , la unión que se ha formado entre nues ra dignidad Real, oprimiendo í los' realistas, imponiendo las leycs'del jura tro gabinete y el de las Tullcrías, el casamiento del príncipe Leopoldo' con una mento y de pueblos privilegiados, monopolizando las dos Cámaras que soste princesa de Francia , y las importantes modificaciones verificadas en el lengua nían la falsa dignidad Real que los doctrinarios británicos habían fundado en je dé 1os órganos oficiales del gobierno, justifican la esp…</t>
  </si>
  <si>
    <t>Leoreses, Amonio</t>
  </si>
  <si>
    <t>Amonio Leoreses</t>
  </si>
  <si>
    <t>…ue á la mañana siguiente rodeáronla aldea las D. Buenaventura Tomás, D. Nicolás Collard. Sargentos primeros: D. Tomas guerrillas enemigas de Moura y Serpa, y Batalla cayó sobre ellos, les mató 19 Espiriquiti, D. Alejandro Gasart, D. Amonio Leoreses, Ramón Ga.vez, hombres y cogió 15, teniendo jzor su parte dos hombres muertos y uno heri Tomás Lizanda, Joaquín Trullcn. Cadetes: D. Juan Sevilla, D. Antonio Re do ; finalmente, que los enemigos se habian retirado á Moura. (Idem.) set, D. José Calvet, D. Salvador Calvet. Sargentos segundos: Antonio…</t>
  </si>
  <si>
    <t>Lesieps, M</t>
  </si>
  <si>
    <t>M Lesieps</t>
  </si>
  <si>
    <t>…de lo que debe á la nación francesa. tor de Tolon á fines del mes pasado y se presentó delante de Túnez. El co MM. Mounier, Gautier, "Casaignoles, Marbois y el ministro de Instruc mandante Luneau comunicó sus despachos al cónsul general M. Lesieps; obtación pública hacen varias observaciones,ya en pro, ya en contra del proyecto, vo una audiencia del bey, quien prometió una completa satisfacción á la F ran y la Cámara lo aprueba por 79 votos contra 18. cia- Se asegura que el Néstor estaba autorizado á emplear la fuerza en caso de Adó continuo…</t>
  </si>
  <si>
    <t>Lesuiro, Wiltian</t>
  </si>
  <si>
    <t>Wiltian Lesuiro</t>
  </si>
  <si>
    <t>…res de U madrugada de hoy he recibido del brigadier ----- ’El Diario de Munich anuncia que el gobierno de Bavirra, por ún de- D. Ramón Teijeiro desde Lisboa, fecha 3 dei veniente, á las-cin-io de U ur trato &lt;kl 12, ha nombrado al coronel Wiltian» Lesuiro , general y ministro de, la comunicación siguiente:</t>
  </si>
  <si>
    <t>Levanta, Clement Se</t>
  </si>
  <si>
    <t>Clement Se Levanta</t>
  </si>
  <si>
    <t>…xpedición de los Dardanelos Hallándose vacante una de las plazas de cuestor por fallecimiento del señor podría suscitar graves compromisos, sobre todo para Inglaterra. El sistema con Dumeylet, elige la Cámara para este destino al Sr. Clement. Se Levanta la tinental ha hecho ver cual es la parte débil de la nación británica, y los resulta sesión. dos que Napoleón logró por medio de unas Potencias que obraban contra su ideM.^Sesioft del día 27. voluntad, manifiestan lo que sucedería en el dia que la mayor parte de los Es tados alemanes se lamentan de l…</t>
  </si>
  <si>
    <t>Levraud</t>
  </si>
  <si>
    <t>…stam pados, grabados ó hechos á mano, sin previo permiso de la autoridad muni cipal. Este permiso se podrá revocar.” Añade que se han presentado varias adi Varis 9 de Febrero. ciones ó modificaciones acerca de este artículo, y el Sr. Levraud un artículo re dactado bajo otro principio, cuyo tenor es el siguiente; "Nadie podrá vender cLmara db tos diputados---- Sesión del dia 6 de Febrero, en las calles y plazas ningún escribo impreso, litografiado ó grabado. Se excep J^EOsiguc la discusión del proyecto de ley relativa á los que pregonan…</t>
  </si>
  <si>
    <t>Lewestern</t>
  </si>
  <si>
    <t>…ente gene rada. se ejecuté solo en el Real sitió de S. Lorenzo por aquellas que ral de la comisión , conde de Kisseleff, salió antes de ayer para S. Petersburgose dignare designar especialmente; y que las demas ía ejecuten en »E1 barón Lewestern, vicepresidente, ha hecho ya presente al divan que habían terminado sus funciones. la Venta nuera ó de la Trinidad, á cuyo fin ha comunicado las órde »E1 nuevo hospodar Ghyka se ha puesto en camino esta mañana para nes oportunas el ministerio de lo Interior. Constantinopla, con objeto de recibir de…</t>
  </si>
  <si>
    <t>Leydet</t>
  </si>
  <si>
    <t>…se concedan los fondos que pide el ministerio para Ai. Thiers: Pues quebrantad esa ley ineficaz é imposible de ejecutar: yo aumentar el ejército. me encargo de hacer que se ejecute. (Aprobación en el centro.) Los anarquistas, EL general Leydet accede á que se concedan los 12 millones que se recla conociendo que se acercaba el término de su imperio, quisieron hacer un es man para este año, pero no los 22 que pide el ministerio para el año próximo, fuerzo para ver si podían quedar dueños del mando y árbitros de la nación; venidero: niega e…</t>
  </si>
  <si>
    <t>…ngero, se prohitia su entrada.en el Continúa la discusión de la ley de asociaciones. Hablan varios oradores en Reino, ya sea natural;ó ya artificial. De Real orden éte. Madrid 6- pro y en contra do la modificación de M. Teste. El general Leydet propone U deMarao de 1834.—Imáz. =Sres. directores de Rentas. modificación siguiente: »&gt;la ley sobre asociaciones será, temporal. Cesará de^ple- &lt; . - - no derecho al fin do la sesión de 1835.*’ Se procede á la votación deV^Jfr»- fo l.°. de la modificación del general Eeydet, y queda desechada. h¿e…</t>
  </si>
  <si>
    <t>Leyraud</t>
  </si>
  <si>
    <t>…sentencias de los tribunales y los papeles que publiquen los magistra lletos, litografías &amp;c. dos, sín que se puedan anunciar mas que por sus títulos.” • El Sr. Chapuis-Montlaville opina que si hay revoluciones es por culpa de El Sr. Leyraud apoya su proposición en varios antecedentes y reflexiones, Jos gobiernos; que no es tan fácil como se supone dirigir al pueblo por medio una de ellas que siendo el proyecto contrario á los dos principios reconocidos de folletos, y que la causa del acaloramiento que se nota en los escritores pú por…</t>
  </si>
  <si>
    <t>…desenfreno con que se abusa de esta .profesión, quitando .este poderoso auxiliará una facción tan criminal como El día 3 del actual, señalado parí la proclamación de la Reina nuestra! jjpsensata: finalmente, que la propuesta del Sr. Leyraud es inadmisible porque Señora, se reunieron con el ayuntamiento el Sr. D. Diego Ballesteros, alférez ^na difícil clarificar los papeles de lícka publicación, mayor perpetuo de esta villa, ¡el conde de C&amp;a Valiente y otros caballeros! VueLve á tomar la palabra el Sr. Cabet, y después de contradecir v…</t>
  </si>
  <si>
    <t>Lfetde, Leff</t>
  </si>
  <si>
    <t>Leff Lfetde</t>
  </si>
  <si>
    <t>…ón del ¡si. Duitw*q sera m ten» — li H-V** ,tu« na'a sin. neu.uta. |» f^tc e» opoemmuma , y que debe attedrrte ai artículo de una d otra manera.” llament II Isnisstes • s,.*.■ d »**&gt;v. A-* » p-n «stAj ei a&lt; cuf tejas der, pao- El Sr. Leff*--. -Lfetde terJO veo que e»famo» rodo» conforme* en lot ps.es!. . ' «test* &lt;• te 'i-;ltei*.n.ur h i Ui.iu , Oo ...nabato aa asu. st sdao prircrpíor, p no pod a *er de «era manera -, porque i quién desconoce qué el pi.ns.ui. 1 . cscdvteno, no tete ca su pretor** , une. también en au» propiedades, debe ser n y…</t>
  </si>
  <si>
    <t>Li, Cristóbal</t>
  </si>
  <si>
    <t>Cristóbal Li</t>
  </si>
  <si>
    <t>…lista de i o» pue rios fusiles y otros efectos , prueba evidente de la precipitación con que marcha blos de la provincia con expresión de lo» vc.iru-* \ almas que contiene: elo ban. Dios &amp;c. Lumbier 14 de Mayo de 1834'.== Excmo. Sr. = Cristóbal Li giando con Cite motivo el mérito de D- Piacido &gt;ntad .t de aquel Real nares de Butron.reExcmo, Sr. Capitán general del ejército y reino de Aragon.= consulado, que ha facilitado aquellas noticias v curas vanas ai gobierno civil. Es copia.=Ezpeleta. El general Rodil reunió el 16 en Castel-o-branco to…</t>
  </si>
  <si>
    <t>Liafio, Joaquín</t>
  </si>
  <si>
    <t>Joaquín Liafio</t>
  </si>
  <si>
    <t>…nas á las oficinas, y la comisión hizo que uno de sus individuos fuese perso del Despacho de Hacienda, D. Domingo de Torres, Director de Rentas, y nalmente á avistarse con los gefes de ellas, los cuales le manifestaron lo dificil D. Joaquín Liafio, Intendente general del ejército. El Estamento quedó en que era la formación de la expresada lista. terado. «Asi que, no hemos tratado de inculpar á nadie, y mucho menos al Se También jo quedó de un oficio del Sr. D. Rafael Faustino Saenz, electo ñor Secretario del Despacho, porque en todas las oca…</t>
  </si>
  <si>
    <t>Liaño, Joaquín</t>
  </si>
  <si>
    <t>Joaquín Liaño</t>
  </si>
  <si>
    <t>…José Ventura de Aguirre Solarte, Procurador del reino: D. Anto Dos subtenientes. nio Barata, director de la Real caja de Amortización; D. Domingo Sargento primero.................... 1 ^e Torres, director de Tentas provinciales; D. Joaquín Liaño, in Una compañía. . . Sargentos segundos.............................. 4 tendente general mili.ar; D. Andrés Caballero, director del banco Cabos primeras, incluso un furrieL 8 de San Fernando, y D. Julián Aquilino Perez, director del Real Cabos segundos..................................... 8 tesoro…</t>
  </si>
  <si>
    <t>Liarte</t>
  </si>
  <si>
    <t>…. Partes recibidos en la secretaría de Estado y del Despacho de la Guerra. El ayuntamiento, reconociendo en el supremo Hacedor la causa primitiva de todos los favores que se consiguen en la tierra , determinó darle gracias por El brigadier Liarte con su columna se dirigió desde Quincoces sobre Cas medio de una función de iglesia en la parroquial de esta villa; y apenas fue in tor , que huyó valle de Carranza , en cuva direcc-on era perseguido. El co vitado el venerable cabildo ecjesiástico para esta celebridad, manifestando una ronel Carrer…</t>
  </si>
  <si>
    <t>Liauder</t>
  </si>
  <si>
    <t>…l gobierno; dedu mediato fue el mismo cuerpo municípil de etiqueta á cumplimentar á S. E. ciendo ae todo que el sistema que este sigue y que la Cámara aprueba, seü.un con un discurso análogo á las circunstancias, y contestando el Sr. Liauder cor. aparece de ia minuta que se discute, no es á propósito para conseguir la prospe U amabilidad que le distingue, y con la viveza y decisión que forman su ca ridad del Estado, que es á lo que deben dirigirse las miras del gobierno. Cedien rácter en sostener los derechos del trono de Isabi.l h. do…</t>
  </si>
  <si>
    <t>Líauder, Manuel</t>
  </si>
  <si>
    <t>Manuel Líauder</t>
  </si>
  <si>
    <t>…teniendo en consideración la distinguida lealtad y acreditados dos al pronunciamiento hecho en la capital de la república y dd PeaAi sin pcfnoriuíientw. militares del teniente general de mis Reales ejérci restricción alguna. tos D. Manuel Líauder, marques del valle de Rivas, He venido en 2. ° A mayor abundamiento esfuerzan sus sumisas súplicasal supremo poder poner &amp;■ su cargo la secretaría del Despacho de la Guerra, vacante por ejecutivo del Estado, para que sin pérdida de momento ponga por obr% U so dimisión fie D. Antonio Remon Zarco del…</t>
  </si>
  <si>
    <t>Liberato</t>
  </si>
  <si>
    <t>…sesión, se dió cufentade varías exposicio rica ahora que antes; y aunque por esta misma razón se hayan multiplicado nes -de cuerpos y de particulares. los viages de los buques americanos, se mira esto como una disminución. Las El Sr. Liberato dijo que un prefecto se había abrogado la facultad de pu grandes Potencias marítimas no aumentan su marina mercante á proporción blicar decretos sobre asuntos que exclusivamente dependen dei poder legislativo; que las demas naciones, y esto da lugar i quejas en todas las legislaturas. Mas y leyó un…</t>
  </si>
  <si>
    <t>…as, murieron 23, y quedaban 66 enfermas: el cólera se y Aguillar, siendo la de éste »que se conceda un premio de diez cuentos do habia declarado en Laserena, Campanario , Haba y Guareña. reís al que so apodere del ex-infante.” El Sr. Liberato hizo la siguiente proposición, que fue unánimemente PROVINCIA »B lAICXLOS^ aprobada: «Propongo que para dar la mayor solemnidad á la exclusión del ex infante D. Miguel del trono portugués, se firme esta resolución por todos los El cólera seguía su período descendente en la capital de está provincia…</t>
  </si>
  <si>
    <t>Libros, D Miguel</t>
  </si>
  <si>
    <t>D Miguel Libros</t>
  </si>
  <si>
    <t>…o mayor, que en la economía interior del cuerpo esta* útiles medidas, que fuera prolijo enumerar, asi como otras muchas dirigidas del ejército es el órgano principal: al propio fin, y fiadas en gran parte al celodcl nuevo capitán general D. Miguel Libros elementales y manuales que encierren las obligaciones, y den sazo- Tacón, que manifiesta, después de su reciente llegada, el buen orden y adhe nados los conocimientos que cada empleo y arma exige: sión de aquel precioso país, donde fue proclamada la Reina nuestra Seño» Campos de instrucción, sujeto…</t>
  </si>
  <si>
    <t>Libros, Miguel</t>
  </si>
  <si>
    <t>Miguel Libros</t>
  </si>
  <si>
    <t>…que en la economía interior del cuerpo esta* útiles medidas, que fuera prolijo enumerar, asi como otras muchas dirigidas del ejército es el órgano principal: al propio fin, y fiadas en gran parte al celodcl nuevo capitán general D. Miguel Libros elementales y manuales que encierren las obligaciones, y den sazo- Tacón, que manifiesta, después de su reciente llegada, el buen orden y adhe nados los conocimientos que cada empleo y arma exige: sión de aquel precioso país, donde fue proclamada la Reina nuestra Seño» Campos de instrucción, sujeto…</t>
  </si>
  <si>
    <t>Licht, Diego de Torres y</t>
  </si>
  <si>
    <t>Diego de Torres y Licht</t>
  </si>
  <si>
    <t>…o de esta corte. que proporciona abundantes aguas para varias combinaciones de industria y sa Los Sres. Valencia y marques de Torrécuellar , de Sevilla. lida fácil á sus productos y á los de Aragón por medióle Ja prolongación del D. Diego de Torres y Licht, veinticuatro de Sevilla, y mayoral de la cañal hasta Sigena , y por dominar sobre unos inmensos terrenos vírgenes, tales casa hospital Real de S. Lázaro, extramuros de la misma ciudad. como los que forman ias aguas en la parte inferior de su curso, propios para Ejecutoria á' favór de D. Diego Alva…</t>
  </si>
  <si>
    <t>Licvcn</t>
  </si>
  <si>
    <t>JW IL conde ruso Medero Isa llegado de San Pctenbupgo, Este caballero a el miembro del Parlamento tngles manifestó su indignación por uta conducta •uceaor del príncipe Licvcn. (Courier.) ■ tan atro?; pero todos los torys contestaron «que tales desgracias eran inevi tables y excusables en tiempo de guerra, y que el dinero del pueblo esta r' ’, motivos para creer, aunque no podemos asegurarlo positivamente, ba bien empleado .en promover la causa de aquella gente.” El parti…</t>
  </si>
  <si>
    <t>Lieben</t>
  </si>
  <si>
    <t>…e Sanidad y el gobernador civil de esta provin &lt; (G. de Francia.) cia dicen con fecha 6 del actual que en ella reinaban bastantes enfeimedade» estacionales: que desde el dia 2 á 3 del mismo no había sido tan considerable' ____ El príncipe Lieben, último embajador de Rusia en Lóndres, nombrado el número de invadidos en la villa de Noreña, en la que hasta 5 del misma ayo de lPríncipe heredero de la corona, llegó á S. Petersburgo el 14 de Agosto. habían sido acometidas 25 personas, falleciendo 20 del total de enfermo,. PROVINCIA DE AVILA. ___…</t>
  </si>
  <si>
    <t>Liegnirz</t>
  </si>
  <si>
    <t>…a po Berlín 21 de Agosto. dido volver á reunir sus tropas y sitiar la plaza. El grito de su partido es aho ra Religión y Santana: dicen que este general recibe mensual mente de la igle El Rey nuestro Señor, el príncipe Carlos, la princesa Liegnirz yS. E. el sia y del partido aristocrático, á cuyo frente se ha puesto, 8ü4&gt; pesos fuertes. consc jero Alejandro de Humboldt han salido ayer para K.ocnigsberg. (Id.) TURQUIA. AUSTRIA. Vana 20 de Agosto. Galatz 9 de Julio. El barco de vapor el Argo ha hecho tres veces su viage desde &lt;1 23 &lt;fé El corr…</t>
  </si>
  <si>
    <t>Lieutenant</t>
  </si>
  <si>
    <t>…inguna petición pira sljbre, está instituida la Milicia.con muchas roas restricciones que podía estarlo, que asi se verifique, np por eso qte probará S. S. que no havi un deseo en to • y. ha estado en Francia y entre nosotros. El Lord Lieutenant, que es un gefe da España de sustituir al nombré de Milicia urbana «1 de Guardia nacional. &lt;n cada condado, nombrado por el Gobierno y escogido entre los propietarios «No entraré ahora á hacer la historia de los recuerdos gloriosos de uno y -principales del mismo condado, elige todos los oficiales…</t>
  </si>
  <si>
    <t>…s de que la rama mayor de U ca te país el nombramiento de oficiales no se hace por elección , sino que los nom sa de los Borbones la desnaturalizase, y que Napolton determinara hacer por sí bra el lord teniente del condado, o sea lord Lieutenant, como va lo d je en el nombramiento de los oficiales. S. S. probó completamente lo que no podía otra ocasión; y el da los despachos, y en su ausencia los Diputados O junta que menos de probarse ; pero todavía ha quedado un pumo pendiente, o mejor dire él pone en su lugar. dos: I.® el método de hace…</t>
  </si>
  <si>
    <t>Lieven</t>
  </si>
  <si>
    <t>…que se aboliese 1» tee que-el Espoir, pero ha sucedido al revés. (Id*) pena de muerte, son los que ahora la escriban en casi todos lpsaUtCtrips, dd esta ley! Esta no es ley de paz, es ley de guerra; es enarbolar bandera negra El príncipe Lieven, que inesperadamente ha sido llamado por su corte, en el campo de batalla...... Para aterrar á los revoltosos hacéis mis terrible la será reemplazado aquí por el priuler secretario de la embajada rusa en París, rebelión. Voto coptra el proyecto/’ no con el carácter de embajador, sino con el de enca…</t>
  </si>
  <si>
    <t>…irn. S. Petersburgo 16 de Agosto. S. E. el general de infantería y edecán el príncipe de Líeven , curador de S. A. I. el Cesarewitsch gran duque hereditario del trono, ha licuado á está PARTE KO OFICIAL. ciudad con su familia. El príncipe Lieven ha hecho el viage de Londres á HarisbuTgo en el barco de vapor Lightuing que S. M. el Rey de Inglaterra NOTICIAS EXTRANGERAS; había puesto a la disposición del Principe. (Gaceta de Prusta.) POLONIA. Farsovia 19 de Agosto. ESTADOS-UNIDOS. S. M. el Emperador ha nombrado al teniente general Pankratjef…</t>
  </si>
  <si>
    <t>…dinario y mi nistro plenipotenciario de Suecia en la corte de Francia. _ 9? Los dependientes de casas de comercio ú otras empresas in dustriales; los operarios y jornaleros cuando trabajan por un salario El general de infantería, príncipe Lieven, acaba de ser nombrado conse jero de Estado. ó un tanto por pieza jjn sús propias habitaciones, ó en los talleres y Se hacen los mas brillantes preparativos para la función de mañana; 1003 -tiendas de personas de su profesión: bien entendido, que los que hombres de jtropas están reunidos en S. Pete…</t>
  </si>
  <si>
    <t>…amiento del 1 i de Julio de 1834—Francisco Martínez de la Rosa.=Sr. Secretario conde Orloflf para embajador de Rusia cerca del gobierno ingles, no es aqui del Despacho de lo Interior. conocida. Antes bien parece que el puesto del príncipe Lieven quedará vacan—, te; y que los asuntos de la embajada serán dirigidos por un encargado de Ne gocios. (Gaceta de Estado ele Prusia.) SUECIA. PARTE NO OFICIAL. Stockolmo 17 de Junio. NOTICIAS EXTRANGERAS. Hace algunos dias que se dice que una diputación compuesta de mis-hac personas se ha presentado a…</t>
  </si>
  <si>
    <t>Lifun, D Mariano</t>
  </si>
  <si>
    <t>D Mariano Lifun</t>
  </si>
  <si>
    <t>…uese posible. concedida la Real licencia, no estaba en el orden oponerse á ella. Se dió cuenta de la contestación dada á la circular de 9 d-*l corriente por F.l Excmo. Sr. arzobispo de Méjico indicó que si el Gobierno nombra 4 el Sr. D. Mariano Lifun, en que minibesta que e! mal e^iado de su sa ud no se á un Sr. Prócer, con urgencia, para alguna comisión importante, como á le permitía presentarse en el Estamento, ofreciendo hacero luego que Sallase un general para hacerse cargo de un ejército, no se le obligaría á pedir la li alivio de sus dole…</t>
  </si>
  <si>
    <t>Lifun, Mariano</t>
  </si>
  <si>
    <t>Mariano Lifun</t>
  </si>
  <si>
    <t>…posible. concedida la Real licencia, no estaba en el orden oponerse á ella. Se dió cuenta de la contestación dada á la circular de 9 d-*l corriente por F.l Excmo. Sr. arzobispo de Méjico indicó que si el Gobierno nombra 4 el Sr. D. Mariano Lifun, en que minibesta que e! mal e^iado de su sa ud no se á un Sr. Prócer, con urgencia, para alguna comisión importante, como á le permitía presentarse en el Estamento, ofreciendo hacero luego que Sallase un general para hacerse cargo de un ejército, no se le obligaría á pedir la li alivio de sus dole…</t>
  </si>
  <si>
    <t>Ligues, Pedro Clemente</t>
  </si>
  <si>
    <t>Pedro Clemente Ligues</t>
  </si>
  <si>
    <t>…marido es un .honrado y alegre marinero de Neuport; llevaba el dia de Extracto del parte remitido por el gobernador civil de. la provincia d* Ja ceremonia una ehaquetita azul y unos pantalones blancos. Juró repetidas ve Zaragoza D. Pedro Clemente Ligues con fecha de 12 de Julio anterior. ces por todos los Santos del cíelo, que la amable Kángatura era la única muger Excmo. Sr.: Aunque según indicó á V. E. mi antecesor en el parta men digna de entrar en la hamaca de un marino como ¿1. (Diario de FiladelJiaJ) sual de Mayo se había reanimado bastante…</t>
  </si>
  <si>
    <t>…90 á 100 id.: aceite ,4 38f rs. arroba. ’ Sevilla—.Carmona. Trigo, de 34 á 36 rs. fanega: cebada, de 25 i 28 Extracto del parte remitido por el subdelegado del Fomento de la provin id.: garbanzos, de 55 á tí0 id. cia de Logroño, D. Pedro Clemente Ligues, con fecha tí del actual. Ecija. Trigo, de 40 á 44 rs. fanega: cebada, de 32 á 34 ¡d.: habas, de 3í Describe el estado de la agricultura en aquella provincia, y trata de pro 4 34 ¡d.: garbanzos, de (50 á (54 id. mover entre oirás obras de suma utilidad la de encajonar el rio Najen lia, con Marchena…</t>
  </si>
  <si>
    <t>…no Gu neral de los presidios del reino, é instituyéndose en ella el destino tiérrez : de la.de Soria á D. Manuel Pezuela, marque* de Vllun,. de director general de los mismos, vengo en conferirlo al mariscal y de la de Zaragoza á D. Pedro Clemente Ligues. de campo de los Reales ejércitos D. José Viiués rén atención á Al mismo tiempoS. M. ha tenido á bien conferir al su hí los conocimientos, servicios y circunstancias que concurren en su gado actual de Avila D. José López Requena, plaza de olicüna persona. Tendréislo entendido, y dispondréis lo necesari…</t>
  </si>
  <si>
    <t>Ligués, Pedro Clemente</t>
  </si>
  <si>
    <t>Pedro Clemente Ligués</t>
  </si>
  <si>
    <t>…sino de la sensatez de la'Francia que quiore arraigar sus insti tuciones. (Diario de París.') Mora 23 de Junio de 1834—Pedro María Rubio. ^ ESPAÑA. Extracto del parte remitido por el gobernador civil de la provincia dé ¡Lo groño D. Pedro Clemente Ligués, con fecha de 31 de Mayo anterior. J Madrid 24 de Junio. Di cuenta de lo que han respondido los ayuntamientos á los informes que les pidió acerca del estado de la agricultara, la ganadería, los pósitos, terrenos Partes recibidos en la secretaría de Estado y del Despacho de la Guerra. incultos , mon…</t>
  </si>
  <si>
    <t>Líguorio</t>
  </si>
  <si>
    <t>…spechosos en algunos pueblos de 1* —Visitas al Santísimo Sacramento y á la Virgen * traducidas del franees al castellano provincia, bien que en la mayor parte no tomaba incremento la enfermedad. de las que escribió en italiano el Señor Líguorio, por el Dr. D. Blas Ostolaza. Un to— moca 8.°, edición de 1814* 4 5 rs. rama y 7 pasta común. PROVINCIA DE TARRAGONA. Con fecha 23 del mes anterior participa el gobernador civil de esta pro Tratado elementales afectos «/«!■»«/y operaciones de cirugía, compuesto para la enseñanza de los discípulos p…</t>
  </si>
  <si>
    <t>Lihora</t>
  </si>
  <si>
    <t>…Ademas de que quizá los tenedores del papel de Guebhard no hasta la última; e! Rey nombró comisarios que formasen las obligaciones, co son esos infelices: si fueran ellos, no se tomaría tanto ínteres por sus personas; misionó al cónsul Lihora para depositario de la estampilla; actos que por su no babria tantos correos de España á Francia; no trabajarían tanto los telégra número y por su importancia podrán poner muy en duda de si debe conside fos; no se tendrían tantas consideraciones. rarse el contrato como de la regencia ó del Rey. «Si…</t>
  </si>
  <si>
    <t>Lillo, Bernardino</t>
  </si>
  <si>
    <t>Bernardino Lillo</t>
  </si>
  <si>
    <t>…aiz sus males. Parte de los enfermos de la 'villa de Puente de Don Gonzalo• Extracto del parte remitido por el subdelegad® del Fomento de la provin Existencia del dia Días. anterior. Invadidos. Curados. Fallecidos. cia de Almería D. Bernardino Lillo con fecha de 3 de Abril último. Elogia el terreno y clima de la provincia, cuyas cosechas y exportaciones Graves, Leves, se aumentarán sobremanera luego que se terminen varios canales que se están Abril 27 so 4 2 9 2 - construyendo. Id. 28 45 4 2 11 5 Conforme al texto de las Reales órdenes protect…</t>
  </si>
  <si>
    <t>Lillo, Ramón</t>
  </si>
  <si>
    <t>Ramón Lillo</t>
  </si>
  <si>
    <t>…nte que tenian. Los sargentos segundos de cazadores de Alcázar Don' Juan Alvarez de Lara, José fiarrejon y Casimiro Abadero, asi como el cabo Extracto dél parte remitido por el gobernador civil de la provincia ¡de l.° distinguido D. Ramón Lillo,se portaron con distinguido denuedo.*’ Cuenca D. Joaquín Rodríguez, con fecha de 2 de Mayo actual. Y lo traslado á V. S. recomendando muy particularmente á dicho señor Se advierte en la agricultura un movimiento qiie presagia resultados £eb,c£S; comandante D. José Samaniego, que alfrcnte de su vali…</t>
  </si>
  <si>
    <t>Lima</t>
  </si>
  <si>
    <t>…ia, y que era capaz de someterla, ó por la tanta impaciencia se espera.” fuerza ó por medio de negociaciones, ha sido desterrado á una provincia lejana. Leído el párrafo 6.° enumera el general Lafayette las ventajas que resul Ííl caballero Lima, embajador portugués, acompañado de otras personas, tan de la instrucción popular, y extraña que el gobierno haya prohibido las estuvo ayer á bordo del navio de guerra D. Pedro y del barco de vapor Edim reuniones de una sociedad que se había dedicado á proporcionar instrucción burgo pertenecientes…</t>
  </si>
  <si>
    <t>…conde y coodesa Grey, el conde de Tankerville y su esposa f el príncipe y princesa de Lteven, el barón \Yessenberg , barón Boiow , vizconde Palmer»- 1 Señora: La ciudad de S. Juan de Jaruco, en la siempre Bel isla de Ceba, io.n , caballero Lima, embajador de Portugal, y otras varias personas de dis ha celebrado con el mayor júbilo el dia en que su ayuntamiento, llevaodo al tinción. frente 4 su justicia mayor el conde de Mopox y de Jaruco, ha jurado á la Reí va ------ La Gaceta de Augsburgo publica noticias de Vicna, según las cuales U nue…</t>
  </si>
  <si>
    <t>Lima, D José María</t>
  </si>
  <si>
    <t>D José María Lima</t>
  </si>
  <si>
    <t>…la Reina nuestra Señora, no al ayunta1ttféfift)%&gt;flí'nir asisieny*"i CdlócOdos en su balconadura, en el logar que teraron en matera alguna el órden que reinó en loa tres días de regocijo. i cada uno le pertenecía, el rey de armas Sr. D. José María Lima rompió la voz diciendo: jiUncio, silencio, silencio; y eó efecto guardándole el innu • -Con igual fausto motivo, y para celebrar, tan feliz día, la tpciedad econó merable pueblo de todas clases, tamo de e»ta ciudad .como de las comarcanas^ mica de amigos del país de la ciudad de Ecija verificó la a…</t>
  </si>
  <si>
    <t>Lima, José Marfa</t>
  </si>
  <si>
    <t>José Marfa Lima</t>
  </si>
  <si>
    <t>…día tercero volvió el Sr. alférez Real á reunir varias personas de carácter, siendo una de ellas el Sr. regidor, cultura ó á la industria, seria inútil enviarle esta circular, que no puede apli gentilhombre de cámara con entrada D. José Marfa Lima; Lie. D. Francisco carse sino á ¡as que tienen relación con mi ministerio á causa de la naturaleza José de Quesada; el alcalde de la Santa hermandad D. Angel Caballero; Doét de sus trabajos. Mariano González; D. Gregorio Almeida, nosotros y varias personas mas: «O* suplico además que me hagáis sabe…</t>
  </si>
  <si>
    <t>Lima, José María</t>
  </si>
  <si>
    <t>José María Lima</t>
  </si>
  <si>
    <t>…nas que conduzcan das monedas, r subido á zález Ferregur, presidente: regidores alférez Real D. Félix Quintero: fiel eje dicho tablado, romperá la voir-uno de los reyes de armas con la palabra de si cutor D. José Gabriel Almeyda, D. José María Lima, gentilhombre de Cá lencio que la repetirá por tres veces, y el otro la de vid por las mismas fres mara de S. M. con entrada» y síndico procurador general D. José María Mon- veces, y concluida ^ el señor alférez Real dirá: Castilla, Castilla, Castilla. terresi, á celebrar cabildo ordinario; y leída…</t>
  </si>
  <si>
    <t>…eina nuestra Señora, no al ayunta1ttféfift)%&gt;flí'nir asisieny*"i CdlócOdos en su balconadura, en el logar que teraron en matera alguna el órden que reinó en loa tres días de regocijo. i cada uno le pertenecía, el rey de armas Sr. D. José María Lima rompió la voz diciendo: jiUncio, silencio, silencio; y eó efecto guardándole el innu • -Con igual fausto motivo, y para celebrar, tan feliz día, la tpciedad econó merable pueblo de todas clases, tamo de e»ta ciudad .como de las comarcanas^ mica de amigos del país de la ciudad de Ecija verificó la a…</t>
  </si>
  <si>
    <t>Linaccro, Tomas-de</t>
  </si>
  <si>
    <t>Tomas-de Linaccro</t>
  </si>
  <si>
    <t>…de la citada ebra de Vallejo, y lo demas que sea necesario. D. Antonio de Gaona............................................... ............................ 400 ' En cumplimiento de la Real órden de 22 de Marzo último, por la cual D. Tomas-de Linaccro............................................................................ 400 tuvo S. M. á bien mandar que se estableciese en esta capital una sociedad eco D. Francisco Viant................................................................................. 80 nómica de um;gos del país, invité á todos los sugetos de luces que hay en la ‘ D. Pedro Sanz, del comercio de libr…</t>
  </si>
  <si>
    <t>Linage, D Francisco</t>
  </si>
  <si>
    <t>D Francisco Linage</t>
  </si>
  <si>
    <t>…desapare «No puedo menos de recomendar £ "V. E. al brigadier D. Fermín lriarte, ciendo la calamidad que afligía á sus vecindarios. al coronel D. Julián Olivares, al primer comandante del Príncipe D. Cayetano García Olloqui, y al coronel D. Francisco Linage, gobernador de Orduña, PROVINCIA DB VALENCIA. con todos los oficiales de las compañías de cazadores del Príncipe y Logroño, En les diasió, 17 y IB del mes corriente fallecieron en aquella'capicarabineros y 2.° batallón de Admansa, asi como al sargento segundo de ca tal 3 personas, curó 1 , fueron i…</t>
  </si>
  <si>
    <t>…D. Antonio Rentero y Villa. sos, hallándose: resueltos todos á perecer antes en las ruina*, del ediúqio. que ■ &lt; guarnecen, que rendirse á los rebeldes, si estos inténtaóen de nu.vo el embes tirlo. Asi lo dice el bizarro teniente coronel D. Francisco Linage, gobernador '~Pi&amp;fes recibidos ets la secretaria dt Estado y del Despacho dt la Guerra.- de aquel punto. , . ’^l comindante general de las provincia. Vascongadas con fecha 24 d. oferto «ctital remite los siguientes partes: ANUNCIOS. /gobernador militar de Bilbao me dice con fecha de ay.r lo que cop…</t>
  </si>
  <si>
    <t>Linage, D Frincísco</t>
  </si>
  <si>
    <t>D Frincísco Linage</t>
  </si>
  <si>
    <t>I 1180 - . ' cíe caballería, c hice salir inmediataménte la guarnición ai mando del gober PROVINCIA DE TARRAGONA. ^ nador de esta ciudad el coronel D. Frincísco Linage, apoyándolo con dos ba tallones del Principe, que asi que llegaron hice siguiesen auxiliando ^1 movi ^ El dia 15 del actual continuaba en buen estado la salud pública de U miento de Linage, al mando del coronel D. Julián Olivares. capital de.esta provincia, asi como la de Tórtosa, Reus y demas.pueb…</t>
  </si>
  <si>
    <t>Linage, Francisco</t>
  </si>
  <si>
    <t>Francisco Linage</t>
  </si>
  <si>
    <t>…e «No puedo menos de recomendar £ "V. E. al brigadier D. Fermín lriarte, ciendo la calamidad que afligía á sus vecindarios. al coronel D. Julián Olivares, al primer comandante del Príncipe D. Cayetano García Olloqui, y al coronel D. Francisco Linage, gobernador de Orduña, PROVINCIA DB VALENCIA. con todos los oficiales de las compañías de cazadores del Príncipe y Logroño, En les diasió, 17 y IB del mes corriente fallecieron en aquella'capicarabineros y 2.° batallón de Admansa, asi como al sargento segundo de ca tal 3 personas, curó 1 , fueron i…</t>
  </si>
  <si>
    <t>…io Rentero y Villa. sos, hallándose: resueltos todos á perecer antes en las ruina*, del ediúqio. que ■ &lt; guarnecen, que rendirse á los rebeldes, si estos inténtaóen de nu.vo el embes tirlo. Asi lo dice el bizarro teniente coronel D. Francisco Linage, gobernador '~Pi&amp;fes recibidos ets la secretaria dt Estado y del Despacho dt la Guerra.- de aquel punto. , . ’^l comindante general de las provincia. Vascongadas con fecha 24 d. oferto «ctital remite los siguientes partes: ANUNCIOS. /gobernador militar de Bilbao me dice con fecha de ay.r lo que cop…</t>
  </si>
  <si>
    <t>Linage, Frincísco</t>
  </si>
  <si>
    <t>Frincísco Linage</t>
  </si>
  <si>
    <t>Liñan</t>
  </si>
  <si>
    <t>…nada de ilegal, sino por creerlo innecesario, de Albaida , Sr. Pezuela , conde de Villafuertes, conde de Friegue, marques: pareciéndoles que el rédito del 3 por 100 se empieza á contar desde el dia de de S. Martin de Hombreiros, Sr. Liñan, obispo de Huesca, conde de Cuba, la devolución, y por consiguiente han creído las comisiones que no habia ne marques de Guadalcazar , duque de Veraguas, conde de Sástago, duque de Ri- cesidad de explicar el tiempo anterior á la devolución, ó sea todo aqueí en vas, y duque de Gor. - t que el compra…</t>
  </si>
  <si>
    <t>Liñan, D Pascual</t>
  </si>
  <si>
    <t>D Pascual Liñan</t>
  </si>
  <si>
    <t>…de hecha la rebaja que tie Este oficial llenó tan cumplidamente la erm s¡rn que se le confió, que ne establecida con las referidas diputaciones. volvió con toda la correspondencia perd da , habiendo a canzudo a U f*cc-on, Excmo. Sr. D. Pascual Liñan. ............................................................ 1000 capitaneada por Froylan C«iero , en el sitio de la Pena r.eg a , donde la ata^o D. Juan Antonio de Cob;an................................................................ I0o0 decididamente , dando muerte en la refriega al expresado c…</t>
  </si>
  <si>
    <t>Liñan, Mariano</t>
  </si>
  <si>
    <t>Mariano Liñan</t>
  </si>
  <si>
    <t>…, para que se dignase S. M- dispensarle tomar 1.a comisión de Examen de documentos presentó su dictamen acerca de asiento en el Estamento por no poseer la renta prefijada en el Estatuto Real, los presentado» por los Excmo». Sres, D. Mariano Liñan , obispo electo de recayó la soberana resolución declarando no poder dispensar ninguna dé la* Teruel, conde de Cervellon , y conde de Priegue, en el que era de opinión condiciones prefijadas en el Estatuto; lo que comunicaba S. E. para los efec que debían ser admitidos; pues aunque el Sr. conde de…</t>
  </si>
  <si>
    <t>…. la Reina Posadas; al R. obispo que fue de Mallorca D. Pedro González VaGobernadora , siguen en el Real sitio de Aranjuez sin novedad llejo; al R. obispo electo de Almería D. Vicente Ramos y García; al R. obispo electo de Teruel D. Mariano Liñan: y para la clase de en su iinporlanLe salud. seglares á D. Ignacio Pezuela , del Consejo Real en la sección de Es— i Del mismo beneficio disfrutan SS. AA. RR. los Sermos. Se- lado; á D. Tomas González Carvajal, de dicho Consejo en la sección de Guerra; á D. Juan Nepomuceno San Miguel, fiscal del tr…</t>
  </si>
  <si>
    <t>…CULO DE OFICIO. Para vocales de la dirección general de Estudios creada por nji Real decreto de este día, vengo en nombrar á D. Manuel José Quin ' S. M. la Reina nuestra Señora, su augusta Madre la Reina tana, Procer del Reino; á D. Mariano Liñan, Procer del Reino v obispo electo de Teruel; á D. José Mariano Vallejo, vocal que lia Gobernadora y la Serma. Sra. Infanta Doña María Luisa, continúan sido de la inspección general de Instrucción pública: á D. Juan N-isin novedad en.su importante salud en el Real sitio del Pardo. casio Gallego, min…</t>
  </si>
  <si>
    <t>Liñan, Pascual</t>
  </si>
  <si>
    <t>Pascual Liñan</t>
  </si>
  <si>
    <t>…hecha la rebaja que tie Este oficial llenó tan cumplidamente la erm s¡rn que se le confió, que ne establecida con las referidas diputaciones. volvió con toda la correspondencia perd da , habiendo a canzudo a U f*cc-on, Excmo. Sr. D. Pascual Liñan. ............................................................ 1000 capitaneada por Froylan C«iero , en el sitio de la Pena r.eg a , donde la ata^o D. Juan Antonio de Cob;an................................................................ I0o0 decididamente , dando muerte en la refriega al expresado c…</t>
  </si>
  <si>
    <t>Linarer</t>
  </si>
  <si>
    <t>de donde mas tarde pasaron algunas íamilías®Yí.^fSh¿La. Hoy se da parte des He recibido diferentes ofició? del brigadier Linarer, el que pone en mí de Anoa áeste señorsuBprefectó/queaCaba,dcjcc^n¿inieatmelo,-dé que averiar- ; ftóticia que /deápues de haber recorrido lodo el valle de Róncal ,’vino a. Ansó y de mandó sus hijor £ aqud‘pheblo h muget de Ztrmalacarregúi', haWétidosS' Hcchó, y por Verdun ha regresádÓ 4, Sos paYa d…</t>
  </si>
  <si>
    <t>Linares</t>
  </si>
  <si>
    <t>…ueblos hay necesidad de establecer hallaba en Esteila el 22 para continuar el dia siguiente sobre los facciosos que maestros, y qué arbitrios existen ó pueden adoptarse para su dotación. se habían retirado al Valle de Araquíi. El brigadier Linares crin las tropas do Conformé vaya viendo sus contestaciones me he propuesto proveer de es Aragón se hallaba el 23 en Tafalla , y recorría la Rabera. cuelas á los pueblos que las necesiten , á la manera que estoy tratando ya de que se establezcan en esta capital y Mombeltran, que están en este caso,…</t>
  </si>
  <si>
    <t>…cs del amanecer, debía perseguir a cuantos enemigos bailase á la iz El capitán genera! de Aragón remire con fecha 26 las siguientes copias de quierda del mismo camino, y una compañía de celadores saliendo de Villa- los partes del brigadier Linares y del teniente coronel D. Joaquín Ayerbe. frartca reconocer las elevadas asperezas del cerro de Aralar. Todas estas tropas Segunda columna de operaciones de Aragón.=Hxcmo. Sr.: Cuando me se me habían de reunir en el pueblo de Arriba, á donde me dirigí con las de disponía en la noche de ayer para emprende…</t>
  </si>
  <si>
    <t>…del doctor Bowring, sin Indicar el La noticia de hallarse el Pretendiente el 28 en Rónceseles persecuido objeto de su nuevo viage. Creemos sin embargo poder anunciar que el proyec por nuestras tropas se confirma por un parte del brigadier Linares dado en Us- to de Mr. Bowring, al separarse momentáneamente de nuestra capital, no es tarroíz el 29, en el cual ¿seguía que estando d día anterior en Ochagaria en ©tro que el reconocer la Borgoña y la Champaña para recoger en estos paises seguimiento de los mazos reunido» por lo» facciosos en el va…</t>
  </si>
  <si>
    <t>…ercos que asomó en la provincia de Teruel ha sido! tales de la 'capital, y con otros Arbitrios formar un hospital general civil bajo deóbechk. la inmediata asistencia de las hijas de S. Vicenfe'ife Paul. - JU columna-dd mando del brigadier Linares se dirigía el 2 de Sos i Na Ha nómbrado una junta de personas caritativas para aliviar la suerte de lea varra. -i ' _ 1 ' presos de la cárcel y proporcionarles algún trabajo, y otra para promover la - Et29 estaban'ireunída» en Ubanqs las tres brigadas del ejército del Norte reparación de los camino…</t>
  </si>
  <si>
    <t>…dé la capitanía general del mando de V. E. dió en la causa que él alcalde ma llos monstruos: amenazando esto» con su movimiento el Aragón, acudió á yor de Torrecilla de Cameros sigue contra Marcelino Arroyo, Patricio Segu Sós el brigadier Linares rara oponerse ¿ cualquiera tentativa, aun cuando apa ra y consortes, acusados de (acetosos y auxiliadores de estos, dictamen con que recía poco probable, y el capitán general de aquel reino tomó las mas efica V. E se conformó por decreto de 24 del corriente, hice conducir desde dicha ces disposicio…</t>
  </si>
  <si>
    <t>…lgunos corifórmé'4 la indicación dé los sefio- El'2 de Marzo fos facciosos de Navarra que »e hallaban en la frontera'de rreaOfennsr^iy'y Passy!, y determina «que el estado mayor del ejército conste Aragón estaban en Navascues; el brigadier Linares en Tieimas, y de •Solp.dc*8&amp;tenientes yerzeralca y 160 mariscáfés de campo; el número de ofi llegár 4 Lumbíer ef.brígadier Oráa áeide'Puente la Reina para apoyar reeprociales deílaociise de teniecné tsasfS la de corone! qtíé deberá haber en tiempo de ^CaSeníe sus movimientos. £iafc:.doicfiátrios in…</t>
  </si>
  <si>
    <t>…Después de mi última comunicación á V. E., fecha 23 del actual, señalada con el número 1S4&gt; salí de Estella el siguiente día 24 por la ca’kasA Di-, los diputados._.Concluye la sesión del día 14 de Mayo, mañana con la columna del brigadier Linares y la brigada de reserva para ata car , si me era posible, á los batallones alaveses, que se hallaban , según noti El Presidente lee el artículo 1 0 redactado por la comisión en los término! cias que se me habían dado, en el valle de Arana, no muy distantes del 3.® siguientesTodo aquel que hubiese fabric…</t>
  </si>
  <si>
    <t>…la defensa , no tar por sí las providencias que en los distintos puertos en que se encontraban solamente de nuestro Soberano, sino de la propia existencia de nuestras vidas. hacían precisas las necesidades del inomento; siendo el brigadier Linares el quo Las municiones están perdidas en su totalidad , asi por haberse mojado , porque tuvo mas ocadon , por las circunstancias de su situación, de sostener su bien el soldado para el uso de ciertos abusos gasta porción de la pólvora en ceboí, acreditada opinión de valor y de disposición. dejando r…</t>
  </si>
  <si>
    <t>…staciones. hombres g digámoslo asi, del puebló, porque no tienen otra cosa Él capitán general dd*’Amgon con fecha de 4 del zpismo mes, -eni;qiut;entender sino en él bien de sus administrados', se hallan y refiriéndose á parte del brigadier Linares desde Lumbier, dice detftthtarazados deotras gravosas ocupaciones, para atender excluque la facción navarra que ocupaba el-31 de Marzo último á Vis-' ricamente á la pifie quapor su ofició les corresponde en la quinta. catret y Esnoz, se dirigía á Aoiz, y el 2 del actual marchaban .ventea no produci…</t>
  </si>
  <si>
    <t>…sponer, no valdrán ya, llegado pste ca cumberri, ha abandonado este punto y marchado hacia Garlaron. La división so, súplicas de ninguna clase para mitigar el rigor de las medidas que tengo Oráa se hallaba sobre Lumbier, y la del brigadier Linares xecorriendo la ribera. meditadas, y que se ejecutarán irremisiblemente; Por decontado prevengo desde ahora que todo individuo que se encuentre El teniente general D. Francisco Espoz y Mina se encargó el dia 3 del por la tropa extraviado del camino real en las horas que median desde que el mando en…</t>
  </si>
  <si>
    <t>…especie como'es la del pantano de Mezalocha. El dia 6 debieron reunirse en Navarra las fuerzas del mando del general eü A consecuencia de haber sido arrancados SüO árboles en el territorio de gefe del ejército con la columna del brigadier Linares, que á este fin ha pasado Uncastillo ha dictado providencias enérgicas para evitar que se repitan semejan de Aragón á aquel reino. tes excesos, y hacer que se respete la propiedad y se conserve el arbolado. Ha llegado á Zaragoza el batallón de infantería de Mallorca que se dirigió El aumento y cuid…</t>
  </si>
  <si>
    <t>…ral eo gefe á su frente, se disponía á marchar sobre eh y no habieñdó arbitrio alguno para reunir el mas pequeño, mediante el Real Bastan. décfeto dado éñ palacio á 15 de Octubre de ese propio año , que prohibió ab La columna del brigadier Linares, que obraba en la frontera del alto Ara solutamente te tdñtaseH dineros por impuesto ni repartimiento vecinal, expre gón, se dirigía al Roncal con el fin de proteger el alzamiento de aquel varié. sando S. M. la Reina Regenta Gobernadora, que las muestras de cordialidad El brigadier Bedoya, que sali…</t>
  </si>
  <si>
    <t>…opio; Por-otro parte posterior, fecha de ayer, me-dice que sabiendo-que «Ca rel Excroo. Sfr.: Tengo «I honor de acompañar á V. K. los adjuntos partes del eer con su pequeña gavilla, muy estropeada, estaban aquella noche en una pa brigadier'Linares del 5 y 6 del corriente , por los cuales verá V. É. la des ridera entre Ojos Negros y Villar de Sas, salía ven aquel momento con 120 trucción de la fábrica de pólvora-establecida por los rebeldes en el monte Ira- infantes y 24 caballos á perseguirlo , lo que coa arreglo á las instrucciones que ti, y efectos cogi…</t>
  </si>
  <si>
    <t>…abriel Montaner; para.el de Martin Muñoz á Don doba y Oráa en su persecución. SdecebanBodonal;Cosío; parapara Olivenza,el de Fregenalpor traslaciónde la Sierrade áD.D.DiegoFernandoAlvarezBaile,Osorío,que loa Dones déla Elfrontera.brigadier Linares avisa desde Sos que salía á recorrer algunos pueblos Manuel Antonio Novoa, que lo es de Trujillo; para este á D. José Gardon; Las partidas de rebeldes del bajo Aragón que han sido recientemente dis para el de Jerez de los Caballeros á D. Manuel AJejo Izquierdo, que lo es persadas son perseguidas co…</t>
  </si>
  <si>
    <t>…e Torre la Vega,.habiéndoles cogi Logroño, como también dos facciosos que habian causado la muer do varios prisioneros y caballos. te de un miliciano urbano de Nalda. En el lugar de Meruclo, jurisdicción de Siete Villas, en la El brigadier Linares, que manda la columna de Aragón en la provincia de Santander, han sido fusilados el dia 10 del corriente frontera de Navarra, cubriendo aquel reinó, y contribuyendo á las dos de los rebeldes aprehendidos. operaciones de nuestras tropas en este, ocupaba el 6 á Lumbier. Los Cuestas que segunda vez as…</t>
  </si>
  <si>
    <t>…a de Aragón, los do-, exprese "• oata . - nes, sobre lo-, cuales se dincu ci brigadier (,)raa desde Puente la Rema, \ ..'i En atención 4 la aptitud y demas recomendables circunstancias que con columna de 1"&gt;m hombres al mando del brigadier Linares, que hab.a sa.iC » ce curren en D. Luis López de la Torre Aiilon, oficial 6.° de la primer j secre Zaragoza v estaba cer«.a de ^os. taría del Despacho, se ha dignado la Reina Gobernadora, en nombre de Mi augusta Hija la Reina nuestra Señora Dona Isabel 11, nombrarle secretario El comandante general…</t>
  </si>
  <si>
    <t>…te general de la l.1 división del ejército de gefe se hallaban en aquel punto; la del general Lorenzo en el pueblo contiguo 1 mi mando , en l.° del actual desde Cea , en esle reino de Portugal, me dice lo dé Mendigorria, y la del brigadier Linares debía llegar á la inmediación de que copio. Excmo. Sr.: Conforme á lo que V. E. me había prevenido, salí los mismos puntos, situándose en Artajonaayer del pueblo de Linhares para este de Cea. En el camino tuve aviso de que Los facciosos estaban en movimiento en diferentes cuerpos. Zumalacetregui I…</t>
  </si>
  <si>
    <t>…ución estaba encargado el cabecilla Marrón, que se ticoronel Barrena por Lumbier, próximo á la frontera de Aragón, en donde tulaba brigadier , á quien también se cree muerto. Cuevillas ha escapado milaentró en comunicación con el brigadier Linares, que manda la 1.a división del grosamente por la desgraciada circunstancia de haber sido herido en un. bíazoejército de Aragón. Linares estaba el 26 cerca del valle de Roncal, cuyos ha el soldado que le iba encima', precisamente en el momento de ir á atravesarlobitantes se fiin declarado por la Rki…</t>
  </si>
  <si>
    <t>…on los enemigos. Estos merecen premio, Excmo Sr., y principalmente El 10 por la mañana salió el general Quesada de Puente la el subteniente D. Juan Ignacio Artola. que los mandaba. También Reina para Tudela, en combinación con el brigadier Linares para merecen recomendación las seis compañías de S. Fernando. La me caer sobre la facción de Zumalacarregui. recen sus gefes y oficiales, y principalmente el comandante Don Jaime Burgués, que viendo que no podía llegar tan pronto como Excmo. Sr.rPor el general D. Fernando Butrón, en oficio de 7 que…</t>
  </si>
  <si>
    <t>…es , se debe estimular el zelo de la guardia nacional , y la lí-eina después de haber protegido la entrada en Pamplona de un convoy es tener buenos comisarios de policía que vigilen é impidan con el auxilio de aque coltado por el brigadier Linares. lla la ejecución de los proyectos de los malvados, sin valerse de agentes que por El gobernador de Zamora me da aviso que el 4 se presentaron en Alcañilo común son infieles. Censura después la conducta que ha observado el minis ces las autoridades de Miranda de Duero porque había sido ocupado este…</t>
  </si>
  <si>
    <t>…rimera , agreguen los de gramática castellana, singularmente la parte de Asimismo incluye otro parte que desde Sos le ha dirigido en 9 del actual ortografía , el catecismo de Flcuri y las cuatro reglas de números enteros de la el brigadier Linares, manifestándole haberse reunido á su columna el primer aritmética para niños, de D. José Mariano Vallcjo. batallon del regimiento de infantería, 6.a de ligeros, procedente de Aragón, y Clase 3.a- Un premio de cinta, medalla de plata sobredorada y 100 reales1 que al dia siguiente iba á salir con el…</t>
  </si>
  <si>
    <t>…ediatamente que tuvo conocimiento de la dirección de los rebeldes sobre el Ebrí&gt;, ha pasado avisos á Ejea, Sadaba y Sos, desde cuyo'punto no se perderá 1 . _ MOvntCUL I&gt;8 JABM, momento en destacar la Caballería' de la columna del brigadier Linares que pao* - - El cor^gidbr de Andujar dice con fecha 14 del corriente, que la enferme ile aun esperarse alcance á los rebeldes y complete su destrucción antes de su en dad que allí se |»decia íont¡niiaba, »u Curio de descenso, pues de los enfermos trada en Navarra. Dios&amp;c.” Existentes loe mas sé sal…</t>
  </si>
  <si>
    <t>…n campo D. Manuel Concha. terior debía caer sobre los enemigos situados en Verdun la columna del briga Aunque me hallo sumamente satisfecho del valor y decisión de todas las dier Oráa, que debía ser eficazmente apoyada por la del brigadier Linares, que tropas que entraron en la acción, y se comportaron con la bizarría y denuedo el mismo dia entraba en Sos. que acostumbran , en cuantas deseadas ocasiones se presenten de manifestar su acrisolada fidelidad á la Rüina nuestra Señora, no puedo menos de manifestar El brigadier D. Ramón Gómez de Ve…</t>
  </si>
  <si>
    <t>…un español para poseer el francés con elegancia y donaire. que ocupaban el Bastan hácia la par» deLumbier, y darles un gol ----- Instrucción y ordenanza de lo que deben practicar en el servicio y pe decisivo en combinación con el brigadier Linares; pero que ins ejercicio de sus empleos, los comisarlos Ordenadores y de Guerra éei truido de que Zuñnalacarregui habia hecho una excursión hácia Ca ejército, fecho á 27 de Noviembre de 1748. Un tomo en 8.°j edición de 1823 á 6 rs, pasta, 3 rústica y rama. lahorra, con el fin de provocar una insurre…</t>
  </si>
  <si>
    <t>…memoria para Pontevedra. No menos importante e» abrir desde esta un Despacho de la Guerra. camino para el puerto de Marín, sobre lo cual llama ia atención del gobierno. La operación de la quinta se halla felizmente conc.uuii. El brigadier Linares, comandante de la brigada de Aragón, auxiliar al ejército del Norte, dice al capitán general de este reino lo siguiente: Extracto del parte Temitido por el gobernador civil de la provincia de la Columna de Aragon.=Excmo. Sr.: Leí activa y decidida persecución en Coruña D. Antonio Loriga con fecha d…</t>
  </si>
  <si>
    <t>…Sí'. St\ estamos contentos: viva el general!) . •*- , das: sin embargo, el general en gefe, deseoso de sacar el fruto pasible de su «La acogida brillante y verdaderamente fraternal que hoy recibo de vosotros expedición, mahdó al brigadier Linares que Con su brigada explorase el valle me asegura de haber cumplido mi obligación. Sin embargo, señores, os 16 con y casa de Irati, donde los enemigos tenían establecido 00 laboratorio de pólvo fieso, en vista de las repetidas acusaciones, que tan encarnizadamente se han di ra y algunos otros efecto…</t>
  </si>
  <si>
    <t>…Presidente interino el que con la del dia anterior le dirige desde Sadava el coronel D. Francisco Tar Ilustrísimo S%. Posadas por 51 votps , repart éndose los demás entre los Sres. Ca- to , comandante accidental de la columna del brigadier Linares: resulta de di ,uo Manuel (padre), conde de Toreno , marques de Espinardo , F loses Ruada, cho parte que al bajar la cuesta del Arrate que conduce i Carcastillo, divisó i .Girajdo y Tarancon. una legua de distancia, y con dirección i Uxue, una facción que saKa de Mo En seguida se procedió por el mi…</t>
  </si>
  <si>
    <t>…aunque esté en cama y fuere visitado por facultativo. 11, p3ra cuyo mando se ha dignado S. M. nombrar al mariscal de campo Don 6. ° . Tampoco tendrá derecho á subsidio alguno el individuo que fuere á to— Francisco Sanjuanena. El brigadier Linares se hallaba el 10 del corriente en mar los aires nativos , aguas minerales y baños, á menos qué estos últimos le I/abai, valle del Roncal, donde se reuntan á sus tropas los naturales, para cu-1 fueren recetados'para remediar el Tullimiento que padeciere. yo armamento habrán llegado a Jaca mil fusile…</t>
  </si>
  <si>
    <t>…ban á la Borund.i pira atacar á Víllafranca v rort que espera que lab intimaciones que ha hecho á los1 polacos surtirán su efecto. Tolosa; pero sospechando que sus verdaderas intenciones serian las de contramarchar para atacar di brigadier Linares que habia llegado á Caparroso con su , ,-.-El gran duque de Hesse Darmstadt ha nombrado al príncipe Emiliano de enjumna conduciendo un convoy de varios efectos que venia de Aragón para el He&amp;se, presidente de la primera Cámara de los Estados. ejercito, mindo al coronel Amor con la caballería que es…</t>
  </si>
  <si>
    <t>…enunciada enfermedad, habían curado 10 y no mu dóbde marchaba el lE del corriente el coronel Barrena, procedente de Pam rió ninguna, quedan do .3 9 en convalecencia, 10 levemente enfermas , y 3 gravesplona, en combinación con el brigadier Linares, que se bailaba en ÍJos el mis mo día. i PROVINCIA DE BADAJOZ. 1 ' • ‘ La gendarmería francesa ha apresado hacia los Alduides 23. cartuchos y Del parte que con fecha 19 i del corriento dá $u gpbpmadpr civil aparece «¡na carga de pólvora, y la policía condujo á Bayona de 4® á 503 francos de que en V…</t>
  </si>
  <si>
    <t>…ria, Lorenzo á Viana, y Oráa Dichas id. al 4 p. 100, 53 d 60 d. f. ó vol. quedaba en los Arcos. Títulos al portador de 5 p. 100. 59 y i al contado; 59$, 60 y | i varias fs. ó vol,: 6if y 6c4 a id., id. a prima de I y 4 P. loo. El brigadier Linares que permanecia en Uncastillo el dia 17, Id. id. de 4 p. too, 54 ai contado: 53 . 4 . á , 54, 4, i. i, i y 54 * va no realizándose la invasión que se temía de parte de la facción de rias fs. vol. y firme; 545 , J y s$i á varias fs. d vol. á prima de 1 y | Montañés en el distrito de Barbastro, se ha…</t>
  </si>
  <si>
    <t>…doa la vida su osadía. nada gloriosa para las tmpacr que en ella tomaron parte, éorrespotidió otra por Nuestra bizarra infantería , í ls órdenes de su djgno gefe D. Antonio Xael ladó de Navarra, Lqs raerz?» reunidas al mando del brigadier Linares «alíe— place, 2.° comandante dei primer batallón del 3.° ligero, los cargó imsdiata rpü di Pamplona con dirección i la Bofunda en la madrugada del 18, y Ea- tamente al grito do jipa Isabbj. 11, avanzando a la bayoneta con tal denuedo, que do rolo contuvo s los rebeldes, riño que los rechizó y decid…</t>
  </si>
  <si>
    <t>821 completar la desorganización de los batallones rebeldes que se hallaban en aque lla dirección. ' . yESPAÑA. Dice ademas dicho gefe haber recibido otro oficio del brigadier Linares participándole 9ue l*5 últimas noticias que habían llegado á Sos.eran que las Madrid 26 de Agosto.. , fuerzas rebeldes que acababan de entrar en Sangüesa se habían replegado á Ltimbier á las siete de la boche del 22, y añade que el gobernador de Cinco Villas, ELECCION DE PROCURADORES DEL REINO. con…</t>
  </si>
  <si>
    <t>…ir á V. E. bernador una junta que cuidará dé Teunlrlos y exiéndér tina memofty circuns mis comunicaciones. El 11 quedó Zumalacarregui con 4 batallones en ios mon tanciada sobre este objeto. tes de Luqui, y el general Lorenzo y el brigadier Linares pernoctaron ep elvalle de Erro. Al amanecer del 12 trató de sorprender aquel el cuartel de Er BOLSA DE muRBCin. Cnéi^arinn de hoy Á Idstres dt la ro, y fue rechazado con ía pérdida de un capitán y varios individuos de tropa heridos. El general Lorenzo lo persiguió hasta Garralda, en que hubo de de…</t>
  </si>
  <si>
    <t>…verificado en el colegio de Henriqué iv. El capílan general de Aragón desde Zaragoza remite con fecha 25 del corriente Jas noticias siguientes: ____ Hoy se ha celebrado la distribución de premios en los exámenes genera Partes del brigadier Linares. 1.a brigada del ejército de Aragón. les que se verifican todos los años, presididos por el Sr. ministro de Instruc *» Excmo. Sr.: Los rebeldes que se hallaron ayer en Sangüesa salie ción pública. S. E. ha tenido ocasión de felicitar á los alumnos por Su adelan ron á tas siete de la tarde con direcc…</t>
  </si>
  <si>
    <t>…ductos y el mismo parte de Invadidos. Zumalacarregui á la junta facciosa confirman la victoria señalada" que obtuvie ( Dias. Existenciadia anterior.del Graves. Leves. Total. Curados. Fallecidos.ron las tropas al mando del bizarro brigadier Linares el 18 en la V en ta de Gulina. La jornada, fue sangrienta , pero gloriosa , mostrándose claramente el va &gt; 13 73 20 103 23 4 lor de las tropas y la serenidad de losgefes, contra lo cual se estrellaron fuer 4 76 30 106 24 3 zas tan superiores. Después de aquél suceso se reunieron en Pamplona las del…</t>
  </si>
  <si>
    <t>…seeun ellos se quisiera uno detener un instante á examinar la teoría del con su caballería se habia unido al brigadier Higueras en Monre.il el 22. El manejo de estos tiros, crecen dificultades hasta llegar á la linea de lo impo^ brigadier Linares marchaba el 24 á Ia Canal de Verduro. sible. Los repetidos choques de la bala en el ánima del cañón, ya golpeándo se por las paredes laterales, ya por las superiores c inferiores de ella, hasta en Batidas y deshechas las facciones del bajo Aragón, hit desaparecido Car- contrar su salida , crecen v…</t>
  </si>
  <si>
    <t>Linares, Cristóbal</t>
  </si>
  <si>
    <t>Cristóbal Linares</t>
  </si>
  <si>
    <t>…de uno de los muertos en la acción de Muti, •pertcral Moscdso , gefe de la plana mayor # que se me utiió inmrd aumente , ios qu-e escomo sigue: Orden general del 18 al 19-de Mayo. Ebcuartel general de brigadieres báron de Meer y D. Cristóbal Linares, asi como los eefes de pijna Huarte Araqu l. Sorprendido hasta el mas alto grado al examinar hoy algunas «mayor de sus respectivas columnas los coroneles D. Tomas y U. Francisco d; las cananas y fusiles del primer batallón , no he pr-d*do menos de manifes Yarto, y los demás gefes y oficiales de los…</t>
  </si>
  <si>
    <t>…navarros, 2 alaveses y uno guipuzcoano, sin que se supiesesu dirección; pero que Capitanía general de Aragon.=Plana mayor reF.xcmo. Sr.: El brigadier esta mañana se había oído .4 eso de las siete un fuego vivísimo que había dura D. Cristóbal Linares fue dice coa fecha 18 del actual desde Berrio Plano rlo do sobra tres horas, y era producido porel ataque inopinado que dieron estas fuer- que sigue: aai á tos brigada* Villacampo y Uñares en las inmediaciones de Erice. Ignoto Excmo. Sr.A las tres de la mañana, y tn cumplimiento da tos órdenes • ‘i…</t>
  </si>
  <si>
    <t>Linares, Francisco de Paula</t>
  </si>
  <si>
    <t>Francisco de Paula Linares</t>
  </si>
  <si>
    <t>…oga: cia. Después de estar algún tiempo con su Mjo volverán á Munich i fines de para la de Ronda á D. Juan Manuel Caro y Mosquera: para la de Noviembre. Se dice que el gobierno intenta emplear la primavera próxima las San Roque á D. Francisco de Paula Linares: para la de Colmenar tropas en la obra del gran canal que ha de nnrr el Danubio, el Mein y el viejo i D. Pedro José de Tripiana: para la de Getafe á D. Francis Rhin. Una turba de incendiarios que han cometido muchas atrocidades en U ve co Herrero Blanco: para la de Carrion de los Condes a D. Agustí…</t>
  </si>
  <si>
    <t>Linares, Javier</t>
  </si>
  <si>
    <t>Javier Linares</t>
  </si>
  <si>
    <t>…e $ p. 100 á papel, 00* Id. sin Ínteres, 10$ al contado: 11$ a 33 d. f. 6 vol.* k prima da $ p. 10&amp; toldados de la misma Antonio JDalderon y Juan Redon; al subteniente de la Acciones del banco español* 00. Guardia Real provincial D. Javier Linares, y al soldado herido del provincial CAMBIOS. dé Granada Antonio Justicio; al sargento primero de la compañía ríe cazado Amsterdam, 00. P.rli, 16-2 i 3. Cádiz, 14 i fb. Sevilla, éb. res de Segovía D. Ignacio de la Infanta; sargento segundo de id. Felipe Mar Bayona, 00. Alicante, .cortopla Coruña, 4…</t>
  </si>
  <si>
    <t>Lindenburg</t>
  </si>
  <si>
    <t>…icina general, se distribuirán por la ciudad. Nin ros italianos. ; gún cartero podrá tomar en la calle cartas ó paquetes no sellados, so pena de ser castigado corporal mente. Sin embargo, no es nuestro ánimo impedir á los ____ £1 capitán Lindenburg, que fue incluido en la última amnistía concedida habitantes de París que lleven por sí mismos ó envíen por otros cateas ó pa por el Rey de Suecia, ha vuelto á su oficio de periodista, que fue causa de la quetes ¿ las personas que gusten, y por el conducto que les parezca. (D. de /*.) larga prisión…</t>
  </si>
  <si>
    <t>Lindhurot</t>
  </si>
  <si>
    <t>…al ínteres, ya sobre los objetos tan variados de su es blo de Inglaterra. Aquí no se trata si el duque, de Wellington es mas sabio que tudio especial, ya sobre un asunto de indagacione no menos útil, pero mas lord Melbourne, 6 si lord Lindhurot tiene mas constancia de principios que árido, esto es la configuración exacta y detallada de los paisa que visita. Es lord Brougham, ni tampoco si da reforma do la iglesia proyectada por lord Du- mas raro que el viagero extienda asi voluntariameníe*el círculo de sus traba cannon y lord Spenser será…</t>
  </si>
  <si>
    <t>Lindhurst</t>
  </si>
  <si>
    <t>…aría Luisa, continúan —— El mismo periódico dice: Ayer S$. MM. el Rey y Reina llegaron á es sin novedad en su importante salud en el Real Sitio del Pardo. ta corte á la una y medía, viníendo^de Brighton. El duque de \Vellington y lord Lindhurst tuvieron una audiencia de S.'M. También la tuvieron los siguientes ministros que han 'alido del gabinete: Lord Brougham, lord canciller; vizconde Melbourne, primer lord de la teso rería; el marques de Lansdown, lord presidente del Consejo; el conde de MrlPARTE NO OFICIAL. graver lord del sello priv…</t>
  </si>
  <si>
    <t>Líoneo, Carlos</t>
  </si>
  <si>
    <t>Carlos Líoneo</t>
  </si>
  <si>
    <t>…venta en ti despacho de la Imprenta Real, de la tribu, y los comandantes de las aldeas son elegidos entre los mas ricos, prudentes y valerosos. Se les da el nombre de amapagati, es decir, ancianos ó Parte práctica de botánica del caballero Carlos Líoneo, que comprende 1*| «U— tti • órdenes, géneros, especies y variedades de las plantas con iu$ caractéres genéricos consejeros. ,y específicos, sinónimos mas selectos, nombres triviales, lugares donde nacen y pro* Los usos tradicionales forman el código de las leyes, y hé aquí el modo piedades. Traduc…</t>
  </si>
  <si>
    <t>Lioresida, Siturn.no</t>
  </si>
  <si>
    <t>Siturn.no Lioresida</t>
  </si>
  <si>
    <t>…manecer del dia 10 en direc .■ i m icn I o ric ^la.. ' rea, 1 ' i!c • ” ea. L ■&gt;, s i - • - i ¿ i . v « ' o e ¡ 'v ■ • n: ^ c u - - ' -&gt; ción al valle de Arraóa , en el que encontró á lo, cabecillas La-Torre, Luqui, Antonio Gil v D. Siturn.no Lioresida, el csbo 2.*' de cabj.ler i Pe3ro C - Olivares y Ochoa , y ío, persiguió activamente hasta las cuestas de Ubidu , en í&gt;&lt;r i i , ¿ qu;en hirieron el cabalo en la acción, y 1 - ‘•o.d.c ^ del truno r,. 1donde Jas excesivas lluvias je impidieron continuar , habiendo .pernoctado en mic’c^o MÍl’u;' San¿h…</t>
  </si>
  <si>
    <t>Liot</t>
  </si>
  <si>
    <t>…has vol. y firme. Id. id. de 4 p. 100, 48 y 47Í al contado: 48$, f, í, 7 diezlseisavos, 1 dados por el mayor de brigada Carvalho, los marineros bajo el y 1 á varias fs. vol. y firme: 48^, f, § y 4 á varias fechas vol. y mando del capitán Liot, y los soldados de marina ingleses á las ■ me á prima de if, f y 4. órdenes del capitán Bart. Los demas quedaron esperando Ja vuelta Vales no consolidados, 13 p. ico á 60 días fecha vol. y firme : 13 por de las lanchas- Di orden á los primeros de que ó tomasen posi 100 á 60 d. f. vol. a prima de i…</t>
  </si>
  <si>
    <t>LiSan, D Mariano</t>
  </si>
  <si>
    <t>D Mariano LiSan</t>
  </si>
  <si>
    <t>…mañóna á ejecutar varias operaciones. Laredo............... . 2 á 9 de Oct.. i No consta 20 20 Madrid 19 de Octubre. Santander.......... . 10 á 13 id... - ( id. No-consta 108 Nota. En Laredo había 80 personas en convalecencia. EI Sr. D. Mariano LiSan, comisario general de la Santa Cruzada, ha di rigido á S. M. la Reina Gobernadora la exposición siguiente: PROVINCIA SE SEVILLA. "Señora: Cuando recordaba con el mayor placer las muchas é inapreciables distinciones con que se ha dignado V. M. premiar mi corto mérito, eligiéndo Participan con fecha…</t>
  </si>
  <si>
    <t>LiSan, Mariano</t>
  </si>
  <si>
    <t>Mariano LiSan</t>
  </si>
  <si>
    <t>…na á ejecutar varias operaciones. Laredo............... . 2 á 9 de Oct.. i No consta 20 20 Madrid 19 de Octubre. Santander.......... . 10 á 13 id... - ( id. No-consta 108 Nota. En Laredo había 80 personas en convalecencia. EI Sr. D. Mariano LiSan, comisario general de la Santa Cruzada, ha di rigido á S. M. la Reina Gobernadora la exposición siguiente: PROVINCIA SE SEVILLA. "Señora: Cuando recordaba con el mayor placer las muchas é inapreciables distinciones con que se ha dignado V. M. premiar mi corto mérito, eligiéndo Participan con fecha…</t>
  </si>
  <si>
    <t>Lishoa, Bento da Silva</t>
  </si>
  <si>
    <t>Bento da Silva Lishoa</t>
  </si>
  <si>
    <t>…de la tarde.—José Ra món RodiL=Ilmo. y Excmo. Sr. Comandante general de las tropas que guar .____Cartas de Rio-Janeiro de 22 de Febrero avisan que habia renunciado el necen á Castello-de-Videministerio de Negocios extrangeros el Sr. Bento da Silva Lishoa, y que iba á hacer lo mismo Rodrigues Torres, ministro de Justicia. La capital gozaba de Excmo. Sr.: He recibido el oficio de V. E. de hoy, y en su contestación completa tranquilidad. debo decirle, que habiendo sido envuelto inesperadamente por las tropas del •c FRANCIA. mando de V. E., convengo en…</t>
  </si>
  <si>
    <t>Lisonjeado</t>
  </si>
  <si>
    <t>…arte recibido en la eetretaría de Retado y del Detpacko de la Guerra. de las brigadas, cirujanos, médicos, capellanes, oficiales, gefes y generales concurrentes, ninguno fritó á su deber, antes bien lo adelantaron hasta el Excmo. Sr.: Lisonjeado hasta cierto punto con el plan de operaciones qus grado mas extraordinario que podía apetecer ; presentándo&gt;e ocasión de bri había emprendido ».y qwe tuvo algunas alteraciones locales sobre mi marcha llar mas el mariscal de campo D. Manuel Lorenzo , comandante general de desde Puente la Reina , seg…</t>
  </si>
  <si>
    <t>Lista, Alberto</t>
  </si>
  <si>
    <t>Alberto Lista</t>
  </si>
  <si>
    <t>…y asistencia de los militares enfermos en adiciones, notas y correcciones, dispuesta de modo que forme uoa obra completa de el hospital de la plaza de S. Fernando, por tiempo de dos años, contados desde el Historia universal, por D. Alberto Lista, acudirán á recoger en las librerías donde dia en que »e comunique la aprobación soberana, con arregle al pliego de condicio se hayan suscrito el tomo ax de la obra, y lode la historia de Fraocia. En ¿ico- nes que está de manifiesto en Sevilla en la ordenación militar, eo cuyos estrados se inienza…</t>
  </si>
  <si>
    <t>Littrow</t>
  </si>
  <si>
    <t>…os que je les atenderá lo mas pronto que^se pueda sm én NüpoleSj Saldrtí íhañaaa para su destino.*’ (G. dejivgsburgo.) perjuicio de otros intereses. \ '' ‘ «No menos satisfacción nos causan la£seguridades que nos da Vi^bdc^que El Sr.'Littrow, astrónomo de Viena, acaba de publicar un opúsculo so reinan el orden y Ja tranquilidad en casi todas nuestras colobias^y^deTqüd/haii s bre el ’cométa de HálLey, con dos mápas. Sabido es que este gran cometa » cu producido resultados satisfactorios lis medidas tomadas en nuestras Indias yas revoluc…</t>
  </si>
  <si>
    <t>Liudeherg</t>
  </si>
  <si>
    <t>…. S. M. la Reina nuestra Señora, su augusta Madre la Reina NOTICIAS EXTkANGERAS. Gobernadora y laSerma. Sra. Infanta Doña María Luisa, continúan Stockolmo 19 de Agosto. REALES DECRETOS. El jueves pasado sé presentó el proceso del capitán Liudeherg al cornejo dé Estado, presidido por S. M. el Rey. Todavía no se han filmado les proto Atendiendo á las reiteradas instancias que me ha dirigido él colos; pero se sabe ya positivamente que el redactor del AJloublad ha sai ido espitan general de los Reales ejércitos duque de Bailen para qué libre de…</t>
  </si>
  <si>
    <t>Liuleton</t>
  </si>
  <si>
    <t>…diredtor gene dichas escudaisehailaban reunidos en número de 1500 de la clase de artesanos. ral de correos, 2500; IprdjHolland ..canciller del ducado de Lansaster; 3563; . ■ ... \ 3.'- . „ lord Rqssel, pagador del ejército;,.29: lord Liuleton, primer setarefario de-ir_La entrega de la bandera de honor, bordada por la Reina, á la sociedad^ landa , 550¡1: Mr. Klüce, ministro de la Guerra, 2580; lord Hill, comandar de la Gresstde armonía, se verificará luego que SS. MM- vuelvan de Ostende. le en gefe de las tropas, 3458 ; Mr. Remt-; dÍTect…</t>
  </si>
  <si>
    <t>Liverpool</t>
  </si>
  <si>
    <t>…ron él duque dé Newcastle, virtieron en los enfermos fuertes excitaciones cerebrales y gástricas, produ qpe fue primer ministro ocho años; lord North, que lo fue doce; Pitt diez y ciendo en algunos grandes disenterias. , «tete, y lord Liverpool quince años. (G. de Francia.) 2. a El Dr. D. Joaquín Palacios, otro de los comisionados, en tres enfer mos que ha tratado ha observado que el primero se curó totpapdo el cocimien to de la viborera solo; que al segundo fue inútil su prescripción, y que después . . ..la Gaceta- (política) Je Agram de…</t>
  </si>
  <si>
    <t>Lizana, Miguel</t>
  </si>
  <si>
    <t>Miguel Lizana</t>
  </si>
  <si>
    <t>…po y licenciados Reales decretos. con buena nota. De Real orden &amp;c^Madrid 17 de Febrero de Para la plaza de fiscal del supremo Tribunal de España é In 1834—Aranalde.=Sres. directores de Rentas. dias , vacante por fallecimiento de D. Miguel Lizana, vengo en Otra sobre el derecho trasversal de herencia. nombrar á D. Andrés Crespo Cantolla. Tendréislo entendido, y Jo comunicareis á quien corresponda.—Está rubricado de la Real Conformándose S. M. la Reina Gobernadora con el dictámen mano—En Aranjuez á 23 de Abril de 1834-=A D. Nicolás Ma del Co…</t>
  </si>
  <si>
    <t>Lizarraga, Joaquina Ciriaca</t>
  </si>
  <si>
    <t>Joaquina Ciriaca Lizarraga</t>
  </si>
  <si>
    <t>…r que anhelo, que es la aprobación de nuestra Soberana y de S. M. la Reina de 18u8 en Madrid, ha cabido en suerte con el primer extracto de la de este! Gobernadora mis operaciones; y que cuando Dios sea servido terminar los dia á Doña Joaquina Ciriaca Lizarraga, hija del comandante de escuadrón I días de mi existencia ó cese en el ejercicio de mi destino por otro motivo, no D. Miguel, muerto en el campo-del honor. haya una sola persona que justificadamente pueda decir: el primer subdelegado del Fomento de la ciudad y provincia de Toledo me causó un mal, m…</t>
  </si>
  <si>
    <t>Llaiider, O Manuel</t>
  </si>
  <si>
    <t>O Manuel Llaiider</t>
  </si>
  <si>
    <t>…n su presentación iguales á las del Excmo. Sr. conde de principales las siguientes: (leyó). - Ame las Cortes generales del Reino, con Guendulaín. «el libro de la lev en la mano, de la manera mas solemne efe que se halle El Excmo. Sr. O. Manuel Llaiider manifiesta que estando para trasladar «ejemplo en los fastos de la monarquía, se expondrá á la faz de la nación y se á esta corte recibió la circular de y de Agosto, y considerándose compren «del mundo la conducta de! mal aconsejado Príncipe, que procnovtenck&gt; I* dido en las excepciones que aquella…</t>
  </si>
  <si>
    <t>Llamado</t>
  </si>
  <si>
    <t>…de mezclarse en esta cuestión. (Constitucional.) PAUTE NO OFICIAL. FRANCIA. NOTICIAS EXTRANGERAS. Parií 31 de Julio. Circular del mariscal Gerard d los capitanes ¿enerales de los departamentos. (Continuación del correo anterior.) General: Llamado por la confianza de S. M. á suceder en la* funciones TUXQUIA. de Presidente del consejo de Ministros y de secretario del despacho de la Guer ra á un ilustre mariscal que con tanta firmeza y habilidad ha desempeñado el Constantinofia 1.® de Julio. ministerio, y que para mí es tan difícil y doloroso…</t>
  </si>
  <si>
    <t>…óiies‘midió la vida sirviendo á la patria. (Adhesión.) Este sistema no es únicamente el Jitares y las divisíone&amp;activas. de la mayoría de esta Cámara; es el de toda la nación, harta ya de los aten París 21 de "Noviembre de 1834* «General: Llamado por la voluntad del Rey al doble empleo de Presidente del Consejo y de ministro de la Guerra, tados de los partidos, pero que no confunde la oposición con la hostilidad. Ya ha habido oposiciones sistemáticas ; gracias á Dios; aun no ha habido mayo en que me han precedido dos ilustres maríscales; su…</t>
  </si>
  <si>
    <t>Llander, Manucl</t>
  </si>
  <si>
    <t>Manucl Llander</t>
  </si>
  <si>
    <t>…obernadora , con la efusión mas sincera de mí amor, respeto y veneración * Deuda negociable del ¿ p. 100 d papel, 00, su Real Percmia. Dios guarde á "V. E. muchos años. Barcelona 11 de Enero Id. sin ioteres, 00. &lt;Je.l8:H.=E*(cmo. Sr.=Manucl Llander. = Exento. Sr- Secretario de Estado y Ácciooes del banco español, 00. ^ CAMBIOS. •del Despacho de la Guerra. Amsterdam, 00» París HS-i. Cádiz 4 b. Sevilla par i | d. Sayona, 00. Alicante á corto pía. Corulla 4 d. Valencia par. El día 8 se bailaba el general Lorenzo en Puente la Reina, habiendo sido…</t>
  </si>
  <si>
    <t>Llano</t>
  </si>
  <si>
    <t>…a* Se abrió 4 las once y cuarto. completarlo añadiendo en la sesión de ayer ©tras consideraciones imporrantes Se levó el acta de la »e» cr* anterior. *juc había reservado para ella. Una hora antes de abrirse fui atacado de una Ei Sr. Llano v Chavarri Yiizo una obremeion acerca de lo que se expre convulsión que me hizo creerme imposibilitado de asistir; pero á las dos horas saba en ella relativo á h«ber»e mardjCo ar.H va' el efcmp.Uí'de 1a Gacela re reuní al fin las fuerzas necesarias pira presentarme en el Estamento, bien que mitido…</t>
  </si>
  <si>
    <t>Llano, Luciano</t>
  </si>
  <si>
    <t>Luciano Llano</t>
  </si>
  <si>
    <t>…e la observan, en que es á Santarem, como verá V. E. reconocer con el capitán graduado teniente del mencionado escua por mi oficio separado de esta fecha: puede decirse que no salvó una drón D. Manuel Pardo, subteniente del mismo D. Luciano Llano, prenda de vestir para mudarse, igualmente que su Señora , familia el de igual clase del regimiento de Castilla, agregado á la plana y comitiva. Ayer á las nueve de su mañana se declaró Almeida mayor, D. Luis del Arco, y los soldados del precitado escuadrón, por Doña María de la Gloria, quedando en…</t>
  </si>
  <si>
    <t>Llanos, Francisco José</t>
  </si>
  <si>
    <t>Francisco José Llanos</t>
  </si>
  <si>
    <t>…del país, su equipage fue llevado por 103 ele Magdalena, núm. 16. Tercero: á D. Francisco Oliver y Bravo, por el Tacio, fantes, 1300 camellos y 800 carruages tirados de bueyes. Este convoy iba es núm. 45; y mención honorífica de D. Francisco José Llanos, por el grupo coltado por dos regimientos, uno de caballería y otro de infantería. anónimo de medias figuras, núm. 4ó. Paisages. Primer premio: á D. José Sánchez Baubet, por el castillo da T» ciudad de Como, patria de Alejando Volta, ha resuelto levantar un Meillan, cuadro núm. 43. Segundo: á D. Jo…</t>
  </si>
  <si>
    <t>Llanos, Rafael González</t>
  </si>
  <si>
    <t>Rafael González Llanos</t>
  </si>
  <si>
    <t>…cinos dei lugar de Bullado pueden cer- destinos los oficiales 14.* L° del Gobierno civil de Cádiz, D. Roque, rartos cúañdb kréstixnín eotiveniente. : f ■ Aguado y D. Ildefonso Zamora, y nombrados en su reemplazo, oficial pri mero D. Rafael González Llanos, y oficial 4*0 l-° D. Agustín Pinol; D. Manuel Balaguer ^Vecino y fabricante de la ciudad ¿le Barcelona , hi zo presente la necesidad que había de mejorar la calidad é hiladura de nuestras A propuesta de la . dirección general de correos S. M. se ha servido nom sedas, proponiendo ciertas reglas que…</t>
  </si>
  <si>
    <t>Llanos, Sebastian</t>
  </si>
  <si>
    <t>Sebastian Llanos</t>
  </si>
  <si>
    <t>…llas autoridades recibieron la orden de 4- de Noviembre de 1830. De Real orden &amp;C. Atendiendo á Ta notoria lealtad y recomendables servidos del Dios &amp;c, Madrid 30 de Junio de 1834. = El copde de Toreno. = Se coronel de infantería D. Sebastian Llanos, he venido , á nombre de ñores directores de Rentas. íni augusta Hija la Reina Doña Isabfí ii , en conferirle el destino jte¡ Mayiítro de ceremonias de las CÓTje&amp; Tendréislo entendido, y lo MINISTERIO Dí IO INTERIOR. comunicareis» quien corresponda.=Está rubricado-de la Real mano de Si. M,=En San I…</t>
  </si>
  <si>
    <t>Llarena, José Quintana</t>
  </si>
  <si>
    <t>José Quintana Llarena</t>
  </si>
  <si>
    <t>…onsideración , para que se declaren como derechos fundamentales, ca , en reemplazo del Sr. conde de Toreno, que optó por la de Oviedo: de la los que contiene la petición siguiente.” Asi se aprobó, quedando los arríen de lo: Sres. D. José Quintana Llarena, D. Juan Antonio Cologan y Franquía los que aquella comprendí» en los términos en que lo habían sido en las dis y Sr. marques de Villafueite, por las islas Canarias; y las de D. José Seinsjut cusiones respectivas á los mismos. y D. Esteban de Ayala, por la de Pueito-Rico. ’ El Sr. García Carrasco l…</t>
  </si>
  <si>
    <t>Llaudcr, D Manuel</t>
  </si>
  <si>
    <t>D Manuel Llaudcr</t>
  </si>
  <si>
    <t>…mbarco de los carabineros det místico que Ies habia dado caza. nes generales para los regimientos de infanterta. circulado y mandado observar por él Avisado el gobernador portugués de Castromarin oportunamente, destacó sin Excmo. Sr. D. Manuel Llaudcr en l.° de Enero de 1829. Un cuaderno en 8.*. Se ven péadida de «tempo una partida de caballería hácia ViUareal para tomar todas de en esta corte en la librería de Razóla, y en Cuenca en la de Mariana, á 4 rs.: pue 1 las avenidas y lograr la cajptura de estos malvados. de ir en curta. • —Reformas qu…</t>
  </si>
  <si>
    <t>Llaudcr, Manuel</t>
  </si>
  <si>
    <t>Manuel Llaudcr</t>
  </si>
  <si>
    <t>…cs en los términos que previene el plan vigente de conseguiría de esta suerte una suma mayor de capítaíes á favo! de la cl&amp;se in- estudios. (771) - , ' dostriosa no,acaudalada, pues.en tal ^aso.las cantidades depositadas en los á D. Manuel Llaudcr minisfrp cjfe la Guerre. &amp; bancos aumentarían en razonaV interés 'compuesto del dinero j y lo otro porque se legrarirr también la circulación de estos capitales,en beneficio gener^í-de la ■ . m admitiendo la dimisión de D, Antonio Loriga, gobernador civil de prosperidad y de lariqueza’públiea.'Pero…</t>
  </si>
  <si>
    <t>…co de los carabineros det místico que Ies habia dado caza. nes generales para los regimientos de infanterta. circulado y mandado observar por él Avisado el gobernador portugués de Castromarin oportunamente, destacó sin Excmo. Sr. D. Manuel Llaudcr en l.° de Enero de 1829. Un cuaderno en 8.*. Se ven péadida de «tempo una partida de caballería hácia ViUareal para tomar todas de en esta corte en la librería de Razóla, y en Cuenca en la de Mariana, á 4 rs.: pue 1 las avenidas y lograr la cajptura de estos malvados. de ir en curta. • —Reformas qu…</t>
  </si>
  <si>
    <t>Llauder, D Manuel</t>
  </si>
  <si>
    <t>D Manuel Llauder</t>
  </si>
  <si>
    <t>…o el Gobierno, y que justamente ha re-pe rio del Despacho de la Guerra, en virtud de la dimisión hecha por el Sr. Don tado la comisión, cualquiera rebaja, que quisiera hacerse, seria de bien poca Antonio Remon Zarco del'Valle, el Sr. D. Manuel Llauder, y que este ha monta , y solo serviría para sellar nuestra mezquindad y nuestra'ibgratitud. Yo bía ya tomado posesión de su destino. quisiera que en esta parte no hubiese ni aun discusión; y me lisonjearla extraor £n seguida tomó la palabra y dijo dinariamente el ver por los resultados que al expre…</t>
  </si>
  <si>
    <t>…s efectos de su conocida piedad en favor de los que han de aquel principado el mariscal de campo D. José Carratalá, según las instruc perecido, y los que se han distinguido en esta brillante jornada. ciones del benemérito capitán general D. Manuel Llauder, batieron vigorosa y »*Luego de dar algún descanso á la tropa, y anles de amanecer rae dedicaré £ completamente las fueras que Carnicer había reunido i la izquierda del Ebro, perseguirlos restos del enemigo, que difícilmente realizarán el paso por el Ebro i cuya orilla pasó desde el bajo Aragón. ,…</t>
  </si>
  <si>
    <t>Llauder, J Mapuel</t>
  </si>
  <si>
    <t>J Mapuel Llauder</t>
  </si>
  <si>
    <t>…cuando gusten de las librerías donde sq.h^yan abonado el to mo 2.° de dicha obra,que contiene la instrucción del recluta y compañía, según el maa de la provincia se gozaba de completa salud. xndtodo y con las adiciones del Excmo. Sr. J&gt;.-Mapuel Llauder; laTtuttucclon para tirar al blanco; posiclonp del sable de Sres. oficiales {'saludo de la bandera} Instrucción PROVINCIA BE BABAJOZ. sobre varios puncos de táctica mandada observar .4 los cuerpos de la guardia-Real -pro vincial y demas de milicias por el Excmo. Sr. conde de S. Román; qn apéndice r…</t>
  </si>
  <si>
    <t>Llauder, Manuel</t>
  </si>
  <si>
    <t>Manuel Llauder</t>
  </si>
  <si>
    <t>…Sta. Ana, id.: marques de Santa José García de León Pízarro, con Real licencia; D. Miguel Ricardo de Ala Cruz, id.; marque* de Sía. Cruz y S. Esteban, id; conde de Sistogd, id.; conde va ; conde de Cartagena; conde de F.zpelcta; D. Manuel Llauder; conde de de ”1 abjada, id.; crzjde de Teba, ivi.; obispo de Vailadolid, ausente; cónde Montenegro; D. Gerónimo Valdes; D. Luís Balanzat; prímópe de Anglona; del Venadito, presente; duque de Veraguas, id.; D. Gaspar -Vigoáet, ídem; conde Armildez de Toledo; D. Miguel Tacón; D. Manuel Freiré; D. Cay…</t>
  </si>
  <si>
    <t>…ra con nombre y ape- MXNISTERip ,DE LO INTERIOR. Jlido. Tendréislo entendido, y lo comunicareis á quienes correspon Real orden. da para su cumplimiento, =Está rubricado de la Real mano. = En el Pardo á 11 de Diciembre de 1834.:=A D. Manuel Llauder, marques He dado cuenta á S. M. fe Reina de una exposición de 1a jun ta de Sanidad de Hellin en solicitud de que se autorice á D. Jasé del valle de Rivas. Morales, D. Tomas Ruiz Hermosa y D. Luis Carbonell, para ex ministerio de gracia r justicia. pender en todo el reino las polvos llamados de las…</t>
  </si>
  <si>
    <t>…Gobierno, y que justamente ha re-pe rio del Despacho de la Guerra, en virtud de la dimisión hecha por el Sr. Don tado la comisión, cualquiera rebaja, que quisiera hacerse, seria de bien poca Antonio Remon Zarco del'Valle, el Sr. D. Manuel Llauder, y que este ha monta , y solo serviría para sellar nuestra mezquindad y nuestra'ibgratitud. Yo bía ya tomado posesión de su destino. quisiera que en esta parte no hubiese ni aun discusión; y me lisonjearla extraor £n seguida tomó la palabra y dijo dinariamente el ver por los resultados que al expre…</t>
  </si>
  <si>
    <t>…s de su conocida piedad en favor de los que han de aquel principado el mariscal de campo D. José Carratalá, según las instruc perecido, y los que se han distinguido en esta brillante jornada. ciones del benemérito capitán general D. Manuel Llauder, batieron vigorosa y »*Luego de dar algún descanso á la tropa, y anles de amanecer rae dedicaré £ completamente las fueras que Carnicer había reunido i la izquierda del Ebro, perseguirlos restos del enemigo, que difícilmente realizarán el paso por el Ebro i cuya orilla pasó desde el bajo Aragón. ,…</t>
  </si>
  <si>
    <t>…eina Gobernadora. arreglan sus costumbres conforme á las máximas de La Religión. Dios guarde á V. E. muchos años. Barcelona 11 de Enero de. 1834*=ExcelenEducada nuestra augusta Reina con la vigilancia ce Madre tan piadosa, tísimo Señor—Manuel Llauder.=Excmo. Sr. Secretario de Estado y del Des no dudemos que la sagrada Religión se conservara con toda su pureza, y se pacho del Fomento general del Reino. corregirán las depravadas costumbres, y que en proporcionarnos tan grandes bienes acreditará con mucha gloria el distinguido timbre de Reína Catól…</t>
  </si>
  <si>
    <t>LlBan, Antonio Gamero y de Doüa María</t>
  </si>
  <si>
    <t>Antonio Gamero y de Doüa María LlBan</t>
  </si>
  <si>
    <t>…nio Morales, na ciaron en aquella noches y en efecto, el fraile Salaverri, que iba tural de la villa de Palma del Rio y vecina de dicha ciudad, bija legi en una caballería, quedó alli muerto sin poder ir mas adelante. Co- tima de D. Antonio Gamero y de Doüa María LlBan y Salvador, natura algún faccioso, presentóse otro que comprobaba harto bien,el les de la propia villa , que se crean con derecho á los bienes que han que dado por fallecimiento de la referida Gamero, á fio de que en el térmi Í|¡óseastimoso estado en que se hallan huyendo de continuo sin desea n- n…</t>
  </si>
  <si>
    <t>Llegados</t>
  </si>
  <si>
    <t>…po, un total: no y para ello lo mejor será poner un ejemplo. Supongamos que al tratarse es por consiguiente culpa del Gobierno ni del reglamento el que asi suceda. del proyecto de ley sobre el Voto de Santiago, no, hubiera ningún señor «Llegados pues á este punto, y á pesar de que el ministerio se ha abste Procurador pedido la palabra para discutirlo en su totalidad: ¡era esto otra nido de entrometerse en esta cuestión, yo apelaría á la ilustración y docilidad cosa que una renuncia tácita de hacerlo asi,-y una prueba de que el Estamento de…</t>
  </si>
  <si>
    <t>Llegaron, Infanta Doña Isabel María</t>
  </si>
  <si>
    <t>Infanta Doña Isabel María Llegaron</t>
  </si>
  <si>
    <t>…sotos 10 hombres montados, butarles sus respetos* habiéndose tomado todas las disposiciones para concluir con los dispersos. ^ Poco después salieron SS. MM. y S. A. I. para Queluz, pasando por Bonifica, donde visitaron á S. A. la Sra. Infanta Doña Isabel María. Llegaron x aquel Acal sitio á las seis y media de la tarde. ESTADO SANITARIO- DEL REINO. PROVINCIA Dfi TERUEL. Con fecha 5 de Agosto dice su gobernador civil que desde el día 30 de ESPAÑA. Julio al 3 del corriente, solo habían existido en aquel pueblo once enfermos, Madrid 1$ de Agosto* de los cuales solo u…</t>
  </si>
  <si>
    <t>Llegaron, Isabel María</t>
  </si>
  <si>
    <t>Isabel María Llegaron</t>
  </si>
  <si>
    <t>…res montados, butarles sus respetos* habiéndose tomado todas las disposiciones para concluir con los dispersos. ^ Poco después salieron SS. MM. y S. A. I. para Queluz, pasando por Bonifica, donde visitaron á S. A. la Sra. Infanta Doña Isabel María. Llegaron x aquel Acal sitio á las seis y media de la tarde. ESTADO SANITARIO- DEL REINO. PROVINCIA Dfi TERUEL. Con fecha 5 de Agosto dice su gobernador civil que desde el día 30 de ESPAÑA. Julio al 3 del corriente, solo habían existido en aquel pueblo once enfermos, Madrid 1$ de Agosto* de los cuales solo u…</t>
  </si>
  <si>
    <t>Llegó, Joaquín Abar</t>
  </si>
  <si>
    <t>Joaquín Abar Llegó</t>
  </si>
  <si>
    <t>…y querido hermano.” del presente año, se encuentran varios papeles de las supuestas Secretarías de Interior. «Santarem 4 de Octubre de 1833. = Le da el pésame añadiendo: Estado , Gracia y Justicia, Guerra y Hacienda , al cargo de D. Joaquín Abar Llegó el caso....... de que cumpla la declaración que hice de no reconocer otros ca , obispo de León : unos de letra, firma y lúbrica de D. Cários , otros coi» derechos que los que legítimamente tengo de heredar la corona en el caso pre iguales caracteres del citado obispo , y otros con la sola rúbrica d…</t>
  </si>
  <si>
    <t>Llegué, José Ma</t>
  </si>
  <si>
    <t>José Ma Llegué</t>
  </si>
  <si>
    <t>…echándose batallón de Soria , marcharon á reforzar las que tan heróicamenle sostenían la siempre de las escabrosidades del terreno para hacer inútiles nuestros esfuerzo». ermita: los comandantes del mimo cuerpo D. Ramón Carreño y D. José Ma Llegué á este punto en la tarde de ayer persiguiendo a Luqui, que en unión ría Cendtcra , el capitán óae cazadores D. José Ortuño y el abandeiado Doa de otros se habia dirigido á las Encartaciones * y recibí aviso deque la llamada Manuel de Luna que solicitaron ser empicados en los puntos de mayor riesgo:…</t>
  </si>
  <si>
    <t>Llegué, Ramón Carreño y D José Ma</t>
  </si>
  <si>
    <t>Ramón Carreño y D José Ma Llegué</t>
  </si>
  <si>
    <t>…cipitadamente aprovechándose batallón de Soria , marcharon á reforzar las que tan heróicamenle sostenían la siempre de las escabrosidades del terreno para hacer inútiles nuestros esfuerzo». ermita: los comandantes del mimo cuerpo D. Ramón Carreño y D. José Ma Llegué á este punto en la tarde de ayer persiguiendo a Luqui, que en unión ría Cendtcra , el capitán óae cazadores D. José Ortuño y el abandeiado Doa de otros se habia dirigido á las Encartaciones * y recibí aviso deque la llamada Manuel de Luna que solicitaron ser empicados en los puntos de mayor riesgo:…</t>
  </si>
  <si>
    <t>Lleva, Laddon</t>
  </si>
  <si>
    <t>Laddon Lleva</t>
  </si>
  <si>
    <t>…los Sres. Jaubert, Dufau, Salverte, Isarnpróxima á fundar una nueva colonia en la cosía occidental de Africa, á cuyo bert, Teste y el ministro de justicia, se aprueban los artículo» siguientes: fin ha salido ya la fragata Ansia, capitán Laddon. Lleva á su bordo muchos J.° «Para lo futuro se prohíbe fundar mayorazgos. ^migrados y algunos misioneros * que fundarán una población en el cabo- de las 2. ° «Los mayorazgos ó partes de mayorazgos fundados con bienes particu Palmas con el nombre de Maryland. (Couritr.) lares antes de que se promulgue la…</t>
  </si>
  <si>
    <t>Lló, D Manuel</t>
  </si>
  <si>
    <t>D Manuel Lló</t>
  </si>
  <si>
    <t>…e la anterior quedó apro porque jamas me he dirigido por otra senda. En consecuencia de esto bada. fió considero necesario hacer la profesión de fe política ni la relación de mis Se mandaron pasar i la comisión de Poderes los del Sr. D. Manuel Lló servicios anteriores. No digo esto por los Sres. Procuradores; pero si cualquier rente y "Pastor, electo Procurador por la provincia de Pontevedra los del se fa de los demas oyentes dudase de mi conducta, puede averiguarla: no &gt;rmt&gt; ñor conde de Villanueva, que lo es por la de Granada , y los del S…</t>
  </si>
  <si>
    <t>Lló, Manuel</t>
  </si>
  <si>
    <t>Manuel Lló</t>
  </si>
  <si>
    <t>…anterior quedó apro porque jamas me he dirigido por otra senda. En consecuencia de esto bada. fió considero necesario hacer la profesión de fe política ni la relación de mis Se mandaron pasar i la comisión de Poderes los del Sr. D. Manuel Lló servicios anteriores. No digo esto por los Sres. Procuradores; pero si cualquier rente y "Pastor, electo Procurador por la provincia de Pontevedra los del se fa de los demas oyentes dudase de mi conducta, puede averiguarla: no &gt;rmt&gt; ñor conde de Villanueva, que lo es por la de Granada , y los del S…</t>
  </si>
  <si>
    <t>Llórenla</t>
  </si>
  <si>
    <t>…teses. de sufrir la carga que la habían impuesto: si hubiera podido manifestar libre «Se dice que estos empréstitos no son masque continuación de los fie mente la opinión , hubiera desaprobado altamente dichos empréstitos Guebl’a'd. Llórenla perpetua no es consecuencia de ese empréstito. El em- « Ha dicho el Sr. F.eix que las Cortes no podian,dciertninar este negocio. pré.iltn de Guebhard, propuesto y contratado en 1823 por la Regencia de Las Cortes , precisamente son las que pueden hacerlo, y esta facultad la ba re Madrid, no por la d…</t>
  </si>
  <si>
    <t>Llórente, José Antonio PoaxüGAi</t>
  </si>
  <si>
    <t>José Antonio PoaxüGAi Llórente</t>
  </si>
  <si>
    <t>…ontadarú da m.H. de ettas tres líneas un solo vasto cuerpo, del cual es cabeza. { D. de /).) Córdoba, vacante por ascenso dél que la obtenía, el de igual clase de la de Badajoz p. Bernardino Perez y Echavarría: para esta resulta- D. José Antonio 1 PoaxüGAi. Llórente, oficial cesante de la de Valencia; y para la de 4 ° de la provin cia de Granada D. Matías .Oliveros, tesante de la de León. ___ Lisboa 25 di Setiembre i El dia 19 del corriente expidió S. M. F. la Real pragmática, en la cual, Conformándose S. M. con el dictamen del gobernador civil de las islas de…</t>
  </si>
  <si>
    <t>Llórente, Pedro</t>
  </si>
  <si>
    <t>Pedro Llórente</t>
  </si>
  <si>
    <t>…o y gratitud, que consagro y tributo á ¡a augusta persona de V. M. I., También se ha servido S. M. nombrar secretario de la junta de comercio ya como hija cariñosa, y ya como Reina de Portugal, que al esforzado valor de Granada á D. Pedro Llórente, concediendo su jubilación á P. Nicolás de y heroicidad de V. M. I. debo la restitución de mi usurpado trono; empresa tan Roda, que la obtenía. gloriosa, que para llevarla á efecto y hacer feliz á la nación portuguesa resti tuyéndole sus fueros y libertades, no vaciló V. M. I. en exponer su existen…</t>
  </si>
  <si>
    <t>Lloretai, José</t>
  </si>
  <si>
    <t>José Lloretai</t>
  </si>
  <si>
    <t>…ía la contaduría principal de propios, avisando oportunamente el resultado ed go merecen una singular recomendación, mas sinembargo no puedónienos de bernador para conocí mientodeS. M. _ , distinguir-por ?u arrojo* y decisión, ai-sargento 2^ José Lloretai cabo J.° Da mián de S: José, al 2.° Salvador Bolado, y á los minadores primeros Santera Por Real orden de 24 de Agosto último se. ha concedido licencia i Don Simón, José Azcaneílas, Faustino Martin, Manuel Brea,y Casimiro Gonzá Angel Labaqua para publicar én esta, corte un periódico con el título d…</t>
  </si>
  <si>
    <t>Lnása, Infanta Dona María</t>
  </si>
  <si>
    <t>Infanta Dona María Lnása</t>
  </si>
  <si>
    <t>…sá su^ rilemosde muchosy á su largapuebloscarreraque hanpolítica.prestado S. M. la Reina nuestra .Señora, su augusta Madre la Reina Guíldhall hubo una numerosa reunión que se verificó en medio de la pía;3 Gobernadora, y la Serma. Sra. Infanta Dona María Lnása, conu- con el objeto de nombrar comisionados que fucsen-Hitérprctg?de lasyenrímfer.- núan sin novedad en su importante salud en el Real Sitio del Pardo. ,tos de la gratitud de sus habitantes hacia el que poco hace desempeñó el pievado cargo de primer ministro de la Gran Bretaña. Lord Grey iba acomp…</t>
  </si>
  <si>
    <t>Lnbecsci</t>
  </si>
  <si>
    <t>…zones que na erpnsirc cLzr-en—- l^seccvcrtr.1 doje pedido repelidas vecj) que capí reine francamente sí oiiysv se *. ataca. Se la eactiaqra de Mllta ,~hí" contestado por fie que no se laida dt-*s esa* -eses ___Se ha diefio que e! príncipe Lnbecsci estiba CTrjrrgufe &amp;- ana mñóoti re— tino de dar el mando al Duero almirante que se habra mmrbasúc -eses e -eri^- larirei t la vuelta de los emigrado* polaco*. Parece «mu Sama ama cierto, cuanty, á eptien te quería hacer ver la habilidad de lot manstos que -»»«*•« iwp. aa ro rr asegura que M. Pozar*…</t>
  </si>
  <si>
    <t>Lnurrise, Anselmo</t>
  </si>
  <si>
    <t>Anselmo Lnurrise</t>
  </si>
  <si>
    <t>…la propagación de der algunas casas de campo, hicieron un fuego muy sostenido dontra las guer JS'énfehhedad y^^éséfVáí- de su invasión á la capital deL reino. En su virtud rillas de las. compañías de voluntarios que su comandante D. Anselmo Lnurrise expidieron por el ministerio de Jo Inferió?, de acuerdo con el de la Guerra garro, sin embargo que lo espesa del monte y las peñas ofrecían ó la mar db:*lhvárt£ rfcspectivVj'ilás órdenes mas terminantes, previniendo que el alcalde cha de los voluntarios bastante detención y obstáculos difíciles de…</t>
  </si>
  <si>
    <t>Lnurrise, D Anselmo</t>
  </si>
  <si>
    <t>D Anselmo Lnurrise</t>
  </si>
  <si>
    <t>…de evitar la propagación de der algunas casas de campo, hicieron un fuego muy sostenido dontra las guer JS'énfehhedad y^^éséfVáí- de su invasión á la capital deL reino. En su virtud rillas de las. compañías de voluntarios que su comandante D. Anselmo Lnurrise expidieron por el ministerio de Jo Inferió?, de acuerdo con el de la Guerra garro, sin embargo que lo espesa del monte y las peñas ofrecían ó la mar db:*lhvárt£ rfcspectivVj'ilás órdenes mas terminantes, previniendo que el alcalde cha de los voluntarios bastante detención y obstáculos difíciles de…</t>
  </si>
  <si>
    <t>Lo, D Tomas Ayalde</t>
  </si>
  <si>
    <t>D Tomas Ayalde Lo</t>
  </si>
  <si>
    <t>…tino, se encargue del mando del departa de su ramo. Tendréislo entendido, y lo comunicareis á quien cor- mento, en calidad de comandante general interino, el teniente responda.=Está rubricado de la Real mano.znAranjuez 4 de Abril general D. Tomas Ayalde. Lo comunico á V. S. de Real orden de 1834-=A D. Antonio Remen Zarco del Valle. para inteligencia de esa Real junta y demas fines. Dios guarde á V. S. muchos años. Madrid 6 de Abril de 1 j — Kiinirm, —S.— He venido en mandar que el presidente, ministros, fiscales y ñor secretario de la Real junta de go…</t>
  </si>
  <si>
    <t>Lo, Ferrer</t>
  </si>
  <si>
    <t>Ferrer Lo</t>
  </si>
  <si>
    <t>…l objeto. Me parece que el que ción de aquella, y que no ha sido leída hasta después de haber decidido el Es propongo es el que debemos adoptar si queremos terminar estas discusiones, tamento que no tomaba en consideración la del Sr. Ferrer. Lo que ayer dijo el que yo de todo corazón hubiera deseado soportasen en su origen, y que han Sr. Puche, y hoy ha manifestado el Sr. López , explica y demuestra el sentido nacido de no haberse consultado desde el principio al Estamento el sistema y objeto de la proposición, sin que yo necesite molesta…</t>
  </si>
  <si>
    <t>Lo, Francisco</t>
  </si>
  <si>
    <t>Francisco Lo</t>
  </si>
  <si>
    <t>…l de Castellón de la Plana, S.ALde Golderacena, maestro de primeras letras de la misma, han acudido á ¿&gt;. M. en solicitud de que se digne tomar una providencia que ponga terminó i las «e ha servido nombrar para la primera plaza a D. Francisco Lo redo,, oficial gestiones judiciales del cura de la misma parroquia D. Jacinto Oljguivel, que cuarto-secundo del de la provincia de la Loruáa ; ascender a la plaza de,oficial tercero-pnmero al tercero-segundo de.Caslelion IX Pedro Francisco Gines La-pretextando la calidad de patrono de una obra pía…</t>
  </si>
  <si>
    <t>Lo, Francisco Salustiano Delgado</t>
  </si>
  <si>
    <t>Francisco Salustiano Delgado Lo</t>
  </si>
  <si>
    <t>…osiciones.yHla, refrendada del Tatpvera íureftrido comandante de armas , que 16 es interinamente el capitán escribano García Huerta-, se cita á Juan Carrasco; cuyo paradero se ignora, hijo de Al* dej,regimiente?provincial de Toro D. Francisco Salustiano Delgado. Lo que, fonso, natural que fue de Tembleque y vecino de esta corte, casado con fiusdbla, Gó dial esta el mez , ej cual en veinte falleció para que en de rermiao.perentorio villa,tengp. la sstisfacción de.comunicar á Vi E. para su debido y superior conocí-; &amp;r- comparezca sí escribanía dicho ante de de…</t>
  </si>
  <si>
    <t>Lo, Juan</t>
  </si>
  <si>
    <t>Juan Lo</t>
  </si>
  <si>
    <t>…ber sido ya herido en otra ocasión, dando prue Elogia también la brillante y poco común carga dada á los enemigos en bas en muchas de particular bizarría.” el principio de la acción por el alférez del l.® de ligeros de caballería D. Juan Lo que tengo la honra de participar &amp;c. Dios &amp;c. Ochandiano 10 de Contreras, y los de igual clase D. Ramón Gómez , del mismo cuerpo, y Don Setiembre de 1834-=Excmo Sr.zzBuldoméro Espariero.enExcmo. Sr. Secreta Juan Gamez, del de húsares de la Princesa, quienes con 60 caballos de los dos do de Estado y…</t>
  </si>
  <si>
    <t>Lo, Miguel</t>
  </si>
  <si>
    <t>Miguel Lo</t>
  </si>
  <si>
    <t>…iscrepancia com de este por un ejército auxiliar español. Francia une sus votos á los esfuerzos de pleta de ideas en Los que componíamos el ministerio: pero yo declaro altamen España contra los restos de la autoridad espirante de D. Miguel. Lo que tienen te que es falso cuanto se ha dicho, y que la única cosa en que no convenimos que hacer Francia é Inglaterra casi está reducido á no impedir. era en la cuestión dé las rentas eclesiásticas. Y precisamente por ser bastante esta cooperación para asegurar la pacificación Ahora voy á manifest…</t>
  </si>
  <si>
    <t>Lo, Paterna</t>
  </si>
  <si>
    <t>Paterna Lo</t>
  </si>
  <si>
    <t>…iz labrador ve hollada su Sancho. La Reina Doña Urraca se supone en él sér tüugérdél cóftCesor Dbñ casa por un inexorable arrendatario, el cual no siendo satisfecho en el acto, Ramiro , siendo asi que este no tuvo mas muger qde á Doña Paterna. Lo mis toma cualquier preada-y la. vende á vista del mismo y de sus desgraciados hi mo sucede con otros persunages, cuya mayor parte soh fabulosos* jos, por el precio que dan; llevándosele y dejando á las familias aunque sea »Nada diré sobre la fecha del documento por haber ya demostrado 'sufi sin et…</t>
  </si>
  <si>
    <t>Ló, Ramón</t>
  </si>
  <si>
    <t>Ramón Ló</t>
  </si>
  <si>
    <t>…iente la del Sr. Gar Guadalcozar , presente; conde de Guaqui, id.; duque de Hijar, id.; conde cía Herreros. Este repuse que aun cuando eso fuese cierto, el acta debía referir de Humanes, idi; D- Justo María Ibar-Navarro, enfermo; D. Ramón Ló lo; á lo que contestó el Sr. duque de Rivas qüe en el acta se indicaba solo io pez Pelegrin, presente; obispo de Lugo, id,; marques de Malpícá, ausente; suficiente para tener una idea de la sesión anterior. Y en su consecuencia quedó D. A ntomo Martínez, presente; duque de Medinaceii, id.; arzobisp…</t>
  </si>
  <si>
    <t>Lo, Tomas Ayalde</t>
  </si>
  <si>
    <t>Tomas Ayalde Lo</t>
  </si>
  <si>
    <t>…encargue del mando del departa de su ramo. Tendréislo entendido, y lo comunicareis á quien cor- mento, en calidad de comandante general interino, el teniente responda.=Está rubricado de la Real mano.znAranjuez 4 de Abril general D. Tomas Ayalde. Lo comunico á V. S. de Real orden de 1834-=A D. Antonio Remen Zarco del Valle. para inteligencia de esa Real junta y demas fines. Dios guarde á V. S. muchos años. Madrid 6 de Abril de 1 j — Kiinirm, —S.— He venido en mandar que el presidente, ministros, fiscales y ñor secretario de la Real junta de go…</t>
  </si>
  <si>
    <t>Loarte, Juan Antonio</t>
  </si>
  <si>
    <t>Juan Antonio Loarte</t>
  </si>
  <si>
    <t>…Rafael Mi- heroicos, ¿ inclinar el Real ánimo de S. M.- a que se sirva recompensar el mé lin, capitán, segundo ayudante de ídem. D. Ramón Eulogio de Arce, teniente. rito de los que le han contraído, según fuese de su Real ¿grado. D. Juan Antonio Loarte, subteniente adicto á la plana mayor. D. Lorenzo Dios guarde á V. E. muchos años. Toledo 13 de Noviembre de 1834-= Mirroquin, sargento primero, herido en ambas piernas, y quedará inútil. Ven Fxcmo. Sr.=.\lLuel Cabrera de Ncvares.=Lxcmo. Sr. Secretario de Estado y tura Esteban, soldado. Antonio Dieg…</t>
  </si>
  <si>
    <t>Lóbait</t>
  </si>
  <si>
    <t>…en lós principios del voto universal soló se puede, trastorna^ y destruir. . .., movimiento , con- tanta: mayor moderación sé deben contener lcis desórdenes. ........ Los partidarios del antiguó régimfen abejiéan espontáneamente, Mariscal Lóbait: PrégÁíto al Sr. Marquessi-íe hallase á la cabeza dé-dual- - abandonan todos-los-principios dé órden -púbKeo y de' r es ¡Tít rj'-Tt 1 gobierno ,' se quicr fuerza armada, y viera que le hacían fuego desde las casas, «dejaría cer hacen revolucionarios frenéticos, revolucionarios cínicos; adoptan todo…</t>
  </si>
  <si>
    <t>Lobato, Vicente</t>
  </si>
  <si>
    <t>Vicente Lobato</t>
  </si>
  <si>
    <t>…sonas, cu gas encontró una pequeña facción en el término de Luciana, y la atacó con raron 54, fallecieron 47, y había 119 convalecientes. su columna, matando 3 de los individuos que la componían: que el tenien te del mismo cuerpo D. Vicente Lobato con la de su mando, »t3ndo en un reconocimiento sobre Abenojar, aprehendió 4 4osé Castillo, ladrón dé pro fesión, fugado de la cárcel de Almodóvar; y habiendo perseguido 4 sus com bolsa de comercio.___Cotización de boy á ias tres de Id tarde. pañeros , logró quitarles varias «copetas y otros efecto…</t>
  </si>
  <si>
    <t>Lobau</t>
  </si>
  <si>
    <t>…aleman que se puede haber perdido por esta parte con la separación del trono. El Presidente lee los Reales decretos que elevan á la dignidad de Par 1 reino de los Países-Bajos. Mas se pregunta; ¡Consentirá el gobierno francés! al mariscal Lobau , al conde de Saint Cricq y á MM. Cassaignolles y Reinach; í-Esto no se debería preguntar, porque si asi se manifiesta loque ya nadie ignora, después da cuenta de las cartas de varios Pares que exponen las causas por qué jj que hay que tratar , no con Bélgica, sino con Francia , su poderosa protect…</t>
  </si>
  <si>
    <t>…diatas "al salón de sesiones varias corrillos, que únicamente seis SS. AA. RR. el príncipe real y el duque de Nemours, acompañados de parecían ocupados de una sola idea. No se hablaba de otra cosa que del alboro sus edecanes, del mariscal Lobau y de varios oficiales generales han ¡do á po-, to que de nuevo ha ensangrentado las calles de París, y ha puesto en conster nerse en medio de las tropas que marchaban al ataque contra los amotinados. nación á -todos los bueqr»-ciudadanos: se .pedían noticias unos á otros, y desea Al tiempo de pasar por…</t>
  </si>
  <si>
    <t>…lítica,es destruir: saben muy bien que con el voto universal se trastorhan resultado falsos los cargos que se hacen al gobierno respecto a este asunto. - nó el gobierno en 1789; por eso lo piden ahora, y por eso nos oponemos á El mariscal Lobau dice que los amotinados se contaban por tiMlesy pero qtie logren su objeto." La reforma parlamentaria es absurda á los ojos del filóso que fuesen pocos ó muchos, hacían fuego desde las ventanas y tejados, y dieron fo , imposible para el hombre. muerte á varios guardias nacionales: fina ¡mente que s…</t>
  </si>
  <si>
    <t>Lobeau</t>
  </si>
  <si>
    <t>…de Orleaes Francia sin haber obtenido antes permiso del Rey. y el príncipe de Joinville, del mariscal Gerard, presidente del consejo y mi «Os invito por consiguiente ¿ que le impidáis la entrada en el reino* nistro de Guerra, dél mariscal Lobeau, del duque de Treviso y de un nume si se presenta en la frontera , aunque traiga pasaporte en regla: come es posible roso y lucido estado mayor, salió á caballo del palacio de las Tullerías. que mude de nombre, os acompaño sus señas. Recibid &amp;c* = Ei prefecto cU Precedían y seguían á ía Real comiti…</t>
  </si>
  <si>
    <t>Lobiu</t>
  </si>
  <si>
    <t>ro del trono, / la afqhldtiquasa María de Rusia han salido hoy pasa San Aprobada el acta de la seshrií de Jó de Agosto último, í*e;el Presiden ta un oficio ep que él mariscal Lobiu, comartdantégeóeral deda,Guardia na El duque Gustavo de Méck.Iepberg-Scheweria ha salido-para iudwigs- cional dé-París, y su término, le avisa que ha puesto á disposición de laíCáliist, el duque reinante de Nassau para Biberich, y el dijque de Brunsvrick mara^la guardia acostumbrada. En seguida man…</t>
  </si>
  <si>
    <t>Lobo, D Manuel</t>
  </si>
  <si>
    <t>D Manuel Lobo</t>
  </si>
  <si>
    <t>…administrativas sustituyan los administradores, como tercero» ministros que designaré por el ministerio de la Guerra. Y para gefes de la provincia ó partido , á los intendentes ó subdelegados fiscales de ambas salas de Marina, al brigadier D. Manuel Lobo y en defecto de contador. Al propio tiempo ha tenido á bien S. M. *1 auditor de departamento D. Antonio Castel de Torreblanca. mandar que esta resolución se entienda lo mismo en las subdelega Tendréislo entendido, y lo comunicareis á quien corresponda.^: ciones llamadas antes principales que en las q…</t>
  </si>
  <si>
    <t>Lobo, Manuel</t>
  </si>
  <si>
    <t>Manuel Lobo</t>
  </si>
  <si>
    <t>…tivas sustituyan los administradores, como tercero» ministros que designaré por el ministerio de la Guerra. Y para gefes de la provincia ó partido , á los intendentes ó subdelegados fiscales de ambas salas de Marina, al brigadier D. Manuel Lobo y en defecto de contador. Al propio tiempo ha tenido á bien S. M. *1 auditor de departamento D. Antonio Castel de Torreblanca. mandar que esta resolución se entienda lo mismo en las subdelega Tendréislo entendido, y lo comunicareis á quien corresponda.^: ciones llamadas antes principales que en las q…</t>
  </si>
  <si>
    <t>Lobo, Tomas</t>
  </si>
  <si>
    <t>Tomas Lobo</t>
  </si>
  <si>
    <t>…o, y lo comunicareis á quien cor mo objeto. (Times.) responda para su cumplimiento.=Está rubricado de la Real mano.- -___El difunto vicealmirante str M. Seymour, cuando partió para tomar el En el Pardo á 2 de Noviembre de Í834.=A D. Tomas Lobo. mando de la escuadra de la America del Sur, tenia ya la salud muy quebran „ I tada ; y era tan poca su esperanza de volver á ver su tierra natal, que en' jPortsmouth se despidió de sus.amigos con mucha ternura, y de un modo que hacia temer el fin próximo de sus días. Lady Seymour vivía en Francia c…</t>
  </si>
  <si>
    <t>Lobo, Tomás</t>
  </si>
  <si>
    <t>Tomás Lobo</t>
  </si>
  <si>
    <t>…puedan existir en las tesorerías j Idrcis lo necesario á su cumplimiento.=;Está rubricado de la Real mano.r~F.n y depositarías de Remas, para que los subdelegados respectivos los apliquen del [ Aranjuez á 1/ de Marzo de I834-=A' D. Tomás Lobo. modo prevenido en ^1 artículo precedente. 5.® No podrá verificarse función alguna de toros ó novillos en pueblo af-1 guno sin que previamente acredíten los empresarios haber satisfecho la cootaJ MINISTERIO DEL FOMENTO GENERAL DEL REINO. señalada en el artículo 2-tf; y los infractores incurrirán en…</t>
  </si>
  <si>
    <t>…lo necesario á su cumplimiento.r:Está ru minar enteramente los enemigos del trono; pero en cualquier cir bricado de la Real mano—Aranjuez á 22 de Abril de 1834- = A cunstancia vuestro alcalde mayor, si fuere necesario, sabrá aban D. Tomas Lobo. donar las tareas de Themis, dedicándose á los penosos ejercicios de MINISTERIO DE HACIENDA DE ESFA&amp;A. Marte; cuya manifestación no duda hacer á la faz de la nación, como propias de su lealtad, reconocimiento y gratitud á V. M. Real órden sobre la clasificación de los individuos licenciados con Igua…</t>
  </si>
  <si>
    <t>Loeches, Jacinto Gaona y</t>
  </si>
  <si>
    <t>Jacinto Gaona y Loeches</t>
  </si>
  <si>
    <t>…día 8 del próximo mes de Marzo. ——Por providencia del Sr. de Norzagaray, del consejo de S. M., y teoleote de cor ,1Xscvwtos forenses de D. Juan Melendez Valdés, fiscal que fue de la ¿ala de al regidor de esta villa, refreodada de D. Jacinto Gaona y Loeches, escribano dej núcalde» de la Real casa y corte : un tomo en 8.°. edición de i8ai, á xa rs. en pasta. mero de la misma, se cita por término de 30 días, contados desde este de La fecha, -■Ralbé1discursos, acompasados de los dictámenes fiscales del mismo autor, no soto— á Antonio Obiol y Huerta, hijo…</t>
  </si>
  <si>
    <t>Lofc</t>
  </si>
  <si>
    <t>…adonde desde el principio disputó se di á la estimación publica aquellos que han tenido la fortuna de poder distinguir rigiese todo eL bagage de. la división. se para que recaigan sobre ellos las gracias con que la Reiva nuestra Señora «Lofc facciosos al vemos estacionados en aquel punto, empezaron á tomar sabe recompensar el mérito y promover el estímulo de sus fieles y valientes confianza y á descender de sus inabordables eminencias; yo que esperaba y soldados, para quienes solicito desde luego el número de cruces de Isaskl ji, aperc…</t>
  </si>
  <si>
    <t>Logrado, José Eusebio Galle Scñofa</t>
  </si>
  <si>
    <t>José Eusebio Galle Scñofa Logrado</t>
  </si>
  <si>
    <t>…irección por S. M. el Rey de los franceses i M. Agustín Juan Mahclin, su cónsul en la que podían sustraerse de la penecuciun de las tropas de la Rjlimsl nurstns Caracas y la Guaira: "V el presidente de la república de Venezuela á D. José Eusebio Galle Scñofa. "Logrado ya el objeto de alejarlos de la provincia de Búrgos , y do po gos, consejero del gobierno; diendo empeñarse en su persecución i la distancia que se bailaba de ll) leguas, Los cuales, después de haberse manifestado sus poderes, han convenido en pues en este caso faltaría á las instrucciones prefijad…</t>
  </si>
  <si>
    <t>Lolikoski, Andrés Herrera y D Tadeo</t>
  </si>
  <si>
    <t>Andrés Herrera y D Tadeo Lolikoski</t>
  </si>
  <si>
    <t>…primeros Francisco Gamona y Juan Antonio Rodríguez: del re-, gimiento de Navarra, 6.a ligero, el' primer comandante D. Francisco Casti- Manifiesta su gobernador civil en oficio de 30 de Setiembre anterior, quo Ilon; los capitanes D. Andrés Herrera y D. Tadeo Lolikoski; el subteniento desde'26 á 29 del mismo mes existieron en aquella capital 109 enfermos," cu D. Francisco Galan; el sargento l.° D. Juan Valle; el cadete D. Francisco raron 37, y murieron i4 = que había sido invadido el pueblo de Comin Real: Mullen; los cabos primeros Pedro García y Vicente Eravo, y…</t>
  </si>
  <si>
    <t>Lolikoski, Tadeo</t>
  </si>
  <si>
    <t>Tadeo Lolikoski</t>
  </si>
  <si>
    <t>…amona y Juan Antonio Rodríguez: del re-, gimiento de Navarra, 6.a ligero, el' primer comandante D. Francisco Casti- Manifiesta su gobernador civil en oficio de 30 de Setiembre anterior, quo Ilon; los capitanes D. Andrés Herrera y D. Tadeo Lolikoski; el subteniento desde'26 á 29 del mismo mes existieron en aquella capital 109 enfermos," cu D. Francisco Galan; el sargento l.° D. Juan Valle; el cadete D. Francisco raron 37, y murieron i4 = que había sido invadido el pueblo de Comin Real: Mullen; los cabos primeros Pedro García y Vicente Eravo, y…</t>
  </si>
  <si>
    <t>Lomba, Juan de la</t>
  </si>
  <si>
    <t>Juan de la Lomba</t>
  </si>
  <si>
    <t>…agraciados l:L nfiyor los sugetos que mas parte habían tenido en aquella jornada , añadiendo, que tueros siguientes: han sobresalido en ella el capitán retirado D. Ramón Herran, el escribano del 27 , 3 , 77, 88 y 9. ayuntamiento D. Juan de la Lomba, el cura párroco del pueblo de Lierganes D. Jo é Gómez, que con ios oficiales retirados D. Vicente de la Torriente y El premio de 2500 rs. vn. concedido en cada extracción á las huérfanas D. Diego del Camino, D. Manuel Pendo, D. Marcelino de la Torriente, Don de militares y patriotas que murieron e…</t>
  </si>
  <si>
    <t>Lombardo</t>
  </si>
  <si>
    <t>…leza: lü confi nación en un lugar ó distrito señalado: 11 destierro perpetuo ó temporal de De Veracruz escriben con fecha de 5 de Octubre que Santana ha forma un lugar determinado. do interinamente su ministerio, y se compone del Sr. Lombardo para el despa Cuando se busca la definición de cada una de estas penas corporales, se cho de lo Interior y de Negocios extrangeros; del Sr. Lebrija para el despacho encuentra tan corta diferencia entre algunas de ellas, que aparece una especie de Hacienda ; del Sr. Mozo para el de Guerra y Marina,…</t>
  </si>
  <si>
    <t>Lona, Antonio</t>
  </si>
  <si>
    <t>Antonio Lona</t>
  </si>
  <si>
    <t>…ítero José María Alpuche é Infante ha sido para, los cunduacanecos, no pastor sino carnívoro lobo, piden igualmente (pac es supre mo gobierno dd Estado, tome a——-y-h- raptTnJn 11J ■ ■ ' — —— He tenido á I&gt;/en ¿i&lt;UnUír; al corónel D. Antonio Lona* la dimi- para que se le despoje del curato que simoniacamente ha obtenido, y por su sionque ha hecho del gobierno civil cié k provincia de (¡bruña,que criminal manejo ha llegado al punto de intolerable. desempeñaba '«4jomision i.p satisfecha dél celo con que ha servido 4*° Todo habitante de esta villa…</t>
  </si>
  <si>
    <t>Londonderry</t>
  </si>
  <si>
    <t>…torys no han podido ocultar dejas. el despecho que les ha causado la expulsión acordada entré las cuatro Potencias Dice que la ganadería vacuna y caballar forma un ramo muy considerable de los pretendientes D. Carlos y D. Miguel. Lord Londonderry suscitóla dis de prosperidad en aquel país, y que la de cerda lo podría ser aun ntayor,*¡ cusión en la Camarade los Pares sobré este asunto, interpelando agriamente ño fuefa por el enorme precio de la sal; con éste motivo describe las ventija al primer ministro, y aunque no hizo mas que hablar por…</t>
  </si>
  <si>
    <t>Londonderry, Carlos y D Miguel Lord</t>
  </si>
  <si>
    <t>Carlos y D Miguel Lord Londonderry</t>
  </si>
  <si>
    <t>…lamento británico. Los torys no han podido ocultar dejas. el despecho que les ha causado la expulsión acordada entré las cuatro Potencias Dice que la ganadería vacuna y caballar forma un ramo muy considerable de los pretendientes D. Carlos y D. Miguel. Lord Londonderry suscitóla dis de prosperidad en aquel país, y que la de cerda lo podría ser aun ntayor,*¡ cusión en la Camarade los Pares sobré este asunto, interpelando agriamente ño fuefa por el enorme precio de la sal; con éste motivo describe las ventija al primer ministro, y aunque no hizo mas que hablar por…</t>
  </si>
  <si>
    <t>Londonderry, Miguel Lord</t>
  </si>
  <si>
    <t>Miguel Lord Londonderry</t>
  </si>
  <si>
    <t>…ánico. Los torys no han podido ocultar dejas. el despecho que les ha causado la expulsión acordada entré las cuatro Potencias Dice que la ganadería vacuna y caballar forma un ramo muy considerable de los pretendientes D. Carlos y D. Miguel. Lord Londonderry suscitóla dis de prosperidad en aquel país, y que la de cerda lo podría ser aun ntayor,*¡ cusión en la Camarade los Pares sobré este asunto, interpelando agriamente ño fuefa por el enorme precio de la sal; con éste motivo describe las ventija al primer ministro, y aunque no hizo mas que hablar por…</t>
  </si>
  <si>
    <t>Londres</t>
  </si>
  <si>
    <t>…aragoza* | d. que se les admita á |a matricula lo han de solicitar del direcjtof del colegio’piór Hamburgo, 00. Barcelona, ttps. £».. Málaga* id. id% Descuentp -de ietna* medió de unTmemdrial enj papéi del sello 4-° preseñarán al secretario, Londres , 4 q0 días* Ib. . ■ • Santander * | tú á 4 p. 100 al añóí" d. , Santiago* id.aconyafiado ¡de su (é. de baptisnjp,. de la información de limpieza de sangre y 38*. Bilbao, | de su buena vida y tt»tumbres, jéqibida ante la justicia deljpueblo de su natu raleza, con ibtcrvejicion del sindicó procihado…</t>
  </si>
  <si>
    <t>Londres, Pedro de la</t>
  </si>
  <si>
    <t>Pedro de la Londres</t>
  </si>
  <si>
    <t>…de Diciembre. : 1 (Idem.') S. M. la Reina Gobernadora ha venido en conceder merced de título ____ Por él barco de vapor que ayer llegó de Inglaterra &amp;e ha sabido que en de Castilla, con la denominación de conde de Casa-Puente, ¿ D. Pedro de la Londres corría la voz desque el duque de Wellington estaba encargado de Puente Hazas, para sí, sus hijos , herederos y sucesores. formar un ministerio nuevo. Tenemos motivos para creer que ésta noticia no es- inverosímil; sin embargo necesita todavía confirmación. Es probable que este acontecíVniento, sea…</t>
  </si>
  <si>
    <t>Lóodres</t>
  </si>
  <si>
    <t>…o común, á fin de auxiliarse en caso de en Bayona, 00. zo i d. Málaga par. fermedad. Burdeos, 00. Barcelona á pesos fs. Santander * b. Ha dispuesto que todos los pueblos de la isla empiecen el 10 Hamburgo, 00. 4 b. Santiago | á 1 d. Lóodres á 90 días 37^. Bilbao ^ d. Sevilla par. de Abril un turno de jornales para la recomposición y construc París 1 g ls. 19 s. Cádiz j b. , Valencia 4 d. ción de caminos, que deberá seguir durante un mes; después de la Corulla { d. Zaragoza { id. siega empezará el segundo turno. Descuento de letras A 4…</t>
  </si>
  <si>
    <t>Lope</t>
  </si>
  <si>
    <t>…; y por lo mismo ia$ »Un erudito Procurador que ha hablado sobre esta materia, y que la ha circunstancias que ahora nos rodean, no serán las mismas. ilustrado en el mas alto grado , ha preguntado que si la España de hoy no se «El Sr. Lope2 dei Baño ha tratado de probar que no convenia una abso halla en el Citado de la Inglaterra en el año que ha citado, bienio que sus pa luta libertad de imprenta; pero ya he dicho que el primer grado es quitar la labras no hayan infundido en mi ánimo la convicción por la afirmativa. No censura previ…</t>
  </si>
  <si>
    <t>Lope, José</t>
  </si>
  <si>
    <t>José Lope</t>
  </si>
  <si>
    <t>…á sus crí menes. á darle parte de la zozobra que causaban en la población las graves cuestiones suscitadas por la averiguación que se estaba haciendo. El Rey, después de hablar La de la villa de Olmedo al mando de su subteniente D. José Lope? largamente con los comisionados, y oir con suma atención los hechos que po Varo, en la madrugada del 19 salió en busca de tres facciosos ó ladronesqua nían en su noticia, acabó diciendoies que conservaría fielmente en su memo tenían aterrado aquel país: cercó el caserío en que se albergaban, y á p…</t>
  </si>
  <si>
    <t>Lopeá</t>
  </si>
  <si>
    <t>…halagüeño presentando a S. M. una reseña de los ma Se declaró el punto suficientemente discutido, y quedó aprobado el ar lcríales que nosotros creemos ¿recésanos para que salga-este edificio con solidez tículo. ' y hermosura. El Sr. Lopeá dijo: que la comisión al redactar el siguiente había tenido «S« ha citado el ejemplo de Francia y de Inglaterra: la libertad de im Iiresenieo mismoellaestadohabía deparecidolos pueblos,hacer yúnalas mdicaciodcargas que parasobrequeellosadoptando,lasgravitan, y mapor prentaconde dese establecióToren…</t>
  </si>
  <si>
    <t>Lopea</t>
  </si>
  <si>
    <t>…ción la proposición referida, se preguntó iiñ embargo, una pudiera citar yo en que este hecho existe y se conserva. El que si pasaría á la comisión. busca un camino, por recto quesea, no puede prescindir de los atolladeros que El Sr. Lopea: «He pedido la palabra para hacer presente al Estamento tiene que pasar hasta encontrarlo. No puede prescindir de los inconvenientes -que la proposición de que se trata debe pasar á la comisión. Por lo pronto del punto dé que parte. Me he hecho cargo de este argumento, porque dura bastará recordar…</t>
  </si>
  <si>
    <t>Lopei, León de Alonso</t>
  </si>
  <si>
    <t>León de Alonso Lopei</t>
  </si>
  <si>
    <t>…iioumvc, en la comisión de Par pr iv: de iK i. dei Sr. de N ur rajara y, teiriente corregidor de esta villa se cita atrasos de U Ociada de va.es Re.oes cr» ,a corte, y en ias comisiones de ia Real a los acreedores a los bienes de D. León de Alonso Lopei. contador d- primara clase tjje toe en ei tribunal mayor de Cuernas de S. M. para que deutro de le días compa- caja eMab.ecida* en .a* pro\ih-:a.s. retían anre el expresado jirea y por la escribanía de Rava, aoompaflando los docu Lo* interesada que no acudan en el termino expresado no tendrán derech…</t>
  </si>
  <si>
    <t>Lopes</t>
  </si>
  <si>
    <t>…publi todas las peticiones (que será objeto de la discusión de cada una en particu cista , al que S. E. ha dado mas valor que yo traté de darle.” lar) bastará irlas leyendo para hacer sobre ellas algunas breves observaciones. El Sr. Lopes. : -El Sr, Secretario de Estado ha incurrido en dos equivo Prescindo de entrar en el eximen del preámbulo, porque seria materia lar caciones: primera, ha supuesto que estas peticiones son iguales á las indicacio guísima y de escaso provecho. (Se leyó el art. 1.a) -La libertad individual es nes que e…</t>
  </si>
  <si>
    <t>…ha sancionado tan expresamente e¿?e derecho el Estatuto Reai. Por esta.- .Esta es mi Opinión , expresada lo mas brevemente que me ha sido posible,” misma razón el ministerio, absteniéndose de entrar en la cuestión pendiente, .El Sr. Lopes.-. «La proposición que se discute me parece no puede serha dejado en entera libertad al Estamento, para que decída el incidente sus aprobada por dos razones: 1.a porque aunque solo se aplica al caso presente, citado. ^ „ t podría después por sus consecuencias aplicarse á los demas: 2.a porque aun en el «R…</t>
  </si>
  <si>
    <t>…tición relativa á re en los sueldos. Por lo tanto creo que la petición debe seguir de nuevo los trá validar los empleos y grados concedidos desde 1820 á 1823. (Véase el suple mites que señala el reglamento.” mento del dia 10.) El Sr. Lopes.: »La dificultad que se presenta es sobre si se ha formado Leída que fue esta petición por el Sr. Secretario Belda, manifestó el se ó no una nueva petición en vez de la antigua. Yo creo que no. Porque pre ñor Secretario Trueba, que habiéndose convenido los peticionarios en reunir gunto: ¡se han vari…</t>
  </si>
  <si>
    <t>…era Se. Procurador, pueden servimos de,norte, ya porque se leían muchos escritos , ya parque las quiere hacer alguna proposición,, que la baga.” t- sesiones eran ,ma|. largas,” El Sr. Presidente: ®Yo creo que &lt;m vista de lo que d sr. Lopes acaba El Sr. Vicedo: «El Sr. Doasecqme h*gjsyenido en cuento á que pesó de proponer , la deiieadeña de loa Sres. J'rocuradCrei les retraerá de pedir li—• á la comisión el negocio de que se trata. Por lo dama, apoyo qde se establez cencía; sin embargo, si alguno presenta semejante petición , siempre…</t>
  </si>
  <si>
    <t>López</t>
  </si>
  <si>
    <t>…jas manifiesta con lecha 26 del cor la capital de esta provincia, murió una, y quedaban 45 convalecientes. riente que la división del general, Córdoba, que estaba en los Arcos, salió el 25 del mismo para Salvatierra, y que la del brigadier López habia entrado en PROVINCIA PE VALENCIA. Logroño.. Parte sanitario de 26 de Noviembre. El comandante general de las provincias Vascongadas con fecha de 2(y, del actual avisa que la división del mando del general Latre, después de sus Pueblos. Días. Enfermos. Curados. ■Fallecidos. operaciones en Vizc…</t>
  </si>
  <si>
    <t>…” , Gualberto González, electo por Huelva. , Otro Sr. Procurador expuso que la comisión parecía contradecirse , opi El Sr. Medrano contestó estaba aun pendiente. nando un. individúo una cosa y otro otra. En seguida se leyó por el Sr. López el proyecto de contestación ál dis Sr. Medrana-. »La comisión está conforme en sus ideas: admitir las re curso pronunciado por S. M. la Reina Gobernadora én la sesión Regia, re nuncias de los qué las hagan: evitar toda coacción ó violencia á los Procura dactado por la comisión encargada al efecto;…</t>
  </si>
  <si>
    <t>…ncompleto.** garantido; este está seguro en el seno de su casa , satisfecho con el testimonio El Sr. López del Baño deshizo una ligera equivocación. de su conciencia; y si alguna vez, por el defecto inherente 4 todo lo humano, El Sr. López.: «Había pensado no hablar en esta discusión , porque creía se ve en persecución , le queda dicho testimonio, superior á todos los bienes. Mete que tan luminosos principios como los que se sientan en la petición no la Ja mano en su pecho, y aun cuando el universo se conmueva bajo sus pies, promoverí…</t>
  </si>
  <si>
    <t>…o ha gún hombre puede decirse libre si no puede expresar libremente sus pensamien- * brá de abarcar la discusión la generalidad de ellas. tos, y esto seguramente no puede hacerlo cuando entre él y la prensa, que los « Ha dicho el Sr. López , f con mucha razón, que volvemos á entrar en comunica á los demas hombres, hay un agente intermedio. Los ingleses no se una discusión ya pasada : las mismas peticiones que hoy se hacen ir las Córtes, ó creyeron perfectamente libres hasta que tn 1668 obtuvieron esta facultad sin se ponen á su delib…</t>
  </si>
  <si>
    <t>…do calificado antes el delito cometido «Se ha citado á Cronwell cuando precisamente se hablaba de su acto contra alguna ley (siguió leyendo.) despótico de cerrar ei Parlamento y guardar la llave. Bonaparte hizo un acto ••El mismo Sr. López ha dicho que se puede establecet el principio , sin semejante enSaint Cloud. Prueba de que las naciones, cuando por mil cir perjuicio de que si las circunstancias actuales no permitiesen su uso, se suspen cunstancias (que nd'ente~csta ocasión enumerar).-son ésencialmcnie monárqui al» para otro tiem…</t>
  </si>
  <si>
    <t>…meterlos: consecuencia se 6onia en marcha para Haro, permaneciendo el general Bedo en el cuarto de Mr. Bupzen no ha habido mas que tarjetas y una pipa trico ya éa Casa la Reina. lor, que conservaba cómo memoria de su hermano.: El brigadier López, reforzado con un escuadrón de caballería del l.® li Una orden de la policía prohíbe bajo las penas mas severas los tiros de gero, debía pasar al día siguiente á Viana con el objeto de fortificar dicho fusil en los jardines y en las cercanías de la ciudad. punto.</t>
  </si>
  <si>
    <t>…la aprueba, y de allí se pasa al Gobierno para que obtenga la sanción caso lo aprobaría, pues de lo contrario vaticinaba consecuencias muy funestas. Real, y la obtiene. Pregunto yo: ¿con qué autoridad ó facultad se ha estable El Sr. López: Se h¿a divagado demasiado sobre este asunto, y es necesa cido esta ley? Es claro que con aquellas que el Estatuto Real concede al Esta rio que si le hemos de concluir dos circunscribamos á un círculo mas-estrecho. mento de Procuradores, al de Proceres y al mismo Gobierno para la forma Siento no po…</t>
  </si>
  <si>
    <t>…tu hecho mas que fepetir lo que se ha dicho ayer; y yo no impugnaré lo que ayer no en los códigos; pero las bases fundamentales son aquellas. sé impugnó victoriosamente porque lo considero inútil. Sin embargo, no pue- Ha dicKa ei Sr. López que yo habia combatido este artículo: l.°bajo el supuesto de que no era exacto; alegando como prueba W obediencia que Beba Gobíerno sobre uná expresión que ha dicho el Sr. Santafé, acaso escapada de el pupilo á su tutor , el discípulo a su maestro, el criado á su amo &amp;c., pero la imaginación acalor…</t>
  </si>
  <si>
    <t>…presente en su fiel la balanza: en un lado la tabla Habiéndose preguntado si se votaría el artículo por partes, se decidió de derechos, y en el otro la de deberes, de modo que es ten paralelas, unidas, que no. j inseparables. El Sr. López: No hay motivo para que ahora se admita ninguna indica Se ha dicho por dos Sres. Procuradores que se ha supuesto sumamente atra ción. Si se reprobare el artículo, podrá recaer la tvotacion sobre la indicación sada á esta nación, que se.ha hablado de su ignorancia, que se la quiere con que ha hecho…</t>
  </si>
  <si>
    <t>…individuos, y cuyos perjuicios son incalculables.La,legislac¡ondebf cqfcq Latofre, marques de Falces, Santafé, Redondo, Vega, Coton, Vajo y Canals. tribuir á desterrar esta desigualdad que no traen los hambres de la .natqpa**88p Sr. López (de la comisión.) »Apoyado en el artículo 66 del reglamento y medir.á estos por un niveL Cuando se treta de U conscryacioa de sus,Uñateo que .acaba de leerse, voy á-tener,cl.hooor de «aplanar lo que propone-la comi chos debe hacer 4 todos igual justicia. Estos son los ptincipios que la comñtegb sió…</t>
  </si>
  <si>
    <t>…ugar oportuno el de la contestación*! dis- . opuestos, que están en*guerra abierta, guerra que mas ó menos se siente en curso de la corona.” •* - ■ toda Europa, ó por mejbr decir en todo el mundo. La ignorancia y los abusos -. El Sr. López reprodujo nuevamente los argumentos empleados en sos empeñados en entronizó á un Príncipe que parece protegerlos por un lado; discursos anteriores, insistiendo- cit-qoe la comisión no trataba de entrar- desde • por él otro, todo cuanto hay de noble, de generoso, de grande y que existe luego en la f…</t>
  </si>
  <si>
    <t>…suficiétitémente dis añasque nada U entrada de ese ejército francés, que mandado por Angulema, cutido. ....... nieto de S. Lilis, se decia el redentor de España. En tan extraordinarias cir Con arreglo al articulo 76 se encargó el Sr. López, como individuo da cunstancias; cuandola Santa Alianza ejercía su influjo hasta mas acá de los P¡- la comisión , de hacer el rcsúmeti de las objeciones hechas contra*él'proyec rfneos'j porqué tal era su poder, que dominaba en toda Europa; cuando el ejér to, lo que verificó en los términos siguiente…</t>
  </si>
  <si>
    <t>…lon cienes convenientes, por lo cual cree está en el caso de pedir se vote la tota so, Butrón, Fuster, Ruiz de Carrion, Tosquellas, Miguel, Cuevas, !*«"«, lidad.” , Caballero, Belda , y Sr. Presidente. ‘ Concluido el discurso del Sr. López, se pidió que la votación fuese no Los que desaprobaron fueron: minal. Esto originó un vivo debate sobre si recaería esta votación en haber Coton y Zúñiga , Fieix , Hubert, Serrano, Martinez de la Rosa, Toreno, lugar &amp; votar el ysroyecto en su totalidad* ó solo en votarle. Se leyeron va Moscoso , G…</t>
  </si>
  <si>
    <t>…está un punto suficientemente discutido, para que nos atengamos y los ha habido hasta en la misma religión divina, curo lugar ha ocupado mu i él.» chas veces el fanatismo, la ley que se crea mas conveniente; ó si no basta, un El Sr. López,: «No hay en eLreglamento ningún artículo que lo prohí Mateas corpus ó suspensión temporal en circunstancias extraordinarias. ba. Es verdad que se dice en ¿1 que puede pedir uno de los Sres. Procuradores «En consecuencia, pues, de todo lo ditho concluyo manifestando asi que se pregunte si está el p…</t>
  </si>
  <si>
    <t>…y á propósito «el olvido «Esta alianza asegura la causa dé la liberta I en todo el mundo; pues de sus antiguas instituciones” frase que lo abra/a todo. marchan al frente de ella y de la civilización las dw Naciones mas poderosas. Sr. López-. La comisión que ya ha dado la mejor prueba de su buena fe Creo por lo tanto qué no estaría de mas alguna expresión de parte del Esta se conforma sin dificultad porque solo desea que se expresen ideas , y no repara mento que manifestase su adhesión á un punto tan importante. La comisión en puras palabr…</t>
  </si>
  <si>
    <t>…; se apróbo «1 párrafo plantearla hubo que vencer, infinitos obstáculos, que ¿empresentan siempre cuan* ’ legan lo había presentado la comedón. . . do se crea una cosa que no está en armonía con las ideas de los que mandan y . El Sr. López,-después de unas cortas reflexiones acerca de ló oportuno qa* á que no están acostumbrado» los que obedecen* Uno de los mayores beneficios le ba parecido á la comisión hacer las iadicaciones coctenidas ett el párrafo 9.°, que. hizo S. M. la RbIna Gobernadora ha sido el de.pristarse desde. Juego 4 l…</t>
  </si>
  <si>
    <t>…ales, no es exacta riores á Watt y á Hersr¿heJl ; y ahora que me acuerdo de estos hombres céle en mi concepto, pues es todo lo contrario. Sin duda esta suposición proviene bres en las ciencias físicas, diré , que no »é por qué el Sr. López, impugnando, de una equivocación nacida probablemente de no habar podido presenciar lo» el «xioma que ha sentado el Sr- Martínez de Ja Rosa, que la reacción ea sucesos de aquella época por ser muy niño. igual á la acción, ba asegurado que esto era antiguamente, que ahora ya no « Entre los varias co…</t>
  </si>
  <si>
    <t>…omínguez, Carrillo', Lasanhi, P-aJaxea» Accvedo. Flore/ Estrada. Trueba. «-No quiero pasar en-silciiücr~hPrec5ñvencton que el Sr. condé de Tore— Calderón, Morales, De Pedro, conde de Almodovar , Subercase, conde de po ha hecho al Sr. López sobre la comparación del ano de 12 con la época Hust, García de la Maza, Fustcr, Butrón, Laborda , Ortiz de Vclasco y actual. Ha dicho el Sr. Ministro, que quién se hubiera atrevido entonces á es Polo Monge. cribir en favor de Napoleón. Yo creo que habría menos en el día que escri Los que desaproba…</t>
  </si>
  <si>
    <t>…sidente anunció que se iba á continuar la discusión que ayer pecto á las utilidades que ha traído y puede traer, puede ser opue.ro ni i» quedó pendiente. distinto el dictamen de los Secretarios del Despacho, y el de todos los Pro Sr. López: »Como individuo de la comisión voy á presentar al Estamen curadores á Córtes. to el párrafo cuya discusión quedó pendiente en Ja sesión anterior; y io pre «Por lo que hace á las bases ea que deba asentarse esta institución, e»o es sentaré modificado del modo que la misma ba creído mas oportuno, po…</t>
  </si>
  <si>
    <t>…robado este ser á una igualdad no quimérica , sino la compatible con^ei óiden/establecido- . párrafo. ■ / ’C / ' en la Sociedad. Pero , según se expresa la comisión, parecerá ^ y especialmente ' Leído el párrafo 13*° manifestó el Sr. López que la comisión no tenia fuera de España ,que este es el país en que las leyes han sido mas monstruosas, inconveniente que en vez de «esencial salvaguardia” se dijese «interesante sal enque la desigualdad legal es mas intolerable, cuando cabalmente ha sido to vaguardia” ú cosa equivalente. do' lojc…</t>
  </si>
  <si>
    <t>…, quedó iprobado este ■ser á una igualdad no quimérica , sino la compatible cancel,'óíde^establecído ^párrafo. - .. en la sociedad. Pero , según se expresa la comisión, parecerá, y especialmente Leído el párrafo 13.° manifestó el Sr. López que la comisión no tenia fuera de España , que este es el país en que las leyes han sido mas monstruosas, inconveniente qíie en vez de «esencial salvaguardia” se dijese «interesante sal cit.que la desigualdad legal es mas intolerable , cuando cabalmente ha sido to- vaguardia” ó cosa equivalente. (i…</t>
  </si>
  <si>
    <t>…Cuartel general de Bnviese* 30 de Noviembre de 1834*=Exgroño, dejando asegurados los puntos de aquella orilla del Ebro, para poner celcnttsimo Sr^sjosé MansosEscmo. Sr. Secretario de Estado y del Despa-~ se en comunicación con el brigadier López que se hallaba en Viat» fortifi cho de la Guerra. cando su recinto, y concertar las convenientes operaciones: reunidas con esta i motivo las tropas de ambos gefe», marcharon por la izquierda del Ebfo y por K1 comandante de intuí de Calahorra con (celia 29 de Noviembre dice</t>
  </si>
  <si>
    <t>…io de que para lo sucesivo El Sr. Medrano: «Respecto á que ha manifestado S. S. que en la ley acordase el Estamento las reglas que creyese oportunas. de elecciones no hay una sola palabra que indique que para ser elegido Procu El Sr. López: «Yo no encuentro ninguna razón que milite en favor del rador se Dcccsite estar en.posesión de la renta requerida, el art- 35 dice (lo le dictamen de la comisión , 7 antes al contrario estoy por el voto particular yó). He manifestado anteriormente que este artículo no está en contradicción presenta…</t>
  </si>
  <si>
    <t>…do en este sentido el conservación, y ponen el cetro en las manos bienhechoras, designadas ñor ¡a con proyecto de ley los Señores Ministros. veniencia general y por la justicia, negándolo á las que no tienen otro titulo que el El Sr. López: «Los Sres Trueba , Bendicho y Acevedo, como igual crimen , ni otro derecho que la riolencía á que vanamente aptian. Lo» españo mente el Sr. Mantilla, que acaba de hablar, han examinado la cuestión prin les todos, representados por sus Procuradores, y rodeando ei trono de Kabi-i ti, cipalmente por…</t>
  </si>
  <si>
    <t>…contradice, por lo cual no to que todos estamos conformes en la esencia, para evitar interpretaciones me puedo con/ormárme con su aprobación.” parece qué el articuló estaría completo, expresándose laí última parte de él asi: — El Sr. López: "La petición, según está últimamente concebida, rio traté "en la forma y casos que ordena ú ordenare la ley.” de otra cosía que de asegurar ese derecho positivo que tienen los hombres de Declarado el punto suficientemente discutido, quedó aprobado el artículo ser iguales ante la ley y de ser atend…</t>
  </si>
  <si>
    <t>…estamos como tkles individuos. L* comisión ha presentado dos cuota sino á los pueblos que tuviesen mas de LOá almas. .variaciones al artículo propuesto por ct -Gobierno: primera, la de sustituir el «La observación que ha hecho el Sr. López, de que no se expresa clara nombre de Guardia nacional ai de Milccia urbana: segunda, la do poner en mente los que deben ser excluidos, es muy oportunaporque en este caso se el párrafo último del articulo la palabra ordrnan&amp;a en vez de reglamento. Una hallan los ex-voluntarios realistas, entre los…</t>
  </si>
  <si>
    <t>…n; porque aunque aquel no le sa «i© por.eso se dirá, que recae ninguna especie de mala nota sobre todo, el que tisfacía , le parecía mejor que este. se halla en este caso , sobre todo el que cobra ün estipendio del Estado. No, El Sr. López dijo que sin duda el Sr. Secretario del Despacho de Hacien señores, el soldado , como el Miliciano urbano, cada uno en su círculo es díg da se había equivocado atribuyendo al Sr. Trocha lo que no habia dicho sino ito de la consideración y aprecio de sus conciudadanos: si el uno tiene estipen el; pe…</t>
  </si>
  <si>
    <t>…Nación; y si han admitido la palabra Cortes, que antes del inconveniente que han presentado algunos de los señores que me han pre repugnaban con igual encono, no tendrán repugnancia en admitir otras cosas cedido, en particular el Sr. López, sobre dar entrada en estos cuerpos i clases de la época pasada. * determinadas, ó á individuos que no participen de la decisión y entusiasmo de «Todo el mundo sabe que existen en la Nación dos partidos numerosos, los actuales. Efectivamente será un mal el poner las armas en manos de perso cuya fue…</t>
  </si>
  <si>
    <t>…ar si queremos terminar estas discusiones, tamento que no tomaba en consideración la del Sr. Ferrer. Lo que ayer dijo el que yo de todo corazón hubiera deseado soportasen en su origen, y que han Sr. Puche, y hoy ha manifestado el Sr. López , explica y demuestra el sentido nacido de no haberse consultado desde el principio al Estamento el sistema y objeto de la proposición, sin que yo necesite molestar al Estamento exten que debería haberse adoptado para el examen del proyecto de ley sobre presu diéndome mas sobre este punto. Mi inten…</t>
  </si>
  <si>
    <t>…ente sorprendida y derrotada en la Molina con mu—, tinué mi marcha para Logroño, donde llegué por la tarde y encontré, cual cha mortandad , llevando sus restos en precipitada fuga por la sierra que desde, me lo había figurado, al brigadier López con su fuerza, de 205 hombres del re dicho pueblo se dirige al de Oña. Esta noticia ha sido confirmada por varío*, gimiento de infantería de Castilla y ljá-de Valladolid: supe que el coronel paisanos de los enviados á explorar, y por el oficial que comisioné desde aquí, Amor y brigadier Marcilla ha…</t>
  </si>
  <si>
    <t>…observaciones se juzguen oportunas sobre ú mayor ó menor bramientos Reales.” extensión que se da al artículo.” El Sr. Medrana: «Reclamo la observancia del reglamento: la petición El Sr. Rivaherrera : "Haciéndose lo que propone el Sr. López; es de que se presenta es del todo nueva, y debe correr los mismos trámites que la cir, discutiéndose la totalidad, y reservando para los artículos la variación he primitiva.” cha , no tengo inconveniente en conformarme con que siga la discusión, por El Sr. Presidente: «El reglamento nada babla sob…</t>
  </si>
  <si>
    <t>…a llegar á la misma, después de haber fortificado el convento de S. Francisco de Tafalla, condu ALEMANIA. ciendo un convoy de municiones y zapatos procedente de Aragón; pira Tomar el mando de la división que se le ha confiado. El brigadier López ha bajado á Francfort 15 de Setiembre. la ribera á tomar el de la caballería y la infantería unida á ella. Eí brigadier O-Doyle condujo desde Vitoria á Pamplona, donde entró el mismo, dia 8, un Hemos recibido la noticia de un espantoso incendio ocurrido en Moscou. convoy de fusiles, lanzas, municio…</t>
  </si>
  <si>
    <t>…e pueda cerrar la discusión mientras haya un Sr. Procurador tes que pereciera la Constitución en Cádiz. que tenga pedida la palabra.” No se tomó en consideración. '«Condenado yo, sin ser oido, amenazado con pena de muerte, se— El Sr. López pidió que se preguntase si estaba cerrada la disensión; y he * pultado en una prisión, rehusé hasta defenderme, porque creí que un dipu cha la pregunta, el Estamento decidió que no por 63 votos contra 59- En con tado de la N cion se degradaba con someter á un juicio sus opiniones. Asi secuencia , y…</t>
  </si>
  <si>
    <t>…siempre dará una contestación cuando se le pida en la1 forma pres provincia de Huelva. crita en la ley fundamental. Esta la sostendrá siempre hasta el último extremo, Sr. conde de las Pravas: «El asunto de que acaba de tratar el Sr. López persuadiéndose al mismo tiempo que la mayoría de los Sres. Procuradores me parece tan vital, que suplico al Sr. Prendante señale día para que se dis aplaudirá su conducta, pues de no observarla le exigiría su responsabilidad. Por cuta , á fin de que podamos sentar la primera base para sostener la c…</t>
  </si>
  <si>
    <t>…es, y^eito puedédp£ir»e'; ^lvnvez^tpnmrOf., íeb^;.Pzr^jajhk.!ipqt ,1a.provincia de Córdoba - poyos quesería Id mismo que tocar á rebato.’’ v- " poderes fuerpn.desaprobado?,,*en (pupa .instancia, pide se ,Je concedas&lt;d término, El Sr. López.; «Retiro la proposicioo, reservándomela facultad depo cooveniénte para justificarlós. ~:j,. 5,, j:.;,-.; ,.,1 í-- dioha ins»nciai por-nerla en forma de peticion,y al mismo tiempo hacer Us acljúraeionesquccor Jjicomisión es de drélimenqueno s*tdebe aocederi responda. Finalmente , «1 art. 110 habla &lt;…</t>
  </si>
  <si>
    <t>…se las da ría por las bocas de los fusiles. Pueblo*. Día*. Enfermo*. Curado*. Fallecido*. Zumalacarregui se puso el 9 en movimiento para Lerin; pero contramarchó , sabedor seguramente de que lo había ocupado la noche anterior el brigadier López, retrocediendo á los puntos anteriores, de los cuales salió el Alcanar......... . SOOct.á l.°Nov. 18 10 00 Jü, tomándole! camino de Falces hacia Miranda. Llldecona. . . . 26 ídem á idem- 82 12 19 A ota. En la capital y en la villa de Reus continuaba en buen estado !a salud púhltca: la ciudad de Tor…</t>
  </si>
  <si>
    <t>…y tendré la dulce lies tiene esa renta anual, ¡qué hay que dudar? El Estatuto Real dice qua satisfacción de sentarme al lado de tan digno compañero.” tenga renta propia, y no dice que tenga renta emanada de bienej propios; de El Sr. López: «Lo que acaba de decir el Sr. preopinante respecto á im consiguiente, el Sr. Argiielles se halla con todas las garantías necesarias, pues parcialidad, se extiende, poco mas poco menos, á todos los individuos del Esta tiene la renta de 129 reales, y eso le da la apetecida independencia , ademas men…</t>
  </si>
  <si>
    <t>…Octubre. El general Córdoba llegó en su_seguimiento el 12 á Logroño , y al ama necer del 13 debía salir para Haro con su división, y la fuerza de caballería é Pueblos. Dias. Enfermos. Curados. Fallecida^. infantería del mando del brigadier López que cubre la libera : el brigadier Oráa con la suya se corría por la montaña hacia Peñacerrada , y el mismo día 13 entraría en Miranda de Ebro, procedente de Vitoria, la división del briga dier O-Doile, mientras que las tropas del mando del genesal Manso marcha Ayuelas......... .. 29 Set. á 6 Oct.…</t>
  </si>
  <si>
    <t>…ucional, sino que únicamen liación y de.equidad, que-ha defendido el minutecio como conveniente cn.teo-, te había hablado de-la. revalidación de los títulos adquiridos legítimamente. iía, lo haiseguido tinibicn en la práctica. £1 Sr. López ir, Después de haber oído el extenso y enérgico discurso de, «Tratóse de establecer el Estamento de Próceros;, y para esta dignidad,, nuestro dignísimo compañero el Sr. Alcalá Galiano, poco podié yo decir que hereditaria en unos y vitalicia en otros, tal fue la forma que se dió -á esta ins contribu…</t>
  </si>
  <si>
    <t>…s naturalmente de nuestras libertades, si no hay contra ellos El Sr. Secretario dtl Despacho de Estado’. «Desharé algunas equivoca pruebas convincentes de su criminal conducta, al menos son altamente sos ciones que ha cometido el Sr. López. E»ie Sr. Procurador ha citado un hecho pechosos , y por conguiente deben ser separados de sus destinos. «Quién ser» personal sobre el cual no puedo menos de hablar, dando al mismo tiempo gra vira mejor Ja justa causa que defendemos, el qüe por sus mismos principios cias á S. S-, porque me ha proporci…</t>
  </si>
  <si>
    <t>…en la ¿pocaposada, lo queam-juentes- « Los Secretarios del Bes pacho, como ha insinuado el Sr. Prendante del -cró áotros menos felicesi .--r ¡ Consejo de Ministros*' están «a un todo confornies con el principió que quiere . viJJl Sr. López ha insistido en la idea -dequeestaban protegidos «Üiorm e»- establecerse en le materiadequesebabla, esto es, cotael de reoonocs» la legi peciahnéme varios de iós.que -sirvieron ó fueron amigos de Catomarde. -Siento timidad de los' actos del tiempo constitucional, en tanto cuaoto^ean compati mucho q…</t>
  </si>
  <si>
    <t>…12 fue Lorenzo atacado por los mismos en deró de la siena, á tiempo que nuestro centro, cargado por dos fuertes masas, el Carrascal % y dejando el convoy escoltado con la fuerza mas precisa, sos estuvo vacilante, y que el bizarro brigadier López, sostenido por los batallo tuvo dicho general una reñida acción con los rebeldes, obstinados y prevali nes del Infante de mi 2.a brigada, atacó con su caballería á la enemiga, á la dos de la superioridad del número. En tan críticos momentos apareció en la cual y dos masas arrolló en la marcha. acci…</t>
  </si>
  <si>
    <t>…ia no puede exigir ninguna retribución del que ya presta los batallones de Milicia nacional que concurrieron allí, principalmente loa de otro servicio. la heroica Milicia de Madrid, tenían en sus filas un gran número de emplea El Sr. López manifestó que los jueces de partido no debían estar comdos ; y en verdad que estos , sin fallar á sus obligaciones, hicieron servicios ma preadidos en da primera parte del artículo, sino en la segunda, es decir, que ravillosos, ydieron un ejemplo muy útil á los demas; pudicndo servirnos aho no se l…</t>
  </si>
  <si>
    <t>…ículo, «El hombre á quien sus conciudadanos marcan con el sello de la reproba debe aprobarse sin quitar una letra, conforme lo presenta la comisión.” ción, ó ha de\desppjarse de todo sentimiento de dignidad y de amor propio, ó El Sr. López: «Veo con disgusto que en esta materia estoy en absoluta tiene que declararse enemigo encarnizado de aquellos que han comenzado inju contradicción de ideas con el Gobierno, y aun presumo también que con al riándolo. gunos compañeros mios de Estamento. Esta consideración penosa, sin embar «Yo creo q…</t>
  </si>
  <si>
    <t>…munes que defer.drr; para que la divergencia de opiniones, cuando no písen á nuestras esperanzas.” delitos, se confunda y desaparezca. Estas no son teorías, son hechos. En Fran El Sr. Secretario del Despacho de lo Interior'. «El Sr. López, reúrfén- cia mismo se estjn rxndo *n los sucesos iVtimos pruehis de asta lid : per dose á Us palabras que he citado de un general francés (el general Lamarque sonas de opiriores diversas han contribuido 2 sostener el orden ; porq-.:» h¿y ei que tuvo una gran parte en la pacific icion de los depart…</t>
  </si>
  <si>
    <t>…gunos cultivador» chinos de las provincias mas ‘ El comandante general de las dos Riojas desde Logroño manifiesta en un famosas por el cultivo y preparación de este vejetal, y han dado lecciones á parte del 11 que la división del brigadier López se había puesto rápidamente en los habitantes. El té de Java de diferentes calidades, llevado á Holanda por movimiento desde Viana en dirección de los Arcos, y que los enemigos se ha el gobernador general Mr. Vanden-Bosch, hoy ministro de las Colonias, y llaban en el valle de la Bcrrueza. que habla…</t>
  </si>
  <si>
    <t>…S&amp;'Áticf íÓ1tóniWipos¡t«vanie¿«i ¡simo lo asunto mientras haya;algún Sr. Procurador que quiera hablan? , rs.-.;, &lt; ,u; &gt; • gastado .ert Í.03Íjj‘ qúS'tífflros si^ihÉS llsf; considerables rofotínas 1 ' El Sir. Vicepersistente'. «El Sr. López hadicho lo qué teréosdebo decir , á qúe S.; M-» cón w„Píudente econ'0^i;y :su tJéáe3:(fe ál!v'iar á los -pueblos* ¡ha saber: que mientras haya un Sr/Procurador.que quiera hablar, no se dé el asunhecho de utááfípX'esta paite, e¿iíar&amp;'qhé no pódeihbsfijarsilos 28,108 30 to por'discutido. Se acaba de…</t>
  </si>
  <si>
    <t>…; la grande extensión ce con fecha 12 del actual, desde Pamplona, que el 13 salía de aquella plaza del patio general; las salas d&lt;? la enfermería, y finalmente, la misma iglesia, para revistar las divisiones dei general Córdoba y brigadier López, que se ha presentan una limpieza y curiosidad inmejorables,, y el todo forma un cuadro llaban en Círauqui y pueblos inmediato*, de donde se había retirado ¿iun4halagüeño. Este esmerado aseo en todos sus ángulos, unido á los cuidados que lacarregui con su facción al aproximarse nuestra* tropas. te…</t>
  </si>
  <si>
    <t>…Por noticias que da el capitán general de Aragón parece que el 1J d« V ¡liada............ 7 á 10 id......... 5 2 2 tete mes por la tarde entró en Puente la Reina el general Mina, escoltado por Ja brigada de la Ribera que manda el brigadier López. La división del general PROVINCIA SI SANTANDER.Córdoba ocupaba los pueblos de Cirauqui y Mañeru, y Zumalacarregui con su facción se hallaba á dos horas de distancia en Azcona y Abarzuza. Parte sanitario de 11 de Noviembre. Putblo*. Día*. Enfermo*. Ce rada*. JBilrcidea. ESTADO SANITARIO DEL REINO. PROV…</t>
  </si>
  <si>
    <t>…«Respecto de la segunda acción, sostenida por los generales Córdoba, ro de 1-951,000 rs. No cree sin embargo la comisión que se hiva Oráa y López, que tanto se han distinguido, no sabia mas el general Mina que lo que le decía el brigadier López, que concuerda con el parte dado por el ge llegado al mínimum de los gastos en este ramo; y tratando en pri mer lugar de los actuales , propone en ellos las reducciones siguien neral Córdoba, inserto en la Gaceta de hoy. Ademas me dice el general en tes: Id En la Embajada dé París 100,000 rs. sobre…</t>
  </si>
  <si>
    <t>Lopez</t>
  </si>
  <si>
    <t>…onformarme de manera ninguna con otro dictámen que el de la mayo solo,cobró visor y fuerza para.resistir al invasor, sino hasta para lanzarle de ría de la comisión.” " r' 1 •• í ‘V.'j.i ___________ 1:__ai_____j___ ' _____ , j. El Sr. Lopez- dei^Batfo: 4&gt;Señor, el asunto que ocupa hoy al Estamento abrazp cuatro partes muy diferentes entre síj, cada- una de lá$.cuales contiene por ción de disposiciones particulares. Por consiguiente el resultado de la discuMon, rosta jr.yrstableaepdo el órden de suceder conforme á las .antiguas, leyes.…</t>
  </si>
  <si>
    <t>…e si ha lugar á entrar en la discusión particular de los artículos que ca que medió entre el contrato y el reconocimiento. Pero verificado este por comprende. ” por el Gobierno español, conforme entonces estaba constituido, se Hl Sr. López,-. »La materia que boy discute el Estamento es una de las de obligó la nación; sin que yo crea que es del caso el descender á los medios que mas gravedad y trascendencia, y sin duda también una de las de mas dificultad. se pudieron emplear para aquel reconocimiento. Entrar en su examen seria me Un…</t>
  </si>
  <si>
    <t>…Yo no lo sé, jo no lo sé. rios. Se dice que 200 millones : será porque la comisión y el ministerio ha ••Los señores que han opinado en contrario ya entiendo que e-Urán di brán visto que no se necesitan mas. Recordaré una idea del Sr. López , la cual ciendo: «eso no es entenderlo; V. no ha escuchado mas que lo que ha queestará grabada en el corazón de todos los españoles: •&gt; quisiera, si fuera posible, »rido: nosotros no sostenemos que se apruebe el empiéstiic de Guebhard por que la guerra se finalizase como por ensalmo” , es decir ,…</t>
  </si>
  <si>
    <t>…os urbana, que igual número del ejército permanente, y también por los perjuicios por el orden con que esten inscritos, ó bien los mas jóvenes.” que puede causar á las familias la ausencia de los propietarios mayores, y de la. El Sr. López, del Bario: «En orden al sorteo, podrán sustituirse los gente de mas facultades de los pueblos, pues cómo ha dicho muy bien el Sr. Bclda, medios que indica el Sr. Secretario del Despacho de Hacienda; mas yo voy á los jornaleros no entrarán en este número, porque están exceptuados del alista hablar…</t>
  </si>
  <si>
    <t>…n , siuo que.la abrevie ¿o pcs.o.c p¿ia, que ia» comisiones den libremente su dictamen, examinen, modifiquen , des ocuparle en otras mus ínteres .mes.” aprueben los proje^tcs de ley que py\cn a eóas. Nada de eso: esta en sus faÜi Sr. López: ” La proposición sobre que gira la presente discus'oo es la cull idc» haccrio; pe*o si por el medio que ahora se pretende quedaren los yro dei Sr. Medrano, relativa a que el Finiamente dccUre c-Ur»c tn ei Caso cei ar yrUos de i y arrinconados , por decirlo asi, y no recayese resolución sobre tícul…</t>
  </si>
  <si>
    <t>…Gobierno? Ninguno. Es, Sr. Vicedo. pues, evidente que los dos artículos citados ofrecen la norma y pauta que tene Los Sres. que la aprobaron fueron los siguientes: Otazu,Cano Manuel mos obligación de seguir. EQué ha contestado el Sr. López á este argumento ? (padre), Rodríguez Paterna , Osea, Vitoria, Somoza, Clarós, Marín, Men», Ha expuesto una reflexión que está desvanecida por la letra del mismo artícu— Llano Chavarri, Tonens y Miralda, La Riva, Kivaherrera, Domccq , Mi lo? puesto que ordena que se discutan las disposciones partic…</t>
  </si>
  <si>
    <t>…oposición pase á la comisión de Go ceder i ella era abrir la. mano á semejantes peticiones. bierno ipterior, creo que no hay necesidad de ocuparse de ello.” El Sr., Mfdrano : »Conso coinpafi.ero de comisión y amigo del Sr. La- El Sr. -López: « Cuando se empezaron las tareas del Estamento hubo mus torre, he sido testigo de sus padecimientos, que no son de boy sino de mu chos que quisieron tomar á su caigo la empresa del diario,de Córtes; y yo no chos dias : este señor, llevado de la delicadeza que le anima, ba hecho cuantos veo inconve…</t>
  </si>
  <si>
    <t>…principio á sus trabajos, por el pun do al gobernador civil de Santiago que informara sobre este pixticular. Efec to de la formación &gt; y sustanciacion de las causas. tivamente han correspondido, contestando de una manera exacta. Sr. López, como individuo de la comisiqn: «La comisión encargada del «El Sr. Secretario de Gracia y Justicia me ha informado hace pocos día^ examen del proyecto del Código criminal, despues.de un detenido examen, ha que ha satisfecho su intención; que el voto está sujeto á cicrfís cargas , y que creído que d…</t>
  </si>
  <si>
    <t>…lOOi el febrádafti'enc que pagar, aunque se arruíne y venda Susceptible de alteración. ’ . cuanto tiene&gt;,timpcis¡bí1itándb¿eld¿ ésté(modo para continuar sus trabajos cn cí , «Omitojél repetir oiras reflexiones indicadas ya por el;Sr. López deUfe-^ afló siguiente. Ésta'cdntrlbuciórt es pof consiguiente injusta en sil esencia'^ éh ¿o., y cumplo con iiacer presente este abuso, que yo conceptúo decanta grave el modo dé cobrarla. ? . _ T " - dad* y tan dignó dé tomarse en considerecion, que no debe ser motivó para que »Ha:dÍGf¿&gt; un señór…</t>
  </si>
  <si>
    <t>…los dos opuestos extremos.” icano manifiesta deseos de conocer la opmüm del Gobierno, y no puede ha El Sr. Galiano deshizo varias equivocaciones. cerlo él Sr.1 Secretario dé Hacienda por estar elt despacho con S. M., ni el de El Sr. López manif«tó que había tomado la palabra en contra de la pe lo Interior por hallarse igualmente Ocupado, voy á tratar de satisfacer los de tición por hallarse persuadido de que su aprobación produciría, en vez de ven seos de S. S.’La'ópinion del Gobiernó es como la dél Sr. Procurador á Cór- tajas, cons…</t>
  </si>
  <si>
    <t>…tición : solo he llamado la lágrimas de dolor y de miseria. Tales vejaciones no deben tolerarse , y menos atención del Estamento para decir que no se confundan las dos cuestiones.” Ja causa que da lugar á ellas: en esta virtud El Sr. López: «Me parece que no se ha examinado la cuestión bajo el «Los Procuradores del reino piden que sea abolido para siempre el Voto punto de vista que debiera mirarse; y me atrevo á decir que el reglamento no de Santiago, y exentas las provincias de p-igar eite tributo, condenándose los permite suspender…</t>
  </si>
  <si>
    <t>…as oportunos para evitar los inconvenientes qtie he ma&lt;¿ de Calahorra, punto en que se suponia haber sucedido la batalla que originó nifestado.” el privilegio* La decisión de los tribunales fue favorable á estos, y los declaró El Sr. López: »Si el objeto de esta discusión fuese solo preparar el jui exentos.del pago del Voto. ¿Cómoera posible se hubiesen eximido, especial cio de los Sres. Procuradores sobre el apunto, seria muy dificib; pero fio es dd mente Calahorra, si hubiese sido cierto el privilegio? ¿Cómo hubieran perdi creer ha…</t>
  </si>
  <si>
    <t>…consiguiente el temperamento que puede adoptarse es que pase ■, Valerxia.” al Gobierno, y que el Estamento no se ocupe mas de ella.” Se leyó la petición sobre las ventas de bienes nacionales desde 1820 á 1823, El Sr- Brida-. "El Sr. López trata de un asunto aislado. Yo no creo que que á la letra dice asi: haya inconveniente en que el Estamento adopte estas exposiciones s:n salir de las Señora: Los Procuradores del reino, convocados por V. M para escu reglas y. facultades que le están concedidas. Se dice por un particular que esta ch…</t>
  </si>
  <si>
    <t>…Procuradores, cuyo* comandantes debían estar k la irr3— go, tiene la renta propia suficiente para ser Procurador, y ocupar su asiento mediata disposición, de los Sres. Presidentes de ambos. El Estamento quedó en como tal. terado. Sr. López: «Me parece sumamente sencilla la cuestión presante con solo Se dió cuenta de an oficio dd Gobierno que acompañaba Ama represetíta- «tenerse al sentido material de las palabras del Estatuto Real, que dice que cion del Sr. de Romararc, Procurador nombrado por Vizcaya , *en que exponía para ser Procu…</t>
  </si>
  <si>
    <t>…etras, 1 id. **p. 100 al año. La facción navarra parece que se halla eü las Amescuas. La división del Londres,JE#. 4 90 días, Bilbao*8 á i £id.d. .Santiago,Santander,4 d, general Córdoba Salió aquel dia para Salvatierra, y la del brigadier López es taba en ViatMs El gobernador civil de Albacete con fecha de 25 de Noviembre da parte ANUNCIOS. al Gobierno de las funciones y regocijos públicos con que se han celebrado en La abeja enciclopédica, ó sean nociones razonad» de todoa los conocimientos hu varios pueblos de aquella provincia los días…</t>
  </si>
  <si>
    <t>…creto que dieron en teres-de algunos, y 'recibid^ pbH lá 'ignorancia del vulgo. El famoso rucnióríál tonces las Cuites fue -■ que quedaba abolido el Voto de Santiago; pero á nadie 4i topezj» Ace ve do, la memoria redactada por el Sr. López, los iuminosps ocurrió el dar á la ley un efecto retroactivo, según solicita el Sr. preopinante. 4iScurs0sa[tlí se protruhrfardn éb fas Cortes de Cádíé, y entre ellos muy par- Aun en los cuerpos representativos mas violentos no ha sucedido nada de esto: tücKbrnteme 1bS dé lts Eres. Ruii. Padrón y '…</t>
  </si>
  <si>
    <t>López, Agustín</t>
  </si>
  <si>
    <t>Agustín López</t>
  </si>
  <si>
    <t>…Bonrosa, esta opinron PROVINCIA DE SEVILLA. triunfa de' los eSÍiiérXos combinados dé dos partidos. . ' Sr. D. José Alvarez Sotqngyoy, conde de Huta. "fáns ha &lt;&amp;&lt;)o la señal f él ejemplo. Éste pueblo que durante iS años ocupó Si*. D. Agustín López del ¿año. . Iá vanguardia fcü la lucha contra un poder contrario a la libertad, reclama hoy Excmo. Sr. Marques de Monsalud. él ¡nísmópüesto contra las faccioOes enemigas del orden público. Sr. D, Juan Morales y Cortinas. Cuidado con no engañarse i losmismps electores son los que nombran; l os mis- Sr*…</t>
  </si>
  <si>
    <t>López, Alejo</t>
  </si>
  <si>
    <t>Alejo López</t>
  </si>
  <si>
    <t>…stración general estableci de Aranda de Duero á D. Ramón Pardo y Osorio: para la de Cabuérniga á da en Zaragoza, por la que se comunicarán las órdenes competentes á los encar D. Andrés Gabriel Cánovas: para la de Castrourdiales á D. Alejo López de gados de arboledas de dichos distritos para que suministren los que se pidan. la Caller-para4a de Villrrarr:edc a D. Canuto Cevallos: para la de Ramales á D. José Navas: pora la de San '^ícente de la Barquera á D. Segundo San á para para la de Escalona y Galves: la de Cíñete Ripoll Juan: i D. J rol…</t>
  </si>
  <si>
    <t>López, Antonio</t>
  </si>
  <si>
    <t>Antonio López</t>
  </si>
  <si>
    <t>…paRa. HOLAN'DA. Tamstuiipas 17 de Junio. Haya 22 de Agosto. Al supremo gefe del Estado libre de S. Luis de Potosí. S. Mí la Reina de Inglaterra, de vuelta de su viage á Alemania, se ha Excmo. Sr: En la comunicación que el general D. Antonio López de embarcado el 19 en Helvoetsluis á bordo del Real yacht, Real Jorge, el Santana ha dirigido el 31 de Majo i Las Cámaras de la Union, veréis que ha cual acompafiado de tres barcos de vapor ha dado la vela inmediatamente. pasado los límites de sus poderes légalo, y ha trastornado la Caita federal inte…</t>
  </si>
  <si>
    <t>…eral. ', • t . . ‘! te *ietí H!a -sanción y ciimplirmehto de las leyes dictadas* sobre reformas reí i— Mis amigos: nada habéis jurado que sea nuevo en el plan porque os ha iosas^ desconocimientos del Excmo. Sr. presidente general D. Antonio López béis decidido. La religión que profesamos, la conservación del sistema federal, atitana, rió gozando por este hecho de la confianza pública, se separarán de t nuestra sumisión al primer magistrado de la nación, nuestra protesta en fin, sus pnestoá Jiasta que lá nacíori -nuevamente representada se r…</t>
  </si>
  <si>
    <t>López, Antonio María</t>
  </si>
  <si>
    <t>Antonio María López</t>
  </si>
  <si>
    <t>…s. ¿ V. E. parte. De sus trabajos me prometo bastante fruto y cooperación por los asuntos que le encomendaré análogos á su instituto. El ayuntamiento de Ayamonte solicitó de mí autorización para establecer allí una sociedad subal Don Antonio María López ha manifestado desde Salamanca al Ministerio terna , á lo que accedí, y de su instalación daré ¿ V. E. cuenta luego que se me de lo Interior, que deseoso de contribuir en cuanto pueda al alivio de la hu comunique. manidad afligida , pone á disposición del Gobierno 10 fanegas de trigo y 104} Hospici…</t>
  </si>
  <si>
    <t>López, Benito MarciJIa y</t>
  </si>
  <si>
    <t>Benito MarciJIa y López</t>
  </si>
  <si>
    <t>…á Titlis , en donde fue en Grañina, conde de Gomara , debía ejercer sus funciones. Llegado que hubo di tregado por las autoridades rusas con unos 50 de sus cómplices ; todos los cua cho señor , y ocupado su puesto, el corregidor D. Benito MarciJIa y López, les han sido presentados al gran visir y demas ministros , y aun al Gran Señor, tomando en sus manos el pendón Real, se lo entregó diciendo ** Escribano que que los ha querido conocer antes de imponerles el castigo merecido; se supone estás presente, dadme por testimonio como en nombre de esta ciu…</t>
  </si>
  <si>
    <t>López, D Antonio</t>
  </si>
  <si>
    <t>D Antonio López</t>
  </si>
  <si>
    <t>…kubva espaRa. HOLAN'DA. Tamstuiipas 17 de Junio. Haya 22 de Agosto. Al supremo gefe del Estado libre de S. Luis de Potosí. S. Mí la Reina de Inglaterra, de vuelta de su viage á Alemania, se ha Excmo. Sr: En la comunicación que el general D. Antonio López de embarcado el 19 en Helvoetsluis á bordo del Real yacht, Real Jorge, el Santana ha dirigido el 31 de Majo i Las Cámaras de la Union, veréis que ha cual acompafiado de tres barcos de vapor ha dado la vela inmediatamente. pasado los límites de sus poderes légalo, y ha trastornado la Caita federal inte…</t>
  </si>
  <si>
    <t>…reso general. ', • t . . ‘! te *ietí H!a -sanción y ciimplirmehto de las leyes dictadas* sobre reformas reí i— Mis amigos: nada habéis jurado que sea nuevo en el plan porque os ha iosas^ desconocimientos del Excmo. Sr. presidente general D. Antonio López béis decidido. La religión que profesamos, la conservación del sistema federal, atitana, rió gozando por este hecho de la confianza pública, se separarán de t nuestra sumisión al primer magistrado de la nación, nuestra protesta en fin, sus pnestoá Jiasta que lá nacíori -nuevamente representada se r…</t>
  </si>
  <si>
    <t>López, D Narciso</t>
  </si>
  <si>
    <t>D Narciso López</t>
  </si>
  <si>
    <t>…del Despacho de la Guerra. Los del día 7, que hasta ahora han llegado del comandante militar de PROVINCIA DE SEGOVIA. Logroño y del capitán general de Castilla la Vieja, refiriéndose Á otro del Parte sanitario de 5 de A oviembre* brigadier D. Narciso López, gefe de la división de la ribera de Navarra, ma nifiestan que dicho gefe fue atacado por 59 facciosos de infantería y 250 de caballería en el pueblo de Sesma el día ñ á las dos de la tarde, en cuyo pue Pueblos. Sus. Enfermos. Curados. Fallecidas» blo se defendió vigorosamente pesar de la corta fue…</t>
  </si>
  <si>
    <t>…ura á manifestaros su gratitud groño, y con motivo de adquirir noticias del enemigo, amenazando los que es por los importantes documentos que han recogido los cpmisionados ingleses so taban sobre los vados del Ebro, hice salir al brigadier D. Narciso López con la bre las relaciones comerciales entre la Francia y el Reino U:iidó, La opinión fuerza de su mando en dirección de Opon, encargándole regresar aquella mis ÍiúblicaLigar dehaunaconseguidoantigua yelpeligros»,triunfo derivalidad.establecerEstauna alianzaíntima yproducirásincera alianza,sus fruto…</t>
  </si>
  <si>
    <t>…batallón á Briviesca. Si hu do con dirección de Salinillas i las dos de ella, habiendo llegado á las ocho 200 biera sido posible que estas tropas ó al menos la brigada de Aznar, hubiese ve--' caballos de Logroño ¿ las órdenes del brigadier D. Narciso López, que vol nido algunas horas antes, toda ia facción habría caído en nuestro poder. vieron á marchar i las seis de la tarde. «bon las dos y media de la mañana y recibo un parle de D. Minué! de'. D. Antonio José Rodríguez, ayudante de la plana mayor de este ejérci Vicente desde las alturas de Ranera,…</t>
  </si>
  <si>
    <t>López, Diego</t>
  </si>
  <si>
    <t>Diego López</t>
  </si>
  <si>
    <t>…) Solano, caledtáida solemnemeété en el día; de -hoy según la circular de esta- fecha, me ba'pa- tico.de astronomía; el doctor D.^liguel. Marcos; D. Josef Pérez Sanchéii.abointfo conve/fiéhte dictar lasreglasásoesiguen: - 1 gado; D. Diego López, eonwrciaíÉiW y propietario; P, Antonio SoIRLabógn**; 1T&gt; Los préáidérWft’dé lo* 'ay íih wniientd», y estos cuerpos mismos, son -lo» do y propietario: D. Marcelino Sánchez,lbótScdno y propietario; D. Cayetana aflos náftüraffrilSrte1 de la -ejecockm de tódo- lo concetoiehte i fomento que Zúfiiga, re…</t>
  </si>
  <si>
    <t>López, Eusebio</t>
  </si>
  <si>
    <t>Eusebio López</t>
  </si>
  <si>
    <t>…o, como lo habría vermeado luego que su gió 80Ü raciones de pan y 800 de vino que condujo á Pancorvo, donde entró piese que venían muchas fuerzas sobre ei, me decidieron á aprovechar lo» mo itn novedad. Dicho oficial recomienda á D. Eusebio López y á D. Juan Ma mentosnuel Gallón, alféreces de Urbanos de infantería, á D. José Vardua, sargen «Todo lo que me apresuro á manifestar 2 V. E. para que renza á bien to 2.° de la misma arma, i D. Ramón Mantilla, á D. José Leiva y á Santia elevarlo ¿ la soberana consideración de S. M-, a fin de que vea c…</t>
  </si>
  <si>
    <t>López, Fernando</t>
  </si>
  <si>
    <t>Fernando López</t>
  </si>
  <si>
    <t>…o los enemigos de nuestra Reina Isabei n, veremos libre de ha dignado resolver que por el fondo de propios de la villa de Agitaron se abo ellos esta provinel* de Guadaíajara, = Todo lo que trascribo a V. E. con la ne anualmente á D. Fernando López, maestro titular de la misma, !a súána mayor satisfacción para que se sirva elevarlo á la consideración de S. M., no de 1140 rs., que unida á la de 1850 que en la actualidad percibe , completa la pudiendo menos de recomendar á su augusta benevolencia á los individuos to dotación de 33 rs. correspon…</t>
  </si>
  <si>
    <t>López, Isidro</t>
  </si>
  <si>
    <t>Isidro López</t>
  </si>
  <si>
    <t>…cito premiado su magnánimo coraron. ~ «spafiol aquel día ca.cste punta. También debo hacer expresión del sargento l.° José Guillot, que-durante la acción aprehendió un ordenanza, apoderándose de su caballo T armas: del licenciado D. Isidro López», Urbano y vecino del lugar de Fortuito*, que con r JLEAl LOTERIA MODEINAotros 4 ó 6 de esta villa montados en muías, contribuyó &amp; typfelfr resultado, como es el de no haber tenido por nuestra parte un solo herido.' ífoticia de hit pueblo/ y ¿dminiitr/ecionei donde han cabido loe 20 pretniot Ayer p…</t>
  </si>
  <si>
    <t>López, Jorge</t>
  </si>
  <si>
    <t>Jorge López</t>
  </si>
  <si>
    <t>…25 de Setiembre próximo pasado, quar habiendo sido invadida la villa de Hecho, que carecía de facultativo, ha Presentando la divóioa de 1a población, segtm Ta dtlerencí» &lt;fe Tas coadí— • bía dispup.to pasase i ella el licenciado D. Jorge López,' residente en Sar¡Se ciones sociales, indica el aurór, conforme á documento^ oficiales, qué cita, el na , y que este facultativo accedió gustoso á socorrer los coléricos de los pue námero de eclcsiEricos, de nobles y-de plebeyos que existían én E panf éft di blos que careciesen de médico, habiéndo…</t>
  </si>
  <si>
    <t>…ella provincia que haber si PROVINCIA DE ZAMORA. do invadido el pueblo de Berdun , al cual por carecer de médico se habia tras Desde 4 á 7 del corriente curaron en la capital de dicha provincia 38 ladado desde Hecho elTacultarivo D. Jorge López. ' personas, fallecieron 7, y quedaban enfermas 21: en Cerceinos de los Barrios PROVINCIA DE LEON. había cesado ya la enfermedad que afligía á su vecindario: en Pínilla y Mo raleja no habia ocurrido fallecimiento alguno en el espacio de tres días: én El dia 5 del presente seguía su curso ordinario l…</t>
  </si>
  <si>
    <t>López, Juan</t>
  </si>
  <si>
    <t>Juan López</t>
  </si>
  <si>
    <t>…hez Seoane, subteniente ilimitado, ex que pertenecían al difunto D, Tomás López, se hallarán en el dia en pulsado que fue del regimiento infantería de Castilla por desafecto Madrid en el establecimiento geográfico del heredero de D. Juan López, á la Reina nuestra Señora. La aprehensión de este traidor fue ve en la calle del Principe. rificada por el subteniente graduado de capitán D. Gabriel Gui- ----- Alise ó el candor premiado. Comedia en un acto arreglada al teatro espafiol. Se vende en esta corte en la librería de Razóla , y eD Barce…</t>
  </si>
  <si>
    <t>López, Juan Antonio</t>
  </si>
  <si>
    <t>Juan Antonio López</t>
  </si>
  <si>
    <t>…s Vemur3 Moragues, y de los subtenientes del propio-D.-Florencio Berrnudez, de Segura y de Cegama: á su frente y muy inmediata hay otra altura algo me nos elevada^ avanzada «obre la avenida principal del enemigo. En esta posición D. Juan Antonio López, D. Cayetano Cogoiludo y í). José Lanñay y de. IX Migue) Pou, capitán del regimiento de caballería 5.3 ligero; del general, me establecí cubriendo la altura inmediata dos mitades del 4*° regimiento de la gefe de la plana mayor, que cumplió como acostumbra sus deberes, y de losGuardia Real y 4^ cara…</t>
  </si>
  <si>
    <t>López, L Narciso</t>
  </si>
  <si>
    <t>L Narciso López</t>
  </si>
  <si>
    <t>…cionado puente y sitio de la Horadada, continuando la persecución hasta continuar al día siguiente mi marcha á Logroño,-donde resolitLirqsnr juzgar era el total exterminio de los facciosos. ' el panto al que se habría dirigido el brigadier L&gt;. Narciso López con su bri «Aun no he recibido noticias directas del comandante de Vicente, y por gada ¿ igualmente la mayor parte de la infantería. consecuencia ignoro los detalles de la acción; pero según parte de D. Ramón. «En Alcanadre recibí un oficio del alcalde de Sesma diciéndome que ni Estéban Masilla, al…</t>
  </si>
  <si>
    <t>López, Llorens y D Mariano</t>
  </si>
  <si>
    <t>Llorens y D Mariano López</t>
  </si>
  <si>
    <t>…: los comandan Deseoso el capitán general de castigar los asesinatos cometidos por aquellos tes D. Joaquín Ramos y D. Miguel Mirambell: los capitanes D. Vicente malvados en Falset en las personas del capitán D. Miguel Sala, en eL teniente Llorens y D. Mariano López, el primero graduado de Teniente coronel; y el D. José Castañeda y el cadete D. Miguel, hijo del expresado capitán, todos subteniente D. Gerónimo Vidal, todos del regimiento de Bailen: el teniente del regimiento infantería de Bailen, 5.° ligero, del subteniente de voluntarios coronel capitán de car…</t>
  </si>
  <si>
    <t>López, Manuel</t>
  </si>
  <si>
    <t>Manuel López</t>
  </si>
  <si>
    <t>…ron, quedando muerto uno, y por desgracia dos paisanos cutarlos. que se hallaban allí accidentalmente. «Voto contra las reducciones propuestas, y pido que se invite al gobierno En la misma noche se cogió prisionero y mal herido i D. Manuel López, para que en la próxima legislatura presente tina organización completa del mi hermano del cabecilla , al presbítero D. Manuel Rodríguez y otro faccioso; y nisterio de Instrucción pública. al día siguiente se batió en el lugar de Souso á nueve de los dispersos, con M. Ouizot, ministro de Instrucció…</t>
  </si>
  <si>
    <t>…T.° de línea, quien á pt*co rato avi Rey, l.° de línea, D. Ramón Ve lasco y D. Francisco Ceillaldo, y el sargento só h&gt;s tenia á la vista; entonces el benemérito corone! D. Manuel Obregon, to graduado de aiférez del mismo cuerpo D. Manuel López, los cuales manio mando ei escuadrón de cazadores de Isabel ti, salió igualmente al gran trote brando á mi vista en el servicio de guerrilla, y en cuanto tuve por oportuno para incorporarse y tomar el mando de la caballería ; llevando para la protec emplearles, acred taton su valor y entusiasmo por…</t>
  </si>
  <si>
    <t>…festado en cat? / "Lisboa 25 de Agosto. y otras ocasiones, igualmente que de 1» bizarría y denuedo del alférez Villoi- &gt;Jin la sesión de Ja Cámara de Diputados del 21,1 ¿yó el marques dfe Sal- do, del sargento graduado de alférez D. Manuel López, del sargento 2.* gra duado de l.° Domingo Díaz, de los cabos Antonio Veiazquez y Francisco Pa-: daña el siguiente dictámen u «La comisión encargada de dar su parecer sobro lomo, y toda la tropa oes mandaba; igualmente que de la actividad y. buen de el importantísimo negocio de la regencia del rein…</t>
  </si>
  <si>
    <t>López, Manuel Manuel Redondo</t>
  </si>
  <si>
    <t>Manuel Manuel Redondo López</t>
  </si>
  <si>
    <t>…Por providencia del Sr. Bífera, teniente corregidor de esta villa, refrendada Don Cha a JX se del CzQlo, Fernandez del del escribano número Manuel Rodríguez, El comandante gefttral de Aitúrias con fecha de 19 det actual avisa que D. Manuel Manuel Redondo López, D. D. José Antonio Menendez, José Mornelo, é favor 4C Ia* medidas tomadas por el comandante de armas .de Luarca D. £s~ Generés y D. Eusebio de Goiri, para que en el preciso térmiao de 15 días se presen lütisiao Infanzón y la cooperación activa del subdelegado de policía de esta ten por si ó por me…</t>
  </si>
  <si>
    <t>López, Marcial Antonio</t>
  </si>
  <si>
    <t>Marcial Antonio López</t>
  </si>
  <si>
    <t>…e*, oidor de la de Sevilla; á D. Jaime Perera INGLATERRA. y Rius, fiscal de lo civil de la de Vallailolid, y á D. Julián de Sujo, teniente de villa de Madrid: y en clase de fiscales, á D. Laureano LSndres 19 de Atril. de Jado y á D. Marcial Antonio López, que actualmente desempe ñan este cargo. Y es mi voluntad que los ministros de este superior El Times, cuando todavía duraba la funesta lucha de León, escribía lo tribunal ocupen el asiento que Ies corresponda según los títulos de siguiente: ”Los sucesos de León dan grande inquietud al gobierno fra…</t>
  </si>
  <si>
    <t>López, Mariano</t>
  </si>
  <si>
    <t>Mariano López</t>
  </si>
  <si>
    <t>…oso el capitán general de castigar los asesinatos cometidos por aquellos tes D. Joaquín Ramos y D. Miguel Mirambell: los capitanes D. Vicente malvados en Falset en las personas del capitán D. Miguel Sala, en eL teniente Llorens y D. Mariano López, el primero graduado de Teniente coronel; y el D. José Castañeda y el cadete D. Miguel, hijo del expresado capitán, todos subteniente D. Gerónimo Vidal, todos del regimiento de Bailen: el teniente del regimiento infantería de Bailen, 5.° ligero, del subteniente de voluntarios coronel capitán de car…</t>
  </si>
  <si>
    <t>López, Miguel Gómez y</t>
  </si>
  <si>
    <t>Miguel Gómez y López</t>
  </si>
  <si>
    <t>…Secretarios actuales del Despacho que han principiado por decir que era vi del Estamento á I&gt;. Benito Fernandez. cios:; que hin manifestado la necesidad Je h diviVon de poderes pira princi Se' dio cuenta de una exposición en que D. Miguel Gómez y López, elec piar á reform irla; que han propuesto la abolición de los antiguos Consejos que to Procurador por la provincia de Málaga, solicita se le exonere de este en U entorpecían; que han empezado por hacer una división del territorio par* cargo , en atención á sus enfermedades. arreglarla; que se pr^…</t>
  </si>
  <si>
    <t>López, N</t>
  </si>
  <si>
    <t>N López</t>
  </si>
  <si>
    <t>…resado capitán, todos subteniente D. Gerónimo Vidal, todos del regimiento de Bailen: el teniente del regimiento infantería de Bailen, 5.° ligero, del subteniente de voluntarios coronel capitán de carabineros de costas y fronteras D. N. López; y el sub Solé y otros varios que no se tiran, porque ningún parte oficial hasta ahora lo teniente del mismo cuerpo D. N. García: el teniente coronel capitán del re ha aclarado; y debiendo excitar en los que todavia pudieran mirar con indife gimiento de caballería de Navarra D. Blas Sotomavor, que…</t>
  </si>
  <si>
    <t>López, Narciso</t>
  </si>
  <si>
    <t>Narciso López</t>
  </si>
  <si>
    <t>…ho de la Guerra. Los del día 7, que hasta ahora han llegado del comandante militar de PROVINCIA DE SEGOVIA. Logroño y del capitán general de Castilla la Vieja, refiriéndose Á otro del Parte sanitario de 5 de A oviembre* brigadier D. Narciso López, gefe de la división de la ribera de Navarra, ma nifiestan que dicho gefe fue atacado por 59 facciosos de infantería y 250 de caballería en el pueblo de Sesma el día ñ á las dos de la tarde, en cuyo pue Pueblos. Sus. Enfermos. Curados. Fallecidas» blo se defendió vigorosamente pesar de la corta fue…</t>
  </si>
  <si>
    <t>…festaros su gratitud groño, y con motivo de adquirir noticias del enemigo, amenazando los que es por los importantes documentos que han recogido los cpmisionados ingleses so taban sobre los vados del Ebro, hice salir al brigadier D. Narciso López con la bre las relaciones comerciales entre la Francia y el Reino U:iidó, La opinión fuerza de su mando en dirección de Opon, encargándole regresar aquella mis ÍiúblicaLigar dehaunaconseguidoantigua yelpeligros»,triunfo derivalidad.establecerEstauna alianzaíntima yproducirásincera alianza,sus fruto…</t>
  </si>
  <si>
    <t>…Briviesca. Si hu do con dirección de Salinillas i las dos de ella, habiendo llegado á las ocho 200 biera sido posible que estas tropas ó al menos la brigada de Aznar, hubiese ve--' caballos de Logroño ¿ las órdenes del brigadier D. Narciso López, que vol nido algunas horas antes, toda ia facción habría caído en nuestro poder. vieron á marchar i las seis de la tarde. «bon las dos y media de la mañana y recibo un parle de D. Minué! de'. D. Antonio José Rodríguez, ayudante de la plana mayor de este ejérci Vicente desde las alturas de Ranera,…</t>
  </si>
  <si>
    <t>López, Oráa y</t>
  </si>
  <si>
    <t>Oráa y López</t>
  </si>
  <si>
    <t>…el precio de 2 á 4 florines. Cree este há tarde hácia la parte de Viana; y del 13, que habiendo atacado las división» bil administrador que este ramo de la industria es susceptible todavía de gran del mando del general Córdoba y brigadier» Oráa y López á la facción de Zudes mejoras, sin que de ello resulte una disminución sensible en la cantidad malacarregui en PicdramiUcra y Mendaza, la habían derrotado completa que se exporta de, la China para Europa y America, porque solo por medio mente. del té podrán los chinos pagar el opio que compran, pri…</t>
  </si>
  <si>
    <t>López, P Jqáquin María</t>
  </si>
  <si>
    <t>P Jqáquin María López</t>
  </si>
  <si>
    <t>…s ' . PROVINCIA' se AUCAKXIb de la Reina, y quiso anticipar la acción, antes que difundida la noticia, entra $r. P. Joaquín Abarques , hacendado. se el desaliento en las filas desu ejército. El mal suceso de esta tentativa se de- Sr. P. Jqáquin María López. b’ó á la precipitacion.de Bourmont, y masque todo.el sistema erróneo de que* Sr. L&gt;. Bérnarnino Vitoria .comerciante, re- avanzar con una nube de tiradores, y no con una columna 'de. suficiente , Sr. D. Miguel Oca y 'Gucreau. fuerza. _ . Sr. D. Francisco Belda, barón de Casanova de Bocairente, La m…</t>
  </si>
  <si>
    <t>López, Pedro Galyis</t>
  </si>
  <si>
    <t>Pedro Galyis López</t>
  </si>
  <si>
    <t>…principios que se defendían en aque- jales; para el dePeñafiel á D. Alejandro Cipdevila; para el de la Coruña a Don época; que los seguimos con entusiasmo; que fuimos envueltos entre sus Fernando Miranda; para el de Don Benito a D. Pedro Galyis López, alcalde que hay hombres ilustrados y liberales, que mayor de Bancarrota; para el de Orgiz á D. Antonio Evaristo de Hará;rruinas»,—.Sin embargo, sabemos de buena fe son contrarios á aquellos principios, porque los consideran exage para el de Grazalema á D. Francisco Montorov Navarro, corregidor de…</t>
  </si>
  <si>
    <t>López, Ssrtrúis los Sres</t>
  </si>
  <si>
    <t>Ssrtrúis los Sres López</t>
  </si>
  <si>
    <t>…lecerse, ya fuese por partes, ó ya por la misma totalidad. bían aprobarse. Aai se acordó.' ' Insistiendo el Sr. Florez Estrada en su idea, hirieron varias obserrsciooes A invitación del Sr. Presidente entró k jurar y tomó asiento D. Ssrtrúis los Sres. López, Montevirgen y Vega, terminando este debate el Sr. Presi no Paez Jaramillo, Procurador por la provincia de Madrid. dente con poner é discusión la totalidad del dictémen de la comisión ,i y dan El Sr. Presidente anunció que se iba i discutir el dictimen da 1* comí » do la palabra al Sr. marques de M…</t>
  </si>
  <si>
    <t>Lopeznos</t>
  </si>
  <si>
    <t>adopta li proposicrondel Sr. Lopeznos ereamosuna nnewtfacultsd K u«t AUé-iJ yo caso'en que podemos delibetar. Esto te (lipa porque está ai'alcance de'^or. pasó 4 Idt demás asuntos pendientes. ' a do». Oteo que- el Esumentono trate de arrogarte ¿.facultad légttlati.ri'pójr Xa comisión de Poderes dió-cuetits.d* Ü iotta^ia^echa jior ¡PuAg…</t>
  </si>
  <si>
    <t>Loren</t>
  </si>
  <si>
    <t>…intento tres columnas: la de la derecha al mando dd general Es partero recorrió hasta Go,llaño donde pernocta hoy ; la del centro, i mis inmediatas órde nes , marchó por el valle de Arana hasta Zudaire, y la tercera al cargo del general Loren zo por Eulate hasta Baquedano : esta operación hizo que tres batallones emboscados se re plegasen por el puerto de Aitaza en dirección de Lezaun: posteriormente he sabido que daban nueve de aquellos i retaguardia del expresado puerto para aprovecharse de una sor presa en mi marcha si la intentase p…</t>
  </si>
  <si>
    <t>…ismo tiempo son Escuelas normates, para los fue infantes y 160 caballos pasaron el Ebro, y se dirigieron á Cala deseen imponerse en el modo de ensebar 4 leer por el nuevo mttofa horra el dia 9 del presente mes: perseguidos per el general Loren analítico publicado en la Teoría da la.lectura. Por D. José Mariano Vizo, que entró en el mismo dia 9 en Lodosa y continuó su marcha Uejo, autor de la expresada Teoría. Esta obrita consta de una Introduc ción, de tres partes y de un mapa de Espafia. En la introducción se in sobre Calahorra, se vier…</t>
  </si>
  <si>
    <t>Lorenzo</t>
  </si>
  <si>
    <t>…ste ron en el pueblo tres muertos, un herido, y se llevaron otros muchos. raípo. tan importante,.he comisionado á los corregidores de Arévalo , PiedraJuta, el Barco y Mo-mbeltran, que se hallan instruidos del estado de los pue El general Lorenzo, restablecido de so indisposición , salió de Pamplona blos de sus respectivos partidos, y á los procuradores de esta tierra, que lo e.- el ly, y tomó el matizo de las fuerzas de Navarra, reuniendo las columnas del ta¿.igualmente del de los que pertenecen al de esta capital, para que oyendo á brigad…</t>
  </si>
  <si>
    <t>SUPLEMENTO A LA GACETA DE MADRID DEL VIERNES 1? DE AGOSTO DÉ 1834 ARTICULO DE OFICIO. «l de igual número del referido de la Guardia Real y otras dos piezas de artillería, yendo á mi izquierda en.apoyo del mencionado general Lorenzo el HIHISTEBIO DK LO IWTERIOB. 2.° de la Reina de infantería de línea con el de la misma arma 2 ° de Córdo ba; y por mi derecha dispuse doblase ó Banquease la izquierda del enemigo el Real orden. bizarro brigadier D. Manuel O-Doy le con el primer batallón del regimiento El Sr. Secretario' del Despac…</t>
  </si>
  <si>
    <t>…n la convicción de un prelado que conoce sus deberes y los de su grey, y nos El 27 se hallaba en Lerin el coronel Oráa , que obraba en combinación' complacemos en insertar algunos de sus pasages, ya que la multitud de mate con el general Lorenzo sobre la facción de Navarrariales no permite copiarla toda entera. El coronel Tolrá, con parte del regimiento de Borbon de su mando, un «Mis amados hijos en el Señor: es tal vez llegado el caso en que hombres batallón de la Princesa y alguna caballería, marchaba aai propio tiempo de jiesleaies inte…</t>
  </si>
  <si>
    <t>….otnetós; péfdida.^jue hubiera sido nyjfyor si con el fin de no ciosos navarros, 'que á las órdenes de Zumalacarregui.estaban en óleadar, anuestros prisioneros no hubiesen llevado nuestras tropas los confilies del alto Aragón. El general Lorenzo por, Estrila se I. ~i-~' de ¿o .hacer ‘ ' dirigía sobre otros deis batallones que ocupaban sus posiciones ha facciones, de que dicho po inandante general .tiene bituales en las sierras vccinas.' .. . Algunos fugitivos del cabecilla Basilio García que no pudie 1? bombó» después de amagar a Bdbao.se…</t>
  </si>
  <si>
    <t>…ólera, pero sin propagarse 4 los caseríos inmediatos. .jarte en aquellas operaciones. ; 1 ^ Según aviso del brigadier Orla diel 27 4- las nueve de la mañana , se há PXOVINCIA DE FALENCIA. llaos con su divúion no Torralba. EE25 el general Lorenzo estaba en Eli— zondo después de haber huido, 4 la noticia de su aproximación, los facciosos En 29 del mes próximo pasado se padecía todavía el cólera en' 11 pue , qi^.&gt;\oiffipaJ^ajqn^;,pun«í&gt; fuerte, y. que perseguidos por el brigadier barón blos de esta provincia, y sn los mas de ellos era ya cort…</t>
  </si>
  <si>
    <t>…s ensueltos.la de Bergoes y compañía, á I después de destacar contra los facciosos que se dividieron al acercirse con sus —-Peticidad de la muerte cristiana , meditada en ocho dl»s de refrlro tí ejercidos es fuerzas i Lumbier, al general Lorenzo en persecución de los que tomaron la pirituales. Obra con que se preparó para la muerte el limo. Sr. D. Félix Anvat, ar Ldrreccion de los Pirineos, y al brigadier üráa de los que se encaminaron i zobispo de Pálmira: un tomo en 8.° a 14 rs, en pasta. Véndese en la librería de la ▼luda de Qulruga, y…</t>
  </si>
  <si>
    <t>…dcc. Parf^de la facción de Vizcaya con la junta, y Lardizabal con su batallón, perseguidos por una combinación de los brigadieres Jáuregui y Espartera, se acogieron á esta parte de los Pirineos, en donde los persiguió de nuevo el general Lorenzo, y esta mañana los lleva ba á la vista hacia Araquil en un estado lastimoso, y reducidos á 4OO hombres. Yo conti núo sobre los de este reino hasta hacerlos desaparecer. Dios guarde á V. S. muchos años. Cuartel general de Pamplona 31 de Enero de 1834- = Gerónimo Valdes.znbr. gobernador de Vitoria. N…</t>
  </si>
  <si>
    <t>…atisfecho, tanto de la distribución del edificio, de cazadores de la misma, y el 26 encontró en Estela las fuerzas de Navarra su aseo y ventilación, como de las manufacturas que se elaboran en él, aplau reunidas allí al mando del general Lorenzo. Los rebeldes estaban divididos, diendo sobremanera el pensamiento de distribuirse sus fondos en dos partes, unos en los valles de Aezcoa y Salazar, otros en U Borunda, y uno de los lla una de las cuales se aplica ¿ alimentar y vestir con limpieza y economía i los mados batallones con la junta en Bastan…</t>
  </si>
  <si>
    <t>…avisa que S. M. F. se ha Aranaz é lrurzun concluidos ó muy adelantados los trabajos de su fortificación. dignado nombrarle ministro de lo Interior: asimismo otro del Sr. Acevedo, El 27 permanecía aun en Pamplona dicho general. El general Lorenzo en Esteministro de lo Interior, participando á la Cámara la hora en que ha fallecido lia, ^donde había llegado persiguiendo á Zumalacarregui desde Picadillo. El S. M. I. el duque de Braganza, y otro del duque de Pálmela, en que noticia á brigadier Oráa se hallaba la noche anterior en Garasoam, diri…</t>
  </si>
  <si>
    <t>…del Despacho de la Guerra. No se admitirán en manera alguna cartas, esquelas ni paquetes que lleven dirección para el correo, á fin de no perjudicar á esta renta ni á sus rsf—frtüc Con fecha 31 de Octubre próximo pasado avisa el general Lorenzo, por dependientes. extraordinario despachado de‘de Pamplona, que en la noche del día anterior habia entrado en aquella plaza el general en gefe del ejército de operaciones del Norte D. Francisco Espoz y Mina, acompañado de la primera división S. M. la Rbina Gobernadora ha tenida á bien nombrar una…</t>
  </si>
  <si>
    <t>…to de Garralda, uno de los que po Con fecha 29 de Marzo último avisa el gobernador de Mála dían tomar los rebeldes para retirarse, y habiendo ordenado de an ga que habiendo concluido felizmente licúa rentería de observa temano al general, Lorenzo, reforzado Con 125 caballos dé la Guar ción que sufría -la ciudad de Marbella y la Villa de Ojen, habia dia Real, que observase entre tanto á Zumalacarregui, que con el dispuesto, de acuerdo.con la junta de Sanidad de aquella provin primero y tercer batallón y cotí la caballería se había dirigido p…</t>
  </si>
  <si>
    <t>…como $9 hombres mandados por Zumalacarregui, á los cua les con solos 2 500 venció . derrotó/ dispersó el general Espartero, protegido eficazmente en reserva por la primera brigada dé la lAdi visión, dirigida inmediatamente par el general Lorenzo, á quien habia advertido yo lo conveniente, cumpliéndolo con la exactitud que acostumbra: mis disposiciones se extendieron á preparar las medidas oportunas para no per der de vista al enemigo en su fuga por los cerros , barrancos y despeñaderos por donde la realizó ; esperando seguirlo mañana sin e…</t>
  </si>
  <si>
    <t>…olumnas de los coroneles Carrera é Inarte, é igualmente le acompaña el «La división de vanguardia sé que estuvo ayer á la parte de Salvatierra, y general Anleo; y ha destinado á perseguir á Zumalaearrcgui , ademas de la di la del general Lorenzo por la derecha de la Borunda por donde parece; seguía visión de vanguardia, las divisiones de Lorenzo y Gómez Ansa, mandando es Zumalacarrcgui con parte de su fuerza, siendo muchos los facciosos que por tas el general Lorenzo. todas direcciones se han ido á sus pueblos, pero que al acercarse nuestr…</t>
  </si>
  <si>
    <t>…celebrarse, y reunido el ayuntamiento con todas las au— hacia Zalduendo por una columna que al efecto salió de Vitoria. I I toridades y personas mas distinguidas se dirigió en medio de un concurso nuine- Las tropas del mando del general Lorenzo , reforzadas con parte de la Iroso de pueblo á la plaza Real y del Mercado, donde el alférez mayor y maes- guarnición de Pamplona, marchaban de nuevo sobre la facción de aquel reino,! [trante D. Josef San Gil levantó pendones por S. M. la Reina entre aclama- que tanto sufrió en la gloriosa acción d…</t>
  </si>
  <si>
    <t>…s compañías de preferencia y otras tropas. Hisiguiente: bilítado el castillo de Zamora, han salido de Valladolid las píeos Después de las gloriosas acciones sostenidas el 29 del mes pró destinadas á artillarle. ximo pasado por el general Lorenzo y brigadier Orla, salió el ge Las pequeñas facciones que asomaron en Astúrias fueron al neral en gefe dé Pamplona el dia 5 para emprender nuevamente punto deshechas, habiéndose cogido un cabecilla, y huyendo otro sus operaciones; y según noticias del conde de Armildez, residente por los montes. Lo mi…</t>
  </si>
  <si>
    <t>…Agosta 7 ■ 3 4 .13 ñ , según piarte *de Vitoriadel 9, sé'hallaba el expresado general en Torcerte.... 28 i 31 ídem.... 3 1 00 glfiten liun. ' ' ZumalacarreguiSabia pasado por Alegría en dirección á Zalduendo, per- «fguidó por el general-Lorenzo, el cuál sé unió con las fuerzas de su ovando «l 9 en Salvatierra á( '■brigadier Figucrás. £1 Pretendiente estaba en (Iruemica •oísa db -comeíoio. Cotización de hoy á las tres dt la tarde. y el general Espartero-tóXequcitio. ’ . efectos «nucos* , Capitanía general de í'á.Tagon. = Excmo. Sr.: El gob…</t>
  </si>
  <si>
    <t>…ara las^ tierras; Madrid 13 de Octubre. vaciadores de navajas; puestos de agua natural con cajones ó toldo. Partes recibidos en la secretaría de Estado y dtl Despacho de la Guerra. Los últimos partes de Pamplona alcanzan al 8. El general Lorenzo, en PARTE NO OFICIAL. cargado interinamente de las fuerzas de Navarra, se hallaba en aquella plaza»- donde habia pasado revista el día 5 á 13 batallones de infantería y alguna ca NOTICIAS EXTRANGERAS. ballería y artillería. El general Córdoba salió el-8 de dicha plaza con la división de su man do,…</t>
  </si>
  <si>
    <t>…Excmo Sr. ¡ El Sr. mariscal de cam el 7 del corriente, la brigada de su mando y la de reserva con el general en po barón de Carondelet, comandante general de la l.1 división del ejército de gefe se hallaban en aquel punto; la del general Lorenzo en el pueblo contiguo 1 mi mando , en l.° del actual desde Cea , en esle reino de Portugal, me dice lo dé Mendigorria, y la del brigadier Linares debía llegar á la inmediación de que copio. Excmo. Sr.: Conforme á lo que V. E. me había prevenido, salí los mismos puntos, situándose en Artajonaayer de…</t>
  </si>
  <si>
    <t>…tario de Estado y Ácciooes del banco español, 00. ^ CAMBIOS. •del Despacho de la Guerra. Amsterdam, 00» París HS-i. Cádiz 4 b. Sevilla par i | d. Sayona, 00. Alicante á corto pía. Corulla 4 d. Valencia par. El día 8 se bailaba el general Lorenzo en Puente la Reina, habiendo sido Burdeos, 00. zo ¿ b. Granada 14 id* Zaragoza £ d. reforzadas las tropas con las que sacó de Pamplona , y esperaba lo fuesen mas Hamburgo, 00. Barcelona á pesosfs. Málaga | b. A Descuento de tetras con las que el capitán general de Castilla la Vieja había puesto á s…</t>
  </si>
  <si>
    <t>…y tonio Aznar.reSr. titulado comandante general de Navarras Qui media y tres de la tarde del 9 la facción de Zumalacarregui, com ñones. puesta de 2800 infantes y 200 caballos, sin otra noticia de su lle Copia del aviso que dió el general Lorenzo al comandante mi gada que la vista repentina de sus descubiertas. Con la mayor pre litar de Logroño. mura reunió la corta fuerza que alli tenia de las compañías de ca Los rebeldes han repasado esta mañana el Ebro por el vado de zadores de Rioja, á la que se agregó el comandante de la Milicia este p…</t>
  </si>
  <si>
    <t>…rghelttea -activa en esta ocasión; asimismo son dignos de Va consideración de S. M. ei te Cucvillas y Basilio García, con su facción compuesta de 5lH) hombres, se ha niente del mismo cuerpo D. Isidro Ortiz de Zarate y el alférez D. “Lorenzo bían dirigido ai convento de Huerta, y calculando estarían alojados dentro de Montañés, asi como el uniente del regimiento infantería de Zaragoza 12 de ¿I por ser el único puntó allí capaz de esta fuerza, bailándonos acampados en línea D. José María de la Riv^ Robledo, el cual habiéndoseme presenta…</t>
  </si>
  <si>
    <t>…do Figueras que se cuerposjy tropas arriba mencionadas de la 1 .a brigada de la 2.a división, que sin dirección había sido hácia Irurzun, lo persiguió en ella hasta que supo en la detcncioñ trájo al campó del combate el mismo Sr. general Lorenzo con la se mañana del 9 que se hallaba en Lizarraga, y por mucho que activó la mar renidad '.y buenos déseos .que,.le caracterizan, á cuyo punto me trasferí con mi cha, ya el Pretendiente se había adelantado con dirección á Alsazua, cuyo pueblo cuartel general, cuya posición acababa de ser el teatro…</t>
  </si>
  <si>
    <t>…ña. nombrados de nuevo por una gran mayoría. __Escr¡ben de los Alduides, con fecha 9 del corriente, lo que sigue: ------ Habiendo preguntado Mr. Humann, ministro de Hacienda, á su com «Zugarramurdi, cumpliendo con las órdenes del general Lorenzo, ha au pañero el almirante de Rigny,*Secretario del Despacho de Estado, qué debia mentado las fortificaciones de Elizondo; todas las callejuelas y pasos que con hacerse con la deuda de Hayti, que asciende á 4-8903 francos, Mr. de Rigducen desde la única calle del pueblo al campo por un lado y al Vi…</t>
  </si>
  <si>
    <t>…en los campos de Nazar, con fecha del 13 á las dos de la tarde. Asarta, Mendaza y PiedramiUera, apoyando su derecha en la ermita de Desiñana, y la izquierda en la roca y formidables posiciones de la sierra de Pie— »Excmo. Sr.: El general Lorenzo había salido de esta ciudad la tarde del dramillera, que la ocuparon con tres cuerpos. Su caballería cubría aquella ala. 11 para Barasoain á conducir un gran convoy de leña para Pamplona con una Todas las armas han jugado en la acción: nuestras fuerzas vinieron por San columna, compuesta de 19 infa…</t>
  </si>
  <si>
    <t>…establecen los requisitos necesarios para separar de su pechar trataban de sostener aquella fuerte posición, salí de esta plaza con mil destino á un consejero de Estado ó á un relator de dicho Consejo; se determi columna y la del general Lorenzo, que se me unió en ios alrededores de ella, I nan los asuntos gubernativos en que dicho Consejo delibera; y en qué casos de según le tenia prevenido. El 2^ marchamos sobre el punto de Lumbiers, perol be dar su dictamen.” aquella mañana, habiéndolo abandonado los enemigos según supe en el camino, I…</t>
  </si>
  <si>
    <t>…cualquiera tentativa sobre ellos; ha herido, aunque no de gravedad , con tres balazos y dos $ü caballo, el teniente biendo resultado de la descarga herido levemente un cazador. Aquella nocheD. Ramón Corres, ayudante de campo del general Lorenzo, otros dos solda las tropas durmieron en Echarri Aranaz,y los enemigos se dirigieron h¿cia&gt;be- dos, y varios caballos; y sin embargo, sin dar la espalda al enemigo, se corrío gura; y en el dia de ayer, después de haber dejado las columnas en Salvatierra)sobre su izquierda con el mayor orden á situa…</t>
  </si>
  <si>
    <t>…lutar para el servicio de ia Puerta, cuando hayan com mando tres batallón», una'compañía de tiradores de-Isabel n y 40 caballón. pletado su educación, casi todos los jóvcn« egipcios que tiene el virey pernio— ' El dia 10 salió el general Lorenzo dé Pamplona con una columna de 19 nados en París de algunos afios á esta parte. Algunos miembros del Divan han hombres á situarse entre Tafaila y Barasoain con varios objetas, habiéndose asegurado que el embajador Reschid-bcy tiene medios de desempeñar esta parte dirigido los tres batallón» que obs…</t>
  </si>
  <si>
    <t>…acio Dense «efe con lar tropss de su inmediato mando se hallaba el JS en Vitoria, y el dia gratut eram tíbi, y podría conservarte el colorido nativo del orígtaal; mm »ruienté.idh:bi* satir pára U Eonlincta, dohdé se UQÍr'* c(&gt;a ^ general Lorenzo, puede desafiarse al mas hábil, sin peligro di* perder, á que «xwm la saluth ^ué^pcñigúuuido á jíuouikcrtrtgui. se iudlabalpor aquella parte. El Preten de exprasiop y ef atrevimiento de las dy trinara dé la oda JJie UfifiMdr te po diente estaba en Onraits. . na site en versos de ocho uWbes. Foresta…</t>
  </si>
  <si>
    <t>…cto del parte Temitido por el gobernador civil de la provincia de la Columna de Aragon.=Excmo. Sr.: Leí activa y decidida persecución en Coruña D. Antonio Loriga con fecha de 3 de Mavo a_tuai.que nos hemos empeñado la brigada del general Lorenzo y la mía , no me ha Continúa el estado floreciente de la agricultura y ganadería: y este últimnpermitido dar á V. E. avisos de mis movimientos ; pues internados en la mon prosperarla aun mas si se removiesen las trabas que impiden su extracción para taña, en que todo lo que rodea á uno se hace sospechos…</t>
  </si>
  <si>
    <t>…° Desde el dia en que el enfermo saliere á la calle por orden del facul vatierra con la fuérzale su inmediato mando , que se habla reunido con Ja del tativo-, ó sin ella, cesará el subsidio respectivo por conceptuarse terminada U general Lorenzo y la^del brigadier Figueras en la Borunda, dónde se estable enfermedad. cía el cuartel general del ejército. Ha sídoj incorporada á la capitanía general 5. ° No basta que un individuo se sangre ó tome algún remedio preventivo de Aragón, para la dirección de las operaciones militares,la'merindad dcTudc- para…</t>
  </si>
  <si>
    <t>…............................................................ Según noticias de Navarra el brigadier Oráa se hallaba el 17 reunido al Id. en quebradas falsas.................................................................... 260. general Lorenzo en Estella. Id. minasen lomas firmes de dos varas con dos y media dealto. 2u0. Id.de mina falsa mamposteada.............................................. .. 4^1* El 14 fueron pasados por las armas en Aíbar los cabecillas Egócero, Zu- Id. otras mas pequeñas en piedra firme...........................…</t>
  </si>
  <si>
    <t>…a por dos compañías de faniería y tos cazadores á c&amp;batto—&lt;|ek Gliirdia Real que habían venido de .Africa que desde este momento formaron la reserva de las de voluntarios y ce Vizcaya salieron para Salvatierra, debiendo unirse al general Lorenzo , que fiaj» ladores. Estas continuaban repeliendo á los rebeldes de todos los puntos que ¡n- tiendo acudido a! ^oooiro de Vitoria detuvo su'marcha al saber que ¡no era ne lentarpn defender hasta lo mas encumbrado del cerro, desde donde los rebeldes cesario , y varió de dirección sobre los facciosos…</t>
  </si>
  <si>
    <t>…. al 4 p. loo, 53Í y ¿4 á varias fs. d vol. grábamos hacerles detener’ en dicha posición , viniese por retaguar títulos al portador de 5 p. 100, 61 al contado: 61 j, | y 6a, i varias dia sobre su linea de retirada. La brigada del general Lorenzo y la fs. vol. y firme. Id. Id. de 4 n. 100, ss al contado: 53, 54, 4, i, J, SSt 1 i. Sí, #, -de reserva llegaron á un trtwio tiempo sobre Mendilibarri, adon- S«, ííé, *, I y Sí á varias fs. vol. y firme: ¡S, S*. ííé y íé á vari» -de me adelanré-desdcj hallándonos ya al frente de la po fs. vol. y firme á…</t>
  </si>
  <si>
    <t>…enemiga que estaba en aquel pun , _ M. Cabet se embarcó el 3 del actual en Ostende para Inglaterra. to, adviniéndole que el 6 se hallaría dicho general ca gefe en Lería para pro teger á Linares, y su convoy, habiendo prevenido al general Lorenzo marcha» ____ El periódico Etendard que se publicaba en Roterdam, ha sido suprimi el día 7 á Merídigorria , y ai coronel Amoi que desde Falces se dirigiese á Lardo después de la prisión de su editor M. Thompson. Este, según el diario de raga , adonde el general en gefe pasó con la brigada de Oráa y…</t>
  </si>
  <si>
    <t>…dos los cscri- congadas, estaba el 19 en pleno movimiento sobre los facciosos de dicho reino: [tos, y llegaron hasta el extremo de erigir templos en su obsequio. Salustio de- en aquel"dia tenia su cuartel general en Alzazua, y el general Lorenzo salía de leía que así como la concordia hace medrar las cosas mas pequeñas, la discordia lo» Arcos en dirección de los rebeldes que se hallaban en Zudaíre y Baríndano. ■ destruye las mas grandes: discordia maximae res dilabuntur. A las fuerzas de este general se ha unido el batallón de la Princesa,…</t>
  </si>
  <si>
    <t>…ución de las fuerzas de S. M. que mar Propiedades y medida de los cuerpos regulares. chaban sobre ellos, entraron el 21 en Sangüesa, y se hallaban el 23 en LumTrigonometría rectilínea. bicr, en los confines de Aragón, mientras el general Lorenzo llegó el 22 á Objeto de ella. TJrroz, asegurando algunos haberse oido gran fuego de fusil hacia el citado pue Fórmulas usuales. blo. de Lumbicr. Los puestos de las tropas de Aragón, dependientes del gober Construcción y uso do las tablas trigonométricas. nador de Jav Cinco-Villas, arrojaron el 23 d…</t>
  </si>
  <si>
    <t>…e donde pudiese dirigir á V. E. bernador una junta que cuidará dé Teunlrlos y exiéndér tina memofty circuns mis comunicaciones. El 11 quedó Zumalacarregui con 4 batallones en ios mon tanciada sobre este objeto. tes de Luqui, y el general Lorenzo y el brigadier Linares pernoctaron ep elvalle de Erro. Al amanecer del 12 trató de sorprender aquel el cuartel de Er BOLSA DE muRBCin. Cnéi^arinn de hoy Á Idstres dt la ro, y fue rechazado con ía pérdida de un capitán y varios individuos de tropa heridos. El general Lorenzo lo persiguió hasta Garrald…</t>
  </si>
  <si>
    <t>…l fuego de fusilería sobre Villarcayo, dispuso salir por el punto mas corto á proteger á aquel pueblo. En el momento de em Parte que se cita. prender mi mucha empece á.distinguir fuertes columnas que venían de aque Excmo. Sr.: IH general Lorenzo desde Ecay con fecha de aver me dict lla dilección; y te»ueíio á sostener ei honor de mi columna, dispuse desplegar siguiente : do* guerrillas de infantería a las órdenes del teniente Fort y del sargento Al- «Ftirmo. Sr.: A las once He llegado á este punto, en el que He sabido "Varez , y unj de cab…</t>
  </si>
  <si>
    <t>…total de enfermos ni del de — El conde Arnóldez de Toledo.“ExerTjo. Sr. margues de Rodil —Acabo de sa ber que Zumalacarregui con los 4 batallones y su caballería estaban esta maña curados. na á las nueve en Añorre. Se lo aviso al general Lorenzo que sale de Nagore PROVINCIA DE MADRID. marchando sobre eHos.—Es copia.:=Rodil. Con fecha 26 del corriente manifiesta su gobernador civil que en Ceni cientos habían sido invadidas ocho personas, de las cuales fallecieron tres, el ESTADO SANITARIO DEL REINO. dia 23 dd mismo'mes fueron invadidas dos…</t>
  </si>
  <si>
    <t>…Después de aquél suceso se reunieron en Pamplona las del 15 73 58 131 17 11 mando inmediato del general Quesa’da. 1 16 103 40 143 24 7 Posteriormente seiabian emprendido varios movimientos marchando con dos brigadas á Estella el general Lorenzo, restablecido ya de su indisposición, y la caballería hácia la Ribera. Los enemigos se habian dividido, y los navarros sé hallaban en la' Borunda. Por Logroño se dirigían á reforzar á Navarra gran - Quedan existentes para el dia 17, 112. parte de un batallon .de la Princesa y de otros cuerpos, y el…</t>
  </si>
  <si>
    <t>…icias que estimase necesarias. Esta junta presentó dé ios navarros al sopló de tas partidarios del /Pretendiente, se multiplicaron uñ proyecto de reglamento, bien circunstanciadocon una memoria en que se los embarazos, si bien el general Lorenzo batió nueva y gloriosamente en Na— extendían sus bases, dictadas por el justo anhelo de que no se malograse, por zar y Azártá las fuerzas mas respetables de los alzados de aquel reino. * falta de circunspección , el útil influjo de esta fuerza esencialmente tutelar del Al mismo tiempo las tropas pe…</t>
  </si>
  <si>
    <t>Lorénzo</t>
  </si>
  <si>
    <t>…ria cuando se tratase de conspira v competencias y rivalidades siempre funestas, yernas en circunstancias rdn críti ciones ó de otros delitos políticos, cuyos reos no fuesen cogidos in fraganti. cas, cedieron el mando al referido general Lorénzo ¿ que se halla h. cia Elizon- Para esto la acción del Gobierno no puede‘ extenderse á mas que á hacer que do con ánimo de asegurar aun ma’S aquel punto y de escarmentar á la facción. Jas leyes se ejecuten , estimular .á los trlbunale», v procurar que *se abrevien Jas Por dos veces ha intentado esta…</t>
  </si>
  <si>
    <t>Lorenzo'y</t>
  </si>
  <si>
    <t>…lati vo á los movimientos de las tropas de la Reina nuestra Señora sobre las facciones de Navarra. La brigada de reserva que lleva con bolsa de comercio___ Cotización de hoy á las tres de la tarde. sigo el general en gefe, la del general Lorenzo'y la del biigadier Oria operaban en combinación para envolver á Zumalacarregui y EFECTOS PUBLICOS. batirlo; perír no^habiendo podido lograr su alcance , el dia 1 &lt;5 el Inscripciones sobre el gran libro al &lt; p. loo, oo. general en gefe se dirigió á Vitoria, Lorenzo á Viana, y Oráa Dichas id. al 4 p. 100, 53…</t>
  </si>
  <si>
    <t>Lorenzo, D José</t>
  </si>
  <si>
    <t>D José Lorenzo</t>
  </si>
  <si>
    <t>…s justi medida, la cantidad que por el Estatuto Rkai se ha .creído suficiente para ficativos. . la decorosa é independiente subsistencia de loa Procuradores del reino , en lo La comisión de Poderes, en vista de lo expuesto por el Sr. D. José Lorenzo que me parece no voy descaminado. Esta medida es digna, á mi parecer, de Salas, electo Procurador por la provincia de Oviedo, opinaba se debía admi tomarse en consideración, por haber ya sido objeto de la atención de las Cor tir su; renuncia,, y pasar aviso para proceder á nueva elección. Quedó apr…</t>
  </si>
  <si>
    <t>Lorenzo, D Manuel</t>
  </si>
  <si>
    <t>D Manuel Lorenzo</t>
  </si>
  <si>
    <t>…'Vurtiaga por la muga de 'Francia, da idea de mi ocupación durante el día de mañana con la columna que me si jhasta el punto que crea conveniente, á fin de batir los bosques y escondrijos que gue inmediatamente, destinando al Sr. general D. Manuel Lorenzo con su di puedan ocultar al Pretendiente y su corta comitiva. Dios guarde á “V. E. mu visión y la i.1 de infantería, con fuerza de 69 hombres, las dos á ir tras de chos años. Cuartel general de Eugui á 28 de Agosto de 1834, á las doce de la Zumálacarregui, al tenor de las prevenciones que le he hec…</t>
  </si>
  <si>
    <t>…posición depulsión del cabecilla Basilio García, se acababa de unir al general retaguardia, para evitar el ser'flanqueados por la derecha, con Lorenzo. fuerzas que habían destinado los rebeldes, y se hallaban en movi Asimismo el general D. Manuel Lorenzo con fecha 29 del' miento con este objeto. mismo mes dice desde Estella al Excmo. Sr. marques de Moncayo, Durante estas ocurrencias no era mejior el empeño de nuestra general en gefe, y este comunica al ministerio de la Guerra lo que izquierda y centro que sostenían la dilatada línea de posiciones d…</t>
  </si>
  <si>
    <t>…S. M. Los hospodares de Vaiaquia y Mol- ' El comandante general de Navarra desdé Pamplona con fecha de 2 del davia/cplmados de condecoraciones y presentes por el Sultán, acaban de recibir actual dice lo que sigue: Excmo. Sr.=rEl general D. Manuel Lorenzo, coman iguales favores~del Emperador Nicolás. dante de la 2.a división de este ejército de. operaciones , con fecha 2 ó del ante El campo ofrece,aqui actualmente un aspecto muy triste ; avena, heno rior me dice lo que sigue.=*'Excmo. Sr.: El .pueblo rebelde de Abarzuza-ha paja y patatas, todo ha fa…</t>
  </si>
  <si>
    <t>…uyendo, desde la cual hizo su defensa contra los que apare carga. cieron á su frehté. Sin duda hubieren sido víctimas á no haberse ve Como que las compañías de S. Fernando subían al mismo tiem rificado la oportuna llegada del Sr. general D. Manuel Lorenzo, el po corriendo , y como los celadores atacaron al enemigo á la ba que según me añade dicho corregidor, salió con la fuerza de su yoneta después de tirar su descarga, el enemigo se dispersó , y su ufando en la dirección para Navarra que habían llevado los enemi friendo toda la derrota que es propi…</t>
  </si>
  <si>
    <t>…l malogrado sar .misma copia* gento 2° Andrés Luis de Gordejuela, y autorizando al expresado Esta decisión , y la noticia que sfn duda tuvo de la aproxima comandante de armas para distribuir entre los individuos que estu ción del general D. Manuel Lorenzo le obligó á su precipitada fu vieron á sus órdenes 6 cruces de Isabel ii que se le remiten al efec ga , que emprendió a las tres y media de la mañana repasando el to ; sirviéndose declarar al propio tiempo que el servicio prestado Ebro por el vado de S. Adrián, y tornando la dirección para Le- ■ po…</t>
  </si>
  <si>
    <t>…a , y del Consejo Real de España se ; pero si no me engaño, hay establecida una manda forzosa que debe hacerse Indias. en todos los testamentos, con destino á la redención de cautivos; y siendo ■■«* Se dió cuenta de un oficio del general D. Manuel Lorenzo, gobernador carga que pagan los pueblos,creo que el Estamento está en el caso de entender de la ciudad de Pamplona, remitiendo tres ejemplares de la proclama que el en esta contribución y en su inversión.” general Mina ha dirigido á las tropas de su mando, y á los habitantes de aque El Sr. Secretar…</t>
  </si>
  <si>
    <t>…ados, que no siempre estarían libres de re5entu11ientos.De aquí seoriginó el espíritu de oposición que muy pronto formó un partido. El poder de que se a^usa hasta involuntariamente, cubriéndose algunas veces con el velo de la ”EJ general D. Manuel Lorenzo participa con fecha de 19 desde Pamplo justicia y llevado de apariencias seductoras^ ha dado mas de un pretexta ú iste na haber regresado el'díá-19 á aquella plaza el general en gefe del ejército del partido, en el que.los unos, mezclando con el interej, de la verdad el suyo pro Norte, quien sehabi…</t>
  </si>
  <si>
    <t>…le de todo abuso de libertad de im Partes recibidos en la secretaría de Estado y del Despacho de les Guerra. prenta que -ve notare en su contenido, aunque sea por medio ^e .comunica- " dos, ó por copia hecha de otros impresos. El general D. Manuel Lorenzo (1) participa con fecha de 19 dél corrien Art 5.° Todo impresor de algún periódico deberá entregar gratis cuatro te desde Pamplona que en aquella misma tarda acababa de regresar el general ejemplares de cada número el mismo día de su publicación en el archivo del en gefe, que -se habia movido con l…</t>
  </si>
  <si>
    <t>Lorenzo, José</t>
  </si>
  <si>
    <t>José Lorenzo</t>
  </si>
  <si>
    <t>…sti medida, la cantidad que por el Estatuto Rkai se ha .creído suficiente para ficativos. . la decorosa é independiente subsistencia de loa Procuradores del reino , en lo La comisión de Poderes, en vista de lo expuesto por el Sr. D. José Lorenzo que me parece no voy descaminado. Esta medida es digna, á mi parecer, de Salas, electo Procurador por la provincia de Oviedo, opinaba se debía admi tomarse en consideración, por haber ya sido objeto de la atención de las Cor tir su; renuncia,, y pasar aviso para proceder á nueva elección. Quedó apr…</t>
  </si>
  <si>
    <t>Lorenzo, Manuel</t>
  </si>
  <si>
    <t>Manuel Lorenzo</t>
  </si>
  <si>
    <t>…hasta cierto punto con el plan de operaciones qus grado mas extraordinario que podía apetecer ; presentándo&gt;e ocasión de bri había emprendido ».y qwe tuvo algunas alteraciones locales sobre mi marcha llar mas el mariscal de campo D. Manuel Lorenzo , comandante general de desde Puente la Reina , según V. E. habrá observado por mis partes diarios, la 2.a- división, y los gefes de brigada de esta el brigadier D. José Marta determiné, asegurados los valles de Araquil y la Borunda con la división de Herrera, coronel D. Francisco Ocaña, gefe de la…</t>
  </si>
  <si>
    <t>…Desiñana y el pueblo de Asarta, que las ban defendido con bastante denuedo, han sido desalojados, batidos y perseguidos después de tres horas de fuego hasta esta villa por las bizarras tropas de la división del mariscal ‘de campo D. Manuel Lorenzo y las de la columna de mi mando, las cuales han rivalizado en valor y decisión por defender los legítimos.derechos de la Reina nuestra Señora Doña Isabei ii. «Dispersos los enemigos por estas fragosas montañas,! la noche ha dado fin á la' acción. Cuando tenga todos los datos de lo ocurrido daré parte á V. E. d…</t>
  </si>
  <si>
    <t>Lorénzo, Manuel</t>
  </si>
  <si>
    <t>Manuel Lorénzo</t>
  </si>
  <si>
    <t>…dar se prevenga de nucvc\ á los res pectivos generales propongan á su superior consideración las recompensas que estimen justas, concediendo desde luego 4a gran cruz de la Real y militar orden de S. Fernando al maris cal de campo D. Manuel Lorénzo, y el grado de brigadier al coronel D. Marcelino Oráa, los cuales con su ejemplo y pericia han decidido la victoria en Navarra, confiriendo al mis mo tiempo igual grado de Brigadier al coronel barón del Solar de Espinosa, y el de coronel al capitán de la guardia Real de infantería D. Juan Villalong…</t>
  </si>
  <si>
    <t>…a por la muga de 'Francia, da idea de mi ocupación durante el día de mañana con la columna que me si jhasta el punto que crea conveniente, á fin de batir los bosques y escondrijos que gue inmediatamente, destinando al Sr. general D. Manuel Lorenzo con su di puedan ocultar al Pretendiente y su corta comitiva. Dios guarde á “V. E. mu visión y la i.1 de infantería, con fuerza de 69 hombres, las dos á ir tras de chos años. Cuartel general de Eugui á 28 de Agosto de 1834, á las doce de la Zumálacarregui, al tenor de las prevenciones que le he hec…</t>
  </si>
  <si>
    <t>…las reciban continuarán su persecución. J» Vuestras fortunas, y el libre ejercicio de vuestras ocupación^. Los que queráis continuar la carrera de las armas serviréis bajo de mis órdenes hasta la El comandante general de Navarra D. Manuel Lorenzo con fecha de t del entera pacificación en cuerpos que formaré en el país, y después dependerá de presente manifiesta que la división del general Córdoba pernoctó el dia 2 en Vuestra voluntad seguir en el servicio, ó retiraros á gozar de los premios á Lccumbern después de haber dispersado en Echaluc…</t>
  </si>
  <si>
    <t>…n depulsión del cabecilla Basilio García, se acababa de unir al general retaguardia, para evitar el ser'flanqueados por la derecha, con Lorenzo. fuerzas que habían destinado los rebeldes, y se hallaban en movi Asimismo el general D. Manuel Lorenzo con fecha 29 del' miento con este objeto. mismo mes dice desde Estella al Excmo. Sr. marques de Moncayo, Durante estas ocurrencias no era mejior el empeño de nuestra general en gefe, y este comunica al ministerio de la Guerra lo que izquierda y centro que sostenían la dilatada línea de posiciones d…</t>
  </si>
  <si>
    <t>…a de que todas las {acciones reunidas en núnye- biéndose agravado los males de este General, se encargó de aquel el 4 del cor ro de 8¡U hombres , mandadas por los principales cabecillas de la corona de riente el mariscal de campo D. Manuel Lorenzo, segundo cabo del vjreinvito Araeon , habían sitiado el destacamento de Beceite, compuesto de 70 valientes ¡de Navarra. El mariscal de campo D. Joaquín Osma se encargo aómismo el del 13 de línea , mandados por su. bizarro subteniente D. Miguel Rodríguez, dia 5 del de el cuerpo de ejército de las pr…</t>
  </si>
  <si>
    <t>…os hospodares de Vaiaquia y Mol- ' El comandante general de Navarra desdé Pamplona con fecha de 2 del davia/cplmados de condecoraciones y presentes por el Sultán, acaban de recibir actual dice lo que sigue: Excmo. Sr.=rEl general D. Manuel Lorenzo, coman iguales favores~del Emperador Nicolás. dante de la 2.a división de este ejército de. operaciones , con fecha 2 ó del ante El campo ofrece,aqui actualmente un aspecto muy triste ; avena, heno rior me dice lo que sigue.=*'Excmo. Sr.: El .pueblo rebelde de Abarzuza-ha paja y patatas, todo ha fa…</t>
  </si>
  <si>
    <t>…s peces, los moluscos, crustá Dejo encargado el despacho de los negocios que corresponden al vireínato ceos, arañas, insectos, vermes, zoófito#y la parre botánica. Se suscribe en Madrid en durante mi ausencia al mariscal de campo D. Manuel Lorenzo : lo hago pre la -Ubrérfa de Rodríguez, en donde se manifestará un ejemplar cop los cuadernos de sente á V. E. á fin de que, si lo tiene á bien, sé'sírva elevarlo á conocimiento láminas. —^—Domiaici CavallarU in regia neapoütana academia primarii profestoris, Int— de S. M. Dios dec. Pamplona 3 de D…</t>
  </si>
  <si>
    <t>…á la Iglesia y al Estado, á D. Gregorio Gisbert para una canongía de la santa iglesia de Cuenca : a Don Hoy se ha publicado en esta el siguiente edicto: Nicolás García Page para la dignidad de abad de Santa Leocadia de la metro «Don Manuel Lorenzo, caballero de la Reai y militar órden de S. Her politana iglesia de Toledo; y á D. Poli carpo Romea para una canongía de la menegildo , comendador de la de Isabel la Católica, gran cruz de la de San tanta iglesia metropolitana de Zaragoza oFernando, condecorado con otras varias cruces por acciones…</t>
  </si>
  <si>
    <t>…desde la cual hizo su defensa contra los que apare carga. cieron á su frehté. Sin duda hubieren sido víctimas á no haberse ve Como que las compañías de S. Fernando subían al mismo tiem rificado la oportuna llegada del Sr. general D. Manuel Lorenzo, el po corriendo , y como los celadores atacaron al enemigo á la ba que según me añade dicho corregidor, salió con la fuerza de su yoneta después de tirar su descarga, el enemigo se dispersó , y su ufando en la dirección para Navarra que habían llevado los enemi friendo toda la derrota que es propi…</t>
  </si>
  <si>
    <t>…ado sar .misma copia* gento 2° Andrés Luis de Gordejuela, y autorizando al expresado Esta decisión , y la noticia que sfn duda tuvo de la aproxima comandante de armas para distribuir entre los individuos que estu ción del general D. Manuel Lorenzo le obligó á su precipitada fu vieron á sus órdenes 6 cruces de Isabel ii que se le remiten al efec ga , que emprendió a las tres y media de la mañana repasando el to ; sirviéndose declarar al propio tiempo que el servicio prestado Ebro por el vado de S. Adrián, y tornando la dirección para Le- ■ po…</t>
  </si>
  <si>
    <t>…l Consejo Real de España se ; pero si no me engaño, hay establecida una manda forzosa que debe hacerse Indias. en todos los testamentos, con destino á la redención de cautivos; y siendo ■■«* Se dió cuenta de un oficio del general D. Manuel Lorenzo, gobernador carga que pagan los pueblos,creo que el Estamento está en el caso de entender de la ciudad de Pamplona, remitiendo tres ejemplares de la proclama que el en esta contribución y en su inversión.” general Mina ha dirigido á las tropas de su mando, y á los habitantes de aque El Sr. Secretar…</t>
  </si>
  <si>
    <t>…e no siempre estarían libres de re5entu11ientos.De aquí seoriginó el espíritu de oposición que muy pronto formó un partido. El poder de que se a^usa hasta involuntariamente, cubriéndose algunas veces con el velo de la ”EJ general D. Manuel Lorenzo participa con fecha de 19 desde Pamplo justicia y llevado de apariencias seductoras^ ha dado mas de un pretexta ú iste na haber regresado el'díá-19 á aquella plaza el general en gefe del ejército del partido, en el que.los unos, mezclando con el interej, de la verdad el suyo pro Norte, quien sehabi…</t>
  </si>
  <si>
    <t>…do abuso de libertad de im Partes recibidos en la secretaría de Estado y del Despacho de les Guerra. prenta que -ve notare en su contenido, aunque sea por medio ^e .comunica- " dos, ó por copia hecha de otros impresos. El general D. Manuel Lorenzo (1) participa con fecha de 19 dél corrien Art 5.° Todo impresor de algún periódico deberá entregar gratis cuatro te desde Pamplona que en aquella misma tarda acababa de regresar el general ejemplares de cada número el mismo día de su publicación en el archivo del en gefe, que -se habia movido con l…</t>
  </si>
  <si>
    <t>Lorenzo-con</t>
  </si>
  <si>
    <t>…!828« corregida y aumentada por el présbítéro P. Antonio Hernández. gsma los Eiatallónes que atacaron aquel pueblo. Pos tomos «n'4¿® divididos en tres volúmenes á (Sí rt. rama y Id2’ dn 'liaira cornoft. c En el propio dia' 13 él general Lorenzo-con las.tropas de su mando, per Contiene eí tomo l.° de esta obra las vísperas de domfnica y ferUs”. iks^conráemotacio»- siguió vivamente á Zamalacarregui, que por la tarde tomó ta posición de Asar- nes comunes: las vísperas de rempore: las.propias y comunes de ÍQS-santos: Ios Jiimaos ttfftñá^habrendo…</t>
  </si>
  <si>
    <t>Lorenzo.r, Manuel</t>
  </si>
  <si>
    <t>Manuel Lorenzo.r</t>
  </si>
  <si>
    <t>…a tan memorable suceso. £1 parte circunstanciado lo recibirá V. E. tan pronto como me sea posible. «Dios guarde á V. £ muchos años.. Cuartel general d/e Sta. Cruz de Campezu 29 de Di ciembre de 1833 á las ocho de la norhe.—Fxemo. Sr.^=Manuel Lorenzo.r=Excmo. Sr. capi tán general de Aragón.” «Columna de upciaciones del ejército de Aragon.ssrExcmo. Sr.: Me apresuro á comuni car á V. E. que los rebeldes de Navarra reforzados con dos batallones de Uranga, con la fuerza'aproximadií—de63 hombres y 200 caballos, colocados tras de parapetos en las for m…</t>
  </si>
  <si>
    <t>Lorezo, Manuel</t>
  </si>
  <si>
    <t>Manuel Lorezo</t>
  </si>
  <si>
    <t>…efe de la 1.* brigada de la de Echarriaranaz ayer con las divisiones 1.* y 2 1 de infantería, mandadas por 1. a división , mariscal de campo D. Joaquín Gómez y Ansa, y coronel Don los mariscales de campo D. Joaquín Gómez y Ansa y D. Manuel Lorezo, i Bartolomé Amor, gefe de la 3.a brigada de caballería de este ejército, sin ol mas dos escuadrones de caballería, cazadores de la Guardia Real, con el gefe vidarme del brigadier barón de Mer , gefe de la 2.a brigada de la 1.a divi de la brigada de.caballería á que pertenecen coronel D. Bartolomé'…</t>
  </si>
  <si>
    <t>Lorichtz</t>
  </si>
  <si>
    <t>…cido S. M. el. Rey de Suecia d nues S. M. la Reina Gobernadora ha tenido l bien mandar que tra augusta Reina Doña Isabel ii , ha presentado sus nuevas crer- los ministros del supremoTtíbunal de España é Indias, excep denciales eí caballero Lorichtz en calidad de encargado de Nego tuándose su Presidente , ocupen en él mismo el lugar que les cor cios de aquel Soberano. responda'según sus primeros títulos de ministros togados en las au I • 1 V • t . . Real orden. diencias , chancillerías 6 consejos del reino. De Real orden lo di go 4 V, E. para…</t>
  </si>
  <si>
    <t>Loricre, Simón</t>
  </si>
  <si>
    <t>Simón Loricre</t>
  </si>
  <si>
    <t>…lor dé los géneros para el derecho, ha sido desconocida hasta los viendo concüos, cosa que podía contribuir en eran manera a rei.ijtf dem ivaaranceles que rigen, y no se ha privado de ella á los buques españo do la disciplina- El coronel Simón Loricre, comandante de! depara MenO', hx les hasta ja citada Real órden de 13 de Julio, en la que al paso que (tomado en consecuencia una determinawioa que parece do!x?r penudiá- r^d -s se restableció el antiguo derecho de habilitación; Unico grav.imen 1 estos inconvenientes, y satisfacer al mÍMU» tiemp &gt;…</t>
  </si>
  <si>
    <t>Loriga, Antonio</t>
  </si>
  <si>
    <t>Antonio Loriga</t>
  </si>
  <si>
    <t>…ciamiento, los cunduacanecos ofrecen escarmentarlos, hacer respetar la constitución, y la auto Habiendo vacado el ¡mbierno civil de la provincia de Corana ridad del esclarecido presidente de la república. por dimisión del coronel D. Antonio Loriga, que he tenido á bien 6. ° El br. gefe político que preside este acto mandará el dia de mañana aceptar, vengo erv conferirlo al gobernador civif de k provincia de publicarlo por bando para que llegue á noticia de todos y no puedan alegar Valladolid D. José Táboada. Tendréislo entendido, y dispondré…</t>
  </si>
  <si>
    <t>…dignado nombrar subdelegado principal de Fonteo-plimientos Está rubricado de la Real manos En Aran juez á 14 to de la provincia de Aviló á D. Francisco Agustín Srtvela : de], de Abril de 18 34-—A D. Javier de Burgos. de Coruña á D. Antonio Loriga, confiriéndole este encargo en comisión: de la de Cuenca á D. Ventura de Córdoba: d&amp;b$ Habiéndome dignado aprobar en esta fecha la Ordenanza ge Logroño á D. Pío Pita Pizarra: de la de Lugo á D. Laureano Gu neral de los presidios del reino, é instituyéndose en ella el destino tiérrez : de la.de Sori…</t>
  </si>
  <si>
    <t>…iliar al ejército del Norte, dice al capitán general de este reino lo siguiente: Extracto del parte Temitido por el gobernador civil de la provincia de la Columna de Aragon.=Excmo. Sr.: Leí activa y decidida persecución en Coruña D. Antonio Loriga con fecha de 3 de Mavo a_tuai.que nos hemos empeñado la brigada del general Lorenzo y la mía , no me ha Continúa el estado floreciente de la agricultura y ganadería: y este últimnpermitido dar á V. E. avisos de mis movimientos ; pues internados en la mon prosperarla aun mas si se removiesen las tra…</t>
  </si>
  <si>
    <t>…ria decisiva sobro aquellas hordas de malhechores.” ([Galignani's Messenger.) Extracto del parte remitido por el gobernador civil de la provincia de la --------Una carta de Francfort de fecha 29 de Junio dice lo siguiente; Coruña D. Antonio Loriga, con fecha de 5 de Julio actual. «Loa rumores contradictorios que se esparcieron hace algún .tiempo con La agricultura sigue en el mejor estado.</t>
  </si>
  <si>
    <t>…é el retroceso de Alman sa, quedando las demas tropas persiguiendo en diversas direcciones las pequeñas Extracto del parte remitido por el gobernador civil,fie la jjrqvincia de lp gavillas, en que se dividieron. Dios &amp;c.” Cor uña D. Antonio Loriga , con fecha de 7,de Junio ac(qai. Expone las causas que impiden el fomento dé la agricultura, ¡ndustrja yr El mismo capitán general de Valencia, con la propia fecha, y desde el re comercio en dicha provincia, indicando Iqs remedios y manifestando haber he ferido.punto , avisa entre otras cosas quy…</t>
  </si>
  <si>
    <t>Loriga, D Antonio</t>
  </si>
  <si>
    <t>D Antonio Loriga</t>
  </si>
  <si>
    <t>…e pronunciamiento, los cunduacanecos ofrecen escarmentarlos, hacer respetar la constitución, y la auto Habiendo vacado el ¡mbierno civil de la provincia de Corana ridad del esclarecido presidente de la república. por dimisión del coronel D. Antonio Loriga, que he tenido á bien 6. ° El br. gefe político que preside este acto mandará el dia de mañana aceptar, vengo erv conferirlo al gobernador civif de k provincia de publicarlo por bando para que llegue á noticia de todos y no puedan alegar Valladolid D. José Táboada. Tendréislo entendido, y dispondré…</t>
  </si>
  <si>
    <t>Loriie, Manuel</t>
  </si>
  <si>
    <t>Manuel Loriie</t>
  </si>
  <si>
    <t>…s de Aibarracin y Gea; y ha al cesante D. Manuel Felipe Campuzano, mandando $. M que sea separado biendo oido M. con el mayor sentimiento la narración de estas desgracias, el mozo de oficio D. Pedro Lugilde , y que ocupe su lugar D. Manuel Loriie, se ha servido mandar en Real prden de 9 del actual, que proponga con bre nombrado internamente por el administrador principal. vedad los medios convenientes de aliviar la triste suerte de aquellos habi tantes. También se ha servidb S. Al. nombrar para la plaza de oficial de la secretaría y contadu…</t>
  </si>
  <si>
    <t>Lorrute, Francisco</t>
  </si>
  <si>
    <t>Francisco Lorrute</t>
  </si>
  <si>
    <t>…xpresar á V. E. , que asi las Las bucódcat Ai Rhgino , trudu idas en verso castellano con un apéndice sobre juntas municipales de Maibella y Ojen, como el facultativo D. Jo^é Mendoza el Cantar de los Cantares; por e\ pr&lt;-sbit&lt; ro D. Francisco Lorrute s judiv dúo super numerario de la Rtai academia greco latina. Se venden á lo rs. rn Madrid tu las y Mayol, que pasó á ambos pueblos con objeto de tomar un conocimiento de librerías de Cuesta y ae á*uz} Sevilla eo la de Hidalgo; Valencia en la de Cabrerizola clase de enfermedades que aquejaban á aqu…</t>
  </si>
  <si>
    <t>Los'rebeldes</t>
  </si>
  <si>
    <t>' 138 , . .X' del príncipe políticos El primer número da cuenta de la risita Mi- Excmo. Sr.: Los'rebeldes, habiendo reunido la fuerza que tenían en Santa- y literarios. losch i Belgrado. (Standard.} - ' . / con la división mandada por el general Lémos, que ocupaba el A.lentejo, y-Ja que bajo las órdenes del brigadier .Rebocho habla venido de las inmedia ciones &lt;fe Oporto , intentaron desalojarnos de la…</t>
  </si>
  <si>
    <t>Losa, Genaro de Rivas y</t>
  </si>
  <si>
    <t>Genaro de Rivas y Losa</t>
  </si>
  <si>
    <t>…para la escuadra y ejército turco, y que la Rusia acaba de reclutar Ocaña y D. Fernando de la Torre, que lo eran del extinguido tropas en la Valaquia y Moldavia. Mas ¡cuál es el móvil de rodo Consejo: para las dos de relatores á D. Genaro de Rivas y Losa y esto! Lo único que sabemos es que la-escuadra rusa surta en Sebas D. Antonio Casanova,que lo eran primero y teFcerodel expresar topol está pronta á hacerse á la vela para Constantinopla á la pri do Consejo: para la de escribano primero de Cámara al q¡úc la des mera señal; que el Emperador Nicolás h…</t>
  </si>
  <si>
    <t>Losada, Benito</t>
  </si>
  <si>
    <t>Benito Losada</t>
  </si>
  <si>
    <t>…dante el teniente ANUNCIOS. D. José Viniegra dispuse qüe reconociese el pueblo y siguiese el movimiento Da Caño L©Y Los suscriptores filarmónico al periódico titulado la Lira Ae Apelo* flanqueando mi derecha , mientras el coronel D. Benito Losada y yo al frente tarán 1 9á ranearerecoger ----------------cavatina Adea. 1„la suscripción) que contiene: n Pro el fitvíl-enncuaderno \')12, f(últimoñlti.nA de la caballería cargamos al galope sobre la facción, que sostuvo con fuego la ba mi tlai, de la opera seria Ugo conde de París* del maestro Douiz…</t>
  </si>
  <si>
    <t>Losada, D Benito</t>
  </si>
  <si>
    <t>D Benito Losada</t>
  </si>
  <si>
    <t>…e un ayudante el teniente ANUNCIOS. D. José Viniegra dispuse qüe reconociese el pueblo y siguiese el movimiento Da Caño L©Y Los suscriptores filarmónico al periódico titulado la Lira Ae Apelo* flanqueando mi derecha , mientras el coronel D. Benito Losada y yo al frente tarán 1 9á ranearerecoger ----------------cavatina Adea. 1„la suscripción) que contiene: n Pro el fitvíl-enncuaderno \')12, f(últimoñlti.nA de la caballería cargamos al galope sobre la facción, que sostuvo con fuego la ba mi tlai, de la opera seria Ugo conde de París* del maestro Douiz…</t>
  </si>
  <si>
    <t>Losada, D Manuel María</t>
  </si>
  <si>
    <t>D Manuel María Losada</t>
  </si>
  <si>
    <t>…ular, se distribuirían ambos, y después se señalaría dia para la discusión. Se mandaron pasar á la misma comisión los poderes y documentos de El Sr. Medrano reclamó que en su opinión se habia faltado al reglamen aptitud legal del Sr. D. Manuel María Losada, electo Procurador por la pro to por haberse permitido hablar á un individuo de la comisión , y no ¿ los de vincia de Orense, y los del Sr. D. Miguel Puche, que lo es por la de Murcia, mas Sres. Procuradores que querían tomar parte en la discusión. én reemplazo del limo. Sr. D. Antonio Posadas elev…</t>
  </si>
  <si>
    <t>Losada, José</t>
  </si>
  <si>
    <t>José Losada</t>
  </si>
  <si>
    <t>…los rebeldes su-derecha, la cual atacaban ya de D. Manuel María Badiilo, contuso; á los capitanes de carabineros-y tiradóixa frente dos ©ompañías &lt;Je Gerona, y por el fuego que al costada opuesto rom de Gerona £). Joaquín Bayon y D. José Losada : al valiente tómente de ca pió un pequeño t destacamento de tiradores de Isabel n , que conducido por su rabineros á caballo D. Dionisio Troncón, y a los capitanes de cazadores de le» bizarro teniente D. Bernardo Echaiecu, salió de la casa fuerte; este movimien regimientos de Avila y del 2.® batal…</t>
  </si>
  <si>
    <t>Losada, Manuel María</t>
  </si>
  <si>
    <t>Manuel María Losada</t>
  </si>
  <si>
    <t>…, se distribuirían ambos, y después se señalaría dia para la discusión. Se mandaron pasar á la misma comisión los poderes y documentos de El Sr. Medrano reclamó que en su opinión se habia faltado al reglamen aptitud legal del Sr. D. Manuel María Losada, electo Procurador por la pro to por haberse permitido hablar á un individuo de la comisión , y no ¿ los de vincia de Orense, y los del Sr. D. Miguel Puche, que lo es por la de Murcia, mas Sres. Procuradores que querían tomar parte en la discusión. én reemplazo del limo. Sr. D. Antonio Posadas elev…</t>
  </si>
  <si>
    <t>Lóseles</t>
  </si>
  <si>
    <t>…e Leuchtem mahdante general de lá división de operaciones dé la Rioja, coniecha 4 del berg y Santa Cruz, las condiciones de*su casamiento.con dicho Príncipe. — actual: me dice desde Logroño lo qué s¡gue.=»Excmt&gt;. Sr.:El brigadier Don «Lóseles comisionados arriba/designados, después de cangear sus pierios Narciso López, comandante general de in división dé la' Jabera, con fecha de poderes j que se, hallaron en. debida forma, convinieron en losartículos. si hoy. desde Lerin, donde &lt;je acuerdo conmigo pasó á situarse, rae participa que gui…</t>
  </si>
  <si>
    <t>Lot, Thenard</t>
  </si>
  <si>
    <t>Thenard Lot</t>
  </si>
  <si>
    <t>…ranca cordialidad ha reinado en minoridad facciosa impedir que se pronunciase sentencia dada por la mayoría asta grande reunión industrial, á la cual asistían los señorea ministro del Co de los votos. mercio , prefecto del Sena y barón Thenard. Lot siguientes brindis fueron No hab'endo un tribunal superior establecido para estos casos, pertenecía acogidos con apáuso universal. al ministro de Justicia recordar sus obligaciones alpresidente y al juez Terzetti, Mr. Payen , Presidente: y libertar la acción de los tribunales de los obstáculos que…</t>
  </si>
  <si>
    <t>Lottum</t>
  </si>
  <si>
    <t>…cione-*. Se e— subdelegados do la renta, y fallaban ron acuerdo de asesor, han de pera dentro de aleunas semanas al ministro Ancillon; entre tanto . e¡ ministro pasar á los St%hdelegadns de Fomento, que no le tienen, ó lian de se conde Lottum despacha interinamente el ministerio de Nervio* extranjero*. guir despachándose por aquellos funcionarios. Y S. M., teniendo ni Se Han remondo de alffun tiempo á esta parte todos |&gt;&gt;i obstáculos que p rai consideración «pie, aunque los subdelegados de Fomento lo son na zaban el comercio entre la Pr…</t>
  </si>
  <si>
    <t>Louis</t>
  </si>
  <si>
    <t>…dia 5 de Noviembre del año próximo pasado, las salvas de los En seguida quedan electos por votación secreta los Sres. conde de Molliens, fuertes de la plaza y de la capitanía del puerto, junto con el repique general T de Roy y el barón Louis para la tema que se ha de presentar á S. M., á fin de campanas anunciaron la próxima solemnidad. ' de que de ellos nombre el que ha de presidir la comisión encargada de vigilar Apareció la ciudad vestida de fiesta y gala, decorados los edificios princi las operaciones de la caja de Amortización. pa…</t>
  </si>
  <si>
    <t>Lovau</t>
  </si>
  <si>
    <t>…antamientos de la ma el 23 y 27 de Setiembre á las seis y media dé la mañana en la llanura de rina rusa, que atendidas las relaciones de amistad entre las dos Potencias no ca Monceaúr por medio' de ejercicios de fuego á vista del mariscal Lovau, y del recerán de influjo sobre el litoral prusiano del Báltico, que es muy extenso y general Jacqueminot, grife del estado mayor de la guardia nacional. El próxi está sin defensa. El príncipe ha admirado también el sistema de bombas para apa. mo continuará la instrucción, como en el presente. gar…</t>
  </si>
  <si>
    <t>Loyola</t>
  </si>
  <si>
    <t>…Gobernadora del espediente promovido reunirse nns los buques de guerra y a valiente La nao con las tropas que manda.- acerca de permitir el tráfico en los dominios de Indias de las hojas 'ba, y habéis visto al virtuoso y valiente coronel Loyola conducir prisionera, de espadas llamadas machetes, se ha dignado declarar: Que en las islas con gefrs y oficiales, la columna que, mandada por un peruano desnaturalizado, de Cuba y-Puerto-Rico se consienta su introducción como hasta iba á atacar nuestras guerrillas en Huacho. Habéis visto Uesar á e…</t>
  </si>
  <si>
    <t>Loze</t>
  </si>
  <si>
    <t>…ne veré adonde nuevamente me enviáis y corresponderé á vuestra confianza con gocios se animan, y la colonia camina á su prosperidad. Las experiencias del mi zelo y sumisión^ Mucho tiempo hace que os pertenezco, y en esto se cifra doctor Loze para aclimatar la cochinilla dan las mayores esperánzasenos pare mi gloria. Pero, señores, ¡me atreveré á decirlo \ el gobierno representativo, y ce que dentro de poco podremos anunciar ei buen éxito de estas experiencias* ¡ojalá que la experiencia me desmienta! este gobierno, que es ya la primera…</t>
  </si>
  <si>
    <t>…do reducida á 119 thalers, y solo se trataba de saber si los fondos &gt;&gt;Hace afio y medio que-el gobierno comenzó las experiencias bajo la di adjudicados se- aplicarían al estado ordinario, ó al estado extraordinario do rección del doctor Loze, conocido por sus preciosas indagaciones acerca de la guerra. Como la mayor parte del primer año de la nueva era de hacienda trie reproducción de la especie, y desde entonces se han sucedido tres generaciones; nal, que empezó el l.°. de Enero de 1834, estaba ya pasada, una gran por resultado import…</t>
  </si>
  <si>
    <t>Lq-Ajtaif</t>
  </si>
  <si>
    <t>…dos crisis, poniendo cerca de dos, años de Es bástante sabido’eT modo cómo él g¿fteíil'(jamarríl escaló la silla pre1 intermedio entre la uíra y la otra r pero 1¿ revolución del año de 1829,r entre ■Uf n^l- .p^de que al, vjjtuaso general ■ Lq-Ajtaif fue nombrado presidente de Jos infinitos males que produjo, fue unb este peligroso trastorno. El general plrgjítpljc^en el añij» de. Gamarra fórmf) ¿1 criminal proyecto dq der- Gamarra, conociendo la aversión con que el pu^xíó le miraba, se propasó el li{ja¡|1Jlpa¿l cólpeársp cnj 5.ii lugar. Con es…</t>
  </si>
  <si>
    <t>Lrndsuberg</t>
  </si>
  <si>
    <t>…posterior. Examinadas ¡las válvulas ¡aparecían én estado natural, __E1 periódico sueco J&gt;dg~Ugt-Aieekanda diée: -qne acaba de-decidirse la pues siendo preciso conservar entero el corazón, no fue posible esamtnafle coA -suerte del capitán Lrndsuberg, 4 quien el Rey ha conmutado la sentenCñ do mas detención. tmuerte en tres años de-cárcel. -Este militar era el editor de uh periódico, ¡y fue Los riñones reblandecidos-, y su sustancia cortical-de color blanco; hallán -condenado 4 la petia-capital por ün libelo contra &gt;el Rey; peto el tribunal le…</t>
  </si>
  <si>
    <t>Lsajbei</t>
  </si>
  <si>
    <t>…16 de Junio próximo cación. pasado, por el que tuve á bien crear los subsecretarios de las secre Art: 70. Tendrá una de las tres llaves del arca. tarías del Despacho, He venido en mandar lo siguiente en nombre de mi excelsa Hija Doña Lsajbei, m. ..umuBP. CAPITULO VIII. 1? Los mencionados subsecretarios, por el hecho de su nombra Del Archivero. miento , quedan declarados secretarios de la Reina con ejercicio de decretos, si ya antes no lo fueren. Art. 11. Como el destino de archivero ha de ser desempeñado 2? GrOzarán del sueldo de 600 r…</t>
  </si>
  <si>
    <t>Lsfuente, Tadeo</t>
  </si>
  <si>
    <t>Tadeo Lsfuente</t>
  </si>
  <si>
    <t>…obresobrequequelasefiebreprecaveamarillatambieupierdey se curadentro]de 3 provincial) de Sanidad Un modo hasta ahora infalible, con la quina tomada por un método absolutamente] nuevo y distinto del que se ha usado comunmente. Por D. Tadeo Lsfuente: un tonto] El subdelegado principal de Fomento de la provincia de Badajoz ha dado enque 8.°D. AntoniomarquillaJosef, ediciónCabaniliesde 1805demostró, A 10 rs.en enlas rústica.—Descripciónlecciones públicas deldeafiolasplaütas]de i8oi,I parte al ministerio de Fomento de haberse verificado en aquell…</t>
  </si>
  <si>
    <t>Ltnage, D Francisco</t>
  </si>
  <si>
    <t>D Francisco Ltnage</t>
  </si>
  <si>
    <t>…os. Excmo. Sr.zrjuan Antonio Delgado.nExcmo, Sr. Secretario de Estado y del El brigadier D. Ramón Gómez de Bedoya, en 26 del propio mes de Fe Despacho del Fomento general del Reino. brero, desde Arciniega da parte que el teniente coronel D. Francisco Ltnage^ capitán de carabineros de costas y fronteras, había batido una partida de rebel ‘ Copia que se cita. des que existía en Amurrio, haciéndoles dos prisioneros con sus armas; y te niendo noticia vagaban por aquel pais 100 facciosos al mando del cabecilla Ce^ Xa junta de la Real casa de misericordia d…</t>
  </si>
  <si>
    <t>Ltnage, Francisco</t>
  </si>
  <si>
    <t>Francisco Ltnage</t>
  </si>
  <si>
    <t>…o. Sr.zrjuan Antonio Delgado.nExcmo, Sr. Secretario de Estado y del El brigadier D. Ramón Gómez de Bedoya, en 26 del propio mes de Fe Despacho del Fomento general del Reino. brero, desde Arciniega da parte que el teniente coronel D. Francisco Ltnage^ capitán de carabineros de costas y fronteras, había batido una partida de rebel ‘ Copia que se cita. des que existía en Amurrio, haciéndoles dos prisioneros con sus armas; y te niendo noticia vagaban por aquel pais 100 facciosos al mando del cabecilla Ce^ Xa junta de la Real casa de misericordia d…</t>
  </si>
  <si>
    <t>Lu.c, Miguel</t>
  </si>
  <si>
    <t>Miguel Lu.c</t>
  </si>
  <si>
    <t>…cuerpo en vuestros muros. Las disensiones que despedazan á todas direcciones, derrotadas en varios encuentros, se desalientan, se disuelven,España hacen que necesite á todos sus hijos: el brazo de «tos no puede dejar se. someten. D. Miguel Lu.c; todas las provincias le abandonan, y procum.mde acudir á su socorro; han peleado con harto denuedo en nuestras filas para á Doña Alaría. El Pretendiente de España, lleno de espanto y turbación , r.ono querer derramar su sangre á fin de redimir y pacificar á su patria. Aquella hallando va donde pis…</t>
  </si>
  <si>
    <t>Luaces, Ramón</t>
  </si>
  <si>
    <t>Ramón Luaces</t>
  </si>
  <si>
    <t>…y de ellos rcsult3 que por la combinación Jiecha por D. Raimundo Hernández, y por una compañía de granaderos provinciales que el teniente coronel D. Antonio Vhlderrama, según las instrucciones que le co lo estaba al del ayudante D. Ramón Luaces, que lo verificaron con mucho ar munique, se vieron cercados lo* facciosos, tanto por las tropas que lleva consi rojo y contribuyeron á su precipitada fuga. go y otra* varia* partidas en persecución de malhechores que se destacaron á Convencidos los rebeldes de que fuera del bosque habían desaparec…</t>
  </si>
  <si>
    <t>Lubckv, Drulci</t>
  </si>
  <si>
    <t>Drulci Lubckv</t>
  </si>
  <si>
    <t>…tual del país, ignoran también de capitán* .. 4^ &lt;(i6cv.lt»d«,del gobierno: pqr mi parte puedo decir que, retardando mi di misión' ,ne. cedido ál deber mas imperioso de. mi vida para con el Rey y la ___ Escriben de Berlín.que .el príncipe Drulci Lubckv.^ consejero, íntimo de nación. S M. el Emperador de Rusia', ha salido de aquella ciudad el 8 de este mes El noble duque dé Wellington se ha engañado, si ha creído que yo no para trasladarse i Parif. Se dice ^qufi yiepe encargado^dp pqa comi»¡OD partic|pcontestarja i rus alusiones rqlativasá nuestra…</t>
  </si>
  <si>
    <t>Lubecki</t>
  </si>
  <si>
    <t>…enipotenciario de Prusia, y de cualquier modo este in 150 millones de francos á 85; pero pide 5 por 100 de intereses, y la Rusia cidente dilatará la ejecución del tratado con Prusia, que debía empezar en 1.® solo quiere dar 4- El príncipe Lubecki ha recibido instrucciones para activar de Enero de 1835. esta transacción. El gobierno ruso presenta como garantía del empréstito los dominios de Polonia que pertenecen al Estado, y las tierras de aquel país que han sido con ■ Ta tempestad que ha reinado los dias 17 y 18 de este mes, ha causado fis…</t>
  </si>
  <si>
    <t>Lubertic</t>
  </si>
  <si>
    <t>…iscursos y máximas que tanto lulo y ligrimas han costado siempre á la Francia. ESPAÑA. La Gaceta de Augs burgo, citando una carta de Paris de principios de Madrid 29 de Mayo. Mayo, habla de la próxima llegada á aquella cor le del príncipe Lubertic con la Partes recibidor en la secretaría de Estado y del Despacio de la Guerra. misión ostensible de reclamar 30 millones de florines polacos que prestaron los nobles á la Francia en tiempo del imperio; pero es mas probable que su venida El capitán general de Cataluña enn fecha del 21 da parte de l…</t>
  </si>
  <si>
    <t>Luego</t>
  </si>
  <si>
    <t>…este mi clero, a cuyo nombre y mío los elevo a las en Mellado, secretario. trañas maternales hacia esta monarquía, que caracterizan á V. M.^pidiendo a Dios le continúe dando sus auxilios, para que en su gobierno consiga vasallos Señora: Luego que recibí la noticia del fallecimiento del Sr. Rey D. Fer que sean buenos cristianos, con lo que hará la España feliz en lo espiritual y nando vn (Q. S. G. G.) me apresuré á trasladarla á todos los individuos de en lo temporal. Dios guarde la importante vida de V. M. muchos años en mi jurisdicción…</t>
  </si>
  <si>
    <t>…con los 60 carabineros, 20 voluntarios de Vinaroz y un pi Partes del capitán general de Valencia. quete de 10 hombres del 13 de linea que saqué de lq^guamicion de Peñíscola, reuma un total de 220 hombres. A las cinco de la Excmo. Sr.: Luego que llegó a' mi noticia la derrota de la fac tarde emprendí mi marcha por uno de los caminos mas ásperos que ción de Carnicer por las tropas de Cataluña, previ la importancia pueden presentarse; y antes de llegar al pueblo, dispuse que el te de cubrir con algunas fuerzas la parte de aquel principad…</t>
  </si>
  <si>
    <t>Luego, Presidente</t>
  </si>
  <si>
    <t>Presidente Luego</t>
  </si>
  <si>
    <t>…t documento» que podirodar á la comuiau mltim El Sr. Secretaria del Despacha de Hacienda-. «Es predio «fiscutir en la idea de las nryreidades y. recunot dd país. Hieda toy bien sp snda &lt;1 asta totalidad el «surto cómo ha dicho el Sr. Presidente. Luego entraré la discu do que se prewnu en dicho informe, y la roeniiicu no «sega que ha «m; pero' sión de la primara parte del dictimen da la comineo, en que todo* sus indi la fsltirde aquellos oomprobtnieada dicho noado Indi ir 11 mdaerdo é h piui viduos convienen. y en amuida la del proyecto que propo…</t>
  </si>
  <si>
    <t>Lugilde, Pedro</t>
  </si>
  <si>
    <t>Pedro Lugilde</t>
  </si>
  <si>
    <t>…a avenida del OuáHalaviar en los términos de Aibarracin y Gea; y ha al cesante D. Manuel Felipe Campuzano, mandando $. M que sea separado biendo oido M. con el mayor sentimiento la narración de estas desgracias, el mozo de oficio D. Pedro Lugilde , y que ocupe su lugar D. Manuel Loriie, se ha servido mandar en Real prden de 9 del actual, que proponga con bre nombrado internamente por el administrador principal. vedad los medios convenientes de aliviar la triste suerte de aquellos habi tantes. También se ha servidb S. Al. nombrar para la pla…</t>
  </si>
  <si>
    <t>Luis</t>
  </si>
  <si>
    <t>…el Principado , siendo cada dia mas Ídem idem de campo, alféiez D. Manuel de Larrain. inútiles los esfuerzos de los malvados que intentan alterarla, por el buen espí Guardia Real de i.¡if.intcrM.=Cap;tan&lt;s , D. Leopoldo O-DonelJ; D. Luis ritu tjue reina en los habitantes , y las activas y enérgicas disposiciones do las García Luna; teniente*, D. José Faldera; D. José Oriol Despajo!: alférez -autoridades. ccs, D. Miguel Azígra ; D. darlos Fanch ; D. í oren/r* Smuhs. Soria , 9.° de linca =1 enicntc , D 1c nací o V: ñcd alféreces , D.…</t>
  </si>
  <si>
    <t>…e semejante sistema halle cabida en unos perió marineros de dicho buque , y á los pasageros D. JoseChavez , Don dicos justamente despreciados ya por el publico; pero á lo menos Gerónimo Pérez García, D. Francisco García de bosa , D. Luis me lisonjeaba de que no tendría acogida en esta Cámara. Martínez Diaz, D. Felipe Cliavez, D. Leandro Cuevas v D. Fran Sin embargo, no hace mucho que de resultas de las asonadas de cisco González Chavez , habiéndose quedado en Abaco el capitán Par is, habían repelido los periódicos su acostumbrada c…</t>
  </si>
  <si>
    <t>…«La sociedad, violentamente atacada en nuestros muros, se ha visto re ó menos tiempo el consejo del Rey Luis Felipe: ducida á la dolorosa necesidad de emplear medios terribles de represión; estos Los Sres. Dupont (de l'Eure), el barón Luis, el mariscal Gerard, el mediós han causado muchas desgracias, arruinado á muchas familias, y costado conde Rigúy, Bignon, Guizot, de Broglie, el mariscal Maison, Monfalivet, la vida á centenares de inocentes. ¡El incendio ha devorado ricos edificios y casas Merilhout, d'Argout, el mariscal Soult, B…</t>
  </si>
  <si>
    <t>…ciudad'i la de Castello-branco, pienso enviar á la encaminé á ellos con mi ayudante de campo el capitán graduado plaza de Ciudad-íELotfcígo todo el equipage hallado; debiendo hacer D. JoséHallegg, el subteniente de la plana mayor D. Luis del presente á V. E^qws^los fardos no reconocidas irán sellados con Arco y mis ordenanzas, haciendo que el escuadrón de la Rei mi $ello , pues seria sumamente entretenido proceder á un examen na avanzase al trote siguiendo mi movimiento para sostenerlo en de lo qué contienen. caso necesario, y situando…</t>
  </si>
  <si>
    <t>Luís</t>
  </si>
  <si>
    <t>…8 de Junio, su buque, volvió la proa hacía aquellos desgraciados , y después de dos peli F.l Jmparcia! publica un estado de lo que ha producido en el año de 1833 grosas bordadas logró libertarlos de la muerte. Uno de ellos era el capitán Luís el derecho que se percibe en los teatros, bailes, conciertos áte., y que está Martin , comandante de la tartana francesa la JoteJina , y el otro uno de sus concedido en favor de los indigentes. Asciende el total á 025,222 fr. 14 c. marineros. Su buque, que salió de Marsella para Genova con un carga…</t>
  </si>
  <si>
    <t>…190 Para ludias.......... ... 4°° aoo iCACETA DE MADRID. ARTICULO DE OFICIO. Dieta de 30 de Octubre de 1834-, relativamente al establecimiento de un tri bunal de jueces árbitros. S. M. la Reina nuestra Señora, su augusta Madre la Reina «Luis por la gracia de Dios, Rey de Bavlcra &amp;c. «Los doce artículos relativos al establecimiento de un tribunal de jueces Gobernadora y la Berma. Sra. Infanta Doña María Luisa, continúan árbitros destinado a allanar las desavenencias que pudieran acaecer entre el sin novedad en su importante salud. gobie…</t>
  </si>
  <si>
    <t>…ue son empleados; lo que - -.wEl Emperador Nupoleont se propuso continuar estos trabajos; pero no se no importará ciertamente- para que ios electores los nombren si hallan prendas 1 lo-periniiiecon las: circunstancias. Después el rey Luis deBaviera.á imita en ellos que respondan de su aptitad y moralidad. - ción. «falo* soraánpH quiso emplear en.lo mismo una parte de su ejército; mis La prensa no conseguiri nada, porque si la conducta del gobierno y el pian las rentas de este reino no eran suBciente^para una empresa de tal importanc…</t>
  </si>
  <si>
    <t>…llevar la voz del gobierno en la Cámara de los ____ Un periódico publica la lista de los ministros desde el 31. de Julio ds Comunes, como antes lo hacia lord Althorp. Corre también 1a noticia de'que 1830, y son Dupont de l’Eure, barón Luis, mariscal Gerard, el conde de Mr. R. Gordon reemplazará á Mr. Ellice en el ministerio de la Guerra. Rigny, Bignon, Guizot, duque de Brdglie, mariscal Jourdan, Tupinier, Mole, (Times.) Sebastiani, Laffitte, Casimiro Perrier, mariscal Muison, Montalivet, Merilhou, d’Argout, mariscal Soult, Barthe, Gi…</t>
  </si>
  <si>
    <t>…erra , por la marcha y rompiese el fuego sobre ios enemigos tan pronto como estuv e en cu)o medio lograron matar algunos facciosos y capturar otros, contribuyendo á tiro. Por la izquierda destaqué una guerriHa con el sargento 2-° D. Luis de de este modo á la destrucción de aquella gavilla. Quintas ai mando del subteniente ilimitado D. Francisco Rubio con la mis ma orden, y por la derecha al capitán ilimitado D. Francisco Mediavilla y al Madrid 2B dt Abril. teniente retirado D. Juan José del Arenal, siguiendo yo con el subteniente .Don Jo…</t>
  </si>
  <si>
    <t>…imposible , si tenemos presente regimiento del Rey, l.° &lt;ic línea, á las de su "alférez D. Francisco Vil laido; lo que nos dice d celebre autor español Diego Ufano, de que pAra los disparo» peto que sabedor el expresado teniente D. Luis huero á poco de su salida, de la primitiva y antigua artillería se usaba de la excesiva carga de todb el peso por parte que recibió del alcalde del pueblo de Pedro, de que una partida de 21 de la bala, y cuando mentas de la mitad de^su peso: Deduciendo pues, los re facciosos se habia dirigido hacia…</t>
  </si>
  <si>
    <t>…cas, supuesto que no Según noticias que la Gaceta de Ausburgo lia recibido de Nauplia, se .quedan en pie sino las paredes, cuyo aspecto es bastante monotono. Hoy á aabe que en dicha ciudad se celebró el 25 de Agosto la fiesta del Rey Luis .medio día se veia aun salir humo de enmedio de' los escombros, y de tiempo de Baviera, y que la noche antes se dló un gran baile por el presidente de la asa tiempo algunas llamaradas que obligaban á emplear las bombas, aunque regencia, á que asistió el Rey Otón. La regencia ha expedido varios decr…</t>
  </si>
  <si>
    <t>Luis, D</t>
  </si>
  <si>
    <t>D Luis</t>
  </si>
  <si>
    <t>…idas de la sierra , por la marcha y rompiese el fuego sobre ios enemigos tan pronto como estuv e en cu)o medio lograron matar algunos facciosos y capturar otros, contribuyendo á tiro. Por la izquierda destaqué una guerriHa con el sargento 2-° D. Luis de de este modo á la destrucción de aquella gavilla. Quintas ai mando del subteniente ilimitado D. Francisco Rubio con la mis ma orden, y por la derecha al capitán ilimitado D. Francisco Mediavilla y al Madrid 2B dt Abril. teniente retirado D. Juan José del Arenal, siguiendo yo con el subteniente .Don Jo…</t>
  </si>
  <si>
    <t>…e hace el imposible , si tenemos presente regimiento del Rey, l.° &lt;ic línea, á las de su "alférez D. Francisco Vil laido; lo que nos dice d celebre autor español Diego Ufano, de que pAra los disparo» peto que sabedor el expresado teniente D. Luis huero á poco de su salida, de la primitiva y antigua artillería se usaba de la excesiva carga de todb el peso por parte que recibió del alcalde del pueblo de Pedro, de que una partida de 21 de la bala, y cuando mentas de la mitad de^su peso: Deduciendo pues, los re facciosos se habia dirigido hacia…</t>
  </si>
  <si>
    <t>Luis, José</t>
  </si>
  <si>
    <t>José Luis</t>
  </si>
  <si>
    <t>…as provincias dqjnde.se búbie^n ^usccitOv Se súplica i los suscrÍ|»Ofeá ^ue acudán áréenger bks éiítrégasque les faltan. PROVINCIA DE CÁCERES. —-Lecciones sobre la retóric4 ‘jitasbellas letras• por HuguBUtn-las^tradujo del ingles D. José Luis sMunarri^Teccera.ecHcfqni cuatro, ¿otnps. en 8.°.marquilU: te halla en Con 1a misma fecha de 29 dice el gobernador civil de esta provincia que Madrid' en la librería de Pereí'a 64 rs. eri pas^a. En la misma librería se halla, tam compendlo de la misrné el obra* segunaa edidion, un Tomb en S.* marqu…</t>
  </si>
  <si>
    <t>Luis, Nicolás</t>
  </si>
  <si>
    <t>Nicolás Luis</t>
  </si>
  <si>
    <t>…ro asunto es la permanencia en Suiza de otros extrangeros inquietos, Asimismo se ha servido S. M. nombrar capellanes de honor de contra cuyas tentativas desean las Potencias algunas seguridades: con el objero stl 'Réal capilla, á D. Nicolás Luis dé Lezo, presbítero racionero de darlas, contestó el vorort en 24 de Junio,; cuya contestación somete al mas antiguo de la Santa Iglesia metropolitana de Sevilla; al Doctor juicio de la Dieta, pues á ella sola toca decidir si es justa la queja, que se habia D. Manuel González Hermida, cardenal mayo…</t>
  </si>
  <si>
    <t>Luisa, Al.nía</t>
  </si>
  <si>
    <t>Al.nía Luisa</t>
  </si>
  <si>
    <t>…nalnra en el Real j 11 i i i • &gt; .le (’ irr-’crion de pipirei r híletet. Riolrio. También gn¿j .le perleeta salu.l en el expresado Real sitio En c3ta ofi. ¡na habrá un "fu ial prime: i . m 120 rs.: un sejurvla Serma. Sra. Infanta Doña Al.nía Luisa. doion R I l. t: c&gt; auxiliare» c..n 14) cada uno. .tro s-iscin Gd. "U'# seis ."ii aJ: otros ocii a ojri 4Ó), y un p. «rtero con oúb S. M. la Reina Cobernjdora se lia servi.ln dirigirme el Real de cretn siguiente: Sel/--,,-. Siguiendo el plan que me ¡te propuesto .le re.lea-ir manto sea &gt; .•'■ri 120…</t>
  </si>
  <si>
    <t>Luisa, Alaría</t>
  </si>
  <si>
    <t>Alaría Luisa</t>
  </si>
  <si>
    <t>…tra Señora, au augusta Ma&lt;lre la Reina Tienen de costo los tres resguardos que han regido hasta ahora............... . ............................................................... 48.092.4HRGobernadora y la Serma. Sra. Infanta Doña Alaría Luisa, continúan Gistará el terrestre que se propone........... 2í). 4.56,8-52 &gt; p ., sin novedad en su importante salud en el Real Sitio del Pardo. Idem el marítimo......................................... ó.ÜUU.OOOí’ Resulta de diferencia á favor del Erario......................... 15.G3ó,(J5(J Aunque…</t>
  </si>
  <si>
    <t>…é nuestra ciudad', entre- OcHtrup y Cdrfetrt .. ,,-S.. M.s la Rst¡»* ‘nuestra SeñoriA, su augusta Madre Ja Reika se añade que se ejecutarán algunos simulacro?, y qué é! pueblo de Ocbtrn'p será Gobernadora y la Serina. Sra. Infama Doña Alaría Luisa, continúan bombardeado j tomado por asalto. Ya ha llegado nn número comidéi-ablé da tropas qua están acantonadas en diferentes puntos i Ib largo de las frontém. ' Aid novedad en su importante ¿alud en el Real sitio del Pardo, __ _____ íHatuitLtbland.') itaiia. . ' Ñapóles 16 de Agosto. MIÜIS.TEHJO…</t>
  </si>
  <si>
    <t>…os, como decíamos ayer , que su Hjobe.to Peel quiera fundar el S. M. la Reina nuestra Señora, su augusta Madre la Reina gobierno sobre el principio de oponerse á toda ri-fnau en la Iglesia cugiGobernadora y la Senna. Sra. Infanta Doña Alaría Luisa, continúan quiér otro departamento; pero Jo cierto es, que la oferta hecha a lord Stanley y a sir james Cxraham de entrar en el m¡nÍM-:r¡o, es una prueba sumiente de síq novedad en su importante salud. qu: la rcfo.ma que rhedita no es capaz de satSfunrr-lijsqdeseos razonables y las esperanzas de la…</t>
  </si>
  <si>
    <t>Luisa, Dofia María Isasxl</t>
  </si>
  <si>
    <t>Dofia María Isasxl Luisa</t>
  </si>
  <si>
    <t>…y en la de Cuesta \ y eo Cádiz en la de Hortal y compañía. Ge An al A jara. (Provincia de)—Guadalajara. Trigo, de 49 á 42 rs- ... Descripción de las funciones con que la M. N. A. y L. ciudad de ubeda celehrd la jura de la Serma. Sra. Dofia María Isasxl Luisa dk Borbow, como heredera del fanega: cebada, de 18 á 20 id.: garbanzos, de 24 4 26 rs. arroba: vino, de 6 trooo de las Espafias, en los dias r5, 16. 17,18, 19 y 20 de Agosto de 1833. Un cua i 7 id-: aceite, de 43 á 44 id. derno en 4.0, rústica. Se hallará á 3 rs. eo la librería de Viana Razóla. Pue…</t>
  </si>
  <si>
    <t>Luisa, DqÍía María Isabel</t>
  </si>
  <si>
    <t>DqÍía María Isabel Luisa</t>
  </si>
  <si>
    <t>…partes. Añade que por espacio de dos meses se ha dado alimen OHa á S. M. la Rt.ikj* Gobernadora , después det feliz nacimiento de S. M. la to á mas de 500 enfermos convalecientes, y han sido socorridos de 400 á 500 Reina nuestra Señora, DqÍía María Isabel Luisa, compuesta y pre».entada por Diio mei e.traUs, que en cuadrillas dirigidas por individuos de la junta han ejecuta —Manuel■■—A laHernandomuerte HePízarro.S. M. (Q.Un G.cuadernoG.) el enSr. 4*°D. mayor,Franciscoedición1, Hedefeliz,1831, memoria,a 2 rs. rímicaFu do muchos é importantísimos trabajos, t…</t>
  </si>
  <si>
    <t>Luisa, Infama Doña Alaría</t>
  </si>
  <si>
    <t>Infama Doña Alaría Luisa</t>
  </si>
  <si>
    <t>…nco leguas'dé nuestra ciudad', entre- OcHtrup y Cdrfetrt .. ,,-S.. M.s la Rst¡»* ‘nuestra SeñoriA, su augusta Madre Ja Reika se añade que se ejecutarán algunos simulacro?, y qué é! pueblo de Ocbtrn'p será Gobernadora y la Serina. Sra. Infama Doña Alaría Luisa, continúan bombardeado j tomado por asalto. Ya ha llegado nn número comidéi-ablé da tropas qua están acantonadas en diferentes puntos i Ib largo de las frontém. ' Aid novedad en su importante ¿alud en el Real sitio del Pardo, __ _____ íHatuitLtbland.') itaiia. . ' Ñapóles 16 de Agosto. MIÜIS.TEHJO…</t>
  </si>
  <si>
    <t>Luisa, Infama Doña María</t>
  </si>
  <si>
    <t>Infama Doña María Luisa</t>
  </si>
  <si>
    <t>…e y seriade otradestruirtodoseí loSordenesfuerzosde cosasimavinihlrtexistente en p¿raEu iñantener la paz á trido trance. (Gaceta nacional.) S. Mi lá1 ReíkA nuestra Señora; su augusta Madre la ReinA aUstíía. Gobernadora y la Sorma^Sra. Infama Doña María Luisa, coritinúari Viend é de Setiembre. ¿in novedad eil sü ini portante salud en el Real Sitio del Pardo. El mes próximo se esperan en esta ciudad varios individuos de la fami gSi»iM=É 'HT y ;r rj5É5ÉÉsMÉSÉB=ijia=igg liade Ungrfa,Real quey residenel archiduqueen las provincias:Ranerio, vireyentrédeellos…</t>
  </si>
  <si>
    <t>…DE OFICIO. . tuRL Se intitula esta obrtta El triunfo de la Iglesia y de la Santa Sedet y se atribuye á S. S. Gregorio xvi. {El Mercurio.) 0 S. M. la Reina nuestra Señora, su augusta Madre la Ruina bélgica. Gobernadora y la Serma. Sra. Infama Doña María Luisa, continúan Bruselas 17 de Noviembre. sin novedad en su importante salad en el Real Sitio del Pard o. La importancia de 4as relaciones comerciales de la Bélgica con la Fran cia se ha aumentado también en el año de 1833. Seg m el cuadro general del comercio de Francia durante dicho año venios qufí la…</t>
  </si>
  <si>
    <t>Luisa, Infanta Daña María</t>
  </si>
  <si>
    <t>Infanta Daña María Luisa</t>
  </si>
  <si>
    <t>…. M. la Reiiía nuestra Señora, su augusta Madre la Reina Art. S.° El empleado de la aduana deberá examinar si la cantidad dejos derechos que se hayan de percibir, indicada en la declaración del oficial del Gobernadora y la Serma. Sra. Infanta Daña María Luisa, continúan puerto, es conforme con lo que la tarifa señala; si pensare que la declaración no es exacta, recibirá del mismo modo el pago y dará su recibo; pero al ins fin novedad en su importante salud en el Real sitio del Pardo. tante dará aviso al oficial del puerto de la inexactitud, la cual adem…</t>
  </si>
  <si>
    <t>Luisa, Infanta Doña Al.nía</t>
  </si>
  <si>
    <t>Infanta Doña Al.nía Luisa</t>
  </si>
  <si>
    <t>…Reina Crobernalnra en el Real j 11 i i i • &gt; .le (’ irr-’crion de pipirei r híletet. Riolrio. También gn¿j .le perleeta salu.l en el expresado Real sitio En c3ta ofi. ¡na habrá un "fu ial prime: i . m 120 rs.: un sejurvla Serma. Sra. Infanta Doña Al.nía Luisa. doion R I l. t: c&gt; auxiliare» c..n 14) cada uno. .tro s-iscin Gd. "U'# seis ."ii aJ: otros ocii a ojri 4Ó), y un p. «rtero con oúb S. M. la Reina Cobernjdora se lia servi.ln dirigirme el Real de cretn siguiente: Sel/--,,-. Siguiendo el plan que me ¡te propuesto .le re.lea-ir manto sea &gt; .•'■ri 120…</t>
  </si>
  <si>
    <t>Luisa, Infanta Doña Alaría</t>
  </si>
  <si>
    <t>Infanta Doña Alaría Luisa</t>
  </si>
  <si>
    <t>…la Reina nuestra Señora, au augusta Ma&lt;lre la Reina Tienen de costo los tres resguardos que han regido hasta ahora............... . ............................................................... 48.092.4HRGobernadora y la Serma. Sra. Infanta Doña Alaría Luisa, continúan Gistará el terrestre que se propone........... 2í). 4.56,8-52 &gt; p ., sin novedad en su importante salud en el Real Sitio del Pardo. Idem el marítimo......................................... ó.ÜUU.OOOí’ Resulta de diferencia á favor del Erario......................... 15.G3ó,(J5(J Aunque…</t>
  </si>
  <si>
    <t>…se. N'o erremos, como decíamos ayer , que su Hjobe.to Peel quiera fundar el S. M. la Reina nuestra Señora, su augusta Madre la Reina gobierno sobre el principio de oponerse á toda ri-fnau en la Iglesia cugiGobernadora y la Senna. Sra. Infanta Doña Alaría Luisa, continúan quiér otro departamento; pero Jo cierto es, que la oferta hecha a lord Stanley y a sir james Cxraham de entrar en el m¡nÍM-:r¡o, es una prueba sumiente de síq novedad en su importante salud. qu: la rcfo.ma que rhedita no es capaz de satSfunrr-lijsqdeseos razonables y las esperanzas de la…</t>
  </si>
  <si>
    <t>Luisa, Infanta Doña Mará</t>
  </si>
  <si>
    <t>Infanta Doña Mará Luisa</t>
  </si>
  <si>
    <t>…losiempreque gastanaquí sumaslos empleaenor mes para hacerse partidarios. \ S. M. la Reina nuestra Señora, su augusta Madre la Reina Los periódicos franceses que han sentado que el viace del Emperador Ni Gobernadora y la Sernta. Sra. Infanta Doña Mará Luisa, continúan colás tenia un objeto inmediatamente hostil a la Francia, han procedido, a nuestro parecer, con alguna ligereza : se trata sencillamente de ponerse de acuer sin novedad en su importante salud en el Real Sitio del Pardo. ^ do aobre-st-crmvendría HeclaiaT atTamentg-ia-tmioa- de las tres Po…</t>
  </si>
  <si>
    <t>Luisa, Infanta Doña María</t>
  </si>
  <si>
    <t>Infanta Doña María Luisa</t>
  </si>
  <si>
    <t>…obernadora en el Real palacio 8636 marcos mas 1$ de onza, lo míe asciende al año i un total de de Riofrio. También goza de perfecta salud en el expresado Real marcas y 7¡ onzas de plata pura. &lt;Gaceta dt Hanndteri) sitio la Serma. Sra. Infanta Doña María Luisa. ■ , ; ’l . Francfort 11 de Julio. Hoy ha libado í esta ciudadSú M. la Reina de-Bavievá, que sis dete REAL DECRETO. nerse ha continuado su viage dirigiéndose i Biberich . donde te halla S. ¡A. el Para servir el importante cargo de Presidfente del Tribunal su duque de Nassau. . L‘ - . premo de España…</t>
  </si>
  <si>
    <t>…estaba ya completamente restablecida la tranquilidad. (Courier.) S. M. la Reina nuestra Señora, su augusta Ma«lre la Reina ------ Las últimas noticias que hemos recibido de Méjico anuncian que este país Gobernadora , y la Serma. Sra. Infanta Doña María Luisa, conti se halla en una terrible agitacipn^ á causa de las medidas adoptadas por Santana, núan sin novedad en su importante 'salud en el Real'Sitio del Pardo. de acuerdo con el clero y la milicia, contra los decretos emanados del congre so, sobre todo en lo concerniente i los intereses de la Iglesia…</t>
  </si>
  <si>
    <t>…iones de parte de Mchemet-Alí. Dicen con referencia á cartas de Alepo S. M. la Reina nuestra Señora, su augusta Madre la Reina que una parte de los insurgentes luego que supieron qtif el príncipe de las druGobernadora y la Serma. Sra. Infanta Doña María Luisa, continúan tos Emir-Bejir había concluido un tratado con Mebemet-Alí, y reunido 109 sin novedad en su importante salud en el Real Sitio del Pardo. Drusos á lis tropas egipcias, se rindieron á discreción; pero que N api usa des pués de un trato empezadery no concluido fue tomada por asalto con gran…</t>
  </si>
  <si>
    <t>…xivtranslatumSeptembris,ejus anno Dommi «ucccxxxtv, aetatis suae xxivi ” S. M. la Repta nuestra Señora, su augusta Madre la Reiwa ----. t as colonias que pertenecen actualmente á la corona de la Gran Breta Gobernadora y la Serma. Sra. Infanta "Doña María Luisa, continúan ña , Sin incluir las que están gobernadas por la compañía de las Indias, son jin novedad en su importante salud en el Real Sitio del Pardo. las siguientes r En las Indias y America dei Sur: l.° La Antigua y la Barbuda. 2.° Las Barbadas. 3.° La Guayar..» británica. La Dominica. 5.° Granad…</t>
  </si>
  <si>
    <t>…na-* Weymaf ha tenido dos en 1809 y 1816; Sijonia-Ccbourg dos en 1816 y . S. M. la Rauta nuestra Señora, su augusta Madre la Renta 1821 ; Sajonia-Meiniflgen dos en 1824 y 1829. Esta es común con la de Sa-* Gobernadora y la Serma. Sra. Infanta Doña María Luisa, continúan jonia-Hildburghauseñ, qué ya había tenido una en 1821. La ciudad de Franc fort há tenido én 1810, 1811 y 1812 tres Constituciones, todas abolidas, sin novedád en su importante salud en el Real sitio del Pardo, Waldeck ha tenido tres, dos en 1814 , y una en 1816, la cual subsiste. Nassau…</t>
  </si>
  <si>
    <t>…En la sesioÉ de SyeTel Senado adaptó úna ley jotró la salida de leí ganf de'Riofrio. También góza de perfecta salud en el expresado Real dó». El cdnde. de Robiabo babia propuesta tib nUeVo irtícÓto, *en vírtoS áS Sitio la Serma. Sra. Infanta Doña María Luisa. cual se hubiera prohibido la entrada de los zanades que vienétí de BdsiüyitiL de ¿1 i.° dé Julio hasta él 31 de Octubre, tola prOpOsscípn apOyidi pot las sér fioigs Mooreghem, cotldí Viliin XrV, y Léfebvr^Méuifet , y catbbatídapdr ii tñimstró dé la Justicia y' el de Hacienda, tolo fue delechada por…</t>
  </si>
  <si>
    <t>…e Mr. Pryme: que sea abolido el gran» jurado en IngUtcfra y principado S. M. la Reina nuestra Señora, su augusta Madre la Reisa De Mr. Poulter: que se haga una ley para la mas exacta observancia del j(jjt)J)ern9dora,y, la Sentía. Sra. Infanta Doña María Luisa, conti domingo. núan sin novedad eii arititportante salud en el Real SMo del Pardo. De Mr. Rlppon : que los arzobispos y obispos no rengan j'ir'-e m lac ftin- ciones legislativas ni judiciales de la Ornara alta del Parlamento, con el,fin de que puedan dedicarse al ministerio pa.toral por medio de u…</t>
  </si>
  <si>
    <t>…: tari ax............. 38o 190 y&amp;- Para India»....,_ ... 400 too coa. GACETA DE MADRID. ARTICULO DE OFICIO. PAUTE NO OFICIAL. S. M. la Reina nuestra Señora, su augusta Madre la Rf.iha NOTICIAS EXTRANGERAS. Gobernadora v la Serma. Sra. Infanta Doña María Luisa, continúan Sin novedad eu su importante salud en el Real Sitio del Pardo. (Continuación del correo anterior.) ESTA DOS-ÜNI DOS. 1Í1HISTERIO DE LO INTERIOR. Filadeljia 14 de Agosta. Reales órdenes. Se lee en una carta particular lo siguiente : .Las noticias de Nueva España anuncian que la división d…</t>
  </si>
  <si>
    <t>…de que el Perú no podiá dejar de mirar con el mayor üorror , S. M. la Reiíja nuestra Señora, su augusta Madre la Reís*. al asesino de su virtuoso presidente, las intrigas y el influjo de la fuerte fricié~ Gébeúiadora v la Serma. Sra. Infanta Doña María Luisa, continúan ron que Gamarra fuese nombrado para ocupar el lugar fle su víctima. Como sus crímenes habían hecho que la opinión estuviese «*- rrvfag aiii novedad en su importánte sattid en p! Real sitio del Pardo. contra él, porA odas-partea AmrroñTraba ramhten resistencia; por todas partes nacían rev…</t>
  </si>
  <si>
    <t>…la Reuta nuestra Señora, su augusta Madre la Reirá bien se asegura que jse piensa en hacer tarde ó temprano una nueva reparti ción de le Polonia, repartición que será muy ventajosa para la Prusia; pero es Gobernadora, y la Serma. Sra. Infanta Doña María Luisa, conti de creer que se dilatara la ejecución de este proyecto á causa de los zelos que núan sin novedad en su importante salud en el. Real Sitio del Pardo. ha manifestado el Austria siempre que se ha intentado enriquecer el reino de Prusia con los despojos de aquella desgraciada nación. INGLATBRBA.…</t>
  </si>
  <si>
    <t>…lo Interior. sus predecesores en circunstancias semejantes. De Real orden k&gt; di Ercmo. Sr.: SS. MM. la Reina nuestra Señora y su augusta go á V. E. para su inteligencia, no dudando S. M. que V. E. em Madre, é igualmente S. A. la Señora Infanta Doña María Luisa, pleará el zelo mas ardiente para-que tengan cumplido efecto las be continúan sin la menor novedad en su importante salud. Lo que de néficas miras de S. M. en que tanto se interesan la religión v ei Real orden participo á V. E. para su satisfacción y efectos oportu Estailo. Dios guarde á V. E. much…</t>
  </si>
  <si>
    <t>…rono por el Presidente de la comisión respectiva, concebido en estos términos: S. M. la Reina nuestra Señora, su augusta Madre la Rf.ina «Señor: La Cámara de los Pares ha oido con inexplicable júbilo, entu Gobernadora y la Serma. Sra. Infanta Doña María Luisa, continúan siasmo y gratitud la expresión de los generosos sentimientos, emanada del co sin novedad en su importante salud en el Real Sitio del Pardo. razón de V. M. L, en el día en que viendo, después de una série de vicisitu des prodigiosas y de acontecimientos memorables, reunidas del trono cons…</t>
  </si>
  <si>
    <t>…te De Panamá y aunf de Francia me han escrito sobre el particular, y no S- M. la Reika nuestra Señora, su augusta Madre la Reina tengo inconveniente en' presentir á la Carrura las cartas y proyectos que he Gobernadora y la Serma, Sra. Infanta Doña María Luisa, continúan recibido. No desconozco lo difícil que es expedir una ley en la miteria sin te ner reunidos y á la vista todos los datos que ella requiere; pero tampoco pue sin novedad en su importante salud en el Real Sitio del Pardo. do resistir al deseo de que el congreso favorezca la empresa con un…</t>
  </si>
  <si>
    <t>…la Reina nuestra Señora, su augusta Madre la Reina veridad. Dicen que nueve de estos refugiados habías vuelto á enirar en el país con nombres falsos, y aun se añade que habían querido atentar á la vida del Gobernadora y la Serma. Sra. Infanta Doña María Luisa, continúan Emperador. Han sido arrestados, pero todavía no se ha decidido su s-uerte. sin novedad eb sa importante salud en el Real Sitio del Pardo. IKCLATERRA. landres 18 de Arov iembre. PARTE NO OFICIAL. Hé aquí el discurro que ha pronunciado lord Brougham en el convite del nuevo lord corregidor:…</t>
  </si>
  <si>
    <t>…. = Francisco Martí nez de la Rosa. =Sr. Secretario de Estado y del Despacho de lo In Exorno. Sr.: Tengo la satisfacción de participar á V. E. que terior. SS. MM. la Reina ndestra Señora y su augusta Madre, é igual mente S. A. la Señora Infanta Doña María Luisa, continúan sin la Excmo. Sr.: He tenido la honra de presentar á S. M. la Reina menor novedad en su importante salud. De Real orden lo comunico Gobernadora los modelos que me ha remitido V. E. por el parte de á V. E. para su satisfacción y efectos oportunos. t)ios guarde á V. E. hoy, del trage de ce…</t>
  </si>
  <si>
    <t>…bernadora en el Real palacio "de RioFrioT También goza de perfecta salud en el expresado Real eclesiásticos de los dominios de Ultramar, con un oficial. Esta me parece la distribución que indica la índole misma de sitio la Berma. Sra. Infanta Doña María Luisa. los negocios; todos tendrán,, según'eLia, su centro conocido, tán in dependiente en sus emanaciones , que será casi imposible confun dirlos, v que á primera vísta se conocerá el buen desempeño é res EXPOSICION HECHA A S. M. POR EL SECRETARIO ponsabilidad de sus encargados. Tiene alemas esta distribució…</t>
  </si>
  <si>
    <t>…basta que la corte del Príncipe esté dispuesta para entrambas ceremonias. S. M. la Reina nuestra Señora, su augusta Madre la Reina ------ La Gaceta Je EitaJo de Berlín del 9, dice que la población de aquelGobernadora y la Serma. Sra. Infanta Doña María Luisa, continúan sin novedad en su importante salud en el Real Sitio del Fardo. reino, sin contar el principado de Neufcbatel, ascendía á fines de 1833 4 12.223,385. _ - ---------------------------- TI Mercurio Je Sueña da las siguientes noticias de Munich: el Rey y la S. M. la Reina Gobernadora se ha se…</t>
  </si>
  <si>
    <t>…puede excusarse de recomendar á la medi S. ,M. la Reih a. nuestra Señora, su augusta Madre la Ratita tación del cuerpo legislativo. En el empeño de multiplicar las atribuciones de las jamas E. A,se olvidó,Gobernadora f ía Semia. Sra. Infanta Doña María Luisa, continúan sin duda, que la policía y los consulados de Comercio tienen cada uno La* suyas,Sin novedad en su importante salud en el Real Sitio del Pardo. tan semejantes, si se atiende al texto de las leyes vigentes, á los usos y prácti cas recibidas, que llegado el caso de operar todas esas reparti…</t>
  </si>
  <si>
    <t>…mismo dia recibió el presidente una carta del generalTramaría, qaa S. M. la Reirá nuestra Señora , su augusta Madre la Reirá contenta varios insultos y decía, que ei general Bermuldez, viendo á Ja capital Gobernadora, y la Serma. Sra. Infanta Doña María Luisa, conti abandonada por el gobierno, y entregada i la anarquía, había tomado tobrc si el cargo de tranquilizarla. El presidente creyó que no debía entrar en discusión núan sin novedad en su importante salud en el Real Sitio del Fardo. cón un rebelde, y le pareció mejor guardar la dignidad jkLgohiflmo…</t>
  </si>
  <si>
    <t>…as la Puerta, cediendo á pérfidas promesas, haya retirado su ejército. de Riofrio. Tamhien goza de perfecta salud en el expresado Real Pero la Puerta no se dejará engañar de nuevo, antes bien se esforzará en soste sitio la Serma. Sra. Infanta Doña María Luisa. ner el orden una vez restablecido, para lo cual presenta gran facilidad la mis ma situación de U Bosnia. Sabido es que hasta ahora la población turca ha sido la única que ha rehusado, bajo U dirección de sus capitanes, obedecer las órde nes del Sultán y de sus gobernadores, suscitando rebeliones, a…</t>
  </si>
  <si>
    <t>…EI gobernador de este Estado comunicará este decreto á las legislaturas S. M. la Reirá nuestra Señora, su augusta Madre la Rama de los demás ‘Estados, solicitando su spoyo. El poder ejecutivo publicará, ha Gobernadora y la Serma. Sra. Infanta Doña María Luisa, continúan rá circular y ejecutará este decreto —V Ícente R.ame¡ro.—Migará Laso-, coirc- »in novedad en su impórtame salud en el Real sitio del Pardo. gidor.=:S. Luis de Potosí 6 de Junio.” (La Aleja de Nueva-Orleans.j PERÚ. __________ lima 28 de Alríi. Huonauo be u&gt; ntruiot.. El 26 del corriente h…</t>
  </si>
  <si>
    <t>…or la ley, rui S- M. la Reirá nuestra Señora, su augusta Madre la Reirá nosas para el comercio: signo cierto de inmoralidad y miseria. Advertido el prestamista de esta situación, no tardó en comprender que Gobernadora y la Serma. Sra. Infanta Doña María Luisa, continúan el prolongarla dependía en gran manera de su conducta, y que, observando la Isin novedad en su importante salud en el Real sitio del Pardo. de un especulador tenaz , insensible y reservado, érale fácil hacerse de un título fuente á una adjudicación anual del cuarto ó el tercio, sobre la…</t>
  </si>
  <si>
    <t>…RID. ARTICULO DE OFICIO. puesta de 12 carabineros-, de dos aventajados, y de uno de los co mandantes , tenientes é calxjs que la mande. S. M. la Reina nuestra Señora, su augusta Madre la Reina articulo 22. Gobernadora y la Serma. Sra. Infanta Doña María Luisa, continúan Cada brigada ó ronda se dividirá también en dos escuadras con sin novedad en su iinportante salud en el Real Sitio del Pardo. ¡cual fuerza, dirigidas cada una en su mecanismo interior por uno de los cabos ó de los aventajados. ARTICULO 23- REALES DECRETOS. Las urgencias del servicio dete…</t>
  </si>
  <si>
    <t>…inco hombres de su gavilla, y corre-peiígro él mismo de ser capturado muy pronto. S. M. la Reina nuestra Señora, su aú^usti Madre la Reina —-En el periódico griego 0 Sother (el Salvador) se lee lo siguiente:Gobernadora y la Serma-Sra. Infanta Doña María Luisa, continúan ♦&gt;El Real decreto sobre la repartición de tierras ha excitado el mas vivoáinncív^Jíad'én ¿ú iniportante salud en el Real Sitio del Pardo. sentimiento de gratitud al -gobierno y ^h-míni^tm que ha prnp^i&lt;mrri &lt;-c.ra mftdí da. A la verdad es preciso ser muy torpe para no granjearse ci afect…</t>
  </si>
  <si>
    <t>…era atristaddefinitivamente,-y.viendolosme derechosotra vezengaña-é inter^s de la Neerlandia, violados de una manera injusta por la revolupibn ~de S. M. la Reika. nuestra Señora, su augusta Madre la Rjstka Gobernadora y la Serma. Sra. Infanta Doña María Luisa, continúan «Los obstáculos imprevistos que han sufrido las negociaciones, y no me ha sido posible allanar á pe,ar de los esfuerzos a pilcados, me han empeñar; sin novedad en su importante salud en él Real Sitio del Pardo. do en buscar los medios oportunos para aligerar en cuanto es posible las car…</t>
  </si>
  <si>
    <t>…n aprovecharse de las circunstancias, redobla su actividad y em prende grandes armamentos de tierra y mar. (Corresponsal dt Nuremburgo.) T». M. la Reiwa nuestra Señora, su augusta Madre la Rauta ING1ATBRRA. Gobernadora y la Serma.Sra. Infanta Doña María Luisa, continúan ¡Andrés 25 de Noviembre.sin novedad en su importante salud en el Real Sitio del Pardo. Fondos públicos.. Tres pac 100 consolidados 9l£ á 911. Hoy á las tres de la tarde se reunió la Cámara de los Comuires en la bi PARTE NO OFICIAL. - bliotecalord HilldelelaanunciaronCámara dequelos S.Lor…</t>
  </si>
  <si>
    <t>…DE MADRID. ARTICULO DE OFICIO. tubquia. ■\ Constantino fia 28 de Julio. S. M. tí Rfi-t* miesíra-Señorau su augusta Madre' la Reina A-provecho la salida de un correo para anunciaros que la rebelión de Siria Gobernadora y la Serma, Sra. Infanta Doña María Luisa, continúan toma un carácter muy sério. Ibrahím-baja tendrá mucho trabaja para sostener sin novedad en su importante salud en el Real sitio del Pardo. se , porque en muchos puntos, y principalmente en las montañas del Líbano, reina la mayor efervestencia entre los habitantes. Ibrahim trata de reconc…</t>
  </si>
  <si>
    <t>…. la Reina nuestra Señora, su augusta Madre la Reirá al edificio. Nuestio amado Soberano ha hecho recompensar generosamente á algunos aldeanos que le presentaron varias monedas, antiguas.encontradas en lasGobernadora, y la Serma. Sra. Infanta Doña María Luisa, conti cercanías, donde existió en otro tiempo una gran ciudad. S. M. ha dispuesto núan sin novedad en su importante salud en el Real Sitio del Pardo. que estas antigüedades se coloquen en su rico monetario. (Gazzetta piernentese') Genova 2 de Setiembre. PARTE NO OFICIAL. camposLasdelluviasesta ciu…</t>
  </si>
  <si>
    <t>…ndoñedo, Orense y Lugo, que sufrieren perjuicio por la su presión ^lel Voto. ____Si Mi h Bm»&gt; nuestra Señeravsu augusta Madre la Reum fábrica de la iglesia de Santiago, y del déficit que le resulte por laGobernadora y la Se riña. Sra. Infanta Doña María Luisa, continúan supresión del Voto, te señalara d finido por el que deban satisfacerse sin novedad en su importante salud en el Real Sitio del Pardo. aquellas. Art. 8? El M. R. arzobispo de Santiago en unión con el gober Doña Isabel ii, por la gracia de Dios, Reina de Castilla, de nador civil, teniendo…</t>
  </si>
  <si>
    <t>…la Re tu a nuestra Señora, su augusta Madre la Reina to clero ocupaba la derecha, los ministros y la alta nobleza la izquierda, y los empleados del Estado ocupaban el frente. AJ lado del trono estaban colo Gobernadora y la Serma. Sra. Infanta Doña María Luisa, continúan cados sobre una mesa los halase herifs de S. A- el Sultán. Al cabo de media hora se presentó en el salón S. A S. precedido de su primer ayudante de cam •in novedad en bu importante salud en el Real Sitio del Pardo. po, y sostenido por los ministros de lo Interior y de la Justicia, y subi…</t>
  </si>
  <si>
    <t>…deben qne industrias Y S. M. se ha servido nombrar para esta comisión al Sr. D. Ja- S. M. la Reiita nuestra Señora, su augusta Madre la Reina cobo María de Parga, Procer del Reino, presidente; á D. Vicente Gobernadora y la Serma. Sra. Infanta Doña María Luisa, continúan González Arnao, del consejo Real; á D. Rafael Cabanillas, inspec sin novedad en su importante salud en el Real sitio del Pardo. tor general primero del ramo; á D. Estanislao de Peñafiel; á Don Juan Montoto, contador de la dirección general, y á los inspectores de distrito D. Guillermo Sc…</t>
  </si>
  <si>
    <t>…nvitación especial de SS. MM* ARTICULO DE OFICIO. allí y la Reina. el Rey S. M. la Reina nuestra Señora , su augusta Madre la Reina - —Mr. Rothschild ha dejado esta ciudad de resultas de un expreso que reciGobernadora ^ laSerrna. Sra. Infanta Doña María 'Luisa, continúan bió de P-dris, en que se le decía que inmediatamente se trasladase á aquella ca 8Ín novedad én su importante salud en el Real Sitio del Pardo. pital. Sus amigos íntimos han Jjecho-cofrcr la voz que-este víage es por puro entretenimiento; pero parece resucito con demasiada prontitud para…</t>
  </si>
  <si>
    <t>…ismos los hechos referidos, y á hacer aplicación de todas Jas consecuen 6» M. la Rkiha nuestra Señora, su augusta Madre,1a Reísa cias que de ellos se deben deducir. Mucho menos podrían sin degradarse y sin Gobernadora y la Serma. Sra. Infanta Doña María Luisa, continuad ofender a la ilustrada nación mejicana, detenerse en las ridiculas y miserables sofisterías con que los seductores y aduladores de un magistrado extraviado, sin novedad en su importante salud en el Real sitio del Fardo. tratan de persuadir con afectaciones dolorosas, que tan inauditas vi…</t>
  </si>
  <si>
    <t>…. la Reina nuestra Señora, su augusta Madre la Reina tes de Inglaterra, se han ocupado en. acopiar vestuarios y pertrechos de guerra, con el objeto sin duda que los periódicos han anunciado; mas esu especu Gobernadora, y la Sema. Sra. Infanta Doña María Luisa, conti lación ha sido desgraciada, como son por lo común las que solo se fundan núan sin novedad en su importante salud en el Real Sitio del Pardo. en el ciego. cálculo de un lucro pronto y exhorbitante. Los aventureros armadores que se han dejado arrastrar por este cebo, ar redrados al fin por los…</t>
  </si>
  <si>
    <t>…de banco nacional del año pasado) 7 como no se ha presen lado ninguna de Riofrio. También goza de perfecta salud en el expresado Real suscripción para efectuarle, propuso los media» dé hacerlas útiles con «1 atrac sitio la Serna. Sra. Infanta Doña María Luisa. tivo de algunas esperanzas que no existían en el primer plan, y solicitó U crea ción de 49 coptraiqscripciones al 6 por 100, que debían depositarse en dicho banco como garantía de las acciones que tomaría el gobierno en Jo sucesivo. Es probable que la legislatura s* opondrá i todos estos manejos',…</t>
  </si>
  <si>
    <t>…onistas en los casos que lo crea necesario; dirigirá al Gobierno las reclamaciones S. M. la Raina nuestra Señora, ni angosta. Madre la Reirv que parezcan justas &lt;5 convenientes para él mejor desempeño de sn Gobernadora y'la Sema. Sra. Infanta Doña María Luisa, ccquiad-in comisión, promoviendo la liquidación y reconocimiento «le las deadas del Estado á favor de la compañía para proceder en 'su caso *Jsin novedad en su importante salud en el Real Sitio de1 Pardo. reparto entre los accionistas del sobrante de los capitales de la em presa que pueda resultar…</t>
  </si>
  <si>
    <t>…ii,sus concedebanderas,¿ loslo quebenese ■ S. M. la Rkida nuestra Señora, su augusta Madre la Reiha veáficó en la forma siguiente: __ Al llegar el referido Sr. gobernador al parage señalado para tan solem Gobernadora y la Serma. Sra. Infanta Doña María Luisa, continúan ne acto, fue recibido por el regí miento formando en batalla con su digno coro sin novedad en su importante salud en el Real Sitio del Pardo. nel primer comandante D. Antonio García Oña á la cabeza, el que saliendo á recibir ai Sr. gobernador, paso este por delante de las filas, acompaña…</t>
  </si>
  <si>
    <t>…a lo muy S. M. la Reirá nuestra Señara, su augusta Madre la Reirá preciso, y acomodados á los valores del pais, y con proporción á los goces que pertenecen á cada clase y se detallan en la nota que acom gobernadora y la Ser nía. Sra. Infanta Doña María Luisa, comí mían paña á esta Instrucción. sin novedad en su importante salud en el Real Sitio del Pardo. Art. ót Todos Jos gastos que se ocasionen por los motivos que -expresan los artículos 5! y 4'.‘ sé justificaran ron recibos délos mis REAL DECRETO. mos interesados en cuanto á socorros personales; de…</t>
  </si>
  <si>
    <t>…. ficándola con tino y discernimiento. Tal es. Señora, el motivo que me impele á someter á la aprobación de V. M. la adjunta instruc S. M. la Reina nuestra Señora, su augusta Madre la Reina ción adicional. Gobernadora y la Serma. Sra. Infanta Doña María Luisa, continúan El haber querido imponer una cantidad fija de 10 millones de sin novedad en su importante salud en el Real Sitio del Pardo. reales, aumentada posteriormente hasta 14 millones; el intentar re partí r las cuotas con proporción á las ganancias individuales, siendo imposible averiguarlas, y…</t>
  </si>
  <si>
    <t>…M. la Reina nuestra Señora, su augusta Madre la Reina solo aquello que han de hacer por sj como maestros, sino también lo que han de mandar hacer á otros; y para esto les convendrá ponerse en ei caso deí Gobernadora, y la Serma. Sra. Infanta Doña María Luisa, conti Monitor de la clase inferior, acompañándole algunas veces en el desempeño núan sin novedad en su importante salud en el Real Sitio del Pardo. de su obligación, e ir haciendo lo mismo con los demas Monitores de clase, de inspección &amp;c. hasta el Monitor general de orden. 2.° Deberán presentars…</t>
  </si>
  <si>
    <t>…rurales. De Real orden lo co S. M. la Reirá nuestra Señqya, su augusta Madre la Reirá munico á V. para su inteligencia v cumplimiento. Dios &amp;c. Ma drid 31 de Agosto de I834.=José María Moscoso de Altamira. Gobernadora y la Serma. Sra. Infanta Doña María Luisa, continúan *in novedad en su importante salud en el Real sitio del Pardo.----- ELSr. Secretario rtet Despaclio de la Guerra me dice que con fecha de ayer comunica al capitán general de ese distrito lo si guiente: -Convencida S. M. del deseo de contribuir al exterminio de REAL DECRETO. los facciosos…</t>
  </si>
  <si>
    <t>…enimprima,el Palaciopubliquedel gobiernoy circuledelá Astado,quienes toen Toluca á 8 de Julio de i834*=José María Esquível.crJ. M. Cora, secretario. S. M. la Reina nuestra Señora, su augusta Madre la Reina Gobernadora y la Serma. Sra. Infanta Doña María Luisa, continúan Idem 6 Je Julio. sin novedad en su importante salud en el Real Sitio del Pardo. Hoy se ha celebrado en la catedral la solemne función del primer día del ® triduo que el cabildo metropolitano ha dispuesto hacer a la Divina Providen cia, en acción de gracias por el triunfo que ha obtenido…</t>
  </si>
  <si>
    <t>…r, cujas 3&gt; M. la Rsnu nuestra Señora , su augusta Maidre la Ranea igitur jwentus tantorum meritorum memoriam, inque gratitudinis mona— mentum perenne, bañe ejtís imaginrm depingere fecit. Animas si ipsius Gobernadora y la Serma. Sra. Infanta Doña María Luisa;, continúan - mores que depingi potuissent, pulcrior in terris nulla tabella foret. 1833. Proseguid, pues, ¡oh jóvenes! aprovechándoos de las lecciones del Sr. do sin novedad en su importante.salud en el Real Sitio del Pardo. rantes que por espacio de Ifi. años ha desempeñado honoríficamente las di…</t>
  </si>
  <si>
    <t>…rregui, alen S. M. la Reina nuestra Señora, su augusta Madre la Reina tadas con la presencia del rebelde D. Oírlos, y reparar en lo posible los graves danos que |&gt;or medio del rolio v del incendio causaron Gobernadora y la Serma. Sra. Infanta Doña María Luisa, continúan aquellos en unión con los desleales que los auxiliaron, se ha servilla sin novedad en su importante salud en el Real Sitio del Pardo. S. M. la Reina Gobernadora mandar: 1? Que el comisarlo régio ó su delegado que ha de instruir las causas sobre los crímenes indicados se ocupe desde luego…</t>
  </si>
  <si>
    <t>…tenimiento de la Iglesia, porque sobre este punto, no solo mis opiniones de Riofrio. También goza de perfecta salud en el expresado Real serán siempre francas ,sino que ademas mi conducta se conformará siempre coa sitio la Serma. Sra. Infanta Doña María Luisa. mis palabras. Amo de corazón la religioq de mis padres, y j^mas me prestaría á una tentativa que sea en lo mas mínimo contrario á ella. Yo protegeré las universidades, asi como las doctrinas religiosas, que son la ba^ de su enseñan za; pero no creo faltar á este deber abriendo las puertas de las ca…</t>
  </si>
  <si>
    <t>…o gusto es que todos los extraogeros entren ca Inglatcrra-p sal fi M—la-JR-Fnr* nuestra Señora, su augusta Madre lá Reina gan de ella con toda libertad, y residan entre nosotros como .naturales del |*T“t ■ Gobernadora y la Serma. Sra. Infanta Doña María Luisa, continúan El caso es que á los ingleses que quieren viajar por Holanda úlimAi mmiJúa __ titt-rtovedail errsuim portante salud enel Real sitio del Rardo. lámeme de la Bélgicas y ¿ pesar de tener sus pasaportes en rqglatse lea poses» muchas trabas a su entrada en el territorio, holandés. Ha sucedido…</t>
  </si>
  <si>
    <t>…chas de cobre, plomo y ---- 3- M. la REiNA nuéstra Señora, su augusta Madre la Recsa zinc; mercaderes que venden cintas, sedas, /tilos, medias, pañuelo# y otrps pequeños tejidos de sus respectivas clases. Gobernadora, y la Serma. Sra. Infanta Doña María Luisa, conti Quinta clase de industrias y profesiones.núan sin novedad en su importante salud en el Real Sitio del Tardo. Tratantes de maderas en almacén, corrales ó paradas; almacenis tas de papel lino y de papel pintado ó de adorno; almacenistas de TARIFA CUARTA, muebles nuevos y de moda; abastecedores…</t>
  </si>
  <si>
    <t>…do pacto, celebrado el año de 1824-, cometiendo por lo mismo cuantas depra S. K. la Rbiha nuestra Señora, su augusta Madre la Rama vaciones son imaginables; y atacando últimamente la heroica é inmaculada Gobernadora y la Se riña. Sra. Infanta Doña María Luisa, continúan conducta del ilustre presidente general libertador ciudadano Antonio López de Santana, y de nuestro actual reelecto comandante general ciudadano Ma sin novedad en su importante salud en el Real Sitio del Pardo. riano Martínezt y en fin, que esta chusma de bandoleros invocando patria y li…</t>
  </si>
  <si>
    <t>…, S. M. la Reina Gobernadora ha resuelto trasladarse á ella, con toda la Real Fam-ilia, en el dia de mañana. XBLGICA. . , S. M. la Reina nuestra Señora, su augusta Madre la Reina Bruselas 1.° de Diciembre. Gobernadora y la Senna. Sra. Infanta Doña María Luisa, continúan sin novedad en su importante salud en el Real sitio del Pardo. Podemos asegurar con toda certidumbre, sin que sea posible .desmentimos ni aun con apariencia de razón, que el primer acto de política exterior que ha ejecutado el duque de Wellington, después de haber prestado juramento como…</t>
  </si>
  <si>
    <t>…re de la sublime Puerta 5 mientras no se logre esto el bloqueo subsiste y de Riofrio. También poza de perfecta salud en el expresado Real debe producir todo su efecto, es decir, interrumpir enteramente la comunica sitio la Serna. Sra. Infanta Doña María Luisa. ción de la isla con los que están fuera. El derecho de emigrar no puede ejer^ cerse sino desde el día de la sumisión, y cuando ia autoridad establecida esté tn el caso de recibir la declaración de la voluntad individual de cada habitase* sobre su designio de ausentarse ó permanecer/’ REAL DECRETO.…</t>
  </si>
  <si>
    <t>…no solo cuando nada tiene que temer, sea para sorprender algún cuerpo S. M\. la Reina nuestra Señora, su augusta Madre la Reina que marcha ó que está acantonado, sea para hacer exacciones, para recoger ví Gobernadora, y la Serma. Sra. Infanta Doña María Luisa, conti veres, dinero y reclutas. Dado el golpe, vuelve á toda priesa al monte con su núan sin novedad eo su importante'salud en el Real Sitio del Pardo. gente y con su presa. Desde el Bastan se traslada á Ulzama, desde aquí á la Borunda, de la BojgjBSBgBB-ÍElgl ........ , ...... runda a las Amescoa…</t>
  </si>
  <si>
    <t>…os géneros sean con-, S. M. la Reina nuestra Señora, su augusta Madre la Reina ducidos á Bremer-haven. En consecuencia del dedreto del señado y vecindario de 23 de este, ordéna él senado lo' siguiente: ' ' Gobernadora y la Serma. Sra. Infanta Doña María Luisa, continúan 1? En iodos los casos de naufragio, en que iris géneros salvados sin novedad en su importante salud en el Real Sitio def Pardo. sé lleven al distrito del corregimiento (mnr) de Brémer-haven , está aquel autorizado para mandar tomar aquéllas medidas interinas de seguridad que crea nécestn…</t>
  </si>
  <si>
    <t>…arios ARTICULO DE OFICIO. pagarán Los L. Schuller y viuda Silbermann. contraventores una muita.de G. lU Üdrines por ejemplar. (&lt;Jaceta de Maguncia.') S. M. la Reina nuestra Señora, su augusta Madre la Reim Gobernadora y la Serma. Sra. Infanta Doña María Luisa, continúan BOLAN DA, sin novedad en su importante salud en el Real Sitio del Pardo. Maya 25 de Octubre. Se habla de un nuevo voto verbal que ha hecho entregar nuestro gobier no á las tres Potencias del Norte, y en el cual, según se dice, está trazada la marcha de las negociaciones acerca de las des…</t>
  </si>
  <si>
    <t>…ue el Gobierno imperial ha sido informado qué el general D. Juan A. La- S. M. la Reika nuestra Señora, su augusta Madre la Reina valleja , acompañado de rms de 200 hombres, consiguió partir de Buenos-Ai-es Gobernadora y la Serma. Sra. Infanta Doña María Luisa, continúan y desembarcar el día 12 de*Marzo en Las Higu^ritas, en la costa de Urustía v, procurando fomentar nuevas perturbaciones en el Estado oriental; pero siendo rio novedad én su importante salud. seguido inmediatamente por el coronel Medina fue totalmente derrotado en las márgenes del Rio Neg…</t>
  </si>
  <si>
    <t>…en su nos individuos. Pero en cambio los compradores de bienes rurales redoblan de importante salud. Del mismo beneficio disfrutan SS.-AA. la Sere árdor, y hay en este momento algunos pleitos sobre terrenos situados en Bohanísima Señora Infanta Doña María Luisa y el Serenísimo Señor In iini é Imozaya, es decir, á mas de tres jornadas de la metrópoli, en sitios 4 fante D. Francisco de Paula. De Real orden lo participo á V. E. que nunca se han acercado ní iun en sus mayores excursiones tas tropas fran cesas. Fs probable que estas m^mas tierras pasarán por una…</t>
  </si>
  <si>
    <t>…--ARTICULO DE OFICIO. ---------- fue declarado. Y”de Real "Órden &amp;c. Madrid fG de Setiembre de 1854.=E1 conde de Toreno.=Sres. directores de Rentas. S. M. la Reina nuestra Señora, su augusta Madre la Reina Gobernadora y la Serma. Sra. Infanta Doña María Luisa, continúan sin novedad en su importante salud en el Real Sitio del Fardo. PARTE NO OFICIAL. NOTICIAS EXTRANGERAS. MINISTERIO DE HACIENDA. Reales órdenes. ALEMANIA. Francfort 25 di Setiembre. Conformándose S. M. la Reina Gobernadora con el dictámen del Consejo Real de España é Indias en i su sección…</t>
  </si>
  <si>
    <t>…precisamen te de objetos de lícito comercio, y de ningún modo, ni bajo pretexto S. M. la Reirá nuestra Señora, su augusta Madre la Reirá algunos de los llamados de contrabando de guerra que designa el ar Gobernadora, y la Serma. Sra. Infanta Doña María Luisa, conti ticulo 24 de la ordenanza del corso, exceptuándose de esta regla por ahora y mientras los facciosos no tengan embarcaciones, ó esten en núan sin novedad en su importante salud. posesión de algún puerto, las jarcias y lonas. 5' Los cónsules, vioe-ennsutes ó encargados remitirán á los admi nis…</t>
  </si>
  <si>
    <t>…un paseo público bas tante concurrido-, especialmente en tiempo de invierno; S. M. la S. M. la Reina nuestra Señora y~su augusta Madre ía Reina Reina Gonernadora se ha servido mandar quede al&gt;olida para siem Gobernadora, como la Señora Infanta Doña María Luisa, continúan pre la costumbre de enterrar á los difuntos procedentes de dichos sin novedad en su importante salud en el Real Sitio de San Il hospitales generales en el expresado cementerio particular, v que lo defonso. sean en el general que hay á la salida de la puerta y puente de To ledo, encargand…</t>
  </si>
  <si>
    <t>….)i{, e ArOorreoa. ”;■■'■ - • Para Canarias^—38o 190 y5. 4°ó 900 ioo. “ - - ARTICULO DE OFICIO. PARTE NO OFICIAL. "■ • ' 1¿ ... S. M. la Reina nuestra Señora, su augusta Madre la Reina NOTICIAS EXTkANGERAS. Gobernadora y laSerma. Sra. Infanta Doña María Luisa, continúan Stockolmo 19 de Agosto. REALES DECRETOS. El jueves pasado sé presentó el proceso del capitán Liudeherg al cornejo dé Estado, presidido por S. M. el Rey. Todavía no se han filmado les proto Atendiendo á las reiteradas instancias que me ha dirigido él colos; pero se sabe ya positivamente q…</t>
  </si>
  <si>
    <t>…ade Siamseaf tambiény se recelanla de, conatacaralgúnel imperiofunda S. M. la Reina nuestra Señora, su augusta Madre la Reina de Birrnan. Por noticias recibidas de los Estados Unidos se sabe que el Rey de Gobernadora y la Sertna. Sra. Infanta Doña María Luisa, continúan Siam ha puesto ya en marcha 3 ejércitos de 503 hombres cada uno. Sin novedad en «u imparncnu» salud en el Real Sitio del Pardo. (Jrícnsageroí) Escriben de Valencíeñnes (departamento det Norte) , fecha 22 de Se MINISTERIO DE HACIENDA. tiembre : «EL concurso de agricultura anunciado en nue…</t>
  </si>
  <si>
    <t>…M. la Reina nuestra Señora, su augusta Madre la Reina Segunda. Aun cuando hubiese medios y elementos para reparar el estado de disolución é inmoralidad en que se halla el pais, para. Soldar las divisiones Gobernadora y la Serma. Sra. Infanta Doña María Luisa, continúan y resentimientos de los federales entre; sí, para contener la insolencia de los sin novedad en su importante salud. unitarios, y Cruzar todas sus empresas y combinaciones fraguadas de concierto con los que habitan las provincias interiores y repúblicas vecinas; aun en este cato patamente…</t>
  </si>
  <si>
    <t>…a Real Hacienda no se volverán a admitir enTo sucesivo las que se presenten por via S. M. la Reina nuestra Señora y su augusta Madre la Reina de fianzas, sin que se haga previamente su valuación por el produc Gobernadora, como lá Señora Infanta Doña María Luisa, continúan to en renta, sacando el capital por la base de un 5 por 100, bajo td concepto de que la justificación de la renta que produzcan dicliassin novedad en su importante salud en el Real Sitio de San Il fincas se ha de hacer con la presentación de las escrituras de arriendefonso. do, recibos d…</t>
  </si>
  <si>
    <t>…neum-de ‘L- 1 ! ’Sí* $L 'hrREtúÁ nuestra Señora, stlaugustá Madre la Reirá liquidación dé' fe deuda procederá á desglosar aquellos para que los interesados uáín de ellos como les convenga, é igual operación Gobernadora y la Serma.Sra. Infanta Doña María Luisa , continúan practicará con todas las consignaciones pertenecientes á dignatario* • ¡rio novedad en'su importante salud en el Real sitio del Fardo. ue lo sean desde 30 de Enero de 1828, repuliendo nota expresiva P todo ^ h éontguturja^géñcral'dé Valores. , ’ . ií 4* Con presencia de Jas referidas no…</t>
  </si>
  <si>
    <t>…LO DE OFICIO. cían en ellos para hacer la cuarentena.” De Real orden &amp;c. Dios &amp;c- Madrid 2á de Setiembre de Io.54.xJosé María Mtisroso de S. M. la Reina nuestra Señora, su augusta Madre la Reina Altamira. Gobern3&lt;Iora y la Serma. Sra. Infanta Doña María Luisa, continúan ' sin novedad en ¿u importante salud en el Real Sitio del Pardo. PARTE NO OFICIAL. MINISTERIO DE HACIENDA. NOTICIAS EXTRANGERAS. Real órílen. He dado cuenta á S. M. la Reina Gobernadora del expediente instruido cotí motivo de las varias exposiciones en rjue el tribunal (Continuación del…</t>
  </si>
  <si>
    <t>…deudalos otrospasiva.mediosLasqueobligapo ciones de la deuda pasiva no gozarán interes; se proveerá ulterior S. M. la Reiita nuestra Señora, su augusta Madre la Reina mente á su amortización y reembolso. Gobernadora, y la Serma. Sra. Infanta Doña María Luisa, conti Art. lí Todas las obligaciones y títulos que representan ahora la deuda extrangera se cambiar in [ior otros nuevos en el término núan sin novedad efn su importante salud en el Real Sitio del l’ardo. de un año después de la promulgación de esta ley. El Secretario de Estado y del Despacho univ…</t>
  </si>
  <si>
    <t>…yaabandonadas,falta provieneno ponenla inercia¿n sus trabajos la actividad y constancia necesarias para obtener resultados útiles é ' S: M. la Reirá nuestra Señora y su augusta Madre la Reirá importantes. Coliát-nadora, c&lt;jrno la Señora Infanta Doña María Luisa, continúan «De aquí proviene también la indiferencia del público, que no estando sin novedad en su importante salud en el Real Sitio de San Il al corriente de los esfuerzos que hacen los hombres ilustrados de que se com defonso. ponen las sociedades sabias, se interesan poco en ellos y descuidan mu…</t>
  </si>
  <si>
    <t>…especto al número y posición de las facetas ó espejos para la reflexión de la S. M. la Reina nuestra Señora, su augusta Madre la Reina luz, como en cuanto á la colocación de los vidrios, conr el fin de que Gobernadora y la Serma. Sra. Infanta Doña María Luisa, continúan los rayos se dirijan al piso de la calle y lo bañen en el mayor núme sin novedad en sil importante salud en el Real Sitio del Pardo. ro de puntos posible. También examinará cuál sea el número nece sario de faroles de reverbero colgantes en cada calle, y cuál será_el_ coste de cadamTcrgTn…</t>
  </si>
  <si>
    <t>…ia ....... ,-4 y amarillo, &amp;M,,-l* Ramanuestra Señora, suaugusta Madre la Rima un emblema revolucionario, no hay duda que semejante conducta es rcpicn— S}1^ túpA» «i d? á¿n# que los cantones que tenían en ello GoMrm^án j laSerma. Sra. Infanta Doña María Luisa, continúan *5*7°? ». hubieran desaprobado escenas tan ofensivas á los FjitaJflj con quita* U Suiza mantiene relaciones de amistad, y hubieran dado juna, pruebañn noredad^H fu impomnte salud en el Real Sitio del Pardo. 3 explícita de su^ desagrado , entregando los alborotadores á los tribunales t ó…</t>
  </si>
  <si>
    <t>…co. Air. Peel debe tener ~R¿»ff Tiiigstra .Señora. su/auguata Madre la Reifa bastante influencia..eu la Cámara de Jos Cpmunce.pára, quesea necesaria la di~ solución del Parlamento, í ló menpS;pqy ajiora. , Gobernadora y la Serma. Sra. Infanta Doña María Luisa, continúan El Atcrnmg kierald invita ai pubíjco á ^pciar..con. paciencia el;.resul . .-c/mí*; v j t-W. ’ ; - ■ q • ' - ’ tado de la combinación mmistenaj, fiándose en que M_.PecÍ, circunspecto y. sin noifeaad eq su impot-tante salud. experimentado como es, reflexionará sériamente spbfe. d,.qo«nhram…</t>
  </si>
  <si>
    <t>…oqueel se consideraba feliz el que se libertaba de él sin llevarse njda consigo. S. M. la Reina nuestra Señora y su augusta Madre la Reina Algunos centenares de'habitante* acampan actualmente al rededor de U Gobernadora, corno la Señora Infanta Doña María Luisa, continúan ciudad , é imploran la caridad pública; se cree que lfo personas á lo menos sin novedad en su importante salud en el Real Sitio de San Il han sido víctimas de estos incendios La pérdida de mercancías ha sido consi defonso. derable ; la ciudad de Bitoglia queda casi arruinada; felizmente…</t>
  </si>
  <si>
    <t>…ún cartas de Alejandría del 6 de Ju’io,y poruña de Ibrahim que aquel S. M. la Reirá nuestra Señora, su augusta Madre la Rptra gobierno hizo circular á jos cónsules, ios insurgentes con sus gefes se habían, Gobernadora y la Serma. Sra. Infanta Doña María Luisa, continúan retirado á las moni a ñas después de haber obtenido el perdón que imploraron; sin novedad en su importante salud en el Reai Sitio del Pardo. mas por el mismo buque portador de ota _QjrUjc. supo también que MchemeiAlí, que se había trasladado á Siria para socorrer á su hijo , ¿staSá Sitia…</t>
  </si>
  <si>
    <t>…rios de algunos Estados de Alemania. No se habla del, regreso del pre Si Mi la Reina nuestra Señora, sil augusta Madre la Reina sidente de la Dieta: así que, las incertidumbres sobre los resultados del Con Gobernadora y la Serma. Sra. Infanta Doña María Luisa, continúan greso de Viená, y las conjeturas á que da lugar, no han llegado todavía ¿ su sin novedad en su importante salud en el Real sitio del Pardoi término. IsciAiEíra. lAndtet 3 de Oí (ubre. WtNISTEÉIO DÉ HACIENDA. Sé lee en el South—African—Advertiste del 11 dé julio lo siguiente: Real orden.…</t>
  </si>
  <si>
    <t>…súplica, nombrándole consejero de guerra. El teniente gene* ral Sulima le sucederá en ci mando de la biberia occidental. (Adtrcurro ae Suecia.'} * S. M. la Reirá nuestra Señora , su augusta Mailre la Reirá Gobernadora y la Serma. Sra. Infanta Doña ¡María Luisa, continúan HfcSSE ELECTORAL sin novedad en su importante salud en el Real Sitio del Pardo. Cassel 2 Je I^oziembre. A consecuencia de la última modificación del ministerio, Mr. de Moíz ' ~ i queda encargado definitivamente del despacho de la secretaría de hacienda, y el consejero Hassenptlug de las…</t>
  </si>
  <si>
    <t>…e que lo que se muy influiría medad, poderosamente en la suene futura de los pequeños Estados de Alemania, y en S. M. la Reirá nuestra Señora y su augusta Madre la Reirá la de Sajoniacon especialidad. (Wrm.) Gobernadora , como la Señora Infanta Doña María Luisa, continúan sin novedad en su importante salud en el Real Sitio de San Il Rayosa 1 % de Agosto. defonso. Anoche han conducido i esta ciudad 4113 francos, que han detenido los dependientes del resguardo en el pueblo de Larressore, cantón de Ustarits, j REAL DECRETO. el subprefecto ha puesto dicha can…</t>
  </si>
  <si>
    <t>…indudable qusestá mejor, y qua dentro de dot día&amp; ,. -. ' podrá, jca andar. (Z&gt;. ds Dtbates.') \ S.M. la RerfíA nuestra Señora, su augusta Madre la Rerta ____Se lee en él Indicador de Burdeos lo siguiente: Gobernadora J la Serma. Sra. Infanta Doña María Luisa, continiían, -Ayer. Mr. Lassime , comisario central, ha hecho no lejos de Royan mu * ain. ñoredad, en *u importante salud en el Real sitio del Pardo. aprehensión importante. Había sospechas de que en la parte baja del rio se es taba haciendo en un barco holandés un cargamento Ae i7nu. pH■—CJr\ nt&gt;—…</t>
  </si>
  <si>
    <t>…l número de voluntarios lo permita, y según lo exijan las circunstancias. La or S- M. la Reina nuestra Señora, su augusta Madre la Reina ganización de las diferentes secciones se compondrá de la fuerza si Gobernadora, y la Serma. Sra. Infanta Doña María Luisa, conti guiente. núan sin novedad en su inlportante salud en el Real Sitio del Pardo. TROPA. Un subteniente. Un tercio de Sargento segundo.................. 1 compañía. I 3 REAL DECRETO. 53 Cabos primeros ó segundos. Debiendo preceder á la celebración del empréstito de 400 mi Soldados...............…</t>
  </si>
  <si>
    <t>…que se propone »c|ue la caja de amortización se encargue del paito de lia parte ó porción de renta que corresponda á la Bélgica." (HandditUJ.')f- S. M. la Reís* nnestra Señora, su augusta ¡Mapire la Reirá Gobernadora y la Serma. Sra. Infanta Doña María Luisa, continúan ITALIA. sin novedad en sii importante Salud en el Real Sitio del Pardo. Roma 25 de Octubre. ^or decreto de 20 de este mes ha aprobado S. S. los estatutos para una caja dé descuentos que se va a establecer en esta capital bajo el titulo de Ran MINISTERIO DE LO INTERIOR. eo romano. La caus…</t>
  </si>
  <si>
    <t>….......... 320 l(ÍO 8o. de Correos. - - Faca ........... 3ik&gt; ]t&gt;o «A Para India.*....,.. ........ 4°o loo XOO. i GACETA DE MADRID. ARTÍCULO DE OFICIO. S. M. la Runa nuestra Señora y su augusta Madre la Reina Gobernadora, como la Señora Infanta Doña María Luisa, continúan «n novedad en su imjiortante salud en el Real Sitio de San Ildefonso. EXPOSICION DIRIGIDA AS.M. POR EL SEÑOR PRIMER SECRETARIO DE ESTADO, PRESIDENTE DEL CONSEJO DE MINISTROS. Señora: En cumplimiento de vuestro Real decreto de 16 de Junio prójimo pasado, tengo la honra de proponer á V. M.…</t>
  </si>
  <si>
    <t>…ace mucho tiempo quería policía sabia ,.á no poderlo da dar, que les 5. Mí k Reina nuestra Señora, su augusta Madre la Rsiua partidarios de D. Carlos procuraban clandestinamente suministrarle aratas pasa Gobernadora ¿ y la Serma. Sra. Infanta Doña María Luisa, conti *u&amp; tropa, de las cuales una gran parte no las tienen, cuando avisaron de Ba núan sin novedad 'en su importante salud en el Real Sitio del Pardo. yona que un individuo sospechoso salía de aquella ciudad con dirección i Pi3., . ’ .rvz.i ,... ,T í" í. h ir n i -i.rpnriM ris.de laM.llegadaLassi…</t>
  </si>
  <si>
    <t>…. »b seatei da demasiado progresiva. (CraeetJ Je .4jbijrg^3)-f -O: si. -r. .- ,-j i ■ -.■ - *'** S.1ÉI. la Reirá nuestra ^eñofa. iii.augysw AÍacIrp la Rbiha.í -i - f&lt;tP^ka£Me ^4t^etiembr^i, ^.£/_ ¡&gt;r____ üóbefriatlora j !á Sérma. Sra. Infanta ‘Doña María Luisa, continúan han-élegirfó^yi muchos aldeanos que- pro 6Ín. novedad en su importante salud,en,'el Real Sitio deJ Bardo. original que en muchos distritos hart vencido lo? 3Vdentfa8¿r«scdecpójs*jdári 4d*¡b ; ... ...' 3, I , V ■ .. 3. • l. ¡ ■ labradores libres, sin duda porque se cree que defenderán con…</t>
  </si>
  <si>
    <t>…Reiva nuestra Señora, su augusta Madre la Reina con la idea de que pudiese terminar sus trabajos en el espacio de tres meses. EÍ presupuesto apfoximatiro de entradas y salidas para los años 1Ü33, 1 b.,4 y Gobernadora y la Serma. Sra. Infanta Doña María Luisa, continúan 18J5 estuvo detenido en la segunda Cámara durante 11 meses; y es extraño que en tanto tiempo la comisión nombrada no presentase su dicrámen, mu sin novedad en su importante salud en el Real Sitio del Pardo. cho mas habiendo la mayor parte de Diputados que ya lo fueron de la legis latura…</t>
  </si>
  <si>
    <t>…_ 4&lt;k&gt; 300 roo. GACETA DE MADRID. 72,000,000. .. 3Í de Octubre id. ARTICULO DE OFICIO. 23,000,000... 30 de Noviembre id. S. M. la Rema nuestra Señora, su augusta Madre la Rema Rs. vn. 400.000.000 en junto. Gobernadora y la Serma. Sra. Infanta Doña María Luisa, continúan ------------------------------------------------- o sin novedad en su importante salud. Estas entregas serán realizadas en letras de cambio sobre las diversas plazas de España en monedas que en el dia tengan curso en lo interior del reino, ó en barras de oro ó de plata. Habiendo sido adm…</t>
  </si>
  <si>
    <t>…e un modo muy mareado la opi;úo¡] de los pueblos en que se hallen sirviendo.; dán S. M. la Reina nuestra Señora y su augusta Madre la Ruina dome V. SS. parte de tales traslaciones, y de los motivos en que se -Gobernadora, como la Señora Infanta Doña María Luisa, continúan hubieren fundado para mi conocimiento. De Real orden lo digo á ■ sin novedad en su importante salud en el Real Sitio de San Il V. SS. para su inteligencia y cumplimiento; y que lo comuniquen defonso. á los intendentes de las provincias, con prevención de que lo hagan entender en la maner…</t>
  </si>
  <si>
    <t>…irá nuestra Señora, su augusta Madre la Reina tereses del pueblo. El ministro Coletti, partidario de Francia, v uno de los mas r~ activos, como también de los mas capaces entre los hombres públicos de Gre Gobernadora, y la Serma. Sra. Infanta Doña María Luisa, eonti- cia, dirige el departamento de lo interior, al cual ha agregado una subsecretinóan sin novedad en su importante salud en el Real Sitio del Pardo. na, que componen tres jóvenes extrangeros , pero adictos á la ciusa de la Grecia, y tienen la inspección de Jas obras públicas y negocios de come…</t>
  </si>
  <si>
    <t>…ayo, en el que apareció ei primer decreto relativo á la introducción S. M. la Reirá nuestra Señora, su augusta Madre la Reirá de li^na constitución en este reino. Uno de los presidentes ha hecho ya una con Gobernadora y la Serma. Sra. Infanta Doña María Luisa, continúan vocatoria extraordinaria, y el perjudico Focar elandrt (La Patria) publicaba ayer un artículo muy extenso sobre el mejor modo de establecer una candida sin novedad en su importante salud en el Real sitio del Pardo. tura. Entre los 31 jueces de los varios tribunales de Copenhague solo hay…</t>
  </si>
  <si>
    <t>…lar complacen cia la instrucción, disciplina y excelente aptitud militar que han 8. M. la Rema nuestra Señora, su augusta Madre la Rema manifestado los cuer|ns de todas armas del Ejército y Milicia urbana Gobernadora, y la Serma. Sra. Infanta Doña María Luisa, conti que lia revistado en este dia; y como está segura de que iguales mo^ tiros &lt;!(; satisfacción le habría ofrecido el resto de ¡a fuerza armada núan sin novedad en su importante salud. de dichas clases que existe en la Monarquía, á quien S. M. conside raba boy representada, me manda decirlo á V…</t>
  </si>
  <si>
    <t>…ntana contrario á todas aquellas reformas, había cambiado el ministerio, 1 S. M. la Reina nuestra Señora y su augusta Madre la Reina mandando prender á varios diputados del Congreso, y había publicado una pro Gobernadora, como la Señora Infanta Doña María Luisa, continúan clama en que manifiesta que las autoridades legislativas no se conservaban en armonía con la opinión pública: que los alborotos suscitados en Orizaha do te fiin novedad en su importante salud en el Real Sitio de San Il nia otro objeto que la conservación de la religión católica: que la u…</t>
  </si>
  <si>
    <t>…súbdiros, buscando constantemente los medios de alburies las ¿irgas del S. TU. la Rtnu nuestra Señora, su augusta Madre la Reina Estado que deben soportar, hemos fijado nuestra particular atención en el re Gobernadora y la Serma. Sra. Infanta Doña María Luisa, continúan emplazo del ejercito por ser la mas importante de dichas careas como que in ñu novedad en su importante salud en el Real Sitio de1 Pardo. fluye directamente sobre la prosperidad pública y la de los particulares. Después de haberla establecido sobre bases sólidas y duraderas por el reglam…</t>
  </si>
  <si>
    <t>…erador, Principa Juan déTraub1 ' '■ ¡ ARTICULO DE OFICIO. mauntorf. ~‘ í S. M. la, Reina nuestra Señora, su augusta Madre la Reina ____ Cartas de OonUanti-oplj del ] n &lt;Je Setiembre anuncian qul la pote Con Gobernadora y laSerma. Sra. Infanta Doña María Luisa, continúan tinúa ¡pecado grandes atreg; s en acjúcila ejj'.tJ. sin novedad en su impórtame salud en élReal Sitio tjel Pardo. ____ Jriií.is ca*z* de enmeróo e., tivufir-Qr-S ; ti, canzan hasta fines de Agosto, Nada eicert de im a,r&gt;,' '-e'a ¿- ]a Ar^aóta. ó. donde puedfe inferirse que o no los ha ha…</t>
  </si>
  <si>
    <t>…ido, y lo comunicareis á quien correspónda.=Está rubricado de la Real mano, ir En el Pardo á 19 de Noviembre de 1834.=A Don S. M. la Reina nuestra Señora, su augusta Madre la Reina Nicolás Alaría Garelly. Gobernadora y la Se mía. Sra. Infanta Doña María Luisa, continúan Deseando que la justicia se administre en primera instancia • lio novedad en su importante salud en el Real sitio del Pardo. por los jueces letrados de partido, conforme con lo dispuesto en mi Real decreto de 21 de Abril último, he venido en mandar, que tos corregidores políticos y los g…</t>
  </si>
  <si>
    <t>…bunal de jueces árbitros. S. M. la Reina nuestra Señora, su augusta Madre la Reina «Luis por la gracia de Dios, Rey de Bavlcra &amp;c. «Los doce artículos relativos al establecimiento de un tribunal de jueces Gobernadora y la Berma. Sra. Infanta Doña María Luisa, continúan árbitros destinado a allanar las desavenencias que pudieran acaecer entre el sin novedad en su importante salud. gobierno y los Estados en caso de que no sean bastantes á zanjarlas las lc&gt;es del país, se han votado á unanimidad en la sesión plena de la Dieta germáni ca de 30 de Octubre d…</t>
  </si>
  <si>
    <t>…á bordo de su escuadra para la Siria con ánimo de tomar una venganza ejem S. M. la Reina nuestra Señora y su augusta Madre la Reina plar y ruinosa de aquellos insurgentes: esperamos aquí con impaciencia el reGobernadora, como la Señora Infanta Doña María Luisa, continúan sultado de esta formidable expedición. Sin novedad en su importante salud en el Real Sitio de San Il Al mismo tiempo el ex-gran visir Rescfcid Mehemet-bajá, que reúne la defonso. mayor autoridad en el Asia , habia marchado con un grueso ejército á atacar á los kurdos, que en gran parte h…</t>
  </si>
  <si>
    <t>…Palmerston, barón Tem ple, principal secretario de Estado de S. M. B. en el departa S. M. la Reina nuestra Señora, su augusta Madre la Reina mento de Negocios extrangeros &amp;c. &amp;c. 8tc.; y Cristóbal Pedro do Gobernadora y la Serma. Sra. Infanta Doña. María Luisa,cootinúaB Mora es Sarmentó, enviado extraordinario y ministro pleni poten— sin novedad en su importante salud en el Real Sitio del Pardo. ciario de S. M. F. cerca de S. M. B., autorizados competentemente por sus respectivos Gobiernos, han convenido en los siguientes ar tículos adicionales al tratad…</t>
  </si>
  <si>
    <t>…o puño, y hemrs hecho poner en el nuestro sello Real. Dado en nuestro Palacio de btokolmo el 20 de Octubre de 1834-=EÍtS. M. la Reina nuestra Señora, su augusta Madre la Reina mado.—Cárlos Juan R. Martin. Gobernadora, y la Serma. Sra. Infanta Doña María Luisa, conti ALEMANIA. núan sin novedad en su importante salud en el Real Sitio del Pardo. Francfort 5 de JS'oziembre. Aunque la Dieta ha tenido ya varias sesiones, todavía nada ha podido sa berse de la comunicación que ha hecho el presidente. La disolución de la REAL DECRETO. Camara de Darmstadt no ha s…</t>
  </si>
  <si>
    <t>…esto no se S- M. la RkihA nuestra Señora, su augusta Madre la Rkiwa hiciese el establecimiento de gefes de división en el ministerio de la I Guerra vendía á ser en último resultado una mera duplicación de Gobernadora y la Serma. Sra. Infanta Doña María Luisa, continúan empleados; y recordando ademas, que el ensayo hecho de esta orga nización durante el gobierno constitucional estuvo tan lejos de cor sin novedad en su importante salud. responder a lo que de ella se halda esperado, que fue preciso des echarla á poco tiempo de haberla planteado, todo demu…</t>
  </si>
  <si>
    <t>…no raso; y el arbolado se enagenará en venta Real por el precio máximo de la tasación. S. M. la Reina nuestra Señora y su augusta Madre la Reina B'! Las fincas enajenadas quedarán afectas á las cargas ó dere Gobernailnra, como la Señora Infanta Doña María Luisa, continúan chos que tuvieren, y en el precio de la tasación se hará la rebaja o sin novejad en su importante salud en el Real Sitio de San Il aumento consiguiente del respectivo capital. defonso. 7“ Todos Jos gastos que ocurran éu la enajenación de las fincas de los propios serán de cuenta del adqu…</t>
  </si>
  <si>
    <t>…... Para ...... 38o «yo 9$. Para ludías............ ..... 400 300 ICKfc. GACETA DE MADRID. ARTICULO DE OFICIO. 1WCJ.ATERB.A. S. M. la Reirá nuestra Señora, su augusta Madre la Reís a LÓndres 11 de Octubre. Gobernadora y la Serma. Sra. Infanta Doña María Luisa, continúan Hemos recibido la noticia de que ha muerto el caballero Octavio Tenv- ple_^temente gobernador de hierra Leona , gire Jebe contarle tomo otra victi sin novedad en su importante salud en el Real sitio del Pardo. ma de aquel insoportable clima. Los grandes criminales son llevado*' a Botery…</t>
  </si>
  <si>
    <t>…Indias..».....400 aoo loo» ARTICULO DE OFICIO. Viena 4 de Noviembre. S. M. la Reina nuestra Señora, su augusta Madre la Reina ‘ # . - f&gt; Se asegura que el gobierno de Berna ha empezado ya.á cambiar de sisteGobernadora y la Sermá. Sra. Infanta Doña María Luisa, continúan ma, v que prefiere el conformarse á las disposiciones de los gobiernos vecinos, y de Jos otros cantones, antes que declararse el protector de revolucionarios. Se sin novedad en su importante salud en el Real Sitio del Pardo. dice también que el mismo gobierno ha desaprobado altamente los…</t>
  </si>
  <si>
    <t>…. S. Gregorio xvi se ha dignado elevar á Monseñor Silvestre Belli á la S* M. la Reiwa nuestra Señora y su augusta Madre la Reina dignidad de subsecretario del ministerio de Negocios interiores. (Z&gt;. de Roma.) Gobernadora, como la Señora Infanta Doña María Luisa, continúan Sin novedad en sil importante salud en el Real Sitio de San Il ____El lunes 28 del mes último se ha reunido en sesión extraordinaria la defonso. academia de los árcades de Roma, en honor de los santos apóstoles Pedro y Tablo. (£/ XV/jít/wq.) -El 31 de Julio último ha muerto í la edad de…</t>
  </si>
  <si>
    <t>…nfuerza: Gamarrai su tropay e(Bermudezpíllage enselosretirami S. M. fe Reina nuestra Señora, su augusta Madre la Rftxa nerales de Pasco. Los siguientes documentos instruirán de algunos otros por menores. GohernadtfW1 y la Seraia. Sra. Infanta Doña María Luisa , continúan Sin noredad en su importante salud en el Real Sitio del I'anlo. PROCI AMA. El presidente provisional de la repúbt.ca Luis J. Orbegoso á los pueblos. Peruanos: «Hace IV días que ocupe e*tas lortaiezas, rodeado de aimnos gefes deles á su honor y á sus deberes. En I o dias habéis rbto dese…</t>
  </si>
  <si>
    <t>…...- ^óp- ' -a*^jrOv socú ARTÍCULO DE OFICIO. / 1 Berlín 3ü Je Setiembre. S. ¡M. la Rbiíía nueátra Señorafeu augusta Madre Ií-Reiha El Boletín ^Je l^s leyes contiene el tratad? cnn?!i;idn e-n?*c,5. M. ei Gobernadora*y la Serrtia. Sra. Infanta Doña María Luisa, continúan Rey de Pruria y $. A. el duque de Su}ónui-CjTri&gt; &gt;ur¿*í -fe . *&gt;a: a in l ## del principado de íricbtemberg j riu Fruria, w-rno también ii Uj-^j Je p' -«¡¿on sin novedad en su importante salud en el Real sitio del Pardo. de este principad'?., _______ _______________ '_____________ ■-----…</t>
  </si>
  <si>
    <t>…ustria-no hubieran reemplazado* la anticua nobleza en la posesión S. M. la Reina nuestra Señora, su augusta Madre la -Reina de las tierras y en las asambleas nacionales, es claro-que no habría radicales en Gobernadora y la Serma. Sra. Infanta Doña María Luisa, continúan Inglaterra, como no los hay en Rusia; pero en Rusia , Austria y Prusía van ahora germinando las clases medias, y con el tiempo darán origen á los rj«Lsin novedad en su importante salud en el Real Sitio del Pardo. cales, que formaran un partido en sus dominios. Los -tres partidos menciona…</t>
  </si>
  <si>
    <t>…M. la Reina nuestra Señora, su augusta Madre la Reina El hijo del difunto Osman-bajá ha sido agregado al intérprete de la Pt.eta Esrar-eííendi. Se dice que habla bastante bien el francés, el ingles y el aitGobernadora y la Serma. Sra. Infanta Doña María Luisa, continúan man. El estado sanitario mejora notablemente; sin embargo, se han presentad &gt; sin novedad en su importante salud. en estos últimos días algunos nuevos casos de peste. Toda la familia del ¡Kt-- sedar, vicedirector de la cancillería del Divan, ha perecido víctima de esta pi ga. (G. de A.ug…</t>
  </si>
  <si>
    <t>…en ei Real. palacio tamente los que se comtniycsert. Tendréislo entendido, y dispon dréis lo necesaria j^ara su cumplimiento.=Está lubricado de la^Real de EÜofrió. También goza de perfecta «alud en el expresado Real aitiolaSerma. Sra. Infanta Doña María Luisa. 1 4nanou=:En Rjofrip ^.26 de Jjiuo de J&amp;H. = A D. Jo*é Mará Mqs- 'Z* fñ. ’ caso de Altamira. * * t-ÍWD ‘ ¿a R£AL decreto. loa Proceres del Reino usen de una iir- PARTEIÍOOFICIAL. vestújum eorrespóndiesué á la alta dignidad en que están; ebnst¡tnb» NOTICIAS KXTRAN6¿BA&amp; dos, tuve 6 bieri aprpt^ir los…</t>
  </si>
  <si>
    <t>…so se retraerá V. M. de acordarla, cuando advierta que para la formación de I» S. M. la Reina nuestra Señora y su augusta Mari re la Reina nuevas oficinas tienen que disminuirse las plazas de las actuales, de Gobernadora, como la Señora Infanta Doña María Luisa, continúan biendo ocupar aquellas los qae queden sobrantes de estas, y lam sin novedad en su imjiortante salud en el Real Sitio de San Il inen los cesantes que reúnan las circunstancias que se requieren, y. defonso. descargando por consiguiente de sus Iiaberes ei presupuesto de la clase pasiva: ade…</t>
  </si>
  <si>
    <t>…Manuel José Quin ' S. M. la Reina nuestra Señora, su augusta Madre la Reina tana, Procer del Reino; á D. Mariano Liñan, Procer del Reino v obispo electo de Teruel; á D. José Mariano Vallejo, vocal que lia Gobernadora y la Serma. Sra. Infanta Doña María Luisa, continúan sido de la inspección general de Instrucción pública: á D. Juan N-isin novedad en.su importante salud en el Real sitio del Pardo. casio Gallego, ministro del tribunal de la Real Gracia del excusado, y á D. Eugenio Tapia, ministro honorario de la Real audiencia de Valladolid. Y para suple…</t>
  </si>
  <si>
    <t>…de Africa, Le-Pasquir, intendente ciyil, y Leucreuce, miembro de la Cámara de Diputados, comisario efpecial para la organización S. M. la Reina nuestra Señora, su augusta Madre la Reina del orden judicial Gobernadora, y la Serma. Sra. Infanta Doña María Luisa, conti- Los magistrados que acaban de llegar s« habían embarcado en la corbeta &amp;-AgAta_y en el bergantín el Aríuto que han llegado hoy igualmente; mi-in sin navetla») errsu importante salud en el Real Sitio,del Pardo. El gobernador general Ha ¿do recibido par cítcnientc general Voirol que le espera…</t>
  </si>
  <si>
    <t>…^hechos que parecen haber provocado jas medidas indicadas. Fsta S. M. la Reirá nuestra Señora, su augusta Madre la Reirá relación servirá, según esperamos , para rectificar el juicio que algunos"gabinetes Gobernadora y la Serma. Sra. Infanta Doña María Luisa, continúan han podido formar sobre un negocio insignificante en sí mismo, que no ha te nido ningún resultado desagradable en contra de los Estados vecinos, y que, sin novedad en su importante salud. sin embargo, presentado con inexactitud ha podido hacer sospechosos los prin cipios del gobierno de…</t>
  </si>
  <si>
    <t>…icio disfruta S. M. la Reina Gobernadora en el Real palacio Zurick 8 de Julio. de Riofrio. También goza de perfecta salud en el expresado Real El vorort ha comunicado á los Estados dos nuevos documentos diplomáti •itio ia Sernaa. Sra. Infanta Doña María Luisa. cos. E primero es una caria d r g'da al vorort por M. de Bom^cllrs, embaja dor de Austria, en la que manifiesta que inmediatamente ha trasmitido i su COite la nota del directorio federal de fecha de 2q, de Jumo: v por consecuen cia de aquella comunicación ha recibido el encargo de man festar a! vor…</t>
  </si>
  <si>
    <t>…os ciegos, in titulado La Jugo, del Pretendiente, y mínala en España de (50i) fran S. M. la Reina nuestra Señora y su augusta Madre la Reina ceses, sin embargo de que en su tarde pocos ignoraban que el origen Gobernadora, como la Señora Infanta Doña María Luisa, continúan de esta falsa noticia se delda á los referidos ciegos; v S. M. se i:a sin novedad en su importante salud en el Real Sitio de San Il servido resolver diga á V. S. que la vigilancia de la policía, no soio defonso. debe ejercerse con el papel de que se trata, sino con todos los que pregonan…</t>
  </si>
  <si>
    <t>…ores, sin periné io ‘le re- Jamarla si llegJsen en aL'un tieuij-o á descúlense Jue-ue, del S. M. la Ruina nuestra Señara, su augusta Madre la Rf.ina afi anzado .i .fe aL'in otro ..Migado á su solver» id. Gnlx-rnadora y la Sernia. Sra. Infanta Doña María Luisa, continúan i (.'tando ilícito valor sea m.ivor qhe la cantidad que demande sin novedad en su importante salud en el Real sitio Jel Pardo. l.t Real fbnnoid.i. v no puedan dividirse |.¡, tin as. se reconocerá un capital igual al exceso en favor .I d propietario, pr uateán l .,e la renta en proporción…</t>
  </si>
  <si>
    <t>…y deha anteshabidodeconsejoayen. de ministros: se croe que en él se ha {ca S. M. la Reí.» nuestra Señora, su augusta Madre la Reirá ____ Lo mas importante que traen los periódicos alemanes recibidos hoy por Gobernadora y laSemta. Sra. Infanta Doña María Luisa, continúan la-mañana, es qi:e en artículo de Munich, fecha 6 del comente, se anuncia sin novedad en su importante salud en el Real Sitio del Pardo. que ya estaban concluidas las negociaciones relativas al casamiento &lt;jel duque Augusto de Leuchtemberg con la Reina Doña María; sin embarga no indican…</t>
  </si>
  <si>
    <t>…). Se asegura que el almirante ingles estaba asombrado de no ver llegar deRiofri». También, gesta de perfecta salud en el expresado Real la división francesa, lo cuál anuncia claramente que deben obrar de acuerdar »itio la Serma. Sra. Infanta Doña María Luisa. con ella, y con fuerzas, si ar&gt;- iguales, muy considerables por lo menos, pues to que la flota combinada debe componerse , dicen, de mas de 20 ■favioj y de. algunas fragatas.'Por aqub&amp;a susurra que todos estos movimientos se dirigen a REAL DECRETO. Constantinopla. . . f &gt; . Deseando restituir, á la…</t>
  </si>
  <si>
    <t>…'iM M. S. le po- t-»i bi ev:' ie-."o en ~ leí l.i lil is i ■ ¡uu (i'iln'inj ■ [«■ t».«» 1" re de v ise-.is 'e S. M. la Reina nuestra Señora, su augusta Madre la Rf.ina acuid vibre la admisión v despulí i Goliernadora, V la Serma. Sra. Infanta Doña María Luisa, conti fieltro e vtr.i ngeras presentad ís en li a lucia ."v-viih por n i estar c-miprendi ¡i, en el arancel: se bi serví I', tv. M. ri-solv er •! e , -.-.ria-núan sin novedad en su importante salad en el Real Sitio del Dardo. (■ em i l.i 1, q. ie con' i ni ia ii 1 i v i ;“:i!i' I i 11 e 11 o-.b- i…</t>
  </si>
  <si>
    <t>…____ $ÓO ■ aoo 10a. ARTICULO DE OFICIO. y SUECIA. Stockolmo 24 de Setiembre. S. M. la Reina nuestra Señora, su augusta Madre la Reina ’ Los periódicos anuncian la próxima llegada del príncipe MenzikofT, go Gobernadora y ia Serma. Sra. Infanta Doña María Luisa, continúan bernador general de la Finlandia, encargado de una misión particular del im perador de .Rusia cerca de S. M. el Rey de Suecia y de Noruega. Habiendo d sin novedad en su Importante salud éñ el Real Sitio del Pardo. periódico AftontiJningm ávéfin ¡vario -jlwitrajx conjeturas enhrr el ohjcT…</t>
  </si>
  <si>
    <t>…a Reirá nuestra Señora, su augusta Madre la Reiha sobre el campamento interior, indicaron que el enemigo se presentaba sobre toda esta línea, que parecía deber ser el blanco principal de su ataque; pero ha Gobernadora y la Serma. Sra. Infanta Doña María Luisa, continúan biendo atravesado rápidamente la distancia que separa los blockhaus de Klífía, Salem y Roumann, concentró sus fuerzas en la puerta del campamento su sin novedad en su importante salud en el Real sitio del Pardo. perior, y aun ocupó un pequeño morabito que le precede. Inmediatamente se di…</t>
  </si>
  <si>
    <t>…orto al frenS. M. la Reina nuestra Señora, su augusta Madre la Reina — te de la Vega. De Real orden lo digo á V. S. para su inteligencia y efecios correspondientes. Dios guarde á V. S. muchos años. Madrid Gobernadora, y la Serma. Sra. Infanta Doña María Luisa, conti 24 de Diciembre de 1834-=Moscoso.=Sr. director general de Ca núan sin novedad en su importante salud. minos. MINISTERIO DE LO INTERIOR. • PARTE NO OFICIAL. Reales órdenes. NOTICIAS EXTRANGERAS. He dado cuenta á S. M. la Reina Gobernadora del plano, des cripción y presupuesto de gastos de la…</t>
  </si>
  <si>
    <t>…Reina Gobernadora en el Real palacio que de ellos pueda hacerse en beneficio del ramo. de Ríofrío. También gozá de perfecta salud en el expresado Real De Real orden lo comunico á V. S- para su inteligencia y efec sitio la Serma. Sra. Infanta Doña María Luisa. tos correspondientes á su cumplimiento. Dios guárele á V. S. mu chos años. Madrid 19 de Julio de 1834-=Josc María Moscoso de Al ta mira. MINISTERIO DE LO INTERIOR. Reales órdenes. Por Real árdea de í? de Abril último se sirvió mandar S. M. PABTE 190 OFICIAL. la Reina Gobernadora que en las compras…</t>
  </si>
  <si>
    <t>….,&gt;«. 400 aoo roo. GACETA DE MADRID. ARTICULO DE OFICIO* sotros,rssortes debilitandode acción entotalmenteel gobierno.”el vigor(PapeUide lasde leyes,Buenos-Aires.)y destruyendo__________todos lo* — tOSCIA. Gobernadora y la Serma. Sra. Infanta Doña María Luisa, continúan Stock olmo 7 de Octubre. sin novedad en su importante salud en el Real Sitio del Pardo. En la noche del 4- del corriente estalló un incendio en el barrio de La— gudars-Laudet, habiendo empezado el fuego en la panadería de la corona. Apa ñas se extendió el alarma en la ciudad, acudió una…</t>
  </si>
  <si>
    <t>…güedad del. mismo. . S. M. la Rbjua nuestra Señora, su augusta Madre la Reina Arr. 2? Desde 1V de Enero de 1855 percibirán por el presupues to de su ramo respectivo la parte desueldo que por razón de su em Gobernadora y la Serma.'Sra. Infanta Doña María Luisa, continúan pleo les corresponda como cesantes, conforme á las reglas de clasi sin novedad en BU importante salud. ficación establecidas ó que se establecieren. Art. 3? Las viudas y huérfanos de los que hubieren adquirido derecho a! Monte pió en la referida época, le tendrán al goce corres pondiente…</t>
  </si>
  <si>
    <t>Luisa, Infanta Doña María'</t>
  </si>
  <si>
    <t>Infanta Doña María' Luisa</t>
  </si>
  <si>
    <t>…da espera,de modoni el queministeriocon losquiereunos que se alLe -S. M. la Reina nuestra Señora, su augusta-”Madre la Reina peen vos: y con el resto se opere el rescate de todas las obligaciones reconocí— Gobernadora y la Serma. Sra. Infanta Doña María' Luisa, continúan das hasta, aquí, bajo de cualquiera título, al beneficio que ofreciere la Operación sin povedad en su importante salud en el Real sitio del Pardo. por sí misma y la fuerza de sus vicisitudes favorables ó‘'adversas. Será esta la caja de amortización de! modo que el gobierno os dió cuenta…</t>
  </si>
  <si>
    <t>Luisa, Infanta Doña Marta</t>
  </si>
  <si>
    <t>Infanta Doña Marta Luisa</t>
  </si>
  <si>
    <t>…hon había enviado una goleta p.ira recibirlos; pero el comandante de ta es S. M. la Ri i.na nuestra Señora, su augusta Mn.ire ia Rntt cuadrilla otomana se ha opuesto á la emigración de ningún samio. - Goliernatlora , y fa Seniiai Sra. Infanta Doña Marta Luisa, conti núan sin novedad en su importante salud en el Real Sitio del Pardo. . Las r.otu;as mas recientes de Grecia son pacíficas y satisfactorias. __— Según los últimos avisos recibidos de Alepo, los árabes que se habían re REAL DECRETO. belado en aquella provincia, se habían ya sometido á la obedie…</t>
  </si>
  <si>
    <t>…endidas en la tarifa extraordinaria número 1? posean muchas dependencias ó esta S. M. la Reiha nuestra Señora, su- augusta Madre la Reiwa blecimientos en diversos puntos del reino, solamente pagarán el sub Gobernadora y la Serma. Sra. Infanta Doña Marta Luisa, continúan sidio donde resida la direecion central. sin novedad en su importante salud en el Real sitio deTPardor ----Art. 10.—Cuando mreonffíbuyente pasa á ejercer su industria de un puehlo de clg§e inferior á otro de clase superior, abonará tan solo la diferencia del derecho. En el caso contrario…</t>
  </si>
  <si>
    <t>Luisa, Infanta Doña Muiría</t>
  </si>
  <si>
    <t>Infanta Doña Muiría Luisa</t>
  </si>
  <si>
    <t>…Con fecha de 3u de Jubo dicen de la Trinidad que reinaba allí alguo des S. M. la Reina nuestra Señora , su augusta Madre Ja Reina contento; pero que las medidas de precaución que se habían adoptado harían Gol ernadora y la Serma. Sra. Infanta Doña Muiría Luisa, continúan, esperar que no sucedería ningún movimiento grave. Avisao de Granada con fecha de 3 de Agosto que los negros de los ran sin novedad en su importante salud en el Real Sitio del Pardo. chos habían rehusado trabajar ¡ pero que el gobernador los había obligado i obe decer con sus explicacion…</t>
  </si>
  <si>
    <t>Luisa, Infanta Doña XUSIA Mária</t>
  </si>
  <si>
    <t>Infanta Doña XUSIA Mária Luisa</t>
  </si>
  <si>
    <t>…io de lo Inierior. menor movimiento militar á.que se viese forzado el Gran Señor, causaría un golpe mortal á su poder. (Idff Eterno. Sr.: S. M. la Reina nuestra Señora, su augusta Madre la Reina Gobernadora, como también S. A. la Señora Infanta Doña XUSIA. Mária Luisa, continúan sin la inenor novedad en su importante sa lud. De Real orden- lo participo á Y. E. para su satisfacción y para Petenburgo de Junto. los efectos oportunos—Dios guarde á V. E. muchos años.=S. Ildefonso La noticia que traen los periódicos ingleses acerca del nombramiento del 1 i de Julio de…</t>
  </si>
  <si>
    <t>Luisa, Infántá Doña' María</t>
  </si>
  <si>
    <t>Infántá Doña' María Luisa</t>
  </si>
  <si>
    <t>…. Para Canarias....,..,.... 38o 190 $5. Para Indias..»^............ 4oo *00 zoo» MADRID. ARTICULO DE OFICIO. PARTE NO OFICIAL. S. M. la Reina nuestra Señora, su augusta Madre la Rana NOTICIAS EXTR ANGERAS. Gobernadora y la Serma. Sra. Infántá Doña' María Luisa, continúan ■ntí: ------------- ------- sin novedad en su importante salud en el Real Sitio del Pardo. A a T"ri AMÉRICA* Méjico l.° Je Julio* REALES DECRETOS. Continúan los documentos oficíales sobre la última revolución de la re Condescendiendo con los deseca de D- Francisco León Rendid pública mej…</t>
  </si>
  <si>
    <t>Luisa, Infanta Xloña María</t>
  </si>
  <si>
    <t>Infanta Xloña María Luisa</t>
  </si>
  <si>
    <t>…con su marcha al frente de una división, tamip qu* «la comisión fuese S. M. la Reirá nuestra Señora, su augusta Matlre la Reirá álguri lazo qué se le tendía, y se resolvió a quedarse en Lima, donde todo lo Gobernadora y la Serma. Sra. Infanta Xloña María Luisa, continúan tenía asegurado. Uno de ios grandes defectos del general Gamarra es !a «ama dc^confianza que tiene de todos. Este es uno de Iris motivos porque uu.i-t pua~ sin novedad en su importante salud en el Real sitio del Pardo. dé tener amigos. Los hombres honrados no son capaces de sufrir que se…</t>
  </si>
  <si>
    <t>Luisa, InfantaDoñaMaria</t>
  </si>
  <si>
    <t>InfantaDoñaMaria Luisa</t>
  </si>
  <si>
    <t>…0O Pan IikÜ».— -----... jos ARTICUíiO DE OFICIO. mjnSTEKIO DE LO lirrEBJOB. Real órrten. S. M. Iá Reiisa nuestra Señora ,. su augusta Madre’Ja Rota Deseando S. M. la Reirá.Gobernadora que X comisión creada Gobernadora y la Serma. Sra. InfantaDoñaMaria Luisa, continúan por su Real decreto.de 31 de Agosto último para,formar el plan de instrucción primaria del reino tenga á su disposición todos los me sitnaóVedadcn so importante salud ciúclRcal Sitio deT Pardo. dios de que puede necesitar pata desempeñar.ron acierto sn impOé-. tante encargo; y convencida…</t>
  </si>
  <si>
    <t>Luisa, Isabel</t>
  </si>
  <si>
    <t>Isabel Luisa</t>
  </si>
  <si>
    <t>…i dé Pueblos. • ' Pias. ;./.i 1 Enfermos. 1 Curados. Fallecido!. Ba viera, de la’ Princesa Auñalia Augusta, esposa del Príncipe Juan Neponüiceno: de Sajorna, hermano de la difunta Reina de España Doña María Joséfi Amali»;ry.de lá Princesa Isabel Luisa, esposa del Principé heredero de Prusia. Fuentenovilla.. 18 á 23 Óctiibre. ' 39 ‘ 29 2 . En. Í8oy fue flecho Prínc^ fie Vénecia , y adoptado como MJS por el Illana............ 17 á 24 ídem.... , 21 16 00 Emferador Napoleón, que le declaró heredero del reinó de Italia. ^ Luzón....... 14 Set. á l.°No…</t>
  </si>
  <si>
    <t>Luisa, Mana</t>
  </si>
  <si>
    <t>Mana Luisa</t>
  </si>
  <si>
    <t>…u impoitante y forma ; pero en estas votaciones no serán válidos los votos que se salud. dieren á los que no ilayan reunido diez por lo menos en la votación Del mismo beneficio disfrutan SS. AA. la Serma. Señora In anterior.fanta Doña Mana Luisa y el Sr. Infante D. Francisco. En cualquier caso de la votación en que resulte empate, decidirá De Real ónlen lo participo á V. E. para su satisfacción y efec la suerte.tos oportunos. Dios guarde á V. E. muchos años. San Ildefonso 19 de Art. 7? Luego que se haya nombrado dicha Comisión, mandará Julio…</t>
  </si>
  <si>
    <t>Luisa, Mará</t>
  </si>
  <si>
    <t>Mará Luisa</t>
  </si>
  <si>
    <t>…gastanaquí sumaslos empleaenor mes para hacerse partidarios. \ S. M. la Reina nuestra Señora, su augusta Madre la Reina Los periódicos franceses que han sentado que el viace del Emperador Ni Gobernadora y la Sernta. Sra. Infanta Doña Mará Luisa, continúan colás tenia un objeto inmediatamente hostil a la Francia, han procedido, a nuestro parecer, con alguna ligereza : se trata sencillamente de ponerse de acuer sin novedad en su importante salud en el Real Sitio del Pardo. ^ do aobre-st-crmvendría HeclaiaT atTamentg-ia-tmioa- de las tres Po…</t>
  </si>
  <si>
    <t>Luisa, María</t>
  </si>
  <si>
    <t>María Luisa</t>
  </si>
  <si>
    <t>…el Real palacio 8636 marcos mas 1$ de onza, lo míe asciende al año i un total de de Riofrio. También goza de perfecta salud en el expresado Real marcas y 7¡ onzas de plata pura. &lt;Gaceta dt Hanndteri) sitio la Serma. Sra. Infanta Doña María Luisa. ■ , ; ’l . Francfort 11 de Julio. Hoy ha libado í esta ciudadSú M. la Reina de-Bavievá, que sis dete REAL DECRETO. nerse ha continuado su viage dirigiéndose i Biberich . donde te halla S. ¡A. el Para servir el importante cargo de Presidfente del Tribunal su duque de Nassau. . L‘ - . premo de España…</t>
  </si>
  <si>
    <t>…mpletamente restablecida la tranquilidad. (Courier.) S. M. la Reina nuestra Señora, su augusta Ma«lre la Reina ------ Las últimas noticias que hemos recibido de Méjico anuncian que este país Gobernadora , y la Serma. Sra. Infanta Doña María Luisa, conti se halla en una terrible agitacipn^ á causa de las medidas adoptadas por Santana, núan sin novedad en su importante 'salud en el Real'Sitio del Pardo. de acuerdo con el clero y la milicia, contra los decretos emanados del congre so, sobre todo en lo concerniente i los intereses de la Iglesia…</t>
  </si>
  <si>
    <t>…e de Mchemet-Alí. Dicen con referencia á cartas de Alepo S. M. la Reina nuestra Señora, su augusta Madre la Reina que una parte de los insurgentes luego que supieron qtif el príncipe de las druGobernadora y la Serma. Sra. Infanta Doña María Luisa, continúan tos Emir-Bejir había concluido un tratado con Mebemet-Alí, y reunido 109 sin novedad en su importante salud en el Real Sitio del Pardo. Drusos á lis tropas egipcias, se rindieron á discreción; pero que N api usa des pués de un trato empezadery no concluido fue tomada por asalto con gran…</t>
  </si>
  <si>
    <t>…eptembris,ejus anno Dommi «ucccxxxtv, aetatis suae xxivi ” S. M. la Repta nuestra Señora, su augusta Madre la Reiwa ----. t as colonias que pertenecen actualmente á la corona de la Gran Breta Gobernadora y la Serma. Sra. Infanta "Doña María Luisa, continúan ña , Sin incluir las que están gobernadas por la compañía de las Indias, son jin novedad en su importante salud en el Real Sitio del Pardo. las siguientes r En las Indias y America dei Sur: l.° La Antigua y la Barbuda. 2.° Las Barbadas. 3.° La Guayar..» británica. La Dominica. 5.° Granad…</t>
  </si>
  <si>
    <t>…a tenido dos en 1809 y 1816; Sijonia-Ccbourg dos en 1816 y . S. M. la Rauta nuestra Señora, su augusta Madre la Renta 1821 ; Sajonia-Meiniflgen dos en 1824 y 1829. Esta es común con la de Sa-* Gobernadora y la Serma. Sra. Infanta Doña María Luisa, continúan jonia-Hildburghauseñ, qué ya había tenido una en 1821. La ciudad de Franc fort há tenido én 1810, 1811 y 1812 tres Constituciones, todas abolidas, sin novedád en su importante salud en el Real sitio del Pardo, Waldeck ha tenido tres, dos en 1814 , y una en 1816, la cual subsiste. Nassau…</t>
  </si>
  <si>
    <t>…id y su provincia. Excmo. Sr.: Tengo la satisfacción Je participar á V. É. que la Reina nuestra Señora, S. M. la Reina Gobernadora y S. A. la Se Han felicitado á S. M. por la publicación del Estatuto real las eotptr= ñora Infanta Doña María Luisa continúan sin la menor novedad en raciones y personas siguientes: su importante salud. De Real orden lo participo á V. E. para su no El ayuntamiento de la villa de Reto. ticia y efectos oportunos. Dios guarde á V. E. muchos años. San Il El de Cartageni. defonso 30 de Junio de 1834. = Francisco Mart…</t>
  </si>
  <si>
    <t>…de SyeTel Senado adaptó úna ley jotró la salida de leí ganf de'Riofrio. También góza de perfecta salud en el expresado Real dó». El cdnde. de Robiabo babia propuesta tib nUeVo irtícÓto, *en vírtoS áS Sitio la Serma. Sra. Infanta Doña María Luisa. cual se hubiera prohibido la entrada de los zanades que vienétí de BdsiüyitiL de ¿1 i.° dé Julio hasta él 31 de Octubre, tola prOpOsscípn apOyidi pot las sér fioigs Mooreghem, cotldí Viliin XrV, y Léfebvr^Méuifet , y catbbatídapdr ii tñimstró dé la Justicia y' el de Hacienda, tolo fue delechada por…</t>
  </si>
  <si>
    <t>…que sea abolido el gran» jurado en IngUtcfra y principado S. M. la Reina nuestra Señora, su augusta Madre la Reisa De Mr. Poulter: que se haga una ley para la mas exacta observancia del j(jjt)J)ern9dora,y, la Sentía. Sra. Infanta Doña María Luisa, conti domingo. núan sin novedad eii arititportante salud en el Real SMo del Pardo. De Mr. Rlppon : que los arzobispos y obispos no rengan j'ir'-e m lac ftin- ciones legislativas ni judiciales de la Ornara alta del Parlamento, con el,fin de que puedan dedicarse al ministerio pa.toral por medio de u…</t>
  </si>
  <si>
    <t>…......... 38o 190 y&amp;- Para India»....,_ ... 400 too coa. GACETA DE MADRID. ARTICULO DE OFICIO. PAUTE NO OFICIAL. S. M. la Reina nuestra Señora, su augusta Madre la Rf.iha NOTICIAS EXTRANGERAS. Gobernadora v la Serma. Sra. Infanta Doña María Luisa, continúan Sin novedad eu su importante salud en el Real Sitio del Pardo. (Continuación del correo anterior.) ESTA DOS-ÜNI DOS. 1Í1HISTERIO DE LO INTERIOR. Filadeljia 14 de Agosta. Reales órdenes. Se lee en una carta particular lo siguiente : .Las noticias de Nueva España anuncian que la división d…</t>
  </si>
  <si>
    <t>…rú no podiá dejar de mirar con el mayor üorror , S. M. la Reiíja nuestra Señora, su augusta Madre la Reís*. al asesino de su virtuoso presidente, las intrigas y el influjo de la fuerte fricié~ Gébeúiadora v la Serma. Sra. Infanta Doña María Luisa, continúan ron que Gamarra fuese nombrado para ocupar el lugar fle su víctima. Como sus crímenes habían hecho que la opinión estuviese «*- rrvfag aiii novedad en su importánte sattid en p! Real sitio del Pardo. contra él, porA odas-partea AmrroñTraba ramhten resistencia; por todas partes nacían rev…</t>
  </si>
  <si>
    <t>…tra Señora, su augusta Madre la Reirá bien se asegura que jse piensa en hacer tarde ó temprano una nueva reparti ción de le Polonia, repartición que será muy ventajosa para la Prusia; pero es Gobernadora, y la Serma. Sra. Infanta Doña María Luisa, conti de creer que se dilatara la ejecución de este proyecto á causa de los zelos que núan sin novedad en su importante salud en el. Real Sitio del Pardo. ha manifestado el Austria siempre que se ha intentado enriquecer el reino de Prusia con los despojos de aquella desgraciada nación. INGLATBRBA.…</t>
  </si>
  <si>
    <t>…us predecesores en circunstancias semejantes. De Real orden k&gt; di Ercmo. Sr.: SS. MM. la Reina nuestra Señora y su augusta go á V. E. para su inteligencia, no dudando S. M. que V. E. em Madre, é igualmente S. A. la Señora Infanta Doña María Luisa, pleará el zelo mas ardiente para-que tengan cumplido efecto las be continúan sin la menor novedad en su importante salud. Lo que de néficas miras de S. M. en que tanto se interesan la religión v ei Real orden participo á V. E. para su satisfacción y efectos oportu Estailo. Dios guarde á V. E. much…</t>
  </si>
  <si>
    <t>…residente de la comisión respectiva, concebido en estos términos: S. M. la Reina nuestra Señora, su augusta Madre la Rf.ina «Señor: La Cámara de los Pares ha oido con inexplicable júbilo, entu Gobernadora y la Serma. Sra. Infanta Doña María Luisa, continúan siasmo y gratitud la expresión de los generosos sentimientos, emanada del co sin novedad en su importante salud en el Real Sitio del Pardo. razón de V. M. L, en el día en que viendo, después de una série de vicisitu des prodigiosas y de acontecimientos memorables, reunidas del trono cons…</t>
  </si>
  <si>
    <t>…y aunf de Francia me han escrito sobre el particular, y no S- M. la Reika nuestra Señora, su augusta Madre la Reina tengo inconveniente en' presentir á la Carrura las cartas y proyectos que he Gobernadora y la Serma, Sra. Infanta Doña María Luisa, continúan recibido. No desconozco lo difícil que es expedir una ley en la miteria sin te ner reunidos y á la vista todos los datos que ella requiere; pero tampoco pue sin novedad en su importante salud en el Real Sitio del Pardo. do resistir al deseo de que el congreso favorezca la empresa con un…</t>
  </si>
  <si>
    <t>…tra Señora, su augusta Madre la Reina veridad. Dicen que nueve de estos refugiados habías vuelto á enirar en el país con nombres falsos, y aun se añade que habían querido atentar á la vida del Gobernadora y la Serma. Sra. Infanta Doña María Luisa, continúan Emperador. Han sido arrestados, pero todavía no se ha decidido su s-uerte. sin novedad eb sa importante salud en el Real Sitio del Pardo. IKCLATERRA. landres 18 de Arov iembre. PARTE NO OFICIAL. Hé aquí el discurro que ha pronunciado lord Brougham en el convite del nuevo lord corregidor:…</t>
  </si>
  <si>
    <t>…artí nez de la Rosa. =Sr. Secretario de Estado y del Despacho de lo In Exorno. Sr.: Tengo la satisfacción de participar á V. E. que terior. SS. MM. la Reina ndestra Señora y su augusta Madre, é igual mente S. A. la Señora Infanta Doña María Luisa, continúan sin la Excmo. Sr.: He tenido la honra de presentar á S. M. la Reina menor novedad en su importante salud. De Real orden lo comunico Gobernadora los modelos que me ha remitido V. E. por el parte de á V. E. para su satisfacción y efectos oportunos. t)ios guarde á V. E. hoy, del trage de ce…</t>
  </si>
  <si>
    <t>…el Real palacio "de RioFrioT También goza de perfecta salud en el expresado Real eclesiásticos de los dominios de Ultramar, con un oficial. Esta me parece la distribución que indica la índole misma de sitio la Berma. Sra. Infanta Doña María Luisa. los negocios; todos tendrán,, según'eLia, su centro conocido, tán in dependiente en sus emanaciones , que será casi imposible confun dirlos, v que á primera vísta se conocerá el buen desempeño é res EXPOSICION HECHA A S. M. POR EL SECRETARIO ponsabilidad de sus encargados. Tiene alemas esta distribució…</t>
  </si>
  <si>
    <t>…corte del Príncipe esté dispuesta para entrambas ceremonias. S. M. la Reina nuestra Señora, su augusta Madre la Reina ------ La Gaceta Je EitaJo de Berlín del 9, dice que la población de aquelGobernadora y la Serma. Sra. Infanta Doña María Luisa, continúan sin novedad en su importante salud en el Real Sitio del Fardo. reino, sin contar el principado de Neufcbatel, ascendía á fines de 1833 4 12.223,385. _ - ---------------------------- TI Mercurio Je Sueña da las siguientes noticias de Munich: el Rey y la S. M. la Reina Gobernadora se ha se…</t>
  </si>
  <si>
    <t>…rse de recomendar á la medi S. ,M. la Reih a. nuestra Señora, su augusta Madre la Ratita tación del cuerpo legislativo. En el empeño de multiplicar las atribuciones de las jamas E. A,se olvidó,Gobernadora f ía Semia. Sra. Infanta Doña María Luisa, continúan sin duda, que la policía y los consulados de Comercio tienen cada uno La* suyas,Sin novedad en su importante salud en el Real Sitio del Pardo. tan semejantes, si se atiende al texto de las leyes vigentes, á los usos y prácti cas recibidas, que llegado el caso de operar todas esas reparti…</t>
  </si>
  <si>
    <t>…ibió el presidente una carta del generalTramaría, qaa S. M. la Reirá nuestra Señora , su augusta Madre la Reirá contenta varios insultos y decía, que ei general Bermuldez, viendo á Ja capital Gobernadora, y la Serma. Sra. Infanta Doña María Luisa, conti abandonada por el gobierno, y entregada i la anarquía, había tomado tobrc si el cargo de tranquilizarla. El presidente creyó que no debía entrar en discusión núan sin novedad en su importante salud en el Real Sitio del Fardo. cón un rebelde, y le pareció mejor guardar la dignidad jkLgohiflmo…</t>
  </si>
  <si>
    <t>…las laves vigentes por la misma Comisión militar. De Real orden lo digo á V. E, para su inteli S» M- Ia Reina .Gobernadora su augusta Madre, y S. A. la Señora gencia, y que disponga su cumplimiento. Y de la misma Real or Infanta Doña María Luisa, continúan sin la menor novedad en su den lo traslado á V. E. , para que previo el nombramiento de la co imjjort^qfe salud. Lo que de Real orden |iartici|&gt;o á V. E. para su misión que debe ejecutar en esa provincia lo que en la anUmedrute satisfacción y efectos oportunos, Dios guarde á V. L. muchos…</t>
  </si>
  <si>
    <t>…cediendo á pérfidas promesas, haya retirado su ejército. de Riofrio. Tamhien goza de perfecta salud en el expresado Real Pero la Puerta no se dejará engañar de nuevo, antes bien se esforzará en soste sitio la Serma. Sra. Infanta Doña María Luisa. ner el orden una vez restablecido, para lo cual presenta gran facilidad la mis ma situación de U Bosnia. Sabido es que hasta ahora la población turca ha sido la única que ha rehusado, bajo U dirección de sus capitanes, obedecer las órde nes del Sultán y de sus gobernadores, suscitando rebeliones, a…</t>
  </si>
  <si>
    <t>…de este Estado comunicará este decreto á las legislaturas S. M. la Reirá nuestra Señora, su augusta Madre la Rama de los demás ‘Estados, solicitando su spoyo. El poder ejecutivo publicará, ha Gobernadora y la Serma. Sra. Infanta Doña María Luisa, continúan rá circular y ejecutará este decreto —V Ícente R.ame¡ro.—Migará Laso-, coirc- »in novedad en su impórtame salud en el Real sitio del Pardo. gidor.=:S. Luis de Potosí 6 de Junio.” (La Aleja de Nueva-Orleans.j PERÚ. __________ lima 28 de Alríi. Huonauo be u&gt; ntruiot.. El 26 del corriente h…</t>
  </si>
  <si>
    <t>…i S- M. la Reirá nuestra Señora, su augusta Madre la Reirá nosas para el comercio: signo cierto de inmoralidad y miseria. Advertido el prestamista de esta situación, no tardó en comprender que Gobernadora y la Serma. Sra. Infanta Doña María Luisa, continúan el prolongarla dependía en gran manera de su conducta, y que, observando la Isin novedad en su importante salud en el Real sitio del Pardo. de un especulador tenaz , insensible y reservado, érale fácil hacerse de un título fuente á una adjudicación anual del cuarto ó el tercio, sobre la…</t>
  </si>
  <si>
    <t>…DE OFICIO. puesta de 12 carabineros-, de dos aventajados, y de uno de los co mandantes , tenientes é calxjs que la mande. S. M. la Reina nuestra Señora, su augusta Madre la Reina articulo 22. Gobernadora y la Serma. Sra. Infanta Doña María Luisa, continúan Cada brigada ó ronda se dividirá también en dos escuadras con sin novedad en su iinportante salud en el Real Sitio del Pardo. ¡cual fuerza, dirigidas cada una en su mecanismo interior por uno de los cabos ó de los aventajados. ARTICULO 23- REALES DECRETOS. Las urgencias del servicio dete…</t>
  </si>
  <si>
    <t>…o de archivero se desempeñará por turno entre los directores. Excmo. Sr.: SS. MM. la Reina nuestra Señora y la Reina Go Art. 38. Las elecciones se harán por votación á propuesta de la bernadora, como también S. A. la Sra, Infanta Doña María Luisa, Di reccion. continúan sin novedad en su importante salad. Lo que de Real or Art. 39. La votación sobre los asuntos discutidos se hará por él den participo á V. É. pará su satisfacción y efectos oportunos. Dios acto de levantarse los que aprueben. guarde á V. E. muchos años. S. Ildefonso 4 de Julio…</t>
  </si>
  <si>
    <t>…de su gavilla, y corre-peiígro él mismo de ser capturado muy pronto. S. M. la Reina nuestra Señora, su aú^usti Madre la Reina —-En el periódico griego 0 Sother (el Salvador) se lee lo siguiente:Gobernadora y la Serma-Sra. Infanta Doña María Luisa, continúan ♦&gt;El Real decreto sobre la repartición de tierras ha excitado el mas vivoáinncív^Jíad'én ¿ú iniportante salud en el Real Sitio del Pardo. sentimiento de gratitud al -gobierno y ^h-míni^tm que ha prnp^i&lt;mrri &lt;-c.ra mftdí da. A la verdad es preciso ser muy torpe para no granjearse ci afect…</t>
  </si>
  <si>
    <t>…efinitivamente,-y.viendolosme derechosotra vezengaña-é inter^s de la Neerlandia, violados de una manera injusta por la revolupibn ~de S. M. la Reika. nuestra Señora, su augusta Madre la Rjstka Gobernadora y la Serma. Sra. Infanta Doña María Luisa, continúan «Los obstáculos imprevistos que han sufrido las negociaciones, y no me ha sido posible allanar á pe,ar de los esfuerzos a pilcados, me han empeñar; sin novedad en su importante salud en él Real Sitio del Pardo. do en buscar los medios oportunos para aligerar en cuanto es posible las car…</t>
  </si>
  <si>
    <t>…e de las circunstancias, redobla su actividad y em prende grandes armamentos de tierra y mar. (Corresponsal dt Nuremburgo.) T». M. la Reiwa nuestra Señora, su augusta Madre la Rauta ING1ATBRRA. Gobernadora y la Serma.Sra. Infanta Doña María Luisa, continúan ¡Andrés 25 de Noviembre.sin novedad en su importante salud en el Real Sitio del Pardo. Fondos públicos.. Tres pac 100 consolidados 9l£ á 911. Hoy á las tres de la tarde se reunió la Cámara de los Comuires en la bi PARTE NO OFICIAL. - bliotecalord HilldelelaanunciaronCámara dequelos S.Lor…</t>
  </si>
  <si>
    <t>…bido en el ministerio de lo Interior. Art. 66. Tendrá una de las tres llaves del arca. Excmo. Sr.: S. M. la Reina nuestra Señora, igualmente que CAPITULO VII. S. M. la Reina Gobernadora su augusta Madre, y S. A. la Serma. Infanta Doña María Luisa, continúan sin la menor novedad en su Del tesorero. importante salud. Lo que de Real orden participo á V. E. para su Art. 67. El tesorero recibirá y pagará todas las cantidades qu«r satisfacción y efectos ojiortunos. Dios guarde á V. E. muchos años. correspondan á esta sociedad, precediendo los deb…</t>
  </si>
  <si>
    <t>…TICULO DE OFICIO. tubquia. ■\ Constantino fia 28 de Julio. S. M. tí Rfi-t* miesíra-Señorau su augusta Madre' la Reina A-provecho la salida de un correo para anunciaros que la rebelión de Siria Gobernadora y la Serma, Sra. Infanta Doña María Luisa, continúan toma un carácter muy sério. Ibrahím-baja tendrá mucho trabaja para sostener sin novedad en su importante salud en el Real sitio del Pardo. se , porque en muchos puntos, y principalmente en las montañas del Líbano, reina la mayor efervestencia entre los habitantes. Ibrahim trata de reconc…</t>
  </si>
  <si>
    <t>…estra Señora, su augusta Madre la Reirá al edificio. Nuestio amado Soberano ha hecho recompensar generosamente á algunos aldeanos que le presentaron varias monedas, antiguas.encontradas en lasGobernadora, y la Serma. Sra. Infanta Doña María Luisa, conti cercanías, donde existió en otro tiempo una gran ciudad. S. M. ha dispuesto núan sin novedad en su importante salud en el Real Sitio del Pardo. que estas antigüedades se coloquen en su rico monetario. (Gazzetta piernentese') Genova 2 de Setiembre. PARTE NO OFICIAL. camposLasdelluviasesta ciu…</t>
  </si>
  <si>
    <t>…se y Lugo, que sufrieren perjuicio por la su presión ^lel Voto. ____Si Mi h Bm»&gt; nuestra Señeravsu augusta Madre la Reum fábrica de la iglesia de Santiago, y del déficit que le resulte por laGobernadora y la Se riña. Sra. Infanta Doña María Luisa, continúan supresión del Voto, te señalara d finido por el que deban satisfacerse sin novedad en su importante salud en el Real Sitio del Pardo. aquellas. Art. 8? El M. R. arzobispo de Santiago en unión con el gober Doña Isabel ii, por la gracia de Dios, Reina de Castilla, de nador civil, teniendo…</t>
  </si>
  <si>
    <t>…eñora, su augusta Madre la Reina ' yugo de sus enemigos. Después de haber tributado á este sepulcro, sagrado para la Rusia, él debido homenage, fue el Emperador á visitar las sepulturas de los Gobernadora y lá Serma. Srá. Infanta Doña María Luisa, continúan grande^. Príncipes rusos que descansan en ios subterráneos de esta misma iglesia. En seguida fue S. M. ¿ ver los magníficos edificaos del campo llamado de sin novedad etl Bií Importante salud en el Real sitio del Pardo. la Feria, como también la catedral, la iglesia armenia y la mezquita…</t>
  </si>
  <si>
    <t>…otradestruirtodoseí loSordenesfuerzosde cosasimavinihlrtexistente en p¿raEu iñantener la paz á trido trance. (Gaceta nacional.) S. Mi lá1 ReíkA nuestra Señora; su augusta Madre la ReinA aUstíía. Gobernadora y la Sorma^Sra. Infama Doña María Luisa, coritinúari Viend é de Setiembre. ¿in novedad eil sü ini portante salud en el Real Sitio del Pardo. El mes próximo se esperan en esta ciudad varios individuos de la fami gSi»iM=É 'HT y ;r rj5É5ÉÉsMÉSÉB=ijia=igg liade Ungrfa,Real quey residenel archiduqueen las provincias:Ranerio, vireyentrédeellos…</t>
  </si>
  <si>
    <t>…estra Señora, su augusta Madre la Reina to clero ocupaba la derecha, los ministros y la alta nobleza la izquierda, y los empleados del Estado ocupaban el frente. AJ lado del trono estaban colo Gobernadora y la Serma. Sra. Infanta Doña María Luisa, continúan cados sobre una mesa los halase herifs de S. A- el Sultán. Al cabo de media hora se presentó en el salón S. A S. precedido de su primer ayudante de cam •in novedad en bu importante salud en el Real Sitio del Pardo. po, y sostenido por los ministros de lo Interior y de la Justicia, y subi…</t>
  </si>
  <si>
    <t>…ustrias Y S. M. se ha servido nombrar para esta comisión al Sr. D. Ja- S. M. la Reiita nuestra Señora, su augusta Madre la Reina cobo María de Parga, Procer del Reino, presidente; á D. Vicente Gobernadora y la Serma. Sra. Infanta Doña María Luisa, continúan González Arnao, del consejo Real; á D. Rafael Cabanillas, inspec sin novedad en su importante salud en el Real sitio del Pardo. tor general primero del ramo; á D. Estanislao de Peñafiel; á Don Juan Montoto, contador de la dirección general, y á los inspectores de distrito D. Guillermo Sc…</t>
  </si>
  <si>
    <t>…ecial de SS. MM* ARTICULO DE OFICIO. allí y la Reina. el Rey S. M. la Reina nuestra Señora , su augusta Madre la Reina - —Mr. Rothschild ha dejado esta ciudad de resultas de un expreso que reciGobernadora ^ laSerrna. Sra. Infanta Doña María 'Luisa, continúan bió de P-dris, en que se le decía que inmediatamente se trasladase á aquella ca 8Ín novedad én su importante salud en el Real Sitio del Pardo. pital. Sus amigos íntimos han Jjecho-cofrcr la voz que-este víage es por puro entretenimiento; pero parece resucito con demasiada prontitud para…</t>
  </si>
  <si>
    <t>…hos referidos, y á hacer aplicación de todas Jas consecuen 6» M. la Rkiha nuestra Señora, su augusta Madre,1a Reísa cias que de ellos se deben deducir. Mucho menos podrían sin degradarse y sin Gobernadora y la Serma. Sra. Infanta Doña María Luisa, continuad ofender a la ilustrada nación mejicana, detenerse en las ridiculas y miserables sofisterías con que los seductores y aduladores de un magistrado extraviado, sin novedad en su importante salud en el Real sitio del Fardo. tratan de persuadir con afectaciones dolorosas, que tan inauditas vi…</t>
  </si>
  <si>
    <t>…estra Señora, su augusta Madre la Reina tes de Inglaterra, se han ocupado en. acopiar vestuarios y pertrechos de guerra, con el objeto sin duda que los periódicos han anunciado; mas esu especu Gobernadora, y la Sema. Sra. Infanta Doña María Luisa, conti lación ha sido desgraciada, como son por lo común las que solo se fundan núan sin novedad en su importante salud en el Real Sitio del Pardo. en el ciego. cálculo de un lucro pronto y exhorbitante. Los aventureros armadores que se han dejado arrastrar por este cebo, ar redrados al fin por los…</t>
  </si>
  <si>
    <t>…onal del año pasado) 7 como no se ha presen lado ninguna de Riofrio. También goza de perfecta salud en el expresado Real suscripción para efectuarle, propuso los media» dé hacerlas útiles con «1 atrac sitio la Serna. Sra. Infanta Doña María Luisa. tivo de algunas esperanzas que no existían en el primer plan, y solicitó U crea ción de 49 coptraiqscripciones al 6 por 100, que debían depositarse en dicho banco como garantía de las acciones que tomaría el gobierno en Jo sucesivo. Es probable que la legislatura s* opondrá i todos estos manejos',…</t>
  </si>
  <si>
    <t>…s casos que lo crea necesario; dirigirá al Gobierno las reclamaciones S. M. la Raina nuestra Señora, ni angosta. Madre la Reirv que parezcan justas &lt;5 convenientes para él mejor desempeño de sn Gobernadora y'la Sema. Sra. Infanta Doña María Luisa, ccquiad-in comisión, promoviendo la liquidación y reconocimiento «le las deadas del Estado á favor de la compañía para proceder en 'su caso *Jsin novedad en su importante salud en el Real Sitio de1 Pardo. reparto entre los accionistas del sobrante de los capitales de la em presa que pueda resultar…</t>
  </si>
  <si>
    <t>…debanderas,¿ loslo quebenese ■ S. M. la Rkida nuestra Señora, su augusta Madre la Reiha veáficó en la forma siguiente: __ Al llegar el referido Sr. gobernador al parage señalado para tan solem Gobernadora y la Serma. Sra. Infanta Doña María Luisa, continúan ne acto, fue recibido por el regí miento formando en batalla con su digno coro sin novedad en su importante salud en el Real Sitio del Pardo. nel primer comandante D. Antonio García Oña á la cabeza, el que saliendo á recibir ai Sr. gobernador, paso este por delante de las filas, acompaña…</t>
  </si>
  <si>
    <t>…,1jsa Gobernadora en el Real palacio fe los contingentes federales. de Riofrio. También goza de perfecta salud eq el expresado Real •iConfederados, aifilgos, hermanos de armas: tomo la palabra non una «Rió la Serma. í»ra. Infanta Doña María Luisa. profunda emoción en medio de un concurso de muchos miles de ciudadanos y1 delante de los primeros magistrados de la república; pero lo han exigido asi, han querido que un acento francés resonara después de los Varoniles acentos de los patriotas que me han precedido ett eta tribuna. CónoZco qué mis…</t>
  </si>
  <si>
    <t>…M. la Reirá nuestra Señara, su augusta Madre la Reirá preciso, y acomodados á los valores del pais, y con proporción á los goces que pertenecen á cada clase y se detallan en la nota que acom gobernadora y la Ser nía. Sra. Infanta Doña María Luisa, comí mían paña á esta Instrucción. sin novedad en su importante salud en el Real Sitio del Pardo. Art. ót Todos Jos gastos que se ocasionen por los motivos que -expresan los artículos 5! y 4'.‘ sé justificaran ron recibos délos mis REAL DECRETO. mos interesados en cuanto á socorros personales; de…</t>
  </si>
  <si>
    <t>…on tino y discernimiento. Tal es. Señora, el motivo que me impele á someter á la aprobación de V. M. la adjunta instruc S. M. la Reina nuestra Señora, su augusta Madre la Reina ción adicional. Gobernadora y la Serma. Sra. Infanta Doña María Luisa, continúan El haber querido imponer una cantidad fija de 10 millones de sin novedad en su importante salud en el Real Sitio del Pardo. reales, aumentada posteriormente hasta 14 millones; el intentar re partí r las cuotas con proporción á las ganancias individuales, siendo imposible averiguarlas, y…</t>
  </si>
  <si>
    <t>…nuestra Señora, su augusta Madre la Reina solo aquello que han de hacer por sj como maestros, sino también lo que han de mandar hacer á otros; y para esto les convendrá ponerse en ei caso deí Gobernadora, y la Serma. Sra. Infanta Doña María Luisa, conti Monitor de la clase inferior, acompañándole algunas veces en el desempeño núan sin novedad en su importante salud en el Real Sitio del Pardo. de su obligación, e ir haciendo lo mismo con los demas Monitores de clase, de inspección &amp;c. hasta el Monitor general de orden. 2.° Deberán presentars…</t>
  </si>
  <si>
    <t>…te: ii Los capitanes generales, gobernadores civiles, jueces ó alcai ÁIÍnii.BiiM nuestra Señora, su augusta Madre.la. Rama des de las provincias fronterizas no darán pasaportes-a los individuos Gf&amp;emtdora y la Serma, Rra. Infanta Doña María Luisa, contindan que Se hallen sujetos al alistamiento para el reemplazo del ejército en el año próximo de 183-5, hasta que verificado el sorteo en todo el sin novedad en M importante salud en el Real Sitio del Pardo. reinó se lea prevenga lo conveniente por este ministerio. . 2? Cuando cualesquiera indi…</t>
  </si>
  <si>
    <t>…os de que tratan lo» ' Bxémo. Sr.t SS. MM. la Reina nuestra Señora, y- su augusta artículos 21 y 3“ Mailre la Rama Gobernadora, é igualmente S. A. la Señora Infanta Art. Ti Los nombres de los suseriptores á los fondos de Sanidad, Doña María Luisa, continúan sin la menor tíovedatl en' su impor y las cantidades, frutos y cualesquiera efectos con que respectiva tante salud. De Real orden lo participo á V. E. para su satisfacción mente contribuyan, se publicaran en los Boletines Oficiales de la* y efectos convenientes. Dios guarde á V. E. mucho…</t>
  </si>
  <si>
    <t>…,, ,T beneficio disfruta Su M.: la Reív» Gobernadora en el Real palacio ’ . ? ..dé Riófr jo..' Taíñbleñ goza dé pet-focia salud en el expresado Real qu* te tita. en. el Real decreto que precede, ¿itjjCi. 1^,ferina- $r-a* Infanta Doña María Luisa. , é i.- r;¡ ;wi' PBOVltlCtA ME TÁtf Relación de los servicios, méritos y circunstancia* de D, tal, gobernador civil, secretario del gobierno civil (o lo &lt;jae fila RJ3ALES DECRETOS. re el interesado) de dicha provincia, con tantos adl reatesde,su*írfo. Es natural del pueblo de tal, provincia de tal.…</t>
  </si>
  <si>
    <t>…eal orden lo co S. M. la Reirá nuestra Señqya, su augusta Madre la Reirá munico á V. para su inteligencia v cumplimiento. Dios &amp;c. Ma drid 31 de Agosto de I834.=José María Moscoso de Altamira. Gobernadora y la Serma. Sra. Infanta Doña María Luisa, continúan *in novedad en su importante salud en el Real sitio del Pardo.----- ELSr. Secretario rtet Despaclio de la Guerra me dice que con fecha de ayer comunica al capitán general de ese distrito lo si guiente: -Convencida S. M. del deseo de contribuir al exterminio de REAL DECRETO. los facciosos…</t>
  </si>
  <si>
    <t>…Palaciopubliquedel gobiernoy circuledelá Astado,quienes toen Toluca á 8 de Julio de i834*=José María Esquível.crJ. M. Cora, secretario. S. M. la Reina nuestra Señora, su augusta Madre la Reina Gobernadora y la Serma. Sra. Infanta Doña María Luisa, continúan Idem 6 Je Julio. sin novedad en su importante salud en el Real Sitio del Pardo. Hoy se ha celebrado en la catedral la solemne función del primer día del ® triduo que el cabildo metropolitano ha dispuesto hacer a la Divina Providen cia, en acción de gracias por el triunfo que ha obtenido…</t>
  </si>
  <si>
    <t>…. la Rsnu nuestra Señora , su augusta Maidre la Ranea igitur jwentus tantorum meritorum memoriam, inque gratitudinis mona— mentum perenne, bañe ejtís imaginrm depingere fecit. Animas si ipsius Gobernadora y la Serma. Sra. Infanta Doña María Luisa;, continúan - mores que depingi potuissent, pulcrior in terris nulla tabella foret. 1833. Proseguid, pues, ¡oh jóvenes! aprovechándoos de las lecciones del Sr. do sin novedad en su importante.salud en el Real Sitio del Pardo. rantes que por espacio de Ifi. años ha desempeñado honoríficamente las di…</t>
  </si>
  <si>
    <t>…lquivir................................................. 4,000 S. M. la Reina nuestra Señora,-su augusta Madre la Reina Empresarios de minas con mas de 30 jornaleros.. .. 2,000 . , 1,. ._.. 300Gobernadora y la Serma. Sra- lnfanta Doña María Luisa, continúan Idem desde 3 hasta 30 operarios. ., .sin novedad en su importante salud en el Real sitio del Pardo.___ _ Maestros fie pesias por el servicio de las diligencias y carruages de particulares.................................................................. 300 TARIFA EXTRAORDINARIA NUM. 2.…</t>
  </si>
  <si>
    <t>…as....,..,.... 38o 190 $5. Para Indias..»^............ 4oo *00 zoo» MADRID. ARTICULO DE OFICIO. PARTE NO OFICIAL. S. M. la Reina nuestra Señora, su augusta Madre la Rana NOTICIAS EXTR ANGERAS. Gobernadora y la Serma. Sra. Infántá Doña' María Luisa, continúan ■ntí: ------------- ------- sin novedad en su importante salud en el Real Sitio del Pardo. A a T"ri AMÉRICA* Méjico l.° Je Julio* REALES DECRETOS. Continúan los documentos oficíales sobre la última revolución de la re Condescendiendo con los deseca de D- Francisco León Rendid pública mej…</t>
  </si>
  <si>
    <t>…S. M. la Reina nuestra Señora, su augusta Madre la Reina tadas con la presencia del rebelde D. Oírlos, y reparar en lo posible los graves danos que |&gt;or medio del rolio v del incendio causaron Gobernadora y la Serma. Sra. Infanta Doña María Luisa, continúan aquellos en unión con los desleales que los auxiliaron, se ha servilla sin novedad en su importante salud en el Real Sitio del Pardo. S. M. la Reina Gobernadora mandar: 1? Que el comisarlo régio ó su delegado que ha de instruir las causas sobre los crímenes indicados se ocupe desde luego…</t>
  </si>
  <si>
    <t>…u augusta Ma —-----M. Mary , encargado de Negocios en el Brasil, ha presentado sus creden dre la Reina Gobernadora, é igualmente S. A. la Señora Infama ciales el 14 de Febrero al ministro de Negocios extrañecros del Brasil. El 18 Doña María Luisa, continúan sin la menor novedad en su impor se presentó al Emperador D. Pedro n y á la Regencia. tante salud. De Real orden lo participo á V. E. para su satisfacción y para los efectos oportunos. Dios guanleá V. E. muchos años. S. Il ------ El encargado de Negocios de Bélgica en Lisboa , M. Serruys…</t>
  </si>
  <si>
    <t>…la Iglesia, porque sobre este punto, no solo mis opiniones de Riofrio. También goza de perfecta salud en el expresado Real serán siempre francas ,sino que ademas mi conducta se conformará siempre coa sitio la Serma. Sra. Infanta Doña María Luisa. mis palabras. Amo de corazón la religioq de mis padres, y j^mas me prestaría á una tentativa que sea en lo mas mínimo contrario á ella. Yo protegeré las universidades, asi como las doctrinas religiosas, que son la ba^ de su enseñan za; pero no creo faltar á este deber abriendo las puertas de las ca…</t>
  </si>
  <si>
    <t>…e todos los extraogeros entren ca Inglatcrra-p sal fi M—la-JR-Fnr* nuestra Señora, su augusta Madre lá Reina gan de ella con toda libertad, y residan entre nosotros como .naturales del |*T“t ■ Gobernadora y la Serma. Sra. Infanta Doña María Luisa, continúan El caso es que á los ingleses que quieren viajar por Holanda úlimAi mmiJúa __ titt-rtovedail errsuim portante salud enel Real sitio del Rardo. lámeme de la Bélgicas y ¿ pesar de tener sus pasaportes en rqglatse lea poses» muchas trabas a su entrada en el territorio, holandés. Ha sucedido…</t>
  </si>
  <si>
    <t>…, plomo y ---- 3- M. la REiNA nuéstra Señora, su augusta Madre la Recsa zinc; mercaderes que venden cintas, sedas, /tilos, medias, pañuelo# y otrps pequeños tejidos de sus respectivas clases. Gobernadora, y la Serma. Sra. Infanta Doña María Luisa, conti Quinta clase de industrias y profesiones.núan sin novedad en su importante salud en el Real Sitio del Tardo. Tratantes de maderas en almacén, corrales ó paradas; almacenis tas de papel lino y de papel pintado ó de adorno; almacenistas de TARIFA CUARTA, muebles nuevos y de moda; abastecedores…</t>
  </si>
  <si>
    <t>…ebrado el año de 1824-, cometiendo por lo mismo cuantas depra S. K. la Rbiha nuestra Señora, su augusta Madre la Rama vaciones son imaginables; y atacando últimamente la heroica é inmaculada Gobernadora y la Se riña. Sra. Infanta Doña María Luisa, continúan conducta del ilustre presidente general libertador ciudadano Antonio López de Santana, y de nuestro actual reelecto comandante general ciudadano Ma sin novedad en su importante salud en el Real Sitio del Pardo. riano Martínezt y en fin, que esta chusma de bandoleros invocando patria y li…</t>
  </si>
  <si>
    <t>…ina Gobernadora ha resuelto trasladarse á ella, con toda la Real Fam-ilia, en el dia de mañana. XBLGICA. . , S. M. la Reina nuestra Señora, su augusta Madre la Reina Bruselas 1.° de Diciembre. Gobernadora y la Senna. Sra. Infanta Doña María Luisa, continúan sin novedad en su importante salud en el Real sitio del Pardo. Podemos asegurar con toda certidumbre, sin que sea posible .desmentimos ni aun con apariencia de razón, que el primer acto de política exterior que ha ejecutado el duque de Wellington, después de haber prestado juramento como…</t>
  </si>
  <si>
    <t>…ime Puerta 5 mientras no se logre esto el bloqueo subsiste y de Riofrio. También poza de perfecta salud en el expresado Real debe producir todo su efecto, es decir, interrumpir enteramente la comunica sitio la Serna. Sra. Infanta Doña María Luisa. ción de la isla con los que están fuera. El derecho de emigrar no puede ejer^ cerse sino desde el día de la sumisión, y cuando ia autoridad establecida esté tn el caso de recibir la declaración de la voluntad individual de cada habitase* sobre su designio de ausentarse ó permanecer/’ REAL DECRETO.…</t>
  </si>
  <si>
    <t>…o nada tiene que temer, sea para sorprender algún cuerpo S. M\. la Reina nuestra Señora, su augusta Madre la Reina que marcha ó que está acantonado, sea para hacer exacciones, para recoger ví Gobernadora, y la Serma. Sra. Infanta Doña María Luisa, conti veres, dinero y reclutas. Dado el golpe, vuelve á toda priesa al monte con su núan sin novedad eo su importante'salud en el Real Sitio del Pardo. gente y con su presa. Desde el Bastan se traslada á Ulzama, desde aquí á la Borunda, de la BojgjBSBgBB-ÍElgl ........ , ...... runda a las Amescoa…</t>
  </si>
  <si>
    <t>…an con-, S. M. la Reina nuestra Señora, su augusta Madre la Reina ducidos á Bremer-haven. En consecuencia del dedreto del señado y vecindario de 23 de este, ordéna él senado lo' siguiente: ' ' Gobernadora y la Serma. Sra. Infanta Doña María Luisa, continúan 1? En iodos los casos de naufragio, en que iris géneros salvados sin novedad en su importante salud en el Real Sitio def Pardo. sé lleven al distrito del corregimiento (mnr) de Brémer-haven , está aquel autorizado para mandar tomar aquéllas medidas interinas de seguridad que crea nécestn…</t>
  </si>
  <si>
    <t>…O DE OFICIO. pagarán Los L. Schuller y viuda Silbermann. contraventores una muita.de G. lU Üdrines por ejemplar. (&lt;Jaceta de Maguncia.') S. M. la Reina nuestra Señora, su augusta Madre la Reim Gobernadora y la Serma. Sra. Infanta Doña María Luisa, continúan BOLAN DA, sin novedad en su importante salud en el Real Sitio del Pardo. Maya 25 de Octubre. Se habla de un nuevo voto verbal que ha hecho entregar nuestro gobier no á las tres Potencias del Norte, y en el cual, según se dice, está trazada la marcha de las negociaciones acerca de las des…</t>
  </si>
  <si>
    <t>…o imperial ha sido informado qué el general D. Juan A. La- S. M. la Reika nuestra Señora, su augusta Madre la Reina valleja , acompañado de rms de 200 hombres, consiguió partir de Buenos-Ai-es Gobernadora y la Serma. Sra. Infanta Doña María Luisa, continúan y desembarcar el día 12 de*Marzo en Las Higu^ritas, en la costa de Urustía v, procurando fomentar nuevas perturbaciones en el Estado oriental; pero siendo rio novedad én su importante salud. seguido inmediatamente por el coronel Medina fue totalmente derrotado en las márgenes del Rio Neg…</t>
  </si>
  <si>
    <t>…iduos. Pero en cambio los compradores de bienes rurales redoblan de importante salud. Del mismo beneficio disfrutan SS.-AA. la Sere árdor, y hay en este momento algunos pleitos sobre terrenos situados en Bohanísima Señora Infanta Doña María Luisa y el Serenísimo Señor In iini é Imozaya, es decir, á mas de tres jornadas de la metrópoli, en sitios 4 fante D. Francisco de Paula. De Real orden lo participo á V. E. que nunca se han acercado ní iun en sus mayores excursiones tas tropas fran cesas. Fs probable que estas m^mas tierras pasarán por una…</t>
  </si>
  <si>
    <t>…OFICIO. ---------- fue declarado. Y”de Real "Órden &amp;c. Madrid fG de Setiembre de 1854.=E1 conde de Toreno.=Sres. directores de Rentas. S. M. la Reina nuestra Señora, su augusta Madre la Reina Gobernadora y la Serma. Sra. Infanta Doña María Luisa, continúan sin novedad en su importante salud en el Real Sitio del Fardo. PARTE NO OFICIAL. NOTICIAS EXTRANGERAS. MINISTERIO DE HACIENDA. Reales órdenes. ALEMANIA. Francfort 25 di Setiembre. Conformándose S. M. la Reina Gobernadora con el dictámen del Consejo Real de España é Indias en i su sección…</t>
  </si>
  <si>
    <t>…e de objetos de lícito comercio, y de ningún modo, ni bajo pretexto S. M. la Reirá nuestra Señora, su augusta Madre la Reirá algunos de los llamados de contrabando de guerra que designa el ar Gobernadora, y la Serma. Sra. Infanta Doña María Luisa, conti ticulo 24 de la ordenanza del corso, exceptuándose de esta regla por ahora y mientras los facciosos no tengan embarcaciones, ó esten en núan sin novedad en su importante salud. posesión de algún puerto, las jarcias y lonas. 5' Los cónsules, vioe-ennsutes ó encargados remitirán á los admi nis…</t>
  </si>
  <si>
    <t>…co bas tante concurrido-, especialmente en tiempo de invierno; S. M. la S. M. la Reina nuestra Señora y~su augusta Madre ía Reina Reina Gonernadora se ha servido mandar quede al&gt;olida para siem Gobernadora, como la Señora Infanta Doña María Luisa, continúan pre la costumbre de enterrar á los difuntos procedentes de dichos sin novedad en su importante salud en el Real Sitio de San Il hospitales generales en el expresado cementerio particular, v que lo defonso. sean en el general que hay á la salida de la puerta y puente de To ledo, encargand…</t>
  </si>
  <si>
    <t>…reoa. ”;■■'■ - • Para Canarias^—38o 190 y5. 4°ó 900 ioo. “ - - ARTICULO DE OFICIO. PARTE NO OFICIAL. "■ • ' 1¿ ... S. M. la Reina nuestra Señora, su augusta Madre la Reina NOTICIAS EXTkANGERAS. Gobernadora y laSerma. Sra. Infanta Doña María Luisa, continúan Stockolmo 19 de Agosto. REALES DECRETOS. El jueves pasado sé presentó el proceso del capitán Liudeherg al cornejo dé Estado, presidido por S. M. el Rey. Todavía no se han filmado les proto Atendiendo á las reiteradas instancias que me ha dirigido él colos; pero se sabe ya positivamente q…</t>
  </si>
  <si>
    <t>…tambiény se recelanla de, conatacaralgúnel imperiofunda S. M. la Reina nuestra Señora, su augusta Madre la Reina de Birrnan. Por noticias recibidas de los Estados Unidos se sabe que el Rey de Gobernadora y la Sertna. Sra. Infanta Doña María Luisa, continúan Siam ha puesto ya en marcha 3 ejércitos de 503 hombres cada uno. Sin novedad en «u imparncnu» salud en el Real Sitio del Pardo. (Jrícnsageroí) Escriben de Valencíeñnes (departamento det Norte) , fecha 22 de Se MINISTERIO DE HACIENDA. tiembre : «EL concurso de agricultura anunciado en nue…</t>
  </si>
  <si>
    <t>…mo». s’ Para Canarias............ 33o t9ó 95. Para Indias....... ______400 ROO loo» DE MADRID. ARTICULO DE OFICIO. Vierta 19 de Octubre. M. la Repta nuestra Señora, su augusta Madre la Rbtka Cotiérnadóra J la ¡^erma. Srá. Infanta Doña María Luisa, continúan El conde Munch-Bellinghausen, que ha sido nombrado presidente de la Dieta germánica, ha tenido la audiencia de despedida de S. M. el Emperador, y nn novedad en su importante salud en_el Real sitio del Pardo. salió ayer para Francfort. Las últimas noticias de la Grecia, á pesar de que par…</t>
  </si>
  <si>
    <t>…nuestra Señora, su augusta Madre la Reina Segunda. Aun cuando hubiese medios y elementos para reparar el estado de disolución é inmoralidad en que se halla el pais, para. Soldar las divisiones Gobernadora y la Serma. Sra. Infanta Doña María Luisa, continúan y resentimientos de los federales entre; sí, para contener la insolencia de los sin novedad en su importante salud. unitarios, y Cruzar todas sus empresas y combinaciones fraguadas de concierto con los que habitan las provincias interiores y repúblicas vecinas; aun en este cato patamente…</t>
  </si>
  <si>
    <t>…r novedad en su im Los-indómables bósniacos que habitan la Croacia inl&amp;edutó al portante salud. Del mismo beneficio disfrutan igualmente SS. A A. nuestro, y que hace mucho tiempo se mostraban opui y+.¡m los Seranos. Sre?. Infanta Doña María Luisa é Infante D. Francisco estado de anarquía, y que también hace rpóchos años _ de Paula. Día Real orden lo comunico á V. E. para su satisfacción y en nuestro territorio, han llenado el colmo de nuestro sBfGñmícttto cosfeL, efectos .oportunos. Dios guarde á V. E muchos años. San Ildefonso han cometido…</t>
  </si>
  <si>
    <t>…no se volverán a admitir enTo sucesivo las que se presenten por via S. M. la Reina nuestra Señora y su augusta Madre la Reina de fianzas, sin que se haga previamente su valuación por el produc Gobernadora, como lá Señora Infanta Doña María Luisa, continúan to en renta, sacando el capital por la base de un 5 por 100, bajo td concepto de que la justificación de la renta que produzcan dicliassin novedad en su importante salud en el Real Sitio de San Il fincas se ha de hacer con la presentación de las escrituras de arriendefonso. do, recibos d…</t>
  </si>
  <si>
    <t>…! ’Sí* $L 'hrREtúÁ nuestra Señora, stlaugustá Madre la Reirá liquidación dé' fe deuda procederá á desglosar aquellos para que los interesados uáín de ellos como les convenga, é igual operación Gobernadora y la Serma.Sra. Infanta Doña María Luisa , continúan practicará con todas las consignaciones pertenecientes á dignatario* • ¡rio novedad en'su importante salud en el Real sitio del Fardo. ue lo sean desde 30 de Enero de 1828, repuliendo nota expresiva P todo ^ h éontguturja^géñcral'dé Valores. , ’ . ií 4* Con presencia de Jas referidas no…</t>
  </si>
  <si>
    <t>…cían en ellos para hacer la cuarentena.” De Real orden &amp;c. Dios &amp;c- Madrid 2á de Setiembre de Io.54.xJosé María Mtisroso de S. M. la Reina nuestra Señora, su augusta Madre la Reina Altamira. Gobern3&lt;Iora y la Serma. Sra. Infanta Doña María Luisa, continúan ' sin novedad en ¿u importante salud en el Real Sitio del Pardo. PARTE NO OFICIAL. MINISTERIO DE HACIENDA. NOTICIAS EXTRANGERAS. Real órílen. He dado cuenta á S. M. la Reina Gobernadora del expediente instruido cotí motivo de las varias exposiciones en rjue el tribunal (Continuación del…</t>
  </si>
  <si>
    <t>…ospasiva.mediosLasqueobligapo ciones de la deuda pasiva no gozarán interes; se proveerá ulterior S. M. la Reiita nuestra Señora, su augusta Madre la Reina mente á su amortización y reembolso. Gobernadora, y la Serma. Sra. Infanta Doña María Luisa, conti Art. lí Todas las obligaciones y títulos que representan ahora la deuda extrangera se cambiar in [ior otros nuevos en el término núan sin novedad efn su importante salud en el Real Sitio del l’ardo. de un año después de la promulgación de esta ley. El Secretario de Estado y del Despacho univ…</t>
  </si>
  <si>
    <t>…alta provieneno ponenla inercia¿n sus trabajos la actividad y constancia necesarias para obtener resultados útiles é ' S: M. la Reirá nuestra Señora y su augusta Madre la Reirá importantes. Coliát-nadora, c&lt;jrno la Señora Infanta Doña María Luisa, continúan «De aquí proviene también la indiferencia del público, que no estando sin novedad en su importante salud en el Real Sitio de San Il al corriente de los esfuerzos que hacen los hombres ilustrados de que se com defonso. ponen las sociedades sabias, se interesan poco en ellos y descuidan mu…</t>
  </si>
  <si>
    <t>…mero y posición de las facetas ó espejos para la reflexión de la S. M. la Reina nuestra Señora, su augusta Madre la Reina luz, como en cuanto á la colocación de los vidrios, conr el fin de que Gobernadora y la Serma. Sra. Infanta Doña María Luisa, continúan los rayos se dirijan al piso de la calle y lo bañen en el mayor núme sin novedad en sil importante salud en el Real Sitio del Pardo. ro de puntos posible. También examinará cuál sea el número nece sario de faroles de reverbero colgantes en cada calle, y cuál será_el_ coste de cadamTcrgTn…</t>
  </si>
  <si>
    <t>…4 y amarillo, &amp;M,,-l* Ramanuestra Señora, suaugusta Madre la Rima un emblema revolucionario, no hay duda que semejante conducta es rcpicn— S}1^ túpA» «i d? á¿n# que los cantones que tenían en ello GoMrm^án j laSerma. Sra. Infanta Doña María Luisa, continúan *5*7°? ». hubieran desaprobado escenas tan ofensivas á los FjitaJflj con quita* U Suiza mantiene relaciones de amistad, y hubieran dado juna, pruebañn noredad^H fu impomnte salud en el Real Sitio del Pardo. 3 explícita de su^ desagrado , entregando los alborotadores á los tribunales t ó…</t>
  </si>
  <si>
    <t>…debe tener ~R¿»ff Tiiigstra .Señora. su/auguata Madre la Reifa bastante influencia..eu la Cámara de Jos Cpmunce.pára, quesea necesaria la di~ solución del Parlamento, í ló menpS;pqy ajiora. , Gobernadora y la Serma. Sra. Infanta Doña María Luisa, continúan El Atcrnmg kierald invita ai pubíjco á ^pciar..con. paciencia el;.resul . .-c/mí*; v j t-W. ’ ; - ■ q • ' - ’ tado de la combinación mmistenaj, fiándose en que M_.PecÍ, circunspecto y. sin noifeaad eq su impot-tante salud. experimentado como es, reflexionará sériamente spbfe. d,.qo«nhram…</t>
  </si>
  <si>
    <t>…deraba feliz el que se libertaba de él sin llevarse njda consigo. S. M. la Reina nuestra Señora y su augusta Madre la Reina Algunos centenares de'habitante* acampan actualmente al rededor de U Gobernadora, corno la Señora Infanta Doña María Luisa, continúan ciudad , é imploran la caridad pública; se cree que lfo personas á lo menos sin novedad en su importante salud en el Real Sitio de San Il han sido víctimas de estos incendios La pérdida de mercancías ha sido consi defonso. derable ; la ciudad de Bitoglia queda casi arruinada; felizmente…</t>
  </si>
  <si>
    <t>…Alejandría del 6 de Ju’io,y poruña de Ibrahim que aquel S. M. la Reirá nuestra Señora, su augusta Madre la Rptra gobierno hizo circular á jos cónsules, ios insurgentes con sus gefes se habían, Gobernadora y la Serma. Sra. Infanta Doña María Luisa, continúan retirado á las moni a ñas después de haber obtenido el perdón que imploraron; sin novedad en su importante salud en el Reai Sitio del Pardo. mas por el mismo buque portador de ota _QjrUjc. supo también que MchemeiAlí, que se había trasladado á Siria para socorrer á su hijo , ¿staSá Sitia…</t>
  </si>
  <si>
    <t>…os Estados de Alemania. No se habla del, regreso del pre Si Mi la Reina nuestra Señora, sil augusta Madre la Reina sidente de la Dieta: así que, las incertidumbres sobre los resultados del Con Gobernadora y la Serma. Sra. Infanta Doña María Luisa, continúan greso de Viená, y las conjeturas á que da lugar, no han llegado todavía ¿ su sin novedad en su importante salud en el Real sitio del Pardoi término. IsciAiEíra. lAndtet 3 de Oí (ubre. WtNISTEÉIO DÉ HACIENDA. Sé lee en el South—African—Advertiste del 11 dé julio lo siguiente: Real orden.…</t>
  </si>
  <si>
    <t>…rándole consejero de guerra. El teniente gene* ral Sulima le sucederá en ci mando de la biberia occidental. (Adtrcurro ae Suecia.'} * S. M. la Reirá nuestra Señora , su augusta Mailre la Reirá Gobernadora y la Serma. Sra. Infanta Doña ¡María Luisa, continúan HfcSSE ELECTORAL sin novedad en su importante salud en el Real Sitio del Pardo. Cassel 2 Je I^oziembre. A consecuencia de la última modificación del ministerio, Mr. de Moíz ' ~ i queda encargado definitivamente del despacho de la secretaría de hacienda, y el consejero Hassenptlug de las…</t>
  </si>
  <si>
    <t>…muy influiría medad, poderosamente en la suene futura de los pequeños Estados de Alemania, y en S. M. la Reirá nuestra Señora y su augusta Madre la Reirá la de Sajoniacon especialidad. (Wrm.) Gobernadora , como la Señora Infanta Doña María Luisa, continúan sin novedad en su importante salud en el Real Sitio de San Il Rayosa 1 % de Agosto. defonso. Anoche han conducido i esta ciudad 4113 francos, que han detenido los dependientes del resguardo en el pueblo de Larressore, cantón de Ustarits, j REAL DECRETO. el subprefecto ha puesto dicha can…</t>
  </si>
  <si>
    <t>…está mejor, y qua dentro de dot día&amp; ,. -. ' podrá, jca andar. (Z&gt;. ds Dtbates.') \ S.M. la RerfíA nuestra Señora, su augusta Madre la Rerta ____Se lee en él Indicador de Burdeos lo siguiente: Gobernadora J la Serma. Sra. Infanta Doña María Luisa, continiían, -Ayer. Mr. Lassime , comisario central, ha hecho no lejos de Royan mu * ain. ñoredad, en *u importante salud en el Real sitio del Pardo. aprehensión importante. Había sospechas de que en la parte baja del rio se es taba haciendo en un barco holandés un cargamento Ae i7nu. pH■—CJr\ nt&gt;—…</t>
  </si>
  <si>
    <t>…oluntarios lo permita, y según lo exijan las circunstancias. La or S- M. la Reina nuestra Señora, su augusta Madre la Reina ganización de las diferentes secciones se compondrá de la fuerza si Gobernadora, y la Serma. Sra. Infanta Doña María Luisa, conti guiente. núan sin novedad en su inlportante salud en el Real Sitio del Pardo. TROPA. Un subteniente. Un tercio de Sargento segundo.................. 1 compañía. I 3 REAL DECRETO. 53 Cabos primeros ó segundos. Debiendo preceder á la celebración del empréstito de 400 mi Soldados...............…</t>
  </si>
  <si>
    <t>…ne »c|ue la caja de amortización se encargue del paito de lia parte ó porción de renta que corresponda á la Bélgica." (HandditUJ.')f- S. M. la Reís* nnestra Señora, su augusta ¡Mapire la Reirá Gobernadora y la Serma. Sra. Infanta Doña María Luisa, continúan ITALIA. sin novedad en sii importante Salud en el Real Sitio del Pardo. Roma 25 de Octubre. ^or decreto de 20 de este mes ha aprobado S. S. los estatutos para una caja dé descuentos que se va a establecer en esta capital bajo el titulo de Ran MINISTERIO DE LO INTERIOR. eo romano. La caus…</t>
  </si>
  <si>
    <t>…stra Señora y su augusta Madre sino dentro del término de 24 horas. la Reina Gobernadora, continúan sin la menor novedad en su im portante salud. titulo vn. Del mismo beneficio siguen disfrutando SS. AA. la Serma. Se ñora Infanta Doña María Luisa, y el Sermo. Sr. Infante D. Fran Disposiciones peculiares á la discusión -de los proyectos de ley. cisco de Paula. De Real orden lo participo á V. E. para su satisfacción y efec Art. 68. Ningún proyecto de ley podrá discutirse sin haberse tos-oportunos. Dios guarde á V. E. muchos años. S. Ildefonso…</t>
  </si>
  <si>
    <t>…l(ÍO 8o. de Correos. - - Faca ........... 3ik&gt; ]t&gt;o «A Para India.*....,.. ........ 4°o loo XOO. i GACETA DE MADRID. ARTÍCULO DE OFICIO. S. M. la Runa nuestra Señora y su augusta Madre la Reina Gobernadora, como la Señora Infanta Doña María Luisa, continúan «n novedad en su imjiortante salud en el Real Sitio de San Ildefonso. EXPOSICION DIRIGIDA AS.M. POR EL SEÑOR PRIMER SECRETARIO DE ESTADO, PRESIDENTE DEL CONSEJO DE MINISTROS. Señora: En cumplimiento de vuestro Real decreto de 16 de Junio prójimo pasado, tengo la honra de proponer á V. M.…</t>
  </si>
  <si>
    <t>…mpo quería policía sabia ,.á no poderlo da dar, que les 5. Mí k Reina nuestra Señora, su augusta Madre la Rsiua partidarios de D. Carlos procuraban clandestinamente suministrarle aratas pasa Gobernadora ¿ y la Serma. Sra. Infanta Doña María Luisa, conti *u&amp; tropa, de las cuales una gran parte no las tienen, cuando avisaron de Ba núan sin novedad 'en su importante salud en el Real Sitio del Pardo. yona que un individuo sospechoso salía de aquella ciudad con dirección i Pi3., . ’ .rvz.i ,... ,T í" í. h ir n i -i.rpnriM ris.de laM.llegadaLassi…</t>
  </si>
  <si>
    <t>…demasiado progresiva. (CraeetJ Je .4jbijrg^3)-f -O: si. -r. .- ,-j i ■ -.■ - *'** S.1ÉI. la Reirá nuestra ^eñofa. iii.augysw AÍacIrp la Rbiha.í -i - f&lt;tP^ka£Me ^4t^etiembr^i, ^.£/_ ¡&gt;r____ üóbefriatlora j !á Sérma. Sra. Infanta ‘Doña María Luisa, continúan han-élegirfó^yi muchos aldeanos que- pro 6Ín. novedad en su importante salud,en,'el Real Sitio deJ Bardo. original que en muchos distritos hart vencido lo? 3Vdentfa8¿r«scdecpójs*jdári 4d*¡b ; ... ...' 3, I , V ■ .. 3. • l. ¡ ■ labradores libres, sin duda porque se cree que defenderán con…</t>
  </si>
  <si>
    <t>…a Señora, su augusta Madre la Reina con la idea de que pudiese terminar sus trabajos en el espacio de tres meses. EÍ presupuesto apfoximatiro de entradas y salidas para los años 1Ü33, 1 b.,4 y Gobernadora y la Serma. Sra. Infanta Doña María Luisa, continúan 18J5 estuvo detenido en la segunda Cámara durante 11 meses; y es extraño que en tanto tiempo la comisión nombrada no presentase su dicrámen, mu sin novedad en su importante salud en el Real Sitio del Pardo. cho mas habiendo la mayor parte de Diputados que ya lo fueron de la legis latura…</t>
  </si>
  <si>
    <t>…o. GACETA DE MADRID. 72,000,000. .. 3Í de Octubre id. ARTICULO DE OFICIO. 23,000,000... 30 de Noviembre id. S. M. la Rema nuestra Señora, su augusta Madre la Rema Rs. vn. 400.000.000 en junto. Gobernadora y la Serma. Sra. Infanta Doña María Luisa, continúan ------------------------------------------------- o sin novedad en su importante salud. Estas entregas serán realizadas en letras de cambio sobre las diversas plazas de España en monedas que en el dia tengan curso en lo interior del reino, ó en barras de oro ó de plata. Habiendo sido adm…</t>
  </si>
  <si>
    <t>…areado la opi;úo¡] de los pueblos en que se hallen sirviendo.; dán S. M. la Reina nuestra Señora y su augusta Madre la Ruina dome V. SS. parte de tales traslaciones, y de los motivos en que se -Gobernadora, como la Señora Infanta Doña María Luisa, continúan hubieren fundado para mi conocimiento. De Real orden lo digo á ■ sin novedad en su importante salud en el Real Sitio de San Il V. SS. para su inteligencia y cumplimiento; y que lo comuniquen defonso. á los intendentes de las provincias, con prevención de que lo hagan entender en la maner…</t>
  </si>
  <si>
    <t>…eñora, su augusta Madre la Reina tereses del pueblo. El ministro Coletti, partidario de Francia, v uno de los mas r~ activos, como también de los mas capaces entre los hombres públicos de Gre Gobernadora, y la Serma. Sra. Infanta Doña María Luisa, eonti- cia, dirige el departamento de lo interior, al cual ha agregado una subsecretinóan sin novedad en su importante salud en el Real Sitio del Pardo. na, que componen tres jóvenes extrangeros , pero adictos á la ciusa de la Grecia, y tienen la inspección de Jas obras públicas y negocios de come…</t>
  </si>
  <si>
    <t>…e apareció ei primer decreto relativo á la introducción S. M. la Reirá nuestra Señora, su augusta Madre la Reirá de li^na constitución en este reino. Uno de los presidentes ha hecho ya una con Gobernadora y la Serma. Sra. Infanta Doña María Luisa, continúan vocatoria extraordinaria, y el perjudico Focar elandrt (La Patria) publicaba ayer un artículo muy extenso sobre el mejor modo de establecer una candida sin novedad en su importante salud en el Real sitio del Pardo. tura. Entre los 31 jueces de los varios tribunales de Copenhague solo hay…</t>
  </si>
  <si>
    <t>…cia la instrucción, disciplina y excelente aptitud militar que han 8. M. la Rema nuestra Señora, su augusta Madre la Rema manifestado los cuer|ns de todas armas del Ejército y Milicia urbana Gobernadora, y la Serma. Sra. Infanta Doña María Luisa, conti que lia revistado en este dia; y como está segura de que iguales mo^ tiros &lt;!(; satisfacción le habría ofrecido el resto de ¡a fuerza armada núan sin novedad en su importante salud. de dichas clases que existe en la Monarquía, á quien S. M. conside raba boy representada, me manda decirlo á V…</t>
  </si>
  <si>
    <t>…procederán á^ elegir los caneo portante salud. Procuradores del Reino en quienes ha de recaer la elección deS. M. Del mismo beneficio disfrutan SS. AA. la Serma. Señora Infanta para Presidente y Vicepresidente de dicho Estamento. Doña María Luisa, y el-Sermo. Sr. Infante D. Francisco. Art. 30. La votación se hará de esta suerte: Se colocará ana . De Real orden lo participo í V. E. para su satisfacción y efec urna sobre la mesa en la que cada uno de los Procuradores depositará tos oportunos. cinco cédulas con los Dombres de cinco Procuradore…</t>
  </si>
  <si>
    <t>…á todas aquellas reformas, había cambiado el ministerio, 1 S. M. la Reina nuestra Señora y su augusta Madre la Reina mandando prender á varios diputados del Congreso, y había publicado una pro Gobernadora, como la Señora Infanta Doña María Luisa, continúan clama en que manifiesta que las autoridades legislativas no se conservaban en armonía con la opinión pública: que los alborotos suscitados en Orizaha do te fiin novedad en su importante salud en el Real Sitio de San Il nia otro objeto que la conservación de la religión católica: que la u…</t>
  </si>
  <si>
    <t>…cando constantemente los medios de alburies las ¿irgas del S. TU. la Rtnu nuestra Señora, su augusta Madre la Reina Estado que deben soportar, hemos fijado nuestra particular atención en el re Gobernadora y la Serma. Sra. Infanta Doña María Luisa, continúan emplazo del ejercito por ser la mas importante de dichas careas como que in ñu novedad en su importante salud en el Real Sitio de1 Pardo. fluye directamente sobre la prosperidad pública y la de los particulares. Después de haberla establecido sobre bases sólidas y duraderas por el reglam…</t>
  </si>
  <si>
    <t>…ipa Juan déTraub1 ' '■ ¡ ARTICULO DE OFICIO. mauntorf. ~‘ í S. M. la, Reina nuestra Señora, su augusta Madre la Reina ____ Cartas de OonUanti-oplj del ] n &lt;Je Setiembre anuncian qul la pote Con Gobernadora y laSerma. Sra. Infanta Doña María Luisa, continúan tinúa ¡pecado grandes atreg; s en acjúcila ejj'.tJ. sin novedad en su impórtame salud en élReal Sitio tjel Pardo. ____ Jriií.is ca*z* de enmeróo e., tivufir-Qr-S ; ti, canzan hasta fines de Agosto, Nada eicert de im a,r&gt;,' '-e'a ¿- ]a Ar^aóta. ó. donde puedfe inferirse que o no los ha ha…</t>
  </si>
  <si>
    <t>…unicareis á quien correspónda.=Está rubricado de la Real mano, ir En el Pardo á 19 de Noviembre de 1834.=A Don S. M. la Reina nuestra Señora, su augusta Madre la Reina Nicolás Alaría Garelly. Gobernadora y la Se mía. Sra. Infanta Doña María Luisa, continúan Deseando que la justicia se administre en primera instancia • lio novedad en su importante salud en el Real sitio del Pardo. por los jueces letrados de partido, conforme con lo dispuesto en mi Real decreto de 21 de Abril último, he venido en mandar, que tos corregidores políticos y los g…</t>
  </si>
  <si>
    <t>…ces árbitros. S. M. la Reina nuestra Señora, su augusta Madre la Reina «Luis por la gracia de Dios, Rey de Bavlcra &amp;c. «Los doce artículos relativos al establecimiento de un tribunal de jueces Gobernadora y la Berma. Sra. Infanta Doña María Luisa, continúan árbitros destinado a allanar las desavenencias que pudieran acaecer entre el sin novedad en su importante salud. gobierno y los Estados en caso de que no sean bastantes á zanjarlas las lc&gt;es del país, se han votado á unanimidad en la sesión plena de la Dieta germáni ca de 30 de Octubre d…</t>
  </si>
  <si>
    <t>…escuadra para la Siria con ánimo de tomar una venganza ejem S. M. la Reina nuestra Señora y su augusta Madre la Reina plar y ruinosa de aquellos insurgentes: esperamos aquí con impaciencia el reGobernadora, como la Señora Infanta Doña María Luisa, continúan sultado de esta formidable expedición. Sin novedad en su importante salud en el Real Sitio de San Il Al mismo tiempo el ex-gran visir Rescfcid Mehemet-bajá, que reúne la defonso. mayor autoridad en el Asia , habia marchado con un grueso ejército á atacar á los kurdos, que en gran parte h…</t>
  </si>
  <si>
    <t>…arón Tem ple, principal secretario de Estado de S. M. B. en el departa S. M. la Reina nuestra Señora, su augusta Madre la Reina mento de Negocios extrangeros &amp;c. &amp;c. 8tc.; y Cristóbal Pedro do Gobernadora y la Serma. Sra. Infanta Doña. María Luisa,cootinúaB Mora es Sarmentó, enviado extraordinario y ministro pleni poten— sin novedad en su importante salud en el Real Sitio del Pardo. ciario de S. M. F. cerca de S. M. B., autorizados competentemente por sus respectivos Gobiernos, han convenido en los siguientes ar tículos adicionales al tratad…</t>
  </si>
  <si>
    <t>…rs hecho poner en el nuestro sello Real. Dado en nuestro Palacio de btokolmo el 20 de Octubre de 1834-=EÍtS. M. la Reina nuestra Señora, su augusta Madre la Reina mado.—Cárlos Juan R. Martin. Gobernadora, y la Serma. Sra. Infanta Doña María Luisa, conti ALEMANIA. núan sin novedad en su importante salud en el Real Sitio del Pardo. Francfort 5 de JS'oziembre. Aunque la Dieta ha tenido ya varias sesiones, todavía nada ha podido sa berse de la comunicación que ha hecho el presidente. La disolución de la REAL DECRETO. Camara de Darmstadt no ha s…</t>
  </si>
  <si>
    <t>…- M. la RkihA nuestra Señora, su augusta Madre la Rkiwa hiciese el establecimiento de gefes de división en el ministerio de la I Guerra vendía á ser en último resultado una mera duplicación de Gobernadora y la Serma. Sra. Infanta Doña María Luisa, continúan empleados; y recordando ademas, que el ensayo hecho de esta orga nización durante el gobierno constitucional estuvo tan lejos de cor sin novedad en su importante salud. responder a lo que de ella se halda esperado, que fue preciso des echarla á poco tiempo de haberla planteado, todo demu…</t>
  </si>
  <si>
    <t>…rbolado se enagenará en venta Real por el precio máximo de la tasación. S. M. la Reina nuestra Señora y su augusta Madre la Reina B'! Las fincas enajenadas quedarán afectas á las cargas ó dere Gobernailnra, como la Señora Infanta Doña María Luisa, continúan chos que tuvieren, y en el precio de la tasación se hará la rebaja o sin novejad en su importante salud en el Real Sitio de San Il aumento consiguiente del respectivo capital. defonso. 7“ Todos Jos gastos que ocurran éu la enajenación de las fincas de los propios serán de cuenta del adqu…</t>
  </si>
  <si>
    <t>….. 38o «yo 9$. Para ludías............ ..... 400 300 ICKfc. GACETA DE MADRID. ARTICULO DE OFICIO. 1WCJ.ATERB.A. S. M. la Reirá nuestra Señora, su augusta Madre la Reís a LÓndres 11 de Octubre. Gobernadora y la Serma. Sra. Infanta Doña María Luisa, continúan Hemos recibido la noticia de que ha muerto el caballero Octavio Tenv- ple_^temente gobernador de hierra Leona , gire Jebe contarle tomo otra victi sin novedad en su importante salud en el Real sitio del Pardo. ma de aquel insoportable clima. Los grandes criminales son llevado*' a Botery…</t>
  </si>
  <si>
    <t>….400 aoo loo» ARTICULO DE OFICIO. Viena 4 de Noviembre. S. M. la Reina nuestra Señora, su augusta Madre la Reina ‘ # . - f&gt; Se asegura que el gobierno de Berna ha empezado ya.á cambiar de sisteGobernadora y la Sermá. Sra. Infanta Doña María Luisa, continúan ma, v que prefiere el conformarse á las disposiciones de los gobiernos vecinos, y de Jos otros cantones, antes que declararse el protector de revolucionarios. Se sin novedad en su importante salud en el Real Sitio del Pardo. dice también que el mismo gobierno ha desaprobado altamente los…</t>
  </si>
  <si>
    <t>…vi se ha dignado elevar á Monseñor Silvestre Belli á la S* M. la Reiwa nuestra Señora y su augusta Madre la Reina dignidad de subsecretario del ministerio de Negocios interiores. (Z&gt;. de Roma.) Gobernadora, como la Señora Infanta Doña María Luisa, continúan Sin novedad en sil importante salud en el Real Sitio de San Il ____El lunes 28 del mes último se ha reunido en sesión extraordinaria la defonso. academia de los árcades de Roma, en honor de los santos apóstoles Pedro y Tablo. (£/ XV/jít/wq.) -El 31 de Julio último ha muerto í la edad de…</t>
  </si>
  <si>
    <t>…rrai su tropay e(Bermudezpíllage enselosretirami S. M. fe Reina nuestra Señora, su augusta Madre la Rftxa nerales de Pasco. Los siguientes documentos instruirán de algunos otros por menores. GohernadtfW1 y la Seraia. Sra. Infanta Doña María Luisa , continúan Sin noredad en su importante salud en el Real Sitio del I'anlo. PROCI AMA. El presidente provisional de la repúbt.ca Luis J. Orbegoso á los pueblos. Peruanos: «Hace IV días que ocupe e*tas lortaiezas, rodeado de aimnos gefes deles á su honor y á sus deberes. En I o dias habéis rbto dese…</t>
  </si>
  <si>
    <t>…a*^jrOv socú ARTÍCULO DE OFICIO. / 1 Berlín 3ü Je Setiembre. S. ¡M. la Rbiíía nueátra Señorafeu augusta Madre Ií-Reiha El Boletín ^Je l^s leyes contiene el tratad? cnn?!i;idn e-n?*c,5. M. ei Gobernadora*y la Serrtia. Sra. Infanta Doña María Luisa, continúan Rey de Pruria y $. A. el duque de Su}ónui-CjTri&gt; &gt;ur¿*í -fe . *&gt;a: a in l ## del principado de íricbtemberg j riu Fruria, w-rno también ii Uj-^j Je p' -«¡¿on sin novedad en su importante salud en el Real sitio del Pardo. de este principad'?., _______ _______________ '_____________ ■-----…</t>
  </si>
  <si>
    <t>…ieran reemplazado* la anticua nobleza en la posesión S. M. la Reina nuestra Señora, su augusta Madre la -Reina de las tierras y en las asambleas nacionales, es claro-que no habría radicales en Gobernadora y la Serma. Sra. Infanta Doña María Luisa, continúan Inglaterra, como no los hay en Rusia; pero en Rusia , Austria y Prusía van ahora germinando las clases medias, y con el tiempo darán origen á los rj«Lsin novedad en su importante salud en el Real Sitio del Pardo. cales, que formaran un partido en sus dominios. Los -tres partidos menciona…</t>
  </si>
  <si>
    <t>…uestra Señora, su augusta Madre la Reina El hijo del difunto Osman-bajá ha sido agregado al intérprete de la Pt.eta Esrar-eííendi. Se dice que habla bastante bien el francés, el ingles y el aitGobernadora y la Serma. Sra. Infanta Doña María Luisa, continúan man. El estado sanitario mejora notablemente; sin embargo, se han presentad &gt; sin novedad en su importante salud. en estos últimos días algunos nuevos casos de peste. Toda la familia del ¡Kt-- sedar, vicedirector de la cancillería del Divan, ha perecido víctima de esta pi ga. (G. de A.ug…</t>
  </si>
  <si>
    <t>…alacio tamente los que se comtniycsert. Tendréislo entendido, y dispon dréis lo necesaria j^ara su cumplimiento.=Está lubricado de la^Real de EÜofrió. También goza de perfecta «alud en el expresado Real aitiolaSerma. Sra. Infanta Doña María Luisa. 1 4nanou=:En Rjofrip ^.26 de Jjiuo de J&amp;H. = A D. Jo*é Mará Mqs- 'Z* fñ. ’ caso de Altamira. * * t-ÍWD ‘ ¿a R£AL decreto. loa Proceres del Reino usen de una iir- PARTEIÍOOFICIAL. vestújum eorrespóndiesué á la alta dignidad en que están; ebnst¡tnb» NOTICIAS KXTRAN6¿BA&amp; dos, tuve 6 bieri aprpt^ir los…</t>
  </si>
  <si>
    <t>…V. M. de acordarla, cuando advierta que para la formación de I» S. M. la Reina nuestra Señora y su augusta Mari re la Reina nuevas oficinas tienen que disminuirse las plazas de las actuales, de Gobernadora, como la Señora Infanta Doña María Luisa, continúan biendo ocupar aquellas los qae queden sobrantes de estas, y lam sin novedad en su imjiortante salud en el Real Sitio de San Il inen los cesantes que reúnan las circunstancias que se requieren, y. defonso. descargando por consiguiente de sus Iiaberes ei presupuesto de la clase pasiva: ade…</t>
  </si>
  <si>
    <t>…Quin ' S. M. la Reina nuestra Señora, su augusta Madre la Reina tana, Procer del Reino; á D. Mariano Liñan, Procer del Reino v obispo electo de Teruel; á D. José Mariano Vallejo, vocal que lia Gobernadora y la Serma. Sra. Infanta Doña María Luisa, continúan sido de la inspección general de Instrucción pública: á D. Juan N-isin novedad en.su importante salud en el Real sitio del Pardo. casio Gallego, ministro del tribunal de la Real Gracia del excusado, y á D. Eugenio Tapia, ministro honorario de la Real audiencia de Valladolid. Y para suple…</t>
  </si>
  <si>
    <t>…-Pasquir, intendente ciyil, y Leucreuce, miembro de la Cámara de Diputados, comisario efpecial para la organización S. M. la Reina nuestra Señora, su augusta Madre la Reina del orden judicial Gobernadora, y la Serma. Sra. Infanta Doña María Luisa, conti- Los magistrados que acaban de llegar s« habían embarcado en la corbeta &amp;-AgAta_y en el bergantín el Aríuto que han llegado hoy igualmente; mi-in sin navetla») errsu importante salud en el Real Sitio,del Pardo. El gobernador general Ha ¿do recibido par cítcnientc general Voirol que le espera…</t>
  </si>
  <si>
    <t>…e Mr. Peel, actualmente fuera de Inglaterra, no se sabrían los nombres de S- .M. la Reina nuestra Señora, su augusta Madre la Reina los demas individuos que han de formar el nuevo gabinete. J Gobernadora y la Sernia. Srn. Infanta Doña María Luisa, continúan —— El mismo periódico dice: Ayer S$. MM. el Rey y Reina llegaron á es sin novedad en su importante salud en el Real Sitio del Pardo. ta corte á la una y medía, viníendo^de Brighton. El duque de \Vellington y lord Lindhurst tuvieron una audiencia de S.'M. También la tuvieron los siguiente…</t>
  </si>
  <si>
    <t>…parecen haber provocado jas medidas indicadas. Fsta S. M. la Reirá nuestra Señora, su augusta Madre la Reirá relación servirá, según esperamos , para rectificar el juicio que algunos"gabinetes Gobernadora y la Serma. Sra. Infanta Doña María Luisa, continúan han podido formar sobre un negocio insignificante en sí mismo, que no ha te nido ningún resultado desagradable en contra de los Estados vecinos, y que, sin novedad en su importante salud. sin embargo, presentado con inexactitud ha podido hacer sospechosos los prin cipios del gobierno de…</t>
  </si>
  <si>
    <t>…S. M. la Reina Gobernadora en el Real palacio Zurick 8 de Julio. de Riofrio. También goza de perfecta salud en el expresado Real El vorort ha comunicado á los Estados dos nuevos documentos diplomáti •itio ia Sernaa. Sra. Infanta Doña María Luisa. cos. E primero es una caria d r g'da al vorort por M. de Bom^cllrs, embaja dor de Austria, en la que manifiesta que inmediatamente ha trasmitido i su COite la nota del directorio federal de fecha de 2q, de Jumo: v por consecuen cia de aquella comunicación ha recibido el encargo de man festar a! vor…</t>
  </si>
  <si>
    <t>…itulado La Jugo, del Pretendiente, y mínala en España de (50i) fran S. M. la Reina nuestra Señora y su augusta Madre la Reina ceses, sin embargo de que en su tarde pocos ignoraban que el origen Gobernadora, como la Señora Infanta Doña María Luisa, continúan de esta falsa noticia se delda á los referidos ciegos; v S. M. se i:a sin novedad en su importante salud en el Real Sitio de San Il servido resolver diga á V. S. que la vigilancia de la policía, no soio defonso. debe ejercerse con el papel de que se trata, sino con todos los que pregonan…</t>
  </si>
  <si>
    <t>…iné io ‘le re- Jamarla si llegJsen en aL'un tieuij-o á descúlense Jue-ue, del S. M. la Ruina nuestra Señara, su augusta Madre la Rf.ina afi anzado .i .fe aL'in otro ..Migado á su solver» id. Gnlx-rnadora y la Sernia. Sra. Infanta Doña María Luisa, continúan i (.'tando ilícito valor sea m.ivor qhe la cantidad que demande sin novedad en su importante salud en el Real sitio Jel Pardo. l.t Real fbnnoid.i. v no puedan dividirse |.¡, tin as. se reconocerá un capital igual al exceso en favor .I d propietario, pr uateán l .,e la renta en proporción…</t>
  </si>
  <si>
    <t>…abidodeconsejoayen. de ministros: se croe que en él se ha {ca S. M. la Reí.» nuestra Señora, su augusta Madre la Reirá ____ Lo mas importante que traen los periódicos alemanes recibidos hoy por Gobernadora y laSemta. Sra. Infanta Doña María Luisa, continúan la-mañana, es qi:e en artículo de Munich, fecha 6 del comente, se anuncia sin novedad en su importante salud en el Real Sitio del Pardo. que ya estaban concluidas las negociaciones relativas al casamiento &lt;jel duque Augusto de Leuchtemberg con la Reina Doña María; sin embarga no indican…</t>
  </si>
  <si>
    <t>…tuRL Se intitula esta obrtta El triunfo de la Iglesia y de la Santa Sedet y se atribuye á S. S. Gregorio xvi. {El Mercurio.) 0 S. M. la Reina nuestra Señora, su augusta Madre la Ruina bélgica. Gobernadora y la Serma. Sra. Infama Doña María Luisa, continúan Bruselas 17 de Noviembre. sin novedad en su importante salad en el Real Sitio del Pard o. La importancia de 4as relaciones comerciales de la Bélgica con la Fran cia se ha aumentado también en el año de 1833. Seg m el cuadro general del comercio de Francia durante dicho año venios qufí la…</t>
  </si>
  <si>
    <t>…que el almirante ingles estaba asombrado de no ver llegar deRiofri». También, gesta de perfecta salud en el expresado Real la división francesa, lo cuál anuncia claramente que deben obrar de acuerdar »itio la Serma. Sra. Infanta Doña María Luisa. con ella, y con fuerzas, si ar&gt;- iguales, muy considerables por lo menos, pues to que la flota combinada debe componerse , dicen, de mas de 20 ■favioj y de. algunas fragatas.'Por aqub&amp;a susurra que todos estos movimientos se dirigen a REAL DECRETO. Constantinopla. . . f &gt; . Deseando restituir, á la…</t>
  </si>
  <si>
    <t>…po- t-»i bi ev:' ie-."o en ~ leí l.i lil is i ■ ¡uu (i'iln'inj ■ [«■ t».«» 1" re de v ise-.is 'e S. M. la Reina nuestra Señora, su augusta Madre la Rf.ina acuid vibre la admisión v despulí i Goliernadora, V la Serma. Sra. Infanta Doña María Luisa, conti fieltro e vtr.i ngeras presentad ís en li a lucia ."v-viih por n i estar c-miprendi ¡i, en el arancel: se bi serví I', tv. M. ri-solv er •! e , -.-.ria-núan sin novedad en su importante salad en el Real Sitio del Dardo. (■ em i l.i 1, q. ie con' i ni ia ii 1 i v i ;“:i!i' I i 11 e 11 o-.b- i…</t>
  </si>
  <si>
    <t>…o 10a. ARTICULO DE OFICIO. y SUECIA. Stockolmo 24 de Setiembre. S. M. la Reina nuestra Señora, su augusta Madre la Reina ’ Los periódicos anuncian la próxima llegada del príncipe MenzikofT, go Gobernadora y ia Serma. Sra. Infanta Doña María Luisa, continúan bernador general de la Finlandia, encargado de una misión particular del im perador de .Rusia cerca de S. M. el Rey de Suecia y de Noruega. Habiendo d sin novedad en su Importante salud éñ el Real Sitio del Pardo. periódico AftontiJningm ávéfin ¡vario -jlwitrajx conjeturas enhrr el ohjcT…</t>
  </si>
  <si>
    <t>…ra Señora, su augusta Madre la Reiha sobre el campamento interior, indicaron que el enemigo se presentaba sobre toda esta línea, que parecía deber ser el blanco principal de su ataque; pero ha Gobernadora y la Serma. Sra. Infanta Doña María Luisa, continúan biendo atravesado rápidamente la distancia que separa los blockhaus de Klífía, Salem y Roumann, concentró sus fuerzas en la puerta del campamento su sin novedad en su importante salud en el Real sitio del Pardo. perior, y aun ocupó un pequeño morabito que le precede. Inmediatamente se di…</t>
  </si>
  <si>
    <t>…. M. la Reina nuestra Señora, su augusta Madre la Reina — te de la Vega. De Real orden lo digo á V. S. para su inteligencia y efecios correspondientes. Dios guarde á V. S. muchos años. Madrid Gobernadora, y la Serma. Sra. Infanta Doña María Luisa, conti 24 de Diciembre de 1834-=Moscoso.=Sr. director general de Ca núan sin novedad en su importante salud. minos. MINISTERIO DE LO INTERIOR. • PARTE NO OFICIAL. Reales órdenes. NOTICIAS EXTRANGERAS. He dado cuenta á S. M. la Reina Gobernadora del plano, des cripción y presupuesto de gastos de la…</t>
  </si>
  <si>
    <t>…adora en el Real palacio que de ellos pueda hacerse en beneficio del ramo. de Ríofrío. También gozá de perfecta salud en el expresado Real De Real orden lo comunico á V. S- para su inteligencia y efec sitio la Serma. Sra. Infanta Doña María Luisa. tos correspondientes á su cumplimiento. Dios guárele á V. S. mu chos años. Madrid 19 de Julio de 1834-=Josc María Moscoso de Al ta mira. MINISTERIO DE LO INTERIOR. Reales órdenes. Por Real árdea de í? de Abril último se sirvió mandar S. M. PABTE 190 OFICIAL. la Reina Gobernadora que en las compras…</t>
  </si>
  <si>
    <t>…roo. GACETA DE MADRID. ARTICULO DE OFICIO* sotros,rssortes debilitandode acción entotalmenteel gobierno.”el vigor(PapeUide lasde leyes,Buenos-Aires.)y destruyendo__________todos lo* — tOSCIA. Gobernadora y la Serma. Sra. Infanta Doña María Luisa, continúan Stock olmo 7 de Octubre. sin novedad en su importante salud en el Real Sitio del Pardo. En la noche del 4- del corriente estalló un incendio en el barrio de La— gudars-Laudet, habiendo empezado el fuego en la panadería de la corona. Apa ñas se extendió el alarma en la ciudad, acudió una…</t>
  </si>
  <si>
    <t>…ismo. . S. M. la Rbjua nuestra Señora, su augusta Madre la Reina Arr. 2? Desde 1V de Enero de 1855 percibirán por el presupues to de su ramo respectivo la parte desueldo que por razón de su em Gobernadora y la Serma.'Sra. Infanta Doña María Luisa, continúan pleo les corresponda como cesantes, conforme á las reglas de clasi sin novedad en BU importante salud. ficación establecidas ó que se establecieren. Art. 3? Las viudas y huérfanos de los que hubieren adquirido derecho a! Monte pió en la referida época, le tendrán al goce corres pondiente…</t>
  </si>
  <si>
    <t>Luisa, María Isabel</t>
  </si>
  <si>
    <t>María Isabel Luisa</t>
  </si>
  <si>
    <t>…oradores, per» sin trascendencia hasta ahora á la tranquilidad pública. Funciones con que la Marina ha solemnizado en estr puerto la jura ** El 18 hubo, una grande reunión en el café de la Corona y del Ancora con Serma. Princesa Doña María Isabel Luisa. el objeto de implorar la intervención de S. M. y de la Cámara de los Comu nes á favor de los seis deportados, y fue tan numerosa, que á pesar de que la . Aa Marina española, que en todos tiempo* ha sabido probar de un motil sala podía contener 33 personas , no hubo bastante espacio para todos ios c…</t>
  </si>
  <si>
    <t>\ 88 [rige desde ei sólío á los españoles, y la excelsa Doña María Isabel Luisa e* recibido una carta del Emperador de Rusia, que contiene expresiones de la mas [ya nuestra Reina por la inmemorial costumbre; por la ley fundamental y por cordial amistad, y los mayores deseos de mantener la paz de Europa en unión [ el firme juramento de 1$ nación. H difícil arte de reinar, haciend…</t>
  </si>
  <si>
    <t>…confia preservar el orden social de todo ata- j pot el feliz acontecimiento de haber sido jurada y reconocida la augusta Hija que , y dirigir á la nación por la senda de las mejoras y adelantos con el auxi- 1 primogénita de V. M. Doña María Isabel Luisa como Princesa heredera de lio de los diputados, con la actividad de su gobierno, con el patriotismo de la : los reinos de las Españas. guardia nacional, que en Francia se compone de gente ilustrada, y en fin coa ! La isla de Puerto-Rico, Señor, desde su descubrimiento sin la menor al Ja sabiduría d…</t>
  </si>
  <si>
    <t>Luisa, María Isabul</t>
  </si>
  <si>
    <t>María Isabul Luisa</t>
  </si>
  <si>
    <t>…janza de algunos de nuestros periodistas encuentran que contie- ¡ ©curren con el mayor entusiasmo á felicitar á S. M. por la solemne jura de la nc muy poco ó casi nada de importante. Nosotros preguntaríamos á estos se Serma. Sra. Doña María Isabul Luisa , Hija primogénita de V\ M., del tier ñores ¿qué era lo que aguardaban dei discurso de la corona? ¿querían que les j no'Padre del pueblo español , del mejor de los Monarcas, como Princesa de diese cuenta de los rumores y vagas noticias esparcidas en los periódicos sobre j Astúrias á falta de varón…</t>
  </si>
  <si>
    <t>Luisa, María'</t>
  </si>
  <si>
    <t>María' Luisa</t>
  </si>
  <si>
    <t>…modoni el queministeriocon losquiereunos que se alLe -S. M. la Reina nuestra Señora, su augusta-”Madre la Reina peen vos: y con el resto se opere el rescate de todas las obligaciones reconocí— Gobernadora y la Serma. Sra. Infanta Doña María' Luisa, continúan das hasta, aquí, bajo de cualquiera título, al beneficio que ofreciere la Operación sin povedad en su importante salud en el Real sitio del Pardo. por sí misma y la fuerza de sus vicisitudes favorables ó‘'adversas. Será esta la caja de amortización de! modo que el gobierno os dió cuenta…</t>
  </si>
  <si>
    <t>Luisa, Marta</t>
  </si>
  <si>
    <t>Marta Luisa</t>
  </si>
  <si>
    <t>…iado una goleta p.ira recibirlos; pero el comandante de ta es S. M. la Ri i.na nuestra Señora, su augusta Mn.ire ia Rntt cuadrilla otomana se ha opuesto á la emigración de ningún samio. - Goliernatlora , y fa Seniiai Sra. Infanta Doña Marta Luisa, conti núan sin novedad en su importante salud en el Real Sitio del Pardo. . Las r.otu;as mas recientes de Grecia son pacíficas y satisfactorias. __— Según los últimos avisos recibidos de Alepo, los árabes que se habían re REAL DECRETO. belado en aquella provincia, se habían ya sometido á la obedie…</t>
  </si>
  <si>
    <t>…tarifa extraordinaria número 1? posean muchas dependencias ó esta S. M. la Reiha nuestra Señora, su- augusta Madre la Reiwa blecimientos en diversos puntos del reino, solamente pagarán el sub Gobernadora y la Serma. Sra. Infanta Doña Marta Luisa, continúan sidio donde resida la direecion central. sin novedad en su importante salud en el Real sitio deTPardor ----Art. 10.—Cuando mreonffíbuyente pasa á ejercer su industria de un puehlo de clg§e inferior á otro de clase superior, abonará tan solo la diferencia del derecho. En el caso contrario…</t>
  </si>
  <si>
    <t>Luisa, Muiría</t>
  </si>
  <si>
    <t>Muiría Luisa</t>
  </si>
  <si>
    <t>…3u de Jubo dicen de la Trinidad que reinaba allí alguo des S. M. la Reina nuestra Señora , su augusta Madre Ja Reina contento; pero que las medidas de precaución que se habían adoptado harían Gol ernadora y la Serma. Sra. Infanta Doña Muiría Luisa, continúan, esperar que no sucedería ningún movimiento grave. Avisao de Granada con fecha de 3 de Agosto que los negros de los ran sin novedad en su importante salud en el Real Sitio del Pardo. chos habían rehusado trabajar ¡ pero que el gobernador los había obligado i obe decer con sus explicacion…</t>
  </si>
  <si>
    <t>Luisa, XUSIA Mária</t>
  </si>
  <si>
    <t>XUSIA Mária Luisa</t>
  </si>
  <si>
    <t>…or. menor movimiento militar á.que se viese forzado el Gran Señor, causaría un golpe mortal á su poder. (Idff Eterno. Sr.: S. M. la Reina nuestra Señora, su augusta Madre la Reina Gobernadora, como también S. A. la Señora Infanta Doña XUSIA. Mária Luisa, continúan sin la inenor novedad en su importante sa lud. De Real orden- lo participo á Y. E. para su satisfacción y para Petenburgo de Junto. los efectos oportunos—Dios guarde á V. E. muchos años.=S. Ildefonso La noticia que traen los periódicos ingleses acerca del nombramiento del 1 i de Julio de…</t>
  </si>
  <si>
    <t>Luitpold</t>
  </si>
  <si>
    <t>…-JE^iui^^li.ltttcero'éB una-pwjpia^del Cuzcp que Se espera de un dia á otro á 8. M. la Raina iSeiiutíite de X^eruse^rattep- ¡chalaba en la plaza , en lugar djcl capitán prisancho que te mandaba, yjoue de se trasladó ayer S. A. el Príncipe Luitpold. : &gt; ' í .!r ■ debut Contarse por fiel amigo de lóé conjurados. El mayor Estrada fue: n^m- Se hacen preparativos en la sala del Qdeon paraíte exposisiqn dp^m prói# fcjdogefe de un escuadrón que debía levantarse sobre los 10 hambres de la es ductos de la industria. V colta, cuyo oficial fue mandado á…</t>
  </si>
  <si>
    <t>Lujan, Juan José</t>
  </si>
  <si>
    <t>Juan José Lujan</t>
  </si>
  <si>
    <t>…, Gaspar y Ptferrer; Cádiz, Hortal y compañía; Zaragoza, Jauregui; Valladolid, Rodríguez; Murcia, Benedicto; tico de D. Manuel Viviente, para que pasando á dicho pueblo en compañía Cor uña , Cal vete. 1 del practicante de cirugía D. Juan José Lujan, prestase á su vecindario los au - - Sisterña de hacienda controvertido en Esparta desde 180? hasta 3823, por Don xilios que con tan buen éxito prestó al de ia villa de Tórtpla: acompaña asi Juan Diez de Fijeza. Comprende rodos los documentos principales y discusiones de mismo el siguiente deCorres…</t>
  </si>
  <si>
    <t>Lula</t>
  </si>
  <si>
    <t>…l momento oportuno; Sr. Presidente se hacia asi y se pasaba al asunto señalado para este dia. siendo innegable, que asi cómo*los Sres. peticionarios han usado, y podido La comisión de Poderes presentó su informe sobre los del Sr. D. Lula de usar de »u derecho de hacer, la petición y . reclamar su lectura, el Estamento S. Clemente, electo Procurador por la provincia de Soria, y manifestó quo . puede hacer oso del suyo en tomarla ó no en consideración cuando se entrara hallándolos arreglados, asi como tos demas documentos1 requeridos, o…</t>
  </si>
  <si>
    <t>Lula, D</t>
  </si>
  <si>
    <t>D Lula</t>
  </si>
  <si>
    <t>…no el momento oportuno; Sr. Presidente se hacia asi y se pasaba al asunto señalado para este dia. siendo innegable, que asi cómo*los Sres. peticionarios han usado, y podido La comisión de Poderes presentó su informe sobre los del Sr. D. Lula de usar de »u derecho de hacer, la petición y . reclamar su lectura, el Estamento S. Clemente, electo Procurador por la provincia de Soria, y manifestó quo . puede hacer oso del suyo en tomarla ó no en consideración cuando se entrara hallándolos arreglados, asi como tos demas documentos1 requeridos, o…</t>
  </si>
  <si>
    <t>Luna, José Marta</t>
  </si>
  <si>
    <t>José Marta Luna</t>
  </si>
  <si>
    <t>…Tegidor alfé ciales de ta guarnición con un lucido concurro. rez Real, quien con los reyes de armas, el scñqr regidor gentilhombre de El Excmo. Sr. comandante general entregó la bandera al digno coman cámara de S. M* con entrada D. José Marta Luna, y Lie. D. Francisco José dante del batallón, quiea'la tuvo hasta que acabadas las ceremonias de ia ben de Qucsada, incorporados á la comisión capitular, se dirigirá i esta cuadra; y dición la pasó al abanderado, y concluido todo el acto religión se prtvedió á estando en ella el Sr. presidente, pre…</t>
  </si>
  <si>
    <t>Luneau, M</t>
  </si>
  <si>
    <t>M Luneau</t>
  </si>
  <si>
    <t>…rra y el de Instrucción pública, dicen, que al presentar el go- -—.—Con fecha 21. (fc Mayo escriben de Tajón que el'navio el Nritor,-man biétdo-ésta-ley se ha propuesto un objeto moral y político, cual es alentar á to dado por el capitán M. Luneau, ha fondeado ayer tarde en el puerto de Tolott dos los ciudadanos para que se presten siempre í defender el orden público* de vuelta de Túnez, adonde habia ido con úna misión particular que se re objetó qué no se lograría si la .Cámara adhiriese í la idea del Sr. Vizconde. duce á lo siguiente. ' Se…</t>
  </si>
  <si>
    <t>Lüñed, D Ignacio</t>
  </si>
  <si>
    <t>D Ignacio Lüñed</t>
  </si>
  <si>
    <t>…la clase de cadete gra caro al enemigo un arrojo de que no sacó ninguna ventaja : mientras esto pasa duado de subteniente de infantería en la columna guipuzcoana por premio de su ba, U compañía de cazadores que á las órdenes del teniente D. Ignacio Lüñed bizarra acción y decidida adhesión á la justa causa de la Reina nuestra Señora. ocupaba la izquierda, sostenía con Invencible valor todo el ataque que por No puedo tampoco pasar en silencio los importantes servicios, que tanto en la aquella parte intentaba un batallón entero, haciendo retirar varia…</t>
  </si>
  <si>
    <t>Lüñed, Ignacio</t>
  </si>
  <si>
    <t>Ignacio Lüñed</t>
  </si>
  <si>
    <t>…de cadete gra caro al enemigo un arrojo de que no sacó ninguna ventaja : mientras esto pasa duado de subteniente de infantería en la columna guipuzcoana por premio de su ba, U compañía de cazadores que á las órdenes del teniente D. Ignacio Lüñed bizarra acción y decidida adhesión á la justa causa de la Reina nuestra Señora. ocupaba la izquierda, sostenía con Invencible valor todo el ataque que por No puedo tampoco pasar en silencio los importantes servicios, que tanto en la aquella parte intentaba un batallón entero, haciendo retirar varia…</t>
  </si>
  <si>
    <t>Luqui, Simón de la Torre y</t>
  </si>
  <si>
    <t>Simón de la Torre y Luqui</t>
  </si>
  <si>
    <t>…dos rro/o* considerables, dric,en En el ministerio del Fomento general del reino se han recibido los partes dose hacia Oñatc con los caudillos mencionados, v e¡ otro de unos 27 hun\- j siguientes: bres al mando de los cabecillas D. Simón de la Torre y Luqui hiela el vade Subdelegaron principal de Fomento de la provincia de Teruel.= Excelen de Arratia; dispuse entonces que la columna del barón del Solar p.iVise á si tísimo Sr.: En el dia de ayer tuve la satisfacción de instalar bajo mí presiden tuarse sobre Manaría y aito de Urguiola en observación dé…</t>
  </si>
  <si>
    <t>Lusa, María Isabel</t>
  </si>
  <si>
    <t>María Isabel Lusa</t>
  </si>
  <si>
    <t>…ue rán la expresada gratificación y al abono del tiempo que hubiese trascurrido des- juraron como Princesa heredera de la corona por taita de varón a ia Señora I de que cumplieron por cuenta de los cuatro anos de su nuevo empeño. Doña María Isabel Lusa i*e Bokmn Oioy nuestra Reina y Señ.oa , ^uw&gt; : fr° Los que entraren á servir voluntariamente podran elegir cuerpo siem leales sentimientos bridan en el ejercito de esta isla, me lisonjeo de que nadie pre que este no se halle al completo de su fuerza, en cuyo caso ó en el de no osará alterar la prof…</t>
  </si>
  <si>
    <t>Lusinghton</t>
  </si>
  <si>
    <t>…primor, y llenas toaas de gracias, cruzaron en sus á que podían extenderse hacia las costas de Francia. Yo me rcfic^o-en este pun pechos las bandas azules que con el lema de viva Isabel h les fueron entre to al dictamen del sabio doctor Lusinghton ,'segun el cual es un principio ge gadas por los señores comisarios de aquel ilustre ayuntamiento. La grandiosa neral de derecho de gentes, que una'nación no puede impedir la pesca a Las vista que en este momento se presentó, no es muy fácil describirse; y al ad otras, sino á la distancia de una le…</t>
  </si>
  <si>
    <t>Luyando, José</t>
  </si>
  <si>
    <t>José Luyando</t>
  </si>
  <si>
    <t>…por resultado de tales medidas que el pabellón movió, dispuso y publicó el depósito en 1825 «na nueva arta del estrecho de nacional empiece i ser respetado, las provincias respiren libres del terrible azo Gibraltar trabajada por D. José Luyando, rect¡fiada bajo de su dirección por te de los musulmanes, y-que florezca el comercio, tomando nuevas creces la el teniente de navio D. Vicente Sánchez Cerquero , y acompañada de una me población, la agricultura y las artes. moria analítica muy importante, para conocer y apreciar las fundamentos de…</t>
  </si>
  <si>
    <t>Luzuriaga, Ignacio</t>
  </si>
  <si>
    <t>Ignacio Luzuriaga</t>
  </si>
  <si>
    <t>…r el góbierno^ humanidades,lógica/xnatemáfcas y.física .expcziy Madrid, y publicado separadamente de 6rden.de, la misma en. beneficio común -por el mental; advirtiendo que según Ríal órdep de 2,1.' de FcbrtrrO' dé* 183l!, 1&lt;* Dr. D. Ignacio Luzuriaga, individúo que fue de varias sociedades. En esta obra sé in e»tps con citada.éñ¿eriñe4ad, puntos ó marefias por relativa su’órd» sel»* i’lácuncti de las fres materias pítimas deben gqnarse íep tres distintos años, y que cluyen á det&gt;rrá$ (fausas suyas^ ocasionales síntomas.dél due refutación cólico…</t>
  </si>
  <si>
    <t>Lyndhiust</t>
  </si>
  <si>
    <t>…enipotenciario cfcl GoMeriío Lord EUenborough . ^residente'de la junta ást Controk. &lt; cspafíol cerca de iá cortekde Rusia, Paez.de la Cadena, ha salido para Dresde. Mr. Harrias, ministro de la Guerra. ; d ; - (Gaceta de Pruiia.’) Lord Lyndhiust, lord canciller. , .. Str Jacobo Scarlett, lord primer barón del echiquier. ____ Eli Emperadot Nicolás solo se ha detenido 3í ho'ras en Varsovia, y ha Sir Eduardo Suyden, lord canciller de Irlanda. continuado sjiviageáSan Peteraburgo paasndo por Modlin. Sir Enrique Hardinge, primer secretario de Ju…</t>
  </si>
  <si>
    <t>Lyndhum</t>
  </si>
  <si>
    <t>…ntos y carácter ¿can díficG encaso de primer lorA tesorería t que ei duque de WeflitWoo es setre-*.sdb les do fcetOpUzaih Añadió que k» rumores esparcidos sobre le dUolcvdoni del taño en el departamento de Negocios actiaígexos, y lord Lyndhum canciller. gabinete eran incanatos ,i f qrfe «ra falso que fot IrmfbtroS estuviesen divididos Lo. demás mmisterit» no «tan ocupado* aun i acaban de enviarse correos «n opintonm aceren de hr eonduftt» qñe áe había# propuesto Seguir. S. S. c«n-</t>
  </si>
  <si>
    <t>Lyndhurst</t>
  </si>
  <si>
    <t>…l arte ó de la naturaleza pueden ser Weüirqyon—Al muy honorable lord teniente corregidor. introducidos en el país, y transitar por él y ser consumidos. Art. 2.° »Sc permite la exportación de todos los productos del arte y de ____ Lord Lyndhurst, después de haber prestado juramento en el tribunal de la naturaleza. la cancillería, y de haber recibido como lord canciller las felicitaciones de los Art. 8.° «Las mercancías y productos extrangeros destinados al consumo magistrados, lia anunciado que empezaría á despachar los negocios el 4 de Di…</t>
  </si>
  <si>
    <t>…ro. Dicha gavilla constabagocios extrangeros, se sabe que el 10 del corriente han sido admitidos por de 100 hombres escasos, 30 de los cuales no tenían armas.S. M. B. á prestar jüramentó el duque de Wellington, sir Roberto Peel y lord Lyndhurst; el primero en calidad de mintsttrr-dc Negocios extrangeros, el se gundo en la de presidente y canciller del Lchiquier, y el tercero en ia.de lord El capitán general de Castilla con fecha del día 14- participa que el sar canciller. gento del provincial de Granada Antonio Rutz, con una pequeña parti…</t>
  </si>
  <si>
    <t>…cieron los vizcondes Paimerston y Ducannon, y Mr. Spring-Ricc de sus res pectivos ministerios. 'i Petersburgo 1.® de Noviembre» El Rey tuvo un consejo privado, á que asistieron el duque de Wellington^ sir Carlos Manners Sutton , lord Lyndhurst, el honorable Henrique Goul- Ayer salió de esta capital para Moscou el gran Duque heredero; le acom burn, el conde de Rosslyn , el conde de Jersey , sir Henriqjue. Hardinge: lord paña so ayo el Príncipe de Lieven. {Mercurio de^ Sueviai) Cowley y lord Maryborough. t «—El día 27 ha debido llegar á Mo…</t>
  </si>
  <si>
    <t>…compañado de S. A. I. el gran duque heredi nere Surton para ministro de lo Interior; de sir Jorge Murray para el depar tario , procedentes de San Petersburgo, han llegado á esta ciudad hoy á la&lt;¡ dos tamento de las Colonias, y de lord Lyndhurst para grati canciller. En cuanto y. media de la tarde con grande alegría del Rey dc~Prusia, de la Emperatriz á Mr. Peel, todavía no se sabe que ministerio se le destina; pero según notisu augusta esposa , y de toda la familia Real. cías, será nombrado canciller del Echiquicr. El principe Guillermo,…</t>
  </si>
  <si>
    <t>L’herbette</t>
  </si>
  <si>
    <t>…s precisa hace» que mefore su» eestpai2. a Las propiedades de tierras y bienes raíces embargadas, y usurpadas por bres y aumentar su instrucción. Alí-bajá , se restituirán inmediatamente por el gobierno á sus legítimos duelos. Él Sr. L’herbette presenta la idea del Sr. de Tracy redactada de distinto 3. ° Las tropas del Sultán saldrán en el menor tiempo posible de la Alba modo; pero la Cámara, desechando la propuesta del Sr. de Tracy y adhiriendo nia, dejándola enteramente líbre , y entregando á solos los albaneses los castillos, al parece…</t>
  </si>
  <si>
    <t>…tud1 y del entusiasmo, y con la mas firme adhesión á los legítimos llandiery Havin, á pesar de las razones que-en su apoyo alegan otros señores y derechos de una Soberana , de quien esperamos la unión y ventura duradera de la del Sr. L’herbette, para que «el permiso de pregonar folletos, litografías &amp;c. todos Jos españoles. Acompañaron á este solemne acto fiestas de toda clase, ya se conceda en París por el' corregidor (maire) del cuartel en que 'este domicí— de inocente entretenimiento para el pueblo,^ya de adornos y colgaduras en los Jí…</t>
  </si>
  <si>
    <t>M'a, Franólsdó</t>
  </si>
  <si>
    <t>Franólsdó M'a</t>
  </si>
  <si>
    <t>…mc.»,.. &lt; ú v¡,-,p \j ", * de Magco, isl^ Salvador la natural que tamentarías de D. Malta, vecino del /uerd« y Pidió «1 Sr. Magalhaes que se principiase á tratar del proyecto »de ley re comercio de la ciudid de'Barceioitáí, y de^D. Franólsdó&gt; M'a^kS'.padi^e de-a^i^L^oasu* lativo á la división territorial”, por ser cosa- urgente y ntccSarla. ral también'de f« citada isla; seciGL* E&gt;; Miguel residente en Cón^m-T tinopla, y á. D* ¿Majiye! Magro y ^lla^residenteei&gt; BarceUma, hijos amSojKd.^t.fiiadq - _El Sp. Leonel Xavaras se opuso á que la Cám…</t>
  </si>
  <si>
    <t>M'ejfa</t>
  </si>
  <si>
    <t>■„ &lt;■:. 261 .tierno que se hablan dirigido contra et general Bravo han sido com En efecto, ¡cuál és. el fflotiyo de la promulgación del Estatu pletamente derrotadas ,• yr por consiguiente el general M'ejfa/que las to Real, sino él desea de hacer permanente é indestructible la jus mandaba havueltoá Méjico, donde na se hallagcaeral algunaque ta libertad que las lucés del siglo redaman , y de que sietrfpre ha .quterti jSbttctse al ítettte dé las tropas pero él general Aragd, nues Sido digna la nación es…</t>
  </si>
  <si>
    <t>M'guel</t>
  </si>
  <si>
    <t>…31 de Enero del presente año. El Courier está persuadido de que es exacta la noticia del tratado. Por otra Teodréislo entendido, y lo comunicareis á quien corresponda parte , los efectos de este deben limitarse á que E&gt;. Carlos y D. M'guel eva cúen la Península. No es dei caso que pretendan después determinar la formadapa'Sii cumplí miento.=Está rubricado de la Real mano.nEn Aran— de gobierno que haya de establecerse en Portugal, ni designar los hombres que juez á 13 de Mayo de 1834.=A D. José María Mosco60 de Aitaminu formen el mini…</t>
  </si>
  <si>
    <t>M, A L R P de A</t>
  </si>
  <si>
    <t>A L R P de A M</t>
  </si>
  <si>
    <t>…aba no me permitió ni aun enterarme de este Real presente en &gt;u debiJo ridad. Teruel v mis salas consótouales de la .omu: id.;d l 1 de Du-.embre ce lb»G. tiempo, y aprovecho el primer© en que siento alguna mejoría para no dilaMr =Señora. = A L. R. P. de A". M.=FranJ^o de 1N da AY.ua , p'e-.,:, .;e.= mas el testimonio de mi gratitud, lealtad y surqrsion á nii augusta Reina y Francisco Cortc,.=J. sef San/.=M»¿uel Pcrez y Pcre/.=rJuan Lambe, to Amo;;. Señora Doña Isabel ii v a la augusta Reina Mjdre como Gobernadora deL - ^Florencio Be!la.=Juan Andrés, secr…</t>
  </si>
  <si>
    <t>M, A L R P de V</t>
  </si>
  <si>
    <t>A L R P de V M</t>
  </si>
  <si>
    <t>…li ibéjora de retiro, ha tenido á bien S.. M, señalar el término improbable de da la satisfacción del capóneme. Santiago fe Cuba 9 de Octubre de 1S.’8. — tres meseS, que concluirá en 18 de Junio próximo, para que puedan solicitar Señor.=A L. R. P. de V. M.=JEt conde fe Su. Inés su abono cuamosae cónsideren con derecho á ello ; en el concepto de que pa sado que sea dicho plazo sin haberlo realizado, perderán los interesados el que PARTE NO OFICIAL- tuvieren i su abono, y solo se les acreditará desde el dia en que se les hubiere eipédido sus cédulas, R…</t>
  </si>
  <si>
    <t>…guir los que tenemos la honra de gloriarnos de pertenecer al numero ídem 67 J. de sus vasallos. Casas consistoriales de Pontevedra Diciembre 13 de 1833.= _T :&gt;c disposiciones para la sesión Real de las Cámaras han sido las mismas Señora. — A L. R. P. de V. M. = Antonio María Montenegro, alcalde l.p= que en los años anteriores pues los bajos relieves y los cuadros cjue deben com Luis Romero Cadavid, alcalde 2.0 = Antonio María Fernandez.^ Ignacio Re- pletar la decoración dé la saU no están aun concluidos. yes.^sjosef María Fonseca.=Andres Cao de Pinios-=…</t>
  </si>
  <si>
    <t>…ímBÍt^ o ítcca dél’Vaticano fue el lugar de reunión diaria de los hombres eruditos, y conseguir de su soberana voluntad. El Pardo y Noviembre 2 de 1854. puede decirse que ninguna contiene tan grande número de antiguos manuscri ta Señora. =: A L. R. P- de V. M.=P. El duque de Alagon, barón tos de autores de mejor nota en las diferentes artes y ciencias, escritos en va- &lt; Cuando empezó- el rpnacimienjofde las , ierras, jim:Liinerabjcs sálicas de lf\KT r?. ' • rías lenguas, pero principalmente*!} gnegOj-lacitoy hebreo, x ^ % •'; dirigieran al Papa%solicitan…</t>
  </si>
  <si>
    <t>…timos tario de Estado y del Despacho de la Guerra. instantes, nuestros acentos, los últimos suspiros de nuestro corazón, han sido, como serán siempre, por Isabel , por Cristina , y por la patria. Cenicero 28 de Noviembre de 1834~=Señora.=A L. R. P. de V. M.=Teniente comandan Comandancia general de la provincia de Valladolid.=Excmo. Sr.=La te, Manuel Olartc Caballero-Subteniente, Félix Bastida y HernaedI=Ca- facción del rebelde Lucio Nieto fue dispersada ayer mañana por el capctan bo l.°, Eleuterio Angulo y Bazan.=Urbano., Luciano Bastida y Hcrnaed.= D…</t>
  </si>
  <si>
    <t>…la, á que do en la Secretaría del Despacho de mi car^o, á virtud de una ex tiene este pueblo cubano la dicha de pertenecer. Santiago de Cuba de Fe-' posición de la junta de Comercio de Madrid, quejándose del actual brero de 1834-—Señora.™A L. R. P. de V. M.=Jose Santos de la llera.~ intendente de esta provincia y de su antecesor, por haber eximido Lie. Hilario de Cisneros Saco, director^cLic. Domingo de Betancburt , vice— del subsidio de comercio á los fabricantes de velas de sebo. Entera director rrLic. Buenaventura Portuondo, v¡cecensor.=Antonio Vme…</t>
  </si>
  <si>
    <t>…. Real orden digo á V. E. para que disponga inmediatamente to y vecindario. En Usala consistorial de la villa de Cueilar á 3 de Diciembre IseJtaga notorio lo resuelto por S. M. en todo el distrito de la provincia de su de l#*33.:=Señora.=A L. R. P. de V. M^Josef María Rotas, regidor deca1 mandó por cuantos medios están a su alcance, y con especialidad en los pue ixx=Joaqum de Ayala y Bustamante. = Mariano Cisneros.—Santos Meleros blos donde se fabriquen paños. Dios guarde á V. E. muchos años. Madrid 10 Francisco Vazqucz.=Salvador González y García.rc…</t>
  </si>
  <si>
    <t>…jo, dignándose timo número de la O aceta turca hace, por fin , mención de los alborotos de darle su asenso y Real aprobación. Madrid y Octubre ó de 1834.= la Siria; pero se expresa con mucha circunspección. Anuncia igualmente que Señora.=A L. R. P. de V. M.=E1 conde de Toreno. han cesado los disturbios de Sanios, y que el gran Visir ha dado audiencia al internuncio de Austria y ál enviado de Grecia. Nota. La Real instrucción y Jas tarifas se insertarán sucesivamente. La peste ha aumentado de algunas semanas tá esta parte., y hace grandes estragos, pri…</t>
  </si>
  <si>
    <t>…M. la Reina Gobernadora, á nombre de su augusta Hija la para poner asi el sello de la inmortalidad á su lealtad nunca desmentida. Ma Reina nuestra Señora Doña Isakf.l ii, se lia servido conferir el go tanzas y Enero 26 de 1834- =Señora. = A L R. P. de V. M. = Francisco bierno militar y político de la plaza del Ferrol al coronel D. Sebas íjarvaez. tian de la Cuesta, y el de la plaza de Santoña al de la misma clase D. Antonio Ordoñez. Exposición &amp; S. M. la Rsjiía Gobernadora. PARTE INO OFICIAL. Señora: El gobernador de vuestra siempre fiel ciudad de Mat…</t>
  </si>
  <si>
    <t>…verano próximo. Se ha dado orden para que todos los buques griegos lleven heridas pasadas, y se consolide su futura felicidad. Madrid ó de Febrero de la bandera del país, como una señal de que están bajo la protección de la I834*=Señora. = A L. R. P. de V. M»=cC. el marques de las Amarillas, ss Grecia. Este decreto evitará embarazos al comercio, que anteriormente se su [ Joaquín María de Ferrer. frían por falta de esta medida. El almirante Miaulis ha sido nombrado prefec to de Marina. También se han expedido varios decretos para la nueva demar PARTE NO…</t>
  </si>
  <si>
    <t>…cató- nida en Europa, ya nuestro parecer el todo de su contenido ha podido satisfacer á tica Real Persona de V. M. dilatados años. Puertc-Rico ld33.= los hombres prudentes de la Francia, y calmar toda inquietud Je parte de- las 1 Señor.=:A L. R. P. de V. M.=Miguel de la Torre.=Francisco de Paula Vil- naciones extrangeras- S. M. dice á sus súbditos que la industria encuentra su re chcsc=Juan Ramón Qsés.rrjaime María de Salas y Azara.= Antonio Rcnavi— compensa, que el pueblo disfruta de tranquilidad y de trabajo, y les asegura ] des y Navarrete. que las…</t>
  </si>
  <si>
    <t>…lealtad de su vecindario. teriores con el gabinete ingles. Lo resuelto sobre la entrada de los Salas consistoriales de esta ciudad de Vitoria 4- de Abril de 1834- Dafüanelos pvaeba que no se concederá privilegio exclusivo í nin =Señora,=:A L. R. P. de V. M.=Viccntc Pereda.=Juan Bautis guna Potencia; que ninguna tiene facultad de entrar en el canal ta Cerain.=Pedro López de Vicuña. = Pió de Mendizabal. = José sin previo permiso de la Puerta, y que ninguna bandera puede Jorge de Gaya.=Vicente Aniz Marañon^=José Joaquin Sal a zar .= usurpar este derecho,…</t>
  </si>
  <si>
    <t>…d y decoro que siempre se ha acostumbrado en este país cuando »As¡ lo espera el Estamento de la justificación de V. M. Madrid 8 de se ha podido hacerlo. De la santa inquiiieion nada hay que decir por haberse Setiembre de 18S4-” = Señora: A L. R. P. de V. M-— Vicente Vázquez Mós- abolido'del todo; beneficio que debemos á nuestro último monarca el Sr. Don coso.—Julián Anaya.—Miguel Cosío—Gines María Serrano.e=Cayetano Me- Fernando vii. De la santa bula no es ahora ocasión de hablar, especialmente lencica.—Manuel de da Rivaherrera.=Scbastian García de Oc…</t>
  </si>
  <si>
    <t>…de reales que anualmen cho señor, para examinar si llena los deseos.de los que hemos firmado la peti te paga Aragón con'destino al proyecto del canal de dicha provincia. Madrid ción y del Estamento.” - ^ 4 de óetieinbre de 1834-= Señora: A L- R. P. de V. M.«— Pió Laborda. = Habiendo adherido á esta opinión los demas señores 'peticionarios , ¿I Manuel de Pedro. — Joaquín Ortiz de Velasco.c± Faustino de Ga'ray. =-‘Fer Sr. Presidente manifestó se suspendía la discusión de la exptesada petición has mín Caballero. == Angel Polo y Mongó. = M. conde de las N…</t>
  </si>
  <si>
    <t>…eduvlc*. corporaciones referidas ,'con objrto de patentizar á V. M. por medio de esta Ayuntaníiemo pleno de la ciudad de M-snbl'j v Noviembre i q : : _ reverente expodc-ion , los sentimientos de amor y fidelidad que animan á «Me Señora—A. L. R. P. de V. M =Hl c-Treguior p-e*-dente , t ay eranr M / v honrado vecindario en favor de los sagrados derechos de V. M y excelsa llija Bouvier.—El regidor dísaru», .Mouel Mana de Iri.io \ l igue- i=:b. re.; - la Reina nue-tra Señora Doña Isab .l ij. A este acto tan sagrado se dio prin dor 2.°, b rancisco Muñoz…</t>
  </si>
  <si>
    <t>…ue se autorice al fiscal del tribunal superior de París para proceder contra un ñola. Sala capitular del Excmo. ayuntamiento de Manila y 23 de Julio de 1833.= diputado, opina que la Cámara puede acceder á lo que pide el gobierno. Señor.=A L. R. P. de V. M.=Pablo Josef de Hí Fuente.=Manuel S. de Viz- La Cámara acuerda que este informe se discuta el miércoles. manos.=Baltasar de Mier. = Juan de Andrade. = Felipe Celis.= Félix Ruiz.= Principia ía discusión sobre el proyecto de ley relativo al aumento del cuer Josef Félix de Gaztelu. = Julián Pió Gonzále…</t>
  </si>
  <si>
    <t>…que suelen gozar los sujíos de nómbraSmeiitoRéali i .. Hacienda de.JEspañd.' 1 .'y: Atentó, pues, á lo que va sentado,une atrevo á proponer á la aprobado® je V. M. los decreto» adjuntos.. ■ •• - Rala- Madrid íá'de Julio de 1834.=Señora.=:A L. R. P. de V. M.= . ' * Mayor............... 30,000. Personal incluso eí sub El Conde, de Toreno. Dos oficiales á 40,000. rs.„ .80,000 secretario 16,. queso®: : .' Tres id. á 3.5,000 ..... ÍOá.OOÓ El suhsccretar joe....; 60,000 Conforme al Real decreto de 6 de. Junio de este año, y especial Cuatro id._á 30,000....…</t>
  </si>
  <si>
    <t>…le despache en las puertas, y después de tantas demo manos muertas, computándose el 3 por luí) para la amortización. Mid: o ^ ¡ ras sufre una contribución injusta; tal es la de tres cuarto» de real que con ob de Octubre de 1834-— Señora. = A L. R. P- de V. M — Antonio G ' /Pez. jeto de atender á las obras del nuevo teatro de Oriente en Madrid, se exige en = Jos¿ Oaros. — Fermín Cabal !cro. zz Rodrigo de Ar.inda. =Torr.as 1) T,:r.- cada arroba de pasa. Tal impuesto injusio perjudica ademas al fomento de casi guez. = Fl marques de lá Gándara. =r Rufino G…</t>
  </si>
  <si>
    <t>…consideración las preocupaciones de los ti esta reverente petición como una muestra de su ardiente patriotismo, y que pueblos, ha tenido que respetarlas, como se deben respetar en muchas ocasio h tomará en su alta consideración. Señora. A L. R. P. de V. M. Madrid 16 de nes, mucho mas cuando se trata de un asunto en que está interesada la seguri Agosto de 1834.=rFrqnc¡sco Bel da y Ascnsick=Joaquin Abargues,=El conde dad individual. Al principio de la enfermedad se pusieron cordones sanitarios, de Adanero.=rEl marques de Someruelos.=José Rodríguez Pate…</t>
  </si>
  <si>
    <t>M, A L R P de Y</t>
  </si>
  <si>
    <t>A L R P de Y M</t>
  </si>
  <si>
    <t>…spacho de mi car^o contenida en el adjunto decreto AXEMANIA. que tengo el honor de presentar a la aprobación de V. M. Dios guar de la importante vida deV. M. muchos años. Madrid 16 de Diciem Francfort S de Diciembre. bre de 1834.=Señora.=A. L. R. P. de Y. M.=E1 marques dd Valle de Rivas. Hemos sabido que en una de las últimas sesiones de la Dieta federativa y i consecuencia de lo resuelto durante las conferencias de Viena se ha dado una explicación auténtica al artículo 12 del acta federal germánica. En este se es tablecía que los pequeños Estados de A…</t>
  </si>
  <si>
    <t>M, Alvaro S</t>
  </si>
  <si>
    <t>Alvaro S M</t>
  </si>
  <si>
    <t>…eptos es reprensible la indiferencia ynueva planta, se componga de un regente, siete oidores, cinco alcal tolerancia de las autoridades «le policía en este particular : y quedes y dos fiscales: Y nombro para la ptaza de regente á D. Alvaro S. M„ queriendo cese tal escándalo, prohíbe desde ahora la publicaciónGómez Becerra: en clase de oidores á D. Antonio Cortés y Zavala, de dichos papeles, bien sean iinpresosó manuscritos, s’i no están autoá D. Vicente Pereda, á D. Pedro Ayuso, que lo son de la misma, á rizados con las precisas formalida…</t>
  </si>
  <si>
    <t>M, Badajoz</t>
  </si>
  <si>
    <t>Badajoz M</t>
  </si>
  <si>
    <t>…fecha 12 de Julio actual. pos, sin reparar éo los motivos ni opiniones anteriores de los desgraciados, Fxcmo. Sr.: lnUru'do^ en la forma que previene la Real órden de 6 de con tal .que sean boy súbditos leales de nuestra Reina y Señora. Badajoz 23 M .ir?n ú timo, se hjn resuelto definitivamente con arrecio 4 la misma 9 ex de Julio de 1834*= Manuel de Latic.” pe.' ;roes. '“¿Gímanlo U ádqui'icior. de faregas Je •e-enos de p'opiiv y c&lt; uu.nrs re 1 •&gt; ven.* en t rmpo de la guerra cte U independencia; y uni f Aíadrid 29 de Julio. do .i'-uvilas ...…</t>
  </si>
  <si>
    <t>M, Butrom Cuando S</t>
  </si>
  <si>
    <t>Butrom Cuando S M</t>
  </si>
  <si>
    <t>…mas remota posteridad el Francia, pero no es dificil probar que acaso en España son tan juiciosos ó rtnombre glorioso de la nación á que pertenece.” mas que en ella. Se dice también que el Gobierno de 5. M. en las actuales cir El Sr. Butrom «Cuando S. M. ofreció' un premio 4 todos los soldados cunstancias permite toda la qUe es posible* esto mismo prueba k necesidad de que quisiesen reengancharse durante las actuales circunstancias, el Heroico bata ella . y se está viendo que cada censor tiene diferente modo de ver, pues acon llón de San Fernando,…</t>
  </si>
  <si>
    <t>M, Costas de la Dalmacía</t>
  </si>
  <si>
    <t>Costas de la Dalmacía M</t>
  </si>
  <si>
    <t>…' Escocía. .......................................... ... * &lt;. mer^ancius indistinta— ^visitadores y escribientes deí expresado ramo. (Húm. \&gt;\ .) (' metue/"’ Reales decretos nombrando ministros y fiscales militares y togados .y secretario Costas de la ^Dalmacía............................... M &lt;%?.£?.!.-: supremo tribunal de Gueria y Marina. (iVión. jfri) Bancos ¿Te,Terranova...........................................+ Iaexxf. • r ' ■ ■■■ ■ ■ prescribiendo el juramento qqe deben prestar los mismos. (Id.) Real orden determinando quiénes deben sustituir á los intendentes y contado Bélgica,…</t>
  </si>
  <si>
    <t>…n de ' Escocía. .................................... . ... * &lt;. mer^ancius indistinta— ^visitadores y escribientes deí expresado ramo. (Húm. \&gt;\ .) (' metue/"’ Reales decretos nombrando ministros y fiscales militares y togados .y secretario Costas de la ^Dalmacía............................. M &lt;%?.£?.!.-: c»_"&lt;JeL supremo tribunal de Guerra y Marina. (iVión. jf&gt;.) ■ ■ prescribiendo el juramento qqe deben prestar los mismos. (Id.) Bancos ¿Te,Terranova.......... ...........................+ Iaexxf. • r ' ■ ■■■ Bélgica, Holanda, Hamburgo.......................1 . A . 14 dtás 'pátVrodo. Real…</t>
  </si>
  <si>
    <t>M, Cuando V</t>
  </si>
  <si>
    <t>Cuando V M</t>
  </si>
  <si>
    <t>…a de Don de Urruzola , síndico procurador general.=Lorenzo de Alzate, secretario. Antonio Alonso, director general de Rentas, de.D. Agustín Rodríguez, di rector interino de las mismas, y de D. Antonio María de Scijas, vocal de la Señora: Cuando V. M. principió á difundir los vivificantes rayos de su be junta de Aranceles, examine el estado actual de esta renta y los medios que neficencia sobre todas las clases de esta vasta monarquía, concibieron los espa podrán adoptarse para mejorarla y aumentar sus rendimientos, con todo lo de ñoles esperanz…</t>
  </si>
  <si>
    <t>M, D Domingo</t>
  </si>
  <si>
    <t>D Domingo M</t>
  </si>
  <si>
    <t>…de enfermos y aun de acometidos en el pueblo : finalmente, Real orden concediendo una pendón de JoO ducados á ios hijos del beneméri ue continuaba con zelo y esmero la distribución de alimentos y las dem.is inc to y desventurado capitán D. Domingo M uruag i. {Id.) idas sanitarias que se habían tomado para preservar de la enfermedad á los ____nombrando á Varios suget^s auxiliares de la junta eclesiástica, creada por sanos. Real decreto de 22 de Abril último. {\itm. 10~.) PROVINCIA DE MÁDRtD. ^insertando el reglamento para la censura de los peri…</t>
  </si>
  <si>
    <t>…de enfermos y aun de acometidos en el pueblo : finalmente, Real orden concediendo una pendón de JoO ducados á ios hijos del beneméri ue continuaba con zelo y esmero la distribución de alimentos y las dem.is inc to y desventurado capitán D. Domingo M uruag i. {Id.) idas sanitarias que se habían tomado para preservar de la enfermedad á los ____nombrando á Varios suget^s auxiliares de la junta eclesiástica, creada por sanos. Real decreto de 22 de Abril último. {\itm. 10~.) PROVINCIA DB MÁDRtD. ^insertando el reglamento para la censura de los peri…</t>
  </si>
  <si>
    <t>M, D Juan A La S</t>
  </si>
  <si>
    <t>D Juan A La S M</t>
  </si>
  <si>
    <t>…irirVYvvxfinnn ARTICULO DE OFICIO. quete , enel querepresentantepor sus leyesdel Brasilfueronseallíinteresócondenadospor aquellosdos súbditosdesgraciados.brasileños,Hace luegopoco que el Gobierno imperial ha sido informado qué el general D. Juan A. La- S. M. la Reika nuestra Señora, su augusta Madre la Reina valleja , acompañado de rms de 200 hombres, consiguió partir de Buenos-Ai-es Gobernadora y la Serma. Sra. Infanta Doña María Luisa, continúan y desembarcar el día 12 de*Marzo en Las Higu^ritas, en la costa de Urustía v, procurando fomentar nuevas pert…</t>
  </si>
  <si>
    <t>M, D Rariion López Pélégrin Oyó V</t>
  </si>
  <si>
    <t>D Rariion López Pélégrin Oyó V M</t>
  </si>
  <si>
    <t>…Doble y (mo rado partido, y que abrazase la heróica resolución de restaurar el trono de su V. E. muchos años. Madrid 28 de Agosto de 1834.=El conde de I'o hija, dando asi por segunda vez la libertad á la nación portuguesa. Teno.=Sr. D. Rariion López Pélégrin. «Oyó V. M. I. nuestros1'votos, ó por mejor decir, siguió los impulsos de su magnánimo coraron, se encargó de la regencia en nombre de la RsntA, es tregóse á las fatigas, peligros y cuidados de su gloriosa misión, y este grande PARTE NO OFICIAL. propósito divulgado en Europa proparcicaó desde luego i V.M.I. lo…</t>
  </si>
  <si>
    <t>M, Decazes y</t>
  </si>
  <si>
    <t>Decazes y M</t>
  </si>
  <si>
    <t>…de los otros cantones; por el con- Continúa la discusión del presupuesta de gastos para el afio de 1835. rirarró mas bien, indica la intención de aprobar la conducta seguida por Berna El marques Barbé Marbois, M. d'Haubersaet, el duque Decazes y M. 'de ¿«de que principió este asunto de los refugiados. Montlosier, hacen algunas observaciones acerca de ia colonización de Argel, «^También se ha despachado otro correo francés para Viena con el objeto y la Cámara aprueba los 13 artículos que forman el presupuesto, y en los cuales «le protestar enérgicament…</t>
  </si>
  <si>
    <t>M, Diego Qe-r Exposiciones Á S</t>
  </si>
  <si>
    <t>Diego Qe-r Exposiciones Á S M</t>
  </si>
  <si>
    <t>…artas geo-. Orden Sea Madrid: 1S de Noviembre de 1833.=Maninezc=Sio Directores:Scc. gráficas,, informes y demas trabajos ejecutados^, se forme el arreglo de distritos en todo el territorio del reino; y nombro para esta comisión á D. Diego Qe-r Exposiciones Á S. M. la Raiha Gobernadora'. mtncin, J&gt;. Josef Agustín Larramendi y D- .Fermín Caballero; á quienes sé. Señora: La división del territorio «pañol decretada por V. M. formará tal pasarán iodos los papeles que sobre este astmto .obran en la secretaria del Des época en -este reino, qne por sí seda bastaría á i…</t>
  </si>
  <si>
    <t>M, Domingo</t>
  </si>
  <si>
    <t>Domingo M</t>
  </si>
  <si>
    <t>…rmos y aun de acometidos en el pueblo : finalmente, Real orden concediendo una pendón de JoO ducados á ios hijos del beneméri ue continuaba con zelo y esmero la distribución de alimentos y las dem.is inc to y desventurado capitán D. Domingo M uruag i. {Id.) idas sanitarias que se habían tomado para preservar de la enfermedad á los ____nombrando á Varios suget^s auxiliares de la junta eclesiástica, creada por sanos. Real decreto de 22 de Abril último. {\itm. 10~.) PROVINCIA DE MÁDRtD. ^insertando el reglamento para la censura de los peri…</t>
  </si>
  <si>
    <t>…rmos y aun de acometidos en el pueblo : finalmente, Real orden concediendo una pendón de JoO ducados á ios hijos del beneméri ue continuaba con zelo y esmero la distribución de alimentos y las dem.is inc to y desventurado capitán D. Domingo M uruag i. {Id.) idas sanitarias que se habían tomado para preservar de la enfermedad á los ____nombrando á Varios suget^s auxiliares de la junta eclesiástica, creada por sanos. Real decreto de 22 de Abril último. {\itm. 10~.) PROVINCIA DB MÁDRtD. ^insertando el reglamento para la censura de los peri…</t>
  </si>
  <si>
    <t>M, Infanta Doña</t>
  </si>
  <si>
    <t>Infanta Doña M</t>
  </si>
  <si>
    <t>…fodavái do; las mzs gtomsa pteocupaciosies|. y unía conversión smceraálaverebtd ifel&gt;catolicisma.;' ,jr -z-:: z •q Sw»M. laR^ieArauestraSreéora; su augusta Madre Ja Ruh , (.Abüm cathalique dt Toütiofitr^, Gobernadora y la Serma.’ Sra. Infanta Doña M&amp;rfaLtaisa, cotftiúttáh Parb-íí 4t XUcitmbre*- »in iwredad en «u iioportante salud. rsOOKANA DB IOS PKBXlOS QOB OFSECB tA ACADSKtA M XA# CIBBCIA« saka ros Afios es 1835 y 1836. \ , PARTE PÍO OFICIAL.; Pronto grande de lat ciencia! matemática! para el año de 1836. KOTIGI AS EXTRA NGERAS. de premio, e…</t>
  </si>
  <si>
    <t>M, Jcué Manioc San</t>
  </si>
  <si>
    <t>Jcué Manioc San M</t>
  </si>
  <si>
    <t>VV\ —^dispensando de la ctíuíu impuesta'por ja ley penal de 3 de Mayo de 4Í capáttB -^bttcrri la-Nuova D. Jcué-. Manioc^ San M^rtíu.; 4'j (lSSO^a'itít':pí&lt;e$aríiistaVáú dirúroyQBij.tytetcs ,no matriculadas era el comer- .... f , V' . «itP^Üe pzesentdd» laaír.e^cjpn^ prpvenidas,en la Real mstnsa- ■’ conccdwnéó permiso &gt;*1 dueño j capitán de la fr^gata Ignacia para ha- ' - ;eí«t^tf43^¿i-J^mí«i::daTÍ&amp;34?L aQíi^ia^dispoyjpiQnc…</t>
  </si>
  <si>
    <t>M, Jós S</t>
  </si>
  <si>
    <t>Jós S M</t>
  </si>
  <si>
    <t>…o de ofi tensidad/habiendo contribuido mucho á atenuar los efectos de tan terrible pla cial 2.* 2.° del Gobierno civil de Teruel, para que había sido nombrado, ga el celo, cariñoso cuidado y puntual asistencia de los facultativos D. Jós¿ S. M. se ha servido conferirlo en 2 del actual á D. Mariano Ruiz de Molina. Batí les y D. .Manuel Massip y Fonte, aquel de Valencia y este de Cactelfoa de la Plana, que se habían prestado i trasladarse i dicho pueblo de VilLareal Por Real ó edén de L* del actual han sido exonerados de sus respectivos. pa…</t>
  </si>
  <si>
    <t>M, Lushington ALEMANIA S</t>
  </si>
  <si>
    <t>Lushington ALEMANIA S M</t>
  </si>
  <si>
    <t>…quedará definitivamente arreglado esta noche. introducir mejoras en las filas de su ejército. (Corresponsal de Hamburgo.) Sir R. Peel ha rebatido enérgicamente algunas expresiones inoportunas que ha pronunciado en un discurso el doctor Lushington. ALEMANIA. S. M. ha condecorado coq la orden de la Jarreuera al (fiique de Grafione y ai lord Minio. Hamburgo 30 de Noviembre. Se sostiene la voz de que el lord Stuart de Rothesay será relevado de la embajada de París. Nada sabemos relativo á las demas resoluciones de la Dieta, tomadas i consecuencia de las confere…</t>
  </si>
  <si>
    <t>M, Miguel</t>
  </si>
  <si>
    <t>Miguel M</t>
  </si>
  <si>
    <t>…* tropas, á la concedía liz arribo, y lisonjeándose de que merecería su aprobación aquel viage, que te de grados y gracias, á la fulminación de a r-,.» temas corra las autoridades v per* nia por objeto el despedirse de su sobrino D. Miguel. $. M. lo desaprobó, rei sonas que han permanecido fieles al Gobierno IcgúiivR Todo* esto* son lo* terándole las órdenes mas terminantes para que se embarcase. medios ordinarios que *c emplean en semejante», caso*, v que podran ser* r al En la reiteración de estos mandatos, y en la. invención de nuevos pr…</t>
  </si>
  <si>
    <t>M, Mr de Ribeaupierre S</t>
  </si>
  <si>
    <t>Mr de Ribeaupierre S M</t>
  </si>
  <si>
    <t>…sta destinado á ser uno de los mas ricos, Los estudiantes rusos y polacos que hay en&lt;«amenidad han sido presen- .populosos é influyentes puntos ¿del globo. Ala verdad, no son ellos solos los que tados al Emperador de Rusia por el embajador Mr. de Ribeaupierre. S. M. las exhortó al trabajo y al cunjpUmiento de sus deberes, asegurándoles que vela,- (1) A «r« aftttalo* que por error no *e insertó A su debido tiempo, * ¿«Acra U ria sobre su bienestar. Habiendo observado que uno de los estudiante» polacos noticia que se da «a el articulo de LóoJn* de la Oaceta de ayer.…</t>
  </si>
  <si>
    <t>M, Obispo y S</t>
  </si>
  <si>
    <t>Obispo y S M</t>
  </si>
  <si>
    <t>…as útiles para batirse que los ya los facciosos es considerable, y hubiera sido completa su ruina si arreglados=Yo, amado amigo, bien quisiera influyese V. con el la aspereza del terreno no les hubiera favorecido, ó el destacamen Señor Obispo y S. M. para que se me diera comisión de operar en to de caballería 6° de ligeros hubiera podido cargar; pero hubo de España, dándome, solo seis ú opho caballos, de los oficiales que ser espectador no sin riesgo de la acción. Se han hallado mas de 4*1 aquí se encuentran yo aumentaría hasta una docena, con…</t>
  </si>
  <si>
    <t>M, Palmersparte de S</t>
  </si>
  <si>
    <t>Palmersparte de S M</t>
  </si>
  <si>
    <t>…m plórí cáiiciHerv marques de Landowne, presidente del Consejo , 2S; conde de Ripon, guarda • Sr los, en «1 Diario de Flandes : El secretario del Rey acaba de enviar de sellos , 29; vizconde Melbourne , ministro del Interior, 59; vizconde Palmersparte de S. M. al burgomaestre de esta ciudad una suma de-500 .florines para ton, ministro de Negocioséxtrajigerós, 59Stanle^,'hdnistro de las cedistribuir premios á nuestras escuelas -comunales en testimonio del vivo ínteres lonias, 59; Mr. Grahxm, prihfer lord del almirantazgo, 4500; Mr. Gram, coa guc Si MM. ha…</t>
  </si>
  <si>
    <t>M, Ri T'.ucs' de S</t>
  </si>
  <si>
    <t>Ri T'.ucs' de S M</t>
  </si>
  <si>
    <t>…idente ücI C &gt; Rea;. entendido, y dispondréis lo necesario á su cumplimiento.= Esta rubricad » de ¿a C u. u rada en la Real traen anterior. Real mano.:=Palacio 4 Febrero de 1834-=A D. brancuco Martutez de la Rosa. M. R. P. o- v'. d. : Ri T'.ucs' de S. M .--el ir-'ra-Ta Santo a*old a \r. 1’- M. R. y *e . .me ce o m ,-s c r;e^. N- p ' - en _r u — En consideración á las distinguidas circunstancias que concurren en el mar derar ba&gt;lar;ren\-nte la arr.a-.ar.t &gt;:¡.e j c^di o.', mer.to ocupa :'-• 'r . ques de Miradores, conde de F ioridablanca , y á las…</t>
  </si>
  <si>
    <t>M, Secrtario del Despacho de Estado' S</t>
  </si>
  <si>
    <t>Secrtario del Despacho de Estado' S M</t>
  </si>
  <si>
    <t>…rio previas para que antes de verificarse la próxima quinta, pueda emplear los me del Despacho de Estado tenia la palabra,* ocupó la tribuna y dijo dios de hacerla útil con corta dilación. Efectivamente, en cuanto el Gobierno jEl Sr. Secrtario del Despacho de Estado'. «S- M. la Ruis a Goberna ha podido contar con recursos, propone á las Cortes que se complete y se au dora ha tenido á bien mandar que présenle al Estamento el proyecto de ley mente el ejército; y una vez decretada la quinta, el Gobierno empleará todos que voy a tener la honra de Leer. Los artículos que co…</t>
  </si>
  <si>
    <t>M, Serapio Plata'y S</t>
  </si>
  <si>
    <t>Serapio Plata'y S M</t>
  </si>
  <si>
    <t>…que aspiren á entrar la intrepidez dei expresado Diasf, asi como la exactitud y valor con qüe eje en l'a escuela de Ingenieros de caminos y canales # mandada establecer por cutaron sus órdenes el subteniente da Alcázar de S. Juan D. Serapio Plata'y S. M. en esta corte. demás tropa qué ticp.iba á sus órdenes. ' Aritmética. ^ Sistema de la numeración. Con la de 22 del mismo mes, y con referencia á un parte .que desde ZtufáiAdición, sustracción, multiplicación y división de los números enteros re le da^ el brigadier Oráa el dia 1 , avisa el capitán ge…</t>
  </si>
  <si>
    <t>M, Si V</t>
  </si>
  <si>
    <t>Si V M</t>
  </si>
  <si>
    <t>…marítimo se ha estimado en EXPOSICION DEL SECRETARIO DE ESTADO 4..600,000 rs., compútase el importe en «5.000,000, teniendo en conY DEL DESPACHO DE HACIENDA. sideracion los gastos eventuales ,que siempre ofrece una fuerza naval. SEÑORA; Si V. M. se digna acoger benignamente esta exposición, podrá empezar á regir la nueva planta, en que lia de organizarse el cuer La administración anterior conociendo lo urgente que era for po ile carabineros de Real Hacienda, desde í" de Enero próximo, para cuyo fin tengo la honra de someter á la augusta ap…</t>
  </si>
  <si>
    <t>M-crGreconduzcan, Á L R R de V</t>
  </si>
  <si>
    <t>Á L R R de V M-crGreconduzcan</t>
  </si>
  <si>
    <t>…l Viado,-examinando el sistema é índole de dicha contribución pro mitirles como un impulso de su mes acrisolada lealtad. ponga el, modo de hacerla mas desembarazada, ya sea indicando otras bases que Alcoy 18 de Noviembre de 1833 =Señora,= Á L. R. R de V. M-crGreconduzcan á este objeto con mas suavidad y facilidad, ó ya corrigiendo las re gorio Barraycoa.zzjobef Palor.:=Joscf Merita.=Luis Pascual.=Minucl Gisbcrt, j alas de su repartimiento y exacción, haciendo desaparecer en uno y otro caso ssVcntura Montllor.=M¡guel Carbonell. toda incertidumbre y arbitrariedad. De…</t>
  </si>
  <si>
    <t>M-crNicolas, A L R P de V</t>
  </si>
  <si>
    <t>A L R P de V M-crNicolas</t>
  </si>
  <si>
    <t>…la nación y de la rdigion. cargas que pesan sobre el Real erario, tengo á bien mandar, en nombre de mi Dios guarde la R. P. de V".fM. muchos años. Puerto-Rico y Noviembre I augusta Hija Doña Isabel ii, lo que sigue: 12 de 1833.^=Señora.=A L. R. P. de V. M-crNicolas Alonso Andrade y San 1. ° Queda suprimida la dirección del Real Giro, su contaduría y empleos Juan.~Josef Gutiérrez de Arroyo.=cFrancisco Javier de Ayesa.=:Josef Anto de su dependencia. nio Torralbo.=Josef Luis Montesinas.=Domingo Macstrí. 2. ° Él banco español de S. Femando se encargará, á estilo…</t>
  </si>
  <si>
    <t>M.iceda, D José</t>
  </si>
  <si>
    <t>D José M.iceda</t>
  </si>
  <si>
    <t>…asunto. Se vende a 12 cuartos Sñ la imprenta de Burgos. Pue Sin embargo, e«.loy persuadido de que en nada falto á la justicia, hacien de ir en carta por su reducido tamaño, igual al del Kstatuto Real estereotipado. ------Ante el Sr. D. José M.iceda , segundo teniente de asistente de la ciudad de Sevilla, do mención en particular de! tefe de esta plana mayor , teniente coronel gra pende la testamentaria concursada de D. Tontas Gularza. y a virtud de despacho li duado D. Bruno Portillo y Velado, que tanto ha contribuido con sus cono brado á esr…</t>
  </si>
  <si>
    <t>M.iceda, José</t>
  </si>
  <si>
    <t>José M.iceda</t>
  </si>
  <si>
    <t>…nto. Se vende a 12 cuartos Sñ la imprenta de Burgos. Pue Sin embargo, e«.loy persuadido de que en nada falto á la justicia, hacien de ir en carta por su reducido tamaño, igual al del Kstatuto Real estereotipado. ------Ante el Sr. D. José M.iceda , segundo teniente de asistente de la ciudad de Sevilla, do mención en particular de! tefe de esta plana mayor , teniente coronel gra pende la testamentaria concursada de D. Tontas Gularza. y a virtud de despacho li duado D. Bruno Portillo y Velado, que tanto ha contribuido con sus cono brado á esr…</t>
  </si>
  <si>
    <t>M.r, A L R P de V</t>
  </si>
  <si>
    <t>A L R P de V M.r</t>
  </si>
  <si>
    <t>…ndor á que V. M. tan sabiamente el 27 de Octubre próximo pasado, en cuya época había estallado de nuevo la | la conduce. guerra civil; y todos los negocios se habían suspendido. Los insurgentes se han Xorrijos y Enero 30 de 1834-=Señora.=A. L. R. P. de V. M.r=Francisco batido en las calles con las tropas del gobierno, y parece que los primeros han [ Javier Carril, corregidor. — Lucio Martínez Maestro, regidor l.° = Domingo salido triunfantes. De resultas de este encuentro ciertamente desgraciado se han Ortiz, regidor 2.°icCasimifo de Dueñas, "regidor 3.…</t>
  </si>
  <si>
    <t>M.tlboumr</t>
  </si>
  <si>
    <t>…cómo el gefe del gabjjKte puede conciliar d empeño referido coa U pre** La Reina nuestra Señora Don» Isabel fi eorrtimía sin noy edad tentación del b 11 actual.ffn su joipertame MlutTen el Real sitio de San Ildefonso; y de igual Lord M.tlboumr : **Es inútil recordarme mi profeúon de fe en favor de! beneficio disfruta . S. M- la Reina Gobernadora en el Real palacio mantenimiento de la Iglesia, porque sobre este punto, no solo mis opiniones de Riofrio. También goza de perfecta salud en el expresado Real serán siempre francas ,sino que adem…</t>
  </si>
  <si>
    <t>Ma, D Dionisio</t>
  </si>
  <si>
    <t>D Dionisio Ma</t>
  </si>
  <si>
    <t>…en este momento, que pasado por Otile en dirección de Miranda: cuándo supe ayer que la expresada son las siete de la tarde, que á las cuatro de ayer tarde pasaron con unos 300 caballería estaba i la parte de Lumbier, lo avisé al brigadier D. Dionisio Ma— caballos y dos compañías de infantería por el pueblo de Lerga con direccipn á riella y coronel Amor ,que con las brigadas de su ipando s?. habían dirigido Tafalla, saldré mañana al amanecer para dicha ciudad, con el objeto de ata hácia el valle de Olza y tomaron la dirección de Lumbier, y siguen h…</t>
  </si>
  <si>
    <t>Ma, D Jacobo</t>
  </si>
  <si>
    <t>D Jacobo Ma</t>
  </si>
  <si>
    <t>…y que hallándose en su debía en gran parte el éxito de la acción: igual recomendación híacc de ios co casa el dia 23 pasó un ordenanza despachado por el general enemigo Bandeira, mandantes D José Boltey y D Cayetano Olloqui, del capitán D- Jacobo Ma que se hallaba en Martim-longo, con pliegos para Loulé , dejando orden al paso ría espinosa, y alférez D. Manuel Parrcño, su ayudante de campo. para que se embargasen cuantos víveres se pudieran encontrar. Regimiento de voluntarios de Gerona, 3.° de Ligeros. Relación de los in El mismo José Pereira…</t>
  </si>
  <si>
    <t>…e los empleados públi La comisión de Examen de títulos y documentos, en vísta del nombra cos en todos dest.ncs estén .r.dent fijados c( n ¡a causa nioonal , v carezcan ci— miento de Procer del reino que tenia presentado el Excmo. Sr. D. Jacobo Ma rantíás securas de su adhesión al trono y de interesen que ¡a Nación sea pió*- ría Parga, y hallándolo arreglado , era de dictamen que dicho señor debía ser pera v feliz. Estas cualidades en ¡o ymeral no se pueden hallar en los ev.ranadmitido en ei Estamento. Asi lo acordó éste, y que se comunicase…</t>
  </si>
  <si>
    <t>Ma, D Juan</t>
  </si>
  <si>
    <t>D Juan Ma</t>
  </si>
  <si>
    <t>…zón. La superioridad vincias de S. Luis, Mendoza y la nuestra. Según todas las probabilidades que de sus luces no podía menos de hacerse notar. Con efecto, el Emperador Cármanifiestan los avisos del gobierno de S. Luis, y del Sr. general D. Juan Ma los v le confirió la embajada de Venecia, desde donde pasó diferentes veces i nuel de Rosas, la invasión que intentan se verificara cil la primavera pró Roma y á Trento, no solo á disputar preferencias de asiento, como parecen xima.. Ella es temible, asi por el número de los invasores, como por el en c…</t>
  </si>
  <si>
    <t>Ma, D Manuel</t>
  </si>
  <si>
    <t>D Manuel Ma</t>
  </si>
  <si>
    <t>…igos para exigirlo. No existiendo pues esto manifestaba su imposibilidad de desempeñar dicho cargo. decreto, que no existe, á lo menos que yo sepa hasta ahora , no es tan claro el Quedó enterado el Estamento de una exposición del Sr. D. Manuel Ma derecho que se supone por el cabildo; y no tan solo no lo es, sino quepan mí ría Losada, electo Procurador por la provincia de Orense , manifestando no no lo ba tenido desde aquella época. La 3.a razón en que me afirmo se rcdaceá haberse podido presentar en las sesiones póv su enfermedad, y que lo…</t>
  </si>
  <si>
    <t>Ma, D Rodrigo</t>
  </si>
  <si>
    <t>D Rodrigo Ma</t>
  </si>
  <si>
    <t>…sidente anunció que la comisión encargada de presentar su dictablecido. El Estamento quedó enterado. támen sobre el proyecto de ley relativo á las adquisiciones á nombre del Esta Se mandaron pasar á la comisión de Poderes los del Sr. D. Rodrigo Ma do, había concluido sus trabajos, é iba á dar cuenta de ellos. ría de Cañaveral, electo Procurador por la provincia de Córdoba, con ios do Se leyó el d etámen de dicha comisión. /,=ss cumentos justificativos de su aptitud lega!. El Sr. Presidente dijo que se imprimirla y repartiría este díctámen , v L…</t>
  </si>
  <si>
    <t>Ma, Dionisio</t>
  </si>
  <si>
    <t>Dionisio Ma</t>
  </si>
  <si>
    <t>…omento, que pasado por Otile en dirección de Miranda: cuándo supe ayer que la expresada son las siete de la tarde, que á las cuatro de ayer tarde pasaron con unos 300 caballería estaba i la parte de Lumbier, lo avisé al brigadier D. Dionisio Ma— caballos y dos compañías de infantería por el pueblo de Lerga con direccipn á riella y coronel Amor ,que con las brigadas de su ipando s?. habían dirigido Tafalla, saldré mañana al amanecer para dicha ciudad, con el objeto de ata hácia el valle de Olza y tomaron la dirección de Lumbier, y siguen h…</t>
  </si>
  <si>
    <t>Ma, Genaro</t>
  </si>
  <si>
    <t>Genaro Ma</t>
  </si>
  <si>
    <t>…entes, v seguido de mi niente del Real cuerpo de artillería D. Serapio de Pedro, y del alférez Don ayudante el cap't in de! ligeros de caballería, D. J uan ZivaU , del de U José Lasala: y de mis ayudante*de campo D. Luis María, y D. Genaro Ma plana mayor teniente dj:l 4 ° de U Gviarcha de infantería D. José O'ive , Do* ría de Que&amp;ada , tenientes de la'Guardia Real de infantería, y D. Jo»é Fran Julián Vdscaran y IX Rufino Iptfia, capitán y temerte graduado de infarten^ cisco Vidondó, teniente del regimienta infantería de Extremadura que…</t>
  </si>
  <si>
    <t>Ma, Jacobo</t>
  </si>
  <si>
    <t>Jacobo Ma</t>
  </si>
  <si>
    <t>…s empleados públi La comisión de Examen de títulos y documentos, en vísta del nombra cos en todos dest.ncs estén .r.dent fijados c( n ¡a causa nioonal , v carezcan ci— miento de Procer del reino que tenia presentado el Excmo. Sr. D. Jacobo Ma rantíás securas de su adhesión al trono y de interesen que ¡a Nación sea pió*- ría Parga, y hallándolo arreglado , era de dictamen que dicho señor debía ser pera v feliz. Estas cualidades en ¡o ymeral no se pueden hallar en los ev.ranadmitido en ei Estamento. Asi lo acordó éste, y que se comunicase…</t>
  </si>
  <si>
    <t>Ma, José</t>
  </si>
  <si>
    <t>José Ma</t>
  </si>
  <si>
    <t>…o á enterrar Isabel ii, de los dias de su augusta Madre la Reina Gobernadora, y por em provisionalmente los cadáveres en las hermitas ó lugares sagrados que se ha pezar nuestra regeneración política y prosperidad, tenia dispuesto D. José Ma riano Val 1cjo celebrar exámenes públicos de la construcción del mapa de Es llasen fuera de poblado, cuya disposición, cumplida ya por casi todos los pue paña ; lo que no se pudo verificar por la invasión de la enfermedad reinante, blos , producía muy buen resultado para la salud pública. que él mi…</t>
  </si>
  <si>
    <t>…teramente que hay ciertas bases en la política de Martínez, arcediano de Mellid ; D. Andrés Ignacio Eurrola , vicario de la Inglaterra que^nunca varían, sea cuaí fuere el sistema de su gobierno. parroquial de S. Pedro de Pasagcs; D. José Ma/ía Vigas y IX Jóse Jiurralde, JLa ño intervención, declarada solemnemente como primer principio de beneficiados de S. Sebastian; D. Antonio Membíola, canónigo de la metro la política europé^, asegura la Ciabal independencia de toda nación que quiera politana iglesia de Tarragona; D. Mateo Ochoa de…</t>
  </si>
  <si>
    <t>…8 de I I del reino, según mi Real decreto de 26 de Enero último, he venido en man- A costo de 1830. 5.a Que en este mismo concepto las pipas, aunque no se des- f I) dar que sea presidida por un regente; y nombro para este cargoá D. José Ma- embarquen, paguen por puertas los 4 rs. v 20 mrs. señalados en la tarifa, v I ría Manescau , que lo es de ia de Granada; debiendo pasar el actual goberna- sean libres las emporradas en los buques. 6* Que las pipas del reino vacías ó [dor D. Teótimo Escudero á servir su plaza en el Consejo Real. Ten…</t>
  </si>
  <si>
    <t>Ma, Juan</t>
  </si>
  <si>
    <t>Juan Ma</t>
  </si>
  <si>
    <t>…meado luego que su gió 80Ü raciones de pan y 800 de vino que condujo á Pancorvo, donde entró piese que venían muchas fuerzas sobre ei, me decidieron á aprovechar lo» mo itn novedad. Dicho oficial recomienda á D. Eusebio López y á D. Juan Ma mentosnuel Gallón, alféreces de Urbanos de infantería, á D. José Vardua, sargen «Todo lo que me apresuro á manifestar 2 V. E. para que renza á bien to 2.° de la misma arma, i D. Ramón Mantilla, á D. José Leiva y á Santia elevarlo ¿ la soberana consideración de S. M-, a fin de que vea con satisfac g…</t>
  </si>
  <si>
    <t>…superioridad vincias de S. Luis, Mendoza y la nuestra. Según todas las probabilidades que de sus luces no podía menos de hacerse notar. Con efecto, el Emperador Cármanifiestan los avisos del gobierno de S. Luis, y del Sr. general D. Juan Ma los v le confirió la embajada de Venecia, desde donde pasó diferentes veces i nuel de Rosas, la invasión que intentan se verificara cil la primavera pró Roma y á Trento, no solo á disputar preferencias de asiento, como parecen xima.. Ella es temible, asi por el número de los invasores, como por el en c…</t>
  </si>
  <si>
    <t>Ma, Manuel</t>
  </si>
  <si>
    <t>Manuel Ma</t>
  </si>
  <si>
    <t>…para exigirlo. No existiendo pues esto manifestaba su imposibilidad de desempeñar dicho cargo. decreto, que no existe, á lo menos que yo sepa hasta ahora , no es tan claro el Quedó enterado el Estamento de una exposición del Sr. D. Manuel Ma derecho que se supone por el cabildo; y no tan solo no lo es, sino quepan mí ría Losada, electo Procurador por la provincia de Orense , manifestando no no lo ba tenido desde aquella época. La 3.a razón en que me afirmo se rcdaceá haberse podido presentar en las sesiones póv su enfermedad, y que lo…</t>
  </si>
  <si>
    <t>Ma, Nicolás</t>
  </si>
  <si>
    <t>Nicolás Ma</t>
  </si>
  <si>
    <t>…Secretaria del con arreglo á los artículos anteriores. Tendréisfo entendido; y dispon Despacho de lo Interior. dréis lo. necesario á sú cumplimiento. =: Está rubricado de la Real &lt;mano.=Eo .San Ildefonso á lo de Julio de 1854.=A D. Nicolás Ma ría Garelly. REALES DECRETOS. En consecuencia de lo prevenido en el. Real decreto de 6 de Ju , .Estando, próximas reunirse las Córte* generales, en virtud de nio dg éspá. afln.pnrelcU»! p» crearan subsecretarios dd DWfgiefcq; Mi RéalGonvocatoria; á (in.de que se logren cumplidamente los im y se est…</t>
  </si>
  <si>
    <t>Ma, Oírlos</t>
  </si>
  <si>
    <t>Oírlos Ma</t>
  </si>
  <si>
    <t>…erráneo. Sé trata de dos barcos para que V. M. se digne, si lo tuviere á bien, darle la sanción Real. de vapor htathos de hierro, ios cuales serán trasportada con sus maquinas en Articulo I? -Se declara quedar excluido el Infante D. Oírlos Ma una embarcación a la costa de Siria, «lesembarcados allí, conducidos en came ría Isiilro «le Borhon y toda su línea del derecho á suceder en la co llos a las costas del Eufrates, y bocados allí ai agua. La expedición será di rona de Fsjiaña. rigida por ci capitán de artillería Real Ghcsnev , que te…</t>
  </si>
  <si>
    <t>Ma, Rodrigo</t>
  </si>
  <si>
    <t>Rodrigo Ma</t>
  </si>
  <si>
    <t>…nte anunció que la comisión encargada de presentar su dictablecido. El Estamento quedó enterado. támen sobre el proyecto de ley relativo á las adquisiciones á nombre del Esta Se mandaron pasar á la comisión de Poderes los del Sr. D. Rodrigo Ma do, había concluido sus trabajos, é iba á dar cuenta de ellos. ría de Cañaveral, electo Procurador por la provincia de Córdoba, con ios do Se leyó el d etámen de dicha comisión. /,=ss cumentos justificativos de su aptitud lega!. El Sr. Presidente dijo que se imprimirla y repartiría este díctámen , v L…</t>
  </si>
  <si>
    <t>Ma, Tticolás</t>
  </si>
  <si>
    <t>Tticolás Ma</t>
  </si>
  <si>
    <t>…os, que Solo se permitirá á has que obtengany lo comunicareis á quien corresponda.=Está rubricado' de la Real un especial permiso Jel subdelegado «leí ramo, para ejercer esta especiemano.=En S. Ildefonso á 19 de Agosto de 1854.=A D. Tticolás Ma de industria; y también deberá ejercer Ja ¡x.liría suvigilaneia sobre los ría Garelly. £ anuncios, carteles, y cualquiera papel que se lije en los parajes pú MINISTERIO DE EO INTERIOR. blicos, bien sean manuscritos ó impresos, excepto los que se ¡sin Relies órdenes. gan de orden de alguna autoridad; r…</t>
  </si>
  <si>
    <t>Maceda, D Jow</t>
  </si>
  <si>
    <t>D Jow Maceda</t>
  </si>
  <si>
    <t>…. á 4 rs. Estas piezas, grabadas.y,-arregladas para guil«,ra' se venden eu esta curte, calle angosta.dé.Majadericos, Aum. Ii, guitarrería de Campo Consejo de Navarra , á D. Josef Manuel de Arizaga alcalde del crimen de "r-Ante el Sr. D. Jow5 Maceda, leáúftdó teniente de ásisVénte .dé la ciudad *de Sc^Uá U Real audiencia dé Granada, i D. Vicente Calvo fiscal de lo civil de la nettde la testamentaría cóncíirsada ne;D. Tomás Gsbiás* y á-vlrtitd de despacho 1** Real-audiehcia de Búrgos, í D. Vicénte Valero y Sardi corregidor de Lo brado á esta co…</t>
  </si>
  <si>
    <t>Maceda, José</t>
  </si>
  <si>
    <t>José Maceda</t>
  </si>
  <si>
    <t>…io Mediano, alcalde de la Real corte de aquel reino; y para esta re ESTADO SANITARIO DEL REINO. sulta á D. José García Suelto. Asimismo ha tenido á bien separar de la plaza de teniente de asistente d« PROVINCIA DE AVILA Sevilla á D. José Maceda, y nombrar para la misma á D. Manuel ValcarceL Con fecha 11 del actual dice su gobernador civil que én la villa de Na vas del Marques no se había presentado ningún caso de colera en los cuatro días últimos: que desde J.° á 10 del mes de la fecha fallecieron en Madrigal 17 Repetidos anuncios habían…</t>
  </si>
  <si>
    <t>Maceda, Jow</t>
  </si>
  <si>
    <t>Jow Maceda</t>
  </si>
  <si>
    <t>…4 rs. Estas piezas, grabadas.y,-arregladas para guil«,ra' se venden eu esta curte, calle angosta.dé.Majadericos, Aum. Ii, guitarrería de Campo Consejo de Navarra , á D. Josef Manuel de Arizaga alcalde del crimen de "r-Ante el Sr. D. Jow5 Maceda, leáúftdó teniente de ásisVénte .dé la ciudad *de Sc^Uá U Real audiencia dé Granada, i D. Vicente Calvo fiscal de lo civil de la nettde la testamentaría cóncíirsada ne;D. Tomás Gsbiás* y á-vlrtitd de despacho 1** Real-audiehcia de Búrgos, í D. Vicénte Valero y Sardi corregidor de Lo brado á esta co…</t>
  </si>
  <si>
    <t>Macedo</t>
  </si>
  <si>
    <t>…o de alumbrado yserepos, y mandar que el ayuntamiento lo publi Respecto a un proyecto de ley presentado por el Sr. Braancairip sobre hi que por ocho días con eL fin de que si algún propietario de casas, sobre las potecas, dijo el Sr. Macedo que la comFion opinaba que habiendo tomado la cuales recae la imposición á propuesta dei mismo cuerpo, tuviese que reclamar iniciativa el gobierno sobre esie particular, creía inútil tratar de él por enton acerca de la cuota que le ha cabido, lo.haga ante la junta dé concejales y pro ces. La Cámara…</t>
  </si>
  <si>
    <t>Machad, José</t>
  </si>
  <si>
    <t>José Machad</t>
  </si>
  <si>
    <t>…, porque nos lo inspira la Miguel Marín hizo salir dos partidas de su destacamento al mando de los sub conciencia, que la imparcialidad es nuestra divira. Arnicas enim l'lsto, sed tenientes del propio cuerpo D. Miguel de Vargas y D. José Machad 1 á las trwgij- amita -peritas ;■ y por esto no pretendemos negar que asistirá la razón a tres de la mañana con dirección a los pueblos de Eerganzo y Portilla; y ha algjano qoe se juzgue injustamente postergado. Demuéstrese el hecho, tenemos biendo divisado á los enemigos sobre una altura, la pa.ti…</t>
  </si>
  <si>
    <t>Machad, Miguel de Vargas y D José</t>
  </si>
  <si>
    <t>Miguel de Vargas y D José Machad</t>
  </si>
  <si>
    <t>…, y lo diremos siempre, porque nos lo inspira la Miguel Marín hizo salir dos partidas de su destacamento al mando de los sub conciencia, que la imparcialidad es nuestra divira. Arnicas enim l'lsto, sed tenientes del propio cuerpo D. Miguel de Vargas y D. José Machad 1 á las trwgij- amita -peritas ;■ y por esto no pretendemos negar que asistirá la razón a tres de la mañana con dirección a los pueblos de Eerganzo y Portilla; y ha algjano qoe se juzgue injustamente postergado. Demuéstrese el hecho, tenemos biendo divisado á los enemigos sobre una altura, la pa.ti…</t>
  </si>
  <si>
    <t>Machón</t>
  </si>
  <si>
    <t>…upongo habrá sido fusilado tam bien pronto exterminados. Zaragoza 19 de Junio de 1834-==Ezpeleta. bién en Balmaseda un titulado capitán y ayudante de Castor que fue preso el Plana mayor. Según parte del gobernador de Alcañiz , el capitán Machón dia antes dé mi salida, según la orden que dejé al comandante general de la que recorre las cercanías de Caspe, aprehendió en el 13 del corriente en los división de Castilla, brigadier D. Ramón Gómez de Bedoya. = Todp lo que montes de Maella á dos facciosos, uno llamado Fr. Pablo Gardes, monge tra…</t>
  </si>
  <si>
    <t>Machón, José</t>
  </si>
  <si>
    <t>José Machón</t>
  </si>
  <si>
    <t>….......................... loo Primera junta preparatoria celebrada el 20 de Julio. D. Manuel María Goyri, con destino i la sopa ecónomica......... .. lQGO Se abrió la saion l las doce y cuarto con asistencia del gobernador civil D. José Machón........................................................................................ 320 d* ests provincia Conde de Villeberrnoso y su secretario, conforme al articu lo 3.a del reglamento, y hallándose reunidos &lt;54 Procuradores], se procedió al nombramiento de Presidente interino. Después de una ligera díiscution sobre el Parte recibido en la secretaría de Estado y del Despacho da…</t>
  </si>
  <si>
    <t>Macias, José</t>
  </si>
  <si>
    <t>José Macias</t>
  </si>
  <si>
    <t>…desde donde hicieron ¡as armas de este ejercítw de mi mando: aunque espere detalles y fuego sobre nosotros, he tenido la desgracia de perder el valiente comunicación del que se halla puesto i la cabeza del gobierno soldado de la Reina José Macias, y gravemente herido de un tra de dicha plaza, no han llegado hasta esta hora; v á fin de enterar bucazo de postas el espitan del mismo D. Antonio Muñoz. me de cuanto allí pasa y se necesita, despacho al amanecer de ma n La pérdida en los facciosos la ignoro en este momento que son ñana á D. Franci…</t>
  </si>
  <si>
    <t>Mackau</t>
  </si>
  <si>
    <t>…dia se ha establecido en el pueblo. Desde la salida Puerto-Príncipe, que es Mr. de Petit-Thouars, el cual recibirá el apoyo de la de Lorenzo no pasa dia sin que haya algún tiroteo; pero el resultado es nulo. escuadra al mando del almirante Mackau, si las circunstancias lo exigieren, ____ Se asegura que el brigadier Oráa, habiendo encontrado libre de bloqueo el ------ Mr. Bourmont con toda su familia ha dejado á Génova y ha pasado á punto de Elizondo, estaba fortificando á S. Esteban en el valle de Bastan. Roma. Las noticias que de Argel se…</t>
  </si>
  <si>
    <t>…pudieran hacer á maestra» trincaduras, que ha llegado por ^el barco le Sucrier, el cual salió de aquel puerto el 7 del que sin cesar cruzan por dichas costas. Nada mas ha ocurrido digno de la aten mismo mes, anuncia el arribó del almirante Mackau á dicha colonia. ción de V. E. en mis operaciones desde mi anterior parle. Dios &amp;c. ¡ «Este oficial generalialtó en tierra el 29de Abril en la Pointe-á-Pitre, en donde fue perfectamente recibido por las autoridades, el comercio y los de mas habitantes Su llegada á este puerto fue también motivo de…</t>
  </si>
  <si>
    <t>…halla dispuesto á cargar sobre si las fallas y errores que pudiera come Hemos recibido en Kingston; dice este periódico, cartas de Cartagena ter, y que serian de incalculable transcendencia. del 6 de Octubre, que anuncian que el almirante Mackau á bordo de la fraga si las razones invencibles que acaba el infrascrito de alegar, se añade ta la Atalanta, de 56 cañones, había llegado a este puerto la víspera, lle el estado de su salud, bien notorio á los Sres. Representantes, y que le impide vando á su bordo á Mr. Barrot, cónsul de Francia. Ac…</t>
  </si>
  <si>
    <t>Mackena, Jo e Ramón</t>
  </si>
  <si>
    <t>Jo e Ramón Mackena</t>
  </si>
  <si>
    <t>…que desde este momento nada tenia que rezelar. Yo que Fernando Coroner; de los alféreces de la misma D. Rafael de Castro, P. Ma venia á retaguardia observando los movimientos del enemigo no creí conve nuel labro, P. Juan Cíñate», D. Jo&gt;e Ramón Mackena, D. Joaqirfn Alon niente abandonar aquel punto en tales circunstancias, y mandé ai general Mos so, D. Francisco de Paula Encobar, D. Antonio Moraüues, D. Anselmo Blastoso, de U plana mayor, que pasase' á vanguardia y eligiese la primera ser, D. Antonio Bciuii y D. Manuel Pavía, avadante de órdenes…</t>
  </si>
  <si>
    <t>Macku</t>
  </si>
  <si>
    <t>…o, que aunque alterada por él Señor á las propiedades y personas de sus conciudadanos, ha cosentido en suspender Fel ipe v, ó no debió producir efecto alguno dicha alteración, ó se ha resta todo procedimiento hasta la llegada del almirante Macku con la escuadra de blecido ya después aquella leven todo su vigor: ella lo es por la solemne prag las Antillas. Regularmente no habrá guerra, porque sea temeridad de parte mática-sanción de lháO, á consecuencia de lo acordado de unánime consenti del gobierno de la nueva Granada-querer medir sus fue…</t>
  </si>
  <si>
    <t>Macomb</t>
  </si>
  <si>
    <t>…so 14 Agosto 1834-=ÍV icolás María Se cumplirá esta órden bajo la dirección de cada comandante de puesto Garelly. =Sr. Secretario del Despacho de Estado. militar ó apostadero naval al dia siguiente de recibida. De órden del mayor general Macomb. (Diario de los Debates?) Egipto; REAL DECRETO. Alejandría l.° de Junio. Hp tenido á bien nombrar á D. Juan Antonio Delgado, gober El Bajá continúa , á pesar de las voces que corren por Europa de una pró nador civil que ha sido de la provincia de Córdoba , para el mismo xima guerra oriental, sus pro…</t>
  </si>
  <si>
    <t>Macragh, Leoncio</t>
  </si>
  <si>
    <t>Leoncio Macragh</t>
  </si>
  <si>
    <t>…e gefe de 1a cuarta sección á D. Francisco Bartolomé y Coloino: para las-degefes de mesa dé la misma a D. José Sánchez Ocaña y ' {Continuación del correo anterior.) al marques de Villagarcía: para la de gefe de la quima sección á Don Leoncio Macragh: para gefes de mesa de la misma á D. Juan ALEMANIA. ■Fernandez del Pino y D. Claudio Fernandez: para la de gefe de la Gran datada de Hase-Darmstadt 27 de Jinda. sexta sección á D. Ignacio Duran: para las de gefes de mesa de la Ayer se trató en la Cámara de los Comunes de la fortaleza de Maguncia. S…</t>
  </si>
  <si>
    <t>Madarias, Manuel</t>
  </si>
  <si>
    <t>Manuel Madarias</t>
  </si>
  <si>
    <t>…ponerle en precipita gándole que reúna por su parte los datos necesarios á este importante objeto da fuga. por lo respectivo á aquella ciudad. Añade que se distinguieron también muy particularmente los avudantes del mismo cuerpo D. Manuel Madarias, y el de ordenes el teniente c'ideado D. Tomas Bellido, del 5.3 ligero de caballería, por la actividad con que han Él subdelegado de Fomento de la provincia de Granada ha publicado el comunicado sus ordenes conduciendo las compañas a los punios atacad''"*, v siguiente edicto: asimismo D- Domingo dé…</t>
  </si>
  <si>
    <t>Madden</t>
  </si>
  <si>
    <t>…e Borbon 80. El Brasil y la NuevaEspaña mas de 32U. {Standard.) ___V.\ numero de personas ert Inglaterra, cuya Subsistencia oende de las fá-* bric.is, se cuenta por millares. Uña sola casa de Manchester se dice que invier •—- -El Sr. Madden , en una obra que ha publicado con el t tuln de ••Ilustra-* te todos los años un millón de libras esterlinas crt salarios de artesanos. K1 ra Ciou de las enternicd.ides Jri iviCem &gt;“ r " presentí uit c .ku.o m_v curóle» mo de manufacturas de algodori , por lo perteneciente al norte de Inglaterra, d…</t>
  </si>
  <si>
    <t>…e esta sola fabrica de armas, y como las continuas guerras de los rusos exi halla empleada con mas actividad, son menos conducentes á una vida larga. gían de ellas enormes cantidades, cada campaña del Autócrata empeoraba la si £1 Sr. Madden ha hecho otras varias deducciones, según las diferentes ocupa tuación de estos infelices obreros. ciones del género humano, y es de opinión que puede formarse una escala exac "No es difirát comprender por consiguiente que estos desdichados hayan ta, con la que sabiendo la ocupación particular de un…</t>
  </si>
  <si>
    <t>MadolelL, Diego</t>
  </si>
  <si>
    <t>Diego MadolelL</t>
  </si>
  <si>
    <t>…nigo , conspirador y y mandado que se inserte esta noticia en la Gaceta y en el Diario de la admi prófugo de Gerona, y por otros dos partidarios: que los desalojó á la bayone nistración para que sirva de estímulo y satisfacción á D. Diego MadolelL ta de la posición que tomaron en lo alto de la Roca larga, precediendo- pan ello.un combate vivo y sangriento, en que cuerpo á cuerpo pelearon á bayo netazos nuestros soldados durante 10 minutos: que el.«resultado fue quedar boisa dm conancio~—Cottt*atÍQtt de hoy d las tres dé la téreU. muerto uno…</t>
  </si>
  <si>
    <t>Madrazo, Teodoro</t>
  </si>
  <si>
    <t>Teodoro Madrazo</t>
  </si>
  <si>
    <t>…corriente que desde el últi mirar á sus compatricios, concediéndola la corona d»tinada al mérito y á la ma parte no se habia alterado la salud pública en aquella ni en el resto de la aplicación! Cádiz i9 de Noviembre de 1834-=Dr, D. Teodoro Madrazo, se provincia, excepto en los pueblos de Aniñon y Frescaño, en el primero de los cretario de gobierno de la academia. CDiario mercantil de Cádiz.") cual» habían ocurrido 25 invasión» desde el dia 14 al 20 del mes de la fecha, habían curado 30 personas y fallecido 4, quedando 23 enfermas; enel segun…</t>
  </si>
  <si>
    <t>Madre</t>
  </si>
  <si>
    <t>…do glorioso la excelsa v legítima heredera del Rey que hemos perdido. vivo reconocimiento de que queda penetrado mí corazón á la suma bondad de Dígnese V. M. admitir con la benignidad que le es tan propia los sinceros., S. M. la Reina Madre por este grande y nuevo honor que me dispensa. y leales sentimientos de los individuos de este avur.íimiento en tanto que dis Con esta ocasión me atrevo á poner en las manos de V. E. los dos adjun ponen lo conveniente para que alzándose el Real pendón y proclamándole átos ejemplares de una exhortac…</t>
  </si>
  <si>
    <t>…orque el partido conocido bajo el imbje de nullijl cateurs, heredera de nuestro,difunto Monarca el Sr. D. Femando vii y de sá muy au insiste' en constante oposición á las disposiciones' del ^biemo. Los periódicos' gusta Esposa la Reina Madre, única Gobernadora de estos reinos, y que to tíe Washington y de Filadclfia con fecha del 15 del ns último anuncian con dos nos reunamos alrededor de su trono como el muro de nuestra dcfeifta, el desagrado los secretos manejos y arterías de los de esta pinion en toda la Geor- centro de nuestra fuer…</t>
  </si>
  <si>
    <t>…as.=Euenaventura Romero. J legítima descendencia de sus Reyes; el plausible advenimiento al trono de sus mayores , y la cordial proclamación de nuestra angelical Reina y Señora Doña PARTE Np OFICIAL. ii. Isabel Dignaos, ó excelsa Reina , Madre de la sabiduría, de la felicidad y de las NOTICIAS EXTRANGERAS. gracias, admitir benigna los humildes votos que estos sencillos habitantes del Almanzora elevan al Todopoderoso por la prosperidad de su reinado,y porque BELGICA. so queden ilusorias las brillantes esperanzas con que ilumina al horizonte esp…</t>
  </si>
  <si>
    <t>…de los en tografiadas de órden de su augusto Padre el Sr. D. Fernando vn (Q. E. E. G.) fermos. de la eapit^ f jdel cual apare?»; que las enfermedades que alli reinaban en el Real establecimiento, de Madrid, y dedicada á S. M. la Reina Madre eran fiebres intermitentes, gástricas y diarreas. Doña María ‘Cristina de Borson , Regenta y Gobernadora del reino. Dicha colección, estampada en papel imperial sobrefino avitelado , se halla de venta al El corregidor de Andújar con fecha de 23 de Junio remite el siguiente es precio de 80 rs. en el…</t>
  </si>
  <si>
    <t>Madrid, Bartolomé Agustín Rodríguez de Fonseca</t>
  </si>
  <si>
    <t>Bartolomé Agustín Rodríguez de Fonseca Madrid</t>
  </si>
  <si>
    <t>…tativostodas las personas, paramíelos-deseenjuecesinstruirseque no sonen lasjurtttgs,materiasparadeleclesiásticosDerecho: suy religioautor ei na* de lasque padecían enfermedad sospechosa, habiendo fallecido 57 de igual licenciado D. Bartolomé Agustín Rodríguez de Fonseca. Madrid año de 1775-, Son diez clase: abade qué en casi todo; los otros 12 pueblos de la propia provincia que y ocho tamos fbl/o, á $00 rs. rama, se hallaban invadidos, continuaba la enfermedad su curso descendente. huevas evoluciones militares . que deben añadirse á las que practica la infantería, PROVINC…</t>
  </si>
  <si>
    <t>Madrid, Mana</t>
  </si>
  <si>
    <t>Mana Madrid</t>
  </si>
  <si>
    <t>…ectoras de los establecimientos de benefi cencia, y trata de proporcionar á estos la asistencia de las hermanas de la cari ESPAÑA. dad, instituidas por S. Vicente de Paul. Ha dirigido con recomendación al gobierno la solicitud de Doña Mana Madrid 6 dr Julio. Antonia de Toledo para fundar un beaterío destinado á la educación de las ni ELECCION DE PROCURADORES DEL REINO, dias pobres. Ha pedido á los pueblos las noticias mas circunstanciadas acerca del estado PROVINCIA DE GRANADA. de las circeles. Excmo. Sr. D. Francisco Martínez dé la Rosa* A…</t>
  </si>
  <si>
    <t>Madrona, Antonio</t>
  </si>
  <si>
    <t>Antonio Madrona</t>
  </si>
  <si>
    <t>…elebridad se consagren. varla, y sus adicto» el bizarro teniente de caballería de ftanqueadores de Navar El autor del proyecto que merezca la preferencia será premiado con una ra D. Ramón Corres, y eV de igual clase de infantería D. Antonio Madrona, medalla de oro de peso de seis onzas, que tendrá la efigie ó retrato de la Reina y subteniente graduado D- Remigio Molió, y mis ayudantes igualmente el te nuestra Señora con la inscripción en el contorno Isabel ii, Reina liíEspaSa niente graduado de teniente coronel D. Pedro 5amanicgo,y el tenient…</t>
  </si>
  <si>
    <t>MadVazo, Juan</t>
  </si>
  <si>
    <t>Juan MadVazo</t>
  </si>
  <si>
    <t>…aredo, montañas de 6,5rt9. 1000. . . . Granada. Santander,Santoña, se situad;»estableceá unala margenescuela delde primerasrio de suletras,nombrecuyaquefundacióndesembocaes en.eldoradamarporporla 23,686. 400.... Madrid. piedad de D. Juan MadVazo, natural de dicho pueblo, vecino y del comercio de la 18,911. 400.... Murcia. Habana, cji» 3309 rs satisfechos en metálico cada seis meses: quien quisiere aspirar á 17,878. 400.... Cádiz. suAguirre,posesión,residenteacudaenconLaredo,su solicitudettfel términoy relaciónde 49dedías,instrucciónpara qu…</t>
  </si>
  <si>
    <t>MaEn</t>
  </si>
  <si>
    <t>…n el trono, y después dijo las siguientes palabras: dig María de Larraza y su hija Doña Antonia Tomasa, Doña Martina Moya, nos Pares y Sres. Diputados, podéis sentaros. Doña Juana Moya , Doña Josefa Ubillos, Doña Josefa Urisarri, Doña MaEn seguida el Sr. Presidente, haciendo la débida venia, se aproximó al ría Dolores de Larraza, Doña Benita Unamono y Doña Pascuala Unamono: trono, y levantándose entonces toda la asamblea, se levantó también S. M. F. ¡ todas estas señoras hicieron estos servicios con sus criadas respectivas.” y ponien…</t>
  </si>
  <si>
    <t>Magalhaes</t>
  </si>
  <si>
    <t>…o. . -«* en de radicados esta de Rentas provincia la subdelegacion las do| t^l —Hallándose dutáqerqs áosbb i, mc.»,.. &lt; ú v¡,-,p \j ", * de Magco, isl^ Salvador la natural que tamentarías de D. Malta, vecino del /uerd« y Pidió «1 Sr. Magalhaes que se principiase á tratar del proyecto »de ley re comercio de la ciudid de'Barceioitáí, y de^D. Franólsdó&gt; M'a^kS'.padi^e de-a^i^L^oasu* lativo á la división territorial”, por ser cosa- urgente y ntccSarla. ral también'de f« citada isla; seciGL* E&gt;; Miguel residente en Cón^m-T tinopla, y á. D* ¿M…</t>
  </si>
  <si>
    <t>…inaba que se imprimiese y distribuyese conUrgencia, pues habia en ¿1 dos ó tres artícu lee en el G/o/y lo siguiente: los, que tal vez podrían ampliarse. «Mahmoud y Mehemet-Alí .parecen de tal manera dispuestos g probar Convino ei Sr. Magalhaes en que se imprimiese y distribuvese el citado la fortuna de las armas, que no se ve que pueda oponérseles otro obstáculo proyecto, no soto por las razones que el preopinante acababa-de manifestar, “ que la enérgica intervención de las Potencias que tienen influjo en ambos go sino principalmente par…</t>
  </si>
  <si>
    <t>…r, como para castigar y reprimir prontamente cualquiera tenr.it.va ningún título letrados. Él Sr. Soure aclaró ciertos puntos que le parecían du revolucionaria, porque desgraciadamente hay sin duda muchos perversos y ma dosos; el Sr. Magalhaes presentó una adición; el Sr. Miranda aprobó el artí lévolos, v bastantes incautos que solo con algunos escarmientos podran desen culo como estaba en el proyecto, salva otra redacción roas clara; el barón de gañarse para siempre de sus criminales proyectos. RenduflFe pidió se preguntase si el punto…</t>
  </si>
  <si>
    <t>tion, tea en fin por mndio de la proposición del Sr. Magalhaes, de modo que industrial ^ con el objeto'de mejorar, la educación de lpsartesanoe yfacjlítaren cualquier parte que se presenten sean/ vigorosa y prontamente reprimidos les la correspondiente instrucción, ^la sociedad, cOníqrme á supropúestá y á¡ cualesquiera sintomas-de rebelión, una vez que*este se…</t>
  </si>
  <si>
    <t>…ranco y Beira. trangeras, se cuenta uno muy célebre, «}ue constantemente hace viages de \Convmo el Sr. Oabao cori algunas de ias ideas que 'había manifestado el Ñapóles á Roma, y-de Roma á Ñapóles, y otro nó menos famoso que está Sr. Magalhaes; opinando finalmente que el artículo l.° se debía.aprobar dr*d* en Viena clamando por el auxilio de la santa alianza. Felizmente las Poten luego, para que inmediatamente principiase él Gobierno á dar auxilio á lo» cias dM Norte saben demasiado cuánto vale la. paz, y no menos conocen las párrocos. t…</t>
  </si>
  <si>
    <t>Magnan</t>
  </si>
  <si>
    <t>…uerra, y que la ordert se IfLGICA. ha dado recomendando el mavor secreto. Repito que cuidvn ustedes de «ytar Bruselas 13 de Marzo. apercibidos , si no quieren ver la renovación de la catástrofe de 1831.** Ayer llegó un edecán del general Magnan que trajo la noticia, al ministro _____ La Gaceta de Frusta anuncia que el príncipe de Orange v su hijo‘han de laOuerr* de que los holandeses sc reforzaban en la frontera del lado dcZel- salido de Berlín el 8 del corriente para volver i Hava. zá£te: el volvió á.partir poco después. ____ Contivnen l…</t>
  </si>
  <si>
    <t>Magro, Salvador</t>
  </si>
  <si>
    <t>Salvador Magro</t>
  </si>
  <si>
    <t>…á las tres de la mañana sin la menor oposición." -----Por providencia del intendente subdelegado de Rentas de la pro vincia de Madrid, juez que conoce en virtud de Real drden en los auto* formados con motivo del fallecimiento de D. Salvador Magro, natural Cumpliendo lo ofrecido insertamos la lista de las personas, que de la isla de Malta y comerciante que fue de la ciudad de Barcelona, se ademas de las ntenqionadas ayer recomienda el comandante general ha señalado para junta general de acreedores y demas interesados que de Vizcaya,,por habe…</t>
  </si>
  <si>
    <t>…. Trigo, á 14 T*- fanega: cebada, á 7 id.: vino, £ 4 rs. cántaro: perjuicio. —Por providencia del subdelegado de Rentas de 1a provincia de Madrid, se eirá A aceite, á 40 rs. arroba. los acreedores a la testamentaria concursada de D. Salvador Magro ..que no huhiesea Teruel. Trigo, á 12 rs. fanega: cebada, £ 6 id.: vino, á 4 rs. cántaro: presentado los títulos que legitimen sus créditos reclamados; y a los que aun tengan aceite, £ 48 rs. arroba. que reclamar; para que en el termino de un mes lo verifiquen ante P. Felipe López Zaragoza. Trigo,…</t>
  </si>
  <si>
    <t>Mahouet</t>
  </si>
  <si>
    <t>…es que se ponían en otro tiempo á las que miento de Bujía. La resistencia ha sido tan gloriosa como era de esperar: la se acercaban á sus riberas. Esto ha dado lugar al pensamiento de abrir otra vez guarnición de un blockhaus, el teniente Mahouet, del 59, que la mandaba, este canal al comercio, y es de creer que en el mes de Mayo psóximo todo y el cabo Loiseau, que dirigia la artillería, se han distinguido por su valor. estará dispuesto. Eos tarcos para el Eufrates posarán al golfo dc Pcrbord hasta El enemigo ha sufrido un terrible descalab…</t>
  </si>
  <si>
    <t>Mahul</t>
  </si>
  <si>
    <t>…ste pais bajo la dependencia de la Rusia. Es menester subir al tratado de An- que es inútil, pues hay sobrados medios de reprimir estos desórdenes. driñópoli para buscar el origen del golpe recibido por aquella nación en su se El Sr. Mahul hace ver la notable diferencia que hay entre el sistema de guridad é independencia, y sobre esto pudiera citar despachos cuando todavía gobierno de la restauración y el que actualmente se sigue. Dice que nunca ocur el noble duque era ministro, en que nuestros enviados anunciaban ya sus rió a Fny ,…</t>
  </si>
  <si>
    <t>Mailen, Luis</t>
  </si>
  <si>
    <t>Luis Mailen</t>
  </si>
  <si>
    <t>…órdoba D. Manuel Michel y D. Baltasar Eerrer: ¡os tenientes D. Cayetano Cabaces, graduado de teniente coronel, v O. Romual do Aguado, y subteniente D. Joaquín Iglesias, todos del mismo cuerpo; v el ESPAÑA. teniente dei 6° ligeros D. Luis Mailen: contusos, el anudante del 4.0 regi miento de Guardia Real D. José Mozurd; el teniente con grado de teniente Madrid i 0 de Octubre. coronel D. Julián Pordoy, y subteniente D. José Hermenegildo, del regi miento de Córdoba, y el ayudante de la plana mayor D. Ramón Corres, te Penetrado el Excmo. Sr. c…</t>
  </si>
  <si>
    <t>MaiqÉesta, Goberna</t>
  </si>
  <si>
    <t>Goberna MaiqÉesta</t>
  </si>
  <si>
    <t>…el militar que tuviese : la desgracia de quebrantarlas eñ lo menor posible. , PROVINCIA SE JAEN. Espero que no habrá ocasión de verificarlo; y que„tendr'é á menudo la sa tisfacción de presentar á la Real consideración de $. M. la Reina Goberna MaiqÉesta su gobernador civil en oficios de 3 y 6 del actual que desde 28. dora relaciones de los hechos heróicos y de la constancia de las tropas, y de ; á 30 del mes anterior fueron invadidas 5 personas en Porcuna, curaron 8, y alcanzar de su Real munificencia las gracias que su maternal coraron se com fal…</t>
  </si>
  <si>
    <t>Maison</t>
  </si>
  <si>
    <t>…ear medios terribles de represión; estos Los Sres. Dupont (de l'Eure), el barón Luis, el mariscal Gerard, el mediós han causado muchas desgracias, arruinado á muchas familias, y costado conde Rigúy, Bignon, Guizot, de Broglie, el mariscal Maison, Monfalivet, la vida á centenares de inocentes. ¡El incendio ha devorado ricos edificios y casas Merilhout, d'Argout, el mariscal Soult, Barthc, Girod (de 1'AÍn), Humana; modestas! Ha sentido sus estragos, asi el hombre opulento como el pobre jorna Thiers, Persil, Dúchate!, Roussin; •“'Jacob, el “d…</t>
  </si>
  <si>
    <t>…idia de algunos espa ñoles espurios que quisieran desgarrar el corazón de su patria: mas de 11 millo ' S. Prtersburgo 7 de Entro. nes de valientes defienden la causa de la justicia: causa santificada por el mismo ^ El F.xcmo. Sr. mariscal Maison, embajador extraordinario y plenipotenciaDios. Todos están decididos á hacer mil pedazos al infame que intente siquiera rio del Rey de los franceses, presentó ames de ayer, en el palacio de invierno, no venerar la última voluntad del Sr. D. Fernando vil (Q. E. E. O-)', y sus credenciales á nuestro…</t>
  </si>
  <si>
    <t>…del Sena y del ayuntamiento de París, aprobado por la Cámara de perador Nicolás; y que al dia siguiente el ministro de Relaciones exteriores los Diputados, manifestando al mismo tiempo que ei gobierno adhiere al pro manifestó al mariscal Maison en una prolongada conferencia las disposiciones yecto menos en los dos puntos que aparecen de la exposición con que acom del gobierno ruso relativas á los negocios de Holanda. paña dicho proyectó. La Cámara lo manda imprimir y distribuir, y se le »&gt;Se asegura en su consecuencia que el gabinete de S…</t>
  </si>
  <si>
    <t>…o de nuestra amada So berana con el empleo de .teniente , llamándose en el día ayudante mayor de hú órden del Salvador. La misma distinción ha sido dirigida á ios Sres. mariscal Soult, duque de Broglic,. príncipe de Talley-rand , mariscal Maison , conde sares entre los rebelde*, por lo que con arreglo á las-Reale* órdenes vigentes Guilleminot, lord Palmcrston, lord Grey, sir Stralford Omning, sir Y.Gra- dispuse que después de obtenidos ios auxilios como cristiano fuese pasado por ham, primer lord del alqtürantazgo ingles; conde Nesselcode,…</t>
  </si>
  <si>
    <t>…empo que sé había retirado enteramente de qúe parlicularmente lo fue .de .esta preciosa pane de sus dominios. los negocios públicos, (Gloñp.) , , . La ^rpargura,de esta Real corporación es tanta , cuanta fue su complacen ------El mariscal Maison, embajador del Rey de los franceses en la corte de cia ,pl(aabcii, el restablecimiento de su salud el afio anterior, y la jura dé la Se- Rusia, ha Uegado á S. Pelcrsburgo, y también él conde Simonetti, embajador fiara.Doija Maiua Isabel Luisa en él presente: boy vierte lágrimas de dolor, de Cerdeña…</t>
  </si>
  <si>
    <t>…e tiempo ha hecho cuanto es posible para mantener el órden, que ha traba ____Cartas de S. Petersburgo anuncian que nuestro embajador en Rusia, el jado constantemente, con paciencia, con franqueza, con vigor para restablecerlo Sr. mariscal Maison, fue derribado, juntamente con su caballo, por una carga en la sociedad y en los ánimos, sin que ninguno de los que han tenido parre de caballería, presenciando el l.° de éste mes un ejercicio general. Sin embar en el ministerio haya desconocido este principio, á pesar de que han incurrido go , las…</t>
  </si>
  <si>
    <t>Malaga</t>
  </si>
  <si>
    <t>…consular denominado de ambulancia. (Id.) L Bayona, 00. Alicante. 4 cortopia- Corufia, 4 d. 'Valencia, id. ——— sobre bu. letres de cambio procedente* de las provincia*'Vascongadas r Burdeos, 00. 10, *d. Granada, 4 id. Zaragoza, 4 d. Malaga, id. id. Ierras, Desciwnto de b. Navarra. (Id.) '' j ‘ \ ' - ' Ha|ubur|otLóqdres, a 00.90 dias,,. Barcelona,tb. 4 ps. fin, Santander, i al 4 4 p. 100 mandando se recuerde al ayuntamiento de Madrid la Real; órden de 11 l7£. BUbao, 4 d. Santiago 1 I d. añc. de .Mareo último sobré el pagó de *u* rédit…</t>
  </si>
  <si>
    <t>…aciones reunidas en jos actos y funciones publicas. Cid*) Alicante, acorto pla Coruña, 1 d. Valencia, par. t— 2 prescribiendo pedidas para facilitar á los pueblos afligidos por el cólera- zo , 4 d. Granada, id. id* Zaragoxa, ¿ d. d. Malaga , J á o*, fs., Barcelona, Descuento de letras 14-5.) (Afatfi. los auxilio^ que reclama sú triste situación morbo todos , a icj Londresuiiu 1 b. b. £ Santander, á 4 P* ^90 año. al de magistrado honores audiencia concediendo Reai-'decreto de la Real de Ma 1 d. Santiago, Bilbao, á d. ¿ 34* 3H drid á D…</t>
  </si>
  <si>
    <t>Málaga</t>
  </si>
  <si>
    <t>…nas, 'cerca de Puente la .Reina, continuando en su seguimiento el general Lorenzo. CAMBIOS. Amsterdam, 00. [Alicante i corto plá- Granada f d. Con fecha. l.° del actual el capitán general de Valencia mani Bayooa, 00. I zo par á $ d. Málaga par. fiesta que el general Hore toma las mas enérgicas disposiciones pa Burdeos, 00. Barcelona i pesos ft. Santander Id. Ha en burgo , 00. 1 $ b. Santiago 1 d. ra asegurar la tranquilidad de su provincia, ¿ impedir cualquiera Ldodres » 90 días 37} Bilbao par. SevIHa par. movimiento que se intentase…</t>
  </si>
  <si>
    <t>…* ÍP m*"* ■ » ' ■ ! '*'■ — « Acciones del banco «spafiol, 00. - $f&gt; de Marj¡f&gt;.. . 2 6 1 9 CAMBIOS. SO id................. 4 4 8 Amsterdam , 00. Alicante i porto pla Granada | d. 3J id.................. i 2 10 16 Bayooa, 00. zo J d. Málaga par. Burdeos, 00. Barcelona 4 pesos fs. Saotander id. 1.® de Abril.... I 5 2 8 Hamburgo; 00. i ». Santiago 1 d. Edudres 4 90 días 37J Bilbao par. Sevilla par. Observación. 'En el número de fallecidos e?tao inclusos los dp i i. Cádiz | o. Valencia id. hh4e fe» hospitales y de toda piase de enfermeda…</t>
  </si>
  <si>
    <t>…basco espafiol 100. ▼isioh territorial para la consumación de la quinta, seria una in CAMBIOS. justicia, después de haber manifestado .las mas principales, negar Amsterdam, 00. Alicante á corto pía- Granada 4 d. Bayona, 00. 10 4 d. Málaga par. el debido tributo de elogio al excelente espíritu de los pueblos, que Burdeos , 00. Barcelona ápesos fs. Santander Id. se han prestado generalmente á esta operación con aquel entu Hamburgo, 00. ib. Santiago 1 d. siasmo y sinceridad que logra siempre en nuestra nación la causa Lóndres A 90 dias…</t>
  </si>
  <si>
    <t>…muerto 2, y quedando existentes 24 en Bayona, 00. Alicante, á corto pía- Cor uña, 1 d. Valencia, par. 00. zo &lt; £ d. id Granada, id. 'Zaragoza', g'd’. fermos coñ síntomas sospechosos. Burdeos, ps. fs.. Hamburgo, 00. - Barcelona,-a d. Málaga, ♦ Deseo euro de letras, ‘ "• PROVINCIA DE VArtAfioIID. Londres, i 90 dios. 1 ba Santand ;r. | b. á 4 P* 100.al año,. • • - V • I ’ * &gt; . V í* - • V . ' 37¡. Bilbao« 4 d, , Santiago 1 d. . ■ En oficio .de 4 del. coriiente, dice su gobernador civil que el día ,3 exis- . tran.cn la,capital 89 enfermo…</t>
  </si>
  <si>
    <t>…ij;-de'éftétds contagiados ó susceptibles de contagio. {Id.} c AMITOS. 'R*el''defrreto- próhibiendo-se-dé: curso, ¿ ninguna solicitud sobre Amsterdam, 00. Alicante 4 corto Pl?T Granada |.d. moratorias. {Núm. 36.) Bayona ,00. zo í d. Málaga par. : 1 restituyendo á los tribunales el' lleno dé- facultades que exige Burdeos, o3. Barcelona í pesos fs. Santander td. lá ordenada -administración1 do justicia. {Idi} Hamburgo, qq. -¿b. Saptíago 4 4* - , — hacjencjo extensivo el decreto de 11 dé:Febrero de este año Ldndres 4.90 dias 37j Bilbao…</t>
  </si>
  <si>
    <t>…idente de la junta supe CAMBIOS. rior de Granada que ninguna novedad habia ocurrido desde el úl | d.timo parte en el estado sanitario de aquella capital; y que la junta Amsterdam, 00. Alicante 4 corto pla Granada Bayona, 00. zo 4 d. Málaga par. municipal de Estepona le participaba que la enfermedad que afli- Burdeos, 00. Barcelona á pesos fe. Santander id. gia dicha villa se hallaba en su período descendente, según todo Hamburgo, 00. j b. Santiago 1 d. resultaba de los partes relativos al estado sanitario de ambas pobla Lóndres á 90…</t>
  </si>
  <si>
    <t>…contra el principio brutal de la fuerza. Nosotros creemos y esperamos que ' CAMBIOS. el juicio del biógrafo de Fr. Bartolomé de Las Casas será el de la A muerdan, 00. Alicaure á corto pla Granada J d. posteridad. Bayona, 00. zo ¿ d. Málaga par. Al fin de las dos vidas hay un apéndice de documentos justifi Burdeos, oo. Barcelona i pesos fs. Santander id. Hamburgo, 00. Jb. Samiago 1 d. cativos, y en ambas frecuentes notas que dan á este tomo, ademas Lóndres á 90 días 37^. Bilbao par. Sevilla par. del mérito de la filosofía, el de la er…</t>
  </si>
  <si>
    <t>…elas sorprendieron la guarnición, que estaba en CAMBIOS. tregada al sueño. La sorpresa fue completa. Amsterdam , 00. Alicante á corto pía-1Granada f d. Mandé que saliesen de la escuadra de bloqueo los soldados de Bayona, 00. 20 ^ d. Málaga par. marina, y tengo reunida una guarnición Suficiente para defender este Burdeos, 00. - Barcelona á pesos fs. Santander Id. Hamburgo, 00. Í b. Santiago 1 d. punto, que es fuerte é importante. Lóndresá 90 di as 37 y g. Bilbao par á 4 d. Sevilla par. • Hicimos de 60 a 70 prisioneros. Las autoridades…</t>
  </si>
  <si>
    <t>…par. causada que la desolación aumentarían por el cólera-morbo.hambre, zo, ¿ d. 00. Burdeos, Jd. id. Granada, Zaragoza, d. J para activar medio alguno de cementerios en omito la construcción No Hamburgo, f*.. k ps. 00. Barcelona, d. Málaga, j Descuento de letras los pueblos que carecen de ellos; y no habiendo aun contestado varios ayunta Londres ,¿90 dias, 1 b. Santander, 4 b. 4 4 P* 100 al año. mientos á las órdenes comunicadas por este gobierno civil, relativamente i si 37|. Bilbao, é &lt;1* Santiago» 1 d. tenían ó no cementerios fuer…</t>
  </si>
  <si>
    <t>…ar el monte Ordunte pa- cambios. u ra Carranza: con esto, y continuando ocupada Balmaseda por tro Amsterdam, 00. Alicante 1 corto pla Granada } d. pas de esta provincia hasta que las releven las de Vizcaya, consi Bayona, 00. zo } d. Málaga par. Burdeos , 00. Barcelona á pesoa ft. Santander Id.dero asegurada por ahora esta importantísima, parte de la izquier Hamburgo, 00. }b. Santiago 1 d. da , que tanto excita la codicia de los revoltosos y que también es Ldndres á 90 días 37}. Bilbao par. Sevilla par. tén k la vista de las demás fac…</t>
  </si>
  <si>
    <t>…no esperarme, y un ins cambios. tante los hubiera comprometido. Finalmente, los avisos que á toda Amsterdam, 00. Alicante á corto pla Granada 4 d. costa hice venir de la posición y movimiento de los facciosos, me Bayona, 00. zo 4 d. Málaga par. hicieron desde luego saber, que conociendo su riesgo, y apresurán Burdeos, 00. Barcelona i pesos fs. Santander 4 b. dose Zumalacarregui á ganar tiempo, abandonó la posición y se Hamburgo, 00. |b. Santiago j d. dirigió al mismo valle de Arana, en donde debería hallarse por lá Ldodres á 90 días…</t>
  </si>
  <si>
    <t>…en él una casa de corrección. CAMBIOS. Ha aprobado una hermandad de artesanos para reunir con¡ un Artisterdam, 00. Alicante á corto pla Granada $ d. tanto mensual un fondo común, á fin de auxiliarse en caso de en Bayona, 00. zo i d. Málaga par. fermedad. Burdeos, 00. Barcelona á pesos fs. Santander * b. Ha dispuesto que todos los pueblos de la isla empiecen el 10 Hamburgo, 00. 4 b. Santiago | á 1 d. Lóodres á 90 días 37^. Bilbao ^ d. Sevilla par. de Abril un turno de jornales para la recomposición y construc París 1 g ls. 19 s. Cádiz…</t>
  </si>
  <si>
    <t>…cer regimiento de la Guar CAMBIOS. dia Real de infantería D. Juan Nipomuceno Solis, logró alcanzar Amsterdam, 00. Alicante á corto pla Granada | d. á aquel rebelde á Jas inmediaciones del pueblo de Muzaleon, ata Bayona, 00. zo Jf d. Málaga par. cándolo con dos compañías del mismo cuerpo y 14 caballos de Bor- Burdeos , 00. Barcelona á pesos fs. Santander 4 b. Hamburgo, 00. i b. Santiago J i 1 d. bon; los facciosos dejaron 2 muertos y todas las racionas que ha Ldndres á 90 dias 37$ Bilbao J d. Sevilla par. bían exigido á viva fuerza en…</t>
  </si>
  <si>
    <t>…decadencia, y remo '•CAMBIOS. ver , si es posible, cuantos obstáculos se oponen á sus progresos. Amsterdam, eo. Alicante 4 corto pía-' Granada | d.- - Ha concedido licencia para mercado con-toda la franquicia que Bayona, 00. 10 4 d. Málaga par. consagra el Real decreto de 29 .de EneAj último á los pueblos de Burdeos, 00. Barcelona i pesos ft. Santander 4 b. Hamburgo, 00. 4 b. Santlágo 4 á 1 d. Serón, Almenar, S. Leonardo, Calatañazor y Aldea del Pozo. Lóndres á 90 días 3?f. Bilbao i d. Sevilla par. Se han pedido noticias sobre los ve…</t>
  </si>
  <si>
    <t>…es, 7 al contado. dia nacional. ('(raUignants Messenger.) Acciones del háoce espafiol, 00. OA «ICIOS. Amsterdam, 00. Alicante 4 corto pla Granada $ d. Extracto del parte dado-con fecha del 5 del actual por el sub Bayona, 00. zo 4-d. Málaga por. delegado de Fomento de la provincia de Salamanca D. José Marta Burdeos , 00. Barcelona 4 pesos fs. Santander | b. Cambronera. __ - Hamburgo, 00. O- Santiago $ 4 1 d. Ha excitado á la sociedad económica para que medite sobre el Ló odres 4 90 dias 37f. Bilbao t d. Sevilla par. París x£ 19 á id.…</t>
  </si>
  <si>
    <t>Malagon, Francisco</t>
  </si>
  <si>
    <t>Francisco Malagon</t>
  </si>
  <si>
    <t>…len. Se hallará grabado en el cuievoalihacen dé música, earréi* doba D- Juan Antonio Delgado, con fecha de 15 de Mayo actual. de S. Gerónimo, aun. 23. En dicho almacén se hallará 1 2 ri «1 mfsriló val$, extrae* Deseando premiar á D. Francisco Malagon por su actividad en aclimatar vado por su autor, para piano iota - ■ Materia médica de J. Caster* ó sea primer tomo del diccionario de salud* ó vo—. el arroz de monte secano, solicitó y obtuvo de la sociedad económica de aque cabuiario de medicina práctica de dicho autor, traducido del francés, arr…</t>
  </si>
  <si>
    <t>Malaspina, Alejandra</t>
  </si>
  <si>
    <t>Alejandra Malaspina</t>
  </si>
  <si>
    <t>…de las mencionadas islas al segundo cabo de Asia producidos por expediciones especiales, como la que mandó dando la ellas el mariscal de campo, entonces, D. Pascual Enrile, antiguo y acreditado vuelta al mundo el capitán de navio D. Alejandra Malaspina , y Jas (fue se des oficial de la armada, poniendo á sus órdenes un capitán de fragata y ocho su tinaron á Costa-firme, á las AntilUs, á las costas del mar det Sur y de Cali balternos, con solo los goces señalados en la América septentrional, á fin do fornias, se estableció en 1797 el Depósito Hidr…</t>
  </si>
  <si>
    <t>Malatesta, Nicolás</t>
  </si>
  <si>
    <t>Nicolás Malatesta</t>
  </si>
  <si>
    <t>…sto con satisfacción que el ministerio francés haya seguido el D. Josef Ignacio de Alava: para el corregimiento de letras de Paienóa se ha ejemplo del de Inglaterra, como se deduce de que en el Monitor se haya pu servido nombrará D. Nicolás Malatesta,’"alcalde mayor de Ciud^d-Rodrieo: blicado con notas uh artículo que se insertó en la Gaceta de Petersburgo en para la vara de alcalde mayor de U villa de Alcañ.ces á D. Román García, 13 de Agosto último: por manera que la situación actual de Polonia no es electo de Soba: paja la de Ecija al alcald…</t>
  </si>
  <si>
    <t>Malcolm</t>
  </si>
  <si>
    <t>…e: S. M. Británica ha dado orden al almirantazgo para que se envíen Alicante, (la Real junta de comercio de) ocho buques de guerra al Mediterráneo, con el objeto de reforzar la escuadra Idem, (el Real tribunal de comercio de) del almirante Malcolm, á quien se han remitido instrucciones al efecto. Es pro* Idem, (los empleados en la Real fábrica de cigarros de) bable que esta providencia nace de no haber atendido el gabinete ruso las ob Almansa. (el alcalde mayor y ayuntamiento de) servaciones de la corte de Londres, y también lo es que el alm…</t>
  </si>
  <si>
    <t>…aparece á todos innegable es que la atención pública Diariamente «e aumenta en estas aguas el número de buques europeoi de de Inglaterra se ocupa vivamente de algún tiempo á esta parte en todo lo que [guerra. Ayer dió la vela el almirante Malcolm para Vourla , en cuyo puerto dioe relación con las pretensiones que se suponen en el gabinete de Rusia, y I ae encuentra la mayor parte de la escuadra de su mando, y en donde deberán en la conducta que seguirán los que están encargados de la fuerza y del honor [reunirse los navios que se esperan de…</t>
  </si>
  <si>
    <t>Maldunado, Muñoz</t>
  </si>
  <si>
    <t>Muñoz Maldunado</t>
  </si>
  <si>
    <t>…ales fines que el que , á la mayor brevedad, me comuniquen VV. cuan clusivamente u ia woopcrjwion inglesa el triuñlo de Ja independe: c:j e&gt;pj;V:a. tas noticias y datos tengan relación con el fomento de la industria agraria de El Sr. Muñoz Maldunado ha distribuido con ju*tiJ:a á vida u:\t de la* Qra, na esa jurisdicción ó distrito, y que me contesten con toda precisión f pormeno ciones la parte que les toca eu tan giorursa empresa: peí o ia rueo.ta toe sin du res á los particulares siguientes: da la de los grandes sa».rih^i&lt;&gt;s y la de ia energ…</t>
  </si>
  <si>
    <t>Mallot, Baudilio</t>
  </si>
  <si>
    <t>Baudilio Mallot</t>
  </si>
  <si>
    <t>…pitán general de Aragón da cuenta á este ministerio de la gloriosa ac de......SojoGrandeá 6 rs.,marchay en extractadaSantiago endella deprimerla viudaactodedeCoinpañel.la opera de la Norma del maestro ción que el coronel graduado D. Baudilio Mallot, capitán del regimiento ¡4** Bellini; para piano á 4 rs, guitarra, flauta o violín á 3 rs. Canción amorosa coa el fantería de Soria, 9.° de línea, sostuvo en las inmediaciones de Samperei dih título del Zeloso desengañado, arreglada bajo el tema de uno Je los pasos mas boni S del actual. Habiéndose…</t>
  </si>
  <si>
    <t>Malsonado, Agustín José</t>
  </si>
  <si>
    <t>Agustín José Malsonado</t>
  </si>
  <si>
    <t>…la carrera de la Real-orden. ¡ magistratura, en la que ha^servido con integridad y zelo por espacio de 30 años, he venido en nombrarle para la plaza de oidor delaReal audiencia de Valencia, El capítan de fragata de la Real armada D. Agustín José Malsonado, se-| vacante por promocioo de D. Miguel Moreno. Yendráse entendido en la Cá gundo comandante del tercio naval de Santander, y capitán interino de aquel f mara para su cumplimiento.:^ Está rubricado de la Real mano-“En Aranjuez puerto, ha acudido á S. M. la Reiva Gobernadora manifestándole su sentí…</t>
  </si>
  <si>
    <t>Malta</t>
  </si>
  <si>
    <t>…u en .cqjisidgVacion algunos el servicio. . -«* en de radicados esta de Rentas provincia la subdelegacion las do| t^l —Hallándose dutáqerqs áosbb i, mc.»,.. &lt; ú v¡,-,p \j ", * de Magco, isl^ Salvador la natural que tamentarías de D. Malta, vecino del /uerd« y Pidió «1 Sr. Magalhaes que se principiase á tratar del proyecto »de ley re comercio de la ciudid de'Barceioitáí, y de^D. Franólsdó&gt; M'a^kS'.padi^e de-a^i^L^oasu* lativo á la división territorial”, por ser cosa- urgente y ntccSarla. ral también'de f« citada isla; seciGL* E&gt;; Mig…</t>
  </si>
  <si>
    <t>Malvar</t>
  </si>
  <si>
    <t>…ano Sierra , quien igualmente herido en el brazo no se re se.hallaban destacadas, la dé cazadores de la Guardia Real provincial al man tiró hasta que lo hizo ja división; al infatigable y muy intrepido ayudante de do dei valiente capitán Malvar, y una mitad de la de Avila, avanzamos á tres flanqueadores á caballo de Isabel u D. Francisco Moñones , que en esta pr diferentes direcciones at abrigo de cuántos accidentes ofrecía el terreno, sin en todas ocasiones ha mostrado tanto arrojo como inteligencia, y prestaco que pudiese retarda^ el pa…</t>
  </si>
  <si>
    <t>Mamo</t>
  </si>
  <si>
    <t>…o y de estas mismas,dotea que si romance' he Arlaban se sublevó la mayor parte de su gente, fugándose muchos individuos de mos atribuido. El veno de ocho sílabas, admitiendo pecas y dificiles cesuras , y — lafaccion isuscayas. El general Mamo, dirigiéndose por T re vi fio á Peñ «cerra tiendo el carácter del romance l* suavidad y gracia del estilo, no es posible ex da, ha bajado á Haro, dedóbdésé rtsiituia hicia los montes de Oca. En tas En presar ni en este género ni con aquella versificación lo* movimiento* tapidas y cartaciones deben,…</t>
  </si>
  <si>
    <t>Mana</t>
  </si>
  <si>
    <t>…rrebatar ¡a Corona á su legítima Poseedora, á la Hija término que se señalará vuelvan á su obediencia; y S. M. I, ci duque Regen de su propio Hermano; pero Jejos de que este partido baya logrado desplegar te, á nombre de la Reina Doña Mana ii, declara también su intención de las fuerzas con que se lisonjeaba (después de tantos años de conspirar con ale asegurar al infame D. Miguel, luego que salga de los estados portugueses y vosa y de preparar la usurpación), solo ha descubierto su torcida voluntad y •«pañoles, una.redta correspondi…</t>
  </si>
  <si>
    <t>Mana, Cáelos</t>
  </si>
  <si>
    <t>Cáelos Mana</t>
  </si>
  <si>
    <t>…tículos 1.° Doña Isabúl ii y las libertades patrias, pido al Estamento que cuando se dis— ■ y 2.a de dicho proyecto (véase la citada sesión de 8 de Setiembre último), y cuta el proyecto de ley sobre exclusión del Trono al Infante D. Cáelos Mana en seguida la lista de los señores que habían pedido la palabra; habiéndolo he Isidro de Borbon y toda su descendencia, se autorice á los Síes. Procuradores cho en pro el Sr. Trucha Cosío, como individuo de la comisión, Acevedo, aumentes por enfermedad ó otra causa, para que puedan remitir su voto…</t>
  </si>
  <si>
    <t>Mana, Domingo</t>
  </si>
  <si>
    <t>Domingo Mana</t>
  </si>
  <si>
    <t>…mo ciones; por consecuencia no dejará Cuino hasta aquí de apreciar su verdadero mérito. nadie ignora, está severamente prohibido en Rusia, con el objeto de favorecer —— Reflexiones sobre el verdadero arte de escribir por el abate D. Domingo Mana de ai clero griego. El gobierno pues sín abrazar decididamente la defensa del cle Servídori. de nación r&lt; mano; edición del año de 1789, un romo de marca mayor en dos \olu mones con I (t estampas finas grabadas por los mejores profesores de aquel ro armenio, intimó por medios indirectos i los director…</t>
  </si>
  <si>
    <t>Maña, Josef</t>
  </si>
  <si>
    <t>Josef Maña</t>
  </si>
  <si>
    <t>…capitán ilimitado, natural de S. Feliu dé'Códinís. InscripcionesDichas ídem alsobre4 p. eJ100,gran00.libro al 5 p. 100,00. . Pablo Vives y Anglada, sastre, de S. Pedro de Tarrasa. Títulos al pbrtádor de 5 p. 100, S4l al contado. D. Josef Maña, teniente ilimitado, de Castelltersol. Id. id. de 4 p. 100,47¿ ai coñudo : 48, 47$, 48, 47$ y 47) á varías fechas, dentro D. Pascual del Rio, subteniente idem, de Puebla de Montalban, partido de 60 dias vol. y firme: ♦8* i 37 d. f. ó vol. á prima de 4 p. 100: 46! á 6od. f. sin cupón de i.° Abril. é…</t>
  </si>
  <si>
    <t>Mañana</t>
  </si>
  <si>
    <t>…miserable mercante in nía ese llamado ministro sin examinarlo? Esto- no tiene ninguna seguridad; ;y defenso de España-, acto tan atroz y tan injusto, que estoy persuadido de qué á esto se ha llamado empréstito sancionado por el" Rey 1 Mañana parecerá un no dejará muestro actual ministerio de remover ese expediente, y que obtenien sobrescrito viejo donde hay un aprobado, que una mano alevosa se atrevió á do la justicia que no se le podrá nerar, llevará i laa familia», hoy desgradadas poner........ ,. ¿ indigentes, la paz, el contento y…</t>
  </si>
  <si>
    <t>…los facciosos, y efectivamente me he hecho .cargo de 40 robos, Todo lo que manifiesto á V- E. para su superior conocimiento. Dios guar ¿nica -cosa que he hallado. de á V. E muchos años. Calatayud 7 de Junio de 1834—Excmo. Sr.=EI conde Mañana marcharé á Lumbicr y de allí áSos á entregarme del convoy que ^dc Mirasol.=Excmo. Sr. capitán general de Aragon.e=Es copia = Ezpcleta. hay en dicha villa y-debo conducir á Pamplona. Remito á V. E las adjuntas Íroclamas&gt;¡os guárdequeá seV.lesE.hanmuchoscogidoaños.á dos-curasNavascuesaprosados5 de Ju…</t>
  </si>
  <si>
    <t>Mañana, Vicepresidente</t>
  </si>
  <si>
    <t>Vicepresidente Mañana</t>
  </si>
  <si>
    <t>…izarro, Ortiz cados- de Londres y de París debe ser de mucha consideración; y el Gobier de Velasco, González (D. Antonio), Trueba Cosío y Caballero. no-español si antes de que aquella se verifique abriese un empréstito, aunque El Sr. Vicepresidente ■■ » Mañana procederá el Estamento á la hora acos fuese en virtud de autorización de las Córtes , se presentaría con una gran tumbrada á la discusión de los artículos del proyecto de ley presentado por el desventaja.; desventaja -que redundaría en perjuicio de la Nadon. {Qué res Gobierno, que está pendiente. C…</t>
  </si>
  <si>
    <t>Mancha, Quijote de la</t>
  </si>
  <si>
    <t>Quijote de la Mancha</t>
  </si>
  <si>
    <t>…n todo su tránsito no solo no han conseguido aumentar su satisfactorio. ! reunión cok un solo hombre, sino que se ha disminuido su núme ANUNCIO.ro en mas de una tercera parte. No han hallado la menor acogida, El ingenioso hidalgo D. Quijote de la Mancha , compuesto por Mi ni han logrado los fines que se proponían esparciendo folletos sub guel de Cervantes Saavedra, y comentado por D. Diego Clemencin. To versivos, proclamas, bandos y decretos del Pretendiente; entre ellos mo 3.0, último de la i.a parte. Habiendo ocurrido circunstancias Im uno por c…</t>
  </si>
  <si>
    <t>Manchestcr</t>
  </si>
  <si>
    <t>…burgo, 00. Barcelona, á os. fs.. Málaga ,£ id. llescoenfo de letras» b* á 4 P* *00 al ifte. habido tiempo para empedrar la ciudad. Al ver esto nadie creería hallarse en Londres,371 á 90 4Us. Bilbao,ib. 4 d. Santander,Santiago, 1 |d. Manchestcr, y mucho menos al examinar el siguiente estado de salarios, to mando un término medio, según los ha pagado durante el mes de Mayo último, por semana, esto es, por seis dias de trabajo, la compañía de industria titulada ANUNCIOS. Aíerrimatk Corporation* He se que Obras ta despachó en el Real. de hal…</t>
  </si>
  <si>
    <t>Mandayo, León Salmean y</t>
  </si>
  <si>
    <t>León Salmean y Mandayo</t>
  </si>
  <si>
    <t>…Amsterdssn,Bayona, 00. 00. París*Alicinte,16-t»á corta pla Cádiz»Coruña,1 |b.d* Sevilla,Valencia,par.id. déla instrucción énEspaña.,En seguida leyó otro el profesor de químics-Don Burdeos, 00. zo , id. Granada, 4 Id. Zaragoza, { d. León Salmean y Mandayo, en el cual reasumió cronológicamente la historia Hjmburgo, 00. Barcelona» k ps. ft., Málaga» id. !d. Descuento de letras, 1 b. 4 oO dias, Santander, | b. a 4 p. 100 al aüsk da esta facultad y de rn aplicación i las artés, como también las ventajas que lóndres, Bilbao» ¿ | d. Santiago, »•«. proporc…</t>
  </si>
  <si>
    <t>Mandé</t>
  </si>
  <si>
    <t>…éronlo asi, y habiéndose apode Acciones del banco español, oo. rado de los centinelas sorprendieron la guarnición, que estaba en CAMBIOS. tregada al sueño. La sorpresa fue completa. Amsterdam , 00. Alicante á corto pía-1Granada f d. Mandé que saliesen de la escuadra de bloqueo los soldados de Bayona, 00. 20 ^ d. Málaga par. marina, y tengo reunida una guarnición Suficiente para defender este Burdeos, 00. - Barcelona á pesos fs. Santander Id. Hamburgo, 00. Í b. Santiago 1 d. punto, que es fuerte é importante. Lóndresá 90 di as 37 y g…</t>
  </si>
  <si>
    <t>Manden, Carlos</t>
  </si>
  <si>
    <t>Carlos Manden</t>
  </si>
  <si>
    <t>…l cidad , exciten por los medios, posibles á los fabricantes y cosecheros de sus res Rebellón, administrador de la estafeta de Vivero-, la de Vílhmueva de la Se pectivas provincias con el fin de que las pongan en práctica. rena á D. Carlos Manden, oficial 2.a de la principal de Badajoz; la vacante de este á D. Angel Sacanell, oficial 3-° de Lugo; esta plaza al cesante Don El gobernador civil de Teruel dió parte de los estragos qoe ocasiono la José Sánchez Súndino; y la de oficial 4-° de la misma administración de Lugo última avenida del Ouá…</t>
  </si>
  <si>
    <t>Manescau, José María</t>
  </si>
  <si>
    <t>José María Manescau</t>
  </si>
  <si>
    <t>…madera pague en bandera extrangera 6 rs. , y en española 4 re* 7 I Para la plaza de Regente de la Real audiencia de Granada , Tacante por 17 mrs. 81 Que los flejes de madera paguen por derechos de puertas los 2 rs. I [ascenso de D. José María Manescau á la de igual clase en la de Madrid, vengo y 29 mrs. señalados á cada arroba en la tarifa, y los flejes de hierro el 10 por I Jen nombrar al ministro electo de esta D. Rafael Urbina; para esta resulta al 100 del valor que señalen los vistas. Y 9-a Que no se haga novedad en cuanto! Joidor de la dé V…</t>
  </si>
  <si>
    <t>…z de la Rosa, Presidente del Consejo de Ministros. REAL PECHELO. Para la plaza del supremo tribunal de España é Indias, vacante PARTE NO OFICIAL. por fallecimiento de D. Juan José Recacbo, vengo en nombrar á NOTICIAS EXTRANGERAS. D. José María Manescau, régeme de la audiencia de Madrid. Tendréislo entendido, y lo comunicareis á cjuien corresponda—Esta ru bricado de la Real mano. =: En Riofrio a 14 de Agosto de 1854. = A (Continuación del correo anterior.) D. Nicolás María Garelly. DINAMARCA. MINISTERIO DE HACIENDA DE ESPAÑA. Copenhague 12 Je Juli…</t>
  </si>
  <si>
    <t>…es enviados á su corte, no hay duda S. M. la Reina Gobernadora se ha servido nombrar para la regencia de que actualmente la Gran-Bretaña carece de este lustre que en otro tiempo la la audiencia de Madrid, vacante por promoción de D. José María Manescau, distinguía. Mientras el gabinete de San James tiene en las cortes de—les demás á D..Francisco Vereá y Cornejo; para dos plazas de oidor de la de ValladoSoberanos embajadores deprimera clase, pues lord Minto está en Berlín, lord lid , vacantes por'fallecimiento de D. José Moreno Ramírez y D. Juan N…</t>
  </si>
  <si>
    <t>Manifiesta, D Francisco Casti</t>
  </si>
  <si>
    <t>D Francisco Casti Manifiesta</t>
  </si>
  <si>
    <t>…do, sargento 1.°,. D. Manuel Esteban; el sargehto l.° Pedro Tellez; el 2.° Miguel Alrambra, PROVINCIA DE TERUEL. y los cabos primeros Francisco Gamona y Juan Antonio Rodríguez: del re-, gimiento de Navarra, 6.a ligero, el' primer comandante D. Francisco Casti- Manifiesta su gobernador civil en oficio de 30 de Setiembre anterior, quo Ilon; los capitanes D. Andrés Herrera y D. Tadeo Lolikoski; el subteniento desde'26 á 29 del mismo mes existieron en aquella capital 109 enfermos," cu D. Francisco Galan; el sargento l.° D. Juan Valle; el cadete D. Francisco raron 37, y…</t>
  </si>
  <si>
    <t>Manifiesta, Francisco Casti</t>
  </si>
  <si>
    <t>Francisco Casti Manifiesta</t>
  </si>
  <si>
    <t>…o 1.°,. D. Manuel Esteban; el sargehto l.° Pedro Tellez; el 2.° Miguel Alrambra, PROVINCIA DE TERUEL. y los cabos primeros Francisco Gamona y Juan Antonio Rodríguez: del re-, gimiento de Navarra, 6.a ligero, el' primer comandante D. Francisco Casti- Manifiesta su gobernador civil en oficio de 30 de Setiembre anterior, quo Ilon; los capitanes D. Andrés Herrera y D. Tadeo Lolikoski; el subteniento desde'26 á 29 del mismo mes existieron en aquella capital 109 enfermos," cu D. Francisco Galan; el sargento l.° D. Juan Valle; el cadete D. Francisco raron 37, y…</t>
  </si>
  <si>
    <t>Manifiesta, Joaquin de Osma PROVINCIA DE ZARAGOZA</t>
  </si>
  <si>
    <t>Joaquin de Osma PROVINCIA DE ZARAGOZA Manifiesta</t>
  </si>
  <si>
    <t>…Lo traslado á V. E. para Uno tampoco pereció ninguna persona en el espacio de tres dias, y en los ressu conocimiento y el de S. M. Dios.&amp;c, Vitoria 19 de Noviembre del8^4*= tantes era cortísimo el número de casos funestos.Excmo. Sr.=Joaquin de Osma* ^ / PROVINCIA DE ZARAGOZA. Manifiesta su gobernador civil en oficio de 18 del presento que el día 16 ESTADO SANITARIO DEL REINO. se había cantado el Te Drum en aquella capital, y que de los partes recibi dos aparecía que solo en Fretcano existían seis convalecientes. PROVINCIA DE ALAVA. ANUNCIO. En oficio de 18 del mes actual dice el c…</t>
  </si>
  <si>
    <t>Manilla</t>
  </si>
  <si>
    <t>…dido la palabra , no contra el y que los pueblos prefieren en muchas ocasione* lea iodirecus, abundando yo fondo del artículo, sino solo para hacér algunas observaciones sobre su redac respecto de esto en la idea eapresada por el Sr. Manilla. ■■■•' ción. Seria una-ridiculez que yo , ni ninguno, dijese que los españoles no están «Por lo demás, debo insistir en l*i observaciones del Sr. Gándara y á pe : ‘ obligados á pagar las contribuciones. Por eso, y Siendo ¡poco amigo de diva- tar de la contestación que ha dado el Sr. González. Cuales…</t>
  </si>
  <si>
    <t>Manon</t>
  </si>
  <si>
    <t>…caso de adoptarse, debe ser del í&gt;» mis d¡gno&gt; compañcios tienen prevente* lov papeles pubbcos y docu modo que he dicho: lo demas es inútil ó peligroso. Admitiendo c&gt;tos princi mentos ofician* anunciadlas cuando la expedición del general Manon , recor pios con las limitaciones dichas , caminaremos en las reformas per una pen daran ¡a exuañezi que cauíó á tos franceses encontrar* con un pueblo qUe des diente suave, y no nos precipitaremos por los mismos derrumbaderos en que se de la Europa occidental se miraba como un entusiasta de ’.a li…</t>
  </si>
  <si>
    <t>Manosean, José María</t>
  </si>
  <si>
    <t>José María Manosean</t>
  </si>
  <si>
    <t>…ado durante el ejer Consejo de Ministros. (Núm. .188.) cicio. I Real decreto aprobando una nueva planta para la Secretaría de .Estado. (Id.) Tercer ejercicio. Los censores examinarán al opositor, respondiendo, este á nnmhranrlo á D. José María -Manosean regente de la audiencia de Ma- las preguntas que se sirvan hacerle por espacio-de hora y rtádia de tiempo, que «riu. se distribuirá ¡según el número de jueces que se nombre. Reales órdenes resolviendo que los reos de contrabando y fraude menores de Cuutetr ejeTcícia. El Opositar ejecutará prácticam…</t>
  </si>
  <si>
    <t>Manresa, Joaquín</t>
  </si>
  <si>
    <t>Joaquín Manresa</t>
  </si>
  <si>
    <t>450 , ) , tallón de Tiradora D. Joaquín Manresa; recomendando por fin muy. particu ción del canal de Urge!, para lo .cual ha dado pasos, y, también para la de una larmente ei valor, actividad, zelo y talentos militara que eó un grado rele carretera que desde Ja Pobia de Segur llegue á aquella capí tai. vante ha repetido en ata ocasión el brigadi…</t>
  </si>
  <si>
    <t>Manrique</t>
  </si>
  <si>
    <t>…rte de la enfermedad remante q^u® le acometo en Villacastin, y que en tregado el Sr gobernador civil al darle el suso propio. Cuanto Cité rest b eodo be presenta-a rn las sesione*. El Estamento quedó entecado de la exposición del Sr. Manrique, y los Se mandaron pasar á la convs on de podere&gt; los presentad s por el señor documentos y poder se mandaron pasar i la comisión de poderes. marques de Valladares, electo procurador por la provincia de Orense , acom El Estamento quedó enterado de una exposición del Sr. Severianp Paez pañados de lo…</t>
  </si>
  <si>
    <t>Manrique, Basilio García</t>
  </si>
  <si>
    <t>Basilio García Manrique</t>
  </si>
  <si>
    <t>…ener íntegra y sin menoscabo alguno el acta de unión entre Inglaterra e He venirlo en exonerar de las plazas de alcaldes madores de Je Irlanda. S. M. contestó dando gracias, añadiendo que también era su ánimo rez de la Frontera á D. Basilio García Manrique y a D. Domin conservar inviolable la alianza de los dos pueblos , y hacer cuanto estuviese en go Martínez Gal insoga. Tendréislo entendido , y lo. comunicareis á las facultades de la corona para remediar los males de sus súbditos irlandeses* quien corresponda.=Está rubricado de la Real mano.=En Aranj…</t>
  </si>
  <si>
    <t>Manrique, D Baltasar Carrillo</t>
  </si>
  <si>
    <t>D Baltasar Carrillo Manrique</t>
  </si>
  <si>
    <t>…enterado de un oficio del Sr. Secretirio del Despa sesioites por hallarse enfermos, acompañando certificación de facultativos. cho de lo Interior, al que acompañaba el original de la memoria de sU ramo, Igual exposición hacia el Sr. D Baltasar Carrillo Manrique , electo Pro leida en una de las sesiones anteriores. Se mandó arcfií'-ar dicha memoria. curador por la provincia de Guadalajara,acompañándola a) mismo tiempo con También quedó enterado de una cxpus-cu n del Sr. D. C'pri qo de la los documentos ju tificativos de su aptitud legal para desempeñar su…</t>
  </si>
  <si>
    <t>Manrique, Jacinta</t>
  </si>
  <si>
    <t>Jacinta Manrique</t>
  </si>
  <si>
    <t>…llos. Los fondos de propios hari decaído en lo general, porque la mayor parte Extracto del parte remitido por el gobernador civil de la provincia de León de sus rentas dimanan de dehesas que U disminución de la ganadería ha hecho D. Jacinta Manrique con fcefia de 30 de Abril último. casi improductivas: si se enagenasen estos terrenos y demas bienes de propios, Asegura que los campos han variado de aspecto con las lluvias, y si conti cree el gobernador civil que se conseguiría^ ventajas y se evitaría una adminis núan es de esperar .que habrá un…</t>
  </si>
  <si>
    <t>Manrique, Jacinto</t>
  </si>
  <si>
    <t>Jacinto Manrique</t>
  </si>
  <si>
    <t>…infantería que cotírrene: recopilación de penas militares con ar Extracto del pane dado por el subdelegado de Fomento de la provincia de reglo á ordenanza y re-ates ordenes, todas tas obligaciones desde las del soldado hasn León D. Jacinto Manrique, con fecha de 3 del actual. las de capitán y ayudante; abra?» la hasrcuccion del recluta., el manual de gu¿as, y le ademas de los generales para regimientos Contiene y advertencias infanrerta. la de Se han promovido varios expedientes de riegos en Valdoré, Velilla de Val- reglas ha cotí usar los se…</t>
  </si>
  <si>
    <t>…so atacar; nos decían que nos echábamos débilmente á los pies de Europa, y Extracto del parte remitido por el gobernador civil de la provincia de que nuestro sistema de cobardía exterior y Opresión interior no produciría mas león D. Jacinto Manrique con feché de 31 de Mayo anterior. que la miseria y la esclavitud Pues bien, por el tino y sabiduría del gobierno Ha conseguido que se extinga en muchos pueblos y se disminuya conside de Julio se ha evitado la guerra sin mostrar debilidad, y se ha hecho que reco rablemente en todos la langosta, el p…</t>
  </si>
  <si>
    <t>Manrique, Pedro</t>
  </si>
  <si>
    <t>Pedro Manrique</t>
  </si>
  <si>
    <t>…a.' (el ayuntamiento de) destruir el gobierno, y de otro lado el general Aramburu iba á oponerse á Fi Peñaranda de Bracamonte. (el alcalde mayor y ayuntamiento de) gueroa con la milicia que tenia á su disposición. El Sr. Heredia, gobernador Pedro Manrique y los 25 pueblos de su jurisdicción, (el ayuntamiento de) de Tucuman, trató de conciliar á estos dos rivales de intenciones tan diferen Pueblü de Cazalla. (el alcalde major y ayuntamiento de la) tes; pero su mediación no ha surtido efecto. Posteriormente algunos gefes adic Puente D. Gonzalo. (el alcalde…</t>
  </si>
  <si>
    <t>Mansfield</t>
  </si>
  <si>
    <t>…y lealtad en ¿Oposiciones, lord Deuman, gefede la Justicia, será canciller del Echiquier. la respuesta que dió al discurso del trono; deseo saber si los Sres. Secretarios Zn. 1721 sir John Pratt; sir Wiíliam Lee en 1754; en 1757 lord Mansfield, del Despacho adoptan ó no los principios que en dicha respuesta se bán mani y «1 mismo en 1757, todos gefes de la Justicia de Inglaterra, desempeñaron festado.” ttrnpóridmente el cargo de canciller del Echiquier en circunstancias semejantes Mr. Berryer expone en breves razones que los ^Diputados-s…</t>
  </si>
  <si>
    <t>Manso</t>
  </si>
  <si>
    <t>…U buena colocacioü y formación de las A medida que han llegado á JBúrgos tropas de reemplazo de las que pasa demás brigadas, que á los primeros tiros tomaron sus armas.y vitorearon i la ron de Castilla á la izquierda del Ébro, el general Manso ha dictado Us con Reina nuestra Señora con el auyor entusiasmo r en cbte estado, se empeñó un venientes medidas para regularizar y dar nuevo impulso á la e6caz persecución reñido combate; y Aunque mis ideas eran llamar al enemigo i terreno despeja* que h*n sufrido Merino y sus compañeros, abrigados…</t>
  </si>
  <si>
    <t>…embargo habia ya hecho sus visitas ai cuerpo diplomáti .tos de la ambición de los malvados cabecillas, no Jes daban crédito suponiéndo co, y todos los embajadores se las habían devuelto.0 (Gaceta de Augsburgo.} las falsas. i ^ El general Manso entro el día l.° en Burgos, y una columna de tropas al mando del coronel Carrera marcltó hacía Fancorbo. * ESPAÑA. Madrid S de Mayo. El cuartel general del general Rodil se hallaba el dia 1.® del corriente en Extracto del pirte dado con fecha de 3 de Abril por el secretaria de la Gouvéa, El anterio…</t>
  </si>
  <si>
    <t>…uque, el cual por el Parte recibido en la secretaría de Estado y del Despacho de la Guerra, momento ya no presenta peligro ni sospecha de que se repita. Ha dado impulso al camino litoral de aquella provincia por la parte orien El general Manso desde Burgos con fecha 4 del actual dice lo siguiente: tal hasta los confines de la de Granada. De los avisos que he recibido de la sierra resulta que no aparece la banda de Anuncia que existe en Velez-Málaga una mina de carbón de tierra, en el Mer ¡no: perseguido, cansado , desengañado sin duda de…</t>
  </si>
  <si>
    <t>…osos en Echarri, pasó por Vitoria para reunir mayores fuerzas, iW.1. En Estebanvela y Francos (existen algunos enfermos, aunque de se dirigió á JPeñacerrada, y entró en Logroño con 79 hombres, al mismo tiempo que lo verificaba el general Manso con una coluitpa el 7 por la tarde.' poca gravedad. |</t>
  </si>
  <si>
    <t>…1 ha corrido á Aramayona. Idem 19. El brigadier Iriarte habia reunido el 9 en las Encartaciones las tropas de su mando para obrar sobre el confia de Vizcaya. . Asi como U Cámara de Hcsse-Cassel, la de Hesse-Darmstadt se' halla El general Manso habia dado nueva colocación á las suyas, situando su en oposición contra el gobierno, relativamente á los gastos del estado de guer cuartel general en Búrgos, donde se hallaba el 10, y dando dirección á las que ra. La Cámara se queja de que el gobierno, contra lo dispuesto en la Consti obran activa…</t>
  </si>
  <si>
    <t>…rio. El presidente del colegio es el El general Espartero regresaba á Vizcaya, y parte de su fuerza se encami presbítero Hermans . antiguo profesor en Thiel y párroco de Uracene. So naba hacia el valle de Zuya, adonde marchaba el general Manso en persecu han nombrado seis catedráticos para enseñar filosofía y literatura, á saber : pa ción de las reliquias de la acción de la Molina. ra el primer año de filosofía Mr. Ubagbs, antiguo profesor de Bolduc ; para la cátedra de economía política y estadística Mr. Charles de Coux; para la de-his…</t>
  </si>
  <si>
    <t>…ttntá fn ti 4tspacho dt Í* Jhtfr*nf* &amp;*a{. ral en gtfe, dirigiéndose hácia el valle de Arratia para combinar sus moviProntuario del caneo llano Gregoriano para celebrar uniforntemente'los divfnds «Méátó* con los de las tropas del general Manso, que tenia su cuartel general oficios todo el afio, asi én las iglesias catedrales como en las parroquias f cortvenrof ért Subijaca el mismo dia, y. él dicho generpl en gefe á Vitoria , mientras el de estosTeióosi segyn práctica de la- muy santa y primada iglesia de Xoledo, Rrahc*— brigadier Jáureg…</t>
  </si>
  <si>
    <t>…l aviso, de que habla" el articulo precedente, Encartaciones por lo relativo I laspperaciones~mÍlítáres, después de^tener una al andador del monte-kntes de las primeras oraciones del anochecer, quien Jo conferencia en Haro con el general Manso él 15 , se dirigía á ponerse alfren- trasladará al diréctor presidente, á fin de que noticiándolo al enfermero que te de la brigada del coronel Quintana, reforzada/por otra al mando del Briga corresponda, pueda esta formar la nota de los dias de socorro que él doliente dier Aznar para obrar sobre l…</t>
  </si>
  <si>
    <t>Manso, J</t>
  </si>
  <si>
    <t>J Manso</t>
  </si>
  <si>
    <t>…completa derrota, petsiguiéndole hasta el pueblo de Riñe Merindades. Dios &amp;ce=Cuartel general de Sta. María de Cubo á 11 de Setiem ra , donde ya enteramente disperso ni presentaba objeto, pues no quedaba grupo bre de 1834~Excmo. Sr.—J. Manso. reunido, ni el cansancio de la tropa que comenzó su movimiento desde Foncea á las cuatro y media de la mañana, y llevaba ya doce horas de fatiga, per Capitanía general de Castilla la Vieja. — Erbio. Sr.: Ahora que son las mitía pasar mas adelante. cinco de la mañana parto para el valle de Cuartango…</t>
  </si>
  <si>
    <t>Manso, Jos</t>
  </si>
  <si>
    <t>Jos Manso</t>
  </si>
  <si>
    <t>…er Rodríguez, ocupando la izquierda el del 5.°, llevando cada uno de trascribir el que aquel me dé. Dios &amp;c. Burgos 12 de Mayo de 1834=Exce- «lio* lo* paisanos armados que necesitaban para recorrer el terreno que se les lentísimo Sr.=:Jos¿ Manso .2=Excmo. Sr. Secretario de Estado y del Despacho designó, con respecto a los antecedentes de haber sido encontrados en el día de de la Guerra.** ayer y en el mismo monte la miserable faccioncilla que vagaba por él. Después de haber batido todo el monte , se reconcentraron todas las fuerzas al punt…</t>
  </si>
  <si>
    <t>…ctiva per m-s tenido , creo innecesario manifestar á V. S. el comportamiento de cuantos secución en todos sentidos. Dios &amp;c Búrgos 14 de Mayo de 1834^=Excmo. componen la columna, puesto que V S. lo rió por sí misino. Sin embargo, Sr.==Jos¿ Manso. = Excmo. Sr. Secretario de Estado y del Despacho db la pernftame V. S. le exponga el denuedo y bizarría con que wcondfl^ffb'fíTos “"Guerra. señores oficiales , y el valor de la tropa : virtudes militares que si fuera dable no poseerlas los defensores de la Reina nuestra Señora las adquirirían obran…</t>
  </si>
  <si>
    <t>Manso, José</t>
  </si>
  <si>
    <t>José Manso</t>
  </si>
  <si>
    <t>…sar de que se están cobrando hace muchos años los arbitrios des 'que en el momento trascribiré £ V. E. Dios &amp;c. Burgos t&gt; de Julio de 1334 =: tinados para la ejecución de este proyecto. Su utilidad seria la mayor, pues fa "Excmo. Sr.=José Manso.=Excmo. Sr. Secretario de Estado y del Despacho de cilitaría el próximo embarque de mas de 7Sí? quintales de pasa, mucho aceite ■la Guerra. y otros frutos que salen anualmente para los países extrangeros, ademas del abrigo que ofrece á los buques en la dilatada costa desde Cartagena á los Al El coma…</t>
  </si>
  <si>
    <t>…rva Muguieta. elevarle al soberano conocimiento de S. M. la Reiea1 Gobernadora. Los generales Lorenzo y Figueras se hallaban aquel dia en la Borunda. Dios &amp;c. Cuartel general de Sta. María de Cubo 11 de Setiembre de 1834reF.xcmo. Sr.=José Manso.=:Excmo. Sr. Secretario de Estado y del Despacho Capitanía genera! de Castilla la nueva.=P. M. Excmo. Sr..- El comandan de la Guerra. te general accidental de la provincia de Guadalajara con fecha de hoy me dice lo que copio-=”Excmo. Sr.: El comandante de armas de la ciudad de Suu;nRilado 11 dt lot…</t>
  </si>
  <si>
    <t>…imrq^es £&gt;esde mañana se haUará está ciudad bajo eJ régítneti militar, V1 de Moncayo, capitán general do Castilla la Vieja; y para este destino den es del nuvot general austríaco piret. Acabamos dé saber h* , al mariscal de campo D. José Manso, que lo servía Interinamente. dado su conscntíiniéntp. (fxaee^» d&lt; AMgs&amp;wgú-y : ^ í - . ^ &gt;</t>
  </si>
  <si>
    <t>…o en hacer lo mi.mo con los de talles cuando los reciba. Dios guarde á V. E. muchos, anos. Cuartel géneral dé VE« ^ 8 &lt;Jeí presertte *e gozaba de budxía talud en dicha pro viada,, excepto» Burgos 20 de Setieinfare de J8ar4j=Exfm¿ Sr.=José Manso,arExcmo. S^Se- «n lo» pueblo* que mdíca cl sigotcme crctario de listado y del Despacho de la Guerra*” Parts- sanitario. «Excmo, Sr.: feo el momento de ir.i emprender I* marcha, recibo un pficio del brigadier í). Fermín de Iriarte , fecha de ayer en Medina de Pomar, ue contiene los detalles de la ac…</t>
  </si>
  <si>
    <t>…se dignará—- Sr. D. Román Marichalar. acordar las recompensas á que las conceptúe acreedoras-por tan bizarro com portamiento. Dios ócc.=rCuartcl general de Haro 24 de Octubre de 1834^=7 __ _______ - patrvTNCIA DE VAUABOUB. ¿remo. Sr.=José Manso^=Ezcm&lt;i Sr. Secretario de Estado y del Despache Sr. D. Rafael Faustino Sanz. de la Guerra. ■ Sr. D. Manuel Alvarez García. Excmo. Sr.: El teniente coronel D. bíarcíso CU vería, con fecha 23 dei PROVINCIA DE ZAMORA. corriente desde Meceneyes, me dice lo que sigue: «Excmo. Sr.: Habiendo salido á las…</t>
  </si>
  <si>
    <t>Manso.j, José</t>
  </si>
  <si>
    <t>José Manso.j</t>
  </si>
  <si>
    <t>…ecido manchas de langosta en las dehesas de Rubiales, Esdo la lealtad y valor de los vecinos de Villahoz. Dios &amp;c. Burgos 22 de Ma corriel y Salinas, ha dictado las providencias mas enérgicas para exterminarla. yo de 1834-=Excmo. Sr.=José Manso.j= Excmo. Sr. Secretano de Estado y oel Despacho de la Guerra. Se sabe por conducto fidedigno que el estado sanitario de la Habana y en El referido capitán general interino de Castilla la Vieja con fecha 22 de el resto de la isla era, en 2ü de Marzo último, el mas lisonjero que en igual Mayo actual d…</t>
  </si>
  <si>
    <t>Manta</t>
  </si>
  <si>
    <t>…habrá visto V. E. las disposi dro Aznar con el objeto que manifiesto á V. E. en el píete da e»ta no. he , he ciones acordadas para destruir la facción de lo* cabecillas Areilio, Las Heras, dado órden á la columna ya reforzada de D. Manta:! de \ ícente pira que -unMarrón, Cucviilas, y según algunos Víllareal, que habiendo abandonado el linúe también sin descanso la persecución ic los fugitivos , y les apuren cu tér comenzado ataque contra Haro, repasaron el puente de Briñas, y emprendie minos de exterminarlos completamente, como no…</t>
  </si>
  <si>
    <t>Mantiila, Belda y</t>
  </si>
  <si>
    <t>Belda y Mantiila</t>
  </si>
  <si>
    <t>…r* é infalible. Haciéndose a tiana liquidación formal entre 1* Conta Serrano (D. Francisco), conde dé las liaras, Palare*, Abaígnés, Diez Gon duría general dé distribución y la Intervención general del ejército; y Lea ella zález, Caballero, Belda y Mantiila; y en contra, los Sres, MiguerFoFo, Po resultará el'déficit verdadero del presupuesto de Guerra. • lo Monge, y marques de Falces.- ”Se ha hablado de mas sorpresas que las que yo he indicado: i la verdad Ei Sr. González (R Antonio): uEntro con suma descbnfiaflza en una no las tengo presentes; y aquí…</t>
  </si>
  <si>
    <t>Mantilla</t>
  </si>
  <si>
    <t>…smo Voto de Santiago , cedido á los caba Para proceder á la votación se leyó nuevamente la petición, y c! Sr. Me lleros de la Orden de este nombre.” drarlo dijo, que siendo uno de los que la habían firmado, era de parecerse su El Sr. Mantilla : « Esta petición relativa á que pagándose con el título primiese la ú.tima cláusula de la mAma, que dccia: semrj nite al presentado de merced de amigos al hospital de Santiago de Toledo una imposición equiva f.tra el Votó referí io: y concluye con las palabras: proponga ci&gt;n tan ra.'u-?, lente á l…</t>
  </si>
  <si>
    <t>…a censura; pero con sujeción á las leyes que reprimen loa jus, Calatravas &lt;Scc., tan preciosa institución, que no fue ciertamente causa do abusos. los desórdenes del año 23 , sino los esfuerzos de la facción enemiga de la li ' El Sr. Mantilla : «Yo quisiera que se declarase por el Estamento que no bertad, que produjeron la expedición liberticida de Angulema. se considerará este punto suficientemente discutido mientras hubiese algún se «Por último, es de notar que existiendo prévia censura á Cargo de censo ñor Procurador que tuviera pedi…</t>
  </si>
  <si>
    <t>…el amor, y subyugar los corazones, hé aquí el Navia Osorio* conde de Toreno , Orense , Redondo , Cuesta, Cosío, Melen- gran secreto de los Monarcas. dez , A greda , González Perez, López del Baño , Campillo , Anaya; conde de »»E1 Sr. Mantilla acaba de declamar contra las leyes de Partida que hacen Adanero, Romarate , Canals, S. Simón y Ayala. trascendentales á los hijos las penas en que hayan podido incurrir sus padres Los Sres. que desypiobaiuu el dictámen fueron: Rodríguez Vera, Abar- como traidores. Por mas que éstas leyes lleven el…</t>
  </si>
  <si>
    <t>…el expiesar esa vdea, que ya los seño rasco, Ulloa, Dorpecq, Tcxquellas, Cuevas, Miguel Polo, Medrano, mar res de la peticón se convienen en, retirar.” , ' ques de Montemievo, Alcalá Zamora, conde de las Navas, Vázquez Mo&gt;co-' Et Sr. Mantilla: «He pédidq ja.palabra, no para oponerme ai artículo so, Cotón y Zúñiga, Cano Manuel (hijo), Serrano (D. Ginés), Caballero, *n su fondo, sino solo por que creo que,su. práctica debe dejarse pira otro fjoSért, Tojedo, Martínez:de la Rosa, Bonel, González (D. Juan Gua.ber- tiempo mis lejano. Se dice…</t>
  </si>
  <si>
    <t>…sistieron en la misma idea que el Señor considerándola justa opinaba debía aceedcrse á ella, pasándose el oportuno avi Ochoa. so para el reemplazo de dicho señor. SI Sr. Domecq: «Yo creo que el Estamento no debe convertirse en El Sr. Mantilla dijo que este Sr. Procurador había hecho ya la misma so agente, y también creo que la comisión no debe hacerlo en tribunal. A una licitud hallándose casi ciego en las primeras sesiones del Estamento: que en comisión que duda, no se la debe obligar á que diga sí ó no. Mas de óü indi tonces la comisi…</t>
  </si>
  <si>
    <t>…lara fenecido el esa base de la deuda interior antes de proceder á la discusión del presupuesto litigio, y en libertad la finca ó efectos reclamados.” de Hacienda, pues de otro modo yo no entraré en ella, sino forzado por las .El Sr. Mantilla manifestó que en su entender había contradicción éntre circunstancias. Creo que no soy demasiado exigente, y que S. S. do tendrá difi los artículos 14 y 19 del proyecto y los 23 y 24, mediante á que en los pri cultad en acceder á mi. demanda por las razones qüe he expuesto.” meros se exigía para in…</t>
  </si>
  <si>
    <t>…la adición del Sr. Ferrer al art. 7.°, dijo y se aprobó el párrafo 4-° del dietámen de la comisión. El Sr. Secretorio del Despacho de Gracia y Justicia: «El artículo esta Sé leyó el párrafo S.°, que es respectivo á la adición del Sr. Mantilla al ba redactado en atrostérminos, creyéndolo mas arreglado á justicia. La recom art. 24. pensa del que ha contribuido á salvarlo es muy debida; y ya dije en la cqmi- El Sr. Secretario del Despacho de Gracia y Justicia: «Pido que doraÑon, 'que no hallaba inconveniente en-admitir la modificación del…</t>
  </si>
  <si>
    <t>…expre.e para aprobar el artículo, asi ..orno consecuencia natural. Se trata de nivelar á los empleados de una época con los ha aprobado el principio.” de las demas; y llamo muy particularmente la atención sobre este punto, sin El Sr. Mantilla: «De*pues de haber oido tantos y tan elocuentes ora tiendo mucho tener que indicar personas , porque podría parecer que trataba de dores, pocas ideas podrá añadir mi debii voz á las expresadas con (a! *ubl-nuabusar de la posición ventajosa de Procurador. Pero hasta el dia no han estado dad. Yo°sclo…</t>
  </si>
  <si>
    <t>…estado que lckestaba haciendo asi, añadió que se JEl Sr. polo y Monge • «Como individuo de la comisión diré ,con fran conformaba con la idea de ella. queza y sencillez las razones por qué la comisión ha hecho la adición de los El Sr. Mantilla dijo que sí se admitía la idea del Sr. Vega y Rió, queda- ' notoriamente mal opinados y ios viciosos. Sobre tres puntos ha* girado el dic— ria^en-cierto modo á disposición de los obispos el que hubiese ó no Milicia, timen de la comisión: primero, sobre la continuación de los mismos indivi pues orde…</t>
  </si>
  <si>
    <t>…de Gucbhard, concluyó diciendo que no debía ser recono «Dispuestos como estamos todos á emprender la obra de la regenencipa cido por ningún motivo, de la patria, creo que uno de los primeros conatos y deberes e» remover todos £1 Sr. Mantilla: «Hace ya días que. no»ocupamos en esta discusión tan los obstáculos que puedan impedirla; y por esto conviene que para consolidar importante ,jr en ella muchos Sres. Procuradores han indicado algunos arbitrios nuestro crédito vacilante se reconozcan las deudas contraidas. Por lo mismo, para que el…</t>
  </si>
  <si>
    <t>…que dejen de subsistir por falta de recursos es La mesa dió cuenta de haber nombrado individuos de la comisión espe tos establecimientos piadosos.” cial para el examen de reglas generales relativas á los presupuestos, á los Se Él Sr. Mantilla: «Hay una equivocación en esto: son dos contribucio ñores marques de Montevírgen, Rivaherrera, marques de Torremejía, Blanco, nes: la de un real por testamento, y la de dos por abintestato: y de ellas, co Carrillo de Albornoz, Istúriz, Cezar y marques de la Gándara. mo tales contribuciones, parece…</t>
  </si>
  <si>
    <t>…ión está en el caso de seguir el cutsq. seña to de una ley , que como todas elhs no puede establecerse sin la Inrciativa que lado en el reglamento.” pertenece á la autoridad rég»a y á la aprobación de las Cortes. Pero reconoce El Sr. Mantilla abundando en las mismas ideas que el Sr. Procurador qué en segundo Vugar que hasta que se declare abolido este Voto debe seguirse pa le Jubia precedido, analizó la palabra Voto, y á lo que se referia: demostró gando, sin entrar en la cuestión de sí ha sido bien ó oral impuesto; y de con la falsedad…</t>
  </si>
  <si>
    <t>…rmite que se la perjudique;” y si no lo decían, no dirían expiar sus crímenes; pues consagrados estos bienes á la amortización de la deu lo que deb an.” da del Estado, es imposible que haya limosna mas acepta, porque no hay un El Sr. Mantilla dijo que solo se oponía á la petición por los términos pobre mas pobre y necesitado qi^e la Nación. en que estaba concebida; y que le parecía mejor que para llevar á efecto lo que «Si los señores autores de la petición adoptan la idea que propongo de re en ella se pedia, se pusiera en practica la l…</t>
  </si>
  <si>
    <t>Mantilla, Ramón</t>
  </si>
  <si>
    <t>Ramón Mantilla</t>
  </si>
  <si>
    <t>…o oficial recomienda á D. Eusebio López y á D. Juan Ma mentosnuel Gallón, alféreces de Urbanos de infantería, á D. José Vardua, sargen «Todo lo que me apresuro á manifestar 2 V. E. para que renza á bien to 2.° de la misma arma, i D. Ramón Mantilla, á D. José Leiva y á Santia elevarlo ¿ la soberana consideración de S. M-, a fin de que vea con satisfac go Morquecho .Urbanos de caballería, y en particular al sargento 2.“ distin ción el denuedo y bizarría con que defienden sus derechos estas beneméritas guido de su partida D. José Marín que acre…</t>
  </si>
  <si>
    <t>Manu</t>
  </si>
  <si>
    <t>…wdoslón haberlo verificado , les párari pérjuiclo. terior el parte siguientes Nota. En i» Gaceta núm, 117, columna ?.*, linca 45, dice X)., Mamt&amp;t iVnri* ■ epidemia signe M «i» con baKtnre beaignidad. Lóe casos graves no- léase1, D. Manu*t Trltico, £N LA IMERRNTA REAL.</t>
  </si>
  <si>
    <t>Manuel</t>
  </si>
  <si>
    <t>…&lt;fc Indias del Cdntéjo EaÁ la plaza de dccanó^de la sección de Estado del Consejo Real de España é Indias, creado pqj defrqto »de 24 del presenráj Real'de España é Indias, creado por decreto de 24 del presente^ vengo én nombrar á D. Manuel dé la Bodega. Tendréislo entendí-* vengo eñ'ttómbrar á D. Eusebío Bar d ají. Tendréislo entendido , y do, y lo comunicareis i quien corresponda, er Esti rubricado'de la lo coattmioareis i quien corresponda. eéEstí rubricado de la Real Real mano.—fcn Aranjuez á 3tí de Marzo d* 1834-esA D. Ni-* tmvan…</t>
  </si>
  <si>
    <t>…desafcccíon,ó por sospechas fundadas lla áivisióp t&gt;. Joaquín Sombra, y el capitán D. Julián Bascaran’: de ella- Todos los, que, en el día ocupan destinos considerables ea los oficiales de las compañías de granaderos el 'cápitan D. Manuel los diversos ramos de la administración, son hombres decididos por ; Fuentes Toro, y subteniente ©. Manuel Benedicto, que pasaron la causa legítima de Isabel ir. &lt;Cuáles pues, son esos fundamen~r_ el puente á la cabeza de su tropa: el sargento l.° del regimiento tosí Nosotros al contrario creemos, y he…</t>
  </si>
  <si>
    <t>…ión que todos admiramos en esa claró en una junta que se celebró en Toledo, y en donde llevó la palabra pri tierra clásica de la libertad bien entendida, del patriotismo y de toda suerte mero D. Lope de Haro, y después el Infante D. Manuel , que pronunció un dis de virtudes públicas y privadas. curso notable que nos ha conservado la crónica del Rey D. Alonso. Las Córtes »En la moderna Francia lo hemos visto: hace cuatro años que arrojó del de Segovia afianzaron y legitimaron el juicio de la junta de Toledo, recono trono á Cárlos x, a…</t>
  </si>
  <si>
    <t>…do del catafalco, basta la parte superior ó cúspide da ces D. José Perez y D. VílentiniUrbano: el dorado y bronceado de flameros, la referida pirámide, tenia 75 pies. arandelas y demas adornos de 1# tapicería, fue desempeñado por D. Manuel Las alegorías de escultura y pintura que determinaban el objeto de este mo Alvarez: la carpintería de toda clase ejecutada en el catafalco, coro y todas las numento, eran: primero , 4 estatuas en los nichos del cuerpo principal, que demás obras adjuntas estuvieron á cargo de los maestros D. J uüan Zava…</t>
  </si>
  <si>
    <t>…ios para destinos análogos á dores del Reino, sbxtaos. Con cuyo Real pieymiso y beneplácito-, to rfti: áWtetfor'cátr'fera; y vengó eñ conferir el gobierno civil de la mis marán asiento los Proceres y Procuradores. ma .provincia á.D. Manuel de la-Pezuela, marques de Viluma, ac- Art. 11. En seguida dirá en alta voz el Maestro de Ceremonia» lf¡íifréoI)dc^áidbf'j(áva|. de la provincia de Santander. Tendréislo en— lo siguiente; S. AI. se digna dar permiso fiara que todos los circunstttéñdmq, y' dispondréis lo. necesario para su cumplimiento.…</t>
  </si>
  <si>
    <t>…tro de un Dios Concluida la lectura de la acta de la sesión anterior dijo el Sr. Gircíá de paz. Herreros que en ella no se hacia mérito de una proposición que S. E. trató de En los mismos términos lo quedó del remitido por el Sr. D. Manuel de hacer, y no tuvo tiempo de escribir, porque al tiempo de hacerla había toma** la Bodega, haciendo presente que el mal estado de su salud no le permitía asis jáo la palabra el Excmo. Sr. Secretario de Estado y del Despacho, fijando la tir a las sesiones del Estamento; pero que lo baria lafi protuo c…</t>
  </si>
  <si>
    <t>…or quedó apro El Sr. Presidente manifestó que le parecía que la proposición del Sr. Cues bada. h ta no estaba en su lugar, y que después de entablada la discusión, al tiempo Se mandaron pasar á la comisión de Poderes los del 'Sr. D. Manuel de de votar el dictámen»de la comisión, seria mas oportuna. ! Villachica, electo Procurador por la provincia de Zamora , con los documen El Sr. marques de Espinardo: «La comisión coincide con las ideas del tos justificativos de su aptitud legal. Sr. González, y no dió su dictámen conforme á las mismas, p…</t>
  </si>
  <si>
    <t>¿/ —^-Escriben de Ancona.con /echa del-18, refiriéndose á noticias comunica alcalde del crimen de la misma chanciller a, vacante por salida de D. Manuel das por un.barco .de vapor venido de Corfú, que el gobierno griego había man Perez Seoane, a O. Eviris'o Paevo de Urr-esr pira la de oidor, vacante en la dado prender -30 personas mas como cómplices en la conspiración de Zavalla,' mdiencia de Sevilla por salida dé D. .Imn Amonio Almagro, 4 D. Isidoro C…</t>
  </si>
  <si>
    <t>zadoro¿ un pequeño olivar inmediato al caminó de Logroño; en esta situación .consecuencia reiteré mis órdenes: a "fin de que el comandante D. Manuel de nos hallábimos, cuando la caballería enemiga se presentó en la llanura, soste- Vicente acelérase sú marcha, y para que la verificase con tódo acierto y pudra? ' ntda a derecha é izquierda jporsus batallonas de infantería, y estos cqn sus tirado se caer sobre el enemigo, de molo que sé llenase el ob…</t>
  </si>
  <si>
    <t>…ento de) gobiernos han principiado á reorganizar su ejército, disposición que requiere ■ Losada, (el presbítero D. JoseQ uniforme y armamento nuevo. Dicen que la tropa napolitana es muy buena ,-y tj Paredes, (el presbítero doctor D. Manuel de) que tiene aire marcial. El Rey fi,a mucho su atención en el ejército; por las S Piedra-Buena, (el alcalde mayor y ayuntamiento de) mañanas muy temprano va á ios cuarteles y asiste á los ejercicios, cosa que I Redondela. (el ayuntamiento de) alienta sobre manera al soldado. Los romanos considerados…</t>
  </si>
  <si>
    <t>…e previene que de Gor, duque de Rivqy, marqués de Guadalcázar, obispo que fue de Ma que en valiendo una Cósa mas de 500 florines ■, debe pagarse cierto derecho por llorca , obispo dé Córdoba, conde de Ofalia, márqnet 'rfc Espejo, D. Manuel la traslación de su dominio, y si no, no es válido. El dueño de una casa fia , García Herreros, duque dé Osuna y conde de'Gueadulain, advirtiendo ‘que se querido-haberme donacion dé ella', per¿ áe ha omitido dicha (brmalidad: en les avisaría del dia y hora que S. M. se dignase señalar. ‘esta hipótesis…</t>
  </si>
  <si>
    <t>….. . . ., Valencia. fjificante facción de Merino; la que ni prospera ni puede verificarlo por las me 200........... .... 500....................... .... Zaragoza. didas que contra ella se adoptan, añadiendo el infatigable coronel D. Manuel 42/........... Coruña* Obregon desde el Burgo de Osma en oficio de 9, que por efecto de la muy pe 1/07. .... ......... 500....................... .. .. Valencia. nca ; y coi tinuida batida hecha en toda ia sierra consiguió dbpersar compléta me te la ¡-oca y miserable infantería que correspondía á a…</t>
  </si>
  <si>
    <t>…tienen denes del brigadier D. Fermín Iriarte* la 2.a á las dét coronel I&gt;. Juliap Oliun lugar distinguido en el tratado de 22 de Abril. Pira demostrarlo no tene vares Manzanedery -la- 3.a, que servirá de reservará las detcoroncl D..Manuel mos necesidad de mas,, que de citar las estipulaciones, del tratado T que asegu Hinojosa da SjIcedo: dichas brigadas constad de una fuerza proporcional de ran una completa amnistía en Portugal, y una suerte cómoda á los dos Prín caballería , y obrarán según dondélo reclamen las necesidades. Explicó…</t>
  </si>
  <si>
    <t>…e una tendencia á combatir di do S. M. la Reina Gobernadora nombrar para la plaza -de oidor de chas innovaciones. Es indudable que los habitantes ó las tropas son los autores la audiencia de Granada , vacante por fallecimiento de D. Manuel del incendio; no se sabe sin embargo s¡ este incendio puede compararse con el José de Vilcbes, á D. Antonio Andeiro y Aldao , alcalde del crimen de Tartarbazarzick, pero se cree que en ambos pueblos el descontento ha pro de la de Barcelona. venido de la organización de la milicia* {Sdettsagero.) Por ot…</t>
  </si>
  <si>
    <t>…do de) de las Españas, lo ha debido ser particularmente de los subdito-. He aquel Mo Paltnzuela. (el ayuntamiento de) narca, cuya vida preciosa era tan cara i la heroica nación que tema la di-h.i de Paredes, (el presbítero doctor D. Manuel de) gobernar. La religión , úni^o lenitivo del dolor que ha causado su perdida, ha Paterna del Campo, (el ayuntamiento f clero de) podido solo consolar á las comunidades seculares y regulares de las iglesias es Peñas de S. Pedro, (el gobernador deL Castillo de las) pañolas que residen en esta capital…</t>
  </si>
  <si>
    <t>…iente. . , &gt; de juzgado corregidor de esta teniente el Sr. Balsera, y«criba&gt; villa, en, cuyo --tvor «Las casas están situadas de 50 á 100 varas del principal canal de la ría; • Burea se nía la,testamentaria de número de pendiente D. Manuel halla Alelo de Sanz y y no habiéndose hecho mas excavaciones, es muy probable que cuando el res Gómez de Méneses, vecino que firé de está corte, se ha señalado para celebrar uftajÚQta to del terreno se abra en busca de oro, se harán nuevos y mas interesantes general de los acreedores á la misma tes…</t>
  </si>
  <si>
    <t>…el Asimismo se ha concedido licencia á D- Alejandro Moronati para abrir comnel , primer comandante del primer regimiento de la Guardia Real pro en Madrid otra de igual clase para niños bajo las bases del reglamento que ha vincial D. Manuel l lórente, titulada A/cr,Jo ja,:l de ierantar píanos r de presentado, y ha merecido la aprobación de S. M. agrimensura , re intentándose dichos fondos de ios castos que ocasione la im presión con ei produjo He la venta de ia misma obra. En atención á las circunstancias de D. Pedro Agustín Tamayo, v…</t>
  </si>
  <si>
    <t>…funciones judiciales. De Real órden lo comunico á V. E. para Para la de Gracia y Justicia á D. Ramón López Pelegrin, su inteligencia, y que se sirva disponer su cumplimiento. Dios decano; D. José Cafranga; D. Vicente Gano Manuel; D. Manuel uarde á V. E. muchos anos.’Madrid 20 de Abril de 1834-mJosé García Herreros; D. José Ayuso. e Imáz.=Sr. presidente del tribunal supremo de Hacienda. la de al marques de de Nueva Espa Para la Reunión Guerra al general decano; á loa PARTE NO OFICIAL. Francisco teniente Javier Abadía; D. ña, mariscale…</t>
  </si>
  <si>
    <t>…dicha población; que en otros pueblo; de la provincia se babijin aianifestado caso# sospechoso! . y. concluye acompañando el si guien» Extracto del parte remitido por el gobernador civil de la provincia do Pattrtumitaria. Burgos D. Manuel de lá Rivaherrera con fecha de 9 de Julio-actual. Siendo muy difícil hacer en el dia directamente grandes mejoras y progre Pueblos. Visa. Zafermos. Curados. E«ÍIlCÍ¿)t sos en esta fuente dé la riqueza pública, y persuadido de que los medios indi— rfctósque para su fomento pueden emplearse son acaso lo…</t>
  </si>
  <si>
    <t>…qup ya fue nuestro Rey y Regente, ocupa hoy" el trono por el eapitan de cazadores D. Pedro Juan de Salcedo, el teniente D.Faustino de sus mayores, y como delicia y esperanza de los portugueses les afianza el Solís, y subtenientes D. Manuel,Moscoso y D. Dionisio Olgado continuaron inas próspero reinado, y á la academia Real de Marina y Comercio que ve la persecución por nuestra izquierda hasta el pueblo de Santibañez del Val, nimos á representar promete la misma protección que merecieron á su augusr. de donde regreso batiendo los mont…</t>
  </si>
  <si>
    <t>…vista dé el fallo. qu&lt;¡ cor Buenos-Aires 18 dt Abrít. ...... . v t"W '™!:V -:-".r _■■■■■-:''-r T \ "' ' ' ," responda. . 7 va : Ningún sócio podrá hacer públicos los juicios que la sociedad promue- , i 415r-" miintro «fe Gtéién^ D. Manuel j. García. 3. a V' El qué firma, é nombre de la sociedad de barquero* 1 eq el grato deber , va por. esta causa, ni por ninguna otra, so pena de incurrir en la multa que: es tablece, el artículo l.°. . . ■ - de liacer it'supCTior gobierno una manifestación de loa sentimientos que la ani man+^de los…</t>
  </si>
  <si>
    <t>…anía de 5aenz Tobia, se cita á la, personas que por cualquier concepto se piaron 4 saquear el pueblo; mas e) depositario de policía, el estanquero y otros créan con derecho á loa cortos bienes que han quedado por fallecimiento de D. Manuel dos hombres mas asociados 4 Don José Gallego, sargento l.° retirado, y al Tomas de Beascoechea,, natural de Bilbao v que falleció en esta corte: para que en el preciso términode 20 dias acodan á deducirle en.la aúdlencla del expresado juez¡ en el presbítero D. José Morilla, se arrojaron sobre los rebel…</t>
  </si>
  <si>
    <t>Manuel, Amonio Cano</t>
  </si>
  <si>
    <t>Amonio Cano Manuel</t>
  </si>
  <si>
    <t>…oficial que publicase las te; duque de Alba, presente; arzobispo de Burgos, presente; marqués de Ca— mismas sesiones, debía á su parecer dar una reseña de lo ocurrido en la sesión marasa, ausente; marques de Candelaria, ausente; D. Amonio Cano Manuel* precedente, estando siempre pronta a hacer en dichas actas las correcciones exi enfermo; duque de Castroterreño, presente; marqués de Cerralvo, ausente; gidas por los Sres. P róce res. conde de Clavijo, presente; obispo de Córdoba, presente; D. Ramón Gil de El Sr. marques de Guadalcazaf manifestó…</t>
  </si>
  <si>
    <t>Manuel, Antonio Cano</t>
  </si>
  <si>
    <t>Antonio Cano Manuel</t>
  </si>
  <si>
    <t>…uede servir de cita particular la confirmación De otro por el que el Sr- Presidente del Consejo de Ministros traslada del Rey Alfonso xi, en que refiere la protección del santo en sus batallas con una Real órden comunicada al Sr. D. Antonio Cano Manuel, en la que S. M. Albohacen, Rey de marruecos, y con el Rey de Granada cerca de Tarifa. la Reina Gobernadora le concede la licencia que babia solicitado para- pasar nPor lo demas, apoyando yo la indemnización inmediata á los individuos 4 Chinchilla , pueblo de su naturaleza, 4 restablecer su salud.…</t>
  </si>
  <si>
    <t>…san á asistir á la deliberación de un • La 6rman los Excmris» Sres marques de las Amarillas, duque de Bervvik negocio en que la Nación unida con S. M. y con su Gobierno va á ejercer un y Alha/dóqtie de Ni¿&gt;l'ej*$, duque de Rivas, D. Antonio Cano Manuel, acto de los mjs grandes. ; Y hemos de mirar con indiferencia , repito , qué el marquet de Gu-dócazar , d^que de Veraguas, conde de Teba , cende de Hu número de esta corporación e&gt;te falto,sin hacer una excitación á los individuos manes, conde de Parsent , marquen de Montealegte , conde de Oñaie y…</t>
  </si>
  <si>
    <t>…refijas en la citada ley fundamental, á los muy RR. arzobispos, menciri, bibliotecario mayor; D. Manuel José Quintana, secretario RR. obispos, títulos de Castilla y personas elevadas en dignidad é de la interpretación de Lenguas; D. Antonio Cano Manuel, del Con ilustres por sus servicios y merecimientos, que se expresan á conti sejo de Estado; D. Miguel Tacón, teniente general de los Reales nuación; El duque de Bailen, cajútan general de los Reales ejérci ejércitos, capitán general de la isla de Cuba; conde de Ezpeleta, te tos, del Consejo de Gob…</t>
  </si>
  <si>
    <t>…ate; ca , el alivio concedido á los pueblos de varias exacciones onerosas, marques tic StarCruz; obispo de Córdoba; D. Justo María Ibar-Navarro; du y otras mejoras que se están preparando, os mostrarán mi solícito . que dé Rivas; D. Antonio Cano Manuel; arzobispo de Méjico; conde de Monanhelo, y ofrecen ya á la Nación las mas lisonjeras esperanzas. No terron; duque de Medlnaceli; conde de Atarés; marques de la Candelaria de »e ocultará sin embargo á vuestra ilustración y prudencia que no Yarayabo; condé de Sástago; duque de Hijar; donde de Humane…</t>
  </si>
  <si>
    <t>…sidente, que aun que dicha comisión se ocupaba incesantemente en este trabajo, no hab a podido StTAXSMTO rS 109 PftÓCB&amp;BS DBL XBINO. todavía concluirle; pero que lo presentaría á la mayor brevedad posible El Excmo. Sr. Secretario D. Antonio Cano Manuel hizo presente que aun Sesión del dia 28 de Julip, no se había remitido por el ministerio al Estamento copia autorizada del dis curro de apertura de las Cortes. Leída y «probada el acta de la sesión anterior, se dió cuenta del dictamen El Sr. duque de Rivas dijo que esta falta podría muy bien ser ef…</t>
  </si>
  <si>
    <t>Manuel, Cano</t>
  </si>
  <si>
    <t>Cano Manuel</t>
  </si>
  <si>
    <t>…nocerse. ¡Cómo pudo creer que el reas y Miralda, Atocha,Cuevas, Tosquellas, Alcalá Zamora , Pedrazas, con ^Estamento lo aprobase! En mi concepto jamas debió figurársele, porque enton de de las Navas, Bermudcz de Villar, Belmonte, Caballero, Cano Manuel y ces seria preciso aprobar también los empréstitos de D. Cirios. Por mi parte Chacón , Cezar, Toledo , PiZarro , Heredia, Santa Fe , Aranda, Serrano (Don no encuentro diferencia entre las juntas facciosas de las provincias sublevadas y Francisco), Fernandez Blanco, Mantilla, Montevírgen, Miranda y O…</t>
  </si>
  <si>
    <t>…gena, conde de Casasarria, D. Manuel Ibar Navarro, diese mas latitud, tanto al discurso dei trono, como á la cootestacioa. Jr otros varios Señores. ” Al examinar este discurso tengo la satisfacción de darle los debidos elo £1 Sr. Secretario Cano Manuel hizo presente que siendo diferentes las so gios por encontrar en él una franqueza, un abandonó maternal que encanta, licitudes .¿levadas al Estamento, motivadas unas por falta de salud y otras por una confianza tan ciega que llenan los deseos de la Nación por la expresión de ' diversos' motivos, no…</t>
  </si>
  <si>
    <t>…escender con los deseos de los ilustres Prócera, contestando a sus pre ños atentados, por confiar en la promesa augusta de la Reina Gobernadora. guntas con la única cortapisa de guardar reserva en le» casos en que asi lo exija El Sr. Cano Manuel: o La comisión ha trazado el cuadro de nuestra si el bien público, ó en que las negociaciones pendientes pudieran comprometerse tuación interior; pero tratando de las ocurrencias lamentables de los días 17 y por una indiscreción intempestiva. Mas cabalmente la cuestión de Portugal 18 del pasado Jul…</t>
  </si>
  <si>
    <t>…tos que no se tuvieron presentes en la discusión que se verificó ea Acto continuo se procedió al nombramiento de un secretario interino en este Estamento, han resultado las cantidades que se habían recibido por la ti ausencia del Sr. Cano Manuel, y precedida la acostumbrada votación , resultó tulada junta de Urgel; y se propuso que se descartasen de dicho contrato estas electo en primer escrutinio por 48 votos el Sr. conde de Sástago, habiéndose cantidades como percibidas por cuenta de ese empréstito en las términos que repartido los resta…</t>
  </si>
  <si>
    <t>:'r SUPLEMENTO Jl , ’ 1 A LA GACETA DE MADRID DEL SABADO 9 DE AGOSTO DE 1834 — — ' '' ' ■ ■■■ i n p —r----,, --------------------- CORTES. El Sr. Cano Manuel apoyó et parecer del Sr. duque de Riva», fundán dose en que el negocio-era de la mas grave lrascendencia , y que de no acudir USTASIKKTO OX rSÓCBXX». 1 podían resultar grandes inconvenientes. \ El Sr. marques de las Amarillas dijo que en este caso eral menester hacer Sttion del día 8 de Agoito. una…</t>
  </si>
  <si>
    <t>…i D. Cirios; habiendo recaído para la primera el nombramiento de decano en el Sr. Ochoh, y el de secreta Dictamen presentado al Estamento de Procuradores, del reino por rio en el Sr. Bendicho; y para la segunda el de decano en el Sr. Cano Manuel la comisión de Hacienda en lí de Setiembre de 1834.(padre) , y el de secretario en el Sr. marques de la Gándara. La comisión de Poderes dtp cuenta de haber examinado los de D. Este Señores: Al entrar en el exámen del proyecto de ley presentado por el ban de Ayala , electo Procurador por la isla de Pue…</t>
  </si>
  <si>
    <t>…L. ni esté revelarlos; aquello á que se quiere de Oca, Istúriz, Tosquellas, Pedrajas, conde de las Navas, Sánchez Toseano. dar ahora ese nombre de secreto, ea cosa sencillísima, y no tengo dificultad jta Colon, Flores, Bel monte, Caballero, Cano Manuel (hijo),,Porret, Carrillo decirla. El Gobierno en vista de los estados y noticias pasadas por la mayor- Manrique ,Ferrer, Pizarro, Hereda, Torres Solanot, Acuña, Diez Gionzalez, domia mayor, fijó en 3S millones la cantidad necesaria*, y esto a lo que iba i Blanco, Mantilla, marques de Montevírgen, F…</t>
  </si>
  <si>
    <t>…papeles, vengan á $nUpsq*en^en^jlrdp ñyl»a ¡jleOT^ ¿asy|rqna comisión * no para que se abriese una discusión sobre después de pasado el compromiso.” * ~íos actos def Gobierno , sino para que quedasen los Fróceres enterados por EL Sr. Cano Manuel dijo, que siendo el asunto de tan grave importancia, los'datos que les suministrase la comisión. - nunca se opondría á que se discutiera la petición por separado, á cuyo parecer , El Sr. Búrgos contestó que nunca fue su ánimo se ábríese discusión sobre adhirió el Sr. Burgos diciendo que el Sr. duqu…</t>
  </si>
  <si>
    <t>…erían dejar de asistir yéndose otro oficio del Excmo. Sr. Secretario-de Errado en que daba cuenta al Estamento si fuese bastante excusa la alegada por aquel. de la concesión de esta Real licencia. Con este motivo expuso El Excmo. Sr. Cano Manuel, apoyando al Excmo. Sr. duque de -Rivas» El Excmo. Sr. duque de Rivas , que estando acordado per el Esta dijo: que pudo alegar la excusa que abora presenta clrnarques de Camirasa an mento que ningún Sr. Prócer pudiera ausentarse de él sin licencia del mismo, te* de jurar, pero no después de hiber m…</t>
  </si>
  <si>
    <t>…rminación con arreglo á las leyes ante los competentes- juz gá, Conde de Sástago / conde de Puñonrostro, marques de Guada (cazar, duque gados de la Real jurisdicción ordinaria, admitiéndose á los interesados las ape de Veraguas ; Sr. Cano Manuel, duque de Rivas y Sr. Presidente. laciones para ante los respectivos tribunales- superiores.. Aprobado. - ~ Lo» Excmos. Sres. que no aprobaron fueron: Sr. obispo de Lugo, mar Art. 4*° Los juicios que se establecen después de publicada la abolición ques de Sta- Cruz y S. Esteban, conde de Salvatierr…</t>
  </si>
  <si>
    <t>…n que S. S. ha proppestp; porque de no hacerse asi vamos cha , García Carrasco, Ulloa, Cuevas, conde de las Navas, Alcalá Zamora, á tropezar con la dificultad de su primer artículo. Esto es claro, es evidente; Pedrajas, Belmonte, Caballero, Cano Manuel (hijo), Toledo, Pizarro , Diez peto este ea un escollo que de ningún modo podemos evitar; porque bien se González, Fernandez Blanco, Mantilla, marques de Montevírgen, Miranda ríate del proyecto de ley presentado por el Gobierno, bien del dictámen de y OI medí lia, Calderón de la Barca, Martel, Lasa…</t>
  </si>
  <si>
    <t>…ista , repartidos en la forma siguiente: el Sr. Clemencia con 43 votos; el Sr. duque de Rivas con el Sr. marques Sres. Redondo 16 votos;‘Mcdrano 32; Lasanta 56: Aranda 29; marqués de Guadalcazar con 30; el Sr. Quintana con 13; el Sr. Cano Manuel con 2i; de Espioardo 21 ; Atocha 21 ; Veg&gt; y Rio J; Miguel y Polo 3 ; Cr-raldo 14* el Sr. duque de Veraguas con 7; el Sr. conde de Parsent con 3; el Sr. marques Martel 10; Bcida 2; marques de Somcruelos 2; marques de Falces 2; La de la Candelaria con 3; el Sr. Martinez con 1 ; Sr. Burgos con 3; duq…</t>
  </si>
  <si>
    <t>…cha, ca ; siendo mayores 1» garantías de afabilidad y de órden; cesando toda espe García Carrasco, Alcalá Zamora, Pedrajas, conde de las Navas, Belmonte, cie de recritmnaciona por lo pasado; y entrando con paso firme en el camino Caballero, Cano Manuel (hijo), Cezar, Toledo, Pizarro, Aranda, Serrano de las leyes, que corten de raíz esos'mala que todos lamentamcs.” (O. Francisco), Diez González, Blanco, Mantilla, marqua de Montevírgen, Habiéndose pedido por un Sr. Procurador que se preguntase si el punto Miranda y Olmedilla, Calderón de la Barca,…</t>
  </si>
  <si>
    <t>Manuel, D</t>
  </si>
  <si>
    <t>D Manuel</t>
  </si>
  <si>
    <t>…inistro de un Dios Concluida la lectura de la acta de la sesión anterior dijo el Sr. Gircíá de paz. Herreros que en ella no se hacia mérito de una proposición que S. E. trató de En los mismos términos lo quedó del remitido por el Sr. D. Manuel de hacer, y no tuvo tiempo de escribir, porque al tiempo de hacerla había toma** la Bodega, haciendo presente que el mal estado de su salud no le permitía asis jáo la palabra el Excmo. Sr. Secretario de Estado y del Despacho, fijando la tir a las sesiones del Estamento; pero que lo baria lafi protuo c…</t>
  </si>
  <si>
    <t>…terior quedó apro El Sr. Presidente manifestó que le parecía que la proposición del Sr. Cues bada. h ta no estaba en su lugar, y que después de entablada la discusión, al tiempo Se mandaron pasar á la comisión de Poderes los del 'Sr. D. Manuel de de votar el dictámen»de la comisión, seria mas oportuna. ! Villachica, electo Procurador por la provincia de Zamora , con los documen El Sr. marques de Espinardo: «La comisión coincide con las ideas del tos justificativos de su aptitud legal. Sr. González, y no dió su dictámen conforme á las mismas, p…</t>
  </si>
  <si>
    <t>…yuntamiento de) gobiernos han principiado á reorganizar su ejército, disposición que requiere ■ Losada, (el presbítero D. JoseQ uniforme y armamento nuevo. Dicen que la tropa napolitana es muy buena ,-y tj Paredes, (el presbítero doctor D. Manuel de) que tiene aire marcial. El Rey fi,a mucho su atención en el ejército; por las S Piedra-Buena, (el alcalde mayor y ayuntamiento de) mañanas muy temprano va á ios cuarteles y asiste á los ejercicios, cosa que I Redondela. (el ayuntamiento de) alienta sobre manera al soldado. Los romanos considerados…</t>
  </si>
  <si>
    <t>….......... . . ., Valencia. fjificante facción de Merino; la que ni prospera ni puede verificarlo por las me 200........... .... 500....................... .... Zaragoza. didas que contra ella se adoptan, añadiendo el infatigable coronel D. Manuel 42/........... Coruña* Obregon desde el Burgo de Osma en oficio de 9, que por efecto de la muy pe 1/07. .... ......... 500....................... .. .. Valencia. nca ; y coi tinuida batida hecha en toda ia sierra consiguió dbpersar compléta me te la ¡-oca y miserable infantería que correspondía á a…</t>
  </si>
  <si>
    <t>…Fernando de) de las Españas, lo ha debido ser particularmente de los subdito-. He aquel Mo Paltnzuela. (el ayuntamiento de) narca, cuya vida preciosa era tan cara i la heroica nación que tema la di-h.i de Paredes, (el presbítero doctor D. Manuel de) gobernar. La religión , úni^o lenitivo del dolor que ha causado su perdida, ha Paterna del Campo, (el ayuntamiento f clero de) podido solo consolar á las comunidades seculares y regulares de las iglesias es Peñas de S. Pedro, (el gobernador deL Castillo de las) pañolas que residen en esta capital…</t>
  </si>
  <si>
    <t>Manuel, D Antonio Cano</t>
  </si>
  <si>
    <t>D Antonio Cano Manuel</t>
  </si>
  <si>
    <t>…es puede servir de cita particular la confirmación De otro por el que el Sr- Presidente del Consejo de Ministros traslada del Rey Alfonso xi, en que refiere la protección del santo en sus batallas con una Real órden comunicada al Sr. D. Antonio Cano Manuel, en la que S. M. Albohacen, Rey de marruecos, y con el Rey de Granada cerca de Tarifa. la Reina Gobernadora le concede la licencia que babia solicitado para- pasar nPor lo demas, apoyando yo la indemnización inmediata á los individuos 4 Chinchilla , pueblo de su naturaleza, 4 restablecer su salud.…</t>
  </si>
  <si>
    <t>…mo. Sr. Presidente, que aun que dicha comisión se ocupaba incesantemente en este trabajo, no hab a podido StTAXSMTO rS 109 PftÓCB&amp;BS DBL XBINO. todavía concluirle; pero que lo presentaría á la mayor brevedad posible El Excmo. Sr. Secretario D. Antonio Cano Manuel hizo presente que aun Sesión del dia 28 de Julip, no se había remitido por el ministerio al Estamento copia autorizada del dis curro de apertura de las Cortes. Leída y «probada el acta de la sesión anterior, se dió cuenta del dictamen El Sr. duque de Rivas dijo que esta falta podría muy bien ser ef…</t>
  </si>
  <si>
    <t>Manuel, D Joaquín</t>
  </si>
  <si>
    <t>D Joaquín Manuel</t>
  </si>
  <si>
    <t>…se hallaban un número mente que hab an sido insuficientes todos mis vehementes esfuerzos, sin los :e- considerable de muchachos de tierna edad, Jos cuales en vez de recibir en las comendab'es y extraordinarios del muy bencmé ito doctor D Joaquín Manuel escuelas la educación civil y religiosa que conviene á la juventud, y de aplicarse de Quintana , y teniente comandante del prestd o D. Diego Ordeñes, á cuyo al aprendizage de algún oficio útil , vagaban por las calles mal entretenidos, incansable zelo se deben solidez , equidad y perfección, dignís…</t>
  </si>
  <si>
    <t>Manuel, D Rodrigo María Cañaveral Sr D</t>
  </si>
  <si>
    <t>D Rodrigo María Cañaveral Sr D Manuel</t>
  </si>
  <si>
    <t>…le que ya había invadido los de Ampuero, Orejo y Bosque antiguo, con grave recelo de que sucediese lo mismo ti valle ELECCION DE PROCURADORES DEL REINO. de Camcdo: acompaña el siguiente ,? PROVINCIA DE CÓRDOBA. Parte sanitario. . Sr. D. Rodrigo María Cañaveral. Sr. D. Manuel Sánchez Toscano. Pueblos. Dia«# Enfermos. Corados. Fallecida. Partes recibidos en la secretaria de listado y del Despacho de Ja Qüerra. Santander.. .. 3 á 9 de Octubre El capitán general de Castilla la Nueva con fecha dc 6 del actual remite inclusive......... No consta. No consta. 296 ¿ este minist…</t>
  </si>
  <si>
    <t>Manuel, D Vicente Cano</t>
  </si>
  <si>
    <t>D Vicente Cano Manuel</t>
  </si>
  <si>
    <t>■*r de su división, pues él , aunque mariscal improvisado, carecía de toda clart da J' tx&amp;rMem- v* áinaohx. conocimientos militares, vió desatendidasms representaciones, y la consecuen lllmo. Sr. D. Vicente Cano Manuel, del Consejo Rod. cia fuela pérdidadeiLUboí. ‘ - Sr.D. Francisco JavicrRodriguezdeVera. . &lt; Elataquedjrígido por Baurtnpttt'Contra Oporto el 25 de Jillio de 1833 Sr. D. José Rodríguez Paterna.f-e demasiado prematuro, pero se resolvióá ello de resultas de la noticia qué 1 ba recibido por el telégraf…</t>
  </si>
  <si>
    <t>…umplir hoy con este deber por k&gt; respectivo á la Secretaría de mi La comisión de Federes presentó su-dictámen aprobando los documentos cargo, no necesitaré engolfarme en profundas combinaciones políticas, ni me presentados por el Sr. D. Vicente Cano Manuel (padre), justificando su renta nos hacer alarde de sagacidad y destreza: dada la posición y supuestas las cir anual. Quedo aprobado. cunstancias, era llana y segura la senda que he debido seguir. También lo quedó el dictámen de la misma relativo á que se accediese á El objeto mas importante y urgen…</t>
  </si>
  <si>
    <t>Manuel, Joaquín Gómez y Ansa y D</t>
  </si>
  <si>
    <t>Joaquín Gómez y Ansa y D Manuel</t>
  </si>
  <si>
    <t>…dier D. Manuel O-Doy le, gefe de la 1.* brigada de la de Echarriaranaz ayer con las divisiones 1.* y 2 1 de infantería, mandadas por 1. a división , mariscal de campo D. Joaquín Gómez y Ansa, y coronel Don los mariscales de campo D. Joaquín Gómez y Ansa y D. Manuel Lorezo, i Bartolomé Amor, gefe de la 3.a brigada de caballería de este ejército, sin ol mas dos escuadrones de caballería, cazadores de la Guardia Real, con el gefe vidarme del brigadier barón de Mer , gefe de la 2.a brigada de la 1.a divi de la brigada de.caballería á que pertenecen coronel D. Bar…</t>
  </si>
  <si>
    <t>Manuel, José</t>
  </si>
  <si>
    <t>José Manuel</t>
  </si>
  <si>
    <t>…En otro, formando también la dotación de la de Granada, inserto en la Gaceta núm 58 , «1 fin, igualmente de la segunda columna, léase El capitán general de Galicia en 16 de Abril, y con referen en la clase de alcaldes del crimeu, D. José Manuel sirizaga, en lug.r cia á los paites que ha recibido da los comandantes militares fron- de D. Andrés Masegosa. EN LA IMPRENTA REAL</t>
  </si>
  <si>
    <t>Manuel, Mr</t>
  </si>
  <si>
    <t>Mr Manuel</t>
  </si>
  <si>
    <t>…provincia se disfrutaba de buena salud. nos de las circunstancias, y al parecer trataron hacer gravemente sospechosa la fe del gobierno, aludiendo*sin motivo al atroz procedimiento del gobiernp PROVINCIA DE LUGO. 1 francés con el diputado Mr. Manuel j haciéndose mérito repetidas veces de este Su gobernador civil participa con fecha 18 del presente que el dia 14 » hecho en las primeras sesiones de nuestra Cámara por algunos individuos de la debió cantar el Te Deum en Mondoñedo, y que desde qnc la enfermedad se ya declarada oposición. manifestó…</t>
  </si>
  <si>
    <t>Manuel, Toribio Romo y</t>
  </si>
  <si>
    <t>Toribio Romo y Manuel</t>
  </si>
  <si>
    <t>…sé María Crespo,en • diente, á 15 fs. id. el que manifiesta, han sido capturados los cinco facciosos Julián Herm gos Tarragona. (3 de Mayo.) Trigo ,.de 60 £ 72 rs. cuartera: centeno, á 38 01 Rompe-galas, Segundo Candoso, Dionisio Rey, Toribio Romo y Manuel id.: cebada, de 25 á 26 id.■:"habichuelas del pais, á 52 id.: avellanas en cás Oaveia, los que pertenecían á la facción del cabecilla Carrasco, y eran los mas cara , £ 56 id.: almendras en grano, de 308 á 314 ni quintal: arroz de primera antiguos y nombrados bandidos; habiendo sido entregados á la…</t>
  </si>
  <si>
    <t>Manuel, Vicente Cano</t>
  </si>
  <si>
    <t>Vicente Cano Manuel</t>
  </si>
  <si>
    <t>…cargo de Presidfente del Tribunal su duque de Nassau. . L‘ - . premo de España é Indias, vacante por fallecimiento de D. José Por la noche llegó S. M. 3a Reina del Reino-Unido dé Inglaterra élrHevia y Noriega; vengo en nombrar á D. Vicente Cano Manuel, landa, y se apeó-en la posada de Ruda acompañada de&gt; tura numerosa comitide la sección de Gracia y Justicia del Consejo Real. Tendréislo en va. Lln hermoso tiempo favorece el,viage&lt;fc‘&amp; M. Los?lemanes, adktossienstendido, y lo comunicareis á-quien corresponda.=Está rubricado de pre i la antigua, c…</t>
  </si>
  <si>
    <t>…ir hoy con este deber por k&gt; respectivo á la Secretaría de mi La comisión de Federes presentó su-dictámen aprobando los documentos cargo, no necesitaré engolfarme en profundas combinaciones políticas, ni me presentados por el Sr. D. Vicente Cano Manuel (padre), justificando su renta nos hacer alarde de sagacidad y destreza: dada la posición y supuestas las cir anual. Quedo aprobado. cunstancias, era llana y segura la senda que he debido seguir. También lo quedó el dictámen de la misma relativo á que se accediese á El objeto mas importante y urgen…</t>
  </si>
  <si>
    <t>…vista los muchos tra imputaciones calumniosas , deben servir al importante objeto de bajos que se han ejecutado sobre la materia. Y nombro para esta ilustrar la Opinión pública respecto de una materia de tanta trascen comisión á D. Vicente Cano Manuel, del Consejo Real de España é dencia ; en lo cual empleará V. todo su zelo y eficacia, correspon Indias en la sección de Gracia y Justicia; á D. Francisco Redondo, diendo A la confianza que S. AI. le lia 4,&gt;sPensaJ°- ministro dei tribunal supremo de España é Indias; á D. José Ala De Real orden lo c…</t>
  </si>
  <si>
    <t>Manuel, Vicente Ciño</t>
  </si>
  <si>
    <t>Vicente Ciño Manuel</t>
  </si>
  <si>
    <t>…sido REAL DECRETO. ufl día de regocijo y de felicidad para todo el país: en todas partes ha sido ce Para la plaza del Consejo Real en la sección de Gracia y Jus lebrado con la mas sincera alegría. ticia, vacante por promoción de D. Vicente Ciño Manuel á la pre Las banderas destinadas á los batallones organizados han; sido bendecidas por la mañana. S, M. ha recibido en seguida las felicitaciones del cuerpo disidencia del supremo tribunal de España é Indias, nombro á Don plomático , de los secretarios dé Estado, de los: sínodos y otros cuerpos con…</t>
  </si>
  <si>
    <t>Manuel, Vicente Gano</t>
  </si>
  <si>
    <t>Vicente Gano Manuel</t>
  </si>
  <si>
    <t>…Agustín Arguelles. sus funciones judiciales. De Real órden lo comunico á V. E. para Para la de Gracia y Justicia á D. Ramón López Pelegrin, su inteligencia, y que se sirva disponer su cumplimiento. Dios decano; D. José Cafranga; D. Vicente Gano Manuel; D. Manuel uarde á V. E. muchos anos.’Madrid 20 de Abril de 1834-mJosé García Herreros; D. José Ayuso. e Imáz.=Sr. presidente del tribunal supremo de Hacienda. la de al marques de de Nueva Espa Para la Reunión Guerra al general decano; á loa PARTE NO OFICIAL. Francisco teniente Javier Abadía; D. ña…</t>
  </si>
  <si>
    <t>Manyo</t>
  </si>
  <si>
    <t>…neros, porque no hay ninguna pasión ó asunto á que no preste con admira Cuevill» con Iqs -de la fcóhunna con que,entro en Castilla, persegui ble flexibilidad su colorido suave, su marche ligera y graciosa, su armonía po do por el general Manyo hacia el valle de Cuartango,/se ha refugiado á la* pular y de percepción fácil. Solo hay en esto una excepción , nacida de la mis montañas de Guipúzcoa, confinantes con Navarra. Parece que i su tránsito por ma naturaleza del verso octosílabo y de estas mismas,dotea que si romance' he Arlaban se sub…</t>
  </si>
  <si>
    <t>Manzano, D Nicolás de Cárdenas y</t>
  </si>
  <si>
    <t>D Nicolás de Cárdenas y Manzano</t>
  </si>
  <si>
    <t>…secretario, por haber queda Las pérdidas ocasionadas en Francia por los temporales acaecidos en los do uno solo á consecuencia del fallecimiento del citado-Sr. Zayas, y quedó dos últimos meses se valúan en dos millones. electo el Sr. D. Nicolás de Cárdenas y Manzano, acordándose que se le oficia se por*el Excmo. Sr. presidente, participándole el nombramiento, que espera la v r Eí nuevo catálogo de la galería de pinturas dpi Louvre contiene 1358 junta aceptará, dando esté nuevo testimonio de su disposición á emplearse en. cuadros de las escuelas francesa, flame…</t>
  </si>
  <si>
    <t>Manzano, Nicolás de Cárdenas y</t>
  </si>
  <si>
    <t>Nicolás de Cárdenas y Manzano</t>
  </si>
  <si>
    <t>…etario, por haber queda Las pérdidas ocasionadas en Francia por los temporales acaecidos en los do uno solo á consecuencia del fallecimiento del citado-Sr. Zayas, y quedó dos últimos meses se valúan en dos millones. electo el Sr. D. Nicolás de Cárdenas y Manzano, acordándose que se le oficia se por*el Excmo. Sr. presidente, participándole el nombramiento, que espera la v r Eí nuevo catálogo de la galería de pinturas dpi Louvre contiene 1358 junta aceptará, dando esté nuevo testimonio de su disposición á emplearse en. cuadros de las escuelas francesa, flame…</t>
  </si>
  <si>
    <t>Mapoleon</t>
  </si>
  <si>
    <t>…la auto 2.a Qué relaciones fteisten entre los síntomas de estas enfermedades, y cracia. tas alteraciones que se ablentan en ellas. x 3.a Examinar laf consecuencias terapéuticas que se deducen de la re- Análisis de la opinión del Emperador Mapoleon sobre la organización lafion entre los males indicados y las lesiones que causan. militar que conviene dar á la Francia Real (1) bajo el triple concepto de Como el premio prometido para el mejor escrito sobre estas cuestiones no economía, movilización, fácil ét instantánea del ejército en caso de g…</t>
  </si>
  <si>
    <t>Mar'ta, Santa</t>
  </si>
  <si>
    <t>Santa Mar'ta</t>
  </si>
  <si>
    <t>…tre ambas partes» supuesto que las negociaciones diplomáticas que han empeza MINISTERIO DEL INTERIOR. do, hacen inútil el progreso de la lucha. Muchas personas de distinción han abandonado el partido del usurpador, entre ellos el general Santa Mar'ta y el Por el artículo 21 de la instrucción aprobada por S. M. la Reina general Silveira. Gobernadora en 30 de Noviembre último se previno que las ferias El 2i se celebró un consejo de ministros en el palacio de las Necesidades y mercados debían fijar particularmente la atención de los goberna para tom…</t>
  </si>
  <si>
    <t>Mar, D</t>
  </si>
  <si>
    <t>D Mar</t>
  </si>
  <si>
    <t>…. Antonio Pelaez, encargado de conducir í este berana consideración recomiendo los dignos gefes, oficiales y tropa batallón , llegó al punto señalado al mismo tiempo que lo verificó de esta columna, y en particular al distinguido brigadier D. Mar otro enemigo á cubierto de la espesura del bosque, y principió el celino Oráa, y al primer comandante D. Jaime Mercader, concep fuego, el cual fue sostenido un buen rato por ambas partes. La ar tuando acreedores á inmediata recompensa á los tres soldados he tillería, aunque á larga distancia, rompi…</t>
  </si>
  <si>
    <t>…el pueblo, saquear te Riva y D- Pedro Gisver; la de Almansa, por D. Juan Alonso, y la de le é incendiarle (para cuyo fin trajo 14 carros de paja), se puso en fuga, reti Gerona, por. D» Francisco Osct; y todas bajo las órdenes del brigadier D. Mar rándose con precipitación por los montes de Anguba y Zúrraga, con dirección nuel de Betfedicto. 'El batallón de Gerona fue colocado convcnicmcmentevpara para la villa de Eiegueta; pero en el discurso de la acción los facciosos que se sostener dichas compañías. En estos dos ataques ha contraído un p…</t>
  </si>
  <si>
    <t>Mar, D José</t>
  </si>
  <si>
    <t>D José Mar</t>
  </si>
  <si>
    <t>…r. Cano Manuel dijo que de ninguna ma conde Guaqui , marques de Santiago, y marques de........... nera debía obligarse á venir á aquellos Próceres que estavieseq en servicio ac— El Estamento quedó enterado d¿ un oficio del Excmo. Sr. D. José Mar tivo , i quienes únicamente debía exceptuarse en este caso. tínez de San Martin, manifestando tener presentada al mismo una exposición, El Sr. Gil de la Cuadra pidió que te añadiese á la proposición la pala en la cual manifestaba los motivos que le impedían asistir á la sesión regia y bra á juicio…</t>
  </si>
  <si>
    <t>Mar, D Román</t>
  </si>
  <si>
    <t>D Román Mar</t>
  </si>
  <si>
    <t>…e ayer la lista al principio de la sesión, y que no se volviese á verificar dicho tenia , la asignó nueve oficíales. Si en esto hubiese equivocación, no tiene in acto. coa veniente en enmendarla.” Entró, á jurar y tomó asiento el Sr. D. Román Mar ¡chalar , Procurador El Sr. Secretario del Despacho de ia Guerra: »Es evidente que la co por la provincia de Navarra. misión ha sido inducida en error, por ser equivocado el primer dato que tuvo Se dió cuenta de una petición firmada por varios señores Procuradores, y á la vista, porque para estos t…</t>
  </si>
  <si>
    <t>Mar, Franci-co</t>
  </si>
  <si>
    <t>Franci-co Mar</t>
  </si>
  <si>
    <t>…a los medio* empleado* entusiasmo y decisión me llenaron de júbilo;‘son también dignos de recomen para desunirlos, permanecieron casi inactivos, mientras Ibrahim continuaba dación el ayudante D. Gregorio Contreras y los sargentos D. Franci-co Mar tus esfuerzos para domar la rebelión con la fuerza de !a$ arma*. có y D. Rafael Perez Vento, el primero de lanceros de la Guardia, y el se La aldea Tonificada de Z-*it!a, distante siete ú ocho horas de Naplusa, fuá gundo de húsares, pues comunicaron m¡s órdenes con la rapidez y acierto que tomada i…</t>
  </si>
  <si>
    <t>Mar, Francisco</t>
  </si>
  <si>
    <t>Francisco Mar</t>
  </si>
  <si>
    <t>…motivada del REAL DECRETO. alto Senado, relativamente á la necesidad de una reforma general de la policía» en la cual necesidad convienen todas las autoridades constitucionales. No sola— Deseando dar un testimonio de mi aprecio á D. Francisco Mar mente se piensa en nombrar un empleado superior de la policía, designado bajo tínez de la Rosa, mi Secretario de Estado y del Despacho, por la el título de su director, con un sueldo de 2400 florines, sino que se trata do lealtad é inteligencia con que desempeña este cargo, y señalada mejorar y aum…</t>
  </si>
  <si>
    <t>Mar, José</t>
  </si>
  <si>
    <t>José Mar</t>
  </si>
  <si>
    <t>…ano Manuel dijo que de ninguna ma conde Guaqui , marques de Santiago, y marques de........... nera debía obligarse á venir á aquellos Próceres que estavieseq en servicio ac— El Estamento quedó enterado d¿ un oficio del Excmo. Sr. D. José Mar tivo , i quienes únicamente debía exceptuarse en este caso. tínez de San Martin, manifestando tener presentada al mismo una exposición, El Sr. Gil de la Cuadra pidió que te añadiese á la proposición la pala en la cual manifestaba los motivos que le impedían asistir á la sesión regia y bra á juicio…</t>
  </si>
  <si>
    <t>Mar, Micaela</t>
  </si>
  <si>
    <t>Micaela Mar</t>
  </si>
  <si>
    <t>…s al reglamento aprobado para estas enseñanzas. que estime proporcionad.* pata reintegrar a dicho establecimiento de las can tidades que anticipe para s**:e:;cr dichas enseñanzas. En los propios términos han obtenido igual gracia Doña Micaela Mar tin en esta Corte, y Doña Narcisa Vacia y Calero en Barcelona. S. M. la Rn \ a Gobernadora se ha dignado disponer que se imprima por cuenta de los fondos de balanza la obra que ha traducido del francés el Asimismo se ha concedido licencia á D- Alejandro Moronati para abrir comnel , primer comandant…</t>
  </si>
  <si>
    <t>Mar, Román</t>
  </si>
  <si>
    <t>Román Mar</t>
  </si>
  <si>
    <t>…er la lista al principio de la sesión, y que no se volviese á verificar dicho tenia , la asignó nueve oficíales. Si en esto hubiese equivocación, no tiene in acto. coa veniente en enmendarla.” Entró, á jurar y tomó asiento el Sr. D. Román Mar ¡chalar , Procurador El Sr. Secretario del Despacho de ia Guerra: »Es evidente que la co por la provincia de Navarra. misión ha sido inducida en error, por ser equivocado el primer dato que tuvo Se dió cuenta de una petición firmada por varios señores Procuradores, y á la vista, porque para estos t…</t>
  </si>
  <si>
    <t>Mar, Vicente</t>
  </si>
  <si>
    <t>Vicente Mar</t>
  </si>
  <si>
    <t>…dentes de los Ayuntamientos de los pueblos que que lo es actualmente, á D. Francisco de Paula González Olmedo, son cabeza de Partido, según la División judicial aproliada jor S. M. fiscal de la misma, á D. José Faleon y Falcon, á D. Vicente Mar en Real decreto Je 21 de Abril próximo pasado: y en los Partidos tin Gómez, á D. Francisco María Henriquez; y para la plaza de fis en cavas Capitales no existan aquellas cor¡&gt;oraoiones, á les Comi cal , á D. Felipe Suarez: y es mi voluntad, que cada uno de los mi sionados especiales, que deben pres…</t>
  </si>
  <si>
    <t>Marau, Gregorio</t>
  </si>
  <si>
    <t>Gregorio Marau</t>
  </si>
  <si>
    <t>…e Fuente de Can de 1833 , no estaba todavía completamente organizada, y de consiguiente el tos á D. Antonio José de la Moneda y Ayala : para la de Hellin á presupuesto no ha podido hacer aun mención de ella. El número total de es D. Gregorio Marau: para la de Rivadeo á D. Alonso Sánchez de tudiantes asciende i 4609. Ademas de estas seis universidades superiores y efe Pando: para la de Carballó á D. José Vázquez de Parga: para la de los distritos que les están asignados, el presupuesto habla también de cuatro Peñafiel á D. Angel Esteban de la…</t>
  </si>
  <si>
    <t>Marc-Dalbourg</t>
  </si>
  <si>
    <t>…ales de vellón , ó cuarenta y dos y medio cuartos, y con igual proporción ajusto es no olvidar que los señores de la comisión qué han concurrido las monedas subalternas. Se ordenó también que ia pies de dos reales de plata con «t Sr. Marc-Dalbourg á tan laudable fin, y que han ilustrado mas y mas provincial tuviese el valor óe cuatro rea'es de vellón justos, ó treinta y cuatro la materia con sus luces, han sido los Sres. D. Manuel Viado, D. Gerónimo cuartos, en lugar de los treinta y dos que estaban prefijados; el real de plata de de la Esco…</t>
  </si>
  <si>
    <t>Marc-Dálbourg, José</t>
  </si>
  <si>
    <t>José Marc-Dálbourg</t>
  </si>
  <si>
    <t>…e estaba-el exceso de valor del oro sobre la plata, y to españoles tienen la gloria de haber puesto en práctica , aunque por un breve das las demas cosas én el mismo ser y estado en que las encontró. espacio de tiempo. ••Entonces D. José Marc-Dálbourg, francés de nacimiento, pero en rea A pesar de Untos progresos y mejoras durante los reinados de los Señores lidad espiñol por los muchos años que lleva entre, nosotros, y por estar casa Don Felipe V, Don Fernando VI y Don Carlos III, todavía se advierten do con una' española há mas de diez , prese…</t>
  </si>
  <si>
    <t>Marce</t>
  </si>
  <si>
    <t>…refresco á rigutíf Excmo. Sr.: Unida á la división de mi mando la columna de operacio ios gefes y oficiales, esmerándose por medio de una comisión de su seno nom nes del reino de Aragón á las órdenes de su bizarro gefe el coronel D. Marce brada al efecto en que los festejos públicos correspondiesen al alto objeto á que lino Oáa, en la villa de la Raga el 26 del corriente, de acuerdo con él dispu se destinaban. Para perpetua memoria de tan fausto dia se acuñaron monedas se buscar y dirigirme por todas direcciones sobre los enemigos.…</t>
  </si>
  <si>
    <t>Marce, D</t>
  </si>
  <si>
    <t>D Marce</t>
  </si>
  <si>
    <t>…gnífico refresco á rigutíf Excmo. Sr.: Unida á la división de mi mando la columna de operacio ios gefes y oficiales, esmerándose por medio de una comisión de su seno nom nes del reino de Aragón á las órdenes de su bizarro gefe el coronel D. Marce brada al efecto en que los festejos públicos correspondiesen al alto objeto á que lino Oáa, en la villa de la Raga el 26 del corriente, de acuerdo con él dispu se destinaban. Para perpetua memoria de tan fausto dia se acuñaron monedas se buscar y dirigirme por todas direcciones sobre los enemigos.…</t>
  </si>
  <si>
    <t>Marcilla</t>
  </si>
  <si>
    <t>…banos de Pancorvo con ua piquete de caballería mar? i su frente; el batallón enemigo de nuestra derecha se aproximaba rápidamente chasen hacia aquella parte. Igualmente dispuse que el coronel teniente coronel sobre la brigada del brigadier Marcilla: me pareció entonces llegado el mo mayor de Castilla, á quien suponía habría llegado ó estaría próximo ¿ tocar en mento: de cargar; y mi ayudante el alférez de granaderos i caballo de la guardia Briviesca, se trasladase con la fuerza que allí se hubiese reunido á la Berzosa, y Real D. Federico Abad…</t>
  </si>
  <si>
    <t>…n llevarme seis leguas de ventaja , aunque yo haga marchas extraor F.n vista de este oficio he prevenido á las brigadas de caballería del man dinarias. El coronel Barrena, bien empleado y dividido en las avenidas precisas, do del brigadier Marcilla y coronel Amor, salgan para recorrer los puntos puede hacer un gran servicio. que indica el general Anleo, el cual ha marchado hácia Erice; habiendo sabi Mis cuidados son de que por entre columna y columna, á una distancia do que el brigadier Figueras se había dirigido por Zubiri. de,á legua puedan c…</t>
  </si>
  <si>
    <t>Marcilla, Djoniiio</t>
  </si>
  <si>
    <t>Djoniiio Marcilla</t>
  </si>
  <si>
    <t>…l enemigo, de molo que sé llenase el objeto que me proponía res principiaron á molestar i nuestra caballería con sus fuegos, ¿ punto qqc-c¡ bri de impedirse reparar el Ebrp, y que viniesen precisamente sobre este-punto, le gadier D. Djoniiio Marcilla me preguntó sí se podiao retirar, lo que mandé envié dos Urbano, de caballería de. Pancorvo, grandes prácticos en él terretic^ verificasen por escalones, cual loefcctuaron hasta ponerse á la allura de nues con instrucciones verbales y por escrito, apresurando y% mi marcha á e&amp;ty tra infantería, que…</t>
  </si>
  <si>
    <t>Marcitl</t>
  </si>
  <si>
    <t>Dio» ócc.=Cuartel general de Espinal &gt;0 4c Agosta i &lt;■';1» noche■ r 1 brigadier Marcitl* jrjprond Amor de bajar á Tafalla, les he participado mi M1834.” I . mov¡miento para'á¿te concurran á él.” / . “""Élbrigadier D'.‘Dionisio Marcilla desde Urroé, igualmente con fecha de »E»qio. Sr.: Carezco de eomunicacionei del Excmo. Sr. general en gefe ayer, me dice: y demas generales; pero por c…</t>
  </si>
  <si>
    <t>Marcó, Francisco</t>
  </si>
  <si>
    <t>Francisco Marcó</t>
  </si>
  <si>
    <t>…trojeriz con fecha 23 del actual, me arú ligeros, marchando á mi costado el teniente amnistiado D. Cayo Muro, el sar que noticioso de que la facción de Merino había Sido dertotada, y que un nu gento de lanceros de la guardia Real D. Francisco Marcó, y el de húsares Don meroso grupo de facciosos se hallaba en Lantadilla, se encaminó con lat$may« -Rafael Pérez Vento, me dirijí al gran trote sobre el enemigo, y despreciando rapidez á aquel punto, donde los batió y acuchilló con d mayor denuedo,de decididamente el vivo fuego que nos hacían, carga…</t>
  </si>
  <si>
    <t>Marcotegui, D Francisco</t>
  </si>
  <si>
    <t>D Francisco Marcotegui</t>
  </si>
  <si>
    <t>…deración de V. E. los siguientes oficiales é individuos AnIeo-=Excmo Sr. Secretario del Despacho de la Guana» del propio regimiento: en- el primer batallón y compañía de cazadores e! capítan D JoséGaruir ,.el teniente graduado de capitán D. Francisco Marcotegui, El comandante general de Vizcaya con fecha $ da Mayo nnrenaíca á rea y los subtenientes D. Cirios Linares y D- Fernando Ordofier; cu la de gran»* ministerio el parte siguiente; Excmo. £r.t con esta fecha difea-al Exoare, SOdsros el subteniente D. Manuel Jiménez y el de la propia clase D. José Riva…</t>
  </si>
  <si>
    <t>Marcotegui, Francisco</t>
  </si>
  <si>
    <t>Francisco Marcotegui</t>
  </si>
  <si>
    <t>…de V. E. los siguientes oficiales é individuos AnIeo-=Excmo Sr. Secretario del Despacho de la Guana» del propio regimiento: en- el primer batallón y compañía de cazadores e! capítan D JoséGaruir ,.el teniente graduado de capitán D. Francisco Marcotegui, El comandante general de Vizcaya con fecha $ da Mayo nnrenaíca á rea y los subtenientes D. Cirios Linares y D- Fernando Ordofier; cu la de gran»* ministerio el parte siguiente; Excmo. £r.t con esta fecha difea-al Exoare, SOdsros el subteniente D. Manuel Jiménez y el de la propia clase D. José Riva…</t>
  </si>
  <si>
    <t>Marcoval, Juan</t>
  </si>
  <si>
    <t>Juan Marcoval</t>
  </si>
  <si>
    <t>…os males, la cooperación de todos los hombres ¡lustres 1 sargento de Carabineros Francisco Asenjo, el titulado comisario D. Mi- por su saber y su prudencia, he acordado que se lleven inmediatamente í efec Jguel Soto, el cabecilla D. Juan Marcoval y el ex-voluntario realista Antonio to las Reales ordeno de 3 de Junio de 1815, y de ,3 de Setiembre dei. afio Ü, y .han quedado presos los paisanos Domingo Plá, Pascual Plá y Josef - último', que prescriben la fdrmacton de una sociedad económica de Amigos' jrMaicovaL del país en todas las capitales…</t>
  </si>
  <si>
    <t>Mareo</t>
  </si>
  <si>
    <t>…* establecidas y regidas según lassttpcrrures órdenes .del. gobierno. ,; ^ •- k;., guTda ti enfermedad en aquel pueblo. ' '' Otra. A consecuencia de las acertadas-disposiciones de D. Cayetano Be En vÍrtudfdeprovfdencizdelos.Sres. D. Mareo dcNdrzagaray y D. Pfedf0&gt;~Bairenedicto , alcalde mayor de Colmenar Tfiejo, y del profesor de medicina Don ira» tenienrqs cqiffárdores de esf»¿villa * refreodada ppr.«l;!e&gt;CíH&gt;ano del númesoD. JuaitRaya, »e^ha'fñ^nda^o citar y «‘ñPfaiar, corno se,haqe, por Ja presequ^ A.tod^ la* Juan Salmón, y de la…</t>
  </si>
  <si>
    <t>Mari, D Luis García</t>
  </si>
  <si>
    <t>D Luis García Mari</t>
  </si>
  <si>
    <t>…tra Señora con la inscripción en el contorno Isabel ii, Reina liíEspaSa niente graduado de teniente coronel D. Pedro 5amanicgo,y el teniente gradua t es las India»; y en el reverso un letrero ó inscripción laureada que diga do de capitán D. Luis García. Mari a Cristina de Borbon, Reina Gobernadora , á N. (que será el nom Finalmente los comprendidos en las adjuntas relaciones conformes á las bre del que obtenga el premio.) Squ»ba subdirididame han pasadola divisiónlos respectivo»en el momentogefe* dedelco'iumnasataque,parcialespara queentodoque sese hal…</t>
  </si>
  <si>
    <t>Mari, Luis García</t>
  </si>
  <si>
    <t>Luis García Mari</t>
  </si>
  <si>
    <t>…ra con la inscripción en el contorno Isabel ii, Reina liíEspaSa niente graduado de teniente coronel D. Pedro 5amanicgo,y el teniente gradua t es las India»; y en el reverso un letrero ó inscripción laureada que diga do de capitán D. Luis García. Mari a Cristina de Borbon, Reina Gobernadora , á N. (que será el nom Finalmente los comprendidos en las adjuntas relaciones conformes á las bre del que obtenga el premio.) Squ»ba subdirididame han pasadola divisiónlos respectivo»en el momentogefe* dedelco'iumnasataque,parcialespara queentodoque sese hal…</t>
  </si>
  <si>
    <t>María</t>
  </si>
  <si>
    <t>…rios de la dinastía destronada y el gobierno de la restauración: se opone á que jor estado para obrar en caso necesario. se admita la variación que indica el Sr. Traqy. _____El rumor que Ha corrido de una intervención á favor de Doña María se Replica el Sr. Garnier Pagés que el ministerio ha promovido una cuestión ha renovado hoy ; pero ignoramos la manera con que se quiere hacer. La llega en la que es peligroso entrar, porque no es justo ni oportuno exponer las ra da de M. Sarmiento, enviado portugués, parece que ha suscitado esta i…</t>
  </si>
  <si>
    <t>…sacrificio de mi vida an t- Recibimos por conducto de Londres, con fecha 13 de Abril, noticias de tes que faltar á los deberes que me impone el empleo y mi propia conciencia. Portugal, que anuncian haberse declarado por la Reina Doña María la pro Habitantes de Cuba: nunca os separéis de esta marcha: vuestro gefe os lo acon vincia de Miño con su capital Braga, igualmente que Beja y toda la1 provincia seja ; vuestro gobernador 0$ lo manda; y el primero os dará siempre el ejemplo de Alentejo. Todo, pues, anuncia que pronto veremos concluid…</t>
  </si>
  <si>
    <t>…ayera el nombramiento de Proceres, y que al mismo tiempo estu felizmente existe entre el Gobierno de vuestra excelsa ,Hija y el de la Reina viesen prestando -importantes servicios al Estado, parecía lo mas oportuno que Fidelísima Doña-María ti. Los vínculos que unen i ambos Gobiernos, y que ' quedase al arbitrio del Gobierno resolver, cuál de los dos destinos debería des V. M. ha estrechado en el Ínteres de las dos monarquías peninsulares, se estre empeñar ; y asi lo acordó el Estamento. charán mas sin duda, cuando á las disposiciones…</t>
  </si>
  <si>
    <t>…cántara, Du brar presidente de aquella junta de comercio á D. Pedro NolascoSoto; y ea que de Braganza, mi muy amado, querido y apreciado Padre. vista de la de las juntas respectivas de igual clase ha tenido á bien elegir vice «Yo Doña María, por la gracia de Dios, Reina de Portugal, de los Al- presidente de la de Málaga á D. Antonio Bresca, y vicepresidente de la de garbes, y sus dominios, saludo á V- M. I. como á persona á quien sobre todas Barcelona á D. José Mariano Cabanes. amo y aprecio. Deseando dar á V. M. I. un testimonio públ…</t>
  </si>
  <si>
    <t>…6í,034¿ «trode Í00 petos no consqjtiifnln iláim»ii ¿ $$Q ' Infante D. EratíeiícodePaiUz Antomo, la banda de la Real órden de da pesoé ¿aaa uno consolidado* núme/ot 27^78 f tZ,12?9i lodos d«i ifio de IttL que lula ma» noble* de la Reina María lCm¿u%Núm. 255.) sido rétenJdos y tecUmadot* cotdo de U pertenencia de D. Cosme de Moni oará aae Pr0Tt5to.deácrmanaioaido por &amp; M,;l? RmÍNA,Gobernadora, declarando «a *1 prerlm M&lt;n&gt;irai dc29&gt;diairaa6dan MaM«4telerfd¿hi*é 4 usm,«eidhmrlMíde que /. C&amp;fjei» Maná Isidro de Borbou y toda su líT ÉN LA IM…</t>
  </si>
  <si>
    <t>Maria</t>
  </si>
  <si>
    <t>…históricas originales espa en las provincias donde los haya y en ios puntos en que se presen ñolas, se servirán pasar á recoger el tomo 8.° de dicha co.ecclon, 4.' j últirfto-dela titulada el Doncel de D, Henrique el Doliente, de D. Maria ten ? Esta agregación, como producida por la situación actual, po no Josef de Larra, y adelantar ei importe del p.°, y x.° de la nominada drá y deberá cesar, apenas cesen las circunstancias accidentales que Sancho Soldqña , o el CasteltanO. de Cuellar, por D. José Espronceda, á la hacen conveniente…</t>
  </si>
  <si>
    <t>…itadores Zamora. podraij proposiciones 1* escribanía nacer y Covilhao con el cuartel general en Guarda. Decíase que Fígueira delegaron de Rentas, en donde-se enterará del plano y Condiciones bajo de las cuales había prociarnado £ Doña María; por manera que no queda ban á D. Miguel ni se han de celebrar sus remates: él primero en el dia 12 del corriente: el segundo el 22 D** Caítos puerto áiguno en Portugal, pues la tentativa hecha por el hijo déL del mismo mes; y^ el tercero y\ último en el dia 2 de Junio, desde las once hasta las doc…</t>
  </si>
  <si>
    <t>…en campaña, y á todas las autoridades que reconozcan aun el gobierno del Sr. D. Miguel, para que inmediatamente se sometan al De esta suerte se ha verificado que mientras los partidarios de la usurpa— gobierno de S. M. F. la Sra. Doña María ít, con el goce de las condiciones ar «ion se alimentaban con vana» esperanzas, y difundían la voz dentro y fuera riba expresadas. del reino, de que iba á traspasar triunfante las fronteras el mal aconsejado Prin Art. 2.° La disposición del artículo antecedente será extensiva á todas las cipe, cuyo…</t>
  </si>
  <si>
    <t>…un territorio, es indudablemente En el artículo del Diario de Debates, que le insertó fielmente en nues qué se prepare en sus fronteras la guerra civil contra úna nuciop Vecina y pací fica. Y asi, aun antes del reconocimiento de Doña María de'Gloria'flor Esjtitro número de ayer, hay una frase que necesita de explicación;. Hablando fia, antes de las negociaciones para él tratado de la cuádrupla ilíaitáí, buéftras de la cuadrupla alianza| dice: «por una parte citan la Francia y la Ingla tropas invadieron por algtmol momentos tú fronter…</t>
  </si>
  <si>
    <t>…a 23 una expedición mandada por el cadas las vastas é Interesantes atribuciones de las autoridades administra tivas; y se dan muchos conocimientos sin los cuales no pueden llenar «almirante Nappier con 600 hombres del ejército de Doña María con acierto sus deberes los llamados al difícil cargo de cooperar al fo »de la Gloria se apoderó de la plaza de Camina y de la isla de In- mento de la riqueza y prosperidad pública. Sé vende á 10 rs. en rústica »sua, en la embocadura del Miño., frontera de Portugal; operación en Madrid en la impren…</t>
  </si>
  <si>
    <t>…ejote. En la iueate, dojtodos lmjtereedótei del Édtádd^e Jtílhm felizmente existe entre el Gobierno de vuestra excelsa Hija;,y el de la Rema interesadas.la.dlgnidad.y la convcnipacta hactQuaLf ^qtsobádo&gt;.i. .:it el . , Fidelísima Doña María 1;. Los vínculos que unen á ambos Gob¡crnos, y que «Con ínteres y satisfacción tomarán conocimiento los PrÓdénádeliRé'eo V. M. ha estrechado en el ínteres de las dos monarquías peninte4ar«s, se estrm de las mejotM'.piract|cad«,, y'iqoaae-ptepai!an-bn garlos zr4mo»dela admloistracbarán mas sin.duda*…</t>
  </si>
  <si>
    <t>…civil, que toserfIntimamente persuadida de que la enseñanza primaria es uno menes de la usurpación habían excitado en este suelo, restaurada la corona de de los mas importantes beneficios que pueden dispensarse á los pue la Sra. Doña María n, y restablecida la Carta constitucional, eterno padrón blos , r de que ningún otro puede contribuir mas eficazmente ¡i la de gloria del magnánimo Príncipe que la dió á los portugueses. felicidad de las familias, á la mejora de las costumbres públicas, al «Señor: La Cámara de los Pares del reino n…</t>
  </si>
  <si>
    <t>…ntra la de personas que no tienen medios con que subsistir ni dan La Península ha sido el teatro de graves acontecimientos. garantía» de su conducía. El congreso de Maryland acaba de expedir un decreto Desde que el gobierno de la Reina María ir se ha restablecido en Lisboa, ■previniendo que todo capitán de buque que entre cn el puerto de Baltimore he renovado nuestras relaciones diplomáticas con el Portugal. declare bajo juramento, á las 24 horas de haber fondeado y á presencia del cor En España la muerte del Rey Fernando vu ha llamado…</t>
  </si>
  <si>
    <t>…on solo consecuencia de la tolerancia que el tras la Inglaterra se preste a las siguientes garantías: 1.aQue la co gobierno pueda usar con ellas, desde el punto que no han sido in rona de Portugal debe asegurarse en las sienes de Doña María. cluidas en la constitución. ^ 2.a.@ue-sfc mantendrá la'carra cohstituc¡ona].~31a La integridad'del ■«Omito recordar tpJalcñque se ha dicho"-; para manifestar que terrltoiiQ portugués. El auxilio de tropas para acabar con la do- es incompatible laexistefidha de un gobierno constituido con las mmacio…</t>
  </si>
  <si>
    <t>…ble un tropo. ¡Gloria eterna á la inmortal Cristina! ¡Gloria i los -salientes rnayor y Ougüela, á fin de llamarlas á la obediencia de su legítima Soberana soldados que con tanto denuedo dependen la hermosa causa de su Hija, y que Doña. María ti; debiendo informar á V. A. S. con satisfacción, que la guetra el pueblo español, gozoso con tanta dicha, repita sin cesar lleno de entusias ha terminado enpPortug-al i virtud de‘haber depuesto las armas en Evorá el mo .- Viva.nuestra Reoía y Señora Doña Isabel ji : viva la augusta Gober ejército…</t>
  </si>
  <si>
    <t>…crétanos, presentó sus credenciales, de que deberán ocuparse las contaduiías de Propios: pero entre tan y tuvo la primera audiencia en el palacio de Ayuda de la Reina to quiere S. M. prevenga á V- S. que debe desempeñar la de esa Doña María y de su padre el duque de Braganza. El día inmedia provincia sus funciones, con arreglo á las instrucciones y órdenes to tuvo una entrevista con el ministro de Estado. (Jun.) vigentes en el ramo; y que la aplicación, la inteligencia y la hon ____ El Mercurio de Suevia dice con rcfercnci%¿ cartas de Rema…</t>
  </si>
  <si>
    <t>…h la-Cual puedcffdepóner los que^ejercen jurisdicción por informe ó cer- ción pública. Renovando V.XM., después de restablecida en su trono la Reina ptjfic3CÍpn; y en su cóoiccuéocia ha tenido.á bien S. M^.inandar., que el citado Doña María, sus relajones diplomáticas con Portugal, y apresurándose á re f D. Juan de Mendoza, tratado como reo en la referida causa, preste su declara- conocer la Reina de E^aña Doña Isabel n , ha colmado los deseos del mun I cíon en la forma ordinaria como se practica, sin que jamas haya ocurrido duda do c…</t>
  </si>
  <si>
    <t>…caer sobre S. Leo nardo , adonde aquellos se habían dirigido.gado en la tarde del ttiismo dia i dicha, villa, permaneció en ella él 24. para cerciorarse del movimiehtcNiel enemigo, y evitar á las La expedición que del ejército de Doña María dé la Gloria se tropas marcha! inútiles. Sabedor este diá que el 2.° y 4.0 batallón apoderó el diá 23 de la plaza de Camina y de la isla de Insua, si de rebeldes habían abandonado i Domeñó yArbonis, y qne per gue adelantando hácia la plaza de Valenzado Miño, con el objeto noctando en Üstues y UsCar…</t>
  </si>
  <si>
    <t>…l honor de elevar i manos de V. E. la copia &lt;kl par Hl ejército en cuanto cate pasó el Tajo, se unieron 4 los habitantes, y abrazaron te que me ha dirigido el coronel Nogueras, quien después de cuatro oías do la causa de la Reina Doña María. consecutivas marchas de 11, 12, 14. y 16 horas de camino, alcanzó al fin i h Nos consta que el barón Sa da Bandeíra derrotó y puso en fuga la fuerza facción de Carniccr y consiguió derrotarla. ............</t>
  </si>
  <si>
    <t>…. Como las enormes distancias, y sobre todo la do la Carta constitucional, que dice asi: »&gt;Extinguidas las líneas de los descen falta de caminos, aíslan entre sí Us tres grandes capitales de U presidencia bri dientes de la Señora Doña María 11 , pasará la corona á la colateral; y como tánica en las Indias, y poT este motivo se Us podía atacar separadamente sin esta línea sea la de la Señora Doña Genara, hermana de S.-M. la Reina fide -que-pud4e$en prestarse socorros mutuos , se trata en el día de ocurrir á este in lísima , propongo lo…</t>
  </si>
  <si>
    <t>…Cónsul de S. M. en Bayona dice al Excmo Sr. Secretario de Y S. M. I. el Duque de Braganza, Regente del reino de Portu Estado y del Despacho, con fecha 3 del corriente, lo que sigue : = gal y de los Algarbes, á nombre de la Reina Doña María ii, á Don Ercmo. Sr. — A las diez de la noche acaba el Sr. Subprefecto de pa Cristóbal Pedro de Moraes Sarmentó, del Consejo de S. M. Fidelí sarme la comunicación que tengo el honor de trasladar á V. E. = sima , Hidalgo Caballero de la Casa Real, Comendador de la Orden .•Bayona 3 de Junio de l834.=…</t>
  </si>
  <si>
    <t>…as preten titución les asegura, las inapreciables ventajas que de ello les resultan; convencién siones, y que se preparan en silencio para arrebatar á la fuerza los derechos dose al fin la nación entera de que la causa de la Sra. Doña María n ha sido que no se les quieren conceder. Mehemet-Ali ha vuelto á Alejandría con po fe causa de Portugal, y no 1a de algunos individuos. Libertad y tranquilidad son ca comitiva, y se le nota mucho abatimiento. Ha dado orden para que toda la desde este momento los dos grandes bienes que la nación an…</t>
  </si>
  <si>
    <t>…e y felicitación: todos ellos abundan en fr**cs pomposas y en ras y el capital empleado en ella sube á de libras esterlina?. go* elocuentísimos, de que cabalmente carece esta nuestra sencilla exposición. ,i— Uno de los agcnles de Doña María ha salido de esta ciudad para Irlanda</t>
  </si>
  <si>
    <t>…tropas federales, ni la abofician de los privilegios de del reino a nombre de la Reina, yo os saludo. La autoridad legítima de sní una oiudad libre. Las tres Potencias han visto ya la manera con-que la cuadru augusta hija la Srá. Doña María tr ha sido felizmente restablecida en estos, rei pla aliapza se ha formado, y la aplicación que ha recibido. La Rusta ha hecho nos por la fuerza de las armas y el reconocimiento voluntario del pueblo , que lo que ha querido con la Polonia, el Átisrr'ra con Italia, y también con Ale al momento en qu…</t>
  </si>
  <si>
    <t>…raban el féretro con aquel respeto .religioso Austria, é hija del Emperador Francisco i, de cuyo consorcio nació en 4 de que inspira un templo arruinado que fue mansión de una divinidad. Parte de Abril de 1819 la muy augusta Sra. Doña' María de ia Gloria, boy Reina rei Jas calles por dónde pasó el entierro, estaban Colgadas de negro: las'tiendas nante de la monarquía constitucional portuguesa. i estuvieron cerradas todo el dia, y en medio de las/ demostraciones luctuosas Habiendo llegado al Brasil ia noticia de los acontecimientos del 24…</t>
  </si>
  <si>
    <t>…go de toda ley, los que siempre teníais en boca el dil Había pasado la frontera en persecución de D. Carlos, el cual contra las órden legal? Vosotros habéis insultado la persona del Soberano, escarnecido á órdenes del gobierno de Doña María, reconocida como Reina por la Gran- los defensores de la monarquía constitucional, y puesto en duda hasta el dere Brelaña , no había querido salir de Portugal. Después de una contestación tan cho de propiedad. No os quejéis, pues , si el pueblo, como decís, se considera en precisa se dió fin á los…</t>
  </si>
  <si>
    <t>…odas las personas que delien asistir a ellos y resi dan en sus res [lectivos distritos. Después de dar la voz de la hora Excmo. Sr.: S. M. la Reina nuestra Señora, su augusta Ma dre la Reina Gobernadora, y S. A. la Señora Infanta Doña María añadirán la de «fuego en tal parroquia” para conocimiento del ve-' cindario.Luisa, continúan sin novedad alguna en su importante salud. De4t&gt;. Todas las guardias y piquetes de la población destacarán UBReal orden lo participo á V. E. para su satisfacción y para los efec ordenanza al principal, dand…</t>
  </si>
  <si>
    <t>…tal de esta [pasé á la contaduría de propios, que actualmente se continúa, daTC cuenta del ciudad resulta que fue fundado por los hombres principales de la ciudad por ¡resultado á su debido tiempo. concesión de la Reina de Aragón doña María, como Gobernadora y lugar te* La comisión dé hacendados que nombré para que con presencia de las le niente de su marido el Sr. D. Alonso v, fecha en Barcelona e! 27 de Agosto yes y costumbre del país me propusiese las medidas que deban dictarse para qué de 1453; sus rentas según lo cobrado en 1832,…</t>
  </si>
  <si>
    <t>…vancia se cuenta por siglos, y la emulación del auto acor le concernía, contribuyendo á que lógrase un triunfo tan completo el bizarro dado de Felipe v, que dejaba traslucir sobradamente asi su origen como su ejército de S. M. F. Doña María ir, se mostró no menos fiel y exacto en el tendencia, en nada.comprometían las relaciones generales de Europa, y mas cumplimiento de otra estipulación concerniente al mjsmo Príncipe que tantos bien eran favorables al sistema de común equilibrio. males ha acarreado á su patria con sus ambiciosos con…</t>
  </si>
  <si>
    <t>…aa^ el ramen consuelos sobre las desgraciadas v*ctima&lt; líe e*u facción b -hara v faná pueblo y degollarían la guarnición. , á cuya intimación contestó con energía tica , mengua del sig-o v oprobio de España. Por eso el hxenn. br. D. Maria y firmeza , habiendo visto que retiraron algunos muertes y heridos : en este es no Leñan , nuevo comisario general de Cruzada, que ve con diior estos males, tado formé la idea de que la facción se ocuparía durante ia nexhe en reunir su ,y se lamenta del motivo que los produce, ya que no le sea dado e…</t>
  </si>
  <si>
    <t>…nacional, fuertemente escudada por la-monarquía re ■ que de LeUtchembeüg y Santa Cruz, y Príncipe de Kchstett, para la celebra presentativa , que esssegutGMpoyo y lianza de tan preciosos tSijeros. ción de sus nupcias xon S. M. F. Doña.María 11, Reina dé Portugal; dispen— »A1 retiraros á-vuestras provincias,Ja regencia está cierta'derq&amp;e"Vbsí&gt;tros, ' sado el impedimento de consanguinidad por el Eminentísimo,Sr. cardenal Pa «qgBStosy dignísimos Sres. leprésentantes de la nación, continuareis emplean-, triarca, las-dos proclamas, y la ci…</t>
  </si>
  <si>
    <t>…ndo todos el camino de Martim-longo, que dista dados, que por espacio de mas de dos horas no dejaron de perseguirlos con el nueve leguas de Peixáo y Boa vista. mayorjvígor. ¡Que el diá 23 salió de Tavira sin detenerse la tropa de Doña María con Añade que la pérdida del enemigo debió de ser considerable, pues se ha dirección á Villareal de S. Antonio y Castro Marim, a cuyos pueblos llegó al bian encontrado 36 muertos sobre ei campo, consistiendo la suya en 6 heridos; siguiente dia por haberlos abandonado el enemigo. Este tragioero se h…</t>
  </si>
  <si>
    <t>…e la comisión, vuelve á esta para que lo redacte nue bió f y dijo que la pondría en manos de S. M. (Jan.) vamente. Mañana continuará la discusión de los artículos. Ayer anunciamos la esperanza que teníamos de que los gobiernos de Doña María, de la Reina Isabel, de Francia y de Inglaterra, se pondrían de acuerdo IDEM DE IOS DIPUTADOSidífU. para terminar los negocios de Portugal. Hoy tenemos ya motivos fundados pa ra creer que se ha firmado un tratado entre las cuatro Potencias que fue trasmi M. Lascases pone sobre la mesa el informe de…</t>
  </si>
  <si>
    <t>/ ) ¿uque dé Bragatiia/Regeate dél .reino de Portugal „ ÁrtJ 7.° fel presénte tratado será ratificado, y las ratificaciones se cangeaoombre de la1 Reina Doña María rt, íntimamente conve&amp;cjdosSju xánenTóadres cn -eliespacio de un mes,ó antes sí fuese posible. teses de ambas coronas y la seguridad de su.s dominios respectivos exigen em En fe de lo cual los respectivos plenipotenciarios lo firmaron y sellaron plear inmediata y rigurosamente sus esfuerzos unidos…</t>
  </si>
  <si>
    <t>…lio próximo pasado, por el cual se esta euíente ley. «Artículo único. La regencia del reino de Portugal y sus dominios, blece que para l.° de Enero de 1838 ha de quedar extinguido en Portugal e( durante la menor edad de la Reina1 Doña María u, debe continuar en la per papel moneda, y que los soberanos ingleses y los pesos duros españoles circu sona del Sr. D. Pedro, Duque de Braganza, con las atribuciones del poder len con su valor legal, solo por el espacio de seis meses los primeros , y tres los ejecutivo y moderador que se establec…</t>
  </si>
  <si>
    <t>…Gama. «Habiéndonos reunido para tratar y convenir en las condiciones del ma trimonio propuesto por S. VÍ. I. el be. Duque de B aganzi, de feliz memoria, PORTUGAL. como Regente de Portugal, entre La muy alta y muy poderosa Señora Doña María n, Reina de Portugal y de los Algarves, hija de D. Pedro, Empera Lisboa 3 de Diciembre. dor del Brasil y Rey de Portugal, Duque de Bntganza , y de la Emperatriz Carolina Leopoldina, Archiduquesa de Austria (Q. D. T. E. S. S. Cj.), v CjÍuara he tos diputados__ Sesión de 30 de Noviembre. S. A. R. el…</t>
  </si>
  <si>
    <t>…da ’por-los titulados teniente coronel Plaza y capitán Árellanoj que tanto* 'consentido y confirmado por S. AL la Reina dé Portugal y de los Algarves, perjuicios causalxtn obstruyendo comunicaciones, asesinando á-cuaüla* personas Doña María ti, entre la misma augusta Señora y S. A. R. el Príncipe Aut deambos sexos se dirigían á plintos fortificados, y cometiendo todo'genero de gusto Cirios Eugenio Napoleón, Duque de Leuchtemberg y Santa Cruz, Prín excesos, dispuso saliesen i las doce de la noche' del dia anterior fuerzas sufi cipe, de…</t>
  </si>
  <si>
    <t>I T« noticias de Madrid anuncian que al fin el gobierno español ha resuel-- cia. Las sesiones necesarias para -discutir estos puntos, se cree q«e ocupará! Un to reconocer á Doña María y á la Regencia que manda en su nombre. Este período mas largo del que se habla fijado á la duración del Congreso que ya K_ paso, aunque puede considerarse, algo prematuro bajo ciertos respectos, se ve tafea cerca de esperar, y eñ consecuencia se ha resuelto prolongarlas por tiem rifica xin embargo e…</t>
  </si>
  <si>
    <t>…ión los sentimientos del particular aprecio quo tía de la libertad de los pueblos. um habéis inspi rado.cd.uis.” ____Sabemos por noticias de Portugal que la mayor parte de las ciudades de AlBNAVIA. aquel reino han reconocido ya á Doña María después de sometido D. Miguel, Maguncia 17 de Junio. y que muy pronto la soberanía de la jóven Reina será general en todo el país. Los m'guclistas se presentan diariamente para aprovecharse de la amnistía. El mayor general austríaco Piret, comandante superior de las tropas de la Confederación en Fr…</t>
  </si>
  <si>
    <t>…bricante de botones Don Josef E^menota. Otra id. por él mejor bordado á la Sra. Doña Piedad Vilches El capitán general de .Aragón con fecha de 7 del corriente da parte de loa- y Espejo. Otra como premio extraordinario de dibujo á Doña María1 de los 1&gt;er sido pasados por las armas en la mañana del 3 en Teruel el capitán Tetira-" Angeles Abtrrategui y á Doña María Josefa Abarrátegui. Otra igual por el do D. Antonio Borras y Josef Beltran, voluntarlo realista de Torreblanca, bordado con sedas sobre el papel á Doña María de los Dolores Vilches y…</t>
  </si>
  <si>
    <t>…on; y habiendo salido tropas de Oporto, que batierop gaban ios facciosos. ’ x á los miguélistas en Sántnso, forzándolos ¿ retirarse a Amarante, Las íropás de Castilla,-los milicianos urbanosf los paisanos'! las han ocupado las de Doña María* á V ¡atina, Braga y demás puntos autoridades .todas con noble rivalidad han acudido en varías direc de dicha provincia.' . &gt; ciones contra esta facción , que solo ha -podido eludir hasta ahora En tánto el Pretendiente, que se había refugiado á Viseo, sa sus esfuerzos á favop de largas y vaga9 ■ ma…</t>
  </si>
  <si>
    <t>…la margen izquierda del youga. y enérgica alocución alusiva á la celebridad del dia, y á continuación resona ron simultáneamente les rep'qucs de campanas con las salvas de artillería del ____Según parte del 23 se ha proclamado á Doña María n en el partido do castillo y fortalezas, y ia de la trincadura guarda-costa la Atlante t á que con Feira, habiendo sido establecidas las autoridades civiles, y organizándose en testaron los carabineros y armados con tres descargas de fusilería tan unísonas, Feira , Orar y Oüveíra batallones de vol…</t>
  </si>
  <si>
    <t>…especie de concesión, qué el alc£ido por el señor dicho de Portugal, cuyas circunstancias ison mas análogas á las nuestras. La asig ^'Gaiiano, ni conducta mas poco prudente que la que siguen cu el pelicular los nación de la Reina Doña María n es de solo 10 millones de reales; y ya que que asi opinen. se compara la que se propone para ci trono de España con la de aquellos dos »En cu-.n o á la situación de la Nación, si bien es desgraciada, no lo es países, compárese también con la de este. En Frdncia se dan 48 millones so tanto respect…</t>
  </si>
  <si>
    <t>…salud, aunque ha enflaquecido ¿Igo después de la muerte de Partes recibidos en la secretaría de Estado y del Despacha de la Guerra. su augusto padre. Si puede darse crédito á los que divulgan los secretos d* Es tado , parece que Doña María 11 ha resuelto dar su Real mano al duque de Oficio detallando la acción de Sesma que el brigadier D. Narciso López Leuchtemberg. El presidente del consejo marques de Pálmela la dijo que ahora ha dirigido al capitán general.de Castilla la Vieja, igual al que remitió al podía elegir S. M. ai esposo q…</t>
  </si>
  <si>
    <t>…s 31 de Diciembre. humanidad y al comercio es digno de la ilustración de las dos naciones, cuya Fondos públicos. Tres por 100 consolidados 89t. amistad cimentada en un origen común se aumenta todos los dias. El nuevo embajador de Doña María , M. Sarmiento, ha llegado £ esta ciu «Aunque continuamos en la mejor armonía, con el gobierno francés, sift dad para reemplazar al difunto marques de Funchal. embargo , debemos anunciar que el convenio estipulado &lt;n 4 de Julio de 1831 . -.r, .El museo británico ha gastado durante los últimos veint…</t>
  </si>
  <si>
    <t>…l Goblet saldrá muy pronto y pidan para este efecto el concurso ó el apoyo de la Inglaterra y de la Fran de Berlín, si no se revoca la condición exigida. Persistimos en sostener que aquí cia. Las fuerzas reunidas de Doña Isabel y Doña María bastarán, según todas solo se trata de una de formalidad puramente personal , cuestión que M. Go las probabilidades , para lograr el resultado que se propone el tratado; pero las bio tenia motivos para creer resuelta cuando salió de Golha; y que las causas circunstancias son muy delicadas; Portugal…</t>
  </si>
  <si>
    <t>…l derecho de gentes Seri¿iu».iaéá "mezquina, y superficial la que ¡se; limitase á ver en éstos suce y buena.vecindad, en medio de las circunstancias críticas en que se han encon sos la mer^tqpclúsion de la lucha entre D. Miguel y Doña María, ó el .fin de trado. En consecuencia, no dudan que inmediatamente se suprimirán las. medi los partidos ^que 36 disputaban la posesión del suelo lusitano. No: la gran-batadas restrictivas ycóntrarias que han sido adoptadas en éstos últimos tiempos* 11a que se- ha dado en Portugal es la de los princi…</t>
  </si>
  <si>
    <t>…onores fúnebres del modo siguiente : ra satisfacción al reunirse á sus muy queridas y augustas Hijas la Al romper el d.a se hará una salva de 21 cañonazos, y se continuará dis Reina nuestra Señora Doña Isabil ii y la Sra. Infanta Doña María parando un cañonazo cada cuarto de hora hasta que se ponga el sol. Luisa, que continúan sin la menor noypdad en su impórtame salud. Los buques del Estado amorronarán su bandera durante el día entero. Los Lo participo á V. E. de Real órden para su inteligencia y satisfac oficiales del ejército lleva…</t>
  </si>
  <si>
    <t>…nipostería arreglada, las Cuales porsú sólida construcción pudieran de día 27 de Setiembre llegó á Berlín la Emperatriz de Rusia y su hija nominarse puentes; síi diámetro, ancho y alto de siete y medio pies cada una mayorila gran duquesa María, acompañadas por el Príncipe Guillermo do de las tr£s sobre el rio Serones, cimentadas para mayor firmeza con un zam Prusia. S. M. salió á recibir a su hija a Friedríschsfelde. peado de madera de pino verde, asegurado al terreno arenisco con pilotes ó es tacas, y los cajones embutidos de piedra; y…</t>
  </si>
  <si>
    <t>…r habido guerras extrangeras, y de haber conti citado en esta discusión , nos ofrece un caso parecido. nuado con cierto órden la administración, ese espíritu del siglo eta que vivi «AHI acaba de asonarse cierta suma para la Reina Doña María de la mos, que le caracteriza un impulso irresistible hacia las mejoras, se ha hecho Gloria; y al mismo tici^&gt;o otra para U Reina viuda del Emperador D. Pe-' también sentir en nuestra patiia ; y los que hemos estado ausentes de ella mu dro, y ademas otra cantidad para el Príncipe que acaba de contraer ma…</t>
  </si>
  <si>
    <t>…r placer en anunciar lá juiciosa con de las tropas de D. Miguel debe ser muy poco ventajoso: en las 24 horas si ducta del gobierno para preservar la tranquilidad en los últimos sucesos de la guientes á la entrada de las tropas de Doña María en Coímbra se babian pre reunión de la sociedad de los artesapos. Todas las precauciones estaban toma sentado ya, 5ü entre gefies y oficiales , y 6ü0 entre sargentos, cabos yf soldados; das para impedir un alboroto, aunque no se hizo alarde de amenazas ni de la de los cuales algunos bien armados lo…</t>
  </si>
  <si>
    <t>…úan sin la menor novedad en su im Artículo 1? Los subdelegados de rentas, tan luego como reciban portante salud. esta Real determinación, acompañados de sus asesores, practica- De igual beneficio disfrutan SS. AA. la Sra. Infanta Doña María rán una visita extraordinaria de todos los presos actualmente en las Luisa, y el Sr. Infante D. Francisco de Paula. cárceles por delitos cometidos contra la Real Hacienda, ya esten De Real orden lo participo á V. E. para su satisfacción y efec pendientes de la sustanciacion de sus respectivas causa…</t>
  </si>
  <si>
    <t>…rezclos que causaban estos acoto tejimientos, y sus consecuencias. Se han renovado nuestras antiguas relaciones Hoy se ha proclamado en este pueblo a lq. Rkina nuestra Ser t» don e! con Portugal en cuanto el gobierno de la Reina Doña María ii se ha estable mayor entusiasmo, habiéndose repartido monedas alusiva* a la ..rr. • ..a, cido en Lisboa. Reconociendo inmediatamente por Reina de España á la hija varias limosnas á los presos y menesterosos. Con este motivo * = ;:j •.. : &gt; ;a:: - de Femando vu, ha desmayado la rebelión, y á lo me…</t>
  </si>
  <si>
    <t>…Europa : pero je ros están de acuerda sobro la necesidad de salir de Portugal; pero el Preten- muy. desvirtuado. Nuestra nobleza, cuya autoridad era hija de las hazadiente no quiere oir hablar dé su hermano ni de los ministros de Doña María, fias que libertaron la patria, y no de ja usurpación como en otros países, nun ni quiere tratar mas que con la Inglaterra; de moda que el embajador británico, ca tuvp por legal ni la rebelión coniza el Monarca, ni Ja afectación de la sose halla precisada á encargarse de todas las negociaciones, y…</t>
  </si>
  <si>
    <t>…a de-las cuatro Potencias, casi igualmente intercsjdas cunstancias. en el restablecimiento de la tranquilidad en sus provincias. Las fuerzas de Doña En mi concepto es indispensable una investigación de esta especie antes Isabel y Doña María baten las facciones-, Inglaterra y Francia las desaniman. que la Cámara pueda resolver con conocimiento de causa sobre la cuestión em Ahora, extendiendo la vista al tiempo futuro, cuando del objeto definido bebida en la mocion de M. Ward. Resta únicamente saber si mi respetable de la convención, se…</t>
  </si>
  <si>
    <t>…oridades.. corona. Los Reyes del Astúrias y León, nombrando condes ó go Dispuso inmediatamente la organización de voluntarios, é hizo pro bernadores de las provincias limítrofes; de los moros, y encargán clamar á S. M. Fidelísima Doña María íi -y la Carta constitucional. doles la defensa y población de aquellos paises, dieron origen á Se han presentado en estp ejército varios desertores del enemigo. nuestra primera nobleza: cuando la de Francia y Alemania se fun Asegura dicho general, para satisfacción de la Reina, que en po dó en las…</t>
  </si>
  <si>
    <t>…os si todos lo» Señora y de su augusta madre la Rkiüa Gobernadora, las insignias de la escritores que pasaban delante de nuestros ojos no eran hermanos «amales, y n» gran Cruz de la Concepción de Villa viciosa, que S. M. la Reina Doña María formaban una misma y sola familia con las mismas ideas, la misma traza, la de la Gloria ha conferido á SS. MM. misma fisonomía qualem decet esse sororum. ¡Dios sea Loado 1 El 'libro de Mr. Nisard ha interrumpido esta monotonía, y por fin hemos hallado un in genio que no está vaciado en el molde com…</t>
  </si>
  <si>
    <t>…s medios para hacer que los corregí Arres y ayuntamientos se presten á sus deseos: días 15, 18, 19,25 y 31 del pasado' finalmente opina que el proyecto et una usurpación y un ensayo para establecer En el 18 batieron las tropas de Doña María unas partidas miguelistas hacia la, medidas preventivas que la constitución ha abolido par» siempre. Vota con- la parte de S. Antonio A Areias, obligándolas á huir, y cogiéndola un pri tra.cl proyecto. sionero y 3 armamentos. , El ministro de Justicia, contestando 4 las objeciones que se hacen cont…</t>
  </si>
  <si>
    <t>…os los empleados de las subdelegaciones estaban en sus respectivas plazas, .... Por un decreto del duque de Braganzá en nombre de su augusta Hija ni podían sus gefes exigir que estuviesen cuando la Real orden de 29 de Di la Reina Doña María, .expedido el día 4del corriente en el palacio de las ciembre último había señalado el 31 de Enero como término en que sin excu Necesidades, queda suprimida la iglesia patriarcal, y restablecida la basílica d: sa debían presentarse en sus destinos, so pena de perderlos. Sin embargo, el Sta. María l…</t>
  </si>
  <si>
    <t>…no haber sido por las desavenencias entre el conde de Salda- presidente levanta la sesión. ña y el duque de Tercera, pero nada se hizo. Los 800 belgas y otras tropas extrangeras que fueron í Portugal para servir en el ejército de Doña María es ídem dií los ditutados----- Sesión de ident. tán aun en Lisboa. S$ habla de una mudanza parcial del ministerio: Joaquín Aprobada el acta de la ultima sesión lee el Sr. Cxaillard el informe de la Antonio Magalhaens sera del Interior en lugar de M. Aguiar: Anselmo Braa- comisión que ha examinado e…</t>
  </si>
  <si>
    <t>…ta mentos en que no había autoridades fueron perjudicados vuestros que se reciban las órdenes de S. M. I. el Regente del reino á nom bienes y propiedades: estad tranquilos: la seguridad aumenta con bre de S. M. Fidelísima la Sra. Doña María ii. Mi deber como el establecimiento de las autoridades. Unánimes todos en reconocer militar, y mi patriotismo como ciudadano, me decidieron á aceptar el Gobierno constitucional de la Sra. Doña María ir, y la autori aquel encargo' interino, y revestido de tal carácter voy á mani dad del Regente el…</t>
  </si>
  <si>
    <t>…a administrativa BiÓ curtía de sus tribájó# y del ‘Miguel al PoríUJ^Íy había echadq'"ptír tierra la Constitución; oprimía á su estado actual de la ertrpreSa.' Y''resultandd de todo háber cesado éfireflunente patria, y ahora reina Doña María sobre'un puehha libre: lia Constitución es los motivas que antes la habían paralizado, y haber recaído 'iepiexaltación tá establecida sólida é irrevocablemente.^¡Cuando subimos al ministerio, de empresario en el Sr. D. Francisco Marta Fassio, vecino dé Madrid, sugero era Femando vil Rey de España ,…</t>
  </si>
  <si>
    <t>…isboa 15 &lt;ie Diciembre. trado mas que una especie ó dos que puedan considerarse enteramente idénti cas con los pájaros de Europa. El Sr. d’Orbigny ha tenido el cuidado de dibu Exposición del ayuntamiento de Lisboa á S. M. la Rema Doña María ti. jar y colorear de la naturaleza fresca los ojos y pico de todas las clases de.pu jaros que ha recogido, como igualmente sus huevos. No ha descuidado tampoco Señora: observar sus costumbres y su emigración periódica. Entre otros hechos ha ob El ayuntamiento de la muy noble y siempre leal ciudad…</t>
  </si>
  <si>
    <t>…se al otro. firmado , y pueda presentarse á la' Cámara, no tendré inconveniente en respon Ayer á las nueve de la noche 60tí austríacos se formaron en batalla , en la der á cuantas objeciones se opongan. Sobre el reconocimiento de Doña María,calle de Zeil, en donde permanecieron hasta las cuatro de la mañana: las puer el noble lord pudiera haberse acordado que este acto se verificó antes que notas de la ciudad estaban ocupadas por los prusianos. sotros nos encargásemos del ministerio, y sobre el de Doña Isabel ¿cómo pue Hoy reina ya la…</t>
  </si>
  <si>
    <t>…S. M. el discurso de apertura, y habién el Rey del Reino Unido de la Gran Bretaña é Irlanda; asi como la dose dignado recibirlo, lo leyó, y es como sigue: buena armonía que felizmente existe entre el gobierno de S. M. Fi delísima Doña María u y el de Mi excelsa Hija; siendo tantos y tan lLusíl^V?RSt^ftEfi-^r"SEií^Res Procuradores del Reino: estrechos los vínculos que unen la suerte de uno y,otro Reino, que bien puede decirse que se atiende á la causa propia acudiendo a la común defensa. Al verme en este dia en medio de vosotros, próxi…</t>
  </si>
  <si>
    <t>…e han verificado entre los pobres, nes de la Carta que no pueden alterarse ó dispensarse por las Córtes ge por la falta de ventilación de sus casas, de alimentos sanos y del desarreglo de nerales, proponía: »Que S. M. F. la Reina Doña María 11 fuese habida y costumbres. La lluvia que tanto se deseaba ha purificado la atmósfera y dis tenida por mayor de edad para entrar inmediatamente en el ejercicio de los minuido la enfermedad. Todos los buques están detenidps en el puerto, pues poderes que por la Carta le competen.” Este dictámen fu…</t>
  </si>
  <si>
    <t>…punto, y pierden lo que dieron. n Al otro dia de la muerte del Rey D. Fernando vn, cuando su Real »Se me dirá que no están en el dia en manos de los primeros prestamis cadáver estaba todavía en el regio alcázar, la augusta viuda Doña María. tas los&lt;bonos, y sí en otras que ninguna culpa tienen de la mala fé de estos; y Cristina di Borbon encargó la austodia de sus Hijas á los voluntarios realis quedarían arruinados si se les anulasen; Convengo en que asi sea en parte; y tas de Madrid, quienes cubrieron, en virtud de un privilegio que…</t>
  </si>
  <si>
    <t>…iones rio, con una fuerza naval. acaba de verificarse en Londres.” Art. 51 S. M. I. el duque de Braganza, Regente de Portugal y En virtud de este aviso oficial, y á pesar de no haber llegado de los Algarbes, en nombre de la Reina Doña María ii, participando aun los despachos que habrán dirigido á S. M. asi su encargado de completamente de los sentimientos de sus augustos^AJiados, y de Negocios en aquella corte, como su embajador en la de Paris, se ha seoso ademas de dar una justa retribución á los empeños contraídos dignado mandar la…</t>
  </si>
  <si>
    <t>…spaña é Indias'; ha venido en concederle en nombre de su au INGLATERRA. gusta Hija la Reina nuestra Señora , la gran cruz americana de Isa LSnires 10 di Mayo. bel la Católica. se que está enteramente han declarado y Figueiras por Doña María, y i Coimbra—— —m Según noticias recibidas de Lisboa con fecha l.° de Mayo se dice que han consecuencia Lisboa el entre En libre de enemigos territorio y Oporto. PARTE NO OFICIAR. subido los fondos portugueses. (Couríer■) ___ (.Noticias venidas de Constantinopia hablan de la muerte del príncipe Mi-…</t>
  </si>
  <si>
    <t>…e tenga la cucMmn que acito al P-iriugil, cu’’-' rt-ubte Jc’-e *er -.-ri *.prrr» tiva, y dar confianza ul país, á fin de que proclame á su legitima bt Gritia a Us arma* de su leg;ti.ni boberana Dm.i Mira 11, mu-h.* ma* r-'!*j . ^ Doña María n. En tanto llegue la división de cabaLena y artillería al mando bt n.uías s.o;i 1 js de nu :str.i cara e id')' i* r 1 i 1 R •. ■ \ \ , q.. c i';v- rué b - o .*4 del Sr. mariscal de campo barón de C.arondelet, y se me retinan b»* pg-' &lt;v • j- d 11&gt; en este p 1 -* b • j ) ni; rr. m 1 1, *ien ? &gt; t-J…</t>
  </si>
  <si>
    <t>…las producciones de la prensa revolucionaria, han 'Hegeiité de los deinrisdePortugal, Algarhes y sus dominios, en hom -sido presentadas á las autoridades,-gracias al buen espíritu de los que las ha bre de su excelsa Hija la Reina Doña María ii, dar á V. E. un pd- bían recibido. {Corresponsal de Hamburgo.) ihUeoTtestimonio avie lo sea de la gratitud nacional, y que pruebe él Aireña a. .alto aprecio que hace de la persona de-V. E. por la prudencia y con Viena 3 de Junio.sumada pericia con que ha dirigido los movimientos militares de las…</t>
  </si>
  <si>
    <t>…o «Se nos ha comunicado el extracto que á continuación insertamos de fiará ver si ci Times juzga acertadamente de la posición actual. una carta de las fronteras de Polonia. „Los periódicos de Londres dan noticia del casamiento de Doña María. «Las medidas para despoblar las provincias polacas*sometidas al yugo Se ha celebrado el l.° de este mes por poderes. El joven Duque de Leuchtem- . del Emperador Nicolás continúan con un furor que nada ablanda ni cansa. berg está én camino para Lisboa, adonde llegará hacia el mes de Enero. Los huérfanos…</t>
  </si>
  <si>
    <t>…e jvój quq U ruvhc del 19 se presentaron mas natural del Pretendiente, que era e( de Castello-branco. en la maoa de Domingo Asensio 9 ¡ndividu^, algunos armado» 7 otros no, Estos movimientos dan la señal del triunfo á la causa de Doña María en que parecían ser catalanes, preguntando por C/camino de Aguavivaá la frontera de Portugal. Almeida tremola su pabellón. Unos facciosos fugitivos "La de Palomar con la mimu fcvha me dL&lt; que ci día anterior á «o d« la»</t>
  </si>
  <si>
    <t>…relaciones existentes entré las dea pOt lOi papeles ingleses que Lisboa estaba ocupada por las tropas Constituciona- Potencias, y después de la franca manifestación del sistema de política del Czar, liaV s# apresuró á proclamar á Doña María n con roda la pompa y solemni es difícil comprender el motivo de una fuerza naval tan imponerte. Lá respues dades acostumbradas en semejantes casos. A esto acompaña una copia de otio ta de lord Palmerston no es conocida todavía; pero lo que principalmente «ñirpscho muy largo, indicando las circunst…</t>
  </si>
  <si>
    <t>…emasiado impopulares para que los mas acérrimos legitimisus de policía militar ó administrativa. Para todas las demas, pedirá y esperará osen hacer algo en su favor); pero &lt;c trata de reconocer á Doña Isabel y a nuestras órdenes. Doña María bajo condiciones capaces de detener los progresos revolucio Art. Z° «El agá de los árabes recogerá los informes que le pidan los ge- narios. fes de servicio, miembros del consejo de administración. Nada se sabe relativo á los negocios de Holanda, aunque son mas cono Art. 3.° «La acción y vigilancia…</t>
  </si>
  <si>
    <t>…cial y director de todas las operaciones de esta pe paisanage, influidos por el clero, movieron un alboroto y mataron á varias queña columna y de la que se hallaba á la inmediación dé V. S., sabrá darle personas que proclamaban á Doña María ii. El gobernador envió inmediata el valor que le corresponde , restándome solo manifestar á V. S- que por ir mi— mente 300 cazadores contra los amotinados, los cuales hicieron fuego sobre ellos, tra parte se ba sufrido la pérdida de dos cazadores y un granadero herido* y y de resultas quedaron 80…</t>
  </si>
  <si>
    <t>…ninguna dase cuando traspasan los límites de la de Evora, aunque es consiguiente suceda de un momento á otro por los movi ley , es curioso insertar aqui el juramento que prestan estos miserables, tan age- mientos del ejército de Doña María ti, por cuya razón intento irme rápida no de razón, como contrario á su propia conveniencia. *&gt; Habiendo algunos co mente sobre Campo Mayor, asi que arregle lo principal de que trata la capi misionados de las sociedades ido á recorrer las provincias para hacer prosélitos, tulación de esta plaza que…</t>
  </si>
  <si>
    <t>…tes de 250 hombres, mientras que contestablemente á S. M D. Pedro iv, y después de él-, y por su abdicación los del interior no las tienen mas que de 60 hombres, y aun en los fiempos formal., á su augusta hija la Reina Fidelísima Doña María u,y mediante i de maniobras no pasan nunca las compañías de ISO hombres. Las estacionad», qué de tan manifiesta nulidad solo se deben exceptuar to providencias je jus juiuo al Rín están todas completas. ticia ordinaria.óde gobietno, que por su naturaleza no tieneti carácter políti El príncipe Ester…</t>
  </si>
  <si>
    <t>…l benevolencia al comenda rar la continuación de la» relaciones de a listad entre la bu iza y lo» estado» ve dor D. Alejandro Tomas de Moraes Sarmentó, enviado extranrdina cino-. rio y ministro plenipotenciario de S. M Fidelísima Doña María ir ♦i Lns sinceros deseos de S M. el Emperador, dice M de Bombe! les, con cerca de mi augusta Hija, por el laudable celo ijue manif stó á fin sisten en que estas retacones se ontmú.-n sin micrrupcon entre su imperio y de estrechar los vínculos de alianza entre una y otra Solí-rana ; lie un país, cu…</t>
  </si>
  <si>
    <t>…rtículo de Munich, fecha 6 del comente, se anuncia sin novedad en su importante salud en el Real Sitio del Pardo. que ya estaban concluidas las negociaciones relativas al casamiento &lt;jel duque Augusto de Leuchtemberg con la Reina Doña María; sin embarga no indican cuando se celebrará dicho matrimonio. Doña Isabel ii, por la gracia de Dios, Reirá de Castilla, de León, de Aragón, de las Dos Sicilias, de Jerusalen, de Navarra, ____ El Aforning Chroniele y el Courier de 17 del actual, que tenemos á la ,rle Granada, de Toledo, de Valencia,…</t>
  </si>
  <si>
    <t>…arte del considerable tren de pasa la lídéa de sus atribuciones, es de parecer: que la regencia del reino, du artillería con que los españoles batieron y tomaron á la referida ciudad, lla rante la menor é&lt;Jad de la Reina y Señora Doña María ir, debe continuar en mada y con razón por los moros, á causa de su fortaleza, el antemural de la Persona det St. D. Pedro, duque de Braganzai con 4a*-atrihucion&lt;g._dc los G ranada, y que debieran honrar un museo, como testimonio de los descubri poderes ejecutivo y moderador, señalados en la Carta…</t>
  </si>
  <si>
    <t>María, Antonio Navarrete y D José</t>
  </si>
  <si>
    <t>Antonio Navarrete y D José María</t>
  </si>
  <si>
    <t>…-Lord Grey ha sido primer ministró tres afios,siete meses y veinte y dos la sangro, á quienes se Ies-administró dicho remedio bajo la diwvrlon A-I ’ dias. Su predecesor el duque de Wéllihgton lo fue año y medio menos, y des ciado D. Antonio Navarrete y D. José María de la Cuadra, siendo el prime de el de J754 solo ha habido* cuatro primeros ministros que hayan permane ro uno de los comisionados por esta corporación, el que ha informado se ad cido en el poder un periódo mas largo. Estos fueron él duque dé Newcastle, virtieron en los enfermos fuertes excitaciones c…</t>
  </si>
  <si>
    <t>María, Cár VAlíTEtíA'ttKS STAn'lSTtCAS' OBI RBmtV los</t>
  </si>
  <si>
    <t>Cár VAlíTEtíA'ttKS STAn'lSTtCAS' OBI RBmtV los María</t>
  </si>
  <si>
    <t>"^mExcijio. Sr,: El navíp ingles £jotífgal)en que se halla, embarcado D. Cár- . VAlíTEtíA'ttKS.^STAn'lSTtCAS' OBI RBmtV - los María Isidro, ha levado anclas á lás doce y treinta y'cinco^ninutos dcl dia^ de hoyj y aunque con muy poco viento, ha pasado la barra á las tres de ia tarde.” ) -.j .Concluye el4rtícu\ode la Gaceta núm.106. j.r. Y no retardo en trasmitirla á V"! £.' para la debida noticia dé la adusta. , LoguoRív. . (Fró…</t>
  </si>
  <si>
    <t>María, Cario</t>
  </si>
  <si>
    <t>Cario María</t>
  </si>
  <si>
    <t>…tribuir á ello las mu- pero desearía que en la redacción se hiciesen dos ligeras enmiendas. Una peres.” Por fortuna nuestra lejos de hallarnos en ese caso, estamos muy lejos de a, suprimir la palabra Infante; llamándole solamente D. Cario* María él: nosotros vivimos bajo el gobierno paternal de nuestra Reina Dofis Isabel ir, Isidro de Borbon, porque aunque sé muy bien que ysa de la acepciones y de su augusta Madre la Reina Gobernadora; donde por los medios ordina de ala voz se aplica á todos los hijos que no sean.el primogénito del Rey, la…</t>
  </si>
  <si>
    <t>María, Cárlos</t>
  </si>
  <si>
    <t>Cárlos María</t>
  </si>
  <si>
    <t>…ica.quc me.tiene de decretos mismos de la augusta Reina Gobernadora,, Digo, púa, que desea cidido á adoptar dicha exclusión; porque las de mas, sea cual fuere Ja. fuerza ría te dijese simplemente.,«Se .declara quedar 1 excluido;4 D. Cárlos María que quiera dárselas, por mas que yo quisten invocarlas, en cónciencia no las Isidro de Borbon.(no del derecho , que ata eslascgunda enmienda que yo encontraria bastante fuertes; solo sí hallo fuerte y poderosa la de la suprema quisiera se hiciese), de la,sucesión á la corona de Espafia porque derec…</t>
  </si>
  <si>
    <t>María, D Jacobo</t>
  </si>
  <si>
    <t>D Jacobo María</t>
  </si>
  <si>
    <t>…eres, y se bje día para sudiwuvoo E'.te negocio no misas de una memoria fundada en el Pueblo de Lameira Ce Doneircs, y que es una cesa de poco momento, es un negocio arduo; por consiguiente fv-do que siendo uno de ellos el Excmo. Sr. D. Jacobo María de iVg.» , dirigía al en cumplim ento de lo que previene el reglamento se imprima el informe de Excmo. Sr. Presidente para que se sirviese indicar en que términos debía tener Ja comisión , se distribuí a v se bje un día para discutirlo. efecto diebo emplazamiento por ante escribano, como pievenia ia c…</t>
  </si>
  <si>
    <t>María, D José</t>
  </si>
  <si>
    <t>D José María</t>
  </si>
  <si>
    <t>…fallecimiento desbi'éápoio el Sr. D- Juan de Urblna, nombrado Pro- toafcion.” ' ' * ' esuador porMllaga. ’" ¡ Sr. Montes^: »&gt; Creo de mi deber manifestar quede ninguna manera pue Queiló entelado el Estamento de una exposición del Sr. D. José María de decir&amp;e que el interesado que motiva esta discusión se ha excusado por re López ele Pedraza, electo-Procurador por Córdoba, manifestando no poder traimiento al trabajo, del grave y defiendo encargo que sü provincia le ha con—r «encurtir i' lis sesiones por hatlarsc enfermo. ferido. Consta ¿ muchos…</t>
  </si>
  <si>
    <t>María, Dofia</t>
  </si>
  <si>
    <t>Dofia María</t>
  </si>
  <si>
    <t>…a^balle Larga de la- misma, bajo el aprecio/de 13,593. rs. vellorí; Igualmente son bellos loe tres romances en que celebra la venida de S. M. admitiéndose posturas en metálico que no bájen de Las dos terceras partes de dicho J la Reina Dofia María lsabel de Bragjwza desde eLBrasil á Cádiz. Pero todavía aprecio; y no habiéndolas por su total, en pápel de la deuda consolidada por el valer nominal que tenga; prefiriéndose el que gana el 5 por 100 al qué solo gana el 4ry eh fio*-parto*^nejaren cuanto al plan y á la ejecución el que empieza en la…</t>
  </si>
  <si>
    <t>María, Doña'</t>
  </si>
  <si>
    <t>Doña' María</t>
  </si>
  <si>
    <t>…y miraban el féretro con aquel respeto .religioso Austria, é hija del Emperador Francisco i, de cuyo consorcio nació en 4 de que inspira un templo arruinado que fue mansión de una divinidad. Parte de Abril de 1819 la muy augusta Sra. Doña' María de ia Gloria, boy Reina rei Jas calles por dónde pasó el entierro, estaban Colgadas de negro: las'tiendas nante de la monarquía constitucional portuguesa. i estuvieron cerradas todo el dia, y en medio de las/ demostraciones luctuosas Habiendo llegado al Brasil ia noticia de los acontecimientos del 24…</t>
  </si>
  <si>
    <t>María, Fidelísima Doña</t>
  </si>
  <si>
    <t>Fidelísima Doña María</t>
  </si>
  <si>
    <t>…as compañías fuertes de 250 hombres, mientras que contestablemente á S. M D. Pedro iv, y después de él-, y por su abdicación los del interior no las tienen mas que de 60 hombres, y aun en los fiempos formal., á su augusta hija la Reina Fidelísima Doña María u,y mediante i de maniobras no pasan nunca las compañías de ISO hombres. Las estacionad», qué de tan manifiesta nulidad solo se deben exceptuar to providencias je jus juiuo al Rín están todas completas. ticia ordinaria.óde gobietno, que por su naturaleza no tieneti carácter políti El príncipe Ester…</t>
  </si>
  <si>
    <t>María, Gines</t>
  </si>
  <si>
    <t>Gines María</t>
  </si>
  <si>
    <t>…apital 14 personas, fallecie García Veigara: para' la de Cartagena á D. José Macho de Quevedo: para la ron 3 y quedaban 14 enfermas: en los otros cinco pueblos de la misma priV-de Valls á D. Jaime Prenafeta: para la de Canjayar á D. Gines María de las vincia que habían dado noticia de su estado sanitario era cortísimo el númeroHerís: para la de Avilé* á D. Pascual Argtlelles Toral: para la de Villanue- de casos desgraciados; va de los Infmtesá D. Javier de Surga: para la de Morilla del Palancar á D. José María Serrano: para el corregimiento de T…</t>
  </si>
  <si>
    <t>María, Infanta Daña IsabeL</t>
  </si>
  <si>
    <t>Infanta Daña IsabeL María</t>
  </si>
  <si>
    <t>…Dima el dia 28 á las facciones reunidas de Tor 3p*receQ de la copia húmero 1.a, escribiendo al mismo tiempo lo que refiere ré , Castor, Sopelana, Basilio, Goiri ¿ {barróla, á quienes después de una hora el número 2 a á la Serma. Sra. Infanta Daña IsabeL María, y por contestación de un vivo fuego, los habia dispersado causándoles 50 muertos, cogiéndoles 2 he recibido to que se servirá ViE mirar ea.cl número 3.a, satisfaciendo mis prisioneros, y nevándose ellos considerable número de heridos. deseos del. pronunciamiento por la Sra. Doña María n de la indi…</t>
  </si>
  <si>
    <t>María, Infanta Doña</t>
  </si>
  <si>
    <t>Infanta Doña María</t>
  </si>
  <si>
    <t>…s de avisar á todas las personas que delien asistir a ellos y resi dan en sus res [lectivos distritos. Después de dar la voz de la hora Excmo. Sr.: S. M. la Reina nuestra Señora, su augusta Ma dre la Reina Gobernadora, y S. A. la Señora Infanta Doña María añadirán la de «fuego en tal parroquia” para conocimiento del ve-' cindario.Luisa, continúan sin novedad alguna en su importante salud. De4t&gt;. Todas las guardias y piquetes de la población destacarán UBReal orden lo participo á V. E. para su satisfacción y para los efec ordenanza al principal, dand…</t>
  </si>
  <si>
    <t>…u harán los honores fúnebres del modo siguiente : ra satisfacción al reunirse á sus muy queridas y augustas Hijas la Al romper el d.a se hará una salva de 21 cañonazos, y se continuará dis Reina nuestra Señora Doña Isabil ii y la Sra. Infanta Doña María parando un cañonazo cada cuarto de hora hasta que se ponga el sol. Luisa, que continúan sin la menor noypdad en su impórtame salud. Los buques del Estado amorronarán su bandera durante el día entero. Los Lo participo á V. E. de Real órden para su inteligencia y satisfac oficiales del ejército lleva…</t>
  </si>
  <si>
    <t>…adora, continúan sin la menor novedad en su im Artículo 1? Los subdelegados de rentas, tan luego como reciban portante salud. esta Real determinación, acompañados de sus asesores, practica- De igual beneficio disfrutan SS. AA. la Sra. Infanta Doña María rán una visita extraordinaria de todos los presos actualmente en las Luisa, y el Sr. Infante D. Francisco de Paula. cárceles por delitos cometidos contra la Real Hacienda, ya esten De Real orden lo participo á V. E. para su satisfacción y efec pendientes de la sustanciacion de sus respectivas causa…</t>
  </si>
  <si>
    <t>María, Infanta Doña Isabel</t>
  </si>
  <si>
    <t>Infanta Doña Isabel María</t>
  </si>
  <si>
    <t>…a y Señora Doña María ti en la conformidad que se haya practicado en Evort él 26 del corriente. El caballero Ríos entregó igual siguientes: «Señora: Lí Real sociedad económica de Amigos del pais de la ciudad de mente á S. A S. la Sra. Infanta Doña Isabel María los papeles de que venia Santiago, nos ha confiado la honrosa misión de ofrecer á L. R. P. de V. M. comisionado por V. E el mas respetuoso homenaje de su gratitud, por haberse dignado sancionar el Con esta ocasión aseguro á V. E. mis respetos, y me ofrezco á todo cuanto Estatuto Real , origen fecundo y…</t>
  </si>
  <si>
    <t>…ente resulta ,que después de haber sido ba ca tnp. A las cinco»recibió S. M. 1. al conde de Porto Santo que vino á cum tida la facción de Carrasco y .Pedro Recio «n Villanueva de la Sagra y Montes plimentarle de parte de $. A. la Sra. Infanta Doña Isabel María por la feliz del Duque , se continuó en su persecución con la mayor actividad, resultando llegada de SS. MM. de ella habérseles cogido 2 prisioneros y 6 caballos, dispersando enteramente SS. MM. recibieron al cardenal patriarca de LUboa , al conde mayordomo dicha facción en términos, que su cabecil…</t>
  </si>
  <si>
    <t>María, Isabel</t>
  </si>
  <si>
    <t>Isabel María</t>
  </si>
  <si>
    <t>…e, tuvieron el honor de presentarse i S. M. la Rbwa Olalla 3.0 de Mayo, do 1834 f 3o* nuo-rc do la martaitá-—Serma. Sra.cs José . Gobernadora, y besar su Real mano, los Exentos. Sres- D. José María Mos- Ramón Rodil. =:Serma. Sra. Doña Isabel María, Infanta de Portugal, resi coso de Altamira , Secretario de Estado y del Despacho de lo Interior; D. Ma dente en Yclvcs.-=F-s copÍ3 ~José Ramón Rodil. nuel Fernandez Vatel»,'Comisario general de Cruzada, y D.’ Luis López Ba llesteros, consejero de Estado, como individuos de la sociedad económica de…</t>
  </si>
  <si>
    <t>…,que después de haber sido ba ca tnp. A las cinco»recibió S. M. 1. al conde de Porto Santo que vino á cum tida la facción de Carrasco y .Pedro Recio «n Villanueva de la Sagra y Montes plimentarle de parte de $. A. la Sra. Infanta Doña Isabel María por la feliz del Duque , se continuó en su persecución con la mayor actividad, resultando llegada de SS. MM. de ella habérseles cogido 2 prisioneros y 6 caballos, dispersando enteramente SS. MM. recibieron al cardenal patriarca de LUboa , al conde mayordomo dicha facción en términos, que su cabecil…</t>
  </si>
  <si>
    <t>María, Isabel y de Doña</t>
  </si>
  <si>
    <t>Isabel y de Doña María</t>
  </si>
  <si>
    <t>…al se conceden al gobierno 4009 francos paraje creemos que los recursos militares no se buscarían fuera de la Península. Re Jos invierta en socorrer Jos heridos y las familias de los que han perecido en hs ] unidas las fuerzas de Doña Isabel y de Doña María serian mas que suficientes desgraciadas ocurrencias de este mes, y á los guardias nacionales que con «te para lograr el fin que se apetece, y la Francia y la Inglaterra no tendrían que mismo motivo han tomado las; armas. Este proyecto de ley se manda imprimí* suministrar tropas. (Olote.) y distribu…</t>
  </si>
  <si>
    <t>María, Isabel y Doña</t>
  </si>
  <si>
    <t>Isabel y Doña María</t>
  </si>
  <si>
    <t>…cual el general Goblet saldrá muy pronto y pidan para este efecto el concurso ó el apoyo de la Inglaterra y de la Fran de Berlín, si no se revoca la condición exigida. Persistimos en sostener que aquí cia. Las fuerzas reunidas de Doña Isabel y Doña María bastarán, según todas solo se trata de una de formalidad puramente personal , cuestión que M. Go las probabilidades , para lograr el resultado que se propone el tratado; pero las bio tenia motivos para creer resuelta cuando salió de Golha; y que las causas circunstancias son muy delicadas; Portugal…</t>
  </si>
  <si>
    <t>María, Jacobo</t>
  </si>
  <si>
    <t>Jacobo María</t>
  </si>
  <si>
    <t>…, y se bje día para sudiwuvoo E'.te negocio no misas de una memoria fundada en el Pueblo de Lameira Ce Doneircs, y que es una cesa de poco momento, es un negocio arduo; por consiguiente fv-do que siendo uno de ellos el Excmo. Sr. D. Jacobo María de iVg.» , dirigía al en cumplim ento de lo que previene el reglamento se imprima el informe de Excmo. Sr. Presidente para que se sirviese indicar en que términos debía tener Ja comisión , se distribuí a v se bje un día para discutirlo. efecto diebo emplazamiento por ante escribano, como pievenia ia c…</t>
  </si>
  <si>
    <t>…Hacienda del Consejo Real de España é In Ministros; he venido en mandar, en nombre de mi muy cara y dias, creado por mi decreto de 24 de Marzo último, vengo en amada Hija Dóña Isabel ii : nombrar á D- Francisco López de Alcaráz, D. Jacobo María d¡rArtículo l.° Las provincias en que se halla dividido el terri Parga, D. Niceto de Larreta y D. José Pinilla, y para secretario torio de la Península e Islas adyacentes por mi decreto de 30 de á D. Francisco de Gárate. Tendréislo ententendido, y lo comunicareis Noviembre próximo pasado, quedan su…</t>
  </si>
  <si>
    <t>María, Joaquín</t>
  </si>
  <si>
    <t>Joaquín María</t>
  </si>
  <si>
    <t>…e ptepmtó igualmente s» ae tomqrs* en consideración Ispropcmaou de quek tratábanlo que asise tesolyió por $4 votos contra 48. En seguidas* lecenciy.en que te encóenfra. £&gt;■, .' i . Se matx^ron pwyr i la comisión de Poderes los de D. Joaquín María de preguntó si pasaría 4 »ñ comisión de lo Interior, '</t>
  </si>
  <si>
    <t>María, Joaquín Santa</t>
  </si>
  <si>
    <t>Joaquín Santa María</t>
  </si>
  <si>
    <t>…s que para el 4° regimiento dé la guardia Real de infantería Id. sin interes, 00. Acciones del banco español, 00. se había separado de Ja columna del coronel D. Nicolás Sauz, mandándolos el CAMBIOS. teniente del propio regimiento D. Joaquín Santa María, que llevaba igualmen Amsterdaxn, 00. París 16. Cádiz | b. Sevilla par. te 25 soldados de su cuerpo y 20 del de cazadores á caballo de la Guardia Bayona, 00. Alicante á corto pla Coraba f d. Valencia kt. Real , fueron atacados bruscamente por unos 500 rebeldes que ocupaban loa Burdeos, oo. zo i b.…</t>
  </si>
  <si>
    <t>María, José</t>
  </si>
  <si>
    <t>José María</t>
  </si>
  <si>
    <t>…ecimiento desbi'éápoio el Sr. D- Juan de Urblna, nombrado Pro- toafcion.” ' ' * ' esuador porMllaga. ’" ¡ Sr. Montes^: »&gt; Creo de mi deber manifestar quede ninguna manera pue Queiló entelado el Estamento de una exposición del Sr. D. José María de decir&amp;e que el interesado que motiva esta discusión se ha excusado por re López ele Pedraza, electo-Procurador por Córdoba, manifestando no poder traimiento al trabajo, del grave y defiendo encargo que sü provincia le ha con—r «encurtir i' lis sesiones por hatlarsc enfermo. ferido. Consta ¿ muchos…</t>
  </si>
  <si>
    <t>…os valientes que sostienen el trono legítimo de su^ ocupación de temporalidades de los eclesiásticos siguientes: D. Be muy querida Hija, y recompensar dignamente la ejemplar decisión nito González de Mendoza, capellán en Vitoria: D. José María de tan fiel servidor, ha tenido á bien conferirle la plaza de conser Puente, presbítero sacristán de la parroquial de S. Vicente de la vador del Real patrimonio de la nueva población de S. Carlos de misma: D. Andrés de Herenchun, beneficiado de Aberasturi: Don ' la Rápita , en el Principado de Cataluñ…</t>
  </si>
  <si>
    <t>…r Valhabia eu Limpias, Colmdres y. demas puntos circunvecinos. deredible al valle de Valdivieso. El dia 16 ocupaba la facción vizcaína la villa de Limpias, distante dos le A consecuencia de esta noticia ordenó Bedoya el dia / que D. José María m</t>
  </si>
  <si>
    <t>María, Luis</t>
  </si>
  <si>
    <t>Luis María</t>
  </si>
  <si>
    <t>…de nuestros valientes, v seguido de mi niente del Real cuerpo de artillería D. Serapio de Pedro, y del alférez Don ayudante el cap't in de! ligeros de caballería, D. J uan ZivaU , del de U José Lasala: y de mis ayudante*de campo D. Luis María, y D. Genaro Ma plana mayor teniente dj:l 4 ° de U Gviarcha de infantería D. José O'ive , Do* ría de Que&amp;ada , tenientes de la'Guardia Real de infantería, y D. Jo»é Fran Julián Vdscaran y IX Rufino Iptfia, capitán y temerte graduado de infarten^ cisco Vidondó, teniente del regimienta infantería de…</t>
  </si>
  <si>
    <t>María, Manuel</t>
  </si>
  <si>
    <t>Manuel María</t>
  </si>
  <si>
    <t>…do.la junta de beneficencia erigida en los años de 1822 Barajas.................. 27 Íul. á 2 Ag. 21 9 3 y 23 , determiné sirrestableeifniento .como auxiliar de este gobiernp cfvil; oficié de»de luego á su antiguo director el Dr. D. Manuel María deTTMarmol y á los Canillejas.............. 23 Jul.i 4 Ag. 00 1 1 vocales que existían* y reunidos todos me propusieron «1 número de personas necesario para completar la junta, quedándome la satisfacción de haber sido Chincbon........... .. Id. id. i 3 Ag. 209 133 26 todas dignas del mayor aprecio…</t>
  </si>
  <si>
    <t>…de gloria en esta rápida cuanto gloriosa jornada, son: D. Julián. García Blanco, teniente de la Mili Relación de los individuos %ue se distinguieron y se citan en el anterior cia urbana de infantería, y gefe que mandó la acción. D. Manuel María dé parte. Silva. Tomás Montalvo. Sotero Silva. Francisco Alonso. Ventura Bargueño: CUERPOS. todos milicianos Urbanos de dicha arma. IX Pedro Carrasco, sargento segundo Regimiento de Soria, 9.° de Hnea.=Coronel del cuerpo, D. José Moreno, de la Milicia urbana de caballería- Diego García. Justo Moren…</t>
  </si>
  <si>
    <t>María, Miguel y Doña</t>
  </si>
  <si>
    <t>Miguel y Doña María</t>
  </si>
  <si>
    <t>…elaciones del derecho de gentes Seri¿iu».iaéá "mezquina, y superficial la que ¡se; limitase á ver en éstos suce y buena.vecindad, en medio de las circunstancias críticas en que se han encon sos la mer^tqpclúsion de la lucha entre D. Miguel y Doña María, ó el .fin de trado. En consecuencia, no dudan que inmediatamente se suprimirán las. medi los partidos ^que 36 disputaban la posesión del suelo lusitano. No: la gran-batadas restrictivas ycóntrarias que han sido adoptadas en éstos últimos tiempos* 11a que se- ha dado en Portugal es la de los princi…</t>
  </si>
  <si>
    <t>María, Nicolás</t>
  </si>
  <si>
    <t>Nicolás María</t>
  </si>
  <si>
    <t>…LasCórtes generales del reino, después de haber examinado mientd.=Yo la Reina Gobernadora—Está rubricado &amp; la Real uta— con el debido detenimiento, y observando todos los trámites y for- no.=En el Pardo á 6 de Noviembre de l83i=A D. Nicolás María itidlidades prescritas, el asunto relativo á la abolición del Voto de Garelly. _____ Santiago, que por orden de V. M, dé 23 de Agosto último, y con forme con io prevenido en los artículos 30 y 33 del Estatuto Real, REALES DECRETOS. se sometió á su examen y deliberación, presentan respetuosamente Ac…</t>
  </si>
  <si>
    <t>…fubVsco*. Tres por 100 consolidados 02f* pond’eis lo necesario á su cumplimiento.=L st.i i u rieado de la JL al .M. Stanley , sir J. Graham , el conde de Kipon y el duque de Richmond, mano = En Aranjuez á 4 de Junio de 18-34.— A D. Nicolás María han hecho dimisión de sus destinos, ia cual creemos que ha st:o aceptada. M. Stanley , según dicen , se retira por escrúpulos rcligio-os , rrws bien que políti Garelly. cos, con motivo de la conducta que los ministro* juzean necesario adoptar res pecto de la igle-ia de Irlanda. No disimularemos lo…</t>
  </si>
  <si>
    <t>…y llegarán a su per tendido, y dispondréis lo necesario para su cumplimiento. = Está rubricado de fección. Reservada estaba para los dias de V. M- la grande obra de la regene la Real mano. —En Palacio á 9 de Febrero de 1844- = A D. Nicolás María ración española por medio de leyes y reglamentos, sin los cuales era imposible I que los intereses públicos tuviescp rapidez en la marcha, simplicidad en sus I Garclly. formas, ni justicia en sus resultados- Todos, Señora, caminaremos i un mismo I Vengo en reponer á D. Francisco Fernandez del Pino,…</t>
  </si>
  <si>
    <t>…extracción del reino. [ [tendido, y dispondréis lo necesario á su cumplimientoc^Está rubricado de la 7.a Que los flejes de hierro paguen por derechos de entrada, los que están se-I [Real mano.=En Aranjuez á 18 de Marzo de Í834*=A D. Nicolás María ñalados en Real orden de 23 de Marzo de 1831 , á saber: el quintal de hierro I |Garelly. en flejes 26 rs. en bandera e-pañola y 34 en extrangera, y que la arroba de flejes de madera pague en bandera extrangera 6 rs. , y en española 4 re* 7 I Para la plaza de Regente de la Real audiencia de Granada…</t>
  </si>
  <si>
    <t>…comisión de provincia, cuióátMo de que X elpcciao’T»~ -: lo OtMíunicáreis á quién' corresponda.—Está rubricado de la Real en personas de conocida aptitud y probidad. En todo Jo demás,, , tnaÍKK^En eí Pardóá 22déOctubre de!834.=A D. Nicolás María tivo á exámenes se continuará observando, hasta nueya resoluci^i 4 / Garett*. . S. M-, lo dispuestp en el pXn general A fos que jueac»</t>
  </si>
  <si>
    <t>María, Oírlos</t>
  </si>
  <si>
    <t>Oírlos María</t>
  </si>
  <si>
    <t>…er en la co llos a las costas del Eufrates, y bocados allí ai agua. La expedición será di rona de Fsjiaña. rigida por ci capitán de artillería Real Ghcsnev , que tendrá á sus ordenes 20 Art. 2? -Se declara asimismo que el Infante D. Oírlos María artilleros, un teniente de la marina Real, dos maestros, varios ingenieros .Ve Isidro de Borlion y toda sn línea quedan privados de la facultad de ( Timej.) volver á los dominios de España.” Sanciono, y ejecú:ese.=Yo la Reirá Gobernadora.=Está rubri T a mayor parte de los periódicos franceses han h…</t>
  </si>
  <si>
    <t>María, Paña</t>
  </si>
  <si>
    <t>Paña María</t>
  </si>
  <si>
    <t>…ci jdócilmente unas trabas semejantes a las formalidades á que en la actualidad miento de V. E. han obtenido deS.M. I. Regente en nombre de están sujetos los pasaportes. La Confederación puede y debe reclamar él libre larReina la Señora Paña María n, me apresuro á én.viar á V- E. el ejercicio de todos H» derechos que se reconocen tn cualquier Estado indepen 'ádjuhfó 'oficio del ministro y Secretario'.de Estado y de los negocios diente , conforme &amp; los principie» generalmente admitidos del derecho de gente» "Esperando qfie en este particular…</t>
  </si>
  <si>
    <t>María, Santa</t>
  </si>
  <si>
    <t>Santa María</t>
  </si>
  <si>
    <t>…actos y en verso, por D. Ma friega haber tenido los enemigos tres muertos y algunos heridos, consistiendo nuel Bretón de los Herreros, representada con general aceptación en el teatro dril I? la nuestra en tres de los últimos. El teniente Santa María elogia el comporta miento de todos, y muy particularmente recomienda el entusiasmo de los re ■p clutas , pues que rio conociendo apenas el uso de las armas, se mostraban con Rodríguez: ,Ferrol, Tejada: Zaragoza, YagQe: Salamanca, Reyes: Coruña, Calvete. Córdoba, Berard: Jerez, Bueno: Jaén, Cereceda…</t>
  </si>
  <si>
    <t>Mariana, He España del P</t>
  </si>
  <si>
    <t>He España del P Mariana</t>
  </si>
  <si>
    <t>…io tiene inconvenientes; pero comp lugar de custodia, á pro pósito para el cultivo de principios morales y religiosos, y para preservar á ANUJ1CIOS. los detenidos dé toda contaminación, no nos parece que tiene ninguno. ' Historia general He España del P. Mariana, ilustrada y continuada por D. José -La mención de las utilidades morales que pueden sacarse de las ci recles S^hau y Blanco, canónigo que fue de S. Isidro. Tomo vi. Abraza esre tomo los libros nono y décimo del autor, en que se continúa la historia de la restauración de España. de detención, nos t…</t>
  </si>
  <si>
    <t>Mariano</t>
  </si>
  <si>
    <t>…por la fron ra y Marina. Llegados, pues, al Callao se expidieron inmediatamente órdenes tera para visitar por sí mismo los sitios en que se han mapifestádo síntomas para que se reconociese al benemérito señor general de división D. Mariano de colera, ha publicado con este motivo una órden del día, de áa cual cita Nccochea por comandante~en gefe de las tropas que estaba11 en Lima: para remos el siguiente extracto. que el coronel Allende encargado del E. M. N. viniese á esta plaza: para que »E1 teniente general previene i la división que…</t>
  </si>
  <si>
    <t>…ia , D. G.nbriel : Pa mplona , Eras un : Plasentia, Pis: Puigdel Fomento con ojicio de 11 de Enere. eerdá , A badal : Reus , viuda de A n ge ion : S . la manca . Reyes : S.. ntander , Otero : San tiago, Rey Rom-ro: Sevilla, Caro, D. Mariano: Tarragona, Vrrdegu-r: Toledo, I Las esperanzas que la junta superior le Sanidad de esta provincia conservó Hernando:Polo y Yr#gUe.Tortosa , Puigrubi Valencia , Herrera: Val ,adolid , Pastor : Zaragoza, siempre de que no se alterase el satisfactorio estado de salud pública de que goza ------ Se hal…</t>
  </si>
  <si>
    <t>…adictorios que corrían respecto al bierno civil de_ la provincia de Castellón de la Plana el marques regreso del conde Munch-Belíinghausen. Parece indudable que este ministro, de Villorés, he venido en nombrar para reemplazarlo á D. Mariano que según algunos había sido promovido á la dignidad de vicecanciller, regresa Valero y Arteta, gobernador civil de la provincia de Lérida, el sin falta á esta para el día 15 ó 17 dq Julio próximo, á fin de continuar des cual se presentará a servir su nuevo destino inmediatamente, y en empeñando su…</t>
  </si>
  <si>
    <t>…n de re»ulras de este orden de co inevitables males que se originarían del retraso de los negocios de sas , les ha concedido para siempre y á sus hijos y vucesoie* d derecho de dis dicho superior tribunal, ha venido en mandar que D. Mariano Du- poner de sus bienes, sea inur-rivos, ó por declaración de su última voluntad. TXn pase A las islas Filipinas con el carácter de fiscal sustituto, con {Gaceta dt Augsburgo.) Opción á Ja primera plaza de ministro ó fiscal que vacare en el mis TTAVCIA. mo, sin necesidad de nueva declaración. Por otro…</t>
  </si>
  <si>
    <t>…; D. Luis de UrrcjqlajD. Joaquín Carrion y que debe concurrir M. Ancillon. Las providencias que van i to Moreno. marse serán tales, que basten á desmentir los rumores injuriosos es Y para la plaza de secretario de dicho consejo á D. Mariano parcidos poy-periodistas extrangeros sobre las intenciones que falsa Milla. mente se atribuyen á los gobiernos de Alemania y al congreso de Lo que de Real órden comunico á V. E.. para su inteligencia, ministros. No es fácil persuadirse cuánto trabaja el espíritu de par á fin de que pasando los opor…</t>
  </si>
  <si>
    <t>Mariano, Femando María</t>
  </si>
  <si>
    <t>Femando María Mariano</t>
  </si>
  <si>
    <t>…ahora despacharse, y se han despacha do en efecto, expedientes que bajo la división y régimen antiguo El 10 del presente mes es el cumpleaños del Sermo. Sr. Infan habrían necesitado una semana, y se han despachado mejor y con te D. Femando María Mariano, hijo del Sermo. Sr. Infante Don mas arreglo a los principios de justicia: porque con mas reflexión Francisco de Paula; y siendo dia de media gaia sin uniforme, se se puede atender al examen de las reclamaciones y documentos en anuncia al público para corregir la equivocación que se ha pade sin* qu…</t>
  </si>
  <si>
    <t>MarianoVa, José</t>
  </si>
  <si>
    <t>José MarianoVa</t>
  </si>
  <si>
    <t>…: entonces el otro rey de una de economía política 4 cargo del vice-censor de la misma D. Manuel Caarmas, licenciado D. Francisco José de QueSida, lo preparó con las roces de brera, y otra de una escuela normal según el método de D. José MarianoVa0¡d, oíd., oidj y cuando hubo concluido, el Sr. alférez Real D. Feliz Quin llejo, que gratuitamente se ha ofrecido 4 dirigir el sócip D. Juan Estrella. tero dejó satisfechos sus deseos publicando: Castilla, Castilla, Castilla: la J¡:1 ciudad de Santiago de las Vegas proclama y jora por su KÉítra y S…</t>
  </si>
  <si>
    <t>Mariasalie, Isabel</t>
  </si>
  <si>
    <t>Isabel Mariasalie</t>
  </si>
  <si>
    <t>…SS. MM. nídad y provecho era la major atención. El resultado fue que drjaroo» c- :i «n la capilla de palacio. campo de 12 Á 14 muertos, y segün lo que dicen los pucb os, ller.irnn ios ene A la una menos cuarto SS. MM. y A. Sermh. Doña Isabel Mariasalie- migos al retirarse mas de 30 heridos. Yo no acabo de concebí . .Excmo. # ron del palacio de las Necesidades para ir al salón de Cortes, donde fueron re cómo en mi fuerza no he tenido la menor novedad, porque el fuego incesan cibidos á la puerta por una diputación de las dos Cámaras, gefes y emplead…</t>
  </si>
  <si>
    <t>MaríaXuisa</t>
  </si>
  <si>
    <t>…ssobrevulgaresestas calidadesque sé estáhan laocude ,' S. Jtfi.la Reina nuestra_Señora, su augusta Madre la Reina pado de ella. Indicare mas bien la buena acogida que tendrá entre nuestros con Gobernadora y la Serma. Sra. Infanta Doña MaríaXuisa, continúan - ciudadanos § y él nhúndante fruto qite-ofrrn*fa"~M~] lectura desdé que es la nación sin novedad en su importante .salud en el Real Sitio del Pardo. española quien proclama estos principios. Unidos por tantos siglos á las desven turas de su política absurda; partícipes de su esclavitud…</t>
  </si>
  <si>
    <t>MaríaXuisa, Infanta Doña</t>
  </si>
  <si>
    <t>Infanta Doña MaríaXuisa</t>
  </si>
  <si>
    <t>…oresporque massobrevulgaresestas calidadesque sé estáhan laocude ,' S. Jtfi.la Reina nuestra_Señora, su augusta Madre la Reina pado de ella. Indicare mas bien la buena acogida que tendrá entre nuestros con Gobernadora y la Serma. Sra. Infanta Doña MaríaXuisa, continúan - ciudadanos § y él nhúndante fruto qite-ofrrn*fa"~M~] lectura desdé que es la nación sin novedad en su importante .salud en el Real Sitio del Pardo. española quien proclama estos principios. Unidos por tantos siglos á las desven turas de su política absurda; partícipes de su esclavitud…</t>
  </si>
  <si>
    <t>Maricbalar, D Ramón</t>
  </si>
  <si>
    <t>D Ramón Maricbalar</t>
  </si>
  <si>
    <t>…y leídos, manifestó el Se Pamplona, de que resulta haber Sido electo Procurador por la provincia de ñor Presidente que en su virtud se imprimiría el acta de la comisión y el voto Navarra, en reemplazo del Sr. conde de Saceda , el Sr. D. Ramón Maricbalar. particular, se distribuirían ambos, y después se señalaría dia para la discusión. Se mandaron pasar á la misma comisión los poderes y documentos de El Sr. Medrano reclamó que en su opinión se habia faltado al reglamen aptitud legal del Sr. D. Manuel María Losada, electo Procurador por la pro to por…</t>
  </si>
  <si>
    <t>Maricbalar, Ramón</t>
  </si>
  <si>
    <t>Ramón Maricbalar</t>
  </si>
  <si>
    <t>…ídos, manifestó el Se Pamplona, de que resulta haber Sido electo Procurador por la provincia de ñor Presidente que en su virtud se imprimiría el acta de la comisión y el voto Navarra, en reemplazo del Sr. conde de Saceda , el Sr. D. Ramón Maricbalar. particular, se distribuirían ambos, y después se señalaría dia para la discusión. Se mandaron pasar á la misma comisión los poderes y documentos de El Sr. Medrano reclamó que en su opinión se habia faltado al reglamen aptitud legal del Sr. D. Manuel María Losada, electo Procurador por la pro to por…</t>
  </si>
  <si>
    <t>Marichalar, D Román</t>
  </si>
  <si>
    <t>D Román Marichalar</t>
  </si>
  <si>
    <t>…importante por sus ventajosos resultados debi dos á la actividad y pericia deL gefe que ia dirigió, y a la decisión de-la* ' PROVINCIA DE NAVARRA. beneméritas tropas que la ejecutaron , á las cuales espero que S. M. se dignará—- Sr. D. Román Marichalar. acordar las recompensas á que las conceptúe acreedoras-por tan bizarro com portamiento. Dios ócc.=rCuartcl general de Haro 24 de Octubre de 1834^=7 __ _______ - patrvTNCIA DE VAUABOUB. ¿remo. Sr.=José Manso^=Ezcm&lt;i Sr. Secretario de Estado y del Despache Sr. D. Rafael Faustino Sanz. de la Guerra. ■…</t>
  </si>
  <si>
    <t>Marichalar, Román</t>
  </si>
  <si>
    <t>Román Marichalar</t>
  </si>
  <si>
    <t>…ortante por sus ventajosos resultados debi dos á la actividad y pericia deL gefe que ia dirigió, y a la decisión de-la* ' PROVINCIA DE NAVARRA. beneméritas tropas que la ejecutaron , á las cuales espero que S. M. se dignará—- Sr. D. Román Marichalar. acordar las recompensas á que las conceptúe acreedoras-por tan bizarro com portamiento. Dios ócc.=rCuartcl general de Haro 24 de Octubre de 1834^=7 __ _______ - patrvTNCIA DE VAUABOUB. ¿remo. Sr.=José Manso^=Ezcm&lt;i Sr. Secretario de Estado y del Despache Sr. D. Rafael Faustino Sanz. de la Guerra. ■…</t>
  </si>
  <si>
    <t>Marín, Ambrosio Gil y D Francisco</t>
  </si>
  <si>
    <t>Ambrosio Gil y D Francisco Marín</t>
  </si>
  <si>
    <t>…do por Pedro de la medio, y de que en varios casos particulares asi se ha prevenido; Varga, quinto oon el número 20 por la ciudad de Sto. Domingo de S, M. la Reina Gobernadora se ha servido mandar que por punto la Calzada, contra D. Ambrosio Gil y D. Francisco Marín, por ha general todas las exposiciones y comunicaciones de los ayuntamien ber sido excluidos de entrar en suerte como poseedores de patrimo tos y demas autoridades dependientes de los gobernadores civiles de nios eclesiásticos, remitido al referido supremo Consejo por el pre las provincias, se diri…</t>
  </si>
  <si>
    <t>Marín, D Mateos</t>
  </si>
  <si>
    <t>D Mateos Marín</t>
  </si>
  <si>
    <t>…rte de la. lucha general que Sr. D. Vrnturade Mena. había en Europa sobre principios encontrados , juzgaba que la guerra en que se Sr. D. José Villanueva. jial aba empeñado debía mirarse mas bajo de un punto de vista político que Sr. D. Mateos Marín. militar; / por tanto le recomendaba que el ejército tomase una posición defeniva de-de Santarem i Ovidos, ó desde el Tajo al mar; que durante el in PRVIINCIA DI SURCOS. vierno juntase reclutas y las disciplinase, de modo que pudiese abrir la campa— Sr. D* Manuel de la Rivaheríera , gobernador civil…</t>
  </si>
  <si>
    <t>Marín, Francisco</t>
  </si>
  <si>
    <t>Francisco Marín</t>
  </si>
  <si>
    <t>…medio, y de que en varios casos particulares asi se ha prevenido; Varga, quinto oon el número 20 por la ciudad de Sto. Domingo de S, M. la Reina Gobernadora se ha servido mandar que por punto la Calzada, contra D. Ambrosio Gil y D. Francisco Marín, por ha general todas las exposiciones y comunicaciones de los ayuntamien ber sido excluidos de entrar en suerte como poseedores de patrimo tos y demas autoridades dependientes de los gobernadores civiles de nios eclesiásticos, remitido al referido supremo Consejo por el pre las provincias, se diri…</t>
  </si>
  <si>
    <t>Marín, José</t>
  </si>
  <si>
    <t>José Marín</t>
  </si>
  <si>
    <t>…ana consideración de S. M-, a fin de que vea con satisfac go Morquecho .Urbanos de caballería, y en particular al sargento 2.“ distin ción el denuedo y bizarría con que defienden sus derechos estas beneméritas guido de su partida D. José Marín que acreditó coalo siempre su bizarría. tropas. Dios ócc. Manso.” El mismo capitán general desde Sta. María de Cubo con fecha de 9 dice Con igual fecha dice el referido capitán general : lo que sigue : «Exento. Sr.: Al mismo tiempo que he hecho salir U brígadi de D. Pe «Excmo. Sr.: Por mis dos últi…</t>
  </si>
  <si>
    <t>Marín, Mateos</t>
  </si>
  <si>
    <t>Mateos Marín</t>
  </si>
  <si>
    <t>…de la. lucha general que Sr. D. Vrnturade Mena. había en Europa sobre principios encontrados , juzgaba que la guerra en que se Sr. D. José Villanueva. jial aba empeñado debía mirarse mas bajo de un punto de vista político que Sr. D. Mateos Marín. militar; / por tanto le recomendaba que el ejército tomase una posición defeniva de-de Santarem i Ovidos, ó desde el Tajo al mar; que durante el in PRVIINCIA DI SURCOS. vierno juntase reclutas y las disciplinase, de modo que pudiese abrir la campa— Sr. D* Manuel de la Rivaheríera , gobernador civil…</t>
  </si>
  <si>
    <t>Marín, Miguel</t>
  </si>
  <si>
    <t>Miguel Marín</t>
  </si>
  <si>
    <t>…bierno! Preferir í lo menos en eí concurso ge Excmo. Sr.: Por el bizarro comandante d¿ armas de Trcviñ*. el cf.mnel neral á los hombres de mayor mérito. tSagrada máxima de justicia! ¡Guerra y capitán de la Guardia Real provincial D. Miguel Marín se me dice en í implacable al que la desconozca! Mas ¡corresponde la práctica á las intencio de fecha ayer, que en la madrugada de aquel dia., doce de W titulados adua nes , aun las mas puras: ¡El. Gobierno, qüe ñó~sicrnpre puede ver por sus ojos, neros que *-e hallaban al fíente dei pueblo da Perr…</t>
  </si>
  <si>
    <t>Marín, Narciso Torre</t>
  </si>
  <si>
    <t>Narciso Torre Marín</t>
  </si>
  <si>
    <t>…«iero , en el sitio de la Pena r.eg a , donde la ata^o D. Juan Antonio de Cob;an................................................................ I0o0 decididamente , dando muerte en la refriega al expresado c*Sécula , con otros y D. Narciso Torre Marín.......................................................................... &lt;30 sus compañeros llamados Sartcnóla y el \E&gt;. 1 r er o , cogiendo un prisionero, y D. F. H. iOO rs. y ha ofrecido seis arrobas de lana , y ademas otros recobrando, ademas de la c tada corresponden».!a , les monturas , Ar 100 rs. mensuales desde Setiembre próximo...................................…</t>
  </si>
  <si>
    <t>Marina, D Francisco Martines</t>
  </si>
  <si>
    <t>D Francisco Martines Marina</t>
  </si>
  <si>
    <t>…armas y efectos de equipage, sin poder yo asegurar el nú ■" 'Historia de la vida de nuestro Sr. ‘ Jesucristo y de la doctrina y moral cristianaj mero de sus heridos, que creo sea considerable en razón á que no cesé la per por el doctor D. Francisco Martines Marina* presbítero; individuo de numero de las secución basta que dispersos completamente no quedaran sino 4 reuní dos., Noso ¿leales academias Española y de la Historia* y de la de Buenas Letras de Barcelona: 4 tros no tuvimos pérdida alguna, y rescatamos al administrador y pagador del yentomosiasenprinc…</t>
  </si>
  <si>
    <t>Marina, Francisco Martines</t>
  </si>
  <si>
    <t>Francisco Martines Marina</t>
  </si>
  <si>
    <t>…y efectos de equipage, sin poder yo asegurar el nú ■" 'Historia de la vida de nuestro Sr. ‘ Jesucristo y de la doctrina y moral cristianaj mero de sus heridos, que creo sea considerable en razón á que no cesé la per por el doctor D. Francisco Martines Marina* presbítero; individuo de numero de las secución basta que dispersos completamente no quedaran sino 4 reuní dos., Noso ¿leales academias Española y de la Historia* y de la de Buenas Letras de Barcelona: 4 tros no tuvimos pérdida alguna, y rescatamos al administrador y pagador del yentomosiasenprinc…</t>
  </si>
  <si>
    <t>Marina, Francisco Martínez</t>
  </si>
  <si>
    <t>Francisco Martínez Marina</t>
  </si>
  <si>
    <t>…ría de ¡as Córtetn ó grandes juntas nacionales de los reinos de León y Castilla, Santander....... 17 á 30 Octubre. ^ Idem. Idem. 104 con irn copioso apéndice de ¿ocumento*ori§inaíes sobre et derecho púhl ico de España. Por el Dr. D. Francisco Martínez Marina; canónigo que fue de Ja iglesia de S. Isidro Nota. En el lugar de Cabezón»,de la Sal se había presentado el cólera, de Madrid y de la de Lérida, individuo de numero de las academias española y Je la causando dos muertes: en Santander se pensaba cantar el Te £&gt;eum el dia 1.® Historia,pado de Asturia…</t>
  </si>
  <si>
    <t>Mármol</t>
  </si>
  <si>
    <t>…ene en el artículo 1.* de la Real órdea academia de Buenas letras de Sevilla. Sevilla, 1834- tomos en 16.° de 16 del corriente (que se inserta hoy en artículo de oficio) sobre reforma da Esta coleccioncita, fruto- del ingenio del Sr. Mármol, bastante conocido las Ordenanzas militares, se ha servido S. M. nombrar para la importante co •n la república literaria por el celo con que ba consagrado toda su vida á la misión á que se refiere, ademas de los inspectores y directores generales de tas perfección de los buenos estudios de humanida…</t>
  </si>
  <si>
    <t>…s para los comerciantes. Constará de 15 á 20 en exhala en inútiles quejas; sino busca su satisfacción en la sangre de los rivales. tregas en 4.0 marquitla de buen panel y esmerada impresión; de unos doce pliego* Nos parece que el Sr. Mármol ha conocido bien el carácter de este género, en** cada entrega con varios mapas, cuadros sinópticos 8cc.t adelantando por cada una 10 toramente peculiar á nuestra poesía, y lo ha descrito con felicidad en Jos seis reales en Barcelona, II en la provincia, y 12 fuera de eljia; saldrá la primera a últ…</t>
  </si>
  <si>
    <t>Marmont</t>
  </si>
  <si>
    <t>…Augstscrgo.) IN'GLATEIUIA. TOXQOÍA. ¡Andrés 23 de Agosto. Constantmopla 29 de Julio. Fondos pdlltcos. Tres por 100 consolidados 90f. Extractamos del Times las siguientes noticias: Hemos recibido por extraor 'Antes de ayer tuvo el mariscal Marmont una audiencia del Sultán, lo dinario papeles de París, que como era de esperar, están llenos de comentarios trató con mucha distinción y le regaló una caja guarnecida de brillantes; acom sobre la respuesta de Luis Felipe á la contestación que ha dado la Cámara de pañaba al mariscal Mr. Adelbourg pr…</t>
  </si>
  <si>
    <t>…como porque serán para vos, á quien haSegún noticias de Odessa del 25 de Abril, el generé KesselefF llcgpffidi1*; mucho tiempo amábamos én Jesucristo, un* título de honor en esta vida, que Jassi la antevíspera á dicha ciudad* El mariscal Marmont debía también lle 0$ merecerá en ia eternidad grandes y gloriosas recompensas. gar de Viena á la misma en toda la semana. »No ha dejado la silla apostólica de Roma de contribuir en los años ante capitanes-de algunas embarcaciones que habían-arribado recientemen riores, ya sea por medio de misiones,…</t>
  </si>
  <si>
    <t>…nnon. Las sum^s son las'siguientes: canal Kaledonio 953,638 libras ester linas: caminos, puentes ice-, sobre 4009: canales del Catudiá9/7,8t)0:naveTURQUIA. gzeion del Shaonon 21,023. (.CAro/tUle.) _ Constantlnopla 29 de Julio. El Mariscal Marmont obtuvo el 27 una audiencia del Sultán , que le fia 1 ( fRANCIA. - ';--; recibido con muchas atenciones, y le ha regalado una caja de tabaco guarneci da de diamantee, como también al Sr. Adelbourg, priqier dragomán del inter París 31 de Agosta. &lt; , , nuncio de Austria que le acompañaba. Ha visitado…</t>
  </si>
  <si>
    <t>…za. (Courier.) renovación , existe sin disputa en el continente pacífico de un pueblo, á quien su fuerza numérica no Je hace desviar de su habitual obediencia á las leyes, de ____Cartas de Odesa dicen que se esperaba en Berlín al mariscal Marmont, de su moderación, de su educación constitucional y de sus procedimientos regula, donde debía salir para Constantinopla , y de allí dirigirse á Egipto. (G. de Es res y compuestos. tado de Berlin ) _ En ¡a autoridad superior notamos el mismo fenómeno: vemos á un gobier FRANCIA. no firme y prudente,…</t>
  </si>
  <si>
    <t>…e tanto pór lo que- hace al importe del empréstito, como tocante á-la Esmlrna l.° de Diciembre. conversioh de ta antigua deuda, serán pagaderos -,or semestres los dias primeros de Mayo y primeros de Noviembre de cada añoen.Ias El mariscal Marmont llegó á Alejandría el 10 de Octubre. Está alojado plazas de Madrid, Paris y Londres: lós pagaderos en París al cam fuera de la ciudad en una de las casas de Boghos-Bey, amoblada y servida con bio de cinco frangos y Cuarenta centesimos el peso fuerte de á veinte* el mayor lujo á costa del gobierno.…</t>
  </si>
  <si>
    <t>…trae las últimas instrucciones de su gobierno con respecto á 1 TUEQUÍA. las operaciones y destino de la escuadra, á cuyo almirante despacha hoy una balandra de guerra. Constantinopía 26 de Julio. Hace pocos dias que llegó aquí el mariscal Marmont á bordo de un vapor ruso, procedente de Odesa y Crimea, en, cuyos paisps ha recibido el trato y En esta capital y sus arrabales continúa la peste con bastante incremento: pero la tranquilidad pública se conserva sin la menor alteración. acogida mas lisonjera , y tal cual pudiera haberse dispensado…</t>
  </si>
  <si>
    <t>…e El conde de AVomnmft’, gobernador general de la nueva IViúi y de U hecha aquella declaración por el Presidente, seta nulo y de nin Besar.ihia, se embarcó el K de este mes á bunio del yachr Krrw.ij.t, con el gún valor ni efecto. mariscal Marmont y el general cunde Wet, para pasar á Crimea Hl mariscal Después de destejada completamente la tribuni del público, po M.irmont , ames de embarcarse , quisu violar el establecimiento de señoritas drá continuar la discusión, si el Presidente lo pi/gt oportuno. nuble). Art. i4ó. No jxslr.i celebrarse se…</t>
  </si>
  <si>
    <t>Marque, Manuel</t>
  </si>
  <si>
    <t>Manuel Marque</t>
  </si>
  <si>
    <t>I ruado vii al det céjtitsn del propio cuerpo D. Manuel Marque* , coa «a «yn- «gtd con lat futrías de an brinda aa había unido i dicho general ao wtto.Ha dante mayor D. Miguel Tnrébano.y toda-comaodada por el comandante de ar— •e:"b« k «tuacion de ta»d¡vu¡ooes del mando del generaf Anleo y «1 briga mas de esta ciudad y!iu distirito teniente coronel D. Agustín…</t>
  </si>
  <si>
    <t>Marques</t>
  </si>
  <si>
    <t>…ua terrible incendio en nuestra capital. Pren francos,en contribuciones indirectas: qtie el ejército no siempre fia tenido la dióse fuego hacia el mediodía á la S(oboJa Senríénouskia, y propagado por im fuerza que ha indicado el Sr. Marques: que siempre que se ha aumentado ó dis vendabal de los mas violentos, el incendió devoró en pocas horas cerca &lt;JéTüÓ minuido se ha hecho con anuencia de las Cámaras: que durante la restauración casas de madera, como también algunos edificios de piedra del mismo barrio. *e hicieron gastos enormes y…</t>
  </si>
  <si>
    <t>Marques, D Joaquín de Ezpelela Sr</t>
  </si>
  <si>
    <t>D Joaquín de Ezpelela Sr Marques</t>
  </si>
  <si>
    <t>…e padrones en los pueblos, lo cual junto con otras noticias que reúne le harán conocer exactamente la verdadera población de to PROVINCIA DE NAVARRA. da aquella provincia y el estado de su industria agrícola , fabril y comercial. Sr. D. Joaquín de Ezpelela. Sr. Marques de Montesa. Extracto del parte remitido por el gobernador civil interino de la provin Sr. D. José Francisco Muguiro é Iribarren. cia de Córdoba D. Simón de Rodas con fecha de 19 de Junio últimoHa socorrido á varios labradores con parte del trigo de los pósitos, reser vando la mitad de las existencias…</t>
  </si>
  <si>
    <t>Marques, Luis</t>
  </si>
  <si>
    <t>Luis Marques</t>
  </si>
  <si>
    <t>…e; y que si -bien seLhah&amp;m-natado tambor José Alvarez, -del regimiento de Córdoba; José Bueno , del -6.° iíge- -casos sospechosos en.algunbs mas.pueblos déla provincia,-solo en el.de Aidca to, y de carabineros D. Antonio Larrax , D. Luis Marques, D. Gabriel Ca— vieja había 'fallecido una persona. ribano, Antonio Parro, José López Coloma y Juan Castillo. ^ROVUNOIA BE'CASTEIION T&gt;E O.A "PLANA. Y enteradas. M. deJa^orrosadefensaque hicieron «nía renta de Gu li Su góberíiafloT'civil dice con fecha de 18 del corríente.que-enla víUadena los indi…</t>
  </si>
  <si>
    <t>Marquessi-íe</t>
  </si>
  <si>
    <t>…iversal soló se puede, trastorna^ y destruir. . .., movimiento , con- tanta: mayor moderación sé deben contener lcis desórdenes. ........ Los partidarios del antiguó régimfen abejiéan espontáneamente, Mariscal Lóbait: PrégÁíto al Sr. Marquessi-íe hallase á la cabeza dé-dual- - abandonan todos-los-principios dé órden -púbKeo y de' r es ¡Tít rj'-Tt 1 gobierno ,' se quicr fuerza armada, y viera que le hacían fuego desde las casas, «dejaría cer hacen revolucionarios frenéticos, revolucionarios cínicos; adoptan todos los prin radas. estas casas…</t>
  </si>
  <si>
    <t>Márquez, Lorenzo Dalmau y</t>
  </si>
  <si>
    <t>Lorenzo Dalmau y Márquez</t>
  </si>
  <si>
    <t>…Estella observaban las Amescuas, se piosa , se presentaron las ninfas en el primer castillo con el carro en que iba la dirigieron primero por el valle de Goñi tras de Zumalacarregui , que se supo América, representada por el niño D. Lorenzo Dalmau y Márquez en trage nía haber tomado aquella dirección, y el-8 se encaminában i cerrarle los puer propio y muy costoso. Llevaba cuatro moros de palafreneros ricamente vesti tos de Ja sierra de Andía hácia la parte fronteriza de la de Aralar. do*: la diosa presidenta marchaba adelante con el alférez Real, á qu…</t>
  </si>
  <si>
    <t>Marra</t>
  </si>
  <si>
    <t>…a 14 de Febrero. , dispute, y Cree que se han exagerado los hechos que han dado márgen á propo nerla: dice que la ley es impolítica, y no agradará al pueblo; pues aunque se El corregídor Antonio de Sousa Pinto avisa al gobierno A Doña Marra da á los ayuntamientos la facultad de ponerla en ejecución, los prefectos tienen con fecha 2 Al corriente desde Marvaon los gloriosos hechos A armas A los medios para hacer que los corregí Arres y ayuntamientos se presten á sus deseos: días 15, 18, 19,25 y 31 del pasado' finalmente opina que el proyec…</t>
  </si>
  <si>
    <t>Marró, Mariano</t>
  </si>
  <si>
    <t>Mariano Marró</t>
  </si>
  <si>
    <t>…o de dichos'montes, cogiendo cuatro y fugándose uno precipiudamen- Villalbos............. 21 á 28 ídem. .. 00 3 00 te por las asperezas- del terreno. VilUlmondar... . Idem. ................ 00 1 00 Uno de' los aprehendidos era el sargento Mariano Marró, conocido por el ▼íllalomez........... Idem.................. 00 3 00 barquero de Estadilla, que en el afio 22 mandaba una facción de Ó0 hombres Villanasur...... Idem.................. 00 2 1 en el partido de Barbastro, en Aragón, adonde sin duda se dirigía en la actua lidad. El referido alcalde ma…</t>
  </si>
  <si>
    <t>Marrón</t>
  </si>
  <si>
    <t>…cciosos Dios &amp;c. Cuartel general de Puedtclarra 1 ü l jas y golas recogió la tropa; y se’ cree ademas con fundamento que haya fa de Setiembre de 1834-r=Excmo. Sr. = Josó Manso.—Excmo. Sr. Secretario de llecido también el titulado brigadier Marrón, por cuanto se le encontró el Estado y del Despacho de la Guerra. adjunto pasaporte y otros muchos papeles que tengo en mi poder, y que remi Parte del general Espartero. tiré á V. E. tan pronto como reúna los que me ofrece de Vicente, y un .hijo de Cuevillas, según la voz general de los vecinos que…</t>
  </si>
  <si>
    <t>Marrón, José</t>
  </si>
  <si>
    <t>José Marrón</t>
  </si>
  <si>
    <t>…o D. Luis Balanzat: para igual destino de Andalucía al te Lóndres 21 de Marzo. niente general príncipe de Anglona; y para segundo cabo de esta Lord Ponsomby ha comunicado recientemente una nota á la provincia al mariscal de campo D. José Marrón , conservando el Puerta que ha producido la mayor sensación en el divan. Después cargo de comandante general de la provincia de Córdoba: para go de haber insistido sobre la diferencia material que ha establecido bernador de lá plaza de Málaga al mariscal de campo D. Juan José en la posición polític…</t>
  </si>
  <si>
    <t>…uerzas para destruir ó so ben servir para juzgar del verdadero estado militar de aquellas islas, de cuyo focar tas facciones, contrariado por la imprescindible diseminación de las tro mando ha tomado posesión el mariscal de campo D. José Marrón , nombrado pas, por la brevedad con que ha sido necesario emplear los quintos, y por la por S. M. a! efecto, á quien por el ministerio de lo Interior se le ha cometido del tesoro, es preciso dejar para mejores tiempos la realización de mi al propio tiempo el cargo interino de gobernador civil. En C…</t>
  </si>
  <si>
    <t>Marta</t>
  </si>
  <si>
    <t>Art. 21. ' Los niiembros ele lis asambleís provinciales «irán ihvrolabte por de Bríganzá, de feliz memoria, destinaba para esposo de su augusta hija la las opiniones que emitieren en el ejercicio lie su autoridad. Sra. Reina Doña Marta ti, que hoy felizmente nos gobierna. El magnánimo Art. 22 Los miembros de las asambleas provinciales tendrán diariamen autor dé la Constitución* que nunca omitía medios de contribuir á la felici te, durante- el tiempo de las sesiones ordinarias, extraordinarias y prórogas dad de la nación , queá ca…</t>
  </si>
  <si>
    <t>Marta, D José</t>
  </si>
  <si>
    <t>D José Marta</t>
  </si>
  <si>
    <t>…iones locales sobre mi marcha llar mas el mariscal de campo D. Manuel Lorenzo , comandante general de desde Puente la Reina , según V. E. habrá observado por mis partes diarios, la 2.a- división, y los gefes de brigada de esta el brigadier D. José Marta determiné, asegurados los valles de Araquil y la Borunda con la división de Herrera, coronel D. Francisco Ocaña, gefe de la plana mayor marques de vanguardia á las órdenes del brigadier D. Francisco de Paula Figueras, salir Villarcampo, brigadier D. Manuel O-Doy le, gefe de la 1.* brigada de la de…</t>
  </si>
  <si>
    <t>Marta, José</t>
  </si>
  <si>
    <t>José Marta</t>
  </si>
  <si>
    <t>…les sobre mi marcha llar mas el mariscal de campo D. Manuel Lorenzo , comandante general de desde Puente la Reina , según V. E. habrá observado por mis partes diarios, la 2.a- división, y los gefes de brigada de esta el brigadier D. José Marta determiné, asegurados los valles de Araquil y la Borunda con la división de Herrera, coronel D. Francisco Ocaña, gefe de la plana mayor marques de vanguardia á las órdenes del brigadier D. Francisco de Paula Figueras, salir Villarcampo, brigadier D. Manuel O-Doy le, gefe de la 1.* brigada de la de…</t>
  </si>
  <si>
    <t>Marta, Reina Doña</t>
  </si>
  <si>
    <t>Reina Doña Marta</t>
  </si>
  <si>
    <t>Marte</t>
  </si>
  <si>
    <t>…cendera i cade uno da loa puntea que abra aabo dadla. Orillado este pauto, la camñroa procedió al ezémen del ¡áfono* za el ¿ictérica de la comisión.” «pie antecede d proyecto presentado por el Gobierno; y te otó que carecía da Et Sr. Marte¡: «Creo qoe noa ahomriamoa estadio ti le deciaram antro uno de loa psmo*mas importantes en la materia; cual es, loa Maaupwatoa da admitido ó no admitido al proyecto." ' ingresos y gastos, boicot documento» que podirodar á la comuiau mltim El Sr. Secretaria del Despacha de Hacienda-. «Es predio «fis…</t>
  </si>
  <si>
    <t>Martel</t>
  </si>
  <si>
    <t>…ustración y rectas intenciones de sus autores. Fui diputado du tras quedase algún Sr. Procurador que quisiese hablar en pro ó en contra. A rante pocos meses en las segundas Córtes; sostuve las opiniones constituciona petición del Sr. Martel se leyeron los art culos 65 , 66, 73 y 74 del regla les, porque conforme á los principios de honradez, debía obedecer á la ley que mento, asi como el 7o á propuesta del Sr. conde de Toreno; y después de leí había jurado; y porque confieso que mi entusiasmo me hacia entonces admirar dos dijo el Sr.…</t>
  </si>
  <si>
    <t>…arcía, Miranda1,'Rodas, Garay y marque» de Montcnuéircí. ‘ la ausencia de un* Sr. indiéidUo de-la cómi.ion de Código criminal's¿ ha nom • De Adiiianas : Sres. Aguirre Solarte, Galwey", Llano Chavarri, Orense, brado en su lugar ál Sr. Martel: que al mismo tiempo se ha nombrado ai se Eslda , Villalaz, y González Perez. ñor Alcántara jNavarro en reemplazo del Sr. marques de Torremejísf por estar De Rentas provinciales: Sres. Ayala, Anaya, Ruiz Carríón, .Carrillo ejlfe demasiado recargado, y que para la comisión dé Mostrencos han sido Man…</t>
  </si>
  <si>
    <t>Martell</t>
  </si>
  <si>
    <t>…Tosqúéllas; Paco Verificada la votación y éscrutinio, resultó que de 74 votos presentes, que Cánovas; Serrano; Giraldo; Crespo de Tejada; Calderón de la Barca; Chacón; forman 38 de mayoría absoluta, solo obtuvieron esta los Sres. Caballero, Martell; Osea; Victoria; P0I9 y Monge; Alcalá Zamora; Bicedo; López; marques de Someruelos; Somoza; Anaya; marqués de Moñtesa; Cáceres; Dé (1) Ld redacción de la Gaceta hizo todo lo posible en la tarde del 24 para obtener Pedro; marques de Montenucvo; Fuster; Coton; Bucésta; Campillo; Caqals lista oficial…</t>
  </si>
  <si>
    <t>Martí, Anacido</t>
  </si>
  <si>
    <t>Anacido Martí</t>
  </si>
  <si>
    <t>…se ha destruido ¿ b neficio de medidas D. Amonio Araujo , D. Juan de Cosío, D. Nicolás Mena, D. Pedro Tajonetamurias, aislando el mal en su origen, de que V- t. tiene cumplido conoci ra, D. Eduardo Valle, D. José María A bel la, D. Anacido Martí, D. Ma miento. En dos pueblos ma* de la provincia se han presentada uno ó dos casos nuel Fuertes , D. Joaquín Acevedo , D. Manuel de Lucas, D. Angel Domín sospechosos, que hasta ahora no resultan caracterizados, y de este modo confio guez de. Soto, D. José Moreno, D. Francisco Javier Garay, D. Joaq…</t>
  </si>
  <si>
    <t>Martí, D Salvador</t>
  </si>
  <si>
    <t>D Salvador Martí</t>
  </si>
  <si>
    <t>…las órdenes prisioneros en VlUamayor de Calatrava; y que algunos Milicianos del comandante D. Miguel Mirambell, y los segundos á las del ca urbanos de Consuegra habian salido á colocarse oportunamente a pitán graduado de teniente coronel D. Salvador Martí: de modo fin de cortar la retirada á los restos de su gavilla. que con los 60 carabineros, 20 voluntarios de Vinaroz y un pi Partes del capitán general de Valencia. quete de 10 hombres del 13 de linea que saqué de lq^guamicion de Peñíscola, reuma un total de 220 hombres. A las cinco de la Excmo. Sr…</t>
  </si>
  <si>
    <t>Martí, Francisco</t>
  </si>
  <si>
    <t>Francisco Martí</t>
  </si>
  <si>
    <t>…lo necesario á su- cumplimiento. = Está rubricado de^lá Real de procurará restablecer la autoridad de la Puerta. Se decía el 10 en Constantinopla que habia llegado de Smima un correo mano.=San llüefortso 17 de Julio de ¡854. r: A D. Francisco Martí de comercio, anunciando que había sido víctima de las llamas casi todo el bar nez de la Rosa, Presidente del Consejo de Ministros. rio franco de aquella ciudad. Los asuntos comerciales van muy mal en Constantinopla. El curso del di Deseando facilitar á los Estamentos de Próceres y Procuradores nero tu…</t>
  </si>
  <si>
    <t>Marti, Luis</t>
  </si>
  <si>
    <t>Luis Marti</t>
  </si>
  <si>
    <t>…ncerniente 4 los Jj^un parte dp h junta municipal de Sanidad de 1» villa de movimientos délos tiradores, que contieoe solo aquello que es útil pa jBéñamcjí, de fecha de 27 del pasado Marzo, que inserta el presi- ra la guerra. Por D. Luis Marti, capitao graduado de infantería. Uo to ¿t!4$ d* Iji junta »upeyor de Andalucía ,ep parte de 2 delcorrien- mo en 8 0 con 14min..s: se hallará ¿ 9 rs. en rústica en la librería de Cursta y en Valencia en ta de Eopez. 'fe, se habían manifestado en aquella villa varios cólicos, de los — Guia de la Rjea…</t>
  </si>
  <si>
    <t>Martí, Pedro</t>
  </si>
  <si>
    <t>Pedro Martí</t>
  </si>
  <si>
    <t>…e Navia y parques de-la Vilueña, por Soyia, por id. . ‘ ; ‘ 1 Osorio, Procurador electo por la^proqiiicU. de Oviedo, acompañados de loa, D. Ramón Ciscar, pór Tarragona, por el cólétfa. 'J ’ documentos justificativos necesarios. ' D. Pedro Martí, por id., id. . - , , El Estamento quedó enterado de una exposición del Sr. D. Antonio D. José Blanco, por Valencia, por id. i 3 Ayarza, Procurador electo por Valencia, manifestando las causas que le han D. Francisco del Rey, por Zaragoza, por id. ' í ' . ' 3 impedido presentarse á i la* sesiones.…</t>
  </si>
  <si>
    <t>…tenido por base dichas calidades. La educación que hoy reciben los oficia Se dió cuenta y el Estamento quedó enterado de una exposición del Se- les , sín hablar de los cuerpos facultativos, los hacen aptos también para otros fioi D. Pedro Martí, en que decía que el no haberse reunido al Estamento y varios destinos, y la contabiTichuí de un regimiento no exige menos atención haber detenido su venida á la corte, era por los muchos obstáculos que se en que muchos empleos de Hacienda. contraban en los pueblos con motivo de Jas medidas sanitar…</t>
  </si>
  <si>
    <t>Marti, Pedro</t>
  </si>
  <si>
    <t>Pedro Marti</t>
  </si>
  <si>
    <t>…e se emita sobre casa SO Igualmente se pasó k la misma comisión un oficio del Secretario del Des oponga é que se aprueben ó desaprueben después las partes de los proyacme f pacho de lo Interior, acompasando el acta de elección de D. Pedro Marti dictámenes." para Procurador por 1¿ provincia de Avila en reemplazo de D. Juan Domin El Sr. Secretario del Despacho de Hacienda leyó los artículos SS y Si del go Batmaseda. reglamento, y manifestó que siendo de suyo tan grave el asunto, el ínteres dd La coüusion de Poderes dió cuenta de haber exami…</t>
  </si>
  <si>
    <t>…acompaña una iijémóiiá Telátiva apolle bis mercedes henriqueñas ■pertenecen á , ■« t&gt;® misma comisión , -eii vista ¿lelos poderes y demas documéñtos.presenláCorona, igualmente que las acequias de Casi illa &amp;c. , tados por e! Sr.1 D. Pedro Marti, electo Procurador por la provincia de Tare a , Se dió cuenta de un oficio del Sr. Secretario dél Despachó de lo Interior, ragona , opinaba débiaíi aprobarse por estar arreglados á la ley.'Se aprobaron. en que exponía qué S. M. le había mandado presentar dos proyectos de leyr- Di Sr. conde dé las N…</t>
  </si>
  <si>
    <t>…en qué comiste éste impuesto; por lo que se ad Ontiveros, electo Procurador por. ía provincia de Cáceres. vierte que esto no está tan clatobcomo debiera. De consiguiente, sin renunciar Entraron á jurar y tomaron asiento los Sres. D. Pedro Martí, D. Pedro nosotros el dercehoiqmi njnuw dcsedirfk exposición nfuiit puede pasar al Opúsolos y D.- Joaquín-María Feyrer. Gobierno; y Tvelreczreigetir qUe dosabiatúcñ uña palabra de ella.” _ r En sqpüda el $r. Secretario del Despacho'de Estado subió i h tribuna y 'El Sr. ¿rfr^ &gt;dlAia pedidoYa paj^fcd…</t>
  </si>
  <si>
    <t>Martí, Salvador</t>
  </si>
  <si>
    <t>Salvador Martí</t>
  </si>
  <si>
    <t>…nes prisioneros en VlUamayor de Calatrava; y que algunos Milicianos del comandante D. Miguel Mirambell, y los segundos á las del ca urbanos de Consuegra habian salido á colocarse oportunamente a pitán graduado de teniente coronel D. Salvador Martí: de modo fin de cortar la retirada á los restos de su gavilla. que con los 60 carabineros, 20 voluntarios de Vinaroz y un pi Partes del capitán general de Valencia. quete de 10 hombres del 13 de linea que saqué de lq^guamicion de Peñíscola, reuma un total de 220 hombres. A las cinco de la Excmo. Sr…</t>
  </si>
  <si>
    <t>Martícorena, Juan Miguel</t>
  </si>
  <si>
    <t>Juan Miguel Martícorena</t>
  </si>
  <si>
    <t>…*tovdede Garamendt. la ü andes»............... 8 á ‘ 14 ídem.... 12 00 3 dúdad de Cádiz y su partido, se cÍtaá(D. Eligió Ustariz* D. Carlos Vigil de Miran Perdió.................. 13 í 16 ídem... ' 11 4 3 da, D- Antonio Marquida, D. Juan Miguel Martícorena, P* Domingo de la Torre y Retís. .................. 13 á 13 ídem... 11 6 1 p. Juan Nicolás.de Acha* ó á sus albaceas, herederos y parientes dentro del cuarto Tortosa......... 12 á. 14 ídem... 26 t 6 grado,meses secomopresenten.enacreedoresla ácitadala casasubdelepacion,de Ustarlz S. Gínesacreditand…</t>
  </si>
  <si>
    <t>Martilla, Dionisio</t>
  </si>
  <si>
    <t>Dionisio Martilla</t>
  </si>
  <si>
    <t>…berse cantado misa y Te Deum, y hecho todo Jo posible para que la pompa teras. \ por ultimo, la tenencia de Rey de la plaza de Badajo/, al coronel exterior expresase la fidelidad de estos habitantes. En los dos dias inmediatos se D. Dionisio Martilla, primer gefe de la 10.a comandancia del cuerpo de ca- I celebraron fiestas y regocijos públicos, según la costumbre observada en seme rabincros de costas y fronteras. jantes ocasiones; y nos queda la satisfacción de no ceder ¿ ningún pueblo en ¡amor al trono y en decisión á sostener sus derechos le…</t>
  </si>
  <si>
    <t>Martin</t>
  </si>
  <si>
    <t>…rmulas fcótitritio; los ariüítf otlferet no eran mas que ladrones. La 'casa- de madama Co- que hasta el dia se han seguido «n él. 1 naértt fue saqtifeada, y dejella sacatoñ íásónjgeres que iban en’el tumulto , bo- . «Art.:4i°--EL Sr." Martin (del Norte), individuo de !a Cámara de Diputa Rila» de vino j pórdetaUa y Otros efectosqUedespues vendían á vil preció. Lo dos , nuestro fiscal general en elstribünal ReaL dc. París, desempeñará .las obü-, qtití no-sc piído vender Ib llevaron á ud depósito común i y ve lo distribuyeron gaciones de…</t>
  </si>
  <si>
    <t>…eviene el Estatuto , para que concurran á la formación de las leyes y de dré inconveniente en firmar la petición; pero si no, nó puedo firmarla.”* mas funciones de su instituto. La grave dificultad que se trata de vencer en la El Sr. Martin z de la Rosa'. «El ministerio , como se trataba del re ley sobre deliberación, es la de refundir los votos de tantos en uno solo, y glamento , que es obra suya , esperaba y deseaba que se hubiera alargado la dis que este sea la expresión de ia voluntad general, ó á lo menos de ia mayoría: cusión, r…</t>
  </si>
  <si>
    <t>…os acerca de baldosadas, por el riesgo de qué cotí el calor se carbonicen é incen «ge; particular, la pensión de doa rs. vn. diarios á cada una de 1as dien loa maderos del suelo. aiete viiidás de D.; JuanLezarna, Antonio Bañares, D. Martin(¿hiin- 8? No se podrá sacar á los balcones y ventanas, ni encender en tona ,M*teo€ialáta8,Joaquin García , Evaristo Peña Iba y Antonio gllps Ios-braseros ni otra vasija con lumbre, ni tampoco arrojar las Perilla, vecinos que-faerón de dicha villa de Háro, é individuos de cenizas á la calle. SU Mili…</t>
  </si>
  <si>
    <t>…e vino, con varias armas, habiendo tenido 5. ° I)e dónde podrán proporcionarse , y que costo tendrá su traslación a varios muertos, sin poder asegurar por ahora mas que ocho'y un prisionero. los punto* quo hayan de destinarse. El capitán Martin se halla en Blancas , é ignoro hasta mañana el resultado 6.° Proponer un medio económico de suplir estos castos. de los que él ha perseguido, pudiendo asegurar que Carnicer con dos mas, fue 7. ° Indicar el método mas conveniente de establecer los viveros y «halar ron de los primeros que huyeron , y…</t>
  </si>
  <si>
    <t>Martín</t>
  </si>
  <si>
    <t>…os X&gt;. Lucas Alemán y Aguado. Se hallará en las librerías de la viuda de Cruz, de Saoz la casa del diputado de Marcharía, distante inedia legua de dicha ciudad, y Perez, á 9 cuartos: en Us mismas se vende la comedia de D. Lucas y D. Martín, aúnalos foragidos habían sorprendido. crítica; la epidemia pestilencial, y el Prontuario médico ó medicina en refranes, --r Durante estas ^ocurrencias y después de ellat no «e-ha alterado la tranquili originales-— Testamentodel mismoy últimoautor.voluntad del alma, hecho en salud para asegurarse e…</t>
  </si>
  <si>
    <t>…al de Vizcaya; Don parte por el mucho trabajo al sol y malos alimentos. Félix Antonio de Berrueta , secretario de la llamada junu de agravios; su PROVINCIA de ZARAGOZA. hijo Sabas; D. Tomas de Cortesena, administrador de aduanas; D. Martin de rAndigonogoiiia, capellán dcL comandante general; D. Juan Bautista Bedia Lau- Su gobernador civil con fecha de 16 del actual avisa que varios pueblos neta, comisionado, y otros marineros ha&gt;ia el número de 8ü á 9t&gt;, con inclu de la misma han sido invadidos del cólera-morbo, y acompaña el siguiente…</t>
  </si>
  <si>
    <t>…pina que la [¡en que se veía de procurarse et alimento á tanta costa , mientras no se modífi— Cámara debe acceder á lo que se pide. Jcase la legislación de cereales; y en 6n , que nunca podrían tener salida cual se Después lee el Sr. Martin otro informe de la comisión á cuyo examen I necesitaba los producto» de las fábricas inglesas si la Gran-Bretaña no concedía pasó el proyecto de ley sobre asociaciones políticas. En este informe manifiesta yen cambio á las demas naciones mayor libertad de introducir sus productos la comisión que di…</t>
  </si>
  <si>
    <t>Martin, Amonio</t>
  </si>
  <si>
    <t>Amonio Martin</t>
  </si>
  <si>
    <t>…gua de Anadón, que con unos 37 caballos y 6 ú 8 de á pie subían la sierra que está tocando al pueblo: al momento Detalles de la acción de Lidon por el comandante Ayervc anunciada en la dispuse le siguiese el capitán de caballería D. Amonio Martin, y yo con los jaceta de l.° de Mayo. 2S fusileros y 12 granaderos de la Guardia Real (única tropa que llevaba de mi cofumna, pues me dejé á esta atrás, como dije ayer á V. E., para mejor po El capitán general de Aragón con fecha 29 de Abril último remite á este derle alcanzar) tomé la falda del mon…</t>
  </si>
  <si>
    <t>Martin, Antonio</t>
  </si>
  <si>
    <t>Antonio Martin</t>
  </si>
  <si>
    <t>…la Guerra. los siguientes: Con fecha 11 del corriente remite á este ministerio el capitán general de Niños. Aragón un parte que el coronel Rebollo le da en 8 del mismo,' avilándole ha-' berse reunido con el capitán de caballería D. Antonio Martin; añadiendo que Clase 1.a Ocho premios de cinta, medalla de plata y 20 rs. vn. á lo* ni este o6cíal fue el que en la acción del Pedregal cargó la izquierda de Carnicer, ños de seis á ocho años que resulten mas sobresalientes en doctrina cristiana, matándole 11 facciosos y cogiéndole seis caballos en…</t>
  </si>
  <si>
    <t>Martin, Cayetano Antonio</t>
  </si>
  <si>
    <t>Cayetano Antonio Martin</t>
  </si>
  <si>
    <t>…de comunicación desde el. mismo á un A propuesta de la Dirección general de correos se ha servido S. M. la punto del camino aprobado, antes de llegar á Treceño. Reina Gobernadora conferir la administración principal de Córdoba á Don Cayetano Antonio Martin , administrador de igual clase en Salamanca: la su El ayuntamiento de Castelserás solicitó, y le fue concedido, Real permi balterna de Daroca al cesante D. Dámaso Gómez: la de Lorca á D. Miguel to para aprovechar en el riego unas aguas sobrantes del rio Guadalope, que la Marchante, oficial cuarto d…</t>
  </si>
  <si>
    <t>Martin, D José Martinez de San</t>
  </si>
  <si>
    <t>D José Martinez de San Martin</t>
  </si>
  <si>
    <t>…Gobierno, autorizado por Art. 93. Dichos Comisionados regios, serán nombrados por S. M. S. M. para formar causa, con arreglo á ‘ordenanza, al mencionado en virtud de un decreto especial comunicarlo á las Cortes por el Se capitán general D. José Martinez de San Martin, que al propio cretario del Despacho respectivo; y solo podrán tomar parte en las tiempo la pedia. De Real orden lo digo á V. E. para su inteligen discusiones concernientes á la materia- para que hayan sido expre cia y efectos consiguientes. Dios &amp;c. Madrid 21 de Julio de 18o4.= samente autorizados…</t>
  </si>
  <si>
    <t>Martin, D José Zorrilla y San</t>
  </si>
  <si>
    <t>D José Zorrilla y San Martin</t>
  </si>
  <si>
    <t>…- PROVINCIA DB KADtID. npn que reponerse de uha larga decadencia^y durante mucho tiempo éntiam- 5r. D. Jote Foníagudy Qargollo,propietario y comerciante.bos réiüOSrSeyán los que necesiten nuestro apoyo* Pero «es poco no tener ene Sr. D. José Zorrilla y San Martin , marques de la Gándara, propietario! migos á Jos costados ni detras de sil La situación de la Espada y el Portugal Sr. D. Fermín Caballero, propietario.con respecto i la Francia hace que.su enemistad ó malevolenciaaea muy peligro Sr.-D. Miguel Calderón de la Barca, propietario.sa .para nosotros; p…</t>
  </si>
  <si>
    <t>Martin, I Martínez San</t>
  </si>
  <si>
    <t>I Martínez San Martin</t>
  </si>
  <si>
    <t>…ento. j-ekfpara la conservación de la tranquilidad en todo el maestrazgo. Dios guarde Salamanca 18 de Enero de 1834-=Joscf María Cambioucro.ccJuan de .la Ucy. R muchos años. Valencia 4 de Febrero de 1834-=Excmo. Sr.—Josef Tejera, secretario. I Martínez San Martin.;=Excmo. Sr. Secretario de Estado y del Despacho de la I Guerra. SEGUNDA CIRCULAS. Siendo necesaria y aun indispensable en todos tiempo*, y especialmente, en (Nota de los que han sido fusilados. El capitán de infantería ilimitado en los principios de una autoridad creada por S. M. para alivio de los…</t>
  </si>
  <si>
    <t>Martin, José Martinei de San</t>
  </si>
  <si>
    <t>José Martinei de San Martin</t>
  </si>
  <si>
    <t>…n las so ___ mandando que se comuniquen á los gobernadores civiles de las provin lemnidades á que asistan los ayuntamientos. (Id.) cias él Estatuto Rbax, la Convocatoria de Córtes y el decreto paral* elec Real decreto nombrando á D. José Martinei de San Martin superintendente ción de Procuradores £ ellas, y haciéndoles varias prevenciones con este mo : general de policía del reino, con retención de la capitanía general de Casti tivo. (Id) lla la Nueva. (Núm. 830 ____ Concediendo á D. Agustín de Perales la gran cruz americana de Isabel Real órden señaland…</t>
  </si>
  <si>
    <t>Martin, José Martínez de S</t>
  </si>
  <si>
    <t>José Martínez de S Martin</t>
  </si>
  <si>
    <t>…gón; paña é Indias; D. Pedro José Fonte, arzobispo de Méjico, del Gan- D. Gerónimo Valdés, teniente generaLde los Reales ejércitos, capi sejo de Gobierno; marques de las Amarillas, teniente general de los tán general de Valencia; D. José Martínez de S. Martin, maris Reales ejércitos, del Consejo de Gobierno; D. José Ramón Rodil, cal de campo de los Reales ejércitos, capitán general de Castilla la teniente general de los Reales ejércitos, capitán general de Extre Nueva; Marques de Espeja, mariscal de campo de los Reales madura ; D. Ignacio Rives y Mayor,…</t>
  </si>
  <si>
    <t>Martin, José Martinez de San</t>
  </si>
  <si>
    <t>José Martinez de San Martin</t>
  </si>
  <si>
    <t>…o, autorizado por Art. 93. Dichos Comisionados regios, serán nombrados por S. M. S. M. para formar causa, con arreglo á ‘ordenanza, al mencionado en virtud de un decreto especial comunicarlo á las Cortes por el Se capitán general D. José Martinez de San Martin, que al propio cretario del Despacho respectivo; y solo podrán tomar parte en las tiempo la pedia. De Real orden lo digo á V. E. para su inteligen discusiones concernientes á la materia- para que hayan sido expre cia y efectos consiguientes. Dios &amp;c. Madrid 21 de Julio de 18o4.= samente autorizados…</t>
  </si>
  <si>
    <t>Martin, José Zorrilla de S</t>
  </si>
  <si>
    <t>José Zorrilla de S Martin</t>
  </si>
  <si>
    <t>…industria, y el gobierno miré comó una de las principala obli tal y compendiado , traducido é ilustrado con algunas notas aplicables d JEs— gaciones la propagación de los principios de la ciencia administrativa, que ha paña y por D. José Zorrilla de S. Martin: Madrid, 1834 O)* de dictar las leyes reguladoras de la acción del poder en la producción de laa A esta obra del conde de Chaptal, cuyo mérito es reconocido en toda £u- riquezas. Tofya, antecede úna noticia de la vida y escritos de este célebre químico y eco nomista francés, redactada por el traduc…</t>
  </si>
  <si>
    <t>Martin, José Zorrilla y San</t>
  </si>
  <si>
    <t>José Zorrilla y San Martin</t>
  </si>
  <si>
    <t>…OVINCIA DB KADtID. npn que reponerse de uha larga decadencia^y durante mucho tiempo éntiam- 5r. D. Jote Foníagudy Qargollo,propietario y comerciante.bos réiüOSrSeyán los que necesiten nuestro apoyo* Pero «es poco no tener ene Sr. D. José Zorrilla y San Martin , marques de la Gándara, propietario! migos á Jos costados ni detras de sil La situación de la Espada y el Portugal Sr. D. Fermín Caballero, propietario.con respecto i la Francia hace que.su enemistad ó malevolenciaaea muy peligro Sr.-D. Miguel Calderón de la Barca, propietario.sa .para nosotros; p…</t>
  </si>
  <si>
    <t>Martín, Lucas y D</t>
  </si>
  <si>
    <t>Lucas y D Martín</t>
  </si>
  <si>
    <t>…con aquellos X&gt;. Lucas Alemán y Aguado. Se hallará en las librerías de la viuda de Cruz, de Saoz la casa del diputado de Marcharía, distante inedia legua de dicha ciudad, y Perez, á 9 cuartos: en Us mismas se vende la comedia de D. Lucas y D. Martín, aúnalos foragidos habían sorprendido. crítica; la epidemia pestilencial, y el Prontuario médico ó medicina en refranes, --r Durante estas ^ocurrencias y después de ellat no «e-ha alterado la tranquili originales-— Testamentodel mismoy últimoautor.voluntad del alma, hecho en salud para asegurarse e…</t>
  </si>
  <si>
    <t>Martin, Manuel Díaz</t>
  </si>
  <si>
    <t>Manuel Díaz Martin</t>
  </si>
  <si>
    <t>…ión, fueron dispersados, dirigiéndose la ma yor parte bácia Oqucndo, dejando un prisionero. Con este motivo recomienda Extracto del parte remitido por el gobernador civil de la provincia de Taral capitán del provincial de Logroño D. Manuel Díaz Martin, al subteniente ragona D. Antonio Satorra con fecha de 10 de Junio anterior. del mismo cuerpo D. Casimiro Morillo, al capitán D. Ramón Contí y al Se ocupa en examinar prolijamente el proyecto sobre la continuación de teniente D. Alfonso-Saavedra , del provincial de Segovia. las obras del pantano de…</t>
  </si>
  <si>
    <t>Martin, Pedro Martínez de S</t>
  </si>
  <si>
    <t>Pedro Martínez de S Martin</t>
  </si>
  <si>
    <t>…ias del Consejo Real; D. Martin Fer Del mismo beneficio disfrutan SS. AA. RR. los Serraos. Se nandez Navarrete, decano de la sección de Marina del mismo Con ñores Infantes. sejo; D. José Amonio Rivadeneira, obispo de Valladolid ; D. Pedro Martínez de S. Martin, obispo de Barrelona; conde de Cuba, te niente general de los Reales ejércitos, decano de la sección de Guer REALES DECRETOS. ra del Consejo Real; D. Pascual Enrile , teniente general de lo* Reales ejércitos, capitán general de las islas Filipinas; D. Manuel En virtud de la prerogstiva que Me compe…</t>
  </si>
  <si>
    <t>Martines, Jorge</t>
  </si>
  <si>
    <t>Jorge Martines</t>
  </si>
  <si>
    <t>…elgado para regente; para oidores áD. Anto énté los respectivos tribunales superiores. nio Neira y Marin, á1 D. Juan García del Pozo, á D. Antonio,MarAr*.- 4? Los juicios que se entablen después de publicad» la abo quez Osorio, á D. Jorge Martines, í D. Ramón López Vázquez; lición del Voto, á virtud de pactos ó convenios anteriores, se sus-/ para alcaldes del crimen á D. Pedro Gómez Hermosa, á D. Pedro fáticiárán en igual foVma áttte los mismas jtízgádos ordinarios com- Regalado López Montenegro, á D. Vicente Sandino, áD. Francisco Tames Hev…</t>
  </si>
  <si>
    <t>Martínez</t>
  </si>
  <si>
    <t>…Sr. Búrgos añadió que S. M. la Rbina Gobernadora asi lo había ma bierno desvaneciese este escrúpulo, y dejase á cubierto el honor da la nación.” nifestado en el discurso de apertura, y que por lo tanto la enmision no debia Excmo. Sr. Martínez, de la jRosa: «El Gobierno estará siempre pronto insistir sobre que se impusiese el condigno castigo á los perpetradores de rama- á condescender con los deseos de los ilustres Prócera, contestando a sus pre ños atentados, por confiar en la promesa augusta de la Reina Gobernadora. guntas con la únic…</t>
  </si>
  <si>
    <t>…1^/guiUotínat Desengañémonos, el jurado, como todas las cosas, ha sido á ve de S. E., ademas de las rectificaciones sucesivas que se vayan haciendo.” ces instrumento dé los partidos, y lo han sido, también los magistrados; mas no Sr. Martínez;de ia Kós.i: «Me habia propuesto reservarme el uso de la por eso dejan de.'ser estos salvaguardia dp la inocencia- como el jurador malas palabra á qúe me da derecho él. ser Procurador á Córtes por una parte , y por son siempre las generalidades. Cuando la educación sea otra, cuando la juven— ®tra t…</t>
  </si>
  <si>
    <t>…roduce también iguales ventajas. - de que los pueblos de E*pána no estaban en disposición de recibir in*tiiuc ones n Las le &gt;es no pueden establecer por de pronto los medios de contener 'saludables, como asi se expresó también el Sr. Martínez de ía Rosa. Pero todos los abusos que puedan hacerse de la imprenta; y por lo mismo un pu cuando se raciocina de este mudo, hay que ha.cer algunas diferencias; y b$ta blicista ha dicho que en rigor no hay delitos en el uso de la libertad de im diferencia está en nuestro favor. En el año 42 temamos por…</t>
  </si>
  <si>
    <t>…l retrato del autor, rados.................................................... 2.543,137 7* para el que mejor componga una oda Pindarica en estrofas regulares (teniendo por modelo las del M. l*r. Luis de León) en elogio del mismo Sr. Martínez, Los principales frutos salidos en cambio de las introducciones ultramari a cuyo -saber debe la nación tantos beneficios, y en cuyo incansable esmero nas fueron funda tantas esperanzas. 7.624,553 arrobas de azúcar valuadas en 6.671,483 7 Y otro piemio de un ejemplar de las poesías del Sr. sócio agr…</t>
  </si>
  <si>
    <t>…ero entre anun «horraré el dar ahora una solución que entonces comprobé con la razón y con ciar una coosprMcion-y marcar sus agentes y cómplrdes, ¿no hay^algúha difereit-: datos históricos. Paso, pues, á ocuparme del discurso dei Sr. Martínez de la cia2 Y por ventura ¿no hay hombres tan á cubierto1 poT los tntiniotrios irre Ron. fragable* de-una-vrda po-Hhca , pójalas "príiYb9s_iíréc¿abT¿s~'qtíe*t«enen dadas£ r *Ha dicho S. S. que califica la petición de "inexacta -por la palabrg~p?r- la patria de su celo y de su civismo , á quienes deb erá r…</t>
  </si>
  <si>
    <t>…en. la capital, es preciso referirnos al ar reses perjudicados y hasta su propia delicadeza no le permiten admitir el desti tículo 4^. no que se le ha dado. En seguida se leyeron los artículos 50, SI y 52 del reglamento, y en El Sr.: Martínez de (a Rosa dijo que no era el Estamento lugar ¿ pro consecuencia de ellos se dió cuenta de las comisiones nombradas el mo pósito para quejas de esta clase, y que el caso presente es uno de los que se mento, y fueron las siguientes: gún el reglamento no deben tratarse en el Estamento. El Sr Secretario…</t>
  </si>
  <si>
    <t>…na exposición, El Sr. Gil de la Cuadra pidió que te añadiese á la proposición la pala en la cual manifestaba los motivos que le impedían asistir á la sesión regia y bra á juicio del (robirrno, y adoptada esta adición-manifestó el Sr. Martínez da i las sucesivas, porque su delicadeza no le permitía concurrir hasta saberse el la Rosa que presentaría una lista de los Sres. Próceres que «muriesen empica final resultado de la causa que de orden superior se le estaba formando , y él dos y de los que no lo estuvieran. * mismo había solicitado con…</t>
  </si>
  <si>
    <t>…omo una garantía que como hombre indicar el Sr. conde de Parsent, iá discusión podía girar sobre este principio: tiene obligación de prestar para que el £»tamento esté seguro de que desempei la cual dijo fiará bien «1 encargo. £l Sr. Martínez dt la Rosa: »No se trata aqui de un caso particular: Después de otras ligeras observaciones que varios Sres. hicieron en pró f la cuestión es sene'Ha en sí; el Gobierno ha reconocido ese principio funda eo contra, se declaró el punto suficientemente discutido, y que no había lu mental , necesario p…</t>
  </si>
  <si>
    <t>Martinez</t>
  </si>
  <si>
    <t>…ble con Jai ya , Crespo Tejada, O-hói, conde de Alniodnéar pE$KE¡rf,xoqdc de AdMMtüPO^ naturaleza humana , que tait desigual* se prevenía par la ci^ad,ql sexo &amp;C. Rija Roouraae, Laboida , Garay , Canjb,y SanSmoaeste supuevlo , el Sr. Martinez dé U Rosa no se ha opuesto- al principio , sino Se áfcptuvieron de your lo» Sres-; Cano Manuel ( p^dre) , Belda, Paco que cWe no dehe dársele la in|«rpieiacion que se le da. Na ha dicho ni queri Canoras, Torrem y - .Vfha.'dft, U lna SvnGfé , m rques de MonUvirgen, do decir, qje la íey sea desigual…</t>
  </si>
  <si>
    <t>…d sea un talismán con que siempre se nos preten El Sr. López.: «He fijado solamente en mi discurso un becbo, no utia de sorprender; y con este motivo séame lícito recordar el dicho de un filósofo mera inculpación. He dicho que el Sr. Martínez de ia Rosa había permaneci que preguntándole, por qué no se casaba, contestó'que aun no era tiempo, y do en Madrid después de haberse establecido el Gobierno absoluto , y que ha al cabo de algunos años haciéndole la misma pregunta, contestó que ya no era bía vuelto cuando aun duraba aquel. Me parece q…</t>
  </si>
  <si>
    <t>…ques de S. Felices, quedó aprobado el artículo según se hallaba. ‘ rete, Sr. Cuadra, Sr. Quintana, Sr. García Herreros, Sr. obispo Val lejo, se- . Art. 3.° Quedan suprimidos desde dicha época ios juzgados protectores ñor Vigodet, Sr. Martínez, conde de Oñate , conde de Clavijo , conde del del Voto de Santiago. Los juicios pendientes para hacer efectivas las prestación Montijo, marques de Espeja, marques de Monreal . marques de Vesolla, du nes de dicho Voto, ó el cumplimiento,dé obligaciones emanadas de él, con que,de Hijar, conde de Par…</t>
  </si>
  <si>
    <t>…jo,también que no era lle sieron de la misma manera que se contrataron los empréstitos. Para imponerlas gado el caso de ponerlo en práctica. se consultó i diferentes autoridades que estaban constituidas, consejos y ofici "Dijo el Sr. Martínez de ia Rosa1 que la minoría estaba dé acuerdo con él nas que componían con el Rey lo qué se llama Gobierno. Pero ya Ira oído el Gobierno; proposición que me chocó, porque ya en otra sesión anterior había Estamento que uno de los empréstitos ruinosos que senos quieren hacer recono dicho e1 Sr. Ministro…</t>
  </si>
  <si>
    <t>…tocha 21 ; Veg&gt; y Rio J; Miguel y Polo 3 ; Cr-raldo 14* el Sr. duque de Veraguas con 7; el Sr. conde de Parsent con 3; el Sr. marques Martel 10; Bcida 2; marques de Somcruelos 2; marques de Falces 2; La de la Candelaria con 3; el Sr. Martinez con 1 ; Sr. Burgos con 3; duque de Maza I. Gor con 3; conde de Monterron con 1; duque de Hijar con 1; marques de En la lista*del Sr. Secretario González resultaron distribuidos los votos en la S. Felices con 3; conde de Guaqui con 2; y habiendo obtenido los Sres. Cle forma siguiente: Sres. conde de…</t>
  </si>
  <si>
    <t>…ilitada por del siglo zv; pero que no siguió la carrera militar, sino la diplomática. Y sinf el brigadier Jáurcgui. Esta diputación va á ocuparse en la reposición de U fuer* embargo Pulgar merecía, según dice y con mucha razón el Sr. Martínez de ía| za perdida^ trabajando sin descanso hasta que se logre el aniquilamiento de es Rosa, «*que España le apellidase, como Francia al famoso Bayaido, '/ tos vándalos que no quieren mas que el nombre de Cárlos para que sirva de Itero sin miedo y sin mancillad 1 ¡pretexto á sus feroces y abominables p…</t>
  </si>
  <si>
    <t>Martínez, Abril de A D Francisco</t>
  </si>
  <si>
    <t>Abril de A D Francisco Martínez</t>
  </si>
  <si>
    <t>…rinamente de la Secfetaría del Despacho del go en nombrar, por la clase de oidores, á D. Manuel José de V il- "omento. r± Está rubricado de lá Real mano. = Aranjuez 17 de ches; á D. Antonio Heredia; á D. Lorenzo María Ferreras; á Don Abril de 1834—A D. Francisco Martínez de la Rosa, Presiden Mariano de la fuente; á D. Fernando López de Sagredo, qüc ac te del Consejo de Ministros. tualmente lo soh de la misma; á D. José Vecino/ fiscal de k&gt; ci vil dé la audiencia de Búrgos, y á D. José López de CoZar y i Eli atención á los extensos conocimientos en la ciencia de la D.…</t>
  </si>
  <si>
    <t>Martínez, Antonio</t>
  </si>
  <si>
    <t>Antonio Martínez</t>
  </si>
  <si>
    <t>…a é Indias. (Id.) sqrvido de custodié a los Soberanos* ¿esde Ja restatiTac¿on de Monarquía goda ¿un pficií*! escritas por Rey D. Tclayo: el de la antigua guardia ReaJ. IJn tumo en 4.0. - nombrando al consejero de Estado honorario D. Antonio Martínez, de-i- de.181-8, á ^0 rs. pasta rustica. edición y cano de la sección de Hacienda'del mismo Consejo. (Id.) ■ , . ... .___ nombrando para la sectioh de Hacienda del mismo Consejo * D Fran ■■ ---------------- ■ ------ ’ ----------- j .1,,,! | cisco López de Alcáríz, E). Jacobo María de Parga, D. N ic…</t>
  </si>
  <si>
    <t>…é Indias. (Id.) sqrvido de custodié a los Soberanos* ¿esde Ja restatiTac¿on de rtaonarquíu goda el Rey D. Tclayo: escritas por ¿mjpficji*! de la antigua guardia ReaJ. IJn tumo en 4.0. - nombrando al consejero de Estado honorario D. Antonio Martínez, de-i- edición de.181-8, á £0 rs. pasta y rustica. cano de la sección de Hacienda'del mismo Consejo. (Id.) ■ , . ... .___ nombrando para la sectioh dé Hacienda del mismo Consejo á D Fran » -------------- ■ ------’ ----- -----j .1,,,! | ,.É cisco López de Alcáríz, D. Jacobo María de Parga, D. N icet…</t>
  </si>
  <si>
    <t>….5+.=A D. Francisco Martínez da bie.rno; marques de Santa Cruz y San Esteban; marques de San Mar la Rosa, Presidente del Consejo de Ministros. tin de Hombreiró; D. Ensebio Bardají, decano de la sección de Estado del Consejo Real; D. Antonio Martínez, decano de la sec No siendo compatible con la repta administración de justicia la ción de Hacienda del mismo Consejo; D. Fr.-Ilijtólito Sánchez doble representación de juez y parte que tienen los interventores Rangel , ohispo de Lugo; D. Manuel Freite .teniente general de con respecto á los interes…</t>
  </si>
  <si>
    <t>…............................ óí da hasta el 20 de Noviembre próximo. 62 2? 12 mismo Secretario del Despacho remitirá en aquel dia to llas las proposiciones que se hubiesen hecho al examen de una co Un capitán. misión compuesta de D. Antonio Martínez, Procer del reino; Don Un teniente. José Ventura de Aguirre Solarte, Procurador del reino: D. Anto Dos subtenientes. nio Barata, director de la Real caja de Amortización; D. Domingo Sargento primero.................... 1 ^e Torres, director de Tentas provinciales; D. Joaquín Liaño, in Una compañía.…</t>
  </si>
  <si>
    <t>…antes sea posible la división de los partidos judiciales por los gran vengo en conferir este destino en nombre de mi augusta Hi¡3 la des beneficios que han de resultar á los pueblos de la mas pronta Reina Doña María Isabel ii, á D. Antonio Martínez, conse administración de justicia: y considerando que la necesidad de esta jero de Estado honorario. Tendréislo entendido, y lo comunicareis medida se hace mas imperiosa y perentoria, porque ella ha de pre á quien correspondalccrEstá rubricado por S. M.zcEn Aranjuez á sentar la base adoptada en mi…</t>
  </si>
  <si>
    <t>Martinez, Antonio</t>
  </si>
  <si>
    <t>Antonio Martinez</t>
  </si>
  <si>
    <t>…niente Javier Abadía; D. ña, mariscales de campo D- Felipe Montes y D. Gaspar Diruel, y á NOTICIAS EXTRANGERAS. y D. Tomás González Carvajal, ministro que fue del suprimido Con sejo de la Guerra. INGLATERRA. Para la de Hacienda á D. Antonio Martinez, decano; D. Fran Lóndres 8 de Abril. cisco López Alcáraz; D. Jacobo María de Parga; D. Niceto de Fondos públicos. Tres por 100 consolidados 90 • Larreta; D. José López Juana Pinilla. Ayer llegó á esta ciudad el nuevo embajador de España , conde Para la de Marina á D. Martin Fernandez de Navarrete,…</t>
  </si>
  <si>
    <t>Martínez, D Antonio</t>
  </si>
  <si>
    <t>D Antonio Martínez</t>
  </si>
  <si>
    <t>…referido método a*¡ en esta capital como ¡¿a las cabezas de parti D. Joaquin Gómez de la Cortina, hijo.de S. E................................ 500 do, pues al efecto le tengo encargado que compre el cprrcspondicnte número Excmo. Sr. D- Antonio Martínez......................................................... 1500 de ejemplares de la citada ebra de Vallejo, y lo demas que sea necesario. D. Antonio de Gaona............................................... ............................ 400 ' En cumplimiento de la Real órden de 22 de Marzo último, por la cual D. Tomas-de Linaccro......................................…</t>
  </si>
  <si>
    <t>Martínez, D Francisco</t>
  </si>
  <si>
    <t>D Francisco Martínez</t>
  </si>
  <si>
    <t>…para fundar un beaterío destinado á la educación de las ni ELECCION DE PROCURADORES DEL REINO, dias pobres. Ha pedido á los pueblos las noticias mas circunstanciadas acerca del estado PROVINCIA DE GRANADA. de las circeles. Excmo. Sr. D. Francisco Martínez dé la Rosa* Apresura la, construcción del camino de Bonanza al Puerto de Santa María, Sí. D. {francisco Hubcrt. -y se ocupa en el proyecto de limpiar la barra de este, y en el de reunir las cor Sr. D. Nicolás Bonet y Orbe. rientes del Guadalcte al Guadalquivir, como asimismo en la pronta compo Sr.-…</t>
  </si>
  <si>
    <t>Martínez, D Francisco Ignacio</t>
  </si>
  <si>
    <t>D Francisco Ignacio Martínez</t>
  </si>
  <si>
    <t>…grupos algunos compañeros albañiles por la la compañía de cazadores del ’l*°de línea que se hallaba inmediata » man calle de Aix, y fueron á la casa de su madre, sita en la calle de Petit S» Jean; dada por el teniente graduado de capitán D. Francisco Ignacio Martínez loa saliendo de allí y habiendo llegado al Coués, entonaron cauciones injuriosas á contuvo y los hi^o retroceder cuantas veces intentaron cargar. El combate se sus camarades. Sabiendo la policía que das i todas las reyertas habían tenido por hizo en este purtto obstinadísimo, y los tenientes gradua…</t>
  </si>
  <si>
    <t>Martínez, D Patricio</t>
  </si>
  <si>
    <t>D Patricio Martínez</t>
  </si>
  <si>
    <t>…l Estatuto Real Este previene Se mandaron pasar á la comisión de Poderes los presentados con los do que se'debe estar en posesión de una renta propia, y la ley de elecciones esta cumentos justificativos de su aptitud legal por el Sr. D. Patricio Martínez del blece los medios por los cuales se ha de probar dicha relata, y designa las que Tejar Carrillo de Ribera, electo Procurador por la provincia de Avila. son propias. Aun hay mas: en la Real urden de 27 de Mayo se amplía esta Se dió cuenta de una comunicación de la comisión de Poderes al Esta*4 cualid…</t>
  </si>
  <si>
    <t>Martínez, Francisco</t>
  </si>
  <si>
    <t>Francisco Martínez</t>
  </si>
  <si>
    <t>…odrigo. brarle subsecretario de Estado. Tendréislo entendido, y dispondréis El de la villa de Fortuna. lo necesario á su cumplimiento. = Está rubricado de la Real niano.z El de la de Monlijo. En Palacio á 26 de Junio de 1834. = A D. Francisco Martínez de kt El de Oviedo. Rosa, Presidente del Consejo de Ministros. í La Milicia urbana de Cartagena. El alcalde mayor , ayuntamiento y clero de la villa de Torbúeon. JONISIKRÍO BS LO INTSBIOB. , La Real sociedad económica matritense. La de la provincia de Murcia. Real orden. La de Avíli. ' Ercmo. Sr.: Des…</t>
  </si>
  <si>
    <t>/ $96 i jL—concedicódó £ D. Francisco Martínez dé U Rosá la gran cruz 4e la Real Reales decretos conce^eodo £ D. Juan Francisco Fontan honores de ministro ■ y distinguida orden de Cirios tif. (Id.) ^ ' C del Tribunal supremo de Hacienda. (Núm. 132.) / nombrando una comisión para reformar el código de comercio.^^T«m&lt;— ___ __nombrando ¿ E&gt;. Agust…</t>
  </si>
  <si>
    <t>Martinez, Francisco</t>
  </si>
  <si>
    <t>Francisco Martinez</t>
  </si>
  <si>
    <t>…ña, con cuatro grandes arcos semicirculares abiertos en los coro, que como queda dicho, era imitado á piedra de Colmenar y berroqueña, frentes de ella, teniendo en su base la pirámide 18i pies en cuadro, y de al estuvo á cargo de D. Francisco Martinez la talla fue ejecutada por los artífi to 4á ; de forma que el todo del catafalco, basta la parte superior ó cúspide da ces D. José Perez y D. VílentiniUrbano: el dorado y bronceado de flameros, la referida pirámide, tenia 75 pies. arandelas y demas adornos de 1# tapicería, fue desempeñado por D. Manue…</t>
  </si>
  <si>
    <t>…fundar un beaterío destinado á la educación de las ni ELECCION DE PROCURADORES DEL REINO, dias pobres. Ha pedido á los pueblos las noticias mas circunstanciadas acerca del estado PROVINCIA DE GRANADA. de las circeles. Excmo. Sr. D. Francisco Martínez dé la Rosa* Apresura la, construcción del camino de Bonanza al Puerto de Santa María, Sí. D. {francisco Hubcrt. -y se ocupa en el proyecto de limpiar la barra de este, y en el de reunir las cor Sr. D. Nicolás Bonet y Orbe. rientes del Guadalcte al Guadalquivir, como asimismo en la pronta compo Sr.-…</t>
  </si>
  <si>
    <t>…su cumplimien- á Bclial; habiendo llegado en unos, cuantos la perversidad hasta el punto de to.zrEstá rubricado de la Real mano. z= En Palacio á 7 de Fcbrerotle 1834- = acaudillar con mano armada las faccibncs de las rebeldes. A D. Francisco Martínez dé la Rosa, Presidente:del Consejo de Ministros. S. M- conoce toda la extensión de los imprescriptibles derechos inseparables de la soberanía-, cuyo depósito la está encargado: no ignora el uso de ellos que En consideración á, los buenos servicies y al zelo y lealtad que ha manifes han hecho sus ¡a…</t>
  </si>
  <si>
    <t>…de préstamo. 3.a Lo exigí- I pondréis lo necesario á. su cumplimiento^=Está rubricado de la Real mano de do á los pueblos por el gobierno revolucionario á-sus autoridades en la épocal S. *M.—Hn Palacio á lo de Febrero de 1834c1-A D. Francisco Martínez de la señalada en la 1.* , será únicamente abonado en cuenta- de los atrasos de contri- | 'Rosa , Presidente del Consejo de Ministros. -j-.'.i ■ ■ . ' Condescendiendo con los deseos que me ha manifestado la-Real Maestras— zá'tíe cabal feria de Granada, suplicándome que ejerza la dignidad de su Her ó.corp…</t>
  </si>
  <si>
    <t>…ponen estos polvos de tas yerbas siguientes: Yesfe, tuvo la feliz idea dé recomendarla al practicante mayor del hospital de «Eryngium campestre de Lineo, Vulgo cardo corredor ó setero, Ó panicil .coléricas de. la saja de unciones D. Francisco Martínez; quien habiendo hecho campestre. con ella las administraciones convenientes en lugar de la aristoloquia, bajo la •i Echium vulgare de id. vulgo viborera común, ó equio, ó lengua de buey , dirección,del;médico dy cabecera, comunicó i la referida junta hechos muy sa- lalvage, ó sardineta ó borraja si…</t>
  </si>
  <si>
    <t>…rtéa generales. Tendréislo entendido, y dispondretS h&gt;! Lm cartpt ée Cotíá haoen wta piatura poco favorable de la dhMtfeft &lt;4» mtfít mrioá taz. cumplimiento. a Está rubricado déla Real mioo.aEn _ elPardo A14de Seómnbre de 1634.=A D. Francisco Martínez de . que jMOaa cnviado en pn&gt;a hr Roat.PrMidém* del GM»c^'&lt;RMini«tro«. - • «udoads las iSdda. baudo derre en las ccroaaias dé fisanth Y* a»</t>
  </si>
  <si>
    <t>…ejo de Castilla , mandando qup La comisión de Poderes manifestó haber examinado los presentados cpn se tuviera por nula y de ningún valpr la venta de los mayorazgos, y estable los documentos justificativos de sp aptitud legal por D. Francisco Martínez ció ciertos medios aparentes de compensación , bien ridículos en su resultado, del Tejar, electo Procurador por provincia de Avila; y que hallándolos con pues no se tuvo presente que las ventas se habíao hecho por los poseedores. En formes , era de dictámep que dehipn aprobarse. Asi sp acordó. cons…</t>
  </si>
  <si>
    <t>…D. Javier de Burgos, Secretario que lia sido de Estado y á su euiiinlimiento.=Está rubricado de la Real mano de S. M.=En del Despacho de lo Interior; í&gt;. José María Puig, del Consejo de Go- Carabancliel á 17 de Junio de 18.5+.=A D. Francisco Martínez da bie.rno; marques de Santa Cruz y San Esteban; marques de San Mar la Rosa, Presidente del Consejo de Ministros. tin de Hombreiró; D. Ensebio Bardají, decano de la sección de Estado del Consejo Real; D. Antonio Martínez, decano de la sec No siendo compatible con la repta administración de justicia la…</t>
  </si>
  <si>
    <t>…ICIO. cepciones en él expresadas. Tendréislo entendido, y dispondréis lo necesario á su cumplí mi ento.=Está rubricado de la Real mano,=En La Reina nuestra Señora Doña Isabel ii, y S. M. la Reina Aranjuez á 20 de Mayo de 18,34.=A D. Francisco Martínez de ia Gobernadora, siguen en el Real sitio de Aranjuez sin novedad Rosa, Presidente de mi Consejo de Ministros. en su imjiortanie salud. MINISTERIO DEL INTERIOR. Del m ismo beneficio disfrutan SS, A A. RR. los Sermos, Se Reales órdenes. ñores Infantes. Deseando S. M. la Reina Gobernadora dispensar los…</t>
  </si>
  <si>
    <t>…s justas y legítimas fundadas sobre e! de dréis lo necesario á su cuinpliíuienlo=Está rubricado de la Real ma- recho de gentes. Esta esperanza ha sido completamente satisfecha por la comu no.:=S. Ildefonso 21 de Agosto de 1834.=A D. Francisco Martínez nicación que mas tarde hizo el ministro austríaco Mr. de Bombelles, de ia carta de la Rosa, Presidente del Consejo de Ministros. del vorort, fecha 17 de Junio: porque informando á la Dieta germánica de que los refugiados alemanes que firmaron las dos proclamas dirigidas á revolu cionar á Alemania ,…</t>
  </si>
  <si>
    <t>…Diputados: por esto no alcanzamos cual Ka sido el sario á su cumplimiento. = Está rubricado de la Real mano. = En el motivo de recurrir á un medio, que en otra ocasión ha producido tan fatalesPardo á 19 de Noviembre de 1834. = A D. Francisco Martínez de resultados. El gran Duqúe sin duda habra tenido razones muy poderosas v'*ela Rosa, Presidente del Consejo de Ministros. creias para decretar la disolución: el suceso final podrá solamente descubrirnos este misterio. Idem 12, PARTE NO OFICIAL. OctubriHé aquí el acta de la sesión plena de la Dieta ge…</t>
  </si>
  <si>
    <t>Martínez, Francisco Ignacio</t>
  </si>
  <si>
    <t>Francisco Ignacio Martínez</t>
  </si>
  <si>
    <t>…lgunos compañeros albañiles por la la compañía de cazadores del ’l*°de línea que se hallaba inmediata » man calle de Aix, y fueron á la casa de su madre, sita en la calle de Petit S» Jean; dada por el teniente graduado de capitán D. Francisco Ignacio Martínez loa saliendo de allí y habiendo llegado al Coués, entonaron cauciones injuriosas á contuvo y los hi^o retroceder cuantas veces intentaron cargar. El combate se sus camarades. Sabiendo la policía que das i todas las reyertas habían tenido por hizo en este purtto obstinadísimo, y los tenientes gradua…</t>
  </si>
  <si>
    <t>Martinez, Francisco'</t>
  </si>
  <si>
    <t>Francisco' Martinez</t>
  </si>
  <si>
    <t>…do cesante, de ló civil, y dé lo criminal á D. Migncl Nájera Comunicareis á quien córresponda.ieEstá rubricado dé la Real ma- Meneos, ya nombrado para esta plaza. T es mi Voluntad que cada fto.s-AfanjuéZ 17 de Abril de 1834. — A- D. Francisco' Martinez uno de los ministros de ese súperioí ttibúflal ocupe, Según su clase, de la Rosa, Prmidemo del Cornejo &lt;U-Mietttros. él asiento que le corresponda según el título de su primer nom bramiento. Tendréisló entendido, y lo comunicaréis á quien cor Qberittído dar á ía Real maAffanza de' caballería de Sev…</t>
  </si>
  <si>
    <t>Martínez, Gonzalo Pascual</t>
  </si>
  <si>
    <t>Gonzalo Pascual Martínez</t>
  </si>
  <si>
    <t>…egresó S. M. F. al palacio de Queluz, S. M. se ha servido nombrar oficial auxiliar de la tesorería general de é inmediatamente pasó á la cámara de su augusto Padre, y después de partici correos en la plaza vacante por renuncia de D. Gonzalo Pascual Martínez, á parle que habia cumplido con las formalidades prescritas por la ley fundamen P. José Valenzuela y Ozores, alférez de granaderos provinciales de la Guar tal , y hallarse revestida de los poderes de la Regencia del reino, puso á S. M. I. dia Real. la gran cruz de la órden de la Toríe y Espada, cuy…</t>
  </si>
  <si>
    <t>Martínez, Jacinto</t>
  </si>
  <si>
    <t>Jacinto Martínez</t>
  </si>
  <si>
    <t>…onteras el sargento l.° Marcos Garricho: que todavía no le habían remitido parte circunstanciado de los efectos que en del Real cuerpo de artillería el teniente graduado, alférez D. José Lasala; el ellos causaba dicha enfermedad. sargento:2.° Jacinto Martínez, y soldado José Montero: de cazadores de la Guardia Real de caballería el coronel graduado, capitán D. Manuel Jacome, PROVINCIA DE VALENCIA. y el teniente D. Fernando Hermosa; del 6.a ligero de caballería el teniente —coronel graduado D-Juan García Tejida. Se recotTircnda itiruy particularmen Según…</t>
  </si>
  <si>
    <t>Martínez, Javier</t>
  </si>
  <si>
    <t>Javier Martínez</t>
  </si>
  <si>
    <t>…egunda.”------------------------------------------—---- “Manuel de la Riva Herrera. = José Rodríguez Paterna.=Andrés Visedo. =: El Sr. Otazu hizo presente que no había necesidad de variar el artículo. Conde de las Navas. = Fermín Caballero. = Javier Martínez. = Fausto de Ota- El Sr. Rivaherrera: «La petición debe producir una ley presentada por zu. = EI marqués de Someruelos.=José Alvarez Pestaña.=Pedro Ventura de el Gobierno para que se discuta en el Estamento: entonces se podrá hacer mé Puga. = Fernando Miranda y Olmedilla. Juan de Morales. Pedro Jaco…</t>
  </si>
  <si>
    <t>Martínez, Joaquín</t>
  </si>
  <si>
    <t>Joaquín Martínez</t>
  </si>
  <si>
    <t>…Que á los que al publicarse la ley indicada se hallaban impurifica de las reclamaciones que hicieron el comandante D. José de Lago , el primer dos sin intentar nuevo juicio, y los que do hicieron uso de ninguno de los es ayudante D. Joaquín Martínez, ambos retirados, y los capitanea ilimitados Don tablecidos pidiendo su purificación , se les declare el derecho al goce de las asig Ignacio Soriano y D. Luis de la Nougarede , procedentes todos del regimiento naciones-determinadas en el citado Real decreto de 22 de Marzo: 8.° Que a infantería de l…</t>
  </si>
  <si>
    <t>…Mr. Arago, la academia ha decidido que volvería Madrid 7 de Diciembre. Á proponerse para el premio de matemíticás del año d£ 1836 la cuestión de la resistencia del agua. {Mensagerv.) S. M. atendiendo á los servicios y méritos de D. Joaquín Martínez v Cintoca , abogado de los Reales tribunales, ha venido en concederle los honores de - . El sarao de lord Granville atrajo ayer una afluencia de concurrentes mas auditor de guerra. numerosa de lo acostumbrado; asistieron muchos ministros y miembros de nuestro cuefpo diplomático y de nuestras asambl…</t>
  </si>
  <si>
    <t>Martínez, Jor e</t>
  </si>
  <si>
    <t>Jor e Martínez</t>
  </si>
  <si>
    <t>…ro*) sidente, á D. Rodrigo María Moscoso, y á D. José del N alíe y Re— INGLATERRA. fart, abobados del colegio de Madrid; á D. Manuel Abad, primer Landre* 28 de Mayo,escribano de Cunara del supremo tribunal de España é Indias, y á D. Jor^e Martínez, relator del misino. I codiciólo entendido, y dis- Fondo* fubVsco*. Tres por 100 consolidados 02f* pond’eis lo necesario á su cumplimiento.=L st.i i u rieado de la JL al .M. Stanley , sir J. Graham , el conde de Kipon y el duque de Richmond, mano = En Aranjuez á 4 de Junio de 18-34.— A D. Nicolás M…</t>
  </si>
  <si>
    <t>Martínez, José</t>
  </si>
  <si>
    <t>José Martínez</t>
  </si>
  <si>
    <t>…número de los que se pre otros cabecillas habiah entrado en la villa de Alcora donde cometieron no pocos sentan. excesos contra los leales servidores de S. M. y la patria. La gavilla se dirigió »E1 capitán de granaderos de Sabova D. José Martínez, que salió la no desde Alcora aljérmino deEmberosa y Albocacer, donde la buscó el incansable che del 19 con objeto de capturar los rebeldes que de noche bajan a los case coronel D. Agustín Nogueras, pero inútilmente, porque las gavillas rebeldes bus ríos de estas inmediaciones, aprehendió en un mol…</t>
  </si>
  <si>
    <t>Martínez, José Ruperto</t>
  </si>
  <si>
    <t>José Ruperto Martínez</t>
  </si>
  <si>
    <t>…redactor el acta*; y por consiguiente l.° de Agosto............................................................................................. 200 era dnoulpabié algún -Ugero^descuido 1 que por lo demas la secretaría estaba-se D. José Ruperto Martínez..............•.......................... .. .................. „ 40 gura en haber estampado con fidelidad el acuerdo de la junta sobre los poderes D. Manuel de Angulo y Cano,........................................................... 20o0 . del Sr. Posada. &gt;f . , D. Jo»é Lav¿ña . consiguiente á la oferta hecha á…</t>
  </si>
  <si>
    <t>Martinez, JoséLidptr y</t>
  </si>
  <si>
    <t>JoséLidptr y Martinez</t>
  </si>
  <si>
    <t>…mbrar para las cua hace llevó á Halil-Bajá á los Dardanelos, lleva también á bordo tro plazas de agentas-fiscales del nuevo tribunal á D. Francisco Es un destacamento de artilleros; es cierto que se hace leva de gente teban Ranz, D. JoséLidptr y Martinez, D. Antooio Sánchez de para la escuadra y ejército turco, y que la Rusia acaba de reclutar Ocaña y D. Fernando de la Torre, que lo eran del extinguido tropas en la Valaquia y Moldavia. Mas ¡cuál es el móvil de rodo Consejo: para las dos de relatores á D. Genaro de Rivas y Losa y esto! Lo único que…</t>
  </si>
  <si>
    <t>Martínez, Juan Diego</t>
  </si>
  <si>
    <t>Juan Diego Martínez</t>
  </si>
  <si>
    <t>…... 100 El Excmo. Sr. margues de Bétgida y Mondejar.................................. 15u0, D. Basilio Moyano por la suscripción del presente mes.......... 80 Extracto del parte remitido por el gobernador civil de la provincia de D. Juan Diego Martínez.......................................................... . ,. . 2*0 Sevilla D Ambrosio Eguí-i con fecha de 23 de Julio ultimo. Doña M. A. M.............................................................................. 20 ’í Excmo. Sr.: La nulidad casi absoluta de la cosecha de granos y la mala D. Juan María Cortinas......... .............................…</t>
  </si>
  <si>
    <t>Martínez, Manuel</t>
  </si>
  <si>
    <t>Manuel Martínez</t>
  </si>
  <si>
    <t>…sminuían mucho los estragos del cólera. S. M. la Reina Gobernadora, por Reales decretos, se ha servido sepa PROVINCIA DE VALLADOtm. rar de sus respectivos destinos á D. José María Tejero, alcalde mayor de Talavera de la Reina - á D. Manuel Martínez, alcalde mayor de Villadiego: á Parte sanitario de 29 de Octubre. D. Manuel Ruiz de Montoya, corregidor de Verin: á D. Francisco de Paula Rog, -trdde m-,mr de San Felipe: á D. Francisco A ntnnio_Macho Ville gas , alcalde mayor de Villarejo de Fuentes: á D. Antonio María Ortiz, al Pueblos. Días. Enf…</t>
  </si>
  <si>
    <t>…guardar consideración á los importantísimos servicios que ha hecho, y que han Benito; á D. José Antonio Casares, alcalde mayor de Santillana de la Mar; sido reconocidos con repetidos aplausos por todos los partidos ele la Cáma á D. Manuel Martínez , alcalde mayor de Villadiego; á D. Casimiro de la ra electiva, parece que se trata únicamente de hacer sospechoso á la opinión Piedra y Urrutia, alcalde mayor de la Isla de León; a D. Hilario Graccs* al pública á un portugués, altamente apreciado en Francia y en Inglaterra por calde mayor de Sala…</t>
  </si>
  <si>
    <t>Martínez, Patricio</t>
  </si>
  <si>
    <t>Patricio Martínez</t>
  </si>
  <si>
    <t>…tatuto Real Este previene Se mandaron pasar á la comisión de Poderes los presentados con los do que se'debe estar en posesión de una renta propia, y la ley de elecciones esta cumentos justificativos de su aptitud legal por el Sr. D. Patricio Martínez del blece los medios por los cuales se ha de probar dicha relata, y designa las que Tejar Carrillo de Ribera, electo Procurador por la provincia de Avila. son propias. Aun hay mas: en la Real urden de 27 de Mayo se amplía esta Se dió cuenta de una comunicación de la comisión de Poderes al Esta*4 cualid…</t>
  </si>
  <si>
    <t>Martínez, Vicente Perez</t>
  </si>
  <si>
    <t>Vicente Perez Martínez</t>
  </si>
  <si>
    <t>…oria , mientras el de estosTeióosi segyn práctica de la- muy santa y primada iglesia de Xoledo, Rrahc*— brigadier Jáuregui desde Vergara, i curo socorro acudió, perseguía hácia Ce- pilla de S. M. y varias iglesias catedrales; por D. Vicente Perez Martínez», segunda edición becbaen !828« corregida y aumentada por el présbítéro P. Antonio Hernández. gsma los Eiatallónes que atacaron aquel pueblo. Pos tomos «n'4¿® divididos en tres volúmenes á (Sí rt. rama y Id2’ dn 'liaira cornoft. c En el propio dia' 13 él general Lorenzo-con las.tropas de su mando,…</t>
  </si>
  <si>
    <t>Martinvende, PedroSe</t>
  </si>
  <si>
    <t>PedroSe Martinvende</t>
  </si>
  <si>
    <t>…onclusión de las láminas que la adornan. Ja hactu'mas recomendable que Jas justicias á que suá ganados pasten en sus respectivas jurisdicciones, y ba dic *nas eledicionesdespachoquedebastacartasahorageográficasse han publicado.de D. PedroSe Martinvende encuadernadade .López, &lt;na lala holandesacalle del tado providencias que eviten tales perjuicios. , J/fncipe, a 54 rs. cada ejemplar. ! Ha dispuesto la continuación de la obra de la acequia de Vilamar; conti -inocencia de la sangre en la producción de las enfermedades del cuerpo huma— núa sus gesti…</t>
  </si>
  <si>
    <t>Martio, Jo.e Martínez San</t>
  </si>
  <si>
    <t>Jo.e Martínez San Martio</t>
  </si>
  <si>
    <t>…facción y noticia de S M. la Rkina Goberna 22.854.. 500.................................. Matáró. dora Dios guarde á V. E. muchos años. Madrid 5 de Junio de 1834-—Kxcmo. 16,219- . 5l)0.................................. Barcelona* Señor, = Jo.e Martínez San Martio. = Excmo.pSr. Secretario de Estado y del 16.143.. 500................................... Murcia. Despacho de la Guerra. 17,925.4 500................................. Sevilla. 11,068.. 5o0.. -............................ Cádiz. El comandante militar de Bilbao con fecha 31 do Mayo remite 4 este m¡- 6,…</t>
  </si>
  <si>
    <t>Martygni</t>
  </si>
  <si>
    <t>…. Contra los bancos; pero la mas notable de todas fuc'que algunos estableci Estaba para concluirse un tratado de comercio entre Francia y Bolivia. • mientos de.esta clase habian,quebrado, causando por consecuencia la ruina de El Sr. Martygni está destinado á venir cerca de nuestro gobierno con el muchas familias. Si este argumento es concluyente, cese desde mañana el ban carácter de encargado de Negocios. co de Lisboa-, cesen todas cuantas instituciones humanas existen, porque de El Sr. de igual clase de los Estados-Unidos de Norte Amé…</t>
  </si>
  <si>
    <t>Marugan, Jóse</t>
  </si>
  <si>
    <t>Jóse Marugan</t>
  </si>
  <si>
    <t>…n la secretaría del gobierno civil de Gíceres, vacante por exoneraciónmismos individuos; y que instalada Ja junta, haga reconocer ei camino, formar el plano y presupuesto de su coste, y proponga los aibitnos que considcie apli de D. Jóse Marugan , S. AL se fia servido nombrar i D. Bernardo Corripia, oficial primero del gobierno civil de Gerona. cable» á este objeto que deberán pagar los pueblos. Para la plaza de secretario del gobierno civil de Toledo, que se halla va S. M. se ha servido autorizar al ayuntamiento de la villa de S. Vicente…</t>
  </si>
  <si>
    <t>Marure, Gregorio</t>
  </si>
  <si>
    <t>Gregorio Marure</t>
  </si>
  <si>
    <t>…a li^ta de los beneméritos que más se han distinguido en .esta acción. —~Para celebrar pinta de ^creedores á los bienes pertenecientes á U testamentaria de Dios fice, Navascues 20 de ÑoVieihbne de 1834 á las diez de la nochej=Ex- D. Gregorio Marure, riaturaS que fue de Mena- mayor, en el valle dé Men%, y vecino edentísimó Sr.zrCrisfóbal Línare&amp;sExcmp. Sr. capitán general de Aragón,” de esta villa de Madrid , ha señalado el Sr. Balsera, teniente corregidor de la misma, el día 21 de Diciembre próximo a las hueve de su mañana, en su casa habitac…</t>
  </si>
  <si>
    <t>Maryborough</t>
  </si>
  <si>
    <t>…nrique Goul- Ayer salió de esta capital para Moscou el gran Duque heredero; le acom burn, el conde de Rosslyn , el conde de Jersey , sir Henriqjue. Hardinge: lord paña so ayo el Príncipe de Lieven. {Mercurio de^ Sueviai) Cowley y lord Maryborough. t «—El día 27 ha debido llegar á Moscou nuestro Emperador. S. M. I. per El duque de Wellington prestó el juramento como ministro de S. manecerá allí 7 ú 8 dias, y después saldrá para esta capital. {Idemi) levantando las manos, y en seguida recibió los seltos de manos del Rey. Mas tarde dio S. M. ot…</t>
  </si>
  <si>
    <t>1198 say, gobernador general de.(a India, sí pueden vencerse los escrúpulos de los -los justos derechos del Soberano. Al mismo tiempo ^podéis estar seguros de que directores dé la)compañíáj que prefieren á lord Merville: lord Maryborough, me hallareis pronto á apoyar cualquiera otra petición que no envuelva las di .caballerizo mayor: lord Cówley., presidente dé la junta of Control-, el coqde ficultados qt,ie tengo la honra de exponeros. Soy vuestro obediente y fiel servi de Aberdeen, embajador en la corte de Francia: lord Stanley s…</t>
  </si>
  <si>
    <t>Mas, Althorp</t>
  </si>
  <si>
    <t>Althorp Mas</t>
  </si>
  <si>
    <t>…tra) asciende'á Stk ____ La muerte de lord'Spencen hace indispensables algunas modificaciones en ' Paifis 20 de Noviembre el ministerio, que á nuestro juicio no ofrecen gran dificultad, pues no la-hay -r en encontrar un sucesor á lord Althorp. Mas si puede nombrarse1 á uní-hom primer proyecto de amnistía que presentó el Consejo de, Ministros bre mas elocuente, ciertamente nó se hallará un hombre de estado-i qúe sepa parece .estaba concebido en estos términos: concillarse en el mismo graüo todos los corazones, y ganarse; la confianza'de «Amni…</t>
  </si>
  <si>
    <t>Mas, Antonio</t>
  </si>
  <si>
    <t>Antonio Mas</t>
  </si>
  <si>
    <t>…puede el auto acordado de 1713, hecho ilegalmente, violado escuadra de mozos de Moyá fue comisionado por el gobernador de Bérga para después por su mismo autor y sus sucesores, y últimamente anulado en las aprehender al cabecilla D. Antonio Mas (a) Chavana, ex-teniente ilimitado Cortes de lr89- Por tanto esta cuestión se ha decidido por la ley - y ia Oposi • que se hallaba escondido en una cueva. A pesar dé ser inedia noche cuando se ción que ha tenido, se ha quebrantado por la fuerza de las armas. Ninguna emprendió la Operación, de una c…</t>
  </si>
  <si>
    <t>Mas, Carrasco</t>
  </si>
  <si>
    <t>Carrasco Mas</t>
  </si>
  <si>
    <t>…esada éfi la deu-&gt; porque no urda-necesidad smó la rtenaeidadde los principio». ilsp que,»:proscritas da.en Francia, ,. mos en nuestro apoyo.A losdos,primeros extremos Contestó,«/¿r Al señor- &gt;&gt;.A esla exageracion contestó ya el -Sr. Carrasco. Mas aun cuando, asó futa Crballero. y en cuanto ái,ált¡cno diré ¿ S. S. que por. lo mismo,:qu«jina eá w &lt;#etís menor -el oómero de lai familias españolas.qée¡uñdrian que suicic ql pm n tersidad á la, que nos acogemos, triste recurso y triste recomtpdac-son'por cieeb so de una eóntribucion para pagar aq…</t>
  </si>
  <si>
    <t>Mas, D Leo</t>
  </si>
  <si>
    <t>D Leo Mas</t>
  </si>
  <si>
    <t>…Villasiíos que sale á las casas del monte de Esptnosilla , donde Toda la columna se ba portado con valor: pero los que pueden merecer al se suponía descansaría Merino. guna distinción particular entre todos los valientes, son el capitán D. Leo Mas no habiendo sido asi, continuaron su reconocimiento por si conse poldo O-Doncll y demas que indicaré á ¿V- E. guían aprehender á algunos dispersos de la acción, como asi sucedió con dos La pérdida del.eneraigo ha sido considerable, mas no puedo detallársela á que fueron remitidos con tres caballos…</t>
  </si>
  <si>
    <t>Mas, Felipe</t>
  </si>
  <si>
    <t>Felipe Mas</t>
  </si>
  <si>
    <t>…presentaba la respondían a Do£ra Magdalena Bretón!: 813 rs 24 mrs., á Ó. Claudio Es. cofon: 13,687 y 16 *fs., d.ÍJ. José Lorareini: Otros &gt;3,687 rs. 16 mrs,. quinta , y ya son poquísimo» los pueblo» en que no se ha verificado. á D. Felipe Mas!; y Últimamente 690 rs, y 8 ínl»,, i D. Ffaáclsco Vi Con igual esmero- y presteza se ha procedido' en la formación roso, las cuales se han denunciado d mostrenco* én el concepto de no de la Milicia urbana. tener duefio conocido, á fin de que én et término de 14 meses compa Se han frustrado á fuerza…</t>
  </si>
  <si>
    <t>Mas, Lafayette</t>
  </si>
  <si>
    <t>Lafayette Mas</t>
  </si>
  <si>
    <t>…imer objeto atreve ¿^combatirle, á lo menos abiertamente. (Mensajero.) de vuestros ataques. __—Se lee en el Diario de los Debates lo siguiente: »No quiera Dios que vaydfrios á abrir una escena de polémica sobre la tumba misma del general Lafayette-. Mas supuesto que la,calma con que se han celebrado sus exequias es un ESPAÑA. motivo de tristeza pára ciertas personas, y que por ello se dice que ha degene rado el espíritu público de la nación , séanos permitido felicitar el espíritu pú Madrid 9 de Junio. blico por haber triunfado del espíritu de des…</t>
  </si>
  <si>
    <t>Mas, Leo</t>
  </si>
  <si>
    <t>Leo Mas</t>
  </si>
  <si>
    <t>…íos que sale á las casas del monte de Esptnosilla , donde Toda la columna se ba portado con valor: pero los que pueden merecer al se suponía descansaría Merino. guna distinción particular entre todos los valientes, son el capitán D. Leo Mas no habiendo sido asi, continuaron su reconocimiento por si conse poldo O-Doncll y demas que indicaré á ¿V- E. guían aprehender á algunos dispersos de la acción, como asi sucedió con dos La pérdida del.eneraigo ha sido considerable, mas no puedo detallársela á que fueron remitidos con tres caballos…</t>
  </si>
  <si>
    <t>Mas, Pro'curadores</t>
  </si>
  <si>
    <t>Pro'curadores Mas</t>
  </si>
  <si>
    <t>…que á veces hacen ilusoria la aprobación to i la equidad y justicia, como á lo que se llama razón de citado y conve del principio. No Creo yo que en l$.cuestion presente haya tal intención por niencia pública. t . ' parte de los Sra. Pro'curadores. Mas digo: á pesar dé la Oposición política en «Asi q^e, hubiera 'deseado que las cosas -hubiesen permitido otra clase de que tengo la desgracia de estar varias sisees con lós Stes. Secretarios del Despa idiséusión, páfa solemnizar el antvehariode esa amnistía célebre; y también chó, no creo tampoco hay…</t>
  </si>
  <si>
    <t>Masarnau, Vicente Santiago</t>
  </si>
  <si>
    <t>Vicente Santiago Masarnau</t>
  </si>
  <si>
    <t>…parados de ellas el año de 1824 sin justo motivo, y nombrar para la enseñan za de química aplicada á las artes, que obtenía el primero en la ciudad de Má S. M. se ha dignado dispensar á D. José y D. Antonio Tomé de Ondar- laga, á D. Vicente Santiago Masarnau; mandando se tengan presentes los mé reta la gracia que han solicitado de poner en su fábrica de cera , establecida en ritos contraídos por D. Juan José Ancizu en el desempeño de la cátedra de esta corte, f\ escudo de las armas Reales, pagando previamente el servicio de materia farmacéutica en el e…</t>
  </si>
  <si>
    <t>Mascoso, José María</t>
  </si>
  <si>
    <t>José María Mascoso</t>
  </si>
  <si>
    <t>…riben de Bruna ( Moravia) con fecha de 28 de Agos y dispondréis su cumplimiento.rrüstá rubricado de la Real Mancw=- to lo que siguci Tenemos en esta ciudad yen sus cercanías hombres de tro En el Pardo á Id de Setiembre de 1834.=A D. José María Mascoso pas de todas arpias independientemente de los primero* batallones del Lar»— de Altamira. . 1 d wehr. A tiuque,la cooccntractonde semejante fuerza no lleva mas objeto, »•— gun se dice, que ejercitarla en grandes .maniobras cuando llegue el otoño, sin embargo muchas personas quieren referir á este su…</t>
  </si>
  <si>
    <t>Masde, José</t>
  </si>
  <si>
    <t>José Masde</t>
  </si>
  <si>
    <t>…s &amp;c. ciudad de Lérida, Llano de Urgel, y otro» muchos corregimientos y partidos, con el Cuartel general dé Búrgos 21 de Setiembre de 1834-=Excmo. Sr^=José Man- método feliz, pronto y seguro de curar, semejantes enfermedades: por D. José Masde— »6.esExcmo. Sr. Secretario de Estado y del Despacho de la Guerra.” valí, doctor en medicina en la universidad de Cervera. Tercera edición raún de 1797, un tomo en 4*°* a 4 rt. rama y 5 en rustica. Reflexione» acerca de la epidemia que reinó en Cádiz el año de 1800, y medros de atajar los estragos…</t>
  </si>
  <si>
    <t>Masedo, Juan Ncpomuceno</t>
  </si>
  <si>
    <t>Juan Ncpomuceno Masedo</t>
  </si>
  <si>
    <t>…de infan »En cuanto á las circunstancias que han motivado la ley, te tería, el batallón 1° movible y el fijo. El resto de la caballe nemos que luchar con dos partidos de Oposición. Dice el uno que ría estaba bajo las órdenes del brigadier Juan Ncpomuceno Masedo. «ste gobierno no lo es de derecho, y que por esta razón nos ve Después de romper el fuego de artillería sobre el puente, cavo mos precisados á pedir esta ley y otras semrjantes; que un gobier la tropa sobre el enemigo, que fu» desalojado al mismo tiempo que no que no lo es de derecho, choca con tod…</t>
  </si>
  <si>
    <t>MasegoSa, Andrés</t>
  </si>
  <si>
    <t>Andrés MasegoSa</t>
  </si>
  <si>
    <t>…de CoZar y i Eli atención á los extensos conocimientos en la ciencia de la D. António Fernandez del Castillo, oidores cesantes con sueldo: administración y demas cualidades1 que adornan á D. Juan Alva- por la clase de alcaldes á D. Andrés MasegoSa; á D. Francisco iez Gueíra, he venido en nombrarle para la plaza de decano de lá GalveZ Fernandez y á D. José Alonso Villastnte, que son tam sección de Fomento del Consejo Real dé España é Indias, vacan bién de la misma, y á D. José Aguilera, elerto para el consejo te p6f promoción de D. José María…</t>
  </si>
  <si>
    <t>MasHIon, D Juan Bautista</t>
  </si>
  <si>
    <t>D Juan Bautista MasHIon</t>
  </si>
  <si>
    <t>…rústica y y en las provincias Peres, »£xcmo. Sr.: La enfermedad reinante en Granada vá en disminución sen— ría 114 en pasta. ' . .tibie, no tanto por el número de fallecidos, cuanto porque han aparecido otras ——Sermones del limo. Sr. D. Juan Bautista MasHIon, presbítero de la congregación comunes y propias de la estación, sin ser funestas en su terminación. La adjun del Oratorio; uno de los 40 de la academia francesa, y obispó de Clermont, tradu ta nota de los fallecidos prueba no ser excesivo su número en la actual esta cidos al castellano por el P. P…</t>
  </si>
  <si>
    <t>MasHIon, Juan Bautista</t>
  </si>
  <si>
    <t>Juan Bautista MasHIon</t>
  </si>
  <si>
    <t>…ica y y en las provincias Peres, »£xcmo. Sr.: La enfermedad reinante en Granada vá en disminución sen— ría 114 en pasta. ' . .tibie, no tanto por el número de fallecidos, cuanto porque han aparecido otras ——Sermones del limo. Sr. D. Juan Bautista MasHIon, presbítero de la congregación comunes y propias de la estación, sin ser funestas en su terminación. La adjun del Oratorio; uno de los 40 de la academia francesa, y obispó de Clermont, tradu ta nota de los fallecidos prueba no ser excesivo su número en la actual esta cidos al castellano por el P. P…</t>
  </si>
  <si>
    <t>Masilloo, D Juan Bautista</t>
  </si>
  <si>
    <t>D Juan Bautista Masilloo</t>
  </si>
  <si>
    <t>…rincipales.y eo la deLosVianatomos, á siguientes24 rs. ea rústicasaldrán, yconenla lasmayorprovinciaspresteza.á 26 en las libre arínas en Villadiego, previas las disposiciones de cristiano. Dicho comandante ■ ' Sermones del limo. Sr. D. Juan Bautista Masilloo, presbítero , de la congregación recomienda el zelo del alférez del escuadrón ligero de Madrid D. Juan de la del Oratorio, uno de los cuarenta de la academia Ira ocesa , y obispo de Clermont, Torre, y del teniente retirado D. Oaspar Hernando, que fueron los encargados adviento,traducidos cuaresma,a…</t>
  </si>
  <si>
    <t>Masilloo, Juan Bautista</t>
  </si>
  <si>
    <t>Juan Bautista Masilloo</t>
  </si>
  <si>
    <t>…ipales.y eo la deLosVianatomos, á siguientes24 rs. ea rústicasaldrán, yconenla lasmayorprovinciaspresteza.á 26 en las libre arínas en Villadiego, previas las disposiciones de cristiano. Dicho comandante ■ ' Sermones del limo. Sr. D. Juan Bautista Masilloo, presbítero , de la congregación recomienda el zelo del alférez del escuadrón ligero de Madrid D. Juan de la del Oratorio, uno de los cuarenta de la academia Ira ocesa , y obispo de Clermont, Torre, y del teniente retirado D. Oaspar Hernando, que fueron los encargados adviento,traducidos cuaresma,a…</t>
  </si>
  <si>
    <t>Masot, Benito</t>
  </si>
  <si>
    <t>Benito Masot</t>
  </si>
  <si>
    <t>…iente graduado de capitán ,y el subteniente D. Manuel Cácercs, am bos de la insinuada compañía; juzgo empero dignos de particular memoria 4 Partes recibidor en la Secretaria de Estado y del Despacho de la Guerra* D. José Alonso y D. Benito Masot, sargentos primeros graduados de sub tenientes , aquel de ía compañía de granaderos, y éste de la de cazadores del Consiguiente al plan acordado entre los generales duque de Terceira y Don referido primer batallón , cuyo porte distinguido, decisión y buen concepto loa José Ramón Rodil , marcharon l…</t>
  </si>
  <si>
    <t>Masot, José Alonso y D Benito</t>
  </si>
  <si>
    <t>José Alonso y D Benito Masot</t>
  </si>
  <si>
    <t>…q. ; ’ tarte, teniente graduado de capitán ,y el subteniente D. Manuel Cácercs, am bos de la insinuada compañía; juzgo empero dignos de particular memoria 4 Partes recibidor en la Secretaria de Estado y del Despacho de la Guerra* D. José Alonso y D. Benito Masot, sargentos primeros graduados de sub tenientes , aquel de ía compañía de granaderos, y éste de la de cazadores del Consiguiente al plan acordado entre los generales duque de Terceira y Don referido primer batallón , cuyo porte distinguido, decisión y buen concepto loa José Ramón Rodil , marcharon l…</t>
  </si>
  <si>
    <t>Massey</t>
  </si>
  <si>
    <t>…ños. Conserva todas sus facultades, y cuenta hasta las menores circuns po ha hecho mas para la felicidad de su patria? (ChronicU.') tancias de aquella memorable jornada de un modo muy interesante y con la mayor claridad. Dice que lord Massey mandaba su compañía en dicha batallé. —Wemns recibido los periódicos de la Jamaica hasta el 25 del mes de Ju ' ^ (Umtrtek-Chroriiclt.) ' .’ lio, por los cuales sabemos, á’ no dúdarlO,*que se han tomado precauciones pa FRANCIA. ’ ra asegurar la tranquilidad pública. Se ha aumentado el número de cons…</t>
  </si>
  <si>
    <t>Massoni, Madrid de Setiembre Edward</t>
  </si>
  <si>
    <t>Madrid de Setiembre Edward Massoni</t>
  </si>
  <si>
    <t>…l artículo 2.P del Real decreto, fecha 21 de Febrero de; 1833^- ■ 'f ' ESPAÑA. ' El 'fiKat'gsneral j&gt;ide por tanto que los referidos Plapouta y Colocotroni scameótulenódoii xl tenór de lo* artículos de las Jeve*-cifedós^El fiscal general, Madrid 11 de Setiembre. Edward Massoni • *", SentcOfid; -Reine de' Grecia.nzTribunal de Nauplia.==Jueces A. Polyzoi- Poete recibido en la secretario-de S-stadoy dtl Jdespacho de.la Guerra. 4 des , presidente: G. Tertzetti, D. Soutlío j í1. Frangoulis y A. Boulgqris. El.tribynal. rqunido-pva.pfonunciar cn.la cau** fofmótla-á'inUahcia del…</t>
  </si>
  <si>
    <t>Mastrati, José Gabriel</t>
  </si>
  <si>
    <t>José Gabriel Mastrati</t>
  </si>
  <si>
    <t>…o del lujo y séquito inmenso que llevan los goberna Cabezas. Primer premio: á D. Agustin Pérez, por el rostro del Salvador, dores generales de las Indias británicas. En el último viage que lord VVilliam Cuadro núm. 24. Segundo: á D. José Gabriel Mastrati, por la cabeza de la Bentinclc hizo por lo interior del país, su equipage fue llevado por 103 ele Magdalena, núm. 16. Tercero: á D. Francisco Oliver y Bravo, por el Tacio, fantes, 1300 camellos y 800 carruages tirados de bueyes. Este convoy iba es núm. 45; y mención honorífica de D. Francisco José…</t>
  </si>
  <si>
    <t>Mastuchewitz</t>
  </si>
  <si>
    <t>…viene olvidar que en materia de instituciones se &gt;Lóndres. Varios'de los individuos que la componían han sido; llamados á sus debe consultar mas bien el espíritu del legislador qqe el texto de" la ley. Espe coi tes entre ellos el conde Mastuchewitz: generalmente se piensa que si vol ramos que los diarios que han de dar cuenta al público de las deliberaciones de . viesen á entablarse las negociaciones para arreglar definitivamente nuestros ne los Estados provinciales, suministrarán informes satisfactorios. gocios seria mas bien la reunión de l…</t>
  </si>
  <si>
    <t>Mata, D Ildefonso</t>
  </si>
  <si>
    <t>D Ildefonso Mata</t>
  </si>
  <si>
    <t>…su guarida de noche este foragido, dirigiéndole también cl subte mas señales, el cual herido por un cazador, y huyendo aun , el subteniente gra niente dp cazadores de Isabel ti, D. Manuel García Florez, con 30 cazadores duado de teniente D. Ildefonso Mata, arrojándose sobre el lo paso con su, espa al de Caüzo, por si se hablan quedado en aquel caserío, de modo que debían da, y despojado de sus vestiduras, se notó que el morrión que conserva dicho protegerse uno á otro. '/S oficial , tenia galón de oro y chapa dorada con cl número 2-°, en un todo igu…</t>
  </si>
  <si>
    <t>Mata, Fausto Antonio de la</t>
  </si>
  <si>
    <t>Fausto Antonio de la Mata</t>
  </si>
  <si>
    <t>…remitido por el gobernador civil de la provincia de Soria Estado sanitario de la población de Aihendin desde, el 11 hasta el 15 D. Laureano Gutiérrez con fecha de 7 de Mayo actual, de Maya. En v¡sta de un proyecto presentado por D. Fausto Antonio de la Mata, vecino de S. Pedro Manrique, para hacer fructífera una porción de terreno, Existencia del día trayendo 4 él agua del arroyo de Val de Avellano, y habiendo oido al ayun Días. anterior. Invadidos. Curados. Fallecidos. tamiento de la citada villa, ha acordado el repartimiento entre los interesados Gr…</t>
  </si>
  <si>
    <t>Mata, García</t>
  </si>
  <si>
    <t>García Mata</t>
  </si>
  <si>
    <t>…aba. petente por medio de documentos, sin cuya presentación no puede ser ad Se mandó pasar á la comisión de poderes una exposición del Sr. D. Pe mitido.” dro Juan de Zulueta, renunciando el cargo de Procurador á que había sido El Sr. García Mata : »E1 Estatuto Real sabe muy bien que hay es nombrado por la provincia de Cádiz en virtud de las razones que expone. Di pañoles que tienen haciendas y fondos fuera del reino, y sin embargo no hace cha exposición se leyó íntegra, y resultaba de ella estar sus intereses en gran mérito de ninguno de e…</t>
  </si>
  <si>
    <t>Mata, Ildefonso</t>
  </si>
  <si>
    <t>Ildefonso Mata</t>
  </si>
  <si>
    <t>…da de noche este foragido, dirigiéndole también cl subte mas señales, el cual herido por un cazador, y huyendo aun , el subteniente gra niente dp cazadores de Isabel ti, D. Manuel García Florez, con 30 cazadores duado de teniente D. Ildefonso Mata, arrojándose sobre el lo paso con su, espa al de Caüzo, por si se hablan quedado en aquel caserío, de modo que debían da, y despojado de sus vestiduras, se notó que el morrión que conserva dicho protegerse uno á otro. '/S oficial , tenia galón de oro y chapa dorada con cl número 2-°, en un todo igu…</t>
  </si>
  <si>
    <t>Matas, Nicolás Sánchez de las</t>
  </si>
  <si>
    <t>Nicolás Sánchez de las Matas</t>
  </si>
  <si>
    <t>…y 40* Setiembre. El resto de la Noruega.................. ............................ Idem. Puerto Uaná. T&gt;. Cárlos Mcstre , en la misma villa: desde 8 de Junio 4 S 1“yCJm,htÍe MediteriW»^ &lt;Jias&gt; y 28. 1 Setiembre. de Saelices. D. Nicolás Sánchez de las Matas, en Salamanca: desde 1.“ de Ju Islas Jónica»..................... *.* *.*‘,71 ’ ~ ‘ Idem. lio á l.° de Setiembre. ■i /T“í0n'. P- Anfiel i?anz y Mufioz I «n el Real sitiode la Isabela : desde Xot*. Los buques procedentes de las regencias de Tónez, Trípoli y Ar- 1. de Jumo í fin de Setiembre, aunque…</t>
  </si>
  <si>
    <t>Matcolm</t>
  </si>
  <si>
    <t>…y que se propone, y asegura que el gobierno no se valdrá de esta ley sino E1 almirante Hugon sale mañana para Nauplia, y desde allí pasará á To el tiempo que sea absolutamente necesario para restablecer la tranquilidad en lón. El almirante Matcolm, que llegó antes de ayer á este puerto en una fra los departamentos de la Vendée. Los Sres. Chaillon y Luneau leen algunos do gata de su división, saldrá á principio de la próxima semana con dirección á cumentos y citan varios hechos para patentizar que es urgente conceder al go Vurla, y luego segu…</t>
  </si>
  <si>
    <t>Mateo</t>
  </si>
  <si>
    <t>…»E MADRID. pero suponiendo contra toda ra2on que se reduzca á la cuarta paite, quiere de cir que el beneficio será igual á un 50 por 100 del valor nominal de las ac ‘ Desde Val lecas continúa dando noticia el profesor comisionado D. Mateo ciones. Seoané del estado sanitario de la población, y de todas las disposiciones con No es posible entrar en todos los pormenores de esta especulación que seqtfe procura ocurrir 3 la puntual asistencia de los dolientes, y á la disminución hace por compañía; solamente añadiremos: l.° que están al p…</t>
  </si>
  <si>
    <t>…los subte nientes D. Salvador Vital, propuesto ya para teniente y ejerciendo funciones de tal, y D. Joaquín Moscoso. En la sección que quedó conmigo en el centro, compuesta de mis cazadores y algunos fusileros, venían el capitán D. Mateo bolsa de hoy á las tres de la tarde. comercio.deEFECTOS PUBLICOS. José Cepeda, el subteniente D. Fernando Ferran y el teniente D. Ramón Frías en clase de ayudante mió. Los 20 cazadores de la derecha los manda Inscripciones en el gr3n libro á S p. 100. 00. ba el teniente D. Sebastian Portillo, y íós…</t>
  </si>
  <si>
    <t>Mateo, D</t>
  </si>
  <si>
    <t>D Mateo</t>
  </si>
  <si>
    <t>…rdenes á los subte nientes D. Salvador Vital, propuesto ya para teniente y ejerciendo funciones de tal, y D. Joaquín Moscoso. En la sección que quedó conmigo en el centro, compuesta de mis cazadores y algunos fusileros, venían el capitán D. Mateo bolsa de hoy á las tres de la tarde. comercio.deEFECTOS PUBLICOS. José Cepeda, el subteniente D. Fernando Ferran y el teniente D. Ramón Frías en clase de ayudante mió. Los 20 cazadores de la derecha los manda Inscripciones en el gr3n libro á S p. 100. 00. ba el teniente D. Sebastian Portillo, y íós…</t>
  </si>
  <si>
    <t>Mateo, Ramón</t>
  </si>
  <si>
    <t>Ramón Mateo</t>
  </si>
  <si>
    <t>…spar Aguilera y Contreras. Es copia.=Sanjuanena. i Ultimamente ha tenido S. M. á bien aprobar el nombramiento hecho por El comandante general de Búrgos con fecha 24 del actual dice lo que lá Real sociedad económica de Zaragoza en D. Ramón Mateo, para la plaza I sigue: ”De las- partidas que con óbjeio de perseguir á los grupos que quedaron de vocal de la junta del Monte pió de Labradores de aquel arzobispado, va— dispersos de resultas de la acción que sostuvo contra los rebeldes el teniente (ante por fallecimiento,de D. Joaquín Pueyo. coro…</t>
  </si>
  <si>
    <t>Matheu, Francisco</t>
  </si>
  <si>
    <t>Francisco Matheu</t>
  </si>
  <si>
    <t>…que al apoyo de la sierra de Busaco Antonio Paez, e! de la misma clase de carabineros de costas y fronteras Don habían salido al camino en fuerza de 10,0 caballos , sostenidos por 800 infan José González , y mi ayudante de campo D. Francisco Matheu, alférez de ca tes. El 7 entró el mismo general en Migajada, y el 8 en Coimbra, mientras zadores a caballo de la Guardia Real; concluyendo por hacer á V. E. tnéitcioil las tropas españolas llegaban, según lo concertado , cerca de la misma ciudad del teniente coronal comandante de carabineros de cos…</t>
  </si>
  <si>
    <t>Matías</t>
  </si>
  <si>
    <t>…iaciones del pueblo deViver, y en el parage mas escabro.o de za-------La, Jáuregul.subdelegaclon general de Mostrencos ha remitido al Sr. Balsera, teniente cor la /montaña, fue capturado el capitán ce los ex-voluntarios realistas D. Matías regidor de esta villa, los papeles pertenecientes á la extinguida compañía de S Fer Sanies por la columna móvil del regimentó de infantería de Mallorca, man-: nando de Sevilla; como igualmente uua porción de vales Reales é intereses que se dada por el comandante del mismo cterpo D. Manuel Jones. /…</t>
  </si>
  <si>
    <t>Matta, Joaquín</t>
  </si>
  <si>
    <t>Joaquín Matta</t>
  </si>
  <si>
    <t>…español, dividida en dos tro PROVINCIA CB CUBKCA. tados; el l.° contiene el modo de hablar toscano ó sea perfectamente el italiano; el 2.° nomenclaturas, diálogos , fórmulas para escribir memoriales, billetes ó esquelas, car Sr, D. Joaquín Matta dC Gcrór. . tas de varios asuntos, comprendiendo también las de correspondencia y comercio; y un tratamiento general para cualquier clase de sugeros, con una breve instrucción pre ÍSÉA DE ¿UEXTO-XICO. liminar de la gramática castellana para facilitar a los curiosos el estudio de' las dos lehguas r…</t>
  </si>
  <si>
    <t>Matuchewits</t>
  </si>
  <si>
    <t>…después de obtenidos ios auxilios como cristiano fuese pasado por ham, primer lord del alqtürantazgo ingles; conde Nesselcode, principe de Lie- las armas, cual se ejecutó á las doce de la mañana de.éste dio. Lo que traslado ven, conde Matuchewits, de Ribcaupierrc, conde Orloff y conde de Mentzi- á V. E. acompañando copia del parte que se cita; debiendo ademas manifestarle koff, grande almirantea de Rusia, be dice que loa. Sres. Desage, el general que de declaración del rebelde Bruno resulta que « presentó voluntariamente Schneidcr, el contr…</t>
  </si>
  <si>
    <t>MatWélqrduqUfe, Antonio Cano</t>
  </si>
  <si>
    <t>Antonio Cano MatWélqrduqUfe</t>
  </si>
  <si>
    <t>…riion. Por ló 'demas todos' estamos (que envió su voto-pof escritoéoór hallarse enfermo), D. Javier;sfe-BóSgOS) •persuadidos de que énaquellos documentos qstaria bien detallada ia conjuratioh marques de lá,Candelaria dé Yarayabo, D. Antonio Cano MatWélqrduqUfe 'tiontra el Rey y 'Contra la nación , Irarriadade mpcbo tiempo, puCs-tesulta sér de Castrotérreñd , conde de Clavifo , obispo de Córdoba-, J&gt;. RátotíaiGil dé •de mas di'hueve años hace. Quién ha sido el 'que los ha eitraidó 6 ocultado; si la Cuadra , D. José de Cafránga, conde de CerveHon , inarque…</t>
  </si>
  <si>
    <t>Maueuin</t>
  </si>
  <si>
    <t>…esta parte; espera mitida á esta ciudad de voto en Cortes. En seguida dijo utl discursa alusivo á mos que no desaprobareis que la conservemos.” la ceremonia el alcalde mayor D. Joscf Luis Moragues, á que contato S. E. Replica el Sr. Maueuin, que si el ministro cree que nada hav que rezeiar el conde de Montenegro en términos análogos, y levantando el regio estándar- I en cuanto á Polonia, á Italia y á los Estados alemanes de segundo orden, la te dió el grito de fidelidad que acostumbran los mallorquines en el advenimien-l Cámara no deb…</t>
  </si>
  <si>
    <t>Mauguín</t>
  </si>
  <si>
    <t>…E. Mr. de Lindenau debe encargarse de nuevo, y solamente por ilustre diputado hubiese tenido por conveniente hacer. algún tiempo, de la dirección de los negocios públicos; prometiéndose todos Recapitulando todos los cargos que el Sr. Mauguín hace al ministerio por INGLATERRA. grandes y útües resulfados de esta sabia determinación, que ciertamente no se el sistema que ha seguida en U política exterior, contesta: que desde que tiene esperaba. S. M. sigue hace diaslandresindispuesto;21 de yEnero.aunque la enfermedad no es de i su cargo el…</t>
  </si>
  <si>
    <t>…a á la grandeza del objeto, y ex- I El ministro de Negocios extrangeros procura desvanecer con unas breves p res i v os del homenaje sincero de un pueblo que después de tantas borrasca tí- | reflexiones las dudas que aun tiene el Sr. Mauguín acerca de las cuestiones de ludába el pendón de Castilla y el nombre de Isabel como el iris de bonzoa.y I Alemania y de Oriente; y edneluye diciendo: "Por lo tocante á la península el símbolo de la concordia. El honrada conde de Montenegro, que tan digna- 1 nunca ha pretendido el gobierno francés d…</t>
  </si>
  <si>
    <t>Mauguin</t>
  </si>
  <si>
    <t>…jamas se dirá que esta Cámara ha sido íngraUf,nLhi.olvidado los servicios hechos á la patria.” (Aprobación.) tera. El día 8 del corriente se celebró con la mayor pompa el acto solemne de le El Sr. de Brtcqueville. «Doy gracias al Sr. Mauguin en nombre del ejército vantar pendones en los tres parage* acostumbrados, renovándose el entusiasmo y de la patria.” de estos vecinos i la visita del estandarte por el cual han peleado y sostenido ¡Áftechas voces. **Decid también en nombre de la Cámara.” con tanta constancia todo género dé' sacrifi…</t>
  </si>
  <si>
    <t>Maugüín</t>
  </si>
  <si>
    <t>…los departa El Sr. Salverte desea que la Cámara le oiga en la sesión de mañana. El mentos xxmeítan la plebe, alarman las poblaciones pacificas y ponen en hosti presidente pregunta si la Cimara accede al de»eo del Sr. Salverte. El Sr. Maugüín es de opinión que todo diputado tiene derecho a hacer presuntas á ios mi lidad á los oficiales de fábrica con sus dueños. Contra esa lucha de pasiones é nistros, y que e! pedir permiso á la Cámara pura hacerlas es nn acto de meTa intereses se dirige el proyecto de ley sobre asociaciones presentado…</t>
  </si>
  <si>
    <t>…ron í los jurados, cumplió su de falsa dirección que se sigue; y que para calmar este disgusto es precisó reformar ber de un modo digno de aprecio. la ley de elecciones y ampliar el uso de este derecho, único modo de que todos El Sr. Mauguin: »No vengo á oponerme á la minuta de respuesta,. pues tengan ínteres en la conservación del Estado. Concluye declarando que siempre en ella se expresa la idea que actualmente prevalece entre todos los franceses. pedirá que se mejefre la situación de las clases menesterosas. No mas revolución : hart…</t>
  </si>
  <si>
    <t>…sel. Terminó leste solemne acto con un Te Deum en tumbres del día, son la plaga y el verdadero desorden moral de Francia. la bta. iglesia catedral, y con iluminación por tres noches consecutivas, sobre Concluye diciendo que si el Sr. Mauguin cree que el disgusto general va en saliendo por su gusto y por los geroglíticos alusivos á la acción gloriosa de Var aumento, ha hecho mal en aprobar la minuta de respuesta, pues en ella se ma gas, la de la casa de ayuntamiento, ia dcL consulado, la de ia posada &lt;jci Sr. al nifiesta la Cámara persu…</t>
  </si>
  <si>
    <t>…á un imperio sin que La Francia contribuya i decidir su, el sistema que sigue es perjudicial, contradicción que acredita, ó que en realidad — suerte'4’ hay sistema, ó que se critica sin fundamento: hace ver que no merece la ta El Sr. Mauguin insiste en los cargos que ya ha hecho aí ministerio, aña cha de aristócrata un ministerio á que ha sido llamado á par de varios hombres diendo que si hay discordancia en la oposición, también la hay entre los minis notables por su clase, por su dignidad ó por su fama un simple literato: ase tros; p…</t>
  </si>
  <si>
    <t>Mauguin, Nicolás María Garelly M</t>
  </si>
  <si>
    <t>Nicolás María Garelly M Mauguin</t>
  </si>
  <si>
    <t>…necesario á su cumplimien cluye diciendo que debe adoptarse el proyecto sin adiciones , para no dar al to. = Está rubricado de la Real mano. = En Aranjuez á 22 de Abril gobierno, en vez de una espada, un sable de palo. de 1834.=A D. Nicolás María Garelly. M. Mauguin dice que si en vez de pedirse la abolición del derecho de aso ciación, sé pidiesen ciertas disposiciones contra ciertas sociedades políticas, des de luego aprobaría el proyecto. Exposición d S. M. la Reina Gobernadora. «Nos hallamos hoy, continúa el orador, amenazados de dos revoluciones políticas…</t>
  </si>
  <si>
    <t>Maugüín, Salverte El Sr</t>
  </si>
  <si>
    <t>Salverte El Sr Maugüín</t>
  </si>
  <si>
    <t>…e la capital por los departa El Sr. Salverte desea que la Cámara le oiga en la sesión de mañana. El mentos xxmeítan la plebe, alarman las poblaciones pacificas y ponen en hosti presidente pregunta si la Cimara accede al de»eo del Sr. Salverte. El Sr. Maugüín es de opinión que todo diputado tiene derecho a hacer presuntas á ios mi lidad á los oficiales de fábrica con sus dueños. Contra esa lucha de pasiones é nistros, y que e! pedir permiso á la Cámara pura hacerlas es nn acto de meTa intereses se dirige el proyecto de ley sobre asociaciones presentado…</t>
  </si>
  <si>
    <t>Maugum</t>
  </si>
  <si>
    <t>…elatores de dicho Consejo, el número que ha de Los Sres. C. Dupin , Lcydet, Peyreleau, Delort, Bugeaud y Caminade sos haber en ambas clases, y cuándo no gozan sueldo: se establece que el empleo tienen el dictamen del Sr. Fiot. El Sr. Maugum recuerda los sacrificios que ha de consejero de Estado es incompatible con otro cualesquiera sea civil ó judi cen los militares, y las penalidades que sufren; que un buen general encierra cial, y cuándo se pueden conceder honores de dicho Consejo. en sí mismo el ejército que manda; y que es economí…</t>
  </si>
  <si>
    <t>Maugum, Fiot El Sr</t>
  </si>
  <si>
    <t>Fiot El Sr Maugum</t>
  </si>
  <si>
    <t>…stado y los relatores de dicho Consejo, el número que ha de Los Sres. C. Dupin , Lcydet, Peyreleau, Delort, Bugeaud y Caminade sos haber en ambas clases, y cuándo no gozan sueldo: se establece que el empleo tienen el dictamen del Sr. Fiot. El Sr. Maugum recuerda los sacrificios que ha de consejero de Estado es incompatible con otro cualesquiera sea civil ó judi cen los militares, y las penalidades que sufren; que un buen general encierra cial, y cuándo se pueden conceder honores de dicho Consejo. en sí mismo el ejército que manda; y que es economí…</t>
  </si>
  <si>
    <t>Maulcon, Lorenzo</t>
  </si>
  <si>
    <t>Lorenzo Maulcon</t>
  </si>
  <si>
    <t>…3.°, Apéndice, 6.°, 8.°, l.°, cia, hab.cndo yo puesto á su disposición coa igual objeto al celador de policía rustica y 26 pasta común ; el 2.°. 4.® y 5.° a 32 rs. tn'.rama, 34 en rústica y 40 pas de &lt;hta capital, «pitan retirado D. Lorenzo Maulcon, sugeto de mi mayor ta común; eJ 7.°, 10, lly 12 a I f rs. en rama , 16 en rústica y 20 ¡»asta común; el 11 eoníhnz.i; y hasta ahora tengo motivo» para estar satisfecho de la actividad f á■ —1D18 rs-»cumcnrosen rama ,del19 Congresoen rusticadey Viena.24 pastaencomún.que tiene particular ínteres la…</t>
  </si>
  <si>
    <t>Maulconen, Lorenzo</t>
  </si>
  <si>
    <t>Lorenzo Maulconen</t>
  </si>
  <si>
    <t>…e caballería , una batería de montaña, y una sección de la vanguardia,aña continúan sus útiles trabajos.diendo que había quedado sumamente satisfecho del buen espíritu de la Rioja Ha formado dos partidas de tiradores mandadas por D. Lorenzo Maulconen su tránsito por aquella provincia con las tropas de su mando, sobre cuyo particular se expresa en estos términos: ’&gt;Tan recomendable es y digno de cío - y D. Francisco Muñoz, los cuales han emprendido la persecución de malhe »g¡ó el espíritu público de toda la Rioja, que han recibido al ejército co…</t>
  </si>
  <si>
    <t>Maura, Dona</t>
  </si>
  <si>
    <t>Dona Maura</t>
  </si>
  <si>
    <t>…- M. la mas respetuosa tehcitacion [ y'esencialmente unida al gobierno sabio y creador de S. M. . ¿sírvase V. E. poner en su Real conocimiento que lodos los cuerpos que se' en el lauslo suceso de ser jurada \ reconocida u augusta Princesa Dona Maura hallan á mis órdenes están identificados conmigo en los propios principios de Isabel Luisa por heredera de la corona \ sucesor a del trono, como Hija prt-1 lealtad y decisión por los imprescriptibles derechos de su augusta Hija i piamos inufcCuita oe V. M. a laita de Varón, contoiiií*. a la ley fun…</t>
  </si>
  <si>
    <t>Mauri</t>
  </si>
  <si>
    <t>…nó llegó á su destino que ejecutada, hubiera concluido con todas las fuer verificaron con la mayor intrepidez conducidas por su bizarrísimo comandante zas enemigas cortándoles su único punto de retirada; la de avanzar sucesiva el coronel Mauri, que hallándose bastante enfermo después de tres dias, se mente én ala alternada tres compañías de cazadores sobre un bosque de la iz hizo montar en una acémila, para dar el mas generoso ejemplo á sus dignos quierda destinadas á flanquear la derecha enemiga cuando yo lo mandase; la oficiales y trop…</t>
  </si>
  <si>
    <t>Mauro</t>
  </si>
  <si>
    <t>…stra gratitud y nuestra generosidad! (/dj Duque de Módena, el príncipe Oustavo Wasa, hijo del ex~Rey Oustavo iv de Suecia, hoy el coronel Gustawson, y el general Cubieres. En Berlín es considerable la afluencia de extrangeros. El príncipe Mauro* cordato, embajador de Grecia en Munich, llegó el 14, y piensa permanecer aquí algún tiempo, y lo mismo el conde Luis de Irbach-Schoenberg. El Prín ESPAÑA. , cipe Federico de Holanda salió el 17 para el Haya, y nuestro Príncipe Au gusto está ya casi curado de la caída que dio del caballo. Madrid 2…</t>
  </si>
  <si>
    <t>…El triunfo He la Sania ScHe y He la Iglesia contra los ataques He ¡os novaHores Ha obtenido del Sr. diocesano las órdenes para construir de los fondos de combatidos y rechazados con sus propias armas. Obra escrita en italiano por D. Mauro fábrica los cementerios de cinco pueblos; se han concluido ademas tres, y ha Cappelari , monge benedictino camaldulense, cnqrl dia Gregorio svi, Sumo Pontífice; resuelto 34 expedientes para la ejecución de otros tantos. y traducida al castellano por D. Juan D/az de Baeza, presbítero, familiar de Su…</t>
  </si>
  <si>
    <t>Maurocor</t>
  </si>
  <si>
    <t>…tos turcos en el Asia tncnoryyno en ma men debe estar concluido antes de la partida del gobernador. nera alguna que corra peligro en el pais que ocupa Ibrahim-baji, de quien se Por cartas de Berlín de 21 de Octubre se sabe que el Príncipe Maurocor- cuentan toda especie de falsedades. dnto, embajador extraordinario y ministro plenipotenciario de Orecia cerca de La escuadra inglesa del Archipiélago ha enviado dos navios á Malta, en aquella corte, había tenido una audiencia de S. M. el Rey de Prusia, y pre cambio de cuatro que ha recibido. Una s…</t>
  </si>
  <si>
    <t>Maurocordato</t>
  </si>
  <si>
    <t>…ón del correo anterior.) " Ñapóles 3 de Setiembre. IAVIERA. El Vesubio presentó dias pasados á los habitantes de esta ciudad un es Munich 5 de Setiembre. pectáculo tap curioso como formidable, con nuevos fenómenos que casi han El príncipe Maurocordato , embajador griego cercare nuestra corte, llegó variado la forma de la montaña. ■ •jrer á esta ciudad. El principe Suzzo salió hace algunos dias para Berlin. El 23 de Agosto se sintieron tres fuertes sacudimiento, que hicieron que 4jk (Gaceta de leu Postas i) reventase el volcan por uno de sus cost…</t>
  </si>
  <si>
    <t>…4. = A D. Nicolás María Garelly. (B. de PJ Idem XS. jtmirrERio de la guerra. ■ , Se ha verificado por fin uña mudanza de ministerio muy importante, y el Real orden. país parece estar muy contento cotí los nuevos nombramientos. El señor Maurocordato, ministro de Negocios extrangeros, de la Cali deí Exento. Sr.: Conformándose S. M. la Reina Gobernadora con Rey y de la Marina ha hecho*1 dimisión* * * * * *de sus funciones, y ha sido nombrado el parecer del supremo tribunal de Guerra y Marina, expuesto en ministro plenipotenciario cerca de las co…</t>
  </si>
  <si>
    <t>…e dar 4 los po las provincias que obedecen á su inmediato mandg. A p srr de esto subsis usa eto descontentadizo* que todavía intentan denigrarle. en eilas Ios-antiguos abusos y vejaciones; y ade ñas la íntiini alianza que h* - El Sr. Maurocordato salió ayer noche para su embajada de Munich. contraido con el mayor enemigo de su pueblo, ha enagenalo completamente Continúa en tedo el reinó la mas perfecta tranquilidad. (.£&gt;. dt Smirn*.') los ánimos de sus súbditos. Es también extraño que la destrucción de dos ejerci-c tos en megos de un ano po…</t>
  </si>
  <si>
    <t>…ombres. £ El Príncipe Federico de los Países Bajos ha llegado á -Berlín viniendo del Haya, y el embajador griego cerca de la corte de Prusia y de Baviera el El capitán general de Castilla la Nueva participa que el portaestandarte Príncipe Maurocordato ha salido de Berlín para Munich. del-regimiento 'ó.° l:gero de caballería D. Manuel Padíal, comandante de una de las columnas en persecución de facciosos, concluyó con los restos de la fac-&gt; m£á Gaceta nacional alemana se complace en hablar largamente sobre cion del cabecilla Antonio García de la P…</t>
  </si>
  <si>
    <t>Mauromichalis</t>
  </si>
  <si>
    <t>…sta mucho de establecer, y necesita largo tiempo para arraigarse. Es gjefe de los insurgentes, este le pasó la espada á traición, y le mató. En esto verdad que D. Juan m protegió á los, sabios, y que por aquel tieiyipO fue Por «1 teniente Mauromichalis mandó hacer fuego y cargar á la bayoneta, lo que tugal la nación .mas ilustrada de Europa ; mas para .eterno desdoro de su nota ae ejecutó tan acertadamente, que los-enemigos que pudieron salvarse de las ble estableció la inquisición, que fue lo mismo que encender en medio dpi san—, Italas, perecie…</t>
  </si>
  <si>
    <t>Mauviiin</t>
  </si>
  <si>
    <t>…ia todo género dé' sacrificios. Concluida la función rogaron El mariscal Soult, presidente del consejo de Ministros, abundando en el «n el santo templo por la preciosa vida de su Soberana , de cuyo reinado espe modo'de pensar del Sr. Mauviiin , recomienda á la Cámara los eminentes ser ran el triunfo de la justicia, la tranquilidad de la patria y el alivio de los ma vicios de los cuatro generales á que se refieren los proyectos que se discuten. La les que circunstancias calamitosas trajeron sobre nosotros, y que empieza á re Cámara por 2…</t>
  </si>
  <si>
    <t>Maxent, Dolores St</t>
  </si>
  <si>
    <t>Dolores St Maxent</t>
  </si>
  <si>
    <t>…oneL.=Excclcnsingular habilidad en el bellísimo arte-de Ja música, acompañando también un tísimo Sr. primer Secretario de Estado y del Descacho. dúo del pirata, que cantaron muy bien las señoritas Doña María del Pilar Ace- "bal y Doña, Dolores St. Maxent, siguiendo otro dúo de instrumentos en que El capitán general de Extremadura desde el cuartel general de la Guards, igualmente tocó la señorita Basabe.Toda la concurrencia, que fue numerosísima en la Beira alta, con fecha 23 del actual, dice que todos convienen en que el y selecta, aplaudió con ent…</t>
  </si>
  <si>
    <t>Maximiatio, GoTgonio</t>
  </si>
  <si>
    <t>GoTgonio Maximiatio</t>
  </si>
  <si>
    <t>…rrezcan la memoria del conde Ca de 1808 en Madrid, ha cabido en suerte con .el primer extracto de la de esta po d’Istria, no hay necesidad de admitir la importancia exclusiva de la franc dia á Doña María Esperanza Nájera, hija de D. GoTgonio Maximiatio, abo*, masonería del Fénix t cuyos miembros habían vendido su alma al presidente, gado de los Reales consejos, y comandante de una guerrilla. como los antiguos hechiceros se la vendían al diablo: tampoco tenemos nece sidad de creer que el conde Capo d’Istria, hombre fino y amable en sociedad, haya…</t>
  </si>
  <si>
    <t>May, Ni MM-Ducos Westemberg</t>
  </si>
  <si>
    <t>Ni MM-Ducos Westemberg May</t>
  </si>
  <si>
    <t>…3 por 100. plada , habrá naturalmente arredrado á los que después han sido llamados a Comerciantes y dueños de fábricas, respetables é interesados en él, como ocupar la primera silla del gobierno de la provincia. Lo cierto es que D. Ni MM-Ducos Westemberg May, de Laboulie, Perier &amp;c., han luchado en vano colás Anchorena, que es el último nombrado para ejercer las funciones de contra esta pretensión retrógrada; el interes propietario ha podido mas, y Mr. gobernador y capitán general, ha dado su dimisión en términos respetuosos, Girod de 1’Ain, coronel de…</t>
  </si>
  <si>
    <t>Mayaz, Antonio</t>
  </si>
  <si>
    <t>Antonio Mayaz</t>
  </si>
  <si>
    <t>…usiles, carabinas» escopetas» 8 jacos, 8 acémilas, va- las fuerzas éSemlgas, dispuse que el activo comandante del reghmento infante riasmaAetasy cqulpages» Iaéherranjienta de zapatería coa =83 pares de ¡zapatos, ría Í.° del .Rey, D. Antonio Mayaz, retrocediese al amanecer del 22 en se- ¡ seis Jardos .pequeños dt suela , otras varias prendas de vestuario, y algunqfcpa- ^ güimiento de Cabrera y Montañés, mientras yo con 24 caballos del .regimiento pd«: . h --i' ' • •••- • 1 J.° del Rey y li íanceros de Isaski. h del escuadrón de Zaragoza, 24…</t>
  </si>
  <si>
    <t>Mayaz, D Antonio</t>
  </si>
  <si>
    <t>D Antonio Mayaz</t>
  </si>
  <si>
    <t>…n 20fusiles, carabinas» escopetas» 8 jacos, 8 acémilas, va- las fuerzas éSemlgas, dispuse que el activo comandante del reghmento infante riasmaAetasy cqulpages» Iaéherranjienta de zapatería coa =83 pares de ¡zapatos, ría Í.° del .Rey, D. Antonio Mayaz, retrocediese al amanecer del 22 en se- ¡ seis Jardos .pequeños dt suela , otras varias prendas de vestuario, y algunqfcpa- ^ güimiento de Cabrera y Montañés, mientras yo con 24 caballos del .regimiento pd«: . h --i' ' • •••- • 1 J.° del Rey y li íanceros de Isaski. h del escuadrón de Zaragoza, 24…</t>
  </si>
  <si>
    <t>Mayer, Mauricio</t>
  </si>
  <si>
    <t>Mauricio Mayer</t>
  </si>
  <si>
    <t>…xposiciones en que varios Diputados participan que El jueves pasado llegó de Nauplia en calidad de correo el teniente del re por hallarse enfermos no pueden presentarse á desempeñar el encargo que se gimiento de lanceros griegos, Sr. Mauricio Mayer. Las noticias que trae son en les ha confiado. nirrmo satisfactorias; en todos los puntos de la Orecia, sin exceptuar la pro En seguida se procede á la votación secreta para elegir los dos cuestores vincia de Maina, reina la mas completa tranquilidad. Se había dicho que en de la Cámara, y quedan electos…</t>
  </si>
  <si>
    <t>Mayo, José Estar y</t>
  </si>
  <si>
    <t>José Estar y Mayo</t>
  </si>
  <si>
    <t>…:o*-&lt; «* , pz. tcgidos ha entregado por este mes.......................................................................... por la oscuridad de la noche y situaron de! terrero, dos so'didos de cabullería El licenciado en farmacia D. José Estar y Mayo , según notas que y uno de infantería que de la capital de aquella provrn-. ¿ conducían á VH: goQ ha presentado de Jos Sres diputados enfermeros de los bainos de Ca la correspondencia para el expresado com.indante general , í.uo sil.r inmedia puchinos de U Paciencia , Salesas y S. Pascual, cuartel…</t>
  </si>
  <si>
    <t>Mayor, D Pedro Canals y</t>
  </si>
  <si>
    <t>D Pedro Canals y Mayor</t>
  </si>
  <si>
    <t>…no Babia inconveniente SI Sr. Afedrano: n En lq exposición que se ha presentado se dice que no «n que se le agregara esta adición. Asi se acordó.’’ ( . es posible acompañar un documento oficial, en razón de que el tribunal no El Sr. D. Pedro Canals y Mayor, Procurador por las Islas Baleares, pidió lo facilita: en el mismo caso estará Echevarría; y la comisión tendrá que pro licencia ppr dos meses para restablecer su salud: la misma solicitud hizo Don poner la desaprobación de sus poderes. Supongamos que está sujeto, no á una Juan de Toledo y Muñoz po…</t>
  </si>
  <si>
    <t>…abusar de él, y que cuantos tienen vino , bien sea El Sr, vizconde de San Simón comunicó al Estamento haber fallecido para venderlo, bien para consumirlo, al paso de que penetrados de que la im en Valencia el 15 del corriente el Sr. D. Pedro Canals y Mayor, Procurador posición e» injusta, en general adoptan sin ¡neón veniente cualquier medio, por re por las islas Baleares. En consecuencia se acordó pasar aviso al Sr. Secretario probado que sea, para eludir su pago , amenazados ya con el allanamiento de sus del Despacho de lo Interior para el reemplaz…</t>
  </si>
  <si>
    <t>Mayor, Domingo</t>
  </si>
  <si>
    <t>Domingo Mayor</t>
  </si>
  <si>
    <t>…cación con Frías; Espinosa de los Monteros, con de cerca el-resto de ellos la-partida de Urbanos de Aguilar á cargo del alférez una compañía de cazadores; Carranza , por una de granaderos y i2 carabineros; D. Eustaquio Maytor ypl sargento Domingo Mayor con los paisanosude dicho Etflmaseda , poruña -de Santiago y 58 carabineros; Medina de Pomar, por 40 pueblo de Muro y benemérhos Urbanos de Aguilar, mandados por los cabos hpmbres de Segovia; MercadiUo de Mena, por una compañía de Betanzos; So Ramón Pardo y José Calvo, quienes cogieron dos caballos…</t>
  </si>
  <si>
    <t>Mayor, Eugenio</t>
  </si>
  <si>
    <t>Eugenio Mayor</t>
  </si>
  <si>
    <t>…con cuyo motivo se había puesto dc acueido con el coman PueblosT""'-^ Pías. Enfermos. Curados. Fallecí* dan té de la Milicia ñrbana ,-disponiendo que saliesen en su persecución 14 mi- , licíanoá de caballetiaal mando del alférez D. Eugenio Mayor. \ í ' instruido posteriormente, por oficio del alcalde mayor de Cervera, que le Burgos., ....... 1 á 4 Octubre.. 29 " 3 _ 3 aseguraba ser facciosos los cinco-dichos, que estos se dirigían al Moncayo, dispuso Cuevacardiel......... 8 á 24Setiemb. ■ 38 34 ~~ 4 la salida dé30 Urbanos de infantería por…</t>
  </si>
  <si>
    <t>Mayor, Ignacio Rives y</t>
  </si>
  <si>
    <t>Ignacio Rives y Mayor</t>
  </si>
  <si>
    <t>…erno; D. José Ramón Rodil, cal de campo de los Reales ejércitos, capitán general de Castilla la teniente general de los Reales ejércitos, capitán general de Extre Nueva; Marques de Espeja, mariscal de campo de los Reales madura ; D. Ignacio Rives y Mayor, arzobispo de Burgos; D. José ejércitos, segundo cabo de Castilla la Nueva; conde de ArmilPalafox y Meíei, capitán general de los Reales ejércitos; marques de dez de Toledo, mariscal de campo de lws Reales ejércitos, coman la Reunión de .Nueva Esqiaña, teniente general de los Reales ejérci dante ge…</t>
  </si>
  <si>
    <t>Mayor, Pedro Canals y</t>
  </si>
  <si>
    <t>Pedro Canals y Mayor</t>
  </si>
  <si>
    <t>…Babia inconveniente SI Sr. Afedrano: n En lq exposición que se ha presentado se dice que no «n que se le agregara esta adición. Asi se acordó.’’ ( . es posible acompañar un documento oficial, en razón de que el tribunal no El Sr. D. Pedro Canals y Mayor, Procurador por las Islas Baleares, pidió lo facilita: en el mismo caso estará Echevarría; y la comisión tendrá que pro licencia ppr dos meses para restablecer su salud: la misma solicitud hizo Don poner la desaprobación de sus poderes. Supongamos que está sujeto, no á una Juan de Toledo y Muñoz po…</t>
  </si>
  <si>
    <t>…sar de él, y que cuantos tienen vino , bien sea El Sr, vizconde de San Simón comunicó al Estamento haber fallecido para venderlo, bien para consumirlo, al paso de que penetrados de que la im en Valencia el 15 del corriente el Sr. D. Pedro Canals y Mayor, Procurador posición e» injusta, en general adoptan sin ¡neón veniente cualquier medio, por re por las islas Baleares. En consecuencia se acordó pasar aviso al Sr. Secretario probado que sea, para eludir su pago , amenazados ya con el allanamiento de sus del Despacho de lo Interior para el reemplaz…</t>
  </si>
  <si>
    <t>Maytor, Eustaquio</t>
  </si>
  <si>
    <t>Eustaquio Maytor</t>
  </si>
  <si>
    <t>…egovia), conXS en comunicación con Frías; Espinosa de los Monteros, con de cerca el-resto de ellos la-partida de Urbanos de Aguilar á cargo del alférez una compañía de cazadores; Carranza , por una de granaderos y i2 carabineros; D. Eustaquio Maytor ypl sargento Domingo Mayor con los paisanosude dicho Etflmaseda , poruña -de Santiago y 58 carabineros; Medina de Pomar, por 40 pueblo de Muro y benemérhos Urbanos de Aguilar, mandados por los cabos hpmbres de Segovia; MercadiUo de Mena, por una compañía de Betanzos; So Ramón Pardo y José Calvo, qu…</t>
  </si>
  <si>
    <t>Maza</t>
  </si>
  <si>
    <t>…Esto se entiende para las elecciones; pero do para el del Estamento, á las consideraciones que dejo manifestadas; sin entrar á reba caso presente. tir detenidamente lo que han dicho los señores que han apoyado el artículo en &lt; El Sr. Maza : El Sr. Presidente ha votado por sí como Procurador: aho los términos vagos é inexactos en que está redactado. ra le falta votar como Presidente. El Sr. Caballero pidió la palabra para deshacer algunas equivocaciones en E/ Sr. Vega y Rio : La votación se ha hecho conforme al reglamento; que dijo h…</t>
  </si>
  <si>
    <t>Maza, Cayetano García de la</t>
  </si>
  <si>
    <t>Cayetano García de la Maza</t>
  </si>
  <si>
    <t>…puerto franco: solamente el vino paga á PROVINCIA DK VALIA DOUD. su entrada en la ciudad para el consumo 8 rs. vn. 7 mrs. por arroba; y el aguar - Sf. D. Pedro Pascasio Calvo. diente-y espíritu 14 rs. vn. 13 mrs. por arroba. Sr. D. Cayetano García de la Maza, propietario y comerciante. Sr. conde de Adanero. ESTADO SANITARIO DEL REINO. Extracto del parte remitido por el gobernador civil de la provincia de San PROVINCIA DE CORDOBA. tander D. Andrés Crespo Can tolla con fecha de 2 de Junio actual. El gobernador civil de dicha provincia dice con fecha 29 d…</t>
  </si>
  <si>
    <t>Maza, D Cayetano García de la</t>
  </si>
  <si>
    <t>D Cayetano García de la Maza</t>
  </si>
  <si>
    <t>…este puerto franco: solamente el vino paga á PROVINCIA DK VALIA DOUD. su entrada en la ciudad para el consumo 8 rs. vn. 7 mrs. por arroba; y el aguar - Sf. D. Pedro Pascasio Calvo. diente-y espíritu 14 rs. vn. 13 mrs. por arroba. Sr. D. Cayetano García de la Maza, propietario y comerciante. Sr. conde de Adanero. ESTADO SANITARIO DEL REINO. Extracto del parte remitido por el gobernador civil de la provincia de San PROVINCIA DE CORDOBA. tander D. Andrés Crespo Can tolla con fecha de 2 de Junio actual. El gobernador civil de dicha provincia dice con fecha 29 d…</t>
  </si>
  <si>
    <t>Maza, García de Ja</t>
  </si>
  <si>
    <t>García de Ja Maza</t>
  </si>
  <si>
    <t>…tado. desde ahora digo que ni mis compañeros ni yo tenemos nada que exponer. Es El Sr. Diez González expuso que había sido testigo de los padecimientos muy duro que se excluya á este Sr. Procurador después de un largo via^e y del Sr. García de Ja Maza, y de que había hecho todo lo posible para mani otros sacrificios; pero que vuelva este asuoto á la comisión, es inútil, pues esta festar al Estamento sus buenos deseos; pero que por su falta de vista se halla nada tiene que.decir sin que se le den antecedentes; de oir á una parte hay que ba en el…</t>
  </si>
  <si>
    <t>Maza, Lucas de la</t>
  </si>
  <si>
    <t>Lucas de la Maza</t>
  </si>
  <si>
    <t>…l ayuntamiento de Calanda. Ocurrieron varias contestaciones entro S. Felipe de Játiva al cesante D. Pedro Juan Cardenal: la de Aranda de Due aquella corporación y el alcalde mayor de Caspe, bajo cuya inspección y au ro al cesante D. Lucas de la Maza: la de Pamplona á D. Cesáreo Fernandez toridad había de realizarse el proyecto, sobre el punto donde debía tomar el de Aceilana, administrador de la renta en Miranda de Ebro: la plaza de ofi agua la acequia que se intentaba construir; y en su consecuencia se comunicó cial 15.a de las oficinas dé la…</t>
  </si>
  <si>
    <t>Maza, Valentín Fernandez de la</t>
  </si>
  <si>
    <t>Valentín Fernandez de la Maza</t>
  </si>
  <si>
    <t>…camino. Cataluña , el teniente graduado de teniente coronel D. Valentín'Fernandez de &gt;&gt;£n ej momento ordené que dos mitades al mando del teniente coronel la Maza, de húsares, y el capitán de caballería D. Antonio Antoo, con todo D. Valentín Fernandez de la Maza, y- otra de reserva al del capitán D. Anto los demas oficiales á que hace referencia, á quienes. considero acreedores á lá nio Antón quedasen á retaguardia al mando del teniente coronel D. Eustaquio recompensas que S. M. la Reina Gobernadora se digne dispensarles según M S. Cristóbal , previniéndol…</t>
  </si>
  <si>
    <t>Mazarino</t>
  </si>
  <si>
    <t>…los rumores que les han sermm&amp;cíe prete3ijtip¡r—-Prancá aterra ep 1¿47 y 1688 sé hallaban inéditas; cero _que en Solo uno merece algún crédito, y es el temor que tenia la aulraitladad dede- É es * cúañtc?' ndencia anotada por el cardenal Mazarino, hay el inconsion de los estudiantes y de otros presos por delitos políticaséSíá embargo ¿jú* .éreme] correspondencia de Barrilton ha sido publicada, parte en parece probable que- nuestros vecinos &lt;qufaiéien favorecer est^Kcntoáá.l..v»ir ^' JFranji jjar'lngtaterrapetv'ia'de Lamaire; L*'oortespóndet…</t>
  </si>
  <si>
    <t>Mazarredo</t>
  </si>
  <si>
    <t>…ntío de moreras, y se ha puesto de acuerdo con la so i este ministerio lo que sigue: Excmo. Sr.: Tengo el honor de pasar á manos ciedad económica de aquella capital para aclimatar en la provincia el arroz de de V. E. el parte del coronel Mazarredo, por el que se enterará V. E. que ha secano. i Sido alcanzada y derrotada una de las facciones del partido de Alcañiz. Las con Ha pedido noticias circunstanciadas sobre pósitos y acotamientos para to tinuadas ventajas que han obtenido las tropas en estos últimos dias sobre los mar las resoluciones…</t>
  </si>
  <si>
    <t>…do y del Despacho de la Guerra. se habían reunido á gozar del espectáculo, y de las autoridades y personas visi- ■ bles, profluñetó el'arraez en gefe una exposición en verso, á la que contestó el Detalles de la acción dada por el coronel Mazarredo en Aguaviva. „ general español El capitán general de Valencia en 3 del corriente comunica á este ministe . En seguida, y para manifestar Ja consideración que siempre ha tenido el rio lo que sigue: pueblo español hacia sus prisioneros, se les sirvió á todos un abundante refres Excmo. Sr.: Tengo la s…</t>
  </si>
  <si>
    <t>…lamada de Módela,; una legua distante de Santa Cruz, ignorándose drán muy buena acogida; particularmente si el referido gobernador lá dirección que llevaba, cuya noticia habia puesto en conocimien de Peñíscola, el de Tortosa y el coronel Mazarredo han realizado to del comandante D- Víctor Sierra, destinado con su columna/á hoy la batida que tenían proyectada. la persecución de facciosos. También el teniente graduado de capitán del mismo regimien to de Mallorca D. Antonio Casariego me dice desde el Toro en EÍ comandante de la columna' del reg…</t>
  </si>
  <si>
    <t>…scripciones en el gran libro al 5 p. 100,00. sobre el mismo Castor y sobre Latorre. Títulos al portador del 5 p. 100 , 664, 67,66J , 6J£, [66¿, , | y 67 í varias ft. val. y fírme. Él general D. Rafael de llore remide un parte de! coronel Mazarredo, ma Inscripciones en el gran libro á 4 P* 100, 56$ al 4 d* Julio ó vol. Tirulos al portador del 4 p» 100, 58. í, 57 y f« 58J, 59, 58$, 4• i» # y 59 á va nifestando haber desalojado de, las alturas 'de Benazal y puesto en fuga el dií rias fs. vol. y firme: 58$ al *¿l de Junio, ó vol. á prima de ti p…</t>
  </si>
  <si>
    <t>Mazarredo, D Francisco</t>
  </si>
  <si>
    <t>D Francisco Mazarredo</t>
  </si>
  <si>
    <t>…D. Francisco Agustín Sil vela, con fecha de 15 de Mayo actual. Precios corrientes de frutos en la Habana hasta el 18 de Morbo último. Ha tomado las medidas mas enérgicas para la destrucción de la langosta. Ha excitado el zeio del brigadier D. Francisco Mazarredo, para que le Azúcar surtida | y f.... de 5£ 9£ á 7£ rs. arroba, ayude A desengañar á los labradores, y mejorar el cultivo del lino en aquella Id. mitad y mitad.......... de id. á id- id. provincia. Id. blanco solo............... de 8* 4 H id. Ha mandado instruir expediente para evitar el^excesivo d…</t>
  </si>
  <si>
    <t>Mazarredo, Francisco</t>
  </si>
  <si>
    <t>Francisco Mazarredo</t>
  </si>
  <si>
    <t>…co Agustín Sil vela, con fecha de 15 de Mayo actual. Precios corrientes de frutos en la Habana hasta el 18 de Morbo último. Ha tomado las medidas mas enérgicas para la destrucción de la langosta. Ha excitado el zeio del brigadier D. Francisco Mazarredo, para que le Azúcar surtida | y f.... de 5£ 9£ á 7£ rs. arroba, ayude A desengañar á los labradores, y mejorar el cultivo del lino en aquella Id. mitad y mitad.......... de id. á id- id. provincia. Id. blanco solo............... de 8* 4 H id. Ha mandado instruir expediente para evitar el^excesivo d…</t>
  </si>
  <si>
    <t>Mcdrano</t>
  </si>
  <si>
    <t>…cia, el matrimonio y la familia en cierto modo le naturalizan, ello á la antigüedad, graduación &amp;c. Me paijece-que áestose ha reducido la y lar sangre derramada en el campo del honor, no desmentida por su conducta observación del Sr. Mcdrano; pues en otro caso no creo que haya necesidad de / y principios políticos/ es la mas sagrada de las garantíás.Por todas estas consi dar el mando/á un extrangero, habiendo como hay suficientes generales es deraciones el Estamento jdéProen«doras - v pañoles.” „ ■ £, ; «Pide respeluosamente a V. M. se…</t>
  </si>
  <si>
    <t>…fincas y bienes «Así que no puedo persuadirme que á pesar de las reflexiones del d: trá ratees que constituyen este censo consieri3tivo , no veo una razón para que el men de la comisión, repetidas, explicadas y estudiada» por el Sr. Mcdrano, sea Sr. Ai'giielles en lo sucesivo fuese grav.,do con la contribución de frotas civi rechazado «1 Sr. D. Agustín Arguelles, r no dudo sjuc este ocupará en el Es les. El Sr. ArgCfrlles dt*fruJa esta renta, v de ella puede disponer , porque la h* tamento el digno lugar qne le cortcsponde." adquirido…</t>
  </si>
  <si>
    <t>…o esa renta; y asi como en las tres años que según el Estatuto debe durar su procura; luego tiene aptitud le juntas electorales de partido tienen lugar los individuos de ayuntamiento, estofe gal Jgara desempeñar esta. Ha dicho el Sr. Mcdrano, que siendo vitalicia la mismos pudieran ser también de la junta electoral de provincia. Respecto á la renta, no podría disponer de ella el Sr. Arguelles. No creo yo que aquí nos propiedad que se supone en esa renta, la comisión no la niega; pero dice qup importe que pueda ó no disponer dé la misma…</t>
  </si>
  <si>
    <t>…que había tenido el gobernador civil para cam los efectos convenientes copia original de la memoria leída en el mismo, rela biar el pueblo de U elección. tiva á ia Secretaría del Despacho de su cargo: la que se mandó archivar. El Sr. Mcdrano contestó que no obraban, en poder de la comisión mas ^ El Excmo. Sr. Secretarlo de' lo Interior remitió 250 ejemplares del dic documentos que los comprendidos en el expediente; y que habiendo estado este tamen de la comisión del Estamento de Sres. Procuradores del reino sobre el cuatro ó seis días…</t>
  </si>
  <si>
    <t>Mcdrano, D Diego</t>
  </si>
  <si>
    <t>D Diego Mcdrano</t>
  </si>
  <si>
    <t>…nifestando no tener la renta suficiente para ser Procurador. datos propuestos por el Estamento, al Sr. conde de Almodovar para Presiden— Igualmente se la pasó un oficio del Gobierna relativo á la elección del •te del mismo , y al Sr. D. Diego Mcdrano para Vicepresidente. Sr. EL Francisco de Paula Vega por U provincia de Gerona. El Sr. Posadas , Presidente interino, al entregar la presidencia á su suce Por último se pasó á 4a misma una representación del Sr. D. Francisco sor , dijo: Muguiro é Iribarren, pidiendo se le exonetc-del cargo de Procur…</t>
  </si>
  <si>
    <t>Mcdrano, Diego</t>
  </si>
  <si>
    <t>Diego Mcdrano</t>
  </si>
  <si>
    <t>…stando no tener la renta suficiente para ser Procurador. datos propuestos por el Estamento, al Sr. conde de Almodovar para Presiden— Igualmente se la pasó un oficio del Gobierna relativo á la elección del •te del mismo , y al Sr. D. Diego Mcdrano para Vicepresidente. Sr. EL Francisco de Paula Vega por U provincia de Gerona. El Sr. Posadas , Presidente interino, al entregar la presidencia á su suce Por último se pasó á 4a misma una representación del Sr. D. Francisco sor , dijo: Muguiro é Iribarren, pidiendo se le exonetc-del cargo de Procur…</t>
  </si>
  <si>
    <t>Mcibouuc</t>
  </si>
  <si>
    <t>…ejemplo de esto se observaba-en.algunas^provistas de los Estados-Unidos, don-*, fwtne con ei oradaque p óq» eq suerte, produciráa&gt;exce feotes re^^( déla instrucción y ios vicios habían progresado á la par. La mera adquisición £1 (lord Mcibouuc) convenía coa su noble amigo queFlé habi^^prccedldo de'conocimientos, sin otro correctivo, crea nueras necesidades, f sugiere ma- en la tribuna, que en* de desear unr sistema mas uniforme en el régimen/de (y.ores medios de delinquir* El por tanto no tenía..reparo eo decir que el grado la»cárceles d…</t>
  </si>
  <si>
    <t>Mclbournc</t>
  </si>
  <si>
    <t>…ulio. y se acusa á los nuevos ministros de haber engañado ai hombre que hubieran deseado conservar al frente de los negocios públicos , y por cuya» instancia» La esposa del embajador francés ha salido hoy para París : el conde de lord Mclbournc ha aceptado su destino: SLat-AnUtrc la acompañará hasta Salzbourg. »* 1.0'd Grey es considerado ahora como la garantía y el apoyo de la coas— tituc'on inglesa: no han pasado ocho días que se le miraha como enemigo'de la ____ Ha llegado de Londres un correo austríaco. Se asegura que c! gobierno ha m…</t>
  </si>
  <si>
    <t>Mclbourne</t>
  </si>
  <si>
    <t>…va complicación de su ofrecido el mayor interes. Lord Winchelsea ha interrogado á los ministros cesos que ha ocurrido en la Península. Yo quisiera saber si es verdad que un sobre la política interior y exterior, y la respuesta de lord Mclbourne ha sido buque cargado de armas y municiones para D. Cártos ha sido apresado por reproducir lol que habia dicho otras veces, á saber, que el nuevo gabinete se les cruceros ingleses. También deseo saber si nuestro gobierno ha contraido guiría el mismo sistema que el anterior; pues sus miembros mas po…</t>
  </si>
  <si>
    <t>…difícil determinar, cuál será la sueiU de ote país, ifuoOvtn caso, en que fuese necesario apelar á medidas enérgicas: tolo (¿remos , como ha cqrp ticmpo uñó de.lo* trias florecientes de la 'monarquía. Millares de obreros, sentado lord Mclbourne, que la intervenciónaunque po sea de desear en ninestán desocupados, y buscan trabajo en las ciudades cercanas, mieatras que sus. un tiempo , puede ser:útilen algunas ocasiones: De lodos modos no siente bien fpiificíone»* i^trturfode. SyévUJ) . f loa Iictmb&gt;ire* ¥l|é I,!EOc'KMa,*4*^uto4 *a&lt;ayiar un…</t>
  </si>
  <si>
    <t>Mclci, D Joscf Palafox V</t>
  </si>
  <si>
    <t>D Joscf Palafox V Mclci</t>
  </si>
  <si>
    <t>…mismo que es el baluarte de la sociedad, y en consecuencia los hombres mán; el ministro interino de U Guerra y varios generales, entre ellos el capi cuerdos miran la causa del Monarca como la causa de la nación, y á la nación tán general D. Joscf Palafox V Mclci; el teniente general, consejen de Go es á quien se piden los medios para enfrenar lo* planes de lo» sediciosos. El con bierno, marques de las Amarillas, y los inspectores generales de toda* armas. curso dé las dós Cámaras, el patriotismo de la guardia nacional y del ejército, S. M. pasó en seguida…</t>
  </si>
  <si>
    <t>Mclci, Joscf Palafox V</t>
  </si>
  <si>
    <t>Joscf Palafox V Mclci</t>
  </si>
  <si>
    <t>…e es el baluarte de la sociedad, y en consecuencia los hombres mán; el ministro interino de U Guerra y varios generales, entre ellos el capi cuerdos miran la causa del Monarca como la causa de la nación, y á la nación tán general D. Joscf Palafox V Mclci; el teniente general, consejen de Go es á quien se piden los medios para enfrenar lo* planes de lo» sediciosos. El con bierno, marques de las Amarillas, y los inspectores generales de toda* armas. curso dé las dós Cámaras, el patriotismo de la guardia nacional y del ejército, S. M. pasó en seguida…</t>
  </si>
  <si>
    <t>Mcndo, Diego</t>
  </si>
  <si>
    <t>Diego Mcndo</t>
  </si>
  <si>
    <t>…o. Sr. Secretario de Estado y del Despacho de la Guerra. yo, á D. Juan Muñoz Guerra; para el de Alcántara á D. Joaquín-Casiano do Campos que lo es de Torremocha; para el de Plasencia, por promoción dé Dpn Anselmo León Barradas, á D. Diego Mcndo; para el de Zafra á D. José Lan- El capitán general de Cataluña participa el resultado de las últimas ope dero; para el de Garrobiílas á D. Diego Martínez Pela yo, que lo es de Coria; raciones practicadas en el corregimiento de Tortosa y derecha del Ebro por el para el de Roa á D. Angel Ramón Muro,…</t>
  </si>
  <si>
    <t>Mcnge, Polo</t>
  </si>
  <si>
    <t>Polo Mcnge</t>
  </si>
  <si>
    <t>…término dansele; pero no se diga que es inútil fijarle el término, pues asi el-' mismo sea perentorio, sino que se fije uno para' cumplir la ley.” Gobierno podrá exigir la responsabilidad á las autoridades morosas subalternas. El Sr. Polo Mcnge: «Como individuo de la comisioq debo deshacer Yo pienso, como el Sr. ministro, que es poco 4$ días; pero creo e$ indispen otra equivocación del Sr. Secretario del Despacho , y es qi*e la comisión' no ha sable fijar un término perentorio. Al Gobierno toca la iniciativa de decir cuál tratado de que s…</t>
  </si>
  <si>
    <t>Mcodez, Juan José Gómez</t>
  </si>
  <si>
    <t>Juan José Gómez Mcodez</t>
  </si>
  <si>
    <t>…e¡egac¡onal Re&lt;&lt;ldefiscoMostrencosde los bienesde la vinculadosciudad de Búrgosque poseyeronse sigueD.expedienteJusé Are titulado comarjdjime. de batallón, y que fue aprehendido en la noche del 13 na y Garnica, D. Juan de Aretí y D. Juan José Gómez Mcodez; y resultando que es de febrero próximo pasado. te último ex i st i a en 1814, y que t-'iiia un hijo llamado Fraud, que se dice era mili Til mismo comarídante general, avisa que el dia 2 del corriente con una es tarpersonasy cuyo-queparaderotengan noticiase ignorade , Ucomoexisuuciigualmente&lt; de es…</t>
  </si>
  <si>
    <t>Mcrambcli, Joaquín Ramos y D Miguel</t>
  </si>
  <si>
    <t>Joaquín Ramos y D Miguel Mcrambcli</t>
  </si>
  <si>
    <t>SUPLEMENTO Á LA GACETA DE MADRID DEL JUEVES 15 DE MAYO DE 1834. Madrid 14 de Mayo. al mismo tiempo nuestras dos columnas de Infantería mandadas por los bene méritos comandantes D. Joaquín Ramos y D. Miguel Mcrambcli; la primera \ El día 8 del corriente entráñen Corre do Pinto , pueblo de ^Portugal en la envolvió sobre la mire ha la izquierda del enemigo, y este se abandonó a la fu frontera del condado de Niebla, á la izquierda del Guadiana, una brigada es ga sufriendo una horrorosa mortandad. pañola al mando d…</t>
  </si>
  <si>
    <t>Mcrambcli, Miguel</t>
  </si>
  <si>
    <t>Miguel Mcrambcli</t>
  </si>
  <si>
    <t>Mctlcrnich</t>
  </si>
  <si>
    <t>…tan. De Real orden &amp;&lt;?. Madrid 18 de Agosto de 183á.=Toreno.= Sres. directores generales de Rentas. _____ Una carta de Viena dice que el embajador turco Mustaph* Rcdschid-bey, destinado á la corte_de Paris, tuvo una audiencia del príncipe Mctlcrnich el 30 del pasado, y que el día siguiente comió con él en7 Badén. ~ -- , El astrónomo Harding, que descubrió el planeta Juno, ha muerto en Go- PARTE INO OFICIAL. tinga el 31 del pasado. NOTICIAS EXTRANGERASs T.a gran reunión de sabios que ha de verificarse en Edimburgo, va atra yendo á mucho* exirar…</t>
  </si>
  <si>
    <t>MctternUh</t>
  </si>
  <si>
    <t>…; cuan Segiin la Gaceta de Augsburgo del 23 , refiriéndose á cartas do se descubren asociaciones peligrosas, haced una ley contra las dt Vierta del 18, M. Ancillon habia tenido aquel mismo dia una asociaciones. conferencia con el príncipe MctternUh, y en la sesión que debía «Esto, señores, es una cosa muy sencilla, es una cosa que i celebrarse el dia inmediato, se esperaba que grandes negocios se la verdad no corresponde á las grandes ideas del orador que me ha discutirían en el congreso de ministros. precedido en esta tribuna: pero cuanto ha…</t>
  </si>
  <si>
    <t>Me, Bridat</t>
  </si>
  <si>
    <t>Bridat Me</t>
  </si>
  <si>
    <t>…te de los empréstitos últimos como se por muchos Sres*, por medio de una adición al artículo después de aprobado ha querido suponer. este laJ como está. 1*4 deuda contraida hasta /el año 23 importa dos mil y tantos millones, " Ei Sr. Bridat « Me parece que se podría resolver satisfactoriamente U ' 7 la contraída desde el año 23 hasta el 31 ha importado 2907 millones. En los</t>
  </si>
  <si>
    <t>Me, Dupont</t>
  </si>
  <si>
    <t>Dupont Me</t>
  </si>
  <si>
    <t>…y si tenia este plazo la contrata, no los servicios debidos, dos de sus regimientos volvieron las armas contra Espa puede ser exacto lo que dice el Sr. Calderón Collantcs. No tengo noticia de ña, y se pusieron bajo el manido del general Dupont. Me parece que en esta esa Real órden, pues no pertenece á mi ramo; pero sí diré que esa contrata consulta se procedió con mucho tino y circunspección; y en ella se citan va no se puede anular por una Real órden; pues entre particulares es necesario el rios artículos de la contrata. Veo,,pues , que est…</t>
  </si>
  <si>
    <t>Me, Félix Vejarano</t>
  </si>
  <si>
    <t>Félix Vejarano Me</t>
  </si>
  <si>
    <t>…plicar al gobierno tenga en consideración lo que exige la libertad in guel Ace vedo; y para la de gefe de la sección de superintendencia dividual de los habitantes, en caso que la ciudad fuese declarada en estado de de Hacienda á D. Félix Vejarano. Me reservo tomar inmediata sitio: que indemnice í los dueños que sufriesen algún quebranto por las dis mente en consideración los méritos y circunstancias de todos los ofi posiciones militares en las fincas de su pertenencia, bien estuviesen situa ciales de lá secretaría que no .han podidp tener lugar…</t>
  </si>
  <si>
    <t>Me, Francisco</t>
  </si>
  <si>
    <t>Francisco Me</t>
  </si>
  <si>
    <t>…que me dice V. S. eu Como procurador del convento de trinitarios calzados, Fr. Francisco Navzrrci.cz j papel de 24 de Agosto último, acerca del estado en tue se halla la construc Manuel Coronadou=Ramon Cevallos^rComo apoderado de D. Francisco Me ción de los cementerios en esa provincia con lo de mi» que sobre el mismo ob diano, Josef Santiago Bul ion.—Manuel Muñoz de Sura_—lorenzo Muñoz Al— jeto hace presente; se ha servido S. M. mandar recomiende á V. S. la conclu caide.= J osef Muñoz Alcaide. =: Fructuoso López Pclaez.— Carlos BaUcipincr…</t>
  </si>
  <si>
    <t>Me, Medrana</t>
  </si>
  <si>
    <t>Medrana Me</t>
  </si>
  <si>
    <t>…todas estas consi dar el mando/á un extrangero, habiendo como hay suficientes generales es deraciones el Estamento jdéProen«doras - v pañoles.” „ ■ £, ; «Pide respeluosamente a V. M. sedigné mandar qué el ministerio pro ó"-* ' Él Sr. Medrana. «Me parece que el lordTVellington y el maiqtca 1 Beponga á las Córtes una iey sobre habflitacton'de.extrangeros para óbtener des íesford mandaron en España ¿ no solo ejércitos auxiliares^; sino tambien e spatinos, en la escala siguiente. Primero : ningún extrangero podrá mandar én gefe ñoles, como tale…</t>
  </si>
  <si>
    <t>Me, Presidente</t>
  </si>
  <si>
    <t>Presidente Me</t>
  </si>
  <si>
    <t>…tal vez podría ser llamado al orden. biera aceptado el honroso cargo que mi provincia me ha confiado. Siendo in No lo diré, pues, directamente. disputable que U iniciativa es esencial á ios cuerpos legislativos, no es en¡ el. El Sr. Presidente-. Me permitirá el Sr. Procurador le indique que la ma- reglamento donde deben buscarse esos correctivos; y de manera ninguna me y.or parte de la oppsicion defa discusión anterior no recayó sobre el principio, parece oportuno que en ¿1 se pongan esas trabas que ia coartan tan .ostensíbJe-} sino &gt;obr«r lo…</t>
  </si>
  <si>
    <t>Me, Traeba</t>
  </si>
  <si>
    <t>Traeba Me</t>
  </si>
  <si>
    <t>SUPLEMENTO A DA GACETA DE MADRID DEL MARTES 30 DE DICIEMBRE DE 1834 CORTES. individuo de que se trata; y la segunda es la regla general que ha indicado el Sr. Ferrer, y apoyado el Sr. Traeba. Me parece que cada una de estas cuestión ESTAMENTO DE SEÑORES PROCURADORES. nes debe resolverse de distinta manera. El informe ó dictámen de la comisión, reducido á que no debe admitirse su renuncia á un Procurador que quiere exi Sfgion del dta 29 de Diciembre. mirse de este honroso cargo, fundado «en…</t>
  </si>
  <si>
    <t>Me, Trucha</t>
  </si>
  <si>
    <t>Trucha Me</t>
  </si>
  <si>
    <t>…tículos , el Sr. Medrarlo se reservó la palabra para preceder un detenido exámen. Como esta petición ha de pasar á S. M., y si la la discusión de estos. toma en consideración ha de dar origen á una ley, entonces el Gobierno en El Sr. Trucha - «Me levanto á apoyar esta petición, porque la creo no trará en los detalles de ella. solamente justa, sino altamente nacional. «No es del caso ahora explicar en qué ha consistido esta tendencia de la »La España ha sido en todas épocas una especie de tierra de promisión, Nación á admitir extrangeros en…</t>
  </si>
  <si>
    <t>Medern</t>
  </si>
  <si>
    <t>…nto desde que se abrió el mercado de Breslau, hace que no se Fondos públicos. Tres por 100 consolidados 92/. jpueda satisfacer á todos los pedidos, y prueba .también que las circunstancias El nuevo-encargado de negocios de Rusia, conde Medern , llegó ante ayer continuarán favoreciendo este artículo importante, y que su precio subirá aun al palacio de la embajada. (Albion.) mas; porque no solamente los pedidos de lanas no han disminuido, sino que hiy la mayor actividad en el comercio de paños. (Diario de París.’) ■ .. El Observer publica…</t>
  </si>
  <si>
    <t>Mediana.'</t>
  </si>
  <si>
    <t>…S|Ílbra“para~contestar á dasobjociones que - nar el -pnoyectoji haapróbadct’iñlDchos de-siRpárraml Sin cmBhrgo, contestaré se hagan á lajflornfcion, ¿L" '■ i algunas A'sus observaciones, arique brevemente'^para eeonomizar el tiem Sr. Mediana.'. réAlltomar la palabra «n contra del proyecto, np es mi po , que siempre es tan precioso. s ■ objeto combatir las Ideas que encierra , ni tampoco las que ha desenvuelto «En cuanto al primer párrafo el Estamento habla por sí, y de consiguien - el señor individuo de la comisión que acaba de hablar; pe…</t>
  </si>
  <si>
    <t>Mediano</t>
  </si>
  <si>
    <t>…stando no poder traimiento al trabajo, del grave y defiendo encargo que sü provincia le ha con—r «encurtir i' lis sesiones por hatlarsc enfermo. ferido. Consta ¿ muchos Sres. su constante laboriosidad, su inteligencia y Wt ' jjfl Sr. Mediano, como relator de la comisión de Poderes, presentó el honradez, y les consta también que ésta muy enfermo. Por lo tanto creo que sKctimcn.de la misma respecto de la exposición del Sr. D. José Francisco Mu- las razones que han dado varios Sres. preopinantes acerca de que se tomen me gdño Lé liíbairtn…</t>
  </si>
  <si>
    <t>…amente, cuando pedí la palabra en esta discu El Sr. conde de las Navas: «La Oposición que ha sufrido la adición he sión en pro del asunto de que tratamos, estaba muy lejos de sospechar el furi cha por el Sr. González de parte'del Sr. Mediano, mas bien ha redundado, en bundo ataque, si se me permite decirlo asi, á que tendría que responder. No mi concepto, en su favor que en su contra; y me parece muy fácil probarlo. en vano dije ayer que había grandes autoridades y sugetos eminentes por sus S. S. no ataca en el fondo la adición, porque…</t>
  </si>
  <si>
    <t>…un breve discurso en fa nuestras antiguas leyes y á varias declaraciones hechas en las Córtes, y muy se vor de la petición, el cual no se le pudo oír. ñaladamente después de la elevación de Cárlos i al trono, está conforme con El Sr. Mediano preguntó si iba á procederse á la discusión sobre la tota los principios del Gobierno; y el ministerio se halla de acuerdo con los seño lidad de la petición , ó á discutirse esta por artículos; y habiéndole contestado res peticionarios cuanto á la base. Respecto á los pormenores, la misma discu el…</t>
  </si>
  <si>
    <t>…que. «leí derecho de petición; luego-es claro,quepueden ocurrir casos que ño .cor-’ fuerñn desáprobadosloS; podereasegua previene el Reglamento. , : respondan al derecha dé {petición, y que convenga que se ocupe de cito* efEs- El Sr. Mediano, como indiriduode la misma comisión, .tomoJa palabra, tamento sin necesidad je una petición formal. En este concepto retiraré mi para decir, que ai ella babie emitido tu opinión dcl modo indicado, era úni proposición para SSrñrcrla i su riempo,tamo mas, cuanto observo que el camente ateniéndose al…</t>
  </si>
  <si>
    <t>…ud y el mérito de la petición tal como se expresa en el art. l.° pués de oídas las de Vos señores preopinantes. Inconcuso me parece to propues Este artículo se me-'figura exacto y acomodado en su idea y en sus términos, to por el Sr. Mediano; pues al que nada tenia, nada hay que devolverle. Asi lar idea del art. l.° es claro que depende déla contenida en el 2.°; y por con pues no me opongo de'modo alguno al forido del artículo, sino solo á su re siguiente todo cuanto se diga para calificarle deTnoxactomo. lequitaet mérito, dacción; que…</t>
  </si>
  <si>
    <t>…de ser en contra délo que propone el ministe Se abrió á íá tace; y leída el acta de la anterior, se aprobó con uña li rio, voy í hablar en favor del dictímen de la demisión , y creo que esto bas gera modificación propuesta por el Sr. Mediano. tará para que en algunos periódicos no riThjble del partido ministerial que se Al tieriipo.de ir á prestar juramento el Sr. D. Sebastian Cuesta, Procu dice hay en el Estamento, y que se supone compuesto de empleados y gober rador por la provincia de Pontevedra, preguntó si podría hacer préviam-nté…</t>
  </si>
  <si>
    <t>Mediano, Antonio</t>
  </si>
  <si>
    <t>Antonio Mediano</t>
  </si>
  <si>
    <t>…aciones practicadas en el corregimiento de Tortosa y derecha del Ebro por el para el de Roa á D. Angel Ramón Muro, que lo es de Potes; para el de Ar- brigadier D. José María Coiubi, gobernador y comandante general de aquel nedo á D. Antonio Mediano, alcalde mayor de Autol, y para teniente de distrito. asistente de Sevilla á D. Manuel García Gallardo. El estado de aquel país, tan afligido hasta ahora por las continuas incur siones de los rebeldes, es verdaderamente satisfactorio. Después de la acción del 25 de Noviembre sobre la sierra de Alia…</t>
  </si>
  <si>
    <t>…ara, dondeque acudauradicani losdeducirloautos deeosue.l abiótest^to.juzgado del Sr. Bal Id. 7................ 16 38 15 69. Nota. E« la Gaceta anterior, columna 2.*, línea 8.a, ea lugar de ¿&gt;. Antonio Me58 98 29 185. dreno: léase D. Antonio Mediano, y eo la linea ig léase D. y acobo Viilanova y Jor Observaciones. En el número de fallecidos están inclusos ios de los tres hos dán*Mayo,en léatelugarMarzo.de D. Jasef Vilanov* y Jordán; y columna 8.a, Uoca 6.a, donde dice EN LA IMPRENTA REAL.</t>
  </si>
  <si>
    <t>…cima tas recibidos anteriormen villa de 1 r gdiana á D. Francisco Ga-_ i baarvz: pira la dei Burgo de Osma i te. Sanlana había entrado en Guanijua'o sin opodeion , y la tranquilidad se D. Juan Perez Piinentel : para la de Autol á D. Antonio Mediano, y para la habla restablecido en todo el país. El 2u de Octubre llegó á Méjico con 4-28 de Cebolla a D. Antonio Encuo y Aguírre. prisioneros, y anunció en una proclama que reasumía el gobierno civil, aun que parece inclinado á no derramar sangre. Sin embargo, se dice que dejará el También se ha dig…</t>
  </si>
  <si>
    <t>…Madrid 16 de Octubre. Manso.rcExcmo. Sr. Secretario de Estado y del Despacho de Guerra. S. M. la Reiva Gobernadora se ha servido separar de la plaza del cd^fe rejo de Navarra á D. Leoncio Ladrón de Cegama, nombrando en su lugar^ D. Antonio Mediano, alcalde de la Real corte de aquel reino; y para esta re ESTADO SANITARIO DEL REINO. sulta á D. José García Suelto. Asimismo ha tenido á bien separar de la plaza de teniente de asistente d« PROVINCIA DE AVILA Sevilla á D. José Maceda, y nombrar para la misma á D. Manuel ValcarceL Con fecha 11 del a…</t>
  </si>
  <si>
    <t>Mediavilla, Francisco</t>
  </si>
  <si>
    <t>Francisco Mediavilla</t>
  </si>
  <si>
    <t>…ierda destaqué una guerriHa con el sargento 2-° D. Luis de de este modo á la destrucción de aquella gavilla. Quintas ai mando del subteniente ilimitado D. Francisco Rubio con la mis ma orden, y por la derecha al capitán ilimitado D. Francisco Mediavilla y al Madrid 2B dt Abril. teniente retirado D. Juan José del Arenal, siguiendo yo con el subteniente .Don José del Busto y los sargentos segundos D. Elias Alvarez, D. Félix ^ionF.n celebridad del cumpleaños de S. M. la Reina Gobernadora se vistió real y D. Anselmo Miranda, y el resto de la columna por…</t>
  </si>
  <si>
    <t>Medina</t>
  </si>
  <si>
    <t>…ontinúan y desembarcar el día 12 de*Marzo en Las Higu^ritas, en la costa de Urustía v, procurando fomentar nuevas perturbaciones en el Estado oriental; pero siendo rio novedad én su importante salud. seguido inmediatamente por el coronel Medina fue totalmente derrotado en las márgenes del Rio Negro, escapando á nado juntamente con su hermano Don Manuel Lavalleja. Entre tanto, el Gobierno imperial reiteró sus órdenes para que conservándose la mas estricta peutralidad de nuestra parte, se prevenga v PARTE NO OFICIAL. esono seá cuantoconsien…</t>
  </si>
  <si>
    <t>Medr.mo</t>
  </si>
  <si>
    <t>…as1 á costa que les asiste, y para corlar los pleitos promovidos, solicitar la 'promulg.ícion del pobre labrado'r, que es el que sustenta al Estado." de una ley que sirva de- aclaración á las existentes, mayormente cuando «tra El Sr. Medr.mo dijo que únicamente habla pedido la palabra con el ob en contrario la costumbry- jeto de que los señores, peticionarios se sintiesen aclararle ciertas dudas para po ”E.i orden á la variación del cultivo, á que la uva moscatel y planta está der votar con seguridad. Anadio, que le parecía que ¡a inte…</t>
  </si>
  <si>
    <t>Medra</t>
  </si>
  <si>
    <t>…se persuade prescribe una ley reglamentaria renta? El Sr. Arguelles. Dice la comisión: «no se sabe si estos individuos Le con carácter de interina. ¿No se teme herir la delicadeza de una provincia pundo ñen esa renta propia." El Sr. Medra no, que acaba de dar esta idea, poha te norosa, representada por los naturales que ofrecen mayores garantías en virtud ner en consideración que los electores deben tener una renta fija: que entre to de su nacimiento, riquezas y consideración í dos eilos son 27, los cuales sobre su&gt; bienes, no solo…</t>
  </si>
  <si>
    <t>…propieda pia la que le correspondía por sus hijos. 2.° En desechar ahora su exposición, des en aquel país, que podrá verificar dicha justificación.** porque ha dejado pasar e&lt; término de una junta preparatoria.^ que ella llama El Sr. Medra no: « La comisión debe advertir que aunque por noticias par término fatal; \ qué equivocación de parte de (a comisión, y qué pequeñez pa ticulares le consta que el Sr. Romarate posee tinas rentas superiores á las que ra un negocio Un grave! Señor , no hay mas que leer el reglamento para ver necesit…</t>
  </si>
  <si>
    <t>Médramo</t>
  </si>
  <si>
    <t>…°; á lo que este Señor contestó es reprensiones de que sean f ó reservadas, ó delante de la oficialidad: y cMi debe taban conformes en el principió. _ admitirse. Ademas falta después de suspensión de empleo^ la pena ,d&lt;L priva El Sr. Médramo dijo que el Sr. marques de Espinardo habia manifestado ción, y afeo serí conveniente ponerla, pues puede muy bien un oficial ó sar una idea que'á su entender iio era exacta, al decir qué se habia desaprobado la gento Scc. no ser apto ó desmerecer, y debe podérsele remover, sin que por formación de…</t>
  </si>
  <si>
    <t>Medran</t>
  </si>
  <si>
    <t>…, pido al Sr. Presidente se sirva mandar que la misma siga los trá señores, jamas adula al poder; pero sirye siempre a la justicia. mites correspondientes.” «No hablaré asi ciertamente respecto á los 35 millones que propone el El Sr. Medran»: «Yo creo que hubo resolución del Estamento para Gobierno para S. M. la Reina Doña Isabel ii. Esta suma me parece excesi suspender el curso de esa petición, pues á consecuencia de una indicación he va, y que por lo tanto debe rebajarse. Ni los pueblos están en estado de satis cha por el Sr. Secret…</t>
  </si>
  <si>
    <t>Medrana</t>
  </si>
  <si>
    <t>…arece que exonere del cargo de Procurador, y asi se le haga entender. lo mejor seria nombrar Una comisión qup estableciese bases sobre el particular.” 2. a Que apreciando la 'delicadeza del interesado, cree vindicado' su honor ' "Sr. Medrana-. »La comisión h¡|. manifestado ya no haber seguido regla por el hecho de haber sido elegido para represehtante de su provincia, ade alguna anterior. Ha creiclo solo que debía dar crédito á la palabra de un Pro mas de que le queda expedito su derecho contra lós qué le cal un:rilaron ,-jSor lo curador y i…</t>
  </si>
  <si>
    <t>…char el dictamen de la comisión, y aprobar el parti de hacerlo; pero por un principio de delicadeza no lo hemos hecho ninguno cular del Sr. Domecq.** de los Secretarios del Despacho cuando se ha tratado de poderes, y nos hemos El Sr. Medrana: «Yo no puedo menos de reconocer la posición des limitado á votar según nuestra conciencia nos lo dictaba. Mucho menos lo ha agradable de la comisión: tratándose de personas es muy difícil separar la vis ría en esta ocasión , á pesar de que la cuestión es sencilla y de fácil resolución, ta de ellas…</t>
  </si>
  <si>
    <t>…onforme el proyecto de ley del Sr. Ministro con las disposiciones del Esta Se leyó la petición citada sobre derechos fundamentales , y en seguida dijo tuto Real. Abraza el proyecto, bajo una sola clave y série de artículos, el El Sr. Medrana: «Me parece que no es lenguage legal el usado eu el reconocimiento de la deuda extrangera anterior y posterior al año 1823 , su párrafo anterior á la petición, pues se dice que S. M. se digne sancionarla. conversión por mitad en deuda activa y pasiva, y la petición para que se la Creo que no es est…</t>
  </si>
  <si>
    <t>…debe entenderse que no he sido árbitro en poner dichas palabras, sino contra él culpable la primera piedra!”..... que las he tomado de la ley-que tenemos.” «Siendo, pues, un tiempo de olvido, de reconciliación, el Gobierno no El Sr. Medrana: «Me parece que no he dicho que sea la adición igual puede menos de oponerse á las palabras que pueden irritar, aun cuando sean al juramento: al contrario, he tomado el argumento de la misma diferencia dictadas por un sentimiento inocente; pues basta para ello conocer el efecto que existe entre la…</t>
  </si>
  <si>
    <t>…los, y entonces se po honores, condecoraciones , antigüedad y rango correspondiente á dichos nom drán hacer cuantas observaciones se juzguen oportunas sobre ú mayor ó menor bramientos Reales.” extensión que se da al artículo.” El Sr. Medrana: «Reclamo la observancia del reglamento: la petición El Sr. Rivaherrera : "Haciéndose lo que propone el Sr. López; es de que se presenta es del todo nueva, y debe correr los mismos trámites que la cir, discutiéndose la totalidad, y reservando para los artículos la variación he primitiva.” cha , no…</t>
  </si>
  <si>
    <t>…uyó que se está en el caso de adop suficientes para llevar adelante la empresa, ari como sucedió: pues no se sabe tar la peticiob que hemos presentado.” qne se satisfagan con los 50,000 rs. queménsualmente se mandaron entregar El Sr. Medrana: «Veo en esta petición él laudable deseo de aliviar á los por la Real Hacienda,y despaes de este trascurso de tan continua como rui- pueblos del pago de imposiciones; pero me parece que debemos meditar mucho nosa exaCdon el ptogreto de obra tan-importante sevéconj dolor paraliza antes de acceder á…</t>
  </si>
  <si>
    <t>…• al Gobierno de S. M. porque no defendió su'proyecto y la parte de emprésti se leyesen,originales los documentos presentados por el Sr. Echevarría. , tos que fue desechada. Asi que, el' Estamento, á mi ver, se halla comprome Til Sr. Medrana-, »Me oDonfeo á que ningún particular venga danrio — - tido i que se ponga al público todo lo que se-ha-dicho; y yo seré el primero en reclamarlo. ' - _ . »Estoy siempre pronto á responder , de cuanto diga eñ cumplimiento de (■ un matidatotán sagfado como qs erMe-ProcuradOr del .reino; mandato que m…</t>
  </si>
  <si>
    <t>…te ocupará en el Es les. El Sr. ArgCfrlles dt*fruJa esta renta, v de ella puede disponer , porque la h* tamento el digno lugar qne le cortcsponde." adquirido por uno de los medio* leoíómos que establecer la ley , cual es La do El Sr. Medrana: «No me esforzaré en probar la posición desventajosa en nación, lan legitimo como el de la coanpu: de consiguiente, no veo ana st-</t>
  </si>
  <si>
    <t>…l Sr. Argiielles, y de consiguiente desaprobarse el dictamen de la co El Sr. Alcalá Galiano: •&gt; Seguramente fuera de desear que en esta cues misión.” tión , como en todas las demas, al ocuparnos de las cosas, no nos ocupásemos El Sr. Medrana: «No sé si es mas desagradable el haber tenido que de las personas; pero por desgracia es imposible. Verdaderamente que para se emitir el dictámen en la comisión, que la necesidad de sostenerlo ahora, pare parar esta cuestión de D. Agustín Arguelles, cuya conducta política está en ciendo que es mer…</t>
  </si>
  <si>
    <t>…o c(in iel Gobiernó; 1*' i se halla "ya admitida: láladididn díl'Sf- istúriz , debo manifestar que la presente redactase del modo mas conven iefite.” no se opone en nada ¿ ella, sino que la amplía ó aclara. Por lo tanto yo opi El Sr. Medrana: »Yo creo que el asunto de que se ocupa el Estamento, no qué él Estamento debe admitirla.” está ya resuello por el mismo, puesto que la causa principal de admitirse esta El Sr. Secretario del Despacho de lo Interior: «Mi oposición á la adi - indicación parece ser la analogía que los dependientes de…</t>
  </si>
  <si>
    <t>…dad sin obligarlmd incurrir en contradicción. Por ló tinto, me parece que debe solo m(Éht» Se abrió k las once. ahora la primera parte, y después de concluida pasar a la segunda." ' ‘ $e lejró jr aprobó el acta de la anterior. El Sr. Medrana: «Estamos perdiendo tiempo: te trata de un proyecto El Estamento quedó enterado de un oficio del Sr. Secretario del Despa de ley en que hay diversidad de opiniones respecto de sus partes, mas no de su cho de lp Interior, parriciprnd^ habrr aumentado dos realca de neldo i cada total; por lo tanto cr…</t>
  </si>
  <si>
    <t>…dar voto de calidad; y aun yo creo que debería evitarse el empate, siendo ción de intereses se contrae al período señalado, y siempre salvando derechos siempre impar el número de los individuos de este consejo." adquiridos.’9 El Sr. Medrana: «Si se tratase d? imponer penas graves, yo me inclina El Sr. Vailejo*. «Si es cierto que deben devolverse los capitales con ín ría á que se aprobase la adición que la comisión propone; pero tratándose de Jas teres; «porque hayan pasado muchos años, ha de quitársele ai comprador ei de faltas que pu…</t>
  </si>
  <si>
    <t>…hay para- la Milicia activa; y por lo puede convenir en que esta pena pueda ser impuesta por los consejos de discimismo, he propuesto la adición.” plina, mediante á tener ¡os gefes y oficiales ,' ó despacho Real, ó-nombramien El Sr. Medrana: «El St. marques de Espinardo tiene razón hasta cierto to del gobernador civil.” punto: la ordenanza militar comprende, no solo lo relativo á leyes, sino tam Ei Sr. marques de Espinardo: •&gt;Supuesto eso., me parece que ya que no bién lo reglamentario, como la táctica que comprendía antiguamente.” ..…</t>
  </si>
  <si>
    <t>…ida á que se le exo cretario); y luego determinaremos sobre ella lo que esté en nuestras atribucio nere del cargo de Procurador, en atención a su numerosa tarmlia y cortos me nes con arreglo i las leyes." dios de subsistencia. El Sr. Medrana: «Esto es perder e! tiempo en cosas que no nos compe Se d¡ó cuenta de una exposición de tres sargentos, uno de ellos graduarlo ter.; pues creo que no há lugar á deliberar sobre este negocio. de alférez, en que sé quejaban de que por haber cnarbolado una bandera azul El Sr. García Carrasco itisístió…</t>
  </si>
  <si>
    <t>…tiguos empréstitos, serán reembolsado* ción del Estamento para que no se tome ninguna regla general sobre el par con valores de la deuda pasiva.” ticular.” El Sr. conde de Zoreno: «Voy á hacer una explicación sobre el artículo El Sr. Medrana;. «Creo que está equivocado el Sr. Belda acerca de ha que va á discutirse; ya ayer cuando se habló del 2.° dije que las circunstan berse admitido todas Jas renuncias, aunque no se haya expresado causa. Yo no cias babian variado, y había, variado la posición actual del Gobierno, ya por té ti me será…</t>
  </si>
  <si>
    <t>…sadd; del honor;'qqe veamos que el curso de la léy es rápido, y., que el castigo es ' pero si no se sabe ,esto, creo qué es admitirle á ciegas.” efectivo, no solo para los miserables seducidos , sino también para los .pérfido* El Sr. Medrana: »Se ha citado el ejemplo del Sr. Sotómayor; pero seductores', que conducen al precipicio á los incautos que apaso rio tienen al cómo este solo probó poseer una rébta de 103 rs., y no llegaba a 123, según Ja cancé. para, conocerle: es preciso que caiga el castigo sobre los que les arman el ley mand…</t>
  </si>
  <si>
    <t>Medranb</t>
  </si>
  <si>
    <t>…e las Navas, es muy lauda ecba al rio, que otro se ahorca! ¡Pues qué extraño será que se presente uno de ble; pero tratándose de especulaciones mercantiles, no es tanto el patriotismo al esos! Yo entiendo, pues, que el ataque del Sr. Medranb es aéreo é infundado. jjuese pposulta. como el interés que pueda resultar al que acomete cualquiera '•Ultimamente, Señores, ¡qué se pierde en esto! La proposición de la co empresa de esa clase.” misión no deja, á mi entender, de presentar algunas ventajas. Yo tengo entendiEl Sr. conde de las Navas…</t>
  </si>
  <si>
    <t>Medrano</t>
  </si>
  <si>
    <t>…la caja de Amortización, que merece las mas distingui que «los juicios pendientes para hacer efectivas las precaciones Je dicho Voto das atenciones.” se continuarán ante los tribunales ordinarios competentes hasta su icrcntua- Ei Sr. Medrano, como individuo de la comisión encargada de informar cion.” Pero Señor está ya demostrado lo apócrifo del Voto: en todas las uci- sobre el provecto de lev , apovu el articulo en cuestión, fundándose en que siooes que se han suscitado pleitos sobre este negocio, tanto en la* chancille- según la expo…</t>
  </si>
  <si>
    <t>…y mas cuando hay una impedían desempeñar esté encargo, y pedia su exoneración: otra del licencia diferencia tan notable como de 4 años.” do D. Juan Ramírez, reclamando contra la eleccionque ha recaído en el El Sr. Caballero: «El Sr. Medrano acaba de indicar que tenia 25 años Dr. p. Prudencio Chavarría para Procurador de la provincia de la Habana, el Sr. Calderón cuando se recibió de abogado. No quisiera equivocarme , pero en virtud de las ilegalidades qtle manifestaba haberse cometido en ella; y otra si han partido de este principio J…</t>
  </si>
  <si>
    <t>…o se le hubiesen devuelto, y única da extrangera; por lo que podemos verificar mejor el pago total de sus intere mente decía que se le habían pedido. ses. Basta para desvanecer este argumento ,.recordar que el empréstito de QucEl Sr. Medrano expuso que no tenia presente haber pedido fe de bau bard. es casi insignificante, como aquí se ha repetido varias veces, y que es muy tismo al Sr. Chacón ; pero que en todo caso el haberlo hecho I cía sido por peco lo que varía la suma total de la deuda exlraDgera, la anulación ó apro efecto de la…</t>
  </si>
  <si>
    <t>…sucesivo: si no obraremos F.l Sr. Trucha reclamó el expediente relativo á los poderes del Sr. D. Juan á ciegas.” , Gualberto González, electo por Huelva. , Otro Sr. Procurador expuso que la comisión parecía contradecirse , opi El Sr. Medrano contestó estaba aun pendiente. nando un. individúo una cosa y otro otra. En seguida se leyó por el Sr. López el proyecto de contestación ál dis Sr. Medrana-. »La comisión está conforme en sus ideas: admitir las re curso pronunciado por S. M. la Reina Gobernadora én la sesión Regia, re nuncias de lo…</t>
  </si>
  <si>
    <t>…103 , y el que tenia papel al 5, ahora tendrá lo mis tener los bienes en otra provincia, y que ese no era ¿&gt;bsta£ulo*para que pudie mo ganando mas. De consiguiente, o mucho me equivoco, ó esto es aumentar ra ejercer su cargo, el Sr. Medrano contestó que este Procurador no tenia mas los intereses de unos, dism;nuvcndo los de otros. Ejemplos hay cn otras Na^- que nueve mil y tantos reales de renta; pero que para fortificar mas esta causa ciooes de haberse disminuido; pero de que se haya aumentado no, sobre lo cual alegaba otra, que era…</t>
  </si>
  <si>
    <t>…ciarse de un modo mas exquisito y terminante qué manifestan El Sr. Florea Estrada interrumpió al orador, diciendo estaba discutiendo do la peligrosa influencia que pudieran tener en la causa de la libertad. por artículos; pero el Sr. Medrano contestó era preciso hacerlo asi para hablar «Sobre los males que aquejan á todo el reino, cree S. S. que debía haber Al total: ademas, qtie ta comisión y la práctica constante lo apoyaban; y con alguna reticencia en el modo de manifestarlos, por no ofender á S. M., cre tinuó lá discusión. yendo no…</t>
  </si>
  <si>
    <t>…desde '1823 acá, á fin de que averigüe Coda suerte de te.=Luis de S. Simón. = Pedro Fuster.ncEl marques viudo de Torremejía.” ilegalidades y dilapidación» quebaya podido haber en dichas operaciones.” Leída esta petición, dijo el Sr. Medrano: "El proyecto de ley sobre la El Sr. Trueba: "La gran cuestión que por tamos días ha ocupado ai Es ■abolición del Voto de Santiago no pudo menos de excitar en i».personas gra tamento parece haberse ya concluido; pero yo -la considero incompleta si no se vadas con este tributo de la merced de amigos…</t>
  </si>
  <si>
    <t>…icha petición. presarse de este modo no me parece conveniente ni fundado. «La primera es la práctica de todos los cuerpos y asambleas representati "Todas las leyes que se seguían en tiempo de Fernando vtr están en esta vas. Ni el Sr. Medrano ni cuantos señores han tomado la palabra en contra de categoría, y es ciato que no porque no hayan concurrido las Córtes á su for la petición, podrán citar ejemplos en contrario, ni dentro ni fuera del reino; j mación dejan de estar en observancia, ni tampoco dejará de estar el reglamento y muy bie…</t>
  </si>
  <si>
    <t>…aquello que no se brarlos-cn lo. sucesivo. Lo mismo debe suceder respecto el reglamento: el al opongaála?_basw_ y principios dei EsTAfUTÓT^ ~ ' terarte 5 modi ficarlc de be. estar en las atribuciones del Estamento, porquo en El -Sr. Medrano ¿ornó en seguida la palabra para deshacer algunas equivo el curso de .las discusiones suelen ofrecerse dificultades que.solo él mismo pue caciones en que d&gt;jo habia incurrido el Sr. preopinante. de aclarar. Eí Sr. marques.de Faltes z « Cuando á principios ó mediados de Agosto »La, cuarta razón está…</t>
  </si>
  <si>
    <t>…to Navarra, en reemplazo del Sr. conde de Saceda , el Sr. D. Ramón Maricbalar. particular, se distribuirían ambos, y después se señalaría dia para la discusión. Se mandaron pasar á la misma comisión los poderes y documentos de El Sr. Medrano reclamó que en su opinión se habia faltado al reglamen aptitud legal del Sr. D. Manuel María Losada, electo Procurador por la pro to por haberse permitido hablar á un individuo de la comisión , y no ¿ los de vincia de Orense, y los del Sr. D. Miguel Puche, que lo es por la de Murcia, mas Sres. Proc…</t>
  </si>
  <si>
    <t>…s »c Por qué ha de permitirse á tos Diputados que te abstengan da votar f tros; y estoy seguro de qué estos señores lo reclamarían de nuevo. , w¿ Por qué lá reunión de §0 Procuradores ha de bastar para las resolucio «Ajer dijo el Sr. Medrano que oo era muy urgente el tratar del regla nes de un cuerpo compuesto de mas áe 180? mento , y que era mucho mar d tratar de la guerra; pero pera esto mismo nos o Probado basta la evidencia que el reglamento es susceptible de mejoras,</t>
  </si>
  <si>
    <t>…infinito daño á la causa del trono y de la libertad, Leído el párrafo I4.0 y último , fue aprobado sin discusión. en nombre de la libertad misma. Los Procuradores de la Nación saben ya por No se aprobó una adición que presentó el Sr. Medrano , y manifestando experiencia que no es nuevo en el mundo que los enemigos de toda mejora tra el Sr. Presidente que mañana debería leerse el proyecto tal como quedaba apro ten de asesinar á la libertad , virtiéndose con su librea. bado , y en seguida pasar al primer punto sometido por S. M. á las Co…</t>
  </si>
  <si>
    <t>…na injusta agresión Añade el Sr. Secretario del Despa de la petición; y asi paso ya á contraerme á contestar á las impugnaciones que cho que el Gobierno no es un verdugo. Es verdad; pero debe ser protector del meaban de hacer. El Sr. Medrano nos ha dicho que juzga ocioso el art. 3.°, órden y*de la sociedadque le está encomendada; debe castigar con iriftexibilicomo embebido en el l.° de las peticiones. No es exacta esta observación, dad cuando la justicia lo exi ja-; debe tener en unaf mano el escudo con que ampa pues son cosas muy dist…</t>
  </si>
  <si>
    <t>…’ tas justificativos de sus rentas, opinaba que debían aprobarse por estar confor D. Antonio Ayarza , por Valencia. mes á lo prevenido. Asi se acordó. D. Agustín Arguelles, por Oviedo.^ ’ Concluido el despacho, tomó la palabra-el Sr. Medrano para presentar una D. Saturnino Calderón, por Orense. indicación. D. Francisco de Paula Crespo Rascón, por Salamanca. ’ El Sr. Medrano-. »Voy á hacer al Estamento una indicación, que no sé D. Mauricio Cárlos de Onís', por id. (Este se sabia por una acta hallarse si estará en su lugar: pero me parec…</t>
  </si>
  <si>
    <t>ga proeote eo Urraolucionque sobre ello te tome. Por lo áema» creo qu* mitiéndola tan solo cot|io pasta, á ejemplo de las naciones cultas dé Europa. éeberá praarse rata littt jr le Indicación dtl Sr. Medrano 4 la conúsksa dePo- - Obra es por cierto de suma importancia reformar la legislación moneta ¿errar El Eftamento resolverá loqué le parezca conveniente.” ria de España; reglamentar las tasas de moneda, introduciendo en ellas las me BÍSr. Conje deTorejto: »En apoyo-de Redicho por el St. Presidente jor» y…</t>
  </si>
  <si>
    <t>…debe admitir «i voto reducido á que debían aprobarse los~podcrés 7 documentos de la aptitud legal del Sr. Dimecq, 7 desechar el dictámen de la comisión.* del Sr. D. Antonio Alcalá Galiano, sin perjuicio de que para lo sucesivo El Sr. Medrano: «Respecto á que ha manifestado S. S. que en la ley acordase el Estamento las reglas que creyese oportunas. de elecciones no hay una sola palabra que indique que para ser elegido Procu El Sr. López: «Yo no encuentro ninguna razón que milite en favor del rador se Dcccsite estar en.posesión de la ren…</t>
  </si>
  <si>
    <t>…cado las razones que tuvo presentes la Co al Estamento por haber interpretado asi la ley , siendo el único que puede ha misión cuando se trataba del Sr. Vadiilo, sino que no se podía entrar en la cerlo. He extrañado mucho diga el Sr. Medrano que el Estamento no tiene ta distusían porque era una cosa aprobada por el Estatuto Real.” les facultades; y desearla que se me dijera quién es el que las tiene. No hay Se leyeron los artículos 48. 75, 76 del, reglamento que se citaron para duda ninguna, pues, en que debe desecharse el dictamen de…</t>
  </si>
  <si>
    <t>…la libertad de U Na mento relativamente á la lista que se le pasó del estado y circunstancias de los ción , la conservación de esta y la del pnncpio monárquico. Por lo tanto ne Sres. Procuradores, acompañada de la indicación del Sr. Medrano, manifestó será de mas llamar la atención del E&gt;iamcnto sobre la impor'sncia de este que habiendo meditado con. la mayor detención este negocio, creía no haber asunto, porque en las actuales circunstancias se debe evitar hasta la menor som bastante fundamento para adoptar la proposición del Sr. Med…</t>
  </si>
  <si>
    <t>…onomía. Son, pues, conformes loe deseos del Gobier pleos civiles según las graduaciones y años de servicios, como se practica en no y del F^tamento.” Prusta , Rusia y Austria , parecen ios medios de-conseguir el objeto. La pri Mi Sr. Medrano: «Acaso el no haber podido oir bien a! Sr. Carrillo me mera idea sufrirá sin duda fuerte opo&amp;icion; pero podrían estimularse los talen hará repetir varias de-sus observaciones. He suscrito la petición que discutimos; tos ¿ instrucción de los oficiales del ejército, para que por memorias y escritos…</t>
  </si>
  <si>
    <t>…y Blanco. _______ desmerecido de la patria, se han hecho mas acreedores á Ja consideración pú El que tó‘desaprobó Tue el Sr. Montenegro. ^ blica. Un acto de equidad-puede^jeparar la* consecuencia* á que ha dadn lugar Manifestó el Sr. Medrano que estando fuera del salot) al tiempo de la. el sistema observado con estos empleados : ellos no son de peor condición que primera lectura de la lista, y habiendo entrado en el acto de la segunda, se aquellos que ha separado el Gobiemo por desafectos á las instituciones que not había abstenido de…</t>
  </si>
  <si>
    <t>…r del att. 31, tít. 5,° del Estatuto; pero en manera alguna pueda res, que debe concurrir para la formación de una ley." serlo la petición de la autorización para contraer el empréstito, y mucho me El Sr. Caballero : »Creo que el Sr. Medrano se ha olvidado de que esto nos en concepto de ley. La ocasión y la forma de hacer esta petición están cla mismo se indicó al principio de la discusión de la petición: entonces se hizo ramente expresadas en el ark. 36, tít. 5.°, que dice asi: »Antes de votar lasla misma observación sobre la palabra…</t>
  </si>
  <si>
    <t>…, V.......... 320.000,000 que se-fBm&amp;se una . medida severa para hacer venir á los Sres. Procuradores que Kgárt igualmente el valorde las rentas emitidas en virtud del ño se habían presentado. Asi se dejó conocer en U opinión del Sr. Medrano, decreto de Enero de 1830 para la conversión de las obligar que fijaba feinte días1 nada mas. No solo se debe atender i los intereses de los ' cionésdéla antigua deuda de Holanda en............ 184-756,000 Sres: Procuradores, sino á los de las provincias que representan. La comisión También li suma…</t>
  </si>
  <si>
    <t>…Estamento, obligándoles á venir inmediatamente -á cumplir con -Nación ,-al -Estamento interesa que no falte ninguno ó que falten los menos su encargo. posibles, y que sean reemplazados inmediatamente lps que renuncien, ó mqetr El Sr. Medrano contestó al Sr. preopinante que np se podía exigir de tu tren pocas ganas de venir,porque en esta parte yó siempre be sido y«oy de das los hombres que fuesen héroes, y que jen este concepto la comisión ha lOpinion que debe dejarse á -los interesados toda la latitud posible para admitir bía tratado…</t>
  </si>
  <si>
    <t>Medranó</t>
  </si>
  <si>
    <t>…dictámen se hubiera presentado de la misma manera que bía sido de dictámen contrario á lo aprobado por el Estamento, el proyecto, entonces no hubiera,habido la menor necesidad de separarse del Se leyó la siguiente proposición del Sr. Medranó: «Pido al Estamento se camino trazado por la ley , ni de darle esos ataques, y hacerle esas heridas, sirva declarar que renunciando á la discusión del proyecto de ley en su totali siempre peligrosas. El Gobierno no se opuso á que los prepuestos se dividie dad se pase á preguntar si ha lugar á proce…</t>
  </si>
  <si>
    <t>…nuevas formas dadaa ti pasarla de nuevo la petición á las comisiones en los términos en que se ha por loa peticionarios á sus artículos.” bía leído, hubo duda acerca de la votación ¡ por lo cual se contaron los vo Insistiendo el Sr. Medrano en que reclamaba la observancia del regla tos, resultando por $7 contra 52 que pasaría á las comisiones. mento , le preguntó el Sr. Presidente; qué artículos citaba. El Sr. Presidente: "No habiendo ningún otro asuntó pendiente para boy, El Sr. Medrano: "Los artículos que hablan de pasarse toda peti…</t>
  </si>
  <si>
    <t>…s. de esta tuviesen Leyóse una solicitud del Sr. conde de Atares y Albareal, en que hacia la bondad de examinarla , podr a hoy decidle c*;e asunto/" presente que habiéndosele acrecentado las dolencias que padece de djez años á El Sr. Medrano dijo que hab.cndo rrun.fe-tado )a la .orrivon que lo que esta parte, y prcceptuádole los facultativos que variase de clima, para lo cual necesitaba pira formar un juicio exacto era un documerro lecal, v no siendo había pedida y obtenido la competente Real licencia, acudía antea de usar de esta expo…</t>
  </si>
  <si>
    <t>…tar el de S. M. en las Cortes cxtrángeras, 'consejero real, individuo de los tribunales ejemplo referido.” supremos, director general en ningún ramo, ni procer , cualesquiera que sean sus El Sr. Patarra: «La razón expuesta por el Sr. Medrano no tiene fuerza: circunstancias, méritos y servicios, sin que á propuesta del Rey se le naturali el artículo este es muy sabio, nacional, conveniente y oportuno. Para un caso ce por una ley expresa para cada uno. de los extrangeros á quienes el ministe particular que pueda ocurrir, el Gobierno mism…</t>
  </si>
  <si>
    <t>…ución dei obstante , esta consideración está contrabalanceada por otra que debe atenderse mismo lo determine.” en cuanto lo permita nuestra situación actual; cual es que todos-los gastos de El Sr. Presidente ■ «La observación del Sr. Medrano ya me había ocur la casa Real pesan sobre esta asignación , y que ya acaso por este motivo las rido á mí; y yo no permitiría que se contrariase una resolución del Estamen Córtes señalaron á Femando vn 40 millones: 40 millones, señores, que sin to , si el Estamento mismo hubiera decretado la suspens…</t>
  </si>
  <si>
    <t>…, del canal obra provincial; de ahí saqué la consecuencia de qué sola aquélla provincia de por estar muy distantes. En su discurso se ciñó á impugnar á los oradores que bía contribuir.” -habían hablado crKconlra, empezando por el Sr. Medrano, y diciendo que no El Sr. marques deTorremrjía; «peyendo la petición de que tratamos, y sólo eran los pueblos de Aragón cercanos ai canal los que reportaban sus ven ateniéndome á lo que literalmente está articulado en 'eiía (la leyó), no he po- tajas, sino también los de Navarra y aun algunos'Be Ca…</t>
  </si>
  <si>
    <t>…tarios de su provincia: i quién presenta mayores ga pero sí se traslada el dominio de la renta; única dbsa que se ha pedido en el rantías? Estatuto Real. Ha añadido S. S. qu» tolo es una renta vitalicia ; y esto mis- «Ha dicho el Sr. Medrano que pudiera concedérsele término pan presentar</t>
  </si>
  <si>
    <t>…primir al suyo con auxilio de los .extrangeros. Y esc aspecto i impidió aca como se nos ha leido. so que el Gobierno no los mirase con igualdad: De ningún modo: el Gobier ’&gt;He oído al principio de la discusión de hoy una idea del Sr. Medrano no á todos los miró como franceses, y no hizo distinción de épocas. Se ha di que me pirecc no es conveniente. Pretende S. S. que ei artículo quede reduci cho aquí que no hay vencedores ni vencidos : idea excelente; ¡dea qué yo aplau do á una mera recomendación de los infelices empleados de que se t…</t>
  </si>
  <si>
    <t>…fijase mas explícita les, pues unos son individuos del ayuntamiento, otros de los mayores contri mente para evitar la confusión en las aplicaciones.” buyentes, y otros en fin de la misma Milicia ya establecida. Se ha dicho que El Sr. Medrano: «Yo no puedo menos de mirar el punto en cuestión esta junta no tiene responsabilidad , y que se le da una autoridad inmensa. Es como capital, pues en mi concepto entre decir que la Milicia sea voluntaria ó to no es-del todo exacto: no se la da ninguna autoridad, puesto que no hace no, y 6jar La ex…</t>
  </si>
  <si>
    <t>…rno: solo he tomado la palabra para relativas á sueldos, pensiones &amp;c., que remitía el Sr, Secretario del Despacho rectificar un hecho, ó por mejor decir, para consignarlo. del mismo ramo á consecuencia del pedido de aquella. «El Sr. Medrano ha dicho muy bien que á la comisión no la consta de Se dió cuenta de una solicitud del Sr. marques de la Vilueña, pidiendo oficio el llamamiento del Sr. Seoane. S. M. la Reina Gobernadora, al nom que se le devolviese una escritura que presentó á fin de probar su aptitud para brar al general Mina ge…</t>
  </si>
  <si>
    <t>…la facultad que hoy se concede por esta ley fuese dada á los ayuntamientos, lo que hoy se llaman secciones, no le parecía aplicable al ca&gt;o presente. nada tendría que decir; porque es sabido que esto» pueden nombrar comisione» El Sr. Medrano opinó que podría adoptarse en vez di írozos la voz de „ para evacuar la* cosas que son de sus atribuciones ; pero no se da solo á los secciones en el caso de que la fuerza no fuese bastante para firmar mitades ó ayuntamiento» , sino á estos, en unión con un número de mayores contribu cuartas de com…</t>
  </si>
  <si>
    <t>…li^bt^^detQdbi^P - wSs &gt;míc«4&gt;Jtc)%L|^; . pcrqitfgL _dM°“ habia dwáií^^Í(íímlft&gt;3QBÍI«itendet¿.iaií.p*tj®úy arregb^|gifiadió como presente a ellas no tengo gana de verlas segunda vez; pero, he Oído Ao-r que la objecionhechípor el Sr. Medrano era aun mas insignificante y mas aé— cir, generalmente hablando, que están bastaste bien Redactadas. Además como rea que la discusión que la había producido: que la comisión, en vista de que se publican por suplementos,y sin aumentar el cóstéde la suscripción de la Ga- los Diario» de Córtes habían…</t>
  </si>
  <si>
    <t>…les Ur I manda, si no se le reviste de ia suficiente fuerza moral, para hacerlo. Por eso banos, y no por eso han dejado de merecer toda la confianza de sus comi es por lo que-cl Gobierno insiste en sú primitiva idea.” tentes.” El Sr. Medrano: "Debo deshacer una equivocación del Sr. Torremejía, El Sr. marques de Torremejía'. "El artículo 9.° que discutimos tiene y es que ha supuesto una base que no existe, á saber: la de que los trozos ó indisputablemente enlace íntimo con el 12, como se ve en ambos proyectos; porciones^,de Milicia de l…</t>
  </si>
  <si>
    <t>…ma9 la buena elección de provincia. De consiguiente se debe acceder á darle el pronto posible. tiempo necesario para acreditar sus remas y su aptitud legal.” Igualmente lo quedó de otra del'Sr. D. Francisco del Rey, electo por El Sr. Medrano: »Cuando la ley previene el modo de hacer una cosa Zaragoza, en que manifiesta estarse restableciendo de una penosa enfermedad Do dvja arbitrio para que se pueda hacer de otro cualquiera. En ella se estable que le ha impedido presentarse hasta ahora á las sesiones del Estamento. cen los únicos medi…</t>
  </si>
  <si>
    <t>…n del Sr. Vadillo: tenemos un medio conciliador, cual es ampliarle Si Sr. Abarguct: «Esté es un caso verdaderamente extraordinario y que el término.*’ debe llamar la atención del Estamento. Cuando la benemérita provincia de Cá El Sr. Medrano: »La comisión ha considerado la cuestión bajo el punto diz nombró al Sr. Vadillo, no creyó que hubiese alguna ley expresa que pre que debía. El Sr. Vadillo dice que no puede verificar la traslación de sus ren- viniese habían de estar ios bienes de los Procuradores en España. El señor Tas^en^el térm…</t>
  </si>
  <si>
    <t>…del dictamen de la comisión, vera en él expresada su idea.” (Leyó dicho Se mandaron,'pasar ¿ la comisión de Poderes los del Sr. D. Manuel Al- artículo). varez García, electo procurador por la provincia de Valbdolid, con los do £1 Sr. Medrano: «Se habla del articulo 13 del Gobierno, no del de la cumentos justificativos de su^aptíiud legal. comisión.” Se mandó pasar á la comisión de Gobierno interior una exposición de El Sr. Chacón: «El Sr. Secretario de Estado ha dicha que el artículo 13 D. Lorenzo Oní&gt;, teniente retirado en e*ta corte,…</t>
  </si>
  <si>
    <t>…ntías que, exige ei Gobierno para asegurar el buen orden y U de ley y el de la comisión son iguales, excepto una ligera adición hecha por libertad.” esta, sobre la cual me ocurren algunas observaciones. La comisión dice que el El Sr. Medrano: «Me parece qne seria mas sencillo expresar que los co Gobierno dirá de ello cuenta á las Cortes, si se hallaren reunidas, y si no lo mandantes eligiesen los cabos á propuesta por terna del capitán. En cuanto á estuvieren lo verificará tan pronto como&gt;se reúnan. los despacho» Reales, me parece seri…</t>
  </si>
  <si>
    <t>…s vemos que no hay mas que un propie sobrino esas fincas á censo consignativo ó reservativo. Pero no dice, mas, sino tario , el señor territorial: el señor territorial es dvCño del dominio directo, que ha vendado sus bienes, y el Sr. Medrano ha sentado muy bien que tos ha y todos los vecinos en aquel la? hacienda no tienen mas que ei dominio útil- vend.do, y por consiguiente ya no son suyos: luego el Sr. Romero Alpuetito luego ninguno de estos puede ser Procurador, y en este caso entre nosotros . no está en ei caso que fija la ley. *^L…</t>
  </si>
  <si>
    <t>…que se baga la en que se trata de defender una cama que tiene contra sí la razón. Permítan» preguata que expresa el articulo 92 dél reglamento.” *&gt; el Estamento que me -explique asi , pues tro puedo dejar de hacerlo al ver loa El Sr. Medrano, auior de la indicación, dijo que su intención al hacerla esfuerzos que ha hecho el Sr. Be Ida para probar que el dictámen de la comisión había sido, visto el estado; tan delicado en que se bailaba la discusión, buscar es el que debe ponerse á votación, y no el proyecto de ley presentado por el un…</t>
  </si>
  <si>
    <t>…el ¡mas maduro exá- (Téngase presente qué el de la minoría no es dictámen-, es solo un voto, men vote en este asumo, que es de mucha consideración, el dictámen propuesto; particular.) y por lo mismo desapruebo la proposición del Sr. Medrano, que no baria m« . (El Sr. Secretario del Despacho de Hacienda leyó los artículos 55 y Só que llevarnos á un caos, y desairar la preciosa prerogativa que el Estamento-. del reglamento...) tiene en punto á la formación de las leyes.” «Vamos á ver qué nos dicen estos artículos (los leyó). En estos do…</t>
  </si>
  <si>
    <t>…rueben los proje^tcs de ley que py\cn a eóas. Nada de eso: esta en sus faÜi Sr. López: ” La proposición sobre que gira la presente discus'oo es la cull idc» haccrio; pe*o si por el medio que ahora se pretende quedaren los yro dei Sr. Medrano, relativa a que el Finiamente dccUre c-Ur»c tn ei Caso cei ar yrUos de i y arrinconados , por decirlo asi, y no recayese resolución sobre tículo 92 del reglamento (lo leyó). Nad.e duda hasta ahora qLe la ci-.cjsu-n so clics, sino sobre otros nuevo», sustituido» por una comisicn , ; que resultaría ?…</t>
  </si>
  <si>
    <t>…siciones peculiares parala discusión de los proyectos de ley, señala el pri Se declaró el asunto Suficientemente discutido, y se leyó la indicación mer paso ó tramite de ¡a volición en el artículo 92 (lo leyó). Y pregunto yo: del Sr. Medrano para votar sobre ella en estos términos. «Si se halla el Esta el dictámen de la comisión ¡es un proyecto de ley ó no? Es un dictámen so mento en el caso dé que se haga la pregunta que expresa el art. 92 del regla bre un proyecto de ley. ¡Y qué dice él artículo 95? (Lo leyó.) Dice que se mentó.” pro…</t>
  </si>
  <si>
    <t>…,«Aftb^el.punto, ^ftejentemaedí disíautdój; y «qrdado que. El lf&gt;v£á«ca*:«Apoyol&lt;LqueafC*hen de decir fenimSorep que me hsad, a* cpocedtóal Sy*. Lttfqyre ía licencia &lt;Jue pedia. • precedido; y en cuanto á lo que ha maoifestsdo el Sr. Medrano, no creo que Sl Éilamentp quedó entendo/de un óhcio del Sf..D, Saturnino Calde-, , Sea ob^ácuhrpwi *1 establecimiento dtí diarioenaiárion,” . roó. ehsctq Procurador potóla prqWncia ¿c Qrepse, eo¿ que manifiesta que so Preguntada que fue si estaba el puntp suficientemente dhcatidn , y aconta present…</t>
  </si>
  <si>
    <t>…dieran loa votos en la forma siguiente: Sres. Medrano 45 votos; Santafé 33; Aranda 35; Cano Manuel 33; Espi nando 2i ; Atocha 15; Redondo 24; Giraido 14. HSTA.ttK.NTn nr. ITsQCL'RADOR lli. Y como solo reuniese mavoría absoluta el Sr. Medrano, quedruelegido di Sesión del 25 de Julio. cho Sr., pasando el Estamento á nueva votación entre lo-» demás señores. En la nueva votación resulto lo siguiente; Sres. Santafé 3o v»aos; Aranda presidencia del seSor rosada. 38;Caio Manuel 26; Espinardo 11; Atocha 12: Redondo 2"'; Giraldo 4. Se abrió la…</t>
  </si>
  <si>
    <t>…Jgyxe^ne=cem-ella falta de voluptad ó de deseo ¿Mimen particular de sus individuos; y tieneque escuchar el de otras personas de servir ai-paísr- ’ ~ por dos razones: lá primera, porque en esta materia procede (por decirlo así) El Sr. Medrano contestó que la comisión usaba la misma palabra que el como un juez lego, y tiene que escuchar y aun someterse al dictamen de asesor, interesado. que con respecto al caso de que tratamos, son las juntas de sfnidad, designar Después de un tígero debate, en que tomaron parte los Sres. La Torre y Bu d…</t>
  </si>
  <si>
    <t>…juramento, como lo verificó el expresado se pa : la Cámara encontró que no era ju*to. Es muy duro que la Francia nos ven ñor , tomando asiento en seguida. ga haciendo acriminaciones otando ella nos ha dado el ejemplo hace poco El Sr. Medrano preguntó si se habia de hacer el nombramiento del in tiempo, no en un asunto de particulares, sino en un acto tan solemne como el dividuo que reemplazase al Sr. Latorre por suerte; aunque creía que no siendo tratado con los Estados-Unidos, cosa que nosotros no hemos hecho Ha dicho su ausencia mas q…</t>
  </si>
  <si>
    <t>…ue ataca á todas las provincias.pa pró y en contra, y eran: en pró, los Sres. Belda, Carrillo y Trueba; y en con ra producir sus funestos efectos. Sin embargo, cuando en el mes de Junio de tra ninguno, pero en el acto la pidió el Sr. Medrano. este año se desarrolló con tanta fuerza en Andalucía, el Gobierno creyó que El Sr. Belda: •&gt; Aun cuando el Gobierno ha satisfecho en gran parte los debía adoptar las medidas de precaución , no porque sus individuos estuviesen deseos que tenían los señores que han suscrito la petición, de que se die…</t>
  </si>
  <si>
    <t>…lugar debe hacer la declaración de si la cosecha de este año está sujeta vinca ale Lugo, manifestando las causas por qué aun no se han presentado á las á prestación; y si se declara que no lo está, debe-expresarse.” sesiones. El Sr. Medrano : » Ahora se trata de la discusión del proyecto en su to* Sé precedió a la discusión del proyecto de ley sobre el Voto de Santia talidad. El Sr. Lasanta ha hablado relativamente al art. 2.® Creo .que lo 1.a se go , según prevenía el órden del dia. rá aprobar la totalidad del proyecto; y luego será…</t>
  </si>
  <si>
    <t>…. Arg¿telles;y que si se le nocido, no ha podido hacer mas que .atacar una fuerza muy considerablemente admitió, fue por una decisión del Estamento.” superior con la cortísima que llevaba. Todo esto exige pronto remedio, urgen EI Sr. Medrano hizo presente que ne había entrado -en-cualidades- perso tísimo. Y no se diga, que nosotros economizamos ó regateamos los auxilios: nales , sino en lo principal de las circunstancias sobré que estribaba la cuestión. • aquise han pedido recursos, y se han dado , y bien amplios. , Habiendo pedido 'un…</t>
  </si>
  <si>
    <t>Medrano'</t>
  </si>
  <si>
    <t>…se le concediesen al interesado 4-0 días, co to á quien toca deliberar. La comisión no hace mas que manifestar su dictá mo se había hecho con otros. men con la franqueza que le es propia , y tiene que atenerse á los requisitos El Sr. Medrano'. «La comisión cree que no nos hallamos en este caso, que previenen los artículos del reglamento. E&gt;tos requisitos han faltado en el pues que todavía no se ha dicho que deben desaprobarse ios poderes del señor asunto en cuestión , y la comisicn no ha podido menos de hacerlo presente Romarate, sino que no…</t>
  </si>
  <si>
    <t>Medrano, Diego</t>
  </si>
  <si>
    <t>Diego Medrano</t>
  </si>
  <si>
    <t>…8.° á 3 rs. en pasta y uno en rústica. Se bailarán en esta corte en la librería de Girón. El parte remitido por el subdelegado del Fomento de Ciudad- ----- Ortopeya universal d Arte de proauncíar según los principios fisico Real D. Diego Medrano incluye los pormenores siguientes: elementales de que depende el modo de articular, habiár^ leer y escri bir bien en todos los lenguajes por sonidos simples y compuestos, de Se recomienda al gobierno el Utilísimo proyecto de la limpia mostrados con ejemplos visibles en las letras y sílabas de-palab…</t>
  </si>
  <si>
    <t>Medrano, El Sr</t>
  </si>
  <si>
    <t>El Sr Medrano</t>
  </si>
  <si>
    <t>…n que ha dado , y mas cuando hay una impedían desempeñar esté encargo, y pedia su exoneración: otra del licencia diferencia tan notable como de 4 años.” do D. Juan Ramírez, reclamando contra la eleccionque ha recaído en el El Sr. Caballero: «El Sr. Medrano acaba de indicar que tenia 25 años Dr. p. Prudencio Chavarría para Procurador de la provincia de la Habana, el Sr. Calderón cuando se recibió de abogado. No quisiera equivocarme , pero en virtud de las ilegalidades qtle manifestaba haberse cometido en ella; y otra si han partido de este principio J…</t>
  </si>
  <si>
    <t>Medrano-dijo</t>
  </si>
  <si>
    <t>…ro sa , llamando Incitadores que quieran hacerse cargo de ella sin gravamen de los bada. fondo» públicos ___ .... __ Sc-mandaron pasar á la comisión de Poderes los del_Sr* Dl Bedro Martí, Concluida la lectura de este dictamen, el Sr. Medrano-dijo que le parecía electo Procurador por la provincia de Tarragona, con los documentos justifi inútil , como proponía la comisión , llamar licitadores para esta empresa, por cativos de su aptitud legal. que en lo» términos en que e»taba concebido el dictamen, no seria fácil se pre A la misma se mandó p…</t>
  </si>
  <si>
    <t>Medraoo</t>
  </si>
  <si>
    <t>…infinito daño á la causa del trono y de la libertad, Leído el párrafo 14-° y último, fué aprobado sin discusión. en nombre de la libertad misma. Los Procuradores de la Nación saben ya por No se aprobó una adición que presentó el Sr. Medraoo , y manifestando experiencia que no es nuevo en el mundo que Los enemigos de toda mejora tra el Sr. Presidente que mañana debería leerse el proyecto tal como quedaba apro ten de asesinar á U libertad , vistiéndose con su librea. bado, y en seguida pasar al primer punto sometido por $. M. á las Cort…</t>
  </si>
  <si>
    <t>Medrario</t>
  </si>
  <si>
    <t>…solemne, la ley de las elecciones, que la renta que posee el Sr. Arguelles es legítima, y aun más allá del tiempo que requiere el Estatuto J\eal , por teda la vida. según mi dictamen debe ser admitido en el Estatúenlo.” «Dice el- Sr. Medrario que á lo mas podría llamarse usufructuario á este EISr. Medrana: «Muchas dé las razones expuestas por el Sf. preopt— ” / interesado. Pues bieri, aunque asi sea, ¡quién ha dicho á'ia comisión que no nante están ya contestadas de antemano: asi que solo contéstaré al cargo que basta ser usufructuario…</t>
  </si>
  <si>
    <t>Medrarlo</t>
  </si>
  <si>
    <t>…os pormenores, la misma discu el Sr. Presidente que se seguiría el órden de siempre, discutiéndose primero sión que se ha suscitado, prueba que no es fácil fijarlas desdé luego, pues debe la totalidad y después los artículos , el Sr. Medrarlo se reservó la palabra para preceder un detenido exámen. Como esta petición ha de pasar á S. M., y si la la discusión de estos. toma en consideración ha de dar origen á una ley, entonces el Gobierno en El Sr. Trucha - «Me levanto á apoyar esta petición, porque la creo no trará en los detalles de ell…</t>
  </si>
  <si>
    <t>Medratto</t>
  </si>
  <si>
    <t>…gía A los presentes se les permite deliberar y discutir sobre los poderes, y aun que tienen entre sí, y entonces se podrá resolver con mas acierto.” hablar á los interesados respecto de sus poderes , y solo se Ies impide votar en Sr. Medratto: «No hay tanta analogía entre ambos ca&gt;os como cree el asunto propio. Pero es claro que no se hdbla de los ausentes, pues estos no pue Sr. preopinante; y para convencerse de esto basta atender al extracto fiel, aun den hacer su defensa en las juntas preparatorias, á que no asisten. I^or lo tan que…</t>
  </si>
  <si>
    <t>Medraüo</t>
  </si>
  <si>
    <t>…a la Reiva Gobernadora para .traer materiales, Estamentos ^ la sanción Real. Esta razón vale en el caso que se considere el digámoslo asi, á efecto de formar el edificio de nuestra felicidad y de nuestra reglamento, según dice el Sr. Medraüo , como una ley ; si es uqp ley cualquie gloria, no pude menos de extrañar la idea de Jos señores peticionarios, por ra , que debe pasar á los 'dos Estamentos y después á la sanción Real. Pero aquí, que me pareció lo mismo que si un artista que fuese llamado para hacer una si no se adopta lo que los…</t>
  </si>
  <si>
    <t>MedrinbbTmanifestado</t>
  </si>
  <si>
    <t>…decios poderes del 'Sr. Queipo de «La provincia de Navarra y las Vascongadas están abrasadas por un fuego t Llano.” infernal que amenaza extenderse á mas térritoiio. Se les vé á los facciosos pasar Ti JV. conde de tai Navas: « El Sr. MedrinbbTmanifestado que-la-pe------ ' repisar el Ebro, atacar un convoy, y coger parte-de-él-á-pgsáFHeTfM esfuersesión de la renta del Sr. Arguelles no era tan ventajosa como la del señor de zos de un digno gele que.mandaba su escolta y de los de esta misma escolta. El que serrata. No diré si era.mas ó menos ventajosa…</t>
  </si>
  <si>
    <t>Medrtro</t>
  </si>
  <si>
    <t>…*» Está señdad.i para hoy la discusión acerca de la petición sobre el regla fondo» públicos, me parece que no estamos en el ca»o de de-echarla.*' mento de la Guardia nacional , cuya petición ha seguido los trámite-, que el re Ei Sr. Medrtro, pira deshacer un» equivocación. di;o que en su concento glamento previene Ante* de entrar en esta materia debo hacer presente que se el Diario de Cortes era cj.T-rameiite irútil , v ei dictamen de la corrrsr n, halla el mencionado reglamento conchudo ya; y que ha pasado al Co. scjo de opueMo a la…</t>
  </si>
  <si>
    <t>Meiboume</t>
  </si>
  <si>
    <t>…s los Soberanos de Europa no olvidarán cierta ñas que por sus buenas relaciones se hallan en estado de saber lo que pasaj mente que la Providencia, les ha confiado el gobierno de sus pueblos para que aseguran que S. M. recibió al lord Meiboume con la mayor afabilidad, ma nifestándole el aprecio que hace de las prendas que le adornan. ([Courier.)mantengan la paz y la concordia , verdad á la cual el Austria siempre se ha conservado fiel por su política cristiana ,-de la que nunca se apartará. El gran ____ El Post dice: «Los nombramientos d…</t>
  </si>
  <si>
    <t>Meíbourne</t>
  </si>
  <si>
    <t>…metró Los habitantes de todos los alrededores acudían á las ciudades y aldeas poli , y concluyo pidiendo que se brinde á la salud del lord corregidor.** por donde debía pasar el Emperador, y aunque su tránsito hubiese de ser por Lord Meíbourne, que también asistía, dijo: «Aprovecho con mucho la noche, las calles iluminadas estaban llenas de gente que se agolpaba como placer esta ocasión para expresar en mí nombre y en el de mis compañera l&lt;« esperando una fiesta; el deseo de ver á su Soberano era una felicidad para todos sentimientos de…</t>
  </si>
  <si>
    <t>Meibourne</t>
  </si>
  <si>
    <t>…'*«nrñndiao al pais. .. ... . fuerza y,{iacer respetable al gobierna cn H -cnttnioirpública,-ai para mantener Sexta.- Podría objetarse tal vea que no encargandomo yo del Gobierno la buena inteUgenciarentre los mismos ministros; y lord Meibourne, no diside la provincia se n&gt;e mirará, en razón d¡e 1» opiniompública que merezco en mülándosé, según -re dice, estas dificultades, confesó cándidamente á R .M, que tre los buenas federalis, Comp un estorbó ¿la marcha de cualquiera Gobierno no por i^to habría-jifianiniáídid'en el gabinete; y que pe…</t>
  </si>
  <si>
    <t>Meild</t>
  </si>
  <si>
    <t>…/ dias de navegación. Real orden resolviendo que ninguno pueda extraer las.aguas del rio Mundo, y y que ño procéden dé los lucres mencionados.. reservando á DcGinés Valcárccf el .uso en justicia de su áerecho. (Id-) El secretario general, Meild. =: El gele: del .primer repafúmlenjto, Angel Reales decretos determinando el destino que se ha de dar á los religiosos y las GUberto.=Kl presidente t. Arezzo. . * fabricas de los* conventos ó monasterios que se suprimieren con arreglo al - Real decrpto.de 26 de marzo último. 5L) — decretando el ext…</t>
  </si>
  <si>
    <t>…/ dias de navegación. Real órden resolviendo que ninguno pueda extraer las.aguas del rio Mundo, y y que ño procéden dé los lucres mencionados.. reservando á DcGinés Valcárccf el .uso en justicia de su áerecho. (Id-) El secretario general, Meild. =: El gefcdelprimer repafúmlenjto, Angel Reales decretos determinando el destino que se ha de dar á los religiosos y las GUberto.=Kl presidente t. Arezzo. . * fabricas de los* conventos ó monasterios que se suprimieren con arreglo al - Real decrpto.de 26 de marzo último. 5L) —- — decretando el extr…</t>
  </si>
  <si>
    <t>Mejant</t>
  </si>
  <si>
    <t>…contado: J3f, i* 52f y 554 4 varias fs. 6 vóí«: mos con nuestros sellos. Hecho en Munich á los 8 dias del mes de Noviembre 541 y 4} 4 varias fs. ó vol.* 4- prima de 4 P* 100. de 1834- CE- S.) Ildefonso Leopoldo Bayard.(L. S.) El conde Mejant-=Confor- Vales Reales 00 consolidados» 20f y 204 contado: 204 7 20* va^bi fc, voL y firaa* .Deuda negociable de 5 p. 100 á papel* 00. mc con su original. Secretaría de-Estadoá 28 de Noviembre de 18d4-—Ildefonso Id. sin Interes. 114 al contado: 11$, 4 7 II# 4 varias fs. 6 Vol.: llf* 4 55 d* £ ó vól.«…</t>
  </si>
  <si>
    <t>Mejbourne</t>
  </si>
  <si>
    <t>…lla eiudad. Hasta aquí el duque de Lúea era el único soberano Je __ _Sh- J. C. Hobhpuse, lord Duncannon y el ministro de la Guerra visita Italia que había dado1 el ejemplo de semejante tolerancia política, cbncerfierdo ron ayer i lord Mejbourne, (Courier.) en ius dominios un-asilo á los condes Branchetti y Silvain, miembros dsl go bierno revolucionario de Bolonia. __Igualmente se avistaron syer con el conde Grey los lores Holland, Melbourne, Palmerston y Althorp. (Id-) ____ El Diario di las Dos Si. ¡lias del 3 de Julio contiene un tratado…</t>
  </si>
  <si>
    <t>Mejía</t>
  </si>
  <si>
    <t>…ntará la audacia da íq» insurgentes y las dificultad» que encontraba ya la alcanzan al 29 de Agosto. Guadalajara y Durango se habían yajpmetido á Rusia para someterías. la autoridad de Santana, y había capitulado la. división del general Mejía, el cuál había sido exonerado de su empleo, y desterrado de aquella república ___Scgun el Sun, el proyecto de navegación por cL Eufrates se lleva o» Aseguran que en todo el pais se gozaba de tranquilidad, y que se iba á proce mucha actividad. Ya están preparados dos barcas de vapor de hierro que ra…</t>
  </si>
  <si>
    <t>…es, asi como las plazas, fortalezas y baterías de tierra, bablemente para ponerse al frente de los Estados que sostienen las reformas se opondrán á viva fuerza al desembarco de dichos artículos, como aprobadas por el Congreso. El general Mejía y otros gefes se habian separado destinados á mantener la guerra civil en estos reinos. de Santana, y se les creía ocupados en organizar tropas contra él. Art. 3“ Cualquiera buque que se hallare cargado de armas, per Finalmente , á la salida de dicha fragata Congreso iodo era confusión y trechos, mun…</t>
  </si>
  <si>
    <t>…residencia en la ciudad libre de Francfort, que declaren dan errantes por los montes, perseguidos y acosados por la milicia de Mcchoai las autoridades todo lo que hayan sabido, ó lleguen i saber sobre este can. Al mismo tiempo el general Mejía , después de haber derrotado á Canali acontecimiento y otros de la misma especie. Les ruega asimismo que contribu zo, ha puesto en dispersión su banda, y arrojádola fuera del territorio mejica yan i todo lo que puede precaver en lo futuro iguales atentados, tanto mas, no. Probablemente sabremos en…</t>
  </si>
  <si>
    <t>Mejía, Diego</t>
  </si>
  <si>
    <t>Diego Mejía</t>
  </si>
  <si>
    <t>…e Noviembre del año próxi do: una de conductor del correo general, y otra de la carrera de Andujar - i mo pasado (antes del establecimiento de los subdelegados de Fomento, abora Málaga, á los supernumerarios D. Manuel Rodríguez y D. Diego Mejía. gobernadores civiles), para que oyendo la queja de Castelserás, y haciendo prac ticar el oportuno reconocimiento del terreno, propusiese ló conveniente. Asi lo ha ejecutado el gobernador civil de Teruel; y en su vista se ha expedido S. M. la Reina Gobernadora se ha servido mandar en 6 del corriente…</t>
  </si>
  <si>
    <t>Mejía, Manuel Rodríguez y D Diego</t>
  </si>
  <si>
    <t>Manuel Rodríguez y D Diego Mejía</t>
  </si>
  <si>
    <t>…ente de Aragón en 23 de Noviembre del año próxi do: una de conductor del correo general, y otra de la carrera de Andujar - i mo pasado (antes del establecimiento de los subdelegados de Fomento, abora Málaga, á los supernumerarios D. Manuel Rodríguez y D. Diego Mejía. gobernadores civiles), para que oyendo la queja de Castelserás, y haciendo prac ticar el oportuno reconocimiento del terreno, propusiese ló conveniente. Asi lo ha ejecutado el gobernador civil de Teruel; y en su vista se ha expedido S. M. la Reina Gobernadora se ha servido mandar en 6 del corriente…</t>
  </si>
  <si>
    <t>Mélboarhb</t>
  </si>
  <si>
    <t>…ies; y descubrir uná • Ifo seóoth'ptende fácilmente este cambio de la política inglesa,sobre to- muy distinta, propia 'do las partes mas australes de la^América, -sino también áo'Cihpid'b i¿ piensa que ÓroceUéria del gábiriete de lord Mélboarhb; pero tál examinar con atención la «estancia que les ha validó el- nombre dé mefitis,, y .Yek'LdlGáes'ta de Aujfsíur£oMftárálz¿aniiódo'ldrcótitriri&lt;&gt;. (J)i)ít/ageró.) que. en-efecto’es bastante infectada y bástante Tuerte para quelathaya podido oler en.la mar i inai dedos leguas de la Costa, y queh…</t>
  </si>
  <si>
    <t>Melbouine</t>
  </si>
  <si>
    <t>…os, oraen lastre, gozarán en los puertcs de . nislros. Lord Duncannon tuvo la honra de- besar la mano de S. M. por su en Austria todos los privilegios que gozan los del país, y de igual ventaja dis trada en el nuevo ministerio, y lord Melbouine entregó los sellos de la secre frutarán los buques austríacos en los puertos de Dinamarca, á excepción ds los taría del Despacho que desempeñaba, los cuales fueron dados á lord Duncannon. de IsUndia, Groenlandia, colonias danesa* i islas de Faeroc. ( Altion.) ____ La Gaceta de Munich desmiente la n…</t>
  </si>
  <si>
    <t>Melboume</t>
  </si>
  <si>
    <t>…s infelices, barba y una corona. (--------------- y de los cuales murieron 40 en la travesía á Sierra-Leona. ____ Según noticias de Viena el 5 de Setiembre llegó á aquella capital Na- ------Se le* en el Politieal Weekly Register: Lord Melboume, presidente del mick-bajá , embajador de Turquía cerca de la corte de S. James, y el siguien Cornejo de Ministros, es un hombre de consumada prudencia, que habla poco, te día tuvo una entrevista con el barón de Ottenfels, encargado de la cnanci tiene firmeza, y cuyo talento está al nivel de todos l…</t>
  </si>
  <si>
    <t>Melbourae</t>
  </si>
  <si>
    <t>…osos, que según supe después componen el tercer batallón de Ala va al mando del cabecilla ViUareal. Inmediatamente desfilé prqm - Ldndres 9 de Setiembre. fias eminencias que caen sobre el pueblo de Aibeniz , en donde me situé ven Lord Melbourae ha ido á Windsor i visitar á S, M. (Courier.) tajosamente , reforzado con la compañía de granaderos de Africa, que V. S, habia destacado con toda precisión y oportunidad. El enemigo; sin embargo, Hemos recibido noticias alarmantes de la Jamaica por conducto de Nueva- prevalido de la superioridad de…</t>
  </si>
  <si>
    <t>Melbournc</t>
  </si>
  <si>
    <t>…talianos de ancho. Al rededor de aquel inmenso, agujero vieron 25 agu franceses contra Ambercs , estuviese también ahora en el cuartel general de jeros bastante profundos, de donde saltan continuamente llamas azuladas, pro Rodil. Lord Melbournc convino ea U verdad de este becbo. ducidas sin duda por la combustión del azufre que se encerraba dentro de aque llas cavidades. ___ El Standard publica una declaración suscrita por muchas personas, en la El antiguo cráter nada presenta de particular: las piedras que en él se ar cual-se comprometen…</t>
  </si>
  <si>
    <t>Melbourne</t>
  </si>
  <si>
    <t>…la república de que. formaba paite ]a*crudad de Bellubo, su patriá. ÉL GCbntteri eOS» i¡orn*tiie-deb¡a saber sino•íor'mmntTos: Éstrr institución deTa vütt de oro-asci«zdó^l.^lío 1049, en- ttérnpo de Lord Grey concluye apoyando al vizconde Melbourne para que no se San León ix. mésente 1a carta, ep cuestión-. Este gefede la Iglesia quiso poner bajo el dominio directo.de la santa Seda Después dé híbér hablado álgüitos Otros lores, lofcd WárnclifFé declara el célebre’ ritionÁtér-io de Sft. 'Cruz én -Alsácíá," rhohasterio furtdátfo’ por süs qne su…</t>
  </si>
  <si>
    <t>…s, de este numero 3 oficiales. La de dice: Conviene recordar que el Rey quiso formar un ministerio misto cuando los rebeldes no puedo calcularla, porque el terreno de la acción era muv ex lord Grey se separó de los nego-ios; pero lord Melbourne, encargado de esco tenso y cubierto , y porque se prolongo aquella durante la noche; pero pí&gt;r los ger los individuos del Gobierno, se opuso á toda combinación de esta especie, partes de los gefes v la relación de los paisanos, no puede bajar de muertos, y asi lo manifestó en una carta, de cuyo con…</t>
  </si>
  <si>
    <t>…lord Holland, ducado de lancaster. países de Europa, los cuales , sin obrar quizás ninguna variación en la forma lord Palmerston, ministro de Estado, de sus instituciones, serán llevados por una necesidad inevitable á recoger tam lord Melbourne, ministro de lo Interior. - bién el fruto de las reformas, cuyo ejemplo les habrá dado la Península. (Globe.) Honorable T. S. Hice, ministro de las Colonias, lord Auckland, primer lord del Almirantazgo. ------ Ciento treinta mil libras esterlinas han sido adjudicadas á la escuadra de Honorable C. G…</t>
  </si>
  <si>
    <t>…orp, canciller del -edhiquier, 59; lord-Bfougtíam plórí cáiiciHerv marques de Landowne, presidente del Consejo , 2S; conde de Ripon, guarda • Sr los, en «1 Diario de Flandes : El secretario del Rey acaba de enviar de sellos , 29; vizconde Melbourne , ministro del Interior, 59; vizconde Palmersparte de S. M. al burgomaestre de esta ciudad una suma de-500 .florines para ton, ministro de Negocioséxtrajigerós, 59Stanle^,'hdnistro de las cedistribuir premios á nuestras escuelas -comunales en testimonio del vivo ínteres lonias, 59; Mr. Grahxm, prih…</t>
  </si>
  <si>
    <t>…los Principes. S.M. vino el 16 i esta ciudad para asistir á un Consejo de ministros en ____Un profesor de la universidad de Paris viaja al presente por los departa que se resolvió prorogar el Parlamento. Después rceibió S. M. al vizconde Melbourne , vizconde Palmerston, mentos de Francia para informar al gobierno sobre el estado actual de la Mr. Rice, Mr. Grant» a! conde He Albemárle, á Mr. Scrjcant Arabin &gt; al ca educación en punto á lenguas vivas. pitán Ross y á otros varios. (Courier.) vi célebre barón Dupuytren ha vuelto á caer enfermo y…</t>
  </si>
  <si>
    <t>…Mounier vuelven á la co de presentar su petición al ministro del Interior: sabemos al contrario, que una misión los dos párrafos últimos. Se adoptan otras varias modificaciones. Un párdiputación de cinco miembros la llevó ayer á lord Melbourne, quien la reci rafo adicional que propone la comisión, vuelve á esta para que lo redacte nue bió f y dijo que la pondría en manos de S. M. (Jan.) vamente. Mañana continuará la discusión de los artículos. Ayer anunciamos la esperanza que teníamos de que los gobiernos de Doña María, de la Reina Isabe…</t>
  </si>
  <si>
    <t>…necesarias toemos exigidos en una muchedumbre de caso» sin necesidad alguna, han ¿nciudq con el objeto de establecer un sistema uniforme en todo el reino. áí perjurio, y habituado los hombres á cometer todo género de maldades. Lo Lord Melbourne dijo que convenía en casi todas las observaciones del no mismo diremos de Im leyes demasiado crueles que imponían.con harta frecuen ble lord Wharncliffe acerca de una cuestión en que se interesaba el bienestar cia la pota de muerte: d pueblo »e acostumbró á estás escenas de sangre, miró de 1a socie…</t>
  </si>
  <si>
    <t>…administraciones Para Madrid......... ...... I su 6o. Para el Keu;o............. 320 160 6o. d* Como». Para Canarias...... ...... 38o jyo 95. Para ludias.................. 4oo soo 100. DE MADRID. ARTICULO DE OFICIO. mer ministro (lord Melbourne) el empeño reciente que ha contraído ante la Cámara de defender la unión éntre la^lglem y e! Estado. S. 5. añade que o© ve cómo el gefe del gabjjKte puede conciliar d empeño referido coa U pre** La Reina nuestra Señora Don» Isabel fi eorrtimía sin noy edad tentación del b 11 actual.ffn su joipertam…</t>
  </si>
  <si>
    <t>…o hallándose establecidos los que no se repitiesen las escenas de las sociedades de la unión , como incompati trámites que deben seguirse en la concesión de semejantes gracias, bles con el mantenimiento de la paz y orden público. Lord Melbourne, ministro del Interior, contestó que en efecto semejantes se ha servido S. M. acordar las reglas siguientes: sucesos nunca podían ser bastantemente reprobados, pero que el no cnnoi.ii 1S La concesión de nuevas ferias y mercados, ó el restableci ningún medio de reprimirlos, mientras sus autores no p…</t>
  </si>
  <si>
    <t>…destinaban á los facciosos de Navarra. T o Gaceta de Maríheim del TI de Agosto dice que un aleman, nacido y Se ha dado mandamiento de prisión contra Mr. Detcoyat, que no ha po domiciliado en el gran ducado de Badén, ha ofrecido á lord Melbourne, pr¡- dido verificarse por haberse puesto en camino para París con anticipación; pe —mer ministro de la Gran—Bretaña, en cambio de una recompensa prnpr.rrjo- ro el sub-prefecto ha dado aviso por lclégrafo á su gobierno. Atribúyeic la nada á sus servicios, el modelo de una máquina para preservar dg…</t>
  </si>
  <si>
    <t>…ra, y 30 mensual «mientras dure la pectivos'destinos. S. M. la ha aceptado, y en su consecuencia ha llamado al ep demia.......................................................................................................... 160 lord Melbourne, que parece destinado á formar el nuevo ministerio.” =Es co Un Miliciano urbano, dos colchona, dos fundas, una manta y un pia ir El administrador de lineas telegráficas, Alfonso Fov.” tablado usado, y ademas............................................................................... 30 Este part…</t>
  </si>
  <si>
    <t>…violentos debates, bert Taylor. (Couriér.) pero sin perder la calma y dignidad de su carácter, hombres eminentes en Jetras y en la táctica parlamentaria. Alli también había los tribunales de la can mañana ha vuelto á esta capital lord Melbourne. (.Idi) cillería, del banco del Rey y del common J’lras, donde bajo el solio de la justicia dictaban sus fallos los magistrados, rodeados del respeto de les ciuda ____ Todos los ministros que actualmente se hallan en esta capital están cita danos, de jurisconsultos hábiles, y en presencia de lord Br…</t>
  </si>
  <si>
    <t>…er la discusión ___ JLándres 1 $ de Julio. hasta otra sesión cjue al efecto se señale; á tío ser que reclamen en Fondos públicos. Tres por 100 consolidados 92 f. contra seis Procuradores á^krmenesven euje^easu se someterá á la El vizconde Melbourne, gefe del ministerio, manifestó ayer en la Cámara decisión del Estamento si lia de aplazarse o no la discusión. de los Lores el estado en que se hallaban las negociaciones para el nuevo arre Art. 112. Ademas de los Secretarios del Despacho podrán asis glo del ministerio. La Cámara se separó hasta e…</t>
  </si>
  <si>
    <t>…rrier, mariscal Muison, Montalivet, Merilhou, d’Argout, mariscal Soult, Barthe, Girod de l'Ain, Humann, Thiers, Persil, Duchatel, Roussin, Jacob, duque de Bassano, Bresson, general Bcr~ — Casi todos los ministros visitaron ayer á lord Melbourne, el cual fue nard, Passy, Teste, Carlos Dupin. Total 32. después á Brighton para tener una audiencia de S. M. (Caurier.) ____ En la apertura de la Real audiencia de esta capital, después de las vaca __ Los embajadores de Holanda, de Bruselas, de Turquía, de Grecia, y los ciones, el fiscal Mr. Marti…</t>
  </si>
  <si>
    <t>…efo se dirija con igual ínteres, ya sobre los objetos tan variados de su es blo de Inglaterra. Aquí no se trata si el duque, de Wellington es mas sabio que tudio especial, ya sobre un asunto de indagacione no menos útil, pero mas lord Melbourne, 6 si lord Lindhurot tiene mas constancia de principios que árido, esto es la configuración exacta y detallada de los paisa que visita. Es lord Brougham, ni tampoco si da reforma do la iglesia proyectada por lord Du- mas raro que el viagero extienda asi voluntariameníe*el círculo de sus traba canno…</t>
  </si>
  <si>
    <t>…. Vemos za en mantener ilesas sin derogar á la dignidad nacional. pues que el clero de Irlanda queda sacrificado y sin recursos. Según cartas de Después de una revolución que estableció entre nosotros el actual órden Irlanda, que lord Melbourne ha leido en la Cámara, se mira en adelante como 'político, era imposible que so apareciesen esas conmociones parciales que han imposible la recolección de los diezmos, aun en Ja parte protestante y acomo agitado á veces diferentes puntos dél imperio, y á las cuales procura dar nuevo dada del país.…</t>
  </si>
  <si>
    <t>…o. ta corte á la una y medía, viníendo^de Brighton. El duque de \Vellington y lord Lindhurst tuvieron una audiencia de S.'M. También la tuvieron los siguientes ministros que han 'alido del gabinete: Lord Brougham, lord canciller; vizconde Melbourne, primer lord de la teso rería; el marques de Lansdown, lord presidente del Consejo; el conde de MrlPARTE NO OFICIAL. graver lord del sello privado; vizconde Ducannon ; vizconde Palmerston; Mr. Spring-Rice, secretarios del Despacho del Interior, de Estado y de las Cóio-^ nial.; lord Auckland, primer…</t>
  </si>
  <si>
    <t>…ómo se puede, después de esto, decir que el catolicismo está íntima ñoría de Brighton, se oyó al Rey (y esto lo damos como seguro) decir á los mente ligado al espíritu de desórden y de rebelión! ¿Qué dirá el Standard de obispos: »Lord Melbourne es uno de los hombres mas de bien que he vis la católica Austria, donde reina una tranquilidad completa y una unión tan to en mí vida; uno de los mas rectos, y uno de los mas acreedores á que le íntima entre el pueblo y el Soberano! ¿Qué dirá de la Baviera, donde nunca quieran bien.” Lo que ha movi…</t>
  </si>
  <si>
    <t>Melchiorti</t>
  </si>
  <si>
    <t>…, á él pertenecía hablaros de lo -El periódico' AoCr'nrV del Giorüo publica un resúmen de lo que se con que el gobierno de Francia ha hecho por vosotros, de lo que se propone en lo sume en Roma, sacado de una obra que escribió el caballero Melchiorti sobre futuro, y de lo que espera de vuestros esfuerzos. Sin duda no hubiera olvidado los datos de 1832. deciros qué tanto mas se puede contar con el buen éxito de vuestros tVabajos, El agua que sirve para el uso cuotidiano de los habitantes de Roma, en cuanto al frente de vuestra educación está el…</t>
  </si>
  <si>
    <t>Melchor</t>
  </si>
  <si>
    <t>…os repasará de seis. 4* Eos qué á sabienda* j1 [ópn*. • ro Azcué, capellán salmista de la colegial de Valpuesta; D. Fraocis- taren láfcásaén qué vivan, a otro edífiéío qué tuv , Cándido Marín, capellán de Fresneda de la Sierra; y D. Melchor sicion, bien sea como propietario,"bien como.itqttiHM-, WcfyepMao' de Teran, acólito beneficiado de Porquera de los Infantes. Y es mi - administraJcÑés, 6 por cualquier otro título, parvqac esFeBafrcéle-: Noluntad que esta providencia gubernativa se publique en las igle bré sus juntas ó reuniones a…</t>
  </si>
  <si>
    <t>Melci, José Palafox y</t>
  </si>
  <si>
    <t>José Palafox y Melci</t>
  </si>
  <si>
    <t>…lsillo particular de S. M. (Id.) bufa ll furioso, fasta abierta la suscripción a 36 rs. por cada trimestre en los almacenes de música carrera de S- Gerónimo, runn. 23 , Hermoso y Míntegui ¡ en los que se hallan _____concediendo á D. José Palafox y Melci la grandeza personal con el títu de venta las piezas sueltas de dicho periódico, y el de ¡a Lira de Apolo-, (año 5.°) lo de Duque ale ^Zaragoza. (Lí.) . —■—Los Sres. suteriptores á las obras de Morana acudirán i recogerel primer tomo k Reajes decretos mandando guardar y observar los dos reglamentos qu…</t>
  </si>
  <si>
    <t>…sillo particular de S. M. (Id.) bufa ll furioso, fasta abierta la suscripción a 36 rs. por cada trimestre en los almacenes de música carrera de S- Gerónimo, runn. 23 , Hermoso y Míntegui ¡ en los que se hallan _____ concediendo á D. José Palafox y Melci la grandeza personal con el títu de venta las piezas sueltas de dicho periódico, y el de ¡a Lira de Apolo-, (año 5.°) lo de Duque ale ^Zaragoza. (Lí.) . —■—Los Sres. suteriptores á las obras de Morana acudirán i recogerel primer tomo k Reajes decretos mandando guardar y observar los dos reglamentos qu…</t>
  </si>
  <si>
    <t>Melcior, Carlos</t>
  </si>
  <si>
    <t>Carlos Melcior</t>
  </si>
  <si>
    <t>…a tiene ei sentimiento de de las disposiciones que yo habia adoptado ¿ fue batido y dispersado en la iz no haber podido llegar a tomar parle mas activa en la acción, a pe*ar de m.s quierda del Llobregat por la columna del coronel'D. Carlos Melcior, conti esfuerzos dignos de todo elogio; sin embargo hizo un prisionero , que sera nuó perseguido por las tropas y Milicias urbanas; y no hallando seguridad en fusilado. aquel país, se guareció en una de las ermitas inhabilitadas de la montaña de «Tan pronto como sepa la dirección qu£ ha tomado Carn…</t>
  </si>
  <si>
    <t>Melcior, D Carlos</t>
  </si>
  <si>
    <t>D Carlos Melcior</t>
  </si>
  <si>
    <t>…d pública tiene ei sentimiento de de las disposiciones que yo habia adoptado ¿ fue batido y dispersado en la iz no haber podido llegar a tomar parle mas activa en la acción, a pe*ar de m.s quierda del Llobregat por la columna del coronel'D. Carlos Melcior, conti esfuerzos dignos de todo elogio; sin embargo hizo un prisionero , que sera nuó perseguido por las tropas y Milicias urbanas; y no hallando seguridad en fusilado. aquel país, se guareció en una de las ermitas inhabilitadas de la montaña de «Tan pronto como sepa la dirección qu£ ha tomado Carn…</t>
  </si>
  <si>
    <t>Melendez, Cayetano</t>
  </si>
  <si>
    <t>Cayetano Melendez</t>
  </si>
  <si>
    <t>…, y esto contribuirá i consoli PROVINCIA BB SSCOV1A. dar el órden público. La expedición contra, los mamolas había sido precedida Sí. D. Miguel Cosío. por una especie de comisión del gobierno, compuesta de M. de Fedcr y de un Sr. D. Cayetano Melendez. destacamento militar, con encargo dé intimar á los gefes de los cuerpos dq ' aquellas montañas que se sometan, depongan sus armas y destruyan sus fuertes, PROVINCIA ti SORIA, anunciándoles que en caso de no obedecer se recurrirá a la fuerza. La salud da Sr. D. Ramón Carrillo . marques de la Vilitef…</t>
  </si>
  <si>
    <t>Melendez, Cristóbal</t>
  </si>
  <si>
    <t>Cristóbal Melendez</t>
  </si>
  <si>
    <t>…ncio, comparez ' do, según la edad del enfermo ó la urgencia dé-ios síntomas, y se administrará can eri forma, al juzgado del Sr. Balsera y escribanía de. Carbonel, á exponer lo qóe les convenga eq la reclamación que ha entablado D. Cristóbal Melendez, apercibido* del mismo módo. Al empezar la reacción sé Omitirá el bicarbonato de amo quede n ó nacerlo les parará perjuicio. t * niaco; pero'no él de potasa ó sosa si se cree conveniente seguir administrando el 1 -Por providencia del Sr. Nurzagaray. refrendada del escribano Seco, *e saca á su— ácid…</t>
  </si>
  <si>
    <t>Melendez, D Cayetano</t>
  </si>
  <si>
    <t>D Cayetano Melendez</t>
  </si>
  <si>
    <t>…ados, y esto contribuirá i consoli PROVINCIA BB SSCOV1A. dar el órden público. La expedición contra, los mamolas había sido precedida Sí. D. Miguel Cosío. por una especie de comisión del gobierno, compuesta de M. de Fedcr y de un Sr. D. Cayetano Melendez. destacamento militar, con encargo dé intimar á los gefes de los cuerpos dq ' aquellas montañas que se sometan, depongan sus armas y destruyan sus fuertes, PROVINCIA ti SORIA, anunciándoles que en caso de no obedecer se recurrirá a la fuerza. La salud da Sr. D. Ramón Carrillo . marques de la Vilitef…</t>
  </si>
  <si>
    <t>Melera, D Juan</t>
  </si>
  <si>
    <t>D Juan Melera</t>
  </si>
  <si>
    <t>…i ■ -Se cita á los que se crean con derecho como here leras á los bienes que han quedado mulante*, lo cual es generalmente necesario en el estado de colapso, se añadi por fallecimiento de Doña María Andrea Coca, viuda que foé del Sr. D. Juan Melera— rán á la pocion dicha algunos granos dél bicarbonato de amoniaco de dos á c»n— dez Valdes^ para' que en el termino de 20 dia* contado» desde este anuncio, comparez ' do, según la edad del enfermo ó la urgencia dé-ios síntomas, y se administrará can eri forma, al juzgado del Sr. Balsera y escribaní…</t>
  </si>
  <si>
    <t>Melera, Juan</t>
  </si>
  <si>
    <t>Juan Melera</t>
  </si>
  <si>
    <t>…-Se cita á los que se crean con derecho como here leras á los bienes que han quedado mulante*, lo cual es generalmente necesario en el estado de colapso, se añadi por fallecimiento de Doña María Andrea Coca, viuda que foé del Sr. D. Juan Melera— rán á la pocion dicha algunos granos dél bicarbonato de amoniaco de dos á c»n— dez Valdes^ para' que en el termino de 20 dia* contado» desde este anuncio, comparez ' do, según la edad del enfermo ó la urgencia dé-ios síntomas, y se administrará can eri forma, al juzgado del Sr. Balsera y escribaní…</t>
  </si>
  <si>
    <t>Meley</t>
  </si>
  <si>
    <t>…l 35 de la es del mundo entero, y modelo de las virtudes cívicas. De consiguiente excuso ley electoral, menos respetable para mí que el Estatuto Real,¡pues es una extenderme mas sobre este punto, y solo me limitaré i responder al Sr. Meley de circunstancias, al paso que el otro tiene un carácter mas permanente; si drano, asegurando que es desgracia tener que estar siempre en contradicción yo viese, repito, una cláusula del Estatuto Real que expresamente dijera que con S. S. en estas materias. Ya en otra discusión análoga á esta dije que…</t>
  </si>
  <si>
    <t>Melgar, Atanasio</t>
  </si>
  <si>
    <t>Atanasio Melgar</t>
  </si>
  <si>
    <t>…O. dé'Francia expresando los perjuicios que se seguían al comercio de Bayona, de PROVINCIA DE VALENCIA. Burdeos y de París, por las 24 horas en verano y 18 á 24 tn inyierno qué sé detenia el correo en Vitoria. Él director general D. Atanasio Melgar inforrftó En oficio de 20 del presente dice su gobernador civil que en los dias 17, que esta demora y la que hacia la correspondencia en Búrgos eran producidas 18, 19 y 20 del mismo mes fueron invadidas en aquella capital 80 personas, por el arreglo de las comunicaciones trasversales, presentando i…</t>
  </si>
  <si>
    <t>Melgar, D Atanasio</t>
  </si>
  <si>
    <t>D Atanasio Melgar</t>
  </si>
  <si>
    <t>…DEL REINO. dé'Francia expresando los perjuicios que se seguían al comercio de Bayona, de PROVINCIA DE VALENCIA. Burdeos y de París, por las 24 horas en verano y 18 á 24 tn inyierno qué sé detenia el correo en Vitoria. Él director general D. Atanasio Melgar inforrftó En oficio de 20 del presente dice su gobernador civil que en los dias 17, que esta demora y la que hacia la correspondencia en Búrgos eran producidas 18, 19 y 20 del mismo mes fueron invadidas en aquella capital 80 personas, por el arreglo de las comunicaciones trasversales, presentando i…</t>
  </si>
  <si>
    <t>Melgarejo, Francisco</t>
  </si>
  <si>
    <t>Francisco Melgarejo</t>
  </si>
  <si>
    <t>…iente en la junta general que ha de ce lebrarse aquel dia. una medalla de segunda clase á los niños I), llenrique Villalobos, D. Manuel ------ Por providencia del señor ./.c- de q- curte D. Aotonlo Josef GaVlodu, refrendada Díaz, D. Francisco Melgarejo, ID. Antonio Vázquez y D. Juan López Figue- del escribano de provincia P. j ‘ Urrun.j, se clfa á las personas que se creafi cou roa, por sus adelantos en la gramática, ortografía y aritmética. A otros varios derecho á los bienes quedadas pur fallecimiento intestado de D. Josef Inclan , veci se dist…</t>
  </si>
  <si>
    <t>Mellxmrne-ha</t>
  </si>
  <si>
    <t>…generalmente en el norte dé Según noticias auténticas recibidas de Parts, y que alcanzan hasta 16 del Alemania, se reciben los papeles franceses por conducto de Inglaterra* Esto se _ corriente, se aseguraba en aquella capital que lord'Mellxmrne-ha—reempladebe á la ~comimrcacicrir-de-4es- buques de vapor- (CourUr^ — —' zado á lord Grey en el destino de primer Lord de la tesorería, y que el mi nisterio ingles permanecía compuesto de los mismos individuos que antes, que T.a Gaceta de Quebec publica un estado comparativo de los hombres, bu dando…</t>
  </si>
  <si>
    <t>Melnoume</t>
  </si>
  <si>
    <t>…particularmente que se dé cuenta de una carra reservada, que forma parte de de esta flota, compuestas según dicen de i$00 hombres, desembarcan todos los papeles de esta larga correspondencia. los dias para hacer el ejercicio. El vizconde Melnoume dijo: »Me opongo i que se presente le carta de Los egipcios excitan el descontento de la Puerta í Causa de las violencias que se trata por los mismos motivas por los coala se pide su manifestación. que cometen contrg los habitantes de tas provincias asiáticas. Se ha intimado i Estt carta es privada…</t>
  </si>
  <si>
    <t>Meló, Lucas</t>
  </si>
  <si>
    <t>Lucas Meló</t>
  </si>
  <si>
    <t>…imera. Censurar los periólicns dentro del dia en que se los de Oi'énsé;-X). Qregorio Gisbert, abad de Arbas; D. Alfonso San- presenten los editores, y'con la brevedad posible los demás escritos cliéz Ahumada, canónigo de' Oviedo; D. Lucas Meló; el P. M. Era y que les remitan los gobernadores civiles. José de la Canal, de! orden de S. Agustín, y D. Fr. Roque de Ol- Segunda. Dar parte al gobernador civil respectivo en el dia mis cinellas, paborde del monasterio de‘Rit&gt;nll, se ha servido S. SI. mo de la publicación de los periód mis sujetos…</t>
  </si>
  <si>
    <t>MeltSCtAfSMAr</t>
  </si>
  <si>
    <t>…o á Ice disidentes, la de tai corporaciones &amp;c. (Courier.) sus- tMpaS, cansadas por mil bómbate» parciales á todas las horas del día y dtf la -noche.; (D. de Parir} .... . Los reformadores de Derby han presentado ana exposicioa á lord MeltSCtAfSMAr - troume, trijtnrf&amp;lando su sentimiento por la caída del ministerio, á cuyo frente te hallaba S. S,, y la esperanza que tienen de que la causa nacional triunfará Ldndret 13 de Diciembre. de todos lo* obstáculos í}Ue se le opodgaü El noble lord contestó z que k* embarazos del ministerio habían nacid…</t>
  </si>
  <si>
    <t>Membíola, Antonio</t>
  </si>
  <si>
    <t>Antonio Membíola</t>
  </si>
  <si>
    <t>…unca varían, sea cuaí fuere el sistema de su gobierno. parroquial de S. Pedro de Pasagcs; D. José Ma/ía Vigas y IX Jóse Jiurralde, JLa ño intervención, declarada solemnemente como primer principio de beneficiados de S. Sebastian; D. Antonio Membíola, canónigo de la metro la política europé^, asegura la Ciabal independencia de toda nación que quiera politana iglesia de Tarragona; D. Mateo Ochoa de Antesana y D. Pedio de conservarla^ Ofendería la justicia, y ultrajaría la dignidad del gabinete britá Garramiola, presbíteros beneficiados de Ondarr…</t>
  </si>
  <si>
    <t>Mena, D Vrnturade</t>
  </si>
  <si>
    <t>D Vrnturade Mena</t>
  </si>
  <si>
    <t>…ía solo constaba de 8óU0 hombres. Sr. D- Antonio González. El día inmediato propuso Bourmont i D. Miguel el siguiente plan r le dijo Sr. D. José Claros. que supuesto que la contienda de Portugal era parte de la. lucha general que Sr. D. Vrnturade Mena. había en Europa sobre principios encontrados , juzgaba que la guerra en que se Sr. D. José Villanueva. jial aba empeñado debía mirarse mas bajo de un punto de vista político que Sr. D. Mateos Marín. militar; / por tanto le recomendaba que el ejército tomase una posición defeniva de-de Santarem i Ov…</t>
  </si>
  <si>
    <t>Mena, Nicolás</t>
  </si>
  <si>
    <t>Nicolás Mena</t>
  </si>
  <si>
    <t>…mea se comunicó el contagio por providen- Manuel Magniller. Fueron examinados de aritmética D- Andrés de Castro, cras de aquella ciudad que oportunamente se ha destruido ¿ b neficio de medidas D. Amonio Araujo , D. Juan de Cosío, D. Nicolás Mena, D. Pedro Tajonetamurias, aislando el mal en su origen, de que V- t. tiene cumplido conoci ra, D. Eduardo Valle, D. José María A bel la, D. Anacido Martí, D. Ma miento. En dos pueblos ma* de la provincia se han presentada uno ó dos casos nuel Fuertes , D. Joaquín Acevedo , D. Manuel de Lucas, D. An…</t>
  </si>
  <si>
    <t>Mena, Vrnturade</t>
  </si>
  <si>
    <t>Vrnturade Mena</t>
  </si>
  <si>
    <t>…olo constaba de 8óU0 hombres. Sr. D- Antonio González. El día inmediato propuso Bourmont i D. Miguel el siguiente plan r le dijo Sr. D. José Claros. que supuesto que la contienda de Portugal era parte de la. lucha general que Sr. D. Vrnturade Mena. había en Europa sobre principios encontrados , juzgaba que la guerra en que se Sr. D. José Villanueva. jial aba empeñado debía mirarse mas bajo de un punto de vista político que Sr. D. Mateos Marín. militar; / por tanto le recomendaba que el ejército tomase una posición defeniva de-de Santarem i Ov…</t>
  </si>
  <si>
    <t>Menacho, D Pascual</t>
  </si>
  <si>
    <t>D Pascual Menacho</t>
  </si>
  <si>
    <t>…ía, que los sagrados testos mandan respetar y obedecer. Por de reserva de los batallones de Extremadura , Almansa v resto de carabineros» que aunque-'algunos hombres olvidados de sús deberes, y mas censurables por ¿ la del primer comandante D. Pascual Menacho, emprendió desde lue^o el razón de su estado, hayan desconocido á;Ia vez su profesión de mansedumbre, movimiento en oposición de las fuerzas situadas, como se ha dicho, en Asarta;’ y la misión que les legó el divino Legislador, con todo, dice, la mayor parte dando orden al comandante de. la primera…</t>
  </si>
  <si>
    <t>Menacho, Pascual</t>
  </si>
  <si>
    <t>Pascual Menacho</t>
  </si>
  <si>
    <t>…sagrados testos mandan respetar y obedecer. Por de reserva de los batallones de Extremadura , Almansa v resto de carabineros» que aunque-'algunos hombres olvidados de sús deberes, y mas censurables por ¿ la del primer comandante D. Pascual Menacho, emprendió desde lue^o el razón de su estado, hayan desconocido á;Ia vez su profesión de mansedumbre, movimiento en oposición de las fuerzas situadas, como se ha dicho, en Asarta;’ y la misión que les legó el divino Legislador, con todo, dice, la mayor parte dando orden al comandante de. la primera…</t>
  </si>
  <si>
    <t>…. Enfermos. , Curados. Fallecidos. Guas, Justo Garrido y Diego Martí. Aseó................ . 19 á 25 Set. v . 48 18 5 1 Del regimiento de Extremadura, 15 de línea, el primer comandante Ferelló.............. . 20 á 27 id.... 10 '4 D. Pascual Menacho; el 2.° D. José Boadella; el teniente coronel graduado, Reus.................. . 25 4 28 id.... 72 30 10 eapitan D. José María Villaronte; los capitanes graduados, tenientesD. Alon Tortosa.............. . 24 4J27 id.... 21 10 2 so del Marmol y D. Francisco Saurco; el subteniente graduado, sargento…</t>
  </si>
  <si>
    <t>Mencherp, José</t>
  </si>
  <si>
    <t>José Mencherp</t>
  </si>
  <si>
    <t>…e. - Blanco.,1... ...................................................--J21 d ' y 28‘ CASTILLA LA NUEVA. América meridional, excepto el Brasil... . . .11"., Idem. Boston..;;....:............. !. i..... { ........ Idem. * El Molar. D. José Mencherp, en Madrid: desde 15 de Junio i 15 de Setiembre. Los puertos sujetos al actual, gobierno griego..... ^jJJeMiaal Paicrm0 # Hervideros. D. José .Torres, en el Tomelloso: desde 10 de Junio á 15 de El resto dé la España septentrional................ 30, días, y 40* Setiembre. El resto de la Noruega....…</t>
  </si>
  <si>
    <t>Mencía</t>
  </si>
  <si>
    <t>…reforma dé los abastos de carnes y demas artículos que deter 26 32 6 1 mina el Real decreto de 20 de Enero último. 22 180 15 8 Ha conseguido alejar de aquella provincia á los ladrones que solían infestar 23 178 10 9 sus confines: Doña Mencía... -i 24 170 8 9 Ha dispuesto que la junta inspectora de la misma le proponga lo conve 25 167 8 8 niente para establecer en las esencias el método de Vallejo. Elogia el zelo é ilustración de la sociedad económica de aquella capital, 21 22 0 j 1 asegurando que ha contribuido eficazmente para que los pu…</t>
  </si>
  <si>
    <t>Mencia</t>
  </si>
  <si>
    <t>…á 29 Idem. 18# S6 H llecido mas que 102 personas, en cuyo número se contaban 26 párvulos. Castro del Rio. Idem Jdem Idem. 86# *4 58 PROVINCIA DE SBV1IXA. El gobernador civilde ella avisa en oficio de 20 del actual que según parta Doña Mencia... 26 i 28 Idem. 587 17 26 de la junta municipal de Sanidad, existían en aquella ciudad 24 enfermos sos pechosos , habiendo fallecido 4 el dia anterior con ios mismos síntomas. Encinas Reales.. 23 4 28 Idem. 000 06 H Luqua................. 20 t 28 Idem. 110 4* 13 Para colocar parte de la guarnición de…</t>
  </si>
  <si>
    <t>…canzados, y quedabáú 'Córdoba.............. • 6 á 8 idem.... 169 41 31 batiéndose cuando be recibido el último parte. Aseguran que van tan estropea dos, que.su derrota será infalible. Luego que la tropa descanse , regresaré á Ca- Doña Mencía. .. 3 á 5 idem.... 183 77 ’ 8 latayud ,ó tomaré la dirección que juzgue mas conveniente , dando de lodo i V. E. puntual aviso. Dios &amp;c. Alama 9 de Julio de 1834— Excmo. Sr. = El Iznajar.................... Idem 4 idem.. 52 - 21 6 coo^e de Mirasol. = Excmo. Sr—Conde de Expélela.” Lucena..............…</t>
  </si>
  <si>
    <t>…misma 20,555. 4000....................... .... Madrid. provincia, ha declarado en estado sospechoso á los pueblos de Arahal, Baena, 3,870. 2000....................... .... Cádiz. Los Barrios, Benamcjt, Cabra, Cantillana, Carpió, Doña Mencía, Espejo, 11,048. 1000....................... . ... Idem. Fuente», Jerez, Jimena, Lebrija, Lacena, Luque, Montoro, Monturque, Ol- 15,358. 1000........................ . . .. Madrid. vera, Parada», Rale, Tarifa y Villaníartin. 2,553. ÍOOO........................ .... Barcelona. PROVINCIA JDE JAE1L 7,…</t>
  </si>
  <si>
    <t>Méndez, Gerónimo Desalia</t>
  </si>
  <si>
    <t>Gerónimo Desalia Méndez</t>
  </si>
  <si>
    <t>…320 bierno Jia prfsentacjq y las Carnal han votado la ley sobre asociaciones, ¿qué Un señor eclesiástico con destino á la sopa ecdnómica. ......... 500 han Hecho el; Gobierno y las Cámaras sino defender la Carta contra la activa D. Gerónimo Desalia Méndez , portero de la secretaría del Gobíer* conspiración de los clubs ? Bien sabemos que la oposición , propiamente dicha, no civil de esta provincia*....................................*...............................* . 20 pretende también defender la Carta , y no tratamos^ de ofender su sinceridad. E…</t>
  </si>
  <si>
    <t>Mendez, Tomas</t>
  </si>
  <si>
    <t>Tomas Mendez</t>
  </si>
  <si>
    <t>…s-pueblos de la mis plegando una actividad y celo inexplicable, como asimismo el particular mé ma; y el gobernador civil de ella, que en el día anterior habían sido invadi rito y valor del expresado capitán del provincial de Jaén D. Tomas Mendez, das en la capital dos personas; curó una, y fallecieron dos, quedando existen que con el mayor entusiasmo recorrió los puntos, y ordenaba los fuegos con el tes 12 enfermos con síntomas sospechosos. mayor órden, no menos que el contraído por el teniente del propio cuerpo D. Luis Cueto, ejecutando l…</t>
  </si>
  <si>
    <t>Mendi</t>
  </si>
  <si>
    <t>…ni los necesita. peta el extranjero un 8 por 1»&gt;0- 1 Se decía que la detención de 48 h"r¡is del buque de vapor el Real Tar ha-* —iLos11 Estados generales de Baviera han'cerrado su? sesiones en Momch cl»J bia sido para esperar al Señor Mendi/abal, el cual llevaba algunos decretos del fcorriente. •cordados después de varias sesiones celebradas por el concejo de Estado. Parece que reina la tíiejor inteligencia entre el duque de Pálmela y los mi -------Quedan desvanecidos todos los recelos a que podía dar margen la posibi nistros, de mane…</t>
  </si>
  <si>
    <t>Mendibíl</t>
  </si>
  <si>
    <t>L 102 aqüella mañana, no lo hicieron con bastante anticipación, y el escuadrón, muy Navarra, varios carabineros y ordenanzas al mando del comandante Mendibíl, adelantado al resto de la columna, pudo avistarlos casi al ponerse el sol a tas in al que se agregaron varios oficíales de la plana mayor, dióun ejemplo de ar mediaciones de Urdiain, y no permitiendo el día poder detenerse ¿ aguardar la rojo y disciplina, pues viendo á tos enemigos que principiaba…</t>
  </si>
  <si>
    <t>Mendoza</t>
  </si>
  <si>
    <t>…Gínébrosa, soltero, 17 años, tejedor. ba incomodando aquel pais. Otro Sebastian Grasa , de Cañizar de los .Royales, soltero, 26 años, jor «Lo que traslado á V. E. confel mayor gusto , recomendando el cérvido nalero. hecho por el teniente Mendoza, pues la desaparición de un cabecilla que hace Otro Lorenzo MonBl, de Torrecilla de Alcañiz, casado, 24 anos, pastor. mesps vagaba por estos valles teniéndolos en alarma', es de la mayor entidad , y Otro Toribio Millan , de Montalban , soltero, 18 años, alpargatero. con&amp;o el premio debe á mi entend…</t>
  </si>
  <si>
    <t>Mendoza, José</t>
  </si>
  <si>
    <t>José Mendoza</t>
  </si>
  <si>
    <t>…ismo general en gefe, habia dé tomar el camino de A reta. tendente , según aparece del estado que acompañaba; y que la jun Al emprender su marcha éstas columnas en la madrugada del ta -.provincial había comisionado al facultativo D. José Mendoza y 25, llegó a noticia del general qué los «nertugos se encaminaban á Muñoz para que pasase á facilitar á los vecino» de dicha villa los Idurrieta; no siendo ya conducente la división ordenada en dos co socorros del arte , señalándole las dictas correspondjiegtes. lumnas; dispuso que toda la brigada r…</t>
  </si>
  <si>
    <t>Mendoza, Juan de Toledo y</t>
  </si>
  <si>
    <t>Juan de Toledo y Mendoza</t>
  </si>
  <si>
    <t>…vo- •»Queriendo S. M. la Reina Gobernadora borrar la unánime elección La comisión de Poderes presentó sus -informes -sobre los presentados .por dri pueblo murcieno para que yo le representase en el- ilustre Estamento do los Sres. D. Juan de Toledo y Mendoza-, Prov-urador por U provincia de Gra Procuradores á Cortes, y la que este mismo hizo de mí, el menor de sus indi nada; D- José Alvarez de Sotomayor, com ,e dedluts, por la ce Sevilla'; y viduos, para que le presidiera interinamente, se ha dignado nombrarme Procer O- Víceme Vázquez Moscoso por la de…</t>
  </si>
  <si>
    <t>Mendoza, Nicolás</t>
  </si>
  <si>
    <t>Nicolás Mendoza</t>
  </si>
  <si>
    <t>…luego se sirva pe Otro Manuel Agredas, de Calatayud, soltero, 12 años , nada. dir á S. M. el grado de capitan para el expresado teniente del provincial de Se Ol/o Pablo Escrich, de Martin del-.Rio, casado, 25 años, tejedor. govia D. Nicolás Mendoza; la cruz de Isabel con la alta paga al sargento 2.a Martin del Río 17 de Junio de 1834 —Antonio Laplana. Eustaquio Garcillan , y otras dos sencillas para los individuos que mas se hu La gavilla del malvado Malos-ajos era la única facción numerosa que ha biesen distinguido. bía quedado de la facción…</t>
  </si>
  <si>
    <t>Menendez, D José Antonio</t>
  </si>
  <si>
    <t>D José Antonio Menendez</t>
  </si>
  <si>
    <t>…teniente corregidor de esta villa, refrendada Don Cha a JX se del CzQlo, Fernandez del del escribano número Manuel Rodríguez, El comandante gefttral de Aitúrias con fecha de 19 det actual avisa que D. Manuel Manuel Redondo López, D. D. José Antonio Menendez, José Mornelo, é favor 4C Ia* medidas tomadas por el comandante de armas .de Luarca D. £s~ Generés y D. Eusebio de Goiri, para que en el preciso térmiao de 15 días se presen lütisiao Infanzón y la cooperación activa del subdelegado de policía de esta ten por si ó por medio de procuradur ante el ref…</t>
  </si>
  <si>
    <t>Menendez, D Manuel</t>
  </si>
  <si>
    <t>D Manuel Menendez</t>
  </si>
  <si>
    <t>…a zanares hacia igual comunicación al Sr. Secretario de Estado y del llería, huía de la persecución de la columna procedente de SantanDespacho de Gracia y Justicia, lo queme dió lugar á esperar has .. der, mandada por el teniente coronel D. Manuel Menendez, com ta las diez de la noche los pormenores de la acción, en que quedó puesta de 80 á 100 hombres del (provincial de Oviedo, quien atareducida la facción del Locho á 40 hombres montados, incláso el cándolos con el mayor denuedo, cogió 6 prisioneros, 49 c aballos, cabecilla, que á todo escape-huyen…</t>
  </si>
  <si>
    <t>Menendez, Domingo</t>
  </si>
  <si>
    <t>Domingo Menendez</t>
  </si>
  <si>
    <t>…n las már de aritmética, y el oficial poseer conocimientos mas extensos. genes del Ebro, una pensión de 3 rs. vn. diarios: á Doña Josefa de Acevedo, La gran dificultad consiste én la falta de profesores, porque apenas se madre de D. Domingo Menendez, cabo 2.° del batallón de celadores de Ala encuentran algunos hombres capaces de enseñar las ciencias de primer órden; va , asesinado pot los facciosos en el lugar de Heredia, una pensión de 3 rea asi que, el Sultán tiene et proyecto de establecer una escuela destinada í for les diarios: á Doña Gre…</t>
  </si>
  <si>
    <t>Menendez, José</t>
  </si>
  <si>
    <t>José Menendez</t>
  </si>
  <si>
    <t>…eres? Él partido constitucional es el único entregado por el presente......... ............... ................................................... 20 que tiene un verdadero ínteres en da conservación de la Carta. ¿Qué es la Carta D. José Menendez , como testamentario de Doña M J de Z* pox sino la'expresión d¿T nuestras mas cafas opiniones, el resúmen de cuanto hemos atora.............................................................. ¿000 querido y de cuanto hemos solicitado tantos ferros, el hecho que consagra nuestros El Excmo. Sr. D. Anto…</t>
  </si>
  <si>
    <t>Menendez, José Antonio</t>
  </si>
  <si>
    <t>José Antonio Menendez</t>
  </si>
  <si>
    <t>…iente corregidor de esta villa, refrendada Don Cha a JX se del CzQlo, Fernandez del del escribano número Manuel Rodríguez, El comandante gefttral de Aitúrias con fecha de 19 det actual avisa que D. Manuel Manuel Redondo López, D. D. José Antonio Menendez, José Mornelo, é favor 4C Ia* medidas tomadas por el comandante de armas .de Luarca D. £s~ Generés y D. Eusebio de Goiri, para que en el preciso térmiao de 15 días se presen lütisiao Infanzón y la cooperación activa del subdelegado de policía de esta ten por si ó por medio de procuradur ante el ref…</t>
  </si>
  <si>
    <t>Menendez, Manuel</t>
  </si>
  <si>
    <t>Manuel Menendez</t>
  </si>
  <si>
    <t>…escuelas gratuitas de niños y niñas de tos en diferentes épocas sobre el mismo objeto en cumplimiento de lo prevenido en el articulo 14 del Real decreto de 9 de Junio de 181S. barrio^ de S. Plácido y Bueña-Dicha de esta corte, á D. Manuel Menendez y y á Doña Teresa Muñoz, que desempeñaban en propiedad otras enseñanzas de igual clase. Habiendo solicitado la Real sociedad económica de Oviedo que S. M. se dignase aprobar el reglamento que ha formado para la cátedra de economía polí S. M. se ha servido conferir la plaza de oficial tercero de la cont…</t>
  </si>
  <si>
    <t>…s hacia igual comunicación al Sr. Secretario de Estado y del llería, huía de la persecución de la columna procedente de SantanDespacho de Gracia y Justicia, lo queme dió lugar á esperar has .. der, mandada por el teniente coronel D. Manuel Menendez, com ta las diez de la noche los pormenores de la acción, en que quedó puesta de 80 á 100 hombres del (provincial de Oviedo, quien atareducida la facción del Locho á 40 hombres montados, incláso el cándolos con el mayor denuedo, cogió 6 prisioneros, 49 c aballos, cabecilla, que á todo escape-huyen…</t>
  </si>
  <si>
    <t>Mengt, Polo y</t>
  </si>
  <si>
    <t>Polo y Mengt</t>
  </si>
  <si>
    <t>…ente, que ea los urbanos hizo que se restableciese inmediatamente la tranquilidad. Luego dejar cual corresponde el decoro y buen nombre del Gobierno.” ; por qué no se reúnen ahora ? Cualquiera dice que ei porque hay cierta des El Sr. Polo y Mengt: "Al discutirse párrafo por párrafo la contesta confianza de parte del Gobierno ; pero yo no creo que este tenga datos sufi ción al decurso del Trono manifesté la necesidad de formar la Milicia de uu cientes para ello, ni que deba estar en su mente prohibir qne se reúna esa modo correspondiente. Na…</t>
  </si>
  <si>
    <t>Menrzicoff</t>
  </si>
  <si>
    <t>…. «in que las justicias de los pueblos intervengan de manera alguna El Príncipe Real y su esposa han llegado de S. Petersburgo. También te bajo pretexto de costumbre ó por cualquiera otra razón; pero ha nemos en nuestros muros al príncipe 'Menrzicoff, ayudante mayor de S- M. el biéndose recibido varias reclamaciones de los pueblos, dirigidas á Emperador de Rusia. (Gaceta de Estado de ¡‘rusia.') esta secretaría del Despacho por los respectivos gobernadores civi les, manifestando que si bien aquella soberana determinación es. sélCTC-A. útilísima…</t>
  </si>
  <si>
    <t>Mensagero</t>
  </si>
  <si>
    <t>…andioso que dieron á es la muerte de su pariente, compañero y amigo M. Dulong ha influido en la te solemne acto el entusiasmo del pueblo, las salvas de artillería de la Cortina deliberación de este tan benemérito como distinguido diputado. (Mensagero.) y buques de la bahíj, el repique de campanas, las músicas militares, las mone ____El Emperador de Rusia ha puesto á disposición del príncipe de Orange das que se arrojaron con profusión, y los alegres acentos de vita Isabel jj. un regimiento ruso de granaderos que en lo sucesivo será conocido con…</t>
  </si>
  <si>
    <t>Mensajero</t>
  </si>
  <si>
    <t>…omplido los 12 años el 16 de Enero se valga de algún arbitrio para reprimir los facciosos y para conte último. Se dice que el Sr. arzobispo de París ha solicitado la hon ner sus progresos. ra de administrar el Sacramento al joven príncipe. {Mensajero.) Un solo consejo se ros ha dado; que nos valgamos de alocu ____ El general Bustamante que tanto ha figurado en los últimos ciones paternales. Muchas veces hemos recurrido á este arbitrio, trastorn|is políticos de Méjico, ha llegado á Bayona de vuelta de pero bien conocéis que es absolutamente inefi…</t>
  </si>
  <si>
    <t>Mentschifcof</t>
  </si>
  <si>
    <t>…resiaw , que consumió toda la ciudad com Cámara de les Pares de Francia, ca cambio de las que se deben enviar á Ingla puesta de 326 casas. . . &gt;■ terra ; trueque igualmente honroso jura los dos países. Hé aquí ed título de las El Príncipe Mentschifcof, gobernador general de Finlandia, ha sido en principales obras de que re compone esta rica colección. viado por el Emperador de Ansia al Rey de Suecia, encargado de una misión Doomsday Book, el documento histórico mas aotqyio que; existe en In especiaL (Corresponsal de Haenbwgod) glaterra, es una e…</t>
  </si>
  <si>
    <t>Mentschikoff</t>
  </si>
  <si>
    <t>…avía no perdimos 'la esperanza de llevar á buen tér Stoknlmo 28 de Octubre. mino la.presente legislatura , usando de indulgencia y concediendo una próroga de doble tiempo del que habían señalado al principio; esperando ási una El príncipe Mentschikoff, después de haber desempeñado su encargo cerca conclusión pacífica enjos negocios sometidos á la Cámara , y el logro del otede S. M., ha salido de nuestra capital á bordo del barco de vapor el Hercules; jeto que Nos y nuestros fi ííes subditos nos habíamos propuesto. Pero hacia lael día antes de su…</t>
  </si>
  <si>
    <t>MenzikofT</t>
  </si>
  <si>
    <t>…a (jananas^____ 38o 190 9$. Para IudíaB .......____ $ÓO ■ aoo 10a. ARTICULO DE OFICIO. y SUECIA. Stockolmo 24 de Setiembre. S. M. la Reina nuestra Señora, su augusta Madre la Reina ’ Los periódicos anuncian la próxima llegada del príncipe MenzikofT, go Gobernadora y ia Serma. Sra. Infanta Doña María Luisa, continúan bernador general de la Finlandia, encargado de una misión particular del im perador de .Rusia cerca de S. M. el Rey de Suecia y de Noruega. Habiendo d sin novedad en su Importante salud éñ el Real Sitio del Pardo. periódico Aftont…</t>
  </si>
  <si>
    <t>Mercader</t>
  </si>
  <si>
    <t>…en su Réal nombre y en rillas, las de Zaragoza é'Isabel n, con arma á discreción, desaloja el de su augusta Hija la Reina nuestra Señora, al brigadier Oráa; ron al batallón que tenia ásu frente, y sucesivamente fue arrollado y al comandante Mercader, y á cuantos concurrieron á aquella glo rechazado por las indiciadas tropas de las ventajosas posiciones de Zar- riosa acción; concediendo la cruz de Isabel u á los tres soldados day, Zamategui y Osarte, á que se fueron retirando los batallones heridos, y añadiendo el goce de la alta paga á Juan Ve…</t>
  </si>
  <si>
    <t>Mercader, D Jaime</t>
  </si>
  <si>
    <t>D Jaime Mercader</t>
  </si>
  <si>
    <t>…gravedad les había venido: entonces previne al referido Bonet condujese al los segundos. 2.° batallón de Zaragoza, destinado para la reserva, y mandado V. E. que conoce el estado y situación de cosas de este reino, por su primer comandante D. Jaime Mercader , sobre la montaña se servirá graduar el mérito de esta acción , y darle la importan de la izquierda de mi frente, con el fin de cortar Ja retirada al cia que se mereee; debiendo yo recomendar a V. E. á todos los enemigo; al coronel D. Higinio Francia, primer comandante del individuos en general, y…</t>
  </si>
  <si>
    <t>Mercader, Jaime</t>
  </si>
  <si>
    <t>Jaime Mercader</t>
  </si>
  <si>
    <t>…es había venido: entonces previne al referido Bonet condujese al los segundos. 2.° batallón de Zaragoza, destinado para la reserva, y mandado V. E. que conoce el estado y situación de cosas de este reino, por su primer comandante D. Jaime Mercader , sobre la montaña se servirá graduar el mérito de esta acción , y darle la importan de la izquierda de mi frente, con el fin de cortar Ja retirada al cia que se mereee; debiendo yo recomendar a V. E. á todos los enemigo; al coronel D. Higinio Francia, primer comandante del individuos en general, y…</t>
  </si>
  <si>
    <t>Mercader, José Sagrista y D Narciso</t>
  </si>
  <si>
    <t>José Sagrista y D Narciso Mercader</t>
  </si>
  <si>
    <t>…canal de ilirijan, auxiliados cuando mas de algunos subalternos, podrán ir Tamarite, y se ocupaba de ella cuando se le presentaron D. Anto haciendo sucesivamente por trozos el trazado detallado del canal, la nio Gassó y Calafell, D. José Sagrista y D. Narciso Mercader, ofre determinación del número, formas, dimensiones y calidad de las ciendo realizarla bajo ciertas bases á nombre de una compañía, cu obras que corresponden á cada uno de ellos, la demarcación de las yos poderes exhibieron. Examinadas jior los pueblos interesados de jurisdicciones, señalamiento de…</t>
  </si>
  <si>
    <t>…YO LA REINA GOBERN ADORA.=Nicolas María Ga- didas del modo posible ron pensiones ó auxilios, según los rasos, por reíly, = V. M. ronrade la empresa del canal de Tamarite á D. Anto el fondo de temporalidades. nio Gassó y Calafell, D. José Sagrista y D. Narciso Mercader, y en 6V Esta última gracia será igualmente aplirable á las viudas y su nombre á la compañía que representan. familias de los milicianos Urbanos que murieren en defensa del orden públi,co ó del legítimo trono de mi exralsa Hija. REALES DECRETOS. Tendréislo entendido, y dispondréis lo conveniente á…</t>
  </si>
  <si>
    <t>Mercader, Narciso</t>
  </si>
  <si>
    <t>Narciso Mercader</t>
  </si>
  <si>
    <t>…auxiliados cuando mas de algunos subalternos, podrán ir Tamarite, y se ocupaba de ella cuando se le presentaron D. Anto haciendo sucesivamente por trozos el trazado detallado del canal, la nio Gassó y Calafell, D. José Sagrista y D. Narciso Mercader, ofre determinación del número, formas, dimensiones y calidad de las ciendo realizarla bajo ciertas bases á nombre de una compañía, cu obras que corresponden á cada uno de ellos, la demarcación de las yos poderes exhibieron. Examinadas jior los pueblos interesados de jurisdicciones, señalamiento de…</t>
  </si>
  <si>
    <t>…ADORA.=Nicolas María Ga- didas del modo posible ron pensiones ó auxilios, según los rasos, por reíly, = V. M. ronrade la empresa del canal de Tamarite á D. Anto el fondo de temporalidades. nio Gassó y Calafell, D. José Sagrista y D. Narciso Mercader, y en 6V Esta última gracia será igualmente aplirable á las viudas y su nombre á la compañía que representan. familias de los milicianos Urbanos que murieren en defensa del orden públi,co ó del legítimo trono de mi exralsa Hija. REALES DECRETOS. Tendréislo entendido, y dispondréis lo conveniente á…</t>
  </si>
  <si>
    <t>Mercier</t>
  </si>
  <si>
    <t>…os fabricantes y los coseche Se discute un proyecto de ley relativo á la demanda de un crédito suple ros de Francia si hubiese un rompimiento con los Estados—Unidos, y conclme mentario de dos millones para pensiones militares. El barón Mercier propone asegurando que no tiene inconveniente en tomar sobre sí la responsabilidad ea una'modificacion de 1.050,000 francos, que no se vota por no haber número que haya incurrido su antecesor en el ministerio. (Agitación.) suficiente de diputados. M. Bignon confiesa que el ministro se ha explicado…</t>
  </si>
  <si>
    <t>…narios para cubrir los jetos taú sagrados. Yo nunca consentiré abandonar la plena posesión del (erú- gastos no previstos al votar el presupuesto de 1834* lofio asegurado á la Bélgica por la convención de Londres de 21 de Mayo, El Sr. Mercier siente que las comisiones sean un Indulgentes con los mi mientras no se hace un tratado definitivo, ni tampoco los derechos garantidos nistros cuando piden suplementos de fondos, pues cree que la Cámara debe por ia,misma sobre el gran ducado y restante demarcación de la Bélgica, sin cerciorarse cua…</t>
  </si>
  <si>
    <t>Mercíer</t>
  </si>
  <si>
    <t>…ancos para mantener dos escua nombrado enviado extrrordinario y ministro plenipotenciario del Rey de los belgas en Berlín. Aseguran que M. Goblet saldrá para su destino dei Í5 al 20 drones y 93 brigadas de gendarmas á caballo. El Sr. Mercíer teme que aprobando este artículo se conceda una cosa que del corriente. (Inde pendiente.) la Cámara ha negado ya, y pide que dicho artículo pase á la comisión encar INGLATERRA. gada de informar sobre gastos extraordinarios. El mariscal Soult contesta, entre otras cosas, que si no se concede el cré…</t>
  </si>
  <si>
    <t>Mereja</t>
  </si>
  <si>
    <t>…nfieso con la franqueza y notoria sinceridad de , - La Cámara desecha la proposicioq del Sr. Leyraud, asi como otra que bajo mis principios, que sin virtudes positivamente cívicas, emanadas de los senti ei jnumo principio hace el Sr. Mereja^; y se levanta la sesión. mientos de! corazón, no era posible haber formado en tan corto tiempo la fuer za con que se halla organizado, ni tampoco haber construiJo dentro del mismo ESPAÑA. período el vistoso vestuario que le adorna, sin una resolución firme y honrosa de segundar ios deseos del ilus…</t>
  </si>
  <si>
    <t>Meri, Joaquín Paz</t>
  </si>
  <si>
    <t>Joaquín Paz Meri</t>
  </si>
  <si>
    <t>….° - ro 266.) vgüesLas mejorasque seqíiededicanrecibeaestala medicinaobra con ólascirugía,ad icionesuiilindicadas,a Jos prácticosla haceny. necesaria,farmaecutá icoslos ..yjóReales decretos jubilando con sus'hbrióres’ y strélda"á D. Joaquín Paz Meri por su tratado metódico y sencillo de higiene á toda clase de personas. Se halla en Macgno, (77.)... ... drid, librería de Pérez, á 32 rs. en rústica y 36 en pasca, y en las 'provincias en Jai &gt; , jubilando con sus honoresy sneldó á varios magistrados. £77.) . , principales librerías, con el aument…</t>
  </si>
  <si>
    <t>Merilhou</t>
  </si>
  <si>
    <t>…inino tiempo está obligada á darles acogida y trasmitirlas á Id' chas de ambición que tan gratuitamente se le atribuía por la ocupación de ios Cámaras que le sucedan.1 ^ \ dos referidos principados. (Cr. de Augsburgol) Propone el Sr. Merilhou que se remitan al presidente del cónsejo de Mí-i ITALIA. nistvos las exposiciones que tratan de agregar á los electores las personas de ta-f lento'. &lt; •' "• ^ • ■ ' •-"••• J'KJ \ Plápoles 3 de Febrero. El Sr. Berryer pide que el dictamen de la comisión se divida, preguntando* Ayer por la tarde lleg…</t>
  </si>
  <si>
    <t>Merino</t>
  </si>
  <si>
    <t>…caballero á nombre de L. E. S. D. R. M. D. C.................... 500 ” Según lo referido por un rebelde moribundo , hemos impedido la reunión La comunidad de S. Felipe el Real de esta corte............................... 1200 del cura Merino y demas canalla en Torducles , donde se hallaban citados. La D. Salvador María Grané* 120 rs., y la misma cantidad mensual-* justicia de este pueblo ha reconocido en un cadáver al hermano del cabecilla mente..............................................................................................…</t>
  </si>
  <si>
    <t>…ndarlos á V. E. Partes del coronel Obregon y del comandante -general de Soria detallando con el mayor interés, asi como el entusiasmo y bizarría de la tropa de ambas la acción de que se dio noticia *en la Gaceta de ayer contra el cura Merino. armas que mandaban, y muy particularmente al referido soldado Mariano Columna móvil de Castilla la Nueva.z=Excmo. Sr.: Por mi parte anterior Montaner, que con tanto peligro llevó el aviso á Peñaranda; siendo también dinaido á V. E. desde Aranda de Duero le manifesté el movimiento hecho muy digno dr…</t>
  </si>
  <si>
    <t>…ribuyendo proporcionalmente á los que los solicitaban, El brigadier D- José María Peón, comandante general de la brigada des notándose con satisfacción que su uso producía los mas Cavarable* resultados tinada á la persecución del cura Merino, avisa con fecha 15 del corriente cuando se propinaban con prudencia. desde Aranda de Dqero, que había recorrido con las columnas de su mando las sierras de O ay Libar, cogiendo 10 rebeldes prisioneros, y dispersando 40O PROVINCIA DM FAlXWCfA. mozos de los recientemente sacados, que han vuelto á su…</t>
  </si>
  <si>
    <t>…del fulgida de profundidad, en figura de taza, y de ud puIírg^CfjjD^u^tt^^ialnitr actual. .,-ií teria era el cuarzo, que había sido trasparente, pero se había manchado por el «En virtud de un parte verbal en que me decían que el cura Merino con contactp cpn.plI^pr¡eft&gt;^Ia^daR RW^&lt;W|rtli%4Wfa^jÍfc»laOBaa» ÍSCLfacciosos, todos de caballería^ había .pasad0 Por .las .Inmediaciones. ,de Báf- .de^afH».ÍOnP»v^a?&lt;rhrt&gt;x^.Q6ro,de flii^pfiJ^d^jcle.jlfáíBOíro^ycones cqn dirección á Arenillas, dispuse inmediata mente mi salida para dicho to ^ pro…</t>
  </si>
  <si>
    <t>…os de Aguilar y Agreda , la paña el parte de la prisión del cabecilla Eguía, y da conocimiento asimismo unión y fraternidad entre todos: rodeada la tropa de un sinnúmero de paisa de la activa persecución que sufren los restos del cura Merino en la sierra do nos con sus párrocos á la cabeza , ansiosos de.coger facciosos, y no resonando Burgos. El parte sobre la captura del cabecilla Eguía es el siguiente: en los campos mas voces que ama la Reina nuestra Seriara Daría Isa "Excmo. Sr.: El comandante de armas de esta villa D. Serafin del R…</t>
  </si>
  <si>
    <t>…del decreto de 29 de Octubre de 1820, que prescribe á los comandantes á este pueblo, donde he sabido que ayer s las seis de la tanje estuvo en él el de esta arma que los visiten, no puede aplicarse al caso presente, porque no se cura Merino con 10 hombres, entre ellos Lucio Nieto y su hermano, Briones, sabe de antemano quiénes serán los presidentes.” el Rojo de Puentcdura, y el retirado de Ciadoncha, con otros de sus llamados oficiales: permanecieron una hora, recorrieron el herraje de Sus caballos, que ____ Por un decreto que ha dado…</t>
  </si>
  <si>
    <t>…n imperiosa disposición. 4 lí 4 8 2 16 s H ii Por parte que el comandante de armas y subdelegado de Fomento1 de Fa 17 6 2 lencia dan al caprtah general interino de Castilla la Vieja en 24 del corriente ‘7 -9 1 18 7 resulta que el cura Merino con 60 caballos extenuados de fatiga estaba en la ’8 13 4 22 S de noche del confluencia situado de cerca de la 23 en el'pueblo Cordobilla, 24 4 9 14 los ríos no subdelegado y Pisuerga; solo habia sa y que el rfeferido Atlanzon 1 25 10 6 habia del puesto siho que lo capitán lido á perseguirlos, y en…</t>
  </si>
  <si>
    <t>Merino, Antonio</t>
  </si>
  <si>
    <t>Antonio Merino</t>
  </si>
  <si>
    <t>…n de lanas por aquel punto, y siguen instruyéndose algunos expe Dos señoras que no han dado el nombre............................................. 130 dientes de igual naturaleza, habiéndose resuelto definitivamente cuatro de loa D. Antonio Merino............................................................ •.*■",........... 20 mismos. D. Antonio Rodríguez Sotillo, por tres meses de suscripción á 10 rs. 30 Se está instruyendo el oportuno expediente para llevar á cabo la construc D- José de la Cruz, teniente general.................................................... 1000 ción de un puente á la sóida d…</t>
  </si>
  <si>
    <t>Merlin</t>
  </si>
  <si>
    <t>…rse á la sombra La Cámara conviene con el .parecer del ministro de-Hacienda. Se principia de aquella j^júbpi». ~ á discutir la' propuesta del Sr. Bavoux sobre «restablecer la ley que pcxmitextí divorcio.” t ' :■ ; i ^ bélgica. El Sr. Merlin recuerda que esta propuesta- se- ha presentado ya tres vccés'á Bruselas 25 de Febrero. la Cámara, y siempre con poderosos adversarios; que aunque ha sido aprobada PódeSsaíasegirrar dé la rnifiéra' mas positiva que 3© hombres están ya las tres veces, dos ha sido desechad» por*la Cámara de tos Pares,…</t>
  </si>
  <si>
    <t>…casionado, y acuerde «n su vista respecto de ios después de hacer un resúmen de ,1o ocurrido en dicha elección ,‘-es de parecer empleados á que se contraigan las ulteriores ivovhlencias que cor que se dehe aprobar la elección del general Merlin. respondieren en justicia conforme la gravedad y circunstancias del MM. Golbery , Dumont y O. Barrot sostienen que la elección es rali, haciendo al mismo tiempo, en unión con Mr. Desjobcrt, varias carga* al mi caso. Mandando ademas S. M., que siempre que aparecieren contra nisterio por haber infinid…</t>
  </si>
  <si>
    <t>Merticr</t>
  </si>
  <si>
    <t>…y lúcranos, y para diferentes atenciones del ministerio de Guerra.'’ Asimismo remite ¿la comi Los ministro» del reino de Polonia hacen frecuentes víage» i esta capital sión para que la redacte de nuevo una propuesta hecha por el Sr. Merticr, ft»rp despachar personalmente con el Emperador, pues S. M. I. tiene gusto en »para que siempre que se pidan fondos por no ser suficientes ios que se hayan qué sq le dé cuenta vcrbalmente de los negocios, á fin de resolver inmediata señalado en el presupuesto, te justifique haber gastado.todas las…</t>
  </si>
  <si>
    <t>Merville</t>
  </si>
  <si>
    <t>1198 say, gobernador general de.(a India, sí pueden vencerse los escrúpulos de los -los justos derechos del Soberano. Al mismo tiempo ^podéis estar seguros de que directores dé la)compañíáj que prefieren á lord Merville: lord Maryborough, me hallareis pronto á apoyar cualquiera otra petición que no envuelva las di .caballerizo mayor: lord Cówley., presidente dé la junta of Control-, el coqde ficultados qt,ie tengo la honra de exponeros. Soy vuestro obediente y fiel servi de Aberdeen, embajador en la corte de Franc…</t>
  </si>
  <si>
    <t>Meseguer, Francisco</t>
  </si>
  <si>
    <t>Francisco Meseguer</t>
  </si>
  <si>
    <t>…del alférez del ,3.° de línea D. José Foxá, y 30 Urbanos de esta plaza al man do del subteniente D. Antonio Ríos ; acompañando 4 esta fuerza el ayudante Cíeza.................. 10 i 12 Julio. . lio 34 7 ' de dicha Milicia urbana D. Francisco Meseguer para designar los puntos da apostadero, como práctico en el terreno. Puerto de Lum «Se dieron las órdenes correspondientes 4 las justicias de Villar del Rey, breras ............ 11 4 13 ídem. 16 4 1 La Roca y Alburquerque, y ocupadas todos los pasos en el dia 12 4 las 3 de Ift tarde, líegaron Cuest…</t>
  </si>
  <si>
    <t>Mesía, D Pedro del Prado y</t>
  </si>
  <si>
    <t>D Pedro del Prado y Mesía</t>
  </si>
  <si>
    <t>…el parte dado el 23 pot el comandante de armas gusta Soberana, alzando el pendón de Castilla el caballero veinticuatro y te de S. Mateo D. Vicente Carroneo, del que resulta haber sido batida la facción niente de alférez mayor el Sr. D. Pedro del Prado y Mesía entre tn numeroso capitaneada por el cx-comandante de realistas D. Cosme Gobarsi , y Don concurso de gentes, y en medio de un regocijo que cs,?ámposÍble describir. Se Miguel de Soto, dejando tres muertos, ocho heridos y tres prisioneros, y acuñaron monedas en cantidad de 39 rs., que en aquel acto s…</t>
  </si>
  <si>
    <t>Mesía, Pedro del Prado y</t>
  </si>
  <si>
    <t>Pedro del Prado y Mesía</t>
  </si>
  <si>
    <t>…parte dado el 23 pot el comandante de armas gusta Soberana, alzando el pendón de Castilla el caballero veinticuatro y te de S. Mateo D. Vicente Carroneo, del que resulta haber sido batida la facción niente de alférez mayor el Sr. D. Pedro del Prado y Mesía entre tn numeroso capitaneada por el cx-comandante de realistas D. Cosme Gobarsi , y Don concurso de gentes, y en medio de un regocijo que cs,?ámposÍble describir. Se Miguel de Soto, dejando tres muertos, ocho heridos y tres prisioneros, y acuñaron monedas en cantidad de 39 rs., que en aquel acto s…</t>
  </si>
  <si>
    <t>Mesta, Manuel La</t>
  </si>
  <si>
    <t>Manuel La Mesta</t>
  </si>
  <si>
    <t>…l y mezquino, el deseo de sangre y de venganzas Ies ha puesto ber muerto en el campo el coronel ilimitado D. Francisco Bonal, y el teniente las armas en la mano: los han seguido hombres incapaces de meditar, atraídos «oropel id.. D. Manuel La Mesta con 6 soldados mas. por el amor de la vida licenciosa de las cuadrillas. No hay en todos ellos el Añade que faltaría á su deber, sí dejase de hacer justo elogio del mérito menor elemento de poder. Su ferocidad los excluye de la civilización propia de contraido por todos los valientes de que se comp…</t>
  </si>
  <si>
    <t>MeTevaotoúnicamente, Secretarlo del Despacho de Estado</t>
  </si>
  <si>
    <t>Secretarlo del Despacho de Estado MeTevaotoúnicamente</t>
  </si>
  <si>
    <t>…Rodríguez Patema.=Vicente Vázquez /-deben no excluírse los, que se dediquen á una carrera, cualquiera que tea, basta Moscoso. =Mariano Carrillo. /-cumplir la initmd’edad'qiie sé señale.para los.casamientos. Asi-correrán todos El Sr. Secretarlo del Despacho de Estado-. «MeTevaotoúnicamente la misma suerte durante dot ó tres años, y no habrá ja desigualdad que en el para anunciar queel Gobiernq está enteramente deacuerdo con la - colusión. -dia, en que unos corren esa suerte.por mas de diez años,' y otros solo únaú Esta "tuvo la: bondad de llamarme i sus sesiones, y convenimos en las: ob…</t>
  </si>
  <si>
    <t>Meüdkmdo, Joaquín</t>
  </si>
  <si>
    <t>Joaquín Meüdkmdo</t>
  </si>
  <si>
    <t>…ísimo Sr. comandante general dé la» provincias Vascongada*, es Es corera de dudarse el partido que debía tomar. pia.z=Obma. - : . , . ¡ . ,i”¡ i t Ordené á las compañías de la columna guipuzcoana y la de celadores a I» órdenes de D. Joaquín Meüdkmdo atacar de frente la izquierda, y me com^ Con k misma fecha del 19 del actual djee el: ciproadocomandzrHc ggqeyal jsfocí alvet que. despreciando el fuego mas viro desalojaron al enemigo de su -dé las provincias Vascongadas, que él regimiento de la GuardkReád $le i^« ^prfrncra parición, la que inmedi…</t>
  </si>
  <si>
    <t>Meúnier</t>
  </si>
  <si>
    <t>…partido dé Peñíscola rio había mas enfermos que los des Esta prudente medida del, comandante del departamento ha iecibido la que en el último parte se dijo existían en la capital dé dicho partido: que en aprobación. del teniente general Meúnier que manda la, división, y del pre- oegorbe y su partido tampoco hsbja ninguri enfermo : finalmente que en la fecta ’ : 1 r.~;- ■—i-r.--r-r-—- capital de toda la provincia no había mas que 3 enfermos de poca conside- ~ Algunos distritos se Jtafc,sujrtadci i éstas condiciones , y entre otros, loe rác…</t>
  </si>
  <si>
    <t>Meunier</t>
  </si>
  <si>
    <t>…ere, en cuanto lo permitan mis fuerzas, en promover la sesión. El Presidente manifiesta que"dicha comisión de cuenta y razan se com -prosperidad general de tan leales y honrados súbditos, y en reparar del modo pondrá de los Sres. barón, Meunier, Davillier, duque de Praslin, conde de posible la pérdida, por lo demas irreparable, que todos experimentamos con la Tascher, barón Frevilic, conde Roy y conde d'ArgOut. Se levanta la sesión. falta del inmortal Regente, Padre de la patria y verdadero amigo de ios por tugueses. . . , .:í* címaxa'db…</t>
  </si>
  <si>
    <t>Meyer</t>
  </si>
  <si>
    <t>…que le ha zas de canon, sirvieron durante la campaña de Amberes de cuartel sido funesta. general, el primero al general Heidiger.que mandaba la reserva, y «La carta de 1814, de que durante cifcrto tiempo se hatjia heet segundo al general Meyer,que mandaba la 13.a división del ejér 1 cho una máscara, no se atreve ya á invocarla ni á sostener ningu cito. El mismo periódico dice que el Handesblad, diario de Ams- no de sus antiguos principios. De manera quo el partido de la le terdam, ha dejado de publicar la noticia del movimiento de las gi…</t>
  </si>
  <si>
    <t>Mezquirez, Nicolás</t>
  </si>
  <si>
    <t>Nicolás Mezquirez</t>
  </si>
  <si>
    <t>…ando Hermosa; del 6.a ligero de caballería el teniente —coronel graduado D-Juan García Tejida. Se recotTircnda itiruy particularmen Según parte de 4 del corriente en los cuatro primeros dias de este mes te al comisario habilitado D. Nicolás Mezquirez, cuyo comportamiento en curaron en la capital de esta provincia 62 personas, fallecieron 19, y quedaban la acción rivalizó con el del soldado mas decidido y arrojado. 99 enfermas: en el partido de Alcira solo continuaban padeciendo el cólera 12 pueblos, y aúnen ellos era reducido el número de falle…</t>
  </si>
  <si>
    <t>Mfdrano</t>
  </si>
  <si>
    <t>…itud de esta instancia, el ac yo no hallo inconveniente en que esta proposición pase á la comisión de Go ceder i ella era abrir la. mano á semejantes peticiones. bierno ipterior, creo que no hay necesidad de ocuparse de ello.” El Sr., Mfdrano : »Conso coinpafi.ero de comisión y amigo del Sr. La- El Sr. -López: « Cuando se empezaron las tareas del Estamento hubo mus torre, he sido testigo de sus padecimientos, que no son de boy sino de mu chos que quisieron tomar á su caigo la empresa del diario,de Córtes; y yo no chos dias : este señor,…</t>
  </si>
  <si>
    <t>Mi, Alcalá Galiano</t>
  </si>
  <si>
    <t>Alcalá Galiano Mi</t>
  </si>
  <si>
    <t>…radores, cualesquiera que fueran , no podrían inflñir en la opinión de la después de haber pasado por todos los trámites que el reglamento previene.” Europa respecto á la solvencia ó insolvencia de nuestra Nación. No he afirma El Sr. Alcalá Galiano - «Mi deseo al pedir la palabra sobre este asunto do que esta ño se halle en la posibilidad de pagar sus deudas , sino úricamente era no tanto hablar en pro ó en contra de él, cuanto ilustrarme acerca del he indicado que la opinión que los extrangeros tienen formada respecto de su punto en cuestjon; y re…</t>
  </si>
  <si>
    <t>Mí, Direc Art</t>
  </si>
  <si>
    <t>Direc Art Mí</t>
  </si>
  <si>
    <t>…Real orden lo comunico árán sujetos a las-penas que establece el derecho marítimo universal V. S. para su inteligencia y cumplimiento. Dios guarde á V. S. mu en semejantes casos. chos años. Madrid 16 de Setiembre de 1834.=Toreno.=Sr. Direc Art. 3.’ Mí primer Secretario de Estado y del Despacho comu tor general de Rentas encargado de la recaudación de arbitrio* dé nicará este Real decreto á los Agentes diplomáticos y consulares de amortización. mi augüsta.Hija, para que dándole la publicidad conveniente, nadie .pueda alégarignoranciá. MINISTERIO…</t>
  </si>
  <si>
    <t>Mi, Ebora de Abrilcr</t>
  </si>
  <si>
    <t>Ebora de Abrilcr Mi</t>
  </si>
  <si>
    <t>…riables Q. B. L. M. de V. E. zrjuan Manuel de Balpor una junta de gefes que he nombrado al intento. maseda.— El ejército se ha llenado de ardor y entusiasmo: muchas veces vitoreó en la marcha del dia de la fecha á nuestra adorada Reina Ebora 4 de Abrilcr Mi mayor amigo: Bien pronto han y Señora Doña Isabel n, y continúa con excelente disciplina. desaparecido de mi entusiasmó los ardorosos deseos que me hicie Dios guarde á V. E. muchos años. Cuartel general de Guarda ron venir con tanto gusto á las órdenes de este General Moreno, 16 de Abril de 1834, a…</t>
  </si>
  <si>
    <t>Mi, Juan de Dios</t>
  </si>
  <si>
    <t>Juan de Dios Mi</t>
  </si>
  <si>
    <t>…drán duplicar las penas.** gunda del 2° batallón del 2.° regimiento de Granaderos de la Guardia Real Articulo S.°: Los que en una sublevación hubiesen llevado armas á la vís Provincial á fas órdenes del 2.° comandante de la misma D. Juan de Dios Mi ta ú ocultas, municiones, uniforme, distintivo, ó cualquiera insignia civil ó randa , contribuyendo al efecto la actividad que manifestaron el capitán Don mibtar, sufrirán la pena de encierro. Francisco Cormano, ayudante de la plana mayor , y el teniente D. José Fran «Si los que llevasen armas ocul…</t>
  </si>
  <si>
    <t>Mi, Luís</t>
  </si>
  <si>
    <t>Luís Mi</t>
  </si>
  <si>
    <t>…s muchos reos de delitos 1 ■ Catálogo dé los derechos y usos de comercio relativos al j»aío del Sund» escrito en leves con peligró dé 1a salud pública. (Id.) 7‘francés por D. Tomas Antonio de Marien, y traducido al castellano por D. Luís Mi— , mandando que lodos los corregidores y alcaldes mayores nombrados para - £uel Badal. Un cuaderno en 4.0, impreso en 178^ á 3 rs. rama y 4 en rústica. Explica el-reino de Galicia se dirijan inmccfiaiafncnie á sus destinos. (Aam. 151.) estamercancíasobra el.yorigenlos derechosy fundamentoy gastosde…</t>
  </si>
  <si>
    <t>Mi, Manuel Lacerda y D</t>
  </si>
  <si>
    <t>Manuel Lacerda y D Mi</t>
  </si>
  <si>
    <t>…gefe de la Gran datada de Hase-Darmstadt 27 de Jinda. sexta sección á D. Ignacio Duran: para las de gefes de mesa de la Ayer se trató en la Cámara de los Comunes de la fortaleza de Maguncia. Se misma á D. Diego López Ballesteros, D. Manuel Lacerda y D. Mi acordó suplicar al gobierno tenga en consideración lo que exige la libertad in guel Ace vedo; y para la de gefe de la sección de superintendencia dividual de los habitantes, en caso que la ciudad fuese declarada en estado de de Hacienda á D. Félix Vejarano. Me reservo tomar inmediata sitio: que ind…</t>
  </si>
  <si>
    <t>Mi, Palmerston</t>
  </si>
  <si>
    <t>Palmerston Mi</t>
  </si>
  <si>
    <t>…on to con la mayor elocuencia y les demostró el camino que debían seguir en su hon mará en la mas seria consideración las súplicas de los pescadores. rosa carrera , Ies hizo presente el juramento de fidelidad prestado á su Sobera Lord Palmerston \ «Mi intención no es tratar en este momento la cues na , como ilustre vástdgo de Fernando, y prorumpiendo en vivas á Isabel y tión suscitada por los suplicantes, ni dar sobre ello un dictámen positivo, su Cristina se retiró el regimiento á su cuartel, después de haber con su música puesto que este es un…</t>
  </si>
  <si>
    <t>Mi, Rafael</t>
  </si>
  <si>
    <t>Rafael Mi</t>
  </si>
  <si>
    <t>…cianos d* dicha arma. yor de la división, segundo comandante del cuerpo, graduado de coronel. Don Dígnese V. E. acoger bajo su protección esta manifestación dé hechos tan Francisco Rubio Aceli, primer comandante deí 2.° batallón. D. Rafael Mi- heroicos, ¿ inclinar el Real ánimo de S. M.- a que se sirva recompensar el mé lin, capitán, segundo ayudante de ídem. D. Ramón Eulogio de Arce, teniente. rito de los que le han contraído, según fuese de su Real ¿grado. D. Juan Antonio Loarte, subteniente adicto á la plana mayor. D. Lorenzo Dios gua…</t>
  </si>
  <si>
    <t>Miá, D Martin Fernandez</t>
  </si>
  <si>
    <t>D Martin Fernandez Miá</t>
  </si>
  <si>
    <t>…stamento tan pronto por lo cual no exige Ja formalidad de que se imprima y se reparta. como su salud se lo permrt ese. •’Despucs de algunas breves indicaciones que hicieron otro* Sr«s. próce Igualmente lo quedó de otro del Excmo. Sr. D. Martin Fernandez Miá ras, el Sr. Secretario duque de Rivai pregunta al E-iamcnto si consideraba el rmete, en el que exponía haberse retirado de U sesión del día Jó del comente dictamen de la comisión como de resolución fácil; y habiendo contestado afir-</t>
  </si>
  <si>
    <t>Miá, Martin Fernandez</t>
  </si>
  <si>
    <t>Martin Fernandez Miá</t>
  </si>
  <si>
    <t>…ento tan pronto por lo cual no exige Ja formalidad de que se imprima y se reparta. como su salud se lo permrt ese. •’Despucs de algunas breves indicaciones que hicieron otro* Sr«s. próce Igualmente lo quedó de otro del Excmo. Sr. D. Martin Fernandez Miá ras, el Sr. Secretario duque de Rivai pregunta al E-iamcnto si consideraba el rmete, en el que exponía haberse retirado de U sesión del día Jó del comente dictamen de la comisión como de resolución fácil; y habiendo contestado afir-</t>
  </si>
  <si>
    <t>Miaulis</t>
  </si>
  <si>
    <t>…la protección de la I834*=Señora. = A L. R. P. de V. M»=cC. el marques de las Amarillas, ss Grecia. Este decreto evitará embarazos al comercio, que anteriormente se su [ Joaquín María de Ferrer. frían por falta de esta medida. El almirante Miaulis ha sido nombrado prefec to de Marina. También se han expedido varios decretos para la nueva demar PARTE NO OFICIAL. cación de diócesis que se han fijado á 10: el obispo residirá en la capital de la provincia, y llevará el nombre de la misma. NOTICIAS EXTRANGERA3L El Handelsblad de Amsterdam insiste…</t>
  </si>
  <si>
    <t>Micha</t>
  </si>
  <si>
    <t>…ción-en la provincia de la Guiana inglesa esten El proyecto de aiociacion nacional para la propagación de • la literatura abiertas l.° de Agosto, y que se celebre en ellas el servicio divino dos veces •a Bélgica, imaginado por el Sr. Micha, ha principiado á ejecutarse: la-pti—- ■ "ador menos en el curso de este dia. El gobernador suplica también con las ma mera reunión se verificó en Lieja el 30 de Agosto. . ... yores instancias á los rectores, ministros y curas, que dirijan á sus feligreses La asamblea ha nombrado por escrutinio una…</t>
  </si>
  <si>
    <t>Michaeli</t>
  </si>
  <si>
    <t>…e este nuevo orden rija uní forínéménte y de los niños que habían asaltado los bandidos, y los pusimos en libertad. He desde que se comuniqúe por los respectivos ministerios. mos tenido bastantes heridos , pero posaos puertos. El teniente Michaeli ha idh ’ *</t>
  </si>
  <si>
    <t>Michel, Antonio</t>
  </si>
  <si>
    <t>Antonio Michel</t>
  </si>
  <si>
    <t>…derecha la Religión, y i la izquierda la Caridad; en la fachada opues Toda la obra de tapicería conque se ha enriquecido el templo fue ejecutada ta y del lado de la epístola, la Esperanza , y al del evangelio la.Fé, todas con por D. Antonio Michel, tapicero de la Real casa, quien desempeñó con un los atributos propios de lo que representaban; en el sotabanco que cargaba so lelo y exactitud muy recomendables las ideas del profesor que dirigía esta obra, bre el intercolumnio de la fachada pf$icipat se veia colocado un grupo de utía contribuyen…</t>
  </si>
  <si>
    <t>Midon, D Rafael</t>
  </si>
  <si>
    <t>D Rafael Midon</t>
  </si>
  <si>
    <t>…cuando estuviese seguro de que aquella los había » Las columnas de Nogueras, Solis y Ayer-ve se hallaban por las inmediacio aprehendido , regresaría á esta plaza, en cuyo caso lo verificará también el te nes de Montalvan. niente coronel D. Rafael Midon que se hallaba en seguimiento de dicho Ca- »Lo que elevo al superior conocimiento de V. E. Dios guarde á V. E. mu ragol. chos años. Alcañiz y Abril 21 de 1834—Excmo. Sr.=Juan José Aguavera.es » Al feliz éxito de esta Operación ha contribuido la celeridad con que el te Excmo. Sr. capitán general de…</t>
  </si>
  <si>
    <t>…n¿ al contado : 11$ á 3¿ d. f. ó vol. á prima] de 4 p. 100. Id. sin Interes, 00. El capitán general de Aragón con la del 26 remite copla de dos partes que Acciones del banco español, 00. le dirigió desde el puente de Caparroso el capitán D. Rafael Midon , coman CAMBIOS. dante de Ja columna móvil de carabineros, de los cuales resulta que los faccio Amsterdam, 00. París 16-1. Cádiz i b. Sevilla 4 d. Valencia par. Coruña } d. . Alicante á corto pla 00.sos reunidos en Lumbier, habían dividido sus^ fuerzas á la aproximación de nues Bayona, Granada íd.…</t>
  </si>
  <si>
    <t>Midon, En D Rafael</t>
  </si>
  <si>
    <t>En D Rafael Midon</t>
  </si>
  <si>
    <t>…en cuyos lentísimo Señor: El teniente graduado de fusileros D. José Dea con fecha 19 momentos se hábia corrido basta nuestra Señora de Puyeta el teniente coronel del actual me ha pasado desde Panticosa el parte siguiente: »Excmo. Sr.: En D. Rafael Midon con 80 carabineros desde Salvatierra: todo esto ocurría ín cumplimiento de las órdenes de V. E. salí de esa plaza el dia 17 con un cabo terin penetraban por esta parte del alto Aragón tres batallones navarros hácia y 7fusileros. A las cuatro de la tarde llegué á Biescas, en donde hallé al cabo 1.a…</t>
  </si>
  <si>
    <t>Midon, Rafael</t>
  </si>
  <si>
    <t>Rafael Midon</t>
  </si>
  <si>
    <t>…iento de los dos rillo; inmediatamente dispuso que el escuadrón de Borbon y 2t&gt; caballos de ca Secretariossalió electo en primer lugar el Sr. Caballero por 36 votos. No rabineros de costas y fronteras al mando del capitán de atos D. Rafael Midon, habiéndose reunido pluralidad abso'uta de sufragios para segundo Secretario partiesen al galope para lograr su alcance, mientras que la segunda compañía se pioccd ó á segunda votación entre ¡os Sres. González (D. Antonio) y mar- de granaderos dé la Guardia Real ale infantería y los carabineros de…</t>
  </si>
  <si>
    <t>…estuviese seguro de que aquella los había » Las columnas de Nogueras, Solis y Ayer-ve se hallaban por las inmediacio aprehendido , regresaría á esta plaza, en cuyo caso lo verificará también el te nes de Montalvan. niente coronel D. Rafael Midon que se hallaba en seguimiento de dicho Ca- »Lo que elevo al superior conocimiento de V. E. Dios guarde á V. E. mu ragol. chos años. Alcañiz y Abril 21 de 1834—Excmo. Sr.=Juan José Aguavera.es » Al feliz éxito de esta Operación ha contribuido la celeridad con que el te Excmo. Sr. capitán general de…</t>
  </si>
  <si>
    <t>…ntado : 11$ á 3¿ d. f. ó vol. á prima] de 4 p. 100. Id. sin Interes, 00. El capitán general de Aragón con la del 26 remite copla de dos partes que Acciones del banco español, 00. le dirigió desde el puente de Caparroso el capitán D. Rafael Midon , coman CAMBIOS. dante de Ja columna móvil de carabineros, de los cuales resulta que los faccio Amsterdam, 00. París 16-1. Cádiz i b. Sevilla 4 d. Valencia par. Coruña } d. . Alicante á corto pla 00.sos reunidos en Lumbier, habían dividido sus^ fuerzas á la aproximación de nues Bayona, Granada íd.…</t>
  </si>
  <si>
    <t>Midraaó</t>
  </si>
  <si>
    <t>…mento, en su arbitrio está el deshacerlo, y me parece electo Procurador por Pontevedra. que es de justicia, de necesidad perentoria', el que asi lo haga.” El Sr 'Presidente anunció' que iba á continuar la discusión pendiente soSi Sr. Midraaó: nYi ha dicho tm digno compafiero que citando el Es bre la deuda éxtiaugérm... , tamento trató la ota vea esta cuestión, resolvió termiñanfeménte qué no se Éi Sr. Domtcif: u Tornó UpalabrZ paraddshacCT un error notable que se edvnit*ete ¡t I que se refiere el dietámen. XA comisión no ha po ha comet…</t>
  </si>
  <si>
    <t>Mier, José</t>
  </si>
  <si>
    <t>José Mier</t>
  </si>
  <si>
    <t>…l Paz y da y expedita adtñírñstticion ¿e justicia^ elevando uno' y fchpiTs S Tuertes, £ D. José Móntemáyor; á D. José Villattueva,' á pojn conocimiento de S.' Míj bara la resOfüCÍdJi que estime concediente. José Martínez Areta, á D. José Mier, á D. Teótimo Escudero,! De -Afad orden lo°di¿» s:V. E. pati suimtwigOTC¡xytatiñfflimián!- D. Matías Herrero Prieto, á D. Francisco Redondo y á D. José to. Dios guarde á V. E. muchos años. AraDjuez l.° de Abril de María Calatrava. Y para fiscales de las mismas a D. Manuel Liza- I8.34. = Nicolas Mar…</t>
  </si>
  <si>
    <t>Miera, Manuel González</t>
  </si>
  <si>
    <t>Manuel González Miera</t>
  </si>
  <si>
    <t>…vados ,-es digno de la nnyor consideración. lla , se cita á todos los parientes y acreedores á los bienes que han quedado por falle El coronel del-provincial de pla^encia, marques de Torre boto, el capitán cimiento abintestato de D. Manuel González Miera, natural de la ciudad de Jerez de la Frontera. V vecino de esta villa, para que en el terminq, de 20 dias se presenten por sargento mayor interino del mismo D. Pedro Juhn Silcedo, el primer coman si o por apoderado á deducir su derecho ante &lt;1 expresado juez, con apercibimiento dante accidental del…</t>
  </si>
  <si>
    <t>Mifosch</t>
  </si>
  <si>
    <t>…trabajadoras. Del buen suceso de esta medi- bido el encargo de traducir en lengua setvia el código de Napoleón ; pero que y'delas juiciosas providencias que se adopten, depende la pre.ente y futura cuandppresenlaron su trabajo át príncipe Mifosch,- diciéndole que era menester alieidad de lista isla. Esto no ea objeto de un decreto legislativo, tino fruto de que jurase observar las leyes, arrojó el principe el código á la chimenea diV</t>
  </si>
  <si>
    <t>Migiul</t>
  </si>
  <si>
    <t>…ndo la mansión de la Dieta,; Decreto en que la regencia de Tercera declara que no reconoce ningún em j recibirá de ella una guarnición; por lo cual ha hecho muy bien nuestro Se préstito .6 contrato público que se haga á nombre de D. Migiul. nado en no promover una cuestión que debían interrumpir las resoluciones que »La regencia de la Reina de Portugal, de los Algarbeay dependencias de: se esperan, siendo ademas de observar que'nucstra guardia cívica no está bajo estos, considerando nulo y como si no hubiese existido todo acto emanado…</t>
  </si>
  <si>
    <t>Mígraei</t>
  </si>
  <si>
    <t>…par i» xiorcer** -se essahsñ«san&gt;s.r y d. emd prueba que loe yuefea» fe finwepe áseceat rt msyaw &lt;an fetodui» Jo» derecho*fe o¿ 2 Or Orlarévft éu. tk jeud rdnawi' -Aesoquc in Hfeatv—as afee triíf* 'm diefe. fe ptnwure fe I»- crié D. Mígraei , qut s» hall* en ota capital de rq sEthir.smer i qac fe ünen nndi r«4» «acmam de Europa, no ha felfean «rufiófe. fe r^oía •» infesta. Aíanrtos^rnencias. bandirioido J nuers- del pasado bmaOtmis , h« mandad» a* datrdiuyA catre la» Wi de SU»día»,qunfanón el Z9 &lt;UtMarido mm, ’ IV» &lt;- IÉ «"* I pesucro…</t>
  </si>
  <si>
    <t>Migual</t>
  </si>
  <si>
    <t>…o, feudalismo , fue de muy corta duración . y careció de verda poco caso de ellas , y aun no se sabe á punto fijo á cuanta ascienden en- lo que dero' poder. No es para aquí examinar las causas de este fenómeno históricos se ocupa D. Migual especialmente es en asegurarse para el porvenir una opulen pero basta que baya existido; basta que sea inmemorial la intervención de la cia que le haga olvidar el cetro y la corona, y se dice que eleva para lograrlo clase medía en el gobierno de España, para conocer cuan poco esfuerzo ha sípretensi…</t>
  </si>
  <si>
    <t>Migue</t>
  </si>
  <si>
    <t>…do su ánimo al hacer esta declaración dar un Sesión del dia 7 de Agosto* testimonio publico de su respeto á las leyes. Pasó á la comisión de Poderes. Se abrió la sesión a las once menos cuarto. Se dió cuenta de otrá exposición de D. Migue! Gómez López, electo Pro Se leyó y aprobó el acta del día anterior. curador por la provincia de Málaga, en que pide se le exonere de este cargo ¿ En seguida se dió cuenta de una carta de O. Ramón Carrillo, marques de causa de su edad sexagenaria, y por padecer una enfermedad que le molesta para Vil…</t>
  </si>
  <si>
    <t>…en introdu eictidameme las negociaciones ton D. Miguel, y que se- espera verlas termina-, cir el elemento popular para la formación de ios congresos nacionales. Noso das dentro de poco. Sé hallan én tan mal estado los negocios de D. 'Migue!, tros á la irerdad hemos conocido el feudalismo, porque era. imposible que no tan desvanecidas sus esperanzas y tan agotados sus recursos, que todossus adate- llegase hasta nuestra patria una institución que subyugó á toda Europa : pero je ros están de acuerda sobro la necesidad de salir de Portug…</t>
  </si>
  <si>
    <t>Migue, O</t>
  </si>
  <si>
    <t>O Migue</t>
  </si>
  <si>
    <t>…quegeneralfue endelaella*posadaen 30de delas AgostoSiete chimeneasde 1830; parade estaquecorte,en el ocurridotermino tenido en Murcia el uso de los polvos llamados de Gijona, según manifiesto de 30 días acudan x deducirle ante el Sr. O. Migue! Módet, [déz conservador y pri de los facultativos de aquella ciudad, había dispuesto que se ensayasen con mu vativo délos Reales hospitales General y Pasión'de la misma* por ta escribanía de bacerlo en Inteligencia que de no íej parará comisión ¿ cargo de Villa-Fernandez^cha circunspección los enu…</t>
  </si>
  <si>
    <t>Miguel</t>
  </si>
  <si>
    <t>…en desplegar una numerosa línea valiente capitán D. Antonio Zumeta, la de los tenientes D. Miguel Ibarreta de tiradores sobre nuestros puntos, siendo careado el de la derecha con intre y D. Pedro Argoti, y la del hijo del capitán D. Miguel , de edad de 15 años, pidez por fuerzas considerables y cabal 1ería , Io que le obl.có á ceder la posición, que fue uno de los primeros que entraron en la casa. Este bizarro joven y su aunque después de haber hecho una \igorosa resistencia, haciendo comprar biea benemérito padre solo han solicitado…</t>
  </si>
  <si>
    <t>…en seguida ¿as disposiciones de ljs leve? *V TVirridi, Fuero L nipotenciario le intimó, «que ya no tenia que tratar coa d de semejante asun- y Real y de U Novísima Recopilador » que, hablan d: u* tnio^no &gt; &lt;v «to, sino con el Sr. D. Miguel" pena*. Rctk&amp;iooa rebatiendo Us objeciones con que qu. Mtion exudarse i*</t>
  </si>
  <si>
    <t>…de socio de mérito, y especial recomendación al Gobierno, en caso necesario: Real decreto elevando á la dignidad de Procer del reino al teniente general iguales premios, exrjgpto la medalla, se concederá al que logre el accésit. D. Miguel de ia Torre, capitán general de la isla de Puerto-Rico. QNú . Á la mejor memoria relativa á las asociaciones de amigos de la sobriedad mero 284*) aplicadas.á España.una obra literaria, el diploma de socio de mérito, y re Real decreto resolviendo que D. Nicolás María Garelly, ministro de Gfacía comenda…</t>
  </si>
  <si>
    <t>…escribanía nacer y Covilhao con el cuartel general en Guarda. Decíase que Fígueira delegaron de Rentas, en donde-se enterará del plano y Condiciones bajo de las cuales había prociarnado £ Doña María; por manera que no queda ban á D. Miguel ni se han de celebrar sus remates: él primero en el dia 12 del corriente: el segundo el 22 D** Caítos puerto áiguno en Portugal, pues la tentativa hecha por el hijo déL del mismo mes; y^ el tercero y\ último en el dia 2 de Junio, desde las once hasta las doce de sus respectivas mañanas, en lias ofi…</t>
  </si>
  <si>
    <t>…len los hechos; estos os deberán zaban á la España para intervenir en los negocios de Portugal, y que se ex ser ahora conocidos dé un rttórfó exacto. No será únicamente la Sdmihísíráciori tendía ademas á que cediese de su derecho D. Miguel á la corona de Portugal, quien hablará á la Cámara y á la Francia, sino las prismas (colonias que harán lo mismo que D. Carlos del suyo á la corona de España. Se susurraba igual oir su voz por medio dé sus delegados. mente , bien que esto ya era sabido, que él general español Rodil había en «Se ha…</t>
  </si>
  <si>
    <t>…y el segundo en Aldea Gallega, escoltados mamente conferidos, y el gobierno se obliga á proveer á su subsistencia á pro ambos hasta dichos puntos, y acompañados de sus familias y servidumbre. Las porción de sus grados. tropas de D. Miguel debían restituirse á sus hogares, bajo las condiciones que Art. 4*° Se tendrán con los empleados eclesiásticos y civiles las considera les había otorgado S. M. I. el duque de Braganza, como aparece del documen ciones de que ellos se hayan hecho dignos por sus servicio» y cualidades. to que se inser…</t>
  </si>
  <si>
    <t>…rer, y se esperaba que se reuniese á ella la escuadra francesa. (Globe.) menta las fuerzas de la nación francesa, y por consiguiente su influjo diplomá tico en Europa, por lo menos , en 809 hombres. _ —T,a ausencia de D. Cárlos y D. Miguel es un gran triunfo para la causa El apoyo pues que se dan las Potencias coligadas es recíproco, y no qui constitucional de España y Portugal. Hay ahora motivos muy fundados para siéramos haber leído en un periódico , favorable al gobierno francés, una ex que se restablezca la tranquilidad en estos…</t>
  </si>
  <si>
    <t>…scarmiento de ios cabecillas Cuivíllas y Basilio, ha reanimado tamo obligar al Pretendiente á internarse- ' - / el espíritu de todos sus habitantes ,• que hasta los mismos de quienes no sin ra Esta especie de aviso/que advertía i D. Miguel su peligro , de nada sirvió. zón se desconfiaba, han tomado interes en la destrucción de los facciosos. Su conducta ostensibleTue hostil: las operaciones secretas y tenebrosas lo fue ron mas. El gobierno español, convencido de lo que debía á su .dignidad y se El mismo -comandante militar de Logroño…</t>
  </si>
  <si>
    <t>…ias con el almirante remite el siguiente parte: ' de Rigni los embajadores de Austria y de Prusia. Excrno. Sr.: El coronel D. Saturnino Albuin, comandante de la 2 1 bri __ Acaban de llegar á París‘el duque de Cadaval, ministro de D. Miguel, y gada de operaciones en la sierra, con fecha 17 del corriente, me dice lo que sigue desde Covarrubias: »Excmo Sr.: Antes de amanecer salí ayer de Huertassu hermano el duque de Lafoens con sus numexoaas familias. de Rey, y caí sobre E-pejon, creyerido, según noticias, que Merino con toda su facció…</t>
  </si>
  <si>
    <t>…e que en ’ »Sc sospecha que este extrangero, qúe rehúsa declarar su nom tódo él mes de Enero último se incorporaron en él 128 hombre» bre, as un oficial ruso de ilustre nacimiento';'’ ,• / con 15 caballos, fugados del ejército de D. Miguel, y en el me» .Reina todavía en Argel mucha incertaJumbre acerca' del por dé"Febrero lo verificaron 253 hombres con 28 caballos. (Id.) venir; Ayer anunciábamos queTa comisión ¡de Africa se ocupaba , El gobernador militar de Faro da parte al general en gefe con cóú mucha actividad'de la última parte…</t>
  </si>
  <si>
    <t>…iroz del Í2 de cazadores. La segunda columna compuesta del regimiento de aprehendido 15 carros de vestuario, monturas, paños y armamento que iban infantería nóffi. 10, dol primer batallón nacional fijo de Oporto, y del resto para D. Miguel con dirección á Santarem. déla caballería, y á la cual se unió el primer batallón nacional movible, vi En la madrugada del dia 24 una emboscada de tropas de las que guarne niendo por órden mía de Freíxeda, en donde se hallaba destacado, asi como cen la plaza de Marvaon sorprendió una porción de mig…</t>
  </si>
  <si>
    <t>…n honra al Gobierno y al carácte» á los asuntos de Portugal. Este escrúpulo, corto en verdad, es que hemos visto religioso de lá nación española, y al anunciar que ha visto con el mayor dolor al desenlace de estos que el Príncipe D. Miguel hizo renuncia formal de sus asta maldad tan execrable, ha creído la comisión que sus expresiones sañ muy derechos y pretensiones, y estipuló sobre su futura «rondicion, al paso que dignas y oportunas, y que en cierta manera satisfacen los deseos de los espa- nuestro Pretendiente nada renunció ni na…</t>
  </si>
  <si>
    <t>…inante; pero debe advertir que formaría contra sentido la expresión gloria, Príncipe cayese en manos de las tropas leales. porque esta no hace acreedor al ejército 4 la be nevóle vñd y si ntonocimietíta k » Rendido el ejército de D. Miguel, embarcóse este para Italia; y Don que alude el párrafo: antes es una cosa superior á estos dos. En cuanto á. la glo -Carlos fue puesto á bordo de ún buque ingles. El Gobierno español hizo desde ria de que se cubre el ejército español es incontestable, y creo no necesita ex luego las oportunas recl…</t>
  </si>
  <si>
    <t>…].~31a La integridad'del ■«Omito recordar tpJalcñque se ha dicho"-; para manifestar que terrltoiiQ portugués. El auxilio de tropas para acabar con la do- es incompatible laexistefidha de un gobierno constituido con las mmacion de D. Miguel, y defender el gobierno &lt;^e la Reina f¡on- -asociaciones. No reproducá!, la opinión deAVasFiington, ni -la-del tra todo ataque de enemigos exteriores. Y 5.a hacer que D. Miguel congreso de los Estados-Unidos, ni Jas leyes de la Constituyente, no vuelva d‘poner los pies en Portugal. (Tíme/.).. dé la…</t>
  </si>
  <si>
    <t>…El capitán general interino de Castilla la Vieja ha dirigido &amp; dos habitantes Múm. l.° nmá ycJExbtno. SftzsTcnmiflada ¡a cuesüoo que .pitaba al.P-or-r desu-pravipcta- la sigmente rprecláma: ■ T /\in.i tngal ',.y convenido el;Sr. D. Miguel en dcjtir.este reina áuSU il^ítima Sobqra- »Soldados j.- I mil iciattos tlrhdnos, castellanostodos: por el’ extraordinario na Dofia. Mari&amp; Si^ parecc llegado eLcasó ds que V. É;L cfi^t la voz ¿c la qtie hérecibido esta mañana seiráé comunica de Real órden por él ministerio justicia y la razón,- det…</t>
  </si>
  <si>
    <t>…órden de no volver mas, pero Florencia 10 de Junio. se les aseguró que quedaban comprendidos en la amnistía. Acabamos de recibir noticias de Nauplia, cuyo contenido en sustancia es Se asegura que los únicos bienes que posee ahora D. Miguel en Portugal, el siguiente: consisten en una pequeña fioca de valor de 4® bbras (esterlinas poco roas ó me El 4 de Marzo S. M. el Rey Othon asistió á un gran baile dado en Ar nos , pues Jas otras propiedades del mayorazgo del infantazgo &amp;c. hace tiempo gos por los oficiales de la guarnición de esta…</t>
  </si>
  <si>
    <t>…es de una manera pública, solemne, los derechos que pudieran alegar D. Cárlos y gente perdida, envolviendo á su desgraciada patria en todos los horrores de y sus hijos. la guerra civil: lo consideraré solamente cotno el aliado de D. Miguel, como «Este es el único medio de quitar armas i los partidos, de asegurar las el representante de la Santa Alianza, como el caudillo de un partido el mas' libertades de lá nación , de afianzar su suerte futura. &lt; Cuál seria en otro caso opuesto á la prosperidad de esta nación desgraciada , y de un…</t>
  </si>
  <si>
    <t>…observación, ha resuelto consentir por el momento en que triun tantos sacrificios hizo para el triunfo de la causa de su hija y de la independen fe de nosotros la ignorancia ó la finalidad, y limitarse: cia nacional. En cuanto á D. Miguel, dice el Globo, habiéndose sabido la 1. ° A promover la introducción de semillas nuevas, que releven á las an protesta que ha firmado contra su abdicación , es consiguiente que no se le pa tiguas de su servicio. gue la pensión convenida, á su salida de Portugal 2.® A repartir la sementera de trigo…</t>
  </si>
  <si>
    <t>…el Sun, las enfer ción de empleados verdaderamente instruidos, porque entrando á medades que aquejan á la guarnición de Santaren han debilitado servir sin conocimientos, adquieren solo hábitos de rutina, ha te mas las fuerzas, de D. Miguel que los ataques de D. Pedro, no solo nido á bieruS M. resolver que en las oficinas de Propios no se ad por los soldados que han perecido, sino también por los que han mitan en lo sucesivo escribientes, sino como meros temporeros desertado huyendo de la muerte. en caso de urgencia, 7 nunca meritorio…</t>
  </si>
  <si>
    <t>…e pa faltaban todos estos elementos, porque la escuadra había orlo apresada ¡ d ej¿p sará á los blfios.de Pirna-.El príncipe Gortschtkóff ha quedado interihasoente cito (excepto la caballería) se hallaba en un estado miserable; y D. Miguel encargado de los’Negocios de la embijada de Rusia; y ei conde de Valdbnurg- no quería seguir mas opinión que la suya propia. El primer puso de BourZein y Wuraach de 1» de lá embajada wurtemburgues*. El príncipe Pablo snont fue enviar á Larochejaquelta á mandar tais tropas dé Lisboa, pero Don Xnerha…</t>
  </si>
  <si>
    <t>…seda. suponer, pero fue contra el dictamen de Bourmont , y en efecto tuvo mal-¿x¡— PROVINCIA tUI BADAJOZ. ¿o á causa de que la infantería solo constaba de 8óU0 hombres. Sr. D- Antonio González. El día inmediato propuso Bourmont i D. Miguel el siguiente plan r le dijo Sr. D. José Claros. que supuesto que la contienda de Portugal era parte de la. lucha general que Sr. D. Vrnturade Mena. había en Europa sobre principios encontrados , juzgaba que la guerra en que se Sr. D. José Villanueva. jial aba empeñado debía mirarse mas bajo de un p…</t>
  </si>
  <si>
    <t>…e la obra en un pasaporte falso bajo el supuesto nombre de Antonio Perez. tris años. EV gasto de 21 millas de camino, sin contar La compra del terreno, asciénda á cerca de 2703 libras esterlinas. (Courier■) __—Se sabe también que D. Miguel había pasado á Genova desde Sabona. Se lee en el Correo de León de 22 de Agosto: ____ El gobierno ha decidido no proveer por ahora la cátedra de literatura da . o Ayer mañana se verificó en nuestra ciudad una prisión acompañada de U universidad de Edimburgo. (Gloie and Traoetler.) circunstancias mu…</t>
  </si>
  <si>
    <t>…r tjón informe a la academia 'Real de medicina sobre este curíosó de Código civil que se juzgüe'dignoxfc séf admitíd&lt;&gt;á'dís5usk)n: ótr0%^b^«á&gt; hahutarne ,&lt;ié,.lá ciudad de Landrecics, (Jico de la Frontera^) clusion del ex-infante D. Miguel y su descendencia de la sucesión á la coro na de Portugal; y otro aprobando íá'áCufikcion de cruzadoa hecha en Ingla negociqs. de Holanda'y Bélgica rán i tratárse'otra1 vez durante &lt;1 terra.” ., ' r.Losinvierno, y se ¿ree que sji conclusión sé. acordará eá París por el Influjo"y Sé dió /cuenta de var…</t>
  </si>
  <si>
    <t>…l trono c^wi&amp;qI , é interesado en la pros* I La tropa* deD. líedioqut se hallaban en Faro handesalojado de^Tavin peridad de una nacfofr, jxft Id tual líe tenuhciédfr i Ü*pirttU*que me vio na-1 jrd* Villarcal de &amp;- Amonio á las de D. Miguel, las cuales haa sdUda huyen cer, soy invariable en&lt;rpt$ principios4*' rectitud.foaptai y de legitimidad, I do. Mucho* habitante* de esto* do* pueblo* han huido también 4¡rigié&amp;daK d»* porque no, conozco otro senderó que él del honor y la lealtad; y que por lo 1 barcas k¡ la costa de España. {Notici…</t>
  </si>
  <si>
    <t>…al general son lo» tsertg que en Inglaterra se_Fo^ian: asociaciones pórqúoelflerecho de únicos franceses de alta graduación que sirven actualmente en el hacerlo es libre é ilimitado, mientras que en Francia este mismo ejército de D. Miguel. y ' ;- . • dereqho es una excepción del derecho común, Yitupera después í. —. . . Según la Gaceta de Augs burgo del 16 del pasado, la aten los autores del artículo 291 del código penal -fíá la restauración ción del gabinete de Viena se ocupa mucho en los negocios de por haberse valido de-él. Rocuerdq…</t>
  </si>
  <si>
    <t>…iones del generjl Anieo; siendo el resultado de que por mas dili Navarra y de Vizcaya. gencias qüe he practicado para tener noticias positivas de los enemigos y de los El tratado de 22 de Abril hizo caer las armas de las manos de D. Miguel puntos ocupados por nuestras tropas, nada de positivo he sabido ni he recibido y de sus soldados. Un artículo adicional á dicho tratado podria quizá conven- comunicación alguna de nuestros generales. rer á D. Cárlos y á sus partidarios que mas les valdria no haberlas tomado. Lo que llaga presente ú…</t>
  </si>
  <si>
    <t>…ir las cuestiones complicadas que produce esta época, ____ La Gaceta de Augsburgo, refiriéndose á noticias de Turin del S del ac fecunda en acontecimientos? El tiempo lo.dirá; mas en lo que conviene todo tual , dice lo que sigue: D. Miguel residirá por ahora en Roma , dejando á dos el mundo es en que reúne la integridad de conducta á la energía de carácter: de su comitiva en Genova para mantener sus comunicaciones con Portugal y circunstancias admirables para triunfar en las discusiones políticas. En los otros España. Se está negocia…</t>
  </si>
  <si>
    <t>…el. discurso eminentemente patriótico del ministro conde de Wettera* L06empleados■ del resguardo apósUdoB en la frontera han arrestado, noeelt ha calmado todos los ánimos. (.Éaerseu Hall) lejos de Bayona, á ññ portugues agente de D. Miguel, que se di^a al cuartel deD. Cirios: dos vecinos de Bayona se habían ofrecido, mediante la pnjm®- HUNGRIA. *a de Una buena paga, í llevarlo hasta donde se encontrase D. Carlos : tam bién están presos estos dos individúan {Indicador de Burdeos.') Pest 29 de Octubre. París 27 dt Noviembre. De algún t…</t>
  </si>
  <si>
    <t>…tendido antes y después de mi salida de Serpa , en el con-epto de que Moreno, lejos de obe decer la órden para disolver su gente , la aumentaba con los restos de Ja de bolsa db couekcio. ^Cotización de boy Á las tres de la tarde• D. Miguel , cuya soldadesca obligaba también á los oficiales á tomar partido EFECTOS PUBLICOS. con aquel. Estas noticias venían conformes con las que me comunicó d-cho go bernador portugués, añadiendo que la idea de Moreno era tomar esta plaza ó TítulosInscripcionesat portadorsobre eldelgran5 p.libro100, k68…</t>
  </si>
  <si>
    <t>…ertad de residir. XI ANO A. «Es verdad que no ha sido perseguido ni condenado judicialmente; pero ________ __.. ___________ París 31 de Julio. es notorio que sin estar autorizado ha desempeñado un mando superior en el ejército de D. Miguel. ! sesion regia.__Apertura de las Cámaras. ” El artículo 21 del código civil se le debe aplicar y y no puede volver é Hoy á la una S. M. acompañado de SS. A A. RR. el duque de Orleaes Francia sin haber obtenido antes permiso del Rey. y el príncipe de Joinville, del mariscal Gerard, presidente del co…</t>
  </si>
  <si>
    <t>…l estado aproximatlvo de los sueldos y emolumentos de que go mí á que explicase el concepto bajo el cual debía mirarse la llamada protesta zan la mayor parte de los Lores que han votado contra el bilí de diezmos de del ex-ínfante D..Miguel, publicada en los periódicos de Génova, á pesar de Irlanda. " haber censura previa y copiada por otros, sin que hasta ahora se haya declara El arzobispo de Cantorbery 1.7009 .florines; el obispo de Winchester do apócrifa, respondió que tenia noticia de dicha protesta por los menciona 1.6G09; el de…</t>
  </si>
  <si>
    <t>…d asen evitar las consecuencias de semejante suceso. propuestas hechas por los Sres. Silva, Retid uñe, Earreto y Soasa, para que ..Aunque las noticias directas que tenemos de Consrantinopla y Alejm- se declarase que el ex-íufante D. Miguel y sus descendientes quedan excluidos dría no nos preparen a una peripecia tan repentina en los negocios de Oriente, de la sucesión a la corona, y expulsos del territorio portusjues: resaltando el tono decisivo con que entra en esta cuestión un diario tan circunspecto y de dicho informe que dicha comi…</t>
  </si>
  <si>
    <t>…PLEMENTO A LA GACETA DE MADRID DEL SABADO 8 DE FEBRERO DE I8I4.. MtTVftAX. *le hirió 2 5 soldados,* 5 da ellos de gravedad. (Crónica constitueimai de Idrita de 28 de Enero.) Lisboa 3 de Fe Itero» —— Corre la voz en la capital que D. Miguel ha resuelto salir de Santara* con alguna artillería , publicando antes una proclama en que diga que abando El brigadier Pinto Alvarez avisa desde Marvaon con fecha 2 de Enero na la plaza, no por rcccJo que tenga del enemigo, sino para libertar de ia epi último,que á pesar de los esfuerzos de la tro…</t>
  </si>
  <si>
    <t>…o, una vacada y 15 caballos del regimiento de Chaves, ademas Una de ellas,fecha 3 del actual, añade lo siguiente: "Es voz valida en esta tfe'Jos muchos muertos-: tal ha sido la pérdida del enemigo: la nuestra consi:te capital que D. Miguel , en la revísta'que pasó el 28 de Enero próximo pasado, en 3 soldados y 8 caballos muertos, 4 oficiales , 13 soldados y 2 caballos he tenia unos 8$ hombres. ridos. ♦&gt;Ayer vino la orden para que toda la tropa de línea disponible en Lisboa Dios &amp;c. Cuartel general de Temes 3 31 de Enero de 1834=Conde…</t>
  </si>
  <si>
    <t>…favo Madrid 7 de Junio. rablemente dispuestos. y desde que se abrió se mejoraron nuestros fondos. Las operaciones han sido muy activas, y la liquidación debe hallarse muy adelan Según lo» últimos parte» recibidos por el gobierno, D. Miguel se embarcó tada. Los fondos españoles han estado muy firmes. Cinco por 100 consolidados, en Sines, á bordo de la fragata inglesa Stag, para un puerto de Italia: y no 10(5 francos: fondos españoles, renta de España al 3 por 100 , 44^* EmPr¿s* habiéndose permitido á D. Carlos tomar el mismo rumbo, co…</t>
  </si>
  <si>
    <t>…menos de recomendar á 27.. 80OÜ ps. fs....................... San Fernando. V. E. los señores gefe* y oficia'es citados en este parle , como adm sino al ca 25.118.. 3UUU. ................................. Daroca. pitán del ligero D. Miguel 0*et, y al cab.llcro cadete del Príncipe Don 9.936.. 2000. . .............................. Málaga. Joaquín Btrdu^o. Todo lo que tengo el honor de trascribir 4 V. E con ar- 12,308. . 1UUÜ..................................." Jerez de la Frontera. * reg'o á sus órdenes superiores. Dios &amp;c. Llodio 30…</t>
  </si>
  <si>
    <t>…a é invitada por el presente acto por S. M. I. el Duque de la completa pacificación de estos Reinos. Braganza, Regenteen nombre de la Reina Doña María ii , y te- • niendo ademas motivos de justas y graves quejas contra el Infante D. Miguel, por el sosten y apoyo que ha prestado al Pretendiente Texto español del Tratado celebrado en Lóndres el de la corona de España, se obliga á hacer entrar en el territorio dia 22 de Abril próximo pasado, entre los Pleni portugués el número de tropas españolas que acordarán después am potenciarios de…</t>
  </si>
  <si>
    <t>114 deseada; hoy, habiendo salido de Xassy á las 12, atravieso los aires y P® trai han reunido muchas Jbandas de insurgentes, que aunque no han empezado to go lina noticia ño rúenos agradable, y es que el príncipe Miguel ha sidp con davía lá hostilidad; se mantienen en una actitud amenazadora. £1 laja no sagrado el 26 de Agosto de 18347* ¡‘ v será el primero que saque la espada; pero á la verdad hó está teuy satisfecho L'a noche de este día solemne y las dos siguientes estuvo toda la ciudad &lt;lc que á vistá suya se…</t>
  </si>
  <si>
    <t>…r. Secretario de Ha tarse por el pago. Esta máxima nos llevaría muy lejos, pues conduciría 4 que cienda , 4 quien ruego rectifique mi idea , il no es exacta, manifestó en la dis se aprobasen por D. Pedro las deudas contraídas por D. Miguel; y 4 que nos cusión anterior que no convenia hacer diferencia «ntre la deuda francesa y la otros pagásemos las que pudiese contraer D. Cárlos. inglesa, ni manifestarse mas favorables 4 una que á otra.” «Ademas el hecho es que hay reprobación anterior de parte del Gobier El Sr. Secretarla de Haciend…</t>
  </si>
  <si>
    <t>…, devu-ivo la bandera que los Combinado con el de Doña Ataría de la Gloria, ha conseguido en pocas se habitantes de Nimes confiaron al 4*° batallón de la legión extrangera cuando manas los resultados mas memorables. Las tropas de D. Miguel, acocadas en te organizó este cuerpo en vuestros muros. Las disensiones que despedazan á todas direcciones, derrotadas en varios encuentros, se desalientan, se disuelven,España hacen que necesite á todos sus hijos: el brazo de «tos no puede dejar se. someten. D. Miguel Lu.c; todas las provincias le…</t>
  </si>
  <si>
    <t>…alvó la mónit'qiiía y la so^ y li fragata se mantuvo á la vista. El S llegó úna goleta inglesa de Lisboa" que ciedadde laífuria Be sus efiemigós; ’ pero los electores han hechp quizá mas dió ¡a noticia de haberse rendido en Evora D. Miguel, y bailarse embarcado en ahora por la causa ‘de la libertad, dé las leyes y cfel órden, porqué con el nom una fragata de guerra de S. M. B., que quedaba fondeada en la bahia de Casbramiento dé los diputados elegidos han desanimado á las facciones, si es que caes esperando órdenes para ir á su desti…</t>
  </si>
  <si>
    <t>…de España y Portugal; pues en gocios. cuanto á España temo mucho que solo esté suspendida, la.lucha, y que no se . ' TRANCIA. i renueve á( 14 primer* ocasión con mas fuerza y encarnizamiento que nunca. So París 31 de Julio. • bre D. Miguel debo decir que ha perdido-el trono, no por el esfuerzo de los portugueses, sino, por el pro y los auxilios de la Inglaterra. La Cámara de los Comunes ha adoptado :cn la sesión del 23 de Julio úl »Lá Holanda , nuestra antigua y fiel aliada, que se ha visto abandonada, y timo, la terpera lectura del…</t>
  </si>
  <si>
    <t>…on este motivo no puedo menos de hacerme cargo de una reflexión los! ¡No'pudo haberse hecho asi estando á una legua el general Rodil en el que he oído en la discusión de hoy al Sr. Calderón y Col lames, quien defen momento en que D. Miguel sucumbía y D. Cárlos estaba á discreción! Si se diendo la soberanía ha dicho que so hablaba de la popular, sino de le sobe «hubiese procedido entonca coa esta previsión, que debió atar al alcance de ranía de los poderes del Estado. Yo convengo con S. S. que en tiempos de ór- nuatro Gobierno; si se…</t>
  </si>
  <si>
    <t>…as importantes cuestiones que Se acordó que se imprimiese y distribuyese para ponerlo en discusión des quieren discutirse, no pueden ser resueltas satisfactoriamente por la junta su pués del proyecto de ley relativo al ex-infante D. Miguel. perior de Comercio reunida en Paris, y que un asunto tan grave como el que La Cántara accedió después á varias indicacionés hechas por algunos di se refiere al sistema de aduanas solo puede tratarse por las Cámaras. El consu putados, cuyo objeto era pedir ciertas noticia* al gobierno respecto a los…</t>
  </si>
  <si>
    <t>…s; guardaos de interrumpirlas en su obra: si lo hacéis si pues no hay duda que las cuatro naciones han determinado expulsar á 4os In no queráis tolerar que se.alce un gobierno al lado del-gobierrio; que una -«k fantes D. Carlos y D. Miguel del territorio portugués, como el primer paso ciedad oculta que cifra su prosperidad en el desórden, socave la sociedad cons necesario á la tranquilidad y firmeza del trono de Doña María. Pero cuales tituida que en todo procede sin rebozo , hasta tanto que se ¿lenta con fuerza quiera que sean las medid…</t>
  </si>
  <si>
    <t>…itectos, ya sean de los empleados en las obras ha tenido el éxito que se deseaba ya con la intervención española, justificada de la villa ó de particulares. Su remuneración ó estipendio se decla bastante por el apoyo que prestaba D. Miguel á D. Cárlos, y ya con el cum rará por el corregidor. plimiento de tina de sus condiciones, que era la promulgación de una amnistía, amnistía de tal ciase, que antes de darla D. Miguel hubiera preferido perder 60- El maestro bombero, que deberá asistir indispensablemente la corona. (Crlobr.)á los fu…</t>
  </si>
  <si>
    <t>…de las , relaciones exteriores de España alcance ari restablecimiento ds la tranquilidad en .uno, y otro reino, empezando &lt;«n las demás Potencias. Gonctuida leyó S- Ec los cuatro docilitemos princi por expulsar de la Península á D. Miguel, y a D. .Cirios. ÍJ‘ Qúc asentada pales que acompañan á su memoria ,y son: 1.? Tratado entre fós Estados- desde luego esta base, podriré enlabiarse las negociaciones convenientes, no Unido» de América, y España rejpectq á mutuas reclamaciones’ de lós súbdito» sobre el firt, sino sobré lo» medios: 3…</t>
  </si>
  <si>
    <t>…rtu la intrepidez de que ya han dado tantas pruebas. S. M. loba visto con alegría; gal, de lo6: Algarbes y sus dominios. * y es su alta voluntad, señores, que se lo digáis, no solo al cÜ8n-9 corpnel á Alt. \^»E1 citado ex-infante D. Miguel y sus descendientes quedan quien, habéis confiado el mando inmediato de vuestros contingentes, sino á desterradósdcl territorio portugués, sin que en ningún tiempo puedan., entrar todos los individuos en particular que lo componen: oficiales y soldados, to en él, at gozar de ningunos derechos polític…</t>
  </si>
  <si>
    <t>…dir el citado consejo, sin necesidad de orden vigor la ley marcial, no necesitaba el gobierno ninguna autorización especial superior; y serán inmediatamente arcabuceados. El proceso sera verbal y suma- para castigar kl ex-infante D. Miguel y á sus secuaces, fuese cual fuese el mo rísímo; debiendo fenecerse en el término de 24 horas, y sufrir los reos la do, el lugar ó la forma en que intentase levantar el estandarte de U rebelión pena señalada.” contra el gobierno legítimo de la Rüjna. Esta ley existe, Sr. Presidente: fue Los Sres. Sán…</t>
  </si>
  <si>
    <t>…Haba y Guareña. reís al que so apodere del ex-infante.” El Sr. Liberato hizo la siguiente proposición, que fue unánimemente PROVINCIA »B lAICXLOS^ aprobada: «Propongo que para dar la mayor solemnidad á la exclusión del ex infante D. Miguel del trono portugués, se firme esta resolución por todos los El cólera seguía su período descendente en la capital de está provincia, individuos de la Cámara." pues en los dias 30 y 31 de Octubre anterior solo fallecieron 1 en ella de toda El Sr. Jervis pidió que el Sr. ministro de Hacienda manifestase…</t>
  </si>
  <si>
    <t>…ó muy satisfecho de ellas, y doy en nombre de S. M. las gracias á este gefe, dados por fallecimiento de D. josef Patricio Waouffel, vecino y agente de oegbcíos y todos los gefes, oficiales é individuos de dicha columna y de la de D. Miguel que fue de esta corte, par¿ que en el término de 30 dias, contados desde este, acudan Cosío que concurrieron á la acción de S&lt;*dupe; y prevengo al brigadier D. Ra 4 ejercitarle en el juzgado del sr. D. Joaquín de la Escalera, del consejo de S. M., su món Gómez de Bedoya, que haciendo de sus columna…</t>
  </si>
  <si>
    <t>…solutamente quiera punto que lo permitiese el terreno. precito para tiempo de paz, sino á lo que puede ser necesario para una guerra Hácia el medio dia notamos grande algazara en las filas enemigas Con mu imprevista. chos vivas á D. Miguel, y supimos posteriormente que eran producidos por la El Residente pone á votación la propuesta del Sr. Lacuée por párrafos: la lectura de la orden del dia en que su general fijaba el itinerario del ejército en Camara solo admite él segundo, que «reduce á dos el número de almirantes”, su marcha vict…</t>
  </si>
  <si>
    <t>…Capítulo 8-° Juzgados de primera instancia, 5.511,4^0 fr. Aprobado. Es indudable que en este caso serán llamados á su país todos los ingleses que Capítulo 9.° Tribunales de comercio, 178,300 fr. Aprobado. se hallan al servicio de D. Miguel, y que se protegerá i los que están dispues Capítulo 10. Juzgados de Policía, 62,400 fr. Aprobado. tos á servir á la jóven Reina: también se interceptarán definitiva é inmediata Capítulo 11. Justicia de Paz, 3.103.001 fr. Aprobado. mente todas las comunicaciones por mar entre los miguclistas y los…</t>
  </si>
  <si>
    <t>…mbre tauración de la antiquísima ley de Partida, que llamaba í las hembras, á falta de la Reina Doña María n , y teniendo ademas motivos de justas y graves de varón en igual grado, 4 suceder en la Corona. quejas contra el infante D. Miguel por el sosten y apoyo que ha prestado al Con júbilo y entusiasmo acogió la nación entera esta sábia disposición de Pretendiente de la corona de España , se obliga ¿ hacer entrar en el territorio su Rey; tanto mas grata á los españoles cuanto cabalmente llevan por blasón portugués el número de tropa…</t>
  </si>
  <si>
    <t>…rar, y eñ consecuencia se ha resuelto prolongarlas por tiem rifica xin embargo en circunstancias favorables áambos paires, pues obligando po indetermin^Ho. EL conde de Munch Bellinghausen, presidente de U Dieta de á D, Cárlos y í D. Miguel á que hagan causa común, ha 4$ jCffsultar natura^ yra.qrfnrr ‘ apiha de comprar una magnífica fcasa enViena por la suma de I&amp;3 mente igual simpatía de principios y de política en los ¿obiemps de España / formes: ^tcTSa hecho mucha sensación entredós diplomáticos, pues esta ¿rPortugal para hacerles…</t>
  </si>
  <si>
    <t>…ular aprecio quo tía de la libertad de los pueblos. um habéis inspi rado.cd.uis.” ____Sabemos por noticias de Portugal que la mayor parte de las ciudades de AlBNAVIA. aquel reino han reconocido ya á Doña María después de sometido D. Miguel, Maguncia 17 de Junio. y que muy pronto la soberanía de la jóven Reina será general en todo el país. Los m'guclistas se presentan diariamente para aprovecharse de la amnistía. El mayor general austríaco Piret, comandante superior de las tropas de la Confederación en Francfort, ha sido nombrado coma…</t>
  </si>
  <si>
    <t>…or el diera asiático,brigada de la división activa. Mañana esperan en el cuartel general de la divi sión al teniente general Soult. (Diario de París.) SCSCRIPTORES- Re. de OH. Cartas recibidas hoy de Génova anuncian la llegada de D. Miguel á aquel S. M. la Reina Gobernadora............................................................. puerto , á bordo de la fragata inglesa Stag. (Monitor.) S. A. el Sermo. Sr. Infante D. Francisco de Paula Antonio......... S. A. la Serma. Sra. Infanta Doña Luisa Carlota, su Esposa. (L). . Han entrado d…</t>
  </si>
  <si>
    <t>pür&amp;UtfA ño ftogan náda; la loza pintada. 6 ^blanca, 5 talersla porcelana beral en 1326; fue a ibuscar á D. Miguel como Infante, como regenté en blanca ¡ó pintada &gt; listada Ác colotes, pintada y dorada, 10 talers j las mismas &gt; nombre del Rey legítimo y tomo futuro esposo de la Reina. El modo a;- ipatoríaa asráaltadas por medio de metales comunes, 25 talers; las materias regado y resuelto con que despidió del s…</t>
  </si>
  <si>
    <t>…en que este se haftába de reconocer y jurar á S. A. R. (aho plenipotenciario , expresó «que este ya no tenia que tratar del asunto con $. A., ra ia Reina mi Señora Doña Isabel ii) por Princesa heredera del trono, sino con el Sr. D. Miguel.” según las leyes fundamentales de la Monarquía; como también en cuanto i Con presencia de tales y tantos desacatos, se sirvió expedir S. M. la si las medidas de precaución que se sirvió dictar el difunto Soberano para evi guiente tar el funesto indujo que pudiera tener en el sosiego de este reino l…</t>
  </si>
  <si>
    <t>…mejor que en. ninguna parte po trar los esfuerzos de la insurrección de Navarra y Vizcaya, El tratado de 12 drán juzgar todos los que quieran asistir á estos cursos de la importancia y uti de Abril hizo caer las armas de manos de D. Miguel y de sus tropas: las cláu lidad de su institución- sulas adicionales de ahora convencerán á D. Cirios y i sus partidarios de qué En cuanto á su objeto y á su forma, el título mismo los determina; aquel hubiera sido mas prudente para ellos no haberlas tomado. debe ser la exposición de la carta y de las g…</t>
  </si>
  <si>
    <t>…al limo, diocesano, á que riscal conde Saldanha que en Lamego está arrestada toda uná compañía del ba contestó la tropa, las autoridades espectadoras y el pueblo entero con el ma tallón de la misma por haber intentado entregarse. D. Miguel estuvo ayer yor entusiasmo. en Salvatierra á cosa de las dos de la tarde con la guardia de una compañía de Por la tarde hubo un lucido y alegre paseo, en que los habitantes de toda* lanceros t pero se detuvieron pocas horas. También han sido apaleados dos sol las clases y condiciones manifestaron e…</t>
  </si>
  <si>
    <t>…y D. Miguel Mirambell: los capitanes D. Vicente malvados en Falset en las personas del capitán D. Miguel Sala, en eL teniente Llorens y D. Mariano López, el primero graduado de Teniente coronel; y el D. José Castañeda y el cadete D. Miguel, hijo del expresado capitán, todos subteniente D. Gerónimo Vidal, todos del regimiento de Bailen: el teniente del regimiento infantería de Bailen, 5.° ligero, del subteniente de voluntarios coronel capitán de carabineros de costas y fronteras D. N. López; y el sub Solé y otros varios que no se tira…</t>
  </si>
  <si>
    <t>…s del tesoro. %G. de Augíburgo.') - V . v •• - Éáéadajríicntc. ségun erl dictámén de Bourmont.á Saldafia y áTercera con alguna — Florincia t\ 'de Junio* &gt; ^ r probabilidad de ¿tartaja , Je- dice que el general Lentos representó á D. Miguel la inutilidad del c'ombate, por la intervención de fuerzas luperiores con quo «Acaban de estipulárse las condiciones de un tratado de ^pat , de amiitad y ppdian'qbrártaJng'laierríyEspaBa. 5 ‘ T de Comercio eDlrc S. A. I. y R. nuestro muy atoado Soberano, y &lt;5.1 Eibpera:- y El Émperadorha pasado revisu…</t>
  </si>
  <si>
    <t>…acaba de obtener patente por una innovación que no tugal.7 las modificaciones del ministerio ingles han hecho aquí una gr&lt;n_s«p~ podrá «nenio» dc^úfritpay biea.adtnitid» por lo» aficionadés.'Consiste- esta inno velón* La caída de D. Miguel ha excitado c] entusiasmo de un gran número vación en una futría dt presión que afloja y pone tirantes las cuerdas sinne- de berlineses» 7 aun.aquello* que tienen sentimientos opuestos en política reco cesidid dé clavijas, pudiendo cualquiera témpfar el instrumento por medió de nocen que este suces…</t>
  </si>
  <si>
    <t>…á Gospcfrt. reno presentaba, llegar á la cumbre al mismo tiempo que los enemigos, «sota i anuncia que esta triste noticia se'comunicaba por extraordinario dos por la columna del centro, principiaban i ocuparla. . á U. Cárlos, y a D. Miguel, hermano de la. Princesa difunta; habiendo supli- Nuestra reserva continúa este mismo movimiento, siempre de altura en al Cári&lt;w« É&gt;b ern0 friace&gt; P?rmiticse Paslr por Franca el correo dirigido á Don tura con el expresado comandante D. Manuel de Vicente; pero como los rebel de» habian subido por un…</t>
  </si>
  <si>
    <t>…a sobre poco mas ó menos. so del permiso para que se pueda verificar su identidad en los casos que ocurran. 12. «Las multas que se impongan por los generales y géfes de división, Escriben de Génova con fecha de 7 de Setiembre que D. Miguel había • deberán ingresar en la pagaduría del ejército para ocurrir á sus atenciones, lle llegado allí ja víspera, viniendo de Roma, con su comitiva. Se apeó en la po vándose cuenta exacta de ellas, y dando conocimiento á este vireinato y capi sada dél Correo. tanía genefal- - 13. «Finalmente los pá…</t>
  </si>
  <si>
    <t>…dia. cer, que habían reunido qnos 1S00 hombres del partido de Alca- Las tropas-de'esta Señora llegaron a Sálamonde, donde tuvie ñiz, catalanes y valencianos, pasaron el dia 7 el Ebro por'Mora, ron un pequeño encuentro con las de D. Miguel, que fueron ba bien por evadirse de las tropas reunidas en Alcañiz, ó persuadidos tida». de engrosar su gavilla en Cataluña por avisos de los malvados, que nunca faltan, cuando se trata de enriquecerse con el saqueo y la rapiña. Pasaron ¿Gandesa aumentando su facción, pero muy pron Los sugetos que…</t>
  </si>
  <si>
    <t>…o al parecer ccm mucha circutisptc- •otgaoizaeiomdel-ejército de tierra. (G. di Augs burgo.) cion , que la Inglaterra y la Francia no pueden menos de ponerse de acuerdo sobre la necesidad de alejar de la Península á D. Carlos y á D. Miguel, pues JRLG1CA. to que este es el primer paso que hay que dar para restablecer la tranquilidad en uno y otro país. , Brusela/ 29 de Abril. Anuncian varios diarios que el general Goblet no ha sido recibido todavía El Globo no se atreve á salir garante de la aütenticidad de los rumores -por la corte d…</t>
  </si>
  <si>
    <t>…guehalla en el mism'o caso márchará déñtro ifé algunos dias. '&gt; •«, “ s : í ; listas.un ardS^tey1 qué lesftie-negadó.y desfajes! sé -tesolviéroñ'’á rendirse. «Los burgomaestres y consejo de Estado del vorort esperan que S. E. :Sé D. Miguel nó-épeóntró tampoqp roasrecurso &lt;jue.emba¡rcarse á bordo de uq naconveticérá de que por sn'parte jamas han omitido tomar las precauciones'qua yío inglés Eybsjtwíficias se hán recibido de Lisboa cbñ fecha de "¿7 de Mayo. podían exigírseles para conservar y afirmar las relaciones del derecho de gente…</t>
  </si>
  <si>
    <t>…viado dicho general , con ei objeto de El Correo francés dice lo siguiente : «Si se ha de dar crédito á los perió perseguir á los otros batallones de Luqui , Latorre y demas, y los restos dis dicos de Lóndres y París favorables á D. Miguel, el primer acto del partido persos el día anterior, se cootinuóel movimiento recorriendo ios mismos pun constitucional en Lisboa ha sido una reacción contra sus adversarios. Según es tos, que registrados escrupulosamente produjeron por resultado el encuentro y tos papeles, los constitucionales no s…</t>
  </si>
  <si>
    <t>…nte! de la Alemania.'’ • calculada para extiaer ta¿ierra'y voltearla con poce esfuerzo dé Jos animales. El Sr. Sagra da la preferencia á esta nueva forma sobre la de los anteriores ___Una carta de Bolonia del 17 de Octubre dice: «D. Miguel paso por esta arados. . , „ v ciudad en la noche del 13 dirigiéndose á Roma, y de allí, según se dice, a La introducción de.los hueves instrumentos afatoríos, entre los cuales se. Viena. Después dejó á Roma de repente, y para no pasar por las Marismas de comprenden los extirpadores, para reemplazar…</t>
  </si>
  <si>
    <t>…de Noviembre último se previno que las ferias El 2i se celebró un consejo de ministros en el palacio de las Necesidades y mercados debían fijar particularmente la atención de los goberna para tomar en consideración un despacho de D. Miguel , el cual no rehúsa ne dores civiles de las provincias, por ser estas reuniones periódicas las gociar con intervencioú del embajador ingles (GjW’í.) que mas impulso dan al comercio local, las que facilitan la venta de frutos, y lasque proporcionan á los consumidores ocasión de pro ____El duque de N…</t>
  </si>
  <si>
    <t>…retira su proposición, tanto porque el Sr. ministro de felizmente con las anteriores, resultando una masa de 73 hombres, bastante Hacienda ha manifestado que algunos miles de francos mas ó menos no le im por sí sola á combatir á D. Miguel. pedirán atender á los individuos de que se trata, luego que el gobierno esté En este caso y sin perder momento se avistaron el 9 á legua y media de ilustrado completamente sobre esta cuestión, cuanto porque el Rey ha tomado Coímbra los dos generales aliados, y trazaron los movimientos del período s…</t>
  </si>
  <si>
    <t>…xtremadura avisa que desde el últi 10 del corriente, que la salud pública de aquella capital y provincia se hallaba mo parte que dirigió á este ministerio ha llegado á su noticia que el gobierno en el estado mas'satisfactorio. dé D. Miguel ha pedido á Evora, Estremoz, Villaviciosa, Borba y otras vi El gobernado^ civil de la provincia de Jaén, participa con la misma fecha, llas del Alentejo, Í4.O carros de muías con destino á Santaren, de que se ¡nque habían desaparecido las enfermedades sospechosas que se presentaron en el fiere que…</t>
  </si>
  <si>
    <t>…lograr todos los ma&gt;ores pro D. Andrés de Castro , D. Robustiano Pequeño, D. José Sánchez y D Ra ductos de este ramo, su mejor manejo y administración. Las dos subdelegacio món Tajoncra;-en trigonometría plana D. Angel Hernández, D. Miguel nes que había en esta establecidas en Ay amonte y dracena han quedado las Rúa , D. Francisco Villamil, D. Gervasio Araujo, y dichos D. Pablo Carcamismas, con la diferencia que desde l.° del corriente cada una ha de adminis fio, D. Andrés de Castro, D. Pedro y D. Robustiano Pequeño, D. José Sán trar…</t>
  </si>
  <si>
    <t>…simismo de lo expuesto por V. E. y V. SS. en 2\ de Las última* noticias de Portugal, y particularmente la toma de Lelría con Octubre último sobre el particular, se ha servido S. M. mandar que se reitere todas las fuerzas que tema D. Miguel en aquella ciudad (toma de mucha im á los administradores de aduanas el encargo que se les hizo por esa Dirección portancia por lo que puede facilitar la de Coimbra), nos hacen esperar el pró general en 6 de Abril de 1832, recomendándoles el uso de la buena tinta para ximo fin de la carrera militar…</t>
  </si>
  <si>
    <t>í qus ha Iráido el Omití. Según estas noriciat parece'que te .han comnúufo de-t ftic mas que en España: pues se anticipó aun a la misma Inglaterra en introdu eictidameme las negociaciones ton D. Miguel, y que se- espera verlas termina-, cir el elemento popular para la formación de ios congresos nacionales. Noso das dentro de poco. Sé hallan én tan mal estado los negocios de D. 'Migue!, tros á la irerdad hemos conocido el feudalismo, porque era. imposible que no tan desvanecidas sus esperanzas y t…</t>
  </si>
  <si>
    <t>…igan ejerciendo como hasta aquí la jurisdicción privilegiada dar esta breve explicación, debe añadir sobre un asunto que parece interesar .que les corresponde por las ordenanzas y reglamentos particulares tanto al noble lord, que D. Miguel se halla á estas horas en completa seguri que les fueron dados por mi muy caro y amado Esposo (Q. E. E. G-), dad á bordo de un navio ingles. Esta corta discusión se termina sin otra réplica. no obstante cualesquiera órdenes qqe se dieren en contrario mien tras no las reciban comunicadas por mi mayo…</t>
  </si>
  <si>
    <t>…, que permanecerán allí 93 años, acu mulándose los intereses dé los intereses sin que se toque á ellos. Diez años an tes de cumplir el plazo señalado, es decir en 191*5, abrirá la academia de San La Gaceta de Francia , que cuando D. Miguel evacuó á San taren coa lo» Petersburgo un certamen para la mejor historia del reinado del Emperador restos de su ejercito, halagó á sus suscrípeores con la esperanza de que los suso Alejandro, escrita en idioma ruso; y en 1925 se adjudicará el premio. Los 5u$ dichos restos entrarían en España por Y…</t>
  </si>
  <si>
    <t>…nte necesario entrar en algunos detalles. No reasumiremos mas que los mas importantes.- ..... El 5 del comente escriben deJBurdeos que el barón de Bergen, á quien se ' En 1833 han sido importados en Francia: . le había tenido por D. -Miguel, y contra el cual el general Haríspe publicó usa 1 Valores eíec— _ Derechos pere i órden del día, acaba de regresar á Francia. Se ha detenido en Bayona, y los Cabezas. ti vos. bidos. noveleros se han ocupado con mucho intetes en averiguar el verdadero carácter de este personage, y el objeto de sus…</t>
  </si>
  <si>
    <t>…supuesto dé su antecesor, el presupuesto de gastos extraordinarios del ministro cer mas tarde España y Portugal loé empréstito» contraídos por D. Cárlos y de la Guerra para l.os últimos meses dél año, y el de Ja caja de Amor|iza- D. Miguel, la Bélgica los de Holanda , y la Francia los de Enrique v. Estos son ciep, Estos son los que la comisión ha examinado, y pp la han convencido: principios positivos. Ayer se d'jo por algún Sr. Procurador que no reconocer l&amp; que llamarle segunda .vez? Si ep la primera dijo que no había mas presu- es…</t>
  </si>
  <si>
    <t>…rán á presentar en el mercado sus aquella ciudad, y que ya se le tenia preparada casa para él y SU feMifóv*&gt; qW respectivas donativos para tan digno y caritativo ¡efe)0C0c{£i Reparador.) no es numerosa. La opinión general era que D. Miguel viaja pot- gfetPt jjaa iBflllgi't d París 11 ie TCoeientbiv. . decía que el paseo de Niza no es extraño á la política. {¡Diario dt París?) lonja di kap. Cinto por 1BQ cotasolidadrfe; -18ÍS fr. SS &amp; Fondos espa éoartrsiL ñoles : renta de España ai 3 por 188 27h Empréstito -Real dé ■&amp; 37f. Ren Lisboa…</t>
  </si>
  <si>
    <t>…104 ‘*ue hallaron presentes. sella, y ahora está en Ñapóles con la autorización de S. M. Y pregunto ahora: Los señores que aprobaron fuéron los siguientes: Samponts, Palaudarias, &lt;bajo qué concepto se puede decir que por hallarse D. Miguel en Italia está Riva, Domecq, Monres de Oca, Me Ir» no, Cabnnilbs, Vmals, Huberf, D. Sebastian mas cerca de é¡ que de Madrid? Si se toman tales expresiones eo 'Martínez'de la Rosa, Santafé , marques de Falces, Moscoso de Aitamira. Vega su sentido mat^fíal , son ciertas; pero nada significan; pero si…</t>
  </si>
  <si>
    <t>…Aludios de los jóvenes de la manera mas útil á ellos, á sus fa- efectos que desembarcó en Camina la balandra Escorpión, los cua : midas y á la sociedad , y que la precisión de trabajar para vivir ha les , aunque se dijo eran para D. Miguel, según informe de algu | de ejercitar siempre-su funesto influjo, aun en los genios mas su- nos sugetos de Braga, eran para el Pretendiente. El 11 marcho de ; periores. Es verdad que en las clases acomodadas hay otras causas Valenza con el almirante Napier toda la tropa de marina inglesa y | qne in…</t>
  </si>
  <si>
    <t>…5 de jlinio. hienden tanto á la razón y al pudor público* no ejercen absolutamente la me nor influencia'sobre los electores, sino para hacerles á veces formar tma idea Los tbryi mas incrédulos deberán ya reconocer que la causa de D. Miguel favorable de aquellos sobre quienes recaen ataques injustos y groseros. L» opi- ,.qupdasin esperauza alguiia, y que con .respecto á Portugal se ha llenado itom- ríion de los 'élritores, como yavj»éfiitís dicho , na Sacudido la tutelé á que esta ..^¿lamente el objcto de;la cuádruple alianza; Las not…</t>
  </si>
  <si>
    <t>…en cuanto al hecho de U duquesa de Berri, tros aliados, faltasen estos á ella, entregándole á sus enemigos; conducta que citado por el Sr. conde de Toreno, podi.t contestar con entera seguridad por F^paña misma hubiera seguido si D. Miguel se hubiera amparado cnton.es ‘haberse hallado en el mismo terreno y en el inó/no tiempo en que desembar de nosotros; porque no es lícito en tales lances portarse de un modo menos có dicha Sra. duquesa; y que tenia la convicción moral de que desde el mo digno. mento en que puso el pie en tierra la d…</t>
  </si>
  <si>
    <t>…ste! Gobernadora mis operaciones; y que cuando Dios sea servido terminar los dia á Doña Joaquina Ciriaca Lizarraga, hija del comandante de escuadrón I días de mi existencia ó cese en el ejercicio de mi destino por otro motivo, no D. Miguel, muerto en el campo-del honor. haya una sola persona que justificadamente pueda decir: el primer subdelegado del Fomento de la ciudad y provincia de Toledo me causó un mal, me hizo una injusticia: estos son mis deseos; estos son mis votos; ojalá pudierais ver mi bolsa db comercio.—Cotización de hoy…</t>
  </si>
  <si>
    <t>…mes ha propuesto el gobernador civil que se enajenen á No se sabia aun el 16 en Castel-o-branco ni en Valencia de Alcántara censo reservativo 24 huebras pertenecientes a propio»; también ha .estaLye.» .1 •&gt; que el Pretendiente ni D. Miguel hubiesen dejado su residencia de Chamusca dos almácigas, la una para arboles de regadío y la orra para arbo.es de &gt;e^a: ■. y Samaren. Ha visitado las fábricas de gefga de Peñaranda de Bracamente que comp - El general Rodil asegura que en los 34 días que contaba dentro de Portu ten va con las de Get…</t>
  </si>
  <si>
    <t>…consolidar su amistad, y convenir cu lo que deben hacer sobre cualquier Roma 6 dt Setiembre. acontecimiento í que pueda dar lugar el tratado de la cuadrupla alianza. XI jueves 4- del corriente á la* once de la mañana llegó i «ta D. Miguel (D. del C.) de Braganza, y te apeó en la posada de París, ó de Martignoni, calle del Ba , , _ . El gobierno ha recibido noticias de Constantinopla que alcanzan basta al buino: venia, según dicen, con pasaporte de su cónsul en Genova, y le acom 2o de Agosto. La escuadra turca no había salido aun: el…</t>
  </si>
  <si>
    <t>…ipal de Córdoba á Don Cayetano Antonio Martin , administrador de igual clase en Salamanca: la su El ayuntamiento de Castelserás solicitó, y le fue concedido, Real permi balterna de Daroca al cesante D. Dámaso Gómez: la de Lorca á D. Miguel to para aprovechar en el riego unas aguas sobrantes del rio Guadalope, que la Marchante, oficial cuarto de la principal de Lugo: la intervención de la de negaba el ayuntamiento de Calanda. Ocurrieron varias contestaciones entro S. Felipe de Játiva al cesante D. Pedro Juan Cardenal: la de Aranda de…</t>
  </si>
  <si>
    <t>…Mounier, Tripier, Mole , Gitod-, Decazes, Freville, Cousin, Villemam sido testigos del número y disciplina de los dos ejércitos contendientes, es crue y el ministro del Interior, aprueba algunos de dichos párrafos según los ha re D. Miguel no tiene probabilidad de triunfar. Santaren pudo haberse tomado dactado la comisión, adhiriendo animismo á una adición del Sr. Cousin; y el el 3 del pasado á no haber sido por las desavenencias entre el conde de Salda- presidente levanta la sesión. ña y el duque de Tercera, pero nada se hizo. Los 8…</t>
  </si>
  <si>
    <t>…dro, y valientes tropas de mi mando; del orden que han observado en las desembarcó 400 hombres de-Marina, que dejando las mochilas si marchas; ele su amor y decidida adhesión al benéfico gobierno de guieron á cortar las tropas de D. Miguel que se hallaban en el cas nuestra augusta y amada Reina Doña Isabei ii , confio en que en tillo de Farrabon, en Villanova; lo que consiguieron matándola su defensa verterán hasta la última gota de su sangre, y que conti bastante gente, haciendo muchos prisioneros, cogiéndoles asimismo nuarán siendo…</t>
  </si>
  <si>
    <t>…M. al príncipe de la Moskowa y al de EckmuhU (Standard.) pais de géneros coloniales y procedentes de Suiza , que los comerciantes se ven obligados a abandonar sus pegocios, no pudiendo vender sus géneros, por los -------Dicen que D. Miguel se dirige á Liorna , y no como se suponía á Ingla cuales han pagado derechos, al mismo precio que los contrabandistas. La pu terra. D. Carlos ya desde el 14. de Mayo escribió al almirante Parker para que blicidad con que estos últimos ejercen su, oficio, no ha debido ocultar este abu se le proporci…</t>
  </si>
  <si>
    <t>…a la primera al obispo tsLancia.de Langres, y para la segunda i M. Nando, gobernador de la mima de Perpifian. París 11 de Julio. HOLANDA. Dan algunas cartas de Génová lo» siguientes detalles sobré la llegada dé Haya 6 de. Julio.' D. Miguel á aquella ciudad. La llegada de este personaje, dicen , excitó mucho lá curiosidad pública. (Extracto de los periódicos de Amsterdam del 4 de Julio, recibidos por Una inmensa multitud acudió á la playa párá verle desembarcar; y todos, apevía extraordinaria.') Todavía no ha vuelto al Haya el ministr…</t>
  </si>
  <si>
    <t>…Sr. Don mismo estilo. José Becerra, electo Procurador por la provincia de Lugo; los del Sr. Don El Sr. conde de las Navas, como de la cnmtsion, contestó que la mi&lt;ma Manuel Montes de Oca , que lo es por la de^Cadiz, y los del Sr. D. Miguel habia dado su dictamen, fundada en que se había presentado va ma&lt;? de un Pardo Bazan, que lo e» por la de Pontevedra , igualmente que los documentos empresario, y que había naturalmente creído que podrían presentarse mas, si justificativos de la aptituJ legal de dichos señores; y de que hallándolos…</t>
  </si>
  <si>
    <t>…itor.') El dia 9 del presente seguían enfermas en Mondoñedo las tres personas — Fcrrihffn de Tolon con fecha del 6: que en ei parte del 7 del actual se anunció padecían el colera. »&gt;Un nuevo parte del prefecto del Var anuncia que D. Miguel tiene in tención de pasar á España por .Francia : no se sabe m piensa ir directamente PROVINCIA DE NAVARRA. á Vizcaya por los Pirineos, ó si se embarcará en Brest. Un ciato Eremond, d^l departamento del Finisterre, que salió del campamento de D. Carlos en los Según partes de 2 y 7 del corriente, de…</t>
  </si>
  <si>
    <t>…ducación de druple alianza por los respectivos gabinetes. seis huérfanos pobres. Semejantes actos honran no menos á la nación que lo$ ejecuta que al Monarca que los inspira con su ejemplo. El gobierno ha envia .___ El ejército de D. Miguel en Samaren se compone de ll.SóO hombres; el do 1009 rublos para que se distribuyan entre los cosacos del Don. Las provin de la Reina consta de los cuerpos siguientes: las tropas de Saldaña, opuestas á cias de esta parte del imperio han sufrido mucho en estos últimos tiempos y D. Miguel, ascienden a…</t>
  </si>
  <si>
    <t>…do del J&gt;onegal, habiendo dejado el citando ,su,salud lo permita^ volverá á España, donde acogido con entusiasmo puerto de Aldea Gallega el 3 de Junio. fódrtf sér érnpléadó con véníaja y utilidad d: sus compatriotas Los españoles D. Miguel debía embarcarse el 31 de Mayo en Sines para Génovj. aprecian, como e&gt; justo, la alianza de Francia ¿Inglaterra, y cuidan poco de Esta noticia contesta suficientemente á los rumores difundidos por los pe lo que pasa en los demas países. La unión que existe entre estas dos Potencias riódicos inglese…</t>
  </si>
  <si>
    <t>…to Han ajrastrado los torrentes casi todos los puentes que había en el cami en el mismo Tossagno,'su país natal. \ N» ", no d® hierro de Saint-Etiénce al ¿Loira. Él pueblo de Sainfc-Chamoud ha sufrido mucho también: en Rive-de- —-D. Miguel, que solo estuvo dos dias en Milán, se-dirigió á fariña. Gier ascienden las pérdidas ocasionadas por este suceso á mas de dos millones. A cada instante recibimos noticias desastrosas. (D. de París.') ____ El príncipe Maximiliano de Neuwied, conocido ya entre los geógrafos por las relaciones de un v…</t>
  </si>
  <si>
    <t>…indudable.” (D, de Comercio.) quebrantamossus preceptos, nada mas justo; pero que la ley ordene la infa mia , esto es ir mas allá dé lo que alcanza su poder , porque como dice Bell— —... El Diario dkRoma, anunciando la llegada de D. Miguel 4 esta capital, tham , la ley no sabe si la Opinión pública aceptará la libranza que se gira con persiste en darle el\ftul®*de Rey de Portugal. Pero - parece que este Príncipe tra ella. ha renunciado por eNpronto á sú proyecto de volver á la Península. «Espera, Otra clase de castigo que observamos…</t>
  </si>
  <si>
    <t>…es á la izquierda, marché á tomar las alturas de Sanñana en Golegana, añade lo siguiente: . fe.. . •&gt;Segun parece la acción de la Seiseira el 16 fue decisiva; pues ta Cruz de Viscargui, por la derecha de su falda, haciendo ir por D. Miguel no osó esperar en su decantada posicion-.de Santaren, y su izquierda á lá columna»del coronel D. Feliz Carrera; para tomar dichas alturas1, é interceptar el paso de Zornoza. Al llegar á la emihuye nácia Yelves.” nencia descubrida facción emboscada en los arbolados de Arechava- Yi en su consecuencia…</t>
  </si>
  <si>
    <t>…hallarse tranquilos sus respeCtrVoS" Vecindarios, y en la pertenecientes al partido de D. Carlos, entre ellos algunos oficiales, y.qué¿ creencia -da que la enfermedad reinante éa Mórárnó es el cólera morbo , sino según oyó decir, D. Miguel se había dirigido á Malta. (D. dt Cádiz.') cólicos estacionales. Madrid 23 dé Junio. Ademas de las comodidades y distracciones, que los enfermos hallarán en . • ■ i 1 los baños del Real Sitio de lá Isabela, y sé anunciaron en lá Gaceta de Madrid, fartt reeitido en la secretaría de Estado y del Desp…</t>
  </si>
  <si>
    <t>…clararse á la inqulsiicic/rl Ufa tribunal d» lásti de personas dignas de-esínar en la Guardia nacional, solose encontraron libertad, (/u'.) ly que merecieren la contianza de los constitucionales; todas los demás sori empleados de D. Miguel, voluntarios realistas y guerrilleros : ¡excelente Guar dia nacional para una regppoia, berberisca! En cuanto pueda insistiré en que nd haya semejante Milicia en mi patria; poique a tales faldones no debemos con ESPAÑA. fiar, como únizo baluijTté, la guarda de ia hhcrldd.,. &lt;ic lu Caita y de la Rei…</t>
  </si>
  <si>
    <t>…La Puerta no ras del Tajo y del Duero! La Inglaterra debió valerse de todos los medios que quiere.conceder entrada en los Dardanelos í los buques de guerra pertenecien estaban á su alcance para hacer cesar la' lucha y reconocer 4 D. Miguel ;,á nos tes 4'.la Grecia^ jjr si solo i Jps barcos de'comercio; de lo. que resultarla que otros no tocaba investigar la manera como se había establecido su autoridad; lih plenipotenciario griego tépdria que. presentarse en Constantinopla í bordo bastaba que la tuviese y que mandase de hecho. Había…</t>
  </si>
  <si>
    <t>…jtíé'fa'jjéij'éfElidid'3e TóhEáBIlnítics lo ádv¡rtió,cr¿yendó ‘ Todos'los faccioso* reúnídoi/en dos éólüranis dé 20B l~ 406 áfientiíló dtr^ááfaüff martiad&amp;s: Se ha 'sabido hoy quetámbien se hombres cada úna, en cómo las tropas de D. Miguel qué se haliat tó ex^iThíeníadS tir ltís puebiós drcúnvecitíós, siendo én alguno* ban en la izquierda ;dcl Miñó, y que habían intentado dirigirse a coii mayor fxííe'rísitfa : — ■ Chaves-i huyeron píecipitadátnénté á la-noticia- qüé recibieron da i»-entrada de las tropas españolas én el territótio po…</t>
  </si>
  <si>
    <t>…a el dia to de quien los llevaba, pudiéndose decir esto de todas las que amenizaban tan siguiente. Añade que según las noticias recibidas, el Pretendiente con Don bella reunión. El color azul, predilecto de nuestra Reina y Señora Doña Miguel seguian la dirección de Evora y Yelves. María Cristina, era el que habían preferido las damas puerto-riqueñas, pre ciadas de un respetuoso y noble cariño, y de una constante adhesión por la bolsa »E comercio.__Cotización de hoy d las tres de la tarde. causa de su adorada Hija Isabel ii. EFECTOS PUB…</t>
  </si>
  <si>
    <t>…conocen todavía de oficio, ha producjdo.ya sin embargo 1c» pérdidas que hemos sufrido son incalculables; y lo que es aun mas doloroso, frutos que de é! se esperaban. ha perecido un número considerable de personas. La sumisión de D. Miguel y la noricia positiva de haber salido de Portu Estamos rodeados de ruinas. El gobernador ha convocado una asamblea y gal van por fin a poner término á Ja Jucha de que la Península hace tanto publicado .un bando para mostrar al pueblo el dolor que le causan estas desgra tiempo es teatro. La conclusión de…</t>
  </si>
  <si>
    <t>…orgo en Fontainebleau. (Constitucional.) habitantes, y como nuichos enfermos están todavía de grave peligro, es proba , . • ' i: ’ a " tble que aumentará considerablemente el numero de muertos. Pero eh ninguna ------ Si realmente D. Miguel ha tenido intención de volver £ la Península, parte ha sido tan terrible el cólera como en Nyeoping, ciudad marítima de la parece que ha renunciado á ella, sea á causa de haberle llegado por mar no Suecia, situada a 70 millas de Stok.olmo. Los partes oficiales prueban que por ticia del mal resultad…</t>
  </si>
  <si>
    <t>…llaban tendidos alrededor de la plaza y calles vecinas, según ia orden general del dia que. á continuación, ¿e inserta. AL RET FERNANDO SETIMO. .A 1as seis en punto salieron de palacio ei Excmo. Sr. gobernador y capi tán cendral D. Miguel de lacón, presidiendo al Excmo. ayuntamiento, con Las lanzas, sus corbatas, los dibujos de los entrepaños, los anillos de en asistencia del Excmo. Sr. intendente conde de Villanueva, los señores gefes mi lace , las bolas y las letras , se hallan perfectamente doradas ai fusgo; loque ju litares V dé la…</t>
  </si>
  <si>
    <t>…Cuartel general de Valcmu Je A.cantara a ¿2 de Mí*o que había tomado al Algarbe, ignorándose el verdadero motivo de coa ret.r.ide U&gt;.'Á =Kx^mo. br.=Jo*e Ramón Rodii.^F.^mu. br. be^retano de da : se cree que permanece allí también D. Miguel, habiendo mai*..uio . s'.t ) del Despacho de la Guerra. Vimicy ro unos ’iO hombres , que procuro1 jber su \erd.ideio &lt; bjclo A ; ‘■•ir de las Copiosas llu\ las , quedaran las divisiones mañana en Pi l*&gt;a la ' anguardi.; . en A i- •'Leales extremeños v Urbanos decididospiñan la 1.a, y la 3.J en Port…</t>
  </si>
  <si>
    <t>…mavor que dero Soberano constitucional t cuaJ[ ,e^ estudiar la opinión nacional para satisfa toda la deuda nacional de Portugal. G©n esto v cí valor de las joyas entre-'Jas cerla, desentendiéndose de sus simparías personales. por D. Miguel , hav mas que suficiente para reconocer que la.hacienda de Por La nación hallará en e'te arreglo un m'ri’oterio mas“qnido; porque tugal está en el mejor pie posible. Xíelbourne y lord Althorp h-m caminado "siempre de acuerdo’én^el minbterioó Algunos miguelistas se fian embarcado en el bercintin F.…</t>
  </si>
  <si>
    <t>…ra la de Etttrxmbasaguas £ D. Vicente Ramón deCagigal; hacia la corte á los opresores, y no permitía £ los- oprimidos que recobrasen su1 para la de Brihuega £ D, Andrés Ruiz; para la déChinchillaá D, Jhsé Mar libertad; sufría que D. Miguel violase los. empeños-contraídos con nuestro go- tínez Bustamante-, pjtra lá de Piedrahita á'D. José Remigio Gótricz; pira la de , hiernó;}abaridonabá £ nuestra antigua aliada la Puerta en manos de- los rusos; Betanzos £ D. Gregorio Goyane» y Balboa; para la de Cazáila £' D. Antón» DO iiripedfa los’…</t>
  </si>
  <si>
    <t>…uger vestida de luto, y ic dijo que vanas circunstancias exiraordmanas Ja habían precipitado desde ALEMANIA. la opulencia en la mas completa nuseiuu Hallábate su marido en Oporto, don de le habían hecho prisionero los soldados de D. Miguel y confiscado todos sus Francfort 3 de Octubre• bienes: un hijo suyo acababa de morir al servicio del Brasil en un combate reciente. La noche antes la hablan llegado estas dos aciagas noticias, y aquella Recibimos en este momento la noticia de que S. A. el Duque reinante de misma noche un terrible inc…</t>
  </si>
  <si>
    <t>…ble á Por tugal.'’ A este artículo pone el Galiguani's Messenger la.siguiente nota : «Esta acabar con sus adversarios. Inútil será recordar cuán,ignominiosos han, sido para nosotros iqp¿¿niu- notic¡H'-c»recc de fundamento, porque D. Miguel, según la Gaceta de Lúea, pa^fel 26 de Setidiábre 'por aquella ciudad, dirigiéndose desde Genova í nos -de los convenios hechos con él, y cuán impolíticas ton las concesiones que nos há exijido. No solo fiemos tratado de igual á igualcon un hombre á quien k&lt;Sma,T ’ . debíamos mirar como á un rebeld…</t>
  </si>
  <si>
    <t>…le á las armas de Don íaría Martjnez.isjVsé. María d&amp; Mónt¡alban.==Feíix de A’guirre. n José María Pedro; lo mismo que se daba por cierto que en la última batalla se echaron I Dou Martínez, secretario. • ~ menos en el ejército de D. Miguel mas de hombres entre muertos y deser tados, y que el resto, cortada su retirada á Santaren, se dispersó por el inte PAUTE NO OFICIAT. rior del país. Se dice que el general Saldaña tuvo tres caballos muertos durante la acción. {Courier.') NOTICIAS EXTRANGERAS. -El Cóurier había anunciado por avisos…</t>
  </si>
  <si>
    <t>…aciones abusando con ellas de la incauta credulidad de algunos, ganaban prosélitos y con é!, me manifestó que la tal balandra pertenecía ser presa suya en el su promovían el espíritu de rebelión. puesto que el cargamento iba para D. Miguel; sin embargo de esto no pude, Mil noticias contestes comprueban que esta especlativa, i pesar de lo in ni díKa acceder á sus deseos, mediante á que yo había hecho la aprehensión sin fundado de ella, era el incentivo mas poderoso de las conspiraciones ocul su auxilio en la costa de España, y señalad…</t>
  </si>
  <si>
    <t>…ué'Continuase en la dirección de los negocios en la Cámara de los Comu con la grande obra de la reforma. nes, y-qué: muchos individuos del partido whig se proponían hacer lo mismo. (Cotirirr.) ____ La gaceta de Médena anuncia que D. Miguel trata de ir á Roma. La gaceta de Augi burgo da la misma noticia: sin embargo es muy dudoso si esté —IBL buque de vapor la Ciudad de Edimburgo, que salió de Lisboa el 5 Príncipe será bien recibido de S. S. del eórilénte, ha llegado á-Portsmouth. Todo estaba tranquilo efl aquella capitaf,'y loi negoc…</t>
  </si>
  <si>
    <t>…on sus nuevos súb y á los retirados; y aunque con seis meses de atraso, ha continuado siempre el ditos, es un pretexto y no mas. ¡Puede juzgarse racionalmente que cuando la pago de estas obligaciones que la inexorable barbarie de D. Miguel desatendió Puerta ha tomado un aspecto Hostil, lo haya hecho contra los cornejos y re por espacio de tres años seguidos, y que hubiera desatendido constantemente, clamaciones. de la Rusia , se haya expuesto á perder el favor de esta porque el corazón del tigre "jamás escucha el clamor del afligida.…</t>
  </si>
  <si>
    <t>…ivamente acerca de la España, el Portugal y ia «Recibirá y nos trasmitirá inmediatamente los despachos', peticiones y Holanda. £ - súplicas que no nos sean dirigidos directamente. No se cree que puedan ser reconocidos D. Carlos y D. Miguel (etos do» «Podrá sin embargo, en caso de necesidad , tomar las medidas ordinarias príncipes son demasiado impopulares para que los mas acérrimos legitimisus de policía militar ó administrativa. Para todas las demas, pedirá y esperará osen hacer algo en su favor); pero &lt;c trata de reconocer á Doña I…</t>
  </si>
  <si>
    <t>…rál sitos en la capital”; hablan Partes recibidos en íd secretaria de Estado y del Despacho de la Guerra. MM. Joufó&amp;Q * Legrand, Martin, Escbasseriaux y^Duscré, solicitando que no Excmo. Sr.: Aver permanecían en Evora D. Carlos y D. Miguel con las se acceda á las rebajas que propone la comisión; pero La Cámara aprueba los fuerzas que les acompañan: al parecer consisten en ~‘3 hombres de codas clases, capítulos conformándose con la propuesta de aquella. linea, milicia y voluntarios, entre ellos d'.'O caballos y 17 piezas de artillería…</t>
  </si>
  <si>
    <t>…a facción, se volvieron en dirección de las provincias, sin haberles dejado parar Reina que Jos perdigue asciende próximamente á 205? hombres: se cree que en Cástilla. El alistamiento de los Urbanos se hizo en Mena,'como ya tenia D. Miguel marchará sobre Evora. V. E. en vista de esto dispondrá sus movi manifestado este coróne! al expresado capitán general/ mientos como juzgase mas conveniente. Soy de V. E. muy atento &amp;c. AJirfeirin 2i de Mayo de 1834*=E1 duque de Terceira. r Extracto del parte remitido pór el gobernador civil de la j…</t>
  </si>
  <si>
    <t>…lquiera de ____ D. Pedro ha convocado las Córtes de Portugal pan el 1S de Agosto pró las casas de observación, será inmediatamente colocado el enfermo ximo. Los Pares que firmaron la representación que precedió á la usurpación de D. Miguel, se entiende que renunciaron Sus derechos. (Courier.j ' ' &lt; en la enfermería de que habla la regla 31 Esta enfermería se pon drá en completa incomunicación desde aquel momento, encerrándo Pt sábado último se ha botado al mar en el astillero de los Sres. Flescher se en ella con el enfermo ó enfermos…</t>
  </si>
  <si>
    <t>…usa de la pación Sci’im parle del general Rodil de 2J del corriente, el Pretendiente llegó en la guerra de la independencia, inclusas las de los víctimas del 2 de Mayoel 21 a Chamusca , cerca de Santarem , adonde fue visitado por D. Miguel, de 1808 en Madrid, ha cabido en suerte con el primer extracto de la de este;con quien tuvo una conferencia de mas de una hora. dia 4 Doña María Mercedes Casaus, hija de D. Joaquín, capitán que fue de Hay noticia de que el duque de Terceira se hallaba el 22 en Moimenla , es infantería, muerto en ac…</t>
  </si>
  <si>
    <t>…che dice lo bricas de Inglaterra, ni ver agotarse sus fondos con riesgo de mendigar por fal que sigue: ‘ ta de trabajo, ni tener sobre sí la inconmensurable fuerza del gobierno, contra «Ño he tenido noticia hoy de que D. Carlos y D. Miguel hubiesen salido la cual no valen coaliciones de ninguna dase cuando traspasan los límites de la de Evora, aunque es consiguiente suceda de un momento á otro por los movi ley , es curioso insertar aqui el juramento que prestan estos miserables, tan age- mientos del ejército de Doña María ti, por cuy…</t>
  </si>
  <si>
    <t>…ernando al duque de Terceira, general del randa. ejército de la Reina Doña María de la Gloria, que mandó la batalla de Sei 12,942;.............. .. 1000................................ Madrid. sena, de cuyas resultas evacuó el de D. Miguel la fuerte posición de Santaren. 9,813................ .. 1000................................,.. Málaga. Al propio riempo se ha dignado S. M. promover á brigadier al coronel 10,271.:............ .. iooo............................... Cartagena. T&gt;, Ramón Tejeiró, comisionado por el general en gefe del…</t>
  </si>
  <si>
    <t>…rcunstancias actuales equivaldría á'dar upa tcéompensa á la &gt; usurpación'y sus-fauítíres. ' " ! ‘ (Continuación del correo anterior.) 1 &gt;i Se .pregunta ademas «t los empréstitos hechos pbf la Réi'na hubieran sidó reconocidos !pbr D. Miguel,. caso que hubiese llevado á cabo su empresa preAtEMANIA. gunta que se halla sobradamente contestada por la conducta que D. Miguel'há1 Francfort 9 de Jumo. observado, dejando sin pagar hasta el empréstito hecho en 1823 en nombre del Rey su padre, en plenitud de su poder y con anueiteia[de-los repre…</t>
  </si>
  <si>
    <t>Sf7 y 12 de Abril)’,'sosteniendo que en la capitulación concedida á D. Miguel se biendome sido posible evitar 1.1 desunión de ios cabecillas Zavala y Torre que Jiq,bÍ3n estipulad!» reservas en favor del Empréstito contraído en Id33 por dos se hallaban en Araánayona después de la acción del 14, según ya sabrá V. E. banqueros de París , en nombre de. este Príncipe. / 1 ' por m…</t>
  </si>
  <si>
    <t>…sus causas y efectos, referir hechos que excitan migos , que contando con la ventajosa posición de D- Carlos en Portugal , y la justamente la curiosidad, y sobre todo descifrar las combinaciones militares del manifiesta ayuda de D. Miguel, el cual desde las fuertes líneas de bantarem Gobierno, y ensalzar sin necesidad de arte, por la sola consecuencia de esta dominaba aquel reino en casi toda su extensión, dieron un imputa uniforme exposición, el mérito eminente del ejército español, las dificultades casi increi-. al movimiento que…</t>
  </si>
  <si>
    <t>…n ellas se emseñe á culQv’ar la tierra apré^djiarrdoloscú- @l^i|c^s®cypej,úbll¿wáiúgó^en mandarió &lt;j&amp; Jfoio* l«$&amp;g}4¿í. noctóéptos que isobre qste pgqtp se hán it^ri^do en-ot rasitjaci^net^á fioMe ses que sirven en el ejército de D. Miguel se rettren. El tratado nombra a es que fospropictafios'sepan sacar partido de sus posísíones, délo "que resultará te príncipe con el título de rebelde. (Sun.) la imitación, que es el único modo de conseguir que los labradores abandonen Jas, pf^üfg^pjróqaip -^i%4Ígt¡eii:. asegura^qizg.qse^-suroampnq…</t>
  </si>
  <si>
    <t>…pudieran -precipitarnos en lá ’Bj duque de Tcrceira ocupaba el 23 áMofaj en el catUihó dé Santaren 4 arsima de nuev^s réateiones. La exageración dé sus sentimientos, la irascibilidad Evofa. dé donde no sé sabia que hubieseísiiido D. Miguel ni D. Cirios. Nues «de su carácter, ¿ó Jes permiten mantener la moderación y la sinceridad que tras tropas se adelantarían el 26 desdé Pottálegre á Arronches j en dirección «Son necésarias pafa répresentar dignátlitiitc i la Nación -&amp;¿'.n de Campómayor y Yelves. " ' “ Bl,brigadier Serrano, comandan…</t>
  </si>
  <si>
    <t>…or.” Leída la proposición, acordó la Cámara quedase en U me que la da vergüenza que los vean salir, sino porque temen no hallar otro me sa para la segunda lectura. jor , reducidos á vivir de recursos exóticos, de un movimiento de D. Miguel, Continuó la discusión del proyecto de ley relativo á -la libertad de im de una hazaña de L&gt;. Cárlos, de una revista del Emperador Nicolás, mientras prenta", y drapura de una breve discusión quedaron aprobad» con algunas que maldicen á su embajador Pozzo di Borgo por haber ¡do con la corte á Fon- c…</t>
  </si>
  <si>
    <t>Miguel'</t>
  </si>
  <si>
    <t>…nadora, solícita.por precaver á la capital de la mo El dpqns d» C*da*al',.»x-gaber«ado» de libo*, y el dnqs» de fxforns, narquía dé los males que había de producir la nueva invasión de noble portugués, npuy rico , y partidario de D. Miguel', han partido para el aquella enfermedad, se ha servido resolver que hasta pasados 30 conúheRtc dcspocs de estar uno» pacte dme e» la metrópoli. (Camwr-} días, contados deader£l en-qtía la junta superior de Sanidad declaro ____ que exclusi van»mte ocupo I» ateñetoa dé los curiosos es el presupuestoh…</t>
  </si>
  <si>
    <t>Miguel, Cárlos y D</t>
  </si>
  <si>
    <t>Cárlos y D Miguel</t>
  </si>
  <si>
    <t>…za au Thunderer, y se esperaba que se reuniese á ella la escuadra francesa. (Globe.) menta las fuerzas de la nación francesa, y por consiguiente su influjo diplomá tico en Europa, por lo menos , en 809 hombres. _ —T,a ausencia de D. Cárlos y D. Miguel es un gran triunfo para la causa El apoyo pues que se dan las Potencias coligadas es recíproco, y no qui constitucional de España y Portugal. Hay ahora motivos muy fundados para siéramos haber leído en un periódico , favorable al gobierno francés, una ex que se restablezca la tranquilidad en estos…</t>
  </si>
  <si>
    <t>Miguel, Carlos y D</t>
  </si>
  <si>
    <t>Carlos y D Miguel</t>
  </si>
  <si>
    <t>…sus proyectos; guardaos de interrumpirlas en su obra: si lo hacéis si pues no hay duda que las cuatro naciones han determinado expulsar á 4os In no queráis tolerar que se.alce un gobierno al lado del-gobierrio; que una -«k fantes D. Carlos y D. Miguel del territorio portugués, como el primer paso ciedad oculta que cifra su prosperidad en el desórden, socave la sociedad cons necesario á la tranquilidad y firmeza del trono de Doña María. Pero cuales tituida que en todo procede sin rebozo , hasta tanto que se ¿lenta con fuerza quiera que sean las medid…</t>
  </si>
  <si>
    <t>…na vez decisivamente acerca de la España, el Portugal y ia «Recibirá y nos trasmitirá inmediatamente los despachos', peticiones y Holanda. £ - súplicas que no nos sean dirigidos directamente. No se cree que puedan ser reconocidos D. Carlos y D. Miguel (etos do» «Podrá sin embargo, en caso de necesidad , tomar las medidas ordinarias príncipes son demasiado impopulares para que los mas acérrimos legitimisus de policía militar ó administrativa. Para todas las demas, pedirá y esperará osen hacer algo en su favor); pero &lt;c trata de reconocer á Doña I…</t>
  </si>
  <si>
    <t>…ínteres gSñerál sitos en la capital”; hablan Partes recibidos en íd secretaria de Estado y del Despacho de la Guerra. MM. Joufó&amp;Q * Legrand, Martin, Escbasseriaux y^Duscré, solicitando que no Excmo. Sr.: Aver permanecían en Evora D. Carlos y D. Miguel con las se acceda á las rebajas que propone la comisión; pero La Cámara aprueba los fuerzas que les acompañan: al parecer consisten en ~‘3 hombres de codas clases, capítulos conformándose con la propuesta de aquella. linea, milicia y voluntarios, entre ellos d'.'O caballos y 17 piezas de artillería…</t>
  </si>
  <si>
    <t>…12 de la noche dice lo bricas de Inglaterra, ni ver agotarse sus fondos con riesgo de mendigar por fal que sigue: ‘ ta de trabajo, ni tener sobre sí la inconmensurable fuerza del gobierno, contra «Ño he tenido noticia hoy de que D. Carlos y D. Miguel hubiesen salido la cual no valen coaliciones de ninguna dase cuando traspasan los límites de la de Evora, aunque es consiguiente suceda de un momento á otro por los movi ley , es curioso insertar aqui el juramento que prestan estos miserables, tan age- mientos del ejército de Doña María ti, por cuy…</t>
  </si>
  <si>
    <t>Miguel, D</t>
  </si>
  <si>
    <t>D Miguel</t>
  </si>
  <si>
    <t>…ebeldes en desplegar una numerosa línea valiente capitán D. Antonio Zumeta, la de los tenientes D. Miguel Ibarreta de tiradores sobre nuestros puntos, siendo careado el de la derecha con intre y D. Pedro Argoti, y la del hijo del capitán D. Miguel , de edad de 15 años, pidez por fuerzas considerables y cabal 1ería , Io que le obl.có á ceder la posición, que fue uno de los primeros que entraron en la casa. Este bizarro joven y su aunque después de haber hecho una \igorosa resistencia, haciendo comprar biea benemérito padre solo han solicitado…</t>
  </si>
  <si>
    <t>…ere en seguida ¿as disposiciones de ljs leve? *V TVirridi, Fuero L nipotenciario le intimó, «que ya no tenia que tratar coa d de semejante asun- y Real y de U Novísima Recopilador » que, hablan d: u* tnio^no &gt; &lt;v «to, sino con el Sr. D. Miguel" pena*. Rctk&amp;iooa rebatiendo Us objeciones con que qu. Mtion exudarse i*</t>
  </si>
  <si>
    <t>…M. I. el duque de Braganza, como aparece del documen ciones de que ellos se hayan hecho dignos por sus servicio» y cualidades. to que se inserta á continuación; y los partidarios de D. Cárlos, que le habían Art. S.° Se asegura al Sr. D. Miguel una pensión anual de 5ü cuent -s de seguido hacia Evora, debían ser llevados á un depósito en lo interior del reino, reís (un millón y 5üu9 rs.), atendiendo á la alta categoría en que nació, y hasta que en vista de lo que resol viere el gobierno español, se determinase lo se le permite disponer de…</t>
  </si>
  <si>
    <t>…a comisión honra al Gobierno y al carácte» á los asuntos de Portugal. Este escrúpulo, corto en verdad, es que hemos visto religioso de lá nación española, y al anunciar que ha visto con el mayor dolor al desenlace de estos que el Príncipe D. Miguel hizo renuncia formal de sus asta maldad tan execrable, ha creído la comisión que sus expresiones sañ muy derechos y pretensiones, y estipuló sobre su futura «rondicion, al paso que dignas y oportunas, y que en cierta manera satisfacen los deseos de los espa- nuestro Pretendiente nada renunció ni na…</t>
  </si>
  <si>
    <t>…. : El capitán general interino de Castilla la Vieja ha dirigido &amp; dos habitantes Múm. l.° nmá ycJExbtno. SftzsTcnmiflada ¡a cuesüoo que .pitaba al.P-or-r desu-pravipcta- la sigmente rprecláma: ■ T /\in.i tngal ',.y convenido el;Sr. D. Miguel en dcjtir.este reina áuSU il^ítima Sobqra- »Soldados j.- I mil iciattos tlrhdnos, castellanostodos: por el’ extraordinario na Dofia. Mari&amp; Si^ parecc llegado eLcasó ds que V. É;L cfi^t la voz ¿c la qtie hérecibido esta mañana seiráé comunica de Real órden por él ministerio justicia y la razón,- det…</t>
  </si>
  <si>
    <t>…ción en que este se haftába de reconocer y jurar á S. A. R. (aho plenipotenciario , expresó «que este ya no tenia que tratar del asunto con $. A., ra ia Reina mi Señora Doña Isabel ii) por Princesa heredera del trono, sino con el Sr. D. Miguel.” según las leyes fundamentales de la Monarquía; como también en cuanto i Con presencia de tales y tantos desacatos, se sirvió expedir S. M. la si las medidas de precaución que se sirvió dictar el difunto Soberano para evi guiente tar el funesto indujo que pudiera tener en el sosiego de este reino l…</t>
  </si>
  <si>
    <t>…del Sr. Don mismo estilo. José Becerra, electo Procurador por la provincia de Lugo; los del Sr. Don El Sr. conde de las Navas, como de la cnmtsion, contestó que la mi&lt;ma Manuel Montes de Oca , que lo es por la de^Cadiz, y los del Sr. D. Miguel habia dado su dictamen, fundada en que se había presentado va ma&lt;? de un Pardo Bazan, que lo e» por la de Pontevedra , igualmente que los documentos empresario, y que había naturalmente creído que podrían presentarse mas, si justificativos de la aptituJ legal de dichos señores; y de que hallándolos…</t>
  </si>
  <si>
    <t>…ínea de política que ha adoptado, tan distante de la Cartllho, comandante de la 3* brigada de operación» en el Alentejo, pertene humillación como de la arrogancia: toca al gobierno francés ayudar á la Suiza ciente al ejército del Sr. D. Miguel, y en su nombre con su poder bastante, en la expulsión de huéspedas incorregibles, y en dar á entender á los gabinetes comisionados el coronel de milicias de Villaviciosa Felipe Neri de Souza Ca de Europa que las providencias contrarias á la libertad del comercio y de las veiro, el teniente coronel…</t>
  </si>
  <si>
    <t>Miguel, D Manaei Montes El Sr D</t>
  </si>
  <si>
    <t>D Manaei Montes El Sr D Miguel</t>
  </si>
  <si>
    <t>…do por decano de ella al Sr. Cano Ma Se mandaron pasar á la misma comisión de Poderes los presentado* Con nuel , y por secretario al Sr. Cezar. El Estamento quedó enterado. los documentos justificativo* de su aptitud legal por el Sr. D. Manaei Montes El Sr. D. Miguel Pardo Bazan, Procurador electo por la provincia de de Oca, electo Procurador por la provincia de Cádiz. Pontevedra, presentó los documentos justificativos de su aptitud legal que pa La comisión nombrada para ei eximen del presupuesto del ministerio dé saron á la comisión de Poderes. Estado dio cuen…</t>
  </si>
  <si>
    <t>Miguel, DT</t>
  </si>
  <si>
    <t>DT Miguel</t>
  </si>
  <si>
    <t>…español, gozoso con tanta dicha, repita sin cesar lleno de entusias ha terminado enpPortug-al i virtud de‘haber depuesto las armas en Evorá el mo .- Viva.nuestra Reoía y Señora Doña Isabel ji : viva la augusta Gober ejército del Sr. DT. Miguel y los españolé que seguían á D. Carlos Marra Isi nadora: viva el Estatuto Real. Valladolid l.° de Junio de 1834- =: El capi dro : por tanto me dirijo al gobernador dq esa plaza indicándole la línea que le * tán general interino, José Mamó. há trazado la suerte de los acontecimientos, y que V. A. tiéne es…</t>
  </si>
  <si>
    <t>Miguel, EK</t>
  </si>
  <si>
    <t>EK Miguel</t>
  </si>
  <si>
    <t>…hembras, no por imitación extrangera, sino por há Isabel á ser reconocida por sucesora legítima del trono. Fallece la Princesa; bito ó costumbre nacional, establecida siglos antes entre los españoles. muere también su hijo, aquel Príncipe EK Miguel, hijo de una Infanta de «Pocos años después del Espéculo y del Futro Real, en cuyos dos có Castilla y del Rey D. Manuel de Portugal .k..¡ Cuántas «peíanlas arrebató 4 la digos se halla establecido el derecho de las hembras al trono , se compusieron nación; y cuál otra hubiera sido su suerte l las P…</t>
  </si>
  <si>
    <t>Miguel, Fermín</t>
  </si>
  <si>
    <t>Fermín Miguel</t>
  </si>
  <si>
    <t>…isionero, gravemente Acciones del banco español, 00. herido, y apoderándose del pueblo. En la izquierda fue perseguido el enemigo con intrepidez; pero habiéndose desherrado el caballo del alférez, se encargó cambio*. del mando el sargento Fermín Miguel, y persiguió por espacio de tres leguas la Amsterdam, 00. París, !6-2. [Cádiz, 1 b. Sevilla, par. fínica partida que había quedado reunida, matando dos, y cogiendo igual nit— Bayona, 00. Alicante, á corto pía- Coruña, 4 d. Valencia, id. 4 id. ¡Granada, zo , 4 d. 00. 4 d. Zaragoza, ínero de prisione…</t>
  </si>
  <si>
    <t>Miguel, José</t>
  </si>
  <si>
    <t>José Miguel</t>
  </si>
  <si>
    <t>…isco Abreu y D. Juan Osorio , y i todos los individuos de Uor seguida fueron aprobados los de los Sres. Rodríguez Paterna, González (Don pa de estos mismos cuerpos: asi como al teniente graduado y alférez D, Juta 'Antonio), Polo (D. José Miguel), Cuevas, Mcdrano, Ma: l i ncz de la Rosa, Lacera., y al de igual grado y clase D. Juan A roce na , ambos excedentes , y vizconde de S. Simón , marques de F.spinardo , Redondo, Cáceres , Latorre, que desempeñaban en la columna los encargos de aposentador y ayudante 4e García de la Mata , cOnde de A…</t>
  </si>
  <si>
    <t>Miguel, Juan Nepomuceno San</t>
  </si>
  <si>
    <t>Juan Nepomuceno San Miguel</t>
  </si>
  <si>
    <t>…iinporlanLe salud. seglares á D. Ignacio Pezuela , del Consejo Real en la sección de Es— i Del mismo beneficio disfrutan SS. AA. RR. los Sermos. Se- lado; á D. Tomas González Carvajal, de dicho Consejo en la sección de Guerra; á D. Juan Nepomuceno San Miguel, fiscal del trihunali ñores Infantes. supremo de España é Indias; y fiara secretario á D. José Alcántara Navarro, que lo es de la patriarcal. Tehdréislo entendido, y lo co municareis á quien corresponda. = Está rubricado de la Real mano.— REALES DECRETOS. En Aranjuez á 22 de Abril de 1834.= A D. Ni…</t>
  </si>
  <si>
    <t>Miguel, Julio S</t>
  </si>
  <si>
    <t>Julio S Miguel</t>
  </si>
  <si>
    <t>…as y de ser enemigas, destacó la turca dos de sirvió para las anteriones fiestas, y cuya permanencia se debió á Ja bondad de sus buques mas veleros para reconocer á la española que les daba caza; á su in dicho señor y del regidor D. Julio S. Miguel. mediación huyeron aquellos, después deafirmar su pabellón, á incorporarse con Aguja triangular. Sobre una base cuadrangular de tres gradas se elevaba su escuadra; formaron ambas seguidamente la línea de combate, habiendo pre un pedestal también cuadranguljr; en uno de sus lados se veia un. león ra…</t>
  </si>
  <si>
    <t>Miguel, Mariano</t>
  </si>
  <si>
    <t>Mariano Miguel</t>
  </si>
  <si>
    <t>…ente opuestas. Algo de importancia debe resultar do Cementerios. Recomienda al ministerio á los facultativos de aquella capital D. Francis «nal demostraciones marcadas de tanta» maneras. {Mcssager.') co Tajarne», D Mariano Mira y-D. Mariano Miguel, que por insinuación suya han pasado voluntariamente á la ciudad de Orihuela, invadida del cólera y es —Escriben de Berlín con fecha de 18 de este mes lo siguiente: casa de profesores, á prestar á sus afligidos paisanos todos los socorros del »te. Ya se sabe algo de positivo acerca de las medidas a…</t>
  </si>
  <si>
    <t>Miguel, Nicolás de S</t>
  </si>
  <si>
    <t>Nicolás de S Miguel</t>
  </si>
  <si>
    <t>…rregidor de esta villa, refren davía era grande el número de fallecimientos respecto al de los enfermos. dada del escribano Gaona y Loeches. se cita á todos los acreedores ¿ interesados en los bienes quedados por fallecimiento de D. Nicolás de S. Miguel, vecino que fue de esta PROVINCIA ER ALMERIA. corte, para oue dentro del término preciso y perentorio de 15 días acudan k dicho juzgado a deducir y exponer lo que i su derecho coOYcng»¿ Cü inteligencia qU« d* oa Con fecha 11 del actual dice su gobernador civil, que habiendo desapare- hacerlo le* pa…</t>
  </si>
  <si>
    <t>Miguel, O</t>
  </si>
  <si>
    <t>O Miguel</t>
  </si>
  <si>
    <t>…uye con WS esfuerzos 4 las .ventaja» venientes para todos los casos. El general en gefe tuvo las que se creyeron opor* .ejército da tierra en: las costas de Vizcaya. ■-. tunas hasta para el caso posible de quese entregara 4 él el Príncipe O. Miguel; di', duque de Aivas: «Quisiera que la comisión admitiese una cortítima y correspondiendo el ministerio español-á la franqueza y buena fé de sus alia adición al hablar de la constancia y denuedo del ojéfeito-, y era se añadiese la dos, también se puso de acuerdo con ellos para que arrojados del ter…</t>
  </si>
  <si>
    <t>Miguel, S</t>
  </si>
  <si>
    <t>S Miguel</t>
  </si>
  <si>
    <t>…no los particulares, es menester ser muy miopes en política para cono balcones. Así pereció por falta de auxilio aquella división. Su gefe de estado cer que el interés general de los que se han citado aqui es permanecer unidos el Sr. S. Miguel claramente lo refiere. Tocábamos (dice) todas las redas; pero entre sí y con la España. Lá alianza det„ Mediodía es necesaria de todo punto ninguna sonaba. •i se han de contrabalancear las pretensiones del Norte. Los intereses son mú " La idea mas favorable que en 1820 tenían algunos pueblos de la…</t>
  </si>
  <si>
    <t>Miguel, San</t>
  </si>
  <si>
    <t>San Miguel</t>
  </si>
  <si>
    <t>…do á S. M. mas conveniente entre las que se han propuesto, es la trazada Madrid 20 de Setiembre. desde Ramales por Arredondo, La Cavada, Puente de Carandía, Puente de S. M. la Reina Gobernadora, en vista de propuesta del director general San Miguel, Cabezón de la Sal y Treceño al citado San Vicente. Esta via es de presidios, sé ha dignado nombrar para la plaza de oficial tercero de la secre la mas abrigada y cómoda, cruza por las jurisdicciones mas pobladas, fértiles taría de la dirección del ramo, al oficial cuarto de ella D. José María Blan…</t>
  </si>
  <si>
    <t>Miha</t>
  </si>
  <si>
    <t>…to sino por la falta de aplicación de las leyes. El Gobierno, y mas el»Gobierno , aprecia el hombre honrado. * , • r constitucional, como el nuestro, np puede tampoco obrar sino eh el círcu , »»A la imposibilidad de que tomase el general Miha el mando al momento lo de-'lás facultades que dichas leyes le conceden. Las leyes para todos los de que se le nombró, se unió otra calamidad imprevista que contribuyó á agravar la litos pueden ser extraordinarias y ordinarias: las extraordinarias «i el día son penosa situación de los asuntos en.aqu…</t>
  </si>
  <si>
    <t>Míimtroáe</t>
  </si>
  <si>
    <t>*»Yo bien sé que el Sr. Míimtroáe h Guerra ha hecho una indicación glaterra misma, tan adelantada eti todos los dema* ramos, había descuidad? este que no be echado olvidó r y soy con S. S. Ha-pedído una garantía al Esta enteramente , como puede verse en su informe que se leyó-en la Cámara de mento , y tiene razón: sin esta garantía…</t>
  </si>
  <si>
    <t>Miiosch</t>
  </si>
  <si>
    <t>…el mejor orador del partido ministerial, y hombre que ha desplegado grande habilidad en todos los negocios ;.*y el otro es un excelente ministro en el ramo de administración pú • Escriben de Belgrado con fecha 28 de Abril, que el príncipe Miiosch y su blica. Algunos piensan que á la renuncia de estos seguirá la de todos sus com hermano Jeífrim han estado peligrosamente enfermos. El Príncipe con especia pañeros; mas nosotros no somos de este parecer. Es regular que las sillas.vacan lidad padece muchísimos achaques, tanto que han tenido que ven…</t>
  </si>
  <si>
    <t>Milicianos, Noticiosos los PROVINCIA ES ZARAGOZA</t>
  </si>
  <si>
    <t>Noticiosos los PROVINCIA ES ZARAGOZA Milicianos</t>
  </si>
  <si>
    <t>…ni fallecimiento en la población de Murviedn»; v que en los pueblos del partido de Alcira continuaba mejo-" Parte recibido en el Ministerio de lo Interior. rando la salud publica. Gobierno civil de la provincia de Toledo.= Excmo. Sr.: Noticiosos los PROVINCIA ES ZARAGOZA. Milicianos urbanos de Vargas que á distancia de dos leguas y media de su pueblo se hallaban 5 facciosos armados cometiendo toda clase de excesos, vo F.n los dias 4» 5, 6 y 7 del mes corriente ocurrieron en la capital de laron en busca de los enemigos de nuestra adorada Rkina , y á la dulce voz de esta provinc…</t>
  </si>
  <si>
    <t>Milla, Manuel</t>
  </si>
  <si>
    <t>Manuel Milla</t>
  </si>
  <si>
    <t>…que ya estin en mi poder, quedando en composición ó descomposición , y contestadas con acierto las preguntas que se hacerlo dd resto mañana; cuyo acontecimiento me apresuro á poner en cono dignaron hacerle los concurrentes, pasó D. Manuel Milla á exponer la sen cimiento de V. S. para su satisfacción y la de todos los españoles que defienden cillez de las reglas en que se fundí la análisis algebraica para el despejo de las la juita causa de nuestra adorada Reina Doña Isabel ii.” incógnitas y tra-&gt;foimaciones de que son susceptibles las ecu…</t>
  </si>
  <si>
    <t>Milla, Mariano</t>
  </si>
  <si>
    <t>Mariano Milla</t>
  </si>
  <si>
    <t>…esde el iíoúltitno ei eotíierero de'floits asciende i 1.300Sfr., ylos principalesjar- S. M. la Reina Gobernadora se ha dignado admitir la dimisión que ha diñeras, tales como MM. Verlenéve , hermanos; Van-Ghecrd; Lanckerman, hecho D. Mariano Milla de la superintendencia general de Policía, que ser padreé hijo; Veñcha'-Hclt, padre ¿ hijo; Yan-dammc &amp;c. enrían flores no via en comisión, quedando satisfecha del zelo con que la ha desempeñado; y</t>
  </si>
  <si>
    <t>Miller</t>
  </si>
  <si>
    <t>…onozca generalmente que en el goce segurado las liberta La rendición de las tropas facciosas se debió al parecer al coronel Allende, da del pueblo se ha de:encontrar el mejor preservativo del órden, la! adminis antiguo edecán del general Miller, que durante algún tiempo estuvo cu. cortración de uff buen gobierno, y la autoridad de las leyes. respondcnciacon él para pasársele, y esto evitó la efusión de mucha sangre, y «Señores: he dicho que la reforma del Parlamento os asegura todas las hace esperar la pronta terminación de la devastadora…</t>
  </si>
  <si>
    <t>Milosch</t>
  </si>
  <si>
    <t>…nero, y la manera de distribuir justa; mientras el gobierno legítimo ha usado repetidas veces de la deuda ocasionada por la incorporación de los nuevos distritos. El clemencia, no solo contra los que se han aprehendido con las ar príncipe Milosch dirigió la palabra á los diputados, que serian unos mas en la mano; no solo con los apresados en los combates , sobre JÚO, y después de mútuas felicitaciones y una solemne acción de los cuales podría justamente caer todo el rigor de las leyes; sino gracias al Todopoderoso, se retiraron á sus casas…</t>
  </si>
  <si>
    <t>…ación de vapor en el Danubio parecía des tancia fuera del pueblo,-aunque sea dentro de las mil varas señala agradar al Sultán, que la mira con cierta rivalidad ; y que según se cree no v ha expresado muy favorablemente acerca del príncipe Milosch, que ha lomada das arriba, siempre que en este último caso se tire con las espaldas acciones en esta empresa. (G. de Augsburgo.') vueltas al palomar. ~. TITULO IV, INGLATERRA. De la caza de animales dañinos. Lándrcj 22 de Abril. 26. Será libre la caza de animales dañinos, á saber; lobos, zor Los pe…</t>
  </si>
  <si>
    <t>…persona que tenga este mismo carácter AUSTRIA. que nd puede existir uno de estos cuerpos sin que esté habitualmente presidido _ _ V'iena 15 de En^ro. por una persona á quien ésten especialmente encomendados los interese» loca ti príncipe Milosch tiene el gran provecto de Ofpatiízár completamente les; y que en consecuencia los subdelegados no pueden en ningún caso presidir todo su país (la Servia), para lo cuaima empezado ya ¿^ejecutar diferentes re los ayuntamientos , lo cual ofrecería por otra parte ct insuperable inconvenien forma* en to…</t>
  </si>
  <si>
    <t>…ma Vuestra atención, y y con el establecimiento de un Senado,para poner un término al gobierno ar 0* el arreglo completo, que se hace necesario por el cambio civil que va á efec bitrario.. Se sabe en efeclo que dos secretarios dd príncipe Milosch habían reci tuarse en la condición de las clases trabajadoras. Del buen suceso de esta medi- bido el encargo de traducir en lengua setvia el código de Napoleón ; pero que y'delas juiciosas providencias que se adopten, depende la pre.ente y futura cuandppresenlaron su trabajo át príncipe Mifosch,- d…</t>
  </si>
  <si>
    <t>…niendn al mejor servicio de la Rfina nuestra Señora que dos pauses, principalmente en cuanto i la navegación por vapor en el Danubio. se forme una idea exacta en los [mises extrangeros del cuadro que La mala inteligencia entre el príncipe Milosch y su hermano Jcffrcm e* presenta actualmente la nación, para disipar eu.inros errores pudie- conocida de todos. (Z&gt;.) T.fn difundir el espíritu de partido, la mala fe ó intereses [.articula AUSTRIA. res, me ordena S. AI. que vuelva á encargar á Y. procure por to Vtena 2 de Junio. dos los medios que o…</t>
  </si>
  <si>
    <t>…bamos á despedirnos, nos anunció que estaba encargado de en situada sobre la orilla derecha del Morawa, se compondrá de 205) personas. tregar á cada diputado el retrato de S. M colocado sobre una caja guarnecida Se asegura que el príncipe Milosch tiene intención de hacer un presente de de diamantes. dos millones de piastras á la iglesia cristiana de Jerusalen, en acción de gracias «Aquel mismo dia vino á visitarnos, igualmente que el Sr. barón de Vignet. por haber recobrado la Servia su libertad. (Gaceta de Augsburgo.) «Después de la comida…</t>
  </si>
  <si>
    <t>…tháno^¿Eh Palacio á 30 de Diciembre de 1834.=Como Fronteras de la Servia 28 de Noviemlre. Secretario'dé Estado y del Béspacho dé Hacienda de España é In dias , el conde de Toreno. , . En el mes de Setiembre concedió el Sultán al príncipe Milosch la placa Por tanto, mando y ordeno que se guarde, cumpla y ejecute la de la orden de la, Media-luna. guarnecida de brillantes: y encargó á Hussein, presenté ley como4éy del reino, promulgándose con la acostumbra bajá .de ,\V iddin, que se la entrégase al Príncipe en su nombre, como lo ha da solemnidad…</t>
  </si>
  <si>
    <t>Mimendia, Silvestre</t>
  </si>
  <si>
    <t>Silvestre Mimendia</t>
  </si>
  <si>
    <t>…Beistegui, tales y Europa por medio de buques de vapor. Al proyecto acompaña una nota vicario de Astigarraga: á D. Andrés Velaz, vicario de Abarzuza; en que se persuade á los capitalistas de la metrópoli á tomar parte en la em á D. Silvestre Mimendia, vicario interino de Legorreta; i D. José presa , para la cual se calcula necesario un fondo de 1203 libras esterlinas. Con María Oses» beneficiado de Barasoaih; á D. Manuel Aizpun, bene este dinero deben comprarse cuatro buques de vapor de la fuerza de 200 ccbaUoS cada uno, y destinarse uno para h…</t>
  </si>
  <si>
    <t>Mina</t>
  </si>
  <si>
    <t>…pitán general de Castilla la Vieja , con fecha de 30 del pasado desdó naparte, han determinado reunirse para señalar un día, en que se dé un convi Búrgos, dice i este ministerio que el coronel Abuin , desde‘Covarrubias cotí te al general Mina antes de su salida de Lóndres para Madrid. {Id.) fecha del 29, le daba parte de que un destacamento de su caballería había logrado avistar una partida de facciosos,' matánddles 2 y dispersando los restantes, di ■ ■ ■ M. Dupin, préndente de la Cámara de Diputados de Francia , ha visitado rigiéndose…</t>
  </si>
  <si>
    <t>…ación á una base.de 2744 varas, medida con la mayor escrupulosidad. Des venden los números sueltos á 6 rs. cada uno. de entonces,, ocupando el destino de secretario, de la diputación provincial ----- Breve extracto de ta vida del general Mina, publicado por di mismo en Lóndres año de 1825. Se vende en la librería de Razóla 4 4 u.; el producto es para el fomento de Galicia, y promoviendo tan benemérita corporación sus tareas, pudo ex de la Milicia urbana. tenderlas hasta abrazar en 1823 la mitad occidental de Galicia, menos la pro -....B…</t>
  </si>
  <si>
    <t>…terior contra semejante providencia. La resolución del ministro no se sabe todavía, ' He dado cuenta á S. M. la Reina Gobernadora del expediente promovido por el conde de Torre-Márin, comisionStlo regio de la —-El Sun dice que el general Mina ha sido objeto de k solicitud particular tenia de nnblaéion de Granada, sobre que se decía re -correspondecle del conde de Floridablanca en U grave enfermedad que padece. ti deslinde y amojonaniiento de varios terrenos que Se disfrutan pnr El siguiente párrafo que copiamos del Canten Register acred…</t>
  </si>
  <si>
    <t>…unicación interior, y lijo ah pie el prospecto circunstanciado de este pian. cieron varias horas delante de su casa, dando vivas á la Reina nuestra Señora Repartidores. En cada barrio habrá un repartidor, ó mas si conviniese y al general Mina; y las músicas, que altemabair'con himnos patrióticos, hicie para la pronta distribución de las esquelas, los cuales percibirán un cuarto de ron el júbilo completo. Es imponderable la impresión que ha causado la venida los sugetos que las récibiereo.. de este general, tanto en la tropa como en el p…</t>
  </si>
  <si>
    <t>…os principios manifestados por los Sres. Ferrer el Estamento ha oido con particular satisfacción el contenido de estos docu y Gahano, y complaciéndome en unirme con ellos en dichos principios, pues mentos, y que se den gracias al general Mina por haberlos remitido.” este es el ánimo de! Estamento, por mas que se quieran establecer líaeas divi El Sr. conde de Toreno: *&gt; Aunque no* tenga la regularidad que exige ei sorias, deduzco una consecuencia enteramente contraria. No quiero dar legiti reglamento, sin embargo, por referirse a un gene…</t>
  </si>
  <si>
    <t>…n el comercio de paños. (Diario de París.’) ■ .. El Observer publica los pormenores de una comida que se ha dado en el café de Albion por los amigos de la libertad constitucional en.celebridad de la Drtsdt 15 de Junio. vuelta del general Mina á su país. Entre los convidado^ se distinguían el em El 31 del mes próximo M. luis Ticte, que celebraba en este dia su 61 .* bajador de España, sir Edward Codringlon, M.O’Connell, M.JHume, el doc aniversario, ha recibido‘per el conducto del barón de Freiberg, encargado de tor Boring, sir F. Burdqtt…</t>
  </si>
  <si>
    <t>…ivil se le puede remover, y «Una de las pruebas, entre muchas, dadas per-el Gobierno en que se de aun dejarle fuera de su deátino, sin que se pueda reclamar por ello fundada muestra el deseo de unión, se ve en el nombramiento del general Mina para mente. Mañana que yo creyese que cualquiera de los primeros funcionarios de Navaraa, al paso que Llauder se conserva en Cataluña. Y los mismos hace Hacienda no cumplía con su deber , le separaría desde luego; y si no pudie cuatro años-en Vera combatían en campo opuesto. Ahora se dan la mano pa…</t>
  </si>
  <si>
    <t>…los dos partidos de Oposición, con el nombre de re ñones &amp;c.; pero nos consta que hasta la presente no han visto nada de esto. formistas, no han podido conseguir que entrase en el cuerpo municipal ningu Avisan de Pamplona que el general Mina seguia bien: que sus fuerzas físi no de sus socios. Los mismos 18 individuos que antes le componían han sido cas se restablecían, y que era probable que pronto saldría á campaña. nombrados de nuevo por una gran mayoría. __Escr¡ben de los Alduides, con fecha 9 del corriente, lo que sigue: ------ Hab…</t>
  </si>
  <si>
    <t>…ayuda de D. Cárloe, cuy* presencia en España es todavía para ■esotros un misterio. la Real Hacienda, y no puedan dividirse las fincaí, se reconocerá-un capital igual al exceso en favor del propietario pirateándose la ren —---- El general Mina, que hace pooo talk&gt; de aqui, es de opinión de qué Doa ta en proporción de los capitales. Carlos no se halla en el Norte de España-, y en verdad que hay moma dt15“ Y finalmente, para contener las tasaciones arbitrarias de fin cu tutandas que inducen ¿ creerlo asi. (CAraé/ir.)</t>
  </si>
  <si>
    <t>…noche.iiíjmididp' Palacios.i=8r, Gbmaridamedcsrmaxde:Tudela.r=R.ecibir.«steéfioioyettócir la diana, ponerse en&lt;moviaiiénwrtodo’.este veeindarioy-y resonar por-todas partéalos gritos Ide viva Jttiestii idolatra^ Reina y el ínclito general Mina, Sut sido cosa tan momen tánea, que ha excedido á la velocidad del rayo eléctrico, de forma'' que á duras péñas' me veo obligado á terminar 'este oficio entré el !■bullicio v algazara de los buenos, é himnos marciales de la música dentro1 dqmi misma habitaéioSL'-Dios guarde á V. E. muchos años. Tud…</t>
  </si>
  <si>
    <t>…otra legislatura, se curador á Córtes por elección de su provincia de Sevilla , y la órden de pasar guro es que no se presentarán los documentos justificativos de Ja aptitud legal al ejército de operaciones del Norlp al mando del general Mina, optaba al de cada uno, y el que una vez baya reunido esta aptitud seguirá siendo Procu puesto de mas peligro, por lo que renunciaba el primer cargo, para eL que se rador, aunque baya vendido sus fincas, ó se hayan acortado sus rentas. El mo consideraba con cortedad de conocimientos. Se acordó pasa…</t>
  </si>
  <si>
    <t>…..... 23 * 1 Carrion............. .. 10 a 13 id......... 26 H 00 Por noticias que da el capitán general de Aragón parece que el 1J d« V ¡liada............ 7 á 10 id......... 5 2 2 tete mes por la tarde entró en Puente la Reina el general Mina, escoltado por Ja brigada de la Ribera que manda el brigadier López. La división del general PROVINCIA SI SANTANDER.Córdoba ocupaba los pueblos de Cirauqui y Mañeru, y Zumalacarregui con su facción se hallaba á dos horas de distancia en Azcona y Abarzuza. Parte sanitario de 11 de Noviembre. Putblo*…</t>
  </si>
  <si>
    <t>…Despacho, acordó r« proponer variación alguna, salvo la indicación que reserva para el número 4.0, pacho tuvieran la bondad de decirnos si es cierta la noticia de una nueva der rota de los facciosos en Navarra, conseguida por el general Mina el dia 15, relativa á la supresión de Is secretaría de interpretación de Leneuas. «Sin embargo no puede menos de declarar, para evitar dudas en lo suce no me acuerdo en qué pueblos; tengo esta noticia extrajudicial, y desearía saber sivo, que la doiacion de auxiliares y agregados no debe ser consid…</t>
  </si>
  <si>
    <t>r ' . . ; SUPLEMENTO . ' ‘ ' - • '• . ^ DEL VIERNES 21 DE NOVIEMBRE DE I834. CORTES. ” A la comisión no 1c consta, n¡ al Estamento tampoco de oficio, el*que el Sr. S;oane haya sido reclamado por el general Mina. La comisión no ha te EÜTAVBKTO DB SEÑORES PROCURADORES* nido presente orro documento que la exposición del Sr. Seoane; y si bien cree que esté llamado por el general Mina,, no lo sabe oficialmente, y por lo tan Sesión del dia 20 de Noviembre. to no podía fundar en ello su diccameq. B^jo este supuesto…</t>
  </si>
  <si>
    <t>…nte hubo una- acción sangrienta i una 9^ua dé Estella, entre los facciosos de Zumalacarregui, y las columnas de los En la última correspondencia que hemós recibido de Argel del mes de «ñerales Córdoba y Oráa, bajo las órdenes del general Mina: añaden que este Noviembre se nos anuncia que el clima dé Africa rio es favorable al goberna «Jejó lStS hombres crie! campo de batalla, y k» ftcciosda 230. Aun no tene dor general, quien continúa sieniprc índispucsto. mos porhnenores auténticos respecto á este ocurrencia. (Fara d* Bayons*.) Se pien…</t>
  </si>
  <si>
    <t>…as veinte y cuatro horas anteriores. cación de Corles, y el otro á la amnistía , han sido recibidos con general aplau- Madrid 22 di Junio, sp; J&gt;eco4 principalmente el segundo, porque ^1 primero ya se aguardjba. La exciustori del general Mina de las amnistías anteriores había sido muy sentida, Un parte telegráfico de Londres anuncia que D. Cirios ha llegado á Ports* f se atributa á influencias particulares que ya no existen: pos prometemos que mouth en la noche del 12 al 13 á bordo del J&gt;onegal, habiendo dejado el citando ,su,salud lo permita^…</t>
  </si>
  <si>
    <t>la aprobación del Estamento, porque es indudable que _ onda hay una legación católica, no es un gasto grande el reconocimiento y satisfacción al general Mina." . . n-jjiadaeo objeta ^demas, probablemente será un anciano £1 Sr. Secretario Jet Despacho de Gracia y Justicia: «Tengoel-gusto benemérito que «fié allí-fiset» muchos afios.” - 's * ' - ' ■ - da anúncira al tutaniento que be ¿ido' el órgano del Gobierno en Riofrio pa- El Sr. Torrentejí.t: «)La com…</t>
  </si>
  <si>
    <t>…neral D. Manuel Lorenzo, gobernador carga que pagan los pueblos,creo que el Estamento está en el caso de entender de la ciudad de Pamplona, remitiendo tres ejemplares de la proclama que el en esta contribución y en su inversión.” general Mina ha dirigido á las tropas de su mando, y á los habitantes de aque El Sr. Secretario del Despacho de Estado1. «Respecto i esa manda for lla provincia. Se leyó dicha proclama, y el Estamento acordó que se dijese que zosa para los santos Lugares, si se quiere mirar como una contribución, podría la habi…</t>
  </si>
  <si>
    <t>…didos después de una obstinada resistencia , pues ai cabecilla lo remata trono de j acobo »t. («O.) ron en el tejido de la casa , por donde pretendió huir. Conociendo Muñoz lo vago de su posición, y que según se descubría a] __E1 general Mina ba llegado á Bayona *1 13 de Agosto por la tarde. dia se le aumentaban les riesgos, porque VilUreal estaba muy próximo con mi facción , se retiró con ios seis caballos de los muertos y algunas armas qms pu ____ La Dieta helvética en su décimaquinta tesion w ha ocupado en revisar el do recoger , sin…</t>
  </si>
  <si>
    <t>Mina, D Francisco Espoz y</t>
  </si>
  <si>
    <t>D Francisco Espoz y Mina</t>
  </si>
  <si>
    <t>…edidas que tengo Oráa se hallaba sobre Lumbier, y la del brigadier Linares xecorriendo la ribera. meditadas, y que se ejecutarán irremisiblemente; Por decontado prevengo desde ahora que todo individuo que se encuentre El teniente general D. Francisco Espoz y Mina se encargó el dia 3 del por la tropa extraviado del camino real en las horas que median desde que el mando en gefe del ejército del Norte, dirigiendo á las tropas y á los navarros sol se pone hasta que sale, y no justifique en el acto su procedencia legal, será las alocuciones siguientes: incontine…</t>
  </si>
  <si>
    <t>…a para que se reconozca íntegramente, como se ha hecho con los demas em cretario del Despacho del mismo ramo. préstitos. Es necesario distinguir dos épocas. No hablaré de la en que se dieron Se dió cuenta de 'un oficio del Excmo. Sr. D. Francisco Espoz y Mina, los primeros pasos para dicho empréstito, en la cual todo? sabemos que eran remitiendo al Estamento seis ejemplares del orden de! dia y proclama que ha ilegítimos ios actos ejecutados por1 un Gobierno no reconocido por la Nación dirigido i los cuerpos del ejército de su mando al encargarse de él.…</t>
  </si>
  <si>
    <t>…el último parte, y en lo demas de la provincia se disfrutaba de buena salud. ESPAÑA. Madrid 9 de Noviembre. Comisión general de liquidación de ¡a deuda del Estado. S. M. se ha dignado conferir el vireinato de Navarra al teniente general D. Francisco Espoz y Mina, general en gefe del ejército de operaciones del Conforme á lo mandado porjS. M. la Reina Gobernadora en Real Norte, y nombrar comandante general de las provincias Vascongadas al ma órden de 20 de Octubre último, deben ser admitidos á liquidación todos los riscal de campo D. José Carratalá. crédito…</t>
  </si>
  <si>
    <t>Mina, Francisco Éspols y</t>
  </si>
  <si>
    <t>Francisco Éspols y Mina</t>
  </si>
  <si>
    <t>…el general de Comisión.fégia de Navarra-tesExcmo. Sí.: En esta. hora que sbn las Sncé Pamplona á 4 de Noviembre de 1834* , ■de la mañana ha tomado el mando del ejército de Navarra el teniente general D. Francisco E'pOz f Mina. El general 2). Francisco Éspols y Mina 4 los navarros.. ■ El general D. Luis Fernandez de Córdoba Salió antes de ayer con Su di , Paisanos: Acabo de posesionarme del mímelo del ejército destinado á misión y dos batallones mas en seguimiento de la facción rebelde-,, que hoy k pacificar nuestra provincia» &gt; las ocho se hallaba en Osooz y sus in…</t>
  </si>
  <si>
    <t>Mina, Francisco Espóz y</t>
  </si>
  <si>
    <t>Francisco Espóz y Mina</t>
  </si>
  <si>
    <t>114$ D. Francisco Espóz y Mina entfó'HTRTs capital i las siete , poco mas 6 me Dirección. En-ttn punte cóntriéo de eStá villa * situará con este nombre nos, de la noche de ayer. Aunque habia procurado ocultar al público su .lfe- un despacho principal de donde han de partir las operaciones de la distribugaday inmediatamente cofri…</t>
  </si>
  <si>
    <t>Mina, Francisco Espoz y</t>
  </si>
  <si>
    <t>Francisco Espoz y Mina</t>
  </si>
  <si>
    <t>…ue tengo Oráa se hallaba sobre Lumbier, y la del brigadier Linares xecorriendo la ribera. meditadas, y que se ejecutarán irremisiblemente; Por decontado prevengo desde ahora que todo individuo que se encuentre El teniente general D. Francisco Espoz y Mina se encargó el dia 3 del por la tropa extraviado del camino real en las horas que median desde que el mando en gefe del ejército del Norte, dirigiendo á las tropas y á los navarros sol se pone hasta que sale, y no justifique en el acto su procedencia legal, será las alocuciones siguientes: incontine…</t>
  </si>
  <si>
    <t>…ra que se reconozca íntegramente, como se ha hecho con los demas em cretario del Despacho del mismo ramo. préstitos. Es necesario distinguir dos épocas. No hablaré de la en que se dieron Se dió cuenta de 'un oficio del Excmo. Sr. D. Francisco Espoz y Mina, los primeros pasos para dicho empréstito, en la cual todo? sabemos que eran remitiendo al Estamento seis ejemplares del orden de! dia y proclama que ha ilegítimos ios actos ejecutados por1 un Gobierno no reconocido por la Nación dirigido i los cuerpos del ejército de su mando al encargarse de él.…</t>
  </si>
  <si>
    <t>…mo parte, y en lo demas de la provincia se disfrutaba de buena salud. ESPAÑA. Madrid 9 de Noviembre. Comisión general de liquidación de ¡a deuda del Estado. S. M. se ha dignado conferir el vireinato de Navarra al teniente general D. Francisco Espoz y Mina, general en gefe del ejército de operaciones del Conforme á lo mandado porjS. M. la Reina Gobernadora en Real Norte, y nombrar comandante general de las provincias Vascongadas al ma órden de 20 de Octubre último, deben ser admitidos á liquidación todos los riscal de campo D. José Carratalá. crédito…</t>
  </si>
  <si>
    <t>…á arrojarlos de la provincia de Valencia. J^or otra parte el estado de policía, buen método, aseo y mejor adminisVráclon que brilla en todo su vasto recinto, ¿o es menos digno de mención: El general en gefe del ejército del Norte D. Francisco Espoz y Mina di las habitaciones particulares de cada individuo o familia ; la grande extensión ce con fecha 12 del actual, desde Pamplona, que el 13 salía de aquella plaza del patio general; las salas d&lt;? la enfermería, y finalmente, la misma iglesia, para revistar las divisiones dei general Córdoba y brigadier López…</t>
  </si>
  <si>
    <t>…resentado, se declaró, de acuerdo con la junta de Sanidad, que la referida ciu dad de Pamplona estaba ya libre del azote que había sufrido, y'en su conse a cuencia se cantó el J c Deum el dia 7 del mes de la fecha. El Exorno. Sr. Don Francisco Espoz y Mina, al dar cuenta de este feliz acontecimiento, manifies ESPAÑA. ta hallarse suplántente satisfecho del celo con que los individuos de la enun ciada junta de Sanidad habían desempeñado su encargo. Madrid 21 de Diciembre• PROVINCIA DE SEVILLA» El temporal que reinaba el dia en que S. M. la Reina Gobern…</t>
  </si>
  <si>
    <t>Miñhn, Rufo</t>
  </si>
  <si>
    <t>Rufo Miñhn</t>
  </si>
  <si>
    <t>…nta superior de sanidad de Granada dice con fechi \ pida; ía tropa de infantería ha andado en cuatro horas con su capitán , el te del actual, que en aquella ciudad y su vega se disfrutaba de buena salud, r niente coronel graduado D. Rufo Miñhn á la cabeza, la distancia qué los na que en la ciudad de Motril seguía disminuyendo el número de acometidos y ít turales calculan en ocho, y asi logramos alcanzar la facción en Jarque, de don Ilccidos del cólera. de salió precipitadamente al aproximarnos. Seguimos en su alcance tomando la caballerí…</t>
  </si>
  <si>
    <t>Mini, Elias</t>
  </si>
  <si>
    <t>Elias Mini</t>
  </si>
  <si>
    <t>…J a t'á a*, f« k _ t&lt;*déi-t&amp;oéprédios.— _ , . . . ■ gonimEs copia.=EzpcTefá. ', ■''u' " ' •• ' ' L S.. M. se ha dignad#* conceder l¡á'’S'. Férrean&lt;íó'de. clase al bri gadier conde de Mirasol; el gradó‘dé le Alióte al subteniente D. Elias Mini no ; cruz de Isabel it cfeá'alti paga il 'sár^ébto dé láf 'Milicia Urbana de caba llería D. Manuel Gil, al de igual clase de caballería de Borbon que también se distinguió, y al soldado del misma cuerno Antonio Cedacero; y diez.cruces de. Isabel para qué al frente de las Irópás %arf puestas porél '…</t>
  </si>
  <si>
    <t>Miniaros, Presidente del Consejo de Sres</t>
  </si>
  <si>
    <t>Presidente del Consejo de Sres Miniaros</t>
  </si>
  <si>
    <t>…obre reconocimiento de la deuda cx- Asi se acordó. tr.ingera , y autorización para un empréstito de 4,H* millones de reales, cuyo El Sr. Presidente dijo que ib.r á darse cuenta al Estamento del expediente recibo avisaba el Excmo. Sr. Presidente del Consejo de Sres. Miniaros. relativo á la elección del Sr. D. Manuel Villachica, que había quedado sobre la El mismo Excmo. Sr. comunicó de Real orden al Estamento dos decretos mqsa , y cuva discusión estaba señalada para este dia. de S- M.; uno admitiendo al Sr. D. Antonio Rcmon Zirco del Valle la di En seguida se leyó el di…</t>
  </si>
  <si>
    <t>Minio</t>
  </si>
  <si>
    <t>…s autoridades de la isla. El documento que vamos á extractar dará grados pudiesen buscar el refugio de la Gran Bretaña. mayor fuerza á nuestras razones. El valor de las transacciones comerciales en la isla de Cuba, durante el ._.—Lord Minio, embajador británico en Berlin , que ha estado algunos dias año de 1833, ha sido de 32.507,233 pesos un real, excedente ai dei anterior en París&gt; ha pasado por Bruselas con su familia y comitiva, 'dirigiéndose á en la considerable diferencia de 3.713,/SO pesos. Londres. La importación general corre…</t>
  </si>
  <si>
    <t>Minirtro</t>
  </si>
  <si>
    <t>…cipios/ aquellas formas de los Gobiernos mas adelan tiondél ¡cada, verán que de adoptar el dictamen de la minoría de la comisión, ó tados de Europa, se dice que estamos atrasados y no-cn disposición de reci vi proyecto de ley del Sr. Minirtro de'Hacienda, se va á seguir al pueblo espa* birlos; y cuando se trata de cargarnos con obligaciones y de que paguemos ñol un daño positivo, infalible; pues desde el momento en que se haga lado» .lo que nr&gt; se sabe si debemos, entonces se quiere imitar el ejemplo de las de claracion qup propdben, va…</t>
  </si>
  <si>
    <t>Minis</t>
  </si>
  <si>
    <t>…de el primer dia. No se arrancó Monarca &gt; pero que puede considerarse como de particular á parha,habido.idea, no ha habido resorte, no ha habido pensamiento que no se ticulaTT'Nor,=5S~diga que la Nación percibió sus productos: el señor Minis haya tocado-; pero fijos unos en reconocer el lodo, y olios la parte, no hemos tro de Hacienda nos ha demostrado que de 2900 millones de reales, redu podido conformarnos. El proyecto de ley del Sr. Ministro, que ha dado oca— cidos á 2$ü0 por Ja amortización, solo 269 entraron en el teK&gt;ro públi tiq…</t>
  </si>
  <si>
    <t>…rece en la blado , han tocado algunos puntos de él. Antes que yo un Sr. Procurador ha propuesta del Gobierno que los consulados de las regencias berberiscas gozan bía tratado del L° y 2.°;-yo me he limitado á hablar del 3.°; y el Sr. Minis del sueldo de 50 á 609 re.; esto es porque reúnen el carácter de agentes diplo tro de Estado ha contestado ya.al 4-° y 5.°, indicando que el Gobierno está tra máticos, les ocurren gastos imprevistos, ejercen la hospitalidad, y se les oca bajando para hacer la tarifa. Todo esto prueba, repito, que no se…</t>
  </si>
  <si>
    <t>Ministerio, Aíartinez de la Rosa El</t>
  </si>
  <si>
    <t>Aíartinez de la Rosa El Ministerio</t>
  </si>
  <si>
    <t>…sos por parte de la arbitrariedad, y para oponer asimismo su freno á las pasio estamos riendo, para que sé pueda sostener sin progresar, y sin mas apoyo que nes populares.” i -— unos*miserables ¿ ignorantes, ó pérfidos secuaces. Sr. Aíartinez de la Rosa-. «El Ministerio se habia propuesto no to ■ Sobre este punto ha dicho elSr. Ministro , y tiene mil razones, que es mar la palabra en esta discusión , dejando á los Sres. Procuradores en libertad preciso haya una causa poderosa para que el Pretendiente subsista' en las Pro- de hacerlo, no se creyese que intentaba pr…</t>
  </si>
  <si>
    <t>MINISTERIO, José Rivero de la Herran</t>
  </si>
  <si>
    <t>José Rivero de la Herran MINISTERIO</t>
  </si>
  <si>
    <t>…perfecta salud en el expresado Real sitio la Serma. Sra. Infanta Doña María Luisa. Por Real decreto de‘2Gde Junio último se sirvió concellerS. M. la Reina Goberna lora honores de ministro togado de la Real au diencia de Sevilla á D. José Rivero de la Herran. ' . MINISTERIO DE LA GUERRA. Beales órdenes. S. M. me .manda remitir á V. E. el índice adjunto de las dife PARTE NO OFICIAL. rentes disposiciones y resoluciones que se lia dignado dictar para la incorporación y conservación en las filas de los oficiales de los cuer NOTICIAS EXTRANGERA?. pos del ejército; y llamando…</t>
  </si>
  <si>
    <t>Ministra</t>
  </si>
  <si>
    <t>…decisiones lo había desechado. Póé manera, que dc un modo mas ó menos ingenioso (ya para publicarlos. Este sistema nunca Ip -he .visto en practica; ni.es parlamenta ' se deja entender que el ipgenio que se acaba de celebrar en él Sr. Ministra dé rio'; y lo diré con franqueza; podría contribuir á destruir la confianza que pone Hacienda nó es un patrimonio exclusivo de S. £.), han presentado el misino el Gobierno en las personas que nombra papa sus comisiones é informes: aun argumentó bajo diversas formas otros varios señores , entre ello…</t>
  </si>
  <si>
    <t>Ministre</t>
  </si>
  <si>
    <t>…n consecuencia del oficio que pronto castigo de los delitos, ya también para asegurar la misma independen se acaba leer , se reunirá el Estamento pasado mañana á la hora de las diez cia det poder judicial. pira oír la memoria del Sr. Ministre^ de lo Interior. Igualmente se reuniré »El hecho es que se nota cierto entorpecimiento en esta materia; que el ñaña á la m ^na hora para continuar fe lectura del proyecto de Código cri Gobierno mismo, á pesar de ser el mas interesado en la fiel ejecución &lt;fe las minal f demas asuntos pendientes. Ciérra…</t>
  </si>
  <si>
    <t>…que cualquiera que todas las rentas del Estado: dictámen que fue aprobado sin discusión ninguna y no.tíené lo nécésario.'já ün miáprabje. Prescindo de lo que se ha dicho relati unánimemente*por rodo el Congreso. Por cierto que ci Sr. Ministre) de Guerra, vamente. í préttíiOs y A Estatuto : esa» son ideas que no entran en mi cabeza. qúe era entonces D.‘ TomásMoreno y-Daoíz, se presentó de parte de á dar . El ájfradeclmienro áliRsrNA Gobernadora todos Je ténemósvy es inútil ti las gracias: á las Córtes; y habiendo dicho este Ministro á $.…</t>
  </si>
  <si>
    <t>Ministren</t>
  </si>
  <si>
    <t>…. «Qué dirían dopues nuestros nietos, ú hallasen so las lágrimas y ja miseria de tantas familias? Yo conte&gt;taré usando del mismo bre sus hombros una carga insoportable puerta por nuestra mar.j, y con el solo giro de expresión del Sr. Ministren jf, síy mil veces sí. % objeto de eludir el actual compromiso? Pero no vayamos tan allá. Nosotros se «El Sr. Domecq entre otros varios argumentos á que contestó aye^el Se riamos los primeros víctimas de nuestra inconsideración , pues las consecuencias ñor Caballero nos citó la ley' recopilada que p…</t>
  </si>
  <si>
    <t>Ministró</t>
  </si>
  <si>
    <t>…sta el extremo que parecen indicar los sentimientos filantrópicos una viña, se envejece, Por lo tanto yo no admitiría la modificación que ha he de les señores preopinantes, seria en cierto modo alentar el vicio; y á la ley cho el'Sr. Ministró: sí daría la sucesión á la muger 6 al marido; pero no ofre toca impedirlo. Por eso se previene que la concesión se limité á ios hijos natu cería esperanzas á otros para que deseasen la muerte del poseedor, Cesa bien rales , y que estén reconocidos legalmente; y aun en este caso les llama sin cruel.…</t>
  </si>
  <si>
    <t>…presentado por el los prestamistas de ier pagados, ó del riesgo que puedan correr sus capitales. Gobierno, y dictámen que "dió la comisión de Hacienda sobre el arreglo de Calculando por los d^tosque acompañan á la exposición de! Sr. Ministró la deuda extrangera, y autorización para realizar un empréstito de 400 millones’ de Hacienda, resulta que la Nacton.se halla hoy gravada con un capital de de reales, cuya discusión estaba señalada para la sesión de este día, siendo am deudá extrangera de 2,'0l2.32ó,óóó$' de reales, cu y Os intereses i…</t>
  </si>
  <si>
    <t>/ h libertad en que «tuvo «1 Sr. D. Fernando vii de contratar estos émprésti^ discurso en qué el Sr. Ministró me sorprendió, sin embargo de las. pruebas qile tos, y en contestación al argumento hecho por otro Sr. Procurador ldé que es temamos ya de su elocuencia y Verbosidad, por las brillantes razónés con, que taba dominado por una facción, dijo que D. Fernando vu, entre oirás prue apoyó él dictímen prese…</t>
  </si>
  <si>
    <t>Ministro, Caballero El</t>
  </si>
  <si>
    <t>Caballero El Ministro</t>
  </si>
  <si>
    <t>…extrangera , luego habrá que gravarla con ia interior , que se supone tan reconoce sino un» parte de la deuda; y esto s; que es equivocación de parte del to ó mas inmensa que aquella. Yo creo que en esto hay algo de exageración, Sr. Caballero. El Ministro reconoce toda la deuda como legítima; solo lo que pues ia deuda extrangera para su paga y amortización sucesiva aunque lenta, duda y ha dudado es si la Nacioq podrá pagarla desde luego, y por eso ha dicho que se pagarán los intereses de la mitad, insinuando que los de la otra mitad necesita según e…</t>
  </si>
  <si>
    <t>Ministro, El</t>
  </si>
  <si>
    <t>El Ministro</t>
  </si>
  <si>
    <t>…rangera , luego habrá que gravarla con ia interior , que se supone tan reconoce sino un» parte de la deuda; y esto s; que es equivocación de parte del to ó mas inmensa que aquella. Yo creo que en esto hay algo de exageración, Sr. Caballero. El Ministro reconoce toda la deuda como legítima; solo lo que pues ia deuda extrangera para su paga y amortización sucesiva aunque lenta, duda y ha dudado es si la Nacioq podrá pagarla desde luego, y por eso ha dicho que se pagarán los intereses de la mitad, insinuando que los de la otra mitad necesita según e…</t>
  </si>
  <si>
    <t>Ministrode</t>
  </si>
  <si>
    <t>…~es menester co Ja palabra, lo ha verificado también-respecto de la pregunta que iba á hat^r pa nocer el estado de los cuadros de esos regimientos suizos, no podía yo tomar ra poder votar, y que ha dado motivo a la aclaración del Sr. Ministrode la sobre mí este negocio consultándolo con S. M., sino que he querido oir el dic Guerra. Pero sino he entendido mal, creo haber oído que se ha concluido la támen de mis compañeros: por lo tanto puede descansar S. S. en la seguridad contrata en Agosto de este año, lo cual me hace nacer una nueva duda.…</t>
  </si>
  <si>
    <t>Ministros, El Secretario del Consejo de Sres</t>
  </si>
  <si>
    <t>El Secretario del Consejo de Sres Ministros</t>
  </si>
  <si>
    <t>…DE MARINA. municipal, y teniendo en consideración que S. M. se propone man dar presentar en breve á la deliberación de las Oírles un provecto Real orden. de ley sobre el arreglo general de ayuntamientos; lia tenido á bien Ercmo. Sr.: El Secretario del Consejo de Sres. Ministros me resolver, después de oído-el dictámen de su consejo de Ministros, dice.en íi del actual lo siguí en te.=Exorno. Sr.: Habiéndose dado que hasta tanto que se promulgue como tal la mencionada lev, no se cuenta en sesión del Consejo de Sres. Ministros de una exposición llaga novedad en la conqiosici…</t>
  </si>
  <si>
    <t>Ministros, Presidente del Consejó de Sres</t>
  </si>
  <si>
    <t>Presidente del Consejó de Sres Ministros</t>
  </si>
  <si>
    <t>…os nuestro^. La Inglaterra ha logrado establecer las merinas en la Leída y aprobada el acta de la sesión anterior, se dió cuenta de un oficio Nueva-Holanda á fuerza de sacrificios , llevando los moruecos de España con del Escomo- Sr. Presidente del Consejó de Sres. Ministros, en que trasladaba una abundancia extraordinaria. La Francia, bien sea por los terrenos que ha una carta del Exorno. Sr. conde de Villanueva, Intendente de ejército, y encar dedicado á ese ramo de industria, bien por otras razones, no ha podido acli gado de la Superintendencia general de la Habana;…</t>
  </si>
  <si>
    <t>Ministros, Presidente del Consejo-dc</t>
  </si>
  <si>
    <t>Presidente del Consejo-dc Ministros</t>
  </si>
  <si>
    <t>…er lo mismo á que se le invitaba. Esta es una materia público la petición propuesta. No hallo razón ninguna para que así sucediese. que muy especialmente pertenece al Gobierno; él es el que puede graduar la Pero yo preguntaría al Sr. Presidente del Consejo-dc Ministros ¿qué mal re época, la oportunidad, los medios: y» puesto que ba anunciado cuales' son su sultado puede producir el que el Gobierno español manifieste que c*ia pronto intención y deseos , no alcanzo la utilidad de promover una discusión, que por á entrar en relaciones amistosas con los Estados de Ul…</t>
  </si>
  <si>
    <t>Ministros, Presidente del Consejo.de</t>
  </si>
  <si>
    <t>Presidente del Consejo.de Ministros</t>
  </si>
  <si>
    <t>…a cosa; pero ha sido de Isasbl ii , en otras de Cristina, y asi en las demas: en mi provincia adop una ligereza demasiado reprensible. taron el nombre de1 leales, porque alguno habían de gdoptar Vino después el »»Dijo- también el Sr. Presidente del Consejo.de Ministros, respondiendo reglamento, que con mas ó menos modificaciones regularizó los cuerpos; pe al argumento de que esta ley debe ser acomodada á Jas circunstancias en que es* ro en la esencia de su composición se hicieron muy pocas variaciones, y puedo tamos, y no para tiempos tranquilos, que las leyes ti…</t>
  </si>
  <si>
    <t>Mintegui</t>
  </si>
  <si>
    <t>…Torre y Mariano Trillo, con cuyo motivo el Sr. Aparicio Jes dirigió una \ da trimestre. Se admiten suscripciones en Madrid en los almacene* de música de* afecuCion propia de las circunstancias, y orraca los concurrentes el señor alcalde Mintegui, Hermoso y Carrafa; y en el de papel rayado, calle de la Cruz; en danefe se dará el prospecto gratis; y en las principales librerías 7 almacenes de música de' mayor, alentando Ja niñez al amor del estudio, y manifestando las esperanzas las provincias ai mismo precio que eo U corte, siendo los porte…</t>
  </si>
  <si>
    <t>Minto</t>
  </si>
  <si>
    <t>…rrín, va é «dir pnr. En virtud de lá prerogativa qué me compete; QOn arreglo al ay-; n ^oite á ocupar un importante^ puesto, en d aunuaeno; y que el cubjwtt t^piló 12 délJE«atutci Real, y deseando recompensar W fidelidad á&gt; mglés lord Minto ha rolidrado (pérmiso para ir á Londres con el obfMxhMréSyWfgiiit' Bija. Dñfla Rabel ii, y los servicioay merecimientos del reglar negocios &lt;te familia. (Cedjteta de- AugsburgoJ) —r-~¡J ¿iique^pipp; P,T* 9tte «Je™* i* «li^tidad ■ V- ■■ ' TÚestt73 de Agosto. V ■ dé yíeenÍRM4dm&gt;té del Estamento de Pr…</t>
  </si>
  <si>
    <t>…moción de D. José María Manescau, distinguía. Mientras el gabinete de San James tiene en las cortes de—les demás á D..Francisco Vereá y Cornejo; para dos plazas de oidor de la de ValladoSoberanos embajadores deprimera clase, pues lord Minto está en Berlín, lord lid , vacantes por'fallecimiento de D. José Moreno Ramírez y D. Juan NeGrandville en París, sir Frederick Lainb en Viena, lord Ponsonjby en Cons- pomuceno Vela, á D.. Mariano Herrero, teniente corregidor de Madrid, y á tantinopia, sir Roberto Adair en Bruselas, y asi en las dem…</t>
  </si>
  <si>
    <t>Minué</t>
  </si>
  <si>
    <t>…ogroño ¿ las órdenes del brigadier D. Narciso López, que vol nido algunas horas antes, toda ia facción habría caído en nuestro poder. vieron á marchar i las seis de la tarde. «bon las dos y media de la mañana y recibo un parle de D. Minué! de'. D. Antonio José Rodríguez, ayudante de la plana mayor de este ejérci Vicente desde las alturas de Ranera, en que me dice que había perseguido por to , á quien envié á Haro para enterarse de lo ocurrido allí y tomar noticias, el espacio de cuatro horas la facción que en completa dispersión hun…</t>
  </si>
  <si>
    <t>Mió, Vrg y</t>
  </si>
  <si>
    <t>Vrg y Mió</t>
  </si>
  <si>
    <t>…ervándome hacer algunas adi necesidades del Esudo; pero hay algo de exageración en es os recursos. En otro ciones ó alteraciones en sus artículos/’ tiempo los tuvo, infinitos; pero en el día , io mismo que todas las clases del Mi Sr. Vrg¿ y Mió: ” La coe&gt;t¡on presente és la mas gTave y la mas es Estado, no tieoc tantos como se cree. formado parte de muchas juntas que pinosa que p^ede prescntaise, por lo m.smo que el crédlo es lo mas sagrado han intervenido en c»ta ciase de investigaciones, y podré probar á quieo guste que hay. Pero en aic…</t>
  </si>
  <si>
    <t>Mioiitrixiial-latoriar.á</t>
  </si>
  <si>
    <t>…ha exasxunado La ,tl tratái de:eite :|iu&gt;to: lwsta. la legtU*tun inmediata , quiero que se discuta, -.«riraaisj^x -df-hu:*uuae y ha adopusdoí la que toas armonrá guarda cotí el heáti- ^pearqne quieta que hay*. Milicia.? tuto. Eá Sr.- Mioiitrixiial-latoriar.á falrade razones, ha aludido á qsae los mi Habiéadaeo pragnnredn ai cnefaa el punto suficientemente discutido, se' liciano* sentirán ie tto dé el sánrisBie nuevo «le Guardias nacionales: ..me. per— . declaró,qu» sí tpoéf2-votosoon&lt;i*&gt;52. . o aütirá S. S, cúutestsrle, ífee es nooesaocer á la mitici*…</t>
  </si>
  <si>
    <t>Mir, José Corsoy D Mariano</t>
  </si>
  <si>
    <t>José Corsoy D Mariano Mir</t>
  </si>
  <si>
    <t>…teniente D. Dionisio Arguelles donde no han podido sostenerse, han obligado ¿ adoptar constantes medidas de cargaron ¿ la cabera de sus compañías así como el arrojo de los sargentos pri precaución. meros, graduados de alféreces, D. José Corsoy D. Mariano Mir; y los segundos El espíritu público de los habitantes de la misma provincia , continúa sien Juan Maguirtain y Sanliágo García, por el destrozo que hicieron al mezclarse do generalmente muy satisfactorio. con los enemigos. Los soldados Agustín Moya, Francisco Suarez , Miguel No tario , Pablo García,…</t>
  </si>
  <si>
    <t>Mir, Mariano</t>
  </si>
  <si>
    <t>Mariano Mir</t>
  </si>
  <si>
    <t>…onisio Arguelles donde no han podido sostenerse, han obligado ¿ adoptar constantes medidas de cargaron ¿ la cabera de sus compañías así como el arrojo de los sargentos pri precaución. meros, graduados de alféreces, D. José Corsoy D. Mariano Mir; y los segundos El espíritu público de los habitantes de la misma provincia , continúa sien Juan Maguirtain y Sanliágo García, por el destrozo que hicieron al mezclarse do generalmente muy satisfactorio. con los enemigos. Los soldados Agustín Moya, Francisco Suarez , Miguel No tario , Pablo García,…</t>
  </si>
  <si>
    <t>Miralda, D Pablo Torreas y</t>
  </si>
  <si>
    <t>D Pablo Torreas y Miralda</t>
  </si>
  <si>
    <t>…e, desde donde escríbu; y por lo tanto Adición. Para rectificar la lista publicada en la sesión de ayer sé inserta la no había podido concurrir á la apertura, como estaba prevenido. siguiente oficial. Se aprobaron los poderes del Sr. D. Pablo Torreas y Miralda, Procurador Sres- Procuradores qué prestaron juramento en la sesión Regia. por lá provincia de Barcelona. Sres. Posada; Caballero; González (D. Antonio); Latorre; Carrasco; conde En seguida manifestó el Sr. Presidente iba á procederse á la votación para dé Almodovar; condé de Adancro; A randa; Rodr…</t>
  </si>
  <si>
    <t>Miralda, Pablo Torreas y</t>
  </si>
  <si>
    <t>Pablo Torreas y Miralda</t>
  </si>
  <si>
    <t>…esde donde escríbu; y por lo tanto Adición. Para rectificar la lista publicada en la sesión de ayer sé inserta la no había podido concurrir á la apertura, como estaba prevenido. siguiente oficial. Se aprobaron los poderes del Sr. D. Pablo Torreas y Miralda, Procurador Sres- Procuradores qué prestaron juramento en la sesión Regia. por lá provincia de Barcelona. Sres. Posada; Caballero; González (D. Antonio); Latorre; Carrasco; conde En seguida manifestó el Sr. Presidente iba á procederse á la votación para dé Almodovar; condé de Adancro; A randa; Rodr…</t>
  </si>
  <si>
    <t>Miraldal, D Pablo Torrcns y</t>
  </si>
  <si>
    <t>D Pablo Torrcns y Miraldal</t>
  </si>
  <si>
    <t>…; Siria pre Sr. D. José Ptindolit. ciso olvidar cuanto se parece un estado á ün hombre en sus pasiones buenas ó . ;Sr. Dt Ramón de Llano Chavarri. . malas,,para no CQHiprenderjha^ta, qué, punto se avivarla el zelo derPuestrosimi- Sr. D. Pablo Torrcns y Miraldal gos y.' vpcióos vléndonos uñidos.con la GranxBreuña. Aun sin contar con Nápolesj á quien el deseo deW independencia inclina necesariamente á favor de provincia, na xa casulla. 'facuadrupti. aliante, ni ^cl Fiiinonte qüé tó-dé'ó temprano .debe, incorporarse : ,Sr. D. Pedro,Bertnudez del Villar. en é…</t>
  </si>
  <si>
    <t>Miraldal, Pablo Torrcns y</t>
  </si>
  <si>
    <t>Pablo Torrcns y Miraldal</t>
  </si>
  <si>
    <t>…ria pre Sr. D. José Ptindolit. ciso olvidar cuanto se parece un estado á ün hombre en sus pasiones buenas ó . ;Sr. Dt Ramón de Llano Chavarri. . malas,,para no CQHiprenderjha^ta, qué, punto se avivarla el zelo derPuestrosimi- Sr. D. Pablo Torrcns y Miraldal gos y.' vpcióos vléndonos uñidos.con la GranxBreuña. Aun sin contar con Nápolesj á quien el deseo deW independencia inclina necesariamente á favor de provincia, na xa casulla. 'facuadrupti. aliante, ni ^cl Fiiinonte qüé tó-dé'ó temprano .debe, incorporarse : ,Sr. D. Pedro,Bertnudez del Villar. en é…</t>
  </si>
  <si>
    <t>Miralles, Salvador</t>
  </si>
  <si>
    <t>Salvador Miralles</t>
  </si>
  <si>
    <t>…es residentes aquí, y uno de ellos, el barón Bulow,está de Valencia y dos de alcaldes del crimen de- la misma, también vacantes por en vísperas de-partir. La Francia está representada en la corte de San James por fallecimiento de D. Salvador Miralles, D. Antonio Martínez Arroyo y Don un secretario de legación; el Austria por un oficial llamado consejero de la Toribio Parfrondi, á D. Vicente del Campo, D. Ramón Rodríguez de Veembajada; la Rusia por un miembro subalterno del cuerpo diplomático coh lasco y D. Manuel Sánchez Cid; para una alcaldía…</t>
  </si>
  <si>
    <t>Mirambell, D Miguel</t>
  </si>
  <si>
    <t>D Miguel Mirambell</t>
  </si>
  <si>
    <t>…mi pequeña columna con 120 hombres Barba habia sido batido con pérdida de cinco muertos y cuatro del 5.° ligero y tiradores de Isabel los primeros á las órdenes prisioneros en VlUamayor de Calatrava; y que algunos Milicianos del comandante D. Miguel Mirambell, y los segundos á las del ca urbanos de Consuegra habian salido á colocarse oportunamente a pitán graduado de teniente coronel D. Salvador Martí: de modo fin de cortar la retirada á los restos de su gavilla. que con los 60 carabineros, 20 voluntarios de Vinaroz y un pi Partes del capitán general de…</t>
  </si>
  <si>
    <t>Mirambell, Joaquín Ramos y D Miguel</t>
  </si>
  <si>
    <t>Joaquín Ramos y D Miguel Mirambell</t>
  </si>
  <si>
    <t>…res de su cuerpo: el capitán oprobio de la especie humana por sus atrocidades. de la compañía de carabineros del mismo D. Ramón Ferrer: los comandan Deseoso el capitán general de castigar los asesinatos cometidos por aquellos tes D. Joaquín Ramos y D. Miguel Mirambell: los capitanes D. Vicente malvados en Falset en las personas del capitán D. Miguel Sala, en eL teniente Llorens y D. Mariano López, el primero graduado de Teniente coronel; y el D. José Castañeda y el cadete D. Miguel, hijo del expresado capitán, todos subteniente D. Gerónimo Vidal, todos del regim…</t>
  </si>
  <si>
    <t>Mirambell, Miguel</t>
  </si>
  <si>
    <t>Miguel Mirambell</t>
  </si>
  <si>
    <t>…l capitán oprobio de la especie humana por sus atrocidades. de la compañía de carabineros del mismo D. Ramón Ferrer: los comandan Deseoso el capitán general de castigar los asesinatos cometidos por aquellos tes D. Joaquín Ramos y D. Miguel Mirambell: los capitanes D. Vicente malvados en Falset en las personas del capitán D. Miguel Sala, en eL teniente Llorens y D. Mariano López, el primero graduado de Teniente coronel; y el D. José Castañeda y el cadete D. Miguel, hijo del expresado capitán, todos subteniente D. Gerónimo Vidal, todos del regim…</t>
  </si>
  <si>
    <t>…columna con 120 hombres Barba habia sido batido con pérdida de cinco muertos y cuatro del 5.° ligero y tiradores de Isabel los primeros á las órdenes prisioneros en VlUamayor de Calatrava; y que algunos Milicianos del comandante D. Miguel Mirambell, y los segundos á las del ca urbanos de Consuegra habian salido á colocarse oportunamente a pitán graduado de teniente coronel D. Salvador Martí: de modo fin de cortar la retirada á los restos de su gavilla. que con los 60 carabineros, 20 voluntarios de Vinaroz y un pi Partes del capitán general de…</t>
  </si>
  <si>
    <t>Miranda</t>
  </si>
  <si>
    <t>…artículos 13, M Y flu0 número de los muertos es espantoso. Nuestra pérdida fue grande , y lamenta tratan «efe los retiros; de ios sueldos de los oficiales en servicio activo y exce mos entre otros oficiales la falta del teniente coronel Miranda, y la de mi ayu diente*; y fijan el que han de percibir los oficiales que se hallan en servicio pa dante de campo el mayor Guillet, pues ambos se hallan heridos de peligro.' sivo según la* diferentes causas por que hayan pasado á dicho estado.** {Siguen las recomendaciones.') Lo que tengo el honor…</t>
  </si>
  <si>
    <t>…ones en Buenavista, reforzó la guarnición de Oihao, y tomó las dis camino de Pernes, después de haber sido revistada: al punto mande que ei te posiciones convenientes para que al tiempo que él saliese de Faro á cortar leña niente coronel Miranda, comandante del primer regimiento ligero de !a Rei cayera de improviso la guarnición de Oihao sobre Buenavista, y se apoderara na, y del décimo batallón de infantería, se reuniera con ei comnri Romav d« la artillería; operación que no tuvo efecto porque el enemigo á pesar do que ocupaba á Pernes ,…</t>
  </si>
  <si>
    <t>…mente cualquiera tenr.it.va ningún título letrados. Él Sr. Soure aclaró ciertos puntos que le parecían du revolucionaria, porque desgraciadamente hay sin duda muchos perversos y ma dosos; el Sr. Magalhaes presentó una adición; el Sr. Miranda aprobó el artí lévolos, v bastantes incautos que solo con algunos escarmientos podran desen culo como estaba en el proyecto, salva otra redacción roas clara; el barón de gañarse para siempre de sus criminales proyectos. RenduflFe pidió se preguntase si el punto estaba suficientemente discutido. «Sr…</t>
  </si>
  <si>
    <t>Miranda, Anselmo</t>
  </si>
  <si>
    <t>Anselmo Miranda</t>
  </si>
  <si>
    <t>…. teniente retirado D. Juan José del Arenal, siguiendo yo con el subteniente .Don José del Busto y los sargentos segundos D. Elias Alvarez, D. Félix ^ionF.n celebridad del cumpleaños de S. M. la Reina Gobernadora se vistió real y D. Anselmo Miranda, y el resto de la columna por el centro con direc ayer la corte de gala con uniforme , y hubo en el Real sitio de Aranjuez besa ción á la villa. A la entrada de esta , rompió el fuego la descubierta que man manos general , asistiendo á un acto tan augusto el cuerpo diplomático, los con daba el teni…</t>
  </si>
  <si>
    <t>Miranda, Félix</t>
  </si>
  <si>
    <t>Félix Miranda</t>
  </si>
  <si>
    <t>…comandante D. Manuel Argüelles ¡ el - que en los demas puntos invadidos continuaba la enfermedad con benignidad teniente coronel graduado, capitán D. José Aguirre; los capitanes D. José según, resulta del siguiente María Gurrea y D. Félix Miranda; el capitán graduado, teniente D. Antonio Parte sanitario. Sánchez; el teniente.graduado, subteniente D. Juan Moreno; los subtenientes D..Juan Orus y D. José Erefias; los sargentos primeros Manuel Chutos y Gui llermo Provees, y los cabos primeros Eusebio Quiles, Manuel Badia, José Pueblos. Dias. En…</t>
  </si>
  <si>
    <t>Miranda, Francisco González</t>
  </si>
  <si>
    <t>Francisco González Miranda</t>
  </si>
  <si>
    <t>…s marchó á las cuatro de la tarde con dirección á ra el de Gata á IX Ignacio González Olivares, qué lo es de Espárragos* dé Artajoña; pero el 7 á las once de la noche, se hallaba en Barosain, la caberLares; -para el de Logrosan á D. Francisco González Miranda, alcalde ma Hería en Cirauqui y Mañeru: el Pretendiente y Zumalacarregui con el grueso yor de Hornachos; para el deGinzode Limia á IX Ramón Martelo y Nuñez; de la facción en las montañas , y el general en gefé con las divisiones de Cór ra el de Denia á D. (Gabriel Montaner; para.el de Martin Muñoz…</t>
  </si>
  <si>
    <t>Miranda, Juan de Dios</t>
  </si>
  <si>
    <t>Juan de Dios Miranda</t>
  </si>
  <si>
    <t>…sto de ia columna precisase de infantería-, de los comandantes de batallón del 2 ° regimiento de granaderos á los enemigos a que aband masen la población -. al rompeT el día, y al grito de de la de provinciales D. Blas Barreda, y D. Juan de Dios Miranda: del te \izti Irt JÍ£JS'a , puesto a la cabeza de nuestros valientes, v seguido de mi niente del Real cuerpo de artillería D. Serapio de Pedro, y del alférez Don ayudante el cap't in de! ligeros de caballería, D. J uan ZivaU , del de U José Lasala: y de mis ayudante*de campo D. Luis María, y D. Gen…</t>
  </si>
  <si>
    <t>Miranda, Santiago</t>
  </si>
  <si>
    <t>Santiago Miranda</t>
  </si>
  <si>
    <t>…gtre SefxsT*-Deñ* rona. Entre tanto yo con mi gefe de plana mayor D. Domingo de Aristirabal, Isa'bel ii y de su adorada y augusta Madre la RBiNA‘Gobemadera. y mis ayudantes de campo y de plana mayor O. Juan Zavala, D. José Oribe, D. Santiago Miranda , D. Julián Pascaran, D. Kufino Ipiña y D. José Perez, marché á otra serie de alturas mas á la derecha, desde donde se descubría bien - El buque correo xle lá 'Habana núm. 4 ^árá la vela del ¡puerto de Cádíz el r| de. cerca al enemigo; y estándolo observando llegó sobre nosotros por una en 2 de Jun…</t>
  </si>
  <si>
    <t>Miranda, Tomas</t>
  </si>
  <si>
    <t>Tomas Miranda</t>
  </si>
  <si>
    <t>…a guerra impía a su patria; pero en la cual ni ha estado ni ha podido ragoza. Igual elogio hace el comandante de esta del subteniente del 9.° de línea estar un solo momento indecisa la victoria. La causa de la legitimidad y de la D. Tomas Miranda, de los sargentos Joaquín Ruita, Andrés Sanaperio y civilización triunfará en breve de la usurpación y de la barbarie. Francisco Gallego, que han sido heridos; de los de igual clase Joaquin Real, La próxima solución del probldna de Portugal; el aumento de nuestro cré Francisco Salas, Isidro Gil y J…</t>
  </si>
  <si>
    <t>Mirasol</t>
  </si>
  <si>
    <t>…bana de caba llería D. Manuel Gil, al de igual clase de caballería de Borbon que también se distinguió, y al soldado del misma cuerno Antonio Cedacero; y diez.cruces de. Isabel para qué al frente de las Irópás %arf puestas porél 'brigadier Mirasol nía están' &gt;deAKUiifiestoi ia «alidad.y tasación de lasipred£osV y coadicSaibc»'é* ll . ^ a los que conceptué mis beneméritüé¡'Sffir,8érjüic¡ó' dé qúq'éi capitán general venta. , . ;í.^ —'—Por providencia del spbdélfeacjp dé los Realej rnaestfáñeds proponga lo conveniente. yr£r--y- ’ • . ■&lt; tara er…</t>
  </si>
  <si>
    <t>Miritn, D Femando'</t>
  </si>
  <si>
    <t>D Femando' Miritn</t>
  </si>
  <si>
    <t>…doa t rin.ifcai;ísuülio&lt;yseel do nuestras ar- : ^SríDi Jdií'RoseiiBóyíf ti ’V^yFtia 1 ■ al i maá,y' eMté la ptpMgcb(Bí.r'(i%}.AiSJBU.t, i: w.á.131-34 K-i-r-: ■•••i“ •\'j *■, ' : , ' Sr. D. Manuel María Vázquez Oyeipo de Lira, ■ / Sr. D. Femando' Miritn3a~y 01íín¿üutu ~ i--,.-* -N le Sr. D. José Oltíí *. XH', ,&lt; r o,A-1 '¿3 . r‘ ■ i: '**■ ■4 &gt;t..' . ; ..fn. f&lt;¡ -u? : .raoywptesriwi oteparn a-w ....... -...'.iK-aa Escriban deOibnltat coniecha de 3? do Junio pr&amp;umope»doloi¡^ Sr. D. Pedro Ventura de Pug», por BMaimidnl dt fuiente: rat¡*/"fc-i--li *"*…</t>
  </si>
  <si>
    <t>Miritn, Femando'</t>
  </si>
  <si>
    <t>Femando' Miritn</t>
  </si>
  <si>
    <t>…t rin.ifcai;ísuülio&lt;yseel do nuestras ar- : ^SríDi Jdií'RoseiiBóyíf ti ’V^yFtia 1 ■ al i maá,y' eMté la ptpMgcb(Bí.r'(i%}.AiSJBU.t, i: w.á.131-34 K-i-r-: ■•••i“ •\'j *■, ' : , ' Sr. D. Manuel María Vázquez Oyeipo de Lira, ■ / Sr. D. Femando' Miritn3a~y 01íín¿üutu ~ i--,.-* -N le Sr. D. José Oltíí *. XH', ,&lt; r o,A-1 '¿3 . r‘ ■ i: '**■ ■4 &gt;t..' . ; ..fn. f&lt;¡ -u? : .raoywptesriwi oteparn a-w ....... -...'.iK-aa Escriban deOibnltat coniecha de 3? do Junio pr&amp;umope»doloi¡^ Sr. D. Pedro Ventura de Pug», por BMaimidnl dt fuiente: rat¡*/"fc-i--li *"*…</t>
  </si>
  <si>
    <t>Mirle, Carlos</t>
  </si>
  <si>
    <t>Carlos Mirle</t>
  </si>
  <si>
    <t>…is Arrabal, procurador del común; del procurador de la tierra que se Julle en turno para asistir al ayuntamiento, y de D. Santos Aboin, coronel, Indice de los Reales decretos y órdenes publicados en este periddüo en todo #/| y de D. Carlos Mirle, individuos de comercio, desempeñando las funciones de mes anterior. tesorero D. Santos Aboin , y las de secretario D. Luis Arrabal. Siendo el ob Real orden organizando la Real audiencia de Madrid* ( Gaceta ttstm. 1S.) jeto de esta junta ejercer la caridad con respecto á los presos de la cárcel, ni…</t>
  </si>
  <si>
    <t>Mirza, Abbas</t>
  </si>
  <si>
    <t>Abbas Mirza</t>
  </si>
  <si>
    <t>…tos al mariscal Bourmont y á sus hijos. Se dice delidad á S. M. la Kei^a y á su excelsa Madre. que S. E. se dirige á Italia, pasando antes por Vicha, (Id.) Al pie de la torre del Homenaje se hallaba construido un tablado donde El príncipe Abbas Mirza , hijo y presunto heredero del Rey de Persia, subieron los reyes de armas, y en Seguida el Sr. alférez mayor , conde de Torres fia múérto. Como se sospechaba que servia los intereses de Rusta, su muerte, Cabrera, quien tremolando el Real pendón d» jo en voz alta: Castilla, Casti que por sí misma pu…</t>
  </si>
  <si>
    <t>Mirza, Eias</t>
  </si>
  <si>
    <t>Eias Mirza</t>
  </si>
  <si>
    <t>…erior.) la división por todas partes. No solamente por Tiflis se ve amenazada la Pcrsta. Los espías atmenio^ que han llegado últimamente i Constantinopla no ocvil- • a mica. tan e! resultado de su comisión, y según ello* el viejo Rey Eias Mirza no tra- ‘ - eárgtl 23 dt Junta. " ta de defenderse: dicen los sacerdotes que las profecías deben cumplirse. ... . Sigue reinando «n Argel la mayor-tranquilidad, y Beti-Omar, ex-bey ( Mensayrro &gt;</t>
  </si>
  <si>
    <t>Misut, Pedro</t>
  </si>
  <si>
    <t>Pedro Misut</t>
  </si>
  <si>
    <t>…ada no há mucho tJífígóiii,' apoyadas por liria continüacíonde fuertes posiciohesque se suceden tiempo en Costa Roja. , riéf.espacio de ligua y niédia hasta la cumbre de la gían' Pena efe Gorvea. K1 infatigable gobernador de Vich D. Pedro Misut ha lograáo ventajas 11 &lt;&gt;£1 enemigo , Iiífatiiido con lo fuerte de su poéicibn y su superioridad decisivas en su distrito: el 7,del corriente hizo; pasar por las armas á los cabe numérica, se consideró Invencible; mas yo, que siempre hecontado con el cillas Jaime Til!ro, (a) Roqueta, Isidro Prat y…</t>
  </si>
  <si>
    <t>Mitentes, Cayetano</t>
  </si>
  <si>
    <t>Cayetano Mitentes</t>
  </si>
  <si>
    <t>…erno en 8.a, edición de 1806, á Despacho del Fomento general del reino. a rs. en rústica. ‘ Nota. Del parte que se cita resulta que el día 4 de Marzo quedarori exis —Arte de curtir, Instrucción general de curtidos. Dado 4 luz por D. Cayetano Mitentes 82 enfermos; que en los días 5,6, 7, 8, 9 y 10 fueron los invadidos ...guelez:- Poesíasun tomode I&gt;.enManuel8.°, ediciónJosé Quintanade 1805, : 42 12tomosrs. enen pasta8.°, edicióny 8 eo rama.de 1823, á 28 rs. 22; los curados 90; los fallecidos 9, y quedaron existentes para el dia 11 so en pasta y…</t>
  </si>
  <si>
    <t>Mitiga, Descuento</t>
  </si>
  <si>
    <t>Descuento Mitiga</t>
  </si>
  <si>
    <t>…. Bayona, 00. Alicante, ii corto pla Coruña, 1 d* Valencia, par. Burdeos , 00. zo, ) á. Id. Granada, id. Zaragoaa, 1¿ i .Octn fecha $ del corriente dice el gobernador civil de esta provincia que Hamburgo, 00. Barcelona, k p* fs., d. Descuento Mitiga , ) de letra •p su Capital se disfrutaba de buena salud , y que en los pueblos de Castille LOndres , 4 q0 días. 1 b. Santander , ) b. 4 4 p. 100 al año. jo jíjejnicsla ,Villa|vdé Cañas, Cerrera, Villanueva de la'Jara y Horcajo Bilbao,#d. Santiago, I d. aqgnjahi* enfermedad, su furso ordinario: en C…</t>
  </si>
  <si>
    <t>Mjdre</t>
  </si>
  <si>
    <t>…=FranJ^o de 1N da AY.ua , p'e-.,:, .;e.= mas el testimonio de mi gratitud, lealtad y surqrsion á nii augusta Reina y Francisco Cortc,.=J. sef San/.=M»¿uel Pcrez y Pcre/.=rJuan Lambe, to Amo;;. Señora Doña Isabel ii v a la augusta Reina Mjdre como Gobernadora deL - ^Florencio Be!la.=Juan Andrés, secretario. reino durante su minoridad , á cuso conocimiento suplico lo eleve \ . E. , ase gurándola que el-obispo de Mondoñed&lt;\, aunque no puede desahogar su cora Señora: El primer objeto que ha llamado la atención zón como quisiera por la debi…</t>
  </si>
  <si>
    <t>MJrtf, Francisco de Clemente y</t>
  </si>
  <si>
    <t>Francisco de Clemente y MJrtf</t>
  </si>
  <si>
    <t>…ecisión de todas las tro — —Tratado de edueac/Qn* Lectura con método. Segundo viaje de Rébfasoa,d conti pas -que. tengo el honor de mandar, en breve quedarán exterminadas las faccio nuación de) de Campe; traducido del francés por D. Francisco de Clemente y MJrtf nes de esta provincia. Tres tomos en 8*°, edición de 1804, adornados de estampas, á 21 rs. en rusticar Todo lo que tengo el honor de elevar al superior conocimiento de V. E. =s 31$ en pasta. Trasládelo todo á V.E. para que complaciéndose, cual me sucede á mí, viendo Xl Arlequín. Crítica literaria.…</t>
  </si>
  <si>
    <t>Mkison</t>
  </si>
  <si>
    <t>…l sobre este punto, que se os presentará muy en breve, acabará de fi bía querido aceptarle, y que habiéndose dirigido á una persona relacionada con jar de Un modo incontestable, Juntamente con la ley sobre extradiccion, los de el mariscal Mkison para explorar su voluntad, esta dijó que Maison tampoco rechos y deberes del gobierno con respecto á los extrangerds. se encargaría del ministerio. En consecuencia, añade el mismo periódico, se «Las leyes sobre, la competencia judicial, sobre las quiebras, las prórro pensó en el general Sebastian!,…</t>
  </si>
  <si>
    <t>Mmistro</t>
  </si>
  <si>
    <t>…le del trabajo de comisiones, por lo cual no convenia acceder á su so capital y dei m»vor interes para el pats y para el mismo Gobierno. Desearía licitud. Se aprobó este dictamen. aprovechar la oportunidad de hallarse presente el Sr. Mmistro rara satisfacer Lamisma comisión, en vista de la exposición del Sr. D. Saturnino Calde mi ansiedad en este punto; an^.edid de que participan muchos individuos de rón, electo Procurador por Orense, sobre que no podía ser Procurador sin este Estamento. Me parece que en cierto modo hemos principiado n…</t>
  </si>
  <si>
    <t>Mnmevfrgen</t>
  </si>
  <si>
    <t>…iarquct de Some uelov.ssJ. V. de Agubre $obite.= Jo*é de Fontagud Gar- Habiéndose peguntado si se aprobaba la mdrcacion del Sr. Presidente del jolio.jsRu&amp;no Garwía Carrasco , Secretar io. Cornejo de Miní-tros, quedó aprobada. ftt Sr. Mnmevfrgen leyó «o voto particular sobre loa mismos, firmado - El Sr. Presidínte: «No pudiéndose pasar á la discusión dpi artículo in por ¿I j pot «I Sr Ftorv Entrada. mediato según el reglamento, se suspende esta dtscusioo, lo mismo que la se Fad p*rtkui*r de las Sru. D. Alvar* ¿*7pr#s Estrada, y ¡margues dt…</t>
  </si>
  <si>
    <t>Mnragues, Guillermo</t>
  </si>
  <si>
    <t>Guillermo Mnragues</t>
  </si>
  <si>
    <t>…o, se ha dignailo S. M. lamas circunstancias que adornan al teniente general conde de Guaqui; y queriendo darle un testimonio público de mi Real aprecio, Reina Gobernadora promover al subdelegado de Fomento de las Is las Raleares D. Guillermo Mnragues á la subdclegacion ‘del mismo lie venido en concederle, én nombre de mi augusta Hija Doña Isa ramo de la provincia de Barcelona, vacante ]&gt;or haber sidd nombrabel ii, la gran cruz de la Real Orden española de Cirios m. Tendo director de la Real eaja de Amortización P. Antonio Barata, de dréislo ent…</t>
  </si>
  <si>
    <t>Mo, Guillermo</t>
  </si>
  <si>
    <t>Guillermo Mo</t>
  </si>
  <si>
    <t>…rgo de la misma, (/A) capital. ____ confiriendo a D. Jorge Gisbert la subdelegaron de Fomento de Alba Se ocupa en realizar los atrasos de propios y hacer las reformas convenien cete, i D. Juan Antonio Cástejon la de Valencia, y á D. Guillermo Mo tes en el tráfico de carnes. nguea la de Barcelona, vacante por haber sido nombrado director déla Real ' Ha dado las disposiciones necesarias' para que con frecuencia y en épocas, , caja de Amortización D. Antonio Barata, de cuyos servicios se ha servido ¿jas se administre la vacuna en todos los pu…</t>
  </si>
  <si>
    <t>…rgo de la misma, (/A) capital. ____ confiriendo ! D. Jorge Gisbert la subdelegaron de Fomento de Alba Se ocupa en realizar los atrasos de propios y hacer las reformas convenien cete, á D. Juan Antonio Cástejon la de Valencia, y á D. Guillermo Mo tes en el tráfico de carnes. nguea la de Barcelona, vacante por haber sido nombrado director déla Real ' Ha dado las disposiciones necesarias' para que con frecuencia y en épocas, , caja de Amortización D. Antonio Barata, de cuyos servicios se (a sentido ¿jas se administre la vacuna en todos los pu…</t>
  </si>
  <si>
    <t>Mo, Miguel</t>
  </si>
  <si>
    <t>Miguel Mo</t>
  </si>
  <si>
    <t>…de admisión en la Real casa de beneficencia de esta corte, oyen He venido, á nombre de mi augusta Hija la Reina Doña do al director del mismo establecimiento, con lo cual se excusará Isabel ii, en nombrar á D. Agustin Perales y á D. Miguel Mo al ministerio de mi cargo de una ocupación que no es propia de reno para las dos plazas de consejeros en la sección de Marina del sus funciones. De Real órden lo comunico á V. E. para su inte consejo Real instituido por mi decreto de 24 de Marzo último, de ligencia y efectos correspondientes. Dios…</t>
  </si>
  <si>
    <t>Moco, Francisco Pardo y</t>
  </si>
  <si>
    <t>Francisco Pardo y Moco</t>
  </si>
  <si>
    <t>…99 desembarcaron algunas, bandas de sici Dicho coronel recomienda al capitán de granaderos dei cuerpo «le su man lianos en las costas de Ñipóles, reclutadas de lo mas inmundo de la plebe, do D. Alomo González ViUaaon; subteniente D. Francisco Pardo y Moco que untas crueldades cometieron sobre los napolitanos mismos. Entonces un so, y el teniente D. Bartolomé Díaz de Fuga del propio</t>
  </si>
  <si>
    <t>Mocoso</t>
  </si>
  <si>
    <t>…pre y e! Sr. Serrano (D. Gines) observó que era mas natural que ésta última parte guntó el Sr. Alcalá Galiano al Sr. Secretario del Delpacbo.de lo Interior, si el del artículo qué se acababa de aprobar , según había propuesto el Sr. Mocoso, Gobierno accedía i lo que, si no estaba equivocado, había él mismo indicado se antepusiese á la clasificación de las cuotas; en lo que convino este señor, y el anteriormente de que se rebajase ia cuota en algunos puntos, porque jesto seria Estamento asi lo acordó. muy importante. v " Se leyó la si…</t>
  </si>
  <si>
    <t>Moerner</t>
  </si>
  <si>
    <t>…f. misión ha decidido, el 21 de este mes, se acusaría al ministro del Interior Mr. Skogmann, y á todos los demás miembros del consejo de Estado, excepto el Parece indudable que lord Stanley rehúsa unirse al ministerio: el noble '"conde Moerner, que no asistió al consejo en que se deliberó esta proposición. lord ha llegado á esta; pero todavía no se ha publicado la contestación que Esta medida inesperada ha producido la mas viva sensación. ha dado á la carta que le escribió sir R. Peel. íria contestación, que según di * (Corresp. de Hambu…</t>
  </si>
  <si>
    <t>Mófibran, Fernando</t>
  </si>
  <si>
    <t>Fernando Mófibran</t>
  </si>
  <si>
    <t>…que el enemigo pudiese cargar mi retaguardia, En efecto , la artillería y Cujo y Cayetano Alaria Sivelo y fuertenirate el cadete de cabáMería de Cuba bagage alravcsarorj^el bosque, pero los rebeldes prácticos en el terreno, y que D. Fernando Mófibran: también se distinguió y fue contuso el teniente de U habían observado mi movimiento desde Urdain, mucho írus cerca que yo lo guardia D. Manuel Juslis adicto á la plana mayor. creía / adelantaron á favor de los bosques fuerzas muy considerables por mi de Es de mi deber manifestar á. V. E. que á pes…</t>
  </si>
  <si>
    <t>Moficon, D Francisco</t>
  </si>
  <si>
    <t>D Francisco Moficon</t>
  </si>
  <si>
    <t>…ecobrado su independencia, se ve con dolor á mu compañía del provincial de Logroño, reforzada con el destacamento de Comchos que abusan de la libertad de escribir, precisamente en la época en que mat postela que á las órdenes del capitán D. Francisco Moficon mandó á este plinto asegurado tienen este derecho. el Sr. gobernador de Bilbao, y la 3.a compañía de Logroño que guarnecía á Somorrostro, con el resto de mi columna pernocté en los Barrios de Güeña r 1» Atalaya. Al medio dia del 7 fueron atacados nuestros puntos por todas las fac ciones en número d…</t>
  </si>
  <si>
    <t>Moficon, Francisco</t>
  </si>
  <si>
    <t>Francisco Moficon</t>
  </si>
  <si>
    <t>…su independencia, se ve con dolor á mu compañía del provincial de Logroño, reforzada con el destacamento de Comchos que abusan de la libertad de escribir, precisamente en la época en que mat postela que á las órdenes del capitán D. Francisco Moficon mandó á este plinto asegurado tienen este derecho. el Sr. gobernador de Bilbao, y la 3.a compañía de Logroño que guarnecía á Somorrostro, con el resto de mi columna pernocté en los Barrios de Güeña r 1» Atalaya. Al medio dia del 7 fueron atacados nuestros puntos por todas las fac ciones en número d…</t>
  </si>
  <si>
    <t>Mogueras</t>
  </si>
  <si>
    <t>…halla Varios cabecillas alaveses y vizcaínos se habian unido con So- ban sobre el Ebro, habian sido rechazados en Batea el 5 , y eran j pelana , Basilio García y otros hácia el valle de Cuartango; y perseguidos por la columna del coronel Mogueras, por otra del bri después de repetidas conferencias, parece se disponían á penetrar gadier Fojá, y otra del provincial de Cuenca, dependiente de Moté I en las meriridades de Castilla, apoyando la irrupción qué hacia Ha; en cuya plaza se hallaba el general Hore, comandante general Castor y Arroyo qu…</t>
  </si>
  <si>
    <t>Moiada, Francisco</t>
  </si>
  <si>
    <t>Francisco Moiada</t>
  </si>
  <si>
    <t>…a, | d. Valencia , pan Burdeos* 00. zo , ^ d. Granada, -i id» ¿arjg.ir®, fd. ternura y fidelidad por parte de todas ias autoridades, el comandante de Ur Hamburgo, 00. Barcelona, á ps. fs.. Malaga , 4 id. Descuento de Ierras banos D. Francisco Moiada dió un espléndido convite á varios de sus compa Londres , á 00 días, 1 b. Santander, ¿ b. a 4 p* 100 al año. ñeros en representación de todo el cuerpo, y á algunos oficiales del ejército, 3^i Bilbao, £ d. Santiago, | d. reinando la mas cordial alegría y entusiasmo, y no echándose menos sino la pres…</t>
  </si>
  <si>
    <t>Moireau, Carlos</t>
  </si>
  <si>
    <t>Carlos Moireau</t>
  </si>
  <si>
    <t>…le hace tanto honor y debe contribuir poderosamente á la gloria del gobierno de S. M. bolsa i&gt;H Cohibícío. Cotización de hoy 4 lar tres de ¡a tarde. Ha aprobado el proyecto que le han presentado D. Pablo Francisca! La» verrerie y D. Carlos Moireau para establecer una fábrica de productos químicos íRECTOS PUBLICOS. de mucho consumo en las artes, especialmente en la tintorería, que tan exten Inscripciones en el gran libro á J p. 100 , 00. dida está en aquella ciudad, y ha ofrecido á dichos empresarios la protección Títulos al portador del 5 p.…</t>
  </si>
  <si>
    <t>Moitíei</t>
  </si>
  <si>
    <t>…pea, imrqués dc Torre- diferencia- El Pretendiente es un Príncipe rebelde sin aiftorizacron, v que se jtóéjfii;''y:t^rqtté»'dé Falcéí.‘'' •••"'* halla adecúas repugnado y perseguido por la Nación entera; y el cmpre$:ho de í- ¥EI Sr. Moitíei rfe-O**'- w'Si&lt;alguno, señores, ha invocado con razón ¡o- Guebhard fue reconocido por el Gobierno legítimo de Fe;nanJo vh ? en ««a 'dplgdncta, eá do jóven ntarifto que, arrancado oomo yo de las cubiertas dé los palabra» este empréstito emana de la autoridad legitima: el otro emanaría de %h(tttd»vvt…</t>
  </si>
  <si>
    <t>Mojarrieta, D José Serapio</t>
  </si>
  <si>
    <t>D José Serapio Mojarrieta</t>
  </si>
  <si>
    <t>…o qup estemos en el caso que los ingleses, ni Montalvo y Castillo y D. Andrés Arango; y la de la provincia de Puerto ¡que podamos dar este paso agigantado; par el contrario croo que escandalizaré; Príncipe verificada en favor del Sr. D. José Serapio Mojarrieta, á muchos, y que causaría la ruina de infinitas familias en el estado en que nos La comisión del presupuesto de la casa Real dió cuenta de haber nomr hallamos, y no habiendo nuestras costumbres llegado al grado dp perfección brado para decano de ella al Sr. híigpel Polo , y para Secretario al Sf Ca…</t>
  </si>
  <si>
    <t>Mojarrieta, José Serapio</t>
  </si>
  <si>
    <t>José Serapio Mojarrieta</t>
  </si>
  <si>
    <t>…p estemos en el caso que los ingleses, ni Montalvo y Castillo y D. Andrés Arango; y la de la provincia de Puerto ¡que podamos dar este paso agigantado; par el contrario croo que escandalizaré; Príncipe verificada en favor del Sr. D. José Serapio Mojarrieta, á muchos, y que causaría la ruina de infinitas familias en el estado en que nos La comisión del presupuesto de la casa Real dió cuenta de haber nomr hallamos, y no habiendo nuestras costumbres llegado al grado dp perfección brado para decano de ella al Sr. híigpel Polo , y para Secretario al Sf Ca…</t>
  </si>
  <si>
    <t>Molé</t>
  </si>
  <si>
    <t>…sajones, wurtemburgueses, férendaire) de la Cámara de los Pares, y vicepresidentes de la misma al conde austríacos: no hubo mas que alemanes. Aquella fue la era de la unidad moral de la Alemania.Portalis, al duque de Broglie y ál conde Molé. (D. de Parir.') Las victorias de la Francia habían preparado la unidad material; las victo rias de 1813 y I814 contra la Francia fundaron su unidad moral. Hoy dia lo __Escriben de Tolosa con fecha del 10 de Setiembre que la policía ha arres que traflk de fundar la Alemania es su unidad comercial. t…</t>
  </si>
  <si>
    <t>Mole</t>
  </si>
  <si>
    <t>…del gabinete. MINISTERIO DEL FOMENTO GENERAL DEL REINO. Quieren decir que la Rusia empleó las artes de la diplomacia para hacer Real orden sobre aplicación de fondos existentes y por recaudar de ar~ nombrar ministro de Estado al conde Mole, bien que lo que hubiera ganado de favor para su amo el conde Pozzo di Borgo, lo hubiera perdido de su rau bitrios de los ex-roluntarios realistas. merecida consideración y respeto el gobierno de Luis Felipe. Enterada S. M. la Reina Gobernadora de lo que me dice Y. S. Solo el hecho de quedar unido…</t>
  </si>
  <si>
    <t>…istros han hecho dimisión de sus destinos, y se país es dis y del ciencias trabaja en próspero, con Bélgica, la el estado minuir las cargas de los holandeses, ocasionadas del empeño en defender sus según el Diario ministerial, el conde Mole está encargado por S. M. de for derechos. Tanto el Rey como la nación deben estar contentos de que en me mar el ministerio nuevo. ' dio de las convulsiones que agitan á otros Estados, los intrépidos holandeses Se añade que Mr. Mole, Mr. Thiers y Mr. Dupin han tenido una con no han perdido hada de l…</t>
  </si>
  <si>
    <t>…mariscal SouJr, presidente del adquirir sob;e el particular. (¿i ruc-Sun.) consejo de Ministros, y el Sr. de Broglie, secretario de Relación» exterior». ____ Tenemos razones para creer que lord Palmerston ha dicho al embajador El conde Mole lee la minuta de contestación al discurso del Rey.* el pre de Rusia en la última conferencia habiua entre ambos, que si la cuestión pen sidente lo pone á votación párrafo por párrafo, y ia Cámara los aprueba sin diente no se resolvía luego, saldría un; escuadra inglesa para el Mediterráneo. discusi…</t>
  </si>
  <si>
    <t>…y parece desmentir las famosas profecías que cionados por el Constitucional, y dice que Mr. Thiers tiene el encargo de for anunciaban su muerte en este año, y que una gran parte del pueblo esperaba mar el ministerio. En cuanto al conde Molé, asegura que no aceptará ningu se verificase por estar acostumbrado á creer en estas predicciones, que algunas na secretaría del Despacho. veces se han realizado. **" El Monitor dice lo siguiente: Ayer (15 de Noviembre) S. M. envió á El Rey de Baviera visitando los sepulcros de Cornato manifestó un…</t>
  </si>
  <si>
    <t>Molicon, Manuel</t>
  </si>
  <si>
    <t>Manuel Molicon</t>
  </si>
  <si>
    <t>…er espaciosa y edificada á lo moderno con pro cual fue pa.ado p &gt;r las armas en aquel día: daodo por fin conocimiento de lá porción, ornato y simetría* Tal oferta, ciertamente laudable , aplaudióla la cor aprehensión del faccioso D. Manuel Molicon, guardalmacén que fue del Real poración según ella merecía, y recibida con las mas expresivas gracias y afec sitio de la Isabela, á quien prendieron los paisanos del partido de Albarracáa* tuosas demostracionesquedó asigñado el venturoso día de la función, publi cándose en consecuencia. Entusiasmós…</t>
  </si>
  <si>
    <t>Molina</t>
  </si>
  <si>
    <t>…e gala con uniforme , y hubo en el Real sitio de Aranjuez besa ción á la villa. A la entrada de esta , rompió el fuego la descubierta que man manos general , asistiendo á un acto tan augusto el cuerpo diplomático, los con daba el teniente Molina, y á breve rato hizo lo mismo la de la izquierda; con sejeros , diputados de los reinos, grandes de España , títulos de Castilla , magis este motivo se desordenaron los facciosos y subieron á la altura de Val-de-Castrados, generales y gefes militares, y extraordinario número de personas dis tro que…</t>
  </si>
  <si>
    <t>Molina, Bernardo</t>
  </si>
  <si>
    <t>Bernardo Molina</t>
  </si>
  <si>
    <t>…, y en virtud de aviso del comandante E&gt;. José1 Bessieres , se le reunieron 7 que no me quedó duda de que permanecían allí. Urbanos de caballería, que con la columna de aquel gefe contribuyeron á la Al momento previne al teniente D. Bernardo Molina que iba de descu derrota del Locho. Mientras tanto ios 40 Urbanos de infantería y 3 de caba bierta con el sargento l.° graduado de alférez D. Alonso Estrada, continuase llea ki que habían quedado en esta villa, ocuparon las avenidas de la sierra , por la marcha y rompiese el fuego sobre ios enemigo…</t>
  </si>
  <si>
    <t>Molina, D Bernardo</t>
  </si>
  <si>
    <t>D Bernardo Molina</t>
  </si>
  <si>
    <t>…con lo te, y en virtud de aviso del comandante E&gt;. José1 Bessieres , se le reunieron 7 que no me quedó duda de que permanecían allí. Urbanos de caballería, que con la columna de aquel gefe contribuyeron á la Al momento previne al teniente D. Bernardo Molina que iba de descu derrota del Locho. Mientras tanto ios 40 Urbanos de infantería y 3 de caba bierta con el sargento l.° graduado de alférez D. Alonso Estrada, continuase llea ki que habían quedado en esta villa, ocuparon las avenidas de la sierra , por la marcha y rompiese el fuego sobre ios enemigo…</t>
  </si>
  <si>
    <t>Molina, Pío</t>
  </si>
  <si>
    <t>Pío Molina</t>
  </si>
  <si>
    <t>…Teferido general Lorenzo, con la cual se unió en él compuesta del se(.retarlo del tribunal de Cruzada D. José Escario, del canó Bastan, asi como un convoy de dinero destinado para aquel ejército. nigo D. Nicolás García P;re, y de D. Pío Molina, para que bajo las órdenes El expresado general en gefe habia sido recibido con entusiasmo por las é instrucciones del gobierno civil de Madrid, visite todos los establecimientos tropas y por el vecindario de aquella capital. de beneficencia de esta capital, proponga las mejoras de que sean suscept…</t>
  </si>
  <si>
    <t>Mon, Alejandro</t>
  </si>
  <si>
    <t>Alejandro Mon</t>
  </si>
  <si>
    <t>…nerar de su destino de intendente vido por la Dirección general dé Rentas, relativo á que se declare de Segovia á D. Eusebio de la Barcena; nombrando en su lugar á el modo dé cancelar'los débitos de alcances á favor de la Real Ha D. Alejandro Mon, secretario de la superintendencia general de po cienda en los casos en que con arreglo á la Real orden de IV de üne- licía. to de 1824 se adjudiqué fincas procedentes de fianzas por falta de l¡- citadores en las subastas; á que se adopten medidas que aseguren su venta, y á que se eviten los perjui…</t>
  </si>
  <si>
    <t>Mon, Antonio Tenrciro</t>
  </si>
  <si>
    <t>Antonio Tenrciro Mon</t>
  </si>
  <si>
    <t>…iu de GuixeU que ya se está construyendo. Extracto del parte remitido con fecha 2 de Abril último por el subde Trabaja incesantemente en promover la instrucción pública; piensa formar legado de Fomento de la Coruña, y firmado por D. Antonio Tenrciro Mon una sociedad económica que podrá suministrarle muchas luces, y ha dispuetto tenegro, secretario de la subdelegaron. que el administrador de correos le manifieste cuantas mejoras deban hacerse en Alaba el estado floreciente de la agricultura en aquella provincia, y cree las estafetas y carterías de…</t>
  </si>
  <si>
    <t>Mon, D José María</t>
  </si>
  <si>
    <t>D José María Mon</t>
  </si>
  <si>
    <t>…es de armas con la palabra de si cutor D. José Gabriel Almeyda, D. José María Lima, gentilhombre de Cá lencio que la repetirá por tres veces, y el otro la de vid por las mismas fres mara de S. M. con entrada» y síndico procurador general D. José María Mon- veces, y concluida ^ el señor alférez Real dirá: Castilla, Castilla, Castilla. terresi, á celebrar cabildo ordinario; y leída y aprobada la acta anterior se tra La Jiel ciudad de Santiago proclama y jura, por su Reí ha y Soberana día tó y acordó lo siguiente: Se leyó un oficio del Sr, alférez Real…</t>
  </si>
  <si>
    <t>Mon, Francisco</t>
  </si>
  <si>
    <t>Francisco Mon</t>
  </si>
  <si>
    <t>…as circunstancias actuales.es prudenteljia#ny»r ma y Vinuesa pata Laliu; á D. Manuel de Cuadros para Puen- este aumento de fuerzas, ocupar el terreno durante la primavera , y conservar teareas; á D. Agustin Armendariz para Tuy; á D. Francisco Mon- nuestro ejército sobre las armas, ínterin el de Holanda permanezca en pie de íeo para Taboada; á D. Juan de Mata Albarado para Sarria; á guerra como hasta 'aquí. «Cree asimismo el gobierno que sin excedernos mucho de los presupuestos D. Buenaventura Alvarado para la Puebla de Tribes; á D. Joaquín d…</t>
  </si>
  <si>
    <t>Mon, José María</t>
  </si>
  <si>
    <t>José María Mon</t>
  </si>
  <si>
    <t>…mas con la palabra de si cutor D. José Gabriel Almeyda, D. José María Lima, gentilhombre de Cá lencio que la repetirá por tres veces, y el otro la de vid por las mismas fres mara de S. M. con entrada» y síndico procurador general D. José María Mon- veces, y concluida ^ el señor alférez Real dirá: Castilla, Castilla, Castilla. terresi, á celebrar cabildo ordinario; y leída y aprobada la acta anterior se tra La Jiel ciudad de Santiago proclama y jura, por su Reí ha y Soberana día tó y acordó lo siguiente: Se leyó un oficio del Sr, alférez Real…</t>
  </si>
  <si>
    <t>Moncey</t>
  </si>
  <si>
    <t>…te: jado ya de ser asunto de gravedad. (2 imes.) «Ya la ley sobre la instrucción primaria produce frutos que parecían guaTdados para el porvenir. ____ Se dice que el ministro brasileño en esta cortet el Sr. de Araujo Ribeíro, «El mariscal Moncey, uno de los mayores ornamentos del ejército fran ha recibido instrucciones de su gobierno para pasar inmediatamente á Lisboa, cés, no menos ilustre por su humanidad y su desinterés después de 1a victoria acompañado del secretario de legación en París, con el fin de felicitar, en que por sus triunfo…</t>
  </si>
  <si>
    <t>…rables á lá libertad de la prensa. (Monitor.) ’&gt;E1 día 8 llegó un tártaro con pliegos de Mustafá-efféndi, enviado -por la Puerta al Cairo para arreglar los puntos que aun están en litigio entre el fie-asegura hoy que ha muerto el mariscal Moncey, duque de ConnegliaSultán y Mehemet-Alí. Cuando el Bajá regresó de Siria, el embajador turco no, gobernador de los inválidos. le manifestó el objeto de su viage, y los argumentos de que se valió este há Hé aqui una doble y rica herencia, que ejercitará la industria de muchos bil negociador habían m…</t>
  </si>
  <si>
    <t>…ro; que este no se muestra propenso á acceder á estas instancias. Si Varios diarios han anunciado, copiándolo del Mcnsagero de ayer tarde, Mr. Spring Rice llegase á ser canciller del Echiquier, creen algunos que el la-xnuerte del mariscal Moncey, duque de Conegliano, gobernador de los in conde Spencer se haría cargo del ministerio de las colonias. Sin embargo en válidos. Tenemos la satisfacción de participar á nuestros lectores que dicha las tertulias se dice que Mr. Eittleton sucederá al lord Althorp. Nos asegu noticia es falsa. Mr. Eugen…</t>
  </si>
  <si>
    <t>Mondeli, Carlos</t>
  </si>
  <si>
    <t>Carlos Mondeli</t>
  </si>
  <si>
    <t>…e teniente coróne! \\ Vicente Soravilla, del teniente graduado de capitán O. Isidro Rcbollcí, de los subtenientes Don Participa su gobernador civil con fircha $ del actual, que Tarancon, LanFernando Sequeira, ÍX Salvador García y D. Carlos Mondeli, ttxlos del 13 de detc v Barajas de Meló se hallaban libres del colera: que en Carrascosa de] línea; del teniente coronel de La Guardia Real 1&gt;. Adolfo Baiadiu, del te- Campo *e había manifestado dicha enfermedad - que en 1 rajúñeos mona toda-</t>
  </si>
  <si>
    <t>Monge</t>
  </si>
  <si>
    <t>…ecto probará, que el Gobierno y el Estamento están de mancomún dis de la petición si los demas Sres. peticionarios se conformaban con ello. puestos á entrar en negociaciones francamente, y sin intervención de otros go-, Los Sres. Caballero, Monge, Galwcy y marques dc Torremejía se con biernp» que venderían protección i y procurarían en el fondo hacer su negocio. formaron: los Sres. conde de las Navas y Abargues no; pero como la mayoría o Esto produce-, pues, ya todas las ventajas, puesto que está sentada la ba de los Sres. peticionarios con…</t>
  </si>
  <si>
    <t>…te ha sido tomada en consideración, y’desechada ia segunda ; pero yo pecerán. Efectivamente si no se esraWece esa comisión central de que «ha ha- digo que~U¡nguna de' las dos debe admitirse. El Gobierno ha presentado un. bladó el Sr. Monge, ¿ adonde irán á parar US diversas adiciones y modifica-1 proyecto de ley, y ahora se propone que de este proyecto hagamos siete pe dones que se propongan? Y 2 quién uniforma y arregla Jas diferentes rebajas dazos, siete leyes, y que cada una se discuta como' ley particular, que es lo. que cada cot…</t>
  </si>
  <si>
    <t>Monge', Polo y</t>
  </si>
  <si>
    <t>Polo y Monge'</t>
  </si>
  <si>
    <t>…o so.o pue Se leyeron el art. 25 del proyecto del Gobierno y el del dictámen de la de ser inocente, sino meritorio, v o-fio de»••hed.encía podría merecer castigo. comisión. Me parece que asi se podrían conM-ar ambos extremos.” El Sr. Polo y Monge' «La comisión debe explicar las razones que ha te El! Sr. Visedo-. «Sin perjuicio de 1c* d eho por e! Sr. preopinante, haré nido para hacer algunas ligeras variaciones en este artículo. Ha añadido el caso presente solo, que el quitar la comisión 1a palabra inddiduo del articulo en de alarma imprevista,…</t>
  </si>
  <si>
    <t>Monge, El Sr Polo y</t>
  </si>
  <si>
    <t>El Sr Polo y Monge</t>
  </si>
  <si>
    <t>…da, porque la encuentro mas conforme á la Cádiz, uno de los cargos que se hicieron á la regencia fue el no haber prepa libertad del Estamento.*5 rado un reglamento provisional que sirviera de norma á sus trabajos. No lo tu El Sr. Caballero: "El Sr. Polo y Monge sin duda no ha tenido presen vieron, pues, en sus primeras sesiones aquellas Córtes, que por tanto se vieron te que en la sesión del 4 de este mes, que fue en la que se discutió la anterior precisadas á correr los riesgos inseparables de una reunión que se resentía de petición, se presentó una nuev…</t>
  </si>
  <si>
    <t>Monge, J’olo y</t>
  </si>
  <si>
    <t>J’olo y Monge</t>
  </si>
  <si>
    <t>…luidos sus tra 6. J Que si se quiere argüir con la coacción que debió sufrir Fernando vh bajo* , podía dar cuenta del resultado de ellos. por hallarse rodeado de fuerzas extrangera*, este mismo argumento'tendrá aun Con efecto, el Sr. J’olo y Monge ocupó la tribuna , y jetó el dictámen mayor lugar re-peqíb a los otros empréstitos aprobados. de la expresad^ comisión sobre el proyecto de reglamento para dicha Milicia 7. a Que en las dudas sobre asuntos de intereses, y mas en pequeñas canti presentado por e! Gobierno, con las reformas hechas eq…</t>
  </si>
  <si>
    <t>Monge, Pelo y</t>
  </si>
  <si>
    <t>Pelo y Monge</t>
  </si>
  <si>
    <t>…e reemplazo del ejército para el año 1835 , reducida á que «cuando los ayer en consideración el Estamentq, iba la misma i leer su dictamen. pueblos que tienen que contribuir con un cuarto ú otra fracción de hombre al En efecto el Sr. Pelo y Monge leyó dicho dictamen reducido á lo si Sortearlo con los que se le asocian al efecto, no tienen mozos, como frecuen guiente: ' ** temente sucede, en este caso se obligue al pueblo que no llene su a:upo á qué ' «En cuahto i la primeta adición de los Sres. Palareá y Chacón para que indemnice al pueblo…</t>
  </si>
  <si>
    <t>Monge, Polb y</t>
  </si>
  <si>
    <t>Polb y Monge</t>
  </si>
  <si>
    <t>…individuos de cada Gobierno por el consejo de disciplina, reforzado con cieno húmero de indivi compañía. duos de cada clase de la Milicia. Yo supongo que.siendo tres las clase», á sa « En estos cuerpos, como ha -dicho muy bien el Sr. Polb y Monge, no se ber, sargentos, cabos y soldados, scrád*tiea por compañía, y siendo esta» de 4 puede aplicar todo el rigor de la ley , que es Jo que constituye la disciplina en á U en cada batallón, ,6 sea a 6 por término medio, habrá electores adicio elejércíto. El buen-concepto, las consideraciones, la op…</t>
  </si>
  <si>
    <t>Monge, Polo</t>
  </si>
  <si>
    <t>Polo Monge</t>
  </si>
  <si>
    <t>…a comisión; y que en cuanto al de la minoría el efecto de laa mejoras que piensan adoptarse. Ademas el Sr., Torremejía nos me abstendré de votar.” démostró en las discusiones anteriores que los productos do las rentas de la Na El Sr. Polo ¡Monge: « Mediante lo que ya en esta dilatada discusión, que ción se absorberían todos en el año 1843 en el pago de interesas; de consi-</t>
  </si>
  <si>
    <t>…arrasco, Galiano Jar contribución que deben «pagar los comprendidos en el alistamiento, esta cua- -y Abargues. ta en.los pueblos pequeños me parece inútil , porque .estando mas expuestos al El Sr. Presidente: «Tiene la palabra el Sr. Polo Monge, como indivi ataque de sús enemigos, es preciso que haya en/ellos-mayor número de Mili duo de la comisión encargado de sostener su dictámen.” cianos , que esten las armas en manos de hombres robustos y ,capaces de batirse; El Sr. Polo Afonde: «No hay en realidad njngun individuo de la comi y es cla…</t>
  </si>
  <si>
    <t>Monge, Polo y</t>
  </si>
  <si>
    <t>Polo y Monge</t>
  </si>
  <si>
    <t>…ta qué solo se tra puedo menos de recomendar al Estamento se digne disimular loa defectos en ía sid fétfimen skrla discusión, y no de impugnar las^den emitidas en ella.” . que puedaincurrirpor no estar acostumbrado á-ello.' &gt;■ £1 Sr. Polo y Monge: vlk áhacerlo asi; pero suputoto que.se cree voy «No se extrañará el ¡tuerto qiw. me toihe en esta materia i tanto por ser 4 entrar en discusión; concluiré mucho nías brevemente. Convencidas ios selloProcurador de la Nación, como por ser individuo de la Milicia urbana. Seguí- - fes que han. hablado…</t>
  </si>
  <si>
    <t>…ora ¡ mas ó menos larga, que deberá hacer el Gobierno {tara su plantificación. En ello* deberá resolver— - disfrutamos : i esa época quieren losMilicianos urbanos adherirse, sin que por se, par ejemplo, la duda que ha ocurrido al Sr. Polo y Monge acerca de quién esto dejé yo de hacer la. justicia debida al nombre que llevad hoy , porque la deberá mandar ata fuerza armada -cuando concurntcon la del ejército, si el gloria nO esté en los nombres sino en sil valor. Donde haya españóle? armados oficial de igual graduación dé ate 6 él de la Milic…</t>
  </si>
  <si>
    <t>…estar á esta réplica mía, como el ministerio exámen, ni en su conclusión: in'ciativa, aprobación y sanción; estos son los para responder á su pregunta.” trámites que como todas tiene que sufrir. Sí en eLEsXAlllip "S©1'ha .esta Ei Sr. Polo y Monge: «Dfré pocas palabra», que me parece bastarán blecido un artículo expreso sobre ella t es porque S. M. en su alta sabiduría co para fijar la cuestión. Tres caminos son los que se* presentan p3ra salir de la es noció que era preciso hacer una específica mención de ella ; porque es la garan pecie de…</t>
  </si>
  <si>
    <t>…Suelto: ; pero qué resulta ? Que cuando se hizo la elección estaba procesado; de ,bre que se suprima el impuesto para el canal imperial de Aragón, dijo consiguiente no podia ser Procurador. En cuanto á lo primero es muy ofensi El Sr. Polo y Monge: «La provincia de Aragón padece una gravosa vo á un cuerpo tan respetable como este; y en cuanto á lo segundo se está en contribución. No será fuera de propósito recordar lo que la comisión de Ha el caso de aprobar el dictámen que presentó ayer la comisión , y pasar á otras cienda y de Caminos y Ca…</t>
  </si>
  <si>
    <t>…to ha sido una revolución, sino una restauración emanada del trono; y pararle de los principios que son el símbolo de la equidad y de la justicia.”. hé aquí un principio que ningún publicista ni político echará en olvido, para El Sr. Polo y Monge manifestó que el Sr. Bendicho habla supuesto que dirirnir , tanto esta cuestión, como otras muchas que se suscitan aqui con fre los peticionarios proponían que se quitase de sus destinos á los empleados ac cuencia- No es una revolución que invalida en ningún sentido, por mas que tuales para dárselo…</t>
  </si>
  <si>
    <t>…sino de estudiar los pleitos en sus casas, y también que en muchas £l Sr. Secretario del Despacho de lo Interior: «Precisamente por al partes no eran de nombramiento Real ni gozaban sueldo del Estado. gunos de los motivos que el Sr. Polo y Monge acaba de indicar, el Gobierno Se tomó en consideración y mandó pasar á la comisión. de S. M. cree deberse oponer á que se adopte la adición de la comisión. Para En vista de esta adición retiró el Sr. Zaborda otra que hizo para que se no armar al padre contra el hijo, al hermano contra el hermano, p…</t>
  </si>
  <si>
    <t>…ncuentro mas conforme á la Cádiz, uno de los cargos que se hicieron á la regencia fue el no haber prepa libertad del Estamento.*5 rado un reglamento provisional que sirviera de norma á sus trabajos. No lo tu El Sr. Caballero: "El Sr. Polo y Monge sin duda no ha tenido presen vieron, pues, en sus primeras sesiones aquellas Córtes, que por tanto se vieron te que en la sesión del 4 de este mes, que fue en la que se discutió la anterior precisadas á correr los riesgos inseparables de una reunión que se resentía de petición, se presentó una nuev…</t>
  </si>
  <si>
    <t>…o contra el parecer del Gobierno, y que cierto color político; se quiere, introduciendo cq esas juntas á dos individuos no puedo menos de citarlas. de los urbanos actuales, excluir á los llamados desafectos; y eso está (como *&gt;El Sr. Polo y Monge, si mal no me acuerdo, ha dicho con una inge ha dicho muy bien el Sr. Galiano) en contradicción con lo que ha votado el nuidad que le honra, que desaprobados ya por el Estamento los otros artículos Estamento; pues tiende nada menos que á neutralizar los efectos de la ley que de la comisión, es inút…</t>
  </si>
  <si>
    <t>…acien Procuradores que fallan , deben considerarse legítimamente constituidas, y no da, sobre la deuda extrangera y empréstito de ‘400 millones de rs. prestar nuevo juramento; lo que sí puede hacer la junta es nombrar nuevo es El Sr. Polo y Monge pidió la palabra para deshacer una equivocación en crutador y secretario cuando hubiese mas número de individuos. Por último que dijo haber incurrido el Sr. Caballero en la sesión del dia anterior, y ma digo que no considero nula la junta en cuestión por.no haber prestadojura nifestó que el expresa…</t>
  </si>
  <si>
    <t>…ía hablarse ahora por no haberse establecido todavía una ciplina militar, solo el respeto, U consideración á la opinión que cada uno ley sobre ellos. forma de los individuos que le mandan, son las prendas seguras de la obedien El Sr. Polo y Monge, como individuo de la comisión, manifestó que no cia y del respeto. habia inconveniente en no hablar de esos consejos en razón á lo decidido an «Hay otra razón ademas indicada por el Sr. individuo de la comisión; y teriormente por el Estamento. es que esta institución, esencialmente popular, perder…</t>
  </si>
  <si>
    <t>…que últimamente le ha reformado, y me adhiero al de la co en su forma: no entrare en la historia de e*te negocio, y solo dire: que no te misión. niendo nuestras instituciones la latitud que ahora tienen las de Francia, la or «El Sr. Polo y Monge, con el ingenio que le es natural, ha probado una ganización de nue»ira Milicia urbana $c debe aproximar mas en su forma al cosa que el Gobierno ha debido reconocer. Tal es el que la esencia de la Mi sistema de Gobierno de Francia antes del año de 30 , que al que ahora ri^e. licia, llámese nacional…</t>
  </si>
  <si>
    <t>…oluta de El Sr. Secretario del Despacho de Estado: «Es verdad; pero no expre vutosJ3. d sa que debe el agraciado pagar una cuota de contribución doble &amp;c.” El Srt Agreda: »jEstando redactado el are. 12 como se halla, ocurre la El Sr. Polo y Monge: «Reuniendo las observaciones muy justas del se duda de quién y cómo ha de nombrar los individuos á que se reftere mi ¿dtoqn; ñor Secretario de Estado y del Sr. Medrano, porque no están en el artículo y creo, que debe aclararse este pumo, pues dé lo contrario se establecería una anrerior prefijadas…</t>
  </si>
  <si>
    <t>…ibertades públicas, porque se compone de la personas; cuando hablo aqui, hablo de las cosas. Digo, pues , que no estoy con Nación misma, de los individuos que tienen un ínteres mas inmediato en de forme con la idea emitida por el Sr. Polo y Monge, a sabdr, que la descon fender al mismo tiempo que sus hogares las instituciones que aseguran la pro fianza no e$ para lo presente , sitio para lo sucesivo. Yo no lo veo asi, yo ten , piedad y la industria. ’ go desconfianza para lo sucesivo y para lo presente; lo digo con franqueza, 7 «En atención…</t>
  </si>
  <si>
    <t>…uando el Gobierno dis no de esta fuerza, tiene que mantenerla; y después de heberla empleado y man ponga la movilización de esta fuerza popular. tenido, es claro nos diría que se necesitaba aumento de contribuciones Es, pues, «El Sr. Polo y Monge ha tenido la bondad de decir que no desconfía de esta contribución de dos categorías, i saber: la una, y muy grande, de sangre; la administración actual; pero que es preciso precaverle para lo suces vó. Ei Se y la otra, que no es pequeña, de las pesetas. * ñor conde de las Navas se ha mostrado en e…</t>
  </si>
  <si>
    <t>…por medio de sorteo entre los de la misma clase. El Sr. Secretario dei Despacho de lo Interior: «El Gobierno, hechas «Los que presten este servicio no podrán ser detenidos en campaña y fue las supresiones que acaba de indicar el Sr. Polo y Monge, está casi conforme ra de sus casas sino por el termino improrogable de cuatro meses; pero los que con la comisión. Diré, no obstante, en cuanto al sorteo , que acaso seria prefe se hayan empeñado voluntariamente cumplirán el tiempo d* su empeño. rible el adpptar una clasificación por medio de la c…</t>
  </si>
  <si>
    <t>…ternos por las faltas en Se leyó el artículo 5.a dei proyecto del Gobierno, que se aprobó sin opo el servicio, y que estos castigo» sean con arreglo al artículo siguiente. sición. «En cuanto al párrafo 2.°, como ya ha dicho el el Sr. Polo y Monge, El Sr. Vicepresidente suspendió la discusión , señalando para proseguirla ha creído la comisión que no se debía dar voto de calidad al presidente, por el dia de mañana á las once, con lo que levantó la sesión. que podrían tener parte en su decisión las personalidades, r mirarse la misma como una v…</t>
  </si>
  <si>
    <t>…cha. Por todo esto creo inútil esa adición Art. 22. «Los individuos de la Milicia urbana no gozan por servil- en estos que propone la comisión.” cuerpos de otro fuero civil ni criminal que aquel á que por sí estén sujetos. Las El Sr. Polo y Monge: «Supuesto eso, no hay inconveniente en que se faltas que cometan en el servicio, ó en actos y cosas que tengan relación con suprima, y solo queda la parte relativa al consejo supletorio de disciplina en él, serán juzgadas y castigadas por el consejo de disciplina respectivo.” donde no haya barallo…</t>
  </si>
  <si>
    <t>…á S. M. de su providencia, y de las causas que la ha Se leyó y acordó pasase á la cadlision (a adición que sigue, que fue to yan motivado. La suspensión de estos cuerpos no podra pasar de dos meses sino mada en consideración, del Sr. Polo y Monge; «En atención á la falta de armas en virtud de Real órden.” para surtir á toda la Milicia urbana que debe formarse en virtud de la presente Se leyeron el art- 26 del proyecto del Gobierno y el del dictámen de la ley, y no estando completamente armada la existente en el dia, será esta pre comisión.…</t>
  </si>
  <si>
    <t>…l proyecto de ley sobre la materia, iba á dar cuenta de su »Los solteros con casa abierta serán equiparados á los viudos sin hijos.” dictámen. Parece justa á la comisión, y opina que puede añadirse á la 2.a clase de En efecto, el Sr. Polo y Monge leyó dicho dictámen, que es como sigue: los llamados para los batallones de campaña. La comisión de Milicia urbana, emcargada de informar sobre las adicio 2. a La del Sr. Domecq, por la cual pide «que los individuos que hayan nes al proyecto de ley para la misma, presentadas y tomadas en considerac…</t>
  </si>
  <si>
    <t>…ia para asegurar sa mento, para que sepa que el Gobierno está confoYme con la comisión en el bias instituciones, y con ellas la libertad y ventura. La comisión conoce que particular; y solo he notado que acaso por distracción dei Sr. Polo y Monge, medios pequeños empleados sucesivamente no producen efectos tan prontos y al redactar una de las adiciones al art. 23 , no se ha hecho la enmienda en que decisivos como cuando aquellos mismos son de. una vez proporcionados á la convenimos, de que se dijera privación ae empleo por S. Ai., y no por…</t>
  </si>
  <si>
    <t>Monge, Poloy</t>
  </si>
  <si>
    <t>Poloy Monge</t>
  </si>
  <si>
    <t>…os inconvenientes es que por el consejo de disciplina se nombre un oficial del ta de eso el Gobierno adopta la redacción propuesta por la comisión.” mismo cuerpo que decida el empate, como se hace en los tribunales civiles. Si El Sr. Poloy Monge: «Desvanecida la dificultad de la primera varia el número de oficiales es de 8 individuos, y votan 4 en pro y 4 en con*rai nom ción , y conformes en las demas , solo resta la de expulsión de la Milicia con brándose un oficial por el consejo mismo, aquel decidirá el empate. Este, pues, nota. La comi…</t>
  </si>
  <si>
    <t>…el artículo 27 del proyecto del Gobierno, y el del dictámen Se leyeron el art., 3ü del proyecto del Gobierno y el del dictámen de la de la comisión. comisión. El Sn Polo y Monge: «La comisión no fia dejado de encontrar dificul El Sr. Poloy Monge-. «La comisión ha añadido al artículo del Gobier tades en la reda cien de este artículo, porque considerando como obligatorio no la parte qne ha oído el Estamento. Siento entrar en la discusión, de este ar el servicio de la Milicia, si se exigia que los individuos que lo prestan se uni tículo por el temo…</t>
  </si>
  <si>
    <t>Mongó, Angel Polo y</t>
  </si>
  <si>
    <t>Angel Polo y Mongó</t>
  </si>
  <si>
    <t>…Habiendo adherido á esta opinión los demas señores 'peticionarios , ¿I Manuel de Pedro. — Joaquín Ortiz de Velasco.c± Faustino de Ga'ray. =-‘Fer Sr. Presidente manifestó se suspendía la discusión de la exptesada petición has mín Caballero. == Angel Polo y Mongó. = M. conde de las Navas.= f4dro Ja— ta que se presentase el proyecto de ley sobre el asunto á que se refiere. cobo Pizarro. = José Somoza. = Antonio González, es Pablo HcYedia — Vi Él Sr. Secretario Belda anunció iba á -procederse á la discusión de la peti cente Cano Manuel y Chacon.crJosé Claros:—…</t>
  </si>
  <si>
    <t>Mongr, Polo y</t>
  </si>
  <si>
    <t>Polo y Mongr</t>
  </si>
  <si>
    <t>…ámenes relativos í deuda extranjera , y em Esa. indicación la considero de mucho valor -, no es ninguna indemnización ia préstito de 4U0 millones. que allí se establece para lo* canónigos; es una cosa que se les debe de rigoro El Sr. Polo y Mongr: «El asunto en cuestión es sumamente arduo. Se sa justicia, y por lo tanto insisto en que debe añadirse al artículo 5.° esa cláu ha hecho mas de lo que se debia; pero no bastando los ingresos i cubrÍT lo» sula que se le había quitado.” gastos, necc^riarnentc tiene que hacerse un empréstito. El Sr.…</t>
  </si>
  <si>
    <t>Mongs, Polo y</t>
  </si>
  <si>
    <t>Polo y Mongs</t>
  </si>
  <si>
    <t>…exactamente lo que debe aprobarse mi adición.” que ro iba á decir. Ha la primera parte estamos conformes; pero la segunda es El Sr. marques de Tórremejía: «Debo hacer presente al Estamento que menester poner'a como ha mdícadosel Sr. Polo y^Mongs muy bien, porque aprobado él art. 12 en tos términos en que lo ha sido , resulta una mu.tiplicj- queda la bise de que al oficial se le exiji una doble cuota de contribución que cton de individuos, porque por íl deben aumentarse el cabo y ei urbano, que al urb.mo. Fn mi concepto, pues, se debe admit…</t>
  </si>
  <si>
    <t>Monico</t>
  </si>
  <si>
    <t>…ovido por tanto del deseo de reudir al rededor del trono de, mi augus Por la noche Monseñor Julio delia Porta, maestro de ceremonias, llevó á ta Hija todos los ánimos, todas las voluntades y todos los corazones, sepultan casa del Sr. Monico el birrete de cardenal con el acompañamiento de estilo. do en eterno olvido las opiniones y crímenes pasados, he resuelto, oído ol (Diario de liorna.) conséjatele Estado, deir¿tarló que sigue, etinbmbíede mí auguata.-Hijn Florencia 17 de Mayo. El 24 de este mes se ha cantado un Te Detmt en todas la…</t>
  </si>
  <si>
    <t>Monison</t>
  </si>
  <si>
    <t>…bao ,invadido el Archipiélago iudjo * la Coehin- grande, que corte sin que lo detenga ningún obstáculo lusta 60Ó millaimai china y el, reino de Síam. En estos diversos países loschtncw ejerccn.todos Iot allá de su embocadura. El doctor -Monison asegura que se han empleado Í709 oficios c|uc exigen destreza'y actividad;/casi iodos los pilotos’ del imperio dtí hombres en concluirle. . , ■ ■ , \ Anám TI) son chinosjla mayor :parte déles niaquitiibtás+arquitectos y tejedor^ Mr. .Gutzlaff 'pondera mucho la urbanidad de I09 chinos, su afabilidad…</t>
  </si>
  <si>
    <t>Monitor</t>
  </si>
  <si>
    <t>…s.” lloz , Lanjaron , Lbja, Montefrio , Motril , Santa Fé, Ujtjar. Han respondido á está alocución las mas vivas aclamaciones y los gritos rei Guadalajara. Ó*fuentes, Brihuega, Guadalajata, Miedes , Molina , Pasterados.de viva el Rey. (Monitor.) trana , Saeedon, Sigüenza , Tatnajon. Hueha. Aracena , Ayamonte, Cerro, Huciva ,- Moguer , Palma. CÁMARA DE LOS PARES--- Sesión del dia 23. Huesca. Barbastro , Benavarrc , Boltaña , Fraga, Huesca, Jaca , Sariñena. En la última sesión se cerró la discusión del proyecto de ley en que se pi Jaén. Alc…</t>
  </si>
  <si>
    <t>…han de dedicar á la formación y examen de su presupuesto; y [sus tentativas dirigidas á monopolizar todos los productos del país desagradan otras varias disposiciones relativas á juramentos, vacantes &amp;c.” | muchísimo al pueblo en general. (Monitor otomano.) Acto continuo se procede á votación secreta, y por 73 votos contra 36 INGLATERRA* queda aprobado el todo de la ley. El presidente levanta la sesión. ‘ T.6ndres 8 de Afarzó. IDEM DE ios diputados—Sesión de ídem. En la sesión que celebró ayer la Cámara alta dijo lord Wínford que pefl-* El P…</t>
  </si>
  <si>
    <t>Monitor.'</t>
  </si>
  <si>
    <t>…o- el estudio de «eme^aU libro i los dehacer15 dlasposturaal referido4 todas juzgadoo a cadafuna«acrlbaaia*de dichasen'fincal,donde«codase admitirándentro dellas tdfmiopque m hlcieimprecho vstda deros amantes Js las letras. J. A. D. (Monitor.') liando «trefiadas,; EN XA IMPRENTA REAL,</t>
  </si>
  <si>
    <t>Monja, Juan de la</t>
  </si>
  <si>
    <t>Juan de la Monja</t>
  </si>
  <si>
    <t>…a de dichas temporadas. en Europa, y bañadas en el Asia por el Medi-S Idem. ANDALUCIA. tcrránco.......................................................... Las grandes y pequeñas Antillas.............................. Idem. Alhama. D. Juan de la Monja, en Ardales: 1.a temporada desde 15 de La isla de Lamoedusa.......................................... .. Idem. Abril á 15 de Junio: 2.a desde 15 de Julio á 15 de Setiembre. Los puertos deí imperio ruso bañados por el marl ,. , . Carratraea, D. Eduardo Henares, en Granada: desde 25 de Junio i 20 Neg…</t>
  </si>
  <si>
    <t>Monje, Angel Polo y</t>
  </si>
  <si>
    <t>Angel Polo y Monje</t>
  </si>
  <si>
    <t>…ejo de Gobierno, que según lo mandado La comisión de Corrección de estiladlo cuenta dehaber nombradopor su PírFcroíbdo vií en sü ttstartiento, debe entender en los negocios decano i De Manuel Mhrú de Ácevedo , y para secretario á D. Angel Polo y Monje. ’ &gt;• -■ ; ■ «Esta ilustre corporación dijo que estaba de acuerdo en cuanto al punto Se pasaron á la comisión de Poderes los del Sr- D. Pablo Heredia, electo -principal; pero que notaba la poca instrucción del expediente, y que era preciProcurador por la provincia de Huesca- _ ’ v. . ' V *P “darle m…</t>
  </si>
  <si>
    <t>Monlaville, Chapuis</t>
  </si>
  <si>
    <t>Chapuis Monlaville</t>
  </si>
  <si>
    <t>…s y trayendo ¿ la memoria las opiniones que en otros tiempos ha manifestado el que en las perturbaciones sociales quieren satisfacer su ambición. ministro de Instrucción pública (el Sr. Guizot); los proyectos de ley pidiendo ' El Sr. Chapuis Monlaville conviene con la opinión del Sr. Garnier, soste- autorización para declarar á París en estado de sitio, y para circundarla de for niendo que ia minuta no es en sustancia mas que el panegírico del ministerio tificaciones aisladas: la presentación de obispos para las diócesis erigidas cbntra de 13 de…</t>
  </si>
  <si>
    <t>Moñones, Francisco</t>
  </si>
  <si>
    <t>Francisco Moñones</t>
  </si>
  <si>
    <t>…de la Guardia Real provincial al man tiró hasta que lo hizo ja división; al infatigable y muy intrepido ayudante de do dei valiente capitán Malvar, y una mitad de la de Avila, avanzamos á tres flanqueadores á caballo de Isabel u D. Francisco Moñones , que en esta pr diferentes direcciones at abrigo de cuántos accidentes ofrecía el terreno, sin en todas ocasiones ha mostrado tanto arrojo como inteligencia, y prestaco que pudiese retarda^ el paso de nuestros valientes soldados el mortífero fuego servicios muy importantes al ejercito por su activ…</t>
  </si>
  <si>
    <t>Monrea, José María</t>
  </si>
  <si>
    <t>José María Monrea</t>
  </si>
  <si>
    <t>…, y añade que el gobernador de Cinco Villas, ELECCION DE PROCURADORES DEL REINO. con referencia á los partes que se le habían dado, le confirmaba la anteñor PROVINCIA DB NAVARRA. noticia. s Oficio que se tita en el anterior.' Sí. D. José María Monrea!. ' Primera brigada del ejército de Aragón, DÚmero 168.=ExcmoI Señor: Esta mañana me puse en camino para Roncal, con arreglo á lo qne ya tenia &gt;i. - ii^ása— —,_____ ■- indicado á V. E ; pero me vi precisado á volver rápidamente á esta villa por las noticias recibidas por el gobernador de este punto…</t>
  </si>
  <si>
    <t>Monreal, I José María</t>
  </si>
  <si>
    <t>I José María Monreal</t>
  </si>
  <si>
    <t>…á varios de sus guardias para castigarle; le desarmaron renunciado. Se mandaron pasar á la comisión de Poderes un oficio y los docu y le cortaron la cabeza. ¡Hé aqui un ejemplo magnífico de la inviolabilidad mentos que remitió el Sr. I&gt;. José María Monreal, Procurador electo por de los representantes de la nación 1 Jacobo 11 es bien patente que tuvo al Par Navarra. lamento en el mas alto grado de desprecio; y si alguna vez se acordaba de él, El Sr. Presidente invitó á los Señores que tuviesen aprobados sus poderes, era solo para pedirle dÍQero. Las v…</t>
  </si>
  <si>
    <t>Monreal, José María</t>
  </si>
  <si>
    <t>José María Monreal</t>
  </si>
  <si>
    <t>…lof Reyes se han hecho para los pueblos, y no Igualmente se aprobó otro dictamen de dicha comisión, en que exponía los pueblos para los Reyes, pereció Luis para ejemplo de Reyes y de nacio que habiendo examinado una solicitud de D. José María Monreal, electo Pro nes. Por otra parte debo manifestar que la expedición de Argel se proyectó curador por la provincia de Navarra, relativa á que se le exonere del cargo con el objeto de adormecer con ideas de gloria al pueblo francés y atacar su de Procurador por no ser sus rentas de las que la ley exige…</t>
  </si>
  <si>
    <t>…al mismo tiempo saben que del acta de la ¡unta electoral de la provincia de Pamplona, de la que resulta el poder no se debilita con la libertad individual, poique conoce que los go— haber nombrado Procurador por dicha provincia á D. José María Monreal, biernos justos que mandan con leyes , son fuertes y están sostenidos por el vigor en lugar de D. Francisco Muguiro ¿ Iribarren. Se mandó pasar i la comisión y fuerza moral &lt;jue ellas comunican á las autoridades establecidas. de Poderes. Las garantías políticas son muy débiles cuando ellas no afian…</t>
  </si>
  <si>
    <t>Monrerrcsi, D José</t>
  </si>
  <si>
    <t>D José Monrerrcsi</t>
  </si>
  <si>
    <t>…terior, se trató y acordó lo siguiente: También se leyó el recibo indicado firmado por los Sres. fiel ejecutor Don El Sr. Presidente entregó un certificado dado por mí el presente escriba José Gabriel Almeyda y síndico procurador general D. José Monrerrcsi, con no, en que consta circunstanciadamente el acto de la solemne Real proclama fecha 19 de éste propio mes, en que expresa que como encargados por este ayun ción hecha á la Sra. Doña Isabel ii, por nuestra Reiva y Señora en los tér tamiento recibieron del Sr. alférez Real D. Félix Quintero U canti…</t>
  </si>
  <si>
    <t>Monrerrcsi, José</t>
  </si>
  <si>
    <t>José Monrerrcsi</t>
  </si>
  <si>
    <t>…se trató y acordó lo siguiente: También se leyó el recibo indicado firmado por los Sres. fiel ejecutor Don El Sr. Presidente entregó un certificado dado por mí el presente escriba José Gabriel Almeyda y síndico procurador general D. José Monrerrcsi, con no, en que consta circunstanciadamente el acto de la solemne Real proclama fecha 19 de éste propio mes, en que expresa que como encargados por este ayun ción hecha á la Sra. Doña Isabel ii, por nuestra Reiva y Señora en los tér tamiento recibieron del Sr. alférez Real D. Félix Quintero U canti…</t>
  </si>
  <si>
    <t>Montalvo, Mariano</t>
  </si>
  <si>
    <t>Mariano Montalvo</t>
  </si>
  <si>
    <t>…fstóteecidn sü'■partida de bautismo, información Je su buena vida jr : EspSóá de:primerajclase para sí, sus hijos y sucesores. (Id.) . costumbres, y certificación de haber estudiado latinidad en enseñanza aprobada, __ nombrando á D. Mariano Montalvo encargado de Negocios cerca del sin cuyos requisitos no serán admitidos. Madrid 22 de Junio de 1834— El , . Rfy Oth'oo.) yresolviendo que sé dé entrada en los puertos del remo á los Presidente de la.,junta de Protección ,Dicgo Clemencia, xa Secretaria, Rnmon buques procedentes de Grecia, y que sean…</t>
  </si>
  <si>
    <t>Montañasección, María</t>
  </si>
  <si>
    <t>María Montañasección</t>
  </si>
  <si>
    <t>…que la suavidad del clima modere la intensidad ¿Sección de Muerte á ios tiranos, de Guerra á los palacios y del mal. Paz á las cabañas, de ios Vengadores-, cuatro secciones de la Los soldados que fueron de Bélgica al servicio de Doña María Montañasección de los dias 5 y 6 de Junio, dias funestos, se permanecen aun en Lisboa ;l pero se cree que después _de la revista ñores, en que los anarquistas procuraron trastornar el gobierno, y qtie va á pasarles cuanto antes el Emperador, marcharán al ejér derramaron la sangre de La guardia nacional. Sigo leyendo la…</t>
  </si>
  <si>
    <t>Montaner, Gabriel</t>
  </si>
  <si>
    <t>Gabriel Montaner</t>
  </si>
  <si>
    <t>…rauqui y Mañeru: el Pretendiente y Zumalacarregui con el grueso yor de Hornachos; para el deGinzode Limia á IX Ramón Martelo y Nuñez; de la facción en las montañas , y el general en gefé con las divisiones de Cór ra el de Denia á D. (Gabriel Montaner; para.el de Martin Muñoz á Don doba y Oráa en su persecución. SdecebanBodonal;Cosío; parapara Olivenza,el de Fregenalpor traslaciónde la Sierrade áD.D.DiegoFernandoAlvarezBaile,Osorío,que loa Dones déla Elfrontera.brigadier Linares avisa desde Sos que salía á recorrer algunos pueblos Manuel Antonio…</t>
  </si>
  <si>
    <t>Montcvírgen</t>
  </si>
  <si>
    <t>…tando- de sus empréstitos, deí origen y fin para que sirvieron , sino todo, ó del modó que sus medios contentan, estos empréstitos. del mal real que le va á resultar de su no reconocimiento. «Uno de los argumentos que ha hecho el Sr. Montcvírgen , que ha repe «El Sr. marques de Torremejía me permitirá le diga que después de re tido el Sr. Cairasco, y que pud.era tener bastante fuerza á los ojos de los Pro conocer los principios claros y luminosos que ha sentado en su discurso, ha curadores, es decir que sí se reconocen todos los empréstito…</t>
  </si>
  <si>
    <t>Monte, Joaquín</t>
  </si>
  <si>
    <t>Joaquín Monte</t>
  </si>
  <si>
    <t>…«rollando la avanzada que los enemigos tenían en el camino real, j;r..vru-,e?. Dios guarde á V. E. muchos años. Teruel 21 de Febrero de 1834*=F*cc- rápidamente el pueblo, apoyados por la columna del brigaditr Benedicto lentísimo Señor—Joaquín Monte*oro y Moreno.rrExcmo. Sr. Secretario de Es á paso de carga debía situarse al otro lado de este. tadio y át\ Despachó del Fomento general del reino. Los expresados movimientos se ejecutaron con una decisión, enru-iasnv v energía digna de Us bizarras tropa* que tengo et honor de mandar. Al acer Sut^d…</t>
  </si>
  <si>
    <t>Monte, Pedro Henrique</t>
  </si>
  <si>
    <t>Pedro Henrique Monte</t>
  </si>
  <si>
    <t>…erecemos del Carrizal, y fallecieron dos; y desde el de Dios Guzman: para la de Agreda á D. José Aragón: para la de Lerma á 21 á 24 del propio mes curó una y falleció otra en Tzbara. D- Juan Víctor Navarro: para la de Antequera á D. Pedro Henrique Monte ro: para el corrcglmicrito de Cuenca á D. Antonio Lafuentc: para el de Alcaere á D. Pinta león iVitini: para el de Barbastro á D. Anselmo Baquedano: PROVINCIA BE ZARAGOZA. para la alcaldía mayor de Campillos á D. Antonio María Castilla; para la Manifiesta su gobernador civil en oficio de 28 del mes…</t>
  </si>
  <si>
    <t>Montells, Juan Bautista</t>
  </si>
  <si>
    <t>Juan Bautista Montells</t>
  </si>
  <si>
    <t>…valor de nuestros soldados. No hemos tenido desgracia ninguna; en el valor de una letra de cambio protestada por falta de aceptación y pago. solo el sargento 2.° de cazadores de Borbcn D. José Cimacho fue contuso en Cerró el acto D. Juan Bautista Montells, dando al público las gracias el tambor de una de las puertas. El enemigo tuvo un muerto en la salida que se por su atención y asistencia, y á la Real junta de comercio por la geneiosidad hizo, al que se le tomó el armamento , y se le ha dado hoy sepultura : es de con que proporciona á la juventud…</t>
  </si>
  <si>
    <t>Montemayor</t>
  </si>
  <si>
    <t>…an un enorme gorro ¿riego encar rde los Fernannafiet. . ., 5 4 9 ¡d............... 2 2 00 nado. {Idem.) Monta 1 van........... 1 i 7 id................ 8 í 3 ------Los dos príncipes Demetrio y Gregorio, hijos del Hospodar que hoy reina Montemayor. ... 6 a 8 ¿d. ...... 36 7 2 en Moldavia, y otros cinco jóvenes mas, que pertenecen á las familias mas Rambla... ..... 5 á 7 id............... 4 00 00</t>
  </si>
  <si>
    <t>Móntemáyor, José</t>
  </si>
  <si>
    <t>José Móntemáyor</t>
  </si>
  <si>
    <t>…do por mi decreto planta de lo» üependténTéáqüe: sean ncCeSUrfós. par» la trias Ordena de ?4 de Marzo último, 4 D. ^.ndres Subiza , á D. Rafael Paz y da y expedita adtñírñstticion ¿e justicia^ elevando uno' y fchpiTs S Tuertes, £ D. José Móntemáyor; á D. José Villattueva,' á pojn conocimiento de S.' Míj bara la resOfüCÍdJi que estime concediente. José Martínez Areta, á D. José Mier, á D. Teótimo Escudero,! De -Afad orden lo°di¿» s:V. E. pati suimtwigOTC¡xytatiñfflimián!- D. Matías Herrero Prieto, á D. Francisco Redondo y á D. José to. Dios gu…</t>
  </si>
  <si>
    <t>Montenegro</t>
  </si>
  <si>
    <t>…vizconde narios sin causa justificada; y los empleados de aquella ¿poca, lejos de haber de San Simón, Camps, y Blanco. _______ desmerecido de la patria, se han hecho mas acreedores á Ja consideración pú El que tó‘desaprobó Tue el Sr. Montenegro. ^ blica. Un acto de equidad-puede^jeparar la* consecuencia* á que ha dadn lugar Manifestó el Sr. Medrano que estando fuera del salot) al tiempo de la. el sistema observado con estos empleados : ellos no son de peor condición que primera lectura de la lista, y habiendo entrado en el acto de la segun…</t>
  </si>
  <si>
    <t>…, Puig, Martel, Calderón Coliantes, Martí, Crespo Tejada, y Lapiado los taquígrafos del Estamento en la sesión de dicho dia. borda. Se declaró el punto suficientemente discutido, y que la votación del ar Después de habey hecho el Sr. Montenegro una manifestación de las ra tículo 1.” del proyecro de ley sé' hiciese por partes, £Or 62 vo.os contra 59. zones que había tenido para no suscribir al dictámen de la comisión de Milicia Leída la priméra parte de dicho artículo, y habiéndose pedjdo que lá vo urbana, de que era individuo, anunció el…</t>
  </si>
  <si>
    <t>…ciales para los premios y estaba dispuesto y decidido á aprobarle; pero el Sr. Procurador que me ha pre goces; por lo que no creía necesaria la adición. cedido y me ha honrado en su discurso, ha dado motivó £ ciertas dudas que El Sr. Montenegro se opuso á la adición á causa de que no teniendo Exa creo muy oportuno analizar para que nos tranquilicemos. Ha dicho, y en mi les nombramientos ni los cabos ni los sargentos, y entrando á la par con los concepto felizmente, que cuando el Gobierno espiró en Cádiz había muchos soldados en cuanto á a…</t>
  </si>
  <si>
    <t>…o y después se hacia obligatorio; lo cual indicaba £¡ Sr. ntztrques defSámemelos'. «Me parece muy oportuna la graduación por si podía f^watrcISi^... que se hace en la escala de nombramientos. Comandantes: S. M., con la calidad El Sr. Montenegro contesto qUE'Uilu se hacia obligatorio cuando no ha de que tengan 30 años, y paguen cuota triple que el simple urbano. Oficiales: bía quien lo prestase voluntariamente; lo cual era indispensable. el gobernador civil á propuesta en terna de ios consejos de disciplina, con la £1 Sr. Vega y Rio apoyó…</t>
  </si>
  <si>
    <t>…o en realidad la reprensión es privada res consejo de disciplina, si no son sus decisiones justas, ;qué seguridad podrá tener pecto al público.” el acusado! Por lo tanto creo que no se debe dar tal facultad ál presidente, pues El Sr. Montenegro: «Suplico al Sr. Secretario del Despacho tenga pre esto baria depender la aplicación de las penas de una tola persona, y de consi sente que ni el artículo de la comisión ni el del Gobierno hablan de repren guiente que no se debe aprobar el segundo párrafo del Gobierno, como ni tam sión privada de i…</t>
  </si>
  <si>
    <t>…ba ta que asista el comandante; y para evitar toda duda,es de parecer que debe Al mismo artículo 3.° y párrafo que trata de la admisión de los hijos intercalarse en el art. 20 el párrafo siguiente: en la Milicia ha presentado el Sr. Montenegro la adición siguiente: »PI&lt;io al «Este sorteo lo verificará el Ayuntamiento respectivo en acto público, Estamento se sirva adicionar al párrafo de la 3.a cualidad del artículo 3.° del con asistencia sin voto del comandante efectivo ó accidental de la Milicia ur proyectó de ley de Milicia urbana, aproba…</t>
  </si>
  <si>
    <t>…sobre la primera discutiese en publico. ádicion, 1 ’ . «Señora: Los Procuradores del reino, usando de la facultad que se les ■Verificado asi, dijo 4 , . concede por elart. .32 del Estatuto Real, tienen el honor de llamar la au El Sr. Montenegro: «La redaction del art. 3.b que se acaba de leer, no gusta atención de V. M. hacia un objeto que debe ejercer la mayor influencia ¿stá conforme con lo aprobado, pues falta la adición al pár. 4-* que se aprobó qn la prosperidad pública. Tal es la abolición dé, los mayorazgos y vinculacio áyet; y por…</t>
  </si>
  <si>
    <t>…ue tratan de las inspecciones y direcciones generales de todas hacen falta á la vísta de sus soldados, y mas en tiempo de guerra. Estamos, armas &amp;c. &amp;c. pues, conformes en que de ninguna manera deben ser empleados los mismos*” El Sr. Montenegro hizo presente que para evitar lo ocurrido en la sesión El Sr, Vicepresidente-. « Respecto á que la comisión se conforma en cuan* de ayer, en que se desechó por una sola votación todo un capítulo que algunos to á la inspección de infantería con los 12 oficiales que propone el Gobierno, señores hubie…</t>
  </si>
  <si>
    <t>…mpugnado, y de consiguiente debe aprobarse. Se abrió á las once y media, y leída el acta de la anterior quedó apcoba- «Por lo demas, si el Procurador de que se trata no quiere admitir este da con una modificación propuesta por el Sr. Montenegro. cargo grave, expuesto y costoso por no ser ápto para ello, mi opiniones ieual Se mandaron pasar á la comisión de Poderes los del Sr. D. José S. Just, á la manifestada por mis d:gnos compañeros; pero creo que mientras asi tro lo electo Procurador por Puerto-Rico, con los documentos justificativos de…</t>
  </si>
  <si>
    <t>…que se trata, y es que terado, y se acordó comunicar la órdeh correspondiente á dicho interesado. hay sucesor colateral, y lo hay directo: en el colateral tiene lugar la observa Se mandó insertar en el acta el voto particular*del Sr. Montenegro, con ción ‘d«l Sr. conde de las Navas; pero no en el directo, como lo es él tenor trario- á la resolución tomada en la sesión última sobre extinción .de cape Queipo , que no puede, dejar-ds-scrposeedor del mayorazgo.-Cu3Íesquiera que llanías. sein las leyes que luego se establezcan; no perjudicarán…</t>
  </si>
  <si>
    <t>…rs. objeto de los vigías y torreros fue al principio avisar los desembarcos de los La comisión manifestaba qne en este punto no cabían economías. moros en nuestras playas , desde donde se dirigían á los pueblos y caseríos, cau El Sr. Montenegro propuso eo unas ligeras observaciones que se diese el tivaban á los habitantes y talaban la tierra. Igual objeto y el de prevenir estas sueldo de campaña á los cabos, mediante la importancia de los cabos y sargen incursiones tuvieron nuestras conquistas en el Norte de Africa y los estableci- tos pa…</t>
  </si>
  <si>
    <t>Montenegro, Antonio María</t>
  </si>
  <si>
    <t>Antonio María Montenegro</t>
  </si>
  <si>
    <t>…‘ loTnterior; director i Vítulos aL portador del S p. 100. 00. D. José María Bremon, gobernador civil de aquella provincia; vicedirector á .Títulos■Inscripcionesal portadoren el grandel 4 librop. 100,á.4 p. á100,14 d.00.f. ó roí. D. Antonio María Montenegro, coronel del provincial de Pontevedra; censor Vales Reales no consolidados, 00. i D. José Ventura Regó, y secretario í D. Ramón MaríaGodoy. Asimismo Deuda negociable de í p^JOO k papel, 00, U nombrado presidente de la diputación permanente en esta corte al Excelen Id. sin Interes. 12 al contado: 12…</t>
  </si>
  <si>
    <t>Montenegro, Antonio Tenreiro y</t>
  </si>
  <si>
    <t>Antonio Tenreiro y Montenegro</t>
  </si>
  <si>
    <t>…o, ademas de la c tada corresponden».!a , les monturas , Ar 100 rs. mensuales desde Setiembre próximo............................................ 100 mas y vestuarios que hah an quit-do á :as do» orden-an/as, y n s que e.:i»s le— D. Antonio Tenreiro y Montenegro , secretario del gobierno civil nian. El expresado comandante general recomienda al citado oficial , y á la par de Galicia, ha ofrecido lOü rs. mensuales, y ha entregado los corres tida de su mando, por su bizai ro comportamiento. pondientes ai presente mes. ...... .................................…</t>
  </si>
  <si>
    <t>Montenegro, José María Pardo</t>
  </si>
  <si>
    <t>José María Pardo Montenegro</t>
  </si>
  <si>
    <t>…anteriores, se sus-/ para alcaldes del crimen á D. Pedro Gómez Hermosa, á D. Pedro fáticiárán en igual foVma áttte los mismas jtízgádos ordinarios com- Regalado López Montenegro, á D. Vicente Sandino, áD. Francisco Tames Hevia, á D. José María Pardo Montenegro; ¡y para fiscal á Los actuales individuos deí venerable cabildo de la Sáiita D. Juan Bravo Murillo. Tendréislo entendido, y k&gt; comunicareis 4 iglesia de Santiago poseedores de prebendas, eanongías j beneficios, quien corresponda— Está rubricado de jta Real mano. —En ti Pardo dotados" en parte pon l…</t>
  </si>
  <si>
    <t>Montera</t>
  </si>
  <si>
    <t>…* é ^ 7 14 J.t ^ n n s «ama am a1 J «a «2 a Va a m a «a! .*_ a ^ curador dos veces Sobfe un mismo asuntó, á no ser individuo dé úna comisión, ó parq deshacer alguna equivocación. . . • , prosperidad a que es llamada por ún pon- ” Sr. Montera: ñEi¡ cIEstatuto Rhai creo se presenta un medio para curso de circunstancias felices, pero de que porfiadamente la'alejaron por niurenunciar el que nó quiera desempeñar, el cargo que se le confiere. Hay, según ¿ho liempo los vicios de una legislación absurda. Regéncrar esta patria desgra él, qué pr…</t>
  </si>
  <si>
    <t>Montero</t>
  </si>
  <si>
    <t>…he por Cuevas, al parecer hacia Vil afranca, y en con- *tcaenc&lt;a salió Testa’con su infantería en U misma dirección, S. Cristóbal sa- Extracto del parte remitido por el gobernador civil de !» provincia dé Mur Jaó de Meccreyes, el comandante Montero desde Contrera» se puso también en cia D. José Musso v Val-ente con fe^ha de 30 de Abril último. movimiento , dando aviso á los coroneles Obregon y Albuin), que debían estar Ha prom&lt; vido la limpia y compoMcion de varias acequ'as. ea Aranzo 4e Miel y Huerta de Rey: de manera que en una extensión de…</t>
  </si>
  <si>
    <t>Montero, D Ramón</t>
  </si>
  <si>
    <t>D Ramón Montero</t>
  </si>
  <si>
    <t>…de la provincia se disfrutaba de buena salud, excepto en gefe de la ).1 brigada, el coronel del provincial de Granada marques de Cam- Esqu¡v¡as y en Omígola, en cuyos pueblos se habían manifestado alguno* ca poverde, el teniente.coronel D. Ramón Montero, comandante accidental del sos sospechosos. batallón de carabineros que, despreciando el vivo fuego del enemigo animaban i sus soldados; al gefe dé mi plana mayor D- Celestino Azcarate; espitan de in fantería graduado de teniente coronel, que con ia mayor actividad comunicaba poua i&gt;b coxB.BíCio.-~…</t>
  </si>
  <si>
    <t>Montero, Hermenegildo</t>
  </si>
  <si>
    <t>Hermenegildo Montero</t>
  </si>
  <si>
    <t>…lo propuesta El tribunal de Comercio de Zaragoza. por esa junta , se ha servido mandar lo siguiente: La compañía de Seguros mutuos de incendios de Sevilla. i,» Art. 1? La junta de Sanidad de Madrid se aumentará con los D. Ramón y D. Hermenegildo Montero, y D. Rafael Barcia, regidores facultativos D. José Coll, D. Ramón Copdevila , D. Victoriano Tor perpetuos del ayuntamiento de Zamora. recilla, D. Nicolás Alfaro y D. Pablo Montesino. El gobernador civil de Soria. 21 Serán vocales de la misma junta el conde de Teña, el mar E] de Barcelona. ques de…</t>
  </si>
  <si>
    <t>Montero, Juan Nepomueeno</t>
  </si>
  <si>
    <t>Juan Nepomueeno Montero</t>
  </si>
  <si>
    <t>…allería del ejercito y Guardia Real, con los sueldos y haberes que nPor la parte del Ebro se siguen con actividad las operaciones, y el coro- disfrutan toda¿ las clases que la componen; varios formularios' para el manejo mecá bel D. Juan Nepomueeno Montero me manifiesta desde Beccite las que há~ ánicolos demilitaresuna compañía;-de estareglamentoarma, y á delaretirosMiliciadeurbana1828, conde otroscaballeríaparticularesdel reinomuyfice:útilesutl 46fKertado con los ge fes de las columnas del bajo Aragón y Valencia para des: tomo en 8.° á 12 rs., se ve…</t>
  </si>
  <si>
    <t>Montero, Pedro Henrique</t>
  </si>
  <si>
    <t>Pedro Henrique Montero</t>
  </si>
  <si>
    <t>…la de que se habían descubierto cartas demagógicas, aunque no be sido mas que de Cartagena: para la de Motilla del Palancar y Campillo de Alto- una falsa alarma. Sin embargo, se ven muchas patrullas en las calles', y se ha buey á D. Pedro Henrique Montero: .para la de Ñavahrioral de la dado orden para que al momento que se anuncie fuego en algún punto se avi Mata" nueva á D. Simón Benavides: para la de Coin á D. Francisco se á los cuarteles , y se cubran principalmente las calles que dan vista á la cár María Sánchez Castilla: para la de Totana á D.…</t>
  </si>
  <si>
    <t>…a -humana, que señala ciertas ¿pocas de reposo, ó prescribe la ne D. Francisco Javier Morales; para la de Morilla del Patancar y Campillo de cesidad de atender á sus negocios; que este es el caso en que accidentalmente Altobuey á D. Pedro Henrique Montero; para el corregimiento de Carrion de se halla la Gran-Bretaña con respecto á los enviados de las Potencias amigas; los Condes £ D. Agustín Gómez Ingnanzo; para la alcaldía mayor de Getafq £ y que el no tener un representante americano de ia misma clase que el repre D. Francisco Herrero Blanco; para…</t>
  </si>
  <si>
    <t>Montero, Ramón</t>
  </si>
  <si>
    <t>Ramón Montero</t>
  </si>
  <si>
    <t>…rovincia se disfrutaba de buena salud, excepto en gefe de la ).1 brigada, el coronel del provincial de Granada marques de Cam- Esqu¡v¡as y en Omígola, en cuyos pueblos se habían manifestado alguno* ca poverde, el teniente.coronel D. Ramón Montero, comandante accidental del sos sospechosos. batallón de carabineros que, despreciando el vivo fuego del enemigo animaban i sus soldados; al gefe dé mi plana mayor D- Celestino Azcarate; espitan de in fantería graduado de teniente coronel, que con ia mayor actividad comunicaba poua i&gt;b coxB.BíCio.-~…</t>
  </si>
  <si>
    <t>Montero, Ramón y D Hermenegildo</t>
  </si>
  <si>
    <t>Ramón y D Hermenegildo Montero</t>
  </si>
  <si>
    <t>…ándose con lo propuesta El tribunal de Comercio de Zaragoza. por esa junta , se ha servido mandar lo siguiente: La compañía de Seguros mutuos de incendios de Sevilla. i,» Art. 1? La junta de Sanidad de Madrid se aumentará con los D. Ramón y D. Hermenegildo Montero, y D. Rafael Barcia, regidores facultativos D. José Coll, D. Ramón Copdevila , D. Victoriano Tor perpetuos del ayuntamiento de Zamora. recilla, D. Nicolás Alfaro y D. Pablo Montesino. El gobernador civil de Soria. 21 Serán vocales de la misma junta el conde de Teña, el mar E] de Barcelona. ques de…</t>
  </si>
  <si>
    <t>Monterresi, D José María</t>
  </si>
  <si>
    <t>D José María Monterresi</t>
  </si>
  <si>
    <t>…ral esta exposición por medio de tero , fiel ejecutor D. José Gabriel Almeyda , gentilhombre de cámara de S. M. oficio en forma para que S E., como presidente nato de las" corporaciones, la D. José María Lima y síndico procurador general D. José María Monterresi á eleve á U alta comprensión de S. M. con la recomendación que fuere de su su celebrar cabildo ordinario: tomando dicho señor alférez Real la silla de la perior agHdo. presidencia, y leída y aprobada el acta anterior, se trató y acordó lo siguiente: También se leyó el recibo indicado firmado por lo…</t>
  </si>
  <si>
    <t>Monterresi, José María</t>
  </si>
  <si>
    <t>José María Monterresi</t>
  </si>
  <si>
    <t>…exposición por medio de tero , fiel ejecutor D. José Gabriel Almeyda , gentilhombre de cámara de S. M. oficio en forma para que S E., como presidente nato de las" corporaciones, la D. José María Lima y síndico procurador general D. José María Monterresi á eleve á U alta comprensión de S. M. con la recomendación que fuere de su su celebrar cabildo ordinario: tomando dicho señor alférez Real la silla de la perior agHdo. presidencia, y leída y aprobada el acta anterior, se trató y acordó lo siguiente: También se leyó el recibo indicado firmado por lo…</t>
  </si>
  <si>
    <t>Montes</t>
  </si>
  <si>
    <t>…Goicoechea yAlibina, noti— excusas que se aleguen-para renunciar , honorífico careo de representante' de 1a óáóméo el 'fallecimiento desbi'éápoio el Sr. D- Juan de Urblna, nombrado Pro- toafcion.” ' ' * ' esuador porMllaga. ’" ¡ Sr. Montes^: »&gt; Creo de mi deber manifestar quede ninguna manera pue Queiló entelado el Estamento de una exposición del Sr. D. José María de decir&amp;e que el interesado que motiva esta discusión se ha excusado por re López ele Pedraza, electo-Procurador por Córdoba, manifestando no poder traimiento al trabajo,…</t>
  </si>
  <si>
    <t>Montes, Antonio Alcalá Galiano y D Manuel</t>
  </si>
  <si>
    <t>Antonio Alcalá Galiano y D Manuel Montes</t>
  </si>
  <si>
    <t>…s una especie de contribución á los empicados. Es una cosa tima junta electoral de Cádiz, nombrando Procu fado res por aquella provincia clara y evidente,- que los que mas interesados están en sostener el trono legíti á los Síes. D. Antonio Alcalá Galiano y D. Manuel Montes de Oca, en re mo y el actual órden de cosas, son ellos; y por lo tanto deben concurrir con emplazo de los Sres. D. Pedro Juan de Zuliteta y D. José Manuel de Va- sus esfuerzos á mantenerlo. Ai hacer cualquier solicitud todos ellos protestan dillo. su adhesión y su decisión á sostener la causa legít…</t>
  </si>
  <si>
    <t>Montes, D Josef</t>
  </si>
  <si>
    <t>D Josef Montes</t>
  </si>
  <si>
    <t>…r lo mismo no existen en los Almería 12 de Febvtro. Xemor«£ que ha aounci^dc* ?1 preopinante; analiza después la propuesta del señor Leyraud, y demuestra qúe su aprobación equivale á desechar la ley. Antes de ayer pasó revista el coronel D. Josef Montes, gobernador militar , ^Replica el Sr. O- Barrot, que si bien es cierto que la autoridad municipal y político de esta ciudad, ai batallón de Milicia urbana que en ella se ha for debe tener los medios necesarios para mantener el orden, no se sigue de ahí mado; de cuyas resultas se ha publicado la sig…</t>
  </si>
  <si>
    <t>Montes, Josef</t>
  </si>
  <si>
    <t>Josef Montes</t>
  </si>
  <si>
    <t>…mo no existen en los Almería 12 de Febvtro. Xemor«£ que ha aounci^dc* ?1 preopinante; analiza después la propuesta del señor Leyraud, y demuestra qúe su aprobación equivale á desechar la ley. Antes de ayer pasó revista el coronel D. Josef Montes, gobernador militar , ^Replica el Sr. O- Barrot, que si bien es cierto que la autoridad municipal y político de esta ciudad, ai batallón de Milicia urbana que en ella se ha for debe tener los medios necesarios para mantener el orden, no se sigue de ahí mado; de cuyas resultas se ha publicado la sig…</t>
  </si>
  <si>
    <t>Montesinos, Pablo</t>
  </si>
  <si>
    <t>Pablo Montesinos</t>
  </si>
  <si>
    <t>…que en Alcobendas habían muerto dos personas del cólera morbo ful ____ nombrando 4 D. Manuet Fernandez Varela, al duquf de |Gor, á Don minante, y que en Es tremerá no babia ocurrido novedad desde el último parte. José Escario y á D. Pablo Montesinos miembros-de la comisión creada para el plan de instrucción primaria del Reino , y á D. Alejandro Olivan, PROVINCIA DE PÁLENCIA. secretario de la misma. (AJúm. 206.) . .. Circular dirigida á los capitanes generales de provincia y á los inspectores de Desde 28 de Setiembre último á 1.® del actual hab…</t>
  </si>
  <si>
    <t>Montesoro, Joaqtub</t>
  </si>
  <si>
    <t>Joaqtub Montesoro</t>
  </si>
  <si>
    <t>…la provincia de Lérida y los oficiales de la secreta- teres del 5 por 100, Se asegura qué las Cámaras serán disueltas .antes dé~ élpiraé á&lt;a 4*1 gob&amp;nó. „ , d mes de Mayo. (Twwr.) , ' El gobernador civil dé U provincia &lt;b Teruel D. Joaqtub Montesoro y ‘ *r ... . -j . , TV Munich escriben lo siguiente: ' El g^eóniador dvU de' la provincui de Cleenes D. Francisca González algunos dias ha tomado la policía, y han l EtfftS. , 'U ' J . . x, ' aevnterpretadbi quizt équivpcadamcnte &lt;n los países eatrangetot, /seria abul-t El tríbunat de cómenci» de la…</t>
  </si>
  <si>
    <t>Montev</t>
  </si>
  <si>
    <t>…do tácitamente que áa d.scusicn q.j- hasta cierto punto son mas bien medio» abusivos que otra cosa. Y aun en eitalzx r a cerrad i tíido caso la comisión lo que quiere es examinar si fueron bien contraidís ó .«Antes que ha’va*e el Sr. Montev rjen trme li listi mal , desaprobando siempre los que fueron desde su origen nulos ó vjHcsos. de los Sre* Pr&lt; ¿ i.-*es ;ce h.ibun ped-d &gt; la pi.ibra, v d t que no había va M$e ha dicho también que ios extranjeros no estaban obligados a saber ningún »cñ r que desease hablar s^b'e el apunto. En este…</t>
  </si>
  <si>
    <t>Montévírgen</t>
  </si>
  <si>
    <t>…ulación la pérdida de interesa; y h ate efecto debe concluir el articulo con El Sr. Secretario del Despacho de Estado: «Solo bailo un inconveniente ata cláusula: «perdeián los intereses á que tenían derecho.” en lo que propone el Sr. Montévírgen, y es un inconveniente político. £1 Go A petición del Sr. Caballero se votó ate artículo por parta, quedando bierno ha llevado en esto una mira de igualdad, y no ha querido dar la prefe todas tres aprobadas con las siguienta variaciona: en la primera, en vez del rencia á unos sobre otros.” término…</t>
  </si>
  <si>
    <t>…, ia opinión de algunos de Después de nn leve debate, en que tomaron parte los dos señores preo nuestros generales que se ban separado del mando, y bao salido desairados pinantes y el Sr. Morales, y manifestó quedar satisfecho el Sr. Montévírgen, despues de conocerse su ntéiilo por otras servicios anteriores muy importantes. se declaró el punto suficientemente discutido , y se aprobó el artículo , aña «Yo no püedo, ni quiero, ni debo atribuir á incapacidad de esfos gefes diendo á su 'final lo siguiente : «Y el tratado últimamente celebrado…</t>
  </si>
  <si>
    <t>Montevírgen</t>
  </si>
  <si>
    <t>El Sr. SacMOrio del Despacho de Haciende mnifeti que habtfadnee y* El Sr. Argflellre rogó al Sr. Montevírgen retirase su moción, exponien tratado el asunto referido con mucha detención en ambos Estamentos, y sien do que en la disensión podrían explayarse las razones que tenia la comisión pa do notorio lo urgente de sil resolución, podia eviurse el pase del ful”™1» i b ra presentar el., parecer que exponía…</t>
  </si>
  <si>
    <t>…se acababa años se habrá tomado una decisión tal sobre la deuda pasiva, que quedarán ba&amp;? de leer, y se acordó que no. tantc contentos sus tenedores, y que muy mal habria de andar la cosa para que Se leyó la siguiente adición del Sr. Montevírgen: antes de quince años no se haya- tomado una determinación sobre ella: deter «Pido al Estamento que declare que el empréstito de Guebhard no que minación que les dará ventaja sobre la que ahora se toma respecto de ios inte da con la calidad de rcembolsable con que fue contratado.” reses. Habiendo m…</t>
  </si>
  <si>
    <t>…o. La ley citada, y cuan mayor la influencia^del poder; el partido que ¿1 Rey adopta, aüi se inclina tas pueden alegarse, hablan de,contr¡b|jqiones ó de impuestos, pero no deemla. talanza. •- ■' \ ■ ,I 'J, ' préstitos- Por eso el Sr. Montevírgen , conociendo que aquella ley no lo, fa . «He'aquí por qué el año 1823, atando el Rey unido i las Córtes, fue vorecía claramente, con gran sagacidad y selecta erudición , trató' de probar necesario una"invasión extrangera para destruir aquel sistemavarió la escena, que lo que no autorizaba la leyTóa…</t>
  </si>
  <si>
    <t>Montevirgen</t>
  </si>
  <si>
    <t>…nes puedan componerse de dos á tres compañías. * El Sr. Secretaria del Despacho de lo Interior indicó que aun cuando le «En cuanto á la voz trozos, que el Gobierno ha adoptado , no es tan in parecía muy bien lo manifestado por el Sr. Montevirgen , debía tenerse presen diferente su variación como á primera vista parece. Se ha tenido presente que te que ha ley de Milicia urbana no trata mas que de la obligación de alistarse hay en España provincias donde por su población dispersa no es fácil que la en ella los individuos que reúnan las circu…</t>
  </si>
  <si>
    <t>…reglamentos El objeto de este es que se discutao¡les metCf¡as pa que habian pedido la palabra en pro y en contra, y resultaron ser de los pri ra ilustrarlas: lo que aqui se ha discutido no ha sido el proyecto de ley del meros el Sr.,Montevírgen , como relator de la comisión, y de los segundos el Gobierno, sino los dictámenes de la comisión: el proyecto de ley del Go Sr* conde de Toreno, como opositor á ella. bierno no puede ser votado,' pues, mientras no sea discutido; esta es una con (El Sr. Presidente: »Hso es precisamente ló que va á e…</t>
  </si>
  <si>
    <t>Monthojon</t>
  </si>
  <si>
    <t>…emios un valor considerable, de manera que los autores queden indem— 1 En el Mensagero del 10 de este mes se lee el artículo siguiente : íilzádes dc lfeé gastos^ fJtiFihaya rv hecho en sus ensayos y descubrimientos, y-sean ___ El general Monthojon nos dirige un opúsculo políticov militar,, del cual al mismo tiempo recompensados por los Servicios que presten con sus produc extractamos el'3óciim«tfó que va á leerse. Exceptó' á*r’éPÉlÍefe¥’áe ciones, disminuyendo la insalubridad de ciertos oficios, ó perfeccionando las de batalla que concebimos…</t>
  </si>
  <si>
    <t>Montlosier</t>
  </si>
  <si>
    <t>…la sesión de la Cámara de diputados de 13 del actual M. Thiers, mi var las dotaciones y mayorazgos existentes hasta que las familias se extingan. nistro del Interior , hizo la siguiente comunicación oficial sobre los aconteci El conde Montlosier juzga que los mayorazgos son necesarios para la exis mientos de Lyon. tencia de la monarquía, y que sin familias poderosas, sin nobleza y sin mayo "Señores: La justa ansiedad de la Cámara en circunstancias que yo debo razgos no se pueden consolidar los gobiernos ni gozar las naciones reposo y llama…</t>
  </si>
  <si>
    <t>Montoto, Juan</t>
  </si>
  <si>
    <t>Juan Montoto</t>
  </si>
  <si>
    <t>…Sra. Infanta Doña María Luisa, continúan González Arnao, del consejo Real; á D. Rafael Cabanillas, inspec sin novedad en su importante salud en el Real sitio del Pardo. tor general primero del ramo; á D. Estanislao de Peñafiel; á Don Juan Montoto, contador de la dirección general, y á los inspectores de distrito D. Guillermo Schulz y D. Lorenzo Gómez Pardo; man dando que se remitan á ella por V. S. los expedientes, informes y MINISTERIO DE HACIENDA. demas antecedentes que convengan para el desempeño de su encargo. De Real orden lo digo á V.…</t>
  </si>
  <si>
    <t>Montova, Antonio</t>
  </si>
  <si>
    <t>Antonio Montova</t>
  </si>
  <si>
    <t>…l y apedrearon á cinco tambores de ella que tocaban llamada en ia calle sión de estos vecinos en los dias 2i&gt;, 26 y 2’ de Enero ultimo. El regidor de S. Dionisio: finalmente , que si el Sr. Salverte hubiera sido testigo de lo que D. Antonio Montova levanto pendones en nombre de esta villa sobre un mag pasó en los dos dias citados, tal vez pensaría de distinto modo. nífico tablado cubierto de ricas alfombras, a- en todas las noches hubo ílumiEl Sr Salverte reproduce y amplifica las citas que ha hecho, y pide que la cion general, distinguiéndos…</t>
  </si>
  <si>
    <t>MontschikoíF</t>
  </si>
  <si>
    <t>…a de Stockolmo de 3 de este mes, inserta en ei Diario de en el ministerio de Negocios extrangeros acerca de los negocios de Oriente. Francforty se dice jo que sigue: «Hace muchos diás que se ha vuelto á asegu El conde Orloff y el almirante MontschikoíF, plenipotenciarios nombra rar que el general conde de Loevewbielnz deberá regresar á París á desempeñar dos para asistir al congreso de Ministros en Viena, no saldrán de S. Petersbur— de nuevo su encargo de ministro plenipotenciario cerca de la corte de Fran go antes dé la llegada del príncipe de O…</t>
  </si>
  <si>
    <t>Montud</t>
  </si>
  <si>
    <t>…Volviendo á la relativa á los hijos, yo encabezamiento según los deseos del Sr. Viscdo. quisiera que se aprovechase el entusiasmo y afición que siempre tiene la juven Después de una aclaración hecha por el Sr, Visedo, propuso el Sr. Montud ¡á la Milicia, en favor dé la institución de que tratamos; si bien no quisie tevírgen una' nueva redacción del encabezamiento: y en vista de las observacio ra que se oblígase á todos, ni. se excluyese á-todos, En esto quisiera yo una es nes hechas propuso el Secretario del Despacho de lo Interior q…</t>
  </si>
  <si>
    <t>Monturque, Mencía Montoro</t>
  </si>
  <si>
    <t>Mencía Montoro Monturque</t>
  </si>
  <si>
    <t>…rgos, de Pomar el 26 Cabra................. 717 21 619 58 40 46 4 se el cuyas á generalconferenciará misma tropas ciudad, éon dirigen la Rodil, Carpió............... 22 49 63 8 6 5 4 habiendo pasado ya el .Duero algunas de ellas. Doña Mencía. . 21 156 20 0 176 12 6 Montoro........... 21 306 21 18 345 23 13 Monturque, ... 20 6 0 1 7 00 1 Rute................. 21 111 9 5 125 17 8 Villa del Rio.. 22 86 S 11 100 8 2 Extracto del parte remitido por el gobernador civil de la provincia de Pontevedra D. José María Bremon con fecha de 4 de Jfunio actual. ' Se hacen ensayos de alfalfa, que por la benignidad del clima se…</t>
  </si>
  <si>
    <t>Mooge, Polo y</t>
  </si>
  <si>
    <t>Polo y Mooge</t>
  </si>
  <si>
    <t>…tancias favorable? se ¡o han permitido, ha vuelto este pa-« mento , recayendo el primer cargo en el Sr. marques de Espinardo, y el segun triota; y ¿se le quitará el derecho de asistir al Estamentoí ¿Se le baria un car- £ do en el Sr. Polo y Mooge. go por no haber conservado en España bienes que tuvo que salyai á toda costal P¡1 Sr. Presidente; «No teniendo ningún asunto de que podamos ocu Caso tan extraordinario merece una resolución extraordinaria; sus conocimien parnos mañana, nos reuniremos el lunes á las diez de la tuyo, para continuar t…</t>
  </si>
  <si>
    <t>Mora</t>
  </si>
  <si>
    <t>…—Lra periódicos de los Estados-Unidos que hemos recibido hoy no dicen sí como presidente; y enterada la junta, aunque muy satisfecha del notorio ce cosa importante: los de Veracruz son de 3 de Julio, y anuncian que todo el lo del Sr. Mora, y del exacto desempeño de su comisión , no obstante , cedien pais adhiere á la declaración de Cuernavaca, que devuelve al clero todo el po do á sus deseos, acordó encargar la revisión de las cuentas al Sr. D. Joaquín der que antes tenia, y coloca á Santana á la cabeza del gobierno. Gómez, quien co…</t>
  </si>
  <si>
    <t>Mora, D Narciso García</t>
  </si>
  <si>
    <t>D Narciso García Mora</t>
  </si>
  <si>
    <t>…oluntad hacia los habitantes de Siria; pero lo cierto es, su palacio los que arriba se expresan, y se dió principio á la sesión leyéndose que mientras dure el estado presente de cosas, y haya un solo pueblo en Siria un oficio del Sr. D. Narciso García Mora, fecho en 23 del corriente, dirigido que aspire á ser independiente, el pais no puede llamarse suyo, ni habrá otro al Sr. presidente, acompañándole la cuenta de cargo y data de las cantidades Medio sino la fuerza para obligarlos á obedecer. El gobierno en tales países debe que habían estado en su p…</t>
  </si>
  <si>
    <t>Mora, García</t>
  </si>
  <si>
    <t>García Mora</t>
  </si>
  <si>
    <t>…n con fecha 29 de Abril que la división de Bermudez) mo que se de al público un extracto del resultado de la entrada y salida, para que constaba de 1200 hombres, se había sometido al Presidente en Huancuyo, mayor satisfacción del Sr. García Mora, que asi lo exigió, quedando consigna por cuya razón se esperaba que decidiéndose Ja lucha en favor de las autorida da al fin del acta de este dia una lista de las corporaciones y personas que ge des constitucionales se restablecería la tranquilidad. nerosamente contribuyeron al alivio de la humani…</t>
  </si>
  <si>
    <t>Mora, Garfia</t>
  </si>
  <si>
    <t>Garfia Mora</t>
  </si>
  <si>
    <t>…rmente cito.=Ricafort^= Alejandro Araná, secretario. djstinguido por la bondad de su corazón,.y que nada le,parecía tan oportuno como ejercer en su nombre un acto de beneficencia, distribuyendo el pequeño, que según el oficio del Sr. Garfia Mora existe en depósito, con algo mas que agregaría S. E, entre los indigentes que no habían podido ser anteriormente Afadrid 3 de Setiembre. agraciados. . . La junta, después de dar á S. E. las mas expresivas gracias por las honras ELECCION DE PROCURADORES DEL REINO. que le ha merecido, y las que en pa…</t>
  </si>
  <si>
    <t>Mora, Manuel Jjqstode</t>
  </si>
  <si>
    <t>Manuel Jjqstode Mora</t>
  </si>
  <si>
    <t>…ales,, co ñalamiento $le casos, duración de cada acto, número de puntos para las cen brados por la justicia y pagados por trimestres, y cas» para vivir. Los que aspiren á dicha plaza, dirigirán sus memoriales francos de partes ir D. Manuel Jjqstode Mora* suras, modo -de votar y demás relativo á oposiciones, lo determinaré la Real les, preceptor de latinidad y retórica en dicha vUU.en el iermfaa de LOaUs. &gt;■ EN LA IMPRENTA REAL..</t>
  </si>
  <si>
    <t>Mora, Narciso García</t>
  </si>
  <si>
    <t>Narciso García Mora</t>
  </si>
  <si>
    <t>…a del puerto, acompañado del coro ri&lt;i.=:Conde de Santoven¡a.=Coronel D. Francisco de Verlasco.zrPrior del con nel Campbell, cónsul general de Inglaterra, y se dice que Ibrahim-bajá está vento de Santo Domingo.=:D. Joaquín Gomez.=D. Narciso García Mora. actualmente en JafFa , donde espera 4 su padre. No debe inferirse sin embargo, Convocados los S.es. vocales de la junta superior demandad por el diario de que porque Ibrahim no levante mano en la conscripción son menos sinceros sus este mismo día, de ó;den del Excmo. Sr. presidente gobernador, se r…</t>
  </si>
  <si>
    <t>Mora, Sebastian</t>
  </si>
  <si>
    <t>Sebastian Mora</t>
  </si>
  <si>
    <t>…Ezpcleta, eL Vales no Consolidados, *2 nueve díet y seis «vos y lag al eonado; xaf al 98 Abril mente coronel de dicho Real cuerpo D. Tomás Yarto, y el segundo coman Deudaó vol.negociable del 5 p. 100 i papel, 00. dante de Africa D. Sebastian Mora, que puestos á la cabeza de sus respectivas Id. sio Interes, 00. fuerzas «tan los primeros que dieron ejemplo, no siéndome posible insertar los Acciones del banco españolado. nombres de los señores gefes y demas individuos de la columna del valiente CAMBIOS. brigadier Benedicto, que se hicieron acr…</t>
  </si>
  <si>
    <t>Moraes</t>
  </si>
  <si>
    <t>…o asi, cuando se les sujeta á examen y discusión determinada. En dados del tercer regimiento de caballería, á los cuales está dando alguna regu« cuanto á los impuestos, ¿se podía acaso reducirlos? La misma Cámara que ha landad el comandante Moraes para seguir después el alcance do ios fugitivos. aprobado los presupuestas, ha visto que era cosa imposible. ¿Y alterarlos o EJ mismo gefe dice con fecha del i ó que habiendo sabido que el genenl cambiar su forma! La misma dificultad se presentaba: poco después de la re Abreu había mandado que se r…</t>
  </si>
  <si>
    <t>Moragués, Guillermo</t>
  </si>
  <si>
    <t>Guillermo Moragués</t>
  </si>
  <si>
    <t>…figura apaisada coa los compendios de cada-alfabeto, distinguiéndose Extracto del parte remitido por el gobernador civil de las islas Baleares, las panes de esra eolecciun del modo siguiente. Colección de 36 láminas de solo alfa D. Guillermo Moragués, con fecha de 30 Abril último. betos con caprichos y la portada, 28 rs.=rColeccion de 46 id. de los mismos alfabetos, Continúa la obra dé la nueva acequia de la capital y se ha aumentado con- lazos, grupos y ampliaciones, 36 rs. i y toda ia colección reunida de Í2 láminas del tamaño de medio pliego…</t>
  </si>
  <si>
    <t>Moragues, Guillermo</t>
  </si>
  <si>
    <t>Guillermo Moragues</t>
  </si>
  <si>
    <t>…s la gran cruz americana de Isabel Real órden señalando día para la apertura solemne de la* Córtes generales del la católica. (Id.) ' reino, y mandando que para dicha ¿poca se hallen convenientemente pre Real decreto mandando que D. Guillermo Moragues continúe en el gobierno parado* los edificios en - que han de celebrar sus sesiones uno y otro Esta-1 Civil de las islas Baleares, y nombrando para el de Barcelona i D. Felipe . mentó. (Id.) ■ . 1 Igual. (Dúm. 96) , ‘ - sobre U provisión de beneficios en la* provincias vascongadas y reino do' __ Co…</t>
  </si>
  <si>
    <t>…la suerte de escapar no volverán á reunirse tan pronto, pues cada uno tomó distinta dirección. Extracto del parte que da el subdelegado del Fomento de las No puedo menos de elogiar á V. S. el brillante comportamien Islas Baleares D. Guillermo Moragues, con fecha de 30 de Mar to de una mitad de valientes húsares que me siguió, asegurándole zo último. al mismo tiempo, que lo que se tarde en avistar la caballería del Elogia el estado en que se halla la agricultura en aquellas islas, rebelde Merino es el hueco que puede haber en lograr nuestro yque…</t>
  </si>
  <si>
    <t>…ombeüe», REAL DECRETO. con fecha de 23 de Abril. 2. ° Otra del ministro extraordinario de Cerdeña, barón de Vighet, de 23 Habiéndome dignado admitir la dimisión del gobierno civil de de Abril. la provincia de Barcelona, hecha por D. Guillermo Moragues, ven 3.® Otra del ministro residente de Baviera , del 25 de Abril. go en mandar que continúe en el de las Islas Baleares.que obtenía, 4-° Otra del ministro de Negocios extrangeros del .reino de Wurrerrbcrg, y confiero aquel á D. Felipe Igual, ministro que fue de la Real au fecha en Siutlgard el 18…</t>
  </si>
  <si>
    <t>Moragues, Joscf Luis</t>
  </si>
  <si>
    <t>Joscf Luis Moragues</t>
  </si>
  <si>
    <t>…ierno francés. Esta es la posición que hemos tomado por esta parte; espera mitida á esta ciudad de voto en Cortes. En seguida dijo utl discursa alusivo á mos que no desaprobareis que la conservemos.” la ceremonia el alcalde mayor D. Joscf Luis Moragues, á que contato S. E. Replica el Sr. Maueuin, que si el ministro cree que nada hav que rezeiar el conde de Montenegro en términos análogos, y levantando el regio estándar- I en cuanto á Polonia, á Italia y á los Estados alemanes de segundo orden, la te dió el grito de fidelidad que acostumbran los m…</t>
  </si>
  <si>
    <t>Moraleja, Pedro Antonio</t>
  </si>
  <si>
    <t>Pedro Antonio Moraleja</t>
  </si>
  <si>
    <t>…D. Fe- - tamente en negocios civiles y criminales, formándose sobre esta base lijie Urbina y Daoiz, alcalde del crimen de la de Valencia; y para el arreglo de salas. Tendréislo entendido, y lo comunicareis á quien esta resulta á D. Pedro Antonio Moraleja, teniente de asistente de --corresponda = Está rubricado de la Real mano = lio el Pardo á 19 Sevilla. Tendréislo entendido, y lo comunicareis á quien corresponde Noviembre de 1854. = A D. Nicolás María Garelly. da.=Está rubricado de la Real mano.=En el Pardo a 19 de Noviem bre de 1854=A D. Nicolás…</t>
  </si>
  <si>
    <t>Morales</t>
  </si>
  <si>
    <t>…anterior por las ra Ja junta eclesiástica. Acaso se pasen dos, tres ó cuatro años sin que se vuilíque zones que se han manifestado en su discusión.” la reforma, que es objeto de dichos trabajos, y para ese tiempo pueden resul El Sr. Morales apoyó el parecer del Sr. marques de Montevirgen, aña tar las vacantes de todas las catedrales, porque los que las poseen son de una diendo que ya se autorizaba al Gobierno por el art. 5.° para remunerar á es edad avanzada, y están expuestos á morirse ó retirarse. tos canónigos con la facultad que l…</t>
  </si>
  <si>
    <t>…nque parciales; ha oscurecido, por decirlo asi, ia opinión de algunos de Después de nn leve debate, en que tomaron parte los dos señores preo nuestros generales que se ban separado del mando, y bao salido desairados pinantes y el Sr. Morales, y manifestó quedar satisfecho el Sr. Montévírgen, despues de conocerse su ntéiilo por otras servicios anteriores muy importantes. se declaró el punto suficientemente discutido , y se aprobó el artículo , aña «Yo no püedo, ni quiero, ni debo atribuir á incapacidad de esfos gefes diendo á su 'final…</t>
  </si>
  <si>
    <t>…ue todos se sujetasen en laa. rtee muy lisonjera-4 primer* vista, cual es que solo se atienda á la capacidad y discusiones al tenor terminante de él. al mérito, eslo es enteramente inasequible; porque la experiencia do'25 añot El Sr. Morales; «Estaba persuadido de que ningún Sr. Procurador se n*e ha hecho ver que en toda* las'carreras se atiende, no según el méi &gt;to y ca- opondría al artículo en cuestión; creo también que no puede existir ningún, psei Jad de los iugeios, sinopor la antigüedad. Yo no conozco cuerpo ninguno, gobierno rep…</t>
  </si>
  <si>
    <t>…y los prefiera en igualdad de casos rezca, proporcionarán sugetos idóneos, de aptitud conocida, acostumbrados á la 4 cualesquiera otros individuos.” exactitud y subordinación , pundonorosos; en vez de que 3hora suele malograr El Sr. Morales: «No es el ínteres que me inspira siempre una clase á se el efecto de estas mercedes, porque no siempre tienen los agraciados el me que he tenido el honor de pertenecer el que me hace tomar la palabra, sino el ntó que se requiere, y las deben al favor o apoyo de ios protectores. deber que me impone…</t>
  </si>
  <si>
    <t>…lal ilir-tre general Santana. La catedral estaba suntu'^ámente adornada ; celebró NOTICIAS EXTRANGERAS. de pontifical el IJmo. Sr. Portugal, que de«.p.io llevo el bacrameró.» en la pro cesión , á la que taiífbien a^r-tio el limo. Sr. Morales, toda'- las comunidades y corporaciones: indudablemente nunca la procesión del 0&gt;rpus hi &gt; mas •cr íenme y concurrida que la de este día; los repiques a vuelo en todas las iaiesia*, (Conúímacion del correo anterior.) las salvas de artillería , las formaciones militares, y ei adorno Je la ci.dad, AM…</t>
  </si>
  <si>
    <t>…s se graduará según la fuerza de la compañía.1'’ Aprobado. Se abrió á las doce, y leída el acta de la anterior quedó aprobada. Art. 9.° «En cada batal-on ó escuadrón habrá un consejo de administrad- Se dió cuenta de un oficio del Sr. Morales , Procurador por la provincia clon y disciplina, compuesto de nueve vocales, que serán: el comandante y dos de Sevilla, solicitando dos meses de licencia en atención á su quebrantada sa ayudantes, un capitán, un teniente , un subteniente ó alférez, un sargento, un lud. El Estamento seda concedjó. c…</t>
  </si>
  <si>
    <t>…éliíeií cónWfbhcial idad.afctratarse del grave asunto de señalar Jos presupuestos de gastos de to yentes. ' * ' J 1 1"" 1 ' 1 :'J ■'* :ct&gt;'.cnx-: da la ¡monarquía? Una de les posas que mas-pesan en el-fondo de la conciencia .-"El Sr. Morales, como individúo de Ia conríisronhíéo’iirytttíñéñteú enrjfa— de los Procuradores es la consideración de la conüanza de nuestros comitentes, vor de su dictamen, y dijo entre otras cpsás qué-el concé'd¿l"Vé¿ílrtbs,“á S."M, y la influencia que tendrá que aparezcamos como justos é inexorables. no es dar…</t>
  </si>
  <si>
    <t>…anti facer cualquiera otra deuda , porque no C9 mas que la~ obligación que todos te dad mucho mayor para el objeto de que se trata.” nemos de dar una parte para conservar el todo. Antipas] ■veremos con qué pun El Sr. Caballero«El Sr. Morales ha extrañado las consecuencias que he tualidad se pagi« otras; pues si bien es cierto, como yo lo he visto, que en sacado de su discurso, pero son muy sencillas. S. S. dijo que en atención á lo algunas partes se vende una sartén para sacar una pé$éta de contribución, á ese que la Nación española de…</t>
  </si>
  <si>
    <t>…a justicia. Siempre qiie ocqrren en las Naciones Estaba firmada por los Eres. Chacón, Lope», Pedraja, Abargucs, Domínguez, estas tormentas políticas, de las que nadie puede salvarse, es menester tomar De Pedro, Gqlwey , Belmente, Caballero, Morales, Alcali Galiano de Al las cosas como están, no pomo debieran ser, porque ese ppetna de retroacción bornoz, Rodríguez Vera, Osea, Alvarez Sotomayor, Pizarro, Olmedillq, trae mas inconvenientes que ventajas. González-^ D Antonio), marques de Espinardo, Polo y Monge, condé de »*Restablecido el Gobiern…</t>
  </si>
  <si>
    <t>…Rey, que asignó al Infante E&gt;. Sebastian las cantidades referidas. Repito debía exigírsele como á los demas que be indicado, y se hallaban en Madrid.” que llamo la atención del Estamento, porque si esa razón se nos pone por de El Sr. Morales, como individuo de la comisión , dijo que esta había reba lante, no podrefñosi efectuar jamas ninguna de las reformas que hay que hacer jado de ia asignación del Infante D. Sebastian todo lo que había creido deber en las pensiones, :cn lás contribuciones! en una palabra, en los desórdenes de rebaja…</t>
  </si>
  <si>
    <t>…ién; si es nulo el principio, nulos rece podría evitar en mucha parte recurrir al ruinoso medio del empréstito. El serán los efectos. Sr., marques de Someruetos ha dicho que esta cuestión debía no decidirse por «Acaba de decir el Sr. Morales que los actuales poseedores de los créditos los intereses, sino por la conveniencia y Ja política, por no ser el Estamento ignorarán tal vez, si estos fueron bien ó mal adquiridos, y que ellos no tienen un tribunal sino un cuerpo legislativo. Me permitirá S. S. qué no concuerde culpa del mal origen…</t>
  </si>
  <si>
    <t>…viduos que lo componen. hacia los gefes de la Milicia; pero este proyecto supone que- los Mílicaiw no ¡¡ « El consejo nombrará el fiscal.” hayan de estar bajo el yugo de las ordenanzas; y lo supone con lobradtsírms A petición del Sr. Morales se lepó el artículo 96 del reglamento; y leí razones, y tan patente», que seria inútil exponerlas. Por lo mismo, no siendo do dijo qqc con arreglo ¿ él, lá- modificación presentada por la comisión al ( posible que haya tal subordinación _m taY rigor, es indispensable buscar los artículo de su proye…</t>
  </si>
  <si>
    <t>…particular , para lo ticulo, á pesar de que conozco la injusticia'con que se grava á algunas provin cual ai aún estamos autorizados nosotros.” ^ cias relativamente a otras: he pedido la palabra solo pata hacer una observación. El Sr. Morales: «Ademas dé lo que acaba de manifestar el Señor pre En la ordenanza de reemplazos''que esta en uso, y por-la cual se pretende na opinante,.debe tener presente ei Estamento que puede suceder fácilmente que cer esta nueva quinta, se previene que los que quieran poner un sustituto para en l.° de ‘Ener…</t>
  </si>
  <si>
    <t>…señor, tai fue el chubasco que se levantó El Sr. Crespo de Tejada; «Estoy de acuerdo con el Sr. Caballero en en el Congreso y el público al oir tan inesperada como escandalosa expresión, ue se admita á discusión la indicación del Sr. Morales, en razón de que los que el Sr. Diputado Reina tuvo que desaparecer como por escotillón. Esta fue ? ondos que procedieron del empréstito de Guebhard, como he manifestado la primera vez que se oyÓ en España hablar de un absolutismo , que luego se anteriormente, ni directa ni indirectamente entraran…</t>
  </si>
  <si>
    <t>….endose de-larado que sí, se pasó á la votación, la cual se pidto y Gobierno , nos hallamos de lleno en el caso de aplicar la regla establecida por acordó fuese nominal. el Sr. Martinez de la Rosa. Se volvió á leer la adición del Sr. Morales, y verificada la votac;on «A seguida ha hecho la observación poco exacta de que estando por el resultó aprobada dicha adición por 62 votos contra 3- , habiéndose absteni no reconocimiento, nos asemejaríamos al Gobierno absoluto dei año 23 que do de votar 10 Sres. Procuradores, siendo el total K«9,…</t>
  </si>
  <si>
    <t>…e; para lo cual creo yo que no seria el primero que se muy perjudicial á los pueblos , y que no será posible quitar. prestase el Sr. conde de las Navas.” «Se ha dicho que la contribución de que se trata es un tributo de los mo El Sr. Morales: «Antes de entrar en la cuestión, diré que desde el mo ros. En el fondo es esto una verdad; pero según se ha presentado no lo hallo mento que tuve el hónor de ocupar este sitio me consideré diputado de la Na exacto ni conforme con la historia. Esta dice que los diezmos en España traen ción española…</t>
  </si>
  <si>
    <t>Morales, Angel Mjr.jao</t>
  </si>
  <si>
    <t>Angel Mjr.jao Morales</t>
  </si>
  <si>
    <t>…grado le demarca á un vicepresidente, limo. ^&gt;r. obispo de Mechoacan D. Juan (..octano Po;ti;gui, c ir as.Menria traspasadas con escándalo en las leyes de reformas eclesiásticas, y las de ostra del limo. Sr. obispo de Sonora, Dr. D. Angel Mjr.jao Morales, F; bachi cismo que sancionó y llevó al cabo con perjuicio de muchas beneméritas y ller D. Francisco Andrade pronuncio un J/omu oratorio andigo a! objeto, honradas familias que fueron envueltas en la desgracia de los desterrados , lle en el que con bastante propiedad comparo la Mtuacion de los tres…</t>
  </si>
  <si>
    <t>Morales, Antonio</t>
  </si>
  <si>
    <t>Antonio Morales</t>
  </si>
  <si>
    <t>…S. Gerdoimo, y en Cádiz eo el dé Moya. ----- Por providencia del alcalde mayor de la ciudad de Cdrdobá se cita' graciados en semejantes-ocasiones. Varios de ellos es probable pertf-. á los parientes de Doña Flora Gamero, viuda de D. Antonio Morales, na ciaron en aquella noches y en efecto, el fraile Salaverri, que iba tural de la villa de Palma del Rio y vecina de dicha ciudad, bija legi en una caballería, quedó alli muerto sin poder ir mas adelante. Co- tima de D. Antonio Gamero y de Doüa María LlBan y Salvador, natura algún faccioso, presen…</t>
  </si>
  <si>
    <t>Morales, Caballero El Sr</t>
  </si>
  <si>
    <t>Caballero El Sr Morales</t>
  </si>
  <si>
    <t>…ebe asignar una canti facer cualquiera otra deuda , porque no C9 mas que la~ obligación que todos te dad mucho mayor para el objeto de que se trata.” nemos de dar una parte para conservar el todo. Antipas] ■veremos con qué pun El Sr. Caballero«El Sr. Morales ha extrañado las consecuencias que he tualidad se pagi« otras; pues si bien es cierto, como yo lo he visto, que en sacado de su discurso, pero son muy sencillas. S. S. dijo que en atención á lo algunas partes se vende una sartén para sacar una pé$éta de contribución, á ese que la Nación española de…</t>
  </si>
  <si>
    <t>Morales, El Sr</t>
  </si>
  <si>
    <t>El Sr Morales</t>
  </si>
  <si>
    <t>…asignar una canti facer cualquiera otra deuda , porque no C9 mas que la~ obligación que todos te dad mucho mayor para el objeto de que se trata.” nemos de dar una parte para conservar el todo. Antipas] ■veremos con qué pun El Sr. Caballero«El Sr. Morales ha extrañado las consecuencias que he tualidad se pagi« otras; pues si bien es cierto, como yo lo he visto, que en sacado de su discurso, pero son muy sencillas. S. S. dijo que en atención á lo algunas partes se vende una sartén para sacar una pé$éta de contribución, á ese que la Nación española de…</t>
  </si>
  <si>
    <t>Morales, Francisco</t>
  </si>
  <si>
    <t>Francisco Morales</t>
  </si>
  <si>
    <t>…Teruel. eeD. Juan Romero Alpuente. provincia dé Soria So hallaba en el ejército del Norte. Santiago de Cuba.ee D. Pedro Echavarria y Ogaban. El Sr. Ayala dijo que el Sr. Saint Yuste habla salido ya d« PuertorPrín Guada lajara. = D. Francisco Morales. cipe para Marsella. I El Sr. González (D. Antonio) manifestó que la casualidad de haber lle Señores cuya elección consta, por las actas, y que han avisado hallarse en gado á esta capital.el Sr. Scoane facilitaría la contestación que se esperaba al ofi fermos. cio que se habia pasado sobre su renunc…</t>
  </si>
  <si>
    <t>Morales, Francisco Javier</t>
  </si>
  <si>
    <t>Francisco Javier Morales</t>
  </si>
  <si>
    <t>…as, y Gómez Inguanzo: para la de Bandé á D. Miguel Ortega: para la de en Munich mismo han tratado dé prender fuego á varias casas, pero se les ha cogido antes de qué pudieran causar daños notables. De esto ha nacido la vozLo&gt;ja á D. Francisco Javier Morales, nombrado últimaineme para la de que se habían descubierto cartas demagógicas, aunque no be sido mas que de Cartagena: para la de Motilla del Palancar y Campillo de Alto- una falsa alarma. Sin embargo, se ven muchas patrullas en las calles', y se ha buey á D. Pedro Henrique Montero: .para la de Ñav…</t>
  </si>
  <si>
    <t>…balternos, pues los diplomáticos no están exceptuados de la ley general de rinos, para la alcaldía mayor de Bande £ D. Miguel Ortega; para la de Loja £ la naturaleza -humana, que señala ciertas ¿pocas de reposo, ó prescribe la ne D. Francisco Javier Morales; para la de Morilla del Patancar y Campillo de cesidad de atender á sus negocios; que este es el caso en que accidentalmente Altobuey á D. Pedro Henrique Montero; para el corregimiento de Carrion de se halla la Gran-Bretaña con respecto á los enviados de las Potencias amigas; los Condes £ D. Agustí…</t>
  </si>
  <si>
    <t>Morales, Francisco Tomas</t>
  </si>
  <si>
    <t>Francisco Tomas Morales</t>
  </si>
  <si>
    <t>…D. Antonio tencias de Europa, y á la Inglaterra con especialidad, el tratado de Marta Alvarez, que pasa de comandante general de las islas Cana alianza concluido ^con la Rusia , declara el embajador la necesidad rias en relevo de D. Francisco Tomas Morales, á quien S. M. ha en que se halla por lo tanto el gabinete de determinar hasta qué tenido á' bien destinar de cuartel i la plaza de Cádiz. punto han sido ó pueden ser turbadas por este tratado nuestras re laciones con aquel imperio. Somete á la consideración de los mi PARTE NO OFICIAL. nistros de S…</t>
  </si>
  <si>
    <t>…a dignado limitar á 15 días improrpgables. el término de 90 concedido á Dios guarde á V. E. muchos años. Santa Cruz de Tenerife Enero, 30 de has. Incitadores para U puja del cuarto en las subastas comunes. De Real or 1834*=Excmo. Sr.=Francisco Tomas Morales. = £xpmo. Sr. Secretario 4f Es tado y del Despacho de la Guerra. den &amp;c. Dios &amp;c. Madrid 21 de Marzo de 1834-=Búrgos. ? * ministerio de ia guerra. PARTE NO OFICIAL. jExposición* -liOTICIÁS EXTRAKGKRA&amp; . 'Comandancia general de Canarias. =Excmo. Sr.: Si los sentimientos del Córazoa del hombre se mani…</t>
  </si>
  <si>
    <t>Morales, Juan de Mata y</t>
  </si>
  <si>
    <t>Juan de Mata y Morales</t>
  </si>
  <si>
    <t>…propios, sobre el co^te que tuvo la úl D. F. I................................................................... ................................... 80 tima obra que se hizo en el puente llamado de Santiago, y sobre el producto D. Juan de Mata y Morales, alcalde del barrio de Jesús Nazareno que por un quinqué.:¿) puede producir el portazgo; pues ya se ha hecho el re 33 rs. vn. que el Excmo. Sr. duque de Aledinaceli y de Santisteban ha come.miento y for.r.jCo ci plano correspondiente por ei arquitecto D. dado para socorro de las necesidades de esta…</t>
  </si>
  <si>
    <t>Morales, Pedro</t>
  </si>
  <si>
    <t>Pedro Morales</t>
  </si>
  <si>
    <t>…roja:eo I» eode de l.° del corriente, avisan que ios habitante* de sus respectivo» diatrito» goza Santander ea la de Riesgo: ea Santiago en la de Rey Romero: eo Sevilla ea la de ban de perfecta salud. Hidalgo: en Soria en casa de D. Pedro Morales: en Tarragooa en la de Berdeguer: en Toledo en la de Fernandez; en Tortosa en la de Puigrubl: en Valencia en la de Nav varro: en VaUadoiid en la de Rodríguez: eo Vitoria en la de Barrio; y en Zaragoza en la de Polo, El alcalde rtiayor de Nava*hermosa D. Josef García Suelto da cuenta dé ha ■—-Nuevo…</t>
  </si>
  <si>
    <t>Morales, Rafael</t>
  </si>
  <si>
    <t>Rafael Morales</t>
  </si>
  <si>
    <t>…miento de V. E. por si tiene á bien elevarlo al de S. M. la Reís-a Gober de Valles, á los que puso en precipitada fuga y dispersión. nadora. Dios &amp;c. Valladolíd 23 de Diciembre de 1834.=Excm£s.Sr.=José «El teniente del 5.° ligero D. Rafael Morales, comandante del destacamen to móvil.de Alcanar, aprehendió el dia 18 a 4 rebeldes armados, los cuale» han sufrido el condigno castigo. »En virtud de las instrucciones que tengo dadas al comandante D. Vicen te Llorens, situado en la izquierda del Ebro, verifico dicho gefe en los días 18 El capitán g…</t>
  </si>
  <si>
    <t>Morales, Ramón</t>
  </si>
  <si>
    <t>Ramón Morales</t>
  </si>
  <si>
    <t>…Méjico fecha ut supra.~Aguilera, Escudero, secretarios.” Núm. 2.® Excmo. Sr.: »Lps mozos de la Cámara de Representantes me. Según lo habíamos anunciado, la fiesta nacional Bel 18 de Octubre so han informado que el gefe de palacio D. Ramón Morales , les ha recogido á las lamente ha sido celebrada por la guardia cívica y el batallón de la . tropa de siete de hoy, de orden del Excmo. Sr. presidente, las llaves del local y demas línea de esta ciudad. Ni los austríacos, ni los prusianos, que ocupan los al oficinas de dicha Cámara-; y como yo no…</t>
  </si>
  <si>
    <t>Morales, Vicente</t>
  </si>
  <si>
    <t>Vicente Morales</t>
  </si>
  <si>
    <t>. . | SI D. Alejajudrp^Oíl de la Vegaabogado y empleado; D. Vicente Morales, 2Vam. 2.° Real academia de Medicina y Cirugía de Granada. Excmo. Sr.t propicianb^y empleado; 1). Agapito Mena, empleado en la empresa; TÍ. Ma Ciando movido del zelo que caracteriza a V. E. y -á esa junta superior que nuel Isidro, médico , y D. Diego Tro Gartian, rector de los Irlandeses. 3.* La pr…</t>
  </si>
  <si>
    <t>Moralit</t>
  </si>
  <si>
    <t>…raza el proyecto, cuándo se hable de 1 te, no quisiera qúe los que han hablado en conba^’se«OnteirtaraQ &lt;»fl c*pC^ fellái diré mi opinión-” ' Y ner teoríasy sínó que desearla que .mostrasen hechor, yi dijeran: «este gasto im ■ Él'Sr. Moralit:« Se puede impugnar fácilmente , y mas no haciéndolo porta tanto , tal otro cuanto 8cc.” Se supone que Máyoijue gastar algunos* mi-» 'cOh'la precisión lógica y severa que corresponde en este sitio.1 El Sr. Caballero &gt; llónes en lujo, pues -de esté y de los'demás gastos Oó1-puede prescindir ia Rei ;…</t>
  </si>
  <si>
    <t>Morate, D Juan Francisco</t>
  </si>
  <si>
    <t>D Juan Francisco Morate</t>
  </si>
  <si>
    <t>…e ideas, sino por aquellos otros cuya opinión no puede Igualmente manifestó dicha comisión que habiendo examinado y hallado «er sospechosa. Ni era posible otra cosa , pues cualquiera que fueran sus ideas conforme la solicitud del Sr. D. Juan Francisco Morate, electo Procurador políticas, no podían prescindir de ser españoles, de conocer sus deberes, y sen por la provincia de Guadálajata, relativa á que se le exonerase de dicho en tir lo doloroso del sacrificio que se exigía de su pundonor y delicadeza. Asi, cargo, á causa de no ser sus rentas de las re…</t>
  </si>
  <si>
    <t>Morate, Juan Francisco</t>
  </si>
  <si>
    <t>Juan Francisco Morate</t>
  </si>
  <si>
    <t>…eas, sino por aquellos otros cuya opinión no puede Igualmente manifestó dicha comisión que habiendo examinado y hallado «er sospechosa. Ni era posible otra cosa , pues cualquiera que fueran sus ideas conforme la solicitud del Sr. D. Juan Francisco Morate, electo Procurador políticas, no podían prescindir de ser españoles, de conocer sus deberes, y sen por la provincia de Guadálajata, relativa á que se le exonerase de dicho en tir lo doloroso del sacrificio que se exigía de su pundonor y delicadeza. Asi, cargo, á causa de no ser sus rentas de las re…</t>
  </si>
  <si>
    <t>Moraüues, Antonio</t>
  </si>
  <si>
    <t>Antonio Moraüues</t>
  </si>
  <si>
    <t>…rvando los movimientos del enemigo no creí conve nuel labro, P. Juan Cíñate», D. Jo&gt;e Ramón Mackena, D. Joaqirfn Alon niente abandonar aquel punto en tales circunstancias, y mandé ai general Mos so, D. Francisco de Paula Encobar, D. Antonio Moraüues, D. Anselmo Blastoso, de U plana mayor, que pasase' á vanguardia y eligiese la primera ser, D. Antonio Bciuii y D. Manuel Pavía, avadante de órdenes del barón &lt;ft posición ventajosa que se presentase á la salida del bosque; con este objeto se Meer. Igual honorífica mención debo hacef de D. Miguel P…</t>
  </si>
  <si>
    <t>Morazan</t>
  </si>
  <si>
    <t>…azado la causa del gobierno y de la religión. del maL Las noticias de Guatemala representan aquella república, como de cos «Hemos sabido con gusto que la sitaacion en que se hallan los asuntos de tumbre, en la mayor confusión. El general Morazan se presentó impensada Oriente no ofrece ningún recelo. Como la nación francesa prefiere la paz, sin mente en Sonsonale y tomó el mando. Se asegura que su proyecto es declarar temer la guerra, nos es sumamente grato todo lo que anuncia, que no se tur se dictador. El Congreso que estaba convocado par…</t>
  </si>
  <si>
    <t>Morca, Archipiélago y la</t>
  </si>
  <si>
    <t>Archipiélago y la Morca</t>
  </si>
  <si>
    <t>…¿De qué le serviría común/reinó la mayor armonía, y todos contribuimos unidos Con noble emu ahora estando separado de él por las pociones del virev; habiendo perdido el lación y con la mejor voluntad al bien general/' {Aprobación general.') Archipiélago y la Morca , y estando va reducido su influjo sobre Trípoli y 1 .iContinúa*el examen de los demas párrafos del proyecto, y después de una nez á los simples homenages que recibe siempre que sube al trono de estos breve discusión quedan todos aprobados sin alterarlos en cosa'alguna. países algún nuevo bajá: (AL…</t>
  </si>
  <si>
    <t>Morder</t>
  </si>
  <si>
    <t>…lución en que estaba de mantener intactos los privilegios de la uni ^ Idem 14- versidad. Sabemos que ha salido de Brest un buque de guerra que lleva á bordo al La Puerta ha accedido finalmente á la pretensión de M. Manos: de modo barón Morder, encargado de Negocios de Francia en la corte de Lisbpa* que allanadas las dificultades que se oponian á la venida del representante grie go, &lt;es de creer que no tardará en trasladarse á esta capital, de donde va á salir FRANCIA* el Mihmandar nombrado para acompañarle. París 12 de Febrero. Osman-ba…</t>
  </si>
  <si>
    <t>Moreno</t>
  </si>
  <si>
    <t>…ado á las quejas de D. Manuel Moreno sobre la ocupación de Sulamjnca. (el contador de la provincia de) las Lias Falkland, que este era un derecho indisputable de la Inglaterra. En Sin Agustín, (el ayuntamiento de) consecuencia el Sr. Moreno ha recibido instrucciones de su gobiernó, prescri San Fernando, (varios jovenes de la ciudad de) biéndole que trate de someter este importante negocio, de acuerdo con el go Sanliícar de Barrameda. (el tribunal de comercio de) bierno ingles, á Ja mediación de alguna de Jas grandes Potencias de Europ…</t>
  </si>
  <si>
    <t>…quiridas, que no ha espado faccioso algunóde*e*ía escudos españoles que su autor, un arquitecto griego, ha recibido. acción sin que haya sido herldoiXa pérdida que ha tenido la Mtlíciá urbana que (G. &lt;te Augsburgo.) mandaba dicho comandante .Moreno, ha consistida^ el Urbano mucho Don</t>
  </si>
  <si>
    <t>…ciales han ido á los Dardaqelos, y se ha envia (Ghbi.y do uú expreso a Odesa" para llevar, á lo que se cree, despachos é instrucciones ai gobierno ruso y al gobernador general de Odesa. Todo esto producé una ...... So dice que el general Moreno que acompaña ó DI Oídos es d' mismo franeje actividad; pero no nos tranquiliza en manera alguna, porque se teme que mandó pasar por las armas-ai desgraciado general lorrijos y á sus compa cualquier nuevo esfuerzo, aunque no obstante la mala constitución del país, el ñeros. Nosotros,esperamos que ai…</t>
  </si>
  <si>
    <t>…i tables y excusables en tiempo de guerra, y que el dinero del pueblo esta r' ’, motivos para creer, aunque no podemos asegurarlo positivamente, ba bien empleado .en promover la causa de aquella gente.” El partido tory ha que el' general Moreno ha salido de Lóndres con dirección á Hamburgo. (Jd,} ha variado de ídeasr todavía piensa que es justo euanio puede servir á su siste ma , y que solo sus contrarios son los que deben conformarse i ios principios IXANCIA. de justicia y de moralidad* París 2 de Julio• Es positivo que un despacho teleg…</t>
  </si>
  <si>
    <t>…la Guardia; y que en los demas pueblos pido: mas á pesar de esto Bourmont continúa en sus posiciones de Evora, el de la provincia, inclusa la capital, se disfrutaba de buena salud. Añade que no Pretendiente en Santaren , y el ex-general Moreno con los carlistas en los progresaba la langosta que habia aparecido en el término de Vilches,! cuyo puestos indicados ya de Avis, Frontera, Oalbeas y Abranles. ayuntamiento tenia dadas las órdenes mas estrechas para que con arreglo á Ins A la facción de Cuesta, después de haber sufrido la derrota i…</t>
  </si>
  <si>
    <t>…porción de Dios &amp;c. Cuartel general de Píncio 16 de Abril de 18J14 4 ^as correspondencia muy interesante que acompaño á V. E. ,en laque cinco de la mañanaj=Hxcmo. Sr~José Ramón Rodil.—Exettlen- se encuentran alguna^ cartas del ex-general Moreno que dan una tísimo Sr. Secretario.deiEstado y del despacho de la Guerra. idea -de los .inicuos proyectos que tenia* meditados, y un inmenso equipage de la familiadcL Pretendiente y obispo dé León, qué por Ejército de observación'de vanguardia.'Plana mayor.ccExce- ho/haberse descubierto hasta estp m…</t>
  </si>
  <si>
    <t>…Señora Doña Isabel n, y continúa con excelente disciplina. desaparecido de mi entusiasmó los ardorosos deseos que me hicie Dios guarde á V. E. muchos años. Cuartel general de Guarda ron venir con tanto gusto á las órdenes de este General Moreno, 16 de Abril de 1834, a las doce de la noche.=Excmo. Sr.czjosé por que crey á ser el primero en hacer un acto glorioso por nues Ramón Rodil.=Excmo. Sr. Secretario de Estado y del despacho tro Soberano, imitando á mis compañeios del Norte de quien he d« la Guerra. devido ser la vanguardia. Aquí no h…</t>
  </si>
  <si>
    <t>…o ha queda diestramente por el Gobierno, de acuerdo probablemente con el de Doña Ma— do en toda aquella mitad de Portugal ni una partida de facciosos españoles. El i lia de la Gloria. . gobernador de Badajoz da parte de que el ex-general Moreno con los que te Hará poco mas de un mes que empezaron á notarse en esta plaza, que era nia de varias naciones en Evora, se había retirado á Aviz. el cuartel general del benemérito general Rodil, síntomas de próximas ope raciones. Era frecuente la llegada de correos de la corte; activa la cojnunicaci…</t>
  </si>
  <si>
    <t>Moreno, Angel</t>
  </si>
  <si>
    <t>Angel Moreno</t>
  </si>
  <si>
    <t>…artes, y vn U que no pueden subsistir las demás cl^es del Estado. Un caballero que reserva su nombre.....................................--........... 3*0 La industria se resiente de la filia de agricultura, s\ bim aun no son muy D. Angel Moreno é hijos, sin perjuicio de loque dan i las diputa xensibles su» efecto* , porque no hab endose encarecido notablemente los obje ciones de sus barrios....................................................... .......................... 2000 tos de p.eciso consumo por la* razones indicadas, no ha Habido…</t>
  </si>
  <si>
    <t>…xce años que se'reÉígiS.al fuéifl^.isp^rí^.íe.pefla afiep,t9s¿- --. ' ] . ... •* lentísimo. Sr.: El alférez del primer régim¡ento\de la Gtiardia-Reai de infanLa cas» del Urbano Leoncio Romeo fue saqueada, y su muger sumo la tería D. Angel Moreno, comandante del destacamento df J'sñay^rrada dg pena afrentosa. S Duero, con fecha '5 del actual me da faite, de que habiéndolo teñido de la La casa de D. José Mena Martínez de Ariial» sufrió 4 copspmo de vi justicia de Zazuar, de que én la noche del 4- entre siete y ocho se habían pre no que hizo…</t>
  </si>
  <si>
    <t>Moreno, Cesáreo</t>
  </si>
  <si>
    <t>Cesáreo Moreno</t>
  </si>
  <si>
    <t>…y 2. ° El director convocará la junta particular siempre y cuando lo estimare candad que hablan manifestado varias personas de Chipiona, particularmente conveniente ó lo reclamare algún individuo de la misma por medio de escrito D. Cesáreo Moreno, facultativo de dicha villa, quien ademas de ,»»isrír gratis al memorado director que exprese el motivo. en los dias de mayor angustia, socorrió de su propio peculio á i&amp;Loüas.fami 3. a Son atribuciones de la junta particular toda la parte administrativa del lias: alaba la exactitud y dulzura con q…</t>
  </si>
  <si>
    <t>Moreno, D Juan</t>
  </si>
  <si>
    <t>D Juan Moreno</t>
  </si>
  <si>
    <t>…mino .de villa ——Por providencia dfcl juzgado de 1% capitanía general de Castilla la Nueva, se cite Puebla». Dial. Enfermos. Curados. Fallecidos. á los que se crean con derecho a los tienes que han quedado'por muerte del teniente coronel D. Juan Moreno, para que en el término de 20 dias comparezcan en el referido ■ , juzgado á osar del que tuvieren; con apercibimiento de que no verileándolo les parará Altanar........... .. 22 á 25 Oct.. 23 8 4 perjuicio. ' • Gandesa.......... .. 9,1 á 22 ídem.. . 9 S 00 h Perdió........... t. 24 * 27 ídem.. 6 4 2…</t>
  </si>
  <si>
    <t>Moreno, Francisco</t>
  </si>
  <si>
    <t>Francisco Moreno</t>
  </si>
  <si>
    <t>…accidental del provincial de Lo groño , al teniente coronel capitán comandante de la fuerza dél provincial de Morara.,.. . ... 15 de Julio......... 70 17 4 Segovia D* Gregorio de Saravia, al capitán comandante de la de Compostela D. Francisco Moreno, y al teniente coronel I&gt;. Tomas de Nalda, capitán de Baliteas.... .. 15 y 15 id..... 45 • 5 1Z la segunda compañía del provincial de Logroño, que con ella y su teniente D. Fernando Bobadilla, se condujeron con la mayor bizarría: el espitan co PROVINCIA DE SBVIUA. ’ mandante de la columna de Sodupe…</t>
  </si>
  <si>
    <t>Moreno, Joaquín Montesoro y</t>
  </si>
  <si>
    <t>Joaquín Montesoro y Moreno</t>
  </si>
  <si>
    <t>…ado bajo uno de sus aspectos el sistema occidental y meri dional ; hemos visto cómo se presentaba en el Norte; veamos cómo se presenta Extracto del parte remitido por el gobernador civil de la provincia de Te en el Mediodía. ruel D. Joaquín Montesoro y Moreno con fecha 9 de Junio actual.' El mediterráneo le pertenece. Es su lago y su medio de comunicación. El Ha concedido varias licencias para repartir grano de los pósitos , y se itnreino de Ñapóles se aproxima cada día mas á este sistema, y la Cerdeña está truyeo algunos expedientes sobre terrenos incu…</t>
  </si>
  <si>
    <t>…l tiempo.néfica Madre. Ex tracto djcl parte remitido por. c [conde de Cabarrús, gobernador civil de Extracto del parte remitido por el gobernador civil de la provincia de Te la provincia de Patencia, con fecha de Í6 de Mayo. ruel D. Joaquín Montesoro y Moreno con fecha de 6 de Mayo último. La junta directiva del camino de Herrera y la de la villa de Amusco para Trata de dar toda la extensión posible al riego en las llanuras inmediatas al la abertura del rio Urieza han continuado sus trabajos. rio Celda , yde excitar 4 los labradores 4 que sustituyan 4 l…</t>
  </si>
  <si>
    <t>…unto de Ja granja de S. Andrés como i la una del dia, en donde después Extracto del parte remitido por el subdelegado de Fomento de la provin de haber dado el descanso preciso, emprendió de nuevo la marcha con direc cia de Teruel D. Joaquín Montesoro y Moreno con fecha de 31 de Abril 61* ción á los montes de ote pueblo , en medio de una tenebrosa tempestad, cono timo ciéndose en este momento el decidido é intrépido valor de los voluntarios Ur Ha excitado y excitará sin cesar paVa la replantacion y cuidado de las mo banos de esa capital , quienes están d…</t>
  </si>
  <si>
    <t>Moreno, Joaquin Montesoro y</t>
  </si>
  <si>
    <t>Joaquin Montesoro y Moreno</t>
  </si>
  <si>
    <t>…ardiente zelo hasta conseguir el objeto que me he propuesto. 2001 á 2500.................... i . . 1,561. «Dios guarde á V. E. muchos años. Teruel 14 de Febrero de 1834*=Ex- 2501 á 3000........................... 832. celentísimo Sr.=Joaquin Montesoro y Moreno^aExcmo. Sr. Secretario de Es 3001 i 4000........................... 861. tado y del Despacho del Fomento general.” 4001 4 5000 y de ahí arriba. 999. Total de propietarios........................ 10.283,056. El subdelegado de la provincia de Córdoba ha publicado etí el Boletín ofi Resulta de este es…</t>
  </si>
  <si>
    <t>Moreno, Joaquín Mootesoro y</t>
  </si>
  <si>
    <t>Joaquín Mootesoro y Moreno</t>
  </si>
  <si>
    <t>…eferencia á una .jLa.fiqrirf carta-de Nápplcs. que su» Soberaneé llegaron i .Palermo el 19 del pasad», y fueron, recibido* con el mayor entusiasmo. Extracto del parte remitido por el gobernador civil de la prest» da de Ta- ‘ rsei D. Joaquín Mootesoro y Moreno coa facha de $ de JalieacUtL 1j misma Gacetaanuncia que el príncipe Real de Prusia, la princesa Escoto. Sr.: Aunque en alguno» pueblo» de ia prenrincán han desaparecida su espoet-y el principe heredero Henrique de los Países-Bajos, hijo del principa totalmente las cosechas de cereales y otras «ion…</t>
  </si>
  <si>
    <t>Moreno, José</t>
  </si>
  <si>
    <t>José Moreno</t>
  </si>
  <si>
    <t>…el orador , ha salido hasta nuestros de la Cuesta, 4 D. Manuel Paz, que lo son de la misma, 4 I). José dias esa juventud británica tan célebre por la pureza de sus costumbres, la so Ignaciojie Alara, que lo es de la de díceres, 4 D. José Moreno lidez de sus principios religiosos, y la gravedad de sus hábitos ¿Querréis , aña Ramírez, fiscal del crimen de la de Valladolid, á D. Ramón Ortiz dió , que nuestros jóveoes se bagan semejantes á los que frecuentan las escuelas de Varona y 4 D. Ramón María FonSeca : en clase de alcaldes 4 Don de Par…</t>
  </si>
  <si>
    <t>…l María dé parte. Silva. Tomás Montalvo. Sotero Silva. Francisco Alonso. Ventura Bargueño: CUERPOS. todos milicianos Urbanos de dicha arma. IX Pedro Carrasco, sargento segundo Regimiento de Soria, 9.° de Hnea.=Coronel del cuerpo, D. José Moreno, de la Milicia urbana de caballería- Diego García. Justo Moreno. Justo Bar gefe de la brigada de infantería. D. José María Cervera, gcfs del estado ma gueño. Facundo Balairon y Gervasio García, Milicianos d* dicha arma. yor de la división, segundo comandante del cuerpo, graduado de coronel. Don Díg…</t>
  </si>
  <si>
    <t>…os pueblos ma* de la provincia se han presentada uno ó dos casos nuel Fuertes , D. Joaquín Acevedo , D. Manuel de Lucas, D. Angel Domín sospechosos, que hasta ahora no resultan caracterizados, y de este modo confio guez de. Soto, D. José Moreno, D. Francisco Javier Garay, D. Joaquín en poder preservar ¿ estos pueblos de tan horrible azote. García, D. José de Vivero y D. Antonio Bcloso: en álgebra D. Faustino Do Policía general. Me be dedicado á U formación de una matrícula general, mínguez y D. Juan Pardo y Silva;'en geografía elemental D…</t>
  </si>
  <si>
    <t>Moreno, José Ramón</t>
  </si>
  <si>
    <t>José Ramón Moreno</t>
  </si>
  <si>
    <t>…mados y son de talla mas ó menos alta á José Parejo: para la de Señorin de Carballino á D. Francisco Pellico Panlagua: fin de poderlos trasplantar: si el comprador quiere arrancarlos por su cuenta para él corregimiento de Ubeda á D. José Ramón Moreno: para la alcaldía se le rebajará medio real en cada uno; pero si se arrancan por cuenta de la em mayor de TorrecilLi de Cameros á D. Miguel Ibañez: para la de Burgos á presa se pagarán los precios señalados. Se hallan repartidos en los departamen D. Juan Rodríguez Cj1:: cora la de Villarcayo á D. L…</t>
  </si>
  <si>
    <t>Moreno, Juan</t>
  </si>
  <si>
    <t>Juan Moreno</t>
  </si>
  <si>
    <t>…villa ——Por providencia dfcl juzgado de 1% capitanía general de Castilla la Nueva, se cite Puebla». Dial. Enfermos. Curados. Fallecidos. á los que se crean con derecho a los tienes que han quedado'por muerte del teniente coronel D. Juan Moreno, para que en el término de 20 dias comparezcan en el referido ■ , juzgado á osar del que tuvieren; con apercibimiento de que no verileándolo les parará Altanar........... .. 22 á 25 Oct.. 23 8 4 perjuicio. ' • Gandesa.......... .. 9,1 á 22 ídem.. . 9 S 00 h Perdió........... t. 24 * 27 ídem.. 6 4 2…</t>
  </si>
  <si>
    <t>…e coronel graduado, capitán D. José Aguirre; los capitanes D. José según, resulta del siguiente María Gurrea y D. Félix Miranda; el capitán graduado, teniente D. Antonio Parte sanitario. Sánchez; el teniente.graduado, subteniente D. Juan Moreno; los subtenientes D..Juan Orus y D. José Erefias; los sargentos primeros Manuel Chutos y Gui llermo Provees, y los cabos primeros Eusebio Quiles, Manuel Badia, José Pueblos. Dias. Enfermos. , Curados. Fallecidos. Guas, Justo Garrido y Diego Martí. Aseó................ . 19 á 25 Set. v . 48 18 5 1 D…</t>
  </si>
  <si>
    <t>Moreno, Manuel</t>
  </si>
  <si>
    <t>Manuel Moreno</t>
  </si>
  <si>
    <t>…oneros. Por un documento que ha pa Ribera dei Fresno, (el ayuntamiento de) sado el gobierno á la Cámara de Jo» Diputados aparece que el gabinete britá Rute, (el alcalde inajor y ayuntamiento de) nico ha contestado á las quejas de D. Manuel Moreno sobre la ocupación de Sulamjnca. (el contador de la provincia de) las Lias Falkland, que este era un derecho indisputable de la Inglaterra. En Sin Agustín, (el ayuntamiento de) consecuencia el Sr. Moreno ha recibido instrucciones de su gobiernó, prescri San Fernando, (varios jovenes de la ciudad de…</t>
  </si>
  <si>
    <t>Moreno, Marra Josefa</t>
  </si>
  <si>
    <t>Marra Josefa Moreno</t>
  </si>
  <si>
    <t>…s en Ja demarcación militar de la capitanía ¡jer-i:- I&gt;.,t. D. Vicente Salbey, D. Manuel BJazquez , D. Fernando Herrera , Uommgo Lcoral la Nueva. Se han señalado para el sulo y único rema te L-1 di a 1.1 del pró paris, Juan Sala, Doña'Marra Josefa Moreno, y i los hijos menores de D. Alonso ximo níés de Julio' í 1 as drice dé su mañana en los estrados dé la Ordenación de dieha T(irres, y ¿n el caso que alguno de estos haya fallecido*á sus respectivos herederos y Cipirama general, enicuye secretaria está de manifiesto el pliejo.de condiciones.; suces…</t>
  </si>
  <si>
    <t>Moreno, Miguel</t>
  </si>
  <si>
    <t>Miguel Moreno</t>
  </si>
  <si>
    <t>…en la tarifa, y los flejes de hierro el 10 por I Jen nombrar al ministro electo de esta D. Rafael Urbina; para esta resulta al 100 del valor que señalen los vistas. Y 9-a Que no se haga novedad en cuanto! Joidor de la dé Valencia D. Miguel Moreno, y para la de Granada á D. Juan í los flejes de madera v de hierro del reino, conservándose á estos el derecha se-1 I Antonio Almagro. Tendráse entendido en la Cámara para su cumplimiento, zz ' ñalado en la Real orden de 10 de Febrero de 1 833. De Real orden tkc.rrrj íEstá rqbricado de la Real mano…</t>
  </si>
  <si>
    <t>…López Juana Pinilla. Ayer llegó á esta ciudad el nuevo embajador de España , conde Para la de Marina á D. Martin Fernandez de Navarrete, deca de Floridablanca. Hoy, acompañado del caballero Vial, ha hecho no; D. Agustín Perales; D. Miguel Moreno- una visita á lord Palmerston, y el 16 será presentado á S. M. Un Para la de Fomento á D. Juan Alvarez Guerra, decano; Don número considerable de distinguidos personages, incluso el cuerpo José Canga-Arguelles; D. José de Heredia; £&gt;. Justo José Ban- diplomático, han ¡do á visitarle. (Courier.) quer…</t>
  </si>
  <si>
    <t>Morgade, Manuel</t>
  </si>
  <si>
    <t>Manuel Morgade</t>
  </si>
  <si>
    <t>…Fernando debo recomendar la tropa de que he podido disponer , que batí al tercer batallón de también , y á sus dignos oficiales el teniente graduado de capitán rebeldes de esta provincia, capitaneado popel cabecilla Iturriza, es D. Manuel Morgade , y á los subtenientes D. José Vaseti y Don de mi deber detallar á V. E. la operación, para que tomando en Juan Bolangero, por los esfuerzos extraordinarios que hicieron consideración todos los pormenores, pueda formarse el verdadero para alcanzar al enemieo.cz: juicio del mérito de la marcha de ay…</t>
  </si>
  <si>
    <t>Morilla, José</t>
  </si>
  <si>
    <t>José Morilla</t>
  </si>
  <si>
    <t>…Don José Gallego, sargento l.° retirado, y al Tomas de Beascoechea,, natural de Bilbao v que falleció en esta corte: para que en el preciso términode 20 dias acodan á deducirle en.la aúdlencla del expresado juez¡ en el presbítero D. José Morilla, se arrojaron sobre los rebeldes, quitándola al concepto deque pasado sin verificarlo 1es.parará perjuicio. ; captura cuatro, ayudaron impulsó 4 cuya asmas y algunas Sr. munición», escribano refrendada corregidor, providencia del det Balsera, teniente del -----PorÍirimer se cica Domingo preciso por…</t>
  </si>
  <si>
    <t>Morilla, Pedro José</t>
  </si>
  <si>
    <t>Pedro José Morilla</t>
  </si>
  <si>
    <t>…pinión quia y Moldavia fueron en seguida introducidos, y (1 Sultán se dignó conver pública y el aplauso de los inteligentes. sar con ellos. S. A. al despedir i Ips Príncipes les dió permiso de llevar las Concluido este acto, leyó D. Pedro José Morilla un discurso sobro la órdenes que habían debido á la bondad de su augusto aliado el Emperador da utilidad de las artes liberales, y especialmente de la pintura; y en seguid» so Rusia,, y.les hizo el honor de convidarlos á un banquete que tcniajdispuesto procedió al repartimiento de los premios, que…</t>
  </si>
  <si>
    <t>Morillo</t>
  </si>
  <si>
    <t>…e fueron completamente vanos; pues no solo sucedido en la Mancha, en Castilla, Extremadura, Cataluña, Aragón y Va no logró sus miras sobre Castilla, ni Galicia, donde el prestigio y la firmeza lencia y en muchos otros puntos. del general Morillo ha sabido mantener el sosiego de aquella numerosa pobla Por eso S. M., que en el citado reglamento de 15 de Febrero extendió á ción, sino que los rápidos movimientos de nuestras tropas, primero sobre Mi la Milicia el distintivo envidiable de la cruz de Isabkl ii , dado hasta enton randa de Duero y…</t>
  </si>
  <si>
    <t>Morillo, Casimiro</t>
  </si>
  <si>
    <t>Casimiro Morillo</t>
  </si>
  <si>
    <t>…da Extracto del parte remitido por el gobernador civil de la provincia de Taral capitán del provincial de Logroño D. Manuel Díaz Martin, al subteniente ragona D. Antonio Satorra con fecha de 10 de Junio anterior. del mismo cuerpo D. Casimiro Morillo, al capitán D. Ramón Contí y al Se ocupa en examinar prolijamente el proyecto sobre la continuación de teniente D. Alfonso-Saavedra , del provincial de Segovia. las obras del pantano de Ulldecona , y en la inspección de las tareas de la jun ta’encargada de las mismas. El comandante militar de Logro…</t>
  </si>
  <si>
    <t>Morlones, Francisco</t>
  </si>
  <si>
    <t>Francisco Morlones</t>
  </si>
  <si>
    <t>…se internaba temerariamente en el' bosque. actiVo guardia de la Real 'Persona D. Antonio Ramírez, y una partida de «La división regresó, pues, á esta villa á las nueve de la noche entregada flanqueadores con su ^trépido ayudante D. Francisco Morlones para recono al justo júbilo con que la tropa celebraba su victoria, aclamando ios objetos cer el flanco izquierdo, siguiendo yo con las dos compañías reatantes la misma augustos de su veneración* y sin que pudieran disminuir su entusiasmo 16 ho dirección. ras de no interrumpida marcha ó combate. Se…</t>
  </si>
  <si>
    <t>Morperh</t>
  </si>
  <si>
    <t>…e lo alto de la consecuencia se nombró una comisión, y se han recogido ya las siguientes sus cárcel. Dispararon un tiro á la patrulla enviada para dispersar el segundo gru cripciones: el marques da Lansdowne 50 libras esterlinas: lord Morperh ^ po, y aquella hizo fuego. M. J. Evans 25: M. Laboucherc 20: M. Smith 20: M. Morrison 20: M. De los cinco prisioneros do*lograron ejecutar su proyecto: otros dos cuando W. Ellice 10: M. Maxwell 1Q; lord D. Stuart 10 ;M. Hume 5: M. OConrintenrabah evadirse recibieron heridas que íes impidieron hace…</t>
  </si>
  <si>
    <t>Morpeth</t>
  </si>
  <si>
    <t>…relado se habría concilla «onde Muí grave presidia la reunión á que asistieron 132 personas, entre las do el odio y aborrecimiento de sus enemigos; pero siendo asi que existimos cq cuplés se distinguían el Sr. secretario Rice, el vizconde Morpeth, el Dr. Lus- un siglo ilustrado nada menos que por la sagrada luz del evangelio, la que ha hiqgton, el Sr. D. 0*Connell, y muchos hombres de color naturales de las co ce mas de tres centurias de años que brilla en este suelo, es de creer por lomislea» as. mo que otro es el origen de su persecución:…</t>
  </si>
  <si>
    <t>…eración me . Francfort 3 de Abril. jores medios de aliviar la desdichada suerte de los polacos refugiado» en cstfi Lo ocurrido ayer en esta ciudad, es capaz de llenar de dolor £ todos los país. M. Beaumont presidió la asamblea, y lord Morpeth hizo la proposición, habitantes de juicio: que fue aprobada unánimemente, de que los polacos eran justamente acree A eso de las 10 de la noche advirtió al centinela del cuerpo de guardia dores á experimentar los efectos de la simpatía de la nación británica. MU de los constables un tirador del bata…</t>
  </si>
  <si>
    <t>Mortal</t>
  </si>
  <si>
    <t>…n contra los Srcs. conde de Toreno, mar 3S y Só dql Estatuto Real, y no creo que los Procuradora del afio 1834 ques de Torremejía, y Miguel Polo. deben ceder é ios anteriores de otros siglos en .celo para ejercerla. .Por *Mo h El Sr. Mortal: «Creo que según el articuló 92 del reglamento debe re* comisión se ha creído en deber, pera corresposidcr é 1a confianza del Estamen caer la discusión nuevamente sobre la totalidad del proyecto.” to , de examinar detenidamente el proyectojjue te ha presentado por el Go El Sr. Presidente'. «Eso es…</t>
  </si>
  <si>
    <t>Mortge, Polo y</t>
  </si>
  <si>
    <t>Polo y Mortge</t>
  </si>
  <si>
    <t>…que todos los días dan pruebas varios cuerpos ayer, juntamente con el dictamen de la--comisioné En consecuencia tomó la de esta Milicia. palabra y dijo «El Ministro, que tiene en este supuesto el |ionor de hablar al Estamento, El Sr. Polo y Mortge: «Los principales bienes 4 que el hombre en so se presenta en esta discusión con alguna desventaja, pues que la comúíon que ciedad aspira, y para cuyo sosten contribuye con una parte de sus rentas , por ba examinado su proyecto no lo ha invitado una sola vez para que concurriese» la estabilidad que…</t>
  </si>
  <si>
    <t>Mortier</t>
  </si>
  <si>
    <t>…bre próximo. (Globe and Traveller.) NOTICIAS EXTRANGERAS. . —.—£1 fin de todas las inquietudes y aprensiones que pudo producir en el ánimo de muchos millares de personas la disolución dpi ministerio francés es el nombramiento del mariscal Mortier en lugar del- mariscal ‘Gerartf, y pro SUECIA. bablemente el de Mr. Martin du Nord en lugar de Mr. Pensil. Nuestro'corres ponsal de Parts es de. opinión que la prensa periódica de aquella capital no tie Stockalmo Si dt Octubre. ne la influencia en el público quetenia antea. Dirigida aquella, como g…</t>
  </si>
  <si>
    <t>…por Varso- ' A les once y media de la mañana se abre la sesión, asistiendo á ella via. (D. de París?) 38. A"A* 'R.R. los d'arjué» ¿fe OrleanS y dé1 Nemours, siendo esta la primera vez que &lt;t segundo toma asiento en la'Cámara.* El mariscal Mortier, Presí deme del Goñsej© de ministros ;-v-los secretarios de Estado y del Despacho ____ Según el Handelsblad se trata de tina nueva organización del ejército ho de Marinay de Jasriciá ocupan‘Íoí puesto* qiie les están designados; , landés ¡ cada división se compondrá de cinco batallones, de los cual…</t>
  </si>
  <si>
    <t>…abatidos y sin fuerzas, todos aplaudirán que un mos de nuevo el poder; pero quedaba en pie la gran dificultad, la de hallar hombre venga, como el joven vencedor de Marengo, á tender sobre lo pasa un presidente del consejo. El br. mariscal Mortier, que habia creido antes re do el velo de la amnistía; pero una amnistía arrancada, exigida, nada pa husar el puesto por consideraciones ¡personales, ofreció con generosidad acep cífica : por esta cuestión hemos tenido el disgusto de vernos precisados á disen- tarle. Desde este momento desapareció n…</t>
  </si>
  <si>
    <t>…pais hospitalario, pero es me ____El Constitucional dice que después de la renuncia del- mariscal Gerard nester que esta hospitalidad no pueda ¡amas redundar en perjuicio suyo. Una se había ofrecido el ministerio de la Guerra al mariscal Mortier; que no ha ley especial sobre este punto, que se os presentará muy en breve, acabará de fi bía querido aceptarle, y que habiéndose dirigido á una persona relacionada con jar de Un modo incontestable, Juntamente con la ley sobre extradiccion, los de el mariscal Mkison para explorar su voluntad, esta…</t>
  </si>
  <si>
    <t>Mortier.ha</t>
  </si>
  <si>
    <t>…llo acreedores á toda su Renta perpetua de id., 43J; Cortee, confianza; que continuaría el mismo sistema de política que hasta aquí en sus relaciones diplomáticas, y según los intereses y dignidad de la narion; que. Parece que el mariscal Mortier.ha aceptado el ministerio de Guerra y la sentía, en fin, los grandes daños causados por los últimos temporales, y que presidencia del conejo de Ministros: dicen también que el almirante Dupcrre esperaba que la divina Providencia preservaría al país de otras desgracias. sucederá al almizantp Jacob en e…</t>
  </si>
  <si>
    <t>Mos, José María</t>
  </si>
  <si>
    <t>José María Mos</t>
  </si>
  <si>
    <t>…ia y efectos consiguientes. Dios guarde á V. E. muchos dréis lo necesario para su cumplimiento. = Está rubricado de la Real años. Madrid 16 de Agosto de i834. = José María Moscoso de Altemano.=En Riofrio á 12 de Agosto de 1834.=A D. José María Mos mira. =Sr. presidente de la junta de Sanidad de Madrid y su pro toso de AlUmira. vincia. ministerio de lo interior. Reales órdenes. PARTE NO OFICIAL. Eximo. Sr.: Atendiendo á que por la divina Misericordia dis minuyó ya considerablemente la enfermedad que lia afligido á esta NOTICIAS EXTRANGERAS. l…</t>
  </si>
  <si>
    <t>…o, mientras no pueda asistir al tribunal, y cón la Teniendo etí consideración la notoria lealtad, la acreditada ap- calidad de volver, si le conviniere, al servicio con su antigüedad, títud y demas circunstancias que concurren en D. José María Mos- si mejorare eri términos dé poder desempeñar las funciones de su coso de Altamira, decano deda Sección de Fomento del Consejo plaza. Tendréisló entendida, y dispondréis lo necesario á su cumReal de España é Indias; he tenido á bien poner ¿ su cargo, en plimiento.=Está rubricado de la Real mano.—Fn…</t>
  </si>
  <si>
    <t>Mosca</t>
  </si>
  <si>
    <t>…unido gran número de los ha de» ocupaban á Lombíer y Engui, preparó una expedición con ánimo dé ata bitantes de 1¿ciudad. Entonces el general tomó la palabra, y se expresó casi en car al primero, combinando Sus Operaciones con et general Mosca», gefe da estos términos é la plana mayor, f tos brigadieres Oráa y Linares; desgraciadamente los faacáo- «Amados compatriotas; apenas se han cerrado las Cámaras me be apresu sós no queriendo resistir este premeditado ataqué se pusieron en fuga pbr luga rado á presentarme á vosotros, no para solici…</t>
  </si>
  <si>
    <t>Mosco, AMtíNClOS</t>
  </si>
  <si>
    <t>AMtíNClOS Mosco</t>
  </si>
  <si>
    <t>…as , , 4 -b. • ' Santander par- d 4 pe 100 aLafio. . 874 .Bilbao par. Santiago a á. . Según las últimas noticias del general Quesada debía salir el 24 de Logro ño para los Arcos, adonde te dirigía igualmente el general Valdés. El general AMtíNClOS. Mosco», que manda en Vitoria, había destacado sobre Vizcaya una fuertb columna, lías obras dé lascasás fuerte» dé Maestú y Estolla están’ya muy ade Los suteriptore* i la a.3 clase del nuevo periddico fitarindniso titulado ti Eco dg ópera cuafiernov los concluye el’ coo ^ue italiana, pas;tra:i el a.G y i-…</t>
  </si>
  <si>
    <t>Moscoso</t>
  </si>
  <si>
    <t>…cooperación que exigen los mismos intereses de los pueblos. tiva á este ramo. Pasó, pues, á leer la memoria de que trata.** Se mandó pasar á la comisión de poderes los testimonios de las actas de Leída la memoria , dijo el ihismo Sr. Moscoso que asi que se leyese en el las juntas electorales de Tarragona y Barcelona, por las cuales habían sido elec Estamento de Proceres, se imprimiría y repartiría. tos Procuradores los Sres. D. Guillermo Oliver y D. Ignacio S. Pons y Bar El Estamento quedó enterado. lú en reemplazo de D. Ramón Ciscar.…</t>
  </si>
  <si>
    <t>…ascendencia que comprometiesen la mismas leyes. hemos atenernos.” El Sr. conde-de la? Navas pidió que se leyesen loe artículos 110 y 130 El Sr. Presidente mandó leer el art* 75 » y el Sr. marques de Falces pi del Reglamento, y el Sr. Moscoso el 128 y 129. dió que se hiciese proposición formal.. — ~ Leídos todos dijo el Sr, conde de las Navas: «Los artículos 110 J ISO Srí'.Abarguesx 'n Las últimas noticias recibidas de Valencia manifiestan demuestran qUc .hay diferencia entre una proposición y una petición- Estsa haberse descubierto una…</t>
  </si>
  <si>
    <t>…Espinardo; Cano Manuel (hijo); Cano Se leyeron al efecto los artículos 38 y 39 del reglamento, y se procedió á Manuel (padre); Bélmonte; González Álorfso; Redondo; Qrensé; Florée Es la votácioü, prestando entré tanto juramento el Sr. Moscoso dé Altamira. trada; Atocha; Abargues; Lásanta; Ciscar; Santafe; Miguel; Tosqúéllas; Paco Verificada la votación y éscrutinio, resultó que de 74 votos presentes, que Cánovas; Serrano; Giraldo; Crespo de Tejada; Calderón de la Barca; Chacón; forman 38 de mayoría absoluta, solo obtuvieron esta los Sre…</t>
  </si>
  <si>
    <t>Moscoso, Joré María</t>
  </si>
  <si>
    <t>Joré María Moscoso</t>
  </si>
  <si>
    <t>…, á quien hacen muy á propósito para desempe necesario para so cumplimiento. = Está rubricado de la Real mano.r ñar este delicado encargo sus ideas progresivas , fue el primero que abolió eu el En Riofrioá 12 de Agosto de 1834.=A D. Joré María Moscoso de regimiento que mandaba en calidad de coronel el castigó envilecedor de loe Altamira. palos, y aseguró hace mucho tiempo que las poblaciones egipcias, igualmente que^j ejército de Mchcmet Al! , podían y debían ser gobernadas por el senti miento de la dignidad y del honor militar- Soliman-Bey acaba d…</t>
  </si>
  <si>
    <t>Moscoso, José María</t>
  </si>
  <si>
    <t>José María Moscoso</t>
  </si>
  <si>
    <t>…do, y lo comunicareis á quien correspon-1 des y reclamos. * da pánrló» efectos oonVenie ntes. = Está rubricado de jajléal mano—' 12. Los ayuntamientos podrán arrendar, con aprobación det Sub En Aranjue* á &lt;5 de Mayó' de 1854.:= A D. José María. Moscoso de delegado de la -provincia, la gaza en las tierrasMe propios de los pue Aflamira.' ' blo; ; y los arrendatarios jiodr.ín dar licencia á los demas para que cazen; pero unos y otros (0 liarán con sujeción á las restricciones ÍÍPc mí Real decreto de 20 de Noviembre del año último tuve * que se expresañ…</t>
  </si>
  <si>
    <t>…enes corresponde. ben ser en mucha parte fruto de conocimientos prácticos sobre el es rrEstá rubricado de laíReal mano.^En el Pardo á 25 de Setiembre tado actual de la instrucción pública en el reino, de los estableci de fÍ354.=A D. José María Moscoso déAUamira. mientos literarios, de Jos efectos que ha producido el plan vigente áe estudios, y de los medios con que puede contarse para realizar ministerio de eo interior. ‘las útiles reformas de este importante ramo: que estos hechos tan in í Reo/ orden. dispensables solo se hallin retiñidos en la…</t>
  </si>
  <si>
    <t>Moscoso, Juan</t>
  </si>
  <si>
    <t>Juan Moscoso</t>
  </si>
  <si>
    <t>…uena.=Excmo. Sr. Secretario de Estado y dei el 23 en Logroño. En el propio día 25 salió para los Arcos este general en geDespacho del Fomento general del reino. fe, y de Vitoria para unirse al cuartel general el mariscal de campo D. Juan Moscoso, gefe de la plana mayor del ejercito. ' . El mismo subdelegado lia publicado la siguiente circular: r. No ignoran VV. que una de las causas mas influyentes de U postración de nuestra agricultura es sin duda alguna la carencia de riegos artificiales, en don Historia de la guerra de la inde pendencia…</t>
  </si>
  <si>
    <t>…l general én gefe del ejercito del norte durante la mansión de este referido». er, Navarra , se ha dignado S. M. nombrar interinamente al mariscal de campo El mi.mo comandante geneml interino en su parte dei l 1 , v refir^n-'.O'e D. Juan Moscoso gefe de la plana mayor general del mismo cjerc.to, residente al que ei brigadier Bed&lt;oa da desde &lt;l&gt;rduña con fe* M dei b , comunica cu en á la sazón en Vitoria. cuentro que 11 tenida"» D. Jn*ef Jardín, deira»j;o »c n u • c.araO-nc*v&gt;* de orden de dk-io geie , con una gu rba, de 22 f jr.nn's m.'n:…</t>
  </si>
  <si>
    <t>…ene al frente armas, y comandantes generales de la Guardia Real, al mariscal de campo Don su dedicatoria á la academia de Buenas letras de Sevilla; y en ella expone con Antonio Burriel por el arma de infaniería, al de igua' clase D. Juan Moscoso bastante extensión el carácter de nuestro romance, sus cualidades poéticas, has por la de artillería, al brigadier director subinspector D, José Prieto por la de ta dónde puede extender su dominio, y en fin la necesidad de cultivarlo, por ingenieros, y al mariscal de campo Don José Rich por la de c…</t>
  </si>
  <si>
    <t>Moscoso, Rodrigo María</t>
  </si>
  <si>
    <t>Rodrigo María Moscoso</t>
  </si>
  <si>
    <t>…? Nombro para esta comisión á D. Andrés Crespo Cantolla ; fis cio que no hiciera ia Francia con gu»to por mantener su influencia en Suiza. cal del supremo tribunal de Espana-é Indias, con la calidad de pre {Mensajero*) sidente, á D. Rodrigo María Moscoso, y á D. José del N alíe y Re— INGLATERRA. fart, abobados del colegio de Madrid; á D. Manuel Abad, primer Landre* 28 de Mayo,escribano de Cunara del supremo tribunal de España é Indias, y á D. Jor^e Martínez, relator del misino. I codiciólo entendido, y dis- Fondo* fubVsco*. Tres por 100 consolidado…</t>
  </si>
  <si>
    <t>Moscoso, Rodríguez Vera' El St</t>
  </si>
  <si>
    <t>Rodríguez Vera' El St Moscoso</t>
  </si>
  <si>
    <t>…apadores 1.219,352. familias, y ademas para todos los gastos, tanto de la revista de inspección La comisión sobre estos dos artículos proponía una rebaja de 309 re. re como de correo y demás.” lativa á la dirección del cuerpo. El Sr. Rodríguez Vera'. «El St. Moscoso fue de dictámen que el direc Se aprobaron estos artículos, manifestándose que respecto á la dirección se tor general quedase.con el sueldo de.609 rs. Si pues á este se le señala dicha estaría á lo que se resolviese para la de atti Hería. cantidad, ; los subinspectores han de tener, el mismo sueldo…</t>
  </si>
  <si>
    <t>Moscoso, Vázquez</t>
  </si>
  <si>
    <t>Vázquez Moscoso</t>
  </si>
  <si>
    <t>…su suspensión para asegurar mas y mas el órden y la tran ’»¿ Y p *r qué debemos temer tanto á la libertad de imp em*? Una cosa quilidad pública” que o'um y se' presentí piiád/nameníe , pue* á un p&lt;pcl »e le conic-rta con otro; El Sr. Vázquez Moscoso, apoyado en un artículo del Estatuto Reai, una cova que produce tantos beneficios y ningunos males, porque la veidad no trató de hacer ver que la discusión que ocupaba el tatamente) no debía recaer debe depender nun.a de la falsedad y de U mentira, ¿qué motivo hay para sobre el art. 2.°, n&gt; sobre e…</t>
  </si>
  <si>
    <t>Moscoso, Vazquez</t>
  </si>
  <si>
    <t>Vazquez Moscoso</t>
  </si>
  <si>
    <t>…o de las capitales, sin loa Hombre un establecimiento ó un individuo, no indica que deba existir ó deba gastos de viage que tienen los subinspectores.” ser siempre empleado, sino que qyiste ó tiene tal empleo cuando se imprime El Sr.-Vazquez Moscoso: « En vista de las observaciones del Sr. Secreta la guia. (Cuántos aparecen esjjmpsdot todavía en ella, que ya no gozan del rio del Despacho, me parece que no seria malo aprobar la indicación de S. S., destino que tenían al principiarse el año í Todavía se lee en la de este el nom y conceder á los…</t>
  </si>
  <si>
    <t>Moscqjo</t>
  </si>
  <si>
    <t>…tra proposición. El Sr. Secretario del Despacho ha equivocado sin duda las mento en estar enterado y poder deponer sus temores acaso infundados. ideas. No se trata de residenciar ai Gobierno , sino de excitar su Celo para que El Sr. Moscqjo : «Si se trata de sentimientos particulares, jamas cederéá presente el cuadro que en el día ofrece la Nación , y no es lo mismo uno que nadie en deferencia ; pero como Ministro tengo que cumplir mi obligación. otro. No se habla de los casos que previene la ley, ni de ningúna propuesta No-habiendo a…</t>
  </si>
  <si>
    <t>Mosquera, Benito Sanjurjo y</t>
  </si>
  <si>
    <t>Benito Sanjurjo y Mosquera</t>
  </si>
  <si>
    <t>…en Vigo : desde 1.® de Julio á fin en favor de la justa causa de la legitimidad, cuando dicho gobernador antes de de Setiembre. recibir aquella órden remitió una exposición en que todos los indicados oficia Cariallino y Partovia. D. Benito Sanjurjo y Mosquera, en Orense: desde les y tropa se ofrecían en los términos mas nobles y patrióticos á sacrificarse 15 de Julio áfin de Setiembre. con las armas en la mano en defensa de los legítimos derechos de la Reina Arteijoy Carballo. D. Pedro Sanjurjo, en la Corulla: desde principio de nuestra Señora Doña Isab…</t>
  </si>
  <si>
    <t>Mosquera, Juan Manuel Caro y</t>
  </si>
  <si>
    <t>Juan Manuel Caro y Mosquera</t>
  </si>
  <si>
    <t>…en aquella ciudad pasarán á Ancona, y allí se embarcarán para Gre ¿ D. Diego Sevilla: para la de Murcia á D. José Martínez Gal insoga: cia. Después de estar algún tiempo con su Mjo volverán á Munich i fines de para la de Ronda á D. Juan Manuel Caro y Mosquera: para la de Noviembre. Se dice que el gobierno intenta emplear la primavera próxima las San Roque á D. Francisco de Paula Linares: para la de Colmenar tropas en la obra del gran canal que ha de nnrr el Danubio, el Mein y el viejo i D. Pedro José de Tripiana: para la de Getafe á D. Francis Rhin. Una…</t>
  </si>
  <si>
    <t>…s relaciones amistosas éntre la Inglaterra y América, sino de las para el corregimiento de Coin £ D. Francisco María Sánchez Castilla; para el desavenencias entre el Presidente de los Estados-Unidos y el Senado, que no de Ronda £ D. Juan Manuel Caro y Mosquera; para la alcaldía mayor, de Al batí podido convenirse en la elección de un ministro. mería £ D. Diego Sevilla; para la de 5. Roque £ D: Francisco de Paula Lina Hubo un tiempo, añade el Globo, en que la Inglaterra estaba degradada res; para la de Totana £ D- Ramón Marin Alfoces ; para la de Alcañice…</t>
  </si>
  <si>
    <t>Mostoso</t>
  </si>
  <si>
    <t>…liberación del Estamento, si toma en consideración que aquella encierra. Ele cumplido con mi deber, por loque espero que Us la proposición hecha.” Cortes me permitan retirar para ocuparme en los asuntos que están á mi cuidado. El Sr. Mostoso: Me opongo, como Secretario del Despacho , á que sfe Un Sr. Procurador manifestó que si se hacia alguna proposición debía ser tome este asunto en consideración. No puedo tolerar nada que no esté confor coa arreglo á lo prevenido en el Estatuto y Reglamento, sin cuyo requisito me al tenor literal de…</t>
  </si>
  <si>
    <t>Mota, Juan Modesto de la</t>
  </si>
  <si>
    <t>Juan Modesto de la Mota</t>
  </si>
  <si>
    <t>…mas Lobo. Rara formar la dotación de ministros de la Real audiencia de Madrid, he venido en nombrar á D. Joaquín de la Escalera; á Don Gerónimo Manuel Caballero; á D. Ramón Vicente; á D. Fermín PARTE NO OFICIAL. Gil de Linares; á D. Juan Modesto de la Mota; á D. José Alonso; á D. Fra neisco Verea y Cornejo; á D. Francisco Crespo y Rascón y NOTICIAS EXTR AXGERAS. á I). Miguel Moreno, que lo son de la misma; á D. José Francisco ValtléS y Posada, oidor decano déla audiencia de Asturias; á Don Francisco García Chave*, oidor de la de Sevilla; á D. Jaime P…</t>
  </si>
  <si>
    <t>…to-Rico dieron muestra» de grjnde satisfacción por el esmero r censo, de D. M.itíáiá Herrero Prieto al Consejo Real, á ' D. Gaspar Josef de delicado gusto con que su bencmeuto a&gt;timauyi-rnto d.»puso la jura de la Prin Aguiiar y á D. Juan Modesto de la Mota: para la de oidor, que este deja va cesa de Asturias, hoy nuestra Ri-uní yS&lt;ñoV.í. cante fcn la Real Chancii-tería de Vuljadolid, á D. Gregorio Ceruelo de Va- Et capitán general, que tomó una crün paoe en todos los festejos r regó- j lasco, que lo m de la de Galicia, y para esta plaza ¿ D. Angel Ca…</t>
  </si>
  <si>
    <t>Motada, Francisco</t>
  </si>
  <si>
    <t>Francisco Motada</t>
  </si>
  <si>
    <t>…los víctimas del 2 de Mayó Habla en seguida de escuelas y sociedades económicas, advirtiendo que la de I808 en Madrid, ha cabido en suerte con el primer extracto de la de este de aquella ciudad ha admitido, la propuesta hecha por D. Francisco Motada de día i Doña María del Cármen Abollo&gt; hija del teniente de infantería D. Ao» abrir en ella por ahora una clase pública de aritmética, y dar mas adelante, si dresj muerto en el campo del honor. fuese conveniente, un curso de matemáticas. J Continúa el buen estado de la cárcel de la misma, y la junta d…</t>
  </si>
  <si>
    <t>Mótales</t>
  </si>
  <si>
    <t>…real queda mas recursos que irnos del país. Por esto, no tenemos facultad para rehu mente en el tesoro español.” r sar la herencia, buena ó mala, y nos bailamos, no como. juecessino como Se tomó en consideración la siguiente del Sr. Mótales: *&gt;Pido al Esta tales herederos, 4 quienes se presentan las escrituras de nuestros parientes, y mento que añada al art. l.° excepto el de Guebhard'P cuya validez debemos ó no reconocer, como se hace por todo heredero. En Se abrió la discusión sobre ella; y tomando la palabra en pro, díjjo este caso…</t>
  </si>
  <si>
    <t>Motápeles, Felipe Martínez</t>
  </si>
  <si>
    <t>Felipe Martínez Motápeles</t>
  </si>
  <si>
    <t>…vigilancia «le la justicia respectiva: y al impresor (S Santafé: en clase de alcaides del crimen á D. Francisco de Paula persona que facilite la multiplicación de los ejemplares de aquellasVaqupr, á D. José Banguells de Eixalá, á D. Felipe Martínez Motápeles se le aplicarán inmediatamente ¡as penas impuestas por las retin, á D. Antonio Veas, y á D. Ramón María de Arrióla y Esmiieyes de la imprenta á los contraventores, publicándolo en la Gacetavel: y para fiscales, á D. Pedro Pasdasio Galvo, de lo civil, y á Don de Madrid y Anales administrativos: la p…</t>
  </si>
  <si>
    <t>Motcot</t>
  </si>
  <si>
    <t>…puede haber dificultad én qué se qüe se presente la proposición de que se trata , no se someta á la votación del tóine en consideración'mi proposición.” r Estamento, ni auti siquiera la cucstiotí de si puede ó no discutirse.” El Sr. Motcot b: » Son tantos los motivos que el Gobierno tiene para opo A petición de un Sr. Procurador se leyeron los arts. 3Í y 32 del Esta nerse al sistema que se quiere introducir , que seria preciso alargarme mas de tuto Real, y él 74 del Reglamento. lo que permiten las ocupaciones perentorias del mismo: p…</t>
  </si>
  <si>
    <t>Moteqo</t>
  </si>
  <si>
    <t>…como muy favo rable á la,disminución del mal. (Cauritr) Parts de Agosto. Sé han lomado ya todas las disposiciones preliminares para la construcción' del catrimb de hierro entre Birmingham y LÓndres: los trabajos van á comen Elex-general Moteqo ha sidp arrestado en esta.ciudad, adonde vino con zar inmediatamente; y por poca actividad que haya podrá concluirse la obra en un pasaporte falso bajo el supuesto nombre de Antonio Perez. tris años. EV gasto de 21 millas de camino, sin contar La compra del terreno, asciénda á cerca de 2703 libras…</t>
  </si>
  <si>
    <t>Motíge, Polo y</t>
  </si>
  <si>
    <t>Polo y Motíge</t>
  </si>
  <si>
    <t>…n asi: «Los Urbanos de caballería, donde no formen escuadrón, serán juzgados por el concejo de infantería del mismo pueblo; pero la mitad de los vocales Proyecto del Gobierno. corresponderán á la propia arma.” Ultimamente, la del Sr. Polo y Motíge al art. 28 en estos términos. «En Art l.° La quinta edirespandiente al ano de 1835 será de 253 hombres. atención á la falta de armas para surtir á toda la Milicia urbana , que debe for Art. 2.° Se verificará esta quiota por el mismo método que la últimamen marse en virtud de la presente ley , y no…</t>
  </si>
  <si>
    <t>Mott</t>
  </si>
  <si>
    <t>…3 de Mayoy Nos escriben de Zurich que las respuestas del vorort á las últimas nótasse Tr*¡ periódicos de Nueva-Yorck dicen: fcan firmado el 17 y se han expedido al día siguiente; las' notas dirigidas al " Acabamos de.saber quc-el doctor Mott ha hecho la particular .operación Austria, al Würtemberg y á la Bavíerá son literalmente las .mismas; las otras «Te extraer un‘ solitario del estómago’de un sastre de Essex-Street llamado Fcdedirigidas á la Dieta, á la Prusia, al ducado de Badén y á la Cerdefia, aunque rico Williams, Hace como año…</t>
  </si>
  <si>
    <t>Mounier</t>
  </si>
  <si>
    <t>…impedir que cada uno disponga libremente de su propiedad: en fin, la Cámara resuelve que dicha exposición pase al ministro de Hacienda. IDSM DE LOS PARES.__JV.flOM del día Se levanta ia sesión. ESPAÑA. El duque de Mortemart y el barón Mounier leen los elogios fúnebres del marques de Mortemart y del conde de Tournon, individuos que han sido de Ballenero 8 de Enero. esta Cámara. El conde Beker lee el informe de la comisión que ha examinado los pro El 1.® del corriente se celebró en esta villa la proclamación de S. M. la yectos de ley apro…</t>
  </si>
  <si>
    <t>…la supresión de estos dos úl timos párrafos. Los defiende el ministro de la Guefra y contexta á todas las ol- r - ha dicho equivocadamente que los gremios de artesanos hablan desistido jeciones. En virtud de una modificación del barón Mounier vuelven á la co de presentar su petición al ministro del Interior: sabemos al contrario, que una misión los dos párrafos últimos. Se adoptan otras varias modificaciones. Un párdiputación de cinco miembros la llevó ayer á lord Melbourne, quien la reci rafo adicional que propone la comisión, vuelve á…</t>
  </si>
  <si>
    <t>…los predios que se po que ha corrido de que los ntiguelistas habían evacuado á Samaren. Sin embargo drían adoptar para mantener el orden y mejorar U-suertc de á» nación. este rumor no se apoya en ninguna autoridad positiva. , El barón Mounier dice que habiendoye-princapiadq Cyta lisS-js.roal con Una y media de la tarde. Corre la voz de la evacuación de Samaren: cluirse la legislatura, la Cámara se ve-cayi pbLigada á qpfüblt, el presupueste» anos la miran como incierta, y otros la creen segura, añadiendo que D. Mi enumera las ventajas qu…</t>
  </si>
  <si>
    <t>…señales de los impQrtaDtes servicios hechos.^á sb país , y »*S¡ desgraciadamente tenemos que llorar la pérdida de tantos vaiientesry de los profundos estudios que le han dado una tan extensa y bien merecida ce— sobre todo la del coronel Mounier, que ha muerto gloriosamente á la cabeza lebridad, se presento inmediatamente a caballo, sacando.de su acrisolado pa» . dei regimiento 28 de línea , á lo menos nos asiste el consuelo de que el ejército iriotísmo, y de su zelo por la causa de la joven Reinr , fuerzas para cumplí? acaba de dar á la F…</t>
  </si>
  <si>
    <t>Mova, Jayme Gregorio</t>
  </si>
  <si>
    <t>Jayme Gregorio Mova</t>
  </si>
  <si>
    <t>…de año, llamados de primera clase y toda pompa, se pondrán, en el altar mayor seis velas de libra y Enterada S. M. la Reina Gobernadora de una instancia en que seis al titular; cuatro en cada uno de los costados: seis velas de me D. Jayme Gregorio Mova, oficial-segundo de la administración de dia libra en cada uno de los dos primeros colaterales, y cuatro en ca Rentas de la provincia de Córdoba, solicita se le admita en prueba da uno de los siguientes en- que se celebre misa: cuatro hachetas de de la lealtad que le anima por la justa causa de la…</t>
  </si>
  <si>
    <t>Moya, Esteban</t>
  </si>
  <si>
    <t>Esteban Moya</t>
  </si>
  <si>
    <t>…contro celona. (.Núm. 185.) * *i. vertir. __ exonerando á dos Oidores de kauditdeiaóe Valladolid. (Idi) Segundo ejercicio. Cada epositor explicará ..por espacio de media hora una ___ nombrando para una plaZadefa de 'Extremadura á D. Esteban .Moya- lección sobre un punto que elija, entre tres que sacará por suerte de los mis no. (Id.) ’ mos que sirvieron, pana él primer ejercicio .tríenos aquellos-obre que hubiesen ____ jubilando á varios magistrados, (id.’), ... v disertado, cuidando expresar sus.ideas en un estilo claro, sencillo y elemen ■…</t>
  </si>
  <si>
    <t>Moya, Juana</t>
  </si>
  <si>
    <t>Juana Moya</t>
  </si>
  <si>
    <t>…á pedirlas. Estas señoras son. Doña augusta Señora se sentó en el trono, y después dijo las siguientes palabras: dig María de Larraza y su hija Doña Antonia Tomasa, Doña Martina Moya, nos Pares y Sres. Diputados, podéis sentaros. Doña Juana Moya , Doña Josefa Ubillos, Doña Josefa Urisarri, Doña MaEn seguida el Sr. Presidente, haciendo la débida venia, se aproximó al ría Dolores de Larraza, Doña Benita Unamono y Doña Pascuala Unamono: trono, y levantándose entonces toda la asamblea, se levantó también S. M. F. ¡ todas estas señoras hicieron…</t>
  </si>
  <si>
    <t>Moya, Manuel Calvache y</t>
  </si>
  <si>
    <t>Manuel Calvache y Moya</t>
  </si>
  <si>
    <t>…mos, y á la que jamás dió expreso asenso: nandez Míluego, alcalde mayor de Fregenal de la Sierra; á D. José Artal, al solo aquel que reconoce la autoridad, y después la desprecia y quisiese destruir, calde mayor de Garrobiilas; á D. Manuel Calvache y Moya, alcalde mavor merece ser acusado y castigado como traidor, porque viola un pacto y un ju de Tarragona; á D. Ramón Fernandez Broto, alcalde mayor de Potes; á ramento. D. José El ola, alcalde mayor de Conccntaina; a D. Miguel Falcon AbeHemos visto en un periódico contemporáneo censurar repetidas vec…</t>
  </si>
  <si>
    <t>Moya, Martina</t>
  </si>
  <si>
    <t>Martina Moya</t>
  </si>
  <si>
    <t>…r de S. M. F. La misma tribuyeron armas á los que se presentaron á pedirlas. Estas señoras son. Doña augusta Señora se sentó en el trono, y después dijo las siguientes palabras: dig María de Larraza y su hija Doña Antonia Tomasa, Doña Martina Moya, nos Pares y Sres. Diputados, podéis sentaros. Doña Juana Moya , Doña Josefa Ubillos, Doña Josefa Urisarri, Doña MaEn seguida el Sr. Presidente, haciendo la débida venia, se aproximó al ría Dolores de Larraza, Doña Benita Unamono y Doña Pascuala Unamono: trono, y levantándose entonces toda la asamb…</t>
  </si>
  <si>
    <t>Moyano, Basilio</t>
  </si>
  <si>
    <t>Basilio Moyano</t>
  </si>
  <si>
    <t>…da de su mando, por su bizai ro comportamiento. pondientes ai presente mes. ...... .......................................................... 100 El Excmo. Sr. margues de Bétgida y Mondejar.................................. 15u0, D. Basilio Moyano por la suscripción del presente mes.......... 80 Extracto del parte remitido por el gobernador civil de la provincia de D. Juan Diego Martínez.......................................................... . ,. . 2*0 Sevilla D Ambrosio Eguí-i con fecha de 23 de Julio ultimo. Doña M. A. M................…</t>
  </si>
  <si>
    <t>…cada una, comparándole con el anti demia. . . .1................................................................................................... 120 guo sistema de comunicación. He .aquí pues un lt&gt;U5&gt; dias de trabajo ganados D. Basilio Moyano, 80 rs. por el presente mes, haciéndolo de igual para la produce on sin que la sociedad haya tenido que hacer ningún gasto extra cantidad en los meses sucesivos.......................................(.......................... 80 ordinario para la manutención general. (Gaceta de Francia.) D. José L…</t>
  </si>
  <si>
    <t>Mozo</t>
  </si>
  <si>
    <t>…definición de cada una de estas penas corporales, se cho de lo Interior y de Negocios extrangeros; del Sr. Lebrija para el despacho encuentra tan corta diferencia entre algunas de ellas, que aparece una especie de Hacienda ; del Sr. Mozo para el de Guerra y Marina, y del Sr. Portugal de confusión, que no deja entender el carácter del sistema penal. No se.ve tam para ministro de Cultos. El Sr. Alaman, primer ministro en tiempo de Busta- poco que el legislador haya fijado claramente el máximum y mínimum de mante, desterrado después p…</t>
  </si>
  <si>
    <t>Mozón, José Ferez</t>
  </si>
  <si>
    <t>José Ferez Mozón</t>
  </si>
  <si>
    <t>…acha de la imprenta Real* gimiento de caballería ligera, el de la plana mayor, teniente de la Guardia, Real Instrucción adicional ¿ los artículos 10 y 35 de la ordenaoza de reemplazos O. José Orive, y ct teniente del mismo cuerpo D. José Ferez Mozón, que con de 27 de Octubre de 1B00. Un cuaderno en 4.0, edición de 1817, 4 a rs. en rústica. los alféreces D. Manuel Fabro, D. Anselmo Blaser, D. Francisco Escobar y — Real instrucción ó reglamento adiciona) de la ordenanza de reemplazos de 27 de Ocrubre de 1800 : uo cuaderno en 4.°, edición de 1819…</t>
  </si>
  <si>
    <t>Mozurd, José</t>
  </si>
  <si>
    <t>José Mozurd</t>
  </si>
  <si>
    <t>…baces, graduado de teniente coronel, v O. Romual do Aguado, y subteniente D. Joaquín Iglesias, todos del mismo cuerpo; v el ESPAÑA. teniente dei 6° ligeros D. Luis Mailen: contusos, el anudante del 4.0 regi miento de Guardia Real D. José Mozurd; el teniente con grado de teniente Madrid i 0 de Octubre. coronel D. Julián Pordoy, y subteniente D. José Hermenegildo, del regi miento de Córdoba, y el ayudante de la plana mayor D. Ramón Corres, te Penetrado el Excmo. Sr. comisario general de C^ruzadá de cuánto interesa niente graduado dé capitán…</t>
  </si>
  <si>
    <t>Mozy, Santiago Usoz y</t>
  </si>
  <si>
    <t>Santiago Usoz y Mozy</t>
  </si>
  <si>
    <t>…................................... 160 Paria,) El tenor conde de Montealegre de la Ribera....................................... 1500 Un sugeto que no da el nombre............................................................. 300 D. Santiago Usoz y Mozy director general de correos....................... 1000 D. Agustín de Larramendi, director general de caminos y casales. ,1000 ESPAÑA. Un sugeto que no da el nombre............................................................. 12Ó D- Luis y D Beltran Bacque...........................................…</t>
  </si>
  <si>
    <t>MqwaTd</t>
  </si>
  <si>
    <t>…neros en 14 c«a jxtf jos pí^qs TO^Stftpv^. AKtTKCIOS. ¿4 partida doble presentada en plano, que puedp pon^qiQ eq qn cufdrq ppra te ner 4 un gol pede yl$ta ia norma de todas las operaciones que pueden ofrecerse 4 un ^ ^xcmo^Sra El comandante MqwaTd? ja^roviñcia df Ciudad Realqon fecha tenedorPor¿in capitanesde libros^pañol.tanto Sedélvendejácbmerelo6 rs.comoen ladeiibrarjtadgcualquléri CtlUfá;ótrá qBpiniiy endéliís.pmvlnolaia.coñtabiIidad;'t d?J utul mf dícé lo quq rigH11* PÍípwP' ^¿JPifaÍÍ!*P df éajttllería del •n 1* Coruñ*. e&amp; U de Calvete;…</t>
  </si>
  <si>
    <t>Mrdrciño</t>
  </si>
  <si>
    <t>…presenta un Procurador á esta com dé toda la latitud y garantía» necesarias i tos derechos sociales, y leyantap' so probación , es claro qúe' renuncia.” bre estas bases el augusto monumento de alianza y unión entre el trono y el Sr. Mrdrciño:« No fes lo mismo: un Procurador electo puede estar sin pueblo; tales.sor los deseos del, Éstamento, y tal jeja él noble Objetó já , qúe presentarse algún tiempo y tener al Estamento sin saber si acepta ó no el car consagrará su.s afanes. ’ .. ■:■■■' .■ gó, y sin saber si está ó no vacante su plaza…</t>
  </si>
  <si>
    <t>Mrñanó, Elias</t>
  </si>
  <si>
    <t>Elias Mrñanó</t>
  </si>
  <si>
    <t>…, 49 , y i i varias fa/vol. Sje JtritM. . sé; apoderó del de un cabecilla; al referido cabo licenciado de 'granaderos de Ja Vales Reales no consolidados* al ¿contado: 2.0 A vaÜw^. ó voL Guardia Real de infantería y al subteniente D. Elias Mrñanó, que ha supe Deuda negociable de í p. 100 á papel» 00. Jd. sin ínteres» 12$ y £ á varias is, ó vpL rado* toda clase de fatigas con su acreditada decisión y poco Común firmeza eri Acciones del banco español. Od. su tierna edad; al cabo 1.a del expresado regimiento de Mallorca Elias Ibafiez, CAMBIOS.…</t>
  </si>
  <si>
    <t>Mrnistro.habia</t>
  </si>
  <si>
    <t>…la'primera , que decía: «No conformándonos con el ~ ] Habjeqdo observado el Sr. Caballero que en virtud de la primera adver- voto particular del Sr. Samponts, asi como igualmente no lo fia estado él Es t{nc¡j que Jabía liec}io el Sr. Mrnistro.habia que rectificar en varias partes de tamento con el dietámen de la mayoría de la comisión , pedimos se señale á la ley, y que én'cuanto 4 la segunda, nó se decía en el artículo subdelegados, S. M/ la Reiva Doña Isabel u 28 millones de re. para su dotación en el sino delegados, el .$r. Secretario del…</t>
  </si>
  <si>
    <t>MSiiaña, He Es-paña del P</t>
  </si>
  <si>
    <t>He Es-paña del P MSiiaña</t>
  </si>
  <si>
    <t>…zuma, y qué Perfecto Sánchez trataba de féunírsele con 27 hpmbres , dispuse Saliese á hacer una batida á,dicho punto el capitán del re ANtllíCIÓS. gimiento provincial de Córdoba D. Calixto Vargas con uña columna , Com - ííittoria general He Es-paña del P. MSiiaña, ilustrada y continuada por D. José puesta de tropa de sil Cuerpo, cazadores de seguridad pública y 10 caballos Sabau y Blanco, canónigo que fue de S. Isidro. Tomo vil. Contiene este tomo los li del 3.° ligero: este Capitañ con fecha dél 30 taie dice lo qué copio: ^Sabiendo bros undécimo y duodécim…</t>
  </si>
  <si>
    <t>Mstría, Infanta Ikma</t>
  </si>
  <si>
    <t>Infanta Ikma Mstría</t>
  </si>
  <si>
    <t>…do mucho en la victoria? Mañana no será ya Una victoria sino una derrota'. - S. M. la Reirá nuestra Señora, su augusta Madre la Reirá 1,0 repito; es menester que todo vaya como va, porque si no serla menes Gobernadora y la Seno$. Sra. Infanta Ikma Mstría tuisa, continúan ter que todas las modificaciones de la oposición diesen su dimisión política. Después de mucha buHa, todo ha vuelto á tomar su giro natural, porque c-r ain novedad en su importante salud. » la discusión y en el orden del día motivado, todo ha sido natural y conforn'.e á la naturale…</t>
  </si>
  <si>
    <t>Mtdrauo</t>
  </si>
  <si>
    <t>…como renuncia positiva, y que á consecuencia individuo de la comisión: y digo poto acuerdo, porque no tpe atrevo á califi de ella se pueda proceder á nueva-elección.'” carlo de contradicción, aunque acaso podría llamarse asi. El Sr. Mtdrauo: &gt;&gt;El prfecipaí objeto que me propuse al hacer fe indi -»E1 Sr. Medrano fue el autor de lá proposición ó excitación para que i cación , -no fpe el de obligar áloe Sres. Procuradotes, que todavía no feo los Sres. Procuradores ausentes (que son o3) se les prefijase el térmipo de 20 -concurrido al Est…</t>
  </si>
  <si>
    <t>MtguÓíRícárdo</t>
  </si>
  <si>
    <t>…idó, V li eíperichciá líi' Almería Qquiéh cnító su voto'póh éscrito pó» esaSiiY'étrferinoJ, -IX' JuánAN- ■tíH1 acYéditádó, &lt;jtMlétt U:'discusión iníe'éf'Éstainento'séihútíariamuchd trias vatez Guerra , marques- de tai1 Amarillas, D. MtguÓíRícárdo dé' AWva , Ata •íannaitíSría qlíeelía podía hacerlo , y'póreso ha guardádo ¿Serta'especie de prji- que de Bailen, obispó de Barcelona1, D. Eusemo Báidijí, duqtré*dÓ Rer W tele '•dénti''reserva pata-dejar campo á't’a disctriion. Por ló 'demas todos' estamos (que envió su voto-pof escritoéoór hallars…</t>
  </si>
  <si>
    <t>Mu, D José Francisco</t>
  </si>
  <si>
    <t>D José Francisco Mu</t>
  </si>
  <si>
    <t>…oriosidad, su inteligencia y Wt ' jjfl Sr. Mediano, como relator de la comisión de Poderes, presentó el honradez, y les consta también que ésta muy enfermo. Por lo tanto creo que sKctimcn.de la misma respecto de la exposición del Sr. D. José Francisco Mu- las razones que han dado varios Sres. preopinantes acerca de que se tomen me gdño Lé liíbairtn, eteifo Procurador por Na'jnrra, pidiendo je le exonere de didas para evitar las renuncias, no se refieran personalmente a ¿Í, pues en este gata cargo en atención á ,u.imposibilidad física de desempeñarte1^ m…</t>
  </si>
  <si>
    <t>Mu, Franciscode Paula</t>
  </si>
  <si>
    <t>Franciscode Paula Mu</t>
  </si>
  <si>
    <t>…expléndida mesa compuesta aquella plaza , por la que observará V. E. que el resto de la facción que en de ISO cubiertos, adornada con la mas exquisita delicadeza y simetría, en la Mata de Lobos fue atacada por el capitán graduado D. Franciscode Paula Mu que se sirvieron á los concurrentes los manjares y dulces mas exquisitos, con tal ñoz , según lo he detallado á V. E. en mi anterior parte, queda prisionera &lt;q abundancia y profusión, que después de haber cenado cerca de mil personas, dicha plaza en número de 46 hombres. de que constaba la reunión,…</t>
  </si>
  <si>
    <t>Mu, José Francisco</t>
  </si>
  <si>
    <t>José Francisco Mu</t>
  </si>
  <si>
    <t>…sidad, su inteligencia y Wt ' jjfl Sr. Mediano, como relator de la comisión de Poderes, presentó el honradez, y les consta también que ésta muy enfermo. Por lo tanto creo que sKctimcn.de la misma respecto de la exposición del Sr. D. José Francisco Mu- las razones que han dado varios Sres. preopinantes acerca de que se tomen me gdño Lé liíbairtn, eteifo Procurador por Na'jnrra, pidiendo je le exonere de didas para evitar las renuncias, no se refieran personalmente a ¿Í, pues en este gata cargo en atención á ,u.imposibilidad física de desempeñarte1^ m…</t>
  </si>
  <si>
    <t>Muc-as, Joaquín</t>
  </si>
  <si>
    <t>Joaquín Muc-as</t>
  </si>
  <si>
    <t>…brigadas que se hallaban en Navarra con la caba de carabineros; D. Blas María Castelvich, de la de caradores; D. Francisco llería, emprenderían el suyo según les teuia prevenido para el día de hoy. Figuerols, también capitán , y D. Joaquín Muc-as , subten-enie , que mezclán Durante mi marcha y sobre el pueblo de Ciordia, descubrieron las guerrillas dose con los grupos que penetraron hasta cerca de los montagesacabaron con de mi izquierda una emboscada enemiga que se puso en precipitada fuga bácia los traidores ayudados de los artilleros. la…</t>
  </si>
  <si>
    <t>Muchas, Isa</t>
  </si>
  <si>
    <t>Isa Muchas</t>
  </si>
  <si>
    <t>…esaria armonía y correspondencia entre las Oido el dictáméá &lt;fel Consejo de Gobierno y del de Ministros ,'Ee vertido diferentes partes del sistema administrativo. én decretar lo siguiente, en nótnore de mi muy cari y augusta Hija-Doña Isa Muchas son las causas que han producido en él tanta confusión y desatfeglo; pero pocas de mayor trascendencia y de influjo mas pernicioso que la. bel 11: Artículo l.° Queda suprimido el Consejo supremo de la Guerra.mezcla de atribuciones judiciales y administrativas*en los mismos cuerpos y Art. 2,° En.Sir…</t>
  </si>
  <si>
    <t>Mucho</t>
  </si>
  <si>
    <t>…ruselas 25 dt Octubre. indígenas con intención de llevar adelante las reclamaciones que se creen au Ya ha llegado á -Braselas el Sr. ministro de Negocios extrañaros. torizados á presentar, ya ante los tribunales, ya ante el nuevo gobernador. " —Mucho se hablaren el día de cierta dama que ha desafiado á un hombre, _Se lee en el Explorador del Mediterráneo lo siguiente: ¿ consecuencia de una disputa que tuvieron antes de ayer en un café de la ca EJ cólera sigue haciendo estragos ¿n Oran. El número de enfermos en lle de la Montaña. Se añade que es…</t>
  </si>
  <si>
    <t>…erecho, enumeró los conociniientos prévios que deben adquirir Berlín 16 de Noviembre. lOs qué quieran aplicarse con provecho á la jurisprudencia, y se extendió en luminosas reflexiones sobre las cualidades que han de adornar é un magistrado Mucho tiempo hace que no se ha visto en nuestra corte tanto movimien para que' sea digno del honroso y distinguido puesto que ocupa en Tí república, to como en el dia; el Emperador, cuya presencia es muy agradable, halla en y Otros puntos interesantes en que brillaron la erudición y las sanas ideas de to…</t>
  </si>
  <si>
    <t>Muestras, Cristipit</t>
  </si>
  <si>
    <t>Cristipit Muestras</t>
  </si>
  <si>
    <t>…u gobierno de sacri Cádiz 16 de Diciembrr. ; ficar el honor nacional al deseo de conservar la paz. Tan infundada era esta acusación én Inglaterra como en París; siempre hemos procurado, en todas Compama del camino de kierro de la Reina Cristipit. ‘Muestras relaciones, socorrer í los 'débiles que necesitaban nuestra protección, •y mostearnos filma y decididos, empleando un lenguage moderado con las Po- El dia 30 del mes último se celebró, ¡unta general de los accionistas de ténciasY&amp;rthidábles que hubieran, podido abusar de sus fuerzas. Cuando subi- e…</t>
  </si>
  <si>
    <t>Muffling</t>
  </si>
  <si>
    <t>…lectorales; modificación que en su sentir es ei obyáo oculto de llermo de Prusia, hermano de S. M., queda nombrado definitiva la ley, y cuyo resultado será prohibir toda clase de reuniones , aun mente gobernador de Maguncia, y el general Muffling, vicegober las de los individuos de una misma familia: en una palabra, que nador. según se vé no se quiere que los hombres se reúnan para tratar de ____ Una carta de Nueva-Yorck de fecha 25 de Febrero, recibida sus asuntos, ni que tengan correspondencia entre sí.” Verdad ts, esta mañana, anuncia qu…</t>
  </si>
  <si>
    <t>…ero no es esta la ocasión de entregarnos á este pais para ir al Haya, y se dice que-le sucederá como encargado de Nego este estudio, bastándonos aber que desdé 1815 empezó á renacer la prosperi cio* Mr. de Kusier, que acompañó al general Muffling á Constantinopla. dad de Ambéres, de cuya progresión ascendente podrá darnos una idea .el si Mr. de Mokerus, encargado, de Negocios en et Haya, ha sido llamado á guiente cuadro del movimiento comercial de aquella ciudad. esta corte, y no tendrá sucesor, pues en adelante las relaciones diplomáticas…</t>
  </si>
  <si>
    <t>…z de Europa está cimentada en firmes bases, y hay mayor proba de pasar á su palacioide recreo FitchbScbien Silasia. Reemplazará al príncipe bilidad que punca de que continuará sin interrupción. durante su ausencia el Sr. teniente general Muffling, comandante de la fortaleza, ... Eo cuatjto á los gastos públicos hemos extendido Ix economía á todos los de que actualmente está nombrado vicegobernador. A este cambio de gobier ramos, y minorado los presupuestos en cuatro millones y medio de libras es no general que pasa piraya, á la Prusia, se s…</t>
  </si>
  <si>
    <t>Mufiiz, Luis</t>
  </si>
  <si>
    <t>Luis Mufiiz</t>
  </si>
  <si>
    <t>…licitud de 5. M. para El Sr. D. Marcos Oxtiz de Taranco, administrador de correos de ata ca fomento y prosperidad de nuestra industria, es indispensable á todos aquellos qué pital , id. El prebendado de ata santa iglesia catedral D. Luis Mufiiz, id. Quierane 16 dededicarseOctubre ádela1830;fabrlc-cíonmuy útily comercioá los quedelse salitre,ocupan desestancadoen la elaboraciónpor Real4* laóroeépót-* La junta provincial cree de su deber el repetir á S. M. los singulares ser— vora, y á los aficionados á la caca, é interesante á rodos ios es…</t>
  </si>
  <si>
    <t>Muguiro</t>
  </si>
  <si>
    <t>…aban algunos dispersos, con cuyo motLro dispu gútodos tjdtf *e le» dispense lá asistencia por ahora, á causa de la enfermedad que so reunir sus fuerzas formando una columna de .'0 hombres de irifantería r 26 padecen: éh ¿uánta al Sr. Muguiro se acordó.que se reserve la decisión al Es- caballos, parte de gestos del escuadrón de Isabel 11 y del resguardo de Reat lamento* y en cuanto i lo» Sres. Carrillo y Urbina, que la junta quedaba en Hacienda, los qQe Uceaban i su cabeza al intendente de la provincia, diriterada.. ^ ciéndnse la cxpres…</t>
  </si>
  <si>
    <t>Muguiro, D José Francisco</t>
  </si>
  <si>
    <t>D José Francisco Muguiro</t>
  </si>
  <si>
    <t>…o PROVINCIA DE NAVARRA. da aquella provincia y el estado de su industria agrícola , fabril y comercial. Sr. D. Joaquín de Ezpelela. Sr. Marques de Montesa. Extracto del parte remitido por el gobernador civil interino de la provin Sr. D. José Francisco Muguiro é Iribarren. cia de Córdoba D. Simón de Rodas con fecha de 19 de Junio últimoHa socorrido á varios labradores con parte del trigo de los pósitos, reser vando la mitad de las existencias para los gastos del cólera-morbo. Partts recibidos en la secretaría de Estado y del Despacho de la Guerra. Está i…</t>
  </si>
  <si>
    <t>Muguiro, José Francisco</t>
  </si>
  <si>
    <t>José Francisco Muguiro</t>
  </si>
  <si>
    <t>…OVINCIA DE NAVARRA. da aquella provincia y el estado de su industria agrícola , fabril y comercial. Sr. D. Joaquín de Ezpelela. Sr. Marques de Montesa. Extracto del parte remitido por el gobernador civil interino de la provin Sr. D. José Francisco Muguiro é Iribarren. cia de Córdoba D. Simón de Rodas con fecha de 19 de Junio últimoHa socorrido á varios labradores con parte del trigo de los pósitos, reser vando la mitad de las existencias para los gastos del cólera-morbo. Partts recibidos en la secretaría de Estado y del Despacho de la Guerra. Está i…</t>
  </si>
  <si>
    <t>MuguTro</t>
  </si>
  <si>
    <t>…endo je le exonere de didas para evitar las renuncias, no se refieran personalmente a ¿Í, pues en este gata cargo en atención á ,u.imposibilidad física de desempeñarte1^ mediante pa caso no me parecen’ justas, tanto mas que en el Sr. MuguTro perderá el Brfa—- decer hace mas de scií años un escirro en la boca dd estómago, que le impide, mentó un excelente Procurador* He tomado la palabra únicamente para defén— •cupitaé'en ninguna tlréa seguida, y de lo cual acompaña certificación de fa— der su nombre, y no porque crea que se haya tenido…</t>
  </si>
  <si>
    <t>Muison</t>
  </si>
  <si>
    <t>…Luis, mariscal Gerard, el conde de Mr. R. Gordon reemplazará á Mr. Ellice en el ministerio de la Guerra. Rigny, Bignon, Guizot, duque de Brdglie, mariscal Jourdan, Tupinier, Mole, (Times.) Sebastiani, Laffitte, Casimiro Perrier, mariscal Muison, Montalivet, Merilhou, d’Argout, mariscal Soult, Barthe, Girod de l'Ain, Humann, Thiers, Persil, Duchatel, Roussin, Jacob, duque de Bassano, Bresson, general Bcr~ — Casi todos los ministros visitaron ayer á lord Melbourne, el cual fue nard, Passy, Teste, Carlos Dupin. Total 32. después á Brighton p…</t>
  </si>
  <si>
    <t>Mulgra.e</t>
  </si>
  <si>
    <t>762 __Ejtamoi autorizados'para contradecir la noticia desque lord Mulgra.e ha bernadorá, que/tíene por título: La inmortal Cristina , composición^del di ¿do nombrado ministro del sello privado en reemplazo del conde Carlisle. rector de la orquesta, para imprimir con ella en el alma de cuantos la oyen (Globe.') aquellos afecttíá que infunden la dulzura de ia música. Ademas…</t>
  </si>
  <si>
    <t>Mulgrave</t>
  </si>
  <si>
    <t>…ee que el Parlamento será prorogado hacia el 9 de Agosto. (Courier.j único fin á que se dirigen mis esfuerzos, asi como la recompensa mas grata para mí será el amor de una patria cuyas señales de afecto excitan siempre en ____ El lord Mulgrave se ha encargado por fin del sello privado , con entrada mí la mas tierna simpatía ” en el gabinete. No es cierto que lord Durham vaya á Irlanda. (Globe and tra- Luego que S. M. acabo de hablar resonaron otra vez las aclamaciones en veller.j el salón. Restablecido el silencio, el ministro de lo Inte…</t>
  </si>
  <si>
    <t>…ente reorganizado de la manera siguiente: Que no ha podido convenirse en las bases de un sistema común de adus M. Spring-Rice, secretario de las Colonias. ta?, sobre cuyo punto permanecen Austria y Prusia absolutamente separadas. Lord Mulgrave, de Correos, sin asiento en el gabinete. 3.° Que las fuerzas militares de la Confederación se aumenrarán con cada Lord Auckland , primer lord del Almirantazgo. «no de los Contingentes, hasta el efectivo de guerra. Lord Carlisie, lord del‘Sello privado. 4*° EL principio de la extradición seráunivers…</t>
  </si>
  <si>
    <t>…á los esclavos , y concluyó diciendo que si el pueblo de gros de la libertad que iban á adquirir. Añadió que seria de desear oir de boca Inglaterra habia hecho ti sacrificio de tanto dinero para libertar á los negros de del mismo lord Mulgrave el modo con que los misioneros cumplían su deber su opresión , confiaba que también disfrutaría el placer de los saludables efec en las colonias, y si era de^opinion que la acta de emancipación que por pri tos que la sábia medida del Parlamento habia de producir en la prosperidad de mera vez iba á…</t>
  </si>
  <si>
    <t>Munait, Roberto</t>
  </si>
  <si>
    <t>Roberto Munait</t>
  </si>
  <si>
    <t>…y correcta edición á 20 es. rústica y 23 en pasta.—Continuación ó’ segunda partp del Maoual de curiusid.d.-s arrtísiica* y entretenimientos útiles, por ner en conocimiento de V. E. que el principal grupo de rebeldes de la gavilla D. Roberto Munait. £□ este tomo , con presencia del Diccionario tecnológico publi . deCirnicer, iv&gt; pudiendo resistir por mas tiempo la activa y constante perse— cado eu París , los anales de química y fis ca, los de ciencias y artes, manuales de I cucion de los varios destacamentos que siempre iban á su alcance , se…</t>
  </si>
  <si>
    <t>Munaiz, Roberto</t>
  </si>
  <si>
    <t>Roberto Munaiz</t>
  </si>
  <si>
    <t>…s distraían de su instituto primario, y Felisa ó el vicio castigado y la virtud recompensada, novela francesa, traducida li menguaban su necesaria independencia. Libre el acceso a las fuentes del saber, bremente al castellano por D. Roberto Munaiz, un tomo ia.° con laminas, a 8 rs. no envidiaremos los progresos de las naciones vecinas, ni mendigaremos Jas rústica y 10 en pasta.—Opúsculo sobre probabilidades , con aplicación á algunos Juegos de suerte y á la lotería, un tomo 4.0 rústica á 8 rs .—Memoria sobre las mi producciones literarias ó…</t>
  </si>
  <si>
    <t>Munch-Bellinghauscn</t>
  </si>
  <si>
    <t>…nedas de varias clases en que iban inscritos el nombre dé influencia intenta ponerse á la cabeza del sistema que la Prusia ha inventado. nuestra amada Reina y el día de su proclamación; y ios vivas que de todas En consecuencia el conde Munch-Bellinghauscn, supliendo las veces de M. de partes se levantaron y el general alborozo, dieron bien á entender los senti Metternich, en 1a asamblea, acogió el pensamiento de M. d’Ompteda, y dijo es mientos de que está animado este leal vecindario. tar autorizado para asegurar al congreso que el Austria adheriría…</t>
  </si>
  <si>
    <t>Munch-Bellinghausen</t>
  </si>
  <si>
    <t>….. 33o t9ó 95. Para Indias....... ______400 ROO loo» DE MADRID. ARTICULO DE OFICIO. Vierta 19 de Octubre. M. la Repta nuestra Señora, su augusta Madre la Rbtka Cotiérnadóra J la ¡^erma. Srá. Infanta Doña María Luisa, continúan El conde Munch-Bellinghausen, que ha sido nombrado presidente de la Dieta germánica, ha tenido la audiencia de despedida de S. M. el Emperador, y nn novedad en su importante salud en_el Real sitio del Pardo. salió ayer para Francfort. Las últimas noticias de la Grecia, á pesar de que parecen ser muy satis Kota. JJn lá Gaceta n…</t>
  </si>
  <si>
    <t>Munch-J</t>
  </si>
  <si>
    <t>…ubo iluminación general, repique de aquel presentar objeción que fuese de fundamento, y se víó como obligado á campanas, música militar, que franqueó el Reai cuerpo de zapadores, dando si mostrarse agradecido á la proposición del conde Munch-J3ellinghausen. En es mismo tiempo Í3 guardia de honor al retrato de S. M. expuesto públicamente te estado de cosas, y discutido el punto en tres sesiones posteriores, convinie en las casas consistoriales. ron las partes en una base común, dejando los pormenores á un segundo con greso, compuesto prin…</t>
  </si>
  <si>
    <t>Munier, Casimiro</t>
  </si>
  <si>
    <t>Casimiro Munier</t>
  </si>
  <si>
    <t>…a, barrio de S. Plácido , las medi „ « La* Cámara-$&gt;nóx fina , lo mismo que la interior , y que toda Cámara cons cinas para los pobres de aquel barrio. titucional, tendrá por divisa necesaria ei mantenimiento de ia Cuta; si fuese D. Casimiro Munier , establecer baños de todas clases^ bajo la dirección de posible que se presentase un ministerio á nombre dei poder pidendo el sacrifi los señores facultativos en los edificios que se de^icnaren con !a mayor econo cio de la Carla , no seria esta , sino aquel quién sucumbiría, beria tratado como mía…</t>
  </si>
  <si>
    <t>Munilla, Francisco Fernandez</t>
  </si>
  <si>
    <t>Francisco Fernandez Munilla</t>
  </si>
  <si>
    <t>…eniente corregidor de esta villa, se cita £ diendo lo mismo en Covilhá al Sr. mariscal de campo D. Francisco Sanjua- los que se crean con derecho al vinculo y mayorazgo fundado en esta corte por el doc nena con la vanguardia. tor D. Francisco Fernandez Munilla, cuyo ultimo poseedor ha sido D. Benito Fer La disciplina de estos cuerpos continúa recomendable, sin baja alguna en nandez MuniLU, para que en el preciso término de treinta días comparezcan a dedu la fuerza efectiva, siendo satifactoria* la salud que disfruta el ejército. cirlomientoantede elquere…</t>
  </si>
  <si>
    <t>Muñiz, Cayetano</t>
  </si>
  <si>
    <t>Cayetano Muñiz</t>
  </si>
  <si>
    <t>…, habiendo ya ocurrido «ario* Escudero .alcalde del crimen de la misma: en clase de alcaldes del accidentesenfermedadenunestacaráctercapitalmaligno.y sus arrabales, aunque hasta ahora no presenta la crimen á D. Joaquín Velluti, á D. Cayetano Muñiz, alcaldes de di » E»u legación griega continua experimentando las dificultades y disgusto* cho superior tribunal, á D. Francisco Cortazar, á D. Pablo Govan- que hace tiempo sufre de paite del gobierno turco. Mas de 81) buques griego* tes y á D. Blas Damián de la Vega: y para fiscales, á D. Claudio…</t>
  </si>
  <si>
    <t>Muñor, Antonio</t>
  </si>
  <si>
    <t>Antonio Muñor</t>
  </si>
  <si>
    <t>SUPLEMENTO A LA GACETA DE MADRID DEL MIERCOLES 23 TDE ABRIL DE 1834, ARTICULO DE OFICIO. Partes recibidos en el ministerio dt la Guerra. anterior escrito; particularmente al capitán D. Antonio Muñor, herido gravemente, y á la familia del soldado José Macias paia la Capitanía general de Extremadura.rrFxcmo. Sr.=El coman gracia y pensión que tenga á bien dispensarle S. M.; siendo igual dante general de vanguardia, brigadier D. Francisco Sanjuánena, mente acreedor á mi memoria el Sr. mariscal de…</t>
  </si>
  <si>
    <t>Muñor, D Antonio</t>
  </si>
  <si>
    <t>D Antonio Muñor</t>
  </si>
  <si>
    <t>Muñoz, Alfonso</t>
  </si>
  <si>
    <t>Alfonso Muñoz</t>
  </si>
  <si>
    <t>…mi carrera no he locado ni visto una rolun** cHj 1 &gt; de M iyo actual dice lo siguiente: Según me avisa el comandante de ar tad mas sincera , n¡ mas unida con su gefe , que la de los individuos que com mas d* Pta»encia, el rebelde D. Alfonso Muñoz, cogido con la mayor parte ponen la expedición de Portugal, cu\a conducta es digna del mayor eíogío. de su ¿acción en la dehesa de San Benito, término de Navalmora!, sufrió el ca&lt;*¡go á que se hizo acreedor por su perfidia en ia tarde,del 11 del corr eme, expiando cpn su vida la carrera de sus crím…</t>
  </si>
  <si>
    <t>Muñoz, Antonio</t>
  </si>
  <si>
    <t>Antonio Muñoz</t>
  </si>
  <si>
    <t>…comunicación del que se halla puesto i la cabeza del gobierno soldado de la Reina José Macias, y gravemente herido de un tra de dicha plaza, no han llegado hasta esta hora; v á fin de enterar bucazo de postas el espitan del mismo D. Antonio Muñoz. me de cuanto allí pasa y se necesita, despacho al amanecer de ma n La pérdida en los facciosos la ignoro en este momento que son ñana á D. Francisco Perez Paulino, vecino de la Fegemeda, per las tres de la mañana; conservo en mi poder 19 prisioneros entre sona de toda mi confianza, y enterado en el…</t>
  </si>
  <si>
    <t>Muñoz, D Fernando</t>
  </si>
  <si>
    <t>D Fernando Muñoz</t>
  </si>
  <si>
    <t>…ceder el inc;v •: av.- rando la pacificación de aquella parte del mundo. S. M. seguida del Exorno, br. duque ce Alagon , su caprt.m de u...i:.:.a-. \ &gt;i. . «Estos acontecimientos, y particularmente el estado en que se halla la Pe Sr. D. Fernando Muñoz , *u gentilhombre. Kn el instante *e a. a-w i&gt; .1 nínsula, han estorbado la reforma proyectada en el ejército. La Cámara, á pe ¿ recibir á S. \t. , x acompañarla en la visita que tue haciendo a .a* »•&gt; n:rs en tar del vivo deseo que tiene de aliviar las cargas públicas, nunca vacilará en fermas. Se…</t>
  </si>
  <si>
    <t>Muñoz, D Juan de Toledo y</t>
  </si>
  <si>
    <t>D Juan de Toledo y Muñoz</t>
  </si>
  <si>
    <t>…erto de Santa María, Sí. D. {francisco Hubcrt. -y se ocupa en el proyecto de limpiar la barra de este, y en el de reunir las cor Sr. D. Nicolás Bonet y Orbe. rientes del Guadalcte al Guadalquivir, como asimismo en la pronta compo Sr.-D. Juan de Toledo y Muñoz. sición del arrecife que desde el rio Zurraque conduce á Chic lana. Sr, D. José de Búrgos y Tello. Ha procurado eh. vano formar una fcnbliotoo* pública en aquella capital. Sr. Conde deViihunecuu Extracto del parte rcmittdó por ei. gobernador civil de la provincia de BurPROVINCIA DR MÁLAGA* ■gos D. M…</t>
  </si>
  <si>
    <t>Muñoz, Fernando</t>
  </si>
  <si>
    <t>Fernando Muñoz</t>
  </si>
  <si>
    <t>…r el inc;v •: av.- rando la pacificación de aquella parte del mundo. S. M. seguida del Exorno, br. duque ce Alagon , su caprt.m de u...i:.:.a-. \ &gt;i. . «Estos acontecimientos, y particularmente el estado en que se halla la Pe Sr. D. Fernando Muñoz , *u gentilhombre. Kn el instante *e a. a-w i&gt; .1 nínsula, han estorbado la reforma proyectada en el ejército. La Cámara, á pe ¿ recibir á S. \t. , x acompañarla en la visita que tue haciendo a .a* »•&gt; n:rs en tar del vivo deseo que tiene de aliviar las cargas públicas, nunca vacilará en fermas. Se…</t>
  </si>
  <si>
    <t>Muñoz, Francisco</t>
  </si>
  <si>
    <t>Francisco Muñoz</t>
  </si>
  <si>
    <t>…oja Ha formado dos partidas de tiradores mandadas por D. Lorenzo Maulconen su tránsito por aquella provincia con las tropas de su mando, sobre cuyo particular se expresa en estos términos: ’&gt;Tan recomendable es y digno de cío - y D. Francisco Muñoz, los cuales han emprendido la persecución de malhe »g¡ó el espíritu público de toda la Rioja, que han recibido al ejército con las chores con resultados muy ventajosos. "'demostraciones mas positivas de un júbilo sin límites, y que no puedo expre Igualmente ha autorizado al capitán retirado en la v…</t>
  </si>
  <si>
    <t>…che 4 V. E. se ha verificado lo que tno tante. propuse antes de a)cr, y que encargue al bizarro capitán del regimiento caba Los cuatro buques que deben ¿rúzar delante de las costas de España, es llería de la Reina, 1.° de linea , D. Francisco Muñoz , para que desembarazas* peran despachos del ministerio.para darse á la tala. (Mtnjagero.) el camino de Salvatierra , en el que un confidente no pudo pasar por haber vi«- to junto i Andicana cuatro caballos que ob&gt;ervaban todas la avenidas; y co ____ Pocos años se han visto tan fecundos cómo el pre…</t>
  </si>
  <si>
    <t>Muñoz, Gabriel</t>
  </si>
  <si>
    <t>Gabriel Muñoz</t>
  </si>
  <si>
    <t>…de Samandecei permiso que solicitó para la construcción D. Mauricio CárLos de Onts................................................................... 309 de un teqtto, poniéndose de acuerdo con el gobernador civil en cuanto á la D. Gabriel Muñoz, por la suscripción del presente mes.................. 29 elección del terreno que para ello ha de tomarse á censo. El Sr. D. Pedio Balsera, por la suscripción de Agosto último, al respecto de 12 rs. diarios......................................................... ................. 372 En otra de 3…</t>
  </si>
  <si>
    <t>…............ 160 Silveira da Motta, secretario de Ja magistratura, lo suscribí. = José Ferreira Borges (Gaceta oficia/ del gobierno.") D. José Sueltn , charolista.... _.......................................................... 60 D. Gabriel Muñoz, encargado de los dos cuartos de SS. MM. y A. 540 rs., los 500 por una vez y los 40 rs- restantes por el presente mes y et que viene á razón de 20 rs. que mensualmente ofrece mientras dure la epidemia...................... ................................................................. , 540 ESPA…</t>
  </si>
  <si>
    <t>Muñoz, Gregorio</t>
  </si>
  <si>
    <t>Gregorio Muñoz</t>
  </si>
  <si>
    <t>…ebeldes hacían parape Burdeos, 00. zo, * b. Granada, i id. Zaragoza, j d. tados , avanzó hasta desalojarlos de todas sus posiciones, sostenido por el va Hainburgo, 00. Barcelona, k ps. ó., Malaga, f b. Descuento de letras. liente D. Gregorio Muñoz, capitán de la expresada compañía de Avila. Des Londres, 4 90 dias. id. id. Sanrander, I id. k 4 p. 100 al año, - 18¿ Bilbao, par. Santiago , j k 1 d. pués de una hora de fuego me vi precisado á disponer la retirada á causa de Ocupar el enemigo con su mayor número un parapeto en una posición ventaf…</t>
  </si>
  <si>
    <t>Muñoz, Ildefonso</t>
  </si>
  <si>
    <t>Ildefonso Muñoz</t>
  </si>
  <si>
    <t>…o es inferior al de mayorV ó de los empleados de rantxís corres dirigidos ]&gt;or el teniente Don Antonio González, consiguieron des pondientes , si pierden á su padre ó á su madre ó á ambos se hallan í_veces pri truir la facción de Don Ildefonso Muñoz, rindiendo á este cabecilla vadas , no solo de una educación conveniente , sino aun de todo i¡í¡o en una el expresado Lozano, y capturando otros individuos de la facción edad y en una época en que no pueden ser admitidas efrtosotaes'tstabtecimiee— que.se fugaban, lia venido S. M. en nombrarle notar…</t>
  </si>
  <si>
    <t>Muñoz, Juan de Toledo y</t>
  </si>
  <si>
    <t>Juan de Toledo y Muñoz</t>
  </si>
  <si>
    <t>…de Santa María, Sí. D. {francisco Hubcrt. -y se ocupa en el proyecto de limpiar la barra de este, y en el de reunir las cor Sr. D. Nicolás Bonet y Orbe. rientes del Guadalcte al Guadalquivir, como asimismo en la pronta compo Sr.-D. Juan de Toledo y Muñoz. sición del arrecife que desde el rio Zurraque conduce á Chic lana. Sr, D. José de Búrgos y Tello. Ha procurado eh. vano formar una fcnbliotoo* pública en aquella capital. Sr. Conde deViihunecuu Extracto del parte rcmittdó por ei. gobernador civil de la provincia de BurPROVINCIA DR MÁLAGA* ■gos D. M…</t>
  </si>
  <si>
    <t>Muñoz, Manuel</t>
  </si>
  <si>
    <t>Manuel Muñoz</t>
  </si>
  <si>
    <t>…endar muy particularmente á V. E. el valor y pericia de dicho teniente de cazadores Miqueloti, la serenidad y presencia de áni Extracto del parte que da el subdelegado de Fomento de la mo del cadete del regimiento á que pertenece D. Manuel Muñoz, provincia de Toledo con fecha de l.° de Marzo, y firma el secre que desempeñó las funciones de subalterno á mi satisfacción; á loe tario de la subdelegacion D- Félix García de Ceorva por indispo sargentos segundos Matías Navarro, del expresado regimiento de sición de su gefe. caballeríay Domingo T…</t>
  </si>
  <si>
    <t>Muñoz, Teresa</t>
  </si>
  <si>
    <t>Teresa Muñoz</t>
  </si>
  <si>
    <t>…ños y niñas de tos en diferentes épocas sobre el mismo objeto en cumplimiento de lo prevenido en el articulo 14 del Real decreto de 9 de Junio de 181S. barrio^ de S. Plácido y Bueña-Dicha de esta corte, á D. Manuel Menendez y y á Doña Teresa Muñoz, que desempeñaban en propiedad otras enseñanzas de igual clase. Habiendo solicitado la Real sociedad económica de Oviedo que S. M. se dignase aprobar el reglamento que ha formado para la cátedra de economía polí S. M. se ha servido conferir la plaza de oficial tercero de la contaduría de tica estab…</t>
  </si>
  <si>
    <t>Muoster</t>
  </si>
  <si>
    <t>…ncias privadas del gran can cidad. , , . ciller , sino que algunos logran la preferencia, como sucede con M- d*Ompteda, Quiera el Todopoderoso conceder a V. M. dilatada vida, para que, sir plenipotenciario'de Hannover, que con el conde Muoster hizo gran papel en viendo dé vivo ejemplo de todas las virtudes á la augusta Sucesora de la gran ei famoso congreso de Vicna. Este mismo representante parece que lie&amp;e gran Isabel, pueda entregarla á su mayor edad las riendas del gobierno de la Espa indujo con los de Badén , Nassau , Brunswick., Ol…</t>
  </si>
  <si>
    <t>Mur, Marrin</t>
  </si>
  <si>
    <t>Marrin Mur</t>
  </si>
  <si>
    <t>…......................... Málaga. ciosos, entre ellos el nominado Joaquin Sebastian , los que me entregó en Pan- 6,806..................... 1000......................................... Puerto de Santa Alaría. ticosa el expresado D. Marrin Mur, y se puso á mis órdenes. 648............. . . .. 1000....................... ................ Tarragona. .. Mientras tanto me dirigí yo con la demas fuerza en persecución del grueso 781............. .... 400..........................■................ Sevilla. de la facción, y sobre el Pueyo pude p…</t>
  </si>
  <si>
    <t>Mur, Martin</t>
  </si>
  <si>
    <t>Martin Mur</t>
  </si>
  <si>
    <t>…e de anteayer en el pueblo mas firme de dulzura y de clemencia.=El duque de la Terceira. de Piedrafita, valle de Tena; y en este momento acabo de recibir partes del teniente graduado D. José Dea, del cabo del resguardo de Sallent D. Martin Mur, y del justicia general de dicho valle, El capitán general de Valencia con iecha 22 de Abril actual por todos los que, y otros avisos que he tenido resulta han sido comunica el parte siguiente: batidos los facciosos con la pérdida de un muerto, un herido y 14 Excmo. Sr.: D. Antonio Falcon, capitán…</t>
  </si>
  <si>
    <t>…............................... Segovia. leros con varios paishnos los persiguiesen, y debajo de Tramacastilla, cerca del .9,452....................... 2000.................................. .. Madrid. Gallego, se encontraron con D. Martin Mur, cabo de la ronda de Sallent, que ¡ 665....................... 1000.......................................... Zaragoza. con 8 dependientes , el interventor de aquella aduana D. Juan Blasco , y un 8,106....................... 1000........................................ Barcelona. paisano de Zaragoz…</t>
  </si>
  <si>
    <t>Múrales</t>
  </si>
  <si>
    <t>…hecho cuanta ha podido y de tina economía que raya en mezquindad, voto por la asignación propuesta por , bido hacer en este particular.” el Gobierno.” - lí &gt;El Sr. Butrón; «La posición en que se encuentran, tanto, la comisión El Sr. Múrales: «La comisión, compl ha dichoya repetidas veces, hu- como los Procuradles, es sin duda de las mas críticas que pueden presentarse. fnera querTdo poáef atender con las mayOrea consignaciones, posible», al esplen Estrechados todos por la escasez de recursos., es necesario que busquemos el dor de todo…</t>
  </si>
  <si>
    <t>Murat</t>
  </si>
  <si>
    <t>…18U7 le nombró S. M. redactor de la Gaceta de sin superstición ni hipocresía, fue dechado de perfección, si cabe perfección en Madrid. Este destino le puso en el glorioso peligro de perder la vida por orden las cosas humanas. del Príncipe Murat el día 3 de Mayo de 18U8, irritado de que se hubiese puesto en dicho periódico un artículo relativo a la proclamación del Sr. Don Fernando vi i en la ciudad de León. bolsa SE comercio.__Cotización de hoy á las tres de la tarde. En l.° de Diciembre dei mismo afio salió de la corte, con el objeto de…</t>
  </si>
  <si>
    <t>Murciano, Francisco de Paula</t>
  </si>
  <si>
    <t>Francisco de Paula Murciano</t>
  </si>
  <si>
    <t>…de Avilé* á D. Pascual Argtlelles Toral: para la de Villanue- de casos desgraciados; va de los Infmtesá D. Javier de Surga: para la de Morilla del Palancar á D. José María Serrano: para el corregimiento de Talayera de la Reina á Don Francisco de Paula Murciano: para el de Requena á D. Eugenio Rufino Her La empresa del canal de Aragón, deseosa de propagar el ramo de arbolado nández: para el de Andujar á D. Laureano Rojo de Norzagaray: para el de con arreglo á las órdenes de S. M., se halla con un crecido número de árboles Chinchilla á D. Benito Romero: pa…</t>
  </si>
  <si>
    <t>Murías, D Pedro</t>
  </si>
  <si>
    <t>D Pedro Murías</t>
  </si>
  <si>
    <t>…so único de Irun todo lo que nos compra para el uso de su ejército. los rebeldes el paso del Ebro, quedándose el mencionado 2.® comandante de (D. de ios Deba/fs.) Vicente con una reserva de 30 hombres de Extremadura, al cargo del capitán D. Pedro Murías , 60 de Castilla , á las órdenes del teniente graduado de capi Sayona 6 di Sttitmbrr. tán D. José María Choribit, y tres compañías de Borbon á las de los capitanes D. Joaquín Diaz Ribago y D. Miguel Arnat, y del teniente D- José Regí no Se asegura que la junta carlista llegó el dia 3 del corriente…</t>
  </si>
  <si>
    <t>Murías, Pedro</t>
  </si>
  <si>
    <t>Pedro Murías</t>
  </si>
  <si>
    <t>…de Irun todo lo que nos compra para el uso de su ejército. los rebeldes el paso del Ebro, quedándose el mencionado 2.® comandante de (D. de ios Deba/fs.) Vicente con una reserva de 30 hombres de Extremadura, al cargo del capitán D. Pedro Murías , 60 de Castilla , á las órdenes del teniente graduado de capi Sayona 6 di Sttitmbrr. tán D. José María Choribit, y tres compañías de Borbon á las de los capitanes D. Joaquín Diaz Ribago y D. Miguel Arnat, y del teniente D- José Regí no Se asegura que la junta carlista llegó el dia 3 del corriente…</t>
  </si>
  <si>
    <t>Muro, Angel Ramón</t>
  </si>
  <si>
    <t>Angel Ramón Muro</t>
  </si>
  <si>
    <t>…al de Cataluña participa el resultado de las últimas ope dero; para el de Garrobiílas á D. Diego Martínez Pela yo, que lo es de Coria; raciones practicadas en el corregimiento de Tortosa y derecha del Ebro por el para el de Roa á D. Angel Ramón Muro, que lo es de Potes; para el de Ar- brigadier D. José María Coiubi, gobernador y comandante general de aquel nedo á D. Antonio Mediano, alcalde mayor de Autol, y para teniente de distrito. asistente de Sevilla á D. Manuel García Gallardo. El estado de aquel país, tan afligido hasta ahora por las co…</t>
  </si>
  <si>
    <t>Muro, Cayo</t>
  </si>
  <si>
    <t>Cayo Muro</t>
  </si>
  <si>
    <t>…ría 6.a ligeros Doo menegildo Pa&amp;amontes, .y la segunda de bizarros soldados del regimiento 6.° de Juan Francisco González , desde Castrojeriz con fecha 23 del actual, me arú ligeros, marchando á mi costado el teniente amnistiado D. Cayo Muro, el sar que noticioso de que la facción de Merino había Sido dertotada, y que un nu gento de lanceros de la guardia Real D. Francisco Marcó, y el de húsares Don meroso grupo de facciosos se hallaba en Lantadilla, se encaminó con lat$may« -Rafael Pérez Vento, me dirijí al gran trote sobre el enemigo…</t>
  </si>
  <si>
    <t>Muruaga, Domingo</t>
  </si>
  <si>
    <t>Domingo Muruaga</t>
  </si>
  <si>
    <t>…os. fondos de la extinguida inquiuroLATsauá-sicion cobraba el prófugo D. Pedro Francisco Barcena, quede ad judicada desde luego á. los. dos-hijos de menor edad que ha dejado el Líndrrs' 19 Jt Mayol . . z benemérito.y desventurado capitán ©¿'Domingo Muruaga, barbara- Fotutos púhiicot. Tres por l OO consolidados 92|- _ t • . - ¿ mente asesinado por la gavilla del rebelde Zavala; y que dicha per Estos dias han visitado al vizconde Ealmerstpn en la ¿secretaría &lt;fc Estádq sionséjpa en representación de lo® menores, á su madre viud¡ M. de Moraes Sarmentó,…</t>
  </si>
  <si>
    <t>Musinam</t>
  </si>
  <si>
    <t>…sin embargó gra duales y sucesivas para no chocar demasiado con las preocupaciones populares. tDBM de ios dipltados._ JWi'oh del 8 de Mayo. liemos lerdo los informes presentados á las Cámaras acerca de los matri monios mixtos. El diputado Musinam ba recordado en esta ocasión , que ha Se informa, acerca de un proyecto de ley dirigido á socorrer á las víctimas biendo publicado el arzobispo de Vieha una bula del Papa sin haber precedido de los alborotos de León. la autorización del gobierno, DO solamente fue castigado el prelado, sino que Cont…</t>
  </si>
  <si>
    <t>Muso, Manuel</t>
  </si>
  <si>
    <t>Manuel Muso</t>
  </si>
  <si>
    <t>…dictámen u «La comisión encargada de dar su parecer sobro lomo, y toda la tropa oes mandaba; igualmente que de la actividad y. buen de el importantísimo negocio de la regencia del reino, que el gobierno- ba someti seo del alfeftz D. Manuel Muso con toda la trbpa.de infantería, como también do á la deliberación de las Cortes, ha meditado atentamente sobre un objeto, que por sí mismo, y por todas las circunstancias que le acompañan , es de la de D. José de la Peña, veredero interino de tabacos, que voluntar ¡amento so prestó á seguir la col…</t>
  </si>
  <si>
    <t>Musso, José</t>
  </si>
  <si>
    <t>José Musso</t>
  </si>
  <si>
    <t>…aenc&lt;a salió Testa’con su infantería en U misma dirección, S. Cristóbal sa- Extracto del parte remitido por el gobernador civil de !» provincia dé Mur Jaó de Meccreyes, el comandante Montero desde Contrera» se puso también en cia D. José Musso v Val-ente con fe^ha de 30 de Abril último. movimiento , dando aviso á los coroneles Obregon y Albuin), que debían estar Ha prom&lt; vido la limpia y compoMcion de varias acequ'as. ea Aranzo 4e Miel y Huerta de Rey: de manera que en una extensión de po Ha comunicado la Real orden que manda queden ahui…</t>
  </si>
  <si>
    <t>Mustafí</t>
  </si>
  <si>
    <t>…arra 3. ky , que ya desempeñaba interinamente el referido empleo. Orense 3, Oviedo 6. Por otra Real órden del mismo dia se ha dignado el Emperador admitir Patencia 2, Pontevedra 5. en su servicio i Djavat-Khan , hijo del teniente general Mustafí, Khan del Salamanca 3, Santander 2, Segovia 2, Sevilla 6, Soria 2. Schiervan, confiándole el mando de un . escuadrón de cazadores de montaña del Cáucaso, en recompensa de la decidida adhesión da tu padre á la Rusia. Tarragona 3, Teruel 3, Toledo 4.</t>
  </si>
  <si>
    <t>Mutrch-Béllinghansscn</t>
  </si>
  <si>
    <t>040 , ;____El Courur * hablando de la polémica suscitada, con tanto calor entre Ips njotlvo del nombramiento del conde Mutrch-Béllinghansscn como presídeme periódicos franceses sobre la íegaiidacf de convocar las Cámaras para eí 30 de dé la Dieta, se han desvanecido ya completamente. Este ministró, cuyfc eleva Julio, en Tugar de convocarlas^ para el 20 de Agosto, dice que él ño ye en el ción á la dignidad de vice-candller se había anunc…</t>
  </si>
  <si>
    <t>Múwj</t>
  </si>
  <si>
    <t>…número de ca , de Jltar je dividieron, en varias direcciones. El 25 llegaron 4 Cambó el cora- sos funestos. ^ ntnzrs. Já nlana ina.yor general D. Laureano Sanz y un ayudante de campo vdd£g$pesaL Lprenito,; que ,se presen taron al general Múwj el cual debia salir de aim se suponía que debía entrar jen .Navarra el 29.' ANUNCIO. 'Et genefal Lafre, segundo cabo de Castilla la Vieja, dice.desde Valladpiid lConj{ccha dc 3Q,ic^ tc[etcBch ¿l $ów.andaatc de armas de. Axanda, qua se A vírréd dé despacho exhortatorio librado por el Sr. alcalde may…</t>
  </si>
  <si>
    <t>Muza</t>
  </si>
  <si>
    <t>…Sevilla en particular. Sirva esta especie su origen de los moros, pues que no se con «vieron hasta que estos vinieron ; y de protesta de contestación á la indicación que acaba de hacer el Sr. Ministro sabido es que cuando su gran capitán Muza intimibi á una plaza la rendición, de Hacienda sobre que la petición de que se trata pueda dar márgen á que los re si se verificaba esta desde luego, la única contr hucion que pagaban sus ^abi presentantes de las demas provincias pidan respectivamente la abolición de otras tantes era la del diezmo…</t>
  </si>
  <si>
    <t>Muzqútz, Juan Aguado</t>
  </si>
  <si>
    <t>Juan Aguado Muzqútz</t>
  </si>
  <si>
    <t>…l escribano Romeral, se cita á todas las personas que se cread con derecho á los ofrecido. Su hermano, que ayer asistió á la tertulia de Mr. Dupin, ha dado bienes &lt;?&lt;&gt;* han quedado por muerte de Doña Ana María Fernandez, viuda de D. Juan Aguado Muzqútz. á fin de que en el término de 30 días se presenten á deducirle ante esta noticia i todos los concurrentes. (Idetfi.) el referidq. juez; con apercibimiento que de no baeerlo les parará perjuicio. EN LA fMPRENTA REAL.</t>
  </si>
  <si>
    <t>Mw-naiz, Roberto</t>
  </si>
  <si>
    <t>Roberto Mw-naiz</t>
  </si>
  <si>
    <t>…inmediatos. / ANUNCIOS. "Tablas de logaritmos para los números y los senos por M. Lalande, con sus ex Capitanía -general de Aragón.z=Excmo. Sr.: Según parte que acabo de reci plicaciones y apLicacionés, puestas en castellano por D. Roberto Mw-naiz, &lt;jq ¿oipo bir del gobernador de Alcañiz, fecha 11 del corriente, ten£o el honor de po en 8.,° de bellísima, y correcta edición á 20 es. rústica y 23 en pasta.—Continuación ó’ segunda partp del Maoual de curiusid.d.-s arrtísiica* y entretenimientos útiles, por ner en conocimiento de V. E. que el pr…</t>
  </si>
  <si>
    <t>N, José Miera y D</t>
  </si>
  <si>
    <t>José Miera y D N</t>
  </si>
  <si>
    <t>…u buen porte. El capitán llafria, y respecto á que sin detenerse en este pueblo continuó por de cazadores de Segovia D. R-ampc; Qqjhí y sus subalternos los te el monte de Arcena, determinaba pernoctar alli, y que los caza nientes D. José Miera y D. N i colas Mendora; el sargento l.° Don dores de Laredo y destacamento de caballería del 5.a de ligeros si Ignacio de la Infanta, el cabo í-°Rattítín Rodríguez, y el cazador guiesen al punto que V. S. les tenia designado. Rosendo Serrano, dieron pruebas de mucho valor, empezando la A las dos de esta m…</t>
  </si>
  <si>
    <t>N, NOTICIAS F X T R A</t>
  </si>
  <si>
    <t>NOTICIAS F X T R A N</t>
  </si>
  <si>
    <t>…rin&gt;&gt;................. rio jKo 80. de Correos. Para Canarias................ níy Para indias................ 40o 200 loo. GACETA DE MADRID ARTICULO’ DE OFICIO. PARTE A’O OFICIAL. L4 Reina nuestra Señora Doña Isabel ii, y S. M. la Reina NOTICIAS F X T R A N G F R A S. Gobernadora, siguen en el Real sitio de Aranjuez sin novedad en su importante salud. IWGLATERRA. Del mismo beneficio disfrutan SS. AA. RR. los Serraos. Se Londres 3 de Mayo. ñores Infantes. Fondos públicos. Tres por 100 consolidados 92. El l.° del corriente las dos Cámaras del Parlamento…</t>
  </si>
  <si>
    <t>N-isin, Juan</t>
  </si>
  <si>
    <t>Juan N-isin</t>
  </si>
  <si>
    <t>…no; á D. Mariano Liñan, Procer del Reino v obispo electo de Teruel; á D. José Mariano Vallejo, vocal que lia Gobernadora y la Serma. Sra. Infanta Doña María Luisa, continúan sido de la inspección general de Instrucción pública: á D. Juan N-isin novedad en.su importante salud en el Real sitio del Pardo. casio Gallego, ministro del tribunal de la Real Gracia del excusado, y á D. Eugenio Tapia, ministro honorario de la Real audiencia de Valladolid. Y para suplentes, con opcion á la primera vacante, sin REALES DECRETOS. necesidad de nuevo nom…</t>
  </si>
  <si>
    <t>N.cola</t>
  </si>
  <si>
    <t>…augusta R«al Princesa, cuando vino á oscurecer Sir Stratford Canning ha resignado su mssion de embajador i San Peters- I tan serenos y alegres días la infausta nueva del fallecimiento del Padre de la burgo, porque se dice que el Emperador N.cola» no quiere admitirle. (Pw/.) I patria. Lo fue con singular amor para esia numerosa porción de sus hijos nues ('.orre la voz de que el gabinete de Husia ha tomado un tono roa* wmiso j tro Rey y Señor D. Fernando vil, derramando en su favor cuantas franqui- con respecto á los negocios del Oriente , y…</t>
  </si>
  <si>
    <t>Nació, Francisca Pacheco</t>
  </si>
  <si>
    <t>Francisca Pacheco Nació</t>
  </si>
  <si>
    <t>…os públicos, pendiente de una. nueva organización gubernativa, exige que Fue hijo de D. Iñigo López de Mcndáza. conde de Tendilla y marques el' tiempo no sea empleado sino en aquellas medidas que puedan tener un de Mondejar, y de Doña Francisca Pacheco» Nació á principios del siglo x vi éxito ran prdvechoso como cierto. en Granada, y no en Toledo, según parece creyó el erudito'D. Tomas Ta- «Dios &amp;c.=Nicolas Anchorena.” mayo de Vargas en sus elogios de los célebres escritores carpentaños. Hizo sus .,. principales estudios en Salamanca, no solo en lá juri…</t>
  </si>
  <si>
    <t>Nada</t>
  </si>
  <si>
    <t>…n, directa ó indirec añadiendo que su antiguo destino se ha conferido á otro, privando por este he tamente, i alterar la tranquilidad de los Estados vecinos, y en que la Confe cho á la ciudad de Francfort de la presencia de aquel ministro. Nada de esto es deración asegure qpe tomará disposición* para impedir toda tentativa seme cierto, pues-aunque Ja dilatada ausencia de M. Munch haya dado motivo para jante al atentado cometido en el. mes de Febrero último. No exigen esto los que se formen varias conjeturas, lo que hay en realidad es lo sigu…</t>
  </si>
  <si>
    <t>Nada, C Dupin</t>
  </si>
  <si>
    <t>C Dupin Nada</t>
  </si>
  <si>
    <t>…nsabilidad. (Ruido en diversos sentidos.) t inesperados^y qpe Han comprometido nuestra tranquilidad, no han podido ser Sr. Fulchiron. Pido la palabra. autorizado» .por la Dieta germánica, ni obtendrán la aprobación de ningún gá-• Sr. C. Dupin. Nada se pregunta al Sr. Fulchiron. híñete de Europa. Con razón invocáis la garantía de las Potencias que firmaron Muchas voces, hl Sr. Fulchiron no es ministro, dejad que hable un mi ■J* convención de Londres, y que solemnes testimonios han probado que no era nistro. lilúsoria. El Senado puede descansar…</t>
  </si>
  <si>
    <t>Nadal, Francisco Montells y</t>
  </si>
  <si>
    <t>Francisco Montells y Nadal</t>
  </si>
  <si>
    <t>…ta físico-química sobre la Infección y desinfección, acom— . la facción numerosa que los había invadido solo un corto núméro, paliada de la fabricación y propkdades generales de los cloritos. Impro piamente llamados cloruros, por D. Francisco Montells y Nadal, cate que con el cabecilla pasó el Ebro, se ha salvado de ser muertos ó drático de química aplicada a las artes en Granada. Se vende en la li prisioneros; de estos han entrado en la plaza de Tarragona 118 el brería d- Razóla á 5 rs. en rústica. , mismo dia 15. A Tortosa fueron conducidos un espía y…</t>
  </si>
  <si>
    <t>Nadie</t>
  </si>
  <si>
    <t>…, pues se hallaba en, actitud de manifestar á la Cámara bajo qué sistema toma sobre sí la responsabilidad de la dirección de los negocios. (Movimiento ,____ Se asegura que S. M. dió esta respuesta en un tono de voz bastante enér general. Nadie pide la palabra.) gico. (Globo.) PresidenteT «Puesto que no se hace proposición, nada hay que poner á votación.” (Silencio.) __E1 conde Spencer debe entregar hoy los selles, y según las precedentes Mr. Etienne: «La Cámara ha contestado ya con franqueza y lealtad en ¿Oposiciones, lord Deuman, gefede…</t>
  </si>
  <si>
    <t>Nadie, Gobernadora</t>
  </si>
  <si>
    <t>Gobernadora Nadie</t>
  </si>
  <si>
    <t>…da importa : lo que importa saber es, segunda miembro ó parte que constituye el presupuesto de casa Real, quiero -si. subiendo esos alimentos que se deben dar á la Rtuxa. 4-24 ó á 30 millones, decir, el correspondiente á S. M. la Reina Gobernadora. Nadie estará nunca le quedará algún1 sobrante. Pero si na sabemos lo que necesita esta señora, ¡có .mas dispuesto que yo á contribuir á todas las demostraciones que se conside mo sabremos que tendrá, por ejemplo, bastante con 20 millones! Cuando yo ren necesarias para que el Estamento manifieste sus sent…</t>
  </si>
  <si>
    <t>Naiihhin</t>
  </si>
  <si>
    <t>…que nota l conservar el «istema de tea-’ producto *e distribuirá todo éntre lóa indigentes. Entre estas personas sé citan tralizicion, y que la mayor desgracia que puede sobrevenir i una nacton -es que , ,i&lt;3eu Woronzow, ét mayor general Naiihhin, y el principe y la prin- la política intervenga en los asuntos de justicia, termina diciendo que al tratar cewi Gltitzin. La :il» particular mat grande y mai capaz qite ha podido en de la organización efe los ayuntamientos y de las juntas de los departamento», contrarte , contiene muy’bien mas de…</t>
  </si>
  <si>
    <t>Nájera, María Esperanza</t>
  </si>
  <si>
    <t>María Esperanza Nájera</t>
  </si>
  <si>
    <t>…dos los amigos,4e Ia causa griega aborrezcan la memoria del conde Ca de 1808 en Madrid, ha cabido en suerte con .el primer extracto de la de esta po d’Istria, no hay necesidad de admitir la importancia exclusiva de la franc dia á Doña María Esperanza Nájera, hija de D. GoTgonio Maximiatio, abo*, masonería del Fénix t cuyos miembros habían vendido su alma al presidente, gado de los Reales consejos, y comandante de una guerrilla. como los antiguos hechiceros se la vendían al diablo: tampoco tenemos nece sidad de creer que el conde Capo d’Istria, hombre…</t>
  </si>
  <si>
    <t>Nanclares, Manuel</t>
  </si>
  <si>
    <t>Manuel Nanclares</t>
  </si>
  <si>
    <t>…: Don Dios &amp;c. Palacio 10 de Abril de 1834—N. El Marques de Val-, Pío de Aramburu, canónigo lectora! de la misma; D-Simón Ruiz verde^zSr. Secretario del Despacho de la Guerra. de Luzuriaga , presbítero beneficiado de Salvatierra: D. Manuel Nanclares, presbítero beneficiado de la misma: D. Ramón de Aguír- MINISTERIO DEL FOMENTO GENERAL DEL REINO. re, presbítero beneficiado de la misma: D. Fausto de Luzuriaga, Ex posición. clérigo beneficiado de la misma: D. Francisco Ruiz de Ganna, beneficiado de Eguino: D. Pablo de Amurrio, presbítero benefi E…</t>
  </si>
  <si>
    <t>Ñapicr</t>
  </si>
  <si>
    <t>…3 expósitos, de los guales 1751- fueron llevados de 1* casa bordo. El navio D. Juan va 4 *#r desarmado y pagada de remate su tripulación. destinada pira loa partos, y 281 de los demas hospitales. Entre todos ílloe La familia .del almirante-Ñapicr se. queda en Inglaterra, pero él volverá ' solamente 4^8-sé suponen ser legítimo». .Han muerto 12So en dicho hosnieyo '.pionco. Lfthoa drsfcuta de la ótayor tranquilidad desde el despreciable motín 'antet'de habtr podldrf buídartei ámÍBi-La' sociédad^maternal be admitido en él de &amp;táyo-. i los desc…</t>
  </si>
  <si>
    <t>Napicr</t>
  </si>
  <si>
    <t>…Enero de l834^^ñora.=A L. ____Doña María de la Gloria ha condecorado con la cruz y banda del orden de R. P. de V. M.—Juan María Caldera, direcxor.=Manuel Toma* Sanó, vo ¿&gt;ta. Isabel á la condesa de S. Vicente, esposa del valiente almirante Napicr. cal secretario. PARTE NO OFICIAL. riANCu. NOTICIAS EXIRANGSRA*. Parts 8 de Enero. ALEMANIA. Lonja de hoy. Cinco por 100 consolidados 10$ fr. 20 c. Fondos españo les, renta de España al 3 por 100 4G* Empréstito Real de idem 82¿. Renta Fronteras de Prusia 28 de Diciembre. perpetua de ídem El bergantí…</t>
  </si>
  <si>
    <t>Napier</t>
  </si>
  <si>
    <t>…e duda nos ha de al Rey Felipe, cuya generoridad le inspira-hacer «tn uso tan útil y tan nohla ser favorable.” (ChronicU.) dé ios fondos que le destina la nación para sus necesidades personales.” (JdJ) r '.'-C—*. cL.: .• . '* -El almirante Napier conservará sxt gpdo en Portugal y recibirá medio ____ En la noche del domingo al lunevpasado se j¡rendi¿j fu^go i tnu casa en sueldo. El gobierno le dará ademas una sama: de 309 1üx e$t&gt;, y también su Ivetot (Normandía);, jr no habiendo á la sazón en’er'jnw$lo, «ítítirfeí'xnnjopartéde fas presas, q…</t>
  </si>
  <si>
    <t>Napíer</t>
  </si>
  <si>
    <t>…iftisterib portugués. Asistieron el duque de Patmella y M. Joaquín Antonio MagaihatS. ÉKalmtrante Parker díó otro convite á bordo del navio Asia para Francfort 12 de Junto. - celebra? Tí misma festividad de su Soberano, y otro el almirante Napíer el día Se asegura que el mayor general austríaco Piret irá muy en breve á habitar 30, al que fueron invitados el almirante Paiker, el embajador francés y algu la gran casa de Sehwindel en la calle de Eschcnheim , y que se instalará en ella nos ministros portugueses. Esta es la primera vez que lor H…</t>
  </si>
  <si>
    <t>…ferencia final en casa de S. A. el príncipe de Metternich, canciller de V espera que llegará cuanto antes i esta ciudad el marques de Palmella y Estado, para firmar el protocolo: después dé la sesión, los ministro* asistirán á «i almirante Napier. (Id.) un gran banquete preparado fen lá misma casa. El conde de Beroldingen , mi nistro dé Negocios extranjeros de Wurtemberg, sale hop para Stutgardt; el Un corresponsal de Lisboa nos escribe lo siguiente sobre las causas de la: príncipe canciller de Estado hará también muy pronto un pequefi* viag…</t>
  </si>
  <si>
    <t>…sboa Dios &amp;c. Cuartel general de Temes 3 31 de Enero de 1834=Conde de marchase 4 Cartaxo, asi como todos los solteros de ia guardia nacional faji, y Saldanha.=Ilmo. y Tierno.. Sr. Agustín Josef Frerre. (Suplemento á la Crónica el almirante Napier con los soldados de marina: lodos a mas tardar deben salir df Lisboa de 3 de Fe-breve.') mañana, y compondrán de 22ou á 24bO hombres, Jos cuales con 12$de bue ------ Con fecha de ayer í las tres de la tarde nos escriben desde Cartaxo lo na tropa'que tiene D. Pedro frente de Santaren, compondrán un…</t>
  </si>
  <si>
    <t>…Miguel.. La Braganza ha echado el ancla mo pasado se dignó conceder honores de magistrado de la Real au delante de Spithead, y ha hecho un saludo» á que ha contestado la l’i.tori* , que había enaibolado el pabellón portugués. El almirante Napier, Indi Naptcr y diencia de Madrid á D. Jacobo Yillánova y Jordán, fiscal de la de sus dos h jas desembarcaron á las dos en Káogs Sal ¡y-Poi t, donde de nuevo les Burgos. saludó la Victoria. Portsmouth á su llegada presentaba un cuadro de los mas animados, las calles y las avenidas de Sally-Port esta…</t>
  </si>
  <si>
    <t>…Gobierno por las circunstancias actuales cree haber hecho una cosa hallamos. útil en haber admitido al servicio de España en clase de comodoro al segundo »Muy lejos estoy también de negar los servicios que algunos han presta del almirante Napier, célebre por la gloría adquirida en Portugal. El Gobier do á la Nación española: nombres hay dignos de las gracias y recompensas de no español, atendiendo á la estación que va á entrar, y para impedir toda co ella; pero á pesar de estos ejemplares no se puede negar el principio esencial municación…</t>
  </si>
  <si>
    <t>…sterio consideración que perseguir; y puedo asegurar a V. E. no se. per con fecha del 6 lo, siguiente con referencia á Portugal. donará .medio alguno para sacar el debido fruto de tan brillante La plaza de Válenza capituló cón el almirante Napier ei dia 3 acción* v á las seis de la tarde; y la de Mqnzaory reconoció á Doña María de Capitanía general de Aragón,=Los cabecillas Quilezy Carni- la Gloría el 2 á las doce del dia. cer, que habían reunido qnos 1S00 hombres del partido de Alca- Las tropas-de'esta Señora llegaron a Sálamonde, donde tu…</t>
  </si>
  <si>
    <t>…esentar. M. Jaubert ad la marcha del duque de Terceíra, que entró el 8 en Coímbra entre aclamacio hiere al parecer de la comisión: MM. Failly, Eschasseriaux y Demarqay hacen nes y aplausos. Cabalmente el mismo día desembarcaba el almirante Napier en varías observaciones en apoyo de la propuesta del general Bertrand: M. Báude la boca de aquel rio, con tropas procedentes de Lisboa, las cuafes seapoderaron y Sapey adoptan la idea de este general; pero la presentan redactada con algu de Figueira, único puerto que quedaba á los miguelistas en to…</t>
  </si>
  <si>
    <t>…Serrano con las V obrar de común acuerdo según las circunstancias, me he detenido hasta que lle trop#,espafiolas^l día 8; esto es, el mismo dia en que el duque dejerccira lo gue. ¿(icho coronel. verificaba, en, Coímbra, y que,el almirante Napier desembarcaba con su expedi- . Cómo no he recibido parte dél referido subteniente D. Vicente Vargas, cion ,en Figueíra. ; . me refiero en todo lo que llevo dicho 4 los informes que me han dado la jus esta siierte se va desarrollando 4 un tiempo el plan combinado de an ticia y otras^personas de este…</t>
  </si>
  <si>
    <t>…reccion, según se cree, á Lisboa y Cádiz. servadas. En el agua tomaron un hermoso color dorado. Son de t^s EuipeiSdores Domiciano, K"erva, Trájaho, Adriano, Sabina, su muger, AntooinoPio, Dentro de pocos dias saldrá para Brest el almirante Napier con la tripu Faustina, madre, Marco Aurelio, Justina, joven, Lucio Vero, Lucila, su mu lación del Braganza., para equipar los buques portugueses‘ que hay en aquel ger, Commodo, Crispino, Septimio Severo ,Heljogábalo, Alejandro Severo, puerto, y conducirlos á Lisboa. Máximo l.°, Postumo, padre, con…</t>
  </si>
  <si>
    <t>…bido de los gobernadores y En fin, la propiedad es también prenda de instrucción, no solo comandantes militares fronterizos al reino de Portugal, participa literaria sino también administrativa. No puede negarse que en las que el almirante Napier salió el 8 para Oporto , dejando guarni clases proletarias nacen grandes talentos; que muchos pobres, cuyo ción en Valenza y Camina, y una columna de 3üU hombres se entendimiento ha sido cultivado por el estudio, han llegado á ser había dirigido el 7 hacia los Arcos. La que salió de Braga batió ilu…</t>
  </si>
  <si>
    <t>…a tarea do los en términos enteramente opuestos. (Ledgeri) } Pares será menos penosa, los testigos encontrarán la ventaja de faltar de su do micilio solo dorante algunas semanas. Tetíer largo tiempo ausentes de sus clisas í___ El almirante Napier regresa á esta con una pensión de (500 libras esterli de comercio.ó. de sus fábricas!, á unos comerciantes ó manufactureros de León, nas al año., equivalente aljnedio sueldo de almirante portugués. Parece quees- de S. Este van, de... era una cosa qué' presentaba graves inconvenientes. No se ha tand…</t>
  </si>
  <si>
    <t>…ozo de camino real que falta contra Salvatierra. Las lanchas cañoneras al mando del capttaft Henrique están desde Peñas Paulas á Peña Horada, pueda irse desde esta ciudad á la de Burgos prontas; pero faltan las tropas que pide el almirante Napier en número de 1$ en muy pocas horas. á 1200 hombres. De Irlanda han llegado unos 200 reclutas, y de Portsmouth , Dígnese pues V. M. admitir benignamente los acentos de la mas respetuo tres barcos cargados de caballos con todos los aparejos necesarios al servicio mi sa y humilde gratitud de ésta corp…</t>
  </si>
  <si>
    <t>…coraceros, 4 'crim erto. de dra pero cierta j constante. (.Altwn.) gones, 12 regimientos de húsares y 8 de lanceros. La artillen'* *e compr.re de una brigada de artillería de la guardia y 8 de campaña. Las irop.s sedeña* ¡a. i El almirante Napier, acompañado de Mendizabal y de Simpson, pintor -consisten en 5u compañías de inválidos hábiles, y en 18 .ompañía* y un bata de retratos, ha salido el 4 de Falmouht para Lisboa. Simpson debe hacer llón mas de inhábiles. El Landwchr se compone de 4 regimientos de la.guar el retrato de la jóven Reina,…</t>
  </si>
  <si>
    <t>NapieV</t>
  </si>
  <si>
    <t>…rtugal en la Hcra. posdata escrita á las tres y media: "El Lightnine hi traído á lord Witliam Ruft&amp;el y su comitiva. Había salido de LUboa el 2/, en cuyo dia se recibió alk la noticia de que Valencia de Miño se había entregado al almirante NapieV; U Madrid 30 de Abril» guarnición compuesta de 700 hombres te había pasado al almirante. Sé haba resuelto dar inmediatamente un ataque contra Santarem; Partes recibidos en la secretaría de Estado y del Despacho de la Guerra. »»E1 JLigktning pasó por Oporio el 31, y por Vigo el 7.” El comandante gen…</t>
  </si>
  <si>
    <t>Napoleón</t>
  </si>
  <si>
    <t>…eformas, .han de producir des djvjsíon militar tenga tm sueldo igual. Quizá no hay» habido hombre que haya contentos; esto.es indispensable, y de esta base debe pariirse.Si, pues, la eco tenido mas pasion al estado militar que el emperador Napoleón, como que sus nomía que se propone para eLcuefpo de alabarderos debe entenderse desde abo- glorias las.debía á los guerreros que había sabido formar: con todo, trató de -r*,yo la vo^ré, aunque con dolor mío, por guardar consecuencia con lo acor- poner en cierto equilibno el sueldo de los prefectos…</t>
  </si>
  <si>
    <t>Napoleón, Eugenio</t>
  </si>
  <si>
    <t>Eugenio Napoleón</t>
  </si>
  <si>
    <t>…uy excelente Principe Augusto Carlos Eugenio Napoleón, Duque de Leuchtemberg y Santa Cruz, Príncipe de Eichstett, hijo Aprobada el acta do la última sesión, se dió cuenta de varios oficios de SS. AA. RR. el muy alto y muy ilustre Príncipe Eugenio Napoleón, Du del gobierno. El Sri Jervir manifestó en un breve discurso que la comisión que de Leuchtemberg, de gloriosa memoria, v la muy alta y muy excelente encargada de liquidar las sumas que se adeudan á los oficiales debe p'roceder Señora Augusta Amalia, Princesa Real de Baviera. con mucha cautela par…</t>
  </si>
  <si>
    <t>Nápoles</t>
  </si>
  <si>
    <t>…stensi primera audiencia con S. M. Imperial el Duque de Braganza presentó sus cre ble, que el embajador está encargado por el Rey de los franceses de llevar á denciales. El Sr. Perez de Castro puso en manos de S. M. Fidelísima la Reina Nápoles el retrato de la Princesa María Cristina. Nosotros creemos por el con y de S. M. Imperial la Sra. Duquesa de Braganza las insignias de la orden de trario, que M. de Latour-Maubourg ha sido enviado 4 Nápoles con .el objeto María Luisa, que les envía S- M. Católica la Rema Gobernadora de España. de a…</t>
  </si>
  <si>
    <t>Nappier</t>
  </si>
  <si>
    <t>…almente analizadas y demar «En la madrugada del día 23 una expedición mandada por el cadas las vastas é Interesantes atribuciones de las autoridades administra tivas; y se dan muchos conocimientos sin los cuales no pueden llenar «almirante Nappier con 600 hombres del ejército de Doña María con acierto sus deberes los llamados al difícil cargo de cooperar al fo »de la Gloria se apoderó de la plaza de Camina y de la isla de In- mento de la riqueza y prosperidad pública. Sé vende á 10 rs. en rústica »sua, en la embocadura del Miño., frontera de…</t>
  </si>
  <si>
    <t>…cera sobre Coímbra, •1 general comandante en Oporto se hallaba sobre el Vouga, entre aquella y El tomo 19 de la Biblioteca de damas, segundo de Roberto conde de Tari:, ú ésta ciudad : al propio tiempo desembarcaría en Figueira el almirante Nappier vende en esta corte en la librería de Razóla, y en Barcelona en la de Bcrgnes y com con tropas , y las fuerzas pedristas de Lciria que habían adelantado á LouricaL, ——Tratadopañía. á 4 rs. detomandoortografíatodacastellana,la colección,compuestoy a 5 pory tratadosarregladosueltos.a La inteligencia…</t>
  </si>
  <si>
    <t>Narado</t>
  </si>
  <si>
    <t>…«lr&lt;}telo tjue'si^dífa't ’ ^ ‘ • 'i - ¡'V ' ..........ir! -l:r,7- . -m ! j-:r r: irbÉtesroc Sr.i’-Pdrfhotííias queihé Tecíbido de la aerra birsabido con sa- - mfábctotfqüe el tCníBntl’ dorodel' dcif ReaUcrierpí) de , artillería.' D. Narado 16-4 ~ fCidw, I| á f b. Sevilla «I-Bu Alicante,» |&lt;L cortopla“[Cortma, Id. Valencia, íd/ - Claveriá éonfitt cabal te ^ d infon tes; que .1 leva á SUS órdenes .Saliendo' ide ayona. |Craoa&lt;Ut id. id. hrdeos , 00* d¿ Zangoaayf zo t { tv &lt;2¡1 hfrurio de abbjo'iatoisitdtren el rUoité de Casrrilio dé'Sal…</t>
  </si>
  <si>
    <t>Naranjo, B-cque</t>
  </si>
  <si>
    <t>B-cque Naranjo</t>
  </si>
  <si>
    <t>…nes de S. M., se halla con un crecido número de árboles Chinchilla á D. Benito Romero: para el de Verin á D. Buenaventura Olave: sobrantes de sus plantíos y arboledas, los que venderá al público á los precios para'el de Carmona á D. B-cque Naranjo: para la alcaldía mayor del Burgo de que abajo se expresan. Dichos árboles son de las clases siguientes: 524u olmos, Ofema i O. Luis Martínez Laviesca: para el corregimiento de Ecija á D. An- 8U álamos, 5u fresnos, 15U acacias, 300 chopos lombardos y 3o nogales. Entre tonio ftlños: para la alcaldía…</t>
  </si>
  <si>
    <t>Naranjomas, Roque</t>
  </si>
  <si>
    <t>Roque Naranjomas</t>
  </si>
  <si>
    <t>…Gaceta de Petersburgo en para la vara de alcalde mayor de U villa de Alcañ.ces á D. Román García, 13 de Agosto último: por manera que la situación actual de Polonia no es electo de Soba: paja la de Ecija al alcalde mavor cesante D. Roque Naranjomas que un hecho material que no está reconocido por el gabinete de Francia y para la de Enguera á D. Josef Caiabuig y Beíiot.ni por el de Inglaterra. Examina después el estado político de Oriente, de los estados alemanes y Igualmente ha tenido á bien nombrar para la plaza de fiscal de la Real au de It…</t>
  </si>
  <si>
    <t>Narciso</t>
  </si>
  <si>
    <t>…ectos, lle 23,900............... 1000.............................. vando en seguida otro segundo golpe por el teniente graduado de capitán dél ............... .. 5(10......................... los que de Zamora regimiento iantes, D. Narciso l alcanzó en Fonellosa y dis 15Í73S.................. 500...........i...... ........... Madrid. se en fuga. pusieron solo unos persó , quedando 40 SÜC 1,974.................. 500............................ ..... Barcelona. El mismo Plantes dice , que en la tarde del 16 tupo por un paisano que 11,8…</t>
  </si>
  <si>
    <t>Nardíz, Andrés</t>
  </si>
  <si>
    <t>Andrés Nardíz</t>
  </si>
  <si>
    <t>…nducción de la correspondencia pública de este y 18 de la trincadura Cristina, al mando de su capitán D. Manuel Ondarza, y- país hasta Gibraltar y vice-versa, manteniendo entonces el Gobierno solamente 24 Urbanos al de su alcalde D. Andrés Nardíz sobre Mündaca, Busturias, los paquetes entre Gibraltar y los puertos del Mediterráneo. En este caso la Almonigá y alturas de Goitíz con el objeto de ver sí podía rescatar una pieza línea de comunicación con la India por medio del Mediterráneo y Mar Rojo, que Sabia preparaban los 'enemigos en Muñdac…</t>
  </si>
  <si>
    <t>Nardíz, D Andrés</t>
  </si>
  <si>
    <t>D Andrés Nardíz</t>
  </si>
  <si>
    <t>…r” la conducción de la correspondencia pública de este y 18 de la trincadura Cristina, al mando de su capitán D. Manuel Ondarza, y- país hasta Gibraltar y vice-versa, manteniendo entonces el Gobierno solamente 24 Urbanos al de su alcalde D. Andrés Nardíz sobre Mündaca, Busturias, los paquetes entre Gibraltar y los puertos del Mediterráneo. En este caso la Almonigá y alturas de Goitíz con el objeto de ver sí podía rescatar una pieza línea de comunicación con la India por medio del Mediterráneo y Mar Rojo, que Sabia preparaban los 'enemigos en Muñdac…</t>
  </si>
  <si>
    <t>Narédo, Juan</t>
  </si>
  <si>
    <t>Juan Narédo</t>
  </si>
  <si>
    <t>…manuscritos ó recopilación de documentos se de los Arcos, D. «francisco Cosío y, p. Mariano Azcue; los de D. Luis Cabreiano V podrá» hallar cuanto se desea. { ' . D. Amonio Parra . ayudas de oratorio 1 y los de D. Luis Branchi y D. Juan Narédo. ■ ,JEI exámen jnas prolijo quedebehacersé de dichos papeles, manifestará furrieres* se presentaran 4 D.- Juan Manuel Duro, que vive en esta corte calle de To ledo, mrm. 84 cuarta principal de la izquierda, frente al parador de Ocaú*. úur las preciahDenta la prótcii.iici* de dicho tren, y dará una p…</t>
  </si>
  <si>
    <t>Narédo, Luis Branchi y D Juan</t>
  </si>
  <si>
    <t>Luis Branchi y D Juan Narédo</t>
  </si>
  <si>
    <t>…erir que en dichos manuscritos ó recopilación de documentos se de los Arcos, D. «francisco Cosío y, p. Mariano Azcue; los de D. Luis Cabreiano V podrá» hallar cuanto se desea. { ' . D. Amonio Parra . ayudas de oratorio 1 y los de D. Luis Branchi y D. Juan Narédo. ■ ,JEI exámen jnas prolijo quedebehacersé de dichos papeles, manifestará furrieres* se presentaran 4 D.- Juan Manuel Duro, que vive en esta corte calle de To ledo, mrm. 84 cuarta principal de la izquierda, frente al parador de Ocaú*. úur las preciahDenta la prótcii.iici* de dicho tren, y dará una p…</t>
  </si>
  <si>
    <t>Narras</t>
  </si>
  <si>
    <t>…edor del mayorazgo.-Cu3Íesquiera que llanías. sein las leyes que luego se establezcan; no perjudicarán"nunca á los'inmediatos . Se díá cuenta de un-oficio de la comisión nombrada para* examinar el sucesores en los término» que el Sr. Narras ha indicado. JE»ta reflexión , unida i proyecto de ley sobre bienes mostrencos, participando haber nombrado deca las que ha hecho el Sr. Domecq, haji puesto á la comisión en el C3SO de pro no de ella al Sr. Larriva, y secretario al Sr. Torres Solanot. El Estamento poner que se aprueben los poderes…</t>
  </si>
  <si>
    <t>NAta</t>
  </si>
  <si>
    <t>…o que ínterin subsista la alianza de Inglaterra y Francia; ínterin esta última Po Hov ha levantado pendones este pueblo por U angosta Ret^a y Sefibral tencia se prevalga del derecho europeo para causas justas, nadie se atreverá á Doña NAta ii con-el retrato de S. AjL colocado en fachada de izsezós códpromover la guerra. siMoriales, y con las demostraciones del más pu/o regocijo. En seguid» íéspnó ■ EV presidente levanta la sesión á las seis de la tarde. el samo templo con los himnos de la religión para dar gracias td TodópoflrrtttoJ…</t>
  </si>
  <si>
    <t>Nautet, Pedro</t>
  </si>
  <si>
    <t>Pedro Nautet</t>
  </si>
  <si>
    <t>…os sacrificios que de tantos años á esta parte ha estado haciendo con irrito des (ledos, procedentes de Londres, presentados en la aduana de Sevi interés, le ha propuesto al Rey para la decoración dy comendador del órdert lla por D.,Pedro Nautet, sean despachados como modelos, con pago Real de S. Salvador. El ¡oven Soberano de Grecia por su propio impulso, y del 1 por 100 de su valor, que es el derecho designado en la Real con una simple nota de su mano, ha nombrado al caballero Eyüard gran cruz orden de 19 de Octubre de 1826, que permite…</t>
  </si>
  <si>
    <t>Navairo, Juan Víuot</t>
  </si>
  <si>
    <t>Juan Víuot Navairo</t>
  </si>
  <si>
    <t>…l faccioso Carmccr , se ha servido expedir d Real de tá rubricado de la Real mano, ee En Aranjuez á 3U de Marzo de creto siguiente: 1834-scA D. Antonio Rcmon Zarco del Valle. He venido en remover al corregidor de Molina de Aragón D. Juan Víuot Navairo; y nombro para esta plaza á D. Jos* dé V. Poveda. Tendreolo entendido, v lo comunicareis í.qiiten comu ~ Para la placa de decano de la sección de Marín del Cotisejo pondi.ee Está rubríca lo de la Real nuno.ee Elt Aranjuez 4 dé Real da- España i Indias, creado por decreto de 24 del presente, Marzo d…</t>
  </si>
  <si>
    <t>Ñavarra, Dolía</t>
  </si>
  <si>
    <t>Dolía Ñavarra</t>
  </si>
  <si>
    <t>…-cura de la Bodera habia dejado en Teruel ciplina , marcial continente, y sobre todo el ardiente entusiasmo do toda la caballería de su mandó correspondiente al 5.Q batallón de ‘que están animadas én favor dé su legítima y aibada Reina Dolía Ñavarra, y que Solo él con otro* tres habían salido en persecución Isabel h. de ún contrabando con dirección ah pueblo de Buchatel ', al mom'erito reuní 35 escopeteros , que encapados y con las armas ocul En Chaves se fian Hallado infinitos pertrechos de guerra,'caba tas, entramos en el referido pueblo par…</t>
  </si>
  <si>
    <t>Navarra, Jiménez</t>
  </si>
  <si>
    <t>Jiménez Navarra</t>
  </si>
  <si>
    <t>…ientes dirigirán lós memoriales francos de porte en el termino de 13 dias«.ál secretario del ayuntamiento de lá referida villa. t fermedad reinante , seguía esta en ét mismo estado que había manifestada en el —Por providencia del Sr. Jiménez Navarra, teniente corregidor de esta villa, te pute anterior, bien que et\ algunos punjas iba á menos el número dc enfcrtnqs cita á los que se crean con derecho á los biedn que han quedado por fallecimiento de jr.fallecidos. , _ ... ■ „ . - .. , W; , :;y, •• - 5. .... Porta María Peres*de estado soltera, y…</t>
  </si>
  <si>
    <t>NavarresdeAyuso</t>
  </si>
  <si>
    <t>…d. Granada, 1 d. Zaragoza, f d. 00. Hamburgo, Barcelona, á pt.fi., Málaga, 1 id. Descuento letras da . 4 O0 días, 1 b. ' ié.' .:..6 i 11 Agosto. 2 \ 1 i landres Santander, ¿ b. k 4 p. 100 al año. Sn á 4- Bilbao t par. Santiago, 1 d. - NavarresdeAyuso. 9 á IX idem. .. 12 00 s ■ La Maúlla...... Idem idem... ü • 1 00 1 ANUNCIOS. PROVINCIA DB SORIA. t Bo oficio de Í2 del corriente dice su gobernador civil que en aquella ca Obras qu* xt hallan tU vxnta tn si dxspacho di la imprtnta RsaL pital ¡C:gozaba de huena salud; que en. la villa de Jubera hubo…</t>
  </si>
  <si>
    <t>Navarrete</t>
  </si>
  <si>
    <t>…les vendieron los bienes sus tutores y curadores.” de Pino-fiel, Sr. Cafranga, marques de Bcsolla, Sr. Alvarez Guerra, condo Leido el art. 4-° del proyecto, preguntó el Sr. duque de Veraguas si el de Noblejas, marques de Malpica, Sr. Navarrete, Sr. Gil de la Cuadra, señor Gobierno admitía el de las comisiones, ó insistía en que se aprobase el suyo. Quintana, Sr. Vigodet, marques de Espeja , conde del Montijo, conde de O ña- El Sr. Secretario del Despacho de Gracia y Justicia: «Las comisiones te , conde de Clavijo, conde de Guendulain, ma…</t>
  </si>
  <si>
    <t>Navarrete, Rafael León y</t>
  </si>
  <si>
    <t>Rafael León y Navarrete</t>
  </si>
  <si>
    <t>…artes remitidos por el gobernador civil d» la provine!* retirado esta facción hácia los montes del Duque , fue alcanzada en la madru da Valladolid D. José Taboada con fecha de Julio último. gada del 10 por el teniente de lanceros D. Rafael León y Navarrete, que con 23 individuos de su cuerpo y 5 Urbanos de caballería formaban la vanguardia Paste del mes de Abril. 1 de la columna al mando del indicado capitán , causándoles varios muertos , y cogiéndoles 17 caballos , muchas armas y algunas municiones, siguiendo nues Excroo. Sr. La cosecha de cereales…</t>
  </si>
  <si>
    <t>Navarro</t>
  </si>
  <si>
    <t>…cación de facultativo para acreditar hallarse con una gran debilidad de lo mismo debí a obligárseles á que asistiesen a ia» -c-iones del Estamento. cabeza que no Ib permitía trabajar en cosa alguna, resultado de una fiebre ner El Sr. Navarro bangran fue de parecer que mientras los Sres. Proceres viosa-biliosa que ha padecido. empleados en el Heal servicio estuviesen en .a . ’.':? o . d Sia obligársela a El Excmo. Sr. U. Jo»é Cafranga contestaba hallarse en absoluta imposi concurrir á las votaciones , pero no asi ‘/i I?|.c.i .o. Os. / C…</t>
  </si>
  <si>
    <t>Navarro, Antonio Alcántara y</t>
  </si>
  <si>
    <t>Antonio Alcántara y Navarro</t>
  </si>
  <si>
    <t>…ion , sus individuos no han podido reunirse para de La misma comisión manifestó que podran aprobarse loi poderes y docu liberar sobre si Insisten ó no; y si se ha reunido es prueba que no ha asistido mentos justificativos del Sr. D. Antonio Alcántara y Navarro» electo por la al final de la discusión, en la que tal vez pueden haberse expuesto razones bas provincia de Málaga. Asi se verificó. tante poderosas para hacerla variar de parecer. También hizo presente dicha comisión que habiendo4examinado la ins «Otro ia conveniente det actual reglamento es el no…</t>
  </si>
  <si>
    <t>Navarro, D Antonio Alcántara y</t>
  </si>
  <si>
    <t>D Antonio Alcántara y Navarro</t>
  </si>
  <si>
    <t>…scusion , sus individuos no han podido reunirse para de La misma comisión manifestó que podran aprobarse loi poderes y docu liberar sobre si Insisten ó no; y si se ha reunido es prueba que no ha asistido mentos justificativos del Sr. D. Antonio Alcántara y Navarro» electo por la al final de la discusión, en la que tal vez pueden haberse expuesto razones bas provincia de Málaga. Asi se verificó. tante poderosas para hacerla variar de parecer. También hizo presente dicha comisión que habiendo4examinado la ins «Otro ia conveniente det actual reglamento es el no…</t>
  </si>
  <si>
    <t>Navarro, D Joaquín</t>
  </si>
  <si>
    <t>D Joaquín Navarro</t>
  </si>
  <si>
    <t>…marques de Guadalcazar, que no constaba la Se dió cuenta de un oficio del Excmo. 5r. D. José Pizarro, en que mani fecha de la solicitud. festaba su imposibilidad de asistir á la apertura de Córtes , tanto por el mal es El Excmo. Sr. D. Joaquín Navarro observó que era indispensable que tado de su salud , como por el desorden en que estaban sus intereses, v por ia con arreglo á lo acordado , cualquiera Sr. Prócer que tuviese necesidad de au atención que reclamaba un hijo suyo de menor edad, ofreciendo reunirse al sentarse, pidiese primero la licen…</t>
  </si>
  <si>
    <t>Navarro, D Justo María de Ibar</t>
  </si>
  <si>
    <t>D Justo María de Ibar Navarro</t>
  </si>
  <si>
    <t>…por otros, ofreciendo presentarlos i ’ Se dió cuenta de uft dictimen de la comisión de examen de documentos, luego que los tenga corrientes. - la cual, en vista de los presentados por el Excmo. Sr. D. Miguel Ricardo de El Excmo. Sr. D. Justo María de Ibar Navarro expuso que sus males no - Alava, que hallaba corrientes; opinaba que podrían aprobarse, y ser admitido le han permitido concurrir á la sesión del día 11, pero que se esforzaría pira aquel en el Estamento. Este se^ conformó con el dictamen de la comisión. asistir ¿ Jas de la discusión. - ' Tambíen s…</t>
  </si>
  <si>
    <t>Navarro, Dionisio</t>
  </si>
  <si>
    <t>Dionisio Navarro</t>
  </si>
  <si>
    <t>…í f podido atribuirla á l'a causa que indican algunos escritores apasio- la dificultad del tránsito, adelanté inmediatamente á los Subrcníen?- dos en contra ele algunas'teorías ó de algunas personas. Todo su tes D. José Sánchez y D. Dionisio Navarro destinados por V. M. ceso , toda institución, todo fenómeno histórico tiene sa origen en , para esta empresa. Con objeto de aclarar el Camino de Moura á Ser alguna necesidad-, en algún ínteres permanente o momentáneo, pa me adelante la mañana del 25 último hastados leguas del pun bien ó mal entendi…</t>
  </si>
  <si>
    <t>Navarro, Francisco Montorov</t>
  </si>
  <si>
    <t>Francisco Montorov Navarro</t>
  </si>
  <si>
    <t>…ilustrados y liberales, que mayor de Bancarrota; para el de Orgiz á D. Antonio Evaristo de Hará;rruinas»,—.Sin embargo, sabemos de buena fe son contrarios á aquellos principios, porque los consideran exage para el de Grazalema á D. Francisco Montorov Navarro, corregidor de Torrado* y peligrosos. La experiencia hizo ver que el duque de Palmella era dé quemada; para el de Arenas de h. Pedro a L&gt;. Juan Jiménez Monteagudo; Aquellos hombres* Sin ofender la verdad y el sano principio, &lt; se podrá negar para el de Montefrio á D. Ramón Toral ; pira el de Oríhue…</t>
  </si>
  <si>
    <t>Navarro, Jiménez</t>
  </si>
  <si>
    <t>Jiménez Navarro</t>
  </si>
  <si>
    <t>…rte, podra verificarlo en la escribanía de Quintas, en donde se enterara de los sitios, cabi Capitanía genejal de Extremadura. =1 Excmo. Sr.: No pierdo momento das y Ühdero9 de las reteridas tierras. —En virtud de providencia del Sr. Jiménez Navarro, teniente corregidor de esta sobre cuanto V. E. me tiene recomendado, y no ha ocurrido novedad alguna villa, se cita á los que se crean con derecho al patronato Re.il de legrw. que fundó en desde mi parte de ayer, á excepción de haber disparado unos cuantos tiros la 21 de Junio de 1763_D. Jóse Zava…</t>
  </si>
  <si>
    <t>…francos de por te al secretario del ayuntamiento de dicha ciudad, en el término delado un edificio para la escuela central, en la cual se establecerán un mes. dos clases para hombres y una para mugeres. ■---- Por providencia del señor Jiménez Navarro, teniente de corregi Se remiten al gobierno para su aprobación los estatutos de la dor de esta villa, se cita á D. Manuel Aguado, vecino de esta corte, proyectada sociedad económica, redactados por el secretario y ofi para que dentro del término perentorio de 1$ dias se presente en el jua gado de d…</t>
  </si>
  <si>
    <t>Navarro, Joaquín</t>
  </si>
  <si>
    <t>Joaquín Navarro</t>
  </si>
  <si>
    <t>…ques de Guadalcazar, que no constaba la Se dió cuenta de un oficio del Excmo. 5r. D. José Pizarro, en que mani fecha de la solicitud. festaba su imposibilidad de asistir á la apertura de Córtes , tanto por el mal es El Excmo. Sr. D. Joaquín Navarro observó que era indispensable que tado de su salud , como por el desorden en que estaban sus intereses, v por ia con arreglo á lo acordado , cualquiera Sr. Prócer que tuviese necesidad de au atención que reclamaba un hijo suyo de menor edad, ofreciendo reunirse al sentarse, pidiese primero la licen…</t>
  </si>
  <si>
    <t>Navarro, José Alcántara</t>
  </si>
  <si>
    <t>José Alcántara Navarro</t>
  </si>
  <si>
    <t>…utan SS. AA. RR. los Sermos. Se- lado; á D. Tomas González Carvajal, de dicho Consejo en la sección de Guerra; á D. Juan Nepomuceno San Miguel, fiscal del trihunali ñores Infantes. supremo de España é Indias; y fiara secretario á D. José Alcántara Navarro, que lo es de la patriarcal. Tehdréislo entendido, y lo co municareis á quien corresponda. = Está rubricado de la Real mano.— REALES DECRETOS. En Aranjuez á 22 de Abril de 1834.= A D. Nicolás María Gareliy. En medio de las atenciones que me rodean para afianzar el Tro no de mi excelsa Hija contra l…</t>
  </si>
  <si>
    <t>Navarro, José Sánchez y D Dionisio</t>
  </si>
  <si>
    <t>José Sánchez y D Dionisio Navarro</t>
  </si>
  <si>
    <t>…icía, y zanjadas yí f podido atribuirla á l'a causa que indican algunos escritores apasio- la dificultad del tránsito, adelanté inmediatamente á los Subrcníen?- dos en contra ele algunas'teorías ó de algunas personas. Todo su tes D. José Sánchez y D. Dionisio Navarro destinados por V. M. ceso , toda institución, todo fenómeno histórico tiene sa origen en , para esta empresa. Con objeto de aclarar el Camino de Moura á Ser alguna necesidad-, en algún ínteres permanente o momentáneo, pa me adelante la mañana del 25 último hastados leguas del pun bien ó mal entendi…</t>
  </si>
  <si>
    <t>Navarro, Juan</t>
  </si>
  <si>
    <t>Juan Navarro</t>
  </si>
  <si>
    <t>…ebrero de 18^4- = H-xicmo. Sr. = Ei conde de Armios de albamlería y carpintería costearon una función de iglesia en obsequio mildcz. del grandioso suceso del advenimiento a! trono de S. M. Isabel ti. En fin, el tesorero de rentas D. Juan Navarro sirvió en su propia casa una abundante co Según parte recibido del capitán general de Aragón, con referencia á lo* mida á 13 ancianos pobres y á 4 niños, dándoles ademas ia limosna de 4 r*. J que le habían dirigido el brigadier Oraa v el gobernador de las Cin^ • Y,das, un pan á cada uno. los batall…</t>
  </si>
  <si>
    <t>Navarro, Juan Víctor</t>
  </si>
  <si>
    <t>Juan Víctor Navarro</t>
  </si>
  <si>
    <t>…este pan ¿do á D. Juan ti!— ¿Querrían estos que en Francia y ¿^Inglaterra hubiese solo una Cáma Te jeito; para el del Barco de Avila á D. Jacobo Ulioa, que lo es de Bera electiva ? Estarna? convencidos de que no. jar; para este á D. Juan Víctor Navarro, que lo es de Lerma ; para este a Con igual sentimiento hemos visto que con la misma injusticia y por se- D. Santos Navarro Taricgo; para d de Hsro á D. Antonio Martínez Gil; viajante motivo se censura al conde .de Villa Real, porque se Opuso á e$a para el dé Alora á D. Manuel López Gallego, que lo…</t>
  </si>
  <si>
    <t>Navarro, Justo María de Ibar</t>
  </si>
  <si>
    <t>Justo María de Ibar Navarro</t>
  </si>
  <si>
    <t>…otros, ofreciendo presentarlos i ’ Se dió cuenta de uft dictimen de la comisión de examen de documentos, luego que los tenga corrientes. - la cual, en vista de los presentados por el Excmo. Sr. D. Miguel Ricardo de El Excmo. Sr. D. Justo María de Ibar Navarro expuso que sus males no - Alava, que hallaba corrientes; opinaba que podrían aprobarse, y ser admitido le han permitido concurrir á la sesión del día 11, pero que se esforzaría pira aquel en el Estamento. Este se^ conformó con el dictamen de la comisión. asistir ¿ Jas de la discusión. - ' Tambíen s…</t>
  </si>
  <si>
    <t>Navarro, Manuel</t>
  </si>
  <si>
    <t>Manuel Navarro</t>
  </si>
  <si>
    <t>…rort está muy convencido de haber El ayuntamiento de Mabon. hecho todo lo que, con respecto al derecho de gentes podía erigírsde en circunsEl de Muía. . cias tan críticas. Pero en cuanto á la notoriedad alegada en 1* carta del mi D. Manuel Navarro, oficial honorario de Correos. nistro de Badén, de un supuesto proyecto de impedir á les refugiados la entraida en el grao ducado, no se ha mostrado aun al vorort que esisjta,■««nejante . notoriedad, pues ni él ni los gobiernos cantónale» han tañido cooocÑnfcótó ds La Real junta de cómerciode Santa…</t>
  </si>
  <si>
    <t>…a Cibeles, y prolongándose pot toda Ifs ex celona , los cuales habían desempeñado cumplidamente su peligrosa comisión: tensión del paseo del Prado, y fuera de la puerta de Atocha por el de las recomienda sobré todo al facultativo D. Manuel Navarro , también enriado Delicias hasta el canaL Cerca de la una $. M. la Reina, acompañada de su por la citada Real academia, por ei acierto con que había tratado la enferme Madre la Reina Gobernadora, y de su Hermana la Sentía. Sra. In- / dad , y por la generosa resolución con que permaneció ca él puebl…</t>
  </si>
  <si>
    <t>Navarro, Manuel Ibar</t>
  </si>
  <si>
    <t>Manuel Ibar Navarro</t>
  </si>
  <si>
    <t>…a y de su inocente Hija, á quien moso, duque de Almenara, D. Evaristo Pérez de Castro, marques de Villa- deseo con ansia ver un día gobernando la monarquía: pero hubiera querido se franca, conde de Cartagena, conde de Casasarria, D. Manuel Ibar Navarro, diese mas latitud, tanto al discurso dei trono, como á la cootestacioa. Jr otros varios Señores. ” Al examinar este discurso tengo la satisfacción de darle los debidos elo £1 Sr. Secretario Cano Manuel hizo presente que siendo diferentes las so gios por encontrar en él una franqueza, un abandonó m…</t>
  </si>
  <si>
    <t>Navarro, Pedro Jiménez</t>
  </si>
  <si>
    <t>Pedro Jiménez Navarro</t>
  </si>
  <si>
    <t>…bunal de España é Indias; do Gmsejó de Castilla, cuyos papeles se pasarán al archivo general -■ D. Joaquín de la Escalera, ministro de la Real audiencia de Ma del Consejo Real de España é Indias; quedando tesantes todos los drid; D. Pedro Jiménez Navarro, fiscal del mismo tribunal; D. Fe- empleados en ella, con el sueldo que les corresponda por clasifica Jipe López Valdemoró, abogado del colegio de Madrid, y D. Ma ción, hasta que sean empleados en destine® correspondientes á su nuel de Carranza, como secretario, examinando los trabajos hechos clase…</t>
  </si>
  <si>
    <t>Navarro, Vicente</t>
  </si>
  <si>
    <t>Vicente Navarro</t>
  </si>
  <si>
    <t>…. Luis Belrrart, D. Vicente Sánchez, D. Basilio Salcedo D Nfc colas.Esrerripa, D. Pedro Obando, D. Mateo Obregon, D. Luis Toledano. D Blas de xiliares para pasar nos, y otros usos de ésta naturaleza &amp;c. &amp;c.; en cónsecuen- , Toro, D. Vicente Navarro, D. Pedro Montenegro D. Santiago Uarraza, D. Acustln cía, « de inferir que en dichos manuscritos ó recopilación de documentos se de los Arcos, D. «francisco Cosío y, p. Mariano Azcue; los de D. Luis Cabreiano V podrá» hallar cuanto se desea. { ' . D. Amonio Parra . ayudas de oratorio 1 y los de D.…</t>
  </si>
  <si>
    <t>Navas</t>
  </si>
  <si>
    <t>…sentido jamas que so cierto que se trataba de nri asunto de la mayor importancia; pero cjue no lo era, hubiese puesto en el acta una. decisión del Estamento sin haber habido l.° dis ai el Estamento* aprobó ó no la proposición del Sr. Navas; y que* esta era imx cusión, 2.° votación, y aprobación. Lo único que yo entendí y aprobé fuo pregunta conforme al reglamento. que se hiciera constar en el acta ; pero poner en ella una aprobación del Esta El Sr conde de Tareno: «Con lo que ha expuesto el Sr. Serrano, me parer mento sin haber prece…</t>
  </si>
  <si>
    <t>…van de formulario , y nuevamente la proposición de lós Sres. Trueba y marques de Somcruclos, co no ha de tributárseles tanto respeto como á una obligación precisa. En el cír mo también el artículo 92 del reglamento á petición del Sr. Navas. culo en que nos hallamos, y en el que nos hemos encerrado, hemos dejado echar El Sr. Ferrer preguntó para votar qué resultaría de aprobar la proposi la llave; y cerrada la puerta con aquella por fuera, ya no tenemos con que ción , á lo que contestó el Sr. Presidente que seguir lo dispuesto por el a…</t>
  </si>
  <si>
    <t>…e le reconvendría por los riores habia sido admitir las proposiciones que habían sido presentadas, citan mismos Sres. Procuradores. El Gobierno tiene que sostener las prerogativas del do al efecto una del Sr.^Sahtafé , y otra del Sr. Navas. trono, y por esto se obstina, si puede decirse asi, en que no se traspasen los lí El Sr. Sahtafé dijo que solo había sido la suya una enmienda, y no una mites que la ley señala. Por esto me opongo á que sea la que quiera la forma verdadera proposición. bajo la cual se presente ^ admita el Estamento…</t>
  </si>
  <si>
    <t>…r que* Leída y aprobada el acta de !a sesión anterior celebrada el dia 3 del cor— dó aprobada , mandándose insertar en ella Jos votos de los Sres. conde de las Tiente , se hizo presente al Estamento haberse nombrado al Excmo. Sr. duque Navas, Chacón, Sánchez Toscano, Alcalá Zamora y Pizarro , contrario á lo de Osuna para la comisión de Hacienda., en lugar del Excmo. Sr. conde de resuelto por el Estamento ^ sobre la adición presentada por el Sr. Secretario del Sástayo. Despacho de lo Interior acerca de que los jornaleros que sean admiti…</t>
  </si>
  <si>
    <t>…sión debía la heroica Nación española, y por de esta clase juzgo las que se proponen en experimentar con motivo de su numerosa familia; y si por una partW se detu el presupuesto de que se trata. Se ha- dicho poí mi digno amigo el Sr. Navas vo en declarar á sus sobrinos la asignación de Infantes de España , ordenó sin que vale mas pagar lo que se señale, que no señalar lo que sea imposible pa embargo, por Real órden de 10 de Mayo de 1828, que se le entregasen por gar. Convengo con S. S. en esto; pero no en que-sea imposible pagar mill…</t>
  </si>
  <si>
    <t>…nos áfiós después dé lá concesión dél privilegio, porque en los señores preopinantes á favor de los pueblos, voy solo á manifestar la equi ésta época trinaba Alonso llamado el Casto. En lás firmas qué tiene el citado vocación del Sr. Navas, que dice no habria efecto retroactivo por no estar cum privilegió se ■observan iguales anoíñalías, pues la Reina nó se llamaba Doña plido el plazo del cobro del Voto, La prestación de que se trata se hace cuando Urraca, sipo Doña Paterna: Id mismo sucede con la de Pedro, obispo de se recolectan lo…</t>
  </si>
  <si>
    <t>Navas, Conde de las</t>
  </si>
  <si>
    <t>Conde de las Navas</t>
  </si>
  <si>
    <t>…rXOVTHCIA OS CÓXDOIA. ¿uis Ftlipe , rey de loe franceses. Sr. Marques de Guadaleszar. A lodos los presentes y venideros, salud.' Sr. D. José María Pedrajas. Hacemos saber que entre No* y la república de Venezuela se ha concluido Sr. Conde de las Navas. un convenio preliminar de amistad, comercio y navegación, firmado en Cara Sr. D. Pedro Alcalá Zamora. cas él día 11 del mes de Marzo del afio de 18331 convenio preliminar,.aúpan St. D. Agustín Aivarez de Sototnayor. ratificaciones se han cangeado en Caracas, el tercer dia del mes de Eneres deá riov…</t>
  </si>
  <si>
    <t>…de cos presado en los-párrafos 2.°, 3.° y 4~° del artículo l.° , serán también ocupados tas á que diesen lugar las acciones infundadas que promoviere.” desde luego á nombre del Estado, á quien se dará la posesión Real, prévio El Sr. Conde de las Navas dijo que á su entender debía también fijarse inventario y justiprecio de aquellas, y quedando responsable á las reclamacio la responsabilidad en que habrían de incurrir los falsos denunciadores, porque nes de tercero.” conocía una persona contra quien se habían hecho tres denuncias, y los de Se ley…</t>
  </si>
  <si>
    <t>…las reúne, era de opinión que debia aprobarse su cuenta del número de armas que existían hace un año, debia haber muchas maf elección. de las que se han repartido. Trescientos mil realistas habii armados en el año A petición del Sr. Conde de las Navas se leyó la protesta que hace el Se 32: no &gt;é cómo han desaparecido estos fusiles, pues no ha habido mas que 9.k3 ñor alcalde mayor, y la representación de los electores á propuesta del Señor para la Milicia urbana. Oupongo que se habrán extraviado muchos , v que no Butrón. está en la posibilidad de…</t>
  </si>
  <si>
    <t>Navas, Córtele de las</t>
  </si>
  <si>
    <t>Córtele de las Navas</t>
  </si>
  <si>
    <t>…eshizo una ligera equivocación, en que dijo haber incurri _ »E1 artículo gl del reglamento dice (lo leyó). De modo que en ningnn do el Sr. preopinante. caso,-aun cuando se quisiera adoptar un proyecto de ley en mi entender pro El Sr. Córtele de las Navas: «Desgraciadamente esta cuestión «obre la puesto por el Gobierno , aun cuando el Estamento propendiera á su admisioo, manera de entender el reglamento nos está quitando el tiempo, que a tan ne no lo podría hacer sino en el caso que volviera á una nueva comisión, para cesario para otras muchas cosa,…</t>
  </si>
  <si>
    <t>Navas, José</t>
  </si>
  <si>
    <t>José Navas</t>
  </si>
  <si>
    <t>…r D. Andrés Gabriel Cánovas: para la de Castrourdiales á D. Alejo López de gados de arboledas de dichos distritos para que suministren los que se pidan. la Caller-para4a de Villrrarr:edc a D. Canuto Cevallos: para la de Ramales á D. José Navas: pora la de San '^ícente de la Barquera á D. Segundo San á para para la de Escalona y Galves: la de Cíñete Ripoll Juan: i D. J rolsa db coMERcio._Co/itciooM dt htsy i las tres dt la tardt. • p a Martine;: Urioste, y la de Ordenes á D. Yanguas: Aquilino D. Julián pare *1 corregimient o de Calahorra…</t>
  </si>
  <si>
    <t>Navia, Alvaro</t>
  </si>
  <si>
    <t>Alvaro Navia</t>
  </si>
  <si>
    <t>…traerme únicamen grandes propietarios en aquella provincia: cito como testigos irrefragables á mis te al dictamen que ha presentado la comisión, sintiendo mucho no estar de dignos compañeros tos Sres. D. Alvaro Florez Estrada , y D. Alvaro Navia acuerdo en Su contenido, y verme obligado i impugnarle. y Osorio, hermano del marques de Ferrera, uno de los otorgantes. «Dice la comisión que el Sr. Arguelles no tiene la renta legal , y que de «En este supuesto, es indudable que el Sr. D. Agustín Arguelles posee consiguiente no debe admitírsele c…</t>
  </si>
  <si>
    <t>Navirra, Habiéndo Vireioato</t>
  </si>
  <si>
    <t>Habiéndo Vireioato Navirra</t>
  </si>
  <si>
    <t>…4 $ d. Partes recibidos en la secretaría de Estado y del Despacho de la Guerra* Bayona, 00. Al i cante, 4 corto pla Coruña, Id. Burdeos, 00. zo, I b. Granada, id. id. Barcelona, 00. $ b. Hamburgo, Málaga, 4 ps. fi, de operaciones Sr.: Habiéndo Vireioato Navirra.=Excmo. y ejército di £ id. 4 1 90 dias, Lóadres, Santander, id. 4 4 p. 100 al añ de presente los gefes Luis me hecho Fernandez da Córdoba división D. y Don 1 Santiago ,Bilbao, $ d. d. , 38$. Marcelino Oria lo mucho que convendría dar siquiera un dia de descanso ¿ la tropa de sus divisiones dentro d…</t>
  </si>
  <si>
    <t>Naya, Alejandro</t>
  </si>
  <si>
    <t>Alejandro Naya</t>
  </si>
  <si>
    <t>…as: las intrigas se aumenr Sr. D. Pablo Santafé. yaron jtn ciréoto-, y los hombres sensatos fueren mirados como sospechosos y Sr. D. Pablo Heredia. de. mal agüero En una palabra, todo se convirtió en un caos de confusión, ad- Sr. D. Alejandro Naya, barón de Alcali. nmánd-isc J&lt;s hombres mas juiciosos del partido miguelista de que aquella máquim desconcertada no hubiesevenido antes á tierra. . provincia os uso*. Las consecuencias son bien conocidas: D. Miguel camina ahora para Italia, Sr. D. Marcos Fernandez Blanco. lub endor escogido por com…</t>
  </si>
  <si>
    <t>Naya, D Alejandro</t>
  </si>
  <si>
    <t>D Alejandro Naya</t>
  </si>
  <si>
    <t>…rsonas: las intrigas se aumenr Sr. D. Pablo Santafé. yaron jtn ciréoto-, y los hombres sensatos fueren mirados como sospechosos y Sr. D. Pablo Heredia. de. mal agüero En una palabra, todo se convirtió en un caos de confusión, ad- Sr. D. Alejandro Naya, barón de Alcali. nmánd-isc J&lt;s hombres mas juiciosos del partido miguelista de que aquella máquim desconcertada no hubiesevenido antes á tierra. . provincia os uso*. Las consecuencias son bien conocidas: D. Miguel camina ahora para Italia, Sr. D. Marcos Fernandez Blanco. lub endor escogido por com…</t>
  </si>
  <si>
    <t>Nazareno, Lo</t>
  </si>
  <si>
    <t>Lo Nazareno</t>
  </si>
  <si>
    <t>…habitantes de las alquerías han recogido crecidas sumas de las arrojado cárcel; el ¡lustre coligió dé plateros ótra:k lor enfermos del hospital de Jasus por. los facciosos, y que los urbanos despreciaron. Lo» cabos de caballería D. Lo Nazareno; el colegio de medicina , cirugía y farmacia distribuyó una cantidad renzo Mateos y D. Vicente Saravia se hicieron digno» de elogio por la constan considerable de sábanas y otras ropas de abrigo á ios pobres enfermos de los cia ccn que siguieron siempre el alcance del cabecilla. Vipentc Rosado mani…</t>
  </si>
  <si>
    <t>Nbgueras</t>
  </si>
  <si>
    <t>…ón , y por la importancia de ella, atendidas las Burdeos, 00. zo , 4 d. Granada, i id. Zaragoza, 4 d. Hamburgot* 00. Barcelona, í ps. fs., Málaga , id. id. Descuento de letras, circunstancias de aquel país: lo hace igualmente del coronel Nbgueras, que'ha- Londres , á 90 dias. 1 b. Santandsr, f b« á 4 p» 100 al año. biehdo oido en su tnarcha un vivo fuego, acudió oportunamente al punto de Bilbao, -f d. Santiago d. Jé acción, y la sostuvo con la columna de su mando. El referido coronel Ma zarredo hace especial recomendación del capitán gradua…</t>
  </si>
  <si>
    <t>Nccochea</t>
  </si>
  <si>
    <t>…zco, y le sustituyese el teniente coronel 18 de ligeros. Ningún soldado ha sido atacado; y en la visita que ha hecho el yivanco. teniente general á los acantonamientos de este regimiento, y especialmente ¿ El nombramiento del Sr. general Nccochea para comandante en gefe no los de Baigorri, en los Alduides y en Bauca, ha visto que es excelente el co era cosa que débia alarmar á nadie. Para hacerlo no se despojaba de esta co rado sanitario. Esto no obstante, ha creído de su deber aprestas todos los .au misión á ninguna persona, pues en Lima n…</t>
  </si>
  <si>
    <t>Ncpomuxjble, Juan</t>
  </si>
  <si>
    <t>Juan Ncpomuxjble</t>
  </si>
  <si>
    <t>…s veces las numerosas tropas ría y de caballería, procurando intimidarme amenazando cortar mi comunica del enemigo, al mismo tiempo que el capitán francés Martely le daba una ter- ción con Lisboa; pero ordenando inmediaiamenie ai brigadier Juan Ncpomuxjble carga junto al puente, arrojando muchos al agua, y retirando ¿ los demas ceno de Macedo que marchase á observar lo* movimientos dei encinto y i« Acuchilladas. El combate cesó á las siete de la noche: y los miguelistas deja acometiese, si era posible, para darme lugar á juntar tuerzas con que a-u.nr…</t>
  </si>
  <si>
    <t>Ndrzagaray</t>
  </si>
  <si>
    <t>…n j prevenidos de que en otro caso Lctamcó mas.bsea que.le«daran, y le aman. Los hechiceros y hechiceras son les parará perjuicio, i? muy honrados por ello*, y le* hacen hacer á menudo sacrificios de animales —Por providencia del Sr. Ndrzagaray, refrendada del escribano Sanchas se cita á •era aplacar á losmane* irritado*; él hechicero f' aquello* á quienes él convida, los que se crean-cotí derecho k-\¡h bienes que han quedado por fallecImíentG/de Sarur— devoran luego lacarne delavíctinn. . hiño Sánchez y Josefa Hernández su nanger, que fu…</t>
  </si>
  <si>
    <t>Necocfrea</t>
  </si>
  <si>
    <t>…que los pusieron en la ne bierno para retirarse al Callao; pero el presidente estaba bien persuadido de cesidad de irse á dormir ¿ la Legua, donde se encerraban en un corral, sin que si las trapas se ponian á las ordenes del Sr. general Necocfrea, inmediata atreverse á dejar fuera de él ni siquiera una avanzada. Nuestras partidas recorrían mente se restablecería la (tranquilidad. Dijo todo esto al general Gamarra en a esta hora el campo en todas direcciones, penetrando basta la retaguardia de una caita particular. ellos, de donde traían cua…</t>
  </si>
  <si>
    <t>Necochea</t>
  </si>
  <si>
    <t>…ció mejor guardar la dignidad jkLgohiflmo no esc i ¿bien------- do cartas particulares, sino dando ói Jeueii. Le~&lt;lmgió. pues, una al general Bermudez, mandándole que no hiciese cosa alguna que no fuese bajo las órdenes del señor general Necochea. La. contestación fue como debía esperarse de un hombre PARTE NO OFICIAL. queteníaestabalo mismorealizandoque la-proclamaproyectos quequehabíaen eseformadodia publicó,muy dey estabaantemano.suscritaEllaporconel NOTICIAS EXTRANGERÁS. administradorlo de ministro dede gobiernocorreos D.y relacionesJosé Mar…</t>
  </si>
  <si>
    <t>…ablecieron los tres ministerio-?, y el que dédiferentcs puntos, solos, ó en grupos de dos, cuatro ó sei$&gt; bien porraí, ó suscribe quedó como.antes desempeñando el de Hacienday encongado debela mandados por algún oficial. El bravo general Necochea, fiel retrato de los hé Guerra y Marina. roes de la lliada por su valor, sus hazañas y la nobleza de su carácter, corres pondió á fas. esperanzas que daba su honradez. Venciendo dificultades r y arros trando peligros, se vino á esta plaza; y la noticia de su venida vaiu» solo por un ejército (1). e…</t>
  </si>
  <si>
    <t>NeGrandville, José Moreno Ramírez y D Juan</t>
  </si>
  <si>
    <t>José Moreno Ramírez y D Juan NeGrandville</t>
  </si>
  <si>
    <t>…e San James tiene en las cortes de—les demás á D..Francisco Vereá y Cornejo; para dos plazas de oidor de la de ValladoSoberanos embajadores deprimera clase, pues lord Minto está en Berlín, lord lid , vacantes por'fallecimiento de D. José Moreno Ramírez y D. Juan NeGrandville en París, sir Frederick Lainb en Viena, lord Ponsonjby en Cons- pomuceno Vela, á D.. Mariano Herrero, teniente corregidor de Madrid, y á tantinopia, sir Roberto Adair en Bruselas, y asi en las demas, nosotros solo D. José Jalón y Jalón, ministro de la de Oviedo; para otra plaza de oidor tenemos dos…</t>
  </si>
  <si>
    <t>NeGrandville, Juan</t>
  </si>
  <si>
    <t>Juan NeGrandville</t>
  </si>
  <si>
    <t>…cortes de—les demás á D..Francisco Vereá y Cornejo; para dos plazas de oidor de la de ValladoSoberanos embajadores deprimera clase, pues lord Minto está en Berlín, lord lid , vacantes por'fallecimiento de D. José Moreno Ramírez y D. Juan NeGrandville en París, sir Frederick Lainb en Viena, lord Ponsonjby en Cons- pomuceno Vela, á D.. Mariano Herrero, teniente corregidor de Madrid, y á tantinopia, sir Roberto Adair en Bruselas, y asi en las demas, nosotros solo D. José Jalón y Jalón, ministro de la de Oviedo; para otra plaza de oidor tenemos dos…</t>
  </si>
  <si>
    <t>Negravcruiz, Salvador</t>
  </si>
  <si>
    <t>Salvador Negravcruiz</t>
  </si>
  <si>
    <t>…Sarasa por el mérito que contrajo en el mando de la columna que ataco a los rebeldes de frente; al teniente graduado soua DB coMBRCio_»CW¿Sd9¿70tt de hoy ¿ las tres de la tarde. de capitán D. Antonio Gatell, al de la misma clase D. Salvador Negravcruiz, y al subteniente graduado D. Josef Donadeu, á los sargentos primeros D. Fran XVBCTOS PUBLICO*. cisco Alejo, Bartolomé Maqueda, Francisco Vázquez, Mariano Vázquez, al Inscripciones sobre el gran libro al $ p, zoo, oo* cadete D. Joaquín Vara de Rey, que siempre siguió á mi lado, y después al Dichas…</t>
  </si>
  <si>
    <t>Neigre</t>
  </si>
  <si>
    <t>…concierne á fotmá de TQs'Íujwfqs ’, 'á la liquidación de la antigua ujr-^Mo dkl&lt;^6^tóSieifen”él exfraúgetó, formarán el tjb- Anunciamos hace poco los trabajos de upa comisión de oficiales de arti llería, presidida por el teniente general Neigre, y encargada dé probar unas jeiotle HtMi/coWeócipn los'3tos. El Eíftúo- Sr. ministro dé líacipniWénViáfá inmediatamente cureñas de hierro destinadas al servicio de las plazas y de.las costas! Estos en i refrendar y de sayos, que acaban de terminarse ó de suspenderse por lo menos, han produ .( —--al…</t>
  </si>
  <si>
    <t>Neira, Esteban</t>
  </si>
  <si>
    <t>Esteban Neira</t>
  </si>
  <si>
    <t>…de manera entre las Potencias marítimas que no D. A. S. B. por id...................................................................................... 80 será fácil encontrarles solución pon solo notas diplomáticas. (John-BulL) D. Esteban Neira, por ídem............. ......................................... ............... 60 ____ El duque de Wellington ha hecho una protesta contra el bilí de repre sión de Irlanda, i la cual han suscrito los siguientes Pares: Rosslyn, Whar- Parte recibido en la secretaría de Estado y del Despacha de la G…</t>
  </si>
  <si>
    <t>Nelson</t>
  </si>
  <si>
    <t>…s navios que se esperan de Inglaterra. Este almirante aguarda con de la Gran Bretaña. Las notas no deben ser las únicas armas de nuestros mi I impaciencia la» instrucciones que no duda recibir en la semana próxima por el nistros: lord Nelson decía que un almirante ingles era el mejor embajador. [barco de vapor el Salamandra. La fragata inglesa ia Af¿níarascar, que arri- (Courirr.) * I bó á este puerto hace cuatro dias, se ha hecho igualmente á ia vela para Vour- ____Sentimos que se haya suscitado otra vez la antigua querella entre Sir…</t>
  </si>
  <si>
    <t>Nemesiode</t>
  </si>
  <si>
    <t>…todas se ha vitoreado tu retrato, ó se ha paseado física-química que no han sido rocadas hasta ahora en las obras escritas sobre esta ma por las calles con un entusiasmo, difícil de superar. 1 . legioteria; deporS. elFernandoDr. D. Nemesiode esta í?Wne.de Lallana',Se hallarácatedráticoen la libreríade historiade Hurtadonaturalá 4delrs.Realrústica.co Habiendo observado en esta visita que en muchos pueblos se conservaba la ——Se hallan vacantes las plazas de médico y cirujano de la villa del K-io, en la pro insignia de ía horca y otras se…</t>
  </si>
  <si>
    <t>Nepomuceno, Juan</t>
  </si>
  <si>
    <t>Juan Nepomuceno</t>
  </si>
  <si>
    <t>…a guardia nadoijaU Este sistema, bueno ó malo, es el Ayer 16 marché sobre Moncorvo , y mandando desde la puente dei Sabor que representa nuesfra Ópihióh7 el qüfc representa la Carta y el goMírno repre- la 2.a brigada ai mando del brigadier Juan Nepomuceno en derechura, al Po— senrativo/Pcro.fqujé in^»orpa ?,És menester que lo sacrifiquemos al capricho de cinho por U falda de los montes, me dirigí á dicho paso por él camifio real un puñado de furiosos, cuya sanguinaria condición enciende continuamente la de Moncórvo. El enemigo había pasado su tropa…</t>
  </si>
  <si>
    <t>Neponüiceno, Juan</t>
  </si>
  <si>
    <t>Juan Neponüiceno</t>
  </si>
  <si>
    <t>…rmana del actual Rey .de Baviéfa Luis, de la actual Emperatriz dé Austria , de la archiduquesa '.Federica Sofíii dé Pueblos. • ' Pias. ;./.i 1 Enfermos. 1 Curados. Fallecido!. Ba viera, de la’ Princesa Auñalia Augusta, esposa del Príncipe Juan Neponüiceno: de Sajorna, hermano de la difunta Reina de España Doña María Joséfi Amali»;ry.de lá Princesa Isabel Luisa, esposa del Principé heredero de Prusia. Fuentenovilla.. 18 á 23 Óctiibre. ' 39 ‘ 29 2 . En. Í8oy fue flecho Prínc^ fie Vénecia , y adoptado como MJS por el Illana............ 17 á 24 ídem....…</t>
  </si>
  <si>
    <t>Nerocelo, Rizo</t>
  </si>
  <si>
    <t>Rizo Nerocelo</t>
  </si>
  <si>
    <t>…ombrado el parecer del supremo tribunal de Guerra y Marina, expuesto en ministro plenipotenciario cerca de las cortes de Munich y de Berlín: debe re su acordada de 23 de Mayo último, acerca d.e la instancia que diri emplazarle el señor Rizo Nerocelo», hombrerde probidad muy acreditada, y gió V. E. éñ 10 de Marzo anterior, en la que D. Juan Antonio de estimado generalmente en toda Grecia. Posee grandes talentos, y goza ya la Torre, teniente de infantería amnistiado y retirado en esa capital, de una excelente reputación como escritor. Se ha conf…</t>
  </si>
  <si>
    <t>Nesselcode</t>
  </si>
  <si>
    <t>…eglo á las-Reale* órdenes vigentes Guilleminot, lord Palmcrston, lord Grey, sir Stralford Omning, sir Y.Gra- dispuse que después de obtenidos ios auxilios como cristiano fuese pasado por ham, primer lord del alqtürantazgo ingles; conde Nesselcode, principe de Lie- las armas, cual se ejecutó á las doce de la mañana de.éste dio. Lo que traslado ven, conde Matuchewits, de Ribcaupierrc, conde Orloff y conde de Mentzi- á V. E. acompañando copia del parte que se cita; debiendo ademas manifestarle koff, grande almirantea de Rusia, be dice que loa.…</t>
  </si>
  <si>
    <t>Neua.término, Manuel</t>
  </si>
  <si>
    <t>Manuel Neua.término</t>
  </si>
  <si>
    <t>…allardo Raíz de Arada á eenvir el doiino de oficial tercero-segundo del gobierno civil de Cáceles, para Habiendo solicitado el gobernador civil de Ciudad-Real ampliación de que habia sido nombrado, S. M se ha dignado conferirlo á D. Manuel Neua.término á favor de los compradores de fincas de propios en la época de la guer ra de. la independencia qup no se han presentado á legitimarlas en el pi escrito y Alarin. por causa de estar invadidos los pueblos de su residencia del colera-morbo, je Ha servido S. M. ampliar lojiasta fin de Diciembre próximo…</t>
  </si>
  <si>
    <t>Neuman</t>
  </si>
  <si>
    <t>…intiese por fin en ceder el Luxemburgo. Antes de ñores Infantes. comunicar esta noticia á nuestros lectores, queríamos esperaT á que un hecho cualquiera comprobase nuestras sospechas; y ahora cree mos ya poder asegurar que el Sr. barón Neuman , que ha sido mi Exposición á S. M. la Reina Gobernadora. nistro del Austria cerca de la conferencia de Londres, irá á BibeSeñora: El ayuntamiento de esta ciudad de Vitoria presidido rích , juntamente con un diplomático prusiano , á fin de obtener el por vuestro comisario regio de la provincia de A…</t>
  </si>
  <si>
    <t>Nevot, Juan Bautista</t>
  </si>
  <si>
    <t>Juan Bautista Nevot</t>
  </si>
  <si>
    <t>…iosos por aviso de la justicia de Zucaina que Lamego y derecha del Duero, proclaman simultáneamente á Doña en las inmediaciones de aquel pueblo había gente armada, salieron María de la Gloria. en su 'persecución y aprehendieron á D. Juan Bautista Nevot, tenien Hoy he descubierto aquí seis enfermos en el hospital civil, te ilimitado, y a los ex-realistas de Villareal Roque Quemades pertenecientes á la facción que seguía al Pretendiente en número de y José Flors; y resultando que los tres eran indultados, por haber 400 á 500 hombres; de estos fuero…</t>
  </si>
  <si>
    <t>Neyra, Esteban Alvarez</t>
  </si>
  <si>
    <t>Esteban Alvarez Neyra</t>
  </si>
  <si>
    <t>…. 100 pro y cncoútra, y discutido el punto suficientemente, se procedió á la vota D. Manuel Cantero............................................................................... 1000 ciónj desaprobaos tps poderes del Sr. PaUrea. D. Esteban Alvarez Neyra 60 rs. mensuales, y ha entregado por el Ea seguida preseiuó la comisión su dictámen sobre los del Sr. Romero Al- presente..................................................................................................... 60 puente, opinando que tampoco debían aprobarse, porque la renta que expres…</t>
  </si>
  <si>
    <t>Neyra, PaUrea D Esteban Alvarez</t>
  </si>
  <si>
    <t>PaUrea D Esteban Alvarez Neyra</t>
  </si>
  <si>
    <t>…............. 100 pro y cncoútra, y discutido el punto suficientemente, se procedió á la vota D. Manuel Cantero............................................................................... 1000 ciónj desaprobaos tps poderes del Sr. PaUrea. D. Esteban Alvarez Neyra 60 rs. mensuales, y ha entregado por el Ea seguida preseiuó la comisión su dictámen sobre los del Sr. Romero Al- presente..................................................................................................... 60 puente, opinando que tampoco debían aprobarse, porque la renta que expres…</t>
  </si>
  <si>
    <t>Nfc, Basilio Salcedo D</t>
  </si>
  <si>
    <t>Basilio Salcedo D Nfc</t>
  </si>
  <si>
    <t>…en cam res capellanes de honor difuntas D. Joaquín Diez; D. Pablo Nicolás de S. Pedro. Don po abierto: de lés máquinas;de defender y atacar las plazas, de las máquinas au Joaquín Villanueva, D. Luis Belrrart, D. Vicente Sánchez, D. Basilio Salcedo D Nfc colas.Esrerripa, D. Pedro Obando, D. Mateo Obregon, D. Luis Toledano. D Blas de xiliares para pasar nos, y otros usos de ésta naturaleza &amp;c. &amp;c.; en cónsecuen- , Toro, D. Vicente Navarro, D. Pedro Montenegro D. Santiago Uarraza, D. Acustln cía, « de inferir que en dichos manuscritos ó recopilación…</t>
  </si>
  <si>
    <t>NGERAS, NOTICIAS EXTRA</t>
  </si>
  <si>
    <t>NOTICIAS EXTRA NGERAS</t>
  </si>
  <si>
    <t>ARTICULO DE OFICIO. PARTE NO OFICIAL, , La Reina nuestra Señora Doña Ístbet, n, y S. M. la Reina NOTICIAS EXTRA NGERAS, Goberoadorá, siguett en Carabahcliel sin novedad en su im portante salud. Dét mismo beneficio disfrutan' SS, ÁA.. RR. los Sermos. Se ’ JÚJSIA^ ñores Infantes. . S. Peteriburgo 20 de JtíayQ* La Gaceta de Comercio de S. Petcrsburgo contiene un articulé muy détaHsd.o , en el cual el autor examina los…</t>
  </si>
  <si>
    <t>Nicas</t>
  </si>
  <si>
    <t>…*x qut s* hallan dt venta en-el despacho de la Xhvprent'a Real, Je AíióRDte-trAbújahan Jú y noche con el- mayor celo en beneficio pfiJ|lie», y aus efTuerzos hábian disminuido en gran parte los estragos del -mak Obras .poéticas de D. Nicas i o Alearé? Se Gier.fuejos, impresas de órden de S. M. ‘zn el año de l$l6. Dos tomos eo 8.° marquiUa, á 26 tó. jama y 36 pasta fina. Las uiÍs-3. no -era naceos -laudable-el -importante servicio que prestaba la ¡unta de beneficen- 'mas papel-Vitela, a 36 rs. rama. Para dar una, idea-exacta del mérit…</t>
  </si>
  <si>
    <t>NIcaslo, Eugenio de Tapia y Don Se</t>
  </si>
  <si>
    <t>Eugenio de Tapia y Don Se NIcaslo</t>
  </si>
  <si>
    <t>…ental de Galicia, menos la pro -....Bt Talismán,'6 Ricardo en Palestina] novela histórica del tiempo de las cruza vincia de TJtiy y .los partidos de Corcubion y Bergantiños. das por Sir Walter Scote, y traducida al castellano por D. Eugenio de Tapia y Don Se NIcaslo tomos en con en una lámina. Gallego. Tres halla en Madrid 8.° 14.li Posteriormente algo se interrumpieron-los trabajos. Sin embargo, en 1827 Juan brería 36 pro princi á 30 rs. en pasta: de Perez, envustlcx viudas y en Iza • en jas y sj prolongó la triangulación hasta la frontera de León, y se compr…</t>
  </si>
  <si>
    <t>NIcaslo, Se</t>
  </si>
  <si>
    <t>Se NIcaslo</t>
  </si>
  <si>
    <t>…s la pro -....Bt Talismán,'6 Ricardo en Palestina] novela histórica del tiempo de las cruza vincia de TJtiy y .los partidos de Corcubion y Bergantiños. das por Sir Walter Scote, y traducida al castellano por D. Eugenio de Tapia y Don Se NIcaslo tomos en con en una lámina. Gallego. Tres halla en Madrid 8.° 14.li Posteriormente algo se interrumpieron-los trabajos. Sin embargo, en 1827 Juan brería 36 pro princi á 30 rs. en pasta: de Perez, envustlcx viudas y en Iza • en jas y sj prolongó la triangulación hasta la frontera de León, y se compr…</t>
  </si>
  <si>
    <t>Nico</t>
  </si>
  <si>
    <t>…que Mr. Emerson 7euneut, miembro del Parlamento, ha presen la-Cámara iaolr¡6 *oa fesbá de ayar db.-atgmcme: tado í SrM. unaexpatpcton.de Belfast,^firmada, según.parece, por 223 ha jSeadudifr la.«enuncia que ba.hrrJwT elriwdadano. D. Nico bitantes de esta inteligente, rica é'importa,nte ciudad. Empieza esta exposición lás A--,gobcxtladofy capMan «peral de laproviñeta, pa por reconocer el derecho que tiene-el Rey de escoger sus ministros (derecho ra el cu*l hid»» *ido floratwadkipor la ley «fe 81 * Agostodltimo, que ¿ decir verdad na…</t>
  </si>
  <si>
    <t>…dréislo entendi responda.=Está rubricado de la Real mano, pr En Aranjuez i 7 de do, y lo comunicareis á quien corresponda.ezEstá rubricado de la Abril de 1834—A D. Javier de Burgos. Real mano.=En Aranjuez á 19 de Abril de 1834-=A D. Nico lás María Garelly. ministerio de hacienda de espada. Deseando S. M. la Reina Gobernadora dar al cuerpo de cara Para formar la dotación de ministros de la Real audiencia de bineros de costas y fronteras una nueva muestra de la confijnza que Sevilla, he venido en nombrar por la clase de oidores á D.…</t>
  </si>
  <si>
    <t>…tá rubrica.lo de la ____ La muger de Zumalacarregui ha conseguido del subprefecto seis 6 siete dias de térin-no para esperar en esta su equipage , y concluido saldrá para BurReal mano. = En S, Ildefonso á 19 de Agosto de 1834. =A D. Nico deos, adonde la ha destinado el Sr. ministra de lo Interior. lás María ,GaieUy. ____ La policía ha visitado esta tarde la casa de un comerciante, sospechando la existencia de algunos efectos destinados para la facción de Navarra, y ha en S. 31. la Reirá Gobernadora se ha servido nombrar en calidad…</t>
  </si>
  <si>
    <t>Nicolás</t>
  </si>
  <si>
    <t>…n la misma fecha hallarse aquel ll Fax, herido . v D. Jo-*e Antonio luri rt: D. Manuel Espada: D. Sumías principado en completa tranquilidad , y que los facciosos que compusieron las Chaquetón ; D. Joaquín Alberti, D. Angel Prat. D. Nicolás fiedano; D- Luij</t>
  </si>
  <si>
    <t>…stá rubricado de pre i la antigua, casa de Sajorna-Mein ingerí,) vuelven i ver con placer y . qrtnt dan con respeto en la persona de la¡Soberana de la Grw»¡Bretaña, i la doqué-la Real mano. = En Riofrio á 29 de Julio de 1834. = A D. Nicolás *a Adelaida, cuya memoria han conservado siempre en su corazón patriétsbd. María Garelly. (.Diario dt Francfort.^ MINISTERIO DE GRACIA T JUSTICIA. ■ . Ta comisión de la asamblea legislativa lia abierto s» Sesiones por la&amp; doReal órden. libcxaeiones acerca de-la Organización dé la policía, lo que hi…</t>
  </si>
  <si>
    <t>…a á declarar la indeprnA-nciz del Egipto. titulo de El preceptor apurado. El ¿onde Giraud tenia 58 años. (Id.) El Soter de Nauplia dice: El embajador do la sublime Puerta certa de j .ni' Príncipe de GaUtzin, ayudante de campo del Emperador Nicolás, nuestra corte ha llcgadoá Hidra, donde está haciendo cuarentena. Fue recifciasistió el, día 12 del corriente á las evoluciones y maniobra* que se han eje &gt; do con singular muestra de aprecio y distinción por el eparca de Hidra y por cutado en el acampamento de Santomcx. Mr. Jorge Condouriotti. Hay…</t>
  </si>
  <si>
    <t>…que la' cretas. Un cuaderno en 4;®, edición de 1826, á 8 rs. en rústica. C6dt!e-f ne este librlro la consulta que con este motivo elevó el süpremiSYfiMu Milicia tfrbatia no se destina á los combates: es sedentaria por str nal al Emperador Nicolás 1, incluyendo ia sentencia dq los reos*rute esencia: su deber se limita á conservar el órden público y á sosíe-r ukase d decreto de S. M. lírjferial, relativo.i ella, y ¡a ejecución de la ner la ejecución de las leyes; y solo en el caso' dé resistencia ó tu-1 misma sentencia, con las reedificacione…</t>
  </si>
  <si>
    <t>…se organizará muy pronto. PARTE NO OFICIAL. Todas las autoridades han recibido orden de plantear esta milicia en sus respectivas provincias. NOTICIAS EXTRANGERAS. ____ Se asegura en las tertulias diplomáticas de Bujukrieré que el Emperador Nicolás irá muy pronto á Sebastopol. kubva espaRa. HOLAN'DA. Tamstuiipas 17 de Junio. Haya 22 de Agosto. Al supremo gefe del Estado libre de S. Luis de Potosí. S. Mí la Reina de Inglaterra, de vuelta de su viage á Alemania, se ha Excmo. Sr: En la comunicación que el general D. Antonio López de embarcado el…</t>
  </si>
  <si>
    <t>…de de entre los partidarios del Pretendiente, y ni siquiera un solo Augsburgo, y de ello toma ocasión este diario para hacer gran hombre conocido por sus virtudes ó su ilustración ; pudíendo decirse des elogios del desinterés del Emperador Nicolás, y espera que los que no tiene Isabei h ningún enemigo de aquellos á quienes hace gobiernos apreciarán este servicio, uniéndose con él para hacer respetables esta 6 la otra virtud particular; pues antes por el con volver la libertad á su propio lecho. Sin las precauciones saluda trario, parecen hab…</t>
  </si>
  <si>
    <t>…os de langosta. liente y á los .Urbanos Cristóbal Muñoz , Juan Casado y Andrés Amado que Se ocuparen proteger la introducción de nuevos cultivos en la villa de Can mataron al referido Barba; á los de igual clase Juan Castellanos, D. Nicolás de! eda y otros puntos, y ha tomado las medidas oportunas para llevar á cabo Latios y Sánchez, D. Antonio Rodríguez, todos de Mestanza; á los. alcaldes la roturación de upa dehesa perteneciente á los propios de áqodla capital. pedáneos de las aldeas de Hoyo y de la Solana del Pino, y á todos los- dema…</t>
  </si>
  <si>
    <t>…ema de la ley que se discute , manifestando que ce que el príncipe Lieven va á desempeñar el cargo de gobernador ó ayo"del es puramente de repTct&gt;Íon:y de precaución: que siempre ha sido delito dettnrar jóven gran Duque, hijo del Emperador Nicolás; pero cualesquiera que sean las arma* de guerra; pero que no habiendo nmgurja ley que determinase Ja pena causas de su salida de Londres, que á nuestro juicio rio tienen relación alguna en que incurren los que de entan estas armas, era preciso hacerla. Dice que .cl^ con la política^, debemos confes…</t>
  </si>
  <si>
    <t>…taña, obli- migos del gobierno actual i.y que trabajan para* frastoxnatlo, á sa aron al Sultán i reconocerse deudor de la salvación de su imperio ber, los carlistas y los republicanos. Verdad es que son pocos, ó lá asistencia del Emperador Nicolás. por mejor decir, en cortísimo número los prosélitos de estos dos En seguida habló M. Sheil contra el tratado de 8 de Julio, y partidos; y que siempreque han querido hacer prueba de -su po particularmente contra la-cláusula de cerrar el paso de los Darda- der , siempre que- han tenido que obrar por…</t>
  </si>
  <si>
    <t>…guardia Emperador Alejandro, enviados a S. Peter^burgo para asistir ú la in tancias críticas del'Oriente. auguración de la columna erigida en memoria del último Emperador, voiverán en breve todos condecorados y con medallas. F.l Emperador Nicolás les ha Idem 2 de Setiembre. hevho dar regalos y fiestas, y de consiguiente vuelven muv contentos. ‘ (G. de ?.) Se asegura que el ejército egipcio ha perdido de 800 á 19 hombres en la insurrección de Siria. INGLATERRA. Londres 23 de Setiembre. ___ .El embajador ruso Mr. de ButeniefT ha vuelto á esta…</t>
  </si>
  <si>
    <t>…cupados sin perdida de tiempo por una escuadra ría, teniente gobernador y comandante en gefe de la plaza y territorio de Gi combinada ánglo-francesa. (Íuh.) braltar 6lc. Scc. £cc. La Gaceta de Berlín del 24 anuncia la llegada del Emperador Nicolás á «Por cuanto en cierta orden dada en la corte de San Jaime, con fecha Moscow el 14 del corriente. El gentío reunido para felicitarle era tan nume- de! 13 de julio de 1830 , por S. M. con acuerdo dé su consejo privado para róso, que con mucha dificultad pudo abrirse paso para ir á la catedral. S. M…</t>
  </si>
  <si>
    <t>…nte general de Navarra desdé Pamplona con fecha de 2 del davia/cplmados de condecoraciones y presentes por el Sultán, acaban de recibir actual dice lo que sigue: Excmo. Sr.=rEl general D. Manuel Lorenzo, coman iguales favores~del Emperador Nicolás. dante de la 2.a división de este ejército de. operaciones , con fecha 2 ó del ante El campo ofrece,aqui actualmente un aspecto muy triste ; avena, heno rior me dice lo que sigue.=*'Excmo. Sr.: El .pueblo rebelde de Abarzuza-ha paja y patatas, todo ha faltado este año, y el paisano tendrá que vender…</t>
  </si>
  <si>
    <t>…embre de 1834¿=N- El marques dei Valverde^Sr. Secretario de Esudo y del Despacho de lo Interior. RUSIA. S. P-etersbwgo 8 de Noviembre. PÍRTÉ W OFICIAL. - "Por una órden del dia firmarla en Moscou en 29 de Octubre último, S. M. el Emperador Nicolás ha tenido á bien retirar del servicio ri almirante noticias extrangeras. Tschitchagoff, individuo del consejo supremo del Imperio. (Gaceta de Prusiai) SUECIA. AMERICA. Stockolmo 7 de Noviembre. - ? v 'i i ISLA I&gt;S COBA. El cuerpo de la nobleza decretó antes de ayer la contribución extraor dinaria p…</t>
  </si>
  <si>
    <t>…s provincias no se tenia noticia tumbra invernar, y que en fin el gobierno británico descansaba respecto á los ninguna del estado general de las cosas, públicas, S. Sebastian , desechando de negocios de Turquía en la buena fé del Emperador Nicolás. | sí toda precaución pusilánime, y escuchando solo el eco de su lealtad y entu— La misma Gaceta asegura que la intención de! congreso de Ministros en I siasmo, proclamó en su recinto y juró solemnemente á Isabel ic se encargó de Viena es únicamente libertar á la Germanta de las turbulencias que pud…</t>
  </si>
  <si>
    <t>…- -------En virtud de providencia del Sr. Bilsqra, del consejo de S. M. , teniente corre Estado del número de personas fallecidas en la ciudad de Granada en los gidor de esta villa, refrendada del escribano del número de la misma D. Nicolás de dias que se expresan. Ortiz, por cuyo juzgado y escribanía penden los autos de testamentaría de D. Jaime Dot, vecino y del comercio que fue de esta corte; se ha señalado para junta geneDías. Varones. Hembras. Párvulos. Total. ra^ de acreedores á los bienes quedados por fallecimiento de dicho Dot, e…</t>
  </si>
  <si>
    <t>…extremos cuatro j años hubiera interftádo esto M¿»Goury, tal vez le hubiera costado la vida. grandes trasparentes con pinturas ale^áricas e inscripciones análogas al grandio- ] •En la noche dél 7 al 8 de Diciembre último salió el emperador Nicolás so objeto que se solemnizaba. de Petersburgo para Moscou. (G. de F.) F.n el primer Trasparente se veía al Rey Sabio con manto, corona y cetro, en el ac' ós establecer por lev fundamental de la monarquía la práctica val ESPAÑA. constarte ce ia sucesión directa , y los ricos-hombres v grande» de Cast…</t>
  </si>
  <si>
    <t>…ellos cuerpos literarios quieran tendido, y lo comunicareis 4 quien corresponda.= Está rubricado de desobedecer la ley. El éxito del bilí es una simple cuestión de tiempo, pues la Real mano. = En Riofrio 4 4 de Agosto de 1854.= A D. Nicolás nadie puede saber si pasará ó no en esta sesión ; mas lo cierto es que si no pasa, María Garelly. se propondrá otro mas ventajoso todavía á ios difidentes, el cual obtendrá pronto la sanción del Parlamento. El obispo de Exeter se opone al bilí por la razón de que la creencia reli giosa es la base d…</t>
  </si>
  <si>
    <t>…ancia, y desplegarán para que tengan el debido cumpli pachos interesantes. Su contenido parece confirmar lo que anunciamos día» an miento el zelo y energía necesarios, dando parte de lo que adelanten en este tes , á saber, que el Emperador Nicolás desea mantener la p¿2 de Europa. En particular hasta conseguir que en la provincia de su respectivo mando no haya cuanto á Holanda tampoco quiere intervenir en su» negocios , de manera queei pueblo alguno en que no se ocurra á la necesidad que motiva esta circular. De Rey Guillermo se verá obligado…</t>
  </si>
  <si>
    <t>…alle. rar los reglamentos municipales pira prripor». onar la aburd-mc a s ".¡uniad de todos/los cuneros: suprimir unrss arbitrios ta” c *&lt;iv osos , que mui' rn "‘■cíe hu Atendiendo á las relevantes circunstancias que concurren en D. Nicolás bieran aniquilado 1 ( s esenciales re'Ortcsde I i pr'&gt;spe-'d.id : y en hn , de^-o _• tr a Marta Garfil t , y á la qlta prueba de aprecio que le dispensó mi muy caro y •los pueblos de las exacciones que experimenrjbjn pira reintegro He ,&lt;■** p’^'tos, adiado Esposo (Q. p, G- E.) , eligiéndole suplent…</t>
  </si>
  <si>
    <t>…están próximas á reunirse en la capital. Continúan con el mismo ardor los preparativos de la Rusia en el mar Ne ; S, M.. ge. prepara á abrirlas en Persona; verificando en tan so gro. F.n la costa de Turquía esun á deposición del Emperador Nicolás los ar lemne acto el juramento prescrito por nuestras antiguas leyes ^fun senales y sus dependencias. Poj disposición de los agentes dei Emperador, se damentales, y recibiendo de los ilustres Pri'ieeres v de los dignos corta .madera de construcción, se reclutan marineros, se hace requisición de Procura…</t>
  </si>
  <si>
    <t>…ferenfestado enfermedades sospechosas en los pueblos de Leganés y Morata, habia hasra de desde Asia infieles de el tes Príncipes Africa, siglo xm el xv, copiados y salido de esta corte para el primer punto el profesor de medicina D. Nicolás órden de $. M. de los registros originales del Real y general archivo de la Corona de1 Alfaro, pasando al segundo desde Bal lecas el de igual clase D. Mateo Seoane: Aragón: por D. Antonio de Capmani y de Montpalau: vertidos fiel y literalmente acompaña el siguiente del Idioma antiguo lemosino al ca…</t>
  </si>
  <si>
    <t>…utes. (Corta particular.) ’ dencia. Achmet-baja habla con grandes elogios de la recepción que ha tenido en S. Petersburgo, y en todos sus despachos recomienda al Sultán que se fie eñ fCIHA las generosas intenciones y buena fe del Emperador Nicolás , motivo pot que \• Carra 6 Se Diciembre. 'aquel siguiendo los consejos de su ministro, no hace nada sin consultar al em bajador de Rusia* Lo que al principio no fue am que une conjetura, te ha realizado ya, y 1— f-n Cruceta de Lisboa del 1 $ del pasado contiene noticias que ya sabía pasa por ciert…</t>
  </si>
  <si>
    <t>…se s^ñqrel, ppeo á ppc&lt;f de jados los ánimo^&gt; excepta Berlín. Este diplpmíUéo te hallaba Últimamente en España,; se dice querva á de algunos hombres tan incorregibles, queriendo inútil cuanto se 4|ag| pér ¿Berlín, Ikmaap'iporrél Emperador Nicolás para asistir, á una conferencia que atraerlos á la razón, se debe pensaren aislarlos. HéWquí lo qut d&lt;&amp;S£ lá. n¿- oébe, á lo que-se*erbé¡''irtfWr müSho sobre la suerte-de la Europa. cioittoda: cuitftdo se-dice que U&gt;s pArtidos-confervari^esentimientos /es^e no (Carreo belga.) se quiere que dejen de…</t>
  </si>
  <si>
    <t>…nsurrección de su. patria, Considerando $. M. la Reina Gobernadora que los trastorno* han vuélto al servicio de la Rusia. El primero ha sido nombrado’ y las vicisitudes de los últimos 25 años lanzaron del suelo patrio _edecan del Emperador Nicolás. en varias ocasiones muchos millares de familias: que fue una ven—1 ------ La Gaceta de Francfort del 29 último anuncia la muerte tura que algunas de ellas en tal situación pudiesen aplicar á uno ú del duque reinante de Anhait Bernburg. otro da lo? individuos que las componian al estudio de las cien…</t>
  </si>
  <si>
    <t>…o; se cree sin embargo todavía, aunque mas bien las necesidades del reino, como un hombre que conoce que sus dias están con por lo que dicen las cartas particulares de Berlín que por los artículos de los tados. periódicos, que el Emperador Nicolás acompañara á la Emperatriz hasta Ber La resolución de las Cortes sobre la mayor edad de la Reina, y los prilín, y que desde allí hará una excursión con el Rey de Prusia para reunirse méros actos con que esta ha ejercido su soberanía han conjurado los peligros con el Emperador de Austria en Bohemia…</t>
  </si>
  <si>
    <t>…El cúter el Hittd llegó á Conslantinopla algunos dias antes. (.Mensajero.') virtudes y saber siempre puede un Soberano hacer el bien de sus pueblos y des empeñar con gloria la noble misión que le señaló la Providencia. ------ El Emperador Nicolás ha dispuesto, según anuncia el periódico oficial de Constitucional. Con admiración mezclada de gratitud hemos leído el dis Varsovta , que los polacos prisioneros en Rusia podrán casarse con la condi curso de la Reina'Gobernadora de España , hablando claramente de los dere ción de que sus hijos sean…</t>
  </si>
  <si>
    <t>…te inscripción del mismo abate Mar lucha sin mucha sangre. Los extrangeros que residen allí se ocupaban en reco sella : ger sus efectos temietfdo un mal resultado. „ v FERDINANDVS . V.II . KAROLI . IV . CATHOLlCt . REGIS . F. ,E1 Emperador Nicolás regresó á S. Peter»burgo el 18 del mes último, A. PRIMA . AETATE . HVMANARUM . KERVK . LVD18R1VM esperaba un resultado favorable del paso últimamente dado por el ga VIX . THRONO . ASSIDENS . AB . PRAEPOTENTI . VI . DEIECTVB binete austríaco con el de la Rusia , persuadiéndole á que evite la alterac…</t>
  </si>
  <si>
    <t>…rle los honores BAVISRA. de la Real audiencia de Burgos, libres de todo pago. Tendréislo en 4 Munich 27 de Abril-,tendido, y lo comunicareis á ijuien corresponda—Está rubricado de la Real mano.=En Aranjuez a 19 de Mayo de 1834.=A D. Nicolás La mitad de nuestra ciudad se halla en este momento atacada de la grlpa. María Garelly. EL Rey está ya completamente restablecido, y ayer asistió al teatro; el prín MINISTERIO DEL INTERIOR. cipe de Wallenstein ha recobrado también La salad, y ha vuelto á encargarse del despacho de los negocios. EL prí…</t>
  </si>
  <si>
    <t>…Fru sta; pero este viaje ha parecido demasiado largo al Emperador de Austria* NOTICIAS EXTRANGERAA atendida su edad avanzada, y se ha escogido un tugar mas inmediato 4 la capi tal del imperio, que será Bruon. A esta ciudad irá el Emperador Nicolás da vuelta de una visita á Berlín con.el objeto de ver la familia Real, y casi al mismo tiempo estará también en Bruno el Rey de Prusia y Mr. de Mettcr- (Continuación del correo anterior^ mch. Los Soberanos asistirán á los grandes ejenácios de la tropa reunida , y ada SITADOS PONTUICIOI. mas se pretend…</t>
  </si>
  <si>
    <t>…surta en Sebas D. Antonio Casanova,que lo eran primero y teFcerodel expresar topol está pronta á hacerse á la vela para Constantinopla á la pri do Consejo: para la de escribano primero de Cámara al q¡úc la des mera señal; que el Emperador Nicolás ha concedido ocho años empeñaba en el mismo D. Andrés Ramón de Abuin; y para lia de plazo á la Turquía para pagar su deuda; qué un alboroto serio, de capellán á D. Agustín Ai taza, que también U obtenía. Ifl li cuyos instigadores se ignoran, ha estallado en Bagdad y en Kuri</t>
  </si>
  <si>
    <t>…arzobispo de Cantorbery. — - .Se habla de grandes ejercicios militares que deberán verificarse pronto ea « Al muy reverendo Guillermo lord arzobispo de Cantorbery metropolita— Prusia, y á los que podría suceder que concurriera el Emperador Nicolás, no y primado de toda la Inglaterra. Los infrascritos, habiendo tenido La Se dice también que el Soberano debe ir á K-oenigsbcrg, donde deberá en* honra de poner á los pies del trono la expresión de su sincera fidelidad á la contrar á la Princesa Real. (Mensageroi) creencia, culto y apostólica form…</t>
  </si>
  <si>
    <t>…a, la ley determina por sí misma cuá vientes. (Auliz.it’ del Giornoi) les son las circunstancias que agravan ó atenúan el delito. El juez no puede admitir otras, y cuando las califica, aumenta ó disminuye la pena según la -___ El Emperador Nicolás llegó el 26 de Noviembre último á Varsovia: ha proporción señalada anteriormente por la ley. visitado la ciudadela, pasado una revista en la plaza mayor, visitado á la El código de Bolivia hace honor al presidente que gobierna aquella repú princesa de Varsovia, y recibido á las autoridades en el pa…</t>
  </si>
  <si>
    <t>…imo, según dicen , de pasar a Pensa y Casan; por manera, que hasta fines de nos.” Noviembre no podrá volver á Petersburgo, Las cartas de Berlín insisten ^n-que - Del 21 de Octubre. «Una carta de Alepo asegura que ha habido nue el Emperador Nicolás debe ir á aquella capital. {Cuurier.) vas turbulencias en la Siria. Añade que la situación de Mehemet-Alí es i muy critica; el príncipe de los drusos, Emir-Bekár, np le da ya ningún auxi De una estadística criminal recientertiente formada en Copenhague, cons lio. No se saben los motivos del rompimi…</t>
  </si>
  <si>
    <t>…’Orbigny, y sus dibujos trazados sobre el lugar mismo nida por el establecimiento que dirige en esta capital Mr. Habas. de sus descubrimientos. Los manuscritos dfc Mr. d’Orbigny están concluidos en cuanto á los ani ____ Cuando el Emperador Nicolás pasó revista en Prusia á los dos regimien males moluscos, y en estado de publicarse: menos adelantados en cuanto á tos de caballería, uno de los cuales lleva su nombre y el otro el del gran Du las demas partes; pero los catálogos son completos y hechos con esmero ; lle que heredero, dirigió á estos…</t>
  </si>
  <si>
    <t>…star acordes las tres Potencias. »E1 gobierno ha sabido apreciar la impresión que han producido en el ánimo del pueblo las conferencias de los Monarcas en Schwedt y en MunchenGraetz. Ya en la primera entrevista habia prometido el Emperador Nicolás á Madrid 24 de Diciembre. su suegro visitarle en Berlín; la misma promesa hizo el Emperador á su Espo sa antes de que esta saliese para Berlín, y se sabia positivamente que el Em ELECCION DE PROCURADORES DEL REINO. perador vendría á esta capital. la acogida que hizo el Emperador Nicolás á la diputa…</t>
  </si>
  <si>
    <t>…Polonia. „Los periódicos de Londres dan noticia del casamiento de Doña María. «Las medidas para despoblar las provincias polacas*sometidas al yugo Se ha celebrado el l.° de este mes por poderes. El joven Duque de Leuchtem- . del Emperador Nicolás continúan con un furor que nada ablanda ni cansa. berg está én camino para Lisboa, adonde llegará hacia el mes de Enero. Los huérfanos que se educan en Polonia en los establecimienfos de beneficen «Se va pues á consolidar el establecimiento monárquico destinado á re cia son enviados á las provincia…</t>
  </si>
  <si>
    <t>…ndecimiento en el q«e él no veia ninguna utilidad en nombrar una comisión, por creer improba Oriente, y no podemos atinar en virtud de qué consejos contrarios á su gloria ble que produjese ningún beneficio práctico. ha lanzado el Emperador Nicolás el ukase de 3 de Mayo. Sin embargo M. Buckingham persistió en su propuesta ¡ y en consecuen ¡ Se ha creido que la Rusia estaba ya bastante impregnada del espíritu eu cia quedó nombrada la comisión por &lt;54 votos contra 40- ropeo, y que podia en lo sucesivo abstenerse del comercio con el Occidente? ¡…</t>
  </si>
  <si>
    <t>…y á 9.654,4^ en 1820. En et curso de los 10 años siguientes, lejos [ ¡«abajada rusa y á los oficiales y tripulación de la escuadra del Bósforo, el de disminuirse ó mantenerse estacionaria, observamos igualmente que ha seguí- | ¡.Emperador Nicolás ha mandado, ademas de otros regalos enviados á la Puerta, do la misma pregresion ascendente, pues en 1830 llegaba ya el número de ha ¡que se acuñen medallas de oro y de plata con su nombre en un lado, y en el bitantes de los Estados-Unidos á 12.856,154- * ¡otro 1833 , en; copmemoracion de la alianz…</t>
  </si>
  <si>
    <t>…honor de poseer en tados á nadie hacen bonor; creemos pues que esta determinación merecerá la breve dentro de sus muros á los tres Soberanos aliados. mejor aceptación, y que se considerará como una prueba de nuestra buena fe, El Emperador Nicolás irá primero á Berlín á visitar á la fámilia Real; á. particularmente por la parte sana de nuestro comercio, á quien afecta de un su vuelta pasará por Brunn. El Rey de Prusia llegará al mismo tiempo que ¿I; modo muy directo. á lo menos se le ha convidado á hacerlo por parte del gabinete de Viena. Lo…</t>
  </si>
  <si>
    <t>…do enterado, sidente del Consejo de Ministros, participando por el primero haberse digna unanimidad el proyecto de ley, se estaba, en el caso de elevarlo al conocímieado S. M. elevar a k dignidad-de Prócer del-Reino al Excmo. Sr. D. Nicolás to de S. M- para que se sirviese manifestar si recibiría á U comisión'que lo ha María Garolly, y noticiando por el segundo el nombramiento del Excmo. Se- bía de poner en sus Reales manos, con arreglo a lo prevenido por el regla fior D- Miguel Ricardo de Alava para Ministro de S. M, cerca del Rey de…</t>
  </si>
  <si>
    <t>…e en virtud de la autorización que le ponen le dreis lo necesario á su cumplimiento. = Está rubricado de la Real el artículo anterior, la Competente certificación que acredite el exá- mano. — En Aranjuez á 26 de Mayo de 1834. = A D. Nicolás 31aría men .y aprobación, con ja que podrán acudir á la sección de Gracia, Gareliy. y Justicia del Consejo Real para que les expida el título corres MINISTERIO t&gt;EL INTERIOR* pondiente. Real orden. También mandará expedir los despachos y ejecutorias que so licitaren los interesados para llevar »' e…</t>
  </si>
  <si>
    <t>…, libertar la alta Cataluña de la presencia de aquellos i ...i X* Gaceta de Francia anuncia en una carta de Francfort que quien te malvados, y haberse mejorado considerablemente el espíritu público de aquella casa con la bija del Emperador Nicolás no es el Príncipe Othon, sido el Prín ‘parte dé la provincia. cipe Real de Bariera. ' Por consecuencia de ello son varios los grupos de facciosos que se cogen y Jos que se entregan á discreción , mientras que los principales cabecillas, c &gt;n ■ la Gaceta de Munich del 5 de este me* contiene lo sigui…</t>
  </si>
  <si>
    <t>…o me sa para la segunda lectura. jor , reducidos á vivir de recursos exóticos, de un movimiento de D. Miguel, Continuó la discusión del proyecto de ley relativo á -la libertad de im de una hazaña de L&gt;. Cárlos, de una revista del Emperador Nicolás, mientras prenta", y drapura de una breve discusión quedaron aprobad» con algunas que maldicen á su embajador Pozzo di Borgo por haber ¡do con la corte á Fon- correccionra la párrafos 7.° y 8L° que tratan de -las penas corporales y pecu tainebleau. Pero no hay remedio, tienen mal que la pese, que v…</t>
  </si>
  <si>
    <t>Nicolás'</t>
  </si>
  <si>
    <t>…laque di de los mismos, y Ia escala establecida en el artículo 14 de la Real' cen las cartas particulares de Berlín que por los artículos dé ios diarios , .que el instrucción-de 26 de Diciembre de 1831. Y de Real orden &amp;c. Ma- &gt; Emperador Nicolás' acompañará á la Emperatriz á Berlín, y que desde allí hará drid 14 de Setiembre de 1834. =E1 conde de Toreno.=Sres. directo- ■ una excursión con el Rey de Prusia para ir á encontrarse con el Emperador de res dé Rentas. Austria en Bohemia ó en Moravia ; quizá otros Soberanos de la Confederación germ…</t>
  </si>
  <si>
    <t>Nicolás, Angel Prat D</t>
  </si>
  <si>
    <t>Angel Prat D Nicolás</t>
  </si>
  <si>
    <t>…turias avisa con la misma fecha hallarse aquel ll Fax, herido . v D. Jo-*e Antonio luri rt: D. Manuel Espada: D. Sumías principado en completa tranquilidad , y que los facciosos que compusieron las Chaquetón ; D. Joaquín Alberti, D. Angel Prat. D. Nicolás fiedano; D- Luij</t>
  </si>
  <si>
    <t>Nicolás, D</t>
  </si>
  <si>
    <t>D Nicolás</t>
  </si>
  <si>
    <t>…quedo enterado, sidente del Consejo de Ministros, participando por el primero haberse digna unanimidad el proyecto de ley, se estaba, en el caso de elevarlo al conocímieado S. M. elevar a k dignidad-de Prócer del-Reino al Excmo. Sr. D. Nicolás to de S. M- para que se sirviese manifestar si recibiría á U comisión'que lo ha María Garolly, y noticiando por el segundo el nombramiento del Excmo. Se- bía de poner en sus Reales manos, con arreglo a lo prevenido por el regla fior D- Miguel Ricardo de Alava para Ministro de S. M, cerca del Rey de…</t>
  </si>
  <si>
    <t>Nicolás, Go de Abril de A D</t>
  </si>
  <si>
    <t>Go de Abril de A D Nicolás</t>
  </si>
  <si>
    <t>…MINISTERIO DEL FOMENTO GENERAL DEL REINO. este decreto. Tendréislo entendido, y lo comunicareis á quien cor- Real órden. responda.rrEstá rubricado de la Real mano.r=En Aranjuez á 19 Excmo. Sr.: Teniendo en consideración S. M. la Reina Go de Abril de 1834—A D- Nicolás María Garelly. bernadora aue á V. E. incumbe, como subdelegado de Fomento de esta provincia, la obligación de averiguar y conocer con exacti Para la plaza de oidoT de la Real audiencia de Galicia, vacan tud cuáles son los verdaderamente indigentes, imposibilitados de te por promoción de D. Angel Ca…</t>
  </si>
  <si>
    <t>ÑicoU</t>
  </si>
  <si>
    <t>…sen los aplausos que cubrían su voz, contestó lo que sigue: «Milord y seño cr^ario ítsumo, fianc«s de nacimiento, hace igualmente parte de la comitiva. res: deseo que se de crédito á mis palabras al asegurar á ota asamblea que ao Emperador- ÑicoU&amp; solo estará aquí ocho ó diez dias. Otros dicen que se de son frases vulgares comunmente empleadas en la introducción de un discurso tendrá aquí mas ó menos tiempo, según lo que resulte de su conferencia coO las que pronuncio en este momento, para decir que me siento incapaz de ex el Emperador de A…</t>
  </si>
  <si>
    <t>Nieto</t>
  </si>
  <si>
    <t>…idas, pues Ja aduana estaba empeñada en 2503 pefos, Entre tanto el benemérito, el ¡lustre departamento de Arequipa, capita la moneda en mas de 8u$, f se hablan girado libranzas cOntra los fondos do neado por el honrado y valiente general Nieto, hizo su pronunciamiento con todos los departamentos. Estando asi gastadas de antemano todas las rentas, se ' un entusiasmo que manifiesta hasta dónde se extiende su ilustración, y su amor veía el nuevo gobierno en los mayores apuros. Apenas, empezaba á‘buscar ar i las instituciones. El Sr. general…</t>
  </si>
  <si>
    <t>…os bar.» s ración en el territorio boliviano. Cartas particulares dicen que esta resolución de economías se hallan tan enlazados con Jos da comercio Je dcpi tito, que se habia tomado por aquellos habitantes bajo los auspicios del general Nieto; apenas puede concebirse la existencia de los unos sin la coexistencia de ios pera.es probable que si se destruye propio á (Jamarra, de resultas de haberse otros. Por otra parte, la utilidad de los bancos de comer-rio es t..n notoria por unido las tropas de Eermudez con las del presidente Orbegoso,…</t>
  </si>
  <si>
    <t>Nieto, D Joaquín González</t>
  </si>
  <si>
    <t>D Joaquín González Nieto</t>
  </si>
  <si>
    <t>…El Estamento quedó enterado. do para reemplazarle al Sr. Floreé Estrada. La comisión de Poderes presentó su dictamen acerca de la exposición di El Sr. Presidente preguntó en qué estado, se hallaba el proyecto de ley rigida por el Sr. D. Joaquín González Nieto, electo Procurador por la pro sobre moneda, en atención al tiempo que habia trascurrido desde que se paso vincia de Soria, solicitando se le exonerase de este cargo, en razón de seguír á la cpmlsion nombrada al efecto. , sele perjuicios de consideración de venir á desempeñarlo, j de que no posee la…</t>
  </si>
  <si>
    <t>Nieto, Joaquín González</t>
  </si>
  <si>
    <t>Joaquín González Nieto</t>
  </si>
  <si>
    <t>…stamento quedó enterado. do para reemplazarle al Sr. Floreé Estrada. La comisión de Poderes presentó su dictamen acerca de la exposición di El Sr. Presidente preguntó en qué estado, se hallaba el proyecto de ley rigida por el Sr. D. Joaquín González Nieto, electo Procurador por la pro sobre moneda, en atención al tiempo que habia trascurrido desde que se paso vincia de Soria, solicitando se le exonerase de este cargo, en razón de seguír á la cpmlsion nombrada al efecto. , sele perjuicios de consideración de venir á desempeñarlo, j de que no posee la…</t>
  </si>
  <si>
    <t>…lla; siendo de parecer que se concediese é dicho Sr. el termino de un me* para Miguel de Grox, y D. Juan Fausto Uñarte, que ha recaído en los Sres. Don que los presente conforme á lo mandado. Asi se aprobó. Luis de S. Clemente, y D. Joaquín González Nieto, y de la de Guadalajara Asimismo manifestó dicha comisión haber examinado el oficio del señor en reemplazo del Sr. D. Gregorio García, que ha recaído en ei Sr. D. Fran D. Francisco Pcramon, electo por la provincia de Gerona, en que solicita se cisco Murati. le exonere del cargo de Procurador; y que…</t>
  </si>
  <si>
    <t>Nieto, L Joaquín González</t>
  </si>
  <si>
    <t>L Joaquín González Nieto</t>
  </si>
  <si>
    <t>…cha y Palarea, de que se admitan toda* las La comisión de Poderes dió cuenta de haber examinado los documentos que hagan los Procuradores electos, sin precisarles á manifestar las causas que justificativos de-la aptitud legal del Sr. L&gt;. Joaquín González Nieto, electo les obliguen á verificarlo. En ambas tengo el disgusto de ser de opinión con Procurador por la provincia de Soria, manifestando que aunque de ellos re traría. Las razones que alega el Sr. Procurador electo eí verdad no- e^fan indi-»- sulta que su renta no asciende mas que á 11,540 rs., como…</t>
  </si>
  <si>
    <t>Nieto, Lucio</t>
  </si>
  <si>
    <t>Lucio Nieto</t>
  </si>
  <si>
    <t>…judicial con el abogado fiscal, un escribano ya entrada nos díó frente la facción, rompiendo el fuego por una linea de y dos dependientes de este juzgado , en la que había también un destacamento caballos mandados por el titulado brigadier Lucio Nieto: pero ai ver que de 30 hombres del regimiento provincial de Córdoba al mando del teniente lo despreciábamos, y que íbamos á la carga con la caballería formada en un» EX Rafael Valenzuela, se presentó como á cosa de la una de la tarde la facción pequeña columna, con guerrillas de la misma arma á los…</t>
  </si>
  <si>
    <t>Nieto, Luis San Clemente D Joaquín González</t>
  </si>
  <si>
    <t>Luis San Clemente D Joaquín González Nieto</t>
  </si>
  <si>
    <t>…sco Montalvo y Castañeda. nirá mañana el Estamento, y lo verificará el viernes á las diez para discutir Córdoba. ee D. Domingo Cañaveral. las peticiones que están señaladas. Ciérrase la sesión.” Se levantó esta á las 4* Soria, rr D. Luis San Clemente. D. Joaquín González Nieto. Ifota. En la sesión de 24 del actual, colum. 17. lío. 5, dice declarada léase des Sevilla. =e D. Antonio Scoane. echadJ. . » t / - • ' . / :a /• ., : ? • ■ • ÍN IA IMPRENTA REAL.</t>
  </si>
  <si>
    <t>NietQ.-está-eolocado-á-la</t>
  </si>
  <si>
    <t>…mado su se ha verificado hasta el presente. De Real orden Incomunico á V . S. decisión de no obedecer mas autoridad que (a déla ley. El bravo, el liberal, el para IñS efectos -correspondientes. Dios &amp;c. Madrid 6 de Agosto ilustre general ..NietQ.-está-eolocado-á-la cabeza de valientes, que como por de 1834.=:Toieno.=Sres. directores generales de Rentas:------------------- encanto han tomado las armas para defender la libertad de nuestra amada pa tria. Ved allí, peruanos, el fuego eléctrico que ahora anima á la república. É.la Otra declarando el derecho que de…</t>
  </si>
  <si>
    <t>Nieva, D Juan Gómez</t>
  </si>
  <si>
    <t>D Juan Gómez Nieva</t>
  </si>
  <si>
    <t>…lcázar, sol dado. Huta. En la capital se gozaba de buena salud, asi como en el resto de 1* Albuhera, 5.° de idem.=D. Pedro Pou, capitán graduado de teniente provincia, y en Valenzuela se había cantado el Te Deu*t e\ citado dia 9* coronel. D. Juan Gómez Nieva, ayudante. José Ramírez, soldado. Carabineros á caballo de costas y frcnteras.=Agu«tin Chacón, carabine PROVINCIA DE JAEN. -------- ro. Francisco León, Ídem. Manuel Conejo, idem. Manuel Germán, idem. Excedentes^rCoronel D. Manuel Gurrea, gefe de la 2.a brigada de caba— Avisa su gobernador civil «i…</t>
  </si>
  <si>
    <t>Nieva, Juan Gómez</t>
  </si>
  <si>
    <t>Juan Gómez Nieva</t>
  </si>
  <si>
    <t>…ol dado. Huta. En la capital se gozaba de buena salud, asi como en el resto de 1* Albuhera, 5.° de idem.=D. Pedro Pou, capitán graduado de teniente provincia, y en Valenzuela se había cantado el Te Deu*t e\ citado dia 9* coronel. D. Juan Gómez Nieva, ayudante. José Ramírez, soldado. Carabineros á caballo de costas y frcnteras.=Agu«tin Chacón, carabine PROVINCIA DE JAEN. -------- ro. Francisco León, Ídem. Manuel Conejo, idem. Manuel Germán, idem. Excedentes^rCoronel D. Manuel Gurrea, gefe de la 2.a brigada de caba— Avisa su gobernador civil «i…</t>
  </si>
  <si>
    <t>Nikxdajevva, María</t>
  </si>
  <si>
    <t>María Nikxdajevva</t>
  </si>
  <si>
    <t>…uales, pital (D. de Comercio.j ___Eseriben de Tolon 28 de Noviembre: -------Dice una carta de Prusía que se habla enBerlin de utl proyectó de Union Una comisión superior, compuesta de los Sres. Robert, capitán de na entre la gran duquesa María Nikxdajevva, nacida en 1819, hija del Empera vio, director de los movimientos del puente de Tolon ; Esmenard, comisario dor Nicolás, y el Príncipe Cárlos Alejandro, nacido en 1818, gran Duque déla Marina, encargado del detalle de los presidios; Garibon, capitán de hereditario de Sajonia-Wcunar, (.idi). fragata…</t>
  </si>
  <si>
    <t>Niña</t>
  </si>
  <si>
    <t>…bildo celebró una solemne misa y Te Deum en acción Pos grandes objetos encomiendan las circunstancias al honor militar: de de gracias al Todopoderoso por tan singular beneficio, y de vuelta todas las au fender los derechos de una Reina Niña disputados necia y bárbaramente por toridades de conformidad dispusieron dar en la noche tercera y última un baile la ambición fanática; y sostener las concesiones políticas y mejoras administra a que convidaron las personas mas distinguidas y decentes de la población , fran tivas con que su august…</t>
  </si>
  <si>
    <t>Ninguna</t>
  </si>
  <si>
    <t>…tres y consejo de Estado .del cantón1 de ZurWh', directorio El Monitor contiene la siguiente carta dirigida al Sr. minjstro de la Guerra: federativo / tienen la honra&amp;c, Zqrich 24 de Junio de 1834-” Argel 20 de Junio 1834- «Señor mariscal: Ninguna noticia de importari- ' cía tengo que anunciaros sobre nuestra 'situación1 política- que continúa, alenda- SEIOICA., la mas satisfactoria, puesto que éeiha la thiyOrJtranquilidad en la llanura, y lfe- 'Bruselas 30 de Junio. gan de todas partes los. comestibles i nuestros mercados. El comercio de la…</t>
  </si>
  <si>
    <t>Ninstras</t>
  </si>
  <si>
    <t>…a ni corno sentencia plenamente ab- tancia que prueba los progreso* que ha hedttsen luciarerra la tefimna en el,señó 'solutoria para este efecto la en qtie resulte^apercibido el procesado ó de tas ciases inferiores' de la **sixda'd. Ninstras- poblaciones ‘rurales, dice él se le impoñga cualquiera pena,'por ligera que fuere. Y Je Real ór- Pertmine Aazirrt/íen, buscan tedas las ocasiones posibles de manifestar su 'deti lo digo á V, S- para su Iniedigeqcia y efectos consiguieqte.s. Dios adhesión y los.ptirrcxpira de Ja refónná y á ios homb…</t>
  </si>
  <si>
    <t>Nisard</t>
  </si>
  <si>
    <t>…costumbres y de críticas sobre loepoetas latinos de ta decaden no habla ni de los Bórgias, ni dcrtcis Midicis, ni de Francisco r ni de Ale jandro vr; las -palabras que encierra no tienen la terminación italiana, y el úl cia ; por D. Nisard. timo hombre que- menciona., tiene el nombre mas romano que se puede ima ginar , á saber: Marco Tucano. Parece actualmente que la cnestion que se ventilaba en otro tiempo entre - Se ha dicho hace tiempo que los pueblos se parecen i los individuos en BoÜeau-Despreaux por uila parte y Claudio Perrault…</t>
  </si>
  <si>
    <t>Nkvar</t>
  </si>
  <si>
    <t>…os que lo he propuesto.” conde de S. Román, Sr. Navarro y Sangran , obispo de Teruel, conde de Cu Después de una ligera discusión entre los Sres. obispo Vallejo y mar ba, Sr. Atvarez Guerra, duque de Noblejas, marques de Malpica, Sr. Nkvar- ques de S. Felices, quedó aprobado el artículo según se hallaba. ‘ rete, Sr. Cuadra, Sr. Quintana, Sr. García Herreros, Sr. obispo Val lejo, se- . Art. 3.° Quedan suprimidos desde dicha época ios juzgados protectores ñor Vigodet, Sr. Martínez, conde de Oñate , conde de Clavijo , conde del del Voto…</t>
  </si>
  <si>
    <t>No, Aíedranoi</t>
  </si>
  <si>
    <t>Aíedranoi No</t>
  </si>
  <si>
    <t>…elección; al Gobierno, es desdgnar.la; manera de pagarlas^ v por lo tanto me parece in y soy de dictamen qué el de la comisión quede desaprobado.” dispensable que la mayoría de la ¿Omisión'modifique fin esía parte su dictamen El Sr. Aíedranoi «No es exacta la comparación que ha hecho el Sr. Vi- y que asi sea votado y discutido en el Estamento cuando llegue el caso", tan sedo entre los a)untamientos y las ¡natas electorales, en atención á que en las to mas cuanto el reglamento establece este misólo órden para mejor inteligencia leyes sobre a…</t>
  </si>
  <si>
    <t>No, Antonio Vila y Ribot</t>
  </si>
  <si>
    <t>Antonio Vila y Ribot No</t>
  </si>
  <si>
    <t>…n sin oposición alguna por fiarte de los mlguelistas; que estos y tela , cuatro soldados heridos del Príncipe, y asimismo herido el te los dos Pretendientes -se dirijen al Alentejo, y según se asegura á niente graduado de capitán D. Antonio Vila y Ribot. No puedo Yelves. menos de recomendar á V. E. á este benemérito oficial que hoy y También dice que el Emperador y el ministro de la Guerra se en las anteriores acciones se ha portado siempre con la mayor bi hallaban ya en. Cartajq. Acaba de presentarse en esta división un zarría, reuniendo ademas la ci…</t>
  </si>
  <si>
    <t>No, Arango</t>
  </si>
  <si>
    <t>Arango No</t>
  </si>
  <si>
    <t>…taría y vigilancia sobre el arreglo de sus subalternos respec que fulano ó citano seria mejor para el servicio que cualquiera otro; sin que yo tivos.” trate de censurar la conducta de los separados , á quienes no conozco; refi El Sr..: Arango ■ «No puedo menos de dar las debidas gracias al Sr. Se riéndome en un todo á lo expuesto por el Sr. Secretario del Despacho de la cretario efe ía Guerra por el celo que ha desplegado para arreglar su secretaría, Guerra. Asi que, no he dicho que el/Sr. conde de las Navas hubiese manifes dividiéndola en ne…</t>
  </si>
  <si>
    <t>No, Arguelles</t>
  </si>
  <si>
    <t>Arguelles No</t>
  </si>
  <si>
    <t>…los individuos de ayuntamiento, estofe gal Jgara desempeñar esta. Ha dicho el Sr. Mcdrano, que siendo vitalicia la mismos pudieran ser también de la junta electoral de provincia. Respecto á la renta, no podría disponer de ella el Sr. Arguelles. No creo yo que aquí nos propiedad que se supone en esa renta, la comisión no la niega; pero dice qup importe que pueda ó no disponer dé la misma, sino que solo nos importe sa «1 interesado no tiene la propiedad de las fincas que la producen la misma ren ber si le da ó no la independencia necesaria. Aq…</t>
  </si>
  <si>
    <t>No, Bendicho</t>
  </si>
  <si>
    <t>Bendicho No</t>
  </si>
  <si>
    <t>…ho divino del poder Real, y lo repito hoy, pero creo si jn laa ahora se discute dice: te declaran legítimos todos leu Reales nombramientos Ve f* [ formas protectoras reveladas por la experiencia,y aplicadas para garantir á los El Sr. Bendicho-. »No he tenido Ja fortuna do que se me haya dado un pueblos de los males ds la anarquía, y nunca disputaré la autoridad del Sr. Don ejemplar de la segunda impresión; y asi he hablado en el supuesto de loque se Femando vn , porqué crao, hablando francamente, que nos Liana cuenta, y establece en la primer…</t>
  </si>
  <si>
    <t>No, Caballero</t>
  </si>
  <si>
    <t>Caballero No</t>
  </si>
  <si>
    <t>…ntereses. asi la ya estaría cuestión hemos respondido del lodo allanada.- manera, otra i todas las cuestiones del Gobierno , y esperamos satisfacer sobre todos lo» de 245.225.265 25 mas puntos, si llegase el caso” 91.207,675 5 El Sr. Caballero-. »No he dicho que se hundiría la patria porque los 103.092,463 28 Sres. Secretarios actuales del Despacho no merezcan confianza , sino que es 439.525,404 24 del 5 por 100. 21.976,270 8 preciso que se haga la distinción entre la Nación y los Ministros; que puede • existir aquella con unos ú otros individ…</t>
  </si>
  <si>
    <t>…er una petición, y el Gobierno propondrá al Estamento i* El Sr. conde de las Navas: «El Sr. Ministro de Hacienda tiene mil ra que te.iga por convemente.,,, zones: estoy conforme en lo que ha dicho; pero desgraciadamente no pue El Sr. Caballero. «No se trata mas que de ver si lo que ák*n estos in do conformarme en la inteligencia que se ha dado á mi redamación. No es el teresados puede servir de algo para examinar el presupuesto de lo Interior: hai discurso dé lo que xe trata, sino de la báse. En cuanto á que no sea oficial ed ta ahora no se t…</t>
  </si>
  <si>
    <t>No, Calderón Collantcs</t>
  </si>
  <si>
    <t>Calderón Collantcs No</t>
  </si>
  <si>
    <t>…uerra de La independencia, lejos de prestar que ha concluido en el mes de Agosto; y si tenia este plazo la contrata, no los servicios debidos, dos de sus regimientos volvieron las armas contra Espa puede ser exacto lo que dice el Sr. Calderón Collantcs. No tengo noticia de ña, y se pusieron bajo el manido del general Dupont. Me parece que en esta esa Real órden, pues no pertenece á mi ramo; pero sí diré que esa contrata consulta se procedió con mucho tino y circunspección; y en ella se citan va no se puede anular por una Real órden; pues entre partic…</t>
  </si>
  <si>
    <t>No, Carlos María Isidro de Borbon</t>
  </si>
  <si>
    <t>Carlos María Isidro de Borbon No</t>
  </si>
  <si>
    <t>…los Sres. Procuradores que por diversas cau el Gobierno tte S. M., los que prueban hasta la evidencia el crimen de alta sas no concurriesen al Estamento, para que manifestasen á la faz de la Euro traición cometido por el Infante D. Carlos María Isidro de Borbon. No creyó pa , que tiene sus ojos fijos sobre la España , cuál es la unanimidad de seuti- la comisión necesario incluir los referidos documentos en el dictamen que ha mientns de que se hallan animados sus individuos. presentado al Estamento; pero celosa hasta lo sumo de'proceder con todo de El Sr. marq…</t>
  </si>
  <si>
    <t>No, Clemencin</t>
  </si>
  <si>
    <t>Clemencin No</t>
  </si>
  <si>
    <t>…luces. Esta obra compone el tomo. cuya pérdida lloran, no quieren privar á la república de Lis letras del fruto de 6° de las memorias de la academia de la historia. las tareas que ocuparon gran parte de su vida. El comentario del Sr. Clemencin No prestó menores servicios á la literatura en la Real academia de la len no consiste únicamente en notas gramaticales y filológicas sobre el inmortal li gua española, de que también fue individuo, estando encargado con otro acadé bró de Cervantes: contiene ademas un completo análisis de las costumbre…</t>
  </si>
  <si>
    <t>No, D Antonio Vila y Ribot</t>
  </si>
  <si>
    <t>D Antonio Vila y Ribot No</t>
  </si>
  <si>
    <t>…onnxisren sin oposición alguna por fiarte de los mlguelistas; que estos y tela , cuatro soldados heridos del Príncipe, y asimismo herido el te los dos Pretendientes -se dirijen al Alentejo, y según se asegura á niente graduado de capitán D. Antonio Vila y Ribot. No puedo Yelves. menos de recomendar á V. E. á este benemérito oficial que hoy y También dice que el Emperador y el ministro de la Guerra se en las anteriores acciones se ha portado siempre con la mayor bi hallaban ya en. Cartajq. Acaba de presentarse en esta división un zarría, reuniendo ademas la ci…</t>
  </si>
  <si>
    <t>No, Ferrer</t>
  </si>
  <si>
    <t>Ferrer No</t>
  </si>
  <si>
    <t>…facción de creer que-el Estamento recono sea para echar abajo las leyes fundamentales. cerá en ellas, y acogerá benignamente mi buena intención y deseo.” «La razón principal que tengo para no votar en favor de este empréstito, El Sr. Ferrer. - No vengo aqui ciertamente á hacer un discurso acadé «s que siendo ya Diputado de la Nación cuando se verificaba, entonces lo re mico , porque jamas he creido que el Estamento sea un liceo, sino un labora probé. Por consiguiente no creo que un acto que consideré en otro tiempo co torio de buenas y opor…</t>
  </si>
  <si>
    <t>No, Gil de la Cuadral</t>
  </si>
  <si>
    <t>Gil de la Cuadral No</t>
  </si>
  <si>
    <t>…ho antes) hasta en la misma bolsa de Lóndtes. Este 6» un pronáqobstará, áestnempréstitp él decreto dé las Córtes de Cádiz, á que parece ha alu tico que el Ministro no teme aventurar, polque si bien el crédito es hasta.dieEdido el Sr. Gil "de la Cuadral No» de ningún modo: y sin entrar á examinar to punto veleidoso, y depende de mil alares y circunstancias, está con tote ese decrcloj.ni hasta .que punto podía invalidar las resoluciones y contratos pos sugeto í algunas reglas que pueden servir de guia para, formal lo» cálculos. Una: teriores , baste decir…</t>
  </si>
  <si>
    <t>No, Gobernadora</t>
  </si>
  <si>
    <t>Gobernadora No</t>
  </si>
  <si>
    <t>…ancia de totalidad del proyecto de ley sobre presupuestos. este asunto, no se crea que yo quiero se cercene ó rebaje nada de lo que se ha Se dió cuenta de un oficio del Sr. Presidente del consejo de Ministros, señalado á S. M. la Reina Gobernadora. No; todo lo contrario : en la suma participando haber sido nombrado por S. M. la Reina Gobernadora Secreta de 12 millones que le ha designado el Gobierno, y que justamente ha re-pe rio del Despacho de la Guerra, en virtud de la dimisión hecha por el Sr. Don tado la comisión, cualquiera rebaja, que qui…</t>
  </si>
  <si>
    <t>…cctos-ya de tran l'fitcnltadm Y las nuestras, que por estas letras les delegamos, llenen estos sagra- quilidad, ya del aumento del comercio y manufacturas, presenta el país espe J dos deberes, y satisfagan la voluntad de S. M. la Reina Gobernadora. No ranzas de sucesivos progresos. Icontentándoscfpara lograrlo con tolo amonestar y conminar, si por desgracia se «Las leyes aprobadas en la última sesión para llevará efecto varias medidas I hallase algún febélde 6 sospechoso, sino también castigándole aun con la pena saludables en Irlanda, se están…</t>
  </si>
  <si>
    <t>No, González</t>
  </si>
  <si>
    <t>González No</t>
  </si>
  <si>
    <t>…lapidaciones y robos con que se hicie cuestiones. Pero aunque yo convenga en esta parte coñ la mayoría de Ja comi ron, estamos facultados para no pagarlos por lo* vicios referidos de qué ado sión , soy de. la misma Opinión que el Sr. González. No convengo con lo que lecen tales contratos. Pero en medio de e»to la Nrcion ha recibido algo por dice el art. 57, aunque en la declaración que ha becbo la .comisión, me paie— ellos, como han dicho algunos de lo» señores que,me han precedido; y esto ee que en cierto modo viene á decir lo mismo que lo…</t>
  </si>
  <si>
    <t>No, Istúriz</t>
  </si>
  <si>
    <t>Istúriz No</t>
  </si>
  <si>
    <t>…general. reales en vez de 1209; y como solo, recaía sobre cuatro personas, todo ello se Sr. marques de las Amarillas....................................... 120,000 reducia en último análisis á 69 duros mas ó menos. Pero ya que el Sr. Istúriz -No cobra el sueldo de teniente general. ha sacado la cuestión á otro terreno, exige tan grave materia que se hagan al Sr. D. Francisco Javier Caro........... ................ 120,000 gunas explicac ones. Lis observaciones de Si S. manifiestan que no está entera Sr. E&gt;. Nicolás Garelly: no cobra mas qu…</t>
  </si>
  <si>
    <t>No, Lasanta</t>
  </si>
  <si>
    <t>Lasanta No</t>
  </si>
  <si>
    <t>…de este derecho , el Estamento no debe aprobar el artículo teman los Estados-Unido» de America recientemente sepdrados de la inglatci — que se discute.” ra. Lo mismo digo respecto de Portugal y la Bélgica, en donde también se «£&lt; Sr. Lasanta -. "No entraré á hacer reflexiones sobre el fondo de la ha establecido ya la libertad de imprenta. Y p egunto: 5i ia nación espdáuia cuest on qje dos ocupa, poique se ha hablado y escr-to tanto acerca de ella no se ha;la en estado de escribir estas leyes, ¿cuándo lo estará? ¿cuándo nos que poco podría yo…</t>
  </si>
  <si>
    <t>…e tenia respecto del Sr. Vadiilo, para que previene el Estatuto Real basta tenerlos antes de. jurar, no sé cómo la considerarle como un propietario.” comisión ni ningún Sr. Procurador pueda sostener lo contrario, y hacer cargo El Sr. Lasanta-. «No he tocado las razones que tuvo presentes la Co al Estamento por haber interpretado asi la ley , siendo el único que puede ha misión cuando se trataba del Sr. Vadiilo, sino que no se podía entrar en la cerlo. He extrañado mucho diga el Sr. Medrano que el Estamento no tiene ta distusían porque era un…</t>
  </si>
  <si>
    <t>No, López</t>
  </si>
  <si>
    <t>López No</t>
  </si>
  <si>
    <t>…tengo aquí el decreto, pero inexactos; pero mi obligación es hacerlo presante para qác*en un todosc cum se lo pod.-é presentar á V. S.: el decreto existe.” pla el Estatuto Real. Habiendo.duda es un medio muy sencillo para disi El Sr. López - «No teniendo ese decreto del ano 30 efecto retroactivo, parla presentar la fe de bautismo,Pido, pues,.al-Estamento que se-reclame eüe es cirro que no podría comprender al individuo que como el de qoe se trata documento, necesario é indispensable, ó una justificación de que el interesen,.»-' I ,:* i sid…</t>
  </si>
  <si>
    <t>No, Medrana</t>
  </si>
  <si>
    <t>Medrana No</t>
  </si>
  <si>
    <t>…inemos y se hagan por los Estamentos en unión gunas provincias del mediodía se han formado cuerpos con el dictado de Isa con el poder ejecutivo.” 1 bel ii ; pero en el dia casi todos se conocen con el de Milicia urbana , y aun El Sr. Medrana-. «No me detendré yo en hacer relación de los impor que S. ó. ha dado á entender que para conservar aquellas denominaciones tantes servicios que ha prestado á la Nación la Milicia de que se trata, porque ha habido reclamaciones, no tengo noticia de que exista ninguna en las Secre ya lo han verificado var…</t>
  </si>
  <si>
    <t>No, Medrano</t>
  </si>
  <si>
    <t>Medrano No</t>
  </si>
  <si>
    <t>…mente no peñar tan importante encargo. No hay Procurador hasta que se juta; y esta puede conformarse con él, y que debe aprobar él del. Sr, Domecq.” misma doctrina la han sostenido los Ministros, diciendo que no se entra en el El Sr. Medrano-. «No sé qué cargo se puede hacer á la comisión: en goce de las prerogativas de tal Procurador hasta haber jurado. Que el Esta todos los dictámenes que ha dado y en los casos particulares ha sostenido lo' mento debe interpretar esta ley se dice en el articuló 44 0o leyó) de la mis mismo. No sé qué contra…</t>
  </si>
  <si>
    <t>No, Medrano'</t>
  </si>
  <si>
    <t>Medrano' No</t>
  </si>
  <si>
    <t>…l mismo «Este asunto urgía entonces; no sé si habrá disminuido tal urgencia, pues dictámen que el Sr. Procurador, se propondría cuando fuese oportuno. to que vemos una cosa, que todo el mundo creia casi terminada, volver al Es El Sr. Medrano' «No sé si habré oido bien; pero me parece que se fun tamento de Sra. Procuradores , y que tiene que correr todos los trámites de da la proposición de la mesa, principalmente en artículos de un reglamento una ley. Según parece, el Sr. Ministro de Hacienda no ha esforzado bastante esta que no está vigent…</t>
  </si>
  <si>
    <t>No, Ochoaí</t>
  </si>
  <si>
    <t>Ochoaí No</t>
  </si>
  <si>
    <t>…Infante D. Sebastian en él presupuesto de casa Real, porqué-si no ha presta derecho á reclamar el Infante D. Sebastian por via de indemnización.” do él juramento, ha debido prestarle, y es-menester que sepa que,si quiere dis ■ El Sr. Ochoaí «No molestaré mucho al Estamentp.; ¿lamente diré tas rá- frutar algo-dé España, ha de ser cómo individuo de ella, ó lo que es lo mismo, , zemef en que me fundo para rnaniíe&amp;tar que el Serenísimo, Sr- Infante i). Se qae débé prestar homenagó y obediencia al trono y á las leyes. Yo creo que bastián no ti…</t>
  </si>
  <si>
    <t>No, Pedro</t>
  </si>
  <si>
    <t>Pedro No</t>
  </si>
  <si>
    <t>…Real órden lo comunico á V. S, abrir una suscripción cOD objeto de erigit un moamnento en Oporto en oseparqsu inteligencia,^ cumplimiert^qk. Dios, guarde á V. S. muchos anoria de los esfuerzos patrióticos y del valor peraeaai de D. Pedro. No pue IñosiTHadiridllK).líde!JuSa dé 183Á.:=Moscoso.=:Sr. gobernador ci- de ser mas que id la opinión que se tenga de las fstágat que ha sufrido di duque »H^¡. ,‘.VT. ■ de Bragafiza, y de los peligros á que se ha expuesto pon la causa constitucional. (Giabt and Trareder.) FAETB NO OFICIAL. ticiasElde…</t>
  </si>
  <si>
    <t>No, Presidente</t>
  </si>
  <si>
    <t>Presidente No</t>
  </si>
  <si>
    <t>…invocado el órden contra mí, alguna m^&gt;rá ventajosa Vi,mas veces producen bienes indecibles; ¡mpidírydo porque creo^o, haber./jado motivó á pilo.” resoluciones precipitadas / dañosas. Es precisó no olvidar que una impaciencia El Sr. Presidente- «No habiendo sido yo quien ha reclamada el órden, laudable af/pero imprudente, hizo en Francia que en una sola noche, la ¿éie- no tiene V. Sóqyp■ &lt;Wo*rtc eo eso, pues está en posesión de la palabra, sin Bre delVt de Agosto, sc vpria-e la forma del E»tadó y se causasen muchos prevención alguna.^ i males…</t>
  </si>
  <si>
    <t>…do: su objeto no es otro sino ponerse á cómo , después de invocar el honor nacional se aprueban una* deudas y .c re cubierto de lo que podría suceder.” prueban otras, siendo todas ce un tnt&gt;mo origen Por lo d.nu&gt;, en cuanto al El Sr. Presidente 1 «No habiendo ningún Sr. Procurador que promueva argumento que q£/ha hecho relativo á que todo lo que se d;bc debe parirse, esta discusión, queda el punto en el estado que acabo de manifotar. Sigue la yo creo que en esto estamos lodos conformen , y que* por .denudad de razón lo discusión del articulo l.…</t>
  </si>
  <si>
    <t>No, Procurador</t>
  </si>
  <si>
    <t>Procurador No</t>
  </si>
  <si>
    <t>…casa Real el Despacho no han tomado la palabra sino cuando se les ha hecho alguna inter de un Infante que hubiera observado una conducta opuesta.” pelación, y se han visto forzados á hacer su propia defensa ó la del Gobierno. Un Sr. Procurador-. «No se pregunta si ha reconocido á S.M. como «Ahora, rehusando entrar en la cuestión á que pudieran dar márgen las Princesa herede ra, sino si la ha jurado como Reina.” expresiortéá del Sr. Abargues, los Secretarios del Despacho, al tratar de la asig El Sr. Secretario del Despacho de Estado-.' «El Sr.…</t>
  </si>
  <si>
    <t>No, Ramón</t>
  </si>
  <si>
    <t>Ramón No</t>
  </si>
  <si>
    <t>…orre. llamaban 4 una gavilla cuando sabían que iba algún comisionado de la inten Se aprobaron , como proponía la misma comisión , los poderes de los se dencia á cobrar. ñores D. Jo»é Vtñals, Procurador por la provincia de Gerona; D. Ramón «No sucedió esto con el Gobierno absoluto; este no solo bizovefectivas Cucar por la de Lérida; D. Honorato Puig y D. Ignacio Sampons y Barba 4 la fuerza las contribuciones corrientes, sino que cobró inmensas sumas de los por-U-de-Barcelona, en razón de estar conformes á la ley, como asimismo los atraso…</t>
  </si>
  <si>
    <t>No, Secretaria del Detpacho de Estados</t>
  </si>
  <si>
    <t>Secretaria del Detpacho de Estados No</t>
  </si>
  <si>
    <t>…ento, de cuyo modo es .como podremos salir del mal paso, y no mentó, y vueltas á leer un» y otra,-se puso á votación este punto , y se deci-r de otro.” díúque^ran diferentes por 73 votos contra 55,de 128 Sres. Procuradores pre El Sr. Secretaria del Detpacho de Estados »No trato de defender en sentes. este momento el reglamento. Sin embargo, cosa dura es que se haga una incul Se leyó dicha segunda parte de la proposición del Sr. Istúriz, concebida en pación al Ministerio, aunque de una manera indirecta, y al reglamento, en una los términos siguientes: cosa en que nq…</t>
  </si>
  <si>
    <t>No, Trueba</t>
  </si>
  <si>
    <t>Trueba No</t>
  </si>
  <si>
    <t>…icado pot el Estamento de ilustres Proceres, relativo á la nio Acuña, electo Procurador por la provincia de Jaén, igualmente que los deuda extraDgera y empréstito de 400 millones. documentos justificativos de su aptitud legal. El Sr. Trueba. «No puedo menos de confesar mi sorpresa al ver que e! La misma comisión dió cuenta de haber reconocido los poderes y docu empréstito de Guebhard vuelve á ocupar la atención del Estamento. Creia á la mentos de aptitud legal de los Sres. D. Francisco Javier del Rey, electo Pro verdad que el punto estaba…</t>
  </si>
  <si>
    <t>No, Vega y Rio'</t>
  </si>
  <si>
    <t>Vega y Rio' No</t>
  </si>
  <si>
    <t>…sar que apoyo la petición fe rWíYrñlt- poco» di as, pues el Gobierno se ha ocupado de ella. y suplico se a pruebe como e-^tá.” - ---- ------------- E&gt; uno de los puntos mas delicados, y en el cual, al paso que hay que hacer la £1 Sr. Vega y Rio'. «No me opongo á la petición porque desconozca lo justicia que es debida á los que adquirieron esos bienes, hay también que pro perjudicial que es la amortización á la población, á la industria, á la prospe curar perjudicar !o menos que sea posible los intereses de los actuales poseedo ridad del pai» 3c…</t>
  </si>
  <si>
    <t>Nofzagaray</t>
  </si>
  <si>
    <t>…osos y singulares que este. el término de un mes; advirtiéndose que no se admitirá ninguno que carexcá del titu Creyeron dos de estos misioneros, fundados en algunos vagos indicios, que lo de cirujano latino. - «En el juzgado del Sr. Nofzagaray y escribanía de Villa-Fernandez, se halla radi la tribu Tschercks, habitantes del Cáucaso, provenia de los descendiente de cado el juicio de abintestaro dét&gt;. Antonio García de Vargas, qué falleció én ésta cor los moravos perseguidos en su patria á fines del siglo, xv. Decidiéronse, pues, te ep 25 de…</t>
  </si>
  <si>
    <t>Noguer, Angel</t>
  </si>
  <si>
    <t>Angel Noguer</t>
  </si>
  <si>
    <t>…conocimientos, á la lealtad minea desmentida del duque muy pocos soldados sobre la cresta de la montaña, era lo mas cni.cn de íj ac de O-br , y1 al desinterés é inteligencia con que ha desempeñado en circunstan ción, y el coronel D. Angel Noguer, comandante accidental de Borboa, con cias'cibicas la subdelegaron de Eomento de.la provincia de Granada, o. M. dujo la fuerza que tenia de su cuerpo, dando ejemplo a sus subditos en el la Rcina Gobernadora se ha dignado nombrarle subdelegado pnncip.il del ataque por el centro, io mismo que ei 2.°…</t>
  </si>
  <si>
    <t>Noguer, D Angel</t>
  </si>
  <si>
    <t>D Angel Noguer</t>
  </si>
  <si>
    <t>…o á los conocimientos, á la lealtad minea desmentida del duque muy pocos soldados sobre la cresta de la montaña, era lo mas cni.cn de íj ac de O-br , y1 al desinterés é inteligencia con que ha desempeñado en circunstan ción, y el coronel D. Angel Noguer, comandante accidental de Borboa, con cias'cibicas la subdelegaron de Eomento de.la provincia de Granada, o. M. dujo la fuerza que tenia de su cuerpo, dando ejemplo a sus subditos en el la Rcina Gobernadora se ha dignado nombrarle subdelegado pnncip.il del ataque por el centro, io mismo que ei 2.°…</t>
  </si>
  <si>
    <t>Noguera</t>
  </si>
  <si>
    <t>…uir el rumbo que se proponia; y de mi mando , encargando la persecución de cada pelotón á un gefe especial, dejándose llevar por el viento, arribó á las costas de la Cerdeña, y echó el á fin de no dejarles reunir ni descansar. El coronel Noguera*,, que perseguía á ancla en el puerto de Cagliari para tomar en ¿1 algún descanso. Camicer, tuvo el feliz encuentro de que ya he dado cuenta á V. £.: los cau "El dia 9 recibió el prefecto marítimo la noticia de la llegada del Cou dillos Cabrera y Tumer de Mirabct, que habían logrado introducirse en…</t>
  </si>
  <si>
    <t>…/emate esté señal|ul&lt;t -p4Ta *1 ¿U U del, mes de El mismo capitán general manifiesta con fecha 7 deljctüal que por Itjs Julio próxima* 4 las dote de 59 otañan^^ep la esaa ofidíoa de los jrefetidoa Realo partes que ha recibido del coronel Noguera: y del comandante del batallon.de maestrazgos, éo~Qiya escglbaniá fettart éé maolfl¿gtó"tá&gt; 'o^t\ni¿iones de'Xa Venta, v ti námerórftámiwW Mallorca, aparece, que los resultados deja acción del 3bJiao sido mas felices — -Por empresente se cita á todos los que se crea» acréedores.é los de lo que se p…</t>
  </si>
  <si>
    <t>Nogueras</t>
  </si>
  <si>
    <t>…alieron de Abrante* muchos soldados abandonaron te: Eterna Sr.; Tengo el honor de elevar i manos de V. E. la copia &lt;kl par Hl ejército en cuanto cate pasó el Tajo, se unieron 4 los habitantes, y abrazaron te que me ha dirigido el coronel Nogueras, quien después de cuatro oías do la causa de la Reina Doña María. consecutivas marchas de 11, 12, 14. y 16 horas de camino, alcanzó al fin i h Nos consta que el barón Sa da Bandeíra derrotó y puso en fuga la fuerza facción de Carniccr y consiguió derrotarla. ............</t>
  </si>
  <si>
    <t>queesteseria el resultado siempre que diese alcahcé á la faé- des, bosques de derecha é izquierda del único camino que había, imposibilitaba cíon, pues me era conocida la decisión y el valor del coronel 'Nogueras y el de ' Banquearles, parficülarmente los de mi izquierda? asi es que colocaron la mjlas trqpqs de su columna; que anhelaban.llegará las manos con el rebelde que ~yot parte de sus fuerzas en Jos bosques de la derecha, y en una arboleda enfiSeñ- 'pdf él trascurso de dos meses habían perseguido incesa…</t>
  </si>
  <si>
    <t>…os capitanes, llamado Salinas, y otro del corriente, comía que por la activa persecución que sufre de cerca el cabe de sus oficiales: ademas han caído en nuestro poder 2 de sus heridos, un prisio cilla Carmcer y su gavilla por el coronel Nogueras, eran muchos los rebelde* nero y otro que se ha presentado , habiéndose recogido varias armas, municio que se le dispersaban , Jo cual confirman el co'onel Rebollo desde Anadón cor&gt; nes y efectos que han abandonado en su fuga. Este ha sido el fruto de la victo la fecha de 2 del actual , y el alcald…</t>
  </si>
  <si>
    <t>…l de Aragón con fecha de 4 del presente desde Zaragoza 33 á 36 id.: garbanzos, de 60 á 70 id.: aceite, á 36 rs. arroba. dice á este'ministerio lo siguiente: Toledo. (Provincia de)__Toledo ( l.° de Mayo.) Trigo, de 40 á 50 rs. «El coronel Nogueras y el brigadier coronel del 13 de línea me dan parte fanega: cebada, á 24 rs. id.: algarroba, á 30 rs. id.: garbanzos, á 40 rs. ídem: de haberse dispersado la facción de Carnicer, para evitar de este modo la ac aceite, á 50 rs. arroba: vino, á 20 rs. id.: aguardiente, á 32 rs. id. tiva persecución1 qu…</t>
  </si>
  <si>
    <t>…las que persiguen sin descanso las columnas de tu man indispensablessiguiente, sirveparaparageneralizarenseñar y lasaprender-reglas delas unalenguasgramáticacon mayorcualquierafacilidad; yyporrapidez.con do, habiéndose situado el coronel Nogueras en Belmonle^ después de dejar bien Se vende en la librería de Sánchez, á 6 rs. en rústica. v 1 Cubiertas las entradas de los puertos. , l—.—La Linterna Mágica, dónde se ve el mundo y algo mas: crítica de costumbres, t&gt;Participa igualmente que el día 30 de Agosto último fue pasado por las traducida…</t>
  </si>
  <si>
    <t>…ón con fecha 9 del corriente mani la defensa de la sociedad.” fiesta que el dia anterior habían salido las tropas reunidas de AlEsta máxima es cierta y evidente. El gobierno no se ha esta cañiz en dos columnas; una mandada por el coronel Nogueras, y bleado sino para hacer feliz á la sociedad; y como esto no puede la otra por el brigadier Foxá, en dirección de Maella y Calaceitc, conseguirse sin fuerza, claro es que deben prestársela los ciudada pues se suponía que el grueso de la facción estaría sobre Batea con nos: mas no toda la que ellos…</t>
  </si>
  <si>
    <t>…á repasar el Ebro, cuyos pa ros de caminos y canales se presentarán en la casa llamada Adua na vieja, sita en la plazuela ríe-la Lefia, el dia 19 del corriente 4 sos estaban tomados desde Mora hasta Caspe por nuestras tropas. El coronel Nogueras, comandante dé estas fuerzas, me dice desde las cinco de la tarde los que se hallen en esta corte; y á fines del Mequinenza con fecha de antes de ayer, y ayer á las cinco de la presente mes, lo mas tarde, los que residan en las provincias, pa mañana, que la facción habia sido alcanzada por el gener…</t>
  </si>
  <si>
    <t>…has perseguían diatamente á echar á los facciosos del territorio francés haciéndoles fuego, y la faceten mandada por Cabrera y Carnicer, y en aviso confidencia! que acabo rescató al preso que tenían para fusilarle. de recibir del coronel Nogueras de anteayer noche, ofreciéndome ¿1 parte formal, me dice que en aquel dia habfa alcanzado y destruido en el término dé El oficial de la plana mayor del ejército del norte situado en Bayona, que los Olmos la citada facción, coii muerte de algunos cabecillas, entre ellosforel 8 del corriente había venid…</t>
  </si>
  <si>
    <t>…. Santiago, 1 d. Según parte del gobernador de Alcañiz al capitán general de Aragón , el 13 fueron perseguidos vivamente á las inmediaciones de aquel punto los dis ANUNCIOS. persos de la facción de Carnícer, deshecha el 12 por el coronel Nogueras, Aquel cabecilla huyó con solos seis caballos. Obras que se hallan de venta en el despacho de la imprenta ReaL £1 regreso de Fernando. Himno patriótico por el autor de la profecía del Pirineo X&gt;. Juan Bautista Arriara. Un cuaderno en 8.° impreso en 1814, a 12 cuartos rústica. ——»Grammáriea hebraica…</t>
  </si>
  <si>
    <t>…Guerra. y ' , ’ provincia db cXdiz. , . | ‘ -ül capitán general de Valencia, con fecha 19 del actual, remite á este ■'Coít fecha 14 dél que rige ¿¡Vis* el gobernador qivíhqtte en Sanlúcár ,, J{a ministerio el parte siguiente del coronel Nogueras, en que da los detalles de la metí*-, Paterna y Ubrique casi habrá desapareéitfo'la enfermedad;'qúfe en Ch¡- dispersión de la facción de Carnicer el dia 12. piona aumentaba el número de invasionei_y.de fdtltcimie.nfos-pqne en V"eger, Capitanía general de Valencia y Murcia.=Flana tn*yor.=Excmo. Sr.:…</t>
  </si>
  <si>
    <t>…se de sus gavillas, procuran evadirse del castigo que les amenazaba en el Acciones del banco español, 00* caso de ser cogidos nuevamente. Añade el referido capitán general, que por la comunicación, que con fecha del 16 le hace el coronel Nogueras desde Valde- Amsterdam,Bayona, 00. 00* París,Alicante,16-3.ácorto pla Coruña,Cádiz, 1}■} b.d. Valencia,Sevilla, 4 par.b. robles, la facción de Cabrera, Valles y Mestre se dividió en tres pelotones, Burdeos, 00. zo, 4 d. Granada, 4 á 4 Id. *^aragoz*, \ d. los cuales andan errantes, y de quienes se d…</t>
  </si>
  <si>
    <t>…s hechos con tanta celeridad eran para que las tropas fuesen so- esta subdivisión ha producido la de nuestra tropa, por cuya causa ha fnnn ido ; bre él al interior de la Beira; sobre todo al ver que las fuerzas de este cjérci- eL coronel Nogueras va:¡as columnas de a 10U hombres cada una, que recorren ’ to'que se hallaban en Extremadura y frontera de León, marchaban á reconcen- el país en todas direcciones. \ trarse sobre Ciudjd-Rodrigo. * .«Gobierno militar v polmco de Alear'.:/ y su partido—Exorno. Sr.k La jus Casi al mismo tiempo se supo…</t>
  </si>
  <si>
    <t>…hambrientos y desalentados, en Amsrerdam, 00. París, 16-7 á 8. Cádiz, par. Sevilla, 4 b. cuya persecución se ocupaban ei brigadier Santa Cruz, el coronel Rebollo y el Bayona, DO Alicante, acorto pía- Coruña, | d. Valencia, i Id. coronel Nogueras. , Burdeos, 00. zo, | b. Granada, id. id. Zaragoza, j d. En otro del dia 20 y con referencia, al que el brigadier Santa Cruz habia Hamburgo, 00. Barcelona, k pa. Málaga, 4 b. Descuento de letras, Lóndres, 4 90 días, 1 Santander, 4 a i id. Id. á 4 P- 100 ai año.dado el dia 19 á las tres de la tarde d…</t>
  </si>
  <si>
    <t>…racto delatarte "remitido por el gobernador Civil de la provincia de El capitán general de Aragón con fecha del 25 acompaña los partes del Huelvq D. José Huet, con fecha de 4 de Mayo actual. ‘ gobernador de Alcañiz del 24., y del coronel Nogueras del 20,22 y 23: el Dice qué la coseíha se presenta muy mala por la falta de lluvias, si bien parte del primero se reduce á demostrar la existencia de las facciona del Mon ato mismo ha sido causa de que los labradora se dediquen 4 la siembra de se taña, Torner, García y Roca, que en'pequeñas partidas y.…</t>
  </si>
  <si>
    <t>…nuevo su aumento, estableciendo puntos fuertes, columnas móviles y cuyo último estado era el siguiente: activa comunicación entre sí el corohel Montero, el brigadier Santa Cruz y el Parte sanitario de ¡os pueblos que se expresan. coronel Nogueras que mandan las fuerzas respectivas. Eñ Vizcaya obran activamente las tropas de aquella provincia al mando Existencia Id va lid oS. Falleci del general Espartero, que periigue vivamente á Zavala hacia los confines de Poblaciones* Días. del día Total. Curados. dos. Guipúzcoa, el cüal ha tenido mucha…</t>
  </si>
  <si>
    <t>…hendió y fusiló oto» lutos ven lo bueno que hay en el partido,del porvenir , lo que hay de respe* dos cabecíllas en el pueblo de Cati. table en el partido de lo pasado; aman al mismo tiempo la libertad que pide Pór último, que ef coronel' Nogueras se «Erigía con su columna jal par el ano y la autoridad que invoca el otro , y á ambas prefieren el repqsoyque tido de Alcafiiz, con el objeto de aniquilar la pequeña partida del Monta és el término de todo, y no es principio de nada. ñés ; dicháá fuerzas debían ser réémplaaádás por otra columna qu…</t>
  </si>
  <si>
    <t>Nogueras, Agustín</t>
  </si>
  <si>
    <t>Agustín Nogueras</t>
  </si>
  <si>
    <t>…en acción de gracias al Todopo deroso ..por haberla libertado de la enfermedad qüe la afligía.. Copia del parte dirigido al capitán-, general de Aragón por el Con fecha J17 del propio tr.es participa el subdelegado .de Fo coronel D. Agustín Nogueras, gefe de'una de las columnas volan mento-de Córdoba, que la enfermedad sospechosa que reina en los tes de aquel reino. pueblos de Benamejí y-Puente de Don Gonzalo , seguía su curso en Excmo. Sr.: lie pasado lodo el día'en marchas y contramar los términos que aparece en los siguientes partesw chas y…</t>
  </si>
  <si>
    <t>…e la expresión de la verdad rectifica la opinión pú -. El capitán general de Aragón con fecha del dia 23 remite copla- del si blica , los clamores injustos la extravían, y de este extravío emanan siempre guiente pártc del coronel D.. Agustín Nogueras-, recibido en dicho dia: »2.a co .pésimas consecuencias. Si la opinión hubiese sido dirigida con prudencia ( no se mandancia general del. Este de Valencia,=Excino. Sr.-: Con esta fecha tengo hubiera debilitado el respeto, á los magistrados; no habrían ocurrido en esta ca el honor de decir al Excmo.…</t>
  </si>
  <si>
    <t>…E1 capitán de granaderos de Sabova D. José Martínez, que salió la no desde Alcora aljérmino deEmberosa y Albocacer, donde la buscó el incansable che del 19 con objeto de capturar los rebeldes que de noche bajan a los case coronel D. Agustín Nogueras, pero inútilmente, porque las gavillas rebeldes bus ríos de estas inmediaciones, aprehendió en un molino a un faccioso sin armas, can su seguridad en los pies. Pero el 2ü del presente mes unido Nogueras al co- el cual será juzgado con arreglo á los bandos. íónel Di Marcelino Junquera encontró á los…</t>
  </si>
  <si>
    <t>Nogueras, D Agustín</t>
  </si>
  <si>
    <t>D Agustín Nogueras</t>
  </si>
  <si>
    <t>…stepona en acción de gracias al Todopo deroso ..por haberla libertado de la enfermedad qüe la afligía.. Copia del parte dirigido al capitán-, general de Aragón por el Con fecha J17 del propio tr.es participa el subdelegado .de Fo coronel D. Agustín Nogueras, gefe de'una de las columnas volan mento-de Córdoba, que la enfermedad sospechosa que reina en los tes de aquel reino. pueblos de Benamejí y-Puente de Don Gonzalo , seguía su curso en Excmo. Sr.: lie pasado lodo el día'en marchas y contramar los términos que aparece en los siguientes partesw chas y…</t>
  </si>
  <si>
    <t>…modo que la expresión de la verdad rectifica la opinión pú -. El capitán general de Aragón con fecha del dia 23 remite copla- del si blica , los clamores injustos la extravían, y de este extravío emanan siempre guiente pártc del coronel D.. Agustín Nogueras-, recibido en dicho dia: »2.a co .pésimas consecuencias. Si la opinión hubiese sido dirigida con prudencia ( no se mandancia general del. Este de Valencia,=Excino. Sr.-: Con esta fecha tengo hubiera debilitado el respeto, á los magistrados; no habrían ocurrido en esta ca el honor de decir al Excmo.…</t>
  </si>
  <si>
    <t>…irigió »E1 capitán de granaderos de Sabova D. José Martínez, que salió la no desde Alcora aljérmino deEmberosa y Albocacer, donde la buscó el incansable che del 19 con objeto de capturar los rebeldes que de noche bajan a los case coronel D. Agustín Nogueras, pero inútilmente, porque las gavillas rebeldes bus ríos de estas inmediaciones, aprehendió en un molino a un faccioso sin armas, can su seguridad en los pies. Pero el 2ü del presente mes unido Nogueras al co- el cual será juzgado con arreglo á los bandos. íónel Di Marcelino Junquera encontró á los…</t>
  </si>
  <si>
    <t>Noguez, O Pedro</t>
  </si>
  <si>
    <t>O Pedro Noguez</t>
  </si>
  <si>
    <t>…itas dificulta peranza de vida; el subteniente de=la Reina D. Luis Cornejo, gue recibió un des que presentaban estas. balazo en la mano izquierda y dos en la pierna del mismo lado, y que pro «El comandante del primer batallón dei Príncipe O. Pedro Noguez fue bablemente quedará inutilizado para el servicio , en un sargento y 13 soldados herido gravemente aí principio dei ataque á la cabeza de su bduiion. La arti de ejercito, y 5 Urbanos muertos; en 21 heridos, y un ayudante de plaza Don llería de montaña jugó contra los rebeldes, y cooperó á los fel…</t>
  </si>
  <si>
    <t>NolascoSoto, Pedro</t>
  </si>
  <si>
    <t>Pedro NolascoSoto</t>
  </si>
  <si>
    <t>…a reinante, está concebido en estos términos. A propuesta del gobernador civil de Cádiz, S. M. se ha dignado nom &gt;, Muy alto y muy poderoso Príncipe y Señor D. Pedro de Alcántara, Du brar presidente de aquella junta de comercio á D. Pedro NolascoSoto; y ea que de Braganza, mi muy amado, querido y apreciado Padre. vista de la de las juntas respectivas de igual clase ha tenido á bien elegir vice «Yo Doña María, por la gracia de Dios, Reina de Portugal, de los Al- presidente de la de Málaga á D. Antonio Bresca, y vicepresidente de la de garbes, y…</t>
  </si>
  <si>
    <t>Nopueblo</t>
  </si>
  <si>
    <t>…ollbató, intentando asaltar del mérito que haya podido contraer la columna de mi manco desdé el lv a. una casa; pero fue descubierto, y el toque de somaten ejecutado én el mismo 22. Dios &amp;c. Sumper 23 de Noviembre de 1834-^Excmo. Sr.= Nopueblo le hizo alejar de éL Para salvarse se dirigía por la falda de Monserrate, gueras.=Excmo. Sr. capitán general del ejército y reino de Valeria. hacia Casa-Masana; pero una partida de 8 mozos de la escuadra le salió al encuentro t le hizo fuego y lo dispersó. Relación que jnanifiesta los individuos qu…</t>
  </si>
  <si>
    <t>Noráagaray</t>
  </si>
  <si>
    <t>…dezpasadosdel Cantosin verificarloá deducirleslaspararáaccionesperjuicio,de que se crean asistidos!I en la intelfgeneia, en un Ser supremo, lo que junto a varia* supersticiones parece ser reliquias de —A virtud de providencia del Sr. Noráagaray, refrendada del escribano Bande, se otro* entapio*^culta* , y d* lína eMiizacició mas elevada. Uno dé los títulos que cita á todos los que se crean coft derecho á los bienes quedados- por fallecimiento de dan mu (recuenteroenté á Dios, ct ci de. Señor, de lo* astros y de los truenen Doña'Joaquina C…</t>
  </si>
  <si>
    <t>Noraagaray</t>
  </si>
  <si>
    <t>…é-fue ron de esta corte ¡ para que dentro de dicho termino, acudan á deducir tas acciona Pneblez Díaz 'lafernoi. Curadoi» ’ Flllecidoz que Íes competan ¡ prevenido»; de. que en otro caso les perara perjuicio. —Por providencia del Sr.,Noraagaray, refrendada del escribano Orenla , le cita á IX. Ignacio de Echevarría, rcélno que ha sido de esta corte» y cuya residencia nlf Almenríraiejo. .. 8 i 14Seiiembre. 844 93 a/ ñora ¡ para que dentro del téemioo de H días se presente en dicho jungado y escríba, VilÚrgnca. -. ., . J,2 i i4 ídem.,. J01 9…</t>
  </si>
  <si>
    <t>Noriega</t>
  </si>
  <si>
    <t>…den de su mando año próximo pasado. Continúa la suscripción, I persiguen constantemente á los revoltosos, logrando ventajas sobre ellos: la del — ■ -Los tomos 5.0 y 6,° de la Biblioteca de Damas, 5.0 del Ivonhoe ó el Cruzado, y I capitán Noriega del provincial de Laredo ha cogido al cabecilla D. Guillermo 1.0 ¿el OJiciat aventurero, se venden en esta corte librería de Rasóla, y en Barcelo- I na en ia de Bergnes y compañía, á 4 rs. llevando toda la colección, 745 por nove- ] Díaz en el pueblo de Lastras: el coronel D. Fermín de Iriarte, en Bilm…</t>
  </si>
  <si>
    <t>Noriega, D Viceríte</t>
  </si>
  <si>
    <t>D Viceríte Noriega</t>
  </si>
  <si>
    <t>…e Dura , para que si el rebelde cura se hubiese diri 13 9» 1 9 4 gido 4 la sierra , lo extrechen hasta su completo exterminio. 14 1 1 6 15 99 ’i s n El comandante general de Burgos dice con igual fecha, que el teniente 16 1 1 4 n coronel D. Viceríte Noriega, capitán de la compañía de cazadores de Laredo, 17 1 1 3 1 situado en Aguilar con un destacamento del S.° de ligeros, habia aprehendido 18 1 1 3 :f9 en Villanutva de Lanía cerca de Reinosa al cabecilla Barrio, sobrino del re 19 2 1 3 1 belde Villalobos, y su mayor confidente, el cual habrá sido fus…</t>
  </si>
  <si>
    <t>Noriega, Joscf de Hevia y</t>
  </si>
  <si>
    <t>Joscf de Hevia y Noriega</t>
  </si>
  <si>
    <t>…ón y zelo por el servicio de la Reina mi dictámenes de las oficinas que los intendentes dirigirán a e&gt;a direevion ¿eneral, o a la contaduría general de Valores en su respectivo caso para la aprobaciónaugusta Hija que concurren en D. Joscf de Hevia y Noriega , ministro del Cor se jo y Cámara de Castilla: en D. Manuel Genaro Villota, que lo es del cone^pondientc ; deb-end^ los interesados acudí: a solbitar -.us nuevas c.i'»n«.aConsejo y Cámara de Indias; y en D. Félix Joscf Reinoso, auditor de la Nun oones o mejoras de ellas a los intendentes de la&gt; pro…</t>
  </si>
  <si>
    <t>Noriega, Manuel</t>
  </si>
  <si>
    <t>Manuel Noriega</t>
  </si>
  <si>
    <t>…ción; pues ademas de la Real fábrica de cigarros de la Pallosa que da ocupa bolsa db comercio.^Cotización di hoy á lajera dt la tarde. ción á 29 mugeres, las cuales ganan desde 4 á 10 rs. diarios; de la de vidrio perteneciente á D. Manuel Noriega, D. José Benito Español y D. José Dio SVSCTOS PUBLICOS. nisio Leal, que mantiene mas de SOÓ personas, y de las de cordelería de Don Inscripciones en el gran libro $ S P- 100,00, 58 al contado. Pedro Marzal y D. José Ramón Santos, hay otras de curtidos, sombreros , ja Títulos al portador del 5 p. 10…</t>
  </si>
  <si>
    <t>Noriega, Vicente</t>
  </si>
  <si>
    <t>Vicente Noriega</t>
  </si>
  <si>
    <t>…a bizarría d? cuántos componen la brigada: ‘güiras, ■ ' JtsXAinsiguió la marcha sin variarla n¡ hacer alto: previne al Capitán graduado de Cuando tenga todos los datos -para hacer la debida recomendación , tendré tedíente corgnel D. Vicente Noriega que con 32 cazadores de la Princesa y «1 honor de elevarla al conocimiento de V. E. Dios &amp;c. Zaragoza J.° de Ja Tas compañías también de cazadores, de Laredo y Salamati^ los atacase: al te mo de X834*=:Excmo. $r.=El conde de £zpeleta=:Excmo. Sr. Secretario de niente coronel áe* infantería D. José S…</t>
  </si>
  <si>
    <t>Noriega, Viceríte</t>
  </si>
  <si>
    <t>Viceríte Noriega</t>
  </si>
  <si>
    <t>…para que si el rebelde cura se hubiese diri 13 9» 1 9 4 gido 4 la sierra , lo extrechen hasta su completo exterminio. 14 1 1 6 15 99 ’i s n El comandante general de Burgos dice con igual fecha, que el teniente 16 1 1 4 n coronel D. Viceríte Noriega, capitán de la compañía de cazadores de Laredo, 17 1 1 3 1 situado en Aguilar con un destacamento del S.° de ligeros, habia aprehendido 18 1 1 3 :f9 en Villanutva de Lanía cerca de Reinosa al cabecilla Barrio, sobrino del re 19 2 1 3 1 belde Villalobos, y su mayor confidente, el cual habrá sido fus…</t>
  </si>
  <si>
    <t>Normanton</t>
  </si>
  <si>
    <t>…tasación prevenida en el artículo anterior, y surtirá efecto el remate dignidad deParcs al concluirse la presente legislatura: sir Gisber Heathcale siempre que haya postor que cubra las dos terceras partes de su con el nombre de lord Normanton , sir F. Bourdett con el de lord Foremar— .aprecio. ke , sir George Phillips con el de lord Sheldon, Mr. Hanburg Trac y con el 51 Ao habiendo postor que cubra este señalamiento se retasar,ín de lord Tracy , Mr, Rjgne con el de lord Wrotham, y Mr. Litleton con el las fincas, y hecho, se publicará ot…</t>
  </si>
  <si>
    <t>Noron, Caye Francisco</t>
  </si>
  <si>
    <t>Caye Francisco Noron</t>
  </si>
  <si>
    <t>…rroquin, golpe de mano, por lo que dispuse la formación de una sección ligera, com los segundos Julián Ruiz y PedroCalvo,elcabo l.° Fernando Pérez, y los soldados puesta del 2.° b.'.allon de Gerona al mando de *u digno comandante D. Caye Francisco Noron , Mariano Ballcster , Ramón Zaragoza, Francisco Romero, tano OHoqúi , y de las compañías de cazadores de lo* regimientos Príncipe, AIRogelio Peña, Jaime Serrano, Francisco Carrera , José Morcll , Cayetano Co mansa y provincial de Compórtela , mandadas por lo* capitanes D. Vicente llado, Vicente Oli…</t>
  </si>
  <si>
    <t>Noron, D Caye Francisco</t>
  </si>
  <si>
    <t>D Caye Francisco Noron</t>
  </si>
  <si>
    <t>…Lorenzo Marroquin, golpe de mano, por lo que dispuse la formación de una sección ligera, com los segundos Julián Ruiz y PedroCalvo,elcabo l.° Fernando Pérez, y los soldados puesta del 2.° b.'.allon de Gerona al mando de *u digno comandante D. Caye Francisco Noron , Mariano Ballcster , Ramón Zaragoza, Francisco Romero, tano OHoqúi , y de las compañías de cazadores de lo* regimientos Príncipe, AIRogelio Peña, Jaime Serrano, Francisco Carrera , José Morcll , Cayetano Co mansa y provincial de Compórtela , mandadas por lo* capitanes D. Vicente llado, Vicente Oli…</t>
  </si>
  <si>
    <t>Norragaray</t>
  </si>
  <si>
    <t>…te eu Los sitios anunciados eo la referida continué rápidamente sobre esta villa para informarme del estado de su gua*j- Gaceta. jaieson'» y &lt;* inmídraciohcs fue arrollada y puesta en precipitada fuga otra ..——Por providencia del señor Norragaray, teniente corregidor de esta villa, refren parlada .de rebeldes. Dios guarde i V. S. muchos año# Ponugalctc 22 de Aiar- dada dei cscribaoo dei número iantio, se ha señalado para junta de acreedores á los .tp de l834‘=Baidomeio Hspartero^Sr. brigadier gobernador de Bilbao. mafiaua,bienes de enD. laF…</t>
  </si>
  <si>
    <t>North</t>
  </si>
  <si>
    <t>…sta corporación, el que ha informado se ad cido en el poder un periódo mas largo. Estos fueron él duque dé Newcastle, virtieron en los enfermos fuertes excitaciones cerebrales y gástricas, produ qpe fue primer ministro ocho años; lord North, que lo fue doce; Pitt diez y ciendo en algunos grandes disenterias. , «tete, y lord Liverpool quince años. (G. de Francia.) 2. a El Dr. D. Joaquín Palacios, otro de los comisionados, en tres enfer mos que ha tratado ha observado que el primero se curó totpapdo el cocimien to de la viborera solo; q…</t>
  </si>
  <si>
    <t>Norton, T</t>
  </si>
  <si>
    <t>T Norton</t>
  </si>
  <si>
    <t>…Cámara definitivamente constituida, añadiendo que no le parecia con lla Te padecían. veniente que se perdiese.el tiempo en una discusión inútil por ahora, que ya PROVINCIA SE CUENCA. se ventilaría mas adelante. Díó cuenta el Sr. secretario T. Norton de que se hallaban sobre la mesa ÍSu gobernador civil da parte con fecha 26 del corriente que los cólicos los podares de cinco Sres. Diputados. ■que en aquella capital se padecían habían remitido desde el día 20: que la vi Habiéndolos examinado la Cámara detenidamente, proclamó el Sr. Presi lla de Req…</t>
  </si>
  <si>
    <t>Norxagaray</t>
  </si>
  <si>
    <t>…ifas , se apresuraron á destruir todos los campanarios que hallaros en las igle nés de! citado D. Amonio García de Vargas. _ ’ sia» cristianas. Fueron mas bien recibidos nuestros viageros por .el gefe de los ■ Por providencia del Sr.. Norxagaray, refrendada del eacribeno SJerriu ae cita k to—1 tschercks, y se adelantaron de Kubacha hasta TiffliS, dónde.les hizo.igual das las personas que én concepto de acreedores se consideren con derecho- á ip» fcleues ue han quedado por fallecimiento de Doña María de la Granada ^laew.y pacheco, mente muy…</t>
  </si>
  <si>
    <t>Norzagaray</t>
  </si>
  <si>
    <t>…es,reglamento;franco*su.pago,semeje--de porté, al eximen de su actual estado..... •yuntamienrO, hasta el-dia 28 de Setiembre. ¿ , » El desconocer: la influencia que ha tenido la España en et restablecimien ■ -—Por providéociá del Sr. Norzagaray,,refrendada del eicribanótjaona , se sapa á p6to de ¡as ierras seria una ingratitud, Esta, influencia, y mas aun la que sus be- biiea subastado/término Je 15 días una casa sita en la vifia &lt;¿e Pozuelo 4? Alarcon, vulgo de Arayáca', y su calle de la fiesta: consta de tres casa$« la una de un solo p¿…</t>
  </si>
  <si>
    <t>…scuela italiana para tipié y para bajo á pre vilegio exclusivo de introducción á D. Luis Oseñalde, teniente co cios moderados. ronel retirado, vecino y del comercio de esta corte, para lustrar y ------En virtud de providencia del señor Norzagaray, teniente corregidor perfeccionar el papel blanco é impreso; cuyo modelo y descripción de esta villa , refrendada del escribano del número Sancha , se subastan por término de 30 días las fincas siguientes: una casa en el Real sitio se hallan depositados en el Real conservatorio de Artes, y se le de…</t>
  </si>
  <si>
    <t>…ña flor, Atabal, Tecina » VilUmairrique y Brenca en el termino de 15 dias, contados desde su publicación, comparezcan j&gt;or si ó por era corlo el número de fallecimientos. medio.de procurador con suficiente poder en el juagado del Sr. Norzagaray, por la es cribanía del número de Fernandez del Llanto a JeJuqir su derecho, pues de no hacerlo les parata perjuicio» PROVINCIA DB VAitACOUD. — — Los que tengan derecho 3 una casa existente en la ciudad de Burgos, calle del jue go de U Pelota» perteneciente a los vínculos titulados de Rada y Almans…</t>
  </si>
  <si>
    <t>Ñorzagaray</t>
  </si>
  <si>
    <t>….cometido la ofensa contra un caudillo poderoso; se «ue le casti cación de este aoüodío en la Gaceta, se presenten por sí ó por medio de persona sufi gar al acusado con pena de muerte. _ , cientemente autorizada en el juzgado del Sr. Ñorzagaray , por 1» escribanía de FerLa religión «le fes-caf^tge está bien determinada; no es la idolatría; creen L 'quenandezpasadosdel Cantosin verificarloá deducirleslaspararáaccionesperjuicio,de que se crean asistidos!I en la intelfgeneia, en un Ser supremo, lo que junto a varia* supersticiones parece ser…</t>
  </si>
  <si>
    <t>…reáo con derecho á los bienes que han quedado por muer te de D iña Teresa Sánchez Beato, y k los de su marido D. Manuel Abase? I, para que 7,906. 400.... Algccirai en el preciso término de H dias comparezcan á usar de él, ante el Sr. Norzagaray, por 15,881. 400.... Cádiz. la escribanta de Quintas, donde se ba radicado la testamentan*de aquella; apercibidos 14,856. 400.... Idem. que de no hacerlo les párará perjuicio, 12,937. 400.... Madrid. dependientes—Se subastadelel suministroministerio dede racionesGuerra, deexistentesbastimentoen álo…</t>
  </si>
  <si>
    <t>Norzagaray, Furtos D Mateo</t>
  </si>
  <si>
    <t>Furtos D Mateo Norzagaray</t>
  </si>
  <si>
    <t>…quedo enterado. Habiendo preguntado el Sr. Presidente si había algún Sr. Pródér que pi Se dió cuenta de un oficio del Sr. teniente corregidor de esta M. H., villa diere Ja palabra en pro ó en contra del dictamen de la cenuórn, el Sr. Furtos D. Mateo Norzagaray, en el que exponía que habiendo cumplimentado una dijo: Hay un artículo en el regiamente qu£_j&gt;reócne que todo informe de Real provisión de lavaudiencía de la Coruña para emplazar a i arios interesa comisión , como no sea una cosa de ’-csoluoon fácil v sencida , se imprima, se dos á que se mostrase…</t>
  </si>
  <si>
    <t>Norzagaray, Mateo</t>
  </si>
  <si>
    <t>Mateo Norzagaray</t>
  </si>
  <si>
    <t>…ado. Habiendo preguntado el Sr. Presidente si había algún Sr. Pródér que pi Se dió cuenta de un oficio del Sr. teniente corregidor de esta M. H., villa diere Ja palabra en pro ó en contra del dictamen de la cenuórn, el Sr. Furtos D. Mateo Norzagaray, en el que exponía que habiendo cumplimentado una dijo: Hay un artículo en el regiamente qu£_j&gt;reócne que todo informe de Real provisión de lavaudiencía de la Coruña para emplazar a i arios interesa comisión , como no sea una cosa de ’-csoluoon fácil v sencida , se imprima, se dos á que se mostrase…</t>
  </si>
  <si>
    <t>Norzagarayv</t>
  </si>
  <si>
    <t>…dos de que en su de ncsiciat relativas al éstado dé los moote», y, laf1i»uyoy..61nteO(pr posibilidad de fecto les parará perjuicio. trasportar-lié maderat á otros puntot etí.dqqd*..os£asqtu.i; ,¡. —r—En virrtid de providencia del Sr. Norzagarayv ténienVp'de.Corregidor de estg villa ftf^éhdada del-escribáno ^Sanz y íarea^ se cita á los acreoddteS &amp;'la testamentaría de •Sé aamenta el plamttode moréras.eú el partido de - Eepsvarre, 'y, -i» 9&amp;;MaqueLdB Robredo, vecino'y del cántetelo que fue de está corte, que aun no {uen de abonarés r«$uéltó…</t>
  </si>
  <si>
    <t>Norzagarsy</t>
  </si>
  <si>
    <t>…a* por ta escribanía de bacerlo en Inteligencia que de no íej parará comisión ¿ cargo de Villa-Fernandez^cha circunspección los enunciados polvos en algunos pueblos nuevamente inva la , • perjuicio. \ didos. ——Por providencia del Sr. Norzagarsy, ante describan© Secó* dada con motivo del PROVINCIA DB ALMERIA. fallecimiento Intestado de X&gt;. Jusn María de los Heros* soltero* demente* hijo de Don Bernardo V de 3&gt;oña Angela Romana López, ocurrido «nía, villa de MósIoLe* el 4 En oficio de 8 del presente avisa su gobernador civil que mediante á…</t>
  </si>
  <si>
    <t>Nos, Althorp</t>
  </si>
  <si>
    <t>Althorp Nos</t>
  </si>
  <si>
    <t>…no, gobernador de los in conde Spencer se haría cargo del ministerio de las colonias. Sin embargo en válidos. Tenemos la satisfacción de participar á nuestros lectores que dicha las tertulias se dice que Mr. Eittleton sucederá al lord Althorp. Nos asegu noticia es falsa. Mr. Eugeniol’Henrenx, ayudante de carripo del mariscal, nos escribe que el valiente gol&gt;ernador de los inválidos ha vuelto hace algunosran que dentro de algunos dias quedará concluido el arreglo del ministerio . y ^uc la semana próxima vendrá S. M. á esta capital para presid…</t>
  </si>
  <si>
    <t>Nos, Gobernadora</t>
  </si>
  <si>
    <t>Gobernadora Nos</t>
  </si>
  <si>
    <t>…lás María Garelly. M. Mauguin dice que si en vez de pedirse la abolición del derecho de aso ciación, sé pidiesen ciertas disposiciones contra ciertas sociedades políticas, des de luego aprobaría el proyecto. Exposición d S. M. la Reina Gobernadora. «Nos hallamos hoy, continúa el orador, amenazados de dos revoluciones políticas y de una social: el carlismo recobra sus esperanzas, las crisis industria Señora: El Estatuto Real, sancionado por Y. M. en 10 del cor les se multiplican: todo esto ba ocurrido gradualmente, y en cada paso que ha riente para…</t>
  </si>
  <si>
    <t>Nos, Nicolás María Gareliv</t>
  </si>
  <si>
    <t>Nicolás María Gareliv Nos</t>
  </si>
  <si>
    <t>…necesita ren pira desempeñar tjn interesante encargo. E&lt; irrct. Tendréislo entendido, y dispondréis lo necesario á su cumpli Alejandría 1 ñ de Febrero. miento.— E&gt;tá rubricado de la Real mano —En Aranjuez á lo de Abril de 1834—A D. Nicolás María Gareliv. Nos vemos amenazados. -.0 «■»;© de la violencia de las aguas \ de las tempestades , sino tamb en del fuego. En ¡a noche del 11 Para la plaza de regente de la Real audiencia de Mallorca, va al 12, estado un incendio tembie en un buque de 64 cañones, que cante por fallecimiento de D. Manuel García Doncel…</t>
  </si>
  <si>
    <t>Nosotros</t>
  </si>
  <si>
    <t>…no había mas que reclamar (a observancia de la ley justa, que impone la cierto, pero por un motivo diametralmente contrario al que ha indicado el se peqa merecida' al delito de rebelarse contra su patriay de desconocer los de ñor Caballero. Nosotros, al excluir-del trono á D. Cárlos, que ha querido rechos del Monarca legítimo. Mas proponiéndose no solo la exclusión de aquél usurpar la corona que no le pertenece, pagamos el mayor tributo á la legitiPríncipe, sino también la desús hijos, prefirió el ministerio pasaren cierto midad de! trono de n…</t>
  </si>
  <si>
    <t>…mas vivas ansias. Whitehall2\ de Noviembre. Ha sido presentada la exposición siguiente á S. M., quien se ha dignado recibirla con su acostumbrada benevolencia: ------De la tarifa de aduanas de la unión comercial de la Alemania. «Señor: Nosotros los infrascritos, magistrados, nobles, escribano» y otros habitantes del antiguo y leal pueblo de Brecon, nos tomamos la libertad Desde que se observó la gran sensación que producían en Francia kjs In de acercarnos á V. M. para manifestarle en esta crisis importante nuestra firme formes tomados por el…</t>
  </si>
  <si>
    <t>Nosotros, María Cristina</t>
  </si>
  <si>
    <t>María Cristina Nosotros</t>
  </si>
  <si>
    <t>…M. Imperial el Duque de Braganza presentó sus cre ble, que el embajador está encargado por el Rey de los franceses de llevar á denciales. El Sr. Perez de Castro puso en manos de S. M. Fidelísima la Reina Nápoles el retrato de la Princesa María Cristina. Nosotros creemos por el con y de S. M. Imperial la Sra. Duquesa de Braganza las insignias de la orden de trario, que M. de Latour-Maubourg ha sido enviado 4 Nápoles con .el objeto María Luisa, que les envía S- M. Católica la Rema Gobernadora de España. de asistir á negociaciones diplomáticas de importancia…</t>
  </si>
  <si>
    <t>Notarlo, Fulgencio</t>
  </si>
  <si>
    <t>Fulgencio Notarlo</t>
  </si>
  <si>
    <t>…amentaria sará hasta plantear la escuela normal de que ha hablado anteriormente, y ge de D. Francesco SaitareJi * maestro sastre que fue en esra corte, suspendan el hacer pago neralizar dicho método en toda la provincia. alguno á D. Fulgencio Notarlo, encargado de la viuda de aquel, y lo verifiquen a! depositario de los.btéae* quedados por itt-di ¿unción dicha* que lo es D. Miguel Fernán» También se propone establecer en aquella ciudad una inclusa dirigida por dez Villabrlaue» quien euii facultado al intento; y vive calle de lu Abada* nume/u 6…</t>
  </si>
  <si>
    <t>Noticia, D Esteban Ayala</t>
  </si>
  <si>
    <t>D Esteban Ayala Noticia</t>
  </si>
  <si>
    <t>…minar de la gramática castellana para facilitar a los curiosos el estudio de' las dos lehguas r su autor el abate D. Pedro Tomasi. Un tomo en 4-°, cuarta edición, año de 18?4. Sr. D. José San Just. á il rs. rama y 17 pasta común. Sr. D. Esteban Ayala. ——Noticia y plan de uo víage para reconocer archivos y formar la colección diplo mática de España, encargada á D. Manuel Abella. Un romo en 4.0 marquilla, impre ■ ■ ■róJáámm. ■ so en 1795, á 4 rs- rama y 4 en rústica. En la primera parte de este escrito se da noticia de los escritores que inas se han distingui…</t>
  </si>
  <si>
    <t>Noticia, Esteban Ayala</t>
  </si>
  <si>
    <t>Esteban Ayala Noticia</t>
  </si>
  <si>
    <t>…r de la gramática castellana para facilitar a los curiosos el estudio de' las dos lehguas r su autor el abate D. Pedro Tomasi. Un tomo en 4-°, cuarta edición, año de 18?4. Sr. D. José San Just. á il rs. rama y 17 pasta común. Sr. D. Esteban Ayala. ——Noticia y plan de uo víage para reconocer archivos y formar la colección diplo mática de España, encargada á D. Manuel Abella. Un romo en 4.0 marquilla, impre ■ ■ ■róJáámm. ■ so en 1795, á 4 rs- rama y 4 en rústica. En la primera parte de este escrito se da noticia de los escritores que inas se han distingui…</t>
  </si>
  <si>
    <t>Nougarede, Luis de la</t>
  </si>
  <si>
    <t>Luis de la Nougarede</t>
  </si>
  <si>
    <t>…o, y los que do hicieron uso de ninguno de los es ayudante D. Joaquín Martínez, ambos retirados, y los capitanea ilimitados Don tablecidos pidiendo su purificación , se les declare el derecho al goce de las asig Ignacio Soriano y D. Luis de la Nougarede , procedentes todos del regimiento naciones-determinadas en el citado Real decreto de 22 de Marzo: 8.° Que a infantería de la Reina , 2.° de línea, y procesados por la conspiración ocurrida todos se les coloque en proporción á su idoneidad, y á los perjuicios que han én Manresa en el afio de 1827 ,…</t>
  </si>
  <si>
    <t>Nóvale, Manuel Mana</t>
  </si>
  <si>
    <t>Manuel Mana Nóvale</t>
  </si>
  <si>
    <t>…llegár á la cúspide á favor ésciibano Gaooa y Loecbes , se cita á los parientes é interesadas a los bienes qué han de una densa niebla, encontré la facción, compuesta de"25 hombres; y á pe quedado por fallecimiento zbintesrato de D. Manuel Mana Nóvale», vecino c)nc fue sar de lo fragoso del terreno., la ataqué á la bayoneta, y les maté 8 hombres de esta corte. para qné eH él término d* 10 dias Concurran á dicho' Fúzeado 4. exponer lo que á-su derecho'CortVengaj con .apercibimiento que de no harvflo béy.'paVará nér— y al cabecilla Tohias Qutictre…</t>
  </si>
  <si>
    <t>NovelaManuel, Juan</t>
  </si>
  <si>
    <t>Juan NovelaManuel</t>
  </si>
  <si>
    <t>…rimiendo la dirección del Real giro. (Nátn. 23.) edición con una lámina: un tomo, ¿ 12 rs. eo pasta.—w£/ Castiílo miserioso Jó él I Real orden mandando se ejecute inmediatamente la de S de Noviembre de huérfanotellaoo porheredero.D. Juan NovelaManuel históricaGonzálezinglesa,Davila, traducidacon 2 láminas:librementeun tomo,dei francés¿14 rs.al p«s-|Cas-1 , 1833 relativa i que se reuniesen en eJ ministerio de Hacienda, y pór con ta. Ambas se venden en la librería de Razóla. f siguiente en el Real tesoro 18s productos y rendimientos de todas las…</t>
  </si>
  <si>
    <t>Novelia, Baltasar</t>
  </si>
  <si>
    <t>Baltasar Novelia</t>
  </si>
  <si>
    <t>…sabia que el dia do y son acreedores á las gracias que S. M. tenga á bien acordarle*. Capitanes: 21 de Febrero á eso de medio dia habia entrado en aquella aldea Batalla , gefe D. Joaquín Alvarez Bayon, D. Miguel Oasct. Tenientes: D. Baltasar Novelia, de una guerrilla constitucional; que á la mañana siguiente rodeáronla aldea las D. Buenaventura Tomás, D. Nicolás Collard. Sargentos primeros: D. Tomas guerrillas enemigas de Moura y Serpa, y Batalla cayó sobre ellos, les mató 19 Espiriquiti, D. Alejandro Gasart, D. Amonio Leoreses, Ramón Ga.vez,…</t>
  </si>
  <si>
    <t>Noviembre, Jáurede</t>
  </si>
  <si>
    <t>Jáurede Noviembre</t>
  </si>
  <si>
    <t>…ndo los padres la De los partes del comandante general de las provincias Vascongadas re-, facultad de colocarlos en él, ó casas particulares. Los cursos empezarán el l.° sulta: Qu? el 10 entró en Vetgara la división del mando del brigadier Jáurede Noviembre, y el ”4 ó 25 del corriente podrán los estudiantes matricularse' gu¡ procedente del Bastan, y el general en gefe en el mismo dia en Azpeitia, ante una comisión que ya se halla nombrada al efecto. El rector de la univer y el 11 en Elgoibar. sidad es el presbítero de Ram, profesor del gran seminario,…</t>
  </si>
  <si>
    <t>Noviembre, Javier de Burgos</t>
  </si>
  <si>
    <t>Javier de Burgos Noviembre</t>
  </si>
  <si>
    <t>…rubricado de la Real ma— las mejoras de. su&gt; clarificaciones desde el d;.i en que hubieren ^ump ido ;o&gt; años de servicio que les da derecho j, aumento, pe Keai orden Nt... M*,rortd 22 deno.=En Palacio á 17 de Febrero de 1834.*=A D. Javier de Burgos. Noviembre de 1833-=Marti: c/ =bres. directores ¿enera e- de Rentas. Por mi Real decreto de 4 de Enero de este año tuve á bien disponer que una comisión especial, presidida por un R- obispo, se encargase de formar un Otra resolr iendo que »t,&lt; hn compatibilidad *ntre el r'1' ¡re del bis de índice solot y uniform…</t>
  </si>
  <si>
    <t>Nues, Cirios</t>
  </si>
  <si>
    <t>Cirios Nues</t>
  </si>
  <si>
    <t>…cipitarnos en lá ’Bj duque de Tcrceira ocupaba el 23 áMofaj en el catUihó dé Santaren 4 arsima de nuev^s réateiones. La exageración dé sus sentimientos, la irascibilidad Evofa. dé donde no sé sabia que hubieseísiiido D. Miguel ni D. Cirios. Nues «de su carácter, ¿ó Jes permiten mantener la moderación y la sinceridad que tras tropas se adelantarían el 26 desdé Pottálegre á Arronches j en dirección «Son necésarias pafa répresentar dignátlitiitc i la Nación -&amp;¿'.n de Campómayor y Yelves. " ' “ Bl,brigadier Serrano, comandante de&gt; li brigada del C…</t>
  </si>
  <si>
    <t>Nuestra, Sa</t>
  </si>
  <si>
    <t>Sa Nuestra</t>
  </si>
  <si>
    <t>…an feliz éxito un ataque de los insurgentes que.re- ■i»u «ets veces mas fuerza que él. Inmediatamente,'después que el enemigo se -Escriben de Oran 6 de Agosto: retiró-, se Juntaron .at gCtíéraj Miller fiOÍ hombres mandados por el coronel Sa- ••Nuestra plaza va tomando’de día en día el carácter de las ciudades euro laberri, oficial que'ames hah&gt;ía seyvído á sus" órdenes, y que deseoso de prestir peas: desde el día 13 tenemos ya un teatro y una compañía bastante regular: auxilio í suahtrguó cótfiandante, venia desde Trujillo, distante al pie de 18…</t>
  </si>
  <si>
    <t>Nuestro, Stígufl</t>
  </si>
  <si>
    <t>Stígufl Nuestro</t>
  </si>
  <si>
    <t>…l ministerio de Grada y Justicia.Mr. Rossetti, cónsul general de Toscana en Alejandría de Egipto, noble pro tector de tantos viageros como han hecho excursiones por el Africa. Alcaldías mayores de Navahermosa y Menasalbas.=Excmo. Sr.: Stígufl * Nuestro ministro de la Justicia Mr. Muhler ha vuelto de su viage, y pre los partes últimos que tuvimos el honor de dirigir á V. E, salimos al frente para muchas reformas en su departamento. de nuestros respectivos Urbanos de ambas armas, recorriendo en unión de Se establecen en este íhomento en las provinc…</t>
  </si>
  <si>
    <t>Nugent</t>
  </si>
  <si>
    <t>…de las Indias tiene, ademas de los regimientos bía contribuido á la ruina del primer Senado, ban perdido stls destinos. El 20 europeos que se relevan por turno, una milicia del país, que as de Junio fue abierto el Parlamento por lord Nugent, el cual en su discurso ciende á, hombres.......................................................................................... 150,000 censuróla conducta del primer Senado, y dijo que esperaba que la nueva asam blea correspondería mejor á la confianza del gobierno protector de Inglaterra. El e…</t>
  </si>
  <si>
    <t>…- C&gt;f«v&gt;w dtl dia 2 de Enero, diente alguna grande cuestión que tenga última relación con nuestros negocios extrangerov (Tuh.) Aprobada el acta de la última sesión, se lee el informe de la comisión de ___han recibido despachos de lord Nugent, alto comisario de las islas Jó poder»; y la Cámara, conformándose con él, admire á ios nuevos Par», que nicas , y del teniente gobernador de Malta. son los SresV Lobau (mariscal de Francia), de Cassaignol», Reinhac y Saint____.Los embajadores de Rusia se informan con el mayor cuidado é investigan…</t>
  </si>
  <si>
    <t>Número</t>
  </si>
  <si>
    <t>…IVINA. DE LESA MAGESTAD HUMANA. Núm. 2.® Núm. 3.° i Contra la Religión. Contra sus Ministros. Contra los Templos , co Contra la persona 6 vida Contra su soberanía. Contra su libre ejercicio. sas sagradas y religiosas. sagrada del Rey. Número de delincuentes. los | - DELITOS PUBLICOS. DE TRAICION AI RF.Y CONTRA LA SEGURIDAD EXTERIOR DEL ESTADO. ]1E TRAICION AL REY CONTRA EL ORDEN Y SEGURIDAD INTERIOR. Núnu 4*° Connivencias, relaciones Auxilios de.todas clases Hacer armas y derruí Conspiraciones. Rebeliones. Sediciones. Asonadas. íil ó tram…</t>
  </si>
  <si>
    <t>Ñuño, Francisco</t>
  </si>
  <si>
    <t>Francisco Ñuño</t>
  </si>
  <si>
    <t>…Sr. Secretario de Estado y del | | culadas desde el 15 de Enero que salí de Vitoria hasta mi llegada á Pamplona Despacho del Fomento general del reino. 1 leí 9 del actual,* debo poner en conocimiento de V. K.: que habiendo salido D. Francisco Ñuño, alcalde ordinario y presidente de la junta municipal de I I el 11 para esta ciudad con la brigada del brigadier Benedicto, escuadrón de ca Sanidad de esta villa: Hago saber ¿ los habitantes de esta villa, como U divi zadores de la Guardia Real y artillería, ligera , después de haber dejado las ins…</t>
  </si>
  <si>
    <t>…la opinión médica, según los datos que unido como lo tienen de uso y costumbre los Sres. que componen la junta mu llegan a esta junta superior de Sanidad , de que no se padece en ía espita! ci nicipal de Sanidad de ella, y lo son D. Francisco Ñuño, alcalde presidenta íólera-morbo asiático, no puede dejar de manifestar queel carácter y número de jy. Joscf García y D. Pedro María de León, curas ecónomos; D. Antonio enfermos y fallecidos debe-infundir sospecha de existir en la actualidad alguna Mellizo, regidor decano de*este ayuntamiento, voca…</t>
  </si>
  <si>
    <t>Nuñrz, Miguel Gerónimo Suarcz y</t>
  </si>
  <si>
    <t>Miguel Gerónimo Suarcz y Nuñrz</t>
  </si>
  <si>
    <t>…za en Dios en las diversas cír— El día 4 ¿el corriente continuaba mejorando el estado sanitario de su ca cunstancias-de la vida. Obra uxilisi-ina a toda clase de persona** sacad* de 1* que'escri bió en fcancesel abate Roisard por D. Miguel Gerónimo Suarcz y Nuñrz. Dos tomo» pital, y en lor nueve pucbtoydc la tñisfna provincia que se hallaban invadidos en 8.°, edición de 1791, a 10 rs. rama, 12 pergamino, y 18 pasra común. Partiendo de la enfermedad sospechosa, iba esta á meaos en algunos, y en otros seguía su del innegable principio de que la segura salud de las…</t>
  </si>
  <si>
    <t>Núnu, CONTRA EL ORDEN Y SEGURIDAD INTERIOR</t>
  </si>
  <si>
    <t>CONTRA EL ORDEN Y SEGURIDAD INTERIOR Núnu</t>
  </si>
  <si>
    <t>…ona 6 vida Contra su soberanía. Contra su libre ejercicio. sas sagradas y religiosas. sagrada del Rey. Número de delincuentes. los | - DELITOS PUBLICOS. DE TRAICION AI RF.Y CONTRA LA SEGURIDAD EXTERIOR DEL ESTADO. ]1E TRAICION AL REY CONTRA EL ORDEN Y SEGURIDAD INTERIOR. Núnu 4*° Connivencias, relaciones Auxilios de.todas clases Hacer armas y derruí Conspiraciones. Rebeliones. Sediciones. Asonadas. íil ó tramas contra la inde pregados á los enemigos actos directamentec O pendencia-del Estado. de la independencia ofendan la independen del Estado. cia del Estado.</t>
  </si>
  <si>
    <t>Nupoleont</t>
  </si>
  <si>
    <t>…el nombre mas por ahora se limitan á esto: de ocho dias á esta parte los periódicos tpóus 1 de Ég/sz Jel diabla -(Feufelsgtaben ). • ¡ ' : • ' estin'llenos de declamaciones contra- los candidatos que son empleados; lo que - -.wEl Emperador Nupoleont se propuso continuar estos trabajos; pero no se no importará ciertamente- para que ios electores los nombren si hallan prendas 1 lo-periniiiecon las: circunstancias. Después el rey Luis deBaviera.á imita en ellos que respondan de su aptitad y moralidad. - ción. «falo* soraánpH quiso emplear en.lo m…</t>
  </si>
  <si>
    <t>Nurzagaray</t>
  </si>
  <si>
    <t>…rcibido* del mismo módo. Al empezar la reacción sé Omitirá el bicarbonato de amo quede n ó nacerlo les parará perjuicio. t * niaco; pero'no él de potasa ó sosa si se cree conveniente seguir administrando el 1 -Por providencia del Sr. Nurzagaray. refrendada del escribano Seco, *e saca á su— ácido carbónico. . 7 basrd por término de 15 dias la casa, calle dvl Ave Mana, número 12, manzana 38, Citando fas evacuaciones son muy abundantes y frecuentes , y que-parece ?tie83 tieners. a debajarsitiolas2t*)4cargaspiesqué.- tasadasobre ensí tenga? 1.…</t>
  </si>
  <si>
    <t>O'ive, José</t>
  </si>
  <si>
    <t>José O'ive</t>
  </si>
  <si>
    <t>…de Pedro, y del alférez Don ayudante el cap't in de! ligeros de caballería, D. J uan ZivaU , del de U José Lasala: y de mis ayudante*de campo D. Luis María, y D. Genaro Ma plana mayor teniente dj:l 4 ° de U Gviarcha de infantería D. José O'ive , Do* ría de Que&amp;ada , tenientes de la'Guardia Real de infantería, y D. Jo»é Fran Julián Vdscaran y IX Rufino Iptfia, capitán y temerte graduado de infarten^ cisco Vidondó, teniente del regimienta infantería de Extremadura que distribu cargue á U bj»oneta sobre la facción que se encontraba en las c…</t>
  </si>
  <si>
    <t>O, Alcalá</t>
  </si>
  <si>
    <t>Alcalá O</t>
  </si>
  <si>
    <t>…ar mas al Estamento, apoyando la modificación no. Esto sucede cabalmente en la cuestión actual; y si me es lícito revelar lo expresada del art. l.°” que pasó en la comisión mista, diré que desde el principio nos hallamos en es El Sr. Alcalá O allano: «Al tomar la palabra confieso que nunca he en ta divergencia; pues partiendo de principios opuestos, difícil era dedujésemos trádmeos mas disgusto y desconfianza á usarla, como en la ocasión presente. La consecuencias que no lo fuesen. Hay quien pretende que S. R el Rey D. Fer cuestión es d…</t>
  </si>
  <si>
    <t>O, Juan Alvarez</t>
  </si>
  <si>
    <t>Juan Alvarez O</t>
  </si>
  <si>
    <t>…renzo Ramo de junta general, en el dia v sitio que señalará al electo el juez inter S. Blas, obispo de Huesca; D. Ramón López Pelegrin, decano de ventor con la posible brevedad. la sección de Grauta y Justicia del t,/insejo Real; D. Juan Alvarez O1 Los interventores presentarán á la junta un estado exacto y Guerra, decano de'la sección de lo Interior del mismoConsejo;conde justificado, por el que tos acreedores ó sus legítimos representantes de Vetiadito, capitán general de la Real armada; conde de Ofalia, puedan enterársele las existencias, rent…</t>
  </si>
  <si>
    <t>Ó, Luisa Carjpta</t>
  </si>
  <si>
    <t>Luisa Carjpta Ó</t>
  </si>
  <si>
    <t>…que desempeñamos como Procuradores de los pueblos: ha sido dirigido mala para el Sr, Infante D. Francisco 1.650®: para gastos de cámara de la Sral In mente por el Gobierno, Y si no yo invito á suS mismos individuos á que me fama Doña Luisa Carjpta Ó00®; para el Sermo. Sr. duque de Lúea 72®. Infié digan con toda franqueza si ño podían haberle dado otro giro mejor. ¿Ño hu rase , en vista de Ja- lectura que acabo de hacer, si fue una cantidad alzada lo biera sido mejor que hubiesen propuesto una cantidad alzada para todos los que $e señaló tn las…</t>
  </si>
  <si>
    <t>O, Ramón de la</t>
  </si>
  <si>
    <t>Ramón de la O</t>
  </si>
  <si>
    <t>…mo uno de los ramosSeñalar,f sofife Tés f6ndtw*&lt;te *fróiportlidade8 Ocupadas á los eclesiásti pfeftehecicntes á la policía Urbana.cos de'ése reino, lá-perision de ocho rs. vn. diarios á Doña Jósefa 0rtiz, vitidij. del desgraciado D. Ramón de la O, tan cruelmente sa 2? El corregidor ó el que deba desempeñar en aquel acto sus funciones, es la autoridad superior local que dictará y hará ejecucrificado,” De Real orden lo traslado á Y. E. parasu inteligencia y tar las providencias generales para precaver, y para cortar y apagarefectos correspond…</t>
  </si>
  <si>
    <t>O-Do, D Leopoldo</t>
  </si>
  <si>
    <t>D Leopoldo O-Do</t>
  </si>
  <si>
    <t>…uestra artillería, consiste gimiento de granaderos de la Guardia Real de infantería, tan aguerridos como sin embargo en 3 muertos, y 7 oficiales y 63 heridos de la 1.* brigada de la valientes, al mando de su capitán comandante el coronel D. Leopoldo O-Do- división de Navarra; y en. 32 muertos, 16 oficiales y 293 heridos de la bri Tnell , que con su valor y el de los valientes que tenia 4 sus órdenes formó en gada de Aragón, lo que hará á V. E. conocer mas extensamente el adjunto %Mt día'el escollo en que se estrellaron aquellas hordas numerosas que…</t>
  </si>
  <si>
    <t>O-Do, Leopoldo</t>
  </si>
  <si>
    <t>Leopoldo O-Do</t>
  </si>
  <si>
    <t>…rtillería, consiste gimiento de granaderos de la Guardia Real de infantería, tan aguerridos como sin embargo en 3 muertos, y 7 oficiales y 63 heridos de la 1.* brigada de la valientes, al mando de su capitán comandante el coronel D. Leopoldo O-Do- división de Navarra; y en. 32 muertos, 16 oficiales y 293 heridos de la bri Tnell , que con su valor y el de los valientes que tenia 4 sus órdenes formó en gada de Aragón, lo que hará á V. E. conocer mas extensamente el adjunto %Mt día'el escollo en que se estrellaron aquellas hordas numerosas que…</t>
  </si>
  <si>
    <t>O-Doile</t>
  </si>
  <si>
    <t>…ia sesión. ' ■ ‘ .' PROVINCIA DE BOESCA. : .f " J ‘ Partí sanitario de 17 de Octubre. ESPAÑA. Yucblot. Dita. Enfermo». Curados. Fallecidos. • •&gt; Madrid 2 de Notietnbre. Castejon de Mo* Después qua,el 22 del mes próximo pasado.el brigadier O-Doile con las negros.............. l.°4 20 Oct.... 159 91 17 rdtrapiáide su.mando acudió velozmente desde Ochandiano., donde se hallaba Fraga............... 19 á 22 idem*.. 15 11 2 :.i«n operaciones-sdbro el Pretendiente,-i Eeñacenada cotí motivo del último pa- Peñalv*................ 18 2 23 ídem. .. No…</t>
  </si>
  <si>
    <t>…ente D. Miguel Rodríguez, dia 5 del de el cuerpo de ejército de las provincias Vascongadas; y al siguiente y les habían ya cortado el agua de la acequia, y estaban apoderados de las dia regresó á Navarra la división del mando del brigadier O-Doile, condu primeras casas- ciendo fusiles, municiones y caudales. inmediatamente me puse en marcha con una columna de 550 hombres : á distancia de media hora del pueblo ganamos sin dificultad una altura que lo domina , y habiéndonos descubierto el enemigo, Jp abandonó, retirándosé Siendo la preciosa vi…</t>
  </si>
  <si>
    <t>O-DonelJ, Leopoldo</t>
  </si>
  <si>
    <t>Leopoldo O-DonelJ</t>
  </si>
  <si>
    <t>…en todos los puntos del Principado , siendo cada dia mas Ídem idem de campo, alféiez D. Manuel de Larrain. inútiles los esfuerzos de los malvados que intentan alterarla, por el buen espí Guardia Real de i.¡if.intcrM.=Cap;tan&lt;s , D. Leopoldo O-DonelJ; D. Luis ritu tjue reina en los habitantes , y las activas y enérgicas disposiciones do las García Luna; teniente*, D. José Faldera; D. José Oriol Despajo!: alférez -autoridades. ccs, D. Miguel Azígra ; D. darlos Fanch ; D. í oren/r* Smuhs. Soria , 9.° de linca =1 enicntc , D 1c nací o V: ñcd alfér…</t>
  </si>
  <si>
    <t>O-Donell</t>
  </si>
  <si>
    <t>…o á hacer un reconocimiento hacia Bova- con una parte de mi columna, que despides de guarnecido este punto había hecha dilia del camino, Melgar de Yuso y Santoyo, encontróá la facción de Meri salir para sostener el movimiento del capitán O-Donell , y en cuyas posiciones no compuesta de 80 caballos que por las inmediaciones de este último pue permanecimos hasta que á las tres de la tarde volvió el enemigo á empeñar otra blo se dirigían á pasar el Pisuerga, después de la derrota de Hencra-La fuerza ataque con tres columnas con el objeto de en…</t>
  </si>
  <si>
    <t>O-Donell, Leopoldo</t>
  </si>
  <si>
    <t>Leopoldo O-Donell</t>
  </si>
  <si>
    <t>…por conservar ileso el honor d» dida. Esta columna , formada en 15 de Octubre último , ha sido constantemen las armas. te la primera en las muchas fatigas y peligros, que particularmente en esta pro El capitán de la Guardia Real D. Leopoldo O-Donell con 180 granadero» vincia han tenido que sufrir las leales tropas que lomaron á su cargo la defensa del mismo cuerpo, una mitad de tiradores á las órdenes del subteniente de Soria de los imprescriptibles derechos de la Reina nuestra Señora. Lo que tengo el D. José Antonio Turón, y Ja caballería, ma…</t>
  </si>
  <si>
    <t>O-Doy, D Manuel</t>
  </si>
  <si>
    <t>D Manuel O-Doy</t>
  </si>
  <si>
    <t>…mencionado general Lorenzo el HIHISTEBIO DK LO IWTERIOB. 2.° de la Reina de infantería de línea con el de la misma arma 2 ° de Córdo ba; y por mi derecha dispuse doblase ó Banquease la izquierda del enemigo el Real orden. bizarro brigadier D. Manuel O-Doy le con el primer batallón del regimiento El Sr. Secretario' del Despacho de Gracia y Justicia me dice con de Africa y una compañía de fusileros del mencionado 1 J® de la Reina; cuyo fecha iie ayer lo siguiente: movimiento siguió también lleno de honor y de tos mejores deseos el preci «Deseando S. M…</t>
  </si>
  <si>
    <t>O-Doy, Manuel</t>
  </si>
  <si>
    <t>Manuel O-Doy</t>
  </si>
  <si>
    <t>…general Lorenzo el HIHISTEBIO DK LO IWTERIOB. 2.° de la Reina de infantería de línea con el de la misma arma 2 ° de Córdo ba; y por mi derecha dispuse doblase ó Banquease la izquierda del enemigo el Real orden. bizarro brigadier D. Manuel O-Doy le con el primer batallón del regimiento El Sr. Secretario' del Despacho de Gracia y Justicia me dice con de Africa y una compañía de fusileros del mencionado 1 J® de la Reina; cuyo fecha iie ayer lo siguiente: movimiento siguió también lleno de honor y de tos mejores deseos el preci «Deseando S. M…</t>
  </si>
  <si>
    <t>O-Doyie</t>
  </si>
  <si>
    <t>…sto, y aprovechamos esta ocasión Habiéndose dirigida Zumalacarregui hácia las Amezcuas, van en su se para ofrecernos &amp;c.r=Berna 15 de Setiembre de 1334- (.Mensageroi) guimiento las divisiones, del general Córdoba y Oráa, y la del brigadier O-Doyie ha regresado á las inmediaciones de esta ciudad para emprender nue vas operaciones. | ____ El gobierno de Berna recibió el 25 de Setiembre otra nota del embajadof El general Espartero ha hecho levantar el bloqueo de Bcrmeo, y ha pro austriaco Mr. de Bombelles para que hiciese salir á todos los ¡aus…</t>
  </si>
  <si>
    <t>O-Doylc</t>
  </si>
  <si>
    <t>…cuas y su caballería á |a Ribera. Las divisiones del general Córdoba y brigadier Oráa debían avistarse el 15 en Ber Parte sanitario. nedo. La junta de Alava se hallaba en Onraita, en lo alto de Iá sierra de Andía. La división del brigadier O-Doylc salió el mismo dia para Vcrgara, Pueblo*. Día*. | Enfermos. Curado*. Fallecido*. Ochandiano y Aramañóna á ejecutar varias operaciones. Laredo............... . 2 á 9 de Oct.. i No consta 20 20 Madrid 19 de Octubre. Santander.......... . 10 á 13 id... - ( id. No-consta 108 Nota. En Laredo había 80 pe…</t>
  </si>
  <si>
    <t>O-Doyle</t>
  </si>
  <si>
    <t>…municiones y zapatos procedente de Aragón; pira Tomar el mando de la división que se le ha confiado. El brigadier López ha bajado á Francfort 15 de Setiembre. la ribera á tomar el de la caballería y la infantería unida á ella. Eí brigadier O-Doyle condujo desde Vitoria á Pamplona, donde entró el mismo, dia 8, un Hemos recibido la noticia de un espantoso incendio ocurrido en Moscou. convoy de fusiles, lanzas, municiones y dinero. Empezó en el centro de la ciudad, y en un barrio habitado principalmente La salud de las tropas de Navarra es much…</t>
  </si>
  <si>
    <t>…e la sierra de Ándía, proponiéndose marchar al El brigadier Jáuregui dopua de una larga marcha logró alcanzar 2 1» día siguiente al valle de Araquil. faccioso* de Guipúzcoa cerca de Oyarzun, los cuala huyeron precipitadamente. El brigadier O-Doyle tuvo el mismo día un encuentro con d enemiga» 4e que da razón el parte siguiente: El jueva 25 del comenta «» verificó es i* escuela normal de la calle da «&gt;Excmo. Sr.: Con arreglo i la prevenciona de V. E. salí para S. Román Santiago el cuarto ensayo con diferentes soldados de las regimientos de es…</t>
  </si>
  <si>
    <t>O-Farrill, José Ricardo</t>
  </si>
  <si>
    <t>José Ricardo O-Farrill</t>
  </si>
  <si>
    <t>…todo el po do á sus deseos, acordó encargar la revisión de las cuentas al Sr. D. Joaquín der que antes tenia, y coloca á Santana á la cabeza del gobierno. Gómez, quien con su dictárpgn las pasaría á los ExCmos. Sres. presidente y D. José Ricardo O-Farrill para la aprobación correspondiente, cpmo asimis TV Lima escriben con fecha 29 de Abril que la división de Bermudez) mo que se de al público un extracto del resultado de la entrada y salida, para que constaba de 1200 hombres, se había sometido al Presidente en Huancuyo, mayor satisfacción del Sr. Ga…</t>
  </si>
  <si>
    <t>O-hoa</t>
  </si>
  <si>
    <t>…ertad de imprenta es un mil, es un arma un temib-e, ¿qué razón hay de "Entremos en la di»cu&gt;ion de hiqv. Permítaseme decir antes de todo que al justicia y de conveniencia pública que obligue a ponerla en manos del m-smo hablar el Sr. O-hoa contra la petición, ha hecho su mas comp'eta defensaGobierno, cuando tiene inmensidad de recursos para su defensa? Luego si la Pero no catamos conformes en que la-, obras de Quevedo sean iguales á las de impreni# está á disposición de los Gobiernos todo debe temerse; no asi cuar^- los cultos modern…</t>
  </si>
  <si>
    <t>O-ufcn, Gerónimo de la Escosüra De Real</t>
  </si>
  <si>
    <t>Gerónimo de la Escosüra De Real O-ufcn</t>
  </si>
  <si>
    <t>…s los prédios de su pertenencia, observándose religiosamente las leves compendios de la historia de G-eoia, Roma v España, que ,há pu del reino sobre este punto; á cuyo fin las autoridades, asi la judicial blicado en esta - corte D. Gerónimo de la Escosüra. De Real O-ufcn como la administrativacada una dentró del circuló de §us atribu lo digo i V. E. para conocimiento de la Inspección y demás efectos ciones, prestarán la mas eficaz cooperación al puntual cumplimiento corres(&gt;ondienies á su cumplimiento. Dios guarde á V. E. muchos de esta resolución soberana, en la q…</t>
  </si>
  <si>
    <t>Oabao</t>
  </si>
  <si>
    <t>…«Entre los principales misioneros para solicitar el favor de las Orles ex- Hicieron varias reflexiones los Sres. Cardoso h Castel-Branco y Beira. trangeras, se cuenta uno muy célebre, «}ue constantemente hace viages de \Convmo el Sr. Oabao cori algunas de ias ideas que 'había manifestado el Ñapóles á Roma, y-de Roma á Ñapóles, y otro nó menos famoso que está Sr. Magalhaes; opinando finalmente que el artículo l.° se debía.aprobar dr*d* en Viena clamando por el auxilio de la santa alianza. Felizmente las Poten luego, para que inmediata…</t>
  </si>
  <si>
    <t>Oais</t>
  </si>
  <si>
    <t>…y Del Rey. El Sr. Alcali Galiano insistió en su pregunta , y el Sr. Secretario de Ha Se abstuvieron de votar los Sres. Melendez y Ciscar (D. Jasé.) cienda repitió qué solo era la voluntad de S. M. la que había producido la.1*- El Sr. Oais reclamó la equivocación de haberse^ incluido én la Esta al rebaja. Sr. Crespo Rascón, que no estaba presente j equivocación que se rectificó. El Sr. marques de Torremejía preguntó si en los 30 millones se com Se leyó el voto particular del Sr. Samponts, que dice: «Se asigna á S. M. prendía la asign…</t>
  </si>
  <si>
    <t>Oalia, Alcalá</t>
  </si>
  <si>
    <t>Alcalá Oalia</t>
  </si>
  <si>
    <t>…una ocasión citar el nombre de S. M. en lugar del del Gobier Es cíertoique tro se ha usado de personalidades en la discusión anterior, no ; pero eso sucede rara vez , si sucede alguna, y por hábito, rio con intención, hablando el Sr. Alcalá Oalia no de la persona que en ei asunto de que se trata porque saben que S. M. no puede ser responsable dé nuciros actos, y que si le merece mayor ooncepio de saber entre los dos sehbres que le precedieron en por desgracia cupiera responsabilidad en su sagrada Persona, los Secretarios del 1»; palabnrpy y…</t>
  </si>
  <si>
    <t>Oavjpv, Juan Ramón</t>
  </si>
  <si>
    <t>Juan Ramón Oavjpv</t>
  </si>
  <si>
    <t>…caballo»» Ipectáculo. ; . aquellos al mando dd teniente ilimitado D. Joscf Salgado y del sargento l.Q La fuerte de la plaza del Salvador , adornada- por Jos gremios de zapateros, licenciado D. Josef Vázquez de Ruga, y éstos al dt D. Juan Ramón Oavjpv pintores, herreros y otros, presentaba una perspectiva muy agradable. Constaba sargento de la caballería armada. Dopue» de una marcha rápida de dos leguasesta decoi;a£Íon de un obelisco cuadrado; cada una de sus caras tema ocho varas y med a , de las que anduvo la infantería Ircs cuarto» de legua s…</t>
  </si>
  <si>
    <t>Obando, Pedro</t>
  </si>
  <si>
    <t>Pedro Obando</t>
  </si>
  <si>
    <t>…. Joaquín Diez; D. Pablo Nicolás de S. Pedro. Don po abierto: de lés máquinas;de defender y atacar las plazas, de las máquinas au Joaquín Villanueva, D. Luis Belrrart, D. Vicente Sánchez, D. Basilio Salcedo D Nfc colas.Esrerripa, D. Pedro Obando, D. Mateo Obregon, D. Luis Toledano. D Blas de xiliares para pasar nos, y otros usos de ésta naturaleza &amp;c. &amp;c.; en cónsecuen- , Toro, D. Vicente Navarro, D. Pedro Montenegro D. Santiago Uarraza, D. Acustln cía, « de inferir que en dichos manuscritos ó recopilación de documentos se de los Arcos, D.…</t>
  </si>
  <si>
    <t>Obanos</t>
  </si>
  <si>
    <t>…didas, oponiendo una re Con igual fecha dice el mismo general que las divisiones i * y 2:* se ha- • sistencia , si no clara, á lo menos tácita, á que se reformasen algunos abusos que liaban acantonadas én los pueblos de Puente la Reina, Obanos, Cirauqui y - la confusión de las circunstancias debian necesariamente producir. De esta lu- Mañeru, y la de la Rivera en Lcrin, con objeto de reponerse de municiones cfja fatal y temosa han resultado embarazos crueles en el progreso de las refor y calzado de que se hallaban exhaustas, lo que fe ha…</t>
  </si>
  <si>
    <t>Obispo, Fernando do Sa S Erna Monseñor</t>
  </si>
  <si>
    <t>Fernando do Sa S Erna Monseñor Obispo</t>
  </si>
  <si>
    <t>…uquesa, hija de nues de id. 77. tros benignos Soberanos, ha sido tenida en la pila bautismal por S. M. la Rei na' madre' de las dos Siciliás, y ha recibido el nombre de Marta Isabel. El dia 3 del corriente desembarcó en Calais el príncipe Fernando do Sa ' S. Erna. Monseñor Obispo de Salona, el cuerpo de ministros, y los princi jorna Coburgo, que pasa á Bruselas. (D. de París i) ‘' pales dignatarios y funcionarios del Estado asistieron á la ceremonia. ( Gaceta de Florencia.') Ja suscripción abierta en León para socorrer á los soldados heridos en los Ancana 12 de Mayo. aconte…</t>
  </si>
  <si>
    <t>Obra</t>
  </si>
  <si>
    <t>…tinet, y se iba Con motivo de la aparición de las facciones ha resplandecido el zelo y de i ensayar el mineral, del cual se habian extraído algunas arrobas. cisión de dichos pueblos en favor de la justa causa de la Rete a nuestra Señora, Obra asimismo en aquel gobierno otro expedienre sobre el beneficio de una Se ha provisto i lo necesario para el sostenimiento de Ifcs compañías da se cantera de mármol en el término de Masanet* guridad. Ha dispuesto que en Arbucias se construya en despoblado el cementerio Está formando sin levantar mano…</t>
  </si>
  <si>
    <t>Obrar, Agustin No</t>
  </si>
  <si>
    <t>Agustin No Obrar</t>
  </si>
  <si>
    <t>…donde tengo las tropas de Pastor y otras. Hoy he oficiado á todos los gefes de tropa, y mañana emprenderé mi ANUNCIOS. marcha para Albalate. Dios guarde í V. E. muchos años. Caspe 1S de Abril de 1834 á las 4 de la tarde.rcExcmo. Sr.=Agustin No Obrar que re hallan de venta en eiderfacha de la imprenta Real. guera' . =Excmo. Sr. capitán general de Aragón. Mordico gramatical en coloquios didascállcos, para servir de suple mento á la gramática-sindptica-francesa-castellana , por D. Francisco El marques de Moncayo, general en gefe del ejército de o…</t>
  </si>
  <si>
    <t>Obrar, José</t>
  </si>
  <si>
    <t>José Obrar</t>
  </si>
  <si>
    <t>…a concedido á la villa de Manacor permiso para abrir un teatro de aficionados , é invertir el producto de las repre sentaciones en la mejora mas útil para ei pueblo. ANUNCIOS. Extracto del parte dado con fecha de 5 del actual por D. José Obrar que te hallan de venta en el despacho de la imprenta Real. Antonio Cervera, secretario de la subdelegacion del Fomento de La litada de Homero, traducida del griego al castellano por D. José la provincia de Albacete, y encargado interinamente de ella por Gómez Hermosilla en verso endecasilavo suelto…</t>
  </si>
  <si>
    <t>Obregon</t>
  </si>
  <si>
    <t>…pital continuaba en el mismo estado que manifestó eaej Por otros partes recibidos en e! mismo ministerio se sabe que ademas de último parte; y que en toda la ciudad existían 20 enfermas con sintonías sospe Albuin los persiguen el coronel Obregon, una columna de Aragón y otras chosos, y habían fallecido nueve con las mismas circustancias : finainteotp i que Con los Urbanos de los pueblos de dicha provincia y la Rioja; que en ninguna no se habían aumentado las enfermedades comunes á pesar do lo rigorotodels parte encuentran acogida dichos re…</t>
  </si>
  <si>
    <t>…l gobierno á su disposición mas de mo ya he dicho á V. E., son tres las que operan con cerca de 4*J0 infantes y un millón de francos para gastos secretos, pida ahora otra cantidad casi igual 80 caballos, sin contar la columna del coronel Obregon , la guarnición de V¡- con el mismo objeto, dando por causal de este nuevo pedido el estado de los Uafranca , y las partidas de Soria: de manera que mas de 13 hombres y 200 departamentos del oeste, las intrigas de los partidarios de la dinastía destrona caballos están persiguiendo o en observación…</t>
  </si>
  <si>
    <t>…recibidos en la secretaría de Estado y del Despacho de la Guerra. CDrta e lad de lo años cada uno han llenado los deberes de su obligación con tanta serenidad y honor, me ponen en la obligación de recomendarlos á V. E. Partes del coronel Obregon y del comandante -general de Soria detallando con el mayor interés, asi como el entusiasmo y bizarría de la tropa de ambas la acción de que se dio noticia *en la Gaceta de ayer contra el cura Merino. armas que mandaban, y muy particularmente al referido soldado Mariano Columna móvil de Castilla la Nueva.…</t>
  </si>
  <si>
    <t>…á visto V. E. por mi parre an y decidida por espaciq de dos leguas, que el único pelotón que ya quedó reuni terior, he rec.bido diferentes avíaos, tanto de los pueblas donde han’’ enterrado do, y fue últimamente perseguido por el coronel Obregon, se vio obligado á los cadáveres como por donde vagan los dispersos, en los que vea con pbcff abandonar el campo por la cañada Hermosa, donde con aquellas grandes mon que ha sido mas completa de lo que podia figurarme, pues el número de muer tañas y bosques, se nos perdió de vista; esto unido al ca…</t>
  </si>
  <si>
    <t>…cutó haciendo que de la sierra á donde aquel se dirigía en su retirada. avanzase su segundo, batallón al mando del comandante D. JS-amon Araoz, # á .sostener las cómpa&amp;ías de. .cazadores. que se habian adelantado , batiéndose El. brigadier Obregon, desde Si Leonardo, con fecha 14 del corriente par contra fuerzas muy -.superiores hasta .el monte de Gallarraga. El enemigo ticipa al capitán general de Castilla que habiendo perseguido con movimien fue desalojado efe Sus posiciones, y Araoz ocupó lasque tenían en el citado tos continuos la infant…</t>
  </si>
  <si>
    <t>Obregon, D Manuel</t>
  </si>
  <si>
    <t>D Manuel Obregon</t>
  </si>
  <si>
    <t>…ino de Castilla la Vieja con fecha 12 de Mayo re. El Presidente levanta la sesión. mite á este ministerio el parte siguiente: Excmo Sr.: Se goza completa tranquilidad en esta ciudad. ídem de ios pares.—ÍV/ion del 25 del misma. El coronel D. Manuel Obregon avisó ayer desde Aranda de Duero, que La Cámara resuelve que el proyecto de ley sobre abolición de mayorazgos, teniendo noticias de que una partida de facciosos amenazaba volver á invadir el modificado por la de Diputados, pase á informe de la comisión que ya ha in Burgo de Osma y repetir sus exces…</t>
  </si>
  <si>
    <t>…nuestro regreso á esa capital algún tiempo calabozos subterráneos que había en algunas de las primeras. mas del que quisiéramos.2=Padilla.=Fxcmo. Sr. capitán general de este ejército y provincia.ssEs copía.=Manso. ANUNCIOS. 1 El coronel D. Manuel Obregon , comandante de esta columna, me dice Cólera-morbo epidémico, observado y tratado en las ciudades de la Habana y Sao desde 5. Leonardo lo que copio.=Con el objeto de que V. S. se sirva partici Carlos de Matanzas en la isla de Cuba, con arreglo á los nuevos principios de doctrina parlo i lodos los i…</t>
  </si>
  <si>
    <t>Obregón, D Manuel</t>
  </si>
  <si>
    <t>D Manuel Obregón</t>
  </si>
  <si>
    <t>…egimiento infantería de Zaragoza 12 de ¿I por ser el único puntó allí capaz de esta fuerza, bailándonos acampados en línea D. José María de la Riv^ Robledo, el cual habiéndoseme presentado en el monte de la Torre en, unión con el coronel D. Manuel Obregón, dispusi ei momento que salta de Aranda de Duero para perseguir á la indicada facción mos el sorprenderlos, con tanto mas gtísto, cuanfo no teniendo ote edificio de Cucvillas, me manifestó sus deseos de contribuir á tan importante servicio, mas que una puerta ofrecía la probabilidad de no salvarse…</t>
  </si>
  <si>
    <t>…U cargada ciones de aquel país, y el inmediato de la derecha del Ebro. esta pieza estuviese arreglada al tercio del peso de la bala, considerando el flui do dilatado como á ló“0 podríamos con estos datos deducir un cálculo que El coronel D. Manuel Obregon, gefe de la 3.a brigada de operacio aunque no exacto, nos demostraría á lo menos por aproximación que los re nes de Castilla la Vieja, desde el Burgo de Osma con fecha 25 del pre fuerzos de estas piezas, según nuestros principios, no son capaces de resistir la» sente da parte á este ministerio de h…</t>
  </si>
  <si>
    <t>…, laxitud y diarrea, he suministrado los polvos de la viborera ec los ni tos, y de cuyos conocimientos espero aprender mucho. Los que adquirí ayeT ños en dosis de sets á ocho granos, v en seguida una taza de te, á la hora una del coronel D. Manuel Obregon originaron la salida desde Salas, dirigiéndose jicara de agua de pan y goma, repitiendo otra toma á Us dos horas siguientes dicho gefe sobre Huerta del Rey con una columna de infantería de ia Guar en la misma dosis. De cinco niños de edad de 10 á 12 años, iré* curaron al dia, Castilla 16.° de línea…</t>
  </si>
  <si>
    <t>Obregon, Manuel</t>
  </si>
  <si>
    <t>Manuel Obregon</t>
  </si>
  <si>
    <t>…e'Ju^Pfía «» ^ «j» de.Jdanyel J‘ El capitán general de Castilla dice la siguiente: Excmo. Sr.: El briga méno;se,rtaffigi¿petó,zlfuerje,al fuerte, ¿111116;sufrió 1»I* Óen»afrentosapfiiaafrentosa copeo,lescomo,l»s otras.otras. dier D. Manuel Obregon, comandante general de la división de operaciones Lá c^MLdel 0bano;^yer^6.0eíc^ ljue;sá^(ead» ; y Je hija, jóvep de lf&gt; de la sierra, desde Lerma con fecha .6 del actual rué dice lo que sigue: «Exce años que se'reÉígiS.al fuéifl^.isp^rí^.íe.pefla afiep,t9s¿- --. ' ] . ... •* lentísimo. Sr.: El alfé…</t>
  </si>
  <si>
    <t>…astilla la Vieja con fecha 12 de Mayo re. El Presidente levanta la sesión. mite á este ministerio el parte siguiente: Excmo Sr.: Se goza completa tranquilidad en esta ciudad. ídem de ios pares.—ÍV/ion del 25 del misma. El coronel D. Manuel Obregon avisó ayer desde Aranda de Duero, que La Cámara resuelve que el proyecto de ley sobre abolición de mayorazgos, teniendo noticias de que una partida de facciosos amenazaba volver á invadir el modificado por la de Diputados, pase á informe de la comisión que ya ha in Burgo de Osma y repetir sus exces…</t>
  </si>
  <si>
    <t>…regreso á esa capital algún tiempo calabozos subterráneos que había en algunas de las primeras. mas del que quisiéramos.2=Padilla.=Fxcmo. Sr. capitán general de este ejército y provincia.ssEs copía.=Manso. ANUNCIOS. 1 El coronel D. Manuel Obregon , comandante de esta columna, me dice Cólera-morbo epidémico, observado y tratado en las ciudades de la Habana y Sao desde 5. Leonardo lo que copio.=Con el objeto de que V. S. se sirva partici Carlos de Matanzas en la isla de Cuba, con arreglo á los nuevos principios de doctrina parlo i lodos los i…</t>
  </si>
  <si>
    <t>Obregón, Manuel</t>
  </si>
  <si>
    <t>Manuel Obregón</t>
  </si>
  <si>
    <t>…o infantería de Zaragoza 12 de ¿I por ser el único puntó allí capaz de esta fuerza, bailándonos acampados en línea D. José María de la Riv^ Robledo, el cual habiéndoseme presentado en el monte de la Torre en, unión con el coronel D. Manuel Obregón, dispusi ei momento que salta de Aranda de Duero para perseguir á la indicada facción mos el sorprenderlos, con tanto mas gtísto, cuanfo no teniendo ote edificio de Cucvillas, me manifestó sus deseos de contribuir á tan importante servicio, mas que una puerta ofrecía la probabilidad de no salvarse…</t>
  </si>
  <si>
    <t>…a ciones de aquel país, y el inmediato de la derecha del Ebro. esta pieza estuviese arreglada al tercio del peso de la bala, considerando el flui do dilatado como á ló“0 podríamos con estos datos deducir un cálculo que El coronel D. Manuel Obregon, gefe de la 3.a brigada de operacio aunque no exacto, nos demostraría á lo menos por aproximación que los re nes de Castilla la Vieja, desde el Burgo de Osma con fecha 25 del pre fuerzos de estas piezas, según nuestros principios, no son capaces de resistir la» sente da parte á este ministerio de h…</t>
  </si>
  <si>
    <t>…d y diarrea, he suministrado los polvos de la viborera ec los ni tos, y de cuyos conocimientos espero aprender mucho. Los que adquirí ayeT ños en dosis de sets á ocho granos, v en seguida una taza de te, á la hora una del coronel D. Manuel Obregon originaron la salida desde Salas, dirigiéndose jicara de agua de pan y goma, repitiendo otra toma á Us dos horas siguientes dicho gefe sobre Huerta del Rey con una columna de infantería de ia Guar en la misma dosis. De cinco niños de edad de 10 á 12 años, iré* curaron al dia, Castilla 16.° de línea…</t>
  </si>
  <si>
    <t>Obregon, Mateo</t>
  </si>
  <si>
    <t>Mateo Obregon</t>
  </si>
  <si>
    <t>…. Pablo Nicolás de S. Pedro. Don po abierto: de lés máquinas;de defender y atacar las plazas, de las máquinas au Joaquín Villanueva, D. Luis Belrrart, D. Vicente Sánchez, D. Basilio Salcedo D Nfc colas.Esrerripa, D. Pedro Obando, D. Mateo Obregon, D. Luis Toledano. D Blas de xiliares para pasar nos, y otros usos de ésta naturaleza &amp;c. &amp;c.; en cónsecuen- , Toro, D. Vicente Navarro, D. Pedro Montenegro D. Santiago Uarraza, D. Acustln cía, « de inferir que en dichos manuscritos ó recopilación de documentos se de los Arcos, D. «francisco Cosío…</t>
  </si>
  <si>
    <t>Obregon, Mínúél</t>
  </si>
  <si>
    <t>Mínúél Obregon</t>
  </si>
  <si>
    <t>…dxndo qoe prodb^ jíóf hpnefieios.dfi tfogo. ", -&gt; ^ ■ El°Reaí^tríhunil^de comercío de &lt;sta' plaza ¿p Mátíruf ija declarado «tí miiebra a T). Juin'Jp«í &lt;¿trasco, de esiá vétíirfdíd y cijmefíIrt'. 'ntetl/Ate su presSütx El eorottel'D.'Mínúél Obregon j «mandante dedil dcüúmha nsóvildefJutilia ft Wieváy titédérVtt-- A rsnda'deDslero ,' da ps rw i-ecto: ásmiiMrío con ■poogablefilárinéBlcomun _____l*i-- óftiraiyi'góA'áéttiat-desdé^el-gur^oida ©»m*¡¡ de hsberhéehtpünaexpédiatetn eenencisacdelquebrada, hagan:*¡asitifttt*cJo», yfsatitn.de&gt; ella'i:por…</t>
  </si>
  <si>
    <t>Obregori, Manuel</t>
  </si>
  <si>
    <t>Manuel Obregori</t>
  </si>
  <si>
    <t>…igo , se vió éste precisado á desistir lares de este país, y le considero digno de mejorar su suerte. Dios dcc. S. Leo de su empeño , dejando en el campo 4 muertos y llevándose bastantes heridos, nardo 12 de Mayo de’l834-=F.xcmo. Sr.=Manuel Obregori.=Excmo. Sr. Se contándose entre los primeros al famoso Gerrani de Castrillo, capitán de ellos, cretario de Estado y del Despacho de la Guerra. y uno de la mayor confianza de Merino en todas épocasEn este caso no .vaciló Vargas un momento en mejorar de posición, y se Comandancia general de la provinc…</t>
  </si>
  <si>
    <t>Obregoso, D Luis José</t>
  </si>
  <si>
    <t>D Luis José Obregoso</t>
  </si>
  <si>
    <t>…■re&lt;Waa»tsi«í«lá(n»yor dold», «iir: Iá mayór indignación todos lo* peruanos, Hace tiempo que el general Gamarra se había empeñado en desacreditar 1 espetáalálgMr'Itt»4MtMvfabomla desgracia de ptesenoiar lossuceaas; ya d tnu- ‘ ai general D. Luis José Obregoso, porque conocía que la'opinión pública le dotl ^ub qoflUbs MiiniBajoitismp0 conei oanicter ñoble, generoso y confiado llamaba á ocuparla primera imgísttútura de la nación; pero cuando se acét~ - del'PMsidébtbfse allpnóleficañtino para llevác í cabo sus cttminalés intentOs. ' caban las elecciones re…</t>
  </si>
  <si>
    <t>Obregoso, Luis José</t>
  </si>
  <si>
    <t>Luis José Obregoso</t>
  </si>
  <si>
    <t>…tsi«í«lá(n»yor dold», «iir: Iá mayór indignación todos lo* peruanos, Hace tiempo que el general Gamarra se había empeñado en desacreditar 1 espetáalálgMr'Itt»4MtMvfabomla desgracia de ptesenoiar lossuceaas; ya d tnu- ‘ ai general D. Luis José Obregoso, porque conocía que la'opinión pública le dotl ^ub qoflUbs MiiniBajoitismp0 conei oanicter ñoble, generoso y confiado llamaba á ocuparla primera imgísttútura de la nación; pero cuando se acét~ - del'PMsidébtbfse allpnóleficañtino para llevác í cabo sus cttminalés intentOs. ' caban las elecciones re…</t>
  </si>
  <si>
    <t>Obrera, José</t>
  </si>
  <si>
    <t>José Obrera</t>
  </si>
  <si>
    <t>…signado el Sr. D. Juan Ranero y Rozas, co miento de la Guardia Real de infantería, el primer comandante D. Bruno lector general de Espolios y Vacantes-, 4^ rs» de manifestando al mismo Alaiz; los capitanes D. Juan de Dios LasaU y D. José Obrera ; los tenien tiempo cuánto siente que la escasez de fondos que sufre la colecturía general tes D. Joaquín Manuel Alba V D. Miguel Guerra; cl.aifcicz D. Antonio Ca no le permita ampliar mas este donativo. llejas; los sargentos segundos jóse Pciez, f rancisco Rubiales, Antonio Na-</t>
  </si>
  <si>
    <t>Ocana</t>
  </si>
  <si>
    <t>…peñar esta parte dirigido los tres batallón» que observaban dicho camino hácia Lumbíer, Áo:z de su misión,, y de acabar de este modo lo que había intentado poner en prácti y el país inmediato: en Villaba se hallaba la brigada del coronel Ocana, la ca Osman-bají. En estas circunstancias, se cree el bajá de Egipto tanto mas au cual dispuso el general en gefe marchase á las cinco de la mañana del 11, en torizado á pedir asistencia al gobierno francés, cuanto no ha establecido la es la dirección del valle de Orba y punto del Carrascal, sabed…</t>
  </si>
  <si>
    <t>Ocaña</t>
  </si>
  <si>
    <t>…ambición se ciñe 4 ganar su alimento en El general en gefe del ejército del Norte con fecha del dia 14 manifies los últimos rangos de la literatura; pero repelido también de allí con dureza, ta que el 13 la brigada «el mando del coronel Ocaña habia tomado muy no tiene otro arbitrio que el de enriquecer al orbe literario con obras origina-, de mañana la dirección de los facciosos , que habían huido de resultas de la les, y le emplea de un modo que deja confusos á sus ruines enemigos, Aun en acción del 12 en el Carrascal, con la cual Se r…</t>
  </si>
  <si>
    <t>Ocaña, D Francisco</t>
  </si>
  <si>
    <t>D Francisco Ocaña</t>
  </si>
  <si>
    <t>…uente la Reina , según V. E. habrá observado por mis partes diarios, la 2.a- división, y los gefes de brigada de esta el brigadier D. José Marta determiné, asegurados los valles de Araquil y la Borunda con la división de Herrera, coronel D. Francisco Ocaña, gefe de la plana mayor marques de vanguardia á las órdenes del brigadier D. Francisco de Paula Figueras, salir Villarcampo, brigadier D. Manuel O-Doy le, gefe de la 1.* brigada de la de Echarriaranaz ayer con las divisiones 1.* y 2 1 de infantería, mandadas por 1. a división , mariscal de campo D.…</t>
  </si>
  <si>
    <t>…resentar uní modelo importante i todas guieron en la acción de hoy sobre la á^Tura de MucurruberncrrBrigadier gefe de las- «M reino. La 1.a brigada barón de Moer, del 4»°- regimiento de la Guardia Real; el gefe de la 2.a brigada, coronel D. Francisco Ocaña, del 6.° ligero; y del 4_° regi ^ Con el mismo objeto ha consignado el Sr. D. Juan Ranero y Rozas, co miento de la Guardia Real de infantería, el primer comandante D. Bruno lector general de Espolios y Vacantes-, 4^ rs» de manifestando al mismo Alaiz; los capitanes D. Juan de Dios LasaU y D. José O…</t>
  </si>
  <si>
    <t>Ocaña, Francisco</t>
  </si>
  <si>
    <t>Francisco Ocaña</t>
  </si>
  <si>
    <t>…Reina , según V. E. habrá observado por mis partes diarios, la 2.a- división, y los gefes de brigada de esta el brigadier D. José Marta determiné, asegurados los valles de Araquil y la Borunda con la división de Herrera, coronel D. Francisco Ocaña, gefe de la plana mayor marques de vanguardia á las órdenes del brigadier D. Francisco de Paula Figueras, salir Villarcampo, brigadier D. Manuel O-Doy le, gefe de la 1.* brigada de la de Echarriaranaz ayer con las divisiones 1.* y 2 1 de infantería, mandadas por 1. a división , mariscal de campo D.…</t>
  </si>
  <si>
    <t>…uní modelo importante i todas guieron en la acción de hoy sobre la á^Tura de MucurruberncrrBrigadier gefe de las- «M reino. La 1.a brigada barón de Moer, del 4»°- regimiento de la Guardia Real; el gefe de la 2.a brigada, coronel D. Francisco Ocaña, del 6.° ligero; y del 4_° regi ^ Con el mismo objeto ha consignado el Sr. D. Juan Ranero y Rozas, co miento de la Guardia Real de infantería, el primer comandante D. Bruno lector general de Espolios y Vacantes-, 4^ rs» de manifestando al mismo Alaiz; los capitanes D. Juan de Dios LasaU y D. José O…</t>
  </si>
  <si>
    <t>Ocaña, Gabriel de Tor</t>
  </si>
  <si>
    <t>Gabriel de Tor Ocaña</t>
  </si>
  <si>
    <t>…que en pequeña es nes é instrucciones propias para ta conservación de aquella parte importante de cala , han correspondido en gran manera. Las célebres escuelas de Avila, de la Monarquía, que ha sido confiada al mariscal de campo D. Gabriel de Tor Ocaña, del Puerto de Santa María, poco duraderas por desgracia; las academias res por renuncia del teniente general D. Pascual Enrile. Por acuerdo del Con militares de Oran, Ceuta, Barcelona, Cádiz y Zamora; los viages á Prusia, Ru sejo de ministros, y en consideración á la lejanía de aquellos vastos pai…</t>
  </si>
  <si>
    <t>Ocaña, José Sánchez</t>
  </si>
  <si>
    <t>José Sánchez Ocaña</t>
  </si>
  <si>
    <t>…D. Manuel Cristantes: para la de gefe NOTICIAS EXTRA NO ERAS. C mesa dé la misma á D. Félix D’Olhaberriague y Blanco: para la de gefe de 1a cuarta sección á D. Francisco Bartolomé y Coloino: para las-degefes de mesa dé la misma a D. José Sánchez Ocaña y ' {Continuación del correo anterior.) al marques de Villagarcía: para la de gefe de la quima sección á Don Leoncio Macragh: para gefes de mesa de la misma á D. Juan ALEMANIA. ■Fernandez del Pino y D. Claudio Fernandez: para la de gefe de la Gran datada de Hase-Darmstadt 27 de Jinda. sexta sección á…</t>
  </si>
  <si>
    <t>Ocboa</t>
  </si>
  <si>
    <t>…timiento El Sr. Alcalá Galiano dijo que riendo su único objeto vindicar al Esta desde el principio. mento de toda sombra de inculpación, estaba satisfecho. El Sr. Presidente dijo que fundado* en lo que había sucedido con la co El Sr. Ocboa expuso que la comisión mista, respecto del Voto de Santia misión mista sobre el Voto de Santiago, todos habían creído acertado seguir go, habia extendido las rezones de su parecer en el acta, lo que advertía para el mismo camino que aquella, esto es, presentar las actas de la comisión como que no s…</t>
  </si>
  <si>
    <t>…, lo hemos notado de un modo muy sensible al volver á pisar su ter nio con su augusta Hija. ritorio. be advierte ufi deseo de prosperar en esta Nación con mas ahinco que «Será mas ó menos exacta la cita ó recuerdo que ha hecho el Sr. Ocboa; antes: se han hecho progresos inmensos en varios ramos; hay mas comunica pero siempre resulta que las Córtes del año de 182u asignaron una cierta suma ciones; en 6n , ha entrado en el ánimo de los españoles una idea que nos ha para la Reiva, en el caso de que enviudase: por consiguiente se ve que…</t>
  </si>
  <si>
    <t>Ocfioa</t>
  </si>
  <si>
    <t>…ultad de desechar iw* petición Esté beneficio se podrá presentar muy en breve i la nación. Tal es. son, los mo .firmada por 20 ó 30 Procuradores.** — tivos que la comisión ha tenido presentes para hacer esta indicación al Esta El Sr. Ocfioa: «La comisión de lo Interior, quo ha sido la primera en mento.” , examinar la petición , se atuvo estrictamente ’á las palabras del artículo 131 Puesto i votación el dictimen de la comisión, quedó aprobado. que dicen si convendrá ó no dar cuenta en público de las peticiones. No que La comisión de P…</t>
  </si>
  <si>
    <t>Ocha, Eugenio</t>
  </si>
  <si>
    <t>Eugenio Ocha</t>
  </si>
  <si>
    <t>…cademia la su cer mérito del servicio arrojado que hicieron distribuyendo mis órdenes el gefe blimidad y belleza de los pensamientos que les inspiren, como en las páginas de la plana mayor, teniente coronel comandante de batallón D. Eugenio Ocha de nuestra historia el grandioso suceso á cuya celebridad se consagren. varla, y sus adicto» el bizarro teniente de caballería de ftanqueadores de Navar El autor del proyecto que merezca la preferencia será premiado con una ra D. Ramón Corres, y eV de igual clase de infantería D. Antonio Madrona, meda…</t>
  </si>
  <si>
    <t>Ochaa</t>
  </si>
  <si>
    <t>…iente sobre deuda extrangera y em gado de la anterioridad á la posteridad; de que hay la misma identidad de per préstito solicitado por el Gobierno.” sonas. Sí señores; pero pregunto yo ahora: :1a Nación ha sido, ni es, ni pue El Sr. Ochaa : •« Seguramente llama la atención el ver que los Sres. Pro de ser la heredera de la junta de Urgel; ¿Por dónde se me ha de trasmitir á curadores en 4a primera ocasión que se ha presentado de tratar de sus intere riú esa herencia de facciosos: Esto me ha heejio venir á parar en que la Na ses no se…</t>
  </si>
  <si>
    <t>Ocho</t>
  </si>
  <si>
    <t>…esto se debe probar legalmente, Varó de Navia Osorió, qué lo eraporía de Oyjcdoyáquieo el. Estamento ya y para ello es necesaria la fe de bautismo.” habla admitido con condicionds presentarlos ;’y de que én su vista , y hallán El Sr. Ocho» preguntó en qué año decía el documento que se habia ad dolos arreglados á la ley, opinaba que debiao aprobarse.,Asise verificó. mitido al Sr. Cálderon en el colegio de la Coruña. Igualmente dió cuenta la referida conaisrondehibef reconocido los po Un individuo de la comisión dijo que en 28 de Marz…</t>
  </si>
  <si>
    <t>…ente,notando había ruido en la galería del público, impuso principios, y en su lectura no se echa menos lo que hay en cualquiera otra obra silencio. ■ . de política extrangera, respecto de los derechos dé los hombres. Esto qu¡cre Sr. Ocho* : «Hoy dta lodos en España quieren libertad imprenta -• ha*» decir que en España no hay tal atraso de luces, y que en sus obras se ye que ta esas mismas hordas de bandidos que pelean contra la masa general la quie los españoles sabían tanto como los-extrangeros; pero el despotismo que rió es ren;…</t>
  </si>
  <si>
    <t>Ochóa</t>
  </si>
  <si>
    <t>…ogado. Se sabe que tal dispensa era muy fácil de conseguirse:, y de aquí la . dió sobre la materia prescribía que cada uno se recibiera cuando concluyese.” necesidad de que dicho Sr. presenté lá fe-de bautismosTengo datos para El Sr. Ochóa : «En tiempo de Calomarde se dió un decreto para que no creer que este individuo no tiene los 30 años: podrán ser aquellos exactos ó se pudiese actuar hasta cumplirse los 25 años; no tengo aquí el decreto, pero inexactos; pero mi obligación es hacerlo presante para qác*en un todosc cum se lo pod.-é…</t>
  </si>
  <si>
    <t>Ochoa</t>
  </si>
  <si>
    <t>…gundo ca&gt;o parece que esta donación ahora, se la hubiera hecho lo mismo un mes ó dos antes. Mi ai Sr. Procurador elegido no puede tomar asiento, mas sí en el primero. Opinión es por tanto que debe ser admitido en ei E lamento. El*Sr. Ochoa: Yo alabo la determinación de U comisión; pero me pare- Se pregunto sí estaba el punto suficientemente discutido, y después de de ae que no es una grande cuestión el decidir si el Sr. de Palarea debe tomar clararse que sí, quedaron apn¡bjdos los podeics dei Sr. Palarea asiento en el Estamento. El E…</t>
  </si>
  <si>
    <t>…neralmente y no de personas. todo el ensanche de libertad que disfrutan otras naciones. Me parece pues que en este caso el Sr. Presidente debe decidir. Una. de.estas dos cosas es cierta: á no ser que se suponga que el despotis El Sr. Ochoa : El reglamento dice que para votar una ley se necesita la mo, la ignorancia y la inquisición producen ilustración y moralidad, y allanan mitad mas uno: aquí no la hay; luego debe entenderse desechado el articulo. el camino á las reformas. Me limito,* pues, por no molestar ñus la atención El Sr. Pr…</t>
  </si>
  <si>
    <t>…e se cree. Luego no puede decirse que hay atraso en la nación : lo Se leyó el artículo 2.° que está pendiente, y se concedió la palabra en hai si acaso en el bajo pueblo; pero este es igual en todas partes; en todas par contra ai Sr. Ochoa por haber sido el último que habló ayer en pro el Señor tes no hace mas que trabajar mucho para conseguir poco, y en todas partes Palarea. hace lo que quieren que haga. Si le conducen bien, Va bien; malisimamcnte, El Sr, Ochoa i «Una feliz casualidad ha hecho que el público de Madrid, sí Je conduce…</t>
  </si>
  <si>
    <t>…o ó regla, y después la excepción. &gt;. sr. Domecq: «Testigo hace largo tiempo «de lü» virtudes, qratwotismp y » i «.Los peticionarlos, tan patriotas como leales, han ocurrido i todo ; han sentimientos liberales, aun exaltados, del Sr. Ochoa, n&amp;da de cuánto diga yó conocido su misión perfecfamen'te. Saben que hay ocasiones en que todo pare creo podrá ofenderle, lo mismo que á los demas señores que han manifestado ce anarquía, ocasiones en que todo parece despotismo, y han huido de los ex iguales ideas contra el artículo que se discute.…</t>
  </si>
  <si>
    <t>…e el fcstamem- &lt; vea si pL.: Je . í. p_— El Vf-r^¿a.-t,*ony.||fy qmsn deshacer una equivocaron man fecundo que lrti.sC esta ind i.« &lt; iv (be íe^ eron.) pira apoyar su expresión de que la ley sea impar.tai lema que entrar cu el El Sr. Ochoa '■&gt; La inéica-. n que acaba de leerse necesita igual d -ufondo de la d'scus on. si.nn que !a que fia v*.fr do la pirt: de! •trticub» que acabam--» de é&amp;r.tyt f*«*a F.l Sr. Presidente le matvfe^ó que el regimentó no autorizaba mis que se hs imprekO , se'ha repai tid &gt; e* tre ! •* bres Pr&gt; cund«jfes Cada un…</t>
  </si>
  <si>
    <t>Ochoá</t>
  </si>
  <si>
    <t>…cer oír la opinión de las minorías para la completa ilustración de los asun época de la revolución. tos: que lejos de coartar la proposición las facultades de los individuos, las am Rebatió algunas de las razones expuestas por el Sr. Ochoá , y concluyó pliaba por cuanto solo se quena que hasta después de hablar tres señores en pro manifestando la utilidad de la proposición. y tres en contra , no pudiese declararse discutido un asunto: que no era con El Sr. López del Baño dijo que habia proposiciones muy importantes, trariar el reglam…</t>
  </si>
  <si>
    <t>…este caso les llama sin cruel.-Pór lo tanto, pues’, me conformo con la comisión.” perjuicio de los derechos preferentes de los trasversales legítimos.” El Sr. Calderón Collantes-. « Este artículo fue uno de los que detuvieron El Sr. Ochoa deshizo una equivocación que dijo haberse padecido en la mas á la comisión en sus trabajos, y que djó lugar á discusiones ritas empeña discusión. das. La asistencia del "Sr. Secretario de Gracia y Justicia á una de sus sesiones, El Sr. marques de Torremejfa: »&gt;Me parece que tratándose, como se tra…</t>
  </si>
  <si>
    <t>…s, porque verdaderamente el sen lugar las acciones infundadas que promoviere.” tado no sucede, sino que recibe lo que le dan, y le pertenece por la ley. A petición del Sr. Calderón Collantes se acordó votar el artículo por par El Sr. Ochoa: «Sin embargo de lo que acaba de indicar el señor preopi tes , como se verificó en esta forma: nante , á mí me parece exacta la expresión de sucesión intestada á favor del La » El Estado puede reclamar como suyos de cualquiera particular ó cor Estado, de que usa este artículo, pues quiere decir que…</t>
  </si>
  <si>
    <t>…so solo responderá de la cantidad líquida que hubiese de la esperanza de recobrar una cosa que le pertenece.” ingresado en sus arcas.” El Sr. Torres Solanot: «Por laudable que sea el celo del Sr. Diez Gon Leído este artículo , el Sr. Ochoa hizo algunas observaciones para demos zález en querer aplicar á las sociedades económicas los bienes mostrencos, á trar que debería suprimirse el último período de él; y habiéndose declarado el pesarle artes yo adicto como individuo de una de ellas, no creo que en ma asunto suficientemente discutid…</t>
  </si>
  <si>
    <t>…eyó una exposición de D. Juan Ramírez, abogado de los Realea sidad de embargo de bienes. Lo dicho me parece que es bastante para desvane Consejos, sobre la elección de D. Prudencio Echevarría y Ogaban para Procu cer las dudas del Sr. Ochoa.” rador por Santiago de Cuba; la que después de haber preguntado el Sr. Medra- El Sr. conde de las Navas: »Nada hay mas natural que el que presente no si era oficial ó particular, se mandó pasar á la comisión de Poderes para su sus poderes y demas documentos, venza los obstáculos que se le puedan op…</t>
  </si>
  <si>
    <t>…todo lo cual yo creo que estamos en el caso de aprobar la dores del Reino, que acogiendo esta justa petición se sirva mandar que con la petición,” brevedad posible se presente á las Córtes un proyecto de ley para que se extin El Sr. Ochoa : lo dicho por los Sres. preopinantes , solo añadiré una gan las hermandades Reales, santa y vieja de Ciúdad-Real, Talavera y Tole expresión que hace algún tiempo dijo un español á un extrangero; do, y sus tribunales especiales, suprimiéndose el derecho de asadura mayor y Tres santas Y un honrado,…</t>
  </si>
  <si>
    <t>…ayor, y la representación de los electores á propuesta del Señor para la Milicia urbana. Oupongo que se habrán extraviado muchos , v que no Butrón. está en la posibilidad del Gobierno y autoridades el recogerlos todos; pero de El Sr. Ochoa pidió que quedase sobre la mesa este expediente por pare— 2 3UU&amp; hay una diferencia enorme. Sv citan inutilizados ¿por qué no se cerlc algo complicado, y asi lo resolvió el Estamento. han compuesto? No hace muchos d-as que esfibin en la prnvin.¡a de Madrid Los Sres. conde de las Navas, Butrón, Cald…</t>
  </si>
  <si>
    <t>…ar, sino como Secretario del Despacho y parte del Gobierno de no no puede autorizar que se introduzca un sistema nuevo, y sí solo permitir S. M.” que se sigan los trámites debidos. Acúsesele, si se quiere , por su sistema acer El Sr. Ochoa: "Creo que estamos gastando el tiempo en discusiones inú tado ó desacertado, y en cuanto á mí declaro que tendria en ello satisfacción, tiles. El Estatuto es una ley emanada del trono; la Nación no nos ha ccmporque se vería mi conducta Pero todo lo que no sea acusarle, hacer peti tituído.sino la Re…</t>
  </si>
  <si>
    <t>…parecer que desde luego se desaprueben los poderes de di lla encausado , y de que la causa no se ha concluido todavía. Si el Sr. Ogaban cho Señor.” hubiese sido absuelto de dicha causa, que está en el tribunal supremo de Espa El Sr. Ochoa: *» Yo no soy defensor del Sr. de Ogaban : soy defensor de ña é Indias, hubiera podido sacar en el momento mismo la certificación com la justicia, de las elecciones de Procuradores á Cortes, de que se cumpla el Es petente: no lo ha hecho, y sus contrarios la han sacado. En ella dice el escri tatuto…</t>
  </si>
  <si>
    <t>…acón yes; antes bien, si yo fuera legislador, jjmas daría razón de ellas: los preám que era muy cierto, pues nadie era dueño de la renta de dicho señor. bulos y las razones que las acompañan generalmente no sirven mas que para El Sr. Ochoa: «El Sr. Romero Alpuente presentó sus poderes en una de dar de comer á los abogados: yo lo soy , y me han dado de lomcr, y añadiré las juntas preparatorias; se han vuelto á presentar, y lo siento por cuanto que el razonar las leyes solo sirve para embrollar los pie tos, para hacer du veo que $e tra…</t>
  </si>
  <si>
    <t>…vo nato mggurro con Gue nando vu después de repuesto en el pleno ejercicio de su autoridad. bhard , se propuso el 16 de Jul.o de 1823, y le aprobó la regencia de Madrid el «Sirva de contestación £ S. S. la que antes había dado el Sr. Ochoa; pues 22 de Setiembre siguiente. Aquel empezó, á hacer entreras y las continuó has a inque en la votación se separase de los principios que había anunciado, esta ta Setiembre del año 2 5. Y ¿ qué cantidades entregó} 7‘_&gt;.5 5 1,886 rs. ¿ y luego circunstancia no altera su exactitud, á saber: que tod…</t>
  </si>
  <si>
    <t>…pues, por qué se ha de tener mos atascados al realizar las cantidades que el Estamento tuviera á bien conce tu indisposición por de naturaleza perpetua.” der al Gobierno , por lo mismo indiqué que variadas las circunstancias y El Sr. Ochoa dijo: que no siendo de las crónicas la enfermedad del Se alterado el artículo l.°,$e desechase en parte el 2.°, para que pasando á la co ñor marques, y que viniendo este en la corte , no se le seguiría una grande in misión lo redactara de modo que no comprometiendo la diversidad de opinio comodidad…</t>
  </si>
  <si>
    <t>…de favorecer tí rano.=Saturnino Calderón y Collantes.=Francisco de Villalar^José de Vila la perjudica. He dicho esto porque como Procurador de Murcia era mi obli ñals.=Manuel de Pedro.” gación hacérselo presente al Gobierno.” El Sr. Ochoa: «Pocas peticiones me parece que se presentarán en el Es El Sr. Presidente: «Antes de proceder á la votación de la petición que tamento que tengan una justicia mas conocida y menos inconvenientes en su se discute, halé presente que acabo de recibir una exposición del ayuntamiento admisión, pues en…</t>
  </si>
  <si>
    <t>…as honor El Sr. Ferrer: «Yo me alegro de que naya "ocurrido este incidente para y servir mejor á su patria comandante de la Milicia urbana de Higueras.” hablar sobre la materia; pues w verdad que el Estamento puede verse priva El Sr. Ochoa dijo que abundaba en las mismas ideas del Sr. Ferrer , res do de algtfnos buenos Procuradores por excusas especiosas, hay también incon pecto á la importancia del cargo de Procurador; pero que no podía me .ios de veniente en que vengan 4 serlo otros sin una entera libertad. L&gt;e consiguiente aprobar…</t>
  </si>
  <si>
    <t>Ochoh</t>
  </si>
  <si>
    <t>…s de Código penal, y la nombrada para examinar el proyecto de cho del mismo ramo sobre deuda extrangera. ley relativo á excluir de la sucesión al Trono i D. Cirios; habiendo recaído para la primera el nombramiento de decano en el Sr. Ochoh, y el de secreta Dictamen presentado al Estamento de Procuradores, del reino por rio en el Sr. Bendicho; y para la segunda el de decano en el Sr. Cano Manuel la comisión de Hacienda en lí de Setiembre de 1834.(padre) , y el de secretario en el Sr. marques de la Gándara. La comisión de Poderes dtp c…</t>
  </si>
  <si>
    <t>Ockoa</t>
  </si>
  <si>
    <t>…e forme un proyecto df ley haciéndolo asi, el Gobierno, lejos de oponirse á ella, la admitirá gustoso.” relstivo i este punto para su exáraen y aprobacioo,” " El Sr. Trueba: "En vista de lo expuesto por el Sr. Secretario de Ha El Sr. Ockoa: "No voy á apoyar la justicia de la petición,, pues en el cienda no tengo inconveniente en retirar mi proposición hasta que se, presen- , mero hecho de no haber natiie pedido la palabra en contra , es una pruyba de ten Jos presupuestos.” 1 que todos están persuadidos de a*r. justísimo la. que se so…</t>
  </si>
  <si>
    <t>Octavio, Francisco</t>
  </si>
  <si>
    <t>Francisco Octavio</t>
  </si>
  <si>
    <t>…que no le haya, y me ocupo ince chez Osorio, que es uno de los pocos regidores que han continuado en aquella santemente en facilitar los medios necesarios para la obra de uno nuevo en esta capital, y que por enfermedad del vocal D. Francisco Octavio ha asistido á las -capital que reúnan las circunstancias que aconsejan los progresos hechos en este sesiones de la junta municipal, ha contribuido i la formación dé hospitales, y -raras»En varios pueblos se están ejecutando obras publicas para mejorar sus fuen- ha prestado servicios de la mayor con…</t>
  </si>
  <si>
    <t>Octubre, Diego de Al En</t>
  </si>
  <si>
    <t>Diego de Al En Octubre</t>
  </si>
  <si>
    <t>…, eti que se le admitieron sus repetida renuncias en ------Descripción , uso y ventajas de la Sesma hidráulica, establecida en Montiiia, térmjnos muy honoríficos. província de Córdoba, para la elaboración del aceite dcoljvas; por D. Diego de Al En Octubre de 1823^, á consecuencia del decreto de 4 de dicho filies, co tear y Ward. Acompaña a dicha descripción una estampa con rses figuras en perspec tiva. de solo contornos, ura que se puedan iluminar. Un cuadernito en Se vende mún 4 todos los qtw habían desempeñado los primeros cargos bajo él régi á 5 rs.…</t>
  </si>
  <si>
    <t>Ocupaban</t>
  </si>
  <si>
    <t>…e. El martes por la tarde sucedió una desgracia espantosa en el camino que Otro de los edificios que mas atraian la atención era la casa de! teniente de conduce i la feria de New-Haven. Un león y una tigre de la casa de fieras de gobernador. Ocupaban su frente tres puertas con arcos de medio punto, y en Wombell se escaparon de sus jaulas en YY'ork.sworth, porque en el momen el del centro se apoyaba la Tama representada con todos sus un bu tos. Al pte to que la caravana iba 4 parar en la fonda del León blanco tropero con ella se ieia esta inscri…</t>
  </si>
  <si>
    <t>Ocupado</t>
  </si>
  <si>
    <t>…Anatolia. El gabinete Otomano no ignora ninguno de Real orden. los sucesos que pasan en Siria, y el profundo silencio que guarda indica que quiere esperar sin hacer nada: esto es quizá un ardid de guerra. La situación d* ’E-tcmn, Sr.: Ocupado incesantemente el Real ánimo de S. M, Ibrahim es tan embarazosa , que como se ha dicho ya ha pedido i su padre re la Retís a Gobernadora del fomento de las obras de puertos que por fuerzos. Mehemed-AIí ha accedido á ello^ trasladándose en persona al teatro su posición geográfica y particulares circ…</t>
  </si>
  <si>
    <t>Oder, Andrés</t>
  </si>
  <si>
    <t>Andrés Oder</t>
  </si>
  <si>
    <t>…oria del poder es- I Consejo y Cámara de Castilla, slé h.» servido nombrar para las dos plazas va pañol, y dd triunfo de sus arma» en el nuevo mundo; v a»i es que los habí-| cante» de alcaldes de Casa y Corre por fallecimiento de D. Andrés Oder y as tantev de Puerto-Rico dieron muestra» de grjnde satisfacción por el esmero r censo, de D. M.itíáiá Herrero Prieto al Consejo Real, á ' D. Gaspar Josef de delicado gusto con que su bencmeuto a&gt;timauyi-rnto d.»puso la jura de la Prin Aguiiar y á D. Juan Modesto de la Mota: para la de oidor, que es…</t>
  </si>
  <si>
    <t>Odescalchi</t>
  </si>
  <si>
    <t>…, y que casi pocha creerse que en ios prodatario, ocupado por el cardenal Pacca; de camerlingo, por el cardenal otros siete sucedía lo mismo. / Galefii; de gran penitenciario, por el cardenal de Gregorio; de vicecanciller, por el cardenal Odescalchi; de prosecretario de memoriales &gt; por el cardenal PROVINCIA DH \ ALBNC!A. Giustmiani; de secretario de Estado de lo Interior, por el cardenal Gamberini; de secretario de Breves y de bibliotecario de la santa iglesia, por el car El día 27 de Noviembre próximo Visado se cantó el Te Deum en la cadenal…</t>
  </si>
  <si>
    <t>…vincias Vascongadas traslada un partecongregaciones; entre ellos se halla el cardenal Pedicini, que ha sido nombra del comandante militar de Maestú de fecha del dia 9, en que manifiesta quedo vicecanciller de la santa iglesia; el cardenal Odescalchi, vicario de S. S.; el sabedor de que el batallón faccioso alavés, mandado por Villareal, se había escardenal Justiniani, prefecto deja congregación del índice; el cardenal Fran- tablecido en Alecha (pueblo cercano, y ¿ poco mas del tiro decanos desoni, prefecto de propaganda Jide, y el cardenal Lam…</t>
  </si>
  <si>
    <t>Odiantes, Calderón</t>
  </si>
  <si>
    <t>Calderón Odiantes</t>
  </si>
  <si>
    <t>SUPLEMENTO DEL VIERNES 5 DE DICIEMBRE DE 1834 CORTES. El Sr. Calderón Odiantes dijo que no se oponía á que se observase este artículo, sino que reclamaba que no se leyese el voto particular de que se tra BITAMBKTO DB SB$OftBS PROCDIADORES, taba , porque su autor no lo había manifestado á su tiempo. El Sr» Préndente: «Podrá suceder que habiendo estado el Sr. Sampons Serían del…</t>
  </si>
  <si>
    <t>Odilon</t>
  </si>
  <si>
    <t>…e al intento propondrá, y que en nada saldrán de la le «ca ni de rentas: sensible es que no tenga mas .¿apiadad, Lo que debilita mngislación común. «cho la autoridad moral que se ostenta en la discusión, es la multiplicidad de £1 Sr. Odilon 3arrot manifiesta que en la minuta halla exactamente reco «sistemas: mucho mejor &amp;eria tener uno solo.” pilada su fe política, pero que á pesar de la satisfacción que le causa la unión Tratando de la situación en que se halla el pueblo, dice que el mejor modo .que-según infiere de lo que ha oido en…</t>
  </si>
  <si>
    <t>Odilon-Barrot</t>
  </si>
  <si>
    <t>…a, absteniéndose de violentar la Describir otros pormenores sería copiar el ritual antiguo, qne con peque- I independencia del gobierno español/' — fias diferencias es el mismo en todas la* ciudades de voto en Cortes; pero-lpl El Sr. Odilon-Barrot, conviniendo con el ministro en que nada tiene que que no se puede describir, y honra verdaderamente i Mallorca, 9 el entusó»* I temer la nación francesa, aunque esta seguridad la debe á su fuerza y á su li fno de que no Hay ejemplo en los anales de su historia tofl que ha celebrado I bertad; compa…</t>
  </si>
  <si>
    <t>Odílon-Barrot</t>
  </si>
  <si>
    <t>…ue la proposición tiene mucha trascendencia, y por lo mismo la procedido, y la libertad de que todos han gozado. Dice que el gobierno sabia desecha. de,antemano que los carlistas y los republicanos se unirían, pero que está se El Sr. Odílon-Barrot sostiene y esfuerza la propuesta del Sr. Salverte, afia^ guró de aniquilarlos auxiliado por la justicia, la verdad y las leyes: confie diendo á las reflexiones que aquel na hecho, que el jurado as el primero de sa que el ministerio ha cometido algunos yerros, como sucede en todo gobier todos los po…</t>
  </si>
  <si>
    <t>Odoile, Manuel</t>
  </si>
  <si>
    <t>Manuel Odoile</t>
  </si>
  <si>
    <t>…, á 40 rs. arroba: vino, dé'lÓ á Í2 id.ciándolo aquí la división de caballería con su general el Si\ barón de Carondelet: Málaga: . Trigo, de 40 á 53 rs. fanega: cebada , de 25 á 76 id.: maíz del•1 Sr. brigadier coronel de Africa D. Manuel Odoile, con el primer batallón país, á 28 id!: gáíoátizbsí dé“80 á 95 id.: arroz blanco, á 22¿ rs. arroba: id. de su regimiento y las dos baterías de campaña ¿ también Báce tránsito en esta p laza, moreno, de 18 á Í9 id.t aguardiente de 35 grados, 53 pesos la bota: id. prueigualmente que los batallones de…</t>
  </si>
  <si>
    <t>Odoyle</t>
  </si>
  <si>
    <t>…o.de Plencia 9 de Octubre de 1834* Según. Ios-partes dei comandante general de las provincias Vascongadas -ssEjcamo..Sr.=BálnQnjerQ /Espartenj^ésEttctno. Sr. Secretario de Estado y del .del 21, Jos movimientos de ladivision disl .brigadier Odoyle sobre .Vizcaya, Despacho de ia Guerra. , &gt; habian obligado alPretendiente |á retirarse hacia Elorrio, de donde so decia que por Mondrágon sé dirigía á .Oñate. .. Excmo. Sr.:! Ai iExctno. Sr. .Capitán general de las provincias Vasconga- Después de retirarse Zumálacarregui de su instantánea excursión…</t>
  </si>
  <si>
    <t>Oferrall, Vicenta</t>
  </si>
  <si>
    <t>Vicenta Oferrall</t>
  </si>
  <si>
    <t>…ección general de Pósitos ha tqnido á bien S. M. Bilbao, par. Santiago, Id. nombrar a D. Cayetano Federico Fierre para la plaza de tesorero depositario del pósito monte-pío de la, ciudad de Sevilla. - /del joven valencianoANUNCIO.D. Vicenta Oferrall en eu víate k la Sucesos y aventuras ESTADO SANITARIO DEL REINO, Italia: novela:histórica nueva, escrita por O J. M. dc G.. en ti zúa! u dan lecciones de la escuela del gran mundo, y déla comíante alternativa, dr las creas humanas, coa PROVINCIA DE CADIZ. varios ejemplos morales sobremos terribles…</t>
  </si>
  <si>
    <t>OFICIAL, Ce PARTE NO</t>
  </si>
  <si>
    <t>Ce PARTE NO OFICIAL</t>
  </si>
  <si>
    <t>…muchos años la importante vida de V. M. Bilbao 19 de D¡- Idem, (la junta de comercio de) Idiembre de i833.=Sefiora.=A L. R-. P. de V. M.^Francisco Joscf de la Ma* [ta, prior.—Josef^pd^ádol, cpi€»il.==¿&lt;^e.f MSrí^ dq N3¡rzagaray , cónsul.=Ce- PARTE NO OFICIAL. llestino del Baycí,vcxmscf sustitutó»=:VScetité*cíe Ansotegui, cónsul sustitutos ¡Mariano de Olea, secretario. NOTICIAS EXTRANGERAS. AUSTRIA. En semejantes términos han felicitado á S. M. A.bacetc. (el ayuntamiento de) Viena 15 de Diciembre. Alcaudete. (el ayuntamiento y comandante de armas de) La…</t>
  </si>
  <si>
    <t>OFICIAL, PARTE NO</t>
  </si>
  <si>
    <t>PARTE NO OFICIAL</t>
  </si>
  <si>
    <t>…L. ____Doña María de la Gloria ha condecorado con la cruz y banda del orden de R. P. de V. M.—Juan María Caldera, direcxor.=Manuel Toma* Sanó, vo ¿&gt;ta. Isabel á la condesa de S. Vicente, esposa del valiente almirante Napicr. cal secretario. PARTE NO OFICIAL. riANCu. NOTICIAS EXIRANGSRA*. Parts 8 de Enero. ALEMANIA. Lonja de hoy. Cinco por 100 consolidados 10$ fr. 20 c. Fondos españo les, renta de España al 3 por 100 4G* Empréstito Real de idem 82¿. Renta Fronteras de Prusia 28 de Diciembre. perpetua de ídem El bergantín 1*Eclipse , cuyo capitán e» M".…</t>
  </si>
  <si>
    <t>…solemne la confianza y di-tingujda predilección con queaprecia la noble y decidida lealtad del Ejéreito y de la Milicia urbana, que con tanta gloria sostienen y defien den la justa causa de su augusta Hija la Rema nuestra Señora Doña PARTE NO OFICIAL. j¿ABeL11, y no habiéndole "permitido el temporal que reinaba el día de su’entrada en esta corte de regreso del Real Sitio del ‘Pardo, Id NOTICIAS EXTRANGERAS, satisfacción que deseaba de ver reunidas las tropas qbe guarnecen Hgfr- capital y so Milicia urbana, se lia servido resolver que se vería fí…</t>
  </si>
  <si>
    <t>OFICIAL, PARTE Np</t>
  </si>
  <si>
    <t>PARTE Np OFICIAL</t>
  </si>
  <si>
    <t>…n y acendrado amor á la Diego de Reina.=Fcmando Cabezas.=Euenaventura Romero. J legítima descendencia de sus Reyes; el plausible advenimiento al trono de sus mayores , y la cordial proclamación de nuestra angelical Reina y Señora Doña PARTE Np OFICIAL. ii. Isabel Dignaos, ó excelsa Reina , Madre de la sabiduría, de la felicidad y de las NOTICIAS EXTRANGERAS. gracias, admitir benigna los humildes votos que estos sencillos habitantes del Almanzora elevan al Todopoderoso por la prosperidad de su reinado,y porque BELGICA. so queden ilusorias las bril…</t>
  </si>
  <si>
    <t>Oficio</t>
  </si>
  <si>
    <t>…* Para Lauanas....____ 38o igo g5. Para indias.......... too TOO. GACETA DE MADRID. ARTICULO de oficio. ciendosc saher á los reos las que se les impongan; las cuales, previa su conformidad y aprobación en consecuencia del capitán general, Oficio recibido en el ministerio de lo Interior. se llevarán á efecto; y si no se conformasen, se sustanciar in y terExcmo. Sr. : S. SÍ. la Reina nuestra Señora igualmente que minarán dichas causas con arreglo á las laves vigentes por la misma Comisión militar. De Real orden lo digo á V. E, para su inteli…</t>
  </si>
  <si>
    <t>Ogaban</t>
  </si>
  <si>
    <t>…0 dias, cuando el documento que se le exigía era una certifica y luego la causa: si esta, pues, se halla en sumario, no está procesado crimi ción que podía presentar en el momento*, que por lo tanto estimaba que no ha nalmente el Sr. .Ogaban , porque aquel no es mas que ci acto preparatorio. bía necesidad de perder mas tiempo en el asunto, y que la comisión debía dar Cualquiera puede ser acusado, formándosele sumaria , sin que por ello esté pro su dictámen terminantemente. cesado criminalmente. La comisioo, no sabiendo cómo salir de es…</t>
  </si>
  <si>
    <t>Ogaban, D Prudencio Echevarría y</t>
  </si>
  <si>
    <t>D Prudencio Echevarría y Ogaban</t>
  </si>
  <si>
    <t>…l Sr. Echevarría; y 3.° que se dé tiempo á él y £ La misma comisión presentó su dictamen, en que manifestaba haber exa sus acusadores para probar lo que les convenga. Si se la acu«a de parcialidad, minado la última exposición del Sr. D. Prudencio Echevarría y Ogaban, elec no sera en favor del electo. El asunto es de los mas graves, no solo por ser el to Procurador por Santiago de Cuba; y que teniendo en consideración lo que primer Procurador que se ha presentado de los que pertenecen á nuestras islas, en ella exponía, y la resolución tomada por el Estamento en…</t>
  </si>
  <si>
    <t>Ogaban, Prudencio de Echevarría y</t>
  </si>
  <si>
    <t>Prudencio de Echevarría y Ogaban</t>
  </si>
  <si>
    <t>…icho que vuelva el negocio á la comisión, y que esta presente su dictámen. La comisión de Poderes dió cuenta de haber examinado el expediente re Dice el Jr. Serrano que no es cierto lo que yo he expresado antes. Pregunto lativo á D. Prudencio de Echevarría y Ogaban, electo Procurador por San yo ahora: sí estará libre el Sr. Echevarría de una delación ó una acusación: tiago de Cuba, manifestando que en vista de lo que resultaba de él, era de hasta que se le declare procesado no hay caso: de lo contrario estaría en mi dictámen que el Estamento tuviese á bien ac…</t>
  </si>
  <si>
    <t>Ogaban, Prudencio Echevarría y</t>
  </si>
  <si>
    <t>Prudencio Echevarría y Ogaban</t>
  </si>
  <si>
    <t>…e se halla procesado criminalmente? Para esto no hay*nece Se leyó una exposición de D. Juan Ramírez, abogado de los Realea sidad de embargo de bienes. Lo dicho me parece que es bastante para desvane Consejos, sobre la elección de D. Prudencio Echevarría y Ogaban para Procu cer las dudas del Sr. Ochoa.” rador por Santiago de Cuba; la que después de haber preguntado el Sr. Medra- El Sr. conde de las Navas: »Nada hay mas natural que el que presente no si era oficial ó particular, se mandó pasar á la comisión de Poderes para su sus poderes y demas documentos,…</t>
  </si>
  <si>
    <t>…. Echevarría; y 3.° que se dé tiempo á él y £ La misma comisión presentó su dictamen, en que manifestaba haber exa sus acusadores para probar lo que les convenga. Si se la acu«a de parcialidad, minado la última exposición del Sr. D. Prudencio Echevarría y Ogaban, elec no sera en favor del electo. El asunto es de los mas graves, no solo por ser el to Procurador por Santiago de Cuba; y que teniendo en consideración lo que primer Procurador que se ha presentado de los que pertenecen á nuestras islas, en ella exponía, y la resolución tomada por el Estamento en…</t>
  </si>
  <si>
    <t>OH, Dlaj Enfermos Curados Fallecidos</t>
  </si>
  <si>
    <t>Dlaj Enfermos Curados Fallecidos OH</t>
  </si>
  <si>
    <t>…a tropa: descubierta esta por causa de sus.centinelas de caballería, quiso Cuesta huir por la izquierda para arribar fi Parte sanitario df la villa de Mota* nalmente á Portugal; 1 mas en la raya' estaban los Urbanos de Villar del Rey Dlaj. Enfermos. Curados1. Fallecidos* ‘ OH) resguardo del del guarda su las órdenes partida montado 4 alcalde, y una Desde 13 á 16 de Julio. 1302 J19 "ía/^ cuales los sobre sé precipitaron ellos intimándolesmayor Cayetano Ardida, D. la rendición: al nombre augusto de nuestra Reina y Señora, D. Feliciano QiestiNbctandq su .arma la rindió, y…</t>
  </si>
  <si>
    <t>Oí, Gerónimo</t>
  </si>
  <si>
    <t>Gerónimo Oí</t>
  </si>
  <si>
    <t>…las culebras ciudad , haciéndola 4 su costa, y un hermoso paseo cuyos asientos de piedra ha inenenosas de la América, como nos refiere D. Mateo Pedro Orfila , y tenien costeado igualmente. do presente las observaciones hechas por D. Gerónimo Oí lega y Serrano, pro No se sabe de ningún robo cometido en los caminos de la provincia, cuyo fesor de cirugía, acerca dei envenenamiento de la víbora , en donde nuestra raiz espíruu público.es excelente. de aristoloquia redonda (aristoloquia rotunda) , obra como infalible especifico, En seguida habl…</t>
  </si>
  <si>
    <t>Oibigny</t>
  </si>
  <si>
    <t>…observaciona en cisi 1Ü0 tenido intención de unirse con la actual administración. (Couricr.) puntos del Alto Perú, asignan á dichos puntos unas distancias relativas muy poco diferente de las que raultan de los reconocimientos del Sr. Oibigny, la» que de consiguiente vienen á encuadrarse en el lienzo de un mapa del que la» posiciona del Sr. Pentland formarán la base. Parts 1S de Diciembre. Para dar una idea de las rectificacione que deberán hacerse en atos ma pas según ate nuevo trabajo, bastará decir que una gran ciudad La Paz., de La…</t>
  </si>
  <si>
    <t>Oiet</t>
  </si>
  <si>
    <t>…hacer en cila á su debido tiempo «Convengo, pues, en el primer principio de la utilidad econórrrin qne las correcciones de que sea susceptible.” se seguiría al Estado de dar curso á estas propiedades y dejarlas en poder de Us F.l Sr. Oiet úonzalezi «En el fondo estoy de acuerdo con los autores de familias á que correspondan, promoviendo el ínteres individual, que se ”*\de la petición: conozco la conveniencia, la necesidad-de adoptar la medida que en acción cuando la propiedad es completa, y cuando no es.'j nicmv. rinda contiene, y s…</t>
  </si>
  <si>
    <t>Oion</t>
  </si>
  <si>
    <t>…Estado, se publiquen en todos los puntos donde con noticia de haberse separado el conde Azm-in^pcrg &lt;’e la prcsi.it ncia dei consejo venga, insertándolas en el Buiet.n de tas leyes á fin de que se hagan notorias á de gobierno del Rey Oion, atribuye este suceso a la amistad íntima deí conde todo* en general y á cada uno en particular. con el enviado británico, fiin embargo es mas probable por la nurva éra que Nuestro guardasellos, ministro secretario de Estado en el departamento de Gaceta promete á la Orecia, que :a verdadera cau^a d…</t>
  </si>
  <si>
    <t>Oírlos</t>
  </si>
  <si>
    <t>…la comisión sobre 1* mayor de la Rein* nuestra Señora. medida propuesta por el Gobierno , en los términos mas claros y precisos , d* Los Eremos. Sres. marques de Dosaguas y marques de Bellisca exponen la exclusión del Sr. Infame D. Oírlos y de su descendencia de la sucesión at desde Valencia : manifiestan al E'tamento hallarse el primero en peor estado trono de España, vienen á cumplir con aquella promesa solemne de! trono, dé salud en la actualidad que cuando anunció su imposibilidad de presentarse vienen á llenar esta obligación , si b…</t>
  </si>
  <si>
    <t>…de sus vidas la causa legítima de la Reina nuestra Señora Doña is v- bel ii contra las tuerzas reunidas del traidor Zumalacarregui, alen S. M. la Reina nuestra Señora, su augusta Madre la Reina tadas con la presencia del rebelde D. Oírlos, y reparar en lo posible los graves danos que |&gt;or medio del rolio v del incendio causaron Gobernadora y la Serma. Sra. Infanta Doña María Luisa, continúan aquellos en unión con los desleales que los auxiliaron, se ha servilla sin novedad en su importante salud en el Real Sitio del Pardo. S. M. la…</t>
  </si>
  <si>
    <t>…mvs Don* U.\- solicitado su licencia después de ser nombrado individuo de la comisión es bex n , por lo que creía deber estar comprendido en lá clase de Próceres au pecial para el eximen de la exposición relativa i la conducta de D. Oírlos. sentes destinados por el Gobierno en asuntos importantes; y acreedor á que se En este estado acordó el Estamento que este asunto pasase á la com sioti le permitiese prestar su juramento ante la autoridad que se le designase, asi nombrada para proponer su dictámen en los expedientes en que algunos S…</t>
  </si>
  <si>
    <t>Oírlos, Infame D</t>
  </si>
  <si>
    <t>Infame D Oírlos</t>
  </si>
  <si>
    <t>…díctámen de la comisión sobre 1* mayor de la Rein* nuestra Señora. medida propuesta por el Gobierno , en los términos mas claros y precisos , d* Los Eremos. Sres. marques de Dosaguas y marques de Bellisca exponen la exclusión del Sr. Infame D. Oírlos y de su descendencia de la sucesión at desde Valencia : manifiestan al E'tamento hallarse el primero en peor estado trono de España, vienen á cumplir con aquella promesa solemne de! trono, dé salud en la actualidad que cuando anunció su imposibilidad de presentarse vienen á llenar esta obligación , si b…</t>
  </si>
  <si>
    <t>OJmedilla, Fernando Miranda y</t>
  </si>
  <si>
    <t>Fernando Miranda y OJmedilla</t>
  </si>
  <si>
    <t>…n su pretensión en razones especiosas, la comisión es de parecer cia de Huelva, para justificar la renta que posee; los que con igual objeto pre que, si el Estamento lo tiene á bien, queden aprobadas dichas elecciones en la senta D. Fernando Miranda y OJmedilla, Procurador por la provincia de forma que se han hecho y se desestimen las reclamaciones de jos individuos del Lugo. ' citado* ayuntamiento. Asi lo acordó e! Estamento. El Sr« Secretario González manifestó que D. JoséM^ría Sanz, nombrado Entraron á jurar y tomar asiento los Sres. Morales, Montenegr…</t>
  </si>
  <si>
    <t>OL, D José</t>
  </si>
  <si>
    <t>D José OL</t>
  </si>
  <si>
    <t>…rmánica ha lomado conoci ras-la mayor vigilancia , dispuse antes de anoche, que saliendo de esta villa una miento de esta transacción, y se cree que la ha ratificado. Solo quedan algunas pequeña columna de infjntería al mando del comandante D. José OL&gt;oqt:¡, formalidades que llenat, sobrejodo las del tratado que el gabinete del Haya pasase por tierra durante toda la noche sobre el puerto de Ptenc¡a, con el ob debe presentar al Rey y al cuerpo legislativo, fundado en el protocolo fiscal jeto de sorprender y apoderarse de todas las lanchas que aun…</t>
  </si>
  <si>
    <t>OL, José</t>
  </si>
  <si>
    <t>José OL</t>
  </si>
  <si>
    <t>…lomado conoci ras-la mayor vigilancia , dispuse antes de anoche, que saliendo de esta villa una miento de esta transacción, y se cree que la ha ratificado. Solo quedan algunas pequeña columna de infjntería al mando del comandante D. José OL&gt;oqt:¡, formalidades que llenat, sobrejodo las del tratado que el gabinete del Haya pasase por tierra durante toda la noche sobre el puerto de Ptenc¡a, con el ob debe presentar al Rey y al cuerpo legislativo, fundado en el protocolo fiscal jeto de sorprender y apoderarse de todas las lanchas que aun…</t>
  </si>
  <si>
    <t>Olál, Joaquin</t>
  </si>
  <si>
    <t>Joaquin Olál</t>
  </si>
  <si>
    <t>Núm. 19. Martes 11 de Febrero de 183i. GACETA DE MADRID. de los de oidores del Consejo de Navarra Martin Javier D. Por separación ARTICULO DE OFICIO. en Muzquiz nombrar venzo y D. Joaquin Olál , D. Ignacio y Villela Polo, La Reina nuestra Señora Doña Isabel ii, y S.M la Reina Gobernadora, en su luear á D. Pedro García del Valle, audiror de Guerra de Pamplona, á [ siguen $in novedad en su importante salud. D. Josef Aguilera y á D.-Fulgencio Barrera. Tendráse entendido en la Cáma ra para s…</t>
  </si>
  <si>
    <t>Olalla</t>
  </si>
  <si>
    <t>…n cesado del actual desde su cuartel general de Arronches , al comunicar á este ministe los motivos en que se fundaba dicho abono. M. Legrand desvanece los reparos rio el movimiento que verificaba con las tropas de su mando sobre Sra. Olalla que ha hecho el preopioante , y la Cámara aprueba el capítulo 2.° y oíros puntos, dice , que se le habían presentado $0 oficiales miguclislas y al Asimismo aprueba los capítulos 3, 5 y 6 que determinan las sumas «que se gunos soldados , y que el duque de Tcrceira habia entrado en E»trcmoz. han de i…</t>
  </si>
  <si>
    <t>Olavarrieta, Francisco</t>
  </si>
  <si>
    <t>Francisco Olavarrieta</t>
  </si>
  <si>
    <t>…nco alcaldes y dos fiscales, quede re provee de ua modo difiniiivo al reemplazo del difunto conde Filippó. ducida á un regente , siete oidores, cinco alcaldes y dos fiscales. Y (Diario de Smimai) nombro para la plaza de regente á D. Francisco Olavarrieta, que Idem 20. actualmente la desempeña; en clase de oidores , á D. Miguel Castells , á D. Magin Ferrer, á D. Juan Hernández de Alva, á D. Vi Una persona fidedigna escribe desde esta ciudad con la indicada fecha lo cente Ruiz Morqueeho, ¿ D. Joaquín Lorenzo Lázaro, que lo son siguiente : »La peste q…</t>
  </si>
  <si>
    <t>Olave, Buenaventura</t>
  </si>
  <si>
    <t>Buenaventura Olave</t>
  </si>
  <si>
    <t>…propagar el ramo de arbolado nández: para el de Andujar á D. Laureano Rojo de Norzagaray: para el de con arreglo á las órdenes de S. M., se halla con un crecido número de árboles Chinchilla á D. Benito Romero: para el de Verin á D. Buenaventura Olave: sobrantes de sus plantíos y arboledas, los que venderá al público á los precios para'el de Carmona á D. B-cque Naranjo: para la alcaldía mayor del Burgo de que abajo se expresan. Dichos árboles son de las clases siguientes: 524u olmos, Ofema i O. Luis Martínez Laviesca: para el corregimiento de Ec…</t>
  </si>
  <si>
    <t>Olea, José María</t>
  </si>
  <si>
    <t>José María Olea</t>
  </si>
  <si>
    <t>…dar eficazmente á todos por el en particular; pero para conocimiento de V. E. no puedo pasar en silencio al mérito singular que han contraido; y aunque me llena de interés el extraor- 1 sargento de carabineros graduado de alférez D. José María Olea, á los cabos del drnario desprendimiento de los Urbanos de Peralta, que habiéndose conducido mismo cuerpo Manuel Ruiz y Francisco Brun ; y á los de tiradores de Isa con tanta.valentía, y perdido sus bienes, no han querido se haga mención de bel ii Simón Salvador y Francisco Lorente , que tuvieron p…</t>
  </si>
  <si>
    <t>Olgado, Dionisio</t>
  </si>
  <si>
    <t>Dionisio Olgado</t>
  </si>
  <si>
    <t>…ey y Regente, ocupa hoy" el trono por el eapitan de cazadores D. Pedro Juan de Salcedo, el teniente D.Faustino de sus mayores, y como delicia y esperanza de los portugueses les afianza el Solís, y subtenientes D. Manuel,Moscoso y D. Dionisio Olgado continuaron inas próspero reinado, y á la academia Real de Marina y Comercio que ve la persecución por nuestra izquierda hasta el pueblo de Santibañez del Val, nimos á representar promete la misma protección que merecieron á su augusr. de donde regreso batiendo los montes á las doce de la noche.” /…</t>
  </si>
  <si>
    <t>Oli, D Julián</t>
  </si>
  <si>
    <t>D Julián Oli</t>
  </si>
  <si>
    <t>…e la par legítima dinastía en el trono de sus mayores y aseguradas las libertades públi te de Munguia. cas que en tiempos felices disfrutaron nuestros antepasados ^con las mejoras y El 22 desde Guernica dispuse que la brigada del coronel D. Julián Oli reformas que hacen necesaria é indispensable la ilustración y cultura del siglo, vares marchase sobre Ercño á fin de perseguir á la titulada diputación, destruir ¿ú en que vivimos, y que han adoptado las naciones mas adelantadas en la civili la nueva fabrica de pól vora_r&lt;tablecida, y recoger los d…</t>
  </si>
  <si>
    <t>Oli, Julián</t>
  </si>
  <si>
    <t>Julián Oli</t>
  </si>
  <si>
    <t>…legítima dinastía en el trono de sus mayores y aseguradas las libertades públi te de Munguia. cas que en tiempos felices disfrutaron nuestros antepasados ^con las mejoras y El 22 desde Guernica dispuse que la brigada del coronel D. Julián Oli reformas que hacen necesaria é indispensable la ilustración y cultura del siglo, vares marchase sobre Ercño á fin de perseguir á la titulada diputación, destruir ¿ú en que vivimos, y que han adoptado las naciones mas adelantadas en la civili la nueva fabrica de pól vora_r&lt;tablecida, y recoger los d…</t>
  </si>
  <si>
    <t>Oliun, I Juliap</t>
  </si>
  <si>
    <t>I Juliap Oliun</t>
  </si>
  <si>
    <t>…orque.es po dettes del brigadier Bedoya, que se compondrá de tres brigadas: la 1.* i lis ór lítica el porvenir está siempre de parte de la Justicia y de la rabón, que tienen denes del brigadier D. Fermín Iriarte* la 2.a á las dét coronel I&gt;. Juliap Oliun lugar distinguido en el tratado de 22 de Abril. Pira demostrarlo no tene vares Manzanedery -la- 3.a, que servirá de reservará las detcoroncl D..Manuel mos necesidad de mas,, que de citar las estipulaciones, del tratado T que asegu Hinojosa da SjIcedo: dichas brigadas constad de una fuerza proporcio…</t>
  </si>
  <si>
    <t>Oliva, Francisco</t>
  </si>
  <si>
    <t>Francisco Oliva</t>
  </si>
  <si>
    <t>…barrola con su titulado batallón , que unido con alguno* de el P. capellán de dicho batallón D. Francisco Vidal , y el profesor medico- bopclana y otras partidas que componían un total de ÓUU á ”00 hombres , ha cirujano del mismo D. Francisco Oliva, que desempeñaron sus deberes en lo bían llegado al pueblo de Ungoiti , donde pensaban pernoctar según las dispo mas vivo del fuego : los individuos de tropa que se distinguieron mas notable siciones que habían tomado. No quise desperdiciar la oportunidad de darles un mente en la defensa de la ermi…</t>
  </si>
  <si>
    <t>…mo. Sr. Secretario de Estado y tura Esteban, soldado. Antonio Diego, ídem. Vicente Puig, idem. Sebastian del Despacho de lo Interior. Oliva, ídem. José Fuster, ídem. Antonio Miel, idein. Miguel Vázquez, idem. Juan Llambíes, idem. D. Francisco Oliva, físico. Provincial de Avila. =:D. Timoteo González Viejo, teniente coronel ESTADO SANITARIO DEL REINO.del cuerpo. Agustín Fernandez, cabo segundo. Melchor Oarrido, corneta. Pa blo González, soldado. Manuel Martin, ídem. Eusebio García, ídem. Fran PROVINCIA DE CÓRDOBA. cisco Iglesias, idem- Manuel…</t>
  </si>
  <si>
    <t>Oliva, Manuel</t>
  </si>
  <si>
    <t>Manuel Oliva</t>
  </si>
  <si>
    <t>…librería de Ra zóla, y en Barcelona en la de iDdar. contribuido el Excmo. Sr. duque de Alba con 200 carros de pie -----Terceto de baj s, arreglado para plano forte en la ópera Chiara di dra, y los Sres. vizconde de Garcigrande y D. Manuel Oliva con Roremberg á 12 rs.—Coro del primer acto en dicha ópera 4 8 —Obstina donativos en dinero. de salida del tiple en dicha ópera á 6 y para canto á 8.—Dúo de bajos, titulado el de las pistolas á 12.—Duetto de tiple y baja en Id. i 8.—Tan Los servicios que han prestado tanto la expresada junta como d…</t>
  </si>
  <si>
    <t>Olivan, Alejandro</t>
  </si>
  <si>
    <t>Alejandro Olivan</t>
  </si>
  <si>
    <t>…arela, al duquf de |Gor, á Don minante, y que en Es tremerá no babia ocurrido novedad desde el último parte. José Escario y á D. Pablo Montesinos miembros-de la comisión creada para el plan de instrucción primaria del Reino , y á D. Alejandro Olivan, PROVINCIA DE PÁLENCIA. secretario de la misma. (AJúm. 206.) . .. Circular dirigida á los capitanes generales de provincia y á los inspectores de Desde 28 de Setiembre último á 1.® del actual había disminuido notable todas armas. 207.) mente la intensidad del mal que aflige ¿ la capital de dicha pr…</t>
  </si>
  <si>
    <t>Olivare, José González</t>
  </si>
  <si>
    <t>José González Olivare</t>
  </si>
  <si>
    <t>…fonio Turbica, en Calatayud: desde 15 de Junio á igual • Lugares sospechosos. ^^^^^^^^^^IMsposinone^aniTariasó^ día de Setiembre. ^ Segura. D. . . . vacante: desde 24 de Junio á 5 de Setiembre. 24 días para las personas, Tiernas. D. José González Olivare»: desde l.® de.Julioá 30 de Setiembre. y 32 para los géneros Panticosa. D. José Herrera y Ruiz: desde 1.® de Julio i principio» de que puedan inficionarse. Setiembre. Solo en Palertno y Me ASTURIAS. rina. Í - Caldas de Oviedo. D. Cayetano Blanco Casariego, en Oviedo desde 1S de in resto ae los puer…</t>
  </si>
  <si>
    <t>Olivares</t>
  </si>
  <si>
    <t>…hasta ti 28 j t.ehgo Tundados motivos para creer sera seguido de njuphps otjos. De,todas de Mayo-.. mañeras doy órdqn al corópel Carrera parVque lo», persiga síi\ descanso con su Existencia del dia. brigada.; lo mismo prevengo al coronel Olivares cón la columna que manda, Dizs, . j anterior. Invadidos. Curados. Fallecidos. obrando yo del iW»tno , ipodo, cuidando ^e'manifestar é V. É. los ulteriores Gravee* Levte* qiie tésultáfjps creo'ventajosos , por lo expuesto. 24 4 ' *»' a» «a , H ,«%i? de buen conducto saber'por Áeitio gué¿l Sr. genera…</t>
  </si>
  <si>
    <t>…............... .... Burgos.Manso. = Excmo. Sr. Secretario de Estado y del Despacho de la Guerra. 20,107......... .... 500......................... .... Valencia. 1,529......... .... 500......................... , .... Madrid. El coronel Olivares, que manda la columna de las Merindades, dice con 7,974......... .... 500.........................,........ Idem.fecha de 12 del presente que la justicia de Mercadillo en el valle de Mena avi sa que ha sido batida la pequeña facción de Negueruela , compañero de Arro yo , por una partida de carabine…</t>
  </si>
  <si>
    <t>…ras de banta cuen en rni coiuima con ei A-]eto de entrar , Patr»c:o Jimcno de tr¡. m m, Cruz de Buscarqui , desde donde se fueron sobre Morgis.’* \ Situmityi AJaivo v Angel ''.erra de tamhv,e&gt; , h.-:n hecho acreedores r, r* »&gt; Kl coronel Olivares desde el 3ü de Mayo ha operado ei^las Encartaciones p -q;.e en. l.i ,ic. h.»r&gt; coni r: bu i dn a it peiNe^iv de lo, faccio&gt;os . v * u— recogiendo los dispersos con tanta actividad y buen, éxito, que en lo3 pueblos dad con sus avisos i c^ner un pn vi enero , v p.r e. o le supáico a V. f. e, y valles…</t>
  </si>
  <si>
    <t>…l de la provincia de Córdoba participa con fecha 22 del tar el encuentro de sus valientes enemigos. propio mes que en aquella capital y pueblos de su provincia se disfrutaba de «Acompaño una copia del oficio que me ha dirigido el coronel Olivares, cabal salud, excepto en la aldea de Alhcndin, cuyo estado sanitario es el si trascribiendo el parte que le da el teniente coronel capitán del provincial de guiente : Segovia D. Gregorio Sarabia, por el que podrá V. E. enterar con satisfacción EttaJo sanitario de la población de Alhcndin desde el 1…</t>
  </si>
  <si>
    <t>Olivares, D Julián</t>
  </si>
  <si>
    <t>D Julián Olivares</t>
  </si>
  <si>
    <t>…á quienes han logrado seducir y envolver tneo, tegua dije á V. E. por mi comunicación de ayer', dispuse marchar en tres en su crimen ese puñado de pérfidos que se titulan sus gefes, y que rebelado» columnas: la 1.*, al mando del coronel D. Julián Olivares, con el batallón contra la autoridad legítima y suprema de S. M. la Ruina nuestra Señora de Gerona y cazadores de Isabel 11 sobre aquel punto para introducir en el ví asolan el malhadado suelo que los ha visto nacer y que los ha honrado y man veres, y que pasase, concluida la operación,_íl pernocta…</t>
  </si>
  <si>
    <t>…pectivos escopeteros se presentasen en las alturas del monte Capitanía general de Castilla la Vieja.2:Excorio. Sr.: Al cerrar los pliegos de Camarasa para batir este y demas puntos indicados por sospechosos. En efec llega uno del coronel D. Julián Olivares, comandante de la cplumna de \z% to á las cinco de la manaba nos encontramos con las justicias de Cuvíllas de Merindades, fecha de hoy , en que dice que con la de ayer le avisa el brigadier Cerrato con 20 hombres, la de Valoría de Cerrato con 12 , !a de S. Martin Iriarte desde Arciniega entre otras…</t>
  </si>
  <si>
    <t>…e! enemigó ha sido considerable en muertos y heridos; la 10 .... 11,421 al 11,430 nuestra solo asciende á 6 muertos, 66 heridos y 28 contusos; cabiéndome el 10 .... 13,391 al I34OO sentimiento de anunciarle la pérdida del bizarro coronel D. Julián Olivares, 10 ..., 15431 al 15440 cuy* muerte ha sido llorada por todos los valientes de esta división, cuya des gracia! acaeció en el momento de forzar una de las últimas posiciones del ene— 100 migo. »Es excusado recomendar á V. E. el valor de estas tropas; baste decirle que en este dia han llevado al cabo…</t>
  </si>
  <si>
    <t>…uilo aquel valle , y sumiso á la legítima autoridad de S. M. URjuna. - «Lo mismo sé ha verificado en Trucios, Arcentales, Zalla, Guiñez,Gal- Estado sanitario de la villa de Olvera desde el 3 al í de Junio* dames y Sopuerta por el coronel D. Julián Olivares, á quien se han presentado un oficial, un tambor con caja y 36 hombres. La actividad de este gefe y la del Dias. Existenciadia interior.del Invadidos. Curados. Tallecidos. capitán D. Juan Vázquez, han recogido del enemigo en los puntos indicados 196 fusiles. «La brigada del coronel Carrera recogió…</t>
  </si>
  <si>
    <t>…oronel D. Frincísco Linage, apoyándolo con dos ba tallones del Principe, que asi que llegaron hice siguiesen auxiliando ^1 movi ^ El dia 15 del actual continuaba en buen estado la salud pública de U miento de Linage, al mando del coronel D. Julián Olivares. capital de.esta provincia, asi como la de Tórtosa, Reus y demas.pueblos de la misma,.pues los pocos enfermos que existía^ en Aldanar y Ulldecona se «Mas aunque se hizo toda diligencia*, eL enemigo, que llevaba mucha de iban restableciendo, siendo raro el caso nuevo que ocurría. ' -lantera, se apode…</t>
  </si>
  <si>
    <t>…o tos continuos la infantería de Merino, se había- reducido esta á la tercera monte. Entre tanto dispuse que el segundo batallón de Gerona, al mando del parte, y se hallaba en gran apuro por falta efe subsistencias, habieñdtnor-— coronel D. Julián Olivares, marchase á apoyar los movimientos del Princi prendido su ayudante de campo D. Santiago Valderrama 10 cargas de víveres pe, y que el segundó-de Almansa ocupase unas alturas importantes á la dere y á los facciosos que los conducían. El brigadier Peón, encargado del mando cha de Plencia, quedando el…</t>
  </si>
  <si>
    <t>…para qué perciban lo que se les haya asignado, i EJ captun general interino de Castilla la Vieja díce á este ministerio con, Nota. Ln lá Gaceta nufiuV^, columna 1.a, Uo*a 29, ^mkoHct fecha dé 23 del presente desde Burgos, que el coronel D. Julián Olivares3 desdé con, léase-: £&gt;. ¿osé Jalón y Jalón* EN LA IMPRENTA REAL,</t>
  </si>
  <si>
    <t>Olivares, Félix Carrera y D Julián</t>
  </si>
  <si>
    <t>Félix Carrera y D Julián Olivares</t>
  </si>
  <si>
    <t>…,131........... .... íuuo....................... . . . . Cádiz. te, que en dicho dia han marchado para operar, de acuerdo con el comandante 549........... .... looo....................... . . . . Madrid. de Vizcaya, los coroneles D. Félix Carrera y D. Julián Olivares, con 6,489. .............. 500....................... .... Idem. Í;eneral os regimientos de Trujillo, provincial de Moridofiedo y 15 de línea, quedán 9,565........... .... SCO....................... . . . . Cádiz. dose ei mencionado lriarte en aquel punto para recoged las armas de los faccio 3,8/0.…</t>
  </si>
  <si>
    <t>Olivares, Julián</t>
  </si>
  <si>
    <t>Julián Olivares</t>
  </si>
  <si>
    <t>…es han logrado seducir y envolver tneo, tegua dije á V. E. por mi comunicación de ayer', dispuse marchar en tres en su crimen ese puñado de pérfidos que se titulan sus gefes, y que rebelado» columnas: la 1.*, al mando del coronel D. Julián Olivares, con el batallón contra la autoridad legítima y suprema de S. M. la Ruina nuestra Señora de Gerona y cazadores de Isabel 11 sobre aquel punto para introducir en el ví asolan el malhadado suelo que los ha visto nacer y que los ha honrado y man veres, y que pasase, concluida la operación,_íl pernocta…</t>
  </si>
  <si>
    <t>…escopeteros se presentasen en las alturas del monte Capitanía general de Castilla la Vieja.2:Excorio. Sr.: Al cerrar los pliegos de Camarasa para batir este y demas puntos indicados por sospechosos. En efec llega uno del coronel D. Julián Olivares, comandante de la cplumna de \z% to á las cinco de la manaba nos encontramos con las justicias de Cuvíllas de Merindades, fecha de hoy , en que dice que con la de ayer le avisa el brigadier Cerrato con 20 hombres, la de Valoría de Cerrato con 12 , !a de S. Martin Iriarte desde Arciniega entre otras…</t>
  </si>
  <si>
    <t>…. íuuo....................... . . . . Cádiz. te, que en dicho dia han marchado para operar, de acuerdo con el comandante 549........... .... looo....................... . . . . Madrid. de Vizcaya, los coroneles D. Félix Carrera y D. Julián Olivares, con 6,489. .............. 500....................... .... Idem. Í;eneral os regimientos de Trujillo, provincial de Moridofiedo y 15 de línea, quedán 9,565........... .... SCO....................... . . . . Cádiz. dose ei mencionado lriarte en aquel punto para recoged las armas de los faccio 3,8/0.…</t>
  </si>
  <si>
    <t>…gó ha sido considerable en muertos y heridos; la 10 .... 11,421 al 11,430 nuestra solo asciende á 6 muertos, 66 heridos y 28 contusos; cabiéndome el 10 .... 13,391 al I34OO sentimiento de anunciarle la pérdida del bizarro coronel D. Julián Olivares, 10 ..., 15431 al 15440 cuy* muerte ha sido llorada por todos los valientes de esta división, cuya des gracia! acaeció en el momento de forzar una de las últimas posiciones del ene— 100 migo. »Es excusado recomendar á V. E. el valor de estas tropas; baste decirle que en este dia han llevado al cabo…</t>
  </si>
  <si>
    <t>…el valle , y sumiso á la legítima autoridad de S. M. URjuna. - «Lo mismo sé ha verificado en Trucios, Arcentales, Zalla, Guiñez,Gal- Estado sanitario de la villa de Olvera desde el 3 al í de Junio* dames y Sopuerta por el coronel D. Julián Olivares, á quien se han presentado un oficial, un tambor con caja y 36 hombres. La actividad de este gefe y la del Dias. Existenciadia interior.del Invadidos. Curados. Tallecidos. capitán D. Juan Vázquez, han recogido del enemigo en los puntos indicados 196 fusiles. «La brigada del coronel Carrera recogió…</t>
  </si>
  <si>
    <t>…. Frincísco Linage, apoyándolo con dos ba tallones del Principe, que asi que llegaron hice siguiesen auxiliando ^1 movi ^ El dia 15 del actual continuaba en buen estado la salud pública de U miento de Linage, al mando del coronel D. Julián Olivares. capital de.esta provincia, asi como la de Tórtosa, Reus y demas.pueblos de la misma,.pues los pocos enfermos que existía^ en Aldanar y Ulldecona se «Mas aunque se hizo toda diligencia*, eL enemigo, que llevaba mucha de iban restableciendo, siendo raro el caso nuevo que ocurría. ' -lantera, se apode…</t>
  </si>
  <si>
    <t>…ntinuos la infantería de Merino, se había- reducido esta á la tercera monte. Entre tanto dispuse que el segundo batallón de Gerona, al mando del parte, y se hallaba en gran apuro por falta efe subsistencias, habieñdtnor-— coronel D. Julián Olivares, marchase á apoyar los movimientos del Princi prendido su ayudante de campo D. Santiago Valderrama 10 cargas de víveres pe, y que el segundó-de Almansa ocupase unas alturas importantes á la dere y á los facciosos que los conducían. El brigadier Peón, encargado del mando cha de Plencia, quedando el…</t>
  </si>
  <si>
    <t>…é perciban lo que se les haya asignado, i EJ captun general interino de Castilla la Vieja díce á este ministerio con, Nota. Ln lá Gaceta nufiuV^, columna 1.a, Uo*a 29, ^mkoHct fecha dé 23 del presente desde Burgos, que el coronel D. Julián Olivares3 desdé con, léase-: £&gt;. ¿osé Jalón y Jalón* EN LA IMPRENTA REAL,</t>
  </si>
  <si>
    <t>Olivarneme, Rimon</t>
  </si>
  <si>
    <t>Rimon Olivarneme</t>
  </si>
  <si>
    <t>…insurrección general* compañías de granaderos y cazidores del provincial de T iy, y otra del de Gra MehelTiet tomó pronto su resolución, y juzgando que no debía perder un mo- nada que llevo í mis órdenes, mandadas por el capiurt D. Rimon Olivarneme» to, se embonó para J.«tifa el 21 de Junio con unos 8S hombre» escogidos. ta; pues tamo los oficiales como la tropa volaron detras de nuestras caballos Su pj—senca y la llegada de e-te refuerzo produjo un rápido y de-isivo efecto.. hasta Hortigüela, donde previne qiied.r con la correspondiente vigi…</t>
  </si>
  <si>
    <t>Olive, Bonifacio</t>
  </si>
  <si>
    <t>Bonifacio Olive</t>
  </si>
  <si>
    <t>…ara explicar la’ diversa conducta del gobierno y guardia de ella, y siendo los primeros en todas las ocasiones péli-' de sus enemigos: estos no se creen conciudadanos sino de los que ¡ , grasas, cuyos nombres spg. los siguientes: D. Bonifacio Olive,’ de Torres^ í&gt;. Luis Lapeyre, pertenecen á su facción; el resto, es decir, la gran mayoría de los , IX Oiriaco Fijillasiain,D^Ramon españoles, las luces, las riquezas , las virtudes;, todo lo reputan_por , D. Canuto Regoyos, í). Eegiro Blanchar ,'p. Luis Blanchar, Don enemigo, cuya destrucción les…</t>
  </si>
  <si>
    <t>Oliver, D Guillermo</t>
  </si>
  <si>
    <t>D Guillermo Oliver</t>
  </si>
  <si>
    <t>…tado. .lugar del Sr« obispo de ValladoÜd al Excmo. Sr. obispo de Cóvboba* Igualmente se aprobó el dictamen de la misma comisión relativo á que , ; La comisión de eximen de documentos presentó su dictamen acerca de se exonerase al Sr. D. Guillermo Oliver, electo Procurador por la provincia los presentados por el Excmo. Sr. obispo de Huesca y Excmo. Sr. marques de de Tarragona, en reemplazo del Sr. D. Ramón Ciscar, de su cargo, por ha Cerralbo, opinando que debían ser admitidos. Aprobado. llarse achacoso, y ademas no poder faltar de su establecimien…</t>
  </si>
  <si>
    <t>Oliver, Guillermo</t>
  </si>
  <si>
    <t>Guillermo Oliver</t>
  </si>
  <si>
    <t>…. .lugar del Sr« obispo de ValladoÜd al Excmo. Sr. obispo de Cóvboba* Igualmente se aprobó el dictamen de la misma comisión relativo á que , ; La comisión de eximen de documentos presentó su dictamen acerca de se exonerase al Sr. D. Guillermo Oliver, electo Procurador por la provincia los presentados por el Excmo. Sr. obispo de Huesca y Excmo. Sr. marques de de Tarragona, en reemplazo del Sr. D. Ramón Ciscar, de su cargo, por ha Cerralbo, opinando que debían ser admitidos. Aprobado. llarse achacoso, y ademas no poder faltar de su establecimien…</t>
  </si>
  <si>
    <t>…, el coronel Don José Quintano, ayer noche se presentó en el ministerio de mi cargo. , Señores que han renunciado sus poderes, y se ignora su reemplazo. «El coronel D. Ramón Pardi&amp;as, nombrado Procurador por una 3e las Tarragona.=D. Guillermo Oliver. 1 provincias de Galicia, se . halla en el ejército del Norte á la cabeza dél regi Barcelona. re D. Juan.Plandolit. miento provincial de Mondofiedo; y aunque hasta ahora no se ha presentado Oviedo.eeD. José Serrano Salas. sus poderes existen en el ministerio de lo Interior.4’ Gu¡púzcoa.=D. José Joaq…</t>
  </si>
  <si>
    <t>Oliveros, Matías</t>
  </si>
  <si>
    <t>Matías Oliveros</t>
  </si>
  <si>
    <t>…nso dél que la obtenía, el de igual clase de la de Badajoz p. Bernardino Perez y Echavarría: para esta resulta- D. José Antonio 1 PoaxüGAi. Llórente, oficial cesante de la de Valencia; y para la de 4 ° de la provin cia de Granada D. Matías .Oliveros, tesante de la de León. ___ Lisboa 25 di Setiembre i El dia 19 del corriente expidió S. M. F. la Real pragmática, en la cual, Conformándose S. M. con el dictamen del gobernador civil de las islas después de declarar que su augusto Padre había consentido, y S. M. F. acepta Baleares, y de la direcció…</t>
  </si>
  <si>
    <t>Olivier</t>
  </si>
  <si>
    <t>…e piensa residir. {Id.) que por sistema se censuran todas las disposiciones que el gobierno ____El Eclaireur de ATamur bajo fecha de Arlon del 6 dice lo toma para reprimir los desórdenes: en prueba de ello citaré un siguiente: el general Olivier, conforme á las instrucciones recibidas ejemplo reciente. Se ha intentado no há mucho invadir la Saboya del ministerio de la Guerra, dió órden, después de apostadas las con la criminal ¡dea de turbar la paz de Europa y comprometer á tropas en sus respectivos acantonamientos, para que en todas las L…</t>
  </si>
  <si>
    <t>Oliviers</t>
  </si>
  <si>
    <t>…las tres veces, dos ha sido desechad» por*la Cámara de tos Pares, y lo mismo marchando para Luxemburgo, y que el mando de esta tropa se ha confiado al hubiera sucedido la tercera, á no ser porque no hubo tiempo para que en ella B general Oliviers. (El Independiente.') se discutiese. __Sabemos que el gabinete francés ha pasado á la Dieta germánica una nota El Sr. Voisin de Gastempe quisiera que por ahora no se tratase de este muy enérgica relativa á lo ocurrido con M- Hanno. Esta nota, que. parece con- asunto, mediante á que habiendo remitido…</t>
  </si>
  <si>
    <t>OliW, Guillertno</t>
  </si>
  <si>
    <t>Guillertno OliW</t>
  </si>
  <si>
    <t>…tra. parte de Marques de Monsalud , por Sevilla. ios mismobee^qtfrq^a l^subsistomáe-de ^igunos-ministros delsantuarúju-y que J4arguqs.jle laVUuena.por “ el resto c£baMani|ien%dica¡jo ÉtobjeJÍo^de he8éfióenc¡a;'&lt;*iet&lt;g'^od|s'de la D. Guillertno OliW ,¿ppr Ti na. mas alta %¡lr4ón¿j)r&amp;%ej£ p#íejde^if4rse u^a'íftciMje siem Sr.a. &amp;kQciiiajortl_4/»e. tu. s^JteJejgjÜsentadcJ^di de loj¿¡j¡Hivtjvos que pre ha manTtestádo sus sentimientos de respeto y veneración nacía erras. les han impedido hacerlo. » El Gobierno deseando aliviar las cargas de ios pue…</t>
  </si>
  <si>
    <t>Oljguivel, Jacinto</t>
  </si>
  <si>
    <t>Jacinto Oljguivel</t>
  </si>
  <si>
    <t>…sma, han acudido á ¿&gt;. M. en solicitud de que se digne tomar una providencia que ponga terminó i las «e ha servido nombrar para la primera plaza a D. Francisco Lo redo,, oficial gestiones judiciales del cura de la misma parroquia D. Jacinto Oljguivel, que cuarto-secundo del de la provincia de la Loruáa ; ascender a la plaza de,oficial tercero-pnmero al tercero-segundo de.Caslelion IX Pedro Francisco Gines La-pretextando la calidad de patrono de una obra pía fundada para sostener aque vestida ; y conferir la de e&gt;ie al Lie. D. .Genaro Ruist de M…</t>
  </si>
  <si>
    <t>Oller.y, Pedro</t>
  </si>
  <si>
    <t>Pedro Oller.y</t>
  </si>
  <si>
    <t>…a orquesta y ban Militares.'............ 90 28 17 da miíitonEste tablado estaba vistosamente iluminado. Después de las nueve cait^Óien ¿tun himno nuevo dedicadq a la Ruina Gobernador*, compo PROVINCIA »B OVIEDO. nejcp AA ra.pir»n D. Pedro Oller.y puesto en música por el referido Pons; _ Avisa su gobernador civili en,Oficio de 29 del mes próximo pasado , que terminando con los vivas i Isas i. l ii, á la Reina Gobernadora y ál Esta si bien era casi el mismo el número de invasiones que ocurrían en aquella ca tuto Real. lili seguida los señores…</t>
  </si>
  <si>
    <t>Olloqui, Cayetano García</t>
  </si>
  <si>
    <t>Cayetano García Olloqui</t>
  </si>
  <si>
    <t>…n sido invadidos, infería que iba desapare «No puedo menos de recomendar £ "V. E. al brigadier D. Fermín lriarte, ciendo la calamidad que afligía á sus vecindarios. al coronel D. Julián Olivares, al primer comandante del Príncipe D. Cayetano García Olloqui, y al coronel D. Francisco Linage, gobernador de Orduña, PROVINCIA DB VALENCIA. con todos los oficiales de las compañías de cazadores del Príncipe y Logroño, En les diasió, 17 y IB del mes corriente fallecieron en aquella'capicarabineros y 2.° batallón de Admansa, asi como al sargento segundo de ca…</t>
  </si>
  <si>
    <t>Olloqui, D Cayetano García</t>
  </si>
  <si>
    <t>D Cayetano García Olloqui</t>
  </si>
  <si>
    <t>…que habian sido invadidos, infería que iba desapare «No puedo menos de recomendar £ "V. E. al brigadier D. Fermín lriarte, ciendo la calamidad que afligía á sus vecindarios. al coronel D. Julián Olivares, al primer comandante del Príncipe D. Cayetano García Olloqui, y al coronel D. Francisco Linage, gobernador de Orduña, PROVINCIA DB VALENCIA. con todos los oficiales de las compañías de cazadores del Príncipe y Logroño, En les diasió, 17 y IB del mes corriente fallecieron en aquella'capicarabineros y 2.° batallón de Admansa, asi como al sargento segundo de ca…</t>
  </si>
  <si>
    <t>Olloquir, Cayetano</t>
  </si>
  <si>
    <t>Cayetano Olloquir</t>
  </si>
  <si>
    <t>…entro 'de. breves -filas -ge conseguirá el completo exterminio de aquella Pablo Frías, -sostenido por cinco compañías de Gerona al mandó del coman tníserábie banda de ¿lusos,quedando enteramente ^pacífica esta benemérita prodante D. Cayetano Olloquir marchando el resto de Gerona , cazadores del •vineia» Príncipe y 80 provinciales de la Guardia Real por otra sériede alturas pa Dios guarde á V. E. -muchos áSos.GviedoB'fie Mayo del834-=Excelenralelas por nuestra derecha, á las que ocupaba el -enemigo paraproteger á las ^ísiino doaquin María Suaaee…</t>
  </si>
  <si>
    <t>Olmedilla, Éíirañday</t>
  </si>
  <si>
    <t>Éíirañday Olmedilla</t>
  </si>
  <si>
    <t>…iéglamento.” LeidO éste dictámen dijo el Sr. Presidente que se imprimiría y repartiría Fetdó qúé‘'fúe j&gt;or el Sr. SecretarioCaballero, Continuó pára discutirlo en la sesión dél sábado próximo.; y désputs de anunciar que mi- ‘ El Sr. Éíirañday Olmedilla: «Yo creo que nb hay en este artículo nin- fiani continuarte la discuión pendiente á la hora acostumbrada, ccrró-Ja anón gtttw expresión* qué indique que los asuntos puedan Considerarse suficiente á las tres y mediá. mente discutidos mientras baya Procuradores qué tengan pedida la palabra. Por lo t…</t>
  </si>
  <si>
    <t>Olmedo, Francisco de Paula González</t>
  </si>
  <si>
    <t>Francisco de Paula González Olmedo</t>
  </si>
  <si>
    <t>…ia Je plar del Estatuto Rfal, de la Convocatoria V del Real decreto de" Asturias vengo en nombrar A D. Antonio María Pacheco y Padilla, elecciones á los Presidentes de los Ayuntamientos de los pueblos que que lo es actualmente, á D. Francisco de Paula González Olmedo, son cabeza de Partido, según la División judicial aproliada jor S. M. fiscal de la misma, á D. José Faleon y Falcon, á D. Vicente Mar en Real decreto Je 21 de Abril próximo pasado: y en los Partidos tin Gómez, á D. Francisco María Henriquez; y para la plaza de fis en cavas Capitales no existan aqu…</t>
  </si>
  <si>
    <t>Olobf</t>
  </si>
  <si>
    <t>…tn PARTE NO OFICIAL. enriadopor el generaluta intimaciónSaldáfta conal gobernadorentera independenciade Madera,entreque todavíasí. Se afiadsreconocequeá seD01h. NOTICIAS EXTR ANGERAS. Miguel, para que te .someta al gobierno de la Reina. (Olobf and Traveller.) .. A mmrqmna con satisfacción que á consecuencia de reiteradas represen» (Continuación del correo anteriqr.y dones de nuestro embajador en Lisboa, D. Pedro-ha mandado poner en líber «ttróiA. tad á «¡r Jojjn Campbell. Neootros nos alegramos extraordinariamente de re libre á un oficia…</t>
  </si>
  <si>
    <t>Oloria, María de la</t>
  </si>
  <si>
    <t>María de la Oloria</t>
  </si>
  <si>
    <t>…e en los desórdenes, por el principio de &lt;¡ue tanto el Ayer á las nueve y media de-la mañana se apoderaron de Figueira Zas tro gobierno coma un particular puede proveer- á su propia seguridad en todos loe pas de S. M. F. la Reina Doña María de la Oloria. Los rebeldes se retiraron casos extremos. (Idem.) en dirección de Coimbra. El condé de S. Vicente desembarcó en Figueira en yftAttcIA. el mismo dia. Los rebeldes abandonaron á Coimbta-, «a- cura ciudad entró el duque de Parí* 4 Mayo. Terceira él dia 8 á las nueve de la mañana. {Crónica de Portugal.') c…</t>
  </si>
  <si>
    <t>Olozaga, Salustiano</t>
  </si>
  <si>
    <t>Salustiano Olozaga</t>
  </si>
  <si>
    <t>…nas, acaba de sucumbir a una jfiebre nerviosa. El misión compuesta de D. Juan Gualberto González, D. Juan Alvarez Sr. Testa, encargado de Negocios provisorios de la Holanda, ha recibido su Guerra, D. Angel Fernandez de los Ríos y D. Salustiano Olozaga, nombramiento definitivo. que desempeñará ademas las funciones de secretario, poniéndose de Se han comprimido los alborotos de Trebisonda ¿ y algunos gefes han sida acuerdo con los encargados de redactar el Código civil, examine el castigados de muerte. de Comerció, que rige en la actualidad, y me…</t>
  </si>
  <si>
    <t>Olpps</t>
  </si>
  <si>
    <t>…palacio de S. James. Después de un corto descanso salió para Wind— Sr. D. Francisco Crespo y Tejada, propietario y comerciante. sor. {Post.) " ^ Sr. D. Julián Anaya , hacendado. -------------------.— ~ mili lll li _________ , *Bl capitán ©. Olpps^del cuerpo de ingenieros, ha sido nombrado secre tario particular del nuevo primer lord del almirantazgo. {Herald.) Partts rteibidos tn la Sserstaría ds Estado y dtl Dtspacho ds laGmrra. , Varir* amigos de la libertad , á los cuales ha querido asociarse José Bo- El capitán general de Castilla la Vieja…</t>
  </si>
  <si>
    <t>Omaña, Francisco Lope</t>
  </si>
  <si>
    <t>Francisco Lope Omaña</t>
  </si>
  <si>
    <t>…stos mortales de nuestros semejantes. Véase si no el hospi rino de la compañía de Reau*s diligencias.............................................. 100'» tal de la Caridad, de donde-no sale ningún entierro que no.sea presidido por D. Francisco Lope2 Omaña................................................................. 5&lt; &lt;j el capellán , acompañado del sacristán que lleva la cruz con la mayor compos Un sugeto que no ha dado su nombre. ............................................... 32u tura ,v de dos monaguillos revestidos de sobrepelliz, con sus faroles encendi El Excmo. Sr. marques de Montealegre..............…</t>
  </si>
  <si>
    <t>Omnipotente</t>
  </si>
  <si>
    <t>…gar su mano sacrilega citos y horribles suplicios preparados por ser Je.es a su Dio , resistieron contra los primeros pastores de la santa Iglesia, cuyos testimonios presentan i obedecer ,i Xabucoaonosor , Ker de Babilonia \ y el Señor Omnipotente, en nuestros ojos los venerables obispos; y por último, tomando en consideración quien pusieron su confianza, mando su ángel que los sabara ¿lesos de las Hala multitud de representaciones que diariamente recibo de los pueblos, y la mas, con la firmeza y piedad de los pastores, clero y pueblo mejica…</t>
  </si>
  <si>
    <t>Oña, Antonio García</t>
  </si>
  <si>
    <t>Antonio García Oña</t>
  </si>
  <si>
    <t>…Gobernadora y la Serma. Sra. Infanta Doña María Luisa, continúan ne acto, fue recibido por el regí miento formando en batalla con su digno coro sin novedad en su importante salud en el Real Sitio del Pardo. nel primer comandante D. Antonio García Oña á la cabeza, el que saliendo á recibir ai Sr. gobernador, paso este por delante de las filas, acompañado de la plana mayor, cuya brillante uniformidad , el eco marcial de la música, s i&lt; »s semblantes halagüeños tanto de la tropa como de infinidad de espectadores, en tre ellos el Sr. administrador…</t>
  </si>
  <si>
    <t>Oña, D Antonio García</t>
  </si>
  <si>
    <t>D Antonio García Oña</t>
  </si>
  <si>
    <t>…a tan solem Gobernadora y la Serma. Sra. Infanta Doña María Luisa, continúan ne acto, fue recibido por el regí miento formando en batalla con su digno coro sin novedad en su importante salud en el Real Sitio del Pardo. nel primer comandante D. Antonio García Oña á la cabeza, el que saliendo á recibir ai Sr. gobernador, paso este por delante de las filas, acompañado de la plana mayor, cuya brillante uniformidad , el eco marcial de la música, s i&lt; »s semblantes halagüeños tanto de la tropa como de infinidad de espectadores, en tre ellos el Sr. administrador…</t>
  </si>
  <si>
    <t>Oñana, Guillermo Perez</t>
  </si>
  <si>
    <t>Guillermo Perez Oñana</t>
  </si>
  <si>
    <t>…que sugirió esta idea, aunque puede creerse que fue inspirado por M. de personas de distinción fueron acompañando al regidor decano de este ayunta Mctternich, movido á su vez por la política de Ja Prusia en los tratados co miento D. Guillermo Perez Oñana, quien por indisposición del Hxcmo. Señor merciales que ha hecho con las pequeñas naciones de Alemania. El Austria duque del Infantado, oizo las veces de alférez mayor, llevando el pendón mira con zelos la preponderancia que van adquiriendo á su rival las alianzas Real y tremolándole al pronunciar…</t>
  </si>
  <si>
    <t>Oncto, Juan Bautista</t>
  </si>
  <si>
    <t>Juan Bautista Oncto</t>
  </si>
  <si>
    <t>…or , cura que fue.de los toda clase de producciones; y el tercero por su posición á ia falda de ia rica Carabanches. vertiente dei priorato, por sus grandes establecimientos de industria y comer Privilegio de hidalguía á favor de D. Juan Bautista Oncto, vecino del cio , y por su inmediación ai puerto de la capital, por ia cual da salida á sus Puerto de Sta. María, y natural de Genova. sobrantes, y recibe ias primeras materias y los frutos coloniales con quecomerId. á favor de los hijos de D. Angel de Yoldi y de Doña Juana de Be- cia con lo* puebl…</t>
  </si>
  <si>
    <t>Ondarza, D Manuel</t>
  </si>
  <si>
    <t>D Manuel Ondarza</t>
  </si>
  <si>
    <t>…n la «compañía de ia navegación 6 el de Guernica, dispuse al amanecer una salida con ciento y tantos hombres peninsular por vapor” la conducción de la correspondencia pública de este y 18 de la trincadura Cristina, al mando de su capitán D. Manuel Ondarza, y- país hasta Gibraltar y vice-versa, manteniendo entonces el Gobierno solamente 24 Urbanos al de su alcalde D. Andrés Nardíz sobre Mündaca, Busturias, los paquetes entre Gibraltar y los puertos del Mediterráneo. En este caso la Almonigá y alturas de Goitíz con el objeto de ver sí podía rescatar u…</t>
  </si>
  <si>
    <t>Ondarza, Manuel</t>
  </si>
  <si>
    <t>Manuel Ondarza</t>
  </si>
  <si>
    <t>…mpañía de ia navegación 6 el de Guernica, dispuse al amanecer una salida con ciento y tantos hombres peninsular por vapor” la conducción de la correspondencia pública de este y 18 de la trincadura Cristina, al mando de su capitán D. Manuel Ondarza, y- país hasta Gibraltar y vice-versa, manteniendo entonces el Gobierno solamente 24 Urbanos al de su alcalde D. Andrés Nardíz sobre Mündaca, Busturias, los paquetes entre Gibraltar y los puertos del Mediterráneo. En este caso la Almonigá y alturas de Goitíz con el objeto de ver sí podía rescatar u…</t>
  </si>
  <si>
    <t>Oneill, Carlos Gxson</t>
  </si>
  <si>
    <t>Carlos Gxson Oneill</t>
  </si>
  <si>
    <t>…turas; por cuya razón la Columna de infantería que llevaba ' „ i conmigo, compuesta de dos compañías de la Guardia Real de infantería á.las El citado comandante general de la provincia de Soria y columna móvil órdenes del capitán D. Carlos Gxson Oneill, de la columna de Castilla la Nue de la mi-&gt;rm, con fecha lo def actual desee Cetina remite á este ministerio el va, y dos compañías de zapadores aL mando del capitán D.'Manuel Angustio, -parre siguiente: ^«Excmo. Sr.: Siguiendo la persecución de los malvado*, deir gefe ide la columna de GuádaUjira…</t>
  </si>
  <si>
    <t>Oneill, D Carlos Gxson</t>
  </si>
  <si>
    <t>D Carlos Gxson Oneill</t>
  </si>
  <si>
    <t>…ellas alturas; por cuya razón la Columna de infantería que llevaba ' „ i conmigo, compuesta de dos compañías de la Guardia Real de infantería á.las El citado comandante general de la provincia de Soria y columna móvil órdenes del capitán D. Carlos Gxson Oneill, de la columna de Castilla la Nue de la mi-&gt;rm, con fecha lo def actual desee Cetina remite á este ministerio el va, y dos compañías de zapadores aL mando del capitán D.'Manuel Angustio, -parre siguiente: ^«Excmo. Sr.: Siguiendo la persecución de los malvado*, deir gefe ide la columna de GuádaUjira…</t>
  </si>
  <si>
    <t>Oní, Lorenzo</t>
  </si>
  <si>
    <t>Lorenzo Oní</t>
  </si>
  <si>
    <t>…ulo 13 del Gobierno, no del de la cumentos justificativos de su^aptíiud legal. comisión.” Se mandó pasar á la comisión de Gobierno interior una exposición de El Sr. Chacón: «El Sr. Secretario de Estado ha dicha que el artículo 13 D. Lorenzo Oní&gt;, teniente retirado en e*ta corte, en que manifestaba ser del proyecto del Gobierno debe retirarse en virtud de lo aprobado ayer. La vicios que prestó á la Nación en el año de IH23 , como de barrio que comisión por tanto cree que se está en el caso de que se apruebe el suyo , en era del de Doña Mañ…</t>
  </si>
  <si>
    <t>Oníri</t>
  </si>
  <si>
    <t>…las cantidades que ha rebajado el Estamento, J dejar la parte eventual seria justo que teniendo los de Copenhague y Grecia 8ti3, tuviera este ó1)9 rs.” pan cuando reconozcan nuestro Gobierno las potencias que no Jo han hecho.” El Sr. Oníri wEl de Viena es un encargado de la correspondencia., no de Se leyó el dictámen de la comisión sobre el particular. lo* Nfegocio»; y por esto el Gobierno ha establecido una diferencia en el suel El Sr. marques de Torremejfa: «Me parece que de estas cuatro Cláusu do , que fio sé debe variar, sino con…</t>
  </si>
  <si>
    <t>Onís</t>
  </si>
  <si>
    <t>…garantías como el de bue da» mandándose insertar en ella el voto del Sr. Chacón, contrario á la reso na educación , el cual siempre me ofrece la seguridad de que no cometerá con lución del Estamento sobre la adición hecha por el Sr. Onís al art. 2.° del pro migo una falta en que no repararía el rico; pero sin embargo e»tos tienen que yecto de ley para la organización de la Milicia urbana* conservar su oro y riquezas, y para mi las garantías que nacen del ¿mere* , aun Se mandaron pasar á la comisión de Hacienda varias relaciones rem…</t>
  </si>
  <si>
    <t>…El encargado de la correspondencia' 209. reales: gastos 49: toque se ha promovido , pues, quecotutará en htiranra; peró'debbráfiadifj qtiela •- tal 249-- •. 7 •' . i noticia queacabáde comunicarsé,noc»mta de oficio todavía.” , El Sr. Onís: «Este párrafo se Halla en el mismo caso que los que hemos El Sr. Vicepresidente: «La observación del Sr. Secretario de Gracia y aprobado; la comisión no riene inconveniente en;admitirlo.” Justicia la considero de la mayor importancia para la retolucion-dcl Estamen En seguidb fue aprobado dicho pár…</t>
  </si>
  <si>
    <t>Ontivcros</t>
  </si>
  <si>
    <t>…ción , se vio el dos estos antecedentes, y para que el Estamento no se prive de un digno Pro gobernador civil en el embarazo de que lirio*, pueblos padecían el cederá y otros curador ya nombrado, pido que sea admitido como tal el Sr. Ontivcros." no: consultó al Gobierno lo que debia hacer rara que decidiera, y este deter El Sr. Eatorre\ «El gobernador civil de la provincia dice que las órde minó que los electores de ios pueblos que padecían el colera, v que por tanto nes de convocatoria las expidió el 9 del corriente, y la junta se celebr…</t>
  </si>
  <si>
    <t>Ontivcros, Pedro</t>
  </si>
  <si>
    <t>Pedro Ontivcros</t>
  </si>
  <si>
    <t>…dó. dad que ha habido en ella, y en que ha fundado su dictamen.” Igualmente dió cuenta la misma comisión de haber examinado el testimo El Sr. Alcalá Zamcra: «Debo decir á mayor abundamiento, que aun nio dei acta de la elección de D. Pedro Ontivcros, en reemplazo de D. Die que la junta electoral fuese concluida en su primera sesión, la actual es verda go González Alonso, por la provincia de Cáceres, y el o6cio con que la re deramente una continuación de aquel mismo acto. El sistema de elecciones si mitía el gobernador civil de dicha provincia,…</t>
  </si>
  <si>
    <t>Oo, Alicante</t>
  </si>
  <si>
    <t>Alicante Oo</t>
  </si>
  <si>
    <t>…y sxu barrios en las 69 dias, desde l.0, de Setiembre hasta 8 de Noviembre del año próximo pasa da, que reinó én ella el cólera morbo, con distinción de clases y sexos, se Amsterdam, oo. París 16 á 16-1. Cádiz * á 4 b. Sevftta $ d. Alicante Oo. á corto pla Coruüa Valeocia par. £ d. gún datos suministrados por las juntas parroquiales, comunidades, go Bayona, zo par. Granada Burdeos, 00. id. Zaragoza j d. bierno militar y demas corporaciones. Hamburgo, 00. Barcelona á pesos fs. Málaga $ b. Descuento de letras Madres 4 90 días i i 1 b. Santa…</t>
  </si>
  <si>
    <t>Oobernadora</t>
  </si>
  <si>
    <t>…y y 1 y 16 : 46$ 60 p. ± pr¡m.i 50 52, firme á de 4 f. voL y firme d. f vol.opone á sus miras desleales. Dígnese V. E. elevarlo todo a S. M. la Reina ± y 1 p. 100 á 100. y 55 no de í Vales consolidados, f. ó vol. p. ú prima, io¿ d. 26,40 Oobernadora , con la efusión mas sincera de mí amor, respeto y veneración * Deuda negociable del ¿ p. 100 d papel, 00, su Real Percmia. Dios guarde á "V. E. muchos años. Barcelona 11 de Enero Id. sin ioteres, 00. &lt;Je.l8:H.=E*(cmo. Sr.=Manucl Llander. = Exento. Sr- Secretario de Estado y Ácciooes del banco espa…</t>
  </si>
  <si>
    <t>Oorbea, LXtfi Isaf</t>
  </si>
  <si>
    <t>LXtfi Isaf Oorbea</t>
  </si>
  <si>
    <t>…decisión: y zdo da 'de-; I^to^jfUttáTdém lat alri.«s de AgmdinAvuráín r.inmediatasntníerfiatas ¿l'puebloal'pueblo dede ZáiatéVZaraté, s*sobre*bre «iel (njeárto-puórto de fetisa á la iegfóraidad yde los deseché» deJa Reina nuestra Señora LXtfi* Isaf Oorbea, y ocupando cuatro distintas -jrfuertes postcioues 'que enfilaban el ca- ! mino tea! que yo traía, en fuerza .segtkndeclaración «fe los prisioneros,de 60» bel ir. ¡ Dio» guarde á V. E. muchos años. Zaragoza 5 de Enero de 1834-=Exce- I infantes y AS caballos, inmediatamente que me avistaron rompiero…</t>
  </si>
  <si>
    <t>OottzalfZ</t>
  </si>
  <si>
    <t>…la primera en que me he levantado á manifestar e&gt;ca institución, se hubiera planteado desde luego con mayor órden y concier de palabra mi opinión.” to; pero no ha sido asi. Las mismas circunstancias, ese anhelo de todos, la de Mí Sr. OottzalfZ (D. Antonio): "Yo crseñores, que la denominación fensa de una causa que presentaba dos objetos tan gloriosos, como son el sos de Guardia nacional, de que se trata, no hubiera ocupado por tanto tiempo tenimiento dej trono y la rlefema de la libertad, creó muchos cuerpos de vo la atención del Estamen…</t>
  </si>
  <si>
    <t>Opinamos</t>
  </si>
  <si>
    <t>…cretado, con consentimiento del la una relativa á que la Francia se separe de La amistad de Mehemet- Alí, y la lord alto comisionado, las siguientes disposiciones, que facilitarán el comercio otra á que se restituya Argel al Gran Señor.Opinamos, sin embargo que bajo entre aquellas islas y el reino de Grecia. de cito* do» encarpo* aparentes se oculta algún otro mas acomodado á los inte-, 1. * Los buques con bandera griega solo pagarán en los puertos jónicos los retes de ambos países, y mas capaz de atraer el consentimiento de la Francia. d…</t>
  </si>
  <si>
    <t>Opróstiza, Tiburcio</t>
  </si>
  <si>
    <t>Tiburcio Opróstiza</t>
  </si>
  <si>
    <t>…Estados-Unidos: arreglo de este ramo en las islas Filipina», atendida su importancia y íós recur lo cual despertó en dichos enemigos el espíritu de agresión que hasta entonces sos que ofrecen para la construcción naval, presentó D./Tiburcio Opróstiza, se-había mantenido en los Límites de defensa, y empezaron á intrigar y combi comisionado por las autoridades de aquellas islas una exposición , dirigida s pro nar con la parte espúrea de los habitantes de la referida ida, y la de Puerto- mover el bien y prosperidad dé tan interesantes posesiones.…</t>
  </si>
  <si>
    <t>Or, Borgarelli y del Sr</t>
  </si>
  <si>
    <t>Borgarelli y del Sr Or</t>
  </si>
  <si>
    <t>…l de su augusta Ma viudas del mariscal Jourdan y del general Decaen: el conde de Bastard lee otros dre bajo un magnífico dosel en la fachada de las casas consistoriales. Siguieron dos informes relativos á la connaturalización del conde Borgarelli y del Sr. Or- i este acto varias diversiones públicas, durante las cuales manifestó el pueblo Bla; otro el Sr. Fáurc sobre el proyecto de ley, también aprobado por la Cá su mas cordial adhesión á los legítimos derechos de nuestra amada Soberana. mara de Diputados, acerca de los que pregonan papeles, litografías…</t>
  </si>
  <si>
    <t>Oráa</t>
  </si>
  <si>
    <t>…y hermosa fragata que tiene 222 pies de larga sobre 53 de altura. estado, se ha dirigido sobre Estella. F! primero v la caballería, perseguidos por Los turcos tienen 12 arsenales en los cuales se construyen en el dia muchos bu él brigadier Oráa , huyen en la dirección de Aragón. Los restantes sen perse ques; de suerte que en caso de necesidad es muy cierto que no les faltarán re^ guidos por estas montañas por diferentes columnas. Cuartel genecaá de Equaraz, cursos marítimos. Los Dardanelos se están poniendo en un grande estado de de cuatr…</t>
  </si>
  <si>
    <t>…venido de Navarra. Espero del zelo de los patronos y administradores, y de su vivo interes portel bien de la humanidad, no solo que satisfarán exactamente á cada una de La fuerza principal de las tropas de este reino al mando del brigadier Oráa, Us preguntas anteriores, para que los ayuntamientos puedan hacerlo á esta sub- que llegaron á Zubinen ¡a noche del i.7 persiguiendo i Jos facciosos, se situaron delegacion , sino que me prestaran todas las luces que sus Conocimientos y la en este pueblo, el de Ustariz y Urdamz, colocando un oficia…</t>
  </si>
  <si>
    <t>…La pastoral de que habla el oficio del Excmo. obispo de Gerona está escrita la pérseguia vivamente y completó su derrota. con la convicción de un prelado que conoce sus deberes y los de su grey, y nos El 27 se hallaba en Lerin el coronel Oráa , que obraba en combinación' complacemos en insertar algunos de sus pasages, ya que la multitud de mate con el general Lorenzo sobre la facción de Navarrariales no permite copiarla toda entera. El coronel Tolrá, con parte del regimiento de Borbon de su mando, un «Mis amados hijos en el Señor: es ta…</t>
  </si>
  <si>
    <t>…armas de nuestra Soberana. Sírvase V. S. manifestárselo asi á dicho Sr. coro nel. De resultas de mi marcha á Lumbier se dividieron los enemigos en tres trozos, diri giéndose uno á Sangüesa , al que ha perseguido constantemente el brigadier Oráa con su bri gada, y el coronel Amor con la caballería, habiendo tomado varios prisioneros, caballos y armas, y continúa sobre ella hasta lográr su exterminio. La piiilcipal as- diiluít» al Dasian, ailumjv, uiwntliiú v.1 gcucidl LülCU/u l3 primfHl división, y yo con la segunda por cerros, sin caminos…</t>
  </si>
  <si>
    <t>Oraá</t>
  </si>
  <si>
    <t>…s riba nombradas; por lo demás S. A. verbal mente manifestó «1 teniente Coro congadas , del de Logroño y del capitán general de Aragón, coa leferencaa al nel ctpltnn de coraceros dé la Guardia Real D- José de los Ríos ,su sincera brigadier Oraá, én fe madrugad! del 26 próximo posada tuvieron U «radia gratitud á mis ofrecimientos; qué allí se había arreglado todo "sin la menor al trea compañías de navarros de los batallones de Zumetecsrregeide intratar la teración , y esperaba de un momento i otro tropas de su sobrina para la guar sorpresa…</t>
  </si>
  <si>
    <t>…inistro de lo Interior, participando á la Cámara la hora en que ha fallecido lia, ^donde había llegado persiguiendo á Zumalacarregui desde Picadillo. El S. M. I. el duque de Braganza, y otro del duque de Pálmela, en que noticia á brigadier Oráa se hallaba la noche anterior en Garasoam, dirigiéndose también la Cámara que S. M. F. se ha servido nombrarle Presidente del Consejo de Mi sobre los rebeldes. nistros; á F. Francisco de S. Luis, antiguo obispo de Coimbra, ministro de lo Eí general Córdoba, encargado con la división de su mando de b…</t>
  </si>
  <si>
    <t>…agravios (1): colecturía del fondo pió beneficial: que iiempre defenderán sus legítimos derechos. hermandades y cofradías: Reales casas de moneda del reino: teatros: toda clase Según parte del mismo capitán general se hallaba el brigadier Oráa el 30 de diversiones públicas: estadística general: fijación de los límites de las pro de Enero en Estella, y el 31 en Sta. Cruz de Campezu, persiguiendo activa vincias y pueblos: nuevas poblaciones mientras gocen de privilegios especiales. mente á los rebeldes, cuya caballería estaba muy estropead…</t>
  </si>
  <si>
    <t>…sobre los facciosos por Córdoba: otra segunda columna les fue preciso destinar inmediatalas tropas de su mando en tres columnas á las órdenes del general mente para contrarestar estas fuerzas del bizarro provincial deLorenzo, el brigadier Oráa y el brigadier barón de Meer, de los Avila; mas les fue inútil todo arrojo, pues con admiración, difecuales resultaron las acciones cuyos partes se pondrán á continua rentes ocasiones les hicieron retroceder con precipitación y verción , añade que el 4 emprendería de nuevo las operaciones con el güen…</t>
  </si>
  <si>
    <t>…nimemente, y repetida por todos los de sus guer dignó mandar al punto se diesen gracias, en su Réal nombre y en rillas, las de Zaragoza é'Isabel n, con arma á discreción, desaloja el de su augusta Hija la Reina nuestra Señora, al brigadier Oráa; ron al batallón que tenia ásu frente, y sucesivamente fue arrollado y al comandante Mercader, y á cuantos concurrieron á aquella glo rechazado por las indiciadas tropas de las ventajosas posiciones de Zar- riosa acción; concediendo la cruz de Isabel u á los tres soldados day, Zamategui y Osarte, á…</t>
  </si>
  <si>
    <t>…Córdoba tiene orden de per crédito, si se conociese. seguirle constantemente, sin dejarlo de la vista. En el caso de que los documentos de capitales correspondan á capellanías, «Dos batallones bloquean el fuerte de Eiizondo, y el brigadier Oráa tie vínculos ó mayorazgos, deberán los actuales poseedores acreditar documental ne órden de ir á atacarlos. Lleva 33 hombres, y bien puede maniobrar con mente desde qué fecha Lo son, y manifestar quién ó quiénes hubiesen sido po ventaja sobre ellos. seedores de las mismas capellanías ó vínculos des…</t>
  </si>
  <si>
    <t>…la secretaria de Estado y del Despache de la Guetrck. á la sociedad abusos existente* muy perjudiciales á la población y agricultura, que reclaman un pronto remedio: tal es el derecho que tienen algunos señores Seffuti partes del brigadier Oráa al capitán general de Aragón de fechas de de dehesas para no permitir el aumento de vecinos en ellas; por lo que invita 1.® v 3 del corriente desde S. Vicente de Arana v Ugartc- Araquil , las bizar á la sociedad á que señale el origen-de este privilegio y proponga d medio de ras tropas de la column…</t>
  </si>
  <si>
    <t>…e objeto, al mando del capitán graduado del regimien cesiva lluvia. Mañana pienso continuar á Sos, donde me detendré un par de to caballería do Extremadura, 3.° ligero, D. Félix Imedio y algunos Urbanos días. £1 general en gefe y brigadier Oráa se hallan por el valle de Bastan con délos pueblos inmediatos, habiéndolos alcanzado en la escabrosa montaña llama el objeto de dar alcance á la junta si les es posible. Los batallones rebeldes se da Val deseoso , en cuya ventajosa posicioo fueron atacados á la voz de tira Isa hallaban sobre Puente…</t>
  </si>
  <si>
    <t>Oraa</t>
  </si>
  <si>
    <t>…uan Navarro sirvió en su propia casa una abundante co Según parte recibido del capitán general de Aragón, con referencia á lo* mida á 13 ancianos pobres y á 4 niños, dándoles ademas ia limosna de 4 r*. J que le habían dirigido el brigadier Oraa v el gobernador de las Cin^ • Y,das, un pan á cada uno. los batallones l.3 v 2.J de rebeldes, desalojados de ia fuerte posición de Hue Las colgaduras, iluminaciones y fuegos artificiales fueron dignos de la gran sa, se dir.gter.'n hacia la Ae/cua , en cu\ a inmediación se di\idierir. : : &gt; deza del…</t>
  </si>
  <si>
    <t>…ollados por las tropas del mando del general Ca- do sufrido mucho en la gloriosa acción de Samper, que ha dado tanto renom rondelet. bre á la bizarra tropa del regimiento de infantería de Soria que se halló en ella* Por parte del brigadier Oráa al capitán general de Aragón desde LáriagZ Capitanía gfioeral de Extremadura. csExcmo Sr. ¡ El Sr. mariscal de cam el 7 del corriente, la brigada de su mando y la de reserva con el general en po barón de Carondelet, comandante general de la l.1 división del ejército de gefe se hallaban en aquel pun…</t>
  </si>
  <si>
    <t>…e á evacuar esta ciudad dica lo conveniente, oportuna y necesaria que es su composíctoo y pu el 10 al amanecer, repasando el rio y dirigiéndose á Lcrin. blicación. En la 1.a parte se dará 4 conocer tas nocteoes astronómicas- y El brigadier Oráa estaba él 11 con las tropas de su mando en geográficas mas Indispensables para la inteligencia del Real decrete ¿ Puente la Reina. 30 de Noviembre de 1833 sobre división del territorio espaboL; eu la 2.a se inserta intégramenté el mismo decreto; y la 3.a contiene un El capitán general de Valencia e…</t>
  </si>
  <si>
    <t>…eguimiento el 12 á Logroño , y al ama necer del 13 debía salir para Haro con su división, y la fuerza de caballería é Pueblos. Dias. Enfermos. Curados. Fallecida^. infantería del mando del brigadier López que cubre la libera : el brigadier Oráa con la suya se corría por la montaña hacia Peñacerrada , y el mismo día 13 entraría en Miranda de Ebro, procedente de Vitoria, la división del briga dier O-Doile, mientras que las tropas del mando del genesal Manso marcha Ayuelas......... .. 29 Set. á 6 Oct. 36 10 4 ban á reconcentrarse á Villafran…</t>
  </si>
  <si>
    <t>…r. de Petit-Thouars, el cual recibirá el apoyo de la de Lorenzo no pasa dia sin que haya algún tiroteo; pero el resultado es nulo. escuadra al mando del almirante Mackau, si las circunstancias lo exigieren, ____ Se asegura que el brigadier Oráa, habiendo encontrado libre de bloqueo el ------ Mr. Bourmont con toda su familia ha dejado á Génova y ha pasado á punto de Elizondo, estaba fortificando á S. Esteban en el valle de Bastan. Roma. Las noticias que de Argel se han recibido en Tolon alcanzan hasta el París 9 de Noviembre. 25 de Octubre…</t>
  </si>
  <si>
    <t>…an fallocido La facción de Zumalacarregui pernoctó el 13 en Bernedo y Sta. Cruz de las personas que expresa el siguiente Campezu y parecía dirigirse á las Amézcuas y su caballería á |a Ribera. Las divisiones del general Córdoba y brigadier Oráa debían avistarse el 15 en Ber Parte sanitario. nedo. La junta de Alava se hallaba en Onraita, en lo alto de Iá sierra de Andía. La división del brigadier O-Doylc salió el mismo dia para Vcrgara, Pueblo*. Día*. | Enfermos. Curado*. Fallecido*. Ochandiano y Aramañóna á ejecutar varias operaciones. La…</t>
  </si>
  <si>
    <t>…e de Arana, pues que el coronel Gurrea cayó también jaso un genio inculto abandonado á las inspiraciones déla naturaleza. al valle por la parte de Sta. Cruz. James Hógg disfruta eii su ancianidad, en el .seno de una dichosa me El brigadier Oráa pernoctó en lós cantones de los rebeldes: ignpro su dianía , la amistad dé los petsonages mas distinguidos del imperio británico, y pérdida: la mía consiste en poco mas de. 100 hombres. Marcho á reunirme con 1 el respeto y consideración á que le han hecho acreedor sus talentos y virtudes. el brigad…</t>
  </si>
  <si>
    <t>…n tierxa.......................................................................................3000. NaVarrcte. Id. en quebradas de piedra.............................................................. Según noticias de Navarra el brigadier Oráa se hallaba el 17 reunido al Id. en quebradas falsas.................................................................... 260. general Lorenzo en Estella. Id. minasen lomas firmes de dos varas con dos y media dealto. 2u0. Id.de mina falsa mamposteada.............................................. .. 4…</t>
  </si>
  <si>
    <t>…rústlfca.——Tratado de táctica para la infantería ligera por el seBor San Juan: un tomito en-dosia y por otro inmediato mny próximo á Contrasta, antes que 8.° á 2 rs. en rústica.----Manual de guias para la infantería, en 8.° á el brigadier Oráa llegase í su puesto de Contrasta, desde donde, 12 cuartos en rústica. Se venden en las librerías de Matute, Sánchez y según las órdenes que le remití, debia subir á ocupar el paso de lá Cuesta y en la imprenta de Búrgos. sierra si las circunstancias lo permitían. ----- Fábulas mitológicas, útiles p…</t>
  </si>
  <si>
    <t>…motivo de las ocurrencias del 5 y 6 de Abril; y que el trabajo abunda tanto en Bruselas y sus cercanías, que no hay brazos fecha 12 del corriente, desde Pamplona, se sabe que el genéral en gefe con la brigada de reserva y la del brigadier Oraa se hallaban en la misma fecha en La- suficientes para darle abasto. rainzjr, v.dle de Urzana, y por otro del comandante militar de Logroño del 1" estaba en Puente la Reina el 15 persiguiendo á los batallones navarros consTina carta de Berna dice que algunos de los refugiados polacos han obte tantem…</t>
  </si>
  <si>
    <t>…Valencia y Murcia. =: Excmo. Sr.: Tengo el ho- Segun los partes del general en gefe del ejército de operaciones del Nor jior de acompañar á V. E. el parte qué le dirige el capitán general desde Mora te, con fecha del 16 y 17, el brigadier Oráa había concluido las obras precisas de Rubielos, su fecha 15 del presente mes.Por los innumerables avisos que re del fuerte de Elizondo y recorría los pueblos principales del valle de Bastan cibo á cada instante y de diferentes puntos, aunque contradictorios algunos, á fin de aprontar provisiones pa…</t>
  </si>
  <si>
    <t>…o de Baracaldo, por faccioso y mal 13 81 3 6 90 10 4 hechor á un tiempo. H 76 7 13 96 10 4 15 82 7 7 96 4 4 El capitán general de Aragón con la misma fecha del 18 acom 16 88 5 n 114 14 4 paña copia de un parte que ha recibido del brigadier Oráa, relati vo á los movimientos de las tropas de la Reina nuestra Señora sobre las facciones de Navarra. La brigada de reserva que lleva con bolsa de comercio___ Cotización de hoy á las tres de la tarde. sigo el general en gefe, la del general Lorenzo'y la del biigadier Oria operaban en combinación pa…</t>
  </si>
  <si>
    <t>…pa qué ticp.iba á sus órdenes. ' Aritmética. ^ Sistema de la numeración. Con la de 22 del mismo mes, y con referencia á un parte .que desde ZtufáiAdición, sustracción, multiplicación y división de los números enteros re le da^ el brigadier Oráa el dia 1 , avisa el capitán general de Aragón la quebrados, decimales y denominados. evacuación de GóMano por la junra'rebelde He Alava , que con el batallón de Razones y proporciones. Reglas de tres. Vílhirreal , se ha dirigido por el puerto de Eaquedano hacía la venta dó Zum be Iz. Los llamados t…</t>
  </si>
  <si>
    <t>…s de Oro. Cortesana......... .. Idem. ....... 33 27 1 Encinasola.... .. 1 á 3 ídem.... 8 1 2 El general en gefe del ejército del Norte manifiesta con fecha del 22 que en el mismo día había hecho entrar en I3 plaza la división del brigadier Oráa, Nota. Desde el día 3 7 al 20 solo habían ocurrido en Fraga dos casos le la que en el espacio de cuatro horas tomó zapatos, alguna ropa de invierno ves. En Villanueva de SigenZ se había caneado el Te Deum el dia 16 del mes que tenían en depósito, y las mochilas con el objeto de que no se mojasen la…</t>
  </si>
  <si>
    <t>…belde hacia el Ronca! y otro hacia Aibar: que en landres á 90 días | á 1 b. Santander ± d. ¿4 p. 100 al afio. consecuohcia se había dirigido nuestro ejército sobre aquella ciudad, y la co 37|* Bilbao par. Santiago 1 id» lumna del brigadier Oráa sobre Caseda y Galipienso, y que al pasar por Soda dicha columna, alcanzó la retaguardia dei batallón que había estado en Aibar, A NUNCIOS. el cual, tomando Ja dirección del Carrascal, habia pasado en dispersión por las Ensayo sobre el hombre: poema de Pope, traducido cfet Inglés por D. Gregorio I…</t>
  </si>
  <si>
    <t>Oráa, Córdoba y</t>
  </si>
  <si>
    <t>Córdoba y Oráa</t>
  </si>
  <si>
    <t>…ado de S. M. 1. y R. de 23 de Agosto, y aprovechamos esta ocasión Habiéndose dirigida Zumalacarregui hácia las Amezcuas, van en su se para ofrecernos &amp;c.r=Berna 15 de Setiembre de 1334- (.Mensageroi) guimiento las divisiones, del general Córdoba y Oráa, y la del brigadier O-Doyie ha regresado á las inmediaciones de esta ciudad para emprender nue vas operaciones. | ____ El gobierno de Berna recibió el 25 de Setiembre otra nota del embajadof El general Espartero ha hecho levantar el bloqueo de Bcrmeo, y ha pro austriaco Mr. de Bombelles para que hi…</t>
  </si>
  <si>
    <t>Oráa, D Marcelino</t>
  </si>
  <si>
    <t>D Marcelino Oráa</t>
  </si>
  <si>
    <t>…enerales propongan á su superior consideración las recompensas que estimen justas, concediendo desde luego 4a gran cruz de la Real y militar orden de S. Fernando al maris cal de campo D. Manuel Lorénzo, y el grado de brigadier al coronel D. Marcelino Oráa, los cuales con su ejemplo y pericia han decidido la victoria en Navarra, confiriendo al mis mo tiempo igual grado de Brigadier al coronel barón del Solar de Espinosa, y el de coronel al capitán de la guardia Real de infantería D. Juan Villalonga, por Su bizarra conducta én Garnica; declarando asim…</t>
  </si>
  <si>
    <t>…aballos, y como punto en que la llanura de su frente daba lugar á moverse nuestra caballería, encargué desde luego de su ataque y disposiciones de él, al Tenemos á la vista el sermón predicado por el P. Fr. Luis Niveduat de digno coronel D. Marcelino Oráa, y fueron tales, Excmo. Sr., que vo no las Castro, del orden de S. Agustin, en la función que celebró en 5 de Diciembre hubiera dado mejor. A mi vista ordenó la fuerza de Aragón, compuesta de dos último el colegio de abogados y escribanos de la ciudad de Córdoba, en acción columnas de los batallone…</t>
  </si>
  <si>
    <t>Oraa, D Marcelino</t>
  </si>
  <si>
    <t>D Marcelino Oraa</t>
  </si>
  <si>
    <t>…si tiene a bien elevarlo al conocimiento de S. M. Mien que con lo$ restos de su banda se había internado en el valle de Soba. tras bajo mi inmediato mando se verificaban estas operaciones, la columna des tacada á las órdenes del coronel D. Marcelino Oraa perseguía con la mayor ac tividad la parte de enemigos que se habían dirigido sobre Aragón, deital suer El mismo brigadier con la fecha del dia anterior confirma la destrucción de te que al tercer dia les hizo abandonar aquella provincia, cogiéndoles 9 hom la partida de 22 caballos al mando del reb…</t>
  </si>
  <si>
    <t>Oráa, Fernando</t>
  </si>
  <si>
    <t>Fernando Oráa</t>
  </si>
  <si>
    <t>…que se presentó con de la administración de Burgos ai de la de Benavente D. Miguel Palacios: la poder especial, al parecer extendido en forma, de aquella á quien venia dirigi de oficial 2.° de la misma , vacante por separación de D. Fernando Oráa , al da, cuyo poder ha resultado'después no ser legítimo-, se sirvió declarar S. M. administrador de Reinosa D. José Quijano ; y la de oficial 4.0, que desempe por Real óidcn de 11 de Enero úlliiii€ry~ha tenido á bien mandar se anuncie ñaba D. Manuel Alaría Irígoyen , á D. Francisco Javier de -Vita…</t>
  </si>
  <si>
    <t>Oráa, Marcelino</t>
  </si>
  <si>
    <t>Marcelino Oráa</t>
  </si>
  <si>
    <t>…denado el Excmo. Sr.-general en-gefe en BJECTOS QUILICOS, oficio de hoy. Dios guarde á V. E. muchos años. Ruesta á las ocho y media Inscripciones sobre el gran libro al 5 P* too, oo. -¡^ de la noche del 25 de Enero de l834=Excmo. Sr.=Marcelino Oráa.=Exce- Dichas id. al 4 p. 100, 00» lentísimo Sr. capitán general de este reino. / Tirulos al portador de $ p. roo, 54Í á, 60 d. f. ó vol. Id. id. de 4 p. roo, 46$ a 1 al contado : 47 á 60 d. f. vol. y firme. Vales no cousolidados, iig á 60 d. f. ó vol. &amp; prima de | p. too. Ejército del Norte de Espa…</t>
  </si>
  <si>
    <t>…todas clases, un gran número de heridos y varios prisioneros; y la nuestra en algunos de los primeros y segundos. , «Dios guarde á V. E. muchos años. Santa Cruz de Campezu 29 de Diciembre de 1833 i las nueve de la noche.rrExcmo. Sr. = Marcelino Oráa.=Excmo. Sr. capitán general del ejército y reino de Aragón.—Es copia.=Ezpcleta.” Esta misma noticia, y la de ser considerable la pérdida y dispersión de los enemigos se confirma por parte del gobernador militar de Vitoria del 30 de Diciembre último. Las ventajas obtenidas en Vizcaya por la rapidez y…</t>
  </si>
  <si>
    <t>…propongan á su superior consideración las recompensas que estimen justas, concediendo desde luego 4a gran cruz de la Real y militar orden de S. Fernando al maris cal de campo D. Manuel Lorénzo, y el grado de brigadier al coronel D. Marcelino Oráa, los cuales con su ejemplo y pericia han decidido la victoria en Navarra, confiriendo al mis mo tiempo igual grado de Brigadier al coronel barón del Solar de Espinosa, y el de coronel al capitán de la guardia Real de infantería D. Juan Villalonga, por Su bizarra conducta én Garnica; declarando asim…</t>
  </si>
  <si>
    <t>…y como punto en que la llanura de su frente daba lugar á moverse nuestra caballería, encargué desde luego de su ataque y disposiciones de él, al Tenemos á la vista el sermón predicado por el P. Fr. Luis Niveduat de digno coronel D. Marcelino Oráa, y fueron tales, Excmo. Sr., que vo no las Castro, del orden de S. Agustin, en la función que celebró en 5 de Diciembre hubiera dado mejor. A mi vista ordenó la fuerza de Aragón, compuesta de dos último el colegio de abogados y escribanos de la ciudad de Córdoba, en acción columnas de los batallone…</t>
  </si>
  <si>
    <t>…y el amor de I3 patria cón eL de las artes, inflamará su talento, ta Consideración de S. M., en primer lugar el bizarro y digno coronel del 6 ° inspirándoles ideas nobles, originales y dignas de la grandeza del asunto. An ligero D. Marcelino Oráa , gefe principal de la columna auxiliar de Aragón, siosa la academia de que las obras presentadas llenen los deseos de S. M. y los quien , como ya se ha dicho , contribuyó á la victoria con sus acertadas dispo-1 suyos, y convencida de que nada hay que mas influya en la perfección de siciones sobre…</t>
  </si>
  <si>
    <t>Oraa, Marcelino</t>
  </si>
  <si>
    <t>Marcelino Oraa</t>
  </si>
  <si>
    <t>…e a bien elevarlo al conocimiento de S. M. Mien que con lo$ restos de su banda se había internado en el valle de Soba. tras bajo mi inmediato mando se verificaban estas operaciones, la columna des tacada á las órdenes del coronel D. Marcelino Oraa perseguía con la mayor ac tividad la parte de enemigos que se habían dirigido sobre Aragón, deital suer El mismo brigadier con la fecha del dia anterior confirma la destrucción de te que al tercer dia les hizo abandonar aquella provincia, cogiéndoles 9 hom la partida de 22 caballos al mando del reb…</t>
  </si>
  <si>
    <t>Oraban, D Prudencio Echevarría y</t>
  </si>
  <si>
    <t>D Prudencio Echevarría y Oraban</t>
  </si>
  <si>
    <t>…iente, desempeñar su caigo. M dió cuenta de haber sido nombrados para la comisión de Guerra-los-Exce— Se_dió cuenta de. una exposreron dirigida al Sr. Presidente del Estamento lentísimos Síes, condes de Cuba y de S. Román. por el Sr. D. Prudencio Echevarría y Oraban, en la que trata de probar que En seguida entró á jurar y tomó asiento en el Estamento el Excmo. Señor no se halla encausado. Se mandó pasar á la comisión de Poderes. •ende de Guendulain. Esta comisión manife-tó haber examinado los podere* v documentos jus El Estamento quedó enterado de una partici…</t>
  </si>
  <si>
    <t>Oraban, Prudencio Echevarría y</t>
  </si>
  <si>
    <t>Prudencio Echevarría y Oraban</t>
  </si>
  <si>
    <t>…e, desempeñar su caigo. M dió cuenta de haber sido nombrados para la comisión de Guerra-los-Exce— Se_dió cuenta de. una exposreron dirigida al Sr. Presidente del Estamento lentísimos Síes, condes de Cuba y de S. Román. por el Sr. D. Prudencio Echevarría y Oraban, en la que trata de probar que En seguida entró á jurar y tomó asiento en el Estamento el Excmo. Señor no se halla encausado. Se mandó pasar á la comisión de Poderes. •ende de Guendulain. Esta comisión manife-tó haber examinado los podere* v documentos jus El Estamento quedó enterado de una partici…</t>
  </si>
  <si>
    <t>Oraban, Prudencio Echevjrria y</t>
  </si>
  <si>
    <t>Prudencio Echevjrria y Oraban</t>
  </si>
  <si>
    <t>…tarde; y que en acción de gracias se cantase un Te Deum en su Real La misma comisión.dió cuenta de haber examinado de nuevo el expcd’cncapilla, y que la córte se vistiese de media gala por tres dias con iluminación, te relativo á D. Prudencio Echevjrria y Oraban, manifestando que en vista salva de artillería y repique general de campanas. de las reclamaciones hechas en la se*on de ames de ayer, proponía la des Dió*e cuenta y pasaron á la comisión de Examen de documentos los nom aprobación de los poderes de dicho señor, y que se pasase ei cportuno aviso bra…</t>
  </si>
  <si>
    <t>Oran</t>
  </si>
  <si>
    <t>…plenipotenciario de Venedicha sala, hasta las primeras columnas. La biblioteca y piezas contiguas zuela está muy de acuerdo sobre este arreglo. (fiourricr Anglais.) que se estaban reparando, las oficinas del Parlamento, y las del lord Oran , Chambelán, las salas de conferencias, las habitaciones del converge &amp;c. que-“ ' trancia. dan intacta». París 20 de Ocluir* CÁMARA DE IOS COMUNES. L* Gaceta de Augtburgo de 7 del actual, refiriéndote á cartas de Constantinopla de 16 del pasado, dice: la epidemia hace grandes estragos, y pare „E1 s…</t>
  </si>
  <si>
    <t>Orase</t>
  </si>
  <si>
    <t>…, 20J y 204 al contado: 20|, J, 4 jr 21 i varias fs. vol. y WrExcmo.^ . . ..... SizmBaldoqacro Espartero.=Excmo. Sr. Sectétário de Estado y del Deudafirriie:negociable21J k 60 d.de f.I óp. vol.,TOÓ ás pápeleprima de20 14 p.60 100.d. £ Orase, 6 prima de l p. TOft Id. sin intctes,llé y llf al cornados. 11J, |, 4, éyll^i varias fs. ó voL: 12 4 60 d. f. ó vol., 4 prinia de f p. 100. ) espsllol, 00. ' CAMIIOS.'' Aossterdsm, 00. par 4 4 d. Cerilla, 4 k BayonaVOO. __ vüetscu, 4 id. Surdeos , 00 OtaOéda.Td. Id. Zar4gc*a,|L &amp;...... HansburgoyU…</t>
  </si>
  <si>
    <t>Orbe, D Nicolás Bonet y</t>
  </si>
  <si>
    <t>D Nicolás Bonet y Orbe</t>
  </si>
  <si>
    <t>…o. Las violencias cometidas en su desastroso reinado y no hubiesen prestado el juramento , á que se sirviesen verificarlo. En su con por el juez Shcpples y otros, fono ¿ los ingleses á sacudir el yugo; la medida secuencia juró el Sr. D. Nicolás Bonet y Orbe, Procurador por la provincia del sufrimiento había llegado á su colmo; la copa se había apurado hasta las de Granada. heces; la enfermedad había llegado á su crisis, y no había otro remedio sino Sr. Presidente: »La órden del día es la discusión sobre la petición acerca perecer ó restaurarse. En res…</t>
  </si>
  <si>
    <t>…s. Excmo. Sr. D. Francisco Martínez dé la Rosa* Apresura la, construcción del camino de Bonanza al Puerto de Santa María, Sí. D. {francisco Hubcrt. -y se ocupa en el proyecto de limpiar la barra de este, y en el de reunir las cor Sr. D. Nicolás Bonet y Orbe. rientes del Guadalcte al Guadalquivir, como asimismo en la pronta compo Sr.-D. Juan de Toledo y Muñoz. sición del arrecife que desde el rio Zurraque conduce á Chic lana. Sr, D. José de Búrgos y Tello. Ha procurado eh. vano formar una fcnbliotoo* pública en aquella capital. Sr. Conde deViihunecuu Ex…</t>
  </si>
  <si>
    <t>Orbe, Nicolás Bonet y</t>
  </si>
  <si>
    <t>Nicolás Bonet y Orbe</t>
  </si>
  <si>
    <t>…ductos del Voto, tendrán opcion ¿ canongías v prebendas de En virtud de dictámen de la comisión de Poderes fueron aprobados los igual clase, vacanres ó que vacaren en las demas iglesias del reino, sin pagar presentados por el Sf. D. Nicolás Bonet y Orbe, electo Procurador por la pro media anata , anualidades ni otros derechos algunos de los que causan las va vincia. de Oranada. cantes.” Se dio cuenta de un dictamen de la misma comisión, relativo á una ex El Sr. Osea manifestó que por la abolición del Voto en cuestión se irro posición en que ei Sr.…</t>
  </si>
  <si>
    <t>…as violencias cometidas en su desastroso reinado y no hubiesen prestado el juramento , á que se sirviesen verificarlo. En su con por el juez Shcpples y otros, fono ¿ los ingleses á sacudir el yugo; la medida secuencia juró el Sr. D. Nicolás Bonet y Orbe, Procurador por la provincia del sufrimiento había llegado á su colmo; la copa se había apurado hasta las de Granada. heces; la enfermedad había llegado á su crisis, y no había otro remedio sino Sr. Presidente: »La órden del día es la discusión sobre la petición acerca perecer ó restaurarse. En res…</t>
  </si>
  <si>
    <t>…xcmo. Sr. D. Francisco Martínez dé la Rosa* Apresura la, construcción del camino de Bonanza al Puerto de Santa María, Sí. D. {francisco Hubcrt. -y se ocupa en el proyecto de limpiar la barra de este, y en el de reunir las cor Sr. D. Nicolás Bonet y Orbe. rientes del Guadalcte al Guadalquivir, como asimismo en la pronta compo Sr.-D. Juan de Toledo y Muñoz. sición del arrecife que desde el rio Zurraque conduce á Chic lana. Sr, D. José de Búrgos y Tello. Ha procurado eh. vano formar una fcnbliotoo* pública en aquella capital. Sr. Conde deViihunecuu Ex…</t>
  </si>
  <si>
    <t>Orbegoso</t>
  </si>
  <si>
    <t>…. anual1, qúe por un. término medio viene á dar á cada individuo la cantidad Lima. No nos atrevemos á anunciar cuál de los dos partidos saldrá triunfante: de 443 francos. El obispo de Cork tiene actualmente 1253 francos; el de el general Orbegoso, presidente interino de. la república, ocupaba á Callao, y Leighlin 2003; el de Cloyne también 2009-. Pero en cambio los párrocos ,y su adversario el general Gamarra estaba en Lima. Diariamente había escaramu demas eclesiásticos encargados del servicio espiritual no reciben mas que de 15 zas entre…</t>
  </si>
  <si>
    <t>Orbigny</t>
  </si>
  <si>
    <t>…eclarado que intentaba sostener á Mr. JorgeWood, in sito de la-.cuc.'rii posee mejor en ata clase sobre varias parta de la España. dividuo residente por la división meridiohal de Lancashire, que debe ser opues Los itinerarios del Sr. Orbigny cruzándose y siguiendo contornos enteramente to á lord Francis Egerton.que profesa opiniones torys; declaración que basta cerrados, se corrigen y se verifican por sí; sin embargo un comprobante mu ría para dar á conocer definitivamente la conducta que su señoría se propone cho mas completo ha sido…</t>
  </si>
  <si>
    <t>Orden, Quintanar de la</t>
  </si>
  <si>
    <t>Quintanar de la Orden</t>
  </si>
  <si>
    <t>…e, Hijar, Mo Madrid 14 de Mayo. ra , Segura, Teruel, Valderobres. Toledo. Escalona , llléscas , Lillo , Madridejos, Navahermosa, Ocaña , OrLista de los pueblos cabezas de partido de las provincias de España según gaz , Puente del Arzobispo, Quintanar de la Orden, Talayera, Toledo, Torla división judicial aprobada en Real decreto de 21 de Abril de ltí34- rijos. Albacete. Albacete , Alcaraz , Almansa , Casas Ibañez , Chinchilla , He- Valladolid. Medina del Campo, Mota del Marques, Nava del Rey, Ol llin , La Roda , Yeste. medo, Peñafiel, Rioseco, Valoría la B…</t>
  </si>
  <si>
    <t>Ordeñes, Diego</t>
  </si>
  <si>
    <t>Diego Ordeñes</t>
  </si>
  <si>
    <t>…en vez de recibir en las comendab'es y extraordinarios del muy bencmé ito doctor D Joaquín Manuel escuelas la educación civil y religiosa que conviene á la juventud, y de aplicarse de Quintana , y teniente comandante del prestd o D. Diego Ordeñes, á cuyo al aprendizage de algún oficio útil , vagaban por las calles mal entretenidos, incansable zelo se deben solidez , equidad y perfección, dignísimos verdadera cometiendo rapiñas, y ensayándose en mayores y-mas funestos delitos. PaTá mente de la gratitud general , y de mi cierno reconocimiento…</t>
  </si>
  <si>
    <t>Ordeño, Ambrosio de Velascoy</t>
  </si>
  <si>
    <t>Ambrosio de Velascoy Ordeño</t>
  </si>
  <si>
    <t>…e la sección de guerra al ministerio de Hacienda la comunicación de la órden conveniente al efecto. del consejo Real de España e Indias. El ayuntamiento de la villa de Elche de la Sierra ha hecho presente los Por fallecimiento de D. Ambrosio de Velascoy Ordeño , secretario del beneficios que resultarían de la construcción de una carretera lateral a i as pro gobierno civil de Zamora, se ha dignado S. M. conferir este destino á Doto vincias de Andalucía; y S* AL se ha servido mandar que en di*.iu poblj^ion Kucenio de Rojas, oficial primero de la contaduría…</t>
  </si>
  <si>
    <t>Ordofier, Cirios Linares y D Fernando</t>
  </si>
  <si>
    <t>Cirios Linares y D Fernando Ordofier</t>
  </si>
  <si>
    <t>…regimiento: en- el primer batallón y compañía de cazadores e! capítan D JoséGaruir ,.el teniente graduado de capitán D. Francisco Marcotegui, El comandante general de Vizcaya con fecha $ da Mayo nnrenaíca á rea y los subtenientes D. Cirios Linares y D- Fernando Ordofier; cu la de gran»* ministerio el parte siguiente; Excmo. £r.t con esta fecha difea-al Exoare, SOdsros el subteniente D. Manuel Jiménez y el de la propia clase D. José Rivas, fior comandante general de las ptpviocta» Vascongada! to que 4 V- &amp; éoptot</t>
  </si>
  <si>
    <t>Ordufiex, D Francisco de Prado</t>
  </si>
  <si>
    <t>D Francisco de Prado Ordufiex</t>
  </si>
  <si>
    <t>…de acreedores se consideren con derecho- á ip» fcleues ue han quedado por fallecimiento de Doña María de la Granada ^laew.y pacheco, mente muy buena acogida el príncipe del país; pero no Miaron otros vestigios é estado viuda del Sr.' D. Francisco de Prado Ordufiex, cófttúV gérietál'qué fue por de crrstianiimo en aquella parte, del Cáucaso, mas que ruinas de .iglesias anti SrM. Católica en la curte de Ñapóles; para que dentro del términopteéttó^y pero*» quísimas , perteneciente* al parecer á los primero* siglos de nuestra era, lo que torio de 30 dita contado*…</t>
  </si>
  <si>
    <t>Ordufiex, Francisco de Prado</t>
  </si>
  <si>
    <t>Francisco de Prado Ordufiex</t>
  </si>
  <si>
    <t>…creedores se consideren con derecho- á ip» fcleues ue han quedado por fallecimiento de Doña María de la Granada ^laew.y pacheco, mente muy buena acogida el príncipe del país; pero no Miaron otros vestigios é estado viuda del Sr.' D. Francisco de Prado Ordufiex, cófttúV gérietál'qué fue por de crrstianiimo en aquella parte, del Cáucaso, mas que ruinas de .iglesias anti SrM. Católica en la curte de Ñapóles; para que dentro del términopteéttó^y pero*» quísimas , perteneciente* al parecer á los primero* siglos de nuestra era, lo que torio de 30 dita contado*…</t>
  </si>
  <si>
    <t>Orea</t>
  </si>
  <si>
    <t>…ficio* acabo de reci Córdoba y 30 caballos de cazadores de la Guardia que apoyaron bir el parte de la acción del 2l), que con fecha del 30 me d.i des este movimiento, y aunque cedido á los facciosos relorzados por de Donamaria el brigadier Orea , que a la letra dice asi</t>
  </si>
  <si>
    <t>Orense</t>
  </si>
  <si>
    <t>…de la proposición iba precisamente dirigido á defender las minorías contra las Se leyeron los artículos 110 y 76 del reglam.^o, el primero á petición mayorías; y que aun cuando acababa de decir un Sr. Secretario del Despacho del Sr. Orense, y el segundo á la del Sr. marques de Someruelos; y leidos.dijo que cabalmente los que adherían á ella eran de la mayoría , esto ni era exa.to, el Sr. Orense que su objeto era que con arreglo al art. 110 se pasase al asunto como lo comprobaba el resultado de la última votación sohre el proveció de…</t>
  </si>
  <si>
    <t>…ución para equipo y gastos de la Milicia.” patrimonio exclusivo de una sola opmion; pero sí como un medio de la re No se tomó en consideiación. conciliación de todas, y de su reunión en apoyo del trono legítimo y de la con 67 Del Sr. Orense: «Quezal párrafo 4*° sobre empleados se añada*, «úni servación del orden público, que interesa igualmente á todos los que tienen en camente en las horas en ^ue tengan que cumplir con sus obligaciones.” lazada con aquel su existencia y la de su» fortunas. El Gobierno parte del prin La apoyó S. S., m…</t>
  </si>
  <si>
    <t>…que crea oportunas, como ella; y si no, qué aclaración nos da para haber variado de ella después de sen de cualquier otro periódico.” tir ese efecto mágico que hace á los hombres fijar sus opiniones por el impulso A petición del Sr. Orense se preguntó si el punto estaba suficientemente de su corazón y de propio motu. Es menester que haya tenido razones muy discutido , y resultó no estarlo. poderosas para haber cambiado de opinión: las que manifestó ayer no lo son. El Sr. conde de Toreno , Secretario de Hacienda: »No pensaba hablar «E…</t>
  </si>
  <si>
    <t>Orense, D Francisco</t>
  </si>
  <si>
    <t>D Francisco Orense</t>
  </si>
  <si>
    <t>…cular cuándo podrá concluirse la contienda entre el Presidente, el Senado y ei Sr. D. Juan Pa larca. Sanco. (Courier.) PROVINCIA DB PA1KNCIA. Sr. D. Francisco Redondo , del Tribunal Supremo de Etpa&amp;a. £ Indni. París 22 de Junio. Sr. D. Francisco Orense, propietario y del comercio. Lonja de ayer. Cinco por loO consolidados 106 fr. 30 e. Fondos españo PROVINCIA BB SAI ABANCA. les , renta de España 3 por 100,4Al* Empréstito Real de id., 86: rente Sr. D. Jbaquin Cáceres. perpetua de id. 78. Sr. marques de Villacampo. Se han recibido carta» de Atenas…</t>
  </si>
  <si>
    <t>Orense, Francisco</t>
  </si>
  <si>
    <t>Francisco Orense</t>
  </si>
  <si>
    <t>…ar cuándo podrá concluirse la contienda entre el Presidente, el Senado y ei Sr. D. Juan Pa larca. Sanco. (Courier.) PROVINCIA DB PA1KNCIA. Sr. D. Francisco Redondo , del Tribunal Supremo de Etpa&amp;a. £ Indni. París 22 de Junio. Sr. D. Francisco Orense, propietario y del comercio. Lonja de ayer. Cinco por loO consolidados 106 fr. 30 e. Fondos españo PROVINCIA BB SAI ABANCA. les , renta de España 3 por 100,4Al* Empréstito Real de id., 86: rente Sr. D. Jbaquin Cáceres. perpetua de id. 78. Sr. marques de Villacampo. Se han recibido carta» de Atenas…</t>
  </si>
  <si>
    <t>Orev</t>
  </si>
  <si>
    <t>…ocido que no era poderoso á proteger á su país contra la (Continuación dél correo anterior.) veneno» influencia de los principios democráticos de la Francia, fcuando Burke manifestaba de un modo tan franco sus opiniones, el noble conde (Orev) que sosia. ■ se baila ahora á .la cabeza del gobierno empezaba su vida pública, y sin duda S. Petersbiargo. 28 de Mayo. no podra menos de observarse que su carrera política haya comenzado en me w un periódico de cstacapital: dio de la propagación del jacobinismo francés, y que ahora se concluya co…</t>
  </si>
  <si>
    <t>Orey</t>
  </si>
  <si>
    <t>…á-cual se había agregado el destacamento del 4.a de ligeros que manejos oscuros: todo el munjée^ftapodido conocer los motivos que han diri esté_acantonado en Saint Pé. JLe acompañaban Mr. Goyeneche, corregidor gido la conducta de lord Orey, aunque hubiera sido de desear que nó hubiese (mairé),-el ayuntamiento y el teniente coronel Cpusin: en ésta revista ha diri abandonado á sus compañeros :«n la discusión del bilí relativo á los diezmos de gido sobre poco mas ó menos la siguiente alocución, en la que se manifiesta Irlanda. completam…</t>
  </si>
  <si>
    <t>Orfila, Mateo Pedro</t>
  </si>
  <si>
    <t>Mateo Pedro Orfila</t>
  </si>
  <si>
    <t>…bra del cementerio de aquella uso del guaco, cuya planta es un específico en las mordeduras de las culebras ciudad , haciéndola 4 su costa, y un hermoso paseo cuyos asientos de piedra ha inenenosas de la América, como nos refiere D. Mateo Pedro Orfila , y tenien costeado igualmente. do presente las observaciones hechas por D. Gerónimo Oí lega y Serrano, pro No se sabe de ningún robo cometido en los caminos de la provincia, cuyo fesor de cirugía, acerca dei envenenamiento de la víbora , en donde nuestra raiz espíruu público.es excelente. de arist…</t>
  </si>
  <si>
    <t>Oria</t>
  </si>
  <si>
    <t>…llas de tropas austríacas, y los gendarmes de á caballo habían hecho algunas tierra, la del general Latre se aproximaba hacia el mismo punto, y La prisiones, cuando esta mañana al amanecer se ha presentado la policía en casa del brigadier, Oria se hallaba en Olazagoitia. Las facciones se habían di de siete ’ú odio -personas con orden de arrestarlas. Entre estas se cuenta Mr. rigido hácia Onraita ; y muchos dispersos á las inmediaciones de U Pue BunZen, doctor en médiéina, hermano de uno de los que principalmente figu bla v Trevino , de do…</t>
  </si>
  <si>
    <t>…es de boca y guerra para tres pieses. Al siguiente dia l.° de Noviembre corriente marchó la indicada primera Accediendo S. M. á una solicitud de Doña Segunda Martínez Robles, se división en persecución de Zumaiacarregui, y la del brigadier Oria sobre San ha dignado resolver que se recomiende á los establecimientos de instrucción güesa en seguimiento de 2 batallones facciosos que recorrían aquel territorio. primaria del reino la lectura de la obra titulada El pequeño Carlos Grandis— son, luego que la interesada haya publicado la traducción…</t>
  </si>
  <si>
    <t>…las. potestades constituidas cididas á la bayoneta con alguna pérdida, pero con la satisfacción de rechazar enseñándolo asi á sus apóstoles, y dejándolo consignado en todas las páginas del las por la buena di/eccion del valiente coronel Oria y sus gefes de batallones sagrado Evangelio. »»Siendo ésto asi, dice, ¿cjué horror no deben -causarnos los Don Francisco Santiago y D. Jaime Alburnoht. .hombrÜsrque bajo pretexto 4c hacer cesar los males 4c la religión, que no exis La fuerza enemiga estableada en Asarta ocupaba sus posiciones inexpug…</t>
  </si>
  <si>
    <t>…tad9 y del Dtspaeko de la Grucrro. Isabel i i. No puedo menos de elogiar á V. E. la conducta de este oficial v su tropa, para que se sirva ponerlo en noticia de S. M. la Reina Goberna sñfh que las divisiones del general Córdoba y brigadier Oria se di dora. Dios &amp;c. Valladolid 2 de Diciembre de 1834^sE*cmo- $rc=Jose Ruchas rigían desde Salvatierra á cubrir la marcha del importante convoy de vestua Excmo. $r. Secretario de Estado y del Despacho de la Guerra. rios y otros efectos que de aquel punto iba á Pamplona, apoyadas por una co lumna d…</t>
  </si>
  <si>
    <t>…otivo de ulteriores partes, no ocurriendo otra. no~ día , regresando á ella con el convoy de Salvatierra , que llegó felizmente, es vedad. Mahon 7 de Noviembre de i834-=Vülacamp¡SL coltado por las divisiones del general Córdoba y brigadier Oria: la del pri mer o debió;pernoctar aquella noche en ligarte y VlUaba, y la del segundo en los Barrios; disponiéndose ambas á emprender la marcha que les señalase el general en gefe, con arttglo á las hoveras que tenia de las posiciones del ene ANUNCIO. migo, * ' Av r / I^or providencia del Sr. de No…</t>
  </si>
  <si>
    <t>…un4halagüeño. Este esmerado aseo en todos sus ángulos, unido á los cuidados que lacarregui con su facción al aproximarse nuestra* tropas. te lé&amp; prodigan en U provisión de alimentos y medicinas, á las atenciones y La división del brigadier Oria continuaba en el Bastan. beneficios de las personas caritativas que las visitan, y á la seguridad y certeza dvfa drljeada a&lt;»«tenei* erm que se les mira- en; la enfermería, derrama sobre éllós un bálsamo Consolador que los fortifica y alienta i sobrellevar el enor me peso del indestructible mal que…</t>
  </si>
  <si>
    <t>Oria, Marcelino</t>
  </si>
  <si>
    <t>Marcelino Oria</t>
  </si>
  <si>
    <t>…de operaciones Sr.: Habiéndo Vireioato Navirra.=Excmo. y ejército di £ id. 4 1 90 dias, Lóadres, Santander, id. 4 4 p. 100 al añ de presente los gefes Luis me hecho Fernandez da Córdoba división D. y Don 1 Santiago ,Bilbao, $ d. d. , 38$. Marcelino Oria lo mucho que convendría dar siquiera un dia de descanso ¿ la tropa de sus divisiones dentro de los muros de esta ciudad para que pudiera sin precipitación recoger las prendas de equipo, reconocer su armamento y ANUNCIOS. asearse, he convenido en que enfren en la plaza las dos divisiones con este ob…</t>
  </si>
  <si>
    <t>Oribe, José</t>
  </si>
  <si>
    <t>José Oribe</t>
  </si>
  <si>
    <t>…e la Rbína Tiuegtre SefxsT*-Deñ* rona. Entre tanto yo con mi gefe de plana mayor D. Domingo de Aristirabal, Isa'bel ii y de su adorada y augusta Madre la RBiNA‘Gobemadera. y mis ayudantes de campo y de plana mayor O. Juan Zavala, D. José Oribe, D. Santiago Miranda , D. Julián Pascaran, D. Kufino Ipiña y D. José Perez, marché á otra serie de alturas mas á la derecha, desde donde se descubría bien - El buque correo xle lá 'Habana núm. 4 ^árá la vela del ¡puerto de Cádíz el r| de. cerca al enemigo; y estándolo observando llegó sobre nosotro…</t>
  </si>
  <si>
    <t>Original</t>
  </si>
  <si>
    <t>…inos de Valencia y Murcia. =Piana Si recomendase á V. S- todos los valientes que con tanto de mayor.zrComandancia general del Este del reino de Valencia.mKxnuedo han combatido esta noche, tendria que hacer 220 recomen celentísimo Sr.: Original acompaño á V. E. el oficio que he reci daciones. V. S. conoce que esto es muy pesado, y asi pues me li bido del gobernador de Peñíscola , el coronel D. José Santa Cruz, mito á incluir la lista del dignísimo gefe, oficiales, sargentos y ca refiriendo el denuedo con que las tropas de su mando arrojar…</t>
  </si>
  <si>
    <t>Orilla, Mariano</t>
  </si>
  <si>
    <t>Mariano Orilla</t>
  </si>
  <si>
    <t>…continuación se expresan. . ■■ joEpfryoi que se han dedarilos envenenado* ó asfixiados, y medio»pruplfi* parai reconocer los venenos y los vinos adulterados, y para distinguir la mper(e verdadera; Párvulos de de ia apaíínté, por D. Mariano Orilla: un tomo eo 8.° mayor, Se bau.ará eh la líbre-' Dias. Varones. Hembras. ambos sexos. Total. ría de fladz A 14 rs. en pasta y ia eb rústica. —Vida* de españoles e*lebrtr.y por D. Manuel José Qulotana , tomo 34o que cootte-v , 5 de Marzo... &lt;5 8 4 18. o'bispone las dede Cfilapa^yD.f jívaroprotectorde…</t>
  </si>
  <si>
    <t>Orillana, Francisco</t>
  </si>
  <si>
    <t>Francisco Orillana</t>
  </si>
  <si>
    <t>…ron i4 = que había sido invadido el pueblo de Comin Real: Mullen; los cabos primeros Pedro García y Vicente Eravo, y los soldados que en los 20 pueblos de la provincia que sufrían el cólera y le daban noti Antonio Fernandez, José Coronel, Francisco Orillana, Juan Jaén, Juat) cia del estado de la si.ud pública, seguía la enfermedad su curso .ordinario, Hernández, Mariano Vázquez y Gines PereZ: de flanqueadoresde Navarra Se siendo en muchos de ellos bastante corto el número de fallecimientos: final bastian Perez. mente, que había en la provincia otros p…</t>
  </si>
  <si>
    <t>Oríllase</t>
  </si>
  <si>
    <t>…o de Justicia presenta dos proyectos de ley, cuyo objeto es con ceder carta de naturaleza al conde Borgarelli-d'lson y ú D. Mateo Josef Buena-* ventura Orilla, natural de Mahon, en la isla de Menorca. Para conceder esta gracia al doctor Oríllase funda el ministro en que el interesado reside en Fran Partes recibidos en la secretaría de Estado y del Despacho de la Guerra. cia desde el año de 1807; que está casado con francesa desde 1815 , y natura lizado francés por Real orden de 2\ de Diciembre de 1818; que posee una Ejército de operaciones…</t>
  </si>
  <si>
    <t>Oriol, Ciscar y</t>
  </si>
  <si>
    <t>Ciscar y Oriol</t>
  </si>
  <si>
    <t>…ella que los ayuntamientos rengan otra planta- * Sé nombró pan la comisión de rentas estancadas, en sustitución del Sr. Ga ” Estas corporaciones , tales como están en el día, ó con agregación á ellas ra y que se halla enfermo, al Sr. Ciscar y Oriol. de otras personas que se les unan con este objeto, tendrán puntos de contacto Los Sres. Crespo Tejada, Fonragud, Otazu , Domecq, Ferrer, Marques de con la formación de la Milicia; y cuando se arregle el sistema municipal, ga Artariz, y Ciscar (D. Ramón) fueron nombrados para componer la comisión nará…</t>
  </si>
  <si>
    <t>Oriola, Ciscar</t>
  </si>
  <si>
    <t>Ciscar Oriola</t>
  </si>
  <si>
    <t>…nadora por habernos restituido las leyes fundamenta Istúríz, conde de las Navas, Caballero, Ciscar, Fontagud Gargolio, Galwe\, les de la monarquía, anunciándonos en su discurso de apertura de las Cortes González Perez, Marti, Del Rey, Ciscar Oriola. qüe el Estatuto Real había echado los cimientos del edificio que nosotros En seguida se leyó el párrafo del proyecto del Gobierno que asignaba al debíamos levantar. Esta Señora nos ha donado el Estatuto á imitación de la Sermo. Sr.Infante D. Francisco de Paula, su augusta esposa y familia &gt;00 gran…</t>
  </si>
  <si>
    <t>Oriola, Ciscar y</t>
  </si>
  <si>
    <t>Ciscar y Oriola</t>
  </si>
  <si>
    <t>…erán considerados como hijos de familia y se podran alistar en la Mi el punto que le acomode; por lo cual no hay ninguna responsabilidad ni ga licia.” rantía en él. Supongamos que tratase de cometer un crimen: desde el momento El Sr. Ciscar y Oriola dijo que en la provincia de Valencia había dife en que lo meditase, procuraría fugarse de la casa de su principal; lo que no su rente» poblaciones, como Alcoy, Alara y otras, cuya poblacion^mo Ucearía cede con un hijo que está en compañía de sus padres. Por consiguiente la ga acaso á lo 9 almas; pe…</t>
  </si>
  <si>
    <t>…rven acerca de este punto en el reino de Va si tiene derecho para percibirles el que lós reclama de tales ó cuales frutos, en lencia. - , . * . mas ó menos cantidad. En suma se trata únicamente de si una corporación .res- ,J ! El Sr. Ciscar y Oriola deshizo algunas1 equivocaciones , .diciendo que'de. petable por cierto,, pero rica y suficientemente abastada de ■ lo necesario, debej¡ toda tia‘é Je tt,ra podían hacerse pasas; pero/que ¡4 experiencia habla demos-, ,ó no mejorar de condición y aumenfar sus intereses yj rentas ,á costa dél pobre ■…</t>
  </si>
  <si>
    <t>…agar ésto ramente contencioso, debía ventilarse en los tribunales competentes, y el Es. diezmo; y aun no solo esta á su favor la justicia , sino también la conveniencia tamento no tenia facultades para ocuparse de él. pública. El Sr. Ciscar y Oriola contestó que la petición noJenia por objeto entro «Entre los bienes que hemos logrado desde los acontecimientos extraor meterse en asuntos puramente judiciales, pues lo que únicamente solicitaban dinarios que ha habido en éste siglo, uno de los principales han sido los ade los peticionarios er3 que…</t>
  </si>
  <si>
    <t>Orja</t>
  </si>
  <si>
    <t>…existían 4*1 enfermos. Ejército de operaciones de Navarra.=Excmo. Sr.=Son las diez de la no PROVINCIA BE OVIEDO. che , y acaban de presentárseme los edecanes que en mi parte de ayer dige á V. É. había enviado á encontrarte con el brigadier Orja, y rae traen partes de m ara co aei mes proxmro pasado se cantó él -TV Detsm en la capital este, de fecha de hoy á las ocho de la mañana, en uno de los cuáles me dice de esta provincia, libres ya sus limitantes del funesto influjo del cólera. entre otras cosas lo siguiente : »A las siete de la maña…</t>
  </si>
  <si>
    <t>Orla</t>
  </si>
  <si>
    <t>…e la provincia se presentaban varios ca lumna' de 1500 hombres al mando del brigadier barón del Solar, para tomar sos de cólera, pero sin propagarse 4 los caseríos inmediatos. .jarte en aquellas operaciones. ; 1 ^ Según aviso del brigadier Orla diel 27 4- las nueve de la mañana , se há PXOVINCIA DE FALENCIA. llaos con su divúion no Torralba. EE25 el general Lorenzo estaba en Eli— zondo después de haber huido, 4 la noticia de su aproximación, los facciosos En 29 del mes próximo pasado se padecía todavía el cólera en' 11 pue , qi^.&gt;\oiffipa…</t>
  </si>
  <si>
    <t>…ferencia y otras tropas. Hisiguiente: bilítado el castillo de Zamora, han salido de Valladolid las píeos Después de las gloriosas acciones sostenidas el 29 del mes pró destinadas á artillarle. ximo pasado por el general Lorenzo y brigadier Orla, salió el ge Las pequeñas facciones que asomaron en Astúrias fueron al neral en gefe dé Pamplona el dia 5 para emprender nuevamente punto deshechas, habiéndose cogido un cabecilla, y huyendo otro sus operaciones; y según noticias del conde de Armildez, residente por los montes. Lo mismo sucedió en…</t>
  </si>
  <si>
    <t>…brillante imaginación y una inagotable fertilidad, son las dotes ¡principa jas, Züfiiga ¿te. les que le distinguen, y que forman las delicias dé todas las personas de buen Mientras qué yo ataqué de frente él primer punto, el Sí. brigadier Orla gusto, que se hallan muy dispuestas á perdonarle sus frecuentes incorreccio cayó sobre Zuñiga, y el enemiga tuvo que huir vergonzosamente en la mayor nes, y las. faltaste estilo y lenguage en queno -puede, dejar de incurrirá cada dispersión por S. Vicente de Arana, pues que el coronel Gurrea cayó t…</t>
  </si>
  <si>
    <t>Orlandis, D Luis de S Simón y</t>
  </si>
  <si>
    <t>D Luis de S Simón y Orlandis</t>
  </si>
  <si>
    <t>…................. 4^ Madrid 11 de Julio. Reserva para las costas de Francia (Mediter ELECCION DE PROCURADORES DEL REINO. ráneo) ............... 21 Idem (Océano)......... ........................................ 32 ISLAS SALEASES. Sr. D. Luis de S. Simón y Orlandis. Total......................................... 158 Svr D. Pedro Canals y Mayol. Sr. D. Juan Camps y Soler. En el periódico de Tolosa, titulado la Francia meridional, del 28 de Julio, se lee lo siguiente: » Habiéndosele admitido su dimisión al general Vinot, comandante del departamento de los Pirine…</t>
  </si>
  <si>
    <t>OrlofF</t>
  </si>
  <si>
    <t>…al era sobre la totalidad del proyecto: del mismo dictamen fiie el la Europa hacia los negocios del Oriente. Sr. Sánchez: el Sr. Vasconcelos sostuvo también que el proyecto no debía vol be dice por personas bien informadas que el conde OrlofF, encargado re ver á la comisión; antesal contrario, una vez discutido en su totalidad, era cientemente de una misión en Holanda, será nombrado embajador de Rusia justo proceder á la discusión por artículos: en sentir del Sr. Sousa, la discu cerca dé la corte de han Jame». sión solo se podía verific…</t>
  </si>
  <si>
    <t>Orloff</t>
  </si>
  <si>
    <t>…a ____ En una carta de Stockolmo de 3 de este mes, inserta en ei Diario de en el ministerio de Negocios extrangeros acerca de los negocios de Oriente. Francforty se dice jo que sigue: «Hace muchos diás que se ha vuelto á asegu El conde Orloff y el almirante MontschikoíF, plenipotenciarios nombra rar que el general conde de Loevewbielnz deberá regresar á París á desempeñar dos para asistir al congreso de Ministros en Viena, no saldrán de S. Petersbur— de nuevo su encargo de ministro plenipotenciario cerca de la corte de Fran go antes dé la…</t>
  </si>
  <si>
    <t>…se arreglarán provisionalmente por el ministro de los inconvenientes de este tratado, y se arrepienten de haberse dejado engañar Guerra, y definitivamente por decreto, cuando la experiencia haya hecho co por las insinuaciones del conde OrlofF; pero creen que no se puede deshacer un nocer las modificaciones que podría ser necesario adoptar. tratado sin violar la fe jurada, y que no se debe pagar con ingratitud los benefi cios que reciñeron de la Rusia en la catástrofe del año pasado: lo mismo opi ■ El minUtro de Marina ha hecho salir alg…</t>
  </si>
  <si>
    <t>…omo cristiano fuese pasado por ham, primer lord del alqtürantazgo ingles; conde Nesselcode, principe de Lie- las armas, cual se ejecutó á las doce de la mañana de.éste dio. Lo que traslado ven, conde Matuchewits, de Ribcaupierrc, conde Orloff y conde de Mentzi- á V. E. acompañando copia del parte que se cita; debiendo ademas manifestarle koff, grande almirantea de Rusia, be dice que loa. Sres. Desage, el general que de declaración del rebelde Bruno resulta que « presentó voluntariamente Schneidcr, el contraalmirante Hugon, ci general Guéh…</t>
  </si>
  <si>
    <t>Orloflf</t>
  </si>
  <si>
    <t>…Petenburgo de Junto. los efectos oportunos—Dios guarde á V. E. muchos años.=S. Ildefonso La noticia que traen los periódicos ingleses acerca del nombramiento del 1 i de Julio de 1834—Francisco Martínez de la Rosa.=Sr. Secretario conde Orloflf para embajador de Rusia cerca del gobierno ingles, no es aqui del Despacho de lo Interior. conocida. Antes bien parece que el puesto del príncipe Lieven quedará vacan—, te; y que los asuntos de la embajada serán dirigidos por un encargado de Ne gocios. (Gaceta de Estado ele Prusia.) SUECIA. PARTE N…</t>
  </si>
  <si>
    <t>Orlos</t>
  </si>
  <si>
    <t>…voz por medio dé sus delegados. mente , bien que esto ya era sabido, que él general español Rodil había en «Se ha manifestado la opinión,de que haya en cada asamblea colonial hom trado en el territorio portugués, y hecho alejar á D. Orlos. bres de color. Áunqúe cotlozcó qüe el honorable Mi Isambért es uno de los Sabia,.en fin, sir Vyvian por rumor público que la ratificación del tratado hombres que tienen las mejores ideas acerca de las Colonias, le haré observar -hahtajufrido dilaciones en Lisboa, y que el ministro británico en aque…</t>
  </si>
  <si>
    <t>Ornes, José</t>
  </si>
  <si>
    <t>José Ornes</t>
  </si>
  <si>
    <t>…su altura de modo ilameros, y otros agrupaban con vasos, que servían para el mismo efecto. Los que al mismo tiecppo que la música obraba todo el efecto apetecible , tuviese el colocados en los costados habían sido ejecutados por D. José Ornes, y los de vestíbulo la magestad que exigía el objeto. los frentes por D. José Piquer. A derecha e izquierda de este ingreso, se hallaba un arco espacioso que Sobre la arquivoha del arco en fachada principal se colocó un escudo de servia de paso interior para las capillas. armas Reales de España, so…</t>
  </si>
  <si>
    <t>Orodeari, Ilácido María</t>
  </si>
  <si>
    <t>Ilácido María Orodeari</t>
  </si>
  <si>
    <t>…s por su cuenta la hoja de ,las viñas pertenecientes 4 otras personas. Lecciones acogida! de latinidad para traducir con facilidad los autores el isleos Se instruye expediente sobre la enageriacion de baldíos en Lerda; lo que pot D. Ilácido María Orodeari3.* edición, corregid^ y aumentada. El pláh de esta haré que sí cojan 5U0 cahíces mas de grano en este pueblo. obra es uniformar los conocímienros teOricos de las'reglas con ejemplos excelentes, to Ha remitido al de Gorbes una instrucción sobre el modo de construir ban mados de los autores latinos,…</t>
  </si>
  <si>
    <t>Orozco, José</t>
  </si>
  <si>
    <t>José Orozco</t>
  </si>
  <si>
    <t>…en toda la provincial el ser cia, ó al secretario de la Real academia greco-latina de Madrid. vicio de scsuferíisq y en la habilitación y constru'ccion de puentes, como tam Nota. En la Gaceta núm. 84» columna 7,*, línea 43, dice D. José Orozco, léase bién en las obras y reparos hidráulicos qué exigían algunos muelles.de Jos puer D. José Ozores. •EN LA IMPRENTA REAL.</t>
  </si>
  <si>
    <t>Ortega, Joaquín</t>
  </si>
  <si>
    <t>Joaquín Ortega</t>
  </si>
  <si>
    <t>…circunstancias y los movimientos del enemigo, según tuve el honor de par de Valenéia de Alcántara D. Gonzalo Barrantes, y el subteniente de infan ticipar ¿ V. E. diariamente desde el 27 al 31 inclusive del próximo pasado Ju tería D. Joaquín Ortega buscaron en lo mas activo del fuego, y sin reparar en lio, en que sucintamente le indiqué haber batido en el día al rebelde Zutnala- ningún peligro, al Sr. general Espartero y demas gefes,' á quienes comunicaron carregui, ofreciéndole los detalles de esta brillante jornada. mis órdenes oportunas ef…</t>
  </si>
  <si>
    <t>Ortega, José Romero</t>
  </si>
  <si>
    <t>José Romero Ortega</t>
  </si>
  <si>
    <t>…yor de Aranda de Duero. Asimismo se ha servido nombrar S. M. la Rein a Gobernadora, en ca PROVINCIA DE ZAMORA. lidad de interinos, para la alca'día mayor del partido de NaVahermosa á Don Manuel de Benavides: pata la de Igualada á D. José Romero Ortega: para la Desde 25 á 28 de Octubre último falleció una persona en la capital de de Sigíienza á D. José López Ponce: para el corregimiento de Tarazona á aquella provincia, curaron 7, y no quedaba ningún enfermo : desde 20 á 25 D.! Francisco Perez de Lucía : para la alcaldía mayor de Santafé á D. Juan…</t>
  </si>
  <si>
    <t>Ortega, Miguel</t>
  </si>
  <si>
    <t>Miguel Ortega</t>
  </si>
  <si>
    <t>…ndiarios que han cometido muchas atrocidades en U ve co Herrero Blanco: para la de Carrion de los Condes a D. Agustín cindad de Landshut y Frcising, ha aparecido también en nuestras cercanías, y Gómez Inguanzo: para la de Bandé á D. Miguel Ortega: para la de en Munich mismo han tratado dé prender fuego á varias casas, pero se les ha cogido antes de qué pudieran causar daños notables. De esto ha nacido la vozLo&gt;ja á D. Francisco Javier Morales, nombrado últimaineme para la de que se habían descubierto cartas demagógicas, aunque no be sido ma…</t>
  </si>
  <si>
    <t>…dres, ó sean sustituidos por otros agentes S. M. la Reina Gobernadora se ha servido nombrar, en calidad de inte subalternos, pues los diplomáticos no están exceptuados de la ley general de rinos, para la alcaldía mayor de Bande £ D. Miguel Ortega; para la de Loja £ la naturaleza -humana, que señala ciertas ¿pocas de reposo, ó prescribe la ne D. Francisco Javier Morales; para la de Morilla del Patancar y Campillo de cesidad de atender á sus negocios; que este es el caso en que accidentalmente Altobuey á D. Pedro Henrique Montero; para el cor…</t>
  </si>
  <si>
    <t>Ortiz, Antonio María</t>
  </si>
  <si>
    <t>Antonio María Ortiz</t>
  </si>
  <si>
    <t>…iego: á Parte sanitario de 29 de Octubre. D. Manuel Ruiz de Montoya, corregidor de Verin: á D. Francisco de Paula Rog, -trdde m-,mr de San Felipe: á D. Francisco A ntnnio_Macho Ville gas , alcalde mayor de Villarejo de Fuentes: á D. Antonio María Ortiz, al Pueblos. Días. Enfermos. Curador Fallecidos calde mavor de Fuente del Maestre: á D. Remigio Romero Prieto, alcalde mayor de Dona Mencía: á D. Manuel García Saez Santander “alcalde mayor Casasola...... ., 15 Ag. á 6 Oct.. 379 323 52 de Infantes jy á D Eugenio Javalquinto y Portillo, alcalde mayo…</t>
  </si>
  <si>
    <t>Ortiz, Demetrio</t>
  </si>
  <si>
    <t>Demetrio Ortiz</t>
  </si>
  <si>
    <t>…quín Beneito y todos los individuos que se empeñan en él, produce la ventaja de Beneito y á D. Francisco de Paula Herrera; y en clase de fiscales, que esta tropa pueda servir y batirse desde el dia que principia ¿ para lo civil á D. Demetrio Ortiz, que actualmente sirve esta pla- pagarla el Estado; ventaji importantísima que ha tenida S. M. á ja-, y para lo criminal á D. José Huet. Y es mi voluntad que ca«la la vista al decretar el referido aumento, sin que por esto se grave* uno de los ministros de este superior tribunal ocupe, según su cla…</t>
  </si>
  <si>
    <t>Ortiz, José Gamboa y</t>
  </si>
  <si>
    <t>José Gamboa y Ortiz</t>
  </si>
  <si>
    <t>…sé Durango Calderón para Santa -Marta dé. ¡i tación de la Francia, una colonia en la costa septentrional de Africa. (DiarioOrtigueira ; á D. Joaquín Sanjurjo para Vilialba; á D. Tomas Ber- '■ de Roma.) nardino López para Muros; á D. José Gamboa y Ortiz para Nova; BÉLGICA. á D. Nicasio Ruiz de Romarate para Quiroga ; á D. lomas Rodrí guez Monroy para Negreira; á D. Joaquín Torreblanca. para Viana Bruselas 6_de• Junipv del JkíHo;á D.Francia» Sales Calíorubió para Caldas de Reís; á Li sección de la Cámara &lt;é¿préseritantes ha'ofrecido un. iht^es i¿sp…</t>
  </si>
  <si>
    <t>Ortiz, José Joaquín</t>
  </si>
  <si>
    <t>José Joaquín Ortiz</t>
  </si>
  <si>
    <t>…istro del mismo; para esta re tuidos. Por la noche hubo grande iluminación. sulta á D. Ramón Giraldo, regente de la audiencia de Valladolid; y El ministro ingles M. Dawkins, que toma ordinariamente la palabra en pata esta plaza á.D. José -Joaquín Ortiz, oidor dé la Real audien hombre de] cuerpo diplomático, ha observado por esta vez el mas profundo cia de Barcelona. Tendréislo entendido, y lo comunicareis á quien silencio, y lo* embajadores extrangeros no han dicho nada por coésíguienie al corresponda. =Éstá rubricado de la Real mano.=En Riofrio…</t>
  </si>
  <si>
    <t>…tros, á quienes no se acusa de otra cosa que de ser disidentes.'” Para la planta de la Real audiencia de ValJadolid rengo en El conde Carnavon declara que en su dictamen la adopción del bilí que nombrar para la plaza de regente 4 D. José Joaquín Ortiz: en clase se discute daría un golpe mortal á las antiguas universidades del reino, que son de oidores á D. Juan Nepcimüceno Vela, 4 D. Fermín Fernandez Ja gloria de la Inglaterra. De su seno, dice el orador , ha salido hasta nuestros de la Cuesta, 4 D. Manuel Paz, que lo son de la misma, 4 I). José…</t>
  </si>
  <si>
    <t>Ortiz, Juan José</t>
  </si>
  <si>
    <t>Juan José Ortiz</t>
  </si>
  <si>
    <t>…eo aqüella-ctudad 4 las doce del mismo día. Se apoderó inmediatamente de le de Callosa doÉnsarría; para este'áD&gt;. Bartolomé Calabuíg; para el de Chiva casa del conde de Guendulaiu, punto inmediato y que domina el Tuerté, desde á D. Juan José Ortiz, que lo esde Chelva 5 para el^"de -Alcázar de Sañ Jqan “ donde emprendió ufa vivo fuego contra la guarnición. ResultSñwvdc este ataque o á D. Joaquín de Palma y Vii^uesa, que lo es de Latín; panuel de Piedrabue- 3 heridos del regimiento de Soria ^ y á la hora en que escribía dicho coman na á D. Jos…</t>
  </si>
  <si>
    <t>Ortiz, Ramón</t>
  </si>
  <si>
    <t>Ramón Ortiz</t>
  </si>
  <si>
    <t>…la pureza de sus costumbres, la so Ignaciojie Alara, que lo es de la de díceres, 4 D. José Moreno lidez de sus principios religiosos, y la gravedad de sus hábitos ¿Querréis , aña Ramírez, fiscal del crimen de la de Valladolid, á D. Ramón Ortiz dió , que nuestros jóveoes se bagan semejantes á los que frecuentan las escuelas de Varona y 4 D. Ramón María FonSeca : en clase de alcaldes 4 Don de París, los cuales á cada revolución se hacen notar por su espíritu turbulen Juan de Serilla,4 D. Salvador María Quiroga, que lo son de la to, anárqui…</t>
  </si>
  <si>
    <t>Ortuño, Antonio</t>
  </si>
  <si>
    <t>Antonio Ortuño</t>
  </si>
  <si>
    <t>…queel carácter y número de jy. Joscf García y D. Pedro María de León, curas ecónomos; D. Antonio enfermos y fallecidos debe-infundir sospecha de existir en la actualidad alguna Mellizo, regidor decano de*este ayuntamiento, vocal; D. Antonio Ortuño, sín causa extraña que produce en estos últimos dias aliteración en la salud pública.' dico del común; D. Antonio Gallego, presbítero, vocal; D. Cristóbal Rodrí y obrando con la franqueza y legalidad observada en todas sus comunicaciones guez, médico titular, y D. Francisco del Cid, vocal; se dio c…</t>
  </si>
  <si>
    <t>Ortuño, José</t>
  </si>
  <si>
    <t>José Ortuño</t>
  </si>
  <si>
    <t>…reno para hacer inútiles nuestros esfuerzo». ermita: los comandantes del mimo cuerpo D. Ramón Carreño y D. José Ma Llegué á este punto en la tarde de ayer persiguiendo a Luqui, que en unión ría Cendtcra , el capitán óae cazadores D. José Ortuño y el abandeiado Doa de otros se habia dirigido á las Encartaciones * y recibí aviso deque la llamada Manuel de Luna que solicitaron ser empicados en los puntos de mayor riesgo: junta de Castilla , Ibarrola con su titulado batallón , que unido con alguno* de el P. capellán de dicho batallón D. Francis…</t>
  </si>
  <si>
    <t>Osea</t>
  </si>
  <si>
    <t>…Nicolás Bonet y Orbe, electo Procurador por la pro media anata , anualidades ni otros derechos algunos de los que causan las va vincia. de Oranada. cantes.” Se dio cuenta de un dictamen de la misma comisión, relativo á una ex El Sr. Osea manifestó que por la abolición del Voto en cuestión se irro posición en que ei Sr. marques de Benamazan, Procurador electo por la pro gaban perjuicios á los canónigos dé Santiago y á otras corporaciones: y que p-&gt;r vincia de Soria, manifestaba su imposibilidad física de asistir á las sesiones, acre…</t>
  </si>
  <si>
    <t>Oseñalde, Luis</t>
  </si>
  <si>
    <t>Luis Oseñalde</t>
  </si>
  <si>
    <t>…ano-forte del maestro Hernández y otros compositores modernos; y Por Real órden de 14 de Marzo último se ha concedido pri los mejores solfeos de la escuela italiana para tipié y para bajo á pre vilegio exclusivo de introducción á D. Luis Oseñalde, teniente co cios moderados. ronel retirado, vecino y del comercio de esta corte, para lustrar y ------En virtud de providencia del señor Norzagaray, teniente corregidor perfeccionar el papel blanco é impreso; cuyo modelo y descripción de esta villa , refrendada del escribano del número Sancha , se…</t>
  </si>
  <si>
    <t>Osma</t>
  </si>
  <si>
    <t>…ocasionarlo la defensa que aun.hiciesen los Calahorra............. 24 4 25 Octubre. 3 00 i individuos de los dos batallones del Africa y la Reina encerrados en las casas, Enciso........... .. .. 16 ídem. 35 i 23 .,40 13 4 de el 'general'’Osma con salió' Vitoria y marchó las' fuerzas reunidas'allí, Logroño............... 33 26 24 ídem... i " 6 22. de protegerlos 4 la Echavarri tomaron posición ,.adonde.estsn hasta lawenta Nalda................... 20 í 23 ídem... 48 12 7 ,vista4el enémigJii que,Contaba con una evidente superioridad, y que…</t>
  </si>
  <si>
    <t>…cause común, digna por tantos títulos de des- vallé de Arratia , otra ‘en Orozco y Encartaciones, y la restante en Rigoilia. prrciafpetella mil vidas qne tuviésemos. Vitoria 27 de Abrí, de iS34~Joa- En la noche del 28, en que el general Osma comunica estás notiwias , salía estequiu de Óstíia. r-. .; . r - gefe para dar un golpe i los facciosos. ■ *■'•’Eaaa:pBl»brasfrandas enérgicas del general, y sobre todo la inestimable distinción y extraordinaria honra pon que la Reina G.-hemadora se. dignaba £1 capitán general de esta provincia, co…</t>
  </si>
  <si>
    <t>…del brigadier Vario, huyó con los Miranda de Ebro. Idem................... 77 35 6 facciosos que la acompañaban por lo áspero de ia montaña hácia Araoz, sin Villadiego........... 4 á 6 Octubre.. 5 No consta. 2 senda n¡ vereda. Ei general Osma marchó con ia columna que se dirigió á Ar Villafranca......... 24 a 2V Setiemb. 27 Idem. 1 laban. Villdmbi$Ua .... 2 á 6 Octubre... 60 Idem. 8 Los siguientes partes del coronel Amor dan idea del movimiento de lo* ViUasaudiuo .... 25 Ag..a i.° Oct. No consta. Idem. SO facciosos» Parte primero. PROVI…</t>
  </si>
  <si>
    <t>…los en que r.o se haya conclui ,atacados por estos leales, y hubieron de abandonar el campo con gran pérdida do la construcción del cementerio, deben presentar en esta subdelegacion un I huyendo por el mismo camino de Navarra. Ei general Osma, que da este lige testimonio que acredite haberse realizado completamente en eJ improrogable 1 ro aviso en la noche del mismo día, añade que habían sido fusilados ya varios término de un mes contado desde hoy. facciosos. Lo mismo dice el comisionado regio de Alava D. Vicente Pereda al Art. 2.° Los…</t>
  </si>
  <si>
    <t>…esfera, y que sus enemigos son los que le han forzado á ser fuego, habia salido de Vitoria con cuatro batallones en dirección de Salva literato. Apenas la segunda edición de sus poesías le proporciona algún dinero, tierra.; y el general Osma, encargado interinamente del mando, en oficio del lejos de ensoberbecerse y creerse un genio superior y un hijo mimado de las día 16 dice: que los que habia recibido de Maestú y Salvatierra le acreditaban musas, le vemos entregado con el mayor entusiasmo 4 las tareas de la agricul la retirada del e…</t>
  </si>
  <si>
    <t>….. S. -recogieron veinte y tantos cadáveres, se hicieron mas de 30 prisioneros, y según 20 id................. 10. las noticias que se lian recibido de los pueblos llevan muchos heridos. 21 id................. u. Un ayudante del general Osma fine herido á su lado de un balazo, y un so brino del mismo general, que puesto al frente de la caballería cargó felizmen 8 13 5 26. te sobre los facciosos, perdió el caballo que montaba, también de un ba Observación. En el número de fallecidos estas inclusos L»_-dc los hospi lazo. tales y de toda…</t>
  </si>
  <si>
    <t>Osma, Joaquín</t>
  </si>
  <si>
    <t>Joaquín Osma</t>
  </si>
  <si>
    <t>…los principales cabecillas de la corona de riente el mariscal de campo D. Manuel Lorenzo, segundo cabo del vjreinvito Araeon , habían sitiado el destacamento de Beceite, compuesto de 70 valientes ¡de Navarra. El mariscal de campo D. Joaquín Osma se encargo aómismo el del 13 de línea , mandados por su. bizarro subteniente D. Miguel Rodríguez, dia 5 del de el cuerpo de ejército de las provincias Vascongadas; y al siguiente y les habían ya cortado el agua de la acequia, y estaban apoderados de las dia regresó á Navarra la división del mando d…</t>
  </si>
  <si>
    <t>Osorio, Alvaro de Navia</t>
  </si>
  <si>
    <t>Alvaro de Navia Osorio</t>
  </si>
  <si>
    <t>…mposición de los caminos de que ha hablado en el parte anterior, se ha ocupado en la mejora del que conduce de Benavar're á Graus, PROVINCIA DE OVIEDO. y está buscando medios pará emprender la del que va directamente desde BarSr. D. Alvaro de Navia Osorio (que debió comprenderse en la Oaceta de bastro á Zaragoza. ayer.) ¡ Activa la formación de padrones en los pueblos, lo cual junto con otras noticias que reúne le harán conocer exactamente la verdadera población de to PROVINCIA DE NAVARRA. da aquella provincia y el estado de su industria agrícola ,…</t>
  </si>
  <si>
    <t>Osorio, Diego Alvarez</t>
  </si>
  <si>
    <t>Diego Alvarez Osorio</t>
  </si>
  <si>
    <t>…ovo; para la de Ujijar á D. José de Navas García : para la de Ta— Munich 2 de Mayo. rancon á D. Manuel de los Ríos Gómez de Salazar: para la de Oli- Ya se han puesto en ejecución las medidas adoptadas contra los suizos, y venza á D. Diego Alvarez Osorio; y para la de Torreíaguna á D. Lo aun se han extendido á los franceses y á los polacos. Ya muchos de estos últi renzo González Sanz. mos han tenido que salir de la ciudad, y se ha prohibido bajo penas severas el uso de los antiguos trajes alemanes. (G. de Leipsick.') El día 1.® de Junio próximo es…</t>
  </si>
  <si>
    <t>Osorio, Francisco Abreu y D Juan</t>
  </si>
  <si>
    <t>Francisco Abreu y D Juan Osorio</t>
  </si>
  <si>
    <t>…iduos dicten cuenta por turno de lo, i 4 poderes que habian examinado y ros D. Rafael Midon, al teniente de Borbon D. Cristóbal Agúrlar y i los al encontraban corrientes, en conformidad al artículo 12 del reglamento; y en féreces D. Francisco Abreu y D. Juan Osorio , y i todos los individuos de Uor seguida fueron aprobados los de los Sres. Rodríguez Paterna, González (Don pa de estos mismos cuerpos: asi como al teniente graduado y alférez D, Juta 'Antonio), Polo (D. José Miguel), Cuevas, Mcdrano, Ma: l i ncz de la Rosa, Lacera., y al de igual grado y clase D.…</t>
  </si>
  <si>
    <t>Osorio, Juan</t>
  </si>
  <si>
    <t>Juan Osorio</t>
  </si>
  <si>
    <t>…or turno de lo, i 4 poderes que habian examinado y ros D. Rafael Midon, al teniente de Borbon D. Cristóbal Agúrlar y i los al encontraban corrientes, en conformidad al artículo 12 del reglamento; y en féreces D. Francisco Abreu y D. Juan Osorio , y i todos los individuos de Uor seguida fueron aprobados los de los Sres. Rodríguez Paterna, González (Don pa de estos mismos cuerpos: asi como al teniente graduado y alférez D, Juta 'Antonio), Polo (D. José Miguel), Cuevas, Mcdrano, Ma: l i ncz de la Rosa, Lacera., y al de igual grado y clase D.…</t>
  </si>
  <si>
    <t>Osorio, Ramón Pardo y</t>
  </si>
  <si>
    <t>Ramón Pardo y Osorio</t>
  </si>
  <si>
    <t>…rminos de la ciudad de Zaragoza; y las personas que quieran Héras: para la de Melgar de Fernamental á D. Gerónimo Tegerina: para la hacer algunas compras deberán tratar con la administración general estableci de Aranda de Duero á D. Ramón Pardo y Osorio: para la de Cabuérniga á da en Zaragoza, por la que se comunicarán las órdenes competentes á los encar D. Andrés Gabriel Cánovas: para la de Castrourdiales á D. Alejo López de gados de arboledas de dichos distritos para que suministren los que se pidan. la Caller-para4a de Villrrarr:edc a D. Canuto…</t>
  </si>
  <si>
    <t>Osset.del, Miguel</t>
  </si>
  <si>
    <t>Miguel Osset.del</t>
  </si>
  <si>
    <t>…lamores de la'sequíay de las enejecutaron con igual bizarría los mismos en ambos lados, mandando el ataque ^íertnedades: por el contrario la alegría lleva y llevará de boca *etr boca y de ge-, de la derecha el capitán mas antiguo D. Miguel Osset.del regimiento de Ge néracíon en generación ios dulces tiombres de la Rbína Tiuegtre SefxsT*-Deñ* rona. Entre tanto yo con mi gefe de plana mayor D. Domingo de Aristirabal, Isa'bel ii y de su adorada y augusta Madre la RBiNA‘Gobemadera. y mis ayudantes de campo y de plana mayor O. Juan Zavala, D. José…</t>
  </si>
  <si>
    <t>Otarena, Lucas Miguel</t>
  </si>
  <si>
    <t>Lucas Miguel Otarena</t>
  </si>
  <si>
    <t>…entes, ó principios de la ley natural, aplicados á Ja conducta y á los negocios de las naciones y de los soberanos; por M. Vattel : traducidos en - Muchos materiales que se han estado sacando de ellas por espacio de mas llano por D. Lucas Miguel Otarena, de Ja edición francesa publicada en París en 1820» de 29 años han dejado unas excavaciones muy profundas que presentan en su corregida y aumentada con nota^del autor y dé los editores. Esta traducción fue la se conjunto el aspecto del mas intrincado laberinto. Se .extrae continuamente gunda que se…</t>
  </si>
  <si>
    <t>Otazu</t>
  </si>
  <si>
    <t>…temente discutido, y quedó aprobado el dictí- V. M. se presentase en medio de sus hijos, sacrificando al deseo de'.su felicidad inen dé la comisión. eí de la seguridad propia, ní1 á estorbar que lo&gt; Procuradores vÍQÍejeiyS. secun Sr. Otazu: »34¿ parece que para evitar estas discusiones otra vez , se debe, dar tan altos, designios. Para quien tiene patria cualquier otro ipíéríjs e» muy para én lo sucesívp adoptar alguna regla; general.” subalterno; y poco importa perder la vjda si se fia acertado i cumpjir'jqs debeSr. Santafi: ”fíay a…</t>
  </si>
  <si>
    <t>…ecidió que no »,No tiene culpa el reglamento , ese malhadado reglamento, que como to por 75 votos contra 57, de 132 Sres. Procuradores presentes. _ das las trabas, embaraza y disgusta. Sí se hubiera pasado el proyecto de ley á El Sr. Otazu pidió se expresara en el acta que en la votación anterior ha una comisión, ó si el dictámen se hubiera presentado de la misma manera que bía sido de dictámen contrario á lo aprobado por el Estamento, el proyecto, entonces no hubiera,habido la menor necesidad de separarse del Se leyó la siguiente pr…</t>
  </si>
  <si>
    <t>…a parte ,jio Jsay. necesidad de V. M.~E1 marques viudo de Torrcmejú.:zcManuel María de Acevedo. — segunda.”------------------------------------------—---- “Manuel de la Riva Herrera. = José Rodríguez Paterna.=Andrés Visedo. =: El Sr. Otazu hizo presente que no había necesidad de variar el artículo. Conde de las Navas. = Fermín Caballero. = Javier Martínez. = Fausto de Ota- El Sr. Rivaherrera: «La petición debe producir una ley presentada por zu. = EI marqués de Someruelos.=José Alvarez Pestaña.=Pedro Ventura de el Gobierno para que s…</t>
  </si>
  <si>
    <t>…e informe quedaron Para la elección del quinto y último candi dar ' verifico nueva votación aprobados. entre los Sres. Santafé, Cano iManuel (padre- Atocha v Rrdnndo, quienes tu Igualmente lo quedaron y por la misma razón los del Sr. Otazu. vieron respectivamente 34, 17, 1. v 2U votos, no verificándose por lo tamo Se leyó la lista de los Sres, Procuradores que aver prestaron juramento en la la elección , y si solo , quedar eximido el Sr. Auscha. sesión régia, y son los siguientes: Rodríguez Paterna; González; Po'u: Cueva; Se procedí»,…</t>
  </si>
  <si>
    <t>Otázu</t>
  </si>
  <si>
    <t>…para este cargo y sus votos, á saber: la secretaría estaba incluso su nombre, como el de los demas Sres. Procuradores Sr. González por 56; Sr. Caballero por 55; Sr. True&amp;a por 51, y Sr. Bel que prestaron juramento. da por 43. El Sr. Otázu indicó que la nota de que se hablaba se podía pasar á la Ga El Sr. Presidente interinó hizo leer el art. 4^ del reglamento que previene ceta, puesto que es uú papel oficial. el modo de noticiar estas elecciones á S. M. en el caso de hallarse fuera de U - EtSr. González contestó que asi sé había pen…</t>
  </si>
  <si>
    <t>Otero, Datmacio Aragonés y D Fernando</t>
  </si>
  <si>
    <t>Datmacio Aragonés y D Fernando Otero</t>
  </si>
  <si>
    <t>…scuadra inglesa se halla todavía en el puerto de Vbur denes en diferentes puntos, que son los de carabineros teniente D. Bartolomé la , y con intencíonJ'sín duda efe permanecer algún tiempo, pues se han cele Rosclló, subtenientes D. Datmacio Aragonés y D. Fernando Otero, asi como brado contratas paya el abasto de Los buques por cuatro meses. Las tropas que el ayudante dcL mismo cuerpo D. Manuél Ciudad de la Hoz, y el alférez det Se bailan ¿ bordo, que ascienden á ISOQ hombres, desembarcan todos los dias regimiento de Caballería del Rey D. Martin Ramírez, quien nq…</t>
  </si>
  <si>
    <t>Otero, Fernando</t>
  </si>
  <si>
    <t>Fernando Otero</t>
  </si>
  <si>
    <t>…a todavía en el puerto de Vbur denes en diferentes puntos, que son los de carabineros teniente D. Bartolomé la , y con intencíonJ'sín duda efe permanecer algún tiempo, pues se han cele Rosclló, subtenientes D. Datmacio Aragonés y D. Fernando Otero, asi como brado contratas paya el abasto de Los buques por cuatro meses. Las tropas que el ayudante dcL mismo cuerpo D. Manuél Ciudad de la Hoz, y el alférez det Se bailan ¿ bordo, que ascienden á ISOQ hombres, desembarcan todos los dias regimiento de Caballería del Rey D. Martin Ramírez, quien nq…</t>
  </si>
  <si>
    <t>Otero, José</t>
  </si>
  <si>
    <t>José Otero</t>
  </si>
  <si>
    <t>…-Osuna, provincia de .Sevilla, cumplimentado por el Sr. de Norxagaray, renientécor— - &amp;jWdíW?h,á~sus¡casas los piozos que iubia SAcado el rebelde Merino, faltando regidor de ena villa, y escribanía de Agrá., te cita ál pre-bítero D. José Otero, natu— ¡ fl »ú¿*erp de/Táí^oe se JJeyó del Gumiel del Mercado. ral del reino de Galicia, acreedor á la testamentaria del difuntoD, José Mena Berna!, Añatíe^ue ia tranquilidad pública seguía sipa Iteración ,y queen el distrito pliso"ero secularizado del orden de S. Básico, cura ecónomo de la iglesia…</t>
  </si>
  <si>
    <t>Othon</t>
  </si>
  <si>
    <t>…ecución, pues las leyes actuales son suficientes si se les da la fuery poniendo en noticia de los representantes el placer que sentía por za de que carecen, y esto se logrará mandando que los jurados vo la elevación de su hijo el príncipe Othon al trono de la Grecia. ten en secreto, y que sea mayor el número de los individuos que Añadió que el espíritu de desórden había asomado en algunos pun hayan de componer dichos cuerpos: porque á no ser por la pusila tos , aunque pocos, de su reino, excitado por ciertas personas que nimidad de algufl…</t>
  </si>
  <si>
    <t>…ianza es una nueva garantía de que su independencia , la corona ¿e Nauplia habían salido para lo interior mas de 19 soldados para sostener la au Isabel n y su forma de gobierno serán respetadas. Pero en cambio aumenta toridad del Rey Othon, que en algunos distritos no era muy respetada. Aca notablemente la fuerza del ejército (ranees en el Rhin , haciendo inútil , en casó baba de llegar á Nauplia Ja ^¿cuadra inglesa mandada por sir J Rowley; cons* de guerra general, un ejército de observación en el Pirineo, que podrá presentar taba d…</t>
  </si>
  <si>
    <t>…mejoras que se hagan por los licitadores, Las tropas bávaras que pasaron á Grecia, deben, regresar á esta capital p^rj i guardándose escrupulosamente por el subastador las reglas siguientes: llegada ia el mes de Junio próximo. El Rey Othon, con el permiso de nuestro Sobera ifiora.yáia primera postura, se dará el primer golpe, despuc* de haberla anun- no, ha mandado que á todos los miniares binaros que han estado en Gre^.a ,'Chido en clara y alta voz. El segundo golpe se dará á los seis minutos, y á los se les de una medalla para perp…</t>
  </si>
  <si>
    <t>…e Nauplia, cuyo contenido en sustancia es Se asegura que los únicos bienes que posee ahora D. Miguel en Portugal, el siguiente: consisten en una pequeña fioca de valor de 4® bbras (esterlinas poco roas ó me El 4 de Marzo S. M. el Rey Othon asistió á un gran baile dado en Ar nos , pues Jas otras propiedades del mayorazgo del infantazgo &amp;c. hace tiempo gos por los oficiales de la guarnición de esta ciudad en la sala antiga del que fueron destinadas á cubrir parte de los gastos públicos. Las joyas pertene consejo. cientes á la corona qu…</t>
  </si>
  <si>
    <t>…el que iban tes han sido cogidos y encerrados en la PaUmide, que es una gran cárcel de incorporados los señores curas y administrador de Rentas Reales, el Sr. coro Estado, donde se halla Colocotroni confinado por toda su vida. El Rey Othon nel y oficiales del citado regimiento interpolados con todos ios demas corres se inclina á usar de clemencia con estos piesos; pero la regencia no se confor pondientes á esta guarnición y sus milicias, empleados de Real Hacienda v de ma con sus deseos, y cree que conviene poner fin a las conspiraci…</t>
  </si>
  <si>
    <t>…re este cuadro que representa el acto histórico mas importante del grande Estchan, tan querido de los moldavos, Atenas será decididamente la residencia Real. «LóS nobles pensamientos y las acciones con que entra V. A., verdade El Rey Othon vacilaba entre Corinto y Atenas; pero su viaje á esta úl ro hijo de la patria y Príncipe nuestro, en la carrera de su reinado, presentan tima ciudad ha acabado con .todas Jas incertidumbres. Qc» aceta Augt¿ urgen.') la imagen del dichoso porvenir que os grangeara el brillante titulo de here dero de…</t>
  </si>
  <si>
    <t>…síntoma de cólera á la salida importancia; por lo que hace á los detalles que dan acerca de la última insur de la Quintera. Las autoridades adoptaban medidas para impedir que se intro rección, nada añaden á loque ya sabíamos. El Rey Othon goza de excelente dujese, ó luchar eficazmente con élí Los habitantes se habían tranquilizado salud: tres veces por semana va á Nauplia, y á la noche vuelve á Argos. viendo todas las precauciones de higiene que se tornábaii4._y ei miedo, que pue Continúa dedicándose con empeño á sus estudios, sin d…</t>
  </si>
  <si>
    <t>…stas y han conferenciado con ei reis-eficodt, pues hasta aho colás María Garelly. ra no se ha visto modificación alguna en la conducta del gabinete otomano. r&gt; Esto produce naturalmente mucha inquietud en el ánimo del enviado d*i Rey Othon , complica su situación en esta corte , y quizá Le obligará á regres** ¿ su país como ya ha amenazado hacerlo, cerrando la legación y cancillería hasta que las cosas muden de aspecto, ó hasta que las potencias protectoras del PARTE NO OFICIAL. nuevo estado de la Grecia desplieguen mayor calor é int…</t>
  </si>
  <si>
    <t>…arse mas pernicioso á los intereses de las clases que trabajan , y al bien general Viena 19 de Abril. de la nación entera, que la existencia de semejantes sociedades.” Hablan, las cartas de Trieste de una ligera indisposición del Rey Othon, ____ Los papeles de Francia recibidos en los correos inmediatos á la procesión que sé atribuye generalmente á la influencia del clima. de nuestros artesanos, parecían alarmados de este alarde del pueblo, porque Cartas de Constantinopla del l.° de Abril anuncian el próximo matrimo por la experienci…</t>
  </si>
  <si>
    <t>…sus inas da de los gobernantes bávarov; aboca, ía victoria del paítalo trias nacional, gencroeasy benéficas iqtéieiOno inutilizadas inmediatamente por e l hoce de los partido'.que había TÍ—n,s ereábd^o -tt-rT.—fi- fi bandera del Rey Othon, intereses encontrados qiiemptesentaba su reunión. Verdad es que las intencio simplihcaba la siloacion «leí país, la coeducta ¿e las tropas de Mégáta había nes pcrversSsno sentían los mismos escrúpulos: con tál'quc no hubiese reme-'- sido hasta, entonces m modelo de paíriítttasmo y ifecipfína. El M…</t>
  </si>
  <si>
    <t>…i Había mas de cien obispos. Asi pues el argumento de M. Laurence no prueba sano M. Eynard para ser elegido comendador de la orden Real del Salvador. mas sino que la Mauritania Cesaricnse podía contar algunas ciudades y muchos El Rey Othon, queriendo dar un testimonio auténtico de su gratitud á un centenares de aldeas. hombre que ha hecho tan eminentes servicios á U Grecia, ha puesto de su le «Diré también acerca de los trigos conducidos á Roma , que la provincia tra en el título, que le nombra gran cruz de la misma órden. El doctor…</t>
  </si>
  <si>
    <t>…o nombrar ,í Don esta la desatendiese, á la inmediata superior; y asi sucesivamente Mariano Montalvo para que pase en calillad de encargado de .Nego hasta llegar á S. M. por el conducto de esta secretaría del Despa cios cerca del Rey Othon; y al propio tiempo se lia servido S. AI. cho. Pasado un año después de haber tomado posesión el adquiren— resolver que se dé entrada en los puertos del reino á los buques pro le, no se admitirá reclamación de ninguna especie. cedentes de Grecia, V que sean tratados los súbditos de la nucía l'o- })…</t>
  </si>
  <si>
    <t>…disuadido de su proyecto las tribus de Bcni-Mousa troni y sus compañeros está ya concluida. El primero y Koliopulo han sida y de Kracbnfeh, lo cierto es que acudieron muy pocos aribes, y que salieron condenados á muerte'; pero el Rey Othon ha conmutado esta pena en la de frustradas butstras esperanzas^ 20 años de prisión; ha habido un cartihin de mirmlBrin en nrreia. Mlurocdi^- " Ben-Zecri, que no renuncia á su, proyecto, ha hecho de nuevo una llamada dato ha sido nombrado embajador en la corte de Prusia; el célebre Rizo le re i los…</t>
  </si>
  <si>
    <t>…de empleos solo se dicen unos á otros ai oido en los salones diplomáticos que los papeles públi piensa en periód eos, en asonadas ¿ insurrecciones. Cuando se sepa lo que es cos se engañan sobre el nombre del futuro: este no es el Príncipe Othon, siso agricultura, será esta una verdadera ciencia al alcance de todos, Uceará á ser el Príncipe Real su hermano, de quien se trata en la negociación matrimonial, una profesión , y muchos jóvenes que se dedican á la abogacía sin tener pleitos, ■y la Princesa rusa está destinada á reinar, no en la G…</t>
  </si>
  <si>
    <t>…iinar la noticia del restablecimiento de la tranquili dad en todos los puntas. La regencia, es decir, el conde de Annanspcxg y el PARTE NO OFICIAL. consejero de Estado Kobell habian salido para Atenas. El 4 de Setiembre. &amp;. M. el Rey Othon ha salido igualmente para aquella NOTICIAS EXTRANGERAS. ciudad con los ministros Coletti y Lesuitc. El Rey aprovechará esta ncasjnjB para visitar otras partes del continente griego. (fj-aceta de Augsburgol) ALEMANIA. (Continuación del corteo anterior.) Francfort 28 de Octubre. &lt; ■■■':■ - sosia. ■ —…</t>
  </si>
  <si>
    <t>Othqn</t>
  </si>
  <si>
    <t>…los ptéacttel suelode la Grctiá ningún Príncipe extran- 13,131............. 500.......................... Cádiz. gero.” , i ■,, * 739....... 500............................ Idem. Sea ¿orno fuere', él advenimiento diplomático del Príncipe Othqn ne ha- 21,538.............. 500.. ................... . Madrid. cia mas que precipitar la caída det conde Agustín. Seria nunca acabar si mó « 25/00............. 500.. ............ Zaragoza. metiese i referir todas las precauciones que .se trató de tomar contra la inva 19422............. 500.___....…</t>
  </si>
  <si>
    <t>Otlion</t>
  </si>
  <si>
    <t>…que el M.ercurio de S tu vía , en su número de ayer, anuncia que -Mariano Montalvo para que pase en calidad de encargado de‘Ne- apenas el ministro de Austria vuelya a desempeñar sus funciones, que durante gocios cerca de S. M. el Rey Otlion. su ausencia desempeñaba el ministro prusiano barón de Nagles, se procederá no solo á determinaciones relativas á reclamaciones particulares, todavía en li tigio, sino ademas á inscribir en los protocolos de la alta Dieta las determina ciones dci Congreso de Viena, publicándose en seguida Las que pu…</t>
  </si>
  <si>
    <t>Otón</t>
  </si>
  <si>
    <t>…r cada id arrobas que se conceptúe la voz de que se dirigen á Orecia muchos buques cargados de armas para derribar varse en limpio. ................................................................................ 200 del trono al Rey Otón; con estos absurdos rumores procuran seducir á los ciu Molinos de chocolate, porcada piedra.............................. 200 dadanos , y cuando no pueden hacerlo obligan por fuerza á los pueblo^ á que se Fabricantes de manufacturas de lana, por cada telar. 100 reunancon ellos. El gobierno ha tomad…</t>
  </si>
  <si>
    <t>…oas,á bordounoy quedaballevar á que la voz. que fundamento ha corrido No tiene ningún sir Stratford de Canning iba á reemplazar á sir Roberto ‘Adaír en la embajada de - Bruselas. Grecia aLembajador ruso que debe residir cerca del Rey Otón. Los lores del Almirantazgo han dado las d¡sposiciones*convenientes para, mantener, una correspondencia regulan durapte el invierno eítt^e Lóndrcs y . - ZRANCtA. Lisboa por medio de barcos de vapor. . JX;*v Sabemos que no pudiendo el lord canciller ir á Manchester hasta después Burdeos 29 de Octubre. de…</t>
  </si>
  <si>
    <t>…egidor.=.Antonio Oliva, regidor. =Joscf Llach , diputado. =Jaime riscal de este nombre. Tricoupi, último ministro de Estado, ha salido para re Moragas* diputado.zcFrancisco Vidal, diputado. = Jaime Albert, diputado.= presentar al Rey Otón en nuestra corte. Narciso Antonio Pastors, síndico procurador generah=Francisco Baltá, síndico ____ Por noticias recibidas de Buenos-Aires se sabe que ha estallado allí una I pertonero.=Juan Perez Claras, secretario. espantosa insurrección, coh motivo de haber aprobado la Cámara d*~rcpreseu** tan t…</t>
  </si>
  <si>
    <t>…alir humo de enmedio de' los escombros, y de tiempo de Baviera, y que la noche antes se dló un gran baile por el presidente de la asa tiempo algunas llamaradas que obligaban á emplear las bombas, aunque regencia, á que asistió el Rey Otón. La regencia ha expedido varios decretas .ya no hubiese peligro dé que el fuego pudiese propagarse mas allá del recinto para hacer menos gravosa la recoleccjRi de diezmos. Los-disturbios de Maina afn,donde ha hecho sus estragos. Se han levantado barreras alrededor del tea han cesado enteramente, y va á…</t>
  </si>
  <si>
    <t>Otra, Barrena</t>
  </si>
  <si>
    <t>Barrena Otra</t>
  </si>
  <si>
    <t>…secución á los dispersos de la acción del 5 les había cogido ción, se fugaron, sin haber tenido-euro recurso que internarse en Francia, hasta un caballo cerca de Arete y muerto uno de ellos. &lt;cuya frontera los persiguió el citado coronel Barrena. Otra partida destinada.á El alcalde de Morata de.Jalón me da igualmente parte de que persiguien «conocer et campo de Manes se apoderó de los cañones y llaves pertenecientes do á dos facciesos que también se creen procedentes de la .gavilla de Jobcr , se Jalaos ióO fusiles acomodados ¿n 10 cajones. Otra…</t>
  </si>
  <si>
    <t>Otra, María Josefa Abarrátegui</t>
  </si>
  <si>
    <t>María Josefa Abarrátegui Otra</t>
  </si>
  <si>
    <t>…ragón con fecha de 7 del corriente da parte de loa- y Espejo. Otra como premio extraordinario de dibujo á Doña María1 de los 1&gt;er sido pasados por las armas en la mañana del 3 en Teruel el capitán Tetira-" Angeles Abtrrategui y á Doña María Josefa Abarrátegui. Otra igual por el do D. Antonio Borras y Josef Beltran, voluntarlo realista de Torreblanca, bordado con sedas sobre el papel á Doña María de los Dolores Vilches y pertenecientes á la facción de Morella. Que en Alcañíz el día 6, y en Calata— Espejo. yud el P habían sufrido igual castigo, en la primera el…</t>
  </si>
  <si>
    <t>OTríc</t>
  </si>
  <si>
    <t>…emos para que le tomasen en convderacion. Con este objeto se había pre au^aptevi jas.resolucíonés'del Estamento en ia discusión del expediente del In parado un proyecto dé ley acerca de esta materia; y cumpliendo con lo man fante D. OTríc». ' dado en el testamento de nuestro augusto difunto Monarca, que con tanta sa Se leyó un oficio en que el Sr. marques de Bellisca desde Valencia par» biduría y previsión puso al lado dé S. M. la Reina Gobernadora un Conse ticipa al Estam^n^o qué .Su Sr.*padre, Prócer del remo como grande de Es» jo…</t>
  </si>
  <si>
    <t>Otro, Presidentes</t>
  </si>
  <si>
    <t>Presidentes Otro</t>
  </si>
  <si>
    <t>…se imprimirla y distribuiría diqho dictámen, y señalaría dia pltár ya en el fondo cqns^iddgj^Lobjetp que.se han, propuesto,’* para su discusiou. - ,, . . Éí Sf - mdrquts dt Tprtemcjía: «Si mal no, he. seguido ia marcha de esta El Sr. Presidentes •• Otro de los asuntos señalados para hoy , es el pro discusión, la .hemos apartjujej fiel terreno en qim.'principió,,y ha venido á ser yecto, dc ley relativo á los bienes mostrencos, Va 4 abrirse sis discusión sobre uniéuestion cle reglapiento , ó mas bien de facultades' que Competen al Esta- él; parp lo cual se…</t>
  </si>
  <si>
    <t>OUfutbdl</t>
  </si>
  <si>
    <t>UtíS cüilqtíiera (jueiea et resulladó final de la eráis ¿ctusl, no puede dudarse qós nrMRtea pera qtte ne ee admitan otros Tceursot^dcl cura OUfutbdl sobre auc *1 fiorizonte éstá cargado por tridas partes, que no se percibe el mas pequeño ras negocio, y se sobresea en ios trámites judiciales por donde se ha-seguido basas tro de esperanza, de paz y sosiego para los desgraciados pueblos, reducidos í la ahora. - x alternativa de optar entre un tira…</t>
  </si>
  <si>
    <t>Ouíiot</t>
  </si>
  <si>
    <t>…poaery la moral su imperios cUndo las razones en qüe funda su propo- Aunque U cobecha de la aceituna no. ha ¡&gt;¿uo abundaoic en este pat», s*n Isicion. embargo, como ti fruto estaba en sazón podrá muy bien compensare uno porj I Et Sr. Ouíiot» mijiistro de'Instrucción pública, conviene con la indica- otro en 105 icsuitados. I cion del Sr. de Trac y , y la Camara aprueba el parralo con la variación pro- bi.\ 11l a. *T rigo , de 34 á 41 r*- fanega : ceñuda , de 118 id.. habas, dé Í7. : aceite , de II á 32| por dicho diputado. En seguida p…</t>
  </si>
  <si>
    <t>Ouru</t>
  </si>
  <si>
    <t>…. 11 , en caso de que el reglamento lo Las certificaciones llamada* de deuda diftrida continuarán circulando en permita; p^es si no, no he »}.cho nada.** &lt;1 estado en que se hallan, y sus sorteos se 1 cribarán como h*s» i d^u. Ei Sr. Ouru h zo p esente que en la última parte del artículo 96 te decía Art. 4*® Los intereses devengados y no pagados de la deuda con: a da des que no podía discutirse «a»ta ia sesión inmediata. de 1820 i 1323 y loe billete» 1 i ¿nudo* de premio, se capital ¿ar . por una Ei Sr. Cnacon «Atendiendo á lo que h…</t>
  </si>
  <si>
    <t>Oustavo</t>
  </si>
  <si>
    <t>…en sacrificio, dejó por legado á su inconsolable viu rianós, sardos y bá varos,* concurrió la Duquesa María Luisa de Parma, el da nuestra gratitud y nuestra generosidad! (/dj Duque de Módena, el príncipe Oustavo Wasa, hijo del ex~Rey Oustavo iv de Suecia, hoy el coronel Gustawson, y el general Cubieres. En Berlín es considerable la afluencia de extrangeros. El príncipe Mauro* cordato, embajador de Grecia en Munich, llegó el 14, y piensa permanecer aquí algún tiempo, y lo mismo el conde Luis de Irbach-Schoenberg. El Prín ESPAÑA. , cipe…</t>
  </si>
  <si>
    <t>Oxholm, Oirlos</t>
  </si>
  <si>
    <t>Oirlos Oxholm</t>
  </si>
  <si>
    <t>…onducción a Santander de los facciosos conde ayudante de campo D. Modesto de la Torre, el ya citado del general Lorenzo nados al servicio de Ultramar por el Real decreto de 24 de Enero último. D. Ramón Corres, contuso ligeramente D. Oirlos Oxholm, también ayudan— te mió, dos caballos muertos y varios heridos, entre ellos el de mi ayudante de Según parte del capitán general de Aragón de 15 del corriente, el día an campo D. Manuel Concha. terior debía caer sobre los enemigos situados en Verdun la columna del briga Aunque me hallo sumamente sa…</t>
  </si>
  <si>
    <t>Oyo.iim, Carlos</t>
  </si>
  <si>
    <t>Carlos Oyo.iim</t>
  </si>
  <si>
    <t>…estos habitantes un inocente dante de carfipo D. Modesto Latc»rre; el de la m.» '-.! ^ia*e de. c-ne-ai L &gt;-enz"» recreó próptó de las circunstancias, acordó que hubiese dos bailes, que fueron D. Ramón' Corres; contu&gt;o ligeramente D. Carlos Oyo.iim , también u&gt; uójtre muv concurridos, y otras diversiones , en que á la par del orden público, reinó mío, y do* caballos muerto-» y varios heridos, entre el.os el de mi avudeitc la fidelidad mas acendrada hacía el sagrado objeto de la veneración nacional. de campo D. Manuel Cuncha; habiéndole conduc…</t>
  </si>
  <si>
    <t>Ozores, José</t>
  </si>
  <si>
    <t>José Ozores</t>
  </si>
  <si>
    <t>…zarría , en la defensa de la ermita , el tambor del mismo cuerpo Ma brig;H&gt;eres D. Manuel Benedicto, D. Fermín Inarte, y los coroneles D. Fé leo LoíÍis, el primero que conoció el engaño de que 6C valían los enemigos lix Carrera y D. José Ozores, con quien marché, tas que lograron arrojar de pira sorprendernos, é incitó á su compañía á romper el fuego: el capiran Don sus guaridas á dichas facciones , prensándolas á una vergonzosa fuga háciarel Jacinto Soler, l«s tenientes D. Vicente Arruc y D. Lázaro Vives, y alférez valle de Arratia, dond…</t>
  </si>
  <si>
    <t>Ozores, José María</t>
  </si>
  <si>
    <t>José María Ozores</t>
  </si>
  <si>
    <t>…l 18 resultan por la declaración de ascensos. de Setiefltibre , y no' ha podido tener efecto por haberse padecido el cólera en este pueblo, se celebre desde el 12 al 16 de Octubre próximo venidero. S. M. se ha servido trasladar á D. José María Ozores, contador de Propios de la provincia de Oviedo , á la contaduría de Valladolid, vacante por jubila Igualmente se ha servido conceder su Real permiso para que en la villa ción de D. Santiago Gutiérrez, nombrado para la de Oviedo, á D./Vicente de Melgar de Fernamental se celebren dos ferias, una desd…</t>
  </si>
  <si>
    <t>O’Coivnell, Durham</t>
  </si>
  <si>
    <t>Durham O’Coivnell</t>
  </si>
  <si>
    <t>petiódícos; y después de haber remitido cuatro al lord Dimcaunon, tt dirigí rá tfa gran impulso, Aumentándose en todas las provincias los medios de circuí , ahora á lord Durham. O’Coivnell, dice el ¿Times, te olvida casi sleaipre de laciOn"í¡n los fünestps obstáculos que suícita la usura. , * ^ hablar de Inglaterra, pero en cambio habla mucho de Irlanda. Solicitó asimismo que se autorice al gobierno para contribuir ;con* algu - Xas últimás noticias de.Calcuta hacen unatriste pintura…</t>
  </si>
  <si>
    <t>P, A L R</t>
  </si>
  <si>
    <t>A L R P</t>
  </si>
  <si>
    <t>…s verdad que hasta la última ho los-reglamentos que exija la ejecución de cata ley; debiendo haber en todo Ja ra insistimos» como debíamos» en que se hicieran mejoras y economías'pa mayor publicidad. Madrid 2 de óctubre je 1834-— Señora. := A L. R. P. de ra ahorrar gastos» después se concedieron por unanimidad los 400 millones» V. M. = Conde" de Alínodovar , presidente. =: AÓtonio González, procurador basta cón Ja franqueza de no tomar en consideración las adiciones que so secretario. = Ferriiin Caballero , Procurador secretario.=Tclesforo de Ttueb…</t>
  </si>
  <si>
    <t>…esta necesidadJTe unión Dios comerve las preciosas vidas de la Reina nuestra Señora y^áe~V7M. que hrFrsñcfiry la Inglaterra experimentan en igual grado de tres ajos á esta , para "bien de ta España. Vitoria 23 de Agosto de 1834-=Señora^=:A L. R. P. parte, unión que tiene toda la política europea circunscrita á un drciL&gt; que njr de V. M.nEl comandante, Francisco María de Juga.=El ayudante l.°, Ino ios celos ni las pasiones pueden salvar? En vano procurarán los enem¡g%dej&amp; cencio García de Andoin =:Por la clase de capitanes, Gregorio del Val.^P…</t>
  </si>
  <si>
    <t>…a Señora, la de V. M. y cibió , con particularidad esta ciudad de la Laguna. Real familia para la prosperidad de la nación. Aun mas asegura el ayuntamiento, y es que el mismo nombre de Isabel San Fernando 19 de Noviembre de l833-=Señora.=:A L. R. P. deV. M.= añade i nuestra nueva Soberana cierta recomendación y feliz presagio respecto Josef Gutiérrez de Rubalcava. de nosotros: sí, Señora , en el glorioso reinado de Isabel i ia Católica se ganó esta isla para la corona de Castilla: el mismo pendón que se tremoló en su Señora: El alcalde mayor y…</t>
  </si>
  <si>
    <t>…arle si lo mayor brevedad cuanto considere conveniente para establecer en es jaHi arreglado y conforme a sus superiores intenciones.=Madrid 1? ta corte una escuela normal de enseñanza mutua, en donde instrui de Setiembre de 1834í=Señora.=A L. R. P. de Y, M.=E1 conde de dos prácticamente algunos ^profesores de primeras letras de las pro Torero. ... j, vincias, ó los que aspiren a serlo, pueda establecerse este método en las demas capitales y hacer progresivamente participantes de sus REAL DECRETO. indisputables ventajas á todos los pueblos. Al prop…</t>
  </si>
  <si>
    <t>…itase de la guerra lia, ó haber servido 10 años en la carrera de las armas sin la menor nota en de la independencia, y quedase solo los 25 años efectivos. La ley se hace para sus hojas de servicio. Madrid 10 de Setiembre de 1834-—Señora: A L. R. P. todo tiempo: quedando en su fuerza la primera parte ,jio Jsay. necesidad de V. M.~E1 marques viudo de Torrcmejú.:zcManuel María de Acevedo. — segunda.”------------------------------------------—---- “Manuel de la Riva Herrera. = José Rodríguez Paterna.=Andrés Visedo. =: El Sr. Otazu hizo presente q…</t>
  </si>
  <si>
    <t>…ha sido ni la Rusia, envió instrucción» á su embajador en S. Petersburgo, instando ai será perjura. Emperador á que variase de política, y no diese lugar á que se alterase la paz Casas consistoriales de Gerona 6 Enero de 1834* — Señora. — A L. R. P. general de Europa. de V* M*= El gobernador presidente Josef Marcos de Saíz. = Narciso de Bur .. Escriben de Grecia que ha sido preso el príncipe Gustavo Wrede, que gués, regidor. = Francisco Escarrá, iegidor.=rLuis Wontul, regidor. = Pio Boíx está allí desde 1826, por cómplice en la conspiración. E…</t>
  </si>
  <si>
    <t>…en el departamento del Es Recibid, Señora, estos puros sentimientos de fidelidad y amor con que se tado sean entregados i las personas que los recibieron, si todavía viven; y si honra esta ciudad. Alfaro 2 de Febrero de 18 34- = Señora. = A L. R. P. de han muerto, á sus herederos.” Este mensage se mandó pasar á la comisión de V. M.=C4ndido Palacíos.rrjosef Justo Morales de Sctsin. =: Manuel Antonio negocios extrangeros. de HeTedia.c=:Eusebio González.^: Pedro Orboyo.cc:Claudio Santusdeso. Ma , Del Cairo escriben que Mehemet AU ha formado una escu…</t>
  </si>
  <si>
    <t>…bien estar toda la ] todos los oficios, órdenes, cédulas, pasaportes y demas documentos que espi monarquía. dáis para España y para Indias, excepto aquellos en que Yo pusiere la mia, y Solana de la Mancha i 10 de Enero de 1334- — Señora. = A L. R. P-. de ] los demas casos en que se haya acostumbrado siempre que. los Secretarios de V. M. = Los propietarios, hacendados y labradores. = Por ia villa de Solana, Estsd j y del Despacho usen de la fiíttU entera. Tcndréíslo entendido, y lo co al alcalde mayor, Manuel Pascual de Mcdina. = El alférez mayor pe…</t>
  </si>
  <si>
    <t>…s seguido no obstante su: augusta Hija losarlos que Ja España necesita para complemento de su felici atentamente sus debates para calcular la influencia que pueden tener en el es dad y de su gloria. Habana y Noviembre 29 de 1833.—Señora,—A L. R- P. píritu de la nación, y fn los resultados de la presente legislatura. Creiamos que de "V. M-—Fr. Remigio Zernadas. acabando este año los poderes de la Cámara actual, se señalarían de una ma nera mas decidida los diferentes partidos que se habían notado en las sesiones PARTE NO OFICIAL. anteriores; p…</t>
  </si>
  <si>
    <t>P, A L.R</t>
  </si>
  <si>
    <t>A L.R P</t>
  </si>
  <si>
    <t>…ontribuyentes que lo hubiesen sido para las últimas pro V, M. no,obstante, se servirá resolver lo que fuere de su sobe puestas de concejales, cuyos individuo^ determinarán el capital ó rano agrado. Madrid 15 de Setiembre de í834.=Señora.=A L.R. P. valor principal de cada casa, fábricas, hospitales y demas edificios de V. M., su mas obediente y leal súbdito, José María Moscoso de por calculo aproximado, tomando como datos la renta ó cánon.del in Aliamira. “ -"r '-1' ■ quilinato, bien sea por enfiteqsis ó por arriendo; y las contribuciones REA…</t>
  </si>
  <si>
    <t>P, A los R</t>
  </si>
  <si>
    <t>A los R P</t>
  </si>
  <si>
    <t>…o deje un hijo varón, Rey D. Miguel. digo: que ni mi conciencia ni mi honor me permiten jurar ni reconocer otros no puedo tolerar que el cumplimiento de mis mandatos se haga de derechos- Palacio de Ramallon 29 de Abril de 1833. = Señor. = A los R. P. pender de sucesos futuros , agenos de las causas que los dictaron ; que mis ór de V. M. =r Su mas amante Hermaoo y fiel vasallo.rsM. el Infante Don denes se sometan á condiciones arbitrarías por quien está obligado 4 obede Cários.” cerlas. ' En 6 de Mayo se le concedió Real licencia para trasladars…</t>
  </si>
  <si>
    <t>P, A V R</t>
  </si>
  <si>
    <t>A V R P</t>
  </si>
  <si>
    <t>…o, que reúne en sí todos los objetos de la administración inte lable que tan imperiosamente reclama el mejor servicio del Estado. rior, y dirige la acción protectora del Gobierno; en la que la Real Fiofrio l.° de Agosto Je 1854.= Señora. = A V. R. P. = Nicolás Ma Casa y Patrimonio , como pertenencias de familia, tienen un centro rta Garelly. diiectivo independiente de las relaciones del Estado; y en que por REAL DECRETO. acontecimientos lamentables, ha perdido dé hecho la metrópoli gran Con arreglo á la planta que me Italieis propuesto , he ven…</t>
  </si>
  <si>
    <t>…pacho, y la que há de tener en adelante, si V- M. se digna confor marse con mi parecer; puesto que las ventajas y economía que abogan en favor de esta última, resaltan claramente del mencionado cotejo. Palacio de Agosto de 1854. =Señora. = A V. R. P. = Francisco Martínez de la Rosa. | u' - ' SECRETARIA DE ESTADO SEGUN LA FORMA ANTIGUA. SECRETARIA SE ESTADO SEGUN EL NUEVO ARREGLO. Eterno. Sr. primer'Secretario de Estado.............. 120,000 Eterno. Sr. primer Secretario'de Estado....................... 120,000 Sr. Subsecretario de Estado. .....…</t>
  </si>
  <si>
    <t>P, Carlos Moh</t>
  </si>
  <si>
    <t>Carlos Moh P</t>
  </si>
  <si>
    <t>…mpoco se les admitirán en las amortizaciones que la Real caja verifica por me un momento he salido á buscar la facción, distribuyendo lá tropa en dos trimestres. . j . ; . trozos mandados por los subtenientes D. Salvador García y D. Carlos Moh— P*ára la conversión de los recibos se observará el método prescrito en lo* delis* y i poco rato he tenido el gusto de encontrarla, derrotarla y dispersarla, presentados'á capitalizar, esto es, formando facturas duplicadas que expresen et quedando en el campo bastantes muertos, sin que pueda decir á V…</t>
  </si>
  <si>
    <t>P, Fertum de Iracheta E</t>
  </si>
  <si>
    <t>Fertum de Iracheta E P</t>
  </si>
  <si>
    <t>…o Q. S. M. R=Ju»n Antonio Zararicgul=El general es in- quirir el paradero de mi esposa , la que le fue presentada: con ella agotó toda clase de sugestiones, pintándole nuestra triste situación, y encargándole viniese exorable.=:A D. Fertum de Iracheta E» P,</t>
  </si>
  <si>
    <t>P, Nicolás García</t>
  </si>
  <si>
    <t>Nicolás García P</t>
  </si>
  <si>
    <t>…ot^ del mismo ,al mander del Teferido general Lorenzo, con la cual se unió en él compuesta del se(.retarlo del tribunal de Cruzada D. José Escario, del canó Bastan, asi como un convoy de dinero destinado para aquel ejército. nigo D. Nicolás García P;re, y de D. Pío Molina, para que bajo las órdenes El expresado general en gefe habia sido recibido con entusiasmo por las é instrucciones del gobierno civil de Madrid, visite todos los establecimientos tropas y por el vecindario de aquella capital. de beneficencia de esta capital, proponga las mejo…</t>
  </si>
  <si>
    <t>P, R R y</t>
  </si>
  <si>
    <t>R R y P</t>
  </si>
  <si>
    <t>…..... 160 Alas once y media de' la tháñana dé fejy se ba celebrado la’spgunda junta Excmo. Sr. duque de San Fernando, mensuales desde 15 de este mes. 1000 prtopáfrtbVfáen la cual fa comisión dé Estiben&lt;fc documentó» ha'presentado D. R. R. y P..........................................................................;........... ' 320 su dictámen réSpeeto á lós ijíié Se le fiaban 'entregado: despees áfé^úha ftíeve D. Claudio Gandulla....................................................................i................. 120 discusión , se ha dado entrada ebr'el.E&amp;tamerttoJ&amp;i’arios Sres. Próceres, con obli Juan Jo…</t>
  </si>
  <si>
    <t>P, Salvador García y D Carlos Moh</t>
  </si>
  <si>
    <t>Salvador García y D Carlos Moh P</t>
  </si>
  <si>
    <t>…oticia sin detener tampoco se les admitirán en las amortizaciones que la Real caja verifica por me un momento he salido á buscar la facción, distribuyendo lá tropa en dos trimestres. . j . ; . trozos mandados por los subtenientes D. Salvador García y D. Carlos Moh— P*ára la conversión de los recibos se observará el método prescrito en lo* delis* y i poco rato he tenido el gusto de encontrarla, derrotarla y dispersarla, presentados'á capitalizar, esto es, formando facturas duplicadas que expresen et quedando en el campo bastantes muertos, sin que pueda decir á V…</t>
  </si>
  <si>
    <t>P.edra, Encima y</t>
  </si>
  <si>
    <t>Encima y P.edra</t>
  </si>
  <si>
    <t>…n sobre la España. Pero permítame S. 5. le diga que no hay paridad entre zación de lás rentas; propoesta’en el Gobierno del Sr. D. Fernando vii , por estas dos cosas. Las contribuciones dichas, mas ó inepos legales, no se impu su Ministro Encima y P.edra , y que entonces se dijo,también que no era lle sieron de la misma manera que se contrataron los empréstitos. Para imponerlas gado el caso de ponerlo en práctica. se consultó i diferentes autoridades que estaban constituidas, consejos y ofici "Dijo el Sr. Martínez de ia Rosa1 que la minoría estaba…</t>
  </si>
  <si>
    <t>Pa, D Juan</t>
  </si>
  <si>
    <t>D Juan Pa</t>
  </si>
  <si>
    <t>…el Senado se in Excmo. Sr marques de Espinatdo. clina á declarar como calumnias y libelos. Ningún hecho nos da margen i cal Sr. D. Damian de la Santa. cular cuándo podrá concluirse la contienda entre el Presidente, el Senado y ei Sr. D. Juan Pa larca. Sanco. (Courier.) PROVINCIA DB PA1KNCIA. Sr. D. Francisco Redondo , del Tribunal Supremo de Etpa&amp;a. £ Indni. París 22 de Junio. Sr. D. Francisco Orense, propietario y del comercio. Lonja de ayer. Cinco por loO consolidados 106 fr. 30 e. Fondos españo PROVINCIA BB SAI ABANCA. les , renta de E…</t>
  </si>
  <si>
    <t>Pa, Juan</t>
  </si>
  <si>
    <t>Juan Pa</t>
  </si>
  <si>
    <t>…enado se in Excmo. Sr marques de Espinatdo. clina á declarar como calumnias y libelos. Ningún hecho nos da margen i cal Sr. D. Damian de la Santa. cular cuándo podrá concluirse la contienda entre el Presidente, el Senado y ei Sr. D. Juan Pa larca. Sanco. (Courier.) PROVINCIA DB PA1KNCIA. Sr. D. Francisco Redondo , del Tribunal Supremo de Etpa&amp;a. £ Indni. París 22 de Junio. Sr. D. Francisco Orense, propietario y del comercio. Lonja de ayer. Cinco por loO consolidados 106 fr. 30 e. Fondos españo PROVINCIA BB SAI ABANCA. les , renta de E…</t>
  </si>
  <si>
    <t>…parecían era todos los semblantes. Los portugueses vetan «entre á tributarle la guardia rtetional. ‘ ellos aquella por^quien tanta-sangre han vertido, por quien han sufrido tientos «Rio-Janeir* 28 de Setiembre de 1834—Firmado.=El coronel Juan Pa y .tan dilatados tormentos, ponqúian tantos sacrificios han hecho; YerémenJúa blo dedos Santos-Barrero, comandante superior interinó .de*la guardia nacio á la-suspirada María ii, brilíante«yaf»ble como la. aurora de la primavera, nal.” prometiendo afianzar para siempre la libertad, la.paz, la felicid…</t>
  </si>
  <si>
    <t>Pablo</t>
  </si>
  <si>
    <t>…tado miserable; y D. Miguel encargado de los’Negocios de la embijada de Rusia; y ei conde de Valdbnurg- no quería seguir mas opinión que la suya propia. El primer puso de BourZein y Wuraach de 1» de lá embajada wurtemburgues*. El príncipe Pablo snont fue enviar á Larochejaquelta á mandar tais tropas dé Lisboa, pero Don Xnerhaay, amatan cnbejadox ccrca de la coste de Londres, ha llegado aquí. Miguel le quitó el mando casi inmediatamente, y á pesar de que, «l duque (fe Cadiral enviaba corte» «obre corteo pidiendo algún general qeq as cacarg…</t>
  </si>
  <si>
    <t>PabLo</t>
  </si>
  <si>
    <t>…l vez, tal vez otra yedra Obras que se haltande venta en el despacho de la Imprenta Real, Al álamo»-queque tuyo, Paráfrasis árabe de la rabia de Cebes, tradocida al castellano é ¡lustrada con nota» En fuertes lazos estrecha.” por D. PabLo lozano y Cásela. De orden superior año de 1793, Un tono en 4.0 n**r~ -quilla, con una láiúinajñúa, ¿26 rs. rama y 35 pasta común. Pocos habrá que ignore» Eir a 33, un pastor, ausénte también* lo mucho que en todos tiempos han apreciado los doctos el tratado moral c&lt;-nociHé «Un gilguero, que volaba,…</t>
  </si>
  <si>
    <t>Pablo, Pedro</t>
  </si>
  <si>
    <t>Pedro Pablo</t>
  </si>
  <si>
    <t>…s últimos no se. los deja entrar sin presentar un per- de Marzo de 1834 * Ia* cinco de la tarde.=José Váscónpellos Bxnniisoespecialy Un pasaporte en regla. Un individuó que se' había déira de temos, gobernador de Leiria. se limo. Sr. Pedro Pablo presehtadó esta' semana con un permiso y un pasaporte que no le Fcrfeira de Sousa. (Crónica constitucional de Lisboa.) pérténedab, lo cuál sé ha descubierto^ por medio de la filiación, ____ De la lista que con fecha 1del corriente presenta el ayunha'sjdovconducido á la cárcel. daiite general detest…</t>
  </si>
  <si>
    <t>Pablo, S</t>
  </si>
  <si>
    <t>S Pablo</t>
  </si>
  <si>
    <t>…ambleas legislativas provinciales se compondrán de 36 critos en el párrafo 35 del artículo 179 de la Constitución el derecho que miembros en las provincias de Fernambuco, Bahía, Rio-Janeiro, Minas y esta concede al mismo Gobierno general. S. Pablo; de 28 en las provincias de Pará, Maranhao, Ceara, Parahyba, 97 Velar en la observancia de la Constitución y de las leyes en su pro Alagoas, y Rio grande do Sul; y de 20 en todas las demas. Este número po vincia, y representar, á la asamblea y Gobierno general contra las leyes de drá variarse por u…</t>
  </si>
  <si>
    <t>Pac, José María</t>
  </si>
  <si>
    <t>José María Pac</t>
  </si>
  <si>
    <t>…de debía tomar el de Aceilana, administrador de la renta en Miranda de Ebro: la plaza de ofi agua la acequia que se intentaba construir; y en su consecuencia se comunicó cial 15.a de las oficinas dé la dirección general alcesante D.. José María Pac- una Real órden al intendente de Aragón en 23 de Noviembre del año próxi do: una de conductor del correo general, y otra de la carrera de Andujar - i mo pasado (antes del establecimiento de los subdelegados de Fomento, abora Málaga, á los supernumerarios D. Manuel Rodríguez y D. Diego Mejía. goberna…</t>
  </si>
  <si>
    <t>Pacca</t>
  </si>
  <si>
    <t>…58 cardenales , de los cuales debe descontarse el cardenal Zur- PROVINCIA BE TARRAGONA. la que acaba de fallecer: 6 había del orden de obispos, 4-3 del orden de sa cerdotes, y 9 del de diáconos. El decano del sacro colegio es el cardenal Pacca; Según manifiesta su gobernador civil en oficio de 25 del mes último, ha el primero del órden de los sacerdotes es el Sr. cardenal'Brancadono, arzobis bía desaparecido la enfermedad que atiigia al pueblo de Alcanar; en UUdecona po de Ferino; y el primero del órden de los diáconos es el Sr. cardenal…</t>
  </si>
  <si>
    <t>Pacheco, D Diego</t>
  </si>
  <si>
    <t>D Diego Pacheco</t>
  </si>
  <si>
    <t>…fecha 10 del comedie da á «ú de carabineros de costas y fronteras, dispuse que el primer batallón , mandado ministerio e! parte siguiente : por el comandante D- José Crehuet y el. benemérito brigadier coronel de la Excmo. Sr.: El brigadier D- Diego Pacheco con fecha 8 del actual dice al Reina D. Joaquín Gómez y Ansa , marchase á desalojar al enemigo de las ele comandante general interino del distrito de la provincia de Cáceres lo siguiente: vadas montañas que ocupaba^sobre nuestra izquierda, mientras el, 2.° batallón, Por mi parte de ayer dije á V. S…</t>
  </si>
  <si>
    <t>Padíal, Manuel</t>
  </si>
  <si>
    <t>Manuel Padíal</t>
  </si>
  <si>
    <t>…embajador griego cerca de la corte de Prusia y de Baviera el El capitán general de Castilla la Nueva participa que el portaestandarte Príncipe Maurocordato ha salido de Berlín para Munich. del-regimiento 'ó.° l:gero de caballería D. Manuel Padíal, comandante de una de las columnas en persecución de facciosos, concluyó con los restos de la fac-&gt; m£á Gaceta nacional alemana se complace en hablar largamente sobre cion del cabecilla Antonio García de la Parra; quedando muertoseael campo los movimientos de tropas en Polonia; según este periódico…</t>
  </si>
  <si>
    <t>Padial, Manuel María</t>
  </si>
  <si>
    <t>Manuel María Padial</t>
  </si>
  <si>
    <t>…e la Alcudia; pero que el teniente del "provincial de Pia- Parte de los enfermar de ta villa dt Puente Don Gonzalo. senciá D. Joaquín Alvafez Aguado, auxiliado con 18 caballos al mando del Existencia del dia porta del 3.° ligeros D. Manuel María Padial, procedentes de las columnas de Dias- anterior. Invadidos. Curados. Fallecidos. la Mancha , los Urbanos de los pueblos que mas adelante se mencionan y va rios vecinos de los mismos, pudieron alcanzar 4* los facciosos al subir la cuesta Graves. Laves. Abril 17 86 2 8 3 3de la Trapera él día 19 , y l…</t>
  </si>
  <si>
    <t>Padilla, Antonio</t>
  </si>
  <si>
    <t>Antonio Padilla</t>
  </si>
  <si>
    <t>…isfe tario dol Despacho de la Guerra. de lo cual no ha dudado dicho capitán general Se sitúen allí los SO hombre* - pedidos, y que se les den 300 fusiles, con la condición de que el valle fortifi. fiarte del alférez de caballería D. Antonio Padilla , de que hace referen— que una casa á propósito para acuartelar la tropa, tener Ja mayor parte de di ,cia el capitán general de Castilla la Vieja en »su anterior oficio.=CoIum- chos fusiles, á fin de que no esten repartidos y sirva de apoyo á la gente a ron m móvil de ValUdolid.=Excmo- Sr.: Después…</t>
  </si>
  <si>
    <t>Padilla, Antonio María Pacheco y</t>
  </si>
  <si>
    <t>Antonio María Pacheco y Padilla</t>
  </si>
  <si>
    <t>…del actual. 41 Ixis mismos Celes remitirán sin pérdida de tienq&gt;o un ejem Para formar la dotación de ministros de la Real audiencia Je plar del Estatuto Rfal, de la Convocatoria V del Real decreto de" Asturias vengo en nombrar A D. Antonio María Pacheco y Padilla, elecciones á los Presidentes de los Ayuntamientos de los pueblos que que lo es actualmente, á D. Francisco de Paula González Olmedo, son cabeza de Partido, según la División judicial aproliada jor S. M. fiscal de la misma, á D. José Faleon y Falcon, á D. Vicente Mar en Real decreto Je 21 de Abril…</t>
  </si>
  <si>
    <t>Pado</t>
  </si>
  <si>
    <t>…nstancias actuales, S.M. sión , leyó en seguida el acta de la anteríbr, que fue aprobada. pie ha mandado proponer £ las Córtés del Reino un proyecto de ley que ha si El Estamento concedió k licencia de dos meses que pedían el Sr. D. Pado ya aprobado, por el Estamento de Sres. Procuradores en los términos si -blo Heredia por asuntos urgentes de familia, y el Sr. D. Joaquín Tosquellss por haber recibido la noticia del fallecimiento de su padre y á fin de arreglar guientes: , ..................... ARTÍCULO UNICO. sus negocios. El Sr.…</t>
  </si>
  <si>
    <t>Pado, D</t>
  </si>
  <si>
    <t>D Pado</t>
  </si>
  <si>
    <t>…irtSnstancias actuales, S.M. sión , leyó en seguida el acta de la anteríbr, que fue aprobada. pie ha mandado proponer £ las Córtés del Reino un proyecto de ley que ha si El Estamento concedió k licencia de dos meses que pedían el Sr. D. Pado ya aprobado, por el Estamento de Sres. Procuradores en los términos si -blo Heredia por asuntos urgentes de familia, y el Sr. D. Joaquín Tosquellss por haber recibido la noticia del fallecimiento de su padre y á fin de arreglar guientes: , ..................... ARTÍCULO UNICO. sus negocios. El Sr.…</t>
  </si>
  <si>
    <t>Padre</t>
  </si>
  <si>
    <t>…rnadora, después de ha ■Utítmcdida, que no menoscaba en manera alguna la justa defen berles rendido el tributo que la gratitud y el amor démaodan.q» sa de los procesados. Madrid 6 de Abril de l834-=Garelly. la muerte de tan amado Rey, Padre tierno y Esposo idolatrado^ MINISTERIO SE LA GUERRA. también les felicitan con la sinceridad del carácter, que le es pecu liar, por el ascenso al trono de su amado Padre , y por el actual go Circular d loe capitanesy comandantes generales de la Penínsu bierno de la nación, que como Madre y Tutora,…</t>
  </si>
  <si>
    <t>Padrea</t>
  </si>
  <si>
    <t>…patriotismo para desprenderse equ voco. Añadidos á estos, 6 , que según los cálculos mas fundados debe pro ‘de él cuando la patria lo exija. ducir el patrimonio, son 42; luego aun eran 2 millones mas, claramente. El *&gt;Ha dicho él Sr. Padrea que si se impusiera una contribución de un 2 por 100 sobre los sueldos de los empleados, entonces resultaría una economía Sr. EX Fernando vir se conformó, y esto es histórico , con los 4b millones, y de 12 chillones de reales, añadiendo que para expresarse asi estaba'en la mejor apareció tan sumame…</t>
  </si>
  <si>
    <t>Padu, Domingo</t>
  </si>
  <si>
    <t>Domingo Padu</t>
  </si>
  <si>
    <t>…lso y denuedo' de las decididas tjopas de la Reina. cía Olloqúi, el teniente del 4-° regimiento de la Guardia D. José nuestra Señora fueron puestos en vergonzosa fuga-y-complcta dis*^ Oriveq .erial ferez decabaUeríade la Albuhera D. Domingo Padu pcísion, dejando en poder de la mencionada columna tres carros ra, y á sus ayudantes D. Juan Zabala, capitán del 4-° ligero, y el cargados.de víveres , dos caballos y otros' efectos que se distribuye de la-misma clase y arma D.'Agustin de la Cerda, el teniente dé ron i la tropa!'- sin que estas ven…</t>
  </si>
  <si>
    <t>Padura, Domingo</t>
  </si>
  <si>
    <t>Domingo Padura</t>
  </si>
  <si>
    <t>…d co ■no pasado, refiriéndose al parte femitidp por el brigadier Benedic mandante general con otros 1 í individuos, éntrelos que se cuenta to, dice que el día anterior consiguió aqúel gefe arrollar con su al alférez de caballería D. Domingo Padura, que recibió-dos bala columna y con bastante perdida á la facción de Zabal a, que con los zos en el acto de la carga. cabecillas Armencha, Arana, Apalaáigfai y éí ^erreró .rptmtáp cér-- J_ ^ .Él coréaodant© geqétal itcómjéñda á varios individuos de to ca de mil hombres, situados en las posiciones d…</t>
  </si>
  <si>
    <t>Paez, Severianp</t>
  </si>
  <si>
    <t>Severianp Paez</t>
  </si>
  <si>
    <t>…n de podere&gt; los presentad s por el señor documentos y poder se mandaron pasar i la comisión de poderes. marques de Valladares, electo procurador por la provincia de Orense , acom El Estamento quedó enterado de una exposición del Sr. Severianp Paez pañados de los documentos justificativos. JaramiIlo, electo Procurador por la provincia de Madrid, mamfestandd ha El Sr. Presidente , concluido el despacho, rmnífestó se cerraba la sesión llarse convaleciente de su' enfermedad en Pezuela de las Torres, y que se'pre pública para quedar el Estamento…</t>
  </si>
  <si>
    <t>Pag, Manuel Jiraeno y Urrleta</t>
  </si>
  <si>
    <t>Manuel Jiraeno y Urrleta Pag</t>
  </si>
  <si>
    <t>…, dejándola improductiva , recolectándose solo los frutos de secano. ñor Abate de Gourci» traducida al castellano, y dedicada al sabio clero de España por En esta capital continúan trabajando las dos fábricas de albayalde y otras D. Manuel Jiraeno y Urrleta. Pag tomos en 4»°, edición de 1792,420 rs. rama y 29 dos de perdigones,que son las únicas que existen. Del dueño de una de las pri en pasta común- No pudiera el traductor haber elegido otro Mecenas mas áábio dé su meras, D. José del Olmo, se ha remitido á S. M. informada una solicitud para obra,dicar el…</t>
  </si>
  <si>
    <t>Pagcs, Oarnier</t>
  </si>
  <si>
    <t>Oarnier Pagcs</t>
  </si>
  <si>
    <t>…ción no quiere, y sosteniendo lo que la arroba; vino, í 5u rs. u carga: aceite, á 14 rs. el cuartal. I desea: estad seguros de que ella no nos abandonará.” 1 ortota. Trigo, de 44 a h» cuartera: cebada^» d# 24 4 25 id.: riñó, I El Sr. Oarnier Pagcs, conviniendo en algunos puntos con la opinión del de 3o a 32 rs. ia carga: aceite , de 32 a 33 rs. arroba. | Sr. Dupin, sostiene los principios que en otras sesiones ha expuesto acerca de la VüLafranca. Trigo, a'46 rs. fanega: centeno »-á 3.1 rd.: cebada» .4 48 id.: | soberanía del pueblo, de la li…</t>
  </si>
  <si>
    <t>Pagés</t>
  </si>
  <si>
    <t>…ativo á los que de esta ley para influir en las elecciones; y después de recordar. los insultos y venden por laS calles foHetos, lítogírafias &amp;c. ultrajes que han sufrido algunos jurados que han tenido ánimo para cumplir tus . El Sr. Pagés cree que la policía tiene medios suficientes para reprimir los deberes, sin dejarse llevar de pasiones, asegura que la libertad dé imprenta que abusos quepuedan cometer los que. venden por las calles papeles impresos &amp;c., dara comprometida si no se pone freno á los abusos que hay se notan; pues y e…</t>
  </si>
  <si>
    <t>Pagés, Garnier</t>
  </si>
  <si>
    <t>Garnier Pagés</t>
  </si>
  <si>
    <t>…ronada y el gobierno de la restauración: se opone á que jor estado para obrar en caso necesario. se admita la variación que indica el Sr. Traqy. _____El rumor que Ha corrido de una intervención á favor de Doña María se Replica el Sr. Garnier Pagés que el ministerio ha promovido una cuestión ha renovado hoy ; pero ignoramos la manera con que se quiere hacer. La llega en la que es peligroso entrar, porque no es justo ni oportuno exponer las ra da de M. Sarmiento, enviado portugués, parece que ha suscitado esta idea en ’ zones que hay para pref…</t>
  </si>
  <si>
    <t>…, permítaseme la expresión, verdaderamente pueriles; deL directorio, porque mas ya que-se. hicieron ayer no quiero dejar nada sin respuesta. 1. ° Es inejecutable, en atención á qqe la Francia no consenti »Ují ilustre diputado, el Sr. Garnier Pagés, se fya quejado de ría en recibir a los polacos en calidad de prisioneros, ni consentique sé haya vendido á gritos por las calles un impreso en que se ria tampoco el Estado de Berna en entregar de este modo á unos ¡ defendja la construcción de los fuertes. Confieso que me ha sor- -hombres que han r…</t>
  </si>
  <si>
    <t>…denes, avisos, ¿rdenes del día &amp;c. á las alcaldías, pre todos los buenos ciudadanos: finalmente, todas se desorganizarán fecturas, ministerios, administraciones, estados mayores &amp;c. &amp;c.: al instante, como fundadamente ha dicho el Sr. Garnier Pagés. de forma que el edificio de donde parten estos correos viene á ser "Otra proporicíon ha sentado este diputado, y me es forzoso como el punto central donde se reúnen todas las cuerdas que mue ‘ contestarla'; ha dicho que la organización de estas sociedades era de ven la máquina del gobierno representat…</t>
  </si>
  <si>
    <t>…irse en 48 horas, y formar un ejército de operacio aun puedo decir que en la existencia de la sociedad. Sin. embargo nes, se halla acantonado en la frontera entre Bois-le-Duc y Hel- no dejé de pertenecer á qllj, como ha. dicho el Sr. Garnier Pagés. rnoúr. Está completo todo el material y servicio del ejército. Igno «La tazón fue está. L6s acontecimientos seguían su curso; se. ramos si el ministerio de la Guerra ha tomado las disposiciones, vislumbraba lo que había de suceder', se formaba el ministerio Poque dicta la prudencia en semejantes ci…</t>
  </si>
  <si>
    <t>…endo los desórdenes se adquirirá el aprecio de las se discute fe parece que es una continuación del sistema de la restauración, Potencias extrangeras. puesto que "i pretexto de reprimir abusos se pone la libertad de imprenta á El Sr. Garnier Pagés replica, que si el gobierno principia á entrar en la merced de la policía y del fisto, dando al gobierno facultad para que publi senda de las excepciones, nunca se detendrá, y que asi como ahora se alega el cando folletos cuando le convenga , prevenga la opinión publica ya en tiempo ejemplar de los…</t>
  </si>
  <si>
    <t>…afirmativamente, será la 2.a que el gobierno preparaba un proyecto de ley para la conmutación de diezmos, «¿qué dia señala Ja Calmara para que se hagan estás preguntas?” I y otro para la^ conmutación de derechos parroquiales. El Sr. Garnier Pagés contradice la opinión del Presidente, alegando que I Lord Winford presentó un bilí para que los juicios sobre deudas pronun los diputados tienen derecho para hacer preguntas á los ministros, y citando ciados en los tribunales de Inglaterra fuesen obligatorios en Irlanda, y vice en apoyo de su dicho…</t>
  </si>
  <si>
    <t>Pahes, Amor</t>
  </si>
  <si>
    <t>Amor Pahes</t>
  </si>
  <si>
    <t>…rigor de la ley. las inmediaciones de Estella, sin que en todo este gran círculo haya podido descansar, nj apellas comer un solo dia, por ir constantemente encima la men- 'clonada columna de Oráa, especialmente la caballería del coronel Amor. Pahes recibidos en el ministerio del Fomento de la junta superior de Sanidad ] de Andalucía. •„ Después de la acción de Huesa, los enemigos escarmentados huyeron toda I la itQche con tal precipitación, que á pesar de haber puesto las tropas en mo- Primero. Excmo. Sr.: Continúa disfrutándose de la mas com…</t>
  </si>
  <si>
    <t>Paiker</t>
  </si>
  <si>
    <t>…del navio Asia para Francfort 12 de Junto. - celebra? Tí misma festividad de su Soberano, y otro el almirante Napíer el día Se asegura que el mayor general austríaco Piret irá muy en breve á habitar 30, al que fueron invitados el almirante Paiker, el embajador francés y algu la gran casa de Sehwindel en la calle de Eschcnheim , y que se instalará en ella nos ministros portugueses. Esta es la primera vez que lor Howard de \Valden con los oficiales de su estado mayor y sus oficinas: también se asegura que no se ha juntado con lor indi viduos…</t>
  </si>
  <si>
    <t>Paímetston</t>
  </si>
  <si>
    <t>…que empezó bastante mal las operaciones militares en la campaña ru cado una comisión con encargo de proponer los medios de ejecutarlo. so-turca: el senador -Mauravvief, los generales Renneukamuf y Kaíssarof. (G. di Erancia.j ____ Lord Paímetston acaba de pronunciar en un convite que le han ofrecido ____ El Rey de Cerdeña acaba de conceder una nueva amnistía 4 muchos IcSS electores que le han nombrado, un discurso de que citaremos algunos pasa— proscriptos de 1821, entre los cuales se cuentan los Sres. de St. Marsan y Coges. Es digna de esp…</t>
  </si>
  <si>
    <t>Países-Bajos, Lynd los</t>
  </si>
  <si>
    <t>Lynd los Países-Bajos</t>
  </si>
  <si>
    <t>…primer mi— nistroYuna persoua adicta á la reforma, que no sea el duquo de Wellington ni -----_E1 Standard, con motivo de la rebelión dé la Bélgica contra él Rey de sir Roberto Peel.De esto nada mas podemos decir en este momento. Lord Lynd- los Países-Bajos, y de las continuas agitaciones df la Irlanda, saca la conse hurst será el nuevo lord canciller. cuencia singular de que en los países católicos reina mas que en los otros el El Albion dice que los principies comerciantes de Londres, y los que espíritu de desórden y de anarquía. manejan grandes int…</t>
  </si>
  <si>
    <t>Paixhans</t>
  </si>
  <si>
    <t>…o, todas convienen en que nada de positivo y ter minante se podrá decir en orden á las cuestiones de la política extrangera. rpKW- Sesión del dia 4- — . .El Albion dice que el lord Grey se encuentra con dificultades que vencer El coronel Paixhans lee el dictámen de la comisión que ha examinado el I para redactar en estas circunstancias el discurso del Rey; y añade »&gt; que es una proyecto de ley relativo al modo de asegurar el estado de los oficiales del ejér-1 cosa terrible el no poder hacer lo que se quiere, y el no poder tampoco re cito, y…</t>
  </si>
  <si>
    <t>Pajarea</t>
  </si>
  <si>
    <t>V .1 t .i?. ' •: í A Q» DEL MIÉRCOLES i? DE OCTUBRE DE 1834CORTES. comisión tendrá una satisfacción en ello: pero por ahora no ha creído que de bía atraerse hacia sí esta odiosidad.” ~X~st AÍric ir* ó ib procuRADOKJS9, F.l Sr. Pajarea dijo que él no habia hecho mas que reclamar la observan cia de un artículo del Estatuto Real , y manifestar que era sabido habia dis Sesión del'dia 30 de Setiembre. pensas para recibirse de abogado. El Sr. Medrana-. «Este Procurador fue recibido de abogado en el año Se abrió i las once. de 1825:'de…</t>
  </si>
  <si>
    <t>…iento en el Estamento. El Estatuto Real , que es la verdadera regla , dice, A invitación del Sr. Presidente entraron á jurar, y tomaron asiento el según asegura Va cornision y todos lo sabemos, que para ser Piocurador se ne mismo Sr. Pajarea y el Sr. D. Cipriano de U Riva , procurador por la pro cesita gozar una renta propia de 129 rs., y esta es la regla única que el Esta vincia de Burgos. mento debe seguir; no obstante que hay una ley posterior que dice qüe para En seguida el Sr. Presidente anunció que el orden del dia era la discusión…</t>
  </si>
  <si>
    <t>…el Gobierno mismo sucede con cruzada, que es una contribución voluntaria. español, pues se han desencadenado contra él , lejos de hablar en su favor. "El Sr. preopinante ha propuesto igualmente para disminuir los gravá «Ademas el Sr. Pajarea debe saber que ni so quiere corromper tanto, ni menes dpi Estado una contribución forzosa á los empleados, diciendo que dd se puede tampoco corromper fácilmente ¿ tantas personas: el úrtcm vennlcm 153 rs. arriba se les rebajase parte del sueldo, y que este seria reembolsado de Yugurta era allá en R…</t>
  </si>
  <si>
    <t>Pala</t>
  </si>
  <si>
    <t>…do las me dicahreñto, y 1 perecíó!: ad¿¡rtiendo que 2 de los curados" fueron los 2 prí-/ didas .Oportunas para profundizar na pantano en el pueblo de Camporrels, qúc meras ^de los que ¡«há'hecho mención &lt;¡ü las1 Observaciones del doctor Pala*- sólicifrcon -este rSbjeto echar mano de un campo y de un molino, el primero cK&amp; .sjó poder esta academia formar un juicio exacto de los resultados cxpues- peí lenemente a Propios, y el segundo de dominio particular. En el pueblo de tos pdr el XX Feliciano Risco ¡ por no haber manifestado este la…</t>
  </si>
  <si>
    <t>Palacios, Cándido</t>
  </si>
  <si>
    <t>Cándido Palacios</t>
  </si>
  <si>
    <t>…etente expediente de alijo. basca de Azagra, cuya noticia ya me consta oficialmente, habiéndose verifica Como que en U comunicación que me hace ei Sr. Y mi dice venir a bordo do dicha aprehensión por el digno corregidor de Atfaro D. Cándido Palacios alguno ó algunos agentes del Pretendiente, he prevenido al coronel Cuesta que con los urbanos de dicha ciudad y los de Calahorra. si realmente vienen españoles á bordo, disponga formar sumaria por separado En medio de esta satisfacción tengo avisos oficiales en que me manifiesta lo para identificar…</t>
  </si>
  <si>
    <t>Palacios, Cárlos</t>
  </si>
  <si>
    <t>Cárlos Palacios</t>
  </si>
  <si>
    <t>…ue presenta D. Manuel de la Riva Herrera por la hasta pasado mañana á las diez para continuar los asuntos pendientes y quedar provincia de Búrgos , en justificación de su renta. después en sesión secreta relativa al expediente de D. Cárlos Palacios do que ya Se mandaron repartir ISO ejemplares de la memoria del Secretario de lo tiene noticia el Estamento: Ciérrase la sesión.” Interior, y otros 1-5Ó de la del de Estado remitidos por los mismos. Se levantó esta á las doce y media. El Estamento quedó enterado de una exposición de D. Manuel Gutiér r…</t>
  </si>
  <si>
    <t>Palacios, Feliciano Risco y</t>
  </si>
  <si>
    <t>Feliciano Risco y Palacios</t>
  </si>
  <si>
    <t>…averigua las rios síntomas muy análogos á una y otra enfermedad. fundaciones ó pias memorias que hay en la provincia , y que pueden aplicarse Comunicado mi pensamiento al profesor de cirugía y cursante de medici i dichos usos. na D. Feliciano Risco y Palacios, se ofreció á ensacarlo tan luego como tu Ha logrado que Us señoras de aquella ciudad se encarguen de la dirección viera oportunidad; lo que no tardó en presentarse, administrándolo á se»s en del-hospital existente en ella, y se notan los felices resultados de esta medida, fermos , los cuales manif…</t>
  </si>
  <si>
    <t>Palacios, Joaquín</t>
  </si>
  <si>
    <t>Joaquín Palacios</t>
  </si>
  <si>
    <t>…tes excitaciones cerebrales y gástricas, produ qpe fue primer ministro ocho años; lord North, que lo fue doce; Pitt diez y ciendo en algunos grandes disenterias. , «tete, y lord Liverpool quince años. (G. de Francia.) 2. a El Dr. D. Joaquín Palacios, otro de los comisionados, en tres enfer mos que ha tratado ha observado que el primero se curó totpapdo el cocimien to de la viborera solo; que al segundo fue inútil su prescripción, y que después . . ..la Gaceta- (política) Je Agram de fecha 5 del corriente anuncia qué no de tres dias sanó por so…</t>
  </si>
  <si>
    <t>Palacios, Miguel</t>
  </si>
  <si>
    <t>Miguel Palacios</t>
  </si>
  <si>
    <t>…de esta corte León Serrano; y conferir, 2 propuesta de la dirección., el destino de interventor el caso de haberse entregado una carta certificada á persona que se presentó con de la administración de Burgos ai de la de Benavente D. Miguel Palacios: la poder especial, al parecer extendido en forma, de aquella á quien venia dirigi de oficial 2.° de la misma , vacante por separación de D. Fernando Oráa , al da, cuyo poder ha resultado'después no ser legítimo-, se sirvió declarar S. M. administrador de Reinosa D. José Quijano ; y la de oficial 4…</t>
  </si>
  <si>
    <t>Palafox</t>
  </si>
  <si>
    <t>…su lugar en la contestación que nos ocupa, in qué se establece por el tuulo doce del reglamento. El Sr. Presidente dijo: que dicar la necesidad que hav de completar el edificio del gobierno represcnuiir . Uo habiendo prestado el Sr. Palafox todavía el juramento , no debía considerár de que hasta ahora no tenemos mas que el cimiento, marulestando ia ncwcs*uad tele cómo tal Procer. Hablaron en pro y en contra varios señores, acordándolo de dar una aclaración de derechos, no fantástica o filosófica, como las que hu ^ S propuesta de dicho…</t>
  </si>
  <si>
    <t>I cica de Codo* lo* c*pifióle* pin afianzar nuestras libertades. Es preciso ese ba no creo., fuese culpable el Sr. Palafox, por eso mismo repito : el Gobierno de luarte pin augurar nuestra independencia: sin libertad individual, sin 'segu bía haber procedido de otro modo; no debía haber cometido semejante acto de ridad personal, nó lá bay, no no*, cufiemos en vano. arbitráriedad, y mucho menos con un individuo que acab…</t>
  </si>
  <si>
    <t>Palafox, D José</t>
  </si>
  <si>
    <t>D José Palafox</t>
  </si>
  <si>
    <t>…lemne aper facultad que explícitamente se le concede por este párrafo, debiera hacer algu tura de las Córtes. na indicación con el respeto y decoro con que siempre se trata al trono , y los Asimismo lo quedó de una exposición del Sr. D. José Palafox, manifes mlimos señores de la comisión se hubieran dado por muy satisfechos y ie» ha tando ño-haber podido asistir el día 24 de Julio al solemne acto de juramento, bría sido mas grato el hacer algunas indicaciones dirigidas á levantar la grande por haber sido suspendido inesperadamente en sus actos…</t>
  </si>
  <si>
    <t>Palafox, José</t>
  </si>
  <si>
    <t>José Palafox</t>
  </si>
  <si>
    <t>…e aper facultad que explícitamente se le concede por este párrafo, debiera hacer algu tura de las Córtes. na indicación con el respeto y decoro con que siempre se trata al trono , y los Asimismo lo quedó de una exposición del Sr. D. José Palafox, manifes mlimos señores de la comisión se hubieran dado por muy satisfechos y ie» ha tando ño-haber podido asistir el día 24 de Julio al solemne acto de juramento, bría sido mas grato el hacer algunas indicaciones dirigidas á levantar la grande por haber sido suspendido inesperadamente en sus actos…</t>
  </si>
  <si>
    <t>Palana</t>
  </si>
  <si>
    <t>…pues tales arbitrariedades ceden en perjuicio para mí de mucho peso, hablando en la comisión sobre este punto , manifestó notable del comercio.” % precisamente las mismas ideas que ha expresado hoy. S. S. con un celo pattioy , El Sr. Palana: «Me ha prevenido en gran parte el Sr. Ferrer; y c*«-</t>
  </si>
  <si>
    <t>…va á emprender para el cumplimien gues, Visedo, Carrasco, Clarós, Marín, Sampctnts, Lamba, Rivaherrera, to del Real decreto que confirma los empréstitos.” Villacampo, Domecq, Ulloa , Alcalá Galiano, Montes de Oca, Miquel Polo, El Sr. Palana: »Yo creo que me he explicado con bastante claridad, y Tosquellas, Vahillo, Florez, Cabañil las , conde de Jas Navas, Sánchez Tosca- que no he aludido á los individuos que han podido ser nombrados, pues ig no, Bcrmudez del Villar, Colon, Vázquez Moscoso, marques de Astariz, noraba que se hubiesen y…</t>
  </si>
  <si>
    <t>Palare</t>
  </si>
  <si>
    <t>…cesa, se ha separado hasta cierto punto de lo que la misma establece. tanto pido al Estamento que no admita la adición propuesta por la comisión.” Es decir, que respecto del servicio de campaña, particularmtfiíté.en el caso de MI Sr. Palare a r «La materia de que nos ocupamos es mas grave é im una invasión extrangera, cuando la Milicia urbana tiene que apoyar al ejercito portante de lo qué aparece ¿primera vista; y la comisión ha hecho la adición contra el enemigo, no se ha tratado de que sean Llamados á ¿«empeñar de que se trata, con…</t>
  </si>
  <si>
    <t>Palaréa</t>
  </si>
  <si>
    <t>…Orense; siendo en su vista dé dictámen es'cierto que-no hay edad marcada para recibirse de abogado, según la ley de que debían aprobarse. . r . . ‘ Partida , existe un decreto del afio ¡pasado, estableciendo que pueda uno reciTi Sr. Palaréa pidió que se leyese dentículo 14 del Estatuto Real, lo b'rse de abogado, pero no actuar hasta lo» 25 años. Si se rec.b.ó en el colesio cual verificó el Sr. Secretario (González.: . .. de la Corona á este, cabal ¡ero para actuar como abogado en el año 28, desde El mismo Sr. Palarisa reclamó en segui…</t>
  </si>
  <si>
    <t>Palarea</t>
  </si>
  <si>
    <t>…asi se baga sin exigirle la fe de bautismo, que á nadie se Je ha exi reses el empréstito nos salga 4 un 25 por 100, y de no hacerlo asi, sino pro gido.” meter el pago de la parte que podamos, nos sale 4 un 50 por 100. Siempre El Sr. Palarea hizo presente que no era cierto no se hubiese exigido 4 tendremos que el sacrificio de 10 ó 12 millones anuales , que es 4 lo que pue nadie la fe de bautismo, pues acababa de manifestar el Sr. Chacón que a él se de ascender la diferencia, nos ahorrará el de hacer otro de mas:de tOO millones le habi…</t>
  </si>
  <si>
    <t>…á D. Juan Palarea , electo Procurador por la provincia de Múr cuando expone que no se cree autorizada para proponer la aprobación de los ela, para que presentase lós documentos justificativos de su aptitud legal, y ha poderes dei Sr. Palarea; porque si se conforma el Estamento con el dictamen ciéndolo ahora de una escritura de cesión y donación otorgada por D. Pedro de la comisión de no aprobarse, queda decidido el punto; mas su delicadeza, y Regalado y Soto, y su esposa Doña María de Andrés, en favor de su hija la precisión en que se…</t>
  </si>
  <si>
    <t>…euda ex- mo ventajosa para los mismo» interesados. En efecto, puede considerarse como trangera y empréstitos. un aborro que hacen en sus sueldos-, ahorro que después se encuentran acre En su consecuencia se dió cuefita de nna del Sr. Palarea, que presentaba centado. Yo creo en vista de todo que oo habrá ninguna dificultad en admitir como adiciones al art. 11, seis reducidas á lo tiguicote: tal idea, tan de acuerdo con el patriotismo de que todos blasonamos, y de que 1. a Que ninguna jubilación ó retiro pasase de 209 rs. vn., excepto lo…</t>
  </si>
  <si>
    <t>d« gasten y de entrad». No aolo no lardarán estos presupuesto! un mea ó dos . ' Se;d¡ó cuenu del dictamen de la comisión mixta compuesta de Sres. Próen presentarse, como parece creer el'Sr. Palarea., sino que ¿caso no .pasarán : cesés yjProcuradores, encargada de examinar el .proyecto de ley relativo í la ■dos á'tres días sin que se verifique.'Entonces se jiresentara el cuadro de gastos abolición del Votode Santiago, leyéndose tau^bien los artículos 102 y 103 y juntamente el de medios para cub…</t>
  </si>
  <si>
    <t>…lo primero, lejos de ser abusos, el mismo Gobierno debe alegrarse que se Je gida eq Francia para los periódicos era de 503) francos, y no de ÍOUS. adviertan para corregirlos, y si lo segundo tiene toda la fuerza para castigarlos. Sr. Palarea: «Yo entraré desde luego en la cuestión, dejando aparte to «Ademas, Señor , si por abusos fuera, muchas cosas habría que no tole do lo accesorio á ella. Se ha dicho en primer lugar que el principio que se rar. Todo el mundo sabe, lo digo con sentimiento, y nadie ignora el abuso discute es innegable…</t>
  </si>
  <si>
    <t>…tomar pirte en esta cuestión , o»endo con agrado y docilidad las ra «St dice que tiene inconveniente este derecho. &lt; Qué institución humana zones alegadas en fa^or de uno y otro dictamen ; mas al parecer se ha no los tiene? Ya el Sr. Palarea ilustró ayer este punto; por evitar el perjuicio apurado la lista de los que han de impugnar este articulo, tal como lo ha ir de algunos, no ha de impedirse ei bien de todos» Se añade, ¡4 qué declarar este presentado los señores qü« han firmado Ja petición, el Ministerio cree de tu</t>
  </si>
  <si>
    <t>…impone el tomar la palabra para manifestar que no es cierta la con *&gt; Las razones que da el Sr. López son las mismas que se dieron cuando se tradicción que se supone existe entre la ley de elecciones y el Estatuto Real. trató del Sr. Palarea , y no convencen á ia comisión , como entonces no la con «Voy á vindicar al Gobierno de esta especie de inculpación : el Esta vencieron , por referirse á bienes adquiridos después de la elección. En la mis tuto Real ha prefijado las cualidades necesarias para ser Procurador á Cortes; ma discusión s…</t>
  </si>
  <si>
    <t>…que no han jurado, según el Esta «Ya he dicho lo que tuvo presente la comisión: se la hizo un cargo tuto Real : llamo la atención del Estamento sobre esto , pues siempre se remite por no presentar un dictamen positivo íespecto al Sr. Palarea; y ahora lo dicha ley al Estatuto Real. De suerte que está probado, para mí lo mas presenta de un modo positivo, porque no se cree autorizada para fallar á la demostrativamente que puede probarse, que el Estamento y las juntas prepa ley. Podrá estar equivocada : el Ettamcnto resolverá lo que guste.…</t>
  </si>
  <si>
    <t>…celosos defensores dé la humanidad y de la principio ; y que no lo fue, queda sobradamente demostrado* justicia vendrían á servir de triste pábulo á la horrorosa pira de la hárbara «Siendo, pues, el caso presente idéntico al del Sr. Palarea , si el Estamen inquisición. La imaginación se niega á pasar adelante, y los impulsos de la in to quiere’ser consecuente consigo mismo, debe desechar el dictámen de la co dignación y del espanto ocupan el coraron á la sola pintura dt tales infor misión, aprobando el que he tenido la honra de presen…</t>
  </si>
  <si>
    <t>…no le competía á él alterarlo por sí propio, no podía tomarse en El Sr. conde de las Navas manifestó que al hacer la proposición nunca consideración. creyó encontrar la oposición que veía en el Estmiento: que auo cuando el se El Sr. Palarea apoyó la proposición, y manifestó que estando ya hecha ñor de Moscoso había dicho que tomándola en consideración hahria asuntos en una petición sobre revisar el reglamento, y presentada á S. M. la Reina Cro— que se hablase tanto que se cansase la paciencia de lo. Sres. Procuradores, este no bernado…</t>
  </si>
  <si>
    <t>…como que era ventajas de un puerto de mar no se ciñen á la provincia á que pertenece. Es igualmente gravpsa á los pueblos de una sola provincia. bien seguro que si ahora se acuerda que la contribución aplicada para el canal de El Sr. Palarea: »Yo no pido la palabra tanto en contra de la petición, Aragón se pague por toda la Nación, mañana vendrán los Sres. Diputados de cuanto por la duda en que me hallaré al votarla. En este momento no tenemos Andalucía, Valencia, Asturias ú otras partes pidiendo lo mismo respecto de los datos bastante…</t>
  </si>
  <si>
    <t>…la mayor parte conocen sin duda la justicia bertad de imprenta, y dejase á los periódicos que tratasen sin préviacensura de . de esta petición.” todo ló que se ventila en, Córtes, pues esto contribuirla á ilustrar las cuestio «El Sr. Palarea manifestó que se trataba de una obra de utilidad nacional, nes.1 Nosotros nopodetflo* saber de todo, ni tener á mano todos los datos y y al fin indicó que el pago debia ser provincial. «No sé en qué pueda fundarse, ‘antecedentes, y las-discusiones ofrecen un grupo de nociones y reflexiones que pues…</t>
  </si>
  <si>
    <t>Palaréá</t>
  </si>
  <si>
    <t>…ento concede menos, va cediendo, y yo voy con nuestro deber, si advierten que no re habla lo que ocurre sobre cada asun subiendo por igtial razón. ' to que se discuta, y en que se interesa el bien general. Repito', pues, que « El Sr. Palaréá ha (Ofendido hoy la proposición ó dictámen de la comi quiero se observe el reglamento eñ todo, y no parcialmente: no pido mas. En sión que se discute, y ha'^iecho lamismíy reflexión, á que ya he contestado; otro caso deseo se me demuestre qué fuerza tiene ese reglamento; si tiéne mas es decir; que…</t>
  </si>
  <si>
    <t>…deres sobre el parti misión del ministerio de la Guerra que desempeñaba; y otro encargándole in cular (véase la sesión de 13 del aclual)- terinamente al mismo Sr Presidente del Consejo de Ministros ( dicho ministe A propuesta del Sr. Palarea se leyó también la protesta de los electores. rio. El Estamento manifestó quedar enterado. El mismo Sr. Palarea preguntó si había en la comisión algún documento El Excmo. Sr. Secretario de Gracia y Justicia remitió al Estamento para por el que constasen las razones que había tenido el gobernador ci…</t>
  </si>
  <si>
    <t>…n í la primera junta tenían los requisitos legales; pero en'la deque S un mandato para nombrarlo su elector aquel partido? r se trata no los justificó uno, y par consiguiente no se está en Igual' caso, y sí trror las Tazones' del Sr. Palarea podia inferirse que los que compioteron de anular la elección.” la junta electoral de provincia erais personas limitadas y asustadizas, y qqe la Él Sr. Falces-. "Las razones que da la comisión me hacen fuerza, porque intervención del gefe los intimidaba. Lejos de ser asi, se ve que en la junta Veo…</t>
  </si>
  <si>
    <t>…reopinantes; pero como el tiempo debe tener su valor en los bre el proyecto de ley para la organización de la Milicia urbana. cuerpos representativos, procuraré ser sumamente breve. Yo juzgo que para con Se concedió la palabra al Sr. Palarea como individuo de la comisión. seguir el objeto que se propone la comisión, que no es otro que el del Go El Sr. Palarea'. «Habiendo recaído la impugnación que ha sufrido este bierno y el de todos, basta el artículo que presenta el Gobierno, y es inútil art. 5.°, en el que están enteramente conforme…</t>
  </si>
  <si>
    <t>…omisión en cuanto á la asignación de 12 mi Todos podemos equivocarnos con buena ó mala intención; pero quiero dejar llones á la Reina Gobernadora.” bien puesto mi honor; pues si S; S. es caballero,caballero soy yo y lo he sido El Sr. Palarea renunció la palabra que tenia pedida en pro, porque no siempre. Exijo por lo mismo que tenga la bondad de explicarse, y si su inten habiendo quien la tuviese en contra, dijo le parecía ocioso y excusado^e! ha ción fue ofenderme, sobre lo cual dirá lo que tenga por conveniente. No quie blar; y pidió…</t>
  </si>
  <si>
    <t>…mías que aliviarán á los pueblos, y no la mezquina cantidad de 759 du pues diciendo, que en mi Opinión debe aprobarse 1o que propone La comisión.*’ ros. El Sr. Infante IX Francisco ademas tiene ocho hijos, y ha prestado eminen El Sr. Palarea deshizo una ligera equivocación. te^ servicios. Es el único Príncipe de su sangré que se ha mostrado fiel á la Na El Sr. Alvarez García hizo algunas observaciones que se percibieron, mal, ción, fiel £ su alta estirpe y fiel £ nuestra inocente Reina. Esto creo que debe reducidas á que estaba indecis…</t>
  </si>
  <si>
    <t>…justo, y serlo no se exigía juramento nuevo; babia ciertas clases que le prestaban pleitopor lo mismo me conformo .con el dictámen de la comisión.” — homenage; mas los funcionarios públicos por lo general no juraban, ni siquieEl Sr. Palarea s «Yo creo de mi ¡deber,, por ,1o misan» que he sosteni ra se les erigía, que yo sepa, formalidad alguna de reconocimiento. Por consi do los presupuestos anteriores, impugnar el .presente, .y hasta lo que la'comi guiente é| Sr: Infante D. Sebastian prestó su juramento á la Reinas nuestra Se sión pr…</t>
  </si>
  <si>
    <t>…s traten de los Respecto del empréstito furzó.o que se exija al cíéro, y cjüé también ha indi Ipresupuestos,iay , y esta cuestiónpodrán severapurarási hay entonces.ó no equivocación , que estoy seguro que no la sincadoresultadoel Sr. Palarea,notable.siempreAdelinas,rae lasopondrérentas dela elloóleró,corriórepito-1,medidahan injustísimabajado comoy w Des;■pues de e^tos Hns errores , en que quériá el Sr. preopinante encontrar las de todos los propietarios; Se han disminuido una misad en' muchas partes; una disminución de cargas, Jia pas…</t>
  </si>
  <si>
    <t>…y de los Estadospod'á citarse un momento en que no haya habido un Rey , ó quien en su Unidos , y suspendiendo el de la Fiancia. ¡Qué inconsecuencia! nombre gobierne. F.n Francia en la mué ele de sus monarcas al grao fúnebre ♦♦El Sr. Palarea obrando con la franqueza y lealtad que le conocemos, de «el Re/ ha muerto” , sigue inmediatamente la alegre voz de ♦♦viva el Rey”, opinaba que la Nación pagase lo que hubiere recibido, esto no es posible en como aquí vulgarmente se dice: á Rey muerto rvey puesto. En Inglaterra, su materia de empréi…</t>
  </si>
  <si>
    <t>…m pósito la comisión que cuando lleguen a entablarse las quejas cuya decisión co plirán muchos jóvenes la edad señalada en la ley para entrar en él.” mete el Gobierno á solos los gobernadores civiles, los consejos de provincia El Sr. Palarea: «No puedo menos, como individuo de la comisión, de Tengan intervención en este asunto como auxiliares del mismo. Estas son las insistir en la equivocación que ha padecido el Sr. Secretario del Despacho al variaejones que la. comisión ha creido oportunas, y los motivos que ha tenido decir que la co…</t>
  </si>
  <si>
    <t>…ra él no recaen ya sobre el dera tiranía, odiosa siempre y funesta, ya nazca del abuso del poder, ya del Gobierno, sino sobre el mismo Estamento. influjo de ios partidos. Por eso es necesario no consentirle que penetre en una "El Sr. Palarea ha tratado de impugnar al Sr. Secretario de lo Interior, ley bajo ninguna forma ni pretexto; único medio de caminar con paso firme porque ni este ni el Gobierno habían adoptado el principio de la Milicia vo por la senda de la libertad y del orden/’ luntaria. Pero, según las observaciones hechas por…</t>
  </si>
  <si>
    <t>…1c parecía impropia, tratándose de pequeños san de 3u¿) almas podrán ios ayuntamientos nombrar para evacuar estos traba grupos ó porciones de gente. jos una ó mas comisiones compuestas de 4 de sus individuos y de otros tanto* El Sr. Palarea manifestó que la cuestión era en su concepto indiferente: majores contribuyentes presididas por el presidente del a) untamiento ó quien que en la ordenanza de caballería del año de 92 se daba ci nombre de trozos á haga sus veces.” los pequeños grupos de caballería; y que lo que proponía la comisión…</t>
  </si>
  <si>
    <t>…a, porque Me parece, pues, que estamos en el caso de aprobar la ley supletoria de que se el Gobierno no pide una autorización tan larga, juzgando como seguro que an trata.” tes de tres meses estarán aprobados los presupuestos. El Sr. Palarea: «Creo que las razones del Sr. Ministro de Hacienda y «No pienso que el Sr. marques de Torremejía al decir esto lo haya hecho dgl Sr. marques de Someruelos no me han desvanecido la fuerza que tienen las llevado de desconfianza del Gobierno; pues no es de creer eso de su parte, y • que ha expuesto e…</t>
  </si>
  <si>
    <t>…splendor, resultaba .pagar mas que una Uespucs de dos breves observaciones del Sr. Latorre, que opinó, debía Nación tan rica y poderosa. No es exacto esto; y como es una cuestión de her adherirse al dictámen del; Gobierno ; y deí Sr. Palarea, que expuso no eran lo tho.-bastarí.citar este: Francia paga 4 su embajador en Lóndres 30tl9 francos; mismo las cóites del Norte que .Grecia respecto 4 carestía y modo dé vivir, al de -Peusia 275%_p al de Viera 2009; es decir, 1.2009; 1-1009, y 8009 rs. -— —- -’i*-----t- á uit embala— se declamó ei…</t>
  </si>
  <si>
    <t>…nno debende 200;ser númeromas quedemasiadode lUO. grandeAsi, pues,para lacreotácticadebeespañola,fijarse su segúnnúmeroia de Atocha, y de 15 días ai Sr. D. Fermín Caballero , para arreglar sus asun de 40 á 60.” tos domésticos. El Sr. Palarea: «Yo no entraré en la cuestión de la1 fuerza que deben La comisión de Poderes dió cuenta de haber examinado los del Sr. E&gt;. Ra tener las compañías de caballería: nosdtros hemos considerado que esta fuerza fael Cabanilles, electo Procurador por Ciudad Real, con los documentos de es de Milicia urbana…</t>
  </si>
  <si>
    <t>…dure el consejo; pero repito que bajo bases muy extensas, y á pesar de esto previene lo mismo que el Gobier ylizga oportuno sean elegidos por el mismo.*’ no pTopone. No hay roas que ver los artículos SO, 95, 99 y 100 del regla El Sr. Palarea: »&gt;A las observaciones del señor preopinante, mi digno mento francés (los leyó) para convencerse de esto: se establece en ellos do6 compañero de comisión, añadiré que el mismo inconveniente que dice el Señor consejos diferentes, uno de administración, en que intervienen individuos de Secretario de…</t>
  </si>
  <si>
    <t>…de las das, bien quistas, de arraigo, y tal vez de las mas brillantes é importantes del obligaciones que han contraído con la patria y con el trono.*’ pueblo. La separación de semejantes personas de ios empleos será uno de los El Sr. Palarea: »»Aunque el Gobierno conviene en algunas de las mo castigos mas graves para obligarles al puntual y honroso cumplimiento de sus dificaciones que propone la comisión, se opone no obstante á lo mas esencial obligaciones, y si establecemos que el oficial, ademas de poderse separar cuando de este artí…</t>
  </si>
  <si>
    <t>…que se la evitar el que se reúnan; no porque de manera alguna tema el Gobierno malos quiere dar mayor indujo, especie de contradicción en que cae." resultados de estas reuniones, pues al contrario'confia mucho cu esta fuerza, El Sr. Palarea manitcsiu que al estamparse en el artículo de la comisión, sino por otro inconveniente pequeñísimo, mas bien á mi entender de poiicia, Reales despachos y nombramientos, se hacia referencia con los primeros á los cual es el de que haya bulla á las puertas de los ayuntamientos. eefes, v con los segun…</t>
  </si>
  <si>
    <t>…e la co acostumbrados á esos trabajos, se les ocasionarían i pérdidas inmensas de obligar misión no es hija de la desconfianza, no sé lo que sea. O quiere decir mucho,, les 4 salir de sus casas. ' ó no quiere decir nada. ÍDice el Sr. Palarea que se trata de imponer una contri «La ley francesa ha formado, pues, doc cuadros, ó ha dividido á los c¡u-. bución de sangre , y que esto ocasionará otra por los gastos que origine poner dadanos en dos distintos registros con el nombre de Cuadro de servicio ordina en movimiento la fuerza de la Mil…</t>
  </si>
  <si>
    <t>…concebir"siquiera cómo pudiera abusar de ella el Gobierno. Porque yo desearjft dejar de admitirse." saber , aun dando alas á la suspicacia mas refinada: &lt; qué motivo ó qué objeto «Y entrando en principios, porque como ha dicho el Sr. Palarea esta es puede tener el Gobierno en movilizar la Milicia urbana? Yo no alcanzo qué una cuestión de principios, la Milicia nacional , urbana, ó llámese como se objeto dañoso al bien público puede proponerse el Gobierno en armar á la quiera, tiene un enlace tan íntimo con las Córtes por su índole part…</t>
  </si>
  <si>
    <t>…resultados que todo el mundo sabe, y es inútil que yo repita: de consi jeto , repito, no ha sido otro que el evitar arbitrariedades en de tanta guiente , mi desconfianza Se robustece cada día mas por desgracia.” importancia.” El Sr. Palarea: « Es una equivocación material suponer que la' comisión El Sr. Palarea: «Añadiré una sola reSexion ¿lo dicho por mi digno ita de poner trabas al Gobierno para la movilización de la Milicia urbana, compañero. Esa clasificación ó especie de conscripción, parecida á la que se hace ando establece que…</t>
  </si>
  <si>
    <t>…de Espolios y Vacantes................................. 2000 de d as, y asi quedó acordado. Sr. contador general de Espolios y Vacantes................................... .. 600 La misma Comision.de poderes dió cuenta de los ¿el Sr. Palarea, opinando D. Agustín de Lct*mendi, cónsul de $. M. C. Doña Isasei ii, en que no debían aprobarse, porque el sueldo de brigadier de caballería con que la plaza de Gibralur........................................................................ 500 contaba para el completo de los 123 rs. de renta pro…</t>
  </si>
  <si>
    <t>…ncipios no son los restan «Ei Gobierno, sm embargo, no dudara en admitir modificaciones á su tes empréstitos mas valederos que este. plan en la aplicación de Jos principios que ha sentado, porque conoce y sabe la «Ha insistido el Sr. Palarea en la misma doctrina del otro dia sobre le sensación q-.e ha producido sj sistema en todas las plazas de Europa, v necesi galidad ó no legalidad de estas operaciones, recordando los derechos de que ta de ellas para sus nece»jdidcs actuales: conoce que estas mismas discusiones, en se habla en el Est…</t>
  </si>
  <si>
    <t>…ración pudiese valer, ¿cuál serta tamente ninguno. Mas luchando este principio severo con la honradez del co la suerte del crédito español? Es bien seguro que si niñato se autorizase al razón , han dicho alguno* señorea , como eL Sr. Palarea, que á lo menos, lo re Gobierno para contratar un empréstito, existiendo una declaración semejante, cibido debe pagarte 9 otro que deben abonarse tas partidas de aquellos emprés ningún capitalista extrañgero querría entrar en trato ¿oa él. Del buen ó mal titos que han servido para pago de deudas le…</t>
  </si>
  <si>
    <t>…stumbradas ; he visto cotizado en la bolsa de Pa nocimiento. Ya he dicho, y repito, que aun los Sres. mas severos en sus prin rís su curso; he visto que el Gobierno obedecido eo España , el Gobierno re cipios , como lo ha sido el Sr. Palarea y otros que han hablado contra el proyec conocido por la Francia y por las demas Potencias lo reputaba legítimo; \y to de ley, han sido de díctámen , consultando á la justicia, de que se pague una ahora me dicen que no es válido! ¿Y por qué? porque hay una ley en sus có parte de estos empréstitos, pu…</t>
  </si>
  <si>
    <t>…rís, no se habia hecho la me nia inconveniente en ponerse de acuerdo con la misma para el efecto. nor emisión fraudulenta de sus títulos: que por lo tanto, sin oponerse el Go Después de algunas ligeras ob ervaciones hechas por el Sr. Palarea, i que bierno en manera alguna á la indicación del Sr. preopinante, creía de su de satisfizo el Sr. Presidente, se leyó la indicación del Sr. marques de Falces re ber hacer la indicación al Estamento de si debía ó no pagar les intereses de dactada en estos Términos.----------- — - lo» emprétótos de…</t>
  </si>
  <si>
    <t>…la posición actual del Gobierno, ya por té ti me será infiel la memoria; pero crea qut siempre se han fundado en al la sensación qué había causado en las plazas extrangeras su plan primitivo, au guna cause. En cuanto á lo que el Sr. Palarea ha dicho, respecto al art. 15 mentada con los rumores propagados de antemano de la mayoría de! dictamen, del Estatuto Real , creo que la misma fuerza debe tener este antes de la de la comisión, ya también por haber el Estamento tenido á bien excluir el ■lección que después de ella." empréstito de G…</t>
  </si>
  <si>
    <t>…que calcule nadie las vastasatri- del 'Despacho ha dicho que se han separado oficiales por no considerarlos con buciones de este ministerio, sino sus mismos individuos. justicia para serlo, contestando á lo que ha manifestado el Sr. Palarea acerca «En cuanto al sueldo de los empleados, la comisión debe abstenerse de ha de que sean colocados en estos destinos oficiales antiguos. blar de ellos, porque hace pocos días que se aprobó el presupuesto de la Secre «Quisiera preguntar qué sueldos se han dejado á los oficiales que han si taría d…</t>
  </si>
  <si>
    <t>…so, se vaya acercando y S. S. que de los 1209 que ahora se pagan á los Secretarios del .Despachó, masa] punto á que eLministerio deseara y aplaudiría/9 - 609 fuesen como sueldo, y los otros 609 como en pago de una comisión,sín El Sr. Palarea:'** Ha dicho el Sr. Secretario-de Hacienda que yo me he duda con el ihtento de que ün Ministro cesante quede cotí 309 rs. ,y no con entrometida en las facultades del Gobierno. Las pocas palabras que he hablado 609, que de otro modo le corresponderían. En esta cuestión hay dos\ la per han sido bien…</t>
  </si>
  <si>
    <t>…r. Secretario del Despacho de la Guerra apoyó el parecer de Sr. Al pitán de una compañía de 120 hombres, que á la fecha del dia aquellos sol calá Galiano. dados quedan abandonados sin capitán, siendo muy oportuno que las compa El Sr. Palarea dijo que en atención á las inexactitudes que ya había no ñías no carezcan del conjunto de oficiales necesario en estas circunstancias, si tado en ei presupuesto de la Guerra el actual Sr. Secretario del Despacho, con guiendo este sistema por una economía mal entendida, podríamos venir á una vendría…</t>
  </si>
  <si>
    <t>Palarea, Juan</t>
  </si>
  <si>
    <t>Juan Palarea</t>
  </si>
  <si>
    <t>…isión, debo manifestarle que no es exacto, porque esta no haya pro festaba que habiéndose concedido término en la ¡unta preparatoria del 23 de puesto su dictamen de un modo positivo. La comisión da su dictamen fijo Julio último á D. Juan Palarea , electo Procurador por la provincia de Múr cuando expone que no se cree autorizada para proponer la aprobación de los ela, para que presentase lós documentos justificativos de su aptitud legal, y ha poderes dei Sr. Palarea; porque si se conforma el Estamento con el dictamen ciéndolo ahora de una e…</t>
  </si>
  <si>
    <t>Palarea, Polo y Afonget El Sr</t>
  </si>
  <si>
    <t>Polo y Afonget El Sr Palarea</t>
  </si>
  <si>
    <t>…esta parte de cu artículo: mostrándose dóciles como de cos- producen; puede ser que me equivoque en mi juicio; esto es muy posible- vo t uníhre.” , desconfió de todo Gobierno, porque todos ellos tienen tendencia á esclavizar, £1 Sr. Polo y Afonget » El Sr. Palarea no ha expuesto todas las/ razones y desgraciadamente' hay una porción de acontecimientos que prueban esta doc que tía tenido la comisión para presentar el artículo del modo que lo hace Yo trina mía; y si los Síes. Secretarios del Despacho quieren que les de daros, ios no debo omitir, pues, queda ad…</t>
  </si>
  <si>
    <t>PalareaVl</t>
  </si>
  <si>
    <t>…ede haber derogado el Estatuto Real, que es una ley funda se iba á empezar la dtscision por articule», se leyó el concebido en es tea mental , firme y duradera para siempre. Asi que no encuentro inconveniente términos.. •n que el Sr. PalareaVl habiendo justificado cuanto debe justificar, se siente en Art. I*0 La libertad individual es protegida y garantida: por consecuencia «1 ¿lamento, pues posee los 123 rs. de renta. ' . ningún español puede ser obligado á hacer lo que la ley no ordena. El Sr. Domrcq: Me parece'que esta cuestión no deb…</t>
  </si>
  <si>
    <t>Palarisa</t>
  </si>
  <si>
    <t>…atuto Real, lo b'rse de abogado, pero no actuar hasta lo» 25 años. Si se rec.b.ó en el colesio cual verificó el Sr. Secretario (González.: . .. de la Corona á este, cabal ¡ero para actuar como abogado en el año 28, desde El mismo Sr. Palarisa reclamó en seguida que se .leyera la fei de bautismo este al de 34 • van 6 ■■ de consiguiente tiene 31 años; Es , pue&gt;, un documento del Sr. Calderón, á lo qué contestó el individua de lá comisión que lsabía da justificativo el de que te trata, pues no es fácil que hubiesen consentido loa do cuenta…</t>
  </si>
  <si>
    <t>Palaterston</t>
  </si>
  <si>
    <t>…onocer por medio de la Dieta. (G. de Augiburgo.) Fondor públicos. Tres por 100 consolidados 92 J. El príncipe de Talleyrand , M. Van de Weyer, y las ministras español y Idem 11. portugués han tenido esta mañana una entrevista con lord Palaterston. (Cearúr.&gt; A las trei y media de Ja tarde. En este momento se rennen los ministros en conferencia final en casa de S. A. el príncipe de Metternich, canciller de V espera que llegará cuanto antes i esta ciudad el marques de Palmella y Estado, para firmar el protocolo: después dé la sesión, los minist…</t>
  </si>
  <si>
    <t>Palaudarias, Joaquín</t>
  </si>
  <si>
    <t>Joaquín Palaudarias</t>
  </si>
  <si>
    <t>…tratado de reformar en esta -.parte el gravamen que sufrían , al mismo tiempo que no "ha Sr. D. Honorato de Puig, electo por Barcelona, por &lt;1 cólera. podido desentenderse de la suerte de muchas personas que tenian librada susub- D. Joaquín Palaudarias, por id., id. sistencia en la percepción de aquel tributo, ;n¿ desque se arruinen varios esta— ’ D¡ RatiV7p €iscars posád., id. *, y blecimíentos de beneficencia, ni de causar daño a las personas particulares que ' ' Vá. Jósé 'plSndolit ,'por'TÍ!., id.1 J disfrutaban de parte de sus productos. Cree…</t>
  </si>
  <si>
    <t>Paldo</t>
  </si>
  <si>
    <t>…rrestadlas v expulsados en la misma hora á P- Gas|&gt;ar Ondovilla, que lo era de la de Barcelona, á D. Félix de la corte, como vagamundos, destinados al lugar de su ormn.lez, Alonso Calzas, alcalde del crimen dé la de Zaragoza, y á D. Paldo bajo la especial vigilancia «le la justicia respectiva: y al impresor (S Santafé: en clase de alcaides del crimen á D. Francisco de Paula persona que facilite la multiplicación de los ejemplares de aquellasVaqupr, á D. José Banguells de Eixalá, á D. Felipe Martínez Motápeles se le aplicarán inmedia…</t>
  </si>
  <si>
    <t>Palio, Cines Muñoz</t>
  </si>
  <si>
    <t>Cines Muñoz Palio</t>
  </si>
  <si>
    <t>…r y tener sus recíprocas acciones. (Diario de la Habana.) En los días 23, 26 y 2" del comente se verifico !a proclamación de nues tra amada Reina, habiendo precedido una alocu.ioa de. ¡&gt;cñ^: acalde maior Requena l.° de Diciembre» D. Cines Muñoz Palio, relativa á manifestar los derecho* i:'c rntcsuble* de Después de haber cumplido estas autoridades y vecindario con la jura so S. M. Doña Isabel ii al trono de las Es pañas. Levanto pend -ne&gt; er. un, mag lemne á nuestra amada Reiva como Princesa heredera del trono, y tributado nífico tablado dispue…</t>
  </si>
  <si>
    <t>Pállotadel</t>
  </si>
  <si>
    <t>; 778 &lt; ■ ^ . - \7 ' Roma 24 de Julio. -El 3 no se había recibido en Bayona ninguna noticia del ct^Mlel general; cada vez se tomaban mas precauciones en la frohtera para impedir que llegasen Su Eminencia el cardenal Pállotadel título de San Silvestre ha muerte el prqVlsione^’áTtts provincias rebeldes. &gt; 20del corriente. ííació en Ferrara el 23 de Febrero de 17/6 ,y filé promo vido á la púrpura cardenalicia en el consistorio secreto de 10 de Marzo de 1828, ^.'..-■Tasóideñes severas que hadado ei gobierno han cortado enter…</t>
  </si>
  <si>
    <t>Palm</t>
  </si>
  <si>
    <t>…que limitando excesivamente la cantidad do El príncipe de Talleyrand y los embajadores de España y Portugal han pólvora que un parricular puede tener en su casa, expqne á lo? cazadptcs-que tenido estos dias varias entrevistas con lord Palm^rston. (tour/&lt;rrO vivan lejos de las poblaciones á sufrir án castigo á que fcp sqn ’ácrecdcffes: qué la prna de quedar bajo la vigilancia dq lq-~policí%, es fxorbicatité: ^ue-se mul-&gt; - - El tintado celebrado entre las cuatro Potencias no se ha recibido todavía tiplican sobre manera los casui cít q…</t>
  </si>
  <si>
    <t>Palma, D José María</t>
  </si>
  <si>
    <t>D José María Palma</t>
  </si>
  <si>
    <t>…oy pronto á arrostrar todo géneró de pe pitán {enera! de Castilla la Vieja lo siguiente: El ayudante con grado de capa ligros. Prestó llegará el tiempo en que mi edad y mis achaques no me permiti ran del regimiento húsares de' la Princesa D. José María Palma, destacado en rán continuar en el ministerio, cuyo difícil cargo, si todavía desempeño, es por Villodrigo para cubrir la carretera y perseguir los facciosos que apareciesen por las grandes obligaciones que debo á mi Soberano, mayores quiza que las qué, acuellas inmediaciones, me dice deúle Buniel e…</t>
  </si>
  <si>
    <t>Palma, José María</t>
  </si>
  <si>
    <t>José María Palma</t>
  </si>
  <si>
    <t>…á arrostrar todo géneró de pe pitán {enera! de Castilla la Vieja lo siguiente: El ayudante con grado de capa ligros. Prestó llegará el tiempo en que mi edad y mis achaques no me permiti ran del regimiento húsares de' la Princesa D. José María Palma, destacado en rán continuar en el ministerio, cuyo difícil cargo, si todavía desempeño, es por Villodrigo para cubrir la carretera y perseguir los facciosos que apareciesen por las grandes obligaciones que debo á mi Soberano, mayores quiza que las qué, acuellas inmediaciones, me dice deúle Buniel e…</t>
  </si>
  <si>
    <t>…o que no le constaba el numeró de invadidos: acompaña asimismo compensa que S. M. tenga á bien concederle, mas creo también de mi deber los siguientes partes. ' -1* llamar la atencion de V. E. sobre el mencionado capitán graduido D. José María Palma, que mandó una acción tan brillante con 22 húsares contra 50 Parte Sanitario de Jerez de ¡a Frontera. enemigos, que dispersó matándole la cuarta parte de la fuerza , según las noti Tnvad idos. cias adquiridas y que dió de palabra el paisano Cipriano Rueda, natural de Existencia del D ias. dia anter…</t>
  </si>
  <si>
    <t>Palmarston</t>
  </si>
  <si>
    <t>…de esta tribuna, ni en nada de lo que he dicho Fondo? públicos. Tres por 100 consolidados 89é á 5-f. 6 afirmado 7h'e tenido animo de ofender Li persona deí Sr. ministro del ln$eJ En fódas las tertulias diplomáticas se dice que el lord Palmarston no ha rior, (Sítichas toces de todos los puntos de la Cámara; Muy bien! Muy bien tenido á bien acceder á las deliberaciones de la Conferencia, adoptadas última '^.Yministro del Interior decae la tribuna \ DccIaro( que en la respuesta que mente sobre los negocios de los Países-bajos; y esta es, segú…</t>
  </si>
  <si>
    <t>Palmcrston</t>
  </si>
  <si>
    <t>…scurso de M. $bc*l td: mientos, prolongó la vida del mas amado Soberano el Sr. D. Fer pedir los papeles oficiales relativos al tratado turco-ruso, y de 1* nando vu (Q. S. G. G.) &gt; es la misma que para premiar sus vir respuesta de lord Palmcrston. tudes determinó definitivamente sacarle de este destierro para la En otoño de 1831, dijo M Shei!. marchó Ibrahim á la Siria: verdadera y eterna vida, cuya consoladora persuasión, solo carac íl 3 de Diciembre del mismo año sitió á Acre, que cayó en «g terística de la cristiana y única verdadera Reli…</t>
  </si>
  <si>
    <t>…ho posteriormente entre el gabinete-de S. Petersburgo y Ach- partidos; sé que aun en ellos fiay buenos y matos elementos. Entre tóet-bajá, embajador de la Puerra. los carlistas se cuentan propietarios ilustrados, hombres de bien, Lord Palmcrston contestó que era imposible acceder á la mo , quienes por interés y por deber se ven precisados á unirse al go ción de M. Sheil sin presentar otros papeles que tenían relación con bierno para mantener con él el órden público; mas son tímidos é los documentos oficiales del tratado turco-ruso, y que n…</t>
  </si>
  <si>
    <t>…Cortes legítimas, pregado ya por la na- El príncipe deTalleyrand tuvo ayer tarde una larga entrevista con el con ^cion el juramento y pleito homenage á la Princesa primogénita por sucesora de Grey en Downhig-strcct, y otra con ci vizconde Palmcrston en la secreta del trono de V. M., es una ley inviolable que debe ser guardada y cumplida. ria de Estado. Estos son , Señor , los votos del Real acuerdo de vuestra audiencia de Puer-^ -Sjlwmn* que S. M- acompañado de la Reina piensa hacer un viage á Ir- ’ to-Rico, que los presentes ministros ofrecen…</t>
  </si>
  <si>
    <t>…or. La misma distinción ha sido dirigida á ios Sres. mariscal Soult, duque de Broglic,. príncipe de Talley-rand , mariscal Maison , conde sares entre los rebelde*, por lo que con arreglo á las-Reale* órdenes vigentes Guilleminot, lord Palmcrston, lord Grey, sir Stralford Omning, sir Y.Gra- dispuse que después de obtenidos ios auxilios como cristiano fuese pasado por ham, primer lord del alqtürantazgo ingles; conde Nesselcode, principe de Lie- las armas, cual se ejecutó á las doce de la mañana de.éste dio. Lo que traslado ven, conde Matuche…</t>
  </si>
  <si>
    <t>Palmer</t>
  </si>
  <si>
    <t>…; y después las pone en paralelo con los artículos que sobre dicho» lord Howick. aunque dependientes ,del .ministerio apojaron á M. Hume: lord acontecimientos ha publicado el Monitor, para deducir que el gobierno ha pro : Ahhorp, lord Palmer&amp;ton, M. Baring y el conde de Darlington hablaron en curad i ocultar y disminuir en cuanto ha podido la gravedad de estos desgra Contra. Este último quiso hacer una adición í la proposición de M. Hume; ciados sucesos.</t>
  </si>
  <si>
    <t>Palmeratón</t>
  </si>
  <si>
    <t>…r cuostantemente perjudiciales. (Courier.) / ' f los sentimiento» de odio y hostil ¡dad, que nq aoa siso efecto da la igootaDcñ que rain» entre los maestros y oficiales, de ua crin al otro del retoo. Ea coas- "tiufi I» ateacioade lord Palmeratón «obre loe «abarnos que sufren «cuencia han venido las oqmisiooado* de 1» principsln rnntsdei f dñtnamt f</t>
  </si>
  <si>
    <t>Palmerston</t>
  </si>
  <si>
    <t>…n guiado en la adopción de'las^tfaedklas dé—’ ¿1 barco, que según noticias, la trae, se espera por momentos. Con respecto á nunciadas por esta resolución , sean conocidas de mis conciudadanos ,~ae{ mundo la. filtíma pregunta, él (lord Palmerston) debia decir que en efecto el general entero y de la prosperidad, pido respetuosamente que se inserte esta protesta en ■ ¡ TLdeiit había entrado en el territorio portugués, aunque limitando sus operacio el proceso Verbal de la sesión del Senado 15 de Abril 1834-==Andrés Jackson. nes á echar á D. Cá…</t>
  </si>
  <si>
    <t>…il, y ejercer en fin la vigilancia que sobre todos los estable ____ El encargado de Negocios de Bélgica y el príncipe de Talleycimientos públicos corresponde al gobierno, de quien los subdele rand han tenido una entrevista con el vizconde Palmerston. gados son agentes especiales. ____La duquesa de Diño ha dado un espléndido convite, á que 3.a Poi consecuencia del derecho de inspección, protección y han asistido 250 individuos de la primera nobleza, los miembros vigilancia que compete á los subdelegados, y atendidos los vicios del cuerpo diplomá…</t>
  </si>
  <si>
    <t>…ord Althorp, canciller del echiquier. á hacerse en España y Portugal, serán imitadas por otros gobiernos y por otros lord Holland, ducado de lancaster. países de Europa, los cuales , sin obrar quizás ninguna variación en la forma lord Palmerston, ministro de Estado, de sus instituciones, serán llevados por una necesidad inevitable á recoger tam lord Melbourne, ministro de lo Interior. - bién el fruto de las reformas, cuyo ejemplo les habrá dado la Península. (Globe.) Honorable T. S. Hice, ministro de las Colonias, lord Auckland, primer lor…</t>
  </si>
  <si>
    <t>…a con la sola variación de que en lugar de establecer, como quiere el au Loe embajadores de Rusia y Francia tuvieron ayer una conferencia con el tor de ella, «que los hijos que nazcan después de separados los padres, se repu- j I-vizconde Palmerston en la secretaría de Estado. El encargado de Negocios de ton de derecho ilegítimos, salvo en el caso que el marido los reconozca formal 1 Portugal M. Lima visitó también el mismo dia á varios embajadores y minia- mente,” se declare «que los hijos que nazcan después de separados los padres, I trosexu…</t>
  </si>
  <si>
    <t>…El marques Zappi, el conde Ceraesti dé Anconi, y el Sr. Sari! dc.Bo! - cios de Grecia, y ni embajador de. España tuvieron sucesivamente entrevista* ñia , desterrados de los Estados del Papa por cómplices en los movimientos re con lord Palmerston en la secretaría de estado. (Sun.) volucionarios acaecidos allí, han llegado S Ñipóles y obtenido permiso para te-' ;l :. * sidir en aquella eiudad. Hasta aquí el duque de Lúea era el único soberano Je __ _Sh- J. C. Hobhpuse, lord Duncannon y el ministro de la Guerra visita Italia que había dado1 e…</t>
  </si>
  <si>
    <t>…omercio interior, HJH. SS., no puede ser algó mientras no lo sea la de Muoster, el duque de Richmoñd', el duque de BuckJngham, el conde de variedad por lo menos de nuestras producciones agrícolas, ó que las fabriles em Durham, el vizconde Palmerston, y Mr- Carlos Grant. (Standard.) piecen á naturalizarse en el dominio de la república; pero el externo activo se dilata con la población del territorio fronterizo por una parte, y con el incre ------ Corre la voz de que Mr. Cárlos Grant será promovido á la dignidad d e mento por la otra de la naveg…</t>
  </si>
  <si>
    <t>…ministerio, pero esta noticia carece de fundamento. turada nación. •&gt; _E1 caballero Vial, encargado de Negocios de España, ha tenido una entre En apoyo de esta propuesta dice el Sr. Barrot que no intenta entorpecer di ¿vista, con lord Palmerston. las negociaciones que el gobierno tenga pendientes ni suscitarle compromisos, n^i Es cierto que el príncipe de Talleyrand se volverá á Francia por el mes antes por el contrario, pretende evitar se diga que la nación francesa mira con dejtiayo; pero todávía no se sabe quien sera su sucesor. indiferencia…</t>
  </si>
  <si>
    <t>…juntas secretas eñ 1830; pero se reorganizaron después con El correo siguió su yiage para Inglaterra. Se asegura que la respues mas sigilo fuera de la vista del público, y no con menos poden ta del divan és casi conforme á lo que lord Palmerston ha-dicho con el artículo 291, y con las modificaciones que en él es preciso en la Cámara de los Comunes. La Puerta, sin ceder en ningún hacer para que sea eficaz, es forzoso hacer hoy la guerra á aquellos punto del tratado de 8 de Julio, manifiesta sin embargo en los mismos enemigos que se reproduc…</t>
  </si>
  <si>
    <t>…s y se cangearán en Londres en el espacio de un mes, ó antes si fuese posible. el Rey del Reino Unido de la Gran Bretaña e Irlanda, En fe de lo cual los respectivo* Plenipotenciarios lo firmaron y al mu y honorable Henrique Juan, Vizconde Palmerston, Barón Tem- sellaron con el sello de sus armas. Dado en Lóndres á veinte v dos &gt;le, Par de Irlanda, Miembro del muy honorable Consejo privado de Abril del año de nuestro Señor el mil ooliocientos treinta v coa— , lugar lugar del tro.=Firmado.=Mirailores del sello.—Talleyrand, se- del Baño, de Cabal…</t>
  </si>
  <si>
    <t>…la marcha de su polí proporcionar ningún progreso á la sociedad. Nada tiene que darle, tica en la dirección de los sucesos del oriente. En vano , dice, ha nada fecundo que ofrecerle. Sois un partido antiguo: necesitamos exaltado lord Palmerston la cordial y reciproca confianza que rei cosa nueva, y no la teneis. tAplausos estrepitosos ') na entre los gabinetes de S. James y de las Tullerías; poique si es «Nuestro partido, señores, es el del progreso y de las luces. ta se reduce á meras arengas parlamentarias, ó á notas insignifi . (Exclamaci…</t>
  </si>
  <si>
    <t>…vino el 16 i esta ciudad para asistir á un Consejo de ministros en ____Un profesor de la universidad de Paris viaja al presente por los departa que se resolvió prorogar el Parlamento. Después rceibió S. M. al vizconde Melbourne , vizconde Palmerston, mentos de Francia para informar al gobierno sobre el estado actual de la Mr. Rice, Mr. Grant» a! conde He Albemárle, á Mr. Scrjcant Arabin &gt; al ca educación en punto á lenguas vivas. pitán Ross y á otros varios. (Courier.) vi célebre barón Dupuytren ha vuelto á caer enfermo y se halla en un El lor…</t>
  </si>
  <si>
    <t>…s en al ministro de Negocios extrangeros sobre el tratado de la cuadrupla alianza , y tiempo de la restauración, y á pesar de esto obráis como si no tuvieseis *ningu— jobre la entrada del general Rodil en el territorio portugués. Lord Palmerston na. La Francia esperaba ver salir el órden de la libertad, y vosotros no le respondió categóricamente que en efecto existia el tratado; que su ratificación habéis dado otra cosa sino tumultos, guerra eivíl y una inquietud perpetua. en Lisboa se había diferido por una simple formalidad, y que el gen…</t>
  </si>
  <si>
    <t>…U atención7el balcón de la sala capitular, que ademas de los cottososv Clon de los franceses en las pesquerías inglesas. Yo espero,\dijo el orador, qúo, , damascos con qué fue entapizado, presentaba en tu centro y bajo un vistoso lord Palmerston dará á este asunto^toda la atención que rahece. La primo-, doM jos retratos'de nuestra adorada Reina y su sabia Madre; y á su frente ra petición está firmada por los pescadores de Bcikamsiead en el condado do fuéxl/piintodestinado para tremolar por primera vez el Real pendón , en un Esscx , y La se…</t>
  </si>
  <si>
    <t>…turco que se esperaren Londr^-para-sepofar~al "ffioria ÓeT barón Cuvier, y que ha de colocarsc cñ Douby, pueblo de su naSultán de su primera opimon. i&gt;e empicarán seguramente todos los medios po cimiento. sibles pata conseguirlo: lord Palmerston mira ya como muy ventajoso que se haya podido determinar á la Puerta á que envíe un plenipotenciario cerca de —— Una carta de Ancona ¿c 7 de Setiembre parece contradecir la noticia dada nuestra corte. Esto no lo ha hecho por su propio impulso; mucho ha ganado por la Gaceta Je .Avtgsburgo de que las…</t>
  </si>
  <si>
    <t>…tA. 11 Undres.. 31 de Octubre. 1 ■ El puebla cowiuacaftéeó, que ha visto hasta la evidencia la atroz perfil, ) • . . día y vil conducta fiel execrable párroco José María Alpuche é Infante: qué ' Se díte que el ministro de Estado, lord Palmerston, ha sido nominado ha sentido mas que ninguno de los demás pueblos del Estado so'ferocidid : que ' gobernador general de la India. (ffrraÜ) aunpuédén extór loe miembros paipitantes que ha sacrificado por Su inmoréHéUd' y jtu arittócionrqúe de lifii misma* cualidades se:h&amp;llán dotados los , Hsn sido…</t>
  </si>
  <si>
    <t>…n de la violación del tratado de Viena en que intervi de las audiencias respectivas, las. que remitirán al decano de la sec no como una de las partes la Gran-Bretaña. ción de Gracia y'Justicia del Consejo Real de España é Indias, Lord Palmerston: Confieso que todas las almas sensibles y ge certificación que acredite la aprobación del ejercicio y aptitud del nerosas deben responder muy de corazón á los afectos de simpatía interesado; y en su vista, la dicha sección mandará expedir el tí que acaban de manifestarse en favor de los polacos, pe…</t>
  </si>
  <si>
    <t>…gocios. Si los poderes no se auxilian mutuamente, y si la desconfianza los se Nuestro ministro se ha dirigido al de Relaciones exteriores de Inglaterra para, la máquina política queda sin movimiento, ó éste es lento y desarregla lord Palmerston, informándole de los deseos que tiene Bolivia de cultivar re do, porque depende de la acción combinada y de la armonía de aquellos; y la laciones políticas y comerciales, prévio el reconocimiento dé nuestra inde libertad y la prosperidad nacional siempre serán ilusorias. Esmeramos que el pendencia…</t>
  </si>
  <si>
    <t>…núa la sesión pública con asistencia del mariscal SouJr, presidente del adquirir sob;e el particular. (¿i ruc-Sun.) consejo de Ministros, y el Sr. de Broglie, secretario de Relación» exterior». ____ Tenemos razones para creer que lord Palmerston ha dicho al embajador El conde Mole lee la minuta de contestación al discurso del Rey.* el pre de Rusia en la última conferencia habiua entre ambos, que si la cuestión pen sidente lo pone á votación párrafo por párrafo, y ia Cámara los aprueba sin diente no se resolvía luego, saldría un; escuadra i…</t>
  </si>
  <si>
    <t>…Me hallo con un fusil al hombro,unido i sugetos que en otro tiempo res tó el mismo vírey , y hoy nos vemos confundidos con el perverso y cri tivo al dicho paso de los Dardar.e.os; pero importa mucho saber que toda la política de lord Palmerston se h¿i c&gt;treUado contra la firmeza de la Rusia. Em minal. Asi lo ha dispuesto la Providencia. Las tropas veteranas y nacionales pezó primero amenazándola , después acariciándola, luego trató de interesar á la han salido á perseguir los revoltosos; se aguarda con impaciencia el resultado, _que no si…</t>
  </si>
  <si>
    <t>…r dentro de pocos dias 6300 pesos fuertes a Baltimore, e Estos dias el príncipe de Talieyrand y el embajador español han tenido va igual suma á Nueva-Yorck, que es el total de lo que tienen depositado en aque rias entrevistas con lord Palmerston, ministro de Negocios catnngeros, y tam lla caja. Este acuerdo ha causado gran situación. bién coa el conde Grey, (fourier.)</t>
  </si>
  <si>
    <t>…nadores civiles de las provincias la. cantidad alza.la que pa En la sesión de la Cámara de los Comunes del 2 de Maro preguntó M. guen los empresarios de los Boletines oficiales á la renta de tauteos Robinson al ministro de Estado lord Palmerston si tenia noticia de un decre por su franqueo en la capital de cada una, V prorrateándola entre la jo del aobierno portugués, que igualaba los derechos de todos los géneros im totalidad de los pueblos suseriptores, determinarán el precio liqui portados; y si la tenia, que pasos se habían dado con re…</t>
  </si>
  <si>
    <t>…ó á esta ciudad el nuevo embajador de España , conde Para la de Marina á D. Martin Fernandez de Navarrete, deca de Floridablanca. Hoy, acompañado del caballero Vial, ha hecho no; D. Agustín Perales; D. Miguel Moreno- una visita á lord Palmerston, y el 16 será presentado á S. M. Un Para la de Fomento á D. Juan Alvarez Guerra, decano; Don número considerable de distinguidos personages, incluso el cuerpo José Canga-Arguelles; D. José de Heredia; £&gt;. Justo José Ban- diplomático, han ¡do á visitarle. (Courier.) queri; D. Vicente González Arnao.…</t>
  </si>
  <si>
    <t>…' zado á lord Grey en el destino de primer Lord de la tesorería, y que el mi nisterio ingles permanecía compuesto de los mismos individuos que antes, que T.a Gaceta de Quebec publica un estado comparativo de los hombres, bu dando lord Palmerston encargado del departamento de negocios extrangeros. ques y toneladas que han llegado á aquel puerto desde el 28 de Mayo inclusive dé*1833 hasta igual mes de 1834- El resultado es el siguiente*: en 1833, 108 buques: 29,963 toneladas: 1363 emigrados: en 1834&gt; 205 buques: 88,842 to neladas: 8O4O emigr…</t>
  </si>
  <si>
    <t>…Ai:iembre. en el cual aparece Seid-Behadir-bey como embajador del Khan de Chokeud, El conde de Minto ha llegado á Lóndres, y tenido una conferencia con para ofrecer sus homenages al gran Padtchah. Dentro de diez dias se pondrá el vizconde Palmerston. en camino para volver por Rusia á su país. La misma Gaceta asegura que la peste está á punto de desaparecer: también anuncia la formación de un ejerci ____El convite dado á lord Durbam en Glasgow termino con los simientes to de reserva, añadiendo que todas las provincias han recibido las ordenes de…</t>
  </si>
  <si>
    <t>…cuentan los Sres. de St. Marsan y Coges. Es digna de especial atención la parte en que el ex-ministro de Negocios llegno. extrangeros trata de la política exterior de Inglaterra. «La administración que ha Cesado de existir, dijo lord Palmerston, ha ■ F7 Estenógrafo de Montevideo publici las siguientes noticias del Perú, hecho mucho por la felicidad interior del pais, asegurando numerosas econo recibidas por la vía de Valparaíso. mías; y en el mismo momento en que se separó de los negocios, la cifra de «Las tropas que Bermadez y Gamarra te…</t>
  </si>
  <si>
    <t>…tal, tanto mas cuanto este ramo no puede llegar pe de Tálleyrand, y los embajadores español y portugués han tenido sucesiva al grado de perfección que exigen (as necesidades de nuestra época, sin conceder mente una entrevista con lord Palmerston. (Courier.) fondos mas considerables que los que están señalados actualmente. ”S. A. R. no duda que siguiendo el orden de los negocios que se ha pres ------ El príncipe Esterhazy sale mañana para el continente, y parece que sa crito, os dedicareis con el mayor zelo y actividad á realizar en el desem…</t>
  </si>
  <si>
    <t>…rd) pronunció el discurso siguiente: encargados de Negocios de Prusia, de los Estados Unidos, de Ñapóles, de Es «Señores; pocos meses se han pasado desde que nos confió S. M. las dipaña y de Portugal tuvieron ayer entrevistas con lord Palmerston. (Id.) , ficiles é importantes fundones que ejercemos, y ya el término fijado para em pezar de nuevo nuestros trabajos nos impone la obligación de venir á este recinto ___ Hemos recibido dos impresos de España, que son una proclama del ge á presentaros, algunas verdades que creemos útiles/obedeciend…</t>
  </si>
  <si>
    <t>…rarse en secreto sobre aquella materia. mara ícofdii que duba copia v los docu &gt; cntov con que se acompaña se impri 2? Cuando el Presidente y los Secretarios determinen convocar miesen y divtribuve.en : al mismo tiempo entregó el lord Palmerston otra co 4r sesión secreta pora asuntos cimcernienies al buen órden y régimen pia del mencionado tratado á la Cámara de los Carmines, observando que Id %lferior del Estamento. dilación que ha habido para hacer la entrega del tratado, se debi» atribuir úni S? Otando haya que dar cuenta de alguna dema…</t>
  </si>
  <si>
    <t>…de Hacegras y las fronteras de la Flandes holandesa. ((Diario de Bruselas.1) Madrid 25 de Setiembre. INGLATERRA. ELECCION DE PROCURADORES DEL REINO. LSndres 8 de Setiembre. PROVINCIA DE SEVILLA. El John-Bull censura agriamente al lord Palmerston bajo el respecto do Sr. D. Manuel Cortinas. la política extrangera, diciendo que la consideración de Inglaterra está deprimi —-------- -— i-m ■ 1------- da entre las naciones europeas. Poique , añade, si el rango de un Estado debe medirse por la calidad de los embajidores enviados á su corte, no ha…</t>
  </si>
  <si>
    <t>…n voz alta su Opinión sobre el porvenir de sus su ------ El Sr. barón de Pféfiél, ministro plenipotenciario de Baviera cerca de cesores. S. M. el Rey de los franceses, acaba de fallecer en Paris. (Id.) Hoy le ha tocado el turno á lord Palmerston, cuyo discurso en el con dado de Hantz es uña justificación bastante completa de los resultados de su ------ Ya se ha abierto el testamento del duque de Glocester; su herencia ascienministerio, terminada por un voto de unión entre los liberales de todos co de á mas de 909 libras esterlinas (9.000.Ü…</t>
  </si>
  <si>
    <t>…iaV s# apresuró á proclamar á Doña María n con roda la pompa y solemni es difícil comprender el motivo de una fuerza naval tan imponerte. Lá respues dades acostumbradas en semejantes casos. A esto acompaña una copia de otio ta de lord Palmerston no es conocida todavía; pero lo que principalmente «ñirpscho muy largo, indicando las circunstancias que le obligaron en 1829 i alarma la Rusia, y excita su mayor solicitud, es que la escuadra inglesa, ademas declararse por D Miguel, &lt;Jd.) del completo de hombres de mar , Ha recibido órden de tomar…</t>
  </si>
  <si>
    <t>…impatía con sus máximas, ni quiso i___El príncipe de Talleyrand y el caballero Vial, encargado de Negocios de asociarse á sus ideas. El modo como fueron recibidas las declaraciones de estos ¿paña, tuvieron ayer una entrevista con lord Palmerston. dos hombres pru*ba que su ejemplo ni es peligroso para la monarquía, ni útil’ ___Eos ingleses residentes en Hamburgo han enviado una exposición i lord i la Convención que quisieran resucitar. (2 ¡mes.') ¡Palmerston, quejándose, y al parecer con razón, de las molestias y exacciones ____ No hay ejemplo e…</t>
  </si>
  <si>
    <t>…l gabinete: Lord Brougham, lord canciller; vizconde Melbourne, primer lord de la teso rería; el marques de Lansdown, lord presidente del Consejo; el conde de MrlPARTE NO OFICIAL. graver lord del sello privado; vizconde Ducannon ; vizconde Palmerston; Mr. Spring-Rice, secretarios del Despacho del Interior, de Estado y de las Cóio-^ nial.; lord Auckland, primer lord del Almirantazgo; el honorableCárlosGrantj NOTICIAS EXTRANGERAS. lord Hoiland, canciller del ducado Lancaster; el honorable Eduardo JÉlííce, ministro de la Guerra, y el honorable J.…</t>
  </si>
  <si>
    <t>…acos emigrados, víctimas dé la política del gabinete de San lución sobre las rentas eclesiásticas de Irlanda. Se ha dicho que el nombramien Petersburgo. to de la comisión seria un ejemplo que pudiera inducir á adoptar iguales pro Lord Palmerston contestó que no veia un motivó fundado para acceder á videncias con respecto á la Iglesia de Inglaterra. Mas yo confio que no sera asi, la mocion del coronel Evans , porque en su concertó la Rusia Tío había vio r que nadie verá paridad en las dos iglesias tan distintas por sus anomalías y. lado nin…</t>
  </si>
  <si>
    <t>…e. ' * r • . hoy’p'de Intó; de Jos ,2009, todavía permanece aquella suma en las arFondos ^f/toii^J[cesf(?E,L0fl.ilPnspHda4o! 92 f- t ■ ^, cas del Est ,porque no se .ha-Prescntado-jocasiop 4c emplearla. M. Giraud Ayer visitaron al vizconde Palmerston el príncipe Talkeyrand y- él-maé^-1 Vi ntb se reduzca á 8u9 francos: en apoyó de su proposición re núes de Miraflores, embajador español. ■ .• * Lw-, - razones,que el general Bugeaud ba alegado en favor de las ^ ■ , 7i;n‘iií i' v; ■ ,.j llura» añadiendo que á ellasldebeb los inglesas e! ektraordi-…</t>
  </si>
  <si>
    <t>Palmqrston</t>
  </si>
  <si>
    <t>…ts qúe buscan ajh- Skitb para turbar la tranquilidad general. Fondoe público!. Tres por 100 consolidados 92{. ,,^CceptapdOi pues en consecuencia las disposiciones anunciadas en el oficio F.1 11 del corriente hap con/erenciado con lord Palmqrston el principe de federativo de, 13 ,de Marzo, y cuya ejecución se asegurará por las fapLidji- Talleyrand, M. Sylvain 'dé ’lVeyer, y los embajadores de España y Portu dcy.que muchos Estados vecinos ofrecen, á la Suiza, la porte de Cerdeña tiene gal. (Cour¡(r.\ def.eeho para reclamar■ todavía de la Con…</t>
  </si>
  <si>
    <t>Palprca</t>
  </si>
  <si>
    <t>…onsejos, cuan plo «n capitán general, que disfruta 12l'3, y este lo percibirá por el ministerio do se hallaba aglomerada en ellos la parte administrativa y judicial, claro es, de Guerra? Los dos individuos á que se ha leferido el Sr. Palprca han sido Se repito, que á este consejo han debido venir los asuntos consultivos que estaban cretarios del Despacho, y hay un decreto ó resolución del tiempo del Sr. Don en la cámara , en el consejo de Indias &amp;c. &amp;c.; por manera que con la forma Fernando vn, si no me engaño, para que todo.el que hay…</t>
  </si>
  <si>
    <t>Palraerston</t>
  </si>
  <si>
    <t>…imientos de la Rusia. Parece que la Inglaterra' está re .Afltufisno . ............. ...............................................;................................................ U-00 suelta á hacer una demostración decisiva, y lord Palraerston conoce U necesidad D. León Ponce, oficial de prensa déla Imprenta Real, y oferta de de ocupar efa el Imperio otomano una posición militar que produzca el mismo 20 rs. mensuales..........................................1.. ........................................ 40 efecto con respecto á ia Puerta ;…</t>
  </si>
  <si>
    <t>Paltnerston</t>
  </si>
  <si>
    <t>…a"y profana, y que tenia tan cerca; En consecuencia, m£s dé,un mes' tiene ya manifestada. Cuando este salió- últimamente de In acompañado de un solo árabe, atravesé el itsmo de Suez, seguí á lo largo del : glaterra su amistad con lord Paltnerston se había ya entibiado, asegurándo mar Rojo, y montado en un dromedario llegué al monte Sinaí cnArabia. se que esta frialdad es mas bien el efecto de ciertas personalidades, que la fal Desde allí atravesé el desierto, y después de haber corrido muchosjpcligros tuve ta' de conformidad en los negocios…</t>
  </si>
  <si>
    <t>Pambley, Felipe Sierra y</t>
  </si>
  <si>
    <t>Felipe Sierra y Pambley</t>
  </si>
  <si>
    <t>…erechos de su libre voluntad: no fueron disueltas á bayonetazos ; fue un ron , hasta que por un convenio , verificado en Junio de dicho año con el mi acto sublime que tiene pocos modelos, y digno de imitarse; cuanto ma&lt; se nistro D. Felipe Sierra y Pambley,sc modificaron las condiciones, y se contra prolongaba la lucha, tanta mas sangre se vertía; dijeron al Rey que le confia tó otro empréstito de 300 millones con la misma casa. ban sus derechos; el hecho es que el Monarca qjedó revestid i del poder por «Sin embargo de estas cantidades enormes, la Na…</t>
  </si>
  <si>
    <t>Pan, Presidente</t>
  </si>
  <si>
    <t>Presidente Pan</t>
  </si>
  <si>
    <t>…r; pero que no teñid es la principal fianza de la conservación de las libertades nacionales. Por esta inconveniente en que la comisión hablase primero. razón han sido siempre sus Procuradores antiguos tan celoso* en materia da El Sr. Presidente •- -Pan que se liga el orden que previene al reglamento contribuciones, que bán descendido é minuciosidades que ahora tendríamos «o una discusión tan interesante, voy i hacer que se lea el tít. 7." del mismo, por inoportunas. No solo han determinado los gasto*, tino hasta el modo de que contiene las dispos…</t>
  </si>
  <si>
    <t>Panadero, Antonio Félix</t>
  </si>
  <si>
    <t>Antonio Félix Panadero</t>
  </si>
  <si>
    <t>…er extracto de la de este término del propio y otro en el de la villa de Humanes, valuados en 4025 rs., cuyas día a Luisa de Vclasco, hija de Manuel, sargento de voluntarios de Calatayud, fincas corresponden á la testamentaria de D. Antonio Félix Panadero, vecino que fue muerto en acción de guerra. de dicho lugar. Las posturas se admiten ante ei referido juez y por la citada escri banía. • '? ——Para Maúlla saldrá del puerto de Cádiz á principios de Abril la fragata española *qtsA db comercio.^Cotizacion de hoy á las tres de la tarde. * nueva S. Fema…</t>
  </si>
  <si>
    <t>Pando, Manuel</t>
  </si>
  <si>
    <t>Manuel Pando</t>
  </si>
  <si>
    <t>…ublicar al mismo tiempo una am tenciarios, á saber: , , , S. M. la Reina Regente de España, durante la menor edad de su nistía amplia y general en favor de todos los súbditos de S. M. Fide Hija Doña Isabel ii , Reina de España, á D. Manuel Pando, ter- lísima, que dentro de un término que se señalará , vuelvan á su nandez de Pinedo, Alava y Dávila, Marques de Mirafiores, Conde obediencia ; y S. M. I. el Duque Regente, á nombre de la Reina de Villapatema y de Florida bla nca , Señor de V illa garcía .Grande de Doña&gt; María ti, declara también…</t>
  </si>
  <si>
    <t>Pandó, Manuel</t>
  </si>
  <si>
    <t>Manuel Pandó</t>
  </si>
  <si>
    <t>…en la Península,é íntimamente convencidasde que este nue PARTE NO OFICIAL. vo estado de cosas exige necesariamente nuevas medidas para lograr NOTICIAS EXTRANGERA&amp; completamente los objetos del precitado tratado, los infrascritos Don Manuel/Pandó, Fernandez de Pinedo, Alava y Dávila, marques de (Continuación del correo ^interior.) Miradores, enviado extraordinario y ministro plenipotenciario de TURQUIA. S. M. C- cerca de-'S. M. B.; Oírlos Mauricio de Talleyrarid PeriConstantinopla 11 de Setiembre. ¡[ gOrd, Príncipe duque de Talleyfand, emba…</t>
  </si>
  <si>
    <t>PankratjefF</t>
  </si>
  <si>
    <t>…co de vapor Lightuing que S. M. el Rey de Inglaterra NOTICIAS EXTRANGERAS; había puesto a la disposición del Principe. (Gaceta de Prusta.) POLONIA. Farsovia 19 de Agosto. ESTADOS-UNIDOS. S. M. el Emperador ha nombrado al teniente general PankratjefF primer ISTueva-Tforck l.° de Agosto. presidente del consejo de administración en Varsovia para el caso eventual de que volvieso a ausentarse el principe gobernador. (Idi) El ejército de los Estados-Unidos, según su fuerza actual, se compone de 363 dragones, 1778 artilleros, 3225 infantes, 6/Ü solda…</t>
  </si>
  <si>
    <t>Panlagua, Francisco Pellico</t>
  </si>
  <si>
    <t>Francisco Pellico Panlagua</t>
  </si>
  <si>
    <t>…bardos á 2 rs., y los nogales drés Llagaría: para la de \lmazan á D. Juan Teran: para la de Priego á Don á 4- Todos estos árboles están ya formados y son de talla mas ó menos alta á José Parejo: para la de Señorin de Carballino á D. Francisco Pellico Panlagua: fin de poderlos trasplantar: si el comprador quiere arrancarlos por su cuenta para él corregimiento de Ubeda á D. José Ramón Moreno: para la alcaldía se le rebajará medio real en cada uno; pero si se arrancan por cuenta de la em mayor de TorrecilLi de Cameros á D. Miguel Ibañez: para la de Burgos…</t>
  </si>
  <si>
    <t>Pantaleon</t>
  </si>
  <si>
    <t>…ez. ños de una extensa y formidable posición , tan tenazmente defendida en un «De igual recompensa étimo merecedores al señor comandante tenienve principio, como cobarde é ignominiosamente abandonada luego por la fuga mas coronel D. Pantaleon dd Yerro, mi gefe de estado mayor; al alférez de la completa, que terminó en dispersión y desorden, habría terminado por la to Guardia Real.de infantería D. Luis Andriani v,ai comisario honorario Don tal destrucción de los enemigos de nuestra adorada Rüin a , si media hora que Manuel Booafus, que n…</t>
  </si>
  <si>
    <t>Pantaleon, D</t>
  </si>
  <si>
    <t>D Pantaleon</t>
  </si>
  <si>
    <t>…rlos López. ños de una extensa y formidable posición , tan tenazmente defendida en un «De igual recompensa étimo merecedores al señor comandante tenienve principio, como cobarde é ignominiosamente abandonada luego por la fuga mas coronel D. Pantaleon dd Yerro, mi gefe de estado mayor; al alférez de la completa, que terminó en dispersión y desorden, habría terminado por la to Guardia Real.de infantería D. Luis Andriani v,ai comisario honorario Don tal destrucción de los enemigos de nuestra adorada Rüin a , si media hora que Manuel Booafus, que n…</t>
  </si>
  <si>
    <t>Para</t>
  </si>
  <si>
    <t>…os,‘donde convenimos en que debe estar su aplicación. La co «A vista de estos ejemplos, ¡con qué objeto se pretende hablar del jura misión ha querido esto, y por eso no insiste en ventilar cuestiones que real do de un modo vago y general! ¡Para qué? ¡para despertar la memoria de ese mente parecen mas propias de las academias que de este lugar. Pero sí quiere ensayo malogrado , ó para excitar un deseo tan incierto como el que se ex que estos principios se consignen de un modo indeleble, y que se sepa son los presa ? En casos de esta natura…</t>
  </si>
  <si>
    <t>…os, donde convenimos en que debe estar su aplicación. La co «A vista de estos ejemplos, ¡con qué objeto se pretende hablar del jura misión ha querido esto, y por eso no insiste en ventilar cuestiones que real do de un modo vago y general! ¡Para qué! ¡para despertar la memoria de ese mente parecen mas propias de las academias que de este lu^ar. Pero sí quiere ensayo malogrado , ó para excitar un deseo tan incierto como el que se ex que estos principios sé consignen de un modo indeleble , y que se sepa son lo$ presa! En casos de esta natura…</t>
  </si>
  <si>
    <t>…iuda, oomo madre de Juan Francisco Montalvo, asesina Sr. Secretario del Despacho de Haciendado en Heredia, do* reales de vellón diarios: á Eulalia de Andrés, reciña de Briones, viuda de Gregorio Rustamante, asesinado en el Escmo. Sr.: Para premiar el mérito de D. Manuel Renau, pár mismo punto, dos reales de vellón diarios; á Isaliel Quimanilia , ve cina de Castañares, madre de Manuel Rau, asesinado,en Heredia, roco de la villa del Castillo de Villamalefa, que después de halanilos reales de vellón diarios: á Damiana Lope*, vecina de L…</t>
  </si>
  <si>
    <t>…no Rojiarate, Butrón, Garay, Qrtiz de Velasco, Polo Monge, Rey, Campe, puede ser otro que el de sostener , llevada de su entusiasmo y patriotismo, las S. Simón, Arango y Ayala. libertades de la Nación, y el trono de nuestra joven Reina. Para esta misión, Se procedió en. seguida á la discusión por artículos. pues, me parece que-es muy poco á propósito una milicia obligatoria, porque Artícelo l.° La Milicia urbana es una institución civil dependiente del se necesita una fuerza de patriotismo muy grande para que un hombre espon- ■minister…</t>
  </si>
  <si>
    <t>…de 1834-enJosef ñora.—A L- R. P. de V. M-imlgnacto Javier Roméro. = Francisco Mier Te- I de Aranalde.=Sres. directores generales de Rentas. ran.=Joscf de Sto. Dommgo.=Ambrosio Gordo Saez.=Josef Barragan y Car- I bailar. I Excmo. Sr.; Para que se centralice cuanto sea posible la recaudación de Señora: El ayuntamiento de ésta M. N. y M. L. ciudad de Valladolid ha- Itodas las rentas del Estado, ha resuelto S. M. la Reina Gobernadora del rei bria antes de ahora elevado su voz hasta el tronó augusto de V. M. si nd la Ino , que la exacció…</t>
  </si>
  <si>
    <t>…cosas al extremo antes de salir. El capitán general de Caraluña entre otras cosas dice á este ministerio con fecha 14 del presente desde Tora lo siguiente : _____Leemos en el Precursor de León del 4 de Mayo lo siguiente: «F.xcmo. Sr.: Para dar mayor impulso- á las operaciones militares con el **Hoy i las tres de la tarde ha sido preso M. Amadeo de Rousillac, edi objeto de destruir las facciones que intestab.in la alta montaña, creí necesario tor principal del Precursor, por un mandato de prisión dado por el fiscal gene trasladarme de…</t>
  </si>
  <si>
    <t>…s no siendo asi, el haberse prestado jura «No quiero hacer una reseña mas extensa de hasta dónde U^gafpn las sa mento nuevo , seria en vano ” turnales y el espíritu feroz que siguieron á aquella época de intervención; pero El Sr. Caballero'- «Para indicar una observación , desearía que la comisión no dejaré de recordar que los buenos españoles tuvieron que sufrir castigos, ulme manifestase si la reclamación la hace el gobernador civil. Si así es, queda trages, humillaciones en fin; porque no parece sino que se proponían nuestros sin ningún v…</t>
  </si>
  <si>
    <t>…” hecho mérito alguno; y por consiguiente tanto valdría el que retirase esta par Declarado en seguida este asunto suficientemente discutido, dijo te de su dictámen. En ella, entre otras cosas, había sometido á la considera El Sr. Caballero: «Para votar debo hacer presente, en primer lugar, que ción del Estamento la necesidad de que se formase una tarifa, tomando por el consulado de París, que el Sr. Presidente dtl consejo de Ministros ha dicho base un quinquenio, con el objeto de que este trabajo pudiese servir én la le que cst4juprimido, f…</t>
  </si>
  <si>
    <t>…tellano*, o.3 edicioo , hecha en 16.0 mayor, buen' Para el juego de Bolos, de caber 334 fanegas y 157 estadales, su producto 2430 rt., papel, letra gruesa, y adornada con una estampa fina. Se hallará solamente en Ma- el 7 de Id. |d. Para el de Baleboslllo, de 479 fanegas, ó celemines y estadales, dHoTIbreria de Hurtado, á 4 rs. en rústica, 6 en pasta común, 8 eo fina y t8 en’ta- su producto'2310 rs., los días 8 y xo del expresado mes, á dicha Jbora^ Para el de esét*. Argamasón. su raKMa .«n - — -*Í ~jpieeio»orio manual geográfico,…</t>
  </si>
  <si>
    <t>…. denomir^cíon ¿c fir-HifAfo Je \ Art. !2.° Kl Rey de 1'rus.u acepta e«tá ce*i vn . v ,u :.crc ¡7"' el princípado de' JLíw1rtcmbcr¿ ¿od t .|lps, los tk*rc^hos uW ¿¿aci.y no %,-i.^c ' ' _ , '• ri PARTE NO OFICIAL. ton aneju$. Art. d.° Para la cesión de c«¿e principado pa£iií- S. M, ei’Rcv de Prí.^a KOT1CIAS EXTRAkGERAS* á S, A. el*duq»q de Saj'&gt;ma-C-b^urg-G«&gt;lha no**'*!"- una rcT»ra; ■*t J-c *1 úr rixíjalecs', a títñlo de ¿ndcránjjtawjái^ sino que pitadra adenras* a i. A. en esta do de adquirir una. ptjjplpdad 'TfrrTrforial, sifci por \…</t>
  </si>
  <si>
    <t>…ureomo refiere un periódico ministerial de la tarde los sucesos de Reciba pues V. M. la tonas reverente expresión del reconocimiento de_esHk»n 1$ iqafiana- del 14. corporación municipal, que protesta á V. AL su firmradhesión á la Reina •&gt; Para no comprometer á la guardia nacional y á la tropa de línea en calle nuestra Señora y al sabio Gobierno de V. M. juelas estrechas , donde hubiera sido demasiado fácil durante la noche ocasio Madrid en su qyuntam irrito 23 4£-Al^xil de 18—Scpora.:^ A L. K. P. • narles pérdidas considerables, se deoid…</t>
  </si>
  <si>
    <t>Para, Af</t>
  </si>
  <si>
    <t>Af Para</t>
  </si>
  <si>
    <t>…a sociedad económica do Ciudad-Rodrigo, que se hallaba sus Idem 12. Por los partes recibidos de León se sabe que el dia pendida, ha vuelto á empezar sus útiles y benéficas tareas. LO nó'hahia'sido tanborrascosocomoel anterior. El general Af Para gobierno de ly inclusa y dirigir ía'educacioa de las jóve inar, después de haber rechazado la víspera á los anarquistas y ha nes del hospicio, se ha númbrádo una junta de señoras í imitación ber destruido sus barricadas, fes encerró en un bárrk» estrecho, en de la de la cortea. * donde no podrán ma…</t>
  </si>
  <si>
    <t>Para, Alvares Garda'</t>
  </si>
  <si>
    <t>Alvares Garda' Para</t>
  </si>
  <si>
    <t>…untos. Por lo tanto yo creo que debe supri Se leyó el artículo 3-° que dice: «Sueldo de , 3 vigías y 837 torreros, mirse desde luego este párrafo;” '690,826 ra. vn.” La comisión proponía que este artículo debía dejarse para la El Sr. Alvares. Garda'. «Para aclarar un hecho debo decir que los guar -segunda parte de su dictámen. _ da-costas y dependientes del resguardo no han desempeñado el oficio de torre Se leyó en su consecuencia el artículo 3.” de esta segunda parte, reducido ros, sino que estos han avisado muchas veces á aquellos.” á decir que par…</t>
  </si>
  <si>
    <t>Para, Art</t>
  </si>
  <si>
    <t>Art Para</t>
  </si>
  <si>
    <t>…en el Palacio como en los edificios conde, que había desempeñado hasta ahora las funciones de cajero de la re destinados á los dos Estamentos de las Cortes. gencia. Estas medidas han producido una profunda sensación en la ciudad, don Art. 28. Para perpetuar la memoria de tan fausto dia, en que se de no se habla de otra cosa, y es probable que pronto pasarán i noticia de la restablece la observancia de las leyes fundamentales, y se jura solem Grecia entera. Es indudable que desde la conspiración ¡dedos gefes militare», nemente á ía Recia de E…</t>
  </si>
  <si>
    <t>Para, Caballero'</t>
  </si>
  <si>
    <t>Caballero' Para</t>
  </si>
  <si>
    <t>…; mas no siendo asi, el haberse prestado jura «No quiero hacer una reseña mas extensa de hasta dónde U^gafpn las sa mento nuevo , seria en vano ” turnales y el espíritu feroz que siguieron á aquella época de intervención; pero El Sr. Caballero'- «Para indicar una observación , desearía que la comisión no dejaré de recordar que los buenos españoles tuvieron que sufrir castigos, ulme manifestase si la reclamación la hace el gobernador civil. Si así es, queda trages, humillaciones en fin; porque no parece sino que se proponían nuestros sin ningún v…</t>
  </si>
  <si>
    <t>Para, Domecq</t>
  </si>
  <si>
    <t>Domecq Para</t>
  </si>
  <si>
    <t>…Opinión es, empate se decide á favor, no del Sr. Villachica , sino del que ellos nombrasen; pues, que no se debe aprobar el dictámen de la comisión.” y supóngase finalmente que el tal nombrado no tuviese tacha. Tampoco la tie El Sr. Domecq-. "Para probar el Sr. Palarea que es nula la elección dice: ne el Sr. Villachica, ni hay quien le ponga el menor defecto; luego después l.° que tomó la iniciativa el gobernador civil: 2.° que asistió un elector que de tantas suposiciones solo habriamos conseguido que viniese un Procurador no debió asistir;…</t>
  </si>
  <si>
    <t>Para, Domínguez</t>
  </si>
  <si>
    <t>Domínguez Para</t>
  </si>
  <si>
    <t>…Gobierno no ticnié U menor influencia en los nombramien Él Sr. M*drano: « Yo convengo en que U primhra parte del articulo re tos de estas clases.” sulta enteramente, inútil» Creo que ti Sr. Presidente del Consejo de Ministros El Sr. Domínguez. «Para esa misma asimilación con lo practicado en el</t>
  </si>
  <si>
    <t>Para, José María Mosco.o de Altamira</t>
  </si>
  <si>
    <t>José María Mosco.o de Altamira Para</t>
  </si>
  <si>
    <t>…sarrollo de todos los ramos que constituyen la MINISTERIO DEL FOMENTO GENERAL DEL REINO. riqueza pública. Tendréislo entendido para su cumplimientos Está rubricado de la Real mano.=En Aranjuez á lí de Mayo de 1834.= Real orden. A D. José María Mosco.o de Altamira. Para que la Real orden expedida por esta Secretaria del Despa-' MINISTERIO DE ESTADO. cho en 17 de Febrero último sea observada pnntualmente, y no se dé margen á dudas ni á contestaciones que suelen ocupar á las au Real orden. toridades en demasía, y ocasionar notable pérdida de tiempo coi» perjuicio de…</t>
  </si>
  <si>
    <t>Para, José Vázquez Figueroa</t>
  </si>
  <si>
    <t>José Vázquez Figueroa Para</t>
  </si>
  <si>
    <t>…asurto. Ten su importante salud. dréislo entendido, y lo comunicareis á quien corresponda.reSeñalaDel mismo beneficio disfrutan SS. AA. RR. los Sermos. Se do de la Real mano. = En Aranjuez á 9 de Abril de 1834-= A ñores Infantes. D. José Vázquez Figueroa. Para las plazas de ministros de la sección de Fomento del con Reales decretos. A sejo Real de España é Indias , creado por mi Real decreto de 24 de Marzo último, vengo en nombrar á D. Jóse Canga Arguelles, He venido en jubilar á D. Juan Crisóstomo de Frias y á Don D. José de Heredia, D. Justo José Banqueri…</t>
  </si>
  <si>
    <t>Para, José Vázquez Figueroa PARTE NO OFICIAL</t>
  </si>
  <si>
    <t>José Vázquez Figueroa PARTE NO OFICIAL Para</t>
  </si>
  <si>
    <t>…rete. Tendreis- años. Madrid 17 de Abril de 1834—Búrgos. = Sr. subdelegado do lo entendido, y lo comunicareis á quien corresponda.=Está rubri Fon&amp;nto de esta provincia. cado de la Real mano. = En Aranjuez á 9 de Abril de 1834 = A D. José Vázquez Figueroa. PARTE NO OFICIAL. Para la plaza de consejero correspondiente á Marina en la sec NOTICIAS EXTRANGERAS. ción de Indias del consejo Real, instituido por mi decreto de 24 de Marzo último, be venido, á nombre de mi augusta Hija la (Continuación del correo anterior.) Reina Doña Isabel ii, en nombrar á D. Antonio Daban y Ur- PR…</t>
  </si>
  <si>
    <t>Para, López</t>
  </si>
  <si>
    <t>López Para</t>
  </si>
  <si>
    <t>…a sentado el Secretario de Hacienda: no entraré en un examen minucioso, y mulándose todas levantan furiosa tormenta que todo lo destruye y arranca ” el Estamento podrá calcular de qué lado se* halla la justicia - y en la misma ma Sr. López-. «Para contestar al discurso del Sr. Secretario del Despacho no nera que ha tenido de defenderse después el Sr. individuo de la comisión, se cuento .con todos los recursos que S. E. posee por sus profundos conocimientos: está viendo le han hecho mella (no era de esperar menos de su talento) las pro pero c…</t>
  </si>
  <si>
    <t>Para, Nicolás María Ga</t>
  </si>
  <si>
    <t>Nicolás María Ga Para</t>
  </si>
  <si>
    <t>…n Aranjuez á 17 de Abril dé 1834—A D- Nicolás María fermedad de D. JaViet de Búrgos, y de la ausencia de su sucesor Garelly. Et José María Moscoso de Altamira, vengo en mandar que mi Se cretario del Despacho de Gracia y Justicia, D. Nicolás María Ga- Para formar ía dotación de la Real audiencia de Granada, ven Íelfy, se encargue interinamente de la Secfetaría del Despacho del go en nombrar, por la clase de oidores, á D. Manuel José de V il- "omento. r± Está rubricado de lá Real mano. = Aranjuez 17 de ches; á D. Antonio Heredia; á D. Lorenzo María Fe…</t>
  </si>
  <si>
    <t>Para, Palarea</t>
  </si>
  <si>
    <t>Palarea Para</t>
  </si>
  <si>
    <t>…el Gobierno, oponiéndome á que se admitan esa parte contenciosa-adminístrativa que en el reino vecino de Francia ba lle las adiciones de la comisión.” gado á bastante perfección, y que siendo tan interesante en un Gobierno re El Sr. Palarea 1 «Para deshacer una equivocación del señor preopinante presentativo, se estudia cada día mas y mas. Los consejos de provincia, supo diré que la comisión también entiende que lo que propone sea por ahora y no niendo que entre nosotros tengan las mismas funciones que el consejo de pre perpetuamente. Ademas,…</t>
  </si>
  <si>
    <t>Para, X Joaquín Ortiz de Velasco</t>
  </si>
  <si>
    <t>X Joaquín Ortiz de Velasco Para</t>
  </si>
  <si>
    <t>…ado de los pórtales de la plaza mayor. En seguida se promoverán otras Sr. D. Francisco del Rey. - mejoras de policía urbana como son la reparación de las calles y el restableci Sr. D. Faustino Garay. miento del alumbrado público. Sr. X&gt;- Joaquín Ortiz de Velasco. Para atender á los objetos que están á cargo d* la sociedad económica se Sr. D. Aúgel Pojo. piensa en hacer algunas rifas de alhajas, arbitrio que es el que ofrece menos in convenientes por las razones que se expresan. Se trata asimismo de componer el camino desde aquélla ciudad al arrabal Portel recibi…</t>
  </si>
  <si>
    <t>Paralea</t>
  </si>
  <si>
    <t>…el número de almas, expresan jo solamente «en toda población de sabe también que no hay ninguna casa de comercio en donde sus dependientes comercio.” no se recojan sumamente temprano, por lo mucho que se cuida en ellas de sus El Sr. Paralea: «Parece que la Opinión que se nota por parte de a'eucostumbres y buena educación , que es para mí una de las mayores garantías, nos señores á la adición presentada, está únicamente en convenirle sobre el nú y que veo que por desgracia no se exige como una de las principales para en mero de habitan…</t>
  </si>
  <si>
    <t>…que ia mezquina economía que resulta tese brillo , ese esplendor que se reclama. Voy á entrar en otro punto que juz go de importancia á mi propósito; y protesto antes que no soy apasionado de de aprobar Jo que ahora se propone El Sr. Paralea para deshacer equivocaciones dijo: que aun cuando en el vo la época a que se refiere , pues en ella estaba peleando en contra con las armas to particular del Sr. Samponts se aseguraba no haberse presentado el resultado en la mano, defendiendo los derechos ¿ independencia de mi pais. Asi es que de l…</t>
  </si>
  <si>
    <t>Parant</t>
  </si>
  <si>
    <t>…ar á $. M. el Emperador que había salido á ley no hubiesen sido trasmitidos ¿ pues los objetos que forman el mayorazgo recibir á los augustos viageros acompañado del gran duque heredero. han constituido ya un derecho positivo. El Sr. Parant, autor de la proposición, presenta la hbtoriacompleta de los INGLATERRA. mayorazgos, manifestando la diferencia que hay entre su propuesta y d pro yecto de la comisión. Concluida la disensión general se pasa al examen de los Lóndres 24 de Enero. artículos. La sociedad establecida en Maryland para p…</t>
  </si>
  <si>
    <t>…de consideración, acordando que una misma comisión informe sobre ambas pro mayor frente al ncievo camino de Madrid un sencillo y gracioso arco de sillería puestas. y mampostería, que servirá de no pequeño ornato á este pueblo. El Sr. Parant dice que es de mucha importancia liquidar los créditos de la Las fiestas que con tan plausible motivo se han celebrado exceden toda casa Real de Carlos x, como la Cantara lo había acordado á principios del año ponderación , y solo podía dictarlas el impulso de generosidad y adhesión que pasado; por…</t>
  </si>
  <si>
    <t>Paraut</t>
  </si>
  <si>
    <t>…o que se alzase el pendón Real por ' En seguida se aprueba el todo de dicho proyecto de ley por 228 votos con Reina nuestra Señora el 27,dc,Dici^mf&gt;rc próximo pagado.,, Al. efccjp. tra^. principia la discusión de la propuesta del Sr. Paraut respecto á mayo tó al cabildo de la santa iglesia catedral, comandante ;fhljirrtus.,y razgos y substituciones. El Sr. Jaubert suplica á sus cólegas tengan presente va prelados regulares* y á otras pcrsonasjjc distinción, y habiendo pcccqdijtj en lí rías observaciones que hace en un impreso que se l…</t>
  </si>
  <si>
    <t>Parda</t>
  </si>
  <si>
    <t>…Dirdanelos, que era el punto residían en esta capital y estaban destinados á tomar el parque de artillería y importante del anterior tratado de 8 de Julio que con tanta razón ofendió á los cuarteles al aproximarse las tropas del general Parda, luego que oyeron de gabj’neles de Londres y de París. Parecía regular, dice, que si es cierta U im cir que el plan era descubierto, y que el socorro que debía prestársele estaba presión que se supone hecha en S. Petersburgo por las notas del embajador in distante, acordaron entre sí dividir lis tr…</t>
  </si>
  <si>
    <t>Pardi, D Ramón</t>
  </si>
  <si>
    <t>D Ramón Pardi</t>
  </si>
  <si>
    <t>…Manuel VillacKica. •runo de los Sres. Procuradores nombrados por Canarias, el coronel Don José Quintano, ayer noche se presentó en el ministerio de mi cargo. , Señores que han renunciado sus poderes, y se ignora su reemplazo. «El coronel D. Ramón Pardi&amp;as, nombrado Procurador por una 3e las Tarragona.=D. Guillermo Oliver. 1 provincias de Galicia, se . halla en el ejército del Norte á la cabeza dél regi Barcelona. re D. Juan.Plandolit. miento provincial de Mondofiedo; y aunque hasta ahora no se ha presentado Oviedo.eeD. José Serrano Salas. sus pod…</t>
  </si>
  <si>
    <t>Pardi, Ramón</t>
  </si>
  <si>
    <t>Ramón Pardi</t>
  </si>
  <si>
    <t>…illacKica. •runo de los Sres. Procuradores nombrados por Canarias, el coronel Don José Quintano, ayer noche se presentó en el ministerio de mi cargo. , Señores que han renunciado sus poderes, y se ignora su reemplazo. «El coronel D. Ramón Pardi&amp;as, nombrado Procurador por una 3e las Tarragona.=D. Guillermo Oliver. 1 provincias de Galicia, se . halla en el ejército del Norte á la cabeza dél regi Barcelona. re D. Juan.Plandolit. miento provincial de Mondofiedo; y aunque hasta ahora no se ha presentado Oviedo.eeD. José Serrano Salas. sus pod…</t>
  </si>
  <si>
    <t>Pardiña, Ramón</t>
  </si>
  <si>
    <t>Ramón Pardiña</t>
  </si>
  <si>
    <t>…nos cuenta detallada del corriente avisa á este mioisserio que en la noche del día anterior, si regresar número de suplicios mandados por su héroe, y decirnos si los 30 ó 35$ des- el coronel del regimiento provincial de Mondoñedo D. Ramón Pardiña* de , y Í'raciadosas cárcelesqaede Sucesivamentela capital, eranfueronó no encerradoshombres ilustresen las yfortalezasrespetables,del yTajosi al yconen sabedorlas provinciasque ladefacciónVizcayade Ochoav Guipúzcoay parteconde elU convoyde Luquiquese dtsponianvenia á su ¿recabarcargo tuerto los sosten…</t>
  </si>
  <si>
    <t>…nes; pero .como se les pidiese por la expresada justicia el cor verícaron con toda [a artillería y pertrechos de D. Miguel, previ respondiente pasaporte, emprendieron su marcha aceleradamente no al coronel comandante de Mondoñedo D. Ramón Pardiña, para el pueblo de Sobradillo, desde donde-después de un pequeño que con la sección ligera mandada por el teniente coronel D. Alon- descanso, sacaron guias para el pueblo de Frejeneda, con ánimo sin jo'Villaron pasase á apoderarse del referido depósito. Esta opera duda de ocultar su dirección; pues…</t>
  </si>
  <si>
    <t>Pardiñas</t>
  </si>
  <si>
    <t>…ltimos periódicos recibidos de New-Brunswick. confirman lo que 8,106. 500. Zaragoza. publicamos hace dias, de que el buque perdido en la punta NO. de la is 12,905. 500. Sevilla. la de Barcelona, era el bergantín español Montañés, capitán Pardiñas, que 14,202. 5o0. Madrid. salió de la Habana con destino á S. Juan de ‘Terranova en el mes de No 13,018. 500. Murcia. viembre del año próximo pasado, y no se había, teñido noticia de su llegada. Se encontraron á bordo como 79 pfs., y según noticias parece que todos los individuos de la tripulación…</t>
  </si>
  <si>
    <t>Pardiñas, Francisco de Paula</t>
  </si>
  <si>
    <t>Francisco de Paula Pardiñas</t>
  </si>
  <si>
    <t>…festaron síntomas de flegmasía gástrica, y cerebral, á cuya consecuencia proba Bosnia, que habitán'lá parte turca de la Croacia, y que se ha restablecido com- blemente perecerá. ^ pUtamente la. tranquilidad. , \ 3.a El licenciado D. Francisco de Paula Pardiñas, individuo de esta aca Parece que nuestros vecinos del otro lado de la frontera han conocido demia, habiendo ensayado el -medicamento en dús enfermos de cuatro que tuvo cuán disparatados érari sus proyectos, y que han sentido un terror pánico al ver . en usa misma casa, vió perecer aquellos á quien…</t>
  </si>
  <si>
    <t>Pardiñas, Ramón</t>
  </si>
  <si>
    <t>Ramón Pardiñas</t>
  </si>
  <si>
    <t>…se compondrá de oficiales interesados por su situación social^,en Manuel Llórente y conde de Villagarcía, y la otra en la Cqroña , en que lo ha la prosperidad pública. En caso necesario se podría organizar la Milicia urbana sido D. Ramón Pardiñas; y una exposición dé D. Cayetano'García dé la ó nacional con una parte de estos antiguos militares que ocupasen los empleos Maza, electa Procurador por laprovihcía de'Vatládolid , en que manifiesta que civiles. _Por lo general éstos solo requieren exactitud , probidad y un cárácier sus achaques se…</t>
  </si>
  <si>
    <t>Pardo, D Martin</t>
  </si>
  <si>
    <t>D Martin Pardo</t>
  </si>
  <si>
    <t>…brigadier Iriarte la persecución de las guardia compuesta de 4 soldados de su regimiento, 11 lanceros y un ordenanza facciones de Castor, Sopeiana é Ibarrolilla, que llevaba por delante huyendo del regimiento de Borbon; y que ei teniente D. Martin Pardo se diritiVe á siempre en dirección de ViiUxcal de Alava} que en su tránsito desde Ba- tomar las alturas del valle, en las que se divisaban algunos facciosos de Infan rambio había quemado los talleres de armeros y el hospital, y cogídoles ll tería; dada esta diíposición, y puesto yo á la cabeza de 2…</t>
  </si>
  <si>
    <t>Pardo, D Rafael</t>
  </si>
  <si>
    <t>D Rafael Pardo</t>
  </si>
  <si>
    <t>…uida se dirigió en unión del licenciado Sr. prefpqip dje Vuestro departamento. D. Francisco José de Quesada , el señor alcalde de la santa hermandad D. An «Recibid , señores, &amp;c.’&amp;c.=El ministro de Instrucción publica, Gulzot gel Caballero, D. Rafael Pardo, con otras personas de varios sexos, y noso Las sociedades cuya existencia no ha llegado aun á noticia del gobierno, tros los comisarios al hospital cié caridad, y después de haber visitado los en y aquellas cuya dirección y tfabajosno son conocidos, recibirán la mi|ma cir fermos y convalecientes q…</t>
  </si>
  <si>
    <t>Pardo, D Ramón</t>
  </si>
  <si>
    <t>D Ramón Pardo</t>
  </si>
  <si>
    <t>…rrano, Francisco Carrera , José Morcll , Cayetano Co mansa y provincial de Compórtela , mandadas por lo* capitanes D. Vicente llado, Vicente Oliver y Fernando Alfaro, siendo este último del regimiento Ruiz, D. Cirios Bctcgon y el teniente D. Ramón Pardo , con las que marchó infantería de Zaragoza. El mismo biigadier Linares me ha recomendado tam también la de granaderos de Al mansa ccn el capitán D. Félix Saraza. bién especialmente al ayudante de plana mayor y mi secretario de campana A las doce y media de la noche emprendí mi movimiento, dejando…</t>
  </si>
  <si>
    <t>Pardo, Guillermo Schulz y D Lorenzo Gómez</t>
  </si>
  <si>
    <t>Guillermo Schulz y D Lorenzo Gómez Pardo</t>
  </si>
  <si>
    <t>…el Cabanillas, inspec sin novedad en su importante salud en el Real sitio del Pardo. tor general primero del ramo; á D. Estanislao de Peñafiel; á Don Juan Montoto, contador de la dirección general, y á los inspectores de distrito D. Guillermo Schulz y D. Lorenzo Gómez Pardo; man dando que se remitan á ella por V. S. los expedientes, informes y MINISTERIO DE HACIENDA. demas antecedentes que convengan para el desempeño de su encargo. De Real orden lo digo á V. S. para su inteligencia y efectos Real orden. correspondientes á su cumplimiento. Dios guarde á V. S. muchos añ…</t>
  </si>
  <si>
    <t>Pardo, Juan</t>
  </si>
  <si>
    <t>Juan Pardo</t>
  </si>
  <si>
    <t>…tes y graves : que la «villa Recomendando muy partionUrmente 4 los sargentos de Urbanos D. Vicente -de Orche -había sido «invadida *^asi eotnodas de Tórtola^ y las«de. Algoraxy ArGarcía Socasa , y D* José García á los voluntarios D. Juan Pardo, D. Apo - eos, del .partido de .Sigüenza. linar Garda* D- Gabriel Trucha* D. Justo Fernandez, menor, D. Manuel de ¡PROVINCIA DE KADRID. la Peña, D. Gabriel de Ve lasco , D. Lázaro de Arredondo, D. Gil García, D. Indalecio del Corral, D. Miguel Garmilla, D. Manuel Zorrilla; y en Del parte recibido e…</t>
  </si>
  <si>
    <t>Pardo, Juan Sainz</t>
  </si>
  <si>
    <t>Juan Sainz Pardo</t>
  </si>
  <si>
    <t>…para pelear contra oíros mu utilidad u ornato en varios pueblos, señalándose entre todas las de le villa de sulmanes, es una circunstancia importante que desvanece la opinión de los que Uclcs, debidas al zelo de su alcalde mayor D. Juan Sainz Pardo* creen que somos aborrecidos y despreciados por la población indígena. Reunidos por el avunUmienlo de aquella capital los fondos necesarios para Ben-Zecrt, cuya fidelidad y energía habían aparecido hasta ahora muy du la conducción de aguas mas seguras y saludables que las que tiene, va á sacarse do…</t>
  </si>
  <si>
    <t>Pardo, Lorenzo Gómez</t>
  </si>
  <si>
    <t>Lorenzo Gómez Pardo</t>
  </si>
  <si>
    <t>…sin novedad en su importante salud en el Real sitio del Pardo. tor general primero del ramo; á D. Estanislao de Peñafiel; á Don Juan Montoto, contador de la dirección general, y á los inspectores de distrito D. Guillermo Schulz y D. Lorenzo Gómez Pardo; man dando que se remitan á ella por V. S. los expedientes, informes y MINISTERIO DE HACIENDA. demas antecedentes que convengan para el desempeño de su encargo. De Real orden lo digo á V. S. para su inteligencia y efectos Real orden. correspondientes á su cumplimiento. Dios guarde á V. S. muchos añ…</t>
  </si>
  <si>
    <t>Pardo, Manaei Montes El Sr D Miguel</t>
  </si>
  <si>
    <t>Manaei Montes El Sr D Miguel Pardo</t>
  </si>
  <si>
    <t>…or decano de ella al Sr. Cano Ma Se mandaron pasar á la misma comisión de Poderes los presentado* Con nuel , y por secretario al Sr. Cezar. El Estamento quedó enterado. los documentos justificativo* de su aptitud legal por el Sr. D. Manaei Montes El Sr. D. Miguel Pardo Bazan, Procurador electo por la provincia de de Oca, electo Procurador por la provincia de Cádiz. Pontevedra, presentó los documentos justificativos de su aptitud legal que pa La comisión nombrada para ei eximen del presupuesto del ministerio dé saron á la comisión de Poderes. Estado dio cuenta de…</t>
  </si>
  <si>
    <t>Pardo, Manuel</t>
  </si>
  <si>
    <t>Manuel Pardo</t>
  </si>
  <si>
    <t>…s; y habiéndome adelantado á dos los que la observan, en que es á Santarem, como verá V. E. reconocer con el capitán graduado teniente del mencionado escua por mi oficio separado de esta fecha: puede decirse que no salvó una drón D. Manuel Pardo, subteniente del mismo D. Luciano Llano, prenda de vestir para mudarse, igualmente que su Señora , familia el de igual clase del regimiento de Castilla, agregado á la plana y comitiva. Ayer á las nueve de su mañana se declaró Almeida mayor, D. Luis del Arco, y los soldados del precitado escuadrón,…</t>
  </si>
  <si>
    <t>Pardo, Martin</t>
  </si>
  <si>
    <t>Martin Pardo</t>
  </si>
  <si>
    <t>…r Iriarte la persecución de las guardia compuesta de 4 soldados de su regimiento, 11 lanceros y un ordenanza facciones de Castor, Sopeiana é Ibarrolilla, que llevaba por delante huyendo del regimiento de Borbon; y que ei teniente D. Martin Pardo se diritiVe á siempre en dirección de ViiUxcal de Alava} que en su tránsito desde Ba- tomar las alturas del valle, en las que se divisaban algunos facciosos de Infan rambio había quemado los talleres de armeros y el hospital, y cogídoles ll tería; dada esta diíposición, y puesto yo á la cabeza de 2…</t>
  </si>
  <si>
    <t>Pardo, Rafael</t>
  </si>
  <si>
    <t>Rafael Pardo</t>
  </si>
  <si>
    <t>…igió en unión del licenciado Sr. prefpqip dje Vuestro departamento. D. Francisco José de Quesada , el señor alcalde de la santa hermandad D. An «Recibid , señores, &amp;c.’&amp;c.=El ministro de Instrucción publica, Gulzot gel Caballero, D. Rafael Pardo, con otras personas de varios sexos, y noso Las sociedades cuya existencia no ha llegado aun á noticia del gobierno, tros los comisarios al hospital cié caridad, y después de haber visitado los en y aquellas cuya dirección y tfabajosno son conocidos, recibirán la mi|ma cir fermos y convalecientes q…</t>
  </si>
  <si>
    <t>Pardo, Ramón</t>
  </si>
  <si>
    <t>Ramón Pardo</t>
  </si>
  <si>
    <t>…ancisco Carrera , José Morcll , Cayetano Co mansa y provincial de Compórtela , mandadas por lo* capitanes D. Vicente llado, Vicente Oliver y Fernando Alfaro, siendo este último del regimiento Ruiz, D. Cirios Bctcgon y el teniente D. Ramón Pardo , con las que marchó infantería de Zaragoza. El mismo biigadier Linares me ha recomendado tam también la de granaderos de Al mansa ccn el capitán D. Félix Saraza. bién especialmente al ayudante de plana mayor y mi secretario de campana A las doce y media de la noche emprendí mi movimiento, dejando…</t>
  </si>
  <si>
    <t>Pardo, Santiago</t>
  </si>
  <si>
    <t>Santiago Pardo</t>
  </si>
  <si>
    <t>…formas mas amenas, en Cádiz en la calle del Molino, núm. 168: en Santander en la casa de D José Ma atención á la clase de lectores á quien se dirige. Sigue abierta la suscripción en esta ría López Doriga; y en la Corufia en la de D. Santiago Pardo. Los pasageros podrán corte ea las librerías de Cuesta, Jordán, Razóla y Villa, y en las principales libre Informarse *n los referidos sitios de! precio y pormenores de los equipages que se rías del reino. admiteo. ——Lote suscríptores á la traducción de las obras históricas del Conde de Segur, con ■ -Se…</t>
  </si>
  <si>
    <t>Paré, Ffsmcisco</t>
  </si>
  <si>
    <t>Ffsmcisco Paré</t>
  </si>
  <si>
    <t>…s que manda Zumalacarregul en el confin de Navarra con el aito Aragón. estaba el'archivo del ayuntamiento. f Han sido fusilados en lo» pueblos de su naturaleza, en Cataluña, los cauc- •Al hablar Juego de Jos propios, dicé: cillas-D. Ffsmcisco Paré (alias Bagarro), Pablo Vives y Angíáda, L&gt;. Josef Maña , .Jmcf Barba y Pablo Tusqucltas, que eran los .principales de la facción, Propios. que prendió el denodado subteniente , cabo de las rondas volantes de babade^l ‘Considerando á los propios bajo su verdadero punto de vMa, esto es, co L&gt; Franche…</t>
  </si>
  <si>
    <t>Paré, Francisco</t>
  </si>
  <si>
    <t>Francisco Paré</t>
  </si>
  <si>
    <t>…d de sus ha bitóme* defiende con entusiasmo el trono de Isabei, u y la tranquilidad de sus bogare» ~ Barcelona 12 de Febrero de 1834.=Manuel Llauder. BOLSA DB comercio__ Cotización de hoy á las tres di la tarde. BFHCTOS PUBLICAS» D. Francisco Paré (alias Bagarro), capitán ilimitado, natural de S. Feliu dé'Códinís. InscripcionesDichas ídem alsobre4 p. eJ100,gran00.libro al 5 p. 100,00. . Pablo Vives y Anglada, sastre, de S. Pedro de Tarrasa. Títulos al pbrtádor de 5 p. 100, S4l al contado. D. Josef Maña, teniente ilimitado, de Castelltersol.…</t>
  </si>
  <si>
    <t>Parece</t>
  </si>
  <si>
    <t>…ARTICELO DE OFICIO. mediadoras encontrarán con mas facilidad en conferencias generales, medios de obtener ó suplir el consentimiento que se obstina en negar el daque de.Nassau. La Reina nuestra ¡Señora Dona Isabel ii, y S. M. la Reina \ Parece indudable que todas las Potencias están animadas del mismo deseo de acabar la interminable cuestión de Bélgica, aunque sin emplear otra vez pura Gobernadora, siguen en el Real sitio de Aranjuez sin novedad ello medios coercitivos. (G. de Augsburj;o0 en su importante salud. Del mismo beneficio disfr…</t>
  </si>
  <si>
    <t>…cen i calificar la conduíta ^lel mal aconsejado Príncipe, y á descubrir el sa ó de menor guisa , esto no compliere , él y todas sus cpsas sean «n poder del , é faga dél y de sus cosas lo que quisiere " ! plan de sus secuaces. ... Rey Parece que este no era personal sino de partido. El escrito incendiario ti La ley 27 título 7° libro 12 de la Notísima Rrcopilacioa impone tulado Eipaüolit unión y alerta , impreso fraudulentamente y difundido con igualmente la peni de confiscación de todos sus bienes al traidor. profusión en 1825, si bie…</t>
  </si>
  <si>
    <t>…llo. gon.c=Es copia.=Ezpeleta. Recomiendo con eficacia el importante servicio que el expre sado sargento Zumel ha hecho á la tranquilidad de aquel país , con la muerte del cabecilla Sanz, hombre cruel y sanguinario, hacien Excmo. Sr.: Parece indudable que el Pretendiente se refugió á do también un particular elogio de la bizarría e incansable activi Santarem, según todas las noticias mas verídicas y contestes. dad, con que el referido teniente Casariego persigue á los enemigos El gobernador interinó de Almeida, pronunciada por Doña de…</t>
  </si>
  <si>
    <t>Parece, Dode de la Brunerie</t>
  </si>
  <si>
    <t>Dode de la Brunerie Parece</t>
  </si>
  <si>
    <t>…dos, los intrépidos holandeses Se añade que Mr. Mole, Mr. Thiers y Mr. Dupin han tenido una con no han perdido hada de lo que constituye su libertad é independencia. ferencia con el Rey, y que se designa por ministro de Guerra al general Dode de la Brunerie. Parece cierta la renuncia de los Sres. Guizot, Humann y DuFKAKCIA. chatel. (Diario de Comercio.) ^Bayona 11 de Noviembre. f —El dia &lt;5 estuvo Mr. Mole varias veces en palacio^ y conferenció con al Con fecha 8 del corriente nos avisan de la frontera que por algunas per gunos de los ministros que han hecho…</t>
  </si>
  <si>
    <t>Parece, Munch-Belíinghausen</t>
  </si>
  <si>
    <t>Munch-Belíinghausen Parece</t>
  </si>
  <si>
    <t>…cfort 29 de Jumo. Habiéndome dignado admitir la renuncia que ha hecho del go Por fin han cesado los rumores tan contradictorios que corrían respecto al bierno civil de_ la provincia de Castellón de la Plana el marques regreso del conde Munch-Belíinghausen. Parece indudable que este ministro, de Villorés, he venido en nombrar para reemplazarlo á D. Mariano que según algunos había sido promovido á la dignidad de vicecanciller, regresa Valero y Arteta, gobernador civil de la provincia de Lérida, el sin falta á esta para el día 15 ó 17 dq Julio próximo, á fin d…</t>
  </si>
  <si>
    <t>Parece, Rowley</t>
  </si>
  <si>
    <t>Rowley Parece</t>
  </si>
  <si>
    <t>…mbrado em varias personas que se han señalado en aquella acción. (.Id.') bajador de Francia, saldrá cuanto antes para su destino. Se espera de,un día á otro parte de la escuadra inglesa del crucero de Malta ESPAÑA. mandada por el almirante Rowley. Parece que el Rey con su jo Madrid 2 de Abril.ven esposa acompañará á la Reina madre á Florencia, pasará por Módena y Turin, y de allí se dirigirá á París á visitar á su augusta La clemencia es y ha sido siempre el carácter distintivo de loa tia. La Reina madre va á Florencia para asistir al parto de su h…</t>
  </si>
  <si>
    <t>Parejo, Juan</t>
  </si>
  <si>
    <t>Juan Parejo</t>
  </si>
  <si>
    <t>…que estaban en 13 plazuela te suceso influyeron extraordinariamente los encargos que al in de guardia con los equipages, mandando al comandante accidental tento V. E. me tiene hechos de orden de S. M. la Reina Gober del escuadrón D. Juan Parejo tomase las avenidas de la población nadora, y la entrada en Portugal de las tropas de nuestra Soberana para que ninguno escapase, sosteniéndome con una compañía. Los Dona Isabel n : al amanecer de hoy me trajo un confidente tan enemigos fueron sorprendidos como esperaba, habiéndoles tomado grata nu…</t>
  </si>
  <si>
    <t>Parga, Jacobo</t>
  </si>
  <si>
    <t>Jacobo Parga</t>
  </si>
  <si>
    <t>…países prósperos y tranquilos, ¿cuánto mas im desempeño de destinos importantes, los Excmos. Srcs. Proceres: duque de Al- portante es el que se columbre entré nosotros, donde de - todo se desconfia , y piodoyar&gt; D. Manuel Bodega, D. Jacobo Parga, marques de Caballos, arzo en que hay momentos de consternación, momentos de peligro y de ansiedad bispo de Valencia, conde de Mollina, conde de Tamamcs, D. José Ramón que tanto importa prevenir; Tributo mi gratitud á los verdaderos amigos del Rodil, marques de dos Aguas, conde de Santa Ana, marque…</t>
  </si>
  <si>
    <t>Parga, Jacobo María</t>
  </si>
  <si>
    <t>Jacobo María Parga</t>
  </si>
  <si>
    <t>…onsejo Real; D. Luis Ba ccino de Guerra; conde de Clavijo; Conde de Teha; D. Ignacio de lanzas mariscal de campo de los Reales ejércitos,capitán general de a Pezuela, del Consejo Real de España é Indias; D. José Juan Bo- Granada; D. Jacobo María Parga , del Gmsejo Real; conde de Ta nel y Orbe, obispo de Córdoba; D. Evaristo Perez de Castro, envia beada. Y es mi voluntad que á cada uno de los Proceres menciona do extraordinario y ministro plenipotenciario en Lisboa; ptineipe de dos se le expida el título del nombramiento que han debido á mi Anglo…</t>
  </si>
  <si>
    <t>…itríipen de-la comfc-ion. Conozco qué el hacerlo asi nos ocupara nsuchG; de deSta. Ana, D. Elisebu, Bardají, D. JoaquinNavarro Sangren , conde de pero no puedo prescindir de ello, sin que lo determine asi el Estamento.” S- Roman. D. Jacobo María Parga, conde de Tabeada, conde de Friegue,</t>
  </si>
  <si>
    <t>Parga, Jambo María</t>
  </si>
  <si>
    <t>Jambo María Parga</t>
  </si>
  <si>
    <t>…20 i la contrata que ha celebrado la ¡unta directiva para la construcción de 184 y Sr. contador principal de Pósitos por la suscripción de Agosto. ,., 26 medio pies linéales con tas demas-dimensioacs que expresa el plano aprobado D. Jambo María Parga. ..................................................................... .. 1,001 por &amp;. M, Uno que no dijo su nombre.............................................;.. st—_____ i Un Miliciano urbano por la suscripción de Agosto....... i.... . 3] S-,M. la Reiva Gobernadora se ha dignado disponer por Real…</t>
  </si>
  <si>
    <t>Paria, J M</t>
  </si>
  <si>
    <t>J M Paria</t>
  </si>
  <si>
    <t>…nistrador de lineas telegráficas, Alfonso Fov.” tablado usado, y ademas............................................................................... 30 Este parte le recibió ayer el gobierno á las cuatro de la tarde. (Ditrio de D. J. M.................................................................................................... 160 Paria,) El tenor conde de Montealegre de la Ribera....................................... 1500 Un sugeto que no da el nombre............................................................. 300 D. Santiago Usoz y Mozy director general de correos....................... 1000 D. Agustín de Larramendi, director…</t>
  </si>
  <si>
    <t>Parían, José</t>
  </si>
  <si>
    <t>José Parían</t>
  </si>
  <si>
    <t>…contraria 4 U suya les hacen esta justicia.” - *» En el momento dispuse que las compañías de cazadores de Almaosa mandadas n Añadiremos que todos se congratulan de la enérgica protección que en- por sus capitanes D. José Alonso y D. José Parían, marchasen al bosque por cuentran en e! ilustre gefe que manda la escuela yen la mayor parte de los ofi su frente, mientras que e! piquete de caballería de cazadores de la Guardia, di ciales superiores'; también se felicitan de la buena inteligencia que mantienen rigido por mí ayudante de campo el…</t>
  </si>
  <si>
    <t>Parían, José Alonso y D José</t>
  </si>
  <si>
    <t>José Alonso y D José Parían</t>
  </si>
  <si>
    <t>…dillaba* Opinión contraria 4 U suya les hacen esta justicia.” - *» En el momento dispuse que las compañías de cazadores de Almaosa mandadas n Añadiremos que todos se congratulan de la enérgica protección que en- por sus capitanes D. José Alonso y D. José Parían, marchasen al bosque por cuentran en e! ilustre gefe que manda la escuela yen la mayor parte de los ofi su frente, mientras que e! piquete de caballería de cazadores de la Guardia, di ciales superiores'; también se felicitan de la buena inteligencia que mantienen rigido por mí ayudante de campo el…</t>
  </si>
  <si>
    <t>Parias, Valentín Gómez</t>
  </si>
  <si>
    <t>Valentín Gómez Parias</t>
  </si>
  <si>
    <t>…íu c Sr. p o.Jc.iíc, qu c: entre vivas v toda la república, se expresa terminantemente contra la tiránica conducta que aclamaciones *e dirigió a la catedral , que c'-i.iba c&lt; 'inpletamcr.ic uumm.joa v observó en su administración D. Valentín Gómez Parias, abusando atrevida adornada con todas sus mejores galas y alhijas • celebro ¡a :n.-i ei hxcmo. ¿ mente de las facultades que el código sagrado le demarca á un vicepresidente, limo. ^&gt;r. obispo de Mechoacan D. Juan (..octano Po;ti;gui, c ir as.Menria traspasadas con escándalo en las leyes de reforma…</t>
  </si>
  <si>
    <t>París</t>
  </si>
  <si>
    <t>…nsula- «Esta generosidad intereso á los hnmb;es de arraigo y responsabilidad, que . do ha elegido ¿ Mr. Mimercl de Roubaix. por su comisionado en la junta de pidieron al instante ser inscritos en la Milicia urbana. El Exorno. 8r, capitán París. general en la visita que les hizo por et mes de Setiembre ultimo, onjanútó aquella compañía, amplio su alistamiento y armamento, entusiasmó á lc*_ -Cartas d¿ Argel de fecha 17 del corriente aseguran de mievó que toda voluntarios, y les dictó vanas medidas de precaución y defensa para cuando vía no…</t>
  </si>
  <si>
    <t>…ran en cumplir las órdenes que les Cambios hasta el expresado dia. comunican las autoridades respectivas, manifestando su buen espíritu y adhe Sobre Lóndres............. de 2 á 3 por U&gt;0. sión á la justa causa de la Reina nuestra Señora. París............................................. de 6 á 7 por 100. Continúa ocupándose en despachar expedientes relativos á sustitutos de España, según el punto.......... de 5 á 8 por 100. quintos, y demas trabajos consiguientes. Da parte de hallarse casi concluido el empedrado de la plaza del mercado grande de aquella ciudad y principiada la obra d…</t>
  </si>
  <si>
    <t>Paris, Col</t>
  </si>
  <si>
    <t>Col Paris</t>
  </si>
  <si>
    <t>…os facciosos. prese en la ley. El comisario del gobierno y el ministro de Guerra se oponen Se asegura que losautóres y cómplices de la rebelión que ocurrió ayer en á que se suprima el párrafo, y á que se apruebe la indicación del general Col Paris serán acusados ante la Cámara de los Pares. bert. La Cámara aprueba el artículo’5.° como está enrel proyecto, y 'también Los Diputados* han cooperado á ios esfuerzos de la guardia nacional para el articula 6° ' cumplir-sus -penosos-deberes.-JEn las filas de la primera legión-se ha visto á Leido el…</t>
  </si>
  <si>
    <t>Paris, Je</t>
  </si>
  <si>
    <t>Je Paris</t>
  </si>
  <si>
    <t>…uego es el resultado dé la imprudencia de ál^jirá.trabajador que habría fumado en el almacén de lanas. En vqtjo se ha tratado de descubrir el origen de esta voz. Se asegura que M. Vas ESPAÑA. tar! ¿s el primeró qué lo ha dicho. (,D. Je Paris.) Algeeirat 24 Je julio. WrpTl|B. carruagc con velas, el Eolio, ha hecho el 21 su primera salida en Pa- El día 20 del corriente existian en Gibraltar en los hospitales militar y jft. Partió de la escuela militar cOb viento S. O. E., pasó el puente de Jena, civil y en la población 444 enfermos de enf…</t>
  </si>
  <si>
    <t>París, Je</t>
  </si>
  <si>
    <t>Je París</t>
  </si>
  <si>
    <t>…en recompensa libres para poder su puesto hasta que el fuego hubo reducido á cenizas las casas incendiadas. elegir los gobernadores que sean, de su agrado. (.Monitor.) Se dice que iguales excesos se han cometido en Moyamessing. (D.\Je París?) - - T* Gaceta'de Augsbürgo dice, que según escriben de Viena, el emba jador ingles sir Federico Lamb estaba haciendo preparativos para ausentarse POXTCGAt. por algunos meses. - -En-Constanrinopla todo estaba tranquilo, y seguía el alistamiento de nue iJsboa 12 de Noviembre* vas tropas. La frecuen…</t>
  </si>
  <si>
    <t>París.', Je</t>
  </si>
  <si>
    <t>Je París.'</t>
  </si>
  <si>
    <t>…al grande acto de la proclamación, repitiéndose en cada noche las ilumina una gabarra inglesa. • ciones, refrescos y escogidas orquestas; no debiéndose omitir que el caballero El Jaques ha llegado á Francia el 1»° del corriente. (D. Je París.') intendente mandó dar paga doble á los soldados en uno de los tres días de fies __ .Con fecha 4 del corriente se ha recibido parte telegráfico de León, anim tas , y que el comandante general arengó á Us tropas expresando la satisfacción ando que el movimiento contra Saboya se na terminado. Romaríno…</t>
  </si>
  <si>
    <t>…lQs\Remedio5^Hi\ido concluido el de la villalas materias que lo forman, y que se consideraban hasta ahora como incapaces de LUlo, contándose en él 661 sepulturas, y en subasta ha tepido-di costede ser empleadas por la industria. (D. Je París.') 26i«0 rs.,'estando tasado en 3^00..^ ha dado orden, agrandar ía vi lla de Mora, y se hán hecho diferentes consultas á S, Mi sobre cónqipJeta ¡Anuncian algunas cartas de Bolonia del 25 de Junta, que acababa de ex Construcción de k» que faltan ¿n los pueblos de esta i provincia, para que su* tenders…</t>
  </si>
  <si>
    <t>Parker</t>
  </si>
  <si>
    <t>…s reprime. (Extracto del Courier.)sión para ser juzgada con arreglo á las leyes por el juez que corres pónda , según lo que resulte, sin consideración en este caso á fuero» —___Las cartas de Lisboa dicen que el 5 del corriente el almirante Parker fue privilegiados. . á bordo del Stag, y que tuvo una entrevista con D. Miguel. (Standart.) 66. Cuando lo permita el estado del fuego se podrán retirar las Lombas y operarios que no sean indispensables, permaneciendo el ------ Se han recibido papeles de Norte-América hasta l.° de Junio. Las mo arqu…</t>
  </si>
  <si>
    <t>…der sus géneros, por los -------Dicen que D. Miguel se dirige á Liorna , y no como se suponía á Ingla cuales han pagado derechos, al mismo precio que los contrabandistas. La pu terra. D. Carlos ya desde el 14. de Mayo escribió al almirante Parker para que blicidad con que estos últimos ejercen su, oficio, no ha debido ocultar este abu se le proporcionase un buque ingles con el,fin de embarcarse para Italia. Noso so i la atención de las autoridades , cuya vigilancia es tan conocida. (Gaceta tros nos alegramos de que terminada la pacificación…</t>
  </si>
  <si>
    <t>Parra, Amonio</t>
  </si>
  <si>
    <t>Amonio Parra</t>
  </si>
  <si>
    <t>…ro D. Santiago Uarraza, D. Acustln cía, « de inferir que en dichos manuscritos ó recopilación de documentos se de los Arcos, D. «francisco Cosío y, p. Mariano Azcue; los de D. Luis Cabreiano V podrá» hallar cuanto se desea. { ' . D. Amonio Parra . ayudas de oratorio 1 y los de D. Luis Branchi y D. Juan Narédo. ■ ,JEI exámen jnas prolijo quedebehacersé de dichos papeles, manifestará furrieres* se presentaran 4 D.- Juan Manuel Duro, que vive en esta corte calle de To ledo, mrm. 84 cuarta principal de la izquierda, frente al parador de Ocaú*.…</t>
  </si>
  <si>
    <t>Parrcño, Manuel</t>
  </si>
  <si>
    <t>Manuel Parrcño</t>
  </si>
  <si>
    <t>…n ordenanza despachado por el general enemigo Bandeira, mandantes D José Boltey y D Cayetano Olloqui, del capitán D- Jacobo Ma que se hallaba en Martim-longo, con pliegos para Loulé , dejando orden al paso ría espinosa, y alférez D. Manuel Parrcño, su ayudante de campo. para que se embargasen cuantos víveres se pudieran encontrar. Regimiento de voluntarios de Gerona, 3.° de Ligeros. Relación de los in El mismo José Pereira dió parte también de que por otro traginero de la dividuos de este regimiento que en la acción del dia de hov se han dis…</t>
  </si>
  <si>
    <t>Parreño, D Francisco de Arango y</t>
  </si>
  <si>
    <t>D Francisco de Arango y Parreño</t>
  </si>
  <si>
    <t>…lucha deplorable de que ha sido teatro , mitiva* acompañada de alguaciles, macer-o^/y clarineros^ todos á caballo, di— ia ciudad de hyon durante cuatro dias , ha terminado por et triunfo del órden, / rigiéndose á casa del Excmo. Sr. D- Francisco de Arango y Parreño, alférez de jas leyes , de la libertad, y por la nueva garantía que ba dado á nuestras ¡tu* ‘ Real de la ciudad de la Habana , quien no obstante su avanzada edad y peno1* Eluciones la sangre derramada en Lyon de vuestros denodados compañeros. sos achaques, gloriosas señales de los impQrtaDtes servi…</t>
  </si>
  <si>
    <t>Parsent, Goberna</t>
  </si>
  <si>
    <t>Goberna Parsent</t>
  </si>
  <si>
    <t>…onio ) ; D. Jacobo María de la-» Corte» gcncraie» del Remo. En »u o msetu.::w&gt;a , y por hallarse dicho "deParga; marques de Heredia conde de Ofalia; conde de Sástago; conde de Sr. Ministro de Gracia y Justicia acompañando a M. ia Reina Goberna Parsent; Sr. Posadas; Sr. González Carvajal. dora, encared&gt;a al Minnlro de Estado desempañase su encargo. S. E. en cum De Guerra. Excmos Sres. marques de las Amarillas: conde de E'ptja; plimiento de este decreto pa»o á leer la exposición relativa a dicho objeto Conde de Teba; conde de Puñonrostro; conde de…</t>
  </si>
  <si>
    <t>Parseval, Mr</t>
  </si>
  <si>
    <t>Mr Parseval</t>
  </si>
  <si>
    <t>…y los patos y los gan gún individuo de la tripulación; aseguran que mañana dará la vela. Consta la sos , igualmente que las demas aves domésticas, han sido en extremo maltrata escuadra de cuatro navios; el Sujfnn, de 100 cañones, capitán Mr. Parseval; das en los campos y en muchos corrales. Han perecido muchos cuadrúpedo» el Duquesne, de 80, capitán Casi; Néstor, 74, capitán Gaultier; Toulon, bajo el granizo, y se han encontrado algunos cadáveres humanos arrastrados id., capitán Baudieu; y de tres fragatas; la Dijo, de 66 cañones, mandada por p…</t>
  </si>
  <si>
    <t>Parte</t>
  </si>
  <si>
    <t>…00. so, 4 b. Granada, | id. Zaragoza^ f d. 1 Hamburgo, 00. Barcelona, k p* fu, Málaga ,4 b. Descuento de letras PROVINCIA DE SBGOVIA. Londres, i 90 dias, id. Id. Santander., 1 id. á 4 p. 100 al año. — Bilbao, par. Santiago, £ i 1 d. Parte sanitario de 29 de Setiembre. Pueblos. Dios. Enfermo*. Curado* Fallecidos. ANUNCIOS. ! Obras qut ** hallan d* vsnta tn tl dtspacko dt la Imprtnta Rtah 19 i 2 6.............. 115 34 4» Bermu Por- Viage literario k las Iglesias de España, publicado con algunas observicionet por J&gt;. Joaquín Lorenzo Ví…</t>
  </si>
  <si>
    <t>…rpación de Henrique 11. Su objeto era grande y glorioso: fue do y del-despacho del Fomento general del reino. el mismo que después llevaron á cabo los Reyes Citóiicos; fue el mismo que dos siglos mas tarde consiguió en Francia el cardenal Parte i que se rtjiere el oficio anterior. Richelieu, aun con la desventaja de ser tan aborrecido de su So «Conforme manifesté á V. S. en mi parte de ayer, después de berano Luis xnt, como D. Alvaro de Luna era amado de Juan it. haber dado un corto descanso á esta partida, en la madrugada de Pero el mini…</t>
  </si>
  <si>
    <t>Parte, Antonio</t>
  </si>
  <si>
    <t>Antonio Parte</t>
  </si>
  <si>
    <t>…demas puntos invadidos continuaba la enfermedad con benignidad teniente coronel graduado, capitán D. José Aguirre; los capitanes D. José según, resulta del siguiente María Gurrea y D. Félix Miranda; el capitán graduado, teniente D. Antonio Parte sanitario. Sánchez; el teniente.graduado, subteniente D. Juan Moreno; los subtenientes D..Juan Orus y D. José Erefias; los sargentos primeros Manuel Chutos y Gui llermo Provees, y los cabos primeros Eusebio Quiles, Manuel Badia, José Pueblos. Dias. Enfermos. , Curados. Fallecidos. Guas, Justo Garri…</t>
  </si>
  <si>
    <t>Parte, D Antonio</t>
  </si>
  <si>
    <t>D Antonio Parte</t>
  </si>
  <si>
    <t>…ue en los demas puntos invadidos continuaba la enfermedad con benignidad teniente coronel graduado, capitán D. José Aguirre; los capitanes D. José según, resulta del siguiente María Gurrea y D. Félix Miranda; el capitán graduado, teniente D. Antonio Parte sanitario. Sánchez; el teniente.graduado, subteniente D. Juan Moreno; los subtenientes D..Juan Orus y D. José Erefias; los sargentos primeros Manuel Chutos y Gui llermo Provees, y los cabos primeros Eusebio Quiles, Manuel Badia, José Pueblos. Dias. Enfermos. , Curados. Fallecidos. Guas, Justo Garri…</t>
  </si>
  <si>
    <t>Partes</t>
  </si>
  <si>
    <t>…s del banco español, 00. Sr. D. Antonio Seoane. cambios. Amsterdam, 00. París, 16-J á 6* Cádiz, 14 b. Sevilla, 4 K Bayona, 00. Alicante, á corto pla Coruña, | d. Valencia, 4 id. Burdeos, 00. zo, £ b. Granada, id. id«. Zaragoza, | d. Partes recibidos en ia secretaría de Estado y del Despacho de la Guerra. Hamburgo, 00. Barcelona, á ps. Es., Málaga, | b. Descuento de letras» Londres, k 90 dias, i Id. Santander, 14 Id. á 4 p. 100 al año» El capitán general de Aragón avisa con fecha de l.° del corriente, ha 384 á i. Bilbao, par. Santiago…</t>
  </si>
  <si>
    <t>…ontraído Los S prisión que concurrieron Urbanos ladronea de los á la 4-60 11$ 11$ d. sin f. ó Jd. Interes, de $ p. 100* vol.: 4 prima id., Acciones del banco español, 00^ cambios. —- Amsterdam, 00. París, 16-7 4 8. Cádiz, par 4 $ d. Partes recibidos en la secretaría de Estado y del Despacho de la Guerra* Bayona, 00. Al i cante, 4 corto pla Coruña, Id. Burdeos, 00. zo, I b. Granada, id. id. Barcelona, 00. $ b. Hamburgo, Málaga, 4 ps. fi, de operaciones Sr.: Habiéndo Vireioato Navirra.=Excmo. y ejército di £ id. 4 1 90 dias, Lóadres, S…</t>
  </si>
  <si>
    <t>…cesis. El mismo capitán general añade: que el coronel Escalera habla vuelto h Soncil ú», de donde 1c dÓM parte c^n igual fecha dei ¿4, de que algu- os faccioso* se habían dirigido hacu Va.drrredtbic , en cuva virtud dispuso d cho general Partes recibidos en la secretaría de Estado y del Despacho de la Guerra. la marcha hacía aquel puruo dei batallón de Ca»tiha; a»i como mandó al bri Capitanía general de OtMilla la V1ej4.erF.xcmo. Sr.: F.I comandante mili gadier Brdo\a segu r a Vóu»ante con U cu.umna de su mando para dirruirse i tar interi…</t>
  </si>
  <si>
    <t>Partes, Doa</t>
  </si>
  <si>
    <t>Doa Partes</t>
  </si>
  <si>
    <t>…istración. primer regimiento de la guardia Real de infantería y del de caballería del Rey, L° de línea, que han Qor.currídó á lá susodicha acción, no pudiendo menos de recomendar muy eficazmente ei distinguido mérito del teniente coronel Doa^- 1 Partes, recibidos en la secretaría de Estado y del Despacho de Quefra. . Cirios Ocson Oneill, capitán del expresado regimienta de la Guardia, que Comandancia general de la provincia de Soria y columna móvil de la mis- haciendo uso de su valor y conocimientos militares , ha tenido una parte muy ma.ssExcmo.…</t>
  </si>
  <si>
    <t>Participa</t>
  </si>
  <si>
    <t>…do; pero faltaría á mi deber' si no hiciese mención, y / PROVINCIA DE CUENCA./ en particular, del capitán graduado de teniente coróne! \\ Vicente Soravilla, del teniente graduado de capitán O. Isidro Rcbollcí, de los subtenientes Don Participa su gobernador civil con fircha $ del actual, que Tarancon, LanFernando Sequeira, ÍX Salvador García y D. Carlos Mondeli, ttxlos del 13 de detc v Barajas de Meló se hallaban libres del colera: que en Carrascosa de] línea; del teniente coronel de La Guardia Real 1&gt;. Adolfo Baiadiu, del te- Campo *e h…</t>
  </si>
  <si>
    <t>Participo</t>
  </si>
  <si>
    <t>…ranos de mejor disciplina; dejdndo entre una y halla expedita. otra descarga un vacío , que llenó el comandante de armas con vivas repetidos á nuestra excelsa Reiva Ja Señora Doña Laell ii , á su augusta Mddrc la Se-’ - .,,Ilrao. Sr.: Participo á V. S. para que lo haga presente á S E. el Sr. ma ñora Dona María Cristina , al ajunumiento y al limo, diocesano, á que riscal conde Saldanha que en Lamego está arrestada toda uná compañía del ba contestó la tropa, las autoridades espectadoras y el pueblo entero con el ma tallón de la misma por ha…</t>
  </si>
  <si>
    <t>…neral , se in caballos, que tuvo que retirarse á su columna,, formada entre el convento do serta en el Otario de esta capital el oficio siguiente: la Estrella y Montaivo, vista la resistencia de los Urbanos de este pueblo. Excmo. Sr.: Participo á V. E. como el dia 25 del corriente entre doce y "A la hora toda la facción continuo la marcha por Briones, y yo mar una del dia, se formó en los linderos y entrada del cafetal Desvelo, un remo ché á su flanco izquierdo ha^ta que anocheció , situándome en los campos, de lino ó manguera , el cual e…</t>
  </si>
  <si>
    <t>Partiendo</t>
  </si>
  <si>
    <t>…pes ,por consiguiente no Jo menos yo lo creo asi; y si fuese un error mío, estoy pronto á rectificarlo: es, real y verdaderamente hablando, Infante de España. pero en fin, háyase tomado ó no esa medida, yo pido-que con el Infante Don ”Partiendo de-este:'principio, y admitido entre nosojfós qué solo enten Sebastian se tome, y que si ho jura, no se le dé nada.” demos por Infantes los hijos de nuestro». Reyes y Príncipes, Ja comisión no . El Sr. Secretaria del Despacho de Hacienda t «En España generalmen ha señalado al D. Sebastian ninguna a…</t>
  </si>
  <si>
    <t>Pas, Francisco</t>
  </si>
  <si>
    <t>Francisco Pas</t>
  </si>
  <si>
    <t>…estos reinos: con la notable ventaja de que se Huerta, fiscal electo de la audiencia de Albacete : y en clase de fis lun restablecido meramente las que eran compatibles con el estado cales i D. Manuel de Scijus para lo civil, y á D. Francisco Pas ¡actual de la sociedad, y no ofrecían inconvenientes ni peligros; al cual Ramón de Mbncada pira lo criminal; y d; mi voluntad que paso que se han desechado otras que se resentían de los tiempos en los ministros de esre superior tribunal'ocupen según su respectiva que se establecieron, con menoscabo…</t>
  </si>
  <si>
    <t>Pas, Pablo</t>
  </si>
  <si>
    <t>Pablo Pas</t>
  </si>
  <si>
    <t>…a Glotii entró en Valenza do Miño, destinado á aque terrenos de la parroquia, de Blimea, concejo de Langreo, por la’ lla guarnición. Y que continúa confirmándose la derrota de los micolumna de carabineros al mando del subteniente D. Pablo Pas^ guelistas en Amarante y su retirada á Lamego; y con Tespecto á cual, y por Ja dd regimiento provincial de Befanzos á cargo de su las partidas carlo-migiielistas que aun se sostienen en aquel pájs capitán D. Fernando Vázquez Carril , el teniente D.; Leonardo fronterizo, el expresado capitán general…</t>
  </si>
  <si>
    <t>Pas, Pedro</t>
  </si>
  <si>
    <t>Pedro Pas</t>
  </si>
  <si>
    <t>…upremo de marina entregar al paga, Cartagena á D. Francisco Javier Morales de los Ríos: para la de dor general de este ramo el producto líquido de las presas para que se distri Ugtjar á D, Juan José del Carpió: para la de Elche á D. Pedro Pas buyan por la sección de reparticiones. cual Calabuig; y para la plaza de teniente tercero de asistente de Se Con la misma fecha se han mandado entregar al mayor general de la ar villa en ladinísima calidad de interino á D. Felipe Sandoval y Chaves. mada los autos formados contra algunos marineros d…</t>
  </si>
  <si>
    <t>Pasado, Prtjidenüi</t>
  </si>
  <si>
    <t>Prtjidenüi Pasado</t>
  </si>
  <si>
    <t>…¡Y Vyifcy; y-y y-Y Y,:;;&gt;&gt;&gt;?&gt; r-!¡ , •, dio, sólidas xfiltiides ó leyes pueden .poner freno á lina pasión mherente al co- No fue tomada en consideración la adición del Sr. Acevedo-f. ñión humano. ‘ ' ’r’ .' ....... ' - - ' - • El Sr. Prtjidenüi »Pasado mafiaóa,in se hutíiese concluido yaladiscu- »EYque se coócede í los; gobernadores civileseneste artículo, de ser tas sion del proyecto dé ley para la Organización dé la Milicia urbana,-se verifidecisiones sin'apelaran-, 'los expone í cómetér' grande* injusticias, unas por caráia delrelativo é la qu…</t>
  </si>
  <si>
    <t>Pasan</t>
  </si>
  <si>
    <t>…ncia, que V. M. ha cuerpos, uno de los cuales perdigue el general Anleo, y otro el brigadier Fjconcluido con el Rey de la Gran lircl.lííi, ¡a Reina de'España ,y la Reina gucras, de quien ha recibido el parle siguiente.= *» Excmo. Sr. : Pasan ai hospi de Portugal, debe por otra parte ejercer el mas saludable influjo en el resta tal militar de esa plaza 27 enfermos de la división de mi cargo, escoltados por blecimiento de la paz interior de unos países que hemos visto con placer en un destacamento de caballería, que debe incorporárseme h…</t>
  </si>
  <si>
    <t>Pasando</t>
  </si>
  <si>
    <t>…de Madrid, las que quedan ar chivadas para perpetua memoria de tan fausto acontecimiento, dando por tan Exposiciones a S. Ai. la Reíya Gobernadora. singular favor las debidas gracias á S. M., por cuya dilatada vida, salud y feliz Señora: Pasando ya el natural termino del dolor en que U temprana muergobierno dirijo mis votos y oraciones al Todopoderoso. te de nuestro amado Soberano el Sr. D. Fernando vu (Q. E. G. K.) sumergió 'Dios guarde á V. E. muchos anos. Barbasiro l/ de Diciembre de 1833. á todos sus leales súbditos; después que este a…</t>
  </si>
  <si>
    <t>Pasaron</t>
  </si>
  <si>
    <t>…s urgentes, y aun se reunirán extraor les los 6 primeros fueron fusilados en la tarde del 31, y los 3 restantes conti- dinariamente con la mayor frecuencia posible para, estudiar sus verdaderas nece liftúan presos en S. Mateo. El comandante Pasaron recomienda el mérito de lo&gt; sidades , para arreglar sus propios, para promover su agricultura é industria, I¿argentos Oliver y Clemente, y mas principalmente el del primero que despre- poniendo en conocimiento de esta superioridad, por medio de memorias escri-’ 1 ciando el fuego se introdujo con ta…</t>
  </si>
  <si>
    <t>Pasaron, Manuel</t>
  </si>
  <si>
    <t>Manuel Pasaron</t>
  </si>
  <si>
    <t>…conexión con los expresados. -. Capitanía general de los reinos de Valencia y Murcia. = Plana mayor.= 4-a Por el artículo '/b, de la Real instrucción de los subdelegados, la su ;E«crjio. Sr.: Ei segundo comandante/ de carabineros D. Manuel Pasaron, en perintendencia general de policía, y las direcciones de pósitos, caminos, cor qficnoi fechado en S. Mateo de 31 de Enero último, y que el general Hore me reos, minas é instrucción pública siguen conociendo de los asuntos de su res jgrastldte en oficio dc 2 del actual, participa que el teniente…</t>
  </si>
  <si>
    <t>…s , oficiales y tropa se prestan á las marchas mas penosas y largas, bres , debiendo serlo muy en breve los 2Ü0 restantes al cupo de es de noche como de dia en los terrenos mas fragosos. ta provincia. El comandante de carabineros D. Manuel Pasaron se ha reti Cáceres 15. Eran 435 quintos los que ya estaban en aquel de— rado á S. Mateo, no siendo ya de utilidad su presencia en Am- pósito, y 8 mas despachados por la comisión de agravios de los posta, y puedo decir también á V. E. que este gefe y los carabine 506 que es el contingente de aquella…</t>
  </si>
  <si>
    <t>Pascaran, Julián</t>
  </si>
  <si>
    <t>Julián Pascaran</t>
  </si>
  <si>
    <t>…. Entre tanto yo con mi gefe de plana mayor D. Domingo de Aristirabal, Isa'bel ii y de su adorada y augusta Madre la RBiNA‘Gobemadera. y mis ayudantes de campo y de plana mayor O. Juan Zavala, D. José Oribe, D. Santiago Miranda , D. Julián Pascaran, D. Kufino Ipiña y D. José Perez, marché á otra serie de alturas mas á la derecha, desde donde se descubría bien - El buque correo xle lá 'Habana núm. 4 ^árá la vela del ¡puerto de Cádíz el r| de. cerca al enemigo; y estándolo observando llegó sobre nosotros por una en 2 de Junto próximo, conducien…</t>
  </si>
  <si>
    <t>Pascó</t>
  </si>
  <si>
    <t>…rta muy mucho- á li conservación de Con la rajuña idea se aprovechó br oportunidad de hallarse nombrado aquéllos preciosos dominios, no-obstante de que con empeño la ha 'solicitado capitán general de Filipinas él teniente general D. Pascó»! Enfile .•cuyos cono el tapitan general por acuerdó de una junta formada al intento de autoridades cimientos faculufívostnla marina, donde comenzó su-carrera, proporción aban militares', porque siendo las atenciones dé la Península mayores que las que el buen dezempefio de las comisiones hidrográf…</t>
  </si>
  <si>
    <t>Pascó, D</t>
  </si>
  <si>
    <t>D Pascó</t>
  </si>
  <si>
    <t>…omo importa muy mucho- á li conservación de Con la rajuña idea se aprovechó br oportunidad de hallarse nombrado aquéllos preciosos dominios, no-obstante de que con empeño la ha 'solicitado capitán general de Filipinas él teniente general D. Pascó»! Enfile .•cuyos cono el tapitan general por acuerdó de una junta formada al intento de autoridades cimientos faculufívostnla marina, donde comenzó su-carrera, proporción aban militares', porque siendo las atenciones dé la Península mayores que las que el buen dezempefio de las comisiones hidrográf…</t>
  </si>
  <si>
    <t>Pascual</t>
  </si>
  <si>
    <t>…emigo la re de entretenerme para protejer la fuga del Pretendiente, sin trias perdida por serva que servia de apoyo á las primeras guerrillas, contribuyeron esencialmen mi parte que la del corneta del regimiento de infantería de! Príncipe Pascual te á desalojar de todas sus posiciones á los facciosos, debiéndose á la actividad But, herido gravemente con dos balazos, y al que recomiendo muy particular y decisión dé los cuatro referidos oficiales ia completa derrota de los rebeldes mente á V. E- para que se digne proponerlo para la cruz pensi…</t>
  </si>
  <si>
    <t>…ón elemental. En 1829 existían en Fran de 1808 en Madrid, ha cabido en suerte con el primer extracto ¡de. la de este cia para la enseñanza superior 38 colegios Reales, 317 colegios de provincia, dia á Doña Josefa Teijido, hija de D. Pascual, contramaestre de la Real,ar y mas.de 1300 instituciones particulares. En los Países-Bajos había en 1829 mada , muerto en el campo del honor. un alumno de los gimnasios sóbre 859 habitantes: en Austria había en la" misma época 128 gimnásticos frecuentados por 283 alumnos, esto es, un alum no de los…</t>
  </si>
  <si>
    <t>…ida á la nulidad esta horda direcciones que crea oportunas, según los avisos de los confidentes. deforagidos, y cubiertos de gloria los defensores de Isabel ii, habiendo que »A consecuencia de las órdenes que comunique al coronel D. Pascual dado en su poder todas ó la mayor parte de las armas y efectos de Sueltos. Churruca para que atendiese á toda la parte del alto corregimiento que linda Esta es la gloriosa jomada que los valientes Urbanos de .Vi lia franca han hecho con el bajo Aragón, pasó este gefe á situarse el día 17 sobre Lled…</t>
  </si>
  <si>
    <t>Pascual, D</t>
  </si>
  <si>
    <t>D Pascual</t>
  </si>
  <si>
    <t>…do reducida á la nulidad esta horda direcciones que crea oportunas, según los avisos de los confidentes. deforagidos, y cubiertos de gloria los defensores de Isabel ii, habiendo que »A consecuencia de las órdenes que comunique al coronel D. Pascual dado en su poder todas ó la mayor parte de las armas y efectos de Sueltos. Churruca para que atendiese á toda la parte del alto corregimiento que linda Esta es la gloriosa jomada que los valientes Urbanos de .Vi lia franca han hecho con el bajo Aragón, pasó este gefe á situarse el día 17 sobre Lled…</t>
  </si>
  <si>
    <t>Pascual, Pablo</t>
  </si>
  <si>
    <t>Pablo Pascual</t>
  </si>
  <si>
    <t>…ndo Argtielles, á quien El voto del impuesto es al mismo tiempo libertad civil y fue recomienda dicho comandante general, asi como al subteniente de ro político. Es libertad civil, porque asegura á los particulares de carabineros D. Pablo Pascual, y á los individuos de tropa el sarque no pagarán mas de lo que sus representantes hayan votado: es ento Per tierra, el cabo Femando Mompeau, y los carabineros fuero político, porque siendo el dinero el nervio del Estado, e» Slanuel Fernandez , Pedro Suarez, por la decisión, arrojo y bizar imposibl…</t>
  </si>
  <si>
    <t>…acción que tuvo el valien puso que saliesen dos columnas de carabineros, una á las órdenes del capitán te Rute y sus compañeros, salieron los urbanos de TrujiHo, Montancbes y graduado D. Manuct Samos, y otra á las del subteniente D. Pablo Pascual; otros pueblos en la tarde del 10 f y. aprehendieron en la sierra de Morara cua pero tan-Juego ^mo los Husos tuvieron noticia de estas medidas, dictadas para tro de loe dispersos de la gavilla deshecha del cabecilla Cuesta , vagando ios res* su rápida persecución y exterminio, abandonaron al cabeci…</t>
  </si>
  <si>
    <t>Paskewitch</t>
  </si>
  <si>
    <t>…c , habien Petersburgo 10 de Setiembre. do hido recibido por las autorídadev 3 lis puerta'' de la ciudad. Lord Grev no pudo menos de conmovewe profundamente por tan singulares muestras de afec El Príncipe Güiliento de Prusia y el Príncipe Paskewitch han llegado to, y pov las aclamaciones de gratitud y repelo con que era saludado, tale* á esta ciudad que quiza nunca se habían visto en la capital de E'o.fs.ia. Llegada la hora de la comida, en que se juntaron mas de 22 personas, el El ayudante de campo general Príncipe de Lieven acaba de ser nomb…</t>
  </si>
  <si>
    <t>…osito para los su fuerza.” cafetos, las cuales hacen un corte limpio en las ramas: otras tenazas ingeniosas y útiles para cortar ramoso frutos de arboles elevados sin necesidad de subsr &amp; - —Escriben de Varsovía que la vuelta del príncipe Paskewitch hace proba ellos: una medida , inventada hace poco tiempo, para conocer por ella el pe ble la llegada del Emperador á aquella ciudad, de donde saldrá para Berlín so neto de los bueyes, ó sea de sus cuatro cuartos; y otras vanas invenciones con objeto de reunirse á su esposa. El cuerpo de Rudiger, q…</t>
  </si>
  <si>
    <t>Paskewitoh</t>
  </si>
  <si>
    <t>…ico de S. M. F., y que borra 10 pasado es él medio mas 4 propósito para reconciliar los partidos. de los Jemas médicos que abajo firman, el dta 25 de Setiembre del año de JV. S. J. C. de 1834 r ¡F1 R&lt;y de Prusia ha condecorado al príncipe Paskewitoh con la órden del Cavidad del abdomen, Ningún líquido. Epiplon y peritcmeo un -poco mas Agüita negra, y al almirante ruso principe MentchicofF con la del Aguila roja. pálido, y al parecer hd^poco mas grueso de resultas del derrame de la bilis. La mucosa gástrica alterada de color en la parte posteri…</t>
  </si>
  <si>
    <t>Paskewitsh</t>
  </si>
  <si>
    <t>…l menor peligro, lo que prueba que los árabes son mejores de lo ciones de Modlin el Príncipe gobernador y muchos generales. Al anochecer que se dice de ellos cuando saben respetarse sus costumbres y religión. volvió á Varsovia el Príncipe Paskewitsh. (Gaceta de Estado de Prusia.) La fiesta del Rey se ha celebrado en Oran con la mayor solemnidad : ha DINAMARCA. habido bailes, iluminación y toda clase de regocijos públicos. (Corr. particul.) Copenhague 23 de Mayo. TURQUIA. Se han publicado las leyes que establecen las formas representativas. Se h…</t>
  </si>
  <si>
    <t>Paso</t>
  </si>
  <si>
    <t>…acho de la Guerra. obediencia á vuestros gefes y oficiales, el respeto á las autoridades, la protección á las propiedades. Convenzamos á nuestros enemigos de la superioridad de nuestros principios, y hagámosles ver que los Excmo. Sr.: Paso á manos de V. E. el adjunto bando dado súbditos de ua gobierno libre siguen un camino diferente del que por el gobernador de Almeida. Tengo el honor de felicitar á V. E. pisan los vasallos del absolutismo: para estos "no existe propiedad; Dios guarde á V- E. muchos anos. Ciudad-Rodrigo 20 de Abril…</t>
  </si>
  <si>
    <t>Pasquier</t>
  </si>
  <si>
    <t>…pasar sin comentario las 1 El dia 3 á las ocho de la noche recibió el Rey la diputación de la Cáma reflexiones que hicimos en nuestros últimos artículos sobre la importancia y ra de los Par», y en nombre de esta su presidente el barón Pasquier leyó el necesidad de la paz general; y así es que viene hoy llenando sus columnas con siguiente discurso: una declamación bastante viva. Contenimos con él que es necesario refrenar la «Señor: La Cámara de los Par» de Francia renueva á V. M* su respeto y ambición y el poderío de la Rusia, y no aprob…</t>
  </si>
  <si>
    <t>…que nada se puede hacer no estando presente ningún mi genson , Lajitte y Duris-Dufresnc, • nistro. La Cámara adhiere á esta opinión y el Presidente levanta la sesión. Pasada una hora continua la sesión. Arenga hecha al Rey por el barón Pasquier, presidente de la Cámara de Presidente: Señores, U Cámara ha pasado al palacio de las Tullerías, y los Pares. admitido vuestro Presidente en la sala del trono, ha dirigido á S. M. las si «Señor: La Cámara de los Pares ha conocido unánimemente que en tan guientes palabras. graves circunstancias era…</t>
  </si>
  <si>
    <t>Pasquier, Le</t>
  </si>
  <si>
    <t>Le Pasquier</t>
  </si>
  <si>
    <t>…ador gcneral de las posesiones fran tan importantes para laGrán-Bretaña, y espero, fiado en la bpéna inteligen cesas en. él norte del Africa. cia que reina entre, mí y mis Aliados, que el triunfo coronará fiufcstros esfuerzos. El Sr. Le Pasquier, prefecto del Finisterre, ha sido nombrado intendente »No se ha turbado la paz en.el imperio otomano , y estoy convencido de civil,de dichas posesiones en reemplazo del Sr. Genty de Bussy. que por aquella parte nada ocurrirá que pueda comprometer la tranquilidad de' El Sr. Laurence, miembro de la C…</t>
  </si>
  <si>
    <t>Passy</t>
  </si>
  <si>
    <t>…sido mal interpretadas 9 sa al Sultán por medio de una exposición, en la que solicitan lo que sigue: cando unas consecuencias que no emañan de ollas. Artículo l-° La administración del país se confiará y estará al cargo de los El Sr. Passy conviene en parte con la opinan $r. Trapy; cr^£ Ín&lt;3 v duoi que elija la asamblea de los* representantes. ' que para mejorar- el estado del puebla es precisa hace» que mefore su» eestpai2. a Las propiedades de tierras y bienes raíces embargadas, y usurpadas por bres y aumentar su instrucción. Alí-b…</t>
  </si>
  <si>
    <t>Passy, Bcrnard</t>
  </si>
  <si>
    <t>Bcrnard Passy</t>
  </si>
  <si>
    <t>…stas! Ha sentido sus estragos, asi el hombre opulento como el pobre jorna Thiers, Persil, Dúchate!, Roussin; •“'Jacob, el “duque de Bassano, Bresson, lero: nuestras discordias, ahora como siempre., han ofrecido á la piedad leo el general Bcrnard&gt; Passy, Teste, Carlos Dupin y el'mariscal Morjier. To nesa ocasión de aliviar tristes y crueles infortunios. No habéis dejado pasar, se tal 32. (jMensajero.) ñores, esta ocasión, y gracias.á vuestras dádivas, muchos desgraciados é ino centes ciudadanos han alcanzado una reparación tardía, pero segura sin…</t>
  </si>
  <si>
    <t>Pastor</t>
  </si>
  <si>
    <t>…quecontienen sus mas principales memorias desde el ano por Jos flancos, y yo á la cabeza de unos pocos caballos me dirigí por la iz de 1246, en que emprendió conquistarla del poder de los moros el gloriosísimo Rey quierda con el capitán Pastor y los subtenientes Periche y Perez, siendo el re San Fernando III de Castilla y León, hasta el de 1671, en que la católica Iglesia le sultado una completa dispersión. La gloria es casi toda debida á los 40 caballos concedió el culto y titulo de bienaventurado, formados por P. Diego Ortíz de Zuñiga, ilust…</t>
  </si>
  <si>
    <t>…Jo— ciado parte.” Todo lo que tengo cl honor de trascribir áV, E. con arreglo á ber , dópen&gt;ada su facción y aprehendidos los otros dos cabecillas Juan Nicolás .Utt1 órdenes *u{*riofcs. ¿ios &amp;c. Bilbao 2 de Junio de 1834— Excmo. Sr.= Pastor v Jo&gt;¿ García* El gobernador hace merúo de ios que mas se han di&gt;tmBaldomcro Espartero.=Excoio. Sr. Secretario de Estado y del Despacho uni Cuido en este encuentro , v V. Ei. no podrá menos de inclinar cl Real amran de S. M. par» que sean recompensados cual merecen el sargento de la Milicia versal…</t>
  </si>
  <si>
    <t>Pataílle</t>
  </si>
  <si>
    <t>…vida el Monarca que la muerte creyó en sus brazos. Descanse en los vues ministro de Hacienda otro sobre patentes. Se. mandan imprimir y distribuir. tros y en el amor de sus pueblos, y acoja benignamente esta felicitación que a El Sr. Pataílle dice que la comisión encargada de informar acerca de la so S. R. P. deponen un deber el mas sagrado y un voto el mas sincero.” licitud que por medio del ministro de Justicia ha hecho el gobierno pidiendo Dios guarde á V. M. muchos años para prosperidad de la monarquía espa que se autorice al fiscal…</t>
  </si>
  <si>
    <t>Patanal</t>
  </si>
  <si>
    <t>…reguntado si se admitid esta proposición , se acordó asi y fue rables; asi es que yo siempre he dicho Rry y patria , y jamas en mi conducta aprobada. ' \ _ . . pública y privad* me he sep irado un momento de tan caros objetos. El Sr. Patanal «La importancia de la cuestión que nos ocupa, Ja aca «Se ha indicado por algunos Sres. Procuradores que se podía echar mano ba de decidir el Estamento acordando que continúe la discusión mientras baya de otros recursos para que el Gobierno , estando roas deabogado , y teniendo «lien teng* pedid* 1* pah…</t>
  </si>
  <si>
    <t>Patarea</t>
  </si>
  <si>
    <t>…i; empleos militares desde comandante de batallón inclusive hasta el de subtenien y vuelto á leer el art. l.°, quedó aprobado. (Se leyó el art. 2.a). te, sin haber servido 15 años efectivos en el ejército ó armada, sin nota en El Sr. Patarea: «Se va á hacer una ley, y esta ley debe durar algunos su conducta militar y política. Cuarto: ningún extrangero podrá obtener em años: dentro de 20 años quedarán muy pocos de los que sirvieron en la guerra pleos civiles en ningún ramo con nombramiento real y sueldo del Estado , sin de la independe…</t>
  </si>
  <si>
    <t>…oto particular que se nos ha leído* El Sr. Secretario del Despacho de Hacienda insistió en que según los da supuesto que se desechó el primitivo.” tos del presupuesto, el déficit no seria tas considerable cofoo se creía, y que fl Sr. Patarea: «Para deshacer úna equivocación. Yo ño he querido para ello debía atenderse á las mejoras hechas en los impuestos, y- á las eco decir qué porqué la Nación tenga ¡una carga de 4® millones, importa poco nomías. adoptadas. que pague cuatro ó cinco mas; sino que el que paga 4&amp; millones, como hace £l S…</t>
  </si>
  <si>
    <t>Patarra</t>
  </si>
  <si>
    <t>…esta es la razón que he tenido para citar el de S. M. en las Cortes cxtrángeras, 'consejero real, individuo de los tribunales ejemplo referido.” supremos, director general en ningún ramo, ni procer , cualesquiera que sean sus El Sr. Patarra: «La razón expuesta por el Sr. Medrano no tiene fuerza: circunstancias, méritos y servicios, sin que á propuesta del Rey se le naturali el artículo este es muy sabio, nacional, conveniente y oportuno. Para un caso ce por una ley expresa para cada uno. de los extrangeros á quienes el ministe particu…</t>
  </si>
  <si>
    <t>…ento «le S. M. I* Reika Gobernadora, á cuyo corazón materno amigos del país,y otras personas del misma á que Informasen, y procurasen es ún grato tbdo el posible alivio de los pueblos.” mejor repartimiento de esa ¡^posición.” fpl Sr. Patarra: «Dije ayer que se trataba’ de hacer con el canal de Ara *E1 Sr. Santafé sostuvo la necesidad de hacerse la petición -para-alivio de gón una obra nacional; ¿pero'sfe ha hecho? No: en el día no es mas que una • los pueblos de Aragón, que no reportaban utilidad, sino gravamen, del canal obra provinci…</t>
  </si>
  <si>
    <t>…1834. = Ignacio Samponts. «También se ha expuesto que no té deben traer por argumento los bene Abierta la discusión «obre el dictámen anterior, dipg ficios qui héráot recjbido dé la augusta Raima Gobernadora, los cuales tanto El Sr. Patarra: La presertte cuestión es por sí misma jtspiliosi yLhdelic*- ]»*0.cofatnbuido al restablecimiento dé las anttguaslibertades de la . patria, y da: prueba' dé ello és el tiempo qué en su eximen llevamos empleado, y la po en cuya.virtud tenemos el honor de representar la Nación española y de dis ca un…</t>
  </si>
  <si>
    <t>…se dividida la Nación: ei uno lo com— , El Sr. Duittrcf: "Entusiasmado con el vehemente discurso que acaba dé posen los empleados, los eclesiásticos , lo* propietarias , los hombres instrui renunciar mi digno amigo y compañero él Sr. Patarra, renunciaría la pala- dos y los vecinos de las grandes poblaciones. Esto* son los que tienen opinión, ra si me fuera lícito hacerlo. Pero estando en el tiempo dichoso en que a* lo* que forman y componen tos partido*.</t>
  </si>
  <si>
    <t>Paterna</t>
  </si>
  <si>
    <t>…vas, que dice no habria efecto retroactivo por no estar cum privilegió se ■observan iguales anoíñalías, pues la Reina nó se llamaba Doña plido el plazo del cobro del Voto, La prestación de que se trata se hace cuando Urraca, sipo Doña Paterna: Id mismo sucede con la de Pedro, obispo de se recolectan los frutos, es decir, pata el 15 de Agosto, y este término está ya Aaorga,ctiyimi*ó«*brt xM^e1 eimoenfra en 'el 'cafiTpgo dé los' obispo» de pasado. La comisión bien hubiera querido aliviar á los pueblos de esta carga; aquella época* f dltir…</t>
  </si>
  <si>
    <t>Paterna, Rodríguez</t>
  </si>
  <si>
    <t>Rodríguez Paterna</t>
  </si>
  <si>
    <t>…s vivido algunos años hemos visto El Sr. Caballero: «Respecto al acuerdo de ayer, sabe muy bien el E&gt;- ciertos actos~que prueban que cfGobicrno español ha sido- siempre una-monar tamento que se hizo después de haber preguntado el Sr. Rodríguez Paterna y quía moderada, y que no fue absoluta hasta el año 1823 en qué se entronizó otros Sres. Procuradores si se admtririan -adiciones al articulo4 exigieron—lá-- ese rígido absolutismo; y voy á citar algunos. A principios de este mismo si declaracton antes de hacerse la votación ; y asi se hizo la votaci…</t>
  </si>
  <si>
    <t>…tancia de los cabos y sargen incursiones tuvieron nuestras conquistas en el Norte de Africa y los estableci- tos para la ¡mtrmcion de los batallones. mientos do presidios en sus costas, que servían como de centinelas avanzadas El Sr. Rodríguez Paterna contestó que la comisión no se había creído au para contener á los africanos y defender desde allí nuestro territorio. No creo torizada para proponer aumento de gastos, sino solo para examinar los presu sea necesario indicar cuánto ha disminuido la contingencia de estas piraterías, puestos y hacer…</t>
  </si>
  <si>
    <t>Paterna, Rodryucz</t>
  </si>
  <si>
    <t>Rodryucz Paterna</t>
  </si>
  <si>
    <t>…eclarase'el punto suficientemente discutido, e hi mento. Yo que he &lt; ot «do c ”t*a U segunda pa-:? del aiticuio, quu* dr- i's zo asi, y tendió estarlo. ¡ que se discuta esta inditicion ia ap obaie , siempre que Ja» razones quy El Sr. Rodryucz Paterna pidió se votase por paites el articulo,- y asi se man he t; n en su -*po« o .hie ha¿an \ ar a o d« d . i tiv . pero ahora tepcr • &gt;•* - ie acordó. T'-mb’en *e pidó y acordó qre la votavJdn fuese nominal. mente no podre votar so’&gt;re CiU, y m se d:j,.de que se admita á: dtscu-&gt; m, Puesta Á votación l…</t>
  </si>
  <si>
    <t>Paterna.f-e, D José Rodríguez</t>
  </si>
  <si>
    <t>D José Rodríguez Paterna.f-e</t>
  </si>
  <si>
    <t>…representaciones, y la consecuen lllmo. Sr. D. Vicente Cano Manuel, del Consejo Rod. cia fuela pérdidadeiLUboí. ‘ - Sr.D. Francisco JavicrRodriguezdeVera. . &lt; Elataquedjrígido por Baurtnpttt'Contra Oporto el 25 de Jillio de 1833 Sr. D. José Rodríguez Paterna.f-e demasiado prematuro, pero se resolvióá ello de resultas de la noticia qué 1 ba recibido por el telégrafo, de que Lisboa atibaba de rendirse á lar armas ' . PROVINCIA' se AUCAKXIb de la Reina, y quiso anticipar la acción, antes que difundida la noticia, entra $r. P. Joaquín Abarques , hacendado. se…</t>
  </si>
  <si>
    <t>Paterna.f-e, José Rodríguez</t>
  </si>
  <si>
    <t>José Rodríguez Paterna.f-e</t>
  </si>
  <si>
    <t>…resentaciones, y la consecuen lllmo. Sr. D. Vicente Cano Manuel, del Consejo Rod. cia fuela pérdidadeiLUboí. ‘ - Sr.D. Francisco JavicrRodriguezdeVera. . &lt; Elataquedjrígido por Baurtnpttt'Contra Oporto el 25 de Jillio de 1833 Sr. D. José Rodríguez Paterna.f-e demasiado prematuro, pero se resolvióá ello de resultas de la noticia qué 1 ba recibido por el telégrafo, de que Lisboa atibaba de rendirse á lar armas ' . PROVINCIA' se AUCAKXIb de la Reina, y quiso anticipar la acción, antes que difundida la noticia, entra $r. P. Joaquín Abarques , hacendado. se…</t>
  </si>
  <si>
    <t>PaTga, D Jacobo María</t>
  </si>
  <si>
    <t>D Jacobo María PaTga</t>
  </si>
  <si>
    <t>…rdó que je suspendiese la sesión para que reunida de cuero Se dió cuenta de un oficio del Sr. Secretarlo del Despacho de Hacienda, la comUion el lune» "17 del corriente á las ocho de la ntxhe, se procediere í trasladando otro del Sr. D. Jacobo María PaTga, desde Betanzos, por el que examinar si habría algún término medio cipaz dé producir la deseada concilia acreditaba haber prestado juramento como Pióccr del reino ante el cura p¿r- ción, meditando sobre ello, cu el intermedio de una á otra sesión, todos los joco mas antiguo de equella ciudad. Sres.…</t>
  </si>
  <si>
    <t>PaTga, Jacobo María</t>
  </si>
  <si>
    <t>Jacobo María PaTga</t>
  </si>
  <si>
    <t>…que je suspendiese la sesión para que reunida de cuero Se dió cuenta de un oficio del Sr. Secretarlo del Despacho de Hacienda, la comUion el lune» "17 del corriente á las ocho de la ntxhe, se procediere í trasladando otro del Sr. D. Jacobo María PaTga, desde Betanzos, por el que examinar si habría algún término medio cipaz dé producir la deseada concilia acreditaba haber prestado juramento como Pióccr del reino ante el cura p¿r- ción, meditando sobre ello, cu el intermedio de una á otra sesión, todos los joco mas antiguo de equella ciudad. Sres.…</t>
  </si>
  <si>
    <t>Patifioe, Francisco</t>
  </si>
  <si>
    <t>Francisco Patifioe</t>
  </si>
  <si>
    <t>…del provincial de Grana infantería del regimiento de la Princesa y provincial de Piascncia i las órde da df loé ffia¿ ágiles, y con la caballería salí al trote por el caminó Rea) que nes de! teniente graduado D-.Jose OntiveroS/V D. Francisco Patifioe, Sube*'- va i jíajzúiadcf* encargando al resto de la infantería siguiese por mi derecha nientes de aquel regimiento, ha superado mis esperanzas, andando coft entuña*- ‘ á toonr H» alturas de Montínojo, y cayese por aquel lado sobre la facción. dio 12 leguas desde las cuatro de la raañlana pasta la^…</t>
  </si>
  <si>
    <t>Patriarca</t>
  </si>
  <si>
    <t>…a$ autoridades, que-emanan de él. jo , pido á Ira Cortes que &amp;é me autorice al efecto.” Entonces era ya Indivi «Si quitamos, pues, el prestigio al trono,Ye alzará la canalla, y somos duo de la comisión de Hacienda, juntamente con Sr. Patriarca actual,.el perdidos. ¡Y qué, el prestigio del tronó se mantiene con una dotación menor Sr» Banqueri i el Sr. conde de Toréno, ahora Ministro de Hacienda, y otros; dé la qúe propone la comisión? Yo nó lo he podido examinar; pero la co y nuestro dictámen fue que se autorízase á S.—M. .para que otorga…</t>
  </si>
  <si>
    <t>…solidada por su valor nominal.” Bailen, marques de la Reunión, obispo Posadas, Alava, García Herreros, Del Sr. marques de Espeja: «Podrán los vendedores entregar el capital de conde de Ofalia, obispo Vailejo, obispo de Barcelona, Sr. Patriarca, marques la venta al 3 por 100 en papel de la deuda consolidada al precio que se haya de Sta. Cruz, arzobispo de Méjico , marques del Cerro, marques de Sta. Cruz señalado en la bolsa al papel el dia en que se haga el pago.” y San Esteban, conde de Castejon, obispo de Córdoba, obispo electo de Al De…</t>
  </si>
  <si>
    <t>…nnráa los examinadores que al efecto cito, pára que en el término de 30 divíse présenren á deducirle en el exp^ésado^db^- I j gado ; con apercibimiento que de n« veiDficarlo les parará perjuicio. ; i!.j. ^ I nombrará dicho Excpip-Sr. Patriarca; y en vista de la censura propondrá á ' ^ r^—Por la j¿mta especial direclíya^ie I9S 'caminus-de Ofepse y Tpy, estahlecití^iM et que juzgüe ihatf‘á 'propósito p*rA*i *mejor.servicioVd*.Dios y *ic la ' la ciudad de Vlgo, se sacan ¿pública, subasta jas ob^s Recesarlas j&gt;ára fa répa«cj ^eal capilla. Ma…</t>
  </si>
  <si>
    <t>Patriaren</t>
  </si>
  <si>
    <t>…ión presentando ó remitiendo memorial con su fe de mañanaEn vlrtudc^eá la posadaprovidenciade su señoríadel juzgadojunta-'geoeralde lacapitaúiaqué tía ¿¿-celebrarsegftow^l de Castillaen dich^x*Ja Nud 'BautSmó ^ególízadd'al Excmo. Sr. Patriaren de-las India», icn el término de 30 se cita á todqs las-personas que se. crean, cojo derccfip á los biches que.fiap qpfdi dias, contándose desde esta fecha hasta el 21 de Febrero próximo, precedién por fallecimiento intestado ae D. Jiuan ^errá y Llorééa , Tútéfeaenté qüé fue oe 'éjg,.. dose en segu…</t>
  </si>
  <si>
    <t>Paulino, Francisco Perez</t>
  </si>
  <si>
    <t>Francisco Perez Paulino</t>
  </si>
  <si>
    <t>…o hasta esta hora; v á fin de enterar bucazo de postas el espitan del mismo D. Antonio Muñoz. me de cuanto allí pasa y se necesita, despacho al amanecer de ma n La pérdida en los facciosos la ignoro en este momento que son ñana á D. Francisco Perez Paulino, vecino de la Fegemeda, per las tres de la mañana; conservo en mi poder 19 prisioneros entre sona de toda mi confianza, y enterado en el negocio, autorizándo individuos militares y empleados, los cuales luego que sean clasifi lo para que acuerde con el nuevo gefe la regularidad de que nos cados suf…</t>
  </si>
  <si>
    <t>Pauls, Bretón D Francisco de Mora y</t>
  </si>
  <si>
    <t>Bretón D Francisco de Mora y Pauls</t>
  </si>
  <si>
    <t>…ictar las mas terminantes órdenes al general segundo cabo para que im D. Lírarq Cambil: el teniente de artillería retirado , y ayudante de campo del pidiese á Carnicer repasar el Ebro; y sabiendo que este aparentaba dirigirse por brigadier Bretón D. Francisco de Mora y Pauls: el segundo ayudante de ciru Prabes á Momblanc, emprendió su marcha á Valls con el objeto de salirle al gía médica del regimiento de Bailen D. Joaquín Sairols: el capitán de la com encuentro con las tropas que sacó de Tarragona , dejando encargada la guardia pañía de voluntarios de Porrera D. Jo*e…</t>
  </si>
  <si>
    <t>Pauls, Francisco de Mora y</t>
  </si>
  <si>
    <t>Francisco de Mora y Pauls</t>
  </si>
  <si>
    <t>…a el benemérito teniente coronel cipe con dirección á Mérida. capitán de dicha caballería D. Blas de Sotomayor, y contuso el teniente; ¡de ar Y al Montijo habla llegado, procedente de la misma ciudad de Sevilla, tillería retirado D. Francisco de Mora y Pauls, ayudante del referido brigadier lina batería de artillería. Bretón. El Pretendiente se mantenía en las inmediaciones de Santaren: el ex-ge- »La comportacion de todos los gefes, oficíales y demás individuos de todas aeral Moreno con sus malparados compañeros de fortuna en Avis, y el conde clases de…</t>
  </si>
  <si>
    <t>Pavan</t>
  </si>
  <si>
    <t>…sempeñar aquel alto encalco. ([Herald.) ;Y podrían existir por. mas tiempo esos bandidos que, después de haber in vadido y trastornado el órden social, ban dado en el Perú el primer funesto Según las últimas noticias de Méjico el coronel Pavan, gefé de la expe ejemplo de acometer á balazos i sus. conciudadanos , 4 un pueblo suave y pací dición contra la Puebla, ha recibirlo insinu-einTies_paja-v—^r. -I fl-n-ral fico por carácter? La indignación general que desde antes se ha manifestado Tourborgs1 comandant«-de-ra cJudacTj á fin de evitar…</t>
  </si>
  <si>
    <t>Pavía, Antonio Bciuii y D Manuel</t>
  </si>
  <si>
    <t>Antonio Bciuii y D Manuel Pavía</t>
  </si>
  <si>
    <t>…Alon niente abandonar aquel punto en tales circunstancias, y mandé ai general Mos so, D. Francisco de Paula Encobar, D. Antonio Moraüues, D. Anselmo Blastoso, de U plana mayor, que pasase' á vanguardia y eligiese la primera ser, D. Antonio Bciuii y D. Manuel Pavía, avadante de órdenes del barón &lt;ft posición ventajosa que se presentase á la salida del bosque; con este objeto se Meer. Igual honorífica mención debo hacef de D. Miguel Perez, capitán de la ocupó la d^ Ezagarate., que es urta altura en cuya cúspide fny una gran plata Guardia Real de granaderos pro…</t>
  </si>
  <si>
    <t>Pavía, Manuel</t>
  </si>
  <si>
    <t>Manuel Pavía</t>
  </si>
  <si>
    <t>…ar aquel punto en tales circunstancias, y mandé ai general Mos so, D. Francisco de Paula Encobar, D. Antonio Moraüues, D. Anselmo Blastoso, de U plana mayor, que pasase' á vanguardia y eligiese la primera ser, D. Antonio Bciuii y D. Manuel Pavía, avadante de órdenes del barón &lt;ft posición ventajosa que se presentase á la salida del bosque; con este objeto se Meer. Igual honorífica mención debo hacef de D. Miguel Perez, capitán de la ocupó la d^ Ezagarate., que es urta altura en cuya cúspide fny una gran plata Guardia Real de granaderos pro…</t>
  </si>
  <si>
    <t>Pavón</t>
  </si>
  <si>
    <t>…es no harán indispensable un auaÁmto de cargas para el año próximo. S del corriente, y de Méjico hasta el 26 del anterior. «La administración interior continua Siguiendo en todas sus partes su Parece que reforzada la división del coronel Pavón, que sitiaba i Puebla, curso regular; en la vigilancia que ejerce sobre ella el gobierno, es dignamen con las tropas del general Quintana, se rindió aquella plaza el 28 de Julio, y te ayudado por las autoridades provinciales y locales. se restableció Incomunicación de Veracruz con la capital. Las c…</t>
  </si>
  <si>
    <t>…las autoridades y al bre de mi excelsa Hija Doña Isadel ir, y después de oido el dicta congreso, y vivas al Rey. De Méjico habían salido 300 caballos y 150 infan men de mi Consejo de Ministros, lo siguiente: tes i las órdenes del coronel Pavón , para restablecer el órden en la Puebla. ' Artículo IV Ademas de la prohibición general ordenada por las Esta ciudad, Veracruz, Jalapa, Orizaba y Córdoba se habían declarado con leyes y reglamentos de aduanas de introducir y desembarcar armas, tra toda reforma ó intervención en los negocios de-la…</t>
  </si>
  <si>
    <t>Pawlowitz, Constantino</t>
  </si>
  <si>
    <t>Constantino Pawlowitz</t>
  </si>
  <si>
    <t>…contaban,el 2ü de Noviembre de J833 4^4 cui nal, y las sentencias fulminadas contra los criminales, y acordándonos de las jas de ahorro. Desde Noviembre de 1831, los depósitos hechos en estos esta instancias que nos hizo el gran Duque Constantino Pawlowitz, que nos $u- blecimientos han tenido un aumento de 1.4^3,464 libras esterlinas. Enrían- ' piteaba extendiésemos sobre ellos nuestra clemencia., y conciliando los in da solamente, cuya población es de 7.76^t\^\ almas, había en 1833 76 cajas tereses de la justicia y del respeto que se debe i .las ley…</t>
  </si>
  <si>
    <t>Paz, Joaquín</t>
  </si>
  <si>
    <t>Joaquín Paz</t>
  </si>
  <si>
    <t>…V. M, dé 23 de Agosto último, y con forme con io prevenido en los artículos 30 y 33 del Estatuto Real, REALES DECRETOS. se sometió á su examen y deliberación, presentan respetuosamente Accediendo á Iosdeseos que me ha manifestado D. Joaquín Paz á V. M. el siguiente proyecto de ley, para que V. M. se digne, si Merino, oidor de la Real audiencia de Cáceres, he venido en jubi lo tuviere á bien» darle la sanción Real. larle eon sus honores y sueldo que le corresponda por clasificacioo. Artículo i? Quedan abolidas desde el dia en que se publiq…</t>
  </si>
  <si>
    <t>Paz, Manuel</t>
  </si>
  <si>
    <t>Manuel Paz</t>
  </si>
  <si>
    <t>…daría un golpe mortal á las antiguas universidades del reino, que son de oidores á D. Juan Nepcimüceno Vela, 4 D. Fermín Fernandez Ja gloria de la Inglaterra. De su seno, dice el orador , ha salido hasta nuestros de la Cuesta, 4 D. Manuel Paz, que lo son de la misma, 4 I). José dias esa juventud británica tan célebre por la pureza de sus costumbres, la so Ignaciojie Alara, que lo es de la de díceres, 4 D. José Moreno lidez de sus principios religiosos, y la gravedad de sus hábitos ¿Querréis , aña Ramírez, fiscal del crimen de la de Vall…</t>
  </si>
  <si>
    <t>Paz, Rafael</t>
  </si>
  <si>
    <t>Rafael Paz</t>
  </si>
  <si>
    <t>…d' et reglamento de dicho"supremo Tribüdál, y la del supremo Tribunal de España é Indias-,' creado por mi decreto planta de lo» üependténTéáqüe: sean ncCeSUrfós. par» la trias Ordena de ?4 de Marzo último, 4 D. ^.ndres Subiza , á D. Rafael Paz y da y expedita adtñírñstticion ¿e justicia^ elevando uno' y fchpiTs S Tuertes, £ D. José Móntemáyor; á D. José Villattueva,' á pojn conocimiento de S.' Míj bara la resOfüCÍdJi que estime concediente. José Martínez Areta, á D. José Mier, á D. Teótimo Escudero,! De -Afad orden lo°di¿» s:V. E. pati suimtwig…</t>
  </si>
  <si>
    <t>Pazos</t>
  </si>
  <si>
    <t>…ircular dirigida á todos los miembros del tribunal CÍ.KAR.A DB LOS FAZES-.^ScJlOn del 22. de Ips Eares:' * J-X V.. París 17 de Octubre de Í834.=Sefior: Estando cásí concluida la sumaría Aprobada el acta de Ja últimaseslon, léyóel Sr. Pazos el voto particu mandada formar en virtud de los acuerdos de'lS-y 30 ,&lt;fe; Abril último,, tengo lar que con otros 42 díputados dió en Ja última sesión oponiéndose á que sé el rhonor—de-participaros que'probablemente se .podrá presentar la relación al aprobase el articulo '2u del proyecto de ley bobr…</t>
  </si>
  <si>
    <t>PbuoO, Antóni</t>
  </si>
  <si>
    <t>Antóni PbuoO</t>
  </si>
  <si>
    <t>…rio», acordar según su demanda. Entre ellat He dispaesto sC- le ffxaquéen^ todos taú ry siniperjiticio déla» medidas dictadas é fin-de «vitar se sepulte en .las iglesias antecedentes que sobre «te asqrrto tienen It* he rederos de D. Antóni» PbuoO, en algunos pueblos que' padeeen la epidemia aettral', he pedido á todos con la tomo encargado que fue en otro tiempo' de su dirección. También he siKpM» Ipa/ojfilí'géJicfa nóticiá de sji «lado ucCrÓlógjcp , á En de que estol anteceden-* áldo todo procedimiento respecto i la-1 agüita Wtóiláds desag…</t>
  </si>
  <si>
    <t>PcdroOnttveros</t>
  </si>
  <si>
    <t>…, es decir, que el presu Se dió cuenta de un oficio d:l Sr. Secretario del Despacho ío Inte puesto de carabineros de costas y fronteras queda igual; y que por tanto res pee* rior con que remitía testimonio del a:ta de elección de D. PcdroOnttveros^a- lo de está partida no hay défiqit en el tesoro. Hay mas: en el presupuesto de va Procurador por la provincia de Cíceres en reemplazo de D. Diego Gpo-t Guerra, habiéndose mandado aumentar ios carabineros por Real órden de lí' *a!ea Alomo; y al m smo fiempo acompañaba un oficio remitido por el go…</t>
  </si>
  <si>
    <t>Pclet</t>
  </si>
  <si>
    <t>…lar del subdelegado de Fomento de Cádiz. trangero» refugiados en Francia por consecuencia de ocurrencias políticas.’’ Sa jnuBda imprimir y distribuir. Encargado ya desde el dia 15 del corriente de esta magistratura de benefi-l £1 Sr. Pclet lee el informe de la comisión que ha examinado el proyecto cencía, con que S. M. se ha dignado honrarme para proteger con int adminis de ley relativo .^créditos concedidos para cubrir el déficit de 1833;” y el Sr. Be- tración los intereses generales de esta provincia, promoviendo bienes efectivos,…</t>
  </si>
  <si>
    <t>Pcñalver.profesor, Manuel.Crespo y</t>
  </si>
  <si>
    <t>Manuel.Crespo y Pcñalver.profesor</t>
  </si>
  <si>
    <t>…d. • Kocionet.dé retórica yn abética necesarias para complétar &lt;1 estudio de-gramática^ «Estábamos tódos entregados á las reflexiones qué nos sugería la vista de Acomodadlas Á Ja capacidad dg. loa n|ño5 que sfi dedican a di , ppr D. Manuel.Crespo y Pcñalver.profesor ae gramática y humanidades. Un tomitoen Ó.°, aen rúst^a- 'aquella organización tan melancólica, cuando el doctpr prosiguió tn e&amp;tps Se vende en Us libreriaf de Raaolay aí* Sana. . ^ : términos: •' •—Suplemento á U obra de MrrUTT ,,Be|tri‘,-tituI'ada. jVwevoi elementos de medicina «Y sin embargo ést…</t>
  </si>
  <si>
    <t>Pcramon, D Fran D Francisco</t>
  </si>
  <si>
    <t>D Fran D Francisco Pcramon</t>
  </si>
  <si>
    <t>…mandado. Asi se aprobó. Luis de S. Clemente, y D. Joaquín González Nieto, y de la de Guadalajara Asimismo manifestó dicha comisión haber examinado el oficio del señor en reemplazo del Sr. D. Gregorio García, que ha recaído en ei Sr. D. Fran D. Francisco Pcramon, electo por la provincia de Gerona, en que solicita se cisco Murati. le exonere del cargo de Procurador; y que hallando justo lo expuesto por di A la misma comisión se pasaron los poderes y documentos de su aptitud cho Sr., era de dictamen que se admitiese su renuncia, pasándose el oportuno legal,…</t>
  </si>
  <si>
    <t>Pcramon, Fran D Francisco</t>
  </si>
  <si>
    <t>Fran D Francisco Pcramon</t>
  </si>
  <si>
    <t>…dado. Asi se aprobó. Luis de S. Clemente, y D. Joaquín González Nieto, y de la de Guadalajara Asimismo manifestó dicha comisión haber examinado el oficio del señor en reemplazo del Sr. D. Gregorio García, que ha recaído en ei Sr. D. Fran D. Francisco Pcramon, electo por la provincia de Gerona, en que solicita se cisco Murati. le exonere del cargo de Procurador; y que hallando justo lo expuesto por di A la misma comisión se pasaron los poderes y documentos de su aptitud cho Sr., era de dictamen que se admitiese su renuncia, pasándose el oportuno legal,…</t>
  </si>
  <si>
    <t>Pcramon, Francisco</t>
  </si>
  <si>
    <t>Francisco Pcramon</t>
  </si>
  <si>
    <t>…i se aprobó. Luis de S. Clemente, y D. Joaquín González Nieto, y de la de Guadalajara Asimismo manifestó dicha comisión haber examinado el oficio del señor en reemplazo del Sr. D. Gregorio García, que ha recaído en ei Sr. D. Fran D. Francisco Pcramon, electo por la provincia de Gerona, en que solicita se cisco Murati. le exonere del cargo de Procurador; y que hallando justo lo expuesto por di A la misma comisión se pasaron los poderes y documentos de su aptitud cho Sr., era de dictamen que se admitiese su renuncia, pasándose el oportuno legal,…</t>
  </si>
  <si>
    <t>Pcreira, Benito</t>
  </si>
  <si>
    <t>Benito Pcreira</t>
  </si>
  <si>
    <t>…remos, á cuia política, tanto inte Estado ^ del Despacho de la Guerra, á 4 de de 1834- —limo, y Exce rior como exterior, supone sometidas á España y Portugal. Estas acusaciones lentísimo Sr.= Agustín José Freiré-=:llmo,‘y Excmo. Sr. Benito Pcreira do proceden de la habilidad reconocida de la Gateta de Fran.ia en I3 diploma Carmo. C Zd-&gt; cia de los partidos: porque no ignora que los emanóle' somos quizá mas aman-« tes de la independencia nacional que niocün otro pueblo civilizado; y asi piigna por desacreditar nuestro sistema de política , supon…</t>
  </si>
  <si>
    <t>Pdiarea</t>
  </si>
  <si>
    <t>…art. 8.° del proyecto del Gobierno, y el del dictamen de 40 á 60, pues me parece demasiado poco por las razones que he expuesto. de la comisión. ¿ En cuanto á la segunda adición, se debe considerar que no son solos dos ó tres J$l Sr. Pdiarea: «El artículo que propone la comisión es exactamente pueblos los en que hay mas de un batallón de Milicia, y que es muy conve mismo que. el del—proyecto del Gobierno; pero hace dos adiciones, que ha niente que se dividan estos en barrios ó cuarteles.” considerado oportunas. La primera es que en el…</t>
  </si>
  <si>
    <t>Pe, Cristóbal</t>
  </si>
  <si>
    <t>Cristóbal Pe</t>
  </si>
  <si>
    <t>…las hembras , á falta de varón en el Y S, M. I. ef duque de Bragatwa, Regente del reino de Portugal mismo grado, sin que pueda citarse ni un caso siquiera en que hayan sido ex de los Algarbes, 4 nombre de la Reina Doña María n, á D. Cristóbal Pe cluidas, meramente en razón de su sexo. dro dé Moraes Sarmentó f- del consejo de S. M. Fidelísima, hidalgo caballero Una sola ley , extrangvra de origen , nunca aclimatada en el suelo español, de la cada Real , comáidádor de la órden de Ntra. Sra. de la Concepción de y que no iha sido observada ni…</t>
  </si>
  <si>
    <t>Pe, Josi Maria Lopezdé</t>
  </si>
  <si>
    <t>Josi Maria Lopezdé Pe</t>
  </si>
  <si>
    <t>…maniósataiido no- babee podido «sinir iMMnaMa é $» duque .de Rival,» yjpy&lt; qpjp, de. coowgMieme^ siendo, ya una cosa las sesiones por estar enfermo en - Sepóbeda. . &lt; teidída, no ^ asqmo* A la camision de poderes se pararon le*d« D. Josi Maria Lopezdé Pe -</t>
  </si>
  <si>
    <t>Pe, Rafael</t>
  </si>
  <si>
    <t>Rafael Pe</t>
  </si>
  <si>
    <t>…del cor de los demás -, al térnente amnistiado®. Cayo Muró, al sargento de lanceros de riente,- da parte» dé 'haberse situado en Celórico y Covilhao las columnas del la Guardé Real D.Francisco Marcó, al de igual clase de húsares D. Rafael Pe. mando de los. generales Carondelet y Sanjuat^na; de hallarse el duque de Tery rez Vento, y"al soldado del escuadrón ligero de Madrid Manuel Fernando, l| .cera hacia Moimenta,-con ánimo, ai-parecer, de marchar-sobre Viseo, y de ríos qué constantemente á mi lado^arrostraron con impavidez y arrojo los…</t>
  </si>
  <si>
    <t>Pe, Santos López Pelegrin y D</t>
  </si>
  <si>
    <t>Santos López Pelegrin y D Pe</t>
  </si>
  <si>
    <t>…evanta la sesión. de limes, también electo para ia de Granada. - IDEM DE IOS DI PVT A DOS. __JV/ ion de idem. Ha venido igualmente en conceder honores de la audiencia de Madrid i los I I tenientes de villa y corte D. Julián Sojo, D..Santos López Pelegrin y D. Pe-; Principia la discusión general del proyecto de ley sobre el estado de los dro Jiménez Navarro. ' oficiales. El Sr. Delaborde aprueba el proyecto, si se hacen algunas variaciones, También se ha servido nombrar S, M. para la vara de alcalde mayor 1.® ue á su entender, resultarán de la discusión. Del…</t>
  </si>
  <si>
    <t>Pedib'ii</t>
  </si>
  <si>
    <t>…lidad, y que sus habi que ha leído en ciertos periódicos extrangeros. (.Los ministros ir tantes sin excepción están resueltos á defender el trono del joven Comercio y de Negocios extrangeros manifiestan que no es cierto Emperador D. Pedib'ii y la constitución del Estado. La-regencia lo que anuncia el orador.') , ha declarado que por haber Francisco Gómez de Silva y Antonio El orador da gracias á los Sres. ministros porque le han confir Mariano de Acevedo aceptado empleos del gobierno portugués sin mado la opinión que tenia, de que nunca est…</t>
  </si>
  <si>
    <t>Pedib'ii, D</t>
  </si>
  <si>
    <t>D Pedib'ii</t>
  </si>
  <si>
    <t>…ta tranquilidad, y que sus habi que ha leído en ciertos periódicos extrangeros. (.Los ministros ir tantes sin excepción están resueltos á defender el trono del joven Comercio y de Negocios extrangeros manifiestan que no es cierto Emperador D. Pedib'ii y la constitución del Estado. La-regencia lo que anuncia el orador.') , ha declarado que por haber Francisco Gómez de Silva y Antonio El orador da gracias á los Sres. ministros porque le han confir Mariano de Acevedo aceptado empleos del gobierno portugués sin mado la opinión que tenia, de que nunca est…</t>
  </si>
  <si>
    <t>Pedicini</t>
  </si>
  <si>
    <t>…eecretaría de Petado y del Despacho de la Guerra. «Nueve cardenales han sido nombrados ayer prefectos de las diferentes, El comandante general de las provincias Vascongadas traslada un partecongregaciones; entre ellos se halla el cardenal Pedicini, que ha sido nombra del comandante militar de Maestú de fecha del dia 9, en que manifiesta quedo vicecanciller de la santa iglesia; el cardenal Odescalchi, vicario de S. S.; el sabedor de que el batallón faccioso alavés, mandado por Villareal, se había escardenal Justiniani, prefecto deja congregac…</t>
  </si>
  <si>
    <t>Pedid</t>
  </si>
  <si>
    <t>…Despacho de la.Guerra. ■ / . | &gt;?Rtir^^^iíjqJ que el deseado.¿umentar aquellos productos perjudicase í la discíplina^jnic^ioc de los refreídos'establecimientos. Soy de opinión que Codos* 4os l . ■ ^ Carta Jtel duque de Tercena al general Pedid [ d°cum«rfc&lt;*upie*el Sr. inspector general hs* reunido ei\ la visita, que con tanto ¡fruto.ha hecho, se presenten d'la'Cámara; pues nó hay duda que acerca de tóta Recibí esta noche, las cartas de V. E. de 1P de Mayo á las cuatro dy U cueitiao.iiabii.opinioíirt níuy diVergeritesj F.s mur dutfoso que…</t>
  </si>
  <si>
    <t>Pedio</t>
  </si>
  <si>
    <t>…rimer principio de beneficiados de S. Sebastian; D. Antonio Membíola, canónigo de la metro la política europé^, asegura la Ciabal independencia de toda nación que quiera politana iglesia de Tarragona; D. Mateo Ochoa de Antesana y D. Pedio de conservarla^ Ofendería la justicia, y ultrajaría la dignidad del gabinete britá Garramiola, presbíteros beneficiados de Ondarroa, y D. Juan Anselmo (je nico éjqqe Supusiese que este podría obrar ¿on parcialidad contra unos dere Aróstegui, beneficiado de Lequeitio, se ha servido mandar S. M. la Ruin…</t>
  </si>
  <si>
    <t>Pedio, Mateo Ochoa de Antesana y D</t>
  </si>
  <si>
    <t>Mateo Ochoa de Antesana y D Pedio</t>
  </si>
  <si>
    <t>…declarada solemnemente como primer principio de beneficiados de S. Sebastian; D. Antonio Membíola, canónigo de la metro la política europé^, asegura la Ciabal independencia de toda nación que quiera politana iglesia de Tarragona; D. Mateo Ochoa de Antesana y D. Pedio de conservarla^ Ofendería la justicia, y ultrajaría la dignidad del gabinete britá Garramiola, presbíteros beneficiados de Ondarroa, y D. Juan Anselmo (je nico éjqqe Supusiese que este podría obrar ¿on parcialidad contra unos dere Aróstegui, beneficiado de Lequeitio, se ha servido mandar S. M. la R…</t>
  </si>
  <si>
    <t>Pedio, S</t>
  </si>
  <si>
    <t>S Pedio</t>
  </si>
  <si>
    <t>…ción hacia Carriedo y sos en cuanto no recurren á la vergonzosa huida ó baja Inicio»; y recordando Selaya, denotando la intención de regresar á su país. El brigadier Bedoya, que las recomendaciones que se me hacen por él teniente coronel S. Pedio, ruego ve hallaba en Villarcayo, salía con su columna i obrar en combinawon con á V. E. se digne hacerla muy apecial de este benemérito gefe y del capitán de el brigadier Iriarte, que desde Espinosa se dirigía al valle de Ruesga, míen ti as cazadora de Africa D. Manuel Carrascosa, entrambas mereced…</t>
  </si>
  <si>
    <t>Pedm</t>
  </si>
  <si>
    <t>…a siguiente anécdota que le' ha sido cttmu— (Continuación del correo anterior.) níesda por pajonas fidedignas, r cjue prueba hasta, i^ue punto ha &amp;*do cruel para el, Portugal la pendida de D. Psdm. «En una conveísacicrn c|«e tura D. Pedm enn uiirh *der suí tnedtcfn, le Petersburgo 20 de Setiembre; preguntó si tenia hyo&amp; Habiéndole re^ponditk d medw^ ^ue era padre de unx familia numerosa, respondí*» O. Pedro eirefa- «Pue* erAonce» ante todas El día de fa inauguración dé la columna de Alejandro Confirió S. M. el cosas , procure darle…</t>
  </si>
  <si>
    <t>Pedo</t>
  </si>
  <si>
    <t>…ptado para obligar justo castigar el exceso de celo en que algunos individuos, podrían, incurrir, y á este servicio. Póf lo mismo no veo otro medio que el que adopta la co macho mas cuando los hechos justifican , como ha dicho él Sr. Pedo-, la previ- misión.” , si.onóan que se quieren remediar los ibcOnveaienJes-que ellos mismos presen Se declaró el punto suficientemente discutido, y quedó aprobado el arti tan. Por tanto, y creyendo que es siempre .oportuno dar cierto .ensanche en culo én los términos propuestos por la comisión, que…</t>
  </si>
  <si>
    <t>Pedraja, D José María</t>
  </si>
  <si>
    <t>D José María Pedraja</t>
  </si>
  <si>
    <t>…o, su anhelo; las luces y la sabiduría del Estamento militar. decidirán si ha acertado. (Leyó erproyecfó)?’' ! . ****'"’ ■ JáéBho' í(f,'FtoTer7paridr-, por enfermor Concluida la lectura, el Excmo. Sr. duque de Rivas, de órden del señor D. José María Pedraja , por Córdoba , por id. Presidente, preguntó al Estamento si ha de pasarse el proyecto leído á las co D. Jósé Vicente Bahillo, por Ciudad Real, por id. misiones reunidas de Gracia y Justicia y "Hacienda; y se acordó afirmativa— D. José Veñals, por Gerona , por el cólera. rqen^e.,,.-, .... • , . ; .…</t>
  </si>
  <si>
    <t>Pedraja, José María</t>
  </si>
  <si>
    <t>José María Pedraja</t>
  </si>
  <si>
    <t>…anhelo; las luces y la sabiduría del Estamento militar. decidirán si ha acertado. (Leyó erproyecfó)?’' ! . ****'"’ ■ JáéBho' í(f,'FtoTer7paridr-, por enfermor Concluida la lectura, el Excmo. Sr. duque de Rivas, de órden del señor D. José María Pedraja , por Córdoba , por id. Presidente, preguntó al Estamento si ha de pasarse el proyecto leído á las co D. Jósé Vicente Bahillo, por Ciudad Real, por id. misiones reunidas de Gracia y Justicia y "Hacienda; y se acordó afirmativa— D. José Veñals, por Gerona , por el cólera. rqen^e.,,.-, .... • , . ; .…</t>
  </si>
  <si>
    <t>Pedrero, Angel Jiménez</t>
  </si>
  <si>
    <t>Angel Jiménez Pedrero</t>
  </si>
  <si>
    <t>…i no recomendase á V. S., por sí cree oportuno ele direcciones y con multiplicadas columnas no se les deja descansar ni reponerse varlo á conocimiento de nuestra amada Reina, á los capitanes el teniente co un solo instante. ronel D. Angel Jiménez Pedrero, capitán de granaderos de Alcázar de Sao Juan, herido gravemente, y á D. Pedro Miguel de Agreda, del de Salamanca, también herido; al teniente ayudante interino del mismo cuerpo D. Sebastian ‘ El dia 27 de Abril último celebró la ciudad de Ayamonte la proclama Arias, quien voluntariamente marchó co…</t>
  </si>
  <si>
    <t>Pedro</t>
  </si>
  <si>
    <t>…l general Lafayette las ventajas que resul Ííl caballero Lima, embajador portugués, acompañado de otras personas, tan de la instrucción popular, y extraña que el gobierno haya prohibido las estuvo ayer á bordo del navio de guerra D. Pedro y del barco de vapor Edim reuniones de una sociedad que se había dedicado á proporcionar instrucción burgo pertenecientes á Doña María, y fue recibido con todos los honores de gratuita. bidos á su rango. S. E. convidó á comer á los oficiales belgas que van á servir Contesta el Sr. d’Argout, ministro del…</t>
  </si>
  <si>
    <t>…ció del Excmo. Sr^Presidente det cooperación deí Estamento dé los Prócera, V. M. tiene el derecho efe contar Consejo de Ministros. acompañando el norpbramlento para.la dignidad de Pro en todo tiempo con,ella- , cer tjej limo. Sr. D. Pedro jüonzaJcz Vallcjo, obispo que fue de ^Mallorca. , « Los Prócera del Reino hallan justo y natural et sentimiento qué causa . Asimismo lo quedó, de los respectivos nombramientos para igual dignidad 4 V. M. la necesidad de presentar í la deliberación dé las Córtes la cíobducta de los Sres, obispo de,C…</t>
  </si>
  <si>
    <t>…ei se excluyó la descendencia, sino qiie se negó la obediencia al Rey por causas teradas órdenes de S. M. para que emprendiese el viage á Italia, no dejan duda semejantes. En la sangrienta y dispendiosa’ guerra civil entre el Rey D. Pedro sobre estQ; y la devoción y demas pretextos con que las eludia, al mismo tiem y su hermano D- Henrique ,1a nación usando de su poderío, y haciéndose su po que protestaba el mas tierno cariño á su hermano, y el mas profundo res perior á las leyes, consaltando al btén geúérát^r S la pública tranquili…</t>
  </si>
  <si>
    <t>…í Rr*miliv61; Rolle 68; Tenvkrdtn ~8; JSunow ’4: ^ artel 58; \\ iÉm ; 83. corresponsal de Lisboa , dice que el epitafio que se ha puesto sobre el sepulcro Jijrritures Jf uozciaj &gt; de »h;V. cu.. Cervantes 6 . Le Sacc 80 F.Scott de D. Pedro en la iglesia de S. Vicente de tora* es como sigue; £2 , Ficlding 4”» h'.uolleu 5 L; RabclaK "0. I&gt;?k v ; Rat*. htk 60; Richót^ Savi "2; Stertie 50; Johnson ”5: Addison 4^ : \\ hartón 8: Steelc 59. TÍO— «L&gt;. O, M. í kell 54: MonUiug 60; Bathurst (R.) 84; 1 hmnton 44. Hjwkesworth 59; v llariitr 58^…</t>
  </si>
  <si>
    <t>…hacia los lugares abajo desig Documento arriba citado. nados, recibiendo en la marcha pan, etapa y socorros; y luego que lleguen á sus destinos recibirán pasaportes para sus casas; ios naturales de la Berra baja á 5. M-1. el Sr. D. Pedro, duque de Braganza, regente en nombre de la Rei Abrantes. na la Señora Doña María ir, movido del deseo de poner fin cuanto antes á Ja Los de Reirá alta á Viseo. «fusión de sangre portuguesa, y de pacificar completamente el reino , otorga á Los de Tras-os - Montes á VillarcaL las fuerzas reunidas en…</t>
  </si>
  <si>
    <t>…lizar á la Península: y esto mismo personas, entre ellas obispos, generales &amp;c. D. Carlos descendió el Tajo en una prueba la excelencia- de la cuadrupla alianza: porque ninguna confederaciones lancha, y se creía que las tropas de D. Pedro le hubieran hecho prisionero. Sin mejor que la que se funda en intereses recíprocos, tan vitales y notorios, que émbargo no se hizo ninguna tentativa contra él, y llegó con seguridad á la es aun sin tratado alguno se habían de favorecer las naciones confederadas. Cuan cuadra inglesa. Al instante qu…</t>
  </si>
  <si>
    <t>…eden por tanto visitarlos dichos gefes cuando lo juzguen buques de guerra de 24 cañones cada uno por cuenta de D. Mi oportuno, zelar sobre que se cumplan sus reglamentos ó estatutos, guel , con el objeto de apresar una fragata de D. Pedro que está á proponer la modificación ó Variación de estos cuando lo conside punto de salir de Gravesend. (Sun.) ren útil, y ejercer en fin la vigilancia que sobre todos los estable ____ El encargado de Negocios de Bélgica y el príncipe de Talleycimientos públicos corresponde al gobierno, de quien lo…</t>
  </si>
  <si>
    <t>…nca en la historia del.género humano se verificó tan rápida transición. » ' . ‘ 7 ■ meración-, repitiendo siempre la aclaración del antiguo, a fín dfe evitar dudas 'y reclamaciones. De orden, de S. M lo, comunico á la,conducta de D. Pedro ha tidp en esta ocasión sábia y digna de elogio. Moderado en la victoria, esperamos que continuará en la misma línea de pru V. E. para su inteligencia y efectos correspondientes a su cumpli dente gobierno, y que se esforzará en sanar las heridas abiertas en el seno de su miento. Dios guarde á V. E.…</t>
  </si>
  <si>
    <t>…de los ela, para que presentase lós documentos justificativos de su aptitud legal, y ha poderes dei Sr. Palarea; porque si se conforma el Estamento con el dictamen ciéndolo ahora de una escritura de cesión y donación otorgada por D. Pedro de la comisión de no aprobarse, queda decidido el punto; mas su delicadeza, y Regalado y Soto, y su esposa Doña María de Andrés, en favor de su hija la precisión en que se halla, cuando se trata de personas, de obrar con el mi t)oñz Marta Brígida de Soto, esposa de dicho Sr Palarea, de una casa cuyo rami…</t>
  </si>
  <si>
    <t>…conozcan por base las ga son de naciones que se consideran mas adelantadas que U nuestra , será bueno rantíale una.ó mas personas, sino medida» útiles que no puedan ser alteradas citar otros de la Constitución portuguesa dada por D. Pedro, la que también pi destruidas por nadie; porque no es solo cl Gobierno el que atenta- contra se ha fundado en los misinos principios que en el dia e&gt;un vigentes y se ob las le&gt;es, sino que también hay representantes de su pais que están, como to- servan. En el artículo 41 de la Carta constitucional…</t>
  </si>
  <si>
    <t>…etermente. ¡(Courirr.') ' . minadatodos los poderes que deben existir en j:l Estado , yno,. ha ___L,Corren Tumores que'lord Howard'de'Walden pedirá al Em biendo admitido las asociaciones ,’resiilfa de ello natural y necesaperador D. Pedro la fnudanza de su actual ministerio, y que la •riamehle^.que solo..puede autorizarlas el gobierno. Luego ¡no son respuesta del Regente será &lt;jüe no tiene dificultad en hacerlo , mien de derecho natural: son solo consecuencia de la tolerancia que el tras la Inglaterra se preste a las siguientes garantí…</t>
  </si>
  <si>
    <t>…censura que hace , ni es irónico ni caustico, contra su estilo natural. NiebalUn opiniones pblíricas. I solo en las comedias de Lope los.defectos que critica; eran generalestoó* Se aseguraba la entrada en Chaya de las tropas. de D. Pedro, al mando de los dramáticos de su siglo. Para encontrarlos, bastábale á Cervantes leer sus.pro D. Víctor Val ver de; el cual' qbéda ílli de gobernador, reuniéndose mucha pias comedias. Si estaba instruido en las reglas del arte, y las despreció cuando gente de militares y paisanos. componía, hizo,…</t>
  </si>
  <si>
    <t>…Duque, y donde se verán grabados sus principales hechos de armas, como un tributo de admiración de parte de sus conciudadanos. ITALIA. Dicen que los miguelistas conde de San Lorenzo y conde de Ega que fue ron á palacio para ver á D. Pedro, recibieron órden de no volver mas, pero Florencia 10 de Junio. se les aseguró que quedaban comprendidos en la amnistía. Acabamos de recibir noticias de Nauplia, cuyo contenido en sustancia es Se asegura que los únicos bienes que posee ahora D. Miguel en Portugal, el siguiente: consisten en una peq…</t>
  </si>
  <si>
    <t>…oblema inexplicable para la única clase que pudiera El JfaK dice que parece indudable que el duque de Leuchtemberg, hermano; resolverlo con datos tomados de su experiencia; penique al descrédito de ios tra de la augusta esposa de D. Pedro, es el príncipe destinado á casarse con la bajos del arado, que ocasiona el mal suceso de las Cosechas; á las prevenciones Reina de Portugal. que á su sombra se fomentan en favor de la pastoría; es preciso añadir por col mo de males esa dependencia, en que vivimos del extrangero por todo el consu —…</t>
  </si>
  <si>
    <t>…leados verdaderamente instruidos, porque entrando á medades que aquejan á la guarnición de Santaren han debilitado servir sin conocimientos, adquieren solo hábitos de rutina, ha te mas las fuerzas, de D. Miguel que los ataques de D. Pedro, no solo nido á bieruS M. resolver que en las oficinas de Propios no se ad por los soldados que han perecido, sino también por los que han mitan en lo sucesivo escribientes, sino como meros temporeros desertado huyendo de la muerte. en caso de urgencia, 7 nunca meritorios, aunque sea sin sueldo. __…</t>
  </si>
  <si>
    <t>…um. 25.) - Ideales decretós aumentando ttes plazas de tenientes de villa de. Madud.y ____. sobre el derecho de puertas que debe pagar el azúcar refinado -procedente: : 'CQnfiti^ndolas á D-. Julián Sojo, D. Santos López Pelpgriu y D. Pedro ji- , de fábricas del reino. (Id.) ^ . . 1 nienez TjTav^rro. (Wm. 19.) sobre liquidación de suministros hechos por los pueblos y pago de con _ u - ___supilmitndo los juzgadas de provincia de Madrid. (Id.) tribuciones atrasadas. (Id.) __Lreponiendo á D. Francisco Fernandez del Pino en la plaza del C…</t>
  </si>
  <si>
    <t>…cuento venir con la Reina, en tacina opwfuia y por tierra, á visitar las provincias del Norte, y con este Parte sanitario. motivo volver á tener el placer de pasar algunos dias en esta heroica rñ.rfed, Oporto 27 de Julio de 1834-=D. Pedro, duque de Braganza. (Ü) Pueblos Din. Enfermo*. Curados. Fallecidos; Bcnaocaz............. 14 i 20 de Julio. 19 5 t ESPAÑA. Grazalema.......... 7 á 20 Idem— 501/ 4112 508 Madrid 5 de Agosto. Jerez déla Cao motivo de los (fin de S. M. nuestra augusta Recta Gobernadora y Frontera............... 2 á 28…</t>
  </si>
  <si>
    <t>…los Eugenio, que nació en 9 de Diciembre de 1810, joven rico, instruido del primero. . y amante de las libertades públicas; su hermana mayor Josefina casó en 1823 con Oscar, Príncipe heredero de Suecia y Noruega, y la segunda con D. Pedro duque de Braganza , Emperador qué fue del Brasil y regente del reino de rolsa de comercio—Cotización de hoy i lees tres de la tarde. Portugal. (Catatan.) ' RFECTOS PU.LJCOS. • í* 1 *■ Inscripciones en el gran libro k 5 p. 100» 00. Títulos al portador del í p. 100, 58 y 58| k varías fs. 6 roí. Madri…</t>
  </si>
  <si>
    <t>…que tendrá la efigie ó retrato de la Reina y subteniente graduado D- Remigio Molió, y mis ayudantes igualmente el te nuestra Señora con la inscripción en el contorno Isabel ii, Reina liíEspaSa niente graduado de teniente coronel D. Pedro 5amanicgo,y el teniente gradua t es las India»; y en el reverso un letrero ó inscripción laureada que diga do de capitán D. Luis García. Mari a Cristina de Borbon, Reina Gobernadora , á N. (que será el nom Finalmente los comprendidos en las adjuntas relaciones conformes á las bre del que obtenga el…</t>
  </si>
  <si>
    <t>…as 163 voluminosas escrituras «Señores: repito que cuando digo vosotros, no es de vosotros sueltas en pergamino, de la colección del Sr. D. Jaime ir, y 23 personalmente de quien hablo: es de vuestro partido. No es hoy la de la de D. Pedro t, reuniéndolas en tres tomos ó cartularios, que primera vez que vosotros y vuestro partido representáis este papel se hallan próximos á pasar á la encuadernación. en la historia de nuestras instituciones y de las leyes de nuestra Se han continuado asimismo, por su órden cronológico des patria: no…</t>
  </si>
  <si>
    <t>…as que mas han ensangrentado la Europa; y en cuanto á nos les. Renta al 3 por ciento 21. Empréstito Real de España 28. Renta perpetua otros nos han ocasionado porfiadas luchas con una nación vecina. Los reinado» de D. Juan 1 y de D. Pedro ív comprueban bastante esta verdad. La calami4* id. 28$, Una carta de 5 del pasado de Mazalquivir , provincia de Oran, dice lo si- tosa experiencia, por ja cual acabamos de pasar, reclama con justicia que se es que sirven siempre de pretexto a ambiciones domésticas y á pretensiones exfílentela sang…</t>
  </si>
  <si>
    <t>…a suprimirse. Pero supongamos que se apruebe el art. 3.°; yo opino con el esta ley había precedido una gran anarquía por la disputa al Trono entre él y Sr. Latorre que no está bien redactado: creo que el adjetivo perseguido no es D. Pedro el Cruel, y tampoco hubo motivo para que se pidiese su abolición: tá bien. En segundo lugar creo también que en estas materias convendría adop con estos ejemplos queda demostrado ha^ta la evidencia que no solamente debe tar en vez del tiempo presente el futuro. Aqui estamos hablando de una base est…</t>
  </si>
  <si>
    <t>…romper la justa coyunda de la ley. Combst.ré con conocer que estaba sumamente hollada la segundad pcisonal; y asi es que (to tanto valor á la anarquía como á la arbitrariedad. mando un ejemplo de la misma época que se ha citado) D. Pedro el Cruel no ■ Dije , si mal no me acuerdo, que estábamos en la ocasión mas oportuna solo no la respetaba , sino que llevaba delante de sí á un macero, que alguna para poner en ejercicio los derechos incluidos en la petición, y que era preci vez hizo de verdugo, para ejercer despóticamente su volunt…</t>
  </si>
  <si>
    <t>…vuelcos y caídas. Este es el carro de Isxentonces tenemos un ejemplo á 1* mino dé qué valernos , mas adecúáíloi las bkl ii: brillante , porque recuerda, los días de gloria-de nuestros mayores; circunstancias presentes que los de D. Pedro el Cruel y O. Enrique de Trís- firmé, porque se apoya en la Nacioñ, y no en un partido; Camina recto,á un tamára. Cuando tenemos un artículo semejante en aquella Constitución , y tan fin, y conducido con firmeza llegará á su téimíno. ■ tos ejemplos qué citar de los efectos que produjo; ejemplos no…</t>
  </si>
  <si>
    <t>…luña. Fue tam- pe D. Sancho; si el hq * de Doña Leonor de Guzman,¿ pe«r de U üegiiim • ‘ bien su nombre el que continuamente se oía enlazado con plañe* de usurpación dad de su nacimiento, fue preferido ai legísimo sucesor del Rev D. Pedro, se meditada, y de futura tiranta. No fue un secreto la conducta del Infante du hizo por la exigencia y conveniencia pública, manifestando la decisiva volun rante «i residencia en Portugal, ni lo fueron tampoco los frívolos pretextos, (os tad dr hs Córte». subterfugios poco decorosos con que eludía…</t>
  </si>
  <si>
    <t>…ios que se entablen después de publicad» la abo quez Osorio, á D. Jorge Martines, í D. Ramón López Vázquez; lición del Voto, á virtud de pactos ó convenios anteriores, se sus-/ para alcaldes del crimen á D. Pedro Gómez Hermosa, á D. Pedro fáticiárán en igual foVma áttte los mismas jtízgádos ordinarios com- Regalado López Montenegro, á D. Vicente Sandino, áD. Francisco Tames Hevia, á D. José María Pardo Montenegro; ¡y para fiscal á Los actuales individuos deí venerable cabildo de la Sáiita D. Juan Bravo Murillo. Tendréislo entendido,…</t>
  </si>
  <si>
    <t>…amento la base de esta conversión de deuda pasiva en activa; pero no a las leyes del reino, permaneció en el trono que manchó primero con la sangre adoptarla en Vos términos en que está, sino con algunas modificaciones que con de D. Pedro el Cruel, muerto á sus manos. Felipe v recobró por esta misma ciben la posibilidád de la nación con el ínteres de los que tengan créJ*lo$ de autoridad lo&gt; derechos que había perdido por la renuncia que hizo su abuela tal especié. Esta misma idea de conciliar ambos extremos fue la que impulso a Dofí…</t>
  </si>
  <si>
    <t>…os con algunas notas por el edi en el pueblo de Pórzuma que en la majada y Sidra de Citoleros se hallaba una tor, y de este adcniqS úna tabla cronológica de los reyes de Castilla y dé Leoii, desde Sari Fernando hasta 1» muerte de D. Pedro el Cruel, y un extenso prefacio en que se facción, marché inmediatamente á dicho punto; y no habiéndolos encontrado, discorte acerca de lo» Gobiernos, y eü particular del dé Bspaña de fa edad media, con desplegué dos guerrillas, una al mando de L^Jy ícente Lobato, teniente del investigaciones curio…</t>
  </si>
  <si>
    <t>…: lodos a mas tardar deben salir df Lisboa de 3 de Fe-breve.') mañana, y compondrán de 22ou á 24bO hombres, Jos cuales con 12$de bue ------ Con fecha de ayer í las tres de la tarde nos escriben desde Cartaxo lo na tropa'que tiene D. Pedro frente de Santaren, compondrán un total de 14 que sigue: á J 53 hombres.*' /; :: .*• ,j’ . r í. . • ■. ? -'zí ..... r EN LA IMPRENTA REAL</t>
  </si>
  <si>
    <t>…al Mediodía se ha diferido hasta el año que hablado sino de una sola bancarrota', y de poca importancia. Se ha negociado- viene. El Rey se propone visitar los sitios Reales de Compicña, Amboisa y poco con los fondo» portugueses. D. Pedro ha hecho librar sobre Lóndres gran Fucnteuebló durante el mes de Setiembre. número de letras de cambio, y para pagarla» ha sido necesario emitir una can tidad muy considerable de papel portugués. Esta circunstancia explica la baja S- Icé etf el Feo de ia iíaute- Áfarrie i que han experimentado los…</t>
  </si>
  <si>
    <t>…Proceres: ademas me parece que el Sr. Secretario de Ha tarse por el pago. Esta máxima nos llevaría muy lejos, pues conduciría 4 que cienda , 4 quien ruego rectifique mi idea , il no es exacta, manifestó en la dis se aprobasen por D. Pedro las deudas contraídas por D. Miguel; y 4 que nos cusión anterior que no convenia hacer diferencia «ntre la deuda francesa y la otros pagásemos las que pudiese contraer D. Cárlos. inglesa, ni manifestarse mas favorables 4 una que á otra.” «Ademas el hecho es que hay reprobación anterior de parte del Gob…</t>
  </si>
  <si>
    <t>…rque nos parecen" una prenda segura del espíritu que'animará á todos ía haber escrito últimamentoél gobernador al ex-Consul en esta plaza, que lejos los ciudadanos en el resto de la Francia. de haber admitido las proposiciones de D. Pedro, que acababan de hacérsele, las había mirado con el desprecio que merecían... D. Pedro ha tratado á sus, enemi ___ .Él Cmjtiiueintfal dice que los gobiernos absolutos de Europa deben estar gos con una generosidad sin ejemplo, y el gobernador de Madera queda pon ti en vela. El lenguaje allaneró que…</t>
  </si>
  <si>
    <t>…s rico legado.......Mandó —Brasil con toda laReal familia, adonde llegaron el 7 de Marzo de 18u8._____ que su corazón fuese depositado en ia ciudad de Oporto: todas las glorias de En este nuevo imperio empezó la educación del Sr. D. Pedro, confiada aqucJlíTIiéróica ciudad producen menos envidia que esta honra—..... Tiranos, á los cuidados del honrado y erudito Juan Kademack, y los rápidos progre estremeceos!.........La libertad tiene una fortaleza inexpugnable. sos en sus estudios manifestaron que el jóven Príncipe [poseía el gérmen…</t>
  </si>
  <si>
    <t>…nza. ¡Qué derecho tenían los extrangeros para tratar de la sucesión de Es Citó al efecto los ejemplos de lo sucedido con ios Reyes D. Sanchorel, Noble, paña! El mismo que tuvieron para esparcirse por la Nación española y destruir D. Pedro el Justiciero y el mismo D. Alfonso el Sabio , cuyas resoluciones su libertad. Tan cierto es que cuando se reúnen los Monarcas absolutos, rara no confirmaron las Córtes, eligiendo otros sucesores que los por .ellos señalados. vez causan la felicidad de un país. Por último , después de manifestar lo…</t>
  </si>
  <si>
    <t>…que el de cerrar la puerta y la mas pequeña rendija ¡á los desastes fico la capitulación de Evoca-entre el ejército de Ó. Miguel y los generales de la guerra civil: Deseo, petes; que conste en el *cta, qué.qs suficiente .decla de D. Pedro, en ese miaño momento nuestras tropas es,tabana muy pocas le ración para .que se sepa cuál ha sido &lt;1 objeto que ha motivado aquella.” . guas; pero no pudimos reclamarle porque se acogió ai pabellón ingles y se El Sr. conde de Toreno: «Lpjos de opppcsae el ¡Gobierno á ly ándicapiott embarcó-en sus…</t>
  </si>
  <si>
    <t>…ones po nuestras armas; asi que con el rápido y feliz desenlace de la contienda se ase líticas para dar á su abrigo seguridad y ensanche á las relaciones mercantiles, guró la suerte de aquel reino, S. M. se apresuró á reconocer á D. Pedro it co todo convenció á la augusta Reina Gobernadora de que CTa llegado el mo mo Emperador del Brasil; teniendo i dicha hallar tan en breve ocasión de es mento de reconocer á la Bélgica en calidad de Estado independiente, y con trechar relaciones con dos ramas del mismo ilustre tron^g* tanta mas raz…</t>
  </si>
  <si>
    <t>…á las miras del supremogobierno.— •‘Augustos y dignísimos señores representantes de la 1180100: al cerrar la . Jorge JE. JL Tomqúist. presente-sesión de «la asambleagcncral legislativa, la Regencia en nombre del Emperador y Señor D. Pedro ai, debe .agradeceros los trabajos que han sido, FORTUCAÍrjbjetó de vuestras deliberaciones, y que manifiestan á-ia nación brasileña cuán to -se empeñan sus legisladores en afirmar nuestras libres instituciones, y en £iS§oa‘7dc Dúsemire. promover la prosperidad; común. •&gt;La importartte lvv dé las r…</t>
  </si>
  <si>
    <t>…ble: el de El 3 del corriente reinaba en la comitiva del Pretendiente en Villa-Real la opinión de los vecinos socamente una, que puede fijarse en la de umon inal la mayor inquietud, que^se atribuía á las ventajas de las tropas de D. Pedro so terable á la metrópoli, adhesión intima á S. M., v promover tod&lt;« los medios que tiendan á la prosperidad de la provincia y al bienestar de lo* vecinos. Conbre Leiria, y á la desmembración de las fuerzas míguelUtas del bloqueo do la mayor complacencia tengo el honor de hacerlo asi presente a S.…</t>
  </si>
  <si>
    <t>…El Ministro Secretario de Estada y del y avisos. ? Despacho de Hacienda lo tendrá entendido, y lo hará ejecutar* Se han rectificado las elecciones de los ayuntamientos, y se han Palacio de las Necesidades á 22 de Marzo de 1834- = D. Pedro, dictado providencias enérgicas para desterrar abusos envejecidos y duque de Braganza. = José de Silva Carvallo. ( Crónica constitucio para que se cumplan las Reales órdenes sobre la libertad del tráfi nal de Lisboa.') co y justa inversión de los fondos. ESPAÑA. Por lo que hace á la salubridad públ…</t>
  </si>
  <si>
    <t>…) nunció al entregar dicha ley al Sr.. Duque, y la contestación que S. M. L se ha bía dignado dar á la diputación. __ __$e ha publicado el decreto siguiente: Se dió cuenta del dictamen de la comisión encargada de examinar la pro «D. Pedro, Duque de Braganza ¿cc.: Hacemos saber á todos los súbditos' puesta hecha por la Cámara de Diputados respecto á las alteraciones que se de S. M. que las Córtes generales han decretado, y Nos hemos aceptado la sideben hacer en el decreto de 23 de Julio próximo pasado, por el cual se esta euíente ley…</t>
  </si>
  <si>
    <t>…ondiciones del ma trimonio propuesto por S. VÍ. I. el be. Duque de B aganzi, de feliz memoria, PORTUGAL. como Regente de Portugal, entre La muy alta y muy poderosa Señora Doña María n, Reina de Portugal y de los Algarves, hija de D. Pedro, Empera Lisboa 3 de Diciembre. dor del Brasil y Rey de Portugal, Duque de Bntganza , y de la Emperatriz Carolina Leopoldina, Archiduquesa de Austria (Q. D. T. E. S. S. Cj.), v CjÍuara he tos diputados__ Sesión de 30 de Noviembre. S. A. R. el muy noble y muy excelente Principe Augusto Carlos Eugenio…</t>
  </si>
  <si>
    <t>…aim de M*u- '3 capasun capote jáe mqntae . la áprehénsion ds tur fiícciosó y’potcion éi púa y.^ ^ ron.dignm de la clemencia Real, qt trÜwnat pelea;fco,,SP..déMcomendandpla.cqmpafiiael expresadodé Urbanosoficialde Lóa»eel ^mérito, D. Pedro;que hanCowasaVcontátidoa! de elis isma clase de la de Huetca Romualdo Repoe’-lcs, el y rbaño de Arqujs Dop ‘mJ'dkx? dfWIW «Me«ció t« iswpende ¡mu saber el resulta tperciq Royez, y .los paiwnoi juan José J^ jijtavajrq; y Gabriel ron que se Faga á S. M. - - - .-i ' • ■■■ &gt;' fMisa, pues todos ello* sé…</t>
  </si>
  <si>
    <t>…0, impreso de órden superior en 1796. a 3 rs. rama y 4 rústica. Tegner. 1" ------Ordenanzas de las armadas navales de ia Corona de Aragón, Aprobadas por el Rey Pertenece al poéta Runeberg una composición muy notabtf, titulada ¡os D. Pedro el iv, año de J354- Van acompañadas de varios edictos y reglamentos pro Catadores de--Dantas, que-viene á ser uij idilio'por el «Tilo de Hcrmmn y mulgados por el mismo Rey sobre el apresto, alistamiento y armamento' Reales y &lt;fe Dorotea, donde hay una descripción muy pintoresca, sr bien demasiado m…</t>
  </si>
  <si>
    <t>…a paz: la marcha de los negocios ha mejorado mucho des El presidente de la diputacion de la segunda Cámara ha dirigido el si de el advenimiento de los nuevos hosgpdares. Todos'fijan su atención en el guiente discurso al Emperador D. Pedro ii al presentarse la ley de reformas: Occidente, donderia España y el Portugal son teatro de importantísimos su «La Cámara de Diputados, después de haber llevado á cabo las reformas cesos; los movimientos de la bolsa de París son también en este momento los de la Constitución del imperio, nos envía…</t>
  </si>
  <si>
    <t>…den dre la Reina Gobernadora, é igualmente S. A. la Señora Infama ciales el 14 de Febrero al ministro de Negocios extrañecros del Brasil. El 18 Doña María Luisa, continúan sin la menor novedad en su impor se presentó al Emperador D. Pedro n y á la Regencia. tante salud. De Real orden lo participo á V. E. para su satisfacción y para los efectos oportunos. Dios guanleá V. E. muchos años. S. Il ------ El encargado de Negocios de Bélgica en Lisboa , M. Serruys, ha presen defonso 12 de Julio de 1834.=Francisco Martínez de la llosa,=Sr. S…</t>
  </si>
  <si>
    <t>…países, ño solo del cuerpo diplomático residente en Rio Janeiro, el dia 7 de Setiembre, ani para saber $u existencia, sino también pifa protegerlos cuando sea necesario, versario de la independencia del Imperio, ante $. M. el Sr. D. Pedro ii, Em encargo á V. que anuncie á todos los brasileños residentes en.......... que no de perador del Brasil. * clararen en el registro que V. deberá abrir al efecto, sus nombres, moradá y Señor: »E1 cuerpo diplomático tiene la honra de renovar á V. M. I. su demas circunstancias que á .V. le parecie…</t>
  </si>
  <si>
    <t>…ntificada con el amor mas puro hacia V. M., hácia esperanzas de un porvenir halagüeño. ese tierno vastago que se muestra como una Aurora luminosa que tantos recuer ____^Sabemos que unos 10 belgas han ido á reforzar el ejercito de D. Pedro, y do» acompañan , que rantos prestigios rodean, cuyós derechos ha consagrado la que con ello* Tan cerca de 2ÓOO libras esterlina*, en barra* de plata v letras pa razón , la naturaleza y las leyes fundamentales de la monarquía. En vano la gaderas en Li»boa. También se asegura que la» autoridades de…</t>
  </si>
  <si>
    <t>…sólo serán juzgadas’una» 6i&gt; personas* por Se han recibido noticias de Portugal por el Pike que salió de Lisboa el 15 que la conspiración parece limitada á la sociedad de los Derechos del hombre. y llegó i nuestras co.tas el 25. D. Pedro en bnion cop sus ministros trabays sin Sin embargo un incidente ha ocurrido que puediera agravarlacriminalidad del descanso para reparar los males causados durante la dominación de £). Mi proceso, y que consiste en hallarse complicados varios oficiales subalternossW guel. Lo» hab lantes están conte…</t>
  </si>
  <si>
    <t>…ones del ministro patriota, y que no experimenten la suer ticos de la corte de Lisboa. El ministro de Hacienda declaró apte las Cortes, te que hasta ahora han tenido entre nosotros todos los proyectos que'«o ea-* viviendo todavía D. Pedro, que se había dado orden para satisfacer Jo que se caminaban al bien público; desprecio y olvidol adeudaba á los oficiales y soldados de la Gran Bretaña, y en efecto asi se dis (Crazeta do Governo.) puso. Ahora, á pesar del cambio parcial ocurrido en el ministerio, las mismas providencias han conti…</t>
  </si>
  <si>
    <t>…de lo Interior propusiesen la me de V. M., que tuvieron la honra de acompañar los restos mortales de su ín dida que estimasen justa; y conformándose S. M. con su dictamen, se ha ser clito Libertador, muy alto y muy poderoso Señor D. Pedro, Duque do Bra vido resolver en 11 dei corriente que las vacantes que ocurran de mozos, pa ganza , augusto Padre de V. M-, en su tránsito por la ciudad hasta la iglesia lanquines y domas operarios para el servicio do los muelles de Sevilla, los pro de S. Vicente de Fora, y de los cuales una diputaci…</t>
  </si>
  <si>
    <t>…defender S. Román, marques de S. Martin de Hombreiro, obispo de Huesca, conde de la costa que media entre Cádiz y la ciudad de S. Fernando , sostener el fuego Pri«^ü"ef!róa?qétSJde'Sti."'CT,aí , marques de Sta. Cruz y S. Esteban, D. Pedro en todos los puntos con el mismo denuedo que las tropas mas disciplinadas. González Vallejo, conde de Ofalia , duque de Bailen, patriarca de las Indias, •&gt;En el año de 1823 la heróica Milicia nacional de Madrid regó con su ' marques del Cerro de la Cabeza, conde González Castejon, conde de Guaqut,…</t>
  </si>
  <si>
    <t>…^de todos tos príncipés y digniflades' dé ta^Tglesia puso el birrefeAirtliñalicíbá monseñor Jacobo Monico, patriarca de Vcued3» conforme á lo resuelto por el Sacro ____ Hé aquí la amnistía que acaba de conceder S. M. el Emperador D. Pedro, Colegio en 29 de Julio de 1$33. , regente de Portugal. - j, ; | "■ x . \ t y; * ; j Concluida la ceremonia pasó el Santo Padre con su comitiva á la capilla »Deseando dar una prueba irrefragable de los sentimientos de amor y de Sixtina, en donde el nuevo cardenal prestó juramento en manos de los Em…</t>
  </si>
  <si>
    <t>…de S. Juan de Acre; pe ____ El Monitor ¿el Comercio expresa su satisfacción por haberse reunido las ro es evidente por lá fecha que esta noticia carece de fundamento, ó á lo me Córtes de Portugal, y considera la prontitud con que D. Pedro ha cumplido nos es exagerada.” (D. de los Debates ) su promesa de dar al país un gobierno representativo, como una prueba de que D. Pedro ha conocido perfectamente los deseos del pueblo, y que habiendo ____ El último número de la Gaceta de Estado tarca contiene por la primera concluido su carrera e…</t>
  </si>
  <si>
    <t>…ierto que S. M. ha aceptado la dimisión de MM. Guizot, Thiers, para socorro de los pobres en aquella capital ha celebrado unas solemnes exe RJgni, Duchatel, y Humann. quias en la iglesia' de Santa Isabel por el eterno descanso de D. Pedro duque Se aseguraba esta tarde que el nuevo ministerio lo componen las personaos de Braga nza. Esta memoria fúnebre ha sido en reconocimiento de haber hecho siguientes: conde Mole, presidente del consejo, y ministró de Negocios extrañ D. Pedro una fundación para los huérfanos de Munich de un capital…</t>
  </si>
  <si>
    <t>…o. De Real orden &amp;c. Madrid 2S de Noviembre de 1833.=Marti- mas. El número de prisioneros fue escaso con respecto á la fuerza de la guarni nez.=Srcs. directores generales de Rentas. ción; pero esto dependió de que los soldados de D. Pedro entraron con tal fu MINISTERIO PEI FOMENTO GENERAL PEI REINO* ror en la plaza, que durante algún tiempo no dieron cuartel á nadie. T ni papeles públicos de Malta anuncian que se esperaba allí Ja escuadra Real drden. sir Pulteney Malcolm á excepción de los navios Alfredo y Madagascar. F1 gobierno de…</t>
  </si>
  <si>
    <t>…¡o, dias Je &lt;, dio del Excmo. Sr. capitán general, su presidente. Lo decretaron y firmaron pesuion expresada con la c¡uun-pc-sA&gt;n i.-e ex i u:i ay.;r.t(» üc t . dichos Sres., de que yo el secretario certifico.rrFranctsco Ñuño. = D. Pedro y pide la humanidad, sin eauar n,o in. ■ r.1 &gt;»; &gt; d.. .1 ,i ..o ijuc t;n.! n ■ María de Leon.nD. Josef García. = Antonio Melii?o.=: Antonio Ortuño.:=An- que la que es inevitable; pero i’acilitand' .Uo anude» que mas cue tonio Gallcgo.zrCi Utóbal Rodríguez.^Francisco del Cid.=Josef Sánchez. Lo necesa…</t>
  </si>
  <si>
    <t>…nester toda la persuasión de Silva Carvalho pa Reales órdenes. ra obligarle á aceptar el mando; y sabemos que este ministro dijo Exento. Sr.: S. M. la Reina Gobernadora ha oido con gran al duque y á sus compañeros en presencia de D. Pedro: «déjanos KlisW-íálii!,.'' satisfacción el oficio que me dirigió V. E. desde Guadix, tan lue «por Dios nuestras misereóles disputas y rivalidades; obremos de go como recibió el aviso de su nombramiento para la subdelega- «concierno hasta exterminar al usurpador y á sus gavillas: despue cion princip…</t>
  </si>
  <si>
    <t>…momento di Joda la extensión de la carrera, la cual era compuesta del destacamento que da cha suma en nuestras manos; y aun no hablamos empezado 4 distribuirla cuan i esta ciudad el regimiento de Galicia, al mando de su teniente D. Pedro do se reparó la donación perfecta que hizo en favor de nuestra augusta Sobera Palma ; de. la compañía dejniljcias provinciales de caballería de Wajay al de na» nucatra Reina Doña I&amp;a*ei ii ,.que- dió lugar á que esu corporación gus» JU teniente D. Cirios Grillo, y del S.° escuadrón de la milicia rutal…</t>
  </si>
  <si>
    <t>…n á ellas calculan sus ventajas, y salen luego «Se ha dicho que no deben reconocerse los empréstitos dé la época pasa del compromiso pasando el papel á otras manos, que suelen ser las victimas. X da, fundándose en lo que ha hecho D. Pedro en Portugal. Ninguna semejanza' si .solo la presentación en el Estamento del proyecto del Sr. ministro de Ha-* ni paridad hay entre la situación de este y de Ísabbl ti. Aquel dejó í un her cienda ha causado en Paris una bajá tan considerable en nuestros fondos, {cuál mano en la regencia del reino c…</t>
  </si>
  <si>
    <t>…el Emperador de Austria en Bohemia ó en Moravia, y acaso acudirán y desgracias que hubieran podido originarse de una interrupción del gobierno. otros Soberanos de Ja Confederación germánica para asistir á conferencias re En esto D. Pedro obró como Monarca y como padre. También debe obser— lativas á los intereses de esta Confederación como gran Potencia europea. St &gt; yarse que si durante dos años ha. desplegado este Príncipe valor y actividad, to asta suposición fuera fundada, explicaría el silencio que ha reinado hasta ahora davía…</t>
  </si>
  <si>
    <t>…pre Sr_—Pnr ausencia del teniente hermano mayor, el maestro fiscal Alonso Hol sentar su$ credenciales por hallarse enfermo hace algunos dias el ex'Emperador gado Motezuma.=El secretario interino Fernando Valdivia.=:Excmo. Sr. pri D. Pedro, y según se dice, la enfermedad ha sido de cuidado. mer Secretarlo de Estado y del Despacho. . T.a última asonada.de París parece haber sido despreciable; y aunque noS puede dudarse que hay en aquella capital un partido radicalmente innovador,! S. M. ha admitido con particular apreció la exposición…</t>
  </si>
  <si>
    <t>…á una ciencia ó arte, en la cual es taban convencidos de que harían grandes adelantamientos obliga El mismo capitán general con fecha del 13 dice que las tropas dos por lá necesidad de mantenerse, á seguir otra profesión menos de D. Pedro que ocupan la provincia de entre Duero y Miño per adaptable á su gusto y quizá á sus disposiciones. manecen en Amarante como punto mas avanzado, y al frente tie Todas estas reflexiones prueban que, á pesar de algunos casos nen, aunque en corto número, tropas de D. Miguel. En Braga se extraordinario…</t>
  </si>
  <si>
    <t>…cru- 'dtíleij dé S. :Müo comunico todo á V. S. inteligente»' &lt;¿íadá ctótUatílas instituciones de los pueblos libra. , i , y efectos correspondientes-á sii cltdípáinifiento. DioSÍofetJ^'Mtidríd 4ft '■ .V %a nt$fÍ5tíéTc&gt;nccdida por D. Pedro producirá sin duda buenos efectos en de Junió de 1834. — Jbsé María MtistÜBrfde Altamira». ' r &gt; í. ■f’ortúgalrjiuer'sus artículos son ámplios y satisfactorios; pero-tememos ,qUe d ••••'5 1 r........ 4 ¿ ; euadoidé rrritacion de la opinion pública por la memoria de recientes actoi no inspire poca c…</t>
  </si>
  <si>
    <t>…nto sobre la administración de minas, cuyo importe de Velasco, oidor de la expresada audiencia; á D. Alonso Ramón será pagado inmediatamente en S. Petersburgo. En ninguno de los do* caso» se Rubio; i D. Fermin Ladrón de Cegama; á D. Pedro de ]Nava; á hará deducción alguna por el trasporte y la conversan. {Boersen-Halle.) D. Félix Pablo Portal, alcaldes del crimen de la misma, y á D. An drés García Drena, juez mayor de Vizcaya. SUIZA. Por otro decreto de" la expresada fecha se suprime por innece saria la plaza de juez mayor de Vizcaya.…</t>
  </si>
  <si>
    <t>…atria, en calidad de présta apoyada por los déspota» de) Norte y por esa sociedad que se llama itnscrva~ mo forzoso, reintegrable por cuatro años; es decir, que el que tenga 159 rea dura , que ha denunciado á la opinión pública á D. Pedro, siendo esta la mayor les debe dejar 15ÜU rs. Esa ley por cuatro años nos proporcionaría un grande dificultad para que D. Pedro triunfase en Portugal; de e»a facción, repito , que desahogo. Es necesario aliviar á los pueblos, pues tenemos medios para hacer llamamos carlina, y que ha tomado el nombr…</t>
  </si>
  <si>
    <t>…iento cua mos vuelto al derecho común y restituido nuestras antiguas leyes renta , incluyendo cuarenta Flamencos, Franceses, é Italianos pa fundamentales ? Cuando los ánimos, libres ya de las ilusiones de la sados del servicio de D. Pedro que he admitido en el de V. M.= gloria militar que tan caras nos han costado , propenden no solo en Dios guarde la vida importante de V. Al. muchos años-reEbora 4 nuestra nación sino en casi toda la Europa á las conquistas útiles de Abril de 1834-:=Señc'r—A L. R- P. de V. M.reVicente Gon déla intel…</t>
  </si>
  <si>
    <t>…unción descubierta en. 1853 , y que había recibido mil Utvores.y. £tacjasT&lt;|^ - • S. M. se hat dignado exonerar del cargo de virey de Navarrrt al parte dél Rey r haya, ádo ejecutado. El Sr- EUnct sO: propone Lt 1 teniente general D.-Pedro jSqr¡&gt;field, y noihbrar para desempeñar evitar las persecuciones de nuestro gobierno (Lbrr. partifuiar^ ............. ? , aquel^estkio, con elirnándo del ejército-’de operaciones del Norte, tmkAMTA. al quedelien reunÍFft« ^ tropas del de Portugal qué matehan hacia el'Bbrov di tetiienté'géiiéral D.…</t>
  </si>
  <si>
    <t>…iodistas del. partido con lada por la ley. servador que no abandonan la esperanza de ver á la Península sumida en el Muchas veces hemos hecho justicia al ministro de la Instrucción pública, desórden y en la guérra civjl, y de que D. Pedro gobernará malamente el Por que procura á costa de los mas laudables esfuerzos, derramar los conocimientos tugal , á pesar de tanto como ha contribuido á asegurar irrevocablemente los elementales hasta en los puntos mas retirados de la Francia. Seria de desear que derechos de su augusta Hija. A la v…</t>
  </si>
  <si>
    <t>…ón militar que tenia bajo sus órdenes, con objeto galo asi! entendido el mismo ministro y secretario da Estado.'Palacio de Quede entregar el mando de ella á su sucesor interino. Apenas llegue Mr. de Er- fuz S de Agosto de 1834- = D. Pedro, duque de Braganxa.t=Benito Perciri lon■ as terminará y publicará el trabajo sobre Argel. Un consejero de Estado, do Carmo. Mr. Mactrel, miembro de la seccion de las colonias, trabaja hace algunos días Programa para la sesión régia dt *perrera dt los Círtts generales y extra en el ministerio*: la g…</t>
  </si>
  <si>
    <t>…ra encargado en ella bíernof recuérda los süóCsos de nuestra historia', y no encuentra semejanza en uno que esraba agregado á la embajada de París, tomando en cuenta su dase ninguno-de ellos..No recordará lo ocurrido en tiempo de D. Pedro el Justi y sus bienes de fortuna al señalarse el sueldo módico que disfruta. En awnr ciero, állá'ep siglos remotos;;mi- lo.ocurrido'en él reinado de Felipe u, i quien to al cónsul, debo hacer.presente que es un militar muy antiguo en su carre seguramente nó: podrá tachársele de;poco religioso; porq…</t>
  </si>
  <si>
    <t>…os refugiados en Franca. Ambos mlormes se mandan imn-imir v las batallas de Almoster y de Pernes ascendianá 1100. En todos los encuentros distribuir. los migúelistas han llevado Jo peor del combate , y solos cuatro regimientos de D. Pedro rechazaron á un cuerpo enemigo de mas de 59 hombres, que per Prosigue la discusión del proyecto de ley sobre atribuciones de k»s *vuntamienn s.dieron )o menos 600 entre muertos y heridos. D. Miguel perdió ai mejor de La Cámara, después de oír las observaciones que hacen los Sres. Mercier,sus oficia…</t>
  </si>
  <si>
    <t>…que se hallan obser vando la frontera de Portugal desde el confin de Galicia al de An Madrid 21 de Abril. dalucía &amp;c. Satisfecho de la buena conducta y honradez que distingue á la* Según noticias- del 6 llegó á Lagos ún vapor de D. Pedro, y valientes tropas de mi mando; del orden que han observado en las desembarcó 400 hombres de-Marina, que dejando las mochilas si marchas; ele su amor y decidida adhesión al benéfico gobierno de guieron á cortar las tropas de D. Miguel que se hallaban en el cas nuestra augusta y amada Reina Doña Is…</t>
  </si>
  <si>
    <t>…n en Inglaterra traten de volverse á su pais na ITALIA. tal. El primer síntoma de Ii ruina del ejército de D. Miguel, dicen haber na Roma 26 de Mayo, cido de la lectura del tratado de la cuádruple alianza que algunos oficiales de D. Pedro enviaron á otros de D. Miguel amigos suyos. (Globe.) El 13 de este mes dieron i la vela desde el puerto de Ñapóles , para ir á cruzar por el estrecho de Gibraltar, la fragata Regina Isabella , comandante — — Los papeles’ingleses hablan mucho de ciertos documentos publicados en los el Sr. Cosa, capi…</t>
  </si>
  <si>
    <t>…ncontraron el 19 de Junio al acercarse al golfo de Finlandia el afecto de todos los santurrones , á quienes han ofendido la violencia de lasuna escuadra rusa compuesta de un navio de tres puentes, seis de dos puentes y medidas de D. Pedro contra el clero y la confiscación de los bienes monacales. una fragata bajo las órdenes- del vice-almirante de Béllinghaussen, que pasó in (Mensajero.)mediatamente i bordo del Zeeun para saludar al augusto aspirante de marina y anunciar que había sido enviado para esperar al Principe y acompañarle…</t>
  </si>
  <si>
    <t>…a el 12, llegó á- Falmouth el miércoles siempre y propia del decoro nacional, en las comunicaciones con el Sumo Pon por la tarde. Todas las noticias que trae son muy poco interesantes, excepto la tífice. El reconocimiento del Sr. D. Pedro ir como Emperador del Brasil, y el de que está ya casi del todo restablecida ia salud de L&gt;. Pedro. Este Príncipe de ios Soberanos de ia Bélgica y la Grecia. Finalmente la interrupción de las ha hecho publicar de nuevo y pregonar por las calles de Lisboa las proclamas relaciones diplomáticas entre…</t>
  </si>
  <si>
    <t>…r á la guarnición y habitantes de esta plaza la gloria que, si de nuestra alegría: viva la religión, viva la Reina constitucio bien tarde, todavía nos quiso proporcionar la fortuna. Dueños de nal la Sra. Doña María u: viva el Sr. D. Pedro, duque de un punto importante por su posición, podremos hacer que se ex Braganza, Regente á nombre de la Reina: viva la Carta constienda (a autoridad de la Reina i toda la provincia, promoviendo titucional.=C,uarle\ en Almeida 18 de Abril de 1834- = Antonio y estableciendo el gobierno constituciona…</t>
  </si>
  <si>
    <t>…sala\ y habiendo pedido la pa labra , leyó, en nombre del gobierno, la siguiente proposición: w£n el testa Resulta del oficio que con fecha 18 del actual ha dirigido el presidente &lt;W mento que antes de morir jhizo-S. M. I. el br. D. Pedro, Duque de Braganza, la junta de Sanidad de dicha provincia, que no habiendo ocurrido invasión al se lee esta cláusula. Recomiendo á la generosidad de la naeion portuguesa guna en su capital desde el día lU del mes de la fecha, y no existiendo en. ell* á mi esposa y á todos mis hijos. El gobierna de…</t>
  </si>
  <si>
    <t>…ellos, pero resultad en beneficio suyo, y puede ser que este sea el único mientras que la duquesa de Braganza le trataba, por el contrario,'con el ma- . motivo qué se alegue. Íror miramiento, y no dejó de hablarle del afecto que D. Pedro -profesaba á La determinación de dar al proceso una nueva forma, no se ha tomado os ingleses. Cuando el almirante se despidió de la Princesa, esta le entregó un sin la anuencia del gobierno. Debe presumirse que aprueba este proyecto; sin medallón con un mechón de cabellos de I&gt;. Pedro. El general B…</t>
  </si>
  <si>
    <t>…r ñi contenido segbb’ótras noticias dé Mora qué korah, opilan Timoteo Stark , procedente de Lisboa en dos dias. Dice el ca habla recibida, manifiesta con fecha de ayer Í2 qué en' Téhlblóque yen todos pitán que todas las tropas de D. Pedro regresaban á Lisboa; que el dia 12 de los pueblos que lo rodean «e gota de perfecta tólud, y las justicias de ellos lo bían salir para Inglaterra en un bergantín ingles mercante unas 80 personas escriben asegurando hallarse tranquilos sus respeCtrVoS" Vecindarios, y en la pertenecientes al partido…</t>
  </si>
  <si>
    <t>…9J, í 6 rs rama, 7 en rústica y 13 pasta común. En:esta obra vindica al traductor prhrciptaria i perder parte de «u fuerza c que Roa, Araoda, Guróiel de Meé-**" Ja-Historia de Mariana cuando habla de Samuel Léví, tesorero del Rey D. Pedro el cado, xaníptiega,; VnlahriUa,-San Manes, Lcrrm, Villodrig©, AveHxDosa Justiciero, contra la.impugnación de los autores de la nota que se halla en la edición ei» hecha Valencia de dicha cap. Monfort. 17, en la pqr historia cual juzgan lib. ty. dal fóraro y Rcrfllá VaÜegera te hallaban invadidos d…</t>
  </si>
  <si>
    <t>…os, y supo grangearse la estimación de cuantos le trataron. Tuvo bastante votos por la felicidad pública. Palacio de Queluz 18 de Setiembre de 1834-= tacro para desechar las seducciones de ciertos jóvenes nobles, entre los cuales D. Pedro, Regente.» debe contarse el hijo del ministro Mr. de Lerdheufeid, que intentaban arras La lectura de esta carta produjo en la Cámara y en el público una pro trarle á los placeres de una vida disipada. Eligió por único camarada á un jóvea funda impresión. de Meclclemburgo llamado Wendsland , que lue…</t>
  </si>
  <si>
    <t>…ntes ha habido 15 muertos, lo cual asciende a mas del séptimo mirase como cosa imposible el triunfo de su causa, aun en el caso previsto de de la población total. Ha habido familias enteras en que no ha quedado un so la muerte de D. Pedro. . . lo individuo; y no se ha observado que hubiera clases mas ó menos castigadas H¿ aquí lo que dice el Diario privilegiado de JLuca del 26 de Se!¡e[libre. que otras.___ ________ _____ «Ayer noche, á las nueve y tres cuartos pasó por esta ciudad el Infante En el año de 1831, que fue muy húmédo71g~g…</t>
  </si>
  <si>
    <t>…as comocomo taltal osos competencompeten osos dirijodirijo lala presentepresente escritaescrita enen elel PalacioPalacio dede tentativas con el objeto de difundir el gérmen de la revolución en un pais Quetaz á. 12jle_Jimiq4e. ÍRS^D. Pedro, Duqjieudp. Braganza.m . tranquilo y feliz, y de pacer próselitós. Con estemotivo, muchas personas de Be nao Pereira (lo^Garmo.=I?ara T). Joáé Ramón Rodil', teniente ge lo interior del imperio hah-fécihídó filtimarnenté loj estatutos de la.'sociedad í de los Derechos Sel hombre yídel-ciodadano, -co…</t>
  </si>
  <si>
    <t>…ectado monu - I ri hecho si/nihv.i'¡v r domina por su imr^rt^ncia en las údfimu trartsacmento, que no importará menos de 2"Ó libras esterlinas. cones que han acompiñado á la nueva con,rruc-i'-n dei ministerio rn¿W*. El LttMfludde D. Pedro va mejorándose progresív imente: hace mucho e|-*r- Re y no ha l.j'r.ado .i í-'-s trns, ¡os brw ro-e han p'í'ent.tdoRev. Aque cicio á caballo, siempre que se lo permiten Us graves atenciones dei mando; llos nombres que asustan n^ i:?n silo pronun^umos sino p¡ r trn efeco&gt; de cari— pero so temperamen…</t>
  </si>
  <si>
    <t>…y mar comunicación. para-repeler cualquiera agresión externa dirigida contra la seguridad ó dignidad Art. 5'í Las mismas autoridades desplegarán la mayor actividad del Imperio y contra el trono de nuestro augfsfo Emperador el Sr. D. Pedro ir. para hacer observar las leyes y reglamentos de policía urbana e hi Los diferentes ministros y secretarios del Despacho os expondrán en sus giene pública; cuidarán-dél abundanterabasto-de-aliinentos sanos en informes el estado^y. necesidades de su6 respectivos ramos, y darán -una. co— los ;j&gt;ueb…</t>
  </si>
  <si>
    <t>…rca, que ta! 525. {MediL-nl G.izette.) han bajado tanto que falta agua en algunos pa ruges. Hace 25UO años la buecia y La Noruega formaban una isla. En 4$ años se ha alejado el mar dos mi ____ La noticia de la prematura muerte de D. Pedro que se nos había avisado llas de la ciudad de Pitea, y una de Loulea en 2&lt;L Cuando se fundó Tornea por conduelo de Portugal, acaba de confirmarse por las cartas de Madrid. Esto las embarcaciones grandes podían llegar hasta la misma ciudad ; ahora íe halla Príncipe há pagado el tributo común á todos…</t>
  </si>
  <si>
    <t>…para en' casó de derrota , y con la esperanza de la enfeudación de las conquistas po,dice el Globo, de esta suma de 12? duros, enviada voluntariamente á que piensa h^cet paga el apoyo que tanto aumenta su audacia. Nadie en el li D. Pedro por una señora viuda.; pero hasta hace muy poco; nó han sido co toral africano ignoraba estas cosas y no por eso hemos dejado de suministra r nocidas das circunstancia» relativas á este sucesos á aquel hombre emprendedor armas que volvérá contra nosotros á la primera __ ^_E1 Standard dice: «Se aseg…</t>
  </si>
  <si>
    <t>…completo reconoci Madrid 26 de María. * miento. A Us dos y media de este dia, por la tarde, llegó á nuestro costado Las ranas esperanzas de los enemigos del trono de nuestra augusta Retva un barco de vapor, que arbola bandera de D. Pedro, que según parece está se extendían á creer que a principios de Marzo había de penetrar por la fron cruzando sobre las aguas de la costa de Portugal, el que largó un bote y pasó tera de Portugal el pretendiente D. Cirios, i la cabeza de un grueso ejército, en él á bordo de la balandra inglesa en do…</t>
  </si>
  <si>
    <t>…domi rado culpable y expelido del Senado. El ministerio de la Guerra ha expedido cilios sin baberos apoderado del tirano de nuestra patria. Santa es nuestra causa; circulares recomendando la economía. El extrañamiento perpetua de D. Pedro mi cielo la protege; el valor vuestro es nuestro mas seguro garante; la victoria del territorio del Brasil, que fue aprobado por la Cámara de Diputados, ha coronará sin duda nuestros esfuerzos. ' &lt;* sido desechado casi unánimemente por el senado. (Globo.) Compañeros: Gamarra será en nuestro poder a…</t>
  </si>
  <si>
    <t>…eves dias se sabrá la ruro, del modo que queda dicho arriba , después de fumigada y conclusión final de los negocios de Holanda. (J'un.) ventilada la restante. ' 19. En el caso de que se manifieste el cólera en cualquiera de ____ D. Pedro ha convocado las Córtes de Portugal pan el 1S de Agosto pró las casas de observación, será inmediatamente colocado el enfermo ximo. Los Pares que firmaron la representación que precedió á la usurpación de D. Miguel, se entiende que renunciaron Sus derechos. (Courier.j ' ' &lt; en la enfermería de que…</t>
  </si>
  <si>
    <t>…on los, ricoshombre» de; Castilla y de Hé aquí el. dínamo de «pertnW de tasesion de la tercera legislatnra proArpgoo (eajottsigles xMigtxv,forMdo¡d^agmiños, -cnala epiloga nuflciido por la Regencia en nombre de S. M. el Emperador D. Pedro it. también idéihaaaábs'j ekuúaliártxstraráialgct por détoasr. pir encima r&gt; -b*iAng¡Btoay pj^f;dignes tepn(«9taatí$,'deela.Wíipftuvlnestia:ranzón no de la epitoga adornará. «1 -cuaUo del Fpóeer una gola ‘mas: subida por ;puede!tnentrf dósermus grata 4 ia:Regcn$fa obrandoL^jp@^re..d¿f;^|Fdetfás, tr…</t>
  </si>
  <si>
    <t>…) (D. de los D.) -a——Un Diario de Alemania dice que el subsecretario de Estado de Portugal, -El banco de Lóndres ha dejado cometer por negligencia en sus oficinas, el caballero Bayard, que fue á Munich para entregar la espada que D. Pedro un robo que ha sido ya funesto á muchos cambistas de París, y que debe ins legó al duque de Leuchtemberg, salió el 10 de Noviembre para Londres. pirar graves temores á todos los negociantes que comercian con la Inglaterra. Un empleado de este banco ha sustraído una gran cantidad de yerdaderas bank-…</t>
  </si>
  <si>
    <t>…Este, los regimientos estacionados sobre las ori reino, y al derecho público &lt;íe todas las monarquías hereditarias, pertenece, in llas del Rin cuentan algunas compañías fuertes de 250 hombres, mientras que contestablemente á S. M D. Pedro iv, y después de él-, y por su abdicación los del interior no las tienen mas que de 60 hombres, y aun en los fiempos formal., á su augusta hija la Reina Fidelísima Doña María u,y mediante i de maniobras no pasan nunca las compañías de ISO hombres. Las estacionad», qué de tan manifiesta nulidad solo…</t>
  </si>
  <si>
    <t>…rnau, y á los ría de Propios de Orense, se ha dignado S. M. conceder el ascenso i ella al subtenientes del 12 de línea D. Carlos Senesplcda, que desempeñando las fun oficial tercero D. Roque Soriano, y nombrar para cata resulta á D. Pedro de ciones de ayudante contribuyó al buen éxito de esta sorpresa; y al de la mis la Reguera y Quiroga, oficial cesante de la contaduría del mismo ramo de la ma clase D. Manuel Urriendo. Corona. , También recomiendo á los sargentos segundos del 6.° ligero Matías Gó mez y Pedro Nevares; al del 12 de líne…</t>
  </si>
  <si>
    <t>…e cio del Sr. Secretario del Despacho de lo Interior con que remitiatestimon io necesarios, y hacerle las observaciones debidas: esto e» lo que se ha practicada del acta de la.elección verificada en Jaén, que ha recaído en el Sr. D. Pedro en todos tiempos. Dichos Procuradores pueden acudir i la comisión é infor María Garctá en reemplazo del Sr. D. Juan Manuel.Subrté. Se mandó pasar i marla de todo cuanto consideren útil." la comisión de Poderes. El Sr. ¡cedo: «Los Procuradores de Valencia no teníamos ninguna no A .la misma comisión…</t>
  </si>
  <si>
    <t>…ste impuesto; por lo que se ad Ontiveros, electo Procurador por. ía provincia de Cáceres. vierte que esto no está tan clatobcomo debiera. De consiguiente, sin renunciar Entraron á jurar y tomaron asiento los Sres. D. Pedro Martí, D. Pedro nosotros el dercehoiqmi njnuw dcsedirfk exposición nfuiit puede pasar al Opúsolos y D.- Joaquín-María Feyrer. Gobierno; y Tvelreczreigetir qUe dosabiatúcñ uña palabra de ella.” _ r En sqpüda el $r. Secretario del Despacho'de Estado subió i h tribuna y 'El Sr. ¿rfr^ &gt;dlAia pedidoYa paj^fcdf para con…</t>
  </si>
  <si>
    <t>…que los españoles batieron y tomaron á la referida ciudad, lla rante la menor é&lt;Jad de la Reina y Señora Doña María ir, debe continuar en mada y con razón por los moros, á causa de su fortaleza, el antemural de la Persona det St. D. Pedro, duque de Braganzai con 4a*-atrihucion&lt;g._dc los G ranada, y que debieran honrar un museo, como testimonio de los descubri poderes ejecutivo y moderador, señalados en la Carta constitucional de la mo mientos y glorias de la nación, se notan sirviendo de columnas en el pobre, narquía portuguesa. Pal…</t>
  </si>
  <si>
    <t>…que los hechos primer gobernador de S. Mv (Esta es la.mas alta dignidad de la corte.) Se de nos hayan próbado que los nuevos ministros no convienen al pais. Nosotros signa como candidato para el empleo de mariscal de la corte al conde Pedro tenemos una fe profunda en la monarquía de J ulip, y en sus altos destinos, y Goüs. opinamos que está bastante arraigada para que puedan hacerle mella hombres El mismo día (8 de Noviembre) el conde Eugenio AVerbna, hermano que no sean aptos para dirigir la Francia. Asi es que ni ensalzaremos al nue…</t>
  </si>
  <si>
    <t>Pedro, ANUNCIOS</t>
  </si>
  <si>
    <t>ANUNCIOS Pedro</t>
  </si>
  <si>
    <t>…¡ el pueblo continuaba manifestándose adicto al joven Emperador, y según refie ren los periódicos de Rio-Janeiro, el día 7 de Setiembre, en que se celebró el aniversario de la independencia del Brasil, la presencia del Emperador Don ANUNCIOS. Pedro n en el paseo causó el mayor entusiasmo. Las funciones de dicho día fueron brillantes, sin que se alterase en nada la tranquilidad pública. Amor y rencor* ó sea Pachecos y Palomeques; novela histórica original españo la, escrita por D. J. de C, natural de Madrid, autor contemporáneo del que escribi…</t>
  </si>
  <si>
    <t>Pedro, D</t>
  </si>
  <si>
    <t>D Pedro</t>
  </si>
  <si>
    <t>…ofició del Excmo. Sr^Presidente det cooperación deí Estamento dé los Prócera, V. M. tiene el derecho efe contar Consejo de Ministros. acompañando el norpbramlento para.la dignidad de Pro en todo tiempo con,ella- , cer tjej limo. Sr. D. Pedro jüonzaJcz Vallcjo, obispo que fue de ^Mallorca. , « Los Prócera del Reino hallan justo y natural et sentimiento qué causa . Asimismo lo quedó, de los respectivos nombramientos para igual dignidad 4 V. M. la necesidad de presentar í la deliberación dé las Córtes la cíobducta de los Sres, obispo de,C…</t>
  </si>
  <si>
    <t>…as rei se excluyó la descendencia, sino qiie se negó la obediencia al Rey por causas teradas órdenes de S. M. para que emprendiese el viage á Italia, no dejan duda semejantes. En la sangrienta y dispendiosa’ guerra civil entre el Rey D. Pedro sobre estQ; y la devoción y demas pretextos con que las eludia, al mismo tiem y su hermano D- Henrique ,1a nación usando de su poderío, y haciéndose su po que protestaba el mas tierno cariño á su hermano, y el mas profundo res perior á las leyes, consaltando al btén geúérát^r S la pública tranquili…</t>
  </si>
  <si>
    <t>…aran hacia los lugares abajo desig Documento arriba citado. nados, recibiendo en la marcha pan, etapa y socorros; y luego que lleguen á sus destinos recibirán pasaportes para sus casas; ios naturales de la Berra baja á 5. M-1. el Sr. D. Pedro, duque de Braganza, regente en nombre de la Rei Abrantes. na la Señora Doña María ir, movido del deseo de poner fin cuanto antes á Ja Los de Reirá alta á Viseo. «fusión de sangre portuguesa, y de pacificar completamente el reino , otorga á Los de Tras-os - Montes á VillarcaL las fuerzas reunidas en…</t>
  </si>
  <si>
    <t>…s onzas, que tendrá la efigie ó retrato de la Reina y subteniente graduado D- Remigio Molió, y mis ayudantes igualmente el te nuestra Señora con la inscripción en el contorno Isabel ii, Reina liíEspaSa niente graduado de teniente coronel D. Pedro 5amanicgo,y el teniente gradua t es las India»; y en el reverso un letrero ó inscripción laureada que diga do de capitán D. Luis García. Mari a Cristina de Borbon, Reina Gobernadora , á N. (que será el nom Finalmente los comprendidos en las adjuntas relaciones conformes á las bre del que obtenga el…</t>
  </si>
  <si>
    <t>…os.con la GranxBreuña. Aun sin contar con Nápolesj á quien el deseo deW independencia inclina necesariamente á favor de provincia, na xa casulla. 'facuadrupti. aliante, ni ^cl Fiiinonte qüé tó-dé'ó temprano .debe, incorporarse : ,Sr. D. Pedro,Bertnudez del Villar. en étfa'para‘iío“pefder la Suboystsin.compensaacm.alguna, fesultán para nos Sr. D. Miguel Cor.an y Zúñiga. otros del tratado en virtud del cual los Pretendientes han sido expulsados de la Sr, Marques de Astarú. Península , ventajas de poSfCÍdh incoftfettaS)lis. Sr. D. J acobo…</t>
  </si>
  <si>
    <t>…l mas rico legado.......Mandó —Brasil con toda laReal familia, adonde llegaron el 7 de Marzo de 18u8._____ que su corazón fuese depositado en ia ciudad de Oporto: todas las glorias de En este nuevo imperio empezó la educación del Sr. D. Pedro, confiada aqucJlíTIiéróica ciudad producen menos envidia que esta honra—..... Tiranos, á los cuidados del honrado y erudito Juan Kademack, y los rápidos progre estremeceos!.........La libertad tiene una fortaleza inexpugnable. sos en sus estudios manifestaron que el jóven Príncipe [poseía el gérmen…</t>
  </si>
  <si>
    <t>…mente á las miras del supremogobierno.— •‘Augustos y dignísimos señores representantes de la 1180100: al cerrar la . Jorge JE. JL Tomqúist. presente-sesión de «la asambleagcncral legislativa, la Regencia en nombre del Emperador y Señor D. Pedro ai, debe .agradeceros los trabajos que han sido, FORTUCAÍrjbjetó de vuestras deliberaciones, y que manifiestan á-ia nación brasileña cuán to -se empeñan sus legisladores en afirmar nuestras libres instituciones, y en £iS§oa‘7dc Dúsemire. promover la prosperidad; común. •&gt;La importartte lvv dé las r…</t>
  </si>
  <si>
    <t>…que para l.° de Enero de 1838 ha de quedar extinguido en Portugal e( durante la menor edad de la Reina1 Doña María u, debe continuar en la per papel moneda, y que los soberanos ingleses y los pesos duros españoles circu sona del Sr. D. Pedro, Duque de Braganza, con las atribuciones del poder len con su valor legal, solo por el espacio de seis meses los primeros , y tres los ejecutivo y moderador que se establecen en La Caria constitucional de la mo segundos, principiando á contarse dichos plazos desde I o de Setiembre próxi narquía por…</t>
  </si>
  <si>
    <t>…rables á la paz: la marcha de los negocios ha mejorado mucho des El presidente de la diputacion de la segunda Cámara ha dirigido el si de el advenimiento de los nuevos hosgpdares. Todos'fijan su atención en el guiente discurso al Emperador D. Pedro ii al presentarse la ley de reformas: Occidente, donderia España y el Portugal son teatro de importantísimos su «La Cámara de Diputados, después de haber llevado á cabo las reformas cesos; los movimientos de la bolsa de París son también en este momento los de la Constitución del imperio, nos envía…</t>
  </si>
  <si>
    <t>…do sus creden dre la Reina Gobernadora, é igualmente S. A. la Señora Infama ciales el 14 de Febrero al ministro de Negocios extrañecros del Brasil. El 18 Doña María Luisa, continúan sin la menor novedad en su impor se presentó al Emperador D. Pedro n y á la Regencia. tante salud. De Real orden lo participo á V. E. para su satisfacción y para los efectos oportunos. Dios guanleá V. E. muchos años. S. Il ------ El encargado de Negocios de Bélgica en Lisboa , M. Serruys, ha presen defonso 12 de Julio de 1834.=Francisco Martínez de la llosa,=Sr. S…</t>
  </si>
  <si>
    <t>…ios países, ño solo del cuerpo diplomático residente en Rio Janeiro, el dia 7 de Setiembre, ani para saber $u existencia, sino también pifa protegerlos cuando sea necesario, versario de la independencia del Imperio, ante $. M. el Sr. D. Pedro ii, Em encargo á V. que anuncie á todos los brasileños residentes en.......... que no de perador del Brasil. * clararen en el registro que V. deberá abrir al efecto, sus nombres, moradá y Señor: »E1 cuerpo diplomático tiene la honra de renovar á V. M. I. su demas circunstancias que á .V. le parecie…</t>
  </si>
  <si>
    <t>…ina y de lo Interior propusiesen la me de V. M., que tuvieron la honra de acompañar los restos mortales de su ín dida que estimasen justa; y conformándose S. M. con su dictamen, se ha ser clito Libertador, muy alto y muy poderoso Señor D. Pedro, Duque do Bra vido resolver en 11 dei corriente que las vacantes que ocurran de mozos, pa ganza , augusto Padre de V. M-, en su tránsito por la ciudad hasta la iglesia lanquines y domas operarios para el servicio do los muelles de Sevilla, los pro de S. Vicente de Fora, y de los cuales una diputaci…</t>
  </si>
  <si>
    <t>…presencia^de todos tos príncipés y digniflades' dé ta^Tglesia puso el birrefeAirtliñalicíbá monseñor Jacobo Monico, patriarca de Vcued3» conforme á lo resuelto por el Sacro ____ Hé aquí la amnistía que acaba de conceder S. M. el Emperador D. Pedro, Colegio en 29 de Julio de 1$33. , regente de Portugal. - j, ; | "■ x . \ t y; * ; j Concluida la ceremonia pasó el Santo Padre con su comitiva á la capilla »Deseando dar una prueba irrefragable de los sentimientos de amor y de Sixtina, en donde el nuevo cardenal prestó juramento en manos de los Em…</t>
  </si>
  <si>
    <t>…xhibió al momento di Joda la extensión de la carrera, la cual era compuesta del destacamento que da cha suma en nuestras manos; y aun no hablamos empezado 4 distribuirla cuan i esta ciudad el regimiento de Galicia, al mando de su teniente D. Pedro do se reparó la donación perfecta que hizo en favor de nuestra augusta Sobera Palma ; de. la compañía dejniljcias provinciales de caballería de Wajay al de na» nucatra Reina Doña I&amp;a*ei ii ,.que- dió lugar á que esu corporación gus» JU teniente D. Cirios Grillo, y del S.° escuadrón de la milicia rutal…</t>
  </si>
  <si>
    <t>…isboa el 12, llegó á- Falmouth el miércoles siempre y propia del decoro nacional, en las comunicaciones con el Sumo Pon por la tarde. Todas las noticias que trae son muy poco interesantes, excepto la tífice. El reconocimiento del Sr. D. Pedro ir como Emperador del Brasil, y el de que está ya casi del todo restablecida ia salud de L&gt;. Pedro. Este Príncipe de ios Soberanos de ia Bélgica y la Grecia. Finalmente la interrupción de las ha hecho publicar de nuevo y pregonar por las calles de Lisboa las proclamas relaciones diplomáticas entre…</t>
  </si>
  <si>
    <t>…estar á la guarnición y habitantes de esta plaza la gloria que, si de nuestra alegría: viva la religión, viva la Reina constitucio bien tarde, todavía nos quiso proporcionar la fortuna. Dueños de nal la Sra. Doña María u: viva el Sr. D. Pedro, duque de un punto importante por su posición, podremos hacer que se ex Braganza, Regente á nombre de la Reina: viva la Carta constienda (a autoridad de la Reina i toda la provincia, promoviendo titucional.=C,uarle\ en Almeida 18 de Abril de 1834- = Antonio y estableciendo el gobierno constituciona…</t>
  </si>
  <si>
    <t>…e J79J, í 6 rs rama, 7 en rústica y 13 pasta común. En:esta obra vindica al traductor prhrciptaria i perder parte de «u fuerza c que Roa, Araoda, Guróiel de Meé-**" Ja-Historia de Mariana cuando habla de Samuel Léví, tesorero del Rey D. Pedro el cado, xaníptiega,; VnlahriUa,-San Manes, Lcrrm, Villodrig©, AveHxDosa Justiciero, contra la.impugnación de los autores de la nota que se halla en la edición ei» hecha Valencia de dicha cap. Monfort. 17, en la pqr historia cual juzgan lib. ty. dal fóraro y Rcrfllá VaÜegera te hallaban invadidos d…</t>
  </si>
  <si>
    <t>…rra y mar comunicación. para-repeler cualquiera agresión externa dirigida contra la seguridad ó dignidad Art. 5'í Las mismas autoridades desplegarán la mayor actividad del Imperio y contra el trono de nuestro augfsfo Emperador el Sr. D. Pedro ir. para hacer observar las leyes y reglamentos de policía urbana e hi Los diferentes ministros y secretarios del Despacho os expondrán en sus giene pública; cuidarán-dél abundanterabasto-de-aliinentos sanos en informes el estado^y. necesidades de su6 respectivos ramos, y darán -una. co— los ;j&gt;ueb…</t>
  </si>
  <si>
    <t>…io.loquearon los, ricoshombre» de; Castilla y de Hé aquí el. dínamo de «pertnW de tasesion de la tercera legislatnra proArpgoo (eajottsigles xMigtxv,forMdo¡d^agmiños, -cnala epiloga nuflciido por la Regencia en nombre de S. M. el Emperador D. Pedro it. también idéihaaaábs'j ekuúaliártxstraráialgct por détoasr. pir encima r&gt; -b*iAng¡Btoay pj^f;dignes tepn(«9taatí$,'deela.Wíipftuvlnestia:ranzón no de la epitoga adornará. «1 -cuaUo del Fpóeer una gola ‘mas: subida por ;puede!tnentrf dósermus grata 4 ia:Regcn$fa obrandoL^jp@^re..d¿f;^|Fdetfás, tr…</t>
  </si>
  <si>
    <t>…iente cio del Sr. Secretario del Despacho de lo Interior con que remitiatestimon io necesarios, y hacerle las observaciones debidas: esto e» lo que se ha practicada del acta de la.elección verificada en Jaén, que ha recaído en el Sr. D. Pedro en todos tiempos. Dichos Procuradores pueden acudir i la comisión é infor María Garctá en reemplazo del Sr. D. Juan Manuel.Subrté. Se mandó pasar i marla de todo cuanto consideren útil." la comisión de Poderes. El Sr. ¡cedo: «Los Procuradores de Valencia no teníamos ninguna no A .la misma comisión…</t>
  </si>
  <si>
    <t>Pedro, D Manuel Rodríguez S</t>
  </si>
  <si>
    <t>D Manuel Rodríguez S Pedro</t>
  </si>
  <si>
    <t>…eros, con sola cinco lltxicoo que lia re y que se pusiesen los ranchos para nuestro regreso. A poco rato de haber lle cibido en la escuela de dicho cuerpo, dirigida por su ayudante D. Cayetano gado i S. Román destaqué al teniente coronel D. Manuel Rodríguez S. Pedro, Cardero, leyó en tres distintos panga de un libro, todos de diferente grado Jo gefe de la plan* mayor de ala división, con la compañía de cazadora y uní de Utra. dé la del centro del batallón de Africa, para que dirigiéndose sobre el pueblo . de Araya, se informase de la posición del enemigo, que…</t>
  </si>
  <si>
    <t>Pedro, IX</t>
  </si>
  <si>
    <t>IX Pedro</t>
  </si>
  <si>
    <t>…ntado co*a particular que la exigiese, ha contribuido por des ro, confirmándolo á la manera que lo habían hecho otros Sres. Reyes antece gracia á prolongar mas el juicio que se haya querido formar de mí. Los que sores su y os, el Rey IX Pedro en las Córtcs de Valiadolid á 28 de Noviembre me conocen , y saben la exactitud con que siempre procuro citar los hechos, de la era de 1389, insertando la confirmación de su padre D. Alomo xt; Don me haián por lo menos la justicia de dudar; pero los demas se hallan auto Henrique 11 en su provisión…</t>
  </si>
  <si>
    <t>Pedro, Juan</t>
  </si>
  <si>
    <t>Juan Pedro</t>
  </si>
  <si>
    <t>…vincias. de amortización. | Ultimamente $. AL se ha servido conceder la celaduría del camino desde También se ha dignado S. M. conceder á Celestino Mola , fabricante de la Carolina á Pedro Abad, con el sueldo de 24 rs» diarios, á D. Juan Pedro sombreros en Valencia, la misma gracia de poner sobre la puerta de su casa fá Espejo, propuesto por la dirección general del rama brica el escudo de las armas Reales, pagando el propio servicia S. M. se ha servido conceder su Real permiso al ayuntamiento de la villa del Prado para que pueda celebra…</t>
  </si>
  <si>
    <t>Pedro, Juan y de D</t>
  </si>
  <si>
    <t>Juan y de D Pedro</t>
  </si>
  <si>
    <t>…sucesión son las que mas han ensangrentado la Europa; y en cuanto á nos les. Renta al 3 por ciento 21. Empréstito Real de España 28. Renta perpetua otros nos han ocasionado porfiadas luchas con una nación vecina. Los reinado» de D. Juan 1 y de D. Pedro ív comprueban bastante esta verdad. La calami4* id. 28$, Una carta de 5 del pasado de Mazalquivir , provincia de Oran, dice lo si- tosa experiencia, por ja cual acabamos de pasar, reclama con justicia que se es que sirven siempre de pretexto a ambiciones domésticas y á pretensiones exfílentela sang…</t>
  </si>
  <si>
    <t>Pedro, Manuel Rodríguez S</t>
  </si>
  <si>
    <t>Manuel Rodríguez S Pedro</t>
  </si>
  <si>
    <t>…n sola cinco lltxicoo que lia re y que se pusiesen los ranchos para nuestro regreso. A poco rato de haber lle cibido en la escuela de dicho cuerpo, dirigida por su ayudante D. Cayetano gado i S. Román destaqué al teniente coronel D. Manuel Rodríguez S. Pedro, Cardero, leyó en tres distintos panga de un libro, todos de diferente grado Jo gefe de la plan* mayor de ala división, con la compañía de cazadora y uní de Utra. dé la del centro del batallón de Africa, para que dirigiéndose sobre el pueblo . de Araya, se informase de la posición del enemigo, que…</t>
  </si>
  <si>
    <t>Pedro, O</t>
  </si>
  <si>
    <t>O Pedro</t>
  </si>
  <si>
    <t>…r Tía 'tnnSbÁrd' Á cdtisectieñcia de otro dictamen de la referida comisión fueron aprobaexpedienté al asesor , el cual ha dado so informe reducido i que venga la con dos igualmente los poderes y documentos de la aptitud legal del Sr. O. Pedro trita de la dirección, r se vea en qué comiste éste impuesto; por lo que se ad Ontiveros, electo Procurador por. ía provincia de Cáceres. vierte que esto no está tan clatobcomo debiera. De consiguiente, sin renunciar Entraron á jurar y tomaron asiento los Sres. D. Pedro Martí, D. Pedro nosotros el…</t>
  </si>
  <si>
    <t>Pedro, Santos López Pelpgriu y D</t>
  </si>
  <si>
    <t>Santos López Pelpgriu y D Pedro</t>
  </si>
  <si>
    <t>…redención, ó imposición. (Hum. 25.) - Ideales decretós aumentando ttes plazas de tenientes de villa de. Madud.y ____. sobre el derecho de puertas que debe pagar el azúcar refinado -procedente: : 'CQnfiti^ndolas á D-. Julián Sojo, D. Santos López Pelpgriu y D. Pedro ji- , de fábricas del reino. (Id.) ^ . . 1 nienez TjTav^rro. (Wm. 19.) sobre liquidación de suministros hechos por los pueblos y pago de con _ u - ___supilmitndo los juzgadas de provincia de Madrid. (Id.) tribuciones atrasadas. (Id.) __Lreponiendo á D. Francisco Fernandez del Pino en la plaza del C…</t>
  </si>
  <si>
    <t>Pedro-ha</t>
  </si>
  <si>
    <t>…GERAS. Miguel, para que te .someta al gobierno de la Reina. (Olobf and Traveller.) .. A mmrqmna con satisfacción que á consecuencia de reiteradas represen» (Continuación del correo anteriqr.y dones de nuestro embajador en Lisboa, D. Pedro-ha mandado poner en líber «ttróiA. tad á «¡r Jojjn Campbell. Neootros nos alegramos extraordinariamente de re libre á un oficial veterano del ejército ingles; pero no por eso adoptantes u . Berlín 27 dt Mayo. f Opinioneé. ru créemo» que debiese hacerse por él otra cosa que lo que se ha ht ÍLo tínico q…</t>
  </si>
  <si>
    <t>Pedro.’El</t>
  </si>
  <si>
    <t>…causa constitucional y el establecimiento de su autoridad en Por almas ilustradas. tugal. Los mismos personages están encargados de iguales felicitaciones para «Convencido de las ventajas que asegura á la generación actual, y mas D. Pedro.’El secretario debe quedarse en Lisboa como encargado de negocios, aun á las venideras, la ley del 28 d/t Junio de 1833; sobre la instrucción prima hasta que1 llegue un\ embajador del Brasil. (Times.') ria; y participando de las miras filantrópicas del ministerio, á quiérala Fran cia debe la representa…</t>
  </si>
  <si>
    <t>Pedroat</t>
  </si>
  <si>
    <t>…o de la epitoga adornará. «1 -cuaUo del Fpóeer una gola ‘mas: subida por ;puede!tnentrf dósermus grata 4 ia:Regcn$fa obrandoL^jp@^re..d¿f;^|Fdetfás, trufe ycm-&amp;etott8f Por débajo 'dfef’ttíantó- llevará - ‘ei-Procer1 trña t *ador¿ D. Pedroat^que^qmpreqdieqdo ;peafectamenté.cssb)t9 depende i¡¡j qtgT~ tiinióa^aegMcé o- ifitó'^dró1 qtté^^rfiaSá eabri r la! rodilla, y te del Brasil de las deliberaciones de" la presentí lígSÍfSBrs!, ¡f^ifa •ail cuyas, rteñigas1 ájüsferatf’é^ él/piifio; jf eáfitaii ¡adórrikdás éti «te ií- inteligencia y patr…</t>
  </si>
  <si>
    <t>Pedrode, ÍÉ</t>
  </si>
  <si>
    <t>ÍÉ Pedrode</t>
  </si>
  <si>
    <t>…ún en él K determi biémioló yo con un pistoletazo;-pero llegando los provinciales de Guajada *1na i los monederos y lostestigo* falsos; los asesinos, ó los que hayan herido’ m%ndp del teniente coronel capitán IX Manuel Trecbucloy teniente ÍÉ Pedrode intento á traición ; los que hayan dado veneno, aunque éste n» haya pro Calvachc, la6 desalojaron al momento, huyendo por la derecha del pueblo, aducido la muerte; los que con violencia hayan quebrantado prisión; los i»—- cendiarios¡los forzadores; los carceleros qué motu propio ó por coecho ha . c…</t>
  </si>
  <si>
    <t>PedroPerez</t>
  </si>
  <si>
    <t>…ue pasaron la causa legítima de Isabel ir. &lt;Cuáles pues, son esos fundamen~r_ el puente á la cabeza de su tropa: el sargento l.° del regimiento tosí Nosotros al contrario creemos, y hemos probado, que‘la co-. infantería ¿e Soria, D. PedroPerez: el cadete dé la partida de ca- ¿ardía está de parte de los crueles, y que la clemencia y la justi- , / ballena de la Albuhera, D. Bartolomé Ruíz. Por últintd, los va- ' cia sondas dotes del fuerte y valeroso. lientes Urbanos de la, villa de Bilbao, que.se .ofrecieron voluntaria-, Hay también una t…</t>
  </si>
  <si>
    <t>PedroQuijana, Juan</t>
  </si>
  <si>
    <t>Juan PedroQuijana</t>
  </si>
  <si>
    <t>…lustren upa lpateña Uii Jínportante, y resuellan la** Confiriendo el raismo gobierno :í D&gt; Ventura deCórdqbt.(77.) dificultades que puedan oponeríé á la coa^cucion de tan benéfico fin.’ g confiriendo el gobierno civil de Cuenca ú D. Juan PedroQuijana. (77). Si la sociedad se guiara .jinlea^nenite.por-ma-desí^s, ,ciertamente'pnefctiria Rpal orden declarando que en general todos los grados conferidos por las nnrá las asociaciones de socorros, mátuos la creación de bancos de cgonQmías ; ,d . ..versidades emel periodo constitucional, y los simples c…</t>
  </si>
  <si>
    <t>PedroRalscYa</t>
  </si>
  <si>
    <t>…ndola no lo haciendo el perjuicio que haya lugar. que en Toro disminuía el número de invasiones y la intensidad del mal. —-Habiendo.fallecido D. Joaquúi Btázquezy Vargas ♦ vecino que fue de esta cortes el fir. teniente corregidor D. PedroRalscYa , que conoce de su testamentaria por Ja es-* crlbanía del número de Santin; ha acordado citar como se hace á fodos sus acreedora» DROVIXCIA DE MADRID. para que en et preciso termino de 30 días contados desde el de hoy, acudan á ufar de su derecho en el juzgado de dicho Sr.'; apercibidos de qué pasa…</t>
  </si>
  <si>
    <t>Pedrosa, Vicente</t>
  </si>
  <si>
    <t>Vicente Pedrosa</t>
  </si>
  <si>
    <t>…les fjeputivas para-ahorrar,tiempo y gasto*. Mía,! refrenada del escribano Romeral, se cita k los acreedores é la testamentar^ He Art. tf.° BLaqpi^mo gobierno.concederá a.los colonos:el derecho déppo- Uoña María Reguera, viuda de D. Vicente Pedrosa, k fin de &lt;|ue en. el término piecfso sesiori sobre el níalor legal de. las tierras,.y. el de propiedad sobre todos-sus de 30 días aeudah á uur de su acción j derecho; befo apercibimiento que de oo hacerlo les parirá perjuicio. \ productos,7 y tendrán para 'comprarlas derecho de preferencia sobre .…</t>
  </si>
  <si>
    <t>Pedrosu</t>
  </si>
  <si>
    <t>Núm/II ♦** Jueves ¿3 de Enero de 183 í. GACETA DE MADRID. ARTICULO DE OFICIO. Excmo.general , Sr.^Pedrosu secretarioPascualhabilitadode Uhagonj=MarianoFrancisco de Horrmeche.nrr:xemo.de Eguia.rrrPor la diputaciónSr. Secre La. Rjsxn A nuestra Señora Doña Isasel ii , y S. M. la Rxiha Goberna tario de Estado y del Despacho de Gracia y Justicia, dora , siguen sin ñor edad en su importante salud. Excmo. Sr.…</t>
  </si>
  <si>
    <t>Pedrosu, Sr</t>
  </si>
  <si>
    <t>Sr Pedrosu</t>
  </si>
  <si>
    <t>PedVo</t>
  </si>
  <si>
    <t>…firme aque ■ * ITALIA. lla noche antes de ir á ia opera, y ganado áuud rs. que llevaba consigo en bi lletes de banco; y por obedecer al Emperador, entrégatelos ^mediatamente ¿ Roma 28 de Setiembre. la afligida señora. Cuando supo D. PedVo al dia siguiente cuan, crecida era la Jgyfr matan* ha llegado aquí D. Miguel jde vuelta de Genova: se ha apea dadiva que había hecho sin saberto.se puso furioso; pero como la cosa no te- ¿ do t&amp; el palacio que esta dispuesto pura quede tova de residencia. x Monitor i) nú remedio, tuvo que Conformar…</t>
  </si>
  <si>
    <t>Peinio, Mariano</t>
  </si>
  <si>
    <t>Mariano Peinio</t>
  </si>
  <si>
    <t>…na Gobernadora, se le mandó proyectarla; el que, asi como los cuerpos salientes, aparecían ser de piedra de Colmenar, y lo ayudante elegido por dicho profesor fue D. Fernando Gutiérrez, y delineanto restante de piedra berroqueña. D. Mariano Peinio. La escultura como va referido fue ejecutada por los pro Por último , cargaba sobre el ático otro sotabanco de corta altura, y con fesores D. José Tomas, D: José Piquer y D. José Gines: los bajos-relieves fue cluía la composición con una pirámide truncada cuadrangular , que aparecía ser ron pintados po…</t>
  </si>
  <si>
    <t>PéJro</t>
  </si>
  <si>
    <t>…negocios de España; se ha hecho sen ■ cisión. De Real orden &amp;c. Dios &amp;c¿ Madrid 13 de Junio de 1834.= tir mas en los fondos españoles que en los portugueses. Moscoso.=Sr'. Gobernador civil de Castellón de la Plana. -__—Parecí que D. PéJro ha dirigido una carta dé gracias al duque de Terce ra y á su ejército. También se dice que ha resuelto dividir el ejército en do cuerpos, uno dé lo» cuáles será mandado por el duque de Tercera, y el otn PARTE NO OFICIAL. enriadopor el generaluta intimaciónSaldáfta conal gobernadorentera independenc…</t>
  </si>
  <si>
    <t>Pela, Diego Martínez</t>
  </si>
  <si>
    <t>Diego Martínez Pela</t>
  </si>
  <si>
    <t>…rremocha; para el de Plasencia, por promoción dé Dpn Anselmo León Barradas, á D. Diego Mcndo; para el de Zafra á D. José Lan- El capitán general de Cataluña participa el resultado de las últimas ope dero; para el de Garrobiílas á D. Diego Martínez Pela yo, que lo es de Coria; raciones practicadas en el corregimiento de Tortosa y derecha del Ebro por el para el de Roa á D. Angel Ramón Muro, que lo es de Potes; para el de Ar- brigadier D. José María Coiubi, gobernador y comandante general de aquel nedo á D. Antonio Mediano, alcalde mayor de Autol,…</t>
  </si>
  <si>
    <t>Pelaez</t>
  </si>
  <si>
    <t>…ndidos resulta ser uno algunos sueldos atrasados; y en Real orden de 3 del corriente; se ha servido llamado Víctor, natura! de Ja Fuenté del Fresno. , resolver S. M. que no se dé curso á instancia de individuo, que con su con »E1 teniente Pelaez me hace con es)te motivo un encarecido elogio del ducta política renuncie espontáneamente á los emolumentos que podía percibir sargento 2.° del regimiento de caballería 3.° ligero Salvador Casanova: y al del gobierno legítimo. trasmitirlo' yo á V. E., debo en obsequio de la justicia poner en su con…</t>
  </si>
  <si>
    <t>Pelaez, Andrés</t>
  </si>
  <si>
    <t>Andrés Pelaez</t>
  </si>
  <si>
    <t>…Real decreto de 31 de Agosto último 9 del actual me dice lo siguiente: »Excmo Sr.: El capitán graduado teniente para formar el plan de instrucción primaria del reino. del regimiento, infantería voluntarios de Aragón , 2.° ligero, D. Andrés Pelaez , me d ice desde Yébenes , con fecha de ayer, lo que sigue: El dia 7* ha- A D. José Finat, del comercio de esta capital, se ha servido S. M. con1 lindóse mi columna internada en las sierras, no lejos del cortijo de Malagon, ceder próroga de un año y un dia para poner en planta un privilegio para in…</t>
  </si>
  <si>
    <t>Pelaez, Antonio</t>
  </si>
  <si>
    <t>Antonio Pelaez</t>
  </si>
  <si>
    <t>…una , mientras yo me enteraba del movimientos y de marchas de ocho y mas leguas con que ha acu terreno. Los tenientes adictos á esta plana mayor D. Benito Amo dido esta brigada á los puntos y objetos á que V. E. se ha digna res y D. Antonio Pelaez, á quienes encargué el cumplimiento de do destinarla; siéndome muy sensible que una fatal ocurrencia, hi mis órdenes, me participaron estaba formado en columna á la fal ja de esta especie de guerra y del inmenso bosque espeso que V. E. da de dicha altura, que destacó una guerrilla í reconocerlos, J…</t>
  </si>
  <si>
    <t>Pelaez, D Antonio</t>
  </si>
  <si>
    <t>D Antonio Pelaez</t>
  </si>
  <si>
    <t>…tener al ta concluir las municiones ó derramar la última gota de sangre por batallón de la Princesa que se encontraría repentinamente con el mi querida Reina.” enemigo. Lo traslado á V. E. para conocimiento de S. M., á cuya so El teniente D. Antonio Pelaez, encargado de conducir í este berana consideración recomiendo los dignos gefes, oficiales y tropa batallón , llegó al punto señalado al mismo tiempo que lo verificó de esta columna, y en particular al distinguido brigadier D. Mar otro enemigo á cubierto de la espesura del bosque, y principió el cel…</t>
  </si>
  <si>
    <t>Pelayo, José García</t>
  </si>
  <si>
    <t>José García Pelayo</t>
  </si>
  <si>
    <t>…fue ocupado por los títulos de Castilla, gentiles- moso, y los bajos-relieves por el profesor de pintura D. Francisco Martinez, y hombres de Cámara de S. M., generales, gefes y oficiales de todas armas , au lo demas de tintas por D. José García Pelayo. toridades eclesiásticas, militares y civiles, y demas caballeros de primera dis El proyecto de este catafalco era del Sr. arquitecto mayor de esta M. H. V. tinción. D. Francisco Javier de Mariátegui. A los costados y huecos de las capillas asistieron dos religiosos de cada una A los alrededores del…</t>
  </si>
  <si>
    <t>Pelcgriri</t>
  </si>
  <si>
    <t>…obado fen la ra: en Valderas ocurrieron 26 invasiones desdé'Tá 9 del'mes dé la fecha, ter noche del 2 del corriente por algunos dispersos de la facción del Ros de Era minando 3 funestamente: en Sahagun había salvado el licenciado D. Pelcgriri^ les , que' fueron repentinamente atacados por una partida del regimiento de Posadas mas de 300 enfermosdéL cólera con su acertado plan curativo, y or Saboya. denando las sangrías desde ios primeros síntomas. , PROVINCIA DE LOGROÑO. ESTADO SANITARIO DEI* REINO. Parte sanitario de 10 de Octubre. pro…</t>
  </si>
  <si>
    <t>Peleerin, D Santos López</t>
  </si>
  <si>
    <t>D Santos López Peleerin</t>
  </si>
  <si>
    <t>…, 00. ------ Por el presente se cita, llama y emplaza £ Francisco Sansano, que residía en esta Accione» del banco español, 00. corte, de oficio carretero, dedicado £ cestero, sospechoso en la causa criminal que por el juzgado del Sr. D. Santos López Peleerin, del Consejo de S. M., teniente corregidor CAMBIOS. de esta villa, y escribanía del numero de D. Miguel Gonzalo, se esta siguiendo de ofi cio sobre la triuerre violenta dada á José Alvares, mozo de cordel que era en esta di-I cha corte, la noche del J.° de Enero ulrimo, «m la c-lle de la Comadre, p…</t>
  </si>
  <si>
    <t>Peleerin, Santos López</t>
  </si>
  <si>
    <t>Santos López Peleerin</t>
  </si>
  <si>
    <t>…. ------ Por el presente se cita, llama y emplaza £ Francisco Sansano, que residía en esta Accione» del banco español, 00. corte, de oficio carretero, dedicado £ cestero, sospechoso en la causa criminal que por el juzgado del Sr. D. Santos López Peleerin, del Consejo de S. M., teniente corregidor CAMBIOS. de esta villa, y escribanía del numero de D. Miguel Gonzalo, se esta siguiendo de ofi cio sobre la triuerre violenta dada á José Alvares, mozo de cordel que era en esta di-I cha corte, la noche del J.° de Enero ulrimo, «m la c-lle de la Comadre, p…</t>
  </si>
  <si>
    <t>Pelegrin</t>
  </si>
  <si>
    <t>…ra hacer efectivas las prestación Montijo, marques de Espeja, marques de Monreal . marques de Vesolla, du nes de dicho Voto, ó el cumplimiento,dé obligaciones emanadas de él, con que,de Hijar, conde de Parsent, conde de Pinofiel, Sr. Pelegrin, Sr. Cafran- tinuarán hasta su terminación con arreglo á las leyes ante los competentes- juz gá, Conde de Sástago / conde de Puñonrostro, marques de Guada (cazar, duque gados de la Real jurisdicción ordinaria, admitiéndose á los interesados las ape de Veraguas ; Sr. Cano Manuel, duque de Rivas y Sr…</t>
  </si>
  <si>
    <t>…es de Sta. Cruz señalado en la bolsa al papel el dia en que se haga el pago.” y San Esteban, conde de Castejon, obispo de Córdoba, obispo electo de Al Del Sr. conde de Puñonrostro: » Debiéndose entender la devolución de los mena, Sr. Pelegrin, conde de Puñonrostro, duque de Alba , marques de AI- réditos solo por el vendedor.” cañiccs, duque dé Osuna, duque de S. Carlos, marques de Castelar, conde do Del Sr. marques de San Felices: «Entendiéndose libres de la devolución Cervellon, conde de Sta. Ana, marques de Santiago, duque de Hijar, c…</t>
  </si>
  <si>
    <t>Pelegrin, D Ramón López</t>
  </si>
  <si>
    <t>D Ramón López Pelegrin</t>
  </si>
  <si>
    <t>…es para auxiliarles en sus provi del Reino, en que manifestaba que al emprender su viage desde la plaza de dencias. Pamplona para desempeñar su honorífico encargo, se le mandó suspendiese la Entró á jurar y tomó asiento el Excmo. Sr. D. Ramón López Pelegrin. salida por el Excmo. Sr. general en gefe D. José Ramón Rodil, á causa de Se díó cuenta y quedó enterado el Estamento de un oficio del Excmo. Se las dificultades que se presentaban para pasar el Ebro sin un grave riesgo, ó ñor Secretario del Despacho de lo Interior, en que avisaba la remisión de dos…</t>
  </si>
  <si>
    <t>Pelegrín, Lope</t>
  </si>
  <si>
    <t>Lope Pelegrín</t>
  </si>
  <si>
    <t>…9, y tí2 los heridos. El rigirán sus solicitudes, francas de porte, al presidente del ayuntamiento dentro del tér cura que decía la misa salió Ileso, sin duda por los ornamentos de seda que lle —mino-Porde providenciaH dias. del Sr. Lope» Pelegrín, teniente corregidor de esta villa, refren vaba. Todos los perros que había en el templo se encontraron muertos en la dada del escribano Romeral, $tf cita k todas Jas personas que se crean con derecho a los misma postura que tenían antes. Parece que el rayo cayó primero sobre la cruz bienes que han…</t>
  </si>
  <si>
    <t>Pelegrin, López</t>
  </si>
  <si>
    <t>López Pelegrin</t>
  </si>
  <si>
    <t>…o con el Rey conferenciando los dos solos. (Idem.) ducirle al citado juzgado y escribanía; en inteligencia que de n« hacerlo se seguirán lot ) autos de testamentaria según su estado, y Jes parará perjuicio. -r—Por providencia del Sr. López Pelegrin, teniente corregidor de est» villa, refren -----Sir Roberto Peel ha admitido definitivamente el ministerio que se le ha dada del escribano Romeral, se cita á todas las personas que se cread con derecho á los ofrecido. Su hermano, que ayer asistió á la tertulia de Mr. Dupin, ha dado bienes &lt;?&lt;&gt;* han…</t>
  </si>
  <si>
    <t>Pelegrin, Ramón López</t>
  </si>
  <si>
    <t>Ramón López Pelegrin</t>
  </si>
  <si>
    <t>…é casas intervenidas, convocarán á todos los acreedores para celebrar García de León y Pizarro, del Consejo Real; D. Lorenzo Ramo de junta general, en el dia v sitio que señalará al electo el juez inter S. Blas, obispo de Huesca; D. Ramón López Pelegrin, decano de ventor con la posible brevedad. la sección de Grauta y Justicia del t,/insejo Real; D. Juan Alvarez O1 Los interventores presentarán á la junta un estado exacto y Guerra, decano de'la sección de lo Interior del mismoConsejo;conde justificado, por el que tos acreedores ó sus legítimos rep…</t>
  </si>
  <si>
    <t>…Pezuela; D. José Pi- la menor dilación ni obstáculo quede instalado y en ejercicio de zarro; D. Miguel Alava ; D- Agustín Arguelles. sus funciones judiciales. De Real órden lo comunico á V. E. para Para la de Gracia y Justicia á D. Ramón López Pelegrin, su inteligencia, y que se sirva disponer su cumplimiento. Dios decano; D. José Cafranga; D. Vicente Gano Manuel; D. Manuel uarde á V. E. muchos anos.’Madrid 20 de Abril de 1834-mJosé García Herreros; D. José Ayuso. e Imáz.=Sr. presidente del tribunal supremo de Hacienda. la de al marques de de Nue…</t>
  </si>
  <si>
    <t>…ara auxiliarles en sus provi del Reino, en que manifestaba que al emprender su viage desde la plaza de dencias. Pamplona para desempeñar su honorífico encargo, se le mandó suspendiese la Entró á jurar y tomó asiento el Excmo. Sr. D. Ramón López Pelegrin. salida por el Excmo. Sr. general en gefe D. José Ramón Rodil, á causa de Se díó cuenta y quedó enterado el Estamento de un oficio del Excmo. Se las dificultades que se presentaban para pasar el Ebro sin un grave riesgo, ó ñor Secretario del Despacho de lo Interior, en que avisaba la remisión de dos…</t>
  </si>
  <si>
    <t>Pelegrin, Santos López</t>
  </si>
  <si>
    <t>Santos López Pelegrin</t>
  </si>
  <si>
    <t>…e la Real mano-=En Palacio á 9 de Febrero I Para las tres plazas de tenientes de la villa y corte de Madrid, creadas por de 1834-=cAl Presidente del Consejo y Cámara de Castilla. 1 mi decreto de este día, nombro á D. Julián Sojo, D. Santos López Pelegrin ,y Exposición á S. áf. les Reisa G obcmxAoxcs. D. Pedro Jiménez Navarro. Tendráse entendido en la Cámara para su cumplímiento.=Éstá rubricado de la Real mano.=En Palacio á 9 de Febrero de 1834- Señora: -El ayuntamiento de la ciudad de Lérida, una de la* de voto en I erAl Presidente del Consejo y Cá…</t>
  </si>
  <si>
    <t>Pelegrm, Lopéz</t>
  </si>
  <si>
    <t>Lopéz Pelegrm</t>
  </si>
  <si>
    <t>…o en estos términos: —Diccionariovende en la libreríade Haciendade la viudacohdeaplicaciónQufro^a/ * España. Cuaderno l.° del toma 2.° Se «Adema» del ínteres literario que.-pfrqce como documento intelectual, —•Por providencia del Sr. Lopéz Pelegrm, refrendada del escribano Moya&gt; se ha se jpdjyíau[tiene,mjjcha impqrtancia cómo documento históriep. -Al estudiar |a ñalad.) p-ti junta general de acreedores a la casa comercio qde fue de ttoi ebrrt, titula u&amp;réH¿,ll¿ liÍ agínióúeiítéVtuiór que arroja ert el lienzo, para da de D. Francisco Gorvea y…</t>
  </si>
  <si>
    <t>Pelet</t>
  </si>
  <si>
    <t>…del país qüe habían ocupado los ingleses se condu con otros muchos descubrimientos de este género que podria citar. Uno de nues jeron á Burdeos, donde en. fl momento de la evacuación fueron embarcados tros honorables cólegas, el general Pelet, podrá deciros que en los archivos de en muchos navios para Inglaterra. En la torré de Lóndres, donde están depo la guerra hay ácetcé Se li historia militáé dé Francia uii gran número de-do sitados, es adonde debemos' ir 4' consultar unos atchivos taií necesarios á nues cumentos orrginiTes dé li ma…</t>
  </si>
  <si>
    <t>…os 93J3: cional, accediendo á la mas* estricta interpretación del convenio militar de 20 francos que se-dicen invertidos en gastos de estado» mayores. de Mayo; y aunque el espíritu conciliador que nos ha guiado no ha producido El Sr. Pelet sostiene el dictamen de la comisión, ..que accede á lo$ abonos •«I efecto que debía esperarse, ílá Europa-sabrá/apreciarie. Por lo demas estoy que el gobierno solicita, pero con algunas modificaciones. . convencido como vosotros de que ei último acto de violencia que se ha come Por no haber suficie…</t>
  </si>
  <si>
    <t>…\ór de Diciembre. do que á su parecer hay peligro en conceder facultades de policía á los gen* darmas. El dia 8 llegó á este puerto un bergantín francés con orden para que el al Los Sres. Robineau y Dubois apoyan la propuesta: el Sr. Pelet juzga que mirante Hugon regresase á Francia con gran parte de su escuadra. De resultas en el proyecto de ley se confunden dos cosas; las facultades que se piensa de esta orden dicen que el navio de línea Ciudad de Marsella, y los bergan conceder a los sargentos de gendarmas, y el aumento del cuerpo…</t>
  </si>
  <si>
    <t>Pellicer, Jo e</t>
  </si>
  <si>
    <t>Jo e Pellicer</t>
  </si>
  <si>
    <t>…marcha á Valls con el objeto de salirle al gía médica del regimiento de Bailen D. Joaquín Sairols: el capitán de la com encuentro con las tropas que sacó de Tarragona , dejando encargada la guardia pañía de voluntarios de Porrera D. Jo*e Pellicer: el comandante dei primer de la plaza á aquella benemérita Milicia voluntaria; pero por los partes que re batallón ligero voluntarios de Isabel n de Reus D. Manuel de Lapuente: el cibió en aquella villa supo que habia retrocedido en dirección de Cabases, con capitán de los voluntarios de Falset D.…</t>
  </si>
  <si>
    <t>Peña, AIRogelio</t>
  </si>
  <si>
    <t>AIRogelio Peña</t>
  </si>
  <si>
    <t>…z, y los soldados puesta del 2.° b.'.allon de Gerona al mando de *u digno comandante D. Caye Francisco Noron , Mariano Ballcster , Ramón Zaragoza, Francisco Romero, tano OHoqúi , y de las compañías de cazadores de lo* regimientos Príncipe, AIRogelio Peña, Jaime Serrano, Francisco Carrera , José Morcll , Cayetano Co mansa y provincial de Compórtela , mandadas por lo* capitanes D. Vicente llado, Vicente Oliver y Fernando Alfaro, siendo este último del regimiento Ruiz, D. Cirios Bctcgon y el teniente D. Ramón Pardo , con las que marchó infantería de Z…</t>
  </si>
  <si>
    <t>Pena, Bedro de la</t>
  </si>
  <si>
    <t>Bedro de la Pena</t>
  </si>
  <si>
    <t>…ad, y de la columna móvil que ella; y aunque no lo presencié porque cuando llegué á aquel frente era general estaba en líRfibíirm Gamboa , puede V. E. figurarse la novedad que me causa la retirada, me ha manifestado el gobernador D. Bedro de la Pena, que *1 ría el decirme un vecino honrado á las ocho de la mañana del día 16 que esta ayudante de plaza D. Juan Conde se condujo con la bizarría y serenidad qut población se hallaba circundada de facciosos, sin haber tenido hasta entonces le es característica. Todos los gefes y oficiales, tanto del…</t>
  </si>
  <si>
    <t>Pena, D Bedro de la</t>
  </si>
  <si>
    <t>D Bedro de la Pena</t>
  </si>
  <si>
    <t>…á esta ciudad, y de la columna móvil que ella; y aunque no lo presencié porque cuando llegué á aquel frente era general estaba en líRfibíirm Gamboa , puede V. E. figurarse la novedad que me causa la retirada, me ha manifestado el gobernador D. Bedro de la Pena, que *1 ría el decirme un vecino honrado á las ocho de la mañana del día 16 que esta ayudante de plaza D. Juan Conde se condujo con la bizarría y serenidad qut población se hallaba circundada de facciosos, sin haber tenido hasta entonces le es característica. Todos los gefes y oficiales, tanto del…</t>
  </si>
  <si>
    <t>Peña, D Pablo de la</t>
  </si>
  <si>
    <t>D Pablo de la Peña</t>
  </si>
  <si>
    <t>…responda al teniente que se nombre para desempeñar aquel cargo. 4-° Que respecto a ios oficiales heridos, ó que se hayan distinguido, inclu Art. 8.° El fondo de temporalidades que resulte de la aplicación de este so el cobernador coronel D. Pablo de la Peña, proponga c* comandante ge decreto se destín.:1 í al pago de las asignaciones que Yo tenga á bien conceder neral, como ya le esta prevenido, las gracias á que Íes considere acreedores, para enjugar las lágrimas y dar algún consuelo á los padres, hijos y viudas de - concediendo desde lue^o S. M. al…</t>
  </si>
  <si>
    <t>Peña, José de la</t>
  </si>
  <si>
    <t>José de la Peña</t>
  </si>
  <si>
    <t>…del alfeftz D. Manuel Muso con toda la trbpa.de infantería, como también do á la deliberación de las Cortes, ha meditado atentamente sobre un objeto, que por sí mismo, y por todas las circunstancias que le acompañan , es de la de D. José de la Peña, veredero interino de tabacos, que voluntar ¡amento so prestó á seguir la columna. mayor y mas grave trascendencia. La comisión ha procurado muy particular mente sustraerse, al influjo que podía tener sobre cada uno de sus individuos el recuerdo de los grandes é inapreciables beneficios de que somo…</t>
  </si>
  <si>
    <t>Peña, Manuel de PROVINCIA DE KADRID la</t>
  </si>
  <si>
    <t>Manuel de PROVINCIA DE KADRID la Peña</t>
  </si>
  <si>
    <t>…sido «invadida *^asi eotnodas de Tórtola^ y las«de. Algoraxy ArGarcía Socasa , y D* José García á los voluntarios D. Juan Pardo, D. Apo - eos, del .partido de .Sigüenza. linar Garda* D- Gabriel Trucha* D. Justo Fernandez, menor, D. Manuel de ¡PROVINCIA DE KADRID. la Peña, D. Gabriel de Ve lasco , D. Lázaro de Arredondo, D. Gil García, D. Indalecio del Corral, D. Miguel Garmilla, D. Manuel Zorrilla; y en Del parte recibido el dia'20 del actual en el«3*ebíern©.'civil&gt;de».esta propartícularal capitán de Betanzos O. Vicente María Seguróla. -vincia aparece queel dia*I6…</t>
  </si>
  <si>
    <t>Peña, Pablo de la</t>
  </si>
  <si>
    <t>Pablo de la Peña</t>
  </si>
  <si>
    <t>…al teniente que se nombre para desempeñar aquel cargo. 4-° Que respecto a ios oficiales heridos, ó que se hayan distinguido, inclu Art. 8.° El fondo de temporalidades que resulte de la aplicación de este so el cobernador coronel D. Pablo de la Peña, proponga c* comandante ge decreto se destín.:1 í al pago de las asignaciones que Yo tenga á bien conceder neral, como ya le esta prevenido, las gracias á que Íes considere acreedores, para enjugar las lágrimas y dar algún consuelo á los padres, hijos y viudas de - concediendo desde lue^o S. M. al…</t>
  </si>
  <si>
    <t>Peña, Pedro de la</t>
  </si>
  <si>
    <t>Pedro de la Peña</t>
  </si>
  <si>
    <t>…rden para que con fuerza de las dos cubran el puente de Armifion , por el que los facciosos, validos de la oscuridad de la noche , pudieran intentar retirarse. Dios guarde á V. E. muchos años. Vi toria 2 de Febrero de 1834—Excmo. Sr.—Pedro de la Peña.=Excmo, Sr. secretario da Es tado y del Despacho de la Guerra. Gobierno militar de la provincia de Alava.rrNúm. 1&gt;°—He recibido el parte de V. S. de 29, y leido con complacencia la acción qu« sostuvo el Sr. coronel Jchaso con gloria y ventajas de las armas de nuestra Soberana. Sírvase V. S. manifest…</t>
  </si>
  <si>
    <t>Peña, Santiago de Alvarado y de la</t>
  </si>
  <si>
    <t>Santiago de Alvarado y de la Peña</t>
  </si>
  <si>
    <t>…Valladolid, Rodrigues. rSta. Catalina.................. 20 6 8 24 58 26 19 15 10 Adelitiá, ó la Abadía eo la Selva, novela histérica escrita eo ingles por Mis Ana T Jul ian y Sta. Lucía, in de Radcliíf, y traducida al español por D. Santiago de Alvarado y de la Peña : 4 to mos con 4 láminas, á 5a rs. en pasta.—Et Peregrino, ó Cristabela de Moivbray cluso el beaterío de la novela inglesa de Isabel Heluse, traducida dei francés por D. Ramón de Ugena: 2 Trinidad. . .................. 22 12 14 57 42 22 111 romos con 2 láminas, á 26 rs. pasta ; ambas se hallan en l…</t>
  </si>
  <si>
    <t>Peñafiet, Estanislao</t>
  </si>
  <si>
    <t>Estanislao Peñafiet</t>
  </si>
  <si>
    <t>…caución necesaria para mado una liga entre dos facciones que se odian de muerte, y cuyas miras é in no perjudicar á tercero. tereses son tan opuestos, que se acometerían la' una á la otra al día siguiente de El benemérito español D. Estanislao Peñafiet ha conseguido elaborar el vi una victoria, que les siria á ellas mas funésta que á ios mismos vencidos. no de Bergondo del mismo modo que se elabora el de Champaña y se dispo «En'buen hora que se reúnan contra mí estas dos minorías, y que traten ne i emprender otros adelantamientos adquiridos en lo…</t>
  </si>
  <si>
    <t>Pendo, Manuel</t>
  </si>
  <si>
    <t>Manuel Pendo</t>
  </si>
  <si>
    <t>…D. Juan de la Lomba, el cura párroco del pueblo de Lierganes D. Jo é Gómez, que con ios oficiales retirados D. Vicente de la Torriente y El premio de 2500 rs. vn. concedido en cada extracción á las huérfanas D. Diego del Camino, D. Manuel Pendo, D. Marcelino de la Torriente, Don de militares y patriotas que murieron en defensa de la justa causa de la nación Diego del Castillo, D. José Cabello y D. Gabriel Fretre .concurrieron á en la guerra de la independencia, inclusas las de los víctimas del 2 de Mayo la expedición que desbarató los pro…</t>
  </si>
  <si>
    <t>Península, Carlos de la</t>
  </si>
  <si>
    <t>Carlos de la Península</t>
  </si>
  <si>
    <t>…tables amigos el duque de Rich— dientes , muy débiles para gobernar, y bastante fuertes para turbar el reposode mond y el conde de Ripon hicieron franca y generosamente su dimisión, i,-fin sus pueblos. La expulsión de D. Miguel y D. Carlos de la Península es el ob deque su Opinión particular no embarazase la marcha del gobierno; y entonces jeto de la convención; y como para conseguirlo se han juzgado suficientes las fue también cuando teniendo yo noticia de sus intenciones, creí un deber mió fuerzas combinadas de España y Portugal, no han necesitado…</t>
  </si>
  <si>
    <t>Península, Miguel y D Carlos de la</t>
  </si>
  <si>
    <t>Miguel y D Carlos de la Península</t>
  </si>
  <si>
    <t>…do mis respetables amigos el duque de Rich— dientes , muy débiles para gobernar, y bastante fuertes para turbar el reposode mond y el conde de Ripon hicieron franca y generosamente su dimisión, i,-fin sus pueblos. La expulsión de D. Miguel y D. Carlos de la Península es el ob deque su Opinión particular no embarazase la marcha del gobierno; y entonces jeto de la convención; y como para conseguirlo se han juzgado suficientes las fue también cuando teniendo yo noticia de sus intenciones, creí un deber mió fuerzas combinadas de España y Portugal, no han necesitado…</t>
  </si>
  <si>
    <t>Pentland</t>
  </si>
  <si>
    <t>…Perú, asignan á dichos puntos unas distancias relativas muy poco diferente de las que raultan de los reconocimientos del Sr. Oibigny, la» que de consiguiente vienen á encuadrarse en el lienzo de un mapa del que la» posiciona del Sr. Pentland formarán la base. Parts 1S de Diciembre. Para dar una idea de las rectificacione que deberán hacerse en atos ma pas según ate nuevo trabajo, bastará decir que una gran ciudad La Paz., de La primera lección de Mr- Lacretelle atrajo el 4 de este mes un audito berá ser transportada de un pendiente de…</t>
  </si>
  <si>
    <t>Peón</t>
  </si>
  <si>
    <t>…hase á apoyar los movimientos del Princi prendido su ayudante de campo D. Santiago Valderrama 10 cargas de víveres pe, y que el segundó-de Almansa ocupase unas alturas importantes á la dere y á los facciosos que los conducían. El brigadier Peón, encargado del mando cha de Plencia, quedando el primero d? reten en este pueblo con las armas de las diferentes columnas que cruzan los pinares en persecución de aquel ca en pabellón para su custodia en caso necesario, y en el ínterin, se ocupaban los becilla, decía al mismo general, desde Covarru…</t>
  </si>
  <si>
    <t>Peón, D José María</t>
  </si>
  <si>
    <t>D José María Peón</t>
  </si>
  <si>
    <t>…ciudad y 4 en el hospital: añade que los polvos viborcros remitidos por el miPartes recibidos en la secretaría de distado y del Despacho de la Guerra. nisterio se iban distribuyendo proporcionalmente á los que los solicitaban, El brigadier D- José María Peón, comandante general de la brigada des notándose con satisfacción que su uso producía los mas Cavarable* resultados tinada á la persecución del cura Merino, avisa con fecha 15 del corriente cuando se propinaban con prudencia. desde Aranda de Dqero, que había recorrido con las columnas de su mando la…</t>
  </si>
  <si>
    <t>…n uno de los cabecillas que conducían en parihuelas, y gran nñmero de Villafranca, me dirigí por.Zaldivia con este batallón y k caballería, teniendo heridos que trasportaron á Beteíu. á mi inmediación al gefe de la plana mayor el coronel D. José María Peón, La conducta de los brigadieres D. Gaspar de Jáuregí y el barón del Solar, i la citada ermita de )a Raínza, á cuya cercanía me reuní con los demas cuer „]a dsljgcfede ]afplana mayor D. José María Peón, la de todos los oficiales d¿ pos que me habían precedido en la marcha. .• v • ’ felfa,/y. de mi9…</t>
  </si>
  <si>
    <t>Peón, José María</t>
  </si>
  <si>
    <t>José María Peón</t>
  </si>
  <si>
    <t>…los cabecillas que conducían en parihuelas, y gran nñmero de Villafranca, me dirigí por.Zaldivia con este batallón y k caballería, teniendo heridos que trasportaron á Beteíu. á mi inmediación al gefe de la plana mayor el coronel D. José María Peón, La conducta de los brigadieres D. Gaspar de Jáuregí y el barón del Solar, i la citada ermita de )a Raínza, á cuya cercanía me reuní con los demas cuer „]a dsljgcfede ]afplana mayor D. José María Peón, la de todos los oficiales d¿ pos que me habían precedido en la marcha. .• v • ’ felfa,/y. de mi9…</t>
  </si>
  <si>
    <t>Pequeñas, Polo y Monge</t>
  </si>
  <si>
    <t>Polo y Monge Pequeñas</t>
  </si>
  <si>
    <t>…eído el artículo 7.° del proyecto del Gobierno, y en seguida el de la «La artillería y los bomberos formarán compañías sueltas. comisión, como individuo de ella, dijo «Cada batallón y escuadrón tendrá su bandera ó estandarte.” El Sr. Polo y Monge\ «Pequeñas y no esenciales son las dos alteracio Se leyó la siguiente adición del Sr. marques de Monrevírgen: «Pido que nes que presenta la comisión, y por lo tanto creo que el Gobierno no tendrá el Estamento declare sí la elección del arma ha de ser voluntaria en el- indivi inconveniente en adoptarlas. La prim…</t>
  </si>
  <si>
    <t>Pequeño, Isaac</t>
  </si>
  <si>
    <t>Isaac Pequeño</t>
  </si>
  <si>
    <t>…s judiciales de estacha sido la distribución muy fácil y sencilla, no Pequeño, D. José Sánchez y D. Ramón Tajontfta: en cosmografía Don poniendo al cuidado de la subdelegaron de Ayamonte los pueblos de su parti Demetrio Zalvidea, D. Isaac Pequeño, D. Juan Lembeye y el mencionado do y del Cerro, que todos componen 22 con 10,915 vecinos y 4^.34^ almas; D. José Ruibal; en navegación el mismo Ruibal, D. Santiago Rodríguez y el de Aracena compone 29 pueblos, 6in contar las aldeas, con 9,o35 vecinos y D. José JJano ; y en geografía elemental y pr…</t>
  </si>
  <si>
    <t>Pequeño, Pedro y D Robustiano</t>
  </si>
  <si>
    <t>Pedro y D Robustiano Pequeño</t>
  </si>
  <si>
    <t>…ta establecidas en Ay amonte y dracena han quedado las Rúa , D. Francisco Villamil, D. Gervasio Araujo, y dichos D. Pablo Carcamismas, con la diferencia que desde l.° del corriente cada una ha de adminis fio, D. Andrés de Castro, D. Pedro y D. Robustiano Pequeño, D. José Sán trar á los pueblos de los partidos judiciales establecidos últimamente , y quitada- chez y D.. Ramón Tajonera; en trigonometría esférica D. Jo&gt;é Ruibal, D. An la monstruosidad de que AI monte, que está á un extremo de la provincia, de gel Hernando, D. Francisco Vrliamil, j dichos D. Mi…</t>
  </si>
  <si>
    <t>Pequeño, Robustiano</t>
  </si>
  <si>
    <t>Robustiano Pequeño</t>
  </si>
  <si>
    <t>…Me be dedicado á U formación de una matrícula general, mínguez y D. Juan Pardo y Silva;'en geografía elemental D. Pablo Carcafio, de que carecía esta provincia, para de este modo lograr todos los ma&gt;ores pro D. Andrés de Castro , D. Robustiano Pequeño, D. José Sánchez y D Ra ductos de este ramo, su mejor manejo y administración. Las dos subdelegacio món Tajoncra;-en trigonometría plana D. Angel Hernández, D. Miguel nes que había en esta establecidas en Ay amonte y dracena han quedado las Rúa , D. Francisco Villamil, D. Gervasio Araujo, y dichos…</t>
  </si>
  <si>
    <t>Per, González</t>
  </si>
  <si>
    <t>González Per</t>
  </si>
  <si>
    <t>…deben pasar, y presentará su lista á la mayor brevedad posible, por 'modificase, se acmdo que sí. si hubiese que hacer alguna reclamación. Mañana no se reunirá el Estamento: Se mandó agregar al acta'de hrsesion del' 8 el voto del Sr. González Per lo verificua el lunes para la discusión de las peticibnes que estan anunciadas. rez, conforme con el diCtífitCü'de Ii' ibfeisrótf iófire'é2fÜÍ'(63E'o£S&amp; jr Él inartes será íá’def proyecto de ley sobré el Voto de Santiago.” del territorio espáfiol al Infante D. Cirios. «Ciérrase la sesión.” Subió i…</t>
  </si>
  <si>
    <t>Perales, Agustin</t>
  </si>
  <si>
    <t>Agustin Perales</t>
  </si>
  <si>
    <t>…sobre las solicitu des de admisión en la Real casa de beneficencia de esta corte, oyen He venido, á nombre de mi augusta Hija la Reina Doña do al director del mismo establecimiento, con lo cual se excusará Isabel ii, en nombrar á D. Agustin Perales y á D. Miguel Mo al ministerio de mi cargo de una ocupación que no es propia de reno para las dos plazas de consejeros en la sección de Marina del sus funciones. De Real órden lo comunico á V. E. para su inte consejo Real instituido por mi decreto de 24 de Marzo último, de ligencia y efectos correspo…</t>
  </si>
  <si>
    <t>Perales, Agustín</t>
  </si>
  <si>
    <t>Agustín Perales</t>
  </si>
  <si>
    <t>…0 • Larreta; D. José López Juana Pinilla. Ayer llegó á esta ciudad el nuevo embajador de España , conde Para la de Marina á D. Martin Fernandez de Navarrete, deca de Floridablanca. Hoy, acompañado del caballero Vial, ha hecho no; D. Agustín Perales; D. Miguel Moreno- una visita á lord Palmerston, y el 16 será presentado á S. M. Un Para la de Fomento á D. Juan Alvarez Guerra, decano; Don número considerable de distinguidos personages, incluso el cuerpo José Canga-Arguelles; D. José de Heredia; £&gt;. Justo José Ban- diplomático, han ¡do á visitar…</t>
  </si>
  <si>
    <t>Perca, Camilodél Pozo y D Nicolás</t>
  </si>
  <si>
    <t>Camilodél Pozo y D Nicolás Perca</t>
  </si>
  <si>
    <t>« . l ' 1 _y . Juan Ramón Huesca, y en lo* heridos D. Jos* Vivar, «argento 2*, Juan gacton , y teniendo suficiente concurrencia para sostenerla* cura perspectíra ál Corveynf D. Pascual Vicente, D. Camilodél Pozo y D. Nicolás Perca, del , presente es muy lisonjera. ----—______ ______ ’ mismo cuereo. Las demás partidas de Urbatio* dé las Villas de la Torre de No es necesario detallar aquí las miras de los empresarios con respectó a JúnnAbad, Yillanueva de la Fuente* Infantes, Manzanares, Membrilla y lo* planes que deberán adop…</t>
  </si>
  <si>
    <t>Perca, D Mditon</t>
  </si>
  <si>
    <t>D Mditon Perca</t>
  </si>
  <si>
    <t>…sicte y Befa de 1^. trefe. (lí—ffa). ya bien depuestos 4 defender esta ciudad claarratt legitima R&amp;uia, concurriendo todas las ea^axjucá gdfs ycficiales de todas armas á porfia 4 auxiliarme ¿úfoe 25 dr Sftitmirr. afosi »i coano d brigadier D. Mditon Perca det Camino; coS&amp; afe las fia lias de mar eta este puerto, hizo desembarcar 110 Parte. Palacio de Qurinz 24- de StfírnAir.=S M.1 d hssfim &lt;fc nrit íru an ss ***'■ nyiifrut** nfiaalc; me ofreció guarnecer la a ha fallecido á las dos y media de la trefe-=Gil Gariu feflsaa de ÍL. Mw fin, y asonó fenchí…</t>
  </si>
  <si>
    <t>Perca, Mditon</t>
  </si>
  <si>
    <t>Mditon Perca</t>
  </si>
  <si>
    <t>…fa de 1^. trefe. (lí—ffa). ya bien depuestos 4 defender esta ciudad claarratt legitima R&amp;uia, concurriendo todas las ea^axjucá gdfs ycficiales de todas armas á porfia 4 auxiliarme ¿úfoe 25 dr Sftitmirr. afosi »i coano d brigadier D. Mditon Perca det Camino; coS&amp; afe las fia lias de mar eta este puerto, hizo desembarcar 110 Parte. Palacio de Qurinz 24- de StfírnAir.=S M.1 d hssfim &lt;fc nrit íru an ss ***'■ nyiifrut** nfiaalc; me ofreció guarnecer la a ha fallecido á las dos y media de la trefe-=Gil Gariu feflsaa de ÍL. Mw fin, y asonó fenchí…</t>
  </si>
  <si>
    <t>Perca, Nicolás</t>
  </si>
  <si>
    <t>Nicolás Perca</t>
  </si>
  <si>
    <t>Percvostchikoff</t>
  </si>
  <si>
    <t>…uido á toda pfjsa Habiendo sido examinado en el mes dé Mayo ultimo por el gobcmdorjcíytl ©on éstéobjetd.£ld.y de Kostroma respondió cotí"’la mayor exactitud á todas las cuestiones ^quése “ V - -SAVfERA* le propusieron. Después el profesor Percvostchikoff visitando los establecimien tos de instrucción pública del mismo gobierno , quiso convencerse de las dis Munich 10 de Diciembre. posiciones extraordinarias de este niño. ' ' • f S. M. el Rey acaba de conceded E duque de Leuchtombe^ ik decc^acioh tííé aquí cómo habla de él. " v Le propuse las cinco…</t>
  </si>
  <si>
    <t>Perdió, Carlos Vigil de Miran</t>
  </si>
  <si>
    <t>Carlos Vigil de Miran Perdió</t>
  </si>
  <si>
    <t>…ahaCer posturadel juezacudasubdelegadoá dichodeSr.mostrencos,juez por lavacantesescribaníay ab¡ntesr*tovdede Garamendt. la ü andes»............... 8 á ‘ 14 ídem.... 12 00 3 dúdad de Cádiz y su partido, se cÍtaá(D. Eligió Ustariz* D. Carlos Vigil de Miran Perdió.................. 13 í 16 ídem... ' 11 4 3 da, D- Antonio Marquida, D. Juan Miguel Martícorena, P* Domingo de la Torre y Retís. .................. 13 á 13 ídem... 11 6 1 p. Juan Nicolás.de Acha* ó á sus albaceas, herederos y parientes dentro del cuarto Tortosa......... 12 á. 14 ídem... 26 t 6 grado,meses secomoprese…</t>
  </si>
  <si>
    <t>Péreá, Camilo del Pozo y D Nicolás</t>
  </si>
  <si>
    <t>Camilo del Pozo y D Nicolás Péreá</t>
  </si>
  <si>
    <t>…y suficiente concurrencia, con que puede con Muñoz; la de Isabel n al sargento 2.° D. José Vivar y á losUrbano* Don tarse, están en estado de formar una opinión muy exacta ia mayor parte de los Juan,.Corbeya, I&gt;. Pascyal Vicente, D. Camilo del Pozo y D. Nicolás Péreá* empresarios, en razón de su residencia y transacciones en las costas déla Penín heridos; cinco cruces mas de Isabel u, que serán distribuidas por el referido sula: esto era casi innecesario manifestarlo, teniendo presente los beneficios que comandante á los que se hayan hecho mas acreedores; siend…</t>
  </si>
  <si>
    <t>Péreá, Nicolás</t>
  </si>
  <si>
    <t>Nicolás Péreá</t>
  </si>
  <si>
    <t>…ncia, con que puede con Muñoz; la de Isabel n al sargento 2.° D. José Vivar y á losUrbano* Don tarse, están en estado de formar una opinión muy exacta ia mayor parte de los Juan,.Corbeya, I&gt;. Pascyal Vicente, D. Camilo del Pozo y D. Nicolás Péreá* empresarios, en razón de su residencia y transacciones en las costas déla Penín heridos; cinco cruces mas de Isabel u, que serán distribuidas por el referido sula: esto era casi innecesario manifestarlo, teniendo presente los beneficios que comandante á los que se hayan hecho mas acreedores; siend…</t>
  </si>
  <si>
    <t>Pereda, Vicente</t>
  </si>
  <si>
    <t>Vicente Pereda</t>
  </si>
  <si>
    <t>…ividuos dei cucépo diplo po, vengo en nombrar en su lugar á D. Gerónimo de la Torre de Trassierra, mático están dando grandes y magníficos convites. El que mas ha llamado laj oidor de la audiencia de Aragón; y.para sus resultas i D. Vicente Pereda, al atención ha sido el del embajador de Francia el conde .de Saint-Aulaire , por calde del crimen decano de la misma. Tendráse entendido en la Cámara para la esplendidez, concurrencia y asistencia de todos los plenipotenciarios. (.G su cump\imienio.e=Está rubricado de U Real mano.En Palacio í 9 de…</t>
  </si>
  <si>
    <t>nfiTiTnrMítr - J01 7 FRANCIA. men de la audiencia de Aragón, vacante por salida de D. Vicente Pereda á la 1 París 3 de Febrero* , de oidor de la misma, á D. Josef Mariano de Olañeta , alcalde mayor de Je - ■ _í rez de la Frontera. También se ha dignado conceder honores.de alcalde del cri CÁMARA de tos pares.__ Sesión del día 30 de J&amp;gtrOi men de la audiencia de Sevilla á D. Vicente Vidal y Saavedr…</t>
  </si>
  <si>
    <t>…redite haberse realizado completamente en eJ improrogable 1 ro aviso en la noche del mismo día, añade que habían sido fusilados ya varios término de un mes contado desde hoy. facciosos. Lo mismo dice el comisionado regio de Alava D. Vicente Pereda al Art. 2.° Los ayuntamientos de los pueblos en que aun no se haya princ ministro de Gracia y Justicia, añadiendo que la conducta de los urbanos y de piado el cementerio, han de presentar igual testimonio que el expresado en el] los leales habitantes de la ciudad fue tan honrosa como la del ejércit…</t>
  </si>
  <si>
    <t>…nso, ministro supernumerario de la Real audiencia de Madrid, pase xu humana que no la repruebe y condene. Por desgracia vemos hov el de nues inmediatamente con «t carácter de comisario regio y corregidor de Bilbao á tota adiid' y D. Vicente Pereda» cétfor de la audiencia de Aragón, k la provincia tra aucusia Reina Doña Isabel n i i, Borbon descaradamente atacado, y al gunas de sus provincias padeciendo las necesarias resultas de es:» rebelión. Una! xfe^Vlava con el mismo carácter de comisario régro, y con el objeto de inquirir guerra sangrie…</t>
  </si>
  <si>
    <t>…de regente á D. Alvaro S. M„ queriendo cese tal escándalo, prohíbe desde ahora la publicaciónGómez Becerra: en clase de oidores á D. Antonio Cortés y Zavala, de dichos papeles, bien sean iinpresosó manuscritos, s’i no están autoá D. Vicente Pereda, á D. Pedro Ayuso, que lo son de la misma, á rizados con las precisas formalidades de la ley: los ciegos ó ¡lefsonasD. Manuel Leonardo Vizmanos, fiscal del crimen de dicha audiencia, que los pregonen serán arrestadlas v expulsados en la misma hora á P- Gas|&gt;ar Ondovilla, que lo era de la de Barcelo…</t>
  </si>
  <si>
    <t>Perégil, Antonio Ruiz</t>
  </si>
  <si>
    <t>Antonio Ruiz Perégil</t>
  </si>
  <si>
    <t>…r , de! msesrro Donizrtti. puetta*én cuartetos Tpanr^p me participaron la formación de una facción en las inmediaciones de para dos vfolines, viola y bajo; y para flauta, violín, viola y bajo. Se' bailará a 99 Moya, comandada por D. Antonio Ruiz Perégil, que debía fomentarse con reales en el nuevo almacén de música carrera de Si Gerónimo, núm. 13. cente^de estA^prpvincia, y desde luego destaqué en persecución suya 150 hom * ■ -Se halla vacante la plaza de médico de Rivadavia. provincia de Orense. Tiene bres del batallan de Almanta y algunos. Urban…</t>
  </si>
  <si>
    <t>Pereira</t>
  </si>
  <si>
    <t>…pensar al público, y tiene los ánimos A las tres y media de la tarde, S. A. la Serma.Sra. Infanta Doña Ana. el en alguna ansiedad. No es de extrañar que se haya repetido la noticia de que duque de Palmella, barón de RendufFc y el caballero Pereira, á nombre de la 'el Rey de Nápoles pensaba dar una constitución 4 su pueblo. El que haya ob sociedad que se propone dar un baile al duque de Tercera el 24 del corriente, servado los últimos pasos del gobierno napolitano conocerá que no es esta una se presentaron á S. M. el duque de Braganza solicit…</t>
  </si>
  <si>
    <t>Pereira, Rafael Yusté</t>
  </si>
  <si>
    <t>Rafael Yusté Pereira</t>
  </si>
  <si>
    <t>…enfermedad reinante en Granada va descendiendo sensibleara la vara de la Villa del Rio á D Félix Alvarez Arenas: pan la de Mon- mente, no obstante la desigualdad de la estación; y el número de fallecidos de lanch, en Cataluña, á D. Rafael Yusté Pereira; y para la de Oña i D. An todas enfermedades indica tocar su término final según el estado que i V. E. tonio María Massa. acompaño. Lo que tengo 4 honor de manifestar i V- E. para su conocí miente.</t>
  </si>
  <si>
    <t>Peres, Manuel</t>
  </si>
  <si>
    <t>Manuel Peres</t>
  </si>
  <si>
    <t>Ibhó i , jitid D. Manuel Peres áe Quintero, y al jóvcn distinguido de, carabineros d* cos bala por lina ventana -á media tarde, y de resultas murió al otro die. tas D. Santiago Guirea, que circularon mis órdenes á rodos lóS puntos del fue- ' Dia-21. «Desdeéste día al 28 ,' amboémclcsives, sin novedad, á pesar del go, y me acompa…</t>
  </si>
  <si>
    <t>Pérez, Agustin</t>
  </si>
  <si>
    <t>Agustin Pérez</t>
  </si>
  <si>
    <t>…D. Gabriel José seraskáer-bajá. _ ¡ Mastrati, por La Danae, núm. 16. Tercero: á D. José Sánchez Baubet; por él grupo de Laoocon. ____ Hé aquí un ejemplo del lujo y séquito inmenso que llevan los goberna Cabezas. Primer premio: á D. Agustin Pérez, por el rostro del Salvador, dores generales de las Indias británicas. En el último viage que lord VVilliam Cuadro núm. 24. Segundo: á D. José Gabriel Mastrati, por la cabeza de la Bentinclc hizo por lo interior del país, su equipage fue llevado por 103 ele Magdalena, núm. 16. Tercero: á D. Francis…</t>
  </si>
  <si>
    <t>Perez, Antonio Froilan</t>
  </si>
  <si>
    <t>Antonio Froilan Perez</t>
  </si>
  <si>
    <t>…en aquella capital por Real orden de 28 de Setiembre del año propios de la provincia de Valladolid, vacante por fallecimiento de D. Vicen próximo pasado, S. M. se ha servido autorizar á la citada corporación para que te Laviña, á D. Antonio Froilan Perez, cesante de la de Granada: la de ofi ensaye dicho reglamentó, proponiendo las adiciones ó modificaciones que la cial segundo de la contaduría de igual clase de Albacete, vacante por promo experiencia dé á conocer como necesarias. ción á oficial primero de D. Cipriano Saiz, á D. Benito López Enguída…</t>
  </si>
  <si>
    <t>Perez, Evaristo</t>
  </si>
  <si>
    <t>Evaristo Perez</t>
  </si>
  <si>
    <t>…icaciones que Otros dos certificados que acreditaban haber prestado el juramento suple se hicieron de estos principios en la cédula , y las Restricciones y limitaciones torio de su dignidad de Próceres del reino los Excmos. Sres. D. Evaristo Perez contenidas en varias de sus disposiciones, los desvirtuaron y alteraron conside de Castro, ministro plenipotenciario de S. M. en Lisboa, y D. Cayetanb rablemente, haciendo la suerte de los compradores sumamente precaria , v sujeta Valdés. á riesgos y eventualidades. El reintegro del capital se hizo…</t>
  </si>
  <si>
    <t>Perez, Felices</t>
  </si>
  <si>
    <t>Felices Perez</t>
  </si>
  <si>
    <t>…dulas i instrucciones, drdeoes y demas dispo «Velones del ramo de Pósitos, expedidas basta fin del afio de 1836, con Se ha pedido á los fabricantes de toda especie una memoria algunas notas instructivas para mayor ilustración por D. Felices Perez circunstanciada sobre el estado de sus establecimientos, y se pro Morga. Un romo en 8.° mayor, edición de 1817 á 14 rs. rúnica. cura perfeccionar la elaboración del queso, ¿ introducir la indus ----- Programa de un curso de geometría y mecánica, aplicadas á las artes para uso de los artesanos y de…</t>
  </si>
  <si>
    <t>Perez, Fulgencio</t>
  </si>
  <si>
    <t>Fulgencio Perez</t>
  </si>
  <si>
    <t>…nte la necesidad que había de mejorar la calidad é hiladura de nuestras A propuesta de la . dirección general de correos S. M. se ha servido nom sedas, proponiendo ciertas reglas que al efedro debían observarse; y enterada brar á D. Fulgencio Perez, interventor de la administración de Lugo; para la S. M. de lo expuesto sobre el particular por el gobernador civil de aquella de Andujar; y al cesante D. Higimo de Agustra Gil para U plaza de ofi capital, se ha servido mandar por Real orden ck 9 del actual, de conformi cial 4-° de está última admi…</t>
  </si>
  <si>
    <t>Perez, Gabino</t>
  </si>
  <si>
    <t>Gabino Perez</t>
  </si>
  <si>
    <t>…que voluntariamente acompaña to das las salidas, y el cabo de aquel destacamento Demetrio Duque, los cuales ción de aquel reino y parte adyacente de León, excepto la provincia de Mon se habían distinguido, como también el alférez D. Gabino Perez, teniente do ñedo y la región contigua de Asturias, que fecundan los r¡06 Eo y Natía. D. Andrés Tojo, y subtenientes Vargas y Machado, de granaderos de la Guar Al emprender esta última parte de las operaciones geodésicas con toda dia Real provincial, que tanto ellos como la demas tropa de este cuer…</t>
  </si>
  <si>
    <t>Pérez, González</t>
  </si>
  <si>
    <t>González Pérez</t>
  </si>
  <si>
    <t>…pn Ja'lijisma.smtoSraá-D^Andreáv, El Estamento quedó enterado de un oficio de la comisión de Aduanas, Arango, á quien lo&gt; facciosos habían cogido sus poderes con ía. corresponden?*—V participando haber nombrado decano de ella a! Sr. González Pérez, y secreta cía que Interceptaron. Las elecciones.de Guipúzcoa se hicieron en virtud de.íij rlo al Se. Galivey: de, otro de la de Rentas provinciales en qué asimismo parti promulgación del Estatuto Real; se declararon nulas,,y :á pesar de eso dijo, - cipaba había nombrado decano suyo al Sr. Anaya,,…</t>
  </si>
  <si>
    <t>Perez, Isidro</t>
  </si>
  <si>
    <t>Isidro Perez</t>
  </si>
  <si>
    <t>…o, J d. ta de plantear sociedades económicas en algunos puntos como en aquella ciudad y la del Ferrol. Ha comunicado á la junta superior de Caridad la Real orden para que se ANUNCIOS, pongan á su disposición los 3009 rs. que dejó D. Isidro Perez para la funda ción de un hospicio, lo cual si se consigue , como lo espera, se emprenderá desde luego la obra- Con este motivo elogia el zelodo la junta y el del vecin Ql*ras que se hallan de venia en el despache de ¡a imprenta Real, dario , que mensualmente contribuye con una cantidad proporcionad…</t>
  </si>
  <si>
    <t>Pérez, Isidro</t>
  </si>
  <si>
    <t>Isidro Pérez</t>
  </si>
  <si>
    <t>…salió cual se deseaba , pues esta tarde tuvo que fu E»tá reuniendo noticias sobre los estab.ecimícn'.os de beneficencia : y en garse el tercer batallón, que con Iturralde había ya llegado á este punto, y coa- cuanto al legado de D. Isidro Pérez, y a .a abuiL:. »n del privslecn de .1 in tramarchar los de Zumalacarregui, que llegaban á Sansoain cuando se divisó la clusa de Santiago, se practican ias diligencias convenientes para .levar á c..cta brigada del general Lorenzo: la entrada de la noche no nos ha permitido conti las órdenes de b. M…</t>
  </si>
  <si>
    <t>Perez, Javier</t>
  </si>
  <si>
    <t>Javier Perez</t>
  </si>
  <si>
    <t>…lor de cobre. La chimenea sobresale por encima de la máquina fue. muerto el que los mandaba, que según los papeles que se le encontraron se como una boca abierta lanzando millares de centellas. A cierta dótancia se ove el llamaba D. Javier Perez, cogiéndole un macho: continuando hacia el valle de ruido de la respiración opriin da de los cilindros. En aquella oscuridad , en aque Ulzama ture ñoticia de que había aduaneros en Lizaso, y en el camino perse lla vasta soledad, en medio del silencio profundo de aquel país agreste, seria guí á cuat…</t>
  </si>
  <si>
    <t>Perez, José</t>
  </si>
  <si>
    <t>José Perez</t>
  </si>
  <si>
    <t>…r de nuevo al premio ofrecido remitir sus ía, que me reservo presidir cuando pueda, se compondrá del corregidor de esta memorias al secretario de la academia D. José Ramos presbítero, habiendo de ] ciudad, como vicepresidente; de D. José Perez, regidor decano dd ilustre quedar en su poder para el último día de Agosto de este año. .ayuntamiento; de D. Juan Tejero, racionero de esta santa iglesia catedral; de Ó. Luis Arrabal, procurador del común; del procurador de la tierra que se Julle en turno para asistir al ayuntamiento, y de D. Santo…</t>
  </si>
  <si>
    <t>…r de nuevo al premio ofrecido remitir sus ía, que me reservo presidir cuando pueda, se compondrá del corregidor de esta memorias al secretario de la academia D. José Ramos presbítero, habiendo de ] ciudad, como vicepresidente; de D. José Perez, regidor decano dd ilustre quedar en su poder para el último dia de Agosto de este año. .ayuntamiento; de D. Juan Tejero, racionero de esta santa iglesia catedral; de Ó. Luis Arrabal, procurador del común; del procurador de la tierra que se Julle en turno para asistir al ayuntamiento, y de D. Santo…</t>
  </si>
  <si>
    <t>…mayor D. Domingo de Aristirabal, Isa'bel ii y de su adorada y augusta Madre la RBiNA‘Gobemadera. y mis ayudantes de campo y de plana mayor O. Juan Zavala, D. José Oribe, D. Santiago Miranda , D. Julián Pascaran, D. Kufino Ipiña y D. José Perez, marché á otra serie de alturas mas á la derecha, desde donde se descubría bien - El buque correo xle lá 'Habana núm. 4 ^árá la vela del ¡puerto de Cádíz el r| de. cerca al enemigo; y estándolo observando llegó sobre nosotros por una en 2 de Junto próximo, conduciendo la correspdtidtíncia &lt;lc 4a is…</t>
  </si>
  <si>
    <t>Perez, José Lorenzo</t>
  </si>
  <si>
    <t>José Lorenzo Perez</t>
  </si>
  <si>
    <t>…z de rías de las capitales de provincia, con el aumento de un real. 1 ——Elementos de muSeria médica, arreglados á los principios fisiológicos adoptador ' la Real y distinguida Orden de Carlos tu (77.) por J. B. Barvier, porel Dr. D. José Lorenzo Perez: segunda edición, corregida y au Ley del- reino' mandando queden abolidas las prestaciones de pan-y vino co mentada con un .tratado de terapéutica y de los medios higiénicos aplicados a la cura nocidas con el nombre de Voto general- y partícttlavdeSaníiagb. 'fNdrttc- ción. de-lgs.enfermedades, y-.c…</t>
  </si>
  <si>
    <t>Perez, Julián Aquilino</t>
  </si>
  <si>
    <t>Julián Aquilino Perez</t>
  </si>
  <si>
    <t>…tas provinciales; D. Joaquín Liaño, in Una compañía. . . Sargentos segundos.............................. 4 tendente general mili.ar; D. Andrés Caballero, director del banco Cabos primeras, incluso un furrieL 8 de San Fernando, y D. Julián Aquilino Perez, director del Real Cabos segundos..................................... 8 tesoro. Tambores................................................ 2 3? Dará esta comisión su dictamen en el preciso término de tres Soldados (10Í ó 102)............................ 101 dias. 4? Pasará en seguida el mismo dictam…</t>
  </si>
  <si>
    <t>Perez, Kufino Ipiña y D José</t>
  </si>
  <si>
    <t>Kufino Ipiña y D José Perez</t>
  </si>
  <si>
    <t>…mi gefe de plana mayor D. Domingo de Aristirabal, Isa'bel ii y de su adorada y augusta Madre la RBiNA‘Gobemadera. y mis ayudantes de campo y de plana mayor O. Juan Zavala, D. José Oribe, D. Santiago Miranda , D. Julián Pascaran, D. Kufino Ipiña y D. José Perez, marché á otra serie de alturas mas á la derecha, desde donde se descubría bien - El buque correo xle lá 'Habana núm. 4 ^árá la vela del ¡puerto de Cádíz el r| de. cerca al enemigo; y estándolo observando llegó sobre nosotros por una en 2 de Junto próximo, conduciendo la correspdtidtíncia &lt;lc 4a is…</t>
  </si>
  <si>
    <t>Perez, Manuel Romero y</t>
  </si>
  <si>
    <t>Manuel Romero y Perez</t>
  </si>
  <si>
    <t>…federación germánica: que Jas Cámaras no ejercerán en adelante los detechos que recientemente se han ab Para el corregimiento de Arévalo, vacante por remoción de rogado , y que no esten escritos en su respectiva Carta constitucio D. Manuel Romero y Perez, nombro á D. Valentín de Garfil- nal , tales como el no.admitir las leyes y decretos dados provisio da. Tendréisló entendido, y lo comunicareis á quien corresponda— nalmente por el gobierno , rehusar los impuestos, disminuir ó anu Está rubricado de la Real mano. = En Aranjuez á 17 de Abril lar la d…</t>
  </si>
  <si>
    <t>Perez, Miguel</t>
  </si>
  <si>
    <t>Miguel Perez</t>
  </si>
  <si>
    <t>…uardia y eligiese la primera ser, D. Antonio Bciuii y D. Manuel Pavía, avadante de órdenes del barón &lt;ft posición ventajosa que se presentase á la salida del bosque; con este objeto se Meer. Igual honorífica mención debo hacef de D. Miguel Perez, capitán de la ocupó la d^ Ezagarate., que es urta altura en cuya cúspide fny una gran plata Guardia Real de granaderos provinciales; del teniente del misnto cuerpo Pon forma, siendo sus accesos descubiertos y escarpados, y dominando los caminos Vemur3 Moragues, y de los subtenientes del propio-D.-…</t>
  </si>
  <si>
    <t>Perez, Miguel Puebles Pili Enfermos Curados Fallecidos</t>
  </si>
  <si>
    <t>Miguel Puebles Pili Enfermos Curados Fallecidos Perez</t>
  </si>
  <si>
    <t>…comprta;con apercibimiento de que pasado sin hacerlo les parará perjuicio. ——Por providencia del Sr. de Norzagaray, teniente de corregidor de esta villa, re frendada de Gaona y Loeches, escrlbanrt de! número de la misma, seelta a D. Miguel - Puebles. Pili. Enfermos. Curados. Fallecidos. Perez Casasolar. D. Juan Fernandez, D Juan Manuel Gómez, D. Luis García Chabarti, tesorero de anualidades y medias anatas, y al director de la Real Caja de Amortiza ■ i ......... ción 4 cuyo favor fue endosado el vale Real consolidado de 100 pesos, de la creación de 1 o de Setiembre dé 1830, núm. 81,076,…</t>
  </si>
  <si>
    <t>Pérez, Rafael</t>
  </si>
  <si>
    <t>Rafael Pérez</t>
  </si>
  <si>
    <t>…es dieron unos plisar oficiales y tropa nada me hán dejado que desear"; ño pudiendo menos de reco nos que los siguieron por rescatar sus cabillos les hubiera alcanzado en la Al*r mendar á V. E. el mérito particular de mi ayudante D. Rafael Pérez, quien med.i donde se dejiron la comida , una carga de cebada, un fusil y una caja do ademas de comunicar mis órdenes con toda precisión y exactitud, se halló en guerra, tomando desde aquel pudto una marcha tan precipitada que seguidos las guerrillas de infantería; haciendo igualmente particular me…</t>
  </si>
  <si>
    <t>Perez, Vicente</t>
  </si>
  <si>
    <t>Vicente Perez</t>
  </si>
  <si>
    <t>…istencia he recibido y recibo. Dios guarde á V. E. muchos años. El capitán D. Jesé María Crespo, que con 10 caballos del 3.° Morella 16 de Abril de 1834—Excmo. Sr.reRafael Hore. = Ex ligeros va en seguimiento del oficial desertor D. Vicente Perez celentísimo Sr. capitán general de Val encía.=Es copia—Valdés. Bentero, dice á dicho comandante general que el 19 aprehendió á uno de los que acompañaban á aquel traidor, no sin esperanzas de Ayer supe en Cherta que la columna de 300 facciosos que ha encontrar á todos ellos, que errantes y fugitivo…</t>
  </si>
  <si>
    <t>Perfil</t>
  </si>
  <si>
    <t>…quiere proteger la moral pública, sino acabar con la libertad de im- soltando 6u señora esposa varias palomas blancas con cintas de color de isabeia, símbolo de la inocencia de nuestra joven Reina, y otras de azul Cristina en J^l Sr. Perfil $e opone a la propuesta del Sr, Leyraud, porque si bien quita: obsequio de 1a Reina Gobernadora. En seguida tres señoritas hijos de los se la facultad de pregonar folletos, deja la de distribuir, y no hace mención de ios ñores Ballesteros y Casa Valiente se presentaron en una carretela elegantemen emb…</t>
  </si>
  <si>
    <t>Pérfrd</t>
  </si>
  <si>
    <t>…órilénte, ha llegado á-Portsmouth. Todo estaba tranquilo efl aquella capitaf,'y loi negocios seguiafi su curso sin interrupción. El estado de la salud de -La gaceta de S. Petersburgo del 1 de Julio contradice la noticia esparcida D. Pérfrd era delicado, y su enfermedad parece tiene origen en una caída de en algunos papeles extrangeros, de que el Emperador hacia un viage á Crimea, caballo que dió en el Brasil. Las muchas fatigas sufridas en la última época, y de que las tropas rusas hablan tomado posesión de una provincia de Pcrsia, y…</t>
  </si>
  <si>
    <t>Pero</t>
  </si>
  <si>
    <t>…s partes recibidos por el Gobierno, se ve precisado i pan-afianzar la misma libertad. refugiarse de caverna en caverna, mas bien como un foragido que como un ' «Por manera que el Gobierno, que adoptó por amor al órden legal la su príncipe. Pero á pesar de esto, no puede desconocerse que aquel partido no es presión de lós^ consejos militare», «e ha viito precitado á decretar tu restable Syn débil como parece, porque en las banderea de ese príncipe hay escrita la cimiento en los punto» en que asi lo requiera |a conservación de la tranquili…</t>
  </si>
  <si>
    <t>…os la fatal máxima de que no hay obligación de devolver el pre to nuevo á lo quedólo fue una verdadera ratificación. El empréstito, fue con cio de la venta cuando esta se declara nulaJ tratado con la regencia, y ratificado por el Rey. Pero hay otra circunstancia «Otra consideración, en las circunstancias particulara en que nos halla sobre la que llamo mas particularmente la atención, y a que ías Córtes do mos , es que desechado ate empréstito, es claro que las bolsas que no se han concedieron á S. M. una dictadura al disolverse, no:…</t>
  </si>
  <si>
    <t>…anes 2.° Los viudos sin hijos. elegidos por los de su clase, y de los cuales se relevará uno cada año, un te Y 3.° Los casados sin hijos menores, por este órden. niente y un subteniente, elegidos anualmente por sus compañeros, un sargento Pero los que no sirvan voluntariamente no podrán ser detenidos en cam primero, elegido también á votos por los de su clase , y el ayudante mayor del paña y fuera de sus casas, sino por el término improro^able de cuatro meses. batallón. El segundo ayudante desempeñará las funciones de fiscal en los casos Los…</t>
  </si>
  <si>
    <t>…usibles noticias, en cumplimiento de las órdenes de su Gobierno, conclu de la reforma, sino elegir candidatos adictos á ella en toda la extensión dei ye reiterándote sus respetuosas expresiones de aprecio y distinguida consídera- reina Pero nosotros no queremos republicanos, ni revolucionarios, ni fanáti cion.=Juan’de Dios Cañedo. cos religiosos ó impíos, ni aventureros desesperados, ni personas que no ten gan otra cualidad que la de ser pobres: de todos estos ya hemos tenido algu El presidente de los Estados Unidos Mejicanos á S. E.…</t>
  </si>
  <si>
    <t>…primero de. estos, reservado in pectore «n el consistorio de 30 de Se por haberse averiguado que otro candidato reunió un Voto lilas en el escruti tiembre de 1831, es 5. E. el arzobispo de Larisa Francisco Canali, natural de nio general. Pero un hermano de M. Fould, también judio, salió diputado Pérusa, de edad de 61 anos. por S. Quintín con gran mayoría de votos, y su clccci n fue apoyada por pro los otros tres son el Emo. Sr. Trigona-e-Parisi, arzobispo de Palermo, testantes y católicos. (Ckronicle.) natural de Piazza, en Sicilia, de…</t>
  </si>
  <si>
    <t>…ble que la que se podía razonablemente esperar, «a Jibia puesto al frente de los rebeldes, y habla conseguido algunas ventajas so vista de las reducciones que se han verificado en d año último sobre los de bre las tropas del Gran Señor. Pero estas, según se dice hoy, han vuelto por rechos respectivos ¿ los intereses agrícolas, y la del derecho sobre casas en el Sü honor, y han dispersado á Jos rebeldes. Lo único que hay que temer es que presente año. El déficit en las contribuciones para ai presente año ha excedi se teunan para formar…</t>
  </si>
  <si>
    <t>Pero, Domecq</t>
  </si>
  <si>
    <t>Domecq Pero</t>
  </si>
  <si>
    <t>…ad de imprenta sin prévia censura es insenarable libenad de imprenta trae consigo la ignorancia ; esa ignorancia que con tan de la institución del jurado; porque por una circun&gt;t!ncia rara , exiraord navivos cotores ha pintado el Sr. Domecq. ¡Pero es tan cierto que sea necesa ri« , ciiraña , caprichosa , ó como quierí llamirs-Ia , no puíde exigir i* li ria la libertad de imprenta en el sentido que en el arlícujp se toma, es decir, bertad de imprenta sin sujetar los delitos que provienen de ella á la arb trasin previa censura, para ¡lustrar á…</t>
  </si>
  <si>
    <t>Pero, Echevarría</t>
  </si>
  <si>
    <t>Echevarría Pero</t>
  </si>
  <si>
    <t>…resentar , entonces determina el Estamen «Es necesario saber esa sentencia de que habla la certificación , porque si to. El hecho es que no puede ser Procurador por no justificar la renta, se es absolutoria, debe sentarse aquí el Sr. Echevarría. Pero no quisiera yo que el gún está mandado.” Estamento se encárgase de hacer el oficio,de agente; por lo que me parece que SI Sr. Afedrano: "La comisión ha creído no habla necesidad de hablar la comisión debe reformar su dictámen, "diciendo que por ahora no debe sen- sobre 'el particular de la renta, p…</t>
  </si>
  <si>
    <t>Pero, Galiano</t>
  </si>
  <si>
    <t>Galiano Pero</t>
  </si>
  <si>
    <t>…es, y engañado quizá por ql silencio de ayer del Ministro de modovar y Butrón. 1 Hacrenía, como si á este le faltasen sobradas razones que destruyesen las del El Sr. Calderón (D. Saturnino) dijo: Pido que se apruebe la adición de Sr. Galiano. Pero examinemos también si la baja en todos los fondos y en los ilustres Próceres, que dice asi: (la leyó.) todas las bolsas ha sido tan grande como se propala. En la deuda de 23 acá, y El Sr. Presidente manifestó al Sr. Procurador podía formalizar una pro en la bolsa de París, lo ha sido sin duda: con…</t>
  </si>
  <si>
    <t>Pero, Gorce</t>
  </si>
  <si>
    <t>Gorce Pero</t>
  </si>
  <si>
    <t>…ajuste , y se arreglaron sobre el precia. Dicho* fusiles, según Mr. Gaillard, debían reexportarse.paraGibraltar. 1 AUSTRIA. Treinta y cuatro cajones que contenían los 19 fusila fueron embarcado* o* *1 lugre Federico, al mando.dcl capitán Gorce. Pero ya la policía ataba bien Vinw 2? de Agosto. . informada de que el verdadero punto de desembarco había de. ser Lañehora-al . Este del cabo Michichaco , ó en caso de inconveniente , el puerto dc Paaago. ta&gt; «artas dé comercio que han llegado dé Egipto y de Stnirna a* estas Se había convenido en diver…</t>
  </si>
  <si>
    <t>Pero, Istúriz</t>
  </si>
  <si>
    <t>Istúriz Pero</t>
  </si>
  <si>
    <t>…no: el Gobierno empieza en su proyecto por decirr "quedan vicio de la Milicia urbana sea voluntario: este es en el fondo el principio que todos los cuerpos existentes, como están;” yen esto pasa á dar legalidad, á ha defendido el Sr. Istúriz. Pero este principio ¿es compatible con la esencia dar un derecho á que subsista lo que solo existe de hecho. Lo confirma con de una ley; se pueden asentar en él las bases de esta institución, que debe ser una ley expresa, terminante; en la cual, lejos?le restringir el número, le en permanente? sancha. T…</t>
  </si>
  <si>
    <t>Pero, María</t>
  </si>
  <si>
    <t>María Pero</t>
  </si>
  <si>
    <t>…l-gobierrio; que una -«k fantes D. Carlos y D. Miguel del territorio portugués, como el primer paso ciedad oculta que cifra su prosperidad en el desórden, socave la sociedad cons necesario á la tranquilidad y firmeza del trono de Doña María. Pero cuales tituida que en todo procede sin rebozo , hasta tanto que se ¿lenta con fuerza quiera que sean las medidas que se juzguen indispensables para lograr un objeto para ponerse en lugar de ella; si queréis que haya seguridad en las fabrica» tan deseado , no se recurrirá á la intervención armada. {…</t>
  </si>
  <si>
    <t>Pero, Marra Teresa</t>
  </si>
  <si>
    <t>Marra Teresa Pero</t>
  </si>
  <si>
    <t>…el partido de Almefíá/Máíjrid 8 de Abril de 1834-=J°3ó Agustín de Larramendi. ANUNCIOS. apoderado general del Sr, marques de Eenavet, en aquel principado, á T&gt;. Jotré Magran, II. Miguel Arpe, D. José del Valle, II. Juan Colmenar, Doña Marra Teresa Pero/. ,fr! 1 'Se’sata á pública subasta1 el suministro.de pan para las tropas,- y descebada y paja Camino, D. Gregorio Salines, D. Uomingo RodriguCa, D, Sebastian Luzon j&gt;,.Jaiine pa,a tos caballos rstontes y {gaseuntes en Ja demarcación militar de la capitanía ¡jer-i:- I&gt;.,t. D. Vicente Salbey, D. Man…</t>
  </si>
  <si>
    <t>Pero, Vadiilo</t>
  </si>
  <si>
    <t>Vadiilo Pero</t>
  </si>
  <si>
    <t>…os términos prevenidos por dicho artículo. Para ser Procurador dei segunda que parece debe tener mas valor es la comparación del caso presente Reino dice (lo leyó). El Sr. Alcalá Galiano ha probado que está en posesión con el del Sr. Vadiilo. Pero entonces tuvo presentes la comisión las circuns d- una rrnta anual de t23 rs., 7 precisamente por los medios que establece el tancias que el Sr. Vadiilo exponía al Estamento, por las cuales aparecía que Estatuto Real : de consiguiente debe ser Procurador. este digno español se había visto en la nec…</t>
  </si>
  <si>
    <t>Pero, Villachica</t>
  </si>
  <si>
    <t>Villachica Pero</t>
  </si>
  <si>
    <t>…nda , dijo: «Habiéndose servido S. M- la Reina Gobernadora dar su serlo; y que sí este no hubiera concurrido tal vez no .hubiera podido salir cicgído sanción al proyecto de ley sobre reconocimiento de la deuda extranjera, v au el Sr. Villachica. Pero habiendo seis votos contra cuatro, siempre hubiera ob torización para contratar un empréstito de 4l-,0 millones, me ha mandado S. M. tenido 1j mayoría. De consiguiente debe aprobarse la elección. Dos razones hay presentar esta sanción , y hacer U lectura de la mencionada ley al Estamento en apo\o d…</t>
  </si>
  <si>
    <t>Perpi, D Francisco</t>
  </si>
  <si>
    <t>D Francisco Perpi</t>
  </si>
  <si>
    <t>…N DE PROCURADORES DEL REINO, vOZ. y firme. Id. sin Interes, 16, 17,15* y 17 al contado: 144, 15, 4, 18, 16}, 15}, 16,15}, U4,16|, PROVINCIA JtB TARRAGONA. .4, 17, 18, 4, 4 y 184 4 varias fs. ó vol. Acciones del banco español, 00. Sr. D. Francisco Perpi&amp;a. CAMBIOS. Amsterdam, 00. París, 16-7 i 8. Cádiz, 4 d. Sevilla, Partes rstibidos en la secretaría de Estado y del Despacio, de la Guerra. Bayona,Burdeos, 00.00. Alxo,icante,4 b.acorto ple Coruña,Granada,4}áid.1 Id. Zaragoza,Valencia, 4j Id.&lt;L Hamburgo , 00. Barcelona, á ps. fs-, Málaga, 4 b. Descu…</t>
  </si>
  <si>
    <t>Perpi, Francisco</t>
  </si>
  <si>
    <t>Francisco Perpi</t>
  </si>
  <si>
    <t>…PROCURADORES DEL REINO, vOZ. y firme. Id. sin Interes, 16, 17,15* y 17 al contado: 144, 15, 4, 18, 16}, 15}, 16,15}, U4,16|, PROVINCIA JtB TARRAGONA. .4, 17, 18, 4, 4 y 184 4 varias fs. ó vol. Acciones del banco español, 00. Sr. D. Francisco Perpi&amp;a. CAMBIOS. Amsterdam, 00. París, 16-7 i 8. Cádiz, 4 d. Sevilla, Partes rstibidos en la secretaría de Estado y del Despacio, de la Guerra. Bayona,Burdeos, 00.00. Alxo,icante,4 b.acorto ple Coruña,Granada,4}áid.1 Id. Zaragoza,Valencia, 4j Id.&lt;L Hamburgo , 00. Barcelona, á ps. fs-, Málaga, 4 b. Descu…</t>
  </si>
  <si>
    <t>Perramon, Francisco</t>
  </si>
  <si>
    <t>Francisco Perramon</t>
  </si>
  <si>
    <t>…za ^ d Hamburgo, 00. Barcelona á pesosfs. Málaga k b. Descuento d&lt; Antonio Ratera, idem, de Barcelona. Ldndres á 90 días *b. Saetaoder par. á 4 p. 100 ■ Antonio de Lloselias, idem, de Barcelona. 37 i- Bilbao par á ± d. Santiago 1 d. Francisco Perramon, idem, de Castellnou Vasclla. Josef Amat, idem , de Sarria de Barcelona. Antonio Roquet, idem, de Martoreil. ANUNCIOS. Josef Pavera, idem, de idem. i Garlos; Bojch, ídem , de Hostalets de Balañat. Reglamento aprobado por S. M. la Reiha nuestra Seftora para la organización de la milicia urbana : cua…</t>
  </si>
  <si>
    <t>Perratnonj.fjof, Francisco Javier</t>
  </si>
  <si>
    <t>Francisco Javier Perratnonj.fjof</t>
  </si>
  <si>
    <t>…se el proyecto leído á las co D. Jósé Vicente Bahillo, por Ciudad Real, por id. misiones reunidas de Gracia y Justicia y "Hacienda; y se acordó afirmativa— D. José Veñals, por Gerona , por el cólera. rqen^e.,,.-, .... • , . ; . . D. Francisco Javier Perratnonj.fjof;jRy id_ „ &gt;A propuesta del tnismo Sr. duque de Rivas acordó el Estamento se im-' Conde de Villatnena , por GrSliada', por enfermo. , pellín esc la. sesión del día 3 del 3ctual, cu que se trató de la exclusión de la D. José de Burgos y Tello. por id., id. Corona de España á D. Cárlos María Isidro Bo…</t>
  </si>
  <si>
    <t>Perrier, Brpug</t>
  </si>
  <si>
    <t>Brpug Perrier</t>
  </si>
  <si>
    <t>…ariente y ras evacuarán los Estados de la Iglesia. Asi se cumplirá el proyecto de Casimir amigo de lord Melboume, tiene las mismas opiniones que este, pero és mas joven r de mayor resolución y valentía. Lord Auckland, pariente de lord Brpug- Perrier, que fue imposible realizar durante su vida á causa de que se exigía la evacuación de Ancona sin la salida de las tropas austríacas. La desconfianza que ham , uno de los fundadores de la universidad de Lóndres, de ánimo ardiente existia entre los gobiernos absolutos y populares ha desaparecido. El…</t>
  </si>
  <si>
    <t>Perrier, Ghika de Casimiro</t>
  </si>
  <si>
    <t>Ghika de Casimiro Perrier</t>
  </si>
  <si>
    <t>…la monarquía de 1830 ha Escriben de Bucharest que el 26 de Octubre último se verificó en esta caminado al órden sin descanso, mas con trabajo: esta obra, fruto del genio ciudad con extraordinaria pompa la instalación del hospodar Príncipe Ghika. de Casimiro Perrier, sellada con la sangre de la guardia nacional y del ejerci Los especuladores de nuestra bolsa continúan jugando á la alza , y no sin to en París y León, formaba la gloria y la fuerza del Monarca, la prosperi ganar bastante. En los últimos ocho dias ha habido en las acciones del banco dad del pais y…</t>
  </si>
  <si>
    <t>Perrot</t>
  </si>
  <si>
    <t>…declarado el cólera en Mostagancm. El día 19 de Octubre línea, que mandaba la guarnición, ha dado pruebas de valor, de serenidad y de han ocurrido dos casos, y en los siguientes hasta el 25 no se han contado mas inteligencia. El sargento Perrot, dél 2.a batallón de Africa, le ha auxiliado que 9. La junta sanitaria que se ha reunido inmediatamente y declarádose en . poderosamente; El cabo Loiseau. de la $.* compañía de guardacostas, merece permanencia para poner en práctica las medidas que pueda hacer necesarias también quena ha» de él men…</t>
  </si>
  <si>
    <t>Perseguidos</t>
  </si>
  <si>
    <t>…n S. E. y tan propia de su educación, de $it El comandante general de la Mancha con fecha 21 del corriente toe dice cuna y de su rango. lo que sigue: Dos numerosas bandas de música añadían nuevo encanto con sus dulces so , Excmo. Sr.: Perseguidos eficazmente por todo el Real valle de la Alcudia nes á este hermoso cuadro: una militar que colocada en los portales bajos de los restos del Locho, que según los mas no pasan de 23 caballo*, sin comer ni la casa ejecutaba composiciones escogidas, y la orra, destinada al baile, for descansar desde e…</t>
  </si>
  <si>
    <t>Persil</t>
  </si>
  <si>
    <t>…os diputados__ Serio*i del dia 3» El Sr. Caumartin opina que en la Vendée no es necesario ni conveniente] que haya muchos gendarmas de caballería. El Sr. C. Dupin cree que se puede 1 ' Aprobada el acta de la última sesión, lee el Sr. Persil el dictámen de la acceder á lo que indica el Sr. Mercier, subsistiendo, ínterin la comisión del edfhision encargada de informar sobré el proyecto de ley para reprimir lo* abu créditos da su dictámen # los cuerpos ^egendarmas^eacl pie en que boy sel sos que se cometen vendiendo por las calles follet…</t>
  </si>
  <si>
    <t>…rios; ta de España 3 por 100’-, 39f. Empréstito Real de id. 0. Renta perpetua do en fin, que no se reforma el código criminal como exige la recta administra ¿id ción de justicia. cámara de los difütados.__Sesión de 3 de Enero. El Sr. Persil, fiscal general, dice que decidido por la revolución de Julio y Aprobada el acta de la última sesión lee el presidente la carta de un dipu fiel al juramento que de allí á poco prestó y á las obligaciones que contrajo tado que hace dimisión de este encargo. como fiscal general, ha sacrificado á la c…</t>
  </si>
  <si>
    <t>…M. la Reína nuestra Señora, para cuyo objeto calió en juntos respetando mutuamente su independencia.” medio de una brillante comitiva el Sr. D. Josef Ortix de la Torre, regidor de Tomando en consideración el cargo que se hace al Sr. Persil por ciertas ex cano y alférez mayor, y á su lado el Sr. alcalde mayor y el comandaute mili presiones que dijo en una acusación fiscal, hace ver que no tenían ni podían te tar interino de esta provincia D. Manuel María de la Sierra, dirigiéndose eñ ner el sentido que se les quiere dar. procesión 4 l…</t>
  </si>
  <si>
    <t>…casas consis Cámara avoque á sí el conocimiento de este asunro, y mande hacer averigua toriales, donde ardían muchas hachas de cera. ción &lt;)e l°s hechos. El ayuntamiento con tan plausible motivo repartió muchas limosnas a los El Sr. Persil, fiscal general, dice que hay muchas personas interesadas en menesterosos, y dio una convida abundante á los presos de la cárcel. abultar y desfigurar los hechos, y hace ver que la mayor parte de lo que se ha alegado se halla en este caso: observa que habiendo perdido la vida cuatro -Madrid 24 de M…</t>
  </si>
  <si>
    <t>…an el preludio de la paz y concordia general relativas á imprenta.” Con este motivo se suscita una acalorada discusión entre de que tanto necesita la España para recobrarse de sus pasadas desgracias! el ministro del Interior y el Sr. Persil que se oponen á la admisión de este ar tículo , porque ademas de presentar muchos inconvenientes en su ejecución, da ■ *Colmenar de Oreja 22 de Enero, ría.'margen 3 eludir la ley, y los Sres. Anglade, Garnier-Pagés * Glais-Bizoin, El ayuntamiento de esta villa, deseando cooperar por su parte al vot…</t>
  </si>
  <si>
    <t>Persjl</t>
  </si>
  <si>
    <t>…astos que^óyigina el nuevo mé-: el caso que no fuesen suficientes los medios de que puede disponer mi gobierno." todo de dar al público las sesiones de ella. Se manda que ¿ficho informe se_limr prima y distribuya. 3 FRANCIA. t El Sr. Persjl, en nombre de la comisión que ha examinado el proyecto'3eí París $ ide Marzo. ley presentado por el gobierno sobre atribuciones dé los ayuntamientos,, ¿jipe' Lorya de ayer. Cinco por luo consoiidadííS^ÍOó fr. Fondos españoles, ren entre otras cosas, que ya en ia última legislatura adoptó ia Cámara,…</t>
  </si>
  <si>
    <t>Persuadido</t>
  </si>
  <si>
    <t>…tidad de aceite consumirá en un tiempo SECRETARIO DE ESTADO T DEL DESPACHO DE EO INTERIOR. dado; estos datos, comparados con los del artículo anterior, pondrán á \ la autoridad municipal en el caso de elegir el método que bajo to Señora: Persuadido de que el establecimiento del alumbrado y dos respetos ofrezca mas ventajas. serenos en los pueblos, al mismo tiempo que contribuye en gran ma 5? Elegido el alumbrado, y averiguado su coste y el de los sere nera, a la comodidad y seguridad de sus «abitantes, evita la perpe nos, la autcbidad municipal…</t>
  </si>
  <si>
    <t>…á votación , v se aprobó por KSTA^EVTO DEJ SEÑORES PROCUR adore». 32 votos contra 28 que se {eyese en la sesión pública de este á:d la cnadiTprolesta del;Sr. Búrgós, que á la letra dice asi: Sesión del dia 25 de Octubre **Excmo. Sr.: Persuadido de haber hecho un servicio 4 nií patria en la pu blicación de mis Observaciones sobre el empréstito de Guebhar.i, me proponía* Se abrió 4 las once y cuarto. completarlo añadiendo en la sesión de ayer ©tras consideraciones imporrantes Se levó el acta de la »e» cr* anterior. *juc había reservado para el…</t>
  </si>
  <si>
    <t>Pertenece</t>
  </si>
  <si>
    <t>…o gio de medicina.de Madrid y su áulica y suprema junta. Un cuaderno en 4.0, impreso de órden superior en 1796. a 3 rs. rama y 4 rústica. Tegner. 1" ------Ordenanzas de las armadas navales de ia Corona de Aragón, Aprobadas por el Rey Pertenece al poéta Runeberg una composición muy notabtf, titulada ¡os D. Pedro el iv, año de J354- Van acompañadas de varios edictos y reglamentos pro Catadores de--Dantas, que-viene á ser uij idilio'por el «Tilo de Hcrmmn y mulgados por el mismo Rey sobre el apresto, alistamiento y armamento' Reales y &lt;fe D…</t>
  </si>
  <si>
    <t>Pérusa</t>
  </si>
  <si>
    <t>…de 30 de Se por haberse averiguado que otro candidato reunió un Voto lilas en el escruti tiembre de 1831, es 5. E. el arzobispo de Larisa Francisco Canali, natural de nio general. Pero un hermano de M. Fould, también judio, salió diputado Pérusa, de edad de 61 anos. por S. Quintín con gran mayoría de votos, y su clccci n fue apoyada por pro los otros tres son el Emo. Sr. Trigona-e-Parisi, arzobispo de Palermo, testantes y católicos. (Ckronicle.) natural de Piazza, en Sicilia, de edad de 67 años: al Emo. Sr. Bottiglia, arzo \ bispo de Pirgi…</t>
  </si>
  <si>
    <t>Pestafia, Alvarez</t>
  </si>
  <si>
    <t>Alvarez Pestafia</t>
  </si>
  <si>
    <t>…e firmaron iá petición, y á lo que ácaba._de decir el Sr. Secretario si^artículos. Jas adiciones correspondientes.’' de Gracia y Justicia. Pero, señores, reconocidos ya los males que hay qte evi Después de haber hablado en pro el Sr. Alvarez Pestafia, haciendo una tar, «podremos esperar que por el 'presente proyecto sean enteramente remedia manifestación de los abusos que se habían cometido hasta ahora en Jas denun dos ? Tal es el problema que me propongo examinar con brevedad. cias de bienes mostrencos, y los trámites que se seguían en estos j…</t>
  </si>
  <si>
    <t>Pestaña, Albarez</t>
  </si>
  <si>
    <t>Albarez Pestaña</t>
  </si>
  <si>
    <t>…odas á la vez ó por tener parte, lejos de exponerles á los desórdenes y á los vicios en que habrían ¡guales partes. de caer inevitablemente privados de todo derecho y consideración social, se la F.n cuanto á las observaciones del Sr. Albarez Pestaña dijo S. S. que se concedieron casi igual á la de los hijos legítimos, preparándoles asi para ser al debía llamar ley actual ó legislación vigente la de mostrencos mientras que la gún dia buenos y útiles ciudadanos, y de ningún modo el borron, la alienta nueva ley no estuviese promulgada y la anulas…</t>
  </si>
  <si>
    <t>Pestaña, Alvarez</t>
  </si>
  <si>
    <t>Alvarez Pestaña</t>
  </si>
  <si>
    <t>…ue no fijase la escala, la cual es mas que la de ordenar los llamamientos que no están comprendidos en ella. propia de otro lugar que no de esta ley.” »Reducidos á este estrecho círculo se reconoce desde luego la dificultad de El Sr. Alvarez Pestaña manifestó que en el fondo estaba conforme ente la obra; pero la comisión, adoptando el principio fundamental que en punto ¿ ramente con el artículo, pero que le ocurrían algunas observaciones sobre e!; sucesiones ha consagrado la jurisprudencia moderna, y siguiendo las huellas de por lo cual le ley…</t>
  </si>
  <si>
    <t>…El Estamento r después de tomar en consideración esta adición, acordó Despacho de Gracia y Justicia, que dice así: pasase á la comisión. « El Estado puede reclamar como suyos de cualquiera particular ó corpo Leído el art. 8.®, el Sr. Alvarez Pestaña manifestó que las palabras de su ración, en cuyo poder se hallen, f donde quiera que estuvieren, los bienes ex cesión intestada á favor del Estado con que principia, no le parecían las mas presados en los artículos anteriores por medio de la acción competente; peso á propósito para expresar la idea…</t>
  </si>
  <si>
    <t>…do debían pagarse los atrasos .hasta que por la ley quedase suprimido clVo— drá resolverse con mayor conocimiento si estos principios de justicia son o no to, mediante que nunca las leyes tienen efecto retroactivo. asequibles. El Sr. Alvarez Pestaña en un largo y al parecer elocuente discurso, que «Debo decir ademas, que 9in oponerme en lo mas mínimo a la petición, no se pude» copiar por la falta de voz de dicho señor, y estar colocado de desearía que los mismos señores que la han redactado tuviesen Ja bondad de espaldas á la tribuna de los ta…</t>
  </si>
  <si>
    <t>Pestaña, José Alvarez</t>
  </si>
  <si>
    <t>José Alvarez Pestaña</t>
  </si>
  <si>
    <t>…consejo de Navarra, vacante quiridas á virtud de la dls'posicion testamentaria de su primo Don poT traslación de D- José Aguilera ¿ la audiencia de Granada, José de Fita. De Real órden &amp;c. Madrid 24 de Febrero de 1834-= nombro á D. José Alvarez Pestaña, oidor cesante, con la anti Aranálde.=Sres. Directores de Rentas. güedad que le corresponda, según su primer título de magistrado. Tendréislo entendido, y lo comunicareis á quien corresponda— Está rubricado de la Real mano.=En Aranjuez á 23 de Abril „ S. M. la Reina Gobernadora se ha dignado nombra…</t>
  </si>
  <si>
    <t>Pestaña, JoSef Alvarez</t>
  </si>
  <si>
    <t>JoSef Alvarez Pestaña</t>
  </si>
  <si>
    <t>…s modernas, á 6 rS. r Cavatina de fifí Reales decretos nombrando á D. Andrés Crespo Cantolla fiscal del supremo «•tl.prlfflérwto dé la ópera el último dia.de Pompey*", ». 6 rs. s Variaciones fdcttt¡ tribunal de España é Indias, á D. JoSef Alvarez Pestaña oidor en el Real sobre el tetina del Malbruk. á 4 rs. Estas piezas, grabadas.y,-arregladas para guil«,ra' se venden eu esta curte, calle angosta.dé.Majadericos, Aum. Ii, guitarrería de Campo Consejo de Navarra , á D. Josef Manuel de Arizaga alcalde del crimen de "r-Ante el Sr. D. Jow5 Maceda, leáúf…</t>
  </si>
  <si>
    <t>…óperas modernas, á 6 rS. r Cavatina de fifí Reales decretos nombrando á D. Andrés Crespo Cantolla fiscal del supremo «•tl.prlfflérwto déla ópera el último dia.de Pompeyá, á.6 b.¡ Variaciones fdcttt¡ tribunal de España é Indias, á D. JoSef Alvarez Pestaña oidor en el Real sobre el tetha del Malbruk. á 4 rs. Estas piezas, grataádns y,-arregladas para guiisr0' se venden cu esta curte» calle angosta.dé.Majadericos, Aum. Ii, guitarrería de Campo Consejo de Navarra , á D. Josef Manuel de Arizaga alcalde del crimen de "r-Ante el Sr. D. José.Maceda, leáúnd…</t>
  </si>
  <si>
    <t>Petegrin, D Ramón López</t>
  </si>
  <si>
    <t>D Ramón López Petegrin</t>
  </si>
  <si>
    <t>…e Rivas dijo que esta falta podría muy bien ser efecto de las de la comisión de Revisión de títulos y documentos, aprobando los presenta muchas atenciones que rodean al Gobierno; y que por lo tanto era de opimon dos por el Excmo. Sr. D. Ramón López Petegrin por hallarlos conformes. se recordase su remisión bien confidencialmente ó de oficio. Entraron á jurar y tomaron asiento los Excmos. Sres. patriarca de las In Se preguntó de cual de estas dos maneras se haría el recuerdo , y habién dias , D. Tomas González Carvajal y D. Manuel García Herreros. dose…</t>
  </si>
  <si>
    <t>Petegrin, Ramón López</t>
  </si>
  <si>
    <t>Ramón López Petegrin</t>
  </si>
  <si>
    <t>…vas dijo que esta falta podría muy bien ser efecto de las de la comisión de Revisión de títulos y documentos, aprobando los presenta muchas atenciones que rodean al Gobierno; y que por lo tanto era de opimon dos por el Excmo. Sr. D. Ramón López Petegrin por hallarlos conformes. se recordase su remisión bien confidencialmente ó de oficio. Entraron á jurar y tomaron asiento los Excmos. Sres. patriarca de las In Se preguntó de cual de estas dos maneras se haría el recuerdo , y habién dias , D. Tomas González Carvajal y D. Manuel García Herreros. dose…</t>
  </si>
  <si>
    <t>Petersburgo, José María Moscoso de Altamirn S</t>
  </si>
  <si>
    <t>José María Moscoso de Altamirn S Petersburgo</t>
  </si>
  <si>
    <t>…, y dispondréis lo necesario a su cumplí miento. — Está ru— ro en calidad de secretario, y el segundo en ia de primer interprete de dicho ministro. i lrriearlo de la Real niano.=En el Pardo á tí de Setiembre de 11154.= rusia. : A D. José María Moscoso de Altamirn. S. Petersburgo 16 de Agosto. S. E. el general de infantería y edecán el príncipe de Líeven , curador de S. A. I. el Cesarewitsch gran duque hereditario del trono, ha licuado á está PARTE KO OFICIAL. ciudad con su familia. El príncipe Lieven ha hecho el viage de Londres á HarisbuTgo en el barco de vapor Lightuing…</t>
  </si>
  <si>
    <t>Petit</t>
  </si>
  <si>
    <t>…a de los Sres. Taillandier y Devaux sobre casen , y que el general Lemos traia consigo todos los cuerpos de mayor con abolir la pena de muerte civil. fianza de Santarem, junto con los que había reunido del Alentejo , y los que El Sr. Petit observa que no hay urgente necesidad de alterar esta parte del habian llegado de las inmediaciones de Oporto y Coimbra al mando del bri código, pues ni la pena de muerte civil ha ofrecido ningún inconveniente, ni gadier Rebocho, pensé que si les disputaba el paso, no tendríamos en todo el la socied…</t>
  </si>
  <si>
    <t>…que enlazaban á los re— \ número 59 de linea, y 10U def 6.° batallón de la Legión extraogera, los siguie fugados con Sus familias, y poner un término fatal á las últimas relaciones, ron a las tres de 'la mañana bajo el mando del coronel Petit d*Hausserrive. á los últimos comuelq* que recibían de ellas.” ' , Anídelas cinco un gran número de ginetes de la tribu de Elma se re unieron á nosotros con sus caballos. Dos horas después, habiendo llegado cerca del campo, los spahis discipli- - TV Viena escriben con fecha de 25 último, que las mud…</t>
  </si>
  <si>
    <t>Petit, José Valls y</t>
  </si>
  <si>
    <t>José Valls y Petit</t>
  </si>
  <si>
    <t>…les) como mantiene ci hospital , no se destipan algunos á padece. este servicio ciertamente religioso! Haciéndolo asi se conseguiría que sin gra Rs. vo. vamen se conducirían y enterrarían los muertos con todo el decoro y decencia D. José Valls y Petit, socio administrador central y director inte que reclaman los restos mortales de nuestros semejantes. Véase si no el hospi rino de la compañía de Reau*s diligencias.............................................. 100'» tal de la Caridad, de donde-no sale ningún entierro que no.sea presidido por D. Fr…</t>
  </si>
  <si>
    <t>Peto</t>
  </si>
  <si>
    <t>…ndidas zelo, actividad y decisión de los Urbanos, y en contestación ledigo que dé tirando del carro por el iodd^y recibiendo la lluvia sobre sus divinos cuerpos* gracías á todos por su comportamiento en nombre de la Reina nuestra Señora* Peto crece ia admiración en el que está cierto de que ellas consideran no ser » El gobernador1 de Santoña me habla igualmente de la incursión que hi suficiente semejante demostración del mas pdrer regocijo por haberse proclama cieron los rebeldes en el valle dé Soba y dé la que intentarop en el de Gufto…</t>
  </si>
  <si>
    <t>Petou</t>
  </si>
  <si>
    <t>…teramente abandonada La agri ranza de que asi será mas fácil restablecer el apetecido equilibrio de los ingresos cultura , y no sé sale de la rutina. y los gastos; y tiene derecho para lisonjearse de que concediendo, como siem El Sr. Petou observa que la industria no se halla en tanta prosperidad co pre ha hecho y está pronta á hacer, todo lo necesario para atender á los gastos mo se cree; pues en Elboeuf y en Louviers se hallan paradas muchas fábricas, del Estado, se ceñirán estrictamente los ministros á las sumas que se les señalan…</t>
  </si>
  <si>
    <t>Peuda-aegociable</t>
  </si>
  <si>
    <t>…ariuchos, prometiendo, no dejarlos de la mano Títulos al portador del 4 p. tOO, 52 al cantado: 55 , Í4I y 55 £ varías fs. ó vel. Vales Reales no consolidados, 00. hasta perder la última gota de sangre en obsequio de nuestra amada Reina. Peuda-aegociable de 4 p. 100 á panel, 00. Id. si*! Interes, 10$ al contado: 11$ y 11$ i varúffs. ó vol.: 12$ á 49 d. f. 6 vol., a 1 El capitán general de Cataluña desde Barcelona en 13 del actual dice, en prima de $ p. 100. tre otras cosas, á este ministerio lo siguiente: Acciones del banco español, 00. Excmo- Sr.: El…</t>
  </si>
  <si>
    <t>Pezuebana</t>
  </si>
  <si>
    <t>…ue el Estamento A continuación se leyeron los dictámenes de las comisiones de Estado, decidiese si había de nombrarse una comisión especial para el de la Milicia ur de lo Interior y de Hacienda, conviniendo todas, á excepción del Sr. Pezuebana respecto de que no la había. Habiendo acordado que se nombrase dicha laf individuo de la de F.stado, en que se diese cuenta y se discutiese la expre comisión, se anunció que esta la compondrían los Excmos. Sres. duque de Gor, sada petición en sesión pública. marques de San Felices, marques de Espej…</t>
  </si>
  <si>
    <t>Pezuela</t>
  </si>
  <si>
    <t>…bre ellos, con el que se gravaron pa el acta. Replicó el Sr. Gil de la Cuadra, como secretario de la comisión, que ra la seguridad de los pactos. Estos contratos fueron comprendidos después en lo que él había entendido era que el Sr. Pezuela había dicho qbe este asunto la nulidad general que se declaró de los actos de aquella época, y consiguien debía tratarse en sesión secreta, alegando para ello la 'existencia de tratados con temente los bienes enagenados fueron mandados restituir á los vínculos, las las Potencias extranjeras, sobre…</t>
  </si>
  <si>
    <t>…bunales- superiores.. Aprobado. - ~ Lo» Excmos. Sres. que no aprobaron fueron: Sr. obispo de Lugo, mar Art. 4*° Los juicios que se establecen después de publicada la abolición ques de Sta- Cruz y S. Esteban, conde de Salvatierra, Sr. Pezuela, marques de del Voto, á virtud de pactos ó convenios anteriores, se sustanciarán en igual S. Martin de Hombreiros , conde de Taboada, conde de Priegue y Sr. obispo forma ante los mismos juzgados ordinarios competentes. Aprobado. de Huesca. ‘ Art. 5.° Los actuales individuos del venerable* cabildo d…</t>
  </si>
  <si>
    <t>…ar el menor detalle. Parece de* que en la estación presente deben estar ya impracticables, el general Valdes Bin embargo por los estados que ha mandado hacer el ministro de Hacienda, y el coronel Rebollo avisaron oportunamente al comandante Pezuela, que es y por las informaciones que se han tomado acerca de los acreedores, que el taba hacia el Común de Huesa, para que les saliese al encuentro dirigiendo»» gobierno ruso no descuida un recurso evaluado en mas de cien millones de ru á Valderobles para atajarles el paso: creo que este aviso habrá…</t>
  </si>
  <si>
    <t>…nistros, que en atención á que el Reproduciendo las razones ya alegadas en pro y en contra los Sres. mar Gobierno y las comisiones estaban de acuerdo en los principios, los señoras ques de Espeja, Vailejo, marques de San Felices, Sr. Pezuela, Sr. Secretario que aprobasen el uno aprobaban los dos, dejando para'los detalles las modifica dé Gracia y Justicia y otros, se declaró haber lugar á votar el art. 3.° del dic ciones que se creyesen convenientes, en cuyo concepto se podía proceder á la tamen de las comisiones, y que no se votase po…</t>
  </si>
  <si>
    <t>…mento; y , ques riel Pvafól para probar sh incapacidad legal para la dignidad de Procer, que por lo tinto U pí-ot«»r.i debía leerse sesiona secreta. opinaba que siendo aquel insuficiente, debía comunicársele asi al interesado. El Sr. Pezuela dijo que,el acuerdo turbado por el Estamento no $e opo Asi, Jr&gt; aciirdí* ei Estamento. 1 ,T * -• nía en nada al reglamento ¡¡ y preguntó que se señalase el artículo de e»tc á Las com‘^t&gt;r^ reunidas dé Gracia y1’Justicia y de fjjíactetlda preseptaron ^ que pudiese referirse el caso en cuestión. 1 su…</t>
  </si>
  <si>
    <t>…el proyecto de Nota. "En el suplemento í la Gaceta del domingo 26 de Octubre , en Ja sesión de ley abraza 160 artículos; estos han de examinarse y discutirse en este Estamen ilustres Proceres del día anterior, donde se lee: - El Sr. Pezuela dijo, que el acuerdo to, después en el otro, y pasar por todos los trámites establecidos. Ya puede ha tomado por el Estamento no se oponía en nada al reglamento.'’ Debe leerse: «El Señor cerse cargo S. S. del tiempo y detención que esto necesita. Pezuela pidió se señalase el articulo del reglarnent…</t>
  </si>
  <si>
    <t>Pezuela, D Ignacio de la</t>
  </si>
  <si>
    <t>D Ignacio de la Pezuela</t>
  </si>
  <si>
    <t>…ítulo oneroso se enagenaron los bienes vinculados, ó se constituyeron sobre Leída que fue el acta de la sesión anterior, pidió la palabra el Excelen ellos derechos Reales. Cuando en consecuencia de lo dispuesto por las Cor tísimo Sr. D. Ignacio de la Pezuela, y dijo que en ella se decía, con relación res se desvincularon los bienes de mayorazgos, permitiendo í ios poseedores al dictamen de la comisión de Estado sobre la petición para que se prohíba la disponer de la mitad de ellos, quedaron estos en estado de libertad, y entra extracion del ganado meri…</t>
  </si>
  <si>
    <t>Pezuela, D Juan de la</t>
  </si>
  <si>
    <t>D Juan de la Pezuela</t>
  </si>
  <si>
    <t>…ción en el pueblo de Lidon, que en número de mas de 100 infantes y 70 caballos tuvo la audacia de esperar en batalla á los soldados de Isa bpl ii * man Obras que se hallan de venta en el despacho de la imprenta Real. dé cargar al capitán D. Juan de la Pezuela con los 40 caballos de Borbon quo Del origen de las leyes, artes, ciencias y sus progresos en los pueblos antiguos. tiene á sus órdenes , el que arrolló al enemigo completamente al mismo tiem Traducción del francés al castellano, en 5 tomos en 4*°* edición de 1791 y 94 £ po que los cazadores del 12…</t>
  </si>
  <si>
    <t>Pezuela, Ignacio</t>
  </si>
  <si>
    <t>Ignacio Pezuela</t>
  </si>
  <si>
    <t>…Gobernadora , siguen en el Real sitio de Aranjuez sin novedad llejo; al R. obispo electo de Almería D. Vicente Ramos y García; al R. obispo electo de Teruel D. Mariano Liñan: y para la clase de en su iinporlanLe salud. seglares á D. Ignacio Pezuela , del Consejo Real en la sección de Es— i Del mismo beneficio disfrutan SS. AA. RR. los Sermos. Se- lado; á D. Tomas González Carvajal, de dicho Consejo en la sección de Guerra; á D. Juan Nepomuceno San Miguel, fiscal del trihunali ñores Infantes. supremo de España é Indias; y fiara secretario á D.…</t>
  </si>
  <si>
    <t>Pézuela, Ignacio de la</t>
  </si>
  <si>
    <t>Ignacio de la Pézuela</t>
  </si>
  <si>
    <t>…r. Presidente mandó preguntar si habia algún Sr. Prócer que'quisiese ran , cotidi 'de Monterrón, duijué de NoMejas, conde dé Ofalie, conde de 'tomar:la palabra, y no habiéndolo, dijo el Sr. Secretario marques de Guadal- f arsent, D. Ignacio de la Pézuela, conde de Pinofial', obispo D.- Antonio aáíílí qüe pedía aTEstamento qué ademas déla propuesta del Gobierno admi- Po,adas-, D. José María Puig, conde de Prieguf, cond,e de PufioníOstro, con* Ttida piór tá comisión se añadiese la adición que proponía el Consejo de Gó- de de Pino hermoso, D. Manuel J…</t>
  </si>
  <si>
    <t>Pezuela, Ignacio de la</t>
  </si>
  <si>
    <t>Ignacio de la Pezuela</t>
  </si>
  <si>
    <t>…o oneroso se enagenaron los bienes vinculados, ó se constituyeron sobre Leída que fue el acta de la sesión anterior, pidió la palabra el Excelen ellos derechos Reales. Cuando en consecuencia de lo dispuesto por las Cor tísimo Sr. D. Ignacio de la Pezuela, y dijo que en ella se decía, con relación res se desvincularon los bienes de mayorazgos, permitiendo í ios poseedores al dictamen de la comisión de Estado sobre la petición para que se prohíba la disponer de la mitad de ellos, quedaron estos en estado de libertad, y entra extracion del ganado meri…</t>
  </si>
  <si>
    <t>…Des salas, distribuyendo entre ellas todos los negocios de que ha de co pacho, nombrar para individuos de la sección de Estado á D. En nocer , y adoptando las demás disposiciones necesarias para que sin sebio de Bardají, decano; D. Ignacio de_ la Pezuela; D. José Pi- la menor dilación ni obstáculo quede instalado y en ejercicio de zarro; D. Miguel Alava ; D- Agustín Arguelles. sus funciones judiciales. De Real órden lo comunico á V. E. para Para la de Gracia y Justicia á D. Ramón López Pelegrin, su inteligencia, y que se sirva disponer su cumplimie…</t>
  </si>
  <si>
    <t>Pezuela, Juan</t>
  </si>
  <si>
    <t>Juan Pezuela</t>
  </si>
  <si>
    <t>…siciones. * 1 aduaneros. Monté á caballo, salí con unos pocos soldados, y los facciosos que había desaparecieron. Dios &amp;c.” ANUNCIOS. El capiten general de Aragón con la misma fecha de 5 del corriente manifiesta que el comandanta D. Juan Pezuela con la columna de su mando Lo* suscríptores A las Obras computas de Buffois aumentadas por Cuvirr, pasarán batió y dispersó el dia 2 las facciones reunidas de Montañés, Lerin y Concsa, á la.librería de Razóla á recibir l»41*a entrega, que es el tomo 4-Q de la historia díél compuestas de 300 infante…</t>
  </si>
  <si>
    <t>Pezuela, Juan de la</t>
  </si>
  <si>
    <t>Juan de la Pezuela</t>
  </si>
  <si>
    <t>…el pueblo de Lidon, que en número de mas de 100 infantes y 70 caballos tuvo la audacia de esperar en batalla á los soldados de Isa bpl ii * man Obras que se hallan de venta en el despacho de la imprenta Real. dé cargar al capitán D. Juan de la Pezuela con los 40 caballos de Borbon quo Del origen de las leyes, artes, ciencias y sus progresos en los pueblos antiguos. tiene á sus órdenes , el que arrolló al enemigo completamente al mismo tiem Traducción del francés al castellano, en 5 tomos en 4*°* edición de 1791 y 94 £ po que los cazadores del 12…</t>
  </si>
  <si>
    <t>Pezuela, Manuel</t>
  </si>
  <si>
    <t>Manuel Pezuela</t>
  </si>
  <si>
    <t>…Córdoba: d&amp;b$ Habiéndome dignado aprobar en esta fecha la Ordenanza ge Logroño á D. Pío Pita Pizarra: de la de Lugo á D. Laureano Gu neral de los presidios del reino, é instituyéndose en ella el destino tiérrez : de la.de Soria á D. Manuel Pezuela, marque* de Vllun,. de director general de los mismos, vengo en conferirlo al mariscal y de la de Zaragoza á D. Pedro Clemente Ligues. de campo de los Reales ejércitos D. José Viiués rén atención á Al mismo tiempoS. M. ha tenido á bien conferir al su hí los conocimientos, servicios y circunstancias…</t>
  </si>
  <si>
    <t>…á rubricado de la Real mano.=En Aranjuez á 23 de Abril „ S. M. la Reina Gobernadora se ha dignado nombrar por Real decreto de 23 del actual subdelegado de Fomento de la provinciade 1834-=A D. Nicolás María Garelly. de Santander á D. Manuel Pezuela, marques de Viluma, electo do Para una de las plazas de alcalde del crimen que deben formar la de Soria; y para esta á D. Manuel Lázaro. la dotación de la Real audiencia de Granada, nombro á D. José Manuel de Arizaga, que actualmente la sirve. Tendréislo entendi Exposición &amp; S. M. la Rmisa nuestra…</t>
  </si>
  <si>
    <t>Pezuemuchas, Ignacio de la</t>
  </si>
  <si>
    <t>Ignacio de la Pezuemuchas</t>
  </si>
  <si>
    <t>…de Casa-Sarria; D. Martin Fernandez ministrativa y la judicial, la supresión de antiguos Consejos y las nuevas Audiencias creadas en beneficio de algunaa-Rrovincias;-le#’’-1 láavarrelérpítriarca de las Indias; conde de Venadito; D. Ignacio de la Pezuemuchas trabas que se han quitado al desarrollo de la riqueza públi la; D. Juan Alvarez Guerra; D. EusebioBardají y Azara ; conde González Castejon; P. Ramón Gil de la Cuadra; marques de Montealegre, conde de Oñate; ca , el alivio concedido á los pueblos de varias exacciones onerosas, marques tic StarCruz;…</t>
  </si>
  <si>
    <t>PezueU</t>
  </si>
  <si>
    <t>…éis notado aquella solidez de raciocinio digna'de un miñTs'tro que pide una cosa justa y decorosa , no por interes suyo, ni por el de sus colegas, sino por el de la nación. Sean cuales El capitán general de Angón participa que el comandante PezueU, pro fuesen los ministros que se hallen al frente de los negocios, tendrán que dejar tegido por las columnas que iban en seguimiento de Carnicer, á quien tan solo sus destinos sipo están convencidos, como nosotros lo estamos, de que antes de acompañaban ya de 20 á 25 hombres á caballo, alcanzó á es…</t>
  </si>
  <si>
    <t>Pfifrer, Casimiro</t>
  </si>
  <si>
    <t>Casimiro Pfifrer</t>
  </si>
  <si>
    <t>…eTJcorentre los discursos que se han pronunciado con este motivo, los de los diputa- regidor interino de la ciudad de Lannion.” (Diario de los Debates-') dpvdc JBc^na, Argovja, Badén, Thurgoyi* Cj¡incbra , Friburgo y San-Gall. Él Sr. Casimiro Pfifrer ha llamado la atención de la asamblea sobre la necesi ____ El teniente general Voirol, comandante superior de Argel, ha publicado dad absoluta de revisar el pacto, que es, según cree, el único medio de que la la orden del día que sigue , con fecha de 21 de Junio. Sriútajfegue á ser una nación fuert…</t>
  </si>
  <si>
    <t>Pfírgos</t>
  </si>
  <si>
    <t>…n4ípn ai ipitsmp, tiempo , trataúdo^deT8celet3Í decurso Jdfc esta Pjnócer. Entre tanto, sírvase el St^ jBurgos salir dal salpa.hastaque e^te^resuelva.” leyj-scj-e^erva 4 derecho de hacer, una pctkyqn éste.jempréstito.: EÍ fcuerÉl Sr. Pfírgos: «.*Yo protesto.” pp legislativo.y el' gubernativoconvencidos, dé tq1^ sln &amp;ediosr no *puedé: con*n» Él Sr. Presidente: «Proteste V* -E. cuant-o guste; pero retírese.” cluirsq la guerra;civil; que.existiendo esta tampoco pueden hacerle las.reformd^ Él Sr^ Burgos: w Yo me retiraré; pero protesto....…</t>
  </si>
  <si>
    <t>Pfocu-cnal</t>
  </si>
  <si>
    <t>…no debe ha- &lt; Í^Ieyó una' lista de loé Sres. Procuradores que no se han presentido, la fcér una aclaráctón sobre éste asunto. Desde el momento enque el Estamento partícipi al ministerio haber sido desaprobadoslocpodert» de* algún Sr. Pfocu-cnal estaba concebida en la forma siguiente: _ 1 ' ^ , rador, el Gobierno comunica las órdenes por torreo1' inmediato para qué sé Sres. que han obtenida licencia del Estamento y se les ha concluido. proceda ¿ 'Iá nuÁ^ ejeccion.1 No; és extráfiq que eá algunas partes no haya te - Badajoz.esD.: José Villá…</t>
  </si>
  <si>
    <t>Phipps</t>
  </si>
  <si>
    <t>…eñales hechas con lápiz, pa de la ballena, que hace 3b años frecuentan los mares del Norte, esi£año ha. recen anunciar que el buqué Ka venido dél'Norte hacia la Islandia, y habiendo sido el verano mucho mas riguroso que nunca. El capitán Phipps en 17/3 no tomado tierra cerca de Melrakkoslctte, en la parte septentrional de la isla, se encontró los primeros bancos de hielo hasta los 79° de latitud. halló al Eí entre las islas deGrunfei y Oyford: y como cesan las señales en «Pero aun suponiendo que por espacio de tantos años no haya sido dad…</t>
  </si>
  <si>
    <t>Pi, José</t>
  </si>
  <si>
    <t>José Pi</t>
  </si>
  <si>
    <t>…ntre ellas todos los negocios de que ha de co pacho, nombrar para individuos de la sección de Estado á D. En nocer , y adoptando las demás disposiciones necesarias para que sin sebio de Bardají, decano; D. Ignacio de_ la Pezuela; D. José Pi- la menor dilación ni obstáculo quede instalado y en ejercicio de zarro; D. Miguel Alava ; D- Agustín Arguelles. sus funciones judiciales. De Real órden lo comunico á V. E. para Para la de Gracia y Justicia á D. Ramón López Pelegrin, su inteligencia, y que se sirva disponer su cumplimiento. Dios decano…</t>
  </si>
  <si>
    <t>Piatti</t>
  </si>
  <si>
    <t>…dos por el comercio ex celebró la fiesta de S. Luis en la iglesia de los Franceses, dedicada al Santo. Se trangero debía ser repartido á fin de año, proporcionalmente á la población gún la antigua costumbre, hizo^de pontifical el cardenal Piatti, arzobispo de respectiva de cada Esiado. Tal fue el primer tratado de alianza comercial en Trebisonda, vicegerente de Roma. El Papa entró en la iglesia á las doce; y Alemania , y este tratado es el que ha establecido los principios de esta clase después de haber hecho Oración ante el altar del Sant…</t>
  </si>
  <si>
    <t>Picado, D Vicente</t>
  </si>
  <si>
    <t>D Vicente Picado</t>
  </si>
  <si>
    <t>…bién por otra columna con que el gobernador de Lérida se habia lla provincia, y asistieron los gobernadores del obispado y demas autoridades adelantado por Balaguer hasta Comarasa y Valdomar, se vieron precisadas ¿ superiores. El profesor D. Vicente Picado hizo un discurso análogo al objeto repasar el Segre por los vados dcTiurana, y esta noche desalentadas y cansadas d£ la ceremonia, encareciendo los beneficios de la instrucción fomentada por por una persecución tan activa se hallaban reducidas á 17Ú hambres, quedando 1a generosa mano de la Reina Go…</t>
  </si>
  <si>
    <t>Picado, Vicente</t>
  </si>
  <si>
    <t>Vicente Picado</t>
  </si>
  <si>
    <t>…otra columna con que el gobernador de Lérida se habia lla provincia, y asistieron los gobernadores del obispado y demas autoridades adelantado por Balaguer hasta Comarasa y Valdomar, se vieron precisadas ¿ superiores. El profesor D. Vicente Picado hizo un discurso análogo al objeto repasar el Segre por los vados dcTiurana, y esta noche desalentadas y cansadas d£ la ceremonia, encareciendo los beneficios de la instrucción fomentada por por una persecución tan activa se hallaban reducidas á 17Ú hambres, quedando 1a generosa mano de la Reina Go…</t>
  </si>
  <si>
    <t>Picatoste, Toribio</t>
  </si>
  <si>
    <t>Toribio Picatoste</t>
  </si>
  <si>
    <t>…que el' rebeldeCarnicer, perseguido por la cólunw D. Joan Semper, español» fiscal que fue de la chanciilería de Granada: traducido al ira de D. Mariano Taba enea, se hallaba en el Puerto; y que fin. su consecuétl- eascellano por D. Toribio Picatoste. £1 nombre dél célebre jurisconsulto español Don cia.habia determinado salir al dia siguiente piara aquel punto, aun cuando'til-' Juan Semper, es la mayor garantía que se puede presentar del mérito de .esta obrita. Suvasta erudición, y ¿el juicio quecforma el carácter de todos sus escritos*, brillan…</t>
  </si>
  <si>
    <t>Pick, Pedro</t>
  </si>
  <si>
    <t>Pedro Pick</t>
  </si>
  <si>
    <t>…enemigo, cuya destrucción les es necesaria, para conseguir su plaii'r Ignacio' 3e Eguilloz, D. Pablo de Beitia, D. Juan Antonio, de ‘ de 1823, que es pasearse sobre las, ruinas de.España como una tri-,, Salla, D. Justo de- Acha, D. Pedro Pick, EX Pedro Toluaga, bu de tártaros sobre los. desiertos de Escitia. Aquel horrendo plan - O. Julián Unzueta, D. Julián de Ugaldc y D. Pío de Éguizabál. que desbarató la prudencia de Fernando vil y de la parte ilustrada de su ministerio, quieren reproducirlo ahora: y ya se've que no , puede lograrse…</t>
  </si>
  <si>
    <t>Pict</t>
  </si>
  <si>
    <t>…iarse. ' „ , año de 1789 ha pedido y querido constantemente esta libertad, co Hace ver que no hay identidad entre el estado en que se halla brará fuerza nuestro gobierno. Interin subsista no corre ni puede ba Inglaterra cuando el ministro Pict pidió ia ley contra asociacio correr ningún peligró la libertad. nes, y la actual situación de Francia; pues entonces era general la «Respecto á progresos, gusto tanto como el que mas de que guerra en Europa, y ahora tiene la dicha de disfrutar de una paz prospere la libertad, la civilización, el e…</t>
  </si>
  <si>
    <t>Pidal, Pedro</t>
  </si>
  <si>
    <t>Pedro Pidal</t>
  </si>
  <si>
    <t>…la vara de la villa de Belmonte á D. Manuel Sita pero en muy corto número, y todo en malísimo estado ds servicios »¡n em res Valdés: para la de Gangas de Oats á D. Amero Rubín; para la bargo se ha recogido. ~ de Cangas de Tineo á D. Pedro Pidal: para la de Grandas de Salime • á D. Manuel Queipo de Llano: para la de Llanes á D. Bernardo ____El ] O condujeron los gendarmas desde Sara un soldado faccioso qqn Sande: para la de Luarca á D. Francisco de Paula Salas y Bauyo: ha deseitado del Bastan, adonde vino en la escolta de los heridos en nú…</t>
  </si>
  <si>
    <t>Pide</t>
  </si>
  <si>
    <t>…la prosperidad de sus pueblos, lle mos sentimientos que los Sres. Procuradores en beneficio de la Nación.” vará hasta la inmortalidad su augusto y glorioso nombre: El Sr. González (D. Antonio')-. ” En-virtud de lo expuesto por el Señor ‘ «Pide á "V. M. el Estamento de Procuradores del Reino se digne acoger Secretario de Estado no tengo inconveniente por'mi parte , como peticionario, benignamente ésta reverente petición, declarando ¿n su virtud suprimida des en qne sé suspenda la discusión hasta -que se Oreseme la ley que ha indicado di d…</t>
  </si>
  <si>
    <t>Pido</t>
  </si>
  <si>
    <t>…e insistir con la minoría en que se debe procurar por to varios Sres. acerca de la inteligencia del art. 96 del reglamento, se leyó y dos medios no disminuir nuestro crédito.” _____ ________ aprobó la siguiente indicación del Sr. Caballero. «Pido que »e vote el art. 2.a Habiendo pedido la palabra varios señores á un tiempo, el Sr. Presidente dejo »e sirviesen, en observancia del reglamento, exponer si la pedían en pro Para proceder á la votación se leyó el art. 2.° del proyecto de ley pre ó en contra, para evitar el tener que hacer á cada m…</t>
  </si>
  <si>
    <t>Pido, Burgos</t>
  </si>
  <si>
    <t>Burgos Pido</t>
  </si>
  <si>
    <t>…urgos dijo que era votar la proposición. _ . . de dictémen se votase por partes, y asi se acordó- Se preguntó con efecto, y quedó aprobada. Xleidas ía primera y segunda se aprobaron. Leyóse en seguida la siguiente proposición del Sr. Burgos. «Pido se decla Letdá lá tercera, el Sr.'Burgos dijo que la ley 5.°, tít. 15, part. 2.a, le re que mientras esté reunido el Estamento de Próceres , ninguno de sus indivi parecía aplicable i este caso; que en esta ley se prevenia que cuando muera el duos pueda ausentarse sin licencia del mismo Estamento. R…</t>
  </si>
  <si>
    <t>Pido, Caballero</t>
  </si>
  <si>
    <t>Caballero Pido</t>
  </si>
  <si>
    <t>…cree insistir con la minoría en que se debe procurar por to varios Sres. acerca de la inteligencia del art. 96 del reglamento, se leyó y dos medios no disminuir nuestro crédito.” _____ ________ aprobó la siguiente indicación del Sr. Caballero. «Pido que »e vote el art. 2.a Habiendo pedido la palabra varios señores á un tiempo, el Sr. Presidente dejo »e sirviesen, en observancia del reglamento, exponer si la pedían en pro Para proceder á la votación se leyó el art. 2.° del proyecto de ley pre ó en contra, para evitar el tener que hacer á cada m…</t>
  </si>
  <si>
    <t>Pido, Chacón</t>
  </si>
  <si>
    <t>Chacón Pido</t>
  </si>
  <si>
    <t>…la adición del Sr. lstúriz á ser regla general pata todos los pueblos de 43 pon ables de su conducta.” almas.” El Sr. Lasanta apoyó esta adición manifestando que su objeto al firmarla No se tomó en consideración la siguiente del Sr. Chacón. «Pido al Esta era asimilar los dependientes de comercio á los hijos de familia, haciéndolos mento. que en la adición del Sr. lstúriz se suprima la palabra habilitados." partícipes de la disposición.dé inscribirse en.la Milicia, bajo la responsabilidad Tampoco se tomó otra para que la base de población qu…</t>
  </si>
  <si>
    <t>Pido, Fulchiron</t>
  </si>
  <si>
    <t>Fulchiron Pido</t>
  </si>
  <si>
    <t>…io contrario comprome tución-. Xó *u« complazco en creer con el Senado que los últimos sucesos tan te su responsabilidad. (Ruido en diversos sentidos.) t inesperados^y qpe Han comprometido nuestra tranquilidad, no han podido ser Sr. Fulchiron. Pido la palabra. autorizado» .por la Dieta germánica, ni obtendrán la aprobación de ningún gá-• Sr. C. Dupin. Nada se pregunta al Sr. Fulchiron. híñete de Europa. Con razón invocáis la garantía de las Potencias que firmaron Muchas voces, hl Sr. Fulchiron no es ministro, dejad que hable un mi ■J* convención…</t>
  </si>
  <si>
    <t>Pido, García de Atocha</t>
  </si>
  <si>
    <t>García de Atocha Pido</t>
  </si>
  <si>
    <t>…aba en dicho Se preguntó rí el Estamento'tomaba en consideración la adición que aca proyectó, á saber: baba de leerse, y se acordó que no. ■ Art. 5-° No pueden servir en la Milicia.urbana: Lo mismo se veriScó con la siguiente del Sr. García de Atocha. Pido al 1. ° Los que se hallen procesados criminalmente. Estamento que tenga á bien admitir la adición siguiente: »Los notoriamente 2. ° Los que hayan sufrido penas corporales ó infamatorias, excepto las im desafectos á aquellos (los derechos de la Ruina nuestra Señora), y á las leyes puestas por delito…</t>
  </si>
  <si>
    <t>Pido, Giraud</t>
  </si>
  <si>
    <t>Giraud Pido</t>
  </si>
  <si>
    <t>…favor de una reforma mode votación secreta, y por 191 votos contra lUÜ aprueba la proposición que se rada, en, la Real hacienda. (Sun.) convertirá en ley. ; _ 'ÉÍ Ppiaria de Ltfxembungo cuenta del modo siguiente la prisión de M.. Sr. Giraud. Pido la palabra para hacer una pregunta á los Sres. ministros. Hanfio; en. la noche del 15 del corriente un destacamento de la guarniciona de Presidente. i Accede la Cámara al deseo del Sr. Giraud? LuxefnHu^ga fue á Bettemburgó, y se apoderó de la persona de M. Hanno, Muchas voces. ¿Sobré qué versa la preg…</t>
  </si>
  <si>
    <t>Pido, Santafíi'</t>
  </si>
  <si>
    <t>Santafíi' Pido</t>
  </si>
  <si>
    <t>…no en dis Se suspendió esja di&amp;usión, y el Sr. Gírela Carrasco ocupó la tribuna pa posición de asegurar .nuestra tranquilidad y futuro bienestar.” ra daf cuenta al Estamento del dictámen de la cornisón de Hacienda sobre el ' ' El Sr. Santafíi' »Pido sef pregunte si el punto está suficientemente dis ptoyetto de ley supletorio dedos presupuestos antiguos en tanto que se: aprue entido."" ban los de gástos ó ingreséis para el ífioT835. “ El Sr-, Mhanday Olmedilla: «Fiase el art. 66 del iéglamento.” LeidO éste dictámen dijo el Sr. Presidente que se…</t>
  </si>
  <si>
    <t>Pido, Trueba</t>
  </si>
  <si>
    <t>Trueba Pido</t>
  </si>
  <si>
    <t>…redacción del artículo, el Estamento decidirá tarle sus derechos , y no se le dice al mismo tiempo estos son tus deberes9. Siem si se admite ó no. pre se cae en extremos: cuando eí gobierno absoluto triunfa, solo habla de pre El Sr. Trueba - Pido que la votación sea por partes. rogativas, nunca de sus obligaciones. Cuando la libertad triunfa, se lisonjean las J/El Sr. Serrano: Pido que se diga en lugar de La palabra es, la libertad pasiones populares, y se habla de derechos y nunca de deberes. La imparciali será protegida. dad, la justicia…</t>
  </si>
  <si>
    <t>Piedfas</t>
  </si>
  <si>
    <t>…ey presentado por la Cámara de Diputados relativo á curas y multiplicar estos hasta el número de un párroco por cada mil alma*. &lt;juc se abra un crédito extraordinario para los gastos de aquella Cámara. No ha Respecto del plan del cura Piedfas dice el Noticioso de la Habana que es dig biendo pedido la palabra ningún orador se procede á la votación, y queda apre no de la cabeza que concibió el famoso proyecto de fabricar moneda coa sucia tado el proyecto de ley por lt&gt;5 votos contra 3: el crédito es de 3u9 fr. para de zapatos y darle el m…</t>
  </si>
  <si>
    <t>Piesi</t>
  </si>
  <si>
    <t>…zones que expone. hab.a pasado de Arden del Estamento en U úItima sesión, respondiendo los se- Se aprobaron, como psoponia la misma comisión, los poder.--, y docu fiores Presidente y Secretarios, que aun no lo habia verificado El Sr. Piesi- mento, just ficatisos de Ibs áre,. D. José Antonio de Agreli v D. Rimin dente anunció que no habría sesión hasta que .concluyese sus trabajos la comi González Pcrez, Procuradores por-Sevilla, por estar. cohfortne i lo p evesión encaf)$áíla':frel asunto re atTvo al Prínc-pe^tñal aconsejado,/"á ñjeno…</t>
  </si>
  <si>
    <t>Pigem, Isidro</t>
  </si>
  <si>
    <t>Isidro Pigem</t>
  </si>
  <si>
    <t>…. M. ha tenido á bien recomendar á V. S. á todos en general, y en particular al oficial y carabineros conferirla á D. José March y Labores. heridos: al capitán graduado deteniente coronel del regimientp del Infante, 5.° de línea, D. Isidro Pigem; al referido capitán D. Lucas Pineiro; á los te . Habiéndose declarado Vacante la plaza de oficial segundo de la contadu nientes D. Joaquín Taubia, con grado de capitán; á D. Pedro Arnau, y á los ría de Propios de Orense, se ha dignado S. M. conceder el ascenso i ella al subtenientes del 12 de líne…</t>
  </si>
  <si>
    <t>Pignateli, Ramón</t>
  </si>
  <si>
    <t>Ramón Pignateli</t>
  </si>
  <si>
    <t>…s amóles con objeto de llevar adelántelas obras, lo; y unir la utilidad de la navegación á la del riego, encargando las obras al ademas de señalarse á las mismas 5(1,000 reales mensuales del Erario. No tuvo cuidado y dirección de D. Ramón Pignateli. ! efecto esta última parte en general; pero desde aquella época está gravado él »E1 fallecimiento de este hombre eminente é infatigable,' ocurrido eíx Aragón con esa contribución , á pesar de que en el dia la empresa tiene otros 1793 . paralizó la marcha de tamaña empresa, realizada ya en las tres…</t>
  </si>
  <si>
    <t>Pignatelii, Ramón</t>
  </si>
  <si>
    <t>Ramón Pignatelii</t>
  </si>
  <si>
    <t>…medio de arbitrios limitados anuales, y $m gastar do legua y media mas abajo de Tudela en la magnífica presa construida bajo la mas que lo que producen aquellos, es funesto, y todas las naciones cultas y que dirección del ilustre D. Ramón Pignatelii, hallaremos que se expendieron en tanto han adelantado en estos ramos han tomado otra senda. Toman&amp;e canti él sumas muy cuantiosas por los Gob.ernos de aquel tiempo, y por conógujendades proporcionadas á préstamo é interes de unto por ciento, y la obra se ha te que el canal imperial e&gt; obra de la N…</t>
  </si>
  <si>
    <t>Piinentel, Juan Perez</t>
  </si>
  <si>
    <t>Juan Perez Piinentel</t>
  </si>
  <si>
    <t>…irqun las noticias que habían dado muy por encima tas recibidos anteriormen villa de 1 r gdiana á D. Francisco Ga-_ i baarvz: pira la dei Burgo de Osma i te. Sanlana había entrado en Guanijua'o sin opodeion , y la tranquilidad se D. Juan Perez Piinentel : para la de Autol á D. Antonio Mediano, y para la habla restablecido en todo el país. El 2u de Octubre llegó á Méjico con 4-28 de Cebolla a D. Antonio Encuo y Aguírre. prisioneros, y anunció en una proclama que reasumía el gobierno civil, aun que parece inclinado á no derramar sangre. Sin embargo,…</t>
  </si>
  <si>
    <t>Pilíese, Pedro Jacobo</t>
  </si>
  <si>
    <t>Pedro Jacobo Pilíese</t>
  </si>
  <si>
    <t>▼aba que habiéndose pedido al Gobierno por acuerdo del-Estamento que^remi- :* Igualmente quedó enterado de otra exposición de D. Pedro Jacobo Pilíese este una lista comprensiva de los empleados á quienes, había.autorizado Procurador por.la provincia dé Huelva, en que manifestaba que S. M. para no asistir á las sesiones por hallarse desempeñando encargos de gran se presentaría en el Estamento inmediatamente que recibiera los documentos ínteres al…</t>
  </si>
  <si>
    <t>Pimentel</t>
  </si>
  <si>
    <t>…una ciudad, cuyas calles tendrán 80 de los valientes que tanto habían cooperado á la gloriosa lucha de la libertad 6,100 píes de ancho. Los accionistas han prometido que para el l.° de Maye contra la usurpación. Inmediatamente el coronel Pimentel, ayudante de cam de 1836 estarán acabadas y habitables 1800 casas. po de S. M. I. y comandante del referido regimiento, presentó á Manuel Pereira, soldado de la primera compañía del citado cuerpo, y condecorado con — lee, en un periódico de Nueva-Yorck.: la medalla de la Torre y la Espadi. S. M. I.…</t>
  </si>
  <si>
    <t>Pimentel, José</t>
  </si>
  <si>
    <t>José Pimentel</t>
  </si>
  <si>
    <t>…rgo de su las partidas carlo-migiielistas que aun se sostienen en aquel pájs capitán D. Fernando Vázquez Carril , el teniente D.; Leonardo fronterizo, el expresado capitán general, de acuerdo con el gober Bergado y el subteniente D. José Pimentel: el enemigo rompió nador de Valenza, tienen lomadas ^us disposiciones para extermi ün vivo?fuego, y despreciado por una y otra columna, los desalo narlas cuanto antes. jaron de las posiciones, que tpmar'on poniéndolos en precipitada: fuga y total dispersión, matándoles tres, y Otro que después dé C…</t>
  </si>
  <si>
    <t>Pinedo</t>
  </si>
  <si>
    <t>…EXTILANGERAS. D. Juan Manuel Rosas”, y pidiendo la destitución del ministerio. Habiendo ZUBIA. venido ¿Tas manos con las tropas del gobierno, multaron muchas desgracias de una parte y de otra, y la efervescencia era horrorosa. El general Pinedo «taba Petersburgo 14 de Diciembre, á la cabeza de los rebeldes, los cual» eran muchos en número, y ocupaban to Se cree que esta tarde llegará á esta S. M. I. de regreso de su viage á Mos- das las cercanías de la ciudad, engrosándose cada dia con nuevos descontentos. koxv. El tesoro imperial ruso pa…</t>
  </si>
  <si>
    <t>Pineiro, D Lucas</t>
  </si>
  <si>
    <t>D Lucas Pineiro</t>
  </si>
  <si>
    <t>…dar á V. S. á todos en general, y en particular al oficial y carabineros conferirla á D. José March y Labores. heridos: al capitán graduado deteniente coronel del regimientp del Infante, 5.° de línea, D. Isidro Pigem; al referido capitán D. Lucas Pineiro; á los te . Habiéndose declarado Vacante la plaza de oficial segundo de la contadu nientes D. Joaquín Taubia, con grado de capitán; á D. Pedro Arnau, y á los ría de Propios de Orense, se ha dignado S. M. conceder el ascenso i ella al subtenientes del 12 de línea D. Carlos Senesplcda, que desempeñan…</t>
  </si>
  <si>
    <t>Pineiro, Lucas</t>
  </si>
  <si>
    <t>Lucas Pineiro</t>
  </si>
  <si>
    <t>…S. á todos en general, y en particular al oficial y carabineros conferirla á D. José March y Labores. heridos: al capitán graduado deteniente coronel del regimientp del Infante, 5.° de línea, D. Isidro Pigem; al referido capitán D. Lucas Pineiro; á los te . Habiéndose declarado Vacante la plaza de oficial segundo de la contadu nientes D. Joaquín Taubia, con grado de capitán; á D. Pedro Arnau, y á los ría de Propios de Orense, se ha dignado S. M. conceder el ascenso i ella al subtenientes del 12 de línea D. Carlos Senesplcda, que desempeñan…</t>
  </si>
  <si>
    <t>Piñeiro, Raimundo</t>
  </si>
  <si>
    <t>Raimundo Piñeiro</t>
  </si>
  <si>
    <t>…iempre de acuerdo’én^el minbterioó Algunos miguelistas se fian embarcado en el bercintin F. scorfion con di Públicas son las opiniones liberales del segundo, v cuanto desea qd^ la ñacfori rección á Inglaterra. Kmre ellos se halla D. Raimundo Piñeiro, último go prc^Fese; ambas covo se de’-arrnllarin mas fácilmente con esta un ion. Aunque bernador de Braga, y antes del fuerte han Julián, anciano de ".Sanos; ei obis el n-ev'' primer rríibktro citezza de alguna actividad, no poseso deja- deísr,. po de VReo, el coronel Rnbmson v otros. co;iv&gt; es rv…</t>
  </si>
  <si>
    <t>Pinilla, José</t>
  </si>
  <si>
    <t>José Pinilla</t>
  </si>
  <si>
    <t>…Consejo * D Fran ■■ ---------------- ■ ------ ’ ----------- j .1,,,! | cisco López de Alcáríz, E). Jacobo María de Parga, D. N iceto dé LarrtTi ? Los' SiKCtfl&gt;toWs á las obrás coínpletas dé Bujfoh aumentadas por Cuvier^ pasarán y D. José Pinilla ; y para secretario á D. Francisco de Gárate. (Id.) á la librería de Razóla, á redoger el tcmiV29 ct&gt;n !a entrega 25 de láminas* adelartrto_____ nombrando para Iá sección de Iridias del mismo Consejo á L&gt;. Luis do d&lt;J el importé los siguientes^ Continua la suscripciari. ■ Tratado práctica He las en…</t>
  </si>
  <si>
    <t>…o Consejo á D Fran » -------------- ■ ------’ ----- -----j .1,,,! | ,.É cisco López de Alcáríz, D. Jacobo María de Parga, D. N iceto dé LarrtTi ? Los' SiKCtfl&gt;toWs á las obrás coínpletas dé Bujfoh aumentadas por Cuvier^ pasarán y D. José Pinilla ; y para secretario á D. Francisco de Gárate. (Id.) á la librería de Razóla, á redoger el tcmiV29 ct&gt;n !a entrega 25 de láminas* adeíartrto____ nombrando para Iá sección de Iridias del mismo Consejo á L&gt;. Luis do d&lt;J el importé 1ns siguientes^ Continua la suscripciari. ■ Tratado práctica He las enf…</t>
  </si>
  <si>
    <t>…do por mi decreto de 24 de Marzo último, vengo en amada Hija Dóña Isabel ii : nombrar á D- Francisco López de Alcaráz, D. Jacobo María d¡rArtículo l.° Las provincias en que se halla dividido el terri Parga, D. Niceto de Larreta y D. José Pinilla, y para secretario torio de la Península e Islas adyacentes por mi decreto de 30 de á D. Francisco de Gárate. Tendréislo ententendido, y lo comunicareis Noviembre próximo pasado, quedan subdivididas en partidos judi á quien corresponda.= Kstá rubricado por S. M—En Aranjuez á 19 ciales del modo y fo…</t>
  </si>
  <si>
    <t>Pinilla, Niceto de Larreta y D José</t>
  </si>
  <si>
    <t>Niceto de Larreta y D José Pinilla</t>
  </si>
  <si>
    <t>…i muy cara y dias, creado por mi decreto de 24 de Marzo último, vengo en amada Hija Dóña Isabel ii : nombrar á D- Francisco López de Alcaráz, D. Jacobo María d¡rArtículo l.° Las provincias en que se halla dividido el terri Parga, D. Niceto de Larreta y D. José Pinilla, y para secretario torio de la Península e Islas adyacentes por mi decreto de 30 de á D. Francisco de Gárate. Tendréislo ententendido, y lo comunicareis Noviembre próximo pasado, quedan subdivididas en partidos judi á quien corresponda.= Kstá rubricado por S. M—En Aranjuez á 19 ciales del modo y fo…</t>
  </si>
  <si>
    <t>Pino, Juan Peinador y</t>
  </si>
  <si>
    <t>Juan Peinador y Pino</t>
  </si>
  <si>
    <t>…rtículo anterior, se podrán hacer efectivas por los respectivos par del Castillo, oidores de la Real audiencia de Cáceres; 4 D. Sandagp tícipes á quienes corresponda para invertirlas en los objetos de su Fernandez de Negrete, y á D. Juan Peinador y Pino, alcaides del foniíucion. „ crimen; y á D. Antonio Romero Prieto, fiscal de ia misma. Ten Art. 3o Quedan suprimidos desde dicha época los juzgados pro dréislo entendido, y lo comunicareis á quien correspondan Está ru tectores del Voto de Santiago. Los juicios pendientes para hacer bricado de la Rea…</t>
  </si>
  <si>
    <t>Pino, Juan Víctor Navar</t>
  </si>
  <si>
    <t>Juan Víctor Navar Pino</t>
  </si>
  <si>
    <t>…ando recente de la Real audiencia de Cataluña á D. hrancisco | ‘CpL nombrando secretario del mismo. (Id.') Olavarrieta , y de la de Extremadura á D. Francisco Delgado hernandez deí I _ removiendo al corregidor de Molina de Aragón D. Juan Víctor Navar Pino. (Id.) ro , y nombrando en su lugar á D. José Poveda. (Id.) nombrando comandante general de la Mancha á D. J uan Antonio Ba- - mandando adjudicar con publicidad y concurrencia de las compañías na rutell. (Id.) cionales y extrangeras un préstamo de 200 millones. (Id.) Exposición, del consejo de minis…</t>
  </si>
  <si>
    <t>Pinol, Agustín</t>
  </si>
  <si>
    <t>Agustín Pinol</t>
  </si>
  <si>
    <t>…os los oficiales 14.* L° del Gobierno civil de Cádiz, D. Roque, rartos cúañdb kréstixnín eotiveniente. : f ■ Aguado y D. Ildefonso Zamora, y nombrados en su reemplazo, oficial pri mero D. Rafael González Llanos, y oficial 4*0 l-° D. Agustín Pinol; D. Manuel Balaguer ^Vecino y fabricante de la ciudad ¿le Barcelona , hi zo presente la necesidad que había de mejorar la calidad é hiladura de nuestras A propuesta de la . dirección general de correos S. M. se ha servido nom sedas, proponiendo ciertas reglas que al efedro debían observarse; y ente…</t>
  </si>
  <si>
    <t>Piñol, Miguel</t>
  </si>
  <si>
    <t>Miguel Piñol</t>
  </si>
  <si>
    <t>…rica de hilados, tejidos y estampados de S. Fer* seria Fa del párt do constitubional. Fuera de la Carta no se Je presentan mas nando cincuenta quintales de cal clorurada de la fuerza de sesenta grados. que precipicios y abismos.. D. Miguel Piñol , profesor de farmacia, barrio de S. Plácido , las medi „ « La* Cámara-$&gt;nóx fina , lo mismo que la interior , y que toda Cámara cons cinas para los pobres de aquel barrio. titucional, tendrá por divisa necesaria ei mantenimiento de ia Cuta; si fuese D. Casimiro Munier , establecer baños de todas c…</t>
  </si>
  <si>
    <t>Pinta</t>
  </si>
  <si>
    <t>…para la de Lerma á 21 á 24 del propio mes curó una y falleció otra en Tzbara. D- Juan Víctor Navarro: para la de Antequera á D. Pedro Henrique Monte ro: para el corrcglmicrito de Cuenca á D. Antonio Lafuentc: para el de Alcaere á D. Pinta león iVitini: para el de Barbastro á D. Anselmo Baquedano: PROVINCIA BE ZARAGOZA. para la alcaldía mayor de Campillos á D. Antonio María Castilla; para la Manifiesta su gobernador civil en oficio de 28 del mes próximo pasado de S. Clemente í D. Francisco Senen y Senen: para la de Murcia á D. José q…</t>
  </si>
  <si>
    <t>Pinta, Juan Bautista Arríaza</t>
  </si>
  <si>
    <t>Juan Bautista Arríaza Pinta</t>
  </si>
  <si>
    <t>…v4 que fueron invadidas , sin que el mal nencia en las proviocias unidas del Rio de la Plata en America. se hubiese comunicado í la población: finalmente, que en la villa de Arcos ——En el día de la restauración. Oda patriótica de D. Juan Bautista Arríaza. Pinta habían fallecido ddQTe 3ál0del actual 17 personas, siguiendo la enfermedad ediciónlos males, añode dela anarquía,1823 » on cuadernoy exhortaená 4&gt;°la unión,4 2 rs. rustica.paz y olvido de lo pasado. Segunda su curso ascendente. Epístola á Fanni sobre el asedio de la 3Sla Gaditana en 1823; por D. Ju…</t>
  </si>
  <si>
    <t>Pinto</t>
  </si>
  <si>
    <t>…uo combate*, apenas sale, tremoz* por el caique de Tercei.ra, Montémor ó Ñovo por SaldafiS, caminan veugedor.de unajucha cuando entra en otra; y yo creo que ea semejante alterna do el general español Serrano sobre Beja, y nuestro general Pinto spbre Camtiva debiera preguntarse asimismo, si una política que no,apacigua nada, que pomavor, é^;p$uppador que entró en Evora «Acollado por un escuadrón de nada resuelve, y que no sabe defender la sociedad sino cotila éspada/del sóida* eclesiásticos $ri¿ados, se halla enteramente cercado. do y el…</t>
  </si>
  <si>
    <t>Pintón, José</t>
  </si>
  <si>
    <t>José Pintón</t>
  </si>
  <si>
    <t>…sa, y meditaciones para todos los dias de la semana, pór el Dr, D. José Rigual. Un tomo en 8.°, edición de 1805, á rs rama, y 5 pasta común. ——Extracto del compendio histórico de la Religión, compuesto, corregido y aumen tado por D. José Pintón, autor del mismo compendio para uso de los niños. Un tomo ESTADO SANITARIO DEL REINO. en 8.°, e4‘c&gt;4&gt;n de 1804» * 2 rs. rama, y 5 pasta común. Comprende este extracto lo mas fácil y esencial de rodo el compendio, de cuya utilidad y mérito hemos hablado PROVINCIA DB ALMERIA. ya en el análisis que de…</t>
  </si>
  <si>
    <t>Pinzón, José María Cerquero</t>
  </si>
  <si>
    <t>José María Cerquero Pinzón</t>
  </si>
  <si>
    <t>…s de la custodia dé los reos políticos, cio la cesión de 20,0o9 rs. que hace i favor de la Real Hacienda el oficial 1.® acusados'de complicidad en el alborota de 3 de Abril último. Como ninguno del cuerpo del ministerio de Marina D. José María Cerquero Pinzón, consis es natural de la*ciudad, solo permanecerán en sus cárceles el tjempo necesario tentes en nueve documentos de crédito de la deuda sin interes, ha resuelto S. Mpara tomarles declaración y concluir el proceso ; pero después serán enviados á que en su Real nombre se den las gracias á tan benemé…</t>
  </si>
  <si>
    <t>Pío, D</t>
  </si>
  <si>
    <t>D Pío</t>
  </si>
  <si>
    <t>…e se lia logrado mediante una grande actividad f oportunas dispo siciones , atajar la propagación de la virbéla en el ganado rperino. Pa.OVrNCIA DE ZARAGOZA Se concluyeron las obras del arrabal de S, Lorenzo y pronto lo estará el Sr. D. Pío taborda. * enlosado de los pórtales de la plaza mayor. En seguida se promoverán otras Sr. D. Francisco del Rey. - mejoras de policía urbana como son la reparación de las calles y el restableci Sr. D. Faustino Garay. miento del alumbrado público. Sr. X&gt;- Joaquín Ortiz de Velasco. Para atender á los…</t>
  </si>
  <si>
    <t>Pió, José</t>
  </si>
  <si>
    <t>José Pió</t>
  </si>
  <si>
    <t>…les,.llegó al santua ‘ 5 rio , donde sú cura pirroCo p. Pedro José O-Campos, revestido de capa plu El corregidor y ayuntamiento de Requena han celebrado loi días de vial , el sacristán niifbt‘DiiJoit Marír Arfan Jf -el presbítero D. José Pió de nuestra -augusta Reina Gobernadora y la apertura de las Cortes generales del Flores, revestido seguir les correspondía, recibieron el cuerpo capitular con el. reino con tres dias de festejos públicos. En el primero hubo una magnífica ceremonial de costumbre i é introducido basta el presbiterio , el…</t>
  </si>
  <si>
    <t>Pío, Julián de Ugaldc y D</t>
  </si>
  <si>
    <t>Julián de Ugaldc y D Pío</t>
  </si>
  <si>
    <t>…ntonio, de ‘ de 1823, que es pasearse sobre las, ruinas de.España como una tri-,, Salla, D. Justo de- Acha, D. Pedro Pick, EX Pedro Toluaga, bu de tártaros sobre los. desiertos de Escitia. Aquel horrendo plan - O. Julián Unzueta, D. Julián de Ugaldc y D. Pío de Éguizabál. que desbarató la prudencia de Fernando vil y de la parte ilustrada de su ministerio, quieren reproducirlo ahora: y ya se've que no , puede lograrse sino matando y exterminando. bolsa be comercio.__Cotización de hoy d las tres de la -tarde. Pero el gobierno de S. M. mira como españoles ha…</t>
  </si>
  <si>
    <t>Piquer, José</t>
  </si>
  <si>
    <t>José Piquer</t>
  </si>
  <si>
    <t>…da principal, ticaron dos nichos, en los que se veían colocadas las cuatro virtudes cardinales, cuyas paredes estaban cubiertas de negros paños, y sus puertas interiores con de escultura, ejecutadas, la Justicia y Fortaleza , por D. José Piquer, y la colgaduras del mismo color. Sobre la del medio se había colocado una lápida Templanza y Prudencia , por D. José Gines. coronada de laurel, y sostenida por dos genios, en la que se leía la siguiente Descansaba este cuerpo sobre un zócalo de 8 píes de altura, que se di-1 inscripción, compuesta…</t>
  </si>
  <si>
    <t>Piqueras, Juan</t>
  </si>
  <si>
    <t>Juan Piqueras</t>
  </si>
  <si>
    <t>…riable, marchan hácía el porvenir con. lina generósaosadíayó . un sumario4igero, fue ftáriado á las gts de li-iarife. - v ■ - se unen á lo pasado contepaz respeto. Otros, sesudos,,fríos", tímidos, irreso Que el capitan de 'Cüenca D. Juan Piqueras aprehendió y fusiló oto» lutos ven lo bueno que hay en el partido,del porvenir , lo que hay de respe* dos cabecíllas en el pueblo de Cati. table en el partido de lo pasado; aman al mismo tiempo la libertad que pide Pór último, que ef coronel' Nogueras se «Erigía con su columna jal par el ano y la a…</t>
  </si>
  <si>
    <t>Pire</t>
  </si>
  <si>
    <t>…tes de la feria próxima. aquellas á personas de todas clases y condiciones, sin necesidad de ob tener permiso de sus respectivos gefes, estando obligados á prestarlas ... —Según se dice, en todo el ases de Agosto debe dejarnos el general Pire!. todos aquellos á quienes por dichos jueces se pidieren.” De la mis ma Real orden lo traslado ,á V. E. para so inteligencia, y á fin de ■ ■ — b] general Borstcl ha llegado i Bockenheim, donde hace maniobrar í las que tenga efecto esta soberana resolución por todas las dependen tropas que están i s…</t>
  </si>
  <si>
    <t>Piret</t>
  </si>
  <si>
    <t>…z de Angulo, administrador de Rentas que fue Hay ahora entre las autoridades militares de la Confederación germá de la provincia de Asturias, auxiliando sus trabajos en caso de ne nica una gran discusión relativa al reemplazo del general Piret en el mando de cesidad uno de los oficiales de las extinguidas contadurías generales. las tropas confederadas establecidas en el radio de Francfort. Este empleo esta Tendréislo entendido, y dispondréis lo conveniente á su cumpii- ba destinado á un general prusiano; pero como le pertenece de derecho…</t>
  </si>
  <si>
    <t>…cura. Asi opinan los odio facultativos que han asistido á la ¡nota—lavares, médico de cabecera. ^_Üna carta del 3 dei corriente de Francfort; dice: - --• 19 de Setiembre á las 8 de la ttocke. El Sr. Duque de Braganza ha tenida Tí general Piret ha entregado e¿ta mañana d mando de las tropas au»- una convulsión; pero há.mejorado á beneficio de los remedios que se le aplica triJfc ts y prusianas que hay encesta ciudad .y sus alrededores.al mariscal dé cam ron. Se.continúa el sistema curativo que los médicos de servicio estiman con po í&gt;aroñ…</t>
  </si>
  <si>
    <t>…terlinas: el número de empleados queda disminííido, y hasta el patronato de la que tomará el Austria, para cuya ocupación ha sido nombrado el Sr. mayor Corona se ha reformado á un punto, que muchos de V, SS. han creído excesivo. general Piret, comandante de las tropas de la Confederación en Francfort. Sa Acerca del estado interior dél país puede recordar la Cámara en qué situa bemos por buen conducto que se ignora todavía quien será el sucesor de M.( ción deplorable le encontramos, teniendo abora la satisfacción de dejarle muy Piret. (D…</t>
  </si>
  <si>
    <t>Pirra</t>
  </si>
  <si>
    <t>…tima con 'lo que he dicho anteriormente y exige de mí como Procura traordinarios, en los cuales había creído podría hacerse la Tebaja que proponía. dor de una de ¡aquellas provincias y' Procurador de la nación; 'que llame alta El Sr. Pirra-:» No es la economía que la comisión propone la que me mente la atención del Gobielno,á fin de que ponga término a los abusos que ha obligado á tomar la palabra. El importante ramo de la guerra es uno de los aun se notan y que se han notado, sobre todo hasta poco ha. Estos abusos cons mayores consum…</t>
  </si>
  <si>
    <t>Piruétano</t>
  </si>
  <si>
    <t>…de 21 5 ii n . *9 *&gt; 5 dia de este de de Joaquín Palma Abril 1834- 28 y Vinuesa.” = 9* »&gt; 5 M 1 22 4 preso dia por en persona mayor alcalde y y el fue mismo en el sitio 27 Y 99 »* 6 » 1 23 4 Barba del la referido segundoCerro el comandante Piruétano de gavilla del *9 99 *9 H 6 6 24 Juan. Diez Rodero. Y un poco antes fue también aprehendido José Manza nares (a) el Sastre, vecino de Ballesteros, uno de los que componían la Parte de los enfermos de la villa de Puente de Don Gonzalo. mencionada facción.' Lo que pongo en el superior conocimiento de V.…</t>
  </si>
  <si>
    <t>Pisadas</t>
  </si>
  <si>
    <t>…; &gt;. . 1.a Qqe,la¡potijSqra pre3ujue5Ta.es la de: 509. rs, vn. por un año, y -553 cadad-las artes, ensdñlBzie.«fcbtda al zsjb de¡l% Real sociedad por cuatrienio, cuya cantidad ssfha'de entregar por mitades: la primera*.en 1° oiEi profesor Pisadas enriado poj: ,el gqbexnádor civil &lt;}e Lr9|0.4 riegos d¿l¡ de Enero dedf8J5i -y ,1'a segunda en,i.-?&gt;:de Febrero siguieate. Sr.jSilarpz., estableció.ejctiel-ihospicio déd¡chici|j4»8 de Oviedo la, pjtimei?, es - ,2.a, .Que.el-tÁlmanac ha de están impreso yveiiál-ahpúblicofen.li.'^.de.-Nücuela ¡paria,…</t>
  </si>
  <si>
    <t>Pisón, Evaristo</t>
  </si>
  <si>
    <t>Evaristo Pisón</t>
  </si>
  <si>
    <t>…creditaron vil de la provincia de Zamora, con fecha 7 de Juqio. tu bizarría en el momento^dc la carga, habiéndose distinguido el comandante Continúan su curso los expedientes sobre roturación de baldíos y apertura de Jo$ primeros D. Evaristo Pisón , D* Gregorio García Mcrdones , ya con- de cauces de riego» décoflao ¿oft la cruz de Isabel Fausto Malo, sargento 2.1 que fue del Las aguas que han caído en el mes último han mejorado los campo: y pro15 de línea.** "meten ya una buena cosecha. Tengo 2a satisfacción de trasladarlo al conocimiento de…</t>
  </si>
  <si>
    <t>Pistos</t>
  </si>
  <si>
    <t>…ulares ilustrado», tanto para Madrid anu) para las uapta.es ce la» oído el dictamen del consejo de Gobierno y del de Ministros, he venido en provincias. U , en el siste-^ demas modificar I nombre de mi augusta Doña Isabel Hija la Reina 14* Pistos censores rio formaran asociación, para de I Art. la en de y circulación libros forma siguiente: publicación ma de impresión, Cuerpo no pueda pervertir sus juicios. Cada uno separadamente evano"ara i.t» TITULO PRIMERO. obras que se le remitan, y las devolverá con la prontitud pos,b.e o n »u chu men…</t>
  </si>
  <si>
    <t>Pistos, Isabel Hija la Reina</t>
  </si>
  <si>
    <t>Isabel Hija la Reina Pistos</t>
  </si>
  <si>
    <t>…c...rv.eslicos v seculares ilustrado», tanto para Madrid anu) para las uapta.es ce la» oído el dictamen del consejo de Gobierno y del de Ministros, he venido en provincias. U , en el siste-^ demas modificar I nombre de mi augusta Doña Isabel Hija la Reina 14* Pistos censores rio formaran asociación, para de I Art. la en de y circulación libros forma siguiente: publicación ma de impresión, Cuerpo no pueda pervertir sus juicios. Cada uno separadamente evano"ara i.t» TITULO PRIMERO. obras que se le remitan, y las devolverá con la prontitud pos,b.e o n »u chu men…</t>
  </si>
  <si>
    <t>Pita, Pío</t>
  </si>
  <si>
    <t>Pío Pita</t>
  </si>
  <si>
    <t>…el parte del mes que viene podré darr á V. E. ua estado circunstanciado de este proyecto. Los Barrios.. . . 17 á 20 Julio, a 19 13 1 Extracto del parte remitido por el gobernador civil de la provincia de Lo Jerez de la Fron groño D. Pío Pita con fecha-de 10 de Julio-actual. tera ................ 21 á 24 ídem. .. 641 237 119 Se sigue instruyendo el expediente general de que se dio cuenta en el parte del mes anterior para conocer circunstanciadamente el estado de los diversos Jimena............ . I4 á 20 ídem.. 139 76 s ramos de la agric…</t>
  </si>
  <si>
    <t>PiTiiSmdbty</t>
  </si>
  <si>
    <t>…s. -V si ■ ficaéipn aseguraba que podía, pteseqtaf .; jj,tamppiq.as.Jé admití*.'^atecs'qóá qttav-yeqiií ,se;lia considerado:,necesatio hacer una justificación .mas'|Tnpu4, ¿por s- el fetameiitó al diKjdir.da^aaronicíSi -dé-alguji Sr. :!PiTiiSmdbty en,q?»eiW!«ip&lt;}j¿s . qué no sucede ló mismo ahora! Asi-quc yo no puedo conformarme con: el jhibet diiitntitado algunos- requisitos, lo habrá hecho tal y« porqué”cib«¿Ktaan - 'I ' ,■ , " - í / &lt;&amp;r i..i—-'</t>
  </si>
  <si>
    <t>Pitt</t>
  </si>
  <si>
    <t>…s , y á que no está en su mano romper empeños solemnemen cho común en Inglaterra. En prueba de ello citaré tres actas del te estipulados. Parlamento ingles que prohíben las asociaciones: la primera dcL TXANCIA. año de 1798 siendo ministro Pitt, en ocasión que había en la Gran-Bretaña infinitas asociaciones , dice asi: «Se prohíben ciertas Parts 23 de Mareo. sociedades que se dan los nombres de Ingleses unidos , Escoceses eLlfASLA DB XOS DIPUTADOS. \U¡íidos, Irlandeses unidos ¡) Bretones unidos , la sociedad conoci da por Sociedad corresp…</t>
  </si>
  <si>
    <t>Piüdevan, Pedro Morales</t>
  </si>
  <si>
    <t>Pedro Morales Piüdevan</t>
  </si>
  <si>
    <t>…e Octubre último, desde Haro, que se estaba fortificando el puente de Urinas y otros pasos del Ebro, sid que ocurriese otra novedad. S. M. se ha servido nombrar para la administración subalterna de coi reo» de Alcalá de Henares á D. Pedro Morales Piüdevan, cesante de la contaduría principal de Propios de la provincia de Soria, administrador interino que ha Con la misma fecha dice el comandante general de las provincias Vas sido de la renta en su capital; y ha tenido á bien separar á D. Manuel Gócongadas, que tampoco habia novedad en Alava; y que por…</t>
  </si>
  <si>
    <t>Pizarra</t>
  </si>
  <si>
    <t>…l orden público 7 de En el mismo momento en que se harén esas inculpaciones vagas, para que re fensa «le las lepo. Su organización será objeto de ana ley.” suenen en el pueblo; en ese mismo tiempo el Gobierno ha encargado á In El Sr. Pizarra pidió que no se diese el punto por suficientemente discu glaterra 309 fusila, que vendrán de un momento á otra, para armar la Mi tido ínterin hubiera quien hablase; irías no ve admitió ata propuesta. tiga urbana. El Gobierno, á pesar de los pocos rézanos con que cuenta , y El Se- Medrana: —Había pe…</t>
  </si>
  <si>
    <t>Pizarra, Pío Pita</t>
  </si>
  <si>
    <t>Pío Pita Pizarra</t>
  </si>
  <si>
    <t>…e], de Abril de 18 34-—A D. Javier de Burgos. de Coruña á D. Antonio Loriga, confiriéndole este encargo en comisión: de la de Cuenca á D. Ventura de Córdoba: d&amp;b$ Habiéndome dignado aprobar en esta fecha la Ordenanza ge Logroño á D. Pío Pita Pizarra: de la de Lugo á D. Laureano Gu neral de los presidios del reino, é instituyéndose en ella el destino tiérrez : de la.de Soria á D. Manuel Pezuela, marque* de Vllun,. de director general de los mismos, vengo en conferirlo al mariscal y de la de Zaragoza á D. Pedro Clemente Ligues. de campo de los R…</t>
  </si>
  <si>
    <t>Pizarra.’</t>
  </si>
  <si>
    <t>…aproxime iinasT aclarar este pünitp , düe el que citó el Otro diaeldigno se-' el Estamento es el que ha de decidir ahora si está ó no discutido.” llor Argílelles-, á saber, las noticias minuciosas que si tomaron efi las Córtes Et'Sr. Pizarra.’ »ínsisito en qué se observe el articulo, citado del reglaantrfiores pata asignar á la casa Real 4Ómillones,'¿ditítyloiyeríficáron en su vis- mento como han reclamado varios señores; pues siendo uno- délos del tttufa dichas Córtes, seguras de que señalando esta cantidad, daban con mano fran lo 5.^,…</t>
  </si>
  <si>
    <t>Pizarro</t>
  </si>
  <si>
    <t>…pinión.' Yo no creo que baya perdido el derecho de Se abrió á la una menoe cuarto, y ieida el acta de la anterior quedó apro hacerlo asi, aunque sea, si ve quiere, una inconsecuencia.” bada, mandándoselnsertar en ella el'voto del Sr. Pizarro, contrario á La reso El Sr. Sampom : «Cuando los señores de la comisión trataron de tomar lución del Estamento de que no se leyese la exposición del ayuntamiento de un término medio para ponerse de acuerdo sobre la dotación de la Reís a Minaya. nuestra Señora, dije que si se pasaba de los 28 millon…</t>
  </si>
  <si>
    <t>…ión. A buen seguro que si la hubiesen antes de establecer la,excepción es preciso'admitir la regla. * 7 tenido con Calotiiarde mismo , no se hubiera atrevido este como tuvo que ha /«El hombre, como explicó ayer filosóficamente el Sr. Pizarro , es un cerlo, i castigar á algunos por sus extravíos. Todos, repito, queremos la li- animal parlante por esencia; pues esta misma esencia, esta misma facultad de bertadj-esiídeseo inherente al bombjg; PH&amp;c^ivicne que.tenga,sus restriccio- ¿ sujeta á resinccyme-s. En los ejércitos al-entrar en bata…</t>
  </si>
  <si>
    <t>…nte!discutido, se pondrá á votación, y el Estamen objetos , nosotros asignamos' üda dotación demasiado mezquina para conslervar to podrá resolver.” ' el brillo y esplendor del trono.1 Yo do creo seguramente que haya muchos que El Sr. Pizarro-, «Entonces quedará debilitada la-fuerza del reglamento, tengan la heróícidád dé badérttos esa fecbñvención; sería solo digna de- genios y este no será mas que un tira y afloja, viniendo, á ser un comodín que se ha sobrehumanos (que qp hav muchos por cierto), y mas bien creo yo que la ca servir para…</t>
  </si>
  <si>
    <t>…ano (D. Ginés), Cczar, desagradable incidente que tuvimos ayer pronuncié algunas expresiones, pero Eoncl y Orbe, Muñoz, Martínez de la Rosa, Carrillo Manrique, González no con intención precisamente de ofender á nadie, y menos al Sr. Pizarro, (D. Juan Gualbeno), Piarro, Hercdia y Godino, Santafé, Torres y Soiacon quien jamás he tenido ninguna relación. Tratándose pues solamente de sa not, marques de Falces, Serrano (D. Francisco), Acuña, Diez González, Fer ber si yo resentido he ..querido hacer una ofensa personal; responderé que no, n…</t>
  </si>
  <si>
    <t>Pizarro, D José García de León y</t>
  </si>
  <si>
    <t>D José García de León y Pizarro</t>
  </si>
  <si>
    <t>…, imposición de censos, y todos aquellos actos El mismo se conformó con el dictamen de la comisión de Examen de do que representan un desembolso efectivo de parte del que contrató con el po cumentos sobre el expediente del Excmo. Sr. D. José García de León y Pizarro, seedor de bienes entonces libres, entiendb que deben respetarse los derechos de en que proponía que habiendo examinado el nombramiento de Prócer del rei los interesados, asi para el reintegro del capital, como para el de los intere no, con que S. M. se había dignado agraciarle, y hallándole corrie…</t>
  </si>
  <si>
    <t>Pizarro, José</t>
  </si>
  <si>
    <t>José Pizarro</t>
  </si>
  <si>
    <t>…enia necesidad de habérsela pedido: á que con Dec'arado haber lugar á votar sobre esta proposición , fue aprobada. testó el Excmo. Sr Secretario marques de Guadalcazar, que no constaba la Se dió cuenta de un oficio del Excmo. 5r. D. José Pizarro, en que mani fecha de la solicitud. festaba su imposibilidad de asistir á la apertura de Córtes , tanto por el mal es El Excmo. Sr. D. Joaquín Navarro observó que era indispensable que tado de su salud , como por el desorden en que estaban sus intereses, v por ia con arreglo á lo acordado , cualqui…</t>
  </si>
  <si>
    <t>Pizarro, José García de León y</t>
  </si>
  <si>
    <t>José García de León y Pizarro</t>
  </si>
  <si>
    <t>…posición de censos, y todos aquellos actos El mismo se conformó con el dictamen de la comisión de Examen de do que representan un desembolso efectivo de parte del que contrató con el po cumentos sobre el expediente del Excmo. Sr. D. José García de León y Pizarro, seedor de bienes entonces libres, entiendb que deben respetarse los derechos de en que proponía que habiendo examinado el nombramiento de Prócer del rei los interesados, asi para el reintegro del capital, como para el de los intere no, con que S. M. se había dignado agraciarle, y hallándole corrie…</t>
  </si>
  <si>
    <t>Pizarro, José García León y</t>
  </si>
  <si>
    <t>José García León y Pizarro</t>
  </si>
  <si>
    <t>…e aunque á primera vista parezcan títulos onerosos, 'En seguida entraron á prestar juramento los Excmos* Sres. citados mar no lo son absolutamente hablando . á lo menos en el sentido de esta ley, pues queses del Valle de Rivas, y D. José García León y Pizarro; y verificado es no consta la persona que desembolsó un capital del cual haya sido privada te acto, tomó asiento el primero en el banco de los Sres. Secretarios del Despa después, y el texto de la ley que nos ocupa solo habla de capitales desembol— cho, y el segundo entre los Sres. Proceres. safkaL…</t>
  </si>
  <si>
    <t>Pizarro, Pedro Jacobo</t>
  </si>
  <si>
    <t>Pedro Jacobo Pizarro</t>
  </si>
  <si>
    <t>…y milicia nacional deshicieron aquella coalición liber Se dió cuenta de un dictamen en que la misma comisión manifestaba ha ticida. EUa, repito, fue la causa de los desórdenes: por ella subió al cadal ber examinado los poderes de D. Pedro Jacobo Pizarro, electo Procurador so Luis xvi, pues cobardes le abandonaron sus partidarios, y la asamblea se por la provincia de.Huelva, 7 el documento de su aptitud legal, y que ha vió en la necesidad de optar entre e! Rey y la libertad de la nación : y como llándolos conformes opinaba debían aprobarse. Asi se…</t>
  </si>
  <si>
    <t>…primeros ayudantes de la clase de capitanes , destinados al tiguos de la de Sevilla: por la clase de alcaldes á D. Antonio de detall de las 12 comandancias. La facilidad que tiene este cuerpo Sierra, que lo es de la de Granada; á D. Pedro Jacobo Pizarro, para su reemplazo, y la circunstancia de ser soldados hechos casi fiscal electo del crimen de la de Sevilla; á D. Joaquín Beneito y todos los individuos que se empeñan en él, produce la ventaja de Beneito y á D. Francisco de Paula Herrera; y en clase de fiscales, que esta tropa pueda servir y bati…</t>
  </si>
  <si>
    <t>PKaidenle</t>
  </si>
  <si>
    <t>…Manuel (hijo), Blanco , Rjvá Hetera, prora iiCiíiWr Qrep«r, Ton*®!F}ía, Ulloa , Butrón, Fuster . Sc Acevedo , Bermudez, Redondo, Vázquez, Monteas, He tedia., pestaña ,Lq- j-'uelSj jUsapta, Belda ,;Xrut;ba., Gaballero., Gonzaíez y Sr. PKaidenle. v ¡~ ‘pezdel Baño, Somoza, marques de Montenueto, Belmónte, Cácete», XÚf,3^ V Las que desaprobaron fueron los SresFlei* .Serrano, González,(D. Juan Jaz, Chavarrí/Ito^iguei, Veta, Gargóllo, AgUirre .Solarte ¿¡ Góijzaléz, ‘Gualberto)j;G?ray, Maftinez de laRosa , Toreno , Moscoso, Hubert , BenPérez ,…</t>
  </si>
  <si>
    <t>Plá, Mariano</t>
  </si>
  <si>
    <t>Mariano Plá</t>
  </si>
  <si>
    <t>…de á la villa de su Real voluntad que se ejecute el proyecto con las restricciones contenidas en Nestosa, á fin de evitar las violencias que cometen los facciosos. la Real órden de su concesión, y bajo la dirección del arquitecto D. Mariano Plá,y que se decida todo punto de discordia que pueda suscitarse, por perito* Con la misma fecha se ha servido también S. M. rebajar los derechos de nombrados por los a;untamientos de Calanda y de Castelserás, á quienes po portazgo de los de Benajama, Monforte y su intervención de las Balsas de drá agr…</t>
  </si>
  <si>
    <t>Plácido</t>
  </si>
  <si>
    <t>…as de Roma, está á punto de El comandante general de la provincia de Burgos avisa que el coman llevarse á cabo el proyecto formado en el Congreso de Viena, de unir á to dante del destacamento de Roben», subteniente de Extremadura D. Plácido dos los príncipes de Italia bajo el protectorado del Austria. El caballero M^rs^- Reig, habiendo &amp;lido á recorrer los valles inmediatos con una partida, en hal, austríaco , es el designado para irá Tosca na con este objeto. Se dice que contró 4 facciosos, y acometiéndolos con la fuerza que llevaba , result…</t>
  </si>
  <si>
    <t>Plan, José María Moscoso de Altamira</t>
  </si>
  <si>
    <t>José María Moscoso de Altamira Plan</t>
  </si>
  <si>
    <t>…ntificados todos en senti y -circunstancias. Tendréislo entendido, y dispondréis su cumpli- mientos contribuyan á Iá conservación del órden público. miento.=Está rubricado de la Real mano.=En el Pardo á 7 de No viembre de i834.=A D. José María Moscoso de Altamira. Plan por el cual se pronuncia la guarnición. Artículo l.6 Esta guarnición , que tiene jurado defender á toda costa la reli MINISTERIO PE LO INTERIOR. gión católica, apostólica, romana, sin tolerancia de otra alguna, ratifica ex Real órden. presamente y de espontanea voluntad su juramento. 2. ° Asimismo…</t>
  </si>
  <si>
    <t>Plana, Anto</t>
  </si>
  <si>
    <t>Anto Plana</t>
  </si>
  <si>
    <t>…de la seda, se re Asimismo se ha dignado S. M conferir la estafeta de Patencia al oficomienden á los gobernadores civiles de Valencia, Alicante, Castellón de la Cral 2.® de la principal de Lugo D. Ignacio Fernandez; esta plaza á D. Anto Plana , Zaragoza, Huesca y Teruel, para que dándoles lá conveniente publi nio Díaz, interventor de la renta-en el Ferrol, reemplazándole D- Gabriel cidad , exciten por los medios, posibles á los fabricantes y cosecheros de sus res Rebellón, administrador de la estafeta de Vivero-, la de Vílhmueva de la S…</t>
  </si>
  <si>
    <t>Plandolit, IX José</t>
  </si>
  <si>
    <t>IX José Plandolit</t>
  </si>
  <si>
    <t>…sufren los contribuyentes las redimirían gustosos por dos millo provincia de Barcelona, que ha recaído en el Sr. D.. Antonio Barata, para nes de_ reales. Este cálculo parecerá, como lo es en efecto, muy moderado si reemplazar.al Sr. IX José Plandolit. _ . se advierte que pagándose por el vino que se consume, en el antiguo reino de El Estamento quedó enterado de una Real órden, que remitía el Sr. Se-1 Valencia existen mas de un millón de habitantes; que esta cosecha abunda socretario del Despacho de Gracia y Justicia, para que el archivo de la di…</t>
  </si>
  <si>
    <t>Plandolit, José</t>
  </si>
  <si>
    <t>José Plandolit</t>
  </si>
  <si>
    <t>…ncia de Málaga. Asi se verificó. tante poderosas para hacerla variar de parecer. También hizo presente dicha comisión que habiendo4examinado la ins «Otro ia conveniente det actual reglamento es el nombramiento de las co tancia de D. José Plandolit, electo Procurador por la provincia de Barcelona» misiones por solo la mesa en los primero* dias de la reunión del Estamento, en que pedia su exoneración; y hallando justas las causas que en ella alegaba, era y la fijación del número de individuos que deben componerlas, que no debe de parecer debía…</t>
  </si>
  <si>
    <t>Plandolit, José Becerra José</t>
  </si>
  <si>
    <t>José Becerra José Plandolit</t>
  </si>
  <si>
    <t>…a el día señalado por él Gobernador, civil, im no haberse presentado. pidió que aquella tuviera efecto. ... ", Avila, re D. Patricio Martin y Tejada. «Las ordenes para la elección del Procurador que debió, reemplazará Don Lugo. — D. José Becerra. José Plandolit, fueron comunicadas con la mayor celeridad, y por consi Otense. = Di Manuel María Losada. guiente poco podrá retardarse la presentación de su reemplazo. Zamora. i= D. Manuel VillacKica. •runo de los Sres. Procuradores nombrados por Canarias, el coronel Don José Quintano, ayer noche se presentó en e…</t>
  </si>
  <si>
    <t>Plandolit, Lugo D José Becerra José</t>
  </si>
  <si>
    <t>Lugo D José Becerra José Plandolit</t>
  </si>
  <si>
    <t>…r de estar ya el día señalado por él Gobernador, civil, im no haberse presentado. pidió que aquella tuviera efecto. ... ", Avila, re D. Patricio Martin y Tejada. «Las ordenes para la elección del Procurador que debió, reemplazará Don Lugo. — D. José Becerra. José Plandolit, fueron comunicadas con la mayor celeridad, y por consi Otense. = Di Manuel María Losada. guiente poco podrá retardarse la presentación de su reemplazo. Zamora. i= D. Manuel VillacKica. •runo de los Sres. Procuradores nombrados por Canarias, el coronel Don José Quintano, ayer noche se presentó en e…</t>
  </si>
  <si>
    <t>Plandolit, Pedro</t>
  </si>
  <si>
    <t>Pedro Plandolit</t>
  </si>
  <si>
    <t>…n que ha de servir de base á aquella saludable insti fueron hechas sobre dichas materias y sobre la teneduría de libros por los se tución. ñores concurrentes. La epidemia del cólera-morbo, que desde la lejanía del Asia, donde fue D. Pedro Plandolit expuso la teoría de bancos , tanto de depósito como su cuna , ha extendido su mortífera influencia sobre la península, añadiendo des de giro ; hizo la descripción de las principales bolsas _de comercio , y se de gracias á-las desgracias que nos han afligido y afligen, ha sido yes combatida tuvo esp…</t>
  </si>
  <si>
    <t>Plándotit, D José</t>
  </si>
  <si>
    <t>D José Plándotit</t>
  </si>
  <si>
    <t>…a y D. José Manuel de Va- sus esfuerzos á mantenerlo. Ai hacer cualquier solicitud todos ellos protestan dillo. su adhesión y su decisión á sostener la causa legítima hasta con la última gota A la misma se pasó una exposición del Sr. D. José Plándotit, electo Pro de su sangre. Pues bien; algo menos se les pide por mi parte. Bastante sangre curador por la provincia de Bircelona, pidiendo se le admitiese la renuncia se derrama, sangre que al fin , sea de una ó de otra parte, es española. Y a que de este cargo por hallarse imposibilitado de desempe…</t>
  </si>
  <si>
    <t>Plándotit, José</t>
  </si>
  <si>
    <t>José Plándotit</t>
  </si>
  <si>
    <t>…D. José Manuel de Va- sus esfuerzos á mantenerlo. Ai hacer cualquier solicitud todos ellos protestan dillo. su adhesión y su decisión á sostener la causa legítima hasta con la última gota A la misma se pasó una exposición del Sr. D. José Plándotit, electo Pro de su sangre. Pues bien; algo menos se les pide por mi parte. Bastante sangre curador por la provincia de Bircelona, pidiendo se le admitiese la renuncia se derrama, sangre que al fin , sea de una ó de otra parte, es española. Y a que de este cargo por hallarse imposibilitado de desempe…</t>
  </si>
  <si>
    <t>Planjolit</t>
  </si>
  <si>
    <t>…do el ministro del Interior, que ningún perjuicio*resultará á los polacos .A* porque la Cámara siga los trámites que prescribe el reglamento, desiste M. PV Perpistan 21 de Eneros tou de su solicitud, y se levanta la sesión. El «x-coronel Planjolit, su hermano, y dos individuos mas de su partida, I han sido conducidos á esta ciudad, y están custodiado» en la cárcel pública. 1 D&amp;H.^Stsion del dta 18. Perseguidos por las valientes tropas de la Reina de España no les quedó mas Aprobada el acta de la antieriar sesión, diesel Sr. Devaux que en íos…</t>
  </si>
  <si>
    <t>Plapouta</t>
  </si>
  <si>
    <t>…utenticidad de esta noticia; pero es evidente qúe la tuerta le da y* la independencia de la nación. y entera creencia , supuesto que llevada de las inteligencias que mantiene en S¡- los principales gefes de esta conspiración eran D. Plapouta, por sobre r ja, ha resuelto ‘aptóvechar ocasión tan favorable .pata restablecer su autoridad nombre Coliopulos, de edad de 45 años, y Teodoro Colocotroni, d=54 &gt; em- en aquel país. Al efecto üe han dado las órdenes mas estrechas á la escuadra-, bos residentes én:la provincia de Caritená. tíichos g…</t>
  </si>
  <si>
    <t>Plata, Juan Serapio de la</t>
  </si>
  <si>
    <t>Juan Serapio de la Plata</t>
  </si>
  <si>
    <t>…Portugal, que por sustraér la, todos de Salamanca, se hicieron dueños de la terrible altura, que ocupaban sela los horrores y .vejaciones de la guerra civil se habían refugiado en aquella los facciosos. El subteniente de Alcázar D. Juan Serapio de la Plata, con los ciudad, tomaron una parte muy activa en los regocijos públicos, dando treguas sargentos segundos Domingo Manzanaro, Isidro Villa, y soldado Andrés Ja á la amargura de verse, expatciados. Llave del mismo cuerpo, también fueron los primeros que subieron á la altura por el frente que tenian.…</t>
  </si>
  <si>
    <t>Plaza</t>
  </si>
  <si>
    <t>…nmigo pasó á situarse, rae participa que guientes: noticioso á su llegada á aquél punto de que una partida de aduanero* manda- . Art, i.® «El matrimonio propuesto por Si M. I. el Duque de Briagapza, da ’por-los titulados teniente coronel Plaza y capitán Árellanoj que tanto* 'consentido y confirmado por S. AL la Reina dé Portugal y de los Algarves, perjuicios causalxtn obstruyendo comunicaciones, asesinando á-cuaüla* personas Doña María ti, entre la misma augusta Señora y S. A. R. el Príncipe Aut deambos sexos se dirigían á plintos fortific…</t>
  </si>
  <si>
    <t>Plóccres, Presidente del Consejo de JlfhiUtros Ilustres</t>
  </si>
  <si>
    <t>Presidente del Consejo de JlfhiUtros Ilustres Plóccres</t>
  </si>
  <si>
    <t>…ifctámen por el'Exce— La misma'resolución recayó sobre otro dictamen de la mtsma comisión lentísimo Sr- Secretario, y tomó la palabra ocupando la tribuna. en el expediente del Excmo. Sr. conde de Tabeada, exponiendo que hallan El Sr. Presidente del Consejo de JlfhiUtros- «Ilustres Plóccres. En 4 dq do arreglados los documentos presentados por S. E., debía ser admitido defi Abril próximo pasado, cuando los Secretarios del Despacho tupieron la honra nitivamente. de proponer á S. M. la Reina Gobernadora la restauración de las antiguas le En virtud del díctámen de dicha comisión fue admit…</t>
  </si>
  <si>
    <t>Plok</t>
  </si>
  <si>
    <t>…á su alcance para facilitar ia ex Jaubert y el comandante Lamoniciere. El 4-° de línea se ha despedido del sue tracción de granos por medio del esiablecinvento de mercados en los puntos lo, africano de una manera muy honrosa. El capitán Plok del primer regimien mas á proposito, la reparación y seguridad de los caminos trasversales, y la to de cazadores de Africa, ha desplegado su acostumbrado valor en una carga protección de los iragmeros. que dió sobre un grupo de hadjutas. M. Duhesme, alférez del mismo regi Sieuen su curso-los expediente…</t>
  </si>
  <si>
    <t>Plunkét</t>
  </si>
  <si>
    <t>…del Estado , 20; , INGLATBKXA. Mr. Tompson, tesorero de marina, 29; sir Hor,lc, fecal general-, 6200-, sir lAndres 23 de Agosto. Gambell, procurador'general, 49, Irlanda. Marques de Angleséy , lord lugar teniente.de Irlanda, 209; lord Plunkét,’ lord canciller, 89; sil Wíand, co Fondos públicos. Tres por 100 consolidados 90-§&lt; mandante dd1 ejército, 3607; sir Blackbnr'h, fiscal-general, 39i Mr. CrampEscriben de Dublin que hay esperanza de que pronto cesará el cólera: la ton, procurador general', 29. • alarma es muy grande; pero la variac…</t>
  </si>
  <si>
    <t>Plunkett</t>
  </si>
  <si>
    <t>…99 82 4 wbigs. Todo lo que puedodecirse hasta ahora con- certidumbre, es que recibi 99 ». M D.. 29 5,5 1 28 8 82 4 rá lord Brougham SS libras esterlinas por año (500,000 ra.) y 4® libras ester 99 3 tarde .. 29 5,5 28 9 82 ? linas lord Plunkett. (Morning-Herald.) 99 10 noche.. 29 5 27 5 82 3 El calor se ha sostenido durante el mes de Agosto, aunque no faltaron Tj&lt; últimas noticias de Nueva-Yorck, del 25 del mes pagado, no son llurias. Las irritaciones gastro-intestinales y las de los órganos de la respira tan desfavorables como las pasadas…</t>
  </si>
  <si>
    <t>PnjitUnte</t>
  </si>
  <si>
    <t>…á,obser manifesté y sáfelo que giró cuanto dije, fue que podrían ser admitidos loa que, vación y la dificultad que el Sr.Miaistro ha presentado.” hubiesen entrado enVaqueltás Jila* por,.coacción , ó que después hubieran dado - El Sr. PnjitUnte: «Se suspende esta discusión. Á pesar de lo detenida pruebas positiva* de adhesión al actual Gobierno defendiéndolo contra sus ene-' que-te hace la mismay como no puedo preverlo que sucederá enlo sucesivo, Iñigos. Es muy fícil, señores, disertar sobre unásuposicion dada ó sobre una, deseariaque las…</t>
  </si>
  <si>
    <t>Pocas, Ferrerz</t>
  </si>
  <si>
    <t>Ferrerz Pocas</t>
  </si>
  <si>
    <t>…solo que se ad cionada , se acordó que sí, y en seguida se volvió á leer y se anunció .se abría mitiesen los escritos que al efecto se presentasen, sino que se diesen las gracias la discusión sobre ella. á los qu^o hiciesen. « El Sr. Ferrerz «Pocas palabras bastarán para ^convencer al Estamento El or. Hubert manifestó que no se oponía á que se admitieran, sino que de la utilidad de esta pr sícion, y de la buena fe y nobleza de deseos que creía debían dirigirse al Gobierno, y rio ai Estamento, pues el no hacerlo asi han guiado á los que la fia…</t>
  </si>
  <si>
    <t>Poco, María</t>
  </si>
  <si>
    <t>María Poco</t>
  </si>
  <si>
    <t>…oder so* bienes á mundo, y purgó este católico suelo del nefando islamismo. un sobrino , con la condición de que debe declararse inmediatamente partidario Dígnese, pues, V. M. acoger con la amable benevolencia que la caracteri de Doña María. Poco antes de morir revocó con mucho sentimiento un legado za ios reverentes y sinceros respetos de esta sociedad, que con disgusto no ha considerable que tenia hecho á un antiguo amigo suyo /porque *upo que séguia podido antes manifestárselos por hallarse ausentes de esta capital Ja mayor parte las ban…</t>
  </si>
  <si>
    <t>Pocos</t>
  </si>
  <si>
    <t>…una vida suave compatibles con el trabajo. ___ El Mercurio de Suevia dice que se experimenta mucha dificultad en Po La nueva ley de aduanas atestigua nuestros progresos en la industria, y al lonia para la quinta que ha mandado el Emperador. Pocos polacos hay en el mismo tiempo ha conciliado la protección que se la debe bajo principios de día aptos para el servicio de las armas, porque ios jóvenes unos se comprome prudente libertad que están dispuestos á admitir los gobiernos ilustrados. tieron en la revolución,^ otros han emigrado, ademas d…</t>
  </si>
  <si>
    <t>Podrán, Art</t>
  </si>
  <si>
    <t>Art Podrán</t>
  </si>
  <si>
    <t>…o Para luchas............ ...i. 4oo 300 loo. GACETA DE MADRID. ARTSCO.O DE OFICIO. por escrutinio secreto, y á pluralidad absoluta de votos: en caso de empate decidirá la suerte. La Reina nuestra Señora Doña Isabel ii, y S. M. la Reina Art. 10. Podrán ser nombrados Electores: Gobernadora, siguen en el Real sitio de Aranjuez sin novedad IV Los individuos del Ayuntamiento del pueblo cabeza de Parti en su importante salud. do, inclusos los Síndicos y Diputados. 2V Los mayores contribuyentes que hayan concurrido á la elec Del misino beneficio disfru…</t>
  </si>
  <si>
    <t>PoIbrahim</t>
  </si>
  <si>
    <t>…a y^tsntnjgía que ba manifestado en estas circunstancias. Si las órdeyor. descontento é irritación éntrelos soldadosyen todos los'ptoetfíós, y ekjj^jí-' V, .th|U*J¡¡f &lt;&amp;:¿lúp ffltbubiesen apoyado en fuerzas tan considerables, .el conde PoIbrahim, hijo del virey, se halla amenazado de grandes apufps pót.la eiétiíeitia ’í;'lígna^,í?'áúé;CÓJcg»s no estarían en Han*. StoembaTgo,el pleito no está ganapenuria' que sufren sus tropas, y la actitud que van tomaBdÓ tódá»'áquella» - dó en $é£ptHl«- y Luis Felipe se verá amenazado de una tempestad pol…</t>
  </si>
  <si>
    <t>Pojo, Aúgel</t>
  </si>
  <si>
    <t>Aúgel Pojo</t>
  </si>
  <si>
    <t>…licía urbana como son la reparación de las calles y el restableci Sr. D. Faustino Garay. miento del alumbrado público. Sr. X&gt;- Joaquín Ortiz de Velasco. Para atender á los objetos que están á cargo d* la sociedad económica se Sr. D. Aúgel Pojo. piensa en hacer algunas rifas de alhajas, arbitrio que es el que ofrece menos in convenientes por las razones que se expresan. Se trata asimismo de componer el camino desde aquélla ciudad al arrabal Portel recibidat en la secretaria de Estado y del Despacho di la Guerra. de Zamarramala y el de la F…</t>
  </si>
  <si>
    <t>Pojo, D Aúgel</t>
  </si>
  <si>
    <t>D Aúgel Pojo</t>
  </si>
  <si>
    <t>…e policía urbana como son la reparación de las calles y el restableci Sr. D. Faustino Garay. miento del alumbrado público. Sr. X&gt;- Joaquín Ortiz de Velasco. Para atender á los objetos que están á cargo d* la sociedad económica se Sr. D. Aúgel Pojo. piensa en hacer algunas rifas de alhajas, arbitrio que es el que ofrece menos in convenientes por las razones que se expresan. Se trata asimismo de componer el camino desde aquélla ciudad al arrabal Portel recibidat en la secretaria de Estado y del Despacho di la Guerra. de Zamarramala y el de la F…</t>
  </si>
  <si>
    <t>Polden</t>
  </si>
  <si>
    <t>…ante», v ia segunda lo verificara en Toda I4 se qa d,el firman imperial que mandaba se le arrestase. El seraskJer de Erzeroum Essard-bajá, sabedor de que semejante personage se acercaba á las inmediacio mana bajo la dirección del capitán Polden &gt; algunos oíkiales expertmemados. nes 4c su residencia, mandó que sin perder tiempo saliesen tropas para persc- También han salido de Londres luü cabuóos r fo hombres con el mismo gi^irie, obligándole por este medio i que se retirase á Tiífitz- objeto.</t>
  </si>
  <si>
    <t>Poli</t>
  </si>
  <si>
    <t>…a Don Hoy se ha publicado en esta el siguiente edicto: Nicolás García Page para la dignidad de abad de Santa Leocadia de la metro «Don Manuel Lorenzo, caballero de la Reai y militar órden de S. Her politana iglesia de Toledo; y á D. Poli carpo Romea para una canongía de la menegildo , comendador de la de Isabel la Católica, gran cruz de la de San tanta iglesia metropolitana de Zaragoza oFernando, condecorado con otras varias cruces por acciones de guerra , maris cal de campo de los Reales ejércitos, gobernador, segundo cabo comanda…</t>
  </si>
  <si>
    <t>Polidori</t>
  </si>
  <si>
    <t>…azza, en Sicilia, de edad de 67 años: al Emo. Sr. Bottiglia, arzo \ bispo de Pirgi ¿ natural de Cavour, junto á Turin, de edad de 72 años: ei ------ Acaba de celebrarse en Manéhester uña junta entre los tttaestfos de sastje, Emo. Sr. Polidori, secretario de varias congregaciones romanas, natural de Jes- cuyo objeto ha sido tío solo despedir de sus tiendas á los oficiales que per si de edad de 68 años. tenecen á la sociedad de la unión, sino también á los que no siendo socio», S. S. se ha reservado m pectore otros seis cardenales. tengan…</t>
  </si>
  <si>
    <t>Polo</t>
  </si>
  <si>
    <t>…o niego, { pero acaso- Milicia urbana ha dejado de serlo tampoco! A- Ja palabra la preferencia sobre la uva pata, el' derecho dcasáiluríitnayór y menor, y otros milicia están adheridos algunos recuerdos gloriosos: La objeción del Sr. Polo asuntos semejJiMesdPecódofúe culpa de los Procuradores-el no hacerlo: por -respecto á la palabra milites, es muy justa; pero no veo qué razón haya pi el contrario.,'desdada primera ocasión que tuvieron^ firjarónsusdeaeps é hicie ra equivocarse respecto - del- instituto. No porque se diga militar ó…</t>
  </si>
  <si>
    <t>…El Gobier hace muchos dias, estando presentes otros Sres. Secretarios, y habiéndoseles no no se presentará á dar cuenta por una mera indicación de un Sr. Procura hecho una indicación por algunos Sres. Procuradores, entre otros el Sr. Polo, dor; se presentará sí á contestar francamente, cuando se fijen las ideas por me relativamente á la Milicia urbana y á otros diferentes puntos en que deseaban dio de una petición dirigida á $. M. por todos los trámites prevenidos en el estar ilustrados; los Sres. Secretarios de Estado y de Hacienda…</t>
  </si>
  <si>
    <t>…la justicia y la política las que apoyan esta medida; la exclusivamente. exige también La conveniencia pública. Aunque la España, sea por desgracia ó En el suplemento á la Gaceta del miércoles t&lt; del corriente, en ei discurso del Sr. Polo )' Monee, relativo al canal de Aragón , en la columna 3.a r a) principio del por consecuencia de sus malas leyes y de U mala administración que ha pesado tercer párrafo, íease 1'28 en lugar de 788 .* y en el párrafo 6.° . linea 8.“ . en donde m •obre ella desde ei siglo xvxi hasta poco hace; aunque…</t>
  </si>
  <si>
    <t>Polo, Afiquel</t>
  </si>
  <si>
    <t>Afiquel Polo</t>
  </si>
  <si>
    <t>…dad, y el del voto parti guelles, Orense, Redondo, Montenegro, Cuesta, marques de Villagarcia, cular del Sr. Samponts , que proponía 8.000,000 reales. Pardo Bazan , Llórente , Caceras , Crespo Rascón, Onis, Trucha Cosío , VillaEl Sr. Afiquel Polo: «Como individuo de la comisión debo manifestar laz, Melendez, López del Baño, San Clemente, Anaya, Crespo de Tejada, que esta nada tiene que decir, sino que el Sr. D. Fernando vn en el año 181$ Latorre, Ochoa, Ruiz de Carrion, Subercase, conde de Adinero, Alvarez señaló á sus augustos Padres la ca…</t>
  </si>
  <si>
    <t>Polo, Afújuel</t>
  </si>
  <si>
    <t>Afújuel Polo</t>
  </si>
  <si>
    <t>…Lo que manifiesto al Estamento para que de S. M , á cuyo finí ,eí consejo de disciplina del mismo formará y remitirá al lo tenga presente en ella.” ministerio délo Interior, por conducto del gobernador civil de la provincia, ' El Sr. Afújuel Polo-. «La comisión del presupuesto de casa Real no ha una propuesta de fres individuos, con la expresión de las circunstancias y cali procedido con ligereza ni arbitrariedad en la asignacioo de 30 millones á S. M. dades, que d?tBérán. ser vecinos del pueblo, tener treinta años cumplidos de Doña Isa bel ir. L…</t>
  </si>
  <si>
    <t>Polo, Bernardmo</t>
  </si>
  <si>
    <t>Bernardmo Polo</t>
  </si>
  <si>
    <t>…ron hasta una distancia tai! El capitán general de Castilla la Vieja.en 27 del corriente remite copia del corta , que cargando la caballería con invencible valor obligó á los rebeldes i parte que el comandante de armas de Froomta D. Bernardmo Polo le dirige el retirarse y tomar posición á una hora del pueblo , verificándolo yo ¿ su frente dia 2¿ , avisando que habiendo salido á hacer un reconocimiento hacia Bova- con una parte de mi columna, que despides de guarnecido este punto había hecha dilia del camino, Melgar de Yuso y Santoyo, encontr…</t>
  </si>
  <si>
    <t>Polo, D José Miguel</t>
  </si>
  <si>
    <t>D José Miguel Polo</t>
  </si>
  <si>
    <t>…o ha hecho; lue Sr. D. José Cuevas, hacendado. go es un tmidor.Bourmont dejó el bastón de general, y Macdonald , que aca Sr. D. Joaquin Tosquella. - baba de juntársele, y que aspiraba á este destino ,.fue nombrado primer gefe del Sr. D. José Miguel Polo. ejército. El nuevo general era un soldado duro, de sangre fría en los combates, «Iq ipuy -ansioso de mando. El 10 de Octubre cuando los constitucionales sa PROVINCIA DI CUXXCA. lieron de Lisboa , y también el dia inmediato, D. Miguel desbarató los planee Excmo. Sr. conde de Toreno. &lt;de Macdona1d, y…</t>
  </si>
  <si>
    <t>Polo, Ignacio y Villela</t>
  </si>
  <si>
    <t>Ignacio y Villela Polo</t>
  </si>
  <si>
    <t>Núm. 19. Martes 11 de Febrero de 183i. GACETA DE MADRID. de los de oidores del Consejo de Navarra Martin Javier D. Por separación ARTICULO DE OFICIO. en Muzquiz nombrar venzo y D. Joaquin Olál , D. Ignacio y Villela Polo, La Reina nuestra Señora Doña Isabel ii, y S.M la Reina Gobernadora, en su luear á D. Pedro García del Valle, audiror de Guerra de Pamplona, á [ siguen $in novedad en su importante salud. D. Josef Aguilera y á D.-Fulgencio Barrera. Tendráse entendido en la Cáma ra para su cumplimiento.zzEstá rubric…</t>
  </si>
  <si>
    <t>Polo, José Miguel</t>
  </si>
  <si>
    <t>José Miguel Polo</t>
  </si>
  <si>
    <t>…hecho; lue Sr. D. José Cuevas, hacendado. go es un tmidor.Bourmont dejó el bastón de general, y Macdonald , que aca Sr. D. Joaquin Tosquella. - baba de juntársele, y que aspiraba á este destino ,.fue nombrado primer gefe del Sr. D. José Miguel Polo. ejército. El nuevo general era un soldado duro, de sangre fría en los combates, «Iq ipuy -ansioso de mando. El 10 de Octubre cuando los constitucionales sa PROVINCIA DI CUXXCA. lieron de Lisboa , y también el dia inmediato, D. Miguel desbarató los planee Excmo. Sr. conde de Toreno. &lt;de Macdona1d, y…</t>
  </si>
  <si>
    <t>Polo, Miguel</t>
  </si>
  <si>
    <t>Miguel Polo</t>
  </si>
  <si>
    <t>…ar un ejército doble del que haba , no ha desatendido á la Milicia ur dicar i los demas señores que la tienen en pro 7 en contra, 7 por tonto la tetiro.” bana. El Gobierno ha traído ya «obre Verme y tantos mil finales de Ingla E1 Sr. Miguel Polo hizo lo mismo. terra , y otros 69 de Francia; y mientras se fe hacen esa inculpaciones, aca El Sr. Abrigue* subió á la tribuna, por lo cual 7 haber, dirigido la pa ba de contratar, por «m artículo adicional al tratado de 22 «fe Abril, qtm labra al Sr. Presidente, volviendo por consiguiente la opatd…</t>
  </si>
  <si>
    <t>títucional, se lia contestado á sí mismo: no, no y mil veces no. Pero prescindien «El Sr. Miguel Polo dijo entre otras cosas, aunque habló contra el dic do de la inoportunidad de la reflexión, porque no se trata de anular todos/los támen de la mayoría, que debíamos pensar estábamos aquí para hacer la felici actos de un determinado sistema, ¿es el actual f el de la justicia y el de una li dad de la…</t>
  </si>
  <si>
    <t>…estarnos «Pero vengamos aun mas acá. La cbanciliería de Granada tuvo órden obligados á sostener , tanto como el Gobierno. ' para hacer ajusticiar á 7 ú 8 individuos por pertenecer á una reunión masóni «En cuantcrá lo que dice el Sr. Miguel Polo., de que incurriríamos en ca. Los magistrados, lo sé, señores, por uno de ellos mismos, estaban decidi una Contradicción aprobando la adición, me parece ha respondido suficiente dos á no hacerlo, y sí solo á sentenciarlos á presidio, desobedeciendo la ór— mente el Sr. Caballero; pero no puedo menos…</t>
  </si>
  <si>
    <t>Polo, Miquel</t>
  </si>
  <si>
    <t>Miquel Polo</t>
  </si>
  <si>
    <t>…&gt;00 gran Carta que formó de la Inglaterra el primer pueblo libre de la Europa; lo reales, como también el de la comisión , que señalaba 3.5o0,000 reales. mismo que nos sucederá á nosotros con el Estatuto Rbal. Si la España pue El Sr. Miquel Polo dijo que la comisión babia creído excesiva la canti de lisonjearse de tener á su frente á la Reina Gobernadora , creo que la Rei dad que se señalaba por el proyecto del Gobierno para la asignación del na Gobernadora no puede lisonjearse menos de estar al frente de esta Nación. Sermo. Sr. Infante D.…</t>
  </si>
  <si>
    <t>Polo, Telesforo</t>
  </si>
  <si>
    <t>Telesforo Polo</t>
  </si>
  <si>
    <t>…ocimiento se ampliará mañana, á fin de informar á V. S. con toda seguridad. Por nuestra parte tengo CÓlEÍA-MORBO» el sentimiento de manifestar que hemos perdido un carabinero: que han sido Partí del profesor de medicina de Oviedo D. Telesforo Polo al gobernador heridos dos cornetas, el uno de gravedad, y que se cree se han llevado dos de civil de acuella provincia sobre el uso de los polvos llam idos de las v'.bo los enfermos convalecientes. Con el objeto de evitar que se repita esta ocurren teras murcianas para curar el cdlera^movbo en la v…</t>
  </si>
  <si>
    <t>Polonia, A</t>
  </si>
  <si>
    <t>A Polonia</t>
  </si>
  <si>
    <t>…: Para con quen la máscara, que combatan sus doctrinas, y sepan oponerse i sus hechos y solidar mas las relaciones de amistad y vecindad que existen entre Nos y nues á sus proyectos.” tros Estados, y SS. MM. el Emperador de Rusia Rey A Polonia, y el Rey El orador observa que si bien no faltará quien juzgue útil y conveniente de Prusia , y tomando en consideración que todas tres Potencias están igual fiarse en la sensatez del pueblo, que sabrá despreciar lqs indecentes papeles que mente interesadas en mantener la tranquiliAd y el orAn leg…</t>
  </si>
  <si>
    <t>Pomar, Gregorio Ruiz</t>
  </si>
  <si>
    <t>Gregorio Ruiz Pomar</t>
  </si>
  <si>
    <t>…y bien entendido contraste en las actitudes de las figuras mo sido fusilado por la espalda en Ronda el dia 12 el subteniente retirado en la vidas con naturalidad y blandura. Ticiano á quien nadie niega la palma en la misma ciudad D. Gregorio Ruiz Pomar, como agente comprobado del fac belleza del colorido, fue también muy sobresaliente en las figunas del hermo cioso Becerra, quien, según el mismo parte, vaga errante por las sierras, hu so sexo, tanto por la gracia correcta de sus formas, como por la suavidad, yendo de la persecución que sufre, dir…</t>
  </si>
  <si>
    <t>Pompillo, José Ramón Rodil y</t>
  </si>
  <si>
    <t>José Ramón Rodil y Pompillo</t>
  </si>
  <si>
    <t>…á 61$ enfermos de ambos sexos que causaron 62 o estancias. Fue fundado por el Sr. conde D. Pedro Ansurcs el año 11:1, hallándose en la actualidad b.ijo la vigilancia y dirección de seis caballeros cofrade* que lo son de la clase D. José Ramón Rodil y Pompillo, marques de Rodil, Procer del Rei principal de esta población. no, cabaMeho-grstr cruz de las Reales-órdenes de Carlos m, americana de ]&gt;.i- Afee de Mayo, hel la Católica, y de la de Torre y Espada de Portugal, de la 4-" clase con placa de la Real y militar de S. Fernando, y de la 1.* de S. Hermene…</t>
  </si>
  <si>
    <t>Ponce, José López</t>
  </si>
  <si>
    <t>José López Ponce</t>
  </si>
  <si>
    <t>…de interinos, para la alca'día mayor del partido de NaVahermosa á Don Manuel de Benavides: pata la de Igualada á D. José Romero Ortega: para la Desde 25 á 28 de Octubre último falleció una persona en la capital de de Sigíienza á D. José López Ponce: para el corregimiento de Tarazona á aquella provincia, curaron 7, y no quedaba ningún enfermo : desde 20 á 25 D.! Francisco Perez de Lucía : para la alcaldía mayor de Santafé á D. Juan del mismo curó una en Cerecemos del Carrizal, y fallecieron dos; y desde el de Dios Guzman: para la de Agreda á D…</t>
  </si>
  <si>
    <t>Ponce, León</t>
  </si>
  <si>
    <t>León Ponce</t>
  </si>
  <si>
    <t>…Inglaterra' está re .Afltufisno . ............. ...............................................;................................................ U-00 suelta á hacer una demostración decisiva, y lord Palraerston conoce U necesidad D. León Ponce, oficial de prensa déla Imprenta Real, y oferta de de ocupar efa el Imperio otomano una posición militar que produzca el mismo 20 rs. mensuales..........................................1.. ........................................ 40 efecto con respecto á ia Puerta ; que el qiie se sigue de la .ocup…</t>
  </si>
  <si>
    <t>Ponce, M de R D León</t>
  </si>
  <si>
    <t>M de R D León Ponce</t>
  </si>
  <si>
    <t>…tal con motivo de las enfermedades que se pa-&gt; mero de los Reales hospitales de esta corte D. Antonio Sirven! y D. Andrés decen. •„ Melendez; y en las dé cirujanos de los mismos D. Valentin Alvarez y Don Rs. vn. Miguel Sacristán. D. M. de R............................................................................................ 60 D. León Ponce....................................................................................... 20 Excmo. Sr. duque de Gor.....................................................................- 500 Por Real orden de 28 de Agosto próximo »e ha concedido al ayunta D. Santiago Salanueva............................…</t>
  </si>
  <si>
    <t>Poniatowsky</t>
  </si>
  <si>
    <t>…e» Hay actualmente en la Roela un peral de una vegetación extraordinaria; .. — „ La princesa Tyskiewítz, sobrina del último Rey de Polonia, y hermana en el año 1834 ha dado flor y fruto tres veces. Mr, Charrier ^.conocido por del príncipe Poniatowsky, murió pocos dias hace en una casa cerca de la ciu su mucha instrucción y acendrado patriotismo, ha hé£ho depositar en nuestras dad de Tours, después dé úna larga y dolorosa enfermedad. oficinas dos peras del segundo producto de este árbol maravilloso, y un racimo de peras del tercero. — ,.Ia situa…</t>
  </si>
  <si>
    <t>Ponmobillafia, I Antonio</t>
  </si>
  <si>
    <t>I Antonio Ponmobillafia</t>
  </si>
  <si>
    <t>…es se dispone &lt;?&lt;jue en el año- ayer y desde Ramales, me dice lo que sigue: Ayer i Ub de la tarde la do 1885 subsistan como en el dia.la contribución territorial, la personal, Ja compañía de cazadores de Beranzos, al marido de su capitán I&gt;. Antonio Ponmobillafia la de puertas y ventanas, el derecho de registro, de sellos y de ce, en combinación con otras de la columna que vo dirigía, batió y dispersé» del ' aduanas; la renta de loterías y de minas &amp;c. &amp;c. Se autoriza á los ayuntan»,«t- todo en las'alturas deL Cerrillo á la facción d&lt; Arroyo, que huye en pequeño*…</t>
  </si>
  <si>
    <t>Pons, Guillermo Oliver y D Ignacio S</t>
  </si>
  <si>
    <t>Guillermo Oliver y D Ignacio S Pons</t>
  </si>
  <si>
    <t>…da la memoria , dijo el ihismo Sr. Moscoso que asi que se leyese en el las juntas electorales de Tarragona y Barcelona, por las cuales habían sido elec Estamento de Proceres, se imprimiría y repartiría. tos Procuradores los Sres. D. Guillermo Oliver y D. Ignacio S. Pons y Bar El Estamento quedó enterado. lú en reemplazo de D. Ramón Ciscar. Asimismo acompañaba una exposición EL Sr^ conde de las Navas dijo: «Quisiera aprovechar la ocasión de es del referido Oliver renunciando su efergo, por no permitírselo desempeñar sus tar presente el Sr. Ministro de lo Interior p…</t>
  </si>
  <si>
    <t>Ponsom</t>
  </si>
  <si>
    <t>…las pre mado. tensiones del bajá, y que iban á enviarse una escuadra y un ejército con el fin En testimonio de lo cual, y mediando una perfecta reciprocidad con los de Restablecer lá autoridad del Gran Señor en toda su plenitud, lord Ponsom— súbditos del reino de Neerlandia, la presente declaración destinada á ser canby respondió secamente, que en semejante caso está autorizado para dar la or geada por otro acto semejante al de S. M. I., ha sido firmada por S. M. I. y den al almirante Rossley de apoderarse de la escuadra turca al inst…</t>
  </si>
  <si>
    <t>Ponsomb</t>
  </si>
  <si>
    <t>…M.=En S. Ildefonso á 26 (Je Agosto, de 1834.= los Dardanelos 7 el espitan de una fragata inglesa, con motivo de haber des embarcado e-te a’gunos centenares de" marinos para hacerlos maniobrar en la A T conde de Toreno. playa , 7 lord Ponsomb7 desaprobó la conducta del capitán , 7 le dió Orden da 2? buscar otró sitio donde ejercitar á sus marinos. La Reina Gobernadora de España acaba de ser reconocida por la Puerta. Como la experiencia haya enseñado que la institución de los visitadores de Rentas no ha servido por desgracia para llenar,…</t>
  </si>
  <si>
    <t>Ponsombp</t>
  </si>
  <si>
    <t>…escriben de Abbeville 2? de Julio, vuelve de Vourlá á Malta, pasando por Nápoli. Se cree que esta escuadra está j descubrirse en Estrebeuf, cerca de Saint Valery , departamensubordinada en todos sus movimientos á la dirección de lord Ponsombp, nues ló del Soma 9 a uiia profundidad de 12 pies con corta diferencia ,, n&lt;u piragua tro embajador en Coostanlínopla, el cAl observa con la mayor vigilancia Isa de 28 pies de largo sobre 22 pulgadas de ancho y 20 de Bondo. Esta em'-ar-' operaciones de la Rusia y Turquía, que parecen dirigirse por…</t>
  </si>
  <si>
    <t>Ponsomby</t>
  </si>
  <si>
    <t>…entes nombra INGLATERRA. mientos : para cápitan general de Granada al mariscal de cam po D. Luis Balanzat: para igual destino de Andalucía al te Lóndres 21 de Marzo. niente general príncipe de Anglona; y para segundo cabo de esta Lord Ponsomby ha comunicado recientemente una nota á la provincia al mariscal de campo D. José Marrón , conservando el Puerta que ha producido la mayor sensación en el divan. Después cargo de comandante general de la provincia de Córdoba: para go de haber insistido sobre la diferencia material que ha establecido…</t>
  </si>
  <si>
    <t>…e su padre , que hacia pocos meses habia muerto, le hubiese eftendi, copiando las notas que le suministraban los agentes del Czar, sabia ¿Espirado,, como se decía, afición á los licores r ya porque quisiese hacer una antes lo que lord Ponsomby había dé contestar. Todos los ministros saben muy travesura, se .introdujo sin $ér visto en la tienda de un destilador &lt;V licorista* bien, que Francia é Inglaterra fio quieren que sea atacado el Imperio turco, Aprovechándose de la ausencia del amo de la tienda, se acostó debajo de U sino que antes…</t>
  </si>
  <si>
    <t>…a; 3 entre Weimouth y Guemescy v Jersey, de me , resuelto por el Sultán, de su escuadra equipada a ranra costa. Esta medi J54 á 1¿5 toneladas y 60 caballos de fuerza; en fin, 5 de Don v res á Calais y da se atribuye á una nota de lord Ponsomby, en que se decía que el gabinete á Ostende, de 110 toneladas cada uno y 4O á Su caballos de fuerza. de S. James.miraría como una declaración de guerra todo acto de hostilidad Estos 24 barcos hacen 2283 viages, y nunca dejan de hacer su travesía en Cometido contra Mebemef-Alí, y que en tal caso la e…</t>
  </si>
  <si>
    <t>…»La organización de los volunta . plenipotenciario, interviniese en la cuestión en el consejo del Sultán. rios del Papa sigue con actividad. Corre la voz hace algunos dias de que los «En estos últimos tiempos recibió muchas veces lord Ponsomby seguri- franceses dejarán esta ciudad para siempre; pero parece infundada, pues la guar dades de que la Puerta no se opondría nunca á que entrasen los buques ingleses nición nada sabe, y al contrario acaban de ajustarse los cuarteles para seis me en los Dardanelos como se observasen las formalidade…</t>
  </si>
  <si>
    <t>…en terminar los trabajos de la ConferenY la Francia de otra sobre el tratado turco-ruso. Sin embargo, ya no dan tan cia. ¿Qué podria hacer aquí el presidente de la Dieta ^ estando presentes soloto cuidado como antes, supuesto que lord Ponsomby ha declarado que por seis miembros de los diez y siete que U componen? Podemos asegurar que sonahora no se emplearían medios coercitivos para disponer la Puerta á favor de la muy infundadas todas estas noticias, mal que le pese al primero de Joiperió-Oran-Bretaña. No obstante este ministro ha añadi…</t>
  </si>
  <si>
    <t>…a con motivo de] tra cución en cada uno de los cuarteles en que se divide Madrid á uno tado ruso. Pero parece que estas dos nacion« van tranquilizándose, porque de los vocales de la junta: que corra la misma en los barrios de que lord Ponsomby ha declarado, que por el momento no se emplearían medio» consta cada cuartel, bajo la inspección y vigilancia del vocal resjrec- coercitivos para disponer á la Puerta en favor de su corte; pero añadiendo tivo, al cuidado de las diputaciones de los misinos barrios, cuyos que esto dependería de las c…</t>
  </si>
  <si>
    <t>…enio de S. Petersburgo, y la parte des da. Sobre este punto llamo la atención de la Camara. Presentare ventajosa para las Potencias marítimas que contienen sus cláusulas; mis explicaciones en pocas palabras. pero lo cierto es que lord Ponsomby las considera como peligrosas »El articulo 291 del código penal queda tal como está en para lo* intereses de la Inglaterra. Por lo demás el tal convenio se cuanto á sus disposiciones y á su principio. Dos modificaciones im etee que no es mas que el corolario del tratado de Andrinópolis; portantes se so…</t>
  </si>
  <si>
    <t>…sotros estas relaciones, y las pruebas de sincera amistad que Se hacen grandes esfuerzos para impedir un rompimiento entre Mehemet-Ali dan á V. M. muchas Potencias, esperábamos saber de un momento a otro y el Sultán. Se dice qu$. lord Ponsomby ha prevenido al almirante ingles, co que de resultas de estas disposiciones amistosas, nuestros intereses y nues mandante de las fuerzas navalés en el Mediterráneo, que vigilase la escuadra tros derechos !?e aceraban a un arreglo final; y sin embargo, los obstáculos de Mehemet-Alí, reunida en Aleja…</t>
  </si>
  <si>
    <t>…ons- En las clases de mamíferos-,,sigue el relator, la ciencia y nuestras colec tantinopla 15 de Noviembre : ciones deberán un aumento importante al viage del Sr. d’Orbigny, aumento -Después de la llegada de un correo de Lóndres, lord Ponsomby ha te que se extenderá á todas las clases, menos á la de los pachydermes. Asi en nido una larga conferencia con el reis-eflsndi, en la cual le ha informado de la clase de los cuadrumanos hemos observado una nueva especie de tití pare las intenciones de su gabinete sobre la posición de Mchemet-Alí,…</t>
  </si>
  <si>
    <t>Ponsonjby</t>
  </si>
  <si>
    <t>…plazas de oidor de la de ValladoSoberanos embajadores deprimera clase, pues lord Minto está en Berlín, lord lid , vacantes por'fallecimiento de D. José Moreno Ramírez y D. Juan NeGrandville en París, sir Frederick Lainb en Viena, lord Ponsonjby en Cons- pomuceno Vela, á D.. Mariano Herrero, teniente corregidor de Madrid, y á tantinopia, sir Roberto Adair en Bruselas, y asi en las demas, nosotros solo D. José Jalón y Jalón, ministro de la de Oviedo; para otra plaza de oidor tenemos dos embajadores residentes aquí, y uno de ellos, el barón…</t>
  </si>
  <si>
    <t>Ponsóróby-ha</t>
  </si>
  <si>
    <t>…tria, y unido con la guardia nacional en indisolubles vínculos, será terando esta demanda en una nota muy enérgica que acaba de pasársele. Sin como hasta aqui firme garantía de la paz doméstica y exterior, sellando en las embargo lord Ponsóróby-ha dado de nuevo una respuesta evasiva, en que va próximas fiestas de Julio el pacto de alianza con la guardia cívica, que es la envuelta una_cspecie de recriminación, cota que no solamente ha irritado al desesperación de nuestros enemigos. diyfn, stqp que. ha hecho renacer las antiguas inquietudes. E…</t>
  </si>
  <si>
    <t>Poosómby</t>
  </si>
  <si>
    <t>…üdtt,-yi»r¡ó , trastornó 1» propiedad, la influencia y ek- nores'muy curiosos sobre lo que ha ocurrido en aquella capital en poder: .eíévó )a ohae.medía sobre las ruina* de la anligHiaristo- estos últimos tiempos. Según ellas, ni lord Poosómby ni el a!mi cracía. Si la dase.media « colocada ya en este puesta, se hubiese rante Roussin podían disponer de ningún día ero, míenltaiqne Qt atrincherado y fortificado con una triple valla de privilegios, de embajada ritsa habia expendido un millón de piastras. Cada uno.se monopolios ,y &lt;de derecho…</t>
  </si>
  <si>
    <t>Por, Alcalá Galiana</t>
  </si>
  <si>
    <t>Alcalá Galiana Por</t>
  </si>
  <si>
    <t>…r guardar el órden cuando se falte á él. creer que se vulneraba la autoridad Real; todo tiene su origen de la misma des confianza. Por ella se han introducido en el reglamento cotas que son verdade Continúe V. S. su discurso.” MI Sr. Alcalá Galiana. «Por mí parte, Señores, estoy absolutamente ramente mas propias de una ley , que no de un reglamento interior; lo que no ignorante de cómo procedían las antiguas Córtes, de que ba hablado S. S. Yo sucede con ninguno de los de las Cámaras de Inglaterra y de Francia. tolo lo que veo y lo que digo es que c…</t>
  </si>
  <si>
    <t>Por, Andechaga</t>
  </si>
  <si>
    <t>Andechaga Por</t>
  </si>
  <si>
    <t>…ino; en tentes 6 con síntomas sospechosos: finalmente, que desde el día 6 al 9 del tre los muertos'se citcntan varios oficiales, y el ayudante mayor del titulado próximo mes hubo en Estepa 81 enfermos, curaron 41 y fallecieron 8. brigadier Andechaga. Por mí parte solo he tenido tres heridos, entre ellos un PROVINCIA JDB TOLEDO. ' capitán. . «Faltaría £ lo mas sagrado de mi deber si no recomendase muy particular Avisa su gobernador cí*il con fecha 21 del corneare que en aquella ca mente el mérito y bizarría con que se portaron el brigadier D. Pedro…</t>
  </si>
  <si>
    <t>Por, Antonio María</t>
  </si>
  <si>
    <t>Antonio María Por</t>
  </si>
  <si>
    <t>…el tribuciones y otros artículos. La cosa fue tan bien dispuesta por el citado ge- titulado oficial llamado Zamorano, cogiéndoles dos yeguas y varias armas y efectos. Dios &amp;c.” ■jieral, J ejecutada por el comandante de la columna D. Antonio María Por ta , como verá V. £. por el adjunto parte que este díó al primero de todo lo ocurrido. ■ Con este motivó, no puedo excusarme de recomendar á la piedad de S. M. D. Miguel Hidalgo Rosales, natural y vecino de la villa de Iznajar, pro i lós beneméritos defensores del trono de su augusta Hija que tuvie…</t>
  </si>
  <si>
    <t>Por, Bartolomé Ruíz</t>
  </si>
  <si>
    <t>Bartolomé Ruíz Por</t>
  </si>
  <si>
    <t>…o tosí Nosotros al contrario creemos, y hemos probado, que‘la co-. infantería ¿e Soria, D. PedroPerez: el cadete dé la partida de ca- ¿ardía está de parte de los crueles, y que la clemencia y la justi- , / ballena de la Albuhera, D. Bartolomé Ruíz. Por últintd, los va- ' cia sondas dotes del fuerte y valeroso. lientes Urbanos de la, villa de Bilbao, que.se .ofrecieron voluntaria-, Hay también una tazón muy poderosa, é independiente de es-. mente ¿ seguir con noble .emulación á la dolumna, yendo á.vatt- ' tos sentimientos, para explicar la’ divers…</t>
  </si>
  <si>
    <t>Por, Bruno</t>
  </si>
  <si>
    <t>Bruno Por</t>
  </si>
  <si>
    <t>…Auguis abunda en la opinión d* M. Merlin, añadiendo que la lev le fines Je Marzo último. parece inútil, vaga, y perjudiciaf á la industria de los que se dedican á fabri En este estado esperé la llegada delgcfe de esta plana mayor D. Bruno Por car armas y pólvora. Termina asegurando que si esta ley se aprueba, la legis tillo y Veiasco que había destinado a la colocación de los cuerpos para qu&gt; lación criminal quedará mas confusa y complicada. fuese de parlamentario con D. José Toledano, qué posee el portugués, propo La Cámara cierra la d…</t>
  </si>
  <si>
    <t>Por, Canalizo</t>
  </si>
  <si>
    <t>Canalizo Por</t>
  </si>
  <si>
    <t>…ército absorveria lo poco que queda de buen tiempo, y solo a la Ha capitulado el general Bravo, como igualmente el último gefe de lo» entrada del invierno se podría l.egar al pie de, monte Tauro, limite del terri pronunciados, el general Canalizo. Por consecuencia de esta capitulación han torio de Ibrahim , que cita sin duda muy bien defendido. Vuelto á tomar los negocios alguna actividad. : Pero no seria posible , dirán algunos, que este general, viéndose amenaza Hace «l vómito grandes estragos en Veracruz, donde ha principiado muy do, vaya á b…</t>
  </si>
  <si>
    <t>Por, Cirios</t>
  </si>
  <si>
    <t>Cirios Por</t>
  </si>
  <si>
    <t>…calá Zamora , Pedrazas, con ^Estamento lo aprobase! En mi concepto jamas debió figurársele, porque enton de de las Navas, Bermudcz de Villar, Belmonte, Caballero, Cano Manuel y ces seria preciso aprobar también los empréstitos de D. Cirios. Por mi parte Chacón , Cezar, Toledo , PiZarro , Heredia, Santa Fe , Aranda, Serrano (Don no encuentro diferencia entre las juntas facciosas de las provincias sublevadas y Francisco), Fernandez Blanco, Mantilla, Montevírgen, Miranda y Olmedíla que existió en Madrid el año de 23; y si la hay está en favo…</t>
  </si>
  <si>
    <t>Por, D Pablo Vives</t>
  </si>
  <si>
    <t>D Pablo Vives Por</t>
  </si>
  <si>
    <t>por la columna del regimiento infantería de Soria, procedente de Morella, alá 1* santa iglesia catedral, donde el limo. Sr. obispo bendijo el Real pendón, mando del teniente coronel D. Pablo Vives. Por manera, que del mismo moy de lili con una numerosa comitiva i los tres paragés designados, donde el do que son auxiliadas las tropas de Navarra por otra procedente de Aragón , lasSr- .D- Pedro Pineiro y Cárdenas alzó el regio estandarte por Isabei n, Sobe de Valencia contribuyen al extremo opuesto…</t>
  </si>
  <si>
    <t>Por, D Pascual Enrile</t>
  </si>
  <si>
    <t>D Pascual Enrile Por</t>
  </si>
  <si>
    <t>…gran manera. Las célebres escuelas de Avila, de la Monarquía, que ha sido confiada al mariscal de campo D. Gabriel de Tor Ocaña, del Puerto de Santa María, poco duraderas por desgracia; las academias res por renuncia del teniente general D. Pascual Enrile. Por acuerdo del Con militares de Oran, Ceuta, Barcelona, Cádiz y Zamora; los viages á Prusia, Ru sejo de ministros, y en consideración á la lejanía de aquellos vastos paises, se sia y otros paises, produjeron los militares célebres , cuyos nombres recuerda concedieron facultades íl capitán general para…</t>
  </si>
  <si>
    <t>Por, D Santos Allende</t>
  </si>
  <si>
    <t>D Santos Allende Por</t>
  </si>
  <si>
    <t>…para reemplazar á este general en MINISTERIO SE GRACIA Y JUSTICIA. la comandancia general de Guipúzcoa, al brigadier D. Gaspar Reales órdenes. Jáurcgui; y asimismo conferir el empleo de teniente de Rey de la plaza de la Coruña al coronel D. Santos Allende. Por convenir al Real servicio es la voluntad de la Reina Go secretarías de las extinguidas que los dependientes debernadora, la PARTE NO OFICIAL. las funciones desempeñando pro é Indias siganCámara de Castilla pias de su respectiva clase, bajo las inmediatas órdenes del decano NOTICIAS EXTRANGERAS.y re…</t>
  </si>
  <si>
    <t>Por, Dia</t>
  </si>
  <si>
    <t>Dia Por</t>
  </si>
  <si>
    <t>…, idem de la áf del l.°, ídem. Excmo. Sr. r El comandante militar del fuerte de Elizondo en oficio de - Provincial de Jaen.=Juan Delgado, soldado de la 5.a compañía, herido 29 del anterior dice lo que siguo: gravemente. ’ «Excmo. Sr.; Dia 17. Por la mañana de este dia, después de las precau Provincial de Avila. = Manuel Cabrera, soldado de la ó.a compañía, ciones acostumbradas, mandé 12 hombres á descubrir la altura que está sobre muerto. * este fuerte, y i poco rato el enemigo rompió ei fuego , cuyo suceso tenia ya Total, muertos 3: heridos g…</t>
  </si>
  <si>
    <t>Por, Francisco de Paula</t>
  </si>
  <si>
    <t>Francisco de Paula Por</t>
  </si>
  <si>
    <t>…penas severas el uso de los antiguos trajes alemanes. (G. de Leipsick.') El día 1.® de Junio próximo es dia de media gala, porque en él cumple años la Serma. Señora Doña Cristina de Borbon, ixija del Idem S. Sermo. Señor Infante D. Francisco de Paula. Por cartas muy dignas de fe que se acaban de recibir de Viena te sabe qne el congreso de ministros alemanes reunido en esta última capital se prolongará Han felicitado á S. M. la Reina Gobernadora , con motivo de la pro hasta fines del próximo Junio; y que los negocios militares de la Confederadon mulg…</t>
  </si>
  <si>
    <t>Por, Francisco Javier</t>
  </si>
  <si>
    <t>Francisco Javier Por</t>
  </si>
  <si>
    <t>…avesase las espesuras y los ríes que cortan de los geíes de batallón de la Guardia Real de infantería D. Joaquín Eavoel camino, pasándolos á vado con el agua al mudo y vientre. na, D. llruno Aluiz y el segundo comandante interino D. Francisco Javier Por espacio de mas de una hora la situación de la brigada fue crítica y pe Ezpélela; de los comandantes- de la Guardia Real provincial P. Blas Barreda, nosa, pero las compañías apostadas supieron mantener en respeto al enemigo, y L). Ju-in de D-os Miran.iá; de todo» Los oficiales herido» y contusos, cu…</t>
  </si>
  <si>
    <t>Por, Galiano'</t>
  </si>
  <si>
    <t>Galiano' Por</t>
  </si>
  <si>
    <t>…r.'Secretario de Estad»,: «No hay.nada mas en el vjden que ia tet- de idees que te agolpan imi imaginación, me distraen del rcriadero-objeto, dad, y es unaverdadde hecho la que el Sr. Galiano ha dichó-” y del camino comenzado. Et Sr. Galiano'- «Por mi parte a nadie trató de tnculpár, y mucho me- «S. S. no‘debe creer que el Estamento desea vulnerar el Estatuto Rbai; al no»á &amp; S.;.y todo» «mecerán, y S. S. el primero,,que no be tenido, «i por contrario el Estamento lo venera; pero lo cierto es que el miedo ha introdu asomo, la idea de hacer un…</t>
  </si>
  <si>
    <t>Por, García Carrasco</t>
  </si>
  <si>
    <t>García Carrasco Por</t>
  </si>
  <si>
    <t>…la Igualmente lo es que cuando se separa el Estamento, porque lo tiene.á bien junta electoral de Cáceres es nula, y debe procederse á nueva elección. mandar S. M., entonces se retira cada uno á su pueblo ó adonde lo tiene pór El Sr. García Carrasco^ «Por la sola causa de no haber prestado el ju conveniente, y cuando se vuelve á reunir no se necesita que sus individuos ramento los electores que ya lo hicieron anteriormente, rib se debe declarar presten nuevo juramento para celebrar sus sesiones. En este caso estamos pues nula U elección: solo se debía…</t>
  </si>
  <si>
    <t>Por, Gobernadora</t>
  </si>
  <si>
    <t>Gobernadora Por</t>
  </si>
  <si>
    <t>…por un sacudimiento popular, sino mejor con todos los inrereses. Sin embargo, no sacará ventaja de la favorable cuando se há modificado por las concesiones que ha tenido á bien hacer la ex situación ea que se le ha puesto. celsa Reina Gobernadora. Por consiguiente , es menester proceder con mu «Dirá sí que el dictamen de la minoría está mucho mas arreg’ado á prin cho tiento: cuando se niega la legitimidad de ciertos actos en aquel Gobier cipios que el de la mayoría. La minoría de la comisión se separa del Gobier no , ¡ no se está próximo á negar…</t>
  </si>
  <si>
    <t>Por, Hore</t>
  </si>
  <si>
    <t>Hore Por</t>
  </si>
  <si>
    <t>…uirse; y ¿n fin, cuanto juzguen conveniente al bien y labaCurrierpn i «sta expedición , haciendo una especial mención del leniente felicidad de sus subordinados. I Rosillo qqe supo dirigir sus operaciones con tanto acierto-, y el general Hore Por disposición del Sr. subdelegado de Fomento de esta provincia dé Sala Hdfiddé que la muerte de Soto y de Marcoval son sucesos de mucha importan- manca lo comunico á V. para su inteligencia y cumplimiento. j-ekfpara la conservación de la tranquilidad en todo el maestrazgo. Dios guarde Salamanca 18 de…</t>
  </si>
  <si>
    <t>Por, Id</t>
  </si>
  <si>
    <t>Id Por</t>
  </si>
  <si>
    <t>…ya ríafoa pe han persado mocho* malea , como taquea*, incendias , asesinato* 7 otros mucho* qua fenecúio i oto época &amp; á la otra; no sumé en fe de empleados, «po sai* boeoo ignorar* siempre se resiente de personal y odiosa: y lea Secretario» «Id » Por lo mismo no se puede dudar «le la utilidad de la Milicia en ato par Dapacho actúala no tienen que remar de que se la teé También, cica que es necesaria para sostener loa derechos de la Nación 1 por- do empleos en la época palada; pura qye aunque lo* articulo* que han precedido á este , parece que s…</t>
  </si>
  <si>
    <t>Por, Infante D Francisco de Paula</t>
  </si>
  <si>
    <t>Infante D Francisco de Paula Por</t>
  </si>
  <si>
    <t>…prohibido bajo penas severas el uso de los antiguos trajes alemanes. (G. de Leipsick.') El día 1.® de Junio próximo es dia de media gala, porque en él cumple años la Serma. Señora Doña Cristina de Borbon, ixija del Idem S. Sermo. Señor Infante D. Francisco de Paula. Por cartas muy dignas de fe que se acaban de recibir de Viena te sabe qne el congreso de ministros alemanes reunido en esta última capital se prolongará Han felicitado á S. M. la Reina Gobernadora , con motivo de la pro hasta fines del próximo Junio; y que los negocios militares de la Confederadon mulg…</t>
  </si>
  <si>
    <t>Por, José</t>
  </si>
  <si>
    <t>José Por</t>
  </si>
  <si>
    <t>…RETO. nerse ha continuado su viage dirigiéndose i Biberich . donde te halla S. ¡A. el Para servir el importante cargo de Presidfente del Tribunal su duque de Nassau. . L‘ - . premo de España é Indias, vacante por fallecimiento de D. José Por la noche llegó S. M. 3a Reina del Reino-Unido dé Inglaterra élrHevia y Noriega; vengo en nombrar á D. Vicente Cano Manuel, landa, y se apeó-en la posada de Ruda acompañada de&gt; tura numerosa comitide la sección de Gracia y Justicia del Consejo Real. Tendréislo en va. Lln hermoso tiempo favorece el,viag…</t>
  </si>
  <si>
    <t>Por, Mámiel Parrefio</t>
  </si>
  <si>
    <t>Mámiel Parrefio Por</t>
  </si>
  <si>
    <t>…de la Cerda, el teniente dé ron i la tropa!'- sin que estas ventajas hayan cosjacja mas que ser infantería, ilimitado D. Rufino Ipiña, y el alférez del 3-° ligero herido el subteniente de los cazadores de Isabel riD: PebrtdGauíiy D. Mámiel Parrefio. Por último, comprende su recomendación á y dos soldados contusos, uno de dicha compañía y otro de cazado- un gran húmero de oficiales (1) que han rivalizado en esta ocasión, tes del Príncipe. asi como ¿ 17 milicianos urbanos de la villa de Bilbao que acompa Él día 19 continuó elbrigadier Espartero en l…</t>
  </si>
  <si>
    <t>Por, Manuel</t>
  </si>
  <si>
    <t>Manuel Por</t>
  </si>
  <si>
    <t>…lumnos, se-acordó concederle el título Ac sóuo de mérito, y cuarto 2.0, á resolver lo que sea mas conveniente en la junta general que ha de ce lebrarse aquel dia. una medalla de segunda clase á los niños I), llenrique Villalobos, D. Manuel ------ Por providencia del señor ./.c- de q- curte D. Aotonlo Josef GaVlodu, refrendada Díaz, D. Francisco Melgarejo, ID. Antonio Vázquez y D. Juan López Figue- del escribano de provincia P. j ‘ Urrun.j, se clfa á las personas que se creafi cou roa, por sus adelantos en la gramática, ortografía y aritmética.…</t>
  </si>
  <si>
    <t>Por, Miguel</t>
  </si>
  <si>
    <t>Miguel Por</t>
  </si>
  <si>
    <t>…a obtenía i desempeñar otra destino , S. M. ha tenido a bien concederla á D. Francisco Suarez. Don Juan Bautista de Sarachaga, D. Bartolomé de Ormaeche, individuo de la junta inspectora de escuelas de la ante-jgiésía de Gorliz, y D. Miguel Por haber sido separados de sus respectivos destinos los oficiales segundo* secundo y tercero—primero del Gobierno civil de Castellón de la Plana, S.ALde Golderacena, maestro de primeras letras de la misma, han acudido á ¿&gt;. M. en solicitud de que se digne tomar una providencia que ponga terminó i las…</t>
  </si>
  <si>
    <t>Por, Nicolás</t>
  </si>
  <si>
    <t>Nicolás Por</t>
  </si>
  <si>
    <t>…dor Amador por haber parecido igualmente dig Madridy en Vailadoliden los almacenesen la libreríade músicade Rodrigue2.de Hermoso y Carrafa : en Cádiz en el de Moya, nas las obras que presentaron, y en 2.a con una medalla de plata D. Nicolás *------Por providencia del supremo consejo de Hacienda se cita al dueño que resulte Contreras, habiéndose hecho mención honorífica de los concurrentes D. Ra ser del oficio de escribano de número de ia ciudad de Cádiz, servido últimamente fael y D. Josef María Maestre de ¿&gt;. Juan y D. Pedro de Torres, por I&gt;.…</t>
  </si>
  <si>
    <t>Por, Pablo Vives</t>
  </si>
  <si>
    <t>Pablo Vives Por</t>
  </si>
  <si>
    <t>Por, Palana</t>
  </si>
  <si>
    <t>Palana Por</t>
  </si>
  <si>
    <t>…cx;usados. No habiendo c-r.i disculpa, se apresurarán en 4..° «Suspensión temporal de empleo, que podrá ser hasta de un mes. caso necesario á dar parte á la autoridad, y se remediará ei daño.” 5.° «Multas desde 8 reales á 5uU. El Sr. Palana. «Por mis que f1.1g.1m05, no podemos prescindir del esta 6.° «Expulsión con nota de las filas de la Milicia urbana.” do en que se halla la Nación. Sraun este , vem.o» todos los dias, no’solo ata— Se tomaron en consideración y mandaron pasar á la comisión las adicio 'ques y alarmas imprevistas en lo» pueb…</t>
  </si>
  <si>
    <t>Por, Pascual Enrile</t>
  </si>
  <si>
    <t>Pascual Enrile Por</t>
  </si>
  <si>
    <t>…era. Las célebres escuelas de Avila, de la Monarquía, que ha sido confiada al mariscal de campo D. Gabriel de Tor Ocaña, del Puerto de Santa María, poco duraderas por desgracia; las academias res por renuncia del teniente general D. Pascual Enrile. Por acuerdo del Con militares de Oran, Ceuta, Barcelona, Cádiz y Zamora; los viages á Prusia, Ru sejo de ministros, y en consideración á la lejanía de aquellos vastos paises, se sia y otros paises, produjeron los militares célebres , cuyos nombres recuerda concedieron facultades íl capitán general para…</t>
  </si>
  <si>
    <t>Por, Procu</t>
  </si>
  <si>
    <t>Procu Por</t>
  </si>
  <si>
    <t>…a junta $e toral. Bajo de este supuesto debe anularse la de que se trata, puesto que ade declara que está terminada; si pues está terminada, ¿cómo ha de continuar* mas es de esencia en ellas el juramento. Creo que no habrá ningún Sr. Procu Por consiguiente la comisión no podía incurrir en tal contradicción; y he aquí rador que lo dude, porque esta es la única garantía que establece la.ley para el por lo que le ha sido preciso proponer que se declare la nulidad del acto. Res acto de la elección, y no se puede suponer , según su tenor, que…</t>
  </si>
  <si>
    <t>Por, Santos Allende</t>
  </si>
  <si>
    <t>Santos Allende Por</t>
  </si>
  <si>
    <t>…mplazar á este general en MINISTERIO SE GRACIA Y JUSTICIA. la comandancia general de Guipúzcoa, al brigadier D. Gaspar Reales órdenes. Jáurcgui; y asimismo conferir el empleo de teniente de Rey de la plaza de la Coruña al coronel D. Santos Allende. Por convenir al Real servicio es la voluntad de la Reina Go secretarías de las extinguidas que los dependientes debernadora, la PARTE NO OFICIAL. las funciones desempeñando pro é Indias siganCámara de Castilla pias de su respectiva clase, bajo las inmediatas órdenes del decano NOTICIAS EXTRANGERAS.y re…</t>
  </si>
  <si>
    <t>Por, Suscripción</t>
  </si>
  <si>
    <t>Suscripción Por</t>
  </si>
  <si>
    <t>…o provincial de Córdoba, y otra al de D. Julián Izquierdo, subteniente de la . está venal con los antetíofél en la librería de Cuetta, en donde continúa abierta la 87 compañía fie seguridad, poniendo uña reserva a las órdenes del teniente Suscripción1 Por providencialo inismó qi^ueSr.en Balsera,la» provincias.teniente corregidor de ésta villa, refrendada del Don Celestino de la Encina. Batida lá sierra , al llegár á la cúspide á favor ésciibano Gaooa y Loecbes , se cita á los parientes é interesadas a los bienes qué han de una densa niebla, encontré…</t>
  </si>
  <si>
    <t>Por, Torremejía</t>
  </si>
  <si>
    <t>Torremejía Por</t>
  </si>
  <si>
    <t>…si como ya tuve el honor otra vez de indicarlo tamos de cercenar, no teniendopara ello mas que razones morales y razones de al Estamepto se echase una contribución sobre dichos sueldos (hablo con tanta conveniencia, como dijo el Sr. Torremejía. Por lo tanto no se debe rebajar el mas ventaja cuanto que soy empleado, y no trato de excluirme, aunque pagó presupuesto presentado por el ministerio y por la comisión , pues no teñamos también mí contribución como propietario), v. g. de un 1 ó 2 por 10l): he una pauta segura que nos pueda servir de re…</t>
  </si>
  <si>
    <t>Por, V M</t>
  </si>
  <si>
    <t>V M Por</t>
  </si>
  <si>
    <t>…los memorables decretos de amnistía Fondos públicos. Tres por 100 consolidados 88f. y demas que ha dictado el espíritu de justicia que preside á todos los actos de Los periódicos que anunciaron al público la dimisión absoluta de lord V. M. Por £llo$ se han vivificado la industria, artes y comercio, se han ol Grey , se contentan ahora con decir que Su Señoría intentó renupciar el puesto vidado los errores, y el corazón de los españoles se ve impelido de un nuevo de primer ministro. Tan infundado es lo primero como lq segundo. {Courier.')…</t>
  </si>
  <si>
    <t>Pordoy, D Julián</t>
  </si>
  <si>
    <t>D Julián Pordoy</t>
  </si>
  <si>
    <t>…D. Joaquín Iglesias, todos del mismo cuerpo; v el ESPAÑA. teniente dei 6° ligeros D. Luis Mailen: contusos, el anudante del 4.0 regi miento de Guardia Real D. José Mozurd; el teniente con grado de teniente Madrid i 0 de Octubre. coronel D. Julián Pordoy, y subteniente D. José Hermenegildo, del regi miento de Córdoba, y el ayudante de la plana mayor D. Ramón Corres, te Penetrado el Excmo. Sr. comisario general de C^ruzadá de cuánto interesa niente graduado dé capitán. La de tropa lo es cuatro soldados heridos v un á la moral, a la salud pública, á…</t>
  </si>
  <si>
    <t>Pordoy, Julián</t>
  </si>
  <si>
    <t>Julián Pordoy</t>
  </si>
  <si>
    <t>…uín Iglesias, todos del mismo cuerpo; v el ESPAÑA. teniente dei 6° ligeros D. Luis Mailen: contusos, el anudante del 4.0 regi miento de Guardia Real D. José Mozurd; el teniente con grado de teniente Madrid i 0 de Octubre. coronel D. Julián Pordoy, y subteniente D. José Hermenegildo, del regi miento de Córdoba, y el ayudante de la plana mayor D. Ramón Corres, te Penetrado el Excmo. Sr. comisario general de C^ruzadá de cuánto interesa niente graduado dé capitán. La de tropa lo es cuatro soldados heridos v un á la moral, a la salud pública, á…</t>
  </si>
  <si>
    <t>Porque</t>
  </si>
  <si>
    <t>…o'»'! porque -es preciso que nos concre mas, si hubieran seguido, hicieran (tenido que «formar Varios agios, «mana^ temos y no se hable vagamente. Si por semejante asércion se entiende que ¿hay dos de ellas mismas Jior el ínteres general. Porque los hay que son buenos ea . actualmente empleados que lo -fueron en la época pasada, -es-una verdadáy' lo un tiempo , y no lo-son en otro. Be consiguiente, las impugnaciones que ha contrario seria injustísimo; pues los hay muy dignes entre ellos , que en lugar cen los Secretarios del Despacho i esta pe…</t>
  </si>
  <si>
    <t>…que la comisión propone; pero tratándose de Jas teres; «porque hayan pasado muchos años, ha de quitársele ai comprador ei de faltas que puedan cometerse en el servicio, y teniendo presente que los sugetos recho que le asiste? No señor. Porque esto seria contra todo derecho, y solo sobre quienes han de recaer estas penas km unas personas armadas, creo que podría tener lugar, pero no tratándose dé un hecho cierto como es el caso pre aunque no se deben sujetar á las leyes severas del ejército, sin embargó se debe sente." tener en considera…</t>
  </si>
  <si>
    <t>Porrcr, D José</t>
  </si>
  <si>
    <t>D José Porrcr</t>
  </si>
  <si>
    <t>…io de Gra sos de empale no son muy comunes, las pocas ocasiones en que aquel podrá cia y Justicia.' ejercer dicha autoridad , no merecen la pena de que no se conserve ia discipli Se mandaron pasar á la comisión de Poderes los del Sr. D José Porrcr, na; y asi no puede convenir el Gobierno con los individuos de la comisión. electo Procurador por la provincia de Gerona, con ios documentos justifica Por la conveniencia pública en los actos del servicio, y por la misma obser tivos de su aptitud legal, vancia de la disciplina, debe, pues, conserva…</t>
  </si>
  <si>
    <t>Porre, José</t>
  </si>
  <si>
    <t>José Porre</t>
  </si>
  <si>
    <t>…d. Antes de entrar nedicto Leal por la provincia de la Coruña, en lugar de D. Manuel Gutier- en ella el duque de Brunswick empleó todos los medios mas infames para con rez Caviedes, cupos poderes no fueron aprobados : la de la de D. José Porre seguir su objeto, cuales fueron poner a! rededor del Monarca consejeros pér ra por la provincia de Gerona, en reemplazo de D. Jo»é Fina del Villar; y fidos para que estuviese en pugna con la asamblea, corromper escritores, tra la de la de D. Mariano Torres y Solano por la provincia de Salamanca, pa…</t>
  </si>
  <si>
    <t>Porret</t>
  </si>
  <si>
    <t>…n arreglo á las débil incentivo de la virtud. Concederles el de suceder en competencia con los. leyes comunes.” descendientes ó ascendientes, seria extender la filantropía fuera de los límites que Se leyó la siguiente adición del Sr. Porret ál mismo artículo 3.° la naturaleza, la razón y la conveniencia social señalan. «Si no constare la existencia de las personas mencionadas en el artícu ••Creo, pues, qne el irtículo está redactado con arreglo á los principios lo 2.° precedente ó de otra cualquier^ que sea dueño de los bienes en virt…</t>
  </si>
  <si>
    <t>El Sr. Porret: «Mediante esa explicación me parece inopoijSina jn¡ adi brir. Con este motivo, yo suplicaría al Estamento tomase en consideración un ción, y la retiro.” . - - Quedó retirada la adición de este Sr. Procurador. punto tjQ esencial, y rogaría al Sr. Secretario de Hacienda que , haciendo los esfuerzos…</t>
  </si>
  <si>
    <t>…las circunstánciasyelbieny seguridad del art. 2.®, y en seguida fue aprobadáí tihfffiscósion. Estado.. Ést* suspensión ó disolución no podrá? prolongarse i mas de rm año, Leido el párrafo 3.°, que hace referencia á la adición del Sr. Porret al ar contado desdeufl dia en que se Verifique-, sino Cn: tüétud'de una |ey¿-. tículo 3.“, dijo Art. St^o i «¡Los reglamentos ¿?cafuCciones&gt;qae formeel Gobierno de S. M. El Sr. Porret-. «Cuando presenté la adición á que se refiere este dicta fijarán las reglas convenientes á fin de llevar á efecto…</t>
  </si>
  <si>
    <t>…ión él que salva un bu el presente artículo, puesto que hay. otros que ponen á cubierto el derecho que, no sofámenrr cuando -este se halla en estado de mostrenco, sino también', de tercero.” siendo conocido su Verdadero dueño. El Sr. Porret: «Por el modo con que ha concluido el Sr. Ministro de « En Inglaterra, cuando se salva un buque que estaba á punto de perder Gracia y Justicia su discurso, parece que extraña mis ideas, y da. á enten se, aun cuando tenga dueño, percibe el que lo salva, no solo la mitad dd va der que yo he tratado d…</t>
  </si>
  <si>
    <t>…por consiguiente el sueldo debía de ser á propor tenda que se hagan en ella las economías qué sea posible: de este modo pudie ción de aquellos. ran considerarse deprimidas cualesquiera d« las demas clases que se han sujeta- ' El Sr. Porret apoyó lo que habla manifestado el Sr. Serrano de que en el do á economías. Si el rebajar, y aun el solicitar que se disminuya un sueldo distrito que manda un capitán general había- cuatro ó «« gobernadores civi puede considerarse como una cosa que deprima al que lo goza , apelo al voto les , cuyos…</t>
  </si>
  <si>
    <t>Porret, D José</t>
  </si>
  <si>
    <t>D José Porret</t>
  </si>
  <si>
    <t>…habaneros; asegurando A S. E., que auüqüe su mando ha bía sido breve, la memoria de sus virtudes, la de su desprendimiento y gene PROVINCIA DE GERONA. rosidad, quedaría grabada en el corazón de-estos moradores, que siempre recor Sr. D. José Porret. darían con lágrimas de gratitud las nobles muestras de humanidad con que supo PROVÍNCIA DE HUESCA. haóe'r menos aciagos los efectos de la cruel epidemia que hemos sufrido: y abundando igualmente la junta en los deseos de S. E., acordó se haga el día 30 Sr. D. Mariano Torres y Solanot del corriente…</t>
  </si>
  <si>
    <t>…supuesto. Mediante que para esto era preciso reunir todo el batallón para la vota La comisión de Poderes dió cuenta de que habiendo reconocido los del ción , puede añadirse en su lugar que se baga esta elección por el método seña Sr. D. José Porret, electo Procurador por la provincia de Geron», como igual lado en el articulo 9.° mente los documentos justificativos de su aptitud legal, y hallándolos confor La del Sr. Galwey al artículo 17, que dice: «,En las capitales de pro mes , opinaba que debían aprobarse. Aij se acordó. vincia y plazas de…</t>
  </si>
  <si>
    <t>…a eludir su pago , amenazados ya con el allanamiento de sus del Despacho de lo Interior para el reemplazo de aquel. • casas, ya con medírseles dicho líquido, ya con aforos, competidos á presentar 1 Entró á jurar y tomó asiento el Sr. D. José Porret, Procurador por la tornaguías del que se consume fuera del pueblo donde se cosecha, y 4 otras provincia de Gerona. . formalidades impracticables, y hostigados de mil y mil maneras se ven en la El Sr. Presidente anunció que se iba a proceder á la discusión de las dos dura necesidad de hacer las mas…</t>
  </si>
  <si>
    <t>Porret, José</t>
  </si>
  <si>
    <t>José Porret</t>
  </si>
  <si>
    <t>…aneros; asegurando A S. E., que auüqüe su mando ha bía sido breve, la memoria de sus virtudes, la de su desprendimiento y gene PROVINCIA DE GERONA. rosidad, quedaría grabada en el corazón de-estos moradores, que siempre recor Sr. D. José Porret. darían con lágrimas de gratitud las nobles muestras de humanidad con que supo PROVÍNCIA DE HUESCA. haóe'r menos aciagos los efectos de la cruel epidemia que hemos sufrido: y abundando igualmente la junta en los deseos de S. E., acordó se haga el día 30 Sr. D. Mariano Torres y Solanot del corriente…</t>
  </si>
  <si>
    <t>…esto. Mediante que para esto era preciso reunir todo el batallón para la vota La comisión de Poderes dió cuenta de que habiendo reconocido los del ción , puede añadirse en su lugar que se baga esta elección por el método seña Sr. D. José Porret, electo Procurador por la provincia de Geron», como igual lado en el articulo 9.° mente los documentos justificativos de su aptitud legal, y hallándolos confor La del Sr. Galwey al artículo 17, que dice: «,En las capitales de pro mes , opinaba que debían aprobarse. Aij se acordó. vincia y plazas de…</t>
  </si>
  <si>
    <t>…udir su pago , amenazados ya con el allanamiento de sus del Despacho de lo Interior para el reemplazo de aquel. • casas, ya con medírseles dicho líquido, ya con aforos, competidos á presentar 1 Entró á jurar y tomó asiento el Sr. D. José Porret, Procurador por la tornaguías del que se consume fuera del pueblo donde se cosecha, y 4 otras provincia de Gerona. . formalidades impracticables, y hostigados de mil y mil maneras se ven en la El Sr. Presidente anunció que se iba a proceder á la discusión de las dos dura necesidad de hacer las mas…</t>
  </si>
  <si>
    <t>Porta</t>
  </si>
  <si>
    <t>…illa de Iznajar, pro i lós beneméritos defensores del trono de su augusta Hija que tuvieron parte vincia de Córdoba, y capitán de los Urbanos de dicha villa, ha acudido á «n este glorioso encuentro, y particularmente al expresado comandante Porta; S. M. la Reina Gobernadora, pidiendo por sí, y en nombre de ISO indivi al teniente graduado de carabineros D. Nicolás García, que herido al principio duos de sir cuerpo, ser destinados á las provincias Vascongadas, ofreciendo no de la*acción no quiso separarse hasta que se concluyó; rasgo de heroí…</t>
  </si>
  <si>
    <t>Portal, Félix Pablo</t>
  </si>
  <si>
    <t>Félix Pablo Portal</t>
  </si>
  <si>
    <t>…a; á D. Alonso Ramón será pagado inmediatamente en S. Petersburgo. En ninguno de los do* caso» se Rubio; i D. Fermin Ladrón de Cegama; á D. Pedro de ]Nava; á hará deducción alguna por el trasporte y la conversan. {Boersen-Halle.) D. Félix Pablo Portal, alcaldes del crimen de la misma, y á D. An drés García Drena, juez mayor de Vizcaya. SUIZA. Por otro decreto de" la expresada fecha se suprime por innece saria la plaza de juez mayor de Vizcaya. Fveufchatel 20 de Julio. Por otro de 4 de Agostp, teniendo S. M. en consideración la En esta cantón loi…</t>
  </si>
  <si>
    <t>Portal, Juan José</t>
  </si>
  <si>
    <t>Juan José Portal</t>
  </si>
  <si>
    <t>…e Norzagaray, para que cualquier ■ Ha nombrado una comisión para que le proponga los estímulos que admite persona que tuviese noticia de dichos documentos acuda ante el mismo señor y la qria de caballos. escribano de su audiencia D. Juan José Portal, que la tiene en las casas Con Poniéndose de acuerdo con el capitán general de aquel ejército y el gober sistoriales de e6ta dicha villa. nador de Cinco Villas, ha conseguido que no caigan en manos de los facciosos Documentos. Núm. 73, rs- vn. 403* núm. 4^0, 4-03; núm. 8(565, 29: de Navarra los gan…</t>
  </si>
  <si>
    <t>Portalis</t>
  </si>
  <si>
    <t>, m H }ja valido el gobierno, de todos ha hecho una severa censura la Voces á ¡os centros: No hay duda en que el Sr. Portalis hizo oposición. Ninguna de cuantas disposiciones ha tomado, sea para mal. evitar,, sea para reprimir los mot jijes, ninguna ha sido aprobada Voz de la izquierda : Aquí solo hay diputados: como tal ha por la-oposicion. A la verdad cuando el gobierno ha adoptado dis hablado, y no como magistrado. pos…</t>
  </si>
  <si>
    <t>…comisiones, y se da cuenta de varias solicitudes de parti sos. Restituida á la plaza la numerosa concurrencia, se distribuyó á los pobres abundante ración de pan que el ayuntamiento tenia preparado á sus expensas, culares. El Sr. conde Portalis lee el informe en que la comisión encargada de exa como emblema de la myníficencia de nuestra Soberana, en cuyo honor se ejer minar el proyecto de ley relativo á la organización del consejo de Estado, des cía este acto de liberalidad. Es indecible el júbilo y entusiasmo t que en aquel vies de dar u…</t>
  </si>
  <si>
    <t>…eder k hacen ver cuan chocante serta esta exclusión, cuando el principal objeto del las viudas del mariscal Jourdan y de los generales Decaen , Dauinesnil y consejo de Estado es ilustrar á los secretarios del Despacho. Gerard. El Sr. Portalis declara que no ha entrado en la idea de la comisión excluir El Sr. Lacuée da una rápida ojeada sobre la legislación que acerca de pen los secretarios del Despacho, y sí solo dar á entender que uno de ellos debe siones ha regido en Francia desde el año de 1600; y después de convenir en presidir el c…</t>
  </si>
  <si>
    <t>…, teniente terce- I ro de asistente de Sevilla, y nombrar para el corregimiento de letras de Santo Prosigue la. discusión dei proyecto de Jey sobre organización Consejo ¿t Domingo de la Calzada á D. Salvador Guerrero. Estado. El conde Portalis dice que la comisión, teniendo presente lo que algunos Igualmenre ha venido en nombrar á consulta de la Cámara'para la vara de Pares indicaron en. la sesión de ayer, cree que después del artículo 1.® en que se alcalde mayor de la Villa del Prado a D. Antonio Aivjrrz Baragaña: para la I determina qu…</t>
  </si>
  <si>
    <t>…aves y funestas, pues que se ha derramado la sangre francesa, exige del tranquilidad. Declara que adhiere á las modificaciones que se hagan á esta ley. gobierno que yo en su nombre dé cuenta á los diputados de la nación de las El conde Portalis dice que no defiende los mayorazgos, pues cree que será ocurrencias que ocupan todos los ánimos. Nada hay mas constitucional ni mu étil abolidos; pero haciéndolo progresivamente: por lo tanto es de parecer que conforme al espíritu de nuestro sistema político que dar fuerza y unión á todos se prohíb…</t>
  </si>
  <si>
    <t>…o: que es muy extraño que los mis ción lo están de defender el Estado contra los enemigas exteriores, y de man mo* que han establecido y preconizado este pnneipio, quieran ahora negar y tener la tranquilidad interior, cree con el Sr. Portalis que en la contestación al coartar las consecuencias de él : que á nadie debe sorprender que él coincida en discurso del Rey se debe hacer mención del jurado; y lo creé con tanta mas algunos puntes con un partido cuyas opiniones son opuestas á las suyas, pues razón cuanto en una de las sesiones ante…</t>
  </si>
  <si>
    <t>…previamente en la plaza Real por el alférez mayor le ia ciudad, ga la energía c indefendemia de la magistratura y del jurado. El ministro y acto continuo por e! del Principado, que io es ci conde de Toreno, en la de Comercio y el Sr. Portalis se unen á la propuesta del Sr. Gillon; pero el se plazuela del Real casiillo y fortaleza. ñor Carlos Dupin hace ver qué la propuesta del Sr. Gillon no es mas que un Las demostraciones de público alborozo con que se ha solemnizado tan efugio para reproducir la del Sr. Salverte. fausto suceso, y á qu…</t>
  </si>
  <si>
    <t>Portalis-presenta</t>
  </si>
  <si>
    <t>…pares—Sesión del día 9 de Agosto. le el beneficio de un gobierno monárquico constitucional. V. M. nos hallará siempre dispuestos á contribuir francamente á la obra tan apetecida de consoli Aprobada el acta de la última sesión, el conde Portalis-presenta el pro dar nuestras instituciones , y hacer que todos los franceses se reúnan en der yecto de contestación al discurso del trono, formado por la comisión á quien redor del trono y de la Carta, asi como á repeler por todos los medios legales. fa Cámara dió esté .encargo. El i proyecto está concebido…</t>
  </si>
  <si>
    <t>Portalls</t>
  </si>
  <si>
    <t>188 .. . ! au nombre. Su altura es de diez píes y tres pulgadas, y representa El Sr. Portalls expone difusamente los fundamentos que- le ino al duque en uniforme militar y con la mano derecha en la empu ducen á creer que si se aprueba este proyecto, sus efectos serán con ñadura de (a espada. ” ■ . trarios á lo que se apetece. Examinapdo después los principios en __ _Ñipóles está Heno de ing…</t>
  </si>
  <si>
    <t>Portillo</t>
  </si>
  <si>
    <t>…ahuyentado pequeñas partidas de facciosos de los llamados aduaneros, á quie , Isabel n aterró á los traidores que se pusieron en vergonzosa fuga. Pero- des nes se les ha muerto varios, y aprehendido otros. cubriéndose entonces el teniente Portillo, no tuvieron otra alternativa que echarse á la izquierda, en donde el subteniente Ferran los recibió con un vivo fuego: corriéndose mas á la izquierda para tomar la sierra, cayeron sobre el punto que . KBAl iotbria vodbxva. ocupaba eLcapitan. Alonso, quien hizo en ellos grande estrago rechazándolos…</t>
  </si>
  <si>
    <t>Portillo, D Sebastian</t>
  </si>
  <si>
    <t>D Sebastian Portillo</t>
  </si>
  <si>
    <t>…ros, que por todas partes se oían; to de mi mando, á ocupar el barranco y cerros por donde habían de intentar concluyéndose á. las oraciones, á cuyo tiempo principiaron los fuegos artificia su retirada; por mi derecha destaqué ai teniente D. Sebastian Portillo con 20 les despedidos desde la bahía; y en seguida los capitanes españoles y turcos die- cazadores , y por la ladera al extremo derecho de mi linca de batalla al ^obte ron udibaile en la casa contigua ¿ la aguja, que duró hasta tarde* niente de caballería D- Martin Ramírez con sus 27 caballos, y or…</t>
  </si>
  <si>
    <t>…rde. comercio.deEFECTOS PUBLICOS. José Cepeda, el subteniente D. Fernando Ferran y el teniente D. Ramón Frías en clase de ayudante mió. Los 20 cazadores de la derecha los manda Inscripciones en el gr3n libro á S p. 100. 00. ba el teniente D. Sebastian Portillo, y íós 27 caballos, cuya inteligente y de Tirulos al portador del 5 p. 100, 59* al contado: 60^ al 15 de Junio ó vol.: 6l al 30 cidida dirección Canto ha contribuido al grande resultado de esta jornada, del corriente o vol. a prima de los mandaba el subteniente D. Martín Ramírez. El cirujano de mí…</t>
  </si>
  <si>
    <t>…cudió oportunamente al punto de Bilbao, -f d. Santiago d. Jé acción, y la sostuvo con la columna de su mando. El referido coronel Ma zarredo hace especial recomendación del capitán graduado de teniente coronel D. José Casel y del teniente D. Sebastian Portillo, ambos del regimiento pro ANUNCIOS. vincial de Cuenca , qüe-con la fuerza qué puso á sus órdenes, se portaron bi Historia natural de la langosta de España, y modo de destruirla, por D. Gui zarramente. * llermo Bowies, con la instrucción dirigidaa los pueblos, para exterminar esta terri El brigadier…</t>
  </si>
  <si>
    <t>Portillo, Eugenio Javalquinto y</t>
  </si>
  <si>
    <t>Eugenio Javalquinto y Portillo</t>
  </si>
  <si>
    <t>…Barcelona i D. Felipe . mentó. (Id.) ■ . 1 Igual. (Dúm. 96) , ‘ - sobre U provisión de beneficios en la* provincias vascongadas y reino do' __ Concediendo honores de alcalde del crimen de la audiencia de Sevilla £ Navarra. (Id.) D. Eugenio Javalquinto y Portillo. (Id.) __ _ la anterior sóbre la apertura de la* Córtes, comunicada ¿ los subdelega—' Real órden mandando que se publique en la Gaceta la cesión queD- Hentique dos de Fomento. (Id) Shenélbubel ha hecho en favor del Estado de 89,446 rs. que se le debían. ___ sobre las desagradables ocurrencias de los…</t>
  </si>
  <si>
    <t>…amos de recibir del consejo ejecutivo-de Berna con fecha 28 de Rf.ina Gobernadora conceder honores de alcalde del crimen de la Abril, el aviso satisfactorio de que dicho consejo , atendido» los votos de los audiencia de Sevilla á D. Eugenio Javalquinto y Portillo, alcalde Estados confederados creyendo necesario una resolución unánime entre e pue mayor de la villa de Priego. blo suizo y sufi gobiernos , propondrá al consejo suprer.io la expulsión de Es refugiados que han tomado parte en el atentado contra Jo» Estados de CerdcrU; pero que al mismo tiempo mira…</t>
  </si>
  <si>
    <t>Portillo, Sebastian</t>
  </si>
  <si>
    <t>Sebastian Portillo</t>
  </si>
  <si>
    <t>…por todas partes se oían; to de mi mando, á ocupar el barranco y cerros por donde habían de intentar concluyéndose á. las oraciones, á cuyo tiempo principiaron los fuegos artificia su retirada; por mi derecha destaqué ai teniente D. Sebastian Portillo con 20 les despedidos desde la bahía; y en seguida los capitanes españoles y turcos die- cazadores , y por la ladera al extremo derecho de mi linca de batalla al ^obte ron udibaile en la casa contigua ¿ la aguja, que duró hasta tarde* niente de caballería D- Martin Ramírez con sus 27 caballos, y or…</t>
  </si>
  <si>
    <t>…rcio.deEFECTOS PUBLICOS. José Cepeda, el subteniente D. Fernando Ferran y el teniente D. Ramón Frías en clase de ayudante mió. Los 20 cazadores de la derecha los manda Inscripciones en el gr3n libro á S p. 100. 00. ba el teniente D. Sebastian Portillo, y íós 27 caballos, cuya inteligente y de Tirulos al portador del 5 p. 100, 59* al contado: 60^ al 15 de Junio ó vol.: 6l al 30 cidida dirección Canto ha contribuido al grande resultado de esta jornada, del corriente o vol. a prima de los mandaba el subteniente D. Martín Ramírez. El cirujano de mí…</t>
  </si>
  <si>
    <t>…rtunamente al punto de Bilbao, -f d. Santiago d. Jé acción, y la sostuvo con la columna de su mando. El referido coronel Ma zarredo hace especial recomendación del capitán graduado de teniente coronel D. José Casel y del teniente D. Sebastian Portillo, ambos del regimiento pro ANUNCIOS. vincial de Cuenca , qüe-con la fuerza qué puso á sus órdenes, se portaron bi Historia natural de la langosta de España, y modo de destruirla, por D. Gui zarramente. * llermo Bowies, con la instrucción dirigidaa los pueblos, para exterminar esta terri El brigadier…</t>
  </si>
  <si>
    <t>Portocarrero</t>
  </si>
  <si>
    <t>…do de este reconocimiento una masa de deuda de 544 millones de rea al Papa, á qu’en se consultó. Ni el conde de Oropes3 , presidente de Castilla, les. Mas como esto no producía ínteres, y las circunstancias comenzaban á ser ni el cardenal Portocarrero , ni cuantos manejaron el alma débil de Cirios ir, tfistes, se trató en el año de 1820 con la casa de Lafittc de Parts un empiés- nadie se acordó de llamar á Cortes , ni se le acordó al mismo pueblo recla tito de 300 millones con el rédito de 5 por 100, y 2 por 10U de premio, 1q marlas. Digo por co…</t>
  </si>
  <si>
    <t>Portocarrero, Elena Ramírez</t>
  </si>
  <si>
    <t>Elena Ramírez Portocarrero</t>
  </si>
  <si>
    <t>…réy,•' tenlente.coferegldbe' de «et Villa;4» cosaia-i garbanzosi’L voca á Ib^ afteydores que se copsidoeen^un derecho á JaeTbieil» que á sú fiaUerimiéntp ~ 'ZAEACbZA CprOTincia de).—.Jlujartilóz X 10 de jiírijo)."' " TrlM; A dejó doña Elena Ramírez Portocarrero, viuda deJ9i. José .Calero Castruvetdc,T&gt;ara que del paist vinp, 4,4 rs. cántaro:aceite, í éft el término dé un mes acudan úersbnllmente ó J»or pfrtCürídor á reclam-«&gt;'iuS%gal&gt; ‘a CUf de Jpifl^). Trigo; 412 rí ranégi det'pdií: c¿6ida,49 tótantrlosmero 2, cuartoitstatneotario»ba ¡o. impreotáíá«FXt»M…</t>
  </si>
  <si>
    <t>Portugal, Sanjuanena</t>
  </si>
  <si>
    <t>Sanjuanena Portugal</t>
  </si>
  <si>
    <t>…, y dando un una gran parte de él (remediada ya con veñTa'ja por la nueva quin largo rodeo se volviese á Guarda , á cuyo punto se encaminó en ta), determinó tomar la iniciativa y penetrar resueltamente en su seguimiento el adtivo brigadier Sanjuanena. Portugal, para destruir en su origen los planes del partido de la El mismo dia 1(5 del corriente, en que se publicaba en la ca usurpación. pital de la monarquía el Estatuto Reai, asentando sobre bases inEste era el tánico objeto de la expedición proyectada, que por de.tructibles el legítimo trono de Isabel…</t>
  </si>
  <si>
    <t>Portugal..Este, Cipriano de la Rrva</t>
  </si>
  <si>
    <t>Cipriano de la Rrva Portugal..Este</t>
  </si>
  <si>
    <t>…a Rivaheríera , gobernador civil de la provincia. fia,próxima con hombres, y que convocase á los tres Estados del reino Sr. marques de Villacampo. pa-a acordar los medios necesarios al mantenimiento de las tropas y defensa de Sr. D. Cipriano de la Rrva. Portugal..Este paso, añadió Bourmont á D. Miguel, le libraría de .la nota odiosa que tleva consigo la imposición de contribuciones extraordinarias , y ba provincia di -/rrrrTT ria ver á toda la Europa que estaba sostenido por el pueblo, y no por una fac Sr. D. Rufino García Carrasco. ción militar. Por último, exi…</t>
  </si>
  <si>
    <t>Portugal..Este, D Cipriano de la Rrva</t>
  </si>
  <si>
    <t>D Cipriano de la Rrva Portugal..Este</t>
  </si>
  <si>
    <t>…de la Rivaheríera , gobernador civil de la provincia. fia,próxima con hombres, y que convocase á los tres Estados del reino Sr. marques de Villacampo. pa-a acordar los medios necesarios al mantenimiento de las tropas y defensa de Sr. D. Cipriano de la Rrva. Portugal..Este paso, añadió Bourmont á D. Miguel, le libraría de .la nota odiosa que tleva consigo la imposición de contribuciones extraordinarias , y ba provincia di -/rrrrTT ria ver á toda la Europa que estaba sostenido por el pueblo, y no por una fac Sr. D. Rufino García Carrasco. ción militar. Por último, exi…</t>
  </si>
  <si>
    <t>Pos, Cristiano Herrgen</t>
  </si>
  <si>
    <t>Cristiano Herrgen Pos</t>
  </si>
  <si>
    <t>…que se anuncia sobre todas las publicadas. 48 á 54 ¡d. -■■-—La orictognosia, escrita en alemán por D. Juan Federico Guillermo Widenmam, ’ Larrilo. Trigo, á 40 rs- fanega: cebada, á 10 rs. id.: maiz, á 20 id.: vi-: y traducida por D. Cristiano Herrgen» Pos tomos en 8.° mayor impresos de orden su no, á 22 rs. la cántara: judías, á 36 id. perior en 1797, k 30 rs. /ama y 45 pasta común. La presenre-obra que contiene el sis tema mas moderno y completo de la mineralogía, tiene por base el del célebre profe ' Llanes. Trigo, á 52 rs- fanega: maíz, de 30 á 3…</t>
  </si>
  <si>
    <t>Posada</t>
  </si>
  <si>
    <t>…a.” Esto consagra el derecho á lo devengado, y fija los términos en que Venadito, marques de la Reunión, Sr. Patriarca de las Indias, Sr. Burgos, puede ejercerse este derecho. Si no se hiciese asi, nos podríamos encontrar con Sr. obispo Posada, conde de Ofalia, Sr. Puig, marques de Albaida, arzobispo un inconveniente gravísimo. Figurémonos que se publica mañana la ley en de Méjico, marques de Sta. Cruz, duque de Castroterreño , duque de S. Lo Madrid, y que en ei mismo dia el juzgado privilegiado del Voto da una sen renzo , conde de Caste…</t>
  </si>
  <si>
    <t>…gnidad que represento, la mayor á que puede llegar un súbdito del Soberano los poderes con la condición expresada. de la Gran Bretaña. No obstante ya sé ha dicho lo suficiente para reprobar la La Comisión dió cuenta del poder del Sr. Posada, obispo de Murcia, opi gravedad de vuestra ofensa; pero ni vos ni otros deben por este procedimien nando que no podía aprobarse respecto á que los 603 rs. de renta de que go to lisonjearse que si se repite igual agravio, será tratado con la misma lenidad, za en virtud de la Real orden de 10 de Novi…</t>
  </si>
  <si>
    <t>…......................... .. .................. „ 40 gura en haber estampado con fidelidad el acuerdo de la junta sobre los poderes D. Manuel de Angulo y Cano,........................................................... 20o0 . del Sr. Posada. &gt;f . , D. Jo»é Lav¿ña . consiguiente á la oferta hecha ála junta de Caridad. 1000 La Comisión de poderes dió cuenta de los respectivos á los Sres. Alvarez D. Marcelino Pérez.............................................................................. 20 Pestaña Floreé fisfraitó, Balmaseda, Alcalá…</t>
  </si>
  <si>
    <t>Posada, Antonio</t>
  </si>
  <si>
    <t>Antonio Posada</t>
  </si>
  <si>
    <t>…Principé de vuestra familia que osó alimentar ambicióse* desig . . Entraron i jurar y. tomaron asiento los Excmos. Síes, conde de Cuba, nios, aun viviendo su Hermano y su Rey, y que muerto este, intenta por conde de Salvatierra, D. Antonio Posada, D. Pedro González Valle jo y condq medio de la guerra civil arrebatar, él cetro i su heredera legítima. V. M. pien de ViUafuertes. ■ , : ( : , „ sa con razón que la tranquilidad'presente y la suerte futura dé estos reinos pen Se leyó un oficio; del Excmo. Sr. . Secretario de lo Interior con que ac…</t>
  </si>
  <si>
    <t>…lesia: luego se ha exigido pdr no mes de su preñado la Serma. Sra. Infanta Doña Luisa Carlota, compuesta 'tatitos siglos una contribución que no era debida , dice expresamente, la con de los Excmos. Sres. duque de Castroterreño y D. Antonio Posada, que de secuencia que parece necesaria no lo es de ninguna matura-, y que á pesar berán asistir al cuarto de S. A. en el dia de su alumbramiento. de todo cuanto él ha manifestado, la iglesia de Santiago tiene derecho indis Quedó asimismo enterado de un oficio del Sr. Presidente del Consejo da putab…</t>
  </si>
  <si>
    <t>…egítimas que le impidan Sres. Procuradores creados Príeeret por S. M.hacerlo, se le coniidere excluido del mismo Estamento, siguiéndose esta mis mo regla con ¡os que en adelante fueren nombrados, y contándose el término limo. Sr. D. Antonio Posada, por Murcia. " desde el dia de la elección, si no fuese mayor el que se Jijase por la Convo Marques de Guadal cazar , por Córdoba. catoria. Srei. Procuradores fallecidos. »No soy tan presuntuoso que pida se resuelva en el acto este asunto; an tes por el contrario, considero conveniente que se pase…</t>
  </si>
  <si>
    <t>…abía las armas de S. M. llevan i desear. Madrid 23 de Diciembre de 1834. zz nombrado una comisión especial compuesta de los Excmos. Sres. conde de OfaEl marques de las Amarillas.” lia , D. Manuel José Quintana, conde de Pinoficl, D. Antonio Posada y con Tohiada en consideración por 'el Estamento esta mocion, y después de de de Montijo. algunas observaciones hechas pt&gt;r los Excmos. Sres. conde de Sta. Ana, mar En seguida el mismo Sr. Presidente dijo que no habiendo otro asunto de ques de S. Marcial,marques de Espeja y marques de Guadaicázar, qu…</t>
  </si>
  <si>
    <t>SUPLEMENTO A LA GACETA DE MADRID DEL MIERCOLES 29 DE OCTUBRE DE 183% CORTES. brada en Murcia en reemplazo del Sr. D. Antonio Posada, elevado á la dig nidad de Procer, que ha recaído en el Sr. D. Miguel Puche. SlSTAMENTO DI SEÍÍÓ'SES IIOCDIADOI EL El Estamento quedó enterado de nn oficio del Sr. Procurador D. Fausti no Garay, en el cual exponía que por hallarse enfermo no podía asistir i lis Sesión del día 28 de Octubre. sesione…</t>
  </si>
  <si>
    <t>Posada, D Amonio</t>
  </si>
  <si>
    <t>D Amonio Posada</t>
  </si>
  <si>
    <t>…RTES. obispo electo de Teruel „ obispo de ljuesca, conde de Cuba, duque de Bailen obispo electo de. Almería, Patriarca de las ludias , conde de Ofalia, arzobispo * IITiXBXIO BE ILUSTRES ÍRÓC-BRESi de Méjico, marques de Sta. Cruz, obispo D- Amonio Posada, marques de San Marcial, marques del Cerro de la Cabrea, duque de S- Lorenzo, marques del Sesión del día *¿7 de Diciembre, &lt;s. Salar , marques de Sta. Cruz y S. Esteban, conde González Castejon, obispo de Lugo, conde de Guaqui, obispo de Córdoba, duque de Gor, marqoes de Leída¿1-acta-de la saridnan…</t>
  </si>
  <si>
    <t>Posada, D Antonio</t>
  </si>
  <si>
    <t>D Antonio Posada</t>
  </si>
  <si>
    <t>…as legítimas que le impidan Sres. Procuradores creados Príeeret por S. M.hacerlo, se le coniidere excluido del mismo Estamento, siguiéndose esta mis mo regla con ¡os que en adelante fueren nombrados, y contándose el término limo. Sr. D. Antonio Posada, por Murcia. " desde el dia de la elección, si no fuese mayor el que se Jijase por la Convo Marques de Guadal cazar , por Córdoba. catoria. Srei. Procuradores fallecidos. »No soy tan presuntuoso que pida se resuelva en el acto este asunto; an tes por el contrario, considero conveniente que se pase…</t>
  </si>
  <si>
    <t>Posada, José Francisco ValtléS y</t>
  </si>
  <si>
    <t>José Francisco ValtléS y Posada</t>
  </si>
  <si>
    <t>…á D. Fermín PARTE NO OFICIAL. Gil de Linares; á D. Juan Modesto de la Mota; á D. José Alonso; á D. Fra neisco Verea y Cornejo; á D. Francisco Crespo y Rascón y NOTICIAS EXTR AXGERAS. á I). Miguel Moreno, que lo son de la misma; á D. José Francisco ValtléS y Posada, oidor decano déla audiencia de Asturias; á Don Francisco García Chave*, oidor de la de Sevilla; á D. Jaime Perera INGLATERRA. y Rius, fiscal de lo civil de la de Vallailolid, y á D. Julián de Sujo, teniente de villa de Madrid: y en clase de fiscales, á D. Laureano LSndres 19 de Atril. de Jado y á…</t>
  </si>
  <si>
    <t>Posadas</t>
  </si>
  <si>
    <t>…a de la-» Corte» gcncraie» del Remo. En »u o msetu.::w&gt;a , y por hallarse dicho "deParga; marques de Heredia conde de Ofalia; conde de Sástago; conde de Sr. Ministro de Gracia y Justicia acompañando a M. ia Reina Goberna Parsent; Sr. Posadas; Sr. González Carvajal. dora, encared&gt;a al Minnlro de Estado desempañase su encargo. S. E. en cum De Guerra. Excmos Sres. marques de las Amarillas: conde de E'ptja; plimiento de este decreto pa»o á leer la exposición relativa a dicho objeto Conde de Teba; conde de Puñonrostro; conde de Cuba; duque…</t>
  </si>
  <si>
    <t>…los que vendieron las fincas, podrán verificar el pago de los réditos en pa Los que estuvieron por la afirmativa fueron los Excmos. Sres. duque do pel de la deuda consolidada por su valor nominal.” Bailen, marques de la Reunión, obispo Posadas, Alava, García Herreros, Del Sr. marques de Espeja: «Podrán los vendedores entregar el capital de conde de Ofalia, obispo Vailejo, obispo de Barcelona, Sr. Patriarca, marques la venta al 3 por 100 en papel de la deuda consolidada al precio que se haya de Sta. Cruz, arzobispo de Méjico , marques del…</t>
  </si>
  <si>
    <t>…°° aoo xoo. GACETA DE Af AlDRID. ARTICULO DE OFICIO. po de Astorga D. Félix Amat; al R. obispo de Huesca D. Lorenzo Ramo de San Blas; al R. obispo que fue de Cartagena D. Antonio La Reina nuestra Señora Doña Isabel ir, y S. M. la Reina Posadas; al R. obispo que fue de Mallorca D. Pedro González VaGobernadora , siguen en el Real sitio de Aranjuez sin novedad llejo; al R. obispo electo de Almería D. Vicente Ramos y García; al R. obispo electo de Teruel D. Mariano Liñan: y para la clase de en su iinporlanLe salud. seglares á D. Ignacio Pezu…</t>
  </si>
  <si>
    <t>…conde de Almodovar para Presiden— Igualmente se la pasó un oficio del Gobierna relativo á la elección del •te del mismo , y al Sr. D. Diego Mcdrano para Vicepresidente. Sr. EL Francisco de Paula Vega por U provincia de Gerona. El Sr. Posadas , Presidente interino, al entregar la presidencia á su suce Por último se pasó á 4a misma una representación del Sr. D. Francisco sor , dijo: Muguiro é Iribarren, pidiendo se le exonetc-del cargo de Procurador por Na— y» Señores: Llegó -el momento tan sentible para mi coraron de separarme Tana, en…</t>
  </si>
  <si>
    <t>Posadas, Antonio</t>
  </si>
  <si>
    <t>Antonio Posadas</t>
  </si>
  <si>
    <t>…ermitido hablar á un individuo de la comisión , y no ¿ los de vincia de Orense, y los del Sr. D. Miguel Puche, que lo es por la de Murcia, mas Sres. Procuradores que querían tomar parte en la discusión. én reemplazo del limo. Sr. D. Antonio Posadas elevado á la dignidad do El Sr. Presidente contestó que. el individuo de la comisión i que se alu Prócer. dia , no habia hecho mas que presentar el dictamen da palabra cu vez de veri También se pasó á dicha comisión una reclamación de varios electores do ficarlo por escrito, refiriéndose al acta. l…</t>
  </si>
  <si>
    <t>…esta. igual trimestre de'1833- {Public JLedger.} ¡ ____ Los papeles de Boston y de otros punto» de los Estado» Unidos anuncian PROVINCIA BB que el- pueblo, que al parecer está á favor del Presidente y contra el Senado, lltmo. Sr. D. Antonio Posadas. qmpieza á manifestar su opinión por medio de peticiones, que el Senado se in Excmo. Sr marques de Espinatdo. clina á declarar como calumnias y libelos. Ningún hecho nos da margen i cal Sr. D. Damian de la Santa. cular cuándo podrá concluirse la contienda entre el Presidente, el Senado y ei Sr. D. J…</t>
  </si>
  <si>
    <t>Posadas, D Antonio</t>
  </si>
  <si>
    <t>D Antonio Posadas</t>
  </si>
  <si>
    <t>…se permitido hablar á un individuo de la comisión , y no ¿ los de vincia de Orense, y los del Sr. D. Miguel Puche, que lo es por la de Murcia, mas Sres. Procuradores que querían tomar parte en la discusión. én reemplazo del limo. Sr. D. Antonio Posadas elevado á la dignidad do El Sr. Presidente contestó que. el individuo de la comisión i que se alu Prócer. dia , no habia hecho mas que presentar el dictamen da palabra cu vez de veri También se pasó á dicha comisión una reclamación de varios electores do ficarlo por escrito, refiriéndose al acta. l…</t>
  </si>
  <si>
    <t>…Bucesta. igual trimestre de'1833- {Public JLedger.} ¡ ____ Los papeles de Boston y de otros punto» de los Estado» Unidos anuncian PROVINCIA BB que el- pueblo, que al parecer está á favor del Presidente y contra el Senado, lltmo. Sr. D. Antonio Posadas. qmpieza á manifestar su opinión por medio de peticiones, que el Senado se in Excmo. Sr marques de Espinatdo. clina á declarar como calumnias y libelos. Ningún hecho nos da margen i cal Sr. D. Damian de la Santa. cular cuándo podrá concluirse la contienda entre el Presidente, el Senado y ei Sr. D. J…</t>
  </si>
  <si>
    <t>Posadas, D Francisco Tar Ilustrísimo S</t>
  </si>
  <si>
    <t>D Francisco Tar Ilustrísimo S Posadas</t>
  </si>
  <si>
    <t>…ablaron varios Sres. Pro Con fecha 16 del corriente remite el capitán general de Aragón el parte curadores, se.verificó la votación, resultando nombrado Presidente interino el que con la del dia anterior le dirige desde Sadava el coronel D. Francisco Tar Ilustrísimo S%. Posadas por 51 votps , repart éndose los demás entre los Sres. Ca- to , comandante accidental de la columna del brigadier Linares: resulta de di ,uo Manuel (padre), conde de Toreno , marques de Espinardo , F loses Ruada, cho parte que al bajar la cuesta del Arrate que conduce i Carcastillo, divisó i .Giraj…</t>
  </si>
  <si>
    <t>Posadas, Francisco Tar Ilustrísimo S</t>
  </si>
  <si>
    <t>Francisco Tar Ilustrísimo S Posadas</t>
  </si>
  <si>
    <t>…varios Sres. Pro Con fecha 16 del corriente remite el capitán general de Aragón el parte curadores, se.verificó la votación, resultando nombrado Presidente interino el que con la del dia anterior le dirige desde Sadava el coronel D. Francisco Tar Ilustrísimo S%. Posadas por 51 votps , repart éndose los demás entre los Sres. Ca- to , comandante accidental de la columna del brigadier Linares: resulta de di ,uo Manuel (padre), conde de Toreno , marques de Espinardo , F loses Ruada, cho parte que al bajar la cuesta del Arrate que conduce i Carcastillo, divisó i .Giraj…</t>
  </si>
  <si>
    <t>Posterior</t>
  </si>
  <si>
    <t>…la suprema junta de Sanidad del reino digo en esta fe tensión de la parte llana. Algunos árabes que han tomado tierras en arriendo cha lo siguiente: como colonos del gobierno francés, han entregado ya cantidades á cuenta. «Excmo. Sr.: Posterior á cuanto manifesté á V. E. en l.° del corriente na Una diputación de las vecinas tribus de la Puerta de hierro llegó aqui el 14 da ha ocurrido que pueda llamar la atención; pues la enfermedad reinante sigufc para prestar homenage al gobierno francés y ofrecer su cooperación contra el con muy poca a…</t>
  </si>
  <si>
    <t>Posteriormente</t>
  </si>
  <si>
    <t>…onducta militar. Hay per y demas agitadores; y que si no son admitidos en Francia, serán sonas (le dijo aquel invicto general) cuyos servicios no pueden pa enviados a América. garse sino con una cuartilla de papel. Eugenio era un Príncipe Posteriormente se sabe que el cantón de Berna persiste en su muy elevado y favorecido por la fortuna. Vecino es un granadero resistencia, y que habiéndoseles dicho por la autoridad central que español, que al recibir el premio, dijo en sustancia, que no aspira se mandarían contra él 309 hombres de tropas confeder…</t>
  </si>
  <si>
    <t>Posteriormente, Quesa’da</t>
  </si>
  <si>
    <t>Quesa’da Posteriormente</t>
  </si>
  <si>
    <t>…73 20 103 23 4 lor de las tropas y la serenidad de losgefes, contra lo cual se estrellaron fuer 4 76 30 106 24 3 zas tan superiores. Después de aquél suceso se reunieron en Pamplona las del 15 73 58 131 17 11 mando inmediato del general Quesa’da. 1 16 103 40 143 24 7 Posteriormente seiabian emprendido varios movimientos marchando con dos brigadas á Estella el general Lorenzo, restablecido ya de su indisposición, y la caballería hácia la Ribera. Los enemigos se habian dividido, y los navarros sé hallaban en la' Borunda. Por Logroño se dirigían á reforzar á Navarra gran - Queda…</t>
  </si>
  <si>
    <t>Poten</t>
  </si>
  <si>
    <t>…sultarlos. ^ del Indo, con el objeto de proteger el trafico^ y asegurar el cobro de derechos. Las bibliotecas no consistían solamente en tratados de teología, literatura Con este motivo no podemos menos de elogiar la conducta del coronel Poten general, historia &amp;c-, que fue el primer proyecto con que fueron fundadas, tinger, que se ha conducido con mucha habilidad y prudencia en tan difícil sinp que sinrieron también como depósitos en que se custodiaban toda clqse de negociación. (Chronicle.) pdp¿lé£MJÜ|íúhasnd íds: Papas ■ inas emprende…</t>
  </si>
  <si>
    <t>Pottinger</t>
  </si>
  <si>
    <t>…no, teníanmn sola Bombre;!pues según las ocasiories, fueron llamados Arcki— _Por cartas de- Bombay se sabe que ha tenido el mejor éxito la misión Al vtft, Scfvja, ,4 Biblioteca-_Pirece'-que estos tres nombres se usaban indistinta coronel Pottinger, enviado por la compañía A las Indias .cerca de la corte de mente , pero siempre para denotar ,ei mismo lugar, á saber, aquel en jque $es hinde con el fin de obtener el permiso para abrir la. navegación del Indo á los gy^rdabaq l¡bros,q regislros., (cuando los prelados de la Iglesia empezaron á dar…</t>
  </si>
  <si>
    <t>Pou, Pedro</t>
  </si>
  <si>
    <t>Pedro Pou</t>
  </si>
  <si>
    <t>…dem. Rambla................ 1 á 4 ídem......... 5 1 00 Castilla, l.° de iigeros.=D. Santiago Bacaro, alférez. José Alcázar, sol dado. Huta. En la capital se gozaba de buena salud, asi como en el resto de 1* Albuhera, 5.° de idem.=D. Pedro Pou, capitán graduado de teniente provincia, y en Valenzuela se había cantado el Te Deu*t e\ citado dia 9* coronel. D. Juan Gómez Nieva, ayudante. José Ramírez, soldado. Carabineros á caballo de costas y frcnteras.=Agu«tin Chacón, carabine PROVINCIA DE JAEN. -------- ro. Francisco León, Ídem. Manuel Co…</t>
  </si>
  <si>
    <t>Poukattan</t>
  </si>
  <si>
    <t>…ue ayer á las dos cha senda, dispuesta á derecha e izquierda del camino de hierro, atravesando los de la mañana salí de Barrio plano, y al llegar á la venta de Eguarás divisé un bosques primitivos, en otro tiempo dominio del gran Rey Poukattan v de sus grupp de gente armada, al que roe dirigí; pero habiéndose dispersado y huido guerreros de color de cobre. La chimenea sobresale por encima de la máquina fue. muerto el que los mandaba, que según los papeles que se le encontraron se como una boca abierta lanzando millares de centellas. A ci…</t>
  </si>
  <si>
    <t>Pous, D Eduardo</t>
  </si>
  <si>
    <t>D Eduardo Pous</t>
  </si>
  <si>
    <t>…e al oir el cabecilla la voz de alto ahí, salió de la cocina, don D. Juan Antonio Ruiz, y alférez D. Ramón Gómez, y al ayu de estaba , y lé dió un mortal golpe en el vértice de la cabeza, que dante de campo del Excmo. Sr. capitán general D. Eduardo Pous, al poco tiempo murió. que hallándose á sus órdenes han desempeñado todas las comisio Confiado en la noticia que debia traer no se verificó la sorpre nes confiadas á su zelo con una rapidez y decisión infatigables. To sa como se pensaba, hasta que de improviso salieron á escape, y dos en fin han da…</t>
  </si>
  <si>
    <t>Pous, Eduardo</t>
  </si>
  <si>
    <t>Eduardo Pous</t>
  </si>
  <si>
    <t>…el cabecilla la voz de alto ahí, salió de la cocina, don D. Juan Antonio Ruiz, y alférez D. Ramón Gómez, y al ayu de estaba , y lé dió un mortal golpe en el vértice de la cabeza, que dante de campo del Excmo. Sr. capitán general D. Eduardo Pous, al poco tiempo murió. que hallándose á sus órdenes han desempeñado todas las comisio Confiado en la noticia que debia traer no se verificó la sorpre nes confiadas á su zelo con una rapidez y decisión infatigables. To sa como se pensaba, hasta que de improviso salieron á escape, y dos en fin han da…</t>
  </si>
  <si>
    <t>Poveda, José</t>
  </si>
  <si>
    <t>José Poveda</t>
  </si>
  <si>
    <t>…CpL nombrando secretario del mismo. (Id.') Olavarrieta , y de la de Extremadura á D. Francisco Delgado hernandez deí I _ removiendo al corregidor de Molina de Aragón D. Juan Víctor Navar Pino. (Id.) ro , y nombrando en su lugar á D. José Poveda. (Id.) nombrando comandante general de la Mancha á D. J uan Antonio Ba- - mandando adjudicar con publicidad y concurrencia de las compañías na rutell. (Id.) cionales y extrangeras un préstamo de 200 millones. (Id.) Exposición, del consejo de ministros que precede al Estatuto Real. (Id.) Circular á l…</t>
  </si>
  <si>
    <t>Povedano, José'María</t>
  </si>
  <si>
    <t>José'María Povedano</t>
  </si>
  <si>
    <t>…r el Sr. Federico Schoell. v tra 'ucidos Con fecha l.° di cuenta á V. E. del mérito contraído por el capitán re al castellano por un español. Un cuaderno en 4*°» edición de !8i6, a 8 rs. en ruina y tirado en la villa de Benamcjí, D. José'María Povedano , que con una partida 9 en rustica. Contiene este cuaderno el rep :stro o protocolo de lasconferenci as del Con que sostiene á sus expensas logró destruir U gavilla de bandidos capitaneada por greso de Viena sobre la prohibición del comercio de los negros de Africa, las declara ciones hechas sobre…</t>
  </si>
  <si>
    <t>Pozo</t>
  </si>
  <si>
    <t>…rdía* dcüpjjapo se dirigiéresté. .¿efe a dicho punto y pero El .cabecilla Carniccr huye hacia las sierras de AJbajTacip, ¿ encontrando ál enemigó situado en erpúéhté colgante dé'Éúrceña, donde se dirigen las columnas al mímdo cfd coronel Pozo y cbtpan: que intpBl;ó defend(tr .perr^do ljis pupr^ i y posesionándose de las danto, de la provincia dé Guadalajifá y el. brigadiet Aldamá de fastas . y aljui^. ¡p¿sh]:¡gúas, esperó,'.i nuestras tropas. Sin la de Cuenca. Esta última 'ciudad , cüando te rezeló la aproxima vacilar'.ijieropi atacadas,'…</t>
  </si>
  <si>
    <t>…n la sierra de da cabeza de provincia, para que la justicia se administrase con la bre Cantarillas, y de allí adelante con dirección á Morella, La colum vedad y severidad, que es lo único que puede producir uo saludable es na del coronel Pozo hace los mayores esfuerzos para alcanzarlos, y carmiento, último término de todas las.leyes criminales. Este trabajo del Sr. Calero está lleno de buenas máximas y principios muy lumi nosos.sus individuos están animados del mas noble entusiasmo en favor -----Filosofa política, ó elementos de )a cieo…</t>
  </si>
  <si>
    <t>Pozollano, D Vicente</t>
  </si>
  <si>
    <t>D Vicente Pozollano</t>
  </si>
  <si>
    <t>…eci llón y compañía de Alcázar según creyó oportuno, subdividiendolo en pelo sión de su-comandante el teniente D. José Solar y del subteniente graduado de tones; la demas fuerza avanzó en columna. Aturdidos los enemigos del valor teniente D. Vicente •Pozollano* me decidieron á dar al enemigo una carga im de la tropa, iban en el inas completo desorden. petuosa á Ja voz de .viva Isabel ii , antes que los rebeldes ordenasen du forma Yo perseguí al mayor pelotón , que serían como unos 4OO mandado*; por ción en batalla, en que estaban ocupados, y tuvo tan fel…</t>
  </si>
  <si>
    <t>Pozollano, Vicente</t>
  </si>
  <si>
    <t>Vicente Pozollano</t>
  </si>
  <si>
    <t>…y compañía de Alcázar según creyó oportuno, subdividiendolo en pelo sión de su-comandante el teniente D. José Solar y del subteniente graduado de tones; la demas fuerza avanzó en columna. Aturdidos los enemigos del valor teniente D. Vicente •Pozollano* me decidieron á dar al enemigo una carga im de la tropa, iban en el inas completo desorden. petuosa á Ja voz de .viva Isabel ii , antes que los rebeldes ordenasen du forma Yo perseguí al mayor pelotón , que serían como unos 4OO mandado*; por ción en batalla, en que estaban ocupados, y tuvo tan fel…</t>
  </si>
  <si>
    <t>Pozzó-di-Borgo</t>
  </si>
  <si>
    <t>…Bélgica rán i tratárse'otra1 vez durante &lt;1 terra.” ., ' r.Losinvierno, y se ¿ree que sji conclusión sé. acordará eá París por el Influjo"y Sé dió /cuenta de varios dictimenes de la comisión de Poderes t los cualea mediación del conde Pozzó-di-Borgo, quien se Ea cjSrtprometido á hacerlo se mandaroh táinbém imprixzíkr y éí píésideotfc levantó Já aeéioa....... , j con S.' HjL' Luis Felipe. Lo cierto es que el almirante de Righv hakpedido ál gobierno de^Bélgica upa opta dé todas las reclamaciones que tengan qué hácér : ! _ .-..v,.; .«L. -i.¡ 1. ■…</t>
  </si>
  <si>
    <t>Pqña</t>
  </si>
  <si>
    <t>…rán ante la autoridad respectiva el juramento arreglado á ..ja. formula si 2. ° «Los viudos sin hijos y solteros con casa abierta. guiente: ,3.° «Los casado* sin/hijos menores. . «jJuráis fidelidad y obediencia í la Reina nuestra Señora Pqña lsASRi, ti, «Si en cualquiera de estas clases hubiere individuossobrxntes á los del nú y en su,nombre, durante su menor edad, á $. M- la Reina Gobernadora! mero pedido, sel limará este por med¡&lt;&gt; de sorteo éntralos de U misma duro. t Juráis .guardar y cumplir el Estatuto Real y las leyes de la mona…</t>
  </si>
  <si>
    <t>Practicado</t>
  </si>
  <si>
    <t>…timo remite á este derle alcanzar) tomé la falda del monte á la derecha , cuyo iViovimiento ob^ tni&amp;isterio los partes siguientes: servado por el enemigo, y conociendo iba á ser envuelto siguiendo su direc «Columna rqóvil.=Excmo. Sr.^Practicado esta mañana el reconoimiento ción, se precipitó por un barranco dispersándose en tres grupos; fueron perse fel campo, y enterado completamente de los resultados de la acción del día guidos hasta las cinco, siendo el resultado pillarles 5 caballos, 2 prisioneros y dciyer, paso a V. E. los detalles d…</t>
  </si>
  <si>
    <t>Practoader</t>
  </si>
  <si>
    <t>…antro* in*w« de opuúoa f*a el anas Geneas te 1 «•acimiento, oté y* formad . Sé. Pn&gt;- cían, porque «priuno» mmarar i la'Macm* f* i— iy‘ ■■■—* rirtuales, ao eludían U locha , » irná.m la «taoa p* ua haya Ha hablarlo hola el último Sr. Practoader abeb \ berse declarado tremíanla la ifitmtém . desea bridar ei FriBd-tr. y puete cercar la boca prca &lt;y*e ao oomeaae. ptrioedcac Üa cestítuies del rrglaatrmn loa Secrétanos del Despárfao ht recía— diacunoo b, datado tamos dia* ao basado par a Q la pala— guato, coo ntn£acc&gt;oa torio be rios«M*e y que…</t>
  </si>
  <si>
    <t>Pracutaé</t>
  </si>
  <si>
    <t>…a rirenuC &lt;de ¿eúr -* ¿aresara las. tdeaa expresa— naeso, y entonce* el término de coa ¿saúcos sera »aán&gt;iie- Se dice pe etr ei he— n h* declarado pie e cerraba. pero ra re ismtre ■ di tuc-. rnniaT la. palabra; mas ao había maguo Sr. Pracutaé» pe turuae parida *a ¿series en ¿re» ai -Jsl aaat»K^ «pac cnando ei contra, y de ao haberla pedido eaaafn ei Sr, ,Manaes de KjcushÉ* , es poca. ■' m» &gt; ¡a siguiente pac se taso por cerrada en el atan. ba eri*|»» porrea aré ¿«aariraaarv sos acertada, resolución, voto que se decíate, no corada , y pe…</t>
  </si>
  <si>
    <t>Prada, Manuel García de la</t>
  </si>
  <si>
    <t>Manuel García de la Prada</t>
  </si>
  <si>
    <t>…rica, porque tendrían tiempo para aclima-* Doña J. U..................................................... - ...................................... 20tarse, y no les causaría tanta sensación el calor. Tenemos la fortuna de que los D. Manuel García de la Prada............................................................... 3000soldados destacados á la Ferme-Modéle y á la Casa-cuadrada no padecen enfer-1 D. Julián Aquilino Pcrez........................................................................ SOOtímedádes, lo cual es bien extraño en verdad. Las tropas continúan trabajando D. Joaquín de EzpeJeta.................…</t>
  </si>
  <si>
    <t>Praidtntt</t>
  </si>
  <si>
    <t>…Crespo de Tejada, y contra-pregunta, por la cual deben ser examinados, antes de prestar la decla por Secretario al Sr. D. Joaquín María Ferrer. ración que deben dar, ios sencillos y rústicos testigos que presentan los litigan /./ Sr. Praidtntt: **Xo hay ningún asunto pendiente de que pueda ocu tes. E-u es una red en la cual se enreda á aquellos infelices; monstruoso y fa parle el Estamento hasta que las comisiones concluyan sus trabajos y me avisen tal privilegio, porque es contra la ley y la recta justicia, y contra los proce de ello, p…</t>
  </si>
  <si>
    <t>Prast, Francisco</t>
  </si>
  <si>
    <t>Francisco Prast</t>
  </si>
  <si>
    <t>…entera, compuesta de los tres tomos, cuyo precio es 120 rs. se Entre los heridos lo están de mucha gravedad los tenientes D. Jo— hallará en Madrid en la librería de So jo: en Alicante en la de Carreta tú : en Badajoz sef Burés y D. Francisco Prast, y el subteniente D. Francisco Justis, del re co la de la viuda de Carrillo: en Barcelona en la de Piferrer: en Bilbao en la de Gar gimiento dé Córdoba. cía : en Burgos en la de Arnaix: en Cádiz en la de Castillo: en Córdoba en la de Be- rard: en la Corufia eff 1* de Calvete:'en Granada en la de Sa…</t>
  </si>
  <si>
    <t>Prat, Juan</t>
  </si>
  <si>
    <t>Juan Prat</t>
  </si>
  <si>
    <t>…Señora, Totales.................. ' 2424,887 1.881,284 5,954 siempre que se manifieste ocasión para manifestarla. Dios &amp;c. Bayona li de Se ve por los cuadros comparativos que preceden , que las importaciones Noviembre.es:Exento. Sr.=Juan Prat.=eExento. Sr. Secretario del Despacho en viandas son muy inferiores á las exportaciones, puesto que no han entrado de Estado.* •en Francia mas que 64l|603 kilogramos, y han salido 2-424*887 kilogramos. CDiario dt París.') ESTADO SANITARIO DEL REINO. . Vahemos que los grandes esfuerzos de la Rusia pa…</t>
  </si>
  <si>
    <t>Prats</t>
  </si>
  <si>
    <t>…pt. fs. Málaga pas^ ,. Descgenws de letras to ya, y que las heridas del cabecilla Tristani y un tal Badia eran de gravedad. JUdodres á po dlai i b. ' SjntaDder id. l 4 p¿ loo ál aflo. ¿h TiS. M- ha promovido^ capitán efectivo al teniente Prats, concediéndole Iá 37á- Bilbao par. Santtagé'4 d. ' -cnnide S. Fernando , y después de dignarse mandar que se den gracias en su íBceaEnombre ¿Jas tropas, milicianos urbanos, y demas que han mostrado tan ANUNCIOS, decidida lealtad,,ha /resuelto que el capitán general le proponga las recompen Los lusc…</t>
  </si>
  <si>
    <t>Prats, José</t>
  </si>
  <si>
    <t>José Prats</t>
  </si>
  <si>
    <t>…or tas tropas de Aragón. Id. pozos en las minas 8 : profundidad entre todos....................... 2U0. . El capitán general de Cataluña con fecha del 15 da parte de que el tenien te, graduado de capitán del regimiento de América D. José Prats con su desta Y un horno para cal, de nueva Invención, con 30 varas de elevación y 7 de camento de 32 hombres que mandaba logró, después de 21 horas de marcha, diámetro concluido de quemar, y cuya cabidad se gradúa ser de 3 á 4^ Cahíces. alcanzar los restos de la facción de Montaner en número de $6,…</t>
  </si>
  <si>
    <t>Prciidente</t>
  </si>
  <si>
    <t>…ey de imprenta para que sea discutida y elevada á nas de saber, de ilustración y patriotismo, y cuya memoria será eterna en los la sanción Real.” fastos de la historia; porque estrechadas entre tas baterías enemigas y las olas El Sr. Prciidente manifestó, que cuando se hubiera concluido la discusión del mar, cayéndolas bombas en el mismo recinto en que celebraban sus se sobre el artículo de que se trataba, se podría lomar en consideración la pro siones, atendían por una parte á la libertad de España y de Ja Europa ente puesta anterior. ra…</t>
  </si>
  <si>
    <t>PrcMdentp</t>
  </si>
  <si>
    <t>…arme en el Estamento, bien que mitido por eí Sr. S-cretar-fV^íMLJc-pK h í -*-c ll'oenü; v habiendo ajando me constase que al hacerlo, propondriaralgun ilustre Procer que me,abstuviese este punto el Sr. Se. rctai i&lt;^ González \ el Sr. PrcMdentp vlcl/ Conejo de Mi— de-concurrir &amp; .él, mientras no me justificase de varias imputaciones, que con ni»tro\, quedó aprobada el a,la. miras mas ótmenos interesadas, había hecho contra mí una ú otra persona. Pa Se ció cuenta dé un oficio de! Sr. Secretario del D^p^cho de Gracia yr recíame impasible qu…</t>
  </si>
  <si>
    <t>Prcsidente</t>
  </si>
  <si>
    <t>I votarte, por partes, siguiendo en esto tos trámites señalados por el reglamento, muy justas que seaba de dar el Sr. Prcsidente, hay otn-.yttqpa el art- Só oo puesto qué por la seguiida parte se imponiauna pena, lo cual teñía el caráé- trata de los dictámenes que recaen sobre pfoyéóh» dé ley^wesentados por el ter de excepción, y por lo tanto debía considerarse si era el asunto" de tanta Gobierno, sino de los que se refieren…</t>
  </si>
  <si>
    <t>Pre, Duque</t>
  </si>
  <si>
    <t>Duque Pre</t>
  </si>
  <si>
    <t>…ule á quienes corresponda muchos años. Madrid 2d de Jumo de 1834,nToreno. =Sres. Direc para su cumplimiento. Dios guarde á V. E. muchos años. San Ilde tores Generales de Rentas. fonso 2 de Julio de 1834.=:Nicolás .María Gaieily.:=Sr. Duque Pre ministerio de lo interior. sidente del'Consejo Real. Reales órdenes. MINISTERIO DE LA GUERRA. Ha llegado á noticia del Gobierno que algunos facultativos 1c Circular A los capitanes generales. medicina y cirugía, faltando á los delires mas sagrados de su pro fesión, v quebrantando el juramento que p…</t>
  </si>
  <si>
    <t>Pre.idente</t>
  </si>
  <si>
    <t>…párrafo S.° del dictámende la comisión con dichas, aclaraciones, y mos al Estamento se sirva votar 28 millones para S. M. Doña-IsAaur 11.” quedó aprobado. Tercera, del Sr. Cuesta: «Pido al Estamento tenga 4 bien votar para pre El Sr. Pre.idente anunció que se iba 4 continuar la discusión sobre el pre supuesto ó asignación de la Rbiva Doña Isabel ii 28 millones de rs.” supuesto dé casa Real. Cuarta, de los Sres. marques de .Villagarcía y Santafé: «Pedimos al Esta El Sr. Secretario Caballero: «Al tiempo de irse 4 poner 4 votación en mento s…</t>
  </si>
  <si>
    <t>Precedente</t>
  </si>
  <si>
    <t>…s Naciones, y la proporción que guardaban entre sus ingresos y las asigna una proposición por escrito, y en este caso pido la palabra contra ella.” ciones 4 la casa Real; que en España debía seguirse igual proporción; pero lo» EI Sr. Precedente: »El objeto era simplificar la discusión. Algunos seño aurores de este argumento no advirtieron que de esta manera, 4 proporción do res han impugnado el voto particular, asi como otros lo han apoyado. El re que los ingresos correspondientes 4 los gastos aumentasen, aumentarían las dota glamento dic…</t>
  </si>
  <si>
    <t>…nto á la opinión del Estamento como á la de los in El Sr. Presidente": «Como todo Jo relativo á presupuestos está en las co dividuos particulares.” misiones respectivas, no parecía fuera de oportunidad que pasase este asunto á £1 Sr. Precedente: «El Estamento ha reconocido que no intervendría dicha comisión, á la cual está destinado ese subsidio. Sin embargo, el Escamenfiunca en lo que los periódicos publicasen , ínterin no tuviese, uno dedicado á to determinará lo que guste.” hacerlo de las sesiones dpi Estamento, en cuyo caso habría una…</t>
  </si>
  <si>
    <t>Precederá</t>
  </si>
  <si>
    <t>…va del mando. * Art. 37. Cada quince dias en uno^ festivo se reunirá la fuerza urbana para que sus gefes pasen revista de armas y para ejercitarse en el manejo de ellas. Art. 52. En toda población el mando militar corresponde' al comandante Precederá siempre la orden de la autoridad civil del pueblo, y se separarán sus de armas, no al gefe ú oficial de la fuerza urbana,cuyo instituto, según que&lt;h individuos acabado el acto. prevenido, es meramente civil. Art. 38. Todo urbano está obligado á conservar,sus armas en buen estado Art. 53. En el caso…</t>
  </si>
  <si>
    <t>Preciado, Pablo</t>
  </si>
  <si>
    <t>Pablo Preciado</t>
  </si>
  <si>
    <t>…con rapidez - sobre ellos, jando 6 muertos en el sitio, y recogiéndoles 2 prisioneros, uno de ellos el.Br poniéndolos en desordenada y vergonzosa fuga, sin embargo que sus caballos se 1 leñero, titulado capitán teniente ilimitado D. Pablo Preciado y lOcabaH* hallaban mucho mas descansados que los nuestros, en atención á que cuando los habiendo logrado escaparse los demás. Este bizarro oficial, á quien recomifflh divisamos traíamos cinco leguas al trote, después de las anteriores jornadas, sien á V. E. por su decisión en esta acción, como en la…</t>
  </si>
  <si>
    <t>Prefidew</t>
  </si>
  <si>
    <t>…dol pi^ito en él:punto ¡áte peticiones. Para esto conviene hacer préviamente algunas dictámen de la comisión.” - En seguida el Sr. Secretarlo BcltMéjó dícbo proyocta y ^ djetámen ú» WPMMHWt1!' de 42 q mac las Forjuqn dirigen ,ál Sr. Prefidew lq cotnipion, que, dicen asit , ' «Slg de,ie!las; cpwea. :lr&gt;« trámites que señala el mismo ■ r,eEtí^ñípVy;ctfa^^;«maídoél,dictatiKn;del»s tt,&lt;»comisíones.»,se,da-euerf; Proyécto. del Gobierno. 11 lá^jCónyt^, m-tmpi4m^,.y^ 4e^la'd^ para la disctision. Este es el curto tas cúsai sin dueño conocido,…</t>
  </si>
  <si>
    <t>Pregunta, MigúeL</t>
  </si>
  <si>
    <t>MigúeL Pregunta</t>
  </si>
  <si>
    <t>…trono y los del ejército. [y de boca,.y que Jos habitantes de aquella ciudad estaban muy animados con El Sr. de Failly abunda en las ideas del preopinante. [ las recientes victorias del general Saldaña. Se decia'quc las tropas de D. MigúeL Pregunta el Sr. Larabit siesta ley se ha de observar fielmente, o si como | marchaban de Soto Redondo hacia Coimbra. (Globo.) otras leyes militares y de Hacienda será quebrantada poco después de su pro mulgación por los mismos que deben cuidar de que se observe. Manifiesta des Idem 12* pués algunas ilegalid…</t>
  </si>
  <si>
    <t>Preguntado, Pre</t>
  </si>
  <si>
    <t>Pre Preguntado</t>
  </si>
  <si>
    <t>…señale día para discutirlos, y que se e-.iod-en , y no se aventure el aprobarse. Asi se acordó. acierto en asunto de tanta importancia, y de tan g-ande trascendencia.” En seguida juró y tomó asiento el mismo Sr. Se anunció por el Sr. Pre Preguntado si se tomaba en consideración ia proposición anterior, se de sidente que se iba á continuar la discusión por artículos del proyecto de ley claro que sí; y habiendo manifestado algunos S'ev que esto era de reglamento, (obre deuda extrangera y empiéstito de 4Ó0 millones. dijo el Sr. Presidente que po…</t>
  </si>
  <si>
    <t>Prenafeta, Jaime</t>
  </si>
  <si>
    <t>Jaime Prenafeta</t>
  </si>
  <si>
    <t>…os. dias 25 , 26 y 27 curaron en aquella capital 14 personas, fallecie García Veigara: para' la de Cartagena á D. José Macho de Quevedo: para la ron 3 y quedaban 14 enfermas: en los otros cinco pueblos de la misma priV-de Valls á D. Jaime Prenafeta: para la de Canjayar á D. Gines María de las vincia que habían dado noticia de su estado sanitario era cortísimo el númeroHerís: para la de Avilé* á D. Pascual Argtlelles Toral: para la de Villanue- de casos desgraciados; va de los Infmtesá D. Javier de Surga: para la de Morilla del Palancar á D. J…</t>
  </si>
  <si>
    <t>Prendante</t>
  </si>
  <si>
    <t>…sta la sostendrá siempre hasta el último extremo, Sr. conde de las Pravas: «El asunto de que acaba de tratar el Sr. López persuadiéndose al mismo tiempo que la mayoría de los Sres. Procuradores me parece tan vital, que suplico al Sr. Prendante señale día para que se dis aplaudirá su conducta, pues de no observarla le exigiría su responsabilidad. Por cuta , á fin de que podamos sentar la primera base para sostener la causa de la otra parte, el Gobierno espera que no se le exija vengan sus individuos á ha libertad y del trono de Isabel n.…</t>
  </si>
  <si>
    <t>…parti&lt;mUr, Mkoi»¿UB*tatri 1» de los diez aflos. /Cénío hibia nadiédebuscar comparaciones én «Mis! &lt;«s me-favorecieron para fcallartnelejos en la ¿pocaposada, lo queam-juentes- « Los Secretarios del Bes pacho, como ha insinuado el Sr. Prendante del -cró áotros menos felicesi .--r ¡ Consejo de Ministros*' están «a un todo confornies con el principió que quiere . viJJl Sr. López ha insistido en la idea -dequeestaban protegidos «Üiorm e»- establecerse en le materiadequesebabla, esto es, cotael de reoonocs» la legi peciahnéme varios de iós.que -s…</t>
  </si>
  <si>
    <t>Préndente</t>
  </si>
  <si>
    <t>…nes tenia en Cádiz que aqui para conde que se puede decir que la primera (el empréstito de Guebhard) se opuso á que nar ó desechar este emptéstito.” las otras se hicieran de una manera que fueran menos gravosas al Estado. Esto El Sr. Préndente: «La gravedad del asunto, la decisión que ha tenido es una equivocación El emptéstito de Guebhard no se opuso á que las demas en el Estamento de los ¡lustres Próceres, la hora que es, y el número de seño operaciones que tuvieron lugar después de él fueran mejor contratadas, y si no' res Procuradore…</t>
  </si>
  <si>
    <t>…,,que no be tenido, «i por contrario el Estamento lo venera; pero lo cierto es que el miedo ha introdu asomo, la idea de hacer un agravio personal.” , cido en él cosa» que no debía contener. ¿De dónde nace el remitirte, en que Él Sr. Préndente: «Debo advertir á lo» Sres. Procuradorejque si se cpn- no» hallamos? i De dónde nace que el Sr. Secretario del Despacho haya devsiderancon .derecho á reclapur el órden, deben dirigirse i mi ,‘y no interrum aprobado anteriormente esta petición, que no pude suscribir, porque auano pir *1 orador que s…</t>
  </si>
  <si>
    <t>Preopinante</t>
  </si>
  <si>
    <t>…los buques naufragados , ó El Sr, Secretario dél Despacho de Gracia y Justicia contestómué no 'ha cualquiera otro objeto,se considerase como un bien m&amp;Gtrenco, en el momen bría inconveniente en admitir la adición indicada por el Sr. Preopinante si se to de ser aprehendidos, eso no excluía de modo alguno las justas reclama conceptuase necesaria; pero que realmente no lo era, porque la ¡dea que'se ciones que pudieran hacer los dueños cuando pudieran presentarse á reclamar; proponía aclarar con dicha adición, estaba terminantemente expresada…</t>
  </si>
  <si>
    <t>…yo dé 1834» no solo la abolición del permiso para la extracción, sino El Excmo. Sr. Presidente le contestó, que aunque era del mismo parecer la castración de los sementales sobrantes para evitar los perjuicios que había ex que el Sr. Preopinante, no obstante como riguj-pse ohscrr uior del reglamento perimentado anteriormente por la propagación y renovación continua del ga se había atenido á lo prescrito en el art. 11$ v siguiente; pero que "si el Esta nado merino en los países extrangeros; ea cierto que si la entera libertad es el mento qu…</t>
  </si>
  <si>
    <t>Presas, Lorenzo</t>
  </si>
  <si>
    <t>Lorenzo Presas</t>
  </si>
  <si>
    <t>…bajo la dirección del catedrático Don tista de Arana, titulado comandante general de Vizcaya: D. Félix Antonio Onofre Jaime Novellas. de Berrueta, secretario de ia llamada junta de agrav-os; su hijo $ibi»; O. To En el primer dia D. Lorenzo Presas, recorriendo el origen y progresos de mas de Cortesana , administrador de aduanas; D Martin de Andlgonagoltia, Jas matemáticas, halló que solo en España, y especialmente en nuestra Ca capellán dd comandante general; D. Juan Bautista de Bedia Sanoneia, comi taluña , se conservaron estas ciencias dur…</t>
  </si>
  <si>
    <t>Presentaba, Saliha</t>
  </si>
  <si>
    <t>Saliha Presentaba</t>
  </si>
  <si>
    <t>…nueve de la mañana se llevaron con toda solemni siguiente: dad al son de una música militar desde el serrallo hasta el palacio de MeschadArtículo 1? Habrá en la Secretaria del Estamento de los Proce Abad los regalos de boda de la Princesa Saliha. Presentaba la comitiva un as res del Reino un oficial primero con el sueldo anual de 2á9 reales; pecto brillante y extraordinario; el pueblo no se cansaba de admirar los rega Otro segundo con 2tt@: ríos terceros con 16c). Dos escribientes prime los , que han sido magníficos. Al dia siguiente fue conducida la Pri…</t>
  </si>
  <si>
    <t>Presi</t>
  </si>
  <si>
    <t>…urador creo, pues, que habiendo firmado la totalidad del dictamen de la comisión, por la provincia de Badqoz, la próroga que solicitaba de su licencia por todo no se halla en el caso de efnitirsu voto particular. Sin embargo , el Sr. Presi el n\0 de Diciembre , por las Causas que exponía. dente determinara lo conveniente , pues yo solo he manifestado esto para que El Sr. Presidí tile: «Mifun.i se reunirá el F.stamento á las once para oír se vea cuál es la marcha que se ha seguido.” el díctájnen de U cmmsion de Guerra acerca del presu…</t>
  </si>
  <si>
    <t>…los artícu expresase en el acta que habla retirado la proposición, lo haría; y en virtud los del proyecto de ley. No se han ¡aserrado, porque ha&gt;ra ahora no se había de esto todos nos convenimos» porque, como ha dicho muy bien el Sr. Presi hecho: se ha insertado el tercero por ser un articulo adicional.” dente, no se podía expresar otra cosa, y el haberlo hecho ha sido una inadver Acto continao se preguntó si se insertarían dichos*artículos en el acta, y tencia del que ha redactado el acta. Por lo que creo que siendo el punto do se a…</t>
  </si>
  <si>
    <t>Presí</t>
  </si>
  <si>
    <t>…reclama. nos de los señores preopinantes han insistido en defender el derecho que tie »&gt; Lejos de tener el ministerio ideas poco genprosas y liberales en esta ma nen los peticionarios de sostener su dictámen: ni el Gobierno ni el Sr. Presí teria, puede manifestar alguno de sus individuos que hace once años empezó deme deí Consejo han desconocido en manera alguna esté derecho, ni lo han ya á tratar .esta cuestión^ se dieron por su parte algunos pasos; y hasta me negado, y no podía tampoco ser otra cosa. Es'claro que reuniéndose dóce s…</t>
  </si>
  <si>
    <t>…Aai se acordó.' ' Insistiendo el Sr. Florez Estrada en su idea, hirieron varias obserrsciooes A invitación del Sr. Presidente entró k jurar y tomó asiento D. Ssrtrúis los Sres. López, Montevirgen y Vega, terminando este debate el Sr. Presi no Paez Jaramillo, Procurador por la provincia de Madrid. dente con poner é discusión la totalidad del dictémen de la comisión ,i y dan El Sr. Presidente anunció que se iba i discutir el dictimen da 1* comí » do la palabra al Sr. marques de Mootevírgen, como individuo de ella. ñon de Hicicndi sobre…</t>
  </si>
  <si>
    <t>…utir párrafo por párrafo el proyecto de ley presentado para cuya discusión cí mismo Sr. Presidente ha señalado día? Si hoy decide el por el Gobierno.” Estamento sin discusión que se condone lo que se debe, «qué puede decidir n El Sr. Presi lente: «V. S. hace dos proposiciones: una, que se suspenda pasado mañana respecto def proyecto de ley en que el Gobierno dice que no la discusión hasta el sábado, y tal vez para siempre; y otra, que se proceda á la se perdone? Es decir , que hay un* reprobación anticipada , sin que haya prece discu…</t>
  </si>
  <si>
    <t>…l da parte con fecha 26 del corriente que los cólicos los podares de cinco Sres. Diputados. ■que en aquella capital se padecían habían remitido desde el día 20: que la vi Habiéndolos examinado la Cámara detenidamente, proclamó el Sr. Presi lla de Requena habia sido invadida de enfermedad sospechosa , falleciendo 38 dente Diputados de la nación portuguesa á aquellos señores cuyos poderes ha personas-de las 389 que desde el dia ¿6 al 22 habian^ido atacadas1; que en el bían sido aprobados. .Horcajo murieron 9 enfermos de los 35 que luib…</t>
  </si>
  <si>
    <t>Presid</t>
  </si>
  <si>
    <t>…------- lírse de la tranquilla que puso á I3 Nación «pañoIá- Bara contraer un empiésEntf’óisá.jurar y tomó asiento el expresado l’X Dionisio Carlos de Onís. tito es nccesarío tener frésente la legislación del país que conrrae. El.Sr.,Presid*nte=anunc¡ó que se ¡ba á discutir-el art. l.° del proyecto de «El empréstito de-Guebhard es nulo; loes por las razones dichas ahora, ley presentado’par el Gobierno sobre deuda ex trance ra y empréstito de 4t&gt;0 y las que se han expuesto anteriormente-:'no hay nadie que pueda reconocerle millones. Se…</t>
  </si>
  <si>
    <t>Presídante</t>
  </si>
  <si>
    <t>…odo lo que he dicho 3y pedirles que en lo suce- para mejorar su prueba, y hallándolos conformes opinaba que debían aprobar ' »¿vo me nombren Navarro Sangran , que es mí apellido. se, y asi se acordó. , ...... .. | a. ----- - - El Sr. Presídante dijo que la localidad del salón de este Estamento habia También se aprobó otro dictámen de ]a misma comisión reducido á ma • podido dar márgen i equivocaciones, y que ya se habia acudido á remediarlo nifestar que no llenando el Excmo. Sr- duque de Abranles suficientemente la o» parte poniendo i los…</t>
  </si>
  <si>
    <t>Presídeme</t>
  </si>
  <si>
    <t>…la renta ecle Sonioza, Marin, Fuster, Calderón de la Barca, Cuevas, Subercase , Torráis y siástica es muy superior á las demás del Estado. Esta idea tiene algo de cierto Miralda, marques de Torremejía, Polo y Monge, Tosquellas y Sr. Presídeme y algo de exagerado, aunque se dice que las rentas eclesiásticas superan en mas conde de Almodovar. millones que las otras , hay que hacer presente que bajo el nombre de religión Se leyó el artículo 6.a que dice: se recaudan muchos intereses que no son para esto. . «Atr. 6.° Asimismo el Gobierno tend…</t>
  </si>
  <si>
    <t>…Islas Canarias, y hallándolos conformes, era de pa- dos proyectos de ley sobre moneda, iba á leerse este por la misma. ^ecerquedebian aprobarse. Asi se acordó. Se leyó en efecto dichos dictamen por el relator de dicha combino. El Sr. Presídeme ammetó-que- se- iha áJger el djetámen de la comisión El Sr. Secretario del Despacho de Hacienda «Yo desearía que lo* seencargada de examinar el presupuesto de la Casa Real. ' - - cnmkinn se sirvieran corregir una expresión contenida en su dic Se leyó dicho díctámen. tamen , á saber, que con, una or…</t>
  </si>
  <si>
    <t>…de la combion relativo* á la expresada exclusión* El Sr. Rivaherrera manifestó que su ánimo no había sido culpar i la se de D. Carlos dé U corona. cretaría ni á ninguno de sus individuos: que solo se había opuesto á que se ex El' Sr. Presídeme manifestó no haba inconveniente, » «1 Estamento lor presase en el acu que se aprobó la adición del Sr. condo de las Navas; cosa aprobaba. Quedó aprobado.</t>
  </si>
  <si>
    <t>…proyecto de ley que va á oir el Estamento, el Gobier ción á la comisión de Milicia urbana, resultó decidido que no. no det&gt;e advertir que tiene también por objeto prepararse con las disposiciones .Enseguida, habiendo anunciado el Sr. Presídeme que el Srl Secretario previas para que antes de verificarse la próxima quinta, pueda emplear los me del Despacho de Estado tenia la palabra,* ocupó la tribuna y dijo dios de hacerla útil con corta dilación. Efectivamente, en cuanto el Gobierno jEl Sr. Secrtario del Despacho de Estado'. «S- M. la Ru…</t>
  </si>
  <si>
    <t>…s, dóciles siempre i la voz de la razón, lo mostrarán mas infelices conciudadanos. aun en esta ocasión, en que se trata de un asunto de los mas interesantes-” »En cuanto á la dotación de la Reina Gobernadora, en la comisión se El Sr. Presídeme anunció que se suspendía esta discusión para continuarla caminó bajo el supuesto de qtie no debía hacerse ninguna innovación , y por esto mañana , y cerró la^sesion á las cuatro. causó tanta extrafieza el ver que uno de ais individúes presentase voto sepatado, í t / EN LA IMPRENTA REAL.</t>
  </si>
  <si>
    <t>…Sr. marques de de Tarragona, en reemplazo del Sr. D. Ramón Ciscar, de su cargo, por ha Cerralbo, opinando que debían ser admitidos. Aprobado. llarse achacoso, y ademas no poder faltar de su establecimiento mercantil que El Excmo. Sr. Presídeme señaló para Iq sesión inmediata el miércoles 20 tiene en unión con el Sr. D. Ramón de Llano y Chavarri, electo también del corriente á las diez de su mañana, en la cual se leería la memoria de S. E. Procurador, y que mantiene á su familia. ql Sr. Ministro de Gracia y Justicia, y cerró la de este di…</t>
  </si>
  <si>
    <t>…tima sesión, tuve el honor da hacer presente lo ’ en general.” ¡ mitino qna:contiene mi:prOposscion,, sin tnas fcrfmalidad que decirlo, porque El Sr. Serretario del Despacha de Estada: —hfe. parece que por_i^ in— '-r &lt;fe hacer et Sr. Presídeme, écte dudr fi rma coatenacion ■ eral queaiendoiati^asuntti intarior del E8tacnento, DO necesitaría Otra ; odas aho- . dicacion que acaba - ra hefotñialirada'diclla proposicion en los término» que se acaba de leer, co- mía i uha indicácíoir hecha por el' Sr. coiide de lae Navas. En esm concepto • no…</t>
  </si>
  <si>
    <t>…Amarillas; marques de Candelaria; conde m ,• de 11 votos; por cu\a razón se iba á proccJrr a segunda vctacioiy entre de Monterron; duque de Veraguas y P Ensebio B rdají. Ioí Sres. que habían reunido mas votos, á saber: Anunció el Sr. Presídeme que para el i lunes 2o del corriente se reunirían $re«u Medrano 32 v&lt;itos; SanLfe 3 1 : A randa 29; Cano Manuel 26; Espi los Sres. Proceres á las diez de su inquina , {y levanto U sesión., nar,1,:» 21 ; Atocha 2l ; Redondo lfS: G.raijo IJ- / Verificada la nueva vot.iL.inn se dividieran loa votos en…</t>
  </si>
  <si>
    <t>…sación de que pudieran adolecer cienda para que lo redacte conforme á las indicaciones hechas por el Sr. Cres algunos de los títulos que se presentasen. po de Tejada, y aceptadas por el Sr. Ministro de Hacienda, con arreglo al El Sr. Presídeme dijo: que si S S. insistía en su proposición, podría artículo 96 del reglamento. o ' ponerla por escrito, y el Estamento la tomaría en consideración st lo tenia por El Sr. Secretario del Despacho de Hacienda expuso le parecía mas opor conveniente. tuno se dijese asi: «Pase el artículo 2.° á la comi…</t>
  </si>
  <si>
    <t>Presiden</t>
  </si>
  <si>
    <t>…angera debían pasas pero que sin embargo, si el Estamento lo tenia i bien', seguiría usando de su i una comisión nueva y no 4 la de Hacienda. /* '" ' Jícencr*. Asij&gt;e acordó, y_ también que se insertase su voto en el acta. i ' El Sr. Presiden!'.: hizo leer al art. 55 del reglauoento, y añadió ana en ~ " Sé leyó una petición relativa á que se suprimiera la contribución de tres virtud de él habia ¿reído conveniente pasasé dicho negocio i la caminen do cuartos de real por arroba de pasa que paga la provincia de Málaga para la obra Hacienda…</t>
  </si>
  <si>
    <t>Presidenre</t>
  </si>
  <si>
    <t>…bar si tiene la ayer por el Estamento, para que se considere á las milicias provinciales com aptitud legal; de consiguiente debe volver este negocio á la comisión para que prendidas en el mismo caso que el ejército y marina; y el Sr. Presidenre dijo, proppnga la resolución definitiva.” que Bailándose todavía en la secretaría dicha petición, no Babia inconveniente SI Sr. Afedrano: n En lq exposición que se ha presentado se dice que no «n que se le agregara esta adición. Asi se acordó.’’ ( . es posible acompañar un documento oficial, en raz…</t>
  </si>
  <si>
    <t>Presidenta</t>
  </si>
  <si>
    <t>…s á los derechos. Creo que esta cláusula es terminante, pues Us so á S- M., se acordó se diese por aprobado este, y se levantó la sesión, ad leyes á que se refiere no son de la misma naturaleza ni del mismo origen que viniendo el Sr. Presidenta se avisaría pan la próxima al domicilio do loa Solas Las leyes relativas á derechos son inmutables, no pueden varianee fiores Próceras- *N LA IMPRENTA REAL.</t>
  </si>
  <si>
    <t>Presidente</t>
  </si>
  <si>
    <t>…ia y pronto cum quien debe eterno reconocimiento. Per-a jp r j 'ero plimiento. Dios guarde á V. E. muchos años. Madrid 29 de Enero de 1834-= mirando hacia el trono que ha dejado, le ve ..ir cu a. rma canC¡&gt; Nicolás María Garclly.=Sr. Presidente del consejo Real. in(x.enc'a de la (¡erra Runa I), ña Kabul ii , a •n la ’ dar que re'panMINISTERIO 1&gt;E LA GUERRA. decc v bondad que resalta en el gobierna de su R ;\a .Madre: Cass -\Íjc estad es que son para la España lo que la aurora y c! so. \para !a tierra. Reales órdenes. El .Sr. D. Fernando vn, a…</t>
  </si>
  <si>
    <t>…n «No era natural ni posible que ninguno de los gobiernos qne han suspen ta el mismo Sr. duque de la muerte del ilustre Sr. Prócer I). José de Itnaz. dido hasta ahora el reconocimiento dé vuestra excelsa Hija mostrase la inten El Sr. Presidente anunció que iba á procederse A la lectura del proyecto ción ó el deseo de entrometerse en nuestros asuntas domésticos. Mas natural es de contestación al discurso del Trono, como asi se verificó, y cuyo contenido que la razón y el tiempo hagan que se tribute al fin el debido homenage al estaba conce…</t>
  </si>
  <si>
    <t>…aSWé la auerte 'del-fir. C3«mencin,pn qtepero* a que por un articulo del egtónrntio íe OrdíBi que en caso de. duda de-da fevtnacion de “Vistos,-man que restablece y regulariza derechos ejercidos en los mejores tiempos de uu de el Sr. Presidente se cuenten estos, comisionando al efecto i dos de los Se modo vário y desigual , y'reducidos i un simulara» estéril-durante ley ,tres .úl- cretarios, distintos, del que anuncio.la primera votación,-y que no siendo por timos siglos, permitirá que la obra, de la re¿et^*4iotfcyeSninvaid*\« Kspétia aho…</t>
  </si>
  <si>
    <t>…ontestaciones que habían mediado entre el Sr. Don tractan en la exposición del Sr Secretario de Gracia y Justicia, dirigidas á Fernando vir yiS. M. la Reina Gobernadora por una parte, y el Sr. Infante S. M. y Señores Infantes, al duque Presidente, y otras autoridades, exigiendo de la otra, relativamente al reconocimiento y jura de S. A* R. que hoy reina que se le reconociese por Rey de España, y que se circulasen las órdenes se felizmente, por Princesa heredera dei trono, según las leyes fundamentales de gún costumbre. la monarquía, y á las…</t>
  </si>
  <si>
    <t>…o.*’ cuniario, acaso de poca consideración, se le permite optar á otras vacantes exi Concluido este discurso fue aprobado el dictamen de la comisión. miéndole del pago de la media anata, ¿quién es el agraviado en este caso? El El Sr. Presidente: «El orden del día es la continuación de lau discusión Crédito público: resulta un gran perjuicio *á (a caja de Amortización, porque sobre el proyecto de 4ey relativo al Voto de Santiago.’* deja de percibir las cantidades destinadas á la extinción de nuestra deuda v Se leyó el artículo 3.° que dice…</t>
  </si>
  <si>
    <t>…absoluta tole yecto, se preparaba á la abolición de otra imposición que también recaía sobre rancia y deferencia* Yo bien sé que ya se han pasado los tiempos en que ve la agricultura, cual era la cuartilla ó Voto de Santa Ana. El Sr. Presidente nían los peregrinos de toda Europa á visitar el sepulcro de nuestro Apóstol. le contestó que esto no podía ahora ser objeto de discusión* pero lo que queda Entonces la asistencia de estos ocupaba mucho lugar , aun en las mismas leyes, ban enterados los Sres. Procuradores; y en seguida dijo que maña…</t>
  </si>
  <si>
    <t>…e votará: 6n su favor*seré yo.” El Sr. Ochoa dijo que le parecía que el citado decreto era anterior al Concluyó pidiendo el Sr. Pálarea que se leyera- el documento que habia año 30. presentado el Sr. Calderón; á lo que accedió el Sr. Presidente, leyéndose por El Sr. Dotnecq: «Se han confundido dos cuestiones muy distintas: pri el referido individuo de la comisión. ' . • ’ i ' mera , si se debe admitir ó no al Sr. Calderón: segunda , ;debió pedir la co El Sr. Medrano: «La comisión ha tenido presente que-el título de abo misión ese document…</t>
  </si>
  <si>
    <t>…ie la fe de bautismo, pues acababa de manifestar el Sr. Chacón que a él se de ascender la diferencia, nos ahorrará el de hacer otro de mas:de tOO millones le habia hecho presentar. que de ninguna manera puede sufrir la Nación. El Sr. Presidente dijo que el que necesitase los documentos d|ue habia pre » La segunda observación, es que ahora se nos dice que con el descuento del sentado, acudiese 4 la Secretaría.; 4 lo que contestó el Sr- conde de las Navas empréstito de Guebhard hemos quedado mucho mas aliviados respecto de deu que el Sr. Ch…</t>
  </si>
  <si>
    <t>…prenotadas después de ella.” mento debe desechar el dictámen de la mayoría de la comisión y aprobar el El Estamento acordó no tomarla en consideración. voto particular de la minoría de la misma; pues de este modo nos acercamos El Sr. Presidente anunció para mañana la, continuación de la discusión todo lo posible al dictámen del Gobierno. pendiente, excitando á los Sres. Procuradores á que concurriesen á las diez ea Se declaró el asunto suficientemente discutido, y que la votación fuese punto, que eta la horai señalada. Se levantó la sesió…</t>
  </si>
  <si>
    <t>…imián!- D. Matías Herrero Prieto, á D. Francisco Redondo y á D. José to. Dios guarde á V. E. muchos años. AraDjuez l.° de Abril de María Calatrava. Y para fiscales de las mismas a D. Manuel Liza- I8.34. = Nicolas María Garelly. = Sr. Presidente del supremo Tri na y á D. Juan Nepomuceno San, Miguel. Tendréislo entendido, bunal de España é Indias. y lo comunicareis á quien corresponda.—Está rubricado de la Real mano.=En Aranjuezá 1.® da Abril de 1834-^AD- Nicolás María Partes recibidos en la secretaría de Estado y del Desfocho Garelly. de la Gu…</t>
  </si>
  <si>
    <t>…bjeto de la asociación queda defrau dado. La libertad de la imprenta, esa centinela y puesto avanzada de las de mas* garantías, necesita entre nosotros verse exenta de las restricciones que Concluida la lectura tomó la palabra el Sr. Presidente, manifestando iba hoy la reducen casi á la nulidad. Las buenas leyes pueden prevenir ios abusos á imprimirse y repartirse el referido proyecto, señalando para su disensión pa ó castigarles cuando tengan efecto, de un modo que haga muy difícil su repe sado mañana i las diez, con lo cual levantó la s…</t>
  </si>
  <si>
    <t>…remitió el Sr. I&gt;. José María Monreal, Procurador electo por de los representantes de la nación 1 Jacobo 11 es bien patente que tuvo al Par Navarra. lamento en el mas alto grado de desprecio; y si alguna vez se acordaba de él, El Sr. Presidente invitó á los Señores que tuviesen aprobados sus poderes, era solo para pedirle dÍQero. Las violencias cometidas en su desastroso reinado y no hubiesen prestado el juramento , á que se sirviesen verificarlo. En su con por el juez Shcpples y otros, fono ¿ los ingleses á sacudir el yugo; la medida sec…</t>
  </si>
  <si>
    <t>…r ni dirigir la opimon pública, y con impavidez el malvado, y mata á un hombre pundonoroso, Era, pues, pre todo se disolvió. {Hizo esto la imprentaV* ciso para podernos poner de acuerdo respecto de la oportunidad , que nos con El Sr. Presidente interrumpió al orador, manifestando que solo trataba trajésemos á solo las sociedades modernas, que todas han pesado los delitos y de un punto de la petición*, y no dcLtotal, que era lo que sediscut+a* penas-cen una-exactitud matemática; El Sr. Villanueva contestó que había creído que solo se discu…</t>
  </si>
  <si>
    <t>…gera discusión el Estamento El Sr. Calderón: «A mí me parece que habiendo deuda del 3 y del S concedió dos meses de licencia á dicho Sr. por 100 , á los tenedores de la del S por 100 se tes hace una extorsión muy A invitación del Sr. Presidente entraron á jurar y tomaron asiento los grande por este artículo.” ' fres. D. Saturnino Calderón, Procurador por la provincia de Orense, y Don El Sr. Secretario del Despacho de Hacienda: «Cuando el Gobierno Mariano Torres y Solanot, por la de Huesca. pensó en poner toda la deuda al 5 por 100, lo hiz…</t>
  </si>
  <si>
    <t>…cer una equivocación , y le cohde unos ejércitos que triunfaron de toda la coalición europea: piiesá pesar de eso, tgstó el Sr Secretario de Estado. - y de que el terreno nc ofrecía tal vez las dificultades que el de nuestras pro Sr. Presidente: «Habiendo varios Sres. Procuradores pedido la vincias sublevadas, no pudieron acabar con ella tan pronto; y es cosa singular palabra en pro y en contra, va á suspenderse esta discusión con el nfíjiin^pm míe aún después de concluida aquella guerra, renovada en la última revolución bien de dar conoc…</t>
  </si>
  <si>
    <t>…qué dice este párrafo, señores! ¿No deja desde luego abierta la puer Habiendo preguntado el Sr. £ano Manuel si se resolveria como lo habia ta á los Estamentos para allanar el camino y completar la grande obra de nués—. propuesto^ Sr. Presidente, manifestó el Sr. Burgos que respecto de ser diver- tra regeneración! ¿Por que, pues, apartarnos de eli«! Los señores de la comi ias Ifs ¿Ólkitudcs remitidas ppr los señores, interesados se nombrase una comi sión han indicado que es práctica de todo gobierno representativo que la conten sión al ele…</t>
  </si>
  <si>
    <t>…e no es una grande cuestión el decidir si el Sr. de Palarea debe tomar clararse que sí, quedaron apn¡bjdos los podeics dei Sr. Palarea asiento en el Estamento. El Estatuto Real , que es la verdadera regla , dice, A invitación del Sr. Presidente entraron á jurar, y tomaron asiento el según asegura Va cornision y todos lo sabemos, que para ser Piocurador se ne mismo Sr. Pajarea y el Sr. D. Cipriano de U Riva , procurador por la pro cesita gozar una renta propia de 129 rs., y esta es la regla única que el Esta vincia de Burgos. mento debe se…</t>
  </si>
  <si>
    <t>…yo seguiré el mismo camino, y buenos eclesiásticos, que aquella en que una gran parte de nuestro clero se hablaré también de la libertad de imprenta. muestra hostil contra las libertades de la nación y los derechos de nuestra El Sr. Presidente: Sise habla por incidencia no hay dificultad, pero no Reina ? se puede entrar en el fondo de la cuation, púa ao se debe reservar para citan ¡Se volverá á presentar otra ocasión como la actual para uniformar el Go do llegue el caso de discutirse el artículo siguiente. Lo contrario seria compli biern…</t>
  </si>
  <si>
    <t>…Si se desecha, queda la entrada á las aclaraciones que tanto? Son estos tiempos de hablar á los pueblos solo de derechos y no de debt~ se hagan sobre él. res? «No son correlativos? «Tiene el hombre algún derecho que no imponga El Sr. Presidente: Sí hay algún Sr. Procurador que formalice una Indi alguna obligación? «Pues por qué nos mostraremos tan impacientes por manifes cación ó propuesta acerca de la redacción del artículo, el Estamento decidirá tarle sus derechos , y no se le dice al mismo tiempo estos son tus deberes9. Siem si se admi…</t>
  </si>
  <si>
    <t>…r. Secretario Trucha leyó la minuta ó proyecto presentado por la co medios que le sugiera su celo para conspirar al mismo, fin que el Gobjsrpoij misión. ¿Cómo hemos de hacer tan notoria injusticia al pueblo español que le Bpqpgpu Sr. Presidente: »&gt;Se abre la discusión del proyecto presentado por la co mos falto de conocimientos y costumbres para decidir que no es llegado e^ tiem misión en su totalidad; y. va á leerse la lista de los Sres. Procuradoras que han po de concederle esa libertad.’ No meló persuado. - - -¡-‘.-NT pedido la palabra…</t>
  </si>
  <si>
    <t>…España no ha encontrado ecos la sedición».. ¡No se' puede «forma, se tuvieran presentes las ihsinuacioncs que acaba de hacer." llamar esto un nuevo desengaño! , Sr. Martínezde la Rota, Pre/idente del Cotuejo de Minie tros: «No El Sr. Presidente suspende la discusión en este acto, pero habiendo mani había pensado volver á hablar, supuesto que el señor que me ha precedido opi festado algunos señores que aun faltaban algunos por hablar, se leyó el vitar na.que el proyecto vuelva á la comisión; pero se acaban de hacer alusiones á lo 62 del re…</t>
  </si>
  <si>
    <t>…. tir á la sesión por hallarse en cama de resultas de las dolencias y enfermedades En seguida estos tres Excmos. Sres. precedidos del Maestro de ceremo que padecen. a nias entraron i jurar y tomaron asiento. Anunciando el Excmo. Sr. Presidente que se iba £ proceder £ la discu Se dtó cuénta de otro expediente de la expresada comisión de Exáovén de sión del dictamen de la comisión sobre exclusión £ la corona del principe Dbo documentos, relativo á los del Excmo. Sr. conde de Armildez de Toledo: y Carlos y su familia , el Excmo. Sr. duque d…</t>
  </si>
  <si>
    <t>…ierno de ese tiempo se puso por sí mismo en una posición desventajo— Martínez, duque dé Medinaceíi, arzobispo de Méjico’, marqués de Moncayo, •fstetal’* marques de Mqnreal y Santiago, conde de OfUte , Dljoaquin Navarro San01 i'Et Sr. Presidente mandó preguntar si habia algún Sr. Prócer que'quisiese ran , cotidi 'de Monterrón, duijué de NoMejas, conde dé Ofalie, conde de 'tomar:la palabra, y no habiéndolo, dijo el Sr. Secretario marques de Guadal- f arsent, D. Ignacio de la Pézuela, conde de Pinofial', obispo D.- Antonio aáíílí qüe pedía a…</t>
  </si>
  <si>
    <t>…uarnición y Milicia urbana el dia 5 del corriente. Espero ñor Presidente de la Cámara de los digno» Pares, siendo las doce y media del que tomando en consideración los distinguidos servicios que se han hecho, v dia abrió el mismo Sr. Presidente La sesión, leyendo el decreto de las Cortes la suerte de las familias desgraciadas de que se hace mención , entre las que se generales, en .que dectaran á S. M. la Reina mayor de edad, sancionado por encuentra la de una hermana querida , digna de mejor suerte, recomiende todo S. M. I. y aceptado por S…</t>
  </si>
  <si>
    <t>…sen pretendo hagan los qbe disfrutan sueldo. Por último debe advertirse que yo no tada en la sesión de ayer por el Sr. Agreda respecto á empréstito/ pretendo que se les prive de esta parte, sino que se les pida como por via de El Sr. Presidente manifestó que antes de pasarse á la disensión de los préstamo, reintegrable después en los años que parezca oportuno fijar, y con asuntos señalados para la sesión del dia, se iba á dar cuenta de varias proposi un rédito anual; por manera que hasta cierto ponto puede mirarse la idea co ciones hechas…</t>
  </si>
  <si>
    <t>…e había apoyada ^jc. Estamento para suprimir en ei art. I.3 i»s palabra» recho de suceder en la corona de España, á fin de que se publicase en Esta excepto ei de iáue bh.tr d. mento , procedió á su lectura. Concluida esta dijo el Sr. Presidente: ti Esta Los S-es. Procuradores, en contestación, explicaron igualmente las razona mento de Proceres del reino ha oido con la veneración que debe la augusta que había tenido su Estamento p:ra hacer la excepción que en el tna! deí cita •andón de S. M. do art. l.° se contenía. El eximen de dichos fun…</t>
  </si>
  <si>
    <t>…llos los efectos á que hu Entró á jurar y tomó asiento el Sr. D. Manuel María Vázquez Queipo, biese lugar, con lo que se terminó la Sesión. Madrid 28 de Octubre de 1834* Procurador por la provincia de Lugo.1 Siguen las firmas. El Sr.- Presidente manifestó que- se iba á dar conocimiento del resultado El Estamento quedó enterado. que había tenido la-comision mista encargada de conciliar la opinión de ambos De conformidad con el dictámcn de la comisión de cxámen de títulos y Estamentos acerca del proyecto de ley relativo á la deuda extrangera…</t>
  </si>
  <si>
    <t>…a. presentar un voto descarnado; pero que ja había manifestado su disentimiento El Sr. Alcalá Galiano dijo que riendo su único objeto vindicar al Esta desde el principio. mento de toda sombra de inculpación, estaba satisfecho. El Sr. Presidente dijo que fundado* en lo que había sucedido con la co El Sr. Ocboa expuso que la comisión mista, respecto del Voto de Santia misión mista sobre el Voto de Santiago, todos habían creído acertado seguir go, habia extendido las rezones de su parecer en el acta, lo que advertía para el mismo camino que…</t>
  </si>
  <si>
    <t>…dó aprobado el der á todo trance; es su derecho , y no es lo mismo una cosa que otra, dictimen de la comisión de Poderes, reducido á que se le admitiese. " Lsu leyes de la monarquía, sigue la misma; la conveniencia publica; la El Sr. Presidente anunció que seguia la discusión sobre el proyecto de voluntad ¿eneral; todo te ha pronunciado en faver de vuestra excelsa liija. ••atestación al discurso del Trono.. " Esta voluntad general no es ahora del día; existe ya mucho tiempo Hace. Ea El Sr. Diez González, individuo de la comisión encargada…</t>
  </si>
  <si>
    <t>…comisión no ba hecho en esto mas que decir to que todos saben, é indicar « trón , Fuster, Ruiz de Carrion, Tosquellas, Miguel, Cuevas, Lasante, Caba el remedio i quien puede ponerle. Tampoco ha hecho la comisión mas quts llero, y Sr. Presidente. repetir las palabras del discurso del Trono sobre el estado del país, amplián Señores que dieron oo había lugar á votar: dolas. i _ Coton y Zuñiga , Fieix , Hubert, Serrano, Martínez de la Rota, To* «Se ha dicho que las indicaciones de la comisión sobre imprenta y demas, reno, Moscosó, Gualdo, Balm…</t>
  </si>
  <si>
    <t>…asase el oportuno aviso de Julio , triunfo de la nacioh , el destronamiento de Carlos y de Angulema, para el reemplazo de dicho señor. que pagó su expedición liberticida á la España. En fin, es preciso tener pre Se anunció por el Sr. Presidente que se iba á continuar la discusión de la sente que si hubiera habido libertad de imprenta á la muerte de Carlos ut, no petición sobre derechos fundamentales de los españoles; y dctpues de haber en hubieran existido el ministerio de Godoy ni la paz de Basilea , ai el vtage do trado á jurar y tomado…</t>
  </si>
  <si>
    <t>…Gobierno acepta que no se percibieron por la tos de un Sr. Procurador y el murmullo de la esta petición , presentará una ley en la cual se podrán evitar algunos inconve tribuna pública, que obligo á otro Sr. Procurador á pedir al Sr. Presidente nientes que tenga la petición. Ademas, esta ley tiene que pasar por el otro Es llamase al órden; y este conTestó que sabia cuándo había de hacerlo , y que lamento ; de modo que la mayor parte dé los defectos que ahora se atribuyen continuase el discurso. á los términos en que está concebida , podrá…</t>
  </si>
  <si>
    <t>…tición que se díamundas Tercerolas , los infames Zurriagos 9 sino otras obras que no por ser cute, sobre lo cual no molestaré más la atención del Estamento. de mas Hondo estilo y corrección eran de menos veneno. L% p&amp;rte mas ilus Sr. Presidente: «En atención á lo resuelto por el Estamento y á la trada del pueblo español se precavió contra todos estos escritos, y al paso hora que es, se suspenderá esta discusión hasta la sesión inmediata, que será que despreciaba los groseros sarcasmos de la Tercerola y comparsa, no por mañana á la hora de…</t>
  </si>
  <si>
    <t>…edespuésno se la aboliciónSe dió detcuenta,Votoy deel SantiagoEstamentose quedóle colocóenterado,entre los:delseñoresnombramientoque aprobaban.hecho de haber presentado sus argumentos contra el Voto y el diploma de D. Rami por el Sr. Presidente de una diputación, á consecuencia de un oficio~del Señor ro , conociendo ¿1 mismo la consecuencia que se venia á los ojos en agravio de Secretario del Despacho de Estado, en que participaba hallarse ya en el nove los insignes y respetables prelados de aquella iglesia: luego se ha exigido pdr no mes de…</t>
  </si>
  <si>
    <t>…damente las condiciones 1.a y 2.a, art. 5.° del Estatuto perentorias. Por lo tanto no puede ser tal su perfección, prescindiendo da Real , no asi la 3.a que.nada hay perfecto en Jo humano que no admita y necesite correcciones. El Sr. Presidente levantó la sesión después de anunciar que no señalaba Procuraré no repetir las ideas que ya se han manifestado en la discusión, que dia para la próxima, á que precedería el correspondiente aviso. por lo mismo que es sobre materias reglamentarias, es de suyo enfadosa y pro lija ; pero es preciso enu…</t>
  </si>
  <si>
    <t>…tener algunos defectos el reglamento procede sin duda de la como el nombramiento de empleados y dependientes, el uso de Jas facultades premura con que se hizo. Esto es una ofensa al Gobierno: tan mal parado ha discrecionales del Sr. Presidente , régimen interior y otros puntos puramente de quedado el reglamento por esta disección anatómica que se ha hecho de él, gobierno dentro del edificio mismo. Por lo tanto, apoyando la idea del Señor que el Sr. Domecq , con la modestia que le es propia, ha tenido que disculpar Domecq, me parece conve…</t>
  </si>
  <si>
    <t>…on del Gobierno con el poder legisla su opinión t sino de la nuestra. No se dice lo que piensan los ilustres Próceres tivo; la» segundas no son......" de su reglamento í sino lo que pensamos nosotros. Tampoco se dice que el re El Sr. Presidente advirtió al oiadpr que estaba cerrada la discusión sobre glamento es defectuoso, sino que es susceptible de cierta» alteraciones y mejo ese punto, y que no se tiytaba mas sino de si los señores que habían firmado la ras: no solo no se pone defectuoso, sino que es bueno, porque solamente lo petición…</t>
  </si>
  <si>
    <t>…s del apéndice á la memoria que de orden de y luego, deseando concillarse, se reunieron y quedé solo *, pero nunca renuncié S. M. presentó á las Cortes. El Estamento quedó enterada al derecho que tenia de exponer mi dictamen.” El Sr. Presidente dijo que se repartirían estos ejemplares, y se archivaría En seguida este Sr. Procurador lejó su voto particular. el original. Hl Sr. Presidente: «Conforme al reglamento se imprimirán el dictamen Se leyó un oficio del Sr. D. Patricio Martínez del Tejar, electo Procu y voto particular que acaban de…</t>
  </si>
  <si>
    <t>…s es regular qúe también haya utl buen número debilitares ociosos y dis nientes i su cumplimiento. Dios &amp;c. Madrid 28 de Febrero de 1834-=Gare- puestos á todo, desde que la reducción del ejército colombiano los dejó sin des llyl==Sr. Presidente def Consejo Real. tino. El gobierno creyó al principio no deber emplear contra los inquietos sino Jos medios dé conciliación, péro dtspues resolvió entregar los culpables i los " MINISTERIO^ BEL rOMENTO GENBJLAL DEL REINCL . tribunales de justicia, y en consecuencia fuero» arrestados el coronel D.…</t>
  </si>
  <si>
    <t>…onde de tro de la guerra, y en otras partes imprentas ocultas para publicar todas sus Adanero, Aguirre Solarte, RomaraTe, Garay,“CanaTs y S. Simón. doctrinas , que difunden por medio del correo que tan favorable se les ofrece? El Sr. Presidente: «Mañana á las diez sé reunirá el Estamento para con 4qué pueden decir en favor de D. Cárlos que no esté deshecho por los que han tinuar esta discusión, y para los demas asuntos pendientes , y oir los dos pro defendido el trono de Isa,bbi ii? yectos de ley que anunció en la sesión de ames de ayer e…</t>
  </si>
  <si>
    <t>…se le debia admitir en el puede dar , por e|emplo, la lista de 4® pensiones, se puede dar de 13. Asi Estamento , con protesta de presentir dichos poderes. Asi se acordó. que , yo desearía saber en qué consiste esta morosidad.” El Sr. Presidente anunció que se iba á loer el dictamen de la comisión de El Sr. Alcalá Galiana: «Yo creo que se ha padecido equivocación en el Guerra sobre el presupuesto de este ramo. ' sentido que se ha dado á mi pregunta. Yo be distado mucho do hacer por ella Se leyó dicho dictamen. la menor inculpación; mi únic…</t>
  </si>
  <si>
    <t>…no consolidados. 404 y ti á varias fs. 6 val. • 4 prima de 4 p- 106. Deuda negociable de t p. 100 á papel, 00* La honorable legislatura dél Estado de Méjico ha enviado una comisión Id. sin Interes, 3l| á 60 d. f. 6 vol. al Excmo. Sr. Presidente de la república para que le baga manifiestos los ízales Acciones del banco español, 854 al contado. consiguientes á la marcha que sigue el ministerio. - En carta fechada en Matamoros el S del corriente , nos dice una persona «F* de lodo crédito lo siguiente: Aasterdam, 00. París* 16-1. Cádiz* 14 fu f I n…</t>
  </si>
  <si>
    <t>…do tan im— portante el objeto de su instituto, scóa-dé desear que hubiese un reglamento Se/ion del di* 6 de A¿osto. que, al mismo tiempo que contribuyese á aumentar su número, precaviese los abusos; y por lo mismo desearía que el Sr. Presidente del consejo de Miniar Se abrió la sesión á las once. tros instruyese al Estamento de lo que haya en este particular.” Leída el acta del día anterior se suscitó una breve discusión acerca de la Sr. Martínez de la Re/a: «El Ministró no tiene inconveniente , como redacción de la segunda parte del párrafo…</t>
  </si>
  <si>
    <t>…sión. en nombre de la libertad misma. Los Procuradores de la Nación saben ya por No se aprobó una adición que presentó el Sr. Medrano , y manifestando experiencia que no es nuevo en el mundo que los enemigos de toda mejora tra el Sr. Presidente que mañana debería leerse el proyecto tal como quedaba apro ten de asesinar á la libertad , virtiéndose con su librea. bado , y en seguida pasar al primer punto sometido por S. M. á las Cortes: á «Por Unto, el Ministerio desearia que en vez de darse i ese párrafo 11Q saber, la Hacienda publica, lev…</t>
  </si>
  <si>
    <t>…sión. en nombre de la libertad misma. Los Procuradores de la Nación saben ya por No se aprobó una adición que presentó el Sr. Medraoo , y manifestando experiencia que no es nuevo en el mundo que Los enemigos de toda mejora tra el Sr. Presidente que mañana debería leerse el proyecto tal como quedaba apro ten de asesinar á U libertad , vistiéndose con su librea. bado, y en seguida pasar al primer punto sometido por $. M. á las Cortes: á «Por tanto, el Ministerio desearía que en vez de darse á ese párrafo un saber, la Hacienda pública, levan…</t>
  </si>
  <si>
    <t>…míarei, marques oe Loulé, conde de Villa Real y mar ches del 18 y 19 del actual i asaltar dos casas i viva fuerza, y pasarlo todo i qué» de Val««a*.--~ sangre y fuego en compañía de otros fotagidos que le acompañaban en sus in El Sr. Presidente observó que dícln coriflsinn podi» examinar la cuestión fames expediciones. i</t>
  </si>
  <si>
    <t>…es lo* del Sr. D. Francisco de go de las circunstancias; pero para pedir la excepción es necesario haber fija Paula Crespo Rascón, electo Procurador por la provincia de Sa'amanca. do antea el principio á que se quiere aplicar. £1 Sr. Presidente: «El lunes á las diez de la mañana se reunirá el FsSc ha repetido por ei Sr. Martínez de la Rosa una equivocación que co tatnento para continuar los asuntos pendientes y seguir la difusión principia metió ayer e! Sr. conde de Toreno, y que no pude deshacer porque no me era da. Ademas, el Sr. Secret…</t>
  </si>
  <si>
    <t>…Guipúzcoa, por hallarse comisionado en maño en que lo está el expediente y dictámen de la comisión sobre este partí- . Bayona por las autorida'dés‘ pVovinciales"par'i"a«l,ígílar la certeza de la vecular. . , , ___ ----Anunció-el Sr..Presidente que los’Fxcmos Sres. Próeeres Timf'hfaHns para D. Juan Manuel Subrié^porjaen, por enfermo. , f • L &gt;.T las comisiones ordinarias se sirviesen reunirse para proceder al nombramiento do "D. Ramqn Ciscar,, por Lérida, por el cólera. *”• " t¡ n9 ri * Decanos y Secretarios de ellas entre los individuos…</t>
  </si>
  <si>
    <t>…y con Madrid 29 de Agosto de 1834 —EL conde de Toreno. los nombres de doblon de á ocho y onza de oro. 2. ® De ocho pe&gt;os# ó ciento sesenta reales, llamadas doblon de á cuatro ó Concluida la lectura de estos proyectos manifestó el Sr. Presidente qua med a onza. te imprimirían, repartirían y pasarían á una c^minoa para &gt;u correspondí eo3. ® De cuatro pesos, ú ochenta reales, denominadas doblon de á dos ó do tc eximen. blon de oro. Se leyó el art. 3.° de la petición. Tenia pedida la palabra en pro el se-^ Art. 7.° La ley de las monedas de or…</t>
  </si>
  <si>
    <t>…sta suerte: •&gt;Nadie men de estas materias, siempre ha entrado en ellas con franquéza , seguirá al u podrá ser arrestado ni preso sin que preceda una sumaria información del Sr. Procurador en el terreno que ha elegido; y ya que el Sr. Presidente ha per «hecho , por el cual merezca ser castigado con pena corporal.” Y luego en mitido el ataque, no impedirá ahora la defensa. otro iríiculo ponía la cortapisa ó excepción de que en los casos extraordinarios «Se bq dicho que ha habido ¡npunidad , y que hasta ahora no se ha he podian suspenderse a…</t>
  </si>
  <si>
    <t>…n un todo distinta uo error tanto mas fuerte y peligroso, cuanto que se propaga envuelto en el de la otra, debería seguir los trámites del reglamento. manto de un sentimiento benévolo. Sentimiento que produciría muy fatales re El Sr. Presidente dijo que se preguntase al E&gt;tamento si consideraba co sultados si atendiendo solo á los impulsos del corazón se desoyese la voz de la mo nueva ó no dicha petición. justicia y se extraviase el entendimiento. Habiéndose puesto en consecuencia á votación si pasaría la misma por to «Con referencia á lo…</t>
  </si>
  <si>
    <t>…hasta4su decisión, para que asi la Montesa. — Amonio Martel. =Telésfotá de TrUebáGosío."" . . .. . ' , Nación, como lá Europa entera y vean la condtícta, el celo y los sentimientos Concluida la lectura del anterior dictámen, el' Sr. Presidente dijo iba i de que se halla animado.” , darse conocimiento de la proposición hecha por el.St. Acev'edo relativa a este Habiéndose preguntado si se tomaba- en. consideración la proposición an asunto, que fue tomada en consideración por .el Estamento. tecedente , se declaró que no. Se leyó dicha propo…</t>
  </si>
  <si>
    <t>…n, no la simple anulación de un contrato, sino la confiscación de pro óek Sr- Presidente, se otorgaron 4 dicho $r. Procurador dos meses de licencia. piedades legítimas en daño de los súbditos de potencias extrangera*, con quie El Sr. Presidente: «Este Sr- Procurador se dirigió á mí en virtud de la nes nos unen estrechos lazos de amistad é interés reciproco. urgencia, á fin de que le autorízase para marchar; y en vista de que no se ha Las razones en que fundo las anteriores aserciones son en último análisis llaba fijado el dia de la reunió…</t>
  </si>
  <si>
    <t>…o drid 31 de Octubre de 1834 = Mariano Carrillo. de Guebhard, sí se había de proceder con buen resultado á la negociación de Leído este voto dijo otro nuevo de 4^0 millones de rs. para las indispensables urgencijs del Estado. J£l Sr. Presidente: »Se abre la discusión acerca del parecer de la comi Algunos señores creyeron que la falta de reconocimiento del tal empréstito sión; y tiene la palabra la mayoría de esta” seria un obstáculo insuperable para la celebración de nuevos contratos: desgra £1 Sr. marques de Siente virgen: «El informe qu…</t>
  </si>
  <si>
    <t>…igieron al fondeadero, siendo admirable el particular buen órden que reinó, sin ser turbado por la menor desgracia. Desembarcaron los apresados, y conducidos entre dos filas por los vencedo Madrid 7 de Maye. res hasta la casa del Sr. Presidente, i presencia de las muchas señoras que allí Partes recibidos en la secretaría de Estado y del Despacho de la Guerra. se habían reunido á gozar del espectáculo, y de las autoridades y personas visi- ■ bles, profluñetó el'arraez en gefe una exposición en verso, á la que contestó el Detalles de la acc…</t>
  </si>
  <si>
    <t>…de las anteriores Cortes, y las persecuciones y desgracias que ha padecido por tal como había sido aprobado por el Estamento, y se halló conforme. ello, y los inmensos sacrificios que ha hecho le hacen mas acreedor i una plaza El Sr. Presidente dijo: Estamos en el caso del articulo 48; mas hallándo de oficial, con preferencia á los que no tienen méritos; por lo qiie sus inte nos privados de la presencia de S. M. en. la capital, es preciso referirnos al ar reses perjudicados y hasta su propia delicadeza no le permiten admitir el desti tícu…</t>
  </si>
  <si>
    <t>…ictamen de la comisión, y apro oponerse á que defendiera su voto particular el Sr Domecq; y después de leí barse el voto particular del Sr, Domecq.” dos dijo El Sr. Medrano -. «La comisiona y mucho mas cualquiera de los indivi El Sr. Presidente: «El espíritu de estos artículos manifiesta en qué esduos que la componen, están lejos de hacer cargo ninguno al Estamento; pero tan fundados. Se permite que la comisión sostenga su dictámen: este ha sido no solo tienen la libertad, sino la obligación de emitir su opinión con la fran el uso que se…</t>
  </si>
  <si>
    <t>…n está en un todo conforme con el del fectamente libre, porque con efecto, no hay mas cadenas que las que nosotros Gobierno, y que debe aprobarse.” mismos nos imponemos, las sociales, las del óiden legal, sin las cuales no hay El Sr. Presidente suspendió la presente discusión para continuarla mañana, sociedad. señalando al efecto la hora de las diez, y anunciando también la discusión de «He aquí, señores, la base de donde debíamos partir. La Nación tiene el las peticiones ya indicadas en los dias. anteriores. Asimismo dijo que después se…</t>
  </si>
  <si>
    <t>…sobre abolición del Voto de Santiago.” (Leyó dicha ley san « Me acuerdo que el Sr. marques de Torretnejía, cuyos conocimientos en cionada por S. M.) esta y otras materias aprecio en sumo grado, pronunció un discurso, que ¡lus El Sr. Presidente: «El Estamento de Procuradores ha oido con la vene tró la materia de un modo bien amplio. S. S. analizó la cuestión con tanto ti ración que debe la augusta sanción de S. M.” no , que probó hasta la evidencia que el empréstito de Guebhard era nulo, ini En seguida tomó la palabra y dijo cuo, malo y d…</t>
  </si>
  <si>
    <t>…el Sr. Secreta deberían tener sus razones, no solo por su saber y elocuencia, sino por......” rio de Hacieada. Lo es, sí, señores; y era preciso que lo fue^e para purgar al Un Sr: Procurador se levantó y dijo: «Reclamo el órden, Sr. Presidente: gunos pecados, y pecados muy grandes, que requerían alguna expiación. Yo eso es salirse de la cuestión.” bien sé que estoy en un Terreno peligroso; pero al paso que caminaré por él El Sr. Alcalá Galtano: «Hago una alusión á la difícil posición en que con cautela, debo hacerlo con valentía. Bien sé…</t>
  </si>
  <si>
    <t>…agradecerá , -porque no te le - acércadeeste proyecto ttt jey^jy' que disintió dé la- totalidad dédicbá comi tnofeste mas sohre este puntó.” - .í sión , yde los demás cuatro » abstuvieron dé :votár sobre materia.' EntaJ - v. / El Sr. Presidente: »Va i procederse i la votación nominal sobre si ha lucaso nombré yo do» individuo» déúuestrá comisión 'de Hacienda para quesos^ gar 4 encar en el eximen dé las disposiciones particulares que abraza el pro- ' . tuvieranlaAécision de. este Jlstaméntpf/y pan los bres que testaban elegí 4Ó*&gt; yectode.l…</t>
  </si>
  <si>
    <t>…esión da so destino, que se cita, se habia entregado al Sr. Clemencin , y que habiendo caido enfer- y hecho las prqebas necesarias para este caso. ‘ no y obrando entre sus papeles, no se habia dado cuenta de ella al Estamento. El Sr. Presidente contestó que la proposición estaba hecha y que *e habia Quedó, igualmente enterado el Estímenlo de otro oficio del Excmo. Se suspendido para otro día ei tratar de ella. ñor Hoque de S. Fernando, exponiendo q.-e el deplorable estado de su salud FJ Sr. marques de las Amarillas dijo que este asunto in…</t>
  </si>
  <si>
    <t>…de Piócer, dignidad tiempo inútilmente, sin acordarse cosa alguna: en vista del anuncio que aca que no líe le confiere hasta después de haber jurado obediencia y sumisión ¿ la baba de hacer el Sr. Secretario de Estado recordó el-Sr. Presidente á los tenores Reí va y la observancia de las Utyet. Próceres que el lunes próximo á las diez de su mañana se reuniría el Estamen ‘ ' «El orador continuó haciendo otras varias observaciones, y concluyó di to para oir el proyecto de ley sobre la sucesión á la corona , y levantó la sesión. ciendo,.que…</t>
  </si>
  <si>
    <t>…1834- ■ ■■■ ■ — ■ u oeaooeowa—»—— * CORTES. (padre), Ezpeleta , marques de Falces , Trueb* ( R ornante , Vega y Ríe, ■urques de la Gándara y Marte;." arTAMKHTO DI PIOCOXAEVO* IIA El Sr. Gonzslez (Z&gt;. Jutn Gualterio'): «Suplico al Sr. Presidente u airra exonerarme de la cotnís on encargada de! proyecto de ley que uní Sttion dtl di* 8 dt Sttitmlrt, preveutar relativo á D- Cirios*. Me partee que no e&gt;tr&gt;y en el caso de votar ni ser individuo de la cofn *&gt;on. El Pielendienre con fecha de 26 de Setiembre Se abrió i laa once y cuarto. expd ó -e…</t>
  </si>
  <si>
    <t>…e que la ley sea impar.tai lema que entrar cu el El Sr. Ochoa '■&gt; La inéica-. n que acaba de leerse necesita igual d -ufondo de la d'scus on. si.nn que !a que fia v*.fr do la pirt: de! •trticub» que acabam--» de é&amp;r.tyt f*«*a F.l Sr. Presidente le matvfe^ó que el regimentó no autorizaba mis que se hs imprekO , se'ha repai tid &gt; e* tre ! •* bres Pr&gt; cund«jfes Cada uno ha repara deshacer una equivocación malcfial &lt;» de hecho; pero no permitía vr.Ucr Hevion^do enjsu ca&gt;a , y ht ven Jo ai filamento .on %u cr.nceplo f* -ma V ya á la discusión…</t>
  </si>
  <si>
    <t>…ió ílas once y cuarto, y leída el acta de la anterior quedó apro cida únicamente en beneficio de los exirangeros, esa ley francesa que destruía bada. todos los usos de la Nación española, se introdujo por la voluntad de aquel El, Sr. Presidente anunció que iba i continuar la discusión pendiente so Monarca , que la hizo pasar por auto del consejo de Castilla. bre el proyecto de ley relativo i la exclusión del Infante D. Cirios y su linea ”Las Oórles de. 1713 , reunidas por orden de Felipe v , no tuvieron otro tje la suppsion de la cproija…</t>
  </si>
  <si>
    <t>…pios políticos del ministerio, ciertamente la,cuestión de Portugal es la meaos con arreglo á las leyes de España.” i proposito que se pudiera escogér para inculparle. No trata el ministerio de ha-, El Sr. condi dt Ttireno: «Si el Sr. Presidente me permite, djré dos pa cer su apología, ni de entrar en detalles agenos de este lugar; pero la manera labras antes de que se pregunte si la proposición del Sr. conde de Jas Navas te con que llevo í cabo aquella expedición, sin recursos, sin medios suficientes, ha de tomár en consideración ó no. Cu…</t>
  </si>
  <si>
    <t>…D. Fran que se contratáran sin su anuencia; pero esta disposición no tuvo la publicidad cisco Javier Istúriz, Procurador por la provincia de Cádiz. necesaria. No trato de condenar este acuerdo ni ios demas actos memorable» de El Sr. Presidente anunció que iba á continuar la discusión acerca del pro aquellas Cortes: la posteridad imparcial las juzgará, lo mismo que á nosotros. yecto de ley sobre reconocimiento de la deuda extrangera y empréstito de 4&lt;J0 Establecido, pues, este principio, parece que simplificamos la cuestión. La re millone…</t>
  </si>
  <si>
    <t>…ro sí los que se recibieron con poite-r áser nombrado, y se vislumbró cuál era su sistema, no fundado en ilusiones ni rióndad á dicho suceso.” . , - en falsedad, sino contando con tos recursos actúales de la Nación, y no deses El Sr. Presidente: «No puede yptarse una cosa no discutida todavía. Esa perando de lo que serian los venideros. Lasubidano natural, sino forzada, co es una mera proposición hecha por la comisión mistapara el caso en que pare mo be dicho, decreció rápidamente; mas fácil era inferir que si aquella había ciendo demasia…</t>
  </si>
  <si>
    <t>…con lo aprobado por el Estamento los trucciones y algún reglamento de ejecución, en donde se aclarará todo lo que artículos que se habían discutido. corresponda, Ocupando una parte esta clase de deuda, con otras cuestiones bas El Sr. Presidente: «Habiéndose repartido á los SS. Procuradores los im tante delicadas. La deuda diferida tiene su origen en el año 31, en que se hizo presos del dictámen de la comisión de Milicia urbana, y señalado su discusión una operación de 666 millones^ de que un quinto la componían bonos de Cór para el lunes…</t>
  </si>
  <si>
    <t>…ia «emisión de Hacienda, pidió se au jaban libre v dcsemhaiarado á su Gobierno para seguir la línea política que es mentase «»ta con dó» individuos mas. timase mas justa y conveniente, sin tener que guardar con un enemigo decíaEl Sr.’ Presidente manifestó se romariaeta petición en. consideración por rádo compromisos ni miramientos. , la-mesa. ‘ ’&gt; „ A-ji pues se manifestó explícitamente al gabinete británico; I.” Que el El Exorno. Sr. Secretario de Estado subió á la tribuna y leyó la memoria Gobierno español estaba pronto á concurrir por c…</t>
  </si>
  <si>
    <t>…nas para el reemplazo del millones menos de entrada general. Pues ep medio de tantas dificultades , no expresado Señor. Asi se acordó. solo hay que atender á las provincias sublevadas, sino á otros puntos del rei A invitación del Sr. Presidente entró á Jurar y tomó asiento D. Fran no , donde á cada paso se descubren maquinaciones. cisco de Paula Crespo Rascón, Procurador por Salamanca. ♦»E1 gran problema consiste en ver cómo esta vasta extenston de terreno El Sr. Butrón: ♦«Señores, he tomado la palabra, no con el fin de im que tiene la Pe…</t>
  </si>
  <si>
    <t>…habido distinción; y magistrados han salido da cursos , y los pide á la Nación: los males son notorios.” la clase llamada plebeya. Paca sentar este principio parece que debe haber El Sr. conde de las Navas pidió la palabra, y el Sr. Presidente le pre existido un abuso: únicamente hay esta exención para la clase de cadetes por guntó para qué, pues no habia discusión pendiente. Añadió este que si quería la* pruebas que tienen que hacer, y aun esto está ya prevenido por la orde nacer alguna otra pregunta, podía verificarlo sin entrar en la…</t>
  </si>
  <si>
    <t>…e del mismo modo El Sr. González deshizo alguhss equivocaciones en que dijo habia incur los'dcstinos eclesiásticos, porque lió todos se proveen por oposición , deberían, rido el Sr. preopinante; y habiéndole interrumpido este, el Sr. Presidente incluirá.- en el ai itculo. Pero coa respecto i la restricción que condene , y pa mandó leer el artículo 75 del reglamento, para que todos se sujetasen en laa. rtee muy lisonjera-4 primer* vista, cual es que solo se atienda á la capacidad y discusiones al tenor terminante de él. al mérito, eslo es…</t>
  </si>
  <si>
    <t>…aprobado el artícu Pero i qué significa la palabra libremente? ¿Quiere decir que el Gobierno pue lo en los término* propuestos por el Sr. Caballero. de forzar á las Córtes á que contra su voluntad acuerden una contribución\ ¿O El Sr. Presidente : " Mañana á las diez se reunirá el Estamento para con que el mismo Gobierno puede corromper á los Procuradores para este mismo tinuar U discusión sobre la petición de que se está tratando, y demas *sudlo» objeto? Si quiere decir que esto sea efecto de la fuerza material; no es fácil pendientes. Ci…</t>
  </si>
  <si>
    <t>…inguna. El Sr. Chacón: «He pedido la palabra para hacer presente que ayer tuve BSTAlíflNTO DE PROCURADORES» la desgracia de faltar por estar enfermo; y que quiero que mi voto se una á loa demas.” Se j ion del dia 9 de Octubre. El Sr. Presidente contestó que estaba bien, y que asi se expresaría en oi acta. Se abrió á las once, y leída el acta de la anterior dijo El Sr. marques de Falces: «¿Qué es acta? Es el retrato ó expresión fiel El Sr. Rivaherrera s « Me parece que el acta expresa que el Estamento del cuerpo, cuyos hechos se especifica…</t>
  </si>
  <si>
    <t>…los gastos del Estado; abriendo las vacantes que anualmente resulten La comisión del Voto de Santiago dió cuenta de su dictamen sobre este una perspectiva halagüeña para la juventud que se destinase á las armas, y dis pumo; y el Sr. Presidente dijo, que &gt;egun el art. 123 det reglamento, debía minuiría la aversión de los quintos al servicio militar. seguirlos mismos trámites que todo proyecto de ley: de consiguiente, que se «En vista de todo, los Procuradores de Cortes creen , pues, que deberían imprimiría y distribuiría. destinarse para…</t>
  </si>
  <si>
    <t>…o se deja á los Mivil: segunda, que esta decisión tome el carácter de ley. A esto me resistiré albedrío libre en escoger sur agentes y empleados.” - constantemente; porque imposible es que entre en el carácter de ley úna propo El Sr. Presidente invitó al Sr. Secretario de Hacienda á que extendiese la sición de suyo muy variable. El ejército es mas ó menos numeroso, las perso petición en la nueva forma que en su discurso manifestó se le pocha dar. nas que tuvieran que ser agraciadas son mas ó menos en un tiempo que en otro, El Sr. margues…</t>
  </si>
  <si>
    <t>…de ley, que el Sr. Secretario de' ner también en este punto mas latitud en ellos que en los absolutos. lo Interior presentaría muy en breve al Estamento. Concluyó manifestando , que lejos^te haber desatendido el ministerio la El Sr. Presidente preguntó si en rista.de lo manifestado por él Sr. Secre benemérita clase militar, .la habla mirado por el contrario con cierta predilec tario de Estado los señores peticionarios insistían en que la petición siguiera su ción , sin faltar por eso á las reglas de la equidad: en prueba de lo cual mani…</t>
  </si>
  <si>
    <t>…ción: India cum donis remitít ciconiam polonts. El po telbranco.=José Joaquín dos Reis.rrAntonio Camello Fortp de Pina.” laco, después de haber mostrado esta inscripción á sus vecinos, volvió á soltar Concluida la lectura dijp el Sr. Presidente que se principiaba á discutir el ave. este dictamen en su totalidad. Muchas voces. «A la votación! A la votación!” El Sr. Leonel Tavares hizo algiinas breves reflexiones aprobando en ge ——Una carta del 14 del corriente de Berlín dice: Noticias de Varsovia anun neral el proyecto, exponiendo sin emba…</t>
  </si>
  <si>
    <t>…mo rísímo; debiendo fenecerse en el término de 24 horas, y sufrir los reos la do, el lugar ó la forma en que intentase levantar el estandarte de U rebelión pena señalada.” contra el gobierno legítimo de la Rüjna. Esta ley existe, Sr. Presidente: fue Los Sres. Sánchez y Campos hicieron cada uno una corrección en el ar dada en Agosto de 1#33; y algunas, aunque raras veces, ha sido aplicada con tículo; entregándola por escrito en la mesa después de haber manifestado las muy feliz resultado, habiendo sido la que mav respeto impuso á los rebel…</t>
  </si>
  <si>
    <t>…á los de los compradores, se verían privados por el Real decreto de 23 parte que S. E. había reclamado. Acordado asi, quedó aprobada el acta. de Octubre de 1833 hasta de los cortos medios de indemnización que se les con El Excmo. Sr. Presidente dijo, que habiendo declarado el Estamento no cedían por la Real cédula de 11 de Marzo de 1824 9UC ha quedado sin efecto. válido el juramento que prestó en Betanzos el Excmo. Sr. D. Jacobo María de V como esto contraría las benéficas intenciones de la Rtiv v Gobernadora, Parga, no por culpa de S. E.…</t>
  </si>
  <si>
    <t>…hija de las^. circunstancias; pero lejos de proponerla , se congratula támen de dicha comisión que se presentó y leyó en la sesión de 4 del actual. de que el Oobierno» mejor instruido que la comisión , asi del qstado de la opi El Sr. Presidente: «Este voto particular se mandará imprimir, y se re nión pública en la capital y en las provincias» como de la oportunidad de unir partirá á los Sres. Procuradores al mismo tiempo que el dictámen de la comi ha voluntades, y de La seguridad de dirigirlas al mismo fin » baya creído que sión á que hac…</t>
  </si>
  <si>
    <t>…en guerra con los Estados-Unidos. A petición del Sr. Galwey se leyeron las firmas de los individuos que sus Mister Conwey, ó sea el general Conwey , hizo una mocion en la Cámata de cribían la petición; y habiéndole preguntado el Sr. Presidente con qué objeto los Comunes proponiendo que se considerase como enemigo publico ai que reclamaba dicha lectura, manifestó que con el de retirar la -suya, y ver si con aconséjate al Rey continuar la guerra con los Estados referidos. Esta mocion esto se concluía Ja discusión. fue aprobada por dicha Cá…</t>
  </si>
  <si>
    <t>j en A* eñso^ifiiGp^ráft español no ha íesstidó.MttablairBegtóácio- Commaf* 4» sucedido.btpt veces, uhá excepciom El Sr. Presidente ¡déí .Consejo «torfUnfwTiíJ: soflítetm-í; «flttcj^ndpsa í los deseos que se ttuqifisslinálrófeij, bn de Mtnistrós ha manifestado cuál 'era el estado de este negocio, y pedido por : jfeméipiado &amp;as dáisraas negociaciones» Por eso le, inculpación, del Sí, Galiano ■ .las rizones que ha xnunciadó se su…</t>
  </si>
  <si>
    <t>…ra , y otros 69 de Francia; y mientras se fe hacen esa inculpaciones, aca El Sr. Abrigue* subió á la tribuna, por lo cual 7 haber, dirigido la pa ba de contratar, por «m artículo adicional al tratado de 22 «fe Abril, qtm labra al Sr. Presidente, volviendo por consiguiente la opatda á la tribuna da la Inglaterra fe suministrará armas y pertrechos de guerra, pora sostener la los taquígrafos, no se le pudo copiar -do el discurso. Solo se oyeron clara* legítima causa en que ota la Nación empeñada. Se ha hecho contra ei Go si guitas razona en…</t>
  </si>
  <si>
    <t>…dificultad en que su voto se agregase al de los demás señores paso que la mayor parte de los que hoy son separados de sus destinos, se hatt votantes. manifestado hostiles al Gobierno de V. M. Sin embargo, estos merecen la con El Sr. Presidente contestó, que siendo cierto se hallaba S. S. presente al sideración y goce de sus decoraciones y pensiones en la clase de cesantes , al tjerapo de la segunda lectura, le parecía no haber inconveniente en que se agre tiempo que los otros nada perciben ni merecen. Si Jo* servicios se pesaran ect gase…</t>
  </si>
  <si>
    <t>…es de creer que se ofrezcan dudas ó se presenten dificultades que V- fe.1 rtitichos afios. Madrid 4 de Noviembre de í834.=José María ge comunicarán á loS comisionados pana que informen sobre los medios de re Mostoso de Altamira.=Sr. Presidente de la comisión de Instrucción solver las unas y superar las otras. ■ Los comisionados se ocuparán inmediatamente después de su llegada á prima ri».. 8. ® Londres en adquirir noticias sobre los libros elementales que se usan en los es Instrucciones que deberán observar D. Angel Villalobos y D. Diego table…</t>
  </si>
  <si>
    <t>…contra las cuales se estrellan unos proyectos tan insensatos; y ademas la na Reclamo el Sr. Ferreira la lectura de una adición que habia presentado: el ción española, amante del trono de la Reijía , y confiada en su triunfo, cui Sr. Presidente respondió que se tomaría en consideración ai tratar dei artículo da poco de intrigas diplomáticas, y ni aun se toma ei trabajo de averiguar en 3.°, y levantó I3 sesión. « que dirección huye D. Carlos.” (Cralignnanis Mesunger.) El Corresponsal de Hamburgo, bajo la rubrica de Copenhague 7 del cor rie…</t>
  </si>
  <si>
    <t>…on presentes sus consejeros fue que para evitar to en que se apoyaba; y habiendo contestado dicho Sr. que en el J3u, se le¿ó que de las Cortes saliesen resoluciones con el sello de La pasión ó parcialidad, este, y á propuesta del Sr. Presidente su encabezamiento. hubiese dos Estamentos, y que lo que uno resolviese pasase al otro. Esta se ,El Sr, Presidente: «Yo quiero preguntar ahora al Estamento si se con ria la intención-principal, reconocida.por buena y sana: en todos los países ci cibe que el hacer observaciones acerca de una materia…</t>
  </si>
  <si>
    <t>El Sr. Presidente mánifestó »e sirvióse el Sr. Secretarlo del D pacho de una mayoría, que no tuviese la ilustración y ¡rectitud necesarias, oprimir lo Interior[nteriór decirdecir quéaué artículoartículo déldel reglamentoreglamento hablabahaldaba .sobre.sobre élél particúl^r;partid y di minoría, impidiéndola exponer…</t>
  </si>
  <si>
    <t>…con nio María Montenegro. = Miguel Chacón.=Pedro Fu&amp;tér. = Angel Polo y ducto del gobernador civil de la provincia. Monge. Art. 25. Si un batallón, escuadrón, compañía ó sección tomase las armas Concluida esta lectura, anunció el Sr. Presidente que mañana á las 10 se re sin órden ó permiso de la autoridad competente, excepto en caso de alarma uniría el Estamento para proceder á U discusión del proyecto de ley que acaba imprevista; si no las dejare cuando se le mande; sí rehusare hacer él servicio ba de leerse, f cerró la sesión á las tres…</t>
  </si>
  <si>
    <t>…o ei Sr. D. Luis de S. Clemente, Pro reacia que la de ser unos bienes mueb'es y otros inmuebles. El mismo Sr. Se curador por la.provincia de Soria. cretario ha manifestado las razones que tuvieron nuestras aot-guas Córtes para El Sr. Presidente anunció que se iba á proceder á la discusión por artícu consignar el valor de estos tesoros ó alhajas en beneficio del Estado. Fs menes los del proyecto de ley sobre bienes mostrencos. ter considerar que este precepto de ia ley no ha correspondido á la esperanza Leído el art. l.° del mismo, dijo de…</t>
  </si>
  <si>
    <t>…yo adicto como individuo de una de ellas, no creo que en ma asunto suficientemente discutido, fue aprobado el artículo sin variación alguna. nera alguna pueda hacerse asi sin tropezar con grandes inconvenientes. Si se deja al El Sr. Presidente: »&gt;Se suspende esta discusión para continuarla manara, cuidado de dichas corporaciones la administración y demas inherente á este ramo que se reunirá el Estamento á la hora acostumbrada. Ciérrase la sesión.” es distraerías de su verdadero objeto: si por el contrario no hacen sino utilizar Se levant…</t>
  </si>
  <si>
    <t>…ento; pero que lo baria lafi protuo como aquella se .cuestión, y diciendo que estaba á punto de publicarse un Real decreto en el lo permitiera. xtsrf~S€ ñjabanTos títulos y prerogativas que debían disfrutar los Sres. Proceres. El Sr. Presidente anunció que iba a procederá a la lectura de. ía lista de Un Sr. Procer observó que el acta de toda la sesión no debe ser razonada, Sres. Proceres del reino admitidos en el Estamento en virtud de la aprobación sitio expresar con la posible exactitud las deliberaciones relativas á la sesión de los do…</t>
  </si>
  <si>
    <t>…esueltos por Reales órdenes,' el 'Estamento debo quedar ente tancias tan apuradas como las presentes. • rado , y tenerlos presentes para á su tiempo exigir la presentación de dichos Se Después de una ligera discusión manifestó el Sr. Presidente, que el asunto ñores Próceres. •ra puramente reglamentario, y que debía preguntarse si habia lugar ó no á Habiéndose declarado que habia lugar á votar, el Sr. Burgos dijo que era votar la proposición. _ . . de dictémen se votase por partes, y asi se acordó- Se preguntó con efecto, y quedó aprobada.…</t>
  </si>
  <si>
    <t>…- Agosto, la comisión se ha visto cercada de dificultades que detuvieron su mar- ,támen que debían aprobarse. Asi se acordó. cha, nacidas unas det modo con que el Sr. Secretario del Despacho había con En seguida, á invitación del Sr. Presidente, entró á jurar y tomó asiento cebido y presentado el proyecto, y otras de Su gravedad, de su complicación «1 mismo Sr. D. Esteban de Ayala. y de la escasez de documentos con que la comisión debió ser ilustrada para no El. Sr. Presidente anunció gue el órdea del día era 1* lectura .de la peti aventu…</t>
  </si>
  <si>
    <t>…idas Fontagud Gargollo.reEl marques de Somcruelos,=J. V. de Aguirre Solarte. las relativas á las reclamaciones ingle»? que lo fueron por las Córtes en Mar2b dé 1823, y definitivamente determinadas por el convenio de 28 de Octu El Sr. Presidente anunció que se iba £ leer el dictámen de la comisión bre de 1828 i y de ellas se entregaron en efectivo al Gobierno ingles reales de Poderes sobre los Procuradores ausentes; y leído que fue , añadió: «Este velloir 40&gt;785,43! por dos plazos cuyo capital nominal se calcula en rea expediente ha estado…</t>
  </si>
  <si>
    <t>…quienes no considero acreedores á que se les des para que se puedan enterar de él los Sres. Procuradores. Asi, pues, creo con eche por esta causa, mucho mas cuando tengo noticias de que para el 20 es vendría, salvo el parecer del Sr. Presidente, señalar el martes para su discu tarán en camino. Los Sres. Procuradores de Cataluña no han renunciado en sión , con lo que se ganará un dia mas á efecto de enterarse de él; y esto lo manera7alguna á sus destinos; han.sido francos, y la manifestación de la ver creo tanto mas necesario, cuanto que n…</t>
  </si>
  <si>
    <t>…. D. Francisco Florez, electo S. M. está de acuerdo con los señores de la comisión, y podrá presentar repe Procurador por la provincia de U Coruña. tidos testimonios &lt;jel aprecio,quc ha dispensado á la Milicia urbana, así como El Sr. Presidente anunció que se iba 4 proceder 4 la discusión del pro de los sentimientos de admiración que han producido en los miembros del mi * yecto de ley para la organización de la Milicia urbana, leído en la sesión de nisterío los hechos gloriosos de que todos los días dan pruebas varios cuerpos ayer, juntam…</t>
  </si>
  <si>
    <t>…ué el Estamento acuerde.” á sudado á sus ehetnigo» ó á süs verdtrgpsf---- El Sr. Arango se levantó para hablar; y dudando qué era lo que se iba á «Pensemos, señores, detenidamente el triste resultado que esto debería discutir, el Sr. Presidente dijo: «El proyecto del Gobierno es el que está se»- producir. La desconfianza, eí ¿«gusto, lo que es peor, cl'petigro de los leales, fialado para la discusión de hoy ; mas esto no se puede hacer sin tocar al dictá- la oportunidad y ocasión continua á los conatos de la traición. La pugna dé men de l…</t>
  </si>
  <si>
    <t>…avas, -González, Calderón, Serrano, Carrasco, Galiano Jar contribución que deben «pagar los comprendidos en el alistamiento, esta cua- -y Abargues. ta en.los pueblos pequeños me parece inútil , porque .estando mas expuestos al El Sr. Presidente: «Tiene la palabra el Sr. Polo Monge, como indivi ataque de sús enemigos, es preciso que haya en/ellos-mayor número de Mili duo de la comisión encargado de sostener su dictámen.” cianos , que esten las armas en manos de hombres robustos y ,capaces de batirse; El Sr. Polo Afonde: «No hay en realidad…</t>
  </si>
  <si>
    <t>…s de Is.\bül ii? Yo me atrevería á ¿..visto precisados á alistarse por no quedar expuestos á insultos y persecuciones. preguntar á los que tienen algún pequeño escrúpulo en el cambio de estos - (Murmullo en la tribuna pública: eL-Sr. Presidente llamó al ord:n, y el ora- nombres, qué especie de gentes fueron lá* que empuñaron las armas; y creo ¿or continuó.) Nada me importan los murmullos: esta es la verdad , y la diré que si no fueron todos,, al menos fueron la&gt;&gt; fres cu-irías partes de aquellos quo : siempre y agrade ó no agrade- Decía q…</t>
  </si>
  <si>
    <t>…e por partes, £Or 62 vo.os contra 59. zones que había tenido para no suscribir al dictámen de la comisión de Milicia Leída la priméra parte de dicho artículo, y habiéndose pedjdo que lá vo urbana, de que era individuo, anunció el Sr. Presidente que mañana se comítación fuese nominal-, se procedió i ella, y resultó aprobada por 50 votos con abaría esta discusión, y cerró la sesión á las cuatro y cuarto. tra 59, absteniéndose de votar el Sr. Carrillo Manrique. EN LA IMPRENTA REAL/</t>
  </si>
  <si>
    <t>…arse. Asi se acordó. bienes mostrenco*; e&gt;to es, tesoros hallados, los ganados extraviados ó al¡rari— Entró á jurar y tomó asiento dicho Sr. Ayarza. ^ nos, las co»as abandonadas cuyos dueños no parecen, y no han sido ocupadas, El Sr. Presidente anunció que iba á continuarle la discusión por artíce los j|b¡ntestatos Esta naturaleza de cosas no se ha variad-, ni se ha tratado lo* del proyecto de ley sobre bienes mostrencos, y que habiéndose concluido de proveer acerca de las adquisiciones de manos muertas. Acerca de ellas, en ayer la del ar…</t>
  </si>
  <si>
    <t>…sé calcule necesario, bre mostrencos.” abriendo un crédito supletorio al efecto; y esto no perjudica ni puede perjudi Concluida esta discusión dijo car la marcha de los presupuestos, pues no los desbaratará: será solo una adi El .Sr. Presidente: «No habiendo la comisión presentado aun su infor ción á ellos. Esto no puede perjudicar tampoco á que las economías de que sean me respecto á las adiciones hechas, mañana después de que lo verifique se discu susceptibles los mismos presupuestos se verifiquen, pudiendo aplicarse á la deu tirán , y…</t>
  </si>
  <si>
    <t>…n ínteres personal en la cuestión; de tan augustas Personas bagan justas ó necesarias en ellas. sobre lo cual apelo al testimonio de cuantos me han oido.” La comisión se encuentra en la sensible necesidad de manifestar al Esta El Sr. Presidente anunció que iba á procederse á la lectura del proyecto mento que considera superior al Estado de nuatra Hacienda, y poco conforme de ley relativo al presupuesto de Casa Real, dictámen de la comisión y voto con las antiguas prácticas y costumbres nacionales, la asignación de 5.760© rea particular, c…</t>
  </si>
  <si>
    <t>…ión qüe se ha puesto á la deliberación del Estamento, que es las comí i ne&gt; podrgn muy bien rectificar sus dictámenes respecto á los no pre el objeto sobre el cual debe versar la discusión.” sentados todavía. El Sr- Istúrxx.: «EL Sr. Presidente tiene razón; pero no puedo contestar »Una vez discutido el proyecto en su totalidad, será necesario entrar en le de otra manera, sino confesando comedidamente que, en efecto, de dicha pro el art. l.°, el cual está dividido en siete comisiones. Pero esto &lt; qué querrá de puesta es de lo que menos me…</t>
  </si>
  <si>
    <t>…sitan de cierto esplendor y prestigio de pompa, de boato podríamos zanjar este punto, y entrar de lleno en la discusión.’? para infundir respeto; otros creerán que los Soberanos robustecen su poder por El Sr, Domecq: «¿Suplico al Sr. Presidente haga leer la proposición (se los beneficios que derraman, por las lagrimas que enjugan , por los daños que leyó.) Convengo en su esencia, pero- no en el modo ó términos en que está remedian, y que cuanto menos ostentoso sean las mansiones de los Reyes, tan concebida. Hallo en ellos cierta oscuridad…</t>
  </si>
  <si>
    <t>…aba en consideración, y se acordó que sí por 50 vo decoro, sí, pero con la firmeza y energía que me inspiran mis sentimientos, y tos contra A9. \ en los términos en que la ley me lo permite. Resuelto que sea él asunto por la El , Sr. Presidente suspendió esta discusión pata continuarla mañana, y car decisión del Estamento, respetaré esta como es debido. ró la sesión á las cuatro y cuarto. EN LA IMPRENTA REAL.</t>
  </si>
  <si>
    <t>…lar de un bajo te número de diputados se levanta la sesión. al O. del cabo de S. Vicente á unas 10 leguas de distancia, el cual será el CÁMARA PE IOS PARES.__Sesión dtl día 19. mismo, aunque se diferencie en el arrumbamiento.” El Sr. Presidente anuncia á los Pares que la Cámara se reunirá el lunes eti -... Con la fecha de l.9 del que rige hemos recibido de Gibraltar la noticia"tribunal de justicia para un acto indispensable al procedimiento del negocio que siguiente: le está encomendado. Consulado de los Estados-Unidos.rrHabiendo el gobie…</t>
  </si>
  <si>
    <t>…, recaen también sobre la inocencia. Se Entraron a jurar y tomaron ¿siento los Sres. Marin, Mena , Claros y Vi- notarán tal vez otras ventajas indicadas por la práctica , la observación y las llanueva, concluido lo cual invitó el Sr. Presidente al del Consejo dé Minis luces del siglo, que filtrando (digámoslo asi) aun por entre las mas tenaces tros á que presentase el proyecto de Código criminal, como estaba acordado. preocupaciones, van produciendo mejoras lentas , pero evidentes en todos los Sr. Presidente del Consejo de Ministros : « L…</t>
  </si>
  <si>
    <t>…ante la menor edad de A D. Francisco de Zea Bermudez.” vuestra excelsa Hija la Reina mi Señora, fue de parecer, y lo acordó asi V. M. en 16 de Octubre, conforme con e| dictamen de vuestro Consejo do Segundo (ó sea 7.a) sobre. «Al duque Presidente de mi Consejo Real.” Ministros, que pues había incurrido D. Cários en los crímenes de conspirador, Interior. «Declaro que por falta de hijo varón (de mi Hermano) que le de concitador á la yebelion, de perturbador de la paz del Reino, de promo suceda en el trono de las Españas , soy su legítimo hereder…</t>
  </si>
  <si>
    <t>…e. pués de tomada la adición en consideración , graduar su mérito, y determinar si ha de pasar ó no á la comisión; y entonces esta no se ocupará en vano.” Se abiió á las once y inedia, y leída el acta de la anterior quedó apro El Sr. Presidente manifestó que le parecía que la proposición del Sr. Cues bada. h ta no estaba en su lugar, y que después de entablada la discusión, al tiempo Se mandaron pasar á la comisión de Poderes los del 'Sr. D. Manuel de de votar el dictámen»de la comisión, seria mas oportuna. ! Villachica, electo Procurador…</t>
  </si>
  <si>
    <t>…curadores, al testimonio de la Nación. Y entonces ¡por qué bar la adición hecha al art. (Habiéndose notado bastante murmullo en la cuando se trata de reconciliar los ánimos y unir á todos los españoles al rede galería pública, el Sr. Presidente llamó al órden, y dijo sentiría tener que man dor del trono y de la verdadera libertad, emplear expresiones que, aunque dar leer los artículos que hablan del órden, y llevarlos á debido efecto). «Decia dichas sin dañada intención, pueden retardar ese grande objeto! Pues"qué, ¡no que á pesar de la r…</t>
  </si>
  <si>
    <t>…a. = Francisco Martínez de la aun cuando sea mas sencillo. Tan cierto es esto que en la última quinta se ha Rosa.=c Palacio 10 de Noviembre de 1834-*’ visto ,á pesar de la nueva división de provincias, que como se mandó que se El Sr. Presidente: « Conforme á lo prevenido en el reglamento, se im hiciese por el mismo método que antes, se ejecutó la operación y realizó la primirá y repartirá á los Sres. Procuradores este proyecto de ley que se acaba quinta con una facilidad y celeridad prodigiosa y en menos tiempo que nun de leer; pasará á l…</t>
  </si>
  <si>
    <t>…asi por sus pasos contados, por hechos que nadie ignora, vino la Opinión á tad por su parte en admitir la redacción nueva del artículo, por disposición del pronunciarse de tal manera, que cabalmente por lo determinado en Octubre, Sr. Presidente ,se leyó el artículo 96 del reglamento, y se anunció por el mis estamos gozando de lo que al principio se reprobaba, de esta representación; mo señor aqe no habiéndose cerrado todavía la discusión del artículo 2.° , tc- cabalmente de ahí nace que nos encontremos otra vez en pugna los partidarios xi…</t>
  </si>
  <si>
    <t>…tt^b^iíh:'^ÍKii&amp;' iñteuciot» goríavde sospechosos ydemasí-loqtte be diebo fes lo cjne exíste, que-loy quien '.alguna;' ! ■ --’i --■■■ ' ■ ;-• '¡i' mira i ciertos hombres _ como enemigosde nuestsasinstítucíones; iy '-be dicho _ El'Sr. Presidente ananció que maüana se continuaría la'd¡*cuátóapendieattfnbieti que ese prihdpiopMaó'jnjilstofaRaBcazálas armas í has defensora* tsila hota acostumbrádátycenÓ la sesión i las tres. \ íí l J 5-- -v i ¡'&gt;:¡ •VV ? ■ , . *■* Vi ; - • •/ .S 4 :v.t;r:.. &gt;*?. , .&gt; • j" \ . ¿ v '■ ' ■= ’V ' -i;. -v.</t>
  </si>
  <si>
    <t>…que eran de opinión que noTiabia inconveniente se dis ”Los impuestos de frutos civiles, paja y utensilios son contribuciones que cutiera en público. ' no se pagan al momento, sino por semestres vencidos anteriormente: por tan El Sr. Presidente dijo que conforme al reglamento , esta petición se impri to, hay tiempo sobrado para hacer el repartimiento. Acordado pof e! Esta miría y distribuiría, y que después señalaría dia para su discusión. mento que los presupuestos sean una ley, en mi concepto esta ley es de utu Entró á jurar y tomó asie…</t>
  </si>
  <si>
    <t>…los particulares del proyecto, por única para el exámen de todo proyecto de ley , y como tal ha presentado el; que entre tanto nada puede hacerse.” Gobierno el desque se trata reunidos todos los presupuestos. En cuanto á la di El Sr. Presidente interrumpió al orador, y después de algunas contestacio lación que esto puede ofrecer, erro que aunque ahora se dilatase por unos cuan-' nes entre ambos mandó el Sr. Presidente que se leyera de nuevo la proposición tos dias la discusión , luego se ganarían ios mismos por la mayor facilidad en el de…</t>
  </si>
  <si>
    <t>…eíei dKÍra quedacausa £rÍCTcipaló4ctCa-de que aot haiíemos en ettc .en la órden del día, después de una ligera contestación; habiéndole concedido •^nbane&lt;y^COÍistttc xii :qac de«lcrcí principia no ,« ha dado á teste negocio ia ,H Sr. Presidente la palabra dijo xUreecion'^ua se debía ¿¿que no te ha consultadof la voluntad del Estamento. / . ^ Ei Sr. conde de las N’avas: «Después que se han estado sacando propo- ?Ertofél.í?l0íq*ie TOf á coíóesterF- : ; */. - * icítrafc* como rrueceS-dt ún costal, np parece regdlar qíie se deje de leer una - n…</t>
  </si>
  <si>
    <t>…n asiento los Excmos. Síes, duque de S» Loren- . sido imposible acudir á la sesión del 11, ofreciendo hacerlo á las sucesiva» si ; ¡Miguel Ricardo de ALasra^ 'y no se lo estorba la continuación de su enfermedad.. ... . El Excniot Sr. Presidente d«l Consejo de Ministros, de órden de S. M., ■ El Excmo. Sr. obispo de Barcelona contestaba hallarse enfermo en cama remitió al Estamento con oficio la exposición leída en la sesión dé 11 del cor tres dias hacia, y no poder asistir á las sesiones hasta su restablecimiento. riente, relativa .4 la 'C…</t>
  </si>
  <si>
    <t>…secretaría, se pida á la Mayordomía mayor servidumbre asistir a las votaciones. una lista de los Stes Proceres que se encuentran en este caso.” Aprobado. El Sr. marques de las Amarillas manifestó que esto debería dejarse al pa El Sr. Presidente anunció que iba á procederse á la lectura de la memo triotismo de los Sres. Proceres, siempre que su asistencia fuese compatible con ria presentada por el Excmo. Sr. Secretario de Estado y del Despacho de Ma el Real servicio; pero que siendo el caso actual un caso de excepción, no seria rina, que l…</t>
  </si>
  <si>
    <t>…s del todo nueva, y debe correr los mismos trámites que la cir, discutiéndose la totalidad, y reservando para los artículos la variación he primitiva.” cha , no tengo inconveniente en conformarme con que siga la discusión, por El Sr. Presidente: «El reglamento nada babla sobre este particular res que entonces observaremos el reglamento. ” pecto de las peticiones: de los proyeclos de ley es de los que marca Sus nuevos Se declaró el punto suficientemente discutido, y habiéndose preguntado trámites. En las peticiones anteriores se han admiti…</t>
  </si>
  <si>
    <t>…in. Esta comisión manife-tó haber examinado los podere* v documentos jus El Estamento quedó enterado de una participación hecha de Real orden tificativos de la aptitud1 legal del Sr. marques de Viliagarcía, electo Procura jpor el Sr. Presidente del consejo de Ministros acerca de que habiendo la Sere dor por la provincia de Pontevedra; y lo* del Sr. marques, de Víllacan-po, nísima Señora Infanta Doña Luisa Carlota dado á luz una robusta Infanta en que lo es por la de Burgos; y que bajándolos conformes, opinaba debía» •1 día de ayer, habla resu…</t>
  </si>
  <si>
    <t>…ios del Gobierno; y el ministerio se halla de acuerdo con los seño lidad de la petición , ó á discutirse esta por artículos; y habiéndole contestado res peticionarios cuanto á la base. Respecto á los pormenores, la misma discu el Sr. Presidente que se seguiría el órden de siempre, discutiéndose primero sión que se ha suscitado, prueba que no es fácil fijarlas desdé luego, pues debe la totalidad y después los artículos , el Sr. Medrarlo se reservó la palabra para preceder un detenido exámen. Como esta petición ha de pasar á S. M., y si la…</t>
  </si>
  <si>
    <t>…tamento.” - ^ 4 de óetieinbre de 1834-= Señora: A L- R. P. de V. M.«— Pió Laborda. = Habiendo adherido á esta opinión los demas señores 'peticionarios , ¿I Manuel de Pedro. — Joaquín Ortiz de Velasco.c± Faustino de Ga'ray. =-‘Fer Sr. Presidente manifestó se suspendía la discusión de la exptesada petición has mín Caballero. == Angel Polo y Mongó. = M. conde de las Navas.= f4dro Ja— ta que se presentase el proyecto de ley sobre el asunto á que se refiere. cobo Pizarro. = José Somoza. = Antonio González, es Pablo HcYedia — Vi Él Sr. Secretar…</t>
  </si>
  <si>
    <t>…ón. Prestó juramento y tomó asiento el Sr. mar demas era dilatadísima. Es preciso advertir que las provincias no han sido divi ques de Villacampo. siones naturales del territorio, sino que han dependido , y especialmente en Es El Sr. Presidente: «Mañana á las diez se reunirá el Estamento para con paña , de mil acasos y aun caprichos. Por eso resulta en esa imposición la des tinuar la discusión pendiente: asimismo se discutirá el dictamen sobre aboli igualdad que han manifestado los Sres. que han firmado ia petición. ¿Y cómo se ción del Vo…</t>
  </si>
  <si>
    <t>…y para la organiza a&gt;er, y repitió ayer con grande extraheza mía, que la Milicia no podía menos ción de la Milicia urbana. Asi se acordó. de ser obligatoria, porque para eso había presentado ad Estamento el proyecto En seguida el Sr. Presidente anunció que iba á continuarse la discusión del de ley, pues para ser voluntaria no ne^itahi presentarle á las Córte». Princi art. 2.° del expresado proyecto de Jcy. pio de derecho público con.titucionul que he oído por primera vez, y con sor El Sr. Caballero: »*Los que tenemos la desgracia ó la for…</t>
  </si>
  <si>
    <t>…s hemos palpa— ' dad es la~que presta la voluntariedad, pues á proporción del nesgo se aumen do circunstanciadamente, me creo autorizado á entrar en ¡a cuestión. Asi de tarían los defensores. En prueba de esto recordaré lo que él Sr.. Presidente del bemos hacerlo francamente los que nos honramos con ser los primeros en ha Consejo de Ministros nos dijo ayer: que para movilizar la Milicia se habían ber corrido á las armas para defender la causa nacional; y aunque sea triste presentado mas en la Rioja y Aragón, que son las provincias mas inmediat…</t>
  </si>
  <si>
    <t>…ones que hoy combaten. Si esta alusión es con respecto á la Mili en otitos hechos, hay que entrar sin remedio en e&gt;os juicios y calificaciones.” cia urbana, ha sid&gt; S. S. poco feliz en la cita: los actuales Secretarios de! Des Mi Sr. Presidente: «Debo advertir que siento mucho ver introducida la pacho, cuando otra vez tuvieron la honra de ocupar este pue&gt;to, propusieron costumbre dfc decir si se vota ó no con el ministerio, como una inculpador). un provecto de lev sobre M’.hcta nacional, con las mismas ba?« y espíritu Yo desearía1 que en-…</t>
  </si>
  <si>
    <t>…t, Morales, Carrion , Butrón, Orimponga el deber de inscribirse en las filas de los ciudadanos armados. £1 vo tiz de Vela»co. lará ansioso de colocarse en ella siempre que enemigos externos amenacen su Concluida esta votación, el Sr. Presidente anunció que se suspendía la mdependencia/y la-integridadde su territorio; siempre que facciones inicuasTh- discusión para continuarla mañana á ia hora acostumbrada, y cerró la sesión á temen trastornar él órdenude un Gobierno que derrama en su pais la abundan- las tres y cuarto. cía* el sosiego j l…</t>
  </si>
  <si>
    <t>…n favor Por lo tanto, ínterin por los señores de la comisión no se ilustre mas esta ma del Excelentísimo Sr. marques de Rodil. teria, y se haga ver la identidad de la constitución dotal con los demás con pjévio anuncio del Excmo. Sr. Presidente, se leyó la adición hecha por el tratos comprendidos en esta ley, no puedo asentir á que se le dé Semejante am Excmo. Sr. marques de Guadalcázar al proyecto de ley sobre reintegro á ios pliación. Si se me convenciese de lo contrario, accederé con !a mayor docili compradores de bienes vinculados que…</t>
  </si>
  <si>
    <t>…támen de la ra apoyando el art.) 3.° en los términos en que está presentado. comisión de Guerra; y abierta la discusión en su totalidad, expresó el Exce El Excmo. Sr- marques de San Felices pidió que el Gobierno manifes lentísimo Sr. Presidente que si algún Sr. Prócer, individuo ce la comisión, tase si verificado el reemplazo del ejército con los 259 de esta quima,se daiian quería exponer las razones en que aquel se fundaba, tenia la palabra: á que con inmediatamente las licencias á los soldados que hubiesen cumplido los años de testó el…</t>
  </si>
  <si>
    <t>…su licencia hasta la llegada de su reemplazo por el ques de Alcañices, marques de Castelzr, conde de Sistago, marques de Guasucesor; esfuerzo á que es de creer no se nieguen los beneméritos soldados es dalcázar , duque de Rivas y Sr. Presidente. pañoles , aunque se debe dejar á su elección.” Le,óse en seguida el art. i.° del proyecto de ley que fue aprobado sm El Sr. marques de Espeja para deshacer una equivocación: «Estoy tam discusión , y dice asi: bién de acuerdo con la doctrina del libre contrato para cí enganche, y conoz «Se hará en e…</t>
  </si>
  <si>
    <t>…á su prosperidad, estableciendo un Gobierno Se leyó el proyecto de ley en los términos que acaba de aprobarse, y ha libre, que debe ser la aurora de nuestra dicha. Pero pensemos , señores, que llándolo conforme el Estamento , el Sr. ^Presidente levantó la sesión , anun estamos todavía en esa aurora, y no mas que en esa aurora; que los beneficios, ciando que continuaría el lunes á las once para discutir la ley sobre la organi obra del tiempo y de las reformas, todavía no pueden sentirse, y que entre zación de la Milicia urbana. tanto no no…</t>
  </si>
  <si>
    <t>…nos olvidemos nunca de esto. Yo creo epidémicas. Los granos llegaron á valer á 3U0 y á 40O rs. Ia fanega (habiéndose que el ánimo del Estamento, pesadas todas las consideraciones,-debería inclinar-, notado un poco de murmullo, el Sr. Presidente llamó al orden). Los que su se á aprobar las consignaciones señaladas para S. M. la Reina nuestra Señora y surran al oir esto, es porque, ó no habían nacido, ó porque se han olvidado su augusta Madre; pero digo, sin embargo , -que estoy autorizado por S. M. la de lo que ha pasado. En Madrid pasó á…</t>
  </si>
  <si>
    <t>…se halla sos r tan conformes á U razón , los ha confirmado siempre la experiencia. Si ba en el caso de no poder servir en la comisión de este ramo. tuviéramos necesidad de acreditarlo, invocaría la sombra de un Tdrnjo*, de un El Sr. Presidente contestó que la escasez de oficiales de Marina en el Es Bazán y otros varios héroes, á quienes la primera Irntatira condujo al ca tamento hacia se echas* mano de sugetos de otros conocimientos que pudiesen dalso, honroso sin embargo por ia causa que defendían. Harto tiempo há , se cooperar con los…</t>
  </si>
  <si>
    <t>…usión» cer revelaciones para que los enemigos de la Nación se aprovechen de ellas. para que se ilustre el Estamento sobre la situación actual del país.” Los Secretarios del Despacho jamás vendrán aquí sino á discutir proyectos de Sr. Presidente: «No puede señalarse día para la discusión por no haber ley, bien sean presentados por órden de S. M., ó ya por los Síes. Procurado se formalizado proposición alguna.” res en virtud del derecho de petición, con arreglo siempre á las fórmulas del Sr. García Carrasco : «Pido que se lea el art. 110 de…</t>
  </si>
  <si>
    <t>…ece que este es el punto de vista bajó Un Sr. Procurador dijo que el asunto de que se trataba era un caso ente que debe considerarse esta discusión. Hay algunos Srts. Procuradores que ex ramente nuevo, y que fijase la cuestión el Sr. Presidente para que pudiera de citados por su celo y amor á las libertades públicas, muy laudable, han hecho cidir el Estamento. preguntas al Gobierno, i que no ha tenido este por cnhveniente contestar. Yo El Sr. García Carrasco: " El Reglamento no autoriza, pero tampoco no creo que esta discusión pueda pasar…</t>
  </si>
  <si>
    <t>El Sr. Presidente exputo que T&gt;0 sabia que la comisión hubiese obra- no en mqno, en el cual se hace una grave inculpación al Estamento por la • do mal. '■ ' ;7 / ■ ' falta de?daros, ligereza y pasión con que se dice que procedió, y aun se inculpt El Secretario Truebaleyó una exposición de un particular relativa, á q…</t>
  </si>
  <si>
    <t>…esto no será conveniente suprimir de pronto ese arbitrio. Debe algo vivo entre este Sr. Procurador y el preopinante, que se terminó por ma también advertirse que en el cánon que pagan las tierras regadas, y de que se nifestar el Sr. Presidente que el reglamento no autorizaba para hablar dos ve quejan porque es bastante alto, van incluidos los diezmos, los cuales abona ces sobre el mismo asunta / después el canal á sus partícipes. . El Sr. marques de JÍanieta \ «Hablaré muy poco respecto de este asun «En cuanto á los gastos del canal leer…</t>
  </si>
  <si>
    <t>…í lo que ,tuvo &amp; bien acceder el sido también restablecido por la eomision mista, suprimiendo á la cláusula de Estamento.—-----------------—f--------- ana tercera parte del valor de sus beneficios, según que todo mas por menor El Sr. Presidente anunció que mañana á las diez se reuniría el Estamen Consta en el acta impresa que se ha repartido á los Señores Procuradores. to para discutir la petición sobre revalidación de los empleos obtenidos desde 7 La comisión especial, que en virtud de lo resuelto por el Estamento ha de Marzo de 1820 bas…</t>
  </si>
  <si>
    <t>…arotas ^se |es han-dado:-soJ» justó , debo dema*'anttáparlqs, / " ? ¡ decir la ^verdéd jpera. coi^tiu: á^.*.&lt;&amp;a jtstó£34^ 3 íYe^untado.si srtotnaba cn consideración lá adición referida,.se decidió testaciones entre ei orador y.el Sr. Presidente* pues este le dijo se ciñese á la que no/' &lt; ’ cuestión.) Decía qñe el Gobierno que iío sabé aprovechar las circunstancias Habiéndose anunciado por el Sr. Presidente que iba á procederse á la dis tiene muy poca habilidad. cusión del art*. 3.°, se leyó el del proyecto del Gobierno, y después el del…</t>
  </si>
  <si>
    <t>…jornaleros, como tales, no i aquellos. En los países en que rigen Gobierno» representativo», y «en que se les puede imponer contribución ninguna.” existen estos cuerpos, se han tratado de establecer garantías fijadas en la pro El Sr. Presidente advirtió al señor preopinante que se salía de la cuestión, piedad; y por esto se ha creído que el tipo de la propiedad es como el tipo y que lo mismo le había sucedido al Sr. Llano Chavarri. normal del valor de los derechos político». Es claro, pues, que para que ia ley El Sr. Polo y Aíonge: «He pe…</t>
  </si>
  <si>
    <t>…nto suficientemente discutido, i petición del Sr. García más, en el caso~qúe se supusiese que.un joven de,17 años no presenta suficien Carrasco. 1 tes fianzas paralarle tararmas, tampoco podría prestarlas á los 18 ni á los 20, El Sr. Presidente dijo iba á votarse al artículo por partes;- y dsspucs</t>
  </si>
  <si>
    <t>…ligero debate sobre los contribuyentes que pagasen de 6tí á 80 rs. pudieran ser alistados en la Mi ella, y quedó desaprobada. licia urbana, bajo la. restricción de que sea con la autorización de sus padres, Habiendo anunciado el Sr. Presidente que se suspendía la discusión, y se pudíendo estos separarlos de dicho servicio cuando lo tuvieren por convenien ñalado para su continuación la hora de las diez de mañana, cerró la sesión á te , i fin dé qtfe no se comprometa la existencia de muchas familias que nece las tres y media. &lt; sitan del a…</t>
  </si>
  <si>
    <t>…o Procer nato, Se dió cuenta de dos oficios de los Eremos. Sres. conde de Cuba y mar con arreglo al formulario que se le había remitido. ques de Cerralbo, quienes en virtud del acuerdo del Estamento de 3 del cor Y otro del Excmo. Sr. Presidente del consejo de Sres. Ministros acusan riente para que los Sres. Prócere* enfermos ó ausentes pudiesen emitir sus vo do el recibo del proyecto de ley de exclusión á la Corona del Infante Don tos por escrito sobre el dictamen de la comisión encargada de informar sobra Cirios y toda su línea, y privación…</t>
  </si>
  <si>
    <t>…esa ai oir las objeciones que la comisión misión no ha podido menos, aunque con dolor, de dar franc3 y terminante pone al documento que le da., la aptitud legal. mente su parecer en los términos en que lo ha hecho." «He pedido al Sr. Presidente se leyese íntegro, para hacer ver que los El Sr. González (D. Antonio'): «No quiero detenerme en hacer una primeros propietarios de Asturias le hacen la obligación, no solo en común, relación de los méritos V virtudes que distinguen al Sr. D. Agustín Arguelles, sino cada uno m solidum, de los 128 r…</t>
  </si>
  <si>
    <t>…resuenen por lo de de las Navas pidió asimismo la palabra, como tambienél Sr. AlaiiáGaliaiñqnós en este recintc/lps ácéntos de la simpatía qué debe unümos con esta cla- no, parareqtificár equivocaciones; / habiendo manifestado él Sr. Presidente que aé'beiiémérita." " li ■ , y • : . .--i estaba pTohibidó interrumpir i ningún orador, él Sr. Alcalá! Galíatfó'píaíó El Tr. Bendicho: «Convengo con las opinionej^dql Sr. preopinante en qu« continuase,el Sr. Bendicho, quien después de úna corta pausa continuó), er¡ls¡iít¿\la empleomanía, que yo ta…</t>
  </si>
  <si>
    <t>…poyarlas, y rogar al Estamento aparece combatiendo estas mismas libertades y aspirando á derribar este trono. que tenga a bien acceder á ellas/’ , Por consiguiente, en semejante situación debe recurrirse á todos los españoles JEi Sr. Presidente: «Se suspende esta discusión. Corno se han repartido que aman la libertad, á todos aquellos que hemos combatido constantemente los impresos relativos al proyecto de ley del ministerio de Hacienda sobre pre por ella , por la independencia de la Nación y por la conservación del trono supuestos, se va…</t>
  </si>
  <si>
    <t>…aun Se mandaron pasar á la comisión de Hacienda varias relaciones remitidas que sean de egoísmo, son las mejores, y para el legislador lo mismo, pues las por el Sr. Secretario del Despacho de-Hacicnda. otras no son suficientesEl Sr. Presidente: «Continúa la discusión por artículos del proyecto de «Asi que, yo insisto en que los gefes de lo» establecimientos á que.se alu ley para la organización de la Milicia urbana. Habiéndose concluido ayer la de en la adición, se constituyan responsables de la conducta de los individuo» discusión acerc…</t>
  </si>
  <si>
    <t>…chísimo mas; se exigen fianzas, y garantías en los que se inscriban en El Sr. Lasanta expuso lo mismo, como autor de la adición que.se discutía. ella ; ¡ s no las tienen los dependientes del coniercio' mucho mas constitujen- 1 El Sr. Presidente hizo leer el aft. 95 del-reglamento, para que al resolver dose pi r fiadores de ellos sus principales? Yo me lisonjeo pues de que esta adi sobre la referida indicación se tuviese presente lo que en él se dispone respec ción no haya encentrado oposición ninguna por parte del Gobierno ni del Es to á…</t>
  </si>
  <si>
    <t>…conforme en nn todo con el soto de sus compañeros, á siasmo y espontánea y noble decisión: que recogieron en ellas laureles que lea «ufas reuniones había asistido. envidio, porque fueron alcanzados con peligro y con gloria. r El Sr. Presidente contestó que asi constaría en el acta; y anunciando que ” Esta institución saludable nace ó revive en las naciones desde el momeas ibá i leerse el referido proyecto de ley y entrar en la discusión sañalada para to en que hay leyes benéficas que defender, é intereses generales que guardar/ esté día…</t>
  </si>
  <si>
    <t>…nuestra Señora y la Reiva Go ría su curso natural. En razón de pedir varios señores, la palabra si se abría dis bernadora.” ° cusión , se puso á votación el primer artículo del dictámen de la comisión , que Habiendo preguntado el Sr. Presidente al Sr. Samponts si retiraba ó no dice «A la Rucia nuestra Señora 30 millones de reales.” Verificada la vota su voto para entrar ehesta proposición, contestó el último que lo haría con ción nominal quedó desaprobado por 74 votos contra 56, habiéndose abstenido dicionalmente; y no concediéndole esto…</t>
  </si>
  <si>
    <t>…misión, ruego al Estamento solía, conde de Pufiotirostró, marquesdd Salar, marques de Gastalar, condo queujMsfeiiyoyat;el-..prc®pj%^ftdqínEft.Aq^^álidad, reservándome la palabra de Sástago, marques de Guadalcazar, duque de Rivas, Sr. Presidente. para hacer.algMOas gfaSH86l&lt;»,%lBBg« «IWPK.S? Acto continuo se leyóny-quedó aprobado ¿l'art. I.“, que dice: "Acábese (&amp;, organizar-pfies qít.a awstftuciqn .que yo considero como el án- Artículo i.° " La Milicia urbana es una institución civil, dependiente del cora.de la-salvaflÍ9ftder4l#^*ó/?«l^4eo…</t>
  </si>
  <si>
    <t>…para las propuestas de capitanes , tenientes y subtenientes con arreglo á y estas se dividirán igualmente en- mitades ó escuadras donde no haya fuerza lo prevenido en el artículo 12.” Aprobado. suGcieote paya {orinar compañía. El Sr. Presidente anunció que mañana á las once se reuniría ol Estamento «La artillería y los bomberos formarán compañías sueltas» para continuar la discusión pendiente, y levantó Ja sesión. «Cada batallón y escuadrón tendrá su bandera ó estandarte.” Aprobado. Art. 8® «Lo.s batallones constarán de cuatro, compañías…</t>
  </si>
  <si>
    <t>…que si dentro de dos meses no se presentan festó quedar enterado del contenido de estos dos oficios. ciertos Proceres con los documentos competentes, no serán despuc» adm.tidos, Ultimamente se d ó cuenta de otro oficio del mismo Sr. Presidente del no tiene ei carácter de pena, y sí el de una noble excitaciónCornejo de M.nistros, con el que acompañó I0U ejemplares impresos de la ex «Es bien sensible que algunos individuos de este Estamento nos hayamo* posición hecha a S. M por e! de Gracia y Justicia-relativa á la conducta del visto en la pre…</t>
  </si>
  <si>
    <t>…r admitidos definitivamente; y el Estamento se conformó con este pa las Cortes tengan un punto del que deban partir sus deliberaciones; y el seo. recer. gundo.es consecuencia dei anterior, pues que el Estatuto Rbal nos concede El Sr. Presidente anunció que el Sr. Secretario del Despacho de Jo In la facultad de elevar peticione» al Trono, darnos los dato* necesarios para que terior iba 4 leer la memoria respectiva á su ramo. .hagamos las que tengamos,por coprénientc: y hacer que pasase la anemorb i El Sr. Secretario ijlp lo Interior dijo:…</t>
  </si>
  <si>
    <t>…asó i leer la memoria de no tendría esta inconveniente en que se concediese un término ai Sr. Sotoma— •u ramo. yor para rectificar ó mejorar sus documentos , añadiendo le parecía fuese de Concluida esta lectura tomó la palabra el Sr. Presidente, y dijo: «El Es cuarenta dias. tamento queda enterado de la memoria que acaba de leer el Sr. Secretario del Se puso pues á votación el dictamen modificado en estos términos. «Que Despacho de la Guerra; se imprimirá y distribuirá.” *e concedan al interesado cuarenta d as para que pueda presentar los…</t>
  </si>
  <si>
    <t>…aprobar ó desaprobar alguna parte." ~ Se mandó pasar i la comisión de Poderes ira oficio con que D. Jacinto El Sr. Florez Estrada insistió en su idea. de Romarafe, Procurador electo por la provincia de Vizcaya, remitía los do El Sr. Presidente: «Ahora no se trata de votar, sino rolo de cumentos justificativos de st|i aptitud legal para serlo. sobre la totalidad del asunto, sin que la opinión que se emita sobre casa SO Igualmente se pasó k la misma comisión un oficio del Secretario del Des oponga é que se aprueben ó desaprueben después la…</t>
  </si>
  <si>
    <t>…den haber viciado en por la misnp ¿unta, que £u¿dósu.poÍpbre en 22^ de Setiembre de 1823,\tomaneste ticmpo las ifetitaí^y Mis pr)óducto¿2....” . V !■■■ do el dc Ácvgcncííi de^Esi¿ña.£ra dd 334 milíWvk,dciéaLc9, y estaba up des El Sr. Presidente rogó al orador que alzase mas la voz por no oírsele bien. acreditado este empréstito en el extrangero, como lo estaba la casa que lo con Et Sr. margues de Montmírgcni «Detía, que desde el año 1831 que trató , porque solo una casa sin crédito podía interesarse én tan mal negocio. Este as el Último c…</t>
  </si>
  <si>
    <t>…nifestó que no jar en libertad al ejército para operar?....” (Al llegar aquí el orador, en la tri había otros posteriores á los del año 31 Los señores de la comisión se sirvie buna pública se prorumpió en aplausos; por lo cual el Sr. Presidente recordó ron llamarme á una de sus disensiones por la noche; me pidieron en efecto lo* el ayi. .141 dél reglamento relativo á la asisteocia del público á las sesiones). presupuestos de estos tres años, y les respondí la verdad,; que no había ningún El Sr* marques Je Montevtrgen: «No seguiré, porque…</t>
  </si>
  <si>
    <t>…o no son estas del momento, y no debó ocupar primiendo la amortízacioo por vigésimos anuales-, que es una parle taD esencial , por mas tiempo su atención. del convenio. Asi, pues, le vulnera parcialmente, y yo en la totalidad. El Sr. Presidente: «La gravedad del asunto, los muchos señores qu* tie «Yo propondré al Estamento que seria conducente añadir ún artículo nen pedida |a palabra, y por la hoya que a , me parece, que debe concluirse la para que se crease; una comisión de ilustres Prócerei y señores Procuradores ', 4 «ssion y continuar…</t>
  </si>
  <si>
    <t>…n de Opinión que no había incon lo mal pensados; el primero anulando la venta de los bienes llamados nacio veniente Cn que se discutiese en público. nales, al cual parecía consiguiente que se hubiera mandado, ya que se suponiq El Sr. Presidente anunció cjue se imprimiría y repartiría dicha petición, ■nulo el principio de la venta , devolver el precio de la misma. Aun buba mas: y que después señalaría dia parq su discusión. ■en el año 24 se expidió una cédula por el Consejo de Castilla , mandando qup La comisión de Poderes manifestó haber…</t>
  </si>
  <si>
    <t>…declarado el punto suficientemente discutido, se tísima número-, y asi considero esta objeción como un fantasma. aprobó la petición en su Jota.Iidad. . " En.cuanto i otra .especie que se ha indicado, con respecto á|J# clase mi El Sr. Presidente a^umeió que se suspendía la discusión particular de loss litar, estoy .convencido de. que el honor y ta delicadeza de la misma aplaudirá art^ulos hasta mañana, y qpe se iba á dar conocimiento pl Estamento de una csU -med¡da,;porque &lt;qué importa n! en qué puede herir directa ni indirectamen pet¡oion…</t>
  </si>
  <si>
    <t>…cumplen su deber; cuando ve rías del público, por lo que el orador reclamó el órden, diciendo que en vez mos que fl trono, al cual estamos íntimameoté ligados, no solo por deber, de hacerle favor, le causaba daño este rumor; y el Sr. Presidente amonestó sino por gratitud, está amenazado por una impía y fuerte facción; es ne¿eurío 4e guardase la compostura y órden debido. ) que se mire én justicia á los hombres que están comprometidos con la suerte «Se trata asimismo (continuó el Sr. Galiano) de cuestiones y principio* del actual sistema.…</t>
  </si>
  <si>
    <t>…todo favor, mejor diré, de toda iba á atropellar; y se supuso con dañada intención que me negaba á hacerlo, la justicia que deben gozar. para ser una bandera de rebelión cn Madrid. Viven aun los autores y los testi «Ha añadido el Sr. Presidente del consejo de Ministros, que no ha teni gos de este hecho. Se me obligó, pues, i ir ¿ Andalucía, presentándome de do n» aun el sentimiento de ser testigo del sistema opresor dei Oobierno pasa justicia en justicia, para exponerme á todos los horrores y peligros al paso por do* S. S. me permirirá que no…</t>
  </si>
  <si>
    <t>…Se sa? Claro es que sí, según se'hallá el artículo; pero claro está que no déberia ñor conde González Castejon.» acordó por la negativa. tetterloí| parquet yo estoy en posesión de la casa, aunque no presento el título. El ÉXcmo. Sr. Presidente manifestó, que teniendo la fortuna de hallarse ’La“¿isa ,':si'no es mié, tampoco es del Gobierno, y este debe respetar li pose- , en*esta Heróica Villa S. M ry.debiendo presentarla el proyecto discutido por «ion.'Ño sé ha de dar lugar á que el fisco se meta en la averiguación de títu medio de una c…</t>
  </si>
  <si>
    <t>…s , S. Simón, Quintana, Arengo y gulente.méparécema? éltactóquese diga el director de rentas ,que es el ,en- Ayala. ■ -■ ■- . • ■ ■ JX.V. ’. ' s efirgsdode los raiOos .dc amortización ,.y de quien dependen los comisionados ' . El Sr. Presidente : «Va 4 darse cuenta al Estamento de varíes proposi dpi ^rM¡ú&gt;‘|¿Útc9i y en donde dice subdelegados, debe decirse comisio ciones hechas por algunos Sres. Procuradores respecto de este asunto.” : nados, porqué tienen un unto por ciento.” , Se leyó efectivamente'la'primera , que decía: «No conformánd…</t>
  </si>
  <si>
    <t>…roposición sin que el Estamento decidiesc qntea sl la to A petición del Sr.Pátarea se leyó él-áft. 96 dél Reglamento. ’ ; maba en consideración, - i ' ¡. MI Sr. £o/wr: »Pre¡cisamenre me-ha preVeniríó ei'SélPalareá sóbre lo que El Sr. Presidente: »La-proposición es una misma, aunque'.qst&lt;hArmada.en iba S decir.' Antes hé dicho que el art.' 91 prevenía 'qué tílfíte diiCutiesé ningún diferentes papeles.” ,L-.&lt; ¡ainsu-.-.l-- proyecto de ley sin que una comisión hubiera ;ÍSdo^»u'ldictámeh; que si bien MI Sr^ González (Z&gt;. Antonio): »Habiendo d…</t>
  </si>
  <si>
    <t>…inario: tomando dicho señor alférez Real la silla de la perior agHdo. presidencia, y leída y aprobada el acta anterior, se trató y acordó lo siguiente: También se leyó el recibo indicado firmado por los Sres. fiel ejecutor Don El Sr. Presidente entregó un certificado dado por mí el presente escriba José Gabriel Almeyda y síndico procurador general D. José Monrerrcsi, con no, en que consta circunstanciadamente el acto de la solemne Real proclama fecha 19 de éste propio mes, en que expresa que como encargados por este ayun ción hecha á la S…</t>
  </si>
  <si>
    <t>…as a los oficiales que no quieren ir á sus bierno interior, cuyos dictámenes eran que no había inconveniente en que se filas?” discutiese en público. ^ 1 «La disciplina es la primera necesidad de los ejércitos: los defectos en El Sr. Presidente dijo se imprimiría, distribuiría y señalar.a día para que puede incurrir un corto número de sus individuos no deben aplicarse á discutir dicha petición. todos. ¿Quién puede extrañar que haya oficiales mas ó menos libios ¿ quienes La comisión de Poderes manifestó estaban corrientes los documentos ju…</t>
  </si>
  <si>
    <t>…doübh lo qué manifestó el Sr. Secretario del Despacho de Estado,que ñol, sin abandonar jamassus banderas, yrdaftdo días dé-gloria á su patriá!” 'para acabar la guerra de Navarra loi que se necesita es dinero. Solo me confor- , El Sr. Presidente : «Habiendo todavía algunos Sres. que tienen pedida la .maré en que se le den ahora 200 millones, reservándose las Córtes darle mas palabra sobre este asunto; «e continuará mañana su discusión &gt; ciérrase la sesión.” ^después cuando'vea la marcha que sigue, y los efectos que producen sus medí- 5* le…</t>
  </si>
  <si>
    <t>…n su falta de salud, y en la necesidad que tiene de permane «No creo necesario en primer lugar eatrar en la cuestión de si son legí cer en Barcelona. timos ó no los actos del Gobierno que rigió desde el afio 1820 al Í823. Oigo El Sr. Presidente anunció que se iba í proceder £ la discusión por artí mas: los doy por supuestos. El resultado a que para ponerlos en planta en la culos de la petición sobre revalidación de empleos obtenidos en la época cons actualidad se necesita una rehabilitación; por manera que en la forma en que titucional. s…</t>
  </si>
  <si>
    <t>…s de otro mo El Sr. Visedoi «La comisión ve Ja a conformado con que se admita en la do no seria fácil saber cuáles eran los que pudiese necesitar. segunda parte de este artículo la exclusión de los maestros de escuela y de los El Sr. Presidente anunció que mañana discutiría el Estamento el dictá— catedráticos. Con respecto á ios individuos de las órdenes religiosas, qqc ha men relativo á la elección del Sr. D. Manuel Villachica, cuyo expediente ha propuesto el Sr. Caballero se excluyan también, es menester tener presente que bía quedado s…</t>
  </si>
  <si>
    <t>…ro juicio, y pueden y deben calificarse para dad, que no debia.admitirse ninguno que hubiese «ido realista. La memoria ha imponerles su sanción. E» claro que la desafección notoria no podía serlo tino sido infiel cu este punto al Sr. Presidente delconsejo da- Ministros; pues lo que í consecuencia de esta conducta, yqejta sencilla advertencia destruye lá,obser manifesté y sáfelo que giró cuanto dije, fue que podrían ser admitidos loa que, vación y la dificultad que el Sr.Miaistro ha presentado.” hubiesen entrado enVaqueltás Jila* por,.coac…</t>
  </si>
  <si>
    <t>…s ptoyetto de ley supletorio dedos presupuestos antiguos en tanto que se: aprue entido."" ban los de gástos ó ingreséis para el ífioT835. “ El Sr-, Mhanday Olmedilla: «Fiase el art. 66 del iéglamento.” LeidO éste dictámen dijo el Sr. Presidente que se imprimiría y repartiría Fetdó qúé‘'fúe j&gt;or el Sr. SecretarioCaballero, Continuó pára discutirlo en la sesión dél sábado próximo.; y désputs de anunciar que mi- ‘ El Sr. Éíirañday Olmedilla: «Yo creo que nb hay en este artículo nin- fiani continuarte la discuión pendiente á la hora acostumbr…</t>
  </si>
  <si>
    <t>…á emitir su voto por escrito en la discusión para que ha sido invitado. res Próceres alegan excusas para asistir al Estamento. El Excmo- Sr. Secretario, marques de Guadaicazar , hizo presente que en Se dió cuenta de un oficio d¿l Sr. Presidente ’de la comisión especial para la Secretaría no se hallaba documento alguno del Excmo. Sr. duque de S. Car el eximen del expediente del Príncipe D. Carlos, en que d cc que hab endose los , ni había recibido comunicación alguna de S. E. mas que la que acababa reunido esta por segunda vez , habla notado la f…</t>
  </si>
  <si>
    <t>…auto taba que habiendo examinado'los de D. José Manuel Alcalde, electo Procu rizados para permanecer en sus destinos y dejar de asistir á las sesiones. rador por la provincia de Pontevedra , opinaba que no debían aprobarse por El Sr. Presidente anunció que iba L preceder á la lectura de la memo ser su renta eclesiástica, y no de bienes propios, por lo que debía proceder— ria del Ministerio de la Guerra; y el Excmo. Sr. Secretario de Estado y del se á nueva elección. Asi se aprobó. Despacho de este ramo acercándoseá la mesa, la leyó. Queda…</t>
  </si>
  <si>
    <t>…zación, pues en ral situa Sr. conde de Áfmiidez de Toledo. El Estamento manifestó quedar en ción muchos de les interesados , en especial los viejos y los achacosos, rehusa terado. como ttüjbieh de ófl Ofi«ó remitido por el Excmo. Sr. Presidente del rían trasladarse á puntos distantes , donde tendrían que estar privados de rentas Consejo dé Ministros¡actuando el recibo de otro en qué se participaba á S. M. la durante dos ó mas años. | _ RstMA Gobernatíóra el recoriocimiento del Excmo. Sr. conde de Teba, tomo «Se ha dicho por el ilustre Prócer.…</t>
  </si>
  <si>
    <t>…ebe dejar de reconocer los em impugnación. Dijo dicho señor que era sabido lo que se hacia con respecto á préstitos que se ban hccno anteriormente.” abonar las contribuciones y subsidios en las Cámaras de Francia é Inglaterra. Él Sr. Presidente: « En atención al número de Sres. Procuradores que Ninguno de los individuos de la comisión lo ignoraba, y creyeron que la ver tienen pedida la palabra, y á la hora que es , se suspende la discusión para con dadera causa sería la' misma que ind eó S. S., de que las actuales circunstancial tinuarla…</t>
  </si>
  <si>
    <t>…apruebe el dictamen de la co ca por respeto á las personas, y por ofender lo menos posible, no derechos, misión en la" forma que se proponé.” sino goces adquiridos, que entre unos y otros hay gran diferencia, el adoptar Él Excmó. Sr. Presidente dijo que parecía que el Sr. preopinante aTprin los medios que le parezcan oportunos, medios que la comisión no ha debido cipio de su discurso había inculpado á la mesa por no haberse repartido el insinuar por no aumentar el conflicto y falta de recursos en que ébnsidera al dictámen impreso para que…</t>
  </si>
  <si>
    <t>…ante los competentes- juz gá, Conde de Sástago / conde de Puñonrostro, marques de Guada (cazar, duque gados de la Real jurisdicción ordinaria, admitiéndose á los interesados las ape de Veraguas ; Sr. Cano Manuel, duque de Rivas y Sr. Presidente. laciones para ante los respectivos tribunales- superiores.. Aprobado. - ~ Lo» Excmos. Sres. que no aprobaron fueron: Sr. obispo de Lugo, mar Art. 4*° Los juicios que se establecen después de publicada la abolición ques de Sta- Cruz y S. Esteban, conde de Salvatierra, Sr. Pezuela, marques de del Vot…</t>
  </si>
  <si>
    <t>…cusión. «Todavía en mi concepto hay un medio mas sencillo de indemnizarlos: El Sr. conde de Puíínnrostro se acercó en efecto á la mesa y la escribió. este el el de reducir su número. La comisión ha creído dejar ai arb trio del El Sr. Presidente mindó que se levese el artículo 77 dei reglamento, pre Gobierno e! que proponga este ú otro medio equitativo de indemnizar i esos guntando^ en seguida si el Estamento hallaba el proyecto de ley según lo ha individuos: el Gobierno ha-propuesto la opcion 4 las canongías vacantes. Se bía aprobado el m…</t>
  </si>
  <si>
    <t>…de la fincan y otras sobre el abono de las mejo Ocupando en seguida la tribuna el Srt Presidente del Consejo de Minis ras necesarias ó útiles. tros, dijo: ■ ' »Acaeció, pues,-que cabalmente al ascender al tronoS. M. Doña Isa JEi Sr. Presidente, del Conseja de Ministros. &gt;• Ilustres Próqeres: S- M. la bel ii, la augusta Reina-Gobernadora, movida de los sentimientos de justicia, Reina Gobernadora me ha mandado tener la honra de presentar 4 este ilus de equidad y de reparación, que son el norte y la guia de su conducta, expidió tre Estament…</t>
  </si>
  <si>
    <t>…dal salpa.hastaque e^te^resuelva.” leyj-scj-e^erva 4 derecho de hacer, una pctkyqn éste.jempréstito.: EÍ fcuerÉl Sr. Pfírgos: «.*Yo protesto.” pp legislativo.y el' gubernativoconvencidos, dé tq1^ sln &amp;ediosr no *puedé: con*n» Él Sr. Presidente: «Proteste V* -E. cuant-o guste; pero retírese.” cluirsq la guerra;civil; que.existiendo esta tampoco pueden hacerle las.reformd^ Él Sr^ Burgos: w Yo me retiraré; pero protesto....” necesarias, ni llevar adelante ios planes mas^onveoiemes 4-rk feíiciitkd d® '!3' *■' ' Jíabiendo salido del salón el…</t>
  </si>
  <si>
    <t>…Sr. purgues de Guadalcazar manifestó que con arreglo al reglamento Habla sido aprobado por el Estamento, el cual lo halló conforme. Acto con soto en las votaciones nominales podía usarse de esta facultad; pero no asi en tinuo el Sr. Presidente levantó La sesión, anunciando que para la inmcdiaia m las que no tenían este carácter, en las que con arreglo al art. 67 habí* el de avisaría según costumbre. EN LA IMPRENTA REAL</t>
  </si>
  <si>
    <t>…rlo en el Esta Interior; las cuales eran de dictamen que no había inconveniente en que se dis mento de Sres. Procuradores del reino, en donde continuaba la discusión so cutiera en público. bre organización de la Milicia urbana El Sr. Presidente anar::ó que se imprimiría y repartiría, y en seguida se Con este motivo el Excmo. Sr. Presidente suspendió la discusión indica ñalaría dia para su discusión. da, expresando que se avisaría á dicho Sr. Ministro de lo Interior el dia en La comisión de Poderes dió cuenta de que habiendo examinado los…</t>
  </si>
  <si>
    <t>…s sancionada ra , fundado en que el nombrado no tenia fincas ni nada que lo ligase al pais, por S. M. la Reina Gobernadora. 1 haya nombrado,en su lugar otro empleado, acabado de llegar i su destino, y Concluida su lectura dijo el Sr. Presidente: »E1 Estamento de Srey. Pro que no tiene fincas tampoco. ¡Quéjase de que el primer elector rio tenia otra curadores del reino ha oido con la veneración que debe la augusta sanción circunstancia para serlo que la de alcalde mayor, y en seguida nombra á otro de S. M.” alcalde mayor 1 Y si al primero…</t>
  </si>
  <si>
    <t>…lquiera redac objeto no ha sido inculpar á nadie, sino hacer una advertencia que roe parecía ción que se presente como mas adecuada al objeto.*? natural.*9 El Sr. Cuesta: «En una discusión tan dilatada es difícil no repetir lo El Sr. Presidente anunció que iba á continuarse la discusión pendiente so dicho por otros preopinantes; pero como el tiempo debe tener su valor en los bre el proyecto de ley para la organización de la Milicia urbana. cuerpos representativos, procuraré ser sumamente breve. Yo juzgo que para con Se concedió la palabra…</t>
  </si>
  <si>
    <t>…acer una ofensa personal; responderé que no, nandez Blanco, Mantilla, marques de Montevírgen, Fleix, Rulz de Bucesta, como ya ayer lo insinué privadamente.” Miranda y Olmedilla, Moscoso&gt;de Altamira, Vega y Rio, Vázquez Queipo, El Sr.*Presidente anunció que iba á continuarse la discusión sobre ei pre Calderón de la Barca, marques de la Gándara, Martel, JaramiUo, Carrillo supuesto de casa ReaL Albornoz, Rodas, Alcántara Navarro, marques de Espinardo, Lasan!*, PalaEn consecuencia se leyó el párrafo del proyecto del Gobierno que asig rea, Pu^…</t>
  </si>
  <si>
    <t>…onarca que la concedió , fue desaprobada la propuesta del votación premunió el Sr. Arguelles si la asignación de que se trataba era mera Gobierno. mente gratuita, ó si tenia á ella el Sr. Infante D. Sebastian algún derecho anr El Sr. Presidente anunció que el Estamento se reuniría mañana á las once tenor; y el Sr Miquel Polo, á nombre de la comisión, contestó que habiendo para tratar del presupuesto relativo al Ministerio de Estado, j cerró la sesión de esta pedido ai Sr» Ministro de Hacienda en 12 de Noviembre del presente año ate dia í…</t>
  </si>
  <si>
    <t>…utorizar al Gobierno ,es la de ocho millones y pico Santiago, y que en su consecuencia, por haber sufrido alteración en uno de de reales por el aumento de carabineros de costas; pero esta partida es tnexacsus articulo*, el Excmo. Sr. Presidente, con arreglo al art. Iü2 del reglamen ta. El presupuesto de carabineros, suponiendo que este cuerpo tenga la fuerza te interior de gobierno, había nombrado á ios Excmos. Sres. conde de Ofalta, de 11,822 hombres, son 29 801-3 rs. (dejo los picos pequeños); pero como Vallejo, conde de Puñonrostro, Ga…</t>
  </si>
  <si>
    <t>…rs. al vo to mas, cuanto no se acompaña el estado correspondiente en el presupuesto que cal eclesiástico contraria á lo prevenido en el artículo 10 del Real decreto ha examinado. de 13 de Junio; hallándose duplicado el sueldo del Sr. Presidente del consejo «Tampoco se hace mérito, en él de los sueldos y gastos del tribunal de Real, sin duda por una equivocación involuntaria de la secretaría del Despa Nunciatura , que importaron 494*12*1 rs. en 1827 , 490,000 en 1828, y 5009 cho de Estado; y cobrando el Sr. Garelly el’ sueldo como Ministro, re…</t>
  </si>
  <si>
    <t>…s nacio lamente cuatro en Europa; los demas no tienen ninguno; y eso» solo tienen, si nes extrangeras. Desvanecida esta objeción, pasaré muy brevemente á hacerme no me engaño, una asignacion de 6&amp; rs. cargo de las reflexiones del Sr. Presidente del consejo de Ministros. La pri «Respecto ¿ los sueldos.de los embajadores y ministro» en .las principa mera, y que merece á mi juicio uná atención especial, es U relativa al juicio les costes, opina el Gobierno que no podrá hacerse rebaja. El de Lóndres dis de la comisión .acerca de reducir i encarga…</t>
  </si>
  <si>
    <t>…te era un axioma del Gobier le manifestará á las claras cual es la marcha que se deséa que siga. No-quiero no representativov« pero en dónde existe esa ley de responsabilidad ministerial, ser indiscreto* tratando de arrancar del. Sr. Presidente del consejo de Minis que hast* ahora no he visto, ó pesar de mis deseos? Bien es verdad que tal.axiotros secretos-déEstado, cuyo descubrimiento pudiera perjudicarlos. Soy tam ma está déstruidopor otra especie emitida por dicho señor en este mismo sitio, bién enemigo de'cenprarda conducía deLGóbicmo, cu…</t>
  </si>
  <si>
    <t>…los prisioneros 1* ron los nombres de estos 14 Procuradores en ®tras tantas ccdjl.is, que se colo gavilla ataba mandada por Cuevillas, Basilio, Baquedano y el titulado briga caros) Cn una urna sobre la mesa de la presidencia. El Sr. Presidente interino dier Pedro Miranda , que fueron los primeros i ponerse eri fuga, constando 'sacó cinco cédulas, que leyó el secretario primero; y resultando que contenían toda su fuerza de 120 infantes y 80 cabillos, ratos de las bandas que entraloe nombres de los Sres. conde de Adanero, Latorre, Fuster,…</t>
  </si>
  <si>
    <t>…EMENTO •fy A LA GACETA DE MADRID DEL JUEVES 21 DE AGOSTO DE 1834 ----- ■■■■■' ■ — ■- 111 — ———• CORTES. conjn grande espasmo » desque provino calentura, cuya causa le impide asis tir * Estímenlo. ESTAMENTO DE SEÑORES ÍRÓCBXKS# El Sr. Presidente anunció que iba á leerse la memoria respectiva al mi nisterio de Gracia y Justicia; y el Sr. Secretario de Estado y del Despacho de Sesión del día 20 de Agosto* lo Interior d jo, que hallándose ausente de la corte el Excmo. Sr. Secretario de Estado y del Despacho de Gracia y Justicia, le había enca…</t>
  </si>
  <si>
    <t>…bercase. El Es ferido i mediante estar ya decid.do que los bienes de la muger son pi opios del tamento quedó enterado. marido. Asi se aprobó. Igualmente lo quedó de las exposiciones remitidas por los Sres. D. Ma- A invitación del Sr. Presidente entraron i jurar y tomaron a.iento los nuel María Losada , electo procurador por la provincia de Orense l; y conde do Sres. Romarate, González Pérez y Agreda.-------------- ,------- Villamena, por la de Granada, manifestando no haber concurrido aun á las El Estamento quedé enterado de un oficio del…</t>
  </si>
  <si>
    <t>…valer las razones de que es contrario á la causa publica , que ofende á la tener por no haber cooperado la Nación á ellos; sin embargo, refiriendo el política, y que tal vez envuelve principios no conformes á lo que está dispues Sr. Presidente del consejo de Ministros las palabras de la comisión, en que se to, y otras por este estilo. Si tales inculpaciones se hubieran probado con tan hace reprobación de ese émptéslito, se subió á un punto tal, que dedujo que ta fuerza y- firmeza , como se hicieron, confieso que se estaría en el caso de de c…</t>
  </si>
  <si>
    <t>…tan poco clara co patria? ¿Dónde están los libertadores para que les distribuyamos coronas?.,.. mo la de los empréstitos desde el año 1323 hasta abona. En España no hay mas que la potestad regia, que no ha concedido mercedes, El Sr. Presidente anuncio que habiendo aun bistante* Sres Procuradores sino que ha restituido derechos, que ha levantado á la Nación abatida para co que tenían pedida la p.ójbra, se suspendía ia c.scuóon por hoy, y se conti locarla en el púesto que le corresponde, para enlazar su libertad y gloria con nuaría mañana…</t>
  </si>
  <si>
    <t>…o» marques de Albaida, y marques de Castejon. El Estamento quedó deres y documentos de D. Manuel Sánchez Toscano, electo por la provincia de enterado. Córdoba , opinaba se admitiese á dicho Sr. con la protesta que hacia de pre Et Sr. Presidente dijo que en su consecuencia nombraría los individuos sentar los recibos de la contribución de fruto* civiles correspondiente* ¿ este que habían de componer dicha comisión mista con los Sres. Proceres que se año. Se aprobó en eMos términos. acababan de expresar. También dió cuenta ia referida comisi…</t>
  </si>
  <si>
    <t>…r prommpido en la expresión al &amp;r4enfal (Para qué? Pára qué el Gobierno tenga lugar de ver cómo se\podr¿n llevar á orden, se detu vo el Sr. Galiano. efecio'las,medidas que se prppoñen, y qué inconvenientes tendraq en lá ejecu- El Sr. Presidente : «Si algún Sr. Procurador tiene que reclamar el órden, cíon. Todos estos fines hacen indispensables ciertos Trámites, cierta\dciencionc«, hago presente que debe dirigirse á mí;,pero dé ningún modo hacerlo por sí.” 1 que «bien. alguna vez .pueden retardar momentáneamente alguná^¿¿a útil, El Sr. Gal…</t>
  </si>
  <si>
    <t>…rior á su talento la Sr. Galiano, en que el Estamento en una materia tan importante debe em plear los términos mas respetuosos al dirigirse á S- M. buena fe con que profesa ciertos principios incompatibles con el estado actual El Sr. Presidente dijo que si fuese necesario se vería por las actas que se y circunstancias de la nación. Tiene muy á la vista un peligro, y i su lado no propusieron diferentes redacciones, las cuales fueron desechadas por no conve ve otro mayor. Permítame S. S., repito , que sin tratar de acriminarle en lo nirse l…</t>
  </si>
  <si>
    <t>…n segundo debo-hace-p presente por5» trató del réglamelítor^Sí lytomrrj-y muy g^m4e- ñon im torrente dft ^oéucn----- que parece que lo ha olvidado el Sr. Secretario de Hacienda, que no he sido cía como la en que siempre abunda el Sr. Presidente del consejo de Ministros, yo quien ha indicado que sabiendo que existia el reglamento como está, no hizo una oposición muy fuerte. Sí señor; tengo muy buena memoria; hizo una hubiera venido á enlarde en este sitio, sino otro Señor Procurador, que no degrande oposición; y perdóneme S. S. que en esta par…</t>
  </si>
  <si>
    <t>…te, respecto del Gobierno la Real, de Hacienda, y de Rentas provinciales, las que opinaban que no habia cuestiónj^tá intacta: no ha habido mas que una comunicación del general que inconveniente en que se discutiera en público- El Sr. Presidente anunció que se pide oficiales para el ejército, y la concesión del'Gobierno. Asi, pues, la imprimiría y repartiría, y que en seguida señalaría dia para su discusión. cuestión , a mi corto entender , debe reducirse á determinar si una persona que Se mandaron pasar á la comisión de Poderes los del Sr…</t>
  </si>
  <si>
    <t>…quí no ha habido un hecho tan marcado, v q^c la pa guarnición francesa en Ancona. Por último, añadió S. S. que conocía bien el ridad no es exacta. Efectivamente, admitiré esta diferencia; pero aúnes mav &gt;r velo y sentimientos del Sr. Presidente del consejo de Ministros para creer que nuestro motivo de disgusto. Ciertamente, si el Papa supiera que le iba en ello tolerase insultos de aquellos que encierran una provocación directa. ei percibir ó no las gruesas sumas que van allí en virtud de que esa comunica El Sr4 JÍfg&amp;eilef i «Esta discusión h…</t>
  </si>
  <si>
    <t>…igual á todos los demas Soberanos! igual al Emperador El Sr. Caballero-. «Voy meramente í manifestar una contradicción en de las Rusias, asi como at Presidente de los Estados-Unidos de América; pero que me parece ha incurrido el Sr. Presidente del consejo de Ministros contes esta calidad no tiene tan íntima unión con la otra que no sea posible el que tando ai discurso del Sr. Arguelles, respecto del desagrado que había manifes la pierda, sin perder no obstante el carácter indeleble y sagrado de cabeza vi tado S. S. por el estado de nuestras…</t>
  </si>
  <si>
    <t>…á rubricado de la Real mano. =s lio de 1829, 3 de Agosto de 1831 y 25 de Abril último, exigiéndoles acosen Aran jaez 21 de Marzo de 1834- = A M'colas María Garelly. su recepción. Dios &amp;c. Madrid 4 de Febrero de 1834 ^Garcóy.ssSr. duque Presidente del-Consejo Real. Considerando la índole peculiar de los negocios contenciosos; la itnposibí-» Udtd de conocer acertadamente de ellos sin las formas establecidas para su cur Realrs órdenes citadas en ¿a anterior, so y terminación; la necesidad de poner fin á Iá admisión del considerable nú Habiendo…</t>
  </si>
  <si>
    <t>…ometidos en verificarlo inmediatamente, y otros usar de la facultad que concede el artícu d&gt;cho país en algunos meses del presente año, comparándolos con otros igualar lo 14 del citado reglamento: acto continuo ha dado el Excroo. Sr. Presidente del pasado, y haciendo ver que se habían aumentado. En particular se refiriód por terminada esta primera junta preparatoria. los crímenes políticos, pira los cuales pedia la continuación del bilí, insistiendo en que era necesaria esta medida, y concluyendo que la Cámara tuviese á bies aprobar la prorog…</t>
  </si>
  <si>
    <t>…opinaba debía declararse nula aquella elección, y acordarse por el Esta nido con posterioridad. También es cierto que concluida un acta, y declarado mento: l.° Que nq se proceda al nombramiento de nuevo elector sino por fa por el Sr. Presidente que se levanta la sesión, ya no ba lugar á entrar en nue llecimiento de otro; y que la no concurrencia de uno de los electores detenga va discusión; y se da por concluido el acto, para continuarlo en otra sesión. el nombramiento siempre que esté tagalmente establecida la junta: 2.° Que la Igualment…</t>
  </si>
  <si>
    <t>…er una proposición, si el Estamento /lo juzgaba por mento una vez,.no/vuelve á .prestarle. Asi pues, aquí no se necesitaba nuevo oportuno. . . juramento, pyeséran Jos .mismos los electores2"5ifueran nuevos catarían en el rT- ^Ei ^Sr./Presidente ¿úntelo que podriaTormaKzarse, acercándose á la mesa Caso de prestar juramento; mas üo(Se hallan en él los clectofes-que se han reu y poniéndola por escrito- 2 ¿ y nido, puesto qué lo tienen ya prestado; Ñcrtetago otra cosa qqé decir. Por tan=*\ - ^2 En fi estada quedóxstá discusión,^pasándose,fen…</t>
  </si>
  <si>
    <t>…be mirarse la cuestión; ahora que pronuncie el Esta li ley recopilada no tuvo otro objeto que abolir las mismas formalidades de las mento.” estipulaciones romanas que á pretexto de salvar la buena fe ofendían muchas ve Anunció el Sr. Presidente que sienda machos aun los señores que tenían ces la esencia de los contratos Nada dijo respecto á esta última, y asi hay otras pedida la palabra no podía concluirse la discusión de este asunto en la presen varias leyes en el mismo código que declaran la nulidad de los convenios usu te sesión; por l…</t>
  </si>
  <si>
    <t>…proyecto de ley.** dose al Sr. Secretario del Despacho: no ha sido V. S. quiapí lo ha d¡_ho; no Leyó un provecto de ley subre los bienes mostrencos. hav que alarmarse, ha sido un particular , amigo mió , á quien se lo he oído; El Sr. Presidente: '»Se imprimirá y distribuirá el proyecto que se acaba ^ pero en fin el Sr. Secretar.o sabe que esa rrd^csion no se hace de baHe, que de leer, y se nombrará una comisión especial, en atención á la impoi tanda de cuesta dinr.ro, y que por consiguiente sale de lo» londos públicos. Con que si esta ley…</t>
  </si>
  <si>
    <t>…se le exonerase de dicha comisión por ser ninguna de las que se publicaban en el dia, pues que aun en los suplementos y.a individuo de la de Guerra. , de la Gaceta se rtotabuh inexactitudes, d« que podía dar fe el mismo Sr. Se El Sr. Presidente dijo-que no habiendo negocios pendientes de que tratar, cretario. del Despacho, el cual en una ocasión, que no tenia presente, convi y estando las comisiones ocupadas en asuntos importantes, se suspendían las se no enque en cierta sesión se habia omitido un dicho suyo que el Sr. Secreta siones hast…</t>
  </si>
  <si>
    <t>…ron aprobados. propuesto, habría ocasiones en que de dos de estas no se reunírian mas que 60 En seguida este Sr. Procurador entró á jurar y tomó asiento. hombres , y esto no es escuadrón; ademas de que les damos el número de 5 El Sr. Presidente anunció que se iba á continuar la discusión del proyec oficiales, resultando que un escuadrón tendrá 10; y por estas consideraciones la to de ley sobre organización de la Milicia urbana, y que habiéndose concluido comisión ha fijado la fuerza de dichas compañías de 80 i lUO hombres. En con ayer la…</t>
  </si>
  <si>
    <t>…asar de nuevo a la misma para discutirse en la vínculos de la obediencia en los hábitos de ia consideración y la deferencia, que sesión inmediata. se forman ellos pqr sí mismos, por las .garantías que ofrezca la propiedad, Iss El Sr., Presidente dijo que no habia inconveniente en que se discutiera en cuales conducen á esta deferencia habitual, prendí segura de ia sumisión. Es la sesión inmediata, si el Estamento decidía que pasase á la comisión páre re menester que él Gobierno vea cómo puede conseguirse e&gt;ta deferencia; y*yo dactarlo de nu…</t>
  </si>
  <si>
    <t>…Sr. marques de Espinardo, y el segun triota; y ¿se le quitará el derecho de asistir al Estamentoí ¿Se le baria un car- £ do en el Sr. Polo y Mooge. go por no haber conservado en España bienes que tuvo que salyai á toda costal P¡1 Sr. Presidente; «No teniendo ningún asunto de que podamos ocu Caso tan extraordinario merece una resolución extraordinaria; sus conocimien parnos mañana, nos reuniremos el lunes á las diez de la tuyo, para continuar tos, sus trabajos en las Cortes anteriores son notorios; los servicios que puede los asuntos pendi…</t>
  </si>
  <si>
    <t>…e supone compuesto de empleados y gober rador por la provincia de Pontevedra, preguntó si podría hacer préviam-nté nadores civiles. Somos 3 en “el Estamento, Medrano, Rivahérrera y jo; yo una reflexión: y habiéndole contestado el Sr. Presidente que antes de jurar na soy el mas independiente del mundo ¡ en tebíendo una peseta, estoy acostum die'tenia derecho-í hablar, prestó juramento, tomó asiento, y dijo en seguida. brado á pasar con ella. El Sr. Cuesta: •’La reflexión que voy á hacer es muy sencilla. La co ”S¡ he sido empleado ha sido e…</t>
  </si>
  <si>
    <t>…mismo que se establezcan ó esteu establecidas, sin perjudicar parte: solamente he dicho que en mi concepto las vacantes que ocurran deben á ios actuales. proveerse por el mismo método adoptado para hacer los primitivos nombra El Sr. Presidente anunció que se iba á continuar la discusión por artículos mientos , pues no hay ninguna razón para que cuando vaque un empleo se dé del proyecto de ley para la organización de la Milicia urbana; y que habién por otro método que por el establecido anteriormente. Yo lo comprendo asi; dose concluido a…</t>
  </si>
  <si>
    <t>…ano del Gobierno en Riofrio pa- El Sr. Torrentejí.t: «)La comisión crey^. rnie el secretario y capellán aora que jK^úfaé ff*ffircliffByútjÉúdf'»fcpmtediera aliKCnaral Midi, el bi4qfi4UP^|S&gt;btttgp, en vísta de ló'que, ha diclió'el Sr.'Presidente del conrajo ’ :¡rat&lt;r4e|punrcrdjL conlas idei^pabpf pw l|i ím¡e agftraüí inconvAiente Egfqufe se ctj|pte en esta ^ptt«^^t^ y.^^a'Bacy tyd.obra&lt;^fegn^le ||ctasen su, lealtad( prudencia y valor, unidos a streXpertencia y conocimiento Srfíáisj paT' . : los damavifidilúibos de fuo consiguiente no puede dud…</t>
  </si>
  <si>
    <t>…lla, entre otras cosas, había sometido á la considera El Sr. Caballero: «Para votar debo hacer presente, en primer lugar, que ción del Estamento la necesidad de que se formase una tarifa, tomando por el consulado de París, que el Sr. Presidente dtl consejo de Ministros ha dicho base un quinquenio, con el objeto de que este trabajo pudiese servir én la le que cst4juprimido, figura en la propuesta del Gobierno por la suma de &lt;5'J9 rs. gislatura inmediata para el arreglo de este ramo del presupuesto-, pero no insis En segundo lugar be oido á…</t>
  </si>
  <si>
    <t>…y en cuanto i lo» Sres. Carrillo y Urbina, que la junta quedaba en Hacienda, los qQe Uceaban i su cabeza al intendente de la provincia, diriterada.. ^ ciéndnse la cxpresada'columna al pueblo de Sotillo, en donde según aróos se £1 Sr. Presidente con Jps Secretarios procedió al nombramiento de los Pro bailaban lo» facciosos en número de 20 á 24 hombres: éstos al aproximarse curadores qüe deben componer la comisión que ha de recibir y despedir i S. M. las tropas huyeron precipitadamente al monte, donde fueron cargados por ¡as</t>
  </si>
  <si>
    <t>…cutirse si no ha pasa atención dél Estamento, y leeré el principio de la sesión del dia 16 de Se do antes por tres comisiones; de modo queuonviene enteramente lo uno con tiembre , en que dió principio esta escabrosa discusión. El Sr. Presidente del lo otro; y todas las disposiciones del título 7.a en nada absolutamente se opo Consejo de Ministros me permitirá que haga uso de la misma arma de qoe nen á las del S.“; no hacen mas que’confirmarla; no hacen mas que establecer él se ha valido en otra ocasión, puesto que él me ha enseñado á dio con…</t>
  </si>
  <si>
    <t>…a comisión, y de los segundos el Gobierno, sino los dictámenes de la comisión: el proyecto de ley del Go Sr* conde de Toreno, como opositor á ella. bierno no puede ser votado,' pues, mientras no sea discutido; esta es una con (El Sr. Presidente: »Hso es precisamente ló que va á ejecutarse ) dición sine qua non. No se ha discutido el proyecto de ley, lo diré una y mil »Es menester que el Estamento repare una' cosa en que no me confor veces; no se ha puesto á discusión mas que el dictámen de la comisión - porque mo vo con el Sr. Secretario…</t>
  </si>
  <si>
    <t>…una especie de inspiración vane de dctirncn, citando el de ley io ha recibido el Estamento ; porque asi se ba anunciado desde su prin reglamento. Repito que casi siempre he entendido muy poco de reglamentos; cipio % por el mismo Sr. Presidente, al fijar su discusión pira tres días despuet pero lo que siempre ftc tenido fijo en nu idea en esta prolongada difusión , es de le da ; aun en la irmma drcusion todos dicen y convienen en que hay pr&lt;rque el ó'den Rgico que poponu el Gobierno en su proyecto , ha s.do inver yrcto di ley y diLtámen d…</t>
  </si>
  <si>
    <t>…una regppoia, berberisca! En cuanto pueda insistiré en que nd haya semejante Milicia en mi patria; poique a tales faldones no debemos con ESPAÑA. fiar, como únizo baluijTté, la guarda de ia hhcrldd.,. &lt;ic lu Caita y de la Reina. »Sr. Presidente: Yo me acuerdo haber dicho en esta jala que los huraca Madrid 23 di Octubre. nes del norte también se hacían sentir al sur de ios Pirineos: no, se&gt; piaron muchos dias-ián que su Lnilu jo Fuese tal que llevasen a dichos lugares al hom ELECCION DE PROCURADORES DEL REINO. bre que temblaba sol tmente c…</t>
  </si>
  <si>
    <t>…ender al eximen de los derechos de la propiedad que se fundan en do misión definitiva al Estamento, y este acordó con la comisión. cumentos escritos, es indudable que se ocasionarían infinidad de males, cuvas Anunciando el Excmo. Sr. Presidente que el Excmo. Sr. Secretario de consecuencias podemos deducir de los perjuicios que hasta ahora ha caucado se Estado y del LJespacho de Hacienda iba á leer el proyecto de ley, cuya pre mejante legislación en materia de mostrencos. sentación estaba señalada para este día, ocupó S. E. la tribuna y le…</t>
  </si>
  <si>
    <t>…mponts para que: «El «Respecto á la tercera observación de la comisión, no debe ser un objeto Estamento se sirva acordar que en el presupuesto de Estado entren, llanta el ar de atención para el Estamento, pues díce (lo leyó) y el Sr. Presidente del con reglo deSnit vo de los derechos de obvención á beneficio del erario, las canti sejo de Ministros ya nos ha dicho que hay inconvenientes en esta reunión. En dades que se cobren por los consulados en cada punto á juicio del Gobierno.” lo demas me parece son muy útiles las observaciones de lá comi…</t>
  </si>
  <si>
    <t>…jóvenes de lenguas ó agregados, veo que »e les da una tas á las reglas generales que se establezcan.” ventaja que no tienen eít ninguna otra carrera. Ademas de ser brillante de por El Sr. Secretario Caballero: «Respecto á que el Sr. Presidente del con sí la que abrazan, se les abonan los viages, y yo no veo ninguna razón de jus sejo de Ministros y otros Sres. Procuradores que han hablado en esta difusión, ticia para hacerlo asi. Yo pregunto, si á un empleado que He Cádiz vaya á la han convenido en la idea de que se suspenda, se va á someter…</t>
  </si>
  <si>
    <t>…esto se haga destruyendo la Libertad de imprenta y quebrantan se hacen estas divisiones sin exponerlas á chocar. {Muy bien.) do abiertamente un artículo de la constitución, cual Jo hace la Jey que se pro El Sr. Cabet: Conresto al Sr. Presidente y á la Cámara que aquí se dice á pone confiando la censura á la policía , único y verdadero fin del proyecto, por menudo que no se debe interrumpir {Exclamación en el centro.); y que si se mas que se disfrace dando este encargo i los ayuntamientos. enuncia un error, todos tienen derecho de rebatirlo.…</t>
  </si>
  <si>
    <t>…o es que no correspondía otra cosa que pasar a su almanaque del año pasado, y que nunca se pudo conseguir saliese sin retraso. exámen por artículos.” Por lo tanto el ministerio en esta jmateria, en que todos tenemos igual ínte El.Sr. Presidente: "Son consecuencias que me parece no pos deben ocu res, á fin de evitar las inexactitudes de los periódicos, creyó que publicán par en discusiones: poniendo lo que ha sucedido, todo el Estamento estará coa* dose las sesiones en la Gaceta , no de una manera oficial, porque no lo es eq forme.” esta p…</t>
  </si>
  <si>
    <t>…el de la practicar en favor de sus subditos; pero no por e*o estará persuadido de que se justicia, el de la conveniencia y el de la política.” puede atender á sus razones; y yo tengo demasiado concepto de la justicia deL Aqui el Sr. Presidente interrumpió al orador previniéndole esforzase la que hoy rige la Francia para pensar otra cosa. La Francia no ha de querer mal voz , ó se adelantase un poco, como en efecto Jo hizo. a la Nación española, a su Gobierno, m a sus Procuradores porque declaren »Decía, pues, (prosiguió) que e&gt;tas cuestio…</t>
  </si>
  <si>
    <t>…la-riqueza, én la mejora en Us con que aquella-tuyo para separarse del projpcto, el referido.Sr. Carrasco retiró sai tribuciones y su recaudación^ medidas que están á nuestro alcance , pondrán preposición ; y á su consecuencia el Sr. Presidente cenó la sesión i las tro, sin duda á la Nación en el caso de atender á sus obligaciones interiores y exte previniendo que continuará la discusión mañana á las diez de ella. riores. Pero si desde luego ven los acreedores que las deudas contraídas dc 2i EN LA IMPRENTA REAL.</t>
  </si>
  <si>
    <t>…ace á los oficiales estampada acuerdo la comisión; y el Go EI Sr. AJcalá Galiano manifestó que en atención £ la gravedad del asun bierno. Sin embargo, esté no insistirá en que se adopte su ppinion. Lo que de to, deseaba saber del Sr. Presidente si suspendería la' discusión de este articuló sea es que^se baga el servicio con regularidad, y que no se grave mas á.los que .para mañana, ó ai habría de concluirse, en- la s$*lon de este dia. lé han de hacer obligándoles í estos gastos.” . E¡ Sr. Presidente cónteapS que esto dependería del número…</t>
  </si>
  <si>
    <t>…riosidad. Por lo demás, las Córtes saben que pueden presentar una petición y ción de la Milicia urbana conforme á tas bases establecidas en esta ley-” acusar al ministerio cuando crean que ha abusado de sus funciones- Yo no he El Sr. Presidente anunció que mañana se discutiría el proyecto de ley re dicho que podría subsistir esta parte del artículo, quitando la palabra motiva lativo á la quinta de 253 hombres, y cerró la sesión á las cuatro. a a- / I EN LA IMPSJWTA &amp;XAX&lt;</t>
  </si>
  <si>
    <t>…nidad, y que no dejarán dé esparcirse; cadadel de división, judicial.'Dios guarde á V. muchos años- Aranjuez cual pues ta dará por avisado.” ’ '' ' 24 de Mayo de 1834,=José María JVtoscoso de Altamira.=Sr. gober 1 A propuesta del Sr. Presidente el Senado declaró que la sesión en que se nador civil de..... debía deliberar sobre los asuntos de la ciudad fuese secreta. Se redactó un protocolo por separado, y se determinó que después de sellado se guardase sepa Teniendo S. M. la Retwa Gobernadora en consideración los mé radamente. Después de…</t>
  </si>
  <si>
    <t>…ió á la votación, manifestando previamente dicho Siendo este el dia señalado por reglamento para la elección de los cuatro Sr. Secretario que el total de Sres. Procuradores presentes eran 72, y por con Sres. Secretarios, mandó el Sr. Presidente que se leyesen y se leyeron ios ar súmente la mayoría absoluta 37 votos. tículos 22 y 23 del mismo reglamento. Verificada la votación, dicho Sr. Secretario leyó los votos que resultaban Acto continuo se procedió á la elección, resultando en primer escrutinio de su lista , repartidos en la forma sig…</t>
  </si>
  <si>
    <t>…e delitos y penas no tiene una conex.ion necesaria con el sistema le ocupando de este negocio, y que me lo remitirá en esta semana. De consiguien gal para fallar; asi se ve que casi todas Jas. naciones modernas ban conocido te el Sr. Presidente podra señalar día para su discusión , en el que se presenta la ventaja de tenerlo en diferentes cuerpos la comisión ha atendido, para pro rá por el Gobierno, no solo la admisión de la petición, sin© ya cumplido su poner este órden de examen, á lo urgente y perentorio que es entre nosotros la objeto…</t>
  </si>
  <si>
    <t>…&gt;ueblos ..nacidasde la idea oue tencon.irEI marques de Sorrien4elos¡=Jlefn¿rd¡na Victoria.i!_ 1 ¿lS/s gatnrormatla en la' matériá. lis menester respetaren ellos la suprema ley de 1« Esta petición había sido examinada de órden del Sr. Presidente, según propia con^eryapion^ j el Gobierno no tiene fuerza legal , aunque sí puede teprev'ene el reglamento, por las tres comisiones de sMariija', Ifi$ejjipp'^^míciííí 1 neoEiláíiríil,‘parai&lt;Sbl¡gár-á Üfc pueblo que cierra sus puertas i la enfermedad, urbana, que opinaban podía discutirse en público…</t>
  </si>
  <si>
    <t>…re, individuo de que se vió el duque de Broglic obligado á dejar el ministerio: sabe que fue de ella, había quedado esta reducida á cuatro individuos. resultas de no haber querido la Cámara sancionar un tratado hecho por Sebas El Sr. Presidente dijo que se reemplazaría dicho individuo, é invitó al tian] , su antecesor, con ios E&gt;tados-Unídos. Este caso es igual al que nos ocu Sr. de Cezar para que prestase juramento, como lo verificó el expresado se pa : la Cámara encontró que no era ju*to. Es muy duro que la Francia nos ven ñor , tomando…</t>
  </si>
  <si>
    <t>…caeremos en una verdadera ruina, que í 13 mrs. á 4 p. 100........................... 31.847,224 H toda'costa debemos evitar. (Impidiendo el ruido oir la poca voz del orador Deuda sin Ínteres. | en la tr bj.na, impuso silencio el Sr. Presidente, y se restableció completamenj tc ene.) Si no reconocemos los empréstitos extrangeros nos encontraremos sin 1,309-413,393 24 Certificaciones.........4 941.645,331 2L ReciboSdciatereses.íCaPIta,,2andoá ! medios en el interior , y sin facilidad en el exterior parar-salir de nuestros ac- ! Iualcs apu-…</t>
  </si>
  <si>
    <t>…ó por varios Sra. Procuradora la lectura de los artículos 96,95, ba y Cosío, conde de Huet, Morales, De Pedro, García de la Maza, Ortiz 77 y 76 del reglamento, y se leyeron. de Velasco. . . A consecuencia de lo manifestado por el Sr. Presidente acerca de volver Sra. que manifestaron abstenerse de votar: Domecq, Cuevas, Bermudez el artículo discutido ¿ la comisión , según previene el art. 96 del reglamento, del Villar, Alvarez Pataña , Cícera , Onis, conde de Almodovar , y Ruii después de un ligero debate, el Sr. marques de la Gándara bizo…</t>
  </si>
  <si>
    <t>…h^ ~derirsft fpie e^trrangerj r por p?rm He», los Sr&lt;s. PuV:crr«s lm Fyrrrinc. Sne&amp;... -ran/V Ai* ---- __fue ¿ peticinn-^lel Spr-mndt- fie P.iñnnrr&gt;&lt;tT-rt| D. Aiiaucl.de Ricardo de A!jvat. D. Pedro González Vallcjo, marques de El Sr. Presidente mamfeiró que el dia 19 del corriente hábil recibido del Albaidj y el conde González Cástejon, y por la de los Sre*. Procuradores Tos Eterno. Sr. E). Javier de Burgos um expo.icion que contenü la prtKc^ra que Sre«. D. Alvaro hlorcz fji'traHa , marques^de Mon?er!'r¿cn , D. Agustín Argue S. E. hacia c…</t>
  </si>
  <si>
    <t>…ríón, .Carrillo ejlfe demasiado recargado, y que para la comisión dé Mostrencos han sido Manrique, Somoia , López del Baño, y marques ríe Montevírgen. ^ nombrados los Stes. Larriva, Cotoo, Crespo Rascón, Sólanot, Calderón, Co- El Sr. Presidente: «En ^tención á que los. presupuestos se han dividido Hantes. y;-'Morales.”, n-, . .. . v en dos partes, a saber, la recaudación y lá distribución de las- rentas del Estado,, El Sjf. Secretario del Despacho de h Interior: «Al tomar én considera ha parecido conveniente hacer la misma división en las…</t>
  </si>
  <si>
    <t>…a corona de España. Se mandaron dis bana tenga que sustituir ó auxiliar 4 la guarnición, la duración del servicio or tribuir entre los Sres. Procuradores, y archivar los restantes. dinario para estos cuerpos será de un mps.” . El Sr. Presidente anunció que habiéndole manifestado la comisión de Mi Cuatro son las adiciones presentadas al art. 20. licia urbana haber concluido sus trabajos respecto de las adiciones que se ha—, l-a Por el Sr. Belda en estos términos: bian presentado al proyecto de ley sobre la materia, iba á dar cuenta de su »…</t>
  </si>
  <si>
    <t>…1; Ortiz de Velasco 1; Cueva Leída y aprobada el acta de la sesión anterior dtó cuenta el Sr. Secretario 2; Latorre 6; Miguel 1; conde de Adancro 1; Carrion 1; López i; Anaya 3; de un oficio del Gobierno, en que se participaba al Sr. Presidente interino la marques de Montcsa 1 , y Fuster 1. lista de los Sres. Procuradores que han sido electos por mas de una provincia, i Quedaron pues electos los Sres. Caballero, González y Trucha. saber: El Sr. marques de Falces hizo la observación de que los Sres. Valdric y Sr. D. José Clarós por las de…</t>
  </si>
  <si>
    <t>…al Estamento para que resuelva lo secrep. ;Y cuál es el caso actual? El de tres militares, que con motivo de ha mas conveniente y útil i la Nación.” ber enarbolado una bandera han Sido castigados; y pregunto: ¡estes: tres indi El Sr. Presidente: «Me parece que no habrá dificultad en nombrar otra viduos pueden reclamar juntos? Deben acudir por medio de sus gefes, y me comisión para que al mismo tiempo que la nombrada trabaja en el código de recen castigo por no hacerlo. Ha dicho el Sr. Secretario que debía dar cuenta procedimientos, trabaj…</t>
  </si>
  <si>
    <t>…ue Se le há desp'ojádff 3i' una '"Tomaron parte en esta discusión otros dos Sres. Procuradores, y en se - tierra. Ahora está el Estamento en el caso de resolver la tinea que la secretaría guida se puso á votación, á propuesta del Sr. Presidente, la resolución si ha de seguir. Yo creo que debe someterse la resolución de cualquiera solicitud guiente : 1 á la mesa; pues el Sr. Presidente eshombrado por el Gobierno y los Secreta «Si las comisiones que han comprendido qué el art. 131 no les manda rios por el Ésta mentó: eílosdcbeñ'decñBi; sííe…</t>
  </si>
  <si>
    <t>…cultad de bailar un medíoste Prestó juramento y tomó asiento el Sr. D. Ramón de Llano y Chavarri, resarcimiento que fuese decoroso y bástante, se abstiene de pioponerle á las Procurador por la provincia de Barcelona. Córtes. • El Sr. Presidente dijo: Mañana no se reunirá el Estamento. El jueves á No asi con respecto al venerable deán y cabildo. Sus actuales individuos las diez de su mañana lo verificará para los asuntos pendientes y el exámen de poseen con titulo legítimo prebendas y beneficios, cuyas rentas, menguadas poderes, la discusi…</t>
  </si>
  <si>
    <t>…el día, 4 no ser los tratados con los Gobiernos de Francia, Córtes, hubiesen evitado acaso los empréstitos; pero i cuánto no se hubiera di Inglaterra 7 Estados-Uní dos, que se llevarán á debido efecto.” cho en contra de ellas! El Sr. Presidente manifestó que antes de resolverse sobre esta adición ha «Vea, pues, el Sr. Procurador y el Estamento toda la gran diferencia bía uní indicación preliminar, que motivando resolución general sobre asun entre los empréstitos de las Córtes y los que se contrajeron después. Aquello» tos de esta clase, i…</t>
  </si>
  <si>
    <t>…s se estimasen opor bierno hace esta manifestación con la docilidad que le 'es propia, porque su tunas. objeto os aproximarse en cuanto sea posible á la opinión del Estamento, al Después de algunas ligeras contestaciones entre el Sr. Presidente y otros mismo tiempo que cree insistir con la minoría en que se debe procurar por to varios Sres. acerca de la inteligencia del art. 96 del reglamento, se leyó y dos medios no disminuir nuestro crédito.” _____ ________ aprobó la siguiente indicación del Sr. Caballero. «Pido que »e vote el art. 2.a Ha…</t>
  </si>
  <si>
    <t>…rtas. dándose insertar en ella el voto del Sr. Chacón, contrarió á la aprobación del Declarado el punto suficientemente discutido, se aprobó el dictamen de la art. 1° del proyecto de ley sobre reemplazo deí ejército. comisión. El Sr. Presidente anunció que habiéndole participado lá comisión de Mi Se dió cuenta de una adición del Sr. Ruiz de Bucesta al proyecto' de ley licia urbana haber concluido sus trabajos respecto á las dos adiciones que tomó sobre reemplazo del ejército para el año 1835 , reducida á que «cuando los ayer en considerac…</t>
  </si>
  <si>
    <t>…Sr. Scoane facilitaría la contestación que se esperaba al ofi fermos. cio que se habia pasado sobre su renuncia, cuya dilación habia sido efecto de Granada. e=D. José Búrgos Tillo. su auseécia. Valencia. = D. A ntonio1 Ayarza, El Sr. Presidente manifestó estaba persuadido de que las causas que habiatt Valladolid.eeD. Rafael Faustino Sana. tenido los Sres. Procuradores electos para obrar asi, serian justas; pero que no podía menos de dar noticia al Estamento de este asunto, como se acababa do Señores cuya elección consta por las actas sin…</t>
  </si>
  <si>
    <t>…por esto queda apenas epeenrA li ifna del dia se reunieron en la salá dé la Cámara electiva los miem itada la grande é importantísima tarea de lasieyes reglamentarias. La falta dp bros di las dos Cámairás'légíílat'¡vas,ytuegó-el Sr. Presidente duque de Pal- buena inteligencia que se manifestó especialmente en la Cámara electiva; pp meia , hallándose S. rM’.'Tr.! ¡5tóxíma af palacio:de-' las Có ríes, nombró la gran permitió que sus crabajoá se adelantasen con regularidad. Dos [partidos que se diputación que debiarécilbir 4; la Reina5, cy…</t>
  </si>
  <si>
    <t>…inon era de dictamen que no se debia acceder á esta solicitud pomo hallar la provincia de Barcelona, y D Ramón de Ciscar, que Jo es por la de Lérida. se dicho Sr. en el caso del párrafo 3.° del art. 15 del Estatuto Reai ; pero El Sr. Presidente anunció que iba á continuar la discusión por artículos sí que se le concediese el tiempo necesario para restablecerse. del proyecto de ley sobre deuda extrangera , y empréstito de 4ÓÜ millones.' El Sr. Belda-drjo: que no sabia cómo siendo la práctica constante del Es- El Sr. Caballero. «En virtud d…</t>
  </si>
  <si>
    <t>…omó el Estameato én conside que habían servido para cubrir.los gastos en uno y otro hemisferio , y que asi ración esta proposición, y fue aprobada. como entonces los intereses y beneficios fueron comunes, si llegase el caso en El Sr. Presidente : «En virtud de la proposición que acaba de aprobarse lo Sucesivo de arreglar las recíprocas relaciones, debería tenerse presente esta pasarán los artículos que comprende á la comisión de Hacienda; y te" el ob enorme carga de la España. Convengo con S. S. jeto de que esta tenga tiempo suficiente pa…</t>
  </si>
  <si>
    <t>…, marques de BesoHa &gt;-duque en ella el voto particular del Excmo. Sr. duque de Gor, contrarío al acuerdo de Osuna, marques de Alcafiices, conde de Puñonrostro, duque de Si Carlos, del Estamento sobre la mocion hecha por el Excmo. Sr. Presidente en la refe marques de Cerralvo, marques de Castelar, duque de Veraguas, marques de y Sr. Presidente. duque de Rivas Guadalcizar, t&gt; £ - £réa*e&gt; rida sesión anterior j , c ... Sr. Presidente anunció que aprobado por Concluido este acto el Exctno. del de dos oficios Se dió Sr^ Pre cuenta, y el Estame…</t>
  </si>
  <si>
    <t>SUPLEMENTO A l.A CACETA DE MADRID DEL MARTES 29 DE JULIO DE 1834. CORTES. El Excmo. Sr. decano de la comisión encargada en redactar el proyecto de contestación al discurso del trono manifestó al Excmo. Sr. Presidente, que aun que dicha comisión se ocupaba incesantemente en este trabajo, no hab a podido StTAXSMTO rS 109 PftÓCB&amp;BS DBL XBINO. todavía concluirle; pero que lo presentaría á la mayor brevedad posible El Excmo. Sr. Secretario D. Antonio Cano Manuel hizo presente que aun Sesión del dia 28 de Julip, no s…</t>
  </si>
  <si>
    <t>…José Llanos. = Rufino García - Afortunadamente la nación se ha puesto en el camino de las- reformas y - Carrasco. da las mcjoras, y guiada por V. M. no es de esperar que volvamos á. los te Después de leída esta petición di jo el Sr. Presidente: «Se imprimirá es nebrosos tiempos de la ignorancia; pero es necesario para continuar con paso ta petición que se acaba de leer, según lo que se acordó en la sesión anterior, fítme'por fe via.de los progresos Ventos , restablecer la inviolabilidad de la y para su discusión se señala el lunes próxim…</t>
  </si>
  <si>
    <t>…os los mos muy conformes en la justicia de abolirse este gravámen tan dañoso á los recursos para que no auxilien á la facción con nuestro mismo oro.” pueblos, yo desearía que esta petición volviese á los señores que la han pre El Sr. Presidente interrumpió al orador manifestándole se salía de la sentado, ó se pasase á la comisión nombrada ya para este asunto , á fin de que cuestión : á lo que contestó este , que su objeto solo era hacer ver la absoluta la redactasen de otro modo , y en términos de que se consiguiese la abolición necesidad…</t>
  </si>
  <si>
    <t>…s aglomerar rentas cuantiosas. 'suspender su curso-en virtud del proyecto de ley que el Gobierno ha presen- « Las'provincias de Aragón , Cataluña * Valencia y otras bo pagan seme lado.”El Sr. Medratttii «Yo respeto la Opinión del Sr. Presidente; pero no me antiguajante Voto;coronay éstade Castilladesigualdad, es otrode tributosmotivo queparasufrenque ellasVotar“ttesaparezca&gt;que pertenecieron sii lala «s posible convenir con ella. La comisión no tiene ínteres en que se discuta ó balanza de la justicia pesa igualmente que ia equidad y la co…</t>
  </si>
  <si>
    <t>…e se debe suspender esta discusión hasta el ley presentado por la autoridad .Real en virtud del derecho que le compete , y sábado, y entonces discutir párrafo por párrafo el proyecto de ley presentado para cuya discusión cí mismo Sr. Presidente ha señalado día? Si hoy decide el por el Gobierno.” Estamento sin discusión que se condone lo que se debe, «qué puede decidir n El Sr. Presi lente: «V. S. hace dos proposiciones: una, que se suspenda pasado mañana respecto def proyecto de ley en que el Gobierno dice que no la discusión hasta el sáb…</t>
  </si>
  <si>
    <t>…dijo que pudiendo ser de alguna utilidad para 2a comisión ción que se indica en ella es ridiculísimo, porque no recae sobre ningún ante de lo Interior, si el Estamento lo9tenia á bien, pasará ¿ ella. cedente; bien sé que no es el Sr. Presidente quien puede remediar esto: que es El Sr. Rrtaherrera: «Se trata de una exacción para un camino público. el Sr. Presidente del Consejo de Ministros, porque la Gaceta es oficial, y los Esto debe pasar al Gobierno, el cual podrá decir si se debe continuar ó no taquígrafos se pagan por el Estado. Yo pi…</t>
  </si>
  <si>
    <t>…ninguna en que que qne r« 1* genrftítfa mas segura del que obedece, es el apoyo mas firme del que de dentro del Estamento.” ----------------- ------ — manda y la prenda mas cierta de estabilidad para los tronos y para ¡ás itttEl Sr. Presidente : "Permítame el Sr. lie!da le diga que no es la cuestión tituciones. si sé admite ó no esta exposición, sino el decidir qué giro ha de llevar.” V. M, ha puesto un término á la reacción que dió principio en 1823 , y El Sr. Brida-. "Yo tengo que advertir a! Sr. Presidente que muchos de los que se ha…</t>
  </si>
  <si>
    <t>…usar en asunto de tanta impor y se encuentra embarazada por no tener la ley de Ayuntamientos. Desearía tancia el menor entorpecimiento ó dilación.” que el Sr. Secretario del Despacho de Estado tuviese la bondad de decir en qué El Sr. Presidente manifestó que ta comisión podria indicar si le era abso estado se halla dicha ley.” lutamente preciso para sus trabajos la ley de que se trataba. El Sr. Secretario del Despacho de Estado: «El ministerio responde lo El Sr. Vicedo contestó que la comisión no los dejaba de la mano, habién que ya tiene…</t>
  </si>
  <si>
    <t>…omó asiento el Sr. D. José Porret, Procurador por la tornaguías del que se consume fuera del pueblo donde se cosecha, y 4 otras provincia de Gerona. . formalidades impracticables, y hostigados de mil y mil maneras se ven en la El Sr. Presidente anunció que se iba a proceder á la discusión de las dos dura necesidad de hacer las mas onerosas transacciones con aquellos. peticiones Siguientes que habían seguido los trámites del reglamento: 1-* sobre ” En fuerza de estas razones, los infrascritos esperan que el Estamento tenla abolición del im…</t>
  </si>
  <si>
    <t>…llalar^José de Vila la perjudica. He dicho esto porque como Procurador de Murcia era mi obli ñals.=Manuel de Pedro.” gación hacérselo presente al Gobierno.” El Sr. Ochoa: «Pocas peticiones me parece que se presentarán en el Es El Sr. Presidente: «Antes de proceder á la votación de la petición que tamento que tengan una justicia mas conocida y menos inconvenientes en su se discute, halé presente que acabo de recibir una exposición del ayuntamiento admisión, pues en ella falta el grande que con referencia á otra dijo el señor de Minaya, apo…</t>
  </si>
  <si>
    <t>…vedad por estar reuniendo ya los documentos nece- ' dejó de haber las mismas reclamaciones que en el día; pero.se alegaron'los de riós al efecto. - rechos acostumbrados, la posesión inmemorial &amp;c.; y subsistieron los impues- : El Sr. Presidente: «Estaba anunciada para hoy la discusión sobre ja pe tos. Repito que el «jerecho de propiedad es respetable; pero, que ¿¡ene sus lími tición relativa á derechos exclusivos del Real patrimonio en algunos pueblps tes: y uno de ellos.es la necesidad de atender a ia utilidad pública y á la con de la co…</t>
  </si>
  <si>
    <t>…que disfruta en territorio español, y copias de las contestaciones habidas Se -leyó en seguida un oficáo del Sr. ministro de Gracia y Justicia, al sobre ei particular entre el interesado y &lt;1 Sr. gobernador civil de la proviotfU Sr. Presidente interino del Estamento de Sres. Procuradores, ea que manifesta de Cádiz. ba que M. la Reina Gobernadora en uso lde sus facultades con arreglo al A la misma *e pasó una exposición del Sr. Cwiedes, nombrado por U ait. 21 del Estatuto Real se había servido nombrar de entre los cinco candi Coruña, mani…</t>
  </si>
  <si>
    <t>…zcVicente Cano Manuel.=Antonio Martin que se las lleve también hasta el punto que exigen el sentido común , La necesí— * Cayetano García de la Maza. dad, y sobre toio los sentimientos mas comunes de humanidad para con nuestros El Sr. Presidente señaló el martes próximo para la discusión de la antece prójimo-., que perecerán olvidándose rápidamente en muchos casos. Nosotros no dente petición. sabemos oficialmente cuáles son las opiniones que han esparcido en sus informes En virtud de dictamen de la comisión de Poderes fueron aprobados los…</t>
  </si>
  <si>
    <t>…que la palabra epidemia era genérica y abrazaba también la de con es contagiosa la enfermedad, se nos dice; debemos nosotros dar latitud á las co tagio. municaciones y ponemos en contacto con los pueb’os acometidos pero al mis El Sr. Presidente : «Mañana se reunirá el Estamento á la misma hora mo tiempo se adoptan medidas fuertes1 No, no hay razón para esto: nuestra para discutir el provecto de ley sobre la abolición del voto de Santiago; siendo conservación es lo primero. Los hombres ilustrados, puestos en el centro mismo esta la tercera…</t>
  </si>
  <si>
    <t>…es i 28 de fior D José María de Monreal, solicitando se le exonere de este cargo. Setiembre de 1834. = EI marques de Monte» írgen. = Alvaro Florea Entrada. También se mandaron pasar i la misma los poderes jr documentos justifi Ei Sr. Presidente : «Antes de pasar adelante conviene que el E&gt;tamenio cativos de D. Mariano de Tormes y Solanova, electo Procurador por la pro se enteje de los arts. 96, 56 y 57 dei reglamento.” (Los lejó el Secretario vincia de Huesca. Trucha) Se pasaron también i la misma los nuevos documentos que presentó Don F.…</t>
  </si>
  <si>
    <t>…nto de Sres. Procuradores los remitió al D. Hipólito, obispo de Lugo. El conde de Guaquí. :=sD. Martin Fernandez Gobierno. Navarrete. == Conde de Puñonrostro.c^El marques de Vesolla^sEi marque.- de Concluida la lectura, el Excmo. Sr. Presidente dijo que el proyecto sobre San Felices. = El marques de Monreal y Santiago. =: El marques de Alcañice^" reemplazo del ejército pasaría 4 la comisión de Guerra, y que el Estamento A continuación se leyeron los dictámenes de las comisiones de Estado, decidiese si había de nombrarse una comisión espec…</t>
  </si>
  <si>
    <t>…imo^de parecer que no Al procedetse á la votación de la segunda parte, en vista de algunas re debía nombrarse comisión, y sí entrar i la discusión de la petición. flexiona que se hicieron, convino su autor en retirarla. El Excmo. Sr. Presidente contestó á S. E. que si el Estamento quería ma El Excmo. Sr. conde dé Parsqtv^ manifestó qué su votó había sido contra yor extensión dcicooocimientos eiv la materia- üjter’eíintei dé qtlesé iba i tratar1,' rio i Ib acordado por el Estamento", y pedia constase en el acta de la sesión de no había otr…</t>
  </si>
  <si>
    <t>…n sido dignos del apreció de la Nación española, por la cual derramaron Su ' El Sr. Secretario del Despacho de la Guerra: » A las aclaraciones que sangra en virtud de una contrata r lo cual en nada disminuyesu mérito: ha hecho el Sr. Presidente del- consejó de Ministros añadiré que ignoro, como 0Y0 miró la cuestion bajo dos aspectos, que son él político y el eeooó-, reden llegado, si cuando se pasaron ios antecedente! á la Imprenta Real para mico: hablo con abstracción absoluta de ios individuos. He oído con mucha esta guia en el año próximo d…</t>
  </si>
  <si>
    <t>…al; quisiera que estuviese sujeto al mismo método y norma cioso, como que en él están cireadás las esperanzas de la Nación.” que los.-demas, pues asi habría uniformidad. Por lo mismo que.he servido en El Sr. Alcald Galiana: ® El. Sr. Presidente del consejo de Ministros np ese cuerpo , me duele que costando tanto como cuesta á la Nación , no se pre ha formalizado la proposición que ha anunciado, en cuyo caso yo me opongo sente- Con la brillantez que debe según se vió en la última revista en que hacia á ella. La ha emitido S. S. en el curso de…</t>
  </si>
  <si>
    <t>…ión he visto los buenos efectos que ha producido la primera operación milite de comercio de la misma ciudad Ja carta siguiente fecha 25 de Julio actual. ■ ejecutada por la guarnición de Bermeo en el momento de su establecimiento, Sr. Presidente: habiendo concluido la Francia en 22 de Abril último et como se enterará V. E. por menor de la adjunta copia del parte que1 me ha tratado llamado de la cuadrupla alianza con España, cuyo objeto es expulsar á dado D Juan Manuel de Ondarza, capitán déla trincadura Cristina , que con D. Cirios, este P…</t>
  </si>
  <si>
    <t>…e el dia 18, siendo asi que los dignos Pares habían empezado sus trabajos el dia 16: y habiendo tomado parte en la En 25 del presente dice su gobernador civil que el dia 21 de! mismo discusión algunos Sres. Diputados, concilló el Sr. Presidente todas las opiniones, falleció una persona en la Puebla de Tomésa j sín que desde dicho dia hubie observando que la. indicación ó exposición del Sr. Rebello da Silva no habia se muerto ni sido atacada ninguna otra: quo habia dispuesto pasasen á Nules sido desechada, sino que se esperaba para tomarla…</t>
  </si>
  <si>
    <t>…su delicadeza se resentía, creía que seria convenien de documentos, en que opinaba, que habiendo hallado arreglados los de los te tratarlo reservadamente. Excmos. Sres. con’de de Pinohermosp y duque de S. Cárlos, podían ser ad El Sr. Presidente manifestó por medio del Sr. secretario duque de Rivas mitidos definitivamente ai Estamento , el cual se conformó con lo propuesto que para tratar de este particular y otros que lo exigían había determinadorrepor la?comisión. , ner una sesión secreta. Entraron á jurar y tomaron asiento los Excmos. S…</t>
  </si>
  <si>
    <t>…que sé hallen en el segundo caso, expresarlo en el proyecto de ley, para evitar cuestiones interminables. Digo quedando aprobado por votos contra 14* que creo que la cosecha de este año no está sujeta á la prestación del Votos El Sr. Presidente anunció que se levantaba la sesión pública, y que el Es primero, porque la cosa está íntegra. Los partícipes del Voto de Santiago di tamento quedaba en sesión secreta. rán que al tiempo de la recolección' de los frutos es cuando se devengan la* prestaciones, y los otros dirán que es al tiempo de la…</t>
  </si>
  <si>
    <t>…tos, desde el año 24, podido aun realizar, no es ciertamente por nuestra culpa. Si el Gobierno nece ai Sr, vizconde de S. Simón ia leyó. . ’ - sita mas,- pídalo y se le otorgará; si pide recursos, recursos se le concederán; st El Sr. Presidente preguntó si las fincas eran del padre ó del hijo; y el pide soldados, soldados tendrá: pero en cambió' le pedimos que siga una marcha mismo Sr.'vizponde Contestó que eran del padre. ~i franca y de verdad.jNo es soló en las provincias Vascongadas y de Navarra don •r Un Sr, Procurador dijo: «Se ha tr…</t>
  </si>
  <si>
    <t>…es y familias históricas ó principales de la Monarquía. Lográbase el doble honran, los cuales dejaron de ponerlos; y aun cuando yo conozco que ni el objeto de confiar la guardia de los Reyes á las ciases mas allegadas al trono, A Sr. Presidente ni n^sotro, tenemos una acción directa sobre los taquígrafos de las mas interesadas en su conservación, y á las que se miraban entonces como los periódicos, no puedo menos de-llamar la atención sobre esto.” el antemural’y mas firme valla de sus derechos. Una compañía constaba en El Sr. Vicepresiden…</t>
  </si>
  <si>
    <t>Presidente'</t>
  </si>
  <si>
    <t>…IERCOLES 3 DE SETIEMBRE DE Í8J4. ém CORTES. elegido , y después la ha adquirido; de suerte que este es un caso extraordincí*, y por tanto la comisión lo presenta ai Estamento para su decisión. pUHSNfO ÜZ PROCURADORES DiL RltSR El Sr. Presidente'. La comisión no .ha dado dictamen, y es necesario ^ Se ¿ion del dia 2 dt Setiembre* que el Estamento decida. El Sr. Secretario Belda leyó el título del reglamento sobre el modo de -•—Se'sferSrirf'iit, diez y medía» / • - — deliberar el -Estanacnto de Procuradores, y en seguida dijo: Los dictámenes dé 5…</t>
  </si>
  <si>
    <t>Presidente, Caye Sr</t>
  </si>
  <si>
    <t>Caye Sr Presidente</t>
  </si>
  <si>
    <t>…n de los poderes de dicho señor, y que se pasase ei cportuno aviso bramientos de Proceres del reino, que remitían con su corre&gt;pondiente oficio, para su reemplazo. los Excmos. Sres. D. Luis Balanzat, capitán general de Granada, y D. Caye £¿ Sr. Presidente: "Se ha dado hoy cuenta de una reclamación del in tano Valdés, que lo es del departamento de Cádiz. teresado, y se ha resuelto que pase á la comis on. Si lo* Sres. de esta tuviesen Leyóse una solicitud del Sr. conde de Atares y Albareal, en que hacia la bondad de examinarla , podr a hoy decidle c*;…</t>
  </si>
  <si>
    <t>Presidente, D Ramón Pardifias El</t>
  </si>
  <si>
    <t>D Ramón Pardifias El Presidente</t>
  </si>
  <si>
    <t>…URADORES DEL REINé^ Aprobada el acta de la última sesión, se dió cuenta de una proposición relativa á proporcionar auxilios á los labradores, y de varios oficios recibidos PROVINCIA PE IA CORüKA. por el Presidente de esta Cámara. Sr. D. Ramón Pardifias. El Presidente propuso, y la Cámara aprobó por unanimidad , que se nom brase una comisión para que asistiese á las exequias del Sr. duque de Braganza, PROVINCIA DB PONTEVEDRA. y fuese á dar el pésame á S. M. F. Sr. D. Manuel Llórente El Sr. Souza Holstein propuso que se erigiese un monumento á la memo Sr. Marques…</t>
  </si>
  <si>
    <t>Presidente, Duque</t>
  </si>
  <si>
    <t>Duque Presidente</t>
  </si>
  <si>
    <t>…e mediante la buena inteligencia que El Estamento quedó enterado de un oficio del Excmo. Sr. Secretario del reinaba entre el Gobíernó y el Estamento, no había necesidad de pasar oficio, Despacho de lo Interior, dirigido al Excmo. Sr. Duque Presidente , comunicán y se acordó que el recuerdo fuese confidencial. dole que S. M&gt; se había servido resolver que se establezcan dos guardias de ofi Se leyó un o6cio del Excmo. Sr- Presidente del Consejo de Ministros, re cial, una para cada Estamento, cuyos comandantes deberán estar á las inme mitiendo de R…</t>
  </si>
  <si>
    <t>Presidente, El Sr</t>
  </si>
  <si>
    <t>El Sr Presidente</t>
  </si>
  <si>
    <t>…ldo ordinario: tomando dicho señor alférez Real la silla de la perior agHdo. presidencia, y leída y aprobada el acta anterior, se trató y acordó lo siguiente: También se leyó el recibo indicado firmado por los Sres. fiel ejecutor Don El Sr. Presidente entregó un certificado dado por mí el presente escriba José Gabriel Almeyda y síndico procurador general D. José Monrerrcsi, con no, en que consta circunstanciadamente el acto de la solemne Real proclama fecha 19 de éste propio mes, en que expresa que como encargados por este ayun ción hecha á la S…</t>
  </si>
  <si>
    <t>Presidente, Hitas Sr</t>
  </si>
  <si>
    <t>Hitas Sr Presidente</t>
  </si>
  <si>
    <t>…portugués, y de las penas que se le han de imponer bar en su totalidad, se discutiese inmediatamente; y casi por unanimidad se á él y á los que le acompañasen, en caso que venga á .estos reinos ó á sus do resolvió que sí. minios. Sr. Hitas \ «Sr. Presidente: cuando la Cámara aprobó en su totalidad este «La comisión, de Legislación ha examinado con la roa yo r atención las proyecto de ley me hallaba yo fuera del salón: pido que conste que mi voto proposiciones hechas por los Sres. Silva Sánchez, barón de Rendúffe, Barreto es que lo apruebo una y cien v…</t>
  </si>
  <si>
    <t>Presidente, Isa JEi Sr</t>
  </si>
  <si>
    <t>Isa JEi Sr Presidente</t>
  </si>
  <si>
    <t>…la retención de la fincan y otras sobre el abono de las mejo Ocupando en seguida la tribuna el Srt Presidente del Consejo de Minis ras necesarias ó útiles. tros, dijo: ■ ' »Acaeció, pues,-que cabalmente al ascender al tronoS. M. Doña Isa JEi Sr. Presidente, del Conseja de Ministros. &gt;• Ilustres Próqeres: S- M. la bel ii, la augusta Reina-Gobernadora, movida de los sentimientos de justicia, Reina Gobernadora me ha mandado tener la honra de presentar 4 este ilus de equidad y de reparación, que son el norte y la guia de su conducta, expidió tre Estament…</t>
  </si>
  <si>
    <t>Presidente, José Saint Yuste El Sr</t>
  </si>
  <si>
    <t>José Saint Yuste El Sr Presidente</t>
  </si>
  <si>
    <t>…o se habia colocado en el artí Sr. marques de Villafuertes.' culo á que correspondía, se rectificó esta omisión, y declaró estar conformé Coruña. eeD. Ramón Pardillas. el proyecto con lo aprobado sobre este punto. Puerto-Rico.ee: D. José Saint Yuste-. El Sr. Presidente: «No habiendo asunto ninguno pendiente, no se reu Habana. = D. Frfincisco Montalvo y Castañeda. nirá mañana el Estamento, y lo verificará el viernes á las diez para discutir Córdoba. ee D. Domingo Cañaveral. las peticiones que están señaladas. Ciérrase la sesión.” Se levantó esta á las 4* Soria, rr…</t>
  </si>
  <si>
    <t>Presidente, Manuel Sánchez Toscano El Sr</t>
  </si>
  <si>
    <t>Manuel Sánchez Toscano El Sr Presidente</t>
  </si>
  <si>
    <t>…pasó á la misma ei testimonio del acta de la elección de la guelles , y por secretario al Sr. marques de Torremejía. El Estamento quedo provincia de Córdoba , que ha recaído en los Sres. D. Rodrigo María Cañave enterado. ral , y D. Manuel Sánchez Toscano. El Sr. Presidente anunció que los negocios señalados para la discusión de Se dió cuenta de un oficio del Sr. Secretario del Despacho de Hacienda, hoy eran: pr.mero U petición sobre el reglamento interior, sustituida a la que «n que manifestaba haber «resuelto S. M. se entreguen al Maestro de ceremo se discutió anter…</t>
  </si>
  <si>
    <t>Presidente, Ramón Pardifias El</t>
  </si>
  <si>
    <t>Ramón Pardifias El Presidente</t>
  </si>
  <si>
    <t>…ORES DEL REINé^ Aprobada el acta de la última sesión, se dió cuenta de una proposición relativa á proporcionar auxilios á los labradores, y de varios oficios recibidos PROVINCIA PE IA CORüKA. por el Presidente de esta Cámara. Sr. D. Ramón Pardifias. El Presidente propuso, y la Cámara aprobó por unanimidad , que se nom brase una comisión para que asistiese á las exequias del Sr. duque de Braganza, PROVINCIA DB PONTEVEDRA. y fuese á dar el pésame á S. M. F. Sr. D. Manuel Llórente El Sr. Souza Holstein propuso que se erigiese un monumento á la memo Sr. Marques…</t>
  </si>
  <si>
    <t>Presidente, Se El Sr</t>
  </si>
  <si>
    <t>Se El Sr Presidente</t>
  </si>
  <si>
    <t>…te pedido se le exonerase de dicha comisión por ser ninguna de las que se publicaban en el dia, pues que aun en los suplementos y.a individuo de la de Guerra. , de la Gaceta se rtotabuh inexactitudes, d« que podía dar fe el mismo Sr. Se El Sr. Presidente dijo-que no habiendo negocios pendientes de que tratar, cretario. del Despacho, el cual en una ocasión, que no tenia presente, convi y estando las comisiones ocupadas en asuntos importantes, se suspendían las se no enque en cierta sesión se habia omitido un dicho suyo que el Sr. Secreta siones hast…</t>
  </si>
  <si>
    <t>Presidente, Sr</t>
  </si>
  <si>
    <t>Sr Presidente</t>
  </si>
  <si>
    <t>…al para una regppoia, berberisca! En cuanto pueda insistiré en que nd haya semejante Milicia en mi patria; poique a tales faldones no debemos con ESPAÑA. fiar, como únizo baluijTté, la guarda de ia hhcrldd.,. &lt;ic lu Caita y de la Reina. »Sr. Presidente: Yo me acuerdo haber dicho en esta jala que los huraca Madrid 23 di Octubre. nes del norte también se hacían sentir al sur de ios Pirineos: no, se&gt; piaron muchos dias-ián que su Lnilu jo Fuese tal que llevasen a dichos lugares al hom ELECCION DE PROCURADORES DEL REINO. bre que temblaba sol tmente c…</t>
  </si>
  <si>
    <t>Presidente-tieL</t>
  </si>
  <si>
    <t>…niendo él J,- por 100,Slc amortización ¿ le pone, al medio: esto es re cias ríítersroenti* di wsás y contrari&amp;sá lo.que'Jyo pensaba.I^ conocer Ja'mayor parte; pero; negando el cumplimientó de la mayor parte de ,Vfie oído decir al Sr. Presidente-tieL éoosejo de Ministros, en la hislo-* pago. Recuerdo la idea-dc-uti Ser-Procurador-, de que-ftegaria un caso^en que ria de*de su expatriación hasta obteper el cargo de Presidente de dicho conse se hiciese bancarrota; que sea por el mas ó el menos, por poco ó por mucho, jo, que había tenido gran parte…</t>
  </si>
  <si>
    <t>Presidente-To</t>
  </si>
  <si>
    <t>…de hablar de la imprenta; púa asi lo fián hecho los Sra. Procura preciso. . ( dora que han discutido anta, á quiena se lea ha dejado hablar sobre ella. Pero-sobre todo , ¡qué ocasión mas bella que la presente para organizar es Él Sr. Presidente-To no seré nunca parcial en las discusiones, ni daré ta nación, que aquella en que toda la Europa atá interesada en la conserva , lugar á que se me haga tal inculpación; He dicho, y repito, que si se treta dé ción de la paz general , que tiene los ojos fijos sobre aquel que quiera ir mas hablar del as…</t>
  </si>
  <si>
    <t>Presidenteanunció</t>
  </si>
  <si>
    <t>…e ¡jplarté, Airarez Garda,.Romarate, BuJuán Gualterio), pizarro/Serrano (0,'Fradcnco), Santafé, Toño y Solano!, t tron, Dd Rc|, Camps,San Simón,y Áyda, Marques dé Falces, Acufia ¿ DiezGonzalez,r Fernandez Blanco, Mantilla, 1 ' El Sr. Presidenteanunció que ntt&amp;lu M reuniría el Eatanjeoto í lata once Marques de Montevírgen, Ciñair, Ruiz dé Buóesta, Marques de Somerueios, para continuar la diéoiingapenwcMojr la' de los demás asuntos sefialados, y cerró la sesión. " r ' __— ‘ l / BK XA IMPRENTA REÁfc i</t>
  </si>
  <si>
    <t>Presidente’</t>
  </si>
  <si>
    <t>…n ellos, pues por un descuido incalculable aun no se han publicado; perosí como de haber justificado competentemente su aptitud legal para serlo. se cree generalmente son contrariasá las medidas de rigor, será una mera prut'ba El Sr. Presidente’. «La órden del día es la discusión de la petición acer de la neceMdad que hay de quese pesen sus razónes, y de que se vea en fin si tsra— ca de las medidas sanitarias. mch nosotros en estado de seguir el ejemplo de las dos naoones mas ilustradas «Los infrascritos Procuradores creerían faltar al .deber s…</t>
  </si>
  <si>
    <t>Presidento</t>
  </si>
  <si>
    <t>…stengan pleitos ante los tribunales.'! Tampoco se tomó en consi - v»Ha dacho tambreo el Sr.- González que había una contradicción de par- deración. .- Je del Gobierno-, ¡por cuanto suprimía los juzgado? privativos del Voto de El "Sr. Presidento dip.-»Mañana á las diez se tóinirá el Estamento para - Santiago, y que lo* recursos pendientes &gt;a:e rea de loi; f/ulos devengados pasa- continuar’la discusión del proyecto de ley acerca del Voto de Santiagoy de- -b*n;á los juzgados competente»! de Ja jarqdiccion ordinaria. Esto no envyel- mas asunl…</t>
  </si>
  <si>
    <t>Presidí</t>
  </si>
  <si>
    <t>…u licencia por todo no se halla en el caso de efnitirsu voto particular. Sin embargo , el Sr. Presi el n\0 de Diciembre , por las Causas que exponía. dente determinara lo conveniente , pues yo solo he manifestado esto para que El Sr. Presidí tile: «Mifun.i se reunirá el F.stamento á las once para oír se vea cuál es la marcha que se ha seguido.” el díctájnen de U cmmsion de Guerra acerca del presupuesto de este ramo. El Sr. Presidente mandó que se leyese el art. &lt;58 del reglamento, y asi se r^'-e la sesión.” , verificó. Se levantó esta…</t>
  </si>
  <si>
    <t>Presidínte</t>
  </si>
  <si>
    <t>…Habiéndose peguntado si se aprobaba la mdrcacion del Sr. Presidente del jolio.jsRu&amp;no Garwía Carrasco , Secretar io. Cornejo de Miní-tros, quedó aprobada. ftt Sr. Mnmevfrgen leyó «o voto particular sobre loa mismos, firmado - El Sr. Presidínte: «No pudiéndose pasar á la discusión dpi artículo in por ¿I j pot «I Sr Ftorv Entrada. mediato según el reglamento, se suspende esta dtscusioo, lo mismo que la se Fad p*rtkui*r de las Sru. D. Alvar* ¿*7pr#s Estrada, y ¡margues dt sión pública, para pasar á la sesión secreta. Mañana se abrirá la ses…</t>
  </si>
  <si>
    <t>Presidrnte</t>
  </si>
  <si>
    <t>…remitirá al nible que se verifique asi; pero puede llegar ese caso, y la ley debe evitarlo. ministerio de lo Interior, por conducto del gobernador civil de la provincia, , «Para probar esto me valdré de una expresión que dijo el Sr. Presidrnte una propuesta de tres individuos, con expresión de sus circunstancias y calida del Consejo de Ministros, y á la cual tal vez pueden algunos haber dado un í des, que deberán ser vecinos del pueblo, tener 30 afios cumplidos de edad, y interpretación siniestra, y poco favorable á sus principios libera…</t>
  </si>
  <si>
    <t>Presupuesto</t>
  </si>
  <si>
    <t>…no es este el caso de hacerlo. Unicamente ' Se leyó el pártalo siguiente: expondré, puesto que se ha suscitado esta cuestión , algunas ideas breves sobre el particular. -Efectivamente existe esta ley de Partida citada por el Sr. Secretario Presupuesto del importe de sueldos y gastos del Consejo Real de España del Despacho, que.es la ley 3.a, título 5.°, Partida 2.a; y estoy conforme en i Indias y de los individuos de sus Secretarías. que su aplicación al caso presente es oportuna, por cuanto casi hay identidad; pero también diré que por muy respetab…</t>
  </si>
  <si>
    <t>PresUtntt</t>
  </si>
  <si>
    <t>…n «Estos son los fundamentos que ha tenido la cornisón pan aprobar el pro dicado , y al discutir .el proyecto por artículos cada uno hará las observaciones yecto del Gob ernó en, jodas tus partes.” que tengrpor oportunas.” . ' El Sr. PresUtntt: «Siendo esta la primen vez que el Estamento se Habiéndote preguntado ti había lugar á volar sobre la totalidad del pro ocupa de un'proyecto de ley, no llevará á mal que te lea el tít. 7.° del regla yecto se declaró que sí, r se pasó á la votación nominal, con arieglo á lo pre mento , pan que estan…</t>
  </si>
  <si>
    <t>Pres’dentq</t>
  </si>
  <si>
    <t>…o de comercio el oficio y tuación. Todo lo cual ba contribuido y contribuirá, sí no se remedia, i que ejemplares referidos. . ■« aquellas personas que estaban dispuestas a entrar en la celebración del emprés Habiendo anunciado el Sr. 'Pres’dentq que mañana i las diez se reuniría tito se distraigan y obren con mayor recelo. Asi, pues, todo lo que ic dirija á el Estamento para continuar la discusión pendiente, cerró la sesión á las tres restablecer nuestro crédito tán combatido; todo lo que lleve visos de entrar rn y cuarto. la senda, de U b…</t>
  </si>
  <si>
    <t>Preten</t>
  </si>
  <si>
    <t>…ación empe cias y estado interior del país, y do perdiendo de vista la situación particular zó i disfrutar de sosiego, y de la paz, afianzada en tan caros intereses. &gt; en que pueda bailarse una nación vecina y aliada , a donde un Príncipe Preten ¡_- « &lt;\1 enemigo se le concedieron espontánea y generosamente algunas con diente acaba de ir á animar el fuego casi apagado de la guerra civiL diciones dictadas por las circunstancias y por la humanidad. » Ademas de estos objetos, muchos otros piden vuestra atención. Las le «Porque como nunca.fue…</t>
  </si>
  <si>
    <t>Pretendiente, El</t>
  </si>
  <si>
    <t>El Pretendiente</t>
  </si>
  <si>
    <t>…S. M. F. La Cámara aprueba la proposición. los dos partes siguientes ; El duque de PalmetaPresidente del Consejo de Miniiirot: »La con fianza del dispensa nuevo que ministerio: me ha la cabeza SÍ. M. F. me puesto i . graves ***''.Sr.: El Pretendiente, confiado en que me habia ocultado su mar augusta encargado Señora circunstan la misma en las formarlo »Excmo. por de cias dcl dia, confieso que me vi cargado con un peso muy superior á mis fuer cha con falsas demostraciones y con el sistema de marchas nocturnas que habia zas, dé las cuales todavía…</t>
  </si>
  <si>
    <t>Pretendiente, Figucrás</t>
  </si>
  <si>
    <t>Figucrás Pretendiente</t>
  </si>
  <si>
    <t>…en Torcerte.... 28 i 31 ídem.... 3 1 00 glfiten liun. ' ' ZumalacarreguiSabia pasado por Alegría en dirección á Zalduendo, per- «fguidó por el general-Lorenzo, el cuál sé unió con las fuerzas de su ovando «l 9 en Salvatierra á( '■brigadier Figucrás. £1 Pretendiente estaba en (Iruemica •oísa db -comeíoio. Cotización de hoy á las tres dt la tarde. y el general Espartero-tóXequcitio. ’ . efectos «nucos* , Capitanía general de í'á.Tagon. = Excmo. Sr.: El gobernador de Jaca en Inseripoioaes-en 4Ibro el gnu» á í p. 100* 00. «Acto del 7 me avisa que habiéndose intro…</t>
  </si>
  <si>
    <t>Preville</t>
  </si>
  <si>
    <t>…o mucho que ha con AUSTRIA. tribuido á la glorid y prosperidad de Francia: concluye diciendo que constitui da ya la Cámara, es necesario noticiarlo por medio de un mens3ge á la de los Viena 6 de Diciembre. Pares, y dar gracias al Sr. Preville que la ha presidido durante las juntas pre La Gaceta de Augsburgo trae con esta fecha un nuevo artículo que tiene paratorias. La Cámara adhiere á esta proposición. traza de haberse fabricado en Rusia, y por el cual intenta probar como siem Acto continuo se elige por suerte la diputación que hade ir…</t>
  </si>
  <si>
    <t>Prfíiitytí</t>
  </si>
  <si>
    <t>…vocación que dijo habia padecido yecto del Gobierno, ¿cómo llama al de la ma&gt;oiu de la comisión, que no el Sr. Secretar.o deí Despacho de Hacienda. quiere pagar de ninguna manera una paite principalísima de la deuda á la de 23 El Sr. Prfíiitytí : «Si c&gt;ta discusión ha de continuar hasta que hablen acá ? ¿Que nombre se da á semejante procedimiento? F.so sí que es una verda todos los Sres. Procuradores que tiepen pedida la palabra , me parece .¡que po dera bancarrota, porque no solamente no se paga cantidad alguna-, sino que ni drá suspende…</t>
  </si>
  <si>
    <t>Pridall, Amalia</t>
  </si>
  <si>
    <t>Amalia Pridall</t>
  </si>
  <si>
    <t>…rir una suscripción m auxilio El domingo 16 de Febrero próximo pasado abjuró el protestantismo, ha de las necesidades de la capital y pueblos comprendidos en la linea de obser ciendo solemne y pública profesión de la fé católica, Doña Amalia Pridall, vación, se ha dirigido á los habitantes del resto de la provincia en estos tér de nación inglesa, con sus dos hijos Federico y Antonio, en ja iglesia parro minos : quial de S. Ginés de esta corte. -Obi ¡gado por orden expresa de S. M á salir de la ciudad de Granada pa Nació Doña Amalia en Lóndres,…</t>
  </si>
  <si>
    <t>Prieto, Antonio Romero</t>
  </si>
  <si>
    <t>Antonio Romero Prieto</t>
  </si>
  <si>
    <t>…par del Castillo, oidores de la Real audiencia de Cáceres; 4 D. Sandagp tícipes á quienes corresponda para invertirlas en los objetos de su Fernandez de Negrete, y á D. Juan Peinador y Pino, alcaides del foniíucion. „ crimen; y á D. Antonio Romero Prieto, fiscal de ia misma. Ten Art. 3o Quedan suprimidos desde dicha época los juzgados pro dréislo entendido, y lo comunicareis á quien correspondan Está ru tectores del Voto de Santiago. Los juicios pendientes para hacer bricado de la Real mano.—En et Pardo á ó de Noviembre de 1834— efectivas las prest…</t>
  </si>
  <si>
    <t>Prieto, D Fer y Justo</t>
  </si>
  <si>
    <t>D Fer y Justo Prieto</t>
  </si>
  <si>
    <t>…lanza y tres fusiles. do v Feliciano Gómez, de Salamanca; Pascual Gaona, trompeta del S.° ligeros, que ha sobresalido mucho entre lodos; Antonio Vela, herido, Jo&gt;e Valiente Capitanía general de Castilla la Vieja.=Ejtcmo. Sr.: El brigadier D. Fer y Justo Prieto, soldados del 6.° de ligeros: todos los citados son muy acreedo mín Irurte con fecha 29 de Mayo último desde Durango i*«r dice lo siguiente: res á las-gracias de S. M. JKmo. Sr.fYa he tenido el honor de manifestar á V. E. qué constantemente También son muy dignos el teniente que manda la cabullería…</t>
  </si>
  <si>
    <t>Prieto, Dionisio Antonio</t>
  </si>
  <si>
    <t>Dionisio Antonio Prieto</t>
  </si>
  <si>
    <t>…los rebeldes para que reclamasen su auxilio, en D. F Q., por Agosto............................................................................... 160 tonces serian necesarios extraordmarios esfuerzos de parte de Mehemet-Ali para D. Dionisio Antonio Prieto, por la suscripción de Aeosto y Setiem defender su nueva conquista, cuyos habitantes no están acostumbrados al yugo bre de este año...................... .................................. .. 4® de la dominación egipcia, ni á las exacciones de su sistema fiscal. En vista de El monasterio de PP. de…</t>
  </si>
  <si>
    <t>Prieto, Fer y Justo</t>
  </si>
  <si>
    <t>Fer y Justo Prieto</t>
  </si>
  <si>
    <t>…res fusiles. do v Feliciano Gómez, de Salamanca; Pascual Gaona, trompeta del S.° ligeros, que ha sobresalido mucho entre lodos; Antonio Vela, herido, Jo&gt;e Valiente Capitanía general de Castilla la Vieja.=Ejtcmo. Sr.: El brigadier D. Fer y Justo Prieto, soldados del 6.° de ligeros: todos los citados son muy acreedo mín Irurte con fecha 29 de Mayo último desde Durango i*«r dice lo siguiente: res á las-gracias de S. M. JKmo. Sr.fYa he tenido el honor de manifestar á V. E. qué constantemente También son muy dignos el teniente que manda la cabullería…</t>
  </si>
  <si>
    <t>Prieto, M.itíáiá Herrero</t>
  </si>
  <si>
    <t>M.itíáiá Herrero Prieto</t>
  </si>
  <si>
    <t>…dd triunfo de sus arma» en el nuevo mundo; v a»i es que los habí-| cante» de alcaldes de Casa y Corre por fallecimiento de D. Andrés Oder y as tantev de Puerto-Rico dieron muestra» de grjnde satisfacción por el esmero r censo, de D. M.itíáiá Herrero Prieto al Consejo Real, á ' D. Gaspar Josef de delicado gusto con que su bencmeuto a&gt;timauyi-rnto d.»puso la jura de la Prin Aguiiar y á D. Juan Modesto de la Mota: para la de oidor, que este deja va cesa de Asturias, hoy nuestra Ri-uní yS&lt;ñoV.í. cante fcn la Real Chancii-tería de Vuljadolid, á D. Gregori…</t>
  </si>
  <si>
    <t>Prieto, Matías Herrero</t>
  </si>
  <si>
    <t>Matías Herrero Prieto</t>
  </si>
  <si>
    <t>…or; á D. José Villattueva,' á pojn conocimiento de S.' Míj bara la resOfüCÍdJi que estime concediente. José Martínez Areta, á D. José Mier, á D. Teótimo Escudero,! De -Afad orden lo°di¿» s:V. E. pati suimtwigOTC¡xytatiñfflimián!- D. Matías Herrero Prieto, á D. Francisco Redondo y á D. José to. Dios guarde á V. E. muchos años. AraDjuez l.° de Abril de María Calatrava. Y para fiscales de las mismas a D. Manuel Liza- I8.34. = Nicolas María Garelly. = Sr. Presidente del supremo Tri na y á D. Juan Nepomuceno San, Miguel. Tendréislo entendido, bunal de E…</t>
  </si>
  <si>
    <t>…ésta corte; he venido en man- [ 1. ° Que se declare ai R. obispo de León extrañado para siempre de estos dar: l.°, que cese la comi&amp;ion regía conferida por Real orden de 12 de Enero 1 reinos. de Í833 al ministro.del Consejo Real D. Matías Herrero Prieto para conocer I 2.° Que se ocupen sus temporalidades. » de las causas sobre la conspiración de D. Juan deCampos y España : 2.°, que en [ "3.° Que se lé bórre del catálogo de los consejeros de Estado. adelante no tenga efecto la Real orden de 13 de Junio del mismo año, cxpc-¡ 4.0 Que la Cámara promue…</t>
  </si>
  <si>
    <t>Prieto, Remigio Romero</t>
  </si>
  <si>
    <t>Remigio Romero Prieto</t>
  </si>
  <si>
    <t>…Paula Rog, -trdde m-,mr de San Felipe: á D. Francisco A ntnnio_Macho Ville gas , alcalde mayor de Villarejo de Fuentes: á D. Antonio María Ortiz, al Pueblos. Días. Enfermos. Curador Fallecidos calde mavor de Fuente del Maestre: á D. Remigio Romero Prieto, alcalde mayor de Dona Mencía: á D. Manuel García Saez Santander “alcalde mayor Casasola...... ., 15 Ag. á 6 Oct.. 379 323 52 de Infantes jy á D Eugenio Javalquinto y Portillo, alcalde mayor de Priego. Portillo............. .. 1 á 24 Oct......... No consta. No consta. 35 También se ha servido jubil…</t>
  </si>
  <si>
    <t>Primero, Cond' de las Navas’</t>
  </si>
  <si>
    <t>Cond' de las Navas’ Primero</t>
  </si>
  <si>
    <t>…los arts. 78 y 79) «Creo que estamos motivo de pedir que se drje para el sábado. No habiéndose admitido esta indi en el mismo caso que cuando se con'e&gt;tó al d scurso He U Corona." cación , me parece que debe continuarse aquella.” Sr. Cond' de las Navas’. «Primero se aprobó la totalidad, y luego se t.l Sr. Secretario Jel Despacho de ¡o Interior: «Yp soy de dictamen pasó á aprobar párrafo pór párrafo. que se de á las discusiones toda la extensión posible cuando esta no llega á cau Un Sr Procurador (leyó los artículos 99 y 35) El aprobar el proyecto en sar la…</t>
  </si>
  <si>
    <t>Princesa</t>
  </si>
  <si>
    <t>…rca, pacíficamente de 21 de Abril del año próximo pasado le exigió, que manifestase explícita y reconocido; de concitador á la rebelión; de perturbador de la paz del reino; y directamente su propósito de concurrir á la jura de la Señora Princesa, según de promovedor de la guerra civil; y que serian aplicadas á su personj v bienes; debía; cuyas expresiones indican bastante la persuasión en que S. M. se hallaba y á las de sus parciales todas, la* pena* diclades contra los sediciosos y pertur de que el Sr. Infante tenia pretensiones al trono.…</t>
  </si>
  <si>
    <t>…esar de vuestras protestas de su doba , exigió de su Hermano D. Carlos, «manifestase explícita y directa misión, habéis puesto sucesivamente dificultades, alegando siempre otras nue mente íu propósito de concurrir á la jura de Ja Señora Princesa ( hoy la Rei vas, al paso que yo daba mis órdenes para superarlas, y evadiendo de uno en va mi Señora) según debía, para ser el primero que prestase el juramento y otro pretexto el cumplimiento de mis mandatos. pleito-homenage , según ta inmemorial costumbre y ley fundamental del «Dejé de escribiro…</t>
  </si>
  <si>
    <t>Princi, Juan</t>
  </si>
  <si>
    <t>Juan Princi</t>
  </si>
  <si>
    <t>…nzoconcluidoel Realentreá 27 S.d« M.OctubreCatólicade y179$.los Un cuaderno en 4.0 inarquilla impresión de 1796, á 6 rs.- rúsrica. ■ —Tratado de paz y amistad entre los muy altos y poderosos Sres. I&gt;. Carlos tv. Rey de España , y D. Juan. Princi pe Regenie de Portugal y de lus Algarbes , firmado en La Real junta superior gubernativa de medicina y cirugía, director é ins Badajoz á 6 Je Junio de 1-801. Un ctiaderno en 4 0 marquilia, edición del misino año pector dei cuerpo de médico-cirujanos del ejército, en conformidad a lo man á £ rs. rus…</t>
  </si>
  <si>
    <t>Príncipe</t>
  </si>
  <si>
    <t>…egencia bávafa: del; Bajo-Mein ha 700: infantes de l&lt;» cuerpós de zapadores , Réina y Chinchilla, y 80 caballos decretado quétodo, librero qué reciba un manuscrito ó unéobtanueva ,1a de las partidas de lanceros dejjaguajdia Real, Reina, Príncipe, 6° ligeros y presente inmediatameateá-laicensura, sopenadp úna: mulita déMOOtaleis. en celadores montados¿ yencaíganclola celeridad conducente á/la caballeríahi caso de contra vene ion. A consecuencia ídei esta: nueva decisionunajcasa de co ce, adelantar al coronel D-Fermín-Salcedo con parte de el…</t>
  </si>
  <si>
    <t>…iembre.' ' ' ios dos miembros de la regencia llegaron á ayer de Atenas á bordo dé la ' Mr. Metttérlin, antiguo ministro de Hacienda, ha.vueltodesuviage, jia fragata inglesa Madagascar. _ . ~ tenido vajias audiencias de S. A R. el duque Príncipe co-regentes Ignorarnos • Al fin se ha decidido trasladar la residencia delgobiemó á Atenas, y está «‘ este hdrobre 'de Estado volverá .£■ ser empleado en alguno de los principales ya firmado el decreto. destinos del Gobierno. (Mercurio de Suevial) ~ , | - IdetnA.9 de Octubre. •, .. • itaTia. El hec…</t>
  </si>
  <si>
    <t>Príncipes, Julián Martinez y Yanguas Ten</t>
  </si>
  <si>
    <t>Julián Martinez y Yanguas Ten Príncipes</t>
  </si>
  <si>
    <t>…plaza se corregirán por los medio? legales: que los .Estados provinciales á D. Antonio Martinez Baragaña, alcalde electo de la villa del mantendrán su forma y organización como la tenían antes: que los Prado, y para su resulta á D. Julián Martinez y Yanguas. Ten- •Príncipes seguirán en la posesión de su soberanía , é independencia, dréislo entendido , y lo comunicareis á quien corresponda. = Está tatito para sí, como para sus respectivos territorios, sih oponerse rubricado de la Real mano. =:En Aranjuez á 17 de Abril de 1834- sin embargo ni embarazarlas relaciones y p…</t>
  </si>
  <si>
    <t>Prisse</t>
  </si>
  <si>
    <t>…ta de asociaciones políticas. acaba de llegar á esta ciudad, y se ha dirigido inmediatamente á la cindadela Continúa la discusión del proyecto de ley sobre atribuciones de los ayun en compañía de vano» oficiales de ingeniero». El coronel Prisse , comandante tamientos. interino de esta piaza y de toda la provincia, ha pasado revista esta mañana a Varios diputados hacen algunas observaciones acerca de los artículos que Jos regimientos /y 8.° de línea, que componen nuestra guarnición, y a todo sucesivamente se ponen á discusión, y la Cámara…</t>
  </si>
  <si>
    <t>Prjsiiente</t>
  </si>
  <si>
    <t>…s tas Navas: **No hay que tener cuidado, dignísimos entre tanto, si por efecto de la resolución que ayer tomó el Estamento, cuya compañeros mío».... opinión respeto, ve armase con preferencia á los que se alistasen nuevamente, EL Sr. Prjsiiente: «Yo espero que se eviten en lo posible estas contenta parecería que se preferían estos á los voluntarios que defienden á Isabhx n y las ciones , que son tan desagradables.** leyes fundamentales de la monarquía. No se reclama sino la manera de hacer ia EJ orador bajó de la tribuna , marchó á su asi…</t>
  </si>
  <si>
    <t>Prnatótif</t>
  </si>
  <si>
    <t>…e Guardia: nacionaly se ha impugnad^ este especialmente por d Sr. Secretario Bsrsmcnto.” - dé lo Interior. Yo creo que en esto qó ha-tenido razón S. S” ¿í ir, Sanche* Toscano : r&gt; Al hablar por primera vez ¿o ¿ate recinto nó ' &amp;l Sr. Prnatótif: «Permítame V.‘ S. que le advierta qué solo se tra puedo menos de recomendar al Estamento se digne disimular loa defectos en ía sid fétfimen skrla discusión, y no de impugnar las^den emitidas en ella.” . que puedaincurrirpor no estar acostumbrado á-ello.' &gt;■ £1 Sr. Polo y Monge: vlk áhacerlo asi; p…</t>
  </si>
  <si>
    <t>Prnidetite</t>
  </si>
  <si>
    <t>./ -i ' ■ • mtÑMpieflte, «I Sr. Prnidetite djjo que lobre «Üíclio díctímen ¡resolverla el Ef Se mandó pasar 4 la comisión de poderes unt exposición del Sr. D. José X UjjúietítQ en lá primera próxima *es¡on.” ' . &gt;1. ¿ - ’ ^' ^ 'ManiéT .de'Yadit'o, electo por-Cadz¿ manifestando que enterado de la rs- . Los Excrnos. Sres. conde, de PimCnt, ma…</t>
  </si>
  <si>
    <t>Pro-I</t>
  </si>
  <si>
    <t>…por S. M. en la sesión Regia del 24 de Julio de 1834* dic £ qtje lo desempeñe contra su voluntad.” Señora: El Estamento de Procuradores del Reino ha experínientadó el Se leyó el artícqlo 75 del reglamento que previene no hable un Sr. Pro-I t~\ r n T-II-* v o Y ira* é ^ 7 14 J.t ^ n n s «ama am a1 J «a «2 a Va a m a «a! .*_ a ^ curador dos veces Sobfe un mismo asuntó, á no ser individuo dé úna comisión, ó parq deshacer alguna equivocación. . . • , prosperidad a que es llamada por ún pon- ” Sr. Montera: ñEi¡ cIEstatuto Rhai creo se pre…</t>
  </si>
  <si>
    <t>Proairifdor</t>
  </si>
  <si>
    <t>…la debida moderación, si Bíói , md¡G»teae!rloa nuestro*.;'mientras no se^ternuna la discuúon sobre los presñ- este ni en ningún otro'caso i' ipurrros i;y l»nto mascuaptoque.' el Gobierno.ha presentado, y el Estamento ningún otro Sr. Proairifdor. &lt; «liliiliiélii j ls .by suplatória -de,. lóSArsmoss.por U CUiI muta que se 'concluya «Yaque he tomado la glabra: voy i jnstmir al. Estatúan to de,un,asunto dicia &lt;&amp;dis¡on caighrin sobte los pueblos, fes 'anterjores, siéndo por lo t¿to dé mayor Interes pára la putne. El Gobierno acaba de recibir un…</t>
  </si>
  <si>
    <t>Procaradores, Fustert Varios</t>
  </si>
  <si>
    <t>Fustert Varios Procaradores</t>
  </si>
  <si>
    <t>…stinado ese subsidio. Sin embargo, el Escamenfiunca en lo que los periódicos publicasen , ínterin no tuviese, uno dedicado á to determinará lo que guste.” hacerlo de las sesiones dpi Estamento, en cuyo caso habría una comisión El Sr. Fustert «Varios Procaradores hemos reclamado del Gobimro la encargada de examinar si estaba conforme con lo qae se discutiese aquí. Sin ta supresión de ese impuesto, pidiendo que se autorizase á los pueblos de aquella les antecedentes es imposible que el Estamento pueda ocuparse en esto; y por provincia para reemplazar los 183…</t>
  </si>
  <si>
    <t>Procaz</t>
  </si>
  <si>
    <t>…e ' Ereacja. i?,ito lje¿d»ch{hde manera algi^a-qoeUpi seísoies. .dipittedosvotasen loa obtuviere ,. pero lós de Real nombramiento 'deberán volver en -este caso loa aw J« A^»&gt;^ |&gt;or ^nfia^[}aa ciega:,*1 contrario-, respondiendo-al Sr. Procaz despachoe que «e le»' hayan dado como Oficíale* de. laMilicia urbana.*! ’ rador'que vota ¡conmigo, rechacé lajniaimadf Ja confianza, y Ja:rechacé, ca- ’-pí ■ Se leyó y;.*oordóquepisaseála comisión la siguienteadicion al art. 9.a, baltnente-.' no alcícliendOii los Ministros*ciuales,sipo á cualquier…</t>
  </si>
  <si>
    <t>Próccr</t>
  </si>
  <si>
    <t>…iferente , y cae w taba; pero que no obstante, si el Estamento lo tenia a bien , se podría contes les paremia admisible La mene onada propuesta: p.ro el Sr Pr curador D Ma tar al Sr. Secretario de Hacienda, que no hallándose este Sr. Próccr en el caso riano Carmio de Albornoz disintió en esta pane ¿cí Ci.ta.-nrn de ius ■-«*' de la Real orden de 19 de Agosto anterior, no pudo ni debió prestar jura expresando que a &gt;u modo de ver La refen.ia pr •puesta, ce i¡s Sres^ Procer^» mento por el medio supletorio dispuesto por S. M. f por cujo m…</t>
  </si>
  <si>
    <t>Próccx</t>
  </si>
  <si>
    <t>…r. conde de Par- del Despacho de lo Interior, y levantó la sesión. sent; y después de leído, observó el Sr. Burgos que como autor de la propo sición le tocaba defenderla , habiéndose hceho lo_mismo en-la-sesion preceden te-per wr-Sr. Próccx qué tomó la palabra diez ó doce veces, á título de autor de una proposición, y que asi á ¿1 le asistía la misma justicia para hablar, no BSTANENTO DE F * O C U X A D ORE *. habiendo quebrantado por eso el reglamento. Sesión del dia 13 de jigosto. Un Sr. Prócer objetó que á solo los individuos de un…</t>
  </si>
  <si>
    <t>Procedente</t>
  </si>
  <si>
    <t>…a adhesión á la Reina nuestra Se dil.czExcmo. Sr. Secretario de Estado y del Despacho de la Guerra. ñora, creo deber recomendar á V. E. por segunda vez al subte niente agregado á la plana mayor D. Luis del Arco, al capitán Excmo. Sr. : Procedente (le Braganza, y perseguida hasta la ra graduado D. Manuel Pardo, teniente del mencionado escuadrón, ya de España una partida de 12 de caballería, y unos 80 á loi) y á D. Luciano Llano, alférez del mismo, no menos que al capi hombres españoles y portugueses, de cuyo numero una pule eran tán del prop…</t>
  </si>
  <si>
    <t>Prócef</t>
  </si>
  <si>
    <t>…e Toledo: y Carlos y su familia , el Excmo. Sr. duque de Veraguas propuso que no se pre hallándolos completos era de parecer fuese admitido definitivamente , y asi se guntase si estaba suficientemente discutido ínterin hubiese un Sr. Prócef qué acordó. •' tuviese pedida la palabra, y asi se acordó. Se leyó eV difctámen por el'Exce— La misma'resolución recayó sobre otro dictamen de la mtsma comisión lentísimo Sr- Secretario, y tomó la palabra ocupando la tribuna. en el expediente del Excmo. Sr. conde de Tabeada, exponiendo que hallan E…</t>
  </si>
  <si>
    <t>…da en lá rapi ' ras, de las plazas ó costas marítimas, y las operaciones en grande de la campa dez de la improvisación.” ba 5 jmt03aéríffi«|ío^saKnd9ti^reco*ímiajle&lt;ttmta_imopiim&gt;cia,_4íin hay No^habiendo pedido la palabra ningún Sr. Prócef en contra de la totali mas, sefiot: nyilwán&lt;Mftjlo«/baylon#\de a :Mticia qtwiT ,, estos dad oel &gt; próyeélo J sí declljó ceySJhl, la discusión; y precediéndose 4 la vota también referan lSs ejárcitos oe qgeraápnt». i. volar a reot^ei laúrela^ en lot- ción nominal sobre si se puaria al éxámen dí^ada.…</t>
  </si>
  <si>
    <t>Procer</t>
  </si>
  <si>
    <t>…o podían ser uniformes los dictámenes de la comisión en- los buenos sentimientos, tan dignos de la Augusta Reiwa Gobernadora, y cargada de revisarlas. que nada dejan que desear. Sin embargo, no se encuentra en la contestaron a Un Sr. Procer pidió que se leyesen una por una, á que contestó el señor este discurso uoa palabra dirigida á levantar la grande obra para que han sido Presídante que para no dilatar mas el acuerdo 6obre las solicitudes de los seño- convocada* las Córtes, cuando el penúltimo párrafo del discurso del Trono, tés re…</t>
  </si>
  <si>
    <t>…s y oportunas, y que en cierta manera satisfacen los deseos de los espa- nuestro Pretendiente nada renunció ni nada estipuló.- Al Príncipe español le hemos visto separado del teatro de la lucha por una mano extrangen , y sin Otro Sr. Procer dijo qne en de parecer se añadiese la expresión siguiente: que hubiese allí una persona ó .agente del Gobierno español, encargada de Los Prócera del Reino desean que sin la menor dilación se verifique el castigo obligarle á renunciar sus pretendidos derechos y admitir sus estipulaciones.Qui que rec…</t>
  </si>
  <si>
    <t>…eria, sino para hacer ver que lo mismo que se hace ahora lla □ación aventajada. es lo que se haJiecho siempre en España. No es cierto, como ha anunciado un »Visto, pues, señores, que antiquísimos castellanos, antiguos aragoneses, Sr. Procer en su discurso, que los ingleses desposeyeron á toda la dinastía de teodernos ingleses, y modernísimos franceses, todos en circunstancias ¡guales á los Estuardos; solo sí excluyeron á Jacobo 11 y á su hijo. las nuestras han separado deí trono á los malos Príncipes y sus descendencias «La Cámara de…</t>
  </si>
  <si>
    <t>Prócer</t>
  </si>
  <si>
    <t>…a posición desventajo— Martínez, duque dé Medinaceíi, arzobispo de Méjico’, marqués de Moncayo, •fstetal’* marques de Mqnreal y Santiago, conde de OfUte , Dljoaquin Navarro San01 i'Et Sr. Presidente mandó preguntar si habia algún Sr. Prócer que'quisiese ran , cotidi 'de Monterrón, duijué de NoMejas, conde dé Ofalie, conde de 'tomar:la palabra, y no habiéndolo, dijo el Sr. Secretario marques de Guadal- f arsent, D. Ignacio de la Pézuela, conde de Pinofial', obispo D.- Antonio aáíílí qüe pedía aTEstamento qué ademas déla propuesta del G…</t>
  </si>
  <si>
    <t>…medio ó bise de coQ^iiiaCiOa que pud r-e: merreer is aoro ¿ pinante, y que sin duda el Sr. Secretario del Despacho, al dar cuenta dei jura ba^.on de ios Src&gt;. PuíCCTcs y Procuradores concúrsente*. Como medio áz. con mento de este Sr. Procer, había sido creyendo que lo había hecho en lo» tér seguirlo se propuso por partb de los Sre». Frocee que en el final det arcteu— minos que debía hacerlo; peró^que si al Estamento le parece se podía hacer al lo l.°, y c.i lu^ar de las palabras exce peo el de (a as ruara, ve -o^tituT e&gt;en la» 5r. Pre…</t>
  </si>
  <si>
    <t>…do yo la indemnización inmediata á los individuos 4 Chinchilla , pueblo de su naturaleza, 4 restablecer su salud. actuales de los cabildos que sufren perjuicio con la abolición del Voto, indi— Leído en seguida el oficio del mismo Sr. Prócer, comunicando esta Real /qué cuán justa era esta medida, asi como la dotación de los cabildos, de la resolución al Estamento y pidiéndole su permiso, se accedió á su petición. cual no te trataba ahora, y quedaba á la consideración del Gobierno, después Asimismo se dió cuenta de otra comunicación del…</t>
  </si>
  <si>
    <t>…quedado á fines de Diciembre Cobedó no podía aplicarse al caso presente: que la discusión debía limitarse, de 1833 , en los extraordinarios gastos que exige la rebelión dé las provincia» «orno ya h¿ña indicado, al caso en que un Sr. Prócer debía entenderte por tal: exentas, el aumento del ejército » y en fin , en lo mucho, que anuslroéoté-£ue*u que por-lo demasíe! gobierno estaba muy lejós de querer alejar al Sr duque de la deuda extrangeraj. la cjial crecería bastante, i no arreglarse su.pagp fegtyi Zarvgezi del -Estamento, cuando p…</t>
  </si>
  <si>
    <t>…oneroso, contando entre ellas las obligaciones con hipoteca porqué se tratase este asunto en sesión secreta, lo había expresado asi; pero que especial, pues de otro modo los interesados, ademas de haber sufrido perjuicio* si este Sr. Prócer gustaba acercarse á la misma Secretaría, se rectificaría en la iguales á los de los compradores, se verían privados por el Real decreto de 23 parte que S. E. había reclamado. Acordado asi, quedó aprobada el acta. de Octubre de 1833 hasta de los cortos medios de indemnización que se les con El Excmo…</t>
  </si>
  <si>
    <t>…ue estaba á punto de publicarse un Real decreto en el lo permitiera. xtsrf~S€ ñjabanTos títulos y prerogativas que debían disfrutar los Sres. Proceres. El Sr. Presidente anunció que iba a procederá a la lectura de. ía lista de Un Sr. Procer observó que el acta de toda la sesión no debe ser razonada, Sres. Proceres del reino admitidos en el Estamento en virtud de la aprobación sitio expresar con la posible exactitud las deliberaciones relativas á la sesión de los documentos presentados, con expresión dé los ausentes, enfermos y asis pr…</t>
  </si>
  <si>
    <t>…s que les competen: que en cuanto i los de yecto de código criminal.más , pertenecía exclusivamente al Estamento el juzgar si convenía ó no que entriseñ i gozar de ellas, y que su opinión era que para obtener estas prero Ñola. El Sr. Prócer, individuo da la comisión de revisión de documentos, de que gativas los Próceres quenovengan á prestar el juramento, se procediera con se hace mención en la sesión del dia 9 del corriente, ewye nombre se omitió por igno mocho pulso- rarse , fue el ExCmo. Sr. marques de Albaida. EN LA IMPRENTA REAL.</t>
  </si>
  <si>
    <t>…diez ó doce veces, á título de autor de una proposición, y que asi á ¿1 le asistía la misma justicia para hablar, no BSTANENTO DE F * O C U X A D ORE *. habiendo quebrantado por eso el reglamento. Sesión del dia 13 de jigosto. Un Sr. Prócer objetó que á solo los individuos de una comisión estaba Se abrió á las once menos cuarto, y leída ei acta de la sesión anterior, concedido el permiso de hablar las veces que tuvieran por conveniente; pero quedó aprobada. . no asi un autor de una proposición. Se mandó pasar á la comisión de Poderes…</t>
  </si>
  <si>
    <t>…te adición ♦^Señora: Los Procuradores del reino tienen el honor de llamar fa augusta leída por el Excmo. Sr. Duque de Rivas. atención de V. M. hacia un objeto que debe ejercer la mayor iniluercia en la »&gt; En caso urgente podrá un Sr. Procer ausentarse con la anuencia del Se- opinión pública, y con especia i-tad en los fieles españoles decididos á sostener fior Presidente, quien deberá dar parte al Estamento en la primera sesión/’ los derechos de vuestra excelsa Hija, y las reformas q4e V. M. promueve en Acto continuo concedió el Estam…</t>
  </si>
  <si>
    <t>…e tuvieron lugar en aquel entonces. Autorizada la li fuese una cosa nueva, es claro que debería seguir todos los trámites que marca bertad de los vínculos hasta en su mitad desde la sanción Real del decreto el reglamento. Pero el Sr. Prócer debe tener entendido, que sin necesidad de de 2/ de Setiembre de-20 , á la muerte del poseedor se dividió como libre la adición, ni del dictamen de las comisiones, ni del proyecto de ley dei entre legitimarios, ó mejorados según la última voluntad de este, quien podía Gobierno, con arreglo á lo man…</t>
  </si>
  <si>
    <t>…rt.) 3.° en los términos en que está presentado. comisión de Guerra; y abierta la discusión en su totalidad, expresó el Exce El Excmo. Sr- marques de San Felices pidió que el Gobierno manifes lentísimo Sr. Presidente que si algún Sr. Prócer, individuo ce la comisión, tase si verificado el reemplazo del ejército con los 259 de esta quima,se daiian quería exponer las razones en que aquel se fundaba, tenia la palabra: á que con inmediatamente las licencias á los soldados que hubiesen cumplido los años de testó el Excmo. Sr. marques de Es…</t>
  </si>
  <si>
    <t>■ ■ SUPLEMENTOA A LA GACETA DE MADRID DEL DOMINGO 17 DE AGOSTO DE 1834CORTES. que abraza mi proposición, relativa á que ningún señor Prócer pueda autetrtarse sin prévía licencia de! Estamento. La resolucioo acerca de esta es pura «TAMBTÍTO DE 8ESORE3 PRÓCBXSS. mente un objeto de policía interior, de órdea y de decoro del mismo Esta mento. En efecto, en los paises extranjeros, constituidos .ya de muchos años Sesión del dia \6 de Agosto.…</t>
  </si>
  <si>
    <t>…mento y toma de posesioa bajo reserva de probar Real órdeo en que S. M. la Reina Gobernadora había tenido á biso ac las condiciones requeridas. ceder i sus deseos de pasar á su diócesis á prestar los auxilios que pediese , asi Ud Sr. Prócer manifestó , que hallándose en el mismo ca^o que el Se en lo esp'r.tual como en lo temporal, á los afligidos del cólera*morbo; le ñor marques de Camarada otros varios Sres. Próceres, deberían dejar de asistir yéndose otro oficio del Excmo. Sr. Secretario-de Errado en que daba cuenta al Estamento si…</t>
  </si>
  <si>
    <t>…moViqire pófr cónsigüiente loí nombrados Próceros que no se hallaban cq concediéndole- al efecto el tiempo necesario.'- - — ~ ~;i&gt; ella, podían presentarse. Se leyó un oficio del Sr. Secretario del Despacho de Estado en que ma Un Sr. Prócer expuso, que respecto al Excmo. Sr. marques de Alcalices, nifestaba que S. M. había visto con la mayor satisfacción y agrado la expre seria esta una noticia de la mayor satisfacción por los grandes deseo* que te sión de los sentimientos leales de los Procuradores del Reino, y sus deseos nia de reuni…</t>
  </si>
  <si>
    <t>…to en la discusión del dic la cuestión, porque esta se'puede decir que se halla ya apurada, y lo demues tamen que se acaba de leer, ruego tenga presente: l.° lo.áfduo del negocio de tra bien el que hasta ahora no ha habido ningua Sr. Procer que haya manifes- ; que se trata; y 2.° las circunstancias tan críticas en que nos hallamos, tanto tado querer hablar en contra. Yo he tomado &gt;la palabra :únicamente para: hacer * por la escasez de medios, como por la perentoriedad con que deben estos bus una pregunta al.Sr. Secretario del Despacho…</t>
  </si>
  <si>
    <t>…ión prevenida en el Estatuto Real para ser admitidos en ei Esta Habiéndose dicho por la Secretaría que ya, constaba al Estamento ía in mento , no puedan serlo en lo sucesivo , y se entienda haber renunciado por sí clusión de este Sr. Prócer en la lista de los que se hallaban autorice» por el á esta dignidad.’' Gobierno para no asistir á las sesiones, el Estamento quedo enterado. Habiendo preguntado el Sr. Presidente si había algún Sr. Pródér que pi Se dió cuenta de un oficio del Sr. teniente corregidor de esta M. H., villa diere Ja pa…</t>
  </si>
  <si>
    <t>…s enormes por certificación dada por el M. R. Arzobispo de Granada, de haber recibido el haberse canonizado las doctrinas mas erróneas. Tal era la de una minoridad -C'^respondiente juramente, según fa fórmula prescrita, al Excmo. Sr. Procer indefinida, según la cual se reclamaban á nombre del Fisco, como suyos ¿ los D. Luís Balanzat, capitán general de aquella provincia; y el Estarncnto quedó bienes detentados por espacio de tres ó cuatro siglos , como sucede con las enterado. ■ ; mercedes enriqueñas : la consiguiente de excluir el ui…</t>
  </si>
  <si>
    <t>…edaba que hacer qué apro barle , autorizando al Gobierno pare loe efectos convenientes, cuya opimon aprobado^ -y¡«presidente anunció que se iba á proceder £ k discusión sobre apoyó el Sn duque de Bailen; y no habiendo ningún otro Sr. Prócer que to ma* U palabra, ae acordóccrm la discutido,Tproceder i k votación nomi el presupuesto de Guerra. . El -ir. Cerrillo de Albornoz: «A pesar de lo que previene el art. 6í del nal, como asi se verificó, quedando ájirobado el dictámen ppr’ unanimidad dé., reglamento, soy de parecer que no se lea e…</t>
  </si>
  <si>
    <t>…traer ganado merino al extrangero, resulta la ruina del ramo que mas naderos y £ los comerciantes en lanas, presentase un dictamen fundado para ínteres refluye á la Nación. Este grave asunto, después de bien tratado y me que cada Sr. Procer formase un juicio justo de lo que iba í aprobar ó des ditado en el Concejo de la Mesta , le decidió á pedir á S. M. con fecha de 2 aprobar. de Mayo dé 1834» no solo la abolición del permiso para la extracción, sino El Excmo. Sr. Presidente le contestó, que aunque era del mismo parecer la castración…</t>
  </si>
  <si>
    <t>…o después la contestado , porque creía conveniente , antes de dar cuenta al Estamento, oir eL resolución del Gobierno, de no permitir la entrada en esta capital i ninguno parecer de una comisión sobre la respuesta de dicho Excmo. Sr. Procer al ci de los emigrados^ pof tem:&gt;r de la enfermedad epidémica haita pasados 30 tado oficio :1o que hacia presente al Estamento. días de! en que se diese por extinguida en ella , se creía autorizado para dejar Se enteró éste de haber sido nombrado para la comisión que entiende en de presentarse hast…</t>
  </si>
  <si>
    <t>Proceres, Art T.os</t>
  </si>
  <si>
    <t>Art T.os Proceres</t>
  </si>
  <si>
    <t>…en Heredia , 2 rea zar aquel ilustre Cuerpo, y lo que exigen la justicia y La vindicta les de vellón diarios. Pe Real orden lo digo á’Y. E. para su inteli pública ; gencia vefeetos convenientes por el Ministerio de su cargo. Dios Sr. Art. 3". T.os Proceres tendrán el uso de uniforme, con arreglo al (Carabanchel 23 de Junio de Í854. = N'¡colas María Garelly. =Sr. Se modelo aprobado; pero cuantío el Monarca abra ó cierre en Persona cretario de Estado y del Despacho de Hacienda. las Cortes, ó cuando se celebre en ellas juramento de Príncipe, ú otro cual…</t>
  </si>
  <si>
    <t>Procflrador</t>
  </si>
  <si>
    <t>…con Gobierno y la comisión sobre la manera de redactarlo, se discutiria el artícu el Gobierno en otros términos. lo por el Estamento según la comisión lo presentase, ó según la redacción del El Sr. marqyes de^Falces opinó como el Sr. Procflrador que le habia pre Gobierno. cedido en la palabra, y fundándose en las mismas razones, que el artículo vol El Sr. Presidente contestó que no podía satisfacerse í la pregunta. viera á la comisión para el efecto indicado. Puesta á votación la anterior indicación del Sr. marques de Falces, que El Sr. ma…</t>
  </si>
  <si>
    <t>Procortdort</t>
  </si>
  <si>
    <t>…20y res su totalidad , pues en tal caso no podría volverse 4 tratar de él-enéeta legisla tablecida: Ja Cofotkfttion, vóljrió earépaa* parte» dentro y fuera de España á tura: cosa que no cabe-ni puede caber en la mente &lt;}é. ningún Sr. Procortdort xScooocerse el ^er^gtie ;teriian,,l|r£órtes de intervenir en los negocios gra- tratándose déi un asunto,de la gravedad del presente. Asi pues' me parteiad mí de Jí* «gles es la.^teriá|dc‘«)ntribuck&gt;nes y empréstito».Ac¡enc¡a que para éstar conforme al ,juicio de la. v&lt;Aae&gt;ón , d«bia mts tMen.pedir…</t>
  </si>
  <si>
    <t>Procu</t>
  </si>
  <si>
    <t>…sufren los yo reclamo en este momento; y á pesar de que he oído manifestar que el Rey pueblos no deben menoscabar la santidad de sus contratos. Por estas razones tiene autoridad para contratar empréstitos, como acaba de decir el Sr. Procu opino que debemos reconocer el empréstito de Guebhard, y por consiguiente rador que me ha precedido , sin embargo, mientras en mis venas circule sangre desaprobar el dictámen de la mayoría de la comisión. Mis opiniones podrán española, todavía con el debido respeto disputaré esta autoridad siempre…</t>
  </si>
  <si>
    <t>…es. . mado su lectura, manifestó S. S. que por creer no podía ocuparse el Estamen El Sr. Ferrer, que tenia pedida la palabra, la renunció: y habiendo re to en la cuestión presente 1 causa de ser objeto de reglamento. clamado otro Sr. Procu/ador, contestó el Sr. Presidente que Id habia pedido El Sr. Secretario del Despacho de Hacienda manifestó que la proposición para la discusión anterior p pero que no seria extraño se cometiesen alguna vez de que se tratabi tenia dos puntos de vista: primero.., como relativa a un caso equivocaciones…</t>
  </si>
  <si>
    <t>…tías, ca*» una cosa nías opuesta que lo que ha manifestado el Sr. Galiano á la opinión ?ne se pueden justificar. De otro modo la exclusión seria ilegal La lev debe del Estamento de que sea una ley estable y duradera , cuando este Sr. Procu undarse en hechos, no en cualidades que se juzguen por capricho i nü debí ex rador , según su teoría , quiere que sea temporal y transitoria. cluir pof sospechas, por recelos, sino por delitos, por datos qué sí puedan jus vjHay guerra civil en España! Por desgracia es cierto; y también k&gt; es que ti…</t>
  </si>
  <si>
    <t>…remota*, á la ellos. De consiguiente creo que no se necesita excitar al Secretario del Despa de ia Monarquía goda , se verá que ed aquellos tiempos el cuerpo trjprecho; ¿I piensa que ha cumplido con so deber. Yo pediría, pues, al Sr. Procu sentaiivo ejercía el poder administrativo , confirmaba la eletcicrf\ de los Reves* rador que acaba de hacer esta excitación, que la retirase porque no et nece y ratificaba sus renuncias i la corcrñi; Triaba sobre la reforma de loa abaso* f aría.” desórdenes públicos, así eximo sobre los m^ristrados…</t>
  </si>
  <si>
    <t>…méto en las per— encuentro diferencia entre los déseos de un testador y sus mandatos, pues es tos son siempre una ley, y los otros según las circunstancias. Estas han hecho «¡Oqién ha dicho que no puede suceder que mañana haya un Sr. Procu qué se desprenda de la propiedad que tenia en la casa si se quiere; mas no rador, de quien su provincia pueda tener tinte confianza, que le diga: «yo consta que está finca sola prodúzca 113 rs., pues se habla de otras, como tier te doy una rente dé 123 rs.; ves á representarme.” Y nosotros ; diríam…</t>
  </si>
  <si>
    <t>Procura</t>
  </si>
  <si>
    <t>…y que hace mucho tiem El Sr. ronde de Toreno-. El Sr. Santafé tiene muchísima razón en recla po atan clamando los' pueblos para que se reduzcan al número necesario 6 mar qué puede hablar de la imprenta; púa asi lo fián hecho los Sra. Procura preciso. . ( dora que han discutido anta, á quiena se lea ha dejado hablar sobre ella. Pero-sobre todo , ¡qué ocasión mas bella que la presente para organizar es Él Sr. Presidente-To no seré nunca parcial en las discusiones, ni daré ta nación, que aquella en que toda la Europa atá interesada en la…</t>
  </si>
  <si>
    <t>…103 y juntamente el de medios para cubrirlos, Este es el órden legal fijado ,por el del reglafiiento de Sres, Próceros que tienen relación con el particular. El se Estatuto. Por lo demas, si bajo el título de adiciones pudiera un Sr. Procura ñor Presidente anunció que confórme al reglamento se imprimiría y distrimiídor presentar-aura -série de prqposicioacs ¡de sumo ínteres, .se habría barrenado .fjia dicbodictáman epatándose i-da -comisión óombradapara el Voto de San- -estemismó Esíatoto ¿bái* ^regl«^entóíÍnt¿jior, qufprelijan ¡que pa…</t>
  </si>
  <si>
    <t>…acuerdo sí, que no El Sr. Ministro de lo Interior: « Debo hacer una aclaración. El Gobier hace muchos dias, estando presentes otros Sres. Secretarios, y habiéndoseles no no se presentará á dar cuenta por una mera indicación de un Sr. Procura hecho una indicación por algunos Sres. Procuradores, entre otros el Sr. Polo, dor; se presentará sí á contestar francamente, cuando se fijen las ideas por me relativamente á la Milicia urbana y á otros diferentes puntos en que deseaban dio de una petición dirigida á $. M. por todos los trámites pre…</t>
  </si>
  <si>
    <t>…ismo. me dirigí á Italia, p^ra ver si convalecía y lograba recobrar la salud. Estos son «Se ha repitido por S. S. que debe consultarse la oportunidad de las refor los hechos: dejo el calificarlos ¿ la imparcialidad y honradez del Sr. Procura mas, y de esta maxima se ha hecho aplicación á la cuestión del día. No parece dor á Górtes.” sino que la palabra oportunidad sea un talismán con que siempre se nos preten El Sr. López.: «He fijado solamente en mi discurso un becbo, no utia de sorprender; y con este motivo séame lícito recordar el d…</t>
  </si>
  <si>
    <t>…que cualquiera em • No debemos olvidar que está muy próxima la discusión del proyecto de presario que tornea su cargo el diario de Córtes, exigirá como una de las con ley sobre exclusión de D. Cirios; no porque yo crea que ningún Sr. Procura diciones que la suscripción sea obligatoria. Si á los pueblos-, que ya tienen ne dor quiera evadirse de asistir á ella, sino porque cuanto mayor número haya, cesidad de suscribirse ql diario de la Administración, y no se si á la Gaceta, tanto mas marcado llevará este acto el sello de la opinión gen…</t>
  </si>
  <si>
    <t>Procurador</t>
  </si>
  <si>
    <t>…encia se le exo- • chas pérdidas á todos aquellos á quienes alcanzasen. nerase de dicho cargo. La comisión opinaba que debía accederse á la solicitud El Sr. Torrem'jía: «Convengo en que la abolición del Voto ocasiona del referido Sr. Procurador, y pasarse el oportuno aviso 3 quien correspondiese perdidas á algunos individuos y aun corporaciones; mas porque esto sea cierto para su reemplazo. no creo que haya ninguna razón para que el perjuicio irrogado á un particular se El Sr. Marques de Falces: «Siguiendo la costumbre adoptada por algu p…</t>
  </si>
  <si>
    <t>…ias eran grandes Lo habrán sido; pero en contentar á algunos, se acude á las medidas de equidad para hacerlo de un mo el dia ya no lo son. Las de Santiago en el año pasado no han llegado á 16 ó do mas suave.” (Mucho mas dijo este Sr. Procurador en el todo de su discurso; 183 rs.^incluyendo lo que perciben por el Voto; y las de Mondoñedo están pero la tos pertinaz de otro no permitió oírlo.) reducidas á 8 ó 93 rs. De consiguiente parece regular que el Gobierno trate ”El Sr. Caballero: «No puedo menos de congratularme de ver en el pro de in…</t>
  </si>
  <si>
    <t>…ley en los términos en que había sido aprobado por el Estamento. cación del Sr. Domecq, que creo no hace falta expresarla en el artículo, aun Concluida esta lectura manifestó el Sr. Sombza que tenia noticia de que que tanto dicho Sr. Procurador como todos estamos conformes en las ideas. el Gobierno, siguiendo el mismo espíritu que había manifestado en este pro Creo que en punto á los principios de devoción debe haber una absoluta tole yecto, se preparaba á la abolición de otra imposición que también recaía sobre rancia y deferencia* Yo bi…</t>
  </si>
  <si>
    <t>…en el Estamento se ha levantado ó ha tratado de apoyar su debía apetecer, y el Gobierno español se ve hoy en circunstancias tales que proyecto...... no puede asegurar al Estamento que se llegue á realizar el empréstito que se (Un Sr. Procurador pidió la palabra.) propone , si no se reconoce toda la deuda extrangera con el Ínteres a que fue «Hubo una opinión sobre él (sobre el proyecto), lo mismo dentro que contratada... fuera; y los mismos señores, que ahora le admiran , en la primera discusión «Se ba dicho por alguno de los señores que m…</t>
  </si>
  <si>
    <t>…as no hay regla al- que debe volver el expediente al gobierno para los efectos convenientes. guna.” 3. a Que por consiguiente fue esencialmente nulo el acto de píocedér i ñuc-^ JV. Flores. Estrada: «Yo no dudo de la veracidad del Sr. Procurador, va elección en razón de solo pertenecer al Estamento «1 anular ó ño la pnjriéra. solo sí he preguntado' qué regla se había seguido, y .viendo que ninguna, me Votado este dictámen por partes quedó aprobado en todas ellas. parece se está en la necesidad de establecerla para lo sucesivo: si no obrare…</t>
  </si>
  <si>
    <t>…e. esto podría acaso ofrecer inconvenientes de trascendencia. El hecho es que la «Cotí respecto á la libertad individual y seguridad personal, ha dicho un comisión misma, por boca del Sr. López, se expresó en estos términos (leyó Sr. Procurador que las leyes que se diesen, garantizarían al malo al par que al otro párrafo de dicho discurso ): es decir, que la comisión, conociendo el peso bueno. Convengo en ello; pero esta no es una razón para que deje de haber ta-‘ de las razones que asi el ministerio como varios Sres. Procuradores expusie…</t>
  </si>
  <si>
    <t>…e igualándonos cn esto con las demas Naciones. Este fue el objeto con que el Go beneficencia establecida en Sao Bernardino con el fin de recoger á los men bierno qu-so invertir toda la deuda en la clase del 5.por 100.” digos. C*i Sr. Procurador: «El artículo 4 ° del proyecto de ley estaba en armo Ei comisión de Poderes dió cuenta de haber examinado los presentados nía con el 4*°, pero no con el 3.°, del dictamen de la comisión; porque ea con los documentos de su'aptitud legal por D. Eduardo Galbct, y hallándo aquel se califican como deuda…</t>
  </si>
  <si>
    <t>…s en reali «La deuda activa abrazará la deuda con ínteres que el Gobierno, de dad no sbn las mismas; pero si asustan las palabras, podré variarlas.” acuerdo con las Córtes creare en lo venidero, y la parte de deuda antigua men El Sr. Procurador , á quien acababa de contestar el Sr. Secretario de! Des cionada en el artículo 3.° entrará á participar del pago de intereses que deben pacho de Hacienda, repuso que no le asustaban las mismas palabras; pero que, aplicarse á la deuda activa.” si no habia entendido mal, habia oido ( leyó el artícul…</t>
  </si>
  <si>
    <t>…r sa previsión, como sucede siempre que se entregan las armas á los que no dan este principio, di mucho menos acriminar el ejercicio de este derecho al bastantes garantías de órden: el ejército estaba disminuido; por gran fortuna Sr. Procurador que acaba de hablar; petó asi como los Síes. Procuradores tie los gefes de las provincias eran personas leales, y eso contribuyó en gran ma nen este derecho,, el ministerio tiene también el suyo, cual es el de la legiti nera á salvar á la Nación; porque casi es un milagro ó un don de la Providen ma…</t>
  </si>
  <si>
    <t>…debe ser un obstáculo el que no ia tuviera entonces, pues quien le ha hecho glamento que para ser elegido. En consecuencia, en el segundo ca&gt;o parece que esta donación ahora, se la hubiera hecho lo mismo un mes ó dos antes. Mi ai Sr. Procurador elegido no puede tomar asiento, mas sí en el primero. Opinión es por tanto que debe ser admitido en ei E lamento. El*Sr. Ochoa: Yo alabo la determinación de U comisión; pero me pare- Se pregunto sí estaba el punto suficientemente discutido, y después de de ae que no es una grande cuestión el decidi…</t>
  </si>
  <si>
    <t>…ido la revolución de Francia. los principios de los gobiernos representativos, se han hecho en el mundo mas Tampoco hallo exacto ni oportuno referir las leyes, los trastornos, las de lyu constituciones; yo desearía que hubiera un Sr. Procurador que dijese st mudanzas ocurridas en Francia y en Inglatera, á España en nuestras circuns en alguna de estas se han olvidado estos principios mas ó mcnosexpKcifamenfe tancias actuales. ¿A qué acudir á cada paso á la historia de Inglaterra, ese ar enunciados en un Hecho , y hecho que prueba que nosot…</t>
  </si>
  <si>
    <t>…digan si han visto en mí algunos pasa que ataquen en lo mas mínimo tala que en el año 34 se hubiese aprobado por unanimidad esta abolición, sin que derecha. Con ata aclaración indispensable entraré de lleno en la cuation. ningún Sr. Procurador hubiese tomado á su cargo defender tan mala causa; El Sr. conde de Toreno, que me ha precedido en la discusión, ha ilustra y tanto mas, cuánto que el año 12 hubo 27 ú 30 Diputados que votaron á do la materia en términos que á mí no me a paiblc hacer, porque no tengo favor del mismo voto. De aquí de…</t>
  </si>
  <si>
    <t>…ya. el punto bastante dilucidado; y que por lo. pecialmente habla de la asistencia fiel público á las galerías. En el momento en mismo se había abstenido de expresar su parecer en la materia; pero puesto que que V. S. ó cualquier Sr. Procurador lo pida , se leerá enteramente, pues está aun se intentaba esplanarlo mas, preguntaba al Estamento qué beneficio Real preparada la mesa para el caso. (,Silencio.) y positivo resultaba á Jos españoles de decirles: Sed libree, cuando por desgra El Sr. Santafé: He dicho y repito que mi impugnación al…</t>
  </si>
  <si>
    <t>…ropuesto primeramente supresión de la prévia censura &gt;cuy» párrafo reti O es jiisto establecerle», 6 no; y yo me atrevo i decir, que no habrá un solo ró la comisión para reformarlo, y lo presentó después variado en la parte re-;, señor Procurador que diga que el principio de que se trata es injusto. Siendo lativa á la libertad de imptenta. pues justo, adóptese; porque si hay dificultades y tropezamos con algún escollo Ha dicho el Sr. Caballero que yo ayer habla sentado el principio dé quepor la agitación de los ánimos ó por la convulsión de…</t>
  </si>
  <si>
    <t>…da á las aclaraciones que tanto? Son estos tiempos de hablar á los pueblos solo de derechos y no de debt~ se hagan sobre él. res? «No son correlativos? «Tiene el hombre algún derecho que no imponga El Sr. Presidente: Sí hay algún Sr. Procurador que formalice una Indi alguna obligación? «Pues por qué nos mostraremos tan impacientes por manifes cación ó propuesta acerca de la redacción del artículo, el Estamento decidirá tarle sus derechos , y no se le dice al mismo tiempo estos son tus deberes9. Siem si se admite ó no. pre se cae en extrem…</t>
  </si>
  <si>
    <t>…len al poder; pero de ningún modo á los que esten de «cuerdo de dictimen de que debían aprobarse. con las necesidades y reclamaciones de los pueblos. Por esta tazón principal un Se leyó el art. 77 del reglamento 4 propuesta de un Sr. Procurador, y sabio político que hace honor 4 nuestra España, decía que. la libertad ds m** después de una ligera discusión, en que hablaron varios Sres. Procuradores, preara sin previa censura es enteramente necesaria á toda organización soci¿ unos pidiendo que se observase el artículo en el examen de podere…</t>
  </si>
  <si>
    <t>…a justas, se di^nfce proponerlas i la del Despacho ocultárselo no podrían hacerlo: no quisieran ni pudieran?no qui deliberación de los Estamentos. sieran, porque no son respobsables de los males anteriores; no pudieran, porque El Sr. Procurador continuó rebatiendo las razones en que los Sres. que tienen que acudir i S. M. para solicitar el remedio. habían impugnado el proyecto, fundaban su dictamen; y concluyó dicteráfo «Justo es, Señores, decir los males que afligen á la nación ; pero ¡no me que la comisión , al redactar el proyecto , ha…</t>
  </si>
  <si>
    <t>…que ei Gobierno, prévio el exámen de los antece 'presupuestos, siendo asi que los tiene prontos para dentro de tres ú cuatro dias. dentes que deben -existir , ó convenga reunir, y de los cuales no podrá tnmos Lo que dijo aqui-un Sr. Procurador, no el Ministro, era que se tardaría mea de resultar la justicia de la abolición, proponga con tan saludable y convenien y medio ó dos en resolver sobre ellos,” te objeto un proyecto de ley semejante a! presentado para la del voto referido. Habiendo reliradoel Se. Palarea sus proposiciones, quedó e…</t>
  </si>
  <si>
    <t>…concurso de los Estamentos y la sanción Real. EL Estatu que nos proponemos. Cada uno tenemos diferentes opiniones y modo de ver to Real, donde se exigen estos requisitos para la formación de las leyes, está las cosas: habrá algún señor Procurador que brea que hay en el reglamento fal otorgado en 10 de Abril de 1834, y Inas de tres mese? después está formado ta de claridad, otro que no se quiere entender, y quizá no habrá ninguno que él reglamento, que si se considerara bajo el aspecto que algunos señores han se atreva á confesar que al prin…</t>
  </si>
  <si>
    <t>…nal el informe original que sela el Sr. Presidente se suscitó un corto pero vivo altercado, que terminó con dió el colegio de abogados de esta corle sobre el proyecto de dicho código llamar al orden é imponer silencio al referido Sr. Procurador y al concurso; formado por las Cortes de los años 20 y 21 , y que de Real orden remitía el manifestando el Sr. Presidente, que si no se guardaba órden, se vería en la pre Sr. Secretario del Despacho de Gracia y Justicia. cisión de levantar la sesión. Se mandó pasar á la comisión de Poderes el testimo…</t>
  </si>
  <si>
    <t>…no puede haber verdadera El Sr. Presidente*- «Yo quisiera que se me citase et artículo del regla libertad de imprenta. Asi que debe quitarse-aquella, estableciendo para reme— mentó que prohíba el que se pueda pedir por cualquiera Sr. Procurador que se diar los abusos de dicha libertad, que sin duda habrá, como los hay en todo, pregunte si está un punto suficientemente discutido, para que nos atengamos y los ha habido hasta en la misma religión divina, curo lugar ha ocupado mu i él.» chas veces el fanatismo, la ley que se crea mas convenie…</t>
  </si>
  <si>
    <t>…itentes es que se establezca efectivamente El orador expuso otra multitud de razones en apoyó' de su opinión, las la libertad de imprenta con todas las demás garantías: si el Gobierno acepta que no se percibieron por la tos de un Sr. Procurador y el murmullo de la esta petición , presentará una ley en la cual se podrán evitar algunos inconve tribuna pública, que obligo á otro Sr. Procurador á pedir al Sr. Presidente nientes que tenga la petición. Ademas, esta ley tiene que pasar por el otro Es llamase al órden; y este conTestó que sabia cuá…</t>
  </si>
  <si>
    <t>…e todo eta de presentar la petición á S. M. para ver si la apro tal corno &lt;?5iá debe apiobaisc ” baba , y en consecuencia elevarla á ley. Ll Sr. Vega y Rio. «Convengo en que la libertad de imprenta es un El Presidente advirtió al Sr. Procurador que lo que se discuta era el ar med o de ilu-lrar a l&lt; s pueblo* \ de remover los obstáculos que se opongan al tículo 2.° de la petición, y que sobre él era sobre lo que debia recaer la apro aumento de las lu„cs ; pero también e» cierto que los hombres »áb&gt;os y de bue bación ó desaprobación de S S.…</t>
  </si>
  <si>
    <t>…oguera, de manera que en este caso la censura pré pero también tiene ventajas, y no hay ningún establecimiento humano que via no es traba pata mí; es un beneficio. il lado de las ventajas no tenea sus inconvenientes. »Ha dicho un Sr. Procurador que en la duda de si usaré mal ó bien »Se ha dicho por el Sr. Presidente del Consejo de Ministros que para qué de mi libertad, se verá cualquiera en el conflicto de constituirse preso: la se ha.de establecer una cosa, si al dia siguiente se ha de acudir á Jas Córtes cuestión no es esta. Ningún indi…</t>
  </si>
  <si>
    <t>…s» después se concedieron por unanimidad los 400 millones» V. M. = Conde" de Alínodovar , presidente. =: AÓtonio González, procurador basta cón Ja franqueza de no tomar en consideración las adiciones que so secretario. = Ferriiin Caballero , Procurador secretario.=Tclesforo de Ttueba ., hicieron» una sobre preferir para los empréstitos á ios españoles» y otra para Cosío, Procurador secretario =Franciíco Bclda y Asensio, Procurador secreta «que se negociasen las ¿cerones en Madrid; acordándose asimismo que no se ex rio. = fes copia.=González, Proc…</t>
  </si>
  <si>
    <t>…resión de ia voluntad general, ó á lo menos de ia mayoría: cusión, reservándose el hablar mas adelante, é iba ya cabalmente á tomar la y el resultado de toda ia discusión. Este mecanismo delicado, por medio del palabra, cuando un señor Procurador pidió que se preguntase si estaba el pun cual conservándose la independencia de cada uno, va estrechándose poco^ poco to suficientemente discutido; y para dar ejemplo de que sus individuos son es el campo de la discusión , hasta reducirse á un si ó un no, es uno de los mas fe clavos de la ley, pues…</t>
  </si>
  <si>
    <t>…entes, sin perjuicio de que continúe en su fuerza y vigor el actual El Sr. Caballero dijo que estaba reducido á suprimir la cláusula que dice reglamento hasta que se forme el que debe reemplazarlo.0 de los ilustres Próceres, Otro Sr. Procurador hizo presente que se dijese que Habiéndose preguntado si adoptaban los peticionarios esta nueva redac la Comisión que se nombrase fuese del seno del Estamento. El Sr. Cosío dijo ción , ei Sr. conde de las Navas dijo que ao; y habiendo empezado á discutir que según el ait. 128 del reglamento todo lo…</t>
  </si>
  <si>
    <t>…quedé solo *, pero nunca renuncié S. M. presentó á las Cortes. El Estamento quedó enterada al derecho que tenia de exponer mi dictamen.” El Sr. Presidente dijo que se repartirían estos ejemplares, y se archivaría En seguida este Sr. Procurador lejó su voto particular. el original. Hl Sr. Presidente: «Conforme al reglamento se imprimirán el dictamen Se leyó un oficio del Sr. D. Patricio Martínez del Tejar, electo Procu y voto particular que acaban de leerse, y se repartirán á los Srcs. Procurado rador por la provincia de Avila, en que man…</t>
  </si>
  <si>
    <t>…ustifica-; leyes absurdas á otras excelente* y supresión de estas. ¿ ignoran acaso los señófivbs drCdebída forma. v res de la corrmron que !a decadencia no ha consistido tanto en ¿as leves absur- . Entró a jurar y tomó asiento un Sr. Procurador. c!.-.', cuanto en la supresión de otras saludables antiguas': ¿Hav quien haya olviÉfSr. conde de las Navas presentó al'Estamento la siguiente proposición: d?do que en la ultima edición de la Novísima Recopilación se arrancaron por «Pido al Estamento establezca por regla general se admitan las renun…</t>
  </si>
  <si>
    <t>…así. Ignoro qué autores digan esto, y cuáles puedan decirlo, pues ia inercia cuando no sea de la cuestión, en honor de un personage célebre citado por un que ha alegado en su favor es una propiedad de los cuerpos conocida mucho, Sr. Procurador como uno de los que votaron I» mqertc de Luis xvi , equivo k¿, y que se ha tomado en cuenta para aquel axioma. cación muy grande. El príncipeTalleyrand, con cuya amistad me homo, npt&gt; «El Sr. preopinante ha tratado de examinar las opiniones de vario» de Jos votó la muerte de Luis ivi , ni fus de la…</t>
  </si>
  <si>
    <t>…para ser editor de un perió ticular mía; pero aprobar como está el artículo, sena arrojar, como he dicho dico. Ademas se exige un depósito de 2u¿) r*., depósito que ofrece graves in antes, y repito a pe-ar d« lo que repugna á un Sr. Procurador , en medio de conveniente-» en un país donde circulan tan poco los capitales. la Nación, una tea encend.da, como si ya no hubiese hadantes otra:».” «Ei art. 5.° previene que los periódicos catan sujetos en tcdoi sus artícu El Sr López deshizo algunas equivocaciones que dijo haber padecido el los á…</t>
  </si>
  <si>
    <t>…s ideas, y que asi Ja comisiod habia creído que-no debía variarlo en El Sr. Chacón d jo era de parecer que la palabra Milicia uriana se ins nada. , tituyere por la de Milicia nacional, porque esta voz cre mas Mgn.ficativa ó de Un Sr. Procurador , que c.reemos'se» el Sr, marques de Somereelos, fun notaba mejor la idea que la otra. dándose en que la seguridad individual $s- la primera condición de teda socie Sr. conde de Tormo: «El Gobierno se opone decididamente á esa innova dad bien organizada,,d¡io que esta misma seguridad exigía ahora,…</t>
  </si>
  <si>
    <t>…cer , en fin, un sistema que guar gefes militares no tienen tiempo para emplearse mas que en e! servicio, espe de entre todas sus partes el mas intimo enlace y coherencia. cialmente los de estado mayor. Además con respecto á otro Sr. Procurador, No se oculta al Gobierno de S. M., que cualquiera novedad inconsidera que es el Sr. Arguelles, se sabe que estaba en Lóndres , y no es extraño que la da bastaría para acarrearle graves desabrimientos en una materia de suyo delica misma falta de comunicaciones frecuentes por la d.stancia jr otras c…</t>
  </si>
  <si>
    <t>…acer marchar (a carroza brillante tición , han alegado unos la evidencia del principio, otros han insistido en Jai de Is-tBEL ii tobrt lai nudas carcomidas dtl carro de Carlos de Bcrbon: es ventajas de su aplicación , y el último Sr. Procurador que acaba de hablar ha ta es la razón principal, ó mas bien, la causa única de la subsistencia de ese escogido el terreno mas difícil , cual es querer probar su opoitunídad. partido en España. ♦&gt;E1 artículo 3-° d ce asi £lo loó). Como principio general es inexacto : ■ Hay una porción de categorías…</t>
  </si>
  <si>
    <t>…l exi «El artículo de la Constituciop de Cádiz decia de esta suerte: •&gt;Nadie men de estas materias, siempre ha entrado en ellas con franquéza , seguirá al u podrá ser arrestado ni preso sin que preceda una sumaria información del Sr. Procurador en el terreno que ha elegido; y ya que el Sr. Presidente ha per «hecho , por el cual merezca ser castigado con pena corporal.” Y luego en mitido el ataque, no impedirá ahora la defensa. otro iríiculo ponía la cortapisa ó excepción de que en los casos extraordinarios «Se bq dicho que ha habido ¡npun…</t>
  </si>
  <si>
    <t>…a hecho por el tenimiento y circunspección en la grave materia que nos ocupa , leeré el índi Sr. Acevedo al dictámen de la comisión, ha manifestado dicho Sr. los patrió ce de estos documentos, y daré cuenta de los mismos si algún Sr. Procurador lo ticos sentimientos de que ya tiene dadas tantas pruebas , y en cuya virtud ni la juzgase conveniente. comisión ni ningún individuo del Estamento pueden creer que no baya tenido «Resulta , pues, de estos papeles , no menos que de la exposición hecha esta proposición un origen noble y generoso. Si…</t>
  </si>
  <si>
    <t>…ten diversoi aspectos, creo de mi obligación presentar aquí el mismo docu Sm embargo, pisaré á responder á algunos de los argumentos que ha presenta mento que ya he citado , y lisonjeo de que asi .como ha fijado nuestra opi do el Sr. Procurador que níe ha precedido en la palabri. nión'en esta partí , fijará-también la del Estamento respecto á no haber entra «Ha. ihcho S. S. en sustancia que esre dinero sirvió para echarnos 'ha? ca do* en el Real Tesoro cantidad alguna procedente del primitivo empréstito de denas, y yo respondo que el uso…</t>
  </si>
  <si>
    <t>…s 'quedaba que hacer! ¡ se le Subía Estado dé Fernando vil en Andújar, diciendo haberse hecho un empréstito; de declarar la guerra? Es claro que no. Dé consiguiente, ni el Gdbtetno ha que dicho aprobado no es, como aseguraba este Sr. Procurador, -de letra de podido 'ni debido, ni Jas Córtes pueden ni deben tocar .esta cuestión, que di S. M.) Este es el único documento de aprobación (continuó) que existe. En el -altamente impolítica: se ha consumado -el hecho, es cierto; pero 1a 'historia io oficio de remisión no se hizo mérito siquiera de…</t>
  </si>
  <si>
    <t>…s que los requisitos manifestado las razones de diferencia que tenia respecto del Sr. Vadiilo, para que previene el Estatuto Real basta tenerlos antes de. jurar, no sé cómo la considerarle como un propietario.” comisión ni ningún Sr. Procurador pueda sostener lo contrario, y hacer cargo El Sr. Lasanta-. «No he tocado las razones que tuvo presentes la Co al Estamento por haber interpretado asi la ley , siendo el único que puede ha misión cuando se trataba del Sr. Vadiilo, sino que no se podía entrar en la cerlo. He extrañado mucho diga el…</t>
  </si>
  <si>
    <t>…ierno interior, He la que formaban parte el Sr. Secretario mas antiguo y el se Se abrió á las once y cuarto; y leída «1 acta de la anterior , quedó aproba ñor Presidente. Asi quedó aprobado. da , sustituyéndose, á propuesta de un Sr. Procurador á las palabras siguió la Entró á jurar y tomó asiento el Sr. D. Miguel Puche, electo Procurador discusión sobre el dictamen de la comisión mista, las de siguió la discusión por la provincia de Murcia. sobre el proyecto de ley- EbSr. Presidente anunció que iba á continuar la discusión acerca del pro…</t>
  </si>
  <si>
    <t>…el juez competente? Los tenedores de estos crédícós qué manera podremos pagar. Esta fue la conducta del Gobierno; esto es lo que preguntarán con Tazón: ¿dónde e*tá cae tribunal en que podamos presentarnos dijo. Yo desearía que el Sr. Procurador dijese 4 su vez- qué es lo que debió de con los títulos firmados por el Gobierno españolreconocidos durante los 10 cir el Gobierno; porque, en una palabra , quien püede impugnar severamen- años últimos por el mi nio, y reñidos por bastantes para que se nos hayan sa • le al Ministro de Hacienda sera…</t>
  </si>
  <si>
    <t>…ta elección, lo.siento; pero me ha dirigido en ella.el terna,Clarós:,LlanaChivarrí, Sampóns, Palaudarias, Puig, Larri va, Rfvamejor espíritu y deseol” ’ herrera/ marques deVillacatrípo^ MoUtes de Oca, Miguel Polo , Tasquilias, Un Sr. Procurador pídióque ae preguntase si el punto estaba suficiente^ Mediano, marque* de Montenuevo, Baillo,' Coton y Zúñiga, Vázquez Mos- ' mente discutido; á lo que contestó el Sr. Presidente que se verificaría estodes- coso“7 marques de Astariz, Serrano (D. Ginés),(Vifials, Bonel, Hubert, pues dé baber desechó…</t>
  </si>
  <si>
    <t>…mal cuando fueran á sus casas; y qstos últimos tampoco se atreverían á ir, tar'a que no tuv esen ni aun la que tienen. por temor de los contrabandistas , como por no saber si fa-larian á las Icrev'* - - No bqsta, como ha dicho un Sr. Procurador, tener oídos para saber lo El Sr. Vicedo: -Respecto al inconveniente que podría tener el aití.u o que conviene; el oído es menos exacto que la vista ; y yo tengo experien que se discute, yo me&lt;creo autorizado para advertir que los peticionan!s que cias repetidas de haberme supuesto cosas contrarias…</t>
  </si>
  <si>
    <t>…repai tid &gt; e* tre ! •* bres Pr&gt; cund«jfes Cada uno ha repara deshacer una equivocación malcfial &lt;» de hecho; pero no permitía vr.Ucr Hevion^do enjsu ca&gt;a , y ht ven Jo ai filamento .on %u cr.nceplo f* -ma V ya á la discusión al Sr. Procurador que )a hub'C-C habiad»». fc.n vntud de esta ob s^.b'e c-la. Dt'pue» se ha i,usir»d^ mi» la materia c*- n i.i Hiscusit n- ^ &gt; er . nservación el Sr. Oidz González no cont nu() la pai.hra. do pues que e»ra md.cacion debe 'ezuir l «s mismas :■ m fr&gt; en ei ca' de c El Sr. Le pez desh-zo! una equ-vocac*…</t>
  </si>
  <si>
    <t>…ar para una decisión de mucho número de personas, es el mayor número El Sr. Secretario de Estado: « No he podido menos de sorprenderme al de votos ó de voluntades: y aquí el mayor número de voluntades será también oír en boca del Sr. Procurador, que acaba de hablar, que ata materia no es. la mayor cantidad de fuerza. Y ai no ¡qué medios tenemos .para decidir en grave y de trascendencia; y digo que me ha causado extrafieza; porqué dudo cata mayoríanuestras deliberaciones! la mayoría y de votos voluntades, lle ó de eso estava mayoría se dir…</t>
  </si>
  <si>
    <t>…er tenido la autoridad por diez anos, que ha venido á su patria para apoyar y afirmar mas y mas el trono de Isa cuando ya no había tropas extrangeras en el reino, ni tampoco por la rizos bel 11, apruebo la indicación hecha por el Sr. Procurador, relativa á que se poderosa de haber sido reconocido por las Potencias extrangeras: su fuerza quie manifieste por el Estamento el agrado con que ha recibido lo» documentos de ro sacarla de la misma autoridad que le dió el Gobierno, constitucional. &lt;ju* se trata.” „ ** Reunidas las Córies en Cádiz v…</t>
  </si>
  <si>
    <t>…ra las naciones, Consejo de Ministros que el estado de coacción en que suponía á S M. al ra el sentar que encuentran su recompensa en obrar el bien; y es sumamente útil tificar el empréstito en cuation , és un absurdo; y por otro Sr. Procurador se en moral como 'en política el proceder con justicia. ha calificado de poco exacto. Señora, el acto de considerar á los Reyes en esta «Por fortuna en el caso presente tenemos á nuestro favor que al mismo do de coacción en algunas circunstancias, se asemeja mucho á la especie de fic tiempo que hac…</t>
  </si>
  <si>
    <t>…Sr. Galiano. Pero examinemos también si la baja en todos los fondos y en los ilustres Próceres, que dice asi: (la leyó.) todas las bolsas ha sido tan grande como se propala. En la deuda de 23 acá, y El Sr. Presidente manifestó al Sr. Procurador podía formalizar una pro en la bolsa de París, lo ha sido sin duda: con ella contaba el Ministro de Ha posición para, presentarla al Estamento por si este juzgaba oportuno tomarla en cienda. Pero ¡ha acontecido lo mismo en Lóndres i No, señores: en aquella consideración. plaza los bonos de Córtes s…</t>
  </si>
  <si>
    <t>…ra-4 primer* vista, cual es que solo se atienda á la capacidad y discusiones al tenor terminante de él. al mérito, eslo es enteramente inasequible; porque la experiencia do'25 añot El Sr. Morales; «Estaba persuadido de que ningún Sr. Procurador se n*e ha hecho ver que en toda* las'carreras se atiende, no según el méi &gt;to y ca- opondría al artículo en cuestión; creo también que no puede existir ningún, psei Jad de los iugeios, sinopor la antigüedad. Yo no conozco cuerpo ninguno, gobierno representativo sin que su objeto sea velar sobre ios…</t>
  </si>
  <si>
    <t>…onstando en el acta, é inser do heeha por mí con la aprobación del Estamento. Esto fue lo que yo dije, y tándose en ella que la proposición de que se trata fue retirada por los autores que tan claro, que me parece no habrá ningún Sr. Procurador que no lo oyese; y dan satisfechos sus deseos. Si después quieren presentar adiciones á la ley de si el Sr. Rivaherrera do lo oyó , no es culpa mía. Porque si no, ¿ qué objeto po ayer, tienen el derecho de hacerlo, y el Estamento las tomará en considera día tener mi adición? Cuando expuse que querí…</t>
  </si>
  <si>
    <t>…la petición , la apoya y la aprueba, porgue no solo es su deseo recom El Sr. Secretario del Des pacho de Hacienda : «Deseo aclarar un hecho: pensar los servicios de los militares, sino que todos los días está poniendo en dice el Sr. Procurador que acaba de hablar: nada importa fijar sean empleados práctica este mismo deseo. Sin embargo, el Gobierno desearía se corrigiese en civiles la mitad ó tercera parte del ejército, pues será mas ó menos aquella, según algo el leriguage de la petición: se dice por ejemplo en ella , que todas las Rea…</t>
  </si>
  <si>
    <t>…dijo que habiendo determinado el Esta viduo. t mento en la sesión del dia 5 del actual, conformándose con el dictámen de la El art. 30 fija la facultad de disolver los cuerpos, y precave al mismo comisión, que fuese admitido este Sr. Procurador con condición de que presen tiempo el abuso que podría hacerse de ella. tase sus poderes, y presentados qstos por el mismo señor, podía declararse que El art. Si, en fin, faculta al Gobierno para dar los reglamentos ¿ ¡ns- quedaba definitivamente admitido,. Asi se acordó. tTMCC'OOrt &lt;jue séan neces…</t>
  </si>
  <si>
    <t>…á ia Nación española: por manera que lo que se mira como un incon que nadie puede disputarnos, ni aun el mismo reglamento.” veniente, yo veo que es un medio de conseguir grandes ventajas. ¿Se trata de El Sr. Presidente: «Ruego al Sr. Procurador, que usa de la palabra, se seguir el ejemplo de lo que se hizo en la. guerra de ios,Países—¿ajos, en que por ciña mas á Ja cuestión^, pues no se disputa sobre ese derecho; nadie ha recla la política dc Felipe n se cortaron nuestras relaciones con Francia, sin que si mado contra él, ni hablado de in…</t>
  </si>
  <si>
    <t>…y que se niveló al ejército es tando á otros puntos indicados por el Sr. Secretario de Estado; pero no se lo pañol ; y nadie me negará la calidad que se adquirió da valiente y de disci oyeron sus. contestaciones por la los de un Sr. Procurador; leyendo también un plinada. tamo «le «m impreso que, ségun se oyó, parecía ser la memoria de uno de loa "Supuesto que el Sr. Secretario det Despacho piensa discurrir ea ocasión Sres. Secretarios del Despacho.” oportuna, según ha indicado, sobre si esta institución debe ó no artar incluida El Sr..c…</t>
  </si>
  <si>
    <t>SUPLEMENTO DEL VIERNES 12 DE SETIEMBRE DE 1834 CORTES. sancionar:: yo estoy cierto que no se ha aprobado. Un Sr. Procurador lo di jo, y no se le d.ó importancia; pero ni se ha aprobado , ni ha habido disco— ufiUBStO DB noCDIiBOlíl. tion sobre ello: los señores Secretarios contestarán sobre el particular. Ma pa rece se debe reformar esta expresión, y no decir que se sancione la petición. Seiion del dia 11 de Setiembre. L…</t>
  </si>
  <si>
    <t>…«na exposición de tmo de los informantes, que dice que no puede probarlo, porque no le han querido dar la ^ITAMBXTO. D2 7ROCQ1 ADOKBlp certificación que ha pedido. Efe consiguiente esto aumenta la duda y la posibi lidad de que el Sr. Procurador de qué se trata esté procesado; en cuyo caso se Sttion dtl 11 dt Qctubrt. halla la comisión en la necesidad absoluta dé'proponer al Estamento que pida al Gobierno el documento referido, para poder dar su dictámen de un modo íe abrió i las once, y leída el acta de la anterior quedó aprobada. positivo.”…</t>
  </si>
  <si>
    <t>…adoptó la denominación de Guardia que las creo desvanecidas de un modo concluyente. Yo no soy de aquellos que nacional , y no habiendo en tan.dilatado tiempo representado contracllainmse asustan de voces, ni creo que haya ningún Sr. Procurador, en cuyo ánimo pro gun español este silencio era prueba evidente de la conformidad, duzca semejante efecto una mera denominación. Llámese esta institución Guar Ei Sr. Secretario del Despacho de Estado-. «Me mueve á tomar la pa dia nacional, llámese Milicia urbana ó como se quiera, siempre que el ob…</t>
  </si>
  <si>
    <t>…sposiciones del Go de fuerza armada se halla establecida en varias Naciones con diversas denomi bierno) por la dura prueba de la práctica? naciones, aunque su objeto sea el mismo, y á ninguna se le ha antojado el mu m Yo diría al Sr. Procurador que ha aplicado cierto nombre al reglamento dar el nombre con que generalmente es conocida en cada pais. del' Gobierno, que S. S. ha estampjdo su nombre en algunas peticiones en que «Hn tiempo del sistema constitucional hubo un empeño en sustituir0?* se han visto de&gt;pues en su discusión equivocacio…</t>
  </si>
  <si>
    <t>El Sr. Porret: «Mediante esa explicación me parece inopoijSina jn¡ adi brir. Con este motivo, yo suplicaría al Estamento tomase en consideración un ción, y la retiro.” . - - Quedó retirada la adición de este Sr. Procurador. punto tjQ esencial, y rogaría al Sr. Secretario de Hacienda que , haciendo los esfuerzos de que es capaz, mediante su conocido talento y grandes conocimien Se leyó el art. 23, concebido en estos términos.- . tos' en las, materias económicas, tuviese la bondad de unirse i mí para suplicar Art. 23. «…</t>
  </si>
  <si>
    <t>…Felipe tu á la suma de 2.531,105 ducados, á la de 35.505,020 que en otros pasos que á veces se dan; y si el Gobierno se negase entonces á reala bajo el del Sr. D. Felipe v , á la de 41 millona bajo él Sr. D. Fernan responder, el Sr. Procurador ó Procuradores á quien tal aconteciese, en uso de do vr, y á la de 47.740,926 rs. y 6 mrs. en el año de 1691. La comisión no tus facultades, seria dueño de explicarse en el Estamento como el Gobierno ocultará al Estamento ni á L Nación que en algunos años del reinado del Se baria si gustase. ñor D.…</t>
  </si>
  <si>
    <t>…o de estar en estado de votarse los «Por consiguiente la situación en que nos encontramos, es especial, y yo presupuestos. Yo no sé si S. S. ha previsto si serian menores las dificultades del estoy bien persuadido que no habrá un Sr. Procurador, cualquiera que sean sus Estamento para verificar esta votación, ó tal vez para tomar un temperamento opiniones, que cuando se trata de resolver el problema mas difícil, que es el sin efecto. de cubrir con las menos cargas posibles los gastos del Estado, no desee acer »•&gt; Es innegable lia dificulta…</t>
  </si>
  <si>
    <t>…misma proposición, sino su esencia, no tengo inconveniente en el mejor órden. Por.ejempio , si hoy estamos tratando" del presupuesto, y á cual -reformarla en otros términos? que expresenlaidea. Se ha dicho en el giro de la quier Sr. Procurador sé le antojase hablar del código civil, es seguro'que para 'discusión 'que" cómo hemos de aprobar el proyecto en su.totalidad, y pasar des esto no tiene'libertad. Serta un abuso do ella &gt; y querer destruir la de' los de des á la,discusión de los artículos, de lá cuál puede resultar. Variada aquella…</t>
  </si>
  <si>
    <t>…abusar del mando en la Milicia y española actual, es claro que están obligados á sostenerla: yo no creo que S. S. usar mal de sus armas. conozéa alguna otra ley mas fundamental que esta. Dícese también que es ex A petición de un Sr. Procurador se preguntó si el asunto estaba suficien traño te díga la1 autoridad Real constitucional. Yo, señores , creo que no debe temente discutido , y resultó estarlo por ¿3 votos contra 62. esto asustar á nadie, pOrque el sistema actuales realmente sistema constitucio El Sr. Pa larca propuso se pasase á l…</t>
  </si>
  <si>
    <t>…inconve habrá comprendido la penetración del Estamento, los Secretarios del Despacho niente en ello, sena una decisión del Estamento, y la respetaría. Pero yo creo se han abstenido de entrar en la cuestión , excepto cuando algún Sr. Procurador, que sin haberlo decidido el Estamento no se puede hacer, y por lo tanto pre saliéndose de ella, ha hecho inculpaciones al Gobierno; pues efl este caso han senté la propuesta que he firmado.” tenido que contestar á ellas, impulsado, de su deber. El Sr. marques de Montevírven: *&gt;Para entrar en la di…</t>
  </si>
  <si>
    <t>…obierno en su totalidad; y luego se pasará al exi reglamento, y la he firmado con el fin de que por este medio salgamos del men de las disposiciones particulares; cuando llegue el presupuesto de Guer caos en que estamos. Si algún Sr. Procurador encuentra otro medio mas expe ra, se hará lo mismo, y asi de los demas. dito y legal para conseguir el objeto, no tengo dificultad en adherirme á el.” «Por lo tanto mi opinión seria que el Sr. marques de Someruelos retira 1 Habiéndose preguntado si el Estamento tomaba en consideración esta pro se s…</t>
  </si>
  <si>
    <t>…vocación, tanto ha sido del Sr. Calderón Collantes, como de todos Interrumpido de nuevo el Sr. cdnde de Us Navas, y habiéndose leído á los demas. La mesa ha querido acertar; si no lo ha conseguido, no es solo cul petición de otro Sr. Procurador &lt;1 art. 73 del reglamento, continuó pa suya ni de ninguno de sus individuos, porque todos la tenemos.” Ei Sr. conde de las Navas: «La resolución tomada en este Estamento El Sr. Calderón Collantes manifestó que estaba muy lejos de inculpar á la con consentimiento de U mayoría de sus individuos, desp…</t>
  </si>
  <si>
    <t>…ema constitucional habia esta No sé si esto se dirige á mí; pero si se dirige, es poco exacto: yo pido al Es do once años emigrado en países extranjeros. tamento nada mas que un momento de indulgencia; es la primera vez que ha Un Sr. Procurador pidió que se preguntase si el punto estaba suficiente blóla mi vida sobre mi conducta política. mente discutido. «Yo no tuve el honor de ser autor de la Constitución de Cádiz, ni de Los Sres. López, Alcalá GaHano y conde de las Navas se opusieron á qu* asistir á aquellas Córtes; porque no me lo per…</t>
  </si>
  <si>
    <t>…do con el Sr. Secretario que acaba de ha de! Reglamento se impone á los Secretarios del Despacho el deber de contes-1 blar ios demas del Despacho. Prescindo , repito , de lo que el Reglamento dis tar siempre y cuando acomode á un Sr. Procurador sobre cualquier punto pen pone, y aun de si habrá algún artículo por el cual pueda hacerse este género diente de su cargo. Deben solo esta satisfacción á la Reina Gobernadora, en de proposiciones, porque efectivamente no es una petición , es solo un deseo quien reside únicamente la facultad de gobe…</t>
  </si>
  <si>
    <t>…e someta á la votación del tóine en consideración'mi proposición.” r Estamento, ni auti siquiera la cucstiotí de si puede ó no discutirse.” El Sr. Motcot b: » Son tantos los motivos que el Gobierno tiene para opo A petición de un Sr. Procurador se leyeron los arts. 3Í y 32 del Esta nerse al sistema que se quiere introducir , que seria preciso alargarme mas de tuto Real, y él 74 del Reglamento. lo que permiten las ocupaciones perentorias del mismo: pero yo creo que to Sr. Vega r ’»La mayor gloria de los individuos que componemos este do na…</t>
  </si>
  <si>
    <t>…otomayor j pues hacia mas de/ días que estaba so-, yectos de ley presentados por el Gobierno en que sea conveniente que se ocu bie la mesa , y por consiguiente el tratar boy de ella aó se oponía A lo preve pen las Cortes; pero el Sr. Procurador tiene demasiado talento para descono- . nido el día anterior. cer que el Reglamento es imalry nacida del Estatuto, y que cualquiera que ' El Sr. Lasaota notó que el Procurador que había dicho quedase sobre lar sea el órden y colocación de sus artículos nunca pueden variar los de aquel. El mesa la i…</t>
  </si>
  <si>
    <t>…que se vendan á tiempo y cuando tengan mas estimación, se experimenta un mos inclinar la frente mientras somos Procuradores. Importa muchísimo que grande perjuicio. Se mantienen una multitud de empleados altos y bajos, sin que un Sr. Procurador que no tiene la felicidad de ser oido por falta de voz, y falte entre ellos su juzgado, los cuales con sus grandes sueldos, sus caballos yotras cuyos discursos no pueden redactar los taquígrafos, logre ver publicadas las ra ventajas que les proporciona la empresa, tienen el modo de vivir holgadamen…</t>
  </si>
  <si>
    <t>…s regadas, arbolado y demas producen mucho menos de io que Después de deshacer una equivocación el Sr. Santafé, se suscitó un debate se cree. Por esto no será conveniente suprimir de pronto ese arbitrio. Debe algo vivo entre este Sr. Procurador y el preopinante, que se terminó por ma también advertirse que en el cánon que pagan las tierras regadas, y de que se nifestar el Sr. Presidente que el reglamento no autorizaba para hablar dos ve quejan porque es bastante alto, van incluidos los diezmos, los cuales abona ces sobre el mismo asunta / d…</t>
  </si>
  <si>
    <t>…edan ¡presentar: ¿jas jítulos, que su Iqalr (El Sí, Polo, y, Mongo interrumpió al orador -pidiendo la palabra para 'tad’ y 'sÜS'padeciáleptói. ¿levado dé -étos. sentlmien’tqs^qsido'al Estamento se deshacer una; equivocación: otro Sr. Procurador reclarrjó el órden r eFSí. 'condígne acoger'esta* petición énfavor ide’esja,clase desgraciada;, resuenen por lo de de las Navas pidió asimismo la palabra, como tambienél Sr. AlaiiáGaliaiñqnós en este recintc/lps ácéntos de la simpatía qué debe unümos con esta cla- no, parareqtificár equivocaciones;…</t>
  </si>
  <si>
    <t>…casa Real. Siento mucho que el Sr. Ministro de Hacienda haya es me detendré en manifestar los fundamentos de esta opinión, porque creo que tablecido esta diferencia, para la cual no juzgo que tenga razón suficiente; no hay ningún Sr. Procurador que los ignore, pues la mayor parte son pro porque en primer lugar el Estamento ha dado una prueba de-consideración en pietarios, y saben qUe un peso duro en 1834 0=1 doble ó triple de lo que era no descender á pormenores que en otro tiempo ocupaban la atención de las hace no muchos años Córtes esp…</t>
  </si>
  <si>
    <t>…que muchísimas veces se citan, como se deben bierno 35 millones, la comisión 30, el voto particular del Sr. Samponts 24 &gt; y citar las decisiones de aquella corporación: ¿cuál fue la asignación que hicieron el Sr. Caballero 20. Un Sr. Procurador, cuya elocuencia es bien conocida, ha á la casa Real ? Aquellas Córtes, como las del ano señalaron ai Rey £0 blando de la totalidad, indicó que todo lo que se podía decir en este asunto no millones,no se anduvo en disputas de si estaba la Nación ó no en mejor es tenia otro principio que las conside…</t>
  </si>
  <si>
    <t>…itad del sueldo que disfruta. Sin embargo entre los vor con el mayor gusto; pero al mismo tiempo me veo precisado ppr las ob empleados que vociferad si la Reina, tiene bastante con 20 ó 25 millones, ha servaciones quo ha hecho el caballero Procurador que acaba de hablar, á hacer brá alguno que si acuerda1 que se le rebaje la mitad del sueldo dirá malditas ciertas reservas, ó á dar á mis ideas mas amplitud. Como ni el Gobierno ni atan las economías. Yo soy empleado, y si el Gobierno me dice has de ir d la comisión han sido explícitos en los'fund…</t>
  </si>
  <si>
    <t>…en sentar estos- principios , que; favorecen ai uso# ran detenido én aumentarla si lo hubieran,creído conveniente. Un hecho i que igualmente que i la Naoo.ii: al primero porque se coloca en una esfera ^ so** ha aludido eí. mismo Sr. Procurador , j que, yo. referiré .ti mi' memoria no está blime que no pueden llegar basta él las tormentas políticas; y á la Nación.por demasiado,.flaca, es ,1a escriturado (orgáda por cl Se. D. Féroatado vu en favor que deja la líberjtad á sus Procuradores de mirar por sus- intereses, sin que ea de su Esposa…</t>
  </si>
  <si>
    <t>…nción del Estamento El Sr. Latorre: «Mil veces ha dicho la comisión, y lo repite , lo sensi hácia el art. .16, y creo que no lo ha~ entendido, como luego se probará en el ble que la es tener que desaprobar los documentos de algún Sr. Procurador. expediente del Sr. Alvarez Sotomayor.” Los que halla arreglados inmediatamente los aprueba; pero no puede ha El Sr. Riva Herrera: « Las rentas del Sr. Romarate exceden muchísimo cerlo asi cuando no los halla conformes con las fórmulas prevenidas en el re á las que se necesitan para ser Procurador;…</t>
  </si>
  <si>
    <t>…La comisión no ignora que los 200 mi minar lo mas ruinoso que es imponer á los pueblos de súbito cantidades enor llones que concede son el desfalco estricto como ella lo. ha considerado hasta mes , y solo pregunto i habrá ningún Sr. Procurador que quiera cargarlos re el di»; y al mismo tiempo no provee de remedio para pagar el nuevo déficit pentinamente, no digo con 2(10 millones, pero ni aun siquiera con ciento? que resultaría, reconózcase todo ó parte de los empréstitos extrageros. ¿Cómo, ¡Quién se imagina, aunque se mándate, que se hi…</t>
  </si>
  <si>
    <t>…a verdaderamente vital el acudir con tiempo á impedir que El Sr. marquej de Falces-, »Yo no he,tratado de manera alguna de per esto-sneeda t Pues apa bajo esté aspecto debe haber un ínteres por parle dclGo- sonalizarme con ningún Sr. Procurador, ni he aconsejado á nadie que se absten—, bieino sn tip exponerse áqpie se verifique. ga de vptar, porque estoy persuadido de que el .perjuicio ó beneficio que puedas "¿fincuanto ai inconveniente alegado con respecto á los que-fian obtenido resultar á cualquiera de mis dignos compañeros ,no es bast…</t>
  </si>
  <si>
    <t>…Rey: «Españoles, marchemos y narse, añade nuevos embarazos á los que de suyo me ofrece la cuestión, para yo el primero por la senda constitucionaly si bien es cierto que algunas no renunciar la palabra, ni seguir el consejo de un Sr. Procurador. que no por provincias, respondiendo al eco de la Isla de León y Cádiz hablan dado an gri ser mi adversario político sera mírado por íñT~cómo enemigo. Se ha dicho en to correspondiente, qucdabaa-muchar quciio loltabian hecho, y los que no ha efecto que todo* lo¿ que estamos interesados en la cuestió…</t>
  </si>
  <si>
    <t>…e nuestras libertades, si no hay contra ellos El Sr. Secretario dtl Despacho de Estado’. «Desharé algunas equivoca pruebas convincentes de su criminal conducta, al menos son altamente sos ciones que ha cometido el Sr. López. E»ie Sr. Procurador ha citado un hecho pechosos , y por conguiente deben ser separados de sus destinos. «Quién ser» personal sobre el cual no puedo menos de hablar, dando al mismo tiempo gra vira mejor Ja justa causa que defendemos, el qüe por sus mismos principios cias á S. S-, porque me ha proporcionado la ocasión d…</t>
  </si>
  <si>
    <t>…s que La tenian pedida ce necesario, para la salvación de la patria. diéndola para que hablase el Sr. Arguelles; 1 «En cuanto al número de personas que puedan considerarse crmpréndidjs El Sr. Arguelles: (El tono bajo con que este Sr. Procurador empezó su en la petición, yo no tengo los ditos suficientes para hacer un cálcuí.i aproxi discurso, y el sitio en que estaba colocado, no permitió oírse gran parte de ¿i, mado, pero creo que no sea crecido su número. Los Sres Secretaras dei Des cn especial el exordio). pacho podrán ma» bien estar e…</t>
  </si>
  <si>
    <t>…»Miettfzw_mSécp»«la«VpIS&amp;&gt;oraoqar arm* t toda U Mije» uifuna, se tspmmon j oue eh suand^somalUttuBio artfcsío Udr.ó eniras idáqtKÁ.á las de distribuirán en cada pueblo las que se tes detallen, empezando por los yá alistados. «ate Sr. Procurador, nonafla dificultad en que se sustituya aquella en los tér Art. 29. «Las.cajas de guerra , trompetas y cornetas i el uniforme'de los minos siguientes: «y tanto en este-caso como en el del artícúlo anterior'deberá mismos y de los tambores,.ios enseres necesarios en los cuarteles, donde los preceder…</t>
  </si>
  <si>
    <t>…. se suspendiese la discusión. De con cantidad menor,.no tienen fuerza. siguiente estoy yo en el uso de la palabra cómo lo estaba ayer. Si contra esto «Alegóse ayer, impugnando el dictamen de la comisión, el ejemplar de hay algún Sr. Procurador que CTéa que debe seguirse otra regla , puede hacer otras Naciones, y la proporción que guardaban entre sus ingresos y las asigna una proposición por escrito, y en este caso pido la palabra contra ella.” ciones 4 la casa Real; que en España debía seguirse igual proporción; pero lo» EI Sr. Precedent…</t>
  </si>
  <si>
    <t>…r consiguiente creía. Añadió que España no era pobre , sino que lo estaba por la mala admiprueban esas citas £ favor de una asignación menor. .nistracion; pero que mejorada esta., seria rica, porque encierra en sí todos los «Otro Sr. Procurador nos dijo que seria mal ejemplar para otras Córtes * elementos para serlo: que era preciso .no atender solo £ que es de menor edad esta asignación; y que en casándose $. M., para tener consecuencia con k gran la jóven Reina, sino a que debía rodeársela de todos los hombres mas sabios suma ahota seña…</t>
  </si>
  <si>
    <t>…DE SETIEMBRE DE 1834CORTES. observa en esta parte , que la falta de casos que poder citar, y que la gran pro babilidad de que hubieren sido muchos. Dije y repito, que nunca pudo ser el KSTAlfBNTO 3&gt;B PJIOCO» ADOISI, designio del Sr. Procurador que se expresó en los términos á que me voy refi— xiepdo, mancillar en lo mas mínimo el ejército ; pero yo añadiré que esa mis ' Sesión del dia 17 de Setiembre. ma sorpresa que parece derramar alguna oscuridad sobre el brillo de las armas, sirve p:ecisamente para darles todavía mayor esplendor. 'Se…</t>
  </si>
  <si>
    <t>…en hasta dife blico ei interrumpirla con este otro asunto ¡ mas como en la discusión de ayer rentes especies de tributos que en otras. Ehta desigualdad debería remediarse, f se hizo al Gobierno utxa especie de inculpación por un -Sr. Procurador, que se es seguro que semejante remedio no podría menos de producir un aumento di* ha repetido hoy por otro, exige la justicia que se manifieste la equivocación. Yo productos en las mismas contribuciones. no extrañaría que habiéndose tratado de inculpar al Gobierno, se hubiera es «Hay otra clase de…</t>
  </si>
  <si>
    <t>…elocuentes frases que se pueden em no que lo apoyará con todas sus fuerzas. El Sr. Arguelles expresó la misma plear para reclamar contra este aumento, pintando la miseria de los contribu opinión ayer, y aun hoy me parece que otro Sr. Procurador la ha consignado yentes; pero , señor, entonces toda contribución es un mal, y todo gasto dei en una indicación. De consiguiente, si los Sres. peticionarios hacen esta acla Estado es en perjuicio de los pueblos. Nadie duda esto-, y sin embargo al adop ración, el Gobierno la apoya, y excusaremos entrar…</t>
  </si>
  <si>
    <t>…e se prevenga por &lt;1 Gobierno que no la materia con su explicación el Sr. Secretario de Hacienda, querria decir solo se use en adelante de la expresión de amnistiados por haber manifestado el sédos palabras para tranquilizar á un caballero Procurador, que con las. mejores ñor Presidente del consejo de Ministros que el Gobierno actual no usa de se intenciones ha expresado sin embargo una idea, que ciertamente no puedo me mejante expresión.” nos de confesarlo con dolor, no me parece exacta. El Sr. Procurador ha que Fue admitida á discusión la que…</t>
  </si>
  <si>
    <t>…a mi acostumbrado repertorio , como Je Llama el embargo que se levante alguna vez á rectificar los hechos que se asientan coa Sr. Secretario del Despacho de Estado. D jo S. S que ía dotación de la casa Real cierta inexactitud. El Sr. Procurador que me ha precedido en la palabra ha debe estar en proporción con los gastos de la Nación; y siento mucho no estar renovado con motivo del presupuesto de casa Real lo que ya otra ve2 dijo en esta ocasión conforme con S. S., como lo he estado otras veces. Yo creo que respecto del déficit,"es decir,…</t>
  </si>
  <si>
    <t>…ásta la ¿jólos Sres. SécretafDésjiatfio. .. las de 1 iberaciones , y según el cual no se podrá decir que.estLdrtciuido ningort ‘r'; rrtAs«ura4pj'pmsi/ete‘ ii&amp;hé^S&amp;'Áticf íÓ1tóniWipos¡t«vanie¿«i ¡simo lo asunto mientras haya;algún Sr. Procurador que quiera hablan? , rs.-.;, &lt; ,u; &gt; • gastado .ert Í.03Íjj‘ qúS'tífflros si^ihÉS llsf; considerables rofotínas 1 ' El Sir. Vicepersistente'. «El Sr. López hadicho lo qué teréosdebo decir , á qúe S.; M-» cón w„Píudente econ'0^i;y :su tJéáe3:(fe ál!v'iar á los -pueblos* ¡ha saber: que mientras haya…</t>
  </si>
  <si>
    <t>…Este dictámen puede considerarse bajo el as ba causado tanta estrañeza como la doctrina sentada por un Sr. Secretario pecto legal, bajo el aspecto de conveniencia y de crédito, y bajo el aspecto del Despacho, y repetida por algún Sr. Procurador, que me propongo reba político. Bajo el aspecto legal , no sé como hay quien pueda establecer una tir, Se fia dicho que el actual Gobierno es una continuación del reinado de doctrina favorable al reconocimiento de los empréstitos contraídos desde el loa 1). años pasados , 7 que la Nación ha querido…</t>
  </si>
  <si>
    <t>…ientos.” Gobernadora 12.000,000, rs., por 115 votoscontra 14, siendo 129 el total El Sr. Presidente'. «En la sesión de ayer no oí ninguna expresión que de Sres. Procuradores presentes. ____ __ pudiese ofender la persona de ningún Sr. Procurador, pues en el caso de ha Señores que aprobaron: Otaru, Cano Manuel, Rodríguez Vera, Abar berla oido, hubiera tomado las medidas convenientes. Sí el Sr. Ministro de gues, Belda, López, Osea, Visedo, Carrasco, Chacón, Clarós, Martin del Hacienda se sirve hacer alguna explicación, quedará terminado este…</t>
  </si>
  <si>
    <t>…, y en vez de decir Infantes de El Sr. Latorre dijo que si el Estamento tenia facultades para hacer que Castilla, diríamos hijos de Castilla, pues la palabra infante corresponde á la quedase consignada la opinión particular de un Sr. Procurador, S. S. desearía francesa enfantt que significa hijo. Dinamos pues hijos de España, y de con que se hiciese respecto de la' suya; pues no estaba conforme, ni con el parecer siguiente la obligación de los españoles seria mantenerlos, como todo padre dd Gobiferno, ni con d dictámen de La comisión. tie…</t>
  </si>
  <si>
    <t>…lo para ilustrar ticas en los negocios, y acreditadas en su carrera. Serian esas economías perju los pontos dudosos. diciales, y que resultarían en contra del Estajo. Tampoco es practicable el que «En virtod de lo expuesto por el Sr. Procurador que me ha precedido en !a sean en todos los puntos lo» cónsules generales estos encargados de negocios. En -palabra , y p$r. el Sr. Secretario &lt;.• l Despicho, tengo poquís:mo que añadir. Soso Grecia, en el Brasil, en las regencias berberiscas, en el imperio de Marruecos, sí diré alguna* palabras so…</t>
  </si>
  <si>
    <t>…oido.afirmar en este lugar que los padres no eran dueños ••No entraré yo en la cuestión de derecho: hay otros señores que la han sos-: de los productos de las rentas de sus hijos menores, y que el padre tenia que tenido ya. Este Sr. Procurador presenta una masa de garantías suficiente para tomar estas pertenencias de loé hijos menores, bajo la seguridad de un inven sentarse en el Estamento según la voluntad de'su provincia: tiene 103 y tan tario : tampoco esto es exacto. Cuando muere una muger casada, y deja hijos tos reales suyos propio…</t>
  </si>
  <si>
    <t>…iré jo que sea indiferente á la Nación té proyecto, dijo, hablando de la dificultad de echar mano de los recursos que tener ó no tener crédito; lo que sí diré es que no puede traernos tan fatales — se le habían indicado por algún Sr. Procurador , entre ellos de los bienes naconsecuencias como en los países donde se contratan los empréstitos con mas * cionales, que quién habia de comprar en el dia bienes nacionales. Cierto que Legalidad que se han contratado aquí en cierta época; y por consiguiente la el estado en que se encuentran las com…</t>
  </si>
  <si>
    <t>/ h libertad en que «tuvo «1 Sr. D. Fernando vii de contratar estos émprésti^ discurso en qué el Sr. Ministró me sorprendió, sin embargo de las. pruebas qile tos, y en contestación al argumento hecho por otro Sr. Procurador ldé que es temamos ya de su elocuencia y Verbosidad, por las brillantes razónés con, que taba dominado por una facción, dijo que D. Fernando vu, entre oirás prue apoyó él dictímen presentado por el Sr. Ministro de Hacienda. Con todo no bas dd la libertad con que haliia obrado, pasó el afio de 27 i…</t>
  </si>
  <si>
    <t>…den. biera aceptado el honroso cargo que mi provincia me ha confiado. Siendo in No lo diré, pues, directamente. disputable que U iniciativa es esencial á ios cuerpos legislativos, no es en¡ el. El Sr. Presidente-. Me permitirá el Sr. Procurador le indique que la ma- reglamento donde deben buscarse esos correctivos; y de manera ninguna me y.or parte de la oppsicion defa discusión anterior no recayó sobre el principio, parece oportuno que en ¿1 se pongan esas trabas que ia coartan tan .ostensíbJe-} sino &gt;obr«r los términos en quistaba conce…</t>
  </si>
  <si>
    <t>…. Secretario qué se ponen? Para que la opinión públjca tenga tiempo de pronunciarse ex de Estado, Presidente del Consejo do Ministros..... plícita.» terminantemente sobre la utilidad ó perjuicio á'e-io que ^e propone. Habiendo un Sr. Procurador prommpido en la expresión al &amp;r4enfal (Para qué? Pára qué el Gobierno tenga lugar de ver cómo se\podr¿n llevar á orden, se detu vo el Sr. Galiano. efecio'las,medidas que se prppoñen, y qué inconvenientes tendraq en lá ejecu- El Sr. Presidente : «Si algún Sr. Procurador tiene que reclamar el órden,…</t>
  </si>
  <si>
    <t>…ente del consejo de Ministros, yo quien ha indicado que sabiendo que existia el reglamento como está, no hizo una oposición muy fuerte. Sí señor; tengo muy buena memoria; hizo una hubiera venido á enlarde en este sitio, sino otro Señor Procurador, que no degrande oposición; y perdóneme S. S. que en esta parte le diga lo que yo hubie j.irá de rc-pciar como yo el Sr. Secretario. En tercer lugar protesto contra la ra deseado que hubiese hecho, y nos hubiera ahorrado esta discusión y el per acusación de recriminar, que se me ha hecho por el mis…</t>
  </si>
  <si>
    <t>…su mayorazgo y otros bienes.” provincia del Procurador que ha nombrado. Yo quiíiera , pues, que en ei pre El Sr. Presidente: «Me partee que la indicación del $r. González no es sente caso se tomase un término medio, y se diese al Sr. Procurador de que se la mas exacta. Esta reclamación quien la debe hacer es el mismo Sr. .Seoane, trata una Ucencia temporal para desempañar su comisión, sin que por eso se pues el Sr. González no estará tan enterado de los pormenores que ha referi le privase de venir aquí tan luego como la guerra fuáe terminada…</t>
  </si>
  <si>
    <t>…nización de e»ta clase de compañías, se arreglen á lo que actualmente Se leyeron coa efecto dichos artículos; y habiéndose preguntado, á pro- se practica en Granada. Asi lo ruego al Estamento y ala comisión, porque t puesta de un Sr. Procurador, si estaba el punto suficientemente discutido, se conceptúo que es lo mas conducente al fin de semejante institución.” I declaró que sí. ' El Sr. Secretario del Despacho de lo Interior, en consideración á que el Go Se puso ¿votación el artículo 6? del proyecto .del Gobierno que di bierno solo disen…</t>
  </si>
  <si>
    <t>…a los presupuestos de gastos é ingresos pre impuestos que antes. Sobre esto no cabe duda, ni creo que pueda haber la me sentados por el Gobierno para el año de 1835 , continúen rigiendo los anti nor dificultad por parte de ningún Sr. Procurador, aunque sí podrá haberla guos en los términos que hasta aquí; y no baila inconveniente la comisión pn acerca de los términos en que se concede tal autorización. Las leyes de Hacien que el Estamento tenga á bien conceder al Gobierno de S. M. la autorización da deben ser claras, precisas, y no dar ma…</t>
  </si>
  <si>
    <t>…TA DE MADRID DEL LUNES 22 DE SETIEMBRE DE 1834 CORTES. «Yo no puedo conformarme con el dictámen de la comisión, y mucho i menos cuando veo que se nos priva de Diputados sumamente útiles. No conoz I8TAMKWTO X&gt;£ FROCÜRADOKKl^ co al Sr. Procurador de que se trata; pero cuando la provincia lo ha elegido en una segunda elección por unanimidad, es preciso que reúna las calidades de Sesión del dia 21 de Setiembre. patriotismo y amor al país. Yo suplico al Estamento que de ninguna manera apruebe el dictámen de la comisión, porque de lo contrario no…</t>
  </si>
  <si>
    <t>…un contrato tan perjudicial, en elf:ual se ha estipulado que la prestaban otra vez al tiempo de entrai U nueva mitad elegida. víctimas deben pagar el prpcio de! asesinato que en ellas se ha cometido. «Pudíendo morir &lt;S faltar un Sr. Procurador, la junta electoral debe nom «Paso ahora al punto de Jos empréstitos, que es La verdadera dificultad de brarle, y por consiguiente su reunión al efecto es una continuación de la an-^ la cuestión. "Yo creo que estos empréstitos son de tal naturaleza,. qi¿e no deben terior.” admitirse por ningún esti…</t>
  </si>
  <si>
    <t>…mes, opinaba que debían apro duos, dicha fuerza es solo nominal. SÍ se señalase á las compañías la que se ha barse. Quedaron aprobados. propuesto, habría ocasiones en que de dos de estas no se reunírian mas que 60 En seguida este Sr. Procurador entró á jurar y tomó asiento. hombres , y esto no es escuadrón; ademas de que les damos el número de 5 El Sr. Presidente anunció que se iba á continuar la discusión del proyec oficiales, resultando que un escuadrón tendrá 10; y por estas consideraciones la to de ley sobre organización de la Milicia…</t>
  </si>
  <si>
    <t>…e imposible trasladar á España los bienes que posee en pais ex- paña cuando sus rentas las tiene en pais extrangero: Ninguna. En el momento trangero , por lo que renuncia , aunque con sentimiento, el honroso cargo que en que este Sr. Procurador terminc?sus negocios se marchará, y asi no tomari le ha conferido su provincia; opinaba debía accederse á la solicitud del inte todo aquel interes que la ley ha querido procurar: por otra parte, á poco que resado, y avisar al Gobierno para que la provincia procediese á nueva se reflexione , se ve q…</t>
  </si>
  <si>
    <t>…n Asi me parece que el medio mas prudente que pudiera adoptarse seria am Otra* sesión qué le comisiónhabiá tenido que adoptar por base, siempre que pliar el término ai Sr. Vadillo sin admitirle la renuncia. Se há dicho, por al un Sr. Procurador electo manifestaba que tenia la rentaípecesaria para serlo, gunos Sres. preopinantes qué el que tiene sus intereses fuera de España no esté pero que no'le habla sido posible reunir los documentos que lo .acreditasen ligado con la Nación. Yo no 4o veo asi: el patriotismo no está en razón di legalmen…</t>
  </si>
  <si>
    <t>…Gobierno y el del diciámen de tuírmele el de la comisión.” la comisión. El Sr»'Secretario dei Despacho de Estado: «Si no he comprendido mal, El Sr. Secretario del Despacho dejo Interior: «El articulo 1 ¿ del Gola observación del Sr. Procurador es exacta. La base del Gobierno era que b’erno'está conforme, respecto del primer párrafo, con el de la comisión , ex hubresp escala para los aseemos; pero admitido el principio cic*.iivo, S. S. tie cepto en la pequeña variación dé abanderados en vez de capitanes , que ella ne razan.” ha ad&lt;‘ptado…</t>
  </si>
  <si>
    <t>…uadrón y los ayudantes y abande en los artículos anteriores, está en igual caso que el de la fuerza activa, ó sea rados tendrán Reales despachos, que serán expedidos por el ministerio de lo ejército de línea; y no creo que ningún Sr. Procurador exija que el Gobierno Interior *, y tanto estos como los oficiales y sargentos serán dados á reconocer dé cuenta á Jas Cortes de cuándo va á poner en movimiento una columna ó en la órden del cuerpo y ron las formalidades de la^ordenanza. una división del ejército porqué haga parte de ella cierto nú…</t>
  </si>
  <si>
    <t>…campada , de que habla el art. 19; por consiguiente rificaría. Si esto sucediese, no era con U adición que debia evitarse, sino for me parece que debe añadirse ór incluirse en él del modo que se crea mas á pro malizando cualquier Sr. Procurador una acusación contra el mal ministro, que pósito. procediese tan desacordadamente ¿ fin de que se le juzgase. «En cuanto á la limitación que la comisión propone para el uso que el «Ademas no sé yo cómo á un Gobierno que tiene á su disposición toda Gobierno quiera hacer de U Milicia urbana, la encue…</t>
  </si>
  <si>
    <t>…Rusia volviesen-á ponerte en el pie en que iar289 rs., si -el cónsul de Liorna se puede encargar dé.1?. concerniente 4 Lú estaban en e! alio 32, entonces habría que establecer 6 ministros, ó embaja ea t Considero muy digno de un Sr. Procurador que té lévame para hacer una dores , ó encargados de Negocios, que son las tres clases de representantes. La economía aunque sea corta. Son tan insignificantes nuestras relaciones con ese comisión creé que la última de citas seria suficiente en cada una de dichas cor pasque ni Siquiera hay un cónsu…</t>
  </si>
  <si>
    <t>…ó rebaja que se ha ta el dictámen de la comisión, es el que varios Sres. Procuradores que han ha heclio ya respecto al consulado de París. Por lo demas aunque aparece en la blado , han tocado algunos puntos de él. Antes que yo un Sr. Procurador ha propuesta del Gobierno que los consulados de las regencias berberiscas gozan bía tratado del L° y 2.°;-yo me he limitado á hablar del 3.°; y el Sr. Minis del sueldo de 50 á 609 re.; esto es porque reúnen el carácter de agentes diplo tro de Estado ha contestado ya.al 4-° y 5.°, indicando que el G…</t>
  </si>
  <si>
    <t>…digo (Jfoal, formado por las Cortes del debe hacer presente que se considera en la necesidad absoluta de arreglar sus año 20 , otro de los tres tornos de su discusión., otro de las Partidas, y otro dictámenes á lo establecido. El Sr. Procurador de que se trata "presentó sus de la Novísima Recopilación, manifestando que no lo bacía denlas memorias pódeles y documentos, que fueron examinados en la última junta preparatpescritas eft aqtiel tiempo sobre el mismo asunto, por no encontrarse en su mi ria: el Estamento, en consecuencia del dictámen…</t>
  </si>
  <si>
    <t>…que está perfectísimaménte de de Santiago no propuso variación ninguna. La modificación que se hizo en acuerdo con lo que dijo ayer , de lo que me felicito extraordinariamente. uno de sus artículos fue á virtud de propuesta de un Sr.: Procurador.” (Insistiendo el Sr. Florez Estrada en su idéa, hicieron varias observacio El Sr. Redondo pidió se leyesen algunos párrafos Ae la sesión del ló nes los Sres. López, Montevírgen,..) por el suplemento de la Gaceta. ” Me parece que después de esto, muy poco ó nada queda que deci r sobre El Sr. 'Vicepr…</t>
  </si>
  <si>
    <t>…...... 57,000 El Sr. Istúriz dijo que no habia querido hablar irónicamente de la comi sión , sino que tal vez sus expresiones nacerían de error de concepto. Secretarías de las secciones. El Sr. conde de las Navas: «La Opinión del Sr. Procurador que me ha precedido es de mucho peso para mí, y ia circunspección con que ha tratado el Sueldo de ocho secretarios de sección á 30.000 reales, asunto me pone una barrera, que solo la mas absoluta necesidad me haría tras á excepción del de Hacienda, que por orden par pasar. Seré, pues, sumamente bre…</t>
  </si>
  <si>
    <t>…ncias en que se halla la Nación no podría verificarse esto; que salud. No podré menos de recordar la facilidad "con que ayer se concedió li sin embargo hicieran sus proposiciones; mas hasta el dia no se han presentado cencia á un Sr. Procurador, no por un mal personal, sino por otro motivo á ejecutarlo.” que le llamaba la atención.” El Sr. Caballero: «Yo creo que no nos debe ocupar la cuestión de si El Sr. Acevedo : «Mi ánimo no ha sido atacar al Sr. Latorre; yo ha. será mas ó menos costoso el diario propuesto, porque todavía no lo sabemo…</t>
  </si>
  <si>
    <t>…la ilegalidad á causa del tiempo en que 27 millones la suma líquida que ha quedado en España; y por estos 26 millo se hizo, y de la declaración que hicieron las Córtes del año 23 poco antes de nes ¡ pqdrá la conciencia de ningún Sr. Procurador cargar á su país una suma separarse , protestando contra cualquiera empréstito que contratasen los gobier tan exorbitante comq la de 33 millones, y los intereses que han de devengar ? nos de los insurgentes. Esta protesta, que se quiere hacer valér tanto, era diri llamo, pues, muy particularmente l…</t>
  </si>
  <si>
    <t>…por este ramo. =: Conde de las Navas. =Tomas trata, y en consecuencia convino unánimemente en que se discutiera en público.” Domínguez.=Andres B&gt;sedo.—Miguel Chacón.—Marcos Marín.=Fermin Ca «Sr. López : «Me propongo satisfacer al Sr. Procurador que ha impelido i bal lero.ee:José Clarós.=Miguel Calderón de* la Barca.—Miguel de Pedro.—Joa- las comisiones á dar su opinión. t&gt;ice que á su entender debió el dictamen.de quin María Lopez.=AgUslin García Atocha. = Mateo Bclmonte. = Antonio la comisión abrazar dos extremos: sí conviene ó no hacer…</t>
  </si>
  <si>
    <t>…á cómo , después de invocar el honor nacional se aprueban una* deudas y .c re cubierto de lo que podría suceder.” prueban otras, siendo todas ce un tnt&gt;mo origen Por lo d.nu&gt;, en cuanto al El Sr. Presidente 1 «No habiendo ningún Sr. Procurador que promueva argumento que q£/ha hecho relativo á que todo lo que se d;bc debe parirse, esta discusión, queda el punto en el estado que acabo de manifotar. Sigue la yo creo que en esto estamos lodos conformen , y que* por .denudad de razón lo discusión del articulo l.° del proyecto de ley sobre el…</t>
  </si>
  <si>
    <t>…llero, Cano Manuel (hijo), Cezar, Toledo, Pizarro, Aranda, Serrano de las leyes, que corten de raíz esos'mala que todos lamentamcs.” (O. Francisco), Diez González, Blanco, Mantilla, marqua de Montevírgen, Habiéndose pedido por un Sr. Procurador que se preguntase si el punto Miranda y Olmedilla, Calderón de la Barca, marqués de la Gándara, Mat estaba suficientemente discutida, se hizo asi, y se declaró que lo ataba. tel, Domínguez, Lasanta, Palarea , má'rques de Montesa, Florez Estrada, True- ' Se pidió por varios Sra. Procuradora la lectu…</t>
  </si>
  <si>
    <t>…8 votos necesarios, y solo tuvieron los siguientes: Sr. Belda 27; Sr. Chacón de Jos que se expresaban, y Jo harían Jos demás aJ presentar sus poderes. 18 ; Sr. Diez González 9; Sr. marques de Espinardo 14» f Sr. marques de Tor Un Sr. Procurador tomó la palabra piara reclamar que en la lista de los Se remejía 8. ñores que juraron en la sésion Regia, inserta en lá Gaceta, no se hallaba su nom Por lo tanto quedaron excluidos de !a nueva rotación los Sres. Diez y Torbre, siendo asi que había verificado tan solemne formalidad. remejía, procedi…</t>
  </si>
  <si>
    <t>DEL MIÉRCOLES 2Í DE AGOSTO DE 1834 CORTES. Vn Sr.'Procurador: «Está prohibido que frea individuos juntos repretenteh; por consiguiente nove debe dar curso á la exposición.” ' ñtAnmo bu ndanumoni. El Sr González: «No hace muchos días se dió cuenta al Estamento de una solicitud de uti antiguo empleado en las Córtes, que ahora no lo-citá. El Stthn dtl dia 26 de…</t>
  </si>
  <si>
    <t>…se señale dia para discutirlo, si dos comisiones á mas estricta economía. La comisión en vista de todo era de dictamen se admi lo menos estuviesen i favor de la petición. Me parece que esto supone que de tiese la renuncia de este Sr. Procurador , y se diesen las órdenes para proce ben examinarla, y no limitarse á decir simplemente, si conviene ó no discu der á nueva elección. tirla , sino manifestar si la aprueban ó no. El Sr. González. ( D. Antonio') «Antes de que se proceda á votar el El Sr. Ochoax «El Sr. preopinante sienta la proposic…</t>
  </si>
  <si>
    <t>…caso los empréstitos; pero i cuánto no se hubiera di Inglaterra 7 Estados-Uní dos, que se llevarán á debido efecto.” cho en contra de ellas! El Sr. Presidente manifestó que antes de resolverse sobre esta adición ha «Vea, pues, el Sr. Procurador y el Estamento toda la gran diferencia bía uní indicación preliminar, que motivando resolución general sobre asun entre los empréstitos de las Córtes y los que se contrajeron después. Aquello» tos de esta clase, iba á ponerse en noticia del Estamento. se contrajeron para aliviar 4 los pueblos en las…</t>
  </si>
  <si>
    <t>…lares, sino solamente de los perte El Sr. Chacón, á nombre de los peticionarios, se conformó con la sus- necientes á manos muertas. pensíon; y habiéndose preguntado st se suspendería esta discusión, se resolvió No habiendo ningún Sr. Procurador que tomase la.palabra en contra de 1* que sí. petición, habló á favor de ella el Sr. González ( D. Antonio), apenando Jo Se pasó á discutir otra petición sobre redención de censos, que había sido dicho por el Sr. Clarós, y manifestando que solo se proponía en elia ia reno examinada por las comision…</t>
  </si>
  <si>
    <t>…s pueblos no hubieran consentido que la la, que es un derecho que se cobra de la teja, ladrillo &amp;c. ¿Y por ventura has exacción se verificase de este modo pernios participes; v habrían acudido al ta ahora le ha ocurrido á nínfcun Sr. Procurador el pedir su extinción ? No; por Consejo, el cual hubiera decidido á su favor; pero ahora lo que va á resultar es que sin duda se. habrán hecho todos cargo de que seria preciso imponer otra que dentro de tres años habrá ya una práctica sancionada por la costumbre, nueva que la reemplazase; para lo c…</t>
  </si>
  <si>
    <t>…hasta ahora no se ha presentado Oviedo.eeD. José Serrano Salas. sus poderes existen en el ministerio de lo Interior.4’ Gu¡púzcoa.=D. José Joaquín dé Mariítegui. El Sr. Acevedo manifestóle» motivos porque no se había presentado el Sr. Procurador, electo por Oviedo, D. José SerrañoSalas. Señores cuyos poderes han sido desaprobados, y se ignora su reemplazo. El Sr. marques de Montesa manifestó que el Sr. Procurador electo por la Teruel. eeD. Juan Romero Alpuente. provincia dé Soria So hallaba en el ejército del Norte. Santiago de Cuba.ee D.…</t>
  </si>
  <si>
    <t>…en contra de la pe lo Interior por hallarse igualmente Ocupado, voy á tratar de satisfacer los de tición por hallarse persuadido de que su aprobación produciría, en vez de ven seos de S. S.’La'ópinion del Gobiernó es como la dél Sr. Procurador á Cór- tajas, consecuencias muy fun«tas, en razón de ser un hecho positivo que ran tes, qUé sñbststa'Ti actual legislación sobre granos-tal como«tá, pues corres- chas provincias de España tienen sobrant» sus granos, al. paso que otras carecen 'psnfde-pétfectámiínte ál' objeto y necesidades para que…</t>
  </si>
  <si>
    <t>…del Estamento de Procuradores del reino.” que se hallen en una situación semejante. ' Concluida la lectura de este dictamen, y no habiéndose pedido por nin «He hecho esta manifestación, para que el Estamento se penetre,de que gún Sr. Procurador la palabra en pro ni en contra de él, se procedió á $u vo no por tibieza ni por falta de voluntad de parte del Gobierno se ha retardado tación por partes, según se acordó, y fue aprobado en todas ellas. la presentación del proyecto de ley que se reclama. El Gobierno hubiera de Ei Sr. Vicepresidente an…</t>
  </si>
  <si>
    <t>…omisión.. v dicciones muy manifiestas entre lo qne se ha dicho anteriormente cuando se El Sr. Presidente. «Después de votarse el artículo, do dudo que algún ba tratado del reconocimiento del empréstito de Guebhard, y lo que ahora Sr. Procurador hará esta proposición , y el Estamento resolverá en su vista.” se nos aouncia por el Gobierno. Entonces se dijo que ascendería á poco mas Hab.éndose procedido á la votación del artículo, se pidió y acordó qué de cinco millones el importe del reconocimiento ó oo reconocimiento de fuese nominal, resu…</t>
  </si>
  <si>
    <t>…de cuatro fiscales á dos. Las atribuciones del tribunal especial de Guerra y ponían para el desempeño de la secretaría del tribunal de Guerra y Marina. Marina se han disminuido considerablemente, y por lo mismo si antes basta Un Sr. Procurador indicó que el Estamento debería concretarse á aprobar ban dos fiscales para desempeñar todos los asuntos, ahora serán suficientes con una cantidad determinada, dejando al Gobierno la organización y plantilla de mucha mas razón. No adivino la que pudo dirigir al ministerio para hacer este las oficin…</t>
  </si>
  <si>
    <t>…a á ninguno de los cuatro oficiales nuevos que han entrado que no lleve situdes he procurado.1’ treinta años de servicio, y tenga la graduación de coronel y teniente coronel, El Sr. vicepresidente anunció que pues no había ningún Sr. Procurador y no podía ser otra cosa cuando abundo en su modo de pensar; conozco la que tqviese pedida la palabra, iba á verificarse con arreglo al reglamento la importancia de todo lo que ha dicho el señor preopinante, y creo que todos votación nominal sobre si había lugar á proceder al eximen de Jas disposicio…</t>
  </si>
  <si>
    <t>…una ley , que como todas elhs no puede establecerse sin la Inrciativa que lado en el reglamento.” pertenece á la autoridad rég»a y á la aprobación de las Cortes. Pero reconoce El Sr. Mantilla abundando en las mismas ideas que el Sr. Procurador qué en segundo Vugar que hasta que se declare abolido este Voto debe seguirse pa le Jubia precedido, analizó la palabra Voto, y á lo que se referia: demostró gando, sin entrar en la cuestión de sí ha sido bien ó oral impuesto; y de con la falsedad del que se denomina de Santiago; la manera sumament…</t>
  </si>
  <si>
    <t>…me acuerdo , quedamos en que se baria una vas hace una reclamación; pero no puede dirigir-e sobre el particular una in petición, y que el Gobierno la admitiría, como todas aquellas que son dirigi culpación al Gobierno. Cualquier Sr. 'Procurador tiene derecho de hacer una das al bien del Estado. Es necesario conocer que todas las provincias están su reclamación, soíare todo contra la Gaceta, que aunque no es oficial, lleva cier jetas i semejiotes contribuciones locales; que rodas reclamarían, y que el Go to sello de oficialidad, como diré…</t>
  </si>
  <si>
    <t>…to que contratan: ■ este principio tutelar desaparece del Cuando tendría que ver seria cuando en veta del recurso hecho por estos par mundo, la* sociedades desaparecerán' también, y el universo es na caos: las Na ticulares, algún Sr. Procurador pidiese que dicho recurso siguiera los trámites ciones entonces sometidas al capricho y á la instabilidad de la victoria, no de petición; pero cuándo se lee únicamente para que se vea si puede servir de puede decirse que viven, sino que se agitan en una oscilación eterna, y el de alguna utilidad el…</t>
  </si>
  <si>
    <t>…de los frenos para el sosten y armónía de la tóriedod; útil, ¿por qué no beatos de decir ño mismo de los mayorazgos eclesiásticos, de modo que aun cuando en su interior los desprecien, en su exterior loa re cpmó los ha llamado nn Sr. Procurador muy oportunamente? verencian. &lt; Y cómo se grangea el clero este aprecio que debe tributársele? Con / . «Dígomas; ¿quién auto/ízóestas fundaciones?.¿Quién dió las facultades k modestia / la pobreza.Pues afiora bien; yo veo en esta aiumulacíon de biepara qué estas fundacíones empezasen á subsistir? ¿…</t>
  </si>
  <si>
    <t>…lares en que de modo alguno debemos entrar. Hay su propia conservación. No es esto decir que yo no Caté conforme, ha&amp;M cier muchas capellanías colativas, que tupien por objeto asistir á un rosario, ó á to punto, con las ideas del Sr. Procurador que acaba de h-ib'ar; per,-a no apc-, una procesión. Esto será muy bueno; pero su utilidad no puede comprrarsc con 11 ¡daré nunca abuso al ejercicio de una facultad que las leve. vilotes con la que se proponen, los Sres. peticionarios, cual es emancipar una gran parte de cedían; aunque para mí no a…</t>
  </si>
  <si>
    <t>…España comparándose con tiempos anteriores. Es preciso , señor s, que tud fesalta con solo poner,fas dos palabras juntas. no nos hagamos ilusiones. El Sr. Secretario del Despacho He lí ic en-'a ha pre »&gt;Tampoco entiendo,"como el Sr. Procurador, que «os bien« dedicados sentado la Hacienda de España bajo su verdadero punto de vista : resulta des á objetos piadosos hayan pasado al dominio de la Iglesia; esta aserción no la graciadamente un considerable desfalco. Es1 un p us este donde no hay materia cncueatro exacta. Ni monos enlraré en la…</t>
  </si>
  <si>
    <t>…a, nistración pública ganarán necesariarrientr, cuando se pongan en armonía con se acordó que no, y quedó aprobada por 36 votos contra 33, los principios fundamentales del Estatuto Real, y con las leyes orgánicas Se indicó por un Sr. Procurador que á la expresión cuarto ¡rada debería que se establezcan sobre aquella base. Todo esto es cieno; pero es muv dife sustituirse décimo grado para arreglar esta parte á lo que se establece en la rente decir que invendrá para la mejor organización de la Milicia urbana el ley sobre mostrencos; y habie…</t>
  </si>
  <si>
    <t>…ve que. es in justo, ■ porque talos bienes no son lo mismo que Ja herencia de up Í ot españolo. Es pregunta que hago al Sr. Ministro.” particular,,.que va de padres i hijos, y lo queque del abuelo pasa al padre,y A petición dé un Sr. Procurador se -volvió á leer el art. 130. de este al hijo: aquí no hay caí sucesión familiar ; es una sucesión gratuita^ y El Sr. Presidente: «Si hubiera venido directamente al -Estamento una me contraigo al origen de esta exacción. ■, petición hecha por un particular, roe; hubiera en todo arreglado al reglam…</t>
  </si>
  <si>
    <t>…¡es posible que una Nación pobre y llena de mise yuntura de manifestar algunas de mis ideas sobre el particular, paso á verificar ria; una Nación, cuyo Gobierno se.estremece al tratar de imponerle contribu lo. En el discursó del Sr. Procurador por Toledo he oido con gusto principios ciones, porque no sabe cómo las ha de pagar, ha de estar sosteniendo tales y doctrinas que yo he tenido y profesado siempre, y mucho mas por ser reía** abusos! ¡Para qué quiere el gran prior estos mayorazgos! Yo los incorporaría ti vas á reformas, que son con…</t>
  </si>
  <si>
    <t>…un míaimun que no pudo ción, primero el del Gobierno, y si este no se aprobaba, el de la comisión; servir , y tuvo que pedir el inspector se le autorizase para traer oficiales, y el pero que no había dificultad en que cualquiera Sr. Procurador hiciese las ob Gobierno asi lo acordó, porque conoció que era imposible el que marchase de servaciones que le parecieran oportunas sobre el particular. otro modo. En el dia es superior el ejército, y yo que entiendo algo de inspec El Sr. Secretario del Despacho de la Guerra: «Creo que antes de po c…</t>
  </si>
  <si>
    <t>…ejan para su respectivo lugar." que ha hecho el Scretario del Despacho de Hacienda , esto lo que ha debido Antes de proceder á su votación, se promovió otro debate bastante acalo hacer , y con lo que queda satisfecho el deseo dei Sr. Procurador que se ha di rado , en el que el Sr. conde de las Navas manifestó que el órden seguido h;*sta rigido á mi.” entonces en el Estamento, era que las adi-iones- pasaran á la comisión para que No siguiendo adelirte esta discusión, el Sr. Vicepresidente anunció con esta diese su informe, y después se dis…</t>
  </si>
  <si>
    <t>…careció de muchos artículos de primera necesidad, ó se llega sanos , para ilitar á los unos los socorros que no deben negar los otros.*1 ron á encarecer extraordinariamente. El Sr. Secretario del. Des pacho de lo Interior. ** El Sr. Procurador que «Lo mismo he dicho de la- nieve, por ejemplo, con respecto á Valencia. acaba de hablar ha hecho ver que lo» estragos producidos por el mal que c»tá Porque no está el mal en que no haya ni haya habido depósitos especiales de don afligiendo á la mayor parte de nuestras provincias, han dependido p…</t>
  </si>
  <si>
    <t>…en*, el adoptar la petición, tranquilizando los ánimos blos entre el sistema contrario no puede menos de acarrear desastres. Si á de los pueblos.” pesar de todo la comunicación no pudiese llevarse á efecto eri muchas partes, Otro Sr. Procurador máhifestó que siendo ya casi nulo el objeto de la pe esto no dependerá del Gobierno; toca al tiempo y al celo de las autoridades tición, no entraba en la discusión dé ella; peta sí no podia menos de rectificar provinciales destruir tan dañosa preocupación.” una idea del Sr. Domecq , á su parecer in…</t>
  </si>
  <si>
    <t>…al del Sr. L&gt;. Joaquín González Nieto, electo les obliguen á verificarlo. En ambas tengo el disgusto de ser de opinión con Procurador por la provincia de Soria, manifestando que aunque de ellos re traría. Las razones que alega el Sr. Procurador electo eí verdad no- e^fan indi-»- sulta que su renta no asciende mas que á 11,540 rs., como esto sea después cadas en el Estatuto Rbal, reglamento ni convocatoria. Si hacen honor á se de deducir las contribuciones y demas gastos del total producto de sus fincas buena fe y veracidad , son tan cándi…</t>
  </si>
  <si>
    <t>…esto del añp_próximo, según el pie y fuerza efecti modificado su primera propuesta / en uso del derecho que tiene de modificaría., va, como si estuvieran existentes todos los exentos, brigadieres y demas; pero asi como cualquiera Sr. Procurador, según lo que arrojan de sí las rfrinjr:r.oc. ¿1 Gobierno sabiendo ya que el Estamento ha acordado esta reducción, al pre Ahora bien , modificada esta propuesta, en el estado en que se encuentra últi sentar la Cuenta del afiq^siguiente diría: por tantos empleos que han vacado y mamente es como debe…</t>
  </si>
  <si>
    <t>…la Guerra: « Ha dicho el señor pre comisión propone, i ilustrado el Gobierno por lo qué se ha expuesto en la opinante que entraba con desconfianza en esta discusión, y yo diré mas, que discusión, debe declarar para satisfacer al Sr. Procurador que acaba de hablar entro con repugnancia; pero como gefe de la Milicia en el dia, y habiendo con tanta exactitud y oportunidad , que desde luego puede adoptarse la econo merecido la confianza de S. M. para Ocupar este puesto, no puedo quedar en si mía propuesta, reduciendo á SOO rs. la gratificaci…</t>
  </si>
  <si>
    <t>…glamento; Verificada dicha votación, resultó aprobad* la totali arreglo á su tenor. En consecuencia se leyó dicho título, y en seguida, i pe dad del proyccto por unanimidad de 96 voto* presentes , que fueron los Seño tición de un Sr. Procurador, el art. 56 del mismo, reglamento.” res Martínez de la Rosa , conde de Toreno, Domecq , Agreda , Marte!, Finia, • El Sr. Prtsidtntr: «Es necesario hacer la diferencia de que .el árt. 56 Cano Manuel (psdre), Serrano. (O. Ginés), González (O. Juan Gualberto), que se. acaba de leer es relativo á lo* a…</t>
  </si>
  <si>
    <t>…haber elegido pa n decano y societario de la misma á los ha propuesto; peto no el único en. que el Estamento ha seguido la “regla que Sres. Fernandez Blanco y marques de Villagarcía. _ ahora propone aquella. No hace mucho qnq un Sr. Procurador tomó asiento sin-' La mesa puso en noticia^.del Estamento haber nombrado para componer haber probado que era poseedor do las tincas; y yo creo que el Sr. Queigo de la comisión especial que debe examinar el proyecto de ley sobre cnagenacion Llano se halla eh este caso.” ‘ forzosa por causa de utilid…</t>
  </si>
  <si>
    <t>…valientes que lo sacrifican todo, hasta su existencia,, guelles probó no la posesión de las fincas, sirio solamente de la reñía; pero la en las aras del trono y de la patria, y castigo para los verdugos que los asesi posesión del,Sr. Procurador de que tratamos esta eñ un caso mucho mas favo nan. Bastante tiempo se ha marchado ya por esd línea de lenidad y contempo-1 rable: no solo tiene la renta, sino que hay ím exceso. Por consiguiente, tenien rizacion con ellosr tiempo es ya de emplear el rigor, y de que ya qUe no los do la éomision presen…</t>
  </si>
  <si>
    <t>…mento le mayéffibiieDa'Sr’. yottlntud-lo que«ípa.en el particular, para -dar la satisfacción acuérde pára la# atebeiones militaves, sino táinbien para pedir-cuenta y razón que- jascamente-y fon elstelet qué lees- propio, pide el -Sr. Procurador que -aca- exactísima ds todos losique desdo cierta' época á esta parte se hallan envueltos en esa oscuridad á qne na aludido el $r. Procurador.; Y, quién puede ir:á la - ¿0 «Stoytan convencido eqmfi ef que mas de que rio puede existir ,jm ejér , mano al Gobiemo ca pedir cois mda ia escnipulotidad y…</t>
  </si>
  <si>
    <t>Procurador, Caballero Un Sr</t>
  </si>
  <si>
    <t>Caballero Un Sr Procurador</t>
  </si>
  <si>
    <t>…ón del Estamento, porque muchísimas veces se citan, como se deben bierno 35 millones, la comisión 30, el voto particular del Sr. Samponts 24 &gt; y citar las decisiones de aquella corporación: ¿cuál fue la asignación que hicieron el Sr. Caballero 20. Un Sr. Procurador, cuya elocuencia es bien conocida, ha á la casa Real ? Aquellas Córtes, como las del ano señalaron ai Rey £0 blando de la totalidad, indicó que todo lo que se podía decir en este asunto no millones,no se anduvo en disputas de si estaba la Nación ó no en mejor es tenia otro principio que las conside…</t>
  </si>
  <si>
    <t>Procurador, Goberna</t>
  </si>
  <si>
    <t>Goberna Procurador</t>
  </si>
  <si>
    <t>…riogeográfica universal pasarán á la librería de Razola á recoger los cuadernos núms. 17 y 18 del tomo 9.0, y adelantar el importe de los Siguientes. Continúa la suscripción. El Excmo. Sr. obispo de Tortosa ha dirigido í S. M. la Reina Goberna Procurador ó la intriga honrada, comedia en tres aclos, escrita ea francés dora una reverente exposición, en que después de expresar su dolor por ia tem por plcard y Mazerez, y arreglada al teatro español por A. G. Se vende á 4 rs. en y Piferrer. en Barcelona rústica en la librería en la de de Calleja, prana…</t>
  </si>
  <si>
    <t>Procurador, Medrana Este</t>
  </si>
  <si>
    <t>Medrana Este Procurador</t>
  </si>
  <si>
    <t>…cuRADOKJS9, F.l Sr. Pajarea dijo que él no habia hecho mas que reclamar la observan cia de un artículo del Estatuto Real , y manifestar que era sabido habia dis Sesión del'dia 30 de Setiembre. pensas para recibirse de abogado. El Sr. Medrana-. «Este Procurador fue recibido de abogado en el año Se abrió i las once. de 1825:'de consiguiente, parario tener abora los 30 años, debieron dispen Se leyó y aprobó el acta de la anterior. sarle lo menos 4- Cualquiera qpe sepa lo larga que es esta carrera, puede co Se mandaron pasar á la comisión de poderes los pres…</t>
  </si>
  <si>
    <t>Procurador, Un Sr</t>
  </si>
  <si>
    <t>Un Sr Procurador</t>
  </si>
  <si>
    <t>…el Estamento, porque muchísimas veces se citan, como se deben bierno 35 millones, la comisión 30, el voto particular del Sr. Samponts 24 &gt; y citar las decisiones de aquella corporación: ¿cuál fue la asignación que hicieron el Sr. Caballero 20. Un Sr. Procurador, cuya elocuencia es bien conocida, ha á la casa Real ? Aquellas Córtes, como las del ano señalaron ai Rey £0 blando de la totalidad, indicó que todo lo que se podía decir en este asunto no millones,no se anduvo en disputas de si estaba la Nación ó no en mejor es tenia otro principio que las conside…</t>
  </si>
  <si>
    <t>Procuradora</t>
  </si>
  <si>
    <t>…dilla, Calderón de la Barca, marqués de la Gándara, Mat estaba suficientemente discutida, se hizo asi, y se declaró que lo ataba. tel, Domínguez, Lasanta, Palarea , má'rques de Montesa, Florez Estrada, True- ' Se pidió por varios Sra. Procuradora la lectura de los artículos 96,95, ba y Cosío, conde de Huet, Morales, De Pedro, García de la Maza, Ortiz 77 y 76 del reglamento, y se leyeron. de Velasco. . . A consecuencia de lo manifestado por el Sr. Presidente acerca de volver Sra. que manifestaron abstenerse de votar: Domecq, Cuevas, Bermudez el…</t>
  </si>
  <si>
    <t>Procuradores</t>
  </si>
  <si>
    <t>…pues dictámen que el Sr. Procurador, se propondría cuando fuese oportuno. to que vemos una cosa, que todo el mundo creia casi terminada, volver al Es El Sr. Medrano' «No sé si habré oido bien; pero me parece que se fun tamento de Sra. Procuradores , y que tiene que correr todos los trámites de da la proposición de la mesa, principalmente en artículos de un reglamento una ley. Según parece, el Sr. Ministro de Hacienda no ha esforzado bastante esta que no está vigente. Ya no me opongo á que sean la comisión ó la mesa las urgencia en et Estamen…</t>
  </si>
  <si>
    <t>Procuradores, Ma</t>
  </si>
  <si>
    <t>Ma Procuradores</t>
  </si>
  <si>
    <t>…todos los de la sociedad. Los trámites mismo» que "será preciso observar para hacerlas ,. son una nueva garantía d» su bondad. Un proyecto propuesto por cUtrono, aprobado por lo» S. M. la Reina Gobernadora se ha servido admitir á D. Ma- Procuradores del reino, y por el estamento de los Proceres, y san bu«l López Maestre, pagador militar retirado en Valencia:, el do cionado y convertido en ley por la misma Potestad Real que 1« nativo de cinco certificaciones de crédito importantes 6213 reales propuso, lleva consigo todas las señales de oportunidad…</t>
  </si>
  <si>
    <t>Procuradores, Presidente del Estamento de Sres</t>
  </si>
  <si>
    <t>Presidente del Estamento de Sres Procuradores</t>
  </si>
  <si>
    <t>…día. duque de Rivas == Conde Parsent-zsD. Gaspar Vigodet. =rDuque de San Lo En seguida leyó S. E. los dos proyectos de ley indicados, y los oficios renzo y del Parquc.^El conde de Sástágo. = D. Manuel García Herreros = con que el Sr. Presidente del Estamento de Sres. Procuradores los remitió al D. Hipólito, obispo de Lugo. El conde de Guaquí. :=sD. Martin Fernandez Gobierno. Navarrete. == Conde de Puñonrostro.c^El marques de Vesolla^sEi marque.- de Concluida la lectura, el Excmo. Sr. Presidente dijo que el proyecto sobre San Felices. = El marques de Monreal y Santiago. =: El ma…</t>
  </si>
  <si>
    <t>Procuradorvque</t>
  </si>
  <si>
    <t>…as por el Gobierno. Los Procuradores y los Ministros «No seria suficiente razón para ello que el hospital de Santiago de Tole : saben que en España no se puede marchar, imposible: á cada piso se encuen do tenga, corno ha dicho un Sr. Procuradorvque parece está bien informado, da un obstáculo al efecto. Se oficia á uno, y contestado soy de tal fuero \ ¿qué cuantiosas rentas para sostenerse; no Señor: la principal razón que hay para su | ha de hacer el gobernador civil ó un subalterno? ¿le ha de llevar i la cárcel J primirla es su injusticia. P…</t>
  </si>
  <si>
    <t>Procurador’</t>
  </si>
  <si>
    <t>…a darse preferencia á unos; pero apro El Sr. Secretario del Despacho de Hacienda: «En la segunda parte de bado el art. l.° toda la deuda es igual. La liquidación debe hacerse sin pre- este artículo se puede poner la adición de uñ Sr. Procurador’, respecto á loa em TiTSncia ninguna, sino que el 1“ que se presénte este será el t.° que liquide. préstitos de las Córtes y los intereses devengados, si reproduce su proposición. No creo que haya una razón especial para que se liquide á unos primero que Este era el artículo en que podía reclamaría;…</t>
  </si>
  <si>
    <t>Procurar, Pajarea</t>
  </si>
  <si>
    <t>Pajarea Procurar</t>
  </si>
  <si>
    <t>…obó la propuesta de la mayoría de la comisión, es menos deque un raciocinio muy exacto me convenza de lo contrario. Paso decir, la misma del Gobierno; puesto que ya caminaba, de acuerdo coa ella; y ahora á rebatir et.discurso del Sr. Pajarea. Procurar el alivio de Lo*-pueblos con el decoro y esplendor del trono, dice S. S., y tiene razón, pues para este ob asi terminó la discusión el primer dia. »rl segundo se trató del dictámen de la minoría; hubo Varias cuestiones jeto estamos congregados, para conciliar el alivio de ioa;puebios con el decoro…</t>
  </si>
  <si>
    <t>Próder</t>
  </si>
  <si>
    <t>…utorización ninguna. &lt;2ii»iamene&gt;, y que reuma ¿ su parecer todo lo que pod.* desearse para ua El Sr. Presidente convino en lo exacto de estas observaciones, diciendo Dimieuto. que se habia cometido una equivocación por parte del Sr. Próder de que *e tra Los Sres. Procuradores manifestaron ser de opinión diferente , y cae w taba; pero que no obstante, si el Estamento lo tenia a bien , se podría contes les paremia admisible La mene onada propuesta: p.ro el Sr Pr curador D Ma tar al Sr. Secretario de Hacienda, que no hallándose este Sr. Pr…</t>
  </si>
  <si>
    <t>Pródér</t>
  </si>
  <si>
    <t>…o por sí clusión de este Sr. Prócer en la lista de los que se hallaban autorice» por el á esta dignidad.’' Gobierno para no asistir á las sesiones, el Estamento quedo enterado. Habiendo preguntado el Sr. Presidente si había algún Sr. Pródér que pi Se dió cuenta de un oficio del Sr. teniente corregidor de esta M. H., villa diere Ja palabra en pro ó en contra del dictamen de la cenuórn, el Sr. Furtos D. Mateo Norzagaray, en el que exponía que habiendo cumplimentado una dijo: Hay un artículo en el regiamente qu£_j&gt;reócne que todo informe…</t>
  </si>
  <si>
    <t>Próéer</t>
  </si>
  <si>
    <t>…i los peritos-en la materia dado en conocimientos exactói tomados de pmicuUrea»ópidÍéai informe. Se entiende por pérítoí i los duchó* de pastos , ¿ los criadora de gano lo* datos'que creyese oportunos; lo que no podría hacer. un’-Sr. Próéer m nadps, y i los comerciantes de lanas.” particular, "estando «itoreservado para las comtríooa: todo lo qüe creía S.E. . ..Habiendo acordado el Estamento que se admitiese í discusión esta propo conveniente en el isunto présente, en que la improvisación sobre ¿1 podría pro sición , qianifestó su aut…</t>
  </si>
  <si>
    <t>Progresos, Fi</t>
  </si>
  <si>
    <t>Fi Progresos</t>
  </si>
  <si>
    <t>…Toledo. Excmo. Sr.: El Excmo. Sr. barón de Carondelet, con fecha de ayer tarde VARIEDADES. desde Soñada, me dice haber llegado á aquel punto con parte de la caballería de su mando y la brigada de infantería, en combinación con el brigadier Fi— Progresos de la industria fabril en la ciudad de Ltrtocll en los Estados Uni güeras y su división de vanguardia, persiguiendo tres batallones navarros y dos das de América. alaveses que manda Iturralde, que con toda la caballería rebelde habían pasado La guerra no es capaz de dar una ¡dea elevada del poder humano.…</t>
  </si>
  <si>
    <t>Pronto</t>
  </si>
  <si>
    <t>L 1005 Emperador. Pronto estará de vuelta juntamente c6ti los archiduques y cl Prín? ¿Partes.recibidos en ia secretaría de Estado y del Despacho de la Guerra. cipe Real de Baviera. El embajador turco que pasa á Londres llegó á Bruna . ■ / el iu á fin de pedir una'audiertcia á S. M. Los hospodares de Vaiaquia y Mol- ' El co…</t>
  </si>
  <si>
    <t>Propondrá</t>
  </si>
  <si>
    <t>…el ñus anterior. Procura fomentar la fabricación de lienzos en Villaluenga del Rosario y Algodonales, la de paños en Grazalema y ¡otras en la Serrania.de Ronda. Reales decretos concediendo la gran cruz de la orden de Carlos m al teniente Propondrá al gobierno que sean admitidas en pago, al,menos como pasta, general conde de Guaqui. (zviún. 71.) ^ las monedas del continente americano, y da las razones en que fundará su pro ____ nombrando.ministros y fiscales para formar la dotación de la Real au posición. diencia de Madrid. (JA) • Signe exped…</t>
  </si>
  <si>
    <t>…el ñus anterior. Procura fomentar la fabricación de lienzos en Villaluenga del Rosario y Algodonales, la de paños en Grazalema y ¡otras en la Serranía de Ronda. Reales decretos concediendo la gran cruz de la órden de Carlos m al teniente Propondrá al gobierno que sean admitidas en pago, al,menos como pasta, general conde de Guaqui. (zviún. 71.) ^ las monedas del continente americano, y da las razones en que fundará su pro ____ nombrando, ministros y fiscales para formar la dotación de la Real au posición. diencia de Madrid. (JA) • Signe expe…</t>
  </si>
  <si>
    <t>Propone</t>
  </si>
  <si>
    <t>…, y las carabanas del interior del país no han pasado nun- ; X9~dc Setiembre por la mañana. La junta da siete facultativos es de pareca por Argel. ^ J . * cerque es 1 preciso seguir con energía el sistema que se ha adoptado en la cura Propone, pues, Mr. Oenty que se haga desaparecer cuanto antes la.-cua del Sr. Duque'de Braganza, conviniendo todos, en que S. M. L no ha pasado rentena á que están sujetos todos los efectos que provienen de la regencia* di- . bien la noche, y en que necesita rtfos^.—Tavare s, médico de cabecera.. rígidos á…</t>
  </si>
  <si>
    <t>Próturatiof</t>
  </si>
  <si>
    <t>…al gobierno, Lasanta' *Me parece que nos salimos de 1a verdadera cuestión. garáqtW'lí nq^é'elcctórat'de lá provincia prócecta í nueva elección. dificultad está en saber si la enfermedad que padece el interesado es incurable ó Un Sr. Próturatiof ’^qdé Creemos sea ét Sr. Chacón) (1) tomó la pala- fio: si solo es actual, y dentro de algunos dias ó meses puede curar, no podrá bsa y dijo: Si i la simple tóctilta de unv certificación de facultativo, hemos de decirse que c=,tc Procurador está imposibilitado de asistir, ni por coostgqiénte ttcédc…</t>
  </si>
  <si>
    <t>Proüst, Luís</t>
  </si>
  <si>
    <t>Luís Proüst</t>
  </si>
  <si>
    <t>…e 1805, á 18 rs. en pasta , y 14 en rama. ——JVorjx á la conducto de España comparada con la de Inglaterra. Un cuaderno en 8.°, edición de 1805, A real. servancia tan fitil medida. Dios guarde ■ -Ensayo sobre el azúcar de uva, por D. Luís Proüst, publicado por D. Gregorio F«br«ro de 1834u=M. el marques de Valdcgema.=Sres. justicia y ayuntamien González Azaola. Un cuaderno en 8.°, edición de 1806, A4 rs. en rústica. En este fo to^ de los pueblos de la provincia. lletoy sustancias, despuésquede reconocerles suelenlasacompañardiferentesy espe…</t>
  </si>
  <si>
    <t>Proust, Luis</t>
  </si>
  <si>
    <t>Luis Proust</t>
  </si>
  <si>
    <t>…. E. pará su superior conocimiento. Obras se hallan dé venta tn ei despacho de la imprenta Real, Dios guarde á V. E. muchos años. Málaga 12 de Marzo de 1834-=Exce- Cartilla para los labradores que quieran hacer azúcar de uva, por D. Luis Proust, lentísimo Sr.=Antonio María Alvar«z.=:Excmo. Sr. Secretario de Estado y del publicada por D. Gregorio Gonzaiez AraoU. Un cuaderno en 8.a, edición de 1806, á Despacho del Fomento general del reino. a rs. en rústica. ‘ Nota. Del parte que se cita resulta que el día 4 de Marzo quedarori exis —Arte de…</t>
  </si>
  <si>
    <t>Prrcurador</t>
  </si>
  <si>
    <t>…corrusior.) Publicado el proyecto de ley» se dice, repito , quj »En la d &lt;.cudon que se promovió sobre la totalidad del dictamen de la co bajaron los fondos españoles deíde el 3ü al J8; pero h?.y que advertir que ir.* misión, un Sr. Prrcurador dijo que parecía que el Sr. Ministro de Hacienda bonos de Cortes, que eraban en Londres al 6 , han subido ce jepentc al 41-1 r vacilaba ya en *u piojento; pero ahora encuentro yo que no es a&gt;i. tantos. Si se comparan evtas do* sumas , es decir, lo que se ha perdido y io que «En este concepto, y hab…</t>
  </si>
  <si>
    <t>PrsiJente</t>
  </si>
  <si>
    <t>…erminación. Digo todo rato En lo» reinados sucesivos no dejó de sufrir la moneda' frecuentes altera para que no. pare perjuicio á ratos'interesados.” ciones , tanto en Castilla, como en las coronas de Aragón y Navarra: aberacioEl Sr. PrsiJente: n Me parece qué si el Estamento resuelve píse «te nes que á veces causaron disturbios y sentidas quejas de parce de los Procurado asunto,á la comisión de Poderes, allí podran todos los Sres. Procuradores dar res á Corles; mas al fin se ponia remedio renovando las dispos.cioncs del Rey cuantas noti…</t>
  </si>
  <si>
    <t>Prtitdentr</t>
  </si>
  <si>
    <t>…portunas para el reemplazo da discusión. En este caso está el artículo 4 ° (lo leyó) He lomado la palabra fdicho srfior. Se aprobó también este dictámen. ra oponerme i él, no porque denonorca la verdad del pnhdpio que condena» El Sr. Prtitdentr: »La mesa en virtud «fe sus facultades ha nombrado sino porque le tengo por mótil é injurioso ¿ nuestra legislación. Paré pedir dos comisiones , una para el examen del provecto de ley «obre oeneda , com que las leyes no tengan efecto retroactivo es preciso suponer que aquella ao puesta de los Sres.…</t>
  </si>
  <si>
    <t>Prtsidtntr</t>
  </si>
  <si>
    <t>…da, i pe dad del proyccto por unanimidad de 96 voto* presentes , que fueron los Seño tición de un Sr. Procurador, el art. 56 del mismo, reglamento.” res Martínez de la Rosa , conde de Toreno, Domecq , Agreda , Marte!, Finia, • El Sr. Prtsidtntr: «Es necesario hacer la diferencia de que .el árt. 56 Cano Manuel (psdre), Serrano. (O. Ginés), González (O. Juan Gualberto), que se. acaba de leer es relativo á lo* asuntas generales, y el tít. 7? te refiera 4 Garay, Vega y Rio, Diez González, Mandila, García de la Maza- Cano las-disposiciones pec…</t>
  </si>
  <si>
    <t>PrtsiJínte</t>
  </si>
  <si>
    <t>…erno, no solo la admisión de la petición, sin© ya cumplido su poner este órden de examen, á lo urgente y perentorio que es entre nosotros la objeto.*’ formación de un Código de'procedimientos que una á la justicia la claridad, £l Sr. PrtsiJínte: nl*.\ Estamento está igualmente sarísfecho de que la según las luces del siglo. Esta ha sido la norma de todos los legisladores: con primera petición que se ha presentado en él, coincida en un todo con las miras sultar los derechos que el hombre debe disfrutar á su sombra, y defender la ino del Go…</t>
  </si>
  <si>
    <t>Prttiicntr</t>
  </si>
  <si>
    <t>…n acatarla debidamente y respetarla.” * señores autores de la petición se hubieran limitado á manifestar los artículos Se suspendió esta discusión. que lo eran, yo no hubiera tenido dificultad en entrar francamente en este exi El Sr. Prttiicntr: n Mañana se continuará la discusión pendiente. Con men. Hasta ahora la gran falta que en’él se ha notado es la del empate en las forme á lo que previene el reglamento , anuncio por segunda vez para el lunes votaciones; falta qUe sin embargo de ocurrir pocas veces, ha podido decidirse la discusión…</t>
  </si>
  <si>
    <t>Prudencio</t>
  </si>
  <si>
    <t>…la comisión un resúmen de Se abrió i las once , y leída el acta de la anterior quedó aprobada. aquella., y manifieste s! esta insiste ó no en su dictámen. Tal resúmen es inú Se mandaron pasar i la comisión de Poderes los del Sr. D. Prudencio til, pues.el Estamento ya ha oido todas las razones, y no necesita se repitan. Echevarría y Ogaban, electo Procurador por Santiago de Cuba con los docu Ademas hay .cierta 'imposibilidad de verificar la segunda parte. Si la comisión mentos justificativos de cu aptitud legal. ha asistido átoda U disc…</t>
  </si>
  <si>
    <t>Prudencio, D</t>
  </si>
  <si>
    <t>D Prudencio</t>
  </si>
  <si>
    <t>…o de la comisión un resúmen de Se abrió i las once , y leída el acta de la anterior quedó aprobada. aquella., y manifieste s! esta insiste ó no en su dictámen. Tal resúmen es inú Se mandaron pasar i la comisión de Poderes los del Sr. D. Prudencio til, pues.el Estamento ya ha oido todas las razones, y no necesita se repitan. Echevarría y Ogaban, electo Procurador por Santiago de Cuba con los docu Ademas hay .cierta 'imposibilidad de verificar la segunda parte. Si la comisión mentos justificativos de cu aptitud legal. ha asistido átoda U disc…</t>
  </si>
  <si>
    <t>Prueba</t>
  </si>
  <si>
    <t>…orre, yo no me puedo oponer á que se le conceda paite si no se hace asi, ninguno querrá tomar dicho diario, porque sabemos y»*' la que solicita.” ' por la experiencia de la, época anteriorque le compraban muy pbeas personas.”- El Sr. Prueba: «Yo creo que será muy fácil cortar esta discusión ha El Sr. Domicf: «Yo creo' que no se pierde tuda en que pese este asun ciendo upa proposición formal. La exposiciondel Sr. Latorre es muy justa, y. to á la comisión, y se resolverá .con mas acierto. Los ejemplos anteriores no. ño te le puede negar…</t>
  </si>
  <si>
    <t>PRUSIA, Antonio Daban y Ur</t>
  </si>
  <si>
    <t>Antonio Daban y Ur PRUSIA</t>
  </si>
  <si>
    <t>…na en la sec NOTICIAS EXTRANGERAS. ción de Indias del consejo Real, instituido por mi decreto de 24 de Marzo último, be venido, á nombre de mi augusta Hija la (Continuación del correo anterior.) Reina Doña Isabel ii, en nombrar á D. Antonio Daban y Ur- PRUSIA. rutia. Tendréislo entendido, y lo comunicareis á quien correspon da. es Señalado de la Real mano. = En Aranjuez i 9 de Abtil de Berlín 16 de Mario. 1834¿=A D. José Vázquez Figueroa. M. de Collenbach , procurador general de Colombia , ha m«-</t>
  </si>
  <si>
    <t>Psabel</t>
  </si>
  <si>
    <t>…onfiarme la augusta Reina Gobernadora , llamó naturalmente mí aten á saber : ción el inesperado retraso que había padecido el reconocimiento de la Reina S. M. la Reina Regenté de España, durante la menor edad de su Hija mi Señora Doña Psabel ii , por parte de algunas Patencias de Europa; retra Doña Isabel n . RtmrAr-dc-EspAiía t á O. Manuel Pando , Fernandez de Pi so tanto opas, inexplicable y extraño, cuanto no se ha alegado para él motivo nedo , A’ava y Divila , marques de MiraBcüesYeondgr dc-V/M apoternay^de ni pretexto plausible, y…</t>
  </si>
  <si>
    <t>Psdjo</t>
  </si>
  <si>
    <t>…idente Rodrigo Vázquez y Vargas. La testamentaría de la Exorna. Sra. Doña Isabel María de los Cobos, mar quesa de Camarasa , condesa de Riela. ESTADO SANITARIO DEL REINO, La familia de Francheri, de Génova. Privilegio del Sr. Rey D. Psdjo tv de Aragón , fecha 7 de Mayo de PROVINCIA l)K ALICANTE. 1372, relativo á los pleitos que la ciudad de Calalayud seguía sobre jurisdic ción con las comunidades á concejos de sus aldeas- El dia 9 del corriente se disfrutaba de buena salud en la capital; en !r&gt;* demas pueblos de ella que padecen la…</t>
  </si>
  <si>
    <t>Psdjo, D</t>
  </si>
  <si>
    <t>D Psdjo</t>
  </si>
  <si>
    <t>…presidente Rodrigo Vázquez y Vargas. La testamentaría de la Exorna. Sra. Doña Isabel María de los Cobos, mar quesa de Camarasa , condesa de Riela. ESTADO SANITARIO DEL REINO, La familia de Francheri, de Génova. Privilegio del Sr. Rey D. Psdjo tv de Aragón , fecha 7 de Mayo de PROVINCIA l)K ALICANTE. 1372, relativo á los pleitos que la ciudad de Calalayud seguía sobre jurisdic ción con las comunidades á concejos de sus aldeas- El dia 9 del corriente se disfrutaba de buena salud en la capital; en !r&gt;* demas pueblos de ella que padecen la…</t>
  </si>
  <si>
    <t>Psdjo, Rey D</t>
  </si>
  <si>
    <t>Rey D Psdjo</t>
  </si>
  <si>
    <t>…óel presidente Rodrigo Vázquez y Vargas. La testamentaría de la Exorna. Sra. Doña Isabel María de los Cobos, mar quesa de Camarasa , condesa de Riela. ESTADO SANITARIO DEL REINO, La familia de Francheri, de Génova. Privilegio del Sr. Rey D. Psdjo tv de Aragón , fecha 7 de Mayo de PROVINCIA l)K ALICANTE. 1372, relativo á los pleitos que la ciudad de Calalayud seguía sobre jurisdic ción con las comunidades á concejos de sus aldeas- El dia 9 del corriente se disfrutaba de buena salud en la capital; en !r&gt;* demas pueblos de ella que padecen la…</t>
  </si>
  <si>
    <t>Pslet</t>
  </si>
  <si>
    <t>…do pa to de ley reUlho á'la fijación del presupuesto de recaudaciones. rece que se inclina bastante á acceder á las exigencias de la Dieta, concediendo Fueron aprobados varip^ proyectos de ley dp ínteres local, menos el relati al general Pslet el mando de la guarnición; pero el cuerpo legislativo se opone vo á la caja de jubilaciones. Se levanta la sesión. muy formalmente , y en esta asamblea, la oposición forma la mayoría; {paro que resultará de todas estas diferencias de opiniones ? Toda la tenacidad del Con motivo del pago de los 18 m…</t>
  </si>
  <si>
    <t>Ptesidento</t>
  </si>
  <si>
    <t>…no se me coa- gida esta expresión, que de' luj Sres. Procuradores que hiáhn presentes, IOS aidera ipto jtara clqeinpleo ijue tengo, me alegrará snuchtómoque me lequi- votaron el articulo ¿ y entre ellos, , lo digo con placer , «1 Sr. Ptesidento del •&lt;qn, pués H cliobjétonuestroet que las cosas marchcn btcp, debamos desearlo Consejo dc Ministnos. ¡Pues qué razon política ha hatudó, qué alteración cu el - asi : yisreo.nae tNu d¡gnoeootiipafieTOs *erán de m» mtunax idease Estado para incurrir .en una incomécUbticrá tan sin necesidad! i Por qué .…</t>
  </si>
  <si>
    <t>Ptindolit, D José</t>
  </si>
  <si>
    <t>D José Ptindolit</t>
  </si>
  <si>
    <t>…e vano; porque $r. D. Honorato de Puig. no solo nos asegura toda nuestra frontera del sudoeste, sino qué jdemas nos ha St. D. Joaquin de Palzodarits. ce esperar la cooperación de Inglaterra, ó á lo meóos su neutralidad; Siria pre Sr. D. José Ptindolit. ciso olvidar cuanto se parece un estado á ün hombre en sus pasiones buenas ó . ;Sr. Dt Ramón de Llano Chavarri. . malas,,para no CQHiprenderjha^ta, qué, punto se avivarla el zelo derPuestrosimi- Sr. D. Pablo Torrcns y Miraldal gos y.' vpcióos vléndonos uñidos.con la GranxBreuña. Aun sin contar con…</t>
  </si>
  <si>
    <t>Ptindolit, José</t>
  </si>
  <si>
    <t>José Ptindolit</t>
  </si>
  <si>
    <t>…no; porque $r. D. Honorato de Puig. no solo nos asegura toda nuestra frontera del sudoeste, sino qué jdemas nos ha St. D. Joaquin de Palzodarits. ce esperar la cooperación de Inglaterra, ó á lo meóos su neutralidad; Siria pre Sr. D. José Ptindolit. ciso olvidar cuanto se parece un estado á ün hombre en sus pasiones buenas ó . ;Sr. Dt Ramón de Llano Chavarri. . malas,,para no CQHiprenderjha^ta, qué, punto se avivarla el zelo derPuestrosimi- Sr. D. Pablo Torrcns y Miraldal gos y.' vpcióos vléndonos uñidos.con la GranxBreuña. Aun sin contar con…</t>
  </si>
  <si>
    <t>PUBLICO, Fran XVBCTOS</t>
  </si>
  <si>
    <t>Fran XVBCTOS PUBLICO</t>
  </si>
  <si>
    <t>…e; al teniente graduado soua DB coMBRCio_»CW¿Sd9¿70tt de hoy ¿ las tres de la tarde. de capitán D. Antonio Gatell, al de la misma clase D. Salvador Negravcruiz, y al subteniente graduado D. Josef Donadeu, á los sargentos primeros D. Fran XVBCTOS PUBLICO*. cisco Alejo, Bartolomé Maqueda, Francisco Vázquez, Mariano Vázquez, al Inscripciones sobre el gran libro al $ p, zoo, oo* cadete D. Joaquín Vara de Rey, que siempre siguió á mi lado, y después al Dichas id, al 4 p. 100, 00* del Cápitan Sarasa, cuando fue en perseguimiento de los enemigos; pues si…</t>
  </si>
  <si>
    <t>PUBLICOS, Iriarte y del OTOS</t>
  </si>
  <si>
    <t>Iriarte y del OTOS PUBLICOS</t>
  </si>
  <si>
    <t>…Ofiáte i dos batallones facciosos, á quienes hizo 30 prisioneros, sin poderles dar alcance en su fuga hacia Cegama. voisa dk cotfBRCio.M-ttyiS4fÍ0* de hoy 4 las tres dt la tarde* El 23 se hallaba Castor en Gordejuela huyendo del brigadier Iriarte y del OTOS PUBLICOS. general Espartero, que con su columna estaba en Llodio para dirigirse también Inscripciones en el gran libro al 5 p. 100,00. sobre el mismo Castor y sobre Latorre. Títulos al portador del 5 p. 100 , 664, 67,66J , 6J£, [66¿, , | y 67 í varias ft. val. y fírme. Él general D. Rafael de llore remide un…</t>
  </si>
  <si>
    <t>PUBLICOS, José Dio SVSCTOS</t>
  </si>
  <si>
    <t>José Dio SVSCTOS PUBLICOS</t>
  </si>
  <si>
    <t>…arros de la Pallosa que da ocupa bolsa db comercio.^Cotización di hoy á lajera dt la tarde. ción á 29 mugeres, las cuales ganan desde 4 á 10 rs. diarios; de la de vidrio perteneciente á D. Manuel Noriega, D. José Benito Español y D. José Dio SVSCTOS PUBLICOS. nisio Leal, que mantiene mas de SOÓ personas, y de las de cordelería de Don Inscripciones en el gran libro $ S P- 100,00, 58 al contado. Pedro Marzal y D. José Ramón Santos, hay otras de curtidos, sombreros , ja Títulos al portador del 5 p. 100, 60$ y $, á varías fs. ó vol.: 60J y 61 á varias fs. ó…</t>
  </si>
  <si>
    <t>Puche</t>
  </si>
  <si>
    <t>…ión. Por Se abrió «5 las. doce» consiguiente el convento citado tenía prohibición de adquirir; y el que no pue Leída el. acta de ki anterior» quedó aprobada , mandándose insertar en ella de adquirir, no puede poseer.” el voto del Sr. Puche, contrario al artículo 2.a del proyecto de ley de jhos- El Sr. Secretario del Despacho de Gracia y Justicia: «Yo no digo que trencos, aprobado por el Estamento, y los de los Sres. González (D. Juan no sea cierto lo que ha.referido el Sr. preopinante; pero sí digo que no perte GualbertoJ, y Serrano…</t>
  </si>
  <si>
    <t>…que no siguen todos los trámites que se establecen Se abrió á las doce, y leída el acta de la anterior quedó aprobada con la para la formación de las leyes , son una ley de tan especial naturaleza, que no enmienda indicada por el Sr. Puche de que su voto no había sido contrario al se puede someter á la forma dé las leyes comunes, y por lo tanto no estamos ait. 2.0 aprobado por el Estamento sino en cuanto ¿ la parte en que se daba en el caso de los art. 91,92 y 93 del reglamento. No estando, pues, en tal preferencia á los cónyuges sobre…</t>
  </si>
  <si>
    <t>…Es propongo es el que debemos adoptar si queremos terminar estas discusiones, tamento que no tomaba en consideración la del Sr. Ferrer. Lo que ayer dijo el que yo de todo corazón hubiera deseado soportasen en su origen, y que han Sr. Puche, y hoy ha manifestado el Sr. López , explica y demuestra el sentido nacido de no haberse consultado desde el principio al Estamento el sistema y objeto de la proposición, sin que yo necesite molestar al Estamento exten que debería haberse adoptado para el examen del proyecto de ley sobre presu dién…</t>
  </si>
  <si>
    <t>…nados in sacris so están obligados á hacer el servicio activo en la Milicia ciudadana. Los inopina dijese: «y cuantos gocen del privilegio del canon.” dos tienen un ínteres muy grande «n la conservación del orden y dé vuestras El Sr. Puche, insistiendo en la Idea de que las excepciones de la Milicia instituciones; asi es que en Francia los empleados no están excluidos del servi urbana no eran personales, sino que tenían por objeto no perjudicar el servicio cio: lo desempeñan dignamente, y creo que lo mismo pueden hacer los em público…</t>
  </si>
  <si>
    <t>Puche, D Miguel</t>
  </si>
  <si>
    <t>D Miguel Puche</t>
  </si>
  <si>
    <t>…ó que en su opinión se habia faltado al reglamen aptitud legal del Sr. D. Manuel María Losada, electo Procurador por la pro to por haberse permitido hablar á un individuo de la comisión , y no ¿ los de vincia de Orense, y los del Sr. D. Miguel Puche, que lo es por la de Murcia, mas Sres. Procuradores que querían tomar parte en la discusión. én reemplazo del limo. Sr. D. Antonio Posadas elevado á la dignidad do El Sr. Presidente contestó que. el individuo de la comisión i que se alu Prócer. dia , no habia hecho mas que presentar el dictamen da…</t>
  </si>
  <si>
    <t>…el se Se abrió á las once y cuarto; y leída «1 acta de la anterior , quedó aproba ñor Presidente. Asi quedó aprobado. da , sustituyéndose, á propuesta de un Sr. Procurador á las palabras siguió la Entró á jurar y tomó asiento el Sr. D. Miguel Puche, electo Procurador discusión sobre el dictamen de la comisión mista, las de siguió la discusión por la provincia de Murcia. sobre el proyecto de ley- EbSr. Presidente anunció que iba á continuar la discusión acerca del pro Se mandaron pasar á la comisión de Poderes los del Sr. D. Pedro Anto yecto d…</t>
  </si>
  <si>
    <t>Puche, Miguel</t>
  </si>
  <si>
    <t>Miguel Puche</t>
  </si>
  <si>
    <t>…e en su opinión se habia faltado al reglamen aptitud legal del Sr. D. Manuel María Losada, electo Procurador por la pro to por haberse permitido hablar á un individuo de la comisión , y no ¿ los de vincia de Orense, y los del Sr. D. Miguel Puche, que lo es por la de Murcia, mas Sres. Procuradores que querían tomar parte en la discusión. én reemplazo del limo. Sr. D. Antonio Posadas elevado á la dignidad do El Sr. Presidente contestó que. el individuo de la comisión i que se alu Prócer. dia , no habia hecho mas que presentar el dictamen da…</t>
  </si>
  <si>
    <t>…se Se abrió á las once y cuarto; y leída «1 acta de la anterior , quedó aproba ñor Presidente. Asi quedó aprobado. da , sustituyéndose, á propuesta de un Sr. Procurador á las palabras siguió la Entró á jurar y tomó asiento el Sr. D. Miguel Puche, electo Procurador discusión sobre el dictamen de la comisión mista, las de siguió la discusión por la provincia de Murcia. sobre el proyecto de ley- EbSr. Presidente anunció que iba á continuar la discusión acerca del pro Se mandaron pasar á la comisión de Poderes los del Sr. D. Pedro Anto yecto d…</t>
  </si>
  <si>
    <t>…es de cada batallón, las Reales disposiciones de 26 PROVINCIA DE MURCIA. y "27 de Abril,mtimo, en beneficio del ejército: volvieron á formar en orden de batalla, y desfilaron después por delante de la casa de gobierno en colum Sr D. Miguel Puche. nas dé honor» El pueblo cpnúnuo satisfaciendo su curiosidad, en el examen dé la magnífica estatua, y disfrutando de la amenidad del sitio, adornado y re— formadó Hice pocos meses, por orden del Excmo. Sr. intendente, de un modo Partes recibidos en la secretaria de Estado y del Despacho de La Guerra…</t>
  </si>
  <si>
    <t>Puchol, Víceñte</t>
  </si>
  <si>
    <t>Víceñte Puchol</t>
  </si>
  <si>
    <t>…a la línea bávaro-wurtemburguesa; al Norte la línea de la Frusta y el Para la plaza de oficia) segundo de la contaduría de Propios de Zaragoza, Me»e-ducal, 7/en el centro la línea sajona ó intermedia. vacante por fallecimiento dc'D. Víceñte Puchol, ha sidó nombrado D¿ Pe En otro artículo veremos cómo la Prusia ha sabido hacer con singular dro Palacio , que lo.era i.°de la de Huesca: para la de 3.° de Ja contadarú da m.H. de ettas tres líneas un solo vasto cuerpo, del cual es cabeza. { D. de /).) Córdoba, vacante por ascenso dél que la obtení…</t>
  </si>
  <si>
    <t>Pucyo, Evaristo</t>
  </si>
  <si>
    <t>Evaristo Pucyo</t>
  </si>
  <si>
    <t>…asos determinados men de la de Aragón , á otra de la propia clase en la misma de Albacete , y por los tratados ó autorizados por la costumbre procedan contra los franceses para la plaza que resulta vacante se ha servido nombrar á D. Evaristo Pucyo que cometan algún delito en ei distrito de dichas escalas.” Se levanta la sesión. de limes, también electo para ia de Granada. - IDEM DE IOS DI PVT A DOS. __JV/ ion de idem. Ha venido igualmente en conceder honores de la audiencia de Madrid i los I I tenientes de villa y corte D. Julián Sojo, D..Sa…</t>
  </si>
  <si>
    <t>Pueden</t>
  </si>
  <si>
    <t>…, mos adicionales, y emprender sucesivamente grandes trabajos de utilidad ge va, creyesen indispensables informaciones mas ámplias sobre los hechos, se lo ne raL avisarán á la Dieta, que hará completar los actos por mediación del ministro «Pueden sin duda desearse modificaciones en nuestras leyes sobre Real del gobierno. Hacienda ; pero importa mucho sin embargo tratar de una materia tan impor Art. 8.° »A menos que el caso designado en el artículo precedente no pro tante con una prudente circunspección, á fin de no comprometer el crédito de…</t>
  </si>
  <si>
    <t>Puente, Gober</t>
  </si>
  <si>
    <t>Gober Puente</t>
  </si>
  <si>
    <t>….crCrjitobal Linares de Butron.=Excmo. Se ñor capitán general de Aragón.” Argucdu........... . . 17 á 23 Setiemb. 272 38 T9 Liunbier,,..............Ü28idcnw,^. — - 270 00 70 El gobernador civil de la Coruña ha dirigido i S. M. la Reina Gober Puente.............. .. 10 2 4 nadora los trabajos de la junta de caminos de la provincia, proponiendo el ór- Id. hospital miliden sucesivo con que conviene proceder en la ejecución de los que están pro tar.................... . . 22 á 2$ ídem... 11 2 2 yectados p según su importancia respectiva. Enterada S. M., como t…</t>
  </si>
  <si>
    <t>Puertos</t>
  </si>
  <si>
    <t>…n de Remas en caso de ériTérSuecia y Dinamarca.,.,.................. i......., Idem ffteirhd ' medad, ausencia, ó vacante. (Id.) * r 14 días para personas y gé- ■ —----confiriendo Ja capitanía general del departamento de Cádiz.al teniente Puertos rusos en ei mar Blanco................................ “I ñeros. general de la Real armada X&gt;« Cayetano Valdés. (Td.) ——— mandando que las personas que deban declarar , en tas causas de conspi ración contri el Estado lo hagan sin necesidad del permiso de susgefes*. cual- ■ • quiera que sea el privi…</t>
  </si>
  <si>
    <t>Pues</t>
  </si>
  <si>
    <t>…bailando justa esta solicitud, era de dictamen que se na Providencia , y que el Gobierno no puede evitar; con un déficit de 13 debía acceder á ella, pasándose las órdenes oportunas para el reemplazo del millones menos de entrada general. Pues ep medio de tantas dificultades , no expresado Señor. Asi se acordó. solo hay que atender á las provincias sublevadas, sino á otros puntos del rei A invitación del Sr. Presidente entró á Jurar y tomó asiento D. Fran no , donde á cada paso se descubren maquinaciones. cisco de Paula Crespo Rascón, Pr…</t>
  </si>
  <si>
    <t>…rias.. . 3 So 190 9»- Para ludias.................. . 4oo sao loo. GACETA DE MADRID. ARTICULO DE OFICIO. que presenta la causa de la Reina nuestra Señora bajo el aspecto militar. La Retna nuestra Señora Doña Isabel ir, y S. M. la Reina Pues si volvemos la vista al estado político, no-es menos satisfac torio y lisonjero : en medio de la agitación que produCe siempre enGobernadora, siguen en Carabanchel sin novedad en su im los Animos toda discordia doméstica, de la sublevación de alguna* portante salud. provincias, de los impotentes co…</t>
  </si>
  <si>
    <t>53^ i iEl'Sr. d’Argout^ tmiitttro. del Interior,bfrccc presentar cuando se discuta «de, que habría guerra general? Pues se ha equivocado en su pronóstico. Sen ¿J.pJrrafo relativo á ^ departamentos del Oeste, todos los documentos que sible es que salgan tan completamente falsas las profecías del que se creé coij Uene el goííierno? áfinde que conocido*el estado en que aquellos se hallan, «derecho para gobernar á «u pa…</t>
  </si>
  <si>
    <t>…ecialmente objeto t y sin mas formalidad que proponerlo el visitador y mandarlo el obispo, el de la urgencia imperiosa de buscar recursos por este medio: pero debe hacer-' se hace. ¿Y es esto faltar á la voluntad del fundador? No señor. Pues lo mis se con la intervención correspondiente déla autoridad eclesiástica, redimiéndo mo puede hacer la potestad Real. Si fuese posible manifestar á los fundadores se todas estas cargas por los trámites establecidos. de estas mandas en lo que habían venido á parar sus fincas, y cómo habían fo «De e…</t>
  </si>
  <si>
    <t>Pues, Galiano</t>
  </si>
  <si>
    <t>Galiano Pues</t>
  </si>
  <si>
    <t>…ierno; declaró obligatoria la la ejecución de esta ley. Este es el motivo por el que en cierta manera adopto Milicia; y perdida esta posición, la comisión hizo lo que acaba de indicar el el dictamen de la comisión y le sostengo/1 Sr. Galiano. Pues aunque la expresión de que usaba la comisión en el art. 5.° El Sr. Secretario del Despacho de Estado: »&gt;La discusión de esta ley, era vaga, expresando generalmente que no se admitiesen en la Milicia urbana según va progresando, demuestra los fundamentos sólidos en que se apoya Ja á los mal opinados…</t>
  </si>
  <si>
    <t>Pues, Lobau</t>
  </si>
  <si>
    <t>Lobau Pues</t>
  </si>
  <si>
    <t>…tas casas y pasaría de largo1 cipios de desorganización,, el idioma y la violencia de sus adversarios, despo Marques de Dreu.v-Bfezé: No por cierto. jándose ási'de la importancia que tenían; desertan de sus banderas, y se alistan Mariscal Lobau-. Pues hemos procedido con arreglo á vuestra opinión. en las de la política republicana; desconocen los principios de orden que antes Marques de Dreux Brezé: »Pero han perecido varias personas que no sostenían, para pedir la reforma parlamentaria. Me, veo precisado á decirlo: peleaban.” mengua es para est…</t>
  </si>
  <si>
    <t>Pues, Othon</t>
  </si>
  <si>
    <t>Othon Pues</t>
  </si>
  <si>
    <t>…ado moral de mayor importancia. han asegurado, y los franceses é ingleses han repetido que se trataba del casa- "Creo que seria muy conveniente que la agricultura pudiese llegar á ser Tniento de una jóven gran Duquesa rusa con el Rey Othon. Pues bien , ahora una profesión que ocupase nuestra juventud, que por falta de empleos solo se dicen unos á otros ai oido en los salones diplomáticos que los papeles públi piensa en periód eos, en asonadas ¿ insurrecciones. Cuando se sepa lo que es cos se engañan sobre el nombre del futuro: este no es e…</t>
  </si>
  <si>
    <t>Puesto, M Payes</t>
  </si>
  <si>
    <t>M Payes Puesto</t>
  </si>
  <si>
    <t>…ta la Cámara de Diputados. aquella opinión ofendiese (a suya. . Art. 2.° Se convocarán los colegios electorales para el 21 de Junio pró- El ministro de la Instrucción publica* Pido la palabra. xímo, ¿ fio de que cada uno elija un diputado. M* Payes. Puesto que el Sr. ministro de la Instrucíon públiéa pide li Los dos colegios electorales de Córcega se convocarán al mismo efecto para palabra, Je cedo Ja tribuna, y después volveré á ocuparla. •1.5 de julio próximo. M. Quizo! reproduce las palabras que M. Pagés pronunció cuando-se exa^ Art. .3.° La Cámar…</t>
  </si>
  <si>
    <t>Pueyo, Joaquín</t>
  </si>
  <si>
    <t>Joaquín Pueyo</t>
  </si>
  <si>
    <t>…on óbjeio de perseguir á los grupos que quedaron de vocal de la junta del Monte pió de Labradores de aquel arzobispado, va— dispersos de resultas de la acción que sostuvo contra los rebeldes el teniente (ante por fallecimiento,de D. Joaquín Pueyo. coronel D. Narciso Claveria en las inmediaciones del monte de Castrillo de Solarana, la que hice salir al mando del teniente de húsares de la Princesa D. José María Colarte, compuesta de 2ü caballos y 30 infantes del regimien to del mismó nombre, batió y persiguió en la madrugada de hoy á un grupo…</t>
  </si>
  <si>
    <t>Pueyo, Manuel</t>
  </si>
  <si>
    <t>Manuel Pueyo</t>
  </si>
  <si>
    <t>…e él al mar de Febrero de 1834-=Aranalde. ques de Campo Sagrado, para ministros militares á D. Gabriel MINISTERIO DE MARINA* Mendizabal y D. Pedro Baylin por el arma de infantería: á Don Francisco del Pino por la de artillería: á D. Manuel Pueyo por la Real orden. de ingenieros, ,y i D. Francisco Ramonet por la de caballería: S. M. la Reína Gobernadora se ha dignado conferir la ca para ministros togados á D. Joaquín Sistemes , D. Juan José De pitanía general del departamento de Cádiz al teniente general de licado y Diaz y D. Juan de la Deh…</t>
  </si>
  <si>
    <t>…s. directores dé A nombre de mi augusta Hija la Renta Doña Isabel n, be Rentas.venido en nombrar para la plaza de ministro correspondiente al arma de ingenie ros "en el Tribunal supremo de Guerra y Marina, vacante por renuncia de D. Manuel Pueyo, á D. José Santa (sruz. Tendréislo entendido , y lo comunicareis á quien corresponda. =: S. M. la Reina Gobernadora, á nombre de su augusta Hija Está rubricado de la Real mano. = En Aran juez á 23 de Abril la'Reina nuestra Señóla Doña Isabel ii , se ha dignado nombrar de 1834—A D. Antonio Remon Zar…</t>
  </si>
  <si>
    <t>Pugna, Juan</t>
  </si>
  <si>
    <t>Juan Pugna</t>
  </si>
  <si>
    <t>…quiene* aquel ministro honrado y digno de todo aprecio A consecucnc a de solicitud de los labradores de la villa de Zujar paub a daba rales pruebas de fiJelidad, amor y regocijo. ella de órden de este gobierno civil el arquitecto D. Juan Pugna i re á recono Volvamos pues i la casa adornada por el alférez Real, y entremos en su cer las aguas que deben proveer el canal proyectado y los terrenos por derado sala. Esta estaba muy aseada, con una linda colgadura en la puerta del cuarro este debí llevar su dirección. Este reconocimiento ha teni…</t>
  </si>
  <si>
    <t>Puig</t>
  </si>
  <si>
    <t>…o devengado, y fija los términos en que Venadito, marques de la Reunión, Sr. Patriarca de las Indias, Sr. Burgos, puede ejercerse este derecho. Si no se hiciese asi, nos podríamos encontrar con Sr. obispo Posada, conde de Ofalia, Sr. Puig, marques de Albaida, arzobispo un inconveniente gravísimo. Figurémonos que se publica mañana la ley en de Méjico, marques de Sta. Cruz, duque de Castroterreño , duque de S. Lo Madrid, y que en ei mismo dia el juzgado privilegiado del Voto da una sen renzo , conde de Castejon, obispo de Córdoba, con…</t>
  </si>
  <si>
    <t>Puig, Aniceto</t>
  </si>
  <si>
    <t>Aniceto Puig</t>
  </si>
  <si>
    <t>…El capitafl general de Castillá.da. parte do haber sido pasado porJas ar- El capitón general de Cataluña dice que el subteniente de Ga llares de rmas el dia 13 en Anuida de Duero el cabecilla Calixto Olaya, aprehendido Isabel 11 D. Aniceto Puig, desde Villadrau en. 14 del a._t cal da parre de haber epot el destacamento de Peñaranda. , atacado al cabecilla Saura, que con 3o facciosos te halla ea b. ba¿¡ta*§H del Boseh , y én *omb¡nación con el cap:Un de Líbanos de A! mu D. N.ri so bicars , los batieron en las alturas de-Xorvadél, •.tuUndoi…</t>
  </si>
  <si>
    <t>Puig, Dolores Aguirre y</t>
  </si>
  <si>
    <t>Dolores Aguirre y Puig</t>
  </si>
  <si>
    <t>…tarlas en su suelo, desterrando asi de nuestros mercados nuestras la do que asistiría S. E. 4 La discusión* nas , con grave perjuicio de nuestra Nación, cuyo artículo es el único que hoy Se dió cuenta de un oficio, en que la Sra. Doña Dolores Aguirre y Puig inclina á nuestro favor la balanza del comercio. participaba al Estamento el fallecimiento de su esposo D. José María Puig, «Los buenos principios económico-administrativos enseñan que no deben Prócer del Reino, ocurrido en 25 del corriente. Se acordó quedar cnte- alterarse las leyes que gobiernan…</t>
  </si>
  <si>
    <t>Puig, Fulgencio</t>
  </si>
  <si>
    <t>Fulgencio Puig</t>
  </si>
  <si>
    <t>…CIA DE SEVILLA. Viniendo de la Habana en el verano último el bergantín-goleta mercan te español, nombrado Elisa (a) la Corsa, vio su primer piloto de derrota El presidente de la junta de Sanidad y el gobernador civil de dicha pro D. Fulgencio Puig un bajo ó vigía, de cuyo descubrimiento d¡ó parte á su vincia manifiestan en oficio de 15 del actual que en dicha provincia se disfru llegada á Cádiz, y cuya situación, después de examinados prolijamente los taba de buena salud, sin que en la capital existiese ya ni un solo enfermo de diarios de na…</t>
  </si>
  <si>
    <t>Puig, José María</t>
  </si>
  <si>
    <t>José María Puig</t>
  </si>
  <si>
    <t>…ne «1 accésit, nombramiento de socio hono y Justicia, queda dispensado de asistir al consejo de Gobierno, del que ec rario, y particular recomendación en caso necesario. Las memorias se dirigirán individuo en el dia por muerte de D. José María Puig-, mientras asté á su al secretario de esta Real sociedad económica antes del día 31 de Knero da cargo dicho ministerio. (2V«m. 288.) J835, calle del Empedrador, riúm.’214í debiendo sus autores poner al prin cipio ó fin de su discurso una sentencia ó epígrafe alusivo á la materia, omi tiendo su nombr…</t>
  </si>
  <si>
    <t>…ne «1 accésit, nombramiento de socio hono y Justicia, queda dispensado de asistir al consejo de Gobierno, del que ec rario, y particular recomendación en caso necesario. Las memorias se dirigirán individuo en el dia por muerte de D. José María Puig-, mientras asté á su al secretario de esta Real sociedad económica antes del dia 31 de Knero da cargo dicho ministerio. (2V«m. 288.) J835, calle del Empedrador, riúm.’214í debiendo sus autores poner al prin cipio ó fin de su discurso una sentencia ó epígrafe alusivo á la materia, omi tiendo su nombr…</t>
  </si>
  <si>
    <t>…la palabra, y no habiéndolo, dijo el Sr. Secretario marques de Guadal- f arsent, D. Ignacio de la Pézuela, conde de Pinofial', obispo D.- Antonio aáíílí qüe pedía aTEstamento qué ademas déla propuesta del Gobierno admi- Po,adas-, D. José María Puig, conde de Prieguf, cond,e de PufioníOstro, con* Ttida piór tá comisión se añadiese la adición que proponía el Consejo de Gó- de de Pino hermoso, D. Manuel José Quintarla ,duque de lio vas, coríHe do ■hidrno, reducida i que no se permitiese á X&gt;. Cárlos y sus descendientes volver Salvatierra, marque…</t>
  </si>
  <si>
    <t>…An las reformas practicadas en varios ramos de lar administración : Ja t tonio Majr^rítqig marques de lis Amarillas; obispo de Barcelona; D. Javier Burdivisión del territorio, la separaciou y deslinde cintré la parte ad d^Ofafia; D. José María Puig; conde de Casa-Sarria; D. Martin Fernandez ministrativa y la judicial, la supresión de antiguos Consejos y las nuevas Audiencias creadas en beneficio de algunaa-Rrovincias;-le#’’-1 láavarrelérpítriarca de las Indias; conde de Venadito; D. Ignacio de la Pezuemuchas trabas que se han quitado al desar…</t>
  </si>
  <si>
    <t>…m el cuadro general del comercio de Francia durante dicho año venios qufí las mercancías ó productos REAL DECRETO. belgas han ascendido á 53.5533 fr., 9 millones mas que en 1832. La exporta En atención á que por fallecimiento de D. José María Puig, ción de las mercaderías francesas, que ascendían á 41 millones en 1832, no ha individuo que era del Consejo de Gobierno, instituido en virtud del seguido la misma progresión que la importación; no ha ascendido mas que i 43 millones. Mas tarde daremos á conocer los diferentes productos 6 mercade-te…</t>
  </si>
  <si>
    <t>…o de nuestra Nación, cuyo artículo es el único que hoy Se dió cuenta de un oficio, en que la Sra. Doña Dolores Aguirre y Puig inclina á nuestro favor la balanza del comercio. participaba al Estamento el fallecimiento de su esposo D. José María Puig, «Los buenos principios económico-administrativos enseñan que no deben Prócer del Reino, ocurrido en 25 del corriente. Se acordó quedar cnte- alterarse las leyes que gobiernan un ramo de riqueza pública siempre que no rado. sean perjudiciales á los progresos, ni dañen á la masa general de ia Nación…</t>
  </si>
  <si>
    <t>Puig, Manuel María</t>
  </si>
  <si>
    <t>Manuel María Puig</t>
  </si>
  <si>
    <t>…los concurrentes, el Duque de Orleans, quien se ra la de la Mancha á D. José María Sánchez Chaves, que antes servia la de ha explicado acerca de la dimisión probable de lord Granville, y de la diso Jaén: para la que este deja, á D. Manuel María Puig , intendente de Soria: lución del gabinete en cuyo nombre representa á su pais, de un modo que no para sus resultas á D. Manuel Fernandez Trabanco, antiguo intendente de pro manifiesta mucha simpatía por el que va á reemplazarle. * vincia, y en la actualidad oficial de la dirección general de Renta…</t>
  </si>
  <si>
    <t>Pujol, Juan</t>
  </si>
  <si>
    <t>Juan Pujol</t>
  </si>
  <si>
    <t>…esuelta en todos ios ran á reunirse, cayeron en manos de los comandantes de armas de Igualada casos; y los jóvenes navegantes no tendrán fa que titubear sobre la especie del anguly IX 1 ornas Metzgcr, y de Sanra Coloma de Queralt D. Juan Pujol, en la casa enbuscarseel zenit,la distanciacuando converdaderala distanciaentrey losdos complementosastros, ó cuandode lasenalturascualquieraaparentes,otro deha losJe de campo llamada Mas de Jesús, donde acometidos por los voluntarios de muchos casos de la astronomía náutica haya de resolverse un t…</t>
  </si>
  <si>
    <t>Pulgar, Francisco</t>
  </si>
  <si>
    <t>Francisco Pulgar</t>
  </si>
  <si>
    <t>…comendador de la órden del Baño, y comandante en gefe de quín de Zalsas y D. Agustín de Abajos, y subtenientes D. Ramón Iriarte, las fuerzas navales de S. M. Británica en los mares del Sur, acontecida en su D. Francisco Latorre y D. Francisco Pulgar, cómo también del subteniente residencia de Larangeiró (Rio-Janeiro) después de una larga enfermedad. El empleado en la plana mayor D. Antonio Sánchez Solis, y del capitán de Ur . capitán Roberto Taite, comandante del Esparciata, ba tomado el mando de banos D. Antonio Ramos, que dejando su cargo de…</t>
  </si>
  <si>
    <t>Pulgar, Francisco Latorre y D Francisco</t>
  </si>
  <si>
    <t>Francisco Latorre y D Francisco Pulgar</t>
  </si>
  <si>
    <t>…. Joa mour , qaballero comendador de la órden del Baño, y comandante en gefe de quín de Zalsas y D. Agustín de Abajos, y subtenientes D. Ramón Iriarte, las fuerzas navales de S. M. Británica en los mares del Sur, acontecida en su D. Francisco Latorre y D. Francisco Pulgar, cómo también del subteniente residencia de Larangeiró (Rio-Janeiro) después de una larga enfermedad. El empleado en la plana mayor D. Antonio Sánchez Solis, y del capitán de Ur . capitán Roberto Taite, comandante del Esparciata, ba tomado el mando de banos D. Antonio Ramos, que dejando su cargo de…</t>
  </si>
  <si>
    <t>PÜmerston</t>
  </si>
  <si>
    <t>…Suiza capaz dc semejan!* dentaria, «orno lo prueba la asistencia á ña y de Portugal han tenido estos días -varias entrevistas, con el secretaria da aquel solemne 'acto de todo» los miembros del cuerpo diplomático. Sepárase Bu»do lord PÜmerston. (AL). luego de esta cuestión'él presidente, y echa una ojeada antes de acabar sobredar' \ - . .. VXAMCIA. situación interior de la Suiza. Exhorta i todos los cantones ái||njtjrabajen ende París 17 de Julio.-— mejora de las relaciones federativas, y en la revisión delpactó; ” Es menester absolutamen…</t>
  </si>
  <si>
    <t>Pzpcuzadpr</t>
  </si>
  <si>
    <t>…El Sr. Presidente: «Entré Ios qi^n faltan sin Líber' ayis&gt;4p se fz el íynnhbre del Sr.,marques de ViUacámpo, y es. precisó hacer.uóa aclaración spbre cj V Señóres Procuradores cuyas renuncias han sido admitidas. particular. Este Sr. Pzpcuzadpr e¿ctp( es militar , y cn éj dja é,ti qletempeñaoSr. D. Juan'Domingo Baltoaseda, electo por Avila. do el impoftante cargo de ge/e flel,e«ádo n)ayor dsl ejército dé óperaciónca •» p. ,Pedra Juan de Zulueta, id. por Cádiz. del Norle.JÉl no haber ayisaejq S. SÍ me fStttX será, por no hacer la meDOr Manue…</t>
  </si>
  <si>
    <t>Q.El, Art</t>
  </si>
  <si>
    <t>Art Q.El</t>
  </si>
  <si>
    <t>…ualmente al año, sobre el importe de gros á muy graves desórdenes: en S. Kjlls han cometido excesos tan violen lá deudaáctlya .que hadé Emitirse para el empréstito. tos á consecuencia de una mala interpretación de la proclama del gobernador, Art. .¿Q.El gpbiérho de S. M. se obliga á no hacer, durante el que ha sido, menester dirigir contra ellos todos los soldados que tenemos en es año que siga a la,fecha-di? este tratado, ninguna otra emisión de deu tos sitios. Cuando salió el paquebote, habían sido prendidos dos hombres por da activa ep‘’iéd .ex…</t>
  </si>
  <si>
    <t>Qargollo, Jote Foníagudy</t>
  </si>
  <si>
    <t>Jote Foníagudy Qargollo</t>
  </si>
  <si>
    <t>…n la España y eLPortugal. Cuando digo apoyadas no trato de exagerar el poder de las dos últimas naciones. La Espada y Portugal tie- PROVINCIA DB KADtID. npn que reponerse de uha larga decadencia^y durante mucho tiempo éntiam- 5r. D. Jote Foníagudy Qargollo,propietario y comerciante.bos réiüOSrSeyán los que necesiten nuestro apoyo* Pero «es poco no tener ene Sr. D. José Zorrilla y San Martin , marques de la Gándara, propietario! migos á Jos costados ni detras de sil La situación de la Espada y el Portugal Sr. D. Fermín Caballero, propietario.con respe…</t>
  </si>
  <si>
    <t>Qbbernadora</t>
  </si>
  <si>
    <t>…ento el siguiente dia, encontrando eri' el presente' apg .»! del próximo mes de Julio en celebridad del faus á *1ós rebeldes en el pueblo de Villabona y el barrio de Amasa con algunas to y memorable üjij» *$!?.Sr .nuestra augusta Reina,Qbbernadora$ yyal jniscompañías en posición á la falda del monte, y el comandante accidental de es mo tiempo la ^^Fapaqn ^e. taségijrar á los tenedores de las accionas emi ta D. Lorenzo Batberan dispuso flanquear con una fuerte guerrilla la posición tidas ( jl .y '&lt;Jf, «vlwésés, que se satisfarán puntual y rel…</t>
  </si>
  <si>
    <t>Qchoa</t>
  </si>
  <si>
    <t>…to; y que se reservaba hacer una ma: «Dí al Santo Padre que he extinguido las casas de ia Compañía de Jesús adición en los términos que había indicado. y Roma oficiosa envió una bula aprobando la extinción hecha por el C^rínmo El Sr. Qchoa: «Si he tomado la palabra en esta materia , no ha sido pa hijo Carlos ni; pero el Sr. Carlos ni, á pesar de ser un Príncipe sümamentc ra pronunciar un largo y minucioso discurso, porque se trata de materias ecle religioso, contestó de nuevo á Roma por medio de su embajador, que no hasiásticas, y so…</t>
  </si>
  <si>
    <t>QiestiNbctandq, D Feliciano</t>
  </si>
  <si>
    <t>D Feliciano QiestiNbctandq</t>
  </si>
  <si>
    <t>…del del guarda su las órdenes partida montado 4 alcalde, y una Desde 13 á 16 de Julio. 1302 J19 "ía/^ cuales los sobre sé precipitaron ellos intimándolesmayor Cayetano Ardida, D. la rendición: al nombre augusto de nuestra Reina y Señora, D. Feliciano QiestiNbctandq su .arma la rindió, y lo mismo hicieron sus compañeros sin la menor- resistencia. Quedaron presos aquella noche en la cárcel de Villar del soiba db comiírc|9.^C?íizacioftde hoy 4 las tres dt l*\ Rey¡,&lt;fueron trasladados, él dia 13 4 la de esta capital, y no hay desde esté KPECTOS PUBLICOS. día en.l…</t>
  </si>
  <si>
    <t>QiestiNbctandq, Feliciano</t>
  </si>
  <si>
    <t>Feliciano QiestiNbctandq</t>
  </si>
  <si>
    <t>…guarda su las órdenes partida montado 4 alcalde, y una Desde 13 á 16 de Julio. 1302 J19 "ía/^ cuales los sobre sé precipitaron ellos intimándolesmayor Cayetano Ardida, D. la rendición: al nombre augusto de nuestra Reina y Señora, D. Feliciano QiestiNbctandq su .arma la rindió, y lo mismo hicieron sus compañeros sin la menor- resistencia. Quedaron presos aquella noche en la cárcel de Villar del soiba db comiírc|9.^C?íizacioftde hoy 4 las tres dt l*\ Rey¡,&lt;fueron trasladados, él dia 13 4 la de esta capital, y no hay desde esté KPECTOS PUBLICOS. día en.l…</t>
  </si>
  <si>
    <t>Qiraud</t>
  </si>
  <si>
    <t>…ene hacer en los párrafos de quezca-r-l . «El infrascrito Üá recibido la nota por Tat cual M. j. de Eagrenée, escar- ba de. hablar.- . if IgyJo de Ntgocioi.de S. M. el Rey'dc'-Ios franceses, expresa el sentimiento que i Repbcí el Sr. Qiraud que él párrafo de la minuta en que se trata dé 1*1 Iba. causéalo á su gobierno la Conclusión .del tratado de'8 dé Julio entre la Rusia • Vendée expresa fielmente el estado actual de aquellas departamentos, para cu-l ¿■y. la Puerta otomana, sin decir ni'íosjij^tivos de tan,,profunda sensación, ni ya…</t>
  </si>
  <si>
    <t>Qniroga, Antonio Arias</t>
  </si>
  <si>
    <t>Antonio Arias Qniroga</t>
  </si>
  <si>
    <t>…s expresados hay 13 de superior calidad,que se venderán á 3 rs. y no«: jara la de ViHamartin de Va.ldeorras á D. Manuel Criado Ferrer: para 17 mrs. cada uno; los álamos, fresnos y acacias a 3 rs.; los demas olmos la de Celanov* i D. Antonio Arias Qniroga: para la de Alberique á D. An se venderán á 2 rs. y 17 mrs., los chopos lombardos á 2 rs., y los nogales drés Llagaría: para la de \lmazan á D. Juan Teran: para la de Priego á Don á 4- Todos estos árboles están ya formados y son de talla mas ó menos alta á José Parejo: para la de Señorin de Carball…</t>
  </si>
  <si>
    <t>Qnntana, José María</t>
  </si>
  <si>
    <t>José María Qnntana</t>
  </si>
  <si>
    <t>…ernador civil de la provincia de Ali ayer á las ocho y media de la mañana me dice lo que sigue: »Excmo. Sr.: El cante D. Bernardo de Borjas Tarrius con fecha de Jd de Junio último. Sr. coronel del regimiento provincial de Logroño D. José María Qnntana, ge- Las cosechas serán buenas, excepto en el término de Monovar y el de Elda fe de la 3.1 brigada de la división de operaciones de Castilla la Vieja, con fe- que han quedado enteramente destruidas de resultas de un gran pedrisco, en que tba.de hoy á las dos y media de la mañana desda el pueblo de…</t>
  </si>
  <si>
    <t>Qqediui</t>
  </si>
  <si>
    <t>…4d* Pagoza, | ^ 9 189 35 . S7 26 17 Hamburgo, 00. Barcelona, k ps. fs. Málaga, 4 *d. icuento de letras, ■ 4 p* 100 al año. 10 238 18 22 19 9 Lóndres, á 9O días. Ib. Santander, 4 b. 11 250 31 48 21 12 584. iBUbao, 4 d. Santiago, | d. Qqediui exutcntet pan mañana 296. ANUNCIOS. Provincia de Jaca. Boletín He medicina, cirugía y farmacia de hoy 19 de Junio. Contiene: medio* iera evitar la disensión médicíYexposición y exámen del sistema de Rasorí ¿ uso de El gobernador civil de esta provincia dice con fecba 14 del presente fa leche en los…</t>
  </si>
  <si>
    <t>Qráa</t>
  </si>
  <si>
    <t>…Norte, mar dividuos que gemían en las mayores penalidades. Los facciosos hu ques deMoncayo, cnAoiz, persiguiendo: «on su reserva, en combi yeron-sor..tydas-psftes,'dejando tres ^muertos, mudios fusiles y nación con la brigada del brigadier Qráa, dos .batallones de tos fac vafios.otnetós; péfdida.^jue hubiera sido nyjfyor si con el fin de no ciosos navarros, 'que á las órdenes de Zumalacarregui.estaban en óleadar, anuestros prisioneros no hubiesen llevado nuestras tropas los confilies del alto Aragón. El general Lorenzo por, Estrila se I.…</t>
  </si>
  <si>
    <t>Qraaada</t>
  </si>
  <si>
    <t>…eAnnos. oficiales y demas periódicos para obtener Tas mejores condiciones posibles; -■ Árasterdam # 00. París, 16-2. Cádiz, 1| bv SevilMY ¿4a. Bayona , 00. ÁHcánte, acoetoplá-» Coruña, | d. 4 Valencia, id. tí. Burdeos. 00. 20 q 4 d.* Qraaada, id» íd« Zaragoza, | dl«««w, Descuento de «ñata * al ESTADO SANITARIO DEL REINO. Hamburgo*Londres, á 00¿90 dias, Blfbaó.id.Barcelona» 4 ps. fs«» MálagaSantai|der,.d* 4 ¿ b. ' i 4 P-100 PROVINCIA de C¿DIZ. 38. Santiago* 1 d. Con fecha 15 del corriente avisan el presidente de la junta de Sanidad y ét…</t>
  </si>
  <si>
    <t>Qrey</t>
  </si>
  <si>
    <t>…de la administráDetpues &lt;¡tcÍ discurso de lord GreyY.cuyo extracto dímcft en la Gacela de &gt; ckm pública , estando todas sus facultades tan enteras, y cuando su. tiento y •yer , tomó Va palabra/ el duque de W'élUngton, y dijo; Si lord Qrey se hu- actividad parcciáaxreccr i medida que aumentaba Ja complicación de ciicunsblera limitado í rerclírtrorVcSTiTOtivosTpe Ictotv pcTSonaicspara tepararse de —^tenicias criticas?-t^reinte"afios -hace-qwr-eonozeo 4-lord-¿jrey, que los negocios, sin mezclar hechos ¿aleramente extraños al asúñto de…</t>
  </si>
  <si>
    <t>Qsoiio, Juan</t>
  </si>
  <si>
    <t>Juan Qsoiio</t>
  </si>
  <si>
    <t>…e que hacen un consumo tan prodigioso que ya el valor de las im F.I capitán general de Aragón traslada el siguiente pórte del portaes portación» de esta materia basta para reemplazar el de la plata que iba ant» tandarte de Borbon D. Juan Qsoiio, que se hallaba recorriendo las orillas á Cantón eh barra, y sobré todo en pesos duros «pañoles. del Ebro con ordene precisas del Excmo. Sr. capitán general de no abando «A esta causa de la escasez de numerario en China, hay. que añadir otra narlas , y obrar en unión de los beneméritos Urbanos de A…</t>
  </si>
  <si>
    <t>QtmvU</t>
  </si>
  <si>
    <t>…, 16-T. Cidia.ífb. Sevilla, * b. bitrios propuestos por los mismos ayuntamientos. Bayona, 00. Alicante, 4 corto pla Cortina, id, Valencia, id. S¿ ban hecho composturas de canales en Navalmoral y Alcuescar, repa Burdeos, 00. zo, * d. QtmvU, *k f li. rándose fuentes y otros objetos de público ornato y comodidad. Hamburgo, 00. Barcelona, á pa. fs., .Málaga, **L Descuento de 1 (Uas, &amp; g0 * b. Lóndres, á 4 p, 100 al; Ha dirigido al ministerio el plan para la reedificación del puente de Almaiáz. ‘ 18. Bilbao, * d. fcsíftl* ESTADO SANITARI…</t>
  </si>
  <si>
    <t>Qúc, Cirios ÍJ</t>
  </si>
  <si>
    <t>Cirios ÍJ Qúc</t>
  </si>
  <si>
    <t>…iones exteriores de España alcance ari restablecimiento ds la tranquilidad en .uno, y otro reino, empezando &lt;«n las demás Potencias. Gonctuida leyó S- Ec los cuatro docilitemos princi por expulsar de la Península á D. Miguel, y a D. .Cirios. ÍJ‘ Qúc asentada pales que acompañan á su memoria ,y son: 1.? Tratado entre fós Estados- desde luego esta base, podriré enlabiarse las negociaciones convenientes, no Unido» de América, y España rejpectq á mutuas reclamaciones’ de lós súbdito» sobre el firt, sino sobré lo» medios: 3.a Que. en cuanta esto se…</t>
  </si>
  <si>
    <t>Qucíroz</t>
  </si>
  <si>
    <t>…oyecto: el tercero, cuya importancia se aumenta con lo que acaba de decir el preopinante, Ayer al romper el día pasó el Tamega en Paul una columna eonsistp en saber si es equivocado el sistema que sigue el gobierno mandada por el coronel Qucíroz, y compuesta del regimiento de fundado en Julio, y si por una de aquellas deplorables ilusiones quo voluntarios de la Reina y el 18 de infantería, los batallones nú causaron la desgracia del último gobierno, vuelven los que hoy nos mero 12 de cazadores y el trasmontano, y 6ü caballos. Al mismo diri…</t>
  </si>
  <si>
    <t>Qué, Agustín Arguelles</t>
  </si>
  <si>
    <t>Agustín Arguelles Qué</t>
  </si>
  <si>
    <t>…y no está dudosa. Los señores que puedo por tanto hablar con la imparcialidad necesaria: sin embargo, procura han impugnado su dictámen todos se atienen á solo el Estatuto Real, y con ré olvidar por un momento los méritos del Sr. D. Agustín Arguelles. ¡Qué sideran de un modo aislado la renta anual. La comisión no puede menos do dice el Estatuto Real? «Para qué pide la renta? Hé aquí las consideraciones atenerse, ademas del Estatuto, á la ley de elecciones, en que se fija el modo que debemos tener presentes: Dice (lo leyó): renta propia y anual: nada…</t>
  </si>
  <si>
    <t>Que, Cários</t>
  </si>
  <si>
    <t>Cários Que</t>
  </si>
  <si>
    <t>…, como lo En la anterior carta, escrita de otra mano , se incluían bajo el mismo plie acreditan las cartas órdenes expedidas en Santarem á 4 de Octubre de 1333. ' go y sobres particulares, los tres siguientes escritos de letra de D. Cários. 4-° Que ha consumado su punible resolución agotando los recursos de la se ducción , y empleando la fuerza por medio de los seducidos. Primero (ó sea 6.° ) sobre. « A D. Francisco de Zea Bermudez , mi pri El mal aconsejado Principe en sus comunicaciones autógrafas de 9 y 21 mer Secretario de Estado y del De…</t>
  </si>
  <si>
    <t>Qué, D Agustín Arguelles</t>
  </si>
  <si>
    <t>D Agustín Arguelles Qué</t>
  </si>
  <si>
    <t>…a ley no está dudosa. Los señores que puedo por tanto hablar con la imparcialidad necesaria: sin embargo, procura han impugnado su dictámen todos se atienen á solo el Estatuto Real, y con ré olvidar por un momento los méritos del Sr. D. Agustín Arguelles. ¡Qué sideran de un modo aislado la renta anual. La comisión no puede menos do dice el Estatuto Real? «Para qué pide la renta? Hé aquí las consideraciones atenerse, ademas del Estatuto, á la ley de elecciones, en que se fija el modo que debemos tener presentes: Dice (lo leyó): renta propia y anual: nada…</t>
  </si>
  <si>
    <t>Que, Goberna</t>
  </si>
  <si>
    <t>Goberna Que</t>
  </si>
  <si>
    <t>…o 13 del capitulo 1.® del reglamento provisional de dicho establecimiento t ^ ; ARTICULO DE OFICIO. se facultó á la junta nacional para el nombramiento de sus subalternos: 2.' . X* Ruina nuestra Señora Doña Isa sur II, y S. M. la Reina Goberna- Que sean comprendidos en esta disposición los empleados de las contadurías de dóta, siguen sin novedad en su importante salud. las provincias nombrados por los intendentes y aprobados por la Dirección: 3.° Que se clasifique según las reglas del Real decreto de 3 de Abril de 1823Del mismo beneficio disf…</t>
  </si>
  <si>
    <t>Que, Mamie</t>
  </si>
  <si>
    <t>Mamie Que</t>
  </si>
  <si>
    <t>…o sus rentas, "Cumio fuere necesario, para reilo- ¡~vengo en nombrar1 al M. R. arzobispo de Méjico D. Pedro Jos&gt; taeion de curatos , ó tenencias, fábricas de iglesias 8re. |Fonte; al R. obispo de Sigiienza patriarca de las Indias D. Mamie Que tolos los servidores de cualquiera denominación, inclu *Fraile; al U. obispo de Lugo Fr. Hipólito Antonio Sánchez Rango! sos los de familia, se agreguen á la resfvvtiva parroquia que parez al R. obispo de Santander Fr. Felipe González Abarca; ai R. obi» ca nías cotiycniente, demarcándoles las carga…</t>
  </si>
  <si>
    <t>Que, Pedro</t>
  </si>
  <si>
    <t>Pedro Que</t>
  </si>
  <si>
    <t>…en Lagos y demas puntos han dado tantas pruebas de observarla, en su patria, no dudo que hay gran número de barcos menores armados, pertenecientes á la con mayor razón las aumentarán, si es posible, fuera de ella; mas escuadra de D. Pedro. Que en la barra de Ayamonte habia un ber por si alguno, olvidando sus deberes, cometiere excesos que alte gantín del cual desembarcaban caballos, y que en los puntos in ren la buena armonía que debe reinar entre las tropas españolas y dicados no existían ya tropas de D. Miguel. los súbditos de S. M. Fi…</t>
  </si>
  <si>
    <t>Que, V V Inglaterra</t>
  </si>
  <si>
    <t>V V Inglaterra Que</t>
  </si>
  <si>
    <t>…aban á su servicio han xbdo’su-dtmreio^^y-et-pueblo, de maderas, leñas y carbones que se necesitan para el servicio público Jifia**®*, &gt; oprinfjdo y miserable, se niega á prestar los auxilios que sc*Xc exigen. suelto la dirección general: V V7 Inglaterra* 1. ° Que respetándose el derecho de propiedad, según lo previene el artíCulo 3.®, título 1.*® de dicha nueva ordenanza, no se consienta ni tolere que los lóndves 7 de Febrero. dependientes del ramo turben á ios propietarios , reconocidos como tales, en el En la Cámara de los Comunes dijo Mr. Hume á lord Alt…</t>
  </si>
  <si>
    <t>Queda, No-ha</t>
  </si>
  <si>
    <t>No-ha Queda</t>
  </si>
  <si>
    <t>…illaro ¿c. El parte i que se refiere el oficio anterior, fecho en Guemica en 19 del actual es el siguiente: «Exctno, Sr.: Con esta fecha digo al Excmo- Sr..qonvm- I dante general de la provincias Vascongadas lo siguiente: Exuno. 'Sr.: No-ha- Queda 1 existentes par» el dia 21 , 150.</t>
  </si>
  <si>
    <t>Quedan</t>
  </si>
  <si>
    <t>…onveniente para sacar todo el par Excmo. Sr.: Enterada S. M. la Runa Gobernadora de lo expuesto por tido posible de los elementos de protección que les otorgo, esa dire^^ion general con motivo de la consulta hecha por ei contador general 15. Quedan derogaefas todas las leyes, ordenanzas, pragmáticas, órdenes, de Distribución sobre la inteligencia de la Real orden de 20 de Marzo u.timo, circulares y demas resoluciones y reglamentos expedidos hasta el día con el fin en la parte que previene que toda nueva clasificación de empleados cesantes se…</t>
  </si>
  <si>
    <t>Quedan, Gober Art</t>
  </si>
  <si>
    <t>Gober Art Quedan</t>
  </si>
  <si>
    <t>…ortación en la península , y solo en el caso de que en cualquiera ocurrencia intpjxyj^ta, ,T \ T sea permitidS la de fuera del reino, se'autorizará la de dlthas islas. Todas estas y otras consfderactoriesSian'decid¡tío á&gt;S.&gt;M. la Reina Gober Art. 14* Quedan abolidas y sin ningún valor ni efectoJas leyes , ordenan nadora í mandar en nombre de la Reina nuestra Señora Doña Isabel ii, que zas y reglamentos asi generales como locales que esten en oposición directa ó quede derogado el "articulo 1 iTd¿ lí clláda instrilccíóti", y restablecido el 44 de Indire…</t>
  </si>
  <si>
    <t>Quedan, I Art</t>
  </si>
  <si>
    <t>I Art Quedan</t>
  </si>
  <si>
    <t>…si fueren particulares, por toda su vida, Del gobierno y administración de este ramo de imprentas. I y si fueren cuerpos ó comunidades, por el espacio de medio siglo. Art. 49. Siendo uno de los asignados al ministerio del Fomento general I Art. 33. Quedan por ahora en toda su fuerza y vigor el privilegio del Real del reino, los subdelegados de este serán las autoridades que deban entender I monasterio del Escorial y su convenio con ia compañía de impresores y libre— económica y gubernativamente de él. Cuando sobre la materia de imprentas I ros de es…</t>
  </si>
  <si>
    <t>Quedó</t>
  </si>
  <si>
    <t>…vas de los abusos para contenerlos ¿ impedir se reproduzcan. ¿ Y sqtá poder ser Procurador, por lo que opina ..que no deben aprobarse los poderes do posible que un gobierno que cuenta entre sus individuas personas de rautas dicho Sr.” Quedó aprobado este dictamen. recursos, hombres tan conocidos por sus ideas y patriotismo , por sus talcnToey saber, crea que no pueda concederse esta libertad sin degenerar en. licencia Discusión sobre la contestación al discurso del trono. dará acaso de la eficaz cooperación del Estamento á concurrir p…</t>
  </si>
  <si>
    <t>Quedo, Cirios</t>
  </si>
  <si>
    <t>Cirios Quedo</t>
  </si>
  <si>
    <t>…da , pues las testes que hay disgusto entre sus batallones, y que empiezan á desanimarse *1 breñas por donde ha corrido sorf unos verdaderos caminos de perdices. ver que no llegan los refuerzos de gente que les hablan dicho traía D. Cirios. Quedo enterado del núm. 242 de V. E. de 20 del actual, y tenia antece Es cuanto puedo manifestar á V. E. para conocimiento de S. M. dentes desda Leiza de la ocurrencia del conde de Viamanuel. Dios &amp;c. Pamplona 25 de Agosto de 1834.=Excmo. Sr.=El cotufe de Dios &amp;c. Cuartel general dé Lizasu 24 de Agosto d…</t>
  </si>
  <si>
    <t>Queigo</t>
  </si>
  <si>
    <t>…es de Villagarcía. _ ahora propone aquella. No hace mucho qnq un Sr. Procurador tomó asiento sin-' La mesa puso en noticia^.del Estamento haber nombrado para componer haber probado que era poseedor do las tincas; y yo creo que el Sr. Queigo de la comisión especial que debe examinar el proyecto de ley sobre cnagenacion Llano se halla eh este caso.” ‘ forzosa por causa de utilidad pública, ú los Sres. marques de Falces , Subcrca- A petición ,del Sr. cbnd: de las Navas se leyó el párrafo del art. 14 se, Bonel, Sánchez Toscano, Fleix, Puga y Lí…</t>
  </si>
  <si>
    <t>Queipo</t>
  </si>
  <si>
    <t>…emplear el rigor, y de que ya qUe no los do la éomision presente este caso, y otros muchosqtie pudiera citar, se ha visto corrige la blandura, los corrija el castigo. en la obligación de proponer La aprobación decios poderes del 'Sr. Queipo de «La provincia de Navarra y las Vascongadas están abrasadas por un fuego t Llano.” infernal que amenaza extenderse á mas térritoiio. Se les vé á los facciosos pasar Ti JV. conde de tai Navas: « El Sr. MedrinbbTmanifestado que-la-pe------ ' repisar el Ebro, atacar un convoy, y coger parte-de-él-á-pgsáFHe…</t>
  </si>
  <si>
    <t>Queipo, D Manuel María Vázquez</t>
  </si>
  <si>
    <t>D Manuel María Vázquez Queipo</t>
  </si>
  <si>
    <t>…en calidad de secretario, pudiese comunicarse á los Sres, Presi ximo ,lo rnlsmo que la de la qué Se ha repartido hoy. dentes de ambos Estamentos, á fin de que surtiese en ellos los efectos á que hu Entró á jurar y tomó asiento el Sr. D. Manuel María Vázquez Queipo, biese lugar, con lo que se terminó la Sesión. Madrid 28 de Octubre de 1834* Procurador por la provincia de Lugo.1 Siguen las firmas. El Sr.- Presidente manifestó que- se iba á dar conocimiento del resultado El Estamento quedó enterado. que había tenido la-comision mista encargada de conciliar la o…</t>
  </si>
  <si>
    <t>Queipo, José María</t>
  </si>
  <si>
    <t>José María Queipo</t>
  </si>
  <si>
    <t>…a TVofia María Isabel ii. Tendréislo entendido, y dispondréis cias de saber y virtud reúnan las de una probada adhesión á la causu cunjpUfniémo-^'jStá rubricado de la Real mano de S. M.=En Carabancheí á ,¡/f de Juplp de 1834. = A D. José María Queipo de sa de la Reina; y los restantes hasta completar él número designado, lo serán de entre los eclesiásticos de las cuatro órdenes militares.Daño. L&lt;&gt;s primeros recibirán por la tesorería de la Real Casa el sueldo de 120 rs. de vn. al año, y 100 los segundos, y la restante cantidad • Hallándome satisfe…</t>
  </si>
  <si>
    <t>Queipo, José Velazquez</t>
  </si>
  <si>
    <t>José Velazquez Queipo</t>
  </si>
  <si>
    <t>…6 de este mes se prohíbe i los empleados ejercer sos cuhion á D. Florentino Fraile: para la de Alaniz á D. Antonio Ra destinos sin haber recibido el competente diploma para obviar el abuso que món Folgueira: para la del Ferrol á D. José Velazquez Queipo de había de instalarse los empleados con solo la publicación desús nombramientos Llano; y para la de Cañiza á D. Antonio Arias y Quiroga. También en la Gaceta. se ha dignado nombrar para la vara de, alcalde mayor interino de Por otra del 4 se manda al tribunal supremo de marina entregar al paga, Carta…</t>
  </si>
  <si>
    <t>Queipo, Manuel María Vázquez</t>
  </si>
  <si>
    <t>Manuel María Vázquez Queipo</t>
  </si>
  <si>
    <t>…alidad de secretario, pudiese comunicarse á los Sres, Presi ximo ,lo rnlsmo que la de la qué Se ha repartido hoy. dentes de ambos Estamentos, á fin de que surtiese en ellos los efectos á que hu Entró á jurar y tomó asiento el Sr. D. Manuel María Vázquez Queipo, biese lugar, con lo que se terminó la Sesión. Madrid 28 de Octubre de 1834* Procurador por la provincia de Lugo.1 Siguen las firmas. El Sr.- Presidente manifestó que- se iba á dar conocimiento del resultado El Estamento quedó enterado. que había tenido la-comision mista encargada de conciliar la o…</t>
  </si>
  <si>
    <t>Queiroz</t>
  </si>
  <si>
    <t>…proveedor, cua el puente fue dirigida y mandada por el mayor Passos. Las instrucciones que tro pasados, nueve caballerías mulares y tres caballos, iodos con monturas y di á estas fuerzas consistían en lo siguiente: la columna del coronel Queiroz armas. debía al Tomper el día pasar el Támcga por el vado del Paul, media legua ó El 23 permaneció el Pretendiente en Chamusca: los generales Sanjuaúeria tres cuartos mas abajo del puente; y ganadas las primeras alturas en frente del y Carondelct en Covilhao y Celorico, y el cuartel general en Guar…</t>
  </si>
  <si>
    <t>…civil, es mucho compuestas de 3500 hombres, haciendo avanzar grandes partidas de tiradores, mas cruel que esta: concluye diciendo que si bien se opone á que se admita la y entonces dispuse que cayese sobre sus flancos el valiente coronel Queiroz con proposición, conoce sin embargo que es indispensable reformar el artículo 33 la brigada de cazadores 2.a y 12 , mientras el brigadier Brito los atacaba por el del código civil, «que previene la confiscación de los bienes en que el condena centro con los regimientos 3.° y 6.a Durante el ataque s…</t>
  </si>
  <si>
    <t>Quena</t>
  </si>
  <si>
    <t>…ísimas marchas en que 'perdido parte de sus apasionados, de jesuítas de cierta especie de aislamiento en de nuevo ha acreditado esta tropa su constancia en los padecimien que se manteniáfeanrtque sotó al parecer, en su empleqifle ministro Quena. tos, supe ayer noche que Zavala con cuatro batallones de la faccioq Pero desde los últimos acontecimientos han vuelto aquclíos í acercarse jel,' con</t>
  </si>
  <si>
    <t>Queriendo</t>
  </si>
  <si>
    <t>…o la cruz de Estanislao. Se lee en el Monitor argelino: Nuestro Rey ha distribuido igualmente regalos y decoraciones entre las «Yo, gobernador general de las posesiones francesas en el Norte de Africa: personas de la comitiva del Emperador. , «Queriendo imprimir un movimiento mas activo y uniforme á las ifela- fie asegura que ^1 Rey y la Emperatriz su hija habían suplicado al Empe ooqcs yvínculos que existen ya, ó podrán establecerse en lo sucesivo corrías rador que no fuese á Varsovia ; pero este ha persistido en su designio, diciendo tribus del…</t>
  </si>
  <si>
    <t>Quesada</t>
  </si>
  <si>
    <t>…stido con au uni- Hamburgojoo. 1 Bavceloaa d pesos ft: Málaga i b. Descuento de letraa j | forme. Ldudres á po días , , 4 -b. • ' Santander par- d 4 pe 100 aLafio. . 874 .Bilbao par. Santiago a á. . Según las últimas noticias del general Quesada debía salir el 24 de Logro ño para los Arcos, adonde te dirigía igualmente el general Valdés. El general AMtíNClOS. Mosco», que manda en Vitoria, había destacado sobre Vizcaya una fuertb columna, lías obras dé lascasás fuerte» dé Maestú y Estolla están’ya muy ade Los suteriptore* i la a.3 clase del…</t>
  </si>
  <si>
    <t>Quesada, D Vicente</t>
  </si>
  <si>
    <t>D Vicente Quesada</t>
  </si>
  <si>
    <t>…e á V. S. muchos años. Cuartel general de Pamplona 31 de Enero de 1834- = Gerónimo Valdes.znbr. gobernador de Vitoria. Núm. 2.° Anoche supimos positivamente que una columna de 800 infartes v 80 caba llos , mandados por el F.xcmo. Sr. D. Vicente Quesada , habia hecho una incursión en Maestú á las ocho y media del día de ayer contra los facciosos, capitaneados por Villareal, que se hallaban en dicho punto en número de cerca de 1200 hombres: que á la salida de estos entró Quesada, y los persiguió con la caballería , marchando sin detención la infant…</t>
  </si>
  <si>
    <t>Quesada, D Vicente Genaro</t>
  </si>
  <si>
    <t>D Vicente Genaro Quesada</t>
  </si>
  <si>
    <t>…e Castilla. (Id.) cios incorporados á la corona. (Id.)' h-.rii.nfV. merced dy título de Castilla, con la denominación de marques Real decreto extinguiendo la» hermandades, gremios &amp;c. de viñeros, y dejando de Moncayo, al teniente general D. Vicente Genaro Quesada. (.Id.} «meramente libre el comercio de vino. (Nnm. 26.) ____seis nombrando regentes y oidores de varias audiencias del reino. (Id.} ___ ^declarando que todos los que ejercen oficios ú artes mecánicos pueden • nnrptirando una comisión para que forme la división judicial del reino. obtener cargos mun…</t>
  </si>
  <si>
    <t>Quesada, Vicente</t>
  </si>
  <si>
    <t>Vicente Quesada</t>
  </si>
  <si>
    <t>…V. S. muchos años. Cuartel general de Pamplona 31 de Enero de 1834- = Gerónimo Valdes.znbr. gobernador de Vitoria. Núm. 2.° Anoche supimos positivamente que una columna de 800 infartes v 80 caba llos , mandados por el F.xcmo. Sr. D. Vicente Quesada , habia hecho una incursión en Maestú á las ocho y media del día de ayer contra los facciosos, capitaneados por Villareal, que se hallaban en dicho punto en número de cerca de 1200 hombres: que á la salida de estos entró Quesada, y los persiguió con la caballería , marchando sin detención la infant…</t>
  </si>
  <si>
    <t>Quesada, Vicente Genaro</t>
  </si>
  <si>
    <t>Vicente Genaro Quesada</t>
  </si>
  <si>
    <t>…la. (Id.) cios incorporados á la corona. (Id.)' h-.rii.nfV. merced dy título de Castilla, con la denominación de marques Real decreto extinguiendo la» hermandades, gremios &amp;c. de viñeros, y dejando de Moncayo, al teniente general D. Vicente Genaro Quesada. (.Id.} «meramente libre el comercio de vino. (Nnm. 26.) ____seis nombrando regentes y oidores de varias audiencias del reino. (Id.} ___ ^declarando que todos los que ejercen oficios ú artes mecánicos pueden • nnrptirando una comisión para que forme la división judicial del reino. obtener cargos mun…</t>
  </si>
  <si>
    <t>Quevedo</t>
  </si>
  <si>
    <t>…te en Navarra los ene niente D. Juan Díaz en el pueblo deCaladiano, matándole dos hombres y co migos se dirigieron por el valle de Erro a reunirse con Zumalacarregui, a ex- giéndole nueve, entre los cuales se encontró al titulado brigadier Quevedo, cepdon de la caballería y una compañía de guias que creyó poder evitar la exento que fue de Guardias de la Real Persona, un sobrino suyo y'pn sargen optittnuacion de su persecución dirigiéndose sobre Puente la Reina. De al i to con 14 caballos, que fueron conducidos ¿ Orduña, ¿ cuyo comandante mi…</t>
  </si>
  <si>
    <t>Queypo, Manuel María Vázquez</t>
  </si>
  <si>
    <t>Manuel María Vázquez Queypo</t>
  </si>
  <si>
    <t>…mía, sabiendo que se había de- tratar este negocio en ios Estamen El Estamento quedó enterado de las exposiciones de los Sres. D. José tos están de ácuerdo en no pagar. De consiguiente yo creo que el Estamento en Ramón Becerra, y D. Manuel María Vázquez Queypo, electos por la pro- primer lugar debe hacer la declaración de si la cosecha de este año está sujeta vinca ale Lugo, manifestando las causas por qué aun no se han presentado á las á prestación; y si se declara que no lo está, debe-expresarse.” sesiones. El Sr. Medrano : » Ahora se trata de la discu…</t>
  </si>
  <si>
    <t>Quién</t>
  </si>
  <si>
    <t>…ho tristísimo, á la forma establecida por la ley, no podria aplicarse et caso que se quiere se cual fue el que tuvo lugar en las revueltas del siglo xvi, cuya reparación ha ñalar con la palabra en cuestión. «Quién habia de ser el juez ? ¿Quién habia de costado tres siglos de desgracias; pero esta cita se ha hecho no con bastante decidir si hubo ó no libertad para votar las contribuciones ? ¿ Los pueblos por st exactitud. Yo me lisonjeo de que al menos este atropello de los derechos de propios? Esto conduciría á la anarquía. &lt;E1 Rey! Esta…</t>
  </si>
  <si>
    <t>Quiera</t>
  </si>
  <si>
    <t>…stas que habia con tan plausible motivo. Desdeel indi mariscal Gerard en la lista del estado mayor del ejército. viduo mas elevado ha»ta el mas humilde de la jurisdicción, nadie pensaba mas que en-demostrar su amor y lealtad á la Reina. ¡Quiera el cíelo que el nuevo __Algunos trabajadores cavando en la plaza de los Predicadores de Aix aca Sol que alumbra á la Península ibérica y la vivifica haga renacer aquellos tiem bad de descubrir un monumento de tierra que se supone haber servido de pos heróícos llenos de acciones ilustres de la Catól…</t>
  </si>
  <si>
    <t>Quiero, Giraud</t>
  </si>
  <si>
    <t>Giraud Quiero</t>
  </si>
  <si>
    <t>…se quiere hacer? comisario jp'Qvjsional del distrito de Luxemburgo por el gobicrno belga- Su ar- Presidente. Manifestad el objeto de la pregunta* , rcstq-Jfc. ainbuye á haber extendido la leva de la. milicia mas alia de la linea Sr. Giraud. Quiero hacer una pregunta relativa al estado en que se halla ?RjiÍ4¿ic. de Ijálfertalez», contra las órdenes dé la Dieta germánica. la nación. \Ca prisión dé $1. Hanno ha hecho mucha sensación en el congreso de Bél- La Cámara accede á lo que desea el Sr. Giraud. gjcar.yuarobasi Cámaras han enyiadq mensaje…</t>
  </si>
  <si>
    <t>Quijana, Juan Pedro</t>
  </si>
  <si>
    <t>Juan Pedro Quijana</t>
  </si>
  <si>
    <t>…uprema de la uruon, y que le parecía por lo mismo conveniente por ascenso de D. Ventura de Córdoba al de la provincia de Mála la adopción del plan que tenia el honor de presentar, pira que unilonruda ga, vengo en conferir aquel á D. Juan Pedro Quijana, fiscal en co la opinton con el Estado, y principalmente en esta capital, terminaran las misión de la Real audiencia de Madrid, en atención á sus méritos inquietudes eft que se halla la población, y que identificados todos en senti y -circunstancias. Tendréislo entendido, y dispondréis su cumpli- m…</t>
  </si>
  <si>
    <t>Quijano, José</t>
  </si>
  <si>
    <t>José Quijano</t>
  </si>
  <si>
    <t>…endido en forma, de aquella á quien venia dirigi de oficial 2.° de la misma , vacante por separación de D. Fernando Oráa , al da, cuyo poder ha resultado'después no ser legítimo-, se sirvió declarar S. M. administrador de Reinosa D. José Quijano ; y la de oficial 4.0, que desempe por Real óidcn de 11 de Enero úlliiii€ry~ha tenido á bien mandar se anuncie ñaba D. Manuel Alaría Irígoyen , á D. Francisco Javier de -Vita-, -oficial -faral público que en iguales casos no baste la sola lectura del poder, sino que ha norario que sirve en la admin…</t>
  </si>
  <si>
    <t>Quijote</t>
  </si>
  <si>
    <t>34* Siguen tas notas á fa célebre conversación^entre eLcura y el canónigo, y ji üel provihcial de Logroño, que para esto daba cuatro pasos al frente de la línea. „ la del canónigo con D. Quijote,, relativa'en parte á Id"literatura novelesca .§} Grande.fue el. concurso á esta ceremonia, graade-el-entusLasiji0-óe-las tro-, pas y aun dél;y^índír¿&gt;4¿e,lá.!pr;^&gt;^&lt;^6,con sus respectivas autoridades qü* en parte á la teatral. En cuanto al&lt;jpiptQ;4fcl9!l JífeíS &lt;Je iátenería^el Sr. me acompañaban…</t>
  </si>
  <si>
    <t>Quin</t>
  </si>
  <si>
    <t>…propios de P. Hojeda su autor. Y asi nos limitaremos á hablar de este poema y del Ber tan sagrado asunto. EL libro de Hojeda en su totalidad es mas bien una obra nardo : el primero, porque debemos su publicación y conocimiento al Sr. Quin de devoción qite una epopeya, aunque tal vez se eleva, sin pretenderlo, y sola tana; y el segundo, porque es muy importante para los progresos del gusto y por el instinto de su genio, á toda la elevación del poema beróico. del conocimiento de la literatura española saber á qué nos debemos atener acer…</t>
  </si>
  <si>
    <t>Quin, Félix</t>
  </si>
  <si>
    <t>Félix Quin</t>
  </si>
  <si>
    <t>…an á los fines 9 de Mayo de 1834 an°s: reunidos en la sala capitular los señores regidores que le convengan, y que sin perjuicio se ponga en conocimiento del Excmo. Se- alférez Real y alcalde ordinario de primer voto por depósito D. Félix Quin fior presidente gobernador y capitán general esta exposición por medio de tero , fiel ejecutor D. José Gabriel Almeyda , gentilhombre de cámara de S. M. oficio en forma para que S E., como presidente nato de las" corporaciones, la D. José María Lima y síndico procurador general D. José María Monter…</t>
  </si>
  <si>
    <t>Quin, Feliz</t>
  </si>
  <si>
    <t>Feliz Quin</t>
  </si>
  <si>
    <t>…la misma D. Manuel Caarmas, licenciado D. Francisco José de QueSida, lo preparó con las roces de brera, y otra de una escuela normal según el método de D. José MarianoVa0¡d, oíd., oidj y cuando hubo concluido, el Sr. alférez Real D. Feliz Quin llejo, que gratuitamente se ha ofrecido 4 dirigir el sócip D. Juan Estrella. tero dejó satisfechos sus deseos publicando: Castilla, Castilla, Castilla: la J¡:1 ciudad de Santiago de las Vegas proclama y jora por su KÉítra y So berana í Daña Isabel ji (Q. D. G ), y tremolando por Ues reces et Real p…</t>
  </si>
  <si>
    <t>Quin, Manuel José</t>
  </si>
  <si>
    <t>Manuel José Quin</t>
  </si>
  <si>
    <t>…l ministerio, de lo-» seño conde de Parsent, id.; conde de la Pezuela, id.; conde de Pinofiel, id;: se res Próceros deí Reino que no pueden asistir á las sesiones del Estamento por ñor obi'po Posada, i J.; D- José María Pug, id.; D. Manuel José Quin hallarse desempeñando los destinos que S. M. ha tenido z bien conferirles, y tana, id.; duque de Rivas, id.-, conde de Salvatierra, id.; marques de S. Feli §on.i los Exentos. Sres. duque de Frías, embajador de S. M. en París; conde de ces, id.; duque de S. Lorenzo, argente; marques de S. Martin de…</t>
  </si>
  <si>
    <t>Quiñones, D José María</t>
  </si>
  <si>
    <t>D José María Quiñones</t>
  </si>
  <si>
    <t>…Italia, Sr. D. Marcos Fernandez Blanco. lub endor escogido por compañeros de su destierro á los mismos hombres que Sr. D. Francisco Diez González. por su ignorancia., estupidez ó traición han sido los primeros autores de su des- Sr. D. José María Quiñones, marque»de Mbntevirgea. . gracia. (Cvurier."} Si. D. Francisco Antonio Mantilla. ____ Cartas de Nueva Yorck dicen que Tos intereses del comercio se resentían PROVINCIA BS lOOMltqn de las últimas medidas, y que las entradas del tesoro público en el primer tri Sr. marques de Someruelos. mestre de est…</t>
  </si>
  <si>
    <t>Quiñones, José María</t>
  </si>
  <si>
    <t>José María Quiñones</t>
  </si>
  <si>
    <t>…lia, Sr. D. Marcos Fernandez Blanco. lub endor escogido por compañeros de su destierro á los mismos hombres que Sr. D. Francisco Diez González. por su ignorancia., estupidez ó traición han sido los primeros autores de su des- Sr. D. José María Quiñones, marque»de Mbntevirgea. . gracia. (Cvurier."} Si. D. Francisco Antonio Mantilla. ____ Cartas de Nueva Yorck dicen que Tos intereses del comercio se resentían PROVINCIA BS lOOMltqn de las últimas medidas, y que las entradas del tesoro público en el primer tri Sr. marques de Someruelos. mestre de est…</t>
  </si>
  <si>
    <t>Quinta, D José</t>
  </si>
  <si>
    <t>D José Quinta</t>
  </si>
  <si>
    <t>…re redención de á que les obliga y funestos efectos que produce en la moral pública, todavía censos. I se hallaran razones de un orden superior para suprimirlo. Porque habiéndose Se mandaron pasar á la comisión de Poderes los del Sr. D. José Quinta mandado arrendar se remató por dos años, que concluyeron en fin de Agosto na Llarena, electo Procurador por las islas Canarias, con los documentos jus último, a razón de 375,825 reales vellón cada uno, cuando las exacciones y tificativos de su aptitud legal; y el testimonio del acta de la elección…</t>
  </si>
  <si>
    <t>Quinta, José</t>
  </si>
  <si>
    <t>José Quinta</t>
  </si>
  <si>
    <t>…edención de á que les obliga y funestos efectos que produce en la moral pública, todavía censos. I se hallaran razones de un orden superior para suprimirlo. Porque habiéndose Se mandaron pasar á la comisión de Poderes los del Sr. D. José Quinta mandado arrendar se remató por dos años, que concluyeron en fin de Agosto na Llarena, electo Procurador por las islas Canarias, con los documentos jus último, a razón de 375,825 reales vellón cada uno, cuando las exacciones y tificativos de su aptitud legal; y el testimonio del acta de la elección…</t>
  </si>
  <si>
    <t>Quintana</t>
  </si>
  <si>
    <t>…^ij^^eeoñoce enternecida . el heróisino dé’ ésta acción, rbera , réstiltapdo plécto el Sr.' duqué dé Veraguas pof 4^ "votoí COritra'8 que "^réíbsimilniente á las .disppsiqióúés que Jhfc: medita' eq sitíabiduría {jarátale- túvo el Sr. Quintana. yayjaj^paña ¿1 gradq.de,ésplfendor, á[que ii llama su’poíiíiqfí’y la índble dé El Sr. dqque. de Rivas hizo presente que siencjp.dos de los Sres.; Secréti^ Ws na^i/Stttes, opqn^f^i.todavía fueríeS. pbstáculos las pasiptieáylos errores! fjqs no'mbradOs ltldirdduos dé la ¿omisión encargada de la revis…</t>
  </si>
  <si>
    <t>…ración interior continua Siguiendo en todas sus partes su Parece que reforzada la división del coronel Pavón, que sitiaba i Puebla, curso regular; en la vigilancia que ejerce sobre ella el gobierno, es dignamen con las tropas del general Quintana, se rindió aquella plaza el 28 de Julio, y te ayudado por las autoridades provinciales y locales. se restableció Incomunicación de Veracruz con la capital. Las condiciones de «La instrucción pública es constantemente objeto de aquel cuidado que la capitulación que precedió á la rendición de la plaz…</t>
  </si>
  <si>
    <t>…e prólogo • terios del mundo interior é intelectual, obrados por la cruz de Jesucristo. En •es Verdaderamente un modelo de crítica literaria. una palabra,, el poeta español es mas elegiaco: el aleman mas épico. v Resuelto pues el Sr. Quintana á copiar los fragmentos mejores de estas Pero en la sencillez del plan, en lo.bien seguido de la narración, en los composiciones , lo haca,,- en cuanto le es posible, de manera que formen una episodios y en el candor del lenguage son muy semejantes. El Sr. Quintana, cu narración seguida: siendo los…</t>
  </si>
  <si>
    <t>…na pequeña columna de tropa que de esta ciudad y pérfidas y fastidiosas, siempre aparece mas grande el condestable /Real sitio de S Ildefonso partió en la imadrugada de anteayer al de Castilla que todos sus enemigos: no porque el Sr. Quintana ha mando del tan decidido como valiente militar D. Francisco Javier ya disimulado ninguno de sus defectos; sino porque su valor perso Azpiroz, teniente coronel del provincial á que da nombre estaj nal y sus miras políticas eran muy superiores. El mismo Átonso eludid. . _ *13» de Aragón, que mereció…</t>
  </si>
  <si>
    <t>…acompañaban.” cor , de la envidia, y lo que quizá es mas, de la indiferencia con que suelen mirar los hombres todo lo que no se resuelve en intere ses materiales. Este cuadro magnífico ha hallado un digno, pincel «n la pluma del Sr. Quintana, consagrada en todas sus obras á lo . El dia 22 del corriente se dará principio en el Real Jardín que es grande, moral y generoso. Botánico de esta corte á lasMecciones de botánica general á la Mas no por eso ha olvidado la primer dote de un historiador nueve deja- mañana; y continuarán los maraes,…</t>
  </si>
  <si>
    <t>…do varias medidas para hacec efectivas ías cantidades que se adeu dando de mantener la tranquilidad del pais de su reraguardia á la j.» brigada de dan i los establecimientos de beneficencia. . la división de su mando, á cargo del coronel Quintana. Los cabecillas Castor, ■ Instruye, un expedienté general para proponer al gobierno los medios de Luqui y Torre, aprovechándose de este movimiento se dirigieron con las fuer mejorar el estado de las cárceles. zas que pudieron reunir á atacar al expresado coronel Quintana situado en Gaf- Espera poder con…</t>
  </si>
  <si>
    <t>I ./ 763 - ‘ que el coronel Quintana, comandante de la 3.a brigada, les había obligado a sin embargó vigente pefa los- que se presentaren mi alocución de 9 de Julio abandonar aquel país y á dispcraafSf/9 último; ' • ' , 2.° Las persona» que. proporcionen de cualquiera modo auxilios de armas* £1 mtsmo^capitan general incluye un parte d…</t>
  </si>
  <si>
    <t>…con el mayor ardor y entusiasmo; y despreciando todo peligro, se gadier Aznaf se dirige con su brigada hácia Villasante para poneré én rela arrojaron todos en seguida sobre el enemigo, obligándole á abandonar su posi ción con el coronel Quintana, y obrar de acuerdo sobre las Encartaciones y ción y poniéndole én completa derrota, petsiguiéndole hasta el pueblo de Riñe Merindades. Dios &amp;ce=Cuartel general de Sta. María de Cubo á 11 de Setiem ra , donde ya enteramente disperso ni presentaba objeto, pues no quedaba grupo bre de 1834~Excmo. Sr.…</t>
  </si>
  <si>
    <t>…er: debía Partes recibidos en la secretaría de Estado y del Despaeho de la Guerra. desdeñarse de combatirlo aunque estuviese seguro de la victoria. Esto nos hace volver la vista á nuestra prensa periódica, y observar la triste El coronel Quintana comunica al brigadier Bedoya en 11 del comente el diferencia que hay entre los pasados y los presentes tiempos. Hubo un tiempo, parte siguiente remitido ¿ este ministerio por el capitán general de Castilla la y no está todavía muy lejos, en que la prensa francesa se recomendaba por su Vieja. dignid…</t>
  </si>
  <si>
    <t>…u Después de una ligera discusión entre los Sres. obispo Vallejo y mar ba, Sr. Atvarez Guerra, duque de Noblejas, marques de Malpica, Sr. Nkvar- ques de S. Felices, quedó aprobado el artículo según se hallaba. ‘ rete, Sr. Cuadra, Sr. Quintana, Sr. García Herreros, Sr. obispo Val lejo, se- . Art. 3.° Quedan suprimidos desde dicha época ios juzgados protectores ñor Vigodet, Sr. Martínez, conde de Oñate , conde de Clavijo , conde del del Voto de Santiago. Los juicios pendientes para hacer efectivas las prestación Montijo, marques de Espeja…</t>
  </si>
  <si>
    <t>…es de las primeras oraciones del anochecer, quien Jo conferencia en Haro con el general Manso él 15 , se dirigía á ponerse alfren- trasladará al diréctor presidente, á fin de que noticiándolo al enfermero que te de la brigada del coronel Quintana, reforzada/por otra al mando del Briga corresponda, pueda esta formar la nota de los dias de socorro que él doliente dier Aznar para obrar sobre los facciosos de aquel país: los cuerpos- provincia- _ alcanzare, le» de Chinchilla y Salamanca habían sido destinados á la provecía de Atava^ . •3* Si ¿1…</t>
  </si>
  <si>
    <t>…rimer escrutinio de su lista , repartidos en la forma siguiente: el Sr. Clemencia con 43 votos; el Sr. duque de Rivas con el Sr. marques Sres. Redondo 16 votos;‘Mcdrano 32; Lasanta 56: Aranda 29; marqués de Guadalcazar con 30; el Sr. Quintana con 13; el Sr. Cano Manuel con 2i; de Espioardo 21 ; Atocha 21 ; Veg&gt; y Rio J; Miguel y Polo 3 ; Cr-raldo 14* el Sr. duque de Veraguas con 7; el Sr. conde de Parsent con 3; el Sr. marques Martel 10; Bcida 2; marques de Somcruelos 2; marques de Falces 2; La de la Candelaria con 3; el Sr. Martinez co…</t>
  </si>
  <si>
    <t>…se digne hacerla muy apecial de este benemérito gefe y del capitán de el brigadier Iriarte, que desde Espinosa se dirigía al valle de Ruesga, míen ti as cazadora de Africa D. Manuel Carrascosa, entrambas merecedores de toda la el coronel Quintana apoyaba por su derecha este movimiento. consideración que la munificencia de la Ruina nuestra Señora se digne dispen sarla , tamo por ate distinguido servicio como por lo* que tienen ya contraídos Destacadas dos divisiones del ejército del Norte, la una sobre Zumalacar- en defensa de la causa del d…</t>
  </si>
  <si>
    <t>…que tiene esperanzas de coger los dos heridos, pues se hallan en Sanada curán binación nadie perdería sino ia Rusia.” dose. Igualmente me dice que ha salido esta mañana de aquella villa la 3.4 bri gada de operaciones al mando drl coronel Quintana para las Encartaciones.*'Lo .____ El Constitucional i hablando de la salida de las autoridades civiles y mili que traslado á V. E. para su conocimiento y satisfacción de la Rmva nuestra tares nombradas pira el gobierno de Argel t dice: *&gt;E*t.Q5 empicados r&gt;o niegan Señora i á-cuyo-munfficencia reco…</t>
  </si>
  <si>
    <t>Quintana, D Zuilo</t>
  </si>
  <si>
    <t>D Zuilo Quintana</t>
  </si>
  <si>
    <t>…que deben sufrir las procedencias de dicha ciudad j de estas partidas, trataron de marcharse por la ladera opuesta; pero viniendo después de declarado haber cesadó totalmente las enfermedades que cn *a ««$**1 por aquella parte el capitán D- Zuilo Quintana con 30 cazadores, rompió so roa han reinado- Loque tengo de manifestar á V. E., acompañando! bre ellos un vivo fuego, que los intimidó; y arrojando las armas, se fugaron ía nota de los fallecidos para su. conocimiento y fines convenientes. , ] en una completa dispersión por aquellas breñas, dejando…</t>
  </si>
  <si>
    <t>Quintana, Joaquín María Perez</t>
  </si>
  <si>
    <t>Joaquín María Perez Quintana</t>
  </si>
  <si>
    <t>…o trióticas tarcas, se ha dignado encargar en Real orden de 4 del corriente á una S. M. la Reina Gobernadora nominar á D. Cipriano Clemencin. comisión compuesta del Sr. D. Juan Alvarez Guerra, de D. Antonio Sandalio de Arias y dé D. Joaquín María Perez Quintana, la formación de un re Para las dos de supernumerario de Sevilla á D- Francisco de Paula Alva glamento general de sociedades, en el que se fijen de un modo preciso los lími rez y D. José López Rubio; y para pna de la misma clase de Valencia á Don tes de sus atribuciones, y los medios que la experie…</t>
  </si>
  <si>
    <t>Quintana, José Manuel</t>
  </si>
  <si>
    <t>José Manuel Quintana</t>
  </si>
  <si>
    <t>…r los títulos y documentos que presentan los Sres. Próceres; -y sido la de despedida para el continente. (Standard.) para ella han sido electos los Sres. duque de Gor , duque de Veraguas , mar ques de Guadalcazar, cbnde de Teba y D. José Manuel Quintana: algunos de 1 conde Grey, primer ministro de Inglaterra, propiño en la sesión de la los Sres. Próceres han presentado á esta comisión los títulos y documentos en Cámara de los Lores de 1.® del corriente la renovación del bilí sobre medidas que* fundan su derecho para tomar asiento en el Estamento-,…</t>
  </si>
  <si>
    <t>…ero hizo presente que con arreglo 3I artículo 30 de contestación al discurso del trono, componiéndole .esta de los Excmos. Se del reciamente», cuando en la primera votación no recitaba completa ¡a elec ñores marques de Sta. Cruz; D. José Manuel Quintana; O. Javier de Burgos; ción , había que proceder á secunda, fij’rvíosc en los Sres. que hubieren reunido arzobispo de Méjico; marques de Us Amarillas; marques de Candelaria; conde m ,• de 11 votos; por cu\a razón se iba á proccJrr a segunda vctacioiy entre de Monterron; duque de Veraguas y P Ensebio…</t>
  </si>
  <si>
    <t>Quintana, Manuel José</t>
  </si>
  <si>
    <t>Manuel José Quintana</t>
  </si>
  <si>
    <t>…oz y Jalon.=Sr. brigadier evidente que mostró á los Reyes Católicos el camino de consolidar comandante de armas de Segovia. el poder del trono; empresa que no pudo acabar, por su trágica muerte. Fidas de es paitóles célebres: por D. Manuel José Quintana: Pues no es posible encerrarlo ni citarlo todo en un breve ar tomo m. Madrid, 1833. tículo , exhortamos á los lectores á que lean las excelentes reflexio Comprende este tomo las vidas de dos varones, tan opuestos nes del biógrafo en la página 242 acerca del proceso de D. Alva en sus caracteres y en…</t>
  </si>
  <si>
    <t>…4e Graz ña á quienes de derecho corresponda, por reunir las condiciones nada; D. Manuel García Herreros, del Consejo Real; D. Diego,Gleprefijas en la citada ley fundamental, á los muy RR. arzobispos, menciri, bibliotecario mayor; D. Manuel José Quintana, secretario RR. obispos, títulos de Castilla y personas elevadas en dignidad é de la interpretación de Lenguas; D. Antonio Cano Manuel, del Con ilustres por sus servicios y merecimientos, que se expresan á conti sejo de Estado; D. Miguel Tacón, teniente general de los Reales nuación; El duque de Ba…</t>
  </si>
  <si>
    <t>…s Sres. Proceres, y que para su examen ¡&gt;e había las armas de S. M. llevan i desear. Madrid 23 de Diciembre de 1834. zz nombrado una comisión especial compuesta de los Excmos. Sres. conde de OfaEl marques de las Amarillas.” lia , D. Manuel José Quintana, conde de Pinoficl, D. Antonio Posada y con Tohiada en consideración por 'el Estamento esta mocion, y después de de de Montijo. algunas observaciones hechas pt&gt;r los Excmos. Sres. conde de Sta. Ana, mar En seguida el mismo Sr. Presidente dijo que no habiendo otro asunto de ques de S. Marcial,marque…</t>
  </si>
  <si>
    <t>Quintaníllaí, José Alonso</t>
  </si>
  <si>
    <t>José Alonso Quintaníllaí</t>
  </si>
  <si>
    <t>…e esta corte desde el lunes 21 déj, ¿órnente á las cincb de l&amp;taiídcr parte, no puede menos de recomendar á S. M. la Reina Gober nadora al expresado capitán Herrera por su actividad y decisión, ¿ cargo del vkeprofesor de botánica D. José Alonso Quintaníllaí de que le tiene dadas pruebas. MOLSa de cou-BActa.~—Cotizac!oft,de hoy á las tres dt id tardé. Extracto del parte dado por el subdelegado del Fomento de la xFictos Públicos. provincia de Murcia D. José Musso y Valiente con fecha de 31 Inscripciones sobre el grao libro al ¿ por ida, od. ’ IfV. v“otl'^…</t>
  </si>
  <si>
    <t>Quintano, José</t>
  </si>
  <si>
    <t>José Quintano</t>
  </si>
  <si>
    <t>…la mayor celeridad, y por consi Otense. = Di Manuel María Losada. guiente poco podrá retardarse la presentación de su reemplazo. Zamora. i= D. Manuel VillacKica. •runo de los Sres. Procuradores nombrados por Canarias, el coronel Don José Quintano, ayer noche se presentó en el ministerio de mi cargo. , Señores que han renunciado sus poderes, y se ignora su reemplazo. «El coronel D. Ramón Pardi&amp;as, nombrado Procurador por una 3e las Tarragona.=D. Guillermo Oliver. 1 provincias de Galicia, se . halla en el ejército del Norte á la cabeza dél re…</t>
  </si>
  <si>
    <t>Quintarla, Manuel José</t>
  </si>
  <si>
    <t>Manuel José Quintarla</t>
  </si>
  <si>
    <t>…TEstamento qué ademas déla propuesta del Gobierno admi- Po,adas-, D. José María Puig, conde de Prieguf, cond,e de PufioníOstro, con* Ttida piór tá comisión se añadiese la adición que proponía el Consejo de Gó- de de Pino hermoso, D. Manuel José Quintarla ,duque de lio vas, coríHe do ■hidrno, reducida i que no se permitiese á X&gt;. Cárlos y sus descendientes volver Salvatierra, marques de S. Felices, duque de S. Lorenzo-, marques' de S. '4 España. tin de-Hombreiros, conde de S. Román, contje de Santa Ana, marques de El Sr. García Herreros manifestó qu…</t>
  </si>
  <si>
    <t>Quintaw, Manuel José</t>
  </si>
  <si>
    <t>Manuel José Quintaw</t>
  </si>
  <si>
    <t>…que se tea; pero puesto que se van le ra . duque de Nobleiss, marques de' Mansera y de Malpica, D. MartiU Feryendo los párrafos aegun*se van discutiendo, me parece qu^ esto es mfi- ñández de Navarrete, D. Ramón Gil de ia Cuadre, D. Manuel José Quintaw, D. José García teon y Pkarro, D. Gaspar Vigodet, marques de Espe C&gt;ent&lt;JEJ Sr, VicefresiJente:~^Ya no puedo prescindir é^ observar el regla ta, í). Antonio Martínez, marques de Montealegre, conde de, Montijo, conde mento, ni de. que está eo prictica el leer siempre el provecto det Gobierno y &amp; Ckv…</t>
  </si>
  <si>
    <t>Quintero, Félix</t>
  </si>
  <si>
    <t>Félix Quintero</t>
  </si>
  <si>
    <t>…misarios, los reyes de ar la sala capitular los señores alcalde ordinario de segundo roto , D. José Gon mas, el escribano y las dos personas que conduzcan das monedas, r subido á zález Ferregur, presidente: regidores alférez Real D. Félix Quintero: fiel eje dicho tablado, romperá la voir-uno de los reyes de armas con la palabra de si cutor D. José Gabriel Almeyda, D. José María Lima, gentilhombre de Cá lencio que la repetirá por tres veces, y el otro la de vid por las mismas fres mara de S. M. con entrada» y síndico procurador general D. Jos…</t>
  </si>
  <si>
    <t>Quiroga, Salvador María</t>
  </si>
  <si>
    <t>Salvador María Quiroga</t>
  </si>
  <si>
    <t>…tros jóveoes se bagan semejantes á los que frecuentan las escuelas de Varona y 4 D. Ramón María FonSeca : en clase de alcaldes 4 Don de París, los cuales á cada revolución se hacen notar por su espíritu turbulen Juan de Serilla,4 D. Salvador María Quiroga, que lo son de la to, anárquico y antirclígioso! misma, 4 D. Agustín Alcaide, 4 D. Manuel' Alvarado y 4 D. Leo E&lt; arzobispo de Cantorbery habla con energía contra la adopción del bilí. £1 lord canciller ¿pova la segunda lectura del bilí, diciendo.que po tienenardo Gil de la Cue6ta; y para- fiscales…</t>
  </si>
  <si>
    <t>Quirós, Carlos</t>
  </si>
  <si>
    <t>Carlos Quirós</t>
  </si>
  <si>
    <t>…oco rato se me dijo por un sar batallón del primer regimiento de granaderos de Ja guardia Real de infantería, gento de confianza haber oido un fuerte tiroteo sobre aquel punto; confiado yo mandados por el alférez del mismo cuerpo D. Carlos Quirós; igual número en que fugitivos de mí habían caído sobre algunas de nuestras columnas, y por del de infantería de la Princesa, mandados por su capitán D. buenaventura consiguiente era su total exterminio, á pesar de llevar 9 leguas la valiente tropa Aloy y 30 caballos del regimiento del Rey l.° de l…</t>
  </si>
  <si>
    <t>Quirósé, D Mariano</t>
  </si>
  <si>
    <t>D Mariano Quirósé</t>
  </si>
  <si>
    <t>…pérKfió-de desfrutetoit/sé separaron. Aludi- - Tengo en Oombrar mayor subsecretario dé la-secretaría de E*-' /tnos í lord i»tanIéy'y;á s¡r J.G|rah»ritf hónibrcs solicitó* sn jsrompver la Causa; fado- y déí Despacho d»la Guerra-al brigadier D&lt; Mariano Quirósé dé Iñ reforní'a ¡rhotnbres1 qliehxrt datto por garantfirijg sirieerutul de sus prin oficial ntafor de la-auisnia, en consideración á su mérito; servicios y. cipio»; jjombini/coyo aáctp y¡ experiencia en la escuela peástichá* 1* ppiítka, circuMtaxKÍa*.Tandré**k&gt; entendido^ y lo comunicareis á quien…</t>
  </si>
  <si>
    <t>Quiroz</t>
  </si>
  <si>
    <t>…do claro , el objeto" dé su viagei El coche llegó al Callao, muy cerca de lanoche. El presidente mandó eñ «Lmo- ' ' BAV1BXA. mento que formasen '•las tropas que había en la plaza. Entre tanto llegaron el Munich 17 de Octubre. Sr. Coronel Quiroz, el mayor González y el capitán Varia. El segundo fue pdestpj&amp;'ii^bá^n.-JE^iui^^li.ltttcero'éB una-pwjpia^del Cuzcp que Se espera de un dia á otro á 8. M. la Raina iSeiiutíite de X^eruse^rattep- ¡chalaba en la plaza , en lugar djcl capitán prisancho que te mandaba, yjoue de se trasladó ayer S. A. e…</t>
  </si>
  <si>
    <t>…se podía faltar. El gobierno estaba-con ¡resolvió expeditionar donde conviniese. Mandó * mía columna á la provincia vencido de que debe ser el primero en dar ejemplo de fidelidad en el cumplí- ' Ué Chancay á las órdenes del señor coronel Quiroz, la que atacó y derrotó á miento de sus compromisos. Nada le importaba que los abonos hubiesen sido wmpanfa'del batallón Ayacucho, que venia de Huaraz con 104 plazas, dados por otra administración, pues sabia que no son las personas que están al tomándole.muchos prisioneros y todos los bagajes, sin…</t>
  </si>
  <si>
    <t>Quiroz, Coronel</t>
  </si>
  <si>
    <t>Coronel Quiroz</t>
  </si>
  <si>
    <t>…n módo claro , el objeto" dé su viagei El coche llegó al Callao, muy cerca de lanoche. El presidente mandó eñ «Lmo- ' ' BAV1BXA. mento que formasen '•las tropas que había en la plaza. Entre tanto llegaron el Munich 17 de Octubre. Sr. Coronel Quiroz, el mayor González y el capitán Varia. El segundo fue pdestpj&amp;'ii^bá^n.-JE^iui^^li.ltttcero'éB una-pwjpia^del Cuzcp que Se espera de un dia á otro á 8. M. la Raina iSeiiutíite de X^eruse^rattep- ¡chalaba en la plaza , en lugar djcl capitán prisancho que te mandaba, yjoue de se trasladó ayer S. A. e…</t>
  </si>
  <si>
    <t>Quisiera, Flortz Estrpdai</t>
  </si>
  <si>
    <t>Flortz Estrpdai Quisiera</t>
  </si>
  <si>
    <t>…sión del Estamento tres resolu Se leyó nuevamente el dictámen de la comisión á petición de unSr. Pro* ciones que en substancia son las siguientes: curador. f-J Que si la absoluta escasez del Sr. marques de Monsalud nó íe priva de Sr. Flortz Estrpdai «Quisiera que"la comisión dijese i qué reglas se ha la renta exigida por el Estatuto Reai, no es suficiente causa para que se le ■tenido para dar su djet^men y admitir ó no las excusas; pues me parece que exonere del cargo de Procurador, y asi se le haga entender. lo mejor seria nombrar Una comisión qup esta…</t>
  </si>
  <si>
    <t>Quisiera, Lope</t>
  </si>
  <si>
    <t>Lope Quisiera</t>
  </si>
  <si>
    <t>…ní mercedes para excitarle 4 morir en defensa de su Retna y de su «Todos los españoles estamos convencidos de las buenas prendas que ador patria. nan 4 los actuales secretarios del Despacho, y de consiguiente estamos persuadi El Sr. Lope*\ Quisiera ciertamente que cuanto acaban de decir el Sr. mi dos de que tienen esta tolerancia de muy buena fe; pero en sus sucesores podrá nistro de la Guerra y el Sr. preopinante se hubiera copiado exactamente por no haber esta confianza.” los taquígrafos. Todo cuanto puede emplear el lengúagc y sugerir U im…</t>
  </si>
  <si>
    <t>Quizá, Alcalá Galianoi</t>
  </si>
  <si>
    <t>Alcalá Galianoi Quizá</t>
  </si>
  <si>
    <t>…n los término» en que mente á ios grados superiores por antigüedad sin permitirse la elección de la habia manifestado anteriormente podría redactarse. manera que la comisión la ha propuesto después. Sin embarco de esto, en vir El Sr. Alcalá Galianoi «Quizá será abusar demasiado; pero necesitaría tud de las reflexiones que se han hecho y del de&gt;eo de adoptsr un termino me hacer una nueva pregunta al Sr. Secretario del De.-pacho, á la que no exijo que dio, se ha propuesto ya un método conciliatorio de todos los estremos. me conteste si S. S. no lo ctec…</t>
  </si>
  <si>
    <t>Qulotana, Manuel José</t>
  </si>
  <si>
    <t>Manuel José Qulotana</t>
  </si>
  <si>
    <t>…era; Párvulos de de ia apaíínté, por D. Mariano Orilla: un tomo eo 8.° mayor, Se bau.ará eh la líbre-' Dias. Varones. Hembras. ambos sexos. Total. ría de fladz A 14 rs. en pasta y ia eb rústica. —Vida* de españoles e*lebrtr.y por D. Manuel José Qulotana , tomo 34o que cootte-v , 5 de Marzo... &lt;5 8 4 18. o'bispone las dede Cfilapa^yD.f jívaroprotectorde Luna,defos.condestableIndios, deilustradasCastillacony Fr.diferentesBartolomé.dedocumentoslas Casas,-au 6 ¿d.................. 4 9 1 14. ténticas del tleihpd, y adornadas con los retratos de uno y o…</t>
  </si>
  <si>
    <t>Qunitáfíá</t>
  </si>
  <si>
    <t>…resultó no, hvJ3er elección en ¿1 primer escrutiniopqr haberse distribuido los votos del modo sjguiente: Jsl. Sr. duque toñenn dtl'l^s réform^s .s^mapiirés. y r^tiú^ídolé-sú anti¿ua jíbeftad 'p6líticá; y dé Veraguás'reumó 28; el Sr. Qunitáfíá 15; el Sh'NaráVtétc 8; el ,’SfJ Alvarez mirando este‘sin duda' cómo el don mas precioso de su' aú¿tista fiiinó, domo el Guerra 3; cí Sr; cotiHc dé Mdiitérron 2; el Sr. Ktifg6s: i; el Sr.’ bífertSiez 1; objetp.jmas caro dc^su^ matejpal jCpraaJi^ ha jVolado V. ~M. désdjíííancjo pelP- él’ Sr. conde de…</t>
  </si>
  <si>
    <t>R, M C y</t>
  </si>
  <si>
    <t>M C y R</t>
  </si>
  <si>
    <t>…20 ficientemente conocidas, para que se creyese obligado á contestar a un ataque D. Rafael Martínez Arvia................................................. bajo y cobarde, solo digno del mas alto desprecio. Desde el gran número de Doña M. C. y R........................................................ .......................... 200 derrotas que ha experimentado el partido tory, tanto en el sistema de politice Un sugeto que no quiso dar el nombre........................................... IOuO exterior como domestica, debió contarse con que se aumentaría su furia en Los Excmos. Sres.- condes de C…</t>
  </si>
  <si>
    <t>R, María y de A</t>
  </si>
  <si>
    <t>María y de A R</t>
  </si>
  <si>
    <t>…I A. Í«- i¿5L=JBÍ- conde de Toreno.=Sres. directores de RerliS 22 Je Setiembre. *» Rentas, &lt;::Scgun las noticias recibidas de Kocntgsberg, S. MJ la Emperatriz de Ru HIÑISTERIO DE ¿O INTERIOR. sia , acompañada de S.. A. I. la gran Duquesa María y de $. A. R. el Príncipe Guillermo, hijo del Rev, llegará hoy 2*2 á Tapiau, viniendo á Berlín; los au Real orden. gustos viajantes pasarán ía noche en aquel púeoio, y continuarán su camino por K.oenig$ber§ sin detenerse en ninguna parte, debiendo llegar á esta capital Elcottsul Üé S. M. en Liorna con fecha de S…</t>
  </si>
  <si>
    <t>R, Maximiliano y de S.A</t>
  </si>
  <si>
    <t>Maximiliano y de S.A R</t>
  </si>
  <si>
    <t>…el Rey de Baviera, ba entregado al Rey en de que le ha presentado un modélico de yeso M. Fournel. audiencia particular, jas cartas en que anpel. Je participa el nacimiento de la princesa Carolina Teresa Helena, hija de SÍ, A, el duque Maximiliano y de S.A. R. la princesa,Luisa de Baviera., , Inmediatamente después el caballero de Abreu y Lima, enviado extraordi nario y ministro plépipotenciario deS. M.la Reina de Portugal, ha presen ESPAÑA. tado aj Rey l^s cartas que le acreditan en calidad de tal cerca de S. M. el Rey de Jos franceses El caballero de Lima…</t>
  </si>
  <si>
    <t>R-ampc</t>
  </si>
  <si>
    <t>…dancia Arroyo por los montes, que inútilmente le habia seguido hasta V¡- de carabineros, es digno de elogio por su buen porte. El capitán llafria, y respecto á que sin detenerse en este pueblo continuó por de cazadores de Segovia D. R-ampc; Qqjhí y sus subalternos los te el monte de Arcena, determinaba pernoctar alli, y que los caza nientes D. José Miera y D. N i colas Mendora; el sargento l.° Don dores de Laredo y destacamento de caballería del 5.a de ligeros si Ignacio de la Infanta, el cabo í-°Rattítín Rodríguez, y el cazador guie…</t>
  </si>
  <si>
    <t>R-icfa, D José</t>
  </si>
  <si>
    <t>D José R-icfa</t>
  </si>
  <si>
    <t>…rtagena se componen los- encañados de las fuentes, y se' trumental para la guitarra, trabaja sin fnrerrupcíotr en la limpieza de las ciudad por disposición -—Se cita i todas las persona», corporaciones, establecí mtedfoj y de del gobernador D. José R-icfa. más que puedan tener derecho á varias cantidades en dinero electivo, depositadas en el Banco espafiot de 3, Fernando, procedentes del con Se han separador los alcalde de Espínardo y Efenioí, lo que ha curso dé IÍ. FablO Antonio TafsiS, f qfle ascienden t la caírtidad de producido muy bueno» efectos…</t>
  </si>
  <si>
    <t>R-icfa, José</t>
  </si>
  <si>
    <t>José R-icfa</t>
  </si>
  <si>
    <t>…componen los- encañados de las fuentes, y se' trumental para la guitarra, trabaja sin fnrerrupcíotr en la limpieza de las ciudad por disposición -—Se cita i todas las persona», corporaciones, establecí mtedfoj y de del gobernador D. José R-icfa. más que puedan tener derecho á varias cantidades en dinero electivo, depositadas en el Banco espafiot de 3, Fernando, procedentes del con Se han separador los alcalde de Espínardo y Efenioí, lo que ha curso dé IÍ. FablO Antonio TafsiS, f qfle ascienden t la caírtidad de producido muy bueno» efectos…</t>
  </si>
  <si>
    <t>Ra, Antonio</t>
  </si>
  <si>
    <t>Antonio Ra</t>
  </si>
  <si>
    <t>…ombrar en el reino de Lisboa 9 dt Agosto. Galicia, para la vara de Arzua á D. Ramón Biaza: para la de Cor- Por Real órden del 6 de este mes se prohíbe i los empleados ejercer sos cuhion á D. Florentino Fraile: para la de Alaniz á D. Antonio Ra destinos sin haber recibido el competente diploma para obviar el abuso que món Folgueira: para la del Ferrol á D. José Velazquez Queipo de había de instalarse los empleados con solo la publicación desús nombramientos Llano; y para la de Cañiza á D. Antonio Arias y Quiroga. También en la Gaceta. se…</t>
  </si>
  <si>
    <t>Ra, José Sánchez y D</t>
  </si>
  <si>
    <t>José Sánchez y D Ra</t>
  </si>
  <si>
    <t>…ación de una matrícula general, mínguez y D. Juan Pardo y Silva;'en geografía elemental D. Pablo Carcafio, de que carecía esta provincia, para de este modo lograr todos los ma&gt;ores pro D. Andrés de Castro , D. Robustiano Pequeño, D. José Sánchez y D Ra ductos de este ramo, su mejor manejo y administración. Las dos subdelegacio món Tajoncra;-en trigonometría plana D. Angel Hernández, D. Miguel nes que había en esta establecidas en Ay amonte y dracena han quedado las Rúa , D. Francisco Villamil, D. Gervasio Araujo, y dichos D. Pablo Carcamismas, co…</t>
  </si>
  <si>
    <t>Rabee</t>
  </si>
  <si>
    <t>…ia Ñueva-Grauna nueva prueba de mi Real aprecio, he tenido á bien decretar, en nad^.,SoyestadepruebaV. E.deconinterestodo porrespetosu dichamuy yatentoprosperidad-obediente servidor “Francheo #oi*i,bre de mi augusta Hija la Reina Doña Rabee ii, y después de de Paula Samandcrc= Al Excrno. Sr. presidente de la honorable Ornara del oido el dictamen de mi Consejo de Ministros: que en las vacantes Senado. que en lo sucesivo ocurran, asi en las secretarías, como en las de mas dependencias de ambos Estamentos, sean estos mismos los que j Sue…</t>
  </si>
  <si>
    <t>Rabel</t>
  </si>
  <si>
    <t>…arazosa so defensa de los legítimo» y xobcraoos derechos de la Reina nuestra Señora Doña bre el tráfico y circulación interior, ha tenido á bien mandar £. M. la Reina IsA&amp;EL U. I Gobernadora, en nombre de su anuda Hija la- Ki ina Doña Rabel n, que Estos son lo» sentimientos de este ayuntamiento y de todo este vecindario I D. Josef Benitez, consejero honorario del supremo de la Guerra, eri unión que tiene la dicha de ofrecer á los Reales pies del trono de vuestra excelsa Hija I con D. Cesáreo María Saenz, director de la Re.il compañía…</t>
  </si>
  <si>
    <t>…as incidencias que conduzcan á presentar este punto con toda la clartdaxi .necesaria ¡ se ha dignadq mandar que una comisión compuesta de D. Ramón da á V. M. al {Vente del gobierno durante La menor edad de su tiérdá Hija la Reina Doña Rabel , que había dé sucéderte. Corto efe el período qité ha corMartínez de Montaos, del consejo de S. Mí, su secretario honorario, gefe de la cqtpision de donaciones Reales y exentos; de D. Joaquín María de Ferrer, rido hasta ahora, y por desgracia no sin haberse experimentado sacudimientos y D. Rufino…</t>
  </si>
  <si>
    <t>…o el reino, y proporcionar los gastos de JutWQ,d#¡ 1834. p-A D. José María Queipo de Llano, conde de To- la Real Capilla al estado actual de sus rentas; lie venido, en nombre r«Os V V . • ) ■ de mi muy cara, y amada Hija la Reina Doña Rabel ii, en decretar lo siguiente: ¡ • Atendiendo á los servicios de D.' Agustín Rodríguez,al méri IV La Capilla Real se compondrá en lo sucesiva del pro-capellan mayor, patriarca de las Indias, 18 capellanes de hbnor, 6 salmistas,to que há contraído en é) empleo de director general dé Remas que sé haUa…</t>
  </si>
  <si>
    <t>Rabil</t>
  </si>
  <si>
    <t>…cendrada lealtad y los distinguidos servicios del marques tropas de tierra. (El Corresponsal de Mamburgo.) de lás Amarillas, teniente general de los Reales ejércitos, hatenido Vkusia. á bien elegirle, én nombre de mi augusta Hija Doña Rabil ii, para que ejerra la dignidad de Presidente del Estamento de Proceres du 1 Koeiugibcrg 24 de Agosto. rante la reunión actual dé las Cortes generales. Tendréislo entendi Se asegura que el feld-mariscal ruso, príncipe de Varsovia, llegará aquí do, y dispondréis lo necesario á su cumplimiento.^Está…</t>
  </si>
  <si>
    <t>Race, Luis</t>
  </si>
  <si>
    <t>Luis Race</t>
  </si>
  <si>
    <t>…ademas la ración de campaña, a excepción de la de pan, en la forma que cumbres, y viendo que el alcance se extendía demasiado ,■ mande marchar eh su se bace con los otros cuerpo». apoyo el batallón que me seguía , al mando de su comandante 1). Luis Race-</t>
  </si>
  <si>
    <t>Rada, Ensebio y IX Matías Anejo y</t>
  </si>
  <si>
    <t>Ensebio y IX Matías Anejo y Rada</t>
  </si>
  <si>
    <t>…8 y 10 del actual dice su gobernador civil que la enferme- yeron p. Bernardina, D. Diego y P. Juan de Rada y Almansa, y últimamente Don da4 reinante se difundía en aquella capital» y que desde el día 7 a! 8 del cor Felipe Artejo, D. Ensebio y IX Matías Anejo y Rada, vecinos que fueron de esta ciu riente habían fallecido 35 personas; y*62 desde el 9 al 1U , incluyendo en dicho dad y el ultimo de la de S. Fernando, re«pecro a (a cual se sigue expedienffede adjudlnúmero la poblacion, los hospitales, y los que hablan muerto de toda dase de deducirlocacion'al Real…</t>
  </si>
  <si>
    <t>Radetzlcy</t>
  </si>
  <si>
    <t>…e la mano generosa el fruto de sus larguezas. Conviene ser económico, pe el 6 hasta el 12 de Octubre, habiéndose reunido 609 hombres, bajo el mando ro sin ingratitud, sin mezquindad, sin injusticia: póngase coto á la ambición del general Radetzlcy, y mas de 1009 espectadores que asistieron á esta bri y al egoísmo, y habrá para todos y para todo. ¡Portugueses, el que nos dio llante fiesta militar. Ademas de varios oficiales ingleses, prusianos &gt; hannove- libertad, patria y la vida en sacrificio, dejó por legado á su inconsolable viu rianós, s…</t>
  </si>
  <si>
    <t>Radon, J-v-é</t>
  </si>
  <si>
    <t>J-v-é Radon</t>
  </si>
  <si>
    <t>…perfecta construcción de mismo, que deben proveerse por rigurosa oposición, que se verificará en Ma instrumentos astronómicos y físicos, dispuestos para la instrucción teórica de los aprendices del Real observatorio de Madrid ñor D. J-v-é Radon Dos tomos en con drid y en .Barcelona: que los ejercicios consistirán en dos actos públicos, que laminas, edición de 179^. á ?6 rs. rama y íí» pasta común. Tomos-sueltos. á 18 reales te tendráh en otros tantos d as distintos, reduciéndose el primero de aquellos á rama y 28 pasta común. Contiene el prim…</t>
  </si>
  <si>
    <t>Rafael</t>
  </si>
  <si>
    <t>…ér mino dé Fueollaoa , tasada cada fanega á 300 rs., que importan 1300. Las personas que quieran interesarse en dicha subasta podráo hacer sus proposiciones en la escri El mismo capitán general manifiesta que el mariscal de campo D. Rafael banía de la subdelegacion de rentas de aquel partido, doode se les Instruirá de las ale Flore, en comunicación de 3 del mes actual, Je dice haber impuesto la pe condiciones y dia que se señale para el remate. *&lt;—.Debiendo distribuirse entre los acreedores de justicia de la sisa del maravedí enna de…</t>
  </si>
  <si>
    <t>…ta negociación. El comandante general de Toledo traslada a! espitan general de Castilla la En cuanto abnegneiador por cuyas manos ha pagado, hace largo tiempo que Nueva el pirte que je da el a’.ferea de la Guardia Real provincial D. Rafael en la estimación de los hombreado estado se halla colocado á tal altura, qua Bastan desde Urda el dia 2i de Abril ultimo, quien habiendo bocho un reco nos dispensa do todo elogio suyo; no hocinos pues aquí otra cosa que consig nocimiento con la columna de su mando y las demas que se hallan empleada…</t>
  </si>
  <si>
    <t>…rselos seguir nuevamente. Ha Se abrió á las once, y leída el acta de la anterior, quedó aprobada. habido en el Estamento ya la condescendencia de que cuando los peticionarios Se mandaron pasar á la comisión de Poderes los del Sr. D. Rafael de han vanado la redacción de sus artículos, no han sido estos sujetos á nuevos —Rodas, electo Procurador por Málaga, acompañados de los competentes do trámites. Por lo tanto creo que no estamos en el caso de admitir la mocion de cumentos justificativos? —_____________ _______________ los Sres. Medran…</t>
  </si>
  <si>
    <t>…aba en Llodio para dirigirse también Inscripciones en el gran libro al 5 p. 100,00. sobre el mismo Castor y sobre Latorre. Títulos al portador del 5 p. 100 , 664, 67,66J , 6J£, [66¿, , | y 67 í varias ft. val. y fírme. Él general D. Rafael de llore remide un parte de! coronel Mazarredo, ma Inscripciones en el gran libro á 4 P* 100, 56$ al 4 d* Julio ó vol. Tirulos al portador del 4 p» 100, 58. í, 57 y f« 58J, 59, 58$, 4• i» # y 59 á va nifestando haber desalojado de, las alturas 'de Benazal y puesto en fuga el dií rias fs. vol. y firme:…</t>
  </si>
  <si>
    <t>Rafael, D</t>
  </si>
  <si>
    <t>D Rafael</t>
  </si>
  <si>
    <t>…hacérselos seguir nuevamente. Ha Se abrió á las once, y leída el acta de la anterior, quedó aprobada. habido en el Estamento ya la condescendencia de que cuando los peticionarios Se mandaron pasar á la comisión de Poderes los del Sr. D. Rafael de han vanado la redacción de sus artículos, no han sido estos sujetos á nuevos —Rodas, electo Procurador por Málaga, acompañados de los competentes do trámites. Por lo tanto creo que no estamos en el caso de admitir la mocion de cumentos justificativos? —_____________ _______________ los Sres. Medran…</t>
  </si>
  <si>
    <t>…umna estaba en Llodio para dirigirse también Inscripciones en el gran libro al 5 p. 100,00. sobre el mismo Castor y sobre Latorre. Títulos al portador del 5 p. 100 , 664, 67,66J , 6J£, [66¿, , | y 67 í varias ft. val. y fírme. Él general D. Rafael de llore remide un parte de! coronel Mazarredo, ma Inscripciones en el gran libro á 4 P* 100, 56$ al 4 d* Julio ó vol. Tirulos al portador del 4 p» 100, 58. í, 57 y f« 58J, 59, 58$, 4• i» # y 59 á va nifestando haber desalojado de, las alturas 'de Benazal y puesto en fuga el dií rias fs. vol. y firme:…</t>
  </si>
  <si>
    <t>RafaelOregorio</t>
  </si>
  <si>
    <t>…uantos arrepentidos dejasen las armas, á que la seducción ó acaso la violen - £i ayuntamiento'de Vejer de la Frontera, prendido por el cómhtomdo cia hubiese arrancado de sus hogares pacíficos? No hay provincia, no, hay ciu regio..D. RafaelOregorio de.Véléñá, oidor de la audiencia de Sevilla, ha ce dad, no hay-pueblo'donde quiera que se hayan hallado rebeldes, que no hayalebrado la proclamación de S. M- la Reina nuestra Señora en los días 76 y 27 probado estos rasgos de clemencia y mansedumbre, sin los cuales ¿cuántas viu del pasado cop todo…</t>
  </si>
  <si>
    <t>Rafo, Luis</t>
  </si>
  <si>
    <t>Luis Rafo</t>
  </si>
  <si>
    <t>…rontitud y habilidad: colocados entre dos gencia al disco plateado de la luna, o á un brillante metéoro, cuya obra fue fuegos señaló aquel el aborda ge, que efectuaron en dichos términos, y conclu hecha y dirigida por el afargado D. Luis Rafo. yó con marinar las presas y dar caza á los dispersos, que también fueron apre A los tres días se dió á los matriculados un baile en la misma casa, y coa sados. los mismos adornos, que fue muy lucido, y concluyó al amanecer. * Puestos pabellones españoles sobre los turcos, se dirigieron al fondeader…</t>
  </si>
  <si>
    <t>Ramburgo</t>
  </si>
  <si>
    <t>…l. CádJx, | bu Sevilla, par. les hacendados. ' Sayona, 00. Alicante,4 corto pla- Coruña,^ d. Valencia,.-id. Igual medida ha tomado para que se compongan las acequias de Torrela- Burdeos , 00. ao, i d, . Granada, á id» Zaragoza, 4 d. Ramburgo, 00. Barcelona, 4 os. fs., Malagaj id. ld*‘ Descuento de Ierras, paja , y sé deseque tina laguna de grande extensión en Gallocanta. Londres . i g0 días, .ih* . Santander, } b. á 4 P* ÍOO'al año. Otra ha sido desecada en Utebo, poniendo nuevas tierras en cultivo, y 37» a |. Bilbao, 4 d* Santiago, %…</t>
  </si>
  <si>
    <t>Rambutcau</t>
  </si>
  <si>
    <t>…te. A las cinco y media de la tarde llegó S. M. á caballa, del biU. acompañado dei duque de Orleans, del principe de Joinville, mariscal Gerard, El doqpt.de WcUington habla en el mismo sentido, y recuerda al pri M. Thlers, Lohau, conde Rambutcau, prefecto dri bena, y un hri-</t>
  </si>
  <si>
    <t>Ramcsn, José</t>
  </si>
  <si>
    <t>José Ramcsn</t>
  </si>
  <si>
    <t>…ción que consagre al mismo Partee recibidos en la secretaria de Estado y det Despacio Je Ja Guerra. tiempo de una manera solemne el reconocimiento que ba hecho S. M. el Rey El general en gefe del ejército de operaciones del Norte D. José Ramcsn de los franceses de la independencia de la república de Venezuela: Rodil, con fecha 6 desde su cuartel general en Logroño participa á este mi Considerando sin embaigoque la conclusión de este tratado no se podría ve rificar tm pronto como lojeclama el ínteres de los dos pjisca, y queriendo que nóte t 10 l…</t>
  </si>
  <si>
    <t>Rami</t>
  </si>
  <si>
    <t>…esta manifesta tólicos concedido en Granada en 15 de Mayo de 1492, cuatro meses y medio ción. Hasta la circunstancia de no haberse celebrado sesión alguna, porque después de su conquista , era una simple continuación del Voto de D. Rami no se ha presentado co*a particular que la exigiese, ha contribuido por des ro, confirmándolo á la manera que lo habían hecho otros Sres. Reyes antece gracia á prolongar mas el juicio que se haya querido formar de mí. Los que sores su y os, el Rey IX Pedro en las Córtcs de Valiadolid á 28 de Noviem…</t>
  </si>
  <si>
    <t>…iago,ciertamentedespuésno se la aboliciónSe dió detcuenta,Votoy deel SantiagoEstamentose quedóle colocóenterado,entre los:delseñoresnombramientoque aprobaban.hecho de haber presentado sus argumentos contra el Voto y el diploma de D. Rami por el Sr. Presidente de una diputación, á consecuencia de un oficio~del Señor ro , conociendo ¿1 mismo la consecuencia que se venia á los ojos en agravio de Secretario del Despacho de Estado, en que participaba hallarse ya en el nove los insignes y respetables prelados de aquella iglesia: luego se…</t>
  </si>
  <si>
    <t>Ramirei, Josef</t>
  </si>
  <si>
    <t>Josef Ramirei</t>
  </si>
  <si>
    <t>…brero.La fragata española Jgnaeia dará la vela del puerto de Cádiz para Manila d prin Íígá^eí despachar cadíi dia el mayor número posible de personas, na dispuesto cipios de Abril sin falta alguna , al mando de su capifao y dueño D. Josef Ramirei, . se clasifique en ÍA forma siguiente: teniente de fragata de la Real Armada: admite carga y pasajeros, para los cuales tie [8 Desde el dia l.° de Abril hasta el 14» ambos inclusive, se pagarán los cu ne excelentes comodidades en dos cámaras, Para tvarar de fletes se acudirá eo .esta corte a\ cita…</t>
  </si>
  <si>
    <t>Ramírez, Antonio</t>
  </si>
  <si>
    <t>Antonio Ramírez</t>
  </si>
  <si>
    <t>…ya puesto, el sol, y que nuestra ca qué una ¡compañía .de cazadores y-la mitad de la caballería con el valiente y ballería , en numeró de 20 hombres., se internaba temerariamente en el' bosque. actiVo guardia de la Real 'Persona D. Antonio Ramírez, y una partida de «La división regresó, pues, á esta villa á las nueve de la noche entregada flanqueadores con su ^trépido ayudante D. Francisco Morlones para recono al justo júbilo con que la tropa celebraba su victoria, aclamando ios objetos cer el flanco izquierdo, siguiendo yo con las dos compa…</t>
  </si>
  <si>
    <t>Ramírez, D Martin</t>
  </si>
  <si>
    <t>D Martin Ramírez</t>
  </si>
  <si>
    <t>…sto de Los buques por cuatro meses. Las tropas que el ayudante dcL mismo cuerpo D. Manuél Ciudad de la Hoz, y el alférez det Se bailan ¿ bordo, que ascienden á ISOQ hombres, desembarcan todos los dias regimiento de Caballería del Rey D. Martin Ramírez, quien nq pudiendo to para ejercitarse en las maniobras. Nada se trasluce respecto de los navios de mar parte por lo escabroso del terreno, aprovechó un pequeño llano que había guerra ingleses que están en las cercanías de los Dardanelos; sin embargo, en la falda de la montaña, é impidió que las gu…</t>
  </si>
  <si>
    <t>Ramírez, D Martín</t>
  </si>
  <si>
    <t>D Martín Ramírez</t>
  </si>
  <si>
    <t>…eral de. las provincias Vascongadas con fecha de 30 en el valle llamado las Muelas, y al momento dispuse que el alférez del regi de Noviembre manifiesta, que habia llegado á aquel punto el general Esparte miento de caballería del Rey, D. Martín Ramírez, se encargase de la van ro, con tres compañías, siguiendo el brigadier Iriarte la persecución de las guardia compuesta de 4 soldados de su regimiento, 11 lanceros y un ordenanza facciones de Castor, Sopeiana é Ibarrolilla, que llevaba por delante huyendo del regimiento de Borbon; y que ei teniente…</t>
  </si>
  <si>
    <t>Ramírez, Jesé</t>
  </si>
  <si>
    <t>Jesé Ramírez</t>
  </si>
  <si>
    <t>…yecto deberá ser primero, examinado por la : iBremo. Sr.: Enterada S. M* la Reina Gobernadora de-¡una ins-- dimisión enc4rgad?de lós traba yis relatryoj á ellas, así como por la Cítntná|t iéO*" ls ..................... ‘tamñande -D. Jesé Ramírez; ^taefie^y earpitan de la fragata "Ignacio^ lós ingresos de aduanas,y el tribuna! «fecomeruo alo á la sanciondél Rey. (Dúérie'i&amp;io/ OebotTJ.Jsolicitando permiso, para hacer expediciones directas desde cual-^ 1 nVlflilTilafWlfoit¡' &lt;lk FitWwva ^íJITtl4t\'í«nó V'tfinA vrSpen * «atlM1 dtttnáriñ tV\r\_…</t>
  </si>
  <si>
    <t>Ramírez, Juan</t>
  </si>
  <si>
    <t>Juan Ramírez</t>
  </si>
  <si>
    <t>…cual alegaba varias causas que le de tener fundamento para dar el dictámen que ha dado , y mas cuando hay una impedían desempeñar esté encargo, y pedia su exoneración: otra del licencia diferencia tan notable como de 4 años.” do D. Juan Ramírez, reclamando contra la eleccionque ha recaído en el El Sr. Caballero: «El Sr. Medrano acaba de indicar que tenia 25 años Dr. p. Prudencio Chavarría para Procurador de la provincia de la Habana, el Sr. Calderón cuando se recibió de abogado. No quisiera equivocarme , pero en virtud de las ilegalidades…</t>
  </si>
  <si>
    <t>…omo igualmente los docu para que el tribunal forme una sumaria contra Echevarría. ¿Podrá dudar el se mentos de su aptitud legal. ñor Ochoa que este se halla procesado criminalmente? Para esto no hay*nece Se leyó una exposición de D. Juan Ramírez, abogado de los Realea sidad de embargo de bienes. Lo dicho me parece que es bastante para desvane Consejos, sobre la elección de D. Prudencio Echevarría y Ogaban para Procu cer las dudas del Sr. Ochoa.” rador por Santiago de Cuba; la que después de haber preguntado el Sr. Medra- El Sr. conde de la…</t>
  </si>
  <si>
    <t>Ramírez, Martin</t>
  </si>
  <si>
    <t>Martin Ramírez</t>
  </si>
  <si>
    <t>…de Los buques por cuatro meses. Las tropas que el ayudante dcL mismo cuerpo D. Manuél Ciudad de la Hoz, y el alférez det Se bailan ¿ bordo, que ascienden á ISOQ hombres, desembarcan todos los dias regimiento de Caballería del Rey D. Martin Ramírez, quien nq pudiendo to para ejercitarse en las maniobras. Nada se trasluce respecto de los navios de mar parte por lo escabroso del terreno, aprovechó un pequeño llano que había guerra ingleses que están en las cercanías de los Dardanelos; sin embargo, en la falda de la montaña, é impidió que las gu…</t>
  </si>
  <si>
    <t>…si existe otra de carbón de piedra en Puerto Real. tengo el honor de mandar, como la partida de caballería del Rey, l.° de línea Ha procurado reformar en lo posible la organización de los ayuntamientos al mando de su subteniente D.'Martin Ramírez, han rivalizado en valor y de entre tanto que se publica la ley relativa á este objeto. cisión en esta gloriosa jornada. Dios &amp;c. Mas de las Matas á la una del dia 29 Se propone remediar con eficacia algunos males que nota en el ramo de ins de Abril dé 1834-ccExcmo. Sr.=El coronel del regimiento pr…</t>
  </si>
  <si>
    <t>Ramírez, Martín</t>
  </si>
  <si>
    <t>Martín Ramírez</t>
  </si>
  <si>
    <t>…de. las provincias Vascongadas con fecha de 30 en el valle llamado las Muelas, y al momento dispuse que el alférez del regi de Noviembre manifiesta, que habia llegado á aquel punto el general Esparte miento de caballería del Rey, D. Martín Ramírez, se encargase de la van ro, con tres compañías, siguiendo el brigadier Iriarte la persecución de las guardia compuesta de 4 soldados de su regimiento, 11 lanceros y un ordenanza facciones de Castor, Sopeiana é Ibarrolilla, que llevaba por delante huyendo del regimiento de Borbon; y que ei teniente…</t>
  </si>
  <si>
    <t>Ramírez, P Jceé</t>
  </si>
  <si>
    <t>P Jceé Ramírez</t>
  </si>
  <si>
    <t>…Sra. condesa de VitlamarcieX* viuda de Bornos y do. aééúéii Díaz Enfermos. Curados. Fallecidas. Murlllo* se cita i todoaaos acreedores del Eterno. Sr. 1&gt;. Joaquín Ramírez de Aíro* coóde qbe fue de Bornos y de MuríUo, y padre det Sr. P. Jceé Ramírez dé Aro, ma rido que fue de dicha Scftora. y último conde de los mismot títulosi'y á rot t^rederoa’ 8j 9 Setiembre, 62 12 y «U«ecaesLÍF Ips defechos de los que hayan fallecido * par» que é^e£pvecfeo térsala#. de dos mese* K&gt;ntadoi desde la públicación de este enuncio* sé presenten ^ fi ó porVegas'dé…</t>
  </si>
  <si>
    <t>Ramiro</t>
  </si>
  <si>
    <t>…chas discusiones, de que ademas algunos señores hablaron en pro santos; el ejemplo de varios Reyes sus progenitores, que especialmente se leía y en contra, ó que después de otras ligeras contestaciones entre varios señores, el de D. Ramiro , Rey de León ; el particular benéfico que habían recibido les cuyos nombres se expresan, como sucedí cabalmente en esta misma sesión, se mismos Reves Católicos por la protección del Apóstol Santiago en la conquista declaraba el punto suficientemente discutido. \ Pero cuál ha sido mi sorpresa aí de…</t>
  </si>
  <si>
    <t>…ón por espacio Búrgos. de 700 años. A lo cual solo añadiré , ,y todo en comprobación de Ja justicia De otro del Sr. Secretario del Despacho de Gracia y Justicia, remitien del art. 2.°, que las repetidas confirmaciones del Voto de D. Ramiro no son do certificación del Prior de la santa iglesia catedral de Pamplona, que acre únicamente de este, cuyo origen y motivo es objeto de las disputas, sino tam dita haber prestado en sus manos el juramento prescrito, como Prócer del bién por los beneficios recibidos posteriormente mediante la int…</t>
  </si>
  <si>
    <t>…la adopción del primer artículo , base fundamental del proyecto, bemos lo que fue el Voto en su origen; ¿Sífo con respecto al modo con que que ha cesado el objeto de una buena parte del ingreso de las prestaciones, por lo otorgó D. Ramiro, no podemos decir lo mismo, y mucho menos del Rey la falta de Los peregrinos que viniendo ajiles á millares, han desaparecido aho Católico que estaba en la inteligencia que el Voto era verdadero, y muy justo ra casi en su totalidad. el objeto á que se consagraba. D. Ramiro nada dice del reconocimie…</t>
  </si>
  <si>
    <t>…llas que los españo agrícola , es injusto por tu origen, por su objeto y por la manera de exigirlo. les pagaban á Abderramen u, Roy moro de Córdoba. Falso es este tributo, k* «El origen del Voto es apócrifo y falso, porque el Rey D. Ramiro, á “"mismo que U supuesta carta ó privilegio que se supone escríta cerca de Cala quien se atribuye infundadamente su creación , no estableció semejante contri horra por el mismo Rey Ramiro después de la supuesta batalla de Clavito; bución. Bastaría observar, para probar la falsedad del origen del v…</t>
  </si>
  <si>
    <t>…os escritores ¿n el mismo estado que el tribunal de la inquisición, que quedó de hecho coetáneos e» tttts prueba de su falsedad; la Fecha dél privilegio es en Calahor abolido. ra^ y «uestros tneforés historiaifores afirman que el Rey Ramiro no empezó El Sr. Serrano (D Ginft): «Abundando en todas las ideas filantrópicas de á reinar testa algunos áfiós después dé lá concesión dél privilegio, porque en los señores preopinantes á favor de los pueblos, voy solo á manifestar la equi ésta época trinaba Alonso llamado el Casto. En lás firmas…</t>
  </si>
  <si>
    <t>Ramiro, D</t>
  </si>
  <si>
    <t>D Ramiro</t>
  </si>
  <si>
    <t>…oncellas que los españo agrícola , es injusto por tu origen, por su objeto y por la manera de exigirlo. les pagaban á Abderramen u, Roy moro de Córdoba. Falso es este tributo, k* «El origen del Voto es apócrifo y falso, porque el Rey D. Ramiro, á “"mismo que U supuesta carta ó privilegio que se supone escríta cerca de Cala quien se atribuye infundadamente su creación , no estableció semejante contri horra por el mismo Rey Ramiro después de la supuesta batalla de Clavito; bución. Bastaría observar, para probar la falsedad del origen del v…</t>
  </si>
  <si>
    <t>Ramiro, O</t>
  </si>
  <si>
    <t>O Ramiro</t>
  </si>
  <si>
    <t>…tenciones no menos recomendables. Partiendo de estos principios , el Gobierno propone á la deliberación de Sin embargo de que el diploma, comprensivo de la promesa que se dice las Córtes el siguiente proyecto de ley. hecha por el Rey O. Ramiro en la era de 872, no se limito a Lis provincias Artículo Primero. Quedan abolidas, desde el día en que se publique como reconquistadas á la sazón , sino que es extensivo á las que lo fuesen con el tiem ley ei presente proyecto, las prestaciones de pan y vino, conocidas con el po, no tuvo cumplimien…</t>
  </si>
  <si>
    <t>Ramo, Lorenzo</t>
  </si>
  <si>
    <t>Lorenzo Ramo</t>
  </si>
  <si>
    <t>…interventores, en unión con los jxvseedores de las ral de los Reales ejércitos, é individuo del Consejo Real; D. José casas intervenidas, convocarán á todos los acreedores para celebrar García de León y Pizarro, del Consejo Real; D. Lorenzo Ramo de junta general, en el dia v sitio que señalará al electo el juez inter S. Blas, obispo de Huesca; D. Ramón López Pelegrin, decano de ventor con la posible brevedad. la sección de Grauta y Justicia del t,/insejo Real; D. Juan Alvarez O1 Los interventores presentarán á la junta un estado exacto y Guer…</t>
  </si>
  <si>
    <t>Ramón</t>
  </si>
  <si>
    <t>…y Solanot, Araneste punto! Ninguna; y tomadas ¡sus expresiones en su sentido rigoroso, serian &lt;Ja, Palees, Serrano (D. Francisco), Diez González, Fernandez Blanco, Man peligrosas y nocivas. ✓ tilla, Monte virgen , Fleix, Ciscar (D. Ramón), Bucesta, Someruelos, Miran ,,El Estamento lo que hace es como brazo del cuerpo legislativo, y de da y Olmedilla, Moscoso y Altamira, Vega y Rfio, Calderón de Ja Barca, consuno con el.otro Estamento, ejercer el derecho que han ejercido siempre las Fontagud Gargollo, Gándara, Martel, Jaramillo , Ca…</t>
  </si>
  <si>
    <t>…ad que propone el Gobierno, encuentro ques de Falces, Serrano (D- Francisco), Acuña, Diez González, Blanco, -que tiene casi todos los inconvenientes que han notado lqs señores que me han Mantilla, marques de Montevírgen , Ciscar (D. Ramón), Buccita , marques de precedido en la palabra, .y ademas el de que admitiéndola como el Gobierno -Someruelos;-Oimedilla, Mostoso, Vega, Ca.lderon de la Barca, Gargollo, ¡o propone en su proyecto, nos encontraríamos con dos fuerzas expuestas á -marques de la Gándara, Mattel, Paez, Carrillo Albornoz…</t>
  </si>
  <si>
    <t>…ucir las naciones, debe conocer ¡os hombres , y prevenir ó apro de sus respectivos destinos á D. Celestino González Azpilcueta/corregidor de vechar sus disposiciones individuales. Es un principio de la mas severa moral Alcaráz; a D. Ramón i'ejeiro, alcaide mayor de la Coruña ; a D. Pedro Tor que á nadie sé puede hacer cargos porque niegue obediencia á preceptos que recilla Hidalgo, alcalde mayor de Jerez de los Caballeros; a D. José Fer su conciencia no tiene por legítimos, y á la que jamás dió expreso asenso: nandez Míluego, alcald…</t>
  </si>
  <si>
    <t>…petrificadas. 1 ^ ría de Razóla, y en Valladolid en la dé Pastor. comercio de esta Dofia Üriona- solicitud,de Real tnbunal.de Petrz plaza , á -—-El Entre las inscripciones que cubren las paredes de varias galerías de la ca en de D. Ramón la casa goena, viuda quiebra á na declarado de giro que Castilla, verna, se cuentan los nombres del principe de Parma, dei duque de Alba, de llevó el mismo en esta corte* habiendo acordado que ninguna persona hága pagos ni Luis xiv , de Federico Enrique , de Voltaire, de J. B. Rousseau, del mariscal e…</t>
  </si>
  <si>
    <t>…r á esta un servicio eminente; poner un dique mugeres para devanar la seda de los capullos.” á los delitos y á la depravación de costumbres, y adquirir una corona de glo Las obras que hasta ahora han salido de la fecunda pluma de D. Ramón ria inmarcesible! de la Sagra , y en particular su excelente Historia económico política y esta La memoria que sobre esto ha publicado el Sr. de la Sagra está dividida dística de esta isla, le han valido ya una reputación europea, ó por mejor en cuatro puntos. En el primero, titulado: Noticia histó…</t>
  </si>
  <si>
    <t>…razoa.de, lp%po- clase dé ¿eométtía para "los alumnos que asisten a las escuelas nóriftaJes, esta I nKUr¿o5?conf^e cuestan en &lt;1 ptiéMp, «alen fuíra con pretexto de buscan blecidas en virtud dé Real orden. Desempeñará esta clase D. .Ramón ligarte ^fiaro y T« pKfSrán itidispéñiaWemthíe á que se ocupen en ¿I, dispóniondo los martes, jueves y sábados á la misma hora, alternando con lá explicación &lt;m‘«SO cóntratipWPWa 1ÓS, holgazanes la formaíion de causa, bajo el concepto de la, nueva división dej territorio español, por métodos nuevos…</t>
  </si>
  <si>
    <t>…jemplar en nuestra historia. Y «seria Alcalá Zamora, Cíceres, De Pedro, Calderón Col Un tes y Morales. conveniente á la política, seria obrar conforme á los 'principios de rectitud, te Agregados á la de lo Interior: Sres. Ciscar (D. Ramón) y Oriia do Vener siempre separados con una mancha, con un sambenito, á estos individuos lasco. por haber prestado su juramento á las leyes que existían, que regían y gober Agregados á la de Marina: los Sres. Gaíwey y Pu¡g. naban en la ¿poca del año 1820 al 23, ya hubiesen obtenido empleos nuevos,…</t>
  </si>
  <si>
    <t>…as con otros gobiernos, ya en los contratps y Pizarra, Heredia , Solanot, Acufia , Diez González, Blanco , Mantilla, mar suministros con los particulares, pudiera ser de utilidad yin ahorro mezquiqq, ques de Montevírgen . Ciscar (D. Ramón), marques de Somcruelos, Miranda, qué tan fácilmente podría compensarse. Por .esa razón el ilustrado conde de Car Becerra, Calderón de "la Barca, Fóqtagud , marques de la Gándara, León Ben- barráis llamaba á las economías hechas con. la casa Real ahorros mezquino/ -y dicho, Gáíávey, marqués rfé Esp…</t>
  </si>
  <si>
    <t>…ta el último empicado, Villamcna , Fcrrcr, Pizarro, Heredia , Santafé , SoUnot, marque*, de Falces, debemos sacrificar alguna parte de nuestros goces para asegurar el todo; á la ma Acuña, Blanco, marques de Montevírgen , Ciscar ( D. Ramón), Bucesta, nera que se nos dice á los propietarios, pues soy pTopicuno y empicado, que marques de Someruelos , Fontagud , marques de la Gándara, Pacz Jaramillo, para conservar el todo de nuestras propiedades leñemos que ceder alguna parte. Carrillo de Albornoz, GaUvey, marqoe» de Hspinardo, Ezpeier…</t>
  </si>
  <si>
    <t>…ia lu. de d&lt;m»s tm-^inarias Se han fomentado los arbolados, y D. Pedro Jiménez de Herrera ha Fe El mismo capitán general acompaña con igual fecha de 16 el parte que cho plantar 5»'o p es de morera y otros 1 4B arboles; igualmente D. Ramón le da el capitán D José Martin de Azcarue, comandante de la columna mó Gómez de la Torre ha formado un paseo adornando aquel sitio y ib» intnedix» vil establecida en Cervera , &amp;u fecha I I del actual desde Roñosa , en el cual tos con arbustos y Hores , y l2l'0 árboles. dice que estaba creído de que…</t>
  </si>
  <si>
    <t>…vos, con que la sabiduría del difunto Rey habla tomado de antemano para dejar coloca todas las incidencias que conduzcan á presentar este punto con toda la clartdaxi .necesaria ¡ se ha dignadq mandar que una comisión compuesta de D. Ramón da á V. M. al {Vente del gobierno durante La menor edad de su tiérdá Hija la Reina Doña Rabel , que había dé sucéderte. Corto efe el período qité ha corMartínez de Montaos, del consejo de S. Mí, su secretario honorario, gefe de la cqtpision de donaciones Reales y exentos; de D. Joaquín María de Ferrer…</t>
  </si>
  <si>
    <t>…ha sido de carabineros de costas y fronteras Don El coronel Carrera recomienda por los servicios contraídos eA Diego Alarte á que observase en la disposición que se hallaban los esta expedición al coronel comandante de Mondoñedo D. Ramón rebeldes en la posada, y viendo que ¿on müclio regocijo estaban •Pardiñas, ál sargento mayor D. José Vega, los comandantes dé comiendo, y con todas las armas hasta los. sables colgados en los seécion D. Domingo Vilela y D. Alonso Villaron, que con toa caballos, movido de su grande valor y adhesión…</t>
  </si>
  <si>
    <t>…ues muy distantes de dar un dictamen que nos obli neración : pasó i la comisión de Poderes. gase á votar favorablemente ia petición y nos coartase la libertar de contradecirla A la misma se mandaron pasar los poderes que presentó D. Ramón de y votar contra ella: por eso la comisión se limitó á decir que exinviene que se Llano y Chavarri, electo por la provincia de Barcelona. discuta en público. En cuanto á los individuos de las otras comisiones, creo que Se dió cuenta de la siguiente petición que ya había sido examinada por han sido del…</t>
  </si>
  <si>
    <t>…nas que se les unan con este objeto, tendrán puntos de contacto Los Sres. Crespo Tejada, Fonragud, Otazu , Domecq, Ferrer, Marques de con la formación de la Milicia; y cuando se arregle el sistema municipal, ga Artariz, y Ciscar (D. Ramón) fueron nombrados para componer la comisión nará mucho en ello aquella institución; pero no veo esa precisión que se supo de Consolidación, ó sea la cuarta de recaudación. ne, de que para organizar la Milicia urbana en todo el reino haya de fijarse de El Sr. Presidente-. "Con el fin de que las comi…</t>
  </si>
  <si>
    <t>Ramon'-Solís</t>
  </si>
  <si>
    <t>…s. Mañana pienso pasar á Medina de Pomar. facciosos; mas á poco ralo llegó el subteniente de los beneméritos Urbanos de la El rebelde Castor, enfurecido con la desaparición de su gavilla, y de vuel villa de Aguilar del Rio Albama D. Ramon'-Solís, que con el sargento Don ta de la reunión que han tenido los gefes facciosos en Guernica , apareció ayer León Miguel y 12 Urbanos traian un preso: nos dijo Solís que hibtendo teni con 15 ó 20 hombres hacia Baracaldo; dió fuego al puente colgante de Bru- do noticia de-esta partida en el camino, habí…</t>
  </si>
  <si>
    <t>Ramón, Alonso</t>
  </si>
  <si>
    <t>Alonso Ramón</t>
  </si>
  <si>
    <t>…o ó plata. Para las sumas mas considerablessueldo que les corresponda por clasificación á D. Gregorio Gemelo se expedirá un libramiento sobre la administración de minas, cuyo importe de Velasco, oidor de la expresada audiencia; á D. Alonso Ramón será pagado inmediatamente en S. Petersburgo. En ninguno de los do* caso» se Rubio; i D. Fermin Ladrón de Cegama; á D. Pedro de ]Nava; á hará deducción alguna por el trasporte y la conversan. {Boersen-Halle.) D. Félix Pablo Portal, alcaldes del crimen de la misma, y á D. An drés García Drena, juez…</t>
  </si>
  <si>
    <t>Ramón, Antonio</t>
  </si>
  <si>
    <t>Antonio Ramón</t>
  </si>
  <si>
    <t>…dose sobre el pueblo . de Araya, se informase de la posición del enemigo, que me constaba había perqoctado en él, aprovechando esta oportunidad para que el encargado de la co- ESTADO SANITARIO DEL REINO. ' misaría de-ata división D. Antonio Ramón realizase el suministro de ndossa. tanto de jaquel pueblo como de Albo»-y otros inmediato*. raOVtVCIA DB AUCAVTX. »Apena llegaba ta-columna al mando del teniente coronel D. Manuel Rodríguez S. Pedro al expresado pueblo de Araya, noté genta que salían do Con fecha 23 del corriente avisa tu gobernado…</t>
  </si>
  <si>
    <t>Ramón, José</t>
  </si>
  <si>
    <t>José Ramón</t>
  </si>
  <si>
    <t>…onde de - todo se desconfia , y piodoyar&gt; D. Manuel Bodega, D. Jacobo Parga, marques de Caballos, arzo en que hay momentos de consternación, momentos de peligro y de ansiedad bispo de Valencia, conde de Mollina, conde de Tamamcs, D. José Ramón que tanto importa prevenir; Tributo mi gratitud á los verdaderos amigos del Rodil, marques de dos Aguas, conde de Santa Ana, marques de Valleher- trono, de nuestra adorada Reika Gobernadora y de su inocente Hija, á quien moso, duque de Almenara, D. Evaristo Pérez de Castro, marques de Villa- deseo…</t>
  </si>
  <si>
    <t>….necesidad. La respuesta del gobier . ce lo que sigue: „llmo. y Eterno.Sr.: S. M. I. el’Duque de Bragan no francés niega categóricamente esta solicitud, lo mismo que hizo anterior za, Regente en nombre de la Reina, deseando dará D. José Ramón mente en. igual ocasión. Añade un corresponsal bien informado, que el gobier Rodil, teniente genebal de los Reales ejércitos de S. M. C., y co no francés ha declarado, «que continuará invariablemente en su sistema res mandante en gefe de las tropas españolas de operaciones en estos pecto de los neg…</t>
  </si>
  <si>
    <t>Ramón, Vicente</t>
  </si>
  <si>
    <t>Vicente Ramón</t>
  </si>
  <si>
    <t>…e la Inglaterra obsequiaba £ la Sequeros £ D. Lucas Fernandez de Mombelrrán; para la de Vitigudino £ Don Santa Alianza; se inclinaba ante los fuertes, y volvía Ta espalda á loj^débilcs; Felipe Puente; para la de Etttrxmbasaguas £ D. Vicente Ramón deCagigal; hacia la corte á los opresores, y no permitía £ los- oprimidos que recobrasen su1 para la de Brihuega £ D, Andrés Ruiz; para la déChinchillaá D, Jhsé Mar libertad; sufría que D. Miguel violase los. empeños-contraídos con nuestro go- tínez Bustamante-, pjtra lá de Piedrahita á'D. José Rem…</t>
  </si>
  <si>
    <t>RamónBétesta</t>
  </si>
  <si>
    <t>…declaración; ta per qvas de EákJe^ / Sérraho {€K.Fv»’ñcr&lt;oo)i, Diez CFoifrálév , Fernandez ¿tanco^ dería por recaer uní corden.ivion de pena cap tal , cottio traidon á sú Rev v s AlantilU, marques de Monievirgen , Fleix, Ciséar (D. RamónBétesta, «I pátfta. S¡n etnbanro, la pena nb pasaría á los hijos y descendientespues matqüc* dé Sói^eruelosí Miranda Olmédilta, MofcCosó &lt;fc Ahamira , Vega y rifa vez sa citarán ejemplos que se haya aplicado. Rio , Calderón de la- Barca, Oarsollo , marques de la Gándara , Martel, Paet «Cuando bajo de ette…</t>
  </si>
  <si>
    <t>RamoneL, Francisco</t>
  </si>
  <si>
    <t>Francisco RamoneL</t>
  </si>
  <si>
    <t>…ándola el hábil profesor D. Toribio Segura ca el superior conocimiento de V. E., cuya vida guarde Dios muchos años. con el violín, unas lindas variaciones en que hizo sobresaliente muestra de so Almagro 21 de Abril de l834~Excmo. Sr.=Francisco RamoneL.=Excclcnsingular habilidad en el bellísimo arte-de Ja música, acompañando también un tísimo Sr. primer Secretario de Estado y del Descacho. dúo del pirata, que cantaron muy bien las señoritas Doña María del Pilar Ace- "bal y Doña, Dolores St. Maxent, siguiendo otro dúo de instrumentos en que El capi…</t>
  </si>
  <si>
    <t>Ramonet, Francisco</t>
  </si>
  <si>
    <t>Francisco Ramonet</t>
  </si>
  <si>
    <t>…su relación íntima con la política de los Esta (Núm. 198.) „ dos, publicad» en Rusia por el barón de Jomini, y traducida en castellano . . ,. mandando que la reparación del puente de Orense corra á cargo del con algunas notas por D. Francisco Ramonet: obra que sirve de preliminar y ayuntamiento de la misma ciudad. (Id.) complemento á la anterior. Un tomo en 4 ° de 237 páginas, con dos láminas de figuras linea Ies-para explicar lo que son líneas de batalla y órdenes de ba talla, y lo que distingue á unas de otras. Su precio 17 rs. en rústica, 20…</t>
  </si>
  <si>
    <t>…Sagrado, para ministros militares á D. Gabriel MINISTERIO DE MARINA* Mendizabal y D. Pedro Baylin por el arma de infantería: á Don Francisco del Pino por la de artillería: á D. Manuel Pueyo por la Real orden. de ingenieros, ,y i D. Francisco Ramonet por la de caballería: S. M. la Reína Gobernadora se ha dignado conferir la ca para ministros togados á D. Joaquín Sistemes , D. Juan José De pitanía general del departamento de Cádiz al teniente general de licado y Diaz y D. Juan de la Dehesa: para fiscal militar á Don la Real armada D. Cayetano Va…</t>
  </si>
  <si>
    <t>Ramonet.t, Francisco</t>
  </si>
  <si>
    <t>Francisco Ramonet.t</t>
  </si>
  <si>
    <t>…de, Iqs aquel , los que inmediatamente que nos divisaron se dirigieron con que vengan reunidos. Dios guarde á V, E. muchos años. Almagro precipitación al monte de este pueblo, á los que perseguí rápida 36 de Abril de 1834- Excmo. Sr. Francisco Ramonet.t= Exce mente , y logré la aprehensión de siete prisioneros, un muerto, lentísimo Sr. primer Secretario de Estado y del Despacho. dos malos jacos, nueve fusiles, la mayor parte inútiles, una male ta con proclamas y papeles subversivos, habiéndose dispersado el El comandante de armas de Manzanares D.…</t>
  </si>
  <si>
    <t>Ramos</t>
  </si>
  <si>
    <t>…es á cosa de medía legua hicieron ción fue protegida como era debido, y tuvo el efecto que era de un movimiento retrógrado dirigiéndose ál rio Agueda por el vado esperar, habiendo caido en nuestro poder los efectos siguientes: de D. Ramos, el que pasaron al poner del sol. 15u9 cartuchos; 40 barriles de pólvora; 2 de piedras de chispa: En virtud del mencionado oficio pasé rápidamente á Sobradi ijn cajón de balas de cañón; 2 id. de fusil; un cajón con 89 panta llo , y como allí me informaron que se habían dirigido á Mata da lones pard…</t>
  </si>
  <si>
    <t>Ramos, Antonio</t>
  </si>
  <si>
    <t>Antonio Ramos</t>
  </si>
  <si>
    <t>…e residencia de Larangeiró (Rio-Janeiro) después de una larga enfermedad. El empleado en la plana mayor D. Antonio Sánchez Solis, y del capitán de Ur . capitán Roberto Taite, comandante del Esparciata, ba tomado el mando de banos D. Antonio Ramos, que dejando su cargo de comisario, contribuyó al la escuadra, como oficial de mayor grado, hasta la llegada de lordTownshend. buen éxito de la acción eficazmente.” La regencia del Brasil en una nota dirigida á Mr. H. I. Fox, enviado extraor *&gt; Habiendo observado por mi parte que en efecto se desco…</t>
  </si>
  <si>
    <t>Ramos, D José</t>
  </si>
  <si>
    <t>D José Ramos</t>
  </si>
  <si>
    <t>…o de 14 de Octubre. propone para este año este programa. «Elogio histórico de D. Cxa%&gt;ar Melchor de Jovellanos, y juicio crítico Pueblos. Din. Enfermos. Curados. Fallecido» de sus obras.** Los aspirantes remitirán sus memorias al secretario D. José Ramos, lo Ayuelas................ 8 á 10 Octubre. 49 10 1 mas tarde para el último dia de Febrero de,1835. Burgos.................. 12 ¿ 14 ídem... 25 3 3 Se hará juicio absoluto y comparativo de los escritos que se presenten. Castrojeriz.. ., 7 á 13 ídem.... 33 13 tí Será premiado el autor del que sobre…</t>
  </si>
  <si>
    <t>Ramos, D Pedro</t>
  </si>
  <si>
    <t>D Pedro Ramos</t>
  </si>
  <si>
    <t>…ron los Urbanos de Bsltafss'V está acabando en Falencia; los demas diseminados se han ocultado en los pueblos; , la actividad de las partidas que se destacaron en su persecución contribuyó £ ANUNCIOS. que no tomase incremento: el teniente D. Pedro Ramos de la compañía de seguridad, es el que ha tenido mas ocasión de contribuir á este feliz resultado. Obras que se hallan He venta en el despacho de la imprenta Real. Los demas sin embargo han cumplido con su deber. Dios &amp;c. Valladolid 14. Memoria sobre la pauíilla 6 cetonia vellosa que atacó los campos de…</t>
  </si>
  <si>
    <t>Ramos, Jiilian</t>
  </si>
  <si>
    <t>Jiilian Ramos</t>
  </si>
  <si>
    <t>…estino Saii^ beneficiado este tratado facilitará y apélefará la paip&amp;safen dé la Pfeínsuía., y st lascarantías mutuas autorizan Uña intervención :íCUva^ ó solamente .un apoyo tnóral^de Rublacedo de Arriba, arzobispado de-üárgos;á D. Jiilian Ramos, Por lo demas todos participan del dcáéÓ dé. ver teimuúld^i.iá guerra civil fcp.fe arcediaTiéíde Berga .enaSa tcaíedral do Urgéf, y á D. José Cabrera, Península. CG. de. JqgfJurjoS w i_¿„... . • ,¡ ...n henefieiador.'dte TortosardPértdréisío eéféndido. y dispondreis te ne-. ■ ■, rfALÍÁs ' ' ..cesar…</t>
  </si>
  <si>
    <t>Ramos, Joscf María</t>
  </si>
  <si>
    <t>Joscf María Ramos</t>
  </si>
  <si>
    <t>…nzo de Dios.=Migucl En et trono se han observado este año á derecha é izquierda del sillón del López. =:Simón Poyuelo= Francisco Hcrmida.= Luis Rodríguez y Garea.= Rey tres taburetes, el uno adornado con dobles bordaduras para el Príncipe Joscf María Ramos. = Ramón Oso rio. Real, y los otros dos para el Sr. duque de Nemours y el príncipe de Joínvitie, En poco tiempo se llenaron las tribunas de numerosos espectadores de uno PARTE NO OFICIAL. y otroA lasexo.una del día anunció el cañón de los Inválidos la salida de S. M. de NOTICIAS EXTRANGERAS. las Tul…</t>
  </si>
  <si>
    <t>Ramos, José</t>
  </si>
  <si>
    <t>José Ramos</t>
  </si>
  <si>
    <t>…que se dirá mas adelante. Esta ¡un ría, debiendo los que quieran aspirar de nuevo al premio ofrecido remitir sus ía, que me reservo presidir cuando pueda, se compondrá del corregidor de esta memorias al secretario de la academia D. José Ramos presbítero, habiendo de ] ciudad, como vicepresidente; de D. José Perez, regidor decano dd ilustre quedar en su poder para el último día de Agosto de este año. .ayuntamiento; de D. Juan Tejero, racionero de esta santa iglesia catedral; de Ó. Luis Arrabal, procurador del común; del procurador de la…</t>
  </si>
  <si>
    <t>…que se dirá mas adelante. Esta ¡un ría, debiendo los que quieran aspirar de nuevo al premio ofrecido remitir sus ía, que me reservo presidir cuando pueda, se compondrá del corregidor de esta memorias al secretario de la academia D. José Ramos presbítero, habiendo de ] ciudad, como vicepresidente; de D. José Perez, regidor decano dd ilustre quedar en su poder para el último dia de Agosto de este año. .ayuntamiento; de D. Juan Tejero, racionero de esta santa iglesia catedral; de Ó. Luis Arrabal, procurador del común; del procurador de la…</t>
  </si>
  <si>
    <t>…Octubre. propone para este año este programa. «Elogio histórico de D. Cxa%&gt;ar Melchor de Jovellanos, y juicio crítico Pueblos. Din. Enfermos. Curados. Fallecido» de sus obras.** Los aspirantes remitirán sus memorias al secretario D. José Ramos, lo Ayuelas................ 8 á 10 Octubre. 49 10 1 mas tarde para el último dia de Febrero de,1835. Burgos.................. 12 ¿ 14 ídem... 25 3 3 Se hará juicio absoluto y comparativo de los escritos que se presenten. Castrojeriz.. ., 7 á 13 ídem.... 33 13 tí Será premiado el autor del que sobre…</t>
  </si>
  <si>
    <t>Ramos, Pedro</t>
  </si>
  <si>
    <t>Pedro Ramos</t>
  </si>
  <si>
    <t>…=Excmo. Sr.=La te, Manuel Olartc Caballero-Subteniente, Félix Bastida y HernaedI=Ca- facción del rebelde Lucio Nieto fue dispersada ayer mañana por el capctan bo l.°, Eleuterio Angulo y Bazan.=Urbano., Luciano Bastida y Hcrnaed.= D. Pedro Ramos con los 30 infantes que manda y 11 caballos, unidos ¿2 de Urbano, Pablo Bujanda.” esta arma de la provincia de Palencia, que regresaron luego á su capital, pero cerciorada la facción del corto número de fuerzas que mandaba Ramos, sa $. M. ha oído con particular satisfacción los heróicos sentimiento…</t>
  </si>
  <si>
    <t>…rbanos de Bsltafss'V está acabando en Falencia; los demas diseminados se han ocultado en los pueblos; , la actividad de las partidas que se destacaron en su persecución contribuyó £ ANUNCIOS. que no tomase incremento: el teniente D. Pedro Ramos de la compañía de seguridad, es el que ha tenido mas ocasión de contribuir á este feliz resultado. Obras que se hallan He venta en el despacho de la imprenta Real. Los demas sin embargo han cumplido con su deber. Dios &amp;c. Valladolid 14. Memoria sobre la pauíilla 6 cetonia vellosa que atacó los campos de…</t>
  </si>
  <si>
    <t>Rara</t>
  </si>
  <si>
    <t>…cia. ses: Ia La de jubilados por incapacidad física que gozan un señala Reales órdenes. miento como recompensa de justicia, estricta c invariablemente de signado en el reglamento de jubilaciones: 2 a Las de los propiamente Exemo. Sr. : Rara facilitar á la junta eclesiástica creada por Real cesantes, llamados á virtud de solierana disposición A ser clasifica decreto de 22 de Abril ultimo los medios do preparar las importan dos, los cuales antes habían recibido señalamiento de un haber pro tes reformas confiadas á su zelo, y de adquirir…</t>
  </si>
  <si>
    <t>Rara, Tomas Lobo</t>
  </si>
  <si>
    <t>Tomas Lobo Rara</t>
  </si>
  <si>
    <t>…réislo entendido, y dispondréis lo necesario á su cumplimiento.^ cuyos servicios en la propia subdelegaciun se lia servido S. M. de Está, rubricado de la Real inano.=Aranjuez 27 de Abril de 1854.= clarar hallarse muy satisfecha.A D. Tomas Lobo. Rara formar la dotación de ministros de la Real audiencia de Madrid, he venido en nombrar á D. Joaquín de la Escalera; á Don Gerónimo Manuel Caballero; á D. Ramón Vicente; á D. Fermín PARTE NO OFICIAL. Gil de Linares; á D. Juan Modesto de la Mota; á D. José Alonso; á D. Fra neisco Verea y Cornejo; á D.…</t>
  </si>
  <si>
    <t>Rarnonet, Francisco</t>
  </si>
  <si>
    <t>Francisco Rarnonet</t>
  </si>
  <si>
    <t>…los desgraciados, se dignó mandar continúe dicha obra has- mania. Obra.atribuida al Sf. archiduque Carlos, traducida por el brigadier de caba l .ta dar el ensancho provecíado al establecimiento. Después de pasar S. M. dos llería D. Francisco Rarnonet; 4 tomuj en 4,0, ed oloa de 18 jo, adornados dé m»p*s. horas en esteasiiode beneficencia, y habiendo man [Testado su Real aprobación á 128 rs. en rústica, 148 holandesa y 240 pasta fina. Comprende el primer rolúmen con la benevolencia.y. afabilidad qué tatito la distingue, se retiró, dejando í to-…</t>
  </si>
  <si>
    <t>Raro, Vega y</t>
  </si>
  <si>
    <t>Vega y Raro</t>
  </si>
  <si>
    <t>…cierta lista que debe pasarse al capitán de Guardias. En seguida el mismo Sr. Secreta suma, no puede excepcionar el mal uso que de ella hubiera hecho su antecesor. rio dijo, haber sido nombrados para este acto ai Sr. Butrón y al Sr. Vega y ¡Raro raciocinio por cierto! «Quién ha dicho al Sr. Vega que las naciones son Rio; manifestando el Estamento quedar enterado. herederas de sus Reyes, ni que tampoco sea cierto que todos los herederos pa Se leyeron dos peticiones firmadas por competente número de Sres. Procu guen por los que pudieron ante…</t>
  </si>
  <si>
    <t>Rascón, Crespo</t>
  </si>
  <si>
    <t>Crespo Rascón</t>
  </si>
  <si>
    <t>…io de Ha Se abstuvieron de votar los Sres. Melendez y Ciscar (D. Jasé.) cienda repitió qué solo era la voluntad de S. M. la que había producido la.1*- El Sr. Oais reclamó la equivocación de haberse^ incluido én la Esta al rebaja. Sr. Crespo Rascón, que no estaba presente j equivocación que se rectificó. El Sr. marques de Torremejía preguntó si en los 30 millones se com Se leyó el voto particular del Sr. Samponts, que dice: «Se asigna á S. M. prendía la asignación i la augusta hermana de S. M-;á lo que contestó el se para el próximo año de 18…</t>
  </si>
  <si>
    <t>Rascón, D Francisco de Pauta Crespo</t>
  </si>
  <si>
    <t>D Francisco de Pauta Crespo Rascón</t>
  </si>
  <si>
    <t>…modidades del viage, continúa dando esperanzas de su pronto restablecimiento. Sr. D. Severiano Paez Jaramillo. Lisboa 6 de Agosto, PROVINCIA DE SALAMANCA. Se ha designado en esta capital , por orden del gobierno, un sitio para en Sr. D. Francisco de Pauta Crespo Rascón. terrar los animales; objeto muy interesante de policía urbana y re salubridad. Los encargados de esta operación van á buscar á las casas las caballerías muertas, avisando sus dueños , y las conducen -al parage destinado para darles sepultura. El ayuntamiento de Bilbao dirige una respetuosa alocució…</t>
  </si>
  <si>
    <t>Rascón, Francisco Crespo</t>
  </si>
  <si>
    <t>Francisco Crespo Rascón</t>
  </si>
  <si>
    <t>…á leer, sino solo una colección de de Teriano Paez Jaramillo en reemplazo de D. Fermín Caballero y la celebra seos y votos de un ministro amante de su país, que los presenta á los Procura da en Salamanca, nombrándose Procurador á D. Francisco Crespo Rascón en dores del mismo. Les presenta las ideas que cree convenientes para ia felicidad el del Sr. marques de Villacampo; remitidos ambos por el Gobierno. de la patria, y que no duda serán acogidas por los representantes de los pue— El Estamento quedó enterado de una exposición de! Sr. D. Antonio Al bl…</t>
  </si>
  <si>
    <t>Rascón, Francisco de Paula Crespo</t>
  </si>
  <si>
    <t>Francisco de Paula Crespo Rascón</t>
  </si>
  <si>
    <t>…for D. Antonio Ayarza , por Valencia. mes á lo prevenido. Asi se acordó. D. Agustín Arguelles, por Oviedo.^ ’ Concluido el despacho, tomó la palabra-el Sr. Medrano para presentar una D. Saturnino Calderón, por Orense. indicación. D. Francisco de Paula Crespo Rascón, por Salamanca. ’ El Sr. Medrano-. »Voy á hacer al Estamento una indicación, que no sé D. Mauricio Cárlos de Onís', por id. (Este se sabia por una acta hallarse si estará en su lugar: pero me parece que por lo menos no es inoportuna. Ha enfermo.) ce 44 dias que estamos reunidos en este recinto, y v…</t>
  </si>
  <si>
    <t>…uzga mesa para instrucción de los Sres. Procuradores. _ do por comisiores , sino por los tribunales establecidos por ella antes de La per La misma'comisión dió cuenta de haber examinado los poderes del Señor petración del delito* D. Francisco de Paula Crespo Rascón , J de que hallándolos conformes, era Tenían pedida la palabra en pro eL Sr* Gonxalet y «o contra el Sr. Cude dictámen que debían aprobarse. Asi se acordó. También dió cuenta de ha lío. En consecuencia dijo ber examinado la solicitud fiel Sr. D. Ramón Carrillo, marques de Vilucña, El Sr. Costo: "Ha…</t>
  </si>
  <si>
    <t>Rascón, Francisco de Pauta Crespo</t>
  </si>
  <si>
    <t>Francisco de Pauta Crespo Rascón</t>
  </si>
  <si>
    <t>…dades del viage, continúa dando esperanzas de su pronto restablecimiento. Sr. D. Severiano Paez Jaramillo. Lisboa 6 de Agosto, PROVINCIA DE SALAMANCA. Se ha designado en esta capital , por orden del gobierno, un sitio para en Sr. D. Francisco de Pauta Crespo Rascón. terrar los animales; objeto muy interesante de policía urbana y re salubridad. Los encargados de esta operación van á buscar á las casas las caballerías muertas, avisando sus dueños , y las conducen -al parage destinado para darles sepultura. El ayuntamiento de Bilbao dirige una respetuosa alocució…</t>
  </si>
  <si>
    <t>Rascón, Manuel Crespo</t>
  </si>
  <si>
    <t>Manuel Crespo Rascón</t>
  </si>
  <si>
    <t>…llejo , la P.icfia r Amato» de Salvatierra. En 2“ del mismo, ‘formación de esta fuerza, al difunto gobernador de la provincia que la mu* en virtud de un parte recibido del alcalde de Pedriza, sé lo» v«ó recorté» losS nicionó, y á D. Manuel Crespo Rascón que desempeñó interinameute el mo montes inmediatos en busca de* otros fes hombre, sospechosos , f en una pala mo gobierno, y a quien debe la milicia el-ver completo su armamento. La sa- bra , se ve a esfo» vecu*» en un ci&gt;nt.i'uo m&lt;-&gt; i.n.c* 'o, que si bien neccwno hda que lo» urbanos de caballerí…</t>
  </si>
  <si>
    <t>Raucourt</t>
  </si>
  <si>
    <t>…os cuales ha cele del cu3l se consiguen en ocho dias, y con poco gasto, resultados que exigían brado cerca de veinte sesiones, acaba de publicar sus numerosos documentos seis meses de dilación, y eran sobremanera costosos. 3.° Al coronel Raucourt que forman un tomo en 4*° «ws de Sv»U páginas, y contiene un gran nú por la invención de un instrumento, denominado foítómetro, y que sirve para mero ¿e cuadros estadísticos. Componían esta comisión los Sres. Benoiston y levantar enormes cargas. Se puede, con la ayuda del foftómetro, apreciar pe Cn…</t>
  </si>
  <si>
    <t>RaurL, D Manuel de la Torre y</t>
  </si>
  <si>
    <t>D Manuel de la Torre y RaurL</t>
  </si>
  <si>
    <t>…nzó En la 2.a................................................. Sr. D. Justo José Banqucri. en Mazaleon la gavilla de Jelcz , la deshizo, cogió fusiles y otros efectos, y En la 3.a.................................................. Sr. D. Manuel de la Torre y RaurL mató 7 facciosos. Eh la 4.a.................................................... Sr. D. José Francisco Goyeneche. En la 5.a.................................................. Sr. D Miguel Nájera. El capitán general de Extremadura trasladando el parte que le comunica el En la ó.a......................…</t>
  </si>
  <si>
    <t>RaurL, Manuel de la Torre y</t>
  </si>
  <si>
    <t>Manuel de la Torre y RaurL</t>
  </si>
  <si>
    <t>…En la 2.a................................................. Sr. D. Justo José Banqucri. en Mazaleon la gavilla de Jelcz , la deshizo, cogió fusiles y otros efectos, y En la 3.a.................................................. Sr. D. Manuel de la Torre y RaurL mató 7 facciosos. Eh la 4.a.................................................... Sr. D. José Francisco Goyeneche. En la 5.a.................................................. Sr. D Miguel Nájera. El capitán general de Extremadura trasladando el parte que le comunica el En la ó.a......................…</t>
  </si>
  <si>
    <t>Rautenstrauch</t>
  </si>
  <si>
    <t>…que opone en todas ellas obstáculos mas ó menos graves á un iusia. sistema general y uniforme, se han verificado en toda la Península VarSQvir 13 ¿ir Junio, é islas adyacentes las elecciones de Procuradores á Gírtes con tanta El general Rautenstrauch que desempeñt las funciones de la junta creada celeridad y buen orden, que no se ha perturbado en parte alguna para conceder socorros á los oficiales y empleadas del antiguo ejército polaco, la tranquilidad pública , ni se ha sentido el choque de partidos opues ha publicada otra lista de sugetos qu…</t>
  </si>
  <si>
    <t>Rav, Antonio</t>
  </si>
  <si>
    <t>Antonio Rav</t>
  </si>
  <si>
    <t>…y averías, como igualmente sobre varias cuestiones geográficas, relativas al manejo de los Part? recibido en la secretaria de Estado y del Despacho de la Guerra* globos, distancias geográficas y configuración de nuestro plañera. D. Antonio Rav¿ , después de haber descrito la Europa en general , y El capitán general de Castilla la Vieja desde Monasterio de Rodilla con enumerado las principales producciones y artículos de comercio de los estados ffecha 20 del actual dice á este ministerio lo siguiente: ” Exento. Sr.: El bri en que se subdi…</t>
  </si>
  <si>
    <t>Rayón, D Francisco</t>
  </si>
  <si>
    <t>D Francisco Rayón</t>
  </si>
  <si>
    <t>…y de ambiciosos burlados en sus esperanzas, dio tiro de fusil de la muralla, acompafado de mis ayudantes D. José Galloestableciendo al mismo tiempo la opresión de los hombres de bien. Dice que go , D. Manuel Sánchez del Campo, el secretario D- Francisco Rayón y el el abuso que se hace de la libertad de imprenta es la causa del disgusto en que capitán graduado de caballería de León D. Joaquín Garcíj , desde cuya inme todos viven: amplifica esta Opinión corroborándola con algunas reflexiones; y diación vi unos 300 hombres cargar las armas y quedar pasivos,…</t>
  </si>
  <si>
    <t>…me ha dejado que desear. Fl se José de la Fuemc y Bazan ; en inteligencia que para junta general se halla seña!ajo el 1 7 de casa de Sr. de la tarde en día dicho teniente de asisten a las cuatro Junio cretario d« esta comandancia general D. Francisco Rayón , por su infatigable mismo en de S. á la la tiene esquina Leandro, la plazuela calle Imperial. te, que desvelo en los asuntos de su destino, y como auxiliar de esta piaña mayor, en . —Por providencia del alcalde segundo de Ja villa de ia Algava, provincia de Sevi cargado de los asuntos reservados ,…</t>
  </si>
  <si>
    <t>Rayón, Francisco</t>
  </si>
  <si>
    <t>Francisco Rayón</t>
  </si>
  <si>
    <t>…jado que desear. Fl se José de la Fuemc y Bazan ; en inteligencia que para junta general se halla seña!ajo el 1 7 de casa de Sr. de la tarde en día dicho teniente de asisten a las cuatro Junio cretario d« esta comandancia general D. Francisco Rayón , por su infatigable mismo en de S. á la la tiene esquina Leandro, la plazuela calle Imperial. te, que desvelo en los asuntos de su destino, y como auxiliar de esta piaña mayor, en . —Por providencia del alcalde segundo de Ja villa de ia Algava, provincia de Sevi cargado de los asuntos reservados ,…</t>
  </si>
  <si>
    <t>Rc, Antonio</t>
  </si>
  <si>
    <t>Antonio Rc</t>
  </si>
  <si>
    <t>…prelados de las I Tendréisio entendido, y lo comunicareis á quien corresponde.sEstá rubricado órdenes religiosas que tienen conventos en aquellas provincias, que será rruivl de la Real imno.=En Palacio á 20 de Febrero de 1334&lt;=A D. Antonio Rc- de su Real agrado que nombre V. E. de entre ios religiosos de carácter, v que f por su zelo v virtud inspiren toda confianza, dos comisarios especiales que, en mon Zarco del Valle. calidad de tales y con las facultades necesarias, visíten pcr*onalmente ios con-' Han llamado mí soberana atención las fr…</t>
  </si>
  <si>
    <t>Rc, Domingo de la</t>
  </si>
  <si>
    <t>Domingo de la Rc</t>
  </si>
  <si>
    <t>…que-se ha ^empeñado en mejorar la : suerte de los individuos, y dicho regimiento.de Córdoba, y ó contusos, siéndolo"también el oficial dé en aumentar el bienestar general favoreciendo los intereses materiales, retirara caballería D. Domingo de la Rc&amp;a, qué se precipitó en una.zanja en la segun semejante.proposición apenas:conozcan las autoridades los perjuicios que oca da carga, y se dislocó el pié derecha- La del enemigo ha sido de mas cotssidesiona, las: dificultades que.presenta su ejecución, y las consecuencias que pu racion , pues ha deja…</t>
  </si>
  <si>
    <t>Rcboiio, D Ramón</t>
  </si>
  <si>
    <t>D Ramón Rcboiio</t>
  </si>
  <si>
    <t>…en el día extrema ; y el gobierno por desgracia El capitán general de Aragón con fecha de 21 del presente desde Zaragoza ní tiene fondos ni crédito para adquirirlos. Sin embargo, es ciertamente de ad dice a c»te ministerio que el coronel D. Ramón Rcboiio , comandante de una mirar que un pueblo oprimido por todas estas desgracias no se afecte, y conti columna móvil, le manifestaba desde Biesa en 19 del mismo mes, que habien núe abandonado enteramente á sus placeres. (Z&gt;. de ios D ) do sido dispersa ia facción de Cpncsa * junto á Segura , y sabedor d…</t>
  </si>
  <si>
    <t>Rcboiio, Ramón</t>
  </si>
  <si>
    <t>Ramón Rcboiio</t>
  </si>
  <si>
    <t>…a extrema ; y el gobierno por desgracia El capitán general de Aragón con fecha de 21 del presente desde Zaragoza ní tiene fondos ni crédito para adquirirlos. Sin embargo, es ciertamente de ad dice a c»te ministerio que el coronel D. Ramón Rcboiio , comandante de una mirar que un pueblo oprimido por todas estas desgracias no se afecte, y conti columna móvil, le manifestaba desde Biesa en 19 del mismo mes, que habien núe abandonado enteramente á sus placeres. (Z&gt;. de ios D ) do sido dispersa ia facción de Cpncsa * junto á Segura , y sabedor d…</t>
  </si>
  <si>
    <t>Rcbollcí, O Isidro</t>
  </si>
  <si>
    <t>O Isidro Rcbollcí</t>
  </si>
  <si>
    <t>…ero de fallecimientos. más en vista de lo relatado; pero faltaría á mi deber' si no hiciese mención, y / PROVINCIA DE CUENCA./ en particular, del capitán graduado de teniente coróne! \\ Vicente Soravilla, del teniente graduado de capitán O. Isidro Rcbollcí, de los subtenientes Don Participa su gobernador civil con fircha $ del actual, que Tarancon, LanFernando Sequeira, ÍX Salvador García y D. Carlos Mondeli, ttxlos del 13 de detc v Barajas de Meló se hallaban libres del colera: que en Carrascosa de] línea; del teniente coronel de La Guardia Real 1&gt;.…</t>
  </si>
  <si>
    <t>Re, Antonio</t>
  </si>
  <si>
    <t>Antonio Re</t>
  </si>
  <si>
    <t>…s. Se trataba de socorros recla Celestino Inozo.=Antonio Fernandez, regidor 2.° = Diputado l.°, Francisco mados en favor de los polacos refugiados en la Bélgica que se hubieran acorda Ga5taño.=Diputado 2®, Domingo Garrído.sSmdíco general, Antonio Re- do'^ levantar la sesión, si el ministro de la Guerra, luego que ovó la cues quena.=Francisco Sánchez Peral, secretario. tión» y sin dar lugar á discutirla no hubiese ofrecido inmediatamente el poner á disposición de los refugiados, y mientras no s* examinaban sus respectivas re Señoaa: A vuestro ay…</t>
  </si>
  <si>
    <t>…cayó sobre ellos, les mató 19 Espiriquiti, D. Alejandro Gasart, D. Amonio Leoreses, Ramón Ga.vez, hombres y cogió 15, teniendo jzor su parte dos hombres muertos y uno heri Tomás Lizanda, Joaquín Trullcn. Cadetes: D. Juan Sevilla, D. Antonio Re do ; finalmente, que los enemigos se habian retirado á Moura. (Idem.) set, D. José Calvet, D. Salvador Calvet. Sargentos segundos: Antonio Faura, Clemente Pardo, Romualdo Saló. Cabo primero: Manuel Alacluna. Cabo ESPAÑA. gundo: Fernando Fcrrer. Nota. Los soldados de este regimiento se han distinguido…</t>
  </si>
  <si>
    <t>…conservare don el mayor pinas. Tendí éislo entendido , y dispondréis su cumplimiento—Está rubricado cuidado, como prenda de inestimable valor por el feliz y famoso acontecimien dt la Real mano.=Kn Palacio á21 de Enero de ,183¿.=A D. Antonio Re to que representa , y que recordará en lo sucesivo. men Zarco del Valle. Dios guarde á V. E. muchos año». Madrid y Diciembre 28 de 1833. :s XINISTEKIO DKI FOVEtíTO GEVBXAL DEL ÍEIHO. Excmo. Sr.=Victor, obispo de Torto»a.=cExcmo. Sr. Ministro de Gracia y Justicia. Real orden circular declarando exen…</t>
  </si>
  <si>
    <t>Re, Antonio María Fernandez Ignacio</t>
  </si>
  <si>
    <t>Antonio María Fernandez Ignacio Re</t>
  </si>
  <si>
    <t>…es para la sesión Real de las Cámaras han sido las mismas Señora. — A L. R. P. de V. M. = Antonio María Montenegro, alcalde l.p= que en los años anteriores pues los bajos relieves y los cuadros cjue deben com Luis Romero Cadavid, alcalde 2.0 = Antonio María Fernandez.^ Ignacio Re- pletar la decoración dé la saU no están aun concluidos. yes.^sjosef María Fonseca.=Andres Cao de Pinios-=Lorenzo de Dios.=Migucl En et trono se han observado este año á derecha é izquierda del sillón del López. =:Simón Poyuelo= Francisco Hcrmida.= Luis Rodríguez y Garea.= Rey tres taburetes, el uno…</t>
  </si>
  <si>
    <t>Re, Enterada S M la</t>
  </si>
  <si>
    <t>Enterada S M la Re</t>
  </si>
  <si>
    <t>…tór honorarias que disfrutan los administradmes dt los ramos de Dios guarde la importante vida de V- M- y la de su excelsa Hija nuestra cimales. Reina los muchos años que interesa á esta nación, para llegar al -.olmo de -VExcmo. Sr.: Enterada S. M. la Re tu a Gobernadora del expediente instrui licidad que V. M. le prepara. Tarragona 13 Enero ISd^ccScñora.^: A 1- R- P. do á consecuencia de la manifestación que se ha hecho en esta Secretaria del &lt;Jc V. M. El ayuntamiento de la ciudad de Tarragona, el gobernador interi Despacho de mi cargo, referente…</t>
  </si>
  <si>
    <t>Re, Joaquin</t>
  </si>
  <si>
    <t>Joaquin Re</t>
  </si>
  <si>
    <t>…nte de la Real audiencia de Mallorca, va al 12, estado un incendio tembie en un buque de 64 cañones, que cante por fallecimiento de D. Manuel García Doncel , nombro á se hallaba andado en el puerto, v aunque afortunadamente no te D. Joaquin Re,-. Tendréislo entendido, v 1&lt;&gt; comunicareis á ouien nia poli ora .1 su bordo, ha sido c.1,1 todo devorado por ¡as llamas. corresponda.—Está rubricado de la Real mano.—En Aranjuez a 11 Mehemed.-Ali está con su, m,lustros ír&gt; el t uro, adonde de ‘de Abril de 1834 —A D. Nicolás María Garelly. be tambi…</t>
  </si>
  <si>
    <t>Re, Maiia de los</t>
  </si>
  <si>
    <t>Maiia de los Re</t>
  </si>
  <si>
    <t>…igos sabedores de admirable, cuanto que no tiene otros recursos que los que les proporciona la ellos, y mi deseo de ser útil á mis semejantes, me hicieron participarlo en 10 caridad de sus vecinos excitada por el celo ejemplar de Doña Maiia de los Re del presente á D Manuel Gctierrez de la Rasilla , de este vecindario , e indi medios Cuartero, consorte de D. Andrés Soriano, á U cual «1 gobernador civil viduo de la junta municipal de San dad , para que lo hiciera presente á la mis ha. dado gracias en nombre de S. M. por sus nobles y piadosos sentimi…</t>
  </si>
  <si>
    <t>Re, Martínez de la</t>
  </si>
  <si>
    <t>Martínez de la Re</t>
  </si>
  <si>
    <t>…mismo desearía que el Sr. Presidente del consejo de Miniar Se abrió la sesión á las once. tros instruyese al Estamento de lo que haya en este particular.” Leída el acta del día anterior se suscitó una breve discusión acerca de la Sr. Martínez de la Re/a: «El Ministró no tiene inconveniente , como redacción de la segunda parte del párrafo 10 del discurso de contestación al no lo tendrá jamas, en dar todas las noticias, todas las contestaciones que exi .tronó: se aprobó toda el acta con la modificación hecha por el Sr. González jan los Sres. Procu…</t>
  </si>
  <si>
    <t>Re, Pedro</t>
  </si>
  <si>
    <t>Pedro Re</t>
  </si>
  <si>
    <t>…a, D. Francisco blica. Jimeno y D- Pascual Cümens; y los subtenientes, teniente graduado L). Vic Ha dirigido también su atención á la mejora de caminos, para lo cual ha torino Tabuenca , el capitán graduado D. Salvador brigola, v D. Pedro Re oficiado al administrador de correos de la capital, deseando informarse del es venga, que recibió dos heridas, batiéndose cuerpo á cuerpo con tres facciosos; tado de los* caminos, puentes y demas obras que este? 1 su cargo, y sobre los cuyos oficiales, mmá.ináo sus respectivas compañías en loa dife…</t>
  </si>
  <si>
    <t>REA, EN'LAiIMPRENTA</t>
  </si>
  <si>
    <t>EN'LAiIMPRENTA REA</t>
  </si>
  <si>
    <t>…sado en $18,669 rl.; y para el remate de dicha tercera porte esto señalado el dio. 304*1 corriente de doce k una de en inefiino en la oudienélo da dkho Uno de los gastos ma^ ^onsiderables es el que exige la defensa militar. señor juez. -EN'LAiIMPRENTA REA 1^</t>
  </si>
  <si>
    <t>ReaF</t>
  </si>
  <si>
    <t>…terio en las provincias, las disposiciones siguientes: el alférez Real en el centro con el pendón Real, insignia .de esta villa, ocu 1.a Cuidaran de que en los colegios de humanidades, academias de nobles pando yo la derecha y el alcalde ReaF ordinario la izquierda: abrían calle, arte*-y de bellas letras, escuelas de dibujo, enseñanzas especiales al cargo de marchando al frente, las compañías de la brigada de artillería de esta guarni las sociedades económicas, juntas de comercio ú otras corporaciones, blbliote- ción, y cerraban las dem…</t>
  </si>
  <si>
    <t>Reai</t>
  </si>
  <si>
    <t>…ta nueva prueba del buen que acaba dieba continuación, basta el de i8c8: 9 tomos eo 8.° Se ven de en la librería de Sojo, á 190 rs. en rústica. espíritu que anima á los pueblos, y se ha servido mandar que el ——Por providencia del alcalde Reai ordinario de la villa de Barajas, alcalde mayor dé las gracias mas sinceras á todos los valientes que refrendada del escribano del número Fernandez y Cubero, se cita hasta se han disputado la gloria de exterminar á la gavilla del Locho: el_n de Mayo próximo, á todos los que se crean con derecho á l…</t>
  </si>
  <si>
    <t>REAL, Andrés Masegosa EN LA IMPRENTA</t>
  </si>
  <si>
    <t>Andrés Masegosa EN LA IMPRENTA REAL</t>
  </si>
  <si>
    <t>…de la segunda columna, léase El capitán general de Galicia en 16 de Abril, y con referen en la clase de alcaldes del crimeu, D. José Manuel sirizaga, en lug.r cia á los paites que ha recibido da los comandantes militares fron- de D. Andrés Masegosa. EN LA IMPRENTA REAL</t>
  </si>
  <si>
    <t>REAL, Bermudez del VSitar EN LA IMPRENTA</t>
  </si>
  <si>
    <t>Bermudez del VSitar EN LA IMPRENTA REAL</t>
  </si>
  <si>
    <t>…hora de las diez. algunas observaciones, se acordó suprimir dichas palabras, sustituyendo en su Mota. En la sesión de ayer se puso equivocadamente haber jurado el Se.Mtna, ha lugar las de «sean eximidos.” ciéndolo en su lugar ei Sr. Bermudez del VSitar. EN LA IMPRENTA REAL.</t>
  </si>
  <si>
    <t>REAL, BN LA IMPRENTA</t>
  </si>
  <si>
    <t>BN LA IMPRENTA REAL</t>
  </si>
  <si>
    <t>…ira, mariscal del cjercito.c=Condc de «aagenarlos hasta la decisión de las Córtes. Saldaña, mariscal dei cjéraito^José Antonio de Acevcdo y Lomos, ¡ementa ^ La amnistía ro comprenda la restitución de empleos eclesiásticos, políti general. BN LA IMPRENTA REAL*</t>
  </si>
  <si>
    <t>REAL, Carrillo Manrique EN LA IMPRENTA</t>
  </si>
  <si>
    <t>Carrillo Manrique EN LA IMPRENTA REAL</t>
  </si>
  <si>
    <t>…dividuo, anunció el Sr. Presidente que mañana se comítación fuese nominal-, se procedió i ella, y resultó aprobada por 50 votos con abaría esta discusión, y cerró la sesión á las cuatro y cuarto. tra 59, absteniéndose de votar el Sr. Carrillo Manrique. EN LA IMPRENTA REAL/</t>
  </si>
  <si>
    <t>Real, Con la</t>
  </si>
  <si>
    <t>Con la Real</t>
  </si>
  <si>
    <t>…roclamación de la Reina nuestra Señora Doña IsaBi i verified da en esa villa de Madrid,'que V. E. me remite de de S. M. la Runa MINISTERIO DE ESTADO. Gobernadora. Agradezco muchísimo la generosa di t.nuon de S. M. en haber Excmo. Sr.: Con la Real orden de 8 de Octubre último que se ha servi me participante de tan fausto au-eso, y conservare ..o monedas curo una pren do V. E. dirigirme, he recibido los ejemplares que me incluye V. E. de la da de las bondades de S. AI. , y recuerdo de la obligación que renco de rendir] Gaceta extraordinaria d…</t>
  </si>
  <si>
    <t>Real, D José</t>
  </si>
  <si>
    <t>D José Real</t>
  </si>
  <si>
    <t>…deber emplear contra los inquietos sino Jos medios dé conciliación, péro dtspues resolvió entregar los culpables i los " MINISTERIO^ BEL rOMENTO GENBJLAL DEL REINCL . tribunales de justicia, y en consecuencia fuero» arrestados el coronel D. José Real orden. María Mela, el comandante D; Martin Franco, y D*'José Alejandro Plaza; Fiemo. Sr.: He dado cuenta á S. M. ¡a Retna Gobernadora del oficio de 1 w¡ dos primeros soda naturales de Nueva Granada, y el último de Venezue JV. E.de 20 de Enero último, haciendo presente hallarse concluida la obra del…</t>
  </si>
  <si>
    <t>Real, D Pedro Antonio Acuña Por</t>
  </si>
  <si>
    <t>D Pedro Antonio Acuña Por Real</t>
  </si>
  <si>
    <t>…pueda atender á los gastos que ocasione el desempeña de su encargo; debiendo ponerse de acuerdo la misma comisión con el empresario PROVINCIA 1)£ JAEK. de los teatros acerca del modo de cobrar el producto de aquellas localidades. Sr. D. Pedro Antonio Acuña. Por Real cédula expedida en 22 del que rige, se ha dignado S. M. la Reina Gobernadora conceder a D. Donato González Saravía y compañeros Por Real órden de 2fi de-este-mes, 5. M. la Reina Gobernadora ha —pü-vilegio exclusivo por cinco años para asegurar la propiedad de cierta pasta servido autorizar al ayunt…</t>
  </si>
  <si>
    <t>Real, El</t>
  </si>
  <si>
    <t>El Real</t>
  </si>
  <si>
    <t>…=Excmo. Sr.=Miguel de la Torrc.=Excmo. Sr. Secre sierto ; pero no carecemos de bueyes para nuestra subsistencia. tario de Estado y del Despacho de la-Guerra. PRU9JAExposiciones d S. M. la Reíha Gobernadora. Berím 16 Je Diciembre. Señora: El Real acuerdo de la audiencia de Puerto-Rico, poseído de todo Las cartas recibidas antes de ayer de S. Petersburgo hablan de los importan el sentimiento propio de su acrisolada lealtad, presenta hoy á L. R. P. de tes progresos que hace la marina rusa, y que unidos á los grandes preparativos V. M. su prof…</t>
  </si>
  <si>
    <t>Real, El Estatuto</t>
  </si>
  <si>
    <t>El Estatuto Real</t>
  </si>
  <si>
    <t>…es de luego aprobaría el proyecto. Exposición d S. M. la Reina Gobernadora. «Nos hallamos hoy, continúa el orador, amenazados de dos revoluciones políticas y de una social: el carlismo recobra sus esperanzas, las crisis industria Señora: El Estatuto Real, sancionado por Y. M. en 10 del cor les se multiplican: todo esto ba ocurrido gradualmente, y en cada paso que ha riente para la celebración de las Cortes generales del reino, disipa adelantado el mal, ¡qué ha hecho el ministerio! Se le ha pedido que proceda todos los temores, y satisface todas las…</t>
  </si>
  <si>
    <t>REAL, EN LA IMPRENTA</t>
  </si>
  <si>
    <t>EN LA IMPRENTA REAL</t>
  </si>
  <si>
    <t>…ndre»,Hamburgo,4 00.90 días, Barcelona,id. id. 4 ps. 6-1 Málaga,Santander,4 b.1 id. Descuento4 4 p. 100de*1tetrao,ario. por ios pueblos orientales; pero en mi juicio, no hay ninguno que 1c aprecie 58|. Bilbao, par. Santiago 4 i 1 d. 11 EN LA IMPRENTA REAL.</t>
  </si>
  <si>
    <t>…spueblo de Moscardón han ocurrido tres casos de cólera en una joven y dos an a0 dias, Lóndres, á 1 b. Santander, 4 b. «fe *4*100*1 cianos, habiendo fallecido estos en pocas horas, y curado aquella. *74kl. Bilbao, par. Santiago, 1 d. EN LA IMPRENTA REAL.</t>
  </si>
  <si>
    <t>Real, Eugenio Fourdinier la</t>
  </si>
  <si>
    <t>Eugenio Fourdinier la Real</t>
  </si>
  <si>
    <t>…piedra con agua corriente para el toma agua en el Jucar , de la limpia de la acequiar Real y derramador de esta uso de los encarcelados. al molino de AlboVchi; y ha autorizado la aplicación de un fondo que existía Ha comunicado á D. Eugenio Fourdinier la Real orden para hacer un re amoitizado en la ciudad de S. Felipe de derecho mal exigido sobre la nieve, á conocimiento en el azud y puente levantado sobre el Segura; y al gobernador Ja recomposición y mantenimiento del alumbradoque la facción destruyó,adop d« Cartagena la que previene la traslación de p…</t>
  </si>
  <si>
    <t>Real, Francisco</t>
  </si>
  <si>
    <t>Francisco Real</t>
  </si>
  <si>
    <t>…rirle el destino jte¡ Mayiítro de ceremonias de las CÓTje&amp; Tendréislo entendido, y lo MINISTERIO Dí IO INTERIOR. comunicareis» quien corresponda.=Está rubricado-de la Real mano de Si. M,=En San Ildefonso á 12 de Julio de 1854. =A D. Francisco Real órdéru Martínez de la Rosa , Presidente del Coosejo de Ministróse Para evitar lodo obstáculo que pueda retardar la presentación de MINISTERIO DK HACIENDA DE ESPAÑA. lós Procuradores del reino en esta capital, excusando que bajo el pretexto de medidas sanitarias sufran acaso detenciones indebidas ó…</t>
  </si>
  <si>
    <t>Real, Francisco Escobar y</t>
  </si>
  <si>
    <t>Francisco Escobar y Real</t>
  </si>
  <si>
    <t>…denaoza de reemplazos O. José Orive, y ct teniente del mismo cuerpo D. José Ferez Mozón, que con de 27 de Octubre de 1B00. Un cuaderno en 4.0, edición de 1817, 4 a rs. en rústica. los alféreces D. Manuel Fabro, D. Anselmo Blaser, D. Francisco Escobar y — Real instrucción ó reglamento adiciona) de la ordenanza de reemplazos de 27 de Ocrubre de 1800 : uo cuaderno en 4.°, edición de 1819 á 4 rs. eu rústica. D. Antonio Bay mandaban las guerrillas primeras unidos á las compañías de ——Discurso pronunciado en la Real iglesia de S. Isidro de esta corre, por el…</t>
  </si>
  <si>
    <t>Real, Gran Cruz de la</t>
  </si>
  <si>
    <t>Gran Cruz de la Real</t>
  </si>
  <si>
    <t>…expide í consecuencia de un con venio celebrado en Madrid en de deta Gobernadora, á nombre y en representación de S. M. Católica Doña Isa entre S. M Católica la R&amp;ika de España y los Estabel ti, al Excmo Se. D. José de Heredia , Caballero Gran Cruz de la Real dos-Undos de América, para el pago de las r^rlarra—Orden Americana de Isabel la Católica, del Consejo de S. M. en el supremo cioncs de los ciudadanos de dichos Estados.de Hacienda, Enviado extraordinario y Ministro plenipotenciario cesante, y Presidente de la Real Junta de apelaciones de créditos c…</t>
  </si>
  <si>
    <t>Real, Infanta Doña María Luisa Por</t>
  </si>
  <si>
    <t>Infanta Doña María Luisa Por Real</t>
  </si>
  <si>
    <t>…el Real sitio de San Ildefonso; y de igual chos años. Madrid 1U de Agosto de 18-34-. beneficio disfruta S. M. la Reina Gobernadora en el Rea! palacio de Riofrio. También goza de perfecta salud en el expresado Real sitio la Serma. Sra. Infanta Doña María Luisa. Por Real decreto de‘2Gde Junio último se sirvió concellerS. M. la Reina Goberna lora honores de ministro togado de la Real au diencia de Sevilla á D. José Rivero de la Herran. ' . MINISTERIO DE LA GUERRA. Beales órdenes. S. M. me .manda remitir á V. E. el índice adjunto de las dife PARTE NO OFICIAL. rentes…</t>
  </si>
  <si>
    <t>Real, Javier de Burgos</t>
  </si>
  <si>
    <t>Javier de Burgos Real</t>
  </si>
  <si>
    <t>…areis á quien corel sueldo que les corresponda por clasificación. Tendréislo entendi responda.=Está rubricado de la Real mano, pr En Aranjuez i 7 de do, y lo comunicareis á quien corresponda.ezEstá rubricado de la Abril de 1834—A D. Javier de Burgos. Real mano.=En Aranjuez á 19 de Abril de 1834-=A D. Nico lás María Garelly. ministerio de hacienda de espada. Deseando S. M. la Reina Gobernadora dar al cuerpo de cara Para formar la dotación de ministros de la Real audiencia de bineros de costas y fronteras una nueva muestra de la confijnza que Sevilla,…</t>
  </si>
  <si>
    <t>Real, José</t>
  </si>
  <si>
    <t>José Real</t>
  </si>
  <si>
    <t>…plear contra los inquietos sino Jos medios dé conciliación, péro dtspues resolvió entregar los culpables i los " MINISTERIO^ BEL rOMENTO GENBJLAL DEL REINCL . tribunales de justicia, y en consecuencia fuero» arrestados el coronel D. José Real orden. María Mela, el comandante D; Martin Franco, y D*'José Alejandro Plaza; Fiemo. Sr.: He dado cuenta á S. M. ¡a Retna Gobernadora del oficio de 1 w¡ dos primeros soda naturales de Nueva Granada, y el último de Venezue JV. E.de 20 de Enero último, haciendo presente hallarse concluida la obra del…</t>
  </si>
  <si>
    <t>Real, José Cafranga Estatuto</t>
  </si>
  <si>
    <t>José Cafranga Estatuto Real</t>
  </si>
  <si>
    <t>…evadirse de cumplir tan spgrado deber, Entraron á jurar y tomaron asiento precedidos del Maestro de ceremo no habiendo presentado ni aun las fáciles pruebas de las cond-ciones que el nias los Excmos. Sres. marques de Valmediano y D. José Cafranga. Estatuto Real exige á fin de acreditar la aceptación y las circunstancias ne Se leyó un oficio del Excmo. Sr. Secretario del Despacho de lo Interior, cesarias para tomar asiento en el Estamento. Ha tenido presente ademas lo acompañando la memoria respectiva á su Ministerio, para que se archivase, y dispuesto por…</t>
  </si>
  <si>
    <t>REAL, José Eizmendi IN LA IMPRENTA</t>
  </si>
  <si>
    <t>José Eizmendi IN LA IMPRENTA REAL</t>
  </si>
  <si>
    <t>…rco, el empico de capitán saliese á dar alcance á los equipages; lo que verificó á las cinco de al graduado D. José Hallegg,, y los honores de comisario de guer la tarde llevando su comandante las instrucciones convenientes. ra á D. José Eizmendi. IN LA IMPRENTA REAL...</t>
  </si>
  <si>
    <t>Real, José Manuel El Estatuto</t>
  </si>
  <si>
    <t>José Manuel El Estatuto Real</t>
  </si>
  <si>
    <t>…de ser obra del tiempo, ha splido obispo electo de Almería; conde de Santa Ana; marques de S. Martin de Hommalograr el buen éxito y aventurar el destino de las Naciones. breiro; conde de Taboada; duque de Gor, duque de Veraguas; D. José Manuel El Estatuto Real ha echado ya el cimiento: á vosotros os corres Quintana; conde de Teba; marques de Guqdalcazar; marques de Sta. Cruz y ponde, ilustres Proceres y señores Procuradores del Reino, con S. Esteban, y los Sres. Procuradores, cuyos poderes han sido aprobados en lai currir Á que se levante la obra con aqu…</t>
  </si>
  <si>
    <t>Real, José María Cabello Camin</t>
  </si>
  <si>
    <t>José María Cabello Camin Real</t>
  </si>
  <si>
    <t>…317 resguardo en las aprehensiones. Burbaguena.......................... 280 1193 He dado cuenta á S. M. la Reina Gobernadora del expedien Calamocha............................ 443 1538 te instruido con motivo de haber solicitado D. José María Cabello Camin Real......................... 238 810 se- le-entregase, y á-Jos demas que le acompañaron en la aprehen Castejon de Tornos.............. 85 384 30 130sión, de géneros de ilícito comercio hecha á María Caraballo, vecina-dc la dudad de Ecija, la parte del comiso respectiva al fondo Concabuena.......................... 42 168 dolre…</t>
  </si>
  <si>
    <t>REAL, José Ozores EN LA IMPRENTA</t>
  </si>
  <si>
    <t>José Ozores EN LA IMPRENTA REAL</t>
  </si>
  <si>
    <t>…e scsuferíisq y en la habilitación y constru'ccion de puentes, como tam Nota. En la Gaceta núm. 84» columna 7,*, línea 43, dice D. José Orozco, léase bién en las obras y reparos hidráulicos qué exigían algunos muelles.de Jos puer D. José Ozores. •EN LA IMPRENTA REAL.</t>
  </si>
  <si>
    <t>Real, Lí</t>
  </si>
  <si>
    <t>Lí Real</t>
  </si>
  <si>
    <t>…primero expuso á S- M. el objeto de su comisión en loe términos suprema de S. M. la Reina y Señora Doña María ti en la conformidad que se haya practicado en Evort él 26 del corriente. El caballero Ríos entregó igual siguientes: «Señora: Lí Real sociedad económica de Amigos del pais de la ciudad de mente á S. A S. la Sra. Infanta Doña Isabel María los papeles de que venia Santiago, nos ha confiado la honrosa misión de ofrecer á L. R. P. de V. M. comisionado por V. E el mas respetuoso homenaje de su gratitud, por haberse dignado sancionar e…</t>
  </si>
  <si>
    <t>Real, Ltf</t>
  </si>
  <si>
    <t>Ltf Real</t>
  </si>
  <si>
    <t>44 L- ;■ Sultán. Él embajador francés respondió que lá situación incierta del Oriente, ® Exposicion á S. M. Ja Reina Gobernadora. d (f' : &gt; unida ¿ otras circunstancias recientes y extraordinarias, habían obligado á su go~ |É Señora: Ltf Real sociedad económica de amigos del país de esta capital, bjerriQ ¿prepararse para todo evento. La respuesta del embajador ingles fue mas que había interrumpido sus tareas por los ruidosos acontecimientos ocurridos.co lacónica: dijo que la Gran Bretaña habla reforzado su escuadra'del Mediterrá el año…</t>
  </si>
  <si>
    <t>Real, María Luisa Por</t>
  </si>
  <si>
    <t>María Luisa Por Real</t>
  </si>
  <si>
    <t>…de San Ildefonso; y de igual chos años. Madrid 1U de Agosto de 18-34-. beneficio disfruta S. M. la Reina Gobernadora en el Rea! palacio de Riofrio. También goza de perfecta salud en el expresado Real sitio la Serma. Sra. Infanta Doña María Luisa. Por Real decreto de‘2Gde Junio último se sirvió concellerS. M. la Reina Goberna lora honores de ministro togado de la Real au diencia de Sevilla á D. José Rivero de la Herran. ' . MINISTERIO DE LA GUERRA. Beales órdenes. S. M. me .manda remitir á V. E. el índice adjunto de las dife PARTE NO OFICIAL. rentes…</t>
  </si>
  <si>
    <t>Real, Nicolás María Garelly</t>
  </si>
  <si>
    <t>Nicolás María Garelly Real</t>
  </si>
  <si>
    <t>…bel u, he venido y lo comunicareis á quien corresponda para au cumplimiento. = Está en mandar. . . _ rubricado de la Real mann -Rn Aranjuez á 29 de Mayo de 1834.=; lí Consultareis con la sección de Gracia y Justicia del Consejo A D. Nicolás María Garelly. Real, ademas de los asuntos relativos á aclaración ó dispensa dé ley V reformas de códigos de que habla mi Real decreto de24 de Mar q- MINISTERIO DEL INTERIOR. zo último, los relativos al pase y exequátur regio de las bulas y bre ves pontificios que se impetraren por mi Gobierno sobre asuntos generales,…</t>
  </si>
  <si>
    <t>REAL, Nicolás Sanz EN LA IMPRENTA</t>
  </si>
  <si>
    <t>Nicolás Sanz EN LA IMPRENTA REAL</t>
  </si>
  <si>
    <t>…el tedores consiguió sorprenderla en la cabaña llamada de las Luidei, niente coronel del 3.0 de ligeros: iéase el coronel, teniente coronel mayar sobre el lqgar de Udailo, capturando al cabecilla José Viadero, del 3.0 de ligeros, D. Nicolás Sanz. EN LA IMPRENTA REAL.</t>
  </si>
  <si>
    <t>REAL, Nogueras EN LA IMPRENTA</t>
  </si>
  <si>
    <t>Nogueras EN LA IMPRENTA REAL</t>
  </si>
  <si>
    <t>…vincia, no obstante las circunstancias en que se halla la misma; y en él Nota. En la Gaceta anterior, cot. 8.4, lin. 51, donde dice del coronel partid» de Liébana debió celebrarse el sorteo el dia 29 de Marzo. Magueras, léase del coronel Nogueras» EN LA IMPRENTA REAL</t>
  </si>
  <si>
    <t>Real, Pedro Antonio Acuña Por</t>
  </si>
  <si>
    <t>Pedro Antonio Acuña Por Real</t>
  </si>
  <si>
    <t>…a atender á los gastos que ocasione el desempeña de su encargo; debiendo ponerse de acuerdo la misma comisión con el empresario PROVINCIA 1)£ JAEK. de los teatros acerca del modo de cobrar el producto de aquellas localidades. Sr. D. Pedro Antonio Acuña. Por Real cédula expedida en 22 del que rige, se ha dignado S. M. la Reina Gobernadora conceder a D. Donato González Saravía y compañeros Por Real órden de 2fi de-este-mes, 5. M. la Reina Gobernadora ha —pü-vilegio exclusivo por cinco años para asegurar la propiedad de cierta pasta servido autorizar al ayunt…</t>
  </si>
  <si>
    <t>Real, Por</t>
  </si>
  <si>
    <t>Por Real</t>
  </si>
  <si>
    <t>…eria mejor conmutar lo' diízm.s en una con de esta heroica villa. tribución territorial bajo ciertas condicione», sin que por evo fuese su animo tocar en lo ma» mínimo el derecho de propiedad de lo» perceptores de diezmos. Excmo. Sr.: Por Real orden de 16 de Diciembre del año último se dignó M. O’Connell v otros diputados irlandeses hablaron contra lo propuesto ,S. M. lá Reina Gobernadora conceder su Real permiso a D. Manuel Laridet- por M. Littleton, siendo el fondo de sus argumentos que la Irlanda se viese Ta , vecino de esta corte, pa…</t>
  </si>
  <si>
    <t>…su demarcación, y las correspondientes á los que son cabezas de par tido y demás lugares pequeños. Todavía no alcanzaron estas disposi T DEL DESPACHO DE HACIENDA. ciones para hacer efectiva-la cobranza. Asi sucedió que alguna vez Señora: Por Real decreto de 16 de Febrero de 182-4 se estable no se pagaban las letras giradas sobre el ramo por la dirección del ció en España la contribución llamada subsidio del Comercio. Per tesoro, dándose lugar á que se concediesen facultades arbitrarias y suadido el Gobierno de S. M. el Sr. D. Fernando vu de…</t>
  </si>
  <si>
    <t>Real, Presidente del Consejo</t>
  </si>
  <si>
    <t>Presidente del Consejo Real</t>
  </si>
  <si>
    <t>…. £. para su inteli arte ¿'ofició á seis españoles á lo menos. gencia, y demas efectos convenientes. Dios &amp;c. Madrid 28 de Febrero de 1834 7? El corregidor , alcalde mayor ú ordinario que dé certificaciones para el =zGareIJy.=Sr. duque Presidente del Consejo Real. objeto especificado en los artículos 3.a y 4*°&gt; remitirá copia de ellas al subdele gado de Fomentó de la provincia inmediatamente que las haya firmado, mani Teniendo S. M. la Reina Gobernadora en consideración las extraordina festando sí el género ó artículo es de mucho 6 poco despacho en la provin…</t>
  </si>
  <si>
    <t>…de Propios contra los fondos del 20 por luO y miiadpl i miento. Dios guarde á V. K. muchos años. Madrid 27 de Enero de i.834*-- de sobrantes ingresados en las tesorerías á favor de la Real caja de Amortiza-Nicolas María Garel!y.=Sr. Presidente del Consejo Real. ¿ion, y para el pago de sueldos y gastos de las oficinas generales del ramo, MINISTERIO DE LA GUERRA. asignaciones á establecimientos públicos, y otras varias’que se satisfacen menRtql orden para que los individu-os de tropa retirados á dispersos sean asis tualmente, se ha servido S. M. la Reina Go…</t>
  </si>
  <si>
    <t>Real, Presideríte del Consejo</t>
  </si>
  <si>
    <t>Presideríte del Consejo Real</t>
  </si>
  <si>
    <t>…ina ha dejado eterna memoria, decidiendo sus operaciones de su circulación y cumplimiento. Dios &amp;c. Carabanchel 21 de Junio la suerte de la Península, ha correspondido en la revista que S. ¡VI. de 1834. = Nicolás María GarelIy» = Sr. Presideríte del Consejo Real se ha dignado pasarle esta tarde al concepto que á S. M. merecía de España é Indias. por su instrucción y porte militar. Nuevas glorias esperan á estas MINISTERIO DE HACIENDA DE ESPAÑA. tropas beneméritas al otro lado del Ebro, donde el fuego de la re belión arroja todavía sus últimas llamaradas, á…</t>
  </si>
  <si>
    <t>Real, SSL PEINO NOTICIAS EXTRANGERAS</t>
  </si>
  <si>
    <t>SSL PEINO NOTICIAS EXTRANGERAS Real</t>
  </si>
  <si>
    <t>…sfrutan SS. AA. RR. los Se irnos. Se4* subdelegados de Fomento dentro de sus atribuciones. De Real or ¿otes Infantes. den &amp;c. Dios &amp;c. Madrid 26 de Marzo de 1834—Javier de Burgos. PARTE NO OFICIAL. M • • . JONISTERIO. DEL FOMENTO GENERAL SSL PEINO. NOTICIAS EXTRANGERAS. Real orden. .;; Persuadida S. M. la Raima Gobernadora de la, necesidad de (Continuación del correo anterior.) etablecer reglas uniformes que fijen con claridad y precisión las INGLATERRA. litaciones que los establecimientos de beneficencia del reino deben wner'con los subdelegados de Fomento, y el orden…</t>
  </si>
  <si>
    <t>Real, Vicente Genaro de Quesada Por</t>
  </si>
  <si>
    <t>Vicente Genaro de Quesada Por Real</t>
  </si>
  <si>
    <t>…entes, con algu cial derecho para solicitar remuneración pecuniaria por este servicio que a na cantidad proporcionada al mérito que han contraido. Dios &amp;c. Madrid i 3 comprometió á desempeñar gratuitamente. de Setiembre. ;=Excmo. Sr.=Vicente Genaro -de Quesada. Por Real orden dé 12 del corriente te ha dignado S. M. asociar á D. Lo Excmo. Sr.: El comandante general de la provincia de Toledo con "feche renzo Feijoo á la comisión creada por el Real decreto de 31 de Agosto último 9 del actual me dice lo siguiente: »Excmo Sr.: El capitán graduado teniente para formar e…</t>
  </si>
  <si>
    <t>Reales, Agus Vales</t>
  </si>
  <si>
    <t>Agus Vales Reales</t>
  </si>
  <si>
    <t>…543 y 55 i varias fs, ó vul.: 53] a do con el encargo que le di á mí subida á los puertos de que persiguiese al re d. f. ó vol., sin el cupón del l.° de Octubre próximo. belde Quilez.=Dios &amp;c. Bcceite 26 de Agosto de 1834-=Excmo. Sr.=Agus- Vales Reales no consolidados, 17-§ al contado. tin &lt;Nogueras*=Excino. Sr. dápitan general de Aragón.” Id.Deudasin negociableinreres, 12delá 60d.5 p. f.100ó ávol.,papel,á prima00. de $ p. 10&lt;X Acciones del banco español, 00. CAMBIOS. VARIEDADES. Amsrerdam, 00. París, 16-1 Cádiz, U á | h. Sevilla, I b. Bayona, 00…</t>
  </si>
  <si>
    <t>Reales, Antonio Remon Zarco del Valle</t>
  </si>
  <si>
    <t>Antonio Remon Zarco del Valle Reales</t>
  </si>
  <si>
    <t>…slo entendido, y lo comunica Pérez de Castro como enviado extraordinario, y ministro plenipo reis á quien corresponda. = Está rubricado de la Real mano. — En tenciario cerca de S. M. Fidelísima. Aranjuez á 18 de Abril de. 1834-=A D. Antonio Remon Zarco del Valle. Reales decretos. Habiendo fallecido D. Felipe de Córdoba, decano nombrado Convencido mi Real ánimo de la urgencia de plantear cuanto para la sección de Hacienda del Consejo Real de España é Indias, antes sea posible la división de los partidos judiciales por los gran vengo en conferir este destino en nomb…</t>
  </si>
  <si>
    <t>Reales, D Gaspar</t>
  </si>
  <si>
    <t>D Gaspar Reales</t>
  </si>
  <si>
    <t>…onio Remon Zarco del Valle. gobernador militar y político de la plaza de Zamora al mariscal de campo D. Fernando Butrón; y para reemplazar á este general en MINISTERIO SE GRACIA Y JUSTICIA. la comandancia general de Guipúzcoa, al brigadier D. Gaspar Reales órdenes. Jáurcgui; y asimismo conferir el empleo de teniente de Rey de la plaza de la Coruña al coronel D. Santos Allende. Por convenir al Real servicio es la voluntad de la Reina Go secretarías de las extinguidas que los dependientes debernadora, la PARTE NO OFICIAL. las funciones desempeñando pro…</t>
  </si>
  <si>
    <t>Reales, Gabriel</t>
  </si>
  <si>
    <t>Gabriel Reales</t>
  </si>
  <si>
    <t>…a Real mano.zrEn Palacio a 9 Del mismo beneficio disfrutan SS. A A. RJL los Sermos. Sres. Infantes. de Febrero de 1834..=Ai Presidente del Consejo y Cámara de Casulla. ‘ Por separación d«! alcalde de Corte del Consejo de Navarra, D. Gabriel Reales decretos» Eyaralar, vengo en nombrar en su lugar á O. Antonio Medrano. Tendráse Designadas por decreto de 26 de Enero último las atribuciones de la Real entendido en la Cámara para su cumplimiento.=Está rubricado de la Real ma audiencia de Madrid, ha quedado á cargo de los tenientes de villa sustan…</t>
  </si>
  <si>
    <t>Reales, Gaspar</t>
  </si>
  <si>
    <t>Gaspar Reales</t>
  </si>
  <si>
    <t>…Zarco del Valle. gobernador militar y político de la plaza de Zamora al mariscal de campo D. Fernando Butrón; y para reemplazar á este general en MINISTERIO SE GRACIA Y JUSTICIA. la comandancia general de Guipúzcoa, al brigadier D. Gaspar Reales órdenes. Jáurcgui; y asimismo conferir el empleo de teniente de Rey de la plaza de la Coruña al coronel D. Santos Allende. Por convenir al Real servicio es la voluntad de la Reina Go secretarías de las extinguidas que los dependientes debernadora, la PARTE NO OFICIAL. las funciones desempeñando pro…</t>
  </si>
  <si>
    <t>Reales, Indice de los</t>
  </si>
  <si>
    <t>Indice de los Reales</t>
  </si>
  <si>
    <t>…este año. .ayuntamiento; de D. Juan Tejero, racionero de esta santa iglesia catedral; de Ó. Luis Arrabal, procurador del común; del procurador de la tierra que se Julle en turno para asistir al ayuntamiento, y de D. Santos Aboin, coronel, Indice de los Reales decretos y órdenes publicados en este periddüo en todo #/| y de D. Carlos Mirle, individuos de comercio, desempeñando las funciones de mes anterior. tesorero D. Santos Aboin , y las de secretario D. Luis Arrabal. Siendo el ob Real orden organizando la Real audiencia de Madrid* ( Gaceta ttstm. 1S.)…</t>
  </si>
  <si>
    <t>Reales, José Rafael Villapol</t>
  </si>
  <si>
    <t>José Rafael Villapol Reales</t>
  </si>
  <si>
    <t>…Junio de 1854.—Al marques de Valverde. fael Gregorio de Veleña , decano de la Real audiencia de Sevilla, • K1HISTERIO DE HACIENDA DE ESPAÑA. para la plaza de ministro del tribunal supremo de Hacienda, vacante por fallecimiento de D. José Rafael Villapol. Reales órdenes. ¡ Re dado cuenta á la Reina Gobernadora &lt;lél expediente promo Tamhicn se ha servido eronerar de su destino de intendente vido por la Dirección general dé Rentas, relativo á que se declare de Segovia á D. Eusebio de la Barcena; nombrando en su lugar á el modo dé cancelar'los débitos de alca…</t>
  </si>
  <si>
    <t>Reales, Julián</t>
  </si>
  <si>
    <t>Julián Reales</t>
  </si>
  <si>
    <t>…OÜl.íít lflííl t ; .'GciJI Oj;^; GelestinO ---— resolviendo'quc por* esta vez: continíie la actual quinta á cargo del miniter¡q^e Ja,GÍ.er*a..(^¿)^„;... ; «c, ragafia , Alcalde electo* de la vtHa del Prailo , y para su ‘resalta á D. Julián Reales decretos nombrando a D. Fernando Butrón gobernador de Zamora,! Martínez y Yautpiasj'(í¿L) 1 - ‘ V ■ *■/ • . 1 ’E&gt;. Gaspar JSuregui comandante general de»- Guipúzcoa, y á -'D. Santos __ T nombrando torfej*i&lt;iA¥ de Arévalo á D.Valentin deGarralda. ¡ (Idíy AlTeñde teniente dé rey de la Coruña. (Id.) "…</t>
  </si>
  <si>
    <t>Reales, Justo</t>
  </si>
  <si>
    <t>Justo Reales</t>
  </si>
  <si>
    <t>…io general militar; D. Pedro Cevallos, del 11 v ; D. Vicente Ramos García, obispo electo de Almería; D. Maria Conseo de Estado; conde de Cartagena, teniente general de los no Liñan, obis|&gt;o electo de Teruel; marques de Jura Real; D. Justo Reales ejércitos, capitán general de Galicia; marques de Moni ayo, María lbar Navarro, del Consejo de Estado; D. Francisco Arango, teniente general de los Reales ejércitos,-capitán general, de Castilla individuo del suprimido Gvnsejo de Indias; conde de VillanueVa. la Vieja; D. Francisco Javier Caro, del…</t>
  </si>
  <si>
    <t>Reales, Oí</t>
  </si>
  <si>
    <t>Oí Reales</t>
  </si>
  <si>
    <t>…ábricas Reales decretos nombrártela para la seétíiórt'de güetra det tjoniejo .Real de ‘Es- de cristal y acero de la villa de Utriilas, provincia de Teruel. (Id.) '¿afia Ílndíás S'Di’Féanéreeb' JaVief "A&lt;bMlta r D- Ffelipt Montes, D. 'Oí- -Reales decretos. tjíandáfidcí 'qbé serfortile una i jiinta para- lá reforma :V anreglo OWuéí y Ei.:Yóft4s;'Ooniale¿ de €^ftr«(jal; (Vd»n!-5a&gt; i - ’d- dél ct@r»;C¡Vt¡H)¿67;). Tí' . -' '• h: ' r-e • , &lt;•••• - nombtatido para la spccion de Indias del íniémo •Consejó'&amp; IX &amp;aápar de _____designando las persona…</t>
  </si>
  <si>
    <t>…s fábricas Reales decretos nombriridó para la seétíiórt'de güerra det tjoniejo .Real de ‘Es- de cristal y acero de la villa de Utriilas, provincia de Teruel. (Id.) '¿afia Ílndíás S'Di’Féanéñcb' JaVief Aíbswlhír D- Ffelipt Montes, D. 'Oí- -Reales decretos, tnsndáfidó'qbése'fortile una ijiintapara- lá rcTorrótt :V adreglo í¿r Dífuéf y B.'Bóttás;'Oo&lt;tzale¿ daCitmijal. i. ’d- dél cI@r»tC¡Vt¡H)¿67;). tí' .- -' ' r.e • ¿. - 7. nombrando para la spccion de Indias del íniémo •Consejó'4IX &amp;aápar de ____ designando las personas dé (t&gt;iftítffia&gt;(Idty…</t>
  </si>
  <si>
    <t>Reales, Vales</t>
  </si>
  <si>
    <t>Vales Reales</t>
  </si>
  <si>
    <t>…$44i variasOc é val.: I34.va— ancóntdihdose ocho caballos ensillados, de que so apoderaron las tropas, enya Títulos " 100. de p. rías fs. vol., 4 prima 6 1 y ¿ mdreha de ocho ¿ nueve horas por terrenos fragosísimos encomia dicho general- Vales Reales no consolidados, 17tal contado. '^3 Habiéndose asegurado que el fugitivo Pretendiente se encaminaba al Bas- Deuda negociable de S p. 100 4 papel ,00. «n , paíó i aquel valle el general en gefe con las tropas de-su inmediato marr- Id. sin Ínteres, 104 *1 contado: ll| á 60 d- f. 6 rol. Acciones del b…</t>
  </si>
  <si>
    <t>…P- 100, i 11 al contado: 13 &amp; varias A ó'vol.r 14| í 60 4 f lor y entusiasmo que tienen tan acreditado , «o pudiendo yo menos dé reco ó vol., a prima de 1 p. 100. . mendar á V. E. al'citado comandante Jove, y con especialidad al capitán Vales Reales 1,0 consolidados, 19# y 19# al contado: 19#, i, # y 19# á varias fs. ó vol.: D. Vicente Ruiz, que después de portarse bizarramente, fue herido de grave- Deuda19# ánegociable42 d. f. ó devol-,i p.á prima100 a papel.de 1# p.00.100. dad.”Todo lo que tengo el honor de trasladar á V'. E. para su superio…</t>
  </si>
  <si>
    <t>Realesnegociableno, DeudaVales</t>
  </si>
  <si>
    <t>DeudaVales Realesnegociableno</t>
  </si>
  <si>
    <t>…69 ¿ 40 ds. f. ó vol. Inscripciones en el gran libro á 4 p, 100* 00. Tirulos al portador del 4 p* 100, 59J y 60 al eontado;6l, ^,61/61^ i varías fs» vol. y firmé. En la ciudad de Avila se ha solemnizado el cumpleaños de S. M. la Reina -DeudaVales Realesnegociableno consolidados,de S p. 100 á 21,pape)20J,,'20^2l£a yvarías20i áfs.varias,ó vol.fs. ó vol, Gobernadora con indecible satisfacción de sus habitantes y muestras de la ma Id. sin Ínteres* 12|, 1$ dieaíseisavos y 12| ai contado: 13, i y £ á varias fs. ó vol» yor concordia y fraternidad- El comandante de l…</t>
  </si>
  <si>
    <t>Realier</t>
  </si>
  <si>
    <t>…s proposiciones expongan- las razonas que les mucla navegación del íUiin y del Escalda que pertenece á.estos.do» últimos países. _ ven á hacerla» en las sesione» do 22 del corriente y 1." de Marzo. Adhiriendo á la indicación ,deb Sr. Realier declatra. la Cámara que el pro- f AUSTXIA. t yecto de ley sobre carros de trasporte se discuta en esta legislatura. Vima 18 de Febrero. Principia la discusion del proyecto de ley relativo al arreglo del cuadro del En las últimas cartas que se han recibido de Bucharest se anuncia que han . estado, m…</t>
  </si>
  <si>
    <t>…no es saludable, moral ni útil; y con que ha fallecido en esta villa á consecuencia de las heridas que recibió en Inac cluye aprobando la proposición. ción. El enemigo dejó también en nuestro poder dos carros con municiones, y El Sr. Realier sostiene que la pena que se quiere abolir es mas racional, desde el dia 18 hasta hoy se me han presentado 86 desertores de todas armas. mas sábia y mas moral que la de inhabilitación legal; añade que aun dado caso Tengo fundamento para asegurar que entre los muchos oficiales enemigos que la Cámara…</t>
  </si>
  <si>
    <t>Realier-Dumas</t>
  </si>
  <si>
    <t>…£ proponer que á la pena de muerte ci sas no haya más que una sola casa, resto de una población antigua, ocupada vil se sustituya la inhabilitación. por Un mdntaraz que reasume en sí toda clase de autoridad. De ello resulta el El Sr. Realier-Dumas observa que la legislación actual no permite que se habers£ multiplicado tan prodigiosamente las jurisdicciones con menoscabo de acceda á la propuesta del Sr. Devaux; añadiendo que seria muy chocante abo los derechos municipales, fundamento de la libertad civil, y el verse casi dclir ahora una pena…</t>
  </si>
  <si>
    <t>Rebocho</t>
  </si>
  <si>
    <t>…- Excmo. Sr.: Los'rebeldes, habiendo reunido la fuerza que tenían en Santa- y literarios. losch i Belgrado. (Standard.} - ' . / con la división mandada por el general Lémos, que ocupaba el A.lentejo, y-Ja que bajo las órdenes del brigadier .Rebocho habla venido de las inmedia ciones &lt;fe Oporto , intentaron desalojarnos de las posiciones que ocjipábamos, y para verificarlo, al mismo tiempo que amenazaban nuestro frente, procuraron1 con una fuerte división envolver nuestra izquierda. El generaLLemos con 4 es f a Gaceta universal de Suiza anunci…</t>
  </si>
  <si>
    <t>Rebol</t>
  </si>
  <si>
    <t>…líticas. De la urna electoral sale un trabuco , una lanza y dos sables , ha-S»endo pre^o ademas en las casas $ de en definitiva la sentencia de los diferentes sistemas que aspiran al honor de di ellos de los cuales 2 ya huían. El coronel Rebol lo esperaba se presentasen rigir los negocios públicos- Deaqui nace el inlcrcs con que cada partido defien oItos muchos de diferentes puebios, siendo u&gt; e! terror pánico de que, esta pp - de ante el gran jurado nacional la causa de sus principio» y de sus esperanzas. seida aquella gente , que la di…</t>
  </si>
  <si>
    <t>Rebollo</t>
  </si>
  <si>
    <t>…dministrativas; y je dan brevino, y lo intransitable del terreno, ni uno solo se hubiera salvado. Son las muchos conocimientos sin los cuales no pueden llenar con acierto sus deberes los lla ocho de la noche, y acaba de llegar el coronel Rebollo con su columna, y mados al difícil cargo de cooperar &gt;1 fomento de la riqueza y prosperidad pública! mañana se reconocerá el campo. Solo hemos tenido algunos contusos, un ca Se vende á 10 rs. en rústica en Madrid en la imprenta de Burgos, y en las librerías de Cuesta, Sánchez y Matute. ballo muerto…</t>
  </si>
  <si>
    <t>…Aragón dice que el 3 salía el bri Mbn inversa del cuadrado de la distancia, podremos decir que con. gadier Toxa de Álcaftiz con una fuerte coluuma para Andorra. El esta sencilla'operación se ha aumentado 16 veces la potencia admi coronel Rebollo se dirigía desde Longares sobre el rebelde Conenistrativa en aquellos países, y por consiguiente la facilidad y ex sa, que con una gavilla de 80 infantes y 30 caballos se hallaba el pedición de los negocios. dia 4 en Codos. En- pocas horas, pueden ahora despacharse, y se han despacha do en efecto,…</t>
  </si>
  <si>
    <t>…jómase sobre sí las atenciones que , -—Por providencia del Sr, J&gt;. Domingo del de comci^dr de esu viU»* se cita á.p» Bftlin? de NqvaÍm y D.Rey,4qtcrÍnpYi^te ^íetc?, suf legíeimróí.ljerederos, MueVfmómraito sé tallaban á cargo del coronel Rebollo y comandante yy demasdemás personaspersonas qoéqué sesetrainci ctfn derecho %'uArc«tfwss6ion da‘■erAiT*^*-*-««*j- —- ......i- ~i flti'-deéniil------.que el1 capitán-—:—n-------1g_______ 4 —tqn pudiese dispoper de las jtrO-.. ei sn/dsero !124« dada po f Sf Vil de «óí'floijfa.'iuia oponerse á cu¡i&lt;ni¿r…</t>
  </si>
  <si>
    <t>…espitan general del ejército y reino de ,Atagon.=: Es copiacr: tropa que había en dicho pueblo; por el denuedo de su comandante D. Miguel Ezpeleta. . w ILodriguez, subteniente del 1,3'de líneá; por el de la columna del mando del coronel Rebollo; por la decisiofCy acertadas disposiciones de este gefe. Acom Columna móvil del Guadalope.=:Excmo. Sr.; He hecho un reconocimiento paño á V. E. copia del duplicado del primer parte que me dirigió de estas ocur esta mañana sobre ias .aturas de Beceite, v no habiendo observado permane-r rencias, cuyo…</t>
  </si>
  <si>
    <t>…ticia he dispuesto inmediata venid, poniendo ei respectivo sello. En la cmdad de Caracas i 11 de Marzo del afio del Señor 1833. =(L_ S.) mente ia salida de esta plaza de una columna de 200 infante* y 'é «aballo* 4 las órdenes del coronel Rebollo, y estas comunicadas las uidrtn oportuna» á Augusto Mahelio. = (L. S.) José E. Gallegos. M ilutamos y .ordenamos en consecuencia que las presentes estipulaciones, los Urbanos de tas poblaciones de ia derecha del Ebro para que asteo dispuestos. «Adoptadas estas medidas Ke recibido á l«~nucve de esta…</t>
  </si>
  <si>
    <t>…ella. Lo que pongq en noticia de V.E. para que .se Je he comunicado, verificará, tanto en este distrito como en Castilla ó cualquier .sírva elevarlo á conocimiento de S. M&gt; la Reina .Gobernadora. otro puntoUna de las partidas del coronel Rebollo, empleada en la persecución de ..Parte.4 que se refiere el oficio anterior. una gavilla de 5 hombres montados mandados por el Gaitero, ha conseguido coger dos de estos, un caballo y varias armas. 1 Exento. Sr.: Consecuente á lo que insinué á V. E. en papel fecha de ayer Por la copia del parte del g…</t>
  </si>
  <si>
    <t>…Arroyo que se adelantaban en dirección de la Lievana. del norte del reino de Valencia. En el de Aragón no había mas par El bizarro brigadier Iriarte que manda en dichas merindades mar tida que la de Conesa, que sorprendida por el coronel Rebollo á chaba á su encuentro, mientras otras fuerzas destacadas de Santan favor de una marcha rapida hecha en carros, fue vigorosamente der se dirigían contra Arrayo. atacada y derrotada en Almonacid de las Ollas. El principado de Merino, Cuevillas, Nieto y otros cabecillas de los que al lado Cataluña, á…</t>
  </si>
  <si>
    <t>…do cesado ia cnfermedad,en sus afueras. En el resto de la provincia se iba mejorando el estado sanitario. pe en fuerza de &lt;$UU á 7UU hombres, única con que contaban, se dirigieron sobre Bot, en donde alcanzados por la columna del coronel Rebollo, y a muy poca costa fueron puestos en completa dispersión; resultando por cuantos avi PROVINCIA DE TERUEL. sos recibe de los pueblos del distrito que mas de la rvutad de la fuerza expresa da se halla en el dia en sus casas publicando su desengaño, siendo perseguidos Según dice su gobernador civil c…</t>
  </si>
  <si>
    <t>…ragoneses el fin que espera á los que separándose de su Id. sin interes, 00. Acciones del banco espafiol, 00. deber, abandonan sus casas por seguir á unos impostores que nada les importa sacrificarlos á sus intereses. CAMBIOS. El coronel Rebollo con 50 caballos de Borbon, 30 fusileros Amsterdam , 00. Alicante 4 cortoi pla Granada ) d. y 20 urbanos de preferencia de esta capital, salió ayer en dirección Bayona, 00. zo i d.' M41aga par. de Bujaraloz, por si los cabecillas rebeldes intentan dirigirse al Burdeos, 00. Barcelona 4 pesos fs. Sant…</t>
  </si>
  <si>
    <t>…dotadas esta Real sociedad, adjudicará Parte recibido en la Secretaría de Estado y del Despacho de la Guerra. los siguientes: Con fecha 11 del corriente remite á este ministerio el capitán general de Niños. Aragón un parte que el coronel Rebollo le da en 8 del mismo,' avilándole ha-' berse reunido con el capitán de caballería D. Antonio Martin; añadiendo que Clase 1.a Ocho premios de cinta, medalla de plata y 20 rs. vn. á lo* ni este o6cíal fue el que en la acción del Pedregal cargó la izquierda de Carnicer, ños de seis á ocho años que res…</t>
  </si>
  <si>
    <t>…8 del corriente había venido á S. Sebastian en comisión del servicio , da par ner. Carnicer con 20 caballos se fugó desde el principió de la acción. te de las noticias contestes que se recibían y confirmaban la confusión y des El coronel Rebollo , que ya se halla en el partido de Daroca, concluirá aliento de los facciosos después que las tropas del ejército han emprendido sus con los restos de Conesa, que también se ha fugado, y quedará restablecida la operacio&amp;es activas. Añade que entre los cabos Machichaco y de Higuer se con tranquilida…</t>
  </si>
  <si>
    <t>…ocios de esta sucesión: y el abogado, seducido hasta lo sumo, no menos por los hechizos de la viuda — Capitanía general de Aragón. = Excmo. Sr. = Los partes que he recibido hoy de las operaciones del capitán general de Valencia y coronel Rebollo son que por el atractivo de sus riquezas, la ofreció su mano, que fue aceptada in anteriores á los que ayer tuve el honor de trasladar á V. E.; pero convienen mediatamente. Mr. Hyde llegó á ser, andando los tiempos, el celebre conde en que la facción va acosada por nuestras tropas, en términos que…</t>
  </si>
  <si>
    <t>…rovincia y las inmediatas, según lo prevenido por S. M. El capitán general de Aragón con fecha 20 de Mayo , dice entre otras co Ademas de los proyectos de caminos de que ha hablado ya, ha comisionado sas á este ministerio, que el coronel Rebollo en la mañana del 18 dirigiéndose á una persona de conocimientos para que le proponga el de un puente sdbre él hicia Villafeliche y partido de Calattyud para perseguir en él al cabecilla Cor rio Guadalhorce , inmediato á la villa de Alara y camino de Antequera, V tés , tuvo noticia de estar la facci…</t>
  </si>
  <si>
    <t>…; y que todas «las facción» CAMBIOS. reunidas solo llegan á 600 hombres , cansados, hambrientos y desalentados, en Amsrerdam, 00. París, 16-7 á 8. Cádiz, par. Sevilla, 4 b. cuya persecución se ocupaban ei brigadier Santa Cruz, el coronel Rebollo y el Bayona, DO Alicante, acorto pía- Coruña, | d. Valencia, i Id. coronel Nogueras. , Burdeos, 00. zo, | b. Granada, id. id. Zaragoza, j d. En otro del dia 20 y con referencia, al que el brigadier Santa Cruz habia Hamburgo, 00. Barcelona, k pa. Málaga, 4 b. Descuento de letras, Lóndres, 4 90 días, 1…</t>
  </si>
  <si>
    <t>…ciones en el gran libro i 4 p. 100 , 00. cia de Cuenca, dado en Frías el dia 22, manifiesta que Carnicer file alcanzado Tirulos al portador del 4 P- 100, 511, 4. í y 511 al contado: S3J, t. 1, 1 y ií| 4 la noche del día 20 por el coronel Rebollo en las cuevas de Castellote, y dis varias &amp; ó voL_ persada enteramente sa gavílla , dejándose bagagés, equlpages, armas y mochi • Vales Reates no consolidados; 201 V 20} á varias fs. O vot. Deuda negociable de 5 p. 100 á papel, IVi a 60 d. f. ó vol. las, y los presos de. Mota y otros pueblos, que h…</t>
  </si>
  <si>
    <t>Rebollo, D Ramón</t>
  </si>
  <si>
    <t>D Ramón Rebollo</t>
  </si>
  <si>
    <t>…Julio próximo, !a plausible ceremonia de la adjudi El cqpitan general de Aragón con fecha 10 de Junio remite á este minis cación de prenYios que á expensas de sus socios ofrece á la virtud y mérito ep terio el parte siguiente: El coronel D. Ramón Rebollo, comandante de una el programa siguiente:columna móvil, con fecha 8 del actual á las ocho de su mañana desde el Povo, acricelti/ra.pueblo del señorío de Molina, me dice lo siguiente: Exento- Sr.: Como dije á V. E. esta mañana dividí mi columna en dos trozos, el uno con el objeto de Una onza de oro…</t>
  </si>
  <si>
    <t>Rebollo, Isidro</t>
  </si>
  <si>
    <t>Isidro Rebollo</t>
  </si>
  <si>
    <t>…os de costas y fronteras D. José Viñas. sentan á cada momento prisioneros que cogen escondidos en las ca Como el teniente graduado de capitán del regimiento de Ma sas y en las peñas, y todos los desmandados por la sierra. llorca, D. Isidro Rebollo vió ayer mañana en el pueblo de Ar- Dios guarde á V. S. muchos años. Pauls 15 de Abril de 1834nescon porción considerable de aquellos miserables, que se salva =Jos¿ Santa Cruz.c=Sr. comandante general del Este de Valencia. ron huyendo por precipicios , debo creer que serán de los batidos =Es copii.…</t>
  </si>
  <si>
    <t>Rebollo, Josef</t>
  </si>
  <si>
    <t>Josef Rebollo</t>
  </si>
  <si>
    <t>…Joaquín Segarra, idem , de Martoreil. -..-•Curso completo de matemáticas, compuesto eo francés porS. F. Lacroi» , para uso ■ Joan Raull, idem, de Alforja del Priorato. de la escuela central de las cuatro naciones» y traducido por D. Josef Rebollo y.iMeBartolomé Barceló, ídem, de Ustrell. rales: 3.a edición» a Do de 1826* 4 tomos en 4.0, á 70 rs. en rama, 7 6 eo rústica y ; lorenzo Gasten, ídem, de Olesa. 92et 2.°en pasta,la álgebra:comprendeel 3.0 ellos tomoelementosx.° de deestageometría,obra el tratadode loselementalque es ladedécimaaritm…</t>
  </si>
  <si>
    <t>Rebollo, Juan</t>
  </si>
  <si>
    <t>Juan Rebollo</t>
  </si>
  <si>
    <t>…n de una nueva facción venida por Us inmediaciones de nicnte de provinciales de Ciudad Real D. Bernardo Rutz, y del subteniente del Gaivez con dirección al Tajo ; y habiéndola alcanzado, la he bandereen mi 6° ligero,.mi ayudante, D. Juan Rebollo, qtie habiéndosele roto el sable co-r pequeña columna reforzada con 6 Urbanos de esta villa; siendo los resultados gio el fusil del primer muerto que tuvimos, y marchó al punto mas avanzado quedar en mí poder los 15 caballos.que montaban, algunos facciosos heridos á la vista de algunas guerrillas *…</t>
  </si>
  <si>
    <t>…á ladiscuskxodriproyeetordqlsy relativo &amp; ifls.’tqngdores y. .fue el primero qué alcanzó á un faccioso y le dio la muerte', como' asimismo depositarios de arawa y iwiiúoiñpes dd miens^ arricia» aprobado* .el subteniente de Eorbon D. Juan Rebollo que le acompañó- Paso circular á bni oádiB^iisión.y adop«di.l^ky pop JfiOX votos soprra 10* , ,1 ■ 1? pueplos inmediatos, para que capturen tos^dispersos. Dios dcc. - Se •paSalá'.la discusión general del proyecto de .ley relativo'á un «¿dita ex-¿ traordinario de 2(109 fr. para celebrar «Vctffrto-an…</t>
  </si>
  <si>
    <t>Rebollo, Ramón</t>
  </si>
  <si>
    <t>Ramón Rebollo</t>
  </si>
  <si>
    <t>…de los prisioneros. En el campo perecieron 4-0, 18 de ellos pero esperaré la columna. Dios Monforte 2' de Abril de 1834 2 la5 siete recogidos por la justicia de este pueblo como se ve en el adjunto certificado de la noche.—Excmo. Sr. = Ramón Rebollo. = Excma. Sr. capitán general de dayuntamiento, y los demas por los pueblos inmediatos, la mayor parte en este reiao^=Es copia." = Ezpeleta. 1 cercino carrascal. Hicimos 51 prisioneros, 26 de ellos están heridos; se han usi/ado esta mañana i las ocho el cabecilla Ignacio Jover, de Mequinenza, que El…</t>
  </si>
  <si>
    <t>…óximo, !a plausible ceremonia de la adjudi El cqpitan general de Aragón con fecha 10 de Junio remite á este minis cación de prenYios que á expensas de sus socios ofrece á la virtud y mérito ep terio el parte siguiente: El coronel D. Ramón Rebollo, comandante de una el programa siguiente:columna móvil, con fecha 8 del actual á las ocho de su mañana desde el Povo, acricelti/ra.pueblo del señorío de Molina, me dice lo siguiente: Exento- Sr.: Como dije á V. E. esta mañana dividí mi columna en dos trozos, el uno con el objeto de Una onza de oro…</t>
  </si>
  <si>
    <t>…de el siglo xm ál xix ha consumido Francia 35 afios en guerras ¿¡vi «Dios &amp;c. Bueña 15 de Setiembre de 1834 é 1** ocho y media de la.noles; 4_&lt;J en guerras de religión; 76 en guerras extrangeras dentro de su territo eht r= Excmo. Sr. = Ramón Rebollo.=Excmo. Sr. capitón general de esta rio, y 17S ídem en el exterior. Son 326 años de guerra, y 174 de Paz- ejército y reino.” (Gaceta de Francia.) ' ttn el día hay en Francia 11,339 distritos (comunes) que todavía carecen El capitán general de la Isla de Cuba ha dado cuenta del rasgo de huma de escue…</t>
  </si>
  <si>
    <t>Rebollo-con, Isidro</t>
  </si>
  <si>
    <t>Isidro Rebollo-con</t>
  </si>
  <si>
    <t>…eniente coronel D. Miguel Aitón con la mitad de los cazadores del regí mico to,.de Mallorca. Que én el mismo dia' 14 persiguió en los puertos de Bflocytc: Extracto de las últimas noticias recibidas en el ministerio del el espitan D. Isidro Rebollo-con ia otra mitad de los mismos ca Fomento acerca del estado de la celebración de la quinta. zadores á una gavilla desconocida, que no pudo tampoco-alcanzar» y salo logró quitarle una caballería cargada con un carnero y 8Ó Avila 16 de Abril. Han sido entregados en el depósito dj, panes. . . Arévalo tod…</t>
  </si>
  <si>
    <t>Recacbo, Juan José</t>
  </si>
  <si>
    <t>Juan José Recacbo</t>
  </si>
  <si>
    <t>…ano.= San Ildefonso 20 de Agosto de 1834—A D. Francisco Martínez de la Rosa, Presidente del Consejo de Ministros. REAL PECHELO. Para la plaza del supremo tribunal de España é Indias, vacante PARTE NO OFICIAL. por fallecimiento de D. Juan José Recacbo, vengo en nombrar á NOTICIAS EXTRANGERAS. D. José María Manescau, régeme de la audiencia de Madrid. Tendréislo entendido, y lo comunicareis á cjuien corresponda—Esta ru bricado de la Real mano. =: En Riofrio a 14 de Agosto de 1854. = A (Continuación del correo anterior.) D. Nicolás María Garelly. D…</t>
  </si>
  <si>
    <t>Recacho, Juan José</t>
  </si>
  <si>
    <t>Juan José Recacho</t>
  </si>
  <si>
    <t>…Manuel María Arbizu y Alava; á Don la Guerra: resultan los siguientes detalles: Manuel Genaro Viilota; á D. Manuel Plácido Berriozabal; al Sabedor que la facción de Luqui y Latorre se hallaba en Orozmarques de Piedras-Blancas y 4 D. Juan José Recacho, y para co en número de 800 á 13 hombres, hizo que el día 15 se diri fiscal de la misma 4 D. Francisco Entrambas-aguas. Tendréislo giesen sobre este punto dos columnas en diferentes direcciones, una entendido, y lo comunicareis á quien corresponda—Está rubricado mandada por el brigadier D. Manuel B…</t>
  </si>
  <si>
    <t>Recano, Domingo</t>
  </si>
  <si>
    <t>Domingo Recano</t>
  </si>
  <si>
    <t>…a* las personas que- te creán coo derecho á Ips bienes.de dicho concurso para que se presenten en el término de dorna**' vieron presentes en, (Uj.élíÍftio.cuando resoivtó.unir algunís próvinciás al sásáf sindicó de la dependencia D. Domingo Recano con los documentos justificativo» Egipto y colocarlas bajo la autoridad de ^ehemet-Alí-bajá, con. pl..fm de de sus-crédhos, prevenidas qoe de no hacerloics parará perjuicio. ;:r&gt; ei.it V ¿.-.tiiLj . * ¿¿ EN LA IMPRENTiAREAL. - ^ ' ■</t>
  </si>
  <si>
    <t>Recibid, An</t>
  </si>
  <si>
    <t>An Recibid</t>
  </si>
  <si>
    <t>…ó del infotúie«Tcn¿$i$general.la. bondad también el costo de la descarga, y enseguida se dirigió en unión del licenciado Sr. prefpqip dje Vuestro departamento. D. Francisco José de Quesada , el señor alcalde de la santa hermandad D. An «Recibid , señores, &amp;c.’&amp;c.=El ministro de Instrucción publica, Gulzot gel Caballero, D. Rafael Pardo, con otras personas de varios sexos, y noso Las sociedades cuya existencia no ha llegado aun á noticia del gobierno, tros los comisarios al hospital cié caridad, y después de haber visitado los en y aquella…</t>
  </si>
  <si>
    <t>Recibiré</t>
  </si>
  <si>
    <t>…a por el presidente de la república, el 16 de Agosto último pasa defienden, emplean un lenguage enteramente opuesto á los papeles del partido do, á Mr. Lafiitte: democrático ó de Jackson; y según dicen ellos mismos, SQ triunfo es general «Recibiré con, fia verdadero placeé á la .períodi que tinga encargada de en todas partes. {Courier.) esta comisión. Cuento con vuestra ayuda para disipar las dudas que intenta excitaren los ánimos la malevolencia acerca demuestras verdaderas mteddiones . .—Anunciamos con sumo placer que la-tranquil idad cont…</t>
  </si>
  <si>
    <t>Redolido</t>
  </si>
  <si>
    <t>…so í la comisión para que le reformase y arreglase al discurso á la Rosa, García Herreros-&amp;c.; y habiendo en España Hatos lan preciosos, hu que contestaba. " ------ biera sido por demas buscarlos fuera. Asi que acabó de hablar él Sr. Redolido reclamó el Sr..Gizaldo te pre o Ha dicho el Sr. preopinante que la nación no está aun preparada para guntase si ci asunto estaba suficientemente discutido. recibir la libertad de imprenta, y parece como que ha querido indicar que á El Sr. Secretario Caballero hizo presente no habla ningún artículo…</t>
  </si>
  <si>
    <t>Redonda</t>
  </si>
  <si>
    <t>…módeleidelré-t la habtén'dÜfelndíflpvictorioiameiite en las Córte;, y «Me hecho et público y gimen representativo! * --J '&lt;-*■ ’ ‘notorio.- '••-* ■ ■ ! ■ - «Soy , pues, de dictamen que el proyecto vuelva á l*_comision para que El Sr. Redonda pronunció un larguísima discurso, que no pudo oirte por esta lo reforme en el sentido indicado.” la poca voz del orador. Sin embargo , por loque pudo percibirse se cóttoció Sr. Abarg'ues: La comisión no ha tenido necesidad de tomar ideas .pres * que siguiendo la misma mircha que los Señores Procura…</t>
  </si>
  <si>
    <t>Redondo</t>
  </si>
  <si>
    <t>…se preguntado si estaba el punto suficientemente discutido, se Íque prometamos, y asi restableceremos nuestro crédito mücho mejor que pro declaré que si. metiendo lo que no podemos pagar; y asi encontraremos mejor partido, por El Sr. Redondo: «He oido i unos citar la ley de Partida, que no exige que sabido es que el valor y réditos de los empréstitos están siempre en razón mas qué 17 años para recibirse de abogado, 4 otros manifestar que se necesi directa de la seguridad de lo»capitales, y la mayor ó menor probabilidad dé tan 25.; debo…</t>
  </si>
  <si>
    <t>…rse cuenta de una porción de adiciones que se habían van las opiniones pasadas en perjuicio de los que amen la reconciliación; sea hecho al mismo. mos todos unos los españoles; pero estas ideas, bellas en teoría, no podran 17 Del Sr. Redondo: «No- serán incluidos en el alistamiento los re tener aplicación completa en la práctica, mientras haya facciones, mientras latores de los tribunales supremos, superiores y especiales, aunque no sean dure la guerra civil, mientras exista á su frente un pretendiente al trono que de nombramiento Real…</t>
  </si>
  <si>
    <t>…hizo en acuerdo con lo que dijo ayer , de lo que me felicito extraordinariamente. uno de sus artículos fue á virtud de propuesta de un Sr.: Procurador.” (Insistiendo el Sr. Florez Estrada en su idéa, hicieron varias observacio El Sr. Redondo pidió se leyesen algunos párrafos Ae la sesión del ló nes los Sres. López, Montevírgen,..) por el suplemento de la Gaceta. ” Me parece que después de esto, muy poco ó nada queda que deci r sobre El Sr. 'Vicepresidente: «No teniendo la Gaceta en punto i sesiones el particular; y jo he manifestado qu…</t>
  </si>
  <si>
    <t>…eses relativas á los presupuestos de agentes consulares.” El Expresado Señor manifestó que al hacer esta _proposicion ao tetiiq mas nientes.” objeto que el salvar á la comisión de que se creyese que no defendió sus bases* . . -El Sr. Redondo ocupó la tribuna, y en un breve discurso hizo presente El Sr. Vicepresidente dijo que creía no hubiese necesidad de que recaye que én ninguna plañera' sería útil la cuenta que*%e hiciese y presentase en Ja pró se acuerdo del Estamento sobre la referida proposición, porque habiéndose xima legislatur…</t>
  </si>
  <si>
    <t>…viage. Es sezuro que no. Por decisión del Estamento si se hará asi hasta que se establezcan reglas generales, y consiguiente insisto en que se apruebe el dictamen de la comisión.” entonces puedan discutirse todas de una vez.” El Sr. Redondo: «Quisiera saber si en esta partida de gastos eventuales ó En seguida, habiéndose puesto á votación si el Estamento acordaba que se imprevistos se comprenden también los secretos, porque suele"haber necesidad de suspendiera por ahora esta parte del presupuesto de Estado hasta que se estable ellos y…</t>
  </si>
  <si>
    <t>…ciones á quienes corresponda rán á quedar-obligadas á sucu mpliniicnto, no contándose ct tiempo trascurri lá adición. ■ "&gt; ' . . do desdeja cédula de 182^hai*e la"sanción del presente proyecto comoley.” Vista la&lt; propuesta por el Sr. Redondo al párrafo 4-° del articülo'4-0, El Sr. Vallejo se Opuso á que se admitiese, Fundado en que la ley no de para que se añada, ¿ los-que no deben ser incluidos en etdistamiento «los're be comprender sino dos casás comunes y ordinarios, sin descender á los parti latores dé los tribunales supremos , sup…</t>
  </si>
  <si>
    <t>…cretaría. Me he limitado á pre asi: sentar aquellas observaciones que por ser mas propias de mis estudios he creí Subalternos del tribunal. do que contribuirán á ilustrar algún tanto al Estamento.” Después de haber manifestado el Sr. Redondo, en un discurso que no se Art. 3.° «Se dejan los cuatro agentes fiscales con 18D rs. cada uno en vez pudo percibir bien, que no debían hacerse todavía las reformas que se propo de 229. nían en el tribunal especial de Guerra y Marina, se declaró este punto sufi «Se suprimen el capellán , los tres ag…</t>
  </si>
  <si>
    <t>…los proce de ello, para ponerlo en noticia del Estamento y fijar lo que se ha de discutir dimientos judiciales. «n la primera sedon ; lo que se avisará al domicilio de los Sres. Procuradores. ♦'Diga mi digno amigo y compañero el Sr. Redondo, dignísimo fiscal de •'Ciérrase la sesión.” la audiencia de Valencia , que recorrió , en virtud de comisión regia , lo* pue Se levantó esta a las dos. / EN LA IMPRENTA REAL.</t>
  </si>
  <si>
    <t>Redondo, D Francisco</t>
  </si>
  <si>
    <t>D Francisco Redondo</t>
  </si>
  <si>
    <t>…r como calumnias y libelos. Ningún hecho nos da margen i cal Sr. D. Damian de la Santa. cular cuándo podrá concluirse la contienda entre el Presidente, el Senado y ei Sr. D. Juan Pa larca. Sanco. (Courier.) PROVINCIA DB PA1KNCIA. Sr. D. Francisco Redondo , del Tribunal Supremo de Etpa&amp;a. £ Indni. París 22 de Junio. Sr. D. Francisco Orense, propietario y del comercio. Lonja de ayer. Cinco por loO consolidados 106 fr. 30 e. Fondos españo PROVINCIA BB SAI ABANCA. les , renta de España 3 por 100,4Al* Empréstito Real de id., 86: rente Sr. D. Jbaquin Các…</t>
  </si>
  <si>
    <t>Redondo, Francisco</t>
  </si>
  <si>
    <t>Francisco Redondo</t>
  </si>
  <si>
    <t>…á pojn conocimiento de S.' Míj bara la resOfüCÍdJi que estime concediente. José Martínez Areta, á D. José Mier, á D. Teótimo Escudero,! De -Afad orden lo°di¿» s:V. E. pati suimtwigOTC¡xytatiñfflimián!- D. Matías Herrero Prieto, á D. Francisco Redondo y á D. José to. Dios guarde á V. E. muchos años. AraDjuez l.° de Abril de María Calatrava. Y para fiscales de las mismas a D. Manuel Liza- I8.34. = Nicolas María Garelly. = Sr. Presidente del supremo Tri na y á D. Juan Nepomuceno San, Miguel. Tendréislo entendido, bunal de España é Indias. y lo comun…</t>
  </si>
  <si>
    <t>…mo calumnias y libelos. Ningún hecho nos da margen i cal Sr. D. Damian de la Santa. cular cuándo podrá concluirse la contienda entre el Presidente, el Senado y ei Sr. D. Juan Pa larca. Sanco. (Courier.) PROVINCIA DB PA1KNCIA. Sr. D. Francisco Redondo , del Tribunal Supremo de Etpa&amp;a. £ Indni. París 22 de Junio. Sr. D. Francisco Orense, propietario y del comercio. Lonja de ayer. Cinco por loO consolidados 106 fr. 30 e. Fondos españo PROVINCIA BB SAI ABANCA. les , renta de España 3 por 100,4Al* Empréstito Real de id., 86: rente Sr. D. Jbaquin Các…</t>
  </si>
  <si>
    <t>…na de las posesiones de U-ltramar, en cimiento de S. M. lo que se le ofrezca y parezca en todo el día de mañana. América ó Asia, conminándolos desde luego con que en el caso de incurrir ♦♦La Cámara habiendo oído in voce al fiscal D. Francisco Redondo, y no a otra vez en delito de igual naturaleza, serán castigados irremisiblemente con el los otros dos, por hallarse uno enfermo, y el otro no presente, es de parecer, último suplicio. que se comunique orden al alcalde mayor de Salamanca para que en el térmi En cuanto á los demas reos condenados po…</t>
  </si>
  <si>
    <t>…nión pública respecto de una materia de tanta trascen comisión á D. Vicente Cano Manuel, del Consejo Real de España é dencia ; en lo cual empleará V. todo su zelo y eficacia, correspon Indias en la sección de Gracia y Justicia; á D. Francisco Redondo, diendo A la confianza que S. AI. le lia 4,&gt;sPensaJ°- ministro dei tribunal supremo de España é Indias; á D. José Ala De Real orden lo comunico á V. para su inteligencia y cum ría Manosean, Regente de la audiencia (le Madrid; A D. Francisco plimiento. Verea y Cornejo, ministro de la misma, v A L).…</t>
  </si>
  <si>
    <t>…nifestó que debía, tenerse en consideración , que el acta estaba Él pré»b¡tero D. Pedro Antonio de la Cámara................................. JüO redactada sin otros datos que los apuntes particulares de los Secretarios , y los . D. Francisco Redondo , del Consejo supremo de España é Indias.. 500 que habiltvqjtítíldoP detener *n" la1 memoria; püe4‘rfo habiendo asistido loé taquí . D. Manuel de- Craúrza por ahora 2uü_rs., y mentalmente 20 desde grafos ¿’fosésloh f no hábia bfrd medio de redactor el acta*; y por consiguiente l.° de Agosto........…</t>
  </si>
  <si>
    <t>Redró</t>
  </si>
  <si>
    <t>…, eS'gibinete de Lóndrcs y el de París obran de concierto en un mismo sistema Fl Tiempo se explica encesto-, términos : «La muerte de un Soberanp como dé política, ysus'miras son idénticas con respecto á los negocios de la Penín- Don Redró será vivamente sentida por los patriólas portugueses, con quienes -tóli. El Diario dé Us Debates IraCé los mas ardientes votos para que el duque siempre estuvo unido, á excepción da unos pocos, indóciles á toda autoridad .fié Psiltaela sea fctre en ,él desempeño/de los altos deberes de su difícil m…</t>
  </si>
  <si>
    <t>Regen</t>
  </si>
  <si>
    <t>…á un Prínci general en favor de todos los súbditos de S. M. Fidelísima, que dcntTO de un pe que ha osado querer arrebatar ¡a Corona á su legítima Poseedora, á la Hija término que se señalará vuelvan á su obediencia; y S. M. I, ci duque Regen de su propio Hermano; pero Jejos de que este partido baya logrado desplegar te, á nombre de la Reina Doña Mana ii, declara también su intención de las fuerzas con que se lisonjeaba (después de tantos años de conspirar con ale asegurar al infame D. Miguel, luego que salga de los estados portugueses y v…</t>
  </si>
  <si>
    <t>Regenta</t>
  </si>
  <si>
    <t>…e era imposible arregle á las proposiciones que se tomen en consideración. Digo que e-s forzoso, probar; quisieron, de las consideraciones únicas de que es susceptible esta cues porque creo que ahora se fijará otra asignación á U Reina Regenta, con ar tión, deducir números. Pues bien, múdense las cantidades; póngase en el que reglo á la qus se señale á S. M. Doña Isabel 11. Asi que el Estamento no de ha dicho 24, 20; y 20 en el que ha dicho 24, f se verá que los díscur&gt;o* que be ocuparse de cs'e asunto hasta que la Comisión hava presenta…</t>
  </si>
  <si>
    <t>Regente</t>
  </si>
  <si>
    <t>…ados de Egíií por las mismas tropas, quilinjoles ÓG vacas, al Propone el vicepresidente que en atención á la desagradable ocurrencia de gunas armas y otros efectos. Las compañías de cazadores de Avila , Gerona y la muerte del Sr. Duque Regente, suspenda la Cámara sus sesiones por algunos de ia Guardia Real de infantería, sostenidas por dos batallones , dieron con los días, ocupándose entre tanto las comisiones en el despacho de los importantes enemigos en el bosque, y los persiguieron con el mayor empeño á través de asuntos que se les ha…</t>
  </si>
  <si>
    <t>…n todos gal y de los Algarbes, á nombre de la Reina Doña María ii , íntima conceptos, cómo sean recibidas y tratadas Las tropas de 5. M. Fide mente convencidas que los intereses de ambas coronas y la seguridad lísima ; y S. M. la Reina Regente se obliga á hacer retirar sus tro de sus dominios respectivos exigen emplear inmediata y vigorosa pas fuera del territorio portugués, apenas el objeto mencionado de mente sus esfuerzos unidos para poner término a las hostilidades que, la expulsión de Los Infantes se haya realizado, y cuando la pres…</t>
  </si>
  <si>
    <t>…■ . . . , . los pormenores son:^el 28 de.MayoJlegóá aquella isla procedente, de.Lí»- FRANCIA. &lt; I I . ¡ : boa la fragata de guerra portuguesa t&gt;. Pedro, cuyo comandante ere portador de ^ &gt; ’ Parí* 2S de Junio una carta regia del Duque Regente, fecha 13 def referido mes, con órd^n al Lonja de hoy. Cinco por 100 consolidados 106 fr. SO c. Fondos espsño- gobernador D. Alvaro da Costa para que' en el término de tres fe Iés", rerifa’3e España 3 por" 100, 4^1* Empréstito Real dé Ídem 8á&amp; Rentü su recibo, prestase é hiciese prestar obediencia…</t>
  </si>
  <si>
    <t>…ase del público sosiego en las Monarquías hereditarias), convocó el dos conceptos como sean recibidas y tratadas las tropas de Ó. M. Fidelísima; y Sr. D. Fernando vii (Q. E. E. G.) Us Cortes del Reino por el mes de Junio S. M. la Reina Regente se obliga á Hacer retirar sus tropas fuera del territo del año próximo pasado, 4 fin de que reconociesen y jurasen 4 su augusta pri rio portugués apenas ei objeto mencionado de la expulsión de los infames se mogénita como Princesa de Asiúrias, y heredera del trono de su Padre, 4 fal haya realizado…</t>
  </si>
  <si>
    <t>…a de tres semanas. (Diario de los Debates ) INGLATERRA. Lóndres 6 de Junio. ,___ La Cr tínica Je Gibraltar, refiriéndose á un per:* dico de Lisboa , dice que CAmam de los Lores- Sesión del 5 de Junio. El marques de Londonderry el Emperador Regente ha convocado las Cortes de Portugal para el d;3 15 del dijo que sin duda el conde Grey , sentado en el banco opuesto , no le tacharía de mes de Agosto próximo. poco urbano sí renovaba las mismas preguntas que hizo la noebe anterior , cuan do S* S. estábil ausente. Tampoco creía que hubiese inconven…</t>
  </si>
  <si>
    <t>…por desgracia ha entrar en el palco fue extraordinario el entusiasmo de los concurrentes, salualterado en el espíritu de las poblaciones tanta instabilidad en los hombres y en díndo.con voces de alegría á la Reina, á la Carta, al Duque Regente y i Ja las leyes. Duquesa de Braganza. Largo raid manifestó el leal pueblo de esta ciudad, la sa »De esta manera se desarrollarán los inmensos recursos del país, y se au tisfacción que abrigaba en su pecho por el día venturoso tantos años interrum mentarán las conquistas de nuestra industria. Los est…</t>
  </si>
  <si>
    <t>Regente, Al</t>
  </si>
  <si>
    <t>Al Regente</t>
  </si>
  <si>
    <t>…rio dt Francfort.^ MINISTERIO DE GRACIA T JUSTICIA. ■ . Ta comisión de la asamblea legislativa lia abierto s» Sesiones por la&amp; doReal órden. libcxaeiones acerca de-la Organización dé la policía, lo que hice creer qdfe esta Excmo. Sr.: Al Regente de la audiencia de Madrid i digo con cuestión no tardari en presentarse i las Cámaras. Parece que araiene inteiciós esta fecha de Real orden lo que sigue: »En cumplimiento de lo dis- de. Reparar U policía judicial de la administrativa , lo que producirá ventijk'iífmediatas, en cuanto la'policía podrí obr…</t>
  </si>
  <si>
    <t>Regente, Duque</t>
  </si>
  <si>
    <t>Duque Regente</t>
  </si>
  <si>
    <t>…alojados de Egíií por las mismas tropas, quilinjoles ÓG vacas, al Propone el vicepresidente que en atención á la desagradable ocurrencia de gunas armas y otros efectos. Las compañías de cazadores de Avila , Gerona y la muerte del Sr. Duque Regente, suspenda la Cámara sus sesiones por algunos de ia Guardia Real de infantería, sostenidas por dos batallones , dieron con los días, ocupándose entre tanto las comisiones en el despacho de los importantes enemigos en el bosque, y los persiguieron con el mayor empeño á través de asuntos que se les ha…</t>
  </si>
  <si>
    <t>Regí, D José</t>
  </si>
  <si>
    <t>D José Regí</t>
  </si>
  <si>
    <t>…n D. Pedro Murías , 60 de Castilla , á las órdenes del teniente graduado de capi Sayona 6 di Sttitmbrr. tán D. José María Choribit, y tres compañías de Borbon á las de los capitanes D. Joaquín Diaz Ribago y D. Miguel Arnat, y del teniente D- José Regí no Se asegura que la junta carlista llegó el dia 3 del corriente con su escolta Mijares. a las alturas de Urdax huyendo de Elizondo , por temor de la columna de Jáu- La caballería avanzó desde luego sobre el pueblo, y cumpliendo exacta regui que seguía hácia Aranaz. Siendo tan atropellada la marcha…</t>
  </si>
  <si>
    <t>Regó, José Ventura</t>
  </si>
  <si>
    <t>José Ventura Regó</t>
  </si>
  <si>
    <t>…la provincia; vicedirector á .Títulos■Inscripcionesal portadoren el grandel 4 librop. 100,á.4 p. á100,14 d.00.f. ó roí. D. Antonio María Montenegro, coronel del provincial de Pontevedra; censor Vales Reales no consolidados, 00. i D. José Ventura Regó, y secretario í D. Ramón MaríaGodoy. Asimismo Deuda negociable de í p^JOO k papel, 00, U nombrado presidente de la diputación permanente en esta corte al Excelen Id. sin Interes. 12 al contado: 124 y 13 á varias fie. rol. -sr firme-, 124 y MI eaelas f. o.toI., a prima de 4 p. 10Q. J tísimo Sr. D. M…</t>
  </si>
  <si>
    <t>Regoyos, Canuto</t>
  </si>
  <si>
    <t>Canuto Regoyos</t>
  </si>
  <si>
    <t>…es: D. Bonifacio Olive,’ de Torres^ í&gt;. Luis Lapeyre, pertenecen á su facción; el resto, es decir, la gran mayoría de los , IX Oiriaco Fijillasiain,D^Ramon españoles, las luces, las riquezas , las virtudes;, todo lo reputan_por , D. Canuto Regoyos, í). Eegiro Blanchar ,'p. Luis Blanchar, Don enemigo, cuya destrucción les es necesaria, para conseguir su plaii'r Ignacio' 3e Eguilloz, D. Pablo de Beitia, D. Juan Antonio, de ‘ de 1823, que es pasearse sobre las, ruinas de.España como una tri-,, Salla, D. Justo de- Acha, D. Pedro Pick, EX Pedro T…</t>
  </si>
  <si>
    <t>Rehausen</t>
  </si>
  <si>
    <t>…simismo i observar esta conducta la convicción en que estaban de que si metes. Durante su ausencia desempeña-las funciones de encargado de Negocio* los cantones suizos quieren cumplir esta obligación , no pueden carecer de [pe el barón Rehausen. (Standard.) dios para hacerlo, y que los tienen igualmente para cumplir las condiciones, que únicamente pueden servir de base £ las relaciones mútuas de buena vecin (I) Esta es la únicanotaque hasta el día han publicado los periódicos suizos- vero dad. Si faltan esta voluntad y este poder , los Est…</t>
  </si>
  <si>
    <t>Reholla</t>
  </si>
  <si>
    <t>…GuardiaRcal loa contingentes de tropas de mar y. (¡erra.!...... ..... . i \ J?. José-Fauphj y un granadero dé la mi™ T&lt;1 Afortuna Heraldha recibido cartas de Rio-Janeiro que alcanzan has ■ Asimismo acompaña el siguiente parte del coronel Reholla. r ta éF r^ de julio. Ségün su'córresponsal todo estaba tranquilo en fa capital del «Columna de la izquierda deíOuadalupej=Número 24-=Excmo. S?.: Salí - Imperio jr no se temía nittgati'desórden.- El proyecto de reTorma de Constítu- • esta mañana-para Argente, como tuve el honor de decir á V. E. desd…</t>
  </si>
  <si>
    <t>Reibjl, Isabel y S M la</t>
  </si>
  <si>
    <t>Isabel y S M la Reibjl</t>
  </si>
  <si>
    <t>…Indias,...*..'......... 4oo loa KOO. v.;/ . . kDE MADRID. ¿&lt; ARTICCDODEOEICIO. et aumento proporcionado al de gastos que les ocasionará bu man sión en la corte. Otro objeto de mas alto ínteres me he propuesto ......teí** SftíJpr^ Doña Isabel y S. M. la Reibjl en la nueva planta que doy á la Real Capilla, y es componerla de sa Gobernadoray «gp^n sin . novedad bq su importante salud. cerdotes que reúnan á la calidad de afectos á la causa de la Reina :c X* • X - .-y &lt;*ht ‘‘ * •' ' •• - •' L la» no mena» indispensables de ciencia y virtud, reconocidas va en…</t>
  </si>
  <si>
    <t>Reiita, D Ja S M la</t>
  </si>
  <si>
    <t>D Ja S M la Reiita</t>
  </si>
  <si>
    <t>…D. "vvYYn~rYYVW\nruvv\rjnnrunrrv^rrri~r-,'i-*,*^-‘‘ * cuando se hallen mas florecientes las diferente* tener que puedan ARTICULO DE OFICIO. al su origen. le deben qne industrias Y S. M. se ha servido nombrar para esta comisión al Sr. D. Ja- S. M. la Reiita nuestra Señora, su augusta Madre la Reina cobo María de Parga, Procer del Reino, presidente; á D. Vicente Gobernadora y la Serma. Sra. Infanta Doña María Luisa, continúan González Arnao, del consejo Real; á D. Rafael Cabanillas, inspec sin novedad en su importante salud en el Real sitio del Pardo.…</t>
  </si>
  <si>
    <t>Reiita, Ja S M la</t>
  </si>
  <si>
    <t>Ja S M la Reiita</t>
  </si>
  <si>
    <t>…vvYYn~rYYVW\nruvv\rjnnrunrrv^rrri~r-,'i-*,*^-‘‘ * cuando se hallen mas florecientes las diferente* tener que puedan ARTICULO DE OFICIO. al su origen. le deben qne industrias Y S. M. se ha servido nombrar para esta comisión al Sr. D. Ja- S. M. la Reiita nuestra Señora, su augusta Madre la Reina cobo María de Parga, Procer del Reino, presidente; á D. Vicente Gobernadora y la Serma. Sra. Infanta Doña María Luisa, continúan González Arnao, del consejo Real; á D. Rafael Cabanillas, inspec sin novedad en su importante salud en el Real sitio del Pardo.…</t>
  </si>
  <si>
    <t>Reika, Juan A La S M la</t>
  </si>
  <si>
    <t>Juan A La S M la Reika</t>
  </si>
  <si>
    <t>…xfinnn ARTICULO DE OFICIO. quete , enel querepresentantepor sus leyesdel Brasilfueronseallíinteresócondenadospor aquellosdos súbditosdesgraciados.brasileños,Hace luegopoco que el Gobierno imperial ha sido informado qué el general D. Juan A. La- S. M. la Reika nuestra Señora, su augusta Madre la Reina valleja , acompañado de rms de 200 hombres, consiguió partir de Buenos-Ai-es Gobernadora y la Serma. Sra. Infanta Doña María Luisa, continúan y desembarcar el día 12 de*Marzo en Las Higu^ritas, en la costa de Urustía v, procurando fomentar nuevas perturbaci…</t>
  </si>
  <si>
    <t>Reille</t>
  </si>
  <si>
    <t>…s plazas de Maguncia y Luxemburgo. A aero coa.’ínuo se procede á nombraf secretarios, cuyos destinos recaen enreste precio, que por cierto no seria exorbitante, se podría cedsr en las actua conde de Bondy, el duque de Brissac, el conde Reille y el marques de La I les circunstancias Ja parte del territorio de Luxemburgo que se disputa. Asi so Place. La Cámara nombra después k» Pares que han de componer las comisio volvia á ganar, á k» menos bajo el punto de vista estratégico, la parte de ter nes, inclusa la que ha de redactar el proyecto d…</t>
  </si>
  <si>
    <t>…las fuerzas espa camara de ios rARES- ^.Sesión del dia 12 ¿te Abril. ñolas servirán de ejército auxiliar: ejército que al mismo tiempo que apurara al pretesdiente^D. Carlos, ayudará visiblemente á debilitar las armas de D* Mi El conde Reille lee el informe de la comisión que ha examinado el pro guel. Todo indica un progreso rápido hacia la pacificación de entrambas nacio yecto de ley relativo á poner á disposición del ministro de Guerra dos millo nes, que los intereses de la civilización y de la libertad hacen jan deseable. nes de Tran…</t>
  </si>
  <si>
    <t>Reina</t>
  </si>
  <si>
    <t>…s hubiera sido bastante para fatigar otra que desear hasta ahora, siendo imposible reunir una masa mas á tropa que no estuviese tan entusiasmada por nuestra amada y tierna propósito ni mas dispuesta para servir á la Reina nuestra Señora, Reina,y su excelsa Madre; asi que, penetrado de este grato prin asi fuera de su patria, como dentro de ella; todo elogio en obse cipio , y cerciorado de que lo mas precioso del equipage del Preten quio de tan beneméritos individuos no es bastante á expresar su mé diente, su ¡lustre familia y agregados ma…</t>
  </si>
  <si>
    <t>…Sr. Crespo de Tejada; «Estoy de acuerdo con el Sr. Caballero en en el Congreso y el público al oir tan inesperada como escandalosa expresión, ue se admita á discusión la indicación del Sr. Morales, en razón de que los que el Sr. Diputado Reina tuvo que desaparecer como por escotillón. Esta fue ? ondos que procedieron del empréstito de Guebhard, como he manifestado la primera vez que se oyÓ en España hablar de un absolutismo , que luego se anteriormente, ni directa ni indirectamente entraran en poder de la regencia: planteó tan vigorosame…</t>
  </si>
  <si>
    <t>Reina, Antonio La</t>
  </si>
  <si>
    <t>Antonio La Reina</t>
  </si>
  <si>
    <t>….... ....... 38o I (jü yS. Para ludias.............. ....... 4°° aoo xoo. GACETA DE Af AlDRID. ARTICULO DE OFICIO. po de Astorga D. Félix Amat; al R. obispo de Huesca D. Lorenzo Ramo de San Blas; al R. obispo que fue de Cartagena D. Antonio La Reina nuestra Señora Doña Isabel ir, y S. M. la Reina Posadas; al R. obispo que fue de Mallorca D. Pedro González VaGobernadora , siguen en el Real sitio de Aranjuez sin novedad llejo; al R. obispo electo de Almería D. Vicente Ramos y García; al R. obispo electo de Teruel D. Mariano Liñan: y para la clas…</t>
  </si>
  <si>
    <t>Reina, Car</t>
  </si>
  <si>
    <t>Car Reina</t>
  </si>
  <si>
    <t>…ias que con tap añadir que nos asiste motivo pir3 creer que el Gobierno ha sido igualmente ia lealtad y gloria defienden la justa' causa de su augusta Hija la activo en adoptaT las medidas mas eficaces para destruir los planes de D. Car Reina nuestra Señora Doña Isabel ii, se ba dignado declarar que las los en el ooite de E^pañ*. Al efecto se preparan buques de guerra y barcos de vacantes que ocurran en los cuerpos de infantería ó caballería por yapOr, prontos i obrar en el momento que las circunstancias lo requieran. muerte de alguno d…</t>
  </si>
  <si>
    <t>Reina, Diputado</t>
  </si>
  <si>
    <t>Diputado Reina</t>
  </si>
  <si>
    <t>…ó El Sr. Crespo de Tejada; «Estoy de acuerdo con el Sr. Caballero en en el Congreso y el público al oir tan inesperada como escandalosa expresión, ue se admita á discusión la indicación del Sr. Morales, en razón de que los que el Sr. Diputado Reina tuvo que desaparecer como por escotillón. Esta fue ? ondos que procedieron del empréstito de Guebhard, como he manifestado la primera vez que se oyÓ en España hablar de un absolutismo , que luego se anteriormente, ni directa ni indirectamente entraran en poder de la regencia: planteó tan vigorosame…</t>
  </si>
  <si>
    <t>Reina, Manuel José Quin S M la</t>
  </si>
  <si>
    <t>Manuel José Quin S M la Reina</t>
  </si>
  <si>
    <t>…fi«»v K ' .^c Correo»«. Paja Canaria»_.... ..... J&amp;ií 190 Para Indias............ ..... 4°d *09 MN. ARTICULO DE OFICIO. Para vocales de la dirección general de Estudios creada por nji Real decreto de este día, vengo en nombrar á D. Manuel José Quin ' S. M. la Reina nuestra Señora, su augusta Madre la Reina tana, Procer del Reino; á D. Mariano Liñan, Procer del Reino v obispo electo de Teruel; á D. José Mariano Vallejo, vocal que lia Gobernadora y la Serma. Sra. Infanta Doña María Luisa, continúan sido de la inspección general de Instrucción pública: á D. Juan…</t>
  </si>
  <si>
    <t>Reina, S M la</t>
  </si>
  <si>
    <t>S M la Reina</t>
  </si>
  <si>
    <t>…DRID. CU M WWV«*W«, ARTICULO DE OFICIO. socios que durante el ano se hubieren incorporado y de los que se hubiesen separado. Oficio recibido en el ministerio de lo Interior. Art. 66. Tendrá una de las tres llaves del arca. Excmo. Sr.: S. M. la Reina nuestra Señora, igualmente que CAPITULO VII. S. M. la Reina Gobernadora su augusta Madre, y S. A. la Serma. Infanta Doña María Luisa, continúan sin la menor novedad en su Del tesorero. importante salud. Lo que de Real orden participo á V. E. para su Art. 67. El tesorero recibirá y pagará todas las…</t>
  </si>
  <si>
    <t>….......... 3ao iho fin Para Canarias............... 38o 190 y5 Para Indias.............. 4°° a00 100 GACETA MADRID. ha salido pan el Real sirio de Windsor por invitación especial de SS. MM* ARTICULO DE OFICIO. allí y la Reina. el Rey S. M. la Reina nuestra Señora , su augusta Madre la Reina - —Mr. Rothschild ha dejado esta ciudad de resultas de un expreso que reciGobernadora ^ laSerrna. Sra. Infanta Doña María 'Luisa, continúan bió de P-dris, en que se le decía que inmediatamente se trasladase á aquella ca 8Ín novedad én su importante salud e…</t>
  </si>
  <si>
    <t>…a noche, tienen obligación los se Oficio recibido en el ministerio de lo Interior. renos de avisar á todas las personas que delien asistir a ellos y resi dan en sus res [lectivos distritos. Después de dar la voz de la hora Excmo. Sr.: S. M. la Reina nuestra Señora, su augusta Ma dre la Reina Gobernadora, y S. A. la Señora Infanta Doña María añadirán la de «fuego en tal parroquia” para conocimiento del ve-' cindario.Luisa, continúan sin novedad alguna en su importante salud. De4t&gt;. Todas las guardias y piquetes de la población destacarán UBReal…</t>
  </si>
  <si>
    <t>…su Reina augusta á la derecha; y á'Ja i izquierda, en el mismo estrado y á alguna distancia, el Serenisiiro Oficio recibido en el ministerio de lo Interior. Señor luíante D. Francisco de Paula Antonio: á uno v otra larin Excino. Sr.: S. M. la Reina nuestra Señora, y su augusta Ma del Trono en pie los Secretarios del Despacho; detras de las Peno-' dre la Reina Gobernadora, como también la Señora Infanta Doña ñas Reales los Gefes de Palacio, las Damas de honor ¡y personas de María twsa, continúan sin novedail en su importante salud. De la servi…</t>
  </si>
  <si>
    <t>…GACETA DE MADRID. ARTICULO DE OFICIO. que cuidarPor tantode sumandoejecución.se observe,Dado enimprima,el Palaciopubliquedel gobiernoy circuledelá Astado,quienes toen Toluca á 8 de Julio de i834*=José María Esquível.crJ. M. Cora, secretario. S. M. la Reina nuestra Señora, su augusta Madre la Reina Gobernadora y la Serma. Sra. Infanta Doña María Luisa, continúan Idem 6 Je Julio. sin novedad en su importante salud en el Real Sitio del Pardo. Hoy se ha celebrado en la catedral la solemne función del primer día del ® triduo que el cabildo metropolitano h…</t>
  </si>
  <si>
    <t>…idasen el casono estánde teneraun quecicatrizadas,decidirse yporel Oficio recibido en el ministerio de lo Inierior. menor movimiento militar á.que se viese forzado el Gran Señor, causaría un golpe mortal á su poder. (Idff Eterno. Sr.: S. M. la Reina nuestra Señora, su augusta Madre la Reina Gobernadora, como también S. A. la Señora Infanta Doña XUSIA. Mária Luisa, continúan sin la inenor novedad en su importante sa lud. De Real orden- lo participo á Y. E. para su satisfacción y para Petenburgo de Junto. los efectos oportunos—Dios guarde á V. E…</t>
  </si>
  <si>
    <t>…too loo. GACETA DE MADRID. ARTICULO DE OFICIO. BELGICA. Brujelaj 26 de Junio. Oficio recibido en el ministerio de lo Interior. El gobierno brasileño acaba de nombrar al marques de Licbeo encargado de Negocios en Bruselas. Excmo. Sr.: S. M. la Reina nuestra Señora, y su augusta Ma —-----M. Mary , encargado de Negocios en el Brasil, ha presentado sus creden dre la Reina Gobernadora, é igualmente S. A. la Señora Infama ciales el 14 de Febrero al ministro de Negocios extrañecros del Brasil. El 18 Doña María Luisa, continúan sin la menor novedad e…</t>
  </si>
  <si>
    <t>Reína, S M la</t>
  </si>
  <si>
    <t>S M la Reína</t>
  </si>
  <si>
    <t>…en las cárceles muchos infelices que Oficio recibido en ¡el ministerio de lo Interior. incurrieron en ciertos delitos leves en sí de contrabando, defrauda ción ó sus incidencias; se ha dignado resolver, en nombre de su au Exento. Sr.: S. M. la Reína nuestra Señora y su augusta Madre gusta nija Doña Isabel ii, lo siguiente: la Reina Gobernadora, continúan sin la menor novedad en su im Artículo 1? Los subdelegados de rentas, tan luego como reciban portante salud. esta Real determinación, acompañados de sus asesores, practica- De igual beneficio…</t>
  </si>
  <si>
    <t>…suministraron auxilios directos, y coadyu Oficio recibido en el ministerio de lo Interior. varon á sus planes, basta el punto de fabricar y custodiarse en di cho convento municiones de guerra y armas; y qué á la entrada de Excmo. Sr.: S. M. la Reina nuestra Señora y su augusta Madre mi ejército, casi la totalidad de los religiosos le abandonó, uniéndo la Reina Gobernadora, continúan sin la menor novedad en su impor- se muchos á la facción rebelde: en nombre de mi excelsa Hija Doña portante salud. „ Isabel ii, he venido en suprimir dicho conven…</t>
  </si>
  <si>
    <t>…chos Próceres no podrá bajar de treinta. Oficio recibido en el ministerio de lo Interior. Si ninguno obtuviere la mayoría al isoluta de votos, ó si la obtu vieren algunos, pero no los cinco que se necesitan, se procederá á Eicmo. Sr.: S. M. la Reina nuestra Señora y su augusta Ma segunda votación, ó á mas si fuere menester, por el mismo método dre la Reina Gobernadora , continúan sin novedad en su impoitante y forma ; pero en estas votaciones no serán válidos los votos que se salud. dieren á los que no ilayan reunido diez por lo menos en la vo…</t>
  </si>
  <si>
    <t>…o de que se exprese en el acta haber sido de contrario dictámen á lo que el Estamento haya aprobado; pero no Oficio recibido en el ministerio de lo Interior; podrá exponer ninguna razón ni motivo, ni usar de aquel derecho' £xcmo. Sr.: S. M. la Reina nuestra Señora y su augusta Madre sino dentro del término de 24 horas. la Reina Gobernadora, continúan sin la menor novedad en su im portante salud. titulo vn. Del mismo beneficio siguen disfrutando SS. AA. la Serma. Se ñora Infanta Doña María Luisa, y el Sermo. Sr. Infante D. Fran Disposiciones pe…</t>
  </si>
  <si>
    <t>…i*ii*i* TITULO Til. ARTICULO DE OFICIO. \ De las atribuciones judiciales que competen al Estamento de Proceres. Oficio recibido en el ministerio de lo Interior. Art. 1(9. El Estamento de Proceres ejercerá atribuciones judi Excmo. Sr.: S. M. la Reina nuestra Señora y su augusta Madre ciales en los casos siguientes: la Reina Gobernadora, continúan sin la menor novedad en su im- 1“ Cuando juzgue á los Secretarios del Despacho, en virtud da .portante salad. una acusación entabTdi por el Estamento de Procuradores del Rei Del mismo beneficio siguen…</t>
  </si>
  <si>
    <t>…rias..,,.......... 38o 190 95. Para Indias__.... 400 IDO ; loo» . GACETA DE MADRID. ARTICULO DE OFICIO. entendido, y lo comunicareis á quien correspónda.=Está rubricado de la Real mano, ir En el Pardo á 19 de Noviembre de 1834.=A Don S. M. la Reina nuestra Señora, su augusta Madre la Reina Nicolás Alaría Garelly. Gobernadora y la Se mía. Sra. Infanta Doña María Luisa, continúan Deseando que la justicia se administre en primera instancia • lio novedad en su importante salud en el Real sitio del Pardo. por los jueces letrados de partido, confor…</t>
  </si>
  <si>
    <t>…y á todas las insti ^ Oficio recibido en el ministerio de ló Interior. tuciones de Inglaterra. El (lord 'Wicklow) no pedia comprender cómo el no ble Conde que está á la cabeza del gobierno, y el noble Marques presidenta ' Eterno. Sr.: S. M. la Reina nuestra Señora Doña Isabel rt, y del Consejo apoyaban semejantes medidas, ni cómo declaraban no solo la com S. M. la Reina Gobernadora han llegado felizmente á este Real Si-* petencia del Estado en el despojo violento de los bienes de la Iglesia, mas aun tio en el dí'á'de hoy. SS. MM. y S. A. conti…</t>
  </si>
  <si>
    <t>Reina, S M-la</t>
  </si>
  <si>
    <t>S M-la Reina</t>
  </si>
  <si>
    <t>…ciones al comercio, se autoriza ai In ter)-lente de la ílaliana para que establezca como mejor estime, asi Oficio recibido en el ministerio de lo Interior• los depósitos de las harinas, como lo que deberán satisfacer por de Excma Sr.: S. M-la Reina nuestra Señora, y su angosta Ma pósito, concediendo espera para ios pagos que do excedan de cuatro dre la Reina Gobernadora, é igualmente S. A. la Señora infanta Ineses. Pona María Luisa, siguen sin la menor novelad.en su importante 10. Los derechos señalados á las harinas en los artículos 1?, 2?,…</t>
  </si>
  <si>
    <t>Reina, S SÍ la</t>
  </si>
  <si>
    <t>S SÍ la Reina</t>
  </si>
  <si>
    <t>…que se les impongan; las cuales, previa su conformidad y aprobación en consecuencia del capitán general, Oficio recibido en el ministerio de lo Interior. se llevarán á efecto; y si no se conformasen, se sustanciar in y terExcmo. Sr. : S. SÍ. la Reina nuestra Señora igualmente que minarán dichas causas con arreglo á las laves vigentes por la misma Comisión militar. De Real orden lo digo á V. E, para su inteli S» M- Ia Reina .Gobernadora su augusta Madre, y S. A. la Señora gencia, y que disponga su cumplimiento. Y de la misma Real or Infanta Doña…</t>
  </si>
  <si>
    <t>Reina, SS MM la</t>
  </si>
  <si>
    <t>SS MM la Reina</t>
  </si>
  <si>
    <t>…reciban todo género de socorros, y5 se repro-’uzcan los ejemplos de heroica caridad cristiana que dieron - Oficio recibido en el ministerio de lo Interior. sus predecesores en circunstancias semejantes. De Real orden k&gt; di Ercmo. Sr.: SS. MM. la Reina nuestra Señora y su augusta go á V. E. para su inteligencia, no dudando S. M. que V. E. em Madre, é igualmente S. A. la Señora Infanta Doña María Luisa, pleará el zelo mas ardiente para-que tengan cumplido efecto las be continúan sin la menor novedad en su importante salud. Lo que de néficas miras…</t>
  </si>
  <si>
    <t>…solo serán dos, quedando los que hubiesen obtenido mayor nú mero de votos en esta. Oficio recibido en el ministerio de lo Interior. Art. 37. Igualmente el destino de archivero se desempeñará por turno entre los directores. Excmo. Sr.: SS. MM. la Reina nuestra Señora y la Reina Go Art. 38. Las elecciones se harán por votación á propuesta de la bernadora, como también S. A. la Sra, Infanta Doña María Luisa, Di reccion. continúan sin novedad en su importante salad. Lo que de Real or Art. 39. La votación sobre los asuntos discutidos se hará por él d…</t>
  </si>
  <si>
    <t>…orden remitió V. S. con su informe de 12 de Junio último. Oficios recibidos en el ministerio de lo Interior. Enterada de todo S. M., ha tenido á bien mandar: 17 Que por ahora se cierre dicho colegio de jesuítas de Pasages; Excmo. Sr.: SS. MM. la Reina nuestra Señora, y su augusta y todos los bienes, efectos y alhajas pertenecientes á-la comunidadMadre la Reina Gobernadora, como también la Señora Infanta Do se inventaríen y custodien cuidadosamente, y se pongan en admiña María Luisa continúan sin la menor novedad en su importante nistración, bajo…</t>
  </si>
  <si>
    <t>REINO, BEL</t>
  </si>
  <si>
    <t>BEL REINO</t>
  </si>
  <si>
    <t>…&amp;c. Madrid 6 de Mayo de 1854. = Imáz. = Sres. Direc Gmforme el consejo de Ministres con uno y otro dietáímen; Tien tores generales de Rentas. do mejorarse cada día la condición del Gobierno para entrar con MINISTERIO DEL FOMENTO GENERAL BEL REINO. provecho de la Nación en ulteriores negociaciones , si la convenien cia pública las exigiese; rehusando tomar sobre si la grave-responsa ' Reales órdenes* bilidad de resolver la cuestión del reconocimiento de los empréstitos s. M. la Reina Gobetnadora.se ha servido resolver que los gas celebrados e…</t>
  </si>
  <si>
    <t>REINO, PEI</t>
  </si>
  <si>
    <t>PEI REINO</t>
  </si>
  <si>
    <t>…=Marti- mas. El número de prisioneros fue escaso con respecto á la fuerza de la guarni nez.=Srcs. directores generales de Rentas. ción; pero esto dependió de que los soldados de D. Pedro entraron con tal fu MINISTERIO PEI FOMENTO GENERAL PEI REINO* ror en la plaza, que durante algún tiempo no dieron cuartel á nadie. T ni papeles públicos de Malta anuncian que se esperaba allí Ja escuadra Real drden. sir Pulteney Malcolm á excepción de los navios Alfredo y Madagascar. F1 gobierno de Grecia acaba de publicar un decreto concediendo varios He da…</t>
  </si>
  <si>
    <t>Reinoso, Félix Joscf</t>
  </si>
  <si>
    <t>Félix Joscf Reinoso</t>
  </si>
  <si>
    <t>…Joscf de Hevia y Noriega , ministro del Cor se jo y Cámara de Castilla: en D. Manuel Genaro Villota, que lo es del cone^pondientc ; deb-end^ los interesados acudí: a solbitar -.us nuevas c.i'»n«.aConsejo y Cámara de Indias; y en D. Félix Joscf Reinoso, auditor de la Nun oones o mejoras de ellas a los intendentes de la&gt; provincias en que desempeña ron sus últimos debimos propietario*, n ’ .» ios Je as en que cobren vi* habe ciatura apostólica y deán de la santa iglesia de Valencia, he venido en nom brarles individuos de la inspección general de i…</t>
  </si>
  <si>
    <t>Reloba, José García</t>
  </si>
  <si>
    <t>José García Reloba</t>
  </si>
  <si>
    <t>…separación de Don pósito, debiendo reintegrarse este con los derechos de rompimiento tüf neos- Vicente Kerrer y Cano, á D. Juan^Scrra y Vidal, cesante del mismo'ramo; sídyl de imponer nuevos gravámenes á los pueblos, \ • ' • y á D. José García Reloba, OficBl cuarto de la contaduría de Propios de Ora nada , para la plaza de primero de la de Lugo.; También se ha servido S. M. nombrar administrador del Real hospicio de Granada á Di Manuel Carrasco y Feijoo, propuesto por la junta mayfir de Continúa la lista de los donativos volúntanos para socorro…</t>
  </si>
  <si>
    <t>Remisa, Gaspar</t>
  </si>
  <si>
    <t>Gaspar Remisa</t>
  </si>
  <si>
    <t>…pero si acaso hiciese alianza con esas pasioncillas, como de mí cargo, ei Real decreto siguiente: En atencion á las circunstancias que Otras veces, la autoridad que debiera representar, y no representa, todos los in concurren en D. Gaspar Remisa , y queriendo darle un testimonio público de tereses del país, pone esta ciudad toda su confianza en V. M., en sus propios \ lo gratos que abo han sido sus servicios; he venido en concederle la gran cruz merecimientos, si es permitido decirlo, y en la facilidad de confundir á sus [de ^ Real piden a…</t>
  </si>
  <si>
    <t>Remon, Ventura Martínez</t>
  </si>
  <si>
    <t>Ventura Martínez Remon</t>
  </si>
  <si>
    <t>…t» no hubiesen Vi lafranea. Trigo, á 47 rs. fanega : centeno, á 32 id.: ceba legitimado sus créditos, A fin deque en el prec'so término de indias pre da, á 19 id.: vino , á H rs. arrobi: aguardiente, á 12 id. senten al licenciado D. Ventura Martínez Remon , uno de los síndicos y Villa de Vails. Trigo, á 60 rs. cuartera : centeno, á 411 icf.: árbitros nombrad &lt;s en junta general, los documentos correspondientes; baio apercih'o lento de que 00 verificándolo se procederá á la distribulA»iz,á 28 id.: cebada, á 26 id.: avellanas, á 64 id.almendras, ción…</t>
  </si>
  <si>
    <t>Remusat</t>
  </si>
  <si>
    <t>…e los DIPUTADOS.__ Sesión de ídem. cudos sobre lo que produce» sus rentas, be habla también de cambiar ci prin cipado de Bcnevento por una porcien de territorio contiguo á Ricti, que en Aprobada el acta de U última sesión, lee el Sr. Remusat un informe de la tal caso cederá el Rey de Ñipóles. comisión que ha examinado ei proyecto de ley por el cual se piden 29.211;? Mr. Bourmont ha sido admitido á una audiencia del Papa que ha durado francos para los gastos extraordinarios á que tienen que atender durante el pre dos horas. Este general…</t>
  </si>
  <si>
    <t>Renau, Manuel</t>
  </si>
  <si>
    <t>Manuel Renau</t>
  </si>
  <si>
    <t>…sco Montalvo, asesina Sr. Secretario del Despacho de Haciendado en Heredia, do* reales de vellón diarios: á Eulalia de Andrés, reciña de Briones, viuda de Gregorio Rustamante, asesinado en el Escmo. Sr.: Para premiar el mérito de D. Manuel Renau, pár mismo punto, dos reales de vellón diarios; á Isaliel Quimanilia , ve cina de Castañares, madre de Manuel Rau, asesinado,en Heredia, roco de la villa del Castillo de Villamalefa, que después de halanilos reales de vellón diarios: á Damiana Lope*, vecina de Lanciego, derrotado acaudillando á sus…</t>
  </si>
  <si>
    <t>Rénífo</t>
  </si>
  <si>
    <t>…n dado lugar ¿-ninguna observación esencial, y han probado que estás má PROVINCIA BE BADAJOZ. quinas son capaces de satisfacer á todas las condiciones posibles. Este segundo Con fecha 13 del actual avisa su gobernador civil que a Don Rénífo se ensayo no se ha ejecutado mas que con las dos cureñas de hierro, y en un es había cantado ei Te Deum; y que si bien en Castuera ocurría algún casó de pacio de una legua, espacio suficiente páralos azares ordinarios del servicio. cólera , y el puebio de Alcorichel había sido invadido de dicha enf…</t>
  </si>
  <si>
    <t>Renta</t>
  </si>
  <si>
    <t>…l que en un gobierno abso Lonja de hoy. Cinco por 100 consolidados 105 fr. 66 c. Fondos españo luto , y los graves inconvenientes que resultarían si los consejeros de Estado les, renta de España 3 por 100 37¿. Empréstito Real de ¿d. 00. Renta pérpé- fueran inamovibles: concluye aprobando el proyecto según lo presenta la co tua de íd. 59f. misión. cámara de los diputado^— Sesión del día 27 de Enero. No habiendo mas oradores que quieran hablar sobre el todo del proyecto^ principia la discusión por artículos. El Sr. Desjbbert lee una propo…</t>
  </si>
  <si>
    <t>Rentarles, Manuel María</t>
  </si>
  <si>
    <t>Manuel María Rentarles</t>
  </si>
  <si>
    <t>…s, lie reñido en lílien dichas sociedades secretas, serán condemmUí’.i decretar el extrañamiento de estos reinos y Ocupación de témpora— tierro en él pueblo que él Gobierno _ »r¿ Á j ^ IMadtetr (le- los - edesiáBtkaas siguientes: D. Manuel María. Rentarles; tiempo que se haya fijado en la sentencia; el cualBoTi D. Ignacio, Gómez Barrio, y D. Francisco Ezeiza, canónigos de Búr- dos añas.ni pasará de seis: quedando después m v«¡_ mgjD.Juan^arasuá, sochantre de la misma iglesia metropolitana;. pecjal de las autor idades locales.- 3i Si el injly* i deui»…</t>
  </si>
  <si>
    <t>Repito</t>
  </si>
  <si>
    <t>…e los caídos no de Velasco, Miranda, De P^d/o, Laborda, Morales, conde de Jas Navas, cobrados; i otro-que esta exención debe limitarse á la cosecha de este año. Chacón, Abargues, Paco Qán&amp;vas , Carrasco, Atocha, Ruiz de Carrion , conde Repito que aquí ya solo se trata de lp que uno reclama y de lo que otro ha de de H.ust, Domínguez, López , Ftprez Estrada , Alcalá Zamora, Orense, Bui - pagar; se trata de un deslinde que corresponde hacerlo al poder judicial , y en trón , Trueba, Caballero y González (D. Antonio). Total 36. que no puede…</t>
  </si>
  <si>
    <t>Repito'</t>
  </si>
  <si>
    <t>…día sacar mas, y vi que él Estamento concede menos, va cediendo, y yo voy con nuestro deber, si advierten que no re habla lo que ocurre sobre cada asun subiendo por igtial razón. ' to que se discuta, y en que se interesa el bien general. Repito', pues, que « El Sr. Palaréá ha (Ofendido hoy la proposición ó dictámen de la comi quiero se observe el reglamento eñ todo, y no parcialmente: no pido mas. En sión que se discute, y ha'^iecho lamismíy reflexión, á que ya he contestado; otro caso deseo se me demuestre qué fuerza tiene ese reglamento;…</t>
  </si>
  <si>
    <t>Requejo, Ángel Arcilla y IX Rafael</t>
  </si>
  <si>
    <t>Ángel Arcilla y IX Rafael Requejo</t>
  </si>
  <si>
    <t>…lcce nuestras antiguas leyes, nada deja qué desear, prometiéndome po¿ lo taavifo v IX Joaquin Vihillongaj'los alféreces de la guardia-real provincial, to que se conservará sin alteraciori U tranquilidad púbit^ de Cita p roe uncía.D. Ángel Arcilla y IX Rafael Requejo, el brigada del propio cuerpo Don Rúei^o a V. K. se sirva hacer presente á S M. Irte buenos servicios, acti Francisco León y los sargentos del mismo IX Jn*e Franco, Jo*e Martínez, I Do vidad v zelo del teniente coronel LX Antonio Valdcrnuru, no solo en esta ccamingo Calvera, y los de igual clase de…</t>
  </si>
  <si>
    <t>Requena, Jos López</t>
  </si>
  <si>
    <t>Jos López Requena</t>
  </si>
  <si>
    <t>…re el programa ” El haber Cervantes ridiculizado las costumbres cabaLU- 1 Dios guarde á V. E. muchos años. Avila 22 de Febrero de 1834* = Exce rescas llevadas al extremo en su tiempo , y conseguido esctinguirlas con /vi lentísimo Sr.±?Jos¿ López Requena. == Excmo. Sr. Secretario de Estado y del incomparable Quijote, \ha producido posteriormente resultados desventajosos ^Despacho del Fomento general del reino. á la sociedad V1 I Conformándose con el dictamen de la comisión, que nombró de su seno I ; Par3 dar cumplimiento por roí parte á las disposic…</t>
  </si>
  <si>
    <t>Requena, José López</t>
  </si>
  <si>
    <t>José López Requena</t>
  </si>
  <si>
    <t>…sta, que este acontecimiento es del mayor interes para La tran , Extracto del parte ^emitido por. el subdelegado del Fomento de 1a provin quilidad del pais por haber sido el cabecilla Barba superior en valor á su com cia de Avila D. José López Requena con fecha de 4 de Abril. pañero el Locho y con no menos prestigio que él para con los ilusos. Con este - Ha dirigido á los ayuntamientos una circular para que se .efectuase la rotu feliz motivo recomienda dicho superior gefe á los cuatro paisanos de Fuencaración de los terrenos en que han aparecido…</t>
  </si>
  <si>
    <t>…Pedro Clemente Ligues. de campo de los Reales ejércitos D. José Viiués rén atención á Al mismo tiempoS. M. ha tenido á bien conferir al su hí los conocimientos, servicios y circunstancias que concurren en su gado actual de Avila D. José López Requena, plaza de olicüna persona. Tendréislo entendido, y dispondréis lo necesario para su la Secretaría de Estado y del Despacho del Fomento general M cumplimiento.irEstá rubricado de la Real mano.=En Aranjuez á reino , y mandar que él subdelegado de Cuenca D. Joaquin Ro14 de Abril de 1834-=A D. Javier d…</t>
  </si>
  <si>
    <t>Requena, Ramón Cuervo y</t>
  </si>
  <si>
    <t>Ramón Cuervo y Requena</t>
  </si>
  <si>
    <t>…ra la de Villaviciosa á D. Juan González muy mal vestidos. A este le dirigen á la legión extrangera en Argel por ha Miranda : para la de Inlleslo áD. Vicente Miguel Vigil; y para la de berlo solicitado ¿1 mismo. Vega de Rivadeo á D. Ramón Cuervo y Requena, todas en el prin- POKTUCAl. cipado de Asturias. Asimismo ha venido en nombrar en el reino de Lisboa 9 dt Agosto. Galicia, para la vara de Arzua á D. Ramón Biaza: para la de Cor- Por Real órden del 6 de este mes se prohíbe i los empleados ejercer sos cuhion á D. Florentino Fraile: para la de Alaniz…</t>
  </si>
  <si>
    <t>Reschid-bcy</t>
  </si>
  <si>
    <t>…salió el general Lorenzo dé Pamplona con una columna de 19 nados en París de algunos afios á esta parte. Algunos miembros del Divan han hombres á situarse entre Tafaila y Barasoain con varios objetas, habiéndose asegurado que el embajador Reschid-bcy tiene medios de desempeñar esta parte dirigido los tres batallón» que observaban dicho camino hácia Lumbíer, Áo:z de su misión,, y de acabar de este modo lo que había intentado poner en prácti y el país inmediato: en Villaba se hallaba la brigada del coronel Ocana, la ca Osman-bají. En estas circun…</t>
  </si>
  <si>
    <t>Reseña, Gabriel de la Vega Castilló</t>
  </si>
  <si>
    <t>Gabriel de la Vega Castilló Reseña</t>
  </si>
  <si>
    <t>…inero á varios pueblos de las Provincias de Mediodía -en que tiene la mayor parte de sus rentas, invadidos del cólera morbo........... 3000 Cuatro personas que no quieren manifestar su nombre..................... 1000 variedades. D. Gabriel de la Vega Castilló............................................ 500 Reseña histérica sobre las islas Sandvskk y la Sociedad antes Je 1820 = Estado actual de su civilización. (Concluye el artículo de la Gaceta anterior.) Extracto del parte remitido por el gobernador civil de |a provincia .de Huesca D. Francisco Romo y Gamboa con fecha de 1¿ de Julio actual, Desde 179? empe…</t>
  </si>
  <si>
    <t>Reservando</t>
  </si>
  <si>
    <t>…ento de la tranquilidad Ha suprimido los gremios que monopolizaban el trabajo, v sobre la carga en el bajo Aragón. y descarga del puerto de S. Fernando ha consultado á la superioridad. Columna móvil del norte de Valencia.= Excmo. Sr.: Reservando para Se ha dedicado á examinar los medios mas eficaces de mejorar la condición «ando pueda dar detalles el elevar i V. E. mi parte mas circunstanciado, me actual del comercio de aquella plaza , y ha propuesto á su junta que medite so apresuro á poner en su noticia que acabo de batir completamente á…</t>
  </si>
  <si>
    <t>Residente</t>
  </si>
  <si>
    <t>…nia la comisión pa do notorio lo urgente de sil resolución, podia eviurse el pase del ful”™1» i b ra presentar el., parecer que exponía en el acta quo se bahía leído ¿ ^ba á im comisión ¿ i fin de ganar tiempo. primirse. ■ . v El Sr. Residente contesto que por su parte no había ningún inconvenien Del mismo parecer fue el Sr. Alcalá Galiano, manifestando que defería te én ello si el Estamento lo acordaba asi. Hizo ademas leer lo* arts. 88 y 89 á la idea del Sr. Secretario del Despacho de Hacienda, con tanta mas razón, del reglamento. cuan…</t>
  </si>
  <si>
    <t>Respecto</t>
  </si>
  <si>
    <t>…mente. Esraa distinciones serán, si se quiere, raras ó injustas; pero cargado siéndolo, y entrarla en las relaciones en que no pudiese entrar como están establecidas asi én los países extrangeros, y es menester respetarlas ,• por cónsul. Respecto á los secretarios, la comisión propone que de .no suprimirse que dé ellas depende i veces lé influencia dejos rcpra»CBtgnt«-dclaNac«ffl en se rebaje su sueldo; pero isa razón alegada de enfermedad, lo mismo milita res £13 diversas córtes.:Ademas, el Sr.-González'há dicho que la Francia paga me pect…</t>
  </si>
  <si>
    <t>…quedarán suje «En cuanto á los jóvenes de lenguas ó agregados, veo que »e les da una tas á las reglas generales que se establezcan.” ventaja que no tienen eít ninguna otra carrera. Ademas de ser brillante de por El Sr. Secretario Caballero: «Respecto á que el Sr. Presidente del con sí la que abrazan, se les abonan los viages, y yo no veo ninguna razón de jus sejo de Ministros y otros Sres. Procuradores que han hablado en esta difusión, ticia para hacerlo asi. Yo pregunto, si á un empleado que He Cádiz vaya á la han convenido en la idea de que s…</t>
  </si>
  <si>
    <t>…ción. He dicho, y no quiero molestar mas la atención del Esta timar deudas-,contraer otras &amp;c. &amp;c¿. Yo creo que esto no es tan cierto como mento.” parece ájprimera vísta; todos los que hemos vivido algunos años hemos visto El Sr. Caballero: «Respecto al acuerdo de ayer, sabe muy bien el E&gt;- ciertos actos~que prueban que cfGobicrno español ha sido- siempre una-monar tamento que se hizo después de haber preguntado el Sr. Rodríguez Paterna y quía moderada, y que no fue absoluta hasta el año 1823 en qué se entronizó otros Sres. Procuradores si se a…</t>
  </si>
  <si>
    <t>Respecto, Diez González</t>
  </si>
  <si>
    <t>Diez González Respecto</t>
  </si>
  <si>
    <t>…ocer la importancia de esta obligación para suprimir la segunda par ques de Montevírgen , Coton y Zúñiga, Cosío , Bcndicho, Acevedo, Redon te del artículo. do, marques de Montesa, Bucesta, Heredia, Belmonte, Cáceres, Chavarri, El Sr. Diez González-. «Respecto á la primera parte del articulo esta Melendez, Rodriguez de Vera , Rodríguez Paterna , Gargollo, González mos conformes, y veo que lo que admite dificultad es la segunda. La Iglesia en Perez, Carrillo, Miranda, Olmedilla, De Pedro, Lahorda, Morales, condo su pureza manifestó lo que aborrecía el ceb…</t>
  </si>
  <si>
    <t>Respondo, Mclbourne</t>
  </si>
  <si>
    <t>Mclbourne Respondo</t>
  </si>
  <si>
    <t>…salido de nuestros puertos con armas y municiones por cuen - La.Cámara quedó enterada de que S. Al. habia sancionado varios bilis. ta de D. Carlos!” - . Después tomó la palabra el conde de Winéhelsea, y dijo: »Voy á interpelar al Lord Mclbourne-. «Respondo que absolutamente no sé nada sobre esta primer ministró i como ya lo anuncié ayer, sobre el sistema de política exte asunto.” , rior que se propone seguir. Empiezo por-el asunto que tiene hoy en expecta Aquí concluyó la discusión, y la Cámara pasó al despacho de otros ne ción á todo el mundo, á sab…</t>
  </si>
  <si>
    <t>Restablecida, Go</t>
  </si>
  <si>
    <t>Go Restablecida</t>
  </si>
  <si>
    <t>…con fecha del 1S del corriente, dice entre otras co&amp;as lo Sifuiente : Excmo Sr. : He cumplido el itinerario que tuve el honor dé incluir ’á Madrid 19 de Mayo* V. E. en mis p-irtes de 9 y lo para la debida n&lt;-ricia de la «Higuera Reina Go Restablecida la sociedad económica de Amigos del País de Santiago á con bernadora , Uceando á esta capital hoy a las tres de su tarde sin ningún iropie»- secuencia de Real orden de l.° de Diciembre último, desea con ansia ver res no, ni ocurrencia particular, cabiéndome la satisfacción de que nuestra artille titui…</t>
  </si>
  <si>
    <t>Resulta</t>
  </si>
  <si>
    <t>…o , $ b. Granada, $ id. Zaragoza,' $ d. Hamburgo, 00. Barcelona, k p*. £$., Málaga, $ b. Descuento de letras, PROVINCIA DE CUADALAJARA. IAndres, á 90 días, i id. Santander, 1 id. ^ 4 P« 100 al año» *8|á*. Bilbao, par» Santiago, $ d. Resulta del parte que su gobernador civil da en 16 del presente que en Tamajon se cantó el Te Deum el dia 14 por verse libre aquel pueblo de la enfermedad que le afligía; y que el estado de los demas pueblos de la provin ANUNCIOS. cia que sufrían igual calamidad era el que indica el siguiente 'Epitome Ael anti…</t>
  </si>
  <si>
    <t>…, l.i ai entoga: Iba s jy &lt;£_ &amp;. ó vol^- ‘ ' ----- ' ‘. Sflu muertos de toda ciase de enfermedades. , ifh. Serilli» | bu, tROVlKClA IDE Atracos. BE6-£.ascácOTTOpía- Corona. id. id. Válenos» | &lt;L | &amp;u Oáosdif id. td. jLaragcrxa j d. Resulta del parte qne da-su gobernador civil, con fedsa 21 dd ac$salvqpe IXescaentá» áe «n aqinslla capital, en Castrojeriz, Mercadillo y Miranda de Ebro &amp;cs á ace-? á 4 P* £00 ai sóh nqs lo» estragos de ia cnünmedad que afligía al vecindario deSdáí^DS»' gggSúoa. bes. 4 ps- fiu Malaga, £ bSwaisfa; I id. , no^q…</t>
  </si>
  <si>
    <t>Reunidos</t>
  </si>
  <si>
    <t>…NTO GENERAL DEL REINO. re, presbítero beneficiado de la misma: D. Fausto de Luzuriaga, Ex posición. clérigo beneficiado de la misma: D. Francisco Ruiz de Ganna, beneficiado de Eguino: D. Pablo de Amurrio, presbítero benefi Excmo. Sr.: Reunidos hoy todos los sugetos que deben componer ciado de la Bastida: D. Gregorio López de Arechaga, cura y be el primer batallan de la Mijicia urbana, les he dado á reconocer al neficiado de Villareal: D. Femando de Lasa , clérigo beneficiado cpmandante y oficiales nombrados porS.M. la Reina Gobernadora,"…</t>
  </si>
  <si>
    <t>Revendow</t>
  </si>
  <si>
    <t>…eiherr de Grubén: la ,gcatt cruz fie comendador de laRCál órdeu h0ngiia.de S, Esteban, ál ministro de Prúsiá copdé Avisa su gobernador civil/ en oficio de 28delanter¡or, que el cóleras. &gt; de Alvensleben, pal ministro de Dinamarca conde Revendow: la gran cruz de Jiibia declarado enCampanario, Don Benito y Laseréna, aunque cón. sintonta* r «oarcn&lt;jadOT. de la Imperial órden austríaca de Leopoldo, al-consejero privado benignosr en la capital iba desapareciendo hasta- ría,corta inquietud «jue -pudo i d^;|5aáfcrí&lt;fc ptáschí, y la cruz de cabal…</t>
  </si>
  <si>
    <t>Rey, Antonio</t>
  </si>
  <si>
    <t>Antonio Rey</t>
  </si>
  <si>
    <t>…n , prueba de la decadencia de unas facciones que por tanto na de particular mención la valentía con que el teniente coronel D. Francisco tiempo han desolado aquel país, que por su proximidad á este principado, Curado, el capitán D. Antonio Rey, y el teniente D. Dionisio Arguelles donde no han podido sostenerse, han obligado ¿ adoptar constantes medidas de cargaron ¿ la cabera de sus compañías así como el arrojo de los sargentos pri precaución. meros, graduados de alféreces, D. José Corsoy D. Mariano Mir; y los segundos El espíritu públic…</t>
  </si>
  <si>
    <t>Rey, D Antonio</t>
  </si>
  <si>
    <t>D Antonio Rey</t>
  </si>
  <si>
    <t>…jo Aragón , prueba de la decadencia de unas facciones que por tanto na de particular mención la valentía con que el teniente coronel D. Francisco tiempo han desolado aquel país, que por su proximidad á este principado, Curado, el capitán D. Antonio Rey, y el teniente D. Dionisio Arguelles donde no han podido sostenerse, han obligado ¿ adoptar constantes medidas de cargaron ¿ la cabera de sus compañías así como el arrojo de los sargentos pri precaución. meros, graduados de alféreces, D. José Corsoy D. Mariano Mir; y los segundos El espíritu públic…</t>
  </si>
  <si>
    <t>Rey, Gobernadora Un</t>
  </si>
  <si>
    <t>Gobernadora Un Rey</t>
  </si>
  <si>
    <t>…resentado como una precaución de seguridad, como un es un Gobierno; es el régimen político, las leves fundamentales de U Monar sentimiento nacido del mismo instinto de conservación que tiene la sociedad, quía, restaurad.!* por la Reina Gobernadora. Un ^Rey oí un Gobierno no se el no depositar las armas en cierta clase de personas El discurso del Sr. López afanan por indagar quiénes son afectos ó desafectos: lo que buscan es quien ha producido una gran ventaja; y es que ha expresado con claridad la idea, ó obedezca las leyes, castigando á sús infracto…</t>
  </si>
  <si>
    <t>Rey, Joaquín</t>
  </si>
  <si>
    <t>Joaquín Rey</t>
  </si>
  <si>
    <t>…etos mandando se formen comisiones para recaudar y administraf Días. anterior. Invadidos. Curados. Fallecidos* Total. las temporalidades ocupadas á' lo* eclesiásticos infidentes ó conspiradores Gravee. Leves» (AW 52.) nombrando i D. Joaquín Rey regente de la real audiencia de Mallorca. 20 3 , 1 1 1 i s (Id.) . ^ 2i 3 2 1, 1 1 6 Real órdeu suprimiendo los derechos por concesión de licencias para el repar 22 4 H 1 2 1 5 timiento de grafios, recibo dé cuentas y testimonio de reintegro. (Id.) 23 2 1 1 2 1 4 Reales decretos mandando que se gua…</t>
  </si>
  <si>
    <t>…retos mandando se formen comisiones para recaudar y admimstraf Días. anterior. Invadidos. Curados. Fallecidos* Total. las temporalidades ocupadas á' lo* eclesiásticos infidentes ó conspiradores Gravee. Leves» (AW 52.) nombrando i D. Joaquín Rey regente de la real audiencia de Mallorca. 20 3 , 1 1 1 i s (Id.) . ^ 2i 3 2 1, 1 1 6 Real órden suprimiendo los derechos por concesión de licencias para el repar 22 4 H 1 2 1 5 timiento de grafios, recibo dé cuentas y testimonio de reintegro. (Id.) 23 2 1 1 2 1 4 Reales decretos mandando que se gua…</t>
  </si>
  <si>
    <t>…os males, trastornos y ruinas de familia* que produce cado á los tres subdelegados de Fomento, nombrados D. Antonio Barata, Don I la turbación dei orden, la violación de las leyes y la desobediencia á las auto-, Serafin Chavicr y D. Joaquín Rey ; y después de recibir el juramento que han | ridades. prestado los dos primeros, he prevenido al secretario del ramo de policía y demas En la del 22 del mismo mes, redoblando mis esfuerzos por vuestro bien y dependientes dei mismo, que se presenten á recibir sus órdenes, comunicando [ poí el recon…</t>
  </si>
  <si>
    <t>Reynals, Juan</t>
  </si>
  <si>
    <t>Juan Reynals</t>
  </si>
  <si>
    <t>…no también por ser obligación de condencia(dice el aposto! nombrado el Balear t propio de esta compañía catalana, bajo la dirección de S. Pablo. Los Reyes y las autoridades que en su nombre nos gobiernan son mi su socio principal D. Juan Reynals, y que se destina con Real privilegio á la nistros de Dios; sus lugartenientes en la tierra, en lo que toca al gobierno de navegación de este puerto á las islas Baleares, y vice-versa. En el dictamen de los pueblos; la potestad que tienen la reciben de Dios, y en su nombre la ejer los facultativos…</t>
  </si>
  <si>
    <t>…torio y lo circulen asi fondear en este puerto por primera vez en la mañana de ayer el barco de va mismo, con igual encargo á los ayuntamientos y justicias de todos los pueblos por que el director de esta tan recomendable empresa D. Juan Reynals, des de Nayarra. , tiña con la competente autorización de S. M. á la comunicación de estas islas Dado en Consejo en "Pamplona á 15 de Enero de 1834* = Está rubricada Bajeles con el continente y entre sí mismas. Privadas antes de csre estableci por S. E. y los Sres. regente y oidores del Consejo.zrC…</t>
  </si>
  <si>
    <t>Rf.al, D Fer Estatuto</t>
  </si>
  <si>
    <t>D Fer Estatuto Rf.al</t>
  </si>
  <si>
    <t>…rdad sino prolongar el desconcierto de negocios, Interior en conformidad de lo dispuesto en el art. ^0 del en que-iba, y no poco, el bienestar y prosperidad de la Nación. Ks de suponer que consideraciones semejantes impulsaron al Sr. D- Fer Estatuto Rf.al. nando vi i 4 crear por decreto autógrafo de 5 de Noviembre de 1830 dirigi do .i D. Manuel González Salmón el Ministerio de lo Interior , que asi se ¡e ILUSTRES PROCER! S T ÍEÑOItES PROCURADORES DEL REINO. denominaba en el citado decreto. No se cumplió este en aquel momento por causas que se ignoran…</t>
  </si>
  <si>
    <t>Rf.iwa, S M la</t>
  </si>
  <si>
    <t>S M la Rf.iwa</t>
  </si>
  <si>
    <t>…se la sesión. Iodo lo que se discutiere ó determinare después míe el Presi OJicio recibido en el ministerio de lo Interior. . dente haya pronunciado dicha fórmula, es nulo de derecho, y no ten-irá ningún efecto ni valor. ' Excmo. Sr.: S. M. la Rf.iwa nuestra Señora y su augusta Ma Art. 63. Al principio de cada sesión leerá uno de los Secreta dre l'á TIeiva Gobernadora, é igualmente S. A la Scrma. S-a. In— 'fa‘nt.1 Crina María Luisa, siguen sin la menor novedad en su impor rios el acta de la precedente, para ver si está conforme con lo re suelto…</t>
  </si>
  <si>
    <t>Rhiha, Presidente del Consejo Real La</t>
  </si>
  <si>
    <t>Presidente del Consejo Real La Rhiha</t>
  </si>
  <si>
    <t>Nóm. 'XL. Sábado 22 de Febrero de I83¿. GACETA DE MADRID. De Real orden lo digo á V. E. para su inteligencia r efectos convenientes. ARTICULO DE OFICIO. Dios &amp;C. Madrid 11 de Febrero de’ 18d4.Tr-.Sr. Presidente del Consejo Real. La Rhiha nuestra Señora Doña I&amp;asbi ii, y S. M. la Reixa Gobernadora, Real orden comunicada á ios RJL obispos de Calahorra, Pamplona y San— jsiguen sín novedad en su importante salud. tander con fecha 31 de Enero. Del mismo beneficio disfrutan SS. AA. KR. los Sernos. Sres. Infantes. Excmo. Sr.: La prolongac…</t>
  </si>
  <si>
    <t>Rhoherrera</t>
  </si>
  <si>
    <t>desde luego «mangará y dirá *n quéla terco* parte de los tituló* , y que no tuviesen en un mismo, capital el falor :Ei Sr. Rhoherrera: «El Gobierno de deuda activa y pasiva. f- -xV*'-'r términos ti ha-dávénficar la conversión: á los que'se presenten habrá que El Sr. Secretariodrl Despacho de Haciendd ■ «El Gobierno pensaba pagarles. También pudiera' ócurrir alguna dificultad al Gobierno , porque en que hubiera dos títulos dife re…</t>
  </si>
  <si>
    <t>Ri, D Miguel</t>
  </si>
  <si>
    <t>D Miguel Ri</t>
  </si>
  <si>
    <t>…n justicia, y decir que no Se hizo presente al Estamento haberse nombrado al Excmo. Sr. D. José la poseo con titulo’ legúimo por haber omitido tal requisito; y en consecuen Pizarro para la comisión de Estado’, en lugar del Excmo. Sr. D. Miguel Ri cia, conservando el artículo en los términos en que está, se me obligará á de cardo de Alava. jar una casa que poseo legítimamente sin que falte mas que una formalidad, En seguida se leyó el proyecto de ley de Organización de Milicia' urbana una mera ceremonia. Señor, ¡el objeto de esta ley ha sido…</t>
  </si>
  <si>
    <t>Ri, José</t>
  </si>
  <si>
    <t>José Ri</t>
  </si>
  <si>
    <t>…aquellos que se dedicaban á la carrera de las ciencias. — ■—Epístolas católicas de los Santos Apóstoles Santiago, S; Pedro, S. Juan y $. Judas VARIEDADES* Tadeo; traducidas al castellano, é ilustradas con varias notas por et Dr. D. José Ri ga*!. Un tomo en 8.°, edición de 1787. á 3 rs. rama', y 6 pasta común. Si cabe mayor La Caverna de S. Pedro► recomendación de esta obra que la peculiar de sus autores , es la de que el traductor ha sacado sus notas de los Santos Padres* y arreglándose en la versión al sentido y ex Se Ai el nombre d…</t>
  </si>
  <si>
    <t>Ri, Miguel</t>
  </si>
  <si>
    <t>Miguel Ri</t>
  </si>
  <si>
    <t>…sticia, y decir que no Se hizo presente al Estamento haberse nombrado al Excmo. Sr. D. José la poseo con titulo’ legúimo por haber omitido tal requisito; y en consecuen Pizarro para la comisión de Estado’, en lugar del Excmo. Sr. D. Miguel Ri cia, conservando el artículo en los términos en que está, se me obligará á de cardo de Alava. jar una casa que poseo legítimamente sin que falte mas que una formalidad, En seguida se leyó el proyecto de ley de Organización de Milicia' urbana una mera ceremonia. Señor, ¡el objeto de esta ley ha sido…</t>
  </si>
  <si>
    <t>Ría, Rosendo de la Vega y</t>
  </si>
  <si>
    <t>Rosendo de la Vega y Ría</t>
  </si>
  <si>
    <t>…del tribunal de la Real Gracia del excusado, y á D. Eugenio Tapia, ministro honorario de la Real audiencia de Valladolid. Y para suplentes, con opcion á la primera vacante, sin REALES DECRETOS. necesidad de nuevo nombramiento, á D. Rosendo de la Vega y Ría. doctoral de la Santa iglesia de Mondnñedo, capellán de honor y Pro Para la formación de urr p’an general de instrucción pública curador á (/irles, v á D. Amonio Gutiérrez, catedrático de geome • que extienda la esfera de la enseñanza y contribuya á propagar los tría, mecánica y física del Real Cons…</t>
  </si>
  <si>
    <t>Ribas, Francisco Baguer y</t>
  </si>
  <si>
    <t>Francisco Baguer y Ribas</t>
  </si>
  <si>
    <t>…dos jt alcanzarla, y habremos fundado en está capital, centro do y modo de entablar negociaciones mercantiles con la Persra por Tiflis; escrita de or la ctviliaacion modernael mas grande y mas glorioso instituto. den superior por D. Francisco Baguer y Ribas, cónsul de S. M C. en Odesa. Un tomo {Diario dt París,') en 4 0 impreso erf 1832, i'12 rs. rama, 14 rústica y 18 pasta común. ——Memoria y relación circunstanciada de los estragos que ha causado la terrible catás trofe de los terremotos de 18*29 en Torrevieja y demás pueblos de la gobernación de Ori…</t>
  </si>
  <si>
    <t>Ribera, Manuel</t>
  </si>
  <si>
    <t>Manuel Ribera</t>
  </si>
  <si>
    <t>…a la pacificación de aquel territorio. mienda el ardor, denuedo y bellas disposiciones del ayudante D. Rafafel Rute I en esta jornada, como asimismo el entusiasmo con que se ha comportado ej g subteniente del provincial de Orense D. Manuel Ribera con 1&lt;5 hombres dd f Partes recibidos en ¡a secretaría de Estado y del Despacho de la Guerra. propio regimiento y 13 tiradores de vanos pueblos de la Sierra, quienes en. unión de los 8 caballos de la Reina y 5 urbanos de la Serena, destruyeron tan 1 El dia 9 del corriente mes D. José Vilianueva, ve…</t>
  </si>
  <si>
    <t>Rica</t>
  </si>
  <si>
    <t>…recomendable y necesaria obra. Habana 28 de Mayo de l834*=Ricafori&gt;==: jeaba de que la enfermedad no causaría los estragos que en otras partes. Antonio María de la Torre y Cárdenas, secretario. PROVINCIA DE ALMERIA. Despedida del general Rica/ort á los habitantes de la isla de Cuba Según parte de 25 del próximo pasado, en Bedar, Albolias y Ohañez Anoche ha llegado con toda felicidad el Excmo. Sr. teniente general Don se había restablecido la salud pública; en Vera , Sierro y Olaña era muy corto Miguel Tacón , nombrado por S. M- la Reina…</t>
  </si>
  <si>
    <t>Ricardo, Miguel</t>
  </si>
  <si>
    <t>Miguel Ricardo</t>
  </si>
  <si>
    <t>…onde González,de .Castejon , mariscal de campo de oido el Consejo, de Gobierno; he venido en mandar, ¿ nombre de Mi los Reales ejércitos; marques de Y esulla y-de las. Hormazas; con excelsa Hija Doña Isabel ti: de de Guindillain; D. -Miguel Ricardo de, Alaya, teniente gene 1? Gis jueces interventores, en unión con los jxvseedores de las ral de los Reales ejércitos, é individuo del Consejo Real; D. José casas intervenidas, convocarán á todos los acreedores para celebrar García de León y Pizarro, del Consejo Real; D. Lorenzo Ramo de junta general,…</t>
  </si>
  <si>
    <t>Riccini</t>
  </si>
  <si>
    <t>…a Rkina Gobernadora en 30de No Uil arzobispo italianos. viembre último. | -------El Sto. Padre ha condecorado con la gran cruz de la orden de S. GrecoEn varios puntos del reino ha correspondido el zeto de las autoridades á rio al conde Riccini, gobernador de Modera: v también ha nombrad "ai los deseos del Gobierno, promoviéndole con actividad tan importante medida, principe Orsini senador de Roma, y comandante general de ia guardia co ica. según resulta de las noticias recibidas en el ministerio de mi cargo. Mas cons {Diario de Roma.) ta…</t>
  </si>
  <si>
    <t>Rice</t>
  </si>
  <si>
    <t>…nuestro dignísimo prelado se habría concilla «onde Muí grave presidia la reunión á que asistieron 132 personas, entre las do el odio y aborrecimiento de sus enemigos; pero siendo asi que existimos cq cuplés se distinguían el Sr. secretario Rice, el vizconde Morpeth, el Dr. Lus- un siglo ilustrado nada menos que por la sagrada luz del evangelio, la que ha hiqgton, el Sr. D. 0*Connell, y muchos hombres de color naturales de las co ce mas de tres centurias de años que brilla en este suelo, es de creer por lomislea» as. mo que otro es el orig…</t>
  </si>
  <si>
    <t>Rich, José</t>
  </si>
  <si>
    <t>José Rich</t>
  </si>
  <si>
    <t>…mance, sus cualidades poéticas, has por la de artillería, al brigadier director subinspector D, José Prieto por la de ta dónde puede extender su dominio, y en fin la necesidad de cultivarlo, por ingenieros, y al mariscal de campo Don José Rich por la de caballería; de ser el género de poesía mas popular, y en el que mas que en otro alguno están biendo presidir dicha comisión el teniente general marques de S- Marcial como fielmente consignad» 1» costumbres y sentimientos peculiares de nuestra na tnas antiguo, y reemplazarle en calidad de…</t>
  </si>
  <si>
    <t>…que asegura la subsistencia del obrero.” varios á conocimiento de S. M. la Reina Gobernadora para su satisfacción. (Correo francés)) La tranquilidad pública sigue inalterable. Dios &amp;c. Valladolid 22 de No viembre de 1834.=Excmo. Sr.:=José Rich.=Excmo. St. Secretario de Estado y del Despacho de la Guerra. 1 Se lee en el Diario de Maine y Loira del 3 de Noviembre: ** «Ei hecho siguiente que vahíos á contar parecería tal vez increíble á mu chas personas. ES extraño en electo que en Francia en el siglo xix baya toda vía gentes que crean en so…</t>
  </si>
  <si>
    <t>Rico, Puerto</t>
  </si>
  <si>
    <t>Puerto Rico</t>
  </si>
  <si>
    <t>…ctorál de gue se ha sacado un testimonio auténtico, se Habana 2. ’ mandó igualmente expedir á cada uno de los elegidos como ‘Procura-, Santiago de Cuba 1. dores á Córtes por esta Provincia, el poder correspondiente y en de Puerto Príncipe 1, Puerto Rico 2. bida forma, para que sea valedero. Islas Filipinas 2. Asi lo autorizaron y firmaron los infrascriptos Presidente, Es Total general de Procuradores del Reino 188. crutadores y Secretario de la mencionada Junta Electoral, en la ciu dad o villa- de el dia de (siguen los nom KIHISTE8I0 DE HACIENDA D…</t>
  </si>
  <si>
    <t>Ricord</t>
  </si>
  <si>
    <t>…niArs y formando una sola haz; ío restante del país días! así le. vid cuando, los rusos atacaron á Poros. Las acusaciones de la Con-, no debia^oponer resistencia ■»!pím, y d partidb de Capo dTstriit,déacredita— lerenda. hechas ai almirante Ricord, que se hallaba con respecto i sus cole do por las faltas dé su caudillo, «Sébaa naCuralnrcntc sepultarse en la oscuridad; gas en las mtimas obligaciones que tenían entre sí los residentes diplomáticos, Coloco!roni, su último apoyo militar, se fiaba encerrado en Caritene; y por 1 no te volvian ¿ la…</t>
  </si>
  <si>
    <t>I 48 ' —_F.1 Emperador de Rusia ha promovido á la $lase de almirantes al prínoi— ^ los en paralelo con lo que después ha ocurrido en Europa, pregunta rquérha ■peMenschikoff y al vicealasiraifte conde Heyden b El almirante Ricord ha sido de la nación polaca! ;Qué se ha hecho en favor de Italia! &lt;Qué sistema sido nombrado comandante de la primera división de la escuadra, y AL Browt- político »é sigue respecto á Alemania! Finalmente ;si se piensa en abandonar zyn primer intendente de la escuadra y puerros del mar Negro. la po…</t>
  </si>
  <si>
    <t>Riersi, Felipe</t>
  </si>
  <si>
    <t>Felipe Riersi</t>
  </si>
  <si>
    <t>…ra la de Planes a D. Pantaleon Garníca y Herrera. cuencia de las últimas campañas. El cólera disminuía, y se esperaba que en breve quedarían Ubres de este azote. ror oxcai accreio ae o ae uicicmore FRANCIA. la Reiva Gobernadora a D. Felipe Riersi título de Castilla para su y sus sucesores, con la denominación de marques de Casa-Riera. Taris 30 de Diciembre. Asegura un periódico que antes de principiar sus trabe jos !a comisión S. M. N Rf.iva Gobernadora, en nombre de oí »t)2i;sta Hiji la R. nombrada para informar respecto á la colonizucioíi…</t>
  </si>
  <si>
    <t>Ries, Carlos de M</t>
  </si>
  <si>
    <t>Carlos de M Ries</t>
  </si>
  <si>
    <t>…onas de esla última ciudad acudieron al momento los coros estaban á cargo de M. Zimmers, organista de la catedral del mis á pesar de la distancia que los separaba de aquel teatro de desolación; sin em mo Aquisgrau. La obertura de D. Carlos de M- Ries, y el oratorio de Haro— bargo , su activa cooperación no bastó para contener el progreso de las llamas; del intitulado Débora formaban el programa del primer dia de la tiesta, la 42 casas han ardido sucesivamente, entre ellas usa fábrica de ^bastante consi sinfonía en ut de Mozart, un fragmento del…</t>
  </si>
  <si>
    <t>Rieuclmc, Azust'.n</t>
  </si>
  <si>
    <t>Azust'.n Rieuclmc</t>
  </si>
  <si>
    <t>…U Real audiencia nicado. de Puerto-Príncipe, á ¡guales plazas de la chancillería de Granada v audiencia Recuerda con este motivo la discusión que en Julio último hubo en el Par de Cataluña, respectivamente vacantes por muerte de D. Azust'.n* Rieuclmc lamento Ingles respecto á Polonia, y que el ministerio británico no adhirió i y por salida de D. Miguel Vigil de Quiñones á fiscal de Cruzada. Aumsmo la propuesta que sobre el particular hizo M. Fergusson , porque en ella se pe se ha servido nombrar para la plaza de oidor de la audiencia de Extrema…</t>
  </si>
  <si>
    <t>Rigcopiaban</t>
  </si>
  <si>
    <t>…recibido. Di- ____ El 17 del actual tuvieron un consejo los siete ministros, que duró mas A chS SnuscriW^unas vfecra sé ve'ádiih', otras sé Ajaban para leer, y otras se cuatro horas; y el mismo dia tuvieron una conferencia con el almirante Rigcopiaban i copias hubo que costaron enormes cantidades. Según Eusebia, el ni el embajador de Inglaterra lord Granville, y el A Austria conde de Apony. ímrrrW^Cjjiyy—f‘‘I']]^ÍITÍ1 Ebe«aln«ente á;los que.buscah.ya4ibrt&gt;s y a IcL que sScabari cc Olas, .particularmente si gran de las sagradas Escrituras. -En es…</t>
  </si>
  <si>
    <t>Rigny</t>
  </si>
  <si>
    <t>….se ha formado én ., ^CTie^do eoiisideí^ic^pn 1q dispú^to pñ mi Reáí.'^creto dé É¿odres un tratado entre i^s dos Pqteóctas rnarítiyas y Lafi.gobiernos, de 2^áeL!M^t&gt; prp£Ímo3pj^^.t»e.yeij^.^¿iiiajidar&gt; qdesean jextra- sínsula; el almirante Rigny lo ha córpupiejidó á los.,miu¡ttrps de francu^fe nados' ta^ siempre d,e, e¿kps reinos, y-¿ésd¿, lue^o se ocupen,las tem- las cortes, extrangeras, por medio dé upa circular, par^ quq Ci pongan ¿n poraiíaa^PsVa ti- ÁnlPrffiJautos, de Íerarírfianonigo «k la Sta. igle nociniiemo de íós respectivos gobi…</t>
  </si>
  <si>
    <t>…es entre las dos Po peñar nuestro legado, sin obstáculos y con buen éxito, el grave encargo que le tencias marítimas y los gobiernos de ja Península. , tenemos encomendado, le hemos revestido de la autoridad que necesita de la El almirante Rigny lo ha circulado á los embajadores de Francia en los Silla apostólica, y os le recomendamos eficazmente para que hallé en vuestro paños extranjeros, encargándoles declaren á las cortes en donde se hallan acre alto poder auxilio y protección. Entre tanto , y en esta fírme esperanza, damos ditados, qu…</t>
  </si>
  <si>
    <t>…ha sido visible mas que dos jmpu££fe, y y viernes. ! * ' luego ha desaparecido en el horizonte. (Indicador de Burdeos.) De París escriben que renunciando el mariscal Gerard la presidencia det Consejo de ministros, recaería en el almirante Rigny ó en el duque de Jbroglie. Idem 30. '■ : - —Pnr una carta de Jamaica, su fecha 7 de Setiembre, vemos que la ciu El Sr. teniente general barón Janín pasó ayer mañana de improviso al dad de Kingston ha sufrido un violento terremoto. Algunos dius antes la at hospital mtfitar, acompañado dc( Sr. comand…</t>
  </si>
  <si>
    <t>Rigoy</t>
  </si>
  <si>
    <t>…casa en concurso, ce- Acalla de recibirse oficialmente el tratado dq la cuádruple alianza celebrada el juez, interventor en el ejercicio .de todas sus funciones; y en entre lÁ cortes de Inglaterra, Francia, España y Portugal. El almirante Rigoy el acto los acreedores, el deudor y su inmediato nombratán dos per en calidad de ministro de Negocios extranjeros, ha" mandado circúlaos i toda sonas, que bajo las seguridades necesarias se hagan cargo de las exis las legaciones francesas, encargándoles- dar conocimiento de este tratado á las tímel…</t>
  </si>
  <si>
    <t>RiguaHtmárt, José</t>
  </si>
  <si>
    <t>José RiguaHtmárt</t>
  </si>
  <si>
    <t>…parte 1'4 per- —Oficio parvo de nuestra Señora Ja Sagtú»ittaiY4rg«a María; jénjt cJ Breviario ro-^ abbla adultas y 5 párvulos, quedando existentes 4 enfermos deninguna gravedad. mano: traducidp al castellano con ñoras por él í)r. D. José RiguaHtmárt» edición, aAoi de 182I..Un tomo en 8.° con una-estampa fina á 4 rú rama y / pastá comun. Bstos t«i3 Itbritcó de devoción'aon estimados puf ¿ buen concepto q«»e tiene el piftof dépresentar ' ráóVIKCIA CE CASTBUON CE IA PIAÑA. una doctrina sana y piadosa. , .i —Otservaciones^oDre el j»ulso, Obra póst…</t>
  </si>
  <si>
    <t>Rigúy</t>
  </si>
  <si>
    <t>…lipe: ducida á la dolorosa necesidad de emplear medios terribles de represión; estos Los Sres. Dupont (de l'Eure), el barón Luis, el mariscal Gerard, el mediós han causado muchas desgracias, arruinado á muchas familias, y costado conde Rigúy, Bignon, Guizot, de Broglie, el mariscal Maison, Monfalivet, la vida á centenares de inocentes. ¡El incendio ha devorado ricos edificios y casas Merilhout, d'Argout, el mariscal Soult, Barthc, Girod (de 1'AÍn), Humana; modestas! Ha sentido sus estragos, asi el hombre opulento como el pobre jorna Th…</t>
  </si>
  <si>
    <t>Riisa, M la</t>
  </si>
  <si>
    <t>M la Riisa</t>
  </si>
  <si>
    <t>…ara Canarias............ 38o 190 Para . 4»0 aoo i-oo. ARTICULO DE OFICIO., necesidades,positivas. en general ó en particular, nos diesen instrucciones de hecho, y Oficio recibido en el ministerio de lo Interior• ALEMANIA. Exentó. Sr.: &amp;. M. la Riisa nuestra Señora y cu augusta Ma- (Croacia) 11 de Junio. dre la Reina Gobernadora, siguen sin la menor novedad en su im Los-indómables bósniacos que habitan la Croacia inl&amp;edutó al portante salud. Del mismo beneficio disfrutan igualmente SS. A A. nuestro, y que hace mucho tiempo se mostraban opui y+.…</t>
  </si>
  <si>
    <t>Rimin</t>
  </si>
  <si>
    <t>…respondiendo los se- Se aprobaron, como psoponia la misma comisión, los poder.--, y docu fiores Presidente y Secretarios, que aun no lo habia verificado El Sr. Piesi- mento, just ficatisos de Ibs áre,. D. José Antonio de Agreli v D. Rimin dente anunció que no habría sesión hasta que .concluyese sus trabajos la comi González Pcrez, Procuradores por-Sevilla, por estar. cohfortne i lo p evesión encaf)$áíla':frel asunto re atTvo al Prínc-pe^tñal aconsejado,/"á ñjenos que / ' n:do. ■ x "y v - r ; por aij|una;1ór&lt;ijm dpi Gob iernn fuese p…</t>
  </si>
  <si>
    <t>Rinaldini</t>
  </si>
  <si>
    <t>…a de Northampton, está ejecutando la estatua de dedor de París: pero en vista de las reflexiones que sobre el particular hace Mr. Alfonso Liguori, destinada á adornar la basílica del Vaticano. de Bastard, retira su proposicon. El profesor Rinaldini, autor de una Psíquis y de una doncella de Or- El ministro de Negocios extrangerosi »Siento rríjúcho que Iá precisión de leans, que hah merecido los aplausos de todos los inteligentes, esculpirá en la estar en la Cámara de los diputados, me haya privado ijael gusto de oir las ob iglesia de Jesus y…</t>
  </si>
  <si>
    <t>Rincón, Juan Delavat y</t>
  </si>
  <si>
    <t>Juan Delavat y Rincón</t>
  </si>
  <si>
    <t>…de Minis Hubo á la noche un baile en mi casa. Numerosa era la reunión y presen tril , reconocer al gobierno imperial del Brasil, se ha servido nom taba aquella especie de encanto poético que producen aquí en rodos las asam brar á D. Juan Delavat y Rincón, agente comercial de España que bleas alegres la variedad de los trages, la extrañeza de la arquitectura y el con .ra en Rio-Janeiro, encargado de Negocios de la Reina nuestra Se traste de las posiciones. Han asistido á este baile muchos árabes que no habían ñora cerca de S. M. L D. Redro Alcántara…</t>
  </si>
  <si>
    <t>Rio, Presi El Sr Vega y</t>
  </si>
  <si>
    <t>Presi El Sr Vega y Rio</t>
  </si>
  <si>
    <t>…os , de ios hechos con fuerza ó violencia ó con cualquiera de los defectos nos otros negocios interesantes. sustanciales de que tanto abundan los empréstitos en disputa. El Sr. Secretario Trucba dió cuenra de una comunicación del Sr. Presi «El Sr. Vega y Rio dijo ayer que es válido el contrato hecho entre per dente del Consejo de Ministros, por la que participaba al Estamento de Real sonas autorizadas, convenimos en el principio, pero diferimos absolutamente en orden , que la Serma. Sr¿. Infanta Doña María Carlota habia entrado en el no las consecuenci…</t>
  </si>
  <si>
    <t>Rio, Vega</t>
  </si>
  <si>
    <t>Vega Rio</t>
  </si>
  <si>
    <t>…lla ve 7 sufre los desaíra que se la hacen; la* excesivas precaucio la seguridad 7 el honor.” na que t* toman pare que no se rama, 7 en «mschas partes la resistencia abier El Sr. González.: » La observación que acaba «le hacer el Sr. Vega 7 Rio ta que se opone á su organización 7 aumento: ella ve ocupar empico* impér (obre el artículo presentado no puede tener fuerza ninguna ,7a impractica tanla í personas que han servido en la época del gobierno pasado, que han ble que sea comprendida en él una «dea tal conso la que ha presentado. El se…</t>
  </si>
  <si>
    <t>Rio, Vega y</t>
  </si>
  <si>
    <t>Vega y Rio</t>
  </si>
  <si>
    <t>…Maza : El Sr. Presidente ha votado por sí como Procurador: aho los términos vagos é inexactos en que está redactado. ra le falta votar como Presidente. El Sr. Caballero pidió la palabra para deshacer algunas equivocaciones en E/ Sr. Vega y Rio : La votación se ha hecho conforme al reglamento; que dijo haber incurrido el Sr. Secretario del Despacho, y manifestó que se ha se ha hechó nominal , porque arí lo han pedido algunos señores. Resulta empa bía dado una interpretación enteramente opuesta á lo que él habia dicho res te: por consiguie…</t>
  </si>
  <si>
    <t>á_ referir ios datos que haypara..pensar que acaso esta prestación de merced de F.l Sr. Vega y Rio : « No temo la palabra para apoyar esta petición , por amibos sea el rnisir.oVoto.de Santiago* Porque sancionada la abolieron de Ja que estoy persuadido de que es una cosa que no merece la menor discusión , y prestación?jáf -pAiy y vino conocida ton el nombre de. Voto de Santiago, como que todos/ I…</t>
  </si>
  <si>
    <t>…lo podrá muy bien ha ' Se dió cuenta de cuatro dictámenes de la comisión de Exámen de títuloi . ber conocido el iSr. Serrano.” y documentos, que fueron aprobados, y mandados comunicar á los interesados: No hallándose preseote el Sr. Vega y Rio á quien tocaba la palabra «a 1.° relativo á la admisión en el Estamento del Sr. D. Evaristo Pérez de Castro, -contra #j&gt;asó esta al Sr. Domccq en el mismo sentido. á éonsecuencia de su nombramiento de Prócer del reino : 2.° dirigido á igual - El &amp;•- Doffücq Estoy conforme-en la sustancia, aunque no…</t>
  </si>
  <si>
    <t>…s fundamen por el tribunal competente, establecido con anterioridad por la ley.” tales de los españoles. Se leyó ¿l'art. 4-° tal como estaba ya aprobado. Art. 9.° La propiedad es inviolable, y se prohíbe la confiscación de bie El Sr. Vega y Rio se opuso a que se aprobase esta adición por parecerle nes; sin embargo la propiedad está sujeta: que su contexto complicaría el art. 4*° J quedaría largo y confuso, siendo así U° A las penas legalmente impuestas, y á las condenaciones hechas por que las leyes deben ser siempre breves, sencillas y c…</t>
  </si>
  <si>
    <t>…rsonas 7 propiedades tre los elogios, se puede.inferir que se ia teme, que se temas los extravíos de está comprendida en las leyes fundamentales," la exaltación. Yo creo que estos sospechas son demasiado injustos , 7 me paree* El Sr. Vega y Rio: «Obsecro que (os señores de la petición han dejado que pueden envolver otra intención. Pprtpie; quién puede dar mas garaúnas que sin incluir una parte importantísima. Se habla de toda clase de seguridad , 7 se la Milicia urbana , que a la clase mas interesada en el sostenimiento de 'mees— olvida l…</t>
  </si>
  <si>
    <t>…arse al Estamento con el cú se , y que para cargar con tan grave responsabilidad, era necesario no atropellar mulo de discursos que, S. S. temía. las deliberaciones, de lo que se habia dado ya un ejemplo en la sesión anterior. El Sr. Vega y Rio se opuso á la proposición, fundándose en que había Dijo también que el asunto no era del resorte del Gobierno, como habia in muchos asuntos en que ya estaba formada la opinión de los Sres. Procuradores, dicado el Sr. Vega y Rio, sino del Estamento, pues que*sc trataba pu y era molesto sujetarlos á…</t>
  </si>
  <si>
    <t>…Galvey, Espinardo, Lasanta, Palarea, Calderón Col Untes, Florez Estrada, unanimidad) qué digan de buena fe si se trató esencialmente de esta palabra. Onís, Hust, De Pedro, Almodovar, Ciscar, Fuster, Butrón, Laborda, Ortiz Pudo el Sr. Vega y Rio oponerse i ella, y apoyarla el Sr. conde de las Na de Velasco, Polo y Monge, y Rey. vas; pero es cieriísimo que no se sujetó á examen, ni menos á una decisión del * Se leyó la segunda parte de dicho art. l.°, y votada también nominal— Estamento. La prueba clara se va á ver de hecho; porque es segur…</t>
  </si>
  <si>
    <t>…rea deshicieron algunas equivoca «Por lo demas, el canal, mientras vivió Pignateíli, se adelantó prodigio ciones, como igualmente lo hizo el Sr. Santafé. samente y como por encanto ; pero después le sobrevinieron dos adversida El Sr. Vega y Rio se opuso á la petición / manifestando que una obra de des: la una la muerte de aquel hombre tan infatigable, y la otra las dificulta utilidad pública tan conocida no convenía exponerla á ser abandonada , mucho des que ofrecía el terreno, que en vez de la firmeza y consistencia convenien mas cuanto…</t>
  </si>
  <si>
    <t>…tesaba todo cuanto se podía ape especiales á que atender, de las que dependen la exactitud y buen resultado de tecer para evitar interpretaciones. los trabajos; que constituyen lo que llamamos servicio público, servicio que no El Sr. Vega y Rio dijo por el Contrario que esta última parte de la adi puede dctemjtefiarse sino por la constante asistencia de los empleados á sus res cción debía expresarse de otro modo, por incluirse en ella una porción de indipectivas oficinas ¡ desde el momento que no.se les excluyese, y se dejase á su vo- ' v…</t>
  </si>
  <si>
    <t>Rió, Vega y</t>
  </si>
  <si>
    <t>Vega y Rió</t>
  </si>
  <si>
    <t>…JEl Sr. polo y Monge • «Como individuo de la comisión diré ,con fran conformaba con la idea de ella. queza y sencillez las razones por qué la comisión ha hecho la adición de los El Sr. Mantilla dijo que sí se admitía la idea del Sr. Vega y Rió, queda- ' notoriamente mal opinados y ios viciosos. Sobre tres puntos ha* girado el dic— ria^en-cierto modo á disposición de los obispos el que hubiese ó no Milicia, timen de la comisión: primero, sobre la continuación de los mismos indivi pues ordenarían i cuantos se presentasen. duos que hoy comp…</t>
  </si>
  <si>
    <t>…enunció la palabra qué! tenia pedida en contra de la co do, esto es cierto, ciertísimo-, pero que ta Nación sufría impaciente sus cade misión.1 l ' '' nas, es falso, muy falso. Esplicaré fácilmente esta supuesta contradicción. El Sr. Vega y Rio, i quien tocaba la palabra, 00 se hallaba presente. ■ "En dos grupos puede considerarse dividida la Nación: ei uno lo com— , El Sr. Duittrcf: "Entusiasmado con el vehemente discurso que acaba dé posen los empleados, los eclesiásticos , lo* propietarias , los hombres instrui renunciar mi digno amigo…</t>
  </si>
  <si>
    <t>…que el Estamento no puede ha Sesión del dia 20 dt Setiembre. cer otra cosa que adherirse al dietámen de la comisión , el cual no debia ser otro con arreglo al tenor expreso y terminante de la ley.” Se abrió á las once. ... —- El Sr. Vega y Rio : ”El art. 14 del Fstatuto Real fija la renta de Se leyó y aprobó el acta de la anterior. 123 reales para ser Procurador. El individuo de que se trata no tiene mas Se dió cuenta de una exposición de D. Juan , Romero Alpuente, electo que 103; y querer que se le admitan las rentas de su bijo, es quer…</t>
  </si>
  <si>
    <t>…ición del que tiene que im ramo: en España hay aun inmensos caudales, inmensos bienes, que si se quie pugnar semejante principio, qtie me parece tanto mas extraño cuanto ha salido re, habrán pedido exagerarse, como ha indicado el Sr. Vega y Rio, pero de boca de un ministro liberal, y que fue Diputado en las Córtes de 1314 que aun son bastantes para que no perdamos el crédito. Es menester no hacer y 1820. nos ilusión en esta parle, porque estoy bien seguro de que ni el Sr. Ministro «Dijo S. S. que hasta Luis xvzii había reconocido los empr…</t>
  </si>
  <si>
    <t>…chos con fuerza ó violencia ó con cualquiera de los defectos nos otros negocios interesantes. sustanciales de que tanto abundan los empréstitos en disputa. El Sr. Secretario Trucba dió cuenra de una comunicación del Sr. Presi «El Sr. Vega y Rio dijo ayer que es válido el contrato hecho entre per dente del Consejo de Ministros, por la que participaba al Estamento de Real sonas autorizadas, convenimos en el principio, pero diferimos absolutamente en orden , que la Serma. Sr¿. Infanta Doña María Carlota habia entrado en el no las consecuenci…</t>
  </si>
  <si>
    <t>…ha de que tengan 30 años, y paguen cuota triple que el simple urbano. Oficiales: bía quien lo prestase voluntariamente; lo cual era indispensable. el gobernador civil á propuesta en terna de ios consejos de disciplina, con la £1 Sr. Vega y Rio apoyó ei artículo, manifestando lo bien meditado de talid-d de que tengan ‘25 años y paeuen cuota doble que el urbano. Luego vie las graduaciones que establecía en el llamamiento al servicio extraordinario en nen kJs sargentos: los nombra el comandante á* escuadrón ó batallón; y por caso que no hub…</t>
  </si>
  <si>
    <t>…nte deben apro Real, resuda naturalmente aclarada por la Real Convocatoria. El Sr. Rome barse los poderes presentados por el Sr. Romero Alpuente.” ro Alpuente ha presentado u$a escritura, ton la cual quiere justificar que po 1 El Sr. Vega y Rio hizo presente que sentra mucho tomar la palabra see una renta anual de J29 r&gt;.; pero en ella, á mi modo de ver , no cumplo para hablar en contia del Sr. Romeio Alpuente; mas que sin embargo no po con el objeto que se propone, ni llena U indicación del Estatuto Real , que día prescindir del sentido…</t>
  </si>
  <si>
    <t>…aza; única economía que. pue sejo Real se han reconcentrado todos los negocios importantes de España, por de hacerse.” que ha debido naturalmente á su creación heredar los negocios numerosos que Habiéndose concedido la palabra al Sr. Vega y Rio-, antes de principiar existían en el consejo de Castilla , en el de indias, en el de Guerra, en el de á hablar S. S. se preguntó si estaba suficientemente discutido el asunto, y se Marina y en el de Hacienda, y acaso pronto se radiquen allí los del de Or decidió que no, denes. Asi, pues , la comisió…</t>
  </si>
  <si>
    <t>…Se tomó en consideración por 4^ votos contra 34 t y mandó pasar á la urbanj y de su mayor (omento; pero pt r esta m.sma razón creo que de'en comisión. evitarse todos los excesos que puedan cornpiometer t*n necesaria .ustit^.ou El Sr. Vega y Rio presentó la siguiente: Tal es, a nu parecer, la ad.ciun que se presenta sobre ca-o de jbiima imp;. vís «Que en el párrafo l.° donde se dice, correcciones,-se ponga, correccio ta, pues de ei.a resultará siempre cus se autoriza á lo» cuerpos de M.. óa i nes prudentes y decorosas.” tomar las arma» sin…</t>
  </si>
  <si>
    <t>Río, Vega y</t>
  </si>
  <si>
    <t>Vega y Río</t>
  </si>
  <si>
    <t>…los vocales del 2.a «Podrán continuaren la Milicia urbana los individuos de la misma, consejo de disciplina, la comisión opina no ser ya necesaria* j : que habiendo cumplido los cincuenta años de edad- se ofreciesen voluntar iaEl Sr. Vega y Río ha presentado otra al art- 23, que dice asi: ndondc di *menie á seguir en este servicio importante.” ce correcciones convendrá diga* correcciones prudentes y decorosas,'9 Como la Para apoyar la 1.a dijo • comisión creé que las elecciones de los individuos de los consejos de disciplina El SrsPalarea…</t>
  </si>
  <si>
    <t>…abusos por el Gobierno para i mantenerse de sus productos. Pero ahora ¡ qué precisión tiene el priorato de que disponga lo conveniente á su remedio.” proteger á estos ganados! El Gobierno de S. M. es el que los protege: ¡y el El Sr. Vega y Rio: "Plena é intimamente convencido de lo perjudicia Gobierno de S. M. cobra algo de este derecho de asadura y castillage, para les que son todos ios impuestos parciales, tendría especial gusto en apoyar la mantener á la tropa, á los jueces y demas encargados de proteger á sus súbdi petición de que se…</t>
  </si>
  <si>
    <t>…res de las ordenes reli clase de uva nunca lo pagó por estar apoyados los cosecheros en la senten giosas. Por todo lo cual concluyo apoyando la petición.” cia arbitral y en la costumbre inmemorial, que es una verdadeia ley. Da El Sr. Vega y Rio se opuso á ella, fundado en que siendo el asunto pu consiguiente los pueblos tienen de su parte la justicia legal de no pagar ésto ramente contencioso, debía ventilarse en los tribunales competentes, y el Es. diezmo; y aun no solo esta á su favor la justicia , sino también la conveniencia tamento n…</t>
  </si>
  <si>
    <t>Rioboo, Francisco Solano</t>
  </si>
  <si>
    <t>Francisco Solano Rioboo</t>
  </si>
  <si>
    <t>…ha publicado etí el Boletín ofi Resulta de este estado que si del total de contribuyentes se deduce !a parte cial de la misma la siguiente circular. que paga desde 1 hasta 50 inclusive, y que por el atraso en que se encuentra Por D. Francisco Solano Rioboo se ha dirigido á est$ subddecacion una éntre nosotros la instrucción pública no puede tomar parte en las elecciones, memoria, manifestando la utilidad y economía que debe resultar de ia adop la rebaja será de. ............................................................... 9.330,569 individuos. ció…</t>
  </si>
  <si>
    <t>Ríos</t>
  </si>
  <si>
    <t>…za, reconocemos la autoridad cencia-, y el primero expuso á S- M. el objeto de su comisión en loe términos suprema de S. M. la Reina y Señora Doña María ti en la conformidad que se haya practicado en Evort él 26 del corriente. El caballero Ríos entregó igual siguientes: «Señora: Lí Real sociedad económica de Amigos del pais de la ciudad de mente á S. A S. la Sra. Infanta Doña Isabel María los papeles de que venia Santiago, nos ha confiado la honrosa misión de ofrecer á L. R. P. de V. M. comisionado por V. E el mas respetuoso homenaje de s…</t>
  </si>
  <si>
    <t>Ríos, Angel Fernandez de los</t>
  </si>
  <si>
    <t>Angel Fernandez de los Ríos</t>
  </si>
  <si>
    <t>…servido S. M. la Reina Go {Standar di) bernadora conceder ati jubilación con sus honores y el sueldo que le correspon da por clasificación á D. Ramón Vicente, ministro de la [Real audiencia de Madrid; y nombrar para esta plaza á D. Angel Fernandez de los Ríos , te niente primero de corregidor de Madrid. l ESPAÑA. Asimismo ha tenido á bien nombrar por Reales decretos de 13 del actual, Pamplona 8 de Octubre. en consideración á los servicio* que han prestado á la Iglesia y al Estado, á D. Gregorio Gisbert para una canongía de la santa iglesia de Cuenca : a…</t>
  </si>
  <si>
    <t>…12 de este mes, se Bourmont, que ha residido mucho tiempo en esta ciudad, sale para Italia ha servido nombrar para la plaza de teniente corregidor de Madrid, vacante acompañado de'alguno de sus amigos políticos. por promoción de D. Angel Fernandez de los Ríos, i D. Miguel García Cor i Otra carta de Lausana del 21 del pasado dice lo siguiente: En Suiza'todrx nejo. (está tranquilo por ahora, y no existe en la Confederación ningún pretexto para disturbios; pero estos pueden excitarse de un momento á otro, porque nuestros demagogos tienen á su disposición u…</t>
  </si>
  <si>
    <t>Ríos, Antonio</t>
  </si>
  <si>
    <t>Antonio Ríos</t>
  </si>
  <si>
    <t>…das, una de infantena del regimiento 2.° de lí i ■ nea i, las órdenes del teniente D. Fernando Carrascal, y otra de caballería 4 las del alférez del ,3.° de línea D. José Foxá, y 30 Urbanos de esta plaza al man do del subteniente D. Antonio Ríos ; acompañando 4 esta fuerza el ayudante Cíeza.................. 10 i 12 Julio. . lio 34 7 ' de dicha Milicia urbana D. Francisco Meseguer para designar los puntos da apostadero, como práctico en el terreno. Puerto de Lum «Se dieron las órdenes correspondientes 4 las justicias de Villar del Rey, bre…</t>
  </si>
  <si>
    <t>Ríos, D José de los</t>
  </si>
  <si>
    <t>D José de los Ríos</t>
  </si>
  <si>
    <t>…Estado, como individuos de la sociedad económica de Núm. 3.a limo, y Excmo. Sr,: Acusando el recibo 4el oficio de V. E de Amigos del pais de la ciudad de Santiago, y comisionados por ella para feli hpy , y que me ha entregado el caballero D. José de los Ríos, paso í decir í citar á S. M., y tributarle sus respetuosas gracias por. la publicación del Esta V.E. acerca délo que me propone que ya mandé la diputación de que V. E. me tuto Real y demas beneficios dispensados á la nación por su augusta munifi habla; y que yo y la leal guarnición de esta plaza,…</t>
  </si>
  <si>
    <t>Ríos, Francisco Javier Morales de los</t>
  </si>
  <si>
    <t>Francisco Javier Morales de los Ríos</t>
  </si>
  <si>
    <t>…s Llano; y para la de Cañiza á D. Antonio Arias y Quiroga. También en la Gaceta. se ha dignado nombrar para la vara de, alcalde mayor interino de Por otra del 4 se manda al tribunal supremo de marina entregar al paga, Cartagena á D. Francisco Javier Morales de los Ríos: para la de dor general de este ramo el producto líquido de las presas para que se distri Ugtjar á D, Juan José del Carpió: para la de Elche á D. Pedro Pas buyan por la sección de reparticiones. cual Calabuig; y para la plaza de teniente tercero de asistente de Se Con la misma fecha se han mandado…</t>
  </si>
  <si>
    <t>Ríos, José de los</t>
  </si>
  <si>
    <t>José de los Ríos</t>
  </si>
  <si>
    <t>…milicianos Urbanos , y cantad todo* á-*ndisposición-.eLcuerpo, de leales españoles que.me obedecen, permitienda , el triunfo de Isabel ii. Dios velaba sóbrela inocencia, y lejos de permitir que que el dador, mi ayudante de campo D. José de los Ríos, le entregue á S. A.Rse consumase el escándalo que meditaban nuestros enemigos, dispuso en sus al el adjiilito pliégo cn-qtte le manifiesto estos mismos sentünieotqe. Dios guarde tos juiejos que celebrásemos hoy el acontecimiento, glorioso de la época. ¡ Día á V. £. L muchósTuóos. Cuartel general,…</t>
  </si>
  <si>
    <t>Ríos, José Morales de los</t>
  </si>
  <si>
    <t>José Morales de los Ríos</t>
  </si>
  <si>
    <t>…el muelle, riegos y saneamiento de la atmósfera infectada por aguas dete tado en aquella abra la goleta de guerra María, al mando del teniente de m- nidas en los mismos parages en donde antes existía una numerosa poblacioh. ’vío D. José Morales de los Ríos, le ordenó entrase en el puerto para encar La antigua Diamum de los romanos, que conserva rumas capaces de hacer garle (en razón de ser el mas antiguo) el mando de la escuadrilla que cruza so- creer sus 4^3 vecinos, es la miserable Denia actual , con poco mas de $00* ’bte aquellas costas; la que se…</t>
  </si>
  <si>
    <t>Ríos, Santiago de los</t>
  </si>
  <si>
    <t>Santiago de los Ríos</t>
  </si>
  <si>
    <t>…rta 7500 hombres; ¡pero plaza de. alcalde del crimen de ja audiencia de Valladolid, vacante por.promo.- .desembarcan en Opono y ven á su frente al Duque de Braganza! ¡Nada podrá cion de D- JuanJievilla, ha tenido á bien nombrar á D. Santiago de los Ríos - salvar al usurpador! Párase un año de prodigios de valor y de constancia: la Muñoz de VetSfco , alcalde mayor de Berlanga. Asimismo se ha dignado con tfUiejfe, tomando mil .formas, acomete áucada instante á los denodados defen ceder los honores de la Real audiencia de Valladolid á t). Juan Pedro…</t>
  </si>
  <si>
    <t>Ripon</t>
  </si>
  <si>
    <t>…fanáticos políticos r re ministración. {Gaceta de Boetasi) ligiosos. 2.a De toris moderados, como el duque de VVellington, sir Roberto Pcel y sus amigos y allegados. 3.a De sem¡-\vhigs, como lord Stanley, sir J. ALEMANIA. Graham, lord Ripon y el duque de Richmond. 4*a De whígs, es decir, el par Hannóver 13 de Noviembre. tido que acaba de caer,-5.a De radicales moderados, como lord Durham, Mr. Grote, Mr. Hume, Mr. Ward y Mr. Warburton; y 6.a de yltra radicáles, Guillermo iv por la gracia de Dios Rey de la Gran-Bretaña y de Ir con Mr. OCo…</t>
  </si>
  <si>
    <t>Risco</t>
  </si>
  <si>
    <t>…mplearla disminuirán en por la junta municipal de este hecho, nombró desde luego una comisión para la mitad los gastos de esta parte de la construcción. Se van pura á principiar que observase los resultados que obtuviese tanto el Sr. Risco como en el hos " 400 metros de dicha clase de camino; la experiencia demostrará si es conve- pital , y son los que á continuación se expresan. ] niente continuarlo. (-D. de ¡oí De batee.) 1.° Por oficio á esfa Real corporación de la expresada junta municipal do Sanidad, resulta haber fallecido los…</t>
  </si>
  <si>
    <t>Risco, Feliciano</t>
  </si>
  <si>
    <t>Feliciano Risco</t>
  </si>
  <si>
    <t>…endiosos, netos de oficio de ayer, se reunió en junta extraordinaria esta corporación anoche, á pizarra, que se empotrarán con mucho cuidado, á fin de que no padezcan por cuya reunión concurrió por particular citación ql cirujano D. Feliciano Risco; «1 sacudimiento de los carruagcs. y penetrada esta de lo interesante de su contenido, acordó de conformidad Han salido bien los experimentos que se han hecho sobré la resistencia da contratar á V. E. en los términos siguientes: La analogía entre la raíz de la astas esquitas sometiéndolas á la pres…</t>
  </si>
  <si>
    <t>Risueño, Hilario</t>
  </si>
  <si>
    <t>Hilario Risueño</t>
  </si>
  <si>
    <t>…, fu .Promporui terminación, quedando igualmente exentos de contribuir al mon nestos f finalmente dice,que habiendo pasado de su órden al pueblo de Col iga el ta todos sus individuos respectivamente. 1 2 * * /* *, * 8 facultativo D. Hilario Risueño, encargado dé propinar los polvos nhoreros, 8.a Nada podrá innovarse de lo contenido en estas ordenanzas, y si llegare le había avisado dicho facultativo que habiendo administrado el enunciado me el caso de juzgaras por alguno ó algunos de sus individuos necesaria alguna re- dicamento i cuatro muge…</t>
  </si>
  <si>
    <t>Rius, Jaime Perera INGLATERRA y</t>
  </si>
  <si>
    <t>Jaime Perera INGLATERRA y Rius</t>
  </si>
  <si>
    <t>…ancisco Crespo y Rascón y NOTICIAS EXTR AXGERAS. á I). Miguel Moreno, que lo son de la misma; á D. José Francisco ValtléS y Posada, oidor decano déla audiencia de Asturias; á Don Francisco García Chave*, oidor de la de Sevilla; á D. Jaime Perera INGLATERRA. y Rius, fiscal de lo civil de la de Vallailolid, y á D. Julián de Sujo, teniente de villa de Madrid: y en clase de fiscales, á D. Laureano LSndres 19 de Atril. de Jado y á D. Marcial Antonio López, que actualmente desempe ñan este cargo. Y es mi voluntad que los ministros de este superior El Times, cuando…</t>
  </si>
  <si>
    <t>Rius, Ma Raimundo</t>
  </si>
  <si>
    <t>Ma Raimundo Rius</t>
  </si>
  <si>
    <t>…pertenecientes á la facción de Morella. Que en Alcañíz el día 6, y en Calata— Espejo. yud el P habían sufrido igual castigo, en la primera el teniente ilimitado Don Por la perfección y gusto de la obra efe matices, presentada por Doña Ma Raimundo Rius, que pertenecía á la facción de Carnicer; y en la segunda ría del Carmen Alvarez je Guiraldez, se le concedió en premio extraordinario Mosen Esteban Martínez , gefe de la que allí se levantó el 9 de Noviembre el título de socio de mérito, y por igual motivo una medalla de oro de 2.a último, y que f…</t>
  </si>
  <si>
    <t>Riva, Cipriano de la</t>
  </si>
  <si>
    <t>Cipriano de la Riva</t>
  </si>
  <si>
    <t>…que puede hacer ahora es emancipar á la poblacioñ Joaquín María López de Ayqda y D. Mariano de la Bodega; por la cristiana de;la.Bosnia, como ha hecho ya en todo él resto de la Turquía, dar de alcaldes á D. francisco Sainz Pardo, D. Cipriano de la Riva, Don les jueces propios colocados bajo la protección inmediata dei gobernador, y su Vicente Calvo y á Di José Plá y Puig; y para fiscales á D. José ministrarles armas para que defiendan sus derechos y los de la Puerta otomana María del Busto de lo civil, y á D. Florencio García Goyena para contra l…</t>
  </si>
  <si>
    <t>…e las Partidis serán siempre monumentos preciosos de sabiduría que da sobre las votaciones nominales que en aquella se Ijicieron. atestigüen la ilustración de nuestros mayores, atcndiJi la época; y si la comi Se leyó una carta de D. Cipriano de la Riva, procurador por la provin-\ sión se hubiera obstinado en sostener su primera pibbn, hubiera tenido nece cia de Burgos, en que manifiesta que habiendo emprendido su viage para esta sidad de fijar des&lt;¿e que tiempo esa legislación que fiama absurda había contri corte se halla detenido en Vill.icastin…</t>
  </si>
  <si>
    <t>Riva, Cipriano de U</t>
  </si>
  <si>
    <t>Cipriano de U Riva</t>
  </si>
  <si>
    <t>…. El Estatuto Real , que es la verdadera regla , dice, A invitación del Sr. Presidente entraron á jurar, y tomaron asiento el según asegura Va cornision y todos lo sabemos, que para ser Piocurador se ne mismo Sr. Pajarea y el Sr. D. Cipriano de U Riva , procurador por la pro cesita gozar una renta propia de 129 rs., y esta es la regla única que el Esta vincia de Burgos. mento debe seguir; no obstante que hay una ley posterior que dice qüe para En seguida el Sr. Presidente anunció que el orden del dia era la discusión ser elegido es preciso tener…</t>
  </si>
  <si>
    <t>Riva, D Cipriano de U</t>
  </si>
  <si>
    <t>D Cipriano de U Riva</t>
  </si>
  <si>
    <t>…ento. El Estatuto Real , que es la verdadera regla , dice, A invitación del Sr. Presidente entraron á jurar, y tomaron asiento el según asegura Va cornision y todos lo sabemos, que para ser Piocurador se ne mismo Sr. Pajarea y el Sr. D. Cipriano de U Riva , procurador por la pro cesita gozar una renta propia de 129 rs., y esta es la regla única que el Esta vincia de Burgos. mento debe seguir; no obstante que hay una ley posterior que dice qüe para En seguida el Sr. Presidente anunció que el orden del dia era la discusión ser elegido es preciso tener…</t>
  </si>
  <si>
    <t>Rivaberreri</t>
  </si>
  <si>
    <t>…a— tas reclamaciones como irán viniendo; pues unos españoles han perdido su ca judos de premio, serán reembolsados con valores de la deuda pasiva.” - — pital, otros dirán que la mitad, otro que tenia una fábrica y laperdió &amp;c. El Sr. Rivaberreri se opaso i ésta adición por creerla contraría á lo apro Si vamos embarcados y se levanta una tormenta, es menester que cada uno bado ayer por el Estamento relativamente á Ja división cn deuda activa y prava, pierda un poco. Es necesario que seamos iguales y corramos la misma suerte en y concederse…</t>
  </si>
  <si>
    <t>Rívadavia</t>
  </si>
  <si>
    <t>…s. hacas justicia a vuestros amos, y castigar i aquellos que. falten á sus deberes. =Bcrnardino Rivadavia." Tomad mi consejo, .píre» soy vuestro amigo; sed sóbrios /hbrirados y laboríó^- El 26 remitió el gobierno los pasaporta al Sr. Rívadavia, según pedia. «ós mientras llega ^el-*nrómento dé enfrat én- ta condición de apftridijts, porqué ' CTimet.) «¿-confiados en vuéstr» emancipación os volveis malos jr réhusais el trabajo, rri-/ currireisen el tasrtgo córiéspondiente á vuestra malí oonduiti/,' ® ------ EFbergantin de S. M. óolJfinch,…</t>
  </si>
  <si>
    <t>Rivadavia</t>
  </si>
  <si>
    <t>…ente en la lectura del Alcorán y de la Biblia y en la escritura del ___Los papeles de Buenos-Aires que hemos recibido llegan hasta el 12 de árabe, se tendrá un cuadro completo dél estado de la enseñanza en ta regencia.. Mayo. El ,Sr. Rivadavia había llegado alli el -28 de Abril desde Francia-, pero A la verdad, cuando vemos que en Francia, teatro de nuestro orgullo',- 21® se le mandó que volvieseá bordo del buque francés en que habia venido: des ayuntamientos Se han negado todavía a contribuirían la instrucción primaria, de entonces no s…</t>
  </si>
  <si>
    <t>Rivadeneira, José Amonio</t>
  </si>
  <si>
    <t>José Amonio Rivadeneira</t>
  </si>
  <si>
    <t>…oporta nlé salud. dega, decano de la sección de Indias del Consejo Real; D. Martin Fer Del mismo beneficio disfrutan SS. AA. RR. los Serraos. Se nandez Navarrete, decano de la sección de Marina del mismo Con ñores Infantes. sejo; D. José Amonio Rivadeneira, obispo de Valladolid ; D. Pedro Martínez de S. Martin, obispo de Barrelona; conde de Cuba, te niente general de los Reales ejércitos, decano de la sección de Guer REALES DECRETOS. ra del Consejo Real; D. Pascual Enrile , teniente general de lo* Reales ejércitos, capitán general de las islas Filipi…</t>
  </si>
  <si>
    <t>Rivaheríera, D Manuel de la</t>
  </si>
  <si>
    <t>D Manuel de la Rivaheríera</t>
  </si>
  <si>
    <t>…o le recomendaba que el ejército tomase una posición defeniva de-de Santarem i Ovidos, ó desde el Tajo al mar; que durante el in PRVIINCIA DI SURCOS. vierno juntase reclutas y las disciplinase, de modo que pudiese abrir la campa— Sr. D* Manuel de la Rivaheríera , gobernador civil de la provincia. fia,próxima con hombres, y que convocase á los tres Estados del reino Sr. marques de Villacampo. pa-a acordar los medios necesarios al mantenimiento de las tropas y defensa de Sr. D. Cipriano de la Rrva. Portugal..Este paso, añadió Bourmont á D. Miguel, le librar…</t>
  </si>
  <si>
    <t>Rivaherrera</t>
  </si>
  <si>
    <t>…r, le manifestó el Sr. Presidente que no pudiéndose entrar en la discusión, no permitía el uso dé la palabra; por lo cual te bajó de Se abrió á las once y media, y leída el acta de la anterior quedó apro la tribuna S. S. bada. El Sr. Rivaherrera pidió la palabra sobre este asunto, y no concediéndo Se mandó pasar á la comisión de Código penal el informe original que sela el Sr. Presidente se suscitó un corto pero vivo altercado, que terminó con dió el colegio de abogados de esta corle sobre el proyecto de dicho código llamar al orden é impo…</t>
  </si>
  <si>
    <t>…principies, porque tan »nnecesaria la libertad de imprenta que cuando hay Córtes, porque estas son los teiesado está él como nosotros en consignarlos.” centinelas avanzados contra los abusos del poder, y habrá en lodo caso mas El Sr. Rivaherrera, haciendo presente la conformidad de lodos en los prin peligros para la libertad cuando queda el Gobierno sin aquel vigilante, y cipios, manifestó ai trámenlo que los Sres. que habían firmado la petición* abandonado, por decirlo asi, á su propio albedrío. podían redactar el artículo en cuestión de…</t>
  </si>
  <si>
    <t>…dia 9 de Octubre. El Sr. Presidente contestó que estaba bien, y que asi se expresaría en oi acta. Se abrió á las once, y leída el acta de la anterior dijo El Sr. marques de Falces: «¿Qué es acta? Es el retrato ó expresión fiel El Sr. Rivaherrera s « Me parece que el acta expresa que el Estamento del cuerpo, cuyos hechos se especifican. La secretaria, muy prudente, ha to aprobó la indicación hecha por el Sr. conde de las Navas. El Estamento no la mado el mejor camino , que es expresar las resoluciones sin expresar los indi aprobó ni la desa…</t>
  </si>
  <si>
    <t>…curador en pro y otro en contra en los asuntos que se dis duos" del Gobierno y de las comisiones; sin que por esto tratase de mezclarse cutían. __ • en lo relativo á lá ilustración ni intenciones de los individuos. A petición del Sr.-Rivaherrera se leyeron'los artículos 128, 129 y ISO . - Los Sres. Domecq y. Ochoa deshicieron respectivamente algunas equivodel reglamentó; y preguntado' por el Sr. Presidente con qué objeto había reda - caciones. . mado su lectura, manifestó S. S. que por creer no podía ocuparse el Estamen El Sr. Ferrer, que…</t>
  </si>
  <si>
    <t>…lo tanto creo que no estamos en el caso de admitir la mocion de cumentos justificativos? —_____________ _______________ los Sres. Medrano y Rivaherrera.” 1 Se dió cuenta de un oficio del Sr. decano de la comisión de Código pe El Sr. Rivaherrera : " Es cierto que se han admitido variaciones en cuan nal , manifestando qué dicha comisión necesitaba para sus trabajos el Código to á la redacción de los artículos, pero no en cuanto á su fondo; ahora serva penal formado por las Corles del año 1820 y 21 , los informes de varias cor ría en cierto…</t>
  </si>
  <si>
    <t>…—---- “Manuel de la Riva Herrera. = José Rodríguez Paterna.=Andrés Visedo. =: El Sr. Otazu hizo presente que no había necesidad de variar el artículo. Conde de las Navas. = Fermín Caballero. = Javier Martínez. = Fausto de Ota- El Sr. Rivaherrera: «La petición debe producir una ley presentada por zu. = EI marqués de Someruelos.=José Alvarez Pestaña.=Pedro Ventura de el Gobierno para que se discuta en el Estamento: entonces se podrá hacer mé Puga. = Fernando Miranda y Olmedilla. Juan de Morales. Pedro Jacobo rito de todos estos pormenores.”…</t>
  </si>
  <si>
    <t>…as expedito al efecto. Estas son las ideas que ha teni Se leyó una exposición del Sr. D. Miguel de Latorre, Procurador por la do el ministerio,” , provincia de Toledo, en que solicitaba se le concediese un mes de licencia para El Sr. Rivaherrera: «La comisión de Gobierno interior se ha ocupado , ir á su pueblo á - restablecer su salud, según le estaba ordenado por el facul de este punto en algún modo , y habiendo visto que seria muy costoso el dia tativo. v. • ■ . rio que se propone, y que nó podría salir sino después de tres ó mas dias, c…</t>
  </si>
  <si>
    <t>Rivaherrera, Manuel de la</t>
  </si>
  <si>
    <t>Manuel de la Rivaherrera</t>
  </si>
  <si>
    <t>…mbarra. (30 de Abril.) Trigo-, á 64 rs. cuartera: cebada , 4*28 id.: Extracto del parte remitido por el gobernador civil de la provincia de Bqr- habichuelas, á 48 id.: atroz, á 26 rs. arroba: vino, á 36 rs. carga: aceite,-!- gos, D. Manuel de la Rivaherrera, con fecha de 11 de Mayo último. 13 rs. el cuartal. _________ —---------------- “ , ' Las copiosas lluvias que han caído en las últimas semanas han asegurado la Villafranca (20 de Abril.) Trigo, £ 50 rs. fanega: centeno, £ 33 id,; CO echa , pero esto no producirá ventajis tan grandes como debía pro…</t>
  </si>
  <si>
    <t>Rivas, José</t>
  </si>
  <si>
    <t>José Rivas</t>
  </si>
  <si>
    <t>…enaíca á rea y los subtenientes D. Cirios Linares y D- Fernando Ordofier; cu la de gran»* ministerio el parte siguiente; Excmo. £r.t con esta fecha difea-al Exoare, SOdsros el subteniente D. Manuel Jiménez y el de la propia clase D. José Rivas, fior comandante general de las ptpviocta» Vascongada! to que 4 V- &amp; éoptot</t>
  </si>
  <si>
    <t>Rivera, Juan</t>
  </si>
  <si>
    <t>Juan Rivera</t>
  </si>
  <si>
    <t>…intruénigo, invadidos 37» ta. Continua abierta U-suscri|&gt;cion a 20 rs, tom-v en rústica. muertos 16: Fitero, invadidos 70, muertos 22. ——Ciencia de la legislación. Obra e&gt;cnta en itali„u.‘por Filangíeri. Nuevamente tra ducida por D. Juan Rivera, seis tomos en 8.° mayor con el retrato del autor. Se ven de en Madrid en la librena de Sojo, en Barcelona en la de Sierra, y en Cádiz en la de PROVINCIA SE TERU-RI. Hortal. —r—Dei espíritu de las leyes* por Mr. de Montesquieu, traducido al castellano por El 15 del corriente dice su gobernador civi…</t>
  </si>
  <si>
    <t>RíveUesj, José</t>
  </si>
  <si>
    <t>José RíveUesj</t>
  </si>
  <si>
    <t>…o ningún fallecimiento :quc en l*.tap»tfl se noche ud magnífico trasparente con él rctrato de S.&lt; M. que.regalóal aytinta- disfrutaba de buena salud , asi como en la roas coóddeedble parte de- la ptp*inmiento éf pintor de Cámara’ D. José RíveUesj hubo fuegos .artificiales, jr rei cia, en toda la cual se adoptabaa^ las jlúpQíictooes^opQrtunas. asL jpaca .evitar nó el mayor orden, cordialidad y entusiasmo^' -------------—— ----- que Btalteiaie la salud pública^ como para auxiliar j 1c» pocos pueblo»,que habían sido invadidos: finalmente remit…</t>
  </si>
  <si>
    <t>…ningún fallecimiento :quc en la.capjtyl se noche ud magnífico trasparente con él rctrato de S.&lt; M. que.regalóal aytinta- disfrutaba de buena salud , asi como en la roas considerable parte de- laprov ¡nmiento éf pintor de Cámara’ D. José RíveUesj hubo fuegos .artificiales, jr rei cia, en toda la cual se adoptabaa^ las jlúpQíictooes^opQrtunas. ssL jpata .evitar nó el mayor orden, cordialidad y entusiasmo^' ---------------—— ------ que Btalteiaie la salud publica^, como para auxiliar j 1c» pocos pueblo* ^quo hablan »ido invadidos: finalmente…</t>
  </si>
  <si>
    <t>Rkiwa, S M la</t>
  </si>
  <si>
    <t>S M la Rkiwa</t>
  </si>
  <si>
    <t>…Procuradores del Reino, ' í. ; ■ ■' Oficio recibido en el ministerio de lo Interior. cuyos poderes hayan sido aprobados: ejerciendo las veces de Prest*1 dente el que lo sea interino, y desempeñando las funciones de Secre ÜSxcmo. Sr.: S. M. la Rkiwa nuestra Señora y su augusta Madre tarios los que lo hayan sido en fas juntas preparatorias. la Rkika Gobernadora, continúan sin la menor novedad en su im Art. 29. En esta primera sésion procederán á^ elegir los caneo portante salud. Procuradores del Reino en quienes ha de recaer la elección deS. M.…</t>
  </si>
  <si>
    <t>Rlguil, José</t>
  </si>
  <si>
    <t>José Rlguil</t>
  </si>
  <si>
    <t>…ty fffnnw y tafilete. La misma en papel fino h 12 ». rama« * iSá fiobefnia)^^yil ávisa'co&gt;i|i&lt;íechad'‘del actual que en aquella cépitxt fUé ■ » ■ .‘Oficio de la Semana sanca y Semana de Pascua* en latJp y castelí^no» «érd ^ tí&gt;r D. José Rlguil, présoftefo. Séxríedicion. a fiólÉt7. Un toad ti bían sido inir»á«ífi»djofte él 3 da corréente al 6 del mismo 34 personas;, ha*, pis * 14 rs. rama, 18 pasca comtmy 41 tafilete^ -- « i cundo 52,.dí éstabanen coiiválecencia, y fallecido 4*&gt;, inclusos lópirvu- —-Oficio;parro de la Santísima Vjrgen. y…</t>
  </si>
  <si>
    <t>Rnbmson</t>
  </si>
  <si>
    <t>…se de’-arrnllarin mas fácilmente con esta un ion. Aunque bernador de Braga, y antes del fuerte han Julián, anciano de ".Sanos; ei obis el n-ev'' primer rríibktro citezza de alguna actividad, no poseso deja- deísr,. po de VReo, el coronel Rnbmson v otros. co;iv&gt; es rv.tono en Inglaterra, sugeto de toda probidad y de nobitf-carácter* ^ Reina la mayor franqueza y bueni intendencia entre los miniaros v lord bi’ puCí motivo para creer que las rcbrmjs recihir*n--nuevo-¿•mpüriOt Howard de AValden. Los Sre%. Freiré y Silva Carva.ho le han diji-’’…</t>
  </si>
  <si>
    <t>Rndií</t>
  </si>
  <si>
    <t>…nder i las ber: primera la de los que están en campaña , y á estos ya sabrán combatirlos óbligícionfcs de justicia que recaen sobre los productos del Voto- El Voto no nuestras bizarras tropas y Urbanos que están á las órdenes del general Rndií;y solo sirve para sostener á los canónigos y dignidades de Santiago , a! arzobis segunda la de los que sin salir á campaña, mas temible si se quiere, están in po y demas eclesiásticos , sino que Cambien ha sido aplicado y distribuido en teresados en las desgracias de su patria, porque viven á la so…</t>
  </si>
  <si>
    <t>Rnsell, John</t>
  </si>
  <si>
    <t>John Rnsell</t>
  </si>
  <si>
    <t>…erio. La Cámara se separó hasta el lunes próximo. tir á la discusión de los asuntos graves ó peculiares de un ramo de administración, los Comisionados regios que S. M. designare con í___ El vizconde Melbourne, el lord canciller , lord John Rnsell, los ilustre» este fin. Spring Rice, C. Grant, E. EUice y J. Abercombry, han estado ayer á visi Art. 113. Dichos Comisionados régios serán nombrados por S. M. tar al conde Grey y al vizconde Althorp. (Times.') en virtud de un decreto especial, comunicado á las Cortes por el FRANCIA. Secretario del…</t>
  </si>
  <si>
    <t>Ro, Antonio José</t>
  </si>
  <si>
    <t>Antonio José Ro</t>
  </si>
  <si>
    <t>…bía acostado a dormir la siesta. A los primeros tiros que se dispararon dentro del pueblo disputo el gefe Acabamos de recibir por extraordinario la Gattta de Francia de 8 del de nuestras tropas que el ayudante de esta plana mayor D. Antonio José Ro corriente, y en ella leemos el siguiente párrafo: dríguez pasase á situar la columna de la derecha en la altura á que iban subicn-. ” periódico de Lóndres dice que Doña Francisca de Brsganza, esposa do los facciosos; y tomando el mencionado ayudante ocho hombres de 1* cilia de D. Carlos de Borbon,…</t>
  </si>
  <si>
    <t>Ro, Francisco</t>
  </si>
  <si>
    <t>Francisco Ro</t>
  </si>
  <si>
    <t>…tampoco que su institución mes era de parecer que se aprobasen. El Estamento adhirió á este dictamen. carezca de defectos , pero no se debe olvidar jamas que la Milicia urbana ha La misma comisión manifestó haber examinado los.de D. Francisco Ro sido obra de este Ministerio: los actuales Secretario» del Despacho conocie dríguez de Vera por la provincia de Albacete, y hallándolo, conformes , fue ron su necesidad; y por lo mismo procedieron á establecerla; la experiencia ha ron aprobados. En seguida pidió la palabra el Sr. Butrón para hacer…</t>
  </si>
  <si>
    <t>Ro, Manuel</t>
  </si>
  <si>
    <t>Manuel Ro</t>
  </si>
  <si>
    <t>…Sr. :-El brigadier D. Gaspar de Jáuregui, gefe de la hallaban el gefe de la plana mayor D. José de Cova, D. Joaquín 1.a brigada de la 3.a división de mi mando, me da parte en 6 del Sanz de Mendiondo, el oficial de la plana mayor D. Manuel Ro actual de la acción que sostuvo contra los rebeldes en las inmedia-, drigue/ I-ito, mis ordenanzas, que se componen de patriotas mon dones de Astigarraga y Oyarzun en los términos siguientes : tados, y los cinco soldados de caballería con su cabo que me Excmo. Sr.: Aunque en el día de ayer anuncié…</t>
  </si>
  <si>
    <t>Ro, Martínez de la</t>
  </si>
  <si>
    <t>Martínez de la Ro</t>
  </si>
  <si>
    <t>…rarios. nombres de Gonzalo de Córdoba, Londres a yo días i b. Suatandvr id. a 4 p, 100 alletrasaüo. del cr»nde de Tendida, de Bohorques v de Pulgar valían por un ejercito en la 37*. Bitono par. Santiago d. conquista de Granado El Sr. Martínez de la Ro«a no interrumpe su narración con los documen tos y las reflexiones criticas relativas a ed-.s; pero no se excusa de.cumplir este ANUNCIOS. dcl&gt;er de lodo historiador, señaladamente de hechos dudosos o poco conocidos; y asi satisface en esta parte la curiosidad de leas lectores en las notas y en un…</t>
  </si>
  <si>
    <t>Ro, Pedro</t>
  </si>
  <si>
    <t>Pedro Ro</t>
  </si>
  <si>
    <t>…do el minisjíb;'de GueÍ!ya--.7—r fíy'j nara Puente de Urae; £ TX Francisco Pantoja para Redondela; á Don Después de haber hecho presente los gastos^que.-en elfmés dy ^ttforfilni Lóferrib CÓlKf’dfc- fferas f Bezuda para Ordenes; á D. Pedro Ro causado el envío dé tropas al Luiémbúrgo, la íríovtttzacioh Je"una parle ae las dríguez para Fonsagrada; á D. José Dionisio de Aspe para Nogales; guarniciones, y el aumento de fuerza dado á estas , el ministro añade: á^Dv.Antonio Torres y Chacón para Santiago; á D. Joaquín de Pal » El gobierno cree…</t>
  </si>
  <si>
    <t>Roa, Domingo</t>
  </si>
  <si>
    <t>Domingo Roa</t>
  </si>
  <si>
    <t>…bo en los dias 13, 14 7 15,ó invadidos, 3 curados y 3 Excmo. Sr.: Son las diez en punto, en cuya hora recibo del general en enfermos existentes; no habiendo extendido la enfermedad sus fatales conse gefe por el correo de gabinete D. Domingo Roa, los cinco adjuntos pliegos, cuencias. En Peleagonzalo han sido invadidos dos de enfermedad sospechosa, y pira V. E. los cuatro, y uno para el Excmo. Sr. Secretario del Despacho de muerto uno. En Fuente la Peña fueron el 13 invadidos 9, curado 1 y falleci Gracia y Justicia , que ipe los remite desd…</t>
  </si>
  <si>
    <t>Robad, Antonio</t>
  </si>
  <si>
    <t>Antonio Robad</t>
  </si>
  <si>
    <t>…ropa, y sobre todo, los medios que empleó para impedir al príncipe Leo Elementos de hipolomta, 6 anatomía del caballo para la escuela veterinaria; por poldo que aceptasé et trono de Grecia; &lt;no es todo esjo suficiente para que la D. Antonio Robad illa, profesor de anatomía en la de esta corte; consta de dos tomos opinión europea se decida á detestad á un hombre, á quien antes admiraba y en 8.° de buen papel e impresión. Hsta obra fue aprobada para la enseñanza en el año amaba , y que luego llegó 4 scr 4 l°s ojos del mundo un enigma inexplic…</t>
  </si>
  <si>
    <t>Robertoy</t>
  </si>
  <si>
    <t>…ión de los rae mos de la prosperidad desembarazará á los tribunales de justicia de las funcio Munaiz,Aurorasa romosde Floraen 16d coleccióncoo láminas,de historietasá 13 rs. rústicay novelasy 16 morales,eo pasta.-----DanmivtUepor D. Robertoy nes políticas y administrativas que los distraían de su instituto primario, y Felisa ó el vicio castigado y la virtud recompensada, novela francesa, traducida li menguaban su necesaria independencia. Libre el acceso a las fuentes del saber, bremente al castellano por D. Roberto Munaiz, un tomo ia.°…</t>
  </si>
  <si>
    <t>Robledo, José María de la Riv</t>
  </si>
  <si>
    <t>José María de la Riv Robledo</t>
  </si>
  <si>
    <t>…irigido ai convento de Huerta, y calculando estarían alojados dentro de Montañés, asi como el uniente del regimiento infantería de Zaragoza 12 de ¿I por ser el único puntó allí capaz de esta fuerza, bailándonos acampados en línea D. José María de la Riv^ Robledo, el cual habiéndoseme presentado en el monte de la Torre en, unión con el coronel D. Manuel Obregón, dispusi ei momento que salta de Aranda de Duero para perseguir á la indicada facción mos el sorprenderlos, con tanto mas gtísto, cuanfo no teniendo ote edificio de Cucvillas, me manifestó sus deseos…</t>
  </si>
  <si>
    <t>Robles, Segunda Martínez</t>
  </si>
  <si>
    <t>Segunda Martínez Robles</t>
  </si>
  <si>
    <t>…erfeccionado, quedando socorrido aquel punto debe existir en los mismos. con municiones de boca y guerra para tres pieses. Al siguiente dia l.° de Noviembre corriente marchó la indicada primera Accediendo S. M. á una solicitud de Doña Segunda Martínez Robles, se división en persecución de Zumaiacarregui, y la del brigadier Oria sobre San ha dignado resolver que se recomiende á los establecimientos de instrucción güesa en seguimiento de 2 batallones facciosos que recorrían aquel territorio. primaria del reino la lectura de la obra titulada El pequeño Ca…</t>
  </si>
  <si>
    <t>Robustta</t>
  </si>
  <si>
    <t>…e la provincia, de gel Hernando, D. Francisco Vrliamil, j dichos D. Miguel Rúa, D. Gervasio pendiese de Ayamonte , que está al opuesto en este ramo. En su virtud , siendo Araujo, D. Pablo Carcafio, D. Andrés de Castro, D. Pedro y D. Robustta— tejs los partidos judiciales de estacha sido la distribución muy fácil y sencilla, no Pequeño, D. José Sánchez y D. Ramón Tajontfta: en cosmografía Don poniendo al cuidado de la subdelegaron de Ayamonte los pueblos de su parti Demetrio Zalvidea, D. Isaac Pequeño, D. Juan Lembeye y el mencionado do…</t>
  </si>
  <si>
    <t>Robustta, Pedro y D</t>
  </si>
  <si>
    <t>Pedro y D Robustta</t>
  </si>
  <si>
    <t>…n extremo de la provincia, de gel Hernando, D. Francisco Vrliamil, j dichos D. Miguel Rúa, D. Gervasio pendiese de Ayamonte , que está al opuesto en este ramo. En su virtud , siendo Araujo, D. Pablo Carcafio, D. Andrés de Castro, D. Pedro y D. Robustta— tejs los partidos judiciales de estacha sido la distribución muy fácil y sencilla, no Pequeño, D. José Sánchez y D. Ramón Tajontfta: en cosmografía Don poniendo al cuidado de la subdelegaron de Ayamonte los pueblos de su parti Demetrio Zalvidea, D. Isaac Pequeño, D. Juan Lembeye y el mencionado do…</t>
  </si>
  <si>
    <t>Roca, Fidel</t>
  </si>
  <si>
    <t>Fidel Roca</t>
  </si>
  <si>
    <t>…exhortado á los pueblos á suscribirse al Diccionario tec Reglamento aprobada por S. M., en que se previene el método que . habrán de observar los acreedores contra la Francia póf lqs tratados1 de nológico; y so ha dado permiso á D. Fidel Roca para establecer 1814 p iSi j en loS recursos de apelación que instauren ante las .junta, una prensa lítográfica, alentándole á ejecutarlo cuanto antes. de eximen y liquidación y de apelaciones; modo de proceder erl ellos, Se trabaja en el informe sobre el establecimiento de una junta y drdeo que ha…</t>
  </si>
  <si>
    <t>Roca, Mariano</t>
  </si>
  <si>
    <t>Mariano Roca</t>
  </si>
  <si>
    <t>…nderas jr es* tandartes con que honró su, Real mano al ejército español en el fausto cumpleaños d* En el dia del mes de la fecha seguía su gobernador civil tomando todas su amada Hija laSerma. Infanta Poña María Isabel Lvisa: por D. Mariano Roca las disposiciones oportunas para aliviar y socorrer los desgraciados en aquella ca de Togores: impresa de órden de S- M* año de 1811. Un cuaderno en 4&gt;° marquilla, h pital y demas pueblos de dicha provincia, cuyo estado era el que demosjpba un-■■—Obrasreal ramade T&gt;.é ÍdemAntoniorústica.Rafael Mengs* p…</t>
  </si>
  <si>
    <t>Rocar, José Ramón</t>
  </si>
  <si>
    <t>José Ramón Rocar</t>
  </si>
  <si>
    <t>…i " Aunque todos á porfia han manifestado el mayor ardor’en este V. F- muchos años. Cuartel general de li Guarda 19 de Abril encuentro, deseosos de ser los primeros en el peligro para mar de 1834 á las doce de la noche, cz Excmo. Sr.^José Ramón Rocar con hechos positivos su justa adhesión á la Reina nuestra Se dil.czExcmo. Sr. Secretario de Estado y del Despacho de la Guerra. ñora, creo deber recomendar á V. E. por segunda vez al subte niente agregado á la plana mayor D. Luis del Arco, al capitán Excmo. Sr. : Procedente (le Braganza, y persegui…</t>
  </si>
  <si>
    <t>Rocha, Francisco</t>
  </si>
  <si>
    <t>Francisco Rocha</t>
  </si>
  <si>
    <t>…casos se ha de disponer el bocal con un marco, de manera ración sé hizo en el reinado de mi Abuelo el Sr. D. Carlos iv por que no pueda entrar mas cantidad de aguas que las concedidas á la otro profesor de arquitectura, nombrado D. Francisco Rocha, á la empresa» A estos dos proyectos acompañará el presupuesto del coste que concurrió el primero, y de la que "resultaron comprobadas la de cada uno, y unq comparación de las ventajas é inconveniente* utilidad y la posibilidad de la empresa. Las vicisitudes de los tiem respectivos; y antes de proc…</t>
  </si>
  <si>
    <t>Rocnarate, Jacinto</t>
  </si>
  <si>
    <t>Jacinto Rocnarate</t>
  </si>
  <si>
    <t>…,¿o tiempo. Las facctone&gt; , señor, pululan por todas partes. ;Y quien son Se mandaron pasar á la misma los poderes y documentos presentados por Jos que corre'ponden á ellas: Lo&gt; empleado* por el Gobierno , según m ni fies» el St. D. Jacinto Rocnarate, electo Procurador por la provincia de Vizcaya. tan 1 os últimos acont?cinvrf.l.»* de Va enea y otra* partes, que abuvan de su El Sr. Secretario Trucha leyó el art. 51 y manifestó que la mesa en su situación y de la sombra Je e&gt;te mi&gt;mo Gobierno p3ra clavar el puñal en la pa virtud habia nombrado l…</t>
  </si>
  <si>
    <t>Rod, Faustino</t>
  </si>
  <si>
    <t>Faustino Rod</t>
  </si>
  <si>
    <t>…^ntnguna reclamación contra el gobierno actual de "" Y para la plaza de regente del-obradorde fundición de la imprenta Real, •Bé|gÍca&gt; por¿ no haber servidp. nunca al Rey Leopoldo. El embajador ingles vacante por fallecimiento de D. Faustino Rod/ieucz, se ha dignado nnaboff en Bruselas nq quiere intervenir ^ y las cosas por ahora se quedan en éste es &amp; M i O# Lorenzo ^Barrio, empicado en el departamento grabado de lee tada (Keutisk Gazettei). ; Reales casas- de moneda de esta corto - i ■ Aygr Heñios recibido cartas de Bombay que anuncian l…</t>
  </si>
  <si>
    <t>Rodas</t>
  </si>
  <si>
    <t>…Seguimos la pista por aquel escabroso terread, y anduvimos nueve horas con los caballos del diestro; las guerrillas (te infantería, una mandada por el Según avisa su gobernador civil con fecha 21 del actual, la capital dé bizarro coronel Rodas, que voluntariamente se prestó á hacer este servicio, y esta provincia había cumplido los 30 dias de observación sin que hubiese ocur otra por el capitán D. Luis Cía vería, recorrieron todas las malezas de la mon rido novedad: el pueblo de Ascq se hallaba libré de la enfermedad.- los de taña hasta…</t>
  </si>
  <si>
    <t>Rodenas, D Francisco</t>
  </si>
  <si>
    <t>D Francisco Rodenas</t>
  </si>
  <si>
    <t>…e otros han sido notablemente alterados. Manifiesta después las misa por el señor cura párroco, y predicó una oración alubi a al objeta de ¡a órdenes que se habían comunicado a los prefectos y demas empleados encarga ceremonia al teniente D. Francisco Rodenas, inculcando la legitimidad de l .s dos de cuidar de la tranquilidad de París; sosteniendo que todos han cumplido derechos al trono de S. M. la Rkisa, y la sumisión que se debía á su gobier con su obligación , sin que esto impida que si alguno se hubiese excedido sea no. Terminado este solemne acto…</t>
  </si>
  <si>
    <t>Rodenas, Francisco</t>
  </si>
  <si>
    <t>Francisco Rodenas</t>
  </si>
  <si>
    <t>…an sido notablemente alterados. Manifiesta después las misa por el señor cura párroco, y predicó una oración alubi a al objeta de ¡a órdenes que se habían comunicado a los prefectos y demas empleados encarga ceremonia al teniente D. Francisco Rodenas, inculcando la legitimidad de l .s dos de cuidar de la tranquilidad de París; sosteniendo que todos han cumplido derechos al trono de S. M. la Rkisa, y la sumisión que se debía á su gobier con su obligación , sin que esto impida que si alguno se hubiese excedido sea no. Terminado este solemne acto…</t>
  </si>
  <si>
    <t>Roderi</t>
  </si>
  <si>
    <t>…mentaria de la nación cerca del Rey de Dinamarca. puéde dividirse en seis fracciones, desiguales en número é influencia. 1.a De Se han hecho muchas promociones en los diferentes ramos de nuestra ad ultra toris, como lord Chandos, lord Roderi, y otros fanáticos políticos r re ministración. {Gaceta de Boetasi) ligiosos. 2.a De toris moderados, como el duque de VVellington, sir Roberto Pcel y sus amigos y allegados. 3.a De sem¡-\vhigs, como lord Stanley, sir J. ALEMANIA. Graham, lord Ripon y el duque de Richmond. 4*a De whígs, es decir, e…</t>
  </si>
  <si>
    <t>RodiI, D José Ramón</t>
  </si>
  <si>
    <t>D José Ramón RodiI</t>
  </si>
  <si>
    <t>…también editores, han sido conducidos á la cárcel, y puestos en der» de estipular los artículos de la dicha capitulación. Dios &lt;5cc- Cuartel gene rigurosa incomunicación. ral de Castello-de-Vide 23 de Mayo de 1834 =11™°- y Excmo. Sr. D. José Ramón RodiI.=Rodrigo de Souza Curella de Caitilho, coronel comandanta __E1 Imparcial dice que la Suiza ha hecho cuanto estaba en su poder para de la 3.a brigada de operaciones en el Alentejo. impedir la repetición de desórdenes, y al mismo tiempo ha quitado todo pre texto de queja á las Potencias extrangeras. C…</t>
  </si>
  <si>
    <t>RodiI, José Ramón</t>
  </si>
  <si>
    <t>José Ramón RodiI</t>
  </si>
  <si>
    <t>…ién editores, han sido conducidos á la cárcel, y puestos en der» de estipular los artículos de la dicha capitulación. Dios &lt;5cc- Cuartel gene rigurosa incomunicación. ral de Castello-de-Vide 23 de Mayo de 1834 =11™°- y Excmo. Sr. D. José Ramón RodiI.=Rodrigo de Souza Curella de Caitilho, coronel comandanta __E1 Imparcial dice que la Suiza ha hecho cuanto estaba en su poder para de la 3.a brigada de operaciones en el Alentejo. impedir la repetición de desórdenes, y al mismo tiempo ha quitado todo pre texto de queja á las Potencias extrangeras. C…</t>
  </si>
  <si>
    <t>Rodil</t>
  </si>
  <si>
    <t>…eral Hore en oficio de 25 del Conociendo los facciosos del Norte de España el peligro que les amenaza actual me dice desde Morella lo que copio: "Excmo. Sr. : En papel del d:a 23 con la próximh llegada de las tropas del mando del general Rodil , concibie del actual he tenido el honor de manifestar á V. E. que al cabecilla Cab era ron varios proyectos, burlados hasta ahora por la situación y movimientos de no le quedaban mas que unos 150 rebeldes, y ahora tengo el de participarle nuestras tropas, y el buen espíritu que domina en alguna pa…</t>
  </si>
  <si>
    <t>…. .4 esperó el curso de los sucesos. Puesto.á votación el párcafoi, se aprobó con 1». adición propuesta por ei «Como el Príncipe D. Carlos no habia caído en manos del ejército espa Sr. Alvarez Guerra. ■ . : ' i - ’w ñol ; como el general Rodil no estaba en Evora; como no era posible que hu «También'la Milicia urbana, que. debe su existencia 4 la ilustrada previ biese un agente del Gobierno en cada punto de Portugal, en que pudiera ter sión dé Y. ,M-, ba hecho, apenas formada, servicios ¿tnportanieaáJa causa minarse de un momento i otro l…</t>
  </si>
  <si>
    <t>…este género, de las cuates unas han sido imitadas pj María de la Gloria. los dramáticos franceses de-marmota, y otras se- representan-aun «a nuestra teatros ■ con aplausos no desmentidos................... Las tropas al mando del general Rodil, de resultas del movimiento prac La verdad es que ni •Cervantes ni el mismo Lope-conocieron el nuevo son ticado, ocupaban las siguientes posiciones. El general Carondelet en Linhares. derode poesía dramática que abrió este.felicísimo ingenio, guiado solamente El general Sanjuanena en Covilhao. El g…</t>
  </si>
  <si>
    <t>…llegado á Vitoria con el batallón de Mondoñedo destinado á reforzarla. puesto lo conveniente para que en la limpieza de los pozos se use el método desinfectante , y hoy acaso podrá ponerse en práctica : últimamente las autori El general Rodil da parte desde Búrgos con fecha 30 de Junio próximo dades todas de esta capital toman cuantas medidas les tiene indicadas el Gobier pasado de haber entrado en aquella ciudad con la caballería y la división de no para ia conservación de la salud de sus habitantes. vanguardia; siendo admirable el estado…</t>
  </si>
  <si>
    <t>…á esta obra piadosa, y el reverendo arzo El 2 del corriente salia de Búrgos para Briviesca la caballería y la van bispo de la diócesis ba ofrecido costear él jojo las reparaciones projrclsdas cz’ guardia del ejercito que manda el general Rodil, y en el mismo dia entraría el edificio en que se guardan lo* presos. en dicha ciudad la columna restante ,-habiendo sido notable la impresión que Ha remitido al director general de presidios el infórme que le pidió sobre babia producido en los habitantes el número y la presencia de aquéllas brilla…</t>
  </si>
  <si>
    <t>…habían devuelto.0 (Gaceta de Augsburgo.} las falsas. i ^ El general Manso entro el día l.° en Burgos, y una columna de tropas al mando del coronel Carrera marcltó hacía Fancorbo. * ESPAÑA. Madrid S de Mayo. El cuartel general del general Rodil se hallaba el dia 1.® del corriente en Extracto del pirte dado con fecha de 3 de Abril por el secretaria de la Gouvéa, El anterior habían sido desalojados de aquellas formidables posiciones subdelegaron del fomento de ia provincia de Cádiz D. Manuel García Dominguez, en ausencia del subdelegado. 60…</t>
  </si>
  <si>
    <t>…medida oportunas para que las facciones no tengan correspondencia en la provincia. Partee. recibido! tu la secretaría de Estado y del fíespacho de la Guerra. Ha nombrado una comisión para promover la prosperidad del colegio de B1 general Rodil conservaba su cuartel general en Goubea; de resultas dé humanidades de aquella villa, y ha pasado circulares á los pueblos para infor su movimiento tjué envolvía la posición de Visco, los miguelistas se han retí—, marse del estado de la enseñanza primaria. rado de esta ciudad por el camino de Coimb…</t>
  </si>
  <si>
    <t>…° de Junio. «ion pública quedesaprueba y detesta semejante extravícy estos atentados contra ¿1 órden soctal. En fin,.ningún ciudadano, ningún diputado tiene derecho para Es frecuente el paso de correos para el cuartel general del general Rodil, obedecer las leyes que guste, y desobedecer tas que no le acomoden. Las leyes y se infiere que este debe haber recibido órdenes para ejecutar algún movimiento comprenden á todos; lo contrario seria un desórden al cual la Cámara debería rápido; pues que parece las hay anuí para reunir 400 carros, y…</t>
  </si>
  <si>
    <t>…ndo tauración de la libertad. Por tanto, dedicándome con toda buena voluntad al sido descubierto, rechazado y forzado á retirarse precipitadamente. servicio de la Reina y de la patria, he hecho, séame lícito decirlo, lo que ya El general Rodil después de dejar establecidas algunas piezas de artillería he practicado otras veces, á saber, cerrar los ojos y arrostrar toda dificultad. que sacó de Pamplona, en los puntos fuertes de fe Boninda, entró en Vito «Debo decir abofe en pocas palabras cuáles son los principios que Mi* co ria el 3. leg…</t>
  </si>
  <si>
    <t>…os estableci garantías* ¡ . mientos de caridad y beneficencia; y para realizar los créditos que tiene á su faeo¿ «1 hospicio de aquella capital, lo que ha.conseguido en parte, y espera lograr aunque lentamente casi en el todo. El general Rodil desde su cuartel general de Gouvea da parte con fecha Ha designado el edificio para establecer la casa de caridid, y* se está hacien de 3 del corriente de haber entrado en Viseo el dia anterior el duque de Ter do el presupuesto aproximado de los gastos qu.e deberán ocasionarse, y el cál cera, despu…</t>
  </si>
  <si>
    <t>…n dei actual gabinete. En efecto, milores, esta rer, Procurador á Cortes por Guipúzcoa, y el oficial de estado mayor D- Mi no es úna administración nueva, sino simplemente modificada; y es fácil de guel de Araoz, del ejército del general Rodil, se sabe la derrota del .grueso ver.,st se atiende á que no hay ningún individuo del actual ministerio que no principal de la facción de Navarra. A mayor abundamiento el gobernador de lo hayk sido del anterior. Este solo hecho es suficiente para adivinar el sistema la plaza de S. Sebastian dice lo…</t>
  </si>
  <si>
    <t>…hecho , prácticamente se ejerce. tenia las itutrucciona conveniente» para apoderarse de la persona de D. Cár «Con este motivo no puedo menos de hacerme cargo de una reflexión los! ¡No'pudo haberse hecho asi estando á una legua el general Rodil en el que he oído en la discusión de hoy al Sr. Calderón y Col lames, quien defen momento en que D. Miguel sucumbía y D. Cárlos estaba á discreción! Si se diendo la soberanía ha dicho que so hablaba de la popular, sino de le sobe «hubiese procedido entonca coa esta previsión, que debió atar al alca…</t>
  </si>
  <si>
    <t>…eguido todas las libertades que reclamabais en al ministro de Negocios extrangeros sobre el tratado de la cuadrupla alianza , y tiempo de la restauración, y á pesar de esto obráis como si no tuvieseis *ningu— jobre la entrada del general Rodil en el territorio portugués. Lord Palmerston na. La Francia esperaba ver salir el órden de la libertad, y vosotros no le respondió categóricamente que en efecto existia el tratado; que su ratificación habéis dado otra cosa sino tumultos, guerra eivíl y una inquietud perpetua. en Lisboa se había dife…</t>
  </si>
  <si>
    <t>…dc debía entrar el duque el 8 del corriente, envuelta aquella posición por mas necesitados d movimiento de Jas tropas españolas. En seguida señala las causas de la decadencia de la agricultura en aquella Según el último parte del general Rodil se susurraba ya U retirada de loa provincia, y se queja del atraso de la industria fabril. Sin embargo asegura que miguelistas de Coimbra. presenta mejoras la fábrica de mantelería de aquella Real Casa de Misericordia, y la de estampado* sobre hilos y tejidos de D. Juan Francisco Clarací-esi co mo…</t>
  </si>
  <si>
    <t>…a La inteligencia *de to* seguirían su movimiento para verificar su reconcentración, mientras apoyaba el da clase de personas, por D. José María González. Esta obrira que contiene todas 1* flanco izquierdo de estas operaciones el general Rodil. voces de dudosa ortografía, y las abreviaturas, es ciertamente muy útil a las señoras empicados, militares y comerciantes; y la única en su especie de que pueden servir* con aprovcchainíentQen las casas de primera educación. Un tomo en 8.° de hermosa papel é impresión: á 4 en la librería de Rodrígu…</t>
  </si>
  <si>
    <t>…que no deban estar fuera de sus cuerpos. dos á las costas de España. (tourrVr.) 8.’ Que se economice infinitamente el dar encargos á los oficiales que los alejen de sus filas. } Mucho se espera de la firmeza y pericia militar del general Rodil para 9- Que los capilañes generales en falta de oficiales en los cuerpos desvanecer cuanto antes toda esperanza de los sectarios del Prclcndieute. (Glote.') puedan destinar desde luego oficiales excedentes'de su, eoniianza, que sirvan eventualmenle en ellos, dando conocimiento á los inspectores ___…</t>
  </si>
  <si>
    <t>…s dé su distrito: entre tanto el capitán D. Grego vía con indicios' de próxima marcha, que se suponía hácia Caste- rio González, del regimiento dé la Albuhera, dio alcance el 6 en 1 obra neo y Abrán tés. tás tropas del tnando del general Rodil tre Lerma y Aranda á SO facciosos que se decían ser de Merino, ^ marchaban paralelanieiite i la frontera ; y aquél general se hallaba los acuchilló. Algunos dias antes varios dispersos de la facción de el 9 por la boche en Alb'étgueríá. El géhehál sfijitleb subsistía en Basilio, que fue expelida de…</t>
  </si>
  <si>
    <t>…iones en luminarias de vasos de colores que detenían la vista. . Con fecha del 24 escribe el juez de Fora, que el 18 llegó á Chamusca En la plaza hubo fuegos, que resucitaron el dia, á cuva luz bailó el pue Don Carlos huyendo del general Rodil , después de haber perdido su bagage blo , solazándose al son del tamboril , que es !u música común del país ; y mien y carruages; y que los rebeldes estaban á toda prisa construyendo un puente tras que cJ público asi se regocijaba, Ja sociedad filarmónica, queriendo que el con barricas para huir d…</t>
  </si>
  <si>
    <t>…te de carabineros de costas y fronteras D. Jdat^ cuando los enemigos las creian aun en Gouvea, situándose estas en Foz de nuel Rodríguez S. Pedro, ayudante interino de la plana mayor de Protiiesde donde da parte el mismo dia 8 el general Rodil. Las tropas han qu= con su actividad y luces me fue de la mayor utilidad. Lo participo 4 V-E» sido recibidas por los habitantes dei país con el mayor entusiasmo y alborozo* para la debida noticia de la augusta Reina Gobernadora, i cay* 6dfa(firatti Los miguélistas que se retiraron de Coimbra en número c…</t>
  </si>
  <si>
    <t>…verse cortado, puesto que no tienen línea que defen der, ni depósitos, ni almacenes, ni parque de artilieriz, ni tiene necesidad de dar mas importancia á un punto que á otro! (Continuación del correo anterior.) Se extraña que el general Rodil, con las fuerzas de que puede disponer no logre cercar á los carlistas en u. vade ó en otra cualquiera posición. Pues VRAXCIA. este general no ha economizado las marcha», y ha hostigado sin cesar al ene migo en todas direcciones , empleando con este objeto muchas columnas al mis París 6‘de Setiembr…</t>
  </si>
  <si>
    <t>…igada de Alava, el cual tenia á sus órdenes hasta ahora no la habian visto influye mucho en la parte moral; y el carácter en calidad de 2.a al nombrado general Cuevillas y á otra porción de gefes, en inflexible que se atribuye al general Rodil produce un saludable terror, que tre los que se distinguían por mas notables los supuestos brigadieres Marrón y tarde ó temprano ha de contribuir a que vuelvan á su ubediencia aquellos des Miranda y comandante de batallón Las Heras. graciados distritos (Diario de los Debates?) De los minuciosos y e…</t>
  </si>
  <si>
    <t>…Duero M. Oanneron pide que se tome en consideración la propuesta que M. Va— pudo volver sobre Lamego , y reconcentrar allí sus fuerzas, mientras que el tout hizo el año pasado para que se autorizase al gobierno á tomar en pago de general Rodil, ocupando Us cumbres de la sierra de Estrella, situaba su cuar la suma prestada á los comerciantes de libros, los que tienen dados en fianza de tel general en Guarda, con fuerzas adelantadas en Covillao y Celorico , en las dicha sui^ia. MM. C. Dupin y Realier apoyan la indicación, y la Cámara de ve…</t>
  </si>
  <si>
    <t>-enetrabíll Jctefcoíiyüyíes;* córreos y .vivanderos j-hasta el corazón de Portugal, . ronel D. Saturnino Albuín, que 4 m¡ salida de Aranda confinó conmigo en donde se hallaba el general Rodil. - y venir por distinto camino con ,parle de su fuerza 4 caer hoy en este punto para por la &lt;ijeV Algarbe entraba en ^dértola el brigadier Serrano con las V obrar de común acuerdo según las circunstancias, me he detenido hasta que lle trop#,espafiolas^l día 8; esto es, el mismo dia en que el duque dejer…</t>
  </si>
  <si>
    <t>…de descenso, pues de los enfermos trada en Navarra. Dios&amp;c.” Existentes loe mas sé salvarían, y aunque ocurrían algunos casos nuevos, casi ■K ' \ . todps eran leves t que disminuyendo el número de enfermos en el hospital, sifcEl general Rodil desde Puente la Reina el dia .11, da parte dé tener acan cediá lo mismo con los gastos, que dicho establecimiento erogaba; pero que no tonada en los pueblos del contorno las fuerzas de su ejército, que habia sido «ucfdia lo mismo con el de la sopa económica, pues la escasez de las cosechas nuevamen…</t>
  </si>
  <si>
    <t>…le de Erro al Bastan y v ice-versa de la historia de Francia; Fallot, alumno d= la escuela de^Cartulários, qúe des están armados con lanzas y garrotes. ■ • ' empeñará las funciones de secretario de la comisión. . «Se dice que el .general Rodil trata de quemar los njplinoá litigados en el «Podrán ser adjuntos de la com¡sIOn, y asistir á sus sesiones, constante ó territorio que octi¡&gt;an los ícbeldes, para privar á estos de los medios de surtirse twHpomlmeme, tas personas encargadas de trabajos especiales Relativos i la in- de harinas.” rdH…</t>
  </si>
  <si>
    <t>…i se aproximase á esta frontera. En la frontera por la parte de Elizondo parece que ha habido una Com La noticia que di anoche á V. E. de la ocupación del Roncal ha sido fal pleta alarma entre los carlistas; pues una división del general Rodil se había sa , pues los emisarios que mandé anoche á aquel valle me han dado parle de acercado á dicho punto. no haber ocurrido novedad. A las cuatro de la tarde del dia de hoy D. Joaquín María Ferrer ha re El gobernador de Sos y las justicias de estos pueblos no tienen conoci cibido del comandante…</t>
  </si>
  <si>
    <t>…el 8 por 100 de sus respectivos'créditos, que tores del ejército enemigo, cuya vanguardia se había replegado £ Thpmár. Bn conforme 4 lo resuelto en junta general de acreedores debe abonarse por, la viuda {le el mismo día ocnpó el general Rodil á S. Martin de Cortis* y el siguiente £ dicho Robredo ¡para que en el preciso término de ÍS dias se presenten en la escriba nía del referidlo Sanz, con los documentó» que acrediten su legitimidad para percibir las nueve de la mañana £ Coja, de donde.da pane. El general Latre debía lié- el dividendo…</t>
  </si>
  <si>
    <t>…la si llegasen en algnn tiempo á descubrirse bienes del hay motivo para creer que la carrera del Pretendiente se acerca á su fin, y que alcanzado tí de algún otro obligado á su solvencia. las disposiciones eficaces tomadas por el general Rodil acabarán con el ejérci 7? Guando dicho valor sea mayor que la cantidad qué demande to que pelea en ayuda de D. Cárloe, cuy* presencia en España es todavía para ■esotros un misterio. la Real Hacienda, y no puedan dividirse las fincaí, se reconocerá-un capital igual al exceso en favor del propietario…</t>
  </si>
  <si>
    <t>…aumento cuenta con ios recursos- gonzosamente el campo, y después de Haber él huido , sus tropas batíeron á los que el Estamento le proporcionará, porque con dinero se tienen fuerzas, y con facciosos. El mismo general en gefe, el general Rodil, que no puede ser sos estas se concluye la guerra. De otra-fuerza,hablé en mi exposición, que ha sido pechoso bajo ningún aspecto, en uno de los partes de la penúltima Gaceta ex realmente útil. Cuando urgía tener soldadas, que Ja quinta no podía p.-oporcio- traordinaria dice: «Si todos los'gefes tu…</t>
  </si>
  <si>
    <t>…os pueblos de ella, procurando antes de contraerle reducir Norte los hay muy distinguidos por sus servicios á la causa de la libertad. Se en lo posible los gastos. Obedeciendo a esta ley , que miro como imperiosa* ha dicho que el general Rodil se mostraba poco satisfecho de algunos. Aquel manifestaré que estamos en el caso de adoptar el dictamen de la mayoría en su digno general tiene las facultades que la ordenanza le dá, las que el Gobierno totalidad en vez del proyecto que nos propuso el Gobierno. Las cuestiones *• le ha ampliado; y s…</t>
  </si>
  <si>
    <t>…e se habian hsongeado de dictar la ley á esta na debían internarse al mismo tiempo por la derecha del Duero, ción heroica. mientras se dirigían otras desde Ciudad-Rodrigo sobre los caminos Asi resulta de los siguientes partes del general Rodil y del ex de Lamego al interior de la Beira, por donde D. Carlos podía ve presado brigadier Sanjuanena. rificar su retirada. Mas como la reunión de las fuerzas y los demas preparativos no Capitanía general de Extremadura.=Excmo. Sr.: Son las cinco pudieron hacerse con tanta cautela que no se susurrase que…</t>
  </si>
  <si>
    <t>…lesia. desapareció con su gente. Esto nos hace creer como muy Habla detenidamente sobre él estado sanitario de la provincia, y de las disprobable que ba tomado este pretexto para pasar los Pirineos y ponerse en salvo antes que el general Rodil le haga algún cumplimiento desagradable. cion de la Milicia urbana, de la gran decisión del espíritu público 4 favor dél jSon mptehos los pueblos de Navatra donde se ha celebrado con campaneos gobierno, de los arbitrios tomados para sostener las compañías de fusileros y ta l'égada, seVun unos de Ca…</t>
  </si>
  <si>
    <t>…tres y les hicieron pagar su crimen. En fin, Excmo. Sr., el radoc, he dejado de tributar el mas justo y entero homenage 1 los talentos mi resultado ha sido no haberse escapado ninguno. He dispuesto salgan carros á re litares del general Rodil, y al excelente espíritrrque~ggiBi5~i sus tropas, y es coger los cadáveres; no habiendo tenido óor mi pan- lUgrarl; g.*- tu—i— toy convencido que á no ser por dificultades puramente lócales, habría sofoca do levemente el fusilero de Teruel Juan Manzano. Se les han cogido siete ca do una insurrecció…</t>
  </si>
  <si>
    <t>…igiese ahora la responsabilidad ál mirmteno llegó á tiempo; mas aun cuando hubiera llegado no hubiera podido hacer mas por un mal nombramiento , atendido lo difícil que es saber á punto 6jo las ca que lo que hizo el Gobierno y el general Rodil , que fue hacer reclamaciones, lidades de cada sugcío , sobre lo cual manifestó se reservaba hablar á su tiem á las que se contestó, repito, de un modo muy amistoso; pero diciendo que no po; y que su ánimo había sido solo inculcar U necesidad de la ley de respon era honroso, que habiéndose fiado el…</t>
  </si>
  <si>
    <t>…o el mérito de D- Piacido &gt;ntad .t de aquel Real nares de Butron.reExcmo, Sr. Capitán general del ejército y reino de Aragon.= consulado, que ha facilitado aquellas noticias v curas vanas ai gobierno civil. Es copia.=Ezpeleta. El general Rodil reunió el 16 en Castel-o-branco todas las fuerzas de su Extracto del parte remitido por el gobernador civil de la provincia de Sa inmediato mando, con las cuales había penetrado en Portugal por la frorftera lamanca D. José María Cambr uñero om le*.ha de :&gt; de Mavo actual. de Castilla la Vieja, y se…</t>
  </si>
  <si>
    <t>…cia Lecumberri por debajo de la peña de bitado por gente belicosa, se levanta al mismo tiempo á favor de la Reina. la Sierra de Aralar , á dos leguas de donde yo me hallaba; y con buenos prác Organizado el ejé cito *dcl mando del general Rodil, después de la re ticos que me proporcionó el expresado brigadier, aprovechándome de sus co unión de los ejércitos de Portugal y del Norte , marchó aquel general á la Bonocimientos del país, formé la, idea de atacar de Banco á los rebeldes con dos runda dejando una división de infantería y cabaiJet…</t>
  </si>
  <si>
    <t>…a por Doña María de la Gloria en la madrugada del 18 , según resulta de los siguientes partes del 19 del gobernador de CiudadRodrigo. Respecto á la fuga del Pretendiente, perseguido por las tropas de la Reina nuestra Señora,da el general Rodil ei parte siguiente: Excmo. Sr.: Las noticias que he recibido hoy sobre la direc Excmo. Sr.: Tengo el honor de participar á V. E- que por no ción del Pretendiente confirman las que he anunciado á V. E. en ticias que he recibido de diferentes puntos de la raya de Portugal mi parte de ayer , sin que a…</t>
  </si>
  <si>
    <t>…un dia á uno y otro de los sagra movimiento de las tropas portuguesas de Dona María de la Gloria sobre el dos cor-zones con d ¡stintas meditaciones para cada mes; un método para con tesar y flanco derecho de aquella posición. El general Rodil permanecía el 1/ ton sus prepararleoicare el dia,a iahacersagradala comunióncomuniónespiritualy acción, demortificargracias, losparaicnúdos,oir misa,ponerpasaren ejecusanta— fuerzas reconcentradas á la derecha del Tajo en Castcl-o-branco, proporcio ción las virtudes y mantener la presencia de Dios,…</t>
  </si>
  <si>
    <t>…de legua v media perseguidos por la caballería hasta Seiseira, punto desde él cual podían dirigirse igualmente á &lt; , : . REAL DECRETO, Samaren y á Abranles. Esta circunstancia fue causa de que el ,lnque de Terceira propusiese al general Rodil marchase sobre Abran- ■ Deseando celebrar con un nuevo beneficio el acto solemne de tes con las fuerzas españolas ya reconcentradas, y en efecto salieron conyocar las Górtes-Generales del Reino; he venido en ampliar, con- estas de CastefccirBranc© llegando el 20 á Sarceda, forreándome con el dfctám…</t>
  </si>
  <si>
    <t>…cionesj porque El gobernador de la plazadeBragánza P. JprgPjd’AviJés ;ha dirigido des trido esto se vé y rio puede describirse taimo se siente y sucede, y ,nps parece, de ella con ficha de S del presente, la siguieq^q qartaal Sr. general-Rodil: que todo lo diremos con expresar que en este diá de ventura cada lino' de los Ilmoi y Excmo. Sr.: «El aparecimiento ¿e algunas guerrillas en diferentes que en Puerro-Rico presenciaron la solemne proclamación de la Reina ,nues puntos de ¡esta .provincia , despues que el .ejétqit» .libertador del ns…</t>
  </si>
  <si>
    <t>…¿'IfJS doce de la noche. = Excmo. Sr.= tidas muestras de aprobación.)j José Ramón RodiLneEécnjo. Sr. Secretarlo de Estado y del Des Se levanta la sesión. ^ pacho de la Giierra. ESPAÑA. '/ En la carta del gobernador de Almeida al general Rodil, su Afadrid2S de Abril. fecha 20 del corriente, dice que acababa de recibir oficio del ma riscal duque de Tercejra, escrito en Freixa de Nemao (á la mitad £a comisión de Sanidad de Alejandría, de acuerdo con el go de la distancia de Lamego á Almeida) á las cuarto de la mañanabierno de S. A. el víre…</t>
  </si>
  <si>
    <t>…stán en marcha para Talavcra de la Rema. do de necesidades ni de lindados, \ s. de-e* *0 de v.;,e pa.oe:* •- .1 * 1 que va á perpetuar para *iemp¡ e el tu mb:c dei e;ci w. to c\,\ ‘u e :-,.e. ■ 1* e Carta del duqqe de Terceira al general Rodil , fecha en Atalaya á Ib del la suerte de conduc r a e*ta campaña inmortal. corriente. , ♦•Cuartel general de Ca»leiu~bL»nco a lo de Mjy o de 133_f- = J R*- «El porudor de esta es el teniente coronel Gil Guedes Corscyo , ayudante mon Rodil." EN X.A TMPRFNT \ REAL. 3</t>
  </si>
  <si>
    <t>…'Interesante de este documento se rednee á los párrafos siguientes: de las. últimas operaciones, y al mismo tiempo muy lisonjero por »No podemos saber todavía en este momento cuál será el resultado de nuestra • iguales razones al general Rodil el recibir por conducto de V. E. invitación; pero creemos sin embargo deber declarar desde hoy, que si la ma este testimonio de la confianza y consideración de S. M. I. debida á nifestación que hemos dirigido á los Estados de Alemania no se toma en con sos servicios y merecimiento; y asimismo me ma…</t>
  </si>
  <si>
    <t>…peracionesde maneradequeloscasiejércitosá un detiempoam amenazaba á Casteilo-branco en las vertientes al Tajo el brigadier Sanjuanena; T«n París aparecieron el 11 varios grupos en la plaza de Chatelet, que fue ocupaba á Guarda el general Rodil; se declaraba Almeida, y el duque de Ter- ron dispersados por la policía: en toda la noche hubo fuertes patrullas y pique tes de gendarmas en mayor fuerza qttü de costumbre. El mismo dia fueron ar ceira penetraba en el corazón de la Beira. Si progresa, como lo hace esperar el buen espíritu que rena…</t>
  </si>
  <si>
    <t>…propia fecha, añado no habría en Tolon, como tampoco en otros puertos, muchos buques prontos que los facciosos se dirigían 4 los ralles del Pirineo, y que según noticias últi á dar á la vela. mamente recibidas, algunas tropas del general Rodil habían subido 4 Castillo- «Ningún trabajo te ha suspendido en Tolon, excepto el armamento de la nuevo | y otras se encaminaban por Navascues, estrechando asi en estas direc fragata la ArmidtTt que será reemplazada por una corbeta; pero los navios el ciones i los rebeldes* Montebello y el £tci¡¡ion…</t>
  </si>
  <si>
    <t>…rticularmente ál teniente del&lt;5-°¿deligeros Blas Moraq, que después de dar yo una cuchillada en la-cara al traidor Bárba- . Madrid- 29 de Abril. dillo, lefitacó bizarramente dejándole muerto, siguiendo sin detenerse á la carga El general Rodil desde el cuartel general de Guarda con fecha 25 del cor de los demás -, al térnente amnistiado®. Cayo Muró, al sargento de lanceros de riente,- da parte» dé 'haberse situado en Celórico y Covilhao las columnas del la Guardé Real D.Francisco Marcó, al de igual clase de húsares D. Rafael Pe. mando de…</t>
  </si>
  <si>
    <t>…las fuerzas y el remedo de gobierno que habia es diana, contribuyeron eficazmente con su presencia á la restaurawion del Portu tablecido allí el partido de la rebelión. Emprendióle en seguida la operación de gal; mientras que el general Rodil , cayendo sobre el Pretendiente en Guarda, Bilbao , cuyo pueblo evacuaron igualmente los que le ocupaban; y la fuerza obligándole á refugiarse en baniarcm, y penetrando Hasta coraron de aquel enemiga, que no bajaba en unos y otros puntos de aquellas provincias de 1S9 reino en combinación con las tr…</t>
  </si>
  <si>
    <t>Gaceta de Madrid n.º 101 · extraordinaria</t>
  </si>
  <si>
    <t>…de t Península. = Estoy pronto á todo, y me embarcaré en Sines. = EsE preciso que V, A. se embarque en Aldea Gallega.=A todo lo que le propuso el secretario ingles M. Grant, á todo dió su consentimien to ; pues temia mucho que el general Rodil lo persiguiese hasta Lis boa. Solicitaba embarcar toda la gente que tiene consigo, á lo que se ópu60 el ingles; permitiéndole embarcar su familia y servidum bre , y que de los 60Ü soldados y 300 oficiales se formaría un depó sito, basta que el gobierno disponga. Tiene consigo ademas del obis po de…</t>
  </si>
  <si>
    <t>Rodil, D José Ramón</t>
  </si>
  <si>
    <t>D José Ramón Rodil</t>
  </si>
  <si>
    <t>…á V. E. mis respetos, y me ofrezco á todo cuanto Estatuto Real , origen fecundo y garantía segura de la futura felicidad de los pueda en obsequio de V. E Dios guarde á V. E muchos años. Y el ves 30 de Mayo de 1834—limo. Y Exento. Sr. D. José Ramón Rodil. =Juan Dámaso españoles. ■'«Asdtñdos nosotros á los individuos de aquella corporación, no solo por los Tronco de Moráis. nobles y .patrióticos fines de su instituto, sino tapibicn por la fidelidad jamas desmentida que profesan á la augusta Persona de V. M., y excelsa Hija la El mismo general en gefe…</t>
  </si>
  <si>
    <t>…quéllos preparativos y mente de Miranda y de Braganza , al penetrar en aquellos pueblos planes, y señaladamente la entrada del rebelde Merino , dió órden nuestras tropas, hfcbo de refugiarse en Villarea!. Nuevas combi al teniente general D. José Ramón Rodil , que mandaba las fuer naciones , dirigidas á realizar su soñado propósito , produjeron la zas de observación en la frontera de Portugal, y tenia su cuartel sospecha fundada de" que valiéndose de las sordas maquinaciones, general en Ciudad-Rodrigo, para que al mismo tiempo y sin per que son las arm…</t>
  </si>
  <si>
    <t>…uy-gratas, al ánimo generoso de disponer su marcha, que pensaba emprender hoy, noticioso á las S. M. la Reina Gobernadora, que quiere se manifieste asi al te ocho de la noche de mi llegada á Pincie, salió sin detención por niente general D. José Ramón Rodil, á los demas generales, geel camino de Castello-branco á pie con su familia; á poco rato fes é individuos de aqéel ejército. Con este motivo, y sin perjui salieron algunas caballerías de montar, verificándolo á las 3 de la cio de dispensar oportunamente las debidas recompensas, se ha dig mañana de…</t>
  </si>
  <si>
    <t>…ble ha contribuido no solamente al desarme de los pueblos, sino á impedir todo levan Atendiendo á la acendrada lealtad de que tantas pruebas tiene- tamiento contra la legítima autoridad, no obstante distar dos ó dadas el teniente general D. José Ramón Rodil: he venido en menos leguas de la revolucionada Navarra. Es de esperar que tan concederle la gran cruz de la Real órden de Carlos in. Tendréislo honrados como decididos vecinos se conservarán fieles hasta exter entendido, y dispondréis lo necesario á su cumplimiento.r:Está ru minar enteramente los e…</t>
  </si>
  <si>
    <t>Rodil, D Ramón</t>
  </si>
  <si>
    <t>D Ramón Rodil</t>
  </si>
  <si>
    <t>…M \ ■ ESPAÑA. / .. quedan en sus casas y por todo el año, entonces tendría Tator fia : ' ■ 1/ . . . •:./ ' *.\ . •- objeción.' ‘ ■ Ciudad-Rodrigo 16 de Marzo. O los que salen á servir en campaña tienen medios dé sobóte, El Excmo. Sr. D. Ramón. Rodil, general en gefe de toáts las téncia pan Sí y sus familias, ó no los tienen si dejan d« asistir i tfópaS qué séhallan observándo la frontera de Portugal desde ei sus trabajos y tareas por acudir al servició. Los qué ésteq ti^eá pija’ (f.'nfin de Gaiicia al de Andalucía, ha dictado las disposiciones…</t>
  </si>
  <si>
    <t>Rodil, IL Josef Ramón</t>
  </si>
  <si>
    <t>IL Josef Ramón Rodil</t>
  </si>
  <si>
    <t>…ue alcalde maybr de Caspe. (tfúm. 640 qsta villa, sq c^ta y empfaza ¿ .todos los ínteresados-que-puedan tener derecho 2 aque; jlareitamentatia, .páraqúeát término dedosmeses* que por segundo y último»: ——- concediendo al Teniente general IL Josef Ramón Rodil la gran cruz de ■concede, y que cumplirán en 17 dé'fulílb1-,próximo, comparezcan pór sfxo'por nról» la -Real órden de Girlos-iu. (Id.)- - depersonas legalmente autorizadas, en dicho juzgado y escribanía de D. ’jose de b Real órden sobre la clasifftacloñ dé los individuos licenciados con buena nota Fue…</t>
  </si>
  <si>
    <t>Rodil, IX Jósef Ramón</t>
  </si>
  <si>
    <t>IX Jósef Ramón Rodil</t>
  </si>
  <si>
    <t>…za ¿ .todos los interesados^ue-puedan tener derecho 2 aqu£ groño y í D. José Duque alcalde maybr de Caspe. (tfúm. 640 Jla^testamentaria, , pira que'tft ferínmo dio dos meses, que por segundo y último»: ——- concediendo al teniente general IX Jósef Ramón Rodil la gran cruz de ■concede, y que cumplirán en 17 dé'futílo",próximo, comparezcan pór sr^poV méd» la -Real órden de Girlos-iu. (Id.)- - depersonas legalmente autorizadas, en dicho juzgado y escribanía de I&gt;. 'Jasé de b Real órden sobre la clasifftacioñ dé los individuos licenciados con buena nota Fuente…</t>
  </si>
  <si>
    <t>Rodil, José Hamon</t>
  </si>
  <si>
    <t>José Hamon Rodil</t>
  </si>
  <si>
    <t>…e nuestro gobierno (Lbrr. partifuiar^ ............. ? , aquel^estkio, con elirnándo del ejército-’de operaciones del Norte, tmkAMTA. al quedelien reunÍFft« ^ tropas del de Portugal qué matehan hacia el'Bbrov di tetiienté'géiiéral D. José Hamon Rodil:' r- - , -Gi.'q Al pVttpio lia dignado S. M. nombrar eOrfcaryhlntft . ■■■ d ttntivfort 31 de *, . j_; TteVal déla Gu ard i a Réa F d e infantería a! teniente "ciiéralimrq^es £&gt;esde mañana se haUará está ciudad bajo eJ régítneti militar, V1 de Moncayo, capitán general do Castilla la Vieja; y para es…</t>
  </si>
  <si>
    <t>Rodil, José María Mos Ramón</t>
  </si>
  <si>
    <t>José María Mos Ramón Rodil</t>
  </si>
  <si>
    <t>…Cuartal general de Santa El dia 2 del corriente, tuvieron el honor de presentarse i S. M. la Rbwa Olalla 3.0 de Mayo, do 1834 f 3o* nuo-rc do la martaitá-—Serma. Sra.cs José . Gobernadora, y besar su Real mano, los Exentos. Sres- D. José María Mos- Ramón Rodil. =:Serma. Sra. Doña Isabel María, Infanta de Portugal, resi coso de Altamira , Secretario de Estado y del Despacho de lo Interior; D. Ma dente en Yclvcs.-=F-s copÍ3 ~José Ramón Rodil. nuel Fernandez Vatel»,'Comisario general de Cruzada, y D.’ Luis López Ba llesteros, consejero de Estado, como indivi…</t>
  </si>
  <si>
    <t>Rodil, José Ramón</t>
  </si>
  <si>
    <t>José Ramón Rodil</t>
  </si>
  <si>
    <t>…E. mis respetos, y me ofrezco á todo cuanto Estatuto Real , origen fecundo y garantía segura de la futura felicidad de los pueda en obsequio de V. E Dios guarde á V. E muchos años. Y el ves 30 de Mayo de 1834—limo. Y Exento. Sr. D. José Ramón Rodil. =Juan Dámaso españoles. ■'«Asdtñdos nosotros á los individuos de aquella corporación, no solo por los Tronco de Moráis. nobles y .patrióticos fines de su instituto, sino tapibicn por la fidelidad jamas desmentida que profesan á la augusta Persona de V. M., y excelsa Hija la El mismo general en gefe…</t>
  </si>
  <si>
    <t>…Gaiicia al de Andalucía, ha dictado las disposiciones que 1 mer caso no admitirán seguramente -la rembudonLfósdcmas ic&amp;- •parecen del siguiente bando: ' r xno han de subsistir ni ellos ni sus familias, si no se - lcs'sutruhístri »D. José Ramón Rodil &amp;c. algún socorro? , ‘ - ’’ ‘ / &gt; »No habiendo sido suficientes los medios suaves empleados, para. ( La división entre milicia sedentaria y móvilña agfedorí contener en sus criminales tramas á los enemigos del trono de nues nuestro impugnador, es sin embarga'conocida aun entre nosotros. tra augusta…</t>
  </si>
  <si>
    <t>…si la intentase por aquel rumbo. t Todos los señores generales, gefes, oficiales y tropa que me acompañan , se conducen á mi satisfacción. Dios &amp;c. Cuartel general de Zudaire 3ü de Julio de 1834» á las doce de la noche. == Excmo. Sr. = José Ramón Rodil- =z Excmo. Sr. Secretario de Estado y del Despacho ¿e la Guerra. Excmo. Sr.=Ayer! anuncié i V. E. que nueve batallones facciosos quedaban embos cados i retaguardia de! puerto de Artaza y los inmediatos de Urra, Gollano , Baquedano y Zudaire. Confirmadasestas noticias, resolví dejarlos, sin inquietar…</t>
  </si>
  <si>
    <t>…das represivas, por Madrid 9 di Mayo. que la moderación misma de que ha hecho alarde le daría un derecho paradlo, Se verificó el dia 4 en Mengualde la entrevista de los generales duque de y seria un escudo inexpugnable. Tercera y D. José Ramón Rodil; y á consecuencia de ella marchaban 3I dia siguiente las tropas españolas y portuguesas, aquellas por la izquierda del Mon -^_Las noticias da Londres no dejan ya duda sobre la conclusión de un trata dejo , y estas por la derecha, con dirección á Goimbra. do entre la Inglaterra, la Francia, la Españ…</t>
  </si>
  <si>
    <t>…a secretaría de Estado y del Despacho de la Guerra. Está instruyendo variqs expedientes para reducir á cultivo muchas fanegas de tierra en el término de la villa de Espiel. El general en gefe del ejército de operaciones del Norte D. José Ramón Rodil, con fecha del 5 desde su cuartel general de Logroño , da parte á este Ha dirigido diferentes reclamaciones á la capitanía general solicitando la pronta Organización y armamento de la Milicia urbana. ministerio de su llegada á aquella ciudad en la tarde de dicho día con la divi La sociedad económic…</t>
  </si>
  <si>
    <t>…v positivas es la Orla Él que U ataque ataca la libcr- El 9 del corriente se avistaron en Mendav»a los tenientes generales mar—^ tSTfrel'qué'la'defiende'defiende la libertad. Todo lo demás es ilu»k&gt;ae$ y juege* ques de Moncayo y D. José Ramón Rodil , encargándose el ultimo del man de paUhras. do del ejército de operaciones del Norte, en el cual se ha incorporado la fuer-% « Esperamos que el carácter de la próxima Cámara será de paz y de conci za procedente del de Portugal. — liación. Y a es tiempo de que la Francia camine hacia el porvenir qu…</t>
  </si>
  <si>
    <t>…mo Valdés, teniente generaLde los Reales ejércitos, capi sejo de Gobierno; marques de las Amarillas, teniente general de los tán general de Valencia; D. José Martínez de S. Martin, maris Reales ejércitos, del Consejo de Gobierno; D. José Ramón Rodil, cal de campo de los Reales ejércitos, capitán general de Castilla la teniente general de los Reales ejércitos, capitán general de Extre Nueva; Marques de Espeja, mariscal de campo de los Reales madura ; D. Ignacio Rives y Mayor, arzobispo de Burgos; D. José ejércitos, segundo cabo de Castilla la N…</t>
  </si>
  <si>
    <t>…preparativos y mente de Miranda y de Braganza , al penetrar en aquellos pueblos planes, y señaladamente la entrada del rebelde Merino , dió órden nuestras tropas, hfcbo de refugiarse en Villarea!. Nuevas combi al teniente general D. José Ramón Rodil , que mandaba las fuer naciones , dirigidas á realizar su soñado propósito , produjeron la zas de observación en la frontera de Portugal, y tenia su cuartel sospecha fundada de" que valiéndose de las sordas maquinaciones, general en Ciudad-Rodrigo, para que al mismo tiempo y sin per que son las arm…</t>
  </si>
  <si>
    <t>…s, al ánimo generoso de disponer su marcha, que pensaba emprender hoy, noticioso á las S. M. la Reina Gobernadora, que quiere se manifieste asi al te ocho de la noche de mi llegada á Pincie, salió sin detención por niente general D. José Ramón Rodil, á los demas generales, geel camino de Castello-branco á pie con su familia; á poco rato fes é individuos de aqéel ejército. Con este motivo, y sin perjui salieron algunas caballerías de montar, verificándolo á las 3 de la cio de dispensar oportunamente las debidas recompensas, se ha dig mañana de…</t>
  </si>
  <si>
    <t>…idem... 108 38 2 restablecer en su fuerza y vigor la autoridad del Trono y de las leyes. Cuartel gecTeraJde Mendavia en Navarra á 9 de Julio de 1834&gt; =José Ramón Rodil. Elche.......................... 11 i 13 Idem. 8 00 0 Bando. D. José Ramón Rodil teniente general de los Reales ejércitos, Granja de Rocavire) dé Navarra, capitán general de las provincias Vascongadas ,y general en mora...................... 10 £ 12 idem.. 31 24 1 gefe del ejército,de operaciones del Norte &amp;c. &amp;c. , Conviniendo al servicio de S. M. la Rbika nuestra Señora adopt…</t>
  </si>
  <si>
    <t>…o á 9 de Abril de 1834- = José Ciudad-Rodrigo 11 de Atril. Ramón Rodil. Sevilla 14 Abril. El general en gefe del ejército de observación ha publicado el siguiente bando: Anoche i las ocho y 40 minutos se sintió en esta ciudad uir D. José Ramón Rodil, teniente general de los Reales ejérci terremoto que duró como 30 segundos. Su movimiento fu* de os tos , gobernador y capitán general del ejército y provincia de Ex cilación y de Este ¿ Oeste. (Diario de Sevilla.) tremadura , general en gefe de todas las tropas que se hallan obser vando la fronter…</t>
  </si>
  <si>
    <t>…ontribuido no solamente al desarme de los pueblos, sino á impedir todo levan Atendiendo á la acendrada lealtad de que tantas pruebas tiene- tamiento contra la legítima autoridad, no obstante distar dos ó dadas el teniente general D. José Ramón Rodil: he venido en menos leguas de la revolucionada Navarra. Es de esperar que tan concederle la gran cruz de la Real órden de Carlos in. Tendréislo honrados como decididos vecinos se conservarán fieles hasta exter entendido, y dispondréis lo necesario á su cumplimiento.r:Está ru minar enteramente los e…</t>
  </si>
  <si>
    <t>…ios: tinuación. ' ’ á Eulalia Rojas, veciha de Logroño, viuda con cinco hijos de Atana- Diploma. sio Asoarza, asesinado en Heredia, 4 reales de vellón diarios: á Ma ría Elvira, vecina de Alcanadre, viuda, como madre de Genaro San D. José Ramón Rodil, teniente general de los Reales ejércitos cho, asesinado en el mismo punto, 2 reales de vellón diarios: á Ma ’ de S. M. C.. v comandante en gefe de las fuerzas de ellos destacada* ría Estella, vecirte dé Alcanadre, viuda , como madre de Tonino para operar en estos reinos, Amigo: Yo el Duque de Brag…</t>
  </si>
  <si>
    <t>…, y con la otra se resiste á las exigencias de los gabinetes que S. M. Católica la Sra. Doña I9ASEL ti, y general en gefe del de operación» quieren intervenir en sus negocios. »Toca pues á la Francia sostener i la Con en Portugal D. José Ramón Rodil, y el coronel Rodrigo de Souza Curella de federación helvética en la línea de política que ha adoptado, tan distante de la Cartllho, comandante de la 3* brigada de operación» en el Alentejo, pertene humillación como de la arrogancia: toca al gobierno francés ayudar á la Suiza ciente al ejército del…</t>
  </si>
  <si>
    <t>…emprender su viage desde la plaza de dencias. Pamplona para desempeñar su honorífico encargo, se le mandó suspendiese la Entró á jurar y tomó asiento el Excmo. Sr. D. Ramón López Pelegrin. salida por el Excmo. Sr. general en gefe D. José Ramón Rodil, á causa de Se díó cuenta y quedó enterado el Estamento de un oficio del Excmo. Se las dificultades que se presentaban para pasar el Ebro sin un grave riesgo, ó ñor Secretario del Despacho de lo Interior, en que avisaba la remisión de dos con una grande escolta. ejemplares de lujo para el uso del E…</t>
  </si>
  <si>
    <t>…esta memorable y rápida campaña, terminada con cuanta felicidad podía apetecerse por los buenos españoles. Dios guarde á V. E. muchos años. Cuartel gene ral de Santa Olalla 27 de Mayo de 1834 á las ó de la tarde. = Exce lentísimo Sr. = José Ramón Rodil. = Excmo. Sr. Secretario de Esta do y del Despacho de la Guerra.” El general Rodil salia inmediatamente para el cuartel general portugués, y se proponía seguir hasta donde fuese necesario para completar el importante encargo que se ha confiado á su lealtad y zelo; en tanto que las tropas españolas q…</t>
  </si>
  <si>
    <t>Rodil, Ramón</t>
  </si>
  <si>
    <t>Ramón Rodil</t>
  </si>
  <si>
    <t>…■ ESPAÑA. / .. quedan en sus casas y por todo el año, entonces tendría Tator fia : ' ■ 1/ . . . •:./ ' *.\ . •- objeción.' ‘ ■ Ciudad-Rodrigo 16 de Marzo. O los que salen á servir en campaña tienen medios dé sobóte, El Excmo. Sr. D. Ramón. Rodil, general en gefe de toáts las téncia pan Sí y sus familias, ó no los tienen si dejan d« asistir i tfópaS qué séhallan observándo la frontera de Portugal desde ei sus trabajos y tareas por acudir al servició. Los qué ésteq ti^eá pija’ (f.'nfin de Gaiicia al de Andalucía, ha dictado las disposiciones…</t>
  </si>
  <si>
    <t>Rodil.cz, José Ramón</t>
  </si>
  <si>
    <t>José Ramón Rodil.cz</t>
  </si>
  <si>
    <t>…ii. cia, escoltado por una compañía de las miserables tropas que tiene Dios guarde á V. E. muchos años. Cuartel general de la Guar á su servicio el Sr. D. Carlos de Borbon , no vacilé un momento da á 19 de Abril de 1834- —Excmo. Sr. —José Ramón Rodil.cz en continuar la marcha, aunque con solo el escuadrón, previnien Excmo. Sr. Secretario de Estado y del Despacho de la Guerra. do al capitán comandante de las citadas compañías de preferencia diese un refresco á la tropa, y continuase la marcha. Excmo. Sr.: La ruta que he informado á V. E. en mis dos…</t>
  </si>
  <si>
    <t>Rodrí, Cristóbal</t>
  </si>
  <si>
    <t>Cristóbal Rodrí</t>
  </si>
  <si>
    <t>…ctualidad alguna Mellizo, regidor decano de*este ayuntamiento, vocal; D. Antonio Ortuño, sín causa extraña que produce en estos últimos dias aliteración en la salud pública.' dico del común; D. Antonio Gallego, presbítero, vocal; D. Cristóbal Rodrí y obrando con la franqueza y legalidad observada en todas sus comunicaciones guez, médico titular, y D. Francisco del Cid, vocal; se dio cuenta de un ofi deciara á dicha capital en estado de sospecha, con arreglo a] aríbu'o 5.° de ¡a cio de D. Sebastian de Medina, médico comisionado por el Excmo. Sr.…</t>
  </si>
  <si>
    <t>RodriguCa, Uomingo</t>
  </si>
  <si>
    <t>Uomingo RodriguCa</t>
  </si>
  <si>
    <t>…cipado, á T&gt;. Jotré Magran, II. Miguel Arpe, D. José del Valle, II. Juan Colmenar, Doña Marra Teresa Pero/. ,fr! 1 'Se’sata á pública subasta1 el suministro.de pan para las tropas,- y descebada y paja Camino, D. Gregorio Salines, D. Uomingo RodriguCa, D, Sebastian Luzon j&gt;,.Jaiine pa,a tos caballos rstontes y {gaseuntes en Ja demarcación militar de la capitanía ¡jer-i:- I&gt;.,t. D. Vicente Salbey, D. Manuel BJazquez , D. Fernando Herrera , Uommgo Lcoral la Nueva. Se han señalado para el sulo y único rema te L-1 di a 1.1 del pró paris, Juan Sala,…</t>
  </si>
  <si>
    <t>Rodrigue, Joaquín</t>
  </si>
  <si>
    <t>Joaquín Rodrigue</t>
  </si>
  <si>
    <t>…al, se componía de dos batallones del 4° de línea, de un batallón de la Extracto del parte remitido por el gobernador civil de la provincia da legión extrangera, de 300 zuabes, 100 cazadores de Africa y dos secciones de Cuenc.i , D. Joaquín Rodrigue?, con fecha de 3 de Junio actual. artillería. Le han sostenido muy bien el coronel Bernelle, el teniente coronel Cuidará de emplear los arbitrios puestos á su alcance para facilitar ia ex Jaubert y el comandante Lamoniciere. El 4-° de línea se ha despedido del sue tracción de granos por medio del e…</t>
  </si>
  <si>
    <t>Rodriguen, Joaquín</t>
  </si>
  <si>
    <t>Joaquín Rodriguen</t>
  </si>
  <si>
    <t>…convocación de Córtes; monumento glo- . ríoso de la sabiduría de nuestra inmortal Reina Gobernadora, y que Extracto del parte del subdelegado de Fomento de Cuenca desde hoy mismo ocupa ya un lugar distinguido en los anales de la D. Joaquín Rodriguen, correspondiente al mes de Marta, historia. Sus determinaciones dimanan del trono, fuente de todo po der y legislación. Un congreso de Monarcas (el deTroppau) ha de Agricultura y sus agregados. Continúa muy bajo el precio cidido que son inviolables y sagradas las reformas políticas hechas ( de los…</t>
  </si>
  <si>
    <t>Rodrigues, Manuel</t>
  </si>
  <si>
    <t>Manuel Rodrigues</t>
  </si>
  <si>
    <t>…on humanidad y generosidad, y desde aque Tratado de perspectiva lineal, dispuesto para el nao dé lo* discípulos de la Real lla fecha data su comercio con los libros:-los primeros que leyó fueron la vi academia de S. Fernando, por D. Manuel Rodrigues, académico de mérito, y directos da y aventurar de Jtr W^illiam Waliace, y el Gentil Pastor. Habiendo encargado de la enseñanza de esta ciencia en dicha academia - un tomo en 4,9 mayor, Dé agua fíe grabadas mismo 27 láminas el fuerre pur al la obra. venta Se halla autor encontrado accidentalmente l…</t>
  </si>
  <si>
    <t>Rodríguez</t>
  </si>
  <si>
    <t>…cto como habia sen Se dió cuenta, y el Estamento quedó enterado, de haber sido nombrado tado S. S.: que si no se copian todas las palabras, se copian las ideas, y estas para la comisión de Marina el Sr. Montes de Oca en lugar del Sr. Rodríguez eran las que debían verse en unas sesiones bien redactadas, como no sucedía en Vera, á causa de haber este pedido se le exonerase de dicha comisión por ser ninguna de las que se publicaban en el dia, pues que aun en los suplementos y.a individuo de la de Guerra. , de la Gaceta se rtotabuh inexactit…</t>
  </si>
  <si>
    <t>…en noticia de V- S-; pero en el del siguiente \ ínterin no puedo dejar de manifestarle que el paisano que trae el parte, y pre Parte sanitario. senció la accioh, no sabe cómo elogiar el entusiasmo dé la tropa , sobre todo el de| teniente Rodríguez, cuyo ardor era tal que cuando cargaron á la bayo Pueblos- Pías. Enfermos. Curados. Fallecidos. neta , iba delante con tanto entusiasmo que lo comunicaba 4 cuantos lo veían. Ja espesura y fragosidad de estos pinares hacen de poco fruto nuestras fatigas; pues refugiándose en ellos los facciosos, nos…</t>
  </si>
  <si>
    <t>…arbitrarieda- yese justo á lín general ascendido á tal por sus méritos particulares»' de é injusticias.” El marques de Falces: «Dos ligeras observaciones, después de las que El Sr. Ferrer: «Sobre este artículo me ha prevenido e! Sr. Rodríguez ha expuesto el'ijrr Secretario del Despacho de la Guerra, son las que voy &amp; Vera; pero no^por eso dejaré de llamar la~ atención liel Estamento *sóbre la someter á la consideración del Estamento. • economía que propone ía comisión , y que á .mi parecer debería ^er mayW por »y DiVé, pues, que este ar…</t>
  </si>
  <si>
    <t>…adquiridos en el colegio, en razón de la severidad de la disciplina mi en clase de cesantes, como se ha hecho en otras ocasiónd y ramos.” litar , que los obtenidos en los regimientos por la clase dé cadetes en el ocio de -* . El Sr. Rodríguez itera: «La comisión ha creído que do puede hacerse íoi cuerpos de guardia ó en la disipación de las guarniciones. Yo no quiero que ahora ahorro alguno.cn éste ramo, si bien puede verificarse en-lo sucesivo. Los cada oficial sea un Turen* t pues conozco no puede ser asi, pero sí que todos vigías y t…</t>
  </si>
  <si>
    <t>Rodríguez, Agustín</t>
  </si>
  <si>
    <t>Agustín Rodríguez</t>
  </si>
  <si>
    <t>…idor.—Dionisio Echagoe-zrJuan Ignacio gusta Hija la Reina Doña Isabel ii , que üna comisión, compuesta de Don de Urruzola , síndico procurador general.=Lorenzo de Alzate, secretario. Antonio Alonso, director general de Rentas, de.D. Agustín Rodríguez, di rector interino de las mismas, y de D. Antonio María de Scijas, vocal de la Señora: Cuando V. M. principió á difundir los vivificantes rayos de su be junta de Aranceles, examine el estado actual de esta renta y los medios que neficencia sobre todas las clases de esta vasta monarquía, concibiero…</t>
  </si>
  <si>
    <t>…Queipo de Llano, conde de To- la Real Capilla al estado actual de sus rentas; lie venido, en nombre r«Os V V . • ) ■ de mi muy cara, y amada Hija la Reina Doña Rabel ii, en decretar lo siguiente: ¡ • Atendiendo á los servicios de D.' Agustín Rodríguez,al méri IV La Capilla Real se compondrá en lo sucesiva del pro-capellan mayor, patriarca de las Indias, 18 capellanes de hbnor, 6 salmistas,to que há contraído en é) empleo de director general dé Remas que sé haUa'dteScrrrpcfiaiíid'o fen ¿Omisión, hé'venido en conferirle la pro 3 ayudas de oratorio…</t>
  </si>
  <si>
    <t>Rodríguez, Antonio</t>
  </si>
  <si>
    <t>Antonio Rodríguez</t>
  </si>
  <si>
    <t>…rminos que ellos indican. Xa Cámart apruebá d ait. S.° tizada en la iglesia protestante de S. Pancracio* en New Road Somerstown , y por el coal te/decUra que «d usúrructú reservado por Cárlos x i favor del contrajo matrimonio con D. Antonio Rodríguez^ oficial español emigrado, duque dé Berry no pertenece ai Estado , y por lo tanto este abonará las rentas en 1828 , de cuya unión nacieron los dos referid&amp;s hijo*; el primero en 6 de ¿ que de derecho correspondan.” Setiembre de 1830 en Lóndres, y el segando en"Burdeo$ en 3 de Noviembre • Sin embarg…</t>
  </si>
  <si>
    <t>…ger la introducción de nuevos cultivos en la villa de Can mataron al referido Barba; á los de igual clase Juan Castellanos, D. Nicolás de! eda y otros puntos, y ha tomado las medidas oportunas para llevar á cabo Latios y Sánchez, D. Antonio Rodríguez, todos de Mestanza; á los. alcaldes la roturación de upa dehesa perteneciente á los propios de áqodla capital. pedáneos de las aldeas de Hoyo y de la Solana del Pino, y á todos los- demas . examinado la fábrica de hilados ,y tejidos de lino del brigadier. Don que asistieron y contribuyeron á este i…</t>
  </si>
  <si>
    <t>Rodríguez, Antonio José</t>
  </si>
  <si>
    <t>Antonio José Rodríguez</t>
  </si>
  <si>
    <t>…denes del brigadier D. Narciso López, que vol nido algunas horas antes, toda ia facción habría caído en nuestro poder. vieron á marchar i las seis de la tarde. «bon las dos y media de la mañana y recibo un parle de D. Minué! de'. D. Antonio José Rodríguez, ayudante de la plana mayor de este ejérci Vicente desde las alturas de Ranera, en que me dice que había perseguido por to , á quien envié á Haro para enterarse de lo ocurrido allí y tomar noticias, el espacio de cuatro horas la facción que en completa dispersión hun en tres' acaba de regresar, y m…</t>
  </si>
  <si>
    <t>…conocimiento de la posición de las columnas de V. E. go: á los bizarros capitán del mismo cuerpo D. Joaquín Diaz de Rábago, al •&gt; En esta marcha se me han presentado algunos grupos facciosos en las fuer ayudante de la plana mayor D. Antonio José Rodríguez, y al del segundo ba tes posiciones de Mañaria, y un batallón en el alto de Urquiola; pero fueron tallón de Bórbon D. Benigno Tapia, quienes ordenando las fuerzas que iban vigorosamente rechazados y perseguidos unos y otros, cuyo principal fin fue el acudiendo, y formando con ellas en medio del viv…</t>
  </si>
  <si>
    <t>Rodríguez, D Josef</t>
  </si>
  <si>
    <t>D Josef Rodríguez</t>
  </si>
  <si>
    <t>…os, cazadores y fusileros de la mimandante general de Murcia con la de 28 del mes anterior le participa, que líela urbana voluntaria de la Abina Do fia Isabsl ji. Se vende en la librería de los según avisos recibidos del teniente coronel D. Josef Rodríguez, comandante de herederos de Tieso, calle de las Carretas, y en la Angosta de Majadericos en la fá la columna móvil de aquella provincia, sabedor que los vecinos armados de brica del grabado de tarjetas. ——Cuando acorre d te ridentg, cabatina de los Arabe* puesta para piano, á 8 rs. Tan Villena, Bia…</t>
  </si>
  <si>
    <t>Rodríguez, Dr D Francisco</t>
  </si>
  <si>
    <t>Dr D Francisco Rodríguez</t>
  </si>
  <si>
    <t>…e los inmensos males con que los preciso nombrar uno en esta población, á fin de que no se perjudicase el curso, agoviahan unos hombres, que no respetaban ninguna garantía. Una compañía de los asuntos contenciosos. Estaba aquí el Sr. Dr. D. Francisco Rodríguez sé hallaba en la ciudad , y tuvo la barbarie de hacer fuego sobre ellos. El dul- Piedra, que tenia este empleo en Lima, y que se hallaba separado de él por cé y -pacífico pueblo limeño, viéndose atacado se puso en defensa. Las piedras haber entrado á desempeñar su diputación á la Convención naciona…</t>
  </si>
  <si>
    <t>Rodríguez, Fermín</t>
  </si>
  <si>
    <t>Fermín Rodríguez</t>
  </si>
  <si>
    <t>…lona, lo conveniente de que vi n , que una comisión, compuesta de D. Joaquín Carrion, ministro del siten personalmente sus respectivas diócesis en la parte agitada por tan destruc supremo Consejo de Hacienda» de dicho subdelegado D. Fermín Rodríguez, y toras discordias. Dios dcc.' de D. Gerónimo de la Escotara, vocal de la Real junta de Fomento de la ri queza dd reino, forme y me proponga por vuestro conducto un proyecto de A consecuencia de las Reales órdenes anteriores dirigidas á los RR. obis pos y prelados, el de CMdhorr.t y la Calzada se…</t>
  </si>
  <si>
    <t>Rodríguez, Francisco</t>
  </si>
  <si>
    <t>Francisco Rodríguez</t>
  </si>
  <si>
    <t>…mensos males con que los preciso nombrar uno en esta población, á fin de que no se perjudicase el curso, agoviahan unos hombres, que no respetaban ninguna garantía. Una compañía de los asuntos contenciosos. Estaba aquí el Sr. Dr. D. Francisco Rodríguez sé hallaba en la ciudad , y tuvo la barbarie de hacer fuego sobre ellos. El dul- Piedra, que tenia este empleo en Lima, y que se hallaba separado de él por cé y -pacífico pueblo limeño, viéndose atacado se puso en defensa. Las piedras haber entrado á desempeñar su diputación á la Convención naciona…</t>
  </si>
  <si>
    <t>Rodríguez, Francisco Cirios Erraos y</t>
  </si>
  <si>
    <t>Francisco Cirios Erraos y Rodríguez</t>
  </si>
  <si>
    <t>…nguió muy particularmente el referido alférez mayor dando anuncia el mismo general haber sido pasados por las armas los cabecillas Don un suntuoso banquete á mas de 200 personas convidadas, distribuyendo cuati-*- Julián Saforas y D. Francisco Cirios Erraos y Rodríguez, aprehendidos por u tiosas limosnas á los pobres de la ciudad y de los pueblos donde posee hacien justicia de Burrioi. das, y dotando con 13 rs. á la niña pobre que hubiese nacido en el dia mas inmediato á la proclamación, con tal que llevase el nombre de S-. M. la. R-eina Con la misma fecha avisa…</t>
  </si>
  <si>
    <t>Rodríguez, ID Valentín</t>
  </si>
  <si>
    <t>ID Valentín Rodríguez</t>
  </si>
  <si>
    <t>…"Pero en casó de infracción teneis que cumplir otros deberes, como au de ellos, habiendo destacado por distinta dirección 30 hombres, al mando del xiliar del fiscal del Rey. Si en vuestra jurisdicción se llegase á intentar y des teniente ID. Valentín Rodríguez, y en este momento recibo un parte en que cubrir alguna exportación de la clase de7las que acabo de citar, estáis obligado dicho oficial rt*e /kvisa desde la Iruela lo que sigue: ¿ buscar al punto las pruebas del hecho, á embargar los objetos que se remitan «Tengo 4a satisfacción de participar a V.…</t>
  </si>
  <si>
    <t>Rodríguez, Joaquín</t>
  </si>
  <si>
    <t>Joaquín Rodríguez</t>
  </si>
  <si>
    <t>…r Don' Juan Alvarez de Lara, José fiarrejon y Casimiro Abadero, asi como el cabo Extracto dél parte remitido por el gobernador civil de la provincia ¡de l.° distinguido D. Ramón Lillo,se portaron con distinguido denuedo.*’ Cuenca D. Joaquín Rodríguez, con fecha de 2 de Mayo actual. Y lo traslado á V. S. recomendando muy particularmente á dicho señor Se advierte en la agricultura un movimiento qiie presagia resultados £eb,c£S; comandante D. José Samaniego, que alfrcnte de su valiente batallen se pre se van generalizando los cultivos de varias es…</t>
  </si>
  <si>
    <t>Rodríguez, Josef</t>
  </si>
  <si>
    <t>Josef Rodríguez</t>
  </si>
  <si>
    <t>…dores y fusileros de la mimandante general de Murcia con la de 28 del mes anterior le participa, que líela urbana voluntaria de la Abina Do fia Isabsl ji. Se vende en la librería de los según avisos recibidos del teniente coronel D. Josef Rodríguez, comandante de herederos de Tieso, calle de las Carretas, y en la Angosta de Majadericos en la fá la columna móvil de aquella provincia, sabedor que los vecinos armados de brica del grabado de tarjetas. ——Cuando acorre d te ridentg, cabatina de los Arabe* puesta para piano, á 8 rs. Tan Villena, Bia…</t>
  </si>
  <si>
    <t>Rodríguez, Juana</t>
  </si>
  <si>
    <t>Juana Rodríguez</t>
  </si>
  <si>
    <t>…erdi, vecina de Eibar, y viuda dé Joan José de Serásqueta, argento 2.° de voluntarios de Guipúzcoa, muerto ’ París 20 de Noviembre. por los facciosos á las inmediaciones de aquella villa, una pensión de 4 reales vellón diarios: á Doña Juana Rodríguez, viuda de Di Pedro Arquiaga, ve El liberal, diario del departamenro del Norte, habla de un distrito cer- cino y boticario de la villa de Villaitayo, muerto por los facciosos en la he , Cañó á Donai, donde en la ¿poca de las elecciones municipales los miembros roica defensa de aquella villa',- una p…</t>
  </si>
  <si>
    <t>Rodríguez, Luis</t>
  </si>
  <si>
    <t>Luis Rodríguez</t>
  </si>
  <si>
    <t>…cularmente á D. Rufino Bellide de Quistnundo,- Don Mota* En el pueblo de Estremer* va desapareciendo la enfermedad, ha Francisco Campa , Leonardo Aguado y Sebastian Vcnalle» de Nobes, y i Don biendo cesado dei todo en Arganda del Rey. Luis Rodríguez, comandante de los del Val de Santo Domingo, y de mi bi zarra tropa; recomiendo á V.S. al sargento2.° Andrés Losco, el cabo2° Cris tóbal Parejo, y muy particularmente al soldado Bautista Campaña, y al be ANUNCIOS. nemérito Urbano Felipe Contreras, que tantos servicios tiene prestados. Ma ñana march…</t>
  </si>
  <si>
    <t>Rodríguez, Manuel</t>
  </si>
  <si>
    <t>Manuel Rodríguez</t>
  </si>
  <si>
    <t>…ropuestas, y pido que se invite al gobierno En la misma noche se cogió prisionero y mal herido i D. Manuel López, para que en la próxima legislatura presente tina organización completa del mi hermano del cabecilla , al presbítero D. Manuel Rodríguez y otro faccioso; y nisterio de Instrucción pública. al día siguiente se batió en el lugar de Souso á nueve de los dispersos, con M. Ouizot, ministro de Instrucción pública: «Señores: Doy gracias al muerte de un faccioso y dos heridos) cogiéndoles dos caballos, algunos cartu honorable preopinante, no…</t>
  </si>
  <si>
    <t>…cmo. Sr. El capitán de e»tc regimiento de mi cargo Don Bcrnabea, sobresaliendo por su tino y oportunidad en comunicar las órdenes; Juan Hostal me dice desde Alcaine con fecha de ayer lo siguiente; Habien cl alférez adicto también D. Manuel Rodríguez lito; el comandante del bata do sjltdo anoche del pueblo de Montalban con cl cuarto pelotón compuesto de llón de U columna guipuzco.ma D. Anselmo Iñurrigarro; e! capiían de la ].* Ja segunda de cazadores y cuarta del mismo, por órden que me comunico el compañía de ella D. Antonio Zumeta y el de la…</t>
  </si>
  <si>
    <t>Rodríguez, Miguel</t>
  </si>
  <si>
    <t>Miguel Rodríguez</t>
  </si>
  <si>
    <t>…undo cabo del vjreinvito Araeon , habían sitiado el destacamento de Beceite, compuesto de 70 valientes ¡de Navarra. El mariscal de campo D. Joaquín Osma se encargo aómismo el del 13 de línea , mandados por su. bizarro subteniente D. Miguel Rodríguez, dia 5 del de el cuerpo de ejército de las provincias Vascongadas; y al siguiente y les habían ya cortado el agua de la acequia, y estaban apoderados de las dia regresó á Navarra la división del mando del brigadier O-Doile, condu primeras casas- ciendo fusiles, municiones y caudales. inmediatamente…</t>
  </si>
  <si>
    <t>Rodríguez, Santiago</t>
  </si>
  <si>
    <t>Santiago Rodríguez</t>
  </si>
  <si>
    <t>…aron de Ayamonte los pueblos de su parti Demetrio Zalvidea, D. Isaac Pequeño, D. Juan Lembeye y el mencionado do y del Cerro, que todos componen 22 con 10,915 vecinos y 4^.34^ almas; D. José Ruibal; en navegación el mismo Ruibal, D. Santiago Rodríguez y el de Aracena compone 29 pueblos, 6in contar las aldeas, con 9,o35 vecinos y D. José JJano ; y en geografía elemental y práctica^ y trigonometría plana el 33,917 almas. A esta capital he sujetado los tres partidos de Huelva^-Moguer referido i&gt;. Faustino Domínguez; habiendo merecido 1* aplicación de…</t>
  </si>
  <si>
    <t>Rodríguez, Valentín</t>
  </si>
  <si>
    <t>Valentín Rodríguez</t>
  </si>
  <si>
    <t>…ta ia ropa á los segadores, y han causado muchas también el entusiasmo y decisión de D. Santiago Basóla, capitán de Ja 5.a com extorsiones, dejando á algunos infelices sin tus yuntas. Según la declaración de pañía de zapadores, y D. Valentín Rodríguez, teniente de la misma, ios sar los pueblos gran su mayor parte oficiales que iban heridos, mandados por un gentos , cabos y,soldados de estas compañías: tuvieron particular lugar de dis coronel de Sto. Domingo de la Calzada, el cual dijo al cura de Castejon del tinguirse por haber podido llegar á t…</t>
  </si>
  <si>
    <t>Roederer</t>
  </si>
  <si>
    <t>…muchos beneméritos ciudadanos á dejar el suelo de su patria* v Queja prohibida para eu adelante toda institución de mayorazgos.” »$Se me negafá, continúa el orador, la existencia de estas asociaciones: ‘"'Apoya este artículo ,el conde Roederer, fundándose en que actualmente, Bastaría examinar las personas-...* (Interrupción*) Tranquilizaos, señores: no ctptrdb ya no es hereditaria la dignidad de Par, deja de ser necesaria la funda-' causaré un escándalo, que está muy distante de mis ideas. Me dirijo al que en cionde mayorazgos, y'en que…</t>
  </si>
  <si>
    <t>Rog, Francisco de Paula</t>
  </si>
  <si>
    <t>Francisco de Paula Rog</t>
  </si>
  <si>
    <t>…de sus respectivos destinos á D. José María Tejero, alcalde mayor de Talavera de la Reina - á D. Manuel Martínez, alcalde mayor de Villadiego: á Parte sanitario de 29 de Octubre. D. Manuel Ruiz de Montoya, corregidor de Verin: á D. Francisco de Paula Rog, -trdde m-,mr de San Felipe: á D. Francisco A ntnnio_Macho Ville gas , alcalde mayor de Villarejo de Fuentes: á D. Antonio María Ortiz, al Pueblos. Días. Enfermos. Curador Fallecidos calde mavor de Fuente del Maestre: á D. Remigio Romero Prieto, alcalde mayor de Dona Mencía: á D. Manuel García Saez…</t>
  </si>
  <si>
    <t>Rogcr</t>
  </si>
  <si>
    <t>…tos de fragata , 60 de cor mañana viéronse bajar cuatro-fuertes columnas de infantería y 300 á 40.0 ca beta, 300 tenientes de navio y 438 de fragata. ballos (aunque los prisioneros me aseguraron que eran ocho escuadrones) diri El Sr. Rogcr pide «que se declare que en tiempo de paz no se nombren al- giéndose á Villa Nova de Outeiro y caserío de Santa María con 12 piezas de mirantes;”y el Sr. Eschasseriáux «que solo haya 8 vicealmirantes y 16 con artillería y tres obuses. tralmirantes.” , Desde el momento que observé los movimientos de…</t>
  </si>
  <si>
    <t>Roger</t>
  </si>
  <si>
    <t>…franca y aprobando lo demas de los artículos l.° y 2.° según están en el proyecto del el 22 en Lisboa. Nuestros soldados contestaron á estas voces con la sonrisa del gobierno. desprecio. Asimismo, conformándose con la opinión del Sr. Roger, modifica el ar A las tres de la tarde las columnas de la infantería enemiga coronaban las tículo 3-° y aprueba el 4.° como está en el proyecto, y determina «que hasta alturas de Sta. María entre Villanova y Alforgemel á izquierda de Almoster, que el número (je oficiales que están en servicio activ…</t>
  </si>
  <si>
    <t>Roi, Procureur du</t>
  </si>
  <si>
    <t>Procureur du Roi</t>
  </si>
  <si>
    <t>…do á la Reina Gobernadora desde' de España. (Carta particular.) su retiro en el monasterio de S- Gerónimo de Sevilla, donde se halla algunos años hace, que se digne admitirle en favor del Real erario el donatbo de —-El fiscal del Rey (Procureur du Roi) de este distrito ha dirigido á los 7~?\$ rs. vn., procedentes de créditos su\os efectivos contrd el Estado; v $. M , corregidores (marres) de él la siguiente circular. acogiendo con su natural benevolencia este acto patriótico de tan recomenda «Señor corregidor: Circunstancias extraordinarias, cuy…</t>
  </si>
  <si>
    <t>Roía, Máriinez de la</t>
  </si>
  <si>
    <t>Máriinez de la Roía</t>
  </si>
  <si>
    <t>…proclamado, porque la pusieron en tal estre - J Et Sr- Presidente: ElSr. Ministro puede usar de ia' palabra siemprequo cho , que alguna vez tuvo que oir en su seno: Perezcan las colonias anteé que p»te. '-.i 1 un principio. ■i El Sr. Máriinez de la Roía: No habla pensado tomar le palabra- sobre Se ha traidp también como .autoridad-el nombré de Rousseau, que bar sen* Vite asunto; pués me paíecü la materia sobradamente esclarecida, después de lo - lado como base, según el Sr. López ,. jicntpre los principios, y nünca laj cunmíe se ha hablado, «obre,…</t>
  </si>
  <si>
    <t>Roiassin</t>
  </si>
  <si>
    <t>…ción de Todo va tomando aquí, contra lo que generalmente se temía, un aspecto pacífico; no se sabe si ha sido la llegada del embajador de Rusia, ó los con+ dé Diciembre de 1835, tienen los intendentes y los subdelegados sejos dei almirante Roiassin lo que lia producido este cambio en las Resolucio de Reiitas la Facultad, peculiar y exclusiva de expedir los apremios nes de la Puerta, que.ha dado ordenes para que se .desarme la escuadra, con contra lo§ pueblos .y déudores-por cualesquiera rentas, ramos, arbi— la intención quizá de variar mas ta…</t>
  </si>
  <si>
    <t>Roig, Miguel</t>
  </si>
  <si>
    <t>Miguel Roig</t>
  </si>
  <si>
    <t>…a Se permite á los pueblos que Celebren el día de la promul Enterada la Reina Gobernadora del expediente remitido por gación con iluminaciones v festejos voluntarios, y sin gravamen al Y SSw en 16 de Abril .último , promovido por D. Miguel Roig guno de los fondos públicos, en demostración Je su lealtad á la Rei y Rom, del comercio de Barcelona, en solicitud d% que se 'le per na nuestra Señora Doña Isabel ii, v de su resjetuosa Gratitud á su mita trasbordar con destino á Málaga y Alicante parte del carga excelsa Madre, augusta restauradora…</t>
  </si>
  <si>
    <t>Rojales, P Pedro Marti PROVINCIA BE TERCER</t>
  </si>
  <si>
    <t>P Pedro Marti PROVINCIA BE TERCER Rojales</t>
  </si>
  <si>
    <t>…negro. Almoradí..,. . 2/ á 29 .ídem. 217 ¥ 2 • PROVINCIA DE TARaAnONA. Bigastro............ . 28 á 30 ídem. 12 8 2 fe, P. Alberto Valdric, marques de TorreraejU. Sr. D. Ramón de Ciscar. Dolores............ . 27 á 29 ídem. 78 19 2 Sr. P. Pedro Marti. PROVINCIA BE TERCER. Rojales........... . 30 Junio á 1.a Julio....... 12 00 I Sr. D. Juan Romero Alpuente. Cox.................. . 27 Junio á 2 Sr. P. Manuel de Pedro. . 201 6 48 Sr. P. Salvador Campillo. Catral. ...... . »30Julio............id. á 1.a Id. 17 83 8 PROVINCIA DE MADRID. Parte recibido en lo secretaría de Estado y del Despac…</t>
  </si>
  <si>
    <t>Rojas, José María</t>
  </si>
  <si>
    <t>José María Rojas</t>
  </si>
  <si>
    <t>…gracia correcta de sus formas, como por la suavidad, yendo de la persecución que sufre, dirigida coa actividad y vigilancia por, el pastosidad y frescura de sus carnes. La Anunciación del ángel a nuestra Señora, mariscal de campo D. José María Rojas, comandante general de la serranía de composición que desde luego imprime en la idea el sublime misterio que repre Ronda. . . senta, por su noble y magestuosa sencillez. Nada en este cuadro distrae la aten-, También ha sido pasado por las armas el 13 del corriente en Chiloeches, cion del asunto , q…</t>
  </si>
  <si>
    <t>RoJger</t>
  </si>
  <si>
    <t>…dos que hemos recibido consta de 1.346,116 hombres. Stockolmo 15 de Agosto. Los mismos periódicos de igual fecha dan las siguientes noticias de Méji El temor que iofunde aquí el cólera es tal, que se ha suplicado al Rey &amp;e co: el capitán RoJger de la balandra la Flor del mar que ha llegado de Ve- dígne prorogar los Estados. Un periódico propone la medida de no comunicar racruz, refiere que una conducta de 4U0S&gt; pesos fuertes acaba de entrar en con los lugares infestados sino por mqdio del telégrafo. aquella ciudad. El general Saratana tenia sit…</t>
  </si>
  <si>
    <t>RoJil</t>
  </si>
  <si>
    <t>…e Tomar por el camino real de Ti-boa, y á legua y media de distancia se en Cirta del gefe interino del estido m.uor imperial Lucm Tmbrqvri contró una linea de tiradores miguelistas bastante extensa, que cubría el puen \ali!c'j al general RoJil , su lcs.ha en el palav. •&gt; Ce l_i.Cc* te de Galcira y bosques inmediatos: fueron contestados inmediatamente por "b. M. I. el Duque de Brigán/. 1, omian.lame en , efe del c jer.it - libe '*.&lt; or, varias compañías de nuestros tiradores, que haciéndoles retirar, se descubrió ia se ha dignado honrarme…</t>
  </si>
  <si>
    <t>Roldan, Benita Perez</t>
  </si>
  <si>
    <t>Benita Perez Roldan</t>
  </si>
  <si>
    <t>…nfeliz Cár frendada dél escribano del número Martínez, se cita á los que se consideren acree los 1: la usurpación de un soldado de fortuna, que encabrió sus crimines bajo la dores á los bienes que han quedado por fallecimiento de Doña Benita Perez "Roldan, gloria militar: la restauración de losEstuardos debida á otroaventurero ; la mala po vecina que fije de esta corté, para que dentro de 30 dias acudao á diohb juzgado y ntifica de Cárlos 11; y eD:fio, las imprudencias de Jacobo xi, que prddujeroo la revo- por la referida escribanía, á deducir ei de…</t>
  </si>
  <si>
    <t>Rom-ro</t>
  </si>
  <si>
    <t>…o Montero: Ovi edu , Longoria , D. G.nbriel : Pa mplona , Eras un : Plasentia, Pis: Puigdel Fomento con ojicio de 11 de Enere. eerdá , A badal : Reus , viuda de A n ge ion : S . la manca . Reyes : S.. ntander , Otero : San tiago, Rey Rom-ro: Sevilla, Caro, D. Mariano: Tarragona, Vrrdegu-r: Toledo, I Las esperanzas que la junta superior le Sanidad de esta provincia conservó Hernando:Polo y Yr#gUe.Tortosa , Puigrubi Valencia , Herrera: Val ,adolid , Pastor : Zaragoza, siempre de que no se alterase el satisfactorio estado de salud públic…</t>
  </si>
  <si>
    <t>Romagosa</t>
  </si>
  <si>
    <t>…argo, ni un magistrado, « El comandante de armas de Igualada me da parte con fecha de ayer á las asi. un constable apareció para oponerse á los excesos de estos furiosos. seis y media de la tarde que acababa de entrar preso el ex-general Romagosa, La conducta de los católicos en medio de.estas provocaciones ha sido el rector y eL baile del pueblo de Selma, en cuya Casa y pueblo se hallaba ejemplar. Algunos instantes temieron de parte de ellos sangrientas represalias; desde el dia 12, en que desembarcó procedente de Génova, preparando nue pe…</t>
  </si>
  <si>
    <t>…y principado de Cataluña. = Excmo. Sr.: en conocimiento, comunicareis las buenas noticias que contiene &amp; todos los Después del parte que por extraordinario di ayer á V. E. de la prisión del ex nutselines de la provincia de Alepo. general Romagosa, debo decirle ahora que á las cuatro de la tarde del mismo Esperamos otro parte de nuestro hijo, á quien veremos probablemente dia fue pasado por las armas en la villa de Igualada con el presbítero D. Ra dentro de dos ó tres dias, y entonces nos embarcaremos para voiver con nues món Guell, rector d…</t>
  </si>
  <si>
    <t>Romaguera, Joaquín</t>
  </si>
  <si>
    <t>Joaquín Romaguera</t>
  </si>
  <si>
    <t>…la América nos trata todavía con Briones, y esta por nombramiento de D. Modesto Cortazar, para teniente cor mayor desden dejándonos sin ministro de ninguna clase John-Bull sigue ha regidor de Madrid, á D. Manuel Rentero y Villa y D. Joaquín Romaguera; ciendo otras reflexiones análogas dictadas por un espíritu hostil al ministerio. y para oidor de la audiencia de Granada , cuya plaza se halla vacante por nom A esto contesta el Globo que lejos de encontrarse la Inglaterra en esta bramiento para otro destino de D Antonio de Heredia, £ D. Mariano A…</t>
  </si>
  <si>
    <t>Román, D José Mana</t>
  </si>
  <si>
    <t>D José Mana Román</t>
  </si>
  <si>
    <t>…a, se colocó Ja artillería conveniente Fernando Maltaran que hizo extraordinarios esfuerzos de valor batiéndose cuer yén el centro la reserva correspondiente, y á su retaguardia el bagage, hospi po á cuerpo con los enemigos.; del coronel D. José Mana Román, ayudante tal de sangre y caballería. Mientras se tomaban esfas disposiciones, parte de la fuerza enemiga que general de la plana mjvor y mi secretario de campana, y del adicto á la pla itacaba nuestra derecha se dirigió por los mpntes á cortar el camino de Segura, na mavor teniente D. Antonio Ugar…</t>
  </si>
  <si>
    <t>Román, José Mana</t>
  </si>
  <si>
    <t>José Mana Román</t>
  </si>
  <si>
    <t>…locó Ja artillería conveniente Fernando Maltaran que hizo extraordinarios esfuerzos de valor batiéndose cuer yén el centro la reserva correspondiente, y á su retaguardia el bagage, hospi po á cuerpo con los enemigos.; del coronel D. José Mana Román, ayudante tal de sangre y caballería. Mientras se tomaban esfas disposiciones, parte de la fuerza enemiga que general de la plana mjvor y mi secretario de campana, y del adicto á la pla itacaba nuestra derecha se dirigió por los mpntes á cortar el camino de Segura, na mavor teniente D. Antonio Ugar…</t>
  </si>
  <si>
    <t>Romanillos, Antonio Ranz</t>
  </si>
  <si>
    <t>Antonio Ranz Romanillos</t>
  </si>
  <si>
    <t>…dado caso que lo 8.u, edición de 1821 á 12 rs. pasta y 9 rama. ------Las vidas paralelas de Plutarco, traducidas de su original griego fuese; mal marido, mal hermano; y un Rey i todas luces odioso en lengua castellaua por el Sr. D. Antonio Ranz Romanillos: 5 tomos y despreciable. Y no porque yo lo suponga de un carácter tan per en 8.° mayor, edición de 1830, á 104 rs. pasta, 88 rústica. verso como le itribuye la historia; pero un cuerpo enfermo, un al ma torpe v débil, una mala educación , la falta de capacidad, el Los tomos 15 y 16 de la Biblioteca…</t>
  </si>
  <si>
    <t>Romanillos, D Antonio Ranz</t>
  </si>
  <si>
    <t>D Antonio Ranz Romanillos</t>
  </si>
  <si>
    <t>…dre, dado caso que lo 8.u, edición de 1821 á 12 rs. pasta y 9 rama. ------Las vidas paralelas de Plutarco, traducidas de su original griego fuese; mal marido, mal hermano; y un Rey i todas luces odioso en lengua castellaua por el Sr. D. Antonio Ranz Romanillos: 5 tomos y despreciable. Y no porque yo lo suponga de un carácter tan per en 8.° mayor, edición de 1830, á 104 rs. pasta, 88 rústica. verso como le itribuye la historia; pero un cuerpo enfermo, un al ma torpe v débil, una mala educación , la falta de capacidad, el Los tomos 15 y 16 de la Biblioteca…</t>
  </si>
  <si>
    <t>Romarate</t>
  </si>
  <si>
    <t>…o, no deben aprobarse entre que no es- una friolera, sino acaso el mas grave que se presenta, pues se trata tanto sus poderes. de la composición de Ja representación nacional, y de evitar que se compro El Sr* Agutrre Solarte: »El Sr. Romarate ha estado encargado de la meta á una provincia , privándola de un individuo en quien ha depositado su comandancia de marina de Coda la costa, y no ha podado hacer lo que era ne confianza. La comistpn , en mi entender, ha sido demasiado severa para con el cesario para justificar su aptitud legal. Sí…</t>
  </si>
  <si>
    <t>Romarate, D Jacinto</t>
  </si>
  <si>
    <t>D Jacinto Romarate</t>
  </si>
  <si>
    <t>…dor'pórBúgoi te, y levantó la sesión, adviniendo que se avisaría i los Sres. Pióceres el día por igual razón. — vn que dehu reunirse el Estamento. La misma comisión, . informada de las circunstancias y en vista de los poderes del Sr. D. Jacinto Romarate , electo por la provincia de Vizcaya, opinaba que admitiéndole en el-seno del Estamento, se le concediese el tér- ■STAUBHTO DE PROCOXADOaKS. ■ m nó de 4u dias para presentar huevos documentos justificativos de sus rentas. Asi se acordó,__ Seiion del día 20 de Agotto. -La misma comisión en vista de…</t>
  </si>
  <si>
    <t>Romarate, Jacinto</t>
  </si>
  <si>
    <t>Jacinto Romarate</t>
  </si>
  <si>
    <t>…uintales de pasa, mucho aceite ■la Guerra. y otros frutos que salen anualmente para los países extrangeros, ademas del abrigo que ofrece á los buques en la dilatada costa desde Cartagena á los Al El comandante de Marina de Bilbao D. Jacinto Romarate con fecha de 5 faques. Ha formado pues un expediente sobre esm, y puntualmente otros so del actual desde Poitugalele participa á este ministerio, que habiéndose presen bre el muelle, riegos y saneamiento de la atmósfera infectada por aguas dete tado en aquella abra la goleta de guerra María, al man…</t>
  </si>
  <si>
    <t>…vos -de sús rentas que estaba esperando. estos dos Sres. Próceres. Después de una ligera discusión se mandó pasar á la comisión de poderes El Eterno*Sr*.Secretariojde la.Guerra, dijo*. 9UC P°r Ja Secretaría del una .exposición de D. Jacinto Romarate, electo Procurador por ia ^provincia Despacho de su cargo no Había autorizado $» M. á mngón[ Otro empleado mas / Vizcaya, en solicitucfde que se Je permitiese tomar asiento en elTEstamen— que á ios que sé expresaban en: la lista remitida para dejar .de asistir al Esta- , to con protesta de presenta…</t>
  </si>
  <si>
    <t>…pórBúgoi te, y levantó la sesión, adviniendo que se avisaría i los Sres. Pióceres el día por igual razón. — vn que dehu reunirse el Estamento. La misma comisión, . informada de las circunstancias y en vista de los poderes del Sr. D. Jacinto Romarate , electo por la provincia de Vizcaya, opinaba que admitiéndole en el-seno del Estamento, se le concediese el tér- ■STAUBHTO DE PROCOXADOaKS. ■ m nó de 4u dias para presentar huevos documentos justificativos de sus rentas. Asi se acordó,__ Seiion del día 20 de Agotto. -La misma comisión en vista de…</t>
  </si>
  <si>
    <t>Romarino</t>
  </si>
  <si>
    <t>…rra, de la que incluyo á V. S. una copia, siendo su soberana Leemos en un periódico ingles lo siguiente: «Acaba de fallare^ voluntad que se apliquen sus disposiciones á los guardias marinas, en rebeldía la causa formada contra el general Romarino y algu sargentos, cabos y demas individuos de tropa de estos cuerpos, de nos piamonteses que tomaron parte en la conspiración del mes de terminando que las juntas de clasificación de oficiales establecidas Febrero último. El tribunal los declara reos de lesa magestad , y en el departamento y apostade…</t>
  </si>
  <si>
    <t>…los agresores en número y de quedar enterado se servirá V. S. darme el aviso correspondiente. Dios de 300 hombres fueron presos y desarmados. guarde á V. S. muchos años. Madrid XI de Enero de 183^ —.Manuel Pérez Ij» conducta del general Romarino y de sus compañeros en su última ten* Secarte. &gt; tativa parece inconcebible, y excita sentimientos dolorosos; porque ademas de la poca esperanza que debían tener en el éxito de su plan, hay una falta de PARTE NO OFICIAL. gratitud hacia el pais que los habiá hospedado, y es regular que tomen de ahí notic…</t>
  </si>
  <si>
    <t>Rome</t>
  </si>
  <si>
    <t>…dicha renta c* to á la aplicación de la ley ; porque la que pudiese haber en el Estatuto propia, en que es una renta infalible, y pn que por consiguiente deben apro Real, resuda naturalmente aclarada por la Real Convocatoria. El Sr. Rome barse los poderes presentados por el Sr. Romero Alpuente.” ro Alpuente ha presentado u$a escritura, ton la cual quiere justificar que po 1 El Sr. Vega y Rio hizo presente que sentra mucho tomar la palabra see una renta anual de J29 r&gt;.; pero en ella, á mi modo de ver , no cumplo para hablar en cont…</t>
  </si>
  <si>
    <t>Romera, Manuel</t>
  </si>
  <si>
    <t>Manuel Romera</t>
  </si>
  <si>
    <t>…cuerpo diplomático coh lasco y D. Manuel Sánchez Cid; para una alcaldía del crimen de Albacete y carácter temporal, y muy pronto representará á la Prusia un secretario ó en otra de Cataluña, vacantes aquella por fallecimiento de D. Manuel Romera cargado de Negocios, prescindiendo de que la América nos trata todavía con Briones, y esta por nombramiento de D. Modesto Cortazar, para teniente cor mayor desden dejándonos sin ministro de ninguna clase John-Bull sigue ha regidor de Madrid, á D. Manuel Rentero y Villa y D. Joaquín Romaguera; ciend…</t>
  </si>
  <si>
    <t>Romero</t>
  </si>
  <si>
    <t>…17, 77, 85 y 71. x canteen Ja deen Hidalgo;la de Carrataiá;SalamancaMurcia,, en laendeladeBlanco;Benedicto;Valladolid,Cádiz,enenlaladedeRodríguez;Hortal; Sevilla,Lugo, en la de Pujt»l} Bilbao, en la de García; Santiago , en la de Rey Romero; Cor uña, ca PROVINCIA DE CASTELLON DE.IA PLANA. la de Calve-te; y en Vitoria, en la de Barrio. ' ' El Atrecho ReAl He España por D. José María Alvarez , anunciado en el núme^ ro 264 de la Gaceta; se halla también de Venta en la librer ía de Sojo. ' * Según parte de 3D del mes anterior, el cólera s…</t>
  </si>
  <si>
    <t>…amancaLongoría:en laendePalmaReyes:en eola S.de SebastianGua&amp;p; cueoPamploaala de Atroja:eo I» eode de l.° del corriente, avisan que ios habitante* de sus respectivo» diatrito» goza Santander ea la de Riesgo: ea Santiago en la de Rey Romero: eo Sevilla ea la de ban de perfecta salud. Hidalgo: en Soria en casa de D. Pedro Morales: en Tarragooa en la de Berdeguer: en Toledo en la de Fernandez; en Tortosa en la de Puigrubl: en Valencia en la de Nav varro: en VaUadoiid en la de Rodríguez: eo Vitoria en la de Barrio; y en Zaragoza en la de…</t>
  </si>
  <si>
    <t>…nado, con la particularidad de que á tres de lona, Piferrer; Cádiz, Horial y compañía; Coruña, Calvete; Malaga, Martines de ellos los prendió él solo y sin auxilio ninguno. Aguilar, Murcia, Benedicto; Salamanca. Blanco; Santiago, Rey Romero; Sevilla, H-y en aquella provincia 92 escuelas establecidas en 66 pueblos, y 19 cla Hidalgotiempo dey suscribircompañíase; Valencia,pagará Ja-mitad,Fauli; queValladolid,será l6 rs.Rodríguez;en Madrid Zaragoza,y 1/en lasPolo.provinAl ses de latinidad eo 18 distintos parajes. cias. satisfaciéndose La…</t>
  </si>
  <si>
    <t>…Cuesta y Sánchez, y en us provincias con el aumeoto dias de la Reina nuestra Señora. Abrió La sesión el Excmo. Sr. duque de Gor, de un real en tomo en los sitios siguientes: Cádiz, Hurtal y Compañía: Sevilla, Hi dalgo: Santiago, Rey Romero: Vailadolid, Rodríguez: Valencia, Mallen y Berard; y segundo director de la sociedad, con un elocuente discurso, en el cual, después en Barcelona en la de Oliva. de encomiar la protección que debió aquel cuerpo á las bondades del Sr. Don — ■ -Compendio de matemáticas puras y mixtas para instrucción…</t>
  </si>
  <si>
    <t>…Barcelona, Bergnes; Bu/güs, AriH*z¿ Córdoba,' Sajonia, un capital de 14U i ¡150, en Inglaterra 125 á 130, en Wurtemberg Berard; Granada, Sans; Gerona, Oliva; Huesca, Navafró; líürtfa^'Befté eus. Roca; Salamanca, Reyes; Santiago, Rey Romero; Sevilla, Ca*o'njeoar; VaC¿ní3'd, Ca 9aá-,a¡bti£, én Erusia’yo, en Francia 86, eróNoruega 85, en Dinamarca 8 J, brerizo; Valladolid, Roldan; Zaragoza , Monge. eg RusiaJ8_0j en España 37. ______ _ ________ ____ . •.____ ■ ■ -Historia compendiada df £spana para uso de la fuveotud-s-un tomo en 8.° reg…</t>
  </si>
  <si>
    <t>…to; Oríbuela* • Jbañez; Oviedo, García Longor/a; Pamplona, Longás; Reos, Riera; Salamanca, nos ocupación á 3¡O0.nfirsiSnas de ambos sexos, y proporcionará la salida de 13 Blanco; S. Felipe, Bellver; Santander, Martínez; Santiago, Rey Romero; Sevilla, arrobas de cáñanáb'qjí podrá comprarse 4 los labradores á un precio que re Hidalgo y compañía; Tarragona, Puigrubi; VaLladoLid, Rodríguez; Vitoria, Barrio, compensé susTatigas. Zaragoza, Pardo. —- —Manolita de buen humor, ó sea tertulias divertidas ameno-literarias : noche pri Ha expedido…</t>
  </si>
  <si>
    <t>…e Fernandez; 1 Murcia, en la de Benedicto; Oviedo, en la imprenta de Pérez Prieto; Pamplona, en la de Erasum y Rada; Salamanca, en la de Blanco; Santander, en la de Otero; Santia Amusco .... •. 8 £ 14 Noviem. 44 17 4 go, en la de Rey Romero; Sevilla, en la de Hidalgo y compañía; Tolosa, en la im Carrion..«.. . 14 ¿ f &amp; ídem.. 22 6 1 prenta de Mendtzabal; Valencia, en la de Mallen y Berard; ValUdolid, «n la de Ro Rivas ..... . 2/Oc.á JONov. 2» 25 3 dríguez; Vitoria, en la de Flore»; Zaragoza. en la de Polo (JD. Angel.) En el extranSald…</t>
  </si>
  <si>
    <t>…Clfuentei, y ea el despacho de López: Cádiz en la de Mortal y compañía: Sevilla en la de Hidalgo: Granada en la de VallePartes recibidos en la secretaría de listado y del Despache de la Gyerra» jo:Ma'lenSantiagoy Berard.en la de Rey Romero: Barcelona en la de Sierra; y ValenciaA en la de JS1 capitán general de Castilla la Vieja con fecha 21 de Enero actual desde —Se baila vacante la plata de cirujano de la villa de Alia, provincia de Toledo. La dotación consiste en 5500 rs. lleudo cirujano latino, y en 4500 anuales si ea ro Búrgoa, a…</t>
  </si>
  <si>
    <t>Romero, Benito</t>
  </si>
  <si>
    <t>Benito Romero</t>
  </si>
  <si>
    <t>…presa del canal de Aragón, deseosa de propagar el ramo de arbolado nández: para el de Andujar á D. Laureano Rojo de Norzagaray: para el de con arreglo á las órdenes de S. M., se halla con un crecido número de árboles Chinchilla á D. Benito Romero: para el de Verin á D. Buenaventura Olave: sobrantes de sus plantíos y arboledas, los que venderá al público á los precios para'el de Carmona á D. B-cque Naranjo: para la alcaldía mayor del Burgo de que abajo se expresan. Dichos árboles son de las clases siguientes: 524u olmos, Ofema i O. Luis Mart…</t>
  </si>
  <si>
    <t>…En la universidad de Dorpat hay 67 profesores y em María Parejo: para la de Pontevedra á D. Juan Torrecilla de Ro pleados , y 539 estudiantes. En la época de la presentación del presupuesto , la bles: para la de Alcalá la Real á D. Benito Romero: para la de Ca- universidad de Kiew, creada por el ukase imperial del 8 (20) de Noviensbiis zorla á D. Francisco de Paula Alvarez: para la de Fuente de Can de 1833 , no estaba todavía completamente organizada, y de consiguiente el tos á D. Antonio José de la Moneda y Ayala : para la de Hellin á pre…</t>
  </si>
  <si>
    <t>Romero, Bernardo</t>
  </si>
  <si>
    <t>Bernardo Romero</t>
  </si>
  <si>
    <t>…r adoptado innumerables medidas de protección á favor de món Exido, capitán con grado de teniente coronel, procedente del provincial «tos establecimientos, llegué á convencerme de que no se llenarían en un todo de esta capital, y D. Bernardo Romero , capitán retirado en Valdeolivas, sin los deseos de mejorarlos sin llamar en mi auxilio las personas mas distinguidas otra desgracia por parle de los leales que haber sido herido en el brazo izquier de cada pueblo por sus sentimientos de humanidad y beneficencia. Por esta razón, do D. Diego de Ase…</t>
  </si>
  <si>
    <t>Romero, Juan</t>
  </si>
  <si>
    <t>Juan Romero</t>
  </si>
  <si>
    <t>…ho valor, empezando la A las dos de esta mañana me avisó el mismo comandante Co acción y desalojando á los facciosos con la mayor decisión. Por sío, que la facción habia bajado á Urendez y Villanueva, donde último, el subteniente D. Juan Romero, sargento l.° de Borbon, se había reunido con los batallones de Uranga y Sopelana proce el cadete D. Miguel Castelaray, los cabos primeros Pedro Benito, den! es-de Barron, y no dudando entonces que su proyecto fuese Lorenzo y Bartolomé Súbete , los soldados Manuel Díaz , José Rael atacarme, dispuse…</t>
  </si>
  <si>
    <t>Romo, D Judas José</t>
  </si>
  <si>
    <t>D Judas José Romo</t>
  </si>
  <si>
    <t>…la cuenta; y razón en general de toda La provincia y tas de países y planos de puertos, un aprecio muy particular al cuerpo, lo mis la correspondencia con las otras dos subdelegaciones la lleva un oficial de la se mo que al limo. Sr. D. Judas José Romo, obispo electo de la Gran Canaria, cretaría. que ha asistido á uno de estos actos, haciendo varias preguntas á los examina Sociedades. La sociedad económicavde amigos del país de que esta provincia dos, é igualmente á varios eclesiásticos seculares y regulares, militares y em carecía, fue instalada…</t>
  </si>
  <si>
    <t>Romo, Judas José</t>
  </si>
  <si>
    <t>Judas José Romo</t>
  </si>
  <si>
    <t>…uenta; y razón en general de toda La provincia y tas de países y planos de puertos, un aprecio muy particular al cuerpo, lo mis la correspondencia con las otras dos subdelegaciones la lleva un oficial de la se mo que al limo. Sr. D. Judas José Romo, obispo electo de la Gran Canaria, cretaría. que ha asistido á uno de estos actos, haciendo varias preguntas á los examina Sociedades. La sociedad económicavde amigos del país de que esta provincia dos, é igualmente á varios eclesiásticos seculares y regulares, militares y em carecía, fue instalada…</t>
  </si>
  <si>
    <t>Romsin</t>
  </si>
  <si>
    <t>…arruinando una V otra. Si se contentan ustedes con disminuir !'&gt;s derechos eme ¿ los despachos que le anunciaban su nombramiento de ministro de Marina. tanto les irritan, r.óUí -e al mará la suerte ücl ouebio; y rece en, moderaEl almirante Romsin pide á S. M. le permita que conserve la embajada de c?one&gt; de derecho, fraccionada^ de un modo Imperceptible, r:u:?ca lian servido Constantinopla. de jud.» ni consumidor. Es falso que el pueblo se queje de las contribuciones que pesen sobre tirios; i —JEn carta de Argel del 9 del actual se lee lo s…</t>
  </si>
  <si>
    <t>Ron, D Miguel</t>
  </si>
  <si>
    <t>D Miguel Ron</t>
  </si>
  <si>
    <t>…nce y cuarto estaba !a columna reunida en este^ pueblo. Los resul tados han sido los siguientes. Diez muertos en la acción a fuego de fusilería, 885...... ........... Barcelona. entre ellos un titulado capitán D. José Torres y un teniente D. Miguel Ron 2,278............ .... 3000........................ ...... Cádiz. cales: 40 muertos por la cabalLería, entre ellos un oficial que no ha podi 12/32............ .... 2000....................... ............ Sevilla. do reconocerse por habérsele llevado el rio: seis prisioneros, dos de ellos he 8,6?3.…</t>
  </si>
  <si>
    <t>Ron, Miguel</t>
  </si>
  <si>
    <t>Miguel Ron</t>
  </si>
  <si>
    <t>…rto estaba !a columna reunida en este^ pueblo. Los resul tados han sido los siguientes. Diez muertos en la acción a fuego de fusilería, 885...... ........... Barcelona. entre ellos un titulado capitán D. José Torres y un teniente D. Miguel Ron 2,278............ .... 3000........................ ...... Cádiz. cales: 40 muertos por la cabalLería, entre ellos un oficial que no ha podi 12/32............ .... 2000....................... ............ Sevilla. do reconocerse por habérsele llevado el rio: seis prisioneros, dos de ellos he 8,6?3.…</t>
  </si>
  <si>
    <t>Ronftan, Manuel Maestre y</t>
  </si>
  <si>
    <t>Manuel Maestre y Ronftan</t>
  </si>
  <si>
    <t>…iene hecha D. J. G. , ha entregado por este mes. . ....................................................................................................... 20 Con fecha de 3 del actual dice el comandante general de la Mancha , que D. Manuel Maestre y $. Ronftan 2*0 rs. por una vez, y 40 reales habiendo tenido noticia que en el sitio del puente y m&lt; uno del En perador mensuales mientras dure la enfermedad que nos aflige, los que también habían sido asaltados y sorprendido» por una ga'i.ia de fac. :o*-&lt; «* , pz. tcgidos ha entregado por este mes............…</t>
  </si>
  <si>
    <t>Ropin, Isabel</t>
  </si>
  <si>
    <t>Isabel Ropin</t>
  </si>
  <si>
    <t>…tor. «—A virtud de providencia del Sr. Balsera, refrendada dél escribano Bandé, se cita Ptfrt* sanitario. por termino de 3S dias. á todos los qué te crean con derecho á los bienes quedados por fallecimiento de V. Vicente Ferrer y Doña Isabel Ropin su esposa, vecinos qué-fue ron de esta corte ¡ para que dentro de dicho termino, acudan á deducir tas acciona Pneblez Díaz 'lafernoi. Curadoi» ’ Flllecidoz que Íes competan ¡ prevenido»; de. que en otro caso les perara perjuicio. —Por providencia del Sr.,Noraagaray, refrendada del escribano Orenla…</t>
  </si>
  <si>
    <t>Roque</t>
  </si>
  <si>
    <t>»’ • ' í dos* todo ello un perjuicio de que ios vecinos dei lugar de Bullado pueden cer- destinos los oficiales 14.* L° del Gobierno civil de Cádiz, D. Roque, rartos cúañdb kréstixnín eotiveniente. : f ■ Aguado y D. Ildefonso Zamora, y nombrados en su reemplazo, oficial pri mero D. Rafael González Llanos, y oficial 4*0 l-° D. Agustín Pinol; D. Manuel Balaguer ^Vecino y fabricante de la ciudad ¿le Barcelona , hi zo presente la necesidad que había de mejo…</t>
  </si>
  <si>
    <t>…er AÍEM^ÍtrA: ribles peligros, sin dolorosos males, sin espantosas agonías: mtérnmlpiaa so—1’ lamente las descargas de las armas dé fuego las voces qué repetían laS diferen FraHcfort 28 deSetsembre. tes órdenes que pronunciaba el general Roque!. , •' ^ n - ■ «5tdatrió*cr¿dÍtóáloqilé8eSuSúrrra en las reuniones &lt;K nuestros polí- !• «Maniobraban mas de 1US&gt;; y á pesar de lás maS rápidas evoluciónéS, tícós, laS dísposicionet de la conferencia,'de que tanto se ha hablado', todavía érait tari precisos sus movimientos, también calculada la dist…</t>
  </si>
  <si>
    <t>Roraarate, D Jacinto</t>
  </si>
  <si>
    <t>D Jacinto Roraarate</t>
  </si>
  <si>
    <t>…Quién puede extrañar que haya oficiales mas ó menos libios ¿ quienes La comisión de Poderes manifestó estaban corrientes los documentos jus sea preciso obligar á cumplir sus dieres? Con estos es con quien ha de em tificativos del Sr. D. Jacinto Roraarate, Procurador.por Vizcaya, por lo que plear el Gobierno su severidad, no haciendo otra cosa que adoptar los medios debían aprobarse. Asi se acordó. de llevar á cabo el rigor de la ordenanza: no puede permitirse que en el cur-J Entró á jurar y tomó asiento el Sr. D. Rafael de Rodas, Procurador so de l…</t>
  </si>
  <si>
    <t>Roraarate, Jacinto</t>
  </si>
  <si>
    <t>Jacinto Roraarate</t>
  </si>
  <si>
    <t>…n puede extrañar que haya oficiales mas ó menos libios ¿ quienes La comisión de Poderes manifestó estaban corrientes los documentos jus sea preciso obligar á cumplir sus dieres? Con estos es con quien ha de em tificativos del Sr. D. Jacinto Roraarate, Procurador.por Vizcaya, por lo que plear el Gobierno su severidad, no haciendo otra cosa que adoptar los medios debían aprobarse. Asi se acordó. de llevar á cabo el rigor de la ordenanza: no puede permitirse que en el cur-J Entró á jurar y tomó asiento el Sr. D. Rafael de Rodas, Procurador so de l…</t>
  </si>
  <si>
    <t>Ros, Antonio</t>
  </si>
  <si>
    <t>Antonio Ros</t>
  </si>
  <si>
    <t>…García. calentísimo SrcrsEl comandante genera! interino, Agustín dé Oviedó^scEcEntre los. heridos lo hj sido gravemente el alférez de la guardia real de in ccienli4inv&gt; Sr. Sectario de Estado r del Despicho de la Guerra. fantería D. Antonio Ros, y levemente el ayudante del mismo cuerpo D. Fer nando BbhiHc, el tchiente del 2.° regimiento de la guardia real adicto a la El comandante genera! de la ManA.i con ia nmms fecha confirma el ante P. M. D Manuel de la Concha, el allcicz del 4° regimiento de U misma IX rior parte: v atade que todos lo…</t>
  </si>
  <si>
    <t>Rosa</t>
  </si>
  <si>
    <t>…, y bajo las mismas bases, en el estamento de Prócercs del reino. Su poder se derivará siempre de la corona, Idem 2 de Atril. que es la que hace los Grandes y nombra los demas individuos d&lt; Antes de ayer se presentó á S. M. I. el brigadier Rosa, que dicho estamento. abandona al usurpador huyendo de Santarem. E( sacerdocio ha tenido desde los principios de la monarquía En la secretaría de Estado y del despacho de la Guerra se ha grande influjo y poder sobre los pueblos y aun sobre los Reyes, y recibido el siguiente parte: limo, y Excmo. Sr…</t>
  </si>
  <si>
    <t>Rosa, Francisca Martínez de la</t>
  </si>
  <si>
    <t>Francisca Martínez de la Rosa</t>
  </si>
  <si>
    <t>…Comunicareis á quietl cor res Para que D. José Seoañe, oidor de ía Real audiencia de Gra ponda.riEstá rubricado de la Real mano. Aranjuez 17 de Abril bada , pueda atender exclusivamente al restablecimiento de su salud, do J334-—A D. Francisca Martínez de la Rosa, Presidente del gravemente alterada por muy prolongadas dolencias, hé venido en Consejo de Ministros. concederle su jubilación con todos sos honores y cuatro quintas partes de sü sueldo, mientras no pueda asistir al tribunal, y cón la Teniendo etí consideración la notoria lealtad, la acreditada ap-…</t>
  </si>
  <si>
    <t>Rosa, Francisco Martínez de la</t>
  </si>
  <si>
    <t>Francisco Martínez de la Rosa</t>
  </si>
  <si>
    <t>…da; y en Espiña, donde mejor que en ninguna parte puede apreciarse ■su mérito. el ministro secretario de Estado y presidente del Consejo de Minis , 'Hacienda..Trata Mr. de Jonnés de las rentas públicas en diferentes épocas, tros, D..Francisco Martínez de la Rosa, ha tenido la bondad dé presentársela 4 d« su origen, del total de sus recursos ordinarios, del producto de los derechos la Reina Gobernadora , quien ha dado órden á su embajador en París de que d« aduanas, de los gastos del Estado, de los diferentes presupuestos, de la deu «n sii Real nombre dé la…</t>
  </si>
  <si>
    <t>…dréislo entendido, y lo comunicareis á quien corresponda.=Está Bruselas 16 de Octubre. ' rubricado de la Real mano.=En el Pardo á 2 de Noviembre de 1834.= La comisión encargada de la revisión demias leyes militares, cuyas sesio A D. Francisco Martínez de la Rosa, Presidente del Consejo de nes se habían interrumpido de resultas de la indisposición y ausencia por cau Ministros. sa de servicio de algunos de sus miembros, se ha reunido nuevamente ayer bajo la presidencia del general Goethals. Su trabajo s-e halla muv adelantado. Él Para que no sufran retraso l…</t>
  </si>
  <si>
    <t>…|o .sügfirhí^ndo la dirección general de propio^' y Arbitrio,?. dccrato releyapdo i D. Francisco Zea Bertmidez tjel ministerio dé ANUNCIOS. .íácío’/y mandanticf pase a servir su plaza efectiva de Consejero de Estadp. Inombrando"S D. Francisco Martínez de la Rosa, Secretario de Esta- Entoyot políticos, económicos 7 filosóficos del conde de Rumfbrd, traducidos de -orden de la Real sociedad económica de esta corte, por so individuo D. oomingo Agüero y Neira. Dos tomos en 8.° «barquilla, edición de jfioo, d gg rs. rama 741 rf^^fró¿con^rieñd'o^'Secretaría de1 O…</t>
  </si>
  <si>
    <t>…r|o .sügfirhí^ndo la dirección general de propio^' y Arbitrio,?. dccrato relevapdo i D. Francisco Zea Berimidez tjel ministerio dé ANUNCIOS. .íacío^y mandanticf pase a servir su plaza efectiva de Consejero de Estadp. Inombrando"S D. Francisco Martínez de la Rosa, Secretario de Esta- Entoyot políticos, económicos 7 filosóficos del conde de Rumfbrd, traducidos de -orden de la Real sociedad económica de esta corte, por so individuo D. oomingo Agüero y Neira. Dos tomos en 8.° «barquilla, edición de jfioo, d gg rs. rama 741 rf^^fró¿con^rieñd'o^'Secretaría de1 O…</t>
  </si>
  <si>
    <t>…y soldados de la guardia que S. M. envía á S. Petersborgo CumpUmiento.=:Está rtíbricado de la Real mano.=En el-Pardo á 10 para representar al ejército prusiano en la fiesta de la inauguración de la eslárul de Setiembre de 1834.=A D. Francisco Martínez de la Rosa, Presi de Alejandro 1, han llegado á Lubelt, y desde allí un barco de vapor loa dente del Consejo de Ministros. conducirá á su destino, (biercurío de -Luevia.) x v Idem 77. Atendiendo á lis razones que me ha expuesto el marqués de Santa*Cruz, í quien me había dignado elegir Vicepresidente del Cada…</t>
  </si>
  <si>
    <t>…inados á la subsistencia de aquella escuela, ingresarán en 1 I cumplimiento.=Está rubricado de la Real mano.=En Aranjuez á \7, de Mar- lo sucesivo en las depositarías de Propios dt las provincias en que se ejecuten^ [fO de 1834—A D. Francisco Martínez de la Rosa. dichas funciones. 3. ° Los subdelegados de Fomento, con vista de los productos de este arbi . He venido en conceder, en nombre de mi muy cara y augusta Hija, á Don trio, propondrán el modo de aplicarlos por mitad á las necesidades de U ense- j [Francisco García Casarubios, obispo deTuy , la gran cr…</t>
  </si>
  <si>
    <t>Rosa, Francisco Martinez de la</t>
  </si>
  <si>
    <t>Francisco Martinez de la Rosa</t>
  </si>
  <si>
    <t>…lencia. Téndréislo enten dido, y dispondréis lo necesario á su cumplimiento, z: Está rubri Del mismo beneficio disfrutan SS. AA. RR. lo s Sertnos. Se-» cado de la Real mano. = En Aranjuez á 17 de Abril de 1834- — Cota Infantes. A D. Francisco Martinez de la Rosa. liealei dccrciot* Queriendo dar á ía Real maestranza de caballería de Valencia í Un público testimonio de mi Real aprecio por las notorias muestras Atendidas las reiteradas súplicas qué irle fia hecho O. Javier' de adhesión y lealtad de sus individuos al legítimo trono de mi de Búrgos, mi Secretari…</t>
  </si>
  <si>
    <t>…eberes é intereses comunes que ligan á todos los leales amantes de plimiento. = Está rubricado de la Real mano de S. M.= En S. Ihlela patria, con la mayoría de la Milicia urbana, que no ha tenido fonso á 17 de Julio de 1854. =: A D. Francisco Martínez de la Rosa. parte en los infames, cobardes y torpes hechos de unos pocos indig nos españoles, con el honor militar, excelente espíritu y disciplina ■jSSBBBBBBawirnir ■ r ggaBaggaaippM de los cuerpos de la guarnición,.con todos los vecinos, en fin, no menos interesados en la conservación del orden que en el bue…</t>
  </si>
  <si>
    <t>…e se establezca en todos los ramos de la administración pública el mejor or den y economía. Tendréíslo entendido, y dispondréis lo necesario á su cumplimientos Está rubricado de la Real mano.= San Ildefonso 20 de Agosto de 1834—A D. Francisco Martínez de la Rosa, Presidente del Consejo de Ministros. REAL PECHELO. Para la plaza del supremo tribunal de España é Indias, vacante PARTE NO OFICIAL. por fallecimiento de D. Juan José Recacbo, vengo en nombrar á NOTICIAS EXTRANGERAS. D. José María Manescau, régeme de la audiencia de Madrid. Tendréislo entendido, y…</t>
  </si>
  <si>
    <t>…; lo necesarioá su. cumpLimiemo.=YO LA corriente la Ocupación de Castel-o-Branco por las tropas españolas y REINA GOBERNADORA.=En Aranjuez á 20 de Mayo„de 1834, la de Tbomar por las portuguesas de la Reina Doña alaría. Los mi- =A D. Francisco Martínez de la Rosa, Presidente de mi Consejo guelistas, que abandonaron esta ciudad á la vista de aquellas, se re de Ministros, (í) tiraron por espacio de legua v media perseguidos por la caballería hasta Seiseira, punto desde él cual podían dirigirse igualmente á &lt; , : . REAL DECRETO, Samaren y á Abranles. Esta circ…</t>
  </si>
  <si>
    <t>…uchos verdaderos patriotas para defender el arsenal y á los habitantes de miento. = Está rubricado de la Real mano. = En Aranjuez á 20 de cualquier ataque. A las dos se publicó una proclama en que anunciaban las Mayo de 1834. = A Don Francisco Martínez de la Rosa, Presidente autoridades haber cesado los alborotos y tpmado providencias eficaces para del Consejo de Ministros. evitar que se repitieseh. La demencia de los enemigos de las leyes y del órden público no perdonó los trasparentes de las ventanas de Maronic-Hall, en Estado de los Procuradores d Córtes…</t>
  </si>
  <si>
    <t>…INTERIOR. Tendré i si o entendido, y dispondréis lo necesario á su cumplimiento. Real orden. = Está rubricado de la Real mano. = En Carabanchel á 24 de Junio lie dr.dn cuenta á S. M. la Reina Gobernadora de varias con de 1854.= A D. Francisco Martínez de la Rosa, Presidente del Con sultas hechas á este ministerio sobre si los escribientes v meritorios sejo de Ministros. de las oficinas de Propios, comprendidos en el reglamento aprobad &gt;. ’ MINISTERIO DE GRACIA Y JCSTIC1A. por Real orden de 10 de Mavo de Ifiztl, v cuvas piaras lino si,) . Real orden. suprim…</t>
  </si>
  <si>
    <t>…ru de formar sumaria á los que habían asistido á la comida, debió limitarse á me bricado de la Real mano.=En Palacio a 26 de Diciembre de 1834.= didas dé vigilancia, á fin de impedir reuniones políticas que atentasen contra el A D. Francisco Martínez de la Rosa, Presidente del Consejo de mi reposo de los Estados vecinos, o que provocasen de su parte quejas fundadas. nistros. «El gobierna, lejos de aprobar ó querer justificar de ningún modo lo que había pasado en Steinbolzli, hizo saber inmediatamente i los refugiados ale manes y artesanos de la misma naci…</t>
  </si>
  <si>
    <t>…ario á su cumplimiento— 3* Pira evitar toda duda, se declara: que es circunstancia pre Eslá rubricado de la Real mano.=En Palacio á 29 de Diciembre de cisa para obtener estos destinos, en los gefes y oficiales 23 años de 1834.= A D. Francisco Martínez de la Rosa, Presidente del consejo servicios efectivos, por lo menos, prefiriendo á los que lleven mas; de Ministros. ---------- — -------------- Relaciones de que habla el artículo primero de esfe decreto. MINISTERIO DE ESTADO. MINISTERIO DE LA GUERRA. RELACION DE 109^. DESTINOS QUE EN SU£ DEPENDENCIAS SON A…</t>
  </si>
  <si>
    <t>Rosa, Francisco Martiuez de la</t>
  </si>
  <si>
    <t>Francisco Martiuez de la Rosa</t>
  </si>
  <si>
    <t>…itirle la dinaision que v (Id.) Atanu, ha hécho de aquel cargo. ^Tendréislo entendido, y díinondreis lo necésarío á su cumplimiento.:: Está ruhrioado de la Real mano.=En el VSrms 21 aír Agosto. Pardo á|lé de Setiembre de 1634.=:A D. Francisco Martiuez de la Rosa, Presidente del Consejo de Ministros. . Los hijos de Vogoridos , principe deSamos, han llegado sqni de camllMt ; .••••'-*:«■ .-'-'i. '' ^ «ara París, donde van 4 completar susestudios- ■ ... fie dipe que Mr. deJUbeaupierre, embajador raso en Berrín, va é «dir pnr. En virtud de lá prerogativa qué me…</t>
  </si>
  <si>
    <t>Rosa, FranciscoMartinez de la</t>
  </si>
  <si>
    <t>FranciscoMartinez de la Rosa</t>
  </si>
  <si>
    <t>…ninguno ha causado tan profundo dolor en el piadoso svrazotef I i su cumptimienro^cEsrá rubricado de la Real manOc=En Palacio i 7 de Fe- ale S. M. la Reina Gobernadora, como el de haber tomado parte en ella al Ibrcro de Í83:4¿=A D. FranciscoMartinez de la Rosa, Presidente del Consejo gunos individuos del clpro secular y regular, unas veces entrometiéndose á re | de Ministros. solver altas cuestiones del derecho público nacional, que no están al alcance de sus estudios, ni en la.Índole de sus sagradas atribuciones; oteas extraviando so Atendiencloá la hon…</t>
  </si>
  <si>
    <t>Rosa, José Cecilio de la</t>
  </si>
  <si>
    <t>José Cecilio de la Rosa</t>
  </si>
  <si>
    <t>…oidor de Gra rios de Guerra y Hacienda, que se aumente su fuerza de infante nada , y i D. Manuel García de la Cotera, á D. Cristóbal Izquier ría y caballería con 2213 plazas de tropa, entre ellas 4^9 caballos do de los Santos y i D. José Cecilio de la Rosa, alcaldes mas an y 12 primeros ayudantes de la clase de capitanes , destinados al tiguos de la de Sevilla: por la clase de alcaldes á D. Antonio de detall de las 12 comandancias. La facilidad que tiene este cuerpo Sierra, que lo es de la de Granada; á D. Pedro Jacobo Pizarro, para su reemplazo, y l…</t>
  </si>
  <si>
    <t>Rosa, Martínez de la</t>
  </si>
  <si>
    <t>Martínez de la Rosa</t>
  </si>
  <si>
    <t>turales y sociales; porque sería muy larga y mas bien filosófica *que política. Ha dicho también el Sr. Martínez de la Rosa que yo he supuesto debía Me contraigo por lo mismo á 2a inutilidad jj peligros &lt;jc establecer un princi admitirse el principio del artículo de que se trata aunquq-se suspendiera después, pio stn aplicarlo. Decir al pueblo: «estos soh tus derechos naturales, derechos deduciendo que nada se adelantab…</t>
  </si>
  <si>
    <t>…ués de «déseos del Estamento” la frase «conformes á los de fundaméntale» en que estribaba y que le t.r.:an c-n l.i rucum. Si hubieren e-tado V. M." . . , ■ en pr..c:i»a c&gt;ta- iej.es consonadas de nuevo en c! iRi.al, la nae'or. se Sr. Martínez de la Rosa, Secretario de Estado- -Las principa es refle hubiera dfiorr.nío de Ijs convulsione^ q;;e u la han .-rrciado h-ícia i.r xiones que iba á hacer para impugnar csre párrafo, giraban sobre el supuesto .muquía, y ya la han •■umido en los h^rrere» de! despú ln-io.-' p-í» cu I a ■ Jra ce i v -r,;-de que l…</t>
  </si>
  <si>
    <t>…lativas á la con se hacia cierta injuria á S. M. en suponer no conocía del todo las desgracias de servación de la independencia y libertad de la nación. la nación. Yo creo que por el contrario, en decir la verdad no se hace ningu Sr. Martínez de la Rosa , Secretario de Sitado: »No trato de impugnar na ofensa á S. M. Hay una imposibilidad física y moral en que S. M. sepa el este párrafo, al contrario, las bases en que se funda son exactas, y solo me pa verdadero estado del reino, sin que sea por falta de penetración ni buen deseo. rece que debía dá…</t>
  </si>
  <si>
    <t>…ifestando no confundía las del Estamento y uno de e^tos era la libertad de imprenta , en toda su amplitud. medidas restrictivas con las preventivas. £s decir que el espíritu de la petición i S. M. que ahora se discute h^sido ya - Sr. Martínez de la Rosa : « Los Secretarios del Despachóle h-ibian abs benignamente acogido. tenido de tomar pirte en esta cuestión , o»endo con agrado y docilidad las ra «St dice que tiene inconveniente este derecho. &lt; Qué institución humana zones alegadas en fa^or de uno y otro dictamen ; mas al parecer se ha no los tie…</t>
  </si>
  <si>
    <t>…res ó cómplices de esa'bofta— están inutilizadas ó solo caminan con una extraordinaria lentitud ? Dei deber piración , que roas bien puedo llamarse ridicula farsa , ó ya hubieran sufridora ■1 hecho hay una distancia grande , y el Sr. Martínez de la Rosa ha tenido castigo, ó estarían todavía Sintiendo el péio de ün protedrññfehto criiniiWL Se quesaUarla de un solo paso pira formar este sofístico argumento. Ida añadido ha hecho alusión i los asuntos del 17 de Julio; peiro á m» entender no se ha Cambien S. S. que no se guarda órden porque se dice pri…</t>
  </si>
  <si>
    <t>…n claro el enorme déficit mo Eso bedo fpe Diputado, y asi' debe acordarlo el Estamento, como que que nos abruma, y Jos muchos sacrificios que de pronto hay que hacer pafa lle deba ser juzgado por el mismo.*’ narle debidamente. El Sr. Martínez de la Rosa contestó que el hecho del Sefior Ei- Consiste aquel en los descubiertos que han quedado á fines de Diciembre Cobedó no podía aplicarse al caso presente: que la discusión debía limitarse, de 1833 , en los extraordinarios gastos que exige la rebelión dé las provincia» «orno ya h¿ña indicado, al caso…</t>
  </si>
  <si>
    <t>…todo proyecto de ley: de consiguiente, que se «En vista de todo, los Procuradores de Cortes creen , pues, que deberían imprimiría y distribuiría. destinarse para los cabos, sargentos y oficiales del-ejército la mitad ó tercera Mi Sr. Martínez de la Rosa : «Para aliviar á los pueblos cuanto antes de parte de los empleos civiles de la administración, rentas y demas; pero fiján una carga tan pesada, desearía que este negocio se concluyese con prontitud. Si dola de un modo que no quede al arbitrio de los ministros cumplir ó no con el Estamento lo tien…</t>
  </si>
  <si>
    <t>…o la pasará. El Gobierno puede El Sr. González (D. Antonio): «Como uno de los peticionarios, no fjecir que desea entrar en esta cuestión , para resolverla de una vez, de: un mo tendría dificultad en convenir con las opiniones del Sr. Martínez de la Rosa si do imparcial y equitativo; puede decirlo esto á la faz de la Nación, y en el viese que se presentaban razones convincentes que,nos obligasen a tomar el par santuario de las leyes; puede comunicarlo á los Gobiernos amigos y aliados; pe» tido que propone. No entraré á examinar la petición, porque…</t>
  </si>
  <si>
    <t>…tales individuos entrasen a gozar de estas prcrogativas lo mismo que si hubie nar las excusas de aquellos Sres. Próceres que habiendo prestado el juramento, sen prestado el juramento. pueden considerarse como tales. Aprobada. £1 Sr. Martínez de la Rosa, después de calificar las circunstancias que En cuyo caso se halla el Excmo. Sr. conde de Atares que después de ha constituían la dignidad de Prócer, dijo que el Estamento debía hacer por su ber asistido á la sesión Régia, ha pedido permiso para restituirse a los baños parte el examen de si los Pró…</t>
  </si>
  <si>
    <t>…uy dignes entre ellos , que en lugar cen los Secretarios del Despacho i esta petición no se fundan en'la sustancia - de servirse do sus-empleos paré molestar y perseguir., no 'hicieron sino lo-opues - dé ella, como ya ha dicho el Sr. Martínez de la Rosa, sino-eo los términos en to. Si Se trata dé-personas'adictas 4 este individuo .que pudieran ser ó consiácque está concebida. Se-empleza por decir que se-declaran-legítimos todos 4ós rarsé Como-sus satélites óvecuaces, seguro es-que ninguno, al menos que haya nombramientos &amp;c.: esto.es demas, pues y…</t>
  </si>
  <si>
    <t>…apital, sin embargo de los exorbi titos contraídos son con arreglo á estos principios. tantes réditos que se les señalaron. "Recordando el Sr. Aguirre Solarte un argumento del Sr. Torremejía, »En lo que particularmente se fijó el Sr. Martínez de la Rosa, fue en que dijo que no reconocería de ninguna manera el empréstito de Guebhard, los 80 millones de la deuda que eo virtud del tratado de 1828 se debía al te contraído en el tiempo en que existia el Gobierno legítimo de Fernando vir, soro de Francia; y dijo á este propósito que no había derecho par…</t>
  </si>
  <si>
    <t>…n lo sucesivo. tra, es una pensión concedida por el gobierno que no puede considerarse como ¿Vos quedáis libre de la prisión.” M. Bittleston se retira. (Chronicle.) renta propias después de una ligera discusión, y á propuesta del Sr. Martínez de la Rosa, se acordó remitir la decisión de este expediente al Estamento. FRANCIA. Los poderes del Sr. Tarancon no fueron aprobados á propuesta de la co París H de Julio. misión ; porque habiendo justificado solamente 2200 rs. de renta propia, no* podía considerarse de la misma clase la renta de la canongía…</t>
  </si>
  <si>
    <t>…e ha contestado que no se podía decir lugar al exámen por artículos, y nada mas se hizo.” . .nada á los periódicos porque no son oficiales.”_ ________ ____ _ El Sr. GrmusUt-^.n. AñtrMÍa\■ «Según la práctica seguida por el Esta El Sr. Martínez de la Rosa: «El Presidente del Consejo de Ministros mento , me parece que, es lo mismo aprobar en su totalidad que proceder á se ha ocupado ya de este asunto. No tengo muy presente lo que contó ti dia examinar por artículos el proyecto, y no veo dificultad en decir que se apro rio de las Córtes pasadas; pero…</t>
  </si>
  <si>
    <t>Rosa, Martínez de La</t>
  </si>
  <si>
    <t>Martínez de La Rosa</t>
  </si>
  <si>
    <t>…n que me parec¿ Código1 criminal, Interior y Milicia urbana, las cuales opinaban que podía dis debe convencer al Sr, Procurador." cutirse en público dicha petición. El Sr. Chacón; «Yo abundo en las mismas ideas que mis compañeros Sr. Martínez de La Rosa: «No es en manera alguna mi intención opo sin embargo el art. 132 del reglamento dice que cada una de las comisiones nerme i que se discuta en publicóla petición presentada: mi objeto al pedir la dará por separado su dictamen. Aquí vemos que cada comisión ha de dar por palabra es solo manifestar la…</t>
  </si>
  <si>
    <t>…rificar áS. M.*-U Rhiva nuestra Señora las protestas mas que han conservado mejor que la historia los recuerdos del héroe de tas haza- I decisivas y sinceras adhesión de su diputación y juma de la provincia de ñas r pues el mismo Sr. Martínez de la Rosa cOntiesa , en la Aiverteneif1 , que] Alava. Dios guarde á V. E* muchos años &amp;c. = Éxcmo. br.cz Iñigo Oríes de esta al frente de su libro , que cuando en la representación de la cotricüfta'del ] Vfllaaax Triunfa dtl Ave María vió *&gt; aparecer en la escena a Hernando dei Pulgar» pe-1</t>
  </si>
  <si>
    <t>…estoy conforme con la opinión de los Sres. Procuradores. La general haya uua para cada párrafo , porque no se puede impedir , como ha dicho votación del Estamento va á recaer sobre la primera parte de la petición. La muy bien el Sr. Martínez de la Rosa , á ningún Sr Procurador que apruebe uno parte expositiva puede variarse, pues no es mas que el modo de"exponer su y desapruebe otro. La discusión parcial que puele haber sobre ellos, será muy dictamen la com sion , y las razones en que se funda: esta es la práctica qi|e se ligera puesto que el Est…</t>
  </si>
  <si>
    <t>Rosa, Martínez de U</t>
  </si>
  <si>
    <t>Martínez de U Rosa</t>
  </si>
  <si>
    <t>…a vuelto atíás de su resolución , y su error en stirdo suponer coacción en S M el Rey D. Fernando va cuando confirmó el esta parte provenía de una cosa muy sencilla. En Francia se acostumbra primerq empréstito de que se trata. El Sr. Martínez de U Rosa no empleó la palabra discutir todas L»s modificaciones que se hacen á los artículos de las leves, v des abiurdo\ y cuando se impugna es preciso tener cuenta con las expresiones, sí pués de aprobadas ó de&gt;cchadas aquellas, se aprueban es'os, y se vota la totalidad son en sí importantes: dijo que era…</t>
  </si>
  <si>
    <t>Rosa, Martioez de U</t>
  </si>
  <si>
    <t>Martioez de U Rosa</t>
  </si>
  <si>
    <t>…e declaró el punto suficientemente discutido, y que no había lu mental , necesario para la independencia del Estamento , y aun para la misma gar á votar la proposición del Sr. conde de Parsent. libertad de la nación. . . . _ ! Fi Sr. Martioez de U Rosa dijo que'la desgraciada circunstancia de ha «La cuestión debe rednrjrse í saber cuando ha de considerarse i un Pró— llarse S. M. fuera de la Corte , había, impedido fijar los títulos y prexogauva* «sr en posesión del destino, y tenerse por «al Piócer. anejas.¿ la dignidad jr4&gt;rerogatiias de--Próeer…</t>
  </si>
  <si>
    <t>Rosa, Miirtint de la</t>
  </si>
  <si>
    <t>Miirtint de la Rosa</t>
  </si>
  <si>
    <t>…que en mi entender no hay ninguiv» Lase que sea in a la comisión *e sirva añadir ai dictamen estas y las demás retlcxioocs qce necesaria. ciea conducentes." ¡ EISr. duque de Rivas: «Al tomar la palabra en este augusto recinto, El Sr. Miirtint2.de la Rosa: «El ¿lustre Procer que acaba de Hablar Ha dondtf hari de tratarse intereses tan sublimes; y al recordar que 10 años hace sentado un principio reconocido en rodos los países que siguen el régwtjen re me eucttnttaba yo en circunstancias semejantes, se agolpan á mi memoria tan presentativo, á saber,…</t>
  </si>
  <si>
    <t>Rosa-en, Martínez de la</t>
  </si>
  <si>
    <t>Martínez de la Rosa-en</t>
  </si>
  <si>
    <t>…Yíudr id posteriores, aunque fue conquistada, no poseyeron los españoles sino momen I.oj 1.......... . . . 5 ( M } S .n ( it-int-nlt1 táneamente. 5110.......................... .......... Madrid. E.l afecto dominante que anima al Sr. Martínez de la Rosa-en toda la obra, es la admiración de las virtudes militares, civiles v cristianas que adornaban su rolsa db comercio—Co'tizacion de hoy d las tres de la tarde. heroe: el patriotismo, e) desinterés , la fidelidad, el valor a toda prueba, la hu manidad con los vencida.' v !a escasez actual de gran parte…</t>
  </si>
  <si>
    <t>Rosa-Marfan</t>
  </si>
  <si>
    <t>…l estado de los corte por la ülrlitoa vez én 1827, á cuya sazón vivía en la calle de S, Antón, Las per establecimientos de beneficencia y verificar la reparación y construcción de puen sonas que sepan del paradero de la expresada Doña Rosa-Marfan, ó caso de que hubiese fallecido» la época de su muerte y donde falleció, se servirán dirigir el correspon tes y caminos, particularmente respecto de las carreteras de Aragón y Ca diente aviso k U legación imperial de Austria en esta corte, cálle de Atocha nú-: taluña. mero 1, EN LA IMPRENTA REAL.</t>
  </si>
  <si>
    <t>Rosales, Miguel Hidalgo</t>
  </si>
  <si>
    <t>Miguel Hidalgo Rosales</t>
  </si>
  <si>
    <t>…ral, J ejecutada por el comandante de la columna D. Antonio María Por ta , como verá V. £. por el adjunto parte que este díó al primero de todo lo ocurrido. ■ Con este motivó, no puedo excusarme de recomendar á la piedad de S. M. D. Miguel Hidalgo Rosales, natural y vecino de la villa de Iznajar, pro i lós beneméritos defensores del trono de su augusta Hija que tuvieron parte vincia de Córdoba, y capitán de los Urbanos de dicha villa, ha acudido á «n este glorioso encuentro, y particularmente al expresado comandante Porta; S. M. la Reina Gobernadora…</t>
  </si>
  <si>
    <t>Rosamel</t>
  </si>
  <si>
    <t>…r su difunto ptdrecn aue:r- de v\x.:- vada hasta ahora por los que han mandado en aquella colonia? pendencia al ejeteito español ; y al propio tiempo se hi servido mundir S. M. ___ Al anunciar el Corsario ael Mediterráneo que el almirante Rosamel ha ^qye se te- dén las gracias en su Real nombre, publicándose en ia G.u.eta e»i.t | ido nombfido individuo del almirantazgo , elogia á este general que ha sido laudable mue»tra de desinterés y patrio!i--¡no. .Lunado á París pura que asista á las juntas de la comisión que ha de decidir de ia suerte…</t>
  </si>
  <si>
    <t>Rosas</t>
  </si>
  <si>
    <t>…cio Martínez Maestro, regidor l.° = Domingo salido triunfantes. De resultas de este encuentro ciertamente desgraciado se han Ortiz, regidor 2.°icCasimifo de Dueñas, "regidor 3.°=Juan de la'Vega, regí- . dirigido varios correos al general Rosas para que active y apresure su regreso. | dor 4s&lt;%=Francisco de Lunar y Villanoua, procurador síndico general.=Juan Hemos recibido estas noticias por el comercio de Rio-Janeiro.,,, (Courier.)’ Martin, procurador personer&lt;x=Juan Fontelos , diputado 2.°=rJosef Gómez de - Segun noticias de Veracruz el…</t>
  </si>
  <si>
    <t>Rosas, Juan Manuel</t>
  </si>
  <si>
    <t>Juan Manuel Rosas</t>
  </si>
  <si>
    <t>…nsertar reflexión» políticas. Mien PARTE NO OFICIAL. tras el jurado «taba viendo la causa del Restaurador, diario que el gobierno había acusado, empezó á alborotarse una gran parte del pueblo gritando nviva NOTICIAS EXTILANGERAS. D. Juan Manuel Rosas”, y pidiendo la destitución del ministerio. Habiendo ZUBIA. venido ¿Tas manos con las tropas del gobierno, multaron muchas desgracias de una parte y de otra, y la efervescencia era horrorosa. El general Pinedo «taba Petersburgo 14 de Diciembre, á la cabeza de los rebeldes, los cual» eran muchos en…</t>
  </si>
  <si>
    <t>Rosillo, Bartolomé</t>
  </si>
  <si>
    <t>Bartolomé Rosillo</t>
  </si>
  <si>
    <t>…inas é instrucción pública siguen conociendo de los asuntos de su res jgrastldte en oficio dc 2 del actual, participa que el teniente del mismo cuerpo pectiva competencia; pero los pueblos y autoridades especiales de cada ramo se D. Bartolomé Rosillo, sabedor que en el Mas de Sites se hallaban varios ca entenderán por mi conducro con aquellas superioridades. becillas, se dirigió desde Rosel á los Hostaleses con el objeto de sorprenderlos 5.° Todos los ayuntamientos de la provincia procurarán enterarse exacta á beneficio de una. contramarcha, y…</t>
  </si>
  <si>
    <t>Ross</t>
  </si>
  <si>
    <t>…su energía y hasta de su realidad muchos buques y colonos.” (Monitor?) por la superabundancia del espíritu democrático, y la preponderancia del órden material sobre el órden moral, que es la vida de las naciones. Sin embargo, El capitán Ross, el celebre ¿ intrépido navegante ingles . acaba de llegar á exmten , y sobrevivirán siempre á todo, principios superiores á las vicisitudes de Estokoimo: su Soberano le ha dado la comisión de entregar al Rey Cárlos los gobiernos y de las sociedades, que deben ser defendidos en todas las ocasio Jua…</t>
  </si>
  <si>
    <t>…nterior , cuan do S* S. estábil ausente. Tampoco creía que hubiese inconveniente en hacerlas, fkrríhen de Copenhague con fecha de 25 de Alare. y por tanto preguntaba si D. Fedro se había mostrado agradecido á la Ingla ^E! célebre capitán Ross ha estado aquí algunos días, r se dirige á Suecia terra y á las demas Potencias contratantes por el último convenio, y si (o había y Noruega con el objeto, secun se dice, de construir barcos c m madera de ratificado en todas sus partes ó no. Según los papeles públicos la ratificación se abeto. Aseg…</t>
  </si>
  <si>
    <t>…an la paz y la industria, y que están igualmente difundidas por todas las verificado bajo las órdenes del Emperador de Rusia, y en presencia del célebre clases de la sociedad. Espero que la divina Providencia continuará dispensán capitán Ross, y en que han figurado 18 navios de línea, 14 fragatas, 2 cordonos Su bendición. Creo que en toda circunstancia podré contar enteramente befas y muchos buques menores. Es ttn equivalente de las escuadras reunidas con vuestro celo y con vuestra fidelidad; y estoy persuadido de que con vues en el Med…</t>
  </si>
  <si>
    <t>…hay tres Estados en aquella república que ropea. son Vermont, Ohio y otro, en cuyas ciudades han determinado sus habitantes Mas para serfiel á esta vocación, sobre la cual estriba su fuerza , la Rusia que no se vendan licores. El capitán Ross y sus animosos compañeros estuvie h.a menester alimentar un comercio perpetuo con la civilización europea; no ron muchos meses en las regiones polares sin probar esta clase de bebidas, y no . puedp continuar siendo en el Oriente la victoriosa vanguardia de la Europa, por eso experimentaron ninguna in…</t>
  </si>
  <si>
    <t>…ola día en el ministerio de lo Interior, y han trabajado con él oficiales de lase- mente por pbjetp.el deseo de visitar los campamentos y las guarniciones, sino crctaría del despacho de Estado y del departamento de las Colonias. ¿Lord Ross- el de llevar adelante el plan ya dispuesto de fortificar mas y mas la línea de lyn y Mr. Herries han conferenciado con el duque por algunas horas en la se defensa, todavía imperfecta en este pais. El Demen, el Netha, forman una de cretaría de lo Interior. El público se entretiene hoy sobre si Mr. P…</t>
  </si>
  <si>
    <t>Rossi</t>
  </si>
  <si>
    <t>…ALIA. a 2. ° Que en su comunicación de 31 de Mayo ha tenido la de des conocer la autoridad de las Cámaras. Rama 13 de Agosto. 3. ° Que en su conducta ha pasado loa limito de sus deberes y violado la S. S. ha nombrado chambelán al Sr. Rossi, biblhátecarío de b galería Constitución federal. Borbon, de Nápoles. (Diario di Rama.) -Por esto» motivos el Congreso decreta tó siguiente: ” El Étado de S. Luis mira como ilegales todo* los actos públicos' del ——S, E. D. José Joaqu in de Rocha, enviado extraordinario y ministro ple Presidente, en…</t>
  </si>
  <si>
    <t>…ma, con su comitiva. Se apeó en la po vándose cuenta exacta de ellas, y dando conocimiento á este vireinato y capi sada dél Correo. tanía genefal- - 13. «Finalmente los párrocos y demas individuos del clero, los alcaldes, ____ La condesa Rossi (¿&gt;onta¿) ha cantado en una brillante reunión que ha sus tenientes y regidores, asi como los vecinos que se ausentaren de sus hoga tenido en su casa, en el Haya, eh donde su marido es encargado de Negocios res al aproximarse las tropas de S. M. la Reina nuestra Señora, sufrirán la de Prusia, Los mi…</t>
  </si>
  <si>
    <t>Rossley</t>
  </si>
  <si>
    <t>…del reino de Neerlandia, la presente declaración destinada á ser canby respondió secamente, que en semejante caso está autorizado para dar la or geada por otro acto semejante al de S. M. I., ha sido firmada por S. M. I. y den al almirante Rossley de apoderarse de la escuadra turca al instante que sa sellada con su sello. liese de los Dardanclos. 1 Dada en San Petersburgo 30 (18) de Junio de 1834-—Es copia auténtica. Elembajador ruso, según dicen,.disuadió al Gran Señor de su proyecto, = Bede Heeckéf en. =Es copia auténtica. = El secretario de…</t>
  </si>
  <si>
    <t>Rosslyn</t>
  </si>
  <si>
    <t>…sir Roberto Peel ha llegado, á talen. París; en este caso se le puede esperar en Londres mañana ó él lunes; La lana en bruto y en maca no paga nada; cL hilo de lana, cualquiera l ord Hill, sir Jl. Hardinge , lord Ellemboroug, el conde Rosslyn y el quesea/ teñido ó no, paga 6 talen; los tejfdos de lana, de lana y pelo de embajador de Prusía han visitado esta mañana (29) á lord Weürngton en la se otros animales, y mezclados con hiló, de lino, 20 talen. cretaria riel «misterio de lo Interior. El hierro y el acero no pagan nada; el hierro fun…</t>
  </si>
  <si>
    <t>Rota, Martínezde la</t>
  </si>
  <si>
    <t>Martínezde la Rota</t>
  </si>
  <si>
    <t>…do que si el proyecto volvía á la comisión para su más provincias de España no ha encontrado ecos la sedición».. ¡No se' puede «forma, se tuvieran presentes las ihsinuacioncs que acaba de hacer." llamar esto un nuevo desengaño! , Sr. Martínezde la Rota, Pre/idente del Cotuejo de Minie tros: «No El Sr. Presidente suspende la discusión en este acto, pero habiendo mani había pensado volver á hablar, supuesto que el señor que me ha precedido opi festado algunos señores que aun faltaban algunos por hablar, se leyó el vitar na.que el proyecto vuelva á…</t>
  </si>
  <si>
    <t>Rota, Mattinex de la</t>
  </si>
  <si>
    <t>Mattinex de la Rota</t>
  </si>
  <si>
    <t>…e visto' que el Estatuto Real se'consideraba como insuficiente ble de lo inútil que es para la felicidad de-loe pueblos k vana proclamación de parafsóstlener los derechos sociales dé los españoles, esos principios generales. “ SI Sr. Mattinex de la Rota i Me parece extraño que al acabar de ha Ya dije ayer que Mirabean, con tantas cualidades extraordinarias como blar él Sr. 'López haya querido S. S. que se pregunte &gt;s¡ el punto está suficiente defectos, con aquella especie de cabeza colosal, cuando sintió hundirse él trono mente discutido; porque r…</t>
  </si>
  <si>
    <t>Rotchsqxte</t>
  </si>
  <si>
    <t>…más circunstancias cfue conmoción en la city y en U lonja. Después que recibió el expreso en que se concurren en D. Pedro González Vallejo, Prúcer del reino, y obispo le llamaba inmediatamente á París, despachó un criado a! joven barón Rotchsqxte fue de Mallorca, he tenido á hien nombrarle vocal de la comi ehild que había ido á una partida de pesca, escribiéndole que cuidase de los sión creada por mi Real decreto de 4 de Enero de este año para negocios de la casa durante su ausencia. La opínion corriente esf que el banque formar un índice s…</t>
  </si>
  <si>
    <t>Rothschfld, Esterhazy y M</t>
  </si>
  <si>
    <t>Esterhazy y M Rothschfld</t>
  </si>
  <si>
    <t>…seos de mantener la paz de Europa en unión [ el firme juramento de 1$ nación. H difícil arte de reinar, haciendo felices i los con la Francia. (Sun.) pueblos, son las lecciones que tiene que aprender la augusta alumna en el re El príncipe Esterhazy y M. Rothschfld, cónsul general de Austria, han gazo maternal de V. M. Este dichoso consuelo lleva á colmo la gratitud de to tenido una larga conferencia con el príncipe de Talleyrand, después de U cual dos los españoles," y al fijarrla vista en los inmortales decretos con que V. M. ha salido en derechura para Bru…</t>
  </si>
  <si>
    <t>Rothschild</t>
  </si>
  <si>
    <t>…arece resucito con demasiada prontitud para que se crea que no tiene mas objero que pasearse. Su ausencia, á lo que se supone, no sera sino de ocho ó diez dias. (J irnts.) REALES DECRETOS. ----- Ta repentina salida para París del barón Rothschild ha causado alguna Atendiendo á la notoria ilustración y demás circunstancias cfue conmoción en la city y en U lonja. Después que recibió el expreso en que se concurren en D. Pedro González Vallejo, Prúcer del reino, y obispo le llamaba inmediatamente á París, despachó un criado a! joven barón Rotch…</t>
  </si>
  <si>
    <t>…afortunadamente estoy exento de estos res acaso vuelva hoy mismo. Ha dado en.su palacio audiencia á muchas personas petos abominables; y por otra parte me es sensible ver i los perversos vivir -de distinción, y eri particular al barón Rothschild y su hijo. La presencia de corroyendo el edificio social, y levantar el estandarte de sus reprobados trittit- ««fcte-hanqtfefo ;hsr‘hfeche' práúntir -que ^fetfitsba' dr un -nuevo"é'mpr¿«ffo{ pér» fos-sobre Üt minas de las familias que llegan á serobjetos de su*inunción#*.</t>
  </si>
  <si>
    <t>Rothschild, Mr</t>
  </si>
  <si>
    <t>Mr Rothschild</t>
  </si>
  <si>
    <t>…190 y5 Para Indias.............. 4°° a00 100 GACETA MADRID. ha salido pan el Real sirio de Windsor por invitación especial de SS. MM* ARTICULO DE OFICIO. allí y la Reina. el Rey S. M. la Reina nuestra Señora , su augusta Madre la Reina - —Mr. Rothschild ha dejado esta ciudad de resultas de un expreso que reciGobernadora ^ laSerrna. Sra. Infanta Doña María 'Luisa, continúan bió de P-dris, en que se le decía que inmediatamente se trasladase á aquella ca 8Ín novedad én su importante salud en el Real Sitio del Pardo. pital. Sus amigos íntimos han Jjec…</t>
  </si>
  <si>
    <t>RotÍT, Tjtíis</t>
  </si>
  <si>
    <t>Tjtíis RotÍT</t>
  </si>
  <si>
    <t>…própónga’y eleve a cbhbcrmiehtó( d.é Si lá planta 1 - reparando'db-la 'itj-fendepcáa de^Rénias -de Valtádélid «ioargo de r“~- . de tas.(lmW*®'4* ^ sección de ’Gráeiá y Jiisliciá del cÓnsejo ...A.xr nnr^Fir-l-lfln Wlr^í X'\:ÍTX íi D. Tjtíis RotÍT"l7lVtfZ GaTTinlvrío. I (íd.-).......' ;........................... ' • .TíOÜl.íít lfiííl ’b t ; .'GciJI GelestinO ---— resolviendo'quc por* esta vez: contin&amp;e la actual quinta á cargo del minÍter¡q^e Ja,GÍ.erj^,(^t)^„;. .. ; . :... gobernador de Zamora,! ragafia , Alcalde electo* de la villa del Pr…</t>
  </si>
  <si>
    <t>Roul</t>
  </si>
  <si>
    <t>…estas reflexiones de honor dos‘ macero* del ayuntamiento'y dos centinelas de la compañía de declara que no aprueba la minuta que presenta la comisión. granaderos del primer batallón de voluntarios de Isabel ii, habiendo perma El Sr. Roul juzga dignos de todo elogio al ministerio de 13 de Marzo y á necido sobre el tablado durante las tres noches dos bandas de músicos qne con su Ilustre presidente, porque á pesar de la agitación en que entonces se halla escogidas piezas animaban la alegria común. ban los partidos y de la divergencia…</t>
  </si>
  <si>
    <t>Roussíh</t>
  </si>
  <si>
    <t>…, tivos.” si se suprimen los impuesto-, indirectos e« decir las tres cuartas parles de Us remas públ-cas, se hará pesar todo el déjicit sobre k propiedad v la industria, ,__ ITn correo ha traído de Constantinopla la respuesta del almirante Roussíh arruinando una V otra. Si se contentan ustedes con disminuir !'&gt;s derechos eme ¿ los despachos que le anunciaban su nombramiento de ministro de Marina. tanto les irritan, r.óUí -e al mará la suerte ücl ouebio; y rece en, moderaEl almirante Romsin pide á S. M. le permita que conserve la embajada de…</t>
  </si>
  <si>
    <t>Roussin</t>
  </si>
  <si>
    <t>…klntata. El apuntamientó y alcalde mayor de_ la villa.de Brihuega. Toe papeles íraheeses que acabamos .de recibir no traen ninguna noticia El «yunfamiento de la ciudad de Bujalince. ,.t importante. Algunos de ellos afirman qqe el almirante Roussin ha rehusado el EÍ' ajúntamiento y piocUrtrfores general» de Brilla y jurisdicción de Cea, ministerio de Marina que se le había conferido en la últiqta combinación m&gt;y ,‘en lá provincia de León. - , nisterial. El gobierno dél Piamoute ha asociado un empréstito en Pata al ln^ *' El gobernador civil d…</t>
  </si>
  <si>
    <t>…s sociales de los miembros de un Estado, y las pe la política. Mucha sensación han producido el anuncio de mudanzas en el mi culiares de comercio, que apenas pueden señalarse ojras diferencias nisterio francés y la separación del almirante Roussin; se dice sin embargo que este último rehusará el ministerio de Marina que acaban de ofrecerle ; ique las nacidas de la celeridad, confianza y sencillez sobre que giran lo menos es indudable que su partida perjudicarla mucho al uurso de los ne las operaciones merCáWtiles. Y dirigida ya mi atención h…</t>
  </si>
  <si>
    <t>…y luego seguirá su vtage |rar MupicK . IAndres 5 de Setiembre. TJn'correó francés acaba de'pasar por. esta ciudad con dirección á Constan- Fondos públicos. Tres por 100 consolidados 90J, tinopla. Se dice que lleva órdenes para él almirante Roussin sobre la salida d« la escuadra de Tolon. (Ojuttd de AugtBurgoC) - El miércoles á las siete de la tarde salió S. M. de esta capital pan regre sar i Windsor. (Glóbe and Trsmller.) . BOIANPA. ____ El mismo dia emprendió su viage para el continente el barón Bulen*, nirHaya SO de Agosto. nátro de Prusia…</t>
  </si>
  <si>
    <t>…na asociación para defender la libertad de la prensa; de ma M. Porsil; ministro del Interior á M. Thiers; a M. Duchaicl ■ mi nera que cuando nacía una garantía, nacía al tnomemo cj/derecho, nistro del Comercio; y at vicealmirante barón Roussin, embaja de asociación como complemento y corolario del ^articuló' dor cerca de la súbame Puerta, ministro de la Marina y do las Co- -Carta que declaraba la garantía. Lo mismo ha sucediatrcón la 116' Íóníásí bertad individual y con el primero de todos los derechos constitu Con igual fecha ha sido no…</t>
  </si>
  <si>
    <t>…a mas que i M. Mágret, teniente dc'navio, - n17 Césarán las^cotriisiónes ’miHtart&amp;eñ todas las provincias del que manda el bergantín Dupetit-Touari, y el cúter Furet continúa en nano.; : 'V^n.' Constantinopla bajo las órdenes del almirante Roussin. (Carta particular.') y 2}:.’Lm cansas fieiiaieñtes en dichqs'comisiones pasarán á las an-r diencias respectiyas^ patia la . ultej-iorsustanciacion y consiguiente * ■ r ' imiA. ,. ;- f^lla.; en.gl eual.se^Ktyglaráa le» .jqeae»á Ips Reales decretos vigen- Pcteriburgo 25 de Junio. v&gt;í iv.n ... '■ Rl F…</t>
  </si>
  <si>
    <t>Roussio</t>
  </si>
  <si>
    <t>…egsjcipnias^e dé conocimiento a los administradores de Cru gios del Sultán, y en los salones de Pera se Jvabla con grande énfasis de sus zada de los comisionados que nombraren para que puedan entender- magnánimos sentimientos. El almirante Roussio. está mucho mas obsequioso respecto de la Puerta; stí'COft ellos érí lívféláfivo al rárriodfe que están encargados; por cuyo y aun parece haber declarado, que si Mchcmet-AK no arreglaba las cosas pron rnpdip se^qjnsigue. el objeto de Ja Real orden de 6 de Noviembre de to , y ocurrían nuevos disturbi…</t>
  </si>
  <si>
    <t>Roviralta, Ag Set José</t>
  </si>
  <si>
    <t>Ag Set José Roviralta</t>
  </si>
  <si>
    <t>…s cuerpos y personas, pu 4 i 6 Setiembre. 18 00 00 dientes i que contribuyesen con lo que les fuese dable ¿ mejorar la Suerte da 4 4 7 ídem......... 00 00 00 los enfermos necesitados: elogia y recomienda el celo y caridad con que Don 30- Ag- 4 7 Set.. 12 7 3 José Roviralta, profesor de medicina en Barcelona, se había ofrecido-desde Torrente. 1 i 4 Setiembre. 8 3 2 los primeros dias que se manifestó la enfermedad en Tarragona á asistir gratis PROVINCIA DE LEON. 4 los pobres, cuya oferta había realizado en el puerto de dicha ciudad, visitando 4 todos los que habían sid…</t>
  </si>
  <si>
    <t>Rowlcy</t>
  </si>
  <si>
    <t>…formidad de los principios adoptados por regla ge ____¿abemos por conduelo de Italia que una división de nuestra neral , los presidentes de los ayuntamientos presidirán las juntas de escuadra en el Mediterráneo, bajo el mando del almirante Rowlcy, los establecimientos locales de beneficencia, y los subdelegados las se dirige al puerto de Nápoles, aunque ignoramos su objeto. (Sun.) de los establecimientos provinciales, cediéndoles siempre el asien FRANCIA. to preferente en el caso de que alguna vez juzguen útil asistir á los i locales. París…</t>
  </si>
  <si>
    <t>Royer</t>
  </si>
  <si>
    <t>…os de que los gastos se han hecho, y que no fue posible, alterar, por ello las relaciones con la Confederación germánica que La constitu- preverlos. "cíonha respetado. De este respeto ha dado una prueba reciente el Congreso na El Sr. Royer abunda en esta Opinión,y pide que no se concedan los 93J3: cional, accediendo á la mas* estricta interpretación del convenio militar de 20 francos que se-dicen invertidos en gastos de estado» mayores. de Mayo; y aunque el espíritu conciliador que nos ha guiado no ha producido El Sr. Pelet sostiene…</t>
  </si>
  <si>
    <t>Royer-Collard, M</t>
  </si>
  <si>
    <t>M Royer-Collard</t>
  </si>
  <si>
    <t>…los de Eu dependencia y virtud de sus miembros.” (D. de los Debates?) ropa y la America del norte en el de ocho meses , que empezarán á contarse V * desde la publicación del presente decreto. —i-- - Después de haber sido elegido diputado M. Royer-Collard, hizo el si 6. ° «Quedan entre tanto vigentes las disposiciones decretadas en 10 de Di guiente discurso á los electores de Vttry-ie-Franqais. ciembre , y se aplicarán á todos ios buques que se hallen en el caso previsto por Señores: «Vuestra perseverancia en elegirme penetra hasta lo ma? íntimo el…</t>
  </si>
  <si>
    <t>Royo, Blas</t>
  </si>
  <si>
    <t>Blas Royo</t>
  </si>
  <si>
    <t>…i marcha , evitando la recta dirección par* D. Miguel Cormano, D Marcelo Fregenal, D. Ramón Aguirre , teniente del ocultar mejor el designio, s;n embargo de ia» dificultades que ofrecía U ocuReal xuerpp de artillería , y teniente D. Blas Royo: del, brigadier barón de ridad y un terreno t,n montañoso y quebrado: ai amanecer de hoy me encon Meer, de los coroneles D. Tomas de Yat'to , D. Joaquín Bayona, D. Bruno traba va sobre Urigoiti , que hu.e circunvalar á la d.rtancia competente por las Alftiz, D. Francisco Javier Ezpcleta,y del tenie…</t>
  </si>
  <si>
    <t>…N. -------- ro. Francisco León, Ídem. Manuel Conejo, idem. Manuel Germán, idem. Excedentes^rCoronel D. Manuel Gurrea, gefe de la 2.a brigada de caba— Avisa su gobernador civil «i oficio de 8 deJ actual, que desde 3 i 6 del Hería. D. Blas Royo, adicto á la plana mayor, subteniente. mismo habian curado en Porcuna 17 personas, falleciendo 32, sin que en loa D. VictorianojMmilla, comisario de guerra. demás pueblos de la provincia ocurriese novedad Lerin 8 de Noviembre de 1834-=Lopez. JPROVtNClA DE SEVILLA* Zumalacarregui, después de la acci…</t>
  </si>
  <si>
    <t>Royo, D Blas</t>
  </si>
  <si>
    <t>D Blas Royo</t>
  </si>
  <si>
    <t>…rifique mi marcha , evitando la recta dirección par* D. Miguel Cormano, D Marcelo Fregenal, D. Ramón Aguirre , teniente del ocultar mejor el designio, s;n embargo de ia» dificultades que ofrecía U ocuReal xuerpp de artillería , y teniente D. Blas Royo: del, brigadier barón de ridad y un terreno t,n montañoso y quebrado: ai amanecer de hoy me encon Meer, de los coroneles D. Tomas de Yat'to , D. Joaquín Bayona, D. Bruno traba va sobre Urigoiti , que hu.e circunvalar á la d.rtancia competente por las Alftiz, D. Francisco Javier Ezpcleta,y del tenie…</t>
  </si>
  <si>
    <t>Rozas, D Juan Ranero y</t>
  </si>
  <si>
    <t>D Juan Ranero y Rozas</t>
  </si>
  <si>
    <t>…rrBrigadier gefe de las- «M reino. La 1.a brigada barón de Moer, del 4»°- regimiento de la Guardia Real; el gefe de la 2.a brigada, coronel D. Francisco Ocaña, del 6.° ligero; y del 4_° regi ^ Con el mismo objeto ha consignado el Sr. D. Juan Ranero y Rozas, co miento de la Guardia Real de infantería, el primer comandante D. Bruno lector general de Espolios y Vacantes-, 4^ rs» de manifestando al mismo Alaiz; los capitanes D. Juan de Dios LasaU y D. José Obrera ; los tenien tiempo cuánto siente que la escasez de fondos que sufre la colecturía general t…</t>
  </si>
  <si>
    <t>Rozas, Juan Ranero y</t>
  </si>
  <si>
    <t>Juan Ranero y Rozas</t>
  </si>
  <si>
    <t>…igadier gefe de las- «M reino. La 1.a brigada barón de Moer, del 4»°- regimiento de la Guardia Real; el gefe de la 2.a brigada, coronel D. Francisco Ocaña, del 6.° ligero; y del 4_° regi ^ Con el mismo objeto ha consignado el Sr. D. Juan Ranero y Rozas, co miento de la Guardia Real de infantería, el primer comandante D. Bruno lector general de Espolios y Vacantes-, 4^ rs» de manifestando al mismo Alaiz; los capitanes D. Juan de Dios LasaU y D. José Obrera ; los tenien tiempo cuánto siente que la escasez de fondos que sufre la colecturía general t…</t>
  </si>
  <si>
    <t>Rpl, Cárlos</t>
  </si>
  <si>
    <t>Cárlos Rpl</t>
  </si>
  <si>
    <t>…la discusión , y con este motivo pide la R u ba lea dos. = Manuel Cuenca. = José Antonio Alvarez.= Antonio Lo- palabra M. D’Argenson para que no se proceda i la votación. Después de mu zano.=Fernando Lucena,=Francisco Fernandez y Conde. =Cárlos Rpl- chas voces en un sentido y en otro, habla este orador contra diversas propor dan.=Mamiel Manía Perez y Hernandez.=José María Castilla.= Juan ciones de los ministros, y contra la conducta del de Justicia , que desde la tri Bautista Melendez. = Domingo López. =Por Ecija, Jorge Paybal Sa- buna ha reve…</t>
  </si>
  <si>
    <t>RqdárwiU, Elisa</t>
  </si>
  <si>
    <t>Elisa RqdárwiU</t>
  </si>
  <si>
    <t>…rlín 10 de Octubre. „ las noticias é investigaciones útiles. Además» antes que el arte de imprimir - - • ' "-■* # y. - ■ ■ - ■■■ -i -■ ■ fuese conocido, en aquellas bibliotecas era comunmente donde se hallaban las La muerte de la princesa Elisa RqdárwiU hainserrmpáJo lasAUversío- personas que eran capaces de trascribir con corrección las obras de los escrito ¿es y los placeres de Ppstdam. Esta princesa , ademas de ser pariente muy res eminentes. De éste modo le multiplicaban las copias , y solo en esto® liceos 4ÉfiÉiuaKtf*J&amp; era tum^or^anriga yisc…</t>
  </si>
  <si>
    <t>Rqssel</t>
  </si>
  <si>
    <t>…a vf control, 3500; dnque de Ráchmon'cf, diredtor gene dichas escudaisehailaban reunidos en número de 1500 de la clase de artesanos. ral de correos, 2500; IprdjHolland ..canciller del ducado de Lansaster; 3563; . ■ ... \ 3.'- . „ lord Rqssel, pagador del ejército;,.29: lord Liuleton, primer setarefario de-ir_La entrega de la bandera de honor, bordada por la Reina, á la sociedad^ landa , 550¡1: Mr. Klüce, ministro de la Guerra, 2580; lord Hill, comandar de la Gresstde armonía, se verificará luego que SS. MM- vuelvan de Ostende. le en ge…</t>
  </si>
  <si>
    <t>Rróccr</t>
  </si>
  <si>
    <t>…uestas de ilustres Próceres, que reúnen unos conocimientos lo* y que se 1c obligarla i la devolución de las fincas ó el capital y sus' réditos* mas sólidos y elevados, á una elocuencia admirable, para presentar las razone? Quo el Sr. Rróccr que le había precedido no había podido menos de reconocer* en que se han apoyado; sin embargo, esta* no son para mí de tanta fueiza qué el principio de ltí aééólúcion, cOtñ’ó'el pago dé intereses devengados' , difiriendo' destruyan la idea qué he formado de que con este proyecto van á causarle peo…</t>
  </si>
  <si>
    <t>Rrtaherrera</t>
  </si>
  <si>
    <t>…isión ción que se indica en ella es ridiculísimo, porque no recae sobre ningún ante de lo Interior, si el Estamento lo9tenia á bien, pasará ¿ ella. cedente; bien sé que no es el Sr. Presidente quien puede remediar esto: que es El Sr. Rrtaherrera: «Se trata de una exacción para un camino público. el Sr. Presidente del Consejo de Ministros, porque la Gaceta es oficial, y los Esto debe pasar al Gobierno, el cual podrá decir si se debe continuar ó no taquígrafos se pagan por el Estado. Yo pido, pues, que no se siga en estos dicha, exacción- No…</t>
  </si>
  <si>
    <t>Rs, Valentin Alvarez y Don</t>
  </si>
  <si>
    <t>Valentin Alvarez y Don Rs</t>
  </si>
  <si>
    <t>…plazas de médicos de nú y meneJterosos.de esta capital con motivo de las enfermedades que se pa-&gt; mero de los Reales hospitales de esta corte D. Antonio Sirven! y D. Andrés decen. •„ Melendez; y en las dé cirujanos de los mismos D. Valentin Alvarez y Don Rs. vn. Miguel Sacristán. D. M. de R............................................................................................ 60 D. León Ponce....................................................................................... 20 Excmo. Sr. duque de Gor............................................…</t>
  </si>
  <si>
    <t>Rsjiía, Antonio Ordoñez Exposición S M la</t>
  </si>
  <si>
    <t>Antonio Ordoñez Exposición S M la Rsjiía</t>
  </si>
  <si>
    <t>…onferir el go tanzas y Enero 26 de 1834- =Señora. = A L R. P. de V. M. = Francisco bierno militar y político de la plaza del Ferrol al coronel D. Sebas íjarvaez. tian de la Cuesta, y el de la plaza de Santoña al de la misma clase D. Antonio Ordoñez. Exposición &amp; S. M. la Rsjiía Gobernadora. PARTE INO OFICIAL. Señora: El gobernador de vuestra siempre fiel ciudad de Matanzas puede NOTICIAS EXTRANGERASotra vez con molivos plausibles prosternarse á L. R. P. de V. M. y dar nueva expresión á los sentimientos patrióticos de su alma reconocida. Los últimos impresos recibidos de e…</t>
  </si>
  <si>
    <t>Rtinhart</t>
  </si>
  <si>
    <t>…realizará farde ó temprano. presentó á los diversos individuos de la academia, de que es socio correspon «¿Se ha querido que el gobierno obtenga el lauro de la iniciativa! En la diente. Lord Brougham tomó asiento á la derecha del conde Rtinhart, vice contestación al discurso del trono no se ha hablado de amnistía; solo se ha presidente. Mr. Berengex leyó en seguida un análisis de la Historia de la enunciado que cony¿ndr"$ hubiese reconciliación. Uña Cámara francesa,.pres Constitución de Inglaterra, por tíallatn. Después de esta lectura, q…</t>
  </si>
  <si>
    <t>Rtúriz</t>
  </si>
  <si>
    <t>…nos vemos obligados a hacer. Me nes tomadas para hacerlas efectivas y mayores. Asi pues en vez de sci el déficit parece que ¿ poco que reflexione S. S., se conformará con mi opin-ion; pero si de mas de 200 millones, como cree el Sr. Rtúriz, está reducido á solo 62f*que asi no fuere , S. S. se quedará con la suya , v yo con la mu. cree el Gobierno se cubrirán, ya por las medidas dichas, ya por la aplicación «Ha citado S. S. el ejemplo de la Constitución, que siempre es aplicable y del residuo del empréstito que se ha pedido al Estamen…</t>
  </si>
  <si>
    <t>Rúa, Miguel</t>
  </si>
  <si>
    <t>Miguel Rúa</t>
  </si>
  <si>
    <t>…lecidos últimamente , y quitada- chez y D.. Ramón Tajonera; en trigonometría esférica D. Jo&gt;é Ruibal, D. An la monstruosidad de que AI monte, que está á un extremo de la provincia, de gel Hernando, D. Francisco Vrliamil, j dichos D. Miguel Rúa, D. Gervasio pendiese de Ayamonte , que está al opuesto en este ramo. En su virtud , siendo Araujo, D. Pablo Carcafio, D. Andrés de Castro, D. Pedro y D. Robustta— tejs los partidos judiciales de estacha sido la distribución muy fácil y sencilla, no Pequeño, D. José Sánchez y D. Ramón Tajontfta: en…</t>
  </si>
  <si>
    <t>Ruano, Juan María</t>
  </si>
  <si>
    <t>Juan María Ruano</t>
  </si>
  <si>
    <t>…Andeiro y Aldao , alcalde del crimen de Tartarbazarzick, pero se cree que en ambos pueblos el descontento ha pro de la de Barcelona. venido de la organización de la milicia* {Sdettsagero.) Por otro de la misma fecha se exonera á D. Juan María Ruano y á D. Joaquín de Zengotita de las plazas de oidores que servían en RUSIA. la audiencia de Vaiiadolid. Riga 22 de Julio. Por otro de la misma fecha se nombra para la plaza de oidor áe la audiencia de Extremadura, vacante por traslación de D. José El ministro de Hacienda anuncia que para facilitar el…</t>
  </si>
  <si>
    <t>RubielOs, Fer</t>
  </si>
  <si>
    <t>Fer RubielOs</t>
  </si>
  <si>
    <t>…amieñrp ¡dé), ^ unas solemnes exequias que se verificaron el rí^dd^coF-ncnte cr. dicha iglesia, Rota.' (el comandante dé amias y todos los militares residentes en) como un tributo de expiación y de buena memoria á las cenizas del Rey Fer RubielOs. (el ayuntamiento de) nando. Rueda del Almírante. (él corregidor y ajrunMtJáiente de) ‘ Con el objeto de que estas honran fuesen dignas de la Real Persona á quien Sántí Marta de Ort{guetra. (él presidente y concejales de) se dedicaban, fue consultado el Sr. Solé, director de Jos alumnos de bellas ar…</t>
  </si>
  <si>
    <t>Rubín, Amero</t>
  </si>
  <si>
    <t>Amero Rubín</t>
  </si>
  <si>
    <t>…ntalones, capotes, corbatas y hachas de zapadores, de interinos para la vara de la villa de Belmonte á D. Manuel Sita pero en muy corto número, y todo en malísimo estado ds servicios »¡n em res Valdés: para la de Gangas de Oats á D. Amero Rubín; para la bargo se ha recogido. ~ de Cangas de Tineo á D. Pedro Pidal: para la de Grandas de Salime • á D. Manuel Queipo de Llano: para la de Llanes á D. Bernardo ____El ] O condujeron los gendarmas desde Sara un soldado faccioso qqn Sande: para la de Luarca á D. Francisco de Paula Salas y Bauyo: ha…</t>
  </si>
  <si>
    <t>Rubio, D Paulino</t>
  </si>
  <si>
    <t>D Paulino Rubio</t>
  </si>
  <si>
    <t>…llegada á él, cuya casualidad me ha privado de Bayona , 00. •.Hcaotr a corto pla ! Corulla $ d. | Valencia par. wOncluir hoy con todos sus individuos. Burdeos, 00. zo par. (Granada i-i id. Zaragoza j á I d. Sin embargo de esto el teniente D. Paulino Rubio, del regimiento de ca Hamt urgo, 00. Barcelona i pesos fs. Málaga 4 4 J b. Descuento de letras par. b. Santander ; a i 4 yo día* ¿ 4 p. 100 al año.bal) ena de Borbon , á quien he destacado con 2ü hombres para perseguir a una Lóodres par. Bilbao d. Santiago i 37 ;•partida i^ue se hallaba recogiendo…</t>
  </si>
  <si>
    <t>…e acaba de llegar i ésta ciudad, ha escrito al National de I^orbon, á otro que iba con él;el sargento 2.° Lucas Fernandez, al cabecilla para desmentir .las noticias que los carlistas suponen que ha dado sobre la mala Peregil-, el teniente D. Paulino Rubio y el alférez D. Pedro Eced por su par situación de los negocios de la Reina en Navarra. «Jamas, dice el coronel Ca- te persiguieron á tres y les hicieron pagar su crimen. En fin, Excmo. Sr., el radoc, he dejado de tributar el mas justo y entero homenage 1 los talentos mi resultado ha sido no haberse…</t>
  </si>
  <si>
    <t>Rubio, D Pedro María</t>
  </si>
  <si>
    <t>D Pedro María Rubio</t>
  </si>
  <si>
    <t>…ual efecto en ellos que en ¡os puebio, último se mandó que la junta remitiera el original y en 23 de Julio último infestados; porque, coma ha mdicido oportunamente el Sr. Secretario del I, - lo remitió la junta, y se comisionó al profesor D- Pedro María Rubio (uno terior, no hibrá ninguna ley, no habrá fuerza humana que obligue á los pue de los comisionados indicados para observar la enfermedad en pais extrangeto ) blos no invadidos del mil á que se comuniquen con ios demás, mientras c &gt; para que corrigiera las pruebas. estén bien convencidos de que no…</t>
  </si>
  <si>
    <t>Rubio, Francisco</t>
  </si>
  <si>
    <t>Francisco Rubio</t>
  </si>
  <si>
    <t>…on matar algunos facciosos y capturar otros, contribuyendo á tiro. Por la izquierda destaqué una guerriHa con el sargento 2-° D. Luis de de este modo á la destrucción de aquella gavilla. Quintas ai mando del subteniente ilimitado D. Francisco Rubio con la mis ma orden, y por la derecha al capitán ilimitado D. Francisco Mediavilla y al Madrid 2B dt Abril. teniente retirado D. Juan José del Arenal, siguiendo yo con el subteniente .Don José del Busto y los sargentos segundos D. Elias Alvarez, D. Félix ^ionF.n celebridad del cumpleaños de S. M. l…</t>
  </si>
  <si>
    <t>Rubio, José López</t>
  </si>
  <si>
    <t>José López Rubio</t>
  </si>
  <si>
    <t>…alio de Arias y dé D. Joaquín María Perez Quintana, la formación de un re Para las dos de supernumerario de Sevilla á D- Francisco de Paula Alva glamento general de sociedades, en el que se fijen de un modo preciso los lími rez y D. José López Rubio; y para pna de la misma clase de Valencia á Don tes de sus atribuciones, y los medios que la experiencia haya dado á conocer Bernardo Falcó. como mas eficaces para desempeñarlas con frutoteniendo presentes la comi sión para el desémpeño de su encargo los primeros estatutos y los que en la Conformán…</t>
  </si>
  <si>
    <t>Rubio, Paulino</t>
  </si>
  <si>
    <t>Paulino Rubio</t>
  </si>
  <si>
    <t>…él, cuya casualidad me ha privado de Bayona , 00. •.Hcaotr a corto pla ! Corulla $ d. | Valencia par. wOncluir hoy con todos sus individuos. Burdeos, 00. zo par. (Granada i-i id. Zaragoza j á I d. Sin embargo de esto el teniente D. Paulino Rubio, del regimiento de ca Hamt urgo, 00. Barcelona i pesos fs. Málaga 4 4 J b. Descuento de letras par. b. Santander ; a i 4 yo día* ¿ 4 p. 100 al año.bal) ena de Borbon , á quien he destacado con 2ü hombres para perseguir a una Lóodres par. Bilbao d. Santiago i 37 ;•partida i^ue se hallaba recogiendo…</t>
  </si>
  <si>
    <t>…llegar á Bueña hice que la infantería y los fusileros de Teruel toma medad hereditaria en su familia. sen las alturas al mando de su oficial, mientras yo cera 15 caballos, al mando del teniente del regimiento caballería de Borbon D. Paulino Rubio, me drri— rSLAvciA. gia por un barranco i salir á la paridera; no bien la había descubierto, vi ta facción en número de ocho caballos y seis infantes: cargué sobre ellos, y tuve JParis 11 de Setiembre. la satisfacción de derribar al cabecilla Troñes-, mi ordenanza Venancio Sánchez^ El . cargad Cara…</t>
  </si>
  <si>
    <t>Rubio, Pedro María</t>
  </si>
  <si>
    <t>Pedro María Rubio</t>
  </si>
  <si>
    <t>…itares y patriotas que murieron en defensa de la justa causa en la guerra de Según oficio que con fecha de ayer 29 remite el profesor comisionado en la independencia, inclusas las de las víctimas del 2 de Mayode 1808 cu esta Mora D. Pedro María Rubio, la epidemia sigue su período ascendente en corte; en el concepto de que pasado dicho término no se dará curso á las que aquella villa, pero siempre con la misma benignidad; y acompaña el estado Sa se presenten, perdiendo las interesadas el derecho á aquella gracia. Las instan nitario da la poblaci…</t>
  </si>
  <si>
    <t>…sus compañías, motivo no de lo que pbserve, tanto en aquélla ciudad como en1 los pueblos de] tránsr- por el cual fueron reforzadas y relevadas la mayor parte de las guerrillas fac tb^sí cn pfguncrlibtiíesé motivo de sospecha; que D. Pedro María Rubio, pro ciosas desde las alturas de Gogordoñá; pero el bizarro comandante -lñifrrigarro, fesor también1 dé *medícióa, pasase á observar y asistirlos pasageros que se ha prolongándose y subiendo continuamente por el flanco derecho, derla-facción, llaren detenidos por el alcalde mayor de Ocaña en cumpli…</t>
  </si>
  <si>
    <t>…que Arroyo co°ntinuaba su sistema al campo del honor. da rapiña. _______ SOLIA D8 ooJtBacio. Cotización dt hoy á las tres dt la tardt¡ En el ministerio de lo Interior se ha recibido hoy el parte siguiente del profesor de medicina D. Pedro María Rubio , comisionado de órden de S. M. EFECTOS FVSLICOS. •O la villa de Mora. Inscripciones en el1 gran libro k i p. 100, 68 al Conrado. »Excmo. Sr.: Calmada ya la inquietud y alarma que[produjeron en el áni Títulos al portador del Ip. 100, o7¿ y 68f al contado: 68 k 11 i. t. 6 val* á 4 p* 100» Inscripcio…</t>
  </si>
  <si>
    <t>…habia aprehendido, remitiendo las sumarias formadas á ambos, Sitio de la Isabela la comodidad'de hacer mas pronto y agradable su- viage, . para-qu* con arreglo ¿susméritos fuesen destinados. Dios Sol.” * 'ET profesor dé medicina D. Pedro María Rubio; comisionado de Real ór- ANUNCIOS. ' dén'éri la villa de Mora, ha remittdb'al ministerio dt lo Interior el parte si- Monteekl éCapullettl 4pera serla en dos actos, puesta en música.por rUsnáotto gióehte: '• ---j - ^ Bellínl. arrestada para piano fortesolo i. 70 rs. Cavvtio»_Sc'Jlatwe0&lt;l'vsfJjr.an.J…</t>
  </si>
  <si>
    <t>…Urbanos, de la 1.a y 2.a compañía de este batallón y 28 soldados del provincial de Betanzos en persecución .de los criminales, y reconocidas las breñas del Elguera, las Deshechas, el Güero, Ojón, Jas Uru— El profesor de medicina D. Pedro María Rubio, comisionado de Real órnías', Limada y la cordillera de montes que confinan con las Estacas de True— den en la villa de Mora,ha dirigido al Sr. Secretario del Despacho de lo Inte rior el' parte siguiente: ba, me reuní con las partidas de Urbanos que flanqueaban los anteriores bos-&gt; ques en el punto…</t>
  </si>
  <si>
    <t>…mero de, heridos y cogido un prisionero, tres caballerías con las mon esta villa. Dios guarde ¿ V. Jy. muchos: años. Mora 2(4 dp Junio del834*:= turas y todas sus armas de fuego, 10 sables y espadas, 14 cananas y cartuche Exorno. Sr.=Pedro María Rubio. neExcmo. Sr. Secretario. de Estado y dd ras y otros muchos efectos dé equipo, lo bastante para cargar 3 caballerías ma Despacho de ío Interior.” ' . yores , sin que por nuestra parte haya habido mas desgracia que la de ser heri El estado que se cita está concebido en los términos siguientes, . ; do…</t>
  </si>
  <si>
    <t>…pechosos: • ‘ *' ' dé ata misma parte trata de la mejora dé las lanas finas, dé la cti» caballar, provincia dé toísdo. - .._&gt; dél plantío de arbolados y de otras cuestiones de economía rural ,'engran ma- , El profesor de medicina D. Pedro María Rubio, dice con fecha 28 del ñera interoantes, pero cuya análisis seria demasiada hííntelargal * : actual desde la villa de Morí, qbe continuaba creciendo el número de invadidos, La 3.a nota de la parte 3.a contiene ui&gt; largo articuló sobre la cáucidad pero que la enfermedad conservaba el carácter benign…</t>
  </si>
  <si>
    <t>Rudiger</t>
  </si>
  <si>
    <t>…vares hizo algiinas breves reflexiones aprobando en ge ——Una carta del 14 del corriente de Berlín dice: Noticias de Varsovia anun neral el proyecto, exponiendo sin embargo algunas razones para demostrar qué cian que el cuerpo del general Rudiger, acantonado hasta aquí en el Palati- seria conveniente alterar en algo el artículo 3.°, á fin de que quedase mas cla nado de Lublin, ha recibido orden de moverse hacia la Podolia, mientras que ro; y proponiendo que hechas por la comisión las alteraciones que acababa de las tropas del Norte de/Líthu…</t>
  </si>
  <si>
    <t>…Calatrava, 4 ficciosos danzas en los acantonamientos acostumbrados de los diversos cuerpos, y se re* de caballería pertenecientes á dicha gavilla, y apoderándose de cuantos efectos concentran fuerzas'hacia el Bug. La división del general Rudiger tiene orden traían, distinguiéndose eri esta acción los soldados del provincial de Córdoba; de salir del palátinado de Lublin: por todas partes caminan tropas dirigiéndo los del 3.° ligero , y eLUrbano de caballería José Muñoz, á quien recomienda á se al Sur. En la Moldavia y Ja Valaquia se prepara…</t>
  </si>
  <si>
    <t>Ruego</t>
  </si>
  <si>
    <t>…garon á hacerlo los repetidos toques de retirada; mas deseo vivamen sus heridas. te,’que solo i» sírva de recompensa el haber acertado justa y hotoriamente á merecerla. Regimiento de tiradores de Isabel ii.zrD. Bernardo Echalecu, teniente «Ruego a V. E. que eleve este parte al Real conocimiento de S. M., in- de la L* compañía, herido levemente; Miguel Redin, tirador de la misma tluyendo á V. E. igualmente el parte original que recibo dsL teniente coronel compañía, herido gravemente; Serapio Redin, ídem de Ídem, herido leve «Comandante de e…</t>
  </si>
  <si>
    <t>Ruego, Giraud</t>
  </si>
  <si>
    <t>Giraud Ruego</t>
  </si>
  <si>
    <t>…é la Dieta germánica. la nación. \Ca prisión dé $1. Hanno ha hecho mucha sensación en el congreso de Bél- La Cámara accede á lo que desea el Sr. Giraud. gjcar.yuarobasi Cámaras han enyiadq mensajes al Rey sobre este grave aconte- Sr. Giraud. Ruego á la Cámara disimule que por incidencia me presente cimiento^ S. M. ha contestado al del Senado en estos términos: »Recibo con. en esta tribuna.... La cuestión superior a todas es la de orden público que-tai» satisfacción este nuevo testimonió del patriotismo del Senado, y no esperaba gravemente co…</t>
  </si>
  <si>
    <t>Ruego, Miguel Polo</t>
  </si>
  <si>
    <t>Miguel Polo Ruego</t>
  </si>
  <si>
    <t>…atria, y ai Go dará qué una administración sábia y económica, con la coocurrencia y ayuda bierno el evitar que fuese tanto dinero á sus enemigos.” de las Córtes , no hará mejoras bastante considerables, y suficientes para aten HL Sr. Miguel Polo• «Ruego al Estamento tenga la indulgencia de oir der á este pequeño aumento del déficit! ¡A cuánto asciende! solo á 120 mi por un momento las cortas, reflexiones qua me propongo hacer. No sé qué ra llones. Y ¡ reconoxcrémos por inmejorable el quinquenio de 829 ó 833 , y el zones haya tenido la comisión par…</t>
  </si>
  <si>
    <t>Rúei</t>
  </si>
  <si>
    <t>…o¿ lo taavifo v IX Joaquin Vihillongaj'los alféreces de la guardia-real provincial, to que se conservará sin alteraciori U tranquilidad púbit^ de Cita p roe uncía.D. Ángel Arcilla y IX Rafael Requejo, el brigada del propio cuerpo Don Rúei^o a V. K. se sirva hacer presente á S M. Irte buenos servicios, acti Francisco León y los sargentos del mismo IX Jn*e Franco, Jo*e Martínez, I Do vidad v zelo del teniente coronel LX Antonio Valdcrnuru, no solo en esta ccamingo Calvera, y los de igual clase de la guardia de infantería D. José Barru…</t>
  </si>
  <si>
    <t>Ruevra, José Ramón</t>
  </si>
  <si>
    <t>José Ramón Ruevra</t>
  </si>
  <si>
    <t>…a de ayer , columna 6.*, línea 61, donde dice p. Palito ¡areno y Mir/tIHa. léase 13. Pablo Torrtnl y MiralHi: y en la misma columna , linea 8J, Se está organizando en aquella capital la 4.a compañía de infantería de la donde dice D. José Ramón Ruevra, Ié*ae V. José Ramón ¡Hetera. EN LA IMPRENTA REAL,</t>
  </si>
  <si>
    <t>Ruft, Witliam</t>
  </si>
  <si>
    <t>Witliam Ruft</t>
  </si>
  <si>
    <t>…a María Cr»*- tina ue Borbon. Santiago de Cuba 30 de Enero de 1834* = José Santo* do , El Correo ingles del 13 contiene las noticias siguientes de Portugal en la Hcra. posdata escrita á las tres y media: "El Lightnine hi traído á lord Witliam Ruft&amp;el y su comitiva. Había salido de LUboa el 2/, en cuyo dia se recibió alk la noticia de que Valencia de Miño se había entregado al almirante NapieV; U Madrid 30 de Abril» guarnición compuesta de 700 hombres te había pasado al almirante. Sé haba resuelto dar inmediatamente un ataque contra Santarem;…</t>
  </si>
  <si>
    <t>Rui, Ambrosio</t>
  </si>
  <si>
    <t>Ambrosio Rui</t>
  </si>
  <si>
    <t>…su mayo* Según parte de 12 del actual , en su capital no se había alterado la salud lustre. pública ; en Jerez se cantó el Te Dcum el día 10 con motivo de haber desa ——Historia de Pollbto Megalopolitano, traducida del griego por D. Ambrosio Rui— parecido enteramente el cólera, hadándose en igual caso la villa de Grazale- Bamba. Tres tomos en 4*°» edición de 1788, á 36 rs. rauta, ¡fi rústica y 57 pasta co ma: en Sanlúcar de Barrameda , Chipiona, Jimena , Ubrique y demas pueblos mún. No escribió Polibio para ostentar su talento, sino para d…</t>
  </si>
  <si>
    <t>Rui-Bamba</t>
  </si>
  <si>
    <t>…dades, refiriendo lo que hizo cada cuerpo» y Espejo había disminuido mucho el número de muertos;, y finalmente que en la exponiendo las causas de su derrota ó vencimiento. La traducción es fiel y exacta, y para ella ha seguido el Señor Rui-Bamba la que en 1764 biso Juan Pablo Krauss.capital j en Lucena, en Palma del Rio seguía la Enfermedad su curso ordinario. Los suscriptores á la )Minerva de la juventud, acudirán k recoger el cuaderno nú provincia de gravada. mero 12 de dich* obra, que contiene la'descripcion de la Real armería, con una lám…</t>
  </si>
  <si>
    <t>Ruibal, José</t>
  </si>
  <si>
    <t>José Ruibal</t>
  </si>
  <si>
    <t>…mografía Don poniendo al cuidado de la subdelegaron de Ayamonte los pueblos de su parti Demetrio Zalvidea, D. Isaac Pequeño, D. Juan Lembeye y el mencionado do y del Cerro, que todos componen 22 con 10,915 vecinos y 4^.34^ almas; D. José Ruibal; en navegación el mismo Ruibal, D. Santiago Rodríguez y el de Aracena compone 29 pueblos, 6in contar las aldeas, con 9,o35 vecinos y D. José JJano ; y en geografía elemental y práctica^ y trigonometría plana el 33,917 almas. A esta capital he sujetado los tres partidos de Huelva^-Moguer referido i&gt;…</t>
  </si>
  <si>
    <t>Ruidera</t>
  </si>
  <si>
    <t>…exequias, celebradas en la una parte de su caballería, en acción tenida á las inmediaciones de iglesia del Real monasterio del Escorial, de drden y á expensas del Rey nuestro1 Señor D. Fernando vn, i la justa y digna memoria deí Rey Ruidera á las cuatro de la tarde de ayer por la columna de urba cristianismo Luis xvm, pronunció el Dr. D. Fraoclsco Antonia Gon nos de esta villa é infantería de la Princesa y cazadores de la guar zález. Un cuaderno en 4.0, edición de 1824, á 4 rs. en rústica. dia Real, y algunos granaderos de caballería…</t>
  </si>
  <si>
    <t>Ruisa, Infanta Doña María</t>
  </si>
  <si>
    <t>Infanta Doña María Ruisa</t>
  </si>
  <si>
    <t>…l reino, se ha casado no hace muchos días en ht'iglesia'de S- Martibi Tte de R infrio. También goza de perfecta salud en el expresado Real Coventry, con Ana Hípkins, de Birmirigharh. La edad ’dél novio,' que tiene sitio la Serma. Sra. Infanta Doña María Ruisa, uBas 25 pulgadas de alto, es 48 aqos; y la novia, que cuenta sólo 29 -hSns, tiene 40 pulgadas de alto. (Coventry-Heraldi) tiAlictA. PAUTE NO OFICIAL. Partí 22 4e Julio. fcl presidente del. barón jurado de la industria, bá «Erigido de Thenard, NOTICIAS EXTRANGERAS, las én el discurso siguiente: Tub…</t>
  </si>
  <si>
    <t>Ruisa, María</t>
  </si>
  <si>
    <t>María Ruisa</t>
  </si>
  <si>
    <t>…a casado no hace muchos días en ht'iglesia'de S- Martibi Tte de R infrio. También goza de perfecta salud en el expresado Real Coventry, con Ana Hípkins, de Birmirigharh. La edad ’dél novio,' que tiene sitio la Serma. Sra. Infanta Doña María Ruisa, uBas 25 pulgadas de alto, es 48 aqos; y la novia, que cuenta sólo 29 -hSns, tiene 40 pulgadas de alto. (Coventry-Heraldi) tiAlictA. PAUTE NO OFICIAL. Partí 22 4e Julio. fcl presidente del. barón jurado de la industria, bá «Erigido de Thenard, NOTICIAS EXTRANGERAS, las én el discurso siguiente: Tub…</t>
  </si>
  <si>
    <t>Ruiz</t>
  </si>
  <si>
    <t>…ue al pueblo que no llene su a:upo á qué ' «En cuahto i la primeta adición de los Sres. Palareá y Chacón para que indemnice al pueblo que lo llene por éL” puedan continuar en la Milicia urbana los que habiendo cumplido 50 años El Sr. Ruiz, de Bucesta: «Entre los pueblos á que toca una fracción dé quieran seguir en ella, la comisión era de parecer que su aprobación no pre hombre, hay algunos que nó tienen mozos para entrar en suerte: de consi sentaba inconveniente; pero que no la creía necesaria, porque aunque en el guiente, ya qué n…</t>
  </si>
  <si>
    <t>Ruiz, D Blas</t>
  </si>
  <si>
    <t>D Blas Ruiz</t>
  </si>
  <si>
    <t>…honor de manifestar á V. E. qué constantemente También son muy dignos el teniente que manda la cabullería D. Herweneperseguía á la facción de Castor, y que este se habla visto obligado á salir de gildo González, y el graduado de teniente D- Blas Ruiz , también dz cafeol le las Encartaciones. Ayer, después de una penosa marcha de nueve leguas, su jía. Bástame solo añadir á V. E. que después de esta.gloriosa \ brillante jorna biendo y bajando grandes alturas, obligué á la facción ¿ batirse. Reunidos en da, los gefe* de facción Torre, Urr.tburrí,…</t>
  </si>
  <si>
    <t>Ruiz, D Juan Antonio</t>
  </si>
  <si>
    <t>D Juan Antonio Ruiz</t>
  </si>
  <si>
    <t>…bien y cumplidamente sus de solo apoderarse de ellos , pero fue infructuosa su' resolución, por beres. Igualmente recomienda al capitán de caballería del 1.a ligero que al oir el cabecilla la voz de alto ahí, salió de la cocina, don D. Juan Antonio Ruiz, y alférez D. Ramón Gómez, y al ayu de estaba , y lé dió un mortal golpe en el vértice de la cabeza, que dante de campo del Excmo. Sr. capitán general D. Eduardo Pous, al poco tiempo murió. que hallándose á sus órdenes han desempeñado todas las comisio Confiado en la noticia que debia traer no se v…</t>
  </si>
  <si>
    <t>Ruiz, D Vicente</t>
  </si>
  <si>
    <t>D Vicente Ruiz</t>
  </si>
  <si>
    <t>…es de la tard e. «La pérdida del enemigo entre muertos y heridos ha sido de consideración, EFECTOS FUSUCOS. y la nuestra, aunque corta, fue sensible, pues tuvimos tres muertos y ocho he J ridos, entre ellos el bizarro capitán del Príncipe D. Vicente Ruiz, que lo fue Inscripciones en el gran libro &amp; J p. 100 , 00. gravemente al desalojar á la bayoneta á un número muy superior de enemi Títulos al portador del S p- 100. 00. Inscripciones en el gran libro á 4- P- 100,00. gos de una altura, en que estaba en posición; Todos se han portado con el va Títul…</t>
  </si>
  <si>
    <t>Ruiz, José Herrera y</t>
  </si>
  <si>
    <t>José Herrera y Ruiz</t>
  </si>
  <si>
    <t>…ne^aniTariasó^ día de Setiembre. ^ Segura. D. . . . vacante: desde 24 de Junio á 5 de Setiembre. 24 días para las personas, Tiernas. D. José González Olivare»: desde l.® de.Julioá 30 de Setiembre. y 32 para los géneros Panticosa. D. José Herrera y Ruiz: desde 1.® de Julio i principio» de que puedan inficionarse. Setiembre. Solo en Palertno y Me ASTURIAS. rina. Í - Caldas de Oviedo. D. Cayetano Blanco Casariego, en Oviedo desde 1S de in resto ae los puertos rusos, excepto los del mar» .. „ ,Q Mayo á 15 de Octubre. - Blanco.,1... ..................…</t>
  </si>
  <si>
    <t>Ruiz, Juan Antonio</t>
  </si>
  <si>
    <t>Juan Antonio Ruiz</t>
  </si>
  <si>
    <t>…n y cumplidamente sus de solo apoderarse de ellos , pero fue infructuosa su' resolución, por beres. Igualmente recomienda al capitán de caballería del 1.a ligero que al oir el cabecilla la voz de alto ahí, salió de la cocina, don D. Juan Antonio Ruiz, y alférez D. Ramón Gómez, y al ayu de estaba , y lé dió un mortal golpe en el vértice de la cabeza, que dante de campo del Excmo. Sr. capitán general D. Eduardo Pous, al poco tiempo murió. que hallándose á sus órdenes han desempeñado todas las comisio Confiado en la noticia que debia traer no se v…</t>
  </si>
  <si>
    <t>Ruiz, Vicente</t>
  </si>
  <si>
    <t>Vicente Ruiz</t>
  </si>
  <si>
    <t>…tard e. «La pérdida del enemigo entre muertos y heridos ha sido de consideración, EFECTOS FUSUCOS. y la nuestra, aunque corta, fue sensible, pues tuvimos tres muertos y ocho he J ridos, entre ellos el bizarro capitán del Príncipe D. Vicente Ruiz, que lo fue Inscripciones en el gran libro &amp; J p. 100 , 00. gravemente al desalojar á la bayoneta á un número muy superior de enemi Títulos al portador del S p- 100. 00. Inscripciones en el gran libro á 4- P- 100,00. gos de una altura, en que estaba en posición; Todos se han portado con el va Títul…</t>
  </si>
  <si>
    <t>Rumigní</t>
  </si>
  <si>
    <t>…os diputados, se admiten con cortas modificaciones los artículos 1.® á 11 inclusive, en los cuales se declara Idem 14- «qué es lo que constituye el estado del oficial, y las causas por qué lo puede Antéayer llegó á esta ciudad el general Rumigní, padrino del general Bu- perder; cuáles son las situaciones en que se puede considerar al oficial; en que I geaud en el desafío que este tuvo con M. Dulong. casos se le podrá dejar en servicio pasivo, y volver de este al activo, y moti -En la sesión de este dia ha presentado lord Althorp el presupu…</t>
  </si>
  <si>
    <t>Runa, S M la</t>
  </si>
  <si>
    <t>S M la Runa</t>
  </si>
  <si>
    <t>…LO DE OFICIO. ciones.de Titeri, recorre la llanura para fomentar la buena disposición de las pobla_. Oficio recibido en el ministerio de lo interior. Continúan las demoliciones en lá ciudad, aunque los ingenieros por ahora Excmo. Sr.: S. M. la Runa mu-aira Señora, y su angosta Ma las hacen recaer sobre inmuebles secuestrados, de que se habían apoderado algu dre la Reina Gobernadora, continúan sin la menor novedad en su nos individuos. Pero en cambio los compradores de bienes rurales redoblan de importante salud. Del mismo beneficio disfrutan…</t>
  </si>
  <si>
    <t>Ruó, Gabriel de Herrera y D Ramón</t>
  </si>
  <si>
    <t>Gabriel de Herrera y D Ramón Ruó</t>
  </si>
  <si>
    <t>…os reales de ve El ayuntamiento de la villa de S. Clemente ca la Mancha, llón diarios: i Nicanora Echavarría, vecina Je Bilbao, viuda de Pe El ayuntamiento de Jaén. dro Rafael López, asesinado en Heredia, dos reales de vellón dia D. Gabriel de Herrera y D. Ramón Ruó, presbítero de dicho obispado. rios: á Dominica de I bisa te, vecina de Corres en Alava, viuda de El ayuntamiento de -Málaga. Estétiqn Pipoon, asesinado en el mismo punto, dos reales de vellón El subdelegado de Fomento de Orense. diarios; á Alarla Antonia Laguna, vecina de Albalatc dei Arzobis El s…</t>
  </si>
  <si>
    <t>Ruó, Ramón</t>
  </si>
  <si>
    <t>Ramón Ruó</t>
  </si>
  <si>
    <t>…amiento de la villa de S. Clemente ca la Mancha, llón diarios: i Nicanora Echavarría, vecina Je Bilbao, viuda de Pe El ayuntamiento de Jaén. dro Rafael López, asesinado en Heredia, dos reales de vellón dia D. Gabriel de Herrera y D. Ramón Ruó, presbítero de dicho obispado. rios: á Dominica de I bisa te, vecina de Corres en Alava, viuda de El ayuntamiento de -Málaga. Estétiqn Pipoon, asesinado en el mismo punto, dos reales de vellón El subdelegado de Fomento de Orense. diarios; á Alarla Antonia Laguna, vecina de Albalatc dei Arzobis El s…</t>
  </si>
  <si>
    <t>Rupel</t>
  </si>
  <si>
    <t>…os autores de este proyecto en el mismo acto en que son los usurpadores y débiles. La verdadera madre, á juicio de Sa iban á ponerle en ejecución. lomón, no fu« la que ¡¡consintió en el destrozo de su hijo, sino la ____ El famoso D. Rupel ha llegado á Italia después de sus largas que quiso conservarlo fentero. El verdadero poder no es el que des incursiones y viages científicos en Abisinia: se dice que permanc-• truye la patria, sino el que salva de la muerte á cuantos puede. cerá algunos meses entre los italianos antes de volver i…</t>
  </si>
  <si>
    <t>Rusell, John</t>
  </si>
  <si>
    <t>John Rusell</t>
  </si>
  <si>
    <t>be á casa del príncipe Talleyrand, donde estaba convidado /&amp; comer con lord que después que esta haya inmolado á los verdaderos amigos de la nueva dinas I Hollando lord John Rusell, lord Ducannon y otros persdnageSN S. S. maní- tía; que después de que hayan perecido bajo la cuchilla revolucionaria todos los I festo que estaba muy satisfecho del modo con que le había acogido S. M. en su hombres de juicio y* de talento que defienden al actual gobierno; después que [recepción en…</t>
  </si>
  <si>
    <t>Rushell</t>
  </si>
  <si>
    <t>…rá hoy revista ee Oosterhout á dos regi mientos de coraceros y uno de lanceros, los cuales harán después varias evolu- ____ El día 30 de Mayo á las dos, después dé1 medio dia, salió de Douvres el eiones. barco de vapor Britannia, capitán Rushell, conduciendo á Calais 30 pasaje BELGICA. ros; aquella misma noche á las ocho y diez minutos estaba de regreso en Dou vres, habiéndose detenido 30 minutos en Calais:-por manera que ha hecho el Bruselas 3 de Junio. viage de ida y vuelta en ocho horas y tres cuartos , que es el mas rápido que Circulan…</t>
  </si>
  <si>
    <t>Rusias, M Católica</t>
  </si>
  <si>
    <t>M Católica Rusias</t>
  </si>
  <si>
    <t>…0, habían fallecido 2 personas, y quedaban 8 enfermas, y en Fcrreira bella ANUNCIOS. había muerto una, y otra en Aldurpe. i - , PROVINCIA DE MÁLAGA. — Obras que te hallan de venia en el despacho de la Imprenta heal. de paz las el Emperador M. Católica Rusias, concluido entreS. y Tratadle y En oficio de 24 -del corriente participa el presidente de la junta de Sani á 4 Vn firmada de 1801. 4.0 en París cuaderno en de Octubre marquilia, .edición/e dad de dicha provincia que en toda ella se gozaba de buena salud, excepto en 1802 , á 2 rs. rama é ídem rústic…</t>
  </si>
  <si>
    <t>Russeil, J</t>
  </si>
  <si>
    <t>J Russeil</t>
  </si>
  <si>
    <t>…e de Talleyrand, al recibir la noticia de haberse ciller del Echiquier, y que el actual conde Spencer será colocado al frente del nombrado el ministerio de 10 de Noviembre, hizo dimisión de la embajada almirantazgo, añadiendo que lord J. Russeil será el orador del gobierno en la de Inglaterra. (Diario de los Debates.) Cámara de los Comunes. (Chronicle.) • . ____El 12 tuvo la honra de comer con S. M. y Real familia el mariscal Ge____ Entre las noticias que circulan de una nueva combinación ministerial de rard y su esposa. Por la tarde despa…</t>
  </si>
  <si>
    <t>Russel, W</t>
  </si>
  <si>
    <t>W Russel</t>
  </si>
  <si>
    <t>…astas medidas, que tiempo há reclama subir los fondos españoles 7 portugueses. ban el orden 7 la economía. ____ El 5 del corriente lord Howard de Walden, acompañado Una instrucción especial determinará bien pronto los trabajos de lord W. Russel y de sus secrétanos, presentó sus credenciales, de que deberán ocuparse las contaduiías de Propios: pero entre tan y tuvo la primera audiencia en el palacio de Ayuda de la Reina to quiere S. M. prevenga á V- S. que debe desempeñar la de esa Doña María y de su padre el duque de Braganza. El día inmedia p…</t>
  </si>
  <si>
    <t>Russell, Guillermo</t>
  </si>
  <si>
    <t>Guillermo Russell</t>
  </si>
  <si>
    <t>…y, país quizas eL mas sano que existe en el globo t mientras que algunos de sus semejantes, dignos de trido apreJo, van de su grado á perecer en las ínsaJubles piaras de )a costa a fricaría. {Spec tutor.) PARTE NO OFICIAL. -------Lord Guillermo Russell saldrá cuanto antes con destino á Alemania pai ra ir á tGcmpeñar su encargo de enviado de Inglaterra cerca de la corte db NOTICIAS EXTRANGERAS. btctgard. {Posti) -------El marques de Landown, después de detenerse pocos dias en Bruselas con el objeto de hacer una visita al ILey de los belgas, contin…</t>
  </si>
  <si>
    <t>Russell, John</t>
  </si>
  <si>
    <t>John Russell</t>
  </si>
  <si>
    <t>…mirantazgo. ------ Ciento treinta mil libras esterlinas han sido adjudicadas á la escuadra de Honorable C. Grant, presidente de la junta de cuenta y razón, la Reina de Portugal como valor de los buques miguelislas apresados en el lord John Russell, pagador general del ejército. glorioso encuentro del 5 de Julio de 1833. De esta suma ha recibido el almi Honorable E. Ellice , ministro de la Gruerra. rante 163 libras esterlinas: los capitanes y comandantes cerca de 29: los te Honorable Jas. Abercrombic, director de la casa de moneda, nientes 80…</t>
  </si>
  <si>
    <t>Rute, D Rafael</t>
  </si>
  <si>
    <t>D Rafael Rute</t>
  </si>
  <si>
    <t>…s á la dehesa inmediata , entrando después I biendo batido y capturado en S. Millan y Villanueva de Gurendez 14 carabi en Castell Blanco ; pero habiéndole dado alcance el ayudante del regimiento neros desertores. caballería de la Reina D. Rafael Rute en el punto que llaman de Descuerna El dta 5 continuó Inarte su movimiento sobre Arcíniega, trasladándose cabras, y habiéndolos cargado con 8 caballos de su regimiento y 5 urbanos de | Bedoya á VtlUlba de Losa, en donde se presentó Palma con los 14 prisione la Serena, también de caballería, los pus…</t>
  </si>
  <si>
    <t>Rute, Pedro</t>
  </si>
  <si>
    <t>Pedro Rute</t>
  </si>
  <si>
    <t>…ués de haber oficiales del mismo cuerpo los capitanes el teniente coronel graduado D. Ignacio hecho en ellas las mejoras del momento que estaban á su alcance, ha encargado La Puente, D. Josef Sol.ins, el teniente coronel graduado D. Pedro Rute, di ayuntamiento lé proponga arbitrios de que se pueda echar mano para aten D. Miguel La Cuadra, D. Josef Gómez Cano, D. Ignacio Beza y D. Jbsef der á Ia manutención de los presos, confiada ahora solamente a la caridad pu Alavarrv; los tenientes el capitán graduado D. Pedro García, D. Francisco bli…</t>
  </si>
  <si>
    <t>Rute, Rafael</t>
  </si>
  <si>
    <t>Rafael Rute</t>
  </si>
  <si>
    <t>…dehesa inmediata , entrando después I biendo batido y capturado en S. Millan y Villanueva de Gurendez 14 carabi en Castell Blanco ; pero habiéndole dado alcance el ayudante del regimiento neros desertores. caballería de la Reina D. Rafael Rute en el punto que llaman de Descuerna El dta 5 continuó Inarte su movimiento sobre Arcíniega, trasladándose cabras, y habiéndolos cargado con 8 caballos de su regimiento y 5 urbanos de | Bedoya á VtlUlba de Losa, en donde se presentó Palma con los 14 prisione la Serena, también de caballería, los pus…</t>
  </si>
  <si>
    <t>Rutz, Bernardo</t>
  </si>
  <si>
    <t>Bernardo Rutz</t>
  </si>
  <si>
    <t>Y \ manan* en persecución de una nueva facción venida por Us inmediaciones de nicnte de provinciales de Ciudad Real D. Bernardo Rutz, y del subteniente del Gaivez con dirección al Tajo ; y habiéndola alcanzado, la he bandereen mi 6° ligero,.mi ayudante, D. Juan Rebollo, qtie habiéndosele roto el sable co-r pequeña columna reforzada con 6 Urbanos de esta villa; siendo los resultados gio el fusil del primer muerto que tuvimos, y m…</t>
  </si>
  <si>
    <t>Rutz, Luís Miguel</t>
  </si>
  <si>
    <t>Luís Miguel Rutz</t>
  </si>
  <si>
    <t>…res no solo destruyeron cuanto les vino el acto por sí mismo. por delante, sino que ademas le robaron el dinero, plata, joyas y otros efectos dé mincho valor. ^.Asegura la Gaceta de Aagsburgo, bajo rúbrica de Víena, que todas las D. Luís Miguel Rutz, vecino de la ciudad de la Laguna en la isla de Te operaciones del congreso tendrán por único objeto la felicidad de los pueblos, nerife , y meritorio que fue del cuerpo del ministerio de Marina, ha cedido al que es el que ha animado al gobierno francés á reprimir el espíritu de aso Real erario 274…</t>
  </si>
  <si>
    <t>Ruvakaba, D Vicente</t>
  </si>
  <si>
    <t>D Vicente Ruvakaba</t>
  </si>
  <si>
    <t>…comandantes de las tres columnas, como también á los demas j rios diarritce , depositando uno y otro en Villatcayq,, adonde dejó de guarni- oficiales y tropa de la misma por su entusiasmo, denuedo y constancia con que I ■cton rd capitán D. Vicente Ruvakaba con 80 hombres del provincial de La sufrieron las marchas7forzadas y 1a escasez de víveres? y el capitán general aña- I cado. £1 dia 8 emprendió Bedoya ua movimiento desde el valle dé Carranza oe que por aquella parte no hay rezélos de que esta facción incomode ya á los I batía puente la Ra, mareli…</t>
  </si>
  <si>
    <t>Ruvakaba, Vicente</t>
  </si>
  <si>
    <t>Vicente Ruvakaba</t>
  </si>
  <si>
    <t>…ntes de las tres columnas, como también á los demas j rios diarritce , depositando uno y otro en Villatcayq,, adonde dejó de guarni- oficiales y tropa de la misma por su entusiasmo, denuedo y constancia con que I ■cton rd capitán D. Vicente Ruvakaba con 80 hombres del provincial de La sufrieron las marchas7forzadas y 1a escasez de víveres? y el capitán general aña- I cado. £1 dia 8 emprendió Bedoya ua movimiento desde el valle dé Carranza oe que por aquella parte no hay rezélos de que esta facción incomode ya á los I batía puente la Ra, mareli…</t>
  </si>
  <si>
    <t>S, Agustín Argue</t>
  </si>
  <si>
    <t>Agustín Argue S</t>
  </si>
  <si>
    <t>…bil recibido del Albaidj y el conde González Cástejon, y por la de los Sre*. Procuradores Tos Eterno. Sr. E). Javier de Burgos um expo.icion que contenü la prtKc^ra que Sre«. D. Alvaro hlorcz fji'traHa , marques^de Mon?er!'r¿cn , D. Agustín Argue S. E. hacia contra la drcísión tomida por el Esramrnto en la anterior se»ion; lles, D. Antonio Alexia Cjaliano y P- Mariano Carrillo de Albornoz. cuya protesta preguntó al Estamento si le parecía que se le/ese en sesión pú Se mandó pasar á la comóipn de Eximen el nombramieñtd de Procer blica ó en secreta…</t>
  </si>
  <si>
    <t>S, Caballero S</t>
  </si>
  <si>
    <t>Caballero S S</t>
  </si>
  <si>
    <t>…onsidere al entusiasmo como la base segura mos con cierta desconfianza lo que existe, proponemos que se extienda, y aun de esta institución, prueban que en ciertas circunstancias falta ese entusiasmo, mucho mas de lo que desea el Sr. Caballero. S. S. ha expresado el temor de esa espontaneidad, de que la Nación dió un pasmoso ejemplo en la época de que el Gobierno pueda disolver toda la Milicia urbana; yo no concibo cómo I808. Entonces el instinto de la propia conservación, el amor de la indepen pur di tenerse este recelo. Pues qué , existiendo…</t>
  </si>
  <si>
    <t>S, Dijo S</t>
  </si>
  <si>
    <t>Dijo S S</t>
  </si>
  <si>
    <t>…ero de boca de un ministro liberal, y que fue Diputado en las Córtes de 1314 que aun son bastantes para que no perdamos el crédito. Es menester no hacer y 1820. nos ilusión en esta parle, porque estoy bien seguro de que ni el Sr. Ministro «Dijo S. S. que hasta Luis xvzii había reconocido los empréstitos con de Hacienda, ni ninguna 'dependencia del Gobierno puede dar un dato exacto traídos por «1 Gobierno efímero de Napoleón'de los cien días. ¡Pero qué di sobre este particular. Es necesario hablar por cálculos mas ó menos aproxi ferencia tan not…</t>
  </si>
  <si>
    <t>S, Gobernadora</t>
  </si>
  <si>
    <t>Gobernadora S</t>
  </si>
  <si>
    <t>…es dt Siria__ Boletín de lo que ha pasado en Napiusa. _ Orden de Síekstnet- Alí al gobernador de Alepo. En atención al distinguido mérito y servicios del intendente de ejército D. Joaquín Gómez de Liaño, ha tenido á bien S. M. la Reina Gobernadora S. E. el bajá generalísimo, nuestro hijo, habiendo salido de Jafa con ca nombrarle intendente general del ejéicito. ballería é infantería el miércoles 4 Xebiul-errel (9 de Julio) se dirigió, bajo la protección de Dios, contra los rebeldes de la montaña de Naplusa. Hemos recibido hoy un parte suyo, en que…</t>
  </si>
  <si>
    <t>S, Infante D Francisco de Paula Antonio</t>
  </si>
  <si>
    <t>Infante D Francisco de Paula Antonio S</t>
  </si>
  <si>
    <t>…rtas recibidas hoy de Génova anuncian la llegada de D. Miguel á aquel S. M. la Reina Gobernadora............................................................. puerto , á bordo de la fragata inglesa Stag. (Monitor.) S. A. el Sermo. Sr. Infante D. Francisco de Paula Antonio......... S. A. la Serma. Sra. Infanta Doña Luisa Carlota, su Esposa. (L). . Han entrado dé Bélgica eh Francia durante el año de 1833 , 79 cabezas El primer Secretario de Estado y del Despacho................................ 3000 dé ganado de asta entre bueyes, vacas y terneras; 219 carneros; 809 cerdos y El Se…</t>
  </si>
  <si>
    <t>S, Jácobi</t>
  </si>
  <si>
    <t>Jácobi S</t>
  </si>
  <si>
    <t>…de la religio» natural. AnnéttSS; Bolé^bnf V-. “'i' f- ' 'r ■ ■ ■ k.* 79¡ Carrón 75'; Chubb fii; Druinmond (Sir W.) 68; Dopui 67; Fjoet Jksñ ákho que la dudad de Tímala, en Rusia, se había quemado casi (K.) 61; GibsoaSl; Herbcrt (Lord) 68 ;'Jácobi_S6; Paine 72; Ponpowcioi- enferanxéase: Iwpthemos sabido que se ha vuelto á prender fuego.en, ella, y 63; Rousseau 66; Spinozá 431 St- Pieres 77; Shafbbury 4% Findal 75; Fo- que ha fabádoide nuevo inmensos desastres»-Un periódico da los siguientes de Dnd 53; Vaniní 34; Volney 66- ‘ v . . ; . talles s…</t>
  </si>
  <si>
    <t>S, Ma Art</t>
  </si>
  <si>
    <t>Ma Art S</t>
  </si>
  <si>
    <t>…stros de las dos salas del tribunal siden , y en sus términos, sin que puedan extender fuera de ellos supremo de Hacienda, instituido por mi Real decreto de de su jurisdicción. Marzo último, á D. José María Fernandez de Córdoba , D. Ma Art. S.° Los corregidores y alcaldes mayores de los pueblos nuel Pardo, D. Manuel Silvestre Armero, D. Gonzalo de Ueredia, D. José Rafael Villapol, D. Joaquín Fernandez Compani, (I) La división judicial de partidos, coo expresión de los pueblos que D. Marcelino de la Torre, D Ramón Macia de Lleopart, Don cada u…</t>
  </si>
  <si>
    <t>S, María Luisa Fernanda SS MM y</t>
  </si>
  <si>
    <t>María Luisa Fernanda SS MM y S</t>
  </si>
  <si>
    <t>…que las crecidas gratificaciones y la celebridad que propor I ceisa Soberan.i Doña Isaxl íi, y en el asiento delantero i su augusta hermana ciona ran arriesgada profesión, ha habido siempre en España lidiadores de agi lia Infanta Doña María Luisa Fernanda. SS. MM. y S. A. deben permanecer lidad y destreza; y que debiendo el gobierno destinar fondos á diferentes ense- ! luna temporada en dicho Real Sitio. Los Sermos. Sres. Infantes D. Francisco fianzas, existen otras infinitamente mas útiles que reclaman de preferencia los Ide Paula y D. Sebastian , acompañados de…</t>
  </si>
  <si>
    <t>S, Medrano</t>
  </si>
  <si>
    <t>Medrano S</t>
  </si>
  <si>
    <t>…estos lo que de con otras. Todos saben que ias Corres constituyentes., asi como las que siguie ben hacer aquellos. ron , tenían unas facultades muy extensas, y una potestad omnímoda para mirar «Paso ahora á las observaciones del Sr. Medrano. $. S. ha dicho que en por el bieQ del Estado, y por tanto no es extraño que ellas formasen todos los el primer fundamento de la petición, hablando de la práctica de nuestras Cor reglamentos, por los cuales hibijn de regirse; pero establecido el Estatuto tes, se hace sin duda referencia á las Corles de Cá…</t>
  </si>
  <si>
    <t>S, P A y A del E</t>
  </si>
  <si>
    <t>P A y A del E S</t>
  </si>
  <si>
    <t>…vo Servicio, y luto la satisfacción de que ea muy dichas facciones en las alturas-del pueblo de Cuitar. Dios &amp;c. Valencia 28 de pocas horas hubiesen sido recogidos todos los que existían en aquel depósito: Octubre de 1834-=Excmo. Sr.=:P. A. y A. del E. S. C. Gc=El mariscal de que de_ las 12 hermanas de ia caridad encargadas del cuidado del citado Real campo Joaquín de Ibarra.—Excmo. Sr. ministro do la Guerra. hospicio, 6 se hallaban con.el cólera, y las retantes atendían al enunciado establecimiento y al hospital: finalmente, que el cólera se iba ge…</t>
  </si>
  <si>
    <t>S, Palarea S</t>
  </si>
  <si>
    <t>Palarea S S</t>
  </si>
  <si>
    <t>…estoy muv de mí mismo he indicado las razones que le asistían, ya que contestaba á otras cosas. acuerdo en io que ha expresado S. S. respecto del sistema de arreglo adoptado „Quisiera contestar con este.motivo á una expresión del Sr. Palarea. S. S. en otra ocasión análoga á la presente. Aquel sistema fue presentado por un dig se entró mas á examinar las (ífoíltades de un" Ministro, para enumerar los no general, y su solo establecimiento le hace mucho honor: las economías de abusos que resultaban de personas que de nada ascendían á puestos imp…</t>
  </si>
  <si>
    <t>S, Pimen S</t>
  </si>
  <si>
    <t>Pimen S S</t>
  </si>
  <si>
    <t>…Si son estas las dir á lis célebres Cortes de Madrid en tiempo de Felipe iv, que pronunciaron, expresiones del Sr. preopinante , el deber del Gobierno es corregirlas. la misión extraordinaria á Roma de un fiscal del Consejo y del obispo Pimen- »S. S. está equivocado: el Gobierno español no consiente que ningún otro tel, que produjo saludables efectos á la causa d^ E-.paña. El. Ministerio actual, gobierno le imulte nt desprecie; asi como no mendiga el reconocimiento de comotan ilustrado y que señaladamente tiene hov en su seno al Señor Secre nin…</t>
  </si>
  <si>
    <t>S, Presidente y S</t>
  </si>
  <si>
    <t>Presidente y S S</t>
  </si>
  <si>
    <t>…ligaciones á que se trara de someter un hombre, es preciso que las conozca Estas últimas expresiones del orador excitaron un corto y vivo debate de antemano para cumplirlas. Este es un principio inconcuso, y una doctrina entre el Sr. Presidente y S. S.&gt; en que tomaron parte los Sres. González , que muy conocida de todo el mundo; pero aplicándola al asunto en cuestión, diré dijo no hallarse ofendido, y el Sr. Secretario de Estado; y que terminó con re que tanto en el proyecto de ley presentado por el Gobierno, como en el de nunciar la palabra el o…</t>
  </si>
  <si>
    <t>S, Romero Alpuente S</t>
  </si>
  <si>
    <t>Romero Alpuente S S</t>
  </si>
  <si>
    <t>…Medrano no ha negado que el ye los demas; y esta es una lógica que nad^e me puede rechazar. Por consi Sr. Romero Alpuentf^ tiene una lenta propia de 12$ rs.; lo que ha iiecho guiente, yo veo todas las c pectes eqjivoCddas por el Sr. Romero Alpuente. S. S. es presentar esta renta de un modo en que dice encuentra ccnfu»ion, Confieso su superioridad, su ciencia, sus talentos venero su larga practica en pero ha confesado que tiene la renta propia; y el hstamento no exige m*s si los tribunales pero yo no me atengo á otra práctica m á otras lc.es mas que…</t>
  </si>
  <si>
    <t>S, S M la Reina Gobernadora y</t>
  </si>
  <si>
    <t>S M la Reina Gobernadora y S</t>
  </si>
  <si>
    <t>…adrid 30 de Junio de 1834. = Moscoso. = Sr. presidente Oficio recibido en el ministerio de lo Interior. de ía junta de Sanidad de Madrid y su provincia. Excmo. Sr.: Tengo la satisfacción Je participar á V. É. que la Reina nuestra Señora, S. M. la Reina Gobernadora y S. A. la Se Han felicitado á S. M. por la publicación del Estatuto real las eotptr= ñora Infanta Doña María Luisa continúan sin la menor novedad en raciones y personas siguientes: su importante salud. De Real orden lo participo á V. E. para su no El ayuntamiento de la villa de Reto. ticia y efectos op…</t>
  </si>
  <si>
    <t>S-cretar-fV</t>
  </si>
  <si>
    <t>…izo creerme imposibilitado de asistir; pero á las dos horas saba en ella relativo á h«ber»e mardjCo ar.H va' el efcmp.Uí'de 1a Gacela re reuní al fin las fuerzas necesarias pira presentarme en el Estamento, bien que mitido por eí Sr. S-cretar-fV^íMLJc-pK h í -*-c ll'oenü; v habiendo ajando me constase que al hacerlo, propondriaralgun ilustre Procer que me,abstuviese este punto el Sr. Se. rctai i&lt;^ González \ el Sr. PrcMdentp vlcl/ Conejo de Mi— de-concurrir &amp; .él, mientras no me justificase de varias imputaciones, que con ni»tro\, quedó ap…</t>
  </si>
  <si>
    <t>S-ljuil, Jbsepho</t>
  </si>
  <si>
    <t>Jbsepho S-ljuil</t>
  </si>
  <si>
    <t>…fte pbpuli cualquiera concepto, excepto el-de venta, con las diligencias y requisitos que ac ran.dcin derectus qui in mtssae celebratioQ^.^ccurrere/pQs^unc^^x. s^raScriptura. rniSsaU ét stftectíi atfctoribus tránscripto a Doctore D. Jbsepho S-ljuil,'4 *‘ presbítero. ¡ífZ prueben la traslación de dominio ó posesión para poder verificar de oficio la fríti anao 1818. Un tomo en 8.°, á 2{ rs. rama ^ 5 pasta común. trasferencia: ál nuevo poseedor^ y acompañando siempre ademas el poder en caso de ser presentado por .segunda persona. p*.- °ío&gt;? an»…</t>
  </si>
  <si>
    <t>S.'CTftMrú</t>
  </si>
  <si>
    <t>…o» risada parar niiio. err ei ast. 7T dei rada la discusión; y por lo tamo yo no toma ur.amrensriio- n dchtai ¿ lo pie so se ha querido oir ai Gíbenlo aeape pe sé repino! d noanna y A' auposexom pe— ULaUUKZT i L»tig»fialM. los El Sr. S.'CTftMrú, dei de Símáemém viiiAiie ügfffiCA. dei pro— pnHfrt (pe nr» bra. Procurador» ten de t^uasa «gue a», árte &lt;J*c¡c ai jea.- mmiiioB r ei aenor bteroo, rcobcc.o la palabra.”* flrm prwgnte El Sr. conde Uj &amp;***?'- i»E»c o «» ■fagyrffefr fafr»ji r y páév saáa de la ^«"■«icnl qo comía &lt;k DiDpio wodo- Mcana…</t>
  </si>
  <si>
    <t>Sa'vary</t>
  </si>
  <si>
    <t>…-El lord Stanley qo ha querido unirse al ministerio firmado por el duque antemano toda la utilidad que las ciencias reportarán de esta publicación. » de WeHíngtori.ni al partido de los torys: estos dicen ahora que podrán ellos El Sr. Sa'vary hace una relación sobre la parwusmgráiica del viage del solos dirigir mucho mejor los negocios. ('.Aíoming-Chromcle.) mismo ilustrado individuo. ' Es raro, dice el honorable académico,-que la atención de un naturalista No conviene disimular que la lucha presente está entre los lores y el pue viagef…</t>
  </si>
  <si>
    <t>Sa, Ramón de la</t>
  </si>
  <si>
    <t>Ramón de la Sa</t>
  </si>
  <si>
    <t>…bido hate pocos dias, le hemos hecho una visita, que nos ha proporcionado iguaf satisfacción que las anteriores. Alcncionaremos Pueblos. Dio*. Enfermos. Curados. Fallecida*,. lo «enciál que hemos visto, dejando hablar al director D. Ramón de la Sa gre , que tuvo la bondad de acompañamos é ilustrarnos con sus explicaciones, que repite gustoso á cuantas personas van á consultarle. - Don Benito.. . ii7 Novíemb. 141 53 SI 7 La institución agrónoma ha recibido, ademas de los arados descritos en Vfllanucra de la segunda de sus memorias,v otro cons…</t>
  </si>
  <si>
    <t>Sa-da-Bandeira</t>
  </si>
  <si>
    <t>…de sus reses y rebaños. Espera la contestación de los pueblos para informar al gobierno sobre lo» Madrid 22 de Mayo. baldíos de la provincia, que según resulta de las cuentas de propios, son do gran consideración. Según aviso del general Sa-da-Bandeira, gobernador del Algarbe por la A pesar de las instancias que ha hecho para reunir noticias solo ha podido Reina Doña Mar» de la Gloria, los miguelistas, rechazados de Faro el 4 con averiguar hasta ahora que hay en la provincia 62 fabricas de jabón, 16 de gran perdida, atacaron ei 9 á Olhao, donde l…</t>
  </si>
  <si>
    <t>Sa-da-Bqndeira</t>
  </si>
  <si>
    <t>…n dirección «Son necésarias pafa répresentar dignátlitiitc i la Nación -&amp;¿'.n de Campómayor y Yelves. " ' “ Bl,brigadier Serrano, comandante de&gt; li brigada del Condado de Niebla, dice eí 23 del corriente , quesegun los avisos del general Sa-da-Bqndeira , que mándá las t ropas de Doña María de la Gloría en el Algarbe, el 20’se hallaba xolsa db oauSictó.—.Cotización dt hoy £ia¡ tnr dt la tarde. el generql enemigo Cabreira en Loulé, de dqnde habían salido el 19 un bata ! llón y algunos realistas para Evora , á consecuencia de la derrota dé D- Miguel…</t>
  </si>
  <si>
    <t>Saavedra, Alfonso</t>
  </si>
  <si>
    <t>Alfonso Saavedra</t>
  </si>
  <si>
    <t>…y 2 fue comprende ei sorteo de este dia, inclusas las dot pas de las Merindadcs de Castilla la Vieja, desde Medina de Pomar ¿ las diez y aproximaciones^ ireiia de la roche del 12, le avisa que el teniente deljprovincial dcSegovia Don Alfonso Saavedra, después de marchas sumamente penosas tuvo la gloria de ffdxH&amp;oa* minos* atdünistbacionm. alcanzar y batir en las Cabañas de Virtus la facción de Arroyo, compuesta de lüu infantes, La que dispersó, causándole dos muertos y un prisionero herido, siéndolo otros muchos que pudieron fugarse ¡H abrigo d…</t>
  </si>
  <si>
    <t>Saavedra, Joaquin</t>
  </si>
  <si>
    <t>Joaquin Saavedra</t>
  </si>
  <si>
    <t>…participarle, que en dos dias que háce se lleva á efecto, no se aquellos habitantes. Los decididos Urbanos de Villafrartca, al mando, la in oye ya hablar de un solo rebelde en todos los partidos inmediatos á esta pla fantería de D. Joaquin Saavedra, y la caballería al de D. Apolinar Juárez de za,ni tampoco en el alto ni bajo corregimiento; solo quedan algunos pocos Deza, señor de Lancara y Tineo, unidos con su benemérito alcalde mayor, sa dispersos refugiados en los puertos en número muy despreciable, pues que sien lieron en su persecución, y…</t>
  </si>
  <si>
    <t>Saavedra, Vicente Vidal y</t>
  </si>
  <si>
    <t>Vicente Vidal y Saavedra</t>
  </si>
  <si>
    <t>…misma, á D. Josef Mariano de Olañeta , alcalde mayor de Je - ■ _í rez de la Frontera. También se ha dignado conceder honores.de alcalde del cri CÁMARA de tos pares.__ Sesión del día 30 de J&amp;gtrOi men de la audiencia de Sevilla á D. Vicente Vidal y Saavedra , teniente terce- I ro de asistente de Sevilla, y nombrar para el corregimiento de letras de Santo Prosigue la. discusión dei proyecto de Jey sobre organización Consejo ¿t Domingo de la Calzada á D. Salvador Guerrero. Estado. El conde Portalis dice que la comisión, teniendo presente lo que algunos…</t>
  </si>
  <si>
    <t>Saaveríra, Antonio</t>
  </si>
  <si>
    <t>Antonio Saaveríra</t>
  </si>
  <si>
    <t>…Ürrea, herido levemente, al capitán D. Ramón Conti y Galiano, de ja com pañía de cazadores de Segovia , al teniente ríe la misma-D. José de Miera, y Inscripciones en el gran libro i $ p. 100, í6|^l contado. aí subteniente dé ídem D. Antonio Saaveríra, y D. José Valero, subteniente Tirulos al portador del 5 p. 100, S8¿ a variu fs. ó val. íe .carabineros. , TiruiosInscripcionesal portadordelen el gran4 librop. 100,4 452p*al 100contado:* 00. 54, 59f y 13 i variad A. 6 vol* «Igualmente recomiendo at alférez graduado sargento primero de ia 1.* Vales…</t>
  </si>
  <si>
    <t>Sabau</t>
  </si>
  <si>
    <t>…, atizado en gran parte por maquinaciones extranjeras. «Respecto á la Secretaría de interpretación de lenguas, antes h desempe «Bajo este respecto, me aprovecho de la ocasión para tributar ufl home— ñaba un ilustrado canónigo, el Sr. Sabau; después se ha conferido á un litera mgfl que es debido á los agentes diplomáticos y consulares de la Nación en los to distinguido en España y fuera de ella: es necesaria esta oficina; la cual des países extranjeros. Están prestando eminentes servicios, desconcertando planes empeña gratis los encar…</t>
  </si>
  <si>
    <t>Sabau, José</t>
  </si>
  <si>
    <t>José Sabau</t>
  </si>
  <si>
    <t>…tín, mandando pasase á la comisión muchas notas eruditas para corrección de ios yerros y faltas del autor. Ha aruJ¡d&lt;&gt; ade ¿XTnstruccimi p&amp;bÍÍcaÍ 'Sc’mtóéiJL íj'¿á -segtii&lt;£trdei, ^__varias*___asuntos_i. de interés locali . * mas d. José Sabau una tabla cronológica; de los g obernadores y reyes árabes de España, JT particular, y se lcvanfó-'la sésion. ' 'i. otra de los reyes de Asturias y León hasta el reinado de P. Fernando 1 de Castilla, en que se reunieron estos reinos, y.un tyefycjo en qge eiÉ¡*tnina que causas produjeron las rápidas…</t>
  </si>
  <si>
    <t>…uena salud, excepto en Alcalá de los Gavilles que este tomo los libros 5.° y 6.° del P. Mariana, que tratan de la venida y reinado de los continuaba en estado de sospecha. godos en España hasta su destrucción por los inoros; y de D. José Sabau, notas criti cas al texto de dichos libros, tablas cronológicas de los mismos tiempos de los godos, y un discurso filosófico sobre la venida de aquellas gentes á España; y su imperio y go PROVINCIA DE CÓRDOBA. bierno en este pais. LosSres. suicrí peores se sefvÁran pasar á recoger dicho tomo a la l…</t>
  </si>
  <si>
    <t>…e en Fitero aumentaba el número de fallecimientos, y que según los suscriptores á la Historia de España del P. Mariana, ilustrada y Continuada ——Los partes recibidos, el número de muertos en los pueblos invadidos desde 9 á 12 por D. José Sabau , se servirán acudir .1 rec- ecr el tn*’-» • '•egundo á la librería de Cues del corriente era el siguiente: Corel la 55 muertos: Cintruénigo, invadidos 37» ta. Continua abierta U-suscri|&gt;cion a 20 rs, tom-v en rústica. muertos 16: Fitero, invadidos 70, muertos 22. ——Ciencia de la legislación. Obra…</t>
  </si>
  <si>
    <t>Sabedor</t>
  </si>
  <si>
    <t>…ora. Bastará indicar la principal, y es que el grande ya he manifestado á V. E., se manifestó de un modo extraordi motivo que impelió á los españoles para sostener su independen nario el entusiasmo de los habitantes á favor de la Reina. Sabedor cia en una lid de ocho siglos contra los árabes, y sufrir con per de que el enemigo reunía fuerzas á la inmediación de Serpa, me severancia las calamidades de una guerra perpetua, fue la religión. dirigí á dicho punto el dia 24# y á mi llegada supe que se habia Si los conquistadores hubieran tenido…</t>
  </si>
  <si>
    <t>Sabemos</t>
  </si>
  <si>
    <t>…tan, vestidos con mantos ricamente bordados: ALEMANIA. S. A. les hizo varios regalos, y entre ellos sables magníficamente guarnecidos, Francfort 22 de Junio. dándoles asitjtismo el permisp de llevar las insignias con que han sido conde Sabemos por buen conducto que el Ducado de Nassau se unirá al sistema corados'álgun tieriipo hace por varias Totencias'extrangeras. adoptado por el gobierno prusiano respecto á aduanas, y aun se dice que en la El mismo dia llegó aquí Habil-effendi, embajador de Mehemet-Alí, á actualidad hay en Berlín un co…</t>
  </si>
  <si>
    <t>Sabemos, Fermín</t>
  </si>
  <si>
    <t>Fermín Sabemos</t>
  </si>
  <si>
    <t>…titular la 'Pototua^y sus héroes , por Román Sokykj y-dotro: Cere— gil de Quiñones, fiscal del tribunal de Cruzada, quedando satisfecha menia fúnebre en honor de tos potaros. del zelo con que se ha conducido el actual subdelegado D. Fermín Sabemos que el príncipe Soutzo ha recibido orden para ir de París á San Petersborgo á ocuparse «n las negociaciones relativas al matrimonio- def Rey Gil de Linares. De Real orden lo comunico á V. E. para su inteli 1 Othon coa la hija mayor del Emperador Nicolás. {Corresponsal de Nuretnbergi) gencia y efect…</t>
  </si>
  <si>
    <t>Sabemos, Infanta Duna María Luisa Oriente</t>
  </si>
  <si>
    <t>Infanta Duna María Luisa Oriente Sabemos</t>
  </si>
  <si>
    <t>…es correos procedentes del Norte han pasado esta semana por nuestra, de Riofrio. También ^oza de perfecta salud en el expresado Real ciudad , uno de los cuales viene de Londres , y Itera despachos á la escuadra dé sitio la Serma. Sra. Infanta Duna María Luisa. Oriente. Sabemos que el gobierno ingles ha resuelto que ^us correos tomen en lo sucesivo este camino, para trasmitir después sus órdenes con mayor rapidez por Malta con ayuda de los barcos de vapor. (Id.') PARTE NO OFICIAL. PIAMOS T B. Turin 20 Ae Julio. NOTICIAS EXTRANGERAf. S. M ha conmutado ppr decreto de 15 del…</t>
  </si>
  <si>
    <t>Sabemos, Napier</t>
  </si>
  <si>
    <t>Napier Sabemos</t>
  </si>
  <si>
    <t>…Península: si estallase en Eu Miguel quedaba á bordo del Stag. Aquí se espera la semana próxima la llega ropa (lo que no creemos) uha guerra de principios : si el Occidente fuese aco da del Asid que trae á bordo á la familia del general Napier. Sabemos por el metido , por la santa alianza , en este caso y en la hipótesis de que se hubiese es -Correo que ha traído el Donegal que las relaciones de ios periódicos tocante trechado mas con el peligro común la confederación de las cuatro Potencias, á varias escenas de anarquía y confusión en Portugal s…</t>
  </si>
  <si>
    <t>Sabio</t>
  </si>
  <si>
    <t>…as ale^áricas e inscripciones análogas al grandio- ] •En la noche dél 7 al 8 de Diciembre último salió el emperador Nicolás so objeto que se solemnizaba. de Petersburgo para Moscou. (G. de F.) F.n el primer Trasparente se veía al Rey Sabio con manto, corona y cetro, en el ac' ós establecer por lev fundamental de la monarquía la práctica val ESPAÑA. constarte ce ia sucesión directa , y los ricos-hombres v grande» de Castilla ves- í tidos en trages del siglo xm, oyendo ct di»cur&gt;o que sobre U materia les hacia Murcia 22 de Noviembre. e…</t>
  </si>
  <si>
    <t>Sabo, Filibettade</t>
  </si>
  <si>
    <t>Filibettade Sabo</t>
  </si>
  <si>
    <t>…el propio mes 12 personas: que en Chiclana cedía considerablemente la enfermedad; pero que en Alcalá Turitt 27 de Agorto. 1 de los Gazules se habían manifestado algunos casos sospechosos. SS. MM. y AA. H. el príncipe Eugenio y la princesa Filibettade Sabo ya Qmfiaa salieron el 20 del sitio de Racconi para el de Polleiua, adonde ti) Ley J.*, til. 9 ", lib. 9-° de la Nov. R-ecop.</t>
  </si>
  <si>
    <t>Sacanell, Angel</t>
  </si>
  <si>
    <t>Angel Sacanell</t>
  </si>
  <si>
    <t>…s res Rebellón, administrador de la estafeta de Vivero-, la de Vílhmueva de la Se pectivas provincias con el fin de que las pongan en práctica. rena á D. Carlos Manden, oficial 2.a de la principal de Badajoz; la vacante de este á D. Angel Sacanell, oficial 3-° de Lugo; esta plaza al cesante Don El gobernador civil de Teruel dió parte de los estragos qoe ocasiono la José Sánchez Súndino; y la de oficial 4-° de la misma administración de Lugo última avenida del OuáHalaviar en los términos de Aibarracin y Gea; y ha al cesante D. Manuel Felipe C…</t>
  </si>
  <si>
    <t>Sacó, Presidente del Cornejo de Ministros</t>
  </si>
  <si>
    <t>Presidente del Cornejo de Ministros Sacó</t>
  </si>
  <si>
    <t>…No me conformo con este artículo, y quisiera que Jo modifi tratas se habián verificado de cierta manera, no tentamos el derecho de exami case la coníirion en ios términos en que el. mín sterio h.\ propuesto: pero, Se narlos; y el Sr. Presidente del Cornejo de Ministros Sacó de esto una porción ñores, ¡se hallan en el, mismo caso. Jos préstamos desde 1823 acá? Esta cues de consecuencias/desastrosas, las cuales á mi parecer no son exactas. Si comd tión , cada uno de lo* que me han precedido en la palabra, ].i ha mirado ba S. S. indicó, porque fueron establecidos en cierta…</t>
  </si>
  <si>
    <t>Sacrauvcr.í.ico</t>
  </si>
  <si>
    <t>…enido á bien decretar lo siguiente: ejercicio de su augusto ministerio los primeros, y al de mí p-ed«td el J.° No.se reconoce en el Estado por vicepresidente de la república á Don segundo. Concluida la misa se sacó .al Divinísimo Señor Sacrauvcr.í.ico en so Valentín Gómez Farras. lemne procesión por las calles de Plateros , S. José el Keau I acrina v Krnpe2.° Queda sin efecto ti decreto que lo declaró ciudadano bencmériro del dradillo, ¡i la que asistieron todas las comunidades religiosas, cofradía* v her Estacjo. , ; mandades, todo el clero sec…</t>
  </si>
  <si>
    <t>Sacy</t>
  </si>
  <si>
    <t>…s para conceder pensiones á los que fueron sentenciados por delitos palmeos NOTICIAS EXTRANGERAS. durante la restauración; y fundándose en las razones que alega, aprueba el ar tículo primero» del proyecto y desecha el segundo* El barón Sacy conviene con^l 'preopinante en que es preciso economizar el TURQUIA. dinero de los contribuyentes, y hace ver cuán erróneo es el sistema de conce der pensiones á los sentenciados por delitos políticos; pero vota ¿ favor del proConstantinopla 6 de Abril* ' yecto de ley. El ministro del Interior rect…</t>
  </si>
  <si>
    <t>Sadc</t>
  </si>
  <si>
    <t>…ón, es decir, la ley buena o mala, susceptible o no de va contraria al pacto fundamental del Estado, lee algunos párrafos de los discur riación ; pero siguiendo la discusión , si con motivo de ella oigo establecer prin sos que el Sr. Sadc pronunció en el año de 1830 cuando se discutía el proyec cipios, que á mi entender, son opuestos á la constitución, y que turban, no to de lev relativo á reprimir los abusos que se cometían por medio de carteles, solo eí orden de la Cámara, sino también el del Estado, creo que tengo dere y comparán…</t>
  </si>
  <si>
    <t>Sade</t>
  </si>
  <si>
    <t>…Petersburgo. Estas noticias se han recibido aquí con mucha saC&amp;faccion, á una comisiód, para que los diputados puedan tomar con ocim i en io de ellas.' porque sirven ciertamente de una nueva prueba en favor del gobierno ruso, El Sr. Sade hace varias reflexiones sobre este importante asunto, deducien cuya fidelidad en el cumplimiento de lo que promete es bien conocida; y por do de ellas que la Cámara no debe agirar ahora una cuestión de tanta entidad^ otra parte su-conducta en estas circunstancias desmiente plenamente las sospe pero…</t>
  </si>
  <si>
    <t>…sos y perturbadores , sean del aquella isla, en la que permanecían hasta el día de la fecha que queA referida. partido que fuesen, todo en fifisin salir del límite de nuestros poderes consti ( Mensajero) tucionales-” POXTUGAl. El Sr. Sade no alcanza cuál sea la utilidad que ha de producir la ley que se Lisboa 14 de Febrero. , dispute, y Cree que se han exagerado los hechos que han dado márgen á propo nerla: dice que la ley es impolítica, y no agradará al pueblo; pues aunque se El corregídor Antonio de Sousa Pinto avisa al gobierno A…</t>
  </si>
  <si>
    <t>…una observación. {Aprobación en los centros.) traña que siendo idénticos los males haya tanta divergencia en el modo de re «Cuando he oido decir que el pueblo era la mayoría en el Estado, he te mediarlos. De acuerdo con el mismo Sr. Sade, en que para corregir ciertos ex nido derecho de deciros que la constitución solo conoce un solo pueblo, solo cesos lejos de ser suficiente el desentenderse de ellos, es absolutamente indis conoce franceses, todos iguales ante la ley, y que separarlos en dos ciases es pensable dictar leyes represiv…</t>
  </si>
  <si>
    <t>Saenz, Cesáreo María</t>
  </si>
  <si>
    <t>Cesáreo María Saenz</t>
  </si>
  <si>
    <t>…n lo» sentimientos de este ayuntamiento y de todo este vecindario I D. Josef Benitez, consejero honorario del supremo de la Guerra, eri unión que tiene la dicha de ofrecer á los Reales pies del trono de vuestra excelsa Hija I con D. Cesáreo María Saenz, director de la Re.il compañía de Filipina», y de y nuestra augusta Soberana Doña Isabel u, suplicando á V. M- se digne ad D. Manuel Viado,-examinando el sistema é índole de dicha contribución pro mitirles como un impulso de su mes acrisolada lealtad. ponga el, modo de hacerla mas desembarazada, ya…</t>
  </si>
  <si>
    <t>Saenz, D Rafael Faustino</t>
  </si>
  <si>
    <t>D Rafael Faustino Saenz</t>
  </si>
  <si>
    <t>…l D. Joaquín Liafio, Intendente general del ejército. El Estamento quedó en que era la formación de la expresada lista. terado. «Asi que, no hemos tratado de inculpar á nadie, y mucho menos al Se También jo quedó de un oficio del Sr. D. Rafael Faustino Saenz, electo ñor Secretario del Despacho, porque en todas las ocasiones hemos obtenido lo Procurador por la provincia de Valladolid, en que manifiesta no haberse pre que se ha pedido , y si ha faltado algo ha sido efecto de las circunstancias en sentado en el Estamento, á causa de las heridas de un hijo…</t>
  </si>
  <si>
    <t>Saenz, Maleo</t>
  </si>
  <si>
    <t>Maleo Saenz</t>
  </si>
  <si>
    <t>…Rosell. Un tomo en 4.'0, con mkma qnn noticia de haber sido invadidos los pueblos de Sriviesca y Pancor— , tiene la aritmética propia» y los principios de algebra, edición de 1785 , a tí. rs. rama y J9pasra coinun. vo: añade que D. Maleo Saenz, subdelegado de medicina y cirugía en la ciu- - — ■ Instituciones de cálculo diferencial é integral ^ ron ms aplicaciones principales k dad dedal iborra, se había ofrecido voluntariamente á asistir los enfermos do las matemáticas puras ypar D."José Chaix. Un tomo en 4.0 marquílla, edi Alfaro , para…</t>
  </si>
  <si>
    <t>Saenz, Rafael Faustino</t>
  </si>
  <si>
    <t>Rafael Faustino Saenz</t>
  </si>
  <si>
    <t>…Joaquín Liafio, Intendente general del ejército. El Estamento quedó en que era la formación de la expresada lista. terado. «Asi que, no hemos tratado de inculpar á nadie, y mucho menos al Se También jo quedó de un oficio del Sr. D. Rafael Faustino Saenz, electo ñor Secretario del Despacho, porque en todas las ocasiones hemos obtenido lo Procurador por la provincia de Valladolid, en que manifiesta no haberse pre que se ha pedido , y si ha faltado algo ha sido efecto de las circunstancias en sentado en el Estamento, á causa de las heridas de un hijo…</t>
  </si>
  <si>
    <t>Saftiaocho</t>
  </si>
  <si>
    <t>…lla Jo ’CÍal de Santiago fofrnaron en columna. Dadas estas disposiciones, me twí á Us verificó en la Peña de Falco, término de Zurita, por cuyo sirio he pasado á las guerrillas, que marcharon al paso largo al enemigo. El teniente coronel Saftiaocho de la mañana, y siguiendo sus huellas sin descansar pi comer lo. he alean* ftiego despreciando el terrible fuego, puesto á la cabeza de $u regimiento y .zade, en Belmonte, en donde las guerrillas y caballería de Borbon lo han des- compañía de Alcázar, seguía las guerrillas. El enemigo formó un batallón e…</t>
  </si>
  <si>
    <t>Sagastuy, Julián</t>
  </si>
  <si>
    <t>Julián Sagastuy</t>
  </si>
  <si>
    <t>…e sin duda se dirigía en la actua lidad. El referido alcalde mayor de Aguilar hace particular elogio del celo y entusiasmo de los Urbanos que lograron la captura de estos facciosos, asi como del cabo de la ronda volante de Agreda D. Julián Sagastuy, que con su partida variedades. se unió con aquellos, favoreciendo con su auxilio la persecución de la facción. estadística europea__ (.Segundo artículo.) ESTADO SANITARIO DEL REINO. Por lo que hace á la cultura del entendimiento, las nociones estadísticas publicadas por Mr. Schoen se dividen en tr…</t>
  </si>
  <si>
    <t>Sagra</t>
  </si>
  <si>
    <t>…oposición ha sido aconsejado por- los absolutistas tima unión entre la reja y la vertedera, y una curva suave y perfectamente! de la Alemania.'’ • calculada para extiaer ta¿ierra'y voltearla con poce esfuerzo dé Jos animales. El Sr. Sagra da la preferencia á esta nueva forma sobre la de los anteriores ___Una carta de Bolonia del 17 de Octubre dice: «D. Miguel paso por esta arados. . , „ v ciudad en la noche del 13 dirigiéndose á Roma, y de allí, según se dice, a La introducción de.los hueves instrumentos afatoríos, entre los cuales se. Vi…</t>
  </si>
  <si>
    <t>Sagrista, Antonio Gassó y Calafell D José</t>
  </si>
  <si>
    <t>Antonio Gassó y Calafell D José Sagrista</t>
  </si>
  <si>
    <t>…anal y la expresada parte del rio, en los términos de la misma compañía sin limitación, intervención, ni restricción que los disfrutan los vecinos de los pueblos, con arreglo á sus leyea alguna. y ordenanzas municipales. Art. 50. D. Antonio Gassó y Calafell. D. José Sagrista y Don En igual conformidad tendrá derecho al uso y aprovechamiento Narciso Mercader, quedan autorizado*; 1.’ Para otorgar la contrata &lt;|e pastos en las dehesas, montes, prados y egidos para las bestias de social con los pactos que tengan por conveniente, la cual mandarán carga , tiro y silla que em…</t>
  </si>
  <si>
    <t>Sagtú, Ja</t>
  </si>
  <si>
    <t>Ja Sagtú</t>
  </si>
  <si>
    <t>…ritualadornadoromano,contridticidosuna estampapóráelDrl41*&gt; nuuD. Jbsé'BtlguÓl.y ^.pasra comim.vb tomó éot*v Ingresó- en slfettó el/oólcra en Villaríézo, habían fallecidohasta la' fecha del parte 1'4 per- —Oficio parvo de nuestra Señora Ja Sagtú»ittaiY4rg«a María; jénjt cJ Breviario ro-^ abbla adultas y 5 párvulos, quedando existentes 4 enfermos deninguna gravedad. mano: traducidp al castellano con ñoras por él í)r. D. José RiguaHtmárt» edición, aAoi de 182I..Un tomo en 8.° con una-estampa fina á 4 rú rama y / pastá comun. Bstos t«i3 Itbri…</t>
  </si>
  <si>
    <t>Sahando, José</t>
  </si>
  <si>
    <t>José Sahando</t>
  </si>
  <si>
    <t>…, y 54I estudiantes; de estos 144 deja-cn Un de interinos, para el corregimiento de Medina del Campo á D. Ma aulas en diversas épocas del año, habiendo ganado curso 110, y habiendo re teo Herrera de la, Riva: para el de Ledesma á D. José Sahando: nunciado á los estudios los demas por motivos particulares. para la alcaldía mayor de Plasencia á D. Anselmo de León Barra La universidad de Charkoff tiene una dotación de 52 profesores y empleaddas: para la de Alba de Tormes á D. Benigno Martínez Vidal: para dos , y el número de estudiantes ascie…</t>
  </si>
  <si>
    <t>Sahtafé</t>
  </si>
  <si>
    <t>…to, por cuya infracción se le reconvendría por los riores habia sido admitir las proposiciones que habían sido presentadas, citan mismos Sres. Procuradores. El Gobierno tiene que sostener las prerogativas del do al efecto una del Sr.^Sahtafé , y otra del Sr. Navas. trono, y por esto se obstina, si puede decirse asi, en que no se traspasen los lí El Sr. Sahtafé dijo que solo había sido la suya una enmienda, y no una mites que la ley señala. Por esto me opongo á que sea la que quiera la forma verdadera proposición. bajo la cual se presen…</t>
  </si>
  <si>
    <t>Saiiha</t>
  </si>
  <si>
    <t>…oso reemplazar, debo dirigirme Habib-EffendI, encargado de hacer aqui los presentes que Mehemet-Alí á V. solicitando la cooperación de su fidelidad al Soberano y de su amor al ha ofrecido al Sultán con motivo del matrimonio de la princesa Saiiha, acaba pais. de embarcarse á bordo de la fragata Bckara para volver á Alejandría. El kapi- El ejército, durante el ministerio de mi antecesor, se ha distinguido con k.iaja, ó agante particular del bajá de Egipto, Mustafá-Nazif-Effendi, ha salido toda clase d» virtudes militares: el celo, la discipl…</t>
  </si>
  <si>
    <t>Sáiñpótóí</t>
  </si>
  <si>
    <t>…ecitóylolwGiCifcietno jíjdel^iítámen de ia coroision. Et' L® de,que se ha he- ^uc tinto necesita ía ;ÍÍ¿ei«3ít. chd ánnjhfcsitte.íos beoeficsbliiqqe.debemoi.á J¡t&gt;¿beneficio»que-ningún «*- »&gt;Mi voto ús.'iodó conrorntc porr ti deí Sr. Sáiñpótóí éW «Sftfftó í '</t>
  </si>
  <si>
    <t>Sairols, Joaquín</t>
  </si>
  <si>
    <t>Joaquín Sairols</t>
  </si>
  <si>
    <t>…sabiendo que este aparentaba dirigirse por brigadier Bretón D. Francisco de Mora y Pauls: el segundo ayudante de ciru Prabes á Momblanc, emprendió su marcha á Valls con el objeto de salirle al gía médica del regimiento de Bailen D. Joaquín Sairols: el capitán de la com encuentro con las tropas que sacó de Tarragona , dejando encargada la guardia pañía de voluntarios de Porrera D. Jo*e Pellicer: el comandante dei primer de la plaza á aquella benemérita Milicia voluntaria; pero por los partes que re batallón ligero voluntarios de Isabel n de R…</t>
  </si>
  <si>
    <t>SaitareJi, Francesco</t>
  </si>
  <si>
    <t>Francesco SaitareJi</t>
  </si>
  <si>
    <t>…, y gratificando igualmente al maestro. Por lo demas, no descan personas que por cualquier concepto, se^n deudoras de,algunas sumas a la testamentaria sará hasta plantear la escuela normal de que ha hablado anteriormente, y ge de D. Francesco SaitareJi * maestro sastre que fue en esra corte, suspendan el hacer pago neralizar dicho método en toda la provincia. alguno á D. Fulgencio Notarlo, encargado de la viuda de aquel, y lo verifiquen a! depositario de los.btéae* quedados por itt-di ¿unción dicha* que lo es D. Miguel Fernán» También se propone…</t>
  </si>
  <si>
    <t>Saiz, Cipriano</t>
  </si>
  <si>
    <t>Cipriano Saiz</t>
  </si>
  <si>
    <t>…la de ofi ensaye dicho reglamentó, proponiendo las adiciones ó modificaciones que la cial segundo de la contaduría de igual clase de Albacete, vacante por promo experiencia dé á conocer como necesarias. ción á oficial primero de D. Cipriano Saiz, á D. Benito López Enguídanos, cesante de la contaduría de Valencia! la de oficial primero de ia contaduría, de La compañía oómica. de Sevilla solicitó que por los fondos municipales se Cuenca, vacante por fallecimiento de D. Pedro Gómez Zamora, á D. Igna pagase alguna paTte de la deuda que contraj…</t>
  </si>
  <si>
    <t>SaJéPrte</t>
  </si>
  <si>
    <t>…rince se contenta can que se declare que en tiempo de paz no se podrá conferir di sa,.y entraron todos tp un. mi&gt;mo coche. cho empleo. 1 IKQ LATKltXA. El Sr. Salvandy rebate la opinión del general Demarqay, en cuyo favor habla el Sr. SaJéPrte haciendo varias observaciones que á su entender demues Xdndrrf 18 de Febrero. tran la necesidadde adherir al dictámen de aquel diputado: el general Bugeaud ,H»biálK^weisabido.en Roma lq muerte del marques de Funchal, se co- haciéndose .cargo de lo dicho por los Sres Demarqay y Salverte, contradice…</t>
  </si>
  <si>
    <t>Sajón</t>
  </si>
  <si>
    <t>…Tanto mi columna como la del mariscal Saldaña balína, con el fin de sacar de ellos ios mozos, armas ^municiones y demás, así van á marchar sobre el enemigo en las direcciones paralelas que su marcha in como Negueruela, Eguía yel coronel Sajón, que cón:25 lanceros qué lós acom dique. El enemigo ha perdido su mejor caballería, que se &lt;me-há presentado: pañaban entraron-por el portillo de Erran con el .propio objeto de engruesar su so infantería va en el peor estado/ y efi-pequeño número. El* ejercito de la facción, se volvieron en direcci…</t>
  </si>
  <si>
    <t>Sala, D Domingo</t>
  </si>
  <si>
    <t>D Domingo Sala</t>
  </si>
  <si>
    <t>…. ’ (Provincia' é£)—ÍLt&gt;gritfto. ‘"Trigo, de 27 á 30 rs. conserva)} los herederos delenidito canónigo Foguet, y que dirige Fanega: cebada, de 14.4 15 idfi'síúvias,. cfe^-O T44 id.: acerté, de d ía ^eal afc^ernia d^iá liistoria el Sr. D. Domingo Sala, dignt- 64 ¿ 08 «. 'cántara: vino, dé# £4*4 ' ’ cñno sócio coórrespondionte &lt;fé: esta ,-ycañónigo taihbien -de la santa ' Los campos no présezitan la íúbídííjsrdpia.- 'de la estaéipu. por’ felta deagúá.- yi'C". J ’’’iglesta de Tarragona.,' - Por últimp . el mismó señor archivero recomienda una soli…</t>
  </si>
  <si>
    <t>Sala, D Miguel</t>
  </si>
  <si>
    <t>D Miguel Sala</t>
  </si>
  <si>
    <t>…eros del mismo D. Ramón Ferrer: los comandan Deseoso el capitán general de castigar los asesinatos cometidos por aquellos tes D. Joaquín Ramos y D. Miguel Mirambell: los capitanes D. Vicente malvados en Falset en las personas del capitán D. Miguel Sala, en eL teniente Llorens y D. Mariano López, el primero graduado de Teniente coronel; y el D. José Castañeda y el cadete D. Miguel, hijo del expresado capitán, todos subteniente D. Gerónimo Vidal, todos del regimiento de Bailen: el teniente del regimiento infantería de Bailen, 5.° ligero, del subten…</t>
  </si>
  <si>
    <t>Sala, D Ramón</t>
  </si>
  <si>
    <t>D Ramón Sala</t>
  </si>
  <si>
    <t>…re último, que en' todas las universidades que hizo sufrir pena de muerte en los pueblos de su naturaleza. del Reino se estudie el Derecho canónico por el compendio de la referida obra ¡ y de— Que en el corregimiento de Gerona el teniente D. Ramón "Sala, de vo seo» la compañía de hacer un servicio al público, ha emprendido su reimpresión, cor regido y adicionado con las resoluciones que se han tomado hasta el dia, tocantes k la luntarios Urbanos de' Amér, sorprendió en una cueva al famoso cabecilla disciplina de la Iglesia de España que insertará…</t>
  </si>
  <si>
    <t>Sala, Domingo</t>
  </si>
  <si>
    <t>Domingo Sala</t>
  </si>
  <si>
    <t>…(Provincia' é£)—ÍLt&gt;gritfto. ‘"Trigo, de 27 á 30 rs. conserva)} los herederos delenidito canónigo Foguet, y que dirige Fanega: cebada, de 14.4 15 idfi'síúvias,. cfe^-O T44 id.: acerté, de d ía ^eal afc^ernia d^iá liistoria el Sr. D. Domingo Sala, dignt- 64 ¿ 08 «. 'cántara: vino, dé# £4*4 ' ’ cñno sócio coórrespondionte &lt;fé: esta ,-ycañónigo taihbien -de la santa ' Los campos no présezitan la íúbídííjsrdpia.- 'de la estaéipu. por’ felta deagúá.- yi'C". J ’’’iglesta de Tarragona.,' - Por últimp . el mismó señor archivero recomienda una soli…</t>
  </si>
  <si>
    <t>Sala, Juan</t>
  </si>
  <si>
    <t>Juan Sala</t>
  </si>
  <si>
    <t>…a ducida del latín por Zola: dos tomos en 8.° Se hallarán en la librería de Matute. victoria del sofista es como la toma de una plaza cuya guarnición estaba vendi ■ ■ Compendio del derecho Real de España, extractado de la obra de D. Juan Sala por preguntas y respuestas para la mayor inteligencia de los litigantes, por D. Fran da secretamente.*’ cisco González, un tomo en 8.° Se hallará 4 6 rs. rústica y 3 en pasta en.la librería ót A esta obra está añadida como apéndice, con el título de Sofismas anár Hurtado. quicos, la crítica de la D…</t>
  </si>
  <si>
    <t>…rciciode luz:de letra4.a edición,gruesa, de2 tomospapel eofino,8.°eoá 20tafileters. eny pasta.pasta fina, y en papel común de pasta regular. Se vended en la librería de Brun. - ltustración del derecho Real de España, ordenada por D. Juan Sala, pdborde de la metropolitana de Valencia, y catedrático de prima de leyes de la universidad de la misma ciudad: 2 tomos en 4.0 Se vende, con otras obras de derecho publicadas ■ Estados. Varones. Htmbras. por el mismo autor, en Madrld'en ia librería de Martínez. —Macurca y galop de tamboroo, ejecuta…</t>
  </si>
  <si>
    <t>…os tomo4*°» WtnaÍp°; rama36, rustica11, rustica38, pasta12, pasta46. —lo.16.r-I¡ustradonGot. Heinecciiai historiaderecho Realjures HeRomanLRipa dil cuande .tenían que quitarse el inguba; pero se ha abolido esta costumbre ria, por D. Juan Sala. Dos tontos 4 o: rama 2+* rustica 26, pasta 3- Digtstum ro- ¿orno incompatible con la valentía bárbara y feroz, que consideran. como la mano-hispanum, opera Joannis Sala. Dos turnos 4.0; rama 26, rústica 28, pasta 36. ptlncípal virtud de loe hombres. }-^TratadoJoannisHeDevoti,las antigiieHadesinstituiio…</t>
  </si>
  <si>
    <t>Sala, Miguel</t>
  </si>
  <si>
    <t>Miguel Sala</t>
  </si>
  <si>
    <t>…mismo D. Ramón Ferrer: los comandan Deseoso el capitán general de castigar los asesinatos cometidos por aquellos tes D. Joaquín Ramos y D. Miguel Mirambell: los capitanes D. Vicente malvados en Falset en las personas del capitán D. Miguel Sala, en eL teniente Llorens y D. Mariano López, el primero graduado de Teniente coronel; y el D. José Castañeda y el cadete D. Miguel, hijo del expresado capitán, todos subteniente D. Gerónimo Vidal, todos del regimiento de Bailen: el teniente del regimiento infantería de Bailen, 5.° ligero, del subten…</t>
  </si>
  <si>
    <t>Sala, Ramón</t>
  </si>
  <si>
    <t>Ramón Sala</t>
  </si>
  <si>
    <t>…, que en' todas las universidades que hizo sufrir pena de muerte en los pueblos de su naturaleza. del Reino se estudie el Derecho canónico por el compendio de la referida obra ¡ y de— Que en el corregimiento de Gerona el teniente D. Ramón "Sala, de vo seo» la compañía de hacer un servicio al público, ha emprendido su reimpresión, cor regido y adicionado con las resoluciones que se han tomado hasta el dia, tocantes k la luntarios Urbanos de' Amér, sorprendió en una cueva al famoso cabecilla disciplina de la Iglesia de España que insertará…</t>
  </si>
  <si>
    <t>Salado, D Fermín</t>
  </si>
  <si>
    <t>D Fermín Salado</t>
  </si>
  <si>
    <t>…lazar, Uniente de dicho cuerpo, que fue herido p&gt;» pÍÉz&amp;:adonde secuencia destiné la compañía de artillería á cubrir la puerta de Navarra, y di vemente, y murió al día siguiente, con el consuelo de qtie haría yo presenté orden al coronel D. Fermín Salado de que mandase aquel puesto adelantándo á S. M. que deja una hermana, á quien pedia que la atendiese si le era i»rato te si era preciso para flanquear á los que amenazaban por el camino de Rioja: su servicio. al cerone! teniente coronel del regimiento infantería 3.° de línea D. José del De los vándalo…</t>
  </si>
  <si>
    <t>Salado, Fermín</t>
  </si>
  <si>
    <t>Fermín Salado</t>
  </si>
  <si>
    <t>…niente de dicho cuerpo, que fue herido p&gt;» pÍÉz&amp;:adonde secuencia destiné la compañía de artillería á cubrir la puerta de Navarra, y di vemente, y murió al día siguiente, con el consuelo de qtie haría yo presenté orden al coronel D. Fermín Salado de que mandase aquel puesto adelantándo á S. M. que deja una hermana, á quien pedia que la atendiese si le era i»rato te si era preciso para flanquear á los que amenazaban por el camino de Rioja: su servicio. al cerone! teniente coronel del regimiento infantería 3.° de línea D. José del De los vándalo…</t>
  </si>
  <si>
    <t>Salamanca</t>
  </si>
  <si>
    <t>…. 23 Ag. i 18 Set. 94 33 24 ta remitirla á la dirección general, que no podrá inutilizarla hasta que haya pro Rollan.............. 9 á 16 Setiembre. 63 23 6 ducido sus efectos en la liquidación de que es responsable la contaduría general Salamanca. ..... 17 á 19 idem... 813 181 18 de la renta Logradas estas mejoras, la renta podría sufrir un aumento de sueldos Tejares.................. 1 á 18 ídem.... 30 15 12 «n alguna clase de empleados, el cual parece ser de justicia. Para instruirse de PROVINCIA CB 5EGOVIA. los manejos oscuros y fraudes d…</t>
  </si>
  <si>
    <t>Salamanca, Rafael Húmara y</t>
  </si>
  <si>
    <t>Rafael Húmara y Salamanca</t>
  </si>
  <si>
    <t>…en prosa; Se vende en esta corte en la librería de Razóla, y en Barcelona en la de Torner á 4 rs. 2 de Abril.... 1 / 2 10 ----- Lor amigor enemigar ó Guerras civiles, novela histórica original. 3 id.................. 6 4 8 18 Por D. Rafael Húmara y Salamanca , sdcio de la Real academia de Be 4 id. ............... 3 2 1 6 llas letras de Sevilla, autor del Ramiro. Los variados y gloriosos suce sos de la guerra de sucesión á principios del siglo último, las vicisitu Observación. En el número de fallecidos están inclusos los de des de dos tiernos amigos si…</t>
  </si>
  <si>
    <t>Salanqcva, Santiago</t>
  </si>
  <si>
    <t>Santiago Salanqcva</t>
  </si>
  <si>
    <t>…Solarte, y Garpollo.quc fueron aprobados. su diputación........... . . ............... .............................................................. 180' También se aprobaron bajo la condición de presentar los documentos justi- D. Santiago Salanqcva por asignación mensual................................ 20 ficativq\íquOii«.Uey seáalavlbs del Sr.:Miratoda'éy Jubiéndoic suscifado una li Éxcmo. Sr. tzsarques de Su. Cruz.................................................... .. 800 gera discusión sobre si debía fijarsetérminó.para esta presentación c…</t>
  </si>
  <si>
    <t>Salanueva, Santiago</t>
  </si>
  <si>
    <t>Santiago Salanueva</t>
  </si>
  <si>
    <t>…............................................................... 20 Excmo. Sr. duque de Gor.....................................................................- 500 Por Real orden de 28 de Agosto próximo »e ha concedido al ayunta D. Santiago Salanueva...................................................................... 1 20 miento d= la ciudad de Samandecei permiso que solicitó para la construcción D. Mauricio CárLos de Onts................................................................... 309 de un teqtto, poniéndose de acuerdo con el gobernador civil en cuanto á la D. Gabriel Muñoz, por la suscripción del pres…</t>
  </si>
  <si>
    <t>Salazar, José</t>
  </si>
  <si>
    <t>José Salazar</t>
  </si>
  <si>
    <t>…mo lo Hice, con la tropa que allt estaba por la calle del Arrabal á salir á la Madrid, y han llenado los deberes militares oofi entusiasmo y lamentable pér^ sfereutrió todó aquello de que podía disponer; á cuya con dida del jóven D. José Salazar, Uniente de dicho cuerpo, que fue herido p&gt;» pÍÉz&amp;:adonde secuencia destiné la compañía de artillería á cubrir la puerta de Navarra, y di vemente, y murió al día siguiente, con el consuelo de qtie haría yo presenté orden al coronel D. Fermín Salado de que mandase aquel puesto adelantándo á S. M. qu…</t>
  </si>
  <si>
    <t>Salbey, Vicente</t>
  </si>
  <si>
    <t>Vicente Salbey</t>
  </si>
  <si>
    <t>…nistro.de pan para las tropas,- y descebada y paja Camino, D. Gregorio Salines, D. Uomingo RodriguCa, D, Sebastian Luzon j&gt;,.Jaiine pa,a tos caballos rstontes y {gaseuntes en Ja demarcación militar de la capitanía ¡jer-i:- I&gt;.,t. D. Vicente Salbey, D. Manuel BJazquez , D. Fernando Herrera , Uommgo Lcoral la Nueva. Se han señalado para el sulo y único rema te L-1 di a 1.1 del pró paris, Juan Sala, Doña'Marra Josefa Moreno, y i los hijos menores de D. Alonso ximo níés de Julio' í 1 as drice dé su mañana en los estrados dé la Ordenación de dieh…</t>
  </si>
  <si>
    <t>Saldada</t>
  </si>
  <si>
    <t>…La-pérdida del enemigo debe haber sido con de este punto, no ha ocifrriijo novedad alguna. Acaba de presentarse siderable, sin que podamos saberla por la aspereza del terreno; pero al Excmo. Sr. duque de Terceira un ayudante del general Saldada, hemos encontrado bastantes muertos, y se les han cogido algunas ar V dice que á las siete de la mañana comenzó á ser ocupado Santa mas: nuestra pérdida ha consistido en un cabo muerto de Connxisren sin oposición alguna por fiarte de los mlguelistas; que estos y tela , cuatro soldados heridos del P…</t>
  </si>
  <si>
    <t>Saldaña</t>
  </si>
  <si>
    <t>…&amp;daK d»* porque no, conozco otro senderó que él del honor y la lealtad; y que por lo 1 barcas k¡ la costa de España. {Noticia particular.} mismo seré inexorable con el que' ¿£ rt de la Imarcha de justicia y común l La* tropas del general Saldaña han conseguido otra victoria contra las. da utilidad aue nos ha trazado la sabiduría do la Rj&amp;iAa inmortal que nos dirige; I X&gt;* Miguel f según resulta del parte «guíente: T tW*. iw propuesto procurar el bica general de. la nacioaF la gloxit l</t>
  </si>
  <si>
    <t>…evjproposición fue aceptada inmediatamente, y abierta la suscripción en el mo dente de que njdu se aiterjra en este pucto. 'I-, lie’ ifo ) mento. Kl duque de'Tercera se suscribió el primero: .siguieron;c el du pie de Pálmela y el mariscal Saldaña, con otr.n varias perdonas de alto rango. La — ^ a está e! mmisterio ín/des formad^ de nr/es«o v «iguiendo la misma di mUma noche v* ascendía la suscripción á cerca de 10 libras esterlina*: v como rección oüc el g-fbinete que le hi preccduío. JL'ri’ -jeneo en principios, ha acep •l duque de Tercen…</t>
  </si>
  <si>
    <t>…I Dou Martínez, secretario. • ~ menos en el ejército de D. Miguel mas de hombres entre muertos y deser tados, y que el resto, cortada su retirada á Santaren, se dispersó por el inte PAUTE NO OFICIAT. rior del país. Se dice que el general Saldaña tuvo tres caballos muertos durante la acción. {Courier.') NOTICIAS EXTRANGERAS. -El Cóurier había anunciado por avisos que creía fidedignos una batalla entre las tropas de los dos hermanos de Portugal en que los miguelistas habían perdido de 2d á 2500 hombres; pero después ha dicho que había sido i…</t>
  </si>
  <si>
    <t>…seguida activamente de de Saldaña principiamos inmediatamente el paso del Tajo para perseguir á la facción de Badillo que el 16 se presentó' en ios pueblos dél -valle de Toaquel: hoy estará ejecutado. Tanto mi columna como la del mariscal Saldaña balína, con el fin de sacar de ellos ios mozos, armas ^municiones y demás, así van á marchar sobre el enemigo en las direcciones paralelas que su marcha in como Negueruela, Eguía yel coronel Sajón, que cón:25 lanceros qué lós acom dique. El enemigo ha perdido su mejor caballería, que se &lt;me-há pres…</t>
  </si>
  <si>
    <t>Saldanha</t>
  </si>
  <si>
    <t>…nuestra excelsa Reiva Ja Señora Doña Laell ii , á su augusta Mddrc la Se-’ - .,,Ilrao. Sr.: Participo á V. S. para que lo haga presente á S E. el Sr. ma ñora Dona María Cristina , al ajunumiento y al limo, diocesano, á que riscal conde Saldanha que en Lamego está arrestada toda uná compañía del ba contestó la tropa, las autoridades espectadoras y el pueblo entero con el ma tallón de la misma por haber intentado entregarse. D. Miguel estuvo ayer yor entusiasmo. en Salvatierra á cosa de las dos de la tarde con la guardia de una compañía de…</t>
  </si>
  <si>
    <t>…disposicioneadd expresado se dirigían á Santarem , dispersándose algunos de los realistas. La reunión de las Sr. general barón de Carondelet en la jornada á que se refiere tí aptenorlnsfuerzas del duque de Terceira con las que el general Saldanha había enviado á cripto, ratificando y encareciendo sus justas recomendaciones era Creed de Ía&amp; su encuentro desde su campo frente á Santarem , coq dirección á Leiría, deter cuerpos é individuos que denomina. Dios &amp;c. Cuartel general de Gouvea % minará los movimientos ulteriores. de Mayo de 1834—Exc…</t>
  </si>
  <si>
    <t>Saldanha, Je</t>
  </si>
  <si>
    <t>Je Saldanha</t>
  </si>
  <si>
    <t>…era. (.Víniri ^wutitucio-* mente contuso el capitán de caballería Vasconcellos , y qué al regresar la tropa nal de Lisboa dei l.° de Febrero.) que perseguía al enemigo, dirigió un escuadrón por Golegá, que también hizo Oficio del conde Je Saldanha al ministro de Guerra. 4 prisioneros. (Crónica constitucional de Latea de 28 de Enero.) ____ El barón de Faro avisa desde dicha plaza, con fecha 5 del actual, que ins limo, y Excmo. Sr.: Hallándome el dia 28 en el puente de Alviella, tur® truido deque el enemigo se disponía á atacar á Olhao, á cuyo…</t>
  </si>
  <si>
    <t>Sales, D.'Joaquín</t>
  </si>
  <si>
    <t>D.'Joaquín Sales</t>
  </si>
  <si>
    <t>…spensable en todos tiempo*, y especialmente, en (Nota de los que han sido fusilados. El capitán de infantería ilimitado en los principios de una autoridad creada por S. M. para alivio de los pueblos y enicarló D. Narciso Cruz, el teniente D.'Joaquín Sales, el subteniente gra- remedio de sus inveterados males, la cooperación de todos los hombres ¡lustres 1 sargento de Carabineros Francisco Asenjo, el titulado comisario D. Mi- por su saber y su prudencia, he acordado que se lleven inmediatamente í efec Jguel Soto, el cabecilla D. Juan Marcoval y el ex…</t>
  </si>
  <si>
    <t>Sales, Joaquín</t>
  </si>
  <si>
    <t>Joaquín Sales</t>
  </si>
  <si>
    <t>…en todos tiempo*, y especialmente, en (Nota de los que han sido fusilados. El capitán de infantería ilimitado en los principios de una autoridad creada por S. M. para alivio de los pueblos y enicarló D. Narciso Cruz, el teniente D.'Joaquín Sales, el subteniente gra- remedio de sus inveterados males, la cooperación de todos los hombres ¡lustres 1 sargento de Carabineros Francisco Asenjo, el titulado comisario D. Mi- por su saber y su prudencia, he acordado que se lleven inmediatamente í efec Jguel Soto, el cabecilla D. Juan Marcoval y el ex…</t>
  </si>
  <si>
    <t>Salgado, Joscf</t>
  </si>
  <si>
    <t>Joscf Salgado</t>
  </si>
  <si>
    <t>…rmas. Al roojnénto piedra negra y de mucho inérito artístico, ofrecía á Ja vista un magnífico es- salió en alcance de ¿o» facciosos una columna de 2ü infantes y 12 caballo»» Ipectáculo. ; . aquellos al mando dd teniente ilimitado D. Joscf Salgado y del sargento l.Q La fuerte de la plaza del Salvador , adornada- por Jos gremios de zapateros, licenciado D. Josef Vázquez de Ruga, y éstos al dt D. Juan Ramón Oavjpv pintores, herreros y otros, presentaba una perspectiva muy agradable. Constaba sargento de la caballería armada. Dopue» de una marcha ráp…</t>
  </si>
  <si>
    <t>Salgueíro, Antonio</t>
  </si>
  <si>
    <t>Antonio Salgueíro</t>
  </si>
  <si>
    <t>…o y benevolencia que he encontrado á cada paso en mi tránsito por copio ■ Excmo. Sr.: A las ocho de esta noche recibo el parte deí teniente del este pais? «Acaso en esta asamblea, que digan lo que quieran imaginaciones 2.° ligero D. Antonio Salgueíro, que desde Menas-albas con fecha de hoy dice tnftnttts¿obre la supuesta reacción de la opinión pública, nunca se reuniera asi: En este momento llego á esta vüla, de la que salí ayer á las once de su</t>
  </si>
  <si>
    <t>Salí</t>
  </si>
  <si>
    <t>…o de una nueva victoria; 48 prisioneros, varios muertos y heridos, y entre ellos el Londres, a 9O días, i b. Santander, ^ b. a 4 p. 100 al año. gefe Jover y otros cabecillas son el resultado de ella. 3 n- Bilbao, ¿ d. Santiago, | d. Salí del pueblo de Lagueruela siguiendo a la fjcclon de Conesa Y las tropas ANUNCIO. desafiaron con incansable entusiasmo el rigor del tiempo, que nos abrumó con lluvia y granizo. Después de-13 horas de fatigas sin alimento , encontré la fac ción en el pueblo de Lidon, que en número de mas de 100 infantes y…</t>
  </si>
  <si>
    <t>…r D. Gaspar jáuregui, comandante gencial de Guipúzcoa. ron para ia Barranca , donde puó la noche , y á la mañana siguiente se enca =Es copia &amp;c. minó por el puerto de Lizagarra , qye es de lo mas áspero de esas montañas, 7 Excmo. Sr.: Salí hoy al amanecer de Elgoibar con las divisiones 1.a y se dirigió al mismo pueblo de Liz^garra. 5 * que me siguen, á fin de atacar al Pretendiente supermanecia en Lequeitio. Como Z imalacarrcgui tu¡vo noticias de la marcha de su pretendido Rey,- Al intento he procurado marchar con la 1.a i Marquina p…</t>
  </si>
  <si>
    <t>Saliché</t>
  </si>
  <si>
    <t>…para recibir el honor insigne de dar la Todos los quo se interesan en la suerte de los polacos-, les acóntejan" que tomen sus pasaportes y salgan de Suiza: también se dice que el gobierno les ba mano de esposo á su hija mayor la princesa Saliché, jóven de unos 22 años: el dado el mismo consejo. Si los polacos persisten en no querer irse, pondrán al matrimonio se verificará de aquí á dos meses, para cuya época se preparan grandes fiestas públicas y privadas entre ios .glandes del imperio, los cuales de 1 gran consejo de Berna en la triste n…</t>
  </si>
  <si>
    <t>Salinas</t>
  </si>
  <si>
    <t>no solo KsIrtr^ ^stB fuor.zu enemigu, tino que las-escarmentó, causándoles Lérida (25 de Mayo.) Trigo, de 62 £ 64 Xí. .cuartera : celada, de 32 18 muertos y dos heridos, contándose entre los primeros el capitán Salinas,' £ 34 id.: judías, de 62 £ 64'&gt;d-aceite , de 33 í 34 rs. arroba: vino del país, oficial que fue del regimiento de.Zaragoza, y dispersándose el resto. El rebel de 24 £ 25 rs. el cántaro:id. del priorato , de 56 £ 64 ¡d. de Zumalacatregui, qqe esperaba en la sierra de Ándia el éxito de esta sorpre M…</t>
  </si>
  <si>
    <t>Salines, Gregorio</t>
  </si>
  <si>
    <t>Gregorio Salines</t>
  </si>
  <si>
    <t>…enavet, en aquel principado, á T&gt;. Jotré Magran, II. Miguel Arpe, D. José del Valle, II. Juan Colmenar, Doña Marra Teresa Pero/. ,fr! 1 'Se’sata á pública subasta1 el suministro.de pan para las tropas,- y descebada y paja Camino, D. Gregorio Salines, D. Uomingo RodriguCa, D, Sebastian Luzon j&gt;,.Jaiine pa,a tos caballos rstontes y {gaseuntes en Ja demarcación militar de la capitanía ¡jer-i:- I&gt;.,t. D. Vicente Salbey, D. Manuel BJazquez , D. Fernando Herrera , Uommgo Lcoral la Nueva. Se han señalado para el sulo y único rema te L-1 di a 1.1 del…</t>
  </si>
  <si>
    <t>Salió</t>
  </si>
  <si>
    <t>…te general de las provincias Vascongadas con fecha 24 de ble, que aja el alma y la consuma, con tanta fuerza, como, la acaricia y la Diciembre remite el parte siguiente: alienta esta expresión Juvenil y risueña. Yo seré/ •&gt;Excmo. Sr.: Salió ayer de este punto el coronel del regimiento de Cór Evitad, digo á los que me consultan, una profesión flotante y móvil, doba D. José de Bueren, con los batallones l.° y 2.° de su mando, 10 cela en que basta un capricho del público, ó una feliz inspiración del entendi dores de Alava y 20 caballos d…</t>
  </si>
  <si>
    <t>Salió, Córdoba</t>
  </si>
  <si>
    <t>Córdoba Salió</t>
  </si>
  <si>
    <t>…burgo, 00. Barcelona, fcpa.fr,. Málaga, ¿ b. Descuento de letras, 1 id. **p. 100 al año. La facción navarra parece que se halla eü las Amescuas. La división del Londres,JE#. 4 90 días, Bilbao*8 á i £id.d. .Santiago,Santander,4 d, general Córdoba Salió aquel dia para Salvatierra, y la del brigadier López es taba en ViatMs El gobernador civil de Albacete con fecha de 25 de Noviembre da parte ANUNCIOS. al Gobierno de las funciones y regocijos públicos con que se han celebrado en La abeja enciclopédica, ó sean nociones razonad» de todoa los conocimi…</t>
  </si>
  <si>
    <t>Salió, D Luis Fernandez de Córdoba</t>
  </si>
  <si>
    <t>D Luis Fernandez de Córdoba Salió</t>
  </si>
  <si>
    <t>…esta. hora que sbn las Sncé Pamplona á 4 de Noviembre de 1834* , ■de la mañana ha tomado el mando del ejército de Navarra el teniente general D. Francisco E'pOz f Mina. El general 2). Francisco Éspols y Mina 4 los navarros.. ■ El general D. Luis Fernandez de Córdoba Salió antes de ayer con Su di , Paisanos: Acabo de posesionarme del mímelo del ejército destinado á misión y dos batallones mas en seguimiento de la facción rebelde-,, que hoy k pacificar nuestra provincia» &gt; las ocho se hallaba en Osooz y sus inmediaciones, distante de aqui tres leguas. Aunque lejos de…</t>
  </si>
  <si>
    <t>Salió, Luis Fernandez de Córdoba</t>
  </si>
  <si>
    <t>Luis Fernandez de Córdoba Salió</t>
  </si>
  <si>
    <t>…ra que sbn las Sncé Pamplona á 4 de Noviembre de 1834* , ■de la mañana ha tomado el mando del ejército de Navarra el teniente general D. Francisco E'pOz f Mina. El general 2). Francisco Éspols y Mina 4 los navarros.. ■ El general D. Luis Fernandez de Córdoba Salió antes de ayer con Su di , Paisanos: Acabo de posesionarme del mímelo del ejército destinado á misión y dos batallones mas en seguimiento de la facción rebelde-,, que hoy k pacificar nuestra provincia» &gt; las ocho se hallaba en Osooz y sus inmediaciones, distante de aqui tres leguas. Aunque lejos de…</t>
  </si>
  <si>
    <t>Salmón, Manuel González</t>
  </si>
  <si>
    <t>Manuel González Salmón</t>
  </si>
  <si>
    <t>…en que-iba, y no poco, el bienestar y prosperidad de la Nación. Ks de suponer que consideraciones semejantes impulsaron al Sr. D- Fer Estatuto Rf.al. nando vi i 4 crear por decreto autógrafo de 5 de Noviembre de 1830 dirigi do .i D. Manuel González Salmón el Ministerio de lo Interior , que asi se ¡e ILUSTRES PROCER! S T ÍEÑOItES PROCURADORES DEL REINO. denominaba en el citado decreto. No se cumplió este en aquel momento por causas que se ignoran; peto sí refiriéndose á él se mandó en 5 de Noviembre ,A1 venir ante Us Córte» 4 cumplir el deber que me…</t>
  </si>
  <si>
    <t>Salomón, Pedro</t>
  </si>
  <si>
    <t>Pedro Salomón</t>
  </si>
  <si>
    <t>…... . 3] S-,M. la Reiva Gobernadora se ha dignado disponer por Reales órdenes Excmo. Sr. príncipe Pío, marques de Castel-Rodrigo, por mano de de 27 de Agosto último y 3 del actual el socorro en sus necesidad^ jos pue su apoderado D. Pedro Salomón, adviniendo qpe se inviertan 500 rs. blos afligidos por el cólera en las provincias siguientes: en el barrio de Afligidos. , ........................................,......................... 2,009 A los de la provincia de (Jastellon de la Plana con 109 rs. Excmo. Sr. duque de S. Fernando, por susc…</t>
  </si>
  <si>
    <t>…nt# preparatoria f l i ¡ r...........* E. P... .1 320 Sq^abrió lp sesiqq.á las diez y cuarto, y,el Sr. Diez Gopzalez pidió que se- í&gt;. B. F 400 rectifitíase en acta de la sesión anterior el párrafo relativo' á 'íafc' poder es det D. Pedro Salomón, sin perjuicio- de contribuir con mas si sigue la Sr. P^ada*; pues se dpcia qué el dictamen de la Comisión era que se desapro-. enfermedad.. ............... ................................................................ .. 320 basenVy fue ¿I de c^iic se aprobaran por las'Circunstancias páni¿i/lái…</t>
  </si>
  <si>
    <t>Saltquer, Antonio</t>
  </si>
  <si>
    <t>Antonio Saltquer</t>
  </si>
  <si>
    <t>…el Gallego, el de Guipúzcoa. la abandonaron; y avanzando el canon en proporción que lo hacia la infante Comandancia general de Guipúzcoa.=Ejercito de operaciones del Nortc.= ría al cargo de Sánchez, y la caballería al del coronel D. Antonio Saltquer, 3.1 división. rrExcmo. Sr.: La necesidad de reprimir los horrores v vejaciones empezó desde entonces la retirada de los facciosos por un movimiento concen que los rebeldes guípuzcoanos causaban en todo el país , me obligaron á mar trado hácia las Neveras; los que habían llegado hasta el alto de Ju…</t>
  </si>
  <si>
    <t>Saltquer, D Antonio</t>
  </si>
  <si>
    <t>D Antonio Saltquer</t>
  </si>
  <si>
    <t>…lamada del Gallego, el de Guipúzcoa. la abandonaron; y avanzando el canon en proporción que lo hacia la infante Comandancia general de Guipúzcoa.=Ejercito de operaciones del Nortc.= ría al cargo de Sánchez, y la caballería al del coronel D. Antonio Saltquer, 3.1 división. rrExcmo. Sr.: La necesidad de reprimir los horrores v vejaciones empezó desde entonces la retirada de los facciosos por un movimiento concen que los rebeldes guípuzcoanos causaban en todo el país , me obligaron á mar trado hácia las Neveras; los que habían llegado hasta el alto de Ju…</t>
  </si>
  <si>
    <t>Salvador</t>
  </si>
  <si>
    <t>…a - ciudadlos reSidente», siempre enemigos del partido que derecho con que se crean asistidos en el recurso de injmricja noroT-ia, interpuesto por formaba casi: lp unani midad dél Congreso, se opusieron i esta resolución, y no el D. Salvador, en autoasegnidus con 3&gt;. Juan Suitesi vecino de Ciudadela en Menorsia» sobre pago'de mrs.; con apercibimiento que de no hacerlo'sé déclaráripor desierto di-' se pudo zanjar la dificultad: táno. eUgiendo un barrio de Nauplia, llamado de, cho recurso, y seremitirin los autos 4 la Real audiencia' de…</t>
  </si>
  <si>
    <t>…ellas que la libertad de lo* profesores para concebirlas, se abstiene, por 110 sión de Navarra. entorpecer con ninguna especie de trabas el vuelo de *u imaginación, de indi También merecen particular mención los de la misma clase D. Salvador car la clase de que haya de ser el monumento: todo lo deja á la elección de los Gambarte, primer comandante de carabineros de costas y fronteras; D. Fausto opositores hasta el sitio en que haya de colocarse en esta corte. Asi pues al ex del Hoyo, del regimiento de Almansa, 18 de línea, y D. Joaquín…</t>
  </si>
  <si>
    <t>…graduado D. Pedro García, D. Francisco blica. Jimeno y D- Pascual Cümens; y los subtenientes, teniente graduado L). Vic Ha dirigido también su atención á la mejora de caminos, para lo cual ha torino Tabuenca , el capitán graduado D. Salvador brigola, v D. Pedro Re oficiado al administrador de correos de la capital, deseando informarse del es venga, que recibió dos heridas, batiéndose cuerpo á cuerpo con tres facciosos; tado de los* caminos, puentes y demas obras que este? 1 su cargo, y sobre los cuyos oficiales, mmá.ináo sus respectiva…</t>
  </si>
  <si>
    <t>Salvador, D Joaquín</t>
  </si>
  <si>
    <t>D Joaquín Salvador</t>
  </si>
  <si>
    <t>…ada, del orden de Mercena- Los enemigos al ver envueltas mis guerrillas por las nuestras, v los acerta I nos*5, ha expedido una pastoral con fecha J£ de Diciembre último, inculcando dos tiros de nuestra artillería dirigida por el teniente ,D. Joaquín Salvador, mo I la paz y la concordia evangélica á sus diocesanos, y anunciando á sus cuopcra- vieron en aquel acto la gruesa columna de su izquierda con designio de envol l dore» en el ministerio santo, con la franqueza piopia de un pastor de la Iglesia, ver nuestra ala derecha ; pero con un mal éxito por f…</t>
  </si>
  <si>
    <t>…del individuos en general, y en particular al gefe y oficiales dé la pla 2.° batallón de la Princesa-, se apoderase de la altura deNarbatazu; na mayor, al primer comandante del regimiento de Zaragoza, Don al teniente graduado de capitán D. Joaquín Salvador, comandante Jaime Mercader, que estando gravemente enfermo subió por las de la artillería, que con las compañías de granaderos del l.° y 3.° montañas á la cabeza de su cuerpo, á los tres soldados heridos de batallón de Zaragoza le siguiese y colocase las piezas en una posi la Princesa, y entre esto…</t>
  </si>
  <si>
    <t>Salvador, Joaquín</t>
  </si>
  <si>
    <t>Joaquín Salvador</t>
  </si>
  <si>
    <t>…rden de Mercena- Los enemigos al ver envueltas mis guerrillas por las nuestras, v los acerta I nos*5, ha expedido una pastoral con fecha J£ de Diciembre último, inculcando dos tiros de nuestra artillería dirigida por el teniente ,D. Joaquín Salvador, mo I la paz y la concordia evangélica á sus diocesanos, y anunciando á sus cuopcra- vieron en aquel acto la gruesa columna de su izquierda con designio de envol l dore» en el ministerio santo, con la franqueza piopia de un pastor de la Iglesia, ver nuestra ala derecha ; pero con un mal éxito por f…</t>
  </si>
  <si>
    <t>…ividuos en general, y en particular al gefe y oficiales dé la pla 2.° batallón de la Princesa-, se apoderase de la altura deNarbatazu; na mayor, al primer comandante del regimiento de Zaragoza, Don al teniente graduado de capitán D. Joaquín Salvador, comandante Jaime Mercader, que estando gravemente enfermo subió por las de la artillería, que con las compañías de granaderos del l.° y 3.° montañas á la cabeza de su cuerpo, á los tres soldados heridos de batallón de Zaragoza le siguiese y colocase las piezas en una posi la Princesa, y entre esto…</t>
  </si>
  <si>
    <t>Salvador, Manuel Justo</t>
  </si>
  <si>
    <t>Manuel Justo Salvador</t>
  </si>
  <si>
    <t>…; D- Casimiro Val, que Llegado el refuerzo, compuesto del picador del regimiento de caba se decía capitán , oficial que fue de correos y ex-realista del dicho;. llería del l.° de ligeros, 7 soldados del 3.° de la misma arma, 3 ur D. Manuel Justo Salvador, excomandante también de los ex-rea— banos de caballería y otros tantos de infantería, se circunvalaron to listas; Antonio Perez, ex-realista de Villalpando y José Padierna, dos los manchones de cañizo y mariega que formaban el grupo princi desertor de carabineros, conseguí la captura de 56, inclus…</t>
  </si>
  <si>
    <t>Salvador, P Manuel de Pedro Sr P</t>
  </si>
  <si>
    <t>P Manuel de Pedro Sr P Salvador</t>
  </si>
  <si>
    <t>…. D. Ramón de Ciscar. Dolores............ . 27 á 29 ídem. 78 19 2 Sr. P. Pedro Marti. PROVINCIA BE TERCER. Rojales........... . 30 Junio á 1.a Julio....... 12 00 I Sr. D. Juan Romero Alpuente. Cox.................. . 27 Junio á 2 Sr. P. Manuel de Pedro. . 201 6 48 Sr. P. Salvador Campillo. Catral. ...... . »30Julio............id. á 1.a Id. 17 83 8 PROVINCIA DE MADRID. Parte recibido en lo secretaría de Estado y del Despacho de la Guerra. - El geneial en gefe; del ejército de operaciones del Norte P. José Ramón Parte sanitario de VdlUcas en 7 de Julio de 1834&gt; Rodil, con fec…</t>
  </si>
  <si>
    <t>Salvador, Vicente</t>
  </si>
  <si>
    <t>Vicente Salvador</t>
  </si>
  <si>
    <t>…de raíz, haciendo el destrozo mas grande , cogiendo en ellas el Ebro dirigiéndose á S. Vicente. Los Tenientes D. Dionisio Arguelles, dei Á su familia, que se componía entre chicos y grandes en número cic 13 blan l.° de ligeros, y D. Vicente Salvador, del de húsares, han llenado su deber.” cos, los cuales salieron heridos, sacándolos de debajo de los escombros de la Lo qúe traslado á V. É. para su conocimiento y satisfacción de la Ruina casa de vivienda, y en los bohíos de los negros se recogieron heridos en nú Gobernadora, á cuya soberana cons…</t>
  </si>
  <si>
    <t>Salvandy</t>
  </si>
  <si>
    <t>…espera cúaftto antes tiones dirigidas á este objeto, y propone que se declare no ha lugar á votar á M. Ancíllon, ministro de Prusia, el cual según se cree dará mayor movi sobr$ todas estas exposiciones. , miento á los asuntos. El Sr. Salvandy quiere que se admiran á discusión estas ekp'osiciones pard ____^Tenemos aquí al archiduque Fernando de Este y al duque de Lúea* acreditar que siempre que se trate de mantener la constitución del Estado habrá ____En Hungría han sido condenados varios individuos, y entre ellos algunos en la Cámara la…</t>
  </si>
  <si>
    <t>…los extremos : Al órdeñ! al órden 1 daba sobrado valor á aquellos facciosos, y que promovía los albo Muchas voces: Al orador de ayer se debió llamar al órden. rotos situando en las plazas una fuerza que llamaba la atención de El Sr. Salvandy: Este orador ha insultado á ios magistrados los ciudadanos. en su discurso. «Cuando por el contrario, ha presentado solo fuerza de poca Otras voces: Continuad, continuad. consideración, dejando de reserva mayor número de tropa para ro El Presidente: Señores, lo que decís me autoriza para hacer dear…</t>
  </si>
  <si>
    <t>…ncia, JjUy.y la Reina dé los belgas salieron á recibirá su augusta madre y Prince se contenta can que se declare que en tiempo de paz no se podrá conferir di sa,.y entraron todos tp un. mi&gt;mo coche. cho empleo. 1 IKQ LATKltXA. El Sr. Salvandy rebate la opinión del general Demarqay, en cuyo favor habla el Sr. SaJéPrte haciendo varias observaciones que á su entender demues Xdndrrf 18 de Febrero. tran la necesidadde adherir al dictámen de aquel diputado: el general Bugeaud ,H»biálK^weisabido.en Roma lq muerte del marques de Funchal, se co-…</t>
  </si>
  <si>
    <t>Salvcrte'</t>
  </si>
  <si>
    <t>…su contestación. y de la armada: la Cámara lo manda imprimir y distribuir. c El Sr. jollivct pide que se cierre la discusión: contradice esta pretensión el Pregue la discusión relativa á la liquidación de créditos de la casa Real Sr. Salvcrte', mas la Cámara adhiere á la indicación del Sr* Jollivet, y cff se de Cirios x: el Presidente vuelve á leer el art. 3.° Los Sres. L’herhctte y Testp guida «concede pernirio ai fiscal general del tribunal Real de París para; que son de opinión que «ste artículo se debe suprimir: los Sres, Schonen y P…</t>
  </si>
  <si>
    <t>Salverte</t>
  </si>
  <si>
    <t>…del derecho de ex cia á los que le dicen razón y verdad.” El Monitor continua: «Este artículo pectativa que abre la ley de 5 de Diciembre de 1814*” estaba ya impreso cuando se han esparcido voces sobre la supresión de nuestro El Sr. Salverte propone que se agregue una cláusula autorizando á los que periódico entre gentes quizá mal intencionadas ó ignorantes de los hechos, mas posean esta clase de bienes para adquirir la propiedad de ellos por convenio con S. E. Boghos Bey nos ha asegurado positivamente que nuestro papel seguiría el Est…</t>
  </si>
  <si>
    <t>…esión de ídem. Aunque en el primer oficio dije á V. E. que habiá hecho 162 prisioneros, resulta que reunidos los que había en la extensa línea que ocupaba nuestra tro Prosigue la discusión sobre abolir la pena de muerte civil. El Sr. Salverte pa, asciende el total de ellos á 230, inclusos cuatro oficiales, uno de ellos el rebate los argumentos que contra la proposición hizo ayer el Sr. Petit, procura teniente coronel del batallón de infantería núm. l.° Antonio Joaquín Ferreira, demostrar que la pena de muerte civil no es saludable, mora…</t>
  </si>
  <si>
    <t>…qué ^c. anule la térra con su unión y uniformidad de lenguaje. De todos modos la solución de ley que prohíbe regrese á Francia ningún individuo de aquella familia. ufta nueva garantía de la paz, y un objeto de satisfacción co El Sr. Salverte observa que no se ha demostrado todavía la utilidad de la man. tGlohc.y , ley que destierra dé Francia la familia de Napoleón , y opina que se deben re £1 J|dorningrCkrünjcU habla de la división que» según cree» reina entre clamar los restos mortales de aquel gTan capitán. " • rA los ministros; con…</t>
  </si>
  <si>
    <t>…resolver si se ha de la orden de Carlos ni y. títulos de Castilla, con muchos otros españoles y de abrir ¡nmcdi.mmente la discusión general. extrangeros. Todos imploraron del cielo el descanso eterno por el alma de Fer Observa el Sr. Salverte que no siendo suficiente.oir leer una sola vez la mi nando vil, Rey católico de las Empañas. nuta de respuesta para entrar desde luego en discusión de tanta importancia, INGLATERRA» convendrá disponer, como se hizo el afio próximo pasado, que se imprima di cha minuta, dando un ejemplar í cada diput…</t>
  </si>
  <si>
    <t>…s para corroborar lo que aquel ha dicho, y cree que se debe apro llos es extraviar á los honrados y pacíficos trabajadores, excitarlos al desorden, bar la ley. porque á ht sombra de este esperan realizar sus inicuos proyectes. El Sr. Salverte es de contrario parecer, pues en su sentir los folletos que se «Como el motín y la rebelión no les ha proporcionado el triunfo á que publican son obra de cierto partido que procede con arreglo al platique se ba aspiran , se han visto precisados á valerse de otros arbitrios. En las plazas , en propu…</t>
  </si>
  <si>
    <t>…n alarde de seguirlas máximas de .Robespicrrc, 1* declaración franca de republicanismo que tiene órganos hasta en la Cámara de que voto consultivo." diputados, y las afiliaciones que derramadas desde la capital por los departa El Sr. Salverte desea que la Cámara le oiga en la sesión de mañana. El mentos xxmeítan la plebe, alarman las poblaciones pacificas y ponen en hosti presidente pregunta si la Cimara accede al de»eo del Sr. Salverte. El Sr. Maugüín es de opinión que todo diputado tiene derecho a hacer presuntas á ios mi lidad á los…</t>
  </si>
  <si>
    <t>…r la Cámara alta dijo lord Wínford que pefl-* El Presidente réCuerda que en la sesión de ayer quedó pendiente la reso I saba hacer una mocion para la mas exacta observancia del domingo; pero que lución relativa á La solicitud del Sr. Salverte; y añide que para conservar ile [sabedor de que se le había anticipado ano de sus nobles compañeros, tenia el so el derecho de la Cámara y el de los diputados le parece oportuno poner á m lyor placer en cederle la palabra. votación las dos cuestiones siguientes: "¿consiente la Cámara en que se haga…</t>
  </si>
  <si>
    <t>…ió el ayuntamiento y comitiva á la iglesia parr-quiai una hijuela de la sociedad de los derechos del hombre. para dar gracias al Todopoderoso, y colocados que fueron los retratos de Haciéndose cargo de los hechos que ha citado el Sr. Salverte, niega los unos SS. MM. á la derecha del presbiterio, y bajo un magnifico dosel, se cclrbr., .a y hace ver que otros han sido notablemente alterados. Manifiesta después las misa por el señor cura párroco, y predicó una oración alubi a al objeta de ¡a órdenes que se habían comunicado a los prefectos…</t>
  </si>
  <si>
    <t>…alidad, con la mente, que no se debe restringir la facultad de enseñar. ’ sabiduría y la independencia del jurado. El Sr. Guizot, ministro de Instrucción pública, después de hacer ver que El Sr. Dumon cree que si la propuesta del Sr. Salverte se toma en su sen ae. puede dirigir un Estado con el sistema de moderación y justicia que en el día tido natural, es inútil, porque nadie niega que es preciso que el jurado deba se, sigue á pesar de que sus adversarios lo gradúan de inasequible: recuerda todo lo proceder con sabiduría ¿ independenc…</t>
  </si>
  <si>
    <t>…e yPortalís, se ponga la energía de la magistratu nadora tuvo a bien dirigir con fecha 18 del mes de Octubre próximo anterior. ra y del jugado. * p Se verificó este grandioso y respetable acto siguiendo el estilo y colúmbre de El Sr. Salverte dice que adhiere i la idea del Sr, Gillon , con tal que se di proclamarse previamente en la plaza Real por el alférez mayor le ia ciudad, ga la energía c indefendemia de la magistratura y del jurado. El ministro y acto continuo por e! del Principado, que io es ci conde de Toreno, en la de Comercio…</t>
  </si>
  <si>
    <t>Salvio</t>
  </si>
  <si>
    <t>…presupuestos se conceden bajo condición de que se cumplan exactamente las Cádiz 5 de Mayo» leyes; y concluye pidiendo que el ministro conteste á las observaciones que Aviso á los navegantes. El capitán del bergantín español Darío D. Salvio acaba de hacer. Vila , que fondeó en esta bahía él 26 del pasado procedente de la Habana, dió, La Cámara cierra la discusión general y pasa á la de los artículos* con fecha l.° del corriente, al señor capitán del puerto el parte que á conti Después de un acalorado debate en que hablan MM. Mercier,…</t>
  </si>
  <si>
    <t>Salya</t>
  </si>
  <si>
    <t>…la primera vez que un encargado de Negocios ha recibido tan señaladas mues Tribunales de justicia. Este edificio necesitará algunos reparos. tras de aprecio. Sata de Westminster. No ha sufrido ningún daño. El 12 del corriente la princesa Salya, hija del Sultán, y muger de HaMuebles. Los muebles, las colgaduras y adornos de las dos Cámaras de lo» lil bajá, convidó á su padre á un espléndido banqueteen Kandili, pueblo si Lores y los Comunes, con los pertenecientes á las salas de conferencias han tuado en la costa asiática del canal, donde…</t>
  </si>
  <si>
    <t>Samaniego, D José</t>
  </si>
  <si>
    <t>D José Samaniego</t>
  </si>
  <si>
    <t>…distinguido denuedo.*’ Cuenca D. Joaquín Rodríguez, con fecha de 2 de Mayo actual. Y lo traslado á V. S. recomendando muy particularmente á dicho señor Se advierte en la agricultura un movimiento qiie presagia resultados £eb,c£S; comandante D. José Samaniego, que alfrcnte de su valiente batallen se pre se van generalizando los cultivos de varias especies , y se solicita permiso para sentó con bizarría en los mayores peligros animando á sus soldados , y dio romper muchos terrenos. Se ha concedido á un vecino de la MinglanTlla un.jspruebas nada equívocas…</t>
  </si>
  <si>
    <t>Samaniego, José</t>
  </si>
  <si>
    <t>José Samaniego</t>
  </si>
  <si>
    <t>…l conocimiento de V. E. Dios &amp;c. Zaragoza J.° de Ja Tas compañías también de cazadores, de Laredo y Salamati^ los atacase: al te mo de X834*=:Excmo. $r.=El conde de £zpeleta=:Excmo. Sr. Secretario de niente coronel áe* infantería D. José Samaniego, comanffnte del regimiento Estado y del Despacho de la Guerra. "de Salamanca, que sostuviese á los cazadores con su cuerpo y una compañía de . El pane á que se refiere el anterior oficio dice asi: Comandancia general de 'Alcázar: los 44 caballos del 5.® y ó.° de ligeros, al mando'del teniente Don .…</t>
  </si>
  <si>
    <t>…que es la de Carpió , participa que* de Arciniega en ofic*o que he recibido hoy me dice lo siguítnte: Excmo. Señor.- los Urbanos de ella han aprehendido cuatrcr caballos en el monte del Duque, El Sr. comandante de la 1.a columna D. José Samaniego, sargento mayor del continuando la persecución estos y los paisanos armados, como asi bierj los de provincial de Salamanca , me dice con esta fecha lo que á layletta copio r oTcn- Jos demas puntos. De esta ha salido parte de la caballería urbana y una partida go el honor de pasar á manos de V. S. e…</t>
  </si>
  <si>
    <t>Samartin, Francisco</t>
  </si>
  <si>
    <t>Francisco Samartin</t>
  </si>
  <si>
    <t>…as en favor de dichos españoles por el general francés, 4 cuyas órdenes de Mayo á 30 de Junio: 2.*, desde 1.® de Setiembre á fin de Octubre. sirvieron en Africa, confirmando por gracia personal á los oficiales, sargentee Fortuna. D. Francisco Samartin, en Orihuela : 1.a temporada, desde 1.® y cabos en los empleos que respectivamente obtenían en la expresada legión ex— de Mayo á 20 de Jomo; 2.a desde 22 Setiembre á SO de Octubre. trangera, con los sueldos y goces que á sus clases corresponden en la infantería Villavieja. p, Francisco Martínez, en…</t>
  </si>
  <si>
    <t>Samon, Juan Florencio</t>
  </si>
  <si>
    <t>Juan Florencio Samon</t>
  </si>
  <si>
    <t>…la Real junta de obras de conservación y limpia de aquel puer to , se ha servido S. M. acordar su reemplazo en Real orden de 9 del que rige, S. M. la Reina Gobernadora se ha servido aprobar las medidas toma nombrando para ello á D. Juan Florencio Samon, vecino de la villa de Ren das por el gobernador civil de Valencia en cumplimiento de lo prevenido en tería, en conformidad de lo que dispone el reglamento de 20 de Junio de 1828. el Real decreto de 4 de Enero de este año para evitar la venta y circulación de estampas iluminadas que representen pas…</t>
  </si>
  <si>
    <t>Samos, Manuct</t>
  </si>
  <si>
    <t>Manuct Samos</t>
  </si>
  <si>
    <t>…gadier Fontecillas, resulta que después de la acción que tuvo el valien puso que saliesen dos columnas de carabineros, una á las órdenes del capitán te Rute y sus compañeros, salieron los urbanos de TrujiHo, Montancbes y graduado D. Manuct Samos, y otra á las del subteniente D. Pablo Pascual; otros pueblos en la tarde del 10 f y. aprehendieron en la sierra de Morara cua pero tan-Juego ^mo los Husos tuvieron noticia de estas medidas, dictadas para tro de loe dispersos de la gavilla deshecha del cabecilla Cuesta , vagando ios res* su rápida…</t>
  </si>
  <si>
    <t>Sampom</t>
  </si>
  <si>
    <t>…el derecho de Se abrió á la una menoe cuarto, y ieida el acta de la anterior quedó apro hacerlo asi, aunque sea, si ve quiere, una inconsecuencia.” bada, mandándoselnsertar en ella el'voto del Sr. Pizarro, contrario á La reso El Sr. Sampom : «Cuando los señores de la comisión trataron de tomar lución del Estamento de que no se leyese la exposición del ayuntamiento de un término medio para ponerse de acuerdo sobre la dotación de la Reís a Minaya. nuestra Señora, dije que si se pasaba de los 28 millones reproducía mi prime Se dió cuent…</t>
  </si>
  <si>
    <t>Sampoms</t>
  </si>
  <si>
    <t>…sido probar qué los pueblos pueden conseguir las opiniones de los señores que han combatido &gt;u dictamen. Uto», conformándo •ventajas de economía y orden con ios gobiernos emanados de concesión de los se con el voto particular del Sr. Sampoms, han considerado excesivas la» asig Monarcas, stn apelar á Us revoluciones. Por consiguiente, ni he puesto ni po naciones propuestas para la Reina Dofu Isabel 11 y pjra su augusta M*diet r dido poner en duda ni en parangón con las revoluciones los derechos de la han sostenido que debían reducirse á…</t>
  </si>
  <si>
    <t>Sampons</t>
  </si>
  <si>
    <t>…Torremejía, pues no se puede exten las mismas palabras que tenia el art. 2.°, y que se mandó volviera á la comi der de otro modo que de aquel en que la ha hecho el Gobierno.” sión , habiendo sido desaprobado por el Estamento.” El Sr. Sampons: «Propongo que se quite del artículo las expresiones El Sr. Secretario del Despacho de Hacienda: «Si el escrúpulo consiste en primero y segundo lugar.” en las palabras, podré decir lo mismo con otras: todos sabemos que el art. 2.® Declarado el punto suficientemente discutido, se aprobó el art. 5.°…</t>
  </si>
  <si>
    <t>…ervándome hablar de sus pormenores equilibrio. Mi Opinión en el caso presente es que esto se conseguirá , mas bien cuando se entre en la discusión de los artículos.” que con el dictámen de la comisión , con el voto particular del Sr. Sampons, El Sr. Hubett pidió sé preguntase si el punto estaba suficientemente dis pues me parece que con 24 millones basta para atender al esplendor dei trono. cutido ; y habiéndose opuesto los Sres. conde de las Navas, Gaiiano y otros se Yo no estoy dotado del don de profecía que parece anima ai Sr. Secre…</t>
  </si>
  <si>
    <t>Sampons, Honorato Puig y D Ignacio</t>
  </si>
  <si>
    <t>Honorato Puig y D Ignacio Sampons</t>
  </si>
  <si>
    <t>…ponía la misma comisión , los poderes de los se dencia á cobrar. ñores D. Jo»é Vtñals, Procurador por la provincia de Gerona; D. Ramón «No sucedió esto con el Gobierno absoluto; este no solo bizovefectivas Cucar por la de Lérida; D. Honorato Puig y D. Ignacio Sampons y Barba 4 la fuerza las contribuciones corrientes, sino que cobró inmensas sumas de los por-U-de-Barcelona, en razón de estar conformes á la ley, como asimismo los atrasos; y no asi como quiera de los años 20 al 23 , sino de mdehos anteriores documentos justificativos de sus rentas. hasta el de 1794*…</t>
  </si>
  <si>
    <t>Samponts</t>
  </si>
  <si>
    <t>…stancias* á que me encuentro en posición desventajosa, y reconoz exactamente el guarismo, estoy seguro de que no llega á ios 24 millones que co que en cierto modo lo es i pero quizá de cuantas veces he usado la palabra propone el Sr. Samponts. en ninguna la he tomado teniendo una posición mas ventajosa que en esta. Ca «Al hablar de la lista civil de Inglaterra ha citado el Sr. Secretario de balmente de todos los discursos pronunciados-pór los señores preopinantes el Hacienda la conducta del Parlamento ingles, el cual suele dar subsidios…</t>
  </si>
  <si>
    <t>Sampoñts</t>
  </si>
  <si>
    <t>…a en uno y en otro país! Lo hay en España; «cuánto debe dársele! Se dice en este recinto. Abundo desde luego mi deseo de que readmita lo que propone quí existen en el nuestro circunstancias peculiares que deben hacernos mas ge el Sr. Sampoñts, porque me parece suficiente al objeto atendido el estado de Ja nerosos; pero permítaseme decir que el argumento que para probarlo ha em Nación. He abusado por largo tiempo de la atencion^del Estamento; pero me pleado e'1 Sr. Secretario de Hacienda, no ha sido de los mas felices. Una de ha conducid…</t>
  </si>
  <si>
    <t>…no he excitado quisiera yo que en atención á la penuria dei Estado, se redujese dicha asigna teta cuestión; ha sido provocada por otros Sres. Procuradores; peró debo decir ción al menor límite posible, cual es el propuesto por el Sr. Samponts en la que son incontrastables los derechos dé es*2 Señora. Se fundan en su nacimiento, forma que ya he indicado, tanto mas cuanto nuestro presupuesto sube á cerca y en la Opinión de la grán ma^a de la Nacíop entera que los sostiene con tanto de mil millones., que cubriremos con suma dificultad. tes…</t>
  </si>
  <si>
    <t>…n. ¡ Acaso nos liga que mi opinión es que debe aprobarse, en vez del dictamen de la comisión, mos por ventura las maños ni se las atamos á nuestros sucesores en el cargo de con que. se,conforma el Gobierno, el voto particular del Sr. Samponts.” representar la Nación para votar en mejores circunstancias todo el oro que se EÍ Sr, Calderón Callantes: «La comisión se ve en la necesidad de dar, necesite para cubrir ese esplendor, e^e fausto de la monarquía, si la Nación cierta* explicaciones en. vista.de los discursos de los Sres. preopinante…</t>
  </si>
  <si>
    <t>…equivocación de haberse^ incluido én la Esta al rebaja. Sr. Crespo Rascón, que no estaba presente j equivocación que se rectificó. El Sr. marques de Torremejía preguntó si en los 30 millones se com Se leyó el voto particular del Sr. Samponts, que dice: «Se asigna á S. M. prendía la asignación i la augusta hermana de S. M-;á lo que contestó el se para el próximo año de 1835 la cantidad de 24milloaes de reales.” ñor Presidente que eso seria objeto de una adición. El Sr. Samponts pidió se leyese antes de pasar á su voto, una proposición D…</t>
  </si>
  <si>
    <t>…ación de los gastos de palacio y los trages, y hasta por una.junta civiles.que se conspire se verá lo excesivo que es aun todavía el voto particu ale médicos que se celebró en 1694 sc ñ&lt;zo presente al Rey qúe moderase los lar del Sr. Samponts; pero si hacemos comparaciones de la asignación ó gastos gastos:.por esto me ha extrañado lo que dijo el Sr. Ministro de Hacienda- No qué han tenido los reinados.precedentes, resultará la diferencia, atendidas las diré que se entre en un'pormenor, como sellará en los demas presupuestos: circunstanc…</t>
  </si>
  <si>
    <t>…rtes del año 20, y llamo aqui «Tratándose de la dotación de la Reina Doña Isabel ir, dice el Go Ja atención del Estamento, porque muchísimas veces se citan, como se deben bierno 35 millones, la comisión 30, el voto particular del Sr. Samponts 24 &gt; y citar las decisiones de aquella corporación: ¿cuál fue la asignación que hicieron el Sr. Caballero 20. Un Sr. Procurador, cuya elocuencia es bien conocida, ha á la casa Real ? Aquellas Córtes, como las del ano señalaron ai Rey £0 blando de la totalidad, indicó que todo lo que se podía decir en este…</t>
  </si>
  <si>
    <t>…de este asunto.” : nados, porqué tienen un unto por ciento.” , Se leyó efectivamente'la'primera , que decía: «No conformándonos con el ~ ] Habjeqdo observado el Sr. Caballero que en virtud de la primera adver- voto particular del Sr. Samponts, asi como igualmente no lo fia estado él Es t{nc¡j que Jabía liec}io el Sr. Mrnistro.habia que rectificar en varias partes de tamento con el dietámen de la mayoría de la comisión , pedimos se señale á la ley, y que én'cuanto 4 la segunda, nó se decía en el artículo subdelegados, S. M/ la Reiva Doña…</t>
  </si>
  <si>
    <t>…nueva quinta que-las cir- glo’ Luego haa.de pasar meses antes, quería baja que el.Estamento resuelve sea eunst^ncuá^han obligado £ pedir; al reconocer los fastos que serán £ ella, con* efectiva. Y £ los 24 millones que propope^el Sr. Samponts habrá que agregar Siguientes ,ncr9e ha hecho este argumento. La regla que se ha seguido, regla algo. eQ, el año presente por ei sobrécostp de los meses .primeros. Y hé aquí general, ‘ha sido decir: hay que hacer esto porque es preciso, luego hágase. Así #U« razón, aun en si sistema del Sr. Samppnís…</t>
  </si>
  <si>
    <t>…-tratase de contestar á dicha objeción presentando consideraciones al fijar la cantidad de que se trata. ‘ ‘ . 1 ■ . - relativas á cosas ya pasadas, haría deflexiones muy fuertes en mi opinión, lo i, Dijo en su voto particular el Sr. Samponts que quería evitar esta discu cual no verificaré, porque creería en ello faltar á la conveniencia: sí diré que sión. Precisamente este voto, particular ha contribuido mas que otra cosa á ha puesto que está en nuestras manos el arreglar los presupuestos de la manera que cer ésta discusión difícil y e…</t>
  </si>
  <si>
    <t>…astiínosa hablar de cantidad alzada^ sino solo indicado su opinión particular, como po -en que se encuentra la Nación es punto i recursos, no puedo votar mas qué día haberlo hecho respecto de ótnj cualquiera; .lo propuesto por el señor Samponts en el voto particular que se nos ha leído* El Sr. Secretario del Despacho de Hacienda insistió en que según los da supuesto que se desechó el primitivo.” tos del presupuesto, el déficit no seria tas considerable cofoo se creía, y que fl Sr. Patarea: «Para deshacer úna equivocación. Yo ño he querido…</t>
  </si>
  <si>
    <t>…consecuencia yo me adhiero al voto particular. sido, son y serán para disipar las tormentas políticas que s$. han desencadena- ‘ do por tan largo tiempo contra ella, y que, por eso. se, sacrifica y sacrificará pa -al «Ha dicho el Sr. Samponts, como individuo de la comisión, y lo mismo dirán los demás,'que no nos es lícito rebajar masque loque no se necesita para ra sostener su prestigio. cubrir los gastos de 1a casa Real; y á esto responderé yo con lo que el Señor «Por esta razón digo que me parece oportuno que todos los años se vote Se…</t>
  </si>
  <si>
    <t>…ecibe la noticia de ha ría de la comiston; y este mismo señor, que asegura hubiera votado 30, con* berse alcanzado dos victorias; cuando corren arroyos de sangre en defensa del cluye diciendo que se adhiere al voto particular del Sr. Samponts, que seña trono legítimo; después de tantos y tantos como ha costado I9 independencia la 26 millones. Por consiguiente, repito que el discurso del Sr. conde de las nacional; en tan preciosos instantes, en medio de tan lisonjeros recuerdos, se Navas estaba impugnado por st mismo; y los Secretarios d…</t>
  </si>
  <si>
    <t>…or pida que se haga esta pro como yo, desechamos el dictamen de la comisión, que proponía 30 millones, puesta, porque no puedé llamarse práctica, ni tener valor contra lo dispositi y estuvimos por los24 propuestos eti el:vbto del Sr. Samponts; y hoy se ha vo del reglamento, que es la ley en el caso, cuando una y otra son coetá indicado que votárúúinps los 26 que há propuesto últimamente este mismo. neas, pues apenas han trascurrido cuatro meses desde la reunían de las Córtes. Fúndase, ademas, en que el Sr. conde di habia declarado contr…</t>
  </si>
  <si>
    <t>…ña, Puga, Acevcdo, Florez de Estrada, Navia Osorio, conde de Toreno&gt;, Ar dictámen de la comisión que señalaba la misma cantidad, y el del voto parti guelles, Orense, Redondo, Montenegro, Cuesta, marques de Villagarcia, cular del Sr. Samponts , que proponía 8.000,000 reales. Pardo Bazan , Llórente , Caceras , Crespo Rascón, Onis, Trucha Cosío , VillaEl Sr. Afiquel Polo: «Como individuo de la comisión debo manifestar laz, Melendez, López del Baño, San Clemente, Anaya, Crespo de Tejada, que esta nada tiene que decir, sino que el Sr. D. Fe…</t>
  </si>
  <si>
    <t>…e consolidación á los Sres. Becerra y marques de So- puesto , porque es necesario que veamos cuáles son los ingresos de esas oficinas: antes costaban 36© rs. y hoy $4® y tantos. meruelos. Se leyó una proposición presentada por el Sr. Samponts para que: «El «Respecto á la tercera observación de la comisión, no debe ser un objeto Estamento se sirva acordar que en el presupuesto de Estado entren, llanta el ar de atención para el Estamento, pues díce (lo leyó) y el Sr. Presidente del con reglo deSnit vo de los derechos de obvención á benefi…</t>
  </si>
  <si>
    <t>…Sr. Vicepresidente que iba i abrirse la dis &gt;ftO ’lMt)t4ífe-fi Soló A caso presénte , sino conservaría para toa .demas que pue- cusión sobre el dictámen de la comisión de Estado acerca de la proposición ijei dátt ocurrif. ’ i ‘ ■ Sr. Samponts relativa i los derechos y obvención» de los cónsul» en pais ex o- -#^starÍá. &lt;sít^ -pa*a Contestar' al Sr: Galiano; pero debo responder á al- trangero, y acerca del presupuesto de la secretaría del consejo de Gobierno,» .gobiÉtdélas cbsérvaeíoti» hechas por incidencia. Tal ha sido, por ejemplo, I2…</t>
  </si>
  <si>
    <t>Samppnís</t>
  </si>
  <si>
    <t>…to. La regla que se ha seguido, regla algo. eQ, el año presente por ei sobrécostp de los meses .primeros. Y hé aquí general, ‘ha sido decir: hay que hacer esto porque es preciso, luego hágase. Así #U« razón, aun en si sistema del Sr. Samppnís, para ^ubir £ 23 millones esta en c\csp&amp; presente tampoco debe hacerse mención de la imposibilidad, puesto cantidad. que d* este argumento no se ha usado en otros asuntos en que hubiera, estado todo se infiere que las razones, alegadas no sp oponen £ que ta suma inas bien. ^ que se designe sea la d…</t>
  </si>
  <si>
    <t>Sampunts</t>
  </si>
  <si>
    <t>…s consulados en cada punto á juicio del Gobierno.” lo demas me parece son muy útiles las observaciones de lá comisión.” El Sr. Secretario del Despacho de Estado: «Como el Sr. preopinante Para apoyarla, como áutof de ella, dijo El Sr. Sampunts; »&gt;El objeto que me he propuesto al hacer esta adición, ha citado esa especie de aumento , estoy en el caso de aclarar la ¡dea que ya he ha sido principalmente que el Estamento dé la mano al Gobierno para cual anunciado en otra ocasión. No se han aumentado nada los gastos de esta ofici quiera cosa…</t>
  </si>
  <si>
    <t>Sán, Acisclo</t>
  </si>
  <si>
    <t>Acisclo Sán</t>
  </si>
  <si>
    <t>…a municipal. rior de aquella provincia, qne la habia remitido, hace presente que por olvido He aprobado algunos arbitrios para la construcción ó reposición de cemcn- involuntario padecido al formarla, se dejó de incluir en ella á D. Acisclo Sán teaigtéTde modo que apenas habrá pueblo en que no le haya, y me ocupo ince chez Osorio, que es uno de los pocos regidores que han continuado en aquella santemente en facilitar los medios necesarios para la obra de uno nuevo en esta capital, y que por enfermedad del vocal D. Francisco Octavio ha asi…</t>
  </si>
  <si>
    <t>San, Alfonso</t>
  </si>
  <si>
    <t>Alfonso San</t>
  </si>
  <si>
    <t>…de que Art. !).' Las obligaciones de los censores son: se hallan adornados D. Juan Manuél de Bedoya, canónigo cardenal Primera. Censurar los periólicns dentro del dia en que se los de Oi'énsé;-X). Qregorio Gisbert, abad de Arbas; D. Alfonso San- presenten los editores, y'con la brevedad posible los demás escritos cliéz Ahumada, canónigo de' Oviedo; D. Lucas Meló; el P. M. Era y que les remitan los gobernadores civiles. José de la Canal, de! orden de S. Agustín, y D. Fr. Roque de Ol- Segunda. Dar parte al gobernador civil respectivo en el d…</t>
  </si>
  <si>
    <t>Sán, José</t>
  </si>
  <si>
    <t>José Sán</t>
  </si>
  <si>
    <t>…cena han quedado las Rúa , D. Francisco Villamil, D. Gervasio Araujo, y dichos D. Pablo Carcamismas, con la diferencia que desde l.° del corriente cada una ha de adminis fio, D. Andrés de Castro, D. Pedro y D. Robustiano Pequeño, D. José Sán trar á los pueblos de los partidos judiciales establecidos últimamente , y quitada- chez y D.. Ramón Tajonera; en trigonometría esférica D. Jo&gt;é Ruibal, D. An la monstruosidad de que AI monte, que está á un extremo de la provincia, de gel Hernando, D. Francisco Vrliamil, j dichos D. Miguel Rúa, D.…</t>
  </si>
  <si>
    <t>San, Josef Martínez</t>
  </si>
  <si>
    <t>Josef Martínez San</t>
  </si>
  <si>
    <t>…las dilapidaciones, nidad y autenticidad convenientes á la grandeza del objeto. Dios guarde a V. E. I y dar á los bienes de Propios el mejor destino sin necesidad de una dirección muchos años. Valencia 7 de Enero de l834-=Ex¿tao. Sr.—Josef Martínez San 1 central, cuya supresión producirá un verdadero y notable ahorro, ni de que Martin.=Excmo. Sr. Secretario de Estado y del Despacho de la Guerra. , continúe la jurisdicción privilegiada de que hasta ahora han gozado aquellos fondos sin utilidad real de los pueblos, y con perjuicio de Ja recta admin…</t>
  </si>
  <si>
    <t>San, Juan Nepomuceno</t>
  </si>
  <si>
    <t>Juan Nepomuceno San</t>
  </si>
  <si>
    <t>…Francisco Redondo y á D. José to. Dios guarde á V. E. muchos años. AraDjuez l.° de Abril de María Calatrava. Y para fiscales de las mismas a D. Manuel Liza- I8.34. = Nicolas María Garelly. = Sr. Presidente del supremo Tri na y á D. Juan Nepomuceno San, Miguel. Tendréislo entendido, bunal de España é Indias. y lo comunicareis á quien corresponda.—Está rubricado de la Real mano.=En Aranjuezá 1.® da Abril de 1834-^AD- Nicolás María Partes recibidos en la secretaría de Estado y del Desfocho Garelly. de la Guerra. Vengo en nombrar para ministros de l…</t>
  </si>
  <si>
    <t>San, Segundo</t>
  </si>
  <si>
    <t>Segundo San</t>
  </si>
  <si>
    <t>…D. Alejo López de gados de arboledas de dichos distritos para que suministren los que se pidan. la Caller-para4a de Villrrarr:edc a D. Canuto Cevallos: para la de Ramales á D. José Navas: pora la de San '^ícente de la Barquera á D. Segundo San á para para la de Escalona y Galves: la de Cíñete Ripoll Juan: i D. J rolsa db coMERcio._Co/itciooM dt htsy i las tres dt la tardt. • p a Martine;: Urioste, y la de Ordenes á D. Yanguas: Aquilino D. Julián pare *1 corregimient o de Calahorra á D. Mariano AmadorL EFECTOS PUBLICOS. Inserípelona en el…</t>
  </si>
  <si>
    <t>Sancha</t>
  </si>
  <si>
    <t>…to que se trata de na manera , expondré varios hechos históricos , que comprueban esta verdad. atacar nuestra libertad. D. Cárlos es la causa de que se derrame tanta sangre; •&gt;Por muerte de Alfonso v y su hijo D. Bermudo, sucedió Doña Sancha, los hijos deben seguir la suerte del; padre. ‘ ' la que fue reconocida y jurada en las Cortes á fines del siglo xi. Cuando su «Desengañémonos: sus hijos no pueden seguir otras banderas que las del cedió Doña Sancha no habia ningún derecho escrito que la llamase al trono: padre, las del fanatismo ,…</t>
  </si>
  <si>
    <t>Sanchéii.abointfo, Josef Pérez</t>
  </si>
  <si>
    <t>Josef Pérez Sanchéii.abointfo</t>
  </si>
  <si>
    <t>…bdelegaron de Fomento, insta- cio Moptes, catedrático de prim^en mediciq?; D-Oistóba) Solano, caledtáida solemnemeété en el día; de -hoy según la circular de esta- fecha, me ba'pa- tico.de astronomía; el doctor D.^liguel. Marcos; D. Josef Pérez Sanchéii.abointfo conve/fiéhte dictar lasreglasásoesiguen: - 1 gado; D. Diego López, eonwrciaíÉiW y propietario; P, Antonio SoIRLabógn**; 1T&gt; Los préáidérWft’dé lo* 'ay íih wniientd», y estos cuerpos mismos, son -lo» do y propietario: D. Marcelino Sánchez,lbótScdno y propietario; D. Cayetana aflos náftüraffrilSrte1…</t>
  </si>
  <si>
    <t>Sánchez</t>
  </si>
  <si>
    <t>…s de este-pueblo fiel, que sobrellevando con re- casen las sesiones de Jas-Cámaras. LpsjSres. Leonel, Botto, Castro y Azev«ii!p sipncielsLiinoS niales -que nó merece", -y-ágeno del deseo de innovar, ve qüespr apoyáron la idea del Sr. Sánchez:.el Sr. Fortes manifestó .jjue ^etía opO(Tj¿k&gt; lo con la constancia, la concordia y el amor á las leyes y al orden se acredi celebrar un concurso de oposición para examinar los taquígrafos, á fin de ele ta el yerdadero amor á la patria.” gir los que fuesen capaces de desempeñar el objeto que se des…</t>
  </si>
  <si>
    <t>…r. Leonel, sosteniendo que la dis Modlin; pero esta centralización de tropas rusas debe llamar la atención de cusión actual era sobre la totalidad del proyecto: del mismo dictamen fiie el la Europa hacia los negocios del Oriente. Sr. Sánchez: el Sr. Vasconcelos sostuvo también que el proyecto no debía vol be dice por personas bien informadas que el conde OrlofF, encargado re ver á la comisión; antesal contrario, una vez discutido en su totalidad, era cientemente de una misión en Holanda, será nombrado embajador de Rusia justo proceder…</t>
  </si>
  <si>
    <t>Sánchez, Alonso</t>
  </si>
  <si>
    <t>Alonso Sánchez</t>
  </si>
  <si>
    <t>…vía completamente organizada, y de consiguiente el tos á D. Antonio José de la Moneda y Ayala : para la de Hellin á presupuesto no ha podido hacer aun mención de ella. El número total de es D. Gregorio Marau: para la de Rivadeo á D. Alonso Sánchez de tudiantes asciende i 4609. Ademas de estas seis universidades superiores y efe Pando: para la de Carballó á D. José Vázquez de Parga: para la de los distritos que les están asignados, el presupuesto habla también de cuatro Peñafiel á D. Angel Esteban de la Fuente: para Jal de Piedrabita á nuevos di…</t>
  </si>
  <si>
    <t>Sánchez, Antooio</t>
  </si>
  <si>
    <t>Antooio Sánchez</t>
  </si>
  <si>
    <t>…evó á Halil-Bajá á los Dardanelos, lleva también á bordo tro plazas de agentas-fiscales del nuevo tribunal á D. Francisco Es un destacamento de artilleros; es cierto que se hace leva de gente teban Ranz, D. JoséLidptr y Martinez, D. Antooio Sánchez de para la escuadra y ejército turco, y que la Rusia acaba de reclutar Ocaña y D. Fernando de la Torre, que lo eran del extinguido tropas en la Valaquia y Moldavia. Mas ¡cuál es el móvil de rodo Consejo: para las dos de relatores á D. Genaro de Rivas y Losa y esto! Lo único que sabemos es que la-escua…</t>
  </si>
  <si>
    <t>Sánchez, Fr.-Ilijtólito</t>
  </si>
  <si>
    <t>Fr.-Ilijtólito Sánchez</t>
  </si>
  <si>
    <t>…ros. tin de Hombreiró; D. Ensebio Bardají, decano de la sección de Estado del Consejo Real; D. Antonio Martínez, decano de la sec No siendo compatible con la repta administración de justicia la ción de Hacienda del mismo Consejo; D. Fr.-Ilijtólito Sánchez doble representación de juez y parte que tienen los interventores Rangel , ohispo de Lugo; D. Manuel Freite .teniente general de con respecto á los intereses de las casas intervenidas, ni la inhibi los Reales ejércitos, comandante general de la Guardia Real de ca ción de los acreedores de estas en…</t>
  </si>
  <si>
    <t>Sánchez, Francisco</t>
  </si>
  <si>
    <t>Francisco Sánchez</t>
  </si>
  <si>
    <t>…ase de aró-tas. En España hay 5849 artistas, l sobre 2H0 habitantes. En Inglaterra «Mimaba Colqhoun en ANUNCIOS. 109 el número de familias de artistas, y sus rentas en I40 millonea de rs.; re Principios .it retórica y poética por D. Francisco Sánchez; segunda edición: un sulta una familia sobre 357. En 1830 había en París 1 523 pintores v dibujan lomo en 8.° mayor, a 16 rs. en pasta: se hallará en ta librería de la viuda de Cruz. tes, 310 grabadores, 4^0 arquitectos y escultores, 310 compositores de música, No hay 1 ibro alguno en castellano qu…</t>
  </si>
  <si>
    <t>Sánchez, Manuel</t>
  </si>
  <si>
    <t>Manuel Sánchez</t>
  </si>
  <si>
    <t>…3.D de la contaduríadé Propios, de dicha provincia, i Asimismo se ha dignado- S. M. conferir la plaza de oficial 2.° ds la ad Por Real orden de 31 de Octubre último se ha servido S. M. la Reina ministración de correos de Toledo á D. Manuel Sánchez: la de interventor de Gobernadora aprobar el establecimiento de una carrera de medias postas desde Alicante á D. Hilario García Caballero: la de igual clase de la estafeta de Burgos á Medina de Pomar y Villarcayo por el nuevo camino de Bercedo, Albacete á D. Valentín Capitán: la de oficial 2? de la…</t>
  </si>
  <si>
    <t>…o oculto algún cuerpo que no se presentó á mi vis* izquierda , y metiéndome por la Florida ture U satisfacción de encontrarme ta. Dios guarde ú V. E. muchos años. Vitoria 19 de Marzo de 1834—Exce con el coronel del 3.° de ligeros D. Manuel Sánchez, quien, aunque enfermo, lentísimo Sr.=Joaquin de Osma.=Excmo. Sr. Secretario de Estado y dei Des se me presentó para que le ocupase, como lo hice, pues que las circunstancias pacho universal de la Guerra. eran muy urgentes, y se necesitaba de un gefe de su carácter á quien confiar tan interesante p…</t>
  </si>
  <si>
    <t>Sánchez, Marcelino</t>
  </si>
  <si>
    <t>Marcelino Sánchez</t>
  </si>
  <si>
    <t>…éii.abointfo conve/fiéhte dictar lasreglasásoesiguen: - 1 gado; D. Diego López, eonwrciaíÉiW y propietario; P, Antonio SoIRLabógn**; 1T&gt; Los préáidérWft’dé lo* 'ay íih wniientd», y estos cuerpos mismos, son -lo» do y propietario: D. Marcelino Sánchez,lbótScdno y propietario; D. Cayetana aflos náftüraffrilSrte1 de la -ejecockm de tódo- lo concetoiehte i fomento que Zúfiiga, regidor y hacendado; D. Valentín Gutiérrez, regidor y hacendado; inetido especialmente i atgirta autoridad particular1, por órdenes pon- ............. lu— oí&lt;A á la értáctóil…</t>
  </si>
  <si>
    <t>Sánchez, Rodrigo María Cañaveral Sr D Manuel</t>
  </si>
  <si>
    <t>Rodrigo María Cañaveral Sr D Manuel Sánchez</t>
  </si>
  <si>
    <t>…ue ya había invadido los de Ampuero, Orejo y Bosque antiguo, con grave recelo de que sucediese lo mismo ti valle ELECCION DE PROCURADORES DEL REINO. de Camcdo: acompaña el siguiente ,? PROVINCIA DE CÓRDOBA. Parte sanitario. . Sr. D. Rodrigo María Cañaveral. Sr. D. Manuel Sánchez Toscano. Pueblos. Dia«# Enfermos. Corados. Fallecida. Partes recibidos en la secretaria de listado y del Despacho de Ja Qüerra. Santander.. .. 3 á 9 de Octubre El capitán general de Castilla la Nueva con fecha dc 6 del actual remite inclusive......... No consta. No consta. 296 ¿ este ministerio un…</t>
  </si>
  <si>
    <t>Sánchez, Silva</t>
  </si>
  <si>
    <t>Silva Sánchez</t>
  </si>
  <si>
    <t>…el cual con previo acuerdo r acababan de Hablar sobre este particular, que presentasen lista de los indivi- consentimiento suyo le tenia destinado para esposo ¿ S. A R. el Príncipe Au duos á que aludían en sus observaciones; y el Sr. Silva Sánchez ofreció ha gusto, Duque de Leuchtemberg y Santa Cruz, Principe de Eichstett, por el cerlo jen cuánto rectificase los nombres dé algunos de los sugetos á quienes gran concepto que habia formado de las virtudes y nobles cualidades del enun comprendía Jo que habia dicho. ciado Principe, al cual conocí…</t>
  </si>
  <si>
    <t>Sánchez, Vicente</t>
  </si>
  <si>
    <t>Vicente Sánchez</t>
  </si>
  <si>
    <t>…as, y de un ejército en cam res capellanes de honor difuntas D. Joaquín Diez; D. Pablo Nicolás de S. Pedro. Don po abierto: de lés máquinas;de defender y atacar las plazas, de las máquinas au Joaquín Villanueva, D. Luis Belrrart, D. Vicente Sánchez, D. Basilio Salcedo D Nfc colas.Esrerripa, D. Pedro Obando, D. Mateo Obregon, D. Luis Toledano. D Blas de xiliares para pasar nos, y otros usos de ésta naturaleza &amp;c. &amp;c.; en cónsecuen- , Toro, D. Vicente Navarro, D. Pedro Montenegro D. Santiago Uarraza, D. Acustln cía, « de inferir que en dichos m…</t>
  </si>
  <si>
    <t>Sancho</t>
  </si>
  <si>
    <t>…der que sentían cierta «pecie de repugnancia, por no decir remordimiento; y Princesas herederas. al conceder á D. Carlos el ejercicio de la potestad suprema, fue con la cláu «Después de aquel Príncipe sucedió en el reino su hijo D. Sancho el sula de que aquello lo hacían por la triste situación en que se encontraba Ja Br-'.vo; y en las miomas Córtes en que se verificó su reconocimiento -como Reina; pero que si «ta recobraba el juicio, con el favor del cielo, debería Rey vemos una co&gt;a notable que debe llamar mucho la atención. La le…</t>
  </si>
  <si>
    <t>…las cua-, constantemente de la corona á varios Príncipes que han usado mal de su poder, les dieron la sucesión de la corona, viviendo Alfonso el Sabio, á su hijo ó abusado de aquel derecho, desde la monarquía goda hasta nosotros. D. Sancho el Bravo, y esto en perjuicio de los infantes de la Cerda: y no so «Este principio nacido en aquel tiempo, y confirmado sucesivamente por lamente los excluyeron ¿ ellos, sino á toda su descendencia: y por cierto que Ja costumbre, se baila consignado en la ley de Partida. cuando Mariana en la Histor…</t>
  </si>
  <si>
    <t>…e su nombre el escudo con que salieron á la palestra alzando el grito U augusta frente de los Infantes de la Cerda para ceñir la de su tío el prínci de la rebelión el pérfido Bessierca y los conspiradores de Cataluña. Fue tam- pe D. Sancho; si el hq * de Doña Leonor de Guzman,¿ pe«r de U üegiiim • ‘ bien su nombre el que continuamente se oía enlazado con plañe* de usurpación dad de su nacimiento, fue preferido ai legísimo sucesor del Rev D. Pedro, se meditada, y de futura tiranta. No fue un secreto la conducta del Infante du hizo por…</t>
  </si>
  <si>
    <t>…im ta del Rey, y con consentimiento de la Nación. pone el delito de su padre. Cúlpese áeste, y no á la Nación, de la resolución ••Posteriormente al tiempo del Emperador Alfonso vi, y por muerte do que recaiga sobre ellos. su hijo D. Sancho, sucedió Doña Urraca, la que fue reconocida en las Cortes «Veamos ahora cuáles son las banderas de nuestra augusta Reina Isadel reino, y ocupó el trono en 1109 en el siglo xti. Se verificó esto también sel 11, de la augusta Hija de Fernando vn y de nuestra excelsa Cristina, sin existir derecho escr…</t>
  </si>
  <si>
    <t>…las tiras en los tribunales. En el día. Después de la batalla de las Navas en Sierra Morena, que fue dada por no hay tale* tiras en lo^ procesos, pero se cobran sus derechos. Lo mismo su el Rey Alonso vm de Castilla ix de León, y D. Sancho m de Navarra, se cede con la santa hermandad: no persigue á los malhechores, peto cobra. Los creyó que llegarían á cesar las calamidades que afligían al país; pero no sucedió derechos; y no solo el de asadura, sino otro que se paga en Toledo al entrar así, pues de resultas de aquella acción muchos…</t>
  </si>
  <si>
    <t>Sanchorel</t>
  </si>
  <si>
    <t>…i de la triple sobreesté punto, las Córtes habian decidido siempre las cuestiones de sucesión. alianza. ¡Qué derecho tenían los extrangeros para tratar de la sucesión de Es Citó al efecto los ejemplos de lo sucedido con ios Reyes D. Sanchorel, Noble, paña! El mismo que tuvieron para esparcirse por la Nación española y destruir D. Pedro el Justiciero y el mismo D. Alfonso el Sabio , cuyas resoluciones su libertad. Tan cierto es que cuando se reúnen los Monarcas absolutos, rara no confirmaron las Córtes, eligiendo otros sucesores que los…</t>
  </si>
  <si>
    <t>Sancionado, García Carrasco</t>
  </si>
  <si>
    <t>García Carrasco Sancionado</t>
  </si>
  <si>
    <t>…mas, debemos aprobar este tercer artículo «Esta falta de restablecimiento del crédito nos puede perjudicar mucho, f cual el Gobierno lo ha propuesto.” por eso siempre insistiré en que á toda costa y ante todas cotas procuremos El Sr. García Carrasco. «Sancionado ya el reconocimiento de la deuda restablecerlo. Efectivamente, ahora necesitamos 400 millones de reales , y en éxtrángera, el dictámcn de la- comisión ha quedado nulo y de ningún efectos esta operación nos puede perjudicar considerablemente el no tener consolidado Por consecuencia lús individuos qu…</t>
  </si>
  <si>
    <t>Sandagp</t>
  </si>
  <si>
    <t>…evengadas hasta et dia señalado en el ponda por clasificación á D. Francisco Castillo Valero ya D. José artículo anterior, se podrán hacer efectivas por los respectivos par del Castillo, oidores de la Real audiencia de Cáceres; 4 D. Sandagp tícipes á quienes corresponda para invertirlas en los objetos de su Fernandez de Negrete, y á D. Juan Peinador y Pino, alcaides del foniíucion. „ crimen; y á D. Antonio Romero Prieto, fiscal de ia misma. Ten Art. 3o Quedan suprimidos desde dicha época los juzgados pro dréislo entendido, y lo comuni…</t>
  </si>
  <si>
    <t>Sandino, José Sánchez</t>
  </si>
  <si>
    <t>José Sánchez Sandino</t>
  </si>
  <si>
    <t>…de Burgos á Medina de Pomar y Villarcayo por el nuevo camino de Bercedo, Albacete á D. Valentín Capitán: la de oficial 2? de la principal de Manza cuya disposición dure ínterin la urgencia de tete servicio extraordinaria. nares á D. José Sánchez Sandino r y la de 3.° de la de Lago i D. Ricardo Joaquín Henri, todos cesantes del ramo. Por otra de igual fecha se ha aprobado asimismo el establecimiento do una carrera entre Albacete é Infantes para la comunicación de las provincia* Habiendo tenido á bien S. M. conceder á D. Vicente Castro y Lamas la de…</t>
  </si>
  <si>
    <t>Sandino, Vicente</t>
  </si>
  <si>
    <t>Vicente Sandino</t>
  </si>
  <si>
    <t>…lición del Voto, á virtud de pactos ó convenios anteriores, se sus-/ para alcaldes del crimen á D. Pedro Gómez Hermosa, á D. Pedro fáticiárán en igual foVma áttte los mismas jtízgádos ordinarios com- Regalado López Montenegro, á D. Vicente Sandino, áD. Francisco Tames Hevia, á D. José María Pardo Montenegro; ¡y para fiscal á Los actuales individuos deí venerable cabildo de la Sáiita D. Juan Bravo Murillo. Tendréislo entendido, y k&gt; comunicareis 4 iglesia de Santiago poseedores de prebendas, eanongías j beneficios, quien corresponda— Está rub…</t>
  </si>
  <si>
    <t>Sandio</t>
  </si>
  <si>
    <t>…unto, á pesar de la di derecho desconocido hasta entonc« en E^pjfia, importado de las leyes roma ferencia de usos, hábitos y costumbres» y alguna vez hasta-de dialecto, no hay nas. &lt;Y qué sucedió’ que en las mismas Cortes vemos á D. Sandio el Bravo uno solo en que se excluya á las hembras de la sucesión á la corona. Vemos hacer jurar á su hija como princesa heredera;-es decir, reconocer el derecho esta práctica «tablecida en León, y aun ella contribuye á unir este reino con de sucesión en las hembras; como ya se había reconocido, ant…</t>
  </si>
  <si>
    <t>Sandon</t>
  </si>
  <si>
    <t>…la guardia toda tomó al instante las armas. Poco después se España, Portugal, América, Francia y Holanda- En iguales términos sa ex presentó un grupo de gente en los alrededores del Cuerpo de guardia, que se presaron M. A. Smith, lord Sandon, M- Patten, M. Shell, M. Ferguson, M* dispersó á la llegada de una patrulla que los invitó á retirarse. A poco rato O’Connell y M. Buckiogham, y aseguraron que no seria en vano invocar los aparecieron los amotinados en mayor número, y en el mismo instante cinco sentimientos humanos y generosos de l…</t>
  </si>
  <si>
    <t>Sangiieza, José</t>
  </si>
  <si>
    <t>José Sangiieza</t>
  </si>
  <si>
    <t>…garantidas las antedichas condiciones por el gobierno legítimo y pór nuestra parte hemos perdido á los Urbanos Tadéo Sentellés y Joaquín Se de la Sra. Doña Isabel ii. gura Fortuito , dos paisanos contusos, y el alférez de Urbanos D. José Sangiieza, • 77 Son responsables los gefes y oficiales de la antedicha brigada deí pun herido en el brazo derecho, del cual quedará imposibilitado. tual cumplimiento- de lo arriba pactado, y que tio.se altere, enagene ni destru El expresado, comandante recomienda á los Urbanos y paisanos que tan de ya ningún…</t>
  </si>
  <si>
    <t>Sangran, Navarro</t>
  </si>
  <si>
    <t>Navarro Sangran</t>
  </si>
  <si>
    <t>…e en cuanto á los ausentes habría dé Ocupaciones, de su empleo no se lo permitían; y bien i la vista está que esto tomarse una resolución general. no. tiene semejanza fl¡ analogía a'guna Con el contenido de los papeles. Los se El Sr. Navarro Sangran manifestó que para no perder tiempo era preciso ñores taquígrafos no oirían ciertamente el contenido de mi representación. Se dar aviso á los que no pudiesen venir por causas legitimas , porque mientras la leyeron otras varías en qu« algunos Sres. Próceres se eximían de asistir é las comisión se ha…</t>
  </si>
  <si>
    <t>…asistencia al Estamento de estos » Pido que los Sres. Próceres que esten en el servicio inmediato de SS. MM. Sres. fuere compatible con el Real servicio. '\ queden eximidos de la obligadjón/de asistir al Estamento.” Aprobedo. El Sr. Navarro Sangran contestó que á su entender debería añadirse que »Y las que esten á las inmediatas personas de SS. A A.” No sé aprobó. cuando S. M. estuviese en Madrid, deberían los Proceres que se hallasen en su ”Y que para que conste á la secretaría, se pida á la Mayordomía mayor servidumbre asistir a las votacio…</t>
  </si>
  <si>
    <t>…emente discutido y quedó aprobado el ar Sr. Ministro de Hacienda no dilatase el presentar á las Córtes ia segunda par ticulo por 42 votos contra 23. te del proyecto de Hacienda, ó sea la razón de ingresos y gastos. Para que no El Sr. Navarro Sangran pidió que se votase la adición propuesta por el haya un déjieif es necesaiio adoptar severas economijs. Me alegro que hayan Sr. Burgos, á lo cual contestó la secretaría que no habiéndose formalizado no empezado por nosotros; pero no quisiera que se hubiesen quedado /circunscr*-1 podía ponerse i vot…</t>
  </si>
  <si>
    <t>Sangran, Navarro y</t>
  </si>
  <si>
    <t>Navarro y Sangran</t>
  </si>
  <si>
    <t>…arques de la Can interpretación ? Por todo esto soy de Opinión qúe el artículo debe redactárte delaria , Sr. Bardají, Sr. Alava, conde de Monterron , conde de Villafuertes, en los términos que lo he propuesto.” conde de S. Román, Sr. Navarro y Sangran , obispo de Teruel, conde de Cu Después de una ligera discusión entre los Sres. obispo Vallejo y mar ba, Sr. Atvarez Guerra, duque de Noblejas, marques de Malpica, Sr. Nkvar- ques de S. Felices, quedó aprobado el artículo según se hallaba. ‘ rete, Sr. Cuadra, Sr. Quintana, Sr. García Herreros, Sr.…</t>
  </si>
  <si>
    <t>Sangren, JoaquinNavarro</t>
  </si>
  <si>
    <t>JoaquinNavarro Sangren</t>
  </si>
  <si>
    <t>…leer siempre el provecto det Gobierno y &amp; Ckviio, ■conde de Sisuréo. conde de Paraént, marques dé la Candelaria, con el ditríipen de-la comfc-ion. Conozco qué el hacerlo asi nos ocupara nsuchG; de deSta. Ana, D. Elisebu, Bardají, D. JoaquinNavarro Sangren , conde de pero no puedo prescindir de ello, sin que lo determine asi el Estamento.” S- Roman. D. Jacobo María Parga, conde de Tabeada, conde de Friegue,</t>
  </si>
  <si>
    <t>Saniafé</t>
  </si>
  <si>
    <t>…ando abusan por la de nuestra posteridad, á cuyo favor consignaremos esos principios en de su poder ó usurpan el que no les rómpete, sino "también cuando atacan ó las leyes fundamentales no respetan un principio fundamental. « El Sr. Saniafé deshizo una equivocación relativa a lo que entendía por « Entremos en el eximen de la libertad de la imprenta. Esta consiste en ley fundamental.” que cada uno pueda expresar sus pensamientos libtemente y sin previa censura, Sr. Secretario de Estado: « Por lo mismo que la petición que se discute pue…</t>
  </si>
  <si>
    <t>SANITARIO, Soult ESTzVDO</t>
  </si>
  <si>
    <t>Soult ESTzVDO SANITARIO</t>
  </si>
  <si>
    <t>…rece se dabíri jior derechos de fiVma al gefe que ¿probaba las bvjuf'. I ■ - hijuelas. - -------- .. . laplBb un periódico da la tarde publicsdo en París-el^dia1 t8 del corriente tt •Mgura que el mariscal Gerard es el sucesor del mariscal Soult. ESTzVDO SANITARIO t&gt;feL REINO. PXOVINCLA DH KAD1UD. ¥eerte recibido en la secretaría de Estado y del Despacho de la Guerra.. Parte sanitario», X *F.l capitán general de Castilla la "Vieja con fecha 21 del actual desde B5r- «M'dlce lo siguiente: «Ei capitán del provincial de Segóvia D Ramón Pérez Pueblos. Días. Enfer…</t>
  </si>
  <si>
    <t>Sanjqancna</t>
  </si>
  <si>
    <t>…efecto la hubo, y ha al anochecer del día anterior fue sorprendido un vecino de la misma por j.4 sido tan, favorable como de lejos no puede calcularse. facciosos, quienes le obligaron i que !o&gt; acompañare hasta el término de LaEl brigadier Sanjqancna se presentó sobre Almeida; el Pretendiente huyó druñan , manifestando que su coivundamc era un tal Bayod , y que Carm«.CT de aquella plaza; el espíritu de ios pedristas se reanimó;,Guarda fue ocupada había dividido la facJon cu partidas para Lámar La atención de las tropas y velozmente por aquel br…</t>
  </si>
  <si>
    <t>Sanjua, Francisco</t>
  </si>
  <si>
    <t>Francisco Sanjua</t>
  </si>
  <si>
    <t>…de flores y obsequios; suce bajo apercibimiento de que no haciéndolo les parara perjuicio. * —Por providencia del Sr. de Norzagaray, teniente corregidor de esta villa, se cita £ diendo lo mismo en Covilhá al Sr. mariscal de campo D. Francisco Sanjua- los que se crean con derecho al vinculo y mayorazgo fundado en esta corte por el doc nena con la vanguardia. tor D. Francisco Fernandez Munilla, cuyo ultimo poseedor ha sido D. Benito Fer La disciplina de estos cuerpos continúa recomendable, sin baja alguna en nandez MuniLU, para que en el preciso térm…</t>
  </si>
  <si>
    <t>Sanjuancna</t>
  </si>
  <si>
    <t>…o que en todas ■ Ejército de operaciones del pafcte de España.=Excmo. Sr.: Me partes se le alcanza, falto de medios y sin equipage alguno, pues idirigia en tres columnas á encontrar á los rebeldes conyalguna es todo-lo perdió. EL brigadier Sanjuancna continuaba en su-segui peranza de que me aguardarían en su conocida y favorita posición miento. - \, .de Asarte y Nazar, fuerte por sus circunstancias, y apoyada en bos- i --------———— -ques y parapetos naturales que la'hacen todavía nqas respetable. hoy d las tres de la' tarde. Tiene esta posición…</t>
  </si>
  <si>
    <t>Sanjuanéela, Francisco</t>
  </si>
  <si>
    <t>Francisco Sanjuanéela</t>
  </si>
  <si>
    <t>…ón al cargo del señor brigadier ba de Holanda, á 28 id.: vmo del país del año anterior, de 12 á 15 rs. arrocomandante general de la misma D. Francisco de Paula Figueras, viniendo el ba; aceite , á 37 rs. íd.cñor mariscal de campo'D. Francisco Sanjuanéela con la vanguardia á Villa-? Ronda. Trigo, de 28 á 31 rs. fanega: garbanzos, de 50 á 50 id.: aceiteboin, y todos me seguirán en carros y bagajes cotí la mayor velocidad posible, de 4&lt;5 á 52 rs. arroba.haciendo los tránsitos que les iré marcando sobre la ruta á Talávera; y á fin de Ve tez. Málaga. Tr…</t>
  </si>
  <si>
    <t>Sanjuanena</t>
  </si>
  <si>
    <t>…La verdad es que ni •Cervantes ni el mismo Lope-conocieron el nuevo son ticado, ocupaban las siguientes posiciones. El general Carondelet en Linhares. derode poesía dramática que abrió este.felicísimo ingenio, guiado solamente El general Sanjuanena en Covilhao. El general Latre con la resetva en Guar por su instinto y el del público para quien componía. No es esta ocasión de da. El cuartel general en Celórico. El duque de Terceirá debía hallarse el mis tratar una cuestión tan larga y delicada; baste decir que casi á un mismo tieen mo dia en C…</t>
  </si>
  <si>
    <t>…ha del Duero, ción heroica. mientras se dirigían otras desde Ciudad-Rodrigo sobre los caminos Asi resulta de los siguientes partes del general Rodil y del ex de Lamego al interior de la Beira, por donde D. Carlos podía ve presado brigadier Sanjuanena. rificar su retirada. Mas como la reunión de las fuerzas y los demas preparativos no Capitanía general de Extremadura.=Excmo. Sr.: Son las cinco pudieron hacerse con tanta cautela que no se susurrase que se pre de la mañana , hora en que acabo de recibir el adjunto parte ori paraba algunr expedición…</t>
  </si>
  <si>
    <t>…de honor deelogiarlas leyes.á loí seo;bas Soberanas,de tal suertepartiendoque se hande vistopuntoscoincidiropuestos;operacionesde maneradequeloscasiejércitosá un detiempoam amenazaba á Casteilo-branco en las vertientes al Tajo el brigadier Sanjuanena; T«n París aparecieron el 11 varios grupos en la plaza de Chatelet, que fue ocupaba á Guarda el general Rodil; se declaraba Almeida, y el duque de Ter- ron dispersados por la policía: en toda la noche hubo fuertes patrullas y pique tes de gendarmas en mayor fuerza qttü de costumbre. El mismo dia fu…</t>
  </si>
  <si>
    <t>…sus frentes las armas de la Habana. les acantone tropa; en efecto, pasado mañana irán á la primera dos batallones Duró p4 baile hasta el amanecer, reinando toda la noche la alegría mas y un escuadrón de la vanguardia con el señor general Sanjuanena , y á, la úl completa y *1 mejor órden y decoro. Concurrieron todos los notables de la tima el señor mariscal de campo barón de Carondclct coa otros dos batallones ciudad , de rigoroso uniforme, y el cuerpo diplomático extrangero-: dirigiendo de la Reina de infantería, y un escuadrón de carabineros…</t>
  </si>
  <si>
    <t>Sanjuanena, D Francisco</t>
  </si>
  <si>
    <t>D Francisco Sanjuanena</t>
  </si>
  <si>
    <t>…e las debidas recompensas, se ha dig mañana de hoy la facción, compuesta de 500 hombres, 80 mon nado S. M. promover á mariscal de campo de los Reales ejércitos, tados; y á las once los equipages en carros del pais, custodiados al brigadier D. Francisco Sanjuanena, en muestra del aprecio que por algunos caballos. Bien asegurado de la certeza de este relato le merecen sus leales y repetidos servicios en la frontera de Portu por la conformidad de las personas caracterizadas á que interrogué, gal , concediendo al propio tiempo el grado inmediato al subte dispus…</t>
  </si>
  <si>
    <t>Sanjuánena, D Francisco</t>
  </si>
  <si>
    <t>D Francisco Sanjuánena</t>
  </si>
  <si>
    <t>…ntonio Muñor, herido gravemente, y á la familia del soldado José Macias paia la Capitanía general de Extremadura.rrFxcmo. Sr.=El coman gracia y pensión que tenga á bien dispensarle S. M.; siendo igual dante general de vanguardia, brigadier D. Francisco Sanjuánena, mente acreedor á mi memoria el Sr. mariscal de campo, barón de con fecha de ayer me dice lo que copio desde Lardosa: Carondelet, por la prontitud y acierto con que ocupó á Capiña «Excmo. Sr.: Consiguiente con lo que tuve el honor de ma con una columna de caballería é infautería, apoyando el movi n…</t>
  </si>
  <si>
    <t>…tacamento de la guarnición de curidad por el monte de la Abadía, no podiendo dar alcance á los rebeldes, que todos iban montados, Caparroso, de que tuve el honor de dar cuenta á V. E. en mi penúltimo par te, dispuso el comandante general D. Francisco Sanjuanena otra Operación &gt;&gt;E1 subteniente de infantería de Extremadura, 15 de línea, D. Santos "para sorprender al cabecilla Lueus, ó sea Manolin, que según noticias debía Soria , que salió de Villodrigo la noche anterior con dirección á Bembibre, en Tolver á Peralta á recoger el pedido que habia hecho del i…</t>
  </si>
  <si>
    <t>Sanjuanena, Francisco</t>
  </si>
  <si>
    <t>Francisco Sanjuanena</t>
  </si>
  <si>
    <t>…entre los objetos que excitaran su entusiasmo. El mérito calificado por Dios guarde á V. E. muchos años.. Pamplona i, de Octubre de 183á.=:Extales y tan irrecusables jueces, me permite elevar al conocimiento de V. E. ceientísimo Señor—Francisco Sanjuanena.==Excmo. Sr. Secretario de Estado y que este oficial sostuvo con una guerrilla de 30 hombres , mandando la extre del Despacho de la Guerra. . ma vanguardia, un puesto importante bajo un fuego terrible, conservando en fifota de los individuos que resultan muertos, heridos y contusos en la de la carga…</t>
  </si>
  <si>
    <t>…das recompensas, se ha dig mañana de hoy la facción, compuesta de 500 hombres, 80 mon nado S. M. promover á mariscal de campo de los Reales ejércitos, tados; y á las once los equipages en carros del pais, custodiados al brigadier D. Francisco Sanjuanena, en muestra del aprecio que por algunos caballos. Bien asegurado de la certeza de este relato le merecen sus leales y repetidos servicios en la frontera de Portu por la conformidad de las personas caracterizadas á que interrogué, gal , concediendo al propio tiempo el grado inmediato al subte dispus…</t>
  </si>
  <si>
    <t>Sanjuánena, Francisco</t>
  </si>
  <si>
    <t>Francisco Sanjuánena</t>
  </si>
  <si>
    <t>…or, herido gravemente, y á la familia del soldado José Macias paia la Capitanía general de Extremadura.rrFxcmo. Sr.=El coman gracia y pensión que tenga á bien dispensarle S. M.; siendo igual dante general de vanguardia, brigadier D. Francisco Sanjuánena, mente acreedor á mi memoria el Sr. mariscal de campo, barón de con fecha de ayer me dice lo que copio desde Lardosa: Carondelet, por la prontitud y acierto con que ocupó á Capiña «Excmo. Sr.: Consiguiente con lo que tuve el honor de ma con una columna de caballería é infautería, apoyando el movi n…</t>
  </si>
  <si>
    <t>…o de la guarnición de curidad por el monte de la Abadía, no podiendo dar alcance á los rebeldes, que todos iban montados, Caparroso, de que tuve el honor de dar cuenta á V. E. en mi penúltimo par te, dispuso el comandante general D. Francisco Sanjuanena otra Operación &gt;&gt;E1 subteniente de infantería de Extremadura, 15 de línea, D. Santos "para sorprender al cabecilla Lueus, ó sea Manolin, que según noticias debía Soria , que salió de Villodrigo la noche anterior con dirección á Bembibre, en Tolver á Peralta á recoger el pedido que habia hecho del i…</t>
  </si>
  <si>
    <t>Sanjurjo, Arteijoy Carballo D Pedro</t>
  </si>
  <si>
    <t>Arteijoy Carballo D Pedro Sanjurjo</t>
  </si>
  <si>
    <t>…a. D. Benito Sanjurjo y Mosquera, en Orense: desde les y tropa se ofrecían en los términos mas nobles y patrióticos á sacrificarse 15 de Julio áfin de Setiembre. con las armas en la mano en defensa de los legítimos derechos de la Reina Arteijoy Carballo. D. Pedro Sanjurjo, en la Corulla: desde principio de nuestra Señora Doña Isabel ii. Julio hasta fia fie Setiembre. S. M. la Reina Gobernadora admitió gustosa esta expresión de lealtad tan VALENCIA Y XURCIA. propia de verdaderos españoles, y ha manifestado de un modo eminentemente honorífico el señalado aprecio que l…</t>
  </si>
  <si>
    <t>Sanjurjo, Joaquín</t>
  </si>
  <si>
    <t>Joaquín Sanjurjo</t>
  </si>
  <si>
    <t>…jlSv'i.a intención de la Inglaterra es probablemente fundar-,4.. imiyores interinos á 1). José Durango Calderón para Santa -Marta dé. ¡i tación de la Francia, una colonia en la costa septentrional de Africa. (DiarioOrtigueira ; á D. Joaquín Sanjurjo para Vilialba; á D. Tomas Ber- '■ de Roma.) nardino López para Muros; á D. José Gamboa y Ortiz para Nova; BÉLGICA. á D. Nicasio Ruiz de Romarate para Quiroga ; á D. lomas Rodrí guez Monroy para Negreira; á D. Joaquín Torreblanca. para Viana Bruselas 6_de• Junipv del JkíHo;á D.Francia» Sales Calíoru…</t>
  </si>
  <si>
    <t>Sanjurjo, Pedro</t>
  </si>
  <si>
    <t>Pedro Sanjurjo</t>
  </si>
  <si>
    <t>…osquera, en Orense: desde les y tropa se ofrecían en los términos mas nobles y patrióticos á sacrificarse 15 de Julio áfin de Setiembre. con las armas en la mano en defensa de los legítimos derechos de la Reina Arteijoy Carballo. D. Pedro Sanjurjo, en la Corulla: desde principio de nuestra Señora Doña Isabel ii. Julio hasta fia fie Setiembre. S. M. la Reina Gobernadora admitió gustosa esta expresión de lealtad tan VALENCIA Y XURCIA. propia de verdaderos españoles, y ha manifestado de un modo eminentemente honorífico el señalado aprecio que l…</t>
  </si>
  <si>
    <t>Sánjusr, Manuel</t>
  </si>
  <si>
    <t>Manuel Sánjusr</t>
  </si>
  <si>
    <t>…vidado sima,.á solicitar del Sr. brigadier D. Pedro- Atnar,, . comandapte.de Ja fuer Fernando, cuyo Voto ha sidO'general. ' ' za dé'carabineros estacionada en la fróntera, aumentase la tropa gue ya había El caballero alférez Real D. Manuel Sánjusr habia convidado7, para; Una en esta ciudad, por persuadirme que obrando así pe.hacia un gran.servicio.á1 uno brillante escogida sociedad de señoras y caballeros, que asistieron al refresco jr otro gobierno. . ... . y baile que duró hasta las. doce de la noche en su casa habitación. Cprictirrie- «Ño…</t>
  </si>
  <si>
    <t>Sanjust</t>
  </si>
  <si>
    <t>…ién en su favor. En el inmediato dia repartió Vales * , fs. vol. 4 á varias 6 limosna á todos los pobres mendigantes de esta capital. Hermanando asi lo fino Deuda negociable de 5 p. 100 ¿papel, 00. ( « con lo generoso, ha dada el caballero Sanjust una prueba mas del noble afecto Id. sin friteres, al Conrado*' 8$, £ y 4 ¿'varías lV 6 vol.: 8Í k 60 d. f.^ó vol. ¿ pri de que estaba poseído hacia los infelices y menesterosos que tanto recomienda la ma de $* Ruina Gobernadora en sus Reales decretos. Acciones del banco español. 00. CAMBIOS. La ilu…</t>
  </si>
  <si>
    <t>Sanjust, Manuel</t>
  </si>
  <si>
    <t>Manuel Sanjust</t>
  </si>
  <si>
    <t>…e sin dar lugar á disparar un tiro. El resto de Puerto Rko , Puerto Rico á la Rbina nuestra Señora Doña,Isabel ir, y de tarde lo emplearon los cazadores portugueses, en unión: con Jos cinco carabine bajo se leía: «El alférez Real D. Manuel Sanjust alzó pendón por la Reina ros y el capitán agregado á la plana mayor D. Genaro Fernandez Cid, en per nuestra Señora Doña Isabel ii en 1834-” seguir y matar unos i8 ó 20 facciosos dispersos, habiendo hecho dos prisione , Los ricos muebles que adornaban la sala, el gabinete y los tocadores, los ros ,…</t>
  </si>
  <si>
    <t>Sanlafé</t>
  </si>
  <si>
    <t>…o contestarle?, manifestando no permite el estado de la Nación ni la justi ilegales. Por tanto, apoyo en su totalidad el dictámen de la mayoría.” cia, se atienda á estas reclamaciones; y tanto mejor- puede hacerse así , cuanto El Sr. Sanlafé manifestó que en su sentir no solo debía contribuirse que en Francia siempre se han reprobado los maneja» del empréstito da al Gobierno con los 400 millones que pide, sino también aun con mas si fue Guebhard, y que cuando se verificó la invasión del año 1823 se hizo contra re preciso, porque podría…</t>
  </si>
  <si>
    <t>Sanlafe</t>
  </si>
  <si>
    <t>…esión régia, y son los siguientes: Rodríguez Paterna; González; Po'u: Cueva; Se procedí», a nueva votación entre ios otrn&gt; tres Sres., quedando si fin Mediano; vizconde de S. Simón; marques de Eduardo; Redondo; Cacercs electo el :Sr. Sanlafe por c'ó votos. obreniend0 1S ci Sr Cano M uní:: v 16 Latorre; Rodríguez de la Maza; conde de Adinero; Erutos; Bebía; Sierra; el S r, Redondo. González Alonso; Chacón; Carrasco; 0*«ci; López; Vitoria; To-queila»; Zú- Coik luida esta votación se levf» 1.» hst.i d c ti n.; 1 v a de los wi nec&gt; candi d…</t>
  </si>
  <si>
    <t>Sanoneia, D Juan Bautista de Bedia</t>
  </si>
  <si>
    <t>D Juan Bautista de Bedia Sanoneia</t>
  </si>
  <si>
    <t>…dia D. Lorenzo Presas, recorriendo el origen y progresos de mas de Cortesana , administrador de aduanas; D Martin de Andlgonagoltia, Jas matemáticas, halló que solo en España, y especialmente en nuestra Ca capellán dd comandante general; D. Juan Bautista de Bedia Sanoneia, comi taluña , se conservaron estas ciencias durante los siglos de la barbarie, y her sionado, y otros varios, con 91 rebeldes que se hallan asegurados i bordo de manando los cálculos numérico y literal, manifestó las ventajas del último pa Ja mencionada fragata, según oficio que acabo de recibir d…</t>
  </si>
  <si>
    <t>Sanoneia, Juan Bautista de Bedia</t>
  </si>
  <si>
    <t>Juan Bautista de Bedia Sanoneia</t>
  </si>
  <si>
    <t>…orenzo Presas, recorriendo el origen y progresos de mas de Cortesana , administrador de aduanas; D Martin de Andlgonagoltia, Jas matemáticas, halló que solo en España, y especialmente en nuestra Ca capellán dd comandante general; D. Juan Bautista de Bedia Sanoneia, comi taluña , se conservaron estas ciencias durante los siglos de la barbarie, y her sionado, y otros varios, con 91 rebeldes que se hallan asegurados i bordo de manando los cálculos numérico y literal, manifestó las ventajas del último pa Ja mencionada fragata, según oficio que acabo de recibir d…</t>
  </si>
  <si>
    <t>Santa</t>
  </si>
  <si>
    <t>…resma. Entre «El capitán general de Valencia, con fecha l.° del actual dice á este m¡-&gt; tanto el Sr. de Casascca se ha visto obligado á conceder permisoa, dando avi nisterio lo siguieme:•&gt; Exento. Sr. De los últimos partes que el brigadier Santa so á la Dirección, para la corta de maderas con que reparar los muchos da Cruz dirije desde Peñarroyaal general Hore , resulta que los puertos de Bcceite ños causados por ías aguas en los puentes, molinos, presas y otros artefacto* y Tortosa han-quedado limpios de los perturbadores del órden, que s…</t>
  </si>
  <si>
    <t>…gratitud para con S. M- la Reina Go el caso de hacer aquí ante todo mi» profesión de principios. Nada mas distante bernadora y su Real familia.” ■ ' .de mi_ánimo, señores, que querer se. cercene cosa alguna á SS. MM. y AA. . , El Sr. Santa/í-. «Cuando tómo la palabra, para sostener en la totallt'ad de cuanto pueda servir a su esplendor y á su. dignidad; pero hago Ja suficiente el presupuesto de la casa Real, no se crea, señores, que trato de aprobar ni ,, justicia á sus deseo», para creer que no querían comprar la funesta ventaja &lt;je…</t>
  </si>
  <si>
    <t>…os de esta Milicia, puerto que no tienen la disciplina de los que siguen provincia de Cataluña, ó cualquiera otra que se halle en el mismo caso.” la carrera de tes armas, ni se pueden imponer á los mismos las severas pena*.que El Sr. Santa/e: «Si yo no me equivoco, á los jornaleros, como tales, no i aquellos. En los países en que rigen Gobierno» representativo», y «en que se les puede imponer contribución ninguna.” existen estos cuerpos, se han tratado de establecer garantías fijadas en la pro El Sr. Presidente advirtió al señor preopi…</t>
  </si>
  <si>
    <t>…Valen medios de mejorarlas; y también sobre lo concerniente al ramo de minas. cia y-Cataluña. . Los ha hecho responsables de cualquiera falta relativa á la propagación de «Tan luego como ttte informé del número y dirección que el brigadier Santa la vacuna , y se ha informado escrupulosamente del estado de sus propios. Cruz, encargado del mando de lás tropas de esta provincia, había dado á las Ha despachado varias exposiciones en favor de la industrie particular y.la diferentes columnas en que subdividió el total de sus fuerzas, me pareció opo…</t>
  </si>
  <si>
    <t>…al cielo, y bendecirán jamas debieran haber pesado sobre el infeliz labrador, sin ingresar nada en el el día en que se les proporcionó tal beneficio.” Erario, y que antes bien desgraciadamente han pasado por las fronteras de Por Sr. Santa/é: «Creería ofender la delicadeza de los Sres. Procuradores sí tugal para hacernos ía guerra. supusiese que uno solo trataba de sostener el Voto de Santiago. Me opongo «Habráque hacer algunas excepciones, tales como respecto á aquellas per pues al proyecto de petición, tal como está, no porque crea…</t>
  </si>
  <si>
    <t>Santa, D Damian de la</t>
  </si>
  <si>
    <t>D Damian de la Santa</t>
  </si>
  <si>
    <t>…ra el Senado, lltmo. Sr. D. Antonio Posadas. qmpieza á manifestar su opinión por medio de peticiones, que el Senado se in Excmo. Sr marques de Espinatdo. clina á declarar como calumnias y libelos. Ningún hecho nos da margen i cal Sr. D. Damian de la Santa. cular cuándo podrá concluirse la contienda entre el Presidente, el Senado y ei Sr. D. Juan Pa larca. Sanco. (Courier.) PROVINCIA DB PA1KNCIA. Sr. D. Francisco Redondo , del Tribunal Supremo de Etpa&amp;a. £ Indni. París 22 de Junio. Sr. D. Francisco Orense, propietario y del comercio. Lonja de ayer. Ci…</t>
  </si>
  <si>
    <t>Santa, Damian de la</t>
  </si>
  <si>
    <t>Damian de la Santa</t>
  </si>
  <si>
    <t>…l Senado, lltmo. Sr. D. Antonio Posadas. qmpieza á manifestar su opinión por medio de peticiones, que el Senado se in Excmo. Sr marques de Espinatdo. clina á declarar como calumnias y libelos. Ningún hecho nos da margen i cal Sr. D. Damian de la Santa. cular cuándo podrá concluirse la contienda entre el Presidente, el Senado y ei Sr. D. Juan Pa larca. Sanco. (Courier.) PROVINCIA DB PA1KNCIA. Sr. D. Francisco Redondo , del Tribunal Supremo de Etpa&amp;a. £ Indni. París 22 de Junio. Sr. D. Francisco Orense, propietario y del comercio. Lonja de ayer. Ci…</t>
  </si>
  <si>
    <t>Santa, José</t>
  </si>
  <si>
    <t>José Santa</t>
  </si>
  <si>
    <t>…nombre de mi augusta Hija la Renta Doña Isabel n, be Rentas.venido en nombrar para la plaza de ministro correspondiente al arma de ingenie ros "en el Tribunal supremo de Guerra y Marina, vacante por renuncia de D. Manuel Pueyo, á D. José Santa (sruz. Tendréislo entendido , y lo comunicareis á quien corresponda. =: S. M. la Reina Gobernadora, á nombre de su augusta Hija Está rubricado de la Real mano. = En Aran juez á 23 de Abril la'Reina nuestra Señóla Doña Isabel ii , se ha dignado nombrar de 1834—A D. Antonio Remon Zarco del Valle. gob…</t>
  </si>
  <si>
    <t>Santaella, Francisoo Marcos</t>
  </si>
  <si>
    <t>Francisoo Marcos Santaella</t>
  </si>
  <si>
    <t>…mación hizo una salva Real la batería de Sío.Toribio, y verificada la las consistoriales, sacó el Real pendón el caballero regidor decano,oidor hono ceremonia se reunía á retaguarda ia compañía que estaba colocada frente de rario D. Francisoo Marcos Santaella, y lo entregó al caballero regidor, alférez los tablados, de suerte que al pasar para la Sta. iglesia iban ya incorporadas U&amp; Red D&lt; Manuel Sanjust,, que lo colocó seguidamente en el balcón deí centro cuatro compañías, que formaron frente del templo, ¿ hicieron una descarga al de la casa capitular…</t>
  </si>
  <si>
    <t>Santafc</t>
  </si>
  <si>
    <t>…ará pesaroso; y Dios parece que $. S. ha andado demasiado largo en las cantidades que cree se ne sabe cuál será el resultado.” __ —— ---------- cesitan para el pagó de los iotere»es reconocidos. -Segtm-4*--c-pinicn r. na. sé . El Sr. Santafc: «Tan distante estoy de convenir con las ideas del señor si del Sr. marques de Montevírgen ó del Sr. Diez Gozalez, y según la cuen preopinante, que creo que si se adoptase el art. 3»° de la mayoría, no so ta que ha hecho, resultan lóu millones mas, y según otros 40 menos. En e?to_^ lamente se destr…</t>
  </si>
  <si>
    <t>Santafe</t>
  </si>
  <si>
    <t>…n igualarse unos con otros, á no ser en un caso de ex pide el Sr. Ministro de Hacienda. Si los señores de Ja mayoría de la comisión trema necesidad. pudieran convertir las piedras en oro, justamente propondrían el pago total; «El Sr. Santafe ha indicado que quizá parte de la deuda convertida en pero hasta ahora nadie ha encontrado la piedra filosofal , y por eso repito que activa podría pagarse por los americanos cuando llegue el caso de arreglar á nosotros 00 se nos debe obligar á pagar mas que aquello que podemos. nuestros negocios c…</t>
  </si>
  <si>
    <t>…rceras partes en deuda activa, y una tercera parte en deuda porque después del golpe que se ha dado, es difícil que vuelva á subir á la pro pasiva.” porción que tenia antes: es mas fácil que resucite un muerto, que un crédito 1^1 Sr. Santafe pidió que constase en el acta que se había abstenido de que sufre en poco tiempo una baja tan considerable. Creo por lo mismo que votar. se encontrarán mas prestamistas cuando bajo el plan presentado por el Gobier Se leyó la siguiente proposición del Sr. Domínguez: «Habiéndose presen no se vea que…</t>
  </si>
  <si>
    <t>Santáfe</t>
  </si>
  <si>
    <t>…amentales, que con esto_tienen ún carácter mas solemne , mas aprobó la oportunidad, la conveniencia, la política de manifestarlas. Esto fue augusto. lo que desaprobó el Estamento, y esto ahora no puede volverlo á discutir sin »El Sr. Santáfe ha dicho que era bien sé hiciese esta petición; pero no contradecirse y sin incurrir en la responsabilidad moral, que tanto pesa sobre se les diese el carácter de fundamentales á sus artículos «. pues la ley funda los Procuradores á Córtes como sobre los Secretarios del Despacho. El Esta mental deb…</t>
  </si>
  <si>
    <t>Santafé</t>
  </si>
  <si>
    <t>…las Tarras que han dejado de percibir en. estos once años , tampoco pue amo que se díga ademas ni« mctael np cobrado» &lt;m los; 11 añosanleriore,” den resarcirse 4 los. expresados tenedores de IcxvnteresesqDe han dejado de perci El Sr. Santafé hizoprésente que esta cuestión estaba ya decidida coohaber bir. Creo que debe ser igual la suerte de ios compradores, nacíocal a que la de •probado el a«.i3.° (elcuat leyó). _ los. prestamista* extraDgerofy asi como. lo. ba sido pora'todos en este tiempo 1 El Sr. García Atocbáexpuso que el art. 3.°…</t>
  </si>
  <si>
    <t>…sta so víos, sino infracciones de las leyes fundamentales del país , puesto que en In lo esta consideración para sostener el artículo que se discute. glaterra, en que desde tiempos muy ántiguos se necesitaba la cooperación del El Sr. Santafé ha manifestado ayer que la nación española gozaba de está Parlamento para votar las contribuciones, este Parlamento no se habla convo libertad y de los otros derechos contenidos en la petición: pero yo le pregun cado desde 1643 hasta pero es menester decirlo, en esta misma época el taré al Sr« Sant…</t>
  </si>
  <si>
    <t>…e. Lo contrario seria compli bierno civil y político de todas las provincias, y hacer que desaparezcan esos car las ideas y alterar la discusión. .privilegios de uno en perjuicio de otros, ya que las privilegiadas y exentas se El Sr. Santafé: Yo no trato de divagar tanto como lo han hecho los han mostrado hostiles contra el trono legítimo? Las mismas circunstancias nos Sres preopinantes; y puesto que á ellos se la ba permitido, yo también creó favorecen también para un arreglo definitivo de empleados, de esa masa tan que puedo hacerlo.…</t>
  </si>
  <si>
    <t>…rá enteramente, pues está aun se intentaba esplanarlo mas, preguntaba al Estamento qué beneficio Real preparada la mesa para el caso. (,Silencio.) y positivo resultaba á Jos españoles de decirles: Sed libree, cuando por desgra El Sr. Santafé: He dicho y repito que mi impugnación al asunto que se cia cuantas veces se habían hecho-las declaraciones de estqs principios luminosos discute no es al fondo de la cuestión, sino solamente á que se presente en ca habían sido los precursores de los ataques políticos: que no se oponía á que los lid…</t>
  </si>
  <si>
    <t>…considero inútil. Sin embargo, no pue- Ha dicKa ei Sr. López que yo habia combatido este artículo: l.°bajo el supuesto de que no era exacto; alegando como prueba W obediencia que Beba Gobíerno sobre uná expresión que ha dicho el Sr. Santafé, acaso escapada de el pupilo á su tutor , el discípulo a su maestro, el criado á su amo &amp;c., pero la imaginación acalorada, y seguramente sin intención, porque no puedo ha que todas estas comparaciones, sacadas de la vida doméstica, nada tienen que cer á S. S. la injusticia de creer que la haya ver…</t>
  </si>
  <si>
    <t>…, la Reina Gobernadora , á quien tanto debemos , me pa- la sesión actual, porque están tan enteramente ligadas con las dé ay£í*t que son jéceqtie no solo consiente, sino que -aun reclama la libertad de imprenta, y unas mismas. El Sr. Santafé ha insistido en que no se diga le¿itl.ieion dbJur.la por lo mismo la comisión lo ha hecho presente á S. M. con entera justicia. porque nuestra legislación antigua, lejbs de ser absurda, há dado lá gloria y 1 ii Aun hay otras razones que apocan ésta misma libertad de imprenta en la felicidad á la na…</t>
  </si>
  <si>
    <t>…lecido, 1: fallan nombras aun no. lo han hecho y demas, á fin de leerla al Estamento para que este deli por las islas distantes, 11: total: 188. . berase lo que creyese oportuno. En esta inteligencia, ya que la proposición del El Sr. Santafé manifestó faltar en estajista el Sf, D. Mariano Torre SoSr. preopinante coincide tan exactamente con nuestras ideas, haré que se lea lanot, que acaba de,ser reelegido ppr la provincia .de Huesca, y se halla E»¡- esa lista ,-&lt;omo va i ejecutarse por un Sr. Secretario.” qamente imposibilitado de asis…</t>
  </si>
  <si>
    <t>…rfestar que nuestras antiguas leyes han insistido siempre en proteger la propie concepto debía dejarse para cuando se discutiese el código penal. dad contra las usurpaciones. Los fuere» de nuestras ciudades lo acreditan , pues El Sr. Santafé: «Señores, voté en contra de los artículos interiores, en todos se halla establecido que no se puedan atacar las propiedades. En las porque consideré que no eran necesarios para cimentar nuestro código funda Córte* de Madrid de 1373 se acordó no se pudiesen sacar dineros ó mara mental : por el cont…</t>
  </si>
  <si>
    <t>…os artículos que habia citado relativos á la discusión de proyectos de muchas, habiendo de venir á componer una sola totalidad? Yo creo que cae ley- es el único medio que debemos adoptar para salir del laberinto actual; porque El Sr. Santafé fue de opinión que se perdia el tiempo en tratar de la apli lo primero que á mi entender debemos hacer, es cumplir una obligación , y cación de los artículos citados , cuando se veía la imposibilidad de hacerlo por cumplida entrar desde luego en la cuestión que importa, pues lo demas eí per la natu…</t>
  </si>
  <si>
    <t>…monio se encuentran unidas rentas y obligaciones de diferentes cla con brevedad, y excusando el roce con otras cuestiones. ses, como son prebendas y propina* que tiene S. M. en algunas corporaciones, «Ante todo manifestaré que el Sr. Santafe, que ha apoyado el 'dictamen, según se ver fica respecto de algunas catedrales y otras iglesias. Se hallan ade del Gobierno, ha incurrido en una equivocación cuando asienta que en ei pa mas agregados á este patrimonio algunos majorazgos; y si en punto á estos trimonio Real entran los maestrazgo»: e…</t>
  </si>
  <si>
    <t>…ís,y otras personas del misma á que Informasen, y procurasen es ún grato tbdo el posible alivio de los pueblos.” mejor repartimiento de esa ¡^posición.” fpl Sr. Patarra: «Dije ayer que se trataba’ de hacer con el canal de Ara *E1 Sr. Santafé sostuvo la necesidad de hacerse la petición -para-alivio de gón una obra nacional; ¿pero'sfe ha hecho? No: en el día no es mas que una • los pueblos de Aragón, que no reportaban utilidad, sino gravamen, del canal obra provincial; de ahí saqué la consecuencia de qué sola aquélla provincia de por est…</t>
  </si>
  <si>
    <t>…edan inscribir á Jo menos 2il urbanos, á no ser como primer término de la edad para ser alistado en la Milicia urbana la de que sean voluntarios/* — 18 años. En España el ¡oven de 17 años, á lo menos en muchas provincias, es ' El Sr. Santafé pidió que se leyeran el artículo 5.° del proyecto de ley, y muy poco á propósito para las fatigas del servicio militar; y aunque yo no tengo el S.° del dictamen de la comisión. Se leyeron. el honor de pertenecer á esta clase benemérita, muchos individuo^ de ella que El Sr^Otttt: «No es pecesarto qu…</t>
  </si>
  <si>
    <t>…iéndola desde Luego, ó bien pasándola á La una Reina t y cierto es también que una persona de poca edad gasta menos que comisión para que la examine.” una persona adulta: mas de ahí no se infiere que un Rey niño baya de gastar El Sr. Santafé pidió la palabra como autor de la. proposición , y se la mas que tma Reina niña. La dotación no se da ai sugeto, sino ¿ la dignidad; en concedió el Sr_ Presidente, advirtiendo que supuesto habia ya apoyado U mis los nifios, sean Reyes ó no , las necesidades son las mismas, y no cieo que pue ma el S…</t>
  </si>
  <si>
    <t>Santafe, Bendicho y</t>
  </si>
  <si>
    <t>Bendicho y Santafe</t>
  </si>
  <si>
    <t>…importa si faltan elos funda El Sr, Belda leyó el art. 135 del reglamento, y manifestó que tenían pe mentos de la libertad Civil. ¿Quién podrá dudarlo; Y una vez admit-do este dida la palabra en pró el Sr. Trueba, y en contra el Sr. Bendicho y Santafe. principio tcómo desechar suslconsecuencias naturales: La seguridad individual, El Sr. Trueba: ” Al levantarme á apoyar la ^petición que se ha leído, es la seguridad de la propiedad, la igualdad ante la ley, son consecuencias natu toy íntimamente penetrado de cuán vasta es su importancia. Ningún asu…</t>
  </si>
  <si>
    <t>Santafé, D Pablo</t>
  </si>
  <si>
    <t>D Pablo Santafé</t>
  </si>
  <si>
    <t>…iales superiores robaban al soldado, y este ro— . $&gt;aba:á quien, podía. E1. desaseo y suciedad de la plaza de Santarem produjo en ÍROVINCIA DB WOMtQÁI fermedades que costaron la vida á millares de personas: las intrigas se aumenr Sr. D. Pablo Santafé. yaron jtn ciréoto-, y los hombres sensatos fueren mirados como sospechosos y Sr. D. Pablo Heredia. de. mal agüero En una palabra, todo se convirtió en un caos de confusión, ad- Sr. D. Alejandro Naya, barón de Alcali. nmánd-isc J&lt;s hombres mas juiciosos del partido miguelista de que aquella máquim d…</t>
  </si>
  <si>
    <t>Santafé, Pablo</t>
  </si>
  <si>
    <t>Pablo Santafé</t>
  </si>
  <si>
    <t>…s superiores robaban al soldado, y este ro— . $&gt;aba:á quien, podía. E1. desaseo y suciedad de la plaza de Santarem produjo en ÍROVINCIA DB WOMtQÁI fermedades que costaron la vida á millares de personas: las intrigas se aumenr Sr. D. Pablo Santafé. yaron jtn ciréoto-, y los hombres sensatos fueren mirados como sospechosos y Sr. D. Pablo Heredia. de. mal agüero En una palabra, todo se convirtió en un caos de confusión, ad- Sr. D. Alejandro Naya, barón de Alcali. nmánd-isc J&lt;s hombres mas juiciosos del partido miguelista de que aquella máquim d…</t>
  </si>
  <si>
    <t>Santana</t>
  </si>
  <si>
    <t>…s nueve v media de la m -óin.) Ue_u&gt; S. K. el presidente de TaPARTE NO OFICIAL. pueblocubaya, quey hastavitoreabala garitaú lasalieronlibertad,a reca labirlrriigj'»n,» el a\untam¡eniov mu. pjrtuulv ¡mdtriudjrm;:ite delal ilir-tre general Santana. La catedral estaba suntu'^ámente adornada ; celebró NOTICIAS EXTRANGERAS. de pontifical el IJmo. Sr. Portugal, que de«.p.io llevo el bacrameró.» en la pro cesión , á la que taiífbien a^r-tio el limo. Sr. Morales, toda'- las comunidades y corporaciones: indudablemente nunca la procesión del 0&gt;rpus hi &gt;…</t>
  </si>
  <si>
    <t>…h 21 tic Junio, Cuadrupla alianza. (Globt.} •Aver fueron trasmitidas al presidente del vorort las nuevas notas de los de1 Alemania y de luí ia confinóme» con no^otro-», y-de la Prut.ja; y aquel . .Cartas de Vcracruz dicen, que el general Santana , restablecido ya &lt;Te su L*t ha sometido hoy aj examen del concejo de gobierno Su tenor corresponde indiíposicion, trata de volverá la capital para encargarse otra vez del poder quitante á la idea que se había formado de ellas, sin embargo no piden la sepa-! ejecutivo. S= ha recogido por suscripció…</t>
  </si>
  <si>
    <t>…amar sangre ¿poca en que una economía compatible con la seguridad y la-dignidad de Frad-* hasta ahora, y es probable que siga sin grandes sacudimientos. cia, permitan á V- M. anunciar i Ja nackw que se ha cumplido el deseo mas El general Santana ha salido para Tacubaya con el objeto de restablecer ^rato paTa el corazón de V. M. su salud. «Aunque repetidas veces hemos tenido el disgusto de ver que la fuerza de El clero del distrito federal ha ofrecido al gobierno un empréstito de 409 las circunstancias ha hecho infructuosos nuestros esfuerz…</t>
  </si>
  <si>
    <t>…pide á la Francia una cantidad de libros mayor de la que consisten en pormenores circunstanciados sobre el revés de Gómez Farias y esta conipra a la otra, consiste en que por la intervención de la Francia se hace los triunfos del general Santana. Los mejicanos, según dicen , no tienen mo el comercio de libros con la Alemania, la Italia y la Inglaterra. La Francia tivos para celebrar el cambio. Farias tenia grandes ideas de reforma liberal. envía á la Inglaterra, no solo libros franceses, sino también en otras lenguas. Quería reducir eL ejército…</t>
  </si>
  <si>
    <t>Santander</t>
  </si>
  <si>
    <t>…y parte de la marinería ar Hamburgo, 00. Barcelona, k ps. fs.. Málaga , par. Descuento de tetras, á 4 p» 100 ai año.mada, se puso en movimiento para atacar á aquel fbragido, cuyo mensa?, iue Londres,37*. á 90 dias. Bilbaoi b. , i d. Santander,Santiago, } |d.b.■oítfo con la mayor indignación. Este cobarde nó esperó la respuesta que los valientes de Castro-Urdiales le llevaban, pues tan pronto como estos rom pieron su fuego, y experimentó el que le dirigía de cañón una trincadura gUarda costa y la pieza de 24- montada en el castillo, aban…</t>
  </si>
  <si>
    <t>…general de Puente la Burdeos, 00. zo, fc d. Granada, i fc £ Id. Zaragoza* i &lt;L R&amp;£na á 12 de Julio de 1834* — José Ramón Rodil. Hamburgo, 00* Barcelona* fcps.fr., Málaga, i Id. Descuento de letras* Londres * á 9O días. Bilbao» 4 d. Santander, fc b, fc 4 p* 100 al año. Santiago, 1 d&gt; Se halla vacante la segunda plaza de médico-cirujano del Real sitio de San Ildefonso, dotada con 129 rs. anuales, que debe proveerse por Oposición. Con ANUNCIOS. forme al párrafo 9.° del citado Real 'decreto solo serán admitidos á esta los profesores que es…</t>
  </si>
  <si>
    <t>…erecho para castigar antes del juicio; ¡y qué castigo peor que Hsmburgo, 00. Barcelona» k p». b., Málaga, i b. Descuento de letras, exponer á un hombre á este contagio de maldad: El estado que lo hace es res Londres, á 90 días, ±«d. Santander, 1 id. a 4 p. 100 al año. ponsable &lt;fe todos Jos atentados que este hombre cometa en adelante. 184. Bilbao» i d. Santiago, 1 &lt;L Recomendamos para las cárceles de detención el Panóptico de Bentham; como penitenciario tiene inconvenientes; pero comp lugar de custodia, á pro pósito para el cultivo de…</t>
  </si>
  <si>
    <t>…mando un magnífico pabellón. fueron pasados por las armas en la plaza pública. Por declaración de uno de los El túmulo era de color blanco Imitando el mármol con adornos de oro ptl sentenciados á muerte, llamado Antonio Nieto, el general Santander ha expe sus gradas, y en los ángulos había dobles basas que sostenían 8 grandes cande dido un mandato de prisión contra los generales Francisco de Paula Vclez,.J6labros bronceados de muy bella forma, y con hojas de acanto doradas. De las sef Miguel Pey y Francisco Urdaneta. mismas gradas ó escalone…</t>
  </si>
  <si>
    <t>…dicha provincia que en aquella capital habia disminui Burdeos.tismburgo,00.00»' 4 p$. f$.,| Barcelona, b. Malaga, 4 Descuento de do considerablemente la enfermedad reinante, pues desde 9 i 12 del mismo Londres, 4 90 días, é » i ¡d. Santander, ¡d. id. 4 4 p* 100 ailetras*ado» mes solo fueron invadidas 279 personas, curaron lu8 y fallecieron 41. que Mí- Bilbao, par. | Santiago , | d. dando existentes 709 enfermos. PROVINCIA DE SRCOVIA. ANUNCIOS. ; las Algibro reemplazado por lo aritmético en los problemas de Interes compues Partí tanitar…</t>
  </si>
  <si>
    <t>…$d.id. peleando contra este último sin llegar á vencerle. Hamburgo, 00. Barcelona, iw. fi., Málaga , 4 b. Descuento de letra* Ei gobierno de estos pueblos es patriarcal: la potestad Real es hereditaria, Londres, * 90 días, i * * ¡d. &amp; Santander, id. Id, á 4 p. 100 al afiob aunque no se sigue siempre la ley de la primogenitura. Por lo regular, el cau 18*. Bilbao t par. Santiago, £ &lt;L dillo elige al que le ha de suceder entre ¡os hijos de la primera de sus mugeres, qqc siempre es dóalto linage y de diferente tribu. Los principales caudillos…</t>
  </si>
  <si>
    <t>…ll, pues todavía no ha Hamburgo, 00. Barcelona, á os. fs.. Málaga ,£ id. llescoenfo de letras» b* á 4 P* *00 al ifte. habido tiempo para empedrar la ciudad. Al ver esto nadie creería hallarse en Londres,371 á 90 4Us. Bilbao,ib. 4 d. Santander,Santiago, 1 |d. Manchestcr, y mucho menos al examinar el siguiente estado de salarios, to mando un término medio, según los ha pagado durante el mes de Mayo último, por semana, esto es, por seis dias de trabajo, la compañía de industria titulada ANUNCIOS. Aíerrimatk Corporation* He se que Obras ta…</t>
  </si>
  <si>
    <t>…sitdtren el rUoité de Casrrilio dé'Salaaratia y sus rnme- sHomburgo, OOtl iBarceloiurwfc p% &amp;&gt;jMálaga, | b. Descuerno de Ift»», - &lt;ftackMé6 ¿c la a»lpiUc(^-A^ Merkao mandada por Lncia ífiejol á ía qbeat«oó tjóndres . k 90 días, 4¡d. Santander, 1 Idw k 4^&gt;.K)0, ií aóf.- y disperso completamente, causándole 2 muertos, cogienda.21 prisionerosjy _:w*± par» I Samiagóv^d. ^ jcdwitltsi/'yed COnlüeAÚtebe1 becbó talir-de está dudad la fuCrza que me ha sido posible en persecución'.dedos- gftipos -fugitivos. Korfiec.*1/.? . - - &lt; ,-i :. - '• •• '•…</t>
  </si>
  <si>
    <t>Santander, Manuel García Saez</t>
  </si>
  <si>
    <t>Manuel García Saez Santander</t>
  </si>
  <si>
    <t>…nnio_Macho Ville gas , alcalde mayor de Villarejo de Fuentes: á D. Antonio María Ortiz, al Pueblos. Días. Enfermos. Curador Fallecidos calde mavor de Fuente del Maestre: á D. Remigio Romero Prieto, alcalde mayor de Dona Mencía: á D. Manuel García Saez Santander “alcalde mayor Casasola...... ., 15 Ag. á 6 Oct.. 379 323 52 de Infantes jy á D Eugenio Javalquinto y Portillo, alcalde mayor de Priego. Portillo............. .. 1 á 24 Oct......... No consta. No consta. 35 También se ha servido jubilar á D. Gabriel Gutiérrez, alcalde mayor Santervas. .... . 18 Set…</t>
  </si>
  <si>
    <t>Santander, Santiago</t>
  </si>
  <si>
    <t>Santiago Santander</t>
  </si>
  <si>
    <t>…ozos de nieve de Constantina, y ha dispuesto Hamburgo, 00. Barcelona* á ps. fs.* Málaga, par. Descuento de ietns* que se tasen las obras que necesitan las albercas y se saque su cjecucion á pú Londres37* M-, a TJ0 d Bilbao,1 b* 4 d. Santiago*Santander *jd.^ b. k 4 p. 100 al año* blica subasta, t Ha determinado que se den 129 rs. del pósito á la casa de expósitos de Carmona , con calidad de reintegro de losarbitrios permanentes que se adopten ANUNCIOS. con aprobación de S. M. para lo sucesivo, y ha instruido sobre esto expediente. Ha pedido notic…</t>
  </si>
  <si>
    <t>Santencia, Josef</t>
  </si>
  <si>
    <t>Josef Santencia</t>
  </si>
  <si>
    <t>…compañía de cazadores del Príncipe. La columna tentativas no han 'podido alcanzar ninguna ventaja, / de*’Jóve forzó y arrojó al enemigo de Urígoiti, que hizo allí una tenaz resis Dios &amp;c. Barcelona 10 de Diciembre.de ia3if—Excmo. Sr.=Josef Santencia, siguien'ao su alcance hasta 'reunírseme en el instante en que los rebel- tocildes.=Excmo. Sr. Secretario de Estado y del Despacho de la Guerra. dt» habían sido' desalojados de sus primeras posiciones por mi columna de Vadguardíá, de que formó parte, continuando el ataque de fas sucesivas y forWíít…</t>
  </si>
  <si>
    <t>Santiago</t>
  </si>
  <si>
    <t>…de ca Hamt urgo, 00. Barcelona i pesos fs. Málaga 4 4 J b. Descuento de letras par. b. Santander ; a i 4 yo día* ¿ 4 p. 100 al año.bal) ena de Borbon , á quien he destacado con 2ü hombres para perseguir a una Lóodres par. Bilbao d. Santiago i 37 ;•partida i^ue se hallaba recogiendo caballos, de los cuales se apoderó de 10, ha muerto a uno de sus individuos, herido á dos y prendido á seis, quienes después de preparados á morir como cristianos, sufrirán la pena señalada en los Reales ANUNCIOS. decretos vigentes..Luego que la tropa haya…</t>
  </si>
  <si>
    <t>…letras Descuento de una nueva victoria; 48 prisioneros, varios muertos y heridos, y entre ellos el Londres, a 9O días, i b. Santander, ^ b. a 4 p. 100 al año. gefe Jover y otros cabecillas son el resultado de ella. 3 n- Bilbao, ¿ d. Santiago, | d. Salí del pueblo de Lagueruela siguiendo a la fjcclon de Conesa Y las tropas ANUNCIO. desafiaron con incansable entusiasmo el rigor del tiempo, que nos abrumó con lluvia y granizo. Después de-13 horas de fatigas sin alimento , encontré la fac ción en el pueblo de Lidon, que en número de mas de…</t>
  </si>
  <si>
    <t>…toria Hjmburgo, 00. Barcelona» k ps. ft., Málaga» id. !d. Descuento de letras, 1 b. 4 oO dias, Santander, | b. a 4 p. 100 al aüsk da esta facultad y de rn aplicación i las artés, como también las ventajas que lóndres, Bilbao» ¿ | d. Santiago, »•«. proporciona su estudio. £1 Sr. vicedirector terminó la solemnidad con un bre ve pero interesante apostrofe en muestra de reconocimiento, lealtad y adhesión i la Reina Gobernadora y á su augusta Hija la Ruina, nuestra Señora, por ANUNCIOS. kaiser añadido á los beneficios que ya disfrutaba aque…</t>
  </si>
  <si>
    <t>…ayona, 00. Alicante, á corto pla Coruña, \ d. Burdeos, 00. co* ± d. Granada, f á é id. Hamburgo, 00. Barcelona* á ps. fs.« Málaga, f id. ^ * r * ’ VARIEDADES. ( Lóndres, á 9O días, ib. Santander, i b. 4 4 p. 100 al 38*. Bilbao, é d. Santiago, | d. Fondas yeajes IUvados á las casas. La dificultad de emplear bien los capitales y el arte de especular, tan per ANUNCIOS. feccionado en Francia y en Inglaterra, acaban de producir en París una inven— cílra.fil, r&lt;f¿sP«Kfiosa , cuyo tíiuío equivale éb castellano al de fondas y Por providencia'd…</t>
  </si>
  <si>
    <t>…dos los demas. ■ ■ Hamburgo, 00. Barcelona, 4 ps. Es, Málaga, 4 d. Descuento de letras, lAndres. 4 90 días, Santander, 4 b, 4 4 P- 100 al año. No es pues de admirar que tomasen los hijos terribles represalias contra 4*. Bilbao, 4 d. Santiago $ d. sus padres ancianos ó enfermos. Muchas veces un hijo dejaba morir de hambre $ su padre y i su -madre por no tomarse el trabajo de asistirlos, y por no escu char sus lamentaciones trasportábanlos á algún sitio retirado. »Yo he conocido, ANUNCIOS. dice M. Ellis,'dos jóvenes que propusieron un di…</t>
  </si>
  <si>
    <t>…ya de Patrás, y por otra en la de Calerjis, antiguo ayudante de campo lóndres , 4 90 dias, t * t id- Santander , 1 id. 4 4 P- 100 al añm del conde Juan, que fomentaba las pasiones suspicaces de los moreotas, y re S8¿. Bilbao » 4 d. Santiago, 1 d. clutaba roldados i las claras contra el gobierno misto y el Congreso; soste nido por dos- hombres, cuya heroica conducta durante la guerra de la inde pendencia- hace muy doloroso que se hallen sus nombres entre los enemigos ANUNCIOS. declarados de la libertad (Nicetas el del Peloponeso y Cana…</t>
  </si>
  <si>
    <t>…, á os. £*., Malaga, , , Jos Vtnáttfes de nacional. y* prosperidad la gloria á _90 dias; Londres, b. Santander, i ibÁlaJ&gt;á él zelo y conducta Económica de aquella provincia, y de la sociedad a ^ i d. ; a 4 p. ÍOqali ‘ ' Bilbao, i d.: . ' Santiago , í papeL espera éoiiseguir con sir ayuda ventajosos resaltados. * Es^í'examinando los documentos relativos al hospicio de Oviedo, y las fun daciones piadosas de la prienda, y espera sádat un partido muy grande de esta ANUNCIOS. • » ‘ investigación. circunstanciadas acerca de las cárceles, para mej…</t>
  </si>
  <si>
    <t>…del colegio’piór Hamburgo, 00. Barcelona, ttps. £».. Málaga* id. id% Descuentp -de ietna* medió de unTmemdrial enj papéi del sello 4-° preseñarán al secretario, Londres , 4 q0 días* Ib. . ■ • Santander * | tú á 4 p. 100 al añóí" d. , Santiago* id.aconyafiado ¡de su (é. de baptisnjp,. de la información de limpieza de sangre y 38*. Bilbao, | de su buena vida y tt»tumbres, jéqibida ante la justicia deljpueblo de su natu raleza, con ibtcrvejicion del sindicó procihador jde la misma...................-.iasl ' p^fla feíde bautismo aeba^deacre…</t>
  </si>
  <si>
    <t>…Descuento de letras 14-5.) (Afatfi. los auxilio^ que reclama sú triste situación morbo todos , a icj Londresuiiu 1 b. b. £ Santander, á 4 P* ^90 año. al de magistrado honores audiencia concediendo Reai-'decreto de la Real de Ma 1 d. Santiago, Bilbao, á d. ¿ 34* 3H drid á D. Jacobo Villapova y Jordán. 14^0 ____r- «Nombrandoré D. Sebastian de Llanos, maestro de ceremonias de Jas Coa tes. (iVam. I48.) ANUNCIOS. Real órden fijando los derechos temporales que han de pagar las harinas espafiólas en la isla, de Cuba. Cid.) Obras Qut st hallan…</t>
  </si>
  <si>
    <t>…Descuento de letras 14-5.) (Afatfi. los auxilio^ que reclama sú triste situación morbo todos , a icj Londresuiiu 1 b. b. £ Santander, á 4 P* ^90 año. al de magistrado honores audiencia concediendo Reai-'decreto de la Real de Ma 1 d. Santiago, Bilbao, á d. ¿ 34* 3H drid á D. Jacobo Villapova y Jordán. 14^0 ___ _r- «Nombrandoré D. Sebastian de Llanos, maestro de ceremonias de Jas Coa tes. (iVam. I48.) ANUNCIOS. Real órden fijando los derechos temporales que han de pagar las harinas espafiólas en la isla, de Cuba. Cid.) Obras Qut st halla…</t>
  </si>
  <si>
    <t>…letra gasto que provecho. El Sr. Clcmencin cita un documento muy curioso, y es Londres, á 9O días, ^ b. Santander, £ b. a 4 P- 100 al asa una carta de D. Diego Hurtado de Mendoza ai Rey Felipe rr; en la cual coin -37 i* Bilbao, 4 d. Santiago, ¿ d. cide aquel célebre estadista con el juicio de Cervantes. Añade el comentador que este mismo dictámen fue seguido en tiempos posteriores por otros que acon sejaron abandonar los demas presidios de la costa de Africa. Habla después de. ANUNCIOS. la conquista de Argel por los franceses, hecha en…</t>
  </si>
  <si>
    <t>…o de id. Malaga, id. Barcelona, k ps. £5., VA1IBDADBS ESTADISTICAS DEL REINO. oQ dias. Londres , á 1 b. £ b. Santander, a 4 P* 300 año. al Precios Je ios cereales y otros frutos en las provincias 4 la ¿poca que seña Vi* Bilbao* | d. Santiago, £&lt;L lan las fsckas. Alicante. (Provincia de)__ Alicante (ó de Mayo.) Trigo, de 36 á 37 rs. fanega: cebada, de 14 á 15 id.: aceite, de 48 á 50 rs. arroba: vino, á 6 rs. ANUNCIOS. cántaro. Constituciones de Cataluña traducidas del catalan~al castellano % ton notas Denla. (15 de Mayo) Trigo , á 50 rs…</t>
  </si>
  <si>
    <t>…letras, resolviendo que se lleve á debido efecto lo dispuesto por el Real decreto Lóndres , í 9O días, *b. Santander, $ b. á 4 p* t00 al año. de 3 de Mayo sobre caza y pesca, sin permitir su transgresión en el Real 38$. Bilbao, i d. Santiago, $ &lt;L heredamiento de Aranjuez , ni otro alguno de los del patrimonio de S. M* ó sus terrenos adyacentes- (Id ) __ mandando que se restablezca la junta de Sanidad de Madrid. (Id.) ANUNCIOS. apmhjndrt ¡as medidas adoptadas por el corregidor y ayuntamiento de ’ Boletín dt medicina, cirugía y farmacia…</t>
  </si>
  <si>
    <t>…tregó al Excmo. Sr. Secretario de Estado y del Despacho de lo Interior el Lóndres, a/90 dias, $ á $ Id. Santander, 1 id. i 4 P- 100 al año. autor de tan preciosa obra. Tuvo el noble y grandioso pensamiento de acome 38$. Bilbao, $ d. Santiago, 1 d. ter tamaña empresa, y logró la satisfacción de llevarla á cabo después de 17 áños dé constancia, el Dr. D. Domingo Foñtan, catedrático de matemáticas ANUNCIOS. sublimes en la universidad de Santiago, de mecánica industrial por el Real conservatorio de artes, y socio correspondiente de la Real…</t>
  </si>
  <si>
    <t>…. id. Zaragota , { d. Hamburgo, 00. Barcelona,-¿ pS» &amp;«, Málaga, * id. Descuento de ttm, .Londres, á 90 días»; .1 b. Santander, 100*1 «fio. Extracto del parte remitido por el secretario dd -gobierno civil de la 37* i f. Bilbao, { d. Santiago ,1 d. provincia de Almería, D. Antonio de Gamo, con fecha de 18 de Julio último. Exento. Sr.: Con noticias por queja que me dieron algunos vecinos de Olula del Campo qué en este pueblo, sin embargo de lo„dispuesto en la Real ANUNCIOS, órd«vde ,29 de Marzo próximo pasado, no se permitía i los dueños…</t>
  </si>
  <si>
    <t>…da,Málaga, par.J id. Zaragoza,Descuento 4de letr*% do, á lio rs. la carga. Londres, &gt; 90 dias, j b. Santander, i b. k 4 p- 100 al año. 1 Mora de Ebro. Trigo, á 52 rs. cuartera: id. mezclado, á 40 id.: cebada, 37* papel. Bilbao, i d. Santiago , $ &lt;L í 24’d.: aceite, á‘42 rs. cántaro: vino, á 4 id. Seu ¡ie Ur %rl. No hay variación hace tres meses en el precio de los granos; ANUNCIOS. Talar». Trigo, á ,?8 rs. fjtncga: centeno, á 25 id.: cebada, á 21 id. : judías, it 34 id.: arroz. á'25 rs. arroba: patitas, á 2 id.: aceite, 4 38 id. vitio,…</t>
  </si>
  <si>
    <t>…s banos D. Francisco Moiada dió un espléndido convite á varios de sus compa Londres , á 00 días, 1 b. Santander, ¿ b. a 4 p* 100 al año. ñeros en representación de todo el cuerpo, y á algunos oficiales del ejército, 3^i Bilbao, £ d. Santiago, | d. reinando la mas cordial alegría y entusiasmo, y no echándose menos sino la presencia de los compañeros de armas, que trepando las sierras, se ocupan en persecución de unos cuantos ilusos fugitivos que se acercaron 4 aquella ciudad. ANUNCIOS. Llegada la noche, se dispuso pasear en triunfo los…</t>
  </si>
  <si>
    <t>…o veinte y cuatro; y muerto cinco: acompaña asimismo' Hamburgo. 0,0. Barcelona , A tu. fs.. Malaga , ¿.id. Descuento de letra** &lt;1 .Siguiente Londres, á 90 día*. 1 b. Santander, á b- k 4 p* 100 al año. Partt sanitario. Bilbao,. ^ d.. Santiago, 1. d,. Pueblo?. Días. Enfermo*. . .Curados. Falleeidos. ANÜNCIOS. UArgüida del Rey. 29 Jul. í l.° Ag. 93 V 17 ’ Qbras ifUi st hallan rlr vétít'a en el despacha dé la imprenta Real. 4 Compendio de la ^eometrútf-pr'acrfca, con un nuevo'tratado para medir terrenos, Campo Real.......... 25 » 31 de Jul…</t>
  </si>
  <si>
    <t>…que desde aquel dia hasta el de la fechq inclusive habían ocurrido 74 casos, de 6 por medio de persona que legalmente la represente en el juzgado del Sr. D. Pedro Balsera, teniente corregidor de esta villa y eñribáma de número de D. Santiago de la los cuales ter|njnaroa bien 21 y funestamente 24: que en Villalazan había Granja, en donde se halla radicada la testamentaria a ejercitar los derechos que en tal desaparecido la enfermedad, porcuya razón se cantó el Te D‘um el dia 28 :y concepto la correspondan, parándola no lo haciendo el perjuicio qu…</t>
  </si>
  <si>
    <t>…4 mu fia* ciendo una reunios de expulsos y aventureros, con objeto de venir i desembar Iñndres , i «0 d 1 b. Santander » 4 b» 4 4 p, 100 al car por Galveslon, y sublevar las colonias del departamento de Tejas. Públi m. Bilbao» 4 d. Santiago, Id. camente estaban haciendo los preparativos y construyendo 500 vestuarios; pero lo usas singular es que todo se hace' con conocimiento de Pizarra Martínez, nuestro cónsul en aquel puerto. Parece que se pondrá á la. cabeza de esa expe ANUNCIOS. dición el ex-general Hernández.” (£7 Censor.) Madrid…</t>
  </si>
  <si>
    <t>…militar y demas corporaciones. Hamburgo, 00. Barcelona á pesos fs. Málaga $ b. Descuento de letras Madres 4 90 días i i 1 b. Santander par. á 4 p. loe al afta. ESTADO ECLESIASTICO SECULAR estado militar. 37Í * 4- . Bilbao par á | d. Santiago i id. Y REGULAR. [Sacerdotes....................................... 33 Generales.................... 4 ▲ NUNCIOS,I Clérigos de menores................... 2 Brigadieres................................... 3 i Religiosos..................................... 26 Gefes....................................…</t>
  </si>
  <si>
    <t>…elona, á ps. fs.. Malaga . par. Descuento de letras, ■ministerio lo siguiente: Londres, a 90 días. i b. Santander, i b. a 4 p» 100 al año» Excmo. Sr.:El comandante general de la provincia de Toledo en l.° del 37¿ papel. Bilbao, 4 d. Santiago, | a J d. actual me dice lo que copio: Excmo. Sr.: El comandante de la columna móvil de Madrid, D. Víctor Sierra, desde Ciudad-Real con fecha 29 de Abril últi— r ANUNCIOS, mfKTne dice lo siguiente: Habiendo terminado totalmente las facciones de esta provincia , quedando tan solo algunos grupos de c…</t>
  </si>
  <si>
    <t>…m*s que algunas guerrillas que se avanzaron. En esta situación estuvieron Londres, á 9O dias, 1 b. Santander, | b. a 4 p. 100 al año* hasta las nueve de la mañana; que para burlarnos de ellos mandé dar princi- 38 papel. Bilbao, | d. Santiago, £ d. 4 celebrar cohetes y tocando la solemnidad por del día tirando el tamborilÍilo les danzas , lo que que se marcharon aver incomodó tamo formando as calles, gonzados Tanto el pueblo como la guarnición y la Milicia urbana ha mani festado un entusiasmo extraordinario y deseos de que atacaseo; per…</t>
  </si>
  <si>
    <t>…del atraso de la instrucción pública , de sus causas y dé los remedios landres, á 9O días, $ b. Santander, $ b. á 4 P&lt; 100 al año. que se propone aplicar para conseguir la curación de este daño; y dice que tra 37$ á |. Bilbao, $ d. Santiago, J d. ta de plantear sociedades económicas en algunos puntos como en aquella ciudad y la del Ferrol. Ha comunicado á la junta superior de Caridad la Real orden para que se ANUNCIOS, pongan á su disposición los 3009 rs. que dejó D. Isidro Perez para la funda ción de un hospicio, lo cual si se consig…</t>
  </si>
  <si>
    <t>…madu Hamburgo, 00. Barcelona, 4 ps. fs., Málaga, 4 id. Descuento de letra* rez! Valbuena poseía naturalmente el verdadero talento poético de la descrip landres , 4 90 días, 1 b. Santander, i b. 4 4 P* 169 al, año. 38*. Bilbao, { d. Santiago, 4 d. ción;'Sus cuadros están llenos de rasgos hermosísimos, originales, y que hala gan la&gt;.fanlasia. Sus comparaciones, generalmente hablando, son propias y su periormente acabadas;.y en fin, lucha felizmente con los poetas latinos, de S. M. la Reina Gobernadora,se ha servido resolver que en la, R…</t>
  </si>
  <si>
    <t>…to $ded. letras, Elogia el buen espíritu de los habitantes de dicha provincia. Londres , i 9O días, ib. Santander ,4 b. M p. tOO al año. Ha pedido noticias circunstanciadas para fomentar el arbolado de encinas y 38 á t. Bilbao» ¿ d. Santiago, id. la cria de cerdos, que forma una parte considerable de la industria del pais. Tiene entre manos varios expedientes de grande importancia sobre ayun ANUNCIOS. tamientos. El triunfo He la Sania ScHe y He la Iglesia contra los ataques He ¡os novaHores Ha obtenido del Sr. diocesano las órdenes par…</t>
  </si>
  <si>
    <t>…e letra •p su Capital se disfrutaba de buena salud , y que en los pueblos de Castille LOndres , 4 q0 días. 1 b. Santander , ) b. 4 4 p. 100 al año. jo jíjejnicsla ,Villa|vdé Cañas, Cerrera, Villanueva de la'Jara y Horcajo Bilbao,#d. Santiago, I d. aqgnjahi* enfermedad, su furso ordinario: en Carboneras causaba todavía algún estrago;:pejo en geoeralíq-optaba .que lijs invadidos-no lo eran con la gravedad yf (jUP.qlqsrioqipioy que Mbdaimayor parte habia producido buenos efectos la ANUNCIOS. sangfíar-apide fjnqjqqente.que.,tatnbien bahía…</t>
  </si>
  <si>
    <t>…gravámenes, vejaciones y fiscalización á que estaban sujetos, y se ha Londres , á 9O dias, 4 b. Santander. | b. a 4 p. 100 al año. introducido la fabricación del cloruro de cal, el cual se aplica ahora como ob 37* a |. Bilbao, 4 d. Santiago, 4 djeto de salubridad, y después se aplicará al blanqueo de las lelas , papel y otros muchos usos. Elogia el zelo de la junta municipal de sanidad y de las autoridades reuni ANUNCIOS. da? durante la epidemia, y recuerda con gratitud el donativo espontáneo do 49 r$. que hizoS. M. la Reina Gobernado…</t>
  </si>
  <si>
    <t>…», para atender á este mal' grave y urgente; y me ocupo en instruir el oportuno K á I b. 90 dias, Londres, $ {&amp;• ^a"t«nder, al á 4 p. 100 expediente para que la agricultura pueda ser socorrida para la sementera pró S7i. Bilbao, $ d. Santiago, l d. año. xima , que.ademas del vacío que dejan en los pósitos lo» gastos del conta gié .contempló sumamente difícil obtener el reintegro de 1 seranos que so adelantaron /los labrad-res en el año j-róximo pasado, pues que aun no reco ANUNCIO S. jan U-mitad de lo que sembraron, y estos inaplicables…</t>
  </si>
  <si>
    <t>…. Hamburgo, Málaga, 4 ps. fi, de operaciones Sr.: Habiéndo Vireioato Navirra.=Excmo. y ejército di £ id. 4 1 90 dias, Lóadres, Santander, id. 4 4 p. 100 al añ de presente los gefes Luis me hecho Fernandez da Córdoba división D. y Don 1 Santiago ,Bilbao, $ d. d. , 38$. Marcelino Oria lo mucho que convendría dar siquiera un dia de descanso ¿ la tropa de sus divisiones dentro de los muros de esta ciudad para que pudiera sin precipitación recoger las prendas de equipo, reconocer su armamento y ANUNCIOS. asearse, he convenido en que enfren en…</t>
  </si>
  <si>
    <t>…nal el coronel Tolrá con su columna, salía en la madrugada siguiente para Ldodres á 90 dias j b. [Santander par. á 4 p. 100 al afio. Ochandiano, y desde allí á Dima, para atacarlos en donde quiera que los en 37¿* t Bilbao par á J d. ¡Santiago 1 d. contrase. . anuncios. El brigadier Espartero desde Durango le decía con fecha del 7 que después de haber arrojado del valle de Arratia á las facciones mandadas por Latorre, Sermones del P. D. Teodoro de Almeida , de la congregación de S. Felipe Neri de Luqui y ©tros, á,quienes había tomado alg…</t>
  </si>
  <si>
    <t>…scuento u*o y Excmo. Sr.: Tengo el honor de poner en conocimiento de V. E. quc.cn 90 días, Londres, a ib. b. Saoranicrr, t a 4 P* 100 al 'tete dia acabaron de retirarse de esta plaza las tropas españolas que V. E. pe 33. BUbao, $ d. Santiago, £ d. año. netrado de los mas puros sentimientos de generosidad y adhesión á lo* sagrados derechos del trono legitimo y de las liberales instituciones portuguesas, había situado en esta provincia con el objeto de ayudar á la restauración de aquel. ANUNCIOS. Tengo ciertamente la mayor satisfacción e…</t>
  </si>
  <si>
    <t>…dable providencias objeto- capital otras tan de lograr d. 1 Barcelona, Malaga, á pañ., ¡Descuento letras de Xóodres días, 9O é , . 1 b. Santander b. ,4 es -cuanto posiblc- presidiarios-en los te limpia, por afio. 100*1 Mp* 37|. 1 d. Santiago, 4 iBllbao, d. ESTADO SANITARIO DEL REINO. Los suplementos de la Oaceta con las sesiones de los Estamentos se ven* 'PROVINCIA-DE CADIZ. ‘den sueltos en la Imprenta Real para mayor comodidad del publico. Senm partes de 5 del corriente se disfrutaba de buena salud en la capital dé aqiiefla provincia:…</t>
  </si>
  <si>
    <t>…ilaga» 4 b. El «nit*ft ^mft»l rieCastjWAla,íltiev^j,,«)q fecha dpi X0, anunciaquela Londres, k 90 días, é id. Santander, 1 Id* ^w^sr* gavilla de Gefórilmo Gala», que'rejgípriqiaroérité,.había aparecido, se ha vuel *8#.. Bilbao» 4 d. Santiago, 1 d. to i &lt;Esoí«rf!t i y que ljañ jsítlo sm^^ M ft’W?, Ciudad-Real los rebíi^MíOTa^.Motcis CaJClúc^Ow y ft'Hil1'!*» prisioneros en 14 c«a jxtf jos pí^qs TO^Stftpv^. AKtTKCIOS. ¿4 partida doble presentada en plano, que puedp pon^qiQ eq qn cufdrq ppra te ner 4 un gol pede yl$ta ia norma de todas las…</t>
  </si>
  <si>
    <t>…s que pudiesen infundir sospechas, y mucho menos la mas pequeña analogía con ¿¿odres á 90 días i id. Sanca oder J &lt;L á 4 p. loo ai afio. el cólera-morbo, según informe de la comisión de facultativos que desde la ciu S7í» Bilbao ¿ d. Santiago 4 á 1 Id* dad de Granada pasaron á examinar la enfermedad que se padecía en Nerja; por cuya razón se habia alzado la observación provisional á que se habían so ANUNCIOS. metido las procedencias de la citada puebla. Manual y dirección de alcaldes ordinarios y pedáneos de España, regidores de las Con…</t>
  </si>
  <si>
    <t>…Fomento de la provincia de Castellón de la Plana, con fecha de 15 d« Abril Hamburgo, 00. Barcelona, i p&amp; fs*. Málaga, par. Descuento de letras, Santander * 4 4 b. b. á 4 -100 al año. último. • &amp; Londres, á g0 días. d* Bilbao, 4 $ d. Santiago, Instruye un expediente para proponer á S. M. los medios de aliviar la agri cultura con respecto al impuesto sobre los vinos y aguardientes. Se ha hecho un reconocimiento para proporcionar riego á muchos cente ANUNCIOS. nares de fanegas de tierra. Ha elevado al Gobierno una consulta sobre alguna di…</t>
  </si>
  <si>
    <t>…o, y hoy compite en brillantez con los demas del establecimiento. Todas las Londres, á 90 días 1 b. Santander * 4 b. á 4 p* 100 al año. pilas que se surtían por canales descubiertos, y carecían de derrames superio J8¿. Bilbao * | d. Santiago , £ d. res , se hart reformado, tapando aquellos con sillería, poniendo llaves de bron ce,, y abriendo'désagiífcs; por manera qae después de llenas las pilas se están renovando las aguas medicinales continuamente: se ha establecido la mas rigo rosa policía médica: por último-, un estrecho arenal qu…</t>
  </si>
  <si>
    <t>…r de restablecerse; pues en lo demas de ja provincia habia cesado Hamburgo. 00. Barcelona, 4 ps. fs., Málaga. 4 b. Descuento de letras, dicha enfermedad. Lóndres, 4 90 dias 4 id. Santander, 1 id. 4 4 p. 100 al año. 38}. Bilbao, } d. Santiago, 1 d. PROVINCIA DE CÓRDOBA. Parte sanitario de 4 de Diciembre. ANUNCIOS. PueL los. Días. Enfermos. Curados. Fallecidos. Los suscriptores 4 la obra Diccionario enciclopédico de teología, por Mr. Bergier, pueden acudir 4 las librerías en que se hayan suscrito, y se les entregará el cuader no 4.0 y úl…</t>
  </si>
  <si>
    <t>…rdia Hamb-irgo , 00. Barcelona á pesos fs. Má;..ga { b. Descuenta de letm par. Santander 1 90 dias a 4 p. too al afio. 1 b. Real, .que salió de Madrid , se ha situado en Pancorvo , desde donde habia sa Lóndres Bilbao 1 d. par á i d. Santiago i7í 4 i. lido parte de mi fuerza en dirección de Vizcaya por Puentelarrá para unirse á las ir opas de Castilla, que han penetrado arrollando á los facciosos en aquella ANUNCIOS. provincia. Noticia del estado de tas cárceles de Riladelfia, escritas eu francés por LarocbeLa junta superior de Sanidad…</t>
  </si>
  <si>
    <t>…ala, si se hubiese dirigido sobre ella , donde he llegado con algunos ¡Londres , a oQ días, 2 b., Santander, fb. A4 p* X00 al año. prisioneros; sin mas pérdida en. la acción de ayer que cinco heridos. El enemigo 27Í á j. Bilbao, ¿d. Santiago* ¿d* debe haberla sufrido de consideración, y por los partes d.e los pueblos se sabe ya de bastantes muertos y heridos. i Debo elogiar nuevamente el valor de estas beneméritas tropas, como tantas ANÜlídDS. veces lo he hecho ya á V. E.: su constancia y sufrimiento en las marchas tan '——Los suícripto…</t>
  </si>
  <si>
    <t>…ober Hamburgo, 00. Barcelona, 4ps. tu Malaga, id. id. 1 Descuento de letra!. nador civil ha cuidado de atender con parte de sus existencias al socorro de loa Londres, 4 QÓ dias, Santander), i b. i 4 4 p. 100 «1 año. 98. Bilbao, 4 d. Santiago, |d. | labradores necesitados y de los muchos puebles invadidos de Jas enfermedades estacionales. , ha hecho un padrón de vagos, del que resulta haber un crecido núme-* ANUNCIOS. to, pero mas por miseria que por holgazanería; el gobierno civil se ocupa cu SI tomo 1.® del Anticuario, por Walter Scot…</t>
  </si>
  <si>
    <t>…blarán en Hamburgo,Londres, á 00.90 días, Barcelona,* id. á ps. fs., Santander,Malaga , 4 b.1 id. Descuentoa 4 p. 100dealletras,año. »u . silencio un lenguage instructivo y amenazador: su imagen, presente á la 38f Bilbao, par k 4 d. Santiago, 1 d. memoria, será para la juventud una amonestaciqji continua, y una regia ha bitual de conducta. Concluimos de lo dicho que el lugar de confinación debe ser un edificio situado en el centro de la república, y cuyo orden interior pueda ser observa Deseando S. M. la Reí ha Gobernadora evitar los i…</t>
  </si>
  <si>
    <t>…uesen mas Hamburgo, 00. Barcelona á pesosfs. Málaga | b. A Descuento de tetras con las que el capitán general de Castilla la Vieja había puesto á sus órdenes. Lóndres 'á 90 -dias 4 id. Santander £ d. á 4 p. 100 al año. ! Bilbao 4 d. Santiago ^ á t id. Concluidas sus disposiciones , se pondrá en movimiento tn combinación con el S7Ü1. general en gefe para batir á los rebeldes , que en fuerza de 3 á ¿fé hombres se hallaban situados en Vjdaurre y pueblos inmediatos. / ANUNCIOS. "Tablas de logaritmos para los números y los senos por M. Lala…</t>
  </si>
  <si>
    <t>…oyectado una obra en las inmediaciones de aquella capital, y concluye Londres , 4 oO días, 4 b. Santander, ¿ b. 4 4 P* 100 al afío. - 1 d.incluyendo el parte necrológico de ella, del cual aparece que desde el día 20 38. Bilbao, i d. Santiago, de Junio último, hasta 6 del corriente han fallecido en dicha ciudad de Al mería 124 personas , inclusos 9 párvulos. ANUNCIOS. PROVINCIA DE MADRID, Obras que se hallan He venta en el despacho He la Imprenta Real. El gobernador civil de ella dice con fecha de ayer, que habiéndose mani paces Antiguo…</t>
  </si>
  <si>
    <t>…ión del ministerio Hamburgo,Londres, i 00¿90 dias, Barcelona,4 id. ips. fs., MálagaSantander,,46*1 U, Descuentoá 4 p. 100dealletras»a&amp;o. dimisionario; se quejó de qüe se haya atacado á estos ministros, y de que los 38*. Bilbao, * d. Santiago, 1 d. hayan presentado como revolucionarios Incapaces de dirigir el pais y de man tener el crédito público ¡ declaró haberse asociado, en cuanto pudo , á su nom bramiento. ANUNCIOS. ¿Querrá por ventura el ministerio alearse con una ciega mayoría 1 ( ¿Yo, Los suscriptores á la nueva edición del Ano…</t>
  </si>
  <si>
    <t>…e letras, Extracto del parte remitido por el subdelegado de Fomento de la provin Londres, á 90 dias, £ b. Santander, £ b. á 4 p* 100 al año. cia de Oviedo D. Joaquín María Suarez, con fecha de 30 de Abril último. m y i. Bilbao, £ d. Santiago, £ d. Ha removido en diferentes concejos de la provincia los obstáculos que se oponían al cerramiento de heredades, y no pierde de vista la necesidad de in culcar á los habitantes las conocidas ventajas de los prados artificíales. ANUNCIOS. Habla de las fábricas de manteca preparada al uso de Fland…</t>
  </si>
  <si>
    <t>…rdoba, Hamburgo,. 00. Barcelona, á ps. fs., Málaga, 4 id. Descuento de letras Lóndres , á q0 días, 1 b. Santander, i b. á 4 p» 100 al año. d. El gobernador civil de esta provincia remite con fecha 12 del mes corrien 3»* Bilbao, j d. Santiago, | te los siguientes partes sanitarios. Estado sanitario de la villa de Benamejí desde el 6 hasta el 8 de Junio. £1 conductor de la correspondencia ordinaria para I3 carrera de Aragón y Cataluña, que salió de Madrid el 7 del corriente, fue asaltado en la noche Existencia del día Días. interior. Inv…</t>
  </si>
  <si>
    <t>…de los extravíos pasados, de los delitos presentes. Sobre aquellos Ldodres á 90 días 4 á i id. Santander 4 d. A 4 p. 100 al afio. supo extender piadosa el manto de la clemencia, sobre estos hace vibrar terri-; J7í * i- 1 Bilbao 4 d. Santiago 4 á 1 id. ble la segur de la ley. ¡Ay de los que persistan!:;: La magnánima Cristina no enagenará el patrimonio de su augusta Hija , ni dictará jamas la impunidad de la negra traición. Si por un momento, señores, ha sido forzoso que enmudez El buque correo núm. 4 dará la vela del puerto de Cádiz el…</t>
  </si>
  <si>
    <t>…er Linares, se preparaba á marchar para Pamplona con un convoy de 17 Londres,Hamburgo,a 00.90 dias. Barcelona,1 b. á ps. fs.. Santander,Malaga. 4 id.4 b. Descuentoa 4 p. 100aealletras»año. carros y 2UU caballerías. 38*. Bilbao» { d. Santiago , $ d*. El capitán general de Cataluña con fecha de 13 del actual dice á este Minis^ terio lo que sigue: »&gt;La dispersión de Jos facciosos es completa en todas partes, ANUNCIOS. y í Francia se han refugiado en los días ó y 8 del corriente por O&amp;eja y ErZ Recopilación, ó sea instrucción manual de la…</t>
  </si>
  <si>
    <t>…eos,Hatnburgo00.,• 00» Barcelona,zo, * 4, á m. ft,, Granada,Malaga, id.* áid.* id* DescuentoZaragoza, |déid.letras^ Lóndres, a 90 dias, ib. Saorander, * b. - á 4 p.100 «laño* * Villa del Rio.. 7 i 9 idem.... 4S 23 5 58. Bilbao* * d. Santiago, 1 d. Zuhetos............. 6 í 9 ídem.... 2 6 11 5 ANUNCIOS. PROVINCIA DE JAEN* Obras (lúe si hallan de ventó en el despacho de la imprenta Real. Parte sanitario de los pueilos que en (i se expresan. Arte de la cria del gusano de la seda, por D. Juaij Lañes y Duvai, edición de 17$7’ Un tomo en 8.°…</t>
  </si>
  <si>
    <t>…dir que los jóvenes no sa LondresHumburgo,, 4 9000.' dias, Barcelona,* id. 4 ps. fs., Santander,Málaga , * b.1 id. Descuentoá 4 P&gt; 100de alletras,año. entreguen con preferencia á una ó dos carreras favoritas. 38*. Bilbao, par i * d. Santiago, 1 d. Bajo este punto de vista voy á examinar rápidamente cuáles son las pro fesiones abiertas hoy en Francia á los jóvenes que salen de las escuelas litera rias; si hay carreras que se hayan cerrado ya, si se han abierto otras nuevas, y ANUNCIOS. cíales ventajas ó inconvenientes ofrece esto para l…</t>
  </si>
  <si>
    <t>…Granada,uña, 4 4d* Pagoza, | ^ 9 189 35 . S7 26 17 Hamburgo, 00. Barcelona, k ps. fs. Málaga, 4 *d. icuento de letras, ■ 4 p* 100 al año. 10 238 18 22 19 9 Lóndres, á 9O días. Ib. Santander, 4 b. 11 250 31 48 21 12 584. iBUbao, 4 d. Santiago, | d. Qqediui exutcntet pan mañana 296. ANUNCIOS. Provincia de Jaca. Boletín He medicina, cirugía y farmacia de hoy 19 de Junio. Contiene: medio* iera evitar la disensión médicíYexposición y exámen del sistema de Rasorí ¿ uso de El gobernador civil de esta provincia dice con fecba 14 del presente f…</t>
  </si>
  <si>
    <t>…ada Id. Zaragoza ^ d Hamburgo, 00. Barcelona á pesosfs. Málaga k b. Descuento d&lt; Antonio Ratera, idem, de Barcelona. Ldndres á 90 días *b. Saetaoder par. á 4 p. 100 ■ Antonio de Lloselias, idem, de Barcelona. 37 i- Bilbao par á ± d. Santiago 1 d. Francisco Perramon, idem, de Castellnou Vasclla. Josef Amat, idem , de Sarria de Barcelona. Antonio Roquet, idem, de Martoreil. ANUNCIOS. Josef Pavera, idem, de idem. i Garlos; Bojch, ídem , de Hostalets de Balañat. Reglamento aprobado por S. M. la Reiha nuestra Seftora para la organización de…</t>
  </si>
  <si>
    <t>…letras, exponer á un hombre á este contagio de maldad: El estado que lo hace es res Londres, á 90 días, ±«d. Santander, 1 id. a 4 p. 100 al año. ponsable &lt;fe todos Jos atentados que este hombre cometa en adelante. 184. Bilbao» i d. Santiago, 1 &lt;L Recomendamos para las cárceles de detención el Panóptico de Bentham; como penitenciario tiene inconvenientes; pero comp lugar de custodia, á pro pósito para el cultivo de principios morales y religiosos, y para preservar á ANUJ1CIOS. los detenidos dé toda contaminación, no nos parece que tien…</t>
  </si>
  <si>
    <t>…rías de algunos hombres viles y perversos, heces de la literatura Lóadres, * 90 dias, Id. Id. . &gt; .Santander,1 Id». „ - »4P&gt; 1M*I«Bo. y enemigos jurados de toja naciente celebridad, dieron con el papel en tierra. 3*1- . Bilbao, 4 d. Santiago, 1 &lt;L Hogg, sin desanimarse por este revés, y deseoso de reducirlos á una impotente desesperación ,, publicó una obra, titulada : »The Queen’s Wake,” dedicada á la primera Carlota. Este libro, que ha sido el cimiento de su fama, le prd- ANUNCIOS» porcionó considerable» ganancias y ia aiqista,d de l…</t>
  </si>
  <si>
    <t>…os, se están construyendo otros, y ya quedan Hamburgo, QO. t Barcelona, á ps. £5*, Málaga, 4,i&lt;l. Descuento d? letras, pocos pueblos en donde.no los haya. Londres, á 90 días, Ib. Santander ,4 b. k 4 p* ICIO al año. 384. Bilbao, f d. Santiago , 3 d. . La Milicia urbana se aumenta bastante; en la capital hay completos y arr mados dos batallónos y,73.urbanos de caballería perfectamente equipados;' No . de^c,pasarse en silencio que muchas señoras principales se han disputado la sa ANUNCIOS. tisfacción de coser gratuitamente -algunas prenda…</t>
  </si>
  <si>
    <t>…pies de Hamburgo, 00. Barcelona, ¿ ps. fs.. Málaga, # b. íDescuenm de letras, alto, formando una línea continuada, ó calle de 3üU pies. Los maderos esta Lóndres, á 90 dias, * id. Santander, 1 Id. á 4 P* 100 ai año. 38*. Bilbao, # d. Santiago , 1 d. ban labrados con muescas y hendeduras, al parecer de hacha, como se hace hoy. La tierra bajo la cual se ha encontrado este pueblo, estaba cubierta, cuando los blancos se establecieron en ella, de un espeso bosque de maderas gruesas, lo que denota la grande antigüedad de estos edificios, y qu…</t>
  </si>
  <si>
    <t>…Hainburgo, 00. Barcelona, 4 p*. £s-, Malaga, 4'b. IDescuento de letras* Lóndres, 4 90 días, * 1 « la. lOe -Santander Id. 4 4P&gt; lOOilalbs son mas en realidad que unos ejercicios de declamación sin interés y sin enla 38#. Bill&gt;an,*d. 1 Santiago* d. ce. Escúchese á Mr. Nisard, ,y se sabrán todos los chismes literarios de enton ces; se asistirá á todas las disputas que se suscitaban, á todas las opiniones! que prevalecían. (Cómo piensan acerca de Séneca el retor Quintiliano, el grave historiador Cornelio Tácito, y aquel hablador tan agudo,…</t>
  </si>
  <si>
    <t>…ieron, Hamburuo . 00. Barcelona, á ns. fs., Malaga , id. id. Descuento de letra», y no se les pudo alcanzar hasta después de cuatro horas de marcha por terrenos Londres, a 90 días, |b. Santander, f b. á 4 p. 100 al año. Bilbao, 4 d. Santiago, | d. escabrosos. El resultado ha sido la total dispersión de esta gavilla, habiendo 3 7i a l muerto á dos de ellos; se leo han cogido seis caballos, dos cajas de guerra y ©tros efectos. Concsa consiguió fugarse con unos 2ü hombres. Es la única no ANUNCIOS. ticia que puedo participar á V. E. Dios &amp;…</t>
  </si>
  <si>
    <t>…. Hamburgo, 00. Barcelona, á ps. fs., Málaga, 4 ¡d* Descuento -de ' letras, Lóndres ,¿90 dias, 1 b. Santander, | b, á 4 P* 100 al año.Presentarán á este objeto al Excmo. Sr. capitán general y junta de ensanche Bilbao, &lt;L 384* 4 | d. Santiago, dentro del término de cuatro meses, que concluirán en 31 de Octubre del cor riente- afio,-bit diseño ó modelo de ta ¡dea, demostrando en el primer caso la planta y alzados del monumento en pliego á lo menos de marca mayor de Ho landa, siendo el modelo en el segundo de tamaño suficiente para podors…</t>
  </si>
  <si>
    <t>…nto de tetras» atención de V. E. Dios guarde á V. E. muchos años. Valencia 18 de Noviem Londres, á 90 dias 4 id. Santander, 1 id. 4 4 p* 100 al año* bre de'1834'=Excmo.Sr.=:El mariscal de campo Joaquín de lbarra. = Exce Bilbao, 4 d. Santiago , 1 d. lentísimo Sr. ministio de la Guerra. Capitanía general de los reinos de Valencia y Murcía.=Excmo. Sr.=Des- ANUNCIOS. de. mi último parte no he dejado de perseguir las facciones de los tres reinos reunidas, marchando noche y dia para darles alcance, no tanto porque ellos No habiéndose realiza…</t>
  </si>
  <si>
    <t>…les drdeneir-y decretos vigentes en et día, y muy útU á tatfos los escribanos*, álfétóríl^id^iítatjlc^ué despide él aljénfo de los fumadores de:tabaco -ne ■ caldesy secretariosde -ay uoram lento,.procuradores .ycuriálés ítc.i por D. Santiago de gro. tn efCéEtt- ba^a tiba bocanada déUíí^jfomó íhtrodudida con. dn tubo ■ dé Alvarado. Doa t«mus en 8.“ á 40 tuto patui te vende é« la llbteria.de Razóla. —&gt;En virtud de providencia dél biteqdentí subdaiegado -de Rentas de esia provincia u2 -ií. •■udaf -miníegrfeéer'sndentadura1; -.y- cubrir.de-es…</t>
  </si>
  <si>
    <t>…sostiene por el • LondresHamburgo,, á 00.90 dias, Barcelona,íb. á ps. fs., S^ntand^r,Malaga , id. 1 b. Descuentoá 4 p* 100dealletras,año. consumo del pais y la extracción 4 las provincias de Andalucía que retornan 3 n- Bilbao, f d. Santiago, $ d. géneros coloniales, cera y algún otro artículo de producción meridional. Ha autorizado 4 un vecino de Agreda para que edifique una venta en el des poblado equidistante de Castelruiz y Añavicja, y ba permitido al pueblo de ANUNCIOS. Trebajo que reciba á censo redimible 7900 rs. de los patrpnos…</t>
  </si>
  <si>
    <t>…) so, i &lt;L 14* gusutes.»*.- ■ Individuos de la junta provincial. Hamburgo, 00. Barcelona, 4 pS. fk, Mklsg», áld. landres , á 9O dias, *bw ‘ Santander, ás. El presidente comandante genera 1, mariscal de campo D. Francisco Ferraz. *d. Santiago, 14. El Sr. alcalde mayor l.° L&gt;. José- Enjuto, hasta el dia 3 del corriente que fue atacado de la enfermedad reinante. El Sr. provisor y vicario general del obispado D. Femando Lorenzo y Mar ANUNCIOS. tin, vocal. El Sr. D. Juan Soto, vocal por la clase del comercio. El Sr. D. Francisco Garcerán, m…</t>
  </si>
  <si>
    <t>…ecretaria Hamburgo, 00. Barcelona, á ps. fs., Málaga , 4 b. Descuento de letras, de la junta superior de Sanidad después de la comunicación hecha al Lóndres, á 90 dias, 4 á 4 id. Santander, 1 id. á 4 p. 100 al año. 584. Bilbao, 4 d. Santiago, 1 d. alto Gobierno sobre nuestro estado sanitario en JL.° de A.gosto último. Resto de Julio. i ANUNCIOS. ' En la ciudad. En los campos. TotalesHimno patriótico con coros titulado el juramento Ae la Milicia urbana á nues tra excelsa y joven Reina Doña Isabel u; puesto en música para Canto y piano,…</t>
  </si>
  <si>
    <t>…eda acahando de fortificar aquel punto para dejar-una guarnición, y emprender Londres* a 90 dias, 1 b. Santander* t b. a 4 p- 100 al año. nuevamente sus operaciones; habiendo recibido aviso este gefe del gobernador 374* Bilbao, i d. Santiago, ¿d. dé Bilbao, de que se perseguía á los facciosos en la costa. AN11N.CIOS. Extracto det parte remitido por el gobernador civil de la provincia de Subíirvivian m partidos judiciales de la nutra división territorial do la Penín Ciudad Real E&gt;* Diego Medrano con fecha de 9 del actual. sula é Islas a…</t>
  </si>
  <si>
    <t>…r á tu antojo de la autoridad pública para hacerla servir á su propia conve- Ldndres á 90 dias 4 Id. Santander 4 á 4 p. 100 al afio. rnicncca Amados fieles: contra estos enemigos, que con capa de religión y do ari* Bilbao 4 á par d. Santiago 4 á 1 id. Realismo intentan seduciros, se dirigen mis exhortaciones. ¿Podréis persuadiros [que el amor á la religión y á las leyes fundamentales de su patria sea el móvil anuncios.__________________________________ rdesús operaciones? ¿Llamaremos cristiano al que desobedece los preceptos del Viage…</t>
  </si>
  <si>
    <t>…4 Id. *^aragoz*, \ d. los cuales andan errantes, y de quienes se desertan muchos. Hamburgo, 00. Barcelona, á ps. fs., Malaga, 4 id# descuento de letra?* Londres, k 90 días, 1 á|b. Santander, 4 b. ¿ 4 P- 100 al año. 38J. BUbao, i d. Santiago, |d. ~ El mismo capitán general con fecha 21 dél corriente remite á este minis terio el parte siguiente: «Gobierno militar y político de'la ciudad de Teruel y Su partido zuExcmo. Sr.: Consiguiente á las órdenes é instrucciones que tenia ANUNCIOS. comunicadas á las justicias de los pueblos de este p…</t>
  </si>
  <si>
    <t>…. Granada* 1 id* Zaragoza, 1 d. Hamburgo, 00. Barcelona* á ps. fs.. Málaga * 4 Id. Descuento de letras, Mota del Marqué». 18 de Agosto... 12 Londres, á 90 dias* ib. Santander * 4 b. A 4 P- 100 al año. Rioscco. • 18 37J. Bilbao, 4 d. Santiago * 1 d. Tnfdttitbs. ..... 82 'Vsltffecftltac 19 id................... 4 Villanubla........... 18 id.................. 9 ANUNCIOS. Nota. Se ignora el número de enfermos y corado*. Obras qta se hallan dt venta en el despacho de la imprenta Real. Lecciones de Aritmética, cuarta edición año de 182$ * un…</t>
  </si>
  <si>
    <t>…celona, i ps. fs., Málaga , par. Descuento de letras l¡t gratitud nacional. Londres, á 9O días, 1 b. Santander, 4 b~ á 4 P* 100 al año. . "Hago á V. E. particular recomendación, para que se sirva elevarlo i S. M-, 3'*- .Bilbao, i d. Santiago, i d. del teniente graduado D. José Dea, subteniente de fust'leiros, el mismo que an tes contribuyó tan eficazmente á la prisión de los frailes en Bataya, y que aho Por Real órden de 18 del actuat se ha servido resolver* S. M. la Reina ra con sumo zelo y bizarría ha sido el que ha puesto en arma el…</t>
  </si>
  <si>
    <t>…0. Barcelona, 4 ps. fs., Málaga, id. id. Descuento de letras» derechos de los mismos, y aprovechamiento de aguas enterándoles de su obje Londres, 4 aQ días, 1 b. Santander, 4 b. á 4 P* 100 al año. to y utilidad. , 3 7i. Bilbao» j d. Santiago, -f d. Ha recordado á la Sociedad económica de la provincia, la importancia del establecimiento de una cátedra de agricultura, y de la continuación del canal, ANUNCIO.de riego de Villagodío, A solicitud del ayuntamiento de Villanucva del Campo, ha concedido á Los suscriptores 2 las Vi(tas He los pa…</t>
  </si>
  <si>
    <t>…arcelona, k ps. &amp;, Mklaga, 4 b. Descuento de letras, lla industriosa Ciudad. Londres, i 90 días, 4 i 4 id- Santander, 1 id, k 4 p-100 al año. Añade, que antes-de salir de Berga habia recibido diferentes partes, que 384. Bilbao, 4 d. Santiago, 1 d. le confirmaban la dispersión de la gavilla del Muchacho , que abandonado del «¿maten y de muchos de los suyos huía i ampararse de Caragol, dejando por fuerza .el país de su influencia. Cuatro de los bandidos que acompañaban al Muchacho se acercaron i Berga, fueron apresados por una partida de…</t>
  </si>
  <si>
    <t>…ras, circunstancias de aquel país: lo hace igualmente del coronel Nbgueras, que'ha- Londres , á 90 dias. 1 b. Santandsr, f b« á 4 p» 100 al año. biehdo oido en su tnarcha un vivo fuego, acudió oportunamente al punto de Bilbao, -f d. Santiago d. Jé acción, y la sostuvo con la columna de su mando. El referido coronel Ma zarredo hace especial recomendación del capitán graduado de teniente coronel D. José Casel y del teniente D. Sebastian Portillo, ambos del regimiento pro ANUNCIOS. vincial de Cuenca , qüe-con la fuerza qué puso á sus órde…</t>
  </si>
  <si>
    <t>…curado dos de célicos biliosos y una de tercianas. Hamburgo, 00. Barcelona, á p$. fs., -Málaga, 1 Id. Descuento de letras, Londres, á 90 dias, 1 á |b. 1 Santander, i b. ■' á 4 pt ' lOQ ál ano. PROVINCIA DE MADRID. 38*. Bilbao, * d. Santiago, * d. \ :__ Cod noticia que tuvo el Gobierno de que en el pueblo de Valléis se ha ANUNCIOS. " bían observado algunos casos de enfermedad sospechosa, excitó el zclo'del acre lecciones escogidas de latinidad para traducir con suma facilidad.lo* autoresclá~¡. ditado profesor D. Mateo Seoane, á fin de…</t>
  </si>
  <si>
    <t>…par. Granada, 1 id. Zaragoza, 4 d. de casos funestos. Hatnburgo, 00. Barcelona, á ps. fs.. Malaga, ¿ id. Descuento de letras* Londres, i 90 dias, ib. Santander, 4 b* 4 4 p- 100 al año. PROVINCIA DE 6 RANA DA. 37¿ á 38. Bilbao, i d. Santiago, 1 d« En oficio de 23 del actual dice el presidente de la junta de Sanidad do dicha provincia que el estado sanirarío de su capital era satisfactorio, pues en ANUNCIOS. los tres días anteriores al de la fecha solo habían fallecido 29 personas, inclu yendo en dicho número 13 párvulos, los muertos de…</t>
  </si>
  <si>
    <t>…ruz habia Hamburgo, 00. Barcelona, k pa. Málaga, 4 b. Descuento de letras, Lóndres, 4 90 días, 1 Santander, 4 a i id. Id. á 4 P- 100 ai año.dado el dia 19 á las tres de la tarde desde Santa Olea, anuncia que Carnicer 38*. Bilbao, d. Santiago, 1 i d. habia sido batido y dispersado por dicho gefe, escapando con solos 1UU hom bres por el camino de Castellote. El comandante general de la provincia de Valladolíd dice con fecha del ANUNCIOS. 23 del corriente, refiriéndose 4 otro parte del comandante de armas de San Cartilla elemental dr agri…</t>
  </si>
  <si>
    <t>…* de 18 de Mayo último , he excitado'á los ayuntamientos de Toro, Benavente .Londres * 4 oO días, |b. Santander, 4 i b. 4 4 p, 100 al año. y Fuente-Saúco, que son las poblaciones de consideración en la provincia , á 38. Bilbao, é d. Santiago* f d. que promuevan con actividad la erección de sociedades económicas, encargán doles inviten á inscribirse en ellas á las personas notables por su instrucción, laboriosidad y amor al bien público, demostrándoles la utilidad de estos cuer» ANUNCIOS. ' p,9s, que compuestos de t^les individuos no pu…</t>
  </si>
  <si>
    <t>…ad en la línea del Ebro. Hamburgo, 00. Barcelona, fcpa.fr,. Málaga, ¿ b. Descuento de letras, 1 id. **p. 100 al año. La facción navarra parece que se halla eü las Amescuas. La división del Londres,JE#. 4 90 días, Bilbao*8 á i £id.d. .Santiago,Santander,4 d, general Córdoba Salió aquel dia para Salvatierra, y la del brigadier López es taba en ViatMs El gobernador civil de Albacete con fecha de 25 de Noviembre da parte ANUNCIOS. al Gobierno de las funciones y regocijos públicos con que se han celebrado en La abeja enciclopédica, ó sean no…</t>
  </si>
  <si>
    <t>Santiago, D Francisco</t>
  </si>
  <si>
    <t>D Francisco Santiago</t>
  </si>
  <si>
    <t>…3.° montañas á la cabeza de su cuerpo, á los tres soldados heridos de batallón de Zaragoza le siguiese y colocase las piezas en una posi la Princesa, y entre estos al granadero Juan Vecino, que hallán ción de la de Anaburu; y a¡ coronel D. Francisco Santiago, pri dose herido de bala de fusil en Ja mamila derecha, se le previno mer comandante de dicho primer batallón, que mandase desplegar por el gefe que entregase los cartuchos y se retirase del puesto, y en guerrilla Ja compañía de cazadores, y que con las restantes su contestó estas siempre memorable…</t>
  </si>
  <si>
    <t>Santiago, Francisco</t>
  </si>
  <si>
    <t>Francisco Santiago</t>
  </si>
  <si>
    <t>…tañas á la cabeza de su cuerpo, á los tres soldados heridos de batallón de Zaragoza le siguiese y colocase las piezas en una posi la Princesa, y entre estos al granadero Juan Vecino, que hallán ción de la de Anaburu; y a¡ coronel D. Francisco Santiago, pri dose herido de bala de fusil en Ja mamila derecha, se le previno mer comandante de dicho primer batallón, que mandase desplegar por el gefe que entregase los cartuchos y se retirase del puesto, y en guerrilla Ja compañía de cazadores, y que con las restantes su contestó estas siempre memorable…</t>
  </si>
  <si>
    <t>Santiago, Id</t>
  </si>
  <si>
    <t>Id Santiago</t>
  </si>
  <si>
    <t>…o y soldado Hamburgo, 00. Barcelooaá pesos fs. Málaga | á j b. Descuento de letras i id. 4 90 di a* ¿ Santander d» á 4 p. joo al afio. los mas antiguos de ios que no la tengan, y que reúnan las calidades de valor Ldodres Bilbao ¿ d. Id. Santiago ¿ *7i i I»- y isuena conducta. 2.° Que les sean puestas las cruces por los comandante* de sus batallones y escuadrones, reuniéndose siempre que fuere posible en gran pa rada todas las tropas que hubiere en et punto en que se hallen , bajo las órde ANUNCIOS. nes de su general ó comandante. 3® Que an…</t>
  </si>
  <si>
    <t>Santiago’</t>
  </si>
  <si>
    <t>…s. Las casas capitulares; la fachada de la santa iglesia catedral ,1a 2*óndres« k 90 días, Ib. ' Santander ,1b. * 4 p&gt; 100 al año. del Sr. inMbdepté interino ; el-frente del teatro y otras casas particulares tenían 3/J. Bilbao, | d. Santiago’, 4 d. adóraos, trasparentes y emblemas análogas á la fiesta, é iluminaciones de mu cho gusto. ' ANUNCIO. f En este día- dió el Excmo. ayuntamiento una abundante comida i los pre Se batía vacante el partido de médico titular de la villa de Loranca deTaJuñaso# de la cárcel, y socorrió al presidio con…</t>
  </si>
  <si>
    <t>Santos</t>
  </si>
  <si>
    <t>…e todos iban montados, Caparroso, de que tuve el honor de dar cuenta á V. E. en mi penúltimo par te, dispuso el comandante general D. Francisco Sanjuanena otra Operación &gt;&gt;E1 subteniente de infantería de Extremadura, 15 de línea, D. Santos "para sorprender al cabecilla Lueus, ó sea Manolin, que según noticias debía Soria , que salió de Villodrigo la noche anterior con dirección á Bembibre, en Tolver á Peralta á recoger el pedido que habia hecho del importe de las con contró en'dicho punto otro pequeño grupo, de que mató dos, uno de e…</t>
  </si>
  <si>
    <t>…celencia los últimos seis meses, y á 553 las de menos cuantía. Cerca de 200 icbeldet de esta parte de las instituciones de un ejército. Muchas y notables son las di han pagado bajo la cuchilla de la ley la enormidad de su delito. D. Santos La ferencias que en esto se advierte entre unas y otras naciones , y en nada se pa drón, el canónico Echevarría, el ex-comandante de realistas de Burgos, el ex rece ia antigüedad, rigorosamente observada en Ausiria, con el giro mercantil brigadier Tena, el barón de Hervés, el gobernador de Morella, lo…</t>
  </si>
  <si>
    <t>Santos, D Pablo</t>
  </si>
  <si>
    <t>D Pablo Santos</t>
  </si>
  <si>
    <t>…procederes, y que tal vez su p'-ca experiencia en (Q. D. G.), á quien espero de V. S. se servirá elevar este acontecimiento á esta clase de intrigas les conducía á un paso que su cura/ m repugnaría tan los fines que convengan. El comandante D. Pablo Santos salió inmediatamente pronto como pudiesen considerar sus fatales consecuencias. c©n su partida y algunos otros paisanos en su persecución, y no dudo emplea Aunque tengo dictadas las providencias oportunas para impedir cue se re rá todo su 2elo y vigilancia.” pitan esta clase de ocurrencias, debo no…</t>
  </si>
  <si>
    <t>Santos, José Ramón</t>
  </si>
  <si>
    <t>José Ramón Santos</t>
  </si>
  <si>
    <t>…e á D. Manuel Noriega, D. José Benito Español y D. José Dio SVSCTOS PUBLICOS. nisio Leal, que mantiene mas de SOÓ personas, y de las de cordelería de Don Inscripciones en el gran libro $ S P- 100,00, 58 al contado. Pedro Marzal y D. José Ramón Santos, hay otras de curtidos, sombreros , ja Títulos al portador del 5 p. 100, 60$ y $, á varías fs. ó vol.: 60J y 61 á varias fs. ó bones , lienzos, jarcias, tej idos de punto, de seda y lana, y de salazón , y todas vol. A prima de $ á $ p. 100. son dignas de la protección del gobierno, y de la que ofre…</t>
  </si>
  <si>
    <t>Santos, Pablo</t>
  </si>
  <si>
    <t>Pablo Santos</t>
  </si>
  <si>
    <t>…demas de atribuírseme que no quería Guardia nacional dijeron siguió alcanzar á la inmediación de dicho pueblo a la partida de ó ..ombres que yo quería los cuerpos de voluntabas, parque habiendo *-ervido güiiiiiu), que capitaneaba D. Pablo Santos, y de&lt;pues de uní pequeña acción quedaron contaba con la influencia que había adquirido sobre ellos, br. Residente: la be en.su .poder un faccioso muerto, dos heridos, cuatro caballos, dos trabucos nevolencia que debo al ejercito y á loe. cuerpos de voluntarios, estov seguro de y una escopeta, entr…</t>
  </si>
  <si>
    <t>…y que tal vez su p'-ca experiencia en (Q. D. G.), á quien espero de V. S. se servirá elevar este acontecimiento á esta clase de intrigas les conducía á un paso que su cura/ m repugnaría tan los fines que convengan. El comandante D. Pablo Santos salió inmediatamente pronto como pudiesen considerar sus fatales consecuencias. c©n su partida y algunos otros paisanos en su persecución, y no dudo emplea Aunque tengo dictadas las providencias oportunas para impedir cue se re rá todo su 2elo y vigilancia.” pitan esta clase de ocurrencias, debo no…</t>
  </si>
  <si>
    <t>Santurio, Rosendo</t>
  </si>
  <si>
    <t>Rosendo Santurio</t>
  </si>
  <si>
    <t>…iera por diez días para que asegurado el estado sanitario de la población 1828 á los oficiales l.° y 3.° de la contaduría general de Propios Don Va se evite el recelo de la concurrencia de los especuladores. lero Arnal y Gabás, y D. Rosendo Santurio: concediendo los ascensos de es cala consiguientes á estas vacantes y á otras dos anteriores; y al mismo tiempo A propuesta del gobernador civil de Albacete se ha servido S. M. man ha resuelto $. M. queden suprimidas las cuatro últimas plazas de oficiales que dar que U feria que ha debido celebrars…</t>
  </si>
  <si>
    <t>Sanz</t>
  </si>
  <si>
    <t>…s pueblos llegó al bian encontrado 36 muertos sobre ei campo, consistiendo la suya en 6 heridos; siguiente dia por haberlos abandonado el enemigo. Este tragioero se hallaba en y por último recomienda muy particularmente al citado coronel Sanz, que ha Tavira el dia 23. bía trabajado extraordinariamente, y á cuyo valor y conocimientos militares se Que el otro decia que es del término de Alcoutim, y que hallándose en su debía en gran parte el éxito de la acción: igual recomendación híacc de ios co casa el dia 23 pasó un ordenanza despachad…</t>
  </si>
  <si>
    <t>…rnoctado la noche anterior en Orozco* se había dirigido sobre Bil Albaicin. bao en la mañana de aquel dia, sin haber tenido novedad en su marcha: que Concluido este acto, el P. Fr. Juan de Hinojosa, del orden de S. Francis la del coronel Sanz habla llegado á Ceanuri, donde persiguió una pequeña fac co, censor de la sociedad, recitó una oda y un discurso análogo á las circuns ción , haciendo prisioneros á un sargento y dos soldados , y que permanece en tancias, y otra composición poética un nif\o de siete años, con el objeto de dicho pun…</t>
  </si>
  <si>
    <t>Sanz, Bonifacio</t>
  </si>
  <si>
    <t>Bonifacio Sanz</t>
  </si>
  <si>
    <t>…peligro; que la liber la refriega un joven pastor que sirvió de guia á los Urbanos, y haber sido he tad que activaba Ja circulación de los capitales era buena; que la que producía rido en un brazo el sargento de estos licenciado D. Bonifacio Sanz, que á pe la bancarrota era mala; que los canales, los caminos Reales, los de hierro , la sar de ello mató á su rebelde agresor: por cuyo rasgo de valor le conceptúo instrucción esparcida en el pueblo, eran otros tantos elementos que debíamos digno de llevar en su pecho la cruz de Isabel ti. llamar…</t>
  </si>
  <si>
    <t>Sanz, D Laureano</t>
  </si>
  <si>
    <t>D Laureano Sanz</t>
  </si>
  <si>
    <t>…rseguidos por el brigadier barón blos de esta provincia, y sn los mas de ellos era ya corto el número de ca , de Jltar je dividieron, en varias direcciones. El 25 llegaron 4 Cambó el cora- sos funestos. ^ ntnzrs. Já nlana ina.yor general D. Laureano Sanz y un ayudante de campo vdd£g$pesaL Lprenito,; que ,se presen taron al general Múwj el cual debia salir de aim se suponía que debía entrar jen .Navarra el 29.' ANUNCIO. 'Et genefal Lafre, segundo cabo de Castilla la Vieja, dice.desde Valladpiid lConj{ccha dc 3Q,ic^ tc[etcBch ¿l $ów.andaatc de armas de…</t>
  </si>
  <si>
    <t>Sanz, D Mariano</t>
  </si>
  <si>
    <t>D Mariano Sanz</t>
  </si>
  <si>
    <t>…os heridos habían sido conducidos á la fábrica de Orbaiccta. guerrilla hácia el pueblo, en vista de lo cual ordené se le atacase en el acto, lo «Én virtud de esta noticia me puse á las once en marcha para Villanueque verificó' el capitán D. Mariano Sanz con la vanguardia compuesta de los ca va; pero en el camino ya recibí aviso de que habían evacuado los facciosos aquel rabineros, roncaleses y lanceros de Isabel ti. punto en el momento que mi vanguardia llegó á Aribe con tal precipitación, «No fueron necesarios ningunos esfuerzos para hacer al ene…</t>
  </si>
  <si>
    <t>Sanz, D Nicolás</t>
  </si>
  <si>
    <t>D Nicolás Sanz</t>
  </si>
  <si>
    <t>…barracas que allí había, después de un tiroteo que duró des das las demas disposiciones convenientes, en loque fue auxiliado muy eficaz de la madrugada hasta las seis de la tarde, de cuyas resultas quedaron en el cam mente por el coronel D. Nicolás Sanz que desempeña las funciones de gefe de po muchos muertos del enemigo, la mayor parte de los llamados provisiona la plana mayor, emprendió el ataque de un modo tan decidido, que ios dos les, y casi toda la guerrilla de José Claudio, de Martim-longo, término de Al- batallones de Gerona arrollaron cua…</t>
  </si>
  <si>
    <t>Sanz, Gregorio</t>
  </si>
  <si>
    <t>Gregorio Sanz</t>
  </si>
  <si>
    <t>…ieron 9; el dia 16 curaron 3 y murieron otras 3 ; el dia 17 hubo 10 caso* , Atendiendo 5. M. la ^.eina Gobernadora á los concc¡mjeftto$ y circuns y 3 muertos, y el 18 curaron 13 y pareció una, quedando 62 cnferxpas: quetancias de D. Gregorio Sanz ~¿i Villáviéji, canónigo elcoto de la santa iglesia en ei hospital del Pilar, único «n que había coléricos, tolo CKatian 39 cttiér-de Valencia, se ha servido nombrarle iíuhviítyo de la comisión creada en Real mqs , muchos de elio&amp; convalecientes; y que en los pueblos da los partidos dedecreto de 31…</t>
  </si>
  <si>
    <t>Sanz, Laureano</t>
  </si>
  <si>
    <t>Laureano Sanz</t>
  </si>
  <si>
    <t>…s por el brigadier barón blos de esta provincia, y sn los mas de ellos era ya corto el número de ca , de Jltar je dividieron, en varias direcciones. El 25 llegaron 4 Cambó el cora- sos funestos. ^ ntnzrs. Já nlana ina.yor general D. Laureano Sanz y un ayudante de campo vdd£g$pesaL Lprenito,; que ,se presen taron al general Múwj el cual debia salir de aim se suponía que debía entrar jen .Navarra el 29.' ANUNCIO. 'Et genefal Lafre, segundo cabo de Castilla la Vieja, dice.desde Valladpiid lConj{ccha dc 3Q,ic^ tc[etcBch ¿l $ów.andaatc de armas de…</t>
  </si>
  <si>
    <t>Sanz, Mariano</t>
  </si>
  <si>
    <t>Mariano Sanz</t>
  </si>
  <si>
    <t>…os habían sido conducidos á la fábrica de Orbaiccta. guerrilla hácia el pueblo, en vista de lo cual ordené se le atacase en el acto, lo «Én virtud de esta noticia me puse á las once en marcha para Villanueque verificó' el capitán D. Mariano Sanz con la vanguardia compuesta de los ca va; pero en el camino ya recibí aviso de que habían evacuado los facciosos aquel rabineros, roncaleses y lanceros de Isabel ti. punto en el momento que mi vanguardia llegó á Aribe con tal precipitación, «No fueron necesarios ningunos esfuerzos para hacer al ene…</t>
  </si>
  <si>
    <t>Sanz, Nicolás</t>
  </si>
  <si>
    <t>Nicolás Sanz</t>
  </si>
  <si>
    <t>…que allí había, después de un tiroteo que duró des das las demas disposiciones convenientes, en loque fue auxiliado muy eficaz de la madrugada hasta las seis de la tarde, de cuyas resultas quedaron en el cam mente por el coronel D. Nicolás Sanz que desempeña las funciones de gefe de po muchos muertos del enemigo, la mayor parte de los llamados provisiona la plana mayor, emprendió el ataque de un modo tan decidido, que ios dos les, y casi toda la guerrilla de José Claudio, de Martim-longo, término de Al- batallones de Gerona arrollaron cua…</t>
  </si>
  <si>
    <t>Sanz, Pedro</t>
  </si>
  <si>
    <t>Pedro Sanz</t>
  </si>
  <si>
    <t>…e estableciese en esta capital una sociedad eco D. Francisco Viant................................................................................. 80 nómica de um;gos del país, invité á todos los sugetos de luces que hay en la ‘ D. Pedro Sanz, del comercio de libros.................................................. 300 roi»ma, y se en efecto en el día 8 del próximo pasado. D. J.C.................................................;................................................. 40 La Real cárcel de esta capital recibirá las posibles mejo…</t>
  </si>
  <si>
    <t>Sanz, Rafael Faustino</t>
  </si>
  <si>
    <t>Rafael Faustino Sanz</t>
  </si>
  <si>
    <t>…o que los tesoros ó alhajas-halladas no pertenecen propia una exposición en que manifiesta no haberse presentado antes por hallarse en mente a mostrencos , y se funda en la doctrina de nuestra legislación; pero su fermo; y los de D. Rafael Faustino Sanz, electo Procurador por la provincia señoría me permitirá que observe que ai tiempo que^Jos bienes desamparada de Valladollid, con los documentos justificativos de la aptitud legal de ambos. están considerados como mostrencos, lo mismo se consideran los bienes perdíSe dió cuenta de haber sido nombra…</t>
  </si>
  <si>
    <t>SaoSantiagocandor</t>
  </si>
  <si>
    <t>…4$ á 50 id.: habas, de 34.4 38 liainburgOi 00. Barcelona, i ps. fs., Málaga, ida,id* IJescuento de Jeeras . id.: garbanzos,“de 70 4 100 rs. id.: aceite, de 37 4 39 rs. arroba: vino, dé;16 4 1 Londres,38. 4 90 dias, Bilbao»I b. $ d. SaoSantiagocandor^b«» id. ¿4 pr 100«1 año» 40 id.: vinagre,. de,8,4 10 id.: aguardiente, i 40 id. xVm'(31 de Mayo)! Trigo, de 4&lt;í 4 54 rs. fanega: cebada, á 28 id.r maíz. 4 40 id.: garbanzos, de 50 4 56 id.: aceite, 4 35 rs. arroba: vino, deTO a ANUNCIOS. 12 id. MáUga (31 de Mayo). Trigo, de 52 á 58 rs. fanega: ceba…</t>
  </si>
  <si>
    <t>Saotiago</t>
  </si>
  <si>
    <t>…l se recreaba un rato antes de dormir en la paja de los establos que or Londres, 4 90 días, , id. id. Santandera 1 Id. 4 4 p.-lOóal año. dinariamente le sérvia de cama. Es de-creer que su ejecución no fuese muy bri 384. Bilbao, i d. Saotiago , .14llante , porque cuando se aventuraba 4 tocar al alcancé de los demas, se fe mandaha sin ceremonia que.lo dejase; A la edad de 18 años entró en el servicio de la familia Laidlavv de EliiANrNCIOS. bank sobre el Tweéd , en el cual permaneció en su clase de pastor por espació de lü años. Esta fami…</t>
  </si>
  <si>
    <t>Sapieha, Eustaquio</t>
  </si>
  <si>
    <t>Eustaquio Sapieha</t>
  </si>
  <si>
    <t>…Polo nia, pues el producto de los bienes confiscados casi todo se invierte en gastos Pueblos. Días. Enfermos. Curados. Fallecidos* de administración. Las pinturas y estatuas enviadas á S. Petersburgo de Dereczyn, residen cia del Príncipe Eustaquio Sapieha, han sido distribuidas entre los diferentes Fraga.................... 26 á 29 Octubre. 20 8 2palacios Reales- La estatua de Orfeo de Canora es ahora uno de los principales ornamentos de la Hermíta. El Emperador ha regalado algunos de los magnífi Sena...................... Idem................... No…</t>
  </si>
  <si>
    <t>Saqueiti, Cayetano</t>
  </si>
  <si>
    <t>Cayetano Saqueiti</t>
  </si>
  <si>
    <t>…ipo, y los potros recien atados en los meses de la doma. partamento, y de otra igual del mariscal de campo, subinspector de artillera 4..0 No se podrá, sino en el caso de que el ejecutado no tenga absoluta del primer departamento D. Cayetano Saqueiti, en solicitud del abono de \&lt;j mente otros bienes, trabar ejecución en los caballos' padres, en Las yeguas cer correspondiente á los gastos de revista de inspección del tiempo que estuvieron riles, ni en los potros recién atados en los meses de su doma. disfrutando de Real .icencu; se ha servido S.…</t>
  </si>
  <si>
    <t>Sar, José</t>
  </si>
  <si>
    <t>José Sar</t>
  </si>
  <si>
    <t>…bril de 1816, la de 3 de Julio de 1824, y la ley penal de 3 de creto de de Marzo último, he venido, á nombre de mi au Mayo de 183U; y S. M. ha tenido á bien resolver , en nombre de gusta Hija la Reina Doña Isabel ii, en nombrar á D. José Sar tu augusta Hija Doña Isabel ir, que en el caso propuesto deben torio, D. José Quevedo y Chieza, D. Diego Butrón, D. Francis sustituir á los contadores los asesores respectivos de cada subdele co Quevedo Bueno, D. José Benitez y D. Antonio Galindo; los gacion, bien hayan sido nombrados por S. M. ó p…</t>
  </si>
  <si>
    <t>Sarabia, Donato González</t>
  </si>
  <si>
    <t>Donato González Sarabia</t>
  </si>
  <si>
    <t>…n el camino de Bayona á Pamplona. Vera, sobre el Bidasoa, es una pequeña Borbon con un oficial y 49 hombres de Castilla, al mando del subteniente ▼illa a una hora cíe la frontera y á tres de Irun. Fortificando .estos tres puntos, D. Donato González Sarabia, que se dirigió á cortar el camino de Poza: La 2.®, y dejando en ellos guarniciones permanentes, el general Rodil parece haber compuesta de la 2.a conipañía del indicado regimiento de Borbon, mandada encontrado al fin un excelente medio para despojar á los Carlistas de la pacífica por su espitan D.…</t>
  </si>
  <si>
    <t>Sarabia, Gregorio</t>
  </si>
  <si>
    <t>Gregorio Sarabia</t>
  </si>
  <si>
    <t>…,'sin qué hubiese seis de la farde del'mistno día me participa la satisfactoria noticia de haber re- ocurrido hasta entonces ningún caso sospechoso ni én el resto de ii provincia, cib do parte del comandante de armas de Balmaseda D. Gregorio Sarabia, ca exceptuando los pueblos de Villacastin, Espirdo, Lastrilla, Navqrcs de Ay uso, pitán del - provincial de Segovia, manifestándole haber sido batidas las facciones Navas de S. Amonio y vegas de Matute, en los cuales se padecía una enferme por las tropas de la 3.* brigada, cuyo gefe se halla enfer…</t>
  </si>
  <si>
    <t>…,'sin qué hubiese seis de la farde del'mistno dia me participa la satisfactoria noticia de haber re- ocurrido hasta entonces ningún caso sospechoso ni én el resto de ii provincia, cib do parte del comandante de armas de Balmaseda D. Gregorio Sarabia, ca exceptuando los pueblos de Villacastin, Espirdo, Lastrilla, Navqrcs de Ay uso, pitán del - provincial de Segovia, manifestándole haber sido batidas las facciones Navas de S. Amonio y vegas de Matute, en los cuales se padecía una enferme por las tropas de la 3.* brigada, cuyo gefe se halla enfer…</t>
  </si>
  <si>
    <t>…opia del oficio que me ha dirigido el coronel Olivares, cabal salud, excepto en la aldea de Alhcndin, cuyo estado sanitario es el si trascribiendo el parte que le da el teniente coronel capitán del provincial de guiente : Segovia D. Gregorio Sarabia, por el que podrá V. E. enterar con satisfacción EttaJo sanitario de la población de Alhcndin desde el 15 hasta el 17 á S. M. de la total dispersión de la gavilla de Villalobos, y la vuelta á sus ca de Mayo. 1 sas de los mozos que habia sacado. «El comandante militar de Logroño me dice que á consec…</t>
  </si>
  <si>
    <t>Sarabia, Rafael Sánchez</t>
  </si>
  <si>
    <t>Rafael Sánchez Sarabia</t>
  </si>
  <si>
    <t>…celebridad del augusto objeto. Desde la una del dia, que se descubrieron conducido , con motivo de hallarse invadida por el colera la ciudad de Lorlos retratos, hasta las tres de la madrugada del siguiente, estuvieron tocando Cü, D. Rafael Sánchez Sarabia, depositario de su junta de Sanidad, v D. FuhandJijÜae música militar, habiendo principiado el baile á las nueve de la noche. genio Fourdimer , superintendente interino de la Real empresa de mzuas en la La que antes se llamab^ plaza del Duque, y desde tan feliz dia glorieta misma ciudad; y enterada…</t>
  </si>
  <si>
    <t>Sarasa</t>
  </si>
  <si>
    <t>…a, 9,101................ 1000........................... ,.,.. Barcelona* un tal Vivanco, é Ibarrola, supuesto gefe de estado mayor, uendo perseguidos 8/552......... .... 500........................... ......... Afgeciras. por el capitán Sarasa y 100 hombres que destaqué al efecto, por el espacio de 14,693................ 500........................... ..... J crez de 1a F rontera. dos leguas , sin haber logrado darles alcance, y sí solo que se dispersasen en di 8,096................ 500........................... ,.... Madrid* ferentes y o…</t>
  </si>
  <si>
    <t>Sarasa, D Félix</t>
  </si>
  <si>
    <t>D Félix Sarasa</t>
  </si>
  <si>
    <t>…létai=Exento. Sr. Secretario de Estado jr | sostenido fuego sobre la columna , que por la situación que ocupaba el enemi- del Despacho de la Guerra. ^ 1 eó se bailaba á medio tiro de fusil- ■ ' , ° , | Incontinenti disputó que el capitán D- Félix Sarasa, segundo comandant accidental de este batallón coi» fe i,-\ 5.‘ !«* compañías, atacase de frente la XKAL rOTKXIA MOPBfcNA. ¡ principal posición de los rebeldes, y yo con lo restante del batallón me dirigí á envolverlos por su izquierda, lo que visto por aquellos trataron de defenderla Noticia ie lo…</t>
  </si>
  <si>
    <t>Sarasa, D Marcelo</t>
  </si>
  <si>
    <t>D Marcelo Sarasa</t>
  </si>
  <si>
    <t>…ento del orgullo de los rebeldes y sus partida tado con extraordinario valor, y particularmente la compañía de flanqueado- rios: en fin, fue un dia de gloria. Dispersos en todas direcciones fueion los res de Navarra, cuyo bizarro capitán D. Marcelo Sarasa (hijo de CholinJ facciosos por los montes de Sta. Cruz, Acedo y Ancin, cuyos puntos no se quedó muerto en la acción. El general en gefe, á pesar de su indisposición, pudieron tomar por no haber podido concurrir las tropas de Castilla y de Gur salió al camino con 12 caballos.” rea que fueron invitad…</t>
  </si>
  <si>
    <t>Sarasa, Marcelo</t>
  </si>
  <si>
    <t>Marcelo Sarasa</t>
  </si>
  <si>
    <t>…orgullo de los rebeldes y sus partida tado con extraordinario valor, y particularmente la compañía de flanqueado- rios: en fin, fue un dia de gloria. Dispersos en todas direcciones fueion los res de Navarra, cuyo bizarro capitán D. Marcelo Sarasa (hijo de CholinJ facciosos por los montes de Sta. Cruz, Acedo y Ancin, cuyos puntos no se quedó muerto en la acción. El general en gefe, á pesar de su indisposición, pudieron tomar por no haber podido concurrir las tropas de Castilla y de Gur salió al camino con 12 caballos.” rea que fueron invitad…</t>
  </si>
  <si>
    <t>Saratana</t>
  </si>
  <si>
    <t>…Ve- dígne prorogar los Estados. Un periódico propone la medida de no comunicar racruz, refiere que una conducta de 4U0S&gt; pesos fuertes acaba de entrar en con los lugares infestados sino por mqdio del telégrafo. aquella ciudad. El general Saratana tenia sitiada á Puebla, que no podiia defen derse largo tiempo. Sin embargo corría la voz en Veracruz , que habia experi FRUS1A. mentado algunos reveses qn las cercanías de aquella ciudad, pero que había po Berlín 21 de Agosto. dido volver á reunir sus tropas y sitiar la plaza. El grito de su parti…</t>
  </si>
  <si>
    <t>Saravía, Donato González</t>
  </si>
  <si>
    <t>Donato González Saravía</t>
  </si>
  <si>
    <t>…esario PROVINCIA 1)£ JAEK. de los teatros acerca del modo de cobrar el producto de aquellas localidades. Sr. D. Pedro Antonio Acuña. Por Real cédula expedida en 22 del que rige, se ha dignado S. M. la Reina Gobernadora conceder a D. Donato González Saravía y compañeros Por Real órden de 2fi de-este-mes, 5. M. la Reina Gobernadora ha —pü-vilegio exclusivo por cinco años para asegurar la propiedad de cierta pasta servido autorizar al ayuntamiento de Madrid para llevar á efecto lá mejora en o betún de piedra arcillosa ó tobiza, inventada para soplir venta…</t>
  </si>
  <si>
    <t>Saravia, Dr D Manuel</t>
  </si>
  <si>
    <t>Dr D Manuel Saravia</t>
  </si>
  <si>
    <t>…temas. El único que en el Callao se hallaba en la de los traidores. Desdé las cuatro de la. tarde hasta las once de la noche du- este caso erá el Sr. Dr. D. Francisco Rodríguez Piedra. Fue, peía, nombrado prefecto interino, y el Sr. Dr. D. Manuel Saravia juez de derecho de Cajámarca, y también diputado, entró á desempeñar la judicatura de este distrito. Era también preciso nombrar un auditor de guerra y marina, y recayó tras ffilas una multitud de pasados y dispersos. Muy pocós llegarán á Tarma, este nombramiento en el Sr. diputado Dr. D. Gaspar Ca…</t>
  </si>
  <si>
    <t>Saravia, Manuel</t>
  </si>
  <si>
    <t>Manuel Saravia</t>
  </si>
  <si>
    <t>…El único que en el Callao se hallaba en la de los traidores. Desdé las cuatro de la. tarde hasta las once de la noche du- este caso erá el Sr. Dr. D. Francisco Rodríguez Piedra. Fue, peía, nombrado prefecto interino, y el Sr. Dr. D. Manuel Saravia juez de derecho de Cajámarca, y también diputado, entró á desempeñar la judicatura de este distrito. Era también preciso nombrar un auditor de guerra y marina, y recayó tras ffilas una multitud de pasados y dispersos. Muy pocós llegarán á Tarma, este nombramiento en el Sr. diputado Dr. D. Gaspar Ca…</t>
  </si>
  <si>
    <t>Saravia, Rafael Sánchez</t>
  </si>
  <si>
    <t>Rafael Sánchez Saravia</t>
  </si>
  <si>
    <t>…su parle oficial diciendo: «no recomiendo en particu- incansable zelo del subdelegado de policía D. Manuel Barrio Ayuso, y del I laf 4 ninguno de los valientes que combatieron en este glorioso dia , porque comandante dé las armas D. Rafael Sánchez Saravia , que han permanectdb; ■ teidos dieron pruebas de la mas decidida lealtad y bravura: mas de 600 coro- imperturbables en tan críticas circunstancias: y con la misma satisfacción ,l#i I ñas cívicas serian necesarias para adornar las sienes de los denodados defenso- participo a V E- para que también l…</t>
  </si>
  <si>
    <t>Saravia, Vicente</t>
  </si>
  <si>
    <t>Vicente Saravia</t>
  </si>
  <si>
    <t>…dé plateros ótra:k lor enfermos del hospital de Jasus por. los facciosos, y que los urbanos despreciaron. Lo» cabos de caballería D. Lo Nazareno; el colegio de medicina , cirugía y farmacia distribuyó una cantidad renzo Mateos y D. Vicente Saravia se hicieron digno» de elogio por la constan considerable de sábanas y otras ropas de abrigo á ios pobres enfermos de los cia ccn que siguieron siempre el alcance del cabecilla. Vipentc Rosado mani hospitales de Jesús Nazareno , Misericordia y b. Jacinto; ci administrador y de festó el maror valor e…</t>
  </si>
  <si>
    <t>Saraza, D Félix</t>
  </si>
  <si>
    <t>D Félix Saraza</t>
  </si>
  <si>
    <t>…aro, siendo este último del regimiento Ruiz, D. Cirios Bctcgon y el teniente D. Ramón Pardo , con las que marchó infantería de Zaragoza. El mismo biigadier Linares me ha recomendado tam también la de granaderos de Al mansa ccn el capitán D. Félix Saraza. bién especialmente al ayudante de plana mayor y mi secretario de campana A las doce y media de la noche emprendí mi movimiento, dejando en D. Francisco La-Vai lete, capitán de la Guardia Real de infantería y mi ayu posición sobre este punto y las alturas de Orozco a! resto de los mencionado* dante…</t>
  </si>
  <si>
    <t>Saraza, Félix</t>
  </si>
  <si>
    <t>Félix Saraza</t>
  </si>
  <si>
    <t>…ndo este último del regimiento Ruiz, D. Cirios Bctcgon y el teniente D. Ramón Pardo , con las que marchó infantería de Zaragoza. El mismo biigadier Linares me ha recomendado tam también la de granaderos de Al mansa ccn el capitán D. Félix Saraza. bién especialmente al ayudante de plana mayor y mi secretario de campana A las doce y media de la noche emprendí mi movimiento, dejando en D. Francisco La-Vai lete, capitán de la Guardia Real de infantería y mi ayu posición sobre este punto y las alturas de Orozco a! resto de los mencionado* dante…</t>
  </si>
  <si>
    <t>Sarda</t>
  </si>
  <si>
    <t>…s de familias del correo quedaban Bogotá, de las primeras entre ellas el i los propietarios de la India occidental, no pasaría de 1.8**0,000 libras ester linas, y que pues resultaba este exceso, á ningún ramo podía ser mas favora general Sarda, que se había puesto á la cabeza de los revolucionarios. Tal es el ble aplicar la diminución que al impuesto de casas que importaba L2G0,ÜU0 li estado,actual de-este desgraciado país.” (Curta particular.) Maracaibo 22 de Setiembre. =rU na carra de Bogotá de 1 “ de Agosto dice bras esterlinas. Añadi…</t>
  </si>
  <si>
    <t>Sardi, Vicénte Valero y</t>
  </si>
  <si>
    <t>Vicénte Valero y Sardi</t>
  </si>
  <si>
    <t>…eniente de ásisVénte .dé la ciudad *de Sc^Uá U Real audiencia dé Granada, i D. Vicente Calvo fiscal de lo civil de la nettde la testamentaría cóncíirsada ne;D. Tomás Gsbiás* y á-vlrtitd de despacho 1** Real-audiehcia de Búrgos, í D. Vicénte Valero y Sardi corregidor de Lo brado á esta corte cumplimentado por el Sr. D. Pedro Balsera, teniente corregido» groño y í D. José Duque alcalde maybr de Caspe. (tfúm. 640 qsta villa, sq c^ta y empfaza ¿ .todos los ínteresados-que-puedan tener derecho 2 aque; jlareitamentatia, .páraqúeát término dedosmeses* que…</t>
  </si>
  <si>
    <t>Sardi, Vicente Valero y</t>
  </si>
  <si>
    <t>Vicente Valero y Sardi</t>
  </si>
  <si>
    <t>…nte de ásisVénte .dé la ciudad *de SéCin*» U Real audiencia dé Granada, i D. Vicente Calvo fiscal de lo civil de la nettde la téstqtnemafíe cóncíirsada ne;D. Tomás G*laréa* y á-vlttitd de despache l*** Real-audichcia de Búrgos, í D. Vicente Valero y Sardi corregidor de Lo brado á esta corte cumplimentado por el Sr. D. Pedro Balsera, teniente corregidor qsta villa, so c^ta y empfaza ¿ .todos los interesados^ue-puedan tener derecho 2 aqu£ groño y í D. José Duque alcalde maybr de Caspe. (tfúm. 640 Jla^testamentaria, , pira que'tft ferínmo dio dos meses…</t>
  </si>
  <si>
    <t>Sardí, Vicente Valero y</t>
  </si>
  <si>
    <t>Vicente Valero y Sardí</t>
  </si>
  <si>
    <t>…ante por promoción de individuo ha titubeado en reconocer y proclamar la legitimidad de D. Vicente Calvo á fiscal de lo civil de la Real audiencia de Bur la Hija de Femando; y en prueba de esto, desde que las hordas gos, nombro á D. Vicente Valero y Sardí, alcalde mayor de Cas- revolucionarias manifestaron sus inicuos planes de la mas escanda pe ; y para esta vara á D. José Duque, alcalde mayor cesante de losa rebelión , los vecinos fieles de Autol, no contentos con con Cogolludo. Tendréislo entendido, y lo comunicareis á quien cor- servar en sus co…</t>
  </si>
  <si>
    <t>Sargento, Domingo</t>
  </si>
  <si>
    <t>Domingo Sargento</t>
  </si>
  <si>
    <t>…una co Un capitán. misión compuesta de D. Antonio Martínez, Procer del reino; Don Un teniente. José Ventura de Aguirre Solarte, Procurador del reino: D. Anto Dos subtenientes. nio Barata, director de la Real caja de Amortización; D. Domingo Sargento primero.................... 1 ^e Torres, director de Tentas provinciales; D. Joaquín Liaño, in Una compañía. . . Sargentos segundos.............................. 4 tendente general mili.ar; D. Andrés Caballero, director del banco Cabos primeras, incluso un furrieL 8 de San Fernando, y D. Julián Aqu…</t>
  </si>
  <si>
    <t>Sargentos, Nicolás Collard</t>
  </si>
  <si>
    <t>Nicolás Collard Sargentos</t>
  </si>
  <si>
    <t>…o dia habia entrado en aquella aldea Batalla , gefe D. Joaquín Alvarez Bayon, D. Miguel Oasct. Tenientes: D. Baltasar Novelia, de una guerrilla constitucional; que á la mañana siguiente rodeáronla aldea las D. Buenaventura Tomás, D. Nicolás Collard. Sargentos primeros: D. Tomas guerrillas enemigas de Moura y Serpa, y Batalla cayó sobre ellos, les mató 19 Espiriquiti, D. Alejandro Gasart, D. Amonio Leoreses, Ramón Ga.vez, hombres y cogió 15, teniendo jzor su parte dos hombres muertos y uno heri Tomás Lizanda, Joaquín Trullcn. Cadetes: D. Juan Sevilla, D.…</t>
  </si>
  <si>
    <t>Sargentos, Salvador Calvet</t>
  </si>
  <si>
    <t>Salvador Calvet Sargentos</t>
  </si>
  <si>
    <t>…y cogió 15, teniendo jzor su parte dos hombres muertos y uno heri Tomás Lizanda, Joaquín Trullcn. Cadetes: D. Juan Sevilla, D. Antonio Re do ; finalmente, que los enemigos se habian retirado á Moura. (Idem.) set, D. José Calvet, D. Salvador Calvet. Sargentos segundos: Antonio Faura, Clemente Pardo, Romualdo Saló. Cabo primero: Manuel Alacluna. Cabo ESPAÑA. gundo: Fernando Fcrrer. Nota. Los soldados de este regimiento se han distinguido á porfia, v entre Burriana 12 de Febrero. ellos son acreedores ¿ la distinción de S' M- los heridos de la 2.4 de carab…</t>
  </si>
  <si>
    <t>Sari</t>
  </si>
  <si>
    <t>…rio, y expelido de su territorio á Iodos los cómplices. ■ Fondos públicos. Tres'por 100 consolidados 91'fi. Ayer M. Van'de Wtyer, ministro de Bé gica, el encargado de Nego- _____El marques Zappi, el conde Ceraesti dé Anconi, y el Sr. Sari! dc.Bo! - cios de Grecia, y ni embajador de. España tuvieron sucesivamente entrevista* ñia , desterrados de los Estados del Papa por cómplices en los movimientos re con lord Palmerston en la secretaría de estado. (Sun.) volucionarios acaecidos allí, han llegado S Ñipóles y obtenido permiso para te-…</t>
  </si>
  <si>
    <t>Sarita, Francisco</t>
  </si>
  <si>
    <t>Francisco Sarita</t>
  </si>
  <si>
    <t>….......... 27 Nueva Ciropedia, ó los vlages de Ciro joven, con un discurso sobre la mitología Monjas^. ................................ 17 Sargentos, cabos y soldados............ 115 de ios antiguos: traducción hecha en 173a, por D. Francisco Sarita, 3 tomos en 8.a, Seglaras.......................................... 7 edidoD de 1799* á 3* rs. rama y 40 pasta. Esta novela, que Mr. Rantsay escribid en Total.............. .157 Ingles y en francés, es 000 de los libros mas propios para servir de guia á ios prin Total.............. 91 cipiantescer…</t>
  </si>
  <si>
    <t>Sarlverte</t>
  </si>
  <si>
    <t>…r pronta y ejemplar justicia. Almena ¿cc.=Jo*e Montes. túa jlcid. ’tfii- ^Boletín oficial de Almena.) cámara db los diputados-__Sesión del dia 3 de Marzo*. Madrid 21 de Marzo. Aprobada el acta dc¡ la ultima sesión bidé permiso el Sr. Sarlverte para ha *Partes recibidos en la secretaria de Estado y del Despacho de Lt Guerr.x. cer una-pregunta ,aL numstf tío acerca de Ia$. ocurrencias que el dia -3 de Fe brero último han contristado y sobresaltado i los habitantes de ia capital. La i Por los pirres del l”’ se sabe que los. facciosos que at…</t>
  </si>
  <si>
    <t>Sarmentó</t>
  </si>
  <si>
    <t>…en 5500 reales anuales, con la Obligación de hacer la rasura, sin quema extensiva dicha obligación ál párroco, que daga por sedarádú; la leí» de 4 200 preterid asciende cinco años vecinos. Los poblacloii que deberán tener tes, El caballero Sarmentó ba tenido la honra de poner ayer en manos de la de francos memoriales los de secrctatló-dei estudios, ayuntamiento dirigirán porte ai •uguati Reina Gobernadora' la carta credencial de S, M. I¡ el Sir. duque de' dicha villa. EK LA IMPRENTA RE AL</t>
  </si>
  <si>
    <t>Sarmentó, Alejandro Moracs</t>
  </si>
  <si>
    <t>Alejandro Moracs Sarmentó</t>
  </si>
  <si>
    <t>…an con gran dispendio y no tienen ni Madrid 20 de Diciembre. aun el mérito de una originalidad facticia. Cada vez que nos veíamos condo nados á hojear una obra nueva,nos entraba tal hastío que mil veces se nos caía El Eterno. Sr. D. Alejandro Moracs Sarmentó, Par del reino de Portu el libro de las manos. Con efecto, la literatura de moda tiene un carácter tea gal, y enriado extraordinario y ministro plenipotenciario de S. M. F., turo monótono, 2 pesar de sus esfuerzos,.que ei Libro que se publica hoy nos parecía la honra de poner, ayer 29, en las Reale…</t>
  </si>
  <si>
    <t>Sarmentó, Alejandro Tomás de Moraes</t>
  </si>
  <si>
    <t>Alejandro Tomás de Moraes Sarmentó</t>
  </si>
  <si>
    <t>…remo y • especialmente del cólera+morbo # cort QÍ^&amp;dispostc¡oncs. (/¿iJ ... -,, ^ ■. el Maestro jle ceremonias de Ias, Córtes. (2Viúm 161.) — mandando abrir una suscripción para socorrer a los menesterosos éri caso cnnrfeH,&gt;ndn ^ D. Alejandro Tomás de Moraes Sarmentó la gran cruz de que se propicié «i£ Áte-capitáf el pól¿ra* morbo. (X¿,&gt; . V de la Real órden americana deTsabel la Católica. (162.) Circular del'minóterío de Interior sobre elección de Procuradores á Cortes -m— concédrendc Í D. Manúd"G4ude&amp;cío de Accvedo la cruz de comenda ntHftibíidos poí* miw~dc Una…</t>
  </si>
  <si>
    <t>Sarmentó, Alejandro Tomas de Moraes</t>
  </si>
  <si>
    <t>Alejandro Tomas de Moraes Sarmentó</t>
  </si>
  <si>
    <t>…o de gentes , establecidos en la mencionada nula, cusa aplicación es capaz de asegu Deseando dar una prueba de mi Real benevolencia al comenda rar la continuación de la» relaciones de a listad entre la bu iza y lo» estado» ve dor D. Alejandro Tomas de Moraes Sarmentó, enviado extranrdina cino-. rio y ministro plenipotenciario de S. M Fidelísima Doña María ir ♦i Lns sinceros deseos de S M. el Emperador, dice M de Bombe! les, con cerca de mi augusta Hija, por el laudable celo ijue manif stó á fin sisten en que estas retacones se ontmú.-n sin micrrupcon entre su i…</t>
  </si>
  <si>
    <t>Sarmentó, Cristóbal Pedro de Moraes</t>
  </si>
  <si>
    <t>Cristóbal Pedro de Moraes Sarmentó</t>
  </si>
  <si>
    <t>…fantes. estrechar los vínculos &lt;3e común alianza entre las cuatro Potenei ts signatarias; se ha servido S. M. condecorar al mencionado Prítici; r REAL DECRETO. con la gran cruz de la Real y distinguida orden de Girlós 11 ■ , v al D. Cristóbal Pedro de Moraes Sarmentó con la^gran cruz de Isabel Pescando el Sr. Rey D. Carlos m atender á la tranquilidad de la Católica; habiéndose dignado igualmente S. M. conceder varia» «pirita V decoro de los M. RR. arzobispos y RR. obisjios, al ma gracias á los secretarios y principies agregados de entrambas le yor acierto y seg…</t>
  </si>
  <si>
    <t>Sarmentó, D Alejandro Moracs</t>
  </si>
  <si>
    <t>D Alejandro Moracs Sarmentó</t>
  </si>
  <si>
    <t>…planan con gran dispendio y no tienen ni Madrid 20 de Diciembre. aun el mérito de una originalidad facticia. Cada vez que nos veíamos condo nados á hojear una obra nueva,nos entraba tal hastío que mil veces se nos caía El Eterno. Sr. D. Alejandro Moracs Sarmentó, Par del reino de Portu el libro de las manos. Con efecto, la literatura de moda tiene un carácter tea gal, y enriado extraordinario y ministro plenipotenciario de S. M. F., turo monótono, 2 pesar de sus esfuerzos,.que ei Libro que se publica hoy nos parecía la honra de poner, ayer 29, en las Reale…</t>
  </si>
  <si>
    <t>Sarppons</t>
  </si>
  <si>
    <t>…es querían que fuesen 3ü millones, otros 24» y otros 28 que no , pues aunque el Sr. de Agreda estaba enfermo, no hab a manifestado para la Rktna nuestra Se florarse acordó que se fijase un tórmtno medio. El que el **uyo lo fuese. Sr. Sarppons , como todos los individuos de Ja comisión, firmó el dictamen F¡ Sr Presidente dijo que el referido dictamen se rmprímiria y repartiría de esta*- no dijo ni remotamente que iba á dar el suyo particular; y ¿hura , al á los Srcs. Procuradores, y que señalaría dia para su di'cuwon. entraren el Estamen…</t>
  </si>
  <si>
    <t>Sarsfieid</t>
  </si>
  <si>
    <t>…uevillas, Villalobos y otros se esparcían en Castilla por Desde Noviembre á Enero, las -osas cambiaron felizmente de aspecto. Las sus territorios favoritos al Noite y al Sur de Búrgos; un cuerpo encnvgo, pro fuerzas del mando del general Sarsfieid, que habían estado por mucho tiempo cedente de Vizcaya, invadía las Encartaciones; otro pasaba el Ebro dilatándo en la frontera de Portugal, reunidas por la mayor parte en Búrgos, rompieron se por la Rioja; otro mas numeroso atravesaba aquel no por Lodosa; \ Ger, su movimiento hacia las provincias…</t>
  </si>
  <si>
    <t>Sarti</t>
  </si>
  <si>
    <t>…sé(ha mandado ejecutar la obra, graduada en 700^5 lí&amp;ft r¿^ nia la noticia de que el marques de Zappi, de esta ciudad, el conde Fcrretti, Ha sido destruida enteramente ja,partida del esecilla Carrasco, qy&lt;; yaga— de Ancona, y el Sr. Sarti, abogado de Bolonia, excluidos todos ellos ríe la ba por los móhtes de Alarhih á .rós confines efe esta provincia, pcrícj?j¿dp$ amnistía papal, han.obtenido del gobierno napolitano el permiso de residir en siempre por d valiente capita’ii T&gt;.: José María Cre»pP; y de su tesüVta se"j)^n Nápoles, don…</t>
  </si>
  <si>
    <t>Sarti, Antonio</t>
  </si>
  <si>
    <t>Antonio Sarti</t>
  </si>
  <si>
    <t>…nacional en, mas de 200 ciudades y pue llero Clemente Golchi. Se allanará una parte del monte Pincio para hacer mas blos de Francia (carcajadas de risa); atentando contra’la libertad de impren agradables las cercanías de Roma: el profesor Antonio Sarti está encargado de ta y contra la propiedad del periódico la Tribuna; imponiendo á los presos reparar el magnífico templo de Terracina. penas que no están autorizadas en el código......... (Muchas voces\ ciérrese la Cuatro estatuas colosales, ejecutadas por los escultores Guácherini, Baíní, discusió…</t>
  </si>
  <si>
    <t>Sartoriüs</t>
  </si>
  <si>
    <t>…ar, que arri- (Courirr.) * I bó á este puerto hace cuatro dias, se ha hecho igualmente á ia vela para Vour- ____Sentimos que se haya suscitado otra vez la antigua querella entre Sir John la. (Diario dt Esmirna.) Mitíey Doyle y el almirante Sartoriüs, y que se hable de desafio. Esperamos a usía. que teniendo ambos caballeros tan acreditado su valor , burlarán la curiosidad de los aficionados á duelos, y renovarán su amistad con mutuas concesiones. Petersburgo 4 de Diciembre. De Bahía escriben con fecha de 10 de Octubre que la policía ha mandado…</t>
  </si>
  <si>
    <t>Sat, Pablo</t>
  </si>
  <si>
    <t>Pablo Sat</t>
  </si>
  <si>
    <t>…. tarde. 11,545................... 400........................................ Málaga. - -----Eo virtud de providencia del señor intendente subdelegado de Réntas de esra provincia se cita, llama y emplaza por el presente edicto x D. Pablo Sat ni , vecino &lt;5,835.................. 4U0........................................ Madrid. de »sta corte,'oficial de la contaduría de «¿pollos y vacantes de esta capital y auxi 11,895.................. 400......................................... Idem. liar que ha sido de la tesorería dr\ mismo ramp…</t>
  </si>
  <si>
    <t>Satlha</t>
  </si>
  <si>
    <t>…solicitar la mo TURQUIA. dificación del sistema representativo. El barón'ha admitido el encargo, y se Constantinopla 4 dz Junto. dice que el Rey ha tenido un’ consejo, en que los dictámenes estaban muy. di ' El matrimonio de 1» -princesa Satlha y lasfiestas celebradas con tan plausi vidido* acerca de la cuestion de admitir las peticiones. &lt; VoerkaUn.) ble motivo, ocupan exclusivamente la atención de esta capital. El 31 de Mayo AUSTRIA. los empleados de segunda y tercera clase fueron convidados á una comida que Viena 14 desjunto. fe dió bajo…</t>
  </si>
  <si>
    <t>Satorra, Antonio</t>
  </si>
  <si>
    <t>Antonio Satorra</t>
  </si>
  <si>
    <t>…or parte bácia Oqucndo, dejando un prisionero. Con este motivo recomienda Extracto del parte remitido por el gobernador civil de la provincia de Taral capitán del provincial de Logroño D. Manuel Díaz Martin, al subteniente ragona D. Antonio Satorra con fecha de 10 de Junio anterior. del mismo cuerpo D. Casimiro Morillo, al capitán D. Ramón Contí y al Se ocupa en examinar prolijamente el proyecto sobre la continuación de teniente D. Alfonso-Saavedra , del provincial de Segovia. las obras del pantano de Ulldecona , y en la inspección de las tar…</t>
  </si>
  <si>
    <t>Satorre, Antogio</t>
  </si>
  <si>
    <t>Antogio Satorre</t>
  </si>
  <si>
    <t>…!r&gt;* demas pueblos de ella que padecen la enfermedad remante, seguía esta su cur so ordinario, disminuyendo en algunos ei número de fallecimientos. Éxtracto del parte remitido por el gobernador civil de la provincia de Tarragona D. Antogio Satorre con fecha 19 de Julio último. PROVINCIA DE AVILA. Excmo. Sr.: He pasado al tribunal de justicia de Reus los partes del bai En oficio de 9 del presente dice su gobernador civil que en el pueblo de le y ayuntamiento de Montroig , en que me dabán cuenta estas autoridades de Navaluenga aumentaba el núm…</t>
  </si>
  <si>
    <t>Satorres, Antonio</t>
  </si>
  <si>
    <t>Antonio Satorres</t>
  </si>
  <si>
    <t>…nde de ViÚanueva, principal autor de esta grandiosa obra. Por la tar-' Extracto del parte remitido por el gobernador civil de la provincia de-Tar de todos los cuerpos francos de la guarnición formaron extramuros en gran pi ragona D. Antonio Satorres con fecha de 20 de Mayo último. tado*, en cuyo acto tuve la satisfacción de condecorar tonfa cruz de Isabel ir £ Describe el estado de la agricultura en aquella provincia. Ha pedido infor los individuos a quienes S. Id, había agraciado , dlrigiehdó al ejército lá misma mes á fin de construir unos s…</t>
  </si>
  <si>
    <t>…ia, se ha dignado j nuestra Señora Daña Isabel ii. nombrar subdelegado de Fomento de la provincia de Tarragona, en atención á Hoy se concede nuevo término para lograr aquel beneficio: nadie está ex sus méritos y circunstancias, á D. Antonio Satorres, diputado que fue á las ceptuado de él, todos son capaces de conseguirlo, Cortes para la jura de la Reina nuestra Señora como Princesa heredera de es j Nmguno mejor que los pueblos experimenta las calamidades que ha acar- tos reinos. reado ya i Navarra ia sublevación de parte de sus naturales: ning…</t>
  </si>
  <si>
    <t>Sátplttiego</t>
  </si>
  <si>
    <t>…álaga avisa en 31 de " Mayo próxifho pasado que eivGasares, pueblo del partido de Estepóna', se habia presentado Una enfermedad de carácter dudoso, «on cuyo motive-’había dis- ■Xr j^flejaa en’ »¡h bqsca,, previniendo a), bebiente coronel .Sátplttiego que lúe- «puesto que la» procedencias de dicho pueblo de Casares se considerasen como •g¿ ,sp.;^tri¿ieserigiese cqo,t¿»qíal^_¡ „T„ -la.luerza de ¡^^p-,’ladar.impp. columba, a esperarme á Av.&lt;J- "SdípechOsasi " - ■ ’lláqS^^y (a&gt;egun(la,p0f,j:l,cammo de Xru.cfos. . .131 . ... .... J^ .p-aao de. nji m…</t>
  </si>
  <si>
    <t>Satquamente, Francisco</t>
  </si>
  <si>
    <t>Francisco Satquamente</t>
  </si>
  <si>
    <t>…ue daba ocasión á la fiesta»* González Araujo, que con 140 hombres de su cuerpo fue encargado de apo No bastarían tos recursos de la mas viva imaginación para describir digna derarse de dichos efectos por el Sr. mariscal de Campo D. Francisco Satquamente la brillantez y elegancia de los trajes y. prendidos con que se presenta nena , noticioso de que allí las habían dejado entregadas á la justicia los prófu ron las Srts. concurrentas» Añadidos á la mas|exquisita ejecución de Jas últi gos facciosos que escoltaban aquellos pertrechos de guerra: pasado np…</t>
  </si>
  <si>
    <t>Sátrapa</t>
  </si>
  <si>
    <t>…Del Cairo escriben que Mehemet AU ha formado una escuela politécnica, nuel Alvarez. =Gregorio Valdemoros.= Francisco Pérez de Lucía.:= Manuel donde hay algunos profesores egipcios ethicados enWoohvich. Por lo demas el i I García, secretario. Sátrapa continúa en su lenguage sumiso y obediente á la Puerta, cuya politica nunca ha desmentido aun estando en rcl&gt;elion abierta. PARTE NO OFICIAL. El Támesis ha salido de madre, y ha arrastrado muchos efectos de comer NOTICIAS EXTRANGERAS, cio, particularmente trigos y harinas. Muchas familias quedan ar…</t>
  </si>
  <si>
    <t>Satriano</t>
  </si>
  <si>
    <t>…antas refle de Mareuil,, y haya venido en su lugar el general Scbastiani. Hace una sema xiones quiera el noble lord dirigir al ministerio. na que empezaron las grandes maniobras de Capua; el general Bigoní mandada guarnición , el príncipe Satriano (hilangieri) las tropas de sitio: el Rey hace el FRANCIA. servicio de coronel á las órdenes del último. F.l número de personas que han París 1 4 de Mayo. acudido á Ñipóles con este motivo, tanto de las provincias como de Roma, es inmenso. c.-Cmara de los pares.__Sesión del 30 de Abril. El Rey ha pe…</t>
  </si>
  <si>
    <t>Saturnino</t>
  </si>
  <si>
    <t>…ón debiera temer que solo lo ocuparía para cebarse en la sangre de los pueblos, Bendicho, Galbcy , marques de Espinardo, Lasanta, Palarea, Calderón para lavar con ella agravios pasados , y para hacer un vasto desierto de la infe (D. Saturnino), Accvedo , Florez Estrada, Cáceres, Onís, Trucha Cosío, liz patria sometida á su tiránico yugo? Desengañémonos, Señores: si al tiempo conde de Huts, Morales , De Pedro , Ciscar y Oriola, Ochoa , conde de Almo- que decretemos la exclusión de D. Cárlos no lo hiciésemos también con la de dobsr , Ruiz…</t>
  </si>
  <si>
    <t>…Espinardo, El Sr. Serrano (D. Gmés): «Pido que cuando se haga el resúmen de la Puche, Ezpeleta,. Montesa, Alvaréz Pestaña, Puga, Valladares, Calderón discusión sobre este asunto, se verifique como esti prevenido, haciendo una re (D. Saturnino]), Ííavia Osorio, conde de Toreno .Orense, Redondo, Mon lación de las razones que se han manifestado tanto en pro como en contra.” tenegro , Cuesta , Villagarcía, Pardo Bazan, Llórente, Crespo Rascón, V¡- El Sr. Presidente manifestó que cuando llegara el caso podría hacerse es llalaz, Melendez, Agr…</t>
  </si>
  <si>
    <t>…tal; derecho impres Domínguez, Bendicbo, Alcántara, Galvey, Rodas, Espinardo, Lasanta, Pacriptible... ;a qué , pues, sacar de su quicio la cuestión, para trasladarla.¿ otro larea, Ezpeteta, Montesa, Pestaña, Valladares, Calderón (D..Saturnino),. terreno! ¿A qué acudir á principios de aplicación tan peligrosa! ; A qué per Acevedo , Florez Estrada, Navia Osorio, conde de Toreno, Orense , Redon-, der las ventajas de nuestra posición, meramente por suposiciones gratuitas! ¿A do, Montenegro, Cuesta , Cáceres , Onís, Trueba Cosío , Mejcndez,…</t>
  </si>
  <si>
    <t>…on de votar fueron: Somoza, conde de Allas inculpaciones, y engañado quizá por ql silencio de ayer del Ministro de modovar y Butrón. 1 Hacrenía, como si á este le faltasen sobradas razones que destruyesen las del El Sr. Calderón (D. Saturnino) dijo: Pido que se apruebe la adición de Sr. Galiano. Pero examinemos también si la baja en todos los fondos y en los ilustres Próceres, que dice asi: (la leyó.) todas las bolsas ha sido tan grande como se propala. En la deuda de 23 acá, y El Sr. Presidente manifestó al Sr. Procurador podía formali…</t>
  </si>
  <si>
    <t>…e la legitimidad. sa, marcho en e&amp;te momento, que son las cinco de la mafiana., otra vez a San Por último tiene preparados interesantes trabajos para levantar el plano to Leonardo i reunirme coa los coroneles D„ MariSel Obregoñ y D. Saturnino pográfico dé*dicha provincia, y muy pronto someterá á la aprobación del Go Albuin para emprender las operaciones en combinación. Dios &amp;c. Burgo de bierno el presupuesto de esta grandiosa obra. Osma 12 de Mayo de l834=Excmo. Sr.=r José María Cistue^sExorno. Señor Secretario de Estado y del Despacho…</t>
  </si>
  <si>
    <t>Sauít</t>
  </si>
  <si>
    <t>…e afrenta. Porque ¿sobre qué base Fnnpu.c=Por el Rey, el ministro Secretario de Estado y del Despacho de reposa esta alianza? ¿es alianza de principios? ¿La legitimidad lia renunciado Guerra , Presidente del Consejo de Ministros, mariscal Sauít, duque de £&gt;a¡• svi¡» derechos á favor de la república: ¿quiere legar á los jacob.no?, ic que lia? macla. ma herencia de S. Luis y de Hcnriquc jv? ¿ó bien la república desengañada,, há La Cámara se separa inmediatamente, resonando én el jalón las voces dq reconocido que no hay salvación para la Fra…</t>
  </si>
  <si>
    <t>Saurco, Francisco</t>
  </si>
  <si>
    <t>Francisco Saurco</t>
  </si>
  <si>
    <t>…é Boadella; el teniente coronel graduado, Reus.................. . 25 4 28 id.... 72 30 10 eapitan D. José María Villaronte; los capitanes graduados, tenientesD. Alon Tortosa.............. . 24 4J27 id.... 21 10 2 so del Marmol y D. Francisco Saurco; el subteniente graduado, sargento 1.°,. D. Manuel Esteban; el sargehto l.° Pedro Tellez; el 2.° Miguel Alrambra, PROVINCIA DE TERUEL. y los cabos primeros Francisco Gamona y Juan Antonio Rodríguez: del re-, gimiento de Navarra, 6.a ligero, el' primer comandante D. Francisco Casti- Manifiesta su go…</t>
  </si>
  <si>
    <t>Sausa, Marta de la Soledad</t>
  </si>
  <si>
    <t>Marta de la Soledad Sausa</t>
  </si>
  <si>
    <t>…a, han rivalizado en decisión y valor, 1&gt;. C E...................................................................................................... 300 arrostrando con un placer extraordinario la muchísima fatiga que se ha sufri Doña Marta de la Soledad Sausa........................... ..................... 10 do, por lo que creo de mi deber recomendarlos á V. E. . Un caballero á nombre de L. E. S. D. R. M. D. C.................... 500 ” Según lo referido por un rebelde moribundo , hemos impedido la reunión La comunidad de S. Felipe el Real de esta corte..........................…</t>
  </si>
  <si>
    <t>Sauz, D Nicolás</t>
  </si>
  <si>
    <t>D Nicolás Sauz</t>
  </si>
  <si>
    <t>…para Bilbao la con Deuda negociable del 5 p. 100 á papel, oo» ducción de reclutas que para el 4° regimiento dé la guardia Real de infantería Id. sin interes, 00. Acciones del banco español, 00. se había separado de Ja columna del coronel D. Nicolás Sauz, mandándolos el CAMBIOS. teniente del propio regimiento D. Joaquín Santa María, que llevaba igualmen Amsterdaxn, 00. París 16. Cádiz | b. Sevilla par. te 25 soldados de su cuerpo y 20 del de cazadores á caballo de la Guardia Bayona, 00. Alicante á corto pla Coraba f d. Valencia kt. Real , fueron at…</t>
  </si>
  <si>
    <t>Sauz, Nicolás</t>
  </si>
  <si>
    <t>Nicolás Sauz</t>
  </si>
  <si>
    <t>…bao la con Deuda negociable del 5 p. 100 á papel, oo» ducción de reclutas que para el 4° regimiento dé la guardia Real de infantería Id. sin interes, 00. Acciones del banco español, 00. se había separado de Ja columna del coronel D. Nicolás Sauz, mandándolos el CAMBIOS. teniente del propio regimiento D. Joaquín Santa María, que llevaba igualmen Amsterdaxn, 00. París 16. Cádiz | b. Sevilla par. te 25 soldados de su cuerpo y 20 del de cazadores á caballo de la Guardia Bayona, 00. Alicante á corto pla Coraba f d. Valencia kt. Real , fueron at…</t>
  </si>
  <si>
    <t>Sauzet</t>
  </si>
  <si>
    <t>…ntería lige todo, ni disponerlo anticipadamente. Recurro á vuestro cc,lo, inteligencia éra de Africa. El batallón del 667 que esta allá volverá á Oran. ilustración. Prudencia y buena voluntad , moderación y jirmtza, tai debe- "El general Sauzet ha recibido orden de volver á Francia. ser nuestra divisa, principalmente en las circunstancias presentes. »Los árabes continúan trayendo lana, que al momento sale para Marse "Recibid, Sr. corregidor, la seguridad de mi mas distinguida consideración. lla. Tenemos abundante provisión de carne fresca…</t>
  </si>
  <si>
    <t>Savary</t>
  </si>
  <si>
    <t>…han conmovido á la antigüedad. La filosofa de las artes encontrará también documentos preciosos. es la que con sus discusiones, con la producción de las mas contradictorias Para volver al objeto especial de ata relación, añade el Sr. Savary al con teorías, ha establecido, modificado y regenerado los Imperios. Nuestra histo cluir , diré que los matcriala topográficos del Sr. d’Orbigny, unidos á las po ria nacional prueba evidentemente su inevitable influencia. Descartes empieza siciones determinadas por el Sr. Pentland, permitirán la f…</t>
  </si>
  <si>
    <t>Sayona</t>
  </si>
  <si>
    <t>…de Enero Id. sin ioteres, 00. &lt;Je.l8:H.=E*(cmo. Sr.=Manucl Llander. = Exento. Sr- Secretario de Estado y Ácciooes del banco español, 00. ^ CAMBIOS. •del Despacho de la Guerra. Amsterdam, 00» París HS-i. Cádiz 4 b. Sevilla par i | d. Sayona, 00. Alicante á corto pía. Corulla 4 d. Valencia par. El día 8 se bailaba el general Lorenzo en Puente la Reina, habiendo sido Burdeos, 00. zo ¿ b. Granada 14 id* Zaragoza £ d. reforzadas las tropas con las que sacó de Pamplona , y esperaba lo fuesen mas Hamburgo, 00. Barcelona á pesosfs. Málaga |…</t>
  </si>
  <si>
    <t>Sazverte</t>
  </si>
  <si>
    <t>…s) armados de palos y látigos, y que tan atrozmente maltrataron, Proponen algunos que se declare que no ha lugar á votar sobre la prrm“u-,. á los pacíficos habitantes de París: en fin-, Quiénes eran los que dirigían y capi t3 del Sr. Sazverte p pero este dice que cediendo a ías razones que el Sr. O. Bartaneaban á aquella nupva especie de asesinos. Concluye declarando que si la. rot na manifestado, retira su propuesta. El Presidente-levanta Ja sesior. contestación del ministro no le satisface, propondrá que la Cámara avoque á sí -------E…</t>
  </si>
  <si>
    <t>SbtÍeiertM, Esmirms Je Mayo</t>
  </si>
  <si>
    <t>Esmirms Je Mayo SbtÍeiertM</t>
  </si>
  <si>
    <t>…spíritu del gobierno,«y podrá ahora obtenerse coa energía lo MINISTERIO »£ GRACIA T JtVrtCIA» que antes se esperaba con paciencia. {O. de Augrlurgol) ' ' Real tfrden. TURQUIA. S. M. la Runa Gobernadora ha tenido á bien mandar que Don Esmirms 17 Je Mayo. ¡ - *^^SbtÍeiertM|il «'WUUéventaeu el despacho de 1. Real Imprenta a B ctlsrtJá. Hemos sabido que exceptuando Vatbi y tres 6 cuatro aldeas que por su</t>
  </si>
  <si>
    <t>Scarpetti</t>
  </si>
  <si>
    <t>…. El Globo invita a todos los partidarios de la reforma á persevetar £1 buque de S. M. napolitana el Lean ha salido ayer de este puerto. Se esperando del tiempo la solución de las cuestiones siguientes: concesión é M* dice que su comandante Scarpetti va encargado de una comisión particular. disidentes de los derechos civiles y pobtácoa que reclámen: -aplicación conve (Fl Mercurio.} niente dei auperüuo de los diezmos de Irlanda: y en fin-una reforma en la* fe»</t>
  </si>
  <si>
    <t>Scbumacber</t>
  </si>
  <si>
    <t>El coronel Scbumacber,al entregar al presidente de la nueva comisión I* o Estas se realizarán, mediante la paz, bajo un gobierno próvido y activo, bandera federal, recordó los deberes de'la sociedad para con la patria, las.vici- y la influencia de unas leyes sabias, que coadyuvando á los progresos de nues vlutic» que ha…</t>
  </si>
  <si>
    <t>Sccrfltaráft-del</t>
  </si>
  <si>
    <t>…omo fo .ha hecno á los demás pre ¿l de Gobierno, se ha servido acceder á dicha propuesta p©r Real orden que lados dejas órdenes celigiosas-que tienen.conventos en aquellas provincias, que con fecha de 22 deL.pasado me jcoaamác^el Sr. -Sccrfltaráft-del expresado Con será muy de su Real agrado que nombre V. E. de entre los religiosos de ca sejo de Sres. Ministros. Lo que de la propia Real orden pongo en conocimiento rácter, y que por su zelo y virtud inspire toda confianza dos comisarios espe de V. E. para los efectos oportunos en esa secretaría d…</t>
  </si>
  <si>
    <t>Schenelibuhel, Henrique</t>
  </si>
  <si>
    <t>Henrique Schenelibuhel</t>
  </si>
  <si>
    <t>…complacencia de la Rusia, dirigida á S. M. la Reina Gobernadora se ha servido admitir con aprecio, mandan lisonjear la ambición del Sultán. (Mensajero.) do que se publique en la Gaceta , la cesión que ha hecho en faror del Estado D. Henrique Schenelibuhel , inspector que fue de las rumas de Marbella , y ac ____ En las cartas que se han recibido de Lima (América) su fecha 14 de No tualmente jubilado , de 8*04^0 rs. vn. que se le adeudan por su sobresueldo de viembre , se dice lo siguiente: vengado en diferentes años. «En esta ciudad rema el mas grand…</t>
  </si>
  <si>
    <t>Schmidt</t>
  </si>
  <si>
    <t>…as que se le ponían no que ha experimentado de resultas de las decisiones de l.° de este mes, y que la eran de ningún modo admisibles. Cámara ha adoptado. Antes que el’tribunal procediese al examen de los testigos que presenta El coronel Schmidt declaró que el gobierno no podía consentir en la 'for- ron los acusados, el fiscal expuso las razones que tenia para oponerse á que fue lóaeion del estado de guerra del modo que le proponía la comisión, ni permi sen oidos, y consistían en que los unos estaban encausados , otros eran emplea tir que…</t>
  </si>
  <si>
    <t>Schneider</t>
  </si>
  <si>
    <t>…a con Francfort 5 de Adayo. solidación pacífica de la España? Al contrario: lo que se ha hecho parece mas bien conducir á la guerra civil. Los nobles lores sentados en el banco opuesto Esta mañana se ha verificado el entierro del Sr. Schneider , maestro herre condenaron al principio toda intervención en los negocios interiores de la Pe ro , muerto de un balazo que recibió en 1a tarde del 3 del corriente. Numeroso nínsula: pues ¿cómo ahora de;pues de tantos discursos y protestas siguen un sis .era el acompañamiento: e¡ batallen de guardia…</t>
  </si>
  <si>
    <t>Schoell, Federico</t>
  </si>
  <si>
    <t>Federico Schoell</t>
  </si>
  <si>
    <t>…satisfecho de la actividad f á■ —1D18 rs-»cumcnrosen rama ,del19 Congresoen rusticadey Viena.24 pastaencomún.que tiene particular ínteres la España, sa celo de dicho subdelegado. cados de la c lección publicada en París , por el Sr. Federico Schoell. v tra 'ucidos Con fecha l.° di cuenta á V. E. del mérito contraído por el capitán re al castellano por un español. Un cuaderno en 4*°» edición de !8i6, a 8 rs. en ruina y tirado en la villa de Benamcjí, D. José'María Povedano , que con una partida 9 en rustica. Contiene este cuaderno el rep :stro o…</t>
  </si>
  <si>
    <t>Schram</t>
  </si>
  <si>
    <t>…colonias, en realidad, no han contribuido nunca á su metrópoli con León: se trata de reunir en él al pie de 209 hombres, y se cree que le man ningún socorro de tropas: por el contrario, les piden hombres para su defensa, dará el general Schram que ha estado comisionado en dicha ciudad. (£7 Repa y navios para proteger su comercio. Cuando nuestros ejércitos estaban acampa rador de León.') dos en las costas de Bolonia, exclamaba Piu.: ««Si tuviésemos nuestras guar niciones coloniales!, seriamos fuertes. Parece que la comisión encargada de e…</t>
  </si>
  <si>
    <t>Schrodér</t>
  </si>
  <si>
    <t>…fecha en blanco.” {Monitor.') público, influye poderosamente, según la Opinión de la hombres juiciosa, en el orden social. Todas las rcligioots son dignas de respeto, porque todas tienen pov'obje ____E1 célebre, anticuario sueco, Sr. Schrodér, profesor y bibliotecario en to mejorar la condición humana; todas son un suplemento.de fe» teje» rasó* gefe deja universidad de Upsal, acaba de llegar a París, donde debe perma la, cuyo fin a ligar la hombres i sus deberes con la vincula de la concien necer durante algún tiempo para hacer investig…</t>
  </si>
  <si>
    <t>Schwalbach</t>
  </si>
  <si>
    <t>…danha contra el enemigo, en lo que no me cagan;; pues á 500 caballos é igual número de infantes, hizo alto para dar lugar á que las cuatro y; media vino á mi cuartel gcrcrahcl capitán Jervis, enviado por el llegase la columna del brigadier Schwalbach , disponiendo entre tanto la caba conde de Saldanha, para comunicarme que el conde había atacado un cuerpo llería de modo que pudiese atender á los ramales que forma el camino. Reuni enemigo que observaba el aia de su mando en la Torre dei Obispo , y pue*toU da la fuerza que esperaba, cargó sobre e…</t>
  </si>
  <si>
    <t>…veniente de cohetes á la Congreve. millones de francos. A las once la infantería y caballería enemiga marchó sobre Almoster, y El ministrovde Marina y los Sres. C. Duptn, Bricqoéville y, Bugeaud sos &amp; ios tiros que les disparó"el brigadier Schwalbach, comandante de la cotumtienen los artículos del proyecto, diciendo que en el día cuenta menos oficiales na que defendía aquella posición, respondieron los rebeldes con el fuego de su la marina^que en'el año de 1790: que los oficiales de dicho cuerpo corren los artillería que ya tenían situada en la…</t>
  </si>
  <si>
    <t>SchwaPbac</t>
  </si>
  <si>
    <t>…compren Ilónes-queTiaganfueg-o de'fila y que formen el-cuadro; durante mucho tiempo der las contestaciones-recibidas-de los generales barón de Sa-da-bandeira, y no ha vipiornas que á -sin solo hombre : al -general Bonaparte. -del brigadier SchwaPbac ,*eonwmdamerae .la división del Alentejo, Jos cuales ■Mehemet-AIí, dicen algunos de sus apologistas, rio debía al Egipto mas hacen con este motivo los mayores encomios y -felicitaciones*al réferide briga que-él despotismo de los bajaes turcos, sus predecesores, sos iguales, y sin em dier Serrano-po…</t>
  </si>
  <si>
    <t>Sciauzn</t>
  </si>
  <si>
    <t>' facerlo, el regimiento &lt;fel coronel Sciauzn&amp;ourg) estaban , . ESPAÑA. Boj^f¡i¡p%ien;Jj..,npche del Í7. al 18 del corriente .con el objeto -‘WtffioR'eJer el ceafrff.j^ipo de losJ^djmas. ' . , ' Sevilla 9 de Junio* . V1 riJí^^ropprUb^- truche» ^ue estos ..^rnxÍISí^-«s formasen nuifra, «mgmritá Capitanía general de Andalucía, De los partesprodu…</t>
  </si>
  <si>
    <t>Scnpau, Arnaldo</t>
  </si>
  <si>
    <t>Arnaldo Scnpau</t>
  </si>
  <si>
    <t>…niseria jr hambre i' habréndo sererdo sus -cadáveres apisonados para levantar ios 'bordes -dél "S- M.’la ReiwsacGobernacloia se ha -servido admilirton aprecio Ja cesión canal.,. , .. ; . /-'-.Y -que ría hecho-en favor del -erario D. Arnaldo Scnpau , capitán graduado y -re Si losrübltanlesáel Egipto pud-eran bu ir 3e aquellatierra-dedésoJacmn ,es tirado en el pueblo -de Aait, del principado -de Cataluña, de la mitad de J, verosímil que la ‘fértil ribera del líilo estaña ya -despoblada; pero detenidos al -sueldo de 400 rs. mensuales, y iodos l…</t>
  </si>
  <si>
    <t>Scoane</t>
  </si>
  <si>
    <t>…n Guada lajara. = D. Francisco Morales. cipe para Marsella. I El Sr. González (D. Antonio) manifestó que la casualidad de haber lle Señores cuya elección consta, por las actas, y que han avisado hallarse en gado á esta capital.el Sr. Scoane facilitaría la contestación que se esperaba al ofi fermos. cio que se habia pasado sobre su renuncia, cuya dilación habia sido efecto de Granada. e=D. José Búrgos Tillo. su auseécia. Valencia. = D. A ntonio1 Ayarza, El Sr. Presidente manifestó estaba persuadido de que las causas que habiatt Vallado…</t>
  </si>
  <si>
    <t>Scoane, Antonio</t>
  </si>
  <si>
    <t>Antonio Scoane</t>
  </si>
  <si>
    <t>…eticiones que están señaladas. Ciérrase la sesión.” Se levantó esta á las 4* Soria, rr D. Luis San Clemente. D. Joaquín González Nieto. Ifota. En la sesión de 24 del actual, colum. 17. lío. 5, dice declarada léase des Sevilla. =e D. Antonio Scoane. echadJ. . » t / - • ' . / :a /• ., : ? • ■ • ÍN IA IMPRENTA REAL.</t>
  </si>
  <si>
    <t>Scr, Pr</t>
  </si>
  <si>
    <t>Pr Scr</t>
  </si>
  <si>
    <t>…rivaba de asistir por unos cha* al E-Umento; pero que i ti hará primirse y repartirle a los Pióceres &lt;Scc. G’n ropee»o a e-íe .'iiwu ” dfSo pasados estos, y cuando *e discuta el dictamen de la comisión «cerca de la u muy bien yin Sr. Pr&lt;Scr que el asunto no es de trie :rr r&gt;o-&gt; • "c w ; pero r iconducta del mal aconsejado Piíncipe- d era ser de resoluc on fácil y sencida , y en t*» ^o no h-ib.- a ivrco .-*e También lo quedó de otro oficio del Excmo. Sr. conde de A finés desde imprimirse el d clamen , mucho mas cuavd * t&lt;nl s &gt;o sa^co…</t>
  </si>
  <si>
    <t>Scvitlá</t>
  </si>
  <si>
    <t>…nco «pañol, 00.' - f2 &gt; día, porque.U literatura es el mas agradable de iós peros, pero el peor de tpdo* Jos oficloViJpe es{e modo, alimentados y llenos , eje jrópor y adoráóioñ'á la'li Aqmerdaói, 00. * Jis/16-7 á a. CáJii. J i | d. Scvitlá, Íl&gt;. teratura , ¡cómo es posible que'nuestros escritores laureados' y cubiertos de ala Bayona ,'0a Al iCanre.a corto pía- C^ruftle'f í l id. Valenc?* t 4 Id. , banzas, hombres grandes el día de la, 'distribución de premios, compréndan Bordebs.CkW ’ z&amp;i é‘bi GfEOtádE.V^idv Zarianoi« 4-d* ' i : que…</t>
  </si>
  <si>
    <t>Se, Agvril</t>
  </si>
  <si>
    <t>Agvril Se</t>
  </si>
  <si>
    <t>…. M. f por cujo motivo no ha era admisible, y podría contribuir á La c.^-: ^iiiaci.-a de io* p^trcceres de bia sido tenido por válido en el Estamento. Estamentos. Asi te acordó. Los demás Sres. Procuraiores bieron el roto del Sr. D. Agvril Se accedió á la licencia solicitada por el Sr. conde de Pínohermo&lt;o para Argiieilcs concebido ca ios termmos siguientes: « Atendiendo í que el art. i.° trasladarse ¿ Murcia y Oríhuela con el objeto de acudir al remedio de 1 ** da del provecto de ley no cierra la puerta a Ulteriores reclamaciones de íe…</t>
  </si>
  <si>
    <t>Se, Alcalá Zamora</t>
  </si>
  <si>
    <t>Alcalá Zamora Se</t>
  </si>
  <si>
    <t>…uchas comingcncias.R^pécto i speldtas, no está el Esta* \ k l«£Í£ra¿o cheríojí.:argúm^bt^dc la expbtic*on^deiSr. Remero*Alpuente mentó én el caso de ocuparse d$ elfos; pucx ya íüvo u na^disfcLisio Marga sobré ^jue £3 sostenido el Sr. Alcalá Zamora. Se nos quiere calificar tüc caso como el particular en una de las jumas preparatorias, y se clasificaron, toda clase de «1 de un mayorazgo, diciendo que es un usufructuario- &lt; Dónde está eso ? ¿Dónde rentas. Una renta puede 6er propia, f sin embargo no ser aplicable con razón / está escrito: ¿Un usufr…</t>
  </si>
  <si>
    <t>Se, Antonio Vazquéz</t>
  </si>
  <si>
    <t>Antonio Vazquéz Se</t>
  </si>
  <si>
    <t>…abogado de la peste, con la pracion de Ja misa del Santo, iReal ájydeti cqtnuniegnda) Ja naslacion dq 6, M. la RfeiUa Gqbe'rtJadofá desde en que se pide á Dios nos libre , por su intercesión , de la que nos afi íge: fcéabáda por D. Antonio Vazquéz. Se hallara- eiv 1» lábreria de Tieso , á 2 rs. el Réal sitio dé S. Ildefonso al palacio de esta capitai 'jlara verificar la-aper- ——Cavatina para canto y piunb Come pet me sereno á 10 rs. r ídem, Tutto e gtoia ■ ■.4uf^fo¡\eff&gt;pftrd^chr:Q^ttei generales del reino , y m'andindo jsi den la^ órde- - á 6:…</t>
  </si>
  <si>
    <t>Se, Antoolo García Gutiérrez</t>
  </si>
  <si>
    <t>Antoolo García Gutiérrez Se</t>
  </si>
  <si>
    <t>…nde en esta corte en la librería de Razóla, y eu Málaga en U de la viuda d.* Martínez Aguiiar, á real: puede ir eo 15 de Marzo... 2 2 8. carta. 16 id................. I 2 10. — — Un baile en casa de Abrante*: diálogo eo verso por D. Antoolo García Gutiérrez. Se vende á a rs. en Madrid eo la librrrU de Escamina ; igual precio en Cádiz en 17 id.................. 1 2 10. la de Hurta! y compañía ; Val.adoJd en ia de Rodríguez ; Sevilla eo la de Caro Car18 id.................. 4 2 8. taya} Barcelona eu la de P'ferrer, y en Valencia eu &gt;a de Maiien y Berard. ——…</t>
  </si>
  <si>
    <t>Se, Baldomero EsparterocsSr</t>
  </si>
  <si>
    <t>Baldomero EsparterocsSr Se</t>
  </si>
  <si>
    <t>…n este título empezará á publi ;í V. E..con arreglo á sus órd«ne»&gt;uperiores. Dios guardé á V. E. muchos carse en esta córte un periódico medico destinado-a -reunir sin demora todos los daros años. Bilbao y Mayo S de 1834 — Excmo. Sr.=Baldomero EsparterocsSr. Se que puedan contribuir al adelantamiento dé Va ciencia y tener al corriente de sus pro gresos á cuantos se dedican á su estiíd-io. Eh'este periódico, bien diferente de la ma cretario de Estado y del Despacho de la Guerra. yor parte de los publicados hasta ahora entre nosotros, se dará la preferencia…</t>
  </si>
  <si>
    <t>Se, Bodie-bajá El</t>
  </si>
  <si>
    <t>Bodie-bajá El Se</t>
  </si>
  <si>
    <t>…es: renta de España al 3 por 100, 28}: empréstito Real de tillería correspondiente. Los seis regimientos, de la guardia imperial, enviados idu, 361 : renta perpetua de id., 46- algunas semanas antes, estaban al mando del teniente general Bodie-bajá. El ^ Se ha publicado el Real decreto siguiente: mando general de la expedición se confiira á Mahomet-Res._h¡d, bajá de Seras. Luis Felipe &amp;c. Mandamos &amp;c. Se dice que estos movimientos militares no tienen otro objeto que el de anti Artículo l.° Queda aceptada la dimisión que ha hecho el Sr. mariscal cipars…</t>
  </si>
  <si>
    <t>Se, Calderón Callantes'</t>
  </si>
  <si>
    <t>Calderón Callantes' Se</t>
  </si>
  <si>
    <t>…supuesto, empezando El Sr. marques de Someruelos: «Cuando ayer tuve el honor de hacer la por el de la casa Real.” Como su autor y para apoyarla dijo proposición que suscribió el Sr. Trueba, estaba muy distante de creer el giro El Sr. Calderón Callantes'. «Se han propuesto al Estamento cuantos me que ha tomado la discusión, esta discusión enojosa y complicada en que dolo- dios pudieran ocurrir para salir del caos inexplicable en que nos hemos envuel rosamente hemos empleado dos dias. Para abreviarla y corlarla, si era posible, to con motivo de ia discus…</t>
  </si>
  <si>
    <t>Se, Cano Ma</t>
  </si>
  <si>
    <t>Cano Ma Se</t>
  </si>
  <si>
    <t>…bado. ^ vincia de Lugo. En seguida entró á jurar y tomó asiento el 5r- D. Manuel Sánchez TosI La comisión especial encargada del eximen del presupuesto de Gracia y cano. Justicia, dió parte de haber nombrado por decano de ella al Sr. Cano Ma Se mandaron pasar á la misma comisión de Poderes los presentado* Con nuel , y por secretario al Sr. Cezar. El Estamento quedó enterado. los documentos justificativo* de su aptitud legal por el Sr. D. Manaei Montes El Sr. D. Miguel Pardo Bazan, Procurador electo por la provincia de de Oca, electo Procu…</t>
  </si>
  <si>
    <t>Se, Carlos Arl</t>
  </si>
  <si>
    <t>Carlos Arl Se</t>
  </si>
  <si>
    <t>…r el Sr. marques de Cotelar pa de los Estados-Unidos de Norte-América , á que se refiere el tratado de 17 de ra que se agregasen al acta su voto, conforme en un todo con el del Estamento ' Febrero de 1834en el asunto del Príncipe D. Carlos. Arl. 11. Se autoriza al Secretario de Estado y del Despacho de Hacienda Se dió cuenta de un oficio del Sr. marques de Rafol, por el que acusan á contraer un empréstito de cuatrocientos millón» de real» efectivos, destina do el recibo de la circular de 9 de Agosto, manifestaba su ineptitud legal pa do á cubrir…</t>
  </si>
  <si>
    <t>Se, D Agvril</t>
  </si>
  <si>
    <t>D Agvril Se</t>
  </si>
  <si>
    <t>…or S. M. f por cujo motivo no ha era admisible, y podría contribuir á La c.^-: ^iiiaci.-a de io* p^trcceres de bia sido tenido por válido en el Estamento. Estamentos. Asi te acordó. Los demás Sres. Procuraiores bieron el roto del Sr. D. Agvril Se accedió á la licencia solicitada por el Sr. conde de Pínohermo&lt;o para Argiieilcs concebido ca ios termmos siguientes: « Atendiendo í que el art. i.° trasladarse ¿ Murcia y Oríhuela con el objeto de acudir al remedio de 1 ** da del provecto de ley no cierra la puerta a Ulteriores reclamaciones de íe…</t>
  </si>
  <si>
    <t>Se, D Carlos Arl</t>
  </si>
  <si>
    <t>D Carlos Arl Se</t>
  </si>
  <si>
    <t>…hecha por el Sr. marques de Cotelar pa de los Estados-Unidos de Norte-América , á que se refiere el tratado de 17 de ra que se agregasen al acta su voto, conforme en un todo con el del Estamento ' Febrero de 1834en el asunto del Príncipe D. Carlos. Arl. 11. Se autoriza al Secretario de Estado y del Despacho de Hacienda Se dió cuenta de un oficio del Sr. marques de Rafol, por el que acusan á contraer un empréstito de cuatrocientos millón» de real» efectivos, destina do el recibo de la circular de 9 de Agosto, manifestaba su ineptitud legal pa do á cubrir…</t>
  </si>
  <si>
    <t>Se, D Juan Manuel.Subrté</t>
  </si>
  <si>
    <t>D Juan Manuel.Subrté Se</t>
  </si>
  <si>
    <t>…ciones debidas: esto e» lo que se ha practicada del acta de la.elección verificada en Jaén, que ha recaído en el Sr. D. Pedro en todos tiempos. Dichos Procuradores pueden acudir i la comisión é infor María Garctá en reemplazo del Sr. D. Juan Manuel.Subrté. Se mandó pasar i marla de todo cuanto consideren útil." la comisión de Poderes. El Sr. ¡cedo: «Los Procuradores de Valencia no teníamos ninguna no A .la misma comisión se mandó pasar igualmente otro testimonio, remi ticia absolutamente de e*ía exposición, tanto mas cuanto es exactísimo lo ca tido' pof…</t>
  </si>
  <si>
    <t>Se, D Pedro</t>
  </si>
  <si>
    <t>D Pedro Se</t>
  </si>
  <si>
    <t>…ndía, parece que los regimientos egipcios que se hallan en esta isla han recibido la orden de ir á reunirse al ejército Se. ha mandado que la corte se vista de luto durante siete semanas con de Siria. mottvo del fallecimiento det Emperador D. Pedro. Se envían nuevos reclutas á Candía. (Gaceta de Ausgburgo) Se dice que el Rey Carlos x quiere dejar á Praga, y fijar su residencia en Gratz. En cuanto á la duquesa de Berry se ignora si mudará de domicilio. Idem 2 6, La diputación de Trahsilvania ha vuelto a Clausemburgo. Las maniobras de nuestras trop…</t>
  </si>
  <si>
    <t>Se, D Ramón de Cnscar</t>
  </si>
  <si>
    <t>D Ramón de Cnscar Se</t>
  </si>
  <si>
    <t>…puesta á estpsdos países que gravitan en nuestra órbita políti ca , seria reemplazada al primer cañonazo por una alianzá que nacería ya fot- PIOVTVCIA OB BXtCKtOHA» mada de la misma semejanza de intereses y. amor á la libertad. „ Sr. D. Ramón de Cnscar. Se engáfialeí que croe que ti cuadrupla ajilara es un nombre vano; porque $r. D. Honorato de Puig. no solo nos asegura toda nuestra frontera del sudoeste, sino qué jdemas nos ha St. D. Joaquin de Palzodarits. ce esperar la cooperación de Inglaterra, ó á lo meóos su neutralidad; Siria pre Sr. D. José P…</t>
  </si>
  <si>
    <t>Se, El</t>
  </si>
  <si>
    <t>El Se</t>
  </si>
  <si>
    <t>…so de^ conde Grey, y por roí pirte me hubiera abstenido de añadir ninguna cosa , si el duque de Welling- __En los periódicos holandeses del 11 leemos lo siguiente: toó DO hubiera tomadó la palabra inmediatamente después del noble conde. El «Se asegura que para mediados de Agosto se di&amp;oiterán los campamentós duque sa ha quejado de la injusticia con que lord Grey ha hablado de sus pre de Ryen y de Oirchot.’* ■ -i - , i , decesores en c! ministerio ; mas yo declaro que jamas he oido un discurso mas &lt;K animosidad y de rencor político. No: j…</t>
  </si>
  <si>
    <t>Se, Francisco</t>
  </si>
  <si>
    <t>Francisco Se</t>
  </si>
  <si>
    <t>…el Sr. Amarillas es Ma reos Martin, D. Ventura Mena y D. José Ciarós, por la provincia de Ba taba bien clara, porque precisamente concluía diciendo, que al Gobierno com- dajoz; D. Pedro Bermudez del Villar, por la.de la Coruña; y D. Francisco ¡Se petia decir los Próceres que estaban en el caso de no poder venir por hallarse Paula Serrano, por la de Jaén. en algún puesto importante prestando servicios al Gobierno. El Sr. Presidente llamó á prestar juramento á los Sres. Procuradores cu El Sr. Gil de Ja Cuadra iqaniCeStó que lo propuesto por S…</t>
  </si>
  <si>
    <t>Se, Francisco Muguiro Iribarren</t>
  </si>
  <si>
    <t>Francisco Muguiro Iribarren Se</t>
  </si>
  <si>
    <t>…e debilita con la libertad individual, poique conoce que los go— haber nombrado Procurador por dicha provincia á D. José María Monreal, biernos justos que mandan con leyes , son fuertes y están sostenidos por el vigor en lugar de D. Francisco Muguiro ¿ Iribarren. Se mandó pasar i la comisión y fuerza moral &lt;jue ellas comunican á las autoridades establecidas. de Poderes. Las garantías políticas son muy débiles cuando ellas no afianzan derecho* El Estamento quedó enterado de una exposición de D. Alvaro Florea positivos. El Estatuto Real con la institución de Cór…</t>
  </si>
  <si>
    <t>Se, Jacinto de Solar y Quiroga</t>
  </si>
  <si>
    <t>Jacinto de Solar y Quiroga Se</t>
  </si>
  <si>
    <t>…blema na, por P. Miguel Copín, segunda edición, un tomo en en pasta 4 la bolaadm político que se resolvió en tiempo de fel i pe III sobre cuál debía ser la residen á 5 rs. Se hallará en la lebreria de Hurtado. ¡ .....-"Poesías de D. Jacinto de Solar y Quiroga. Se venden en Madrjd en las librería cia de la corte. La disputa entre Madrid y Valencia, dice con donaire el co de So¡o, y de Cuesta, i 2 rs. rústica. mentador, era mas bien una quimera entre dos viejas, que una cuestión de i—^Por providencia del Sr. Balsera, teniente corregidor de esta villa, se cita…</t>
  </si>
  <si>
    <t>Se, Jorge Lasso de la Vega</t>
  </si>
  <si>
    <t>Jorge Lasso de la Vega Se</t>
  </si>
  <si>
    <t>…as Montemayor.. . Idem................... 12 7 00 ____Desahoga crítico sobre cosas que atañen á la marina. Núm. l.° impúgnanse teorías . del Excmo. Sr. conde de Salazar, sostenidas en su último manifiesto. Por el tenientede navio D. Jorge Lasso de la Vega. Se vende en Madrid en ia librería de Perez 4 2 rs. PROVINCIA DE CUENCA. ——Los editores de lz nueva edición del Año cristiano, escrito por el P. Croisset y traducido por el P. Isla, corregida y aumentada con 426 estampas, hecha en 8.° ma ■U yor, correspondiendo 4 los deseos de muchas personas que han m…</t>
  </si>
  <si>
    <t>Se, José Bes</t>
  </si>
  <si>
    <t>José Bes Se</t>
  </si>
  <si>
    <t>…ones en especie y dinero que habia impuesto Don Miguel. Extracto del parte dado por el subdelegado de Fomento de la provincia de Soria D. Laureano Gutiérrez con fecha de 5 del actual. El comandante de armas de la villa de Daimiel D. José Bes- Se ha repuesto con un centenar de plantas el paseo denomina sieres con fecha 22 del corriente remite el parte que le dirigió el do la Dehesa en aquella capital. dia anterior el sargento de urbanos de caballería de aquella villa En Calatañazor se han cubierto con mas de 400 pies de álamo Francisco Garc…</t>
  </si>
  <si>
    <t>Se, José María Moscoso de Altüulira</t>
  </si>
  <si>
    <t>José María Moscoso de Altüulira Se</t>
  </si>
  <si>
    <t>…ica. (Handelskiador™ atención á las circunstancias que en él concurren. Tendréislo enten «ClZA. dido, y dispondréis su cuvnplim¡emo.=Esjá rubricado de la Real ma- Zurik 20 de Octubre* rvi-En el. Pardo á 13 de Noviembre de 1834.=A D. José María Moscoso de Altüulira. Se habla de la llegada de una nota al vorort, emanada de la Confedera^ clon germánica por la cual se pide que -se convoque una Dieta general par» Para el gobierno civil de la provincia de Valladolid , vacante privar al cantón de Berna del regimen gubernativo por dos años, ó á lo menos que se nombre un…</t>
  </si>
  <si>
    <t>Se, Juan Antonio Gonzá</t>
  </si>
  <si>
    <t>Juan Antonio Gonzá Se</t>
  </si>
  <si>
    <t>…l gobierno el Utilísimo proyecto de la limpia mostrados con ejemplos visibles en las letras y sílabas de-palabras. Es del rio Azuer, proponiendo que se haga por empresa particular. critas en lengua griega , latina y española, por D. Juan Antonio Gonzá Se promueve el establecimiento de norias de viento; pero aun lez de Valdés: un tomo en 8.° Se hallará á 6 rs. en rústica y 8 en pasta en la librería de Escribano.no se han podido hacer los primeros ensayos. ----- Los mártires Eudoro y Cimoiocea 6 el triunfo de la religión cristia Se atiende al ramo de…</t>
  </si>
  <si>
    <t>Se, Juan Manuel.Subrté</t>
  </si>
  <si>
    <t>Juan Manuel.Subrté Se</t>
  </si>
  <si>
    <t>…es debidas: esto e» lo que se ha practicada del acta de la.elección verificada en Jaén, que ha recaído en el Sr. D. Pedro en todos tiempos. Dichos Procuradores pueden acudir i la comisión é infor María Garctá en reemplazo del Sr. D. Juan Manuel.Subrté. Se mandó pasar i marla de todo cuanto consideren útil." la comisión de Poderes. El Sr. ¡cedo: «Los Procuradores de Valencia no teníamos ninguna no A .la misma comisión se mandó pasar igualmente otro testimonio, remi ticia absolutamente de e*ía exposición, tanto mas cuanto es exactísimo lo ca tido' pof…</t>
  </si>
  <si>
    <t>Se, Juao Codies</t>
  </si>
  <si>
    <t>Juao Codies Se</t>
  </si>
  <si>
    <t>…eta de dos «Dones por reglas. Este método, inde pendiente de cuantos se han publicado basta el dia, va adornado coa terado salud pública de la- villa de Estepona, donde según los láminas para su tffejof Instrucción. Compuesto por D. Juao Codies. Se avisos oficial» que acaban de recibirse de aquella junta municipal, se Hallató de venta en las librerías de Sánchez y te la de Hermoso, su han presentado en algunos enfermos síntomas sospechosos que exigen precio á 8 rs. en rústica. observación; en su consecuencia la junta provincial de mi presiden…</t>
  </si>
  <si>
    <t>Se, Landemenm</t>
  </si>
  <si>
    <t>Landemenm Se</t>
  </si>
  <si>
    <t>…asi, se adababan de pronunciar las preguntas,- cuando ya el joven Puglini las nífica obra, que se ejecuta bajo la dirección del empresario Mi. Mac Intosh y había comprendido y resuel.o mentalmente. del ingeniero de la compañía el coronel Landemenm. Se gastan cada dia cerca «Entre algunas operaciones aritméticas de tnuchas cifras, y la extracción, de 1UU3 ladrillos. Está ya completamente concluida una extensión de dos bast?nie penosa, de la raíz cúb»ca, de cantidades compuestas de mas de cinco millas. (Id.) cifras, contestó este ruño extraordinar…</t>
  </si>
  <si>
    <t>Se, Ló</t>
  </si>
  <si>
    <t>Ló Se</t>
  </si>
  <si>
    <t>…n;” y habiéndose en servir todo el tiempo que dure el motivo de la reunión de la Milicia.” consecuencia procedido á la votación, el Estamento no tuvo á bien aprobarla. El Sr. Palarea: «No estoy conforme con lo que ha propuesto el Sr. Ló Se leyó la siguiente adición al párrafo 2.° del artículo 19. pez del Baño. Si se quiere tener alguna consideración con los que sirvan volun «Para este solo objeto iodos los individuos que tengan la edad correspon tariamente, no debe ser en perjuicio de los demás* Asi lo mas justo seria que diente form…</t>
  </si>
  <si>
    <t>Se, Luígi Poletti</t>
  </si>
  <si>
    <t>Luígi Poletti Se</t>
  </si>
  <si>
    <t>…odigalidad del gobierno de la restauración se han aprovechado La gran fábrica de la basílica de S. Pablo en la via de Ostia será restaura con profusión de aquella prodigalidad. da por un arquitecto italiano de gran reputación, el Sr. Luígi Poletti. Se empe Mr. Dubouchage opina que el gobierno ha infringido cuatro artículos de zarán las excavaciones del monte Catillo, en Tivoli, bajo la dirección del caba la Constitución; disolviendo la guardia nacional en, mas de 200 ciudades y pue llero Clemente Golchi. Se allanará una parte del monte Pincio pa…</t>
  </si>
  <si>
    <t>Se, Manuel Bretón de los Herreros</t>
  </si>
  <si>
    <t>Manuel Bretón de los Herreros Se</t>
  </si>
  <si>
    <t>….iñía de Cadizs y eo los demás parages doude se expenden las obras de Precios Je los cereales y otros frutos en la primera quincena de este mes. dicho establecimiento. ------ Rrcuanus de w*i baile de máscaras , cuento en verso de D. Manuel Bretón de los Herreros. Se vende á 2 r¿. eñ M &lt;drid en la librería de Escamóla , y á igual precio en Ajiacos___Alcauiz. Trigo, á 14 re. vn. fanega del pais: cebada, á 6 id.: las provincias, donde se suscribe á U colección de novelas históricas originales esvino, á 4. rv cántaro: aceite, a 4'1 S.rs.* arroba. paíio'as. B.irhii…</t>
  </si>
  <si>
    <t>…4 rs. en rústica. dad seguía siendo satisfactorio, sin embargo de lo desigual de la ——Legadc, ó el Amante singular. Comedla en un acto acomodada estación, y que el número de enfermos y fallecidos guardaba la al teatro español por D. Manuel Bretón de los Herreros. Se vende en misma proporción que se observó en igual estacion( los años an esta corte en la librería de Razóla, y en Sevilla en Ja de Caro (hijo), á 4 rs. teriores. —Ejercicio para la voz, d sea escuela de canto, por D. Manuel Gar El subdelegado principal de Fomento de la provincia de Cór cía, primer…</t>
  </si>
  <si>
    <t>…el parte que en pasta, 34 «□ rústica y 22 en rama. nrsgtnel rinfcluyo á V. H» —Sátira contra los abusos y despropósitos introducidos en el arte dé la declama . £1 p^etc del comandante general «s como sigue: clon teatral, su autor D. Manuel Bretón de los Herreros. Se vende á 2 rs. en Madrid iA. la* *•** de esta,tarde ha sido batida completamente por la* biaarns tro* en la librería de Escarní)'*), y en Us provincias eo los puntos donde se bailan las pat'4uc tengo el honor de niaiidar, la facción de Castor» que se opuso i mi poesías, sátiras y piezas dramática^ d…</t>
  </si>
  <si>
    <t>Se, Manuel María Al</t>
  </si>
  <si>
    <t>Manuel María Al Se</t>
  </si>
  <si>
    <t>…tada que se halla ya la materia, puea elección á favor del Sr. D. Antonio Seoane, por la provincia de Sevilla: á la la han ilustrado lo bastanTe talentos muy superiores al,mió. de Hacienda una memoria sobre este ramo, escrita por D. Manuel María Al- «Se trata de si el empréstito de Guebhard es legítimo, y de ji hay justi varea; y á la del presupuesto de Estado los documentos que remitía el Sr. Se cia para que se reconozca íntegramente, como se ha hecho con los demas em cretario del Despacho del mismo ramo. préstitos. Es necesario distinguir dos ép…</t>
  </si>
  <si>
    <t>Se, María de Francia</t>
  </si>
  <si>
    <t>María de Francia Se</t>
  </si>
  <si>
    <t>…s las garantías que para lo futuro apetecen, y que con fundado derecho del Rey en hacer este viage es de asistir al casamiento del vi rey Leopoldo con pueden exigir. ¡Seria el vorort el único que ignorase lo que se ha hecho en la princesa María de Francia. Se espera en breve al general Sebastiani. El 2&amp; Suiza por medio de la imprenta y por las sociedades que están muy generali saldrá el barón Dowamd. (pateta de Augsburgo.j zadas , asi antes como después de la expedición de Saboga, para alterar la tran quilidad de estos Estados, cuando todos los gobierno…</t>
  </si>
  <si>
    <t>Se, Mariano Fernan</t>
  </si>
  <si>
    <t>Mariano Fernan Se</t>
  </si>
  <si>
    <t>…paños por indisposición del Sr. P. Mateo de Ñor— Diario de la administración. , , zagaray * teniente corregidor da esta M. H. villa, en cuyo juzgada penden los autos del concurso' de dicha compañía por la escribanía del número de D. Mariano Fernan Se ha instalado la Real sociedad económica en dicha ciudad , nombrándose dez del Canto»! te'ha vuelto á señalar para el día 15 délí próximo Junio i las nueve los oficiala con arregló á los estatutos de la Aragonesa ty habiendo sido ele de su mañana en la sala que celebra las suyas el banco español de…</t>
  </si>
  <si>
    <t>Se, Martinez de la Rosa</t>
  </si>
  <si>
    <t>Martinez de la Rosa Se</t>
  </si>
  <si>
    <t>…la opinión, pública, que no es el eco de la dei do; y hab.endose de-larado que sí, se pasó á la votación, la cual se pidto y Gobierno , nos hallamos de lleno en el caso de aplicar la regla establecida por acordó fuese nominal. el Sr. Martinez de la Rosa. Se volvió á leer la adición del Sr. Morales, y verificada la votac;on «A seguida ha hecho la observación poco exacta de que estando por el resultó aprobada dicha adición por 62 votos contra 3- , habiéndose absteni no reconocimiento, nos asemejaríamos al Gobierno absoluto dei año 23 que do de votar 10…</t>
  </si>
  <si>
    <t>Se, Minio Hamburgo de Noviembre</t>
  </si>
  <si>
    <t>Minio Hamburgo de Noviembre Se</t>
  </si>
  <si>
    <t>…l de Hamburgo.) Sir R. Peel ha rebatido enérgicamente algunas expresiones inoportunas que ha pronunciado en un discurso el doctor Lushington. ALEMANIA. S. M. ha condecorado coq la orden de la Jarreuera al (fiique de Grafione y ai lord Minio. Hamburgo 30 de Noviembre. Se sostiene la voz de que el lord Stuart de Rothesay será relevado de la embajada de París. Nada sabemos relativo á las demas resoluciones de la Dieta, tomadas i consecuencia de las conferencias de Viena , y no se cree que se publiquen otras, -El Standard dice: Nosotros descamos^que nuestra opinión so…</t>
  </si>
  <si>
    <t>Se, Narciso Torre López y Ruedas</t>
  </si>
  <si>
    <t>Narciso Torre López y Ruedas Se</t>
  </si>
  <si>
    <t>…Birfifolls, idém, de Torrellas de Foix. la de Torner, á 6 rs. en cartulioa y 8 en pasta. Salvador Mártí, idem, de Martoreil. ¿ - ,—Virtud, , amor y desinterés, aparece en el bello sexo. Novela trágica Total 30. . ^ origina), por D. Narciso Torre López y Ruedas. Se hallará en Madrid en te librería de Razóla, á 3 rs. en rústica y 5 eo pasta. ------La fisiología y patológia de la mxtger, o sea historia analítica de su constituciOQ fisteá y moral y de todas sus enfermedades. For D. Baltasar de Viguera, del Re¿f co Las fuerzas’de los facciosos de Navarra, refugia…</t>
  </si>
  <si>
    <t>Se, Narciso Torre-López y Rueda</t>
  </si>
  <si>
    <t>Narciso Torre-López y Rueda Se</t>
  </si>
  <si>
    <t>…e desde que empieza hasta que se concluye la tarea. Los fabricantes mismos que emplean el trabajo manual^ ad Las mas nobles ideas de los defensores de Isabkz 11, y los depravados pensa mientos de sus enemigos; novela original por D. Narciso Torre-López y Rueda. Se miran la belleza de los lienzos que salen de los telares de vapor, y confiesan hallará á *¿ rs. en Madrid librería de Hurtado; Cádiz, Hortal y compañía; Zaragoza, que no pueden competir con estos nuevos agentes de la industria humana. El Jáuregui; Barcelona, Gaspar. año de 1818 había en Manchester,…</t>
  </si>
  <si>
    <t>Se, Navas</t>
  </si>
  <si>
    <t>Navas Se</t>
  </si>
  <si>
    <t>…n que tengan ó no despacho Real los capitanes, y otros Utbanos del mismo batallón ó compañía que voluntariamente se presten está remediado en otros artículos.” á ello. £¿ Sr. Secretario del despacho de Estado: «Para satisfacer al Sr. Navas Se leyeron el art. 19 del proyecto dei Gobierno y el del dictamen de la ya ha-dicho el Gobierno que no tiene la menor influencia en los nombramien comirion. tos de las clases inferiores; y que ha combinado el elemento electivo ó popu El Sr. Secretario del Despacho de ¡o Interior: «El artículo del proy…</t>
  </si>
  <si>
    <t>Se, Nicolás</t>
  </si>
  <si>
    <t>Nicolás Se</t>
  </si>
  <si>
    <t>…stas dos provincias, se 'del convenioconbluwkvcón Ahmed bajá, general en gefe de la guardia impe- ria sin duda una de las bases del'convenio preliminar. La audiencia que han re Titl¿y embeitdufCMrtordinarioi. del Sultán cerca del Emperador Nicolás. Se cibido de Luis Felipe los lores Granville y Dutharn, ha tw&gt;'do seguramente</t>
  </si>
  <si>
    <t>Se, Nicolás Alaría Garelly Gobernadora y la</t>
  </si>
  <si>
    <t>Nicolás Alaría Garelly Gobernadora y la Se</t>
  </si>
  <si>
    <t>…O ; loo» . GACETA DE MADRID. ARTICULO DE OFICIO. entendido, y lo comunicareis á quien correspónda.=Está rubricado de la Real mano, ir En el Pardo á 19 de Noviembre de 1834.=A Don S. M. la Reina nuestra Señora, su augusta Madre la Reina Nicolás Alaría Garelly. Gobernadora y la Se mía. Sra. Infanta Doña María Luisa, continúan Deseando que la justicia se administre en primera instancia • lio novedad en su importante salud en el Real sitio del Pardo. por los jueces letrados de partido, conforme con lo dispuesto en mi Real decreto de 21 de Abril último, he venido en mandar, que…</t>
  </si>
  <si>
    <t>Se, Ochoa</t>
  </si>
  <si>
    <t>Ochoa Se</t>
  </si>
  <si>
    <t>…formas con juicio, y se po go las mismas esperanzas que S. S.; pero hasta que nuestros nietos lo vean, no drán pagar las contribuciones. . se puede valuar.” «Otra contribución que pagan los pueblos (yo soy empleado, y de consi Él Sr. Ochoa«Se extrañará, conociendo1 mis ideas, el que baya tomado guiente estoy én un terreno ventajoso para hablar en estos térm nos) es la de la palabra en pro del dictámen de la comisión; pero mis ideas no han variado, un infeliz qué tiene que presentar un tecurso, le han de detener tres ó cuatro pues tengo…</t>
  </si>
  <si>
    <t>Se, Othon</t>
  </si>
  <si>
    <t>Othon Se</t>
  </si>
  <si>
    <t>…arena con tierra llevada de otra parte. tir á la instalaciónJel gobierno griego en la antigua ciudad de Atenas, que ¿Cuál pudo ser et motivo de esta singularidad! No acertamos á responder. Por será también la nueva residencia del Rey Othon. Se han hecho grandes pre lo demas este tumuius es enteramente semejante al que existe cerca de Claiparativos para recibir al joven Monarca, y la ciudad de Atenas parece levan rcvailx. tarse de entre sus ruinas. Esta solemnidad, que se verificará el 2ú de Enero Uno de los individuos de la sociedad de e…</t>
  </si>
  <si>
    <t>Se, Pcdro de la Peña.zaExcmo</t>
  </si>
  <si>
    <t>Pcdro de la Peña.zaExcmo Se</t>
  </si>
  <si>
    <t>…o, y con él los dos pliegos para el general en gefe y comandante general de Vizcaya , v las tres Reales órdenes que .V. E. ha tenido la dignación de remitirme. Dios guarde á V, E. muchos años. Vitoria 4 de Febrero de 1834*=Excmo. Sr.=Pcdro de la Peña.zaExcmo. Se ñor Secretario de Estado y del Despacho de la Guerra. Excmo. Sr.: Tengo la satisfacción de manifestar á V. E. que el cabecilla Castor ha si do batido y denotado en Sodupe por la columna al mando del coronel D. Fermín Triarte el 30 de Enero último, sin que se hubiese recibido en esta comandancia el…</t>
  </si>
  <si>
    <t>Se, Pedro</t>
  </si>
  <si>
    <t>Pedro Se</t>
  </si>
  <si>
    <t>…ce que los regimientos egipcios que se hallan en esta isla han recibido la orden de ir á reunirse al ejército Se. ha mandado que la corte se vista de luto durante siete semanas con de Siria. mottvo del fallecimiento det Emperador D. Pedro. Se envían nuevos reclutas á Candía. (Gaceta de Ausgburgo) Se dice que el Rey Carlos x quiere dejar á Praga, y fijar su residencia en Gratz. En cuanto á la duquesa de Berry se ignora si mudará de domicilio. Idem 2 6, La diputación de Trahsilvania ha vuelto a Clausemburgo. Las maniobras de nuestras trop…</t>
  </si>
  <si>
    <t>Se, Pedro Bermudez</t>
  </si>
  <si>
    <t>Pedro Bermudez Se</t>
  </si>
  <si>
    <t>…mpresión: á 4 en la librería de Rodríguez. ■ ■ Indagación de los estorbos que padecen la agricultura y comercio de Sspaña* Partes recibidos en la secretaría de Estado y del Despacho de la Guerreé*. - y del modo de removerlos, por D. Pedro Bermudez. Se vende en Madrid en la libren* El capitán general de Aragón da cuenta á este ministerio de la gloriosa ac de......SojoGrandeá 6 rs.,marchay en extractadaSantiago endella deprimerla viudaactodedeCoinpañel.la opera de la Norma del maestro ción que el coronel graduado D. Baudilio Mallot, capitán del re…</t>
  </si>
  <si>
    <t>Se, Presidente</t>
  </si>
  <si>
    <t>Presidente Se</t>
  </si>
  <si>
    <t>…stancia se le concedía Sesión d*l dia 30 de Agosto. licencia pira salir del reino : por lo que era de parecer se dijese que et Esta mento quedaba enterado; y asi se acordó. Leída y aprobada el acta de la sesión última , el Excmo. Sr. Presidente Se leyó un oficio del Excmo. Sr. marques de Villahermosa acusando el preguntado por los Excmos. señores marques de las Amarillas y conde de Par- recibo de la circular referida de 9 del presente mes,i en que expone que ha sent, si había respondido el Excmo. Sr. marques de Camarasa a! oficio que se bien…</t>
  </si>
  <si>
    <t>Se, Presidentei</t>
  </si>
  <si>
    <t>Presidentei Se</t>
  </si>
  <si>
    <t>…stancia de cuidar siempre de que se criableriemo bre el proyecto primitivo del Gobierno; peto ahora debe recaer sobre la to- dichos puntos en poblaciones, cuyo vecindario fuese superior é la fuerza de di ulichd.” chas compañíasEl Sr. Presidentei «Se va á pasar i la discusión sobre la totalidad." «Nuestro método de presupuestos es sin duda mas aventajado que el exis El Sr. Lopezt «El. dictémen de la comisión es relativo al proyecto del tente entonces; pero sin embargo, en fa escrituras de millones esté rnmigipule Gobierno; P°r tanto debe teners…</t>
  </si>
  <si>
    <t>Se, Presidente’</t>
  </si>
  <si>
    <t>Presidente’ Se</t>
  </si>
  <si>
    <t>…nderlos en su suerte deración ó no.” futura, que merece fijarse para recompensar asi sus servicios tan importantes y Preguntado asi, resultó que no. tan grandes, especialmente éñ ta actual crisis, én que con tanto honor y leal Mi Sr. Presidente’. «Se va á pasar á la discusión de la petición sobre re tad se portan todas las clases del ejército. En apoyo de su Opinión añadió que compensas á los militares, de que ya se ha dado cuenta al Estamento, y que no se estaba en el caso de los griegos y romanos, los cuales con una corona cí ha pasado por lo…</t>
  </si>
  <si>
    <t>Se, Pretidentt</t>
  </si>
  <si>
    <t>Pretidentt Se</t>
  </si>
  <si>
    <t>…ps y Soler, marques de San Simón, Quintano, Arango, que en los Gobiernos libres el trono debe asentarse sobre los intereses de los Ayala, Cabanillas. pueblos, y la comisión se ha extendido á decir que debe crearlos. Pero si ta El Sr. Pretidentt "Se suspende esta discusión. El lunes próximo se reu les son sus obligaciones, si tal es el objeto de su institución, aquellos no de nirá el Estamento á las once para continuarla. ben olvidar que en Jos sacrificios que hagan por conservarle encuentran su pro "Ciérrase la sesión.” pia recompensa. Se lev…</t>
  </si>
  <si>
    <t>Se, Procurador</t>
  </si>
  <si>
    <t>Procurador Se</t>
  </si>
  <si>
    <t>…ido en el art 131 del Reglamento. cuciones, y consiguiente emigración al extrangero; opinaba que debía acce- fel S'r. Riva Herrera reclamó la lectura del voto p.nicular que sobre el dersc á la renuncia de su cargo que hacía dicho Sr. Procurador. Se aprobó este habia formado. asunto El Sr. Presidente le contestó que se leería dicho voto cuando se proce dictámen. La misma comisión había examinado la exposición’ del Sr. marques de diese á la discusión. Monsalud, electo procurador por la provincia de Sevilla. Este interesado ma El Sr. Canals: »Ay…</t>
  </si>
  <si>
    <t>Se, Ramón de Cnscar</t>
  </si>
  <si>
    <t>Ramón de Cnscar Se</t>
  </si>
  <si>
    <t>…ta á estpsdos países que gravitan en nuestra órbita políti ca , seria reemplazada al primer cañonazo por una alianzá que nacería ya fot- PIOVTVCIA OB BXtCKtOHA» mada de la misma semejanza de intereses y. amor á la libertad. „ Sr. D. Ramón de Cnscar. Se engáfialeí que croe que ti cuadrupla ajilara es un nombre vano; porque $r. D. Honorato de Puig. no solo nos asegura toda nuestra frontera del sudoeste, sino qué jdemas nos ha St. D. Joaquin de Palzodarits. ce esperar la cooperación de Inglaterra, ó á lo meóos su neutralidad; Siria pre Sr. D. José P…</t>
  </si>
  <si>
    <t>Se, S Buenaventura</t>
  </si>
  <si>
    <t>S Buenaventura Se</t>
  </si>
  <si>
    <t>…meditado en este dia las Reales órdenes que V. E. voción á María Santísima de ios Dolores, que en forma de oficio divino compuso en le ha dirigido, y sin embargo que su vocal consultor, vicepresidente de la Real latín el seráfico doctor S. Buenaventura. Se pooe en una plana la letra del Santo y eo otra la traducción eo castellaoo, por un hijo y devoto de la Madre dolorosa : un to academia médico-quirúrgica, ha manifestado in vocc y de acuerdo de La misma mo en B.° á 3 rs. eo rústica y 5 en pasta. Se venden en la librería de firuo. que en esta capital…</t>
  </si>
  <si>
    <t>Se, S G</t>
  </si>
  <si>
    <t>S G Se</t>
  </si>
  <si>
    <t>…e ayer. arreglada al estado actual de los conocimientos médicos, y puesta al alcance de tod^ clase de personas: obra escrita en francés por el Dr. J. C. Be su che t, y traducida al N¿ MEROS. PREMIOS. ADMINISTRACIONES. español por D. S. G. Se halla de venta en Madrid, á 8 rs. en pasta , en ias librerías de la viuda de Cruz y de Sanz^ y en las principales de las provincias, con el aumen 22,309. 8000 ps. fs......................... Sevilla. ---- to de 2 rs. ----- Fácil caocioncita titulada: las Quejas, música extractada de la grande ópera…</t>
  </si>
  <si>
    <t>Se, Saldaña</t>
  </si>
  <si>
    <t>Saldaña Se</t>
  </si>
  <si>
    <t>…ones que puedan conciliar los intereses del trono y los del ejército. [y de boca,.y que Jos habitantes de aquella ciudad estaban muy animados con El Sr. de Failly abunda en las ideas del preopinante. [ las recientes victorias del general Saldaña. Se decia'quc las tropas de D. MigúeL Pregunta el Sr. Larabit siesta ley se ha de observar fielmente, o si como | marchaban de Soto Redondo hacia Coimbra. (Globo.) otras leyes militares y de Hacienda será quebrantada poco después de su pro mulgación por los mismos que deben cuidar de que se observe. Ma…</t>
  </si>
  <si>
    <t>Se, Sartoiius</t>
  </si>
  <si>
    <t>Sartoiius Se</t>
  </si>
  <si>
    <t>…M. luis Ticte, que celebraba en este dia su 61 .* bajador de España, sir Edward Codringlon, M.O’Connell, M.JHume, el doc aniversario, ha recibido‘per el conducto del barón de Freiberg, encargado de tor Boring, sir F. Burdqtt y el almirante Sartoiius. Se pronunciaron, varios dis Negocios de S. M., la carta autógrafa siguiente , que honra á la vez al poeta y cursos , y se dieron muchos brindis á S. M C. la Reina de España, á la Rei al augusto Monarca que la ha escrito. na Gobernadora, á las Cortes de España y Portugal, á SS. "MM. Doña Ma «Señor cons…</t>
  </si>
  <si>
    <t>Se, Secre</t>
  </si>
  <si>
    <t>Secre Se</t>
  </si>
  <si>
    <t>…sean estos, sino los anteriores, los que se discutan^tjenff la facul— tad de resolverlo asi: por eso he. presentado-el-asunTO í su decisión.” -Sc-abriÓ^Iis diez y media. El Sr. Zdano-Chztvarn«Yo creo íjue según la indicación del Sr. Secre Se leyó y aprobó el acta de la anterior. tario de Hacienda, no solo debemos discufir los artículos del proyecto del Go El Sr. marques de Someruelos y el Sr. Crespo de Tejada , usando del de bierno , sino los de la comisión que seán compatibles con él.” recho que les concede el art. 87 del reglamento,…</t>
  </si>
  <si>
    <t>…de lo Joterior, haciéndolo antés de un Se ¿ton del dia 18 de Agosto. oficio del de aquel ramo, relativo á ia impresión de varios documentos. ■" Se abrió á las once. Se leyó dicha memoria, y concluida que fue su lectura , dijo el Sr. Secre Se leyó el acta del dia anterior, y después de una ligera discusión entro tario que la verificó, que asi que estuviese presentada en el Estamento de Pro los Sres. Belda, González Alonso y Medrano , se aprobó con la modificación ceres se imprimiría y distribuiría. siguiente, hecha por el Sr. González A…</t>
  </si>
  <si>
    <t>Se, Secretarlo de Estado y del Des</t>
  </si>
  <si>
    <t>Secretarlo de Estado y del Des Se</t>
  </si>
  <si>
    <t>; " 305 curso de llorar la suerte de la patria. (Sensación profunda. Rr/v- da 21 de Abril de 1834 ¿'IfJS doce de la noche. = Excmo. Sr.= tidas muestras de aprobación.)j José Ramón RodiLneEécnjo. Sr. Secretarlo de Estado y del Des Se levanta la sesión. ^ pacho de la Giierra. ESPAÑA. '/ En la carta del gobernador de Almeida al general Rodil, su Afadrid2S de Abril. fecha 20 del corriente, dice que acababa de recibir oficio del ma riscal duque de Tercejra, escrito en Freixa de Nemao (á la mitad £a comisión de Sanidad de Alejandría…</t>
  </si>
  <si>
    <t>Se, Zubiaga</t>
  </si>
  <si>
    <t>Zubiaga Se</t>
  </si>
  <si>
    <t>…fe supremo dar un paso, sin que lo supiese ra de Avacucho. Ll&gt;s prefectos interinos deben nombrarse de las temas, r no el general Gamarra: en fin, la revolución estaba hccna, y no se apuraban a había en ellas otro expedito que el coronel Zubiaga. Se hizo esta propuesta ál deponer ál gobierno por la seguridad en que vivían de poderlo hacer en el general Gamarra; pero fue desechada con frivolos pretextos. Este generai, ro momento que quisiesen. deado de sus satélites y confiado en la seguridad que le daba el estado de las No contento todavía el…</t>
  </si>
  <si>
    <t>Seba</t>
  </si>
  <si>
    <t>…e las provincias Vascongadas dice, con fecha de ca, se comportaron con heroicidad, singularizándose en jig^n modo Canipi.lo, Si del pasado, que deseando exterminar las partidas de facciosos que con el Puente y Alonso. El teniente D. Seba&gt;tian Arus, ayudante interino de Sala nombre de aduantros roban y atentan contra la seguridad de los viageros, dis manca , me da constantemente pruebas de bizarría y serenidad, marchándose puso que en la noche anterior se ocultasen algunos celadores de la provincia en 'con las guerrillas, y siendo e…</t>
  </si>
  <si>
    <t>Seba, D</t>
  </si>
  <si>
    <t>D Seba</t>
  </si>
  <si>
    <t>…general de las provincias Vascongadas dice, con fecha de ca, se comportaron con heroicidad, singularizándose en jig^n modo Canipi.lo, Si del pasado, que deseando exterminar las partidas de facciosos que con el Puente y Alonso. El teniente D. Seba&gt;tian Arus, ayudante interino de Sala nombre de aduantros roban y atentan contra la seguridad de los viageros, dis manca , me da constantemente pruebas de bizarría y serenidad, marchándose puso que en la noche anterior se ocultasen algunos celadores de la provincia en 'con las guerrillas, y siendo e…</t>
  </si>
  <si>
    <t>Sebas</t>
  </si>
  <si>
    <t>…su lealtad nunca desmentida. Ma Reina nuestra Señora Doña Isakf.l ii, se lia servido conferir el go tanzas y Enero 26 de 1834- =Señora. = A L R. P. de V. M. = Francisco bierno militar y político de la plaza del Ferrol al coronel D. Sebas íjarvaez. tian de la Cuesta, y el de la plaza de Santoña al de la misma clase D. Antonio Ordoñez. Exposición &amp; S. M. la Rsjiía Gobernadora. PARTE INO OFICIAL. Señora: El gobernador de vuestra siempre fiel ciudad de Matanzas puede NOTICIAS EXTRANGERASotra vez con molivos plausibles prosternarse á L.…</t>
  </si>
  <si>
    <t>…mas el Estatu El Sr. Secretario del Despacho de Estado'. «Cuando ayer tuve el honor to Real.” de manifestar al Estamento la conducta seguida por el ministerio, dije que se El Sr. Secretario ¿¡¡ Despacho de Estado: «El Sr. Infante D. Sebas había propuesto ser sumamente sobrio en tomar la palabra en materia de pre tian no se hallaba aqui cuando la reunión de las Córtes; por consiguiente no supuestos; y asi es que buscando siempre los medios de conciliar su dictámen pudo prestar el juramento, como lo verificó el Sr. Infante D. Francisc…</t>
  </si>
  <si>
    <t>Sebas, D</t>
  </si>
  <si>
    <t>D Sebas</t>
  </si>
  <si>
    <t>…alidad á su lealtad nunca desmentida. Ma Reina nuestra Señora Doña Isakf.l ii, se lia servido conferir el go tanzas y Enero 26 de 1834- =Señora. = A L R. P. de V. M. = Francisco bierno militar y político de la plaza del Ferrol al coronel D. Sebas íjarvaez. tian de la Cuesta, y el de la plaza de Santoña al de la misma clase D. Antonio Ordoñez. Exposición &amp; S. M. la Rsjiía Gobernadora. PARTE INO OFICIAL. Señora: El gobernador de vuestra siempre fiel ciudad de Matanzas puede NOTICIAS EXTRANGERASotra vez con molivos plausibles prosternarse á L.…</t>
  </si>
  <si>
    <t>Sebas, Infante D</t>
  </si>
  <si>
    <t>Infante D Sebas</t>
  </si>
  <si>
    <t>…a jurado ademas el Estatu El Sr. Secretario del Despacho de Estado'. «Cuando ayer tuve el honor to Real.” de manifestar al Estamento la conducta seguida por el ministerio, dije que se El Sr. Secretario ¿¡¡ Despacho de Estado: «El Sr. Infante D. Sebas había propuesto ser sumamente sobrio en tomar la palabra en materia de pre tian no se hallaba aqui cuando la reunión de las Córtes; por consiguiente no supuestos; y asi es que buscando siempre los medios de conciliar su dictámen pudo prestar el juramento, como lo verificó el Sr. Infante D. Francisc…</t>
  </si>
  <si>
    <t>Sebastia</t>
  </si>
  <si>
    <t>…conde de Beaufort: el cuanto solicitó, se despidió diciendo qué inmediatamente se iba.Todos le cre primero viene de Nápoles y el segundo de Paria. ' yeron , y aun el gobierno mismo, hasta que por fin se descubrió que el viagá Ei conde Sebastia ni, embajador de Francia cerca de la corte de Ñapóle» na.era a Tirina, sino á las fronteras del Callao, donde tenia ya preparada una y de las dos SiclUassalió ayer de nuestros mueps para trasladarse á Genova. casa para alojarse. Nó se sabe positivamente si se venia el mismo aia en que- | (/Gaceta 4…</t>
  </si>
  <si>
    <t>Sebastian</t>
  </si>
  <si>
    <t>…ían sus colum á la curación de los heridos durante el mas vivo fuego; y finalmente, del co nas los enemigos, y en esta actitud imponente resolví esperarlos en cualquier misario de guerra D. JóSé Cano , y del factor de provisiones D. Sebastian número que fuese. En efecto, dirigieron sus ataques por nuestra izquierda, centro Bruss, que se hallaron en los mayores riesgos, brindándose á ejecutar cuanto so ydtfccha.i consiguiendo por el centro hacer replegar las cortas fuerzas que cubrían les previniese, como lo verificaron. Todo lo que pong…</t>
  </si>
  <si>
    <t>…isposición municipal »Los generales Cortázar y Rincón habían marchado con 43 hombres á que lo prohibiese. San Luis de Potosí, donde algunos enemigos de San tana hacían esfuerzos para Dió ocasión á esta Real orden una solicitud de D. Sebastian oponerse a) gobierno. Criado Cerezo, vecino de la villa del Rio, para que se declarase que ’&gt;El general Bravo habia regresado á Méjico, y su amigo Canalizo, que el auto publicado en 1789 por el alcalde mayor de Montoro, prohi tan tenazmente se opuso á San tana, habia sido nombrado gobernador de Que…</t>
  </si>
  <si>
    <t>…an, y señaladamente á de 55 á 70 id.: habas, de 18 á 22: aceite, á 34 rs. arroba menor. las banderas. Toledo__ En la ciudad. Trigo, de 4^ á 4^ rs* fanega: cebada, de 17 á Los Scrmos. Sres. Infantes D. Francisco de Paula Antonio y D. Sebastian 19 id.: aceite, 2 4,0 rs. arroba: vino, á 16 id.: aguardiente, á 30 id. Gabríel con sus augustas Esposas presenciaron estos actos, colocándose al efec Valencia__ .Alicante. Trigo, de 180 á 190 rs. el cahíz: cebada, á 60 id.: to en parage adecuado, asi en el de poner las cruces, como al desfilar la…</t>
  </si>
  <si>
    <t>…ndo que á su modo de ver Napoleón no hubiera admitido las reclamacio zación concedida á los Estados-Unidos. M. Boissy d’Anglas habla contra el nes que hoy se hacen, y que lo mas que se debe abonar á los americanos sa proyectó. El general Sebastian! lo defiende, explicando en un largo discurso 12 millones. los principios que dirigieron ¿u conducta cuando suscribió á nombre de su M. Berryer sostiene la opinión de M. Bignon; cita el tratado hecho en país las estipulaciones que se presentan á la deliberación de la Cámara. M. Í807 para la cesión…</t>
  </si>
  <si>
    <t>…e Africa. Va á reemplazar al vice bastian , Rey de Portugal. Este descubrimiento excitó su curiosidad, y poco des almirante Warren, cuyo servicio temporal ha concluido. pués encontró cinco de Felipe n, Rey de España, otra del Rey D. Sebastian, -dotdeFrancisco i con las arma» de Francia, y una que tenia en el canto Carlos ____ El teniente de la armada Rose ha apresado^ á la salida del rio CaTabar á imperator, en el centro Libertas, y en el reverso una cabeza con una larga la balandra toútica que hacia el tráfico de negros, con 317 de est…</t>
  </si>
  <si>
    <t>…á otros, yTuirorllando en fin á casi todos con las pu Reina nuestra Señora Doña Isaxkl n, y de haber disminuido i 3 brillossea rificaciones-, origen fecundo de perjurios y calumnias, principal fomento de la del Sermo. Sr. Infante D. Sebastian, suspendiéndose »1 propio tiempo la desmoralización de clase tan influyente. pensión del Sermo. Sr. Infante Duque de Lúea, coa supresión dic la de la Se Por eso, Señores, en los presupuestos de gastos para 1835, que voy i ñora Princesa de Beira. tener la honra de presentar al Estamento, se verá que…</t>
  </si>
  <si>
    <t>…ez y lá miseria se apoderaron de los infelices habitantes de las pro- En el presupuesto que presenta el Gobierno sé asignan al Serenísimo 1 vincias; y cuando se veían yermos los campos, despobladas la* ciudades, y ca Señor Infame D. Sebastian 3 millona de reala. La comisión ignoraba el ori si,cegadas todas las fuentes de la riqueza pública; ni menguaban loa gastos de gen y causas en que podía fundarse una consignación tan considerable; y</t>
  </si>
  <si>
    <t>…provincias y ciudades industriosas , serian escasas El Sr. D. Fernando vii hizo en ios artículos 7.° y 9.° del contrato ma no solo las cantidades que fija la co .listón, sino también las que ha propuesto trimonial del Sr. Infante D. Sebastian y su Esposa, la asignación de 55o9 rea el Gobierno. Mas si en ,estos dias se ha de tender compasiva vista á un reino les al primero, y la de 6009 á la segunda; y la comisión es de parecer que de sumido en la mas desconsoladora y progresiva miseria, abrasado en parte por be respetarse esta soberana re…</t>
  </si>
  <si>
    <t>…los de tus hijos en los nuós.= M. Cilios.” nes generales; copias y minutas de otros, cod instrucciones dirigidas á 1 rasar - reccionar las provincias, á recaudar contribuciones, y i promover la deser Cuarta cubierta. «Al Infante D. Sebastian mi muy querido sobrino.” ción de las tropas, concesiones de grados en el ejército, y de grandes cruces, Interior. «Santarem 4 de Octubre de 1833.= En ella le dice que es el le anatemas y proscripciones de muerte y confiscación de bienes á todas las auto gítimo sucesor de la Corona. Los derechos que…</t>
  </si>
  <si>
    <t>…ichos 30 millones, es su conducta , y de que espera ver siempre en ¿1 un apoyo firme del Trono si en el discurso de la discusión se la convenciese dé que debe hacerse alguna dc la libertada Finalmente, la consignación del Infante D. Sebastian, y re-r rebaja, no tendrá reparo en acceder á ella. Los individuos que la componen es L ja que propone la comisión, podrá ser tambien~ficaso motivo de largas dis tán interesados en las economías, porque son contribuyentes, y porque al resti cusiones , que ilustrando al Estamento y á la comisión hag…</t>
  </si>
  <si>
    <t>…ar de los pueblos la discusión sobre la totalidad del presupuesto de casa Real.” es la primera de Jas layes. El Sr.iLopex: «He pedido la palabra en contra, y con efecto mi opiuion «En cuanto á los Infantes D. Francisco de Paula y D. Sebastian haré una no se aviene absolutamente ó en todos sus extremos con la lista civil presen sola observación. Este último ningún título tiene á nuestros ojos ni á los de la tada por el Gobierno, ni con el dictámen de la comi:.-on en el mismo senti justicia; mas el primero, liberal en todas las épocas, pr…</t>
  </si>
  <si>
    <t>…que debiendo el gobierno destinar fondos á diferentes ense- ! luna temporada en dicho Real Sitio. Los Sermos. Sres. Infantes D. Francisco fianzas, existen otras infinitamente mas útiles que reclaman de preferencia los Ide Paula y D. Sebastian , acompañados de sus augustas Esposas, salieron para auxilios hasta ahora dispensados á ia de lidiar toros, y están mai dotados mu I el Real Sitio, el primero á las tres, y el segundo mas tarde, y llegaron todos chos establecimientos de beneficencia que reclaman diariamente la protección j I en el…</t>
  </si>
  <si>
    <t>…El Estamento quedó enterado. • ' Sr. D. Jacinto Kotnarate con la reserva indicada por la comisión. *’ Entró 4 jurar y tomó asiento el Sr. D. Agustín López del Bailo , Procu Se mandó pasar á la comisión de poderes una solicitud de D. Sebastian rador por la provincia de Sevilla. Cuesta , electo.procurador por U provincia de Pontevedra, acerca de varias Concluido este acto dijo el Sr. Presidente: «En atención á que las co eludas para la presentación de sus poderes. Se pasó á la misma comisión una misiones no han presentado sus trabajos , e…</t>
  </si>
  <si>
    <t>…coro debido» La cantidad señalada como á tal Infante, no4a rebaja la co Se leyó el párrafo dd proyecto del Gobierno que asignaba al Sermo. Se misión , y por el contrario la deja según está; lo mismo sucede con la dota ñor Infante D. Sebastian y su esposa 3 millones de rs., y en seguida el dd dicción de su Sra. Esposa, que se halla estipulada en los contratos matrimoniales: támeo de la comisión, que señalaba 1-15&lt;&gt;9 rs. luego la Nación cumple con sus deberes, y la comisión no ha tratado de alte El Sr. Secretario de! Despacho de Hacienda di…</t>
  </si>
  <si>
    <t>…s una razón que me convenza ^ porque si S. A. estaba ausente, hipodido aclarar, prescindiendo de que sean ó no legítimos los créditos ó medios habiYpara que aunéneste caso pudiese prestar'el juramento, pues creo, reclamaciones de D. Sebastian, asi como las demas,sumas, mencionadas, entré; qtie en ¿1 plinto dónde está, ¿ estuviese el Sr* Infante p. Sebastian, tendrá su los cuales hay’ 1.2009:ts. dé atrasos, la' cpmision cree .ijuépoesdé.su encargo? j representante la Nación1 española, ante el cual pudiera haberío^ verificado. Este , eátr…</t>
  </si>
  <si>
    <t>Vitr-ftiodapientáles &lt;!e la monarquía * restablecidas en provecho común por le ■na explicación acerca del particular, la respuesta fue: «percibe de la tesorería potestad soberana* Sermo. Sr. Infante D. Sebastian por asignación que se le hízó en vida del -El Sr. lrifantet&gt;. Sebastian había salido de esta corre pan tomar los ba Sr. 0. Fernando vil, en virtud del contrato dutridtontil, $¿o9/r$., y tu au ños de Sierra Morena, á causa dé la enfermedad de la Serma. Sra. Infanta su gusta esposa Ó0Ó&amp;* augusta Espo…</t>
  </si>
  <si>
    <t>…mpoco rechos y deberes del gobierno con respecto á los extrangerds. se encargaría del ministerio. En consecuencia, añade el mismo periódico, se «Las leyes sobre, la competencia judicial, sobre las quiebras, las prórro pensó en el general Sebastian!, llamándole de la embajada de Ñapóles; pero se gas, las hipotecas' ylqs procedimientos civiles, reclaman modificaciones esen reparó en que aun duraba el motivo que le obligó á retirarse del gabinete, que ciales que deberán ser objeto, de nuestras meditaciones. era el voto de la Cámara sobre la deu…</t>
  </si>
  <si>
    <t>…proyecto de contestación. (Se concluirá.') dicar esto. Hay cosas, como el ganado por ejemplo, cuva conducción podrá ser un hecho inocente ó reprensible. En caso de duda preguntareis con el ma observa que hace algunos dias que el general Sebastian! tiene frecuen yor cuidado i los conductores: procurareis adquirir todos lo1 conocimientos y tes conferencias con el Rey,'como igualmente con el mariscal Gerard, Presi datos posibles: me preguntareis por el camino que sea mas corto. En cuanto á 1 dente del consejo. Mr. Sebastian! ha asistido estos…</t>
  </si>
  <si>
    <t>Sebastian, D</t>
  </si>
  <si>
    <t>D Sebastian</t>
  </si>
  <si>
    <t>…al de Africa. Va á reemplazar al vice bastian , Rey de Portugal. Este descubrimiento excitó su curiosidad, y poco des almirante Warren, cuyo servicio temporal ha concluido. pués encontró cinco de Felipe n, Rey de España, otra del Rey D. Sebastian, -dotdeFrancisco i con las arma» de Francia, y una que tenia en el canto Carlos ____ El teniente de la armada Rose ha apresado^ á la salida del rio CaTabar á imperator, en el centro Libertas, y en el reverso una cabeza con una larga la balandra toútica que hacia el tráfico de negros, con 317 de est…</t>
  </si>
  <si>
    <t>Sebastian, Francisco de Paula Antonio y D</t>
  </si>
  <si>
    <t>Francisco de Paula Antonio y D Sebastian</t>
  </si>
  <si>
    <t>…te las tropas á medida que pasaban, y señaladamente á de 55 á 70 id.: habas, de 18 á 22: aceite, á 34 rs. arroba menor. las banderas. Toledo__ En la ciudad. Trigo, de 4^ á 4^ rs* fanega: cebada, de 17 á Los Scrmos. Sres. Infantes D. Francisco de Paula Antonio y D. Sebastian 19 id.: aceite, 2 4,0 rs. arroba: vino, á 16 id.: aguardiente, á 30 id. Gabríel con sus augustas Esposas presenciaron estos actos, colocándose al efec Valencia__ .Alicante. Trigo, de 180 á 190 rs. el cahíz: cebada, á 60 id.: to en parage adecuado, asi en el de poner las cruces, como al desfilar la…</t>
  </si>
  <si>
    <t>Sebastian, Francisco de Paula y D</t>
  </si>
  <si>
    <t>Francisco de Paula y D Sebastian</t>
  </si>
  <si>
    <t>…ue Ja salud y el bienestar de los pueblos la discusión sobre la totalidad del presupuesto de casa Real.” es la primera de Jas layes. El Sr.iLopex: «He pedido la palabra en contra, y con efecto mi opiuion «En cuanto á los Infantes D. Francisco de Paula y D. Sebastian haré una no se aviene absolutamente ó en todos sus extremos con la lista civil presen sola observación. Este último ningún título tiene á nuestros ojos ni á los de la tada por el Gobierno, ni con el dictámen de la comi:.-on en el mismo senti justicia; mas el primero, liberal en todas las épocas, pr…</t>
  </si>
  <si>
    <t>Sebastian, Infame D</t>
  </si>
  <si>
    <t>Infame D Sebastian</t>
  </si>
  <si>
    <t>…rs. la desnudez y lá miseria se apoderaron de los infelices habitantes de las pro- En el presupuesto que presenta el Gobierno sé asignan al Serenísimo 1 vincias; y cuando se veían yermos los campos, despobladas la* ciudades, y ca Señor Infame D. Sebastian 3 millona de reala. La comisión ignoraba el ori si,cegadas todas las fuentes de la riqueza pública; ni menguaban loa gastos de gen y causas en que podía fundarse una consignación tan considerable; y</t>
  </si>
  <si>
    <t>Sebastian, Infante D</t>
  </si>
  <si>
    <t>Infante D Sebastian</t>
  </si>
  <si>
    <t>…ersiguiendo á otros, yTuirorllando en fin á casi todos con las pu Reina nuestra Señora Doña Isaxkl n, y de haber disminuido i 3 brillossea rificaciones-, origen fecundo de perjurios y calumnias, principal fomento de la del Sermo. Sr. Infante D. Sebastian, suspendiéndose »1 propio tiempo la desmoralización de clase tan influyente. pensión del Sermo. Sr. Infante Duque de Lúea, coa supresión dic la de la Se Por eso, Señores, en los presupuestos de gastos para 1835, que voy i ñora Princesa de Beira. tener la honra de presentar al Estamento, se verá que…</t>
  </si>
  <si>
    <t>…de nuestras provincias y ciudades industriosas , serian escasas El Sr. D. Fernando vii hizo en ios artículos 7.° y 9.° del contrato ma no solo las cantidades que fija la co .listón, sino también las que ha propuesto trimonial del Sr. Infante D. Sebastian y su Esposa, la asignación de 55o9 rea el Gobierno. Mas si en ,estos dias se ha de tender compasiva vista á un reino les al primero, y la de 6009 á la segunda; y la comisión es de parecer que de sumido en la mas desconsoladora y progresiva miseria, abrasado en parte por be respetarse esta soberana re…</t>
  </si>
  <si>
    <t>Sebastian, Infante L</t>
  </si>
  <si>
    <t>Infante L Sebastian</t>
  </si>
  <si>
    <t>…menta ó disminuye las asignaciones dos gastos de algunas de la; épocas anteriores para desear mas honrosa y dulce de las demás'-personas de Real Familia. memoria á la menos abundante y rica, pero mas gloriosa, de Isabel ii. Me El Sr. Infante L&gt;. Sebastian percibe ademas la suma dé 937,500 rs., pro basta ser nombrado Procurador por una de las provincias en que se conoce mas cedente de los réditos del capital de 18.75u9 rs. de la dote y contradote de la el valor del trabajo, para respetar también con mayor escrupulosidad, si asi Sra. Infanta Doña Marí…</t>
  </si>
  <si>
    <t>Sebastian, S</t>
  </si>
  <si>
    <t>S Sebastian</t>
  </si>
  <si>
    <t>…l á 30 y 60 d. f., vol. y firme: 46Í y i A $t y 49 d. f, el acerbo dolor en que ha dejado sumergido á este leal vecindario la temprana Valesid. íd.00 áconsolidados,prima. 10} y 11 á jo y 60 d. f. ó vol. á prima. muerte de su buen Rey. S. Sebastian, reducida á cenizas por la perfidia mas Deuda negociable del 5 p. loo &amp; papel, 00. brutal, ha sido restaurada bajo la sombra benéfica de Fernando: sus manos au Id. sin interes, 00. gustas colocaron la primera piedra de la suntuosa casa consistorial que forma Acciones del banco español, 00. hoy el m…</t>
  </si>
  <si>
    <t>Sebastiani</t>
  </si>
  <si>
    <t>…préstito Real de úL 27. Renta la señal de ataque, se llevaron todo por delante como me prometí: todo des perpetua de id. 37f» apareció, y todo quedó disuclto , llenándonos particularmente de admiración El 26 del que rige salió el general Sebastiani para su trabajada de Ñapóles. el arrojo de la columna del centro, y parte de la 4»a Desde las tres de la tar de, en que principió la acción, hasta los cinco en que terminó, observe por - Ff dia 22 del corriente á las dos de la tarde S. E. Mustafá-Reschid- todas direcciones hechosde heroicidad , ya…</t>
  </si>
  <si>
    <t>…a de id. 65t. cia ciega que todos debemos al sabio testamento de nuestro difunto Anoche, después de la sesión de la Camara de los diputados, M inarca, y al querubín divino qué hoy ostenta su aureola radian el duque de Brogüe.y el general Sebastiani han presentado al Rey te en el trono dé S. Fernando. su dimisión. (Monitor.j "¡Habitantes de Matanzas! Reflexionad que las leyes sabías y Según el Diario de los Debates, no se han terminado las nue venerandas de nuestros abuelos, el derecho sagrado de sucesión , el ras combinaciones ministeriales n…</t>
  </si>
  <si>
    <t>…os'saber que Vi se^cup3~cón toscón lafentradas. Se trata de hacer economías en muchos ramos déla ad~ un celo especial en la mejora tan necesaria dé ia^suerte dé los'labradores y mmjstfaciori, y sobre todo .en la parte militar. El general Sebastiani, embajador propietarios; y esperamos que je les atenderá lo mas pronto que^se pueda sm én NüpoleSj Saldrtí íhañaaa para su destino.*’ (G. dejivgsburgo.) perjuicio de otros intereses. \ '' ‘ «No menos satisfacción nos causan la£seguridades que nos da Vi^bdc^que El Sr.'Littrow, astrónomo de Viena, ac…</t>
  </si>
  <si>
    <t>…re menos rebelde á la voluntad del gobierno. (Diario del Loiret.) trabaja con la misma actividad que si el enemigo estuviese á Jas puertas de la ciudad. La escuadra ha salido con dirección á la costa de Siria, y se han en .____El general Sebastiani, embajador de Francia en la corte de Ñapóles, llegó viado á Ibrahim-bajá 35$ hombres de refuerzo. el 20 de Octubre á Roma, viniendo de Florencia. «Antes de ayer despachó la Puerta un tártaro con pliegos para Mustafáeftendi; y se asegura que se le dan instrucciones muy moderadas. Con todo, so ____Ha…</t>
  </si>
  <si>
    <t>SeBons, Puche y Bautista El Sr VkipritUente</t>
  </si>
  <si>
    <t>Puche y Bautista El Sr VkipritUente SeBons</t>
  </si>
  <si>
    <t>…tud del decreto de las pórtés de! afío era de parecer que debian aprobarse. Asi se acordó. . - -1820\ diócuenfa da haber nombrado para decano suyo al Sr. Becerra., y para Ent/ó i jurar, y tomó asiento dicho seBor. . secretario al Sr. Puche y Bautista. 1 El Sr. VkipritUente ■■ »SeBons, tengo algún motivo para creer que uno ' ' Se léyóla proposición siguiente del' Sr. Cueste: »Pido al Estaroentóíe de los Sres. Procuradores que usó dé la palabra eñ la sesión del dia 17 se cre- ■ sirva dtterminar que coa exclusión púa ahora de. todo otro asunto que no sea ’ yó ofendido de'las tazon…</t>
  </si>
  <si>
    <t>SeBons, VkipritUente</t>
  </si>
  <si>
    <t>VkipritUente SeBons</t>
  </si>
  <si>
    <t>…és de! afío era de parecer que debian aprobarse. Asi se acordó. . - -1820\ diócuenfa da haber nombrado para decano suyo al Sr. Becerra., y para Ent/ó i jurar, y tomó asiento dicho seBor. . secretario al Sr. Puche y Bautista. 1 El Sr. VkipritUente ■■ »SeBons, tengo algún motivo para creer que uno ' ' Se léyóla proposición siguiente del' Sr. Cueste: »Pido al Estaroentóíe de los Sres. Procuradores que usó dé la palabra eñ la sesión del dia 17 se cre- ■ sirva dtterminar que coa exclusión púa ahora de. todo otro asunto que no sea ’ yó ofendido de'las tazon…</t>
  </si>
  <si>
    <t>Secbion</t>
  </si>
  <si>
    <t>…ía del Despacho dé Hacienda se dividirá en El otro agregado tiene: . 6,000 seis secciones. Un sqpemaumerario. . . : 3,000 - ■¡»eccion-de contabilidad.' 1? La subsecretaría, o; sea secretaría particular del ministro. 2? Secretaría general! . 3? Secbion de contabilidad. 4® Sección de • » Total..... .¿28,000 Un gefe de. sección..... 40,000 aduanas y rentas estancadas.' ,57 Sebcion de rentas provinciales, di r\;, . .. _ ^ - Uno id. de mesa....... 30,000 - rectas, decimales ~y demar4 eclesiásticas. 67 'Sección de" Indias. Hacienda de Indias. Art. 27 Hab…</t>
  </si>
  <si>
    <t>Seckendotf</t>
  </si>
  <si>
    <t>…on del mismo tenor y fecha entre los dos Soberanos, por la cual la abo embajador que ha enviado á París. (Periódicos alemanes.y lición del referido impuesto se Cxticódc'al reino de Polonia. (Times.)_____ . . . ITALIA. . ------ El conde Seckendotf queda de encargado de Negocios durante la ausencia Florencia 76, de Agosto. temporal del barón Bulow, embajador de Prusia cerca de nuestra corte. (Post.) Nos escriben de Viena que eb casi todos los paises de la Europa oriental ha reinado desde los últimos días de la primavera una extraordinaria seq…</t>
  </si>
  <si>
    <t>Secrctario</t>
  </si>
  <si>
    <t>…cual sin -presentarse í ' juicio.” ; acreditar la legitima pertencae»-.4*4ót--b¡ct&gt;esvquedábiadclEstado. Leído el art. 5.® el Sr..González (D. Antonio) observó que m qn el ar El Sr. Istúriz repuso que en exacto lo expuesto por el Sr. Secrctario del , tículo S.°, ni en .ninguno del prpyecto.de ley, como ni tampoco en el dictá- . Despacho; pero que uq buque que naufraga no debe considerarse desamparado men de la comisión, veia te pusiese un freno para que los agentes del Gobier ó mostrenco, pues si naufraga es por disposición de la Providencia…</t>
  </si>
  <si>
    <t>Secre</t>
  </si>
  <si>
    <t>…s señores Se declaró el nnto suficientemente discutido, f puesto á votación el ar de la comisión tratar estas cuestiones, so solo por la. justicia, sino por la po tículo, quedó aprobado tal como estaba, habiendo anta declarado el Sr. Secre sibilidad. No preguntaré, pues, si es justo ó no: preguntaré al Gobierno á es tario de Hacienda que esta aprobación no obstaba 4 que te hiciesen las adicio posible cargarnos con estos réditos. Aquí de repente veo que van á ser 24 mi nes insinuadas. a llones de. réditos anuales: esto, unido í lo que…</t>
  </si>
  <si>
    <t>…al orden siguiente: contaduría general de Valores y la dirección general de. Rentas, con ” Enterada la Ri.jsta Gobernadora de! expediente instruido conótnotivo de formándose con el parecer de esta, y mediante haber manifestado el Sr. Secre la nueva tarifa de impuestos marítimos en ios puertos del Estado pontificio, por tario del Despacho de Hacienda que no hay por su parte inconveniente en que la que se establece el pago de 12 bayecos cn vez de los 6 que pagaba antes ca fe lleve á .efecto ,el reglamento propuesto por dicha direccioh gen…</t>
  </si>
  <si>
    <t>…razón 8.a (la El Sr. Alcalá Galiano: «Se ha dicho que el empréstito de Guebhard leyó), y el estar en la posición de ser casi solo por falta de los comptñeroS de en su anularon ha producido funestos efectos 4 nuestro crédito; y el Sr. Secre comisión , me impide entrar de lleno en él, por lo que solo diré que la opi tario ¿e Hacienda ha manifestado haberse remediado en parte, tanto por la re nión del Sr. Argíiclles en evte punto era no cerrar la puerta 4 las reclamacio solución del Estamento de Proceres, cuanto por la modificación del…</t>
  </si>
  <si>
    <t>…enanza al principal, dando parte del sitio del fuego.tos oportunos. Oios guarde á V. E- muchos años. San Ildefonso 8 47. Al corregidor de Madrid compete la dirección gubernativade Julio de 1834. = Francisco Martínez de la Rosa. = Señor Secre de los incendios. En su ausencia al regidor decano dél ayuntamientario del Despacho de lo Interior. to, en seguida al del cuartel en donde ocurra el fuego, y luego á loa demás individuos de ayuntamiento. En falta de todos entenlerá la Di recciori'de la Sociedad de Seguros de incendios. ministerio de lo in…</t>
  </si>
  <si>
    <t>…mas latitud en ellos que en los absolutos. lo Interior presentaría muy en breve al Estamento. Concluyó manifestando , que lejos^te haber desatendido el ministerio la El Sr. Presidente preguntó si en rista.de lo manifestado por él Sr. Secre benemérita clase militar, .la habla mirado por el contrario con cierta predilec tario de Estado los señores peticionarios insistían en que la petición siguiera su ción , sin faltar por eso á las reglas de la equidad: en prueba de lo cual mani curso, Ó si por el contrario lá retiraban; y después dé…</t>
  </si>
  <si>
    <t>…hará otra sal «da. .pura la debida inteligencia* Dios guardé á V. E. muchos años. Puerto-Rico 14 Los árabes traen provisiones á Mostaganem: aquí el mercado está casi de de Noviembre de l833.=Excmo. Sr.=Miguel de la Torrc.=Excmo. Sr. Secre sierto ; pero no carecemos de bueyes para nuestra subsistencia. tario de Estado y del Despacho de la-Guerra. PRU9JAExposiciones d S. M. la Reíha Gobernadora. Berím 16 Je Diciembre. Señora: El Real acuerdo de la audiencia de Puerto-Rico, poseído de todo Las cartas recibidas antes de ayer de S. Peter…</t>
  </si>
  <si>
    <t>…ncias lo exijan, de cuyo molimiento elevaréá V. E.el correspondiente parte.” Loque traslado 4 V. E. para su debido conocimiento. Dios «Scc. Cuartel general de ANUNCIOS, Búrgos 7 de Octubre de 1834-=Excmo. Sr.=:José Manso-zuExcmo. Sr. Secre tario de Estado y del Despacho de la Guerra. ‘, . suscriptores al periódico filarmónico titulado El Eco de la ópera italiana fasaránuo de tipleá recogery bajoel décuadernola óperanuevela Parisinasjrmarcha(3.° y dirimo del tercerde ia Chiardtrimestre)de Rásemberg,que ContienesSo admiten suscripcione…</t>
  </si>
  <si>
    <t>…bajo todos personales hasta 1828, y de 32.625,607 reales desde Junio del misino año. conceptos y los medios que quedan disponibles. En virtud de los Reate decre Esforcémonos, pues, á conservar sus restos. El crédito pedido por el Sr. Secre tos expedidos en 1824 7 1826 se ha logrado averiguar cuánto se recauda; pe torio de este departamento es de 53.035,393 reales 27 maravedís. De esta suma ro ora sea por la negligencia de la admioistrácion central, ora por la insufi ae aplican 36.552,650 reales 20 maravedís al gasto personal, ¡nclu&gt;e…</t>
  </si>
  <si>
    <t>…ob ser pospuesto, y que quizá no lo veríamos presentar en muchos años , cuando tener algún consuelo, sirviéndoles de alivio en su aflicción la esperanza de que en la discusión presente, á pesar de ese calor que ha manifestado el Sr. Secre serán enjugadas sus lágrimas algún-dia. tario de Hacienda, ha abogado por su causa mas bien que la ha impugnado, wLa discusión sobre los presupuestos es la mas escabrosa, v hasta de mas confesando-que debía acelerarse dicho arreglo de la deuda interior. Aun cuando odiosidad; y los Sres. Secretarios…</t>
  </si>
  <si>
    <t>…el colmo de nuestro sBfGñmícttto cosfeL, efectos .oportunos. Dios guarde á V. E muchos años. San Ildefonso han cometido en la noche del 10 al II de este mes, introduciéndote efi 16 de Julio de 1834.—Francisco Martínez de la Rosa.=Señor Secre drillas por nuestro territorio, en número de 19 ,. jffasqtecidosde úna aqjqpe tario del Despacho de lo Interior. niebla: llegaron hasta los muros de Czettin, situado efl fí fronteri del tepáéorio del distrito de Szluiner, con intención de poner -sitio y apoderarse deísta fortaleza. Algunos bosniaco…</t>
  </si>
  <si>
    <t>…Monarcas tempo»a(esj'como duefio de aquel Estado. Éste carácter es Pot.agrejádos. ideiií ídem. 4 129 rs.. 2rj9. Aprobada ••v..--------- - «1—2—.. Espafia como dé ^fie pasó al párrafo relativo 4 Lisboa, haciendo antes presénte el Sr. Secre- —1¡je pertenece á una esjtario ide Estédo que por las,circunstancias actuales-, tenia el ministro plcnipottncúuio enviadei allí 2409.rs. en,vez dé los 2009 asignados 4t,todos por la ........... _ . cps»y que le haoe la cabeza. visibte áJe la”Igíetía , Cuy o ¿arácter le liga con muchos Vínculos y re…</t>
  </si>
  <si>
    <t>…ningún otro tel, que produjo saludables efectos á la causa d^ E-.paña. El. Ministerio actual, gobierno le imulte nt desprecie; asi como no mendiga el reconocimiento de comotan ilustrado y que señaladamente tiene hov en su seno al Señor Secre ninguna potencia; porque ia Reina Isabel ii tiene fundado su trono en tario del Despacho de Gracia y Justicia, i cuya •'•ptnion y juicio defiero en to las leyés y en la voluntad de la Nación. Asi como no meadiga el reconoci das materias, y principalmente en esta , no creerá que soy ligero en la cit…</t>
  </si>
  <si>
    <t>…ácticos, que en la junta de inspección, cuyos trabajos y desvelos merecen particular elogio. los años de 22 y 271 han burlado divisiones de miles de hombres. Dios &amp;c.r= Tora 14. de Mayo de l834‘=Excmo. br.=Manucl Llauder.=:Excmo. Sr. Secre tario de Estado y del Despacho de Guerra. Con fecha 14 del corriente avisa el presidente de la junta superior de Sani dad de Granada que el estado sanitario de aquella capital'y su vega era el mas Comandancia general del principado de Asíúnas.rrExdmo. Sr.: La misera satisfactorio , pues aun de las…</t>
  </si>
  <si>
    <t>…algunas mas Miliciano urbano, no puedan votar cuando se juzgue á algún oficial. Mas lo que los otros individuos. Ademas, no es permanente de ningún modo el cargo mismo podría decirse del sargento, puesto que lo manifestado por el Sr. Secre de fiscal y secretario, puesto que no lo es el consejo: la comisión establece que tario del Despacho de lo Interior no tiene la menor fuerza, ni el Sr. marques sea anualmente renovado; y por eso, faltando ya la permanencia, cree con tampoco ha removido la dificultad que á primera vista se nota. Si el…</t>
  </si>
  <si>
    <t>…misión dé la comisión te separaba de ella. Hacienda presenta su dictámen en los términos siguientes: £{( Sr. Domnq: «Si á todo el que hace renuncia se le hubiera de conce «La comisión ha acordado por unanimidad, y conforme con el Sr. Secre der) inútil hería que las solicitudes dirigidas 4 este objeto pasasen á la comi tario del Despacho de Hacienda t redactar el art. 2.° que te le ba pasado del sión.para su eximen. La causa.que alega el Sr. marques.de Grox para solicitar modo que sigue: su exoneracromio es bastante; es una sordera qu…</t>
  </si>
  <si>
    <t>…r Reina nuestra Señora. conocimiento y usos convenientes. Dios guarde á V. E. muchos años. Ma Impotente ya el partido que sostiene al pretendiente D. Carlos, al ver c. drid 25 de Enero de 1834-=Excmo. Sr.=Manuel de Latre.crExcmo. Sr. Secre modo cómo se ha pronunciado la opinión genera! , al calcular sus continuas tario de Estado y del Despacho del Fomento general dei Remo. derrotas en los campos de batalla, sus enormes pérdidas en todos sentidos, v que insensiblemente se va reduciendo á la sola clase que antepone su propio ín «Excmo.…</t>
  </si>
  <si>
    <t>Secre'ario</t>
  </si>
  <si>
    <t>…en las de delitos, y menos suben á la escala de crímenes, y sin embargo "&lt;&gt;n perjudi Nucione* enteras. ciales ; es decir, que hay una parte de las acciones hutnajj®, que caen bajo ei p&lt; &gt;der «Ha dicho el Sr. López, impugnando al Sr. Secre'ario da lo interior, qu* de la lev; hechos materiales; y cuando mas, la palabra fugitiva,que llega también había dicho el Sr Ministro que esta eti una 'e.r de concon.-ion. No creo qu* is entrar bajo su ddmmio. 2.°: eiertos hechos que ya se excluyen de la jurisdic haya salido asi esta expresión de los Lbro*…</t>
  </si>
  <si>
    <t>Secre, José Manso-zuExcmo Sr</t>
  </si>
  <si>
    <t>José Manso-zuExcmo Sr Secre</t>
  </si>
  <si>
    <t>…a por donde las circunstancias lo exijan, de cuyo molimiento elevaréá V. E.el correspondiente parte.” Loque traslado 4 V. E. para su debido conocimiento. Dios «Scc. Cuartel general de ANUNCIOS, Búrgos 7 de Octubre de 1834-=Excmo. Sr.=:José Manso-zuExcmo. Sr. Secre tario de Estado y del Despacho de la Guerra. ‘, . suscriptores al periódico filarmónico titulado El Eco de la ópera italiana fasaránuo de tipleá recogery bajoel décuadernola óperanuevela Parisinasjrmarcha(3.° y dirimo del tercerde ia Chiardtrimestre)de Rásemberg,que ContienesSo admiten suscripcione…</t>
  </si>
  <si>
    <t>Secre, Manuel de Latre.crExcmo Sr</t>
  </si>
  <si>
    <t>Manuel de Latre.crExcmo Sr Secre</t>
  </si>
  <si>
    <t>…sente á V. E. para su superior Reina nuestra Señora. conocimiento y usos convenientes. Dios guarde á V. E. muchos años. Ma Impotente ya el partido que sostiene al pretendiente D. Carlos, al ver c. drid 25 de Enero de 1834-=Excmo. Sr.=Manuel de Latre.crExcmo. Sr. Secre modo cómo se ha pronunciado la opinión genera! , al calcular sus continuas tario de Estado y del Despacho del Fomento general dei Remo. derrotas en los campos de batalla, sus enormes pérdidas en todos sentidos, v que insensiblemente se va reduciendo á la sola clase que antepone su propio ín «Excmo.…</t>
  </si>
  <si>
    <t>Secreocupa</t>
  </si>
  <si>
    <t>…entos, los mismos tribunales. rente, dejando para después el cuidado de impedir sus estragos.” »K» menester ver tambiien-que-en 4*--aotoaÜdad la prévia censura solo se El Sr. Lasanta deshizo una equivocación que había padecido el Sr. Secreocupa de ciertas obras, y no tiene que hacer con las de ciencias, literatura, tarToííeT Despacho diciendo qué él había sentado que cuando no estaban rett^ historia ; por lo cual no es tan opresiva como se quiere suponer. nidas las Córtes, eia precisamente cuando mas se necesitaba de Ja libertad de «Mas reco…</t>
  </si>
  <si>
    <t>Secrerarío</t>
  </si>
  <si>
    <t>…lo en la bunales de primera instancia estuviesen organizados como los de Francia, muy amortización eclesiástica raqui hablamos de las adquisiciones qué hasta el dia'ha dignos de ser imitados, sobre lo cual llamaba la atención del Sr. Secrerarío de hecho el estableeimiepto de .correos y caminos por medio de la subdelegacion Gracia y Justicia: y que encontrando esta especie de vacio en U lev que se de mostrencos, yqueabora deben pasar al Estado por medio del crédito p.ú- discutía, había prest-ruado la referida adición, que esperaba tomaría el…</t>
  </si>
  <si>
    <t>Secret</t>
  </si>
  <si>
    <t>…la eficífcia qUc-merecen. -’1 ¿ .1 ■■- Dios guárde í Vi Hj miiéhós a^i ^PSffl;i»aliíP^iaiíteSíí*^8«Í&amp;Éftíi- • 1 ■ &gt; 4No’,titáfitó'eiípiláíados en ’ H parte lo» -nombra¿:yalaÍ«s do loe Stcf. gefe* celenüsitñó Señor•=H.uB'BaUnzat.=Sr.'Secret*ri6;&lt;fe1Estidó! jr°d(li ifcapieboed# a*-¿ a., i. ajf.'láift. 2&amp;ó&amp;.au* Hicieron: esta; brillak-' la Guerra. «afSKraí^ _ \ Excmo. Sr.: Tengo la mayon :a y satisfacción en poner ep cococimiento de V. E., que como.á jas oncq ; de «te día salió la’ parti- . gobernador 4ela¡éxpre-¡" •¿EHIflliijíaiiuneiáb…</t>
  </si>
  <si>
    <t>…hacerse las enmiendas que son necesarias en la El Sr. Beida. leyó el art, 135 del reglamento y d’ jo: «Yo creo que es in petición de que se trata.” dispensable que se sigan los mismos trám tes que pira el provecto de contesta El Sr. Secret ario del Des pacho de lo Interior: «Es muy fácil ponerse ción al discurso del trono. Me parece necesario que ademas, de una votación de acuerdo, y yo estoy conforme con la opinión de los Sres. Procuradores. La general haya uua para cada párrafo , porque no se puede impedir , como ha dicho votación…</t>
  </si>
  <si>
    <t>Secreta</t>
  </si>
  <si>
    <t>…gnaría con al Estamento á no aprobar el empréstito de que se trata , que con suma pro indignación, para sostener nuestro dictámen: no hablaré tampoco dei peso que piedad llamó en las discusiones anteriores vutima propiciatoria el Sr. Secreta deberían tener sus razones, no solo por su saber y elocuencia, sino por......” rio de Hacieada. Lo es, sí, señores; y era preciso que lo fue^e para purgar al Un Sr: Procurador se levantó y dijo: «Reclamo el órden, Sr. Presidente: gunos pecados, y pecados muy grandes, que requerían alguna expiación.…</t>
  </si>
  <si>
    <t>…os numeroso, las perso petición en la nueva forma que en su discurso manifestó se le pocha dar. nas que tuvieran que ser agraciadas son mas ó menos en un tiempo que en otro, El Sr. margues de Tovrcwjía: «Aunque lo expuesto por el Sr. Secreta y la ley tiene que tener un carácter de perpetuidad ó duración, sin la cual no es rio de Hacienda hace casi inútil la discusión ulterior, apoyaré la petición en el ley. En el día asciende el ejército á unos 120$ hombres, y en tiempo de paz se concepto de que es oportuna y justa. Oportuna lo es, porque t…</t>
  </si>
  <si>
    <t>…nforme con las demas. Entre tanto el GoKerno, ad no me te posible por lo mismo rebatirlas.” hiriéndose al voto de la comisión, ha dado una prueba de su lealtad y franque El Sr. Samponts dijo que para deshacer una equivocación del Sr. Secreta za, y le ha robustecido de tal manera , que me atrevo á esperar que sea en úl rio de Hacienda, debía advertir que en Cataluña no se deseaba la entrada de timo resultado ei que adoptaxi la sabiduría del Estamento, como el mas pro trigo extrangero. pio para conciliar ta reencontrados pareceres. El Sr…</t>
  </si>
  <si>
    <t>…chos Proceres pasivos que no vienen á tomar parte én las cuestiones impor provincia de Jaén. tantes. ¿ cómo el Estamento ha dé m&lt;5srFarSüTáp5tTdn,ví¿ftdo que'carecc Se TálaOtro en que inserta la comunicación que le hace el Excmo. Sr. Secreta tegridad que le ha querido dar S. M- la Reíva Gobernadora? Si no vjenen rio de Gracia y Juiticia, manifestando que no ha autorizado á ningún Sr Pró- para tomar parte en las discusiones tan importantes que nos a^u-odan, ¿có cer pá't*dejir de asistir al Estamento; antes al contrario, á los residentes…</t>
  </si>
  <si>
    <t>…bierno no ción, como deja indicado en su dictámen, se hará una reseña sobre el recono ha retrocedido en su opinión. Es tan al contrario, que siempre insiste en la cimiento de la deuda activa y pasiva, añadiendo, según ba dicho el Sr. Secreta oportunidad de hacer el reconocimiento del empréstito de Guebhard equipa rio del Despacho dé Hacienda , que los intereses de bonos de Córtes queden rándolo con los otros. " como deuda pasiva; y por lo tamo la comisión está en el caso de no aventurar »L« comisión de ilustres Próceres también manifie…</t>
  </si>
  <si>
    <t>…e ífc necesidad mente como suyas: se hizo una protesta en su nombre. A mí, á mi se me ha de que estos cuerpos tengan reglamento, y habiendo para esto recordado loque hecho aquí. Yo no lo reclamé entonces porque tuvo la fortuna el Sr. Secreta sucedió en las Córtes extraordinarias , añadí que en mi opinión estos cuerpos rio de Estado y del Despacho délo Interior de que no la entehdí bien; si no,yO debían tener la facultad , no exclusiva, porque es imposible que la corona pue hubiera hecho ia reclamación oportuna para que no se atreviese…</t>
  </si>
  <si>
    <t>…e nos ocupa. de los Sres. Piocuradores que se designen por el Estamento para ponerlos en la «Dijo en seguida que el heredero de quien se reclama el pago de cierta lista que debe pasarse al capitán de Guardias. En seguida el mismo Sr. Secreta suma, no puede excepcionar el mal uso que de ella hubiera hecho su antecesor. rio dijo, haber sido nombrados para este acto ai Sr. Butrón y al Sr. Vega y ¡Raro raciocinio por cierto! «Quién ha dicho al Sr. Vega que las naciones son Rio; manifestando el Estamento quedar enterado. herederas de sus Re…</t>
  </si>
  <si>
    <t>…e tratar, cretario. del Despacho, el cual en una ocasión, que no tenia presente, convi y estando las comisiones ocupadas en asuntos importantes, se suspendían las se no enque en cierta sesión se habia omitido un dicho suyo que el Sr. Secreta siones hasta que aquellas hubiesen concluido sus trabajos; y que avisaría al do rio Xrufba y otros Sres. Procuradores, entre,los que se contaba el orador, la micilio de los Sres. Procuradores cuando las mismas lo hiciesen dé tener aque habían recordado. llos concluidos; con lo que cercó la sesión d…</t>
  </si>
  <si>
    <t>…del artículo de la comisión. Por Sobre ambos tengo que adherirme al dí, t ímen de ia comisión. En cuanto al una parte extiende su liberalidad hasta el punto de que los oficiales sean eiezimétodo de verificarse las elecciones, el Sr. Secreta; 10 de '.o Interior hj dicho, dos por los individuos de la Milicia, y por otra se quiere que todo»' tcncan y yo celebro mucho decirlo, que se opone á que se hagan por compañía, para despachos del Gobierno, queriendo asi alejir?e de la corona, al paso que se la evitar el que se reúnan; no porque de…</t>
  </si>
  <si>
    <t>…individuo ¿e ,a c; mi quiere hacer. A este argumento ya han contestado otros señores , y con razón, sión hi^ie'e el resumen prevenido por el momo Cüe todo el que presta tiene necesidad de saber á quien , como y para qué. Ace- Ei Sr. Secreta» ./ó DesfAtno de H.i.-.fud. i "Vent1 rru^A-’ te-rr mas han dicho también que cuando no existían Girtes, ejercía en cierto mudo que vr.lvermi a ievaMir pira hab.ar V4&gt;&gt;re r^TO. t.» seguro qwo e. &gt;r, *&gt;e^reti una especie de futona K&gt;hre la Nacían el Consejo de Castilla, y el procurador no doo que nn…</t>
  </si>
  <si>
    <t>…smo es mas po El Sr. conde de las Nanas: «Para deshacer una equivocación: yo no he derosa la responsabilidad moral que se ejerce por medio de la publicidad de los dicho que he dudado de los principios de S. S.; de consiguiente el Sr. Secreta debates, de los dictámenes y votos de los Sres. Procuradores á Cortes, y hasta rio del Despacho se ha equivocado si cree que he aludido á eso.” de los periódicos y escritos. Esto es lo que yo habré dicho y lo que digo siem El Sr. Palarea: «Para deshacer otra equivocación: la comisión no ha pre, por…</t>
  </si>
  <si>
    <t>…rtos de gloria con sus compañeros y tropa mencionada, bajo el Dios guarde á V. E. muchos años. Manzanares 18 de Abril inmediato mando del comandante de caballería D. José de Bessie- de 1834-=Excmo. Sr.zzEstcban de Mendoza.—Excmo. Sr. Secreta res, entraron ayer en triunfo en esta villa con 18 prisioneros, sa rio de Estado y del Despacho de Gracia y Justicia. liendo á recibirlos toda la población en masa , niños, ancianos&amp;c., sin oirse mas voces, insultos, ni desórdenes que viva Isabel ii, vi Partes recibidos tn la secretaria de Estado y…</t>
  </si>
  <si>
    <t>…órtes si lo hubiera. El'Sr. Secretario del Despacho de Estado: "Me parece icncillo el ca ;Qué sucedió en las Córtes anteriores! Aun cuando se oían los discursos se co mino que debe seguirse en esta materia, pues según ha dicho el Sr. Secreta* " merían inexactitudes, y hubo reclamaciones sobre aquellos mismos discursos del Despacho de Hacienda, se trata de variar una contribución a no sé si . que se habían pronunciado. No hay sino dos modos de evitar esto, á saber: ó la cuota ó eh su índole; y no creo que el Estamento tenga otro camino…</t>
  </si>
  <si>
    <t>…tenerla la comisión que exa pués al Estamento para tenerla presente al dncutirse la petición.” minase un proyecto formado por el Gobierno en vista de los datos que para Después de haber hablado varios Sres. Prócera, y el Excnto. Sr. Secreta élló tuviese; y para aclarar mas la materia, podia aquella.querer ver P°r si los rio del Despacho de lo Interior, i petición del Excmo, Sr. duque dé Rivas se fundamentos; pero que una petición era solo la expresión de la opinión de una declaró el punto suficientemente discutido; y de acuerdo del Es…</t>
  </si>
  <si>
    <t>…n individuo, no indica que deba existir ó deba gastos de viage que tienen los subinspectores.” ser siempre empleado, sino que qyiste ó tiene tal empleo cuando se imprime El Sr.-Vazquez Moscoso: « En vista de las observaciones del Sr. Secreta la guia. (Cuántos aparecen esjjmpsdot todavía en ella, que ya no gozan del rio del Despacho, me parece que no seria malo aprobar la indicación de S. S., destino que tenían al principiarse el año í Todavía se lee en la de este el nom y conceder á los individuos de que se trata el sueldo correspondiente…</t>
  </si>
  <si>
    <t>…to se y directores generales de las armas, bien sean tenientes generales ó mariscales adoptaba para el sueldo del capitán la misma regla que para el de guardia, de de campo, ó-acaso brigadieres: adoptada la regla propuesta por el Sr. Secreta la.Real Persona, polque su ¡dea era la de que se pusiese en equilibrio á uno v rio del Despacho de Estado se originarían infinitas reclamaciones, y serian ju»-. á otro, con tanto mas motivo cuanto que siendo el servic.o muv an lingo, el tas, gravando sobre manera el presupuesto. Ruego, pues, al Est…</t>
  </si>
  <si>
    <t>…s empicados por el El Excmo. Sr. Presidente anunció que la comisión especial nombrada pa Gobierno, á saber ; que estos juren ante el obispo ó eclesiástico de mas dig ra proponer lo conveniente en vista de la exposición del Excmo. Sr. Secreta nidad del pueblo donde moraren,, remitiéndose á estos copia literal autorizada rio de Gracia y Justiwia sobre la conducta del Infante D. Cárlos, había con de la fórmula completa del juramento, dando cuenta á S. M. de haberlo cluid.* su encargo , y se iba á leer al Estamento. Se leyó el art. 36 del…</t>
  </si>
  <si>
    <t>Secreta, Gobernadora</t>
  </si>
  <si>
    <t>Gobernadora Secreta</t>
  </si>
  <si>
    <t>…cercene ó rebaje nada de lo que se ha Se dió cuenta de un oficio del Sr. Presidente del consejo de Ministros, señalado á S. M. la Reina Gobernadora. No; todo lo contrario : en la suma participando haber sido nombrado por S. M. la Reina Gobernadora Secreta de 12 millones que le ha designado el Gobierno, y que justamente ha re-pe rio del Despacho de la Guerra, en virtud de la dimisión hecha por el Sr. Don tado la comisión, cualquiera rebaja, que quisiera hacerse, seria de bien poca Antonio Remon Zarco del'Valle, el Sr. D. Manuel Llauder, y que este ha mo…</t>
  </si>
  <si>
    <t>Secretado</t>
  </si>
  <si>
    <t>…mas noticias, en el espacio de tres dias nadie había muerto en 1 abara; y Madrid30 de Octubre dé 1834--=Etcmo. Sr.ccFI marques de Moncayu=cEx- desde 15 á 21 del actual perecieron 3 personas en Madridanos y 2 «a Vilizescelentísimo Sr. Secretado de.Estado y del Despacho de la Guerra. cusa. i Provincia de Zaragoza. El cantan general de Costilla la Vieja avisa que el subteniente del regi Su gobernador civil dice con fecha 2 5 dd actual, que &lt;ftt lo» dos diaímiento de Extremadura D. Santos Soria, comandante del destacamento de V¡- anteriores…</t>
  </si>
  <si>
    <t>Secretar</t>
  </si>
  <si>
    <t>…asi creo que no existe tal desigualdad que se decant^, y que ames bien este mismo argu el artículo tal como está redactado debe aprobarlo desde luego el Estamento.” mento prueba ta justicia de lo que se expresa en la petición. El Sr. Secretar; j drt Despacho de Estado. "Veo que 7a nueva redacción «Se hi alegado el fuero militar, el de Pró.eres , y el de nosotros mismos que se ha dado á la petición es La siguiente: "Todos los españoles son iguales como Procuradores , para hacer ver la desigualdad. Tampoco es exacta la apli "ante la ley;…</t>
  </si>
  <si>
    <t>Secretar.o</t>
  </si>
  <si>
    <t>…¡_ho; no Leyó un provecto de ley subre los bienes mostrencos. hav que alarmarse, ha sido un particular , amigo mió , á quien se lo he oído; El Sr. Presidente: '»Se imprimirá y distribuirá el proyecto que se acaba ^ pero en fin el Sr. Secretar.o sabe que esa rrd^csion no se hace de baHe, que de leer, y se nombrará una comisión especial, en atención á la impoi tanda de cuesta dinr.ro, y que por consiguiente sale de lo» londos públicos. Con que si esta ley, para que la examine. up empresario se prese. ) quiere acometer esa empresa sin eravim…</t>
  </si>
  <si>
    <t>….*' que permitan las circunstancias del país; pero llamando S. $, bancarrota al pro El Sr. García Carrasco redituó una equivocación que dijo habia padecido yecto del Gobierno, ¿cómo llama al de la ma&gt;oiu de la comisión, que no el Sr. Secretar.o deí Despacho de Hacienda. quiere pagar de ninguna manera una paite principalísima de la deuda á la de 23 El Sr. Prfíiitytí : «Si c&gt;ta discusión ha de continuar hasta que hablen acá ? ¿Que nombre se da á semejante procedimiento? F.so sí que es una verda todos los Sres. Procuradores que tiepen pedida…</t>
  </si>
  <si>
    <t>Secretaria</t>
  </si>
  <si>
    <t>…stificarle aquel hecho, quedará privado de.su tos oportunos. Dios guarde á Y. E. muchos años. S. Ildefonso Í8 de empleo, sueldos y distinciones, ademas de las penas que menezcan Jul jo ,de iB34. = Francisco Martínez de la Roi^a. =Sr. Secretaria del con arreglo á los artículos anteriores. Tendréisfo entendido; y dispon Despacho de lo Interior. dréis lo. necesario á sú cumplimiento. =: Está rubricado de la Real &lt;mano.=Eo .San Ildefonso á lo de Julio de 1854.=A D. Nicolás Ma ría Garelly. REALES DECRETOS. En consecuencia de lo prevenido en el. Re…</t>
  </si>
  <si>
    <t>…re sustitujen estos á aquellos en mil ocasiones. Por lo tanto opino de capitanes, tenientes y subtenientes ó alféreces, con arreglo á lo prevenido que el mismo que hace unos nombramientos debe hacer los otros.” en. el art. 12. El Sr. Secretaria del despacho df Estado' «El Gobierno no halla in Leídos los artículos 1&lt;5, tanto el del proyecto del Gobierno como el del conveniente en eso.” dictamen de la comisión, y no habiendo diferencia entre ellos, quedó aproba £1 Sr. Secretario del despacho de lo Interior'. «Para dar razón de la do sin discusi…</t>
  </si>
  <si>
    <t>Secretaría, García Herreros la</t>
  </si>
  <si>
    <t>García Herreros la Secretaría</t>
  </si>
  <si>
    <t>…óce res. conde de Clavijo, presente; obispo de Córdoba, presente; D. Ramón Gil de El Sr. marques de Guadalcazaf manifestó que en cuanto á la observación del ia Cuadra, presente; conde de Cuba, id.; marques de Espeja, enfermo; Doa Sr. García Herreros la Secretaría no había puesto en el acta su proposición, Martin Fernandez Navarrete, presente; Patriarca de las Indias, id.; D.. Ma jorque cuando había procedido á escribirla, el Sr. Secretario de Estado hab-a fi nuel García Herreros, id.; D. Tomas González Carvajal , enfermo; coritle de jado de tal modo la cues…</t>
  </si>
  <si>
    <t>Secretarío</t>
  </si>
  <si>
    <t>…Fernando vii; pero que (a Et J*r. Calderón Cotiantesi «Habiendo habido en las prolijas sesiones que comisión se convenia en suprimir dicha expresión. ha tenido la comisión sobré el señalamiento de la dotación á la Real familia El Sr. Secretarío de) Despacho de Hacienda preguntó vi ro había algún distintas opiniones respecto de (as cantidades que se habían de asignar al efec voto particular relativo al díctámen que se acababa de leer; y se le contentó to , pues unos señores querían que fuesen 3ü millones, otros 24» y otros 28 que no , pues au…</t>
  </si>
  <si>
    <t>Secretario'del</t>
  </si>
  <si>
    <t>…inados á extinguirlos, y siendo asimismo indis opartmios.'=Rlosguat-deá :Y. E. muchos años.:=S. rüdefonso 7 de Ju pensable cortar de raíz los desórdenes que suelen cometerse cuando lio de; 1834c sFéancisoo. Martínez dé la Rosa. = Sr. Secretario'del ocurren, S. M. la Reina Gobernadora, después de haber oido el dic Despacho de-lo Interior. .--.'I ■ . , . tamen de autoridades y personas instruidas y zelosas, ha tenido á -I'! bien mandar que con calidad de por ahora, y sin perjuicio de las me joras que aconseje la experiencia, se observe la sigui…</t>
  </si>
  <si>
    <t>Secretario'dijo</t>
  </si>
  <si>
    <t>…n que no'había dificultad en Se leyó el acta del dia anterior, y quedó aprobada. que se diese cuenta de él al Estamento. Si no se podía-dar Cuenta , ¿por qué el El Sr. Secretario González, como individuo de la comisión del Código Sr. Secretario'dijo qiie sí? Posteriormente sé presentó otro caso igual; y el criminal:«Con motivo de haberse pasado ayer un oficio de la misma comisión mismo Sr. Secretario dijo-que se tratase en sesión secreta. El Estamento, si manifestando lo urgente que era ocuparse antes del código de procedimientos guiendo la in…</t>
  </si>
  <si>
    <t>Secretario'González</t>
  </si>
  <si>
    <t>…ían como relativas la obligación y el derecho, e! deber gas, conducían i probar su objeto; y continuó diciendo: J la garantía. Prosigo adelante. ■Para que mis expresiones no puedan ofender á determinadas personas, ni «Ha dicho el Sr. Secretario'González que esta garantía de seguridad in se crea que mí objeto es otro que exponer la verdad como yo la entiendo, voy dividual está consignada en nuestras antiguas le jes. No lo dudo. Hay peticio i hacer mi profesión de fe política, sencilla, clara , verdadera , y digo asi: que nes de varias Cortes, en la…</t>
  </si>
  <si>
    <t>Secretario, Aliguel de la Torre.zrExcmo Sr</t>
  </si>
  <si>
    <t>Aliguel de la Torre.zrExcmo Sr Secretario</t>
  </si>
  <si>
    <t>…honor, de gratitud y de deber. * Excmo. Sr. : El jueg^ monedas que de Real orden ! V. E. Dios guarde á V. E. muchos años. Puerto-Rico IJ. de Noviembre de 1833. de las acuñadas con nv. e la pr -...ama. un de di R u ben ira =Excmo. Sr.=Aliguel de la Torre.zrExcmo. Sr. Secretario de Estado y del Doña Isabel 11 , me es muv agrad.ib e: oues e peiu que m Despacho. Padres, ha de il ega: , &lt; i . i Doña Isabel , á merecer le '¿ios 0e nra de la Hs.vú a . c.. ■.! de Pru.^e- &gt; a i). •, p.T4 . T'.~ Excmo. S.: He recibido la Real orden que se ha servido V. E. comuni sas, una de las tan1.…</t>
  </si>
  <si>
    <t>Secretario, Diego Martínez Pela Ezpeleta Excmo Sr</t>
  </si>
  <si>
    <t>Diego Martínez Pela Ezpeleta Excmo Sr Secretario</t>
  </si>
  <si>
    <t>…n perseguidas con la mayor actividad. —de Arroyo deL "Puerco; parad-de Llcrena i D- Diego Alvarez Osorio, que lo Dios &amp;c. Zaragoza 9 de Diciembre de 1834*—Excmo. Sr.rrEl condé do «S de Olivenza; para el de Coria por traslación de D. Diego Martínez^ Pela— Ezpeleta^Excmo. Sr. Secretario de Estado y del Despacho de la Guerra. yo, á D. Juan Muñoz Guerra; para el de Alcántara á D. Joaquín-Casiano do Campos que lo es de Torremocha; para el de Plasencia, por promoción dé Dpn Anselmo León Barradas, á D. Diego Mcndo; para el de Zafra á D. José Lan- El capitán general de Cataluña particip…</t>
  </si>
  <si>
    <t>Secretario, Joaquín de Osma.er Excmo Sr</t>
  </si>
  <si>
    <t>Joaquín de Osma.er Excmo Sr Secretario</t>
  </si>
  <si>
    <t>…1 oficial y 4 de dicha enfermedad, declinaba esta muy notablemente, y en algunos había desaparecido del todo. soldados del batallón de Voluntarios y 2 del de Africa levemente heridos. Dios &amp;c. Vitoria 6 de Octubre de 1834-=Excmo. Sr. = Joaquín de Osma.er Excmo. Sr. Secretario de Estado y del Despacho de la Guerra. Capitanía general de Castilla la Vieja. =Excmo. Sr.=El coronel Don noUA de coxBRCio._Cofrazet0» Je Af¡y í las tret de la tarde. Saturnino Abuin, gefe de la 27 brigada, me dice desde Tejada con fecha 5 del corriente lo que sigue.e=»Excmo. Sr.: Antes de amanecer he…</t>
  </si>
  <si>
    <t>Secretario, José Ramcn Rodil Excmo Sr</t>
  </si>
  <si>
    <t>José Ramcn Rodil Excmo Sr Secretario</t>
  </si>
  <si>
    <t>…de á V. E. Sr. mariscal de campo D. Baldomcro Espartero, en Artaza y Galiana: la bri muchos años. Cuartel general de Muez 3 de Agosto de 1834-=Excmo. Sr.= gada- de,la 4-1, al mando del Sr. coronel Carrera, y la caballería del del Señor José Ramcn Rodil—Excmo. Sr. Secretario de Estado y del Despacho de la D. Bartolomé Amor, en Barnidano, cubrían el camino del valle de Allin por Guerra. la orilla dérécBa tfel rio Baquedano, y servían de reserva en segunda línea á la 5.*: la división al cargo del Bxcmo. Sr. mariscal de campo D. Manuel Loren El comandante de armas de Tolosa…</t>
  </si>
  <si>
    <t>Secretario, José Ramón Rodil Excmo Sr</t>
  </si>
  <si>
    <t>José Ramón Rodil Excmo Sr Secretario</t>
  </si>
  <si>
    <t>…parará deperjuicio.número de Sancha, bajo apercibi Dios &amp;c. Cuartel general de la Guarda 26 de Abril de 1834 ^ ^ doce de ■------ Por providencia del Sr. Balsera, teniente corregidor de esta villa, y escribanía de la noche.=Excmo. Sr.=José Ramón Rodil.—Excmo* Sr. Secretario de'Estado Garamendi, se cira’á Juan González, natural de esta corte, hijo legítimo de Benito y del Despacho de la Guerra. y Marta Toiran, y en caso de su fallecimiento £ los que se crean con derecho a su he rencia, para que dentro de veinie dias, comparezcan por si ó por representante a usar én dic…</t>
  </si>
  <si>
    <t>Secretario, Josó Manso Excmo Sr</t>
  </si>
  <si>
    <t>Josó Manso Excmo Sr Secretario</t>
  </si>
  <si>
    <t>…os empleos; cinco oficiales cuyas charrete— de la destrucción de lo» facciosos Dios &amp;c. Cuartel general de Puedtclarra 1 ü l jas y golas recogió la tropa; y se’ cree ademas con fundamento que haya fa de Setiembre de 1834-r=Excmo. Sr. = Josó Manso.—Excmo. Sr. Secretario de llecido también el titulado brigadier Marrón, por cuanto se le encontró el Estado y del Despacho de la Guerra. adjunto pasaporte y otros muchos papeles que tengo en mi poder, y que remi Parte del general Espartero. tiré á V. E. tan pronto como reúna los que me ofrece de Vicente, y un .hijo de Cuevi…</t>
  </si>
  <si>
    <t>Secretario, Juan González Anlcc Excrao Sr</t>
  </si>
  <si>
    <t>Juan González Anlcc Excrao Sr Secretario</t>
  </si>
  <si>
    <t>…la Reina Go pañías en Gouvea, y seguí mi marcha para este pueblo por el penosísimo ca bernadora. Dios &amp;c. Valencia de Alcántara 10 de Mjyo de 1834»— Excmo* mino de U sierra, haciendo que el coronel comandante de carabineros D. Ra Sr.=Juan González Anlcc—Excrao. Sr. Secretario de Estado y del Despacho món Teje¡rosrcon el escuadrón de su mando Siguiese el alcance por el camino de la Guerra. real hasta dónde se lo permitiese el terreno, sosteniendo una partida del regi miento l.° de ligeros de caballería y de carabineros, que con el teniente Don Excmo. Sr.: El comandante gene…</t>
  </si>
  <si>
    <t>Secretario, Manuel Llauder-rcExcmo Sr</t>
  </si>
  <si>
    <t>Manuel Llauder-rcExcmo Sr Secretario</t>
  </si>
  <si>
    <t>…se sirva elevarlo á noticia de S. M la loe cañones en Deir. i Reina Gobernadora. Dios guarde a V. E^muchos años. Barcelona 19 de Se Quedó custodiándolos el primer batallón de Jacoub-bey i no pudiendo la tiembre de 1834- = Excmo. Sr.=Manuel Llauder-rcExcmo. Sr. Secretario de caballería adelantarse por unos caminos tan malos, dejamos chairo escuadrones Estado y del Despacho de la Guerra. en la llanura: el camino, en efecto, era tan detestable, que yo mismo tuve que andar á pie. Disparamos algunos cañonazos antes de subir la montafia, y luego 1 nos encaminamos en linea r…</t>
  </si>
  <si>
    <t>Secretario, N Lolas de Isídro.rrExcmo Sr</t>
  </si>
  <si>
    <t>N Lolas de Isídro.rrExcmo Sr Secretario</t>
  </si>
  <si>
    <t>…a tarde. nuestra amada Reina y Señora Doña Isabkl ii. Lo que tengo el honor de EFECTOS» PUBLICOS. elevar al superior conocimiento de V. E. Dios &amp;c. Oviedo 14 de Mayo de Inscripciones en el gran libro á 5 p. 100, 00. 1834.=:E*cmo. Sr.=N Lolas de Isídro.rrExcmo. Sr. Secretario de Estado y del Títulos al portador del 5 p, 100,64J al contado: 64J, |, 65 y 64$ á varía» fs., yol. y Despacho universa] d« ia Guerra. Inscripcionesfirme. en el gran libro á 4 P* 100. Títulos al portador del 4 p- 130, $6£ y 56 al contado: 57, 56R 57, 56$, $, ¿ y 56j x de firme á a vana» vo!. a prima…</t>
  </si>
  <si>
    <t>Secretario.deiEstado</t>
  </si>
  <si>
    <t>…l de Píncio 16 de Abril de 18J14 4 ^as correspondencia muy interesante que acompaño á V. E. ,en laque cinco de la mañanaj=Hxcmo. Sr~José Ramón Rodil.—Exettlen- se encuentran alguna^ cartas del ex-general Moreno que dan una tísimo Sr. Secretario.deiEstado y del despacho de la Guerra. idea -de los .inicuos proyectos que tenia* meditados, y un inmenso equipage de la familiadcL Pretendiente y obispo dé León, qué por Ejército de observación'de vanguardia.'Plana mayor.ccExce- ho/haberse descubierto hasta estp momento, no me ha sido posi lentísimo Sr.: Como íuv…</t>
  </si>
  <si>
    <t>SecretarioCaballero</t>
  </si>
  <si>
    <t>…se: aprue entido."" ban los de gástos ó ingreséis para el ífioT835. “ El Sr-, Mhanday Olmedilla: «Fiase el art. 66 del iéglamento.” LeidO éste dictámen dijo el Sr. Presidente que se imprimiría y repartiría Fetdó qúé‘'fúe j&gt;or el Sr. SecretarioCaballero, Continuó pára discutirlo en la sesión dél sábado próximo.; y désputs de anunciar que mi- ‘ El Sr. Éíirañday Olmedilla: «Yo creo que nb hay en este artículo nin- fiani continuarte la discuión pendiente á la hora acostumbrada, ccrró-Ja anón gtttw expresión* qué indique que los asuntos puedan Conside…</t>
  </si>
  <si>
    <t>Secretariopet</t>
  </si>
  <si>
    <t>…l olrjeto dB la asociación' qüed3 défraudad0” : fue apros .. ;El¡3r..jííT&lt;'t.gr/o: » Yodrfendaré- ¡^libertad de imprenta, no solamente bada .quedando desechada la-segunda. 1 - - 1 ' «odiofflerécho', sino, también copiogjrantía*El Sr. Secretariopet £&gt;espacho&gt;b* &lt; ' Se suscitó Uda^ligera d*8W*ion sobre si era d o©-admisible tuia- propon— dicbonqraé el efcsebfrénodb esta libemid' perjudicaba, no sáiainénte áda-í?rin- ció del Sr.Florez Estrada, í laque también suscribió el Sr. González (D. An da * atofe á-todg ila-jsiitope; ' no negarét-por ufa…</t>
  </si>
  <si>
    <t>Secretarlo</t>
  </si>
  <si>
    <t>…original de la memoria leída en el mismo, rela biar el pueblo de U elección. tiva á ia Secretaría del Despacho de su cargo: la que se mandó archivar. El Sr. Mcdrano contestó que no obraban, en poder de la comisión mas ^ El Excmo. Sr. Secretarlo de' lo Interior remitió 250 ejemplares del dic documentos que los comprendidos en el expediente; y que habiendo estado este tamen de la comisión del Estamento de Sres. Procuradores del reino sobre el cuatro ó seis días sobre la mesa, lo podían haber visto todos los Síes. Procu proyecto de ley relat…</t>
  </si>
  <si>
    <t>SecretBrit</t>
  </si>
  <si>
    <t>…ones . indicaciones y oíros nombres peregrinos para no sudttpt&amp;il al £átadq&gt;rna.columbkandar s¡n&lt;&gt; fantastnas y driarquistás. EslO' rioés jetarse á lo que prevenía el reglamento , 6 suplirle. Aqui vemos .también que á ttftclO- El Sr. SecretBrit) riel Despacho devEstado putío te-mer á- los anarquirStas^ pesar* de las trabas del actual , se han adoptado Ciértas prácticas que parece que pero no por eso dejó,de conocer el otro peligro: y ya ajé Oh lado, ya de otro ce han buscado para desacreditar aquel. Se han heihó preguntas al Estamento Opr…</t>
  </si>
  <si>
    <t>Secretisríó</t>
  </si>
  <si>
    <t>' El Sr.'Secretisríó haxiíídode lia-potencía te hallaénelrnismocaso que'otras.,,que hansutpendido elrecosu'lerreno propib, y ha pisado'Sün campo'múáhomasvásto y elevado. EX nocimiento de nuestra &amp;bi*aXDo$* I#asbxxi ,. respecto. de las cuales observa discurso del Sr. ^rgfielles exigei^ue et 'Gobierno entré'enálgunas exp…</t>
  </si>
  <si>
    <t>SecretitrioTroeba</t>
  </si>
  <si>
    <t>…qn la prosperidad pública. Tal es la abolición dé, los mayorazgos y vinculacio áyet; y por consiguiente el articulo no es tal como se ha leído.” nes; institución opuesta á nuestra antigua legislación’, dañosa á las familia?, y Él Sr. SecretitrioTroeba-. «La mesa reconoce esta falta; petó hace pre- perjudicialísiina á la agricultura y población. Haríamos un agravio á la sabidu senfce que le es imposible él leer los artículos con las adiciones , porque se está ría del Estamento si nos detuviésemos á .demostrar las razones que apoyan está én la secretari…</t>
  </si>
  <si>
    <t>Secretorio</t>
  </si>
  <si>
    <t>X DEL DOMINGO *2 DE OCTUBRE DE 1834 ■ ■------ r—r-r—r------------------- :--------- ' 111 ■' ■■ ....' ' ’ Mcmori» sobre los ]&gt;resijp|test/os, leída por el. Sr. Secretorio del de 3(50 hasta 500 reales /subiendoLS^porTOO en fas qne ««»*■ de 249 Despacho de Hacienda eq la sesion del Estamento de Seño reales: .se. limitarin ademas á 'dO^ risdes'&amp;gmsdpasen de esta cantidad. No comiente rebaja la suma jfe 4l-9$3£Q90 reates aplicada 4 retiradosy res Procuradores de líder mismo me…</t>
  </si>
  <si>
    <t>42 . ; Dios iguarde á V. E. jnuchos años. Guartcl general de Salvatierra \Q d$ J ' »»Habitantes de la provincia de Toledo: Al anunciaros que en la capital de; Enero de 1834- = Excmo. Sr.zrGerónimo Valdé$^= Excmo. Sr. Secretorio def Toledo se ha instalado la subdelegacion de Fomento, concias extensas atribu ciones que marca el Reaí decreto de 9. de Noviembre de 1832, no os hablará Estado y del Despacho de la Guerra, % x , el lenguage hinchado y pomposo que tantas veces habéis oido, sin otro resulta El mismo general en. gef…</t>
  </si>
  <si>
    <t>Secretsíió</t>
  </si>
  <si>
    <t>…pero esos que tasto pohdera dSr* 8e-S entre nosoitos «**nta de ¡tr¿stdy)en breve tSetnpb, y habiéndose leidó el ar erébriorsop debido; éjosrdéfectos r&amp;r.suiadramistracíon* alcontrario i-cnando tículo 78 del tetglamento, dspUscél-Sr. Secretsíió de'Io Interior, qfloio qué so se. trató déarrancar ia libertád de imprenta-fue uno de ios motivbs trias poded eonsiderafet'Cotno una propobtcíbn bolo era-una* adición firmada por dos seño— rosos.pata derrocar al^Gobiemo.íTodavía. debo maoi£estar.btrq. razón muy res que la oomision podia'óáiois^aipt…</t>
  </si>
  <si>
    <t>Secundo, Gerónimo Valdes.sEx</t>
  </si>
  <si>
    <t>Gerónimo Valdes.sEx Secundo</t>
  </si>
  <si>
    <t>…y al alférez del regimiento caballe Casi lo que restaba de la noche se pasó en bailes y diversiones particulares. ría deí Rev, l.° de línea, D. Martin Ramírez. Dios guarde á V. E. muchos años.=:Valencta 3 de Mayo de l834-=Excmo. Sr.=Gerónimo Valdes.sEx Secundo día. celentísimo Sr. Secretario de Estado y del Despacho de la Ouerra. A las doce una salva de 21 cañonazos. Se había construido un bergantín Columna móvil del norte de Valencia. = Excmo. Sr.: E*ta mañana solo goleta de 7 pies de manga y 24 de eslora , con la arboladura, cabullería, velá- pude noti…</t>
  </si>
  <si>
    <t>Seeretarici</t>
  </si>
  <si>
    <t>…dde ciertas doctrinas, tratarte evitarlo. » le Inglaterra? lo quo fiá^dicho es?tquevetta~,w» wao&amp;^KM^a&amp;'aw^aáííMv^porque ¿leá la airiV ■- - 1 - ; - hay Botados que ■ cuentan-, es» »*» nmíuctot como muy gloriosa. Nrf he-dleh» - El'Sr.’Seeretarici d$í petpúliqtle Estado manifestó que nó había ’prófe— tampocoque apetezco una revolución *n Ejp»fia; lci que ne rnanifesúdo es que rido en su doansq» ningún* expresíon qúe' ptidleraaludir i desprecio'hicis el estamos en ella, no que la -deseo. Tampoco He eKdio^queeoavengaia^B^sate^ B Sr. pieópminte…</t>
  </si>
  <si>
    <t>Seézejjwto</t>
  </si>
  <si>
    <t>…asignación separad* á. lq. au gusta ^rnaúáde^^. remameí,pués,wbe que ha s;da costumbre, úátáai alte tjub.ha*lídoS. S.al argumentó &lt;fue yq.tii- rada en £spafia,rio*éfiaIa’r taI asignáqipn'á los Infanfe* hasta qoe.llégan ¿cierce si Sr., Seézejjwto jáe-HafJe^da,Cabártnente nose deducode naís razones .la : c^W¡ifa^.'ff»y)á;&lt;fefea&gt;:J*.'!|Ü tfe dicbo Sr , pnés hice ver que agúíendci.la ilación «de^c; que dqriá^S^^i yen^fclíimosi parar eñ dairm • argumento fuente simó á los enemigos de las monarquías, sobre no poderse hacer en ellas econo- pues c…</t>
  </si>
  <si>
    <t>Sefratio</t>
  </si>
  <si>
    <t>…Este •eria un nuevo estímulo para seguir con honor la carrera, y un premio de otras varias reflexiones , apoyó la petición tundido en su utilidad. justo de los servicios hechos en ella; servicios que siempre han llenado de glo El Sr. Sefratio ( D. Francisco) dijo que aun guando estaba persuadido de ria 4 la Nación. las buenas intenciones del actual ministerio , creía debe tomarse en considera «Es claro que al proveer dichos destinos en los militares , debe también ción la petición presentada al Estamento, porque nadie aseguraría a este…</t>
  </si>
  <si>
    <t>Segovia, Valentín Dumingo</t>
  </si>
  <si>
    <t>Valentín Dumingo Segovia</t>
  </si>
  <si>
    <t>…virtud de providencia del tribunal de comercio está señalada para el dia ¿0 de Ocrubre prnotimo, y hora de las clnéo de 1* tarde, en la oasa consular plazuela del Angel, la jutita de acreedores 4 los bienes que dejó el ya difunto D. Valentín Dumingo» Segovia... ..... 10 i U Set. . . 83 - .36 26 personadel comercioauturfeadaque fuecondepoderesta Corre.bastante(Se anunciapreviniéndosepata que queconcurrande no verilearlaaquellas porleesipararáo yo* Vegas d» Matul». EJmm ídem..... 4 f 1 perjuicio» ' SN LA IMPRENTA REAL.. /</t>
  </si>
  <si>
    <t>Seguí, Fr José</t>
  </si>
  <si>
    <t>Fr José Seguí</t>
  </si>
  <si>
    <t>…lo que se previene en el título u del Estatuto Real; Vigodet, teniente general de los Reales ejércitos, del Consejo Real; lie venido en nombrar Proceres del Reino, para que tomen asiento conde de Monterron; conde de Villafuertes; D. Fr. José Seguí, ar en el Estamento de esta clase, juntamente con los Grandes de Espa zobispo de Manila; D. Blas Alvarez de Palma, arzobispo 4e Graz ña á quienes de derecho corresponda, por reunir las condiciones nada; D. Manuel García Herreros, del Consejo Real; D. Diego,Gleprefijas en la citada ley fundamental,…</t>
  </si>
  <si>
    <t>Seguier</t>
  </si>
  <si>
    <t>…rea cámara be ios TARES»__Sesión del 2 de Mayo* eficaces para el Ínteres y protección de sus propios Estadogy-tió quiere sin em¿ bargo, á causa de sus disposiciones amistosas con respecto á ja'Suiza , ponerlas J El vicepresidente,barón Seguier nombra varias comisiones. Una está encar en ejecución; pero' si para 6nes de este mes no se accede gestas peticiones, se gada de examinarlos títulos del conde Eugenio d’Artorg, autorizado por arde, vería , aunque á pesar suyo, precisada, de acuerdo con los déma&amp; Estados de la tranza del ^Ley gara s…</t>
  </si>
  <si>
    <t>Según</t>
  </si>
  <si>
    <t>…igadier D Baldomero Espartero, comandante general de Vizcava, y en ofi cio de ayer se me dice lo riguienfe: Comandancia general de Vizcaya. Lxce- í La augusta Reina Gobernadora ha oido con. particular satisfacción la an lentísimo Sr.: Según dije á V. E. desde Oñate en mi parte dei, 2 del actual tecedente noticia oficial del estado progresivo de mejoras de la isla de Puerto- ha quedado enteramente batida y dispersa la facción de mas de hombres, j Rico, dignándose mandar que se exprese á aquel capitán general lo satisfecha que al mando…</t>
  </si>
  <si>
    <t>…o de Guernica 5 de Octubre de 1834* » res. ... 16 17 =Excmo. Sr.=Baldomero Espartere.=Excmo. Sr. Secretario de Estado y del f 86 en el veDespacho, de la Guerra. Puente la Reina.. 26 Set á 2 Oct.&lt;) cándano. 24 18 1 5A militaExcmo. Sr.: Según mi parte de ayer vendrá V. E. en conocimiento de res. . . . 13 7 que el dia 5 fueron dispersadas por mi columna, y alejadas de estas cercanías, KÚvaforada........... 24 á 26 Setiem. 15 8 1 las facciones que se habían reunido con el objeto de atacar nuevamente á Ber- Tudela................ 197 69 g…</t>
  </si>
  <si>
    <t>…os rebeldes , que en fuerza de 3 á ¿fé hombres se hallaban situados en Vjdaurre y pueblos inmediatos. / ANUNCIOS. "Tablas de logaritmos para los números y los senos por M. Lalande, con sus ex Capitanía -general de Aragón.z=Excmo. Sr.: Según parte que acabo de reci plicaciones y apLicacionés, puestas en castellano por D. Roberto Mw-naiz, &lt;jq ¿oipo bir del gobernador de Alcañiz, fecha 11 del corriente, ten£o el honor de po en 8.,° de bellísima, y correcta edición á 20 es. rústica y 23 en pasta.—Continuación ó’ segunda partp del Maoual d…</t>
  </si>
  <si>
    <t>…16 DE ABRIL DE I834. ^ i ARTICULO DE OFICIO. Varíes recibidos en el ministerio de la Guerra. últimas poblaciones- Los facciosos comenzaron á retirarse precipi tadamente cuando me vieron subir la cuesta, pero no observaron Excfno. Sr.: Según aviso del corregidor de la ciudad de Cala- á unos 30 celadores que hice adelantar por mi derecha , y que sa Üorra, lá facción de Navarra al mando de Zumalacarregui, entró lieron antes que ellos á cierta posición dominante. en aquella ciudad por sorpresa , sin saberse su venida hasta pocos En este e…</t>
  </si>
  <si>
    <t>…ui.=Sr. comandante del fuerte de Calahor ra. — Contestación.~ Esta casa fuerte no se entrega á enemigos de Comandancia militar de la provincia de Logroño. = Excmo. la Reina nuestra Señora, y sus defensores están resueltos á morir Sr.: Según el parte que recibí en la tarde de ayer del comandante entre sus ruinas-= Fuerte de Calahorra 9 de Abril de l83.4-=Ande las armas de la ciudad de Calahorra, entró en ella entre dos y tonio Aznar.reSr. titulado comandante general de Navarras Qui media y tres de la tarde del 9 la facción de Zumalacar…</t>
  </si>
  <si>
    <t>…n al tiendo nuestra pérdida en la herida de un.soldado del provincial punto de Magara y monte de la villa de Arenas de S. Juan. de Segovia, que al parecer no es de gravedad.” Debo manifestar á V. E. que otro urbano de caballería, Don Según avisos y partes que he recibido, la facción de Bárcena y José García Martin , me fue muy útil pata prevenir á algunos de Arroyo que tuvo la"osadía de penetrar en Liébana, ha sido disper infantería que se hallaban en las avenidas de la dilatada línea de sada completamente por las compañías del provi…</t>
  </si>
  <si>
    <t>…menes públicos de ortología, caligrafía, El parte á que se rebere cí oficio anterior es el siguiente: Comandancia catecismo, aritmética , álgeb*a, principios de geometría, agrimensura , gramá militar de Puente la Reina. = Excntfn Sr.: Según ofrecía á V. K. en mi pane tica española, latinidad, retórica, poesía, geografía , cronología , lengua fran de esta mañana , y hecho ya de todos los datos necesarios para detallar circuns cesa y dibujo. El copcurso fue todos los días numeroso y brillante, y quedó tanciadamente la ocurrencia de la n…</t>
  </si>
  <si>
    <t>…go, á Descuente de letra» Málaga, i td.con el objeto de oponerse á cuanto sea susceptible de favorecer las empresas de . Lóndres 9O días, Santander, $ b. Ib. . i k 4 p* 100 al aña. los rebeldes españoles. BiLbae* par. Santiago, 1 d. Según parte del gobernador de Alcañiz al capitán general de Aragón , el 13 fueron perseguidos vivamente á las inmediaciones de aquel punto los dis ANUNCIOS. persos de la facción de Carnícer, deshecha el 12 por el coronel Nogueras, Aquel cabecilla huyó con solos seis caballos. Obras que se hallan de venta…</t>
  </si>
  <si>
    <t>…Targarona en los puñ etes por donde ha pasado; y como su fuerza se va disminuyendo, ?c conten tará sin duda con la guerra de proclamas. \ o espero , según las disposiciones El mismo,con fecha 18 remite el parte que sigue: «Excmo. Sr.; Según el ■que he tomado, que esta gavilla, que se halla encerrada entre las nieves, aca parte recibido del alcalde de Brias, ha sido segunda vez alcanzada la facción bará muy pronto, y su gefie se verá precisado á volver al país de donde ha del rebelde Merino por la columna de Guadalajara, habiendo dejad…</t>
  </si>
  <si>
    <t>Segun</t>
  </si>
  <si>
    <t>…lvora en costales, como si fuera una carca de es tiércol. »Se han presentado un sargento y 13 soldados, entre ellos dos cabos fu- » ESPAÑA. gados de los de Basilio, del 2° de linea, prisioneros en Alegría, con. cinco fu siles. P. D. »Segun parte que acabo de recibir del comandante de armas de HaMadrid 26 de Diciembre. ro, parece que 2ütr hombres de la facción de Sopelana se hallan en S. Vicen te, y otra parte di dicha facción en la Bastida.” Partes recibidos en la secretaria de Estado y del Despacho de la Guerra. El brigadier goberna…</t>
  </si>
  <si>
    <t>Según, C</t>
  </si>
  <si>
    <t>C Según</t>
  </si>
  <si>
    <t>…raordinario la muchísima fatiga que se ha sufri Doña Marta de la Soledad Sausa........................... ..................... 10 do, por lo que creo de mi deber recomendarlos á V. E. . Un caballero á nombre de L. E. S. D. R. M. D. C.................... 500 ” Según lo referido por un rebelde moribundo , hemos impedido la reunión La comunidad de S. Felipe el Real de esta corte............................... 1200 del cura Merino y demas canalla en Torducles , donde se hallaban citados. La D. Salvador María Grané* 120 rs., y la misma cantidad mensual-* justicia…</t>
  </si>
  <si>
    <t>Según, Figueras</t>
  </si>
  <si>
    <t>Figueras Según</t>
  </si>
  <si>
    <t>…drán noche.=Excmo- Sr.=El marques de Rodil =Excmo. Sr. Secretario de Estado coadyuvar el Sr. mariscal de campo D. Baldomcro Espartero desde Vizcaya, y del Despacho de la Guerra.” según se lo he indicado, y desde la Borunda el Sr. brigadier Figueras. „Según los partes que reciba arreglaré mis operaciones, y ojalá fuesen tan «Excmo. Sr.: Hoy, como he informado á V. E. ayer, emprendí una ba satisfactorias que me obligasen á despachar una buena nueva ¿V. E. ganando tida al país en diferentes direcciones hácia Roncesvalles, y dirigiéndome con horas: á lo meno…</t>
  </si>
  <si>
    <t>Según, R M D C</t>
  </si>
  <si>
    <t>R M D C Según</t>
  </si>
  <si>
    <t>…lacer extraordinario la muchísima fatiga que se ha sufri Doña Marta de la Soledad Sausa........................... ..................... 10 do, por lo que creo de mi deber recomendarlos á V. E. . Un caballero á nombre de L. E. S. D. R. M. D. C.................... 500 ” Según lo referido por un rebelde moribundo , hemos impedido la reunión La comunidad de S. Felipe el Real de esta corte............................... 1200 del cura Merino y demas canalla en Torducles , donde se hallaban citados. La D. Salvador María Grané* 120 rs., y la misma cantidad mensual-* justicia…</t>
  </si>
  <si>
    <t>Segura, D Ramón</t>
  </si>
  <si>
    <t>D Ramón Segura</t>
  </si>
  <si>
    <t>…mai»etvtb ¡ correaje y mur.icionesque recibirá eV comisario peligro, y los pusieron en gran desórdeo; y adelantándoseal mjsmo tiempa dél ejército de S. M. C.'qúe nombre el general cngefe ni intento. otra guerrilla pandada!'por el teniente ,D. Ramón Segura con la fuerza dé 85 También han de qúedar y ser entregados ai cxprésadócomiiario, los. Urbanos, se:trabó ún fuego tah'vivo por frente y espalda , que sin embargo de cationes, municiones, caballos que, pertenecen a lác'hacienda Real , monturas, estar el enemigo parapetado en un punto muy ventajoso,…</t>
  </si>
  <si>
    <t>Segura, D Toribio</t>
  </si>
  <si>
    <t>D Toribio Segura</t>
  </si>
  <si>
    <t>…fatiga , y el del mismo cabecilla ópera la Semíramís: después tocó en el mismo instrumento la señorita Doña en un hato se tendió de cansado. Nada mas ba llegado á mi noticia que merez Tomasa Basabe y Caro, acompañándola el hábil profesor D. Toribio Segura ca el superior conocimiento de V. E., cuya vida guarde Dios muchos años. con el violín, unas lindas variaciones en que hizo sobresaliente muestra de so Almagro 21 de Abril de l834~Excmo. Sr.=Francisco RamoneL.=Excclcnsingular habilidad en el bellísimo arte-de Ja música, acompañando también un tísim…</t>
  </si>
  <si>
    <t>Segura, Ramón</t>
  </si>
  <si>
    <t>Ramón Segura</t>
  </si>
  <si>
    <t>…¡ correaje y mur.icionesque recibirá eV comisario peligro, y los pusieron en gran desórdeo; y adelantándoseal mjsmo tiempa dél ejército de S. M. C.'qúe nombre el general cngefe ni intento. otra guerrilla pandada!'por el teniente ,D. Ramón Segura con la fuerza dé 85 También han de qúedar y ser entregados ai cxprésadócomiiario, los. Urbanos, se:trabó ún fuego tah'vivo por frente y espalda , que sin embargo de cationes, municiones, caballos que, pertenecen a lác'hacienda Real , monturas, estar el enemigo parapetado en un punto muy ventajoso,…</t>
  </si>
  <si>
    <t>Segura, Toribio</t>
  </si>
  <si>
    <t>Toribio Segura</t>
  </si>
  <si>
    <t>…y el del mismo cabecilla ópera la Semíramís: después tocó en el mismo instrumento la señorita Doña en un hato se tendió de cansado. Nada mas ba llegado á mi noticia que merez Tomasa Basabe y Caro, acompañándola el hábil profesor D. Toribio Segura ca el superior conocimiento de V. E., cuya vida guarde Dios muchos años. con el violín, unas lindas variaciones en que hizo sobresaliente muestra de so Almagro 21 de Abril de l834~Excmo. Sr.=Francisco RamoneL.=Excclcnsingular habilidad en el bellísimo arte-de Ja música, acompañando también un tísim…</t>
  </si>
  <si>
    <t>Seguramente</t>
  </si>
  <si>
    <t>…dé la utilidad y-ventajas de proclamar estos principios ge Me parece'pues que esteres cuanto puede decirse sobre las impugnaciones nerales , yo creo que es imposible imaginar una impugniciori mas amarga que la que ha hecho el Sr. Caballero. Seguramente no me hubiera determinado fi éstísuficietiremente discutida. ilmrl l« .l» rte I. n..-;..-. q-l- --.. ir pr.'n ¡p rPflbfg'lH'" -fl 1 El'Sr. Súntafi- He dicho queje trataba de despreciar el Estatuto Real Constituciones. Presentar esia especie de tabla necrológica , ese panteón de en el eóhceptb de ha…</t>
  </si>
  <si>
    <t>Seguramente, Caballero</t>
  </si>
  <si>
    <t>Caballero Seguramente</t>
  </si>
  <si>
    <t>…ata dé la utilidad y-ventajas de proclamar estos principios ge Me parece'pues que esteres cuanto puede decirse sobre las impugnaciones nerales , yo creo que es imposible imaginar una impugniciori mas amarga que la que ha hecho el Sr. Caballero. Seguramente no me hubiera determinado fi éstísuficietiremente discutida. ilmrl l« .l» rte I. n..-;..-. q-l- --.. ir pr.'n ¡p rPflbfg'lH'" -fl 1 El'Sr. Súntafi- He dicho queje trataba de despreciar el Estatuto Real Constituciones. Presentar esia especie de tabla necrológica , ese panteón de en el eóhceptb de ha…</t>
  </si>
  <si>
    <t>Sei, Ísa</t>
  </si>
  <si>
    <t>Ísa Sei</t>
  </si>
  <si>
    <t>…de su fomento no pueden obtenerse sin poner en consonancia Almuñecar. (el ayuntamiento de) ambas administraciones; se ha servido mandar S. ¥■ la Reina Gobernadora, jagon. (el intendente de) , en nombre de su amada iiija la Reina Doña Ísa*Sei jj , que el Sr. D. Joscf Éocairente. (el ayuntamiento, justicia y claro de) ; d- lmar, consejero honorario de Estado y director general di .Aduanas en co— Burgos, (el ayuntamiento de) j misión; D. Luts Soxela, gefe de la Ordenación de presupuesto; D. Cristóbal Cas pe. (el ayuntamiento de) Bordiu, o…</t>
  </si>
  <si>
    <t>Seinsjut, José</t>
  </si>
  <si>
    <t>José Seinsjut</t>
  </si>
  <si>
    <t>…dando los arríen de lo: Sres. D. José Quintana Llarena, D. Juan Antonio Cologan y Franquía los que aquella comprendí» en los términos en que lo habían sido en las dis y Sr. marques de Villafueite, por las islas Canarias; y las de D. José Seinsjut cusiones respectivas á los mismos. y D. Esteban de Ayala, por la de Pueito-Rico. ’ El Sr. García Carrasco leyó el siguiente dictámen de la comisión de Ha Igualmente sé d ó cuenta de la elección de decanos y secretarios hecha por cienda respecto al proyecto de ley presentado por el Sr. Secretario de…</t>
  </si>
  <si>
    <t>Selsky</t>
  </si>
  <si>
    <t>…os de Jerez y Sanlúcar, el restablecimiento de la junta de comercio en es lovia ha publicado el siguiente aviso: » El primer director del banco de Polo ta última ciudad y suTbfmacíoñ'enXa precedente, éP reglamento para el mar nia conde Selsky, habiendo tomado una parte activa en la insurrección de tillo de Cádiz, y el establecimiento de corredores en Algeciras, son otros tan 1830, salió comisionado por los rebeldes á los países extratrgeros,'y restableci tos puntos que cautivan la atención del gobernador civil, y que procura ádcdo el ór…</t>
  </si>
  <si>
    <t>Selvaggi</t>
  </si>
  <si>
    <t>…esentábase en "cálle di Santa ‘Lucía, y que despues'desfilaron delante de S. M. Estas tropas se una casa de comercio de la ciudad donde había tomado las letras ; v como era componían de cuatro divisiones, mandadas por el teniente general Selvaggi y allí muy conocida la fi-ma del banquero que la había dado, y que nuestro 'tó’mar&amp;cal^s de campo Pásrore, Statella y Luchessi-Palli de Campo-Franco. hombre ademas no ponía muchas dificultades para el descuento, fácilmente lo Él teniente general marques Nunziante, comandante de todas las tropas que e…</t>
  </si>
  <si>
    <t>SemoUnos, Juan Antoha</t>
  </si>
  <si>
    <t>Juan Antoha SemoUnos</t>
  </si>
  <si>
    <t>…acante pdr separación de D. Segundo Herrero, i Cáridad. • w ; r glaseó Amaró? s^Lope*: para U. ,de JBaeqi,. vacante, rór exoneración de El comandante general de Burgo* en ^3 de Marzo da parte de lá vigorosa í&gt;. foA María Rodas, á D. Juan Antoha SemoUnos: pdr»la de Ciempozue- resistencia hecha1 por la guarnición, de Orduña contra las facciones de SopeUna, ;fo®, vacante por la.de ,£&gt;. Felipe Arráez y. Gómez,» D. Antonio Martínez Ibarrola y Aguirre, que fueron á atacarla en dos dias consecutivos. Estos bao* GÜ; para la de Peñaranda de Duero á. D. Ant…</t>
  </si>
  <si>
    <t>Semper, Joan</t>
  </si>
  <si>
    <t>Joan Semper</t>
  </si>
  <si>
    <t>…sde Castillo., en su marché para Aragón, y con fecha del 18, dice al —Resúmen de la historia de las antiguas Córtés de España, escrito en francés por capitán general de Valetacía, que el' rebeldeCarnicer, perseguido por la cólunw D. Joan Semper, español» fiscal que fue de la chanciilería de Granada: traducido al ira de D. Mariano Taba enea, se hallaba en el Puerto; y que fin. su consecuétl- eascellano por D. Toribio Picatoste. £1 nombre dél célebre jurisconsulto español Don cia.habia determinado salir al dia siguiente piara aquel punto, a…</t>
  </si>
  <si>
    <t>Sémtiiág</t>
  </si>
  <si>
    <t>…tura, cuyo ensayó y bosquejó les grangea tanta gloria y honor, Haiaburgoy 00. •ftafcridojini i pe. hoy de LetcfH «taoi elraUüdq ip que es.en las psettejas,. jr,que depongan repenUaj&gt;jpi^^te las lóndzes,/SSf. , 'rÁ g9'' diaa.." '• d. Sémtiiág6,S*nun4ec,,| Ild*id* preocupaciones dé toda su adólraccíqcni,', dejándolas, en el colegio ,'jupfamenl* •on sus estantes y cartapacios, inútiles ya para ellos? _ “ .. ! . • A propósito de esto méíiuerdt) siempre de ano de mis discípulos, jóven r r; .v¡•'-.c, da talento; .agBidil^e^eícpMníí, flc*4 «s…</t>
  </si>
  <si>
    <t>Señ, Francisco</t>
  </si>
  <si>
    <t>Francisco Señ</t>
  </si>
  <si>
    <t>…cción. pueblos, inmediatos acudió á restablecer el órden con el mayor entusiasmo, pro — — Diario del alma en presencia de su Dios , compuesto y dedicado al Rey nuesrró tegiendo, al decidido y activo capitán retirado de infantería D. Francisco Señ ir D. Fernando vu, por el Rmo. P. Fr. Ram-m Manrique. Un tomo en 8.a, edi ción de 18H, a 4 rs. rama y 7 pa&lt;ra caíaos. Contiene este libro diferentes actos de Ufaneo, ‘ subdelegado de policía de aquel partido, ha obtenido el feliz re gracias y peticiones al Supremo Hacedor, sti Santísima Madre, Sant…</t>
  </si>
  <si>
    <t>Señales</t>
  </si>
  <si>
    <t>…es políticas. En él no veo mas que la expresión de usa se&lt; claro que por mi parte de soberanía he entendido dar al pueblo en cesídad, que nació y debió nacer al mismo tiempo qae la revAvla Carta su lugar de la misma manera que al Rey. (Señales de cion. Los hechos que después se han seguido han podido haceúa aprobación.) mas ó menos imperiosa; pero estaba en la naturaleza de las cous, «Lejos de participar de la repugnancia que se encuentra en ar sin que se haya hecho mas que retardar su declaración. mar al poder contra ¡as asociaciones polít…</t>
  </si>
  <si>
    <t>Senen, Francisco Senen y</t>
  </si>
  <si>
    <t>Francisco Senen y Senen</t>
  </si>
  <si>
    <t>…: para el de Barbastro á D. Anselmo Baquedano: PROVINCIA BE ZARAGOZA. para la alcaldía mayor de Campillos á D. Antonio María Castilla; para la Manifiesta su gobernador civil en oficio de 28 del mes próximo pasado de S. Clemente í D. Francisco Senen y Senen: para la de Murcia á D. José que en los. dias 25 , 26 y 27 curaron en aquella capital 14 personas, fallecie García Veigara: para' la de Cartagena á D. José Macho de Quevedo: para la ron 3 y quedaban 14 enfermas: en los otros cinco pueblos de la misma priV-de Valls á D. Jaime Prenafeta: para la de C…</t>
  </si>
  <si>
    <t>Senesplcda, Carlos</t>
  </si>
  <si>
    <t>Carlos Senesplcda</t>
  </si>
  <si>
    <t>…Vacante la plaza de oficial segundo de la contadu nientes D. Joaquín Taubia, con grado de capitán; á D. Pedro Arnau, y á los ría de Propios de Orense, se ha dignado S. M. conceder el ascenso i ella al subtenientes del 12 de línea D. Carlos Senesplcda, que desempeñando las fun oficial tercero D. Roque Soriano, y nombrar para cata resulta á D. Pedro de ciones de ayudante contribuyó al buen éxito de esta sorpresa; y al de la mis la Reguera y Quiroga, oficial cesante de la contaduría del mismo ramo de la ma clase D. Manuel Urriendo. Corona. , Tambi…</t>
  </si>
  <si>
    <t>Senna, Bruselas de Diciembre Gobernadora y la</t>
  </si>
  <si>
    <t>Bruselas de Diciembre Gobernadora y la Senna</t>
  </si>
  <si>
    <t>…currido en esta Cor anécdota.*(Gaceta de las Postas.") te, S. M. la Reina Gobernadora ha resuelto trasladarse á ella, con toda la Real Fam-ilia, en el dia de mañana. XBLGICA. . , S. M. la Reina nuestra Señora, su augusta Madre la Reina Bruselas 1.° de Diciembre. Gobernadora y la Senna. Sra. Infanta Doña María Luisa, continúan sin novedad en su importante salud en el Real sitio del Pardo. Podemos asegurar con toda certidumbre, sin que sea posible .desmentimos ni aun con apariencia de razón, que el primer acto de política exterior que ha ejecutado el duque de Wellington, después de…</t>
  </si>
  <si>
    <t>Señor, Butrón</t>
  </si>
  <si>
    <t>Butrón Señor</t>
  </si>
  <si>
    <t>…as aisladas que en todos los pueblos hay, y terminó no cohocia ningún límite, por lo mismo que la voluntad del legislador era la apoyando la petición. suprema ley, el único modo que les quedaba á los pueblos de templar esta ex El Sr. Butrón. «Señor: me parece que estamos divagando y haciendo in cesiva arbitrariedad, era oponer á ella una desobediencia organizada. terminable la cuestión. Yo la creo ya decidida ^-reducid* sólo á dos puntos muy «Bastaba la voluntad del Soberano para mandar, es verdad; pero también sencillos: l.° á suplicar á S.…</t>
  </si>
  <si>
    <t>Señor, Leopoldo</t>
  </si>
  <si>
    <t>Leopoldo Señor</t>
  </si>
  <si>
    <t>…o he consultado mas que el amor gicas Fernando Delisle.c= A S. E. el general Guidq, ministro de relaciones que todo francés debe a su patria. Estoy seguro de haiiar en vosotros ios mis exteriores,” - mos ^cniimicntc*. . Carta Jel Rey Leopoldo. Señor y gran amigo: llamado por la Providencia Bajo las órdenes de mi predecesor,,cu yo méritc y brillantes cualidades y los votos de un pueblo libre ,• he subido al trono de la Bcigica resuello i con- aprecio como el que mas, habéis dado pruebas de intrepidez; continuad siendo tagrar mis conatos á su pros…</t>
  </si>
  <si>
    <t>Señor, Ma</t>
  </si>
  <si>
    <t>Ma Señor</t>
  </si>
  <si>
    <t>…ta autógrafa siguiente , que honra á la vez al poeta y cursos , y se dieron muchos brindis á S. M C. la Reina de España, á la Rei al augusto Monarca que la ha escrito. na Gobernadora, á las Cortes de España y Portugal, á SS. "MM. Doña Ma «Señor consejero Luis Tiek: Gomo creador de la nueva poesía romántica ría 11 y Duque de Braganza, á la consolidación de la libertad constitucional en habéis prestado un servicio eminente á la literatura alemana. Con motivo del Portugal, al ejército libertador lusitano, y á sus dignos gefes; concluyéndose…</t>
  </si>
  <si>
    <t>Señor, Morales'</t>
  </si>
  <si>
    <t>Morales' Señor</t>
  </si>
  <si>
    <t>…ra co-r ritado, quiso que se expidiese una órden para que en lo sucesivo las sentencias metido el Estamento en admitir la adición del Sr- Morales.” del Consejo no se llevasen á efecto sin dar cuenta al Rey. ¿Y qué respondió el El Sr. Morales'. «Señor: dos motivos muy poderosos me han estimu Consejo á esto? Cuidado que repito había muchas hechuras del favorito en él; lado á hacer la adición que be tenido el honor de hacer presente al Esta pero la honradez española no pudo menos de manifestarse. Respondió que el mento; el primero es el convencimi…</t>
  </si>
  <si>
    <t>Señor, Muy</t>
  </si>
  <si>
    <t>Muy Señor</t>
  </si>
  <si>
    <t>…leta^eExcmo. Sr. Secretario Señor.rr Juan de Prat.zeExcmo» Sr. primer Secretario de Estado y - del Des- - de Estado y del Despacho de la Guerra» pacho. Capitanía general de Aragón.—Flan a mayor.=Priroera brigada del ejérci Excmo. Sr.: Muy Señor mió: Á la una de este día ha llegado á esta ciu to de Aragon*=Núm. 15&lt;5.=Excmo. Sr.: A las diez de fa mañana de este dia dad, escoltada por una partida con su oficial, la esposa de Ztíitialafcarregttí' y Be llegado ¿Leste punto, donde descansaré hasta la tarde, que pasaré á pernoc sus dos hijos: pa…</t>
  </si>
  <si>
    <t>SEÑORA', NUESTRA</t>
  </si>
  <si>
    <t>NUESTRA SEÑORA'</t>
  </si>
  <si>
    <t>…gnado S. Al. aprobar la insta catoria siguiente; lación de la junta provincial de ¿unidad de la poruña v supresión de Ja supe ' AL CUMPLEAÑOS rior del distrito de la captt.in.a general de Gabina, conforme a lo resuelto por J)B LA REINA NUESTRA SEÑORA' punto general acerca de estas c arponad mes, y ha quedada S. M. muv satisfe DOÑA ISABEL II, cha de los servicio» pota-! ■&gt; p&gt;r i.-*» v «..res de dicha junta superior , v espe EL ALISTENTE INTERINO cialmente por cu pieMcieníe el cor.de Je Cartagena, quien en este encardo ha DE ESTA CIUDAD. dado nuev…</t>
  </si>
  <si>
    <t>Señora, Antomo Luis Gómez</t>
  </si>
  <si>
    <t>Antomo Luis Gómez Señora</t>
  </si>
  <si>
    <t>…es y Spibola, encargados por U Real maestranza de Ron délos que montában:"¿s1e oficial me recomienda ¡a intrepidez del joven cadete da de presentar 4 b. M. la siguiente exposición: D. Ramón ViUalva, y el buen p&lt;¿&gt;rte dei teniente D. Antomo Luis Gómez. &gt; . Señora: Con up^gozo y una gratitud que ctl vano intentaríamos expresar, T0J0 lo que pongo en el superior conocimiento de V. E. deseando lo eleve á ha recibido la Reat maestranza de caballería dé Ronda el aviso ministerial de rol.cía de S- M..-la Rbína Gobernadora, n\uvrndo tamb.cn al electo una la última…</t>
  </si>
  <si>
    <t>Señora, D Antomo Luis Gómez</t>
  </si>
  <si>
    <t>D Antomo Luis Gómez Señora</t>
  </si>
  <si>
    <t>…n de Virues y Spibola, encargados por U Real maestranza de Ron délos que montában:"¿s1e oficial me recomienda ¡a intrepidez del joven cadete da de presentar 4 b. M. la siguiente exposición: D. Ramón ViUalva, y el buen p&lt;¿&gt;rte dei teniente D. Antomo Luis Gómez. &gt; . Señora: Con up^gozo y una gratitud que ctl vano intentaríamos expresar, T0J0 lo que pongo en el superior conocimiento de V. E. deseando lo eleve á ha recibido la Reat maestranza de caballería dé Ronda el aviso ministerial de rol.cía de S- M..-la Rbína Gobernadora, n\uvrndo tamb.cn al electo una la última…</t>
  </si>
  <si>
    <t>Señora, Gobernadora INGLATERRA</t>
  </si>
  <si>
    <t>Gobernadora INGLATERRA Señora</t>
  </si>
  <si>
    <t>…ICIAL. toridades militares cooperen á ello con la energía y facultades pro* NOTICIAS EXTRANGERAl pías de su autoridad. D$ Real orden &amp;c. Aranjuez 5 de Abril de 1834=Zarco. (Continuación del correo anterior.) Exposición í S. M. ¡a Reina Gobernadora. INGLATERRA Señora: La divina Providencia , que contra los débiles esfuer Lándres 21 de Marta. zos de los que se interesaban en anticipar á V. M. los justos senti Hé aqM' un extracto sucinto del largo discurso de M. $bc*l td: mientos, prolongó la vida del mas amado Soberano el Sr. D. Fer pedir los papeles oficiales r…</t>
  </si>
  <si>
    <t>Señora, Nico</t>
  </si>
  <si>
    <t>Nico Señora</t>
  </si>
  <si>
    <t>…D. José Manuel de Arizaga, que actualmente la sirve. Tendréislo entendi Exposición &amp; S. M. la Rmisa nuestra Señora.do, y lo comunicareis á quien corres ponda. crEstá rubricado de la Real mano.=En Aranjuez á 23 de Abril de 1834-=A D. Nico Señora: El alcalde mayor y ayuntamiento de la villa de Aulás María Garelly. tol tienen el honor de presentarse á V. M, con los roas finos res petos de lealtad y sumisión, congratulándose, asi por la exaltaciónPara la plaza de fiscal de lo civil de la Real audiencia de Bur al trono de las Españas de su leg…</t>
  </si>
  <si>
    <t>Señora, Palmer</t>
  </si>
  <si>
    <t>Palmer Señora</t>
  </si>
  <si>
    <t>…á que han asisti Dean y cabildo de la «anta iglesia de Jaén, Blas de Haya» vocal secretario. do el conde y coodesa Grey, el conde de Tankerville y su esposa f el príncipe y princesa de Lteven, el barón \Yessenberg , barón Boiow , vizconde Palmer»- 1 Señora: La ciudad de S. Juan de Jaruco, en la siempre Bel isla de Ceba, io.n , caballero Lima, embajador de Portugal, y otras varias personas de dis ha celebrado con el mayor júbilo el dia en que su ayuntamiento, llevaodo al tinción. frente 4 su justicia mayor el conde de Mopox y de Jaruco, ha jurado á la…</t>
  </si>
  <si>
    <t>Señora, Palmerston</t>
  </si>
  <si>
    <t>Palmerston Señora</t>
  </si>
  <si>
    <t>…l jura ide Madrid. mento que prestan hra diputados cuando hacen , su, entrada en la Cámara. Exposición á S. M. la Rzura Gobernadora• _E1 príncipe Tallcyrand y el encargado de Negocios de España tuvieron ayer una entrevista con el vizconde Palmerston. Señora: El ayuntamiento de Santander, uniendo su voz á la de la ciudad F1 buque de vapor Roy al Willtam, procedente de Lisboa, llegó ayer á ■de Burgos, no puede menos de hacer á Vü. M. la manifestación mas sincera de Portsmouth en 120 horas sin noticias de ínteres. Los pedristas tienen su aten |su gratitu…</t>
  </si>
  <si>
    <t>Señores, D’Argout</t>
  </si>
  <si>
    <t>D’Argout Señores</t>
  </si>
  <si>
    <t>…l medio de reducir el carbón á una sustancia blan tremos.) ca. A M. Faraday, el primer químico de Inglaterra, se ha enar r Algunos diputados: Al orden 1 al orden! gado el exámen de este producto extraordinario. El autor del desEl Sr. D’Argout-. Señores, no me comprendéis.... , cubrimiento ha enviado algunos pedazos de este carbón al químico En el centro: Esperad que haya silencio. francés M. A. Chcvalier, que se halla en Lóndres para examinar ’ El Sr. jyArgout: Señores, lo que únicamente quiero decir, el estado de la higiene pública y de la salub…</t>
  </si>
  <si>
    <t>Señores, Este</t>
  </si>
  <si>
    <t>Este Señores</t>
  </si>
  <si>
    <t>…ho; y para la segunda el de decano en el Sr. Cano Manuel la comisión de Hacienda en lí de Setiembre de 1834.(padre) , y el de secretario en el Sr. marques de la Gándara. La comisión de Poderes dtp cuenta de haber examinado los de D. Este Señores: Al entrar en el exámen del proyecto de ley presentado por el ban de Ayala , electo Procurador por la isla de Puerto-Rico, igualmente que Sr. Ministro de Hacienda al Estamento de Procuradores en la sesión de 7 da los documentos de su aptitud legal, y de que hallándolos arreglados era de dic- Agosto…</t>
  </si>
  <si>
    <t>Señores, José SerrañoSalas</t>
  </si>
  <si>
    <t>José SerrañoSalas Señores</t>
  </si>
  <si>
    <t>…edo.eeD. José Serrano Salas. sus poderes existen en el ministerio de lo Interior.4’ Gu¡púzcoa.=D. José Joaquín dé Mariítegui. El Sr. Acevedo manifestóle» motivos porque no se había presentado el Sr. Procurador, electo por Oviedo, D. José SerrañoSalas. Señores cuyos poderes han sido desaprobados, y se ignora su reemplazo. El Sr. marques de Montesa manifestó que el Sr. Procurador electo por la Teruel. eeD. Juan Romero Alpuente. provincia dé Soria So hallaba en el ejército del Norte. Santiago de Cuba.ee D. Pedro Echavarria y Ogaban. El Sr. Ayala dijo que e…</t>
  </si>
  <si>
    <t>Señores, Lafayettri</t>
  </si>
  <si>
    <t>Lafayettri Señores</t>
  </si>
  <si>
    <t>…gación de pensar y proceder de consuno, es como puede haber gobierno consti como cosa concluida, y que nadie vendrá á despojar á^Francia de su posesión. tucional. Hace ver en seguida que la mayoría de las Cámaras y el ministerio General Lafayettri «Señores : Si la discusión general de la minuta de son independiente, y que siendo idénticos el sistema y la conducta del gabine respuesta al discurso del trono no fuese á mis ojos ibas que una lid parlamen te y la mayoría, es preciso confesar que el ministerio y las Cámaras están con taria, me hubiera abst…</t>
  </si>
  <si>
    <t>Sentados, José María Moscoso de Altanara Art</t>
  </si>
  <si>
    <t>José María Moscoso de Altanara Art Sentados</t>
  </si>
  <si>
    <t>…ttéñdmq, y' dispondréis lo. necesario para su cumplimiento.^dCstá ru-^ SMp» toma» asiento. Lo cual podrán verificar todos, después de oir feriéado dí‘ílS0Wé!al4dSri6.1*íEñ ~S'. II3éfóñs8~aTTcIe Julio de 1834.=uSl 'estás palabras. D. José María Moscoso de Altanara. Art. 12. Sentados todos, excepto los Secretarios del Despacho, los Gefes de Palacio y demas personas de la Real Comitiva, que - MINISTERIO HE ESTADO. permanecerán en pie, el Maestro de Ceremonias impondrá silencio; y en seguida el Presidente del Consejo de Ministros, después de be 'Ceremonial ¡pie deberá observarse…</t>
  </si>
  <si>
    <t>Seoane</t>
  </si>
  <si>
    <t>…la comisión no 1c consta, n¡ al Estamento tampoco de oficio, el*que el Sr. S;oane haya sido reclamado por el general Mina. La comisión no ha te EÜTAVBKTO DB SEÑORES PROCURADORES* nido presente orro documento que la exposición del Sr. Seoane; y si bien cree que esté llamado por el general Mina,, no lo sabe oficialmente, y por lo tan Sesión del dia 20 de Noviembre. to no podía fundar en ello su diccameq. B^jo este supuesto creo que en lo que el Estamento debe ocuparse ahora es en si entrará ó no en él dicho señor.” Se abrió á las once y…</t>
  </si>
  <si>
    <t>Seoane, Antonio</t>
  </si>
  <si>
    <t>Antonio Seoane</t>
  </si>
  <si>
    <t>…tado: 194á 41 d. L ó voL, á prima de 1 p. 100L Deuda negociable de 5 p. 100 k papel, 18f al contado. PROVINCIA BE SEVILLA. Id. sin Ínteres, 10£ al contado; 11, 3 dleziseisavos á 60 d. f. ó vol* Acciones del banco español, 00. Sr. D. Antonio Seoane. cambios. Amsterdam, 00. París, 16-J á 6* Cádiz, 14 b. Sevilla, 4 K Bayona, 00. Alicante, á corto pla Coruña, | d. Valencia, 4 id. Burdeos, 00. zo, £ b. Granada, id. id«. Zaragoza, | d. Partes recibidos en ia secretaría de Estado y del Despacho de la Guerra. Hamburgo, 00. Barcelona, á ps. Es., Málag…</t>
  </si>
  <si>
    <t>…que tenia, me veo precisado á entrar en las de política Se mandó pasar á la comisión de Poderes el testimonio del acta de la interior y exterior. Seré breve por lo agotada que se halla ya la materia, puea elección á favor del Sr. D. Antonio Seoane, por la provincia de Sevilla: á la la han ilustrado lo bastanTe talentos muy superiores al,mió. de Hacienda una memoria sobre este ramo, escrita por D. Manuel María Al- «Se trata de si el empréstito de Guebhard es legítimo, y de ji hay justi varea; y á la del presupuesto de Estado los documentos qu…</t>
  </si>
  <si>
    <t>…el dictámen ciedades económicas, ó de academias literarias, que por estos títulos hayan sido de la comisión. nombrados electores, &lt; dejarán de serlo cuando acabe el tiempo de sus destinos! Se dió cuenta de una exposición del Sr. D. Antonio Seoane., en que ma El abogado con estudio abierto, ¡ dejará de ser elector cuando cierre su estudio! nifestaba que habiendo recibido &amp; un mismo tiempo el nombramiento de Pro Cuando los Procuradores á Cortes volvamos á reunimos en otra legislatura, se curador á Córtes por elección de su provincia de Sevilla…</t>
  </si>
  <si>
    <t>…El Gobierno tuvo presente esto cuando se vió precisado por las circuns La misma comisión dió cuenta de que habiendo examinado la solicitud del tancias á presentar la actual ley supletoria, y es bien seguro que según el pro- , Sr. D. Antonio Seoane, Procurador electo por la provincia de Sevilla, pidien supuesto que se apruebe para el año 35, si se aumentan ó disminuyen las con do su exoneración , y hallándola fundada por no tener dicho señor la renta le tribuciones , cualquiera diferencia que hubiera -en ello se cargará ó descargará gal sufic…</t>
  </si>
  <si>
    <t>Seoane, Antonio Vega</t>
  </si>
  <si>
    <t>Antonio Vega Seoane</t>
  </si>
  <si>
    <t>…proyecto, si se hacen algunas variaciones, También se ha servido nombrar S, M. para la vara de alcalde mayor 1.® ue á su entender, resultarán de la discusión. Del mismo parecer es el general de Zaragoza, vacante por promoción de D. Antonio Vega Seoane, i D. An 3 amin,El generalreservándoseLeydethacerconfiesaalgunasque observacionesla comisión hacuandomejoradose discutanel proyecto;los artículos.mas tonioVila Cedrón.Becerril de Hinojoisa, y para la alcaldía mayor de .Mantilla® i IX Joan sin embargo advierte que ha dejado un^ vacío en el artículo…</t>
  </si>
  <si>
    <t>Seoane, D Antonio</t>
  </si>
  <si>
    <t>D Antonio Seoane</t>
  </si>
  <si>
    <t>…contado: 194á 41 d. L ó voL, á prima de 1 p. 100L Deuda negociable de 5 p. 100 k papel, 18f al contado. PROVINCIA BE SEVILLA. Id. sin Ínteres, 10£ al contado; 11, 3 dleziseisavos á 60 d. f. ó vol* Acciones del banco español, 00. Sr. D. Antonio Seoane. cambios. Amsterdam, 00. París, 16-J á 6* Cádiz, 14 b. Sevilla, 4 K Bayona, 00. Alicante, á corto pla Coruña, | d. Valencia, 4 id. Burdeos, 00. zo, £ b. Granada, id. id«. Zaragoza, | d. Partes recibidos en ia secretaría de Estado y del Despacho de la Guerra. Hamburgo, 00. Barcelona, á ps. Es., Málag…</t>
  </si>
  <si>
    <t>…ito que tenia, me veo precisado á entrar en las de política Se mandó pasar á la comisión de Poderes el testimonio del acta de la interior y exterior. Seré breve por lo agotada que se halla ya la materia, puea elección á favor del Sr. D. Antonio Seoane, por la provincia de Sevilla: á la la han ilustrado lo bastanTe talentos muy superiores al,mió. de Hacienda una memoria sobre este ramo, escrita por D. Manuel María Al- «Se trata de si el empréstito de Guebhard es legítimo, y de ji hay justi varea; y á la del presupuesto de Estado los documentos qu…</t>
  </si>
  <si>
    <t>…bado el dictámen ciedades económicas, ó de academias literarias, que por estos títulos hayan sido de la comisión. nombrados electores, &lt; dejarán de serlo cuando acabe el tiempo de sus destinos! Se dió cuenta de una exposición del Sr. D. Antonio Seoane., en que ma El abogado con estudio abierto, ¡ dejará de ser elector cuando cierre su estudio! nifestaba que habiendo recibido &amp; un mismo tiempo el nombramiento de Pro Cuando los Procuradores á Cortes volvamos á reunimos en otra legislatura, se curador á Córtes por elección de su provincia de Sevilla…</t>
  </si>
  <si>
    <t>…l. «El Gobierno tuvo presente esto cuando se vió precisado por las circuns La misma comisión dió cuenta de que habiendo examinado la solicitud del tancias á presentar la actual ley supletoria, y es bien seguro que según el pro- , Sr. D. Antonio Seoane, Procurador electo por la provincia de Sevilla, pidien supuesto que se apruebe para el año 35, si se aumentan ó disminuyen las con do su exoneración , y hallándola fundada por no tener dicho señor la renta le tribuciones , cualquiera diferencia que hubiera -en ello se cargará ó descargará gal sufic…</t>
  </si>
  <si>
    <t>…menor de vatios artículos de comercio. tuno reforzar la que marchaba por Fredes y la Balconera. En su consecuencia Ha logrado que se hayan construido cementerios en algunos pueblos, y que dispuse que al mediodía del 12 saliese el coronel D- Antonio Seoane con las &lt;n otros se esten construyendo; y no descansará hasta que los haya en todos. compañías de Almansa que me acompañaban á reunirse á dicha fuerza, y que Ha pedido noticias sobre hospicios,, hospitales y-ptiQS cstablecjpiicntqs de verificado tomase el mando de unas y de otras, con la orden de q…</t>
  </si>
  <si>
    <t>Seoane, D Mateo</t>
  </si>
  <si>
    <t>D Mateo Seoane</t>
  </si>
  <si>
    <t>…l Gobierno de que en el pueblo de Valléis se ha ANUNCIOS. " bían observado algunos casos de enfermedad sospechosa, excitó el zclo'del acre lecciones escogidas de latinidad para traducir con suma facilidad.lo* autoresclá~¡. ditado profesor D. Mateo Seoane, á fin de que se trasladase allí, examinara los slcos, por p. Plácidq María. Orejea, profesor de hugiaoid*d*t.eAYzl,ladoli¡d: tercera enfermos, y propusiera lo que estimara conveniente para su mejor asistencia y* edición. En esta obriri se encuentran reglas para traducir comparando las doi Íéflguas…</t>
  </si>
  <si>
    <t>Seoane, Domingo Antonio de Vega y</t>
  </si>
  <si>
    <t>Domingo Antonio de Vega y Seoane</t>
  </si>
  <si>
    <t>…ando en la en depósito, y se hubiesen trasbordado á otros navios, estarán su provincia de Zaragoza, según aparece del parle remitido por el sub jetas á papar un derecho de 2 por 100, y ademas los gastos de su delegado del fomento D. Domingo Antonio de Vega y Seoane conservación , regulados conforme á una razonable proporción. con fecha de 15 de Marzo último. Art. 5.a El derecho de trasborde, ó de no-exportacion , sera Se han dictado providencias decisivas para impedir que los ga deducido del precio del arancel en los artículos de ella, ó del va nados entren á…</t>
  </si>
  <si>
    <t>Seoañe, José</t>
  </si>
  <si>
    <t>José Seoañe</t>
  </si>
  <si>
    <t>…iles al Estado, he Venido en cisco Martinez de la Rosa, Presidente del Consejo de Ministros. concederle la gran cruz de la Real y distinguida órdetl de Car los ut. Tendreislo entendido, y lo Comunicareis á quietl cor res Para que D. José Seoañe, oidor de ía Real audiencia de Gra ponda.riEstá rubricado de la Real mano. Aranjuez 17 de Abril bada , pueda atender exclusivamente al restablecimiento de su salud, do J334-—A D. Francisca Martínez de la Rosa, Presidente del gravemente alterada por muy prolongadas dolencias, hé venido en Consejo de…</t>
  </si>
  <si>
    <t>Seoane, Mateo</t>
  </si>
  <si>
    <t>Mateo Seoane</t>
  </si>
  <si>
    <t>…truido desde el parte anterior. La Milicia urbana se halla establecida en tódos los pueblos en que puede El estado sanitario de Vallecas, que remite con fecha de ayer el profesor estarlo y se instruye apresuradamente. comisionado D. Mateo Seoane ofrece los datos siguientes; Asegura que las escuelas de primeras letras están mas generalizadas cnaquaIIa provincia que lo que pudiera creerse, y que se va á proveer 'por oposición Dia 30 de Junio. la cátedra de aritmética y geometría práctica de dicha capital. Ha admitido en favor de la junta de…</t>
  </si>
  <si>
    <t>…os y salido de esta corte para el primer punto el profesor de medicina D. Nicolás órden de $. M. de los registros originales del Real y general archivo de la Corona de1 Alfaro, pasando al segundo desde Bal lecas el de igual clase D. Mateo Seoane: Aragón: por D. Antonio de Capmani y de Montpalau: vertidos fiel y literalmente acompaña el siguiente del Idioma antiguo lemosino al castellano, y exornados con varias notqs históricas* geográficas y políticas. Un cuaderno en 4.0 marquilla, edición de 1786, á 6 rs. rama y Partt sanitario do Balitea…</t>
  </si>
  <si>
    <t>…o de que en el pueblo de Valléis se ha ANUNCIOS. " bían observado algunos casos de enfermedad sospechosa, excitó el zclo'del acre lecciones escogidas de latinidad para traducir con suma facilidad.lo* autoresclá~¡. ditado profesor D. Mateo Seoane, á fin de que se trasladase allí, examinara los slcos, por p. Plácidq María. Orejea, profesor de hugiaoid*d*t.eAYzl,ladoli¡d: tercera enfermos, y propusiera lo que estimara conveniente para su mejor asistencia y* edición. En esta obriri se encuentran reglas para traducir comparando las doi Íéflguas…</t>
  </si>
  <si>
    <t>Sepúlveda</t>
  </si>
  <si>
    <t>…cuatro rea'es de vellón justos, ó treinta y cuatro la materia con sus luces, han sido los Sres. D. Manuel Viado, D. Gerónimo cuartos, en lugar de los treinta y dos que estaban prefijados; el real de plata de de la Escosura, y el Sr. Sepúlveda, de la casa de la moneda. Debemos hacer su especie diez y siete cu irtos, en vea de diez y seis; y el medio real dé plata conmemoración de estos señores, y hacerles la merecida justicia. ocho cuartos y medio ó treinta y cuatro maravedís. ••Pato ahora á leer la exposición y los dos ptoyectos de ley.…</t>
  </si>
  <si>
    <t>Ser, Francisco</t>
  </si>
  <si>
    <t>Francisco Ser</t>
  </si>
  <si>
    <t>…do tan sucin El brigadier D. Francisco Serrano desde Serpa con fecha del 30 de Mayo ta que nos deja el sentimiento de no haber encontrado mas peligros; Lo di dice lo que sigue go $cc Dios Sec. Moura l.° de Junio de 1834,= Excíno. Sr.=: Francisco Ser ,Por resultado de cuanto ture el honor de comunicar á V. E. en mi parte rano. =:Excmo. Sr. Secretario de Estado y del Despacho de Guerra. de.anoche, acabo de entrar en Serpa ahora , que son las nueve de la mañana, habiéndose fufado la mayor parte de los realistas de Ja plaza, favorecidos de la El 2…</t>
  </si>
  <si>
    <t>Serán, Art</t>
  </si>
  <si>
    <t>Art Serán</t>
  </si>
  <si>
    <t>…en ella sosten grado que en calidad de colono viniese espontáneamente de' Europa á fijarse en drán al ministerio en los días de peligro, "sín .nolestarlo cuando reine la trail- el territorio del Estado. . ' quilidad. (.Afrobaíion general.") ¡ ■ Art. 2.° «Serán preferidos en estos_auxilios las mugeres, los artesanos y lo» 1 JLa Cámara procede á la votación nominal, y por 184 votos contra 117 níeros trabajadores ó peones, según el orden con que van nombrados. erprueba la proposicion de Mr- Hervé. {Aplataos.') Art. 3.° «Los auxilios de que habla el artículo…</t>
  </si>
  <si>
    <t>Seria</t>
  </si>
  <si>
    <t>…a ciudad, se dice que pasará antes por-Roma. Ha llegado un correo de San Exposición á S- JM. la ReÍka Gobernadora• Petersburgo con despachos del ministro ruso en Italia , que se cree son relativos 'Vv. á los negocios de España. ' Señora: Seria fattar á uno de los deberes mas sagrados, sí vuestra ciudad de ____Por cartas de Bamberg se sabe que los restos del Emperador Henrique y Atfaro, última población “del reino de Castilla, y que siempre ha conservado Cunegunda han sido colocados con gran solemnidad en un monumento de ilesa su lealtad…</t>
  </si>
  <si>
    <t>Seria, Agustín</t>
  </si>
  <si>
    <t>Agustín Seria</t>
  </si>
  <si>
    <t>…ero.” , i ■,, * 739....... 500............................ Idem. Sea ¿orno fuere', él advenimiento diplomático del Príncipe Othqn ne ha- 21,538.............. 500.. ................... . Madrid. cia mas que precipitar la caída det conde Agustín. Seria nunca acabar si mó « 25/00............. 500.. ............ Zaragoza. metiese i referir todas las precauciones que .se trató de tomar contra la inva 19422............. 500.___.......... Madrid. sión de la Morca por los disidentes. ” . , ' 25,847............ 509__...___ ..... Idem. Lo oim nos rurrrr…</t>
  </si>
  <si>
    <t>Serían, Sampons</t>
  </si>
  <si>
    <t>Sampons Serían</t>
  </si>
  <si>
    <t>…rtículo, sino que reclamaba que no se leyese el voto particular de que se tra BITAMBKTO DB SB$OftBS PROCDIADORES, taba , porque su autor no lo había manifestado á su tiempo. El Sr» Préndente: «Podrá suceder que habiendo estado el Sr. Sampons Serían del dia 4 de Diciembre. acorde con el díctámen de la comisión al tiempo de firmarlo, por razones pos teriores haya mudado de opinión.' Yo no creo que baya perdido el derecho de Se abrió á la una menoe cuarto, y ieida el acta de la anterior quedó apro hacerlo asi, aunque sea, si ve quiere, una inconsecu…</t>
  </si>
  <si>
    <t>Sermones</t>
  </si>
  <si>
    <t>…que fue pasado por las ríascovar,principales.y eo la deLosVianatomos, á siguientes24 rs. ea rústicasaldrán, yconenla lasmayorprovinciaspresteza.á 26 en las libre arínas en Villadiego, previas las disposiciones de cristiano. Dicho comandante ■ ' Sermones del limo. Sr. D. Juan Bautista Masilloo, presbítero , de la congregación recomienda el zelo del alférez del escuadrón ligero de Madrid D. Juan de la del Oratorio, uno de los cuarenta de la academia Ira ocesa , y obispo de Clermont, Torre, y del teniente retirado D. Oaspar Hernando, que fueron los encar…</t>
  </si>
  <si>
    <t>Serón</t>
  </si>
  <si>
    <t>…licencia para mercado con-toda la franquicia que Bayona, 00. 10 4 d. Málaga par. consagra el Real decreto de 29 .de EneAj último á los pueblos de Burdeos, 00. Barcelona i pesos ft. Santander 4 b. Hamburgo, 00. 4 b. Santlágo 4 á 1 d. Serón, Almenar, S. Leonardo, Calatañazor y Aldea del Pozo. Lóndres á 90 días 3?f. Bilbao i d. Sevilla par. Se han pedido noticias sobre los veneros minerales que se cree Varis 15-19. Cádiz 4 b. Valencia 4 d. existen dentro, de los terrenos de Beraton, Carabantes, Agreda, Corulla 4 d. Zaragoza 4 id. Qlheg…</t>
  </si>
  <si>
    <t>Serrano</t>
  </si>
  <si>
    <t>…juicios pendientes, y que queden en ei estado en que se «El Sr. Abargues impugnó al Sr. preopinante, é insistió en fa idea del se hallen actualmente" ñor Torremejú, de que no debía declararse ninguna exención í favor de los » El Sr. Serrano : «Las razones que ha expuesto el Sr. preopinante tendrían canónigos de Santiago porque disfrutaban bastante renta, y aun podían entrar toda su fuerza ai se tratase de juicios no entablados todavía ; pero carecen de en poción de mucha mas según el provecto de ley: que las rentas eclesiásticas ella…</t>
  </si>
  <si>
    <t>…de este modo insultado y atropellado hizo uso de sus armas. La pañía de seguridad de Morclla y seis heridos, es lamentable sin embargo por la autoridad ha su&amp;pendfdo el cuerpo de gendarmas, ha puesto en poder de la jus muerte del capitán Serrano. ticia al que mató al obrero, y ha mandado formar una sumaria á M. Negre, «Su hijo D. Bartolomé, cadete del mismo regimiento , se hallabaá su lado comisario de policía, que se encontró en el teatro de los sucesos. Todas esta» cuando sucedió esta desgracia', y aunquo rodeado de facciosos, sostuvo aqu…</t>
  </si>
  <si>
    <t>…ite ó no. pre se cae en extremos: cuando eí gobierno absoluto triunfa, solo habla de pre El Sr. Trueba - Pido que la votación sea por partes. rogativas, nunca de sus obligaciones. Cuando la libertad triunfa, se lisonjean las J/El Sr. Serrano: Pido que se diga en lugar de La palabra es, la libertad pasiones populares, y se habla de derechos y nunca de deberes. La imparciali será protegida. dad, la justicia exigen que se presente en su fiel la balanza: en un lado la tabla Habiéndose preguntado si se votaría el artículo por partes, se dec…</t>
  </si>
  <si>
    <t>…llegado el caso de que el gobierno y los legislado cesiva y tenazmente á Faro, Castro Marín y Olhao, y con arreglo a las ins res acrediten i los franceses que por la palabra libertad no ha entendido la trucciones del Gobierno, el brigadier Serrano pasando el Guadiana, entró en Constitución la libertad de hacer cada uno lo que se le antoje, de atormentar Mertola, y amenazó marchar sobre los caminos de comunicación del Algarbe continuamente la sociedad, de pervertir (bajo la máscara de ideas generosas) al Alentejo; y esta demostración bastó, e…</t>
  </si>
  <si>
    <t>…temente discutido, y se pidió qué la vota-' Vázquez Queipo, Fontagud Gárgollo, Paez Jaramillp, Carrillo Albornoz, cioná que iba á precederse fuese nominal. León Bendicho, Rodas, Gaivey, Alcántara Navarroj.marques de Espinardo, El Sr. Serrano (D. Gmés): «Pido que cuando se haga el resúmen de la Puche, Ezpeleta,. Montesa, Alvaréz Pestaña, Puga, Valladares, Calderón discusión sobre este asunto, se verifique como esti prevenido, haciendo una re (D. Saturnino]), Ííavia Osorio, conde de Toreno .Orense, Redondo, Mon lación de las razones que…</t>
  </si>
  <si>
    <t>…eos del Estado; guiente: «Todos los españoles tienen igual obligación á pagar las contribucio- * y todos deben'jrrtstirse con igualdad á las cargas del servicio público.” «nes votadas libremente por Us Córtes” ... Se pidió por el Sr. Serrano (D. Ginés) que se votase el artículo por par- _ El Sr. Viga y Rio-. «Es seguro que .e) ramo mas, dificil ei el de contri : tes, y se acordó no se hiciese tal división. buciones en lodos los Estados. Si solo hubiese contribuciones directas podria Se votó nominal mente el artículo, según se acordó, r…</t>
  </si>
  <si>
    <t>…n, 2.° votación, y aprobación. Lo único que yo entendí y aprobé fuo pregunta conforme al reglamento. que se hiciera constar en el acta ; pero poner en ella una aprobación del Esta El Sr conde de Tareno: «Con lo que ha expuesto el Sr. Serrano, me parer mento sin haber precedido la discusión y demas, «quién tiene facultad para ce está concluido todo: no hubo aprobación del Estamento. El Sr. conde de las ello? Asi que no consentiré jamas que se exprese una aprobación en el acta Navas retiró su proposición en virtud de las razones que expu…</t>
  </si>
  <si>
    <t>…se podría decir otra frase mejor , cual seria la de estar sujeta ia los administradores de correos, los gefes de oficinas civiles y sus secretarios. propiedad **á las penas impuestas* y condenaciones hechas por las autoridades El Sr. Serrano opinó que podía evitarse este inconveniente poniendo la competentes.” expresión empicado público, en que se comprendían todos. El Sr González (D. Antonio')’. «El Sr. preopinante acaba de manifes Sr. Domecq : «Las condiciones esenciales de toda ley son cuatro1.a No tar que se haLla conforme en cuant…</t>
  </si>
  <si>
    <t>…os falsos denunciadores, porque también podría suceder que los naciones que tienen consignados ciertos derechos por el salvamento, los cuales hubiese solo por hacer daño., . en Inglaterra son mucho mayores que en otras partes. El Sr. Serrano (D. Ginés) dijo que siendo el objeto de la adición del Se » Deseando, pues, que no quede reducida á un miserable jornal la recom ñor González preservar i los ¡udividuos particulares del abuso que pudiera ha pensa de los que con peligro de sn vida se arrojan en tiempo de tempestad, á la cer el Estad…</t>
  </si>
  <si>
    <t>…. haciente que pruebe lo contrario; y quiere probarlo con razones: lo que se ne El Sr. Ochoa pidió que se leyese la certificación de que se hacía mérito en cesita son documentos.” el dictámen de la comisión; y asi se verificó. El Sr. Serrano insistió en lo dicho anteriormente. SÍ Sr. Ochoa: «Por el contexto de esta certificación sabemos que se ha El Sr. Aíartel: «Me parece que se han alegado dos causas, por las cuales fallado esa causa, pero ignoramos la sentencia, lo que no nos saca de dudas. no puede el Sr. Echevarría entrar en el Es…</t>
  </si>
  <si>
    <t>…ardo.=El marques de Montesa.=F rancheo Hubert. ^Die será la ocision oportuna de tocar este punto; pero sin embargo, entre tanto diré go Mediano. que quisiera que sobre el particular se hiciese lo que en las capitales, á saber: El Sr. Serrano (Z&gt;. Gines'): *&gt;Si las cosas se apreciaran por la antigüedad, que el que tuviese devoción pagase esa carga, pero que no fuese esta obligatoria ninguna deberíamos apreciar mas que las hermandades; pero como se deben es ó por reparto. Tampoco es ocasión de hablar ahora de la Mesta; pero sí io es tima…</t>
  </si>
  <si>
    <t>…cuatro primeros se oponía también la , creyéndola capuz de labrar la felicidad de mi patria. Sostuve los mismos á que se diese el punto por discutido. principios cuando veoian 4^9 hombres sobre esta capital; y cuando ya estaba El Sr. Serrano (D. Gines) manifestó que en su entender no debía decla abierto (permítaseme decirlo) el calabozo en que iban á sepultarme, hice una rarse el asunto discutido ínterin quedase uno que tuviese pedida la palabra; pero proposicioft para que el diputado que consintiera en que se destruyese ó altera que e…</t>
  </si>
  <si>
    <t>…_ CORTES. el caso de creer hablillas, casos privados , ni en esto ni en ninguna cosa. La comisión quiere aclarar este particular, y manifestarlo al Estamento; lo solo se consigue concediendo tiempo.” ESTAMENTO DE PROCURADORES- El Sr. Serrano (D. Ginés) deshizo una_equivoca£Íe&amp;. ----- El Sr. conde de las Navas-pidió" que se leyese la certificación de la sen ten— 1 Sesión Ael dia 14 de Octubre. - — - ____ xia-que presenta éfacusador; y después de leída continuó El Sr• conde de tas Iracas. «Yo no tengo que decir mas que cuatro pa Se abrió…</t>
  </si>
  <si>
    <t>…adres.” Así quedó aprobada^ ‘2.a «Tener la edad deT8 a Su años cumplidos.” ,, Se leyó-todo el art. 3.0~á fin de ver si estaba conforme con lo aprobado; \ Antes de procederse á la votación de la 3.a parte del articulo 3«° pre y e! Sr. Serrano (D. Gines) observó que era mas natural que ésta última parte guntó el Sr. Alcalá Galiano al Sr. Secretario del Delpacbo.de lo Interior, si el del artículo qué se acababa de aprobar , según había propuesto el Sr. Mocoso, Gobierno accedía i lo que, si no estaba equivocado, había él mismo indicado se…</t>
  </si>
  <si>
    <t>…D. Saturnino Albuín, que 4 m¡ salida de Aranda confinó conmigo en donde se hallaba el general Rodil. - y venir por distinto camino con ,parle de su fuerza 4 caer hoy en este punto para por la &lt;ijeV Algarbe entraba en ^dértola el brigadier Serrano con las V obrar de común acuerdo según las circunstancias, me he detenido hasta que lle trop#,espafiolas^l día 8; esto es, el mismo dia en que el duque dejerccira lo gue. ¿(icho coronel. verificaba, en, Coímbra, y que,el almirante Napier desembarcaba con su expedi- . Cómo no he recibido parte dél r…</t>
  </si>
  <si>
    <t>…tarse otros" recurso^ con,que atender á todas nuestras obliga Continuó después el oradór haciendo «arios cálculos comparativos del ciones.” ' * 1 . proyecto del Ministerio con el dictamen Ae la comisión, reducidos á probar , : El Sr. Serrano ( D. ErancUeo'): «Entrando en la cuestión del dia, com algunas diferencias .que notaba, y prosiguió después: prendo, que lo mas esencial es facilitar al. Gobierno dinero para que marchan , «En cuanto á las rebajas que propone la comisión acerca de tos gastos ton larapidernocosaria todas la» partes…</t>
  </si>
  <si>
    <t>…a suya en el caso del decreto de las Córte» Declarada la adición suficientemente discutida » no fue aprobada. ' por el que declararon privados de sus destinos á los que no siguieran al Go Tampoco se tomó en consideración otra del Sr. Serrano (D. Ginéa) rela bierno. Las consecuencias de este decreto no pueden pesar sobre aquellos em tiva á que la medida adoptada con respecto á las viudas é hijos de los militare», pleados que como los gefes políticos, lejos de cumplir con su deber si hubie fuese extensiva á los empleados civiles: ni tamp…</t>
  </si>
  <si>
    <t>…acho de lo Interior Miliciano. Yo, pues, no quisiera admitir esta excepción de los pastores Iza deshicieron sucesivamente algunas leves equivocaciones. generalmente, porque hay la circunstancia que he dicho. Se me contestará á El Sr. Serrano (D Gines) dijo que apoyando el art eulo de la comisión, esto que en esa categoría entran generalmente los que por efecto de las ante adicióna lo por el Gobierno , como acababa de serlo por el Sr. Secretario del dichas ocupaciones no podrán prestar el servicio de Milicianos sino muy poco Despacho de…</t>
  </si>
  <si>
    <t>…icación. ¿Qué mayor placer para la comisión, si al fijar ia ex cación pública. 6° Los maestros de primefes letras con escuela pública.” cepción de este artículo no hubiere visto en los españoles mas que una familia A petición del Sr. Serrano (D. Giné$) se refundieron ios dos primeros de hermanos, una opinión unánime, un deseo igual y un voto general por párrafos en uno solo diciéndose: «criados de labranza y ganadería.” sostener ios derechos de la Nación y del trono de Is.^bex ií ? Entonces sí que Se pasó á la votación de! artículo, la…</t>
  </si>
  <si>
    <t>…cinco millones, que era en su Opinión mado el Estamento y encargado á la comúiqn que presentare una ley de recom decorosa y suficiente. pensas, ó únicamente una de asignaciones ó presupuestos ? Si se tratase de re A petición del Sr. Serrano (D Gínes) se preguntó si .estaba el punto su compensas, yo sería el primero que apoyase que fueran cuales deberían ser. ficientemente discutido, y resultó estarlo. Respecto £ las economías hechas, &lt; pueden llamarse tales existiendo un emprés También se resolvió, á petición del Sr. Palarea y otros v…</t>
  </si>
  <si>
    <t>…ierno, mas bien me adhiero al de la mayoría que al de la dades.&amp;c., sin las montruosas desigualdades y sin que se noten las anomalías qó* «mptía^pefO' da ningún modo cl del Gobierno, y en la totalidad ni á esto se observan. Ya el Sr. Serrano lo ha dicho* que al cusido tiempo que hay ccaftm á nqwW ■ . # tes que están disfrutando rs. de sueldo, cesantes que no han hecho saz vicio* #ElilJt«&gt;or, digámoslo «si» que me ocupa, es tanto mas justo , cuanto te i la Nación, hay generales que han regado con su sangre los campos deba^lk, jmta dé de…</t>
  </si>
  <si>
    <t>…ipulados. tan laa naciones pobres,- pero'no las naciones poderosas que tienen en su seno mil «Se ha dicho que encontraremos recursos apelando á ciertos arbitrios que medioe de cubrir tusneucsidades; y como ya ha dicho muy bien el Sr. Serrano, se han tefialado; pero y si no los encontramos ¡qué haremos? y si aunque los psra reciblr uno ó dos por medio de ellos, Hay que comprometerse á pagar encontremos , no alcanzan á los necesidades, ¡ hemos de correr este riesgo en veinte; con lo erial siguiendo en date sistema , al cabo de pocos aSos…</t>
  </si>
  <si>
    <t>…hipotecas , y pac términos bien claros.? Ademas, el artículo 55 dice (leyó); pero mas adelanta ■ ’let'Uato me Opongo aLdictámen de la comisión.” t ™ce qde ate proyecto 6 propuesta puede ser proyecto dé ley, en cuyq caso no rf El Sr. Serrano (D. Gnú/); «Sedice que d Sr. Romero Alpuente está rnomronda nihgtmaide lo que el reglamento ha querido expresar. Elartícaenpo*e*ioadeamarenta antulde 123 rs. Esta cualidad puede entenderse de lo 75 dice (lo leyó): i mi entender todoesto vena sobre el modo de discutir'' tteaTSbddsí .bato , 6 innato.…</t>
  </si>
  <si>
    <t>…H' ni d:• pe r*.ir-- is íería de línea y los carabineros de costas y fronteras, que el \T del corriente confianza, á que sabréis corresponder como dicr 1* e,c*-c:' C ier :c* Ce - ..e ’•■&gt;*. « separaron de la brigada del mando del brigadier Serrano desde Moruna-* en abuelos, cu'.as hazañas v *erviv¡o^ a su* Rnts \ a ia ra.un &lt;-si. y. e ^ . "a* Portugal con dirección á Badajoz El regimiento provincial de Toro s par.e paginas en ''ue*tra hri*1i ría c*p.iñola: no e* h.jb ■&gt; en ia p:e re:e o.,.- . del de Lanceros de la Guardia Real están en march…</t>
  </si>
  <si>
    <t>…r. Presidente, sión de los siguientes artículos del proyecto; coa lo que 'cerró la saion de ue ato aparecería de las razona que en pro ó en contra se expusiesen acerca ate dia. 3 eella; lo que produjo la siguienlé proposición del Sr. Serrano (D. Ginés.) Gaceta Suplemento del Jueves, línea .En el se 61, en el á la Nota. 6.a-columna, debe Sr. donde *&gt; Pido al Estamento que declare que no podrá pasarse á la discusión de pro gundo discurso del del Torremejía, párrafo dice versátil de marqua posición alguna hecbq por un Sr. Procurador basta…</t>
  </si>
  <si>
    <t>…y voy 4 hacerlo con la posible brevedad. El emprento de Ardoin, resolución tomada por el Estamento en la sesión de ayer, respecto de la pro- que nominaimente era de 300 millones, produjo líquidos 195, pues lo demás, posicion del Sr. Serrano , con arreglo al art. 87 del reglamento , que se leyó. como sucede en esta clase de operaciones , fue invertido en los gastos de ellas.* Se mandó pa»ar 4 la comisión de Poderes una exposición deí decano y re* puede decirse que este empréstito no lo tomó la Nación, pues lo invirtió en pido res de Al…</t>
  </si>
  <si>
    <t>DEL SABADO 27 DE DICIEMBRE DE 183^ CORTES. «El cuajro lastimoso que nos ha presentado el Sr. Serrano, no dudo sea exacto; pero S. S. me permitirá emplee el mismo celo por mi provincia que él BSTAKBNTO DB SEÍtoxES PXOCÜX ADOXB8. ha empicado por la suya. El único medio de riqueza de las provincias de Cas tilla y León son sus granos; y es sabido también que están rebosando de ellos, Serian del día 26…</t>
  </si>
  <si>
    <t>…ase ser falsos. te que hasta la inspección del sitio, verificada por peritos en los pleitos se En seguida se declaró el punto suficientemente discutido* guidos en las chancilleríaS de Granad* y Valladotíd,y en et consejo supre El Sr. Serrano: «Pido que Ja petición se vote por partes, pues de otro mo de Castilla , demuestra lo imposible que es el que haya habido en tal sitio modo los que tienen que hacer algunas observaciones contra el proyecto, ó Ja batalla que se supone para librar á España del feudo de las 100 doncellas. incurrirán e…</t>
  </si>
  <si>
    <t>…ue disfrutan un sobresueldo por esta razón, no re raba como «pitan general, porque es el de esta clase el único sueldo que per siden casi nunca en éL ( cibo.” «Todas estas economías deben tenerse presente cuando el Gobierno aa El Sr. Serrano (D- Francisco) manifestó queno podia compararse un go ocupe de este arreglo. bernador civil con un capitán general, porque en el distrito que mandaba uno El.Sr. Secretario del Despacho de la Guerra: «Ya be manifestado que dp estos solía haber cuatro ó seis gobernadores civiles, y por consiguiente s…</t>
  </si>
  <si>
    <t>…permiten mantener la moderación y la sinceridad que tras tropas se adelantarían el 26 desdé Pottálegre á Arronches j en dirección «Son necésarias pafa répresentar dignátlitiitc i la Nación -&amp;¿'.n de Campómayor y Yelves. " ' “ Bl,brigadier Serrano, comandante de&gt; li brigada del Condado de Niebla, dice eí 23 del corriente , quesegun los avisos del general Sa-da-Bqndeira , que mándá las t ropas de Doña María de la Gloría en el Algarbe, el 20’se hallaba xolsa db oauSictó.—.Cotización dt hoy £ia¡ tnr dt la tarde. el generql enemigo Cabreira en L…</t>
  </si>
  <si>
    <t>…o estado que el tribunal de la inquisición, que quedó de hecho coetáneos e» tttts prueba de su falsedad; la Fecha dél privilegio es en Calahor abolido. ra^ y «uestros tneforés historiaifores afirman que el Rey Ramiro no empezó El Sr. Serrano (D Ginft): «Abundando en todas las ideas filantrópicas de á reinar testa algunos áfiós después dé lá concesión dél privilegio, porque en los señores preopinantes á favor de los pueblos, voy solo á manifestar la equi ésta época trinaba Alonso llamado el Casto. En lás firmas qué tiene el citado vocac…</t>
  </si>
  <si>
    <t>…lo; por lo cual era de parecer que no se estaba cn&gt;el caso de cobradores de Santiago, no será mucho lo que deban, y todos aquellos que han aprobarle. tratado de sostener pleitos quedarían obligados á pagar, de manera que el de El Sr. Serrano manifestó que el efetto retroactivo de las leyes solo podía recho que hasta ahora han tenido para resistirlo se les quitaba, puesto que el dejar de existir cuándo no hubiese perjuicio de tercero, cuando se tratase de Gobierno dice que se cobre lo atrasado, y atrasado es lo que no han pagado condona…</t>
  </si>
  <si>
    <t>Serrano, Bartolomé</t>
  </si>
  <si>
    <t>Bartolomé Serrano</t>
  </si>
  <si>
    <t>…r muertoá aigunos, se ¿reeri, ' ptró a) marchar i la últifña tuye Id desgracia de perder al capitán cón grado ^rre^ws cállW ¿¿dornadog1 corl cinta? c^.la cabeza y en J¿¿ v de teniente coronel del reginíiettto del Rey í.° de líéea D. Bartolomé Serrano cintura, y empuñando sendos garrotes. que las mandabáV y h^^óo gravemente el subtecniente D. José Muría Ibañez. ^gMochp jic^npo hace ya que recibió orden la policía de impedir estas san-* Éste incidente hizo que éstas se retirasen; y creyendo los facciosos que É^bia j^íSu?K '‘c^áfrcTonesV qhfe1 tan…</t>
  </si>
  <si>
    <t>Serrano, D Francisco</t>
  </si>
  <si>
    <t>D Francisco Serrano</t>
  </si>
  <si>
    <t>…do. cisco Serrano.^zExcmo. Sr. Secretario de Estado y ci^c 1 cspaclio de laGuerra. Conozco muy b¡en que iodos hemos hecho muy poco en proporción á nuestros ilimitados deseos; mas la ocasión de acreditar éstos ha sido tan sucin El brigadier D. Francisco Serrano desde Serpa con fecha del 30 de Mayo ta que nos deja el sentimiento de no haber encontrado mas peligros; Lo di dice lo que sigue go $cc Dios Sec. Moura l.° de Junio de 1834,= Excíno. Sr.=: Francisco Ser ,Por resultado de cuanto ture el honor de comunicar á V. E. en mi parte rano. =:Excmo. Sr. Secre…</t>
  </si>
  <si>
    <t>…de las dificultades que ofrecía la crítica situación en que la nación se tncontraPasó i la/com!sion de Poderes un oficio acompañado de los poderes del ba, debían encaminarse las miras del Gobierno háciados puntos capitales: asen Sr. D. Francisco Serrano, Procurador por Jaén. tar las bases permanentes de un buen régimen interior, restableciendo las anti El Estamento quedó enterado de una exposición del Sr; D. Francisco Za guas leyes fundamentales de la monarquía con las alteracionss que exigiese la pata, electo por Cádiz, manifestando no poder asis…</t>
  </si>
  <si>
    <t>…^Portugal en la envolvió sobre la mire ha la izquierda del enemigo, y este se abandonó a la fu frontera del condado de Niebla, á la izquierda del Guadiana, una brigada es ga sufriendo una horrorosa mortandad. pañola al mando del brigadier D. Francisco Serrano, la cual estaría al dia si ** Nuestra pérdida ha sido comparativamente muy poca, pero la detallaré a guiente en Mertola. V. E. luego que reciba los parles de los cuerpos; pudiendo desde luego decir El 11 salió de Sevilla la mayor parte del regimiento de caballería del Prín que ha sido herido en el…</t>
  </si>
  <si>
    <t>…el-y renombre-de Chi- con las armas que'tenian en ’-ia-facción. liralor-,,epétesanos del pais 6 «xtrangeros le han dado este titulo , y él deja que hagan lo qíjt quieran. La introducción de las cosas europeas en Egipto ha sido El brigadier D. Francisco Serrano comandante de la ¡brigada -de -operacio solamente para él un medifi*, nunca un Jin. Como ya hemos dicho , en su pen- nes en Portugal-avisa 4 este ministerio con fecha de lO del corrreme, que se samierttp y en sus acciones el Egipto es él. Én cuanto á la Europa-durante mu— guía ocupando Jos puntos d…</t>
  </si>
  <si>
    <t>Serrano, D Gipés María</t>
  </si>
  <si>
    <t>D Gipés María Serrano</t>
  </si>
  <si>
    <t>…o los constitucionales sa PROVINCIA DI CUXXCA. lieron de Lisboa , y también el dia inmediato, D. Miguel desbarató los planee Excmo. Sr. conde de Toreno. &lt;de Macdona1d, y éste , despachado, y. habiendo propuesto sin fruto lo mismo Sr. D. Gipés María Serrano, que antes había aconsejado Bourmont, resignó el mando, y desde entonces des Sr. D. Fermín Caballero. apareció toda disciplina , y el ejército cafó en la mas espantosa dcsmoraliza- Sr. D. Vicente Cano Manuel y Chacón. ciop- ia rapiña y la violencia fueron Meyadas al exceso: los proveedores de ví Sr…</t>
  </si>
  <si>
    <t>Serrano, Francisco</t>
  </si>
  <si>
    <t>Francisco Serrano</t>
  </si>
  <si>
    <t>…Serrano.^zExcmo. Sr. Secretario de Estado y ci^c 1 cspaclio de laGuerra. Conozco muy b¡en que iodos hemos hecho muy poco en proporción á nuestros ilimitados deseos; mas la ocasión de acreditar éstos ha sido tan sucin El brigadier D. Francisco Serrano desde Serpa con fecha del 30 de Mayo ta que nos deja el sentimiento de no haber encontrado mas peligros; Lo di dice lo que sigue go $cc Dios Sec. Moura l.° de Junio de 1834,= Excíno. Sr.=: Francisco Ser ,Por resultado de cuanto ture el honor de comunicar á V. E. en mi parte rano. =:Excmo. Sr. Secre…</t>
  </si>
  <si>
    <t>…las dificultades que ofrecía la crítica situación en que la nación se tncontraPasó i la/com!sion de Poderes un oficio acompañado de los poderes del ba, debían encaminarse las miras del Gobierno háciados puntos capitales: asen Sr. D. Francisco Serrano, Procurador por Jaén. tar las bases permanentes de un buen régimen interior, restableciendo las anti El Estamento quedó enterado de una exposición del Sr; D. Francisco Za guas leyes fundamentales de la monarquía con las alteracionss que exigiese la pata, electo por Cádiz, manifestando no poder asis…</t>
  </si>
  <si>
    <t>…en la envolvió sobre la mire ha la izquierda del enemigo, y este se abandonó a la fu frontera del condado de Niebla, á la izquierda del Guadiana, una brigada es ga sufriendo una horrorosa mortandad. pañola al mando del brigadier D. Francisco Serrano, la cual estaría al dia si ** Nuestra pérdida ha sido comparativamente muy poca, pero la detallaré a guiente en Mertola. V. E. luego que reciba los parles de los cuerpos; pudiendo desde luego decir El 11 salió de Sevilla la mayor parte del regimiento de caballería del Prín que ha sido herido en el…</t>
  </si>
  <si>
    <t>…bre-de Chi- con las armas que'tenian en ’-ia-facción. liralor-,,epétesanos del pais 6 «xtrangeros le han dado este titulo , y él deja que hagan lo qíjt quieran. La introducción de las cosas europeas en Egipto ha sido El brigadier D. Francisco Serrano comandante de la ¡brigada -de -operacio solamente para él un medifi*, nunca un Jin. Como ya hemos dicho , en su pen- nes en Portugal-avisa 4 este ministerio con fecha de lO del corrreme, que se samierttp y en sus acciones el Egipto es él. Én cuanto á la Europa-durante mu— guía ocupando Jos puntos d…</t>
  </si>
  <si>
    <t>…bemos oficialmente cuáles son las opiniones que han esparcido en sus informes En virtud de dictamen de la comisión de Poderes fueron aprobados los de los facultativos á quienes el Gobierno envió á países extranjeros ó consultó en D. Francisco Serrano, electo Procurador por la provincia de Jaén, en razón ellos, pues por un descuido incalculable aun no se han publicado; perosí como de haber justificado competentemente su aptitud legal para serlo. se cree generalmente son contrariasá las medidas de rigor, será una mera prut'ba El Sr. Presidente’.…</t>
  </si>
  <si>
    <t>Serrano, Francisco de Paula</t>
  </si>
  <si>
    <t>Francisco de Paula Serrano</t>
  </si>
  <si>
    <t>…del pacto fundamental; y Sr. Marques de Falces. qutf^&amp; facciones 1)0 pueHcO atacar:!) dignidad Real sin atacar al mismo tiem Sr. L&gt;. Rodrigo Arando po et acta donstitutiva de nuestras libertades , del mismo modo que el trono Sr« D. Francisco de Paula Serrano. no ludria atentar ;c£&gt;ntra la$ Carta rila atentar contra svk mismos derechos1.' / «Los hechos comprueban la teoría. ¿Qué hacemos hace tres años? Defen der la Carta. La hemos defendido éotitWéí páYfidb aristocrático y legitimísta Zdjta de los donativo* voluntarior hechos para socorro de los enfermo*…</t>
  </si>
  <si>
    <t>Serrano, Ginés María</t>
  </si>
  <si>
    <t>Ginés María Serrano</t>
  </si>
  <si>
    <t>…a junta superior de Sanidad de esta provincia digo i la suprema del reino con gundo de Jerez de la Frontera á D. Domingo Martínez Galinsoga, corregidor asta fecha lo siguiente: de Ciudad Real: para esta vara que resulta vacante á D. Ginés María Serrano: Excmo. Sr.: La enfermedad reinante en Granada va descendiendo sensibleara la vara de la Villa del Rio á D Félix Alvarez Arenas: pan la de Mon- mente, no obstante la desigualdad de la estación; y el número de fallecidos de lanch, en Cataluña, á D. Rafael Yusté Pereira; y para la de Oña i D. An toda…</t>
  </si>
  <si>
    <t>Serrano, Gipés María</t>
  </si>
  <si>
    <t>Gipés María Serrano</t>
  </si>
  <si>
    <t>…s constitucionales sa PROVINCIA DI CUXXCA. lieron de Lisboa , y también el dia inmediato, D. Miguel desbarató los planee Excmo. Sr. conde de Toreno. &lt;de Macdona1d, y éste , despachado, y. habiendo propuesto sin fruto lo mismo Sr. D. Gipés María Serrano, que antes había aconsejado Bourmont, resignó el mando, y desde entonces des Sr. D. Fermín Caballero. apareció toda disciplina , y el ejército cafó en la mas espantosa dcsmoraliza- Sr. D. Vicente Cano Manuel y Chacón. ciop- ia rapiña y la violencia fueron Meyadas al exceso: los proveedores de ví Sr…</t>
  </si>
  <si>
    <t>Serrano, José</t>
  </si>
  <si>
    <t>José Serrano</t>
  </si>
  <si>
    <t>…uslo por ser el que tenia mas inmediato, y llegué á este punto fortificado, con todos el intimo cabecilla, y otro al parecer su segundo. los heridos para dejarlos en completa seguridad. El alférez de caballería del l.° de ligeros D. José Serrano, que marchan-* La pérdida del enemigo ha debido ser muy considerable, pues ademas del do solo á incorporarse en su regimiento , fue hecho prisionero por los faccio tfvb fuego con que se le contestó en el bosque, fue rechazado en todos los ata sos, escapó en ci acto de la dopqrsion y asegura todos e…</t>
  </si>
  <si>
    <t>Serrano, José María</t>
  </si>
  <si>
    <t>José María Serrano</t>
  </si>
  <si>
    <t>…do noticia de su estado sanitario era cortísimo el númeroHerís: para la de Avilé* á D. Pascual Argtlelles Toral: para la de Villanue- de casos desgraciados; va de los Infmtesá D. Javier de Surga: para la de Morilla del Palancar á D. José María Serrano: para el corregimiento de Talayera de la Reina á Don Francisco de Paula Murciano: para el de Requena á D. Eugenio Rufino Her La empresa del canal de Aragón, deseosa de propagar el ramo de arbolado nández: para el de Andujar á D. Laureano Rojo de Norzagaray: para el de con arreglo á las órdenes de S…</t>
  </si>
  <si>
    <t>Serrano, Manuel González</t>
  </si>
  <si>
    <t>Manuel González Serrano</t>
  </si>
  <si>
    <t>…a ley se previene. S. AL se ha servido separar de sus destinos á los oficiales de la dirección (.Gaceta ojic&amp;t del gobierno de Lisboa.) general de Correos 2.° D. Joaquín Cordero, 4° D. Gerónimo Sobrado, 16 P. Julián Barbajosa, 18 D. Manuel González Serrano, 19 D. Francisco So____ El dia 20 del corriente á las diez de la mañana pasó S. M. F., acompaña malo y Torres, y 21 P. Santiago Manuel de Arteaga, mandando que queden da de Ja camarera mayor, de la dama y del gentilhombre de servicio, 7 de la en clase de cesantes sin opcion á ser colocados. Y al pr…</t>
  </si>
  <si>
    <t>Sertorius</t>
  </si>
  <si>
    <t>…ancia. ¡Andrés S de Agosto. Tantas riquezas sepultadas en los departamentos no se pueden recoger sino en los mismos sitios en que se hallan, y por los cuidados de hombres que son Una hermosa espada ha sido regalada últimamente al almirante Sertorius, hasta cierto punto los únicos depositarios de las antiguas tradiciones locales. como muestra de aprecio por su conducta y esfuerzos en la feliz campaña de Para esto sobre todo será útilísima la cooperación de las sociedades sábias v de Portugal. Esta espada se la han regalado los capitanes y ofici…</t>
  </si>
  <si>
    <t>Sesión</t>
  </si>
  <si>
    <t>…resultarían si los consejeros de Estado les, renta de España 3 por 100 37¿. Empréstito Real de ¿d. 00. Renta pérpé- fueran inamovibles: concluye aprobando el proyecto según lo presenta la co tua de íd. 59f. misión. cámara de los diputado^— Sesión del día 27 de Enero. No habiendo mas oradores que quieran hablar sobre el todo del proyecto^ principia la discusión por artículos. El Sr. Desjbbert lee una proposición que respecto á caminos vecinales y de Sobre el artículo l.° que trata de las personas que han de componer el con distritos hace en unió…</t>
  </si>
  <si>
    <t>Sesión, Minis</t>
  </si>
  <si>
    <t>Minis Sesión</t>
  </si>
  <si>
    <t>…barrenarlo es el discutir en secreto una petición cuando las tres comisiones han dado su dicta ISTAMSXtO B* seKoibs ísocus adoeks. men de que puede hacerse en público.” El Sr. Presidente: «Si no he entendido mal, me parece que el Sr. Minis Sesión del dia 9 de Diciembre. tro no ha querido decir eso.” El Sr. conde de las Navas: «Ha pasado la petición por las tres comi Se abijó ¿ las doce, y leída el acta de-Ja anterior quedó aprobada. siones conforme á lo prevenido en el reglamento; por lo que yo reclamo 1» Se dió cuenta de’ varios oficios en que…</t>
  </si>
  <si>
    <t>Set, Tivenis Ag</t>
  </si>
  <si>
    <t>Tivenis Ag Set</t>
  </si>
  <si>
    <t>…2 21 Ag. Set.. 275 61 83 su en la expresada persecu de activa hizo marchar pronunciamiento gavilla, el Tarragona............. 3 á Setiembre. 6 196 30 49 del quien Francisco regimiento capitán provincial ción de Toledo al Corona, D. Tivenis................. 3 5 30 Ag. Set.. i 3 00 cazadores del dividida compañía de en colum oportunamente con la mismo, Tortosa................. Agosto. 27 30 92 i 31 7 en de sierra la del caído sobre ellos hubiera llamada parte el ia nas, Hojo Muerto, si no les hubiese negado su existencia un paisano que encontraron PROVINCIA DE TERUEL.…</t>
  </si>
  <si>
    <t>Setiembre</t>
  </si>
  <si>
    <t>…r bizarría.” el principio de la acción por el alférez del l.® de ligeros de caballería D. Juan Lo que tengo la honra de participar &amp;c. Dios &amp;c. Ochandiano 10 de Contreras, y los de igual clase D. Ramón Gómez , del mismo cuerpo, y Don Setiembre de 1834-=Excmo Sr.zzBuldoméro Espariero.enExcmo. Sr. Secreta Juan Gamez, del de húsares de la Princesa, quienes con 60 caballos de los dos do de Estado y del Despacho de Guerra. cuerpos se arrojaron en medio del pueblo, rompieron el cuadro que ios rebel des tenian formado, esparciendo el terror y la m…</t>
  </si>
  <si>
    <t>Setiembre, CucviMadrid di</t>
  </si>
  <si>
    <t>CucviMadrid di Setiembre</t>
  </si>
  <si>
    <t>…enteramente el pueblo, persiguiéndolos á una altura que habia i la derecha, y ESPAÑA. 4.1a que se dirigieron aquellos. Tal fue la sorpresa, que nuestras tropas se ba tían en las calles, cuando hacia pocos minutos que el titulado general CucviMadrid 14 di Setiembre. villas se había acostado a dormir la siesta. A los primeros tiros que se dispararon dentro del pueblo disputo el gefe Acabamos de recibir por extraordinario la Gattta de Francia de 8 del de nuestras tropas que el ayudante de esta plana mayor D. Antonio José Ro corriente, y en ella leemos el siguien…</t>
  </si>
  <si>
    <t>Setiembre, Prisde</t>
  </si>
  <si>
    <t>Prisde Setiembre</t>
  </si>
  <si>
    <t>…sionadas por este desgraciado suceso. El dique de Cauwenstein, cerca del castillo Lacroix, _ 'Hemos recibido papeles de Monreal y de Quebec que alcanzan hasta el 27 en la orilla derecha del Escalda, se ha roto enteramente; el Sr. general Prisde Setiembre; y según ellos, el regimiento 83 y el 96 que están de guarnición se y Mr. Teichman, inspector general de puentes y calzadas, han acudido in en Halifax, habian sido invadidos del cólera, y el 2.° había sufrido bastante mediatamente á Los puntos indicados para reparar cuanto antes los destrozos morta…</t>
  </si>
  <si>
    <t>Setion, IDEM BB IOS AKK</t>
  </si>
  <si>
    <t>IDEM BB IOS AKK Setion</t>
  </si>
  <si>
    <t>…l de Carlos x.” tria ramios desgraciado?, manifestó Doña Amalia un eficaz deseo de reconci Por ijo haber suficiente númeyo de diputados se'Ievanta la sesión. liarse cóñ la Santa Iglesia católica apostólica romana : pidió ál M. R. cardenal • IDEM BB IOS 7AKK8.__ Setion del día 12. arzobispo de Toledo se dignase recibir su profesión de la fé católica, y á S. M. la Retna Gobernadora que le dispensase su Real protección, declarándose Aprobada e3 acta de la última sesión, se nombran las comisiones qne han Madrina suya y de sus hijos: instruyóse en los misterios de nuestr…</t>
  </si>
  <si>
    <t>SeUkv</t>
  </si>
  <si>
    <t>…e antes del tér ge ros , robando es el fruio de la industria con que tratan de sostener su exis mino de los cuatro años mencionados no ha)an celebrado tas partes contratan tencia. Este sistema, et-ta odiosa denunciación contra el conde SeUkv , le pone tes el tratado de amistad, de comercio y de navegación que se reservan con bajo de un entredicho comercial en toda Europa, y le afecta en sus relación?» cluir. ulteriormente una con otra. privada» f en el establecimiento que ha formado en un país extrangero, y en ja An. 3.° Ratificarán el…</t>
  </si>
  <si>
    <t>Severiano, D</t>
  </si>
  <si>
    <t>D Severiano</t>
  </si>
  <si>
    <t>…sobre la petición que se apSobaria su conducta. referida, que estaRa señalada para la actúa! sesicn. «Precisamente la mayor parte de estos individuos son personas que tienen .. Se mandaron pasar- á la comisión de Poderes jos de! Sr. D Severiano familia, hijos y casas de comercio, y necesitaban tomar medidas para poner en Paez Jaramillo, electo Procurador por la provincia de Madrid, con los do salvo sus familias é intereses; porque Barcelona estaba amenazada, y es.tal el cumentos justificativos de süs rentas. terror que en Cataluña infunde…</t>
  </si>
  <si>
    <t>Severo</t>
  </si>
  <si>
    <t>…ón. contribuir al desengaño de los ciegos enemigos del trono de mi augusta Hija, Dios guarde á V. H- muchos años. Pamplona 9 de Enero de 1834 =Exy de la prosperidad de la monarquía; mas no habiendo alcanzado á impedir celentísimo Señor.Severo, obispo de Pamplona.^ Excmo. Sr. Secretario de que en algunos puntos, como las provincias vascongadas j Navarra , hayan rein Estado y del Despacho universal de Gracia y Justicia. cidido en su criminal conducta, es llegado el caso doloroso á mi corazón de dictar providencias mas severas que pongan t…</t>
  </si>
  <si>
    <t>Sevilla</t>
  </si>
  <si>
    <t>…decreto sobre) el modo de contratar el empréstito de 400 millones. (Nú CAUSOOS. mero 249.) Real órden sobre movilizar parte de la Milicia urbana. (Id.) Amsierdam,Bayona, 00. 00. París,Alicante,I6-4.acorto pla eadla,Coruña 14, Jb.d. Sevilla,Valencia,4 4h. id. ____ sobre el arreglo de haberes y raciones concedidos á la Milicia urbana Burdeos, 00, zo, 4b. Grabada, Id. lid. Zaragoza, |i movilizada. (Id.) Humburgo, 00. Barcelona, fi pe fs., Milagi, 4 b. Descuento ér lema* dando deposiciones para simplificar la formación de las clasificaci…</t>
  </si>
  <si>
    <t>…marina, y tengo reunida una guarnición Suficiente para defender este Burdeos, 00. - Barcelona á pesos fs. Santander Id. Hamburgo, 00. Í b. Santiago 1 d. punto, que es fuerte é importante. Lóndresá 90 di as 37 y g. Bilbao par á 4 d. Sevilla par. • Hicimos de 60 a 70 prisioneros. Las autoridades civiles y mi Paris 16 á 15-19. Cádiz j b. Valencia f d. litares huyeron sin tener tiempo para vestirse. CoruBa J d. Zaragóza \ id. Descuento de letras á 4 p. ido al año. Suplico á V. E. que recomiende á la consideración de S. M. I. al mayor Car…</t>
  </si>
  <si>
    <t>…usta Sóbértña ískÍBtta , unte'afijaAeinX legntimaAeFérmm Iracheta.=c ma de 4 p. 100. ' Sf. tftúlaqo qómisario Luis Mongefoszéjís ccpiá.=cPerena. Acciones dalbanco español, 00* oiasnc. Amttesbn, 00. París, 16-7 i 8. Cádlx, par 4 4 d. Sevilla, 4 4» Partel rercib¡dQS en la ie&amp;£tj$fa^tr$tlta4p. y del Despacho de la Guerra» Bayona,Bunjep., 00.00. Alicante,zo, 1 b.kcorta pla Gorufia»Granada»fid.&lt;L Í4 Vilcacbi?Wíw» éi ü4*. Hambuno, 00. Barcelona, i ps. fu, Milaga» 4 b. El «nit*ft ^mft»l rieCastjWAla,íltiev^j,,«)q fecha dpi X0, anunciaquela L…</t>
  </si>
  <si>
    <t>…Caridad estableci cambios. das en los barrios, la provincial, el ayuntamiento de Castellón, los ecle siásticos, las comunidades religiosas, y los facultativos: añade que solo en Pe- Amsterdam. 00. París, 16-7 4 8. Cádiz, par 4 } d. Sevilla, } b. id. Id. Valencia, 4 í i corto pla Coruña, 00 Alicante,ñíscola existían todavía dos coléricos, que desde 15,de Noviembre no habían Bayona, Granada, Id. id. Zaragoza, zo, 1 b. q d. Bárdeos. 00. podido acabar de restablecerse; pues en lo demas de ja provincia habia cesado Hamburgo. 00. Barcelona…</t>
  </si>
  <si>
    <t>…tra dicho proyecto sé han hecho, ninguno merece el oiunots nombre de tal: ni es fácil hallarlo contra la verdad, por grande que sea la fuerza del entendimiento preocupadp contra ella. Amsterdam, 00. París, 16-74 8, Cádiz, par 4 | d. Sevilla, 4 K Bayo ría, 00. Alicante, 4 corto pla Cortiña , ^ d. •Valencia, 4 Id Se impugnó la primera parte del proyecto, suponiendo que el Gobierno Burdeos.,: 00. zo, 1 b. Granada* id, id, Zaragoza* fd. queria constituirse señor de las empresas, en que solo quiere ser parte auxiliar. Humburgo, 00. Barcelo…</t>
  </si>
  <si>
    <t>…n consecuen Acciones del banco español, 00. cia experimentaba dtó sostenerse los CaVzohesi'porque entbncés áb se habia ¡n- í ciasios. trq^úcídó todavía 14 invención de las pirantes. - 1 Anísterdam, 00., París, 16-7 4B. C4d!z, *4 *d. Sevilla, *b. A la edad de 14 años hizo la importante adquisición dé uh violín viejo - Bayona ,00. Alicante, icorto pla Coruña, 4 id. Valeqcb , i ¡d, que compró por cinco chelines ahorrados á fuerza de incréibles privaciones, y Burdeos, 00. - J zo, ib. Granada, id. id. ZlragOzi, .fl Hamburgo, 00, Barcelona,…</t>
  </si>
  <si>
    <t>…banco español, 00. malevolencia que entre los rústicos montañeses de Ettrick. Superior á todos lo» ' CAMBIOS. obstáculos, resolvió trabajar por sí; y habiéndose asociado con un librero, tan Amsterdam , 00» París, 16-7*8. Cídta,*á*d. Sevilla, 4 b.-, Id. 1 Id. Valencia. 4 4 Zaragou, miserable como él, empezó a publicar un periódico semanal, titulado el Es Bayona,Burdeos, 00.00. Alicante,*&gt;, * ñ.icoriopla* Corufim,Granada;fliid.''’'pía, el cual continuó por únaño, al principio con muy buen éxito; pero las Hamburgo, 00. Barcelcma , a pe.…</t>
  </si>
  <si>
    <t>…^ Concluida en el Frasno la magnífica fuente de que ha hablado en los partes anteriores, se ha colocado en ella una hermosa lápida con la siguiente insejíp- Amsterdam,00. 00.'' París,Al icante,16-3.á corto pla Cádiz,Coruña,1Jj b.d. Sevilla,Valencia,4 par.b. cion: Rkinanjjo DoSa María Isabel lj. ASío de 1834* Burdeos' 00. zo , 4 d. Granada, id. Zaragoza, 4 d. Se .han concluido 10 cementerios, se están construyendo otros, y ya quedan Hamburgo, QO. t Barcelona, á ps. £5*, Málaga, 4,i&lt;l. Descuento d? letras, pocos pueblos en donde.no los…</t>
  </si>
  <si>
    <t>…Barcelona i pesos fs. Santander 4 b. dose Zumalacarregui á ganar tiempo, abandonó la posición y se Hamburgo, 00. |b. Santiago j d. dirigió al mismo valle de Arana, en donde debería hallarse por lá Ldodres á 90 días 37I. Bilbao 4 d. Sevilla par. Paris 15-19. Cádiz 4 b. Valencia 4 d. noche la brigada de Oráa. CoruBa 4 d. Zaragoza 4 id. Con estas noticias marché con la reserva hácia Zúfiiga, enca Descuento de letras á 4 p. loo al alio. minándome al mismo valle de Arana, y dirigí la brigada del ge neral LoTetizo á una hora sobre mi derec…</t>
  </si>
  <si>
    <t>…o de en Bayona, 00. zo i d. Málaga par. fermedad. Burdeos, 00. Barcelona á pesos fs. Santander * b. Ha dispuesto que todos los pueblos de la isla empiecen el 10 Hamburgo, 00. 4 b. Santiago | á 1 d. Lóodres á 90 días 37^. Bilbao ^ d. Sevilla par. de Abril un turno de jornales para la recomposición y construc París 1 g ls. 19 s. Cádiz j b. , Valencia 4 d. ción de caminos, que deberá seguir durante un mes; después de la Corulla { d. Zaragoza { id. siega empezará el segundo turno. Descuento de letras A 4 P- 100 al alio. Finalmente, ha con…</t>
  </si>
  <si>
    <t>…íd. id., á prima de 4 p. 100* de Navarra D. Fzancisco JEspoz y Milpa* Acciones del banco español, 00. CASfBftoa. Al ejército de su mando y á los habitantes de Navarra: «Valientes que Amsterdam, 00. París , 16-7 á 3. Cádiz, i á i d. Sevilla, i b. operáis á mis órdenes. En un mismo día y casi á la propia hora habéis hecho Bay&lt;ina, 00. Alican te, a corro pla Coruña, 4 a 1 id. Valencia, 4 id. ver en los campos de Soriad^ y Unzué á la Europa que os comtempla , lo que llu rdeos. 00. zo, i b. Granada, 4 Zaragoza, -J &lt;3. . Ha/uburgo, 00. Bar…</t>
  </si>
  <si>
    <t>…pañías del mismo cuerpo y 14 caballos de Bor- Burdeos , 00. Barcelona á pesos fs. Santander 4 b. Hamburgo, 00. i b. Santiago J i 1 d. bon; los facciosos dejaron 2 muertos y todas las racionas que ha Ldndres á 90 dias 37$ Bilbao J d. Sevilla par. bían exigido á viva fuerza en el referido pueblo. París 15-19. Cádiz % b. Valencia 4 d. CuruBa | d. Zaragoza j Id. Por los partes que. el ministerio de Marina traslada al de la Descuento de letras á 4 p. 10a ai afio. Guerra de los comandantes de las provincias de Tarragona y Tor- , tosa, de fe…</t>
  </si>
  <si>
    <t>…uidad ti no declarase que dicha junta habia ya tomado desde el primer momento cuantas le sugirió su zelo en beneficio de estos habitantes. Las prin Amsterdam*Bayona, 00* 00. París,Alicante,16-3.4 corto ple Coruña,Cádiz, 14| b.á 1 d. Sevilla,Valencia»4 b.par. cipales medidas que con el objeto referido espero que tendrán ejecución pronta Burdeos, 00. xo, 4 d* Granada, 4 * 4 id* Zaragoaa, | d. y completa , son las siguientes: HamburgOt 00. Barcelona, á ps. fs.. Málaga, 4 id. Descuento de letras, 1.a - "Destruir las cautas lócale* de insa…</t>
  </si>
  <si>
    <t>…l tánico español, 00. . que sigue: Excmo. Sr. Una marcha de nueve leguas dirigida solo por la huella CAMBIOS. que iba dejando la facción de Lucio Nieto, me puso ayer á la inmediación de Amsterdam, 00. Pul), 16-7 4 8. Cídír, * 4 * d. Sevilla, * b. esta, y aunque aprovechó la noche para pasar el rio Arlanza y separarse de mi Bayona, 00. Alicante* á corto pía- CoruSa , 4 á 1 id. Valencia* ^ id. zo* j b. 00. * id. 4 Granada d. Zaragoza* $ columna tres leguas, á las doce del dia de hoy, después de vadear el rio mon Burdeos, Humburgo, * b.…</t>
  </si>
  <si>
    <t>…eal decreto de 29 .de EneAj último á los pueblos de Burdeos, 00. Barcelona i pesos ft. Santander 4 b. Hamburgo, 00. 4 b. Santlágo 4 á 1 d. Serón, Almenar, S. Leonardo, Calatañazor y Aldea del Pozo. Lóndres á 90 días 3?f. Bilbao i d. Sevilla par. Se han pedido noticias sobre los veneros minerales que se cree Varis 15-19. Cádiz 4 b. Valencia 4 d. existen dentro, de los terrenos de Beraton, Carabantes, Agreda, Corulla 4 d. Zaragoza 4 id. Qlhega, Bordvia, Deza, La Miñosa y Villasecas; y ha dispuesto Descuento de letras á 4 p. roo al aBo.…</t>
  </si>
  <si>
    <t>…incia de Salamanca D. José Marta Burdeos , 00. Barcelona 4 pesos fs. Santander | b. Cambronera. __ - Hamburgo, 00. O- Santiago $ 4 1 d. Ha excitado á la sociedad económica para que medite sobre el Ló odres 4 90 dias 37f. Bilbao t d. Sevilla par. París x£ 19 á id. Cádiz $ b. Valencia 4 d. modo de aumentar los productos de las dehesas, multiplicando los Corulla j d. Zaragoza | id. ganados y sustituyendo á la trashumacion otro método de afinar Descuento de letras á 4 p. 100 al alio. la lana, que sea mas sencillo y económico. A propuesta…</t>
  </si>
  <si>
    <t>…al contado: 144, 15, 4, 18, 16}, 15}, 16,15}, U4,16|, PROVINCIA JtB TARRAGONA. .4, 17, 18, 4, 4 y 184 4 varias fs. ó vol. Acciones del banco español, 00. Sr. D. Francisco Perpi&amp;a. CAMBIOS. Amsterdam, 00. París, 16-7 i 8. Cádiz, 4 d. Sevilla, Partes rstibidos en la secretaría de Estado y del Despacio, de la Guerra. Bayona,Burdeos, 00.00. Alxo,icante,4 b.acorto ple Coruña,Granada,4}áid.1 Id. Zaragoza,Valencia, 4j Id.&lt;L Hamburgo , 00. Barcelona, á ps. fs-, Málaga, 4 b. Descuento de letras, El brigadier D. José María Cohibí, comandante ge…</t>
  </si>
  <si>
    <t>Sevilla, Diego</t>
  </si>
  <si>
    <t>Diego Sevilla</t>
  </si>
  <si>
    <t>…r en calidad Reina de Baviera visitarán á Roma el mes próximo, y después de una corta de interinos para la vara de alcalde mayor de la ciudad de Almería estancia en aquella ciudad pasarán á Ancona, y allí se embarcarán para Gre ¿ D. Diego Sevilla: para la de Murcia á D. José Martínez Gal insoga: cia. Después de estar algún tiempo con su Mjo volverán á Munich i fines de para la de Ronda á D. Juan Manuel Caro y Mosquera: para la de Noviembre. Se dice que el gobierno intenta emplear la primavera próxima las San Roque á D. Francisco de Paula Li…</t>
  </si>
  <si>
    <t>…Castilla; para el desavenencias entre el Presidente de los Estados-Unidos y el Senado, que no de Ronda £ D. Juan Manuel Caro y Mosquera; para la alcaldía mayor, de Al batí podido convenirse en la elección de un ministro. mería £ D. Diego Sevilla; para la de 5. Roque £ D: Francisco de Paula Lina Hubo un tiempo, añade el Globo, en que la Inglaterra estaba degradada res; para la de Totana £ D- Ramón Marin Alfoces ; para la de Alcañices £ éntre las naciones europeas, pero fue desde la primavera de 1828 al Ótoño D. Fernando de Galarza; para- la…</t>
  </si>
  <si>
    <t>Sevilla, Juan</t>
  </si>
  <si>
    <t>Juan Sevilla</t>
  </si>
  <si>
    <t>…Serpa, y Batalla cayó sobre ellos, les mató 19 Espiriquiti, D. Alejandro Gasart, D. Amonio Leoreses, Ramón Ga.vez, hombres y cogió 15, teniendo jzor su parte dos hombres muertos y uno heri Tomás Lizanda, Joaquín Trullcn. Cadetes: D. Juan Sevilla, D. Antonio Re do ; finalmente, que los enemigos se habian retirado á Moura. (Idem.) set, D. José Calvet, D. Salvador Calvet. Sargentos segundos: Antonio Faura, Clemente Pardo, Romualdo Saló. Cabo primero: Manuel Alacluna. Cabo ESPAÑA. gundo: Fernando Fcrrer. Nota. Los soldados de este regimiento s…</t>
  </si>
  <si>
    <t>Sevillano, Juan</t>
  </si>
  <si>
    <t>Juan Sevillano</t>
  </si>
  <si>
    <t>…porque á él le pertenecían por un derecho en virtud El Sr. D. Manuel Gavitel , hijo........................................................... 10o0 del cual"hjzó lá cesión de la propiedad , en retribución de Iá cantidad que se le D. Juan Sevillano................................................................................... 1500 ha otorgado por vía de alimentos, y que este convenio había tenido lugar por D. José Vázquez , aposentador de S. M., 4Ó0 rs. de una vez, y .^0 evitar .pleitos gravosos y consecuencias desagradables. Otros Sres. hablaron erí mensuales mientras dure U epidemia....................................…</t>
  </si>
  <si>
    <t>Sevllld</t>
  </si>
  <si>
    <t>…creto sobre) el modo de contratar el empréstito de 400 millones. (Nú CAMSIbS. mero 249.) Real órden sobre movilizar parte de la Milicia urbana. (Id.) Amsierdam,Bayona, 00. 00. París,Alicante,I6-4.a corto pla eadla,Coruña Ifb., .4 d. Sevllld,Valencia,4 4h. id. ____ sobre el arreglo de haberes y raciones concedidos á la Milicia urbana Burdeos, 00, zo, 4b. Grabada, Id. Id, Zaragoza, Id. movilizada. (Id.) Humburgo, 00. Barcelona, 4 ps. &amp;, M Sliga, 4 b. Descuento ér lema* dando deposiciones para simplificar la formación de las clasificacio…</t>
  </si>
  <si>
    <t>Sgrqppo, Diego</t>
  </si>
  <si>
    <t>Diego Sgrqppo</t>
  </si>
  <si>
    <t>…bros están bien conforma paquete Flor del Rio zarpe con aquel objeto. Dios guarde al Sr. ministro mu dos , y tienen un vigor poco común; pero lo admirable es que se halla en un chos años. estado de completa virilidad. Idem 12. El doctor Diego Sgrqppo , uno de los médicos mas distinguidos de Palermo, augura que si á José'Gonzaga no lo contiene en crecer alguna enferme Siendo necesario que exista un edificio permanente para la habitación de dad, será uno de los gigantes mas extraordinarios que se han visto jamaslos RR. obispos diocesanos, acuerda…</t>
  </si>
  <si>
    <t>Shcpples</t>
  </si>
  <si>
    <t>…dente invitó á los Señores que tuviesen aprobados sus poderes, era solo para pedirle dÍQero. Las violencias cometidas en su desastroso reinado y no hubiesen prestado el juramento , á que se sirviesen verificarlo. En su con por el juez Shcpples y otros, fono ¿ los ingleses á sacudir el yugo; la medida secuencia juró el Sr. D. Nicolás Bonet y Orbe, Procurador por la provincia del sufrimiento había llegado á su colmo; la copa se había apurado hasta las de Granada. heces; la enfermedad había llegado á su crisis, y no había otro remedio sino Sr…</t>
  </si>
  <si>
    <t>Sheldon</t>
  </si>
  <si>
    <t>…la presente legislatura: sir Gisber Heathcale siempre que haya postor que cubra las dos terceras partes de su con el nombre de lord Normanton , sir F. Bourdett con el de lord Foremar— .aprecio. ke , sir George Phillips con el de lord Sheldon, Mr. Hanburg Trac y con el 51 Ao habiendo postor que cubra este señalamiento se retasar,ín de lord Tracy , Mr, Rjgne con el de lord Wrotham, y Mr. Litleton con el las fincas, y hecho, se publicará otra vez el remate sirviendo de base de lord Tyddcsly. (Po/f.) la retasa. 4? Si en esta nueva subasta…</t>
  </si>
  <si>
    <t>Shoemaker, D Luis</t>
  </si>
  <si>
    <t>D Luis Shoemaker</t>
  </si>
  <si>
    <t>…José Arango, la del cura les y dos cajas de municiones. párroco D. Manuel Francisco García, la de O. Félix Pujadas, la de Ü. Luis Terminada esta expedición supo Aznar que los sublevados proyectában una López Yillavicencio, 3a del Sr. D. Luis Shoemaker, cónsul de los Estados- reunión general .entre La Nestosa y Ampuero, y prestándose á las -instancias Unidos, la del vicecónsul de XLusia D. Henrique Coit, y otras muchas com -de D. Celestino Gutiérrez, alcalde mayor de Laredo, hi-zo que en compañía petían entre ¿ en el buen gusto de sus adornos. •…</t>
  </si>
  <si>
    <t>Shoemaker, Luis</t>
  </si>
  <si>
    <t>Luis Shoemaker</t>
  </si>
  <si>
    <t>…Arango, la del cura les y dos cajas de municiones. párroco D. Manuel Francisco García, la de O. Félix Pujadas, la de Ü. Luis Terminada esta expedición supo Aznar que los sublevados proyectában una López Yillavicencio, 3a del Sr. D. Luis Shoemaker, cónsul de los Estados- reunión general .entre La Nestosa y Ampuero, y prestándose á las -instancias Unidos, la del vicecónsul de XLusia D. Henrique Coit, y otras muchas com -de D. Celestino Gutiérrez, alcalde mayor de Laredo, hi-zo que en compañía petían entre ¿ en el buen gusto de sus adornos. •…</t>
  </si>
  <si>
    <t>Si, Cano Aíanutl</t>
  </si>
  <si>
    <t>Cano Aíanutl Si</t>
  </si>
  <si>
    <t>…abolición, se Ies hiciese la ¡ndetr.mla batalla de Clavijo,&gt;y aunque hace pocos años que'pssó(abalalla dC Cabezón, ' Zácíon en lamisaia provinqta. f yo me acuerdo á pesar de que-era pequeño . que públicamente se decía ál darse El Sr. Cano Aíanutl- «Si se tratase de este negocio en un tribunal de esta última , que se habían visto en e1 cíelo palmas y otros signos en señal de la justicia, todo lo que se ha hablado de indemnizaciones estaría en su lugar; pe victoria que se esperaba. El suceso acreditó los contrario; si asi no hubiera su ro se trata…</t>
  </si>
  <si>
    <t>Si, D Eduardo Galvéy PROVINCIA DE TERUEL</t>
  </si>
  <si>
    <t>D Eduardo Galvéy PROVINCIA DE TERUEL Si</t>
  </si>
  <si>
    <t>…■ 24 ¿ 26 Idem... 380 54 9 ELECCION DE PROCURADORES DEL REINO. Nota. Se ha rectificado el error cometido en el último parte respecto á lo* Provincia os málaga; que murieron en 23 y 24 del citado -Agosto en la ciudad de Tarragona. Sr. D. Eduardo Galvéy. PROVINCIA DE TERUEL. Si. D. Rafael de Rodas.- Su gobernador civil dice con fecha 28 del mes próximo pasado que en Torremocha no se habia alterado la salud pública desde el día 2 del referido ESTADO SANITARIO DEL REINO. Agosto: que el 24 del mismo solo había un enfermo en Villafranca, y el 25 cuatro en Moscardón, invadidos…</t>
  </si>
  <si>
    <t>Si, D José Fran</t>
  </si>
  <si>
    <t>D José Fran Si</t>
  </si>
  <si>
    <t>…niciones, uniforme, distintivo, ó cualquiera insignia civil ó randa , contribuyendo al efecto la actividad que manifestaron el capitán Don mibtar, sufrirán la pena de encierro. Francisco Cormano, ayudante de la plana mayor , y el teniente D. José Fran «Si los que llevasen armas ocultas ó visibles ó municiones, llevasen uni cisco Vidondo, uno de mis ayudantes de campo. forme , distintivo ó cualquier insignia civil ó militar , serán deportados. A los primeros tiros que se oyeron, mandé tocar generala y salí precipita, « Los que hubiesen hecho uso de sus a…</t>
  </si>
  <si>
    <t>Si, Galiaste'</t>
  </si>
  <si>
    <t>Galiaste' Si</t>
  </si>
  <si>
    <t>…como ye echa » En lo que mas te aparta la comisión del proyecto de ley del Gobierno de ver por la cláusula de per aJtors con que se halla limitado” ea en querer aquella que intervengan en tas alhtimicnioa, juntamente con loa 1 El Sr. Galiaste'. »Si La comisión ó alguno de sus individuos trata de re</t>
  </si>
  <si>
    <t>Si, José Fran</t>
  </si>
  <si>
    <t>José Fran Si</t>
  </si>
  <si>
    <t>…uniforme, distintivo, ó cualquiera insignia civil ó randa , contribuyendo al efecto la actividad que manifestaron el capitán Don mibtar, sufrirán la pena de encierro. Francisco Cormano, ayudante de la plana mayor , y el teniente D. José Fran «Si los que llevasen armas ocultas ó visibles ó municiones, llevasen uni cisco Vidondo, uno de mis ayudantes de campo. forme , distintivo ó cualquier insignia civil ó militar , serán deportados. A los primeros tiros que se oyeron, mandé tocar generala y salí precipita, « Los que hubiesen hecho uso de sus a…</t>
  </si>
  <si>
    <t>Si, Presidente</t>
  </si>
  <si>
    <t>Presidente Si</t>
  </si>
  <si>
    <t>…a dicho que pasase á la comisión de lo Interior, y yo que el fanatismo reclamaba para sacrificar en sus altares: el infortunio ha encontra se archivara.” do en V. M. consueto: merced á V. M. lodos los españoles pueden espaciar El Sr. Presidente -. "Si no me he equivocado, aunque la conclusión del su vista por el horizonte de E'-paña: y no satisfecho aun vuestro generoso cora discurso de S. S. ha 'Sido esa , su giro ha sido otro.” zón, V. AL trabaja incesantemente en reparar por medio de lejes {usías y con El Sr. Secretario del Despacho de Estado…</t>
  </si>
  <si>
    <t>Si, Presidentei</t>
  </si>
  <si>
    <t>Presidentei Si</t>
  </si>
  <si>
    <t>…dicho titulo que comprende desde lo» artículos 88 al 97 in- guna cuantía, ó su valor era desconocido, ae bu reservado hasta el derecho da «lufres. administrarlos, como ha sucedido, entra otras, con la renta de la aL E&gt;u ae ha El Sr. Presidentei «Si el Estamento lo. juzga 4 propósito, as learó lló por algún tiempo encargada é la diputación de loe trinos; la cual recauda proyecto de ley presentado por el ministerio.** ba lo* productos, pagaba la cuota estipulada al tesoro público, y reservaba el El Sr. Seeretarió del Despacha de Hacienda: «No t…</t>
  </si>
  <si>
    <t>Si, Pretidente</t>
  </si>
  <si>
    <t>Pretidente Si</t>
  </si>
  <si>
    <t>…as fundó su puesto en cuestión , que dichos señores deseaban que el Gobierno lo variase ó mocion, no es él personalmente quien lo ha de corregir.” alterase; pero ei Secretario del Despacho contesto que esta alteración no la po El Sr. Pretidente «Si el Sr. conde de las Navas tiene que hacer alguna día hacer sin contar con el Estamento. Me parece se dijo que había un contra petición, puede hacerla, y el Estamento la tomará en consideración ó no.” to relativo á este impuesto, y que era necesario acordar una indemnización i las El Sr. Secretario…</t>
  </si>
  <si>
    <t>Si, Vailejo</t>
  </si>
  <si>
    <t>Vailejo Si</t>
  </si>
  <si>
    <t>…endo ción de intereses se contrae al período señalado, y siempre salvando derechos siempre impar el número de los individuos de este consejo." adquiridos.’9 El Sr. Medrana: «Si se tratase d? imponer penas graves, yo me inclina El Sr. Vailejo*. «Si es cierto que deben devolverse los capitales con ín ría á que se aprobase la adición que la comisión propone; pero tratándose de Jas teres; «porque hayan pasado muchos años, ha de quitársele ai comprador ei de faltas que puedan cometerse en el servicio, y teniendo presente que los sugetos recho que…</t>
  </si>
  <si>
    <t>Síartel</t>
  </si>
  <si>
    <t>…n clara de que no ha podido ni puede usar de ella, porque resulta de la mis acto la resolución qué juzgue oportuna, librándola de este compromiso.” ma hasta la evidencia que se halla procesado. Estando pues terminantemente pre El Sr. Síartel : «El hecho es tan sencillo que no ofrece duda ninguna. venido en el Estatuto Real y Convocatoria que ningún procesado pueda ser Tenemos un documento claro, legal y fehaciente de que éste interesado se ha Procurador, soy de parecer que desde luego se desaprueben los poderes de di lla encausado , y…</t>
  </si>
  <si>
    <t>Sidcuando</t>
  </si>
  <si>
    <t>…conformes. abusos que traia la prensa periódica, trataron de reprimióos. En los áfios de ' »&gt;Hta añadido S. S. que el mal que ae causa por medio de la imprenta, 94 y 95 pusieron á los impresores ciertas trabas; y en 1819, cuando lord Sidcuando no hay prévia censura, es imposible de contener,, porque los papeles mouth presentó al Parlamento seis bilis de represión , entre los que hubo el de circulan con una celeridad eléctrica, al paso que las-leyes represivas modifican sociedades secretas y medidas para la imprenta, dijo que un momento s…</t>
  </si>
  <si>
    <t>Siempre</t>
  </si>
  <si>
    <t>…bernador dadora- del trono de su Hija, nos manda solemnizar la promulgación de una de la plaza de Yetvesj=Es copia.=Jo£¿rJLemon RodsL ley, que. reit¡luyendo á. nuestra patria sus fueros y. perdidas libertades,y po Núm. 2.a Serma. Sra.: Siempre compadeciendo la situación de V. A. S., niéndola en ejercicio de desusadas derechos, ha rodeado la cutí* donde se me es inas mi cuidado por su quietud y tranquilidad desdé que el 27 lleguéá 'este cen las;delicias de Espafia,:de ié mayor magestad y gloria de que sea suscepti piléblo, dejando estable…</t>
  </si>
  <si>
    <t>Siendo</t>
  </si>
  <si>
    <t>…ley quedó anulada por efec orden lo digo á V. para su inteligencia y cumplimiento. Dios &amp;c. Madrid 25 de Enero de 1834~Javier de Burgos. ,to del reglamento de 14 de Noviembre de 1831 que designa las atribuciones del Íntírídctite general , Siendo una de ellas la celebración de contratas según.el ar En Reales órdénes de 11 de Mayo y 27 de Diciembre de 1830 .comaniticuló'19; celebrándose en la corte desde aquella fecha las subastas de todo ló eadas al Consejo Real por la Secretaría de Estado y del Despacho , le designa qtié Ae necesita para «…</t>
  </si>
  <si>
    <t>Siendo, Claró</t>
  </si>
  <si>
    <t>Claró Siendo</t>
  </si>
  <si>
    <t>…eldictá- ■* menos ae hacer presente al Estamento de Síes. Procuradores la imperiosa ne men de la comisión. cesidad de adoptar el proyecto de ley'en'los términos que lo ha presentado el seguida «o leyó la siguiente proposición del Sr., Claró*. «Siendo tan Gobierno de S. M. Madrid J.° de Octubre de 1834* Vicente Cano Manuel.— ^urgente como de'fícil resolución la cuestión-relativa á la exclusión del Trono .El marques de la Gándara.— Jacinto de Romarate.“El marques de Falces. á D. Cirios María Isidro de Borbon y á toda -su descendencia, pido al Est…</t>
  </si>
  <si>
    <t>Siendo, D Luis Arrabal</t>
  </si>
  <si>
    <t>D Luis Arrabal Siendo</t>
  </si>
  <si>
    <t>…Santos Aboin, coronel, Indice de los Reales decretos y órdenes publicados en este periddüo en todo #/| y de D. Carlos Mirle, individuos de comercio, desempeñando las funciones de mes anterior. tesorero D. Santos Aboin , y las de secretario D. Luis Arrabal. Siendo el ob Real orden organizando la Real audiencia de Madrid* ( Gaceta ttstm. 1S.) jeto de esta junta ejercer la caridad con respecto á los presos de la cárcel, nin determinando el modo de aplicar la recompensa militar designada en las I gún individuo podrá solicitar gratificación de ninguna clase por…</t>
  </si>
  <si>
    <t>Siendo, Luis Arrabal</t>
  </si>
  <si>
    <t>Luis Arrabal Siendo</t>
  </si>
  <si>
    <t>…in, coronel, Indice de los Reales decretos y órdenes publicados en este periddüo en todo #/| y de D. Carlos Mirle, individuos de comercio, desempeñando las funciones de mes anterior. tesorero D. Santos Aboin , y las de secretario D. Luis Arrabal. Siendo el ob Real orden organizando la Real audiencia de Madrid* ( Gaceta ttstm. 1S.) jeto de esta junta ejercer la caridad con respecto á los presos de la cárcel, nin determinando el modo de aplicar la recompensa militar designada en las I gún individuo podrá solicitar gratificación de ninguna clase por…</t>
  </si>
  <si>
    <t>Siento, Vis Jo-'</t>
  </si>
  <si>
    <t>Vis Jo-' Siento</t>
  </si>
  <si>
    <t>…ortante, mucho mas cuando entonces están ellos tan in ores todos ello» indistintamente deben ser excluidos, ó mas bien no precisados teresados en defeoder el Gobierno y nuestras libertades patrias." tomar parte en e! servicio. El Sr. Vis*Jo-'. «Siento no estar de acuerdo con el Sr. preopinante »Opino también'que deberán añadirse en la primera parte del artículo respecto á los cclesiÁsticov'lktos no pueden ejercer en U Milicia el mismo «,lo$ rriadnt do labranza y los jornaleros en general.” En cuanto a los criados . oficio que desempeñan lo* cape…</t>
  </si>
  <si>
    <t>Sierra, D Víctor</t>
  </si>
  <si>
    <t>D Víctor Sierra</t>
  </si>
  <si>
    <t>…e Santa Cruz, ignorándose drán muy buena acogida; particularmente si el referido gobernador lá dirección que llevaba, cuya noticia habia puesto en conocimien de Peñíscola, el de Tortosa y el coronel Mazarredo han realizado to del comandante D- Víctor Sierra, destinado con su columna/á hoy la batida que tenían proyectada. la persecución de facciosos. También el teniente graduado de capitán del mismo regimien to de Mallorca D. Antonio Casariego me dice desde el Toro en EÍ comandante de la columna' del regimiento provincial de fecha de antes deVyer, que…</t>
  </si>
  <si>
    <t>Sierra, Francisco de Paula</t>
  </si>
  <si>
    <t>Francisco de Paula Sierra</t>
  </si>
  <si>
    <t>…que son tam sección de Fomento del Consejo Real dé España é Indias, vacan bién de la misma, y á D. José Aguilera, elerto para el consejo te p6f promoción de D. José María Moscoso de Altamira á la Se de Navarra; y para fiscales á D. Francisco de Paula Sierra, magis cretaria del Dtepacho de dicho famó.=Tendréh&gt;ló entendido, y lo trado cesante, de ló civil, y dé lo criminal á D. Migncl Nájera Comunicareis á quien córresponda.ieEstá rubricado dé la Real ma- Meneos, ya nombrado para esta plaza. T es mi Voluntad que cada fto.s-AfanjuéZ 17 de Abril de 1834.…</t>
  </si>
  <si>
    <t>Sierra, Manuel María de la</t>
  </si>
  <si>
    <t>Manuel María de la Sierra</t>
  </si>
  <si>
    <t>…o que se hace al Sr. Persil por ciertas ex cano y alférez mayor, y á su lado el Sr. alcalde mayor y el comandaute mili presiones que dijo en una acusación fiscal, hace ver que no tenían ni podían te tar interino de esta provincia D. Manuel María de la Sierra, dirigiéndose eñ ner el sentido que se les quiere dar. procesión 4 la Plaza nueva, donde había un catafalco ricamente adornado con Repite después las palabra^ que dijo hablando sobre el gobierno actual: de colgaduras de damasco. Rompían y cerraban la marcha un piquete de tropa, clara que siempre lo…</t>
  </si>
  <si>
    <t>Sierra, Mariano</t>
  </si>
  <si>
    <t>Mariano Sierra</t>
  </si>
  <si>
    <t>…tas, y viendo que nos arrojábamos á su encuentro. En efecto, ponién luego. Para la misma á mi ayudante de campo, el teniente del provincial de dome con el brigadier Carrera á la cabeza de las compañías de Gerona que no Valladolrd D. Mariano Sierra , quien igualmente herido en el brazo no se re se.hallaban destacadas, la dé cazadores de la Guardia Real provincial al man tiró hasta que lo hizo ja división; al infatigable y muy intrepido ayudante de do dei valiente capitán Malvar, y una mitad de la de Avila, avanzamos á tres flanqueadores á cab…</t>
  </si>
  <si>
    <t>Sierra, Víctor</t>
  </si>
  <si>
    <t>Víctor Sierra</t>
  </si>
  <si>
    <t>…ander, i b. a 4 p» 100 al año» Excmo. Sr.:El comandante general de la provincia de Toledo en l.° del 37¿ papel. Bilbao, 4 d. Santiago, | a J d. actual me dice lo que copio: Excmo. Sr.: El comandante de la columna móvil de Madrid, D. Víctor Sierra, desde Ciudad-Real con fecha 29 de Abril últi— r ANUNCIOS, mfKTne dice lo siguiente: Habiendo terminado totalmente las facciones de esta provincia , quedando tan solo algunos grupos de cuatro y seis hombres en los montes de Toledo; creo inútil fatigar por mas tiempo las tropas que han veni Obras qu…</t>
  </si>
  <si>
    <t>Siglos</t>
  </si>
  <si>
    <t>…e la lealtad. Es , pues, lle Interior. «Confirma todas las autoridades, y le manda comunicarlo inme gado el caso de que se le trate como rebelde con todo el rigor de las leyes. diatamente. Santareiti 4 de Octubie de 1833. = Yo el Rey.'1 Siglos há , Señora, que en la ley 17 utulo 2 0 Partida “7 se previno, que la primera y la mayor de las traiciones, y la que mas fuertemente debe ser es En vista de tan criminal conducta, V. M., de acuerdo con el parecer carmentada , es aquella en que se aspira a desapoderar del Reino á su legitimo del Con…</t>
  </si>
  <si>
    <t>Siguiendo</t>
  </si>
  <si>
    <t>…os Gxson Oneill, de la columna de Castilla la Nue de la mi-&gt;rm, con fecha lo def actual desee Cetina remite á este ministerio el va, y dos compañías de zapadores aL mando del capitán D.'Manuel Angustio, -parre siguiente: ^«Excmo. Sr.: Siguiendo la persecución de los malvado*, deir gefe ide la columna de GuádaUjira, tuvieron que dividirse para la persecución pues de la derrota de ellos que ruve la gloria de que mis va lien res hiciesen ca en columnas paralelas y á veces divergentes, habiendo sido esta tan constante las inmediaciones de Huerta…</t>
  </si>
  <si>
    <t>Siguió</t>
  </si>
  <si>
    <t>…una vincu Ja duda. ¿Por qué? Porque fija los modos de justificar la renta anual, y dice lación no os mas que un usufructuario: sin embargo, la renta de 12$ rs. per-' asi. (La leyó.) ¿ Eatá en este caso *1 Sr. Romero Alpuente ? No señor. (Siguió teneciente á un alimentista la estimo bastante para poder ser Procurador ¿ 1 leyendo) t , • Cortes: es una renta de que puede disponer libremente sin dar cuenta á nadie, «¿Es de esta clase la renta que po*ee el Sr. Romero Alpuente? Tampoco. sí estar sujeto respecto á gastarla á olía voluntad que la…</t>
  </si>
  <si>
    <t>Siíwerhjelm</t>
  </si>
  <si>
    <t>…ca la siguiente nota del barón de lacio han fallecido el maestro de"ceremonias del Rey y un criado del Prínci Hertling, residente de S. M. el Rey de Baviera cerca de la Confederación pe Real. En el órden de la nobleza ha hecho el Sr. Siíwerhjelm una proposi suiza. ción dirigida á conceder una prolongación en el término de los pagos á los «Vista la tentativa de excitar contra sus gobiernos á los obreros alema deudores del banco con motivo del cólera. Se dice que se ha resuelto en el úl nes,1 tentativa que se ha verificado hace poco tiempo e…</t>
  </si>
  <si>
    <t>Sil, Francisco Agustín</t>
  </si>
  <si>
    <t>Francisco Agustín Sil</t>
  </si>
  <si>
    <t>…capital con extraordinario júbilo. cias. La campiña y el arbolado se han repuesto de la pasada sequía, y ofrecen en algunos pueblos una buena cosecha. Extracto del parte remitido por el gobernador civil de la provincia de Avila, D. Francisco Agustín Sil vela, con fecha de 15 de Mayo actual. Precios corrientes de frutos en la Habana hasta el 18 de Morbo último. Ha tomado las medidas mas enérgicas para la destrucción de la langosta. Ha excitado el zeio del brigadier D. Francisco Mazarredo, para que le Azúcar surtida | y f.... de 5£ 9£ á 7£ rs. arrob…</t>
  </si>
  <si>
    <t>Silcedo, Pedro Juhn</t>
  </si>
  <si>
    <t>Pedro Juhn Silcedo</t>
  </si>
  <si>
    <t>…Torre boto, el capitán cimiento abintestato de D. Manuel González Miera, natural de la ciudad de Jerez de la Frontera. V vecino de esta villa, para que en el terminq, de 20 dias se presenten por sargento mayor interino del mismo D. Pedro Juhn Silcedo, el primer coman si o por apoderado á deducir su derecho ante &lt;1 expresado juez, con apercibimiento dante accidental del 2.° batallón voluntarios de Aragón, segundo efectivo del de que no verificándolo, les parará perjuicio. SUPLEMENTO</t>
  </si>
  <si>
    <t>Siles, Antonio</t>
  </si>
  <si>
    <t>Antonio Siles</t>
  </si>
  <si>
    <t>…Juan *&gt;Insisto principalmente en estos hechos, porque se ha querido atribuir el Jieponmceno S. Miguel, fiscal del Tribunal Supremo de España e origen de lo* últimos alborotos de León á un principio industrial y á prome Indias, á D. Antonio Siles, á R. Joaquín Fiéis: v Solaos, a R. Feli sas hechas y no cumplidas, siendo asi que el movimiento ha sido puramente político, y que ningún obrero se ha acordado de reclamar promesas ni co*a se pe Lope?. Valdcninro, y á R. José María Mnnreal, abogados del co mejante. La poEtica fue toda ia cau^a impu…</t>
  </si>
  <si>
    <t>Silva</t>
  </si>
  <si>
    <t>…iquilarlo totalmente; volver á la comisión solo para que lo/Redactase con mas claridad. de esos hombres, repito , existen todavía muchos, y con ellos los valientes Pidíó el Sr. Jervis que se leyese ra corrección presentada por el Sr. Silva; que después se les reunieron v participaron de sus fatigas y victorias, y* Toda y hecho, dijo que no aprobaba la primera parte de ella porque dejaba en duda vía viven los generales que los condujeron al triunfo, ¡sjue puede esperar Don si un amnistiado que se hallase en el punto adonde se debiese…</t>
  </si>
  <si>
    <t>Silva, Juan Pardo y</t>
  </si>
  <si>
    <t>Juan Pardo y Silva</t>
  </si>
  <si>
    <t>…aray, D. Joaquín en poder preservar ¿ estos pueblos de tan horrible azote. García, D. José de Vivero y D. Antonio Bcloso: en álgebra D. Faustino Do Policía general. Me be dedicado á U formación de una matrícula general, mínguez y D. Juan Pardo y Silva;'en geografía elemental D. Pablo Carcafio, de que carecía esta provincia, para de este modo lograr todos los ma&gt;ores pro D. Andrés de Castro , D. Robustiano Pequeño, D. José Sánchez y D Ra ductos de este ramo, su mejor manejo y administración. Las dos subdelegacio món Tajoncra;-en trigonometría pla…</t>
  </si>
  <si>
    <t>Silvagni</t>
  </si>
  <si>
    <t>…se ocupa actualmente en gobierno sigue en sus relaciones exteriores. Con todo, algunos de mis amigos fundir en bronce la estatua dél inmortal Cervantes. han tenido la bondad de comynicarme los apuntes que rápidamente han hecho El caballero Silvagni está restaurando los famosos frescos de la iglesia de del discurso del Sr. marques, y procuraré contestarlo. S. Gregorio. «Ha dicho que la política del gobierno de Julio es-menos honrosa que la En fin, el S:*. de Kessels ha dado ¡a última mano á un grupo colosal que del anterior gobierno. represent…</t>
  </si>
  <si>
    <t>Silvani</t>
  </si>
  <si>
    <t>…nción del provínéiat de Toro. ' cia política, excepta el príncipe de Lúea, que concedió asilo á algunos refu- Continúa examinando y sigue discutiéndose la memoria que le presentó la giadi&gt;3, y entre otros al conde Bíanchetti y al Sr. Silvani, abogado, miembroi comisión nombrada paA própontr lós medios de mejorar las escuelas dé príuno y otro del gobierno provisorio de Bolonia. meras letéassin perjuicio dé Haber Hecho en muchas diferentes reforma» ven : Se decía ademas .que el famoso príncipe de Croosa, enviado por el duque tajosas, has…</t>
  </si>
  <si>
    <t>Simcon</t>
  </si>
  <si>
    <t>…la Nsciori. nemos, seamos, larguísimos en darle todo el oro, la plata y los cuartos! No, se « Respecto i la comparación hecha sobre el estado actual de la Nación guramente que no lo seremos. Por lo tanto yo mí atengo *1 voto del Sr. Simcon el de otra* época», racomúion cree que cuestiones de esta naturaleza nun- ponts; añidiendo que en mi sentir será mejor qqe se señale una cantidad alza cp pped«n llevarse al grado, de exactitud que parece desearse. Las circunstancias rla jtara.la casa Real, que no las diversas partidas quese han exp…</t>
  </si>
  <si>
    <t>Simeón</t>
  </si>
  <si>
    <t>…dad de la pirran Bretaña, sino á la paz, én'que se deben liquidar los créditos cuyo origen sea anterior al año de 1816;” duración ,é integridad de este imperio i Grave é importante materia es la -pre hacen varias observaciones el conde Simeón, el ministro de Hacienda, el ba sente, y grandes los íhotívós qfie^dében pesar én eí ánimo de.»Wi:¿SS| para rón de Freville y el conde Roy; la Cámara aprueba los dos artículos según vBlar el* mensaje, y yo á la vércfcqi no recomendaría tanta prontitud si nó‘ es están en el proyecto; y en seguida .p…</t>
  </si>
  <si>
    <t>Simó, D Pedro</t>
  </si>
  <si>
    <t>D Pedro Simó</t>
  </si>
  <si>
    <t>….zrjuan Pons.—Joscf Papeleü^i. ' bablemente á nuevas dificultades* suscitadas acerra d&lt;r ^separación- de Bélgica y Holanda, que no tiene traza de efectuarse tan pronto como se crcia, y nunca El Excmo. Sr. duque de S. Lorenzo y el Sr. D. Pedro Simó, como encar-* antes que vuelva á Haya el príncipe de Orange. El viage de S. A. á Rusia es gados del ayuntamiento de la siempre fiel ciudad de Jerez de la Frontera , han regular que no haya tenido otro objeto sino interesar al Emperador á favor de felicitado á S. M. la Reina Gobernadora por la exalt…</t>
  </si>
  <si>
    <t>Simo, Pedio</t>
  </si>
  <si>
    <t>Pedio Simo</t>
  </si>
  <si>
    <t>…rno ^ illc“ didas que emanan de \uesna Üuslrada administración, v admiran á U Europa Vengo en nombrar para la regencia de la Real audiencia de Albacete a y ./ mundo entero. Los mahoneses, que tn .inian como cariñosa Madre y R^una D. Pedio Simo, oidor decano de la de SctiIu; v.para la de Burgos a D. Mi guel Antonio de Zumalacarrcgui , que lo es asimismo de la de.Galicia. len- ancusia, conocieron kucgd que debían amaros también \ ucstraBxhenncaí ' ¡rdrase entendido en la* Camara pata su cumpitm;cmo.:=:Esc a rubrica fo de la Real ludes la a…</t>
  </si>
  <si>
    <t>Simó, Pedro</t>
  </si>
  <si>
    <t>Pedro Simó</t>
  </si>
  <si>
    <t>…uan Pons.—Joscf Papeleü^i. ' bablemente á nuevas dificultades* suscitadas acerra d&lt;r ^separación- de Bélgica y Holanda, que no tiene traza de efectuarse tan pronto como se crcia, y nunca El Excmo. Sr. duque de S. Lorenzo y el Sr. D. Pedro Simó, como encar-* antes que vuelva á Haya el príncipe de Orange. El viage de S. A. á Rusia es gados del ayuntamiento de la siempre fiel ciudad de Jerez de la Frontera , han regular que no haya tenido otro objeto sino interesar al Emperador á favor de felicitado á S. M. la Reina Gobernadora por la exalt…</t>
  </si>
  <si>
    <t>Simón</t>
  </si>
  <si>
    <t>…. M. _ , distinguir-por ?u arrojo* y decisión, ai-sargento 2^ José Lloretai cabo J.° Da mián de S: José, al 2.° Salvador Bolado, y á los minadores primeros Santera Por Real orden de 24 de Agosto último se. ha concedido licencia i Don Simón, José Azcaneílas, Faustino Martin, Manuel Brea,y Casimiro Gonzá Angel Labaqua para publicar én esta, corte un periódico con el título de él lez, quienes viéndome pelear con el capitán de los facciosos, 10 pasaron á ba Compflítdür, con sujecion-á las reglas y garantías prescritas en el reglamento de…</t>
  </si>
  <si>
    <t>Simonetti</t>
  </si>
  <si>
    <t>…ta fue su complacen ------El mariscal Maison, embajador del Rey de los franceses en la corte de cia ,pl(aabcii, el restablecimiento de su salud el afio anterior, y la jura dé la Se- Rusia, ha Uegado á S. Pelcrsburgo, y también él conde Simonetti, embajador fiara.Doija Maiua Isabel Luisa en él presente: boy vierte lágrimas de dolor, de Cerdeña'. ^ ■ aumentándose este ai contemplar la suma tristeza en que se halla sumida V. M. ------Escriben de Vicna. con fecha del 3 lo siguiente: los varios ministros que Li infinita misericordia del Omnipot…</t>
  </si>
  <si>
    <t>Simponts</t>
  </si>
  <si>
    <t>…, y pidieron,"que los homes que con ellos venían comiesen mas que es muy superior la cantidad que se asigna por la comisión á S. M. , y aun mesuradamente:'’ Jas de Valladolid de 1325 reclamaron la reducción de los por el voto del Sr. Simponts, á ia que tienen los Reyes de Inglaterra, Francia gastos de palacio "en atención, decian, á que la tierra es estragada é yerma1, y Portugal.'Se ha dicho, y se bao presentado ios datos incontestables, que el é las rentas menguadas,” no sé si con mas motivo podría decirse ahora. EnJas Rey de Inglater…</t>
  </si>
  <si>
    <t>…brillo que rodea nuestros tronos en la zona que se forma arl¡ ré- ra bien , respetando la decisión del1 Estamento, se me permitirá citar el voto dedor de ellos compuesta de la grandeza de España , cuyos individuos tos -ftitfs del Sr. Simponts, el primitivo, y diré que si se hubiera aprobado 24. millones para la Reina Doña Isabel ir, y 12 para su augusta Madre, eran 36, si no nve Cobran Sueldo; y4i tos cobran tienen suficiente patriotismo para desprenderse equ voco. Añadidos á estos, 6 , que según los cálculos mas fundados debe pro ‘de é…</t>
  </si>
  <si>
    <t>Sin, Arguellen</t>
  </si>
  <si>
    <t>Arguellen Sin</t>
  </si>
  <si>
    <t>…jando pan lo sucesivo adop hemos diefio siempre y diremos que en ella hubo muchas cosas buenas, al paso tarse la- marcha que parezca mas, conforme.** queotras bastante mala*. Seguramente no seremos nosotros los que neguemos ni El Sr. Arguellen *»Sin que yo sea responsable del órden establecido ^en desconozcamos la historia de aquella época, á la qúe tal vez debemos la honra la discusión, me veo obligado á tomar parte en ella, aprovechando la ocasión de estar aquí sentados. de manifestar mis ideas en puntó de tanta importancia. Mi objeto no es…</t>
  </si>
  <si>
    <t>Sin, Caballero</t>
  </si>
  <si>
    <t>Caballero Sin</t>
  </si>
  <si>
    <t>…propuesto se consigue mejor nutStro objeto, y por eso los demas sueldos no ha hecho la comisión la menor novedad.” me he adherido al dictámen de la comisión.” El Sr. Secretario del Despacho de Estado -. «Por lo mismo que la co El-Sr. Caballero-. «Sin embargo la comisión no propone lo qué dice S. S. misión ha confesado con ingenuidad que carece de datos, el ministerio cree que lino como razón de su dictámen, y no como tal dictámen: por eso quisiera yo en vista de tos antecedentes que tiene, el decoro que requiere la clase de “emba que se expresa…</t>
  </si>
  <si>
    <t>Sin, Caballeros</t>
  </si>
  <si>
    <t>Caballeros Sin</t>
  </si>
  <si>
    <t>…reino ha oido con la veneración que debe la augusta sanción circunstancia para serlo que la de alcalde mayor, y en seguida nombra á otro de S. M.” alcalde mayor 1 Y si al primero lo desechan porque fue depuesto, ¡quién le ase Él Sr. Caballeros "Sin que pretenda oponerme i lo dispuesto sobre i* gura de que ej nuevo alcalde mayor no sea depuesto mañana! ¡Y habrá, de sanción Real y modo de darse cuenta al Estamento, tengo que hacer una ob quedar á arbitrio del Gobierno quitar y dejar electores! ¡Por qué aquel ayun servación, y es la siguiente: s…</t>
  </si>
  <si>
    <t>Sin, Carvallo</t>
  </si>
  <si>
    <t>Carvallo Sin</t>
  </si>
  <si>
    <t>…rotos «Léales Urbanos de Madrid: ya Idee el dia en que podéis reali ocurricíós en aquella ciudad, de cuyas resultas habia sido repuesto zar el noble deseó que os inflama de sacrificar vuestro reposo , y si en su destino el último gobernador Carvallo. Sin embargo, ya en fuere medestér yufttnj existencia, por asegurar la felicidad de vues el njismo dia quedaba restablecida la púdica tranquilidad, (Jíatitros conciudadanos. La patria os confia la paz de las familias; os dard) ( \ da armas para sostener las leyes protectoras del órden y de la li , í RAN…</t>
  </si>
  <si>
    <t>Sin, Fran</t>
  </si>
  <si>
    <t>Fran Sin</t>
  </si>
  <si>
    <t>…justamente despreciados ya por el publico; pero á lo menos Gerónimo Pérez García, D. Francisco García de bosa , D. Luis me lisonjeaba de que no tendría acogida en esta Cámara. Martínez Diaz, D. Felipe Cliavez, D. Leandro Cuevas v D. Fran Sin embargo, no hace mucho que de resultas de las asonadas de cisco González Chavez , habiéndose quedado en Abaco el capitán Par is, habían repelido los periódicos su acostumbrada censuia de y cuatro marineros mas. {Diario de Cádiz.) la conducta del gobierno; mas no han sido solo los periódicos los Tam…</t>
  </si>
  <si>
    <t>Sin, González</t>
  </si>
  <si>
    <t>González Sin</t>
  </si>
  <si>
    <t>…ue dan; llevándosele y dejando á las familias aunque sea »Nada diré sobre la fecha del documento por haber ya demostrado 'sufi sin et preciso sustento. La contribución es una cuartilla de trigo por cada cientemente su falsedad el Sr. González. Sin embargo, fépetiré que irtál pu yunta de labor, que es acaso precisamente el capital que el labrador siembra diera Ramiro mandar ccino Rey la batalla y presenciar el milagro que ¿rr ¿liapor cada yunta; si por cualquier motivo son dos las yuntas con que labra, se se supone, cuando no reinó hasta ocho…</t>
  </si>
  <si>
    <t>Sin, José María Moscoso de Altamira</t>
  </si>
  <si>
    <t>José María Moscoso de Altamira Sin</t>
  </si>
  <si>
    <t>…endréislo entendido, y dispondréis su cum 5.® Otra del ministro de Negocios extranjeros del gran decado de Badcn plimiento. = Está ruhicado de la Real mano.—En Aranjuez á 22 de fecha en Carlsruhe el 24 de Abii!. Mayo de 1854. = A D. José María Moscoso de Altamira. Sin embargo la autoridad directoría! qree conveniente suspender la respues ta I estas comunicaciones hasta que haya recibido uní contestación deí gobier no de Berna, que pueda cerciorarla sobre si una reunión extraordinaria de la Dieu es realmente necesaria Zurich 29 de Abril de 1834* Por Real decreto…</t>
  </si>
  <si>
    <t>Sin, Lalande</t>
  </si>
  <si>
    <t>Lalande Sin</t>
  </si>
  <si>
    <t>…aumento del cuerpo; razón por que tines Grenadier, Dragón y Dupetit—Thouars serán los únicos buques que á su entender se han debido presentar dos proyectos distintos, dejando el de quedarán en este apostadero bajo las órdenes del capitán Lalande. Sin embargo, gastos para cuando se trate de los presupuestos. el almirante Hugon continúa siendo gefe de toda la escuadra francesa que hay El Sr. D’Argout satisface á los argumentos que se han hecho contra el pro en estos mares. Añaden que dentro de poco saldrá para Malta la escuadra in yecto, procuran…</t>
  </si>
  <si>
    <t>Sin, Miguel</t>
  </si>
  <si>
    <t>Miguel Sin</t>
  </si>
  <si>
    <t>…de Mayo, que el aniversario &lt;je la fiesta de La misma Gaceta dice que aun no está concluida la guerra en Portugal; Hambach, 27 de Mayo, se ha celebrado coa toda tranquilidad, pues aun quedan guerrillas y ordenanzas del partido de D. Miguel. Sin duda no ha llegado todavía á su noticia la órden de que todos dejen las armas, cq TORTUGAu la cual se designan los puntos en que deben hacerlo. Sin duda ignora que si hay Lisboa 11 de Junio, algún pueblo cansado de guerra civil es el pueblo portugués. «Qué guerrillas miguelistas se han visto aparec…</t>
  </si>
  <si>
    <t>Sin, Presidente del Consejo de Sres Ministros</t>
  </si>
  <si>
    <t>Presidente del Consejo de Sres Ministros Sin</t>
  </si>
  <si>
    <t>…cuenta, y el Ksta- las mismas fipeas, con las demas alteraciones á que había dado margen la eje mento quedó enterado, de las siguientes comunicaciones hechas por ei Excelen cución de lo dispuesto por la citada Real cédula. tísimo Sr. Presidente del Consejo de Sres. Ministros. Sin embargo, las comisiones reunidas han visto con particular satisfacción Una poniendo en conocimiento del Estamento haberse servido S. M. la que tanto en las respuestas de los fiscales del Consejo de Castilla, extingui Reina Gobernadora elevar á la dignidad de Procer del reino al Excrao. Se do antes…</t>
  </si>
  <si>
    <t>Sin, Visedo</t>
  </si>
  <si>
    <t>Visedo Sin</t>
  </si>
  <si>
    <t>…támen de la de ser inocente, sino meritorio, v o-fio de»••hed.encía podría merecer castigo. comisión. Me parece que asi se podrían conM-ar ambos extremos.” El Sr. Polo y Monge' «La comisión debe explicar las razones que ha te El! Sr. Visedo-. «Sin perjuicio de 1c* d eho por e! Sr. preopinante, haré nido para hacer algunas ligeras variaciones en este artículo. Ha añadido el caso presente solo, que el quitar la comisión 1a palabra inddiduo del articulo en de alarma imprevista, porque es muy claro que pueden ocurrir casos de esta cuestión , lo…</t>
  </si>
  <si>
    <t>Sin.embargo</t>
  </si>
  <si>
    <t>…ción deis Excmo. Sr. Secretario de Estado y del Despacho de ia Guerra. c Real conservaiorio de Arres,las sociedades de Oranada, Oviedo, Santiago, Scvillaíjr Valencia, y ,1a Real Junta de Comercio de Málaga sucesivamente, y Excmo, Sr..* Sin.embargo de que el Sr. comandante general de la provificía según lo hañ permitido las circunstancias, realizaron la apertura de citas con de Soria, el coronel D. José María Crítue da i V. E. parte p&gt;a esta misma aplauso general y numeroso concurso, que en la asistencia a las lecciones mues fecha d» la acción o…</t>
  </si>
  <si>
    <t>Sirera, Pablo</t>
  </si>
  <si>
    <t>Pablo Sirera</t>
  </si>
  <si>
    <t>…l ra- Lorca.................. . 13 á 13 Setiemb. 13 7 i pao de correos I D listeban de Ayala, administrador del correo general de es— Murció. ...... . 15 á 19 Ídem*. 9 3 i tacarle-, D. Juan Regis de Castro, visitador de la renta; D. Pablo Sirera, Idem.................... . Enfermedades escontador de las Reales diligencias; O. Joaquín Arel laño, oficial mayor de! mis porfídicas... .. 116 11 00 mo correo general, y O. Leoncio Nuñcz Arenas, secretario con voto; sin per Muía.................... • ó á 9 ídem. ...« 35 17 1 juicio de agregar otro…</t>
  </si>
  <si>
    <t>Sirleo</t>
  </si>
  <si>
    <t>…am bién Cosme de Médicis, gran duque de Tosca na, i ■: Ademas de la famosa biblioteca referida, habia otra muy excelente en PARTE NO OFICIAL. Roma, que era la del colegio de los cánones de S. Pedro, en el Vaticano; la del erudito cardenal Sirleo, compuesta principalmente de autores griegos, y WOTICIAS EXTRANGERAS, valuada en 2UUU0 escudos; la del cardenal Colorína; las bibliotecas Sforziana y Tarciana que abundan en libros griegos, ademas de un gran número de otras particulares que contenían libros raros y preciosas curiosidades. De esta c…</t>
  </si>
  <si>
    <t>Sírtó</t>
  </si>
  <si>
    <t>…pio mes fallecieron 3 coléricos eñ Moñ- . El captan general de Alago»/coa fecha dé &amp; de Diciembre ditigeel oficie .dOñédoV-y quiten la parroquia de Cillero había perecido btrtí de lá misma en siguiente: v J-- fermedad, Eíceiftft. Sr. Sírtó he ríóibkk) partes del cürtrflcl Rebolló y ífci gobernador de Alcañiz. Dél primero tefigo él honor ¡ dé, acompañar á V. E. arta Copia’, i., PxpVtUCiA ¡DE OVIEDO. potra da alguna idea dé la situácion dé los pVineipaléS cabecilla». El segundo dice tjóé' él cabecilla Montañés eStitvtj en las Parra» el…</t>
  </si>
  <si>
    <t>Sirtor.ius</t>
  </si>
  <si>
    <t>…i V. M. se digna acogerlos ton aquella cerjs, ni de parte del violento partido democrático. (Idem) bondad que tanto le distingue entre los Reres. Habana y Setiembre 13 de 18.^3.=: -----..Las diferencias entre sir John Doy le y el almirante Sirtor.ius, que habían , Señorees A L. R. P. de V. M.ccFr. Remigio Zemuda, rector y cunceia:iu.=¿ tenido principio cuando ambo» servíanservían enen Portugal , se han terminado pacífica- ■; jprl Aiitofiio de Fuente y Fmnco.rssDó Juan Josef de Hcvia. mente, y quedan ya reconciliados estos dos apieciabl^» milita…</t>
  </si>
  <si>
    <t>Sirven, Antonio</t>
  </si>
  <si>
    <t>Antonio Sirven</t>
  </si>
  <si>
    <t>…nos para socorro de los enfermos, aquel establecimiento; y mandar sean repuestos en sus plazas de médicos de nú y meneJterosos.de esta capital con motivo de las enfermedades que se pa-&gt; mero de los Reales hospitales de esta corte D. Antonio Sirven! y D. Andrés decen. •„ Melendez; y en las dé cirujanos de los mismos D. Valentin Alvarez y Don Rs. vn. Miguel Sacristán. D. M. de R............................................................................................ 60 D. León Ponce...........................................................…</t>
  </si>
  <si>
    <t>Sistemes, Joaquín</t>
  </si>
  <si>
    <t>Joaquín Sistemes</t>
  </si>
  <si>
    <t>…: á Don Francisco del Pino por la de artillería: á D. Manuel Pueyo por la Real orden. de ingenieros, ,y i D. Francisco Ramonet por la de caballería: S. M. la Reína Gobernadora se ha dignado conferir la ca para ministros togados á D. Joaquín Sistemes , D. Juan José De pitanía general del departamento de Cádiz al teniente general de licado y Diaz y D. Juan de la Dehesa: para fiscal militar á Don la Real armada D. Cayetano Valdés, en consideración á su leal José María Cienfuegos: para fiscal togado á D. Eugenio Larrum- tad , dilatados servicios,…</t>
  </si>
  <si>
    <t>Sita, Manuel</t>
  </si>
  <si>
    <t>Manuel Sita</t>
  </si>
  <si>
    <t>…nados para la facción de Navarra, y ha en S. 31. la Reirá Gobernadora se ha servido nombrar en calidad comiado unas camisas, pantalones, capotes, corbatas y hachas de zapadores, de interinos para la vara de la villa de Belmonte á D. Manuel Sita pero en muy corto número, y todo en malísimo estado ds servicios »¡n em res Valdés: para la de Gangas de Oats á D. Amero Rubín; para la bargo se ha recogido. ~ de Cangas de Tineo á D. Pedro Pidal: para la de Grandas de Salime • á D. Manuel Queipo de Llano: para la de Llanes á D. Bernardo ____El ] O…</t>
  </si>
  <si>
    <t>Sixto, Cayetano</t>
  </si>
  <si>
    <t>Cayetano Sixto</t>
  </si>
  <si>
    <t>…ar á grandes mejoras en la crítica de sus ediciones, anotaciones, índices, variantes del texto latino, y la apología estructura de los telares, en el modo de urdir y en el de conducir la lanzade de este excelente historiador; por D. Cayetano Sixto, presbítero, y D. Joaquín Es ra. Estas mejoras y las que recibió el arte de hilar, junto con la máquina de querra, profesor de humanidades. Cuatro tomos en 4*° mayor, edición de 1794, á 89 rs. rama y 110 pasta comun. Traducida esta historia por el Sr. Coloma, supo conservar Johnson acabarán de perf…</t>
  </si>
  <si>
    <t>Slittany, Gerard</t>
  </si>
  <si>
    <t>Gerard Slittany</t>
  </si>
  <si>
    <t>…sabe cuándo pddrá conseguirlo. Mientras tanto experimenta todos los efectos te del consejo de Ministros y secretario del despacho' de la Guerra, mariscal de U maU voluntad de la Puerta, pues ni ha sido admitido á la audiencia del conde Gerard. Slittany m há logrado que te_den las órdenes necesarias para que un solo buque griego pueda pasar los Dardanelot. De este modo las súbditos de su nación se Antes de dejar el ministerio el marisca! Soult, y en virtud de proposición hallan realmente excluidos definir Negro. de la dirección de caballería i inf…</t>
  </si>
  <si>
    <t>Smon, S</t>
  </si>
  <si>
    <t>S Smon</t>
  </si>
  <si>
    <t>…tálico escapea sobremanera en España, y C Cipo Te j id a , Ochoa, Ciscar ( D. Jo&lt;é), Can-ion , Huhercase, conde de Adade ello es una buena prueba el precio ínfimo de muchos frutos á pesar de la nero, Romante, Garay , Laborda, Del Rey, S. Smon , Qutmana y Arango. escasez de las cosechas; y como todos los impuestos deben pagarse y recau Se abstuvieron de votar ios Sres. Uííoa, marques de Aslánz, Latorre y darse en metálico, es menester que seamos sumamente económicos en su dis Alvarez García. tribución. „ Se leyó el párrafo del dictamen d…</t>
  </si>
  <si>
    <t>Smtibdflez, Luis Antonio</t>
  </si>
  <si>
    <t>Luis Antonio Smtibdflez</t>
  </si>
  <si>
    <t>…alcalde de corté D. Antonio Josef Gallado, grama que manifestaría su aprecio y gratitud al maestro de primeras letras que refrendada del escribano de provincia D. Josef Urrutia, se convoca á los acreedores ausentes é ignorados de D. Luis Antonio Smtibdflez, vecino que fue de esta corte, presentase ^íscípuios perfectamente instruidos, con todo, visto el esmero con para que concurran el 19 d«M corriente a las diez de su mañana á la posada de S. S., que D. Miguel Jimene/. y Urbina había establecido su escuela, y el aprovecha que la tiene en la Carrera d…</t>
  </si>
  <si>
    <t>Sniith</t>
  </si>
  <si>
    <t>…lAndtet 3 de Oí (ubre. WtNISTEÉIO DÉ HACIENDA. Sé lee en el South—African—Advertiste del 11 dé julio lo siguiente: Real orden. «El jueves por la mañana la dxpédicion encargada de explorar el Africa central, bajo la dirección del doctor Sniith, ha empacado Su peligrosa empresa Habiendo dado cuenta á la Reina Gobernadora del expedienté Los exploradores son el doetor Sniith, él capitán Edyé del regimiento 98,Instruido: á instancia del subdelegado de rentas del partido de Baza, Mr. Garlos Béll, Mr. Burrow, ademas dos indids que debed acompa…</t>
  </si>
  <si>
    <t>Snque</t>
  </si>
  <si>
    <t>…e Inglaterra y de los Estados-Unidos, como también mu lio; (Diario de Parts.') chos comerciantes y capitalistas del comercio francés. Los numerosos brindis que ha habido en este festín , eran todos alusivos á la feliz armonía qne reina Snque el principe de Joinville debe marchar á Brest en los prime hoy entre las cuatro naciones, cuya imponente alianza es una garantía segura ros dias de Agosto, y allí sufrirá el examen de los alumnos de la marina. En de la dicha y libertad de los dos mundos. Siguió á la comida un gran baile, á seguida…</t>
  </si>
  <si>
    <t>Sntomavor</t>
  </si>
  <si>
    <t>…as en el re á las que se necesitan para ser Procurador; mas sus ocupaciones no le han per glamento. mitido de ninguna manera el hacer las diligencias necesarias para justificarlo; «Se ha dicho que la comisión es muy severa con el Sr. Sntomavor: pero en cuya virtud el Estamento resolverá lo que tenga por conveniente.” no Jo es mas con él que con los demás, pues no es dueña de serlo. La comisión Se leyó el art. 16 del reglamento. no es arbitra de aprobar ó no los poderes y documentos; e»lo solo el Estamen Un Sr. Procurador pidió que se le…</t>
  </si>
  <si>
    <t>So, Alvarez</t>
  </si>
  <si>
    <t>Alvarez So</t>
  </si>
  <si>
    <t>…tes solo se entienden de ios presuntos Procu El Sr. González Alonso: «Pido que se suspenda la resolución de este radores que se hallan presentes , y de ningún modo de los que están ausentes. dictámen hasta que se resuelva el del Sr. Alvarez So toma y or, por la analogía A los presentes se les permite deliberar y discutir sobre los poderes, y aun que tienen entre sí, y entonces se podrá resolver con mas acierto.” hablar á los interesados respecto de sus poderes , y solo se Ies impide votar en Sr. Medratto: «No hay tanta analogía entre amb…</t>
  </si>
  <si>
    <t>So, María Antonia</t>
  </si>
  <si>
    <t>María Antonia So</t>
  </si>
  <si>
    <t>…pescados y damas alimentos y bebidas. Un romo en 4&gt;¿ / (O - Se hallará en U imprenta de D. León ¿marica, plazuela de Celen que, y en 4 14 rs.: te vende en Madrid en Jas libteriu de Matute, Sánchez yGuata, y en Un* la librería de Doña'María Antonia So jo, ^aliede Carretas, á 17 n. en rústica. prenta de Burgos.. 1 EN LA IMPRENTA REAL.</t>
  </si>
  <si>
    <t>Soases</t>
  </si>
  <si>
    <t>…urgo* 00. Barcelona* 4 pt £u, Málaga* 4 b. para que representando á S. A. R. pudiese celebrar el acto religioso del ca Inóndres * 4 90 dias* i id. Santander* 1 id. 4 4 p. 100 41 aáo. samiento. - sai* Bilbao, ¿4. Santiago* 1 d. El Sr. Soases leyó el dictamen de la' comisión encargada de informar so bre el establecimiento de-un diario dé'Córtes; y la Cámara, conformándose con el- parecer de. la comisión, acordó que se den 8uu$ reís á los 8 primeros ANUNCIO?. taquígrafos, bajo condición ét presentar diariamente sus trabajos al profesor d…</t>
  </si>
  <si>
    <t>Soases, El Sr</t>
  </si>
  <si>
    <t>El Sr Soases</t>
  </si>
  <si>
    <t>…a Hamburgo* 00. Barcelona* 4 pt £u, Málaga* 4 b. para que representando á S. A. R. pudiese celebrar el acto religioso del ca Inóndres * 4 90 dias* i id. Santander* 1 id. 4 4 p. 100 41 aáo. samiento. - sai* Bilbao, ¿4. Santiago* 1 d. El Sr. Soases leyó el dictamen de la' comisión encargada de informar so bre el establecimiento de-un diario dé'Córtes; y la Cámara, conformándose con el- parecer de. la comisión, acordó que se den 8uu$ reís á los 8 primeros ANUNCIO?. taquígrafos, bajo condición ét presentar diariamente sus trabajos al profesor d…</t>
  </si>
  <si>
    <t>Sobarzo, Miguel Maté y</t>
  </si>
  <si>
    <t>Miguel Maté y Sobarzo</t>
  </si>
  <si>
    <t>…nidadhacen deá losJa buquesvilla y quepuertoentrande enSuances,dicho puerto.por la asistenciaIfOS aspirantesá las visitasdirigiránde i í.carne cocida de caballo comprimida entre dos piedras, ó dispuesta por otros su6 memoriales á D. Miguel Maté y Sobarzo, presbítero, curi párroco dé Suances, en métodos no menos asquerosos y singulares que este. el término de un mes; advirtiéndose que no se admitirá ninguno que carexcá del titu Creyeron dos de estos misioneros, fundados en algunos vagos indicios, que lo de cirujano latino. - «En el juzgado del Sr. N…</t>
  </si>
  <si>
    <t>Soblechero, Antonio</t>
  </si>
  <si>
    <t>Antonio Soblechero</t>
  </si>
  <si>
    <t>…ncipal de Andújar, que le fue conferida por Real orden de 27 EFECTOS PUBLICOS. de Setiembre último, mandando qué continúe en su actual destino, y nom Inscripciones en el gran llbroi i p. 100, 00. brando administrador de Andújar á D. Antonio Soblechero, que lo es de la Títulos al portador del J p. IQ0» 19 al contado: 61, 60*. 61* y Í9 4 varias A 6 yoL{ estafeta del Ferrol, y oficial segundo cesante de la tesorería general de la Inscripciones en el gran libro á 4 p. 100, 00. Renta. Títulos al portador del 4 p. IDO, 12* al contado: 13*; *, *, 54. Í…</t>
  </si>
  <si>
    <t>Sobrado, Gerónimo</t>
  </si>
  <si>
    <t>Gerónimo Sobrado</t>
  </si>
  <si>
    <t>…an guardar y cumplir en los términos que en dicha ley se previene. S. AL se ha servido separar de sus destinos á los oficiales de la dirección (.Gaceta ojic&amp;t del gobierno de Lisboa.) general de Correos 2.° D. Joaquín Cordero, 4° D. Gerónimo Sobrado, 16 P. Julián Barbajosa, 18 D. Manuel González Serrano, 19 D. Francisco So____ El dia 20 del corriente á las diez de la mañana pasó S. M. F., acompaña malo y Torres, y 21 P. Santiago Manuel de Arteaga, mandando que queden da de Ja camarera mayor, de la dama y del gentilhombre de servicio, 7 de la e…</t>
  </si>
  <si>
    <t>Sobre</t>
  </si>
  <si>
    <t>…pueden ser de muchísima utilidad. Republicano , y otro el hegitimista. 14 Cámara toma en consideración la propuesta del Sr. Lafitte. Hace ver que no hay motivo ninguno para rezelar que el gobierno se valga Principia'la discusión general Sobre el proyecto de ley relativo á los que de esta ley para influir en las elecciones; y después de recordar. los insultos y venden por laS calles foHetos, lítogírafias &amp;c. ultrajes que han sufrido algunos jurados que han tenido ánimo para cumplir tus . El Sr. Pagés cree que la policía tiene medios sufi…</t>
  </si>
  <si>
    <t>Sobreponiéndose</t>
  </si>
  <si>
    <t>…n embargo la tendencia común que suelen rño tüia'séñaHdd dé previsión y dé prudencia, ai abrazar desde luego y con de ordinario confundirse, según el curso de íós tiempos. Cuando dominaba tanta decisión tacáusaiée la Rbws nuestra Señora. Sobreponiéndose á tradi- ■ el régimen feudal, se decia que la corona era un gran feudo: arraigada después clones 'dé familia,' i antigua» prevenciones , á conceptos políticos arraigados la manía de vinculaciones y mayorazgos, se dijo que la sucesión I la corona por la costumbre' y por el hábito, conoeió aquel Mona…</t>
  </si>
  <si>
    <t>Socalan, Gaspar Eabadílla y D José</t>
  </si>
  <si>
    <t>Gaspar Eabadílla y D José Socalan</t>
  </si>
  <si>
    <t>…ares observase los movimientos de los .facciosos disper pérsos, no puede menos de que sean aprehendidos. El ex presado ge fe recomien-l sos; ¿ hito Convoyar; desdé Medina 19 fusiles y otros muchos pertrechos de da á los capitanes D. Gaspar Eabadílla y D. José Socalan, y al teniente Don f guerra -que el comandante de la columna de la Princesa habia recogido en va— Santiago Pérez, comandantes de las tres columnas, como también á los demas j rios diarritce , depositando uno y otro en Villatcayq,, adonde dejó de guarni- oficiales y tropa de la misma por su entusias…</t>
  </si>
  <si>
    <t>Socalan, José</t>
  </si>
  <si>
    <t>José Socalan</t>
  </si>
  <si>
    <t>…imientos de los .facciosos disper pérsos, no puede menos de que sean aprehendidos. El ex presado ge fe recomien-l sos; ¿ hito Convoyar; desdé Medina 19 fusiles y otros muchos pertrechos de da á los capitanes D. Gaspar Eabadílla y D. José Socalan, y al teniente Don f guerra -que el comandante de la columna de la Princesa habia recogido en va— Santiago Pérez, comandantes de las tres columnas, como también á los demas j rios diarritce , depositando uno y otro en Villatcayq,, adonde dejó de guarni- oficiales y tropa de la misma por su entusias…</t>
  </si>
  <si>
    <t>SoIá</t>
  </si>
  <si>
    <t>…(el ayuntamiento de) ' ; ' 1 Gallo, ni tampoco Ips ricos arabescos de claro-oscuro j de oro trabajados pór Torroelta de Montarte (el alcalde, ayuntamiento y Yecindario de) el "célebre Josef Caiópfcrese. Con ésta idea proyectíQel Sr.’ SoIá un magnifico ec Teberife. (la Real sociedad Económica dé) catafalco, cuyos diseños fueron encargados á los dos alumnos Afeare* y'McsV Trobtijena. (el torregldtw y «yUntamientO dé) y U ejecución del táifmlo y detnasf adh?rentes al pintor español Cabanas, mien ¡-i ¡ Trujill&lt;x (eI ulcaldé y 'iiyon(irt…</t>
  </si>
  <si>
    <t>Soio</t>
  </si>
  <si>
    <t>…de ficar los documentos del Sr. Sotomayor, pues ya se hizo en una sesión ante este dia de intermedio para desplegar su celo , á fin de que lo* trabajos que les rior, en que se resolvió lo conveniente. En virtud de esto acudió el Sr. Soio- están cometidos se aceleren. Ciérrase la sesión.” anajror al Sr. Presidente con otra exposición, según previene el art. 16; pero Se levantó esta á Ui dos menos cuarto. * 7 EN IA IMPRENTA REAL</t>
  </si>
  <si>
    <t>Sojo, Antonia</t>
  </si>
  <si>
    <t>Antonia Sojo</t>
  </si>
  <si>
    <t>…en y unan bien &amp;c., y asi igualmente á las de que en Cartagena habian ocurrido desde el dia 12 al 27 de Agostó 929 enfer más artes. mos, de los cuales fallecieron 330; que en cinco pueblos de la provincia seguia En la librería de Doña Antonia Sojo, calle de Carretas, se venden los la enfermedad su curso ordinario, y que en otros ocho habia principiado á mapas construidos por los mismos, de siete cuartas en cuadro, que son los ma ceder. yores que existen, por el módico precio de dos pesetas, y que pueden servir PROVINCIA BE SORIA. en las escu…</t>
  </si>
  <si>
    <t>Sojo, D Javier de Bur</t>
  </si>
  <si>
    <t>D Javier de Bur Sojo</t>
  </si>
  <si>
    <t>…s por diferentes.suParte sanitario. getos de todas edades, y la suma sencillez y facilidad de la nueva teoría. Pueblos- Días. Enferitios. Curados. 4 Fallecidos. ANUNCIOS. Observaciones sobre el empréstito Guebharci, por el Bxcmo. Sr. D. Javier de Bur 1834. Sojo. reino. de Se vende en librería Madrid, la , Procer del Ablitas ............ 24 á 26 Setiemb. 85 6 i gos que ejercen párrocos de los cura -Deberes ministros la y demas Idem . ..i./:... No consta. 20 No consta. lación al desempeño de sus cargos en tiempos de enfermedades contagiosas;ils almas,sacados…</t>
  </si>
  <si>
    <t>Sojo, Javier de Bur</t>
  </si>
  <si>
    <t>Javier de Bur Sojo</t>
  </si>
  <si>
    <t>…r diferentes.suParte sanitario. getos de todas edades, y la suma sencillez y facilidad de la nueva teoría. Pueblos- Días. Enferitios. Curados. 4 Fallecidos. ANUNCIOS. Observaciones sobre el empréstito Guebharci, por el Bxcmo. Sr. D. Javier de Bur 1834. Sojo. reino. de Se vende en librería Madrid, la , Procer del Ablitas ............ 24 á 26 Setiemb. 85 6 i gos que ejercen párrocos de los cura -Deberes ministros la y demas Idem . ..i./:... No consta. 20 No consta. lación al desempeño de sus cargos en tiempos de enfermedades contagiosas;ils almas,sacados…</t>
  </si>
  <si>
    <t>Sojo, Julián</t>
  </si>
  <si>
    <t>Julián Sojo</t>
  </si>
  <si>
    <t>…s escalas.” Se levanta la sesión. de limes, también electo para ia de Granada. - IDEM DE IOS DI PVT A DOS. __JV/ ion de idem. Ha venido igualmente en conceder honores de la audiencia de Madrid i los I I tenientes de villa y corte D. Julián Sojo, D..Santos López Pelegrin y D. Pe-; Principia la discusión general del proyecto de ley sobre el estado de los dro Jiménez Navarro. ' oficiales. El Sr. Delaborde aprueba el proyecto, si se hacen algunas variaciones, También se ha servido nombrar S, M. para la vara de alcalde mayor 1.® ue á su entend…</t>
  </si>
  <si>
    <t>…Está rubricado de la Real mano-=En Palacio á 9 de Febrero I Para las tres plazas de tenientes de la villa y corte de Madrid, creadas por de 1834-=cAl Presidente del Consejo y Cámara de Castilla. 1 mi decreto de este día, nombro á D. Julián Sojo, D. Santos López Pelegrin ,y Exposición á S. áf. les Reisa G obcmxAoxcs. D. Pedro Jiménez Navarro. Tendráse entendido en la Cámara para su cumplímiento.=Éstá rubricado de la Real mano.=En Palacio á 9 de Febrero de 1834- Señora: -El ayuntamiento de la ciudad de Lérida, una de la* de voto en I erAl P…</t>
  </si>
  <si>
    <t>Sojo, María Antonia</t>
  </si>
  <si>
    <t>María Antonia Sojo</t>
  </si>
  <si>
    <t>…icación; y en este ha señalado para tan solemne acto el 19 de No tham, por Esteban Dumont: traducido al castellano. Madrid, 1834* Véndese viembre. Ningún dia mas proporcionado i la sociedad para hacer pública su en la librería de Doña María Antonia Sojo, y en la imprenta de D. León beneficencia; es el plausible de nuestra Rbiha Doña Isabel ti; y la sociedad, Amanta, plazuela de Celenque, á 12 rs. rústica* eligiéndolo para la distribución de los premios, manifiesta sus sentimientos de Bien sabido es el célebre principio de Bentbam en materia de leg…</t>
  </si>
  <si>
    <t>SoKs</t>
  </si>
  <si>
    <t>…ue considerando á Su Santidad bajo el segundo aspecto, No me extendere sobre lo que se sabe que dijeron, porque no hay Hterüii. que mas permanente y elevado, como cabeza visible de la Iglesia Católica no ha ignore el dictamen de! Sr. SoKs , obispo de Lérida. Dijeron que podía expeler mostrado señal alguna de insulto ni desprecio hacia la Nación española. Al ó extrañar del reino al Nuncio apostólico y abolir el tribunal de la Nunciatu contrario, he indicado que se habían dado pasos sumamente conciliatorios, y ra; y si mal no me acuer…</t>
  </si>
  <si>
    <t>Sol.ins, Josef</t>
  </si>
  <si>
    <t>Josef Sol.ins</t>
  </si>
  <si>
    <t>…árceles han sido objeto de su solicitud; y después de haber oficiales del mismo cuerpo los capitanes el teniente coronel graduado D. Ignacio hecho en ellas las mejoras del momento que estaban á su alcance, ha encargado La Puente, D. Josef Sol.ins, el teniente coronel graduado D. Pedro Rute, di ayuntamiento lé proponga arbitrios de que se pueda echar mano para aten D. Miguel La Cuadra, D. Josef Gómez Cano, D. Ignacio Beza y D. Jbsef der á Ia manutención de los presos, confiada ahora solamente a la caridad pu Alavarrv; los tenientes el capitá…</t>
  </si>
  <si>
    <t>Sola</t>
  </si>
  <si>
    <t>…precisión de leans, que hah merecido los aplausos de todos los inteligentes, esculpirá en la estar en la Cámara de los diputados, me haya privado ijael gusto de oir las ob iglesia de Jesus y María el monumento del conde CÍn¡. El caballero Sola , di servaciones que el Sr. marques de Dreux ha hecho acerca de la política que el rector de la academia española establecida en Roma, se ocupa actualmente en gobierno sigue en sus relaciones exteriores. Con todo, algunos de mis amigos fundir en bronce la estatua dél inmortal Cervantes. han tenido…</t>
  </si>
  <si>
    <t>Sola, Antonio</t>
  </si>
  <si>
    <t>Antonio Sola</t>
  </si>
  <si>
    <t>…Los'batidores de lanceros del Rey, que desde el principio de la forma La estatua del Rey Fernando, construida en Roma por el célebre cscut- T° ción estarán á la derecha de la artillería/romperán la marcha cuando se or tor español D. Antonio Sola, se halla colocada sobre un pedestal de marmol déne: séjuirá la artillería hasta dejar terreno suficiente al primer batallón en blanco estatuario, del órden corintio, sobre un zócalo que se eleva enclueco-* tran -ángulo del N. O. de ha plaza con la puerta de la casa de la intendencia, tro de una gr…</t>
  </si>
  <si>
    <t>Solana, D Lorenzo</t>
  </si>
  <si>
    <t>D Lorenzo Solana</t>
  </si>
  <si>
    <t>…tanto celo que un dia dispuse treinta y cinco útiles de todo, por que se hallaban S«ñor=A consecuencia de cuanto tuve la .honra de participar á armados y equipados, por que de todos se recogió y embio á firt V. M. por el teniente coronel D. Lorenzo Solana me puse en de poner esta gente en estado de un buen servicio. Esta actividad marcha desde A vis para el Guadiana: pero al preesentarme en Ebo- me produjo un disgusto. Viendo yo anciosos á los buenos españo ra al comandante general del Alcntcjo conde de Bourmont. no se les por nuestra entrada en Esp…</t>
  </si>
  <si>
    <t>Solana, Lorenzo</t>
  </si>
  <si>
    <t>Lorenzo Solana</t>
  </si>
  <si>
    <t>…lo que un dia dispuse treinta y cinco útiles de todo, por que se hallaban S«ñor=A consecuencia de cuanto tuve la .honra de participar á armados y equipados, por que de todos se recogió y embio á firt V. M. por el teniente coronel D. Lorenzo Solana me puse en de poner esta gente en estado de un buen servicio. Esta actividad marcha desde A vis para el Guadiana: pero al preesentarme en Ebo- me produjo un disgusto. Viendo yo anciosos á los buenos españo ra al comandante general del Alcntcjo conde de Bourmont. no se les por nuestra entrada en Esp…</t>
  </si>
  <si>
    <t>Solano</t>
  </si>
  <si>
    <t>…esos en los pueblos antiguos. tiene á sus órdenes , el que arrolló al enemigo completamente al mismo tiem Traducción del francés al castellano, en 5 tomos en 4*°* edición de 1791 y 94 £ po que los cazadores del 12 de línea con su capitán Solano, los del 6.° á las 105 rs- vn. y 80 en ruina. órdenes del suyo D. Andrés Herrera, y el subteniente Lagera , acometieron -------Anales eclesiásticos y seculares de la muy noble y muy leal ciudad de Sevilla, metrópoli de la Andalucía, quecontienen sus mas principales memorias desde el ano por Jos fla…</t>
  </si>
  <si>
    <t>Solano, Cristóbal Rodríguez</t>
  </si>
  <si>
    <t>Cristóbal Rodríguez Solano</t>
  </si>
  <si>
    <t>…Cámara: en dicha villa: desde 1.® de £1 Real decreto de amnistía colmó al fin,todos sus deseos; apcngs llegó á Mayo á fin de Octubre. su noticia cuando se apresuraron í impetrar sus beneficios. S. M. acogió benig Baños de Bejar. D. Cristóbal Rodríguez Solano , en Salamanca: desde 1.“ namente este rasgo de amor pátrio, y accedió á su solicitud, sin mas condición de Junio hasta fin de Setiembre. que la justa y razonable de que cumpliesen el empeño que con el gobierno Ledesma. D. José Alegre Galan, en Madrid: desde l.° Junio a 30 de francés hablan contrai…</t>
  </si>
  <si>
    <t>Solano, Mariano Torres y</t>
  </si>
  <si>
    <t>Mariano Torres y Solano</t>
  </si>
  <si>
    <t>…objeto, cuales fueron poner a! rededor del Monarca consejeros pér ra por la provincia de Gerona, en reemplazo de D. Jo»é Fina del Villar; y fidos para que estuviese en pugna con la asamblea, corromper escritores, tra la de la de D. Mariano Torres y Solano por la provincia de Salamanca, para tar de ganar algunos miembros de la asamblea, como oportunamente dijo el reemplazar al Sr- marques de Villacampo. Se mandaron pasar á la comisión Sr. conde de Torcno en la última sesión ; pero la mayoría del Gobierno y de Poderes. asamblea , y el ejército y milic…</t>
  </si>
  <si>
    <t>Solanot, D Mariano Torres y</t>
  </si>
  <si>
    <t>D Mariano Torres y Solanot</t>
  </si>
  <si>
    <t>…gratitud las nobles muestras de humanidad con que supo PROVÍNCIA DE HUESCA. haóe'r menos aciagos los efectos de la cruel epidemia que hemos sufrido: y abundando igualmente la junta en los deseos de S. E., acordó se haga el día 30 Sr. D. Mariano Torres y Solanot del corriente la distribución propuesta, anunciándose por los diarios de esta ciudad para que los interesados se presenten en el palacio á las once del indi cado dia. Habana 28 de Mayo de 1834--=Anastasio Carrillo, vocal secretario. - Al público. Desde el mes de Setiembre de 1832 formé la idea de const…</t>
  </si>
  <si>
    <t>Solanot, Mariano Torres y</t>
  </si>
  <si>
    <t>Mariano Torres y Solanot</t>
  </si>
  <si>
    <t>…itud las nobles muestras de humanidad con que supo PROVÍNCIA DE HUESCA. haóe'r menos aciagos los efectos de la cruel epidemia que hemos sufrido: y abundando igualmente la junta en los deseos de S. E., acordó se haga el día 30 Sr. D. Mariano Torres y Solanot del corriente la distribución propuesta, anunciándose por los diarios de esta ciudad para que los interesados se presenten en el palacio á las once del indi cado dia. Habana 28 de Mayo de 1834--=Anastasio Carrillo, vocal secretario. - Al público. Desde el mes de Setiembre de 1832 formé la idea de const…</t>
  </si>
  <si>
    <t>Solanot, Torre</t>
  </si>
  <si>
    <t>Torre Solanot</t>
  </si>
  <si>
    <t>…entase, no es ría ponerse un freno, imponiéndoles una pena pecuniaria ó el pago de las cos tarían ya los buques en el caso de considerarle como bienes mostrencos. tas causadas por las denuncias que injustamente hubiesen hecho. El Sr. Torre Solanot expuso que aun cuándo los buques naufragados , ó El Sr, Secretario dél Despacho de Gracia y Justicia contestómué no 'ha cualquiera otro objeto,se considerase como un bien m&amp;Gtrenco, en el momen bría inconveniente en admitir la adición indicada por el Sr. Preopinante si se to de ser aprehendidos, es…</t>
  </si>
  <si>
    <t>…e había cobrado ia imposición, desde el 1808 á 1814, y desde ei 1H20 favorable resultado para la Nación en general, es seguro también que ya pof ‘ al 1823. la parte deniego que solo proporciona al reino de Aragón, y ya también El Sr. Torre Solanot apoyó, en un discurso que no pudimos oír bien, las porque no se le ha dado todavía mayor extensión , las utilidades que en ei dia observaciones del Sr. Laborda y la petición. Manifestó que si se consideraba el proporciona se limitan solo á Aiagon y algo quizá á Navarra , donde tiene su canal imperi…</t>
  </si>
  <si>
    <t>Solanot, Torres</t>
  </si>
  <si>
    <t>Torres Solanot</t>
  </si>
  <si>
    <t>…rno sus observaciones, sometiéndolas a la deliberación del tad del valor del tesoro al que io encontrase , y posteriormente se conceptuó Estamento.” suficiente la cuarta parle. Yo preguntare ahora al Sr. Secretario de Gracia y El Sr. Torres Solanot: "No es muy antigua nuestra legislación sobre Justicia, si á pesar de las varias'adquisiciones que se hayan podido ha^sr de te bienes mostrencos; pero son grandes los daños que ha ocasionado y ocasiona a soros, alhajas y dinero que no hayan tenido dueño conocido, le consta ó sabe los interese» part…</t>
  </si>
  <si>
    <t>…s de administración, y que'nunca el verdadero dueño quede defraudado recho. En uno ú otro caso solo responderá de la cantidad líquida que hubiese de la esperanza de recobrar una cosa que le pertenece.” ingresado en sus arcas.” El Sr. Torres Solanot: «Por laudable que sea el celo del Sr. Diez Gon Leído este artículo , el Sr. Ochoa hizo algunas observaciones para demos zález en querer aplicar á las sociedades económicas los bienes mostrencos, á trar que debería suprimirse el último período de él; y habiéndose declarado el pesarle artes yo adict…</t>
  </si>
  <si>
    <t>…Estado; que es la razón porque yo los he considerado como to de Gerónimos; se han tratado de justificar las adquisiciones hechas en 1473, mostrencos." y el documento que se presenta al efecto es una carta puebla de Alfonso xn. El Sr. Torres Solanot hizo presente que creía innecesaria la adición pre «El Estamento me permitirá hacer una corta narración para demostrar que sentada por el Sr. González, coincidiendo con la idea manifestada por el *ces nulo este privilegio. Alfonso xit usurpó lacorona á su hermano Hcnnque iv, ñor Secretario de Graci…</t>
  </si>
  <si>
    <t>…be molestar al detentador, que era muy justo; pero que no lo gado de riquezas le puede decir : ó re ahogas me quedo con el cargamento, hacia la ley. y esto es váiido. Nuestras autoridades de Marina, llenas de filantropía, sumi El Sr. Torres Solanot dijo que atendiendo á lo que había manifestado el nistran anclas, cables y buques menores; pero con un miserable jornal se paga ¿ Sr. Secretario (de Gracia y Justicia no tenia nada que añadir, y qué en su con los que contribuyen á este salvamento. Pues ¿qué dificultad hay en que á los que cepto era…</t>
  </si>
  <si>
    <t>Solanot, Torres y</t>
  </si>
  <si>
    <t>Torres y Solanot</t>
  </si>
  <si>
    <t>…orremejía, y la moral santa, y el inspirar mayor apego, mas viva inclinación al matrimo haciendo ademas las aclaraciones ú adiciones oportunas. nio. En este sentido las disposiciones relativas á los hijos naturales han sido la El Sr. Torres y Solanot, como individuo de la comisión, contestó á las modificación del principio; pero no por eso ha sido menos reconocido. observaciones del Sr. marques de Torremejía, que el mismo artículo en cues »Lo fue en la antigua legislación municipal de Castilla , y si quisiera ci tión (que leyó) manifestaba resp…</t>
  </si>
  <si>
    <t>Solanova, Mariano de Tormes y</t>
  </si>
  <si>
    <t>Mariano de Tormes y Solanova</t>
  </si>
  <si>
    <t>…o. Setiembre de 1834. = EI marques de Monte» írgen. = Alvaro Florea Entrada. También se mandaron pasar i la misma los poderes jr documentos justifi Ei Sr. Presidente : «Antes de pasar adelante conviene que el E&gt;tamenio cativos de D. Mariano de Tormes y Solanova, electo Procurador por la pro se enteje de los arts. 96, 56 y 57 dei reglamento.” (Los lejó el Secretario vincia de Huesca. Trucha) Se pasaron también i la misma los nuevos documentos que presentó Don F.l Sr. Trueha dió cuenta de una proposición del Sr. Chacón , que dice Alvaro de Naviá Osorio, i q…</t>
  </si>
  <si>
    <t>Solar, D José</t>
  </si>
  <si>
    <t>D José Solar</t>
  </si>
  <si>
    <t>…corriendo á derecha ¿ izquierda: Samaniego d’rigió á su bata El entusiasmo imponderable de los soldados de Borbon; el valor y deci llón y compañía de Alcázar según creyó oportuno, subdividiendolo en pelo sión de su-comandante el teniente D. José Solar y del subteniente graduado de tones; la demas fuerza avanzó en columna. Aturdidos los enemigos del valor teniente D. Vicente •Pozollano* me decidieron á dar al enemigo una carga im de la tropa, iban en el inas completo desorden. petuosa á Ja voz de .viva Isabel ii , antes que los rebeldes ordenasen du fo…</t>
  </si>
  <si>
    <t>Solar, José</t>
  </si>
  <si>
    <t>José Solar</t>
  </si>
  <si>
    <t>…o á derecha ¿ izquierda: Samaniego d’rigió á su bata El entusiasmo imponderable de los soldados de Borbon; el valor y deci llón y compañía de Alcázar según creyó oportuno, subdividiendolo en pelo sión de su-comandante el teniente D. José Solar y del subteniente graduado de tones; la demas fuerza avanzó en columna. Aturdidos los enemigos del valor teniente D. Vicente •Pozollano* me decidieron á dar al enemigo una carga im de la tropa, iban en el inas completo desorden. petuosa á Ja voz de .viva Isabel ii , antes que los rebeldes ordenasen du fo…</t>
  </si>
  <si>
    <t>Solarte, Aguirre</t>
  </si>
  <si>
    <t>Aguirre Solarte</t>
  </si>
  <si>
    <t>…, venimos á representar los de los terror por todas partes; entonces se le dijo: «no hay dinero, es necesario fir españoles; este es el plan de la mayoría; asi se conseguirá el remedio. mar esto,” y allí lo firmó. " «Dijo ayer el Sr. Aguirre Solarte, que entre el plan de la mayoría y el « Los demas empréstitos que se han hecho después, se pudiera asegurar de la minoría solo babia la diferencia dé 44 millones de rs. Esto no es exac que lo fueron con la misma violencia, respecto el Rey, por los conductos or to, pues la diferencia emre uno y otro…</t>
  </si>
  <si>
    <t>…os los Procuradores para examinar si los emprés por esto quisieron en 2U años duplicar su capital, sin embargo de los exorbi titos contraídos son con arreglo á estos principios. tantes réditos que se les señalaron. "Recordando el Sr. Aguirre Solarte un argumento del Sr. Torremejía, »En lo que particularmente se fijó el Sr. Martínez de la Rosa, fue en que dijo que no reconocería de ninguna manera el empréstito de Guebhard, los 80 millones de la deuda que eo virtud del tratado de 1828 se debía al te contraído en el tiempo en que existia el Gobie…</t>
  </si>
  <si>
    <t>…ero de individuos. Por último que dijo haber incurrido el Sr. Caballero en la sesión del dia anterior, y ma digo que no considero nula la junta en cuestión por.no haber prestadojura nifestó que el expresado Sr. había ^tribuido al Sr. Aguirre Solarte el dicho de mentó sus individuos.” que en España habla habido dos gobiernos á fines del año, 23: «expresión El Sr, conde de las Aravas: «Los mismos que fueron electores en la pri añadió, que S- S. tuvo por subversiva, y debo decir que no fue el Sr. Aguirre mera junta, lo han sido en la segunda: de…</t>
  </si>
  <si>
    <t>…quiero que se dé mas fuerza al argu de dar valor i este decreto , ni hasta qué punto pudieran los capitalistas ex- mento que la que por sí tiene. trangeros estar enterados de los negocios de España. Lo cierto es que este de « El Sr. Aguirre Solarte en el discurso que ha pronunciado hi dicho que creto no pudo sostenerse, y que pereció lo mismo que los que le dieron; y en los ocho ó diez dias que llevamos de discusión todos los que han hablado no sé por qué al cabo de 11 años hemos de fundar nuestra ruina sobre él, por _ no han podido menos de…</t>
  </si>
  <si>
    <t>Solarte, Azuirrt</t>
  </si>
  <si>
    <t>Azuirrt Solarte</t>
  </si>
  <si>
    <t>…este sentido, y amistosamente, las reclamaciones del minis Y ; cómo podía obrar de otra manera, «mando es probable que en breve tenga terio francés.” el Estamento que ocuparse de asuntos, que por analogía, podía verse obligad» El Sr. Azuirrt Solarte: « He tomado la palabra porque habiendo conve á venir á una resolución! Aludo en esto á los que compraron los bienes nacio nido la comisión de Hacienda en una parte de su dictámen , y disentido en la nales , y que ahora poseen otros injustamente (digo injustamente, porque aquel otra, se dividió en…</t>
  </si>
  <si>
    <t>Solarte, José Ventura Aguirre</t>
  </si>
  <si>
    <t>José Ventura Aguirre Solarte</t>
  </si>
  <si>
    <t>…y D. Pablo Montesino. El gobernador civil de Soria. 21 Serán vocales de la misma junta el conde de Teña, el mar E] de Barcelona. ques de la Torrecilla, D. Pedro Lafuente, D. Franeisco López Ola- El intendente de Aragón. Tarrieta, D. José Ventura Aguirre Solarte, D. Julián Harrea, di- El de Asturias. reCtór de la casa de Beneficencia , y el mariscal de campo D., Amo El contador y demas gefes y empleados de rentas de la provincia de As nio Pean. turias. D. Blas Benito Vasallo, administrador de la aduana de Cxrtaya. 3? Se autoriza la inversión de 429 rs. en…</t>
  </si>
  <si>
    <t>- - . “ 60$ Si. D. José Ventura Aguirre Solarte. Los campos ofrecen ya casi fuera de riesgo una abundante cosecha , tanta tnas satisfactoria,, cuanto apenas se esperaba recoger la simiente. PaovmclA Hg ZAMORA. Se ha conseguido también 4 fuerza de perseguirla , y de resultas de las agua Sr. I&gt;. Fernando Gómez de Butrón. , ceros , la casi total extinci…</t>
  </si>
  <si>
    <t>Solarte, José Ventura de Aguirre</t>
  </si>
  <si>
    <t>José Ventura de Aguirre Solarte</t>
  </si>
  <si>
    <t>…de Noviembre próximo. 62 2? 12 mismo Secretario del Despacho remitirá en aquel dia to llas las proposiciones que se hubiesen hecho al examen de una co Un capitán. misión compuesta de D. Antonio Martínez, Procer del reino; Don Un teniente. José Ventura de Aguirre Solarte, Procurador del reino: D. Anto Dos subtenientes. nio Barata, director de la Real caja de Amortización; D. Domingo Sargento primero.................... 1 ^e Torres, director de Tentas provinciales; D. Joaquín Liaño, in Una compañía. . . Sargentos segundos.............................. 4 tendente gen…</t>
  </si>
  <si>
    <t>SolaSot, Torre</t>
  </si>
  <si>
    <t>Torre SolaSot</t>
  </si>
  <si>
    <t>…ropusiese lo conveniente; pero sin pedir por ahora lá aboli *1 Respecto al repartimiento, convengo en que podría hacerse mas equita ción del impuesto. tivamente ; pero no porque esté mal hecho convendrá suprimir la imposición, El Sr. Torre SolaSot rectificó una equivocación que dijo habla padecido sino arreglarla de un modo mas conforme. Ademas, ínterin se verifica el que el Sr. preopinante. se puedan hacer las obras necesarias por empresa ó por otro medio, es preciso, £1 Sr. conde de J~oreno: «Aunque esta discusión sea mas propia para que s…</t>
  </si>
  <si>
    <t>Solé</t>
  </si>
  <si>
    <t>…ndo. Rueda del Almírante. (él corregidor y ajrunMtJáiente de) ‘ Con el objeto de que estas honran fuesen dignas de la Real Persona á quien Sántí Marta de Ort{guetra. (él presidente y concejales de) se dedicaban, fue consultado el Sr. Solé, director de Jos alumnos de bellas ar Segfira de la Sierra (él ay ilnfimiento de). tes pensionados!por la corte de España; y fue de parecer que no convenía en Sometíamos, (el alcalde jr;ayuntamiento de) lutar la iglesia del tnodri que generalmente se acostumbraba, por no encubrir i. SomOtieOra-(el…</t>
  </si>
  <si>
    <t>Soler, Camps y</t>
  </si>
  <si>
    <t>Camps y Soler</t>
  </si>
  <si>
    <t>…onservar su decoro y esplendor, y para hacerse amar protegiendo, recom Solarte, Romarate, Butrón, Garay ’, Laborda, Ortiz de Velasco, Polo y Monpensando la virtud y los talentos, y socorriendo la desgracia. Se ha indicado ge, Del Rey, Camps y Soler, marques de San Simón, Quintano, Arango, que en los Gobiernos libres el trono debe asentarse sobre los intereses de los Ayala, Cabanillas. pueblos, y la comisión se ha extendido á decir que debe crearlos. Pero si ta El Sr. Pretidentt "Se suspende esta discusión. El lunes próximo se reu les son sus…</t>
  </si>
  <si>
    <t>…intereses se chocan mas» Yono irqarques deTorreméjia, Martí, Campillo, Ochoa ,conde de Almodovar, Cis diré.que todas las denominaciones, opuestas quiydésde la guerra de la indepen ca® y Oriola,-condé dq, Adanero, Romarate, Garay, Rey, Camps y Soler, dencia hemos visto, hayan tenido origen en éstas discordias familiares de los : vizconde de San Simón, Arango y Ayala. ~ pueblos; pero si que.se h.\n aprovechado no pocas veces desellasen los mismos Se leyó la siguiente adición al art. 5.° del Sr. Sánchez Toácano , que no se para sus rivalidades ,…</t>
  </si>
  <si>
    <t>…Aoha tenido la necesaria independencia para ser la guarda y fiel ejecutora de las marate, Butrón, Garay, Libordá, Hernández Velasco, Polo y Monge, Del leyes; ni la administración há podido atenderla su objeto con la firmeza nece Rey , Camps y Soler, San Simón, Arango, Ayala , Visedo. saria; ni nada ha podido .estar en su quicio y en su verdadero lugar. EL Conce Concluida esta votación se leyó el art. l.° del dictámen de la comisión, y jo de Castilla era el símbolo vivo de aquella confusión, pues reunía funciones quedó aprobado como esta lo pr…</t>
  </si>
  <si>
    <t>…cobrasen como de comisión. Me explicaré, Ciscar, Oriola, Rui; de Carrion , Ayarza, conde de Adanero, R-omarate, aunque casi no era necesario, pues me ha prevenido el Sr. Acevedo; pero lo Butrón , Garay, Labor da, Polo y Monge, De Rey, Camps y Soler, Quin haré porque no se olvide esta idea. Estando clasificado como sueldo de los Sres. tana, Arango y San Simón. 1 Secretarios del Despacho solo los 603 rs., resultaría siempre un beneficio al Concluido este acto se leyó el cap. l.° del presupuesto en cuestión, que pais cuando dejasen de serlo, pue…</t>
  </si>
  <si>
    <t>Soler, D Jacinto</t>
  </si>
  <si>
    <t>D Jacinto Soler</t>
  </si>
  <si>
    <t>…rtuchos y demas municiones de guerra, ó detente armas de lientes que componen las compañías 4-J y 5.1 del primer batallón de Soria, v guerra, cartuchos ó demas municiones de guerra, ó tenga depósito de armas que á tas órdenes del capitán D. Jacinto Soler cubrian el punto de la ermita de cualquiera clase , sufrirá la pena de un mes á dos años de cárcel, y la multa de S. Miguel, por donde dirigió el enemigo su principal ataque, envolviéndola de 16 á 19 francos. por todas partes. Esta ermita se halla muy inmediata á ia casa que ocupaba el «Lo ¿.¿¿pues…</t>
  </si>
  <si>
    <t>Soler, D José Camps y</t>
  </si>
  <si>
    <t>D José Camps y Soler</t>
  </si>
  <si>
    <t>…la Vi- presentado sus poderes^. ' , J lucña , electo Procurador por Soria, haciendo dimisión da este cargo. Sres, Procuradores que no se han presentado ni Jado , aviso. La coñiision de Poderes, en -vista de los presentados por el'Sr. D. José Camps y Soler, electo Procurador por las islas Baleares, y de los documen Sr. marques de Villacampo, por Burgos. ' ' ’ tas justificativos de sus rentas, opinaba que debían aprobarse por estar confor D. Antonio Ayarza , por Valencia. mes á lo prevenido. Asi se acordó. D. Agustín Arguelles, por Oviedo.^ ’ Concluid…</t>
  </si>
  <si>
    <t>…Medrano pasasen á la comision- eran de ley muy subida. Hechos, pues, los ensayos y oportunas investigacio de Poderes. ; • nes, se acordó que convenía adoptar el grado de veinte y dos quilates para Entró á jurar y tomó asiento el Sr. D. José Camps y Soler. igualar nuestras monedas de oro con las de Italia y Francia , cesando la extrac El Sr. Presidente'. »»El órden del dia es la discusión pendiente sobre la - ción desde aquel momento. petición acerca de los derechos fundamentales, y la lectura de dos proycctós Con varias formas y denominaciones, pero…</t>
  </si>
  <si>
    <t>Soler, D Juan Camps y</t>
  </si>
  <si>
    <t>D Juan Camps y Soler</t>
  </si>
  <si>
    <t>…legislador ba de hacer las cosas, digámoslo asi, á sus alcances. Yo creo que tará en cuanto se restablezca. por mas providencias que se dieran, para que este año se pagasecL Voto después Igualmente lo quedó de otra exposición del Sr. D. Juan Camps y Soler, de la unanimidad del Estamento y su cojaformidsd con el Gobierno;' no se po electo por las Islas Baleares, reducida á lo misnho. ‘ ' dría conseguir; y creo que se ba de hacer favor á los recaudadores ó arrenda Se mandaron pasar á la comisión de Poderes los del Sr. D. Nicolás Bo- dores con declarar…</t>
  </si>
  <si>
    <t>Soler, Jacinto</t>
  </si>
  <si>
    <t>Jacinto Soler</t>
  </si>
  <si>
    <t>…y demas municiones de guerra, ó detente armas de lientes que componen las compañías 4-J y 5.1 del primer batallón de Soria, v guerra, cartuchos ó demas municiones de guerra, ó tenga depósito de armas que á tas órdenes del capitán D. Jacinto Soler cubrian el punto de la ermita de cualquiera clase , sufrirá la pena de un mes á dos años de cárcel, y la multa de S. Miguel, por donde dirigió el enemigo su principal ataque, envolviéndola de 16 á 19 francos. por todas partes. Esta ermita se halla muy inmediata á ia casa que ocupaba el «Lo ¿.¿¿pues…</t>
  </si>
  <si>
    <t>Soler, José</t>
  </si>
  <si>
    <t>José Soler</t>
  </si>
  <si>
    <t>…asipeáonasipodientcs y- de mucha parte de los individuos de su ayuntamiento, Perales de Tajufia. l.° á 7 Agosto.. 000 00 3 ha encostrado sin embargo un gran consuelo en los tres regidores, síndico y diputado D. Befnabé Clararana, D. José Soler, D. Félix Giménez, D. Juan VsipufioijiD'; ilVgqstWrGitbert (este ha sido victima ¿le la epidemia), y Don Ambite................ S Agosto.......... 22 00 6 Manuel Botca, Secretario, que con el gobernador presidente permanecieron fir mes enau puéiroi, dando camello un ejemplo de patriotismo digno de…</t>
  </si>
  <si>
    <t>…or las filas enemigas, y no fue posible contener la del Rey no había ocurrido ningún caso ni fallecimiento' desdeel di* 14 del fiera bravura de los toldados. , ' propio mes. La caballería, al mando del valiente y decidido espitan D. José Soler, sal PROVINCIA DE HUELVA. tó vallados, subió cerros, penetró pinares, y nada me dejó que desear en las Cuatro horas de persecución; y si la mayor parte de esta caballería no hubiese Su gobernador civil dice con fecha 14 del actual, que desde 20 de Julio m quedado-descalza, hubiera alcanzado á los e…</t>
  </si>
  <si>
    <t>Soler, José Camps y</t>
  </si>
  <si>
    <t>José Camps y Soler</t>
  </si>
  <si>
    <t>…el Sr. D. Antonio D. José Blanco, por Valencia, por id. i 3 Ayarza, Procurador electo por Valencia, manifestando las causas que le han D. Francisco del Rey, por Zaragoza, por id. ' í ' . ' 3 impedido presentarse á i la* sesiones. D. José Camps y Soler, por las islas Baleares, por id. (ya ha llegado .y 3* pasó á la comisión: de Poderes una instancia del Sr. marques de la Vi- presentado sus poderes^. ' , J lucña , electo Procurador por Soria, haciendo dimisión da este cargo. Sres, Procuradores que no se han presentado ni Jado , aviso. La coñiision…</t>
  </si>
  <si>
    <t>…rano pasasen á la comision- eran de ley muy subida. Hechos, pues, los ensayos y oportunas investigacio de Poderes. ; • nes, se acordó que convenía adoptar el grado de veinte y dos quilates para Entró á jurar y tomó asiento el Sr. D. José Camps y Soler. igualar nuestras monedas de oro con las de Italia y Francia , cesando la extrac El Sr. Presidente'. »»El órden del dia es la discusión pendiente sobre la - ción desde aquel momento. petición acerca de los derechos fundamentales, y la lectura de dos proycctós Con varias formas y denominaciones, pero…</t>
  </si>
  <si>
    <t>Soler, Juan Camps y</t>
  </si>
  <si>
    <t>Juan Camps y Soler</t>
  </si>
  <si>
    <t>…slador ba de hacer las cosas, digámoslo asi, á sus alcances. Yo creo que tará en cuanto se restablezca. por mas providencias que se dieran, para que este año se pagasecL Voto después Igualmente lo quedó de otra exposición del Sr. D. Juan Camps y Soler, de la unanimidad del Estamento y su cojaformidsd con el Gobierno;' no se po electo por las Islas Baleares, reducida á lo misnho. ‘ ' dría conseguir; y creo que se ba de hacer favor á los recaudadores ó arrenda Se mandaron pasar á la comisión de Poderes los del Sr. D. Nicolás Bo- dores con declarar…</t>
  </si>
  <si>
    <t>Soler, Ramón</t>
  </si>
  <si>
    <t>Ramón Soler</t>
  </si>
  <si>
    <t>…ia biografica.de. Ips cspañolcs célebres por sus trabajos fÚ4t*c4» . .. — -2,oí literatosr *de ogaño. carta ejerha 4 un principiante, en la catres do agronómicos, bien sea en obras que hayan publicado sobre labranza , jardine por D. Ramón. Soler,oler. Sé vffnde en Madrid en la librería dé Ródrigúea , 4 3 reales en ría , arbolado, cria de ganados Scc./ó bien por una práctica ilustrada en dichos rústica - - rgmos fomentándolos con su ejemplo y recursos directos í dicho fin. —-El ayuntamiento de la ciudad de Vltoriaf AUva),ba resuelto úma 1 -…</t>
  </si>
  <si>
    <t>Soler, Ranjon</t>
  </si>
  <si>
    <t>Ranjon Soler</t>
  </si>
  <si>
    <t>•«irtijmo i loi nibtenjcntes.de granaderos provinciales p. José Arnanda .y Don Curso eompleto de Gramftica- parda. Por D. Ranjon Soler, 2.a'edic¡on: Francisco Noto»; al granadero del 1? batallón de la Guardia Real provincial Un torno en 8.° (I). v * AIonso Neiro, que fue herido de un balazo; al sargento Ramón Fernandez, Este opúsculo, que ya ha obtenido los honores de la reimpresión, aunque Andrea Novo, Ramón de Prado y José Pirae…</t>
  </si>
  <si>
    <t>Solignac</t>
  </si>
  <si>
    <t>…vivo su celo por la conservación del or ^ Futrís 31 de Julio. den; pero inútilmente; pues no hubo la mas pequeña disputa desagradable en tre la muchedumbre de personas que vagaban p6r las calles de dia y noche con Se dice que el general Solignac, que habia hecho dimisión de su destino dirección á los gallos, á los juegos permitidos por la ley, á los tres bailes y por desavenencias personales con el mariscal Soult, acaba de ser repuesto por el demas diversiones honestas que habia con tan plausible motivo. Desdeel indi mariscal Gerard en la…</t>
  </si>
  <si>
    <t>Solis, Antonio Sánchez</t>
  </si>
  <si>
    <t>Antonio Sánchez Solis</t>
  </si>
  <si>
    <t>…S. M. Británica en los mares del Sur, acontecida en su D. Francisco Latorre y D. Francisco Pulgar, cómo también del subteniente residencia de Larangeiró (Rio-Janeiro) después de una larga enfermedad. El empleado en la plana mayor D. Antonio Sánchez Solis, y del capitán de Ur . capitán Roberto Taite, comandante del Esparciata, ba tomado el mando de banos D. Antonio Ramos, que dejando su cargo de comisario, contribuyó al la escuadra, como oficial de mayor grado, hasta la llegada de lordTownshend. buen éxito de la acción eficazmente.” La regencia del…</t>
  </si>
  <si>
    <t>Solis, Juan Nipomuceno</t>
  </si>
  <si>
    <t>Juan Nipomuceno Solis</t>
  </si>
  <si>
    <t>…erseguida la fac Id sin inreres, 00. ción del cabecilla Montañés por las columnas del bajo Aragón. El Acciones del banco español, 00. comandante del primer batallón del tercer regimiento de la Guar CAMBIOS. dia Real de infantería D. Juan Nipomuceno Solis, logró alcanzar Amsterdam, 00. Alicante á corto pla Granada | d. á aquel rebelde á Jas inmediaciones del pueblo de Muzaleon, ata Bayona, 00. zo Jf d. Málaga par. cándolo con dos compañías del mismo cuerpo y 14 caballos de Bor- Burdeos , 00. Barcelona á pesos fs. Santander 4 b. Hamburgo, 00. i b. Sa…</t>
  </si>
  <si>
    <t>Solo, Quin</t>
  </si>
  <si>
    <t>Quin Solo</t>
  </si>
  <si>
    <t>…¿e locados por el órden cronológico probable de su composición, y el segundo los los espíritus infernales, manifiestan el genio épico del autor de la Cristiait. del Bernardo de Valbuena: seria necesario copiar todo el prólogo del Sr. Quin Solo falta á esta obra para ser clásica, mas igualdad en el estilo y la versifica tana , si hubiésemos de dar una idea de las obras y de sus autores. Pero unas y ción , mas corrección de lenguage poético, mas parsimonia en los afectos fami otros son bastante conocidos en nuestra literatura , excepto la…</t>
  </si>
  <si>
    <t>Sombza</t>
  </si>
  <si>
    <t>…s peregrinos. Digo esto respecto á la indi yecto de ley en los términos en que había sido aprobado por el Estamento. cación del Sr. Domecq, que creo no hace falta expresarla en el artículo, aun Concluida esta lectura manifestó el Sr. Sombza que tenia noticia de que que tanto dicho Sr. Procurador como todos estamos conformes en las ideas. el Gobierno, siguiendo el mismo espíritu que había manifestado en este pro Creo que en punto á los principios de devoción debe haber una absoluta tole yecto, se preparaba á la abolición de otra imposi…</t>
  </si>
  <si>
    <t>Someruelos</t>
  </si>
  <si>
    <t>…ones, asi como lo* siglo que están atormentando , aniquilando á la Nación; Desea , y con vehe individuos, tienen la obligación de atender á la propia defensa. Pata defender mencia , ver restablecido el órden que, como ha dicho el Sr. Someruelos, es se las Naciones contra los enemigos exteriores, sirven su» ejércitos permanentes; la primera necesidad dé los. pueblos. La Nación tiene ya tristes experiencias: para defender la tranquilidad interior, la observancia de bis leyes, la conserva por eso ha desechado'el gobierno absoluto, que no le…</t>
  </si>
  <si>
    <t>Somoza</t>
  </si>
  <si>
    <t>…anitario de los puetlos fue tn tíst citan. ana profunda contemplación acerca de la cadena eternal que liga toda la natu raleza. Eueblos. pías. Enfermos. Curados. Fallecidos . . Estas muestras que hemos dado del estilo poético del Sr. Somoza nos ha cen desear que se acelere en cuanto sea posible la publicación de los cuadernas . til1. '"I restantes de sus poesías. Moráis........ S de Agosto... 59 9 1 Vicálvaro...... 1 á 5 Ídem.... 102 31 13 bolsa de comercio._Cí&gt;r/Zrfe¡GH de hoy d las tres de Id tarde. •; jSota. En Valíceas se disfruta…</t>
  </si>
  <si>
    <t>Somoza, José</t>
  </si>
  <si>
    <t>José Somoza</t>
  </si>
  <si>
    <t>…ueltan de venia en el despacho de la Imprenta Reai. Despertador ó avisos para la instrucción déla juventud militar en el rompimien to &lt;le una guerra, por D. Juan Jiménez Donoso, ingeniero en segundo de lasReates Otras poéticas de D. José Somoza, cuaderno segundo. Madrid 1834- ejércitos. Cinco tomos en 4-°. edición de 1794, á 3Ó rs. raina y 61 pasta comnn. Trata esta obra de la conducta de un joven en campaña, sus obligación^ como' oficial, pre Este cuadernito contiene un proyecto ó minuta de comedia, como el au venciones en las marchas y\…</t>
  </si>
  <si>
    <t>Somoza, L José</t>
  </si>
  <si>
    <t>L José Somoza</t>
  </si>
  <si>
    <t>…artas'partes de las provisiones destinadas al ejér cito, y obligaron i los soldados á detenerse en el camino, no solo por la ncce— provincia db Avila. «¡dad de comer , sino por la de buscarse ellos mismos los alimentos. El ataque Sr. L&gt;. José Somoza. ¿potra Lisboa dado el 5 de Setiembre fue real y no falso, como se ba querido Sr. O. Juan Domingo de Baltnaseda. suponer, pero fue contra el dictamen de Bourmont , y en efecto tuvo mal-¿x¡— PROVINCIA tUI BADAJOZ. ¿o á causa de que la infantería solo constaba de 8óU0 hombres. Sr. D- Antonio González.…</t>
  </si>
  <si>
    <t>Somoza, Ramón</t>
  </si>
  <si>
    <t>Ramón Somoza</t>
  </si>
  <si>
    <t>…e la catedral de dirigido contra la conducta del vorort. Santiago, auditor honorario de la Rota y administrador del semina- El Sr. presidente pregunta á la Dieta si la contestación del directorio será rio conéiliar; ál licenciado D. Ramón. Somoza, canónigo de la de Considerada como negocio concluido, ó si pasará al examen de una cnmiiimrr Lugo; aT I)r. O. Rosendo de la Vega, doctoral de la de Mondoñedo La mayoría de la asamblea aprobó la conducta y respuesta del directorio. Sin embargo, los estados de Lucerna, Argovia, San Gal, Bas i lea-Ca…</t>
  </si>
  <si>
    <t>Son, Alcalá Zamora</t>
  </si>
  <si>
    <t>Alcalá Zamora Son</t>
  </si>
  <si>
    <t>…la comisión, y opino deben aprobarse los emprés respetable carácter. A la cabeza de estos eclesiásticos reo á un hombre, que no titos , excepto siempre el de Guebhard.” * ’ citaré, pero cuyas ideas eran muy opuestas á la paz. El Sr. Alcalá Zamora-. «Son tantos y tan luminosos los discursos que se «Yo apelo á todos ios señores magistrados, í los respetables obispos y han pronunciado en esta cuestión, qtie parece que nada nuevo puede decirse- To demas autoridades que salieron á cumplimentar al camino á S. M., para que me dos estamos conformes en la…</t>
  </si>
  <si>
    <t>Son, Leto</t>
  </si>
  <si>
    <t>Leto Son</t>
  </si>
  <si>
    <t>…que tome las medidas que crea . do D. José Herrera desde Paubles del Agua con fecha de ayer oportunas para el logro de su captura, é impedirles el paso; de me da el siguiente parte; biendo advertir á V. E, que á estas horas dicho comandante Leto «Son las tres de la tarde de este dia, y tengo la satisfacción de na, con una partida de urbanos de caballería de esta villa y 3 sol participar á V. S. que habiendo emprendido la marcha en la ma dados de su mando, les estará picando la retaguardia.” drugada de hoy desde el pueblo de Villahoz por los puntos…</t>
  </si>
  <si>
    <t>Son, Puche</t>
  </si>
  <si>
    <t>Puche Son</t>
  </si>
  <si>
    <t>…e está contribución tuvo su origen por derecho de conquista, ¿oo es podría tenerse en consideración sise tratase de una contribución menos injusta.” verdad? Pues yo me tomaré la libcrtad-de preguntar á S. S. si esá parte de la El Sr. Puche. «Son tantas las prácticas diferentes que hay en los pue provtncfá dé’ Andateos»o paga'otras contribuciones al Estado. Yo creo que sí, blos de la Monarquía -respectivamente á la cobranza de los diezmos, qué porque nd hay'ninguna exenta de ellas* El Ajarafe daría muchas gracias al Go los legisladores han…</t>
  </si>
  <si>
    <t>Soñaran, Navarro</t>
  </si>
  <si>
    <t>Navarro Soñaran</t>
  </si>
  <si>
    <t>…o activo, y qtae de consiguiente la medida propuesta solo debía tener efecto para los que po Leyóse*1 acta de la sesión anterior , y quedó aprobada. diendo venir al Estamento, no asisten; en cuyo caso deben exponer las razones El Sr. Navarro Soñaran dijo: Tomo la palabra, no para rectificar el acta que les impiden su asistencia. *n tu redacción, tino para advenir i los tenores taquígrafos que en la sesión á El Sr. Burgos expuso que habiendo muchos Sres. Próceres en quienes con que te refiere dicha acta hubieron de trasladar al papel lo que no…</t>
  </si>
  <si>
    <t>Sonchay, Cornelio</t>
  </si>
  <si>
    <t>Cornelio Sonchay</t>
  </si>
  <si>
    <t>…o izquierdo ha^ta que anocheció , situándome en los campos, de lino ó manguera , el cual empezó á romper arboles, palmas, cafe y plátanos Rodezno, á medu legua d.e Briones. Hecho el reconocimiento sobre este últi en el cafetal dé D. Cornelio Sonchay, y girando al O., distancia de 4 caba mo pueblo esta mañana , mi presencia en Haro era necesaria, tanto para dar llerías de tierra en longitud, llevándose de encuentro ios árboles referidos, lle confianza y segundad á los buenos, como para imponer á los malos; y pór mi gó á las fábricas del cafetal…</t>
  </si>
  <si>
    <t>SOOtímedádes, Julián Aquilino Pcrez</t>
  </si>
  <si>
    <t>Julián Aquilino Pcrez SOOtímedádes</t>
  </si>
  <si>
    <t>…tanta sensación el calor. Tenemos la fortuna de que los D. Manuel García de la Prada............................................................... 3000soldados destacados á la Ferme-Modéle y á la Casa-cuadrada no padecen enfer-1 D. Julián Aquilino Pcrez........................................................................ SOOtímedádes, lo cual es bien extraño en verdad. Las tropas continúan trabajando D. Joaquín de EzpeJeta............................................... 32oen establecer y perfeccionar los caminos, lo cual ademas de lo útil que es ed D. L. G. y G...............................:....................................…</t>
  </si>
  <si>
    <t>Sopelana, Prudencio</t>
  </si>
  <si>
    <t>Prudencio Sopelana</t>
  </si>
  <si>
    <t>…........... .... L&gt;arocár Muís y Madrid* Por carecer de caballería no pude concluir de una vez con esta facción, ca 7,829................ 1000............................,..,. Madrid. pitaneada por un tai Basilio García, titulado brigadier, Prudencio Sopelana, 9,101................ 1000........................... ,.,.. Barcelona* un tal Vivanco, é Ibarrola, supuesto gefe de estado mayor, uendo perseguidos 8/552......... .... 500........................... ......... Afgeciras. por el capitán Sarasa y 100 hombres que destaqué al efecto, por el espacio de…</t>
  </si>
  <si>
    <t>SoravílJa, D Vicente</t>
  </si>
  <si>
    <t>D Vicente SoravílJa</t>
  </si>
  <si>
    <t>…e conocer que la verdadera felicidad de los pueblos con "Comandancia general de operaciones de la derecha del Guadalope^rr siste en disfrutar, á la sombra de unas leyes sabias y justas, una libertad racio- Excmo. Sr.: El teniente coronel D. Vicente SoravílJa , capitán del 13 &lt;3e li ;Hal y juiciosa! (Diario de la Habanat) nea, comandante de lina columna móvil de las tropas de mi mando, con fecha 25 del actual, me dice lo que copio: Tengo el honor de participar á V. S. que a4J ejército de la isla de Cuba, habiendo sabido anoche que la facción del rebelde…</t>
  </si>
  <si>
    <t>SoravílJa, Vicente</t>
  </si>
  <si>
    <t>Vicente SoravílJa</t>
  </si>
  <si>
    <t>…r que la verdadera felicidad de los pueblos con "Comandancia general de operaciones de la derecha del Guadalope^rr siste en disfrutar, á la sombra de unas leyes sabias y justas, una libertad racio- Excmo. Sr.: El teniente coronel D. Vicente SoravílJa , capitán del 13 &lt;3e li ;Hal y juiciosa! (Diario de la Habanat) nea, comandante de lina columna móvil de las tropas de mi mando, con fecha 25 del actual, me dice lo que copio: Tengo el honor de participar á V. S. que a4J ejército de la isla de Cuba, habiendo sabido anoche que la facción del rebelde…</t>
  </si>
  <si>
    <t>Soravilla</t>
  </si>
  <si>
    <t>…De lo EFECTOS PUBLICOS. que resulte de dicho reconocimiento daré áV. S. parte mañana circunstanciado. »Lo que tengo la satisfacción de comunicar á V. E.» recomendándole el Inscripciones en el gran libro i J p. 100, 00. mérito del capitán Soravilla, pues desde que le tengo á mis órdenes no ha ce Títulos al portador dél 5 por 100, 00. lado de trabajar con actividad, acierto y ios mejores deseos, habiendo cumpli TirulosInscripcionesal portadoren el grandel 4libroP* 100.á 4 P*53 al100,contado:00. 543 y 55 i varias fs, ó vul.: 53] a do con el enc…</t>
  </si>
  <si>
    <t>…es re'-pectiyov eohcrr.adores'civiles y el comisario r.-g-.o .i q.nen ^ ^'o-ponde, á'O mas elevados como unos 200 hombres en cada uno: dispuse que el teniente rs. a las viudas v huérfanos de los íl' indiv.Ja ^ *-u: ! a en Heredu, coronel Soravilla con 14*1 hombres atacase por la derecha, mientras yo con provincia de Alava , por el traidor Zumalicarve.nr : ic-aii caní.did a los he .todo el grueso me dirigía por el centro; siendo el resultado quitarlos de sus roicos habitantes del valle de Guriezo, de ii de ha:.;inde: , v Mr.i sumí se posicion…</t>
  </si>
  <si>
    <t>Soria, Santos</t>
  </si>
  <si>
    <t>Santos Soria</t>
  </si>
  <si>
    <t>…ado y del Despacho de la Guerra. cusa. i Provincia de Zaragoza. El cantan general de Costilla la Vieja avisa que el subteniente del regi Su gobernador civil dice con fecha 2 5 dd actual, que &lt;ftt lo» dos diaímiento de Extremadura D. Santos Soria, comandante del destacamento de V¡- anteriores había sido mayor el ní:mero de curados, y solo quedaban exigen»Uodrigo, sorprendió en la madrugada del dia.24- 4.la. salida de la villa de Pam- tes 19 enfermos, habiendo perecido 10 personas desde 21 á 24 del mismo Inpliega tres facciosos de caballería…</t>
  </si>
  <si>
    <t>Soriano, Andrés</t>
  </si>
  <si>
    <t>Andrés Soriano</t>
  </si>
  <si>
    <t>…is semejantes, me hicieron participarlo en 10 caridad de sus vecinos excitada por el celo ejemplar de Doña Maiia de los Re del presente á D Manuel Gctierrez de la Rasilla , de este vecindario , e indi medios Cuartero, consorte de D. Andrés Soriano, á U cual «1 gobernador civil viduo de la junta municipal de San dad , para que lo hiciera presente á la mis ha. dado gracias en nombre de S. M. por sus nobles y piadosos sentimientos. ma, manifestándole mis intenciones, y que estaba pronto á suministrar gratis las cantidades del medicamento necesa…</t>
  </si>
  <si>
    <t>Soriano, Francisco Molina y</t>
  </si>
  <si>
    <t>Francisco Molina y Soriano</t>
  </si>
  <si>
    <t>…sticó Mirabeau, el tiempo que el calendario de aquel año, su críti cos de porte. ca, dice Bentham , no puetje ser inútil; porque -todavía conserva un lugar en —®Se cita 4 Bofta Dolores Molina y Sor laño, hermana que parece ser de D. Francisco Molina y Soriano, ya difunto, y por fallecimiento de aquella á sus herederos para qoe el código de los partidos democráticos. en el término de 20 dias, que por última vez se les señale * contados desde la publica Empieza censurando su mismo titulo: porque efectivamente, el hombre, ción de este anuncio; comparezcan…</t>
  </si>
  <si>
    <t>Soriano, Roque</t>
  </si>
  <si>
    <t>Roque Soriano</t>
  </si>
  <si>
    <t>…aquín Taubia, con grado de capitán; á D. Pedro Arnau, y á los ría de Propios de Orense, se ha dignado S. M. conceder el ascenso i ella al subtenientes del 12 de línea D. Carlos Senesplcda, que desempeñando las fun oficial tercero D. Roque Soriano, y nombrar para cata resulta á D. Pedro de ciones de ayudante contribuyó al buen éxito de esta sorpresa; y al de la mis la Reguera y Quiroga, oficial cesante de la contaduría del mismo ramo de la ma clase D. Manuel Urriendo. Corona. , También recomiendo á los sargentos segundos del 6.° ligero Matía…</t>
  </si>
  <si>
    <t>SoSr, Mariano Torre</t>
  </si>
  <si>
    <t>Mariano Torre SoSr</t>
  </si>
  <si>
    <t>…demas, á fin de leerla al Estamento para que este deli por las islas distantes, 11: total: 188. . berase lo que creyese oportuno. En esta inteligencia, ya que la proposición del El Sr. Santafé manifestó faltar en estajista el Sf, D. Mariano Torre SoSr. preopinante coincide tan exactamente con nuestras ideas, haré que se lea lanot, que acaba de,ser reelegido ppr la provincia .de Huesca, y se halla E»¡- esa lista ,-&lt;omo va i ejecutarse por un Sr. Secretario.” qamente imposibilitado de asistir pqt.ahora, cqmo Ip habia arisado. , , , íii Sr.Trurba le…</t>
  </si>
  <si>
    <t>Sosvilla, D Pedro</t>
  </si>
  <si>
    <t>D Pedro Sosvilla</t>
  </si>
  <si>
    <t>…ei referido juez y por la citada escri banía. • '? ——Para Maúlla saldrá del puerto de Cádiz á principios de Abril la fragata española *qtsA db comercio.^Cotizacion de hoy á las tres de la tarde. * nueva S. Femando, al maodo de su capitán D. Pedro Sosvilla., alférez de tragatu graduado de la Real armada; admite carga y pasageros para los'que tiene las mvjoEFECTOS PUBLICOS. rés comodidades en dos espaciosas cámaros. La d«$pocha eu Cádiz su dueño D. Joscf JoScrlpclohes sobre el grán-libro al &lt; por too. c*o. María Viniegra, yen esta corte D. Juan de Guar…</t>
  </si>
  <si>
    <t>Sosvilla, Pedro</t>
  </si>
  <si>
    <t>Pedro Sosvilla</t>
  </si>
  <si>
    <t>…ido juez y por la citada escri banía. • '? ——Para Maúlla saldrá del puerto de Cádiz á principios de Abril la fragata española *qtsA db comercio.^Cotizacion de hoy á las tres de la tarde. * nueva S. Femando, al maodo de su capitán D. Pedro Sosvilla., alférez de tragatu graduado de la Real armada; admite carga y pasageros para los'que tiene las mvjoEFECTOS PUBLICOS. rés comodidades en dos espaciosas cámaros. La d«$pocha eu Cádiz su dueño D. Joscf JoScrlpclohes sobre el grán-libro al &lt; por too. c*o. María Viniegra, yen esta corte D. Juan de Guar…</t>
  </si>
  <si>
    <t>Sot'omayor, Agustín Alvarez</t>
  </si>
  <si>
    <t>Agustín Alvarez Sot'omayor</t>
  </si>
  <si>
    <t>…l metal , que con el título de ma só admitiendo, pero consultando ciertas dudas que le ocurrieron por la desa ravedís Alfon.íes, sirvió de unidad y tipo á las monedas, y también ias acu probación de los documentos presentados por D. Agustín Alvarez Sot'omayor. ñó de oro de veinte y tres quilates tres y medio granos: inscnb.endo su nom Se han resuelto sus dudas jaipor el-Estamento^ yo creo que asi que haya re- bre con las armas de León y Casóla. cibido ía contratación , avisará de su ulterior determinación. Digo todo rato En lo» reinados sucesivos no dejó…</t>
  </si>
  <si>
    <t>Sotillo, Antonio Rodríguez</t>
  </si>
  <si>
    <t>Antonio Rodríguez Sotillo</t>
  </si>
  <si>
    <t>…....................................... 130 dientes de igual naturaleza, habiéndose resuelto definitivamente cuatro de loa D. Antonio Merino............................................................ •.*■",........... 20 mismos. D. Antonio Rodríguez Sotillo, por tres meses de suscripción á 10 rs. 30 Se está instruyendo el oportuno expediente para llevar á cabo la construc D- José de la Cruz, teniente general.................................................... 1000 ción de un puente á la sóida de la villa deTamante, y en el arroyo llamado D. D. J. G- H…</t>
  </si>
  <si>
    <t>Soto, D Juan</t>
  </si>
  <si>
    <t>D Juan Soto</t>
  </si>
  <si>
    <t>…*d. Santiago, 14. El Sr. alcalde mayor l.° L&gt;. José- Enjuto, hasta el dia 3 del corriente que fue atacado de la enfermedad reinante. El Sr. provisor y vicario general del obispado D. Femando Lorenzo y Mar ANUNCIOS. tin, vocal. El Sr. D. Juan Soto, vocal por la clase del comercio. El Sr. D. Francisco Garcerán, médico vocal consultor, hasta el dia 2 del Ofirmt quw tt hsiinn tU v*nt* tn tí dtxpneho d* U ímpttnts Rtmk •articule que falleció. El Sr. D. Serafin García, médico vocal consultor, hartad 7 que falleció. Arte poética de M. Boileau Desp…</t>
  </si>
  <si>
    <t>Sotó, José</t>
  </si>
  <si>
    <t>José Sotó</t>
  </si>
  <si>
    <t>…a uno, y destinarse uno para hacer la travesía de Inglaterra á Alejandría,ficiado de Cizur la mayor; á D. Juan Echeverría, beneficiado de los y ¡os tres réstantes para ser empicados en Ja costa oriental del Istmo, uno en Atcos; I D. José Sotó, beneficiado de Arroniz; á D. Pedro María Bombay y dos en Calcuta. Irazuzta, beneficiado-de S. Sebastian; á D. José Ignacio Zabalo, be El buque de vapor de Bombay será despachado á tiempo que pueda llegar neficiado de Segura; á D. José Manuel Bustindui, beneficiado de á Socotora dos días antes del…</t>
  </si>
  <si>
    <t>Soto, Juan</t>
  </si>
  <si>
    <t>Juan Soto</t>
  </si>
  <si>
    <t>…Santiago, 14. El Sr. alcalde mayor l.° L&gt;. José- Enjuto, hasta el dia 3 del corriente que fue atacado de la enfermedad reinante. El Sr. provisor y vicario general del obispado D. Femando Lorenzo y Mar ANUNCIOS. tin, vocal. El Sr. D. Juan Soto, vocal por la clase del comercio. El Sr. D. Francisco Garcerán, médico vocal consultor, hasta el dia 2 del Ofirmt quw tt hsiinn tU v*nt* tn tí dtxpneho d* U ímpttnts Rtmk •articule que falleció. El Sr. D. Serafin García, médico vocal consultor, hartad 7 que falleció. Arte poética de M. Boileau Desp…</t>
  </si>
  <si>
    <t>Sotoma</t>
  </si>
  <si>
    <t>…dia de su mañana. el $r. Latorre en nombie de la comisión , que para evitar ulterior discusión El Sr. Secretario del Despacho de la Guerra pasó i leer la memoria de no tendría esta inconveniente en que se concediese un término ai Sr. Sotoma— •u ramo. yor para rectificar ó mejorar sus documentos , añadiendo le parecía fuese de Concluida esta lectura tomó la palabra el Sr. Presidente, y dijo: «El Es cuarenta dias. tamento queda enterado de la memoria que acaba de leer el Sr. Secretario del Se puso pues á votación el dictamen modificado…</t>
  </si>
  <si>
    <t>Sotoma, D Pedro Alvarez</t>
  </si>
  <si>
    <t>D Pedro Alvarez Sotoma</t>
  </si>
  <si>
    <t>…ificó.La misma cosnision habiendo examinado los poderes y documentos pre moriaellas quieranpara sacrificarmedisimular lasenfaltassu obsequio:que haya tenidosuplicandoen ci quedesempeñoen continuaciónde tan gravode sentados por el Sr. D. Pedro Alvarez Sotoma) or, nombrado Procurador por como decore so encargo, y apreciar la voluntad de complacerles aun cuando la la provincia de CórdobaJ hallaba en ellos una certificación dedos peritos por la ejecución no haya correspondido, según ruis ardiente* votos, á las lisonjeras es que resultaba que de los produc…</t>
  </si>
  <si>
    <t>Sotoma, Pedro Alvarez</t>
  </si>
  <si>
    <t>Pedro Alvarez Sotoma</t>
  </si>
  <si>
    <t>…ó.La misma cosnision habiendo examinado los poderes y documentos pre moriaellas quieranpara sacrificarmedisimular lasenfaltassu obsequio:que haya tenidosuplicandoen ci quedesempeñoen continuaciónde tan gravode sentados por el Sr. D. Pedro Alvarez Sotoma) or, nombrado Procurador por como decore so encargo, y apreciar la voluntad de complacerles aun cuando la la provincia de CórdobaJ hallaba en ellos una certificación dedos peritos por la ejecución no haya correspondido, según ruis ardiente* votos, á las lisonjeras es que resultaba que de los produc…</t>
  </si>
  <si>
    <t>Sotomavor, Blas</t>
  </si>
  <si>
    <t>Blas Sotomavor</t>
  </si>
  <si>
    <t>…porque ningún parte oficial hasta ahora lo teniente del mismo cuerpo D. N. García: el teniente coronel capitán del re ha aclarado; y debiendo excitar en los que todavia pudieran mirar con indife gimiento de caballería de Navarra D. Blas Sotomavor, que fue herido en la rencia esta lucha de la humanidad contra la barbarie un justo horror hacia sus acción al dar la carga, y los del propio regimiento D. Félix. Gómez, te autores, determinó no detenerse en Tarragona mas que el tiempo necesario niente graduado de capitán: teniente D. Alejandro Fan…</t>
  </si>
  <si>
    <t>Sotomayor</t>
  </si>
  <si>
    <t>…rcunstancias, del de Gobierno y Re— . ese puerto, se vino al Callao con el Sr. coronel D. Melchor Valle y.otros ge-" ' Liciones Exteriores. Tres distintos ministerios de úna sola oficina y en una sola fes y oficiales. El teniente coronel Sotomayor sé vino también con 14o^fosi- persona, no podían dejar de'perjudicarse mutuamente, causando confusión y ies y 10 barriles de pólvora que los sediciosos mandaban á Ayacuclio. Poco embarazos. Una secretaría general debía dar mas Unidad y prontitud al despa después llegó al mismo pueblo un cuadro de c…</t>
  </si>
  <si>
    <t>…smo, para que esto ya no se podía tomar en consideración, porque era una cosa juzgada y de pudiese adquirir la cualidad necesaria que no tenia. Vino el Sr. Palarea : (50 dias cidida por el Estamento; y habiendo ocurrido el mismo .Sr. Sotomayor, repi se le dieron también; á ambos se puso el mismo argumento por la comisión, tió lo mismo. Ahora la comisión se separa de esa doctrina: y mas digo, que á que se desestimó por el Estamento, y no hay mas diferencia sino que lo que cada resolución del Estamento, la comisión , como que se ha ido vol…</t>
  </si>
  <si>
    <t>…o es imalry nacida del Estatuto, y que cualquiera que ' El Sr. Lasaota notó que el Procurador que había dicho quedase sobre lar sea el órden y colocación de sus artículos nunca pueden variar los de aquel. El mesa la iñstaacia del Sr. Sotomayor para discutirla,otro día, acaraba de marchar Reglamento es nna ley orgánica sobre el modo de deliberar el Estamento, se del Estamento, .y. que,por Jo. tanto debía dejarse el citado asunto para discu-s pero esta ley m&gt;tiene fuerza superior ai Estatuto, en el cual se fijan Ips nego tirio otro dia ■ m…</t>
  </si>
  <si>
    <t>…lo" TcUinvcTaT ministerio de su cargo , á las diex en IU dictamen: es una cuestión puramente reglamentaria. No se trata de cali de la mañana. Mañana no habrá se»ion: las comisiones podrán aprovecharse de ficar los documentos del Sr. Sotomayor, pues ya se hizo en una sesión ante este dia de intermedio para desplegar su celo , á fin de que lo* trabajos que les rior, en que se resolvió lo conveniente. En virtud de esto acudió el Sr. Soio- están cometidos se aceleren. Ciérrase la sesión.” anajror al Sr. Presidente con otra exposición, según…</t>
  </si>
  <si>
    <t>…es esto reconvenirla; peto Advier lar estas circunstancias, ó si nos, hemos de atener ál art. Só de la Real conroto que ahora no se ha atenido al rígido y explícito tenor de la ley como,oteas caloría: Ha habido ¿isos como ¿1 del Sr. Sotomayor, el cual tenia mas-da IWvcces. Yo creo que estamos en el caso.de que este Sr. Procurador no sea admi teales^de rtMi. en-finca, y wm,cantidad mucho majyor que etq -propia.;désiíia tido sin que-preceda él eximen dé' los documentos que /usiiEcjízen la posesión hijos, de la cual él era -entre tafite eL…</t>
  </si>
  <si>
    <t>Sotómayor</t>
  </si>
  <si>
    <t>…e la léy es rápido, y., que el castigo es ' pero si no se sabe ,esto, creo qué es admitirle á ciegas.” efectivo, no solo para los miserables seducidos , sino también para los .pérfido* El Sr. Medrana: »Se ha citado el ejemplo del Sr. Sotómayor; pero seductores', que conducen al precipicio á los incautos que apaso rio tienen al cómo este solo probó poseer una rébta de 103 rs., y no llegaba a 123, según Ja cancé. para, conocerle: es preciso que caiga el castigo sobre los que les arman el ley manda, ía comisión dijo que no ,debía admitírsel…</t>
  </si>
  <si>
    <t>Sotomayor, A Alvares</t>
  </si>
  <si>
    <t>A Alvares Sotomayor</t>
  </si>
  <si>
    <t>…iones de D. curados casos graves autor de Puente en la epidemia 21 historias Gonzalo, y 14,699. 2000____ Valencia. del a de S. &amp;c, 8cc. los Sres. IVr Fernando duques Dedicado Quiroga su método. por y de 18,427. looo.. . . Toledo. D. A. Alvares Sotomayor• procurador á Cortes por la provincia de Córdoba. Un tomo 14,557. 1000____ Salamanca. en 8.° de 3&lt;ú paginas 3 9 rs. en rústica; se vende en la librería de Razóla. 22,988. 1000. . . . Cádiz. ——En el pueblo de Marrón que tiene 200 vecinos, partido de Laredo, montañas de 6,5rt9. 1000. . . . Granada. S…</t>
  </si>
  <si>
    <t>Sotomayor, Alvarez</t>
  </si>
  <si>
    <t>Alvarez Sotomayor</t>
  </si>
  <si>
    <t>…rre: «Mil veces ha dicho la comisión, y lo repite , lo sensi hácia el art. .16, y creo que no lo ha~ entendido, como luego se probará en el ble que la es tener que desaprobar los documentos de algún Sr. Procurador. expediente del Sr. Alvarez Sotomayor.” Los que halla arreglados inmediatamente los aprueba; pero no puede ha El Sr. Riva Herrera: « Las rentas del Sr. Romarate exceden muchísimo cerlo asi cuando no los halla conformes con las fórmulas prevenidas en el re á las que se necesitan para ser Procurador; mas sus ocupaciones no le han per glamento.…</t>
  </si>
  <si>
    <t>Sotomayor, José-Alvarez</t>
  </si>
  <si>
    <t>José-Alvarez Sotomayor</t>
  </si>
  <si>
    <t>…ia. invitación de S. M. de un modo franco y respetuoso, y que era la ocasión de Se leyó y aprobó el acta de la sesión anterior. hacer anticipadamente sú profesión de fe política. Asi, pueslo primeró que Se leyó yna exposición de. D. José-Alvarez Sotomayor, por Córdoba, ha creído que debía hacer presente 4 S. M- era la necesidad de establecer la li suplicando se le concediese término para la presentación de poderes, lo que se bertad ,de imprenta, sin previa censura, sin examen, sin ninguna restricción, pasó 4 la comisión respectiva. que anteceda á la…</t>
  </si>
  <si>
    <t>Sotorres, Antonio</t>
  </si>
  <si>
    <t>Antonio Sotorres</t>
  </si>
  <si>
    <t>…ede explicarse el extraño y repentino cambio de que somos testi Extracto dc\ parte remitido por el subdelegado de Fomento de la provincia gos en ola plaza, y que ha sido obra de 15 días. Almeida, por su situación en de Tarragona, D. Antonio Sotorres , con techa 1.' de Abril último.</t>
  </si>
  <si>
    <t>Sotqngyoy, D José Alvarez</t>
  </si>
  <si>
    <t>D José Alvarez Sotqngyoy</t>
  </si>
  <si>
    <t>61L J; respetad», ~cptno tampoco prosperidad sin una paxBonrosa, esta opinron PROVINCIA DE SEVILLA. triunfa de' los eSÍiiérXos combinados dé dos partidos. . ' Sr. D. José Alvarez Sotqngyoy, conde de Huta. "fáns ha &lt;&amp;&lt;)o la señal f él ejemplo. Éste pueblo que durante iS años ocupó Si*. D. Agustín López del ¿año. . Iá vanguardia fcü la lucha contra un poder contrario a la libertad, reclama hoy Excmo. Sr. Marques de Monsalud. él ¡nísmópüesto contra las faccioOes enemigas del orden públi…</t>
  </si>
  <si>
    <t>Sotqngyoy, José Alvarez</t>
  </si>
  <si>
    <t>José Alvarez Sotqngyoy</t>
  </si>
  <si>
    <t>Soucasc, Jróne</t>
  </si>
  <si>
    <t>Jróne Soucasc</t>
  </si>
  <si>
    <t>…jos de merecer que se dude de sú probidad, acredita á D. Minuel María de Quijano; para el de Caceres a D, José María Jiménez qut ta t*eae;splo la traición es infame.’El conde de Villa Real se mostró li Muñoz} para el &lt;k A Ico y a D. Jróne Soucasc; para el de Oonccntaina á Don</t>
  </si>
  <si>
    <t>SouJr</t>
  </si>
  <si>
    <t>…de Inglaterra y Francia; y tienen al mismo tiempo el encargo de diri de cont«tacion al discurso del Rey. gir sin pérdida de tiempo al gabinete deS. Pctersburgo cuantas noticias pueden Continúa la sesión pública con asistencia del mariscal SouJr, presidente del adquirir sob;e el particular. (¿i ruc-Sun.) consejo de Ministros, y el Sr. de Broglie, secretario de Relación» exterior». ____ Tenemos razones para creer que lord Palmerston ha dicho al embajador El conde Mole lee la minuta de contestación al discurso del Rey.* el pre de Rusia en la…</t>
  </si>
  <si>
    <t>Soulr</t>
  </si>
  <si>
    <t>…endo en todas direcciones- Infelizmente la noche no la comisión para que lo adapte á las observaciones que ellos acaban de hacer: permitió que continuásemos la persecución. Los .rebeldes amenazaron pasar el el general Bugeaud, el mariscal Soulr, y los Sres. Schneider y Salvandy sostie puente de Celeiro, y dieron un ataque serio en ¿l puente de Almoster; pero nen que el artículo se debe aprobar como está, pues adhiriendo á la opinión del en todas partes fueron.repelidos., y mañana tendré el honor de enviar á V. E. Sr. Deludre se destruye l…</t>
  </si>
  <si>
    <t>Soult</t>
  </si>
  <si>
    <t>…sos arriba expresados concurriesen circunstancias que dismi tado; pero muchas providencias absolviendo á los acusados han probado que se nuyan el delito, se aplicará el articulo Jrta del código.” había mirado con indiferencia. El mariscal Soult, ministro Je Guerra: «Señores: S. M. nos encarga pre «Os proponemos, señores, en el presente proyecto el castigo del hecho solo sentaros dos proyectos de ley, dirigidos á poner, durante los años de 1834 y de tomar armas, aunque sea fuera de complot ó de atentado. Un individuo que 1835 , el ejército…</t>
  </si>
  <si>
    <t>…sgracias, arruinado á muchas familias, y costado conde Rigúy, Bignon, Guizot, de Broglie, el mariscal Maison, Monfalivet, la vida á centenares de inocentes. ¡El incendio ha devorado ricos edificios y casas Merilhout, d'Argout, el mariscal Soult, Barthc, Girod (de 1'AÍn), Humana; modestas! Ha sentido sus estragos, asi el hombre opulento como el pobre jorna Thiers, Persil, Dúchate!, Roussin; •“'Jacob, el “duque de Bassano, Bresson, lero: nuestras discordias, ahora como siempre., han ofrecido á la piedad leo el general Bcrnard&gt; Passy, Teste,…</t>
  </si>
  <si>
    <t>…es el principa' objeto i que se encaminan mis A*«el* '}rU Monedaj=Vicentc Martina de Vel*sco. = Josef Dial Gomei fuerzo*, y en que se cifran mis deseos.** ' "irü.rsjceef Ju*n:de feli^rVietoriano de la Puente López.= Miguef de El mariscal Soult, presidente del consejo de Ministros, lee dos proyectos de</t>
  </si>
  <si>
    <t>…de 25 millones de francos que la nación francesa debe á los Es La función recibió nuevo realce con haberse organizado el mismo día la tados-Unidos. milicia urbana, con las danzas antiguas de los gremios, y con un coro de niñas Ei mariscal Soult, ministra de Guerra, lee tres proyectos de ley; uno elegantemente vestidas, que al son de la música entonaban himnos á S. M. la concediendo al gobierno dos millones y medio de francos para subvenir al Reina, ademas de la iluminación general, fuegos artificiales y ricas colgaduras equipo y Subsisten…</t>
  </si>
  <si>
    <t>…xaminado d de la Hacienda militar los inspectores, directores ó comandantes ge proyecto de ley relativo á la liquidación de la deuda de la casa Real de Cartón. nerales de las armas é institutos á que los enunciados cuerpos per El mariscal Soult, ministro de Guerra, presenta dos proyectos de ley idtenezcan. mitidos por la Cámara de los diputados; por el uno seconcedendosmillones!: francos para atender al pago de pensiones militares, y por el otro se asignan 4? Finalmente S. M. se reserva resolver, con presencia de los crédito extraordinari…</t>
  </si>
  <si>
    <t>…stituye interinamente el general San Josef , que manda una ro de los enfermos y menesterosos que sean invadidos por el diera asiático,brigada de la división activa. Mañana esperan en el cuartel general de la divi sión al teniente general Soult. (Diario de París.) SCSCRIPTORES- Re. de OH. Cartas recibidas hoy de Génova anuncian la llegada de D. Miguel á aquel S. M. la Reina Gobernadora............................................................. puerto , á bordo de la fragata inglesa Stag. (Monitor.) S. A. el Sermo. Sr. Infante D. Francisc…</t>
  </si>
  <si>
    <t>…que la primera obligación de los militares es celebrar la proclamación de nuestros augustos Monarcas, han querido sin em I obedecer á sus gefes. ' m barco el Sr. corregidor y el muv ilustre ayuntamiento demostrar en todo lo | gi mariscal Soult, ministro de Guerra, refiere circunstanciadamente todo posible su adhesión á £. M. Doña Isabel ii y a la Reina Gobernadora. A [lo ocurrido en el nombramiento de que trata el Sr. Larabit, v después de re- este tin, puesto de acuerdo el cuerpo municipal con el Iimq. Sr. obispo y el Ibalir toda* las p…</t>
  </si>
  <si>
    <t>…propone que sobre todas estas exposiciones se declare tipuló en S. Petersburgo, y fue firmado por Achmet Bajá el 29 del mesó!- -que ño há lugar á votar. timo. Aunque se ignora su contenido» no hay duda que se ha comunicado ofi El mariscal Soult manifiesta los'inconvenientes que presenta la anulación cialmente á los gabinetes de Francia , Inglaterra, Bcrlin &amp;c., y se ha trasluci- de la ley relativa á la familia de Bonaparte. do 1° tendencia es pacifica yvqntajo^ á la Turquía. ^ EsU jmleMÉq^Hfc lraí &lt;fc4as'gravosa¿ condiciones que le.impuso…</t>
  </si>
  <si>
    <t>…vagaban p6r las calles de dia y noche con Se dice que el general Solignac, que habia hecho dimisión de su destino dirección á los gallos, á los juegos permitidos por la ley, á los tres bailes y por desavenencias personales con el mariscal Soult, acaba de ser repuesto por el demas diversiones honestas que habia con tan plausible motivo. Desdeel indi mariscal Gerard en la lista del estado mayor del ejército. viduo mas elevado ha»ta el mas humilde de la jurisdicción, nadie pensaba mas que en-demostrar su amor y lealtad á la Reina. ¡Quiera el…</t>
  </si>
  <si>
    <t>…árrtara acuerda que este in con la política. (Standardí) forme y el proyecto se impriman y distribuyan para discutirlo en la sesión de pasado mañana. ____Se cree que el tratado convenido entre las cuatro Potencias que se ha en El mariscal Soult presenta el proyeeto de ley relativo al estado de los ofi viado á Lisboa para su ratificación , podrá volver ya firmado dentro de ocho ó cíales del ejército y armada, modificado por la Cámara de los Pares. Se manda diez dias. Al mismo tiempo temos al Post comentar de tal manera sus artícu imprimir…</t>
  </si>
  <si>
    <t>…patria.” de estos vecinos i la visita del estandarte por el cual han peleado y sostenido ¡Áftechas voces. **Decid también en nombre de la Cámara.” con tanta constancia todo género dé' sacrificios. Concluida la función rogaron El mariscal Soult, presidente del consejo de Ministros, abundando en el «n el santo templo por la preciosa vida de su Soberana , de cuyo reinado espe modo'de pensar del Sr. Mauviiin , recomienda á la Cámara los eminentes ser ran el triunfo de la justicia, la tranquilidad de la patria y el alivio de los ma vicios de…</t>
  </si>
  <si>
    <t>…dunwte 15 J años, reunía por un privilegio bien Aro., la mayor firmeza á la mas consumáParís 6 de Diciembre. da prudencia; y ademas de las prendas que constituyen el estadista,se halla ba en elevada posición sociah El mismo señor mariscal Soult no repugnó que Lonja de hoy. Cinco por 100 consolidados 105 fr- Fondos .españoles:' fuese Presidente del/consejo. ^ , renta de España al 3 por 100, 27%: empréstito Real de.id., 45= renta per «La Providencia nos arrebató después aquel hombre, y al tóéar la nece petua de ¿d., 43f: Cortes 40¿. sidad d…</t>
  </si>
  <si>
    <t>…gunos de los ministros que han hecho dimisión. (.Debates.) sonas procedentes del Bastan se sabia que el dia 7 por la mañana había llega do á aquel valle una división de tropas de la Rbina , procedentes de Pam ------ Dicen que el mariscal Soult no tardará en llegar á esta capital. plona. (Diario de Comercio.) Ignoramos cuál es el objeto de este movimiento, pues no hay duda en que ya rio hay necesidad de hacer quede libre, porque la guarnición de este ____ Se espera en esta á Mr. de Talleyrand. (Idem) punto en una salida que hizo últimamen…</t>
  </si>
  <si>
    <t>…también: ¿habrán de ser repuestos los hombres que obtenían los bía adoptado los mismos principios porque ellos habían peleado, debían ser destinos en comisión, los que desempeñaban mal los que obtenían, los que fal— atendidos. El mariscal Soult fue el primero que se opuso a esta medida, mani taron á sus deberes , los que fueron depuestos ?, festando que era propia del Gobierno y no objeto de una ley. Las Cámaras «Esta objeción es muy poco sólida y casi de ningún fundamento. ¿Qué es desecharon la petición, y el mariscal al dia siguiente in…</t>
  </si>
  <si>
    <t>…as, á................................................. 1.155688 - ___Algunos. periódicos, sin duda mal informados, han anunciado que el Bebidas, á......................................................................... 2.641,988 mariscal Soult había llegado á París. El mariscal está en sus haciendas, y no Vitrificaciones, á..................................... ............ .. ..... 1.54,018 hemos oído que se hable de su vuelta á la capital. (Idi) Hilos, á........................................................................ 10.503,246…</t>
  </si>
  <si>
    <t>…a imprimir j distribuir' •que ia nación celebra el restablecimiento de vuestra salud y la sabiduría de los para discutirlo el miércoles próximo. ^ # ■decretos de tina Reina" que en vuestro nombre abre el templo de Minerva á la El mariscal Soult, después de manifestar detenidamente las atenciones ex juventud estudios^', -.peñJoiia'los.agravios?de. dna, é$pcá aefaga, y corriendo so traordinarias á que el- ministerio d® Guerra tiene que ocurrir circl presente ano bre -ella el denso velo del ohrido', vuelve la vista aí porvenir y le consagra…</t>
  </si>
  <si>
    <t>…id 78 j. Renta per petua de id. 6l|. 1 La ciudad de Matanzas luego que recibió la orden de jurar por heredera Cámara de ios paees. —Sesión del dia 3. del trono á la Hija primogénita del Sr. D. Fernando vn , se apresuró á pres El mariscal Soult presenta el proyecto de ley , adoptado ya por la Cámara tarla el homenage propio de su lealtad y ei de su adhesión sincera a la me de los Diputados, acerca de la liquidación de créditos activos y pasivos de la trópoli. ‘ casa Real de darlos x. Se manda imprimir y distribuir. Al rayar el dia 5 de No…</t>
  </si>
  <si>
    <t>…e la del 12 dei que gobierna , y haber pertenecido al ejército de nuestra amada So berana con el empleo de .teniente , llamándose en el día ayudante mayor de hú órden del Salvador. La misma distinción ha sido dirigida á ios Sres. mariscal Soult, duque de Broglic,. príncipe de Talley-rand , mariscal Maison , conde sares entre los rebelde*, por lo que con arreglo á las-Reale* órdenes vigentes Guilleminot, lord Palmcrston, lord Grey, sir Stralford Omning, sir Y.Gra- dispuse que después de obtenidos ios auxilios como cristiano fuese pasado po…</t>
  </si>
  <si>
    <t>…, se extiende al elogio del conde Grey , en quien reco idem 79. noce i,íníl'qS ind^píhs^tlffUl reconóíi'tmehto del pais ..np.solo por el acta de 4 rrfoijna ,¿dc qué hd^|?tí^el autor hace 4^ años, sino por la manera con que — - El mariscal Soult ha leído en el consejo tm tratado sobre la organización has^^b reVisti^^tins^aipara de Payes corUtaria'.á sus ideas. definitiva de Argel. Anteriormente había propuesto el mariscal la creación dp w^ofcluyí5;est4^&gt;eí|¿ífic§:cfic¡endej»_Grac|as_ al_conc{&amp;. G^ey*.nos hajlaippi un vireio-Uo qu^. debía r…</t>
  </si>
  <si>
    <t>…sacrificará lizeua- un confidente recibo el oficio del general Espartér.o que con- fe tnente, hacíendpjejservir de instrumento para conseguirjotras miras!, ____! „ cha 14 del actual desde Munguia me dice lo siguiente: Excelen El mariscal Soult, tan señalado durante el imperio por sus hazañas, -había tísimo Sr.: Después de fres dias de penosísimas marchas en que 'perdido parte de sus apasionados, de jesuítas de cierta especie de aislamiento en de nuevo ha acreditado esta tropa su constancia en los padecimien que se manteniáfeanrtque sotó…</t>
  </si>
  <si>
    <t>…cesora le— Parts 9 de Afar&amp;i, roúima del trono, asi como los de su espontánea sumisión a la excelsa Gober— CÁMARA DE IOS PARES.__Sesión del di** 5. I nadora de la monarquía, ofreciendoKgrabarlos profundamente con los de lagra- El mariscal Soult, ministro de Guerra, presenta el proyecto de ¿ey sobre Ititud en los corazones de la infancia adoptada benignamente por sus Reyes, y el estado de los oficiales, y manifiesta que el gobierno ha adherido á todas las I-encomendada á esta corporación, que ruega por la conservación de la vida de la alte…</t>
  </si>
  <si>
    <t>…reemplazará á Mr. Ellice en el ministerio de la Guerra. Rigny, Bignon, Guizot, duque de Brdglie, mariscal Jourdan, Tupinier, Mole, (Times.) Sebastiani, Laffitte, Casimiro Perrier, mariscal Muison, Montalivet, Merilhou, d’Argout, mariscal Soult, Barthe, Girod de l'Ain, Humann, Thiers, Persil, Duchatel, Roussin, Jacob, duque de Bassano, Bresson, general Bcr~ — Casi todos los ministros visitaron ayer á lord Melbourne, el cual fue nard, Passy, Teste, Carlos Dupin. Total 32. después á Brighton para tener una audiencia de S. M. (Caurier.) ____…</t>
  </si>
  <si>
    <t>…provincia de Teruel ha dirigido al ministerio del Fo mento la exposición que sigue: cámara de ios paefs Sesión del día 8. nExcmo. Sr.: Tengo indicado á V. E que el estado de miseria y abando Leída el acta de la última sesión, el mariscal Soult, presidente del consejo no en que se encuentra el hospicio ó casa de misericordia de esta ciudad había de Ministros, presenta tres proyectos de ley aprobados ya por la Cámara de los llamado mí atención, y excitado mis deseos de mejorar su condición , estable Diputados, á saber: el de aumento del cu…</t>
  </si>
  <si>
    <t>…a sesión i las 6 : mañana continuará la discusión en sesión pú blica. : (Continuación del correo anterior.) 1 , VXANCIA. — AyerS. M. Luis Felipe, acompañado de SS. A A. RR. el^ duque de Orleans, de Nemours, príncipe de Joinville, mariscal Soult, ministro de la guer P¿sris 14 de Abril. ' ra y mariscal Gerard , pasó revista en el patio de las Tullerías á los regimien tos 5.° ligeros , 54 de línea y cazadores á caballo- Las tropas entusiasmadas die cXxaka de 10* DIPUTADOS.__Sesión del dia 18 de Marzo. / ron él grito de viva el R.y repetido m…</t>
  </si>
  <si>
    <t>…el mm&gt;M«io dé Guerra y lapresideneie del cojnpqo óe mijhace tiempo, de-qna Ja Irlanda do puede ser regida bajo la ordinaria protec ción de la ley, *1 ño que es menester que el gobierno esté revestido de facul (jtcé tiempo que él mariscal Soult, había dicho que pensaba retirarse. Debi tades extraordinarias para conserva^ la paz entre aquéllos súbditos. litada |U;talud con cuarró' años dé fatigas y de importantes iervictot* ya era Después de haber hablado lord Grey de la correapondcncia del lord lugar forzosó qUe descantase.. Afeé hito dim…</t>
  </si>
  <si>
    <t>Soult.presenta</t>
  </si>
  <si>
    <t>…comandante de Peñaranda salió en su persecución, llegando á S. Leo proyecto de ley relativo al alistamiento de 803 hombres de la clase de 1833. nardo , de donde avisaba el joven oficial, á quien sus deseos y ardor llevaron toa El mariscal Soult.presenta un proyecto de ley ya aprobado por la Cámara de ra aquél punto, que se hallaba comprometido con fuerzas superiores; por lo los Diputados, en el cual se determina el modo de liquidar los créditos activos que salió Obregon de Aranda con 6u infantes y 30 «bailo*. y pasivos de la casa de jubilaciones d…</t>
  </si>
  <si>
    <t>Soure</t>
  </si>
  <si>
    <t>…rlo artículo por artícu estación hace poco probable que estos movimientos se verifiquen para que el lo, pues asi se aceleraría la discusión. ^Emperador pase revista á estas tropas., habiéndolo ya hecho el año último en Opúsose el Sr. Soure al parecer del Sr. Leonel, sosteniendo que la dis Modlin; pero esta centralización de tropas rusas debe llamar la atención de cusión actual era sobre la totalidad del proyecto: del mismo dictamen fiie el la Europa hacia los negocios del Oriente. Sr. Sánchez: el Sr. Vasconcelos sostuvo también que e…</t>
  </si>
  <si>
    <t>…ce piara emplear medidas extruooLnaruc, tanto ciones, sosteniendo que los vocales de los consejos debían ser militares, y por para evitar, como para castigar y reprimir prontamente cualquiera tenr.it.va ningún título letrados. Él Sr. Soure aclaró ciertos puntos que le parecían du revolucionaria, porque desgraciadamente hay sin duda muchos perversos y ma dosos; el Sr. Magalhaes presentó una adición; el Sr. Miranda aprobó el artí lévolos, v bastantes incautos que solo con algunos escarmientos podran desen culo como estaba en el proyect…</t>
  </si>
  <si>
    <t>Sousa</t>
  </si>
  <si>
    <t>…e OrlofF, encargado re ver á la comisión; antesal contrario, una vez discutido en su totalidad, era cientemente de una misión en Holanda, será nombrado embajador de Rusia justo proceder á la discusión por artículos: en sentir del Sr. Sousa, la discu cerca dé la corte de han Jame». sión solo se podía verificar ep la totalidad, y las observaciones del Sr. Leonel podrían tener lugar cuando se examinasen los artículos, presentándolas como Portugal adiciones, correcciones ó lo que fuesen. Muchas voces. «A la votación! A la votación!” Lisb…</t>
  </si>
  <si>
    <t>Soutlío</t>
  </si>
  <si>
    <t>…neral, Madrid 11 de Setiembre. Edward Massoni • *", SentcOfid; -Reine de' Grecia.nzTribunal de Nauplia.==Jueces A. Polyzoi- Poete recibido en la secretario-de S-stadoy dtl Jdespacho de.la Guerra. 4 des , presidente: G. Tertzetti, D. Soutlío j í1. Frangoulis y A. Boulgqris. El.tribynal. rqunido-pva.pfonunciar cn.la cau** fofmótla-á'inUahcia del j El capitán general de Aragón con fiseha de. tí del «orricnn; diceá este mi e8StfÓÍ Plapouta y T. Colocotroni por crjmein de con*piracioni nisterio entre otras cosas: Que el gobernaddr de Hp«ca…</t>
  </si>
  <si>
    <t>Soutzo</t>
  </si>
  <si>
    <t>…héroes , por Román Sokykj y-dotro: Cere— gil de Quiñones, fiscal del tribunal de Cruzada, quedando satisfecha menia fúnebre en honor de tos potaros. del zelo con que se ha conducido el actual subdelegado D. Fermín Sabemos que el príncipe Soutzo ha recibido orden para ir de París á San Petersborgo á ocuparse «n las negociaciones relativas al matrimonio- def Rey Gil de Linares. De Real orden lo comunico á V. E. para su inteli 1 Othon coa la hija mayor del Emperador Nicolás. {Corresponsal de Nuretnbergi) gencia y efectos correspondientes. Di…</t>
  </si>
  <si>
    <t>Soxela, Luts</t>
  </si>
  <si>
    <t>Luts Soxela</t>
  </si>
  <si>
    <t>…u amada iiija la Reina Doña Ísa*Sei jj , que el Sr. D. Joscf Éocairente. (el ayuntamiento, justicia y claro de) ; d- lmar, consejero honorario de Estado y director general di .Aduanas en co— Burgos, (el ayuntamiento de) j misión; D. Luts Soxela, gefe de la Ordenación de presupuesto; D. Cristóbal Cas pe. (el ayuntamiento de) Bordiu, oficial de la secretaría del despacho de. Fomento reino ^ y D. Ge Constantino- (el alcalde mayor de) rónimo de ia Escosura, individuo de la junta de Fomento, *e ocupen en for Idem, (el ayuntamiento de) mar la p…</t>
  </si>
  <si>
    <t>Soy, Puche</t>
  </si>
  <si>
    <t>Puche Soy</t>
  </si>
  <si>
    <t>…reedores, siempre que se adopten aquellas prudentes economías que recla mento si nos hallamos en el caso que, previene el árt. 92 del reglamento.” ma nuestra situación, y que se establezca el órden correspondiente en su régi - El Sr. Puche -. «Soy de dictámen que el Estamento debe proceder sobre men administrativo.” la marcha á la discusión del presupuesto que la mesa tiene señalado para hoy. El Sr. Istúriz rectificó algunas equivocaciones que dijo habia padecido el Un presupuesto en último análisis no es otra cosa que la suma de los gastos que…</t>
  </si>
  <si>
    <t>Soy, Santafét</t>
  </si>
  <si>
    <t>Santafét Soy</t>
  </si>
  <si>
    <t>…e se ha redactado nuevamente.” y la obligación de todos los española á sostenerla. Respeto mucho la opimoa El Sr Serrano deshizo una ligera equivocación. del Sr. Domecq; pero en mi concepto debe aprobarse el articulo según caá El Sr.-Santafét «Soy de sentir que debe suprimirse la pena de confisca-* ^redactado.” don como injusta ¿ inmoral; pero me parece que atendidas las circunstancias Habiéndose preguntado fu otaba suficientemente discutido ei artículo, a actúala debe serlo solo para los verdaderos españoles, no para los apúrios que declaró qu…</t>
  </si>
  <si>
    <t>Sparre</t>
  </si>
  <si>
    <t>…thepiogia % si-oe de jttdicio Académica grncattica, erga verum, novelas; pocos le han cultivado/,-, y ninguno ha sdBreiadido singularmente. Él comentarios sumamente útiles. Esta hermosa edición, en la cual se ha seguido el texto conde Sparre, oficial superior de marina, se ha dado á condeer por él ultimo de la del celebrado Olivet, se halla adorada 23 estampas finas délos filósofo* Bfáocheres, imitación bastante'feliz de las novelas de peni more Cooper. LSs no oradores y personages que figuran en la historia del autor. —Observaciones s…</t>
  </si>
  <si>
    <t>Spencen</t>
  </si>
  <si>
    <t>…emplace en el mi yos muebles y telares han sido devastadosyor-krinsurrécckm ó la.defensa (pornisterio de canciller del echiquier. &lt;\Globe.) ' .que el informe lo mismo acusa á la uná que á la otra) asciende'á Stk ____ La muerte de lord'Spencen hace indispensables algunas modificaciones en ' Paifis 20 de Noviembre el ministerio, que á nuestro juicio no ofrecen gran dificultad, pues no la-hay -r en encontrar un sucesor á lord Althorp. Mas si puede nombrarse1 á uní-hom primer proyecto de amnistía que presentó el Consejo de, Ministros bre ma…</t>
  </si>
  <si>
    <t>Spencer</t>
  </si>
  <si>
    <t>…o que esperaba al Emperador, la presencia del obispo acompañado de sit clero, aguardando á las puertas del monasterio, y la iluminación de la igle sia, todo hacía interesante esta magnífica solemnidad. El pueblo todavía duda . El conde Spencer, padre de lord Ahhorp, que murió el 10 del corriente, ba de la llegada del Monarca y escuchaba con silencio la primera noticia había nacido en l.° de Setiembre de 1"58, v tenia 77 años de edad. Era que se le diese, cuando viendo al obispo con la cruz y el agua bendita, que 'caballero de la orden de…</t>
  </si>
  <si>
    <t>…pero la acompañó de falsario da en Francia por término medio, desde 1825 á 1831,283 por con sus votos, y su mas decidida aprobación. año. La Gran Bretaña no ofrece mas que un término medio de 45. En Fran La biblioteca que poseia lord Spencer pasa por lina de las mas selectas de cia, por cada millón de habitantes, hay 888 falsarios: en Inglaterra 220. Por Europa. ^ consiguiente hay en Francia por cada 113,635 habitantes, un crimen de falsa Entre otras recomendables prendas de lord Spencer, se cita la bondad y rio: en Inglaterra, 1 por 4…</t>
  </si>
  <si>
    <t>…miento ,____ Se asegura que S. M. dió esta respuesta en un tono de voz bastante enér general. Nadie pide la palabra.) gico. (Globo.) PresidenteT «Puesto que no se hace proposición, nada hay que poner á votación.” (Silencio.) __E1 conde Spencer debe entregar hoy los selles, y según las precedentes Mr. Etienne: «La Cámara ha contestado ya con franqueza y lealtad en ¿Oposiciones, lord Deuman, gefede la Justicia, será canciller del Echiquier. la respuesta que dió al discurso del trono; deseo saber si los Sres. Secretarios Zn. 1721 sir John P…</t>
  </si>
  <si>
    <t>…e los que acor daren; yJejecutáren lo contrario, á no prevenirloS. M. expresa y ler- Fondos públicos. Consolidados 91^. tninafitemente; se ha servido mandar qiWse cumplan y observen to Ayer ha fallecido en su hacienda de Althorp, lord Spencer, que hace das las disposiciones de la materia, previniéndose á los gobernadores tiempo se había retirado de la vida pública. Le sucede en la dignidad de Par civiles que sin Real facultad no dispongan de los fondos de los Pósitos, Su hijo primogénito lord Althorp, canciller del echiquier, que por lo…</t>
  </si>
  <si>
    <t>…ncias. Si Varios diarios han anunciado, copiándolo del Mcnsagero de ayer tarde, Mr. Spring Rice llegase á ser canciller del Echiquier, creen algunos que el la-xnuerte del mariscal Moncey, duque de Conegliano, gobernador de los in conde Spencer se haría cargo del ministerio de las colonias. Sin embargo en válidos. Tenemos la satisfacción de participar á nuestros lectores que dicha las tertulias se dice que Mr. Eittleton sucederá al lord Althorp. Nos asegu noticia es falsa. Mr. Eugeniol’Henrenx, ayudante de carripo del mariscal, nos escrib…</t>
  </si>
  <si>
    <t>…15 á las cuatro y media de la tarde ia noticia de que se reponía el La atención del público se ocupa en las combinaciones ministeriales que ministerio de Mr. Thiers hizo subir los fondos. se han hecho necesarias por la muerte del conde Spencer, y la entrada de su hijo en la Cámara alta. Se dice que Mr. Spring Rice obtendrá el cargo de can ____ Sabemos que el príncipe de Talleyrand, al recibir la noticia de haberse ciller del Echiquier, y que el actual conde Spencer será colocado al frente del nombrado el ministerio de 10 de Noviembre, hi…</t>
  </si>
  <si>
    <t>Spenser</t>
  </si>
  <si>
    <t>…s la configuración exacta y detallada de los paisa que visita. Es lord Brougham, ni tampoco si da reforma do la iglesia proyectada por lord Du- mas raro que el viagero extienda asi voluntariameníe*el círculo de sus traba cannon y lord Spenser será mas ó menos agradable al pueblo que la que me jos, cuando encuentra nuevas dificultada, sin preparacione, sin guia .y dita sir Roberto Peel y Mr. Goulbura,sino si los ministros de la corona deben sin instrumentos. Esto és lo que ha hecho con un celo infatigable el Sr. d’Or— ser designados á S.…</t>
  </si>
  <si>
    <t>Sperrcir</t>
  </si>
  <si>
    <t>…allaba S. S,, y la esperanza que tienen de que la causa nacional triunfará Ldndret 13 de Diciembre. de todos lo* obstáculos í}Ue se le opodgaü El noble lord contestó z que k* embarazos del ministerio habían nacido de lá muerte de lord Sperrcir, y de 1* Ya se ha dicho, y lo. repetimos, qué .¡sir Roberto Peef hí admitido el Consiguiente separación tfc kzrd Alforp, ctíyaé talentos y carácter ¿can díficG encaso de primer lorA tesorería t que ei duque de WeflitWoo es setre-*.sdb les do fcetOpUzaih Añadió que k» rumores esparcidos sobre le dUo…</t>
  </si>
  <si>
    <t>Spiterich</t>
  </si>
  <si>
    <t>…ningún tus abusos producirían algunas consecuencias funestas , fue siempre nuestro pa asomo de guerra en el Oriente............ recer que á toda consideración debían prevalecer las que derivan de la esencia El bcrgantip. Tamigi, capitán Spiterich, que llevaba á bordo a algunos del sistema representativo, que sin la libertad de imprenta no se puede consi tibios de \Vurtembcrg que iban ¿ continuar sus investigaciones de historia na derar perfecto; juzgamos que esa institución es, no solo la primera prerozativa tural , ha naufragado; en la cos…</t>
  </si>
  <si>
    <t>Spliba, Salvador</t>
  </si>
  <si>
    <t>Salvador Spliba</t>
  </si>
  <si>
    <t>…invadidos, de Obrar qtté sr hallan dt vtnía tn ti dtsfacha Ht la Jmprtnla JRtaL kif Cualéi curaron I48, y fallecieron I49. Observaciones de las eficaces virtudes nuevamente descubiertas ó campmKad** «y varias plantas, por el Dr. D. Salvador Spliba, médico botánico, j D. joatjuin Rodrl* ' PSOVINCIA DE CADIZ. guez, cirujano botánico* hechas y publicadas de orden superior« y reimpresas en J829* Tres tomos en 8.° raarquilla, adornadoé de estampas , k 21 rs. rama y 14 en rústica. Én oficio de S del actual manifiesta su gobernador civil que en aqu…</t>
  </si>
  <si>
    <t>Splnola, José Joaquín de Virues y</t>
  </si>
  <si>
    <t>José Joaquín de Virues y Splnola</t>
  </si>
  <si>
    <t>…phonia, &lt;5 generación de la bien-sonancia música, dedicada i cia, de las naciones extranjeras. S. M. la Urina nuestra Sra. Dolía María Cristina dbBorbon (Q. D. G.) i Ay! oiga* el cielo las plegarías mias\ por el mariscal de Campo D. José Joaquín de Virues y Splnola: adopta da por el Real conservatorio de música para único método de eoseúanza de la armonía, el contrapunto y la composicioo. De drdeo de S. M. Ma drid en la Imprenta Real alio de 1831. Un tomo en folio de marquilla, MINISTERIO DE CRACIA Y JUSTICIA. que comprende 13» páginas de impresión, 38 lámina…</t>
  </si>
  <si>
    <t>Sporon, Francisco Mar</t>
  </si>
  <si>
    <t>Francisco Mar Sporon</t>
  </si>
  <si>
    <t>…gue están ya terminadas; hay 2200 elec dréis lo necesario á sü cumplimiento.=Está rubricado de la Real ma- tores, y 13 elegibles! es lástima qué. nuestro mas celebre orador, qf «bogado no,=En el Pardo á 10 de Setiembre de 1834.=A D. Francisco Mar- Sporon, no sea elcgible/porque í pesar de su grande fortuna no « propietario íines dé la Rosa, Presidente del Consejo de Ministros! territorial. i \ «á En virtud de la prerogativa que me compete, con arreglo al _____Se confirma la noticia de que llegará pronto aquí una escuadra rusa, y aun art. 12 del Est…</t>
  </si>
  <si>
    <t>Spult</t>
  </si>
  <si>
    <t>…iS0ar£t?"e'?Qá ,os $?? íSÍSWiT .ftftibmt ¿‘JPiiíA11*6- &gt; - ■ 'Pari-rn que Ü. Décaces quedadelío tllvimenlé se paf adó del gobiértió da resame captura-del tituládo ttitétidente Zavafa.^^u^qpn sqy F,»íner Arce! por la oposición del mariscal Spult, y se dice, gue ha salido pari lior- nazas tepia^n,continua agJt,a^¡Qn.smq.ellas ^ée.swrápjy es^e li -jb. Falta ahora saber Vi el mariscal'obtindrá elJ óóifibfaaiilito del íüifi^l ‘máyoxHil^m^: poflá^i^'jipse^y.^ WmijfofXji/m** Molilor. (Monitor.) . cd W *^cfip&gt;rCbto^cri succión lian téiñ1do;qu¿|y¿…</t>
  </si>
  <si>
    <t>Sputzo</t>
  </si>
  <si>
    <t>…ue manda calidad de tal. El ministro estaba acompañado de M. Schinas, qué ha hecho las la corta fuerza de la 2.a brigada de esta división las instrucciones necesarias para veces de encargado de Negocios desde el momento en que el príncipe Sputzo observar y perseguir al rebelde Iturriza que el 28 apareció sobre Oyarzun, se fue llamado á su corte. propuso pasar á Oñate; con cuy,o objeto salió de Villafranca ayer tarde con el Inmediatamente después el caballero de Rocha, enviado extraordinario y batallón de S. Fernando y la plana mayor, y per…</t>
  </si>
  <si>
    <t>Sr, AEala la Real Excmo</t>
  </si>
  <si>
    <t>AEala la Real Excmo Sr</t>
  </si>
  <si>
    <t>…guarde á V. E. muchos años. Puerto-Rico \\ de Noviembre de 1833. Gualbctlo Cionz.alez. =: Excmo. Sr. =z Miguel de la Torre. = Excmo. Sr. Secretario de Estado y del Expon. ,i S. dir. /.» Rb u Cl: Despacho. Señora: Aruestro obispé abad AEala la Real . Excmo. Sr.: He. recibido la Real orden que se ha servido V. F.. comuni miento que le lia causado la muer 'e vuestro icg-.o : cante con fecha 8 de Octubre último , y entcrájoine con suma satiaf.ts. J&gt;'ti de byV E. P. ID.), no puede menc-s de ,.t-'cir j A . M ^ que la Reina nuestra Señora Doña Isabel.ii , S. -M…</t>
  </si>
  <si>
    <t>Sr, Al Excmo</t>
  </si>
  <si>
    <t>Al Excmo Sr</t>
  </si>
  <si>
    <t>…la secretaría de Estado y del Despacho de la Guerra. »»E1 JLigktning pasó por Oporio el 31, y por Vigo el 7.” El comandante general de Guipúzcoa, con fecha 16 de Abril, da i este' FOmtUGAI. ministerio ei parte siguiente* «Excmo, Sr.? Al Excmo. .Sr. general en gefe del ejército de operaciones del Lisboa 24 de Abril. norte de España digo hoy lo siguiente :=Excmo. Sr.ssTeniendo reunida en es S. M. L el duque de Bragaaza ídpo ayer de oficio que lu tropa* españolas te punto U división de mi mando, y casi sin enemigos que combatir en esta ciudad de…</t>
  </si>
  <si>
    <t>…papeles que tengo en mi poder, y que remi Parte del general Espartero. tiré á V. E. tan pronto como reúna los que me ofrece de Vicente, y un .hijo de Cuevillas, según la voz general de los vecinos que habían quedado en Mo Excmo. Sr.: Al Excmo. Sr. general en gefe digo con esta fecha lo que si lina;; El níimero dé Heridos debe haber sido de mucha consideración, por los gue: »Excmo. Sr.: Por mi parte detü, dado desde Durango . quedará V. E. en rastros de sangre que dejaron en los campos. Se cogieron muchos fusiles y lan terado de mi marcha de…</t>
  </si>
  <si>
    <t>…asa de Francisco Ignacio de Amuchásteguí, sita fuera de la guamicioa^ coa fecha 29 dd pasado desde Lequeitio dice á este ministerio lo siguiente: y pasando 4 la casa hospicio por medio de otra inhabitada, franqueó la puer «Excmo. Sr.: Al Excmo. Sr. general en gefe digo con esta fecha lo que ta principal de la fortificación de Barrencalle, y entrando igualmente por I4&amp; copio: ExcmO- Sr.: Mi parte de 23 del presente hahrá hecho conocer á V. £. casas de la de la Trinidad, que también se hallan fuera de la fortificación , y mí marcea, sobre este…</t>
  </si>
  <si>
    <t>…a en la sierra y monte de Sigüenza, ba Parta recibidor en la secretaría dt Estado y del Despacho de la Guerra. tiéndole y causándole bastante pérdida. «El patriota administrador de salinas de Rocío D. Lorenzo Gutiérrez, ve Excmo. Sr.: Al Excmo. Sr. general en gefe de este ejército digo con esta cino de e,ta villa, se me presentó con el mayor anhelo en la madrugada de fecha lo siguiente: hoy, para salir con cinco caballos i hacer un reconocimiento sobre ViUhrca- «Exorno. Sr.: El coronel gobernador de Bermeo me dice con fecha 14 del yo; conocie…</t>
  </si>
  <si>
    <t>Sr, Al Ftirmo</t>
  </si>
  <si>
    <t>Al Ftirmo Sr</t>
  </si>
  <si>
    <t>…que Excmo. Sr.: IH general Lorenzo desde Ecay con fecha de aver me dict lla dilección; y te»ueíio á sostener ei honor de mi columna, dispuse desplegar siguiente : do* guerrillas de infantería a las órdenes del teniente Fort y del sargento Al- «Ftirmo. Sr.: A las once He llegado á este punto, en el que He sabido "Varez , y unj de caballería á las dei calxj Juan Francisco Marioteta » las que que el Pretendiente v Zumaiacarregvn *.r'n cuatro b.»tallanes durmieron anoche fueron cardada» por fuerzas tan superiores, que conociendo la impodbilidad de en A…</t>
  </si>
  <si>
    <t>Sr, Antonio López Excmo</t>
  </si>
  <si>
    <t>Antonio López Excmo Sr</t>
  </si>
  <si>
    <t>…rnador civil de la provtncia .de Sala capitular de Orizaba.Mayo 4 de 1834.=Excmo. Sr.=José María de Agui- Valencia D. Juan Antonio Castejon con fecha I.°de Agosto actual. lar.=Joaquin Fernandez , secretario. := Excmo. Sr. general D. Antonio López Excmo. Sr.: Él estado brillante en que se halla la agricultura en esta pro de Santa Ana , presidente de los Estados Unidos mejicanos. vincia puede servir de modelo á las mas adelantadas en este ramo de riqueza Es copia. Méjico Mayo 14 de 1834-=José de Aljo.in. pública dentro y fuera de la nación. El suelo pro…</t>
  </si>
  <si>
    <t>Sr, Arnóldez de Toledo ExerTjo</t>
  </si>
  <si>
    <t>Arnóldez de Toledo ExerTjo Sr</t>
  </si>
  <si>
    <t>956 ■ Nota. No se había recibido patfe del número total de enfermos ni del de — El conde Arnóldez de Toledo.“ExerTjo. Sr. margues de Rodil —Acabo de sa ber que Zumalacarregui con los 4 batallones y su caballería estaban esta maña curados. na á las nueve en Añorre. Se lo aviso al general Lorenzo que sale de Nagore PROVINCIA DE MADRID. marchando sobre eHos.—Es copia.:=Rodil. Con fecha 26 del corriente manifiesta su gobe…</t>
  </si>
  <si>
    <t>Sr, Católico de El</t>
  </si>
  <si>
    <t>Católico de El Sr</t>
  </si>
  <si>
    <t>…za; cuando no olvidemos lo que somos y lo que fuimos; que esto de aquellas sutilezas que son tan frecuentes en la corte de Roma, v recon.^.o mismo nos anuncia lo que seremos.0 a! archiduque como Rey de España , no haciéndolo como Rey Católico de El Sr. marques de Torremejía manifestó que los insultos á que había he España , sino una especie de reconocimiento de Rey in particus. cho1 referencia no eran aquellos que llevan consigo la provocación; pero que no «No 1c valió , sin embargo, esie efugio, porque Feiipe v, á pesar de e!, podía menos de apa…</t>
  </si>
  <si>
    <t>Sr, D Antonio López Excmo</t>
  </si>
  <si>
    <t>D Antonio López Excmo Sr</t>
  </si>
  <si>
    <t>…el gobernador civil de la provtncia .de Sala capitular de Orizaba.Mayo 4 de 1834.=Excmo. Sr.=José María de Agui- Valencia D. Juan Antonio Castejon con fecha I.°de Agosto actual. lar.=Joaquin Fernandez , secretario. := Excmo. Sr. general D. Antonio López Excmo. Sr.: Él estado brillante en que se halla la agricultura en esta pro de Santa Ana , presidente de los Estados Unidos mejicanos. vincia puede servir de modelo á las mas adelantadas en este ramo de riqueza Es copia. Méjico Mayo 14 de 1834-=José de Aljo.in. pública dentro y fuera de la nación. El suelo pro…</t>
  </si>
  <si>
    <t>Sr, D Fernan</t>
  </si>
  <si>
    <t>D Fernan Sr</t>
  </si>
  <si>
    <t>…ue no está entera Sr. E&gt;. Nicolás Garelly: no cobra mas que como Se do de la historia de este consejo y de los apoyos légales en que se funda. Fue cretario del Despacho. instituido por el testamento hecho en el año de 1830 por el Sr. D. Fernan Sr. conde de Ofaiia.............................. 120,000 do vii, eLcual previno que si dejaba hijos en'menor edad, su augusta madre Secretaría: oficial mayor........................ 24,000 y tulora hubiese de consultar los asuntos graves del Estado, aprovechándose, Oficial 2.®.........................…</t>
  </si>
  <si>
    <t>Sr, D Francisco de El</t>
  </si>
  <si>
    <t>D Francisco de El Sr</t>
  </si>
  <si>
    <t>…y la serenidad propia de la nación á que pertenece, igualmente que el capitán de Exento» Sr.: Después de haber quedado en la Borunda y ralle Araquil navio que le acompaña. = - la vanguardia de este ejército á las órdenes del Sr. brigadier D. Francisco de El Sr. coronel D-Manuel Guerra, mis ayudantes de campo, el teniente Paula Jugueras, extendí mis operaciones í toda la amplitud que dieron de sí coronel D. Juan Tran, el alférez de caballería, capitán de la Milicia urbana la» circunstancias y los movimientos del enemigo, según tuve el honor de par de Valen…</t>
  </si>
  <si>
    <t>Sr, D Manuel Alvarez García Excmo</t>
  </si>
  <si>
    <t>D Manuel Alvarez García Excmo Sr</t>
  </si>
  <si>
    <t>…com portamiento. Dios ócc.=rCuartcl general de Haro 24 de Octubre de 1834^=7 __ _______ - patrvTNCIA DE VAUABOUB. ¿remo. Sr.=José Manso^=Ezcm&lt;i Sr. Secretario de Estado y del Despache Sr. D. Rafael Faustino Sanz. de la Guerra. ■ Sr. D. Manuel Alvarez García. Excmo. Sr.: El teniente coronel D. bíarcíso CU vería, con fecha 23 dei PROVINCIA DE ZAMORA. corriente desde Meceneyes, me dice lo que sigue: «Excmo. Sr.: Habiendo salido á las cuatro de la mañana de Ctiíemcí&lt;r Sr. D. Manuel Villathica. de abajo, hallé después de ser de d¿a, en ei mente de Caserillo de Solaran…</t>
  </si>
  <si>
    <t>Sr, D Miguel Ricardo de El Excmo</t>
  </si>
  <si>
    <t>D Miguel Ricardo de El Excmo Sr</t>
  </si>
  <si>
    <t>…renovar los documentos ó suplirlos por otros, ofreciendo presentarlos i ’ Se dió cuenta de uft dictimen de la comisión de examen de documentos, luego que los tenga corrientes. - la cual, en vista de los presentados por el Excmo. Sr. D. Miguel Ricardo de El Excmo. Sr. D. Justo María de Ibar Navarro expuso que sus males no - Alava, que hallaba corrientes; opinaba que podrían aprobarse, y ser admitido le han permitido concurrir á la sesión del día 11, pero que se esforzaría pira aquel en el Estamento. Este se^ conformó con el dictamen de la comisión. asistir ¿ Jas…</t>
  </si>
  <si>
    <t>Sr, D Pedro Jacobo Pizarro El</t>
  </si>
  <si>
    <t>D Pedro Jacobo Pizarro El Sr</t>
  </si>
  <si>
    <t>…José Claros, que ha acep El Sr. marques de San Felices dijo que nada se babia escrito con respecto tado los poderes de la de Badajoz. El nombramiento de nuevo Procurador ha á la servidumbre de los Sermos. Infantes. recaído en el Sr. D. Pedro Jacobo Pizarro. El Sr. marques de las Amarillas preguntó si con arreglo al artículo 55 Quedó también enterado el Estamento de una exposición del Sr. D. Mi del reglamento podia contestar; en cuyo caso solamente diría que comparaba ios guel Pardo Bazan, electo Procurador por Pontevedra, manifestando no haberse empleados ce…</t>
  </si>
  <si>
    <t>Sr, El</t>
  </si>
  <si>
    <t>El Sr</t>
  </si>
  <si>
    <t>…disposiciones contenidas en los avisos expedidos- por «1 ministerio de los Negocios del reino acerca de esta fú Partes recibidos en la secretaría de Establo y del Despacho de la Guerra. nebre solemnidad. CÓRTES GESTERALES. Excmo. Sr.: El Sr. brigadier Dj Gaspar de Jáuregui, comandante gene ral de Guipúzcoa , con fecha de 12 del que rige me dice lo que sigue: Acta de la sesión Real Je 20 de Setiembre de 1834a n Excmo. Sr.: Tengo el honor de elevar á V. E. el parte que el coman Reunidas las dos Cámaras legislativas en Cóztcs generales en…</t>
  </si>
  <si>
    <t>…jamas que se exprese una aprobación en el acta Navas retiró su proposición en virtud de las razones que expuse: es justo qutf que no haya pasado por todos los trámites regulares.” conste en el acta, pues asi lo especificó el Sr. conde. El Sr. conde de ¡as Navas: «No se deben atar las manos á un Procura El Sr. Presidente manifestó que se iba á dar nueva redacción al acta, y se dor á quien se culpa de una ignorancia tan crasa: si esta advertencia se me hu propondría alRstamento pjra ver si se conformaba con ella. biese hecho ayer, no hubi…</t>
  </si>
  <si>
    <t>…é ño estuviesen en este caso, los cuales deberían presentar sus papeles y Conformándose el Estamento con el dictámen de la comisión de Poderesdocumentos. se aprobaron los de los Sres. Procuradores-siguientes: D. José'V’ilIanueva, Don El Sr. duque de Rivas contestó que la proposición del Sr. Amarillas es Ma reos Martin, D. Ventura Mena y D. José Ciarós, por la provincia de Ba taba bien clara, porque precisamente concluía diciendo, que al Gobierno com- dajoz; D. Pedro Bermudez del Villar, por la.de la Coruña; y D. Francisco ¡Se petia de…</t>
  </si>
  <si>
    <t>…e ha dado tanto renom rondelet. bre á la bizarra tropa del regimiento de infantería de Soria que se halló en ella* Por parte del brigadier Oráa al capitán general de Aragón desde LáriagZ Capitanía gfioeral de Extremadura. csExcmo Sr. ¡ El Sr. mariscal de cam el 7 del corriente, la brigada de su mando y la de reserva con el general en po barón de Carondelet, comandante general de la l.1 división del ejército de gefe se hallaban en aquel punto; la del general Lorenzo en el pueblo contiguo 1 mi mando , en l.° del actual desde Cea , en esle…</t>
  </si>
  <si>
    <t>…gún parte del 10 del corriente, la enfermedad que reinaba ca aquella Efccmo. Sr.: El comandante general-de la Mancha desde Malagon me di capital termicuba ya su período descendente. ce con fecha 12 del acual lo que copio. Exorno. Sr. : El Sr. comandante de la provincia de Toledo fecha lo del que rige me dice lo que sigue: Remito á PROVINCIA DE MADRID. V. S. el pliego que le dirige el bizarro comandante de la columna móvil de Parte de las pueblos que en H se citan. esa provincia. Como su contenido pondrá á V- S. de manifiesto el brillant…</t>
  </si>
  <si>
    <t>…ción y medios de extinguirla, por el licenciado Don cretario de ¿Estado y del Despacho de la Guerra. Eduardo de Villanueva y González. Un cuaderno en 4-°» edición de 1830, í 5 n. rústica. * Comandancia militar de Bilbao. = Excmo. Sr.; El Sr. comandante general de esta provincia salió el día 7 de esta villa con la columna de su mando, 4 la Los suscríptores á los nuevos Elementos de medicina operatoria, escrito en fran que se le unió en Orozco la del coronel Carrera el mismo dia, y al siguiente cés por Alf. L. Veipeau, traducidos por los…</t>
  </si>
  <si>
    <t>…ías y varios efectos; y la de esta última , que es la de Carpió , participa que* de Arciniega en ofic*o que he recibido hoy me dice lo siguítnte: Excmo. Señor.- los Urbanos de ella han aprehendido cuatrcr caballos en el monte del Duque, El Sr. comandante de la 1.a columna D. José Samaniego, sargento mayor del continuando la persecución estos y los paisanos armados, como asi bierj los de provincial de Salamanca , me dice con esta fecha lo que á layletta copio r oTcn- Jos demas puntos. De esta ha salido parte de la caballería urbana y una…</t>
  </si>
  <si>
    <t>…esiones de importancia, tales como la de Hacienda y otras que ocurran por el La comisión Je Poderes dio cuenta de haber examinado los del Sr. Don mismo estilo. José Becerra, electo Procurador por la provincia de Lugo; los del Sr. Don El Sr. conde de las Navas, como de la cnmtsion, contestó que la mi&lt;ma Manuel Montes de Oca , que lo es por la de^Cadiz, y los del Sr. D. Miguel habia dado su dictamen, fundada en que se había presentado va ma&lt;? de un Pardo Bazan, que lo e» por la de Pontevedra , igualmente que los documentos empresario, y…</t>
  </si>
  <si>
    <t>…anqueza y anhelo del mayor bien que en todas épocas y vici el dia á ninguno de los cuatro oficiales nuevos que han entrado que no lleve situdes he procurado.1’ treinta años de servicio, y tenga la graduación de coronel y teniente coronel, El Sr. vicepresidente anunció que pues no había ningún Sr. Procurador y no podía ser otra cosa cuando abundo en su modo de pensar; conozco la que tqviese pedida la palabra, iba á verificarse con arreglo al reglamento la importancia de todo lo que ha dicho el señor preopinante, y creo que todos votación no…</t>
  </si>
  <si>
    <t>…que‘ el se Estado mayor, á lo que contestó un Sr. individuQrdé la comisión que solo dos ñor Procurador me dijese qué deudas son esas; y explicándose, hablar¿” había que, cobrasen sueldo de tales, á saber: el general Castaños y el general El Sr. marques de 'Torremejfa: «Entiendo que son las deudas originadas Palafox,con cuya indicación convinieron el Sr. Secretario del Despacho de en el año de * 4 - • Hicícnda y el Sr. Butrón. El Sr. Secretario del Despacho de Hacienda: «Supongo ya de lo qué sfc El Sr. Calderón Collantes dijo que en virtud…</t>
  </si>
  <si>
    <t>Sr, El Excmo</t>
  </si>
  <si>
    <t>El Excmo Sr</t>
  </si>
  <si>
    <t>…e, á quien no deja descansar, y se promete alcanzan Despacho de la Guerra.” «De la otra parte parece que Zumalacarrcgui ha pasado á las Amezcuas, y Jo persiguen las dimisiones del mando del general Lorenzo y la vanguardia. "Excmo.Sr.: El Excmo. Sr. general en gefe con fecha de esta mañana La división de caballería del mando del general barón de Carondelet continúa desde Espinal me dice lo siguiente: la persecución de la caballería rebelde por Oteiza y Alio. »Estoy haciendo hoy una batida de la Peña de Anciain inmediata, por , «Es cuanto puedo…</t>
  </si>
  <si>
    <t>…en la secretaría de Estado y del Despacho de la Guerra. 36, 5, 9, ii y 50, d. f. tí vol.: 47¿ y i á 60 y 27 d. f. vol. á prima de 4 y t p. loo. 1 Vales no consolidados, y 4 á ao y 40 d. f» vol.: u| ¿a4,6oy49d.£.d vol. i | Excmo. Sr.: El Excmo. Sr. general conde Armildez de Toledo, en parte prima de i, f y é p. 100. del 13 del actual me dice que aquel mismo dia al dirigirse para Bilbao la con Deuda negociable del 5 p. 100 á papel, oo» ducción de reclutas que para el 4° regimiento dé la guardia Real de infantería Id. sin interes, 00. Acciones…</t>
  </si>
  <si>
    <t>…amplona 18 de Agosto de 1834 =Excmo. Sr.=El conde de Agosto de 1834, ** las nueve y media de la noche.c=Excmo. Sr.seCristobal Linares de Butronc=Excmo. Sr. capitán general del ejército y reino de Aragón.Armildez de Toledo. Excmo. Sr.: El Excmo. Sr. barón de Carondelet, con fecha de ayer tarde VARIEDADES. desde Soñada, me dice haber llegado á aquel punto con parte de la caballería de su mando y la brigada de infantería, en combinación con el brigadier Fi— Progresos de la industria fabril en la ciudad de Ltrtocll en los Estados Uni güeras y su…</t>
  </si>
  <si>
    <t>Sr, Escoto</t>
  </si>
  <si>
    <t>Escoto Sr</t>
  </si>
  <si>
    <t>…bido* con el mayor entusiasmo. Extracto del parte remitido por el gobernador civil de la prest» da de Ta- ‘ rsei D. Joaquín Mootesoro y Moreno coa facha de $ de JalieacUtL 1j misma Gacetaanuncia que el príncipe Real de Prusia, la princesa Escoto. Sr.: Aunque en alguno» pueblo» de ia prenrincán han desaparecida su espoet-y el principe heredero Henrique de los Países-Bajos, hijo del principa totalmente las cosechas de cereales y otras «ion motivo de repetidas padrinean de O tange , han llegado i Petethóff; donde actualmente reside la corte: El cé…</t>
  </si>
  <si>
    <t>Sr, Excmo</t>
  </si>
  <si>
    <t>Excmo Sr</t>
  </si>
  <si>
    <t>…Montc-&gt;oro.=:Ki:scbin Manuej de £enavides.=Joaquw ñor Ministro de Gracia y Justicia D. Juan Guaiberto González. Va/quez.= Anselmo V iilanueva.re Mariano Martine/.= M iríano Ruíz de Molina.=Pedro Martiaez.=cManano García Bermejo , secretario. Excmo. Sr.: Con el debido aprecio y gratitud he recibido el juego de me dallas acuñadas con motivo de la proclamación de la Reina nuestra Señora Señora : La junta de comunidad de Aldeas de Teruel , que se reúne perió Doña Isabel ji en esa corte, y las conservare para el objeto que espías,i el dicamente, v muy…</t>
  </si>
  <si>
    <t>…;’c: ¡ í 1 1 de .a ^.1' í b - p : de esa corre de 3 de Octubre, en que está inserto el Real decreto dirigido por h. nu.h. ños. Pal :iu 2'j de 1 Vu e u' e c. IG S. M. la R kina Regenta y Gobernadora, con fecha del día anterior, al Señor Excmo. Sr.=A:Uonio , obispo de Alai. wiun. br. D. J-an C.i■ ja. oertsduque Presidente del consejo Real, para comunicar á aquel supremo tribunal González, ministro de Gracia \ Justina. las cláusulas del testamento otorgado por el Sr. D. Fernando vn en 12 de Ju nio de 1830, y en virtud de los cuales nuestro dif…</t>
  </si>
  <si>
    <t>…con el escuadrón de su mando Siguiese el alcance por el camino de la Guerra. real hasta dónde se lo permitiese el terreno, sosteniendo una partida del regi miento l.° de ligeros de caballería y de carabineros, que con el teniente Don Excmo. Sr.: El comandante general del distrito de la provincia de Badajoz Antonio Paez, el de la misma clase D. José González , y el alférez de caza con Fecha 8 del actual me dice lo que copio: Excmo. Sr.: El comandante del dores á caballo de la Guardia Real D. Francisco Matheu, mi ayudante de cantón de Jerez…</t>
  </si>
  <si>
    <t>…cto del parte remitido por el gobernador civil de la provtncia .de Sala capitular de Orizaba.Mayo 4 de 1834.=Excmo. Sr.=José María de Agui- Valencia D. Juan Antonio Castejon con fecha I.°de Agosto actual. lar.=Joaquin Fernandez , secretario. := Excmo. Sr. general D. Antonio López Excmo. Sr.: Él estado brillante en que se halla la agricultura en esta pro de Santa Ana , presidente de los Estados Unidos mejicanos. vincia puede servir de modelo á las mas adelantadas en este ramo de riqueza Es copia. Méjico Mayo 14 de 1834-=José de Aljo.in. pública dentr…</t>
  </si>
  <si>
    <t>…or nuestra parte no ha habido la menor pérdida. Parte recibido en el ministerio del Fomento. El capitán general de Extremadura, desde Ciudad-Rodrigo, y con fecha del 16 traslada el parte que le dio con la del 14 desde PUscncía el coronel Excmo. Sr.: Como presidente de la junta superior de Sanidad de esta pro- I ;£). Juan González Arauyo, sargento mayor del provincial de ValUdolid, ma vmeía digo á la suprema del reino con esta fecha lo siguiente: I nifestando que según avisos que acababa de. recibir por el subdelegado de Fo Ex cilio, Sr.: La s…</t>
  </si>
  <si>
    <t>…sitivos su justa adhesión á la Reina nuestra Se dil.czExcmo. Sr. Secretario de Estado y del Despacho de la Guerra. ñora, creo deber recomendar á V. E. por segunda vez al subte niente agregado á la plana mayor D. Luis del Arco, al capitán Excmo. Sr. : Procedente (le Braganza, y perseguida hasta la ra graduado D. Manuel Pardo, teniente del mencionado escuadrón, ya de España una partida de 12 de caballería, y unos 80 á loi) y á D. Luciano Llano, alférez del mismo, no menos que al capi hombres españoles y portugueses, de cuyo numero una pule eran…</t>
  </si>
  <si>
    <t>Sr, Excntfn</t>
  </si>
  <si>
    <t>Excntfn Sr</t>
  </si>
  <si>
    <t>…smo, tuvieron exámenes públicos de ortología, caligrafía, El parte á que se rebere cí oficio anterior es el siguiente: Comandancia catecismo, aritmética , álgeb*a, principios de geometría, agrimensura , gramá militar de Puente la Reina. = Excntfn Sr.: Según ofrecía á V. K. en mi pane tica española, latinidad, retórica, poesía, geografía , cronología , lengua fran de esta mañana , y hecho ya de todos los datos necesarios para detallar circuns cesa y dibujo. El copcurso fue todos los días numeroso y brillante, y quedó tanciadamente la ocurrencia…</t>
  </si>
  <si>
    <t>Sr, Fernan</t>
  </si>
  <si>
    <t>Fernan Sr</t>
  </si>
  <si>
    <t>…o está entera Sr. E&gt;. Nicolás Garelly: no cobra mas que como Se do de la historia de este consejo y de los apoyos légales en que se funda. Fue cretario del Despacho. instituido por el testamento hecho en el año de 1830 por el Sr. D. Fernan Sr. conde de Ofaiia.............................. 120,000 do vii, eLcual previno que si dejaba hijos en'menor edad, su augusta madre Secretaría: oficial mayor........................ 24,000 y tulora hubiese de consultar los asuntos graves del Estado, aprovechándose, Oficial 2.®.........................…</t>
  </si>
  <si>
    <t>Sr, Francisco de El</t>
  </si>
  <si>
    <t>Francisco de El Sr</t>
  </si>
  <si>
    <t>…nidad propia de la nación á que pertenece, igualmente que el capitán de Exento» Sr.: Después de haber quedado en la Borunda y ralle Araquil navio que le acompaña. = - la vanguardia de este ejército á las órdenes del Sr. brigadier D. Francisco de El Sr. coronel D-Manuel Guerra, mis ayudantes de campo, el teniente Paula Jugueras, extendí mis operaciones í toda la amplitud que dieron de sí coronel D. Juan Tran, el alférez de caballería, capitán de la Milicia urbana la» circunstancias y los movimientos del enemigo, según tuve el honor de par de Valen…</t>
  </si>
  <si>
    <t>Sr, Francisco de Paula Alcalá.mExcmo</t>
  </si>
  <si>
    <t>Francisco de Paula Alcalá.mExcmo Sr</t>
  </si>
  <si>
    <t>…os guardé á V, E. muchos años. Teruel 17 —En virtud de providencia dél Sr. Balsera, teniente corregidor de esta villa, re* ! ' Saez, de á Doña escribano ftendada de Díaz Antonia número del Antoñaoa, se citadé Junio de 1834—Excmo. Sr.=Francisco de Paula Alcalá.mExcmo. Sr. ca- \ D« Doña heredera Concepción María Mariano de D. García, López, Juan viuda y JÍUui general de Apagón.” Medra no, D. Andrés González, de Gómez, D. Pedro Su'arez Al varado , D. Juan del I Corral, y demas acreedores á la testáméntaría de Doña Donata González, para que en i el termino de 30 días a…</t>
  </si>
  <si>
    <t>Sr, Gaspar de Jáuregui Excmo</t>
  </si>
  <si>
    <t>Gaspar de Jáuregui Excmo Sr</t>
  </si>
  <si>
    <t>…s seis y media de la tarde, nueve de la noche desde Mondragon, y siete Cuartel divisionario d¿ Mondragon 12 de Agosto de 1834, á las nueve de la de la mañana desde Elorrio. Cuartel genera! de Marquina 14 de Agosto da noche—Excmo. Sr.=Gaspar de Jáuregui—Excmo. Sr. general en gefe &amp;c— 1834 sA la una de la tarde.=:El marques de Rodil.=Sr. brigadier D. Gaspar Es copia.=:José Ranaon Rodil. Jáuregui , comandante general de la 4*a división de este cjército saE» copu.^F.I marques de Rodil. Los eremigos han tomado según las noticias que he adquirido la dirección de…</t>
  </si>
  <si>
    <t>Sr, José Ventura de Aguirre Solarte Kxcmo</t>
  </si>
  <si>
    <t>José Ventura de Aguirre Solarte Kxcmo Sr</t>
  </si>
  <si>
    <t>…el aumento de 20 ó 25 votos, cosa que para Aranalde., D. Agustín Rodríguez y D. Domingo Torra................ .. 2000 nada les sirve ” D. Joaquín Garay Arrave , por ahora.............................................. 100 VXANCIA. D. José Ventura de Aguirre Solarte.................................................. 4^00 Kxcmo. Sr. marques de Cerralvo........................................................... 6000 París 11 dt Julio. D. M. y A. T. H. mensuales mientras duren las circunstancias. . .. 240 lonja dt hoy. Cinco por 100 consolidados, IOrí fr. 50 c. Fondos espa Uno que no quito decir su nombre........................…</t>
  </si>
  <si>
    <t>Sr, Juan Antonio Excmo</t>
  </si>
  <si>
    <t>Juan Antonio Excmo Sr</t>
  </si>
  <si>
    <t>…de Alava desde Vitoria con fecha 18 del actual dice los capitanes de los buque-, á emplearse en tan interesante servicio á la menor al ministerio de la Guerra lo que sigue: insinuación, y muy particularmente al capitán del Argos D. Juan Antonio Excmo. Sr.; En U mañana del 16 de este mes intentaron lo* facciosos de Cortina. Navarra y Alava una sorpresa en esta ciudad que solo sirvió para demostrar Parte á que hace referencia el oficio anterior. impotencia y proporcionar nuevas glorias á la causa y á las armas de S. M, U Reina Isabel ii y su augusta M…</t>
  </si>
  <si>
    <t>Sr, León Ponce Excmo</t>
  </si>
  <si>
    <t>León Ponce Excmo Sr</t>
  </si>
  <si>
    <t>…en! y D. Andrés decen. •„ Melendez; y en las dé cirujanos de los mismos D. Valentin Alvarez y Don Rs. vn. Miguel Sacristán. D. M. de R............................................................................................ 60 D. León Ponce....................................................................................... 20 Excmo. Sr. duque de Gor.....................................................................- 500 Por Real orden de 28 de Agosto próximo »e ha concedido al ayunta D. Santiago Salanueva...................................................................... 1 20 miento d= la ciudad de Samandecei permiso que soli…</t>
  </si>
  <si>
    <t>Sr, Lo Excmo</t>
  </si>
  <si>
    <t>Lo Excmo Sr</t>
  </si>
  <si>
    <t>…ntidad proporcionada al mérito que han contraido. Dios &amp;c. Madrid i 3 comprometió á desempeñar gratuitamente. de Setiembre. ;=Excmo. Sr.=Vicente Genaro -de Quesada. Por Real orden dé 12 del corriente te ha dignado S. M. asociar á D. Lo Excmo. Sr.: El comandante general de la provincia de Toledo con "feche renzo Feijoo á la comisión creada por el Real decreto de 31 de Agosto último 9 del actual me dice lo siguiente: »Excmo Sr.: El capitán graduado teniente para formar el plan de instrucción primaria del reino. del regimiento, infantería volu…</t>
  </si>
  <si>
    <t>Sr, Manuel Alvarez García Excmo</t>
  </si>
  <si>
    <t>Manuel Alvarez García Excmo Sr</t>
  </si>
  <si>
    <t>…portamiento. Dios ócc.=rCuartcl general de Haro 24 de Octubre de 1834^=7 __ _______ - patrvTNCIA DE VAUABOUB. ¿remo. Sr.=José Manso^=Ezcm&lt;i Sr. Secretario de Estado y del Despache Sr. D. Rafael Faustino Sanz. de la Guerra. ■ Sr. D. Manuel Alvarez García. Excmo. Sr.: El teniente coronel D. bíarcíso CU vería, con fecha 23 dei PROVINCIA DE ZAMORA. corriente desde Meceneyes, me dice lo que sigue: «Excmo. Sr.: Habiendo salido á las cuatro de la mañana de Ctiíemcí&lt;r Sr. D. Manuel Villathica. de abajo, hallé después de ser de d¿a, en ei mente de Caserillo de Solaran…</t>
  </si>
  <si>
    <t>Sr, Medra El</t>
  </si>
  <si>
    <t>Medra El Sr</t>
  </si>
  <si>
    <t>…de bienes. Lo dicho me parece que es bastante para desvane Consejos, sobre la elección de D. Prudencio Echevarría y Ogaban para Procu cer las dudas del Sr. Ochoa.” rador por Santiago de Cuba; la que después de haber preguntado el Sr. Medra- El Sr. conde de las Navas: »Nada hay mas natural que el que presente no si era oficial ó particular, se mandó pasar á la comisión de Poderes para su sus poderes y demas documentos, venza los obstáculos que se le puedan opo examen. . ner; y no está en el órden que el Estamento, como ha dicho el Sr. Ochoa;…</t>
  </si>
  <si>
    <t>Sr, Nicolás Bravo El Exorno</t>
  </si>
  <si>
    <t>Nicolás Bravo El Exorno Sr</t>
  </si>
  <si>
    <t>…ena de observación, siempre que durante ella n° torio de la república, tratan, de volver á ella para engrosar las tilas ¡de los re ocurriese ningún motivo do sospecha. Añade dicho presidente que la junta de voltosos que acaudilla D. Nicolás Bravo. El Exorno. Sr. vicepresidente, de terminaría en la próxima sesión cuántos dias de cuarentena de observa, ion de seando evitar que llegue el caso de hacer que el rigor de aquella* pese sobre bería guardar el enunciado pueblo de Amos, en vista de la pronta terminación los expulsos, y que se derramo la sangre de nin…</t>
  </si>
  <si>
    <t>Sr, Ochoax El</t>
  </si>
  <si>
    <t>Ochoax El Sr</t>
  </si>
  <si>
    <t>…denes para proce ben examinarla, y no limitarse á decir simplemente, si conviene ó no discu der á nueva elección. tirla , sino manifestar si la aprueban ó no. El Sr. González. ( D. Antonio') «Antes de que se proceda á votar el El Sr. Ochoax «El Sr. preopinante sienta la proposición de que las co dictámen de la comisión me parece del caso dar una idea de los motivos que misiones deben extender su dictámen á decir si aprueban ó no la petición que ban obligado al Sr. marques de Monsalud á renunciar el honorífico encargo se les presenta. Esto no…</t>
  </si>
  <si>
    <t>Sr, Pe Excmo</t>
  </si>
  <si>
    <t>Pe Excmo Sr</t>
  </si>
  <si>
    <t>…rría. tropas. Dios ócc. Manso.” El mismo capitán general desde Sta. María de Cubo con fecha de 9 dice Con igual fecha dice el referido capitán general : lo que sigue : «Exento. Sr.: Al mismo tiempo que he hecho salir U brígadi de D. Pe «Excmo. Sr.: Por mis dos últimos partes habrá visto V. E. las disposi dro Aznar con el objeto que manifiesto á V. E. en el píete da e»ta no. he , he ciones acordadas para destruir la facción de lo* cabecillas Areilio, Las Heras, dado órden á la columna ya reforzada de D. Manta:! de \ ícente pira que -unMarrón,…</t>
  </si>
  <si>
    <t>Sr, Pedro Jacobo Pizarro El</t>
  </si>
  <si>
    <t>Pedro Jacobo Pizarro El Sr</t>
  </si>
  <si>
    <t>…é Claros, que ha acep El Sr. marques de San Felices dijo que nada se babia escrito con respecto tado los poderes de la de Badajoz. El nombramiento de nuevo Procurador ha á la servidumbre de los Sermos. Infantes. recaído en el Sr. D. Pedro Jacobo Pizarro. El Sr. marques de las Amarillas preguntó si con arreglo al artículo 55 Quedó también enterado el Estamento de una exposición del Sr. D. Mi del reglamento podia contestar; en cuyo caso solamente diría que comparaba ios guel Pardo Bazan, electo Procurador por Pontevedra, manifestando no haberse empleados ce…</t>
  </si>
  <si>
    <t>Sr, Presidente del Consejo de Ministros El</t>
  </si>
  <si>
    <t>Presidente del Consejo de Ministros El Sr</t>
  </si>
  <si>
    <t>…empre debe ser el mismo." te: * éaw romo el Gobierno no ticnié U menor influencia en los nombramien Él Sr. M*drano: « Yo convengo en que U primhra parte del articulo re tos de estas clases.” sulta enteramente, inútil» Creo que ti Sr. Presidente del Consejo de Ministros El Sr. Domínguez. «Para esa misma asimilación con lo practicado en el</t>
  </si>
  <si>
    <t>Sr, Ra</t>
  </si>
  <si>
    <t>Ra Sr</t>
  </si>
  <si>
    <t>…S. M. la Reina Go pañías en Gouvea, y seguí mi marcha para este pueblo por el penosísimo ca bernadora. Dios &amp;c. Valencia de Alcántara 10 de Mjyo de 1834»— Excmo* mino de U sierra, haciendo que el coronel comandante de carabineros D. Ra Sr.=Juan González Anlcc—Excrao. Sr. Secretario de Estado y del Despacho món Teje¡rosrcon el escuadrón de su mando Siguiese el alcance por el camino de la Guerra. real hasta dónde se lo permitiese el terreno, sosteniendo una partida del regi miento l.° de ligeros de caballería y de carabineros, que con…</t>
  </si>
  <si>
    <t>Sr, Rafael Faustino Sanz de la Guerra</t>
  </si>
  <si>
    <t>Rafael Faustino Sanz de la Guerra Sr</t>
  </si>
  <si>
    <t>…las conceptúe acreedoras-por tan bizarro com portamiento. Dios ócc.=rCuartcl general de Haro 24 de Octubre de 1834^=7 __ _______ - patrvTNCIA DE VAUABOUB. ¿remo. Sr.=José Manso^=Ezcm&lt;i Sr. Secretario de Estado y del Despache Sr. D. Rafael Faustino Sanz. de la Guerra. ■ Sr. D. Manuel Alvarez García. Excmo. Sr.: El teniente coronel D. bíarcíso CU vería, con fecha 23 dei PROVINCIA DE ZAMORA. corriente desde Meceneyes, me dice lo que sigue: «Excmo. Sr.: Habiendo salido á las cuatro de la mañana de Ctiíemcí&lt;r Sr. D. Manuel Villathica. de abajo, hallé después de ser de d¿a…</t>
  </si>
  <si>
    <t>Sr, Ramón Gil de El</t>
  </si>
  <si>
    <t>Ramón Gil de El Sr</t>
  </si>
  <si>
    <t>…estando siempre pronta a hacer en dichas actas las correcciones exi enfermo; duque de Castroterreño, presente; marqués de Cerralvo, ausente; gidas por los Sres. P róce res. conde de Clavijo, presente; obispo de Córdoba, presente; D. Ramón Gil de El Sr. marques de Guadalcazaf manifestó que en cuanto á la observación del ia Cuadra, presente; conde de Cuba, id.; marques de Espeja, enfermo; Doa Sr. García Herreros la Secretaría no había puesto en el acta su proposición, Martin Fernandez Navarrete, presente; Patriarca de las Indias, id.; D.. Ma jorque…</t>
  </si>
  <si>
    <t>Sr, Señor.rr Juan de Prat.zeExcmo</t>
  </si>
  <si>
    <t>Señor.rr Juan de Prat.zeExcmo Sr</t>
  </si>
  <si>
    <t>…os efectos que traíín. ' tantísimo en proteger á pueblos tan leales. Dios guarde &amp;c. Zaragoza 12 de Dios guarde á V. E. muchos años. Bayona8 de Agosto de 1834»tc:Excmo. Agqsto de l834*~Excmo. Sr.=cEl conde de Ezpeleta^eExcmo. Sr. Secretario Señor.rr Juan de Prat.zeExcmo» Sr. primer Secretario de Estado y - del Des- - de Estado y del Despacho de la Guerra» pacho. Capitanía general de Aragón.—Flan a mayor.=Priroera brigada del ejérci Excmo. Sr.: Muy Señor mió: Á la una de este día ha llegado á esta ciu to de Aragon*=Núm. 15&lt;5.=Excmo. Sr.: A las diez de fa mañana de este…</t>
  </si>
  <si>
    <t>Sr, Stcrftario del Despacho de Estadox El</t>
  </si>
  <si>
    <t>Stcrftario del Despacho de Estadox El Sr</t>
  </si>
  <si>
    <t>…los Gobiernos monárquicos representati menso poder -de Bonaparte; que al fin de la guerra se encontró con una ¡ninenvos.-Este •íce mi argumento»” sa deuda, con una paralización casi general en las operaciones mercantiles, vio El Sr. Stcrftario del Despacho de. Estadox «El Sr. Galiano ha pedido que hasta la misma paz, por una combinación extraordinaria, empezó por obs la palabra para deshacer una equivocación: y yo, que deseo dé buena femó in truir los antiguos canales de la riqueza pública, y tuvo que sufrir en medio de currir en ellas, he interrumpido de buena voluntad…</t>
  </si>
  <si>
    <t>Sr, Tomas Domín El</t>
  </si>
  <si>
    <t>Tomas Domín El Sr</t>
  </si>
  <si>
    <t>…ódigo criminal, cuya lectura ba nifestado ó manifieste el Gobierno de S. M. están empleados en destinos del ria el martes próximo. Real servicio, del que no cree deben separarse. -Sé mandaron pasar á la comisión de Poderes los de D. Tomas Domín El Sr. duque de Gor dijo que desde luego apoyaba la proposición, siem- guez , electo Procurador por Málaga , y D. Faustino Garay por Zaragoza, Í&gt;re que se entendiera el sentido de la misma con los empleados; pero no con acompañados de los documentos necesarios. ós qué ño estuviesen en este caso, los cuale…</t>
  </si>
  <si>
    <t>Sr, Velas Excmo</t>
  </si>
  <si>
    <t>Velas Excmo Sr</t>
  </si>
  <si>
    <t>…iendo sido conducidos al pueblo. cer , porque los enemigos no se enterasen de mis pocas, pero no El referido comandante de armas recomienda el valor y deci bien ponderadas tropas. sión de todos los individuos, y principalmente al sargento Velas— Excmo. Sr.: Todos han obrado prodigios de valor, manifestan- co, de quieti dice ejecutó las hazañas mas valerosas en la acción de do el mas vivo entusiasmo por la causa de nuestra muy amada So Ruidera, en la que él solo mató con su propia mano 15 de los berana Doña Isabel ri, cabiéndome la satisfacción de que…</t>
  </si>
  <si>
    <t>Sr.-Echevarría, Francisco Villalai Si JX ÜggMgQ-u El</t>
  </si>
  <si>
    <t>Francisco Villalai Si JX ÜggMgQ-u El Sr.-Echevarría</t>
  </si>
  <si>
    <t>…oponer al Estamento que pida al Gobierno el documento referido, para poder dar su dictámen de un modo íe abrió i las once, y leída el acta de la anterior quedó aprobada. positivo.” Se mandó agregar el voto que remitió por escrito D. Francisco Villalai Si JX _ÜggMgQ-u-»El—Sr.-Echevarría fue procesado criminalmente en la j A. I™ «f finrcs que aprobaron el proyecto de ley presentado por el_Go-— "Habana por el Gobierno: concluido que fue el sumario, lo dirigió á S. M., y biemo, relativo i excluir al inlante JL». Cárlos y su línea de la sucesión de la S. M. lo pasó al tribunal á que c…</t>
  </si>
  <si>
    <t>Sra, Altamira Gobern Iora y la Serma</t>
  </si>
  <si>
    <t>Altamira Gobern Iora y la Serma Sra</t>
  </si>
  <si>
    <t>…5?\. Para Indias.. . ¿UO. soo too. ARTICULO DE OFICIO. cían en ellos para hacer la cuarentena.” De Real orden &amp;c. Dios &amp;c- Madrid 2á de Setiembre de Io.54.xJosé María Mtisroso de S. M. la Reina nuestra Señora, su augusta Madre la Reina Altamira. Gobern3&lt;Iora y la Serma. Sra. Infanta Doña María Luisa, continúan ' sin novedad en ¿u importante salud en el Real Sitio del Pardo. PARTE NO OFICIAL. MINISTERIO DE HACIENDA. NOTICIAS EXTRANGERAS. Real órílen. He dado cuenta á S. M. la Reina Gobernadora del expediente instruido cotí motivo de las varias exposiciones en rjue el tr…</t>
  </si>
  <si>
    <t>Sres</t>
  </si>
  <si>
    <t>…igencia Y Sánchez. =c£s copia-=Anglcna. cumplimiento. Dios guarde á VV. muchos años. Albolote 12 de Febrero de 1d.&gt;4-=Fi Segundo. Excmo. Sr : Como presidente de la junta superior de Sanidad de príncipe de Anglona. =Joaquin ¿ayas, secretario. = Sres. de la ¡unta municipal esta provincia digo con esta fecha á la suprema del reino lo siguiente: de Sanidad de-... «Excmo. Sr.: La enfermedad reinante en la capital y algún otro pueblo si Pueblos citados al margen de la circular anterior. gue con alguna disminución , como V. K. se servirá observar por la re…</t>
  </si>
  <si>
    <t>Sres, Giraud</t>
  </si>
  <si>
    <t>Giraud Sres</t>
  </si>
  <si>
    <t>…res y del co blicar y vender los impresos, queda precisado á juzgar de estos mismos impre mercio de libros, se opone á la aprobación del proyecto. sos : que mejor seria una prohibición absoluta; y que si se aprueba este proyec El Sr. Giraud. «Sres.: ha moral publica conservará su imperio , habéis to propondrá el restablecimiento de la censura. Concluye diciendo que si ha contestado al discurso del trono; quiere decir, las malas pasiones, las doctrinas habido desórdenes, deben atribuirse al modo ilegal con que se ha querido im perniciosas, dej…</t>
  </si>
  <si>
    <t>Srio</t>
  </si>
  <si>
    <t>…descubiertas, y basta qué punto se han tomado medidas para A la comision.de gobierno interior se pasó una exposición remitida por reprimirlas ó evitarlas í " el Gobierno y hecha por'D. Sebastian de Llaho, rmestró de ceremonias de Sr. Srio. de lo Interior: »»No me hallo autorizado. eo este momento para ambos Estamentos, respecto á la falta de fondos en que se halla para satisfa contestar á la pregunta que con un laudable deseo hace el Sr Procurador. Cuan cer los gastos de ambos. do se higa esa misma cuestión en regla, el Gobierno podrí c…</t>
  </si>
  <si>
    <t>Srtvela, Francisco Agustín</t>
  </si>
  <si>
    <t>Francisco Agustín Srtvela</t>
  </si>
  <si>
    <t>…ecreto de I4 &amp; Tendréislo entendido, y dispondréis lo necesario para su cum contente se ha dignado nombrar subdelegado principal de Fonteo-plimientos Está rubricado de la Real manos En Aran juez á 14 to de la provincia de Aviló á D. Francisco Agustín Srtvela : de], de Abril de 18 34-—A D. Javier de Burgos. de Coruña á D. Antonio Loriga, confiriéndole este encargo en comisión: de la de Cuenca á D. Ventura de Córdoba: d&amp;b$ Habiéndome dignado aprobar en esta fecha la Ordenanza ge Logroño á D. Pío Pita Pizarra: de la de Lugo á D. Laureano Gu neral de los p…</t>
  </si>
  <si>
    <t>Sruart</t>
  </si>
  <si>
    <t>…ón: que ya'ie ha no en lugar de arenques salados La ley marcial se había publicado en la isla, bía vuelto cada cuál á su aldea, y de consiguiente, gracias á Dios, el asunto la tropa había estado sobre las armas algunos días, y el teniente Sruart iba i de Naplusa estaba concluido.' ' recorrer la isla, escoltado de un piquete de caballería con el objeto de averi «Hemos resuelto volver á Alejandría dentro de dos dias. Luego que ce guar si los negros continuaban en su propósito de no trabajar. En este caso los hayais enterado de estas buenas n…</t>
  </si>
  <si>
    <t>SS, Brougham</t>
  </si>
  <si>
    <t>Brougham SS</t>
  </si>
  <si>
    <t>…5 ¡ 26 5 82 3 __E1 público deseará naturalmente saber lo que le cuesta la retirada de los 31 9 M... 29 5,5 1 28 99 82 4 wbigs. Todo lo que puedodecirse hasta ahora con- certidumbre, es que recibi 99 ». M D.. 29 5,5 1 28 8 82 4 rá lord Brougham SS libras esterlinas por año (500,000 ra.) y 4® libras ester 99 3 tarde .. 29 5,5 28 9 82 ? linas lord Plunkett. (Morning-Herald.) 99 10 noche.. 29 5 27 5 82 3 El calor se ha sostenido durante el mes de Agosto, aunque no faltaron Tj&lt; últimas noticias de Nueva-Yorck, del 25 del mes pagado, no son lluri…</t>
  </si>
  <si>
    <t>SS, D Juan de Mari SS</t>
  </si>
  <si>
    <t>D Juan de Mari SS SS</t>
  </si>
  <si>
    <t>…á otras. Como hay otros muchos seño provincia de Barcelona, para-pasar á su casa á asuntos propios. res. que tienen pedida la palabra, me abstengo de hacer mas observaciones, que Se mandaron pasar á la comisión de Poderes los del Sr. D. Juan de Mari- SS. SS. podrán exponer con roas acierto que yo.” chalar, Procurador electo por la provincia de Navarra, juntamente con los do El Sr. conde de ¡as Navas: «Precisamente el objeto de la cuestión que cumentos correspondientes, y una exposición del Sr. D. Joaquín González Díaz, hoy ocupa al Estamento, hace mas…</t>
  </si>
  <si>
    <t>SS, Juan de Mari SS</t>
  </si>
  <si>
    <t>Juan de Mari SS SS</t>
  </si>
  <si>
    <t>…ras. Como hay otros muchos seño provincia de Barcelona, para-pasar á su casa á asuntos propios. res. que tienen pedida la palabra, me abstengo de hacer mas observaciones, que Se mandaron pasar á la comisión de Poderes los del Sr. D. Juan de Mari- SS. SS. podrán exponer con roas acierto que yo.” chalar, Procurador electo por la provincia de Navarra, juntamente con los do El Sr. conde de ¡as Navas: «Precisamente el objeto de la cuestión que cumentos correspondientes, y una exposición del Sr. D. Joaquín González Díaz, hoy ocupa al Estamento, hace mas…</t>
  </si>
  <si>
    <t>Ssbastiani</t>
  </si>
  <si>
    <t>…corta-paja, que podemos llamar aquí corta-mavo de guarnición, ó una evacuación completa? He aqui lo que no podemos lnji, perfeccionado con dos cilindros acanalados, que al simple movimiento de anunciar al presente. Se dice que el general Ssbastiani es portador de instruc alzar la cuchilla para picar, giran en sentido contrario, y haciendo adelantar ciones terminantes sobr? este punto para el conde de Latour-Muubourg, resi la maloja, la presentan á la acción de aquella. De este modo es picada con dente en Nápolcs. Sebastian! ha permanecido dos…</t>
  </si>
  <si>
    <t>Ssrarvilla, Vicente</t>
  </si>
  <si>
    <t>Vicente Ssrarvilla</t>
  </si>
  <si>
    <t>…encias respecto de Alejandría , lo retienen por ahora. La cuestión hasta las once y media de la mañana), mandadas por los capitanes del 13 de consiste en saber si las circunstancias le obligarán después á dar un paso adelan linea D. Vicente Ssrarvilla, y de carabiné¿ot,D. Bernardo Desis; pero cuando te para evitar la completa disolución de su ejército. llegaron á la acción los enemigos habían desaparecido. Tenemos noticias de Bosnia qúe no’son nada agradables: este país debe «Lo traslado á V. E. para su debido conocimiento, rogándole se sirva in…</t>
  </si>
  <si>
    <t>St.-eñ</t>
  </si>
  <si>
    <t>…el-que poseía hace 2U años. El capitán general de Galicia con'fecha de 11 -del presente -reñirte i este Digamos sin-embargo que si Mehcmct—Alí ultraja diariamente la huma ministerio-desde'ía'Coruñaarn -.parte-cnque con la de 7 el alcalde St.-eñ y or nidad y la civilización , tales -como las concübhnbs con nuestras necesidades é dinario del Coto-de Curtís, Domingo Amonio Ares-Carbaiial, -manifiesta el ideas de ¡Europa , parece menos reprensible cuando se examina su doble sistema arrojado comportamiento-de Redro Ares-Garballal y cuatro hombre…</t>
  </si>
  <si>
    <t>Stan</t>
  </si>
  <si>
    <t>…•se ha ^icho que el nuevo gabinete se compondría de'tóris moderados y de' temí-» públicos en lo Interior de nuestro remo, y de ejercer en ¿1 bien sea la jurispru whjgs , en que entrarían el duque de Wellington, sir Roberto Pcel, lord Stan dencia , la medicina ó la cirugía, y aun de ser admitido como candidato pre ley, sir James Graham, el dfrque de Richmond y lord Rtpori. Asi formado dicador. Mandamos á todas las, personas interesadas en este particular que atien el ministerio, no hay duda que reuniría, á hombres de grandes talentos…</t>
  </si>
  <si>
    <t>Staniey</t>
  </si>
  <si>
    <t>ARTICULO DE OFICIO. a lord Staniey y á sir James Graham. Mucho sentimos que sir Roherto Peel haya tomado c'te partido, pues no tardir.i seguramcoi; en arrepentirse. N'o erremos, como decíamos ayer , que su Hjobe.to Peel quiera fundar el S. M. la Reina nuestra Señora, su augusta Madre la Reina gobierno sobre el principio de oponerse á…</t>
  </si>
  <si>
    <t>Stanley</t>
  </si>
  <si>
    <t>…co Fondos públicos. Tres por 100 consolidados 92J- á f. misión ha decidido, el 21 de este mes, se acusaría al ministro del Interior Mr. Skogmann, y á todos los demás miembros del consejo de Estado, excepto el Parece indudable que lord Stanley rehúsa unirse al ministerio: el noble '"conde Moerner, que no asistió al consejo en que se deliberó esta proposición. lord ha llegado á esta; pero todavía no se ha publicado la contestación que Esta medida inesperada ha producido la mas viva sensación. ha dado á la carta que le escribió sir R. Peel…</t>
  </si>
  <si>
    <t>…tada , lá -publiturarse Yon el parlamento actual. (Cquriér.) J \ "■ ^ cacion de los níatariales comprados con tantas fatigas .y peligros , *o6re todo ■ cuando una instrucción extensa y profunda de parte del viágero anuncia de -El lord Stanley qo ha querido unirse al ministerio firmado por el duque antemano toda la utilidad que las ciencias reportarán de esta publicación. » de WeHíngtori.ni al partido de los torys: estos dicen ahora que podrán ellos El Sr. Sa'vary hace una relación sobre la parwusmgráiica del viage del solos dirigir much…</t>
  </si>
  <si>
    <t>…u augusta Madre la Reina gobierno sobre el principio de oponerse á toda ri-fnau en la Iglesia cugiGobernadora y la Senna. Sra. Infanta Doña Alaría Luisa, continúan quiér otro departamento; pero Jo cierto es, que la oferta hecha a lord Stanley y a sir james Cxraham de entrar en el m¡nÍM-:r¡o, es una prueba sumiente de síq novedad en su importante salud. qu: la rcfo.ma que rhedita no es capaz de satSfunrr-lijsqdeseos razonables y las esperanzas de las clases medias. De cuanto hemos FabidodiíeTea de los proyec tos del último gobierno, no pod…</t>
  </si>
  <si>
    <t>…pasar las turbulencias de la Siria, sin apro\re-* modo con que íc compondrá dicho ministerio; pero se dice que S. AL ha ma charse de ellas, y el Monitor otomano se expresa como si el Sultán estuviese nifestado vivos deseos de que lord Stanley sea individuo de él;-y es evidente en plena posesión del señorío para decidir sobre las quejas de los súbditos del que todo lo que se haga será provisional hasta que se reciba contestación 3e bajá contra su Soberano. El artículo del Monitor otomano que los periódicos bir K. Peel, que en el día se h…</t>
  </si>
  <si>
    <t>…omo lord Chandos, lord Roderi, y otros fanáticos políticos r re ministración. {Gaceta de Boetasi) ligiosos. 2.a De toris moderados, como el duque de VVellington, sir Roberto Pcel y sus amigos y allegados. 3.a De sem¡-\vhigs, como lord Stanley, sir J. ALEMANIA. Graham, lord Ripon y el duque de Richmond. 4*a De whígs, es decir, el par Hannóver 13 de Noviembre. tido que acaba de caer,-5.a De radicales moderados, como lord Durham, Mr. Grote, Mr. Hume, Mr. Ward y Mr. Warburton; y 6.a de yltra radicáles, Guillermo iv por la gracia de Dios Rey…</t>
  </si>
  <si>
    <t>…que no envuelva las di .caballerizo mayor: lord Cówley., presidente dé la junta of Control-, el coqde ficultados qt,ie tengo la honra de exponeros. Soy vuestro obediente y fiel servi de Aberdeen, embajador en la corte de Francia: lord Stanley sé- dice que será dor. Firmado.écEnrique Winchester, lord corregidor.” {Sun.) nombrado para una de tres cosas,-para el almirantazgo, para el ministerio ‘de . las Colonias, ó para la dirección de la casa de moneda., en caso de que Se lee ¿nielTimes; _¡ quiera asociarse al nuevo gabinete. £1 duque de…</t>
  </si>
  <si>
    <t>…guiente es cierto todavía que Holanda tiene esperanza de que el buen Fondos públicos. Tres por 100 consolidados 91 f. derecho triunfe algún día, y de que se pueda hacer un buen arreglo. Pero seria No ha llegado aun á esta capital lord Stanley: parece indudable que se difícil suspender el pago de los intereses de una deuda que en cierto modo está á cargo nuestro. Seria grande la injusticia, si se considera que la deuda activa niega ^ entrar en el nuevo ministerio. (Couricr.) comprende gran parte de la antigua deuda neerlandesa (oud holla…</t>
  </si>
  <si>
    <t>…cargo del Estado por todos los servicios anteriores al I.° de Todos los periódicos apuncian que sir Graham ha llegado á Londres Enero de 1836 ; y otra á cargo de la nueva caja de retiros por los servicios cdsi al mismo tiempo que lord Stanley, y que ambos han rehusado entrar en posteriores á dicha ¿poca. - 1 el ministerio. _ Art.'4o. «Las pénSíótiéS que coa arreglo á lar presente- lev se liquiden, y El Albion publica la misma lista dé ministros que el Standard, y dice sean'pagaderas por el Estado, se concederán por Reales decretos, expr…</t>
  </si>
  <si>
    <t>Starella, Jóse</t>
  </si>
  <si>
    <t>Jóse Starella</t>
  </si>
  <si>
    <t>…brió el brigadier lriarte U retaguardia de los facciosos c .., za debtinados al servicio de su regio esposo. Entre los despedidos se encuentran c o nt - ama re ha bá n de la dirección que los suponíamos, y venían a tomar la i: el conde Jóse Starella y el joven principe Catrufiano Aragona, ambos vehe ña Vieja de Qrduña. mentemente sospechados de liberalismo y de no frecuentar las iglesias. El nue* «Dicho Sr. brigadier cargó vígor©*amente la expresada retaguardia; v y© vo ascendiente oe la Reina y la preponderancia del Austria es nías de lo que sé…</t>
  </si>
  <si>
    <t>Stc, Gobernadora Dios</t>
  </si>
  <si>
    <t>Gobernadora Dios Stc</t>
  </si>
  <si>
    <t>…do en aquel punto el mismo día la reunión de las divisiones del general batallón del Rey con objeto de exterminarla/* Lo trascribo á V. E. para su Espartero y del brigadier Bedoya. satisfacción y superior conocimiento de S. M. la Reina Gobernadora. Dios Stc. Los sucesos de Rioja resultan de los partes siguientes: El capitán general de Cataluña con fecha de 25 del actual avisa á este mi El comandante militar de Logroño con fecha 27 del anterior desde Fuen— nisterio, que el cabecilla Ros de Eróles con algunos dispersos de su gavilla ha mayor dice á este mini…</t>
  </si>
  <si>
    <t>Stct</t>
  </si>
  <si>
    <t>…wilmísúbdkó..tebeUe¡ La ReiNA-Doña Isabel H ha ascendido al trono en vtrtu¿ tírio, que eí Estamento remedla 'con este páriafoki. -: u. uíicí-m j, / de una, ley venerable, inmemorial, ourtca violada desde el principio de la mo- .. Sr. Stct stario.de Estadot de. taz ^loAUAdNo ha sidcsendlvido: «arquja; en contra de una disposición extraogeta, advenediza, mal,recibida por ¡ha sido que.el,gobierno se ocupajco», ahipeo m ^org*zúaai;^sta. instinicion ya lametón, y ni una sola vez observada. La Rbina Doña Isabel ha ascendí'- formada y .que…</t>
  </si>
  <si>
    <t>Stícueoto</t>
  </si>
  <si>
    <t>…Bayona, 00. Alicante, á corto piar Coruña, 1 d. Valencia, p»r. 00. zo, 4 d. Burdeos, id. Granada, Id. Z«»gox»,id. y débilmente descritas, reducen mis conatos á la conservación, sin permitirme Hamburgo, fi ps. £s-, 00. Barcelona, d. Stícueoto de letra, Málaga, i cj jppkkplo de su prosperidad como deseara. landres , i oQ días; • Ib; Santander, | b. 4: 4 100 li tio, Bilbao, 4&lt;L Santiago, Id. ESTADO SANITARIO DEL REINO. ANUNCIOS. PROVINCIA DB MURCIA. Según partes de 2 del corriente , continuaba la enfermedad su curso ordi Obras que se hallan…</t>
  </si>
  <si>
    <t>Stourdra</t>
  </si>
  <si>
    <t>…stro del Interior rectifica algunas equivocaciones en que La Puerta en fin ha nombrado los dos hospedares de Valaquía y de Mol han incurrido los oradores que acaban de hablar: manifiesta las causas que el davia. F.l primero es el príncipe Stourdra, y el segundo el príncipe Alejandro gobierno ha tenido para proponer.esta ley, y pide que la Cámara la apruebe. Ghiltai (Observador austríaco0 Por no haber suficiente número de Pares se levanta la sesión. INGLATERRA. cÁ-MAra de ios diputados.__Sesión de ídem* Lóndres 29 de Abril. Fondos públicos. T…</t>
  </si>
  <si>
    <t>Stoweil</t>
  </si>
  <si>
    <t>…n dejas proposiciones que viniesen déla Cámara de los se Se ha observado que mas de 60 miembros de-la Cámara de los Lores han ñores Diputados, y levantó la sesión. (G. de Gobierno.) cumplido 14 lustros. El mas anciano de todos es lord Stoweil que tiene 89 años. Muchos Pares se encuentran entre los 80 y 85 años. (Jtan.) ■&gt; En la sesión de la Cámara de los Diputados del 27 el barón de Rendufe dijo: señor ministro de Negocios extrangeros, siendo ayer invitado por W aquí el estado aproximatlvo de los sueldos y emolumentos de que go mí á que…</t>
  </si>
  <si>
    <t>Strangford</t>
  </si>
  <si>
    <t>…INGLATERRA. rechos de subasta que se expresan en la siguiente escala, pagaderos por el ven— Lóndres 11 de Febrero. decior en contado, y de todo libres para el comprador; 2 por loO sobre el va En la Cámara de los Lores preguntó el vizconde Strangford á lord Grey si lor én que se rematen los muebles; por lUU sobre el en que queden reina- las negociaciones entabladas entre Inglaterra y Francia sobre intereses comer Udps los frutos, géneros y efectos de comercio hasta (a cantidad de J 09 rs. in ciales estaban á punto de concluirse, v si había espe…</t>
  </si>
  <si>
    <t>Stroltz</t>
  </si>
  <si>
    <t>…nto barco empa Los Sres. Cxíraudy Isambeft y Luneau desvanecen los reparos que ha puesto vesado y gallardetes enarbolados. A las siete de la mañana empezaron á mover el Sr. Stroltz. El Sr. Havin esfuerza y sostiene el parecer del Sr. Stroltz;el Se se las tropas, y. mas tarde salló la comitiva, que por sus trenes, caballos, lujo ñor Dubois manifiesta los motivos que la comisión ha tenido para redactar et de trages, séquito y numeróse^ acompañamiento, era cuanto podía desearse, y artículo en los términos que ía Cámara ha visto; y esta, c…</t>
  </si>
  <si>
    <t>Strrano</t>
  </si>
  <si>
    <t>…a discusión de la peticiot» -de ifi individuos , y lo mismo de inquisición; y no pocas veces se han reuni acerca del reglamento interior del Estamento. do-dos ó mas comisiones de Córtes para ventilar algún asunto. El Estamento El Sr. Strrano ( £&gt;. Francisco): » Ayer oí impugnar la idea de que el •mismo ha tenido no' ha mucho que dividir el trabajo del código criminal y del reglamento es defectuoso y depresivo. Que es defectuoso ya lo hemos visto ’de procedimientos en dos comisiones, resultando 18 individuos para una cosa una porción de…</t>
  </si>
  <si>
    <t>Sttollz</t>
  </si>
  <si>
    <t>…cos para mantener 2 bre de luces que-decoraban su fachada. escuadrones y 93 brigadas temporales de gendarmas á caballo.” Desde el amanecer.d$[ dia 2u se vió tremolar en las baterías de Ja plaza el L^ido el artículo 3.° observa él general -Sttollz que no es prudente conceder pabellón nacional, y lo mismo hicieron los buques de las naciones amigas, por ¿ los sargentos de gendarmas-las facultades que en dicho artículo se enuncian.' cuyo motivo presentaba el puerto una magnífica vista con tanto barco empa Los Sres. Cxíraudy Isambeft y Luneau de…</t>
  </si>
  <si>
    <t>Stuart</t>
  </si>
  <si>
    <t>…esterlinas: lord Morperh ^ po, y aquella hizo fuego. M. J. Evans 25: M. Laboucherc 20: M. Smith 20: M. Morrison 20: M. De los cinco prisioneros do*lograron ejecutar su proyecto: otros dos cuando W. Ellice 10: M. Maxwell 1Q; lord D. Stuart 10 ;M. Hume 5: M. OConrintenrabah evadirse recibieron heridas que íes impidieron hacerlo: el quinto que neil 5; y un caballero de Hungría 5. (Lun.) era el estudiante Rubner de Wunciedek recibió una herida, de cuyas resultas murió. Fue menester repetir el fuego, y desgraciadamente varios habitantes…</t>
  </si>
  <si>
    <t>Stuart, D</t>
  </si>
  <si>
    <t>D Stuart</t>
  </si>
  <si>
    <t>…ibras esterlinas: lord Morperh ^ po, y aquella hizo fuego. M. J. Evans 25: M. Laboucherc 20: M. Smith 20: M. Morrison 20: M. De los cinco prisioneros do*lograron ejecutar su proyecto: otros dos cuando W. Ellice 10: M. Maxwell 1Q; lord D. Stuart 10 ;M. Hume 5: M. OConrintenrabah evadirse recibieron heridas que íes impidieron hacerlo: el quinto que neil 5; y un caballero de Hungría 5. (Lun.) era el estudiante Rubner de Wunciedek recibió una herida, de cuyas resultas murió. Fue menester repetir el fuego, y desgraciadamente varios habitantes…</t>
  </si>
  <si>
    <t>Stuart, Dudley</t>
  </si>
  <si>
    <t>Dudley Stuart</t>
  </si>
  <si>
    <t>…comunicadas por mi mayordomo mayor de quien _En la sesión del mismo dia en la Cámara de los Comunes dijo el canci .-dependen inmediatamente. Tendréislo entendido, y dispondréis lo ller del echiquier en respuesta á una pregunta de lord Dudley Stuart, que el ■conveniente á su cumplimiento. = Está rubricado de la Real ma gobierno no tenia dificultad en que se votasen algunos fondos para los infelices no. = Carabanchel 16 de Junio de 1834. = Al marques de Valverde. polacos refugiados actualmente en Inglaterra. Esta respuesta fue acogida por la Cá…</t>
  </si>
  <si>
    <t>Su, D Juan Bautista Bedia Lau</t>
  </si>
  <si>
    <t>D Juan Bautista Bedia Lau Su</t>
  </si>
  <si>
    <t>…malos alimentos. Félix Antonio de Berrueta , secretario de la llamada junu de agravios; su PROVINCIA de ZARAGOZA. hijo Sabas; D. Tomas de Cortesena, administrador de aduanas; D. Martin de rAndigonogoiiia, capellán dcL comandante general; D. Juan Bautista Bedia Lau- Su gobernador civil con fecha de 16 del actual avisa que varios pueblos neta, comisionado, y otros marineros ha&gt;ia el número de 8ü á 9t&gt;, con inclu de la misma han sido invadidos del cólera-morbo, y acompaña el siguiente sión de los que están ya aqui. Estos rebeldes habían salido esta mañana dé Lequei…</t>
  </si>
  <si>
    <t>Su, D Vicente Seravilla PROVINCIA DE LOGROÑO</t>
  </si>
  <si>
    <t>D Vicente Seravilla PROVINCIA DE LOGROÑO Su</t>
  </si>
  <si>
    <t>…y en Cazoria habían ocurrido 103 casos desde 22 quera el facioso Manuel Maestre, el cual se hallaba escondidoen dicho pueblo, á 24 del mismo, fallecieron 6 y curaron 30. y cuya captura es debida al celo y vigilancia del teniente coronel D. Vicente Seravilla. PROVINCIA DE LOGROÑO. 0 Su gobernador civil participa en o6cto de 29 del enunciado Agosto, que ESTADO SANITARIO DEL REINO. al día anterior habían enfermado en Briones ocho personas con síntomas sos pechosos; que en Alfaro hubo desdé 23 á 26 dej. mismo 11" enfermos, de los PROVINCIA DE ASTURIAS cuales perecieron 51 y curaron…</t>
  </si>
  <si>
    <t>Su, Goethals</t>
  </si>
  <si>
    <t>Goethals Su</t>
  </si>
  <si>
    <t>…tínez de la Rosa, Presidente del Consejo de nes se habían interrumpido de resultas de la indisposición y ausencia por cau Ministros. sa de servicio de algunos de sus miembros, se ha reunido nuevamente ayer bajo la presidencia del general Goethals. Su trabajo s-e halla muv adelantado. Él Para que no sufran retraso los graves é importantes negocios proyecto de ley orgánica de la justicia militar está acabado; las bases de los Je la Secretaría del Despacho de la Guerra, he venido en mandar códigos de procedimientos criminales y penal están ya fija…</t>
  </si>
  <si>
    <t>Su, Granvela</t>
  </si>
  <si>
    <t>Granvela Su</t>
  </si>
  <si>
    <t>…aso que se frustrarían todas las medidas que en compañía de Nicolás Granvela y de su hijo, entonces obispó de Arras, y adoptásemos, tendríamos el amargo sentimiento de ver entradas nuestras fron después conocido con el nombre del cardenal Granvela. Su comisión ostensi teras, saqueados nuestros pueblos, y degollados sus habitantes. Para evitar ma ble era la de instar y provocar la reunión del concilio. Granvela pasó desde les de tanta trascendencia, este gobierno apela á la heroica filantropía de la Trento á la Dieta de Nuremberg, y no habiéndose…</t>
  </si>
  <si>
    <t>Su, Juan Bautista Bedia Lau</t>
  </si>
  <si>
    <t>Juan Bautista Bedia Lau Su</t>
  </si>
  <si>
    <t>…imentos. Félix Antonio de Berrueta , secretario de la llamada junu de agravios; su PROVINCIA de ZARAGOZA. hijo Sabas; D. Tomas de Cortesena, administrador de aduanas; D. Martin de rAndigonogoiiia, capellán dcL comandante general; D. Juan Bautista Bedia Lau- Su gobernador civil con fecha de 16 del actual avisa que varios pueblos neta, comisionado, y otros marineros ha&gt;ia el número de 8ü á 9t&gt;, con inclu de la misma han sido invadidos del cólera-morbo, y acompaña el siguiente sión de los que están ya aqui. Estos rebeldes habían salido esta mañana dé Lequei…</t>
  </si>
  <si>
    <t>Su, Julián de Pinedo</t>
  </si>
  <si>
    <t>Julián de Pinedo Su</t>
  </si>
  <si>
    <t>…veteris textus intelltgentlam, acommodata, á D. Salvatore Vernede PROVINCIA DE BADAJOZ. et Vila. Un tomo, en 4,0, edición de 1790, k 14 rs. rama y 20 pasta común. 1 ■■■ Historia de la insigne órden del Toison de Oro, escrita por D. Julián de Pinedo Su gobernador.-civil dice en oficio del ló del corriente que en toda ella yqueSalaxar.se hallaTresdivididatomos enenfoliotres• ediciónpartes, decontiene178^ilas90masrs. ramaesenciales'noticiasy 102 rústica.delEstaorigen*obra, se disfrutaba de cabal salud, excepto en ViUafrapca de los Barrios, en cuyo…</t>
  </si>
  <si>
    <t>Su, Miguel</t>
  </si>
  <si>
    <t>Miguel Su</t>
  </si>
  <si>
    <t>…eros respetos de esta sociedad, que con disgusto no ha considerable que tenia hecho á un antiguo amigo suyo /porque *upo que séguia podido antes manifestárselos por hallarse ausentes de esta capital Ja mayor parte las banderas de D. Miguel. Su colección de antigüedades y de historia natural, de sus individuos, huyendo de la cruel epidemia que ha arrebatado la novena que es rara y de mucho valor, la ha dejado á un amigo de Lisboa , con la pre parte de su población, sin cuyo desgraciado acontecimiento nadie se le hubiera cisa circunstancia…</t>
  </si>
  <si>
    <t>Su, Palmerston</t>
  </si>
  <si>
    <t>Palmerston Su</t>
  </si>
  <si>
    <t>…rado de prosperidad, que tuvo en otro tierApo; S. M. teniendo, -i—Los embajadores de Francia, España y Portugal.han tenidip estos das» va-» presente, según lo que resulla del mismo expediente, que el cultivo rías conferencias con lord Palmerston. Su objeto, según se dice, versa sobre las de 1* barrilla no requiere mas mejoras-, y que es conveniente dejav- medidas que conviene adoptar para restituir la paz á la península, y extinguir su edmbustion al.cuidarlo-de los cosecheros, quienes han de conocer1 los elementos de guerra civil que actualmen…</t>
  </si>
  <si>
    <t>Su, Piedras</t>
  </si>
  <si>
    <t>Piedras Su</t>
  </si>
  <si>
    <t>…royectos de ley sobre alteración de límites de comunes y distri trangeras ha dado cuenta á las Cámaras de un nuevo plan que ha proclamado tos, y contribuciones extraordinarias para obras públicas en varios departamen en el Sur el cura Piedras. Su objeto es pacificar U nación mejicana y asegurar tos: todos quedan aprobados; y se Levanta la sesión á las cinco menos cuarto. los beneficios de la unión. Se propone el mencionado cura establecer un impe IDEM DE LOS PAnftL Serió*i del día 5. rio, colocar en él la dinastía de Motezuma, levantar un g…</t>
  </si>
  <si>
    <t>Su, Rafael de Rodas</t>
  </si>
  <si>
    <t>Rafael de Rodas Su</t>
  </si>
  <si>
    <t>…RES DEL REINO. Nota. Se ha rectificado el error cometido en el último parte respecto á lo* Provincia os málaga; que murieron en 23 y 24 del citado -Agosto en la ciudad de Tarragona. Sr. D. Eduardo Galvéy. PROVINCIA DE TERUEL. Si. D. Rafael de Rodas.- Su gobernador civil dice con fecha 28 del mes próximo pasado que en Torremocha no se habia alterado la salud pública desde el día 2 del referido ESTADO SANITARIO DEL REINO. Agosto: que el 24 del mismo solo había un enfermo en Villafranca, y el 25 cuatro en Moscardón, invadidos todos el día anterior: q…</t>
  </si>
  <si>
    <t>Su, Vicente Seravilla PROVINCIA DE LOGROÑO</t>
  </si>
  <si>
    <t>Vicente Seravilla PROVINCIA DE LOGROÑO Su</t>
  </si>
  <si>
    <t>…zoria habían ocurrido 103 casos desde 22 quera el facioso Manuel Maestre, el cual se hallaba escondidoen dicho pueblo, á 24 del mismo, fallecieron 6 y curaron 30. y cuya captura es debida al celo y vigilancia del teniente coronel D. Vicente Seravilla. PROVINCIA DE LOGROÑO. 0 Su gobernador civil participa en o6cto de 29 del enunciado Agosto, que ESTADO SANITARIO DEL REINO. al día anterior habían enfermado en Briones ocho personas con síntomas sos pechosos; que en Alfaro hubo desdé 23 á 26 dej. mismo 11" enfermos, de los PROVINCIA DE ASTURIAS cuales perecieron 51 y curaron…</t>
  </si>
  <si>
    <t>Su, Wolkonski</t>
  </si>
  <si>
    <t>Wolkonski Su</t>
  </si>
  <si>
    <t>…do de su extraordinaria administración.” &amp;. PetetsburgoT de la condesa de Módena, hija del difunto conde del mismo El.conde Grey se levantó sumamente conmovido, y esperando á que ce título , emigrado francés y montero mayor, y la princesa Wolkonski. Su se- sasen los aplausos que cubrían su voz, contestó lo que sigue: «Milord y seño cr^ario ítsumo, fianc«s de nacimiento, hace igualmente parte de la comitiva. res: deseo que se de crédito á mis palabras al asegurar á ota asamblea que ao Emperador- ÑicoU&amp; solo estará aquí ocho ó diez dias. Otros dice…</t>
  </si>
  <si>
    <t>Suarcíj</t>
  </si>
  <si>
    <t>…entas-. quedará, GQjql.hccJto ¡nula Ja.subasta.,, procediéndose! a roteaasistieron á sus lecciones. : 1 ! j!j . 7L . ; . .-i-;-: •: : ; , ■ nueva , dé modo que para el 1 ° del siguiente Diciembre se halle dOinía cl&gt; . El ,ailstpo Sr. Suarcíj ha,/nandado componer la fuente,;que hay en dicho., Ga.lendírio,... r.ur.-.h - •.‘c.w-A : •- . • *.'vt.fl — huí jacio ..construyendo iuaitafsqn que recoge la? aguas que aojes se desperdicia^ - 3.a, Que Ja .p'atspnfcen quien:se remato coma tnojor-iposlor , gozíráncy-nii; bari,syt,ah&lt;»fasirvenittBBnla…</t>
  </si>
  <si>
    <t>Suare</t>
  </si>
  <si>
    <t>…s en el expediente de ley agraria , e atendido por su indi vid uo d«* nú mero el Sr. D. (Pis par Melchor de Joveilanos, a uombre de la juuia encargodi de su tTrruciou y con noticias que adquiera. De este pueblo rccresará á N&gt;s el capitán Suare/ con su arreg o a sus opiniunes. Nueva edición : uu tomo eu 4.-, 16 rs. Se vende en la libre columna. Dios guarde á V. F. muchos años. Eago á las nueve de la noche del ría de vi o. 26 de Enero de 1S34-—F.xpmo. Sr.rzMarcclino Oráa.z=Ex^mo. Sr. capitán ge ___ -ildiena fúnebre de histerias irónicas y…</t>
  </si>
  <si>
    <t>Suareí</t>
  </si>
  <si>
    <t>…Lpílqgode lade.condiciórifsly^ciudad de Orense; piadosadvirtiéndoseá obC^debe!que! ribfn .r acee^larse. u . .;-Vf...... 1 .,. , ai;-, •• 1 &gt;. j t K dia 1.° del próximo me* dft $.Ías oijcd1 U tpa£ap te Jará . *—Por providencia del Sr. Suareí., alcalde de Rea! cisa y'éorfe , se cña á ió^r j lós’ se MtfrHdtt] 1 que ttcfim dé la testaFelipe I principio en el Real ja»día Botánico dedíceosle 4 fa uijá dé Ii agrje»!- &lt;-' pai»q4i«:BA?tl preciso léftnjtvo'de to.dixsrsé ciño pre queOféán’áAlendertrté, futa, continuándose k U misma húmen lo* junc…</t>
  </si>
  <si>
    <t>Suarez</t>
  </si>
  <si>
    <t>…la Grdeoaclpn, en^cuyp co de tpdas Jas ciases dividido de! modo que sigue: secretarla estará de manifiesto el pliego de condiciones. f r tunes y martes: cupones del por 100, y los recibos que sé titulan resí- —Por providencia del Sr. Suarez,'alcalde de Real casa y corte, refrendada dél es* cribaoo de provincia Borreguero y León ] sé cita á los que eo concepto de acreedores fryos aí portador dol 4 por* 100. _ ■, se consideren coo derecho A los bieaes.que dejó á su fallectéaiecttP D. jrertnln AQXq- * ' Miércoles; cupones del 5 por 100 y…</t>
  </si>
  <si>
    <t>Suarez, D Juan Antonio</t>
  </si>
  <si>
    <t>D Juan Antonio Suarez</t>
  </si>
  <si>
    <t>…gratificación de ninguna clase por el desempeño reglas 5.a y 6.a de la circular de 30 de Noviembre de. 1B33. CId.') de sus respectivas funciones. Dispondrá la junta que los socorros destinados pa declarando libre de todo cargo al teniente D. Juan Antonio Suarez. ra los presos entren en poder del tesorero, asi como también Us limosnas, do Real decreto nombrando á D. Evaristo Perez de Castro enviado extraordinario I naciones ó cualesquiera otros recursos que voluntariamente se hagan por cor y ministro plenipotenciario en la corte de Roma. (A*m. 16.) J poraci…</t>
  </si>
  <si>
    <t>Suarez, Felipe</t>
  </si>
  <si>
    <t>Felipe Suarez</t>
  </si>
  <si>
    <t>…Falcon, á D. Vicente Mar en Real decreto Je 21 de Abril próximo pasado: y en los Partidos tin Gómez, á D. Francisco María Henriquez; y para la plaza de fis en cavas Capitales no existan aquellas cor¡&gt;oraoiones, á les Comi cal , á D. Felipe Suarez: y es mi voluntad, que cada uno de los mi sionados especiales, que deben presidir las elecciones conforme al nistros de este superior tribunal ociqie el asiento que le corresponda artículo 46 «leí Real decreto de estas. según los títulos de sus nombramientos, ó en su delecto por el orden .5* Tambié…</t>
  </si>
  <si>
    <t>Suarez, Joaquín María</t>
  </si>
  <si>
    <t>Joaquín María Suarez</t>
  </si>
  <si>
    <t>…aragoza, ¿ d. Hamburgo, 00. Barcelona, á ps. fs.. Málaga . par. Descuento de letras, Extracto del parte remitido por el subdelegado de Fomento de la provin Londres, á 90 dias, £ b. Santander, £ b. á 4 p* 100 al año. cia de Oviedo D. Joaquín María Suarez, con fecha de 30 de Abril último. m y i. Bilbao, £ d. Santiago, £ d. Ha removido en diferentes concejos de la provincia los obstáculos que se oponían al cerramiento de heredades, y no pierde de vista la necesidad de in culcar á los habitantes las conocidas ventajas de los prados artificíales. ANUNC…</t>
  </si>
  <si>
    <t>…uye asimismo el siguiente país é impedir, que reciban recurso de ¿1 los facciosos. Parte sanitario de Andujar. &gt;!«■ Enfermé». Curado». Fallecidos.. ‘ Extracto del parte remitido por el gobernador civil de la provincia de Ovie do, D. Joaquín María Suarez , con fecha de 2-dn Julio actual. 11 á 13 Julio....... 67• 9 12 Ha promovido nuevos expedientes sobre aprovechamiento de aguas, y ha En este parte va incluso el del hospitaL dictado varias providencias favorables í la ganadería. Siendo muchos los Terrenos comunes que poseen gratuitamente algunos pa…</t>
  </si>
  <si>
    <t>Suarez, Joaquín Marta</t>
  </si>
  <si>
    <t>Joaquín Marta Suarez</t>
  </si>
  <si>
    <t>…necesidad de encontrar un medio fácil y pronto de trasmitir las ideas. Extracto del parte remitido por el gobernador civil de la provincia d« La tipografía seria la única que podría satisfacer esta necesidad, si su precio Oviedo D. Joaquín Marta Suarez con fecha de 4 de Junio actual elevado no fuera las mas de las veces un obstáculo para la publicación de ideas Procura promover por todos los medios posibles el riego en los terrenos nuevas y útiles. La autografia, trasportando á la piedra la letra del papel, alla que admiten este beneficio, y llam…</t>
  </si>
  <si>
    <t>Suarez, Juan Antonio</t>
  </si>
  <si>
    <t>Juan Antonio Suarez</t>
  </si>
  <si>
    <t>…consecuente á la un peq.-ef.-i número de buq...^ 1 -gle*e&gt; y 1 ran^e-es. soberana resolución de 3 de Noviembre de 1832 se ha formado en esa plaza i Es increíble .a impresión Un. i.sonjera que han cau&gt;a lo e-;a- r.« : .¡.-s en to D. Juan Antonio Suarez, teniente de infantería dimitido con grado de capi da nuestra pob..uion i en la de Pera; por matura que : -do- c-pc.n :í -s ece las tán, por haber iluminado los balcones^de su casa al recibirse el Real decreto diferencias enu las Potencias se terminen ahora amistosamente, y &gt;-.r. ciar lu de amnistí…</t>
  </si>
  <si>
    <t>…ción de ninguna clase por el desempeño reglas 5.a y 6.a de la circular de 30 de Noviembre de. 1B33. CId.') de sus respectivas funciones. Dispondrá la junta que los socorros destinados pa declarando libre de todo cargo al teniente D. Juan Antonio Suarez. ra los presos entren en poder del tesorero, asi como también Us limosnas, do Real decreto nombrando á D. Evaristo Perez de Castro enviado extraordinario I naciones ó cualesquiera otros recursos que voluntariamente se hagan por cor y ministro plenipotenciario en la corte de Roma. (A*m. 16.) J poraci…</t>
  </si>
  <si>
    <t>Suarez, Nicolás</t>
  </si>
  <si>
    <t>Nicolás Suarez</t>
  </si>
  <si>
    <t>…teniente coronel mayor del cuerpo , pan que dirigiese mi marcha al pueblo oficia/es de ía compañía de cazadores del batallón de San Fernando, teniente de Torre Jas Arcas, porque se decía se hallaban en aquel*punto los faccioso®, D. Nicolás Suarez y subteniente D. Jo&gt;é Irive y D. José Cárcel: merecen en tengo la satisfacción de manifestar á V. S., que llegando á las cuatro de la ma mi concepto particular y especial recomendación el capitán que mandaba Jos drugada é informado de Ja justicia de que los Cdc¿to:Oí se hallaban en Alcaine, ¿JO celad…</t>
  </si>
  <si>
    <t>Subclase, D Juan</t>
  </si>
  <si>
    <t>D Juan Subclase</t>
  </si>
  <si>
    <t>…inuaba siendo satisfactoria, y el amor de la tucion á St.D.D. Manuel Joaquín Tarancon. m Soberano, y la confianza de la misma en su» .intencionen aumentaba de día aa dia. (¿Monitor."} provincia db vaibncia. Sr. D. Pedro Fuster. J Sr. D. Juan Subclase. r. D. José Ciscar. | Ír. D Antonio Ayajga, j) Madrid k, dr Julio. Sf. D. Ildefonso Diez dé Rivera» conde dtAlmorÍ0*pi. ttBOCrptt DE PROCURADORES DE¿ REINO. Sé. D. Abdon Ruiz de Carrú». provincia db Suva. ■sovikcia a S. D. Jacinto d« Roñante,</t>
  </si>
  <si>
    <t>Subclase, Juan</t>
  </si>
  <si>
    <t>Juan Subclase</t>
  </si>
  <si>
    <t>…ba siendo satisfactoria, y el amor de la tucion á St.D.D. Manuel Joaquín Tarancon. m Soberano, y la confianza de la misma en su» .intencionen aumentaba de día aa dia. (¿Monitor."} provincia db vaibncia. Sr. D. Pedro Fuster. J Sr. D. Juan Subclase. r. D. José Ciscar. | Ír. D Antonio Ayajga, j) Madrid k, dr Julio. Sf. D. Ildefonso Diez dé Rivera» conde dtAlmorÍ0*pi. ttBOCrptt DE PROCURADORES DE¿ REINO. Sé. D. Abdon Ruiz de Carrú». provincia db Suva. ■sovikcia a S. D. Jacinto d« Roñante,</t>
  </si>
  <si>
    <t>Subclase, Pedro Fuster J Sr D Juan</t>
  </si>
  <si>
    <t>Pedro Fuster J Sr D Juan Subclase</t>
  </si>
  <si>
    <t>…el B.ey Othbn continuaba siendo satisfactoria, y el amor de la tucion á St.D.D. Manuel Joaquín Tarancon. m Soberano, y la confianza de la misma en su» .intencionen aumentaba de día aa dia. (¿Monitor."} provincia db vaibncia. Sr. D. Pedro Fuster. J Sr. D. Juan Subclase. r. D. José Ciscar. | Ír. D Antonio Ayajga, j) Madrid k, dr Julio. Sf. D. Ildefonso Diez dé Rivera» conde dtAlmorÍ0*pi. ttBOCrptt DE PROCURADORES DE¿ REINO. Sé. D. Abdon Ruiz de Carrú». provincia db Suva. ■sovikcia a S. D. Jacinto d« Roñante,</t>
  </si>
  <si>
    <t>Sube, Cabet</t>
  </si>
  <si>
    <t>Cabet Sube</t>
  </si>
  <si>
    <t>…a la sesión por no haber suficiente número de diputados* • ; En sczwid.i se principia á discutir el informe de la comisión que-ha exa cámara na los pariiS. — Sesión del día 11.minado la petición del gobierno sobre formar causa al Sr. Cabet. Sube este á la tribuna , y asegura que si no se tratase mas que de su interes personal consen Se nombran varías comisiones para que examinen los proyectos de ley pre tiría gustoso en que se autorizase al gobierno para que le, ffimiase causa; pero sentados en la última sesión, y en seguida se lee una pro…</t>
  </si>
  <si>
    <t>Subprefecto</t>
  </si>
  <si>
    <t>…I. el Duque de Braganza, Regente del reino de Portu Estado y del Despacho, con fecha 3 del corriente, lo que sigue : = gal y de los Algarbes, á nombre de la Reina Doña María ii, á Don Ercmo. Sr. — A las diez de la noche acaba el Sr. Subprefecto de pa Cristóbal Pedro de Moraes Sarmentó, del Consejo de S. M. Fidelí sarme la comunicación que tengo el honor de trasladar á V. E. = sima , Hidalgo Caballero de la Casa Real, Comendador de la Orden .•Bayona 3 de Junio de l834.=Sr. Cónsul: Con arreglo á las órdenes de nuestra Señora déla Concepción de…</t>
  </si>
  <si>
    <t>Subrié, Juan Manuel</t>
  </si>
  <si>
    <t>Juan Manuel Subrié</t>
  </si>
  <si>
    <t>…expediente y dictámen de la comisión sobre este partí- . Bayona por las autorida'dés‘ pVovinciales"par'i"a«l,ígílar la certeza de la vecular. . , , ___ ----Anunció-el Sr..Presidente que los’Fxcmos Sres. Próeeres Timf'hfaHns para D. Juan Manuel Subrié^porjaen, por enfermo. , f • L &gt;.T las comisiones ordinarias se sirviesen reunirse para proceder al nombramiento do "D. Ramqn Ciscar,, por Lérida, por el cólera. *”• " t¡ n9 ri * Decanos y Secretarios de ellas entre los individuos de su seno , conforme á lo ' D. Manuel Vázquez Queipo de Llano, pór L…</t>
  </si>
  <si>
    <t>Subrié, Vf Juan Manuel</t>
  </si>
  <si>
    <t>Vf Juan Manuel Subrié</t>
  </si>
  <si>
    <t>…lodo nuestro gobierno, que se sostiene y-vive por la Carta. \ Admirable combinac-on , que hace que las libertades nac onales y los ' trovaciA ns jshk, „¡ * de(£$hos dc| pod&lt;r)tengan!el mfémo orígdn.y la misma sanoiomqtie clpoder Sr. Vf. Juan Manuel Subrié. sea tan interesado como el «pueblo en la conservación del pacto fundamental; y Sr. Marques de Falces. qutf^&amp; facciones 1)0 pueHcO atacar:!) dignidad Real sin atacar al mismo tiem Sr. L&gt;. Rodrigo Arando po et acta donstitutiva de nuestras libertades , del mismo modo que el trono Sr« D. Francisco de…</t>
  </si>
  <si>
    <t>Subteniente</t>
  </si>
  <si>
    <t>…, como serán siempre, por Isabel , por Cristina , y por la patria. Cenicero 28 de Noviembre de 1834~=Señora.=A L. R. P. de V. M.=Teniente comandan Comandancia general de la provincia de Valladolid.=Excmo. Sr.=La te, Manuel Olartc Caballero-Subteniente, Félix Bastida y HernaedI=Ca- facción del rebelde Lucio Nieto fue dispersada ayer mañana por el capctan bo l.°, Eleuterio Angulo y Bazan.=Urbano., Luciano Bastida y Hcrnaed.= D. Pedro Ramos con los 30 infantes que manda y 11 caballos, unidos ¿2 de Urbano, Pablo Bujanda.” esta arma de la provincia d…</t>
  </si>
  <si>
    <t>Suchet, L G</t>
  </si>
  <si>
    <t>L G Suchet</t>
  </si>
  <si>
    <t>….. Vich. ceptosderno dedelguerragran Reyen estade Prusia,clase.deconserviciolos adelantamientospara una y otraquearma,ha heéhocuyoel trabajosistema emmo 13,997........ 2000................................*.. Tarragona. prendió el general L. G. Suchet, siendo gefe del estado mayor del ejército de Italia, 9,709. 2000.......................... Madrid. el afio séptimo de la república francesa. Traducida al castellano por el brigadier Don 21,154. 500................................... Cádiz. Estanislao Solano: un tomo en 8.° Se hallará en ia librerí…</t>
  </si>
  <si>
    <t>Sueltn, José</t>
  </si>
  <si>
    <t>José Sueltn</t>
  </si>
  <si>
    <t>…lio de 1834-—Y J’° José Marta da Costa D. Juan K.astel, fabricante de cerveza de Sta. Bárbara.............. 160 Silveira da Motta, secretario de Ja magistratura, lo suscribí. = José Ferreira Borges (Gaceta oficia/ del gobierno.") D. José Sueltn , charolista.... _.......................................................... 60 D. Gabriel Muñoz, encargado de los dos cuartos de SS. MM. y A. 540 rs., los 500 por una vez y los 40 rs- restantes por el presente mes y et que viene á razón de 20 rs. que mensualmente ofrece mientras dure la epidemia..…</t>
  </si>
  <si>
    <t>Suelto, José García</t>
  </si>
  <si>
    <t>José García Suelto</t>
  </si>
  <si>
    <t>…es Reales \7\ 00. negociable de $ p. 100 4 — ■ - resolviendo que la solemne apertura de las Cortes- generales del reino se Penda papel, verifique en el salón del palacio de Proceres. (Afam. 143*) Id. sin Ínteres, 00. mandando'que D. José García Suelto pase á la ciudad de Pamplona con . Accionea del banco español, 00. _ «1 carácter d« comisario regio de Navarra. (Ar«w. 1440 CJLMSTOS. — 1 declarando á quién pertenece la presidencia general de 1as diferentes cor París, 16—2. Cádiz, 14 b. Sevilla, i b. poraciones reunidas en jos actos y funciones pu…</t>
  </si>
  <si>
    <t>…les decretos dirigitjos al Sr. Presidenta del Consejo y Cámara de Castilla se ha servido nombrar la Reina Gobernadora para el corregimiento Junta superior de Sanidad de Granada.:=Excmo. Sr.: Como presidente de de létras de León i D. José García Suelto: para la vara de alcalde mayor se la junta superior de Sanidad de esta provincia digo i la suprema del reino con gundo de Jerez de la Frontera á D. Domingo Martínez Galinsoga, corregidor asta fecha lo siguiente: de Ciudad Real: para esta vara que resulta vacante á D. Ginés María Serrano: Excmo. Sr.…</t>
  </si>
  <si>
    <t>Suelto, José María</t>
  </si>
  <si>
    <t>José María Suelto</t>
  </si>
  <si>
    <t>…se distribuya del mismo modo que la de su augusto Padre. {Diario de casi infinito número debe reducirse sobre manera, lo que producirá muchos Paris.') bienes é indica algunos de ellos. La llegada del corregidor de aquella capital D. José María Suelto , y,su cooperación activa y eficaz , ha contribuido en sumo grado para realizar las me— didas de'policía urbana que el gobernador civil tenia propuestas, como asimis ESPAÑA. mo las de salubridad, vigilancia y tranquilidad, y el alistamiento y declaración de los urbanos. Villa-Clara (isla de Cuba) 1…</t>
  </si>
  <si>
    <t>Suelto, Josef García</t>
  </si>
  <si>
    <t>Josef García Suelto</t>
  </si>
  <si>
    <t>…e Berdeguer: en Toledo en la de Fernandez; en Tortosa en la de Puigrubl: en Valencia en la de Nav varro: en VaUadoiid en la de Rodríguez: eo Vitoria en la de Barrio; y en Zaragoza en la de Polo, El alcalde rtiayor de Nava*hermosa D. Josef García Suelto da cuenta dé ha ■—-Nuevo periódico filarmónico dividido en dos clases: la r.a titulada: La Lira de berse celebrado en aquella villa los exámenes públicos de primeras letras, y re -Aifolo, año contendrá solamente piezas de canto, á solo y concertantes, con partido premios á los- niños mas-sobresalieiit…</t>
  </si>
  <si>
    <t>Suero, D Luis</t>
  </si>
  <si>
    <t>D Luis Suero</t>
  </si>
  <si>
    <t>…formación de la Milicia urbana, y asegura que en las villas y concejos la con el destacamento de la guardia Real que se halla en ella, mandado por mas'-iconsiderabíes y populosos dé" la provincia.se cuentan ya organizados yer el teniente D. Luis Suero, y llevando conmigo Iqs 30 referidos de la Prjhce- ( mados muchos defensores de la legitimidad. sa, marcho en e&amp;te momento, que son las cinco de la mafiana., otra vez a San Por último tiene preparados interesantes trabajos para levantar el plano to Leonardo i reunirme coa los coroneles D„ MariSel O…</t>
  </si>
  <si>
    <t>Suero, D Luís</t>
  </si>
  <si>
    <t>D Luís Suero</t>
  </si>
  <si>
    <t>…racán, que reinaba hacia ya cuatro días/1 (Idem?) /. del terreno,.adonde se acogieron después de abandonar sus caballos. El expresado comandante de la 3.a brigada hace particular mención, del - ^PORTUGAL- ■ f celo y actividad del teniente D. Luís Suero, que tiene tan manifestado en cat? / "Lisboa 25 de Agosto. y otras ocasiones, igualmente que de 1» bizarría y denuedo del alférez Villoi- &gt;Jin la sesión de Ja Cámara de Diputados del 21,1 ¿yó el marques dfe Sal- do, del sargento graduado de alférez D. Manuel López, del sargento 2.* gra duado de l.°…</t>
  </si>
  <si>
    <t>Suero, Luis</t>
  </si>
  <si>
    <t>Luis Suero</t>
  </si>
  <si>
    <t>…n de la Milicia urbana, y asegura que en las villas y concejos la con el destacamento de la guardia Real que se halla en ella, mandado por mas'-iconsiderabíes y populosos dé" la provincia.se cuentan ya organizados yer el teniente D. Luis Suero, y llevando conmigo Iqs 30 referidos de la Prjhce- ( mados muchos defensores de la legitimidad. sa, marcho en e&amp;te momento, que son las cinco de la mafiana., otra vez a San Por último tiene preparados interesantes trabajos para levantar el plano to Leonardo i reunirme coa los coroneles D„ MariSel O…</t>
  </si>
  <si>
    <t>Suero, Luís</t>
  </si>
  <si>
    <t>Luís Suero</t>
  </si>
  <si>
    <t>…e reinaba hacia ya cuatro días/1 (Idem?) /. del terreno,.adonde se acogieron después de abandonar sus caballos. El expresado comandante de la 3.a brigada hace particular mención, del - ^PORTUGAL- ■ f celo y actividad del teniente D. Luís Suero, que tiene tan manifestado en cat? / "Lisboa 25 de Agosto. y otras ocasiones, igualmente que de 1» bizarría y denuedo del alférez Villoi- &gt;Jin la sesión de Ja Cámara de Diputados del 21,1 ¿yó el marques dfe Sal- do, del sargento graduado de alférez D. Manuel López, del sargento 2.* gra duado de l.°…</t>
  </si>
  <si>
    <t>Suirana, Juan</t>
  </si>
  <si>
    <t>Juan Suirana</t>
  </si>
  <si>
    <t>…ecreto de 27 de Marzo de 1-826 , vigente en la materia. go de precipitarse por los barrancos, acompañado del soldado de su partida * Manuel Albear .cayeron sobre el grupo que apareció, y mostraba componerse Habiendo sido separado D. Juan Suirana del destino de fiscal celador de de seis ó siete hombres, de los cuales murieron tres, y los demas se ocultaron montes de la provincia marítima dé Morella , por haber tomado parte en la re con rastros de sangre que manifestaban ir heridos. Se apresaron tres caballos, belión de aquella plaza , reclamó e…</t>
  </si>
  <si>
    <t>Suiza, Ja</t>
  </si>
  <si>
    <t>Ja Suiza</t>
  </si>
  <si>
    <t>…e: Siempre con S! M. la Reina Gobernadora se ha dignado Resolver que las tropas que el temor de una invasión extranjera bajo el especioso nombre de intervención, hoy componen,el ejército del Norte de España, al mando del teniente general Ja Suiza emplea diariamente todos sus conatos en mejorar su organización mili marques de Rodil, se dividan y formen dos cuerpos de ejército independientes, tar y en aumentar lo material y personal de su ejército. La comisión encarga destinado el uno con especialidad al reino de Navarra, y el otro á las prov…</t>
  </si>
  <si>
    <t>Suiza, Sebastiani El</t>
  </si>
  <si>
    <t>Sebastiani El Suiza</t>
  </si>
  <si>
    <t>…e con fundado derecho del Rey en hacer este viage es de asistir al casamiento del vi rey Leopoldo con pueden exigir. ¡Seria el vorort el único que ignorase lo que se ha hecho en la princesa María de Francia. Se espera en breve al general Sebastiani. El 2&amp; Suiza por medio de la imprenta y por las sociedades que están muy generali saldrá el barón Dowamd. (pateta de Augsburgo.j zadas , asi antes como después de la expedición de Saboga, para alterar la tran quilidad de estos Estados, cuando todos los gobiernos tienen en su poder prue melATsaaA. bas con que ac…</t>
  </si>
  <si>
    <t>Sujutru, Luis ItaiS</t>
  </si>
  <si>
    <t>Luis ItaiS Sujutru</t>
  </si>
  <si>
    <t>…” (/d.) ’ 1. r r. t ■ , En cuatro á míj cualquiera que sea. la ópiniqn de aquellos con quienes tenq.la honra de servir á,S. M., no quiero,.a pesar del atractivo que tienen las - De Zurich escriben con fecha 8 del corriente que él príncipe Luis ItaiS*1 Sujutru de la vida privada, abandonar á mi Soberano en la crisis actual. A su parte vque.había solicitado entrar en el xontingttnte de&gt;la artiUería quvUl cár»-1lado"permaneceré, ntieptras j. M. considere útiles mis servicios; y esta es la caur ton de Berna debía mandar al campamento de Xhoúhe-r aCé&gt;baba&gt; tíe.íár…</t>
  </si>
  <si>
    <t>Sully</t>
  </si>
  <si>
    <t>…a legitimidad del Gobierno de aquella preposición mía, ni lo es tampoco del abate Barruel, ni del arzobispo Velcz, época. Será necesario quo tomando el hilo de nuestra historia desde éf afio defensor del altar y del trono; es del conde Sully, uno de los literatos mas de 18u8, en que empezó verdaderamente la regeneración política de la Na distinguidos de la Európaées este qhien Jó dícé en el examen de la revolución ción española, recuerde yo Jos acontecimientos á que dió lugar con sus enga francesa, y su opinión no será seguramente sosp…</t>
  </si>
  <si>
    <t>Sumías</t>
  </si>
  <si>
    <t>…ren/r* Smuhs. Soria , 9.° de linca =1 enicntc , D 1c nací o V: ñcd alféreces , D. Nicolás de El comandante genera! de Asturias avisa con la misma fecha hallarse aquel ll Fax, herido . v D. Jo-*e Antonio luri rt: D. Manuel Espada: D. Sumías principado en completa tranquilidad , y que los facciosos que compusieron las Chaquetón ; D. Joaquín Alberti, D. Angel Prat. D. Nicolás fiedano; D- Luij</t>
  </si>
  <si>
    <t>Sun, Ei Truc</t>
  </si>
  <si>
    <t>Ei Truc Sun</t>
  </si>
  <si>
    <t>…citar tur bulencias, en medio5 del aforamiento que producía un pueblo inmenso por do Al Sr. Secretario del Despacho.del Fomento general del Reirio quiera que pasaba? (figo con esta fecha lo que sigue i = Habiendo dido cuenta á la Reina Ei Truc Sun atribuye esta demostración de las sociedades industriosas a. Gobernadora del expediente instruido para averiguar la causa de la motivos de mas alta esfera, tales como el deseo de una representación nacional fundada en principios mas latos y liberales. decadencia en que se encuentra el importante ra…</t>
  </si>
  <si>
    <t>Superintendente</t>
  </si>
  <si>
    <t>…ntecedentes que tenga relativos á los caminos proyectados, ó co dientes á su cumplimiento. Dios guarde á V. S. muchos años. Ma menzados á abrir desde el Ferrol, para comunicar con la carretera drid 26 «le Agosto de 1854.=Moscoso.=Sr. Superintendente general general de Galicia á Castilla, informando lo que le parezca sobre de policía. aquellas obras, arbitrios propuestos ó aprobados ya para ellas, y sis tema mas oportuno para llevarlas á efecto con la mayor breve líe dado cuenta á S. M. la Rf.ina Gobernadora de las consultas dad; en el concepto…</t>
  </si>
  <si>
    <t>Suscrito, N B</t>
  </si>
  <si>
    <t>N B Suscrito</t>
  </si>
  <si>
    <t>…hab endose encarecido notablemente los obje ciones de sus barrios....................................................... .......................... 2000 tos de p.eciso consumo por la* razones indicadas, no ha Habido alteración en D. N. B Suscrito por la del corriente mes........................................... 20 los jornales; asi que otro mal es ei que mas gravemente ¡a aqueja, d de la fal D. L G. G............................................................................................ 50 ta de comunicaciones expeditas a causa de lo…</t>
  </si>
  <si>
    <t>Suso, Manuel González</t>
  </si>
  <si>
    <t>Manuel González Suso</t>
  </si>
  <si>
    <t>…rte: para las de gefes de mesa de la primera sec ción á D. Ramón María Cañedo y D. Ranfon Calatrava: jiara la de ‘gefe de la segunda sección á I). Antonio. Freyre: para la de gefe de PARTE &gt;() OFICIAL. 'mesa de lá misma Sección á D. Manuel González Suso: para la de efe de la tercera sección á D. Manuel Cristantes: para la de gefe NOTICIAS EXTRA NO ERAS. C mesa dé la misma á D. Félix D’Olhaberriague y Blanco: para la de gefe de 1a cuarta sección á D. Francisco Bartolomé y Coloino: para las-degefes de mesa dé la misma a D. José Sánchez Ocaña y ' {Co…</t>
  </si>
  <si>
    <t>Suspendió, Presidente</t>
  </si>
  <si>
    <t>Presidente Suspendió</t>
  </si>
  <si>
    <t>…que se cobran derechos exorbitantes, he dicho también, y repito, que el Go ponía el Gobierno pira el cuerpo consular, y ei Estamento acordó que sí. bierno ha mandado instruir un espediente general, y reunir los dato»y oóti- v. El Sr. Presidente Suspendió esta discusión par» continuarla mañana 3 la» cias'precitas para-el arreglo de este ramo. once, hora en que se reuniría el Estamento; y cerró la sesaon á las tres y «La» indicaciones que' hace la comisión no pueden votarte antes que la media. propuesta del Gobierno por una razón muy sen&amp;ita; y es qu…</t>
  </si>
  <si>
    <t>Szilliak</t>
  </si>
  <si>
    <t>…del tepáéorio del distrito de Szluiner, con intención de poner -sitio y apoderarse deísta fortaleza. Algunos bosniacos consiguieron escalar el fuerte; pero fueron fcch»- MINISTERIO DE GRACIA T JUSTICIÉ. zados á la bayoneta por el capitán Szilliak, que manda el regimtdMÓ ámtriaCór de Szluiner. Huyeron las bosniacos, y en su huida incendiaron ásetetaú . JReal orden. dé las aldeas fronterizas. De los nuestros han -muerto dos y quedado muchdU heridos. No se sabe el número de los suyos, porque los bosniacos acostumbran Exento. Sr.S. M. la Reina…</t>
  </si>
  <si>
    <t>S’ntafé</t>
  </si>
  <si>
    <t>…imprescriptible, y luego los para establecer la libertad en España!... Es claro que sí. Después de'estos prin códigos civiles sabráti garantirle. cipios fundamentales que son como la base ó los cimientos' del edificio social, El Sr. S’ntafé nos ha dicho que el artículo que se discute no podía ser ob las demas son consecuencias que de ellos Se deriban, son mejoras correspondien jetó de medidas fundamentales. En esta parte sabe el Estamento que no se ha tes á los diversos ramos de la legislación , que tienen su lugar propio y oportu hec…</t>
  </si>
  <si>
    <t>T, Artmmn</t>
  </si>
  <si>
    <t>Artmmn T</t>
  </si>
  <si>
    <t>…coffiidendon al distinguido mérito coetaido «9 fe uta irtr de 11EB ^Hiihns azt as ofii. files respectivos á fe cabeza y al mando del teniente afemedadg «fe fe vista por ri profoor O. «fe Pan- y d a jaitftjj: fe Ty'ir db fe samada D. Artmmn T mA. iiainrrir ri crio con qoe en brnffioo «fe la femmhd ha sssrñfe y j—s Be vpiih mjwég &lt;pie ri hergandía GnaJiamt se acoderase frente al mué- de Real orden Aferentes provincias «fe fe noav^m, $zn d fia fe : Ufe» v &lt;pK fe Pería y Gariferganfasea ea ri mismo fondeadero, que es al donar k» anadias «I…</t>
  </si>
  <si>
    <t>T, Eugfniq.de</t>
  </si>
  <si>
    <t>Eugfniq.de T</t>
  </si>
  <si>
    <t>…arse lea exhibirá efc correspondiente recibo para que puedaq haqerrél nada bajo nuevo ntétodo* y adicionada con ua tratado del juicio criminal y ai¿t d^pquenerá deJ80 rr. v¿.,.cuyo dp^uinemotele* exigirá, eo el actp-d« otros, por D. Eugfniq.de T ser admitido» aí exámen para él referido gradq.. i ,.c se hallará de’vehti en Mad rústica. El estudio de bptjmicy de que habla el .párrafo 2.° del capítulo 16 del re- - —Carta tsféried di Id iostd dt Africa* ■comprendida entre el golfo de Tremecep ‘y flamentoquienes ,faltasepodrátídichahartTlecondi…</t>
  </si>
  <si>
    <t>T, Santos</t>
  </si>
  <si>
    <t>Santos T</t>
  </si>
  <si>
    <t>…a vtHa del Prailo , y para su ‘resalta á D. Julián Reales decretos nombrando a D. Fernando Butrón gobernador de Zamora,! Martínez y Yautpiasj'(í¿L) 1 - ‘ V ■ *■/ • . 1 ’E&gt;. Gaspar JSuregui comandante general de»- Guipúzcoa, y á -'D. Santos __ T nombrando torfej*i&lt;iA¥ de Arévalo á D.Valentin deGarralda. ¡ (Idíy AlTeñde teniente dé rey de la Coruña. (Id.) " " Real órden mandando .que se apliquen las disposiciones de la de 6 del corriente Real céd(u)a K&gt;bre la construcción del canal de Tamarite de Litera en. ej.rein» ’ S lóí individuos de la…</t>
  </si>
  <si>
    <t>…, Alcalde electo* de la villa del Prailo , y para su ‘resalta á IX Julián Reales decretos nombrando a D. Fernando Butrón hlenfriez y Yanguasi'CídO 1 - ‘ V ■ *■/ • . 1 D. Gaspar Jáuregui comandante general de-'- G*aipüZeoa , y á ?D. Santos __T nombrando eorfejtúhtf de Arévalo á (D.-Valentin deGarralda. ¡ (Idíy AlTeñde teniente dé rey de la Coruña. (Id.) ' " Real órden mandando .que se apliquen las disposiciones de la de 6 del corriente Real céd(u)a fi?bre lar construcción del canal de Tamarite de Litera en el.rci'n» ’ S lóí individuos de…</t>
  </si>
  <si>
    <t>T, Tesorero</t>
  </si>
  <si>
    <t>Tesorero T</t>
  </si>
  <si>
    <t>…67 1 166 5 166 5 166 5 166 5 f» 1* ¡1000 2 99 99 ídem 4 varios acreedores i idem por asignaciones vencidas y no pagadas en su totalidad.................. » »' 1» a» 420 56 -126 r&gt; » 596 99 t9 ' Idem'diferencia para igualar con el Sr. Tesorero... » » » T » 9» i . n « 4 ” " 4 ! ” " *9 »9 1071 2 1113 74 1511 34 1145 1 ¡1250 74¡1288 7 5335 44 1/94 2 2SJU-6 533iS 4i n • 1^94 2 7381 4í Balance i favor de la Sociedad S. E. ix O.. 402 5» r-84</t>
  </si>
  <si>
    <t>Ta, Grer</t>
  </si>
  <si>
    <t>Grer Ta</t>
  </si>
  <si>
    <t>…e el ejército egipcio ha perdido de 800 á 19 hombres en la insurrección de Siria. INGLATERRA. Londres 23 de Setiembre. ___ .El embajador ruso Mr. de ButeniefT ha vuelto á esta ciudad pasando por Odesa. Convite dado en Edimburgo á lord Grer. Ta peste continúa haciendo estragos: entre las víctimas se cuenta á Mr. El recibmiento-que se ha .hecho en Escocia a lord Grey, ha sido una Wood* intérprete cerca de la embajada inglesa. {Diario de Varij.) ovación completa: por todas partes mensajes de bienvenida, procesiones, ban deras, felicitacione…</t>
  </si>
  <si>
    <t>Taba, Mariano</t>
  </si>
  <si>
    <t>Mariano Taba</t>
  </si>
  <si>
    <t>…a de las antiguas Córtés de España, escrito en francés por capitán general de Valetacía, que el' rebeldeCarnicer, perseguido por la cólunw D. Joan Semper, español» fiscal que fue de la chanciilería de Granada: traducido al ira de D. Mariano Taba enea, se hallaba en el Puerto; y que fin. su consecuétl- eascellano por D. Toribio Picatoste. £1 nombre dél célebre jurisconsulto español Don cia.habia determinado salir al dia siguiente piara aquel punto, aun cuando'til-' Juan Semper, es la mayor garantía que se puede presentar del mérito de .esta…</t>
  </si>
  <si>
    <t>Taboada, José</t>
  </si>
  <si>
    <t>José Taboada</t>
  </si>
  <si>
    <t>…la Reina de Por la patria* tugal en las casas capitulares, solemnizando este acto memorable con función de iglesia y brillante iluminación, con la misma ostentación que en la plaza El gobernador civil de la provincia de VaUadolid D. José Taboada dico de *$eypa. con fecha de l.° del actual que al instante que recibió la Gaceta extraordinaria, Esta población manifestó asimismo el mayor júbilo y entusiasmo por la en que se manifestaba la feliz conclusión de la campaña de Portugal , mandó entrada de las tropas de nuestra augu»ta ReinA Doña Isa…</t>
  </si>
  <si>
    <t>…as circunstanciadas sobre el estado de la instrucción públi Extracto del parte remitido por el subdelegado del Fomento de la provin ca, ha resuelto varios casos particulares para conservar y mejorar las escuetas cia de Valladolid D. José Taboada con fecha de 16 de Abril último. entre tanto que se adopta una medida general, y ha dispuesto que se ensaye el Describe el estado de la agricultura en aquella provincia, y lo que debe es método de Vallejo. perarse de la conclusión del canal de Castilla. Ha oficiado á la sociedad ecooómica á fin de…</t>
  </si>
  <si>
    <t>…los expresados/lanceros O. José de la Vega resulta que habiéndose Extracto de los partes remitidos por el gobernador civil d» la provine!* retirado esta facción hácia los montes del Duque , fue alcanzada en la madru da Valladolid D. José Taboada con fecha de Julio último. gada del 10 por el teniente de lanceros D. Rafael León y Navarrete, que con 23 individuos de su cuerpo y 5 Urbanos de caballería formaban la vanguardia Paste del mes de Abril. 1 de la columna al mando del indicado capitán , causándoles varios muertos , y cogiéndoles 17 ca…</t>
  </si>
  <si>
    <t>Taboada, Josef</t>
  </si>
  <si>
    <t>Josef Taboada</t>
  </si>
  <si>
    <t>…tales,en beneficio gener^í-de la ■ . m admitiendo la dimisión de D, Antonio Loriga, gobernador civil de prosperidad y de lariqueza’públiea.'Pero.la sociedad no desconoce que los. la’provincia de Corufia.ty nombrando en su lugar á D. Josef Taboada, bancos dé economías se hallan tan enlazados, con los de comercio y de dego- gobernador civil de la provincia de Vallado] i d.(.V7ut. 273.) sito, que apenas puede concebirse la existcncia de los unos sin la Coexistencia' Reales decretos exonerando á D. Serafín Chavier del gobierno civil de la prode…</t>
  </si>
  <si>
    <t>Tacón, D Miguel</t>
  </si>
  <si>
    <t>D Miguel Tacón</t>
  </si>
  <si>
    <t>…la província.que su frían la misma plaga seguía esta su curso ordinario, con mas intensilidad en general del dia de Junio de ldí^ ^Habiendo llegado anoche á unos que en otros. esta plaza c&lt;5n toda felicidad el Excmo. Sr. teniente general D. Miguel Tacón, PROVINCIA. DE GUADALAJARA. nombrado póf S/M. la ReinA nuestra Señora, para sucederme en los mandos de esta isla., verificará su.entrada con arreglo á ordenanza á las siete en punto En I o del corriente avisa su gobernador civil que desde 28 á 31 del an de esta inañana&gt; dirigiéndose del muelle de C…</t>
  </si>
  <si>
    <t>…consulta , como en los dictámenes del ñor D. Miguel de la Torre, capitán general de la isla de Puerto-Rico. Consejo Real y del de Gobierno, se ha trabajado con loable celo parí superar Otra en que trasladaba una carta del Excmo. Sr. D- Miguel Tacón , capi las dificultades; y se advierte que dichas corporaciones han estado animadas de tán general de la isla de Cuba, manifestando su gratitud por haber sido nom igual deseo de reparar en lo posible los perjuicios causados á los compradores brado Prócer del reino, protestando los sentimientos de s…</t>
  </si>
  <si>
    <t>Tacón, Miguel</t>
  </si>
  <si>
    <t>Miguel Tacón</t>
  </si>
  <si>
    <t>…ncia.que su frían la misma plaga seguía esta su curso ordinario, con mas intensilidad en general del dia de Junio de ldí^ ^Habiendo llegado anoche á unos que en otros. esta plaza c&lt;5n toda felicidad el Excmo. Sr. teniente general D. Miguel Tacón, PROVINCIA. DE GUADALAJARA. nombrado póf S/M. la ReinA nuestra Señora, para sucederme en los mandos de esta isla., verificará su.entrada con arreglo á ordenanza á las siete en punto En I o del corriente avisa su gobernador civil que desde 28 á 31 del an de esta inañana&gt; dirigiéndose del muelle de C…</t>
  </si>
  <si>
    <t>…crzjde de Teba, ivi.; obispo de Vailadolid, ausente; cónde Montenegro; D. Gerónimo Valdes; D. Luís Balanzat; prímópe de Anglona; del Venadito, presente; duque de Veraguas, id.; D. Gaspar -Vigoáet, ídem; conde Armildez de Toledo; D. Miguel Tacón; D. Manuel Freiré; D. Caye marque» de VüUfucrtcs, id.; y duque de Zar.i¿o^a. tano Valdés; marques del Cerro; conde de Villanueva , y D. Jacobo María de El br. Presidente del Consejo de Mu.isiro» ie\ó un Real decreto expedi ^arga , con Real licencia. do por crl Sr, Secretario de Grdcia y Justicia, p…</t>
  </si>
  <si>
    <t>Tacon, Miguel</t>
  </si>
  <si>
    <t>Miguel Tacon</t>
  </si>
  <si>
    <t>…irme ¿ esta plaza; pero habiendo sabido en el pueblo de Línzoam que 6t-0 Dios guarde á V. E. muchos años. Sevilla 12 de Febrero de 1834*=Exce-l I-hombres al mando de Sagastíbelza tenían sitiado y en el mayor apuro en la lentísimo Señor.=Miguel• Tacon.=Excma Sr. Secretario de Estado y del Des-] [casa fuerte de Elizondo al teniente coronel Zugarramurdi, que con 120 hom- pacho del Fomento general del remo. , I Ibres de voluntarios de Isabel n_y carabineros de costas y fronterp se defendía Segundo. Excmo. Sr.: El presidente de la junta de Sanidad de…</t>
  </si>
  <si>
    <t>…a, secretario RR. obispos, títulos de Castilla y personas elevadas en dignidad é de la interpretación de Lenguas; D. Antonio Cano Manuel, del Con ilustres por sus servicios y merecimientos, que se expresan á conti sejo de Estado; D. Miguel Tacón, teniente general de los Reales nuación; El duque de Bailen, cajútan general de los Reales ejérci ejércitos, capitán general de la isla de Cuba; conde de Ezpeleta, te tos, del Consejo de Gobierno, y Presidente del Consejo Real de Es niente general de los Reales ejércitos, capitán general de Aragón;…</t>
  </si>
  <si>
    <t>…struidos en hacienda, que so Madrid 19 de Marzo. celebrará en Munich después de concluido el congreso político de Viena.” Atendiendo S. M. la Reina Gobernadora al rnéóto, servicios y circuns FRANCIA, tancias del mariscal de campo D. Miguel Tacón y á su lealtad acreditada, se ha servido conferirle la capitanía general de la isla de Cuba , y presidencia de la Parts 5 de Marzo. Real audiencia, promoviéndole á teniente general de los Reales ejércitos. Lonja de hoy. Cinco por 100 consolidados 106 fr. 40 c. Fondos españo les ( renta de España 3 po…</t>
  </si>
  <si>
    <t>…ea posible, cooperando como representantes de un Habana 20 ¿e Setiembre. pueblo célebre por su sincero amor al Rey, á la patria y a sus instituciones fundamentales, al arreglo de los intereses de la nación, atendido su carácter y D. Miguel Tacón , Procer del Reino &amp;c.. gobernador" de la plaza 7 prosu* necesidades; procurarán mejorar y completar,sus instituciones sociales, y ▼inda de la Habana , capitán general de la isla de Cuba &amp;c. &amp;c. consolidar su verdadera libertad.” (Diario del Haya.") Los juegos prohibidos, germen fecundo en desórden…</t>
  </si>
  <si>
    <t>Tahoada, José</t>
  </si>
  <si>
    <t>José Tahoada</t>
  </si>
  <si>
    <t>…r» Para el gobierno civil de la provincia de Valladolid , vacante privar al cantón de Berna del regimen gubernativo por dos años, ó á lo menos que se nombre una comisión que vigile sobre la administración de est»por traslación de D. José Tahoada al de la provincia de Coruña.he cantón dircciorial. Estos rumores han excitado naturalmente la mavor atención]venido en nombrar al conde de Gibarais, gobernador civ.il en la ac pero todavía no lo sabe nadie de oficio con respecy&gt; á esta nota, que podrq» tualidad de la de Palencia. Tendréislo entend…</t>
  </si>
  <si>
    <t>Taíllandier</t>
  </si>
  <si>
    <t>…y se determina que sesión. j siga el pago de los que se hayan asignado, sea cual fuese la causa, á los que se ídem de los diputados^—JVz/om de idem. hallen dementes y á los septuagenarios, con tal que no excedan de 19 francos; El Sr. Taíllandier lee el informe de la comisión que ha examinado la pro te coneedfc al gobierno para atender al pago de estos socorros un crédito de 1francos; y se dispone que se distribuya á las Cámaras un estado impreso posición relativa á la abolición de la muerte civil. Este informe se manda im | de los socorros…</t>
  </si>
  <si>
    <t>Taite, Roberto</t>
  </si>
  <si>
    <t>Roberto Taite</t>
  </si>
  <si>
    <t>…en su D. Francisco Latorre y D. Francisco Pulgar, cómo también del subteniente residencia de Larangeiró (Rio-Janeiro) después de una larga enfermedad. El empleado en la plana mayor D. Antonio Sánchez Solis, y del capitán de Ur . capitán Roberto Taite, comandante del Esparciata, ba tomado el mando de banos D. Antonio Ramos, que dejando su cargo de comisario, contribuyó al la escuadra, como oficial de mayor grado, hasta la llegada de lordTownshend. buen éxito de la acción eficazmente.” La regencia del Brasil en una nota dirigida á Mr. H. I. Fox,…</t>
  </si>
  <si>
    <t>Tajonera, Ramón</t>
  </si>
  <si>
    <t>Ramón Tajonera</t>
  </si>
  <si>
    <t>…n la diferencia que desde l.° del corriente cada una ha de adminis fio, D. Andrés de Castro, D. Pedro y D. Robustiano Pequeño, D. José Sán trar á los pueblos de los partidos judiciales establecidos últimamente , y quitada- chez y D.. Ramón Tajonera; en trigonometría esférica D. Jo&gt;é Ruibal, D. An la monstruosidad de que AI monte, que está á un extremo de la provincia, de gel Hernando, D. Francisco Vrliamil, j dichos D. Miguel Rúa, D. Gervasio pendiese de Ayamonte , que está al opuesto en este ramo. En su virtud , siendo Araujo, D. Pablo Carca…</t>
  </si>
  <si>
    <t>Tajonetamurias, Pedro</t>
  </si>
  <si>
    <t>Pedro Tajonetamurias</t>
  </si>
  <si>
    <t>…l contagio por providen- Manuel Magniller. Fueron examinados de aritmética D- Andrés de Castro, cras de aquella ciudad que oportunamente se ha destruido ¿ b neficio de medidas D. Amonio Araujo , D. Juan de Cosío, D. Nicolás Mena, D. Pedro Tajonetamurias, aislando el mal en su origen, de que V- t. tiene cumplido conoci ra, D. Eduardo Valle, D. José María A bel la, D. Anacido Martí, D. Ma miento. En dos pueblos ma* de la provincia se han presentada uno ó dos casos nuel Fuertes , D. Joaquín Acevedo , D. Manuel de Lucas, D. Angel Domín sospechosos, qu…</t>
  </si>
  <si>
    <t>Tajontfta, José Sánchez y D Ramón</t>
  </si>
  <si>
    <t>José Sánchez y D Ramón Tajontfta</t>
  </si>
  <si>
    <t>…onte , que está al opuesto en este ramo. En su virtud , siendo Araujo, D. Pablo Carcafio, D. Andrés de Castro, D. Pedro y D. Robustta— tejs los partidos judiciales de estacha sido la distribución muy fácil y sencilla, no Pequeño, D. José Sánchez y D. Ramón Tajontfta: en cosmografía Don poniendo al cuidado de la subdelegaron de Ayamonte los pueblos de su parti Demetrio Zalvidea, D. Isaac Pequeño, D. Juan Lembeye y el mencionado do y del Cerro, que todos componen 22 con 10,915 vecinos y 4^.34^ almas; D. José Ruibal; en navegación el mismo Ruibal, D. Santiago Rod…</t>
  </si>
  <si>
    <t>Tajontfta, Ramón</t>
  </si>
  <si>
    <t>Ramón Tajontfta</t>
  </si>
  <si>
    <t>…opuesto en este ramo. En su virtud , siendo Araujo, D. Pablo Carcafio, D. Andrés de Castro, D. Pedro y D. Robustta— tejs los partidos judiciales de estacha sido la distribución muy fácil y sencilla, no Pequeño, D. José Sánchez y D. Ramón Tajontfta: en cosmografía Don poniendo al cuidado de la subdelegaron de Ayamonte los pueblos de su parti Demetrio Zalvidea, D. Isaac Pequeño, D. Juan Lembeye y el mencionado do y del Cerro, que todos componen 22 con 10,915 vecinos y 4^.34^ almas; D. José Ruibal; en navegación el mismo Ruibal, D. Santiago Rod…</t>
  </si>
  <si>
    <t>Talkeyrand</t>
  </si>
  <si>
    <t>…ntó; de Jos ,2009, todavía permanece aquella suma en las arFondos ^f/toii^J[cesf(?E,L0fl.ilPnspHda4o! 92 f- t ■ ^, cas del Est ,porque no se .ha-Prescntado-jocasiop 4c emplearla. M. Giraud Ayer visitaron al vizconde Palmerston el príncipe Talkeyrand y- él-maé^-1 Vi ntb se reduzca á 8u9 francos: en apoyó de su proposición re núes de Miraflores, embajador español. ■ .• * Lw-, - razones,que el general Bugeaud ba alegado en favor de las ^ ■ , 7i;n‘iií i' v; ■ ,.j llura» añadiendo que á ellasldebeb los inglesas e! ektraordi- .___ La mayor parte de los…</t>
  </si>
  <si>
    <t>Tallcyrand</t>
  </si>
  <si>
    <t>…* = Búrg&lt;^,~$r. corregidor El infatigable M. O’Conncl hizo proposición para que se aboliese el jura ide Madrid. mento que prestan hra diputados cuando hacen , su, entrada en la Cámara. Exposición á S. M. la Rzura Gobernadora• _E1 príncipe Tallcyrand y el encargado de Negocios de España tuvieron ayer una entrevista con el vizconde Palmerston. Señora: El ayuntamiento de Santander, uniendo su voz á la de la ciudad F1 buque de vapor Roy al Willtam, procedente de Lisboa, llegó ayer á ■de Burgos, no puede menos de hacer á Vü. M. la manifestación mas s…</t>
  </si>
  <si>
    <t>Talleyrand</t>
  </si>
  <si>
    <t>be á casa del príncipe Talleyrand, donde estaba convidado /&amp; comer con lord que después que esta haya inmolado á los verdaderos amigos de la nueva dinas I Hollando lord John Rusell, lord Ducannon y otros persdnageSN S. S. maní- tía; que después de que hayan perecido bajo la cuchilla revolucionaria todos los I festo que estaba muy s…</t>
  </si>
  <si>
    <t>…último ensayo de nuestros • . ' ■;!, .'.:r . Pondo/ fáblitat. fres por 100 consolidados. 90¿. incorregibles enemigos. Se decretaron un sin número de prisiones , de las cua Et copela da Floridabianca lia recibido, las visitas del príncipe Talleyrand, les la mayor parte fueron ejecutadas. El capitán Kersosi, complicado en la cau iDrl FalmersCap. .y S. G- Canniug, á los cuales con otros, varios personages fia sa de los 27, fue arrestado en él momento en que se hallaba distribuyendo ósdalo un cxpléndido banquete. Sir G. Canning es conocido person…</t>
  </si>
  <si>
    <t>Talleyránd</t>
  </si>
  <si>
    <t>…crédito-, una vez acostumbradoÚ. holgar, viene á ser un hombre Grey, Palmerston, Holland y M. Stanley, mientras dos'indivi- que probablemente caerá ¿n manos de la justicia, cuando por el duos que nó forman parte del gabinete, el príncipe Talleyránd y contrario hubiera sido un artesano buenq y honrado si no le hu lord Durhapi „»os¿nyieroq que. dfchia.guardársela fe de ios tratados. bieran distraído de su taller para^oatriculÁrlo en estas sociedades. Los demas,rtinistros se^declararon contra el epvío de tropas, y así «Omito otras muchas reflexion…</t>
  </si>
  <si>
    <t>…sería el mejor medio de destruir la misma Iglesia que solo se intenta refor junta electoral de provincia que le nombró, y se ejecute la elección mar. (Id.) de Otpo Procurador en los mismos términos y con las propias solem ____El príncipe Talleyrand, M.-Rothschild y muchos otros personajes de ala nidades con qué se hizo Ta del primero; lo que se publica de Real categoría visitaron el 17 al duque de Frías, embajador de España en la corte órden en la Gaceta y en el Diario de la Administración, para que de París. (Albion.j sirva de comunicación o…</t>
  </si>
  <si>
    <t>…hubiesen impedido.Hallándonte eir.'él. Cairo, pteqsé embajada de Francia en la corte de Londres. Se duda con qiucho fundamento que era una locura volver á Europa sin haber visitado antes lós iugares^tán cé puedan conseguir que el Príncipe Talleyrand cambie una resolución que hace lebres en la historia sagrada"y profana, y que tenia tan cerca; En consecuencia, m£s dé,un mes' tiene ya manifestada. Cuando este salió- últimamente de In acompañado de un solo árabe, atravesé el itsmo de Suez, seguí á lo largo del : glaterra su amistad con lord Paltn…</t>
  </si>
  <si>
    <t>m del príncipe Talleyrand á Lótidres tiene por objeto formar una alianza ofensirque no habiendo al frente de los Dardanelos mas buques que los qae hoy cru va y defensiva entre Francia é Inglaterra, preparada ya en muchos punte», y zan en aquellos mares, pudiesen lograr el objeto que desean. que por consiguiente no detendrá…</t>
  </si>
  <si>
    <t>…de sus facultades legales, según lo comprueban los documentos que para ____Escriben de Valencey 17 de Octubre: • concitar su rebelión han dado 4 luz: S.° Que.observando el estado de opresión »bc ha dicho hace algunos di»s que el Príncipe Talleyrand, durante lo» en que se. procura tener 4 los pueblos para hacerlos ciegos instrumentos d. pocos días que ha pasado en Compieña, convidó al duque de Orleans 4 ura un partido exterminado?, sin que la abyección y abatimiento en ijue la fuerza cacería en su magnífica quinta de Valencey; parece que el Pr…</t>
  </si>
  <si>
    <t>…confir mación de las noticias de haberse concluido una convención añadida al&lt; trata do de 22 de Abril para la pacificación de la Península. ESPAÑA. Madrid 13 de Setiembre. u . .Según el Constitucional se cree generalmente que el príncipe Talleyrand trae las cláusulas adicionales al tratado de la cuadrupla alianza. Sí nosotros es Tartes recibidas en la secretaría de Estada y del Despacho de ¡a Guerra. tamos bien informados su objeto primario es impedir por medio de una activa vigilancia que.se envíen al Pretendiente por mar socorros de ninguna…</t>
  </si>
  <si>
    <t>…uda el zelo verdaderamente patrió á sí y á sus familias. tico y el cuidado con que ha desempeñado la junta un trabajo tan minucioso; y el teniente general, intérprete de los sentimientos de todos los cuerpos, le , .Se dice que el príncipe Talleyrand volverá á París á principios de No da por ello las mas expresivas gracias. viembre, y á mediados-de dicho mes á Londres para continuar sus funciones «Manifiesta también su gratitud en nombre de todos á los generosos sus- de embajador extraordinario. criptores, á quienes deben tan eficaces auxilios…</t>
  </si>
  <si>
    <t>Tamayo, Pedro Agustín</t>
  </si>
  <si>
    <t>Pedro Agustín Tamayo</t>
  </si>
  <si>
    <t>…ar píanos r de presentado, y ha merecido la aprobación de S. M. agrimensura , re intentándose dichos fondos de ios castos que ocasione la im presión con ei produjo He la venta de ia misma obra. En atención á las circunstancias de D. Pedro Agustín Tamayo, vecino 1 ______:________ — *__________ de esta corte, se ha dignado resolver S. M. que se le expida gratuitamente el título de maestro de primeras letras. HOUAMA. Habiendo acudido á S. M. la Real sociedad económica de Santiago en so- El ayuntamiento de esta muv heroica villa , 3 consecuencia de Re…</t>
  </si>
  <si>
    <t>También</t>
  </si>
  <si>
    <t>…regreso del confidente para saber A msrerdam, 00. París, 16-2. Cádiz, 1 b. Sevilla. * b. todo 1® ocurrido en la Bediguera. BBurdeosiv'ona , . 00.00. Alicame,* &gt;• t j-a corto nía- Coruña,Granada, J $d.id. Valencia.Zaragoza, par.| d. También debo participar á V. E. que esta mañana ha marchado una com H * «burgo , 00. Barcelona, á p*. fs., Ma laja , á id. Descuento de Ierras, á su variando ocuparpañía con ioj Londres capitán y algunos Mouiaon, caballos, para 3a. , a oO diasla Bilbao,1 l&gt;. j ti. Santiago,Santander,j ¿d.b. a 4 P* 100 al a…</t>
  </si>
  <si>
    <t>…s de juzgar, no solo por'los discursos que entonces se pronuncia que debía accederse á ella, pasándose el oportuno aviso para el reemplazo de ron , sino por la especie de efusión espontánea y por los semblantes que se veían dicho señor. También fue aprobado este dictámen. en los Sres. Procuradores, pocas veces se babrí pronunciado un voto mas de El Sr. Secretario del Despacho de Estado subió á la tribuna y dijo: acuerdo con la mayoría de ¡a Nación que el que se pronunció respecto al em ”S. M. la Reina Gobernadora me manda leer al Estament…</t>
  </si>
  <si>
    <t>…tual. En cumpli - virtud de órden de S. M. la Reina Gobernadora, mandándole permanecer en miento de lo mandado por S. M , el Estamento-acordó que se archivase. el Real sitio de S. Ildefonso, como caballerizo mayor que es de S. M. Doña - -' También se dió cuenta, y el Estamento quedó enterado de un oficio con ' Isabel ii. - que el ayuntamiento tile Madrid remite í los Sres. Proceres unas papeletas de El Sr. conde de Paisent dijo que no siendo el servicio de Palacio como - ^convite para las? exequias que en cLcUa presenté se debían celebrar en…</t>
  </si>
  <si>
    <t>…ft&amp;fDios guarde á V. E. muchos años. Madrid 10 de Marzo de 1834-= Búr- =Javier de Burgos. ,go5¿=Sr. obispo de Sigaicnza. Exposición Á S. M. la Rziaa Gobernadora. Excmo. Sr. He dado cuenta á S. M la Reina Gobernadora de Jas quejas Señora: ¡También nosotros somos españoles! [También, Señofa, tomos de varios acreedores efectistas de la villa de Madrid reducidos á la miseria por vuestros hijos! ¡También amamos á V. M. y á su augusta Hija la Runa nues no pagárseles los réditos de los capitales qúc poseen sobre aiís sisas. Enterada ' tra Señora D…</t>
  </si>
  <si>
    <t>…a Vida de nuestra vejéticion tropical, corresponden perfectamente á meras letras. los deseos del siempre desconfiado agricultor. La seguridad pública está afian zada desde que tomó el mando de esta capitanía general el Excmo. Sr. Don También se ha 6ervido acceder S. M. á una solicitud de D. José Duarta, Miguel Tacón, y ya vivimos tranquilos sin los temores de ser asaltados en mandando que la dirección general de estudies le expida gratuitamente titulo las calles con puñal en mano. La corrupción del foro y el .escándalo de los de maestr…</t>
  </si>
  <si>
    <t>…e que deben desaparecer tales anomalías. En cuanto ó la for nuevo en España, y que no hay ninguna nacion-que tenga este grado interme mación del cuadro que se ha indicado, y que ya se mandó en otra ocasión, opi dio de brigadier á general. También tendría por conveniente que se formase na que si se lleva á efecto, podrá ser muy conveniente, y producir grandes un cuadro de los generales que debe tener el ejército español; cuadro de cuyo ahorros.” ñútneró no se pudiera pasar sino únicamente en virtud' y recompensa de dis El Sr. Secretario del…</t>
  </si>
  <si>
    <t>También, Antonio Arias y Quiroga</t>
  </si>
  <si>
    <t>Antonio Arias y Quiroga También</t>
  </si>
  <si>
    <t>…er recibido el competente diploma para obviar el abuso que món Folgueira: para la del Ferrol á D. José Velazquez Queipo de había de instalarse los empleados con solo la publicación desús nombramientos Llano; y para la de Cañiza á D. Antonio Arias y Quiroga. También en la Gaceta. se ha dignado nombrar para la vara de, alcalde mayor interino de Por otra del 4 se manda al tribunal supremo de marina entregar al paga, Cartagena á D. Francisco Javier Morales de los Ríos: para la de dor general de este ramo el producto líquido de las presas para que se distri Ugtjar…</t>
  </si>
  <si>
    <t>También, Art</t>
  </si>
  <si>
    <t>Art También</t>
  </si>
  <si>
    <t>…n. D. Art. 64. El contador formará á fin de año un estado general de D. mostrativo de los incendios ocurridos en él, sus daños é indemniza jD. ciones, y le acompañará con la cuenta del tesorero. como Directores de esta Sociedad y D. Art. 63. También formará y acompañará otro estado del capital dueño de la casa que abaio se dirá, hacemos por la presente la obli de las fincas aseguradas existentes en su fecjia, con expresión de loa gación mas solemne y válida de aeguridad mutua oon arreglo «1 rá»</t>
  </si>
  <si>
    <t>También, Gobernadora</t>
  </si>
  <si>
    <t>Gobernadora También</t>
  </si>
  <si>
    <t>…ión de la sociedad económica tando sus rentas : á saber, por medio de la venta de edificios inútiles y ruino verificada el dia 17 del mismo mes en celebridad del feliz cumpleaños de S. M. sos de su propiedad y otros arbitrios. la Reina Gobernadora. También se ha rematado en 165&amp; rs. la construcción de una alcantarilla, En cuanto al comercio , sigue el impulso de la industria, sin notarse en él que deberá hatlarse concluida el dia l‘.° de Setiembre. Siguen en buen estado mejora sensible: sin embargo , es lisonjero el aspecto que presenta el ramo de lo…</t>
  </si>
  <si>
    <t>…,vo fin de las dificultades que hasta el dia han dilatado el arreglo definitivo de un al trono son el homenage mas grato que puede tributara a i». Sí. y a *u augus tratado que ha de afianzar la tranquilidad de Europa. ta Madre la Reina Gobernadora. . *&gt;También ha habido en Suiza algunas disensiones, que inmediatamente han AíadriJ 1."' de Enero. cesado, asi p«)r la sensatez de sus habitantes, como por la energía de su gobier no. La tranquilidad de aquel Estado nos era muy interesante , y V* M. lo ha F.t dia 7 del presente mes ha ejecutado S. M. la Reina G…</t>
  </si>
  <si>
    <t>También, Jackson</t>
  </si>
  <si>
    <t>Jackson También</t>
  </si>
  <si>
    <t>…rno recibirá 25 millones contra 4 millones de obligacio que al contrario son opuestas i ellas. Resulta de aqui que el Senado está en opo nes 4 por 100 , y tendrá una lotería anual de un millón, lo que liará ascender sición con el general Jackson. También es mas activo que nunca el disgusto pú el ínteres á 5. blico y la polémica de los periódicos con motivo de los depósitos del banco. BÉLGICA. En la ciudad hay suma agitación: la repentina é imprevista quiebra del Bruselas 4 de Mayo. tvnm de Maryland ha causado un terror pánico; y se rezela ocurra lo…</t>
  </si>
  <si>
    <t>También, Miguel Fernán</t>
  </si>
  <si>
    <t>Miguel Fernán También</t>
  </si>
  <si>
    <t>…corte, suspendan el hacer pago neralizar dicho método en toda la provincia. alguno á D. Fulgencio Notarlo, encargado de la viuda de aquel, y lo verifiquen a! depositario de los.btéae* quedados por itt-di ¿unción dicha* que lo es D. Miguel Fernán» También se propone establecer en aquella ciudad una inclusa dirigida por dez Villabrlaue» quien euii facultado al intento; y vive calle de lu Abada* nume/u 6 una junta de señoras , y ha dado pasos para conseguirlo. y 7, t jenda de comesríblf^* / Ha tomado algunas disposiciones relativas á cárceles, y ha (b…</t>
  </si>
  <si>
    <t>También, Quintam</t>
  </si>
  <si>
    <t>Quintam También</t>
  </si>
  <si>
    <t>…V. E. mis disposiciones para averiguar nar la órden de atender á las Merindades y Encartaciones, ohrando en combi la situación de los rebeldes; y que la columna al mando del 2.° comandante nación con la 3.* brigada del mando del coronel Quintam. También he dj-io de Borbou D. Manuel de Vicente que envié , pernoctó en Foncea, habiéndolo órden para que el coronel Mir, con 390 hombres de Castilla y 25 cabalo*., se yo verificado en Alubic, ¿media legua de distancia, adonde llegué á las/doce dirija hacia Puente la Rá con buenos guias de los Urbanos de P…</t>
  </si>
  <si>
    <t>Tambor</t>
  </si>
  <si>
    <t>…te á cuatro compa— conclusión del convenio. Él Pardo 19 de Octubre de i854.=Rnbri- í8 subtenientes. . J nías.............................. 498 cado de la Real mano. = Al conde de Toreno. 300 MINISTERIO DE LO INTERIOR. 'Un primer comandante.. Tambor mayor. Real orden. [ Un segundo comandante. Cabo de tam Para utilizar de un modo eficaz el noble entusiasmo de la Mi Un BATALLON. bores ............................................................. licia urbana por la jusfá causa de la Reina nuestra Señora, y con Plana mayor. \2 ayudantes..........…</t>
  </si>
  <si>
    <t>Tamos, Bernardo de Borjas y</t>
  </si>
  <si>
    <t>Bernardo de Borjas y Tamos</t>
  </si>
  <si>
    <t>…bles, conta enfermos, aunque se creía fuesen de distinto mal que los de Noreña; finalmen dor general de la Real Casa y Patrimonio. (Id.) te, que en el resto de la provincia se gozaba de cabal salud. ,____nombrando en su vacante á D. Bernardo de Borjas y Tamos. (Id.) - nombrando á varios eclesiásticos capellanes de honor de la Real capilla. PROVINCIA DB PA1SNCXA. (Id.) Con fecha de 24 y 27 del corriente participa su gobernador civil que U Real órden incluyendo el índice de las diferentes disposiciones y resoluciones enfermedad maligna que aflige á aquella…</t>
  </si>
  <si>
    <t>Tampoco</t>
  </si>
  <si>
    <t>…reventivo de Aragón, para la dirección de las operaciones militares,la'merindad dcTudc- para ser auxiiiado aunque esté en cama y fuere visitado por facultativo. 11, p3ra cuyo mando se ha dignado S. M. nombrar al mariscal de campo Don 6. ° . Tampoco tendrá derecho á subsidio alguno el individuo que fuere á to— Francisco Sanjuanena. El brigadier Linares se hallaba el 10 del corriente en mar los aires nativos , aguas minerales y baños, á menos qué estos últimos le I/abai, valle del Roncal, donde se reuntan á sus tropas los naturales, para cu-1 f…</t>
  </si>
  <si>
    <t>Tanto, Manuel Mana de Alzaibar</t>
  </si>
  <si>
    <t>Manuel Mana de Alzaibar Tanto</t>
  </si>
  <si>
    <t>…hortacionescomposicionesypoéticasbuenas quemáximascon Si de Mayo de 1834* = Excmo. Sr.= Miguel de ArechavaU. tiene, entre las cuales merecen particular atención una decima improvisada por el Sr. corregidor, y un romance leído por D. Manuel Mana de Alzaibar. Tanto por su con tení *o, como por su precio, es muy adecuado para leerse en las escuelas particular La villa de Lacalahorra, en e! marquesado de Cenete, celebró el día 9 de mente— -—Losnormales,profesoresquede vanmedicinaestableciendoy cirugíalosqueSres.hangobernadoreshecho solicitudciviles,á la plaza v…</t>
  </si>
  <si>
    <t>Tapía, Benigno</t>
  </si>
  <si>
    <t>Benigno Tapía</t>
  </si>
  <si>
    <t>*99 &gt; lamo# del centro, y el ayudante del batallón de Borbon D. 'Benigno Tapía, m Frías 10 de Setiembre'de 1834=MaaueI de Vicente.zzE* copla c=rj osé presentaron seguidamente en lá altura al momento que rompió el fuego la Manso. ■ 'guerrilla del subteniente Huerta. Los enemigos Jo verificaron igualmente,y re . 's' ) . / haciéndose, intentaron adelantarse; pero al ver á nuestr…</t>
  </si>
  <si>
    <t>Tapia, D Francisco</t>
  </si>
  <si>
    <t>D Francisco Tapia</t>
  </si>
  <si>
    <t>…oticias de que por el camino del Go- defendieron los Urbanos, y la de la villa lo estaba por parte de estos y nu thardo no podrán pasar tan pronto los carruages. En este momento se dice que partida del 1S de línea, mandada por el teniente D. Francisco Tapia. el partido de Peccia ha quedado enteramente destruido. {Debates-') «Por dos veces se les intimó la rendición en nombre del rebelde Uranga, y las dos veces fueron despreciados por estos bravos, cuya contestación fue 1, Bayona 14 de Setiembre, de morir por Isabel ii; viendo tan heroica resolución die…</t>
  </si>
  <si>
    <t>Tapia, Eugenio</t>
  </si>
  <si>
    <t>Eugenio Tapia</t>
  </si>
  <si>
    <t>…islas dependientes de Turquía, con tal que le dejase á ¿1 el resto También se ha dignado conceder honores de oidor de U Real audiencia do de aquel Imperio, inclusa Constantinopla y el dominio del paso de los Darda- Vallado lid á D. Eugenio Tapia. nelos; oferta que no quiso aceptar Napoleón á pesar de que entonces llamaban su atención los asuntos de España. Pregunta en cuanto al estado de Alemania si habrá llegado la época en que Conociendo el intendente de Cuenca la necesidad de reedificar el puente de los gabinetes de Viena y de Berlín, en…</t>
  </si>
  <si>
    <t>…oña María Luisa, continúan sido de la inspección general de Instrucción pública: á D. Juan N-isin novedad en.su importante salud en el Real sitio del Pardo. casio Gallego, ministro del tribunal de la Real Gracia del excusado, y á D. Eugenio Tapia, ministro honorario de la Real audiencia de Valladolid. Y para suplentes, con opcion á la primera vacante, sin REALES DECRETOS. necesidad de nuevo nombramiento, á D. Rosendo de la Vega y Ría. doctoral de la Santa iglesia de Mondnñedo, capellán de honor y Pro Para la formación de urr p’an general de…</t>
  </si>
  <si>
    <t>Tapia, Francisco</t>
  </si>
  <si>
    <t>Francisco Tapia</t>
  </si>
  <si>
    <t>…e que por el camino del Go- defendieron los Urbanos, y la de la villa lo estaba por parte de estos y nu thardo no podrán pasar tan pronto los carruages. En este momento se dice que partida del 1S de línea, mandada por el teniente D. Francisco Tapia. el partido de Peccia ha quedado enteramente destruido. {Debates-') «Por dos veces se les intimó la rendición en nombre del rebelde Uranga, y las dos veces fueron despreciados por estos bravos, cuya contestación fue 1, Bayona 14 de Setiembre, de morir por Isabel ii; viendo tan heroica resolución die…</t>
  </si>
  <si>
    <t>Tarancon</t>
  </si>
  <si>
    <t>…la prisión.” M. Bittleston se retira. (Chronicle.) renta propias después de una ligera discusión, y á propuesta del Sr. Martínez de la Rosa, se acordó remitir la decisión de este expediente al Estamento. FRANCIA. Los poderes del Sr. Tarancon no fueron aprobados á propuesta de la co París H de Julio. misión ; porque habiendo justificado solamente 2200 rs. de renta propia, no* podía considerarse de la misma clase la renta de la canongía y cátedra que dis El Rey de Prusia pasó por Dresde el dia 2 de este mes con dirección á fruta : esto d…</t>
  </si>
  <si>
    <t>Tarancon, D Manuel Joaquín</t>
  </si>
  <si>
    <t>D Manuel Joaquín Tarancon</t>
  </si>
  <si>
    <t>…para aplicar la pena impuesta al delito cometido. A la misma se mandó pasar el acta de la junta electoral de la provincia de «Este proyecto, formado como ya he dicho por magistrados ilustrados Soria, celebrada para reemplazar al Sr. D. Manuel Joaquín Tarancon. y de mucha práctica , presenta notables ventajas, siendo una de ellas, y de suma El Estamento quedó enterado de un oBcio del Sr. Ministro de lo Interior, importancia , la de ofrecer reunidas en un solo cuerpo todas las leyes, existen participándole haber dispuesto S. M. la Rejna Gohernadnra que para el…</t>
  </si>
  <si>
    <t>Tarancon, Manuel Joaquín</t>
  </si>
  <si>
    <t>Manuel Joaquín Tarancon</t>
  </si>
  <si>
    <t>…OVINCIA ti SORIA, anunciándoles que en caso de no obedecer se recurrirá a la fuerza. La salud da Sr. D. Ramón Carrillo . marques de la Vilitefia. 3- hí. el B.ey Othbn continuaba siendo satisfactoria, y el amor de la tucion á St.D.D. Manuel Joaquín Tarancon. m Soberano, y la confianza de la misma en su» .intencionen aumentaba de día aa dia. (¿Monitor."} provincia db vaibncia. Sr. D. Pedro Fuster. J Sr. D. Juan Subclase. r. D. José Ciscar. | Ír. D Antonio Ayajga, j) Madrid k, dr Julio. Sf. D. Ildefonso Diez dé Rivera» conde dtAlmorÍ0*pi. ttBOCrptt DE PR…</t>
  </si>
  <si>
    <t>…a aplicar la pena impuesta al delito cometido. A la misma se mandó pasar el acta de la junta electoral de la provincia de «Este proyecto, formado como ya he dicho por magistrados ilustrados Soria, celebrada para reemplazar al Sr. D. Manuel Joaquín Tarancon. y de mucha práctica , presenta notables ventajas, siendo una de ellas, y de suma El Estamento quedó enterado de un oBcio del Sr. Ministro de lo Interior, importancia , la de ofrecer reunidas en un solo cuerpo todas las leyes, existen participándole haber dispuesto S. M. la Rejna Gohernadnra que para el…</t>
  </si>
  <si>
    <t>Tarancon, Se-rcUrio do Eiquín</t>
  </si>
  <si>
    <t>Se-rcUrio do Eiquín Tarancon</t>
  </si>
  <si>
    <t>…e ha servido S. M. la Rf.pía D*os guarde i V. E. muchos añas. Cuartel ceneral de Vil.arcavo 2J. de Se Gobernadora presentar para la iglesia y obispado de Zamora á D. Manuel Joa tiembre de 1834- = Excmo Sr.rrJo-jé Man*#.zc: Excmo. Sr. Se-rcUrio do Eiquín Tarancon , canónigo doctoral de ia íunta iglesia catedral de Vaüadoiid, Udo V dei Despacho de la Guerra. y provisor y vicario general de aquella diócesis. El mismo capitán general añade: que el coronel Escalera habla vuelto h Soncil ú», de donde 1c dÓM parte c^n igual fecha dei ¿4, de que algu- os faccioso*…</t>
  </si>
  <si>
    <t>Taricgo, Santos Navarro</t>
  </si>
  <si>
    <t>Santos Navarro Taricgo</t>
  </si>
  <si>
    <t>…ila á D. Jacobo Ulioa, que lo es de Bera electiva ? Estarna? convencidos de que no. jar; para este á D. Juan Víctor Navarro, que lo es de Lerma ; para este a Con igual sentimiento hemos visto que con la misma injusticia y por se- D. Santos Navarro Taricgo; para d de Hsro á D. Antonio Martínez Gil; viajante motivo se censura al conde .de Villa Real, porque se Opuso á e$a para el dé Alora á D. Manuel López Gallego, que lo es de Casares ; para el de raiints rsnrt li cuyos principios fue siempre contrarío. El que .con sinceridad Avila á D José Cuenca, q…</t>
  </si>
  <si>
    <t>Tarín, José</t>
  </si>
  <si>
    <t>José Tarín</t>
  </si>
  <si>
    <t>…los bienes de todos aquellos que constare -haber abandonado sus domicilios pora incorporarse en las facciones. (Nú— AMDMCIOS. . mero: 251,) . .1 ' ___ mandandb qué sean extrañados de estés reinos- DI Vicente Batanero y geñerales D. José Tarín, y que se.ocupen sus temporalidades. (Id.) Tos días Real órden acompañando i una instruccion para el régimen y gobierno de, las ------Elementesnatura en la RealMescuelaexteriorde AtlVeterinariacaballo, porde estaD. Nicoláscune. EnCasas,elloscatedmfcose manifiestadelasestacualiasig ...¡gpgreiaAde pr…</t>
  </si>
  <si>
    <t>…ar los bienes de todos aquellos que constare -haber abandonado sus domicilios pora incorporarse en las facciones. (Nú— AMrtMCIOS. . mero: 251,) . ; ___ mandandb qué sean extrañados de estos reinos- DI Vicente Batanero y generales D. José Tarín, y que se.ocupen sus temporalidades. (Id.) Tos diss Real órden acompañando i una instruccion para el régimen y gobierno de, las ------Elementesnatura en la RealMescuelaexteriorde AtiVeterinariaCaballé, porde estaD. Nicoláscurre. EnCasas,elloscatedmfcoae manifiestadelasestacualiasig ...¡gpgjeiaAde p…</t>
  </si>
  <si>
    <t>TARRAGONA, Zur PROVINCIA BE</t>
  </si>
  <si>
    <t>Zur PROVINCIA BE TARRAGONA</t>
  </si>
  <si>
    <t>…29 de Noviembre próximo pasado se disfrutaba de perfecta salud en esta capital y su provincia. Según la noticia publicada en Roma el mes de Junio, el sacro colegio se cohiponia de 58 cardenales , de los cuales debe descontarse el cardenal Zur- PROVINCIA BE TARRAGONA. la que acaba de fallecer: 6 había del orden de obispos, 4-3 del orden de sa cerdotes, y 9 del de diáconos. El decano del sacro colegio es el cardenal Pacca; Según manifiesta su gobernador civil en oficio de 25 del mes último, ha el primero del órden de los sacerdotes es el Sr. cardenal'Brancadono, arz…</t>
  </si>
  <si>
    <t>Tarrius, Bernardo de Borjas</t>
  </si>
  <si>
    <t>Bernardo de Borjas Tarrius</t>
  </si>
  <si>
    <t>…ento 'exacto ele* tu situación , y promover el arreglo de los - Extracto del parte remitido por el subdelegado de Fomento de Uíprovln. unos y la mejora de lo? otros. Entre tanto para cumplirlos benéficos deseos de cía de Alicante D. Bernardo de Borjas Tarrius, con fecha de 18 &lt;¡le Abril S» M. la REiNA-Gobernadóra ha acordadb coo-U ¡unta de la Real casa de Mi* último. \ seWcordia de aquella ciudad algunos medios prontos dé socorrer la necesidad en Ha forfnado un expediente con el objeto de encontrar el modo de crear que se halla* ** una especie de fondo…</t>
  </si>
  <si>
    <t>…a. s Excmo. Sr.: El coronel comandante de armas en Balmaseda con fecha de Extracto del parte remitido por el gobernador civil de la provincia de Ali ayer á las ocho y media de la mañana me dice lo que sigue: »Excmo. Sr.: El cante D. Bernardo de Borjas Tarrius con fecha de Jd de Junio último. Sr. coronel del regimiento provincial de Logroño D. José María Qnntana, ge- Las cosechas serán buenas, excepto en el término de Monovar y el de Elda fe de la 3.1 brigada de la división de operaciones de Castilla la Vieja, con fe- que han quedado enteramente destruid…</t>
  </si>
  <si>
    <t>Tarrius, Bernardo de Borjas y</t>
  </si>
  <si>
    <t>Bernardo de Borjas y Tarrius</t>
  </si>
  <si>
    <t>…xima guerra oriental, sus proyectos de trabajos industriales y de civilización. cargo déla de Alicante, vacante por la. elección que me he servido Está fundando actualmente una escuela politécnica dividida «i dos ramos, hacer de D. Bernardo de Borjas y Tarrius para el de contador de escuela teórica y escuela frrái tica ; se ocupa también con mucha actividad en la reorganización de todas las escuelas militares, cuya dirección ha encomenda la Real.Casa y Patrimonio. Tendréislo.entendido, v dispondréis lo do á Solimán-bey. Este general, á quien hacen muy á…</t>
  </si>
  <si>
    <t>Taubia, Joaquín</t>
  </si>
  <si>
    <t>Joaquín Taubia</t>
  </si>
  <si>
    <t>…os: al capitán graduado deteniente coronel del regimientp del Infante, 5.° de línea, D. Isidro Pigem; al referido capitán D. Lucas Pineiro; á los te . Habiéndose declarado Vacante la plaza de oficial segundo de la contadu nientes D. Joaquín Taubia, con grado de capitán; á D. Pedro Arnau, y á los ría de Propios de Orense, se ha dignado S. M. conceder el ascenso i ella al subtenientes del 12 de línea D. Carlos Senesplcda, que desempeñando las fun oficial tercero D. Roque Soriano, y nombrar para cata resulta á D. Pedro de ciones de ayudante con…</t>
  </si>
  <si>
    <t>Tavares, Leonel</t>
  </si>
  <si>
    <t>Leonel Tavares</t>
  </si>
  <si>
    <t>…s de haber mostrado esta inscripción á sus vecinos, volvió á soltar Concluida la lectura dijp el Sr. Presidente que se principiaba á discutir el ave. este dictamen en su totalidad. Muchas voces. «A la votación! A la votación!” El Sr. Leonel Tavares hizo algiinas breves reflexiones aprobando en ge ——Una carta del 14 del corriente de Berlín dice: Noticias de Varsovia anun neral el proyecto, exponiendo sin embargo algunas razones para demostrar qué cian que el cuerpo del general Rudiger, acantonado hasta aquí en el Palati- seria conveniente alte…</t>
  </si>
  <si>
    <t>…ber manifestado las muy feliz resultado, habiendo sido la que mav respeto impuso á los rebeldes: razones en que fundaban su opinión. se manda en ella que los paisanos, Jo*, eclesiásticos, los oficiales, Jos eefes de Se lamentó él Sr. Leonel Tavares de no tener á la vista una ley que se cuerpos no d.sciplinados, en una palabra, todos los individuos no regimenta hizo en un país extrangeio, en circunstancias análogas, y en vytud de la cual dos que fuesen cogidos cón las armas en la mano, sean inmediatamente juz fue fusilado Joaquín Murat en cuanto…</t>
  </si>
  <si>
    <t>Tbarz, Antonio</t>
  </si>
  <si>
    <t>Antonio Tbarz</t>
  </si>
  <si>
    <t>…ello resultase amenazado el re Ssirgos 14 de Octubre. poso de nuestros vecinos, nosotros no dejaríamos de adoptar inmediatamente las medidas convenientes para impedir aquellas. El ayudante del regimiento de húsares de la Princesa D. Antonio Tbarz, El Estado de Berna, conforme á la declaración hecha el 22 de Julio en que iba en persecución de facciosos, llegó al pueblo de Quintanilla al amane el seno de la alta Dieta, y en unión con el Estado de Lucerna, cumplirá fiel cer del dia de ayer; y habiendo encontrado tres facciosos á la salida de d…</t>
  </si>
  <si>
    <t>Tbarz, D Antonio</t>
  </si>
  <si>
    <t>D Antonio Tbarz</t>
  </si>
  <si>
    <t>…es, y de ello resultase amenazado el re Ssirgos 14 de Octubre. poso de nuestros vecinos, nosotros no dejaríamos de adoptar inmediatamente las medidas convenientes para impedir aquellas. El ayudante del regimiento de húsares de la Princesa D. Antonio Tbarz, El Estado de Berna, conforme á la declaración hecha el 22 de Julio en que iba en persecución de facciosos, llegó al pueblo de Quintanilla al amane el seno de la alta Dieta, y en unión con el Estado de Lucerna, cumplirá fiel cer del dia de ayer; y habiendo encontrado tres facciosos á la salida de d…</t>
  </si>
  <si>
    <t>Tclayo</t>
  </si>
  <si>
    <t>…onumentos que réprésántáft Itfs rtvge4 iñuitar*és de flfertfrtbs cuéi*fiós qué han Consejo Real de España é Indias. (Id.) sqrvido de custodié a los Soberanos* ¿esde Ja restatiTac¿on de Monarquía goda ¿un pficií*! escritas por Rey D. Tclayo: el de la antigua guardia ReaJ. IJn tumo en 4.0. - nombrando al consejero de Estado honorario D. Antonio Martínez, de-i- de.181-8, á ^0 rs. pasta rustica. edición y cano de la sección de Hacienda'del mismo Consejo. (Id.) ■ , . ... .___ nombrando para la sectioh de Hacienda del mismo Consejo * D Fra…</t>
  </si>
  <si>
    <t>…e Guerra del ríos monumentos que réprésántáft Itfs rtvge4 iñuitar*és de !{&gt;$ dfcrtfrtbs ctí&amp;pos qué han Consejo Real de España é Indias. (Id.) sqrvido de custodié a los Soberanos* ¿esde Ja restatiTac¿on de rtaonarquíu goda el Rey D. Tclayo: escritas por ¿mjpficji*! de la antigua guardia ReaJ. IJn tumo en 4.0. - nombrando al consejero de Estado honorario D. Antonio Martínez, de-i- edición de.181-8, á £0 rs. pasta y rustica. cano de la sección de Hacienda'del mismo Consejo. (Id.) ■ , . ... .___ nombrando para la sectioh dé Hacienda del…</t>
  </si>
  <si>
    <t>Tclayo, D</t>
  </si>
  <si>
    <t>D Tclayo</t>
  </si>
  <si>
    <t>…os monumentos que réprésántáft Itfs rtvge4 iñuitar*és de flfertfrtbs cuéi*fiós qué han Consejo Real de España é Indias. (Id.) sqrvido de custodié a los Soberanos* ¿esde Ja restatiTac¿on de Monarquía goda ¿un pficií*! escritas por Rey D. Tclayo: el de la antigua guardia ReaJ. IJn tumo en 4.0. - nombrando al consejero de Estado honorario D. Antonio Martínez, de-i- de.181-8, á ^0 rs. pasta rustica. edición y cano de la sección de Hacienda'del mismo Consejo. (Id.) ■ , . ... .___ nombrando para la sectioh de Hacienda del mismo Consejo * D Fra…</t>
  </si>
  <si>
    <t>…ón de Guerra del ríos monumentos que réprésántáft Itfs rtvge4 iñuitar*és de !{&gt;$ dfcrtfrtbs ctí&amp;pos qué han Consejo Real de España é Indias. (Id.) sqrvido de custodié a los Soberanos* ¿esde Ja restatiTac¿on de rtaonarquíu goda el Rey D. Tclayo: escritas por ¿mjpficji*! de la antigua guardia ReaJ. IJn tumo en 4.0. - nombrando al consejero de Estado honorario D. Antonio Martínez, de-i- edición de.181-8, á £0 rs. pasta y rustica. cano de la sección de Hacienda'del mismo Consejo. (Id.) ■ , . ... .___ nombrando para la sectioh dé Hacienda del…</t>
  </si>
  <si>
    <t>Tcrnindo</t>
  </si>
  <si>
    <t>…inclinen a darle glgun crédito. Sm embargo nada hemos oído pr¿fiufido,dolar por la incspepada r iemifiranaxnup.rle del mejor dedos Reres, I" rázppes en queap apoya esta intervención. (CuüúsQ ~ del augusto Esposo de V, M., défSr. D. Tcrnindo vu (Q. E. S. G. E.), no — ----Ayer á las seis de la tarde murió en Dropmore el respetable lord Gren- '.pueble, menos de sentir la pérdida del gran Monarca , del Padre de la? Espinas, ville á lai edad de ,74 años: hacia tiempo que sé había retirado enteramente de qúe parlicularmente lo fue .de .esta…</t>
  </si>
  <si>
    <t>Tegeiro, Juan</t>
  </si>
  <si>
    <t>Juan Tegeiro</t>
  </si>
  <si>
    <t>1298 t '' hienun___________deber penoeo que„ venimos._ ir , y tolo puede aliviá-t nuékro sen^ y dÓ del S.° de ligeros i la del capitab D. Juan Tegeiro y dL alférez D. Gabriel timiento la dicha de ver que la hija augusta dél regenerador y libertador de la de Castro; y que la infantería del regimiento provincial de Plasehciá, mandada patria, el grande héroe qup ya fue nuestro Rey y Regente, ocupa hoy" el trono por el eapitan de cazadores D. Pedro Jua…</t>
  </si>
  <si>
    <t>Tegerina, Gerónimo</t>
  </si>
  <si>
    <t>Gerónimo Tegerina</t>
  </si>
  <si>
    <t>…os. Se hallan repartidos en los departamen D. Juan Rodríguez Cj1:: cora la de Villarcayo á D. Lorenzo Cobo de tos del Bocal y términos de la ciudad de Zaragoza; y las personas que quieran Héras: para la de Melgar de Fernamental á D. Gerónimo Tegerina: para la hacer algunas compras deberán tratar con la administración general estableci de Aranda de Duero á D. Ramón Pardo y Osorio: para la de Cabuérniga á da en Zaragoza, por la que se comunicarán las órdenes competentes á los encar D. Andrés Gabriel Cánovas: para la de Castrourdiales á D. Alejo L…</t>
  </si>
  <si>
    <t>Tegidor</t>
  </si>
  <si>
    <t>…lustre ayun ra señaladas al efecto; y estando formado el cuerpo, saldrá Ucomisión de ayun tamiento, los Sres. gefes de la hacienda civil y militar, y ios Sres gefes y ofi tamiento, asistida del escribano, y pasará 4 la morada del señor Tegidor alfé ciales de ta guarnición con un lucido concurro. rez Real, quien con los reyes de armas, el scñqr regidor gentilhombre de El Excmo. Sr. comandante general entregó la bandera al digno coman cámara de S. M* con entrada D. José Marta Luna, y Lie. D. Francisco José dante del batallón, quiea'la tuvo…</t>
  </si>
  <si>
    <t>Tegner, Isaías</t>
  </si>
  <si>
    <t>Isaías Tegner</t>
  </si>
  <si>
    <t>…par Id. sin ínteres, 10f y 11 al contado: 12 í 60 d. £ 6 vol.: 12 k 60 d. f. i val. á aró tido de la escuela moderna. La Suecia cuenta entre sus poetas algunos ingenios de i p. 100. r de-primer órden rá cuya cabeza ^descuella el obispo Isaías Tegner, autor del Acciones----------------------------------dei banco español, :00. camÍto*. ' .............. Frichcof y de Axel. Melancólica y btillínte , preserttándose siempre ba|o las formas mas audaces y originales, la poesía de Jiguir recucrd.1 juntamente el Amsterdam, 00.' París, 16-2 i 3. Cádiz, l…</t>
  </si>
  <si>
    <t>Tei, Rainon</t>
  </si>
  <si>
    <t>Rainon Tei</t>
  </si>
  <si>
    <t>…ríncipe la cruz de Isabel con la alta paga. S. M. ción del Emperador. Dios guarde á V. E. muchos años. Golegana 18 sin embargo resolverá lo que sea de su soberano agrado. Dios guar de Mayo de 1834 á las 1Q de la mañana. '= Excmo. Sr.=Rainon Tei- de á V. E. muchos años. Vitoria 20 de Mayo, de 1834.—Excmo. Sejciro.=Excmo. Sr. general en gefe del ejército de operaciones de ñor.=Joaquin de Osma.=Exemo. Sr. Secretario de Estado y del Des Portugal.=Es copia.=José Ramón Rodil. pacho universal de la Guerra. En Extremadura se habrán reunido las fuerza…</t>
  </si>
  <si>
    <t>Teieiro, D Ramón</t>
  </si>
  <si>
    <t>D Ramón Teieiro</t>
  </si>
  <si>
    <t>…ÍIou 101&gt;f*N«« GACETA EXTRAORDINARIA DE MADRID ' i DEL SABADOS 1 DE MAYO DE 1834ARTICULO DE OFICIO. El general en gefe del ejército de operaciones de Portugal por extraordinario dice al Sr. Ministro de la Guerra lo que sigue: »El coronel D. Ramón Teieiro, mi primer ayudante de campo en el cuartel general del Sr. duque de Terceira, con fecha de ayer á las once de la noche en Evora Monte, que acabo de recibir en este momento que me apeo dé hacer un reconocimiento sobre Yelves, me dice lo siguiente; » Excmo. Sr.: Al llegar á este punto á las siete y m…</t>
  </si>
  <si>
    <t>Teieiro, Ramón</t>
  </si>
  <si>
    <t>Ramón Teieiro</t>
  </si>
  <si>
    <t>…&gt;f*N«« GACETA EXTRAORDINARIA DE MADRID ' i DEL SABADOS 1 DE MAYO DE 1834ARTICULO DE OFICIO. El general en gefe del ejército de operaciones de Portugal por extraordinario dice al Sr. Ministro de la Guerra lo que sigue: »El coronel D. Ramón Teieiro, mi primer ayudante de campo en el cuartel general del Sr. duque de Terceira, con fecha de ayer á las once de la noche en Evora Monte, que acabo de recibir en este momento que me apeo dé hacer un reconocimiento sobre Yelves, me dice lo siguiente; » Excmo. Sr.: Al llegar á este punto á las siete y m…</t>
  </si>
  <si>
    <t>Teijeiro</t>
  </si>
  <si>
    <t>…scabrosidad de los montes que orden de S. M. la augusta Reina Gobernadora. hemos recorrido no ha permitido recoger todo el friyo que era ile esperar de esta dispersión. Los enunciados cuatro batallones y caba El fiarte citado del coronel Teijeiro, es como sigue: llería se han dirigido á diversos puntos en grupos, á los cuales perse Excmo. Sr.: En la marcha de ayer, que dista una legua larga guiré incesantemente. La-pérdida del enemigo debe haber sido con de este punto, no ha ocifrriijo novedad alguna. Acaba de presentarse siderable, sin que…</t>
  </si>
  <si>
    <t>Teijeiro, Ramón</t>
  </si>
  <si>
    <t>Ramón Teijeiro</t>
  </si>
  <si>
    <t>…i*’.) lentísimo Sr. Secretario de Forado y del Despacho de ¡a Guerra lo que sigue: Externo. Se.: A ¡as tres de U madrugada de hoy he recibido del brigadier ----- ’El Diario de Munich anuncia que el gobierno de Bavirra, por ún de- D. Ramón Teijeiro desde Lisboa, fecha 3 dei veniente, á las-cin-io de U ur trato &lt;kl 12, ha nombrado al coronel Wiltian» Lesuiro , general y ministro de, la comunicación siguiente:</t>
  </si>
  <si>
    <t>…Con ésta noticia, y Suponiendo que ellos'no esperarían, traté de saiirles alsol reeibí el oficio que incluyo en copia áV. E. Jel coronel mi pri encuentro hoy al amanecer por donde calculé efeetuarian»su movimer ayujante Je campo D. Ramón Teijeiro, cerca del Sr. Duque Je Terceira, el cual en carta particular Jel 18 á las once'de la ma miento. Con efecto, me dirigí un rato sobre el camino de Rigoitia, y tomando despnes á la izquierda, marché á tomar las alturas de Sanñana en Golegana, añade lo siguiente: . fe.. . •&gt;Segun parece la acción de l…</t>
  </si>
  <si>
    <t>Teijido, Josefa</t>
  </si>
  <si>
    <t>Josefa Teijido</t>
  </si>
  <si>
    <t>…é mas descuidada la instrucción elemental. En 1829 existían en Fran de 1808 en Madrid, ha cabido en suerte con el primer extracto ¡de. la de este cia para la enseñanza superior 38 colegios Reales, 317 colegios de provincia, dia á Doña Josefa Teijido, hija de D. Pascual, contramaestre de la Real,ar y mas.de 1300 instituciones particulares. En los Países-Bajos había en 1829 mada , muerto en el campo del honor. un alumno de los gimnasios sóbre 859 habitantes: en Austria había en la" misma época 128 gimnásticos frecuentados por 283 alumnos, esto e…</t>
  </si>
  <si>
    <t>Tejada</t>
  </si>
  <si>
    <t>…” güna en que se señale un término: se podría decir que se principie en Enero, El Sr- Secretario del Despacho de Hacienda: «Yo no he entendido bien y que el pago te hará en primeros‘de julio- El inconveniente que hay es si al al Sr. Tejada; pero me que ha dicho que se da preferencia á la deuda gunos no se presentan á la liquidación; y para esto es necesario poner un artí moderna respecto de la antigua. No veo que haya tal preferencia, á no ser por culo , diciendo que quedan sin derecho á la cobranza de los intereses. La ma que se pon…</t>
  </si>
  <si>
    <t>…l otro caso es cuando ha ttto y sus intereses. Este argumento , como otros muchos, deslumbran i prime llándose ia Nación en calma y quietud, trata de establecer una nueva adminis ra vísM, pero no convencen , como ya ha probado el Sr. Tejada; y yo solo tración; y en este tránsito de un sistema á otro, necesita también recurrir á un afudiié que por el mismo argumento todo inquilino que vive por muchos años empréstito. Aun en estos dos casos la experiencia ha enseñado á los gobiernos Jo en una casa, podría alegar que era suya, pues había…</t>
  </si>
  <si>
    <t>Tejada, Crespo</t>
  </si>
  <si>
    <t>Crespo Tejada</t>
  </si>
  <si>
    <t>…labra pudiese, y ‘decir que el quide , antes cobrará; y siendo tan justa la deuda de unos como la de otros, se Gobierno en unión con las Córtes creare.'’ ria muy regalar que hubiera un plazo determinado para que todos cobrasen El Sr. Crespo Tejada: «El Gobierno puede crear ahora un empréstito á, un tiempo. de trescientos ó cuatrocientos millón», y después otro tanto; y no sé por qué El Sr. Secretario del Despacho de Hacienda : «No tengo dificultad al- se ha de dar preferencia á la que se cree ahora, sobre las deudas antiguas ” güna en que se…</t>
  </si>
  <si>
    <t>…retiró su adición por haberse aprobado ya y se encontró posibilidad para ello.” la anterior en que ataba refundida. El Sr. marques de Montévírgen: «Me parece que se puede conciliar el No se tomó cn consideración la siguiente del Sr. Crespo Tejada: «Las justo deseo del Sr. Atocha por un medio que someto á las luces del Gobierno, obligación» de la deuda pasiva se compondrán de la que resulten de la liqui y qne se puede sdoptar si no tiene inconveniente, á saber; capitalizadas los in dación de la deuda actual y los interesa de los bonos de Cor…</t>
  </si>
  <si>
    <t>…propone el Gobierno, porque, co $oTo El Sr. G*rcú Carrasco pidió que se preguntase si estaba el artículo emp¡eza*á pagar la mitad , sino que no se pierde la esperanza de cobrar el res suficientemente discutido; y manifestando el Sr. Crespo Tejada que en un to cuando las circunstancias de la Nación lo permitan; y estas lo permitirán apunto tan inleTvsnnte v de tanta trascendencia solo se habia ordo á un indivi con las mecadas interiores que se^ tomen, y otros arreglos que por necesidad in duo de la comisión , cuando otros querian hablar á fi…</t>
  </si>
  <si>
    <t>Tejada, Crispo</t>
  </si>
  <si>
    <t>Crispo Tejada</t>
  </si>
  <si>
    <t>…se intercale esa «Los ingresos dé las contribuciones actuales no alcanzan á cubrir las ¿cm cláusula favorable i los tenedores de bonos de Córtes, ■ terceras partes de los gastos; y si por otro lado consideramos lo borrascosas i51 Sr. Crispo Tejada: «.Observo que -vebrmos todos i parar th uir pun que son las- menorías dé los tronos, las opiniones encontradas existentes, y que to principal, cual es el,saber si tendremos ó no tendremos crédito,. El proyec no nos es dado desconocer , la necesidad dé restablecer y de sostener ia paz, to qúe sé di…</t>
  </si>
  <si>
    <t>Tejada, D Francisco Crespo y</t>
  </si>
  <si>
    <t>D Francisco Crespo y Tejada</t>
  </si>
  <si>
    <t>…oa, gobernador civil de la mismiproviñciai $, A., el cual acompañado de su edecán y del mayordomo de la Reina se di Sr. D. Miguel de la Torre, hacendado. rigió al palacio de S. James. Después de un corto descanso salió para Wind— Sr. D. Francisco Crespo y Tejada, propietario y comerciante. sor. {Post.) " ^ Sr. D. Julián Anaya , hacendado. -------------------.— ~ mili lll li _________ , *Bl capitán ©. Olpps^del cuerpo de ingenieros, ha sido nombrado secre tario particular del nuevo primer lord del almirantazgo. {Herald.) Partts rteibidos tn la Sserstaría ds…</t>
  </si>
  <si>
    <t>Tejada, Fr Juan Josef</t>
  </si>
  <si>
    <t>Fr Juan Josef Tejada</t>
  </si>
  <si>
    <t>…religión augusta que profesamos. fr acudir con oportunidad adonde mas se necesitase Tan sencilla medida me pro porcionaba tener á la mafio toda la fuerza, y disponer de ella con la utilidad que me propuse. El Sr. obispo déSolsona D. Fr. Juan Josef Tejada, del orden de Mercena- Los enemigos al ver envueltas mis guerrillas por las nuestras, v los acerta I nos*5, ha expedido una pastoral con fecha J£ de Diciembre último, inculcando dos tiros de nuestra artillería dirigida por el teniente ,D. Joaquín Salvador, mo I la paz y la concordia evangélica á su…</t>
  </si>
  <si>
    <t>Tejada, Francisco Crespo y</t>
  </si>
  <si>
    <t>Francisco Crespo y Tejada</t>
  </si>
  <si>
    <t>…gobernador civil de la mismiproviñciai $, A., el cual acompañado de su edecán y del mayordomo de la Reina se di Sr. D. Miguel de la Torre, hacendado. rigió al palacio de S. James. Después de un corto descanso salió para Wind— Sr. D. Francisco Crespo y Tejada, propietario y comerciante. sor. {Post.) " ^ Sr. D. Julián Anaya , hacendado. -------------------.— ~ mili lll li _________ , *Bl capitán ©. Olpps^del cuerpo de ingenieros, ha sido nombrado secre tario particular del nuevo primer lord del almirantazgo. {Herald.) Partts rteibidos tn la Sserstaría ds…</t>
  </si>
  <si>
    <t>Tejada, Patricio Martin y</t>
  </si>
  <si>
    <t>Patricio Martin y Tejada</t>
  </si>
  <si>
    <t>…ñores cuyos poderes han sido aprobados, y no se túne noticia del motivo de acontecimiento, £ pisar de estar ya el día señalado por él Gobernador, civil, im no haberse presentado. pidió que aquella tuviera efecto. ... ", Avila, re D. Patricio Martin y Tejada. «Las ordenes para la elección del Procurador que debió, reemplazará Don Lugo. — D. José Becerra. José Plandolit, fueron comunicadas con la mayor celeridad, y por consi Otense. = Di Manuel María Losada. guiente poco podrá retardarse la presentación de su reemplazo. Zamora. i= D. Manuel VillacKica. •runo…</t>
  </si>
  <si>
    <t>Tejeiro, Fernando</t>
  </si>
  <si>
    <t>Fernando Tejeiro</t>
  </si>
  <si>
    <t>…ico r atlas, pasarán á la 1 ibreria de Raw pudr ¿'Portugal en un íaud el ayuda de cámara del Pretendiente llamado Sa- la á arcoger el cuaderno , numero 7 del tomo 10, con los mapas 33 y 3 , (Estados uitfc cancll, D. Manuel Selvaj D. Fernando Tejeiro y un tal Quintana, quienes tó- dos, y el de la nueva Granada y Caracas), y adelanta» el importe délos siguientes. maton b costa de Villareal de S. Antonio y se pusieron en precipitada fuga, Continua la suscripción. Cuaderno de reglas y advertencias para la instrucción del recluta, y prevencÁ* temiend…</t>
  </si>
  <si>
    <t>Tejeiro, Manuel Selvaj D Fernando</t>
  </si>
  <si>
    <t>Manuel Selvaj D Fernando Tejeiro</t>
  </si>
  <si>
    <t>…ccionario geográfico r atlas, pasarán á la 1 ibreria de Raw pudr ¿'Portugal en un íaud el ayuda de cámara del Pretendiente llamado Sa- la á arcoger el cuaderno , numero 7 del tomo 10, con los mapas 33 y 3 , (Estados uitfc cancll, D. Manuel Selvaj D. Fernando Tejeiro y un tal Quintana, quienes tó- dos, y el de la nueva Granada y Caracas), y adelanta» el importe délos siguientes. maton b costa de Villareal de S. Antonio y se pusieron en precipitada fuga, Continua la suscripción. Cuaderno de reglas y advertencias para la instrucción del recluta, y prevencÁ* temiend…</t>
  </si>
  <si>
    <t>Tejera, Josef</t>
  </si>
  <si>
    <t>Josef Tejera</t>
  </si>
  <si>
    <t>…igencia y cumplimiento. j-ekfpara la conservación de la tranquilidad en todo el maestrazgo. Dios guarde Salamanca 18 de Enero de 1834-=Joscf María Cambioucro.ccJuan de .la Ucy. R muchos años. Valencia 4 de Febrero de 1834-=Excmo. Sr.—Josef Tejera, secretario. I Martínez San Martin.;=Excmo. Sr. Secretario de Estado y del Despacho de la I Guerra. SEGUNDA CIRCULAS. Siendo necesaria y aun indispensable en todos tiempo*, y especialmente, en (Nota de los que han sido fusilados. El capitán de infantería ilimitado en los principios de una autoridad…</t>
  </si>
  <si>
    <t>Tejera, Juan de la</t>
  </si>
  <si>
    <t>Juan de la Tejera</t>
  </si>
  <si>
    <t>…poco debe capitularse entre las epidémicas; pues cuando estas existen, hacen y generosos, he acordado que una junta compuesta de mí como presidente, de que todas las que aparecen se revistan del mismo carácter, alterando el curso D. Juan de la Tejera, secretario de esta subdelegacion como vicepresidente, regular de las demás enfermedades, lo que en verdad no sucede asi; pues las y'de los Sres. D. Antonio Calama, canónigo de esta Sta. iglesia catedral; Don que esporádicamente se presentan siguen su marcha regular; y por último, que1 Cayetano de…</t>
  </si>
  <si>
    <t>Tejerina, Gerónimo</t>
  </si>
  <si>
    <t>Gerónimo Tejerina</t>
  </si>
  <si>
    <t>…ovincia, y el zelo con que las autoridades concurrieron al eslerminio del «No puedo pasar en silencio la decisión y entusiasmo del corregidor de «ti Lochohabrá hecho retraer á este de la idea de atravesar por aquella parte; villa D. Gerónimo Tejerina; pues en el momento que supo nuestra repeutira pues según' manifestaba el referido comandante de armas de Mérida, parece que llegada, salió al camino, indicando y dirigiéndome por donde marchabad su facción se habia dirigido por otro punto. enemigo, animando á la tropa al tiempo que pasaba por su l…</t>
  </si>
  <si>
    <t>Tejero, D Ramón</t>
  </si>
  <si>
    <t>D Ramón Tejero</t>
  </si>
  <si>
    <t>…imientos que b_ M. juzga voincrucuk-'. , (¡ce son cab.no -.coi e I-.., Capitanía general de Ext remadura.^Ejércíto de operaciones en Portugal." mismos que V. F~ v \o hemos concertado. La deirou d.cl encaLum ha i Jo Kxtmo. Sr.: El coronel D- Ramón Tejero, re&gt;¡denie en el cuartel general del culera y completa: el número de prisioneros excede de se han wociJo H Sr. duque de Terceira, en 16 del actual desde Atalaya, me dice lo que copio: cánones btc. T o marcho hov a Goleza. Icn-jn a honor Jcc." Excmo. Sr.: A las ocho poco mas ó menos de esta manana s…</t>
  </si>
  <si>
    <t>Tejero, José María</t>
  </si>
  <si>
    <t>José María Tejero</t>
  </si>
  <si>
    <t>…cientes: en los pueblos de los partidos de Alcira y Murviedro disminuían mucho los estragos del cólera. S. M. la Reina Gobernadora, por Reales decretos, se ha servido sepa PROVINCIA DE VALLADOtm. rar de sus respectivos destinos á D. José María Tejero, alcalde mayor de Talavera de la Reina - á D. Manuel Martínez, alcalde mayor de Villadiego: á Parte sanitario de 29 de Octubre. D. Manuel Ruiz de Montoya, corregidor de Verin: á D. Francisco de Paula Rog, -trdde m-,mr de San Felipe: á D. Francisco A ntnnio_Macho Ville gas , alcalde mayor de Villare…</t>
  </si>
  <si>
    <t>Tejero, Juan</t>
  </si>
  <si>
    <t>Juan Tejero</t>
  </si>
  <si>
    <t>…memorias al secretario de la academia D. José Ramos presbítero, habiendo de ] ciudad, como vicepresidente; de D. José Perez, regidor decano dd ilustre quedar en su poder para el último día de Agosto de este año. .ayuntamiento; de D. Juan Tejero, racionero de esta santa iglesia catedral; de Ó. Luis Arrabal, procurador del común; del procurador de la tierra que se Julle en turno para asistir al ayuntamiento, y de D. Santos Aboin, coronel, Indice de los Reales decretos y órdenes publicados en este periddüo en todo #/| y de D. Carlos Mirle, i…</t>
  </si>
  <si>
    <t>…memorias al secretario de la academia D. José Ramos presbítero, habiendo de ] ciudad, como vicepresidente; de D. José Perez, regidor decano dd ilustre quedar en su poder para el último dia de Agosto de este año. .ayuntamiento; de D. Juan Tejero, racionero de esta santa iglesia catedral; de Ó. Luis Arrabal, procurador del común; del procurador de la tierra que se Julle en turno para asistir al ayuntamiento, y de D. Santos Aboin, coronel, Indice de los Reales decretos y órdenes publicados en este periddüo en todo #/| y de D. Carlos Mirle, i…</t>
  </si>
  <si>
    <t>Tele</t>
  </si>
  <si>
    <t>…bar la condición 2.a, y la sesión celebrada el 26 del corriente salieron electos secretarios del rrmmo mejorar la 3-*; y que hallándose en igual caso el Excmo. Sr. marques de Casloe Sres. D. Antonio González, D. Fermín Caballero, D. Tele&amp;foro Trueba telar , podía admitirse á jurar á dichos Excmos. Señores, bajo la condición de y\Cosío, y D. Francisco Beida. cumplir con estos dos extremos; lo que aprobó el Estamento. Otro del limo. Sr. obispo de Huesca, excusándose de asistir á las sesiones El Sr. Presidente dijo, que mediante no ha…</t>
  </si>
  <si>
    <t>Tele, D</t>
  </si>
  <si>
    <t>D Tele</t>
  </si>
  <si>
    <t>…a debía probar la condición 2.a, y la sesión celebrada el 26 del corriente salieron electos secretarios del rrmmo mejorar la 3-*; y que hallándose en igual caso el Excmo. Sr. marques de Casloe Sres. D. Antonio González, D. Fermín Caballero, D. Tele&amp;foro Trueba telar , podía admitirse á jurar á dichos Excmos. Señores, bajo la condición de y\Cosío, y D. Francisco Beida. cumplir con estos dos extremos; lo que aprobó el Estamento. Otro del limo. Sr. obispo de Huesca, excusándose de asistir á las sesiones El Sr. Presidente dijo, que mediante no ha…</t>
  </si>
  <si>
    <t>Tello, D José Burgos y</t>
  </si>
  <si>
    <t>D José Burgos y Tello</t>
  </si>
  <si>
    <t>…táculos que se en que muchos empleos de Hacienda. contraban en los pueblos con motivo de Jas medidas sanitarias; y que iba á «Mientras que hoy el militar á los 40 años de servicio tiene soTo acción emprender su viage: de otra del Sr. D. José Burgos y Tello, electo Procura á un retiro igual ó poco mas de la mitad de su sueldo, los demas empleados á dor por la provincia de Granada, en que manifestaba no haberse presentado to los 30 años gozan las cuatro quintas partes, cuya desigualdad se extiende á las davía en el Estamento por haber sido atacado del…</t>
  </si>
  <si>
    <t>Tello, José Burgos y</t>
  </si>
  <si>
    <t>José Burgos y Tello</t>
  </si>
  <si>
    <t>…los que se en que muchos empleos de Hacienda. contraban en los pueblos con motivo de Jas medidas sanitarias; y que iba á «Mientras que hoy el militar á los 40 años de servicio tiene soTo acción emprender su viage: de otra del Sr. D. José Burgos y Tello, electo Procura á un retiro igual ó poco mas de la mitad de su sueldo, los demas empleados á dor por la provincia de Granada, en que manifestaba no haberse presentado to los 30 años gozan las cuatro quintas partes, cuya desigualdad se extiende á las davía en el Estamento por haber sido atacado del…</t>
  </si>
  <si>
    <t>Tello, José de Burgos y</t>
  </si>
  <si>
    <t>José de Burgos y Tello</t>
  </si>
  <si>
    <t>…erratnonj.fjof;jRy id_ „ &gt;A propuesta del tnismo Sr. duque de Rivas acordó el Estamento se im-' Conde de Villatnena , por GrSliada', por enfermo. , pellín esc la. sesión del día 3 del 3ctual, cu que se trató de la exclusión de la D. José de Burgos y Tello. por id., id. Corona de España á D. Cárlos María Isidro Borbota .y. su descendencia; y que, D. Baltasar Carrilloí83ntique, jíóf Gliá8a1i}áirí",AfW id. se„&lt;Ljcsc al Gobierno cuide de hacerla en la imprenta Real en el mismo ta D. Joaquin María Ferrer, pqr Guipúzcoa, por hallarse comisionado en maño en…</t>
  </si>
  <si>
    <t>Ten, Francisco Basurto</t>
  </si>
  <si>
    <t>Francisco Basurto Ten</t>
  </si>
  <si>
    <t>…consejo La Reina nuestra Señora Doña Isabel n, y S. M, la Reina Real, instituido por mi decreto de 2J de Marzo último,al capitán Gobernadora, siguen en el Real sitio de Aran juez sin novedad en de navio retirado de la Real armada D. Francisco Basurto. Ten su importante salud. dréislo entendido, y lo comunicareis á quien corresponda.reSeñalaDel mismo beneficio disfrutan SS. AA. RR. los Sermos. Se do de la Real mano. = En Aranjuez á 9 de Abril de 1834-= A ñores Infantes. D. José Vázquez Figueroa. Para las plazas de ministros de la sección de Fomento d…</t>
  </si>
  <si>
    <t>Ten, Juan José FonsC-a</t>
  </si>
  <si>
    <t>Juan José FonsC-a Ten</t>
  </si>
  <si>
    <t>…íe las convribuf iones om que es'en zalea noúibrarle goberntdor civil de la provinc ia de Granada, puyo desti das, ó ert i asn le culi i va rías sus propios dueño,, r, m una i nt- •• ii a en no se Italia varante |x&gt;r dimisión 'le D. Juan José FonsC-a. Ten- en que conste lo ipe rendirían si estuviesen arrendada,, mu a fii.idréisl't entenditlo. V dispontlreis sil ruiiiplimientn.rzE,' í rubricado tirse por fianzas en ningún ca,o pecsiones quesean ¡ ni ¡ noli i, ti va, &gt; «le la Real m.iiin. = En el Pardo á 27 de SetiemLie de lti54.z:A Don no se hallen en…</t>
  </si>
  <si>
    <t>Tén, Ramón López Pelegrin</t>
  </si>
  <si>
    <t>Ramón López Pelegrin Tén</t>
  </si>
  <si>
    <t>…Justicia ¿féT dias, creado por decreto de ¿í del presente, vengo en nombrar 4 Contejo Real de España é Indias, creado por decreto de 24 del D. Mariano Milla. Tendréislo enrebdfdd; y lo comunicareis 4 presente, vengo en nombrar 4 D. Ramón López Pelegrin. Tén- quien corresponda, er Está rubricado de !a Real mano, se En Arandrécdo entendido, y lo comunicareis 4 quien corresponda.±e Esíi juez á 30 de Marzo dé i 834- —A D- Francisco Martínez de la rubricado de la Real mano¿=En Aranjuez 4 30 de Marzo de 1834* Rosa. zA ©. Nicolás María Garelly. X. IV. Habiend…</t>
  </si>
  <si>
    <t>Tena</t>
  </si>
  <si>
    <t>…cias que en esto se advierte entre unas y otras naciones , y en nada se pa drón, el canónico Echevarría, el ex-comandante de realistas de Burgos, el ex rece ia antigüedad, rigorosamente observada en Ausiria, con el giro mercantil brigadier Tena, el barón de Hervés, el gobernador de Morella, lo» cabecillas de ciertos empleos en Inglaterra, y las proporciones diversamente establecidas Eguía, Escandon, Magraner, Cuesta y otros muchos han sufrido la suerte 4 que en Francia entre el mérito y la antigüedad, á las cuales habremos de recurrir ell…</t>
  </si>
  <si>
    <t>Tendias, José María Moscoso de Altamira</t>
  </si>
  <si>
    <t>José María Moscoso de Altamira Tendias</t>
  </si>
  <si>
    <t>…JteaUí decretar. Vil , Para tá plaza de decano de la sección de Fomento del Consejo Real de España é Indias, creado por deczcto de 24 del presente, Pifa la plaza de "Presidente del Consejo Real &lt;je España ¿ tn« vengo'én nombrar á»D. José María Moscoso de Altamira. Tendias, creado ppr decreto de 24 del presente, vengo en nombrar al dréi'sío "eníendido, y lo comunicareis i quien corresponda —F«r¿ Juque de Rallen. Tcndréislo entendido, y lo comunicareis á quien» rubricado de JaReaj manocrEn Aranjuez 4 3l) de Marzo de 1834' óorresponda.eeEstá rubricado de la Réal' mano.…</t>
  </si>
  <si>
    <t>Tendráse, Fulgencio Barrera</t>
  </si>
  <si>
    <t>Fulgencio Barrera Tendráse</t>
  </si>
  <si>
    <t>…acio y Villela Polo, La Reina nuestra Señora Doña Isabel ii, y S.M la Reina Gobernadora, en su luear á D. Pedro García del Valle, audiror de Guerra de Pamplona, á [ siguen $in novedad en su importante salud. D. Josef Aguilera y á D.-Fulgencio Barrera. Tendráse entendido en la Cáma ra para su cumplimiento.zzEstá rubricado de la Real mano.zrEn Palacio a 9 Del mismo beneficio disfrutan SS. A A. RJL los Sermos. Sres. Infantes. de Febrero de 1834..=Ai Presidente del Consejo y Cámara de Casulla. ‘ Por separación d«! alcalde de Corte del Consejo de Navarra, D.…</t>
  </si>
  <si>
    <t>Tendráse, Josef Vilanova y Jordán</t>
  </si>
  <si>
    <t>Josef Vilanova y Jordán Tendráse</t>
  </si>
  <si>
    <t>…guales en consideración y facultades, con el., . audiencia de Burgos, y para fiscales de la misma, de lo civil, a D. Josef Veo- j sueldo de 3bS&gt; rs. anuales, sin emolumentos de ninguna especie: y que el go no, y de lo criminal, á D. Josef Vilanova y Jordán. Tendráse entendido en bernador de dicha Real audiencia asigne á cada una dos de los diez cuarteles de la Cámara para su cumplimiento.=Está lubricado de la Real mano.=En Pa esta corte, para la mas ordenada administración de justicia. Tendréíslo enten lacio á 9 de Febrero de 1334--— Al Presidente del Consejo…</t>
  </si>
  <si>
    <t>Tendráse, Pedro Jiménez Navarro</t>
  </si>
  <si>
    <t>Pedro Jiménez Navarro Tendráse</t>
  </si>
  <si>
    <t>…entes de la villa y corte de Madrid, creadas por de 1834-=cAl Presidente del Consejo y Cámara de Castilla. 1 mi decreto de este día, nombro á D. Julián Sojo, D. Santos López Pelegrin ,y Exposición á S. áf. les Reisa G obcmxAoxcs. D. Pedro Jiménez Navarro. Tendráse entendido en la Cámara para su cumplímiento.=Éstá rubricado de la Real mano.=En Palacio á 9 de Febrero de 1834- Señora: -El ayuntamiento de la ciudad de Lérida, una de la* de voto en I erAl Presidente del Consejo y Cámara de Castilla. Cortes, en el momento que acaba de instalarse, faltaría á uno de…</t>
  </si>
  <si>
    <t>Tendreis, Martin Fernandez Navarrete</t>
  </si>
  <si>
    <t>Martin Fernandez Navarrete Tendreis</t>
  </si>
  <si>
    <t>…n de Marina del sus funciones. De Real órden lo comunico á V. E. para su inte consejo Real instituido por mi decreto de 24 de Marzo último, de ligencia y efectos correspondientes. Dios guarde á V. E- mucho» cuya sección es decano D. Martin Fernandez Navarrete. Tendreis- años. Madrid 17 de Abril de 1834—Búrgos. = Sr. subdelegado do lo entendido, y lo comunicareis á quien corresponda.=Está rubri Fon&amp;nto de esta provincia. cado de la Real mano. = En Aranjuez á 9 de Abril de 1834 = A D. José Vázquez Figueroa. PARTE NO OFICIAL. Para la plaza de consejero correspondient…</t>
  </si>
  <si>
    <t>Tendréislo</t>
  </si>
  <si>
    <t>…ia de Granada, José de Fita. De Real órden &amp;c. Madrid 24 de Febrero de 1834-= nombro á D. José Alvarez Pestaña, oidor cesante, con la anti Aranálde.=Sres. Directores de Rentas. güedad que le corresponda, según su primer título de magistrado. Tendréislo entendido, y lo comunicareis á quien corresponda— Está rubricado de la Real mano.=En Aranjuez á 23 de Abril „ S. M. la Reina Gobernadora se ha dignado nombrar por Real decreto de 23 del actual subdelegado de Fomento de la provinciade 1834-=A D. Nicolás María Garelly. de Santander á D. Manuel Pezuel…</t>
  </si>
  <si>
    <t>Tendréislo, Andrés Crespo Cantolla</t>
  </si>
  <si>
    <t>Andrés Crespo Cantolla Tendréislo</t>
  </si>
  <si>
    <t>…rero de Para la plaza de fiscal del supremo Tribunal de España é In 1834—Aranalde.=Sres. directores de Rentas. dias , vacante por fallecimiento de D. Miguel Lizana, vengo en Otra sobre el derecho trasversal de herencia. nombrar á D. Andrés Crespo Cantolla. Tendréislo entendido, y Jo comunicareis á quien corresponda.—Está rubricado de la Real Conformándose S. M. la Reina Gobernadora con el dictámen mano—En Aranjuez á 23 de Abril de 1834-=A D. Nicolás Ma del Consejo supremo de Hacienda , se ha servido resolver que Don ría Garelly. Santiago Feautrier está en el ca…</t>
  </si>
  <si>
    <t>Tendréislo, Antonio Remon Zarco del Valle</t>
  </si>
  <si>
    <t>Antonio Remon Zarco del Valle Tendréislo</t>
  </si>
  <si>
    <t>…. ° A mayor abundamiento esfuerzan sus sumisas súplicasal supremo poder poner &amp;■ su cargo la secretaría del Despacho de la Guerra, vacante por ejecutivo del Estado, para que sin pérdida de momento ponga por obr% U so dimisión fie D. Antonio Remon Zarco del Valle. Tendréislo enten licitud que encierra el art. 5.° de la acta celebrada el día de ayer en la capi dido; y lo comunicareis á quien corresponda.=Está rubricado de la tal , y á que se contrae este vecindario, respecto á la nrrr*.¡A*A suma, en que Real mano. =\En el Pardo á 2 de Noviembre de 1834.=A D. Fran se hal…</t>
  </si>
  <si>
    <t>Tendréislo, D Evaristo Guerra D Pedro Goosens</t>
  </si>
  <si>
    <t>D Evaristo Guerra D Pedro Goosens Tendréislo</t>
  </si>
  <si>
    <t>…o por mi decreto de 24 de Marzo último, al oficial nombre de su excelsa Hija Doña Isabel ii, que pase desde luego jubilado de la secretaría de Estado y del Despacho universal de la en misión extraordinaria á la corte de Lisboa el Sr. D. Evaristo Guerra D. Pedro Goosens. Tendréislo entendido, y lo comunica Pérez de Castro como enviado extraordinario, y ministro plenipo reis á quien corresponda. = Está rubricado de la Real mano. — En tenciario cerca de S. M. Fidelísima. Aranjuez á 18 de Abril de. 1834-=A D. Antonio Remon Zarco del Valle. Reales decretos. Habiendo fallecido D.…</t>
  </si>
  <si>
    <t>Tendréislo, D Gaspar de Vigodet</t>
  </si>
  <si>
    <t>D Gaspar de Vigodet Tendréislo</t>
  </si>
  <si>
    <t>…ejo Real de España é Indias, perfecta seguridad, que no turbará probablemente ningún fatal citado por mi decreto de 24 de Marzo último, vengo en nombrar acontecimiento. El reconocimiento militar que ha hecho una parte al teniente general D. Gaspar de Vigodet. Tendréislo entendido, de nuestra guarnición del otro lado de la tribu de Hadjut, prueba y lo comunicareis á quien correspondaj=Está rubricado de la Real que no tenemos nada que temer de parte de los árabes. Todo pues, mano. = En Aranjuez á 18 de Abril de 1834&lt; = A D. Antonio favorece ahora al gobierno para to…</t>
  </si>
  <si>
    <t>Tendreislo, Diego Clemencin</t>
  </si>
  <si>
    <t>Diego Clemencin Tendreislo</t>
  </si>
  <si>
    <t>…formar un índice solo y uniforme de los libros que deben quedar ro Rothschild va á hacer un empréstito á España, aunque otras noticias lo fuera de circulación, cuyo cargo se halla vacante por fallecimiento contradicen. £5u«.) de D. Diego Clemencin. Tendreislo entendido, y dispondréis lo ne cesario á su Cumplimiento.::Está rubricado de la Real mano.=En el ___ _Mr Cobbett llegó á Kángtown distante pocas millas de Dublin, donde T'ardo á 4 de Octubre de 1854.=A D. José María Hoscoso de Al fue recibido por el general Sir G. Cockburn, Mr. Tinn y por otros var…</t>
  </si>
  <si>
    <t>Tendréislo, Evaristo Guerra D Pedro Goosens</t>
  </si>
  <si>
    <t>Evaristo Guerra D Pedro Goosens Tendréislo</t>
  </si>
  <si>
    <t>…r mi decreto de 24 de Marzo último, al oficial nombre de su excelsa Hija Doña Isabel ii, que pase desde luego jubilado de la secretaría de Estado y del Despacho universal de la en misión extraordinaria á la corte de Lisboa el Sr. D. Evaristo Guerra D. Pedro Goosens. Tendréislo entendido, y lo comunica Pérez de Castro como enviado extraordinario, y ministro plenipo reis á quien corresponda. = Está rubricado de la Real mano. — En tenciario cerca de S. M. Fidelísima. Aranjuez á 18 de Abril de. 1834-=A D. Antonio Remon Zarco del Valle. Reales decretos. Habiendo fallecido D.…</t>
  </si>
  <si>
    <t>Tendréislo, Francisco de Gárate</t>
  </si>
  <si>
    <t>Francisco de Gárate Tendréislo</t>
  </si>
  <si>
    <t>…ópez de Alcaráz, D. Jacobo María d¡rArtículo l.° Las provincias en que se halla dividido el terri Parga, D. Niceto de Larreta y D. José Pinilla, y para secretario torio de la Península e Islas adyacentes por mi decreto de 30 de á D. Francisco de Gárate. Tendréislo ententendido, y lo comunicareis Noviembre próximo pasado, quedan subdivididas en partidos judi á quien corresponda.= Kstá rubricado por S. M—En Aranjuez á 19 ciales del modo y forma que se expresa á continuación de este de de Abril de 1834-=A D. José de Imáz Baquedano. creto (1). Art. 2.° Esta divi…</t>
  </si>
  <si>
    <t>Tendréislo, Francisco Entrambas-aguas</t>
  </si>
  <si>
    <t>Francisco Entrambas-aguas Tendréislo</t>
  </si>
  <si>
    <t>…uel Plácido Berriozabal; al Sabedor que la facción de Luqui y Latorre se hallaba en Orozmarques de Piedras-Blancas y 4 D. Juan José Recacho, y para co en número de 800 á 13 hombres, hizo que el día 15 se diri fiscal de la misma 4 D. Francisco Entrambas-aguas. Tendréislo giesen sobre este punto dos columnas en diferentes direcciones, una entendido, y lo comunicareis á quien corresponda—Está rubricado mandada por el brigadier D. Manuel Benedicto, que alarmó á los de la Real mano.rrEn Aranjuezá l.° de Abril de 1834-=A Don enemigos obligándolos á situarse sobre Villar…</t>
  </si>
  <si>
    <t>Tendréislo, Gaspar de Vigodet</t>
  </si>
  <si>
    <t>Gaspar de Vigodet Tendréislo</t>
  </si>
  <si>
    <t>…de España é Indias, perfecta seguridad, que no turbará probablemente ningún fatal citado por mi decreto de 24 de Marzo último, vengo en nombrar acontecimiento. El reconocimiento militar que ha hecho una parte al teniente general D. Gaspar de Vigodet. Tendréislo entendido, de nuestra guarnición del otro lado de la tribu de Hadjut, prueba y lo comunicareis á quien correspondaj=Está rubricado de la Real que no tenemos nada que temer de parte de los árabes. Todo pues, mano. = En Aranjuez á 18 de Abril de 1834&lt; = A D. Antonio favorece ahora al gobierno para to…</t>
  </si>
  <si>
    <t>Tendréisló, Javier de BúégOs</t>
  </si>
  <si>
    <t>Javier de BúégOs Tendréisló</t>
  </si>
  <si>
    <t>…¿ su cargo, en plimiento.=Está rubricado de la Real mano.—Fn Aranjuez á 17 nombre de mi muy amada Hija Doña lsABEiTír, la Secretaría del de Abril de 18¿4-—A D. Nicolás María Garelly. Despacho del Fomento, vacante por.renuncia de D. Javier de BúégOs. Tendréisló entendido, y lo comunicareis á quien corres- fjeseando proporcionar á D. Francisco Saenz de Tejada, oidor ponda-rcEstá rubricado de la Real mano, zu Eti Aranjuez á 17 de Me la audiencia de Granada, el honroso descanso que retlaman sus Abril de 1834-=A D. Francisco Martínez de la Rosa, Presiden-» bu…</t>
  </si>
  <si>
    <t>Tendreislo, José de Hevia y Noriega</t>
  </si>
  <si>
    <t>José de Hevia y Noriega Tendreislo</t>
  </si>
  <si>
    <t>…echos- (Dublin Registtr.) venido en nombrarle individuo de la inspección general de Impren tas y Librerías del reino, en la plaza vacante por fallecimiento de ____Um carta de Mr. O’Connell recomienda que se dé un munífico convite D. José de Hevia y Noriega. Tendreislo entendido, y dispondréis lo' á.Vir. Cobhett, y expresa e! sentimiento de no poder obsequiarle personalmente necesario á su cumpIimiento.=Está rubricado de la Real mano.= En á causa de su ausencii de Dublin. Al momo tiempo dice que espera úna visita el Pardo á 4 de Octubre de 1854. = A D. José María…</t>
  </si>
  <si>
    <t>Tendréislo, José de Iinaz</t>
  </si>
  <si>
    <t>José de Iinaz Tendréislo</t>
  </si>
  <si>
    <t>…rando su primera sesión en el din de mañana; que la compongas poner á bu cargo ia Secretaría de Estado y del Despacho universal de las autoridades y sugetos nombrados en dicha Real orden de lh da Hacienda, vacante por dimisión de D. José de Iinaz. Tendréislo en Abril de 1852, y en otras posterioras, sin mas diferencia que la de tendido, y lo comunicareis á quien corresponda. = Está rubricado de Ser presidida por el gobernador civil de la provincia, y en su defec la Real mano. = En Carabanchel á 18 de junio de 1854 = A2 Presi to por el corregidor de la'…</t>
  </si>
  <si>
    <t>Tendréislo, José Táboada</t>
  </si>
  <si>
    <t>José Táboada Tendréislo</t>
  </si>
  <si>
    <t>…en 6. ° El br. gefe político que preside este acto mandará el dia de mañana aceptar, vengo erv conferirlo al gobernador civif de k provincia de publicarlo por bando para que llegue á noticia de todos y no puedan alegar Valladolid D. José Táboada. Tendréislo entendido, y dispondréis su ignorancia; remitiendo copia de lo acordada al Sr. sub-vicegobernador del cunmlimiehtO.=Está rubricado de la Real mano. = En el Pardo á 11 Estado, y comandante general de las armas, suplicando al primero se digne de Noviembre de 1834-=A D. José María Moscoso de Altamira.…</t>
  </si>
  <si>
    <t>Tendréislo, Juan Bravo Murillo</t>
  </si>
  <si>
    <t>Juan Bravo Murillo Tendréislo</t>
  </si>
  <si>
    <t>…áttte los mismas jtízgádos ordinarios com- Regalado López Montenegro, á D. Vicente Sandino, áD. Francisco Tames Hevia, á D. José María Pardo Montenegro; ¡y para fiscal á Los actuales individuos deí venerable cabildo de la Sáiita D. Juan Bravo Murillo. Tendréislo entendido, y k&gt; comunicareis 4 iglesia de Santiago poseedores de prebendas, eanongías j beneficios, quien corresponda— Está rubricado de jta Real mano. —En ti Pardo dotados" en parte pon los productos del Voto, tendrán opcion a a 3 de Noviembre de 1834. = A D. Nicolás María Garelly. eariongíasy pre…</t>
  </si>
  <si>
    <t>Tendréislo, Mariano Milla</t>
  </si>
  <si>
    <t>Mariano Milla Tendréislo</t>
  </si>
  <si>
    <t>…retario del cónsefó Real dé España é In Para la plaza de decano de la sección de Gtacia y Justicia ¿féT dias, creado por decreto de ¿í del presente, vengo en nombrar 4 Contejo Real de España é Indias, creado por decreto de 24 del D. Mariano Milla. Tendréislo enrebdfdd; y lo comunicareis 4 presente, vengo en nombrar 4 D. Ramón López Pelegrin. Tén- quien corresponda, er Está rubricado de !a Real mano, se En Arandrécdo entendido, y lo comunicareis 4 quien corresponda.±e Esíi juez á 30 de Marzo dé i 834- —A D- Francisco Martínez de la rubricado de la Real…</t>
  </si>
  <si>
    <t>Tendréislo, Martin Fernandez Navarrete</t>
  </si>
  <si>
    <t>Martin Fernandez Navarrete Tendréislo</t>
  </si>
  <si>
    <t>…ano de la sección de Marín del Cotisejo pondi.ee Está rubríca lo de la Real nuno.ee Elt Aranjuez 4 dé Real da- España i Indias, creado por decreto de 24 del presente, Marzo de 1 B34-=A D. Nicolás María Garelly. vengo en nombrar i D. Martin Fernandez Navarrete. Tendréislo «•tendido, y bt coawnurei» 4 quien corroponda-sEsti rubricado ■ ' R M. la Reina Gobernadora, én nombre de su augusta Hija</t>
  </si>
  <si>
    <t>Tendréislo, Pedro Goosens</t>
  </si>
  <si>
    <t>Pedro Goosens Tendréislo</t>
  </si>
  <si>
    <t>…de Marzo último, al oficial nombre de su excelsa Hija Doña Isabel ii, que pase desde luego jubilado de la secretaría de Estado y del Despacho universal de la en misión extraordinaria á la corte de Lisboa el Sr. D. Evaristo Guerra D. Pedro Goosens. Tendréislo entendido, y lo comunica Pérez de Castro como enviado extraordinario, y ministro plenipo reis á quien corresponda. = Está rubricado de la Real mano. — En tenciario cerca de S. M. Fidelísima. Aranjuez á 18 de Abril de. 1834-=A D. Antonio Remon Zarco del Valle. Reales decretos. Habiendo fallecido D.…</t>
  </si>
  <si>
    <t>Tendréislo, Ventura Escario</t>
  </si>
  <si>
    <t>Ventura Escario Tendréislo</t>
  </si>
  <si>
    <t>…nuevo destino inmediatamente, y en empeñando su destino de presidente de la Dieta. conferir el gobierno civil de la misma provincia de Lérida al coro No se publicarán las resoluciones de la Conferencia celebrada en Viena; mas nel D. Ventura Escario. Tendréislo entendido, y dispondréis lo ne luego Vjue regrese el presidente de la Dieta, adoptará esu algunas resolucio cesario para su cumplimientos Está rubricado de la Real manos nes que darán á conocer la clase de instrucciones que han venido de Viena á En San Ildefonso á 17 de Julio de 1834.=A D. José Mar…</t>
  </si>
  <si>
    <t>Tenemos</t>
  </si>
  <si>
    <t>…niversal; mas ni pueden conocer donde está el mal ni cuál speytc mas venturosa, Bilbao 5 de Abril de 1834-=E1 comisario A su remedio: porque carecen de instrucción y de experiencia. r?giÓ de Vizcaya, José Alonso.=Bernardo Alonso, secretario.-’ . Tenemos un ejemplo notable de esta verdad en la reacción de 1823. Gran parte de los proletarios la aplaudieron, porque sa Madrid 19 de Abril. tisfacía sus pasión» enconadas. ¡Y cuál fue su resultado! Los pros La propiedad es, no solamente garantía de orden, sino tam critos y perseguidos, casi todos hombres…</t>
  </si>
  <si>
    <t>Tenemos, Juan</t>
  </si>
  <si>
    <t>Juan Tenemos</t>
  </si>
  <si>
    <t>…tes salió de esta ciudad á las ocho de ¿Con que la clemencia y la justicia son pruebas de miedo y co la noche, y acaba de entrar con la gloria de haber derrotado á los bardía ? rebeldes, cogiéndoles 34 prisioneros, cntíS ellos al gobernador Juan Tenemos multiplicados ejemplares, y algunas muy recitntes, Moniz Barrete, muchos armamentos, algunas municiones, un tiro de que el gobierno somete inmediatamente á fe acción do la ley í de muías, caballos y machos. Las tropas de la Re mil no han su fbdos aquellos que su vigilancia encuentra conspirando. No…</t>
  </si>
  <si>
    <t>Tenerani</t>
  </si>
  <si>
    <t>…. comóion, variando solo una palabra en el cuarto. El mismo artista debe restaurar ‘el sepulcro del Tasso y el mausoleo ele Mr. de Sismaisons propone que se intercale un párrafo pidiendo á S. M. vado en honor del Papa León xn. El Sr. Tenerani, que ha acabado hace poco anule la legislación relativa á las fortificaciones que se proyecta construir al re el monumento de la marquesa de Northampton, está ejecutando la estatua de dedor de París: pero en vista de las reflexiones que sobre el particular hace Mr. Alfonso Liguori, destinada á ador…</t>
  </si>
  <si>
    <t>Tengo</t>
  </si>
  <si>
    <t>…caso de verificarse su invasión. í)ios guardé á V. E. mu chos años. Madrid 30 de Junio de 1834. = Moscoso. = Sr. presidente Oficio recibido en el ministerio de lo Interior. de ía junta de Sanidad de Madrid y su provincia. Excmo. Sr.: Tengo la satisfacción Je participar á V. É. que la Reina nuestra Señora, S. M. la Reina Gobernadora y S. A. la Se Han felicitado á S. M. por la publicación del Estatuto real las eotptr= ñora Infanta Doña María Luisa continúan sin la menor novedad en raciones y personas siguientes: su importante salud. De Re…</t>
  </si>
  <si>
    <t>…ectos consiguientes. Dios guarde á V. E. Oficio recibido en el ministerio de lo Interior. muchos años. San Ildefonso 2 dp Julio de 18-34. = Francisco Martí nez de la Rosa. =Sr. Secretario de Estado y del Despacho de lo In Exorno. Sr.: Tengo la satisfacción de participar á V. E. que terior. SS. MM. la Reina ndestra Señora y su augusta Madre, é igual mente S. A. la Señora Infanta Doña María Luisa, continúan sin la Excmo. Sr.: He tenido la honra de presentar á S. M. la Reina menor novedad en su importante salud. De Real orden lo comunico Go…</t>
  </si>
  <si>
    <t>…solemnidad. CÓRTES GESTERALES. Excmo. Sr.: El Sr. brigadier Dj Gaspar de Jáuregui, comandante gene ral de Guipúzcoa , con fecha de 12 del que rige me dice lo que sigue: Acta de la sesión Real Je 20 de Setiembre de 1834a n Excmo. Sr.: Tengo el honor de elevar á V. E. el parte que el coman Reunidas las dos Cámaras legislativas en Cóztcs generales en el salón de dante militar de Vergara se ha servido dirigirme en este dia, sobre la defensa sesiones de la Cámara de Sres. Diputados, y bajo la presidencia del Excmo. se gloriosa que hizo la…</t>
  </si>
  <si>
    <t>…es Reales órdenes que .V. E. ha tenido la dignación de remitirme. Dios guarde á V, E. muchos años. Vitoria 4 de Febrero de 1834*=Excmo. Sr.=Pcdro de la Peña.zaExcmo. Se ñor Secretario de Estado y del Despacho de la Guerra. Excmo. Sr.: Tengo la satisfacción de manifestar á V. E. que el cabecilla Castor ha si do batido y denotado en Sodupe por la columna al mando del coronel D. Fermín Triarte el 30 de Enero último, sin que se hubiese recibido en esta comandancia el parte que dice dió con la expresada fecha; mas por oficio de l.° del actual…</t>
  </si>
  <si>
    <t>…os y corporaciones para que se dediquen al El capitán general de Aragón con fecha 30 de Abril próximo pasado dice cultivo de la seda y plantío de moreras, y se ha puesto de acuerdo con la so i este ministerio lo que sigue: Excmo. Sr.: Tengo el honor de pasar á manos ciedad económica de aquella capital para aclimatar en la provincia el arroz de de V. E. el parte del coronel Mazarredo, por el que se enterará V. E. que ha secano. i Sido alcanzada y derrotada una de las facciones del partido de Alcañiz. Las con Ha pedido noticias circunst…</t>
  </si>
  <si>
    <t>…la secretaría de Estado y del Despacho dt la Guerra Lisboa 26 de Maya* El capitaq general de Aragón cojt fecha de 1.a del, actual,dice lo siguien Luego que los Rebeldes salieron de Abrante* muchos soldados abandonaron te: Eterna Sr.; Tengo el honor de elevar i manos de V. E. la copia &lt;kl par Hl ejército en cuanto cate pasó el Tajo, se unieron 4 los habitantes, y abrazaron te que me ha dirigido el coronel Nogueras, quien después de cuatro oías do la causa de la Reina Doña María. consecutivas marchas de 11, 12, 14. y 16 horas de camino…</t>
  </si>
  <si>
    <t>…ero.) lUs ; pero el fuego de los baluartes 1c obligó á retirarte, dejando alguno* Oficio del duque de Tercera-ai ministro de la Guerra. ■tuertos. Al día siguiente dió el enemigo un ataque mas sério y mas combinado, limo, y Excmo. Sr.: Tengo el honor de participar á V. E. para que infor pues uno de sus cuerpos bajó del cerro de Mos, «¿entras por la altura de las me de ello á S. M. 1. el duque de Braganza, comandante en gefe dei cjéicito ▲chadás descendían cuatro columnas de infantería y dos de caballería. El go libertador, que el enemi…</t>
  </si>
  <si>
    <t>…alencia en 3 del corriente comunica á este ministe . En seguida, y para manifestar Ja consideración que siempre ha tenido el rio lo que sigue: pueblo español hacia sus prisioneros, se les sirvió á todos un abundante refres Excmo. Sr.: Tengo la satisfacción de elevar á las superiores matx» dfe • co, que estaba preparado en el patio de la enunciada casa bajo un cenador cons V. E. la adjunta copia del parte que el coronel del provincial de Cuenca Don truido al intento, formando un lucido contraste los trages moriscos con los Manuel Mazarred…</t>
  </si>
  <si>
    <t>…. que han observado nuestras tropas en aquel reino, dice lo siguienfe: »*Ilustrisí- Burdeos, 00. zo, t J. Granada ♦ 4 a J id. Zaragoza, ¿ d. 00. Hamburgo, Barcelona', i ps. fs., Mzlaga , id. Id.. letras* de Descuento u*o y Excmo. Sr.: Tengo el honor de poner en conocimiento de V. E. quc.cn 90 días, Londres, a ib. b. Saoranicrr, t a 4 P* 100 al 'tete dia acabaron de retirarse de esta plaza las tropas españolas que V. E. pe 33. BUbao, $ d. Santiago, £ d. año. netrado de los mas puros sentimientos de generosidad y adhesión á lo* sagrados…</t>
  </si>
  <si>
    <t>…grstr cruz de las Reales-órdenes de Carlos m, americana de ]&gt;.i- Afee de Mayo, hel la Católica, y de la de Torre y Espada de Portugal, de la 4-" clase con placa de la Real y militar de S. Fernando, y de la 1.* de S. Hermenegildo, conde Tengo el disgusto de manifestar á V. E. que la falta de lluvias general*» corado con otras cruces de distinción por acciones de guerra en la Península y en el presente mes infunde temores de que la cosecha será mediana en esta pro Ultramar , teniente general de los Reales ejércitos, virey y gobernador de…</t>
  </si>
  <si>
    <t>…ara venir á arrebatarnos nuestra paz de hoy y nuestra dicha futura. El capitán general de Aragón con fecha 13 del actual á la una "En premio de tanta virtud ¡habitantes de esta ciudad siempre del d¡3 me dice lo siguiente.—Exento. Sr.: Tengo la satisfacción fiel! la divina Providencia os ofrece un porvenir rico en venturas de anunciar á V. F.. para que se sirva elevarlo al conocimiento de y esperanzas. La gran Cristina , rigiendo nuestros destinos durante S. M. la R uisía Crnhsrnad Ha , la derrota de los cabecillas Quilez la menor edad de…</t>
  </si>
  <si>
    <t>…ados en ’ H parte lo» -nombra¿:yalaÍ«s do loe Stcf. gefe* celenüsitñó Señor•=H.uB'BaUnzat.=Sr.'Secret*ri6;&lt;fe1Estidó! jr°d(li ifcapieboed# a*-¿ a., i. ajf.'láift. 2&amp;ó&amp;.au* Hicieron: esta; brillak-' la Guerra. «afSKraí^ _ \ Excmo. Sr.: Tengo la mayon :a y satisfacción en poner ep cococimiento de V. E., que como.á jas oncq ; de «te día salió la’ parti- . gobernador 4ela¡éxpre-¡" •¿EHIflliijíaiiuneiábrjóséá' los; demás Sres. gefes y oficiáles,-tropa ly'MiiieiaurlKÑif'&lt;]iÜÍ aitáhf remunefadói iégun S. M. tuviere i bien ¡disponerlo-,con ¡pres…</t>
  </si>
  <si>
    <t>…?íizacioftde hoy 4 las tres dt l*\ Rey¡,&lt;fueron trasladados, él dia 13 4 la de esta capital, y no hay desde esté KPECTOS PUBLICOS. día en.la-.provincia de .Extremadura una sola, arma enhiesta contra los legíti mos derechos dé la. Reina. Tengo motivos fundados en el buen espíritu gene TrttcrípcfoiW eii el granUbro'i íjy 100. 00. " ' J •' Tirulos al portador del 5 p. 100* 68¿-á 60 4. (. 6 voU i ' ral del país, y en la decisión y número de Sus Urbanos, para creer que ha Inscripciones en.el gran libro k 4 P* 100 * 5¿ial contado. acabado el…</t>
  </si>
  <si>
    <t>…nes de Castilla, de fecha del 14, xciiéves alusivos i la invención de la imprenta*. quien por extraordinario dice en:.¿ otras cosas lcfcsiguiente : ^ La comisión anuncia que los donativos que ha recibido desdé' lá publica Exorno. Sr.: Tengo la mayor satisfacción en comunicar á V. E que las ción de su última lista en el mes de Febrero, incluyendo el de 800 florines medidas que en unión con el Sr. brigadier comandante de marina deteste'dis enviados por S. M. el Rey de los franceses, ascienden á la suma total-de 1783 trito había puesto y es…</t>
  </si>
  <si>
    <t>…del gobernador de CiudadRodrigo. Respecto á la fuga del Pretendiente, perseguido por las tropas de la Reina nuestra Señora,da el general Rodil ei parte siguiente: Excmo. Sr.: Las noticias que he recibido hoy sobre la direc Excmo. Sr.: Tengo el honor de participar á V. E- que por no ción del Pretendiente confirman las que he anunciado á V. E. en ticias que he recibido de diferentes puntos de la raya de Portugal mi parte de ayer , sin que adelantase mas hasta esta hora. se me comunica que la plaza de Almeida se pronunció en favor de La…</t>
  </si>
  <si>
    <t>…E. para conocimiento de S. M. la Reina cance según tengo manifestado á V. E. en mi oficio anterior. Lo que comuni Gobernadora. Dios &amp;c.** co á V. E. para su satisfaccioa Dios dcc. Capitanía general de Valencia y Murcia. =: Excmo. Sr.: Tengo el ho- Segun los partes del general en gefe del ejército de operaciones del Nor jior de acompañar á V. E. el parte qué le dirige el capitán general desde Mora te, con fecha del 16 y 17, el brigadier Oráa había concluido las obras precisas de Rubielos, su fecha 15 del presente mes.Por los innumerabl…</t>
  </si>
  <si>
    <t>…y se la Madrid en que Ua tomo hasta de batallón. hallará eü la librería de Calleja, Sanidad del reino con esta fecha digo lo que sigue: •o Valencia eu la de Cabrerizo, a 8 rs. eu rústica, 9 en media pasta y 1 o en pasta/ «Excmo. Sr.: Tengo la mayor satisfacción en expresar á V. E. , que asi las Las bucódcat Ai Rhgino , trudu idas en verso castellano con un apéndice sobre juntas municipales de Maibella y Ojen, como el facultativo D. Jo^é Mendoza el Cantar de los Cantares; por e\ pr&lt;-sbit&lt; ro D. Francisco Lorrute s judiv dúo super numerar…</t>
  </si>
  <si>
    <t>…observación sobre esta parage donde se hallaba el depósito del Pretendiente. En efecto, raya de Portugal, con fecha de ayer me dice lo que copio. Exce nuestras tropas verificaron su entrada el día 7 en cuatro columnas: lentísimo Sr.: Tengo el honor de manifestar á V. E. que al llegar la primera de la sección ligera: la segunda de caballería:'la tercera á las once de la mañana de ayer al pueblo de S. Felices de los Ga de la sección de granaderos, y la cuarta de jiuatro compañías de llegos con 15 caballos del expresado regimiento y 30…</t>
  </si>
  <si>
    <t>…l dia sin novedad.=El médico de Cámara, F. E. Rodríguez El Presidente: »Acabo de recibir del Excmo. Sr. Presidente de la Cá de Silveira. (Gaceta oficial del Gobierno.) mara de los dignos Pares el siguiente oficio. = Excmo. y Rmo. Sr.: Tengo la honra de remitir á V. E., para que conste en la Cámara de Sres. Diputados da ___El dia 13 del corriente á las. tres de la túáe se trasladó al palacio de la nación portuguesa, la adjunta copia de la contestación que la Reina se ha Queluz la diputación’de la Cámara ¡de los Pares, y puso en manos del…</t>
  </si>
  <si>
    <t>…sentar motivos razonables .que justifiquen su incapacidad parlamentaría. ____El teniente general conde de Erlon V dirigido la carta siguiente al mi Madrid 25 dt Diciembre* nistro de la Guerra: , Argel 27 dá Noviembre de l834-=Sr. ministro: Tengo el honor de da VARIEDADES ros cuenta del brillante combate que la guarnición de Bona ha dado el 20 de este mea ¿ las tropas de Aéhmet, b?y de Constantiha, mandadas por Ben-yosa, *U*UCADAS SH KL DIARIO S&gt;K LA HAÍAKA DK 22 »B OCtfttfcX. agá de lacaf&gt;»Uerra ,y el cáülst. yerno del bey. El 19 por la ta…</t>
  </si>
  <si>
    <t>…resadas, por 212 votos Madrid 26 de Febrero. contra 122. Se levanta la sesión. El subdelegado de la provincia de Teruel ha dirigido al ministerio del Fo mento la exposición que sigue: cámara de ios paefs Sesión del día 8. nExcmo. Sr.: Tengo indicado á V. E que el estado de miseria y abando Leída el acta de la última sesión, el mariscal Soult, presidente del consejo no en que se encuentra el hospicio ó casa de misericordia de esta ciudad había de Ministros, presenta tres proyectos de ley aprobados ya por la Cámara de los llamado mí ate…</t>
  </si>
  <si>
    <t>…ferencia el oficio anterior. impotencia y proporcionar nuevas glorias á la causa y á las armas de S. M, U Reina Isabel ii y su augusta Madre y Tutora. El plan fue bien concebido, Comandancia general de la provincia de Tuv =Excmo. Sr.: Tengo la sa pero faltó el valor necesario para U ejecución, y esta virtud heróica que se tisfacción de anunciar á V-*E. que la balandra inglesa Express Paiket , de complació en inflamar los corazones leales, presentó un nuevo testimonio de que V. E. me habla en su oficio de 4. de Enero comprada en Brístol p…</t>
  </si>
  <si>
    <t>…ran en los estados de Virginia y Pcnsilvama, debidas al joven ingeniero volante, me dice hoy desde Villava entre otras cosas lo siguiente: •&gt;Excelen Mr. Robinson. La máquina camina con su rapidez acostumbrada por una estre tísimo Sr.: Tengo el honor de poner en noticia de V. E. que ayer á las dos cha senda, dispuesta á derecha e izquierda del camino de hierro, atravesando los de la mañana salí de Barrio plano, y al llegar á la venta de Eguarás divisé un bosques primitivos, en otro tiempo dominio del gran Rey Poukattan v de sus grupp d…</t>
  </si>
  <si>
    <t>…mento general del reino se han recibido las comu prestas las armas para arrollar á los que menosprecien el llamamiento de la nicaciones siguientes : Real clemencia. En su consecuencia, y de acuerdo con el Excmo. Sr. virey, Excmo. Sr.: Tengo la complacencia de elevar al superior conocimiento de manda el Consejo que se imprima y circule á los ayuntamientos de las cabezas V. E. que con general jubilo y regocijo de estas autoridades y habitantes vimos de Merindad y pueblos exentos, pira que lo hagan notorio y lo circulen asi fondear en este…</t>
  </si>
  <si>
    <t>…nuas tario de Estado y del Despacho del Fomento general dei Remo. derrotas en los campos de batalla, sus enormes pérdidas en todos sentidos, v que insensiblemente se va reduciendo á la sola clase que antepone su propio ín «Excmo. Sr.: Tengo el honor de poner en conocimiento de V. E., para que teres ai bien general de los españoles, ha tratado en sus lúgubres reuniones de lo eleve al de S. M. la Reina Gobernadora, que según parle que acabo de re variar el plan de ataque, y de sustituir á la fuerza visible y de frente otra mas cibir por…</t>
  </si>
  <si>
    <t>…e; todo lo qiKJne apresuro 4 poner en conocimiento de V. Si declarados y el declarante deberán ser inmediatamente detenido* y puestos á yese convenienté eíérarlo al de 5. M. la Reiva Gdbéírridbr*. Dios'Stc.TÉrdisposición dé* este magistrado. Tengo el honor &amp;c. raudo .zrEJ director da meo 16 de Julio de L834 =Juan-Manuel de OndarzaJ=Sr. D. Jacinto &amp;«ml* aduana , Retaud. i»te, toonqndante militar de Marina."</t>
  </si>
  <si>
    <t>…e la Coruña y Orense, y los goberna tjjiclo recibido en el Ministerio de 'Estado. dores civiles-denlas cuatro provincias de Galicia, remitirán un parte mensual á este ministerio, de los caudales que hayan entrado en sus 1Ercnflo. Sr.: Tengo la satisfacción de comunicar á V; E. que respectivas arcas, salidas que haya habido, y de las obras que se ha han llegado á este Real Sitio en él dia de hoy, sin novedad alguna, yan ejecutado en el mes respectivo, para que S. M., oyendo á ia di S. 54- la. Reirá nuestra Señora Doña Isabel u y S. A. la…</t>
  </si>
  <si>
    <t>Tengo, Presidente</t>
  </si>
  <si>
    <t>Presidente Tengo</t>
  </si>
  <si>
    <t>…de justi toétition, eso tendremos adelantado i de consiguiente me opongo á que se re- cia, si el bienestar de ellos y U agricultura tan decaída merece la consideración tras^ el curso de la petición.” del Gobierno y de las Córtes. Sr. Presidente* «Tengo que hacer presente que Boy se trata solo de ia » La necesidad , por ej[ contrarío, está dé parte de nuestra agricultura * á {petición: la discusión dei proyecto de ley es otra cosa. En virtud de la peti ía que sfe le imponen gravámenes en lugar de aliviarla para qué prospere. El ción el Oobierno no…</t>
  </si>
  <si>
    <t>Teniendo</t>
  </si>
  <si>
    <t>…clet con fecha de ayer me dice lo que sigue des una columna de nuestras tropas por la parte de Estella, llegó hasta S. Vicente de Puente la Reina: de Aroma para sorprender á la junta alavesa, que por poco tiempo no lo con "Excmo. Sr.: Teniendo noticias de haber llegado^esta tarde la caballería siguió , pero sí el cogerle la brigada y raciones que tenían preparadas , lo que facciosa con alguna infantería al pueblo de Miranda, emprendo mi marcha an efectuado contramarcharon los nuestros hácia Orb zu. Dios Scc. Vitoria 2 de tes de amanecer…</t>
  </si>
  <si>
    <t>…dos guardando el orden que se expresa en MINISTERIO DEL FOMENTO GENERAL DEL REINO. este decreto. Tendréislo entendido, y lo comunicareis á quien cor- Real órden. responda.rrEstá rubricado de la Real mano.r=En Aranjuez á 19 Excmo. Sr.: Teniendo en consideración S. M. la Reina Go de Abril de 1834—A D- Nicolás María Garelly. bernadora aue á V. E. incumbe, como subdelegado de Fomento de esta provincia, la obligación de averiguar y conocer con exacti Para la plaza de oidoT de la Real audiencia de Galicia, vacan tud cuáles son los verdaderamen…</t>
  </si>
  <si>
    <t>Tenientes, Miguel Oasct</t>
  </si>
  <si>
    <t>Miguel Oasct Tenientes</t>
  </si>
  <si>
    <t>…ado á esta el mismo dia 2 , sabia que el dia do y son acreedores á las gracias que S. M. tenga á bien acordarle*. Capitanes: 21 de Febrero á eso de medio dia habia entrado en aquella aldea Batalla , gefe D. Joaquín Alvarez Bayon, D. Miguel Oasct. Tenientes: D. Baltasar Novelia, de una guerrilla constitucional; que á la mañana siguiente rodeáronla aldea las D. Buenaventura Tomás, D. Nicolás Collard. Sargentos primeros: D. Tomas guerrillas enemigas de Moura y Serpa, y Batalla cayó sobre ellos, les mató 19 Espiriquiti, D. Alejandro Gasart, D. Amonio Leo…</t>
  </si>
  <si>
    <t>Tenv, Octavio</t>
  </si>
  <si>
    <t>Octavio Tenv</t>
  </si>
  <si>
    <t>…ID. ARTICULO DE OFICIO. 1WCJ.ATERB.A. S. M. la Reirá nuestra Señora, su augusta Madre la Reís a LÓndres 11 de Octubre. Gobernadora y la Serma. Sra. Infanta Doña María Luisa, continúan Hemos recibido la noticia de que ha muerto el caballero Octavio Tenv- ple_^temente gobernador de hierra Leona , gire Jebe contarle tomo otra victi sin novedad en su importante salud en el Real sitio del Pardo. ma de aquel insoportable clima. Los grandes criminales son llevado*' a Botery Hay, país quizas eL mas sano que existe en el globo t mientras que algunos de sus…</t>
  </si>
  <si>
    <t>Teodoro</t>
  </si>
  <si>
    <t>…r su reforma; por el limo. Sr. D. M. de Urdiejbsk un roipoen 8.ü a I4 rs. en *in qu. ,1 número de fallecimientos llamase la atención. £1 Filólofo solitario* obra instructiva, cQriosay filosófica, cotnpuevto ,p.»r el cc«* lebre P. D. Teodoro dé Atmeida, de S. PeJIpe Neri de Lisboa; traducida e ¡lustrada . Mavnca es casiEuos de ia .tiatta. -vendencon notaosékrbístorícasyla líbrerta defilosóficas.Sánchez *DosCuestanromosy enen 8.°,Cadíz.a 16enrs.-enla depastaHortaly. 12y encui«r¡uñ:a.fúsuca. So —-Historia de Sos jsorrastronei * Ó descubr…</t>
  </si>
  <si>
    <t>Teran, Juan</t>
  </si>
  <si>
    <t>Juan Teran</t>
  </si>
  <si>
    <t>…os, fresnos y acacias a 3 rs.; los demas olmos la de Celanov* i D. Antonio Arias Qniroga: para la de Alberique á D. An se venderán á 2 rs. y 17 mrs., los chopos lombardos á 2 rs., y los nogales drés Llagaría: para la de \lmazan á D. Juan Teran: para la de Priego á Don á 4- Todos estos árboles están ya formados y son de talla mas ó menos alta á José Parejo: para la de Señorin de Carballino á D. Francisco Pellico Panlagua: fin de poderlos trasplantar: si el comprador quiere arrancarlos por su cuenta para él corregimiento de Ubeda á D. José…</t>
  </si>
  <si>
    <t>Terceira, Duque Je</t>
  </si>
  <si>
    <t>Duque Je Terceira</t>
  </si>
  <si>
    <t>…do que ellos'no esperarían, traté de saiirles alsol reeibí el oficio que incluyo en copia áV. E. Jel coronel mi pri encuentro hoy al amanecer por donde calculé efeetuarian»su movimer ayujante Je campo D. Ramón Teijeiro, cerca del Sr. Duque Je Terceira, el cual en carta particular Jel 18 á las once'de la ma miento. Con efecto, me dirigí un rato sobre el camino de Rigoitia, y tomando despnes á la izquierda, marché á tomar las alturas de Sanñana en Golegana, añade lo siguiente: . fe.. . •&gt;Segun parece la acción de la Seiseira el 16 fue decisiva; pu…</t>
  </si>
  <si>
    <t>Terceira, Je</t>
  </si>
  <si>
    <t>Je Terceira</t>
  </si>
  <si>
    <t>…ue ellos'no esperarían, traté de saiirles alsol reeibí el oficio que incluyo en copia áV. E. Jel coronel mi pri encuentro hoy al amanecer por donde calculé efeetuarian»su movimer ayujante Je campo D. Ramón Teijeiro, cerca del Sr. Duque Je Terceira, el cual en carta particular Jel 18 á las once'de la ma miento. Con efecto, me dirigí un rato sobre el camino de Rigoitia, y tomando despnes á la izquierda, marché á tomar las alturas de Sanñana en Golegana, añade lo siguiente: . fe.. . •&gt;Segun parece la acción de la Seiseira el 16 fue decisiva; pu…</t>
  </si>
  <si>
    <t>Teresa</t>
  </si>
  <si>
    <t>…do para ir á buscarlo por tierra, cuando este último pasaba el invernó en el ■■L. Gaceta de Leipsiek anuncia que los esponsales del Príncipe Real con fuerte BeMqc?, gl eiciremo Este dei gran lago de los EscUvos. Los 25 hombres la Princesa Teresa, hija del archiduque Carlos de Austria, se verilearán en de !a expedición disfrutaban de buena salud, y se proponían concluir el rcco^ Badén cerca de Viena. Las bodas no se celebrarán hasta que vuelva de Petéis— cocimiento del gran río de Peces que desagua en el mar Glacial. burgo el Príncipe Real,…</t>
  </si>
  <si>
    <t>…gencia y cumplimiento. Dio» guarde á V. E. muchos años. Ma El príncipe Real saldrá para Viena la semana próxima. Se confirma la no drid 16 de Agosto de 1834. = Moscoso.=Sr. presidente de la junte de ticia de sus esponsales con la princesa Teresa, hija del archiduque Cirio* de Sanidad de Madrid y su provincia. Austria. (.Mercurio dt Suma.) ITALIA. Eterno. Sr.: Conviniendo asegurar por todos los medios la salu Ndpoles 26 de Julio. bridad de este población, y siendo contrario á ella el enterramiento Anteayer entró en este puerto un buque lige…</t>
  </si>
  <si>
    <t>Teresa, María</t>
  </si>
  <si>
    <t>María Teresa</t>
  </si>
  <si>
    <t>…deS. M. L dirigida á la Cámara, concebida en los términos siguientes: Tkfá resuelto definitivamente el matrimonio del príncipe hereditario de »Señores Diputados de Ja nación portuguesa: Siempre franco y leal i mii Bavtera con la princesa María Teresa, hija del archiduque Carlos. juramentos, y obedeciendo á la voz de mi conciencia, debo participaros que El archiduque Carlos de Austria profesa un sincerp cariño á su futuro habiendo cumplido con los deberes de hijo de la Iglesia católica, y de padre yerno, que lo merece bajo todos aspectos. La pre…</t>
  </si>
  <si>
    <t>Terrado</t>
  </si>
  <si>
    <t>…os que el mismo mal en toda su fuerza. «Especialmente muchos profesores Se han inoculado-con pus colénco sin «Al Gobierno toca pues dar Jas providencias y proponer los medios que sentir la mas mínima novedad; y aun entre ellos ei Sr. Terrado, de Barcelona, estén á su alcancé para disminuir los efectos del colera, atediándose á los ab'sorvíó en París el vómito colérico, y no sufrió el menor ataque.-Yo creoprincipios que profesan los hombres mas ilustrados de Europa. Todo concurre pues en vista de todo lo que ya se sabe en la materia, qu…</t>
  </si>
  <si>
    <t>Terral-nova, NOTICIAS EXTRANGERAS Eduardo La Nueva Brunswick</t>
  </si>
  <si>
    <t>NOTICIAS EXTRANGERAS Eduardo La Nueva Brunswick Terral-nova</t>
  </si>
  <si>
    <t>…u cia. 11. S. Vicente. 12. Tabago. 13. La Trinidad. 14- Las rilas Virginias. PARTE NO OFICIAL. Hn la America septentrional, continental e insular: l.° Las islas de Bahama. 2.° Lis Bcrmudas. 37 La ciudad de Canadá. 4*° La isla del Príncipe NOTICIAS EXTRANGERAS. Eduardo. 5.° La Nueva Brunswick- 67 Terral-nova con parte del Labrador. 77 La Nueva Escocia y el Cabo Bretón. En Africa: 1.° El Cabo de Buena Esperanzó. 2.° Sierra Leona con los establecimientos de la Costa de Oro. INGLATERRA* En el mar de las Indias: l.° Ceilan. 27 Mauricio. En el mar del Sur: l.° La N’ue\*a Galles con la isla Norfolk- 2.° La t…</t>
  </si>
  <si>
    <t>Terzetti</t>
  </si>
  <si>
    <t>…no replicar , y que los acusados y sus defensores tie j entró en él la muchedumbre, ansiosa por saber la suerte de los armados. El { nen el.de hablar los últimos. El fiscal-valiéndose de los términos dé la ley, y presidente y el juez Terzetti hicieron una última tentativa para interrumpir la creyendo el asunto suficientemente discutido., pues las’declaraciones de 'los* tes publicación de la sentencia con exclamaciones dirigidas á excitar escándalo; pero tigos de lastimaría no habían sido destruidas ponías opuestas, ni su demanda Demetri…</t>
  </si>
  <si>
    <t>Testa</t>
  </si>
  <si>
    <t>…ippi, que presentó sus cre mandar en nombre de mi excelsa Hija Doña Isabel u, que una co denciales hace algunas semanas, acaba de sucumbir a una jfiebre nerviosa. El misión compuesta de D. Juan Gualberto González, D. Juan Alvarez Sr. Testa, encargado de Negocios provisorios de la Holanda, ha recibido su Guerra, D. Angel Fernandez de los Ríos y D. Salustiano Olozaga, nombramiento definitivo. que desempeñará ademas las funciones de secretario, poniéndose de Se han comprimido los alborotos de Trebisonda ¿ y algunos gefes han sida acuerd…</t>
  </si>
  <si>
    <t>…&amp;la-cercmonia el presbítero D. M inud Esparten-*, f-jccicos. El comándame de la columna de carabineros trascribe desde Contri- concluyendo el acto con una abundantísima coñuda servida á los pobre», ilu ras- un oficio reerbido del capitán Testa, que salióde Aquí con 6t&gt; ¡ufantes y 40 minación, pólvora y otros festejos. caballos en la noche del 14&gt; avisando desde Pucntedura que el teoiente coronal S. Cnstóiial persiguió antes de ayer al rebelde cura 'legando á avistarlo; que este faccioso pasó de noche por Cuevas, al parecer hacia Vil afra…</t>
  </si>
  <si>
    <t>Testa, Juan Alvarez Sr</t>
  </si>
  <si>
    <t>Juan Alvarez Sr Testa</t>
  </si>
  <si>
    <t>…rdeña el Sr. Filippi, que presentó sus cre mandar en nombre de mi excelsa Hija Doña Isabel u, que una co denciales hace algunas semanas, acaba de sucumbir a una jfiebre nerviosa. El misión compuesta de D. Juan Gualberto González, D. Juan Alvarez Sr. Testa, encargado de Negocios provisorios de la Holanda, ha recibido su Guerra, D. Angel Fernandez de los Ríos y D. Salustiano Olozaga, nombramiento definitivo. que desempeñará ademas las funciones de secretario, poniéndose de Se han comprimido los alborotos de Trebisonda ¿ y algunos gefes han sida acuerd…</t>
  </si>
  <si>
    <t>Testamento</t>
  </si>
  <si>
    <t>…re comisión acerca del poder del Sr. D. José de Fontemberta, Procurador electo ponerse del mal de oidos qufe padece, y arreglar los negocios de su casa. El por la provincia de Gerona, y su renuncia, y la proposición hecha por el Señor Testamento se la concedió. Ferrer, apoyada por los Sres. Trucha y Palarea, de que se admitan toda* las La comisión de Poderes dió cuenta de haber examinado los documentos que hagan los Procuradores electos, sin precisarles á manifestar las causas que justificativos de-la aptitud legal del Sr. L&gt;. Joaquín Gonz…</t>
  </si>
  <si>
    <t>Tetrdb</t>
  </si>
  <si>
    <t>…sreses atra- ha hecho ha sido rebajar el fondo desde un 1 por 100, que era lo señalado, sado^de lo» empréstitos , asi como tos billete* llwnadoa de premio.v al 4, con lo que consigue evitar ese descrédito y moderar el fondo” ' El Sr. Tetrdb-. nMc ha prerenido casi enteramente el Sr. Atocha; por ' Habiéndose dado por satisfecho el Sr. Acevcdo, se voto el articulo y lá quetolosfisdiré wjpihas observaciones. Etv la derrota general qne ha sufri quedó aprobado. do le Nación, toé parece que ñ noesde rigorosa justicia, por lo menos serás Az*.…</t>
  </si>
  <si>
    <t>Teulon</t>
  </si>
  <si>
    <t>…; y en un dilatado discurso expone cámara de los DIPUTADOS-—Sesión del día 7* las razones en que funda su parecer. Aprobada el acta de la anterior, prosigue la discusión de la minuta dé res La Cámara no adhiere á la propuesta del Sr. Teulon, y conformándose con puesta al discurso del Rey. la minuta, aprueba el párrafo 6.°, cuyo tenor es el que sigue: Leído el párrafo 5.°, propone el Sr. Cautnartin que se varíe la primera parte «Nos es muy satisfactorio ver que se difunde la instrucción elemental; que de él; pues si bien es cieno que l…</t>
  </si>
  <si>
    <t>Texta, Francisco Fernandez</t>
  </si>
  <si>
    <t>Francisco Fernandez Texta</t>
  </si>
  <si>
    <t>…ilitar de la provincia de Soria, noticia que la columna de dicha provincia, al mando-del capitán de cazadores &lt;fel regimiento provin ‘ S^uñ partes que su gobernador citíl Si Con fécfrt S V ItTÓcl actual, ai cial de Ciudad-Rodrigo D. Francisco Fernandez Texta, computen de 70 caza cólera se había declarado eñ Mahofi'y VUlPtaifos, habiendo sfdrr atafeadas es dores del mismo cuerpo y 25 lanceros del escuadrón &lt;fe Isabel ir de dicha ca d primer punto el dia 6 dos personas-, T una en el segundo; ddia ~ tías en pital, encontró en la mañana del dia 25 del corr…</t>
  </si>
  <si>
    <t>Tffoj</t>
  </si>
  <si>
    <t>…to dé las órdenes Po# los sueldos, gasto»;dft admioistMoton p recaudación de las V 1 -■*úw*o«ydWlii«*.Hri¡Waa»;ljí priteb** éumatiílO 'coti iá'fórmula det tú- misma» * wntjwfe.t»is4iWdufroOáééljiOrfmiSI'hfbHtt; rtftádSa ritúlirie caballero. Tffoj**..,,.,.............................¿62718,418 .rit,rui«li^gt»g&lt;»&gt;*i*»ft4t#^iú&lt;ZoBséáme,lí'«tÍ(ri,ifci'i&amp;i^&gt;ñ qué miratie al ÍPordampoeide efvto».y entregan4 lasiáhríicas^.. 68^4^4,872 Por dfverspi pagos que disminuyen el vafor de varias, rentas que duque de Zaragoza , y lo temible qt*.}4'éy» rihpt…</t>
  </si>
  <si>
    <t>Tharp</t>
  </si>
  <si>
    <t>…en dido í que S. M. el Emperador de Austria, es aliado y pariente cercano da todas las clases de la isla. Los periódicos hacen también mención del proceso S. Á. I. y R. el gran duque de Toscana , príncipe Real de Bohemia y de del coronel Tharp, el mayor y i nuestro parecer.el peor de lodoa los héroe» da Hungría. la rebelión. (Courier ) ’ 3.a Z-ós buques tnscanos cuando lleguen í Turquía pagarán los derechos de VEANCÍA. aduanas; pero estos derechos no podrán exceder del 3 por 100, y se pagarán úna sola vez, aun cuando uno 6 muchos de los…</t>
  </si>
  <si>
    <t>Thenard</t>
  </si>
  <si>
    <t>…ión de distribuirlas por mí mismo, he querido sin embargo añadir otras que me son personales, y voy á Parts 22 de Julio. principiar por dar algunas cruces, que serán para el comercio un nuevo testi El Rey contestó al discurso dél barón Thenard, presidente del jurado de monio del interés que me anima de sostenerle y honrarle.** de industria, que se insertó en la Gaceta del 3, del modo siguiente: «Tengo una gran satisfacción en proclamar con vos, que Ja exposición de i- —El Rey se ha vestido ayer de luto hasta el 2é de este mes con motivo…</t>
  </si>
  <si>
    <t>…l órden del dia.es el informe de la comisión encargada de examinar el la s&amp;ion. proyecto de ley eft que se proroga el plan fijado para deshacer las antiguas mo IDEM DE 109 DIPÜTADÓS.__JV/I0» df idíVfi. . nedas de oro y plata. El -barón Thenard, relator de, la comisión lee el informe, y propone su adopción. ‘ Continúa la discusión del convenio celebrado con los pstados-Unidc*. M. Barthe, ministro de Justicia , presenta á la Cámara el proyecto de ley M. Reallier-Dumas, individuo de la comisión, defiende el dictamen de esta, contra las asoc…</t>
  </si>
  <si>
    <t>Thiers</t>
  </si>
  <si>
    <t>…á su modo de ver la alianza anglo-francesa no ha producido los gran sí fuese necesario para sostener un trono que ocupa ó ¿aoeGQcÓj f que xodqU des resultados que de ella esperaba el mundo entero. d voto de bi -ración entera, El Sr. Thiers» niinUtro de Comercio» se lamenta de que algunos oradora hayan procurado oscurecer la cuestión: se hace cargo de toda» las objeciones Talam 4 de Diciembre. que ha hecho el partido de oposición, y amplificando las razones que ha dado Habiendo precedido el 3 del pasado una misa solemne, á que asistie…</t>
  </si>
  <si>
    <t>…pero una libertad sabia, que se pueda -nuestras furrias. Respecto á Suiza: Tampoco permitiremos la intervención Conciliar con las necesidades de la nación. «extrangera: y en cuanto á España diremos: Está demasiado próxima para El Sr. Thiers, ministro de Comercio y de Obras públicas, manifiesta que nqur dejemos de tener en ella alguna influencia particular; respecto i Orícnal paso que unos dicen que el ministerio no tiene sistema, otros sostienen que »te: que no perecerá un imperio sin que La Francia contribuya i decidir su, el sistema…</t>
  </si>
  <si>
    <t>Thusein</t>
  </si>
  <si>
    <t>…canciones de libertad de las mas enérgicas. (G, dt Augsburgo.). pital d? .Idtis bey, general de brigada del ejercilo egipcio, y la li sonjera acogida que habia merecido a S. A. En pos suyo han 11er— rNGIATERRA. gado aíjowsfivo el coronel Thusein bey,, el general de brigada Sefjm bey,-y finalmente el bey, comandante de la escuadra egipcia. Londres 14 de Marta.- Todos han sido recibidos y tratados con la consideración debida á su respectivo rango. Selim-bajá ha sido nombrado general de bri Hoy un poco antes de la una ha llegado S. M. al pala…</t>
  </si>
  <si>
    <t>Ti', Tjfíis Rofí</t>
  </si>
  <si>
    <t>Tjfíis Rofí Ti'</t>
  </si>
  <si>
    <t>…leve a cbhocrmrehtó( d.e Si 'Mi lá planta . de íaa.(lq^qtffkljfjaii^e lá sección de 'Gracia y Jüsliciá del cÓnsejo 1 - reparando'db-la 'itj-fendepcáa de-Rénfas-de Valtádélid «i-cargo de r“~- ...A.xr nnrYiíir'l^ldn Wn^í T'lllTX íi D. Tjfíis Rofí Ti'£ál«Z OllTnnleíío. I (íd.-)..........' ;..................................... ' • .TíOÜl.íít lflííl t ; .'GciJI Oj;^; GelestinO ---— resolviendo'quc por* esta vez: continíie la actual quinta á cargo del miniter¡q^e Ja,GÍ.er*a..(^¿)^„;... ; «c, ragafia , Alcalde electo* de la vtHa del Prailo , y para…</t>
  </si>
  <si>
    <t>Ti, Infanta Art</t>
  </si>
  <si>
    <t>Infanta Art Ti</t>
  </si>
  <si>
    <t>…el ministerio de lo Interior. cuenta de ellos al gobernador civil para los efectos de que tratan lo» ' Bxémo. Sr.t SS. MM. la Reina nuestra Señora, y- su augusta artículos 21 y 3“ Mailre la Rama Gobernadora, é igualmente S. A. la Señora Infanta Art. Ti Los nombres de los suseriptores á los fondos de Sanidad, Doña María Luisa, continúan sin la menor tíovedatl en' su impor y las cantidades, frutos y cualesquiera efectos con que respectiva tante salud. De Real orden lo participo á V. E. para su satisfacción mente contribuyan, se publicaran en los Boleti…</t>
  </si>
  <si>
    <t>TibérT</t>
  </si>
  <si>
    <t>…os. siguiente cada uno el sueldo de 240 rs. anuales. sistorio secreto cón el objeto de-asignar ¡gleálas i los Emos-cardenalerTibert, Art. Si En las salidas que hagan de Madrid en desempeño de sus Canal i, Bottiglia 7 Polidori. El cardenal TibérT tendrá ta basílica de Esti funciones, se jes asignará un sobresueldo proporcionado con que ban , Canali la de S. Silvestre, Bottiglia ta de'9. Clemente , Poliíori ta de ocurran á los gastos de viages, y se les prestarán ademas los auxilios S. Eutebio. (Diario dt Romit.') ' ‘ ■’ ' 1 necesarios para…</t>
  </si>
  <si>
    <t>Tienen</t>
  </si>
  <si>
    <t>…os. Para Cauarhu-..-;...... 38o Í90 95* 4 &gt;■ :. Para India*........ .......4“® soo 1 ARTICULO DE OFICIO. desde luego para el Real Erario los beneficios de una economía no table. S. M. la Reina nuestra Señora, au augusta Ma&lt;lre la Reina Tienen de costo los tres resguardos que han regido hasta ahora............... . ............................................................... 48.092.4HRGobernadora y la Serma. Sra. Infanta Doña Alaría Luisa, continúan Gistará el terrestre que se propone........... 2í). 4.56,8-52 &gt; p ., sin novedad en su im…</t>
  </si>
  <si>
    <t>Tiller, Vicente</t>
  </si>
  <si>
    <t>Vicente Tiller</t>
  </si>
  <si>
    <t>…Sdebetáfi acudir^por &amp;t ó por apoderado dentro del preciso término -r-Por providencia del Sr. Balaza, teniente de corregido*' de-«ta, villa. » cita i de 4® dias á firmar'Ja oposícíon tñ la secretaría de la ReaJ'junta superior gu- D. "Vicente Tiller v-D..I^on. Alonso Liiípéz, veclnúvde esta corte. ñ sus beredtros, par» que dentro deV.términp ^íí/dias prtdtaiáúNlAii ^f if 6 por medio 3e *Út¿. ber0*tfr*dé Médictázy Cirugía éh esta córte, plazuela de la Leña núm. 20, r«áo al citado luaga4o y;e»crib«iíaicfe GU&lt;an, á&gt; dohicer^cxpouer loque «oiwAi «…</t>
  </si>
  <si>
    <t>Tillo, José Búrgos</t>
  </si>
  <si>
    <t>José Búrgos Tillo</t>
  </si>
  <si>
    <t>…a, por las actas, y que han avisado hallarse en gado á esta capital.el Sr. Scoane facilitaría la contestación que se esperaba al ofi fermos. cio que se habia pasado sobre su renuncia, cuya dilación habia sido efecto de Granada. e=D. José Búrgos Tillo. su auseécia. Valencia. = D. A ntonio1 Ayarza, El Sr. Presidente manifestó estaba persuadido de que las causas que habiatt Valladolid.eeD. Rafael Faustino Sana. tenido los Sres. Procuradores electos para obrar asi, serian justas; pero que no podía menos de dar noticia al Estamento de este asunto, co…</t>
  </si>
  <si>
    <t>Tirlet</t>
  </si>
  <si>
    <t>…granos, siempre que la escasez de este artículo no obli - Á la autoridad suprema federativa, sin embargo, es i quien debe estar so gue á permitirla. metido el cuidado de .descubrir y cortar el lazo que pueda unir las juntas de El general Tirlet, abundando en el parecer del preopinante, hace ver cuál rppaganda revolucionaria en Sqiza con asociaciones que una justa vindicta pú- es el método que respecto á la importación de granos se sigue en Inglaterra pa se exa los pide que con el interes de ra la abundancia y combinar agricultores; en per…</t>
  </si>
  <si>
    <t>Tirúeba</t>
  </si>
  <si>
    <t>…n la época anterior á que se ha hecho almiar, tengo presente que una sangre por la libertad de unanpacá; y aqui creo que podré unir su opinión délas facilitada qne competían á las Córta era la de establecer, no solólas con la del Sr. Tirúeba., con quien siento infinito no estar de acuerdo en esta leyes, sino la parte reglamentaria; y eñ ate sentido competía á las mismas la ocasión. Yo sé, señores, que hay, si se quiere, dos géneros de Guardia nacio formación de las ordenanzas y de todos los reglamentos para llevarlas ú efecto. nal, que…</t>
  </si>
  <si>
    <t>Títulos</t>
  </si>
  <si>
    <t>…60 al cofítado: 63 á 60 d. f, ó vol. honor de participarlo á V. E.=Ruego i V. E. se digne elevar al conocimiento Inscripciones en el gran lloro á 4 p. 100* 00. de S. M. el mérito sobresaliente que ha contraído en esta jornada el teniente Títulos al portador del 4 P* 100 , 52$ al contador 55 á 60 d. f, 6 vol. graduado de capitán , comandante de la caballería de Borbon , D. José Soler: Vales Reales no consolidados* 18 al contado*. 18$, 18 y 18| á varias fs. 6 vol* él teniente de la Guardia Real de infantería D. Juan Adolfo Baradia, que me Id…</t>
  </si>
  <si>
    <t>…ción de las trigonometrías para la medición dp una porción do terreno. iricTot roALieoi. Instrumentos que se usan. Inscripciones sobre el grao libro ald?_ £ droo,vol 00, Resolución de problemas. Dichas id* ai 4 p. 100, 46 p. a 29 d.’ Títulos ai portador de¿j&gt;. 10o, 00. Geometría analítica. Id. Id. de 4 por loo, cM , 4,1 J l al contado: 46}, 47, 46Í, I, i, 47á, 46 J, 47i, 47, 4®i 7 47 4 60, j8,55, 3», ay, 30 y 43 d. f. vol y firme: 47l. 47 y 1 4 J3, a?, *7, _ Lo que es; con los problemas correspondientes i la primera parte de su 60, 3»…</t>
  </si>
  <si>
    <t>Títulos, Segundo Uli</t>
  </si>
  <si>
    <t>Segundo Uli Títulos</t>
  </si>
  <si>
    <t>….voí. y firme á prima quez r soldados-, Gabriel Gómez: Pablo Valderas, herido; Miguel JimcDez, de 1 p. 100. Inscripciones en el gran libro á 4 100, 53 á 60 d. f. ó vol. herido; el coronel del regimiento de Zaragoza , 12 de línea, D. Segundo Uli— Títulos al portador del 4 p- 100. 53¿ y 53 al contado: 53$, ■£, ■£., £* £, á y f varri, que se hallaba accidentalmente en la columna, se presentó á la acción ávarius fs., vol. y firme: 55, 54¿, i y $ &amp; varias fs., vol. y firme a prima de |t con dos hijos cadetes, habiéndose todos distinguido por su denuedo…</t>
  </si>
  <si>
    <t>Títulosfs, D Fernan</t>
  </si>
  <si>
    <t>D Fernan Títulosfs</t>
  </si>
  <si>
    <t>…y firme. El 18 da Mayo Instaló solemnemente la Reaí sociedad económica de Ovie Inscripciones en el gran libro á 4 P- 100*d7f al contado: 57f i 15 d. f. ó vtol. 4 varias do Ucátédra de química, aplicada á las artes, erigida por el Sr. D. Fernan Títulosfs., vol.al portadory firme. del 4 p. 100, y 4 al contado: 60, g, |, 4 . i, t y 60 do vir (O- E. E. G.), y promovida por S. M. la Reina Gobernadora , y Vales Reales no consolidados, 18}, 18 y 181 si contado: 18}, 18, 17}, 18} y 18 k va puesta bajo la inspección de dicha sociedad. Fue lucidísimo el conc…</t>
  </si>
  <si>
    <t>Títulosfs, Fernan</t>
  </si>
  <si>
    <t>Fernan Títulosfs</t>
  </si>
  <si>
    <t>…rme. El 18 da Mayo Instaló solemnemente la Reaí sociedad económica de Ovie Inscripciones en el gran libro á 4 P- 100*d7f al contado: 57f i 15 d. f. ó vtol. 4 varias do Ucátédra de química, aplicada á las artes, erigida por el Sr. D. Fernan Títulosfs., vol.al portadory firme. del 4 p. 100, y 4 al contado: 60, g, |, 4 . i, t y 60 do vir (O- E. E. G.), y promovida por S. M. la Reina Gobernadora , y Vales Reales no consolidados, 18}, 18 y 181 si contado: 18}, 18, 17}, 18} y 18 k va puesta bajo la inspección de dicha sociedad. Fue lucidísimo el conc…</t>
  </si>
  <si>
    <t>Tívange</t>
  </si>
  <si>
    <t>…ra no sea un protocolo estéril, sino que encaso necesario sea cumplido en todas mente de posición, y ocupará en parte , juntamente con la brigada de infantesa sus partes; y en efecto tal es el deber del ministerio. mandada por el general Tívange, las guarniciones dejadas por la SchutteryJ’ ‘ El Tiempo', en el párrafo inserto en el discurso de la corona, relativo á El Diario de Comercio de Amberes que hemos recibido por estafeta hace la cuestión española , se hace mención formal del tratado de la cuadrupla alian con este motivo las reflexio…</t>
  </si>
  <si>
    <t>TLyndhurst</t>
  </si>
  <si>
    <t>…de Glocester deja vacante la cancillería de la uni- terio que le parecía conveniente entrar en algunas explicaciones,y que los Se — * ' -c- ha propuesto■ Tersidad- 1 IIde y-__tCambridge.- 1_IT___jr__Una diputación _____ L t____1á lord TLyndhurst,II__. que__ se cretarios del Despacho estaban prontos á’ darlas. Añade que á estos no les era le nombraría para dicho cargo. El marques de Camden es también, según di dado admitir ni desechar los principios manifestados en una exposición apro cen , otro de los candidatos. (Standard.) bada por la Cá…</t>
  </si>
  <si>
    <t>Tmnifestó, Rodríguez Vera</t>
  </si>
  <si>
    <t>Rodríguez Vera Tmnifestó</t>
  </si>
  <si>
    <t>…ue se crea exorbitante la economía necesaria para que las cosas guarden su mas rápidamente por él si reúne la aptitud que exige un empleo superior;” nivel.” El Sr. conde de las Navas: «El Sr. Secretario del Despacho de lá Guer El Sr. Rodríguez Vera Tmnifestó qye la comisión estaba de acuerdó con ra se ha equivocado si cree que he aludido á S. S. en mi discurso , jpues hace el Gobierno, no habiendo tratado de mezclarse en apuntos que no le pertene pocos dias que e$ Ministro. No he hecho mas que indicar una proposición que cían , así como no hallaba inco…</t>
  </si>
  <si>
    <t>Tmparciat, El</t>
  </si>
  <si>
    <t>El Tmparciat</t>
  </si>
  <si>
    <t>…se é hiciese prestar obediencia al gobierno legitimo de au perpetua de ídem 76. gusta Hija, y de lo contrario serian tratados como rebeldes. El gobernador, acérrimo defensor de la usurpación, y que no hace mucho tiempo recibió de Don El Tmparciat observa que lá"ciudad de Paris acat&gt;a de dar un noble ejem Miguel el titulo de conde de ti isla de ti Madera, no quiso recibir dicha.sarta, plo á: la Francia. EJ valor dje la guardia nacional Salvó la mónit'qiiía y la so^ y li fragata se mantuvo á la vista. El S llegó úna goleta inglesa de Lisboa"…</t>
  </si>
  <si>
    <t>Tnfdttitbs</t>
  </si>
  <si>
    <t>…Zaragoza, 1 d. Hamburgo, 00. Barcelona* á ps. fs.. Málaga * 4 Id. Descuento de letras, Mota del Marqué». 18 de Agosto... 12 Londres, á 90 dias* ib. Santander * 4 b. A 4 P- 100 al año. Rioscco. • 18 37J. Bilbao, 4 d. Santiago * 1 d. Tnfdttitbs. ..... 82 'Vsltffecftltac 19 id................... 4 Villanubla........... 18 id.................. 9 ANUNCIOS. Nota. Se ignora el número de enfermos y corado*. Obras qta se hallan dt venta en el despacho de la imprenta Real. Lecciones de Aritmética, cuarta edición año de 182$ * un tomo en 8.° , k 6…</t>
  </si>
  <si>
    <t>Tnrébano.y, Miguel</t>
  </si>
  <si>
    <t>Miguel Tnrébano.y</t>
  </si>
  <si>
    <t>I ruado vii al det céjtitsn del propio cuerpo D. Manuel Marque* , coa «a «yn- «gtd con lat futrías de an brinda aa había unido i dicho general ao wtto.Ha dante mayor D. Miguel Tnrébano.y toda-comaodada por el comandante de ar— •e:"b« k «tuacion de ta»d¡vu¡ooes del mando del generaf Anleo y «1 briga mas de esta ciudad y!iu distirito teniente coronel D. Agustín Ramos Cervantes. dier Fíguerat. Añade dicho comandante general da las pnrrinciu Vaecoqgadat ■ Precedida de. cuatro batidores…</t>
  </si>
  <si>
    <t>To, Diego Clemencin</t>
  </si>
  <si>
    <t>Diego Clemencin To</t>
  </si>
  <si>
    <t>…de una tercera parte. No han hallado la menor acogida, El ingenioso hidalgo D. Quijote de la Mancha , compuesto por Mi ni han logrado los fines que se proponían esparciendo folletos sub guel de Cervantes Saavedra, y comentado por D. Diego Clemencin. To versivos, proclamas, bandos y decretos del Pretendiente; entre ellos mo 3.0, último de la i.a parte. Habiendo ocurrido circunstancias Im uno por cierto singular y extraño, en que declara nula la quinta previstas que hacen mas leDta la publicación de la obra, se previene i Jos suscriptores que puede…</t>
  </si>
  <si>
    <t>To, Morjier</t>
  </si>
  <si>
    <t>Morjier To</t>
  </si>
  <si>
    <t>…ento como el pobre jorna Thiers, Persil, Dúchate!, Roussin; •“'Jacob, el “duque de Bassano, Bresson, lero: nuestras discordias, ahora como siempre., han ofrecido á la piedad leo el general Bcrnard&gt; Passy, Teste, Carlos Dupin y el'mariscal Morjier. To nesa ocasión de aliviar tristes y crueles infortunios. No habéis dejado pasar, se tal 32. (jMensajero.) ñores, esta ocasión, y gracias.á vuestras dádivas, muchos desgraciados é ino centes ciudadanos han alcanzado una reparación tardía, pero segura sin duda Cuando el incendio de las dos Cámarás del…</t>
  </si>
  <si>
    <t>Toácano, Sánchez</t>
  </si>
  <si>
    <t>Sánchez Toácano</t>
  </si>
  <si>
    <t>…isto, hayan tenido origen en éstas discordias familiares de los : vizconde de San Simón, Arango y Ayala. ~ pueblos; pero si que.se h.\n aprovechado no pocas veces desellasen los mismos Se leyó la siguiente adición al art. 5.° del Sr. Sánchez Toácano , que no se para sus rivalidades ,particulares. Jía bastado solo en algunos que una familia, se . tomó en consideraron: »Los.notoriamente desafectos á la RJbina. nuestra Se decidiese por un sistema á¡ idea, para que las, demás adoptasen sin exámen la ñora, -Doña Isabel it, mientras dure .el estado…</t>
  </si>
  <si>
    <t>Tobar, Antonio</t>
  </si>
  <si>
    <t>Antonio Tobar</t>
  </si>
  <si>
    <t>…eos nos parece una gran calamidad , no si:.o porque e» ¿iüci'í ha S. M. se ha servido nombrar comandante militar de Albacete al llar otras personas que tengan tanta aptitud como e.los para ci manejo de los brigadier de infantería D. Antonio Tobar. r.egoc os pub.ico» , y porque es imposible reemo.azar a los que son micm’v a de ¡a Camara de u&gt;s Gaiu/ne» con otros hambres tan haoucs , sino tamben porque eile cimbio puede disminuir mas bien que aumentar el número de leu pan dmos d«t ministerio en las clases cu va asistencia es mas apetecible par…</t>
  </si>
  <si>
    <t>Tobefnadora</t>
  </si>
  <si>
    <t>…o son jtante para perturbar la tranquilidad en lo restante de la población, donde enteramente uniformes entre sí, S. M. la Reina Gobernadora, habiéndose dig oi siquiera se supo tan desagradable suceso; con todo, enterada S. M. la Reina Tobefnadora ¿e lascircunstancias que lo acompañaron, y para impedir con nado tomar en su Real consideración, por una parte5 lo propuesto por la jun (i pronto castigo que se repitan otros de igual naturaleza', se ha servido dictar, ta de generales y Otros •dictámenes, y por otra, lo ejecutado ya en muchas pro ¿¡Jo…</t>
  </si>
  <si>
    <t>Toda</t>
  </si>
  <si>
    <t>…). Ju-in de D-os Miran.iá; de todo» Los oficiales herido» y contusos, cutos y dar lugar á que saliese de aquel desventajoso parage no sin bastante perdida. nombres van expresado»; de los tenientes de Ja Guardia Real de infantería Don Toda la dificultad consistía en hallar posición donde establecer ñus tropas, se Valentín Cañedo, IX Joaquín Santamaría, D. Antonio María de Alós, Dn guro como lo estaba de que desde este momento nada tenia que rezelar. Yo que Fernando Coroner; de los alféreces de la misma D. Rafael de Castro, P. Ma venia á…</t>
  </si>
  <si>
    <t>Todas</t>
  </si>
  <si>
    <t>…o*. • ben del monte Líbano , en Siria, que ha llegado allí desde Egipto el plcnipt^ Si sediciosa llama levantare, tenciario francés barón Bois-le-Comte &gt; y que se ha alojado en el palacio del En ella morirán los que la encienden: príncipe. Todas las autoridades civiles y eclesiásticas se presentaron i felicitar i Cristina es de U España Protectora, S. E. y darle gracias por la protección que dispensa la Francia á la nación ma- Y híspana fiel á su Isabel adora. ronita. Riza-etTendi ha sido nombrado director del tesoro, y Naf-ctfendi, que Y vos,…</t>
  </si>
  <si>
    <t>Todavía</t>
  </si>
  <si>
    <t>…CIAS EXTkANGERAS. Gobernadora y laSerma. Sra. Infanta Doña María Luisa, continúan Stockolmo 19 de Agosto. REALES DECRETOS. El jueves pasado sé presentó el proceso del capitán Liudeherg al cornejo dé Estado, presidido por S. M. el Rey. Todavía no se han filmado les proto Atendiendo á las reiteradas instancias que me ha dirigido él colos; pero se sabe ya positivamente que el redactor del AJloublad ha sai ido espitan general de los Reales ejércitos duque de Bailen para qué libre de la acusación de ofensa contra la persona del Rey; sin emba…</t>
  </si>
  <si>
    <t>Todo</t>
  </si>
  <si>
    <t>…uentes que las del manifiesto referido; os los copiaremos a ticulares que presidia y arengaba el comisionado regio, animando la fidelidad y Ja íetra, seguros de que nada puede decirse que exprese sus sentimientos e ideas decisión general. Todo el gasto de las funciones se ha hecho ¿ expensas de los con mas precisión y sinceridad. vecinos, y señaladamente se distinguió la beneficencia deL Excmo. Sr. margues »»No dejaré, dice nuestra Reina Gobernadora, á nombre de su augusta de Villafraoca, quien distribuyó i/óu raciones de pan y 3uu de ca…</t>
  </si>
  <si>
    <t>…moria relativa iai : que tiene le comisión peía no. alterar su dictámen, y pedir el documento Asi lo verificó, y concluida cita lectura , dijo; ¿1 mismo Sr. Secretario del ■, ‘ ■ j . •oficial.” "■ \ • *. . Despacho: V . '■ El Sr. Caballero' «Todo lo que.ve en dudar.la comisión, yo lo veo ¡muy « Acompafiaháasta resefiageaeral de todo» los presUpuestós los particuclaro. K Eftj.TgTo|U^t , ' .^««P^Jgalwwnte les estatal, que en |lU» sé citaré &lt;eestán eso na^dSjo^il^KCTATOTor^e^mdl áar «MapAdo cr¡2SnJmn»^&amp; Señor1 Echevarría lo está; de,consiguien…</t>
  </si>
  <si>
    <t>…les que defienden cillez de las reglas en que se fundí la análisis algebraica para el despejo de las la juita causa de nuestra adorada Reina Doña Isabel ii.” incógnitas y tra-&gt;foimaciones de que son susceptibles las ecuaciones en general, Todo lo que elevo &amp; conocimiento de V. E. para su noticia , y á fin de aplicando su teoría á las de primero,segundo y aun de tercer grado, por cuyo que se digne hacerlo á la soberana consideración de S. M. la Rkxxa Gober midió resolvió con elegancia cuantas cuestiones le fueron propuestas. En se nadora.…</t>
  </si>
  <si>
    <t>Todo, A-guirre Solarte</t>
  </si>
  <si>
    <t>A-guirre Solarte Todo</t>
  </si>
  <si>
    <t>…rado, me bruna.e i tra del reglamento. Yo creo que nos estamos envolviendo en un laberinto; reprobar en todo el primer articulo del proyecto de ley/* el cómo se ha de desenvolver lo veo muy difícil: algunos lo verán mas claro, El Sr. A-guirre Solarte ■ «Todo lo que se ha diario en c*ta materia en y desearía que emitiesen su Opinión. los 11 dias que llevamos de discusión,' me parece dcji poco que desear : nada »Q&gt;mo ha dicho el Sr. Ministro de Hacienda y otros, la cuestión parece de nuevo ni original se puede presentar al Estamento, v hasta me atrevo a…</t>
  </si>
  <si>
    <t>Todo, Caballero'</t>
  </si>
  <si>
    <t>Caballero' Todo</t>
  </si>
  <si>
    <t>…a memoria relativa iai : que tiene le comisión peía no. alterar su dictámen, y pedir el documento Asi lo verificó, y concluida cita lectura , dijo; ¿1 mismo Sr. Secretario del ■, ‘ ■ j . •oficial.” "■ \ • *. . Despacho: V . '■ El Sr. Caballero' «Todo lo que.ve en dudar.la comisión, yo lo veo ¡muy « Acompafiaháasta resefiageaeral de todo» los presUpuestós los particuclaro. K Eftj.TgTo|U^t , ' .^««P^Jgalwwnte les estatal, que en |lU» sé citaré &lt;eestán eso na^dSjo^il^KCTATOTor^e^mdl áar «MapAdo cr¡2SnJmn»^&amp; Señor1 Echevarría lo está; de,consiguien…</t>
  </si>
  <si>
    <t>Todo, D Dicco</t>
  </si>
  <si>
    <t>D Dicco Todo</t>
  </si>
  <si>
    <t>…erimentar una persecución que no les deja Xl.CROLOOtA. descansar'en parage alguno,' y á pasar la vida mas desgraciada que puede figu rarse, no contando ya mas de 2l)0 hombres. En la noche de 30 de Julio de 1834 falleció el Excmo. Sr. D. Dicco «Todo nie anuncia que estas facciones van á disolverse y concluir antes Clemencin, Procer del Reino v Secretario del ilustre Estamento de Pro^cnes, de lo mas crudo dpi invierno., por serles imposible subsistir en el país que pi arrebatado por un ataque de c&lt; ilera-moibo á su familia, a sus numerosos ami…</t>
  </si>
  <si>
    <t>Todo, Dicco</t>
  </si>
  <si>
    <t>Dicco Todo</t>
  </si>
  <si>
    <t>…entar una persecución que no les deja Xl.CROLOOtA. descansar'en parage alguno,' y á pasar la vida mas desgraciada que puede figu rarse, no contando ya mas de 2l)0 hombres. En la noche de 30 de Julio de 1834 falleció el Excmo. Sr. D. Dicco «Todo nie anuncia que estas facciones van á disolverse y concluir antes Clemencin, Procer del Reino v Secretario del ilustre Estamento de Pro^cnes, de lo mas crudo dpi invierno., por serles imposible subsistir en el país que pi arrebatado por un ataque de c&lt; ilera-moibo á su familia, a sus numerosos ami…</t>
  </si>
  <si>
    <t>Todos</t>
  </si>
  <si>
    <t>…a y dió muerte en el acto al hijo seim-bajá, tan célebre por el exterminio del cuerpo de los genízaros, y , junta de Incas», muchacho de ISaños. Entre tanto la madre que andaba ocupada mente Mustafá-bajá, antiguo privado del Gran Señor. Todos montaban caba por la casa, se sintió rodeada de fluido eléctrico y cayó al suelo sin sentido; llos de legítima casta árabe. En seguida venían los ministros de la Puerta y los perore acudió inmediatamente con remedías eficaces, y el médico que la asiste visires Achmet y Ramkor-bajá , el capitan-bajá…</t>
  </si>
  <si>
    <t>…us jm litas Aruelas. i correos y sub Jelegacíon de policía eran dignas de la admiración pública , si-.i que El 4-° representaba á la España en trace v ademan de una noble matronal ! por ello cediesen en nada las del vecindario en general. Todos los habitantes, recibiendo lo» presente» de naciones extrañas, entre la» cuales se veían do' ia- ] dúrafitc los día» de festejos , han manifestado, junto con el inmen»o concurso dios inclinados á su presencia: la» artes y ciencias otrccienJo sus dones; 1j pin venido de la comarca y pueblos circunvecino…</t>
  </si>
  <si>
    <t>…l pueblo. cer , porque los enemigos no se enterasen de mis pocas, pero no El referido comandante de armas recomienda el valor y deci bien ponderadas tropas. sión de todos los individuos, y principalmente al sargento Velas— Excmo. Sr.: Todos han obrado prodigios de valor, manifestan- co, de quieti dice ejecutó las hazañas mas valerosas en la acción de do el mas vivo entusiasmo por la causa de nuestra muy amada So Ruidera, en la que él solo mató con su propia mano 15 de los berana Doña Isabel ri, cabiéndome la satisfacción de que por re…</t>
  </si>
  <si>
    <t>Todos, Agustín García Atocha</t>
  </si>
  <si>
    <t>Agustín García Atocha Todos</t>
  </si>
  <si>
    <t>…el pueblo, y no por una fac Sr. D. Rufino García Carrasco. ción militar. Por último, exigia el generalísimo que todas las brigadas, sin Sr. D. Diego González Alonso. .excepción alguna, fuesen mandadas por un oficial francés. Sr. D. Agustín García Atocha. Todos estos dictámenes fueron desechados por EL Miguel y por sus amigos y consejeros , Tos cuales reducían sus raciocinios al siguiente silogismo: Bourmont PROVINCIA DB CASTBICON SB AA |U|A, tomó á Argel: el que tomó á Argel, pudo tomar á Lisboa: no lo ha hecho; lue Sr. D. José Cuevas, hacendado. go es u…</t>
  </si>
  <si>
    <t>Todos, Carlos de Inglaterra</t>
  </si>
  <si>
    <t>Carlos de Inglaterra Todos</t>
  </si>
  <si>
    <t>…en tales lances portarse de un modo menos có dicha Sra. duquesa; y que tenia la convicción moral de que desde el mo digno. mento en que puso el pie en tierra la duquesa, io supo el Gobierna; asi como &gt;i Vamos ahora á la salida de D. Carlos de Inglaterra. Todos los que han supn también toda ia marcha que dicha señora siguió; de lo cual no le qu.-d*- estado en aquel país conocen lo dificultoso que es el averiguar cuando una per ba la menor duda , como no 1c quedaría á ninguno de los que habían te..ido el sona entra ó sale de su territorio, y la imposibilidad d…</t>
  </si>
  <si>
    <t>Todos, D Agustín García Atocha</t>
  </si>
  <si>
    <t>D Agustín García Atocha Todos</t>
  </si>
  <si>
    <t>…por el pueblo, y no por una fac Sr. D. Rufino García Carrasco. ción militar. Por último, exigia el generalísimo que todas las brigadas, sin Sr. D. Diego González Alonso. .excepción alguna, fuesen mandadas por un oficial francés. Sr. D. Agustín García Atocha. Todos estos dictámenes fueron desechados por EL Miguel y por sus amigos y consejeros , Tos cuales reducían sus raciocinios al siguiente silogismo: Bourmont PROVINCIA DB CASTBICON SB AA |U|A, tomó á Argel: el que tomó á Argel, pudo tomar á Lisboa: no lo ha hecho; lue Sr. D. José Cuevas, hacendado. go es u…</t>
  </si>
  <si>
    <t>Tofiño, Vicente</t>
  </si>
  <si>
    <t>Vicente Tofiño</t>
  </si>
  <si>
    <t>…iento en Filipinas de una fuerza naval, y Después de haberse publicado él Atlas marítimo de España, trabajado restablecimiento del apostadero, según las bases propuestas por el extinguido desde 1783 á 1787 por el gcf« de escuadra D. Vicente Tofiño, y de haberse consejo de Almirantazgo , sin resolver definitivamente acerca de este punto, reunido Los trabajos hidrográficos de nuestros extensos dominios en América y se tometió el mando de la marina de las mencionadas islas al segundo cabo de Asia producidos por expediciones especiales, como la…</t>
  </si>
  <si>
    <t>…en concluir en todo el año de 183$ : los que ha construido la Sociedad Riojana» trada y fondeadero hasta dejar la sonda en el estado que demarca el plano de «1 de León á Oviedo y Gíjon; el de la Coruña a Santiago y Vigo : el empe D. Vicente Tofiño, y que se reconozca la línea de desvío por donde pueda zado del Ferrol á Betanzos-, el de Santiago á Lugo; el ramal que, separándo dirigirse el rio Cubas sin perjudicar al puerto, extendiendo este pensamiento se en la carretera general de Galicia en el puente Rabade, se dirigirá al Fer á las obras…</t>
  </si>
  <si>
    <t>Toícdwf</t>
  </si>
  <si>
    <t>…ijo». En mi opinión, prescindiendo ahora de Us otra* razones que cía Carrasco, marques d* Somerueios, Abargues, y Migue». expondré algún día, me parece qu : ¡amas pudo el gobierno de S. M creed que Entro á jurar y tomó asiento el Sr. Toícdwf las rentas propias de lo* Procuradores hayan de ser sino rentas nacidas deí pro El Sr. Presidente encaren a los brev cc la cv&gt;trn*h n arriba nombrada, la ducto del trabajo, como (o entendieron y entienden todos los economistas. En íoavor brevedad en sus trabajos para que el Estamento pueda ocuparse en…</t>
  </si>
  <si>
    <t>Toirá</t>
  </si>
  <si>
    <t>…uiría la no [atienen.; porque recopila noticias muy convenientes á W instrucción de todos ea general. Por último, se ponen treinta cuestiones resueltas para la inteligencia de las que conduce al mismo país procedente de Burgos el coronel Toirá, que en di sentidos de ta Biblia: se explic-n algunas voces que exceden ’a erudición común • y cho día debía entrar en Haro. También debía llegar á Orduña el mismo día la se da noticia de ios- autores que las escribieron por inspiración divina: en las epi5ttí&lt;- 'columna del mando del comandante Cos…</t>
  </si>
  <si>
    <t>Tojo, Andrés</t>
  </si>
  <si>
    <t>Andrés Tojo</t>
  </si>
  <si>
    <t>…uales ción de aquel reino y parte adyacente de León, excepto la provincia de Mon se habían distinguido, como también el alférez D. Gabino Perez, teniente do ñedo y la región contigua de Asturias, que fecundan los r¡06 Eo y Natía. D. Andrés Tojo, y subtenientes Vargas y Machado, de granaderos de la Guar Al emprender esta última parte de las operaciones geodésicas con toda dia Real provincial, que tanto ellos como la demas tropa de este cuerpo, y la protección del capitán general conde de Cartagena , fue necesario la mavor del destacamento…</t>
  </si>
  <si>
    <t>Toledano, José</t>
  </si>
  <si>
    <t>José Toledano</t>
  </si>
  <si>
    <t>…car armas y pólvora. Termina asegurando que si esta ley se aprueba, la legis tillo y Veiasco que había destinado a la colocación de los cuerpos para qu&gt; lación criminal quedará mas confusa y complicada. fuese de parlamentario con D. José Toledano, qué posee el portugués, propo La Cámara cierra la discusión general, y pasa á examinar los artículos det niendo se entregase la plaza, bajo tas garantía* personales y de propiedad coa proyecto. [Se concluirá.) lo demas que me pareció conveniente. Para contestar reunieron los gefes y oficiales de r…</t>
  </si>
  <si>
    <t>Toledo</t>
  </si>
  <si>
    <t>…de — En una memoria publicada en apoyo del proyecto de, construcción de un ca vapor Francisco 1 para Génova , acompañado de las princesas sus bijas. mino de hierro desde Ambéres á Coloniy , vemos que al principio del siglo x»v El general Toledo, nombrado embajador por D. Cirios cerca de la corte era ya Ambéres una de las ciudades mas poderosas de Europa. Veíanse frecuen dé Ñipóles , no ha sido admitido á la audiencia del Soberano, lo que parece con- temente en 1550 dentro de sus puertos 23 buques cargados de mercancías, y firmar.la notici…</t>
  </si>
  <si>
    <t>Toledo, Armildez e</t>
  </si>
  <si>
    <t>Armildez e Toledo</t>
  </si>
  <si>
    <t>Es cuanto digno de la consideración de V. E. debo participarle ets este de Rodil —Excmo. Sr. conde Armildez 4e Toledo en cargo* de vireyes Es momeotSparítlá debida-noticia de la augusta Reina Gobernadora: cdpiai—El marques dfc Kodtl. ; T~ -&lt;p &lt;*-. E)ios cSfc/ Cuartel general de Lizazu' S'24 do. Agosto de 1834i las doce deIanoche.=¿Excmo. Sr—El marquesde Rodil. ' Ejército de operácidnes del NoKte. = ÉTcmo, Sr. rsEJ…</t>
  </si>
  <si>
    <t>ToledoV, D Jo e</t>
  </si>
  <si>
    <t>D Jo e ToledoV</t>
  </si>
  <si>
    <t>…ntería y mi ayu posición sobre este punto y las alturas de Orozco a! resto de los mencionado* dante de campo conde de Campo-Alange, capitán del regimiento provincial de cuerpos b*jo las órdenes del brigadier D. Manuel Benedicto y coronel D. Jo&gt;e ToledoV por haber manifestado á su vista el mayor valor , decisión y actividad O/orcs', que ocuparon oportunamente las monidiñas que dirigían adonde yo ib* en lo mas arriesgado del combate. Debo también hacer mención honorífica del ¿ atacar, evitando de este modo cualquiera tentativa de nuevos enemigos , y…</t>
  </si>
  <si>
    <t>ToledoV, Jo e</t>
  </si>
  <si>
    <t>Jo e ToledoV</t>
  </si>
  <si>
    <t>…mi ayu posición sobre este punto y las alturas de Orozco a! resto de los mencionado* dante de campo conde de Campo-Alange, capitán del regimiento provincial de cuerpos b*jo las órdenes del brigadier D. Manuel Benedicto y coronel D. Jo&gt;e ToledoV por haber manifestado á su vista el mayor valor , decisión y actividad O/orcs', que ocuparon oportunamente las monidiñas que dirigían adonde yo ib* en lo mas arriesgado del combate. Debo también hacer mención honorífica del ¿ atacar, evitando de este modo cualquiera tentativa de nuevos enemigos , y…</t>
  </si>
  <si>
    <t>Tolosa, Desde</t>
  </si>
  <si>
    <t>Desde Tolosa</t>
  </si>
  <si>
    <t>…o en España, solo sacarán de sus o-últas ma hesión á la justa causa. quinaciones un completo desengaño. Ninguna provincia , ninguna poblacíop se ha levantado á su voz; su presencia no ha producido el menor efecto ; el ejér Excmo. Sr.: Desde Tolosa proseguí hoy mi marcha á Villafranca , y allí cito se conserva cada d¡a mas fiel , y se s^be que el Pretendiente permanece ea revisté rápidamente ia tropa del cargo del Sr. brigadier D. Gaspar Jáuregui, un obscuro retiro á ia falda del Pirineo, entre tanto que las tropas leales per y sobre este act…</t>
  </si>
  <si>
    <t>Tolosjna, D Felipe</t>
  </si>
  <si>
    <t>D Felipe Tolosjna</t>
  </si>
  <si>
    <t>…de S. M. la Reina nuestra Señora se verificó en citado coronel Jáuregui alaba la conducta de ti 3.a compañía de la columna [esta ciudad el 19 del pasado con función de iglesia y festejos públicos, en que móvil de Guipúzcoa con su capitán D. Felipe Tolosjna, que desalojo á los l 'dieron los, habitante^ señales manifiestas de adhesión á la legitimidad de su So rebeldes de la altura de Oiavarria. Que la perdida de estos ha sido mus- consi- I berana. El pendón Real quedó por tres dias en el balcón de las casas consisto derable; y que por la suya tuvo tre…</t>
  </si>
  <si>
    <t>Tolosjna, Felipe</t>
  </si>
  <si>
    <t>Felipe Tolosjna</t>
  </si>
  <si>
    <t>…la Reina nuestra Señora se verificó en citado coronel Jáuregui alaba la conducta de ti 3.a compañía de la columna [esta ciudad el 19 del pasado con función de iglesia y festejos públicos, en que móvil de Guipúzcoa con su capitán D. Felipe Tolosjna, que desalojo á los l 'dieron los, habitante^ señales manifiestas de adhesión á la legitimidad de su So rebeldes de la altura de Oiavarria. Que la perdida de estos ha sido mus- consi- I berana. El pendón Real quedó por tres dias en el balcón de las casas consisto derable; y que por la suya tuvo tre…</t>
  </si>
  <si>
    <t>Tolrá</t>
  </si>
  <si>
    <t>…hallaba en Lerin el coronel Oráa , que obraba en combinación' complacemos en insertar algunos de sus pasages, ya que la multitud de mate con el general Lorenzo sobre la facción de Navarrariales no permite copiarla toda entera. El coronel Tolrá, con parte del regimiento de Borbon de su mando, un «Mis amados hijos en el Señor: es tal vez llegado el caso en que hombres batallón de la Princesa y alguna caballería, marchaba aai propio tiempo de jiesleaies intenten seduciros excitándoos.¿ la rebelión , y aunque os hemos avi Burgos sobre Logroñ…</t>
  </si>
  <si>
    <t>…e. El plazo señalado para la presentación de las memo El comandante general de las provincias Vascongadas, con referencia at rias sera hasta el 10 de Octubre. Se dirigirán al secretario de la sociedad, y -parte que le comunica el coronel Tolrá, manifiesta que el mismo dia 28 de ■cada una llevará un lema, que irá repetido,en el sobre de otro pLiego cerrado, Febréfo ¿ las tres de la madrugada fueron sorprendidos cü Alda por el cardentro del cual se declarará el nombre del autor. Estos pliegos se quemarán pitan de caballería de Borboh D. Ba…</t>
  </si>
  <si>
    <t>…Pedro Carrillo, en el que me dice desde Maestú que á la una de la tarde salia con su columna en persecución de los facciosos que desde Altcha se dirigían paia Greñú , y que este movimiento lo ejecutaba ya reunido á la columna dél coronel Tolrá , consistiendo la fuerza de las dos en 1800 in fantes y 100 caballos; y firpemente persuadido de que los rebeldes en su retirada deben te ner gran dispersión, hé dispuesto que en esta misma noche salga de aquí otra columna de 150 hombres de reclutas fogueados y unos cuantos caballos , para que sigu…</t>
  </si>
  <si>
    <t>…irrogue perjuicio,caso de estar preparando algún documento posiciones, dispersar su mayor parte , y reducirlos á un estado desastroso. de los admitidos á sellar hasta ahora, se le da este aviso para su conocimiento La columna del coronel Tolrá , que partió de la Guardia , combinada con y gobierno. la del brigadier Carrillo, procedente de Vitoria, ocuparon á Maeslú , y persii'u endo á la facción de Alava, la han forzado á refugiarse al valle de Arama- En la subdelegaron de maestrazgos de Ocaña se han de subastar diferentes yona en los con…</t>
  </si>
  <si>
    <t>…orción hacia Marquina; I '.Granada zo par. , * Id. Zaragoza 00. Burdeos | d. y que habiéndose incorporado en la tarde de aquel dia en dicho pueblo de Vi Hamburgo , 00. Barcelona á pesos fs.'Málaga b. Descuerno de letras llanal el coronel Tolrá con su columna, salía en la madrugada siguiente para Ldodres á 90 dias j b. [Santander par. á 4 p. 100 al afio. Ochandiano, y desde allí á Dima, para atacarlos en donde quiera que los en 37¿* t Bilbao par á J d. ¡Santiago 1 d. contrase. . anuncios. El brigadier Espartero desde Durango le decía con…</t>
  </si>
  <si>
    <t>…es recibidos en la Secretaría de D.t.iao y del Despacho de la Guerra, los c&lt; rregidores (mutres): acerca de los artículos y 8.°, primeros de este capítulo, alegan varias razones ios Sres. Ducordis, Barbel, Le) raud , Isambcrt, El coronel Tolrá tuvo el 12 del corriente una acción muv gloriosa con los Caumarun, ministro de Comercio, O. Bariot, lícrve y Laurencc, queriendo facciosos alaveses en el punto iUmid«&gt; U l'on, ic-ja , ea ia Rioja alavesa, en unos que se conserve el sistema de centralización que hasta ahora se ha seguido, que estos…</t>
  </si>
  <si>
    <t>…sente el repartimiento pagado del 4 por 100 á cuenta del dividendo que se entre ellas la de un oficial muerto. acordará, ha determinado en conformidad al artículo 35 de la Real cédula re De resultas de estos movimientos y los del coronel Tolrá sobre la facción partir 5 por 100 mas á las acciones para complemento del 9 por 100 que cor alavesa, algunos cabecillas, como Sopdana y D. Basilio, hubieron de repasar responde en el año de esta junta. Esta disposición fue aprobada en la junta ge el Ebro, y el segundo se dirigió hicia Rioja , en cu…</t>
  </si>
  <si>
    <t>Tolra</t>
  </si>
  <si>
    <t>…ef Berriz y Guzoun. con Vitoria, interrumpida por las excursiones de dicha banda, se verificó de noche por la dificultad que ofrecía el hacerlo de día , aprovechándose tan bien el citado Castell de las instrucciones que 1c dió el coronel Tolra , que álas once £1 mismo dia que se celebró en la villa de Pedroñeras la proclamación de de la noche sorprendió á los rebeldes que estaban repartidos en tres casas, cuya [Ja Reína nuestra Señora, el cura párroco dirigió á sus feligreses una tierna circunstancia y la situación quebrada del pueblo fa…</t>
  </si>
  <si>
    <t>Tolrá, Carlos</t>
  </si>
  <si>
    <t>Carlos Tolrá</t>
  </si>
  <si>
    <t>…ta por la escasez de lluvias en el distrito ¿ que se destina tan inmenso be-' que andaba toda la noche vagando sin dirección determinada. neficio; y para acreditar lo que ya se habia adelan^do remitió al ministerio . . El coronel D. Carlos Tolrá verificó su reunión con Rafecas en Sorzano, del Fomento ci; siguiente estado de las obras de la empresa de regadíos de Dalias: después de haber tenido un pequeño encuentro con el enemigo, que le puso en bastante desconcierto. Varas de canal de manipostería concluidas. ......................... .. 4…</t>
  </si>
  <si>
    <t>Tolra, Carlos</t>
  </si>
  <si>
    <t>Carlos Tolra</t>
  </si>
  <si>
    <t>…en Marbella se curaron en 11 Merecer*, particular elogió el comandante del regimiento de Extremadura y 12 del corriente, los únicos cinco enfermos que resultaron existentes en el 13. José Raiceas, el brigadier, coronel de Borbon, D. Carlos Tolra, el coronel dia 10, sin que en los siguientes dias 13 y 14 ocurriese novedad alguna en la D. Bartolomé Amor, que acudió de Navarra por orden del general en gefe salud del pueblo. Y que en Ojen el dia 1S solo habia cinco enfermos de males marques de Moncayo, el coronel D. Saturnino Albuin y otros ge…</t>
  </si>
  <si>
    <t>…s principales producciones y artículos de comercio de los estados ffecha 20 del actual dice á este ministerio lo siguiente: ” Exento. Sr.: El bri en que se subdivide, desempeñó con despejo la resolución de varios problemas gadier D. Carlos Tolrá me dice con fecha 12 del corriente desde la Guardia lo sobre la esfera armilar y sobre el globo terrestre, y disolvió varias dificultades su - que sigup : Excmo. Sr.: Ayer á las dos de la tarde desfilaron por frente de Ota geridas por el concurso sobre arreglo de cuentas corrientes con ínteres, j d…</t>
  </si>
  <si>
    <t>Tolrá, D Carlos</t>
  </si>
  <si>
    <t>D Carlos Tolrá</t>
  </si>
  <si>
    <t>…, incierta por la escasez de lluvias en el distrito ¿ que se destina tan inmenso be-' que andaba toda la noche vagando sin dirección determinada. neficio; y para acreditar lo que ya se habia adelan^do remitió al ministerio . . El coronel D. Carlos Tolrá verificó su reunión con Rafecas en Sorzano, del Fomento ci; siguiente estado de las obras de la empresa de regadíos de Dalias: después de haber tenido un pequeño encuentro con el enemigo, que le puso en bastante desconcierto. Varas de canal de manipostería concluidas. ......................... .. 4…</t>
  </si>
  <si>
    <t>Tolru</t>
  </si>
  <si>
    <t>…esta por el Sr. Laurence, declara ^que guidos en d.stinra» direcciones, dejindo 13 muertos, y co-tar.d ' mis de 4^ los corregidores Citan encargados de la publicación y ejecución de las le)es, de heridos y algunos prisioneros. Ei coronel Tolru, de quien hace c-merai Osma la policía rústica urbana y de los caminos vecinales, de la alineación de las el miyor ei »¿i recomienda el mérito de las bizarras tropa» de .u mando, que calles y de conceder ó negar la licencia para reparar y construir los edificios á porfi 1 se Jivp ¡’.ibia la ocasión…</t>
  </si>
  <si>
    <t>Tomas</t>
  </si>
  <si>
    <t>…e con honorífica, ademas de los nombrados en el anterior relato, del gefe de brigada batallones dispersos en guerrilla: para contenerlos hice establecer por escalones bafon de Mecr, del gefe de la plana mayor de la misma, coronel D. Tomas varias compañías, que haciéndoles un fuego vivo y bien dirigido daban lugar á Y a r: o, qúc contribuyó con su serenidad y valor al mejor e\íto de la acción; quería columna á paso redoblado atravesase las espesuras y los ríes que cortan de los geíes de batallón de la Guardia Real de infantería D. Jo…</t>
  </si>
  <si>
    <t>…alla , gefe D. Joaquín Alvarez Bayon, D. Miguel Oasct. Tenientes: D. Baltasar Novelia, de una guerrilla constitucional; que á la mañana siguiente rodeáronla aldea las D. Buenaventura Tomás, D. Nicolás Collard. Sargentos primeros: D. Tomas guerrillas enemigas de Moura y Serpa, y Batalla cayó sobre ellos, les mató 19 Espiriquiti, D. Alejandro Gasart, D. Amonio Leoreses, Ramón Ga.vez, hombres y cogió 15, teniendo jzor su parte dos hombres muertos y uno heri Tomás Lizanda, Joaquín Trullcn. Cadetes: D. Juan Sevilla, D. Antonio Re do ; fi…</t>
  </si>
  <si>
    <t>Tomás</t>
  </si>
  <si>
    <t>…das que han ocur'Teádras}o&lt;¿ntén&lt;fido^ 7 dispondréis lo necesario á su cumplimiento.zrEstá ru rido á varios subdelegados de Fomento al tiempo de hacerse cargo de los ex bricado de Ib Real rano. ±=Áranjuez 20 de Marzo de 1834* = A D. Tomás pedientes gubernativos de pósitos, en que conocían antes los subdelegados de.' Lobo. ramo, á causa de que encontrándose entre ellos algunos contenciosos, ivo poJ dian proseguirlos sin mezclarse en las atribuciones judiciales, f S. M., consi Teniendo en consideración A a calidad de los negocios árdu…</t>
  </si>
  <si>
    <t>…de muy poco valor, habien de 1808 en Madrid , ha cabido en suerte con el primer extracto de la de este do conseguido ademas la dispersión general de toda la facción , como se prueba dia á Doña Joaquina Gallardo, hija del patriota D. Tomas, muerto en el por los partes de las justicias de los pueblos que luego que concluya de recibir campo del honor. los pasaré á sus manos, y una relación nominal de los presentados en sus casas. Lo que tongo el honor de trasladar á V. E. Scc., debiendo hacerle presente se sirva tener en consideración…</t>
  </si>
  <si>
    <t>Tomás, Buenaventura</t>
  </si>
  <si>
    <t>Buenaventura Tomás</t>
  </si>
  <si>
    <t>…e Febrero á eso de medio dia habia entrado en aquella aldea Batalla , gefe D. Joaquín Alvarez Bayon, D. Miguel Oasct. Tenientes: D. Baltasar Novelia, de una guerrilla constitucional; que á la mañana siguiente rodeáronla aldea las D. Buenaventura Tomás, D. Nicolás Collard. Sargentos primeros: D. Tomas guerrillas enemigas de Moura y Serpa, y Batalla cayó sobre ellos, les mató 19 Espiriquiti, D. Alejandro Gasart, D. Amonio Leoreses, Ramón Ga.vez, hombres y cogió 15, teniendo jzor su parte dos hombres muertos y uno heri Tomás Lizanda, Joaquín Trullc…</t>
  </si>
  <si>
    <t>Tomas, D</t>
  </si>
  <si>
    <t>D Tomas</t>
  </si>
  <si>
    <t>…pidamente con honorífica, ademas de los nombrados en el anterior relato, del gefe de brigada batallones dispersos en guerrilla: para contenerlos hice establecer por escalones bafon de Mecr, del gefe de la plana mayor de la misma, coronel D. Tomas varias compañías, que haciéndoles un fuego vivo y bien dirigido daban lugar á Y a r: o, qúc contribuyó con su serenidad y valor al mejor e\íto de la acción; quería columna á paso redoblado atravesase las espesuras y los ríes que cortan de los geíes de batallón de la Guardia Real de infantería D. Jo…</t>
  </si>
  <si>
    <t>Tomas, José</t>
  </si>
  <si>
    <t>José Tomas</t>
  </si>
  <si>
    <t>…r fue D. Fernando Gutiérrez, y delineanto restante de piedra berroqueña. D. Mariano Peinio. La escultura como va referido fue ejecutada por los pro Por último , cargaba sobre el ático otro sotabanco de corta altura, y con fesores D. José Tomas, D: José Piquer y D. José Gines: los bajos-relieves fue cluía la composición con una pirámide truncada cuadrangular , que aparecía ser ron pintados por D. Leonardo Alenza: el resto de la pintura del catafalco y de piedra berroqueña, con cuatro grandes arcos semicirculares abiertos en los coro, que…</t>
  </si>
  <si>
    <t>Tomasa, Antonia</t>
  </si>
  <si>
    <t>Antonia Tomasa</t>
  </si>
  <si>
    <t>…ino, y mayordomo mayor de S. M. F. La misma tribuyeron armas á los que se presentaron á pedirlas. Estas señoras son. Doña augusta Señora se sentó en el trono, y después dijo las siguientes palabras: dig María de Larraza y su hija Doña Antonia Tomasa, Doña Martina Moya, nos Pares y Sres. Diputados, podéis sentaros. Doña Juana Moya , Doña Josefa Ubillos, Doña Josefa Urisarri, Doña MaEn seguida el Sr. Presidente, haciendo la débida venia, se aproximó al ría Dolores de Larraza, Doña Benita Unamono y Doña Pascuala Unamono: trono, y levantándose ent…</t>
  </si>
  <si>
    <t>TomásMoreno</t>
  </si>
  <si>
    <t>…já ün miáprabje. Prescindo de lo que se ha dicho relati unánimemente*por rodo el Congreso. Por cierto que ci Sr. Ministre) de Guerra, vamente. í préttíiOs y A Estatuto : esa» son ideas que no entran en mi cabeza. qúe era entonces D.‘ TomásMoreno y-Daoíz, se presentó de parte de á dar . El ájfradeclmienro áliRsrNA Gobernadora todos Je ténemósvy es inútil ti las gracias: á las Córtes; y habiendo dicho este Ministro á $. M. que otro • disputar sobre teoriáil’qSJs ié'njecKi&amp;n'refoqjnaé ¡quién lo niega? Pero los que se ppdria verificar esto, el…</t>
  </si>
  <si>
    <t>Tomo</t>
  </si>
  <si>
    <t>…ce en Francia, y asi se ha hecho entre nosotros "El Gobierno propone por regla general que se componga el consejo de mismos , y debe hacerse.” siete individuos, y por excepción de nueve: yo creoque debería ser al contrario; hl Sr Caballero-. «Tomo únicamente la palabra para desvanecer las dudas es decir, que normalmente se, compusiese el consejo de los nueve individuos, que manifiesta el Sr. Secretario del Despacho en admitir lo que propone la co que son los mismos según la comisión que según el Gobierno , y excepcional- misión, y el mismo G…</t>
  </si>
  <si>
    <t>Tomo, Diego Clcmencin</t>
  </si>
  <si>
    <t>Diego Clcmencin Tomo</t>
  </si>
  <si>
    <t>…tores: la de la pág. 15 sobre el género neutro de los nom , El ingenioso hidalgo £&gt;. Quijote de la Mancha, compuesto por Miguel bres en nuestro idioma, y la de la pag. 271 sobre el asonante. de Cervantes Saavedra, y comentado por D. Diego Clcmencin. Tomo ni. Madrid, 1833. ' En este tomo se Concluye la parte 1.* del Quijote, y comprende desde el bolsa db comercio.__Cotización de hoy á las tres de la torete* principio de la novela; del Curioso impertinente hasta la vuelta del caballero an dante á su aldea, después de malamente herido en la batalla de…</t>
  </si>
  <si>
    <t>Tomo, Juan de Jáuréguí</t>
  </si>
  <si>
    <t>Juan de Jáuréguí Tomo</t>
  </si>
  <si>
    <t>…colección, impreso en 1819; hay mas Dios que Jehovi, ni mas Salvador que Cristo. Estas palabras produ fr 4 rs. rama y 6 en rústica. jeron tanta impresión sobre los habita»» de Tuppoya que inmediatamente y 19 Farsaliaen rústica.de D. Juan de Jáuréguí. Tomo 7.® y 8.°, edición de 1789 fr 17 rs, rama derribaron ellos mismos sus templos, y pegaron fuego á sus ídolos. Poesías de P. Luis de Góngora y Argote. Tomo 9.a, edición de 1820 fr $ rs* rama El bárbaro sistema que hemos bosquejado conforme á • la relación de y 6 en rústica. a Poesías maestro 7. del fray Lu…</t>
  </si>
  <si>
    <t>Tor, Buenaventura Ramonee</t>
  </si>
  <si>
    <t>Buenaventura Ramonee Tor</t>
  </si>
  <si>
    <t>…es del cuerpo huma— núa sus gestiones sobre el desagüe del pantano de Navarrés, y ha despachado no -, dialogo entre Antonio y Juan sobre si es ó no erróneo juagar á ia sangre como causa productora dé las enfermedades. Escrito por D. Buenaventura Ramonee/Tor vario* expedientes sobre el nombramiento de regantes. ren* , profesor dé cirugía medica. Se hallará en Madrid, k 5 rs. en rústicá, en la Ji— También ha desechado a9 del ramo de arrezes; ha mandado hacer reco nrerta de Ríos. nocimientos en lo» términos de Aigeme&amp;t y despoblado de Partínes, para reai…</t>
  </si>
  <si>
    <t>Tor, Donato Cañetede las</t>
  </si>
  <si>
    <t>Donato Cañetede las Tor</t>
  </si>
  <si>
    <t>…ecida*. Aparicio , ídem. Manuel Marcos , idem. Cazadores á caballo de la Guardia ReaI.=Comandante, el coronel Don Bujalance.............. 2 á 5 Noviembre. 39 25 8 Francisco de Paula Guajardo, gefe de la 1.a brigada de caballería. D. Donato Cañetede las Tor- i Tomos, mt ayudante de órdenes, teniente graduado de alférez. D. Francisco jes...................... Idem................... S4 12 6 Toledado, sargentp primero graduado de alférez. Demetrio de Hita, cabo pri Fernannuñez. . .. 1 á 4 ídem......... s 3 00 mero. Miguel Elena, id- segundo. Martin Tapia…</t>
  </si>
  <si>
    <t>Tor, Juan</t>
  </si>
  <si>
    <t>Juan Tor</t>
  </si>
  <si>
    <t>…de Palmella era dé quemada; para el de Arenas de h. Pedro a L&gt;. Juan Jiménez Monteagudo; Aquellos hombres* Sin ofender la verdad y el sano principio, &lt; se podrá negar para el de Montefrio á D. Ramón Toral ; pira el de Oríhuela a D. Juan Tor que ton liberales el conde Grey, el lord Holland, Xhiers, Dupin y Lafayct- recilla de Robles, alcaide mayor de Pontevedra; para este pan ¿do á D. Juan ti!— ¿Querrían estos que en Francia y ¿^Inglaterra hubiese solo una Cáma Te jeito; para el del Barco de Avila á D. Jacobo Ulioa, que lo es de Bera e…</t>
  </si>
  <si>
    <t>Tor, Pedro</t>
  </si>
  <si>
    <t>Pedro Tor</t>
  </si>
  <si>
    <t>…evenir ó apro de sus respectivos destinos á D. Celestino González Azpilcueta/corregidor de vechar sus disposiciones individuales. Es un principio de la mas severa moral Alcaráz; a D. Ramón i'ejeiro, alcaide mayor de la Coruña ; a D. Pedro Tor que á nadie sé puede hacer cargos porque niegue obediencia á preceptos que recilla Hidalgo, alcalde mayor de Jerez de los Caballeros; a D. José Fer su conciencia no tiene por legítimos, y á la que jamás dió expreso asenso: nandez Míluego, alcalde mayor de Fregenal de la Sierra; á D. José Artal, al…</t>
  </si>
  <si>
    <t>Tor, Victoriano</t>
  </si>
  <si>
    <t>Victoriano Tor</t>
  </si>
  <si>
    <t>…compañía de Seguros mutuos de incendios de Sevilla. i,» Art. 1? La junta de Sanidad de Madrid se aumentará con los D. Ramón y D. Hermenegildo Montero, y D. Rafael Barcia, regidores facultativos D. José Coll, D. Ramón Copdevila , D. Victoriano Tor perpetuos del ayuntamiento de Zamora. recilla, D. Nicolás Alfaro y D. Pablo Montesino. El gobernador civil de Soria. 21 Serán vocales de la misma junta el conde de Teña, el mar E] de Barcelona. ques de la Torrecilla, D. Pedro Lafuente, D. Franeisco López Ola- El intendente de Aragón. Tarrieta, D. J…</t>
  </si>
  <si>
    <t>Toral, Pascual Argtlelles</t>
  </si>
  <si>
    <t>Pascual Argtlelles Toral</t>
  </si>
  <si>
    <t>…ermas: en los otros cinco pueblos de la misma priV-de Valls á D. Jaime Prenafeta: para la de Canjayar á D. Gines María de las vincia que habían dado noticia de su estado sanitario era cortísimo el númeroHerís: para la de Avilé* á D. Pascual Argtlelles Toral: para la de Villanue- de casos desgraciados; va de los Infmtesá D. Javier de Surga: para la de Morilla del Palancar á D. José María Serrano: para el corregimiento de Talayera de la Reina á Don Francisco de Paula Murciano: para el de Requena á D. Eugenio Rufino Her La empresa del canal de Aragón, de…</t>
  </si>
  <si>
    <t>Toral, Ramón</t>
  </si>
  <si>
    <t>Ramón Toral</t>
  </si>
  <si>
    <t>…s. La experiencia hizo ver que el duque de Palmella era dé quemada; para el de Arenas de h. Pedro a L&gt;. Juan Jiménez Monteagudo; Aquellos hombres* Sin ofender la verdad y el sano principio, &lt; se podrá negar para el de Montefrio á D. Ramón Toral ; pira el de Oríhuela a D. Juan Tor que ton liberales el conde Grey, el lord Holland, Xhiers, Dupin y Lafayct- recilla de Robles, alcaide mayor de Pontevedra; para este pan ¿do á D. Juan ti!— ¿Querrían estos que en Francia y ¿^Inglaterra hubiese solo una Cáma Te jeito; para el del Barco de Avila á…</t>
  </si>
  <si>
    <t>Toreno</t>
  </si>
  <si>
    <t>…; pues tal vez un gobierno muy metemos si queremos consultar los hechos de la historia en esta material Me oportuno para este país no puede serlo para otro. Por lo mismo es enteramente parece que del fundamento de la objeción del Sr. Toreno podríamos sacar ar fundamental este asunto para que sepamos en qué punto ó grado de libertad esta mas para el ataque y para la defensa. Se.ha dicho, y á mi entender con poca mos; y sí no lo estamos, para que lo «temos, pues lo que no se desea. no se razón , que la historia es el fanal donde deben c…</t>
  </si>
  <si>
    <t>…{educirse que no ea venltjoto. . . ción al Sé. Toreno, qoe ta objeto 'no había sido decir precisamente que en los «Creo qué en iguales términoé que el Sr. Santafé se ha expresado elSr. Re dlaaio* drQbtn dé entonces sa leía que el Sr. Toreno, Marlmcz.ide la Rosa dondo , á quien no he oído-bien: sin embargo, me parece ha censurado con id otaos.hubiesen abogado por la libertad de imprenta, tino qué esto* señorea acrimonia la expresión empicada por la comisión respecto ix aliste ocia «ía loa</t>
  </si>
  <si>
    <t>Toriemejía</t>
  </si>
  <si>
    <t>…Si la regencia, no estando compe de clics un objeto de mercancía á las especulaciones de su insaciable codicia. tentemente autorizada contrató con Guebhard, ¿estuvo imposibilitado Fer «Tampoco puedo conformarme con la Opinión del Sr. Toriemejía de nando vir para hacer contratos posteriores? ¿Son lo mismo los de Guebhard que el empréstito de Gucbhard debe ser reconocido, pero no pagado. Ambas que los otros? Si este es reembolsable, si estas cantidades de 334 millones de cosa* son relativas, y si-conviniéramos en la una seria foizoso pasar en…</t>
  </si>
  <si>
    <t>Torio, Torquato</t>
  </si>
  <si>
    <t>Torquato Torio</t>
  </si>
  <si>
    <t>…xpresan. mútua de París, como la mas adecuada para servfr de lectura al pueblo y a los oifios Párvulos de que concurren á las escuelas»compuesta por M. L. P. de Jussieu, y traducida por Dias. Varones. Hembras. ambos sexos. Total. D. Torquato Torio, á 7 rs. á la holandesa.—— Elementos de moral, destinados á la lec tura del pueblo y de los nífios que concurren á las escuelas. Obra de Reoouard que 15 de Febrero.. 7 15 11 33. merecióal mismoelprecioaccésitde al7 rs.premioá la holandesa.—5—Gobiernoadjudicado &amp; Ja anterior,del yhombretraducidade n…</t>
  </si>
  <si>
    <t>Torlonia</t>
  </si>
  <si>
    <t>…del últi genérales," sino que antes bien ha mostrado sin rebozo una tendencia muy pro mo precio adoptado; pero tienen un concurrente peligroso en la persona deí nunciada á dar á la confederación germánica toda la fuerza posible. príncipe Torlonia , que tiene cartas de recomendación del Papa, y ha sabido No puede esto conseguirse ni se conseguirá realmente si no se miran con el granjearse el favor del Rey. Se dice que se casará con la joven princesa da mas profunda respeto todas las relaciones federativas. Sea cual se fuere la mi Beaufremont…</t>
  </si>
  <si>
    <t>Torneo</t>
  </si>
  <si>
    <t>…. Apenas, empezaba á‘buscar ar i las instituciones. El Sr. general Vidal, comandante general y prefecto del de bitrios, cuando se halló en la necesidad de retirarse al Callao, donde nó con partamento de la Libertad, y el teniente coronel Torneo, comandante del ba taba con mas fondos, que poco mas de 4^ pesos que llevó consigo. Xa devo tallón Zepita, que'se halla en Trujillo, proclamaron en el mismo sentido. Los lución que estalló en la noche del á de ^nem nimepró ltis.4trfiemúasrf^ antiguos guerrilleros que tanto trabajaron en la guerra d…</t>
  </si>
  <si>
    <t>Toro, Francisco de Paula</t>
  </si>
  <si>
    <t>Francisco de Paula Toro</t>
  </si>
  <si>
    <t>…del terior ó por la comisión de instrucción primaria relativamente á la enseñanza Estado que no esten comprendidas en el artículo 3.°, y al Sr. comandante ge mñtua lancasteriana. Madrid 4 de Noviembre de 1834- . ” neral del mismo D. Francisco de Paula Toro, para que pon¡éndala_en conocimicnjb de la guarnición y demas individuos de su mando, se sirvan adherirse á ella y sostenerla: con- lo cual se dio por concluida, firmándola para cons tancia. (Sijuen las firmas.} ' PARTE NO OFICIAL. INGLATERRA. ' NOTICIAS EXTRANGERAS. Ldndres 27 de Octubre. Hemos re…</t>
  </si>
  <si>
    <t>Torr.e</t>
  </si>
  <si>
    <t>…rmidable? sus deseos de que se dijese en la pencan que todo espino! e» líbre en anunciar »Se nos d ee que la imprenta sin prévia censura trae funestas consecuen sus idets por medio de la imprenta. ¿Y que. quiere decir esto: Si el Sr. Torr.e» cias; mas yo diré que las trae peores con ella Tal es la de ser la prenda mi meju hubiese sido ma* franco, emonces podríamos convenir éñ Tas mismas nisterial; sin que por esto sea visto que yo ataque ¿ Jas personas; ataco solo max mas; mas no es a*i. Nos ha d'cho que la previa censura solo contien…</t>
  </si>
  <si>
    <t>Torra, Agustín Rodríguez y D Domingo</t>
  </si>
  <si>
    <t>Agustín Rodríguez y D Domingo Torra</t>
  </si>
  <si>
    <t>…....... 4® poco convendríadisolverParlamento, porque de esta solución no resulta Sres. directores generala de rentas D. Antonio Alonso, D. José ría mas ventaja á los torys que el aumento de 20 ó 25 votos, cosa que para Aranalde., D. Agustín Rodríguez y D. Domingo Torra................ .. 2000 nada les sirve ” D. Joaquín Garay Arrave , por ahora.............................................. 100 VXANCIA. D. José Ventura de Aguirre Solarte.................................................. 4^00 Kxcmo. Sr. marques de Cerralvo...........................................................…</t>
  </si>
  <si>
    <t>Torra, Domingo</t>
  </si>
  <si>
    <t>Domingo Torra</t>
  </si>
  <si>
    <t>…ríadisolverParlamento, porque de esta solución no resulta Sres. directores generala de rentas D. Antonio Alonso, D. José ría mas ventaja á los torys que el aumento de 20 ó 25 votos, cosa que para Aranalde., D. Agustín Rodríguez y D. Domingo Torra................ .. 2000 nada les sirve ” D. Joaquín Garay Arrave , por ahora.............................................. 100 VXANCIA. D. José Ventura de Aguirre Solarte.................................................. 4^00 Kxcmo. Sr. marques de Cerralvo...........................................................…</t>
  </si>
  <si>
    <t>Torrc, Miguel de la</t>
  </si>
  <si>
    <t>Miguel de la Torrc</t>
  </si>
  <si>
    <t>…é isla Dentro de pocos dias se hará otra sal «da. .pura la debida inteligencia* Dios guardé á V. E. muchos años. Puerto-Rico 14 Los árabes traen provisiones á Mostaganem: aquí el mercado está casi de de Noviembre de l833.=Excmo. Sr.=Miguel de la Torrc.=Excmo. Sr. Secre sierto ; pero no carecemos de bueyes para nuestra subsistencia. tario de Estado y del Despacho de la-Guerra. PRU9JAExposiciones d S. M. la Reíha Gobernadora. Berím 16 Je Diciembre. Señora: El Real acuerdo de la audiencia de Puerto-Rico, poseído de todo Las cartas recibidas antes de…</t>
  </si>
  <si>
    <t>Torre</t>
  </si>
  <si>
    <t>…Saber tpurito fijo Jüáleslacapacidd y el tentar ahora estos principo»; mis yo nó creo en manera alguna que deje de ■afeitóde sut-individuo* Poroti*'p*rte,'ól:'.iférrH&gt;Jy:la' ctpac dad no son ga- serió. La di'tmsiooqueha hecho el Sr. Torre raejí* sobre la antigüedad de mwra« *ilM*e*t*s'p*r« deaempeflar crtrtoe empleó» ,'íparalo que Voó necean** los militares, ha sido seguramente muy oportuna, como toda» las que he»e "as nttudas, : 1 , : Señoría; pero yo quisiera que todas la» cosas se miraren no por un tolo lado, i.tA -»H*p.tM»ial fa…</t>
  </si>
  <si>
    <t>Torre, D Josef Ortix de la</t>
  </si>
  <si>
    <t>D Josef Ortix de la Torre</t>
  </si>
  <si>
    <t>…erecho ncrdKTruyc otro derecho , y que los poderes pueden y deben existir proclamación de S. M. la Reína nuestra Señora, para cuyo objeto calió en juntos respetando mutuamente su independencia.” medio de una brillante comitiva el Sr. D. Josef Ortix de la Torre, regidor de Tomando en consideración el cargo que se hace al Sr. Persil por ciertas ex cano y alférez mayor, y á su lado el Sr. alcalde mayor y el comandaute mili presiones que dijo en una acusación fiscal, hace ver que no tenían ni podían te tar interino de esta provincia D. Manuel María de la Sie…</t>
  </si>
  <si>
    <t>Torre, D Miguel de la</t>
  </si>
  <si>
    <t>D Miguel de la Torre</t>
  </si>
  <si>
    <t>…OLEDO. ehant.'Dos coches de su augusta hermana estaban ya preparados para recibir á Sr. D. Sebastian García de Ochoa, gobernador civil de la mismiproviñciai $, A., el cual acompañado de su edecán y del mayordomo de la Reina se di Sr. D. Miguel de la Torre, hacendado. rigió al palacio de S. James. Después de un corto descanso salió para Wind— Sr. D. Francisco Crespo y Tejada, propietario y comerciante. sor. {Post.) " ^ Sr. D. Julián Anaya , hacendado. -------------------.— ~ mili lll li _________ , *Bl capitán ©. Olpps^del cuerpo de ingenieros, ha si…</t>
  </si>
  <si>
    <t>Torre, Fernando de la</t>
  </si>
  <si>
    <t>Fernando de la Torre</t>
  </si>
  <si>
    <t>…tribunal á D. Francisco Es un destacamento de artilleros; es cierto que se hace leva de gente teban Ranz, D. JoséLidptr y Martinez, D. Antooio Sánchez de para la escuadra y ejército turco, y que la Rusia acaba de reclutar Ocaña y D. Fernando de la Torre, que lo eran del extinguido tropas en la Valaquia y Moldavia. Mas ¡cuál es el móvil de rodo Consejo: para las dos de relatores á D. Genaro de Rivas y Losa y esto! Lo único que sabemos es que la-escuadra rusa surta en Sebas D. Antonio Casanova,que lo eran primero y teFcerodel expresar topol está pro…</t>
  </si>
  <si>
    <t>Torre, Josef Ortix de la</t>
  </si>
  <si>
    <t>Josef Ortix de la Torre</t>
  </si>
  <si>
    <t>…ho ncrdKTruyc otro derecho , y que los poderes pueden y deben existir proclamación de S. M. la Reína nuestra Señora, para cuyo objeto calió en juntos respetando mutuamente su independencia.” medio de una brillante comitiva el Sr. D. Josef Ortix de la Torre, regidor de Tomando en consideración el cargo que se hace al Sr. Persil por ciertas ex cano y alférez mayor, y á su lado el Sr. alcalde mayor y el comandaute mili presiones que dijo en una acusación fiscal, hace ver que no tenían ni podían te tar interino de esta provincia D. Manuel María de la Sie…</t>
  </si>
  <si>
    <t>Torre, Juan López de Pefialver y la</t>
  </si>
  <si>
    <t>Juan López de Pefialver y la Torre</t>
  </si>
  <si>
    <t>…eal conservatorio de artes Se ha compuesto el empedrado de algunas calles de aquella ca y oficios de París por el barón Cirios Dupin, traducido del francés por pital ; se ha prolongado el de la alberca, sobre la cual se ha de edi D. Juan López de Pefialver y la Torre. Un cuaderno en 4.°, edición de ficar un puente, y se va á construir una alcantarilla cerca del con 1827 á 8 rs. rústica. vento de Sto. Domingo, cuya comunidad se ha prestado gustosa á contribuir á esta obra en cuanto lo permiten sus facultades. Prontuario de medicina práctico 6 clínica, escrito en…</t>
  </si>
  <si>
    <t>Torre, Marcelino de la</t>
  </si>
  <si>
    <t>Marcelino de la Torre</t>
  </si>
  <si>
    <t>…idores y alcaldes mayores de los pueblos nuel Pardo, D. Manuel Silvestre Armero, D. Gonzalo de Ueredia, D. José Rafael Villapol, D. Joaquín Fernandez Compani, (I) La división judicial de partidos, coo expresión de los pueblos que D. Marcelino de la Torre, D Ramón Macia de Lleopart, Don cada uno de aquellos comprende, y de su población respectiva, se ven Diego Martin Villodres y D. Manuel Antonio Caballero. Y para derá por separado en la imprenta Real desde el dia que se anuncie en fiscal del propio tribunal á D. Angel Casimiro Govantes. Ten- la Cac…</t>
  </si>
  <si>
    <t>Torre, Miguel de la</t>
  </si>
  <si>
    <t>Miguel de la Torre</t>
  </si>
  <si>
    <t>…O. ehant.'Dos coches de su augusta hermana estaban ya preparados para recibir á Sr. D. Sebastian García de Ochoa, gobernador civil de la mismiproviñciai $, A., el cual acompañado de su edecán y del mayordomo de la Reina se di Sr. D. Miguel de la Torre, hacendado. rigió al palacio de S. James. Después de un corto descanso salió para Wind— Sr. D. Francisco Crespo y Tejada, propietario y comerciante. sor. {Post.) " ^ Sr. D. Julián Anaya , hacendado. -------------------.— ~ mili lll li _________ , *Bl capitán ©. Olpps^del cuerpo de ingenieros, ha si…</t>
  </si>
  <si>
    <t>…ido á ----- En I9. Gaceta nacional de A.lemania se lee lo siguiente: bien elevar á la dignidad de Procer del reino al teniente general "La disolución de los Estados de Hesse-Darmstadt (1) no es ciertamente de los Reales ejércitos D. Miguel de la Torre, capitán general de la un acontecimiento de grande importancia: las nuevas elecciones recaerán pro^ isla de Puerto-Rico.rzTendréislo entendido, y dispondréis lo nece bublemente en ios mismos Diputados: por esto no alcanzamos cual Ka sido el sario á su cumplimiento. = Está rubricado de la Real mano.…</t>
  </si>
  <si>
    <t>…e tanto en las respuestas de los fiscales del Consejo de Castilla, extingui Reina Gobernadora elevar á la dignidad de Procer del reino al Excrao. Se do antes que hubiese podido evacuar la consulta , como en los dictámenes del ñor D. Miguel de la Torre, capitán general de la isla de Puerto-Rico. Consejo Real y del de Gobierno, se ha trabajado con loable celo parí superar Otra en que trasladaba una carta del Excmo. Sr. D- Miguel Tacón , capi las dificultades; y se advierte que dichas corporaciones han estado animadas de tán general de la isla de C…</t>
  </si>
  <si>
    <t>Torre, Modesto de la</t>
  </si>
  <si>
    <t>Modesto de la Torre</t>
  </si>
  <si>
    <t>…o general en gefe se comunica al ministerio de la Guerra sistido en un muerto y trece heridos, entre ellos de bastante consideración mi que en Vitoria se disponía la conducción a Santander de los facciosos conde ayudante de campo D. Modesto de la Torre, el ya citado del general Lorenzo nados al servicio de Ultramar por el Real decreto de 24 de Enero último. D. Ramón Corres, contuso ligeramente D. Oirlos Oxholm, también ayudan— te mió, dos caballos muertos y varios heridos, entre ellos el de mi ayudante de Según parte del capitán general de Aragón…</t>
  </si>
  <si>
    <t>Torreblanca, Joaquín</t>
  </si>
  <si>
    <t>Joaquín Torreblanca</t>
  </si>
  <si>
    <t>…; á D. Joaquín Sanjurjo para Vilialba; á D. Tomas Ber- '■ de Roma.) nardino López para Muros; á D. José Gamboa y Ortiz para Nova; BÉLGICA. á D. Nicasio Ruiz de Romarate para Quiroga ; á D. lomas Rodrí guez Monroy para Negreira; á D. Joaquín Torreblanca. para Viana Bruselas 6_de• Junipv del JkíHo;á D.Francia» Sales Calíorubió para Caldas de Reís; á Li sección de la Cámara &lt;é¿préseritantes ha'ofrecido un. iht^es i¿sp&lt;^to D. jSários de A riza para Tama; á 1). Fernando Escudero y Rubio de resultas de lo que,en ella fia.manifestado el minisjíb;'de GueÍ…</t>
  </si>
  <si>
    <t>Torreideas'</t>
  </si>
  <si>
    <t>…s en una «Por estas razones creo yo que debe conservarse por ahora lim tada esta porción de libros , de que nadie hace caso en el día. Mi cabeza se llenó de esas libertad, y no darla absoluta, y me adhiero á las'observaciones del Sr. Torreideas', ames de que conociese los libros extrangeros, y los llamados pactos so mejia. Si se presenta la petición del modo que S. S. ha expresado, la votaré; ciales; en nuestras obras españolas , en Qúevedo he visto hace mas de 40 años* pero tal como está no puedo hacerlo. (Mvrmu los"). en sus tratados de,…</t>
  </si>
  <si>
    <t>Torrem'jía</t>
  </si>
  <si>
    <t>…indemnizar di ditándola con certificación de facultativos; y pedía en consecuencia se le exo- • chas pérdidas á todos aquellos á quienes alcanzasen. nerase de dicho cargo. La comisión opinaba que debía accederse á la solicitud El Sr. Torrem'jía: «Convengo en que la abolición del Voto ocasiona del referido Sr. Procurador, y pasarse el oportuno aviso 3 quien correspondiese perdidas á algunos individuos y aun corporaciones; mas porque esto sea cierto para su reemplazo. no creo que haya ninguna razón para que el perjuicio irrogado á un partic…</t>
  </si>
  <si>
    <t>Torremcjía</t>
  </si>
  <si>
    <t>…n parle los Sres. Serrano, Caballero y Diez González. el otro. El Secretario Belda hizo presente que se iba á leer la petición redactada *&gt; El decir ía premura con que se habia hecho, creí que era la mejor dis de otro modo por el Sr. Torremcjía , para ver si la adoptaban los señores pe culpa de los defectos inevitables que hay en toda ley. ticionarios. *» Ahora mismo estamos entorpecidos, de modo que, este reglamento á su» Dicha petición, que en efecto sé leyó* estaba concebida envíos término» imperfecciones agrega la de no decir el modo…</t>
  </si>
  <si>
    <t>Torremejía</t>
  </si>
  <si>
    <t>…a ecle siástica. También dijo! que cuando se reforma se ha de tener presente no des med^fSt?GóttxaItz: (p- Antonio) «Despuésde lo que ha hecho presente el truir tanto ¡como se reforma. Me valdré,_de esa misma expresión para decir Sr. Torremejía, me limitaré á hacer "algunas, observaciones sobre los efectos que se trata de quitar una carga á los labradores, y se les Impone otra; y que que puede producir la última parte de este aitícuTb. Respecto 4 la primera no es muy dificil de calcular cuál de las dos' sea mayor ó menor. pon¿, dificultad…</t>
  </si>
  <si>
    <t>…pre 4 la aprobación nos no podemos ver palpablemepte la diminución del pago de intereses, ó sea del dictámen de la mayoría de la comisión; y que en cuanto al de la minoría el efecto de laa mejoras que piensan adoptarse. Ademas el Sr., Torremejía nos me abstendré de votar.” démostró en las discusiones anteriores que los productos do las rentas de la Na El Sr. Polo ¡Monge: « Mediante lo que ya en esta dilatada discusión, que ción se absorberían todos en el año 1843 en el pago de interesas; de consi-</t>
  </si>
  <si>
    <t>…mil y tantos reales de renta; pero que para fortificar mas esta causa ciooes de haberse disminuido; pero de que se haya aumentado no, sobre lo cual alegaba otra, que era no tener en Ja provincia los 63 r$. que exige la Real ya el Sr. Torremejía ha hecho un argumento. Me opongo, pues, á que asi se convocatoria. verifique , porque resulta de ello un gravamen á la Nación.” El Sr. Caballero dijo que no creía que por solo el dicho de un Sr. Pro El Sr. Secretario del Despacho de Hacienda : «Yo satisfaré al señor curador no debía admitirse su re…</t>
  </si>
  <si>
    <t>…que haya tal preferencia, á no ser por culo , diciendo que quedan sin derecho á la cobranza de los intereses. La ma que se pone una primero que otra.” yoría de la comisión hadiebo, no que queden-anulados, sino que no se cobren El Sr. Torremejía: «Propongo Con o aclaración que se fije que la prime los intereses. El Gobierno no tiene empeño en ño hacer esta variación, y asi ra parte de la deuda activa , es desde la fecha de la_prcscnte ley, y que cual eñ vez de decirse anulados, puede decirse que no se cobrarán. Ya he manifes quiera emprést…</t>
  </si>
  <si>
    <t>…a." estado de esta nación y de los pueblos. 59 «Cabalmente debernos nosotros hacer aplicaciones de este principio , y en «Me parece que todos sabemos el estado miserable en que han venido i pa este punto me adhiero a) parecer del Sr. Torremejía, pues bien conozco es rad por las circunstancias de los 11 años que han corrido, en que no se oia bochornoso hacer comparaciones cuando no se puede sacar enteramente airoso mas voz que al juez, á U prisión, al cadalso: entonces todos los españoles el suelo en que se nació. En el siglo xvi se hubier…</t>
  </si>
  <si>
    <t>…dad. Hel vccio nos ha dicho que la imprenta sin restricción alguna es convenien De consiguiente la comparación es absolutamente inexacta. te i todos; pero aquí se me ofrece una reflexión no menos oportuna. En ics «Nos ht dicho el Sr. Torremejía que hay un decreto de S. M. que per Gobiernos representativos es diferente el poder Real del de los Ministros ; y mite U publicación y crcul.icion de las obras facultativas. Pero S. S. no se ha ¿qué medio mas seguro, mas obvio para denunciar estos á la opinión pública hecho cargo de que precisament…</t>
  </si>
  <si>
    <t>Torremejia</t>
  </si>
  <si>
    <t>…"as nttudas, : 1 , : Señoría; pero yo quisiera que todas la» cosas se miraren no por un tolo lado, i.tA -»H*p.tM»ial farfantes** pusieron én: s* Carta los dos ..artículo* de que tino por todos los lados posibles. La objeción del Sr. Torremejia, con aspecto , h* pablado * pudiuóar hacerlo poique en a* pifs existen las clases que en ello* 4 fat empleados, no puede considerarse ya como de ningún valqr, porque el Wiátinwiaii pasa «n Eapaú* *• sacedelo-mitmo. Nosotra tañemos gobierno* objetó de la petición nó *e limita á toa trapicados antigu…</t>
  </si>
  <si>
    <t>…iéndoles menores De estas observaciones y otras que esplanó , dedujo S. S. que convendría derechos, ha tenido por objeto la conservación de las costumbres, el respeto á aprobarse el artículo en los términos que había propuesto el Sr. Torremejía, y la moral santa, y el inspirar mayor apego, mas viva inclinación al matrimo haciendo ademas las aclaraciones ú adiciones oportunas. nio. En este sentido las disposiciones relativas á los hijos naturales han sido la El Sr. Torres y Solanot, como individuo de la comisión, contestó á las modificació…</t>
  </si>
  <si>
    <t>…que se infringe el reglamento . por el contrario, dirigiéndose á su observancia, le parecía que no había nece si descendemos á la discusión de una de las partes del proyecto de ley. sidad de votarse. «Se ha dicho muy bien por el Sr. Torremejía que po iría salirse de este El Sr. Calderón Collantes: «Si el Estamento conviene en mirar mi pro atolladero, abriendo una discusión sobre la totalidad del proyecto de presupues posición como dirigida á que se observe el órden^del dia, y á que se proceda á tos. No se ha adoptado esto, y en su luear…</t>
  </si>
  <si>
    <t>…rometido si la que en aquellos dias críticos corrimos á defender nuestras casas y Hogares, el causa que defendemos llegara á perderse. trono de Isabel ir, y las instituciones que esperábamos emanasen de él. Como » Dijo también el Sr. Torremejía respecto á la otra objeccion grave que se ha dicho aquí, no estamos ya en el 4- de Octubre: es verdad; pero también se ha hecho, de que seria crear un cuerpo nuevo, y ponerle en choque con el lo es que la facción fratricida no se ha levantado desde que se estableció el Es ya existente; que no debía…</t>
  </si>
  <si>
    <t>…facultada pira un pone na* réstame contestar á varias objeciones que he oído en este recinto desde que ha «rejo, ¿qué opqjrtunV^d tendría , qué bienes produciría en el Citado crf* empezado ia discusión del. proyecto qué ocupa. El Sr. Torremejía djtfo an tico de la Nación , ni qué necead habría de declararla luego que teflhinada la teayer que láinstitucion de la Milicia ti o era solamente propia de loa Gobier funesta discordia que nos, devora se jecop^zca universalmente Ja justicia ¿cesto nos libres; pero yo no solo opino de distinto modo…</t>
  </si>
  <si>
    <t>…ncurrencia de fruto? de otras provincias se había seguido demérito en los de que creo que no se puede conceder, sus respectivos distritos. ... «La cuestión tiene tres aspectos importantes: l.° i Esta el millón bien re Respecto al Sr. Torremejía manifestó que no era exacto que estuviese in partido entre los contribuyentes? 2.® «Se emplea esta soma con utilidad? 3.° «De cluido el diezmo en el cánon, sino que e»te era por el riego, y se pagaba se be pagarla exclusivamente el reino de Aragón? parado del diezmo, que también se exigía: que tamp…</t>
  </si>
  <si>
    <t>…empréstitos que han teni «Dice la comisión que para salir de loi apuros en que se encuentra el do lugar desde el afio de 1823 basta el de 1831. \ ' Gobierno, se le concedan 200 millones de reales efectivos,-en rea de los 4OO »£1 Sr. Torremejia manifestó ayer que repugnaba á su conciencia con que pide. Y yo pregunto; ¿podrá cod la mitad de lo que necesita salir adelan tribuir á que se reconociese el empréstito de Guebhard, y que jamas daría su te ¿n el dia, en que las contribuciones con qlie cuenta deben sufrir considera voto para esto. Y…</t>
  </si>
  <si>
    <t>…é garantías positivas: no por andarse con prudencia, mucho mas en las circunstancias qn que.nos hallamos. que yoideáraofiedetnifiguno de los Sres. Secretarios del Despacho en particu «Otra de las razones que se dieron ayer por el Sr. Torremejía , es que si lar, sinoipcírqtíefcon la mejor buena voluntad pueden equivocar el camino , cu los interesados en el empréstito de Guebhard daban dinero á D. Carlos, ten yos resultados-serían desgraciadamente los mismos que si se hubiese hecho con dría muchos medios para hacernos la guerra. Y yo pregun…</t>
  </si>
  <si>
    <t>…erbio vulgar , pero muy exacto, much^goias do pués de esta época han ai^o atrancados por ia xniyna ípccicn que 4wy nos está cera forman un. cirio. _ haciendo la guerra. Se ña dicho aquí qué la hia¿*oa«ha conseotidóen su de 2.° El Sr. Torremejía hizo presente ante» dé ayer , y con razón, que en la gradación. No, la Nacioq no la ha consentido: lo be oído con el mayor sen gloriosa guerra de la independencia no^se contrajeron empiéstitos. Todos hici timiento. Está bien que los Diputados no sean sus aduladores: no, jamas el mos sacrificios: ap…</t>
  </si>
  <si>
    <t>Torrémejía</t>
  </si>
  <si>
    <t>…e otras, con perjuicio á su dignidad y decoro. . ■ ; enojosa, como !o son todas las que versan sobre números. Sin embargo tiene la «Xn la-reducción de gastos ha procurado conciliar ambos extremos indi - ventaja que ha indicado el Sr. Torrémejía, de que hay mas libertad en ella que cados, la etonomííy el decoros y se ha propuesto ademas un resultado final en la que ha ocupado por algunos dias al Estamento, puesto que tratándose do que produzca tn»s Ventajas que unaeconomía poco meditada. Aun mas que la, un servicio público, es djcif, del p…</t>
  </si>
  <si>
    <t>Tórrémejía</t>
  </si>
  <si>
    <t>…rios son muy bue'- ¡ No iba á apagar la insurrección'que'habia estallado contra* el mismo Gobier nos; pero no spn del momento; ya llegará tiempo en que pueda echarse mano no? Si bubiéíáido á pasearse vendría bien el argumentó del Sr. Tórrémejía; de ellos; por ahora es preciso acudir? í un empréstito para salir de nuestros apu pero iba, como be dicho, á sofocar uria insurrección. Si no pudo contratar em ros” , y de empréstito én empréstito hiemos llegado hasta el año 34. No sé cuán préstitos tampóco pudo imponer contribuciones; y á este pr…</t>
  </si>
  <si>
    <t>…la petición en los términos en que está; y tensión de este derecho. Por consiguiente, considero la primera parte de la pe mejor me adheriré á la modificación que de ella presentó en la sesión del día 4, tición llena de verdad. el Sr. Torremejía, y que no fue adoptada (la leyó.). He dicho que me adhie »&gt;En época posterior, cuando las Córtes extraordinarias se reunieron en ro mejor á la petición así modificada, porque la encuentro mas conforme á la Cádiz, uno de los cargos que se hicieron á la regencia fue el no haber prepa libertad del Est…</t>
  </si>
  <si>
    <t>…rno, entrar en esas distinciones de lo que es gracioso ó justo, y después se pagan con algún retraso: por lo mismo creo inútil hacer distinción entre pen inútil. 1 siones de gracia y de justicia. En cuanto á las observaciones del Sr. Torremejía, «Respecto á la tercera observacion.de que al Gobierno solo se le autori han; sido ya contestadas por el Ministro de Hacienda y el Sr. Florez Estrada. ce por cuatro meses, es no menos infundada, y es también innecesaria, porque Me parece, pues, que estamos en el caso de aprobar la ley supletoria de…</t>
  </si>
  <si>
    <t>…Chacón, Sorooza, Tejar, Clarós, ruage y otras cosas por el mismo estilo, para no hacer, respecto de los demas, González (D. Amonto), Maritl, Mena;, Uarióy Sámponts, Palaudarias, Puig, un papel desairado. El ejemplo citado por el Sr. Torremejía de no tener aqui XarTÍva .Klvahérrera, marquesde Villacampo» García CarrascO , Ontivcros, los oficiales de Secretaria mas que 4t‘® **•» advierte el Gobierno que redunda Dotnecq, UlloarMontes deOía, Istúriz, Miquel Poto, Mediano , Vah¡tlo, en su elogio, pues' es upa economía que ét ha hecho. antes 105…</t>
  </si>
  <si>
    <t>…rdarse la presentación de ningún Sr. Procurador ai Es reclamar aquellos empréstitos. Se ha discurrido sobre si estos empréstitos fue tamento; pero que aí mismo tiempo siendo importante aclarar los puntos du ron ó £0 legales; y el Sr. Torremejia quiso hacer ver que i pesar de la inter dosos, tal como el presente, que no estaba previsto en el reglamento, era de vención, lo habian sido, porque la nación tenia perdidos sus aerfichoside inter opinión volviese ¿ ja conusion para que diese su dictámen por separado, sin vención en estos asuntos d…</t>
  </si>
  <si>
    <t>…sobre principios generales, porque he empréstitos y las personas con quienes fueron negociados! ¿No es este el eje jovisto que los Sres. que me han precedido en la .palabra han dado í sus ideas el -bre que rueda la discusión! El Sr. Torremejía ha saltado el intervalo, y su ar mas minucioso desenvolvimiento. Tiempo será ya .pues de contraerme á to gumento ni siquiera ha rozado la dificultad. das las que se han anunciado durante la discusión. »Ha añadido después -que las naciones son siempre las mismas aunque loa "El Sr. marques de Monteví…</t>
  </si>
  <si>
    <t>…na, que el Gobierno hace unas veces de siete y otras de nueve : en esto la co rece mas bien propio del reglamento.” misión ha seguido los principios de la ordenanza militar, que fija el número de Mi Sr. conde de las Pravas: *» El Sr. Torremejía se ha adelantado á hacer siete á nueve para todos los consejos de guerra’. También ha tenido ¿ la risra lo las observaciones que yo tenia que exponer sobre el dictamen de la comisión.- dispuesto en el mismo caso, por la ordenanza dp la guardia nacional de Fran B1 Sr. Secretario de lo Interior convi…</t>
  </si>
  <si>
    <t>….” El S. margues de Espinardo\ "La comisión al proponer estas variacio El Sr. Secretario del Despacho de lo Interior: » A pesar de las observa nes tuvo presente que siendo la Milicia toda la masa de ciudadanos no debía ciones del Sr. Torremejía, el Gobierno insiste en su primera idea, de que el hacerse una exclusión de ninguna clase de ella para el consejo; pues en todas principio general sea de 7 individuos para el consejo, y la excepción, en el hay personas capaces de desempeñar tal encargo. Ademas como el número de caso qué propone, el…</t>
  </si>
  <si>
    <t>…variación de susü- ‘«El Gobierno hallagraves inconvenientes en que se adopte el método ' ,tuir á las palabras -Real despacho la de oficio•” ^ que establece ia conhision para la propuesta de oficiales, qué deberá. verificarse, El Sr. Torremejía: «Entre el art. 12 del proyectare ley presentado por según su dictámen, reuniéndose los individuos de las mismas compañías cnt¿ el el Gobierno y el del dictámen de la comisión, que se están ahora discutiendo, avuniamicpto. Esta reunión, celebrada para un objeto en que se interesan á un encuentro yo…</t>
  </si>
  <si>
    <t>…stión, reducida á su último análisis. So seen justificar su Opinión, no tomaría la palabra sobre este asunto después de la bre ella dirá el Gobierno que ¿ pesar del gran peso que puede dar el dictámen discusión que ha mediado. El Sr. Torremejía no ha olvidado ninguna de lasde la mayoría de la comisión, por serlo (si merece tal nombre de mayoría un razones convenientes á apoyar nuestro dictámen como matoría, al paso que el solo voto) y el que dé ei carácter de ios individuos que la forman, siempre Sr. Secretario de Estado ha desenvuelto pe…</t>
  </si>
  <si>
    <t>…pito, que no se ha dejado do sionas desembolsos que no tienen.otros cónsules-' hacer mérito del dictámen de la comisión.” « Están igualmente expuestos á mil vejaciones por el estado de la civiliza El Sr. Ittúric: «El discurso del Sr. Torremejía parece dirigido á hacer ción y la índole de aquellos Gobiernos, y su suerte se halla sujeta á contin una inr^ilpacion á Los que hemos hablado anteriormente, pero S. S. se ha equi gencias y riesgos que es preciso recompensarlo de algún modo. Estas son la* vocado, y tanto estoy por el dictámen de la…</t>
  </si>
  <si>
    <t>…n su exámen , ciñéndose solo á opinar que se rebajen los sueldos E} Sr. Gnís deshizo una leve equivocación d« guarismos, en que dijo ha de los consejeros, sobre cuyo punto nada habla el testamento del difunto Rey bía incurrido el Sr. Torremejía. ■.'/*. que creó este Consejo; testamento que las C6rt es no~han visto ni examinado Se preguntó si estaba el punto suficientemente discutido, y resultó estarlo, como debía ser. La comisión se ha limitado á decir que deben tener. tít"ó cuál pasándose á la votación. sueldo; y vuelvo á mi tepta, cui bo…</t>
  </si>
  <si>
    <t>…funciones estaban reducidas i firmar las disposiciones de 5. M., como un Jos acatamos» pero no los cumplimos. notario los contratos particulares. «Él Sr. Torremeju nos ha asegurado que su convencimiento le decía que «Ha d'rcho el Sr. Torremejía que fue tal el vejámen con que fue contraí no debe reconbcerse nt pagarse el empréstito de Guebhard. Pues bien , esa do el empréstito, que está doblemente pagado el capital , y aun siguen cobrán misma razón' hay pira no reconocer sus emanaciones y consecuencias. Si en la dose los réditos. No dificu…</t>
  </si>
  <si>
    <t>…filantropía y compasión, cuando tenemos con primitiva hecha por la suerte, sino en virtud de nuevo nombramiento , según quien hacerlo dentro de casa. se publicó cuando se nombraron las demas. La mesa por consiguiente elegirá »El Sr. Torremejía di jo que era preciso separar el empréstito de Guequien reemplace al Sr. Latorre, y aun nombrará hasta nueve individuos, si bhard de los demas empréstitos. Francamente confieso que no se cómo se pueda quiere.’’ hacer esto: no sé cómo se ha de separar la cau^á del efecto. Si el empréstito de El Sr. hfe…</t>
  </si>
  <si>
    <t>Torremeju</t>
  </si>
  <si>
    <t>…mano augusta que firmó estos contratos tan onerosos cuando los reconoció; y sus funciones estaban reducidas i firmar las disposiciones de 5. M., como un Jos acatamos» pero no los cumplimos. notario los contratos particulares. «Él Sr. Torremeju nos ha asegurado que su convencimiento le decía que «Ha d'rcho el Sr. Torremejía que fue tal el vejámen con que fue contraí no debe reconbcerse nt pagarse el empréstito de Guebhard. Pues bien , esa do el empréstito, que está doblemente pagado el capital , y aun siguen cobrán misma razón' hay pira n…</t>
  </si>
  <si>
    <t>Tórremela</t>
  </si>
  <si>
    <t>…contra el Gobierno: si son contra particulares,estos mis «Por todas Jas razones que llevo expuestas, opino que debemos adherir* mos pueden repararlos ó hacerlos castigar, quejándose á Jas autoridades : si son nos á la opinión del Sr. Tórremela , á la cual yo suscribo enteramente.” contra el Gobierno, ó pueden nacer de faltas de este ó de insultos á él: si El Sr. Bclda deshizo una equivocación, manifestando que la caución exi— lo primero, lejos de ser abusos, el mismo Gobierno debe alegrarse que se Je gida eq Francia para los periódicos e…</t>
  </si>
  <si>
    <t>Torrentejí.t</t>
  </si>
  <si>
    <t>…e será un anciano £1 Sr. Secretario Jet Despacho de Gracia y Justicia: «Tengoel-gusto benemérito que «fié allí-fiset» muchos afios.” - 's * ' - ' ■ - da anúncira al tutaniento que be ¿ido' el órgano del Gobierno en Riofrio pa- El Sr. Torrentejí.t: «)La comisión crey^. rnie el secretario y capellán aora que jK^úfaé ff*ffircliffByútjÉúdf'»fcpmtediera aliKCnaral Midi, el bi4qfi4UP^|S&gt;btttgp, en vísta de ló'que, ha diclió'el Sr.'Presidente del conrajo ’ :¡rat&lt;r4e|punrcrdjL conlas idei^pabpf pw l|i ím¡e agftraüí inconvAiente Egfqufe se ctj|pte e…</t>
  </si>
  <si>
    <t>Torrera</t>
  </si>
  <si>
    <t>…pios ros suele hasta pagarsejrtir de España; pues todavía no se han olvidado de que de los diplomáticos." . _ era señora de nqoftímas minas. Asi , pues, no tengo datos suficientes para juz El Sr. Abar-'irs: « A lo expuesto por el Sr. Torrera:jía solo añadiré que gar si será bastante lo que propone la comisión. entuna época en que hasta los mas grandes Monarcas y Emperadores viajan de «Respecto á los agregados mi opinión es que conviene darles alguna su - incógnito con toda comodidad, no es necesario que los emb jadeares y minis ma para…</t>
  </si>
  <si>
    <t>Torres, D José</t>
  </si>
  <si>
    <t>D José Torres</t>
  </si>
  <si>
    <t>…. AÍnrnrrsntAciOKBs. A las once y cuarto estaba !a columna reunida en este^ pueblo. Los resul tados han sido los siguientes. Diez muertos en la acción a fuego de fusilería, 885...... ........... Barcelona. entre ellos un titulado capitán D. José Torres y un teniente D. Miguel Ron 2,278............ .... 3000........................ ...... Cádiz. cales: 40 muertos por la cabalLería, entre ellos un oficial que no ha podi 12/32............ .... 2000....................... ............ Sevilla. do reconocerse por habérsele llevado el rio: seis prisioner…</t>
  </si>
  <si>
    <t>Torres, José</t>
  </si>
  <si>
    <t>José Torres</t>
  </si>
  <si>
    <t>…1"., Idem. Boston..;;....:............. !. i..... { ........ Idem. * El Molar. D. José Mencherp, en Madrid: desde 15 de Junio i 15 de Setiembre. Los puertos sujetos al actual, gobierno griego..... ^jJJeMiaal Paicrm0 # Hervideros. D. José .Torres, en el Tomelloso: desde 10 de Junio á 15 de El resto dé la España septentrional................ 30, días, y 40* Setiembre. El resto de la Noruega.................. ............................ Idem. Puerto Uaná. T&gt;. Cárlos Mcstre , en la misma villa: desde 8 de Junio 4 S 1“yCJm,htÍe MediteriW»^ &lt;Ji…</t>
  </si>
  <si>
    <t>…ón bre la utilidad de establecer una lonja en ella. mandada por D. Luis Bayod, y compuesta de 72 hombres, en las inmediacio También ha consultado á la misma junta el ayuntamiento y la sociedad eco nes de Aguaviva, matándoseles al capitán José Torres y 50 individuos, cogién nómica sobre el establecimiento de un lazareto de observación. 1 doseles 5 prisioneros, de los cuales dos oficiales D. Pedro del Mar y D. Ge- Está reuniendo datos sobre la diversidad de pesos y medidas de la provin lónimcrCollado, que están en capilla: uno que parece ser deser…</t>
  </si>
  <si>
    <t>…rsntAciOKBs. A las once y cuarto estaba !a columna reunida en este^ pueblo. Los resul tados han sido los siguientes. Diez muertos en la acción a fuego de fusilería, 885...... ........... Barcelona. entre ellos un titulado capitán D. José Torres y un teniente D. Miguel Ron 2,278............ .... 3000........................ ...... Cádiz. cales: 40 muertos por la cabalLería, entre ellos un oficial que no ha podi 12/32............ .... 2000....................... ............ Sevilla. do reconocerse por habérsele llevado el rio: seis prisioner…</t>
  </si>
  <si>
    <t>Torres, Josef González</t>
  </si>
  <si>
    <t>Josef González Torres</t>
  </si>
  <si>
    <t>…ares, pues la ma yor parte de ellos son sacados á la fuerza, y retenidos por la misma. Ensayo práctico de simplificar el estudio de las lenguas escritas, verificado sobre la Inglesa para ejemplo de todas las demás; por el corooel D. Josef González Torres 4 1799. un en forma edición de cuaderoito 12 rs. en rústica. Navarra: de carrera, Capitanía general de Castilla la Vieja—Excmo. Sr.: El coronel D. Fer de son Esta dividido compa cuyos obra se ha Gramática cuadernos, en tres títulos : i.° mín Triarte, comandante de la columna de Santander, me dice d…</t>
  </si>
  <si>
    <t>Torriente, Marcelino de la</t>
  </si>
  <si>
    <t>Marcelino de la Torriente</t>
  </si>
  <si>
    <t>…mba, el cura párroco del pueblo de Lierganes D. Jo é Gómez, que con ios oficiales retirados D. Vicente de la Torriente y El premio de 2500 rs. vn. concedido en cada extracción á las huérfanas D. Diego del Camino, D. Manuel Pendo, D. Marcelino de la Torriente, Don de militares y patriotas que murieron en defensa de la justa causa de la nación Diego del Castillo, D. José Cabello y D. Gabriel Fretre .concurrieron á en la guerra de la independencia, inclusas las de los víctimas del 2 de Mayo la expedición que desbarató los proyectos de Arroyo sobre aquella…</t>
  </si>
  <si>
    <t>Torrtm</t>
  </si>
  <si>
    <t>…r. Presidente: - No &gt;c ota en el d^ volsr Ui indicación , sin • de tenido de voVar 5 : ioi-.il de vol&lt;-s presentes 100. ver si se admite ó no a diva-són ” ^ Lrs que aprobaron U. parte oel artículo fueron los Sres. Rodríguez Pa Eí Sr. Torrtm ja ” .\¡ presenta' rm mdicacon n n he rehice- otro nb- , terna , Cano Manuel (padre) ^ V sedo , Beda, LopeZ , Vitoria, Abarüueif ¡ero que el de conloar todas Ijs op n ones que fnt pirecixn las irúrmas en el Cánovas, Chacen', Carrasco, £jonza!ez (D. Antonio), Claro», Marín, Vnui fondo de la cuestión…</t>
  </si>
  <si>
    <t>Torrtmejía</t>
  </si>
  <si>
    <t>…eamos españoles empréstito Real; no éj una nueva renta, no es un nuevo empréstito. Y sin una vez. ¡Y ojalá mi sincera invocación notes hecha en vano! embargo, señor, ¡ qué fiemos Visto! Hemos visto que la rema perpetúa no sale El Sr. Torrtmejía: «La cuestión que nos ocupa e» gravé y delicada ds dbl empréstito Real como safé 1* luz de ía Vela para irla consumiendo poco á suyo , y se ha hecho mis grave y delicada por la divergencia que se observa poco basta que quedé extinguida; pero sale cual de ana bellota sale la sober entreai proyecto p…</t>
  </si>
  <si>
    <t>Tortata, Alejo An</t>
  </si>
  <si>
    <t>Alejo An Tortata</t>
  </si>
  <si>
    <t>…nueva... 20 á 23 ídem... 4 00 2 ciones; que se levante el plano y se forme el presupuesto del costo de esta car Reus...................... 22 á 24 ídem.. * 101 29 17 retera por el ingeniero que nombfe la dirección , que podrá ser D. Alejo An- Tortata................. 21 á 23 ídem. .. 32 s 13 1 drade, encargado de las de la Coruña y Lugo; y que se adicione el presupues PROVINCIA DE VALENCIA. to que va á presentarse á las Córtes, con la cantidad que la dirección considere necesaria para dar principio inmediatamente á la carretera de que se trata. Resulta del part…</t>
  </si>
  <si>
    <t>Toscano, Manuel Sánchez</t>
  </si>
  <si>
    <t>Manuel Sánchez Toscano</t>
  </si>
  <si>
    <t>…......................................... 100 sabemos, y ha pasado por Perpiñan el 26 de Junio con su familia y comitiva; Un sugeto que no dió el nombre.......................... 40 se dirige á París antes de trasladarse á Rusia. D. Manuel Sánchez Toscano................................................................. 160 ,___ IXas cartas de Ñapóles hablan de una sociedad ó club que se da á sí misma D. Francisco Castañares.......... .............................................................. 400 Un señor eclesiástico...................... 100 el título de aristocrática , y piensa reunirse en uno de los espaci…</t>
  </si>
  <si>
    <t>…do con modificaciones por aquel, ios Sres. conde de Ofalia, AJaira, Igualmente manifestó la misma comisión que habiendo examinado los po Vallejo» marques de Albaida, y marques de Castejon. El Estamento quedó deres y documentos de D. Manuel Sánchez Toscano, electo por la provincia de enterado. Córdoba , opinaba se admitiese á dicho Sr. con la protesta que hacia de pre Et Sr. Presidente dijo que en su consecuencia nombraría los individuos sentar los recibos de la contribución de fruto* civiles correspondiente* ¿ este que habían de componer dicha comis…</t>
  </si>
  <si>
    <t>…n que e»taba concebido el dictamen, no seria fácil se pre A la misma se mandó pasar un recibo de la contribución de frutos civiles, senta»!? empresario alguno. Añadió que sin gravamen de ios fondos públicos, presentado por el $r. D. Manuel Sánchez Toscano, Procurador por la provin se.íun la comisión exponía, no podía publicarse un Diario de Cortes, porque cia de Córdoba, que fue admitido en el Estamento con la obligación de mejo siendo e»tc muy voluminoso , nadie lo lee, ni lo busca tampoco; por lo cual, si rar sus documentos. hab*a de tener salida,…</t>
  </si>
  <si>
    <t>Toscano, Sanche</t>
  </si>
  <si>
    <t>Sanche Toscano</t>
  </si>
  <si>
    <t>…amento pesara estas comisión; y declarada la afirmativa de esto último, por baber convenido en razones y determinará lo que crea mas conveniente.** ello Ios-individuos presentes de la comisión que constituían su mayoría, se pu El Sr. Sanche*. Toscano: « Desde el primer dia'que entró en esta discu so Í votación el artículo nuevamente redactado, y se aprobó en los términos sión el Estamento, manifesté, aunque de mala manera, mi Oposición al artí que quedan referidos. culo que se discute, y los vicios que manifestaba la comisión sobre este punto.…</t>
  </si>
  <si>
    <t>Toscano, Sánchez</t>
  </si>
  <si>
    <t>Sánchez Toscano</t>
  </si>
  <si>
    <t>…erse 6^66 discursos para su discusión, io cual la do flor tanto oir siempre la discusión para adquirir las luces necesarias. Mani haxia interminable. festó la necesidad que en su entender habia de aprobar la proposición , aten El Sr. Sánchez Toscano reclamó que hablase algún individuo en pro, pues diendo á que en los cuerpos deliberantes se coartaba con frecuencia la libertad ya lo habían hecho cuairo en contra de la propuesta. de los individuos con preguntar si el punto se consideraba suficientemente dis El Sr. Domecq apoyó la proposición man…</t>
  </si>
  <si>
    <t>…proyecto, de ley de Milicia urbana de los Sres. Pizarro y conde ñor marques de Villacampo, el cual desea que donde se dice: el consejo nom de las Navas. brará el fiscal, se añada: que desempeñará sus funciones durante un año a El Sr. Sánchez Toscano dijo haber notado que en el artículo del referido lo menos. Cree la comisión que dicha adición llena el loable objeto de que no provecto, en que se previene que ningún batallón , escuadrón , compañía ó es se entiende que para cada caso haya de nombrarse determinadamente, lo cual cuadra podrá repres…</t>
  </si>
  <si>
    <t>TosI, Manuel Sánchez</t>
  </si>
  <si>
    <t>Manuel Sánchez TosI</t>
  </si>
  <si>
    <t>…ese su renuncia, pasándose el oportuno legal, que había remitido el Sr. D. José Beqcrra, Procurador electo por la pro sviso para su reemplazo. Fue también aprobado. ^ vincia de Lugo. En seguida entró á jurar y tomó asiento el 5r- D. Manuel Sánchez TosI La comisión especial encargada del eximen del presupuesto de Gracia y cano. Justicia, dió parte de haber nombrado por decano de ella al Sr. Cano Ma Se mandaron pasar á la misma comisión de Poderes los presentado* Con nuel , y por secretario al Sr. Cezar. El Estamento quedó enterado. los documentos jus…</t>
  </si>
  <si>
    <t>Tosquella, D Joaquin</t>
  </si>
  <si>
    <t>D Joaquin Tosquella</t>
  </si>
  <si>
    <t>…smo: Bourmont PROVINCIA DB CASTBICON SB AA |U|A, tomó á Argel: el que tomó á Argel, pudo tomar á Lisboa: no lo ha hecho; lue Sr. D. José Cuevas, hacendado. go es un tmidor.Bourmont dejó el bastón de general, y Macdonald , que aca Sr. D. Joaquin Tosquella. - baba de juntársele, y que aspiraba á este destino ,.fue nombrado primer gefe del Sr. D. José Miguel Polo. ejército. El nuevo general era un soldado duro, de sangre fría en los combates, «Iq ipuy -ansioso de mando. El 10 de Octubre cuando los constitucionales sa PROVINCIA DI CUXXCA. lieron de Lisb…</t>
  </si>
  <si>
    <t>Tosquella, Joaquin</t>
  </si>
  <si>
    <t>Joaquin Tosquella</t>
  </si>
  <si>
    <t>…Bourmont PROVINCIA DB CASTBICON SB AA |U|A, tomó á Argel: el que tomó á Argel, pudo tomar á Lisboa: no lo ha hecho; lue Sr. D. José Cuevas, hacendado. go es un tmidor.Bourmont dejó el bastón de general, y Macdonald , que aca Sr. D. Joaquin Tosquella. - baba de juntársele, y que aspiraba á este destino ,.fue nombrado primer gefe del Sr. D. José Miguel Polo. ejército. El nuevo general era un soldado duro, de sangre fría en los combates, «Iq ipuy -ansioso de mando. El 10 de Octubre cuando los constitucionales sa PROVINCIA DI CUXXCA. lieron de Lisb…</t>
  </si>
  <si>
    <t>Tosquellss, D Joaquín</t>
  </si>
  <si>
    <t>D Joaquín Tosquellss</t>
  </si>
  <si>
    <t>…Reino un proyecto de ley que ha si El Estamento concedió k licencia de dos meses que pedían el Sr. D. Pado ya aprobado, por el Estamento de Sres. Procuradores en los términos si -blo Heredia por asuntos urgentes de familia, y el Sr. D. Joaquín Tosquellss por haber recibido la noticia del fallecimiento de su padre y á fin de arreglar guientes: , ..................... ARTÍCULO UNICO. sus negocios. El Sr. Alcalá Galiana-. ^ Ayer no asistió á la sesión mi digno compañe .Fu tanto que se discuten sin interrupción, y aprueban los presupuestos ro y amigo e…</t>
  </si>
  <si>
    <t>Tosquellss, Joaquín</t>
  </si>
  <si>
    <t>Joaquín Tosquellss</t>
  </si>
  <si>
    <t>…no un proyecto de ley que ha si El Estamento concedió k licencia de dos meses que pedían el Sr. D. Pado ya aprobado, por el Estamento de Sres. Procuradores en los términos si -blo Heredia por asuntos urgentes de familia, y el Sr. D. Joaquín Tosquellss por haber recibido la noticia del fallecimiento de su padre y á fin de arreglar guientes: , ..................... ARTÍCULO UNICO. sus negocios. El Sr. Alcalá Galiana-. ^ Ayer no asistió á la sesión mi digno compañe .Fu tanto que se discuten sin interrupción, y aprueban los presupuestos ro y amigo e…</t>
  </si>
  <si>
    <t>Tósta, José Reina y</t>
  </si>
  <si>
    <t>José Reina y Tósta</t>
  </si>
  <si>
    <t>…códigoque llamande la literaturadidáctico modernaen su.ejecuciónen la materiay desempeño;de que trata,Su originales tjn esifto—la mas acabada una en casi de todos pluma en que se ejerci los géneros que, ' II Sr. alcalde mayor 2*° D. José Reina y Tósta, presidente. producción a modelos; cuya coexistencia Despreaux, del Boileau sino saber, célebre tó. no dejó El capiun de infantería retirado D. Francisco Octavio de Toledo, regidor con Racine, Moliere, Fenelon y demas célebres escritores del siglo que pudo llamar vocal. de oro la Francia, parecía c…</t>
  </si>
  <si>
    <t>Total</t>
  </si>
  <si>
    <t>…n estas mesas en cualquiera otro amis ■ SU costo de................. 772,000 to, cuyo conocimiento inmediato se reserve el Ministro. Un gefe .de sección......... 40,000 Tres id. de mesa. ...... 90,000 Segunda^ Sección. Secretaria general. Total............. 630,000 Art. 5? Habrá en esta sección el gefe, y un gefe de mesa que N será el archivero. Art. 10. Se llevará en ella el registro general de toda la corres - Diferencia en menos............................................... 142,000 pondencia-que le será remitida'por la secretaría particular» y fa…</t>
  </si>
  <si>
    <t>Total, Luis de S Simón y Orlandis</t>
  </si>
  <si>
    <t>Luis de S Simón y Orlandis Total</t>
  </si>
  <si>
    <t>…............. 4^ Madrid 11 de Julio. Reserva para las costas de Francia (Mediter ELECCION DE PROCURADORES DEL REINO. ráneo) ............... 21 Idem (Océano)......... ........................................ 32 ISLAS SALEASES. Sr. D. Luis de S. Simón y Orlandis. Total......................................... 158 Svr D. Pedro Canals y Mayol. Sr. D. Juan Camps y Soler. En el periódico de Tolosa, titulado la Francia meridional, del 28 de Julio, se lee lo siguiente: » Habiéndosele admitido su dimisión al general Vinot, comandante del departamento de los Pirineos orientales, ha partido el 16 de Suscripción…</t>
  </si>
  <si>
    <t>Totales</t>
  </si>
  <si>
    <t>…oner en noticia de V. E. para su superior ~ Id. condimentadas.! 180,276 180,276 98 inteligencia, á fin de que tenga conocimiento de la cooperación directa de esias autoridades á favor de La sagrada causa de $. M. la Reina nuestra Señora, Totales.................. ' 2424,887 1.881,284 5,954 siempre que se manifieste ocasión para manifestarla. Dios &amp;c. Bayona li de Se ve por los cuadros comparativos que preceden , que las importaciones Noviembre.es:Exento. Sr.=Juan Prat.=eExento. Sr. Secretario del Despacho en viandas son muy inferiores á las exportaciones, p…</t>
  </si>
  <si>
    <t>Tourton</t>
  </si>
  <si>
    <t>…legarontres, cadaá la unauna deen lasu mañana.puerta respectiva,La segunday seá lasacantonócinco deenla elinaíiit- Carrousil-,' pezó el movimiento de ataque. ÜÓT.ICIAS EXT11AINGERAS. Los generales Rumigny, Bugeaud y Lasdours y el general Tourton 0¡c 1*" guardia nacional) marcharon reunidos al centro de la insurrección , deshacien do sucesivamente cuantas barricadas encontraban y ocupando las calles BeajiIRÁVCIA. bourg, Transnonain y Maubuée. Creyeron encontrar adversarios; pero como 1 dicho hoy muy bien en la Cámara AL Guizot, rio han hall…</t>
  </si>
  <si>
    <t>Tr-ip, H R</t>
  </si>
  <si>
    <t>H R Tr-ip</t>
  </si>
  <si>
    <t>…o, sometien departamento de guerra, desde el 30 de este mes, á S. E. el teniente general do las listas á nuestra aprobación. D. J. de Ecreus, nombrado teniente generalde nuestras Indias; y trae también el nombramiento de S. E. el general H. R. Tr-ip, director del departamento SUECIA. i del gran maestre de artillería, como director general interino del departamento Stockolmo 16 Je Setiembre, de la guerra. suIza. . Según ios partes oficiales han caído enfermas del cólera en esta ciudad 584$ Zurich 27 Je Setiembre, personas. El presidente de la C…</t>
  </si>
  <si>
    <t>Trabanco, Manuel Fernandez</t>
  </si>
  <si>
    <t>Manuel Fernandez Trabanco</t>
  </si>
  <si>
    <t>…rca de la dimisión probable de lord Granville, y de la diso Jaén: para la que este deja, á D. Manuel María Puig , intendente de Soria: lución del gabinete en cuyo nombre representa á su pais, de un modo que no para sus resultas á D. Manuel Fernandez Trabanco, antiguo intendente de pro manifiesta mucha simpatía por el que va á reemplazarle. * vincia, y en la actualidad oficial de la dirección general de Rentas¿ y para la Se dice que lord Granville anunciaba que pronto dejaría la embajada in de Avila a D. Ramón Luis Escovedo, también antiguo intendente d…</t>
  </si>
  <si>
    <t>Trabesí, D José</t>
  </si>
  <si>
    <t>D José Trabesí</t>
  </si>
  <si>
    <t>…no causa esto ninguna inquietud. Otra cosa sucede en por aquella parte. También se han hecho acreedores á ser mencionados el sub cuanto al Egipto, pues Ibrahím-bajá da al Sultán motivos reiterados de des teniente de cazadores del Rey D. José Trabesí, y el teniente de la compañía de contento y quejas. Se le ha invitado á que mantenga la mejor disciplina en su seguridad de Morclla D. Juan Vidal; y entre los individuos de tropa los sar ejército, y á que proteja á ios habitantes; pero aunque sobre esto muestra las gentos de cazadores del Rey Juan…</t>
  </si>
  <si>
    <t>Trabesí, José</t>
  </si>
  <si>
    <t>José Trabesí</t>
  </si>
  <si>
    <t>…ausa esto ninguna inquietud. Otra cosa sucede en por aquella parte. También se han hecho acreedores á ser mencionados el sub cuanto al Egipto, pues Ibrahím-bajá da al Sultán motivos reiterados de des teniente de cazadores del Rey D. José Trabesí, y el teniente de la compañía de contento y quejas. Se le ha invitado á que mantenga la mejor disciplina en su seguridad de Morclla D. Juan Vidal; y entre los individuos de tropa los sar ejército, y á que proteja á ios habitantes; pero aunque sobre esto muestra las gentos de cazadores del Rey Juan…</t>
  </si>
  <si>
    <t>Tracy</t>
  </si>
  <si>
    <t>…su con el nombre de lord Normanton , sir F. Bourdett con el de lord Foremar— .aprecio. ke , sir George Phillips con el de lord Sheldon, Mr. Hanburg Trac y con el 51 Ao habiendo postor que cubra este señalamiento se retasar,ín de lord Tracy , Mr, Rjgne con el de lord Wrotham, y Mr. Litleton con el las fincas, y hecho, se publicará otra vez el remate sirviendo de base de lord Tyddcsly. (Po/f.) la retasa. 4? Si en esta nueva subasta no hubiese postor que dé las dos ter __el mes actual han llegado á Londres 300 buques extrangeros ceras p…</t>
  </si>
  <si>
    <t>Tran, D Juan</t>
  </si>
  <si>
    <t>D Juan Tran</t>
  </si>
  <si>
    <t>…a. = - la vanguardia de este ejército á las órdenes del Sr. brigadier D. Francisco de El Sr. coronel D-Manuel Guerra, mis ayudantes de campo, el teniente Paula Jugueras, extendí mis operaciones í toda la amplitud que dieron de sí coronel D. Juan Tran, el alférez de caballería, capitán de la Milicia urbana la» circunstancias y los movimientos del enemigo, según tuve el honor de par de Valenéia de Alcántara D. Gonzalo Barrantes, y el subteniente de infan ticipar ¿ V. E. diariamente desde el 27 al 31 inclusive del próximo pasado Ju tería D. Joaquí…</t>
  </si>
  <si>
    <t>Tran, Juan</t>
  </si>
  <si>
    <t>Juan Tran</t>
  </si>
  <si>
    <t>…a vanguardia de este ejército á las órdenes del Sr. brigadier D. Francisco de El Sr. coronel D-Manuel Guerra, mis ayudantes de campo, el teniente Paula Jugueras, extendí mis operaciones í toda la amplitud que dieron de sí coronel D. Juan Tran, el alférez de caballería, capitán de la Milicia urbana la» circunstancias y los movimientos del enemigo, según tuve el honor de par de Valenéia de Alcántara D. Gonzalo Barrantes, y el subteniente de infan ticipar ¿ V. E. diariamente desde el 27 al 31 inclusive del próximo pasado Ju tería D. Joaquí…</t>
  </si>
  <si>
    <t>Tratado</t>
  </si>
  <si>
    <t>…or estado, habiéndose desvanecido los xczclos que causaban las enfer Id. sin Ínteres, 00. I medades de la villa del Casar de Cáccres. ' dicciones del banco español, 80¿ «1 cootadeh Ams-terdam, oo* i6*i. Oídla * b. Jerlll» par i | d. -1 Tratado tabre el molimiento y aplieackmet de lae aguas: por D. Josef Bayona v oó. Alicante á corto pla Corulla | d« Valencia par. [ JMariano Vallejo. Tres, tomos en 4.0; Madrid 1838. Precio de suscripción 102 Burdeos, 00.' zo ^ b. Graoada i| fd. Zaragosa | d. 00- A* m burgo, Barcelona á pesos fs. de letras…</t>
  </si>
  <si>
    <t>Travieso, Domingo</t>
  </si>
  <si>
    <t>Domingo Travieso</t>
  </si>
  <si>
    <t>…s primero que todo; es preciso que haya.rigo El capitán general de Galicia, con fecha de 26 de Noviembre manifiesta, rosa econ'omía.” Convenimos en esto ; mas para sacar consecuencias de esta que el capitán graduado de infantería D. Domingo Travieso, teniente de la verdad es indispensable consultar la prudencia y el sano juicio. La economía compañía de observación de la Coruña, que se hallaba acantonado en Ferreiconviene esencialmente; pero no se* debe confundir con la miseria. Estamos ros con 30 hombres, atacó á la facción del rebelde López q…</t>
  </si>
  <si>
    <t>TrczeL</t>
  </si>
  <si>
    <t>…l teniente general, Par de Francia, gobernador general de sioneros. las posesiones francesas en el norte de Africa, el mariscal de campo, gefe del Este nuevo escarmiento convencerá á los árabes que se obstinan en con estado mayor general, TrczeL” servar disposiciones hostiles contra nosotros, que siempre seguirá un pronto castigo á las tentativas que hagan para turbar el estado de paz que queremos fim fecha 3 de Noviembre Se publicó también la siguiente orden del día: establecer y mantener en Africa. «El teniente general comandante interin…</t>
  </si>
  <si>
    <t>Trecbucloy, IX Manuel</t>
  </si>
  <si>
    <t>IX Manuel Trecbucloy</t>
  </si>
  <si>
    <t>…doel decreto de27 deMayo, según en él K determi biémioló yo con un pistoletazo;-pero llegando los provinciales de Guajada *1na i los monederos y lostestigo* falsos; los asesinos, ó los que hayan herido’ m%ndp del teniente coronel capitán IX Manuel Trecbucloy teniente ÍÉ Pedrode intento á traición ; los que hayan dado veneno, aunque éste n» haya pro Calvachc, la6 desalojaron al momento, huyendo por la derecha del pueblo, aducido la muerte; los que con violencia hayan quebrantado prisión; los i»—- cendiarios¡los forzadores; los carceleros qué motu propio…</t>
  </si>
  <si>
    <t>Tres</t>
  </si>
  <si>
    <t>…ían depositarse en dicho banco como garantía de las acciones que tomaría el gobierno en Jo sucesivo. Es probable que la legislatura s* opondrá i todos estos manejos', y no adoptará anKiSTEHto ms lo irtehiob. las proposiciones del ministro. Tres años hace ya que 00 hay banco, y no por Reales órdenes. eso han empeorado loe negocios del comercio , á pesar de que los billetes del •atigao son loe únicos que se emplean pata el cambio. {Monitor-') Ha llegado á noticia de S. M. la Reirá Gobernadora con el mayor desagrado que varias autoridades lo…</t>
  </si>
  <si>
    <t>Tres, Francisco Pere y Casado</t>
  </si>
  <si>
    <t>Francisco Pere y Casado Tres</t>
  </si>
  <si>
    <t>…lanco que le paró dos en ingles, traducidoy aumentado al francés y de este al castellano, que es el único que lanzadas tiradas por retaguardia, y del sargento Lucas Fernandez que acudió el tenemos mas completo en este idioma. Por D. «Francisco Pere y Casado. Tres tomos en 4.0, edición de 1796, £ 39 rs. pasta y 27 rama. primero al pelotón que combatía. Los subtenientes Arocena y CLorio compi tieron en denuedo destrozando la infantería. ' Filosofía política y ó elementos de la ciencia de gobierno y administración pú Pasaré á las superiores manos de V. E. una…</t>
  </si>
  <si>
    <t>Tres, Juan Loperraea Corbalan</t>
  </si>
  <si>
    <t>Juan Loperraea Corbalan Tres</t>
  </si>
  <si>
    <t>…despacha dé la Imprenta RtaU nario en aquella capital y demas pueblos invadidos, habiéndose manifestado al Descripción histórica del obispado de Osma con el catálogo de sus prelados poé gunos casos sospechosos en Muía y jumilla. D. Juan Loperraea Corbalan. Tres tomos en 4-° marquilla, adornados con los rerrarus de los limos. Sres. obispos de Osma desde su fundación hastael año derl788 que.se pu PROVINCIA »B TOLEDO. blicó esta edición, y. un mapa del mismo obispado, á 80 rs. rama, 87 rústica'y 12$ pasta común. Comprende el primer tomo de esta obra la descr…</t>
  </si>
  <si>
    <t>Tres, Ochoa</t>
  </si>
  <si>
    <t>Ochoa Tres</t>
  </si>
  <si>
    <t>…y por qué han de ser de peor Condición los Ilotas. En U sesiop del 13 de Octubre se puso equivocadamente en las lineas beneméritos españoles que fieles á sus principios no faltaron á su juramento? y 44, columna 6.1» discurso «Jel Sr. Ochoa Tres santas y un honrado ¿Por qué razón se quiere cargar con una especie de sello ignominioso á los que tienen el gobierno agostado. tanto se distinguieron por su constancia á favor del sistema que regía entonces? Debe decir; Hé aquí como también la política reclama una medida que es de rigorosa jus Tre…</t>
  </si>
  <si>
    <t>Tres, Tadco López y Agutlac</t>
  </si>
  <si>
    <t>Tadco López y Agutlac Tres</t>
  </si>
  <si>
    <t>…arreglados áelloipor el presbíteroD. Manuél Hijo», tjt* tomo en 3.0.marquilU con Jaioioa;, cuarta edición de ^*829-» á 7 tu rama.y 11 pase» toman. . Garabonchel alto.. Idem.................... 122 s4 1 ■ Curso de matemáticas por D. Tadco López y Agutlac. Tres tomO^ ei* édicfoii de 1796, a 75 ^9. rama y 103 pasta coman. Totuos suelros, el J.°15 rs. rama. ElS.ea2¿. Eoeocarral.......... .. 26 á 30 ídem.. 83 V 23 Bl l.°a 15- El tomo l.° contjene-la aritmética universal.; *1 2.° trata de la geonietria plana y sólida;, de la trigonoiuetna plana y esférica ^ d…</t>
  </si>
  <si>
    <t>Tresidente</t>
  </si>
  <si>
    <t>…ad.do que mas de 2utA familias estaban interesada» jervn que faltaba unA forma • ;ad, pudo haber entcm^es ped do ia p.iia -ra \„, &lt;n esta última Nación. Hay mucho de exagerado en esto , pues acaso, si va á pues, dirí jiendotne al Sr. Tresidente , me parece que e»tarru\&gt; en ei caso .:=• *»o «laminarse á fondo y con imparcialidad, apenas pasaron de mi» persona» la» permitir que se falte a lo que p-eriene el reglamento.” terdaderamente interesadas en estos negocios, y cuja suerte penda de ello'-, Ei Sr. Secretario .irl Desf.uho de - Me e* mu…</t>
  </si>
  <si>
    <t>Trezel</t>
  </si>
  <si>
    <t>…eneral comandante interino del cuerpo de ocupación de Afri pación de Africa, firmado, VoiroL=Es copia, zz El mariscal de campo, gefe ca hace presente á U guardia nacional y á las tropas que han asistido ayer á la del estado mayor general, Trezel. revista, la viva satisfacción que le ha causado el ver su porte marcial y el ex celente espíritu que las anima. El entusiasmo que han manifestado se aumenta INGLATERRA. ba con la memoria de los últimos sucesos que han afligido á la Francia. Lóndres 12 de Junio. Los hermosos destacamentos que ha pre…</t>
  </si>
  <si>
    <t>Triaba</t>
  </si>
  <si>
    <t>…modo de llenarlas. Entre tanto anticipará una idea que Nota. En la sesión del dia ■$, col. 6.*, penúltimo párrafo» dice: Sr. GonzaU* podrá servir de termómetro i su verdadera opinión. Procurar Us mayores eco- (J&gt;. Amonio}» léase; Sr. Triaba* *b i': ov-i-. i-:.; ;&gt; &lt; .&lt; ’;r.' .&lt; &gt;. í r y ( ■ : : " : i ,.; EN LA IMPRENTA REAL. •vj T-É &gt; *.í -¿.ó tu [ tío O. í</t>
  </si>
  <si>
    <t>Triar, D Fermín</t>
  </si>
  <si>
    <t>D Fermín Triar</t>
  </si>
  <si>
    <t>…vitar vuelvan á reunirse los restos de dicha facción. 9,2 SO............------ 1000....................... .... Madrid. 3,045............ ___ 1000....................... .... Idem. Con la misma fecha participa desde Gordejuela el coronel D. Fermín Triar 13,131........... .... íuuo....................... . . . . Cádiz. te, que en dicho dia han marchado para operar, de acuerdo con el comandante 549........... .... looo....................... . . . . Madrid. de Vizcaya, los coroneles D. Félix Carrera y D. Julián Olivares, con 6,489. .............. 50…</t>
  </si>
  <si>
    <t>Triar, Fermín</t>
  </si>
  <si>
    <t>Fermín Triar</t>
  </si>
  <si>
    <t>…elvan á reunirse los restos de dicha facción. 9,2 SO............------ 1000....................... .... Madrid. 3,045............ ___ 1000....................... .... Idem. Con la misma fecha participa desde Gordejuela el coronel D. Fermín Triar 13,131........... .... íuuo....................... . . . . Cádiz. te, que en dicho dia han marchado para operar, de acuerdo con el comandante 549........... .... looo....................... . . . . Madrid. de Vizcaya, los coroneles D. Félix Carrera y D. Julián Olivares, con 6,489. .............. 50…</t>
  </si>
  <si>
    <t>Triarte</t>
  </si>
  <si>
    <t>…encia del movimiento combinado con el general reales vn. en que ha sido valuada; señalándose para el remate la hora de las doce’ del dia 22 de Noviembre próximo en el déspacho dé la Intendéiictá, admitiéndose oostura* Espartero y brigadier Triarte : habiendo muerto^ faeetosos y hecho 12 prisio en metálico que no bájen de las dos tcrccras natH«~de dicha tasación, y n« hLÉtá-jj neros de uña partida dé SO que recorría el país. estas, por el toral del enunciado aprecio, en papel de la deuda consolidada pot et valor nominal que tenga, prefiriéndo…</t>
  </si>
  <si>
    <t>…nto como tuviese reunidas las fuerzas que deben concur Extracto del parte remitido por el subdelegado de Fomento de la provincia rir al efecto. de Zaragoza D. Domingo Antonio Vega de Seoane con fecha de i5 del pró ximo pasado. El brigadier Triarte con las columnas de su mando i que se ha unido la qüe Explica la naturaleza del suelo de aquella provincia que exige la multipli de Galicia ha conducido al Ebro el coronel Cañera, están en pleno movi cación de canales y pantanos, y dice que este será el objeto constante de su ad miento sobre Vizcay…</t>
  </si>
  <si>
    <t>…en ella escritos con honor. __ los Urbanos deHaro con 420 fusiles que les acaiba de remitir. Concluyó dicien En cuanto al ministro , cuyas ¡míruccrañes han cooperado tán hábilmente do que por consecuencia, de su ealíevista cúb el brigadier Triarte ba qbedado á las miras del negociador frpnces, le felicitamos sinceramente por su buena impuesto de ser mas de^ifSQ los fósiles que este gefe ha recogido á los fÚciosoa, entrada en el ministerio, y estamos segaros de que su antecesor no la mirará y que no bajan de 500 los que se han pretentado sa s…</t>
  </si>
  <si>
    <t>…zas enemigas en posición sobre el cerro á la derecha de Val- satisfacción, no podiendo menos ademas de apoyar las fundadas re puesta , di órden al comandante Cosío para que con la columna de comendaciones que expresamente hace el brigadier Triarte , llamar su mando las atacase. Apenas esta columna había empezado á subir la soberana atención sobre la gracia que S. M. juzgue arreglada , y el cerro, descubrieron los facciosos su numerosa reunión en posi i que se ha hecho acreedor el teniente coronel D. Miguel Cosío, ciones muy ventajosas defend…</t>
  </si>
  <si>
    <t>…de 150 muertos y 200 heridos. sobre restitucloo á esta, pomo parte de sus bienes dótales, de una buer- . Del mismo modo hácé relación a la pérdida que ocasionó el ta y barbecho vendidos en concepto de pertenecer á su marido en pú brigadier Triarte á los rebeldes Uranga, Aguirre, Basilio y demas blica subasta, siendo juez de ella el expresado Torres, que litigd tam bién en primera Instancia requerido de evi’cclon; bajo apercibimientoá quienes mató mas de ¿0 hombres, causándoles un considerable de que pasado dicho término se sustanciarán los p…</t>
  </si>
  <si>
    <t>Triarte, D Fcrmin</t>
  </si>
  <si>
    <t>D Fcrmin Triarte</t>
  </si>
  <si>
    <t>…dados de Borbon muertos, 3 del mismo cuerpo y un carabinero heridos, 2 soldados de caballería del &lt;5.° de ligeros contusos, y un caballo del mismo Comandancia general de la provincia de Burgos, sr Excmo. Sr. gravemente herido. El brigadier D. Fcrmin Triarte desde Villalba dé Losa en 11 del Los dos gefes de las columnas Bárcena y Cosío han correspondi corriente me dice lo que sigue: Con noticia de que el cabecilla So- do á la buena opinión que gozan. Al primero le hirieron su caballo. pelana, que se hallaba en Valdegobia, se había dirigido al Barron, E…</t>
  </si>
  <si>
    <t>Triarte, D Fermín</t>
  </si>
  <si>
    <t>D Fermín Triarte</t>
  </si>
  <si>
    <t>SUPLEMENTO A LA GACETA DE MADRID DEL JUEYES 6 DÉ ^EBRERO DE 1834*. Parttf recibidos hoy en el ministerio de la Guerra, Excmo. Sr.: El coronel D. Fermín Triarte, comandante de la columna de Santander, á quien según mis órdenes se unió la de la izquierda mandada por D. Miguel Cosío para atacar la facción de Castor, me da con fecha de 30 de Enero último desde Sodupe el parte cuya copia incluyo, por la cual se enterará V\ E. de la ventaja conseguida por dicha…</t>
  </si>
  <si>
    <t>…. Bastide censura asimismo el sistema de contribuciones, y el gasto extra El referido capitán general con la propia fecha del 6 dice: Excmo. Sr.: El ordinario que se hace de los fondos públicos , que produce el recargo que sufren brigadier D. Fermín Triarte desde $■ Esteban de Carranza, con fecha 4 del ac los contribuyentes: dice que está convencido de que una revolución republica tual dice al comandante de esta provincia lo siguiente: Habiéndose logrado U na agravaría estos males en vez de disminuirlos; pero que también lo está de dispersión total de…</t>
  </si>
  <si>
    <t>Triarte, Fcrmin</t>
  </si>
  <si>
    <t>Fcrmin Triarte</t>
  </si>
  <si>
    <t>…orbon muertos, 3 del mismo cuerpo y un carabinero heridos, 2 soldados de caballería del &lt;5.° de ligeros contusos, y un caballo del mismo Comandancia general de la provincia de Burgos, sr Excmo. Sr. gravemente herido. El brigadier D. Fcrmin Triarte desde Villalba dé Losa en 11 del Los dos gefes de las columnas Bárcena y Cosío han correspondi corriente me dice lo que sigue: Con noticia de que el cabecilla So- do á la buena opinión que gozan. Al primero le hirieron su caballo. pelana, que se hallaba en Valdegobia, se había dirigido al Barron, E…</t>
  </si>
  <si>
    <t>Triarte, Fermín</t>
  </si>
  <si>
    <t>Fermín Triarte</t>
  </si>
  <si>
    <t>…censura asimismo el sistema de contribuciones, y el gasto extra El referido capitán general con la propia fecha del 6 dice: Excmo. Sr.: El ordinario que se hace de los fondos públicos , que produce el recargo que sufren brigadier D. Fermín Triarte desde $■ Esteban de Carranza, con fecha 4 del ac los contribuyentes: dice que está convencido de que una revolución republica tual dice al comandante de esta provincia lo siguiente: Habiéndose logrado U na agravaría estos males en vez de disminuirlos; pero que también lo está de dispersión total de…</t>
  </si>
  <si>
    <t>Trido, Agustín</t>
  </si>
  <si>
    <t>Agustín Trido</t>
  </si>
  <si>
    <t>…15 y 15 id..... 45 • 5 1Z la segunda compañía del provincial de Logroño, que con ella y su teniente D. Fernando Bobadilla, se condujeron con la mayor bizarría: el espitan co PROVINCIA DE SBVIUA. ’ mandante de la columna de Sodupe D. Agustín Trido, me recomienda tam Con fecha 12 del corriente dice el gobernador civil de ella que en la capi bién todos los subalternos de Compostela y Logroño. Dios &amp;c.” tal habían fallecido 7 personas de enfermedad sospechosa3 y que de las mismas quedaban existentes otras veinte y dos. ■ El mismo capitán genera…</t>
  </si>
  <si>
    <t>Trigo, Crin</t>
  </si>
  <si>
    <t>Crin Trigo</t>
  </si>
  <si>
    <t>…40 dables; y al caer el sol entrarán el 2.° batallón del regimiento infantería de la- id.: vinágré, dex8 i t0 id.: aguardiente, á ¿0 id. sin pagote derechos.Reina y provincial de Bujalance á. las órdenes del Sr; mariscal de campo Don Crin. Trigo, de 40 á 46 rs. fanega: cebadaj á 24 id.: maíz, á §6 id.: aceiManuel de Latre, quien conmigo continuará mañana á pernoctaren Mérida, ha-«? te, á 40 rs. arroba: vino, dé'lÓ á Í2 id.ciándolo aquí la división de caballería con su general el Si\ barón de Carondelet: Málaga: . Trigo, de 40 á 53 rs. fane…</t>
  </si>
  <si>
    <t>Trigo, Isabel Utrera</t>
  </si>
  <si>
    <t>Isabel Utrera Trigo</t>
  </si>
  <si>
    <t>…salieron del Guadalquivir cinco goletas in cerca del costado del guia de dicha columna, sola, delante de los generales y glesas cargadas de naranjas para Londres. comitiva expresada , que se mantuvo á cierta distancia. S. Al. la Reina Isabel Utrera. Trigo, de 28 á 32 rs. fanega: cebada, de 16 á 18 id.: garbanzos, saludaba graciosamente las tropas á medida que pasaban, y señaladamente á de 55 á 70 id.: habas, de 18 á 22: aceite, á 34 rs. arroba menor. las banderas. Toledo__ En la ciudad. Trigo, de 4^ á 4^ rs* fanega: cebada, de 17 á Los Scrmos. Sres.…</t>
  </si>
  <si>
    <t>Trigo, Talarn</t>
  </si>
  <si>
    <t>Talarn Trigo</t>
  </si>
  <si>
    <t>…biendo ocurrido por nuestra parte mas pérdida que la de nue Mora de E'bro (20 de Mayo) Trigo,»'56 rs. la.cuartera: id. mezclado, ve muertos y muy pocos heridos. £ 50 id.: cebada, £ 26 id.: aceite, á 4# rs. cántaro: vino, á 4 f*. ¡d. Talarn. Trigo, á 38 rs. fanega: centeno, £ 25-id.: cebada, £ 21 id,: ju El comandante general de la provincia de Toledo con fecha, de 1 del cor dias, £ 34 id.; arroz, ¿ 26 rs. arroba: patatas, á 2 id.i aceite, i 38 id.: aguar riente incluye i este ministerio un parte del capitán D. José María Crespo,en • diente,…</t>
  </si>
  <si>
    <t>Trigona-e-Parisi</t>
  </si>
  <si>
    <t>…ancisco Canali, natural de nio general. Pero un hermano de M. Fould, también judio, salió diputado Pérusa, de edad de 61 anos. por S. Quintín con gran mayoría de votos, y su clccci n fue apoyada por pro los otros tres son el Emo. Sr. Trigona-e-Parisi, arzobispo de Palermo, testantes y católicos. (Ckronicle.) natural de Piazza, en Sicilia, de edad de 67 años: al Emo. Sr. Bottiglia, arzo \ bispo de Pirgi ¿ natural de Cavour, junto á Turin, de edad de 72 años: ei ------ Acaba de celebrarse en Manéhester uña junta entre los tttaestfos de sastje, Em…</t>
  </si>
  <si>
    <t>Trigonometría</t>
  </si>
  <si>
    <t>…la retaguardia de los facciosos, habiéndose distinguido en este encuentro el capitán de caballería del Analogías para lá resolución de triángulos, y prácticas. regimiento de Borbon D. León Iriarte, y el ayudante del propio cuerpo Don Trigonometría esférica. Joscf García. - Principio fundamental de ella. Exposición de las fórmulas ó analogías de Néper. Con fecha 22 del corriente avisa el presidente de la junta superior de Sa Resolución de los triángulos esféricos. nidad de Andalucía, que Ja salud pública do los pueblos do aquella provincia Ex…</t>
  </si>
  <si>
    <t>Tríieba</t>
  </si>
  <si>
    <t>…la scd- so no por falta de esfuerzos cívicos pañi sostenerla? El decirnos que los ur í da modeeada deolvido y do conciliación* banos no han significado al .Gobierno el deseo de cambiar el nombre de Mili ; ' *?$c ha equivocado el Sr. Tríieba cuando ha asentado que el Gobierno tic- cia utbana, eso no es una objeción. Los Procuradores de la -Nación sabemos 'Oe miedode armar la Milicia urbana; que ve fantasmas y sombras. No es el que existe ese deseo, porque el nombre da Milicia naciofial le* recuerda haber - Gobierno quien adolece de ese…</t>
  </si>
  <si>
    <t>Triieba</t>
  </si>
  <si>
    <t>…iscurso, mucho mas eleria&amp;ente cosa rara que todas nuestras reformas bayap.enqpezado por hacer-la careciendo, como carezco, de.práctica parlamentaria:' sin embargó, diré lo guérja, á los empleos; Asas una vez que existe, y que el Sr. Triieba no ha saca que me ocurra. • ¡.; ”, do ninguna consecuencia de esta premisa, estando en un todo acorde con laa _ vProbaré esto con ejemplos de nuestros días, una vez que lo hice anteé priinéraf ideas dejSfS,',' pasaré en segúida'a hacer mis observaciones. Una vez con ejemplos de Ja historia antigua…</t>
  </si>
  <si>
    <t>Tripier</t>
  </si>
  <si>
    <t>…blicas, y anunciando una ídem db los PARES._5V.fi0M del dia 15. I considerable reducción en «1 impuesto sobre casas. En cuaoto á los propietarios I de tierras ha dicho que también trataba de aliviar sus cargas por medio de una El Sr. Tripier lee el informe en que la comisión que ha examinado la pro ¡bien combinada conmutación de diezmos, que en su sentir seria mas provecho- puesta del Sr. Boyer respecto á los efectos de la separación de esposos hecha 1 sa á los mencionados contribuyentes que la supresión de otros gravámenes que en virt…</t>
  </si>
  <si>
    <t>Trizar, José</t>
  </si>
  <si>
    <t>José Trizar</t>
  </si>
  <si>
    <t>…do en la marcha. .• v • ’ felfa,/y. de mi9 ayudantes de campo D. Bernardo Senosiaín y D. Victoriano Desde este punto pude observar perfectamente las formidables posiciones de Bragado, la del Teniente de ingenieros que me acompaña D. José Trizar, y la* Jos enemigos , que situados á derecha é izquierda del barranco de la Ferrería de los Sres. gefes y oficiales y tropa nada me han dejado que desear, y pueda ¡vieja ál pte de la parte del certo de Aralar denominado Valcrdi por la izquier asegurar á V. F. qué tan"dignos oficíales y^ioIdajáosvde…</t>
  </si>
  <si>
    <t>Trocha</t>
  </si>
  <si>
    <t>…l que cobra ün estipendio del Estado. No, El Sr. López dijo que sin duda el Sr. Secretario del Despacho de Hacien señores, el soldado , como el Miliciano urbano, cada uno en su círculo es díg da se había equivocado atribuyendo al Sr. Trocha lo que no habia dicho sino ito de la consideración y aprecio de sus conciudadanos: si el uno tiene estipen el; pero que en cuanto á esto el mismo señor se había dado la contestación* dio es porque no puede atender á sus obligaciones , ni á ejercer profesión aigu- pues lo que todos deseaban era dest…</t>
  </si>
  <si>
    <t>Trogh</t>
  </si>
  <si>
    <t>…ido infructuosas. Los que estaban encargados ck y otros países septentrionales. Estas cartas que acaba de enviar aquí el amt- dirigirlas alegaban siempre el obstáculo; de lo» hielos para justificar la inutili mand de .Romsdal, el Sr. Trogh, pertenecieron sin duda al bergantín la Zi- dad de sus esfuerzos; pero estoy firmemente persuadido de que por «u parte lloise, que- salió de Dunkerque á principios del año pasado, y de que no se ha ha habido cobardía por no decir mala* voluntad. Parece muy extraordinario, vuelto á tener noticia. en…</t>
  </si>
  <si>
    <t>Troncón, Dionisio</t>
  </si>
  <si>
    <t>Dionisio Troncón</t>
  </si>
  <si>
    <t>…ñías &lt;Je Gerona, y por el fuego que al costada opuesto rom de Gerona £). Joaquín Bayon y D. José Losada : al valiente tómente de ca pió un pequeño t destacamento de tiradores de Isabel n , que conducido por su rabineros á caballo D. Dionisio Troncón, y a los capitanes de cazadores de le» bizarro teniente D. Bernardo Echaiecu, salió de la casa fuerte; este movimien regimientos de Avila y del 2.® batallón de la Guardia D. José Milano y Den to ^.decia, Excmo.Br., fue decidido y nos hizo pronto y sucesivamente due Carlos López. ños de una extensa…</t>
  </si>
  <si>
    <t>Trtlrba</t>
  </si>
  <si>
    <t>…grosa! Esta sombra, esa ordenanza » quejjfde abrazar los puntos *$enciales,.pase pofla-intérven- nb, no es sombra, me equivocóles realidad ¡ el carlismo es una verdad dema cion de lo* Estamámos.” X*. siado positiva. - . , - . JE/ Sr. Trtlrba: nYa que i la cuestión de Miticiaivirbani'no te la ha po ” H ibicndo hecho ettas demostraciones,-paso á exponer las razones en que dido dar el título de cuestión vital, por haberse Mevácfo eslevmpónente titulo el me apoyo para admitir el primer‘artículo, tal como.Je presenta el Gobierno. empréstito…</t>
  </si>
  <si>
    <t>Trucba</t>
  </si>
  <si>
    <t>…endía para dar conocimiento al Estamento de algu rarios , de ios hechos con fuerza ó violencia ó con cualquiera de los defectos nos otros negocios interesantes. sustanciales de que tanto abundan los empréstitos en disputa. El Sr. Secretario Trucba dió cuenra de una comunicación del Sr. Presi «El Sr. Vega y Rio dijo ayer que es válido el contrato hecho entre per dente del Consejo de Ministros, por la que participaba al Estamento de Real sonas autorizadas, convenimos en el principio, pero diferimos absolutamente en orden , que la Serma. Sr¿. I…</t>
  </si>
  <si>
    <t>Trucha</t>
  </si>
  <si>
    <t>…éra. solo sí he preguntado' qué regla se había seguido, y .viendo que ninguna, me Votado este dictámen por partes quedó aprobado en todas ellas. parece se está en la necesidad de establecerla para lo sucesivo: si no obraremos F.l Sr. Trucha reclamó el expediente relativo á los poderes del Sr. D. Juan á ciegas.” , Gualberto González, electo por Huelva. , Otro Sr. Procurador expuso que la comisión parecía contradecirse , opi El Sr. Medrano contestó estaba aun pendiente. nando un. individúo una cosa y otro otra. En seguida se leyó por el…</t>
  </si>
  <si>
    <t>…sus talcnToey saber, crea que no pueda concederse esta libertad sin degenerar en. licencia Discusión sobre la contestación al discurso del trono. dará acaso de la eficaz cooperación del Estamento á concurrir por todos-io£ El Sr. Secretario Trucha leyó la minuta ó proyecto presentado por la co medios que le sugiera su celo para conspirar al mismo, fin que el Gobjsrpoij misión. ¿Cómo hemos de hacer tan notoria injusticia al pueblo español que le Bpqpgpu Sr. Presidente: »&gt;Se abre la discusión del proyecto presentado por la co mos falto de cono…</t>
  </si>
  <si>
    <t>…ciones, quedó este debaleen Madrid 31 de Agosto de 1834 =Scñora. = A L. R. P. de V. M. = Sebastian -tal estado. ; García de Ochoa.= Diego Medrano. = Vicente Vázquez Moscoso. = Javier ■Se di ó cuentade la siguiente proposición del Sr. Trucha: "Pido que se de León £end¡cho.= Cayetano Mclendez. = Francisco Hubert. =: Ginés María nombre una comiáitSO'que examine todas las operaciones verificadas para reglar Serrano, se Marques de Montenuevo.xx Conde de Adanero.=Damian de Lasan los empréstitos contraídos desde '1823 acá, á fin de que averi…</t>
  </si>
  <si>
    <t>…a á votación , quedó . to , en mi concepto no puede, ser objeto de una ley como lo fue la relativa i aprobada. : dicho Voto. La abolición de este debió serlo, porque era una imposición in A continuación se leyó también por el Sr. Secretario Trucha la que si justa y concretada á cierto número de perdonas y provincias. La de la merced gue, igualmente que los dictámenes de las comisiones de lo Interior, Míl-cia de amigos no puede serlo, porque no tenemos ningunos datos, ninguna histo urbana y Guerra, por las que hjbii pisado la misma conforme al r…</t>
  </si>
  <si>
    <t>…sío, como individuo de la comisión, Acevedo, aumentes por enfermedad ó otra causa, para que puedan remitir su voto por es López, y Abargues; y en contra los Sres. Bendicho y Mantilla. crito á fin de que se inserte en el acta.” Et Sr. Trucha , relator de la comisión: « Encargado de sostener el dicfáEn seguida se leyó el dictámen de la comisión encargada de examinar la men de la comisión,en el grave asunto que ocupa ahora la atención del Esta proposición antecedente, la cual aplaudiendo la nueva prueba de celo dada por mento , confesarí…</t>
  </si>
  <si>
    <t>…ar nueva redacción al acta, y se dor á quien se culpa de una ignorancia tan crasa: si esta advertencia se me hu propondría alRstamento pjra ver si se conformaba con ella. biese hecho ayer, no hubiera retirado rmt'Sdicion.” El Sr. secretario Trucha leyó esta parte del acta, suprimiendo la expre El Sr. Secretario del Despacho de Hacienda : «El calor que acaba de sión inoportuna. manifestar el Sr. conde de las Navas es muy justo y nacido de su buen deseo. «El Sr. conde de Toreno dijo que en el caso desgraciado de que faltasen Yo empezaré por ha…</t>
  </si>
  <si>
    <t>…mento sobre es habían hecho fuerza sus razones, ni le habian convencido. tas ¡mportanies discusiones, á fin de que, si bien no convendrá excedan de los límites oportunos, no sean tampoco sofocadas como otras de gravedad. Tanto El Sr. Trucha: «Antes de entablar la discusión sobre los presupuestos mas justo es este deseo, cuanto que por la naturaleza misma..deja materia, en tengo que hacer una observación que creo de suma importancia- Aquí s* trata de un proyecto de ley que va á discutirse en su totalidad: el presupuesto de la las comis…</t>
  </si>
  <si>
    <t>…te con los demas asuntos, y Parece indudable por lo mismo que no proviene de un derecho legítimo y re prevenido por el art. 92 tít. del reglamento.” conocido, y que fue concedida solamente por los sentimientos de generosidad y El Sr. Trucha: ♦•Como uno de los autores de la proporción. N' ha sido afecto del Monarca; y si bien la comisión ha manifestado el mayor respeto huestro intento entorpecer la discusión que va á entablarse: pero si qu ^er-jmos hacía las disposiciones de este cuando van acompañadas con algún aspecto de que esta lle…</t>
  </si>
  <si>
    <t>…alcaba de salir de una guerra terrible y desastrosa., no e*uba España devorada cial de nosotros miamos. por otra mas terrible, cual es ia civil : entonces no tema E»pjña el cruel azo "Paso i haberme cargo de las observaciones del Sr. Trucha , no pudiendo te del cólera—morbo, ni tampoco sé hallaba abrumada con la carga de una deu excusarme de rebatirle. S. b. ha dicho que e»ta no es una cue»tion teórica, sino da exfrangerat entonces no se conocían ni La renta perpetua ni el empréstito de práwlLa; que e»ta no es cuestión de principios,…</t>
  </si>
  <si>
    <t>…re'ponden á ellas: Lo&gt; empleado* por el Gobierno , según m ni fies» el St. D. Jacinto Rocnarate, electo Procurador por la provincia de Vizcaya. tan 1 os últimos acont?cinvrf.l.»* de Va enea y otra* partes, que abuvan de su El Sr. Secretario Trucha leyó el art. 51 y manifestó que la mesa en su situación y de la sombra Je e&gt;te mi&gt;mo Gobierno p3ra clavar el puñal en la pa virtud habia nombrado las comisiones ordinarias siguientes: tria. Es cierto, señor, que c&gt;ta responsabilidad no pé&gt;a sobre el actual mi Del Interior: Sres. Accvcdo , Ochoa , R…</t>
  </si>
  <si>
    <t>…on una inmensidad de sueldos. si lia hecho suceder ésa aurora de luz á la noche Tenebrosa de la tiranía qu» con MI Sr. CabaUcro-. « La mesa debe hacer presente á los Sres. Procuradores pincel tan poético nos acaba de describir el Sr. Trucha; si es cierto que todos que la equivocación en que sin duda ha incurrido el Sr. Bendicho, procede tal estos actos se deben 41a munificencia soberana, ese es su principio, y de ahí vvz de que te ha referido á la petición en los términos en que se imprifnió l* deben tomar su fuerza y validez. Estas s…</t>
  </si>
  <si>
    <t>…discutir el dictimen da 1* comí » do la palabra al Sr. marques de Mootevírgen, como individuo de ella. ñon de Hicicndi sobre la deuda extrangera. 1 Et Sr. marañes de Montraírgen:«El Estamento se «a á ocupar del dscEn téguida ;e| Secretario Trucha subió 41a tribuna y Uyó dicho témen de fc crinaron de Ilacjendarcfatiyo al proyecto de lef, "presentado pop men y el de i a" minoría de la comisión (véase la sesión de 11 del actual). el Sr ministro*del mismo ramo, sedare deuda eztraugera y recuraos para salir El Sr. Secretario del Despacho de Haci…</t>
  </si>
  <si>
    <t>…a-resolu- ficciones del Oriente, y rivalizaron en el fausto y la riqueza con los magnates eion la mas justa y conveniente al bien del Estado. de la tierra. Semejantes á las aves de rapiña los vimos cebar su apetito insacia El Sr. Secretario Trucha: «Me propongo apoyar el dictámen de la co ble en el postrado y casi exánime cuerpo de su patria. misión fundándome en razones dé justicia, conveniencia pública y decoro na «Pero si de los argumentos de justicia pasamos á los de Conveniencia, que cional. Examinemos primero la justicia de los emprést…</t>
  </si>
  <si>
    <t>…\ftís;tíép- En seguida sé leyó otra det Sr. conde de las “Navas, en que pedia que des minos en que estaba concebido según las modificaciones hechas.” ■ pués de las palabras Reales nombramientos del primer artículo, se añadiese El Sr. Trucha: «Los peticionarios, después de haber oido las razones ale como el abono del tiempo que sin su voluntad han estado privados de ellos\ gadas últimamente, se han convenido en adoptar esta nueva redacción del ar y el Estamento no tuvo á bien tomarla en consideración. tículo primero. Presentada por el…</t>
  </si>
  <si>
    <t>añadido que habrá necesidad á la nueva apertura de nuevo juramento ;,po 4¿ / Uo.St. Procurador pidió que volviese el expediente á la comjsion; á lo me equivocaré.” ■, r ' '■ ; , / : que contestó el Sr. Trucha no podía tener lugar esta propuesta, por estar y* J57 5r. Visedo: *&gt;El argumento que ha hecho-el Sr. Alcalá-Zamora .«s ¿el oesaptobado^i dictámen de la misma. mismo que pensaba yo hacer; y creo que la reunión de los selectores no es otra Lo» Srp. Domecq , Falces y otros dijeron que desaprobado el d…</t>
  </si>
  <si>
    <t>…uesto este párrafo que discutimos, el pais; evitando de esta suerte, como ya dije en otra ocasión, algunos dias de como enteramente inútil.” luto á la patria.” El Sr. Secretario del Despacho de Hacienda: «No voy á entrar en el El Sr. Trucha: «Yo quisiera se me aclarase una duda. Se dice que no fondo de la cuestión, sino solamente á contestar á una pregunta del Sr. Istúriz hay mas que cuatro vicecónsules con 69 reales; y yo estoy en la inteligencia sobre por qué no enviando esas cortes sus ministros, hemos de pensar nosotros de que el…</t>
  </si>
  <si>
    <t>…l reconocimiento de la que no se debe no debe pagarse: esta es ia verdades cuestión Es claro que si deuda extrangera y empréstito de 4^0 millones.” la misma se sometiese á un tribunal, sccun ha dicho c 1 br. M r.¿st-o de Ha. enEl Sr. Trucha: » Antes de entrar en el fondo de. la cuestión , no puedo da , para fallar, este pediría los documentos que ju&amp;uñcascn U deuda, no sien menos de manifestar mi sorpresa al ver el giro que ha tomado; pues e¿ evi do suficiente al efecto decir : el señor me debe lantuocuantr . en este caso, pues, dente…</t>
  </si>
  <si>
    <t>…s que so Se dio cuenta dét-nombramiento por la ynesa de I:ís comisiones siguientes: acaban de leer, f se señala el martes para su discusión.” .? * * . • De Rentas estancadas: Sres. Fernandez Blantó-, Paez Jaramillo, marques EJSr. Secretario Trucha: «La mesa hace presente al Estamento que por de Villügarcía, Miranda1,'Rodas, Garay y marque» de Montcnuéircí. ‘ la ausencia de un* Sr. indiéidUo de-la cómi.ion de Código criminal's¿ ha nom • De Adiiianas : Sres. Aguirre Solarte, Galwey", Llano Chavarri, Orense, brado en su lugar ál Sr. Martel: que…</t>
  </si>
  <si>
    <t>…r Sevilla , llamado Reina , fue El Sr. Alcalá Zimora pid.ó que se preguntase ti el puntó estaba suficien quien la dijo; se levantó al hablarse de cómo se había de recibir al Rey, y di temente discutido; y habiéndolo verificado el Secretario Trucha, resultó que jo: «Si el Sr. Rey D. Fernando yiene á España.deberá ser absoluto, como fue no por 43 contra 42* ron sus padres y sus abuelos.” Pues, señor, tai fue el chubasco que se levantó El Sr. Crespo de Tejada; «Estoy de acuerdo con el Sr. Caballero en en el Congreso y el público al oir tan ines…</t>
  </si>
  <si>
    <t>…o señor sentó á. seguida la maxima de que las protestas se hacen valer _lg* ojos y reconocer los 79 millones entregados por aquel.” siempre, cuando triunfa 1a Opinión del Gobierno que las formalizó,: y sin^ Habiendo dichó_él St*. Secretario Trucha que no quedaba ya quien tu volver ahora á la cuestión de si entre nosotros hay vencedores y vencidos, viese pedida la palabra, se pregunto si el punto estaba suficientemente discuti porque sobre ella fija el juicio la opinión, pública, que no es el eco de la dei do; y hab.endose de-larado que sí, s…</t>
  </si>
  <si>
    <t>…Ve- nuestro antiguo clero, es decir, dr*ds que E'-p^ña admitió la religión católica lasco. = El marques de la Gándara. z= Javier de Eran Bendichó. en tiempo de Récaredo 1 cono re i¿r.n del E=Tí1o, hasta la ínvision de los El Sr. Secretario Trucha manífesto-que tenían la palabra en pro los seño árabes, no se conocieron Cales amort:z^ciof:es ó capellanías; ni (jiitpoco ios res Polo f Monge y conde de Las Navas, y en el acto la pid eroo en contra diezmos; y sm embargo de que vivía con solo las d-macioncs de los fie'es, era varios Sres. Procura…</t>
  </si>
  <si>
    <t>…or su parte no tendría no sobran los oficiales que sobrarían en tiempo de paz.” incon^nfcnte en que se votase desde luego, previa U anterior manifestación. El Sr. Ardtigo: «Yo echo menos en ei informe de la comisión ciertas in El Sr. Trucha expuso que comq Secretario del Estamento podia atestiguar dicaciones que avanzarían las reformas que nos proponemos;, que La mesa había publicado en efecto la votación. «Entre otras, noto que no ha hablado de la desproporción que existe en Después de otras muchas ion testaciones entre los Sres. Alc…</t>
  </si>
  <si>
    <t>…n venir, tiene un camino abierto, que es el de no justificar su renta. De consi do en consecuencia guiente mi opinión es que se apruebe el dictamen de la comisión.” El Sr. Domecq: «P&amp;r muy alegremente que se hayan oído excuv&gt;s El Sr. Trucha apoyó las razones del Sr, Ferrcr, manifestando que en vez del Sr. Fontemberta , no tienen nada que no sea muy racional . muy justo y de obligar 4 los Procuradores electos á usar de un medio tan mezquino de ex aun equitativo: se halla con pocos bienes ¿-* pues los perdió por i.« vicisitudes cusarle…</t>
  </si>
  <si>
    <t>Trucha, González y</t>
  </si>
  <si>
    <t>González y Trucha</t>
  </si>
  <si>
    <t>…3; de un oficio del Gobierno, en que se participaba al Sr. Presidente interino la marques de Montcsa 1 , y Fuster 1. lista de los Sres. Procuradores que han sido electos por mas de una provincia, i Quedaron pues electos los Sres. Caballero, González y Trucha. saber: El Sr. marques de Falces hizo la observación de que los Sres. Valdric y Sr. D. José Clarós por las de Badajoz y Huelva. Torremejía eran uno mismo, por lo cuál se reunieron los votos que con cada Sr. X). Ramón Ciscar por-las de Barcelona, Lérida y Tarragona. uno de estos nombres había reunido…</t>
  </si>
  <si>
    <t>True</t>
  </si>
  <si>
    <t>…S. podía estar seguro que en la lista de tro que resultaban electos para este cargo y sus votos, á saber: la secretaría estaba incluso su nombre, como el de los demas Sres. Procuradores Sr. González por 56; Sr. Caballero por 55; Sr. True&amp;a por 51, y Sr. Bel que prestaron juramento. da por 43. El Sr. Otázu indicó que la nota de que se hablaba se podía pasar á la Ga El Sr. Presidente interinó hizo leer el art. 4^ del reglamento que previene ceta, puesto que es uú papel oficial. el modo de noticiar estas elecciones á S. M. en el caso…</t>
  </si>
  <si>
    <t>Trueba</t>
  </si>
  <si>
    <t>…ra, dos ó cuarenta, tampoco importa si faltan elos funda El Sr, Belda leyó el art. 135 del reglamento, y manifestó que tenían pe mentos de la libertad Civil. ¿Quién podrá dudarlo; Y una vez admit-do este dida la palabra en pró el Sr. Trueba, y en contra el Sr. Bendicho y Santafe. principio tcómo desechar suslconsecuencias naturales: La seguridad individual, El Sr. Trueba: ” Al levantarme á apoyar la ^petición que se ha leído, es la seguridad de la propiedad, la igualdad ante la ley, son consecuencias natu toy íntimamente penetrado de…</t>
  </si>
  <si>
    <t>…e me es carácter ísticar veremos si es llegada la época de conceder i la hbertad, minan Jos cimientos del órden, y abren Ja puerta á la anarquía esta libertad; compararemos las ventajas y los inconvenientes, como todo le *&gt;Mas el Sr. Trueba ha citado á Bentham para censurar el paso lento en las gislador debe hacerlo, pesándoles fielmente en la. balanza. Entraremos en el reforma*, olvidando tal vez'que ei mismo Bentham dijo con sobrada razón,y eximen déla-libertad de imprenta, y cuándo se concedió en Inglaterra, si hab aodo cabalmente…</t>
  </si>
  <si>
    <t>…sacer petiejoffi hayan de í-eupirse^ MgSroy.1SyoÍjüi|adore4 NJcáiariíijgreiite el exclusión ^élJ6nfiante}D,4cil|os^e Ja coronacle Estqiñá^ . haberse fijado tai numero, es porque seTía créidó'que éntre 1"90 individuos; aco Él Sr. 'Secretario Trueba leyó la siguiente petición señalada para la dis gidos por sus provincias, no podrá haber idea ventajosa y útil al Estado que cusión de este dia; como asimismo los dictámenes de las comisiones porque no encuentre tantos que la suscriban , y por no dejarlo á solo un individuo ais había pasado con arr…</t>
  </si>
  <si>
    <t>…o votado ningún Sr. Procurador por la afirma Sr. D. Manuel González Allende por la provincia de Zamora. tiva , quedó declarado que no se habia faltado. Se dió cuenta de urt oficio de la comisión nombrada para el cxámen del Ei Sr. Secretario Trueba puso en noticia del Estamento que habiendo ma proyecto de ley sobre expropiación ó enagenacion forzosa por causa de utili nifestado el Sr. marques de Montenuevo no poder tomar parte en los trabajos dad pública, en que manifestaba haber nombrado decano suyo a| Sr. Lasanta, de la comisión de rentas e…</t>
  </si>
  <si>
    <t>…en «El Gobierno no ha querido variar por una órríen k&gt; ejecutado por otra: do firmado todos los individuos de la comisión ei dictamen de la misma. lo que ha hecho ha sido presentar un proyecto de ley , que seguirá lus trámites El Sr. Trueba expuso que podía suceder muy bien esto, pues que á veces corre;-pondiemes , y se aprobará ó no se aprobará1; pero nunca ha pensado dar están los individuos de una comisión de acuerdo en casi lodos los puntos , y una órdeo para derogar la otra anterior.” discrepa en uno ó otro alguno de aquellos, el…</t>
  </si>
  <si>
    <t>…’ antepuesto Nicolás, actual Emperador de la Rusia, á su hermano mayor un discurso lleno de.verdadera elocuencia y de profunda ilustración , cual ha el gran duque Constantino, en observancia de este decantado derecho? sido el del Sr. Trueba, queme lleva tan conocidas ventajas; y lo tiento tanto «Pero ¿á qué cansar al Estamento? Si fuese á averiguar la historia de to mas, cuanto que debo habiar en contra de su opinión, no respecto de lo que dos los tronos de Europa no hallaríamos quizá uno solo que no ofreciese se propone , sino relati…</t>
  </si>
  <si>
    <t>…a que pone Hacienda nó es un patrimonio exclusivo de S. £.), han presentado el misino el Gobierno en las personas que nombra papa sus comisiones é informes: aun argumentó bajo diversas formas otros varios señores , entre ellos el Sr. Trueba respecto de una carta confidencial, no se hace uso de ella sin' el prévio per y el Sr. Galiano. Yo creo que el decir que si el Estamento de Procuradores miso de su dueño. (Al llegar aqiii el Sr. Secretarío de Estado, el Sr. Ferrer pi ■variasede dictámen cometería una falta, yharia una ofensa á su'…</t>
  </si>
  <si>
    <t>…Nación ni á ninguno donde se crea que hay fraude. Eso es cabalmente lo que acaba de suceder en de los Sres. Procuradores) que la Nación está ya bastan te ilustrada para poder Santander. El caso, que coa tanto calor ba referido el Sr. Trueba, ha odo ua recibir estas reformas. Para remediar los males es preciso ames de todo cono caso de contrabando; y el Intendente no tuvo necesidad de pedir permiso al cerlos; es preciso haberlos palpado , como me ha sucedido^ á mi, para formar gobernador civil para hacer upa cosa que estaba completamen…</t>
  </si>
  <si>
    <t>…. Truel» i cisión doeterna gloria para aquellos legisladores, y de que no bay otro ejem hacer el resúmen de la discusión que eb él se previene. ' plo igual, á no ser el de los senadores romanos después de la batalla de Cannas. El Sr. Trueba: «Es Sumamente grato í mi Corazón' ver qUe tío han sali ••Coíno cayó lasábia Constitución del año 12 t como fueron nulos los de do fallidas mis esperanzas sobre el resultado de está di*ctision.En efecto , »! ha cretos de 4 de Mayo de I8I4 y de l.° de.Setiembre de 1823, se formó un mi habido algunos…</t>
  </si>
  <si>
    <t>…sobre el punto principal, no puede tomar y percibirían Ja solidez del plan del Gobierno español. Coadyuvaron á esta se eso en consideración.” persuasión las cartas que,recibió, y paran en su poder, de casas respetables de El Sr. Secretario Trueba leyó el artículo 1 que dice asi: «Todas las deuInglaterra-, cartas escritas luego que se supo en Lóndres el plan del Gobierno, dascontraidas por el Gobierno en el extraqgero en diversas épocas, y señala el cual tenia casi la certeza de que aprobado su proyecto de ley sin notable di damente los empr…</t>
  </si>
  <si>
    <t>…omo «El Sr. conde de las -Navas, deseando concluir, se levantó, y dijo que fueron aprobados, mucho mas cuando se dice que se propuso el art. 3.°” siempre que se entendiese el asunto de la manera que él lo había indicado , y so El Sr. Trueba: «No hay inconveniente en insertar en el acta los artícu expresase en el acta que habla retirado la proposición, lo haría; y en virtud los del proyecto de ley. No se han ¡aserrado, porque ha&gt;ra ahora no se había de esto todos nos convenimos» porque, como ha dicho muy bien el Sr. Presi hecho: se ha…</t>
  </si>
  <si>
    <t>…que debemos- encaminar toda* nuestras ideas,' todos nuestros esfuerzos. No la palabra sobre este artículo; pero excitado, por ño decir provocado, por el cansaré-la atención del Estamento presentándole una historia detallada do la Sr. Trueba,ime veo en la necesidad-de mular dei propósito. Hablaré con tanta 'Milicia nacional ó urbana, ni de los servicios que. ha hecho al Estado en tpdas mas confianza cuanto pienso que este señor» que hasta choradla opinado contra épocas y ocasiones. Nadie podrá ocultar los que prestó el benemérito Lafay…</t>
  </si>
  <si>
    <t>…n todo conocimiento en la discusión á fin de que sea do una comisión dé ingresos y otra de gastos para que se consiga mejor «1 obmas clara é inteligible. Esta Base es el conocimiento de la riqueza del Estado, jeto indicado por el Sr. Trueba. asi cottfo de sus deudas totalmente. Es indispensable que sepamos lo que se de be-para arreglar los gastos, no solo á los productos, sino también i las sagra Si ahora se hiciese asi retardaríamos"otro mes y medio ú dos ladfscuiion, lo que causaría perjuicios. Cuando se presentaron los presupuestare…</t>
  </si>
  <si>
    <t>-*■ debemos náiniflir tino por uno los presupuestos v ya que no puede hacerse en jamas hemos rehusalb citar aquella época, ni menos tratado 'de desacreditarla; la totalidad, cómo ha indicado el Sr. Trueba ¡dejando pan lo sucesivo adop hemos diefio siempre y diremos que en ella hubo muchas cosas buenas, al paso tarse la- marcha que parezca mas, conforme.** queotras bastante mala*. Seguramente no seremos nosotros los que neguemos ni El Sr. Arguellen *»Sin que yo sea responsable del órden establecido ^…</t>
  </si>
  <si>
    <t>….............................. $0.000,000 ahora á hablar sobre ella,» puesto que va se ha cerrado la discusión. Peto res A la Rbika Gobernadora......... ............................................... 12.0u&gt;,000 pecto á la que el Sr. Trueba hizo anta», v que yo he sU'cr t-' ahora , p~rqúe en v Al Serillo Sr. Infante D. Francisco, su augusta Esposa y Fa observancia del reglamento no se podía discutir sin haberla lormahrado pof es milia........................................ 3-500,000 crito , no puedo menos de decir que la discusión, p…</t>
  </si>
  <si>
    <t>…previene el art. 92 del reglamento, se iba ba cualquiera cantidad á cuenta de lo que se acordase después ¡ y mientras tanto i proceder £ su discusión. se pueden discutir los otros presupuestos. En este concepto voy á hacer una El Sr. Trueba: »AI firmar la propuesta que se leyó ayer al Estamento, proposición, pidiendo que no se comprendan los presupuestos bajo la forma ge y que este tuvo la bondad de tomar en consideración, no fue sin duda mi in neral de las leyes; y me alegraría que el Estamento la aprobase, pues «lo nos tención opone…</t>
  </si>
  <si>
    <t>…os en el caso de proceder á la discusión de cada presupuesto, empezando El Sr. marques de Someruelos: «Cuando ayer tuve el honor de hacer la por el de la casa Real.” Como su autor y para apoyarla dijo proposición que suscribió el Sr. Trueba, estaba muy distante de creer el giro El Sr. Calderón Callantes'. «Se han propuesto al Estamento cuantos me que ha tomado la discusión, esta discusión enojosa y complicada en que dolo- dios pudieran ocurrir para salir del caos inexplicable en que nos hemos envuel rosamente hemos empleado dos dias.…</t>
  </si>
  <si>
    <t>…ia 10.) El Sr. Lopes.: »La dificultad que se presenta es sobre si se ha formado Leída que fue esta petición por el Sr. Secretario Belda, manifestó el se ó no una nueva petición en vez de la antigua. Yo creo que no. Porque pre ñor Secretario Trueba, que habiéndose convenido los peticionarios en reunir gunto: ¡se han variado1 las bases! No. Claro es que la nueva forma de la pe los dos primeros artículos, los presentaban en esta forma: tición no altera sus bases, y por lo mismo me parece que nos ocupamos de un „Se declaran legítimos todos los n…</t>
  </si>
  <si>
    <t>…a ha sido en todas épocas una especie de tierra de promisión, Nación á admitir extrangeros en su seno, y de que tanto se ha abusado, como adonde todo extrangero que no tiene suerte en su patria , y desea mejorarla, ya ha dicho el Sr. Trueba: ha nacido de un principio sencillo. En virtud de acude bien seguro de que no saldrán fallidas sus esperanzas. En efecto, la Es haber pasado la corona á Cárlos i, se mezcló la política de España con la de paña, tierra muy feraz, parece mas á proposito para el desarrollo de las plan las demas Potenc…</t>
  </si>
  <si>
    <t>…e -millones de.francos, y también há-faltado hablarsde otro jniliop que -jsp. {conce intimó labrador y las clases productoras puedan trabajar ygo?ar el fruto que su de al herederode la Corona ,«I duque ¿de Gricans. Pero ademas e! Sr. Trueba sudor le proporciona al abrigo de las garantías del:estado social, que se consi no debiera haber omítidoorra circunstancia , y-es que Luis Fpl?pe be tenidp guen por el sacrificio que cada uno hace dé parte de do que -posee. que someterse á los efectos de’ una ¡revolución , y de haber -sido «cogido…</t>
  </si>
  <si>
    <t>…iscurro de cada uno -de: d^bés-señores presente como mas zó £uvo la suerte ésa Nación de encontrar un hombre, que llenó un vació in "notable. i . : menso , vacío que nuncá existe nt aun por breve término sin comprometer lá * w'Ef Sr. Trueba fue el primero que lo impugnó; y hallándose ausente por ^z y el destino de las naciones; á pesar dé estas ventajas, el sacudimiento de una causa tristísima ; ésto me obliga á que yo omita contestar á sus argumen la ¿evolución cóstó muy caro; y solo por la firmeza del Gobierno se han ido tos»/!* pes…</t>
  </si>
  <si>
    <t>…ocos, y no oodria No trataré yo de persuadir, porque seria en valde, esa especie de desapego á hacer la biografía de ellos. Yo quisiera que cuando se entrase en estas caferías, los empleos que con tanta elocuencia insjnuó ayer el Sr. Trueba; puejque co ya que se quieren dar unas disposiciones tan generales , se presentaran roas datos rno después de todo se ve llegar al portero de la tesorería que trae U renta en para descender al examen de las mismas; porque no seria justo que se volviesen onzas de oro , y que percibe esta el empleado…</t>
  </si>
  <si>
    <t>Trúéba</t>
  </si>
  <si>
    <t>…er ft % ^Gpue|^ ,Hso«fclcl Jjhtu$ias¡»ovy jclocucnfeja %ju¿fecoalumbra, gf nos 'conmovío y eíiternecioal pintar las 3esgraciasae los emigrados- Yo siento ^rios peticionarlos hubiesen considerado ios empleos como una propie que el Sr. Trúéba, amigó mió, Baya hecho resonar en qsta tribuna semejante dad de los empleados de aquella época, hubieran pedido todas las compensacio nombre; todo nombre, que indique I3 categoría ,ó la cíese de españoles no debe nes dé los perjuicios que sé han causado. Mas no piden esto: solamente, apo pronunciar…</t>
  </si>
  <si>
    <t>…tición sobre revalidación de empleos obtenidos en la época cons actualidad se necesita una rehabilitación; por manera que en la forma en que titucional. se ha redactado el art. l.°, me parece que no es exacto. Porque empezando El Secretario Trueba leyó el artículo l.° (véase la sesión de ayer ló), y por la expresión de siendo legítimos, parece que todo lo que se tizo entonces dijo: 'iLos peticionarios ban acogido la indicación del Sr. Arguelles, y en su se debe practicar ahora; lo cual e&gt;tá en contradicción con lo que se ha mani virtud han c…</t>
  </si>
  <si>
    <t>i Habiendo declarado el Sr: Secretario Trueba que nadie tenia la palabra en co , Señores r en tributar 4 los Secretarios del Despacho homenage sincero de contra, h» pidió en el acto elSr. Oren.e, quien después eje manifestar que no rni admiracion f de mi reconocimiento por haber reconocido tan francamente estaba acostumbrado á hablar en los de…</t>
  </si>
  <si>
    <t>…o siempre eon respecto i los tenedores de bo «Yo hubiera deseado que al tratarse da esta interesante cuestión se hu nos de Córtes. biese presentado un verdadero cuadro de nuestra situación, manifestándose los «De paso diré que él Sr. Trueba recordó lo que sobro los empréstitos de recursos y obligaciones que teníamos; en cuyo caso nos hubiéramos parecido España decían en aquella época los periódicos franceses, y el ministro Mr. do á aquel deudor, que oblando de buena fe, pone de manifiesto la situación de Villele. En cuanto 4 los perió…</t>
  </si>
  <si>
    <t>…ón de los males; mas pres bemos, y lo uue al fin se no» puede exigir, me pjrece mu^ho desacuerdo. cindir de los &gt;a causados, es imposible. ____ ♦♦Se ha du-ho que la» Cóites de Cádiz declararon nuio lodo lo que «Se ha djeho por el Sr. Trueba que no reconociendo los empréstito* en fuese contrarío k los derecho» de Ja Nación y al régimen entonces esLjRi^Hdrr, cuestión , serrirTde saludable escarmiento átos BdOqueresTYo to deseo tamy qne~por-c-o»-rig+i.íente_jiibe. eoltnderiC -anulado por está resolución el emprés b en , pero me parece qu…</t>
  </si>
  <si>
    <t>…uncia: la comisión, fundándose en esto mismo , propone que se le sus trabajos no consiguió otra recompensa que una persecución terrible hasta el admita.” año ZOTEsta misma persecución fue la que impulsó á Megirle nuevamente en El Sr. Trueba leyó la primera exposición del Sr. Vadillo. el afio 20 cuando se restauró la libertad de España: entonces llenó sus deberes El Sr. Domea¡ : »La comisión de poderes se ha atenido á lo que dice el tan patrióticamente ó mas que en la primera ve;. El despotismo después del Estatuto Real y el reglamento…</t>
  </si>
  <si>
    <t>…ficativas de su aptitud legal para serlo. Se leyó una proposición firmada por los Sres. Conde de las Navas, Car Sesión del dia 24 de Setiembre. rasco y López, para que se establezca un diario de Corles. Se abrió, á las once. ^ Él Sr. Trueba preguntó cómo se presentaba esta proposición. Leída el acta de la anterior, dijo El Sr. conde de las Navas: «Esta proposición es muy sencilla: los Pro Mi Sr. Medrarlo - »Hay una pequera equivocación en el acta, según está curadores que la hemos firmado la presentamos al Estamento con el objeto reda…</t>
  </si>
  <si>
    <t>…le contestó el Sr. González que no habia necesidad de El Sr. López del Baño pidió que se leyera el artículo 31 del Estatuto hacer ninguna prevención , porque la grande relación de un cudigo con otro Real ; y leído que fue por el Sr. Trueba, dijo este: aquí no hay ningún asun aconsejaría ¿|ue se uniesen las comisiones. to que se haya sometido á las Córtes. El Estamento quedó enterado de que la comisión de Guerra habia nom Ei Sr. conde de lat Natas. «No se trata aquí de calificar ni el espíritu brado por su decano al Sr. Bution, y por…</t>
  </si>
  <si>
    <t>…ivas y tal vez útiles de la sociedad. Y'o creo que e&gt;ra redención de cen pues, que en atención á esto no haríamos mal en seguir el consejo que nos dió sos es una especie de ataque ^ la propiedad, pues nos arrogamos la interven el Sr. Trueba dias pasados de ocuparnos en otras cosas inj» importantes que el ción en un contrato, y beneficiamos á una de las partes en daño de U otra; be impuesto de las pasas; mayormente cuando ya no pueden taruar»e en presen neficiamos al que paga el censo, porque le redime con la mitad del cipi:a¡ He tarse…</t>
  </si>
  <si>
    <t>…ue se leyó d.jo: «por el documento que se acaba de leer se ve que este bación del Estamento, en lugar del antiguo del proyecto, según manifestó el individuo es de una avanzada edad , y que su enfermedad es de dificil curación Sr. Secretario Trueba. «n ella. En cuanto al art. 15 del Estatuto, no creo que deba tener lugar en Se leyó el art. 3.° concebido en estos términos.1 esta ocasión , porque es referente 4 la ¿poca de la elección. Opino, pues, que Art. 3.° Toda esta deuda extrangera se distinguirá en adelante en deuda debe admitirse la renu…</t>
  </si>
  <si>
    <t>…icticio, con ei que á fuerza de sacrificios hizo subir sus fondas miento^del proyecto , y especialmente por temor de lo que amagaba. á un 80 porjlOO.” , i «Voy ahora á lo que se dice de falta de previsión en el Gobierno en El Sr. Secretario Trueba manifestó que no ¡habiendo quien tuviese la cuanto á la bija que han experimentado los fondos españoles en el extrangero» palabra en pró, ¡ba á hablarse en contra. I Dícese ¿por qué no previó el Ministro de Hacienda lo que cualquiera podía El Sr. Caballero: -Al levantarme para impugnar el artículo,…</t>
  </si>
  <si>
    <t>…ambi nal , de lo Interior y de la Milicia urbana , que opinaban convenía at bien del ciosos para no cederla. Estado discutirse en público esta petición. «El Sr. Presidente ha hecho una observación muy oportuna. La petición El Sr. Secretario Trueba manifestó habían pedido la palabra en pró de I* *10 ei mas que sobre la abolición del Voto de Santiago: el proyecto del Go petición los Sres- González ( D. Antonio) , López, Accvedo y Caballero, y bierno tiene mas artículos, abraza otros extremos. Se me dirá, quizá , que este en contra ninguno. es…</t>
  </si>
  <si>
    <t>…vendría, para acelerar mas esta discusión, suspenderla dos ó tres dias, á fin de grande desventaja en la calidad de fuerza que deben tener los batallones para que S. ¿ se enterase bien de este presupuesto- ^ servir al Estado. El Sr. Trueba contestó que esto conduciría á un laberinto de que seria ».En este supuesto he pedido á las inspecciones la plantilla de lo mas in imposible salir, y que lo que se debía hacer era pasaT todo el capítulo 3.° á la dispensable. Si la inspección de milicias, reducida á la mitad de fuerza que el comisió…</t>
  </si>
  <si>
    <t>Truéba, El Sr</t>
  </si>
  <si>
    <t>El Sr Truéba</t>
  </si>
  <si>
    <t>…tirado ruego al Sr. Secretario que borré ó sustituya otra expresión en el acta á la do enfermos; y pedían se uniesen sus votos á los*del Estamento. inoportuna.*1 Se dió cuenta, y quedó enterado el Estamento de dos oficie», uno de Don El Sr. Truéba dijo que la secretaría no tendría inconveniente en borrar Pedro Ventura de Puga y otro de D. José C*mp$ v Soler, en los que hacían dicha expresión. presente no haber podido asistir i la sesión de aver por. hallarse enfermos; y* El Sr. conde do las Navas expuso que tenia una verdadera pesadumbre en…</t>
  </si>
  <si>
    <t>Trueba-h</t>
  </si>
  <si>
    <t>…la misma MiliciaMará, próntoEn (¿i,los. pefturbadores pox seguir ias huellas delGobieriia, y.yotar con él en los asuntos mas sustaápor lo que.de todos -modos no hay ningún riesgoieaidartodot/cl fcnsanche po- -ctaiest SietUa queél Sr. Trueba-h^y* .apiieado á Navarra el tan conocido dicho siblci ttta fuerza; esencialísima salvaguardia del ¡urden. La mas .que podría te -de- dtlenda eit.Cartdga. Navarra-es España:» y qo hav ningun- español que merse seria que lá Milicia urbana so lo yantase en misa ó eu su inmensa u»yo- quiera queidjr/ouht de…</t>
  </si>
  <si>
    <t>Truebaleyó</t>
  </si>
  <si>
    <t>…puto que T&gt;0 sabia que la comisión hubiese obra- no en mqno, en el cual se hace una grave inculpación al Estamento por la • do mal. '■ ' ;7 / ■ ' falta de?daros, ligereza y pasión con que se dice que procedió, y aun se inculpt El Secretario Truebaleyó una exposición de un particular relativa, á que • al Gobierno de S. M. porque no defendió su'proyecto y la parte de emprésti se leyesen,originales los documentos presentados por el Sr. Echevarría. , tos que fue desechada. Asi que, el' Estamento, á mi ver, se halla comprome Til Sr. Medrana-, »Me oDo…</t>
  </si>
  <si>
    <t>Truedecir</t>
  </si>
  <si>
    <t>…o 32 del ordenamiento de Alcalá en la vo haya de llamar esto la atención de los extrangeros. cual se fijó el yantar del Rey en ÓOÜ maravedís, y el de la Reina cn400.: es "Contestando el Sr. Ministro de Hacienda á un argumento del Sr. Truedecir, en dos lerceras partes La tercera consideración.por que me parece excesi ba, dijo que podia hacerse el exámen de aduana en otros presupuestos, pero no vo, es el valor que t.ene el numerario con respecto á las épocas anteriores: no en el de la casa Real. Siento mucho que el Sr. Ministro de Hacienda…</t>
  </si>
  <si>
    <t>Trueha</t>
  </si>
  <si>
    <t>…ano de Tormes y Solanova, electo Procurador por la pro se enteje de los arts. 96, 56 y 57 dei reglamento.” (Los lejó el Secretario vincia de Huesca. Trucha) Se pasaron también i la misma los nuevos documentos que presentó Don F.l Sr. Trueha dió cuenta de una proposición del Sr. Chacón , que dice Alvaro de Naviá Osorio, i quien se le concedieron 20 dias para mejorar la asi: «P&lt;do que el Estamento se sirva resoUer que los 8 artículos del provecto justificación de su aptitud legal. de ley que antes de ayer se mandaron pa&gt;ar á la comisión…</t>
  </si>
  <si>
    <t>Trueha, F.l Sr</t>
  </si>
  <si>
    <t>F.l Sr Trueha</t>
  </si>
  <si>
    <t>…D. Mariano de Tormes y Solanova, electo Procurador por la pro se enteje de los arts. 96, 56 y 57 dei reglamento.” (Los lejó el Secretario vincia de Huesca. Trucha) Se pasaron también i la misma los nuevos documentos que presentó Don F.l Sr. Trueha dió cuenta de una proposición del Sr. Chacón , que dice Alvaro de Naviá Osorio, i quien se le concedieron 20 dias para mejorar la asi: «P&lt;do que el Estamento se sirva resoUer que los 8 artículos del provecto justificación de su aptitud legal. de ley que antes de ayer se mandaron pa&gt;ar á la comisión…</t>
  </si>
  <si>
    <t>Truel</t>
  </si>
  <si>
    <t>…de Francia;, no se le admitiese, y 2.a que no.se pu dó decidido por el Estamento estarlo. ' ' diera tratar con Bonaparte mientras hubiera un soldado francés ín España; de Se leyó el art. 76 del reglamentó, y en su virtad pisó el Sr. Truel» i cisión doeterna gloria para aquellos legisladores, y de que no bay otro ejem hacer el resúmen de la discusión que eb él se previene. ' plo igual, á no ser el de los senadores romanos después de la batalla de Cannas. El Sr. Trueba: «Es Sumamente grato í mi Corazón' ver qUe tío han sali ••Coíno ca…</t>
  </si>
  <si>
    <t>Trufba</t>
  </si>
  <si>
    <t>…da conciliatoria, que sajj&amp;an^o y dpi janduen pie el acuerdo tomado por el Estamento, de que haya solamente, í SÍ abrió á hs 'doce mcncn cuarto. ministros en el supremo tribunal, deje sin embargo expedito,.ej. £UT*Q de iqs El Jr. Secretario Trufba: &gt;* Te figo que llamar la atención del Estamento negocios gubernativos. Redúcese mi proposición á que la planta del.iribppál sej AobrC la fófmadidb dél arta. Al Ertafnínto no se le puede ocultar que las se- de 8 ministros , dotado* con sueldo de consejeros; pero que adea¿vse^tü°¿*c&lt; íionh de íftfr…</t>
  </si>
  <si>
    <t>Trujillo, D Liño</t>
  </si>
  <si>
    <t>D Liño Trujillo</t>
  </si>
  <si>
    <t>…e su obligación hacer presente á S. M. los buenos servicios que atan! prestando los individuos que últimamente ha incorporado yn ella, á saber: Exposición Htl célebre método anticoléricodfrl Lie. Vázquez. Siendo tan grande El Sr. coronel D. Liño Trujillo , como vocal hacendado. laconutilidadla mayorde esteséncillcz,método,á finnosdehemosgeneralizarimpuestorus elopenosdeber efectos.de desarrollarleEn él seycneurntrahexponerle D. Antonio Colomar, coqio médico vocal consultor. detalladas todas sus circunstancias y medías que pueden conducir á la perfe…</t>
  </si>
  <si>
    <t>Trujillo, Liño</t>
  </si>
  <si>
    <t>Liño Trujillo</t>
  </si>
  <si>
    <t>…igación hacer presente á S. M. los buenos servicios que atan! prestando los individuos que últimamente ha incorporado yn ella, á saber: Exposición Htl célebre método anticoléricodfrl Lie. Vázquez. Siendo tan grande El Sr. coronel D. Liño Trujillo , como vocal hacendado. laconutilidadla mayorde esteséncillcz,método,á finnosdehemosgeneralizarimpuestorus elopenosdeber efectos.de desarrollarleEn él seycneurntrahexponerle D. Antonio Colomar, coqio médico vocal consultor. detalladas todas sus circunstancias y medías que pueden conducir á la perfe…</t>
  </si>
  <si>
    <t>Truria</t>
  </si>
  <si>
    <t>…as, que vamente se suspenderán estos derechos, y sufrirán las consecuencias.” deben evitarse, no haciendo semejante enunciación en las circunstancias actuales. El Sr. Croníatcz (D. Antonio}: -Como uno de los individuos que han El Sr. Truria : -No pienso cansar la atención del Estamento, y mucho - firmado la petición , y el articulo red «ciado nuevamente, haré algunas refle ■tunos'cuando el artículo de que se trata es, á mi entender, upa verdad incon- xiones para ttanquilizar al Sr. conde de Toreno. La proposición -no puede ser WH.'Me…</t>
  </si>
  <si>
    <t>Tsabbl</t>
  </si>
  <si>
    <t>…do esta separación, por la obligación «agrada, de reales con -mas actividad, mayor igualdad en el repartimiento, y mejor ór- de conservar fuera de su alcance en lo posible el depósito sagrado de S, M. la den en la administración. Reina Tsabbl y de su augusta Hermana, no es de esperar quedé permanente »El mismo Sr,-preopinante piensa que no está en armonía el presupues en España; y aun cuando tal calamidad se reprodujese, ese aislamiento nunca to de U casa Real con los recursos del Estado; ¿pero lo están los demas! No es perpetuo , sino de po…</t>
  </si>
  <si>
    <t>Tsabel</t>
  </si>
  <si>
    <t>…ecutaron las gavillas rebeldes en la per PARA LA CELEBRACION DE LAS CORTES GENERALES DEL REINO, sona de su marida el capitán D, Domingo de Muruaga al tiempo de trasladarse desde Vitoria á esa plaza para servir la de archivero del Doña Tsabel ii, por la gracia de Dios, R¿ina de Castilla, de Señorío, que le acababa de conferir su diputación general: teniendo León, de Aragón, de las Dos-Sicilias, de Jerusalen, de Navarra, de en consideración los méritos y servicios que contrajo este bizarro Granada, de Toledo, de Valencia, de Galicia, de…</t>
  </si>
  <si>
    <t>TsaBf.i</t>
  </si>
  <si>
    <t>…intimamente convencidos de que las gran- presentado noblemente para llevarlos á cabo. La necesidad de detender 'd¿ reformas y mejoras que se esperan no producirán sus saludables efectos ¿in el amenazado trono de nuestra legitima Reina TsaBf.i ir, me ha precisado a gue el orden, la circunspección y el debido respeto á las autoridades sean la crear, con arreglo á las- ordenes ¿ jnMIüicciones u.£Í_£‘’biemo , una nueva fuerza norma de las operaciones de los españoles, manifestaban,y continúan manifes armada: el titulo de ella manifiesta bie…</t>
  </si>
  <si>
    <t>Tsabf.l</t>
  </si>
  <si>
    <t>…una columna de 550 hombres : á distancia de media hora del pueblo ganamos sin dificultad una altura que lo domina , y habiéndonos descubierto el enemigo, Jp abandonó, retirándosé Siendo la preciosa vida de nuestra legítima Rf.iva Doña Tsabf.l n un Íior diferentes direcciones á los elevados y espesos montes que lo rodean, por objeto de tanto ínteres para cuantos, amen la prosperidad de «ai patria; v ha o que aunque bastante de noche , pues corrían las ocho, entramos sin pérdi llándose cifradas las esperanzas de todos los buenos españoles…</t>
  </si>
  <si>
    <t>Tsabki</t>
  </si>
  <si>
    <t>…varios ministros que Li infinita misericordia del Omnipotente quiso a lo menos concedernos el han llegado ya para asistir al congreso, aunque ocupan sus ocios en banquetea dulce consuelo de que suceda á su excelso Padre la Señora Doña Tsabki. ii ; que y fiestas, no dejan de prepararse activamente á la grande obra para que han sido herede con la corona las singulares virtudes que le constituían el ídolo de sus convocados. No solo han tenido conferencias unos con otros, sino que son muy ppeblosq y.que aquella magnánima y tiernísima Madre,…</t>
  </si>
  <si>
    <t>Tsarel</t>
  </si>
  <si>
    <t>…orreos, Para el Kuinu.. .... ...... iao ifio 8oPara Canarias....... ....... 38o IUK&gt; &lt;PPara ludias............ ....... 400 300 loo. GACETA DE MADRID. ARTICELO DE OFICIO. INC t, ATERRA. \ Idndrcs 9 de Mayo. La Reina nuestra Señora Doña Tsarel ii, v S. M. la Reina Fondos públicos, Tres por 100 consolidados 92f.Gobernadora, siguen en el Real sitio de Aranjttez sin novedad en su importante salud. Los generales Momiíla y O'Leary, encargados de una misión importante Del mismo beneficio disfrutan SS. AA. RR. los Sermos. Se- para los intereses…</t>
  </si>
  <si>
    <t>Tttulos</t>
  </si>
  <si>
    <t>…los individuos que EFECTOS PUBLICOS. han estado á mis órdenes, tanto militares como paisanos, han llenado comple Inscrtpcloner en e! gran libro k í p. 100 , 00tamente sus deberes, manifestando su decisión por la justa causa de la Reina. Tttulos al portador del 5 p. 100, 00. Inscripciones en el gran libro á 4 p- &gt;100 , 00. nuestra Señora Doña Isabel ji, no pudiéndo menos de elogiar la intrepidez y Títulos al portador del 4 p. 100, 541, f, 4. I, i y 5i 3 varias fs,, vol. y firme: Cl» valor del interventor de la aduana de Sallent D. Juan Bla…</t>
  </si>
  <si>
    <t>Tuero, José</t>
  </si>
  <si>
    <t>José Tuero</t>
  </si>
  <si>
    <t>…o párroco es enteramente del dominio de la adiiumstiiícion, y de nin Para la plaza de oficial primero del gobierno civil de Murcia, vacante gún modo del de los tribunales; y que si el patrono cicyo que el citado pro por muerte de D. José Tuero , b. M. ve ha dignado elegir al terccro-segwnlo fesor traspasaba los limites de sus atribuciones, debió acudirá la autoridad del mismo gobiernoCalahorra, en atención a sus méritos y circurt»- gubernativa, de cuya pWigacion es yigUar la conducta de los funcionarios • rancias-particulares: pira U de…</t>
  </si>
  <si>
    <t>Tullberg</t>
  </si>
  <si>
    <t>…a (los godos y de ello cuidarán los tenientes y oficiales. Las tropas recibirán de la adminis antiguamente bebían en cuernos). tración de puentes y calzadas los instrumentos y utensilios necesarios; y cada Pronunció sobre esto el doctor Tullberg un discurso en que hizo patentes batallón será responsable de los efectos de este género que reciba. I as tropas los sentimientos de amor y fidelidad al Rey que animaban á la juventud. Di serán pagadas á proporción de los trabajos que higan, y por ahora esta paga rigióse en seguida S. M- á la altur…</t>
  </si>
  <si>
    <t>Turbica, Anfonio</t>
  </si>
  <si>
    <t>Anfonio Turbica</t>
  </si>
  <si>
    <t>…o Boston......... .... Idem idem. Noviembre. El Egipto.. .......... ................ .................................. Idem Ídem. ARAGON. La Irlanda............................... v............................ Idem idem. Alhama. D. Anfonio Turbica, en Calatayud: desde 15 de Junio á igual • Lugares sospechosos. ^^^^^^^^^^IMsposinone^aniTariasó^ día de Setiembre. ^ Segura. D. . . . vacante: desde 24 de Junio á 5 de Setiembre. 24 días para las personas, Tiernas. D. José González Olivare»: desde l.® de.Julioá 30 de Setiembre. y 32 para los géner…</t>
  </si>
  <si>
    <t>Turón, José Antonio</t>
  </si>
  <si>
    <t>José Antonio Turón</t>
  </si>
  <si>
    <t>…an tenido que sufrir las leales tropas que lomaron á su cargo la defensa del mismo cuerpo, una mitad de tiradores á las órdenes del subteniente de Soria de los imprescriptibles derechos de la Reina nuestra Señora. Lo que tengo el D. José Antonio Turón, y Ja caballería, marcharon en columna cerrada y arnía honor de trascribir á V. E. para su superior conocimiento, y que se sirva ele á discreción con el objeto de atacar al enemigo á la bayoneta; y este peloloQ varlo al soberano de S. M. Dios &amp;c. c=Excmo. Sr.= Fernando de Butrón. escogido de fieles…</t>
  </si>
  <si>
    <t>TURQUIA, Julián Ro</t>
  </si>
  <si>
    <t>Julián Ro TURQUIA</t>
  </si>
  <si>
    <t>…ARTE NO OFICIAL. Reales órdenes. NOTICIAS EXTRANGERAS. He dado cuenta á S. M. la Reina Gobernadora del plano, des cripción y presupuesto de gastos de la carretera que debe abrirse desde Rabade á Ferrol, formada por los ingenieros D. Julián Ro TURQUIA. dríguez y D. Alejo Andrade Yañez, como asi bien de cuanto V. S. propone en 20 del corriente acerca de su mas pronta y económica Constantinopia 18 de Noviembre. ejecución; enterada S. M. de todo se lia servido mandar que los tra Lejos de reinar en Siria una completa tranquilidad, se nota insurrecció…</t>
  </si>
  <si>
    <t>TURQUIA, Plíci</t>
  </si>
  <si>
    <t>Plíci TURQUIA</t>
  </si>
  <si>
    <t>…ución PARTE NO OFICIAL. del 18 de Marzo de 1820, que fue reemplazada por otra del 17 de Diciem bre siguiente^ (Gctzetta di XfmrZia.) NOTICIAS EXTRANGERAS. Roma 6 di Noviembre. Hemos recibido de Pxlermo la noticia de la muerte dél cardenal Plíci- \ TURQUIA. do-Zurla, vicario geñ&amp;aL La Gaceta de Roma contiene una biografía muv extéñsa dé dicho cártíenaL Plácido-Zurla, de antiguo y noble linage, nieto Constantinopla 21 de Octubre. , el 2 dé Abril de 1769 en Legnago. Entró muy temprano en la orden de San La escuadra osti anclada en el puerto: Si la va de…</t>
  </si>
  <si>
    <t>Tyddcsly</t>
  </si>
  <si>
    <t>…nburg Trac y con el 51 Ao habiendo postor que cubra este señalamiento se retasar,ín de lord Tracy , Mr, Rjgne con el de lord Wrotham, y Mr. Litleton con el las fincas, y hecho, se publicará otra vez el remate sirviendo de base de lord Tyddcsly. (Po/f.) la retasa. 4? Si en esta nueva subasta no hubiese postor que dé las dos ter __el mes actual han llegado á Londres 300 buques extrangeros ceras partes del último avalúo, tendrá entonces lugar, por las mis que el año pasado en igual período de tiempo. (Tíme/.) mas dios terceras partes, la adj…</t>
  </si>
  <si>
    <t>Tyskiewítz</t>
  </si>
  <si>
    <t>…pjq^empezaFRANCIA. ron á disminuir los estragos del cólera, volvieron al pueblo, y ocujp^pn el lu gar que antes habitaban.” Burdeos 17 de Noviembre» Hay actualmente en la Roela un peral de una vegetación extraordinaria; .. — „ La princesa Tyskiewítz, sobrina del último Rey de Polonia, y hermana en el año 1834 ha dado flor y fruto tres veces. Mr, Charrier ^.conocido por del príncipe Poniatowsky, murió pocos dias hace en una casa cerca de la ciu su mucha instrucción y acendrado patriotismo, ha hé£ho depositar en nuestras dad de Tours, después dé…</t>
  </si>
  <si>
    <t>Tyszkiewicz</t>
  </si>
  <si>
    <t>…o. Art. 4-° «Para optar los emigrados á dichos subsidios acreditarán su con ».___Escriben de Válenqay el 20 de Noviembre: ducta y circunstancias por medio de los cónsules de sus respectivas naciones, «Según su última voluntad, la princesa Tyszkiewicz, fallecida en Tours • residentes cerca de la república. el 1 de este mes, acaba de stf sepultada en Valenqay. Su cadáver, embalsama Art. 5.° «Este acuerdo se comunicará á los señores cónsules y á la socie do y depositado en uña caja de plomo, llegó esta mañana á las nueve al pa dad de Agricultura,…</t>
  </si>
  <si>
    <t>U, Cir</t>
  </si>
  <si>
    <t>Cir U</t>
  </si>
  <si>
    <t>…ándole aho «Estas graves consideraciones no permitirán dudar á nadie de la imperio ra ninguna otra en lugar de ella por los señores peticiónanos, se va á poner sa necesidad de sancionar una ley que excluya para siempre al Infante D. Cir U misma á votación.*’ •&gt; ios de la sucesión á la corona de un reino que está llenando de estraga y de En consecuencia se leyó dicha petición, y puesta i votación quedó desa luto, y conduciendo al abismo de una ruina desastrosa. Pero si el destino del probada por 75 votos contra 4-0* Infante se ve cla…</t>
  </si>
  <si>
    <t>U, Félix Quintero</t>
  </si>
  <si>
    <t>Félix Quintero U</t>
  </si>
  <si>
    <t>…el acto de la solemne Real proclama fecha 19 de éste propio mes, en que expresa que como encargados por este ayun ción hecha á la Sra. Doña Isabel ii, por nuestra Reiva y Señora en los tér tamiento recibieron del Sr. alférez Real D. Félix Quintero U cantidad de I5u0 minos acordados en el extraordinario de 2 del corriente mes, para que agrega pesos que en calidad de préstamo ha hecho el ayuntamiento para subvenir á da á continuación obre perpetuamente y conste en los anales de esta ciudad; los gastos precisos en la proclamación de nuestra augus…</t>
  </si>
  <si>
    <t>Ü, José</t>
  </si>
  <si>
    <t>José Ü</t>
  </si>
  <si>
    <t>…nterársele las existencias, rentas, obligaciones y sistema _ secretario del Consejo de Gobierno; conde de Casasarrja, teniente administrativoMe la casa intervenida. general de los Reales ejércitos, director general de artillería; D. José ¿Ü Los acreedores, el deudor y su inmediato acordarán lo que</t>
  </si>
  <si>
    <t>U, López Cuando</t>
  </si>
  <si>
    <t>López Cuando U</t>
  </si>
  <si>
    <t>…te atendidos. No pue primera vez que lo digo) de haber sido la primera persona desterrada de Es de menos de conocerse la diferencia entre las instituciones, de ahora, y las de paña por H Regencia, lo que es probable que ignore el Sr. López. Cuando U entonces. Pero pregunto yo: «no debe haber también diferencia entre los me Regencia se estableció en Madrid* ia primera víctima,.aunque inofensiva, fui dios , entre los instrumentos de que se valga nuestro actual Oobierno, y los que yo; y llamado á comparecer, y estrechado á que pidiese un pasaport…</t>
  </si>
  <si>
    <t>U, Manuel</t>
  </si>
  <si>
    <t>Manuel U</t>
  </si>
  <si>
    <t>…aristocrática , y piensa reunirse en uno de los espaciosos salones del D. Juan Antonio López García................................................. 500 teatro de San Carlos. Para ser admitido en ella es menester probar un cierto D. Manuel U...................................................................... 300 número de cuarteles de nobleza; y es lo tnas notable, que la perspna, que se Doña Mariana U.................... 10o gún se dice debe presidirla, no puede cumplir la cóndicion que se exige de los Doña María U................................................................................ 100dema…</t>
  </si>
  <si>
    <t>U, María</t>
  </si>
  <si>
    <t>María U</t>
  </si>
  <si>
    <t>….............................. 300 número de cuarteles de nobleza; y es lo tnas notable, que la perspna, que se Doña Mariana U.................... 10o gún se dice debe presidirla, no puede cumplir la cóndicion que se exige de los Doña María U................................................................................ 100demas miembros. No parece verosímil que el sabio Príncipe que nos gobierna Un sirviente que no quiso manifestar su nombre , y ofrece dar diez favorezca una institución ma^ digna de los siglos feudales que de una época de rs. mensuales , entregó por Junio..........................................…</t>
  </si>
  <si>
    <t>U, Mariana</t>
  </si>
  <si>
    <t>Mariana U</t>
  </si>
  <si>
    <t>…San Carlos. Para ser admitido en ella es menester probar un cierto D. Manuel U...................................................................... 300 número de cuarteles de nobleza; y es lo tnas notable, que la perspna, que se Doña Mariana U.................... 10o gún se dice debe presidirla, no puede cumplir la cóndicion que se exige de los Doña María U................................................................................ 100demas miembros. No parece verosímil que el sabio Príncipe que nos gobierna Un sirviente que no quiso manifestar su nombr…</t>
  </si>
  <si>
    <t>U, Samponts y</t>
  </si>
  <si>
    <t>Samponts y U</t>
  </si>
  <si>
    <t>…, que es en,Jo que, se cobran (as contribuciones.Conviene tener techos, -Dijo también el Sr. Morales qúe ño débiamos paramos en Ja dflféreh^ presente y no-perder de yú» *n,csta disensión.que no .testamos de señalar á la- cii del .Sr. Samponts y U1' it-ii—c. as t. --- , «asa Real upa eonsignagipiy.dntad*** pomo se luzpen 1820; vamos á señalarla Reina Gobernadora, del afio 35: de comigu¡ente siTai circumtariciaJde.Ja Nacion4L^ran tales que valia 6 millones.* en rae, año. de 35 se pudiesen: aumentar las. asignaciones los Estamentos lo -harian…</t>
  </si>
  <si>
    <t>Ua, D Pedro Ramírez de la Piscina</t>
  </si>
  <si>
    <t>D Pedro Ramírez de la Piscina Ua</t>
  </si>
  <si>
    <t>…centeno, 4 32 id.: cebada, 4 20 id.: el alma de £&gt;. M. Doña Mana Josefa Amalia en la catedral de Crudad-Rodrigo, que maíz., á 24 id.: habichuelas, á 4® id.: avellanas/ á Stí id.: arroz, átí re. quin pronuncio s» confesor el limo. Sr. D. Pedro Ramírez de la Piscina. Ua cuaderno e* edición de rústica. o maybr, 1829. á 2 rs. tal : aceite , á 42 rs. arroba: algarrobas ,43 id.: vine, &amp; 24 rs. la carga. 4 cronológicas históricas* geográficas de los santos apóstoles S, Pe.iro 1 y —Vida* 1 Tvrr ¿embarrad Trigo, á tí 5 rs. cuartera: cebada, á 28 id.: habichuelas, 4 S. Pa…</t>
  </si>
  <si>
    <t>Ua, Pedro Ramírez de la Piscina</t>
  </si>
  <si>
    <t>Pedro Ramírez de la Piscina Ua</t>
  </si>
  <si>
    <t>…eno, 4 32 id.: cebada, 4 20 id.: el alma de £&gt;. M. Doña Mana Josefa Amalia en la catedral de Crudad-Rodrigo, que maíz., á 24 id.: habichuelas, á 4® id.: avellanas/ á Stí id.: arroz, átí re. quin pronuncio s» confesor el limo. Sr. D. Pedro Ramírez de la Piscina. Ua cuaderno e* edición de rústica. o maybr, 1829. á 2 rs. tal : aceite , á 42 rs. arroba: algarrobas ,43 id.: vine, &amp; 24 rs. la carga. 4 cronológicas históricas* geográficas de los santos apóstoles S, Pe.iro 1 y —Vida* 1 Tvrr ¿embarrad Trigo, á tí 5 rs. cuartera: cebada, á 28 id.: habichuelas, 4 S. Pa…</t>
  </si>
  <si>
    <t>Üanz</t>
  </si>
  <si>
    <t>…invadidos iba á menos la enfermedad sin &lt;-a»»*ar mayores esque tuvieron la osadía de esperarme en la Borda, llamada la Maita, han sido tragos, excepto en los punto* que expresa el siguienteatacados y dispersados completamente^ El capitán Üanz con los lanceros, cara bineros y roncaleses siguen su retaguardia, y yo marcho en pos de ellos en el Parte sanitario. momento que tome algún aliento la tropa por la dirección de las Abaurreas, que es la que han tomado en su fuga. Dios &amp;c. Ochagavia 28 de Setiembre do Pueblo». Días. Enfermos. Curado…</t>
  </si>
  <si>
    <t>Uarraza, Pedro Montenegro D Santiago</t>
  </si>
  <si>
    <t>Pedro Montenegro D Santiago Uarraza</t>
  </si>
  <si>
    <t>…Vicente Sánchez, D. Basilio Salcedo D Nfc colas.Esrerripa, D. Pedro Obando, D. Mateo Obregon, D. Luis Toledano. D Blas de xiliares para pasar nos, y otros usos de ésta naturaleza &amp;c. &amp;c.; en cónsecuen- , Toro, D. Vicente Navarro, D. Pedro Montenegro D. Santiago Uarraza, D. Acustln cía, « de inferir que en dichos manuscritos ó recopilación de documentos se de los Arcos, D. «francisco Cosío y, p. Mariano Azcue; los de D. Luis Cabreiano V podrá» hallar cuanto se desea. { ' . D. Amonio Parra . ayudas de oratorio 1 y los de D. Luis Branchi y D. Juan Narédo. ■ ,JEI exá…</t>
  </si>
  <si>
    <t>Uarraza, Santiago</t>
  </si>
  <si>
    <t>Santiago Uarraza</t>
  </si>
  <si>
    <t>…Basilio Salcedo D Nfc colas.Esrerripa, D. Pedro Obando, D. Mateo Obregon, D. Luis Toledano. D Blas de xiliares para pasar nos, y otros usos de ésta naturaleza &amp;c. &amp;c.; en cónsecuen- , Toro, D. Vicente Navarro, D. Pedro Montenegro D. Santiago Uarraza, D. Acustln cía, « de inferir que en dichos manuscritos ó recopilación de documentos se de los Arcos, D. «francisco Cosío y, p. Mariano Azcue; los de D. Luis Cabreiano V podrá» hallar cuanto se desea. { ' . D. Amonio Parra . ayudas de oratorio 1 y los de D. Luis Branchi y D. Juan Narédo. ■ ,JEI exá…</t>
  </si>
  <si>
    <t>Ubillos, Josefa</t>
  </si>
  <si>
    <t>Josefa Ubillos</t>
  </si>
  <si>
    <t>…señoras son. Doña augusta Señora se sentó en el trono, y después dijo las siguientes palabras: dig María de Larraza y su hija Doña Antonia Tomasa, Doña Martina Moya, nos Pares y Sres. Diputados, podéis sentaros. Doña Juana Moya , Doña Josefa Ubillos, Doña Josefa Urisarri, Doña MaEn seguida el Sr. Presidente, haciendo la débida venia, se aproximó al ría Dolores de Larraza, Doña Benita Unamono y Doña Pascuala Unamono: trono, y levantándose entonces toda la asamblea, se levantó también S. M. F. ¡ todas estas señoras hicieron estos servicios con s…</t>
  </si>
  <si>
    <t>Ucante, A</t>
  </si>
  <si>
    <t>A Ucante</t>
  </si>
  <si>
    <t>…9. caminos un caballo arrastra una carga de 135 quintales, mientras que en los CAMBIOS. caminos empedrados no puede llevar mas que ana de 15 quintales. Los canales- Amsterdant , 00. París, 16-3. Cádiz, 14 4 f fa. Sevilla, 4 b. -f d. A Ucante, 4 corto pla Coruña, 4 4 ¡d. Valencia,.4 Bayona , 00. reducen los gastos de trasporte á 1,25, puesto que un caballo -puede arrastrar Zaragoza 4 d. Id. 4 Granada, 00. Burdeos. zo, 4 b. una carga de 484 quintales. Hamburgo, 00. Barcelona, 4 ps. fs., Málaga, 4 b. Descuento de letras, En el espacio de…</t>
  </si>
  <si>
    <t>Uersundi, Juana</t>
  </si>
  <si>
    <t>Juana Uersundi</t>
  </si>
  <si>
    <t>…V. E. para que lo eleve al de S. M. la Reina sin apoyo alguno: á Mana Antonia de Landa, viuda del Urbano muerto Ba ‘Gobernadora. Y lo trascribo.á V. E con el propio efecto y en Cumplimien silio Ascargorta, que dejó una hija; y í Doña Juana Uersundi, viuda dd Ur— to desús superiores órdenes. Dios banp D- Santiago Mugurua. F.n fin , Excmo. Sr., doscientos hombres entre la guarnición y* partida^ _ ‘ Ejérciro de operación» del Norte.=ExcmQ, Sr. : Con la mayor satisfac- y 100 Urbanos, hicieron ver á los facciosas lo que vale ta inocencia de Isamoñ…</t>
  </si>
  <si>
    <t>Ugarte, Antonio</t>
  </si>
  <si>
    <t>Antonio Ugarte</t>
  </si>
  <si>
    <t>…ban esfas disposiciones, parte de la fuerza enemiga que general de la plana mjvor y mi secretario de campana, y del adicto á la pla itacaba nuestra derecha se dirigió por los mpntes á cortar el camino de Segura, na mavor teniente D. Antonio Ugarte, que con mis ayudantes de campo Don José Mánuel Carrillo, D. Genaro Marta de Quesada y 0. José Francisco Bí— sobre el cual se hallaban los caudales y bagage, á los que cargó, pero fue re dondo, que distribuyeron mis órdenes en medio del mas vivo fuego coa la mayor chazada vigorosamente por la compa…</t>
  </si>
  <si>
    <t>Ugarte, D Antonio</t>
  </si>
  <si>
    <t>D Antonio Ugarte</t>
  </si>
  <si>
    <t>…s se tomaban esfas disposiciones, parte de la fuerza enemiga que general de la plana mjvor y mi secretario de campana, y del adicto á la pla itacaba nuestra derecha se dirigió por los mpntes á cortar el camino de Segura, na mavor teniente D. Antonio Ugarte, que con mis ayudantes de campo Don José Mánuel Carrillo, D. Genaro Marta de Quesada y 0. José Francisco Bí— sobre el cual se hallaban los caudales y bagage, á los que cargó, pero fue re dondo, que distribuyeron mis órdenes en medio del mas vivo fuego coa la mayor chazada vigorosamente por la compa…</t>
  </si>
  <si>
    <t>Ugartechea, Domingo</t>
  </si>
  <si>
    <t>Domingo Ugartechea</t>
  </si>
  <si>
    <t>…cial de los Estados ha dado su opíníon sobre las adua rificado en esta capital la mañana del 17 del corriente por el comandante nas, y dividido en 12 puntos los principios que deben seguirse en esta cuestión: principal del Estado D. Domingo Ugartechea, y ratificado por el Sr. coman declara que ha procedido de un modo mas prohibitivo que la comisión de dante general de los Estados D. Pedro Lemus, suspender los efectos del refe aduanas nombrada por el Rey, y evalúa el aumento de los derechos propues rido decreto núm. 368, en cuanto al desconocimie…</t>
  </si>
  <si>
    <t>Uhac, Antonio</t>
  </si>
  <si>
    <t>Antonio Uhac</t>
  </si>
  <si>
    <t>…unal de España é Indias á mismo tiempo las indemnizaciones que hubieren de recibir los due D. Francisco Verea y Cornejo, regehte de la Real audiencia de Ma ños de las escribanías enagenadas, que no deben continuar como de drid; á D. Antonio Uhac, de la de Galicia; á D. Aliguel Antonio dominio privado por mas tiempo que el necesario para hacer efec Zumalacarregui, de la de Burgos; y á D. José Alonso, ministro de tivas las indemnizaciones, atendida la naturaleza e importancia de la de Madrid y comisario regio de Vizcaya. Tendréislo entendido…</t>
  </si>
  <si>
    <t>UjCemiorniá, Gabriel Be</t>
  </si>
  <si>
    <t>Gabriel Be UjCemiorniá</t>
  </si>
  <si>
    <t>…» podercondelarregloenfermen»á las mayorobligaciohésdel mismoimpuestashospital,por la.hwpra, reasume Mr.íMoreau en estos términos sus investigaciones qccrca de dirigirán sus memoriales para el día 23 de Octubre próximo venidero a D. Gabriel Be UjCemiorniá social de España. nito de Orbegozo, secretario de la pinta de Caridad.en Bilbao, j.* La población dé esté país se ha duplicado en 1 Id años, y su aumento . — - Habiendo de procederse en esta córte a la sfibásta del súmihútyo de utensilios par» ■spgresivo.se ha acelerado copsiderablemcnie desde el p…</t>
  </si>
  <si>
    <t>UjjúietítQ, D José X</t>
  </si>
  <si>
    <t>D José X UjjúietítQ</t>
  </si>
  <si>
    <t>./ -i ' ■ • mtÑMpieflte, «I Sr. Prnidetite djjo que lobre «Üíclio díctímen ¡resolverla el Ef Se mandó pasar 4 la comisión de poderes unt exposición del Sr. D. José X UjjúietítQ en lá primera próxima *es¡on.” ' . &gt;1. ¿ - ’ ^' ^ 'ManiéT .de'Yadit'o, electo por-Cadz¿ manifestando que enterado de la rs- . Los Excrnos. Sres. conde, de PimCnt, marques de la* Am*rill*s,^yótros. ^ . solí con del. E'iémrgto respecto 4 su primera renuncia, se Veía en la preci preguntaron ti habla c…</t>
  </si>
  <si>
    <t>UjjúietítQ, José X</t>
  </si>
  <si>
    <t>José X UjjúietítQ</t>
  </si>
  <si>
    <t>Újory, Frailan</t>
  </si>
  <si>
    <t>Frailan Újory</t>
  </si>
  <si>
    <t>…4—Kxcmo. hr.~K3 conde.de Mamolas - la consideractotrde S. M. et coroné! comandante" de escuadrón de cazadores de Exento. Sr. conde de Expelerá." =Es copia-CsEzpeleta. Isabel iiD.Jutun de Pablos; el ca pilan tde.&amp; m¡$m¿ .compafiía^D. Frailan ^Újory, qué condocia la primera mitad ,-y cl porta D. Valerio Calvo, que di El mismo capitán general con la del 13 dice i este ministerio Jo siérrente: rigía ta otra^ como lefc valientes xargéiítba'ülUtt y moldados que tuvieron la glo «•Exento. Sr.: Después de la dispersión que experimentó la facción de C…</t>
  </si>
  <si>
    <t>UL, Valencia</t>
  </si>
  <si>
    <t>Valencia UL</t>
  </si>
  <si>
    <t>…tro hombres, que bajan á las masías por las noches á proveerse de á 8. 16-7 00. París, b. Cádiz, 4 víveres, y vuelven á los montes hasta que el hambre los obliga á descender de Amsrerdam, Bayona, 00 Alicante, acorto pla Coruru. | d. Valencia* 4 UL nuevo. Burdeos, 00. zo, 4 b. Granada, id. Id. Zaragoza, 4 á 1 d. En el resto de la capitanía general no ocurre novedad alguna digna de la Hanhurgo, 00. Barcelona, á ps. fs.. Málaga. 4 b. Descuento de tetras» atención de V. E. Dios guarde á V. E. muchos años. Valencia 18 de Noviem Londres, á 90 dias…</t>
  </si>
  <si>
    <t>Ulioa, Jacobo</t>
  </si>
  <si>
    <t>Jacobo Ulioa</t>
  </si>
  <si>
    <t>…el lord Holland, Xhiers, Dupin y Lafayct- recilla de Robles, alcaide mayor de Pontevedra; para este pan ¿do á D. Juan ti!— ¿Querrían estos que en Francia y ¿^Inglaterra hubiese solo una Cáma Te jeito; para el del Barco de Avila á D. Jacobo Ulioa, que lo es de Bera electiva ? Estarna? convencidos de que no. jar; para este á D. Juan Víctor Navarro, que lo es de Lerma ; para este a Con igual sentimiento hemos visto que con la misma injusticia y por se- D. Santos Navarro Taricgo; para d de Hsro á D. Antonio Martínez Gil; viajante motivo se cen…</t>
  </si>
  <si>
    <t>Ulloa</t>
  </si>
  <si>
    <t>…respecto i sus -rentas y destino actual, opinaba que se de La com;sion de Marina notició por medio de la secretaría haber nom clarase su aptitud legal para desempeñar el cargo que su provincia le había con brado para su decano al Sr. Ulloa, y para su secretario ai Sr. Subercase. El Es ferido i mediante estar ya decid.do que los bienes de la muger son pi opios del tamento quedó enterado. marido. Asi se aprobó. Igualmente lo quedó de las exposiciones remitidas por los Sres. D. Ma- A invitación del Sr. Presidente entraron i jurar y toma…</t>
  </si>
  <si>
    <t>…se vieron te que en la sesión del 4 de este mes, que fue en la que se discutió la anterior precisadas á correr los riesgos inseparables de una reunión que se resentía de petición, se presentó una nueva proposición ó.enmienda del Sr. Ulloa; la cual dicha falta á presencia de un pueblo ansioso de ver lo que eran las Córtes. Con tomó el Estamento en consideración, acordando que se tuviese por una nueva esta desventaja empezaron sus tareas. petición , y que pasase los trámites que previene el reglamento. En este caso «La regencia creyó…</t>
  </si>
  <si>
    <t>Ulloa, Eb José</t>
  </si>
  <si>
    <t>Eb José Ulloa</t>
  </si>
  <si>
    <t>…nué-sobre ellosccn los bata* Rnet de! Príncipe, Aínwma , Gerona, La 37 á la del brigadier D. 1: rancheo de Paula Figueras. 200 cazadores de Isabel n y 3o caballos, habiendo legrado alcanzarlo* á las Seguía. la,artillería á la del coronel Eb José Ulloa. seis du la tarde'cn las alturas sobre Ezraua á la derecha dei camino real &gt; don Y por último ia caballería, mandada por el mariscal de campo barón de de ios ataqué vigorosamente. El fuego duró hasta las ocho y media , que los Carondelet. enemigos devu' jados de sus posiciones se pusieron, en precip…</t>
  </si>
  <si>
    <t>Un, Agustín Duran</t>
  </si>
  <si>
    <t>Agustín Duran Un</t>
  </si>
  <si>
    <t>…tica moderna en la decadencia ^ teatro antiguo español, y sohreel modo con que debe set considerado para juzgará de entender, y mandando que se forme su reglamento y arreglen sus idos sa yenientementé de 4\¡ ínérifo peculiar, por D. Agustín Duran. Un cuaderno en 8.f. * las. (Id.) oaliará á { rüéii rústica en lá^.lfbfefía de Cuesta, y éh la de áanehex. Circular aprobando el procedimiento instruido por el subdelegado del Fomento ------Isabel y libertad: oda patriótica dedicada á Ja MÜIcla urbana por D. Joaquín ^ de la provincia de Valencia contra…</t>
  </si>
  <si>
    <t>…tica moderna en la decadencia ^ teatro antiguo español, y sohreel modo con que debe ser considerado para juzgará de entender, y mandando que se forme su reglamento y arreglen sus idos sa yenientemehté de 4\¡ ínérifo peculiar, por D. Agustín Duran. Un cuaderno en 8.f. * las. (Id.) Bailará á { rüéii rástiea en lá^.tibfetía cíe Cuesta, y eh la de Sanche*. Circular aprobando el procedimiento instruido por el subdelegado del Fomento ------Isabel y libertad: oda patriótica dedicada á Ja Milicia urbana por J). Joaquín ?** de la provincia de Valencia c…</t>
  </si>
  <si>
    <t>Un, Antonio Gregorio Rosell</t>
  </si>
  <si>
    <t>Antonio Gregorio Rosell Un</t>
  </si>
  <si>
    <t>…dola lolecturaque sedeha-otrosade* mos f y fallecieron 19: que en los demas pueblos de la provincia se disfrutaba ■escriños. de buena salud, habiendo duplicado su vigilancia la judia de Sanidad de la Instituciones matemáticas por D. Antonio Gregorio Rosell. Un tomo en 4.'0, con mkma qnn noticia de haber sido invadidos los pueblos de Sriviesca y Pancor— , tiene la aritmética propia» y los principios de algebra, edición de 1785 , a tí. rs. rama y J9pasra coinun. vo: añade que D. Maleo Saenz, subdelegado de medicina y cirugía en la ciu- - — ■ Instituciones…</t>
  </si>
  <si>
    <t>Un, Bernetti</t>
  </si>
  <si>
    <t>Bernetti Un</t>
  </si>
  <si>
    <t>…de lo Interior, por el cardenal Gamberini; de secretario de Breves y de bibliotecario de la santa iglesia, por el car El día 27 de Noviembre próximo Visado se cantó el Te Deum en la cadenal Albani; de secretario de Estado, por el cardenal Bernetti. Un prelado pítat de e*.ta provincia, para d-ir gracias al l"¡3opoderoso de haberla liberta francés, Mr. de Hetz, es auditor de Rota y regente de la penitenciaría. do del terrible cólera-morbo. ____ Los últimos informes de la ad ua nací c Ne \v -Y o re k es t ab lee e n que ha entra do en los Estados U…</t>
  </si>
  <si>
    <t>Un, Blas Ostolaza</t>
  </si>
  <si>
    <t>Blas Ostolaza Un</t>
  </si>
  <si>
    <t>…s de 1* —Visitas al Santísimo Sacramento y á la Virgen * traducidas del franees al castellano provincia, bien que en la mayor parte no tomaba incremento la enfermedad. de las que escribió en italiano el Señor Líguorio, por el Dr. D. Blas Ostolaza. Un to— moca 8.°, edición de 1814* 4 5 rs. rama y 7 pasta común. PROVINCIA DE TARRAGONA. Con fecha 23 del mes anterior participa el gobernador civil de esta pro Tratado elementales afectos «/«!■»«/y operaciones de cirugía, compuesto para la enseñanza de los discípulos por el'Dr. D. A. deS. Germán, deca…</t>
  </si>
  <si>
    <t>Un, Carlos Martínez de Irujo</t>
  </si>
  <si>
    <t>Carlos Martínez de Irujo Un</t>
  </si>
  <si>
    <t>…la obra inglesa intitulada Riqueza de ias naciones, hecho por el marques oe Condorcet, y traducido al castel lanq fon varias adiciones del original por aqn a los que^op verdadera necesidad imploran el auxilio de los demas fieles, D. Carlos Martínez de Irujo. Un tomo en 8.° in¿rquílla, impreso en T803 , á 8 rs. ra porque recogidps en ella tendrán segura la subsistencia y cubierta su vergonzosa ma y 12 en pasta común. En esta obra se manifiestan la composición y organización desnudez. Ai mi^mo4 tiempo se conseguirá destinar al trabajo una porción de económi…</t>
  </si>
  <si>
    <t>Un, Cayetano Garcu Navarro</t>
  </si>
  <si>
    <t>Cayetano Garcu Navarro Un</t>
  </si>
  <si>
    <t>…personages á quienes han pertenecido, y la traducción castellana de algunas inscripciones arabes que se encuen tran en ellas. 1BA1 lOTBJtlA XODBtNA. ■ Resumen del modo de culi i var las moreras y de criar los gusanos de seda, por Don Cayetano Garcu Navarro Un cuaderno en 8.° impreso en 1786, á 2 rs. rama é ídem rustica. En este tratad.&gt;, sumamente útil para aquellos que se dedican á la cria del Noticia de los pueblos y administraciones donde han cabido los 21 premios gusano de la seda, o al cultivo de las moreras, se hallan reducidas las principales re…</t>
  </si>
  <si>
    <t>Un, D Francisco Antonio Moreno Arriara</t>
  </si>
  <si>
    <t>D Francisco Antonio Moreno Arriara Un</t>
  </si>
  <si>
    <t>…D. Serafin García, médico vocal consultor, hartad 7 que falleció. Arte poética de M. Boileau Despreaux, traducida en veno sueleo castellano* y dedicada á la clase de poética del Real Seminario de Nobles por D. Juan Bautista dé El-secretario D. Francisco Antonio Moreno. Arriara. Un tomo en 8*°* a 6 rs. rama y 10 pasta Ana. Esta obra, considerada por al Individuos del ayuntamiento y junta municipal de Sanidad. délogunosdelcomogéneroei códigoque llamande la literaturadidáctico modernaen su.ejecuciónen la materiay desempeño;de que trata,Su originales tjn esifto—la mas acabada un…</t>
  </si>
  <si>
    <t>Un, D José Mana Román</t>
  </si>
  <si>
    <t>D José Mana Román Un</t>
  </si>
  <si>
    <t>…el punto de construir en po hija, por D. Manuel Hernando Pízarro. Un Cuaderno en 4*® mayor, á 2 rs. rustica. cas horas un cementerio en la alquería de Farque invadida por la epidemia. — —TVueva gramática griega , arreglada por el coronel D. José Mana Román. Un to* El subdelegado concluye este artículo diciendo que no ha tenido que excitar composiciónmo en 8.°, ediciónse ha detenido1832,á ála 18vistars. enla recomendablepasta y 15 rústica.latino-grecaEsta gramática,de ClenarJo,'cóflpara cuya para promover aquellos beneficios á ios colaboradores de la junt…</t>
  </si>
  <si>
    <t>Un, D RaimunHum Fernandez Larrea</t>
  </si>
  <si>
    <t>D RaimunHum Fernandez Larrea Un</t>
  </si>
  <si>
    <t>…on su mamo de piel de buey. El inguba es el único philosophia rain* 3 5 Cinco tomos 8.*; oecumtmcarum rustica 38, sum— pasta 48.—StnoHorum rs., Vestido que usan los hombres, y este está abierto de arriba abajo, lo cual no mu, per D. D. RaimunHum Fernandez. Larrea. Un tomo 4.0; rama lo, rustica 11. debé admirarnos sabiendo que aquellos pueblos no miran como cosa indecente —Lcíesiasfic* historia breviarium, auctore Joanne Laurentio Berti. Dos tomos á.a¡ la desnudez completa, y que tratan de afeminado al que usa cualquier otio ves rama 18, rustica *¿0.—Instituí io…</t>
  </si>
  <si>
    <t>Un, Diego Antonio Rejón de Silva</t>
  </si>
  <si>
    <t>Diego Antonio Rejón de Silva Un</t>
  </si>
  <si>
    <t>…che, y sitio donde fue la aldea ó villa titulada del Gallego. Es mismo arre escribió León Batirisra Alberri • traducidos é Ilustrados con algunas notas Aroche una población antiquísima, con un término de 18 á 21 leguas de cir por D. Diego Antonio Rejón de Silva. Un tomo en 4-° marca mayor, edición de 1827, cunferencia en todas direcciones , y de un vecindario de 500 vecinos, del que adornados con los retratos de Vlnci y Alberti ; una primorosa portada y 39 lámtitas» á 30 rs. rama y 39 pasta común. A esta edición , que es sumamente elegante y corree— hace sigl…</t>
  </si>
  <si>
    <t>Un, Francisco Antonio Moreno Arriara</t>
  </si>
  <si>
    <t>Francisco Antonio Moreno Arriara Un</t>
  </si>
  <si>
    <t>…García, médico vocal consultor, hartad 7 que falleció. Arte poética de M. Boileau Despreaux, traducida en veno sueleo castellano* y dedicada á la clase de poética del Real Seminario de Nobles por D. Juan Bautista dé El-secretario D. Francisco Antonio Moreno. Arriara. Un tomo en 8*°* a 6 rs. rama y 10 pasta Ana. Esta obra, considerada por al Individuos del ayuntamiento y junta municipal de Sanidad. délogunosdelcomogéneroei códigoque llamande la literaturadidáctico modernaen su.ejecuciónen la materiay desempeño;de que trata,Su originales tjn esifto—la mas acabada un…</t>
  </si>
  <si>
    <t>Un, Francisco Sampons y Roca</t>
  </si>
  <si>
    <t>Francisco Sampons y Roca Un</t>
  </si>
  <si>
    <t>…n á so redacción. * r . . Partí tanitariode los ftuilot j¡ut ttt ii te titán. . -—Disertaciónfiamos y Unos, Inventadosobre 1* explicaciónpor tos Dre*y enuso-demedicinauna nuevaO. FranciscomáquinaSalvapara VRetamarCaMpint»,efic. y D. Francisco Sampons y Roca. Un cuaderno «4,» impreso en 178i, y adornado r‘\_'¿¿yb£jR, .. i&gt;W Enfermos. _ .Ciimdofc- - . FelleeJdat ' con dos laminas-cu que se dcsCribc genetái y part¡cu talmente Ja máquina, a 4 rs. tú*- ■ui-wnr OJii/.-. - (I &gt; - . &gt;1 « \ *‘ 1 ;.. , . 1 1 '• .-ir ■ ■ 1 .. AxgMKfa.VA j. 4'ále&gt;Agotto.&gt;a c 7 2 1 '■…</t>
  </si>
  <si>
    <t>Un, G Pusalgas y Guerm</t>
  </si>
  <si>
    <t>G Pusalgas y Guerm Un</t>
  </si>
  <si>
    <t>…sufrían d cólera* era^ •orto d número da personas que fallecían. ANUNCIOS. rxOTINCIA DS TARRAGONA. principios didácticos de materia medica, con un apéndice sobre las aguas mine— rales medicinales 'mas coacurridasen Cataluña* por D. G. Pusalgas y Guerm. Un tomo en &amp;° i 11 tu ca rústica; se hallará en Madrid librería de Buzóla* y en Barcelona en Participa su gobernador civil en oficio de 18 del corriente que en la ca la de Indar. pital y flemas pueblos que se habían declarado sanos no ocUrria novedad algu — ge halla vacante la plaza de mddlcd de la vi…</t>
  </si>
  <si>
    <t>Un, Gregorio Gonzaiez AraoU</t>
  </si>
  <si>
    <t>Gregorio Gonzaiez AraoU Un</t>
  </si>
  <si>
    <t>…de á V. E. muchos años. Málaga 12 de Marzo de 1834-=Exce- Cartilla para los labradores que quieran hacer azúcar de uva, por D. Luis Proust, lentísimo Sr.=Antonio María Alvar«z.=:Excmo. Sr. Secretario de Estado y del publicada por D. Gregorio Gonzaiez AraoU. Un cuaderno en 8.a, edición de 1806, á Despacho del Fomento general del reino. a rs. en rústica. ‘ Nota. Del parte que se cita resulta que el día 4 de Marzo quedarori exis —Arte de curtir, Instrucción general de curtidos. Dado 4 luz por D. Cayetano Mitentes 82 enfermos; que en los días 5,6, 7, 8, 9 y…</t>
  </si>
  <si>
    <t>Un, Isidoro de Isauzau</t>
  </si>
  <si>
    <t>Isidoro de Isauzau Un</t>
  </si>
  <si>
    <t>…ctlco del cuerpo humano. Primera parta, de Tos Caminando entre las jaras , huesos del esqueleto de un aduíro: por el licenciado D. Ignacio Laca va, catedrático de Sobre sus hojas y llores anatomía del Real colegio de S. Carlos, y D. Isidoro de Isauzau Un cuaderno «arca Pnstas parece- que nadan.” mayor adornado de estampas, edición de 1799,»' 50 rs. rama y 50 en rústica. En esta 2&gt;rimera parte, después de dar una clara y exacta descripción de los huesos en general, A veces se envuelven pensamientos profundos bajo imágenes graciosas: se ocupan los au…</t>
  </si>
  <si>
    <t>Un, José Acosta</t>
  </si>
  <si>
    <t>José Acosta Un</t>
  </si>
  <si>
    <t>…impreso de órden superior en 1829, á 2 rs. rústica, , ESPAÑA. -r— Manual de Física ó compendio de los elementos de esta ciencia, conforme á Jos co nocimientos del dia; traducido de la segunda edición del mahual de Mr. Baitlí por D. José Acosta. Un tomo en 4*° con láminas impreso en 1850, a 20 rs. rama, 2! rústi Madrid 9 dt Setiembre. ca y *27 pasta común. El objeto de estos elementos es el ofrecer un compendio de la fí sica , dando á las gentes bien educadas, á las personas que dirigen su principal atención ELECCION DE PROCURADORES DEL REINÓ…</t>
  </si>
  <si>
    <t>Un, José Canga Argñelles</t>
  </si>
  <si>
    <t>José Canga Argñelles Un</t>
  </si>
  <si>
    <t>…asen que esten suscritos, y se les entregara el tomo 4.° ses , que forman un total de 7 millones de almas, sostienen ellos solos los es .y último de la obra. . tablecimientos religiosos. ——Elementos de la ciencia de Hacienda, por D. José Canga Argñelles. Un tomo Examinemos ahora? lo que pagan por él un citorceavo de la población en 4.0 á 15 rs. en Madrid, librería de Viana, y en las provincias 4 16 rs. en rúnica. ——Historia di la conquista de Méjico, pobfacion y progresos de la America septen por los 6U09 anglicanos. La Iglesia anglicana de Irlanda pe…</t>
  </si>
  <si>
    <t>Un, José Chaix</t>
  </si>
  <si>
    <t>José Chaix Un</t>
  </si>
  <si>
    <t>…o de medicina y cirugía en la ciu- - — ■ Instituciones de cálculo diferencial é integral ^ ron ms aplicaciones principales k dad dedal iborra, se había ofrecido voluntariamente á asistir los enfermos do las matemáticas puras ypar D."José Chaix. Un tomo en 4.0 marquílla, edi Alfaro , para cuya dudad había salido el dia 16 del mes de la fecha. ción de 180J, a 26 rs. rama y 29 en rustica. ——-Icones et descriptiones plantaruin ( Ant. Josephi Cabanilles) quae aut ípofite in Híspanla cre^cunt, aut ín hortis hospitantur. Matriri 1791. Sin seis tomo…</t>
  </si>
  <si>
    <t>Un, José de Presas</t>
  </si>
  <si>
    <t>José de Presas Un</t>
  </si>
  <si>
    <t>…re el estado y situación política en que se hallaba el de S. Ildefonso el parte siguiente: reino de Nueva España en Agosto de 1823 , escrita en 20 de Febrero de Excmo. Sr.: En este momento que son las siete de la noche** 1824 por D. José de Presas. Un cuaderno en 4.0, edición de 1824 ñ 4 rs. el comandante de armas de este Real Sitio acaba de recibir del rústica. subdelegado de la provincia el oficio del tenor s¡guiente.=Subdele gación de Fomento de la provincia de Segovia. = Acabo de recibir Los suscriptores á las obras completas de Susfon , aum…</t>
  </si>
  <si>
    <t>Un, José Garriga</t>
  </si>
  <si>
    <t>José Garriga Un</t>
  </si>
  <si>
    <t>…n los Procuradores del Remo que se trasladan, á esta capital detenciones ' cía de la Huerta. Un tomo en 8.°, edición de 1AI5 a 5 rs. rama y ') en pasta común. indebidas ó .innecesarias. Cid.) ——Curso rlemenral de meteorología por D. José Garriga. Un tomo en 8.°, edición Circular al cuerpo diplomático español en el extrangero. (ATúm. 149.) . departicular,17vl4 a 5 ra.diciendorama yde9 encadapastauno común.de ellos HablaIp que estaprincipalmenteobra de los meteorosConviene tnsaber.generalTratay Real.decreto suprimiendo definitivamente el tribuna…</t>
  </si>
  <si>
    <t>Un, José Garrlgá</t>
  </si>
  <si>
    <t>José Garrlgá Un</t>
  </si>
  <si>
    <t>…en al mismo objeto mucha* circunstancias favorables que pertenecen espcc&amp;l- Atlas, á 280 reales rustica. mente iila-España. Tales son per ejemplo: el sentimiento religioso que con —Uranografía 6 descripción del cielo, escrita por D. José Garrlgá. Un tomo en 8 0 marquilLa, impreso en 1793 y adornado de tres hermosos planisferios, a 30 rt. rama y serva integro toda la población, y que, bien dirigido, debe ejercer un gran - 38 pasta ¿cumun. .... dq^.imperio sobre la» -inclinaciones y las pasiones perversas: la admirable -Virginia ó la doncella cr…</t>
  </si>
  <si>
    <t>Un, José Isidoro Moráles</t>
  </si>
  <si>
    <t>José Isidoro Moráles Un</t>
  </si>
  <si>
    <t>…^ derno en8.° marquilla, edición de 1830, i 2 rs. rústica. ¡ . —Memoria matemática sobre el cálculo de la opinión en'las elecciones. Por et doc y el presidente de la junta de Sanidad, aparece que én aquella capital habían si* tor D. José Isidoro Moráles. Un cuaderno en 4*° marquilla, impreso en 1797, á 7 rea le* do invadidas desde el dia 27 al 29 del mismo 259 personas, de las cuales mu rama y 8 en rústica. £1 objeto de esta memoria interesa generalmente; pero muy en rieron 47 y curaron 105: resulta ademas que la mayor parte de los invadidos particula…</t>
  </si>
  <si>
    <t>Un, José Mana de Nieva</t>
  </si>
  <si>
    <t>José Mana de Nieva Un</t>
  </si>
  <si>
    <t>…teatroá'álter- X&gt;. Despacho Mayo del tas secretarías universa! del por y consejos de S. M., desde 4 de nativamente; brillantísima iluminación general en toda la ciudad, distinguién año de 1814* hasta 31 de Diciembre de 1827. Por D. José Mana de Nieva. Un tomo dose la de los bálópnes de la casa de gobierno y capitular, en que ha estado el en 4.0, edición de 1828i, á 32 rs. en pasta, 28 en rústica y 26 en racha. Real pendón tres dias á la expectación pública con guardia y centinelas cons tantes de caballeros cadetes; la cual constó en las cuatro noch…</t>
  </si>
  <si>
    <t>Un, José Mana Román</t>
  </si>
  <si>
    <t>José Mana Román Un</t>
  </si>
  <si>
    <t>…de construir en po hija, por D. Manuel Hernando Pízarro. Un Cuaderno en 4*® mayor, á 2 rs. rustica. cas horas un cementerio en la alquería de Farque invadida por la epidemia. — —TVueva gramática griega , arreglada por el coronel D. José Mana Román. Un to* El subdelegado concluye este artículo diciendo que no ha tenido que excitar composiciónmo en 8.°, ediciónse ha detenido1832,á ála 18vistars. enla recomendablepasta y 15 rústica.latino-grecaEsta gramática,de ClenarJo,'cóflpara cuya para promover aquellos beneficios á ios colaboradores de la junt…</t>
  </si>
  <si>
    <t>Un, José Martres y Chabarrl</t>
  </si>
  <si>
    <t>José Martres y Chabarrl Un</t>
  </si>
  <si>
    <t>…influyen extremadamente en el abatimiento España, según la ordenanza de 8 de Setiembre de 1789, y posteriores y decadencia de la agricultura. Reales resoluciones expedidas hasta el abo de 1808. Dispuesta con arre glo á ellas por D. José Martres y Chabarrl. Un tomo en 4.0; edición de Se eleva al conocimiento de la superioridad que todos los pro 1826, á 6 rs. rústica y 5 rama. pietarios claman porque se les permita cerrar y acotar sus tierras; beneficio de que solo disfrutan los dueños de dehesas. Se han abolido cuatro plazas de cuadrilleros de la santa h…</t>
  </si>
  <si>
    <t>Un, José Rigual</t>
  </si>
  <si>
    <t>José Rigual Un</t>
  </si>
  <si>
    <t>…os en el bien de los pueblos á quienes representan. nes de la Iglesia, con diferentes oraciones para antes y después de la confesión y co munión, explicación de la Misa, y meditaciones para todos los dias de la semana, pór el Dr, D. José Rigual. Un tomo en 8.°, edición de 1805, á rs rama, y 5 pasta común. ——Extracto del compendio histórico de la Religión, compuesto, corregido y aumen tado por D. José Pintón, autor del mismo compendio para uso de los niños. Un tomo ESTADO SANITARIO DEL REINO. en 8.°, e4‘c&gt;4&gt;n de 1804» * 2 rs. rama, y 5 pasta c…</t>
  </si>
  <si>
    <t>Un, Juan Bautista Arriaza</t>
  </si>
  <si>
    <t>Juan Bautista Arriaza Un</t>
  </si>
  <si>
    <t>…a división; l*s dé los sfenos Viátünale* . sus mUesima cuadrante..: logaritmos' del y p6r cada Monta......... 30 Jul. i.2 Af. ,99 . 39 8 ■■ ■ ■Canto poe ojcaristico accixmi dc gracias), (ó en al augusto Pacificador1, .en. 182,85* D. Juan Bautista Arriaza. Un cuadernó en 4-° * 2/a* rustica.' * fant'ioa. de Ar- ... t • - ' r • -^-—Discurso ¿obre 4a necesidad dé ta boéná educación^y tbedlos de ihéforiié'la ehse*T . doz.......... 2¡) y SO de Julio. 53 26 12 fianza en las'.eacuelaa de primeras letr^e por el» Excmo. Sr. ÍL José de Amduaga^yr Oa-w ün.berti, j…</t>
  </si>
  <si>
    <t>Un, Juan Raurista de Arríaza</t>
  </si>
  <si>
    <t>Juan Raurista de Arríaza Un</t>
  </si>
  <si>
    <t>…enfermedad ediciónlos males, añode dela anarquía,1823 » on cuadernoy exhortaená 4&gt;°la unión,4 2 rs. rustica.paz y olvido de lo pasado. Segunda su curso ascendente. Epístola á Fanni sobre el asedio de la 3Sla Gaditana en 1823; por D. Juan Raurista de Arríaza. Un cuaderno en 8.° marquilla que puede ir en carta, a 2 rs. rústica. , PROVINCIA DB TERÜHI. ——El dos de Mayo. Himno patriótico de D. Juan Bautista Arríaza, dispuesto para escena con la adición de un monólogo, por el mismo autor. Un cuaderno en 8.°, edi .üv; Segua.parte.de 8 del presente ponsta que des…</t>
  </si>
  <si>
    <t>Un, Manuel Abella</t>
  </si>
  <si>
    <t>Manuel Abella Un</t>
  </si>
  <si>
    <t>…tomo en 4-°, cuarta edición, año de 18?4. Sr. D. José San Just. á il rs. rama y 17 pasta común. Sr. D. Esteban Ayala. ——Noticia y plan de uo víage para reconocer archivos y formar la colección diplo mática de España, encargada á D. Manuel Abella. Un romo en 4.0 marquilla, impre ■ ■ ■róJáámm. ■ so en 1795, á 4 rs- rama y 4 en rústica. En la primera parte de este escrito se da noticia de los escritores que inas se han distinguido en la publicación y reimpresión de las obras históricas de España, y en la -segunda se presenta un plan de un víage l…</t>
  </si>
  <si>
    <t>Un, Manuel Mártires Rueda</t>
  </si>
  <si>
    <t>Manuel Mártires Rueda Un</t>
  </si>
  <si>
    <t>…. licia Urbana de ata capital, vocal. —— Arte de fabricar el salitre y la pólvora, escrito y publicado de órden del. Rey El Sr. D. Pedro Cajuela, abogado de los Reala tribunales de S. M., id. nuestro Señor, y dedicado a S. M. por D. Manuel Mártires Rueda. Un tomo en 4.® El Sr. D. Pedro Lavigne, del comercio de ata ciudad, id. impreso en 1833, y adornado con lo láminas de grao tamaño».grabadas en dulce4 42 r$. rama, 46 rustica y 50 pasta común. Esta obra, debidaá la solicitud de 5. M. para El Sr. D. Marcos Oxtiz de Taranco, administrador de correos de a…</t>
  </si>
  <si>
    <t>Un, Mateo Seuane</t>
  </si>
  <si>
    <t>Mateo Seuane Un</t>
  </si>
  <si>
    <t>…a, i mpreso de urden de los Lores del Consejo pri y que estaba pronto i entregar el administrador de correos que los recauda. La» vado de S. M- Británica, trasladados al castellano y aumentados con notas y uo apén dice por el Dr. D. Mateo Seuane. Un cuaderno en 4.0 impreso y publicado de orden VearujüA que este proyecto, si se realiza, debe producir á la provincia, asi co- superior en 1831. á 21 cuartos rama , e Idem rustica. xnp la urgente necesidad de socorrer á los trabajadores de (a villa de Castra» &lt;jql Rio, reducidos á la mas espantosa m…</t>
  </si>
  <si>
    <t>Un, Miguel de Maurueza Barreda y Méndez</t>
  </si>
  <si>
    <t>Miguel de Maurueza Barreda y Méndez Un</t>
  </si>
  <si>
    <t>…sen de la edad de 50 años.- Las oposi ción de las muías, y restablecimiento del ganado boyal v caballar, en la labranza r ciones serán en público, y consistirán en dos actos prácticos en dias diferentes, conducción de frutos: por D. Miguel de Maurueza Barreda y Méndez. Un cuaderno en uno de medíeme interna y otro de externa, ó de afectos mixtos. El profesor 8.° marquilla. edición de 1790, i 3 rs. rama y 4 en rústica. Trata el apror en «la obra de probar la venta)a del ganado boyal y caballar sobre el murar pará la aarlculr que obtenga., dicha plaza, ademas del sueld…</t>
  </si>
  <si>
    <t>Un, Nicolás Antonio Heredero Mayoral</t>
  </si>
  <si>
    <t>Nicolás Antonio Heredero Mayoral Un</t>
  </si>
  <si>
    <t>…ncip ep la iglesia bós-, este recurso no se desaproveche: mas no parece impósible ponerlo pital de la Corona de Ar?gop, en Madrid, el 25 de Octubre”tje 1818 el en actividad, salvo el tenor y espíritu del reglamento de la Mili Dr. D. Nicolás Antonio Heredero Mayoral. Un cuaderno en 4.0', edición del mismo afio, á4rs. en rústica. - ’cia urbana: porque ¿quién impide formar compañías móviles agre gadas á ella, y destinadas con una módica re^budpn, á combatir y perseguir los facciosos bajó las órdenes de Ta autoridad militar, Los suscrlptores á la colección de novelas…</t>
  </si>
  <si>
    <t>Un, Nicolás Antonio Heredero y Mayoral</t>
  </si>
  <si>
    <t>Nicolás Antonio Heredero y Mayoral Un</t>
  </si>
  <si>
    <t>…ndo, escrito en francés por Mt. Juan Puget de ra se habían trasladado á Evora, salieron de esta ciudad el dia 13 de Abril úl Serre, historiador de Francia, traducido al castellano é ilustrado con un compendio histórico por el Br. D. Nicolás Antonio Heredero y Mayoral. Un romo en 4.0, edi timo para Avis, como punto señalado para los expresados refugiados, por lo ción de 1792, a 10 rs. pasta y 6 rama. cual ha quedado desembarazada toda aquella parte de frontera, notan solamen -------Vida del taumaturgo portugués S. Antonio de Padua, escrita en italiano por te de los…</t>
  </si>
  <si>
    <t>Un, Pedro de Vela</t>
  </si>
  <si>
    <t>Pedro de Vela Un</t>
  </si>
  <si>
    <t>…oles pn los ^-fioj de 1806 y 7, 7a. es ci p-eerte que el Sr .Martínez de la R-^a ha hecho a ia literatura r-pre-^eir.ida al Rey y su consejo de Estado por pl ministro do lnt»v'OT en 28 de M.r/oceiK.u, tradu.ida ai c.i-t-l ano por D. Pedro de Vela. Un cuaderno eu 4*‘J Cspaf.o.a. bu .ib'o es r¿. soidu-.eMe una «/ora de - aiir 1 , CUT!' ‘a v a.'ra- cd ci-jii d&lt;* iv&gt;u, a 4 r.&gt;. tn nuik.i, ’ dable; :i o '•oir-, demuestra la \ crd.i-1 de -üa--* qi da ah-- a pare, ,-u i:' v_; c i — j pr lies vb,le&gt; en ,as invente -o. ¡radui' fundada tarrdi.c v ti-niio…</t>
  </si>
  <si>
    <t>Un, Pedro del Rio</t>
  </si>
  <si>
    <t>Pedro del Rio Un</t>
  </si>
  <si>
    <t>…de Febrero. los tres célebres sistemas Juliano, Metónico y Gregoriano, adoptado por nuestra cató _ .;jC^uí el.p^pdwctQdf unos y otras, si mereciesen iasobcrana aprobación ,po- lica Iglesia para el gobierno de su calen larto, por D. Pedro del Rio. Un tomo en 4.0, ^jjá^pcurrjT^e. ádpt^istos dc{ estab^citpiento intentado, no excediendo estos del edición de 1790, 4 1+ rs. rama y 21 en pasta común. Acompañan 4 esta edición , que presupuesto £^lcuíg&lt;j$-por la junta f perpen el caso de no ser suficiente propon- portua sullamadaobjetoBfac/asy acertado…</t>
  </si>
  <si>
    <t>Un, Pedro Tomasi</t>
  </si>
  <si>
    <t>Pedro Tomasi Un</t>
  </si>
  <si>
    <t>…cio; y un tratamiento general para cualquier clase de sugeros, con una breve instrucción pre ÍSÉA DE ¿UEXTO-XICO. liminar de la gramática castellana para facilitar a los curiosos el estudio de' las dos lehguas r su autor el abate D. Pedro Tomasi. Un tomo en 4-°, cuarta edición, año de 18?4. Sr. D. José San Just. á il rs. rama y 17 pasta común. Sr. D. Esteban Ayala. ——Noticia y plan de uo víage para reconocer archivos y formar la colección diplo mática de España, encargada á D. Manuel Abella. Un romo en 4.0 marquilla, impre ■ ■ ■róJáámm. ■ so e…</t>
  </si>
  <si>
    <t>Un, RaimunHum Fernandez Larrea</t>
  </si>
  <si>
    <t>RaimunHum Fernandez Larrea Un</t>
  </si>
  <si>
    <t>…su mamo de piel de buey. El inguba es el único philosophia rain* 3 5 Cinco tomos 8.*; oecumtmcarum rustica 38, sum— pasta 48.—StnoHorum rs., Vestido que usan los hombres, y este está abierto de arriba abajo, lo cual no mu, per D. D. RaimunHum Fernandez. Larrea. Un tomo 4.0; rama lo, rustica 11. debé admirarnos sabiendo que aquellos pueblos no miran como cosa indecente —Lcíesiasfic* historia breviarium, auctore Joanne Laurentio Berti. Dos tomos á.a¡ la desnudez completa, y que tratan de afeminado al que usa cualquier otio ves rama 18, rustica *¿0.—Instituí io…</t>
  </si>
  <si>
    <t>Un, Torcuato Torio de la Riva</t>
  </si>
  <si>
    <t>Torcuato Torio de la Riva Un</t>
  </si>
  <si>
    <t>…á ia situación topográfica y estado de salud de los pueblos con- tablecer y seguir en todas las escuelas, colegios y seminarios del reino: escrita por «aga. Esta superior ha creído dictar tal medida teniendo presentes dichas Rea D. Torcuato Torio de la Riva. Un tomo en folio y pasta con 60 láminas á 110 rs., y la» ordene»; y habida consideración á que ya la provincial de Jaén cortó la co- encon4.0las ydemaspasta obrasá 80 rs.delSemismobailaráautor,en lasquelibreríasson lasdesiguientes:Esteban CallejaOrtologíay ydediálogosViltareat,de umpicacíon, se tranqu…</t>
  </si>
  <si>
    <t>Ün, Vanden-Bosch</t>
  </si>
  <si>
    <t>Vanden-Bosch Ün</t>
  </si>
  <si>
    <t>…de la tarde las aproveché mandando ll sargento. 2.® , «El caitíé^tde la-’céfjh dé&gt; azúcar ha hecho también notables progresos ba Antonio Hernández cera los soldados José Linares, Diego de Torres, Estcbjn jo la administración del general Vanden-Bosch. Ün número suficiente de cañas García' y Antonio Bruco, y los fusileros Dionisio Lbtóóío . Kíinüel Balaadm, par« p*t»ducir an ^zr«/ C126 libras) de azúcar Aruto da al Gobierno 3 flori Andrés Langoyo, reconociesen Ira parideras y casas Inmediatas al pueblo. nes 26 ótteldasíy ésta nürsmr cantidad de azúc…</t>
  </si>
  <si>
    <t>Un, Ventura de Arqueliada</t>
  </si>
  <si>
    <t>Ventura de Arqueliada Un</t>
  </si>
  <si>
    <t>…facciosos en aquella ANUNCIOS. provincia. Noticia del estado de tas cárceles de Riladelfia, escritas eu francés por LarocbeLa junta superior de Sanidad de Granada traslada al ministerio del Fomen foucauld-Liancoun, traducida por D. Ventura de Arqueliada. Un cu.derao en-í.° irurquilla , edición de Z801, á 5 rs. en rústica. £1 producto de esta obra, cuyo prin to con fecha de 8 del actual la comunicación que dirige á la junta suprema del cipal objeto es manifestar las mejoras que han tenido Us cárceles de Kilad^ifia, se mismo ramo, y en que entre otras c…</t>
  </si>
  <si>
    <t>Un, Vicente Maurl</t>
  </si>
  <si>
    <t>Vicente Maurl Un</t>
  </si>
  <si>
    <t>…ielmente recopilado según U última edición del Diccionario de la Academia español, y el Vocabulario de la Crusca, como f AJMnm , en muy mal estado. Igualmente del gran Diccionario de Alberti de Villanova , por D. J. L B. Cormoo y D. Vicente Maurl. Un tomo 8.° pasta. Véndese á ¿o rs. eo la librería de D. Tamas Elbrigadier- D. Baldomero Espartero, comandante general de Vizcaya, re- Jord:*n, Cé' e de lá Concepción gerónlma. { míre con fecha de 29 del próximo pasado Enero copia de los partes que había — Tratado de la círíw/&lt;iWof» artificial de la m…</t>
  </si>
  <si>
    <t>Un, Vicente Sánchez Boado</t>
  </si>
  <si>
    <t>Vicente Sánchez Boado Un</t>
  </si>
  <si>
    <t>…as de infantería y caballería, y á Jos oficia* Tuéblos. Días. Invadidos. Curados. Fallecidos. Jes que sirven en Jos puestos avanzados, recopilada de la que Federico 11 dió á sus ofi ciales de caballería, traducida del francés por D. Vicente Sánchez Boado. Un tomo en 8-0 impreso de orden superior en el año de I8O4, á 4 rs. rama y 8 pasta común. con Mon del debe observarse Instrucción Ja junra que de de la extinción - motivo — 7 ]&lt;$Ambite. .. .. . Agosto.. i i 47 14 Ja goces, oficinas de para de Reales continuación te Pío y su secretaria-contaduría, 1 s…</t>
  </si>
  <si>
    <t>Una, D Juan Francisco Morare</t>
  </si>
  <si>
    <t>D Juan Francisco Morare Una</t>
  </si>
  <si>
    <t>…crita en el mismo ELECCION DE PROCURADORES DEL REINO, sentido. PROVINCIA DE COA DALA JABA. , ------El Republicano suizo dice que Mr. de Bombelles, embajador austríaco, ha pasado una nueva nota al directorio contra los refugiados. Sr. D. Juan Francisco Morare ■ — Una carta de Ginebra de 22 del pasado dice: Todos los principales legitimistas que habia aquí han recibido órden de salir. Su número se habia au PROVINCIA DS SORIA. mentado mucho últimamente, y so cree que este paso se ha dado á consecuen cia de la visita hecha por Mr. de Rumigrti á esta ciudad. No se…</t>
  </si>
  <si>
    <t>Una, Francis Rhin</t>
  </si>
  <si>
    <t>Francis Rhin Una</t>
  </si>
  <si>
    <t>…tenta emplear la primavera próxima las San Roque á D. Francisco de Paula Linares: para la de Colmenar tropas en la obra del gran canal que ha de nnrr el Danubio, el Mein y el viejo i D. Pedro José de Tripiana: para la de Getafe á D. Francis Rhin. Una turba de incendiarios que han cometido muchas atrocidades en U ve co Herrero Blanco: para la de Carrion de los Condes a D. Agustín cindad de Landshut y Frcising, ha aparecido también en nuestras cercanías, y Gómez Inguanzo: para la de Bandé á D. Miguel Ortega: para la de en Munich mismo han tratado…</t>
  </si>
  <si>
    <t>Una, Juan Francisco Morare</t>
  </si>
  <si>
    <t>Juan Francisco Morare Una</t>
  </si>
  <si>
    <t>…a en el mismo ELECCION DE PROCURADORES DEL REINO, sentido. PROVINCIA DE COA DALA JABA. , ------El Republicano suizo dice que Mr. de Bombelles, embajador austríaco, ha pasado una nueva nota al directorio contra los refugiados. Sr. D. Juan Francisco Morare ■ — Una carta de Ginebra de 22 del pasado dice: Todos los principales legitimistas que habia aquí han recibido órden de salir. Su número se habia au PROVINCIA DS SORIA. mentado mucho últimamente, y so cree que este paso se ha dado á consecuen cia de la visita hecha por Mr. de Rumigrti á esta ciudad. No se…</t>
  </si>
  <si>
    <t>Una, Trezel</t>
  </si>
  <si>
    <t>Trezel Una</t>
  </si>
  <si>
    <t>…n periódico que se publica en Bayona en su número del 10 del corriente, de correrías no se haga eterna por la vanidad de los comandantes, que ponen dice lo que sigue: todo su orgullo en ver inscritos sus nombres en el Monitor. El general Trezel «Una proclama de Zumalacarregui dada en Elizondo parece dictada por la) salió el 18 para visitar como inspector general á Bona, Oran , Bueía , Mosta- numerosas deserciones que aclaran diariamente las filas carlistas. Su gefe intenta ganem y otros establecimientos de la costa de Africa. Las noticias de B…</t>
  </si>
  <si>
    <t>Una, Vi</t>
  </si>
  <si>
    <t>Vi Una</t>
  </si>
  <si>
    <t>…dos fiscales. Y (Diario de Smimai) nombro para la plaza de regente á D. Francisco Olavarrieta, que Idem 20. actualmente la desempeña; en clase de oidores , á D. Miguel Castells , á D. Magin Ferrer, á D. Juan Hernández de Alva, á D. Vi Una persona fidedigna escribe desde esta ciudad con la indicada fecha lo cente Ruiz Morqueeho, ¿ D. Joaquín Lorenzo Lázaro, que lo son siguiente : »La peste que se ha declarado, en primer lugar en Jada y despoe* de dicha audiencia , á D. Francisco Calvet y á D. Clemente- García cu Smi/na, ha hecho aquí…</t>
  </si>
  <si>
    <t>Unamono, Benita Unamono y Doña Pascuala</t>
  </si>
  <si>
    <t>Benita Unamono y Doña Pascuala Unamono</t>
  </si>
  <si>
    <t>…, Doña Martina Moya, nos Pares y Sres. Diputados, podéis sentaros. Doña Juana Moya , Doña Josefa Ubillos, Doña Josefa Urisarri, Doña MaEn seguida el Sr. Presidente, haciendo la débida venia, se aproximó al ría Dolores de Larraza, Doña Benita Unamono y Doña Pascuala Unamono: trono, y levantándose entonces toda la asamblea, se levantó también S. M. F. ¡ todas estas señoras hicieron estos servicios con sus criadas respectivas.” y poniendo la mano derecha sobre los Santos Evangelios, cuyo* libro sostenia Y al tener el honor de participarlo á. V. H. para el debido conocim…</t>
  </si>
  <si>
    <t>Unamono, Pascuala</t>
  </si>
  <si>
    <t>Pascuala Unamono</t>
  </si>
  <si>
    <t>…os Pares y Sres. Diputados, podéis sentaros. Doña Juana Moya , Doña Josefa Ubillos, Doña Josefa Urisarri, Doña MaEn seguida el Sr. Presidente, haciendo la débida venia, se aproximó al ría Dolores de Larraza, Doña Benita Unamono y Doña Pascuala Unamono: trono, y levantándose entonces toda la asamblea, se levantó también S. M. F. ¡ todas estas señoras hicieron estos servicios con sus criadas respectivas.” y poniendo la mano derecha sobre los Santos Evangelios, cuyo* libro sostenia Y al tener el honor de participarlo á. V. H. para el debido conocim…</t>
  </si>
  <si>
    <t>Unaprueba, Palarea</t>
  </si>
  <si>
    <t>Palarea Unaprueba</t>
  </si>
  <si>
    <t>…aprobarse las propuesta; del Gobierno, se podrá «ar respecto de Cada partida por separado.” tomar en considerdcion, según costumbre, él dictámen de la comisión.” El Sr. Secretario del Despacho de Hacienda: «Entiendo que lo qúe El Sr. Palarea-. «Unaprueba de qué el Estamento no ha perdido de vis conviene votar es lo que el Gobierno pide con la supresión ó rebaja que se ha ta el dictámen de la comisión, es el que varios Sres. Procuradores que han ha heclio ya respecto al consulado de París. Por lo demas aunque aparece en la blado , han tocado algunos pu…</t>
  </si>
  <si>
    <t>Uñarte, Juan Fausto</t>
  </si>
  <si>
    <t>Juan Fausto Uñarte</t>
  </si>
  <si>
    <t>…rques de Astar 12, electo por la provincia de la Coru de elección de la provincia de Soria, en reemplazo de los Sres. marques de San lla; siendo de parecer que se concediese é dicho Sr. el termino de un me* para Miguel de Grox, y D. Juan Fausto Uñarte, que ha recaído en los Sres. Don que los presente conforme á lo mandado. Asi se aprobó. Luis de S. Clemente, y D. Joaquín González Nieto, y de la de Guadalajara Asimismo manifestó dicha comisión haber examinado el oficio del señor en reemplazo del Sr. D. Gregorio García, que ha recaído en ei Sr. D.…</t>
  </si>
  <si>
    <t>Uncela, Bernardo</t>
  </si>
  <si>
    <t>Bernardo Uncela</t>
  </si>
  <si>
    <t>…cido tanto los gefes fírme: 49 á £o días ó voL a prima de i p. ico: 47$, f &gt; i» f y i á varias fs., vol. y y oficiales ya mencionados enceste parte, como asimismo los comandantes de la firme, sio cupón. Guardia D. Joaquín Bayonij D. Bernardo Uncela, D. Francisco Ezpcleta, eL Vales no Consolidados, *2 nueve díet y seis «vos y lag al eonado; xaf al 98 Abril mente coronel de dicho Real cuerpo D. Tomás Yarto, y el segundo coman Deudaó vol.negociable del 5 p. 100 i papel, 00. dante de Africa D. Sebastian Mora, que puestos á la cabeza de sus respec…</t>
  </si>
  <si>
    <t>Uncela, Joaquín Bayonij D Bernardo</t>
  </si>
  <si>
    <t>Joaquín Bayonij D Bernardo Uncela</t>
  </si>
  <si>
    <t>…ta ocasión han merecido tanto los gefes fírme: 49 á £o días ó voL a prima de i p. ico: 47$, f &gt; i» f y i á varias fs., vol. y y oficiales ya mencionados enceste parte, como asimismo los comandantes de la firme, sio cupón. Guardia D. Joaquín Bayonij D. Bernardo Uncela, D. Francisco Ezpcleta, eL Vales no Consolidados, *2 nueve díet y seis «vos y lag al eonado; xaf al 98 Abril mente coronel de dicho Real cuerpo D. Tomás Yarto, y el segundo coman Deudaó vol.negociable del 5 p. 100 i papel, 00. dante de Africa D. Sebastian Mora, que puestos á la cabeza de sus respec…</t>
  </si>
  <si>
    <t>Unida</t>
  </si>
  <si>
    <t>…los presos de la cárcel. El ayuntamiento por su parte, ademas de Excmo. Sr,: AI Excmo. Sr. vírey de Navarra digo con esta fecha lo que gratificar con triple paga á los soldados, obsequió con un magnífico refresco á rigutíf Excmo. Sr.: Unida á la división de mi mando la columna de operacio ios gefes y oficiales, esmerándose por medio de una comisión de su seno nom nes del reino de Aragón á las órdenes de su bizarro gefe el coronel D. Marce brada al efecto en que los festejos públicos correspondiesen al alto objeto á que lino Oáa, en la…</t>
  </si>
  <si>
    <t>Uno, J D S SúO</t>
  </si>
  <si>
    <t>J D S SúO Uno</t>
  </si>
  <si>
    <t>…erta ; que el qiie se sigue de la .ocupación de Ancona 'D- J. P. por asignación mensual.................................... 4u0 por los franceses con respecto á Italia. D E. R. P.........................../................... 1*0 D. J D. S................................................................. SúO _____Uno de los periódicos de por Is mañana contiene un artículo intitulado D. Miguel de Salas, por ahora................................................................. lóbó Situación actual de Trípoli, 1834- Este escrito difiere de, todo punto de las D. M. C......................................................…</t>
  </si>
  <si>
    <t>Uno, Palmerston'</t>
  </si>
  <si>
    <t>Palmerston' Uno</t>
  </si>
  <si>
    <t>…la honra de merecer y recibir el apoyo de esta ilustrada monasterio del Salvador, y en seguida los cuarteles, la cárcel pública, el liceo, capital.” el gimnasio, las escuelas, el hospicio de huérfanos y otros varios establecimien Lord Palmerston' «Uno de los principales objeto* de la administración ¿ tos , y en todas partes S. M. se mostró satisfecho del orden y arreglo que exis que tengo la honra de pertenecer , es conservar la paz de Europa. A vosotros tia en dichos establecimientos. toca decir hasta qué punto yo h^,cumplido con esta misión; pero ent…</t>
  </si>
  <si>
    <t>Uno, S SúO</t>
  </si>
  <si>
    <t>S SúO Uno</t>
  </si>
  <si>
    <t>…; que el qiie se sigue de la .ocupación de Ancona 'D- J. P. por asignación mensual.................................... 4u0 por los franceses con respecto á Italia. D E. R. P.........................../................... 1*0 D. J D. S................................................................. SúO _____Uno de los periódicos de por Is mañana contiene un artículo intitulado D. Miguel de Salas, por ahora................................................................. lóbó Situación actual de Trípoli, 1834- Este escrito difiere de, todo punto de las D. M. C......................................................…</t>
  </si>
  <si>
    <t>Üonzalez'V, IX Pedro</t>
  </si>
  <si>
    <t>IX Pedro Üonzalez'V</t>
  </si>
  <si>
    <t>…triarcado las' Inid las, D. Mihuel Gar iBhanPpcrdido ó ¿o, eso doctores tiene la Sta. madre Iglesia como, suele de- cía Herreros ', ÍX Pomas GohzalezCatv-ijaT (quejo hizo-de ofidio por ¿Star enfermo), conde González dé Cástcjon , obispo IX 'Pedro Üonzalez'V al le jo,■¿itse?’‘i- , a El jr. CanoManuel: «Estoy completamente satisfecho , y convengo en duque de Gor, marques de Guadalcazar , conde de Guaqui, duque de Hijar, ■qntt la-discusión ha'-ácláraldo este punto importante manifestando á la nación conde de Humanes, Obispo de Huesca, D. Juíto'Máríalbar…</t>
  </si>
  <si>
    <t>Uptomo, Pedro de Ziriza</t>
  </si>
  <si>
    <t>Pedro de Ziriza Uptomo</t>
  </si>
  <si>
    <t>…o antes delaño de 1366. reconotí loa pueblos.,btenque no rehallaban en disposición de -subsanar lasti ——Introducción al estudio de la Astronomía ¿(sica escrita en francés por Mr Cousln, 7 traducida al castellano por el presbítero D. Pedro de Ziriza. Uptomo eo 4° mar* ma escasez 6e fmb*cfo&lt;oe que bay «n aquella provincia: concluye diciendo quilla, edfcfon de 1796, k 15 rs.rama y 26 pasta común. Los que saben cuánto se ha que en loa dias 17-, Ifl y 19 del mes-de la fecha hubo en Sftrgos 4&amp;Í enfer- * •adelantado *en esta materia en los últimos tiempos,…</t>
  </si>
  <si>
    <t>Uq, Luis Proust</t>
  </si>
  <si>
    <t>Luis Proust Uq</t>
  </si>
  <si>
    <t>…ma instruccíoncita, una colección de clave y reglas en grandes ——Indagaciones sobre el estañado de cobre, la vajilla de estaño y el vldriadok Por | Icaraptéres, que cuestan 40 rs., y tres de á peseta, habrá lo suficiente para una D. Luis Proust. Uq cuaderno en 4.0, edición de 1803, á 6 rs. eo rúatica. liéscuieta de 200 á 4^0 niños; y con dos colecciones de á 40 rs. y cinco dé las Ixtoá peseta, esto es, con 100 rs. y los 4 cuartos de la instruccíoncita hay para Los suscrlptores á las obras completas de Bujfon, aumentadas por Cwíer, pasarán líu…</t>
  </si>
  <si>
    <t>Ur, Francisco Arcilla Herrero y</t>
  </si>
  <si>
    <t>Francisco Arcilla Herrero y Ur</t>
  </si>
  <si>
    <t>…jante á la del estado cuque nos hallamos. to dél teniente, comandante de la Milicia urbana, D. Luis María López de Al lado de proscritos respetables que han Venido aquí á buscar un asilo, tene Arce, que con el alférez de la misma D. Francisco Arcilla Herrero y 18 Ur dnos ¿ muchos aventureros políticos que nos comprometen. Mas de un refu banos de caballería de dicha ciudad, han perseguido por espacio de 20 días con giado que quiere hacer él papel de perseguido por,opiniones, es un.fugitivo el irtayor anhelo y decisión , sin descantar momento, la facción del 're…</t>
  </si>
  <si>
    <t>Ur, Miguel Jiménez y</t>
  </si>
  <si>
    <t>Miguel Jiménez y Ur</t>
  </si>
  <si>
    <t>…por su augusta Ma .tomosde la vidaen pasta,de esteenfamoso4.°, a sugeto50 rs.—Genealogíapor su hijo D.de AlfonsoGil tilasBlasde SanttUanade Liria , ,restituidacontinuacióná la dre. Hizo mención especial y dió gracias al profeso» D. Miguel Jiménez y Ur- lengua original en que se escribió por D. Bernardo María de Calzada, un tomo en 4.0, bina, y á Jos artistas y personas particulares que habían respondido al honroso á 20 rs. en pasta»—Memorias concernientes a la vida y muerte del d-uque de Berri T es llamamiento de la sociedad, y concluyó con expre…</t>
  </si>
  <si>
    <t>Urbanos, Lo</t>
  </si>
  <si>
    <t>Lo Urbanos</t>
  </si>
  <si>
    <t>…ad de recomendarlos á «La posición particular en que se encontró el valiente primer batallón del S. M. la R kiíía Gobernadora para las gracias que guste dispensarles. Príncipe* y las compañías de cazadores que mandó el benemérito brigadier «Lo* Urbanos tuvieron igual parte , en la que fue tanto su valor , denue Benedicto, me hacen recomendar i V. E. particularmente á todos sus indivi do y ardor marcial, que no es posible hacer una exacta descripción. Son dig duos, para que ai lo tiene 4 bien S. M. recaiga el premio debido al valoré in nos en mi c…</t>
  </si>
  <si>
    <t>Urbina, D Joaquín</t>
  </si>
  <si>
    <t>D Joaquín Urbina</t>
  </si>
  <si>
    <t>…contingentes de pósitos, y activando la prcSr. D.Mariano Canillo de Albornos 'ttQtacijon de cuentas de este ramo* Sr. P. Miguel Gómez López. Ha facilitado á los inventores del betún de que habló en sus partes antCTio* ' ' Excmo. Sr. D. Joaquín Urbina. res, todos los medios posibles para aprovechar su descubrimiento.</t>
  </si>
  <si>
    <t>Urbina, Joaquín</t>
  </si>
  <si>
    <t>Joaquín Urbina</t>
  </si>
  <si>
    <t>…tingentes de pósitos, y activando la prcSr. D.Mariano Canillo de Albornos 'ttQtacijon de cuentas de este ramo* Sr. P. Miguel Gómez López. Ha facilitado á los inventores del betún de que habló en sus partes antCTio* ' ' Excmo. Sr. D. Joaquín Urbina. res, todos los medios posibles para aprovechar su descubrimiento.</t>
  </si>
  <si>
    <t>Urbina, Miguel Jimene y</t>
  </si>
  <si>
    <t>Miguel Jimene y Urbina</t>
  </si>
  <si>
    <t>…s de D. Luis Antonio Smtibdflez, vecino que fue de esta corte, presentase ^íscípuios perfectamente instruidos, con todo, visto el esmero con para que concurran el 19 d«M corriente a las diez de su mañana á la posada de S. S., que D. Miguel Jimene/. y Urbina había establecido su escuela, y el aprovecha que la tiene en la Carrera de á, Gerónimo, casa del sefior marques de Iturbleta, miento de sus alumnos, se-acordó concederle el título Ac sóuo de mérito, y cuarto 2.0, á resolver lo que sea mas conveniente en la junta general que ha de ce lebrarse aquel…</t>
  </si>
  <si>
    <t>Urbina, Rafael</t>
  </si>
  <si>
    <t>Rafael Urbina</t>
  </si>
  <si>
    <t>…rechos de puertas los 2 rs. I [ascenso de D. José María Manescau á la de igual clase en la de Madrid, vengo y 29 mrs. señalados á cada arroba en la tarifa, y los flejes de hierro el 10 por I Jen nombrar al ministro electo de esta D. Rafael Urbina; para esta resulta al 100 del valor que señalen los vistas. Y 9-a Que no se haga novedad en cuanto! Joidor de la dé Valencia D. Miguel Moreno, y para la de Granada á D. Juan í los flejes de madera v de hierro del reino, conservándose á estos el derecha se-1 I Antonio Almagro. Tendráse entendido en…</t>
  </si>
  <si>
    <t>Uriarie, Juan Fausto</t>
  </si>
  <si>
    <t>Juan Fausto Uriarie</t>
  </si>
  <si>
    <t>…ese á los 2l años. La presunción del Señor cumentos de so aptitud legal porrD.Eduardo Galbet, electo Procurador por Patarea no pasa de ser una presunción; podrá haber habido dispea» y podrá Málaga, como asimismo'una exposición de D. Juan Fausto Uriarie, electo no haberla habido. De consiguiente, me parece que la comisión no ha dejado Procurador por lá provincia de Soria , en la cual alegaba varias causas que le de tener fundamento para dar el dictámen que ha dado , y mas cuando hay una impedían desempeñar esté encargo, y pedia su exoneración: otr…</t>
  </si>
  <si>
    <t>Uriarte, Joaquín</t>
  </si>
  <si>
    <t>Joaquín Uriarte</t>
  </si>
  <si>
    <t>…pidió de oficio la lista de que Estamento de Sres. Procuradores, como comisionados regios para asistir á la se trata, no dudando que se le remitiria. El Sr. Ministro dió las órdenes opor discusión de los presupuestos á los Sres. D. Joaquín Uriarte, Subsecretario tunas á las oficinas, y la comisión hizo que uno de sus individuos fuese perso del Despacho de Hacienda, D. Domingo de Torres, Director de Rentas, y nalmente á avistarse con los gefes de ellas, los cuales le manifestaron lo dificil D. Joaquín Liafio, Intendente general del ejército.…</t>
  </si>
  <si>
    <t>…decreto. Madrid 19 de Julio de í854.=Moscoso^Señor .nombrar para las plazas de-gefes de sección y de mesa de que- ha Gobernador civil de la provincia de Madrid. de componerse á los sugetos siguienteák Paca la de subsecretario á ‘D. Joaquín Uriarte: para las de gefes de mesa de la primera sec ción á D. Ramón María Cañedo y D. Ranfon Calatrava: jiara la de ‘gefe de la segunda sección á I). Antonio. Freyre: para la de gefe de PARTE &gt;() OFICIAL. 'mesa de lá misma Sección á D. Manuel González Suso: para la de efe de la tercera sección á D. Manuel…</t>
  </si>
  <si>
    <t>Uribarrena, D Sebastian</t>
  </si>
  <si>
    <t>D Sebastian Uribarrena</t>
  </si>
  <si>
    <t>…llrrubia, gobierno legal, sostenido por la nación, por el ejercito y p&gt;r la y asi lo verificaron á las ocho de la noche bajo el mando del te guardia nacional, dará siempre á los que se alcen contra él.... (M.o- niente graduado de capitán D. Sebastian Uribarrena con 23 solda 9tmiento.') Les dirá que son ellos mismos, como repetidas veces se dos, un alférez y un cadete, unida á estos otra partida de 30 hom J»a manifestado an la discusión, el argumento mas poderoso y la bres de zapadores de la Guardia Real con su teniente D. Vicente demostración mas convince…</t>
  </si>
  <si>
    <t>Uribarrena, Sebastian</t>
  </si>
  <si>
    <t>Sebastian Uribarrena</t>
  </si>
  <si>
    <t>…, gobierno legal, sostenido por la nación, por el ejercito y p&gt;r la y asi lo verificaron á las ocho de la noche bajo el mando del te guardia nacional, dará siempre á los que se alcen contra él.... (M.o- niente graduado de capitán D. Sebastian Uribarrena con 23 solda 9tmiento.') Les dirá que son ellos mismos, como repetidas veces se dos, un alférez y un cadete, unida á estos otra partida de 30 hom J»a manifestado an la discusión, el argumento mas poderoso y la bres de zapadores de la Guardia Real con su teniente D. Vicente demostración mas convince…</t>
  </si>
  <si>
    <t>Urisarri, Josefa</t>
  </si>
  <si>
    <t>Josefa Urisarri</t>
  </si>
  <si>
    <t>…usta Señora se sentó en el trono, y después dijo las siguientes palabras: dig María de Larraza y su hija Doña Antonia Tomasa, Doña Martina Moya, nos Pares y Sres. Diputados, podéis sentaros. Doña Juana Moya , Doña Josefa Ubillos, Doña Josefa Urisarri, Doña MaEn seguida el Sr. Presidente, haciendo la débida venia, se aproximó al ría Dolores de Larraza, Doña Benita Unamono y Doña Pascuala Unamono: trono, y levantándose entonces toda la asamblea, se levantó también S. M. F. ¡ todas estas señoras hicieron estos servicios con sus criadas respectivas…</t>
  </si>
  <si>
    <t>Urna, Situado V E</t>
  </si>
  <si>
    <t>Situado V E Urna</t>
  </si>
  <si>
    <t>…edecer á lós estatutos y reglas de la unión sobredicha. In una. voco al Ser Supremo como testigo de este mi solemne empeño, según el cual temores ni esperanzas, recompensas ni castigos, ni aun el amor á la propia • limo, y Excmo. Sr.: Situado V. E. Urna, entre las faerzas del ejército di existencia, serán poderosos á que reVele directa ni indirectamente ninguna cosa mi mando, debo propender á evitar toda efusión de sangre si V. E. Urna, de las que se hacen en esta logia, ni escribir, disponer ó ejecutar algo que no gustase admitir mi inmediación,…</t>
  </si>
  <si>
    <t>Urra</t>
  </si>
  <si>
    <t>…ticias to que tenían una analogía perfecta coa el que se celebraba, y les recordaba i no nos aclararon el número y posición de los enemigos; pero habiéndosenos los iberos las altas empresas y gloriosos hechos de sus ascendientes. Doña Urra incorporado el Excmo. Sr. capitán general, marchamos al dia siguiente sobre ca por ser la primera Reina castellana; Doña1 Berenguela por ser madre de el rio Rayoa, suponiendo allí al enemigo, y habiendo llegado á la barca de aquel Fernando m que la Iglesia colocó en el número de los santos, y la hi…</t>
  </si>
  <si>
    <t>Urraca</t>
  </si>
  <si>
    <t>67&lt;5 Partí • sanitario. Je lamuertedel Emperador D, Alfonso........Las témpestade* póKttc» tto tor. favorables á U literatura, y c| reíhado de Doña Urraca, fue tempestuoso....... PÜtMot. ' SuTfctifeOfk Cnradée. Fallecidos, la inquietud ycl espíritu de revuelca íjtie en tiempo de su dominación habón sucedido á los primeros dias de la literatura^ española, nada favorecían á los progresos del ingenio. Entbdctó .íib 6e biah itaás que canciones satíricas…</t>
  </si>
  <si>
    <t>…n consentimiento de la Nación. pone el delito de su padre. Cúlpese áeste, y no á la Nación, de la resolución ••Posteriormente al tiempo del Emperador Alfonso vi, y por muerte do que recaiga sobre ellos. su hijo D. Sancho, sucedió Doña Urraca, la que fue reconocida en las Cortes «Veamos ahora cuáles son las banderas de nuestra augusta Reina Isadel reino, y ocupó el trono en 1109 en el siglo xti. Se verificó esto también sel 11, de la augusta Hija de Fernando vn y de nuestra excelsa Cristina, sin existir derecho escrito sobre el particul…</t>
  </si>
  <si>
    <t>…ltode U gio atendido esto; pero aun hay mas. El privilegio supone que fue firmado, adc-‘ catedral de Santiago, ni los canónigos de ella tienen necesidad de aumentar sus mas del Rey Ramiro, por otras personas, y entre^ellas por ia Reina Urraca* pingües y exorbitantes rentas, que tienen afianzadas con abundanantes diezmos. su nouger ; y el mismo Mariana Con los demas historiadores dicen que nunca dwíws,catedrales de España no tienen Voto, y ninguna razón puede justifi tuvo por esposa i muger de tal nombre , sino i otra llamada l’atzrna. E…</t>
  </si>
  <si>
    <t>…*&gt;Paso á la injusticia del Voto por su modo de exacción: En ella se co 872 , en que se supone escrito, como especialmente Sé ¿abetfcl mete todo género de violencias y tropelías. El infeliz labrador ve hollada su Sancho. La Reina Doña Urraca se supone en él sér tüugérdél cóftCesor Dbñ casa por un inexorable arrendatario, el cual no siendo satisfecho en el acto, Ramiro , siendo asi que este no tuvo mas muger qde á Doña Paterna. Lo mis toma cualquier preada-y la. vende á vista del mismo y de sus desgraciados hi mo sucede con otros persun…</t>
  </si>
  <si>
    <t>Úrrca, D Mariano</t>
  </si>
  <si>
    <t>D Mariano Úrrca</t>
  </si>
  <si>
    <t>…carceleros qué motu propio ó por coecho ha . cuyo, encuentro les salló la infantería que fue por la altuca de Montínojo, í yan dado libertad .1 ios presos confiados á su custodia; ios que hayan herido - cargo del teniente coronel capitán. D. Mariano Úrrca y cerneóte £&gt;. Femando Vivar. Aturdidos y cargados en la pequeña pradera por la caballería, se preci6 maltratado algún juez ó dependiente do justicia estando en el ejercicio de suspitaron á un profundo barranco inmediato, lo cual fue causa de que no cayedestinos ^ los que hayan hecho resistencia á la…</t>
  </si>
  <si>
    <t>Úrrca, Mariano</t>
  </si>
  <si>
    <t>Mariano Úrrca</t>
  </si>
  <si>
    <t>…s qué motu propio ó por coecho ha . cuyo, encuentro les salló la infantería que fue por la altuca de Montínojo, í yan dado libertad .1 ios presos confiados á su custodia; ios que hayan herido - cargo del teniente coronel capitán. D. Mariano Úrrca y cerneóte £&gt;. Femando Vivar. Aturdidos y cargados en la pequeña pradera por la caballería, se preci6 maltratado algún juez ó dependiente do justicia estando en el ejercicio de suspitaron á un profundo barranco inmediato, lo cual fue causa de que no cayedestinos ^ los que hayan hecho resistencia á la…</t>
  </si>
  <si>
    <t>UrrcizESPAÑA</t>
  </si>
  <si>
    <t>…rosperidad comercial.** {Monitor.') pañía que igualmente tenia del 3.°, y la llamada de guia?. "Observada detenidamente la posición del enemigo, y siendo como las siete 4^* media de la mañana, dispuso el comandante general que eL coronel UrrcizESPAÑA. tieta marchase por nuestra izquierda, y que al llegar al camino de Lag^zpii desplegase algunas guerrillas para rechazar las de las facción situada sobre aquel Madttd 11 de Junio. punto: al mismo tiempo que se adelantase la compañía de cazadores de ban A consecuencia de las noticias que el Gobierno…</t>
  </si>
  <si>
    <t>Urrciztieta</t>
  </si>
  <si>
    <t>…dora, impulsada de la mas que se hallaban detras del arroyo de Vacegaño^ sosteniéndote hasta que torci viva y maternal solicitud por el bienestar de Jos pueblos confiados á su mando das en flanco por su detecha por la columna del coronel Urrciztieta , cedieron ¿tfrffnfe ta menor’bJatf dé su excelsa Hija, se dignó acordar inmediatamente las algún terreno, y tomando entonces parte sus compañías de reserva para, dtfcn-, fifí» ¿nérgtcas medidas y severas precauciones, á fin de evitar la propagación de der algunas casas de campo, hicieron un fuego…</t>
  </si>
  <si>
    <t>Ürrea, D Joscf</t>
  </si>
  <si>
    <t>D Joscf Ürrea</t>
  </si>
  <si>
    <t>…&lt;-fur\llueocia de las calles de la Librerta.y Espartería se colocó por Iqs llas del rio y los monte» , en combinación con laattopa» que mandaba el tcn»enünaividuos deí comerció de paños y iienzov, bphon y sedas un sbberb-o óbeíb- coronel D. Joscf Ürrea, serán monumento» eterno» que honrarán ?1 pa-rjaIco formando una pirámide de fres caras con ’ltí varas de Üllura y -varias figuras tisnio de los urbanos de Alba, j prueba» de que»ábráu cuníplrr cuánto o fíe-, (alegñr-icffS ^ coronando su vértice una esferaen cuya Zona e fe¡a: el tomrrefa á citrón a…</t>
  </si>
  <si>
    <t>Ürrea, Joscf</t>
  </si>
  <si>
    <t>Joscf Ürrea</t>
  </si>
  <si>
    <t>…ueocia de las calles de la Librerta.y Espartería se colocó por Iqs llas del rio y los monte» , en combinación con laattopa» que mandaba el tcn»enünaividuos deí comerció de paños y iienzov, bphon y sedas un sbberb-o óbeíb- coronel D. Joscf Ürrea, serán monumento» eterno» que honrarán ?1 pa-rjaIco formando una pirámide de fres caras con ’ltí varas de Üllura y -varias figuras tisnio de los urbanos de Alba, j prueba» de que»ábráu cuníplrr cuánto o fíe-, (alegñr-icffS ^ coronando su vértice una esferaen cuya Zona e fe¡a: el tomrrefa á citrón a…</t>
  </si>
  <si>
    <t>Urreizlieta</t>
  </si>
  <si>
    <t>…trataban de volver a Gutpuzcoa pnr A/coitia, en cuyo esta do dió orden al brigadier Jáuregui para que pasase á Elgoihar a impedirlo; per Aleirá 6 de Diciembre. este ^efe con las noticias que tenia marcho á Motrico, encargando al coronel Urreizlieta de su división que ocupase los puentes dei Deba desde Ekoihar has Esta fidelísima villa levantó pendones según fuero antiguo el 30 del pasado ta el mar. Que dirigiéndose á'ellos los enemigos , v encontrándolos ocupados, [por su Reina y soberana Doña Isabel ii. Acto tan tierno, á la par que gran- conoc…</t>
  </si>
  <si>
    <t>Urreiztieta</t>
  </si>
  <si>
    <t>…uJ°f;decano del ayuntamiento de dicha ciudad, para.echar ción de Cegama aumentaba 'lo fuerte de su tercera po&amp;icion, detenía la mar tumóídc loa fosdo» de propios, pósito^ y cualesquiera piros municipal#&gt; con cha de la columna del coronel Urreiztieta , fue preciso hacer ynños' adiMrzM objetade atender,ai socorro de la. humanidad dolientpiyafljgida, en el caso de para adelantar 4a prolongación dei flanco hasta situarse sobre la dtéha direé* tcolttane la* sospechas concebidas res pecio *1 estado ,muharjo de aquel pueblo. cion, que fue disputada c…</t>
  </si>
  <si>
    <t>Urrutia, Josef</t>
  </si>
  <si>
    <t>Josef Urrutia</t>
  </si>
  <si>
    <t>…o habia anunciado en el pro ------ En virtud de providencia del señor alcalde de corté D. Antonio Josef Gallado, grama que manifestaría su aprecio y gratitud al maestro de primeras letras que refrendada del escribano de provincia D. Josef Urrutia, se convoca á los acreedores ausentes é ignorados de D. Luis Antonio Smtibdflez, vecino que fue de esta corte, presentase ^íscípuios perfectamente instruidos, con todo, visto el esmero con para que concurran el 19 d«M corriente a las diez de su mañana á la posada de S. S., que D. Miguel Jimene/. y…</t>
  </si>
  <si>
    <t>Urrutia, Mercedes Villa</t>
  </si>
  <si>
    <t>Mercedes Villa Urrutia</t>
  </si>
  <si>
    <t>…ramo de cementerios ha llamado muy particularmente mi atención; j Sres. Ministros de la Real audiencia de Madrid.................................. 3G00 en consecuencia he mandado instruir varios expedientes con el objeto de acti Doña Mercedes Villa Urrutia............................................................ 200 var su construcción: la mayor parte de los pueblos tienen el suyo, y con res D. J G.................................... ................................................................ 76 pecto á aquellos que todavía carecen de él, les voy previniendo que en vez de _ Doña M C. N.. . ...........…</t>
  </si>
  <si>
    <t>Urte, D Josef</t>
  </si>
  <si>
    <t>D Josef Urte</t>
  </si>
  <si>
    <t>…irigir á V. E en el dia de mañana la Lóndres á 90 días * 4 4 id. Santander * d. á 4 p. 100 al «fin. j relación de los premios á que se han hecho acreedores los recomendados por este íB. Bilbao par. Santiago * id. gefe. El llamado capitán D. Josef Urte, natural de esta ciudad, que ha sido uno de los capturados, y que por sus excesos anteriores se había hecho acreedor ANUNCIOS. al odio de estos habitantes, ha sido hoy fusilado» las dos de la tarde para es carmiento y ejemplo de sus secuaces. Dios guarde á V. E. muchos años. Cuar Real decreto de 4…</t>
  </si>
  <si>
    <t>Urte, Josef</t>
  </si>
  <si>
    <t>Josef Urte</t>
  </si>
  <si>
    <t>…V. E en el dia de mañana la Lóndres á 90 días * 4 4 id. Santander * d. á 4 p. 100 al «fin. j relación de los premios á que se han hecho acreedores los recomendados por este íB. Bilbao par. Santiago * id. gefe. El llamado capitán D. Josef Urte, natural de esta ciudad, que ha sido uno de los capturados, y que por sus excesos anteriores se había hecho acreedor ANUNCIOS. al odio de estos habitantes, ha sido hoy fusilado» las dos de la tarde para es carmiento y ejemplo de sus secuaces. Dios guarde á V. E. muchos años. Cuar Real decreto de 4…</t>
  </si>
  <si>
    <t>Urussof</t>
  </si>
  <si>
    <t>…randes talentos, su inflexible integridad, su r^ra cons La Emperatriz de' Rusia llegará aqui el 28 de Setiembre, acompañada de tancia de principios, y por los eminentes servicios prestados á la Inglaterra du sos domas de honor la princesa Urussof, una de las muge res más hermosas de rante el corto período de su extraordinaria administración.” &amp;. PetetsburgoT de la condesa de Módena, hija del difunto conde del mismo El.conde Grey se levantó sumamente conmovido, y esperando á que ce título , emigrado francés y montero mayor, y la princesa Wol…</t>
  </si>
  <si>
    <t>Ustaiz, María Luisa</t>
  </si>
  <si>
    <t>María Luisa Ustaiz</t>
  </si>
  <si>
    <t>…«Soldados, Milicianos urbanos: hoy es el día mas memorable para la na La comunidad de PP. trinitarios calzados....................................... 1200 ción. Al paso que-celebramos los dé nuestra Reina Gobernadora , es el seña Doña María Luisa Ustaiz...................................................................... 320ndo paya la apertura de las Cortes, que deben labrar nuestra felicidad. Fijad F. G., criado de servir......................................................................... ;60, la atención en esa Rbima incomparable , que sobre restablecer nuestras venerati- El Sr. D Julián de Fuentes. . .....…</t>
  </si>
  <si>
    <t>UUoa</t>
  </si>
  <si>
    <t>…tación , en cuyo caso se sometería este punto á la decisión del Esta de que S. A. se viera en necesidad de acudir al Estamento por medro del Go mento. bierno, y.necesitase, no digo dos u tres millones, sino ciento; yo seria el El Sr. UUoa dijo que aunque estaba cerca de la mesa, no babia oido que primero en sacrificar parte ó el todo, sí fuese preciso, de mis bienes para lle esta preguntase si se aprobaba ó no el dictámen de la comisión, que por con nar el cupo; pero si por una parte debemos ser generosos, también debe siguiente no…</t>
  </si>
  <si>
    <t>Uzcudun, Ignacio María</t>
  </si>
  <si>
    <t>Ignacio María Uzcudun</t>
  </si>
  <si>
    <t>…e Zaragoza. Zalamea la Real. U á 23 id.... 30 00 24 Habiendo quedado vacante la plaza de oficial primero de la contaduría Nota. En ei. resto de la provincia no ocurría novedad. de Propios de la provincia de Cuenca por renuncia de D. Ignacio María Uzcudun, se ha dignado S. M. nombrar para ella á D. Pablo Manuel Alvarcz, que es oficial tercero de la contaduría del mismo ramo de Búrgos; y para esta íkax lotería uodekna. resulta á D. Cesáreo Arquellada, escribiente que fue de la de Granada. Noticia de los pueblos y administraciones donde han cabido los…</t>
  </si>
  <si>
    <t>Uzer</t>
  </si>
  <si>
    <t>…det niendo se entregase la plaza, bajo tas garantía* personales y de propiedad coa proyecto. [Se concluirá.) lo demas que me pareció conveniente. Para contestar reunieron los gefes y oficiales de realistas, ayuntamtente y ____El general Uzer, comandante superior de Bona , comunica al ministro de clero; y á Us dos horas vinieron á tratar conmigo el cuartel-maestre de aque 1» Guerra lo* detalles de las fiestas que se han celebrado con motivo del ani llo* y el vicario, manifestándome que estaban esperando órdenes de IX Migaet versario del…</t>
  </si>
  <si>
    <t>…u misen*;: do. Añadieron qqe el enemigo! había armado sus turadas cerca de la tribu de -u '¡- ';»»iHace ya tnucihb riertipoque en Rusia las personas que dirigen cartas por los gayeres, y que se disponür. á pasar afil ia noche. El general Uzer tomó aí -el corteo para lo» países ¿xtrangeros.ticnen que firmar su nombre tn el des instante Sus: disposiciones para salir á acometedle:,380 caballos del tercer regi pacho , en- donde depositan su correspondencia ,y las cartas que llegan de fue- miento de cazadores de Africa/, los spahis disciplin…</t>
  </si>
  <si>
    <t>Uzurjaga, D Juan Antonia</t>
  </si>
  <si>
    <t>D Juan Antonia Uzurjaga</t>
  </si>
  <si>
    <t>…mbres entre la guarnición y* partida^ _ ‘ Ejérciro de operación» del Norte.=ExcmQ, Sr. : Con la mayor satisfac- y 100 Urbanos, hicieron ver á los facciosas lo que vale ta inocencia de Isamoñ traslado fntregp jb| parte dado pot el capitán D. Juan Antonia Uzurjaga, ..&lt; ir apoyada en A valor. El coronel D. Joaquín deUrw««ida ,cl espitan IX* gobernador y comandante militar de Vergara y su distrito, relativo i la defen- Isidoro Iracbeta, otfó D. Sebastian Goü, y d de igual dase avudaate.de pNr » de aquella villa, ejecutada en el día 5 del corriente , que á la l…</t>
  </si>
  <si>
    <t>Uzurjaga, Juan Antonia</t>
  </si>
  <si>
    <t>Juan Antonia Uzurjaga</t>
  </si>
  <si>
    <t>…tre la guarnición y* partida^ _ ‘ Ejérciro de operación» del Norte.=ExcmQ, Sr. : Con la mayor satisfac- y 100 Urbanos, hicieron ver á los facciosas lo que vale ta inocencia de Isamoñ traslado fntregp jb| parte dado pot el capitán D. Juan Antonia Uzurjaga, ..&lt; ir apoyada en A valor. El coronel D. Joaquín deUrw««ida ,cl espitan IX* gobernador y comandante militar de Vergara y su distrito, relativo i la defen- Isidoro Iracbeta, otfó D. Sebastian Goü, y d de igual dase avudaate.de pNr » de aquella villa, ejecutada en el día 5 del corriente , que á la l…</t>
  </si>
  <si>
    <t>V, Alejandro González</t>
  </si>
  <si>
    <t>Alejandro González V</t>
  </si>
  <si>
    <t>…mentar en el país la cria de gallinas, pues todos los años se con presente á S. M. la Reiva Gobernadora. Dios Sec. Ciudad-Rodrigo 24 de sumen 1609 traídas de Francia, y estamos pagando un tributo anua! de 608 Mayo de 1834*=Excmo. Sr.= Alejandro González V»llalobos,=: Excmo. Se duros. ñor Secretario de Estado y del Despacho de la Guerra. Ha remitido en consulta al ministerio el expediente promovidó por los pescadores de la Escala, á fin de que se les conceda la sal al preció de 10 rs. fanega y se les. espere un año para el pago, en lo cual estriba la…</t>
  </si>
  <si>
    <t>V, Antonio Cano Ma Que</t>
  </si>
  <si>
    <t>Antonio Cano Ma Que V</t>
  </si>
  <si>
    <t>…delitos, y al de I8á4-=A D- Francisco Martínez de la Rosa. curso de las actuaciones ju luíales, mientras el presunto rtu está privd'io de su libertad, ha tenido á bien b. M. mandar: Atendiendo á us circunstancias que concurren en D. Antonio Cano Ma 1.° Que V. E. remita a ^ida una de las audiencias del reino dos ejemplares nuel, queriendo da; le una prueba de mi Real aprecio por los distinguidos de los adjuntos modelos impresos que acompaño (R. méritos y servicios que ha contraído eri la carrera de la magistratura, y por su 2.° Que en vista de lo que en cdo…</t>
  </si>
  <si>
    <t>V, Bernardo</t>
  </si>
  <si>
    <t>Bernardo V</t>
  </si>
  <si>
    <t>…os nuevamente inva la , • perjuicio. \ didos. ——Por providencia del Sr. Norzagarsy, ante describan© Secó* dada con motivo del PROVINCIA DB ALMERIA. fallecimiento Intestado de X&gt;. Jusn María de los Heros* soltero* demente* hijo de Don Bernardo V de 3&gt;oña Angela Romana López, ocurrido «nía, villa de MósIoLe* el 4 En oficio de 8 del presente avisa su gobernador civil que mediante á habér de PicIentDre último . se el» fclor parientes y acreedores ¿1©* bienes det mUmo par* de escríbantá dias comparezcan anteÜícho-Sr. nsar.del cltada término á el…</t>
  </si>
  <si>
    <t>V, D Felipe</t>
  </si>
  <si>
    <t>D Felipe V</t>
  </si>
  <si>
    <t>…edándose los metales, mientras dominó la dinas Despacho de Hacienda.” tía austríaca , hasta que entró á reinar la augusta casa de Borbon. Entonces per El Sr. eonle de Toreno subió á la tribuna y dijo: »En vista del desor mitió el Sr. D. Felipe V , por su Real decreto de 17uó, que circulasen lo* den y de la confusión en que se balUba hace tiempo nuestro estado monetario, luises de oro y plata al mismo precio de los doblones y reales de á ocho cas de la escasez siempre creciente de moneda de plata nacional , v de la introduc tellanos. Mas co…</t>
  </si>
  <si>
    <t>V, Dígnese</t>
  </si>
  <si>
    <t>Dígnese V</t>
  </si>
  <si>
    <t>…o. Justo Bar gefe de la brigada de infantería. D. José María Cervera, gcfs del estado ma gueño. Facundo Balairon y Gervasio García, Milicianos d* dicha arma. yor de la división, segundo comandante del cuerpo, graduado de coronel. Don Dígnese V. E. acoger bajo su protección esta manifestación dé hechos tan Francisco Rubio Aceli, primer comandante deí 2.° batallón. D. Rafael Mi- heroicos, ¿ inclinar el Real ánimo de S. M.- a que se sirva recompensar el mé lin, capitán, segundo ayudante de ídem. D. Ramón Eulogio de Arce, teniente. rito de los q…</t>
  </si>
  <si>
    <t>V, Evam</t>
  </si>
  <si>
    <t>Evam V</t>
  </si>
  <si>
    <t>…ado los desfiladeros que se hallan ai Este de Kalairuta. Las (ropas Rea po con, entrará al servicio de B¿lg&gt;ca, y que esta !Umado pira que suceda al les han tenido péididas; y se dice que por una y otra parte ha sido igual ia ani general Evam. V^íudoncourl e&gt; hombre de un mérito d.stmguido, y de una mosidad. Hallaron nuevas dificultades al otro lado de los desfiladeros que se probidad a toda prueba. Napotersn hacia el nuior apiccio de este valiente mi paran el país exterior. litar , conocido por muc u» y expíenles ohus sobre láct ea , y so…</t>
  </si>
  <si>
    <t>V, Felipe</t>
  </si>
  <si>
    <t>Felipe V</t>
  </si>
  <si>
    <t>…dose los metales, mientras dominó la dinas Despacho de Hacienda.” tía austríaca , hasta que entró á reinar la augusta casa de Borbon. Entonces per El Sr. eonle de Toreno subió á la tribuna y dijo: »En vista del desor mitió el Sr. D. Felipe V , por su Real decreto de 17uó, que circulasen lo* den y de la confusión en que se balUba hace tiempo nuestro estado monetario, luises de oro y plata al mismo precio de los doblones y reales de á ocho cas de la escasez siempre creciente de moneda de plata nacional , v de la introduc tellanos. Mas co…</t>
  </si>
  <si>
    <t>V, Gober</t>
  </si>
  <si>
    <t>Gober V</t>
  </si>
  <si>
    <t>…conforme signifiqué á V. E., muy practicable y facilitarla mejor éxito en los de mayor conside en mi comunicación de ayer. ración y bulto. Oigale V. E. que es amigó de los afectuosos á Me ocupo en enviar á disposición de S. M. la Reina Gober V. E. y no me heche V. E. en olvido de mandarme á poder ¡r á nadora los tres coches, tres galeras y un carromato, que quedaron España, acia los puntos que mis fuera preciso, seguro de qué en nuestro poder, con todo el equipage del Pretendiente, su fa obrare como un buen vasallo de Carlos 5.°— El que ama í…</t>
  </si>
  <si>
    <t>V, Gobernadora</t>
  </si>
  <si>
    <t>Gobernadora V</t>
  </si>
  <si>
    <t>…francesa a la librería de júbilo con que se han recibido en aquella capital estos eternos monumentos de' Razóla en Madrid, y en las provincias dondé se hayap. ‘suscrito; continúa abierta la lartabjtfiyía de la excelsa é inmortal Reina Gobernadora. V sdíerípclort■—rLo qae áyo20 pediríars. cada sitonibfueseen róstie-a'yprot.uta.ior26 enen 1Córtespastat' pot cualquier provincia. Se X^-íLeal casa dc misericordia de aquella ciudad celebró en los dias ÍZó y vende á 2 rs. en la* librería de Sajo, donde igualmente se %alla el cuaderno titulado: aJe Ma…</t>
  </si>
  <si>
    <t>V, L Manuel</t>
  </si>
  <si>
    <t>L Manuel V</t>
  </si>
  <si>
    <t>…teban y Manuel, naturales de Haro, murieron el rru, Juan dél Campo, Romualdo Díaz; soldados Jo&gt;e de la forre, Jo¡»cPresprimero de un balazo en el camino real, y el segundo con un balazo se arrojó cuanes y Ventura Ruiz, de Laredo; sargento L° Manuel V clareo, 27 Pedro Ol aí Ébro, del que no se sabía hubiese salido. Los mencionados ladrones han de medo ; cabo l.° Bartolomé Peicira: soldado* Juan González , F«ancisco Barra jado en el campo dos caballos, una lanza y tres fusiles. do v Feliciano Gómez, de Salamanca; Pascual Gaona, trompeta del S.° l…</t>
  </si>
  <si>
    <t>V, Luis Cabreiano</t>
  </si>
  <si>
    <t>Luis Cabreiano V</t>
  </si>
  <si>
    <t>…cónsecuen- , Toro, D. Vicente Navarro, D. Pedro Montenegro D. Santiago Uarraza, D. Acustln cía, « de inferir que en dichos manuscritos ó recopilación de documentos se de los Arcos, D. «francisco Cosío y, p. Mariano Azcue; los de D. Luis Cabreiano V podrá» hallar cuanto se desea. { ' . D. Amonio Parra . ayudas de oratorio 1 y los de D. Luis Branchi y D. Juan Narédo. ■ ,JEI exámen jnas prolijo quedebehacersé de dichos papeles, manifestará furrieres* se presentaran 4 D.- Juan Manuel Duro, que vive en esta corte calle de To ledo, mrm. 84 cuarta p…</t>
  </si>
  <si>
    <t>V, Nicolás María Garelly</t>
  </si>
  <si>
    <t>Nicolás María Garelly V</t>
  </si>
  <si>
    <t>…nicareis á quien corres- , con la apariencia de enfermedades que nunca padecieron ocultan ponda-=Está rubricado de la Real mano.=En Aranjuez á 19 de con sagacidad su vergonzosa desidia; ha tenido a bien S. M. auto Abril de 1834—A D. Nicolás María Garelly. V» rizar á V. E. para que en lo sucesivo determine sobre las solicitu des de admisión en la Real casa de beneficencia de esta corte, oyen He venido, á nombre de mi augusta Hija la Reina Doña do al director del mismo establecimiento, con lo cual se excusará Isabel ii, en nombrar á D. Agustin Perales y…</t>
  </si>
  <si>
    <t>V, Pantaleoa</t>
  </si>
  <si>
    <t>Pantaleoa V</t>
  </si>
  <si>
    <t>…o seguía la causa nacional el año de 1820. Para S. M. la Rj&amp;ina Gobernadora .se ha servido nombrar alcaldes mayores in quitar todo motivo de sospecha á la defensa que vamos á hacer, declaramos terinos para el partido de Alcaráz á D. Pantaleoa V itini, que lo es de Carbaadoptamos con íntima convicción los principios que se defendían en aque- jales; para el dePeñafiel á D. Alejandro Cipdevila; para el de la Coruña a Don época; que los seguimos con entusiasmo; que fuimos envueltos entre sus Fernando Miranda; para el de Don Benito a D. Pedro…</t>
  </si>
  <si>
    <t>V, Sírvase</t>
  </si>
  <si>
    <t>Sírvase V</t>
  </si>
  <si>
    <t>…uvas fuerzas se ice han reunido los individuos de la columna situada en Sos, y maáiaru opero da; al Lisboa 16 de Enero. cance en Verdun ó sus inmcdiaJooés al pómez batallón v la caRderia, que Ejército de operaciones^Umo. y Excmo. Sr.: Sírvase V. E. elevar al co según las últimas noticias pernoctan cn dicha villa, Saliendo al intento á ias nocimiento de S. M- I. que sus órdenes quedan cumplidas, y Lciria está en doce v medía de esta noche para caer sobre ellos al amanecer. nuestro poder. De una guarnición que se componía de 1470 infantes y 47…</t>
  </si>
  <si>
    <t>V.i.pncia</t>
  </si>
  <si>
    <t>…que R gloria adquLnda en esta clase de empresas era Amsterdam , 00. Paria 75-19 á 16. Cádiz í b. Sevilla par. en último resultad-') sumamente útil ai ejercito que contaba nujor número de Bayona , 00. Auvauiea ^urro pía- C.iruñd ^ d. V.i.pncia :d. . 00. Burdeos ro p.*r. Grullada id. Zaragoza i i- hombres capaces de arrostrarlas , por el animo que daban a los suvos, y por el H d mb;,rgo , 00. Barcelona á pesos ts. Maidga par. de Deitueuto temor que infundían en los contrarios. nombres de Gonzalo de Córdoba, Londres a yo días i b. Suatandv…</t>
  </si>
  <si>
    <t>Va, Geru.mmo</t>
  </si>
  <si>
    <t>Geru.mmo Va</t>
  </si>
  <si>
    <t>…. la Rlisa y de su augíistj Madre con c»ta leyenda en letras de Excmo Sr.: Ei virey de este reno y ¿enera! en Lrere de! ejército de opera oro: A./IsAfiEL is, Reika de Esparta. Hita hermosa fachada , en la que ha- ciones del Norte D. Geru.mmo Va! le/, desde su c./tel ¿eneraI de !a ASji.tbit un gran número de luces, bombas y vasos de colores, formaba un sorpren rei alta con fe;ha del á, me d¡*e lo que s.ijue: Ejercito, de operaciones Jet dente espectáculo, y recomendaba el patriotismo de O. Josef María Marcha— Norte líe top iiij._ij.Hxk.mn.…</t>
  </si>
  <si>
    <t>Va, José Mariano</t>
  </si>
  <si>
    <t>José Mariano Va</t>
  </si>
  <si>
    <t>…istema se había seguido. Despacho con los Sres. generales, gefes y oficiales de la Guardia Real de in La Cámara manda que este informe y el proyecto de ley que lo acompaña fantería existentes en esta capital, y el citado director D. José Mariano Va se impriman y distribuyan para discutirlos inmediatamente después del proyec llejo , rodeado de varios profesores, que producidos ya por las escuelas norma- j to de ley sobre aprobación deles gastos extraordinarios hechos en el año de 1833. les van a derramar por las provincias de esta monarquía lo…</t>
  </si>
  <si>
    <t>Va, Josef Musso y</t>
  </si>
  <si>
    <t>Josef Musso y Va</t>
  </si>
  <si>
    <t>…cas y llovedizas de sus calles y edificios, se hace notorio al publico de este PROVINCIA DE MURCIA. cia&amp;d, de los pueblos de su provincia y de los de las vecinas, para que toda ; Segundo artículo. Él subdelegado de esta provincia D. Josef Musso y Va persona que quiera hacer á ella postura pueda presentar sus proposiciones en liente dice en su parte de Enero, artículo de agricultura, que ha pedido in esta subdelegacion principal, ea el término de 24. dias, contados desde la publi forme sobre el importante canal de Huesear proyectado siglos hace…</t>
  </si>
  <si>
    <t>Va, Juan Guaiberto González</t>
  </si>
  <si>
    <t>Juan Guaiberto González Va</t>
  </si>
  <si>
    <t>…Josef Vázquez Franco, decano. = Francisco Fernandez Dic;e:nbre de l833.=:Excmo. Sr.—Dionisio, obispo de Gerona.= Excmo. Se López, notaóo.=Joaquin Montc-&gt;oro.=:Ki:scbin Manuej de £enavides.=Joaquw ñor Ministro de Gracia y Justicia D. Juan Guaiberto González. Va/quez.= Anselmo V iilanueva.re Mariano Martine/.= M iríano Ruíz de Molina.=Pedro Martiaez.=cManano García Bermejo , secretario. Excmo. Sr.: Con el debido aprecio y gratitud he recibido el juego de me dallas acuñadas con motivo de la proclamación de la Reina nuestra Señora Señora : La junta de comuni…</t>
  </si>
  <si>
    <t>Va, Manuel Fernandez</t>
  </si>
  <si>
    <t>Manuel Fernandez Va</t>
  </si>
  <si>
    <t>…as. __— Según los últimos avisos recibidos de Alepo, los árabes que se habían re REAL DECRETO. belado en aquella provincia, se habían ya sometido á la obediencia de Ibrahimbaji. Atendiendo á la ilustración y celo que distinguen á D. Manuel Fernandez Va reía, del Consejo de Estado, y comisario general de la ____ En la Gaceta que se publica en esta capital se inserta entre otras cosas lo santa Cruzada; al duque deGor; á D. José Escario y á I).,i’uliio .Mon siguiente: Las Potencias arrugas del imperio Otomano har tenido siempre mi tesino»; lie \cnid…</t>
  </si>
  <si>
    <t>Va, Nicolás María Garelly Francfort de Julio</t>
  </si>
  <si>
    <t>Nicolás María Garelly Francfort de Julio Va</t>
  </si>
  <si>
    <t>…(Gr. de Augi burgo.) gar que le corresponda según la antigüedad de sus primeros títulos. Xendréislo enteridido, y lo comunicareis á quien‘correspondan Está ALEMANIA. rubricado de la Real mano. =En Riofrio á 3 de Agosto de 1834.=A D. Nicolás María Garelly. Francfort 1$ de Julio• Va estamos próximos ¿ la ¿poca tan deseada. Dentro de algunos es tará de vuelta en esta ciudad M. de Munch'Beilioghausen, presidente de la Habiendo tenido á bien S. M. la Reina Gobernadora, después alta Dieta. Los que especulan en noticias han hecho correr voces fundadas ó in de pido el dictamen del C…</t>
  </si>
  <si>
    <t>Vadiilo</t>
  </si>
  <si>
    <t>…a co misión; pero no hay lugar donde lo diga. IIT AKZNTO DE PROCURADORES* ^ i «Manifestaré un hecho para probar que la comisión no ha guardado con Sesión del día 7 de Octubre, secuencia. Cuando se trató de aprobar los poderes del Sr. Vadiilo, se manifes tó que no tenia sus fondos en España,y la misma comisión propuso se le con Se abrió á las once, y lcida el acta de la anterior quedó aprobada, man* cediese término-para trasladarlos.* es, pues, claro que los bienes comprados con dándose insertar en ella los votos contrarios á la resoluc…</t>
  </si>
  <si>
    <t>…dudas respectivas. tar su voto en contrario, en el mismo caso se considera la comisión. Esta ha «Habiendo declarado el Estamento en dos ó tres casos que los requisitos manifestado las razones de diferencia que tenia respecto del Sr. Vadiilo, para que previene el Estatuto Real basta tenerlos antes de. jurar, no sé cómo la considerarle como un propietario.” comisión ni ningún Sr. Procurador pueda sostener lo contrario, y hacer cargo El Sr. Lasanta-. «No he tocado las razones que tuvo presentes la Co al Estamento por haber interpretado a…</t>
  </si>
  <si>
    <t>Vadillo</t>
  </si>
  <si>
    <t>…el primero en bia nombrado para decano de la misma al Sr, marques de Someruelos, y pa defender el dictámen; pero si no está prohibido debe concederse tiempo al ra secretario al Sr. marques de Falces. El Estamento quedó enterado. Sr. Vadillo para justificar su actitud legal. No es una razón contra esto el que La comisión de lo interior puso en noticia del mismo haber nombrado tenga sus fondos en pais extrangero; pues la causa por que los tiene todo el para su decano al Sr. Acevedo, y para su secretario al Sr. Calderón de la mundo la sa…</t>
  </si>
  <si>
    <t>…r Medrano; «Ya he tenido el honor.de manifestar al Estamento en Asi me parece que el medio mas prudente que pudiera adoptarse seria am Otra* sesión qué le comisiónhabiá tenido que adoptar por base, siempre que pliar el término ai Sr. Vadillo sin admitirle la renuncia. Se há dicho, por al un Sr. Procurador electo manifestaba que tenia la rentaípecesaria para serlo, gunos Sres. preopinantes qué el que tiene sus intereses fuera de España no esté pero que no'le habla sido posible reunir los documentos que lo .acreditasen ligado con la Naci…</t>
  </si>
  <si>
    <t>Vafiejo</t>
  </si>
  <si>
    <t>…y también la tn- pofos, ni dé yioleñcia; y abundando en estas ideas., no,oto opondré í que se •clust quO eatá iostenrda de lot prodoctot del Voto. haga lo que propone el Gobierno; pero sí á que la comisión higa la menor El Excmo. Sr. Vafiejo contestó q«ie no había razón justa para que se variación que tienda ! indicar al Gobierno el modo dé proceder i e*a* indcinobligase í las provincia»' cargadas cotral Voto de Santiago ! que entregasen sA aizacibñtt que se reclaman , pues esto debe dejarse i ni voluntadno-dtbien-</t>
  </si>
  <si>
    <t>VaGobernadora, Pedro González</t>
  </si>
  <si>
    <t>Pedro González VaGobernadora</t>
  </si>
  <si>
    <t>…CIO. po de Astorga D. Félix Amat; al R. obispo de Huesca D. Lorenzo Ramo de San Blas; al R. obispo que fue de Cartagena D. Antonio La Reina nuestra Señora Doña Isabel ir, y S. M. la Reina Posadas; al R. obispo que fue de Mallorca D. Pedro González VaGobernadora , siguen en el Real sitio de Aranjuez sin novedad llejo; al R. obispo electo de Almería D. Vicente Ramos y García; al R. obispo electo de Teruel D. Mariano Liñan: y para la clase de en su iinporlanLe salud. seglares á D. Ignacio Pezuela , del Consejo Real en la sección de Es— i Del mismo beneficio…</t>
  </si>
  <si>
    <t>Vahillo, D Jo-é Vicente</t>
  </si>
  <si>
    <t>D Jo-é Vicente Vahillo</t>
  </si>
  <si>
    <t>…mencionada. la vergüenza y la ignominia. La comisión de Poderes dió cuenta de haber examinado los presentados Tales son, Señora, los principios .conservadores que los Procuradores dd con los documentos de su aptitud legal por el Sr. D. Jo-é Vicente Vahillo, reino elevan á la consideración de V. AL , convencida de su conveniencia, electo Procurador por la provincia de Gndád Real, en reemplazo del Sr. Me y de que V. AL los ha adoptado obedeciendo á las inspiraezonm de sn coraron, diano , y de que hallándolos conformes, era de parecer que debían aprobar…</t>
  </si>
  <si>
    <t>Vahillo, Jo-é Vicente</t>
  </si>
  <si>
    <t>Jo-é Vicente Vahillo</t>
  </si>
  <si>
    <t>…cionada. la vergüenza y la ignominia. La comisión de Poderes dió cuenta de haber examinado los presentados Tales son, Señora, los principios .conservadores que los Procuradores dd con los documentos de su aptitud legal por el Sr. D. Jo-é Vicente Vahillo, reino elevan á la consideración de V. AL , convencida de su conveniencia, electo Procurador por la provincia de Gndád Real, en reemplazo del Sr. Me y de que V. AL los ha adoptado obedeciendo á las inspiraezonm de sn coraron, diano , y de que hallándolos conformes, era de parecer que debían aprobar…</t>
  </si>
  <si>
    <t>Vaictte</t>
  </si>
  <si>
    <t>…iman y distribuyan. • E. parte mas virvun*tar»aiado de dicna acción es ei siguiente: Se da cuenta dei dictamen de la comisión que ha examinado los poderes Comandancia general de las provincias Vascongadas.c=Excmo. Sr.: Por el del Sr. Vaictte, diputado electo por el deparumiento de Lozerc. La comisión coro: ¿1 D. CjTi^s Tolrá, y desde u Guardia con fecha 12 de Muzo, se me Opina que se debe anular la elección; pero la Camara , en vista de las razones d-e lo que si¿ue Excmo. ór. ■ C^mpóendo con lo que ofrec; a \ . E. en mi : que expone el…</t>
  </si>
  <si>
    <t>Vaiiela, Domingo</t>
  </si>
  <si>
    <t>Domingo Vaiiela</t>
  </si>
  <si>
    <t>…ías se presen lütisiao Infanzón y la cooperación activa del subdelegado de policía de esta ten por si ó por medio de procuradur ante el referido ^uez á deducir el derecho de villa» .se ha conseguido la prisión del es-¿u.btenicnte D. Domingo Vaiiela» ue se crea» asistidos, como feofdores y eodos^ntes que respect ivamente han sido que se hallaba alistando algunos mozos para formar úna facción. La captura de 3Instanciaé cuatro delvalespriorReales,del eonveocoen el pleitode quex. Juansobrederectafna.*iouDios 4f- estadecprtelos mismos; ap«rcibido*…</t>
  </si>
  <si>
    <t>Vailejo</t>
  </si>
  <si>
    <t>…de beneficencia', ó se erigen nuevas es brosio de Eguía é 1 jigo yen. (Idi) - cuelas de. instrucción primaria, multiplicando con prontitud asom ------- mandando que el ramo de policía en las provincias Vascon brosa el método del Sr. Vailejo; y en fin, en todas partes hay un gadas y Navarra se ponga exclusivamente- á cargo de los comisa movimiento progresivo de la autoridad protectora, comunicado á rios regios. (Id.) los ánimos de los subditos, hacia la prosperidad pública. Y ¡á quién —— dirigida á las diputaciones generales de Alava,…</t>
  </si>
  <si>
    <t>…as actuales poseedores mas término que el de un año para hacer el reintegro, y acla s fincas, conjo ya he manifestado, han bajado mucho de precio.” rando sr este pago se había de hacer de los bienes vinculados ó de los libres. El Sr. Vailejo expuso que la ley no trataba de los réditos de la finca, si Preguntado si el punto estaba suficientemente discutido en su totalidad, y no del rédito del precio que costó af comprador; y que siendo el 3 por^100 si había lugar á proceder al examen de las disposiciones particulares, se suscitó el ínte…</t>
  </si>
  <si>
    <t>Val, Gerónimo</t>
  </si>
  <si>
    <t>Gerónimo Val</t>
  </si>
  <si>
    <t>…dos de la tarde para es carmiento y ejemplo de sus secuaces. Dios guarde á V. E. muchos años. Cuar Real decreto de 4 de Enero de 1834 sobre impresión, publicación y circulación] tel general de Vitoria 7 de Enero de 1834-= Exento. Sr. == Gerónimo Val- de libros. Véndese á a rs. en el despacho de la imprenta Real. .des.=Excmo. Sr. secretario de Estado y del Despacho de la Guerra. El comandante general de la provincia de Burgos con fecha de 7 del ac Los suscriptores al Diario general de ciencia* médicas pasarán 4 la -librería de Ra- | sola á recoger…</t>
  </si>
  <si>
    <t>Val, Víctor</t>
  </si>
  <si>
    <t>Víctor Val</t>
  </si>
  <si>
    <t>…solo en las comedias de Lope los.defectos que critica; eran generalestoó* Se aseguraba la entrada en Chaya de las tropas. de D. Pedro, al mando de los dramáticos de su siglo. Para encontrarlos, bastábale á Cervantes leer sus.pro D. Víctor Val ver de; el cual' qbéda ílli de gobernador, reuniéndose mucha pias comedias. Si estaba instruido en las reglas del arte, y las despreció cuando gente de militares y paisanos. componía, hizo, lo mismo que Lope, que encerraba las preceptos cm ni: Las guerrillas de X&gt;oña María de la Gloria aprehendiero…</t>
  </si>
  <si>
    <t>Valcarcel, Ginés</t>
  </si>
  <si>
    <t>Ginés Valcarcel</t>
  </si>
  <si>
    <t>…s conforme fue establecido y- faría su deseo con solo preguntar á sus ilustres amigos. A la verdad observado de tiefnpo inmemorial; teniendo igualmente presente M. Delud re n'is ha dicho que el partido republicano se ha.aumen qqe D. Ginés Valcarcel, vecino de la villa de llellin, no ha acre tado v constituido: M. Patés ha explicado ditu-ámente los desór ditado haber obtenido previamente el permiso del gobierno, que denes que de diez y ocho meses á esta parte han tu iba do la tran está prevenido en el artículo 4-° del Real decreto de 3 1 de Ag…</t>
  </si>
  <si>
    <t>Valdcrnuru, LX Antonio</t>
  </si>
  <si>
    <t>LX Antonio Valdcrnuru</t>
  </si>
  <si>
    <t>…IX Rafael Requejo, el brigada del propio cuerpo Don Rúei^o a V. K. se sirva hacer presente á S M. Irte buenos servicios, acti Francisco León y los sargentos del mismo IX Jn*e Franco, Jo*e Martínez, I Do vidad v zelo del teniente coronel LX Antonio Valdcrnuru, no solo en esta ccamingo Calvera, y los de igual clase de la guardia de infantería D. José Barru- sicra , sino en todo el largo tiempo que hice se le destinó á U persecución d*^ Tia y Tdmas Sierra, cómo también el subteniente de tiradores de Isa ato. ir, malhechores en esta provincia. Dios &amp;c G’fd…</t>
  </si>
  <si>
    <t>Valdenebro, José</t>
  </si>
  <si>
    <t>José Valdenebro</t>
  </si>
  <si>
    <t>…ecreto formaodn la dotación de la Real audiencia de Albacete, Inserto en la Gaceta núm. 57, léase al fin de la segunda la Cenia , que también fue cogido, será fusilado en el pueblo de su columna D. José J'aiderrabano, en lugar de D. José Valdenebro. naturaleza. En otro, formando también la dotación de la de Granada, inserto en la Gaceta núm 58 , «1 fin, igualmente de la segunda columna, léase El capitán general de Galicia en 16 de Abril, y con referen en la clase de alcaldes del crimeu, D. José Manuel sirizaga, en lug.r cia á los paites que ha…</t>
  </si>
  <si>
    <t>Valderobles, D José BarberL Dios Sec</t>
  </si>
  <si>
    <t>D José BarberL Dios Sec Valderobles</t>
  </si>
  <si>
    <t>…do lo que elevo al superior cono El capitán general de Aragón con fecha de 5 del actual dice á este mi cimiento de V. E., por si tiene á bien recomendarlos á la demencia de S. M-, nisterio lo siguiente: como asimismo la viuda del capitán D. José BarberL Dios Sec. Valderobles . wHxcmo. Sr.: Los planes que con respecto á Beceite habían formado los l.° de Octubre de 1834, á las cuatro de la tarde—Exemo. Sr.=Ramon B-ebo- £tcck*o&amp;, han-quedado completamente burlados por el heroico valor de la llo.z=Excmo. Sr. espitan general del ejército y reino de ,Atagon.=: Es copiacr: tr…</t>
  </si>
  <si>
    <t>Valderobles, José BarberL Dios Sec</t>
  </si>
  <si>
    <t>José BarberL Dios Sec Valderobles</t>
  </si>
  <si>
    <t>…e elevo al superior cono El capitán general de Aragón con fecha de 5 del actual dice á este mi cimiento de V. E., por si tiene á bien recomendarlos á la demencia de S. M-, nisterio lo siguiente: como asimismo la viuda del capitán D. José BarberL Dios Sec. Valderobles . wHxcmo. Sr.: Los planes que con respecto á Beceite habían formado los l.° de Octubre de 1834, á las cuatro de la tarde—Exemo. Sr.=Ramon B-ebo- £tcck*o&amp;, han-quedado completamente burlados por el heroico valor de la llo.z=Excmo. Sr. espitan general del ejército y reino de ,Atagon.=: Es copiacr: tr…</t>
  </si>
  <si>
    <t>Valderrama, Antonio</t>
  </si>
  <si>
    <t>Antonio Valderrama</t>
  </si>
  <si>
    <t>…. la inclusa de la capital: ha mandado que no se pague ningún derecho por el Ha sido digna de todo elogio la inimitable eficacia y zelo del comandante entierro y bautismo de .los expósitos;-y que después de concknda la lactancia, D. Antonio Valderrama y del teniente D. Joaquín Alvarez Aguado, de que se entreguen á sus nodrizas para que los eduquen por un moderado estipendio, ya tiene hecho referencia en sus anteriores partes: no menos recomendable ha y con la obligación de presentarlos cuando sea conveniente, Sido el comportamiento del cabo l.° del pr…</t>
  </si>
  <si>
    <t>Valderrama, Santiago</t>
  </si>
  <si>
    <t>Santiago Valderrama</t>
  </si>
  <si>
    <t>…pero viéndose atacado muy de cerca 4 la falda pueblo que tan prontos estuvieron 4 prestarme los susodichos socorros en cuan de dicha altura, hizo alto, y haciendo frente al enemigo, le hizo una descarga to se presentó mi ayudante D. Santiago Valderrama, el que desde el momen { quema ropa, que lov obligó á retroceder; y aprovechando Vargas tan feliz to que me vió en Burgos se me presentó solicitando ser destinado. 4 mis inme momento, acabó de tomar posición, y se preparó para hacer la mayor resis diatas órdenes, como lo estuvo en otra época hacien…</t>
  </si>
  <si>
    <t>…e que el segundo batallón de Gerona, al mando del parte, y se hallaba en gran apuro por falta efe subsistencias, habieñdtnor-— coronel D. Julián Olivares, marchase á apoyar los movimientos del Princi prendido su ayudante de campo D. Santiago Valderrama 10 cargas de víveres pe, y que el segundó-de Almansa ocupase unas alturas importantes á la dere y á los facciosos que los conducían. El brigadier Peón, encargado del mando cha de Plencia, quedando el primero d? reten en este pueblo con las armas de las diferentes columnas que cruzan los pinares en…</t>
  </si>
  <si>
    <t>Valdés</t>
  </si>
  <si>
    <t>…os enemigos se confirma por parte del gobernador militar de Vitoria del 30 de Diciembre último. Las ventajas obtenidas en Vizcaya por la rapidez y acertados movimientos del ejército de operaciones del norte de España al mando del general Valdés, han producido la disper sión de las fuerzas de Zavala y Latorre, cuyos restos fueron batidos por el coronel Amor," según aparece del siguiente parte de este gefe al expresado general. «Ejército de operaciones.^Columna volante.— Excmo. Sr..- Dije á V. E. en mi parte anterior que seguiría la marcha…</t>
  </si>
  <si>
    <t>…as contraria al mismo fin que el Señor rió abundantemente la sangre española : pues á pesar de ser los hechos públicos, Procurador se ha propuesto. notorios, á pesar dé las Córtes y de existir la libertad de imprenta, cuyo in «El general Valdés tuvo que abrazar un medio opuesto á las leyes, y el flujo se cree tan poderoso, ninguno de los dos procesos llegó á terminarse. Gobierno ha tenido que aprobarlo; porque una tristísima necesidad le ba obli Hago mérito de e&gt;to únicamente para demostrar cuán debilitado se hallaba en gado á hacerlo Se…</t>
  </si>
  <si>
    <t>Valdés'</t>
  </si>
  <si>
    <t>…de Quesada , marques de MonESPAÑA. cavo , que a U sazón se haló en Logroño, y confiar interinamente la capitanía] Sta. Cruz Je Santiago Je Tenerife (RUs Canarias) 31 de Diciembre de 1833. general de Castilla la Yieji al referido general Valdés', á fin de proporcionarle a el restablecimiento de su salud , v en prueba de lo satisfecha que S. M. se hailal El levantamiento de pendones en esta M. L. N. é invicta villa, puerto y de sus servicios distinguidos, su inldrigable zeio y leal comportamiento en los] plaza de Sta. Cruz de Santiago de Te…</t>
  </si>
  <si>
    <t>Valdés, Cayetano</t>
  </si>
  <si>
    <t>Cayetano Valdés</t>
  </si>
  <si>
    <t>…dignado conferir la ca para ministros togados á D. Joaquín Sistemes , D. Juan José De pitanía general del departamento de Cádiz al teniente general de licado y Diaz y D. Juan de la Dehesa: para fiscal militar á Don la Real armada D. Cayetano Valdés, en consideración á su leal José María Cienfuegos: para fiscal togado á D. Eugenio Larrum- tad , dilatados servicios, conocimientos, bizarría acreditada y da bide, y para secretario á D. Juan La fuente , debiendo tomar dichos mas señaladas circunstancias con que se ha distinguido siempre ea ministr…</t>
  </si>
  <si>
    <t>Valdes, Cayetano</t>
  </si>
  <si>
    <t>Cayetano Valdes</t>
  </si>
  <si>
    <t>…asistir al Estamento en tarM cue *c remitido por el Excmo. Sr. Presidente del Conseja de Ministros, ccn el que reside en el pueblo en que este ce'tbra sus sesiones. Pero es muy distu-t-» el so dirige uns exposición del Excmo. Sr. D. Cayetano Valdes, en que expresa meter 2 los Sres. Proceres á una f rmalrdad de orden y dependen, i a del cuer que por Reai iSrden no puede apararse del destino de espiran general de] de po á que pertenecen, que el privarles de un derecho adquiridoce hecho, por partamento de Cádiz; y que deseando hacer pública su a…</t>
  </si>
  <si>
    <t>…Hevia Noriega, presidente del tribunal supremo de España é Indias; marques de S. Felices; conde de Pinofiel, presidente del tribunal La Reixa nuestra Señora Doña Isabel ii, y S. M. la Reuta supremo de Hacienda; conde de Sta. Ana; D. Cayetano Valdés, te Gobernadora , siguen en Carabanohel sin novedad én su im niente general de laReal armada, y capitán general del departamen to de Cídiz; marques del Cerro de la Cabeza; D. Manuel de la Boporta nlé salud. dega, decano de la sección de Indias del Consejo Real; D. Martin Fer Del mismo beneficio dis…</t>
  </si>
  <si>
    <t>Valdes, D Cayetano</t>
  </si>
  <si>
    <t>D Cayetano Valdes</t>
  </si>
  <si>
    <t>…de asistir al Estamento en tarM cue *c remitido por el Excmo. Sr. Presidente del Conseja de Ministros, ccn el que reside en el pueblo en que este ce'tbra sus sesiones. Pero es muy distu-t-» el so dirige uns exposición del Excmo. Sr. D. Cayetano Valdes, en que expresa meter 2 los Sres. Proceres á una f rmalrdad de orden y dependen, i a del cuer que por Reai iSrden no puede apararse del destino de espiran general de] de po á que pertenecen, que el privarles de un derecho adquiridoce hecho, por partamento de Cádiz; y que deseando hacer pública su a…</t>
  </si>
  <si>
    <t>Valdés, D Gerónimo</t>
  </si>
  <si>
    <t>D Gerónimo Valdés</t>
  </si>
  <si>
    <t>…on raciocinios sino con hechos, que el general respetado por todos los partidos, que es el mejor testimonio de sus servi principio tal cual está expresado en el artículo, no puede ponerse en ejecu cios y merecimientos, cual es el Sr. D. Gerónimo Valdés, el cual acaba de to ción y porque los jueces se hallarían en una posición muy crítica y embarazosa. mar en Valencia una providencia severa , que es la prueba mas fuerte que se Yo recordaré que cabalmente en todas esas épocas se notó desmayo y flaqueza puede citar en contra de la misma opinión que…</t>
  </si>
  <si>
    <t>Valdes, D Gerónimo</t>
  </si>
  <si>
    <t>D Gerónimo Valdes</t>
  </si>
  <si>
    <t>…zación, que cualquiera que sea el-molió que se adopte se designe terminamfnte por uo ar sentador,Ttíesé admitido definitivamente i la dignidad „ —.. tículo ,'cuya ejecución sea' obligatoria. Sé díÓ chenta de un oficio del Éxchaó. Sr. D. Gerónimo Valdes, en el «Este requisito.lo considero indispensable para complemento de la medí-, que manifestaba adherirse al voto unánime del Estamento en la decisión del da legislativa qué se presenta, y para que jamas quede al arbitrio de nadie el expedienté del Infante Úi Carlos María Isidro de Borbon: i que se…</t>
  </si>
  <si>
    <t>Váldés, D-.Cayetano</t>
  </si>
  <si>
    <t>D-.Cayetano Váldés</t>
  </si>
  <si>
    <t>…dis:u&gt;ion , expresando al mismo tiempo que' de PrÓcer , por haberse agravado sus males- eovez de disminuirse. Ioí Sres. Proceres que estuviesen imposibilitados para asistir á la sesión, lo de Se dió,cuenta de un oficio del Excmo. Sr. D-.Cayetano Váldés, en que berán manifestar por escrito, y a&gt;t se acordó. acusa «l recibo de la circular de 9 del actuAl; y expresa que viendo por ios _ Eh Excmo. Sr. marques de las Amarillas pid'ó que te leyesen los docu papeles públicos hallarse comprendido enlajipta que elGobierno ha presen mentos rerr.it dos por…</t>
  </si>
  <si>
    <t>Valdés, Gerómmo</t>
  </si>
  <si>
    <t>Gerómmo Valdés</t>
  </si>
  <si>
    <t>…fuga, quedan nes convenientes para operar sobre Vizcaya. . , Dios guarde á V. E. muchos años. Cuartel general de Vitoria 13 de he-do aislados y vagando por las montañas toda la noche diferentes grupos que ¿ brero de 1834-=Excmo. Sr.=Gerómmo Valdés.=:Excmo. Sr. Secretario defavor de ella y del conocimiento del terreno, pudieron írseles reuniendo al dia siguiente. No puedo decir positivamente á V. E- su perdida, solo si que en el Estado y del Despacho de la Guerra. campo se encontraron seis cadáveres, y según noticias de los pueblos por don de…</t>
  </si>
  <si>
    <t>Valdés, Gerónimo</t>
  </si>
  <si>
    <t>Gerónimo Valdés</t>
  </si>
  <si>
    <t>Niím. ¿6. Lunes 7 de Abril de 183 i. GACETA DE MADRID. ARTICULO DE OFICIO. neral del reino de Valencia al teniente general de loa Reales ejércitos D. Gerónimo Valdés. , La Reina nuestra Señora Doña Isabel ir, y S. M. la Reina MINISTERIO DE HACIENDA DE ESPAÑA. Gobernadora, siguen en el Real sitio de Aranjuez sin novedad en su- importante salud. Real orden. Excmo. Sr.: He dado cuenta á S. M. la Reina Gobernadora Del mismo beneficio disfrutan SS. A A. RR. los Sermó…</t>
  </si>
  <si>
    <t>…aciocinios sino con hechos, que el general respetado por todos los partidos, que es el mejor testimonio de sus servi principio tal cual está expresado en el artículo, no puede ponerse en ejecu cios y merecimientos, cual es el Sr. D. Gerónimo Valdés, el cual acaba de to ción y porque los jueces se hallarían en una posición muy crítica y embarazosa. mar en Valencia una providencia severa , que es la prueba mas fuerte que se Yo recordaré que cabalmente en todas esas épocas se notó desmayo y flaqueza puede citar en contra de la misma opinión que…</t>
  </si>
  <si>
    <t>Valdes, Gerónimo</t>
  </si>
  <si>
    <t>Gerónimo Valdes</t>
  </si>
  <si>
    <t>…arque* de Sía. Cruz y S. Esteban, id; conde de Sistogd, id.; conde va ; conde de Cartagena; conde de F.zpelcta; D. Manuel Llauder; conde de de ”1 abjada, id.; crzjde de Teba, ivi.; obispo de Vailadolid, ausente; cónde Montenegro; D. Gerónimo Valdes; D. Luís Balanzat; prímópe de Anglona; del Venadito, presente; duque de Veraguas, id.; D. Gaspar -Vigoáet, ídem; conde Armildez de Toledo; D. Miguel Tacón; D. Manuel Freiré; D. Caye marque» de VüUfucrtcs, id.; y duque de Zar.i¿o^a. tano Valdés; marques del Cerro; conde de Villanueva , y D. Jacobo M…</t>
  </si>
  <si>
    <t>…de Cuba; conde de Ezpeleta, te tos, del Consejo de Gobierno, y Presidente del Consejo Real de Es niente general de los Reales ejércitos, capitán general de Aragón; paña é Indias; D. Pedro José Fonte, arzobispo de Méjico, del Gan- D. Gerónimo Valdés, teniente generaLde los Reales ejércitos, capi sejo de Gobierno; marques de las Amarillas, teniente general de los tán general de Valencia; D. José Martínez de S. Martin, maris Reales ejércitos, del Consejo de Gobierno; D. José Ramón Rodil, cal de campo de los Reales ejércitos, capitán general de C…</t>
  </si>
  <si>
    <t>…ón, que cualquiera que sea el-molió que se adopte se designe terminamfnte por uo ar sentador,Ttíesé admitido definitivamente i la dignidad „ —.. tículo ,'cuya ejecución sea' obligatoria. Sé díÓ chenta de un oficio del Éxchaó. Sr. D. Gerónimo Valdes, en el «Este requisito.lo considero indispensable para complemento de la medí-, que manifestaba adherirse al voto unánime del Estamento en la decisión del da legislativa qué se presenta, y para que jamas quede al arbitrio de nadie el expedienté del Infante Úi Carlos María Isidro de Borbon: i que se…</t>
  </si>
  <si>
    <t>…era tan lento y perezoso como es de A la comisión de eximen pasaron los nombramientos de Proceres y otros suponer, por haber de verificarse coa el producto de los frutos de las fincas. documentos presentados por los Exanos. Sres. D. Gerónimo Valdés y conde ••Por lo tanto, como esta Real cédula adolecía de este y otros vicios, era de Cartagena. Consiguiente que produjese, como en efecto produjo, diversos efectos; promo De conformidad con el dictímen de la misma comisión acordó el Esta viendo ya una especie de conciliación entre los interesados (…</t>
  </si>
  <si>
    <t>…ra que el dia 13 del mismo debió entrar en Mal ta; en cuyo puerto deben invernar todas las fuerzas navales que los ingleses te Habiendo hecho presente á S. M. la Rf.ina Gobernadora el teniente ge-l nían en el Levante. (77.) neral D. Gerónimo Valdes que el mal estado habitual de su salud: agravado | 1 ___Por una decfcion deFconsejo del cantón de Zug en Suiza se han prohibi sobre manerj con Us extraordinarias fatigas de U actual campaña, le imposi-I do todas las loterías, y se ha mandado al mismo tiempo te forme una comi bííita de continuar con…</t>
  </si>
  <si>
    <t>…pachado minen á los enemigos de S. M. dó quiera que los alcancen. Dios por la comisión de agravios con el mayor ínteres y premura lo» guarde á V. E. muchos años. Valencia 19 de Abril de 1834-= expedientes de reclamaciones. Excmo. Sr.=Gerónimo Valdés.=Excmo. Sr. Secretario de Estado León 13. Eran 530 los que ya estaban en el depósito de la ca y del Despacho de la Guerra. pital, en el que ingresarían los 31 que restaban para el cupo de la provincia en los dos días siguientes. Orense 10. De los 615 hombres del contingente de esta pro El comandante…</t>
  </si>
  <si>
    <t>…ación á los capitanes generales, ciando lo crudo de la intemperie y la escabrosidad del pais, y segundando U con órden y facultad explícita para obrar en su aplicación según les aconsejase actividad incansable del-gencral en gefe D. Gerónimo Valdés, no ciñeron sus sn prudencia, manifestando á la superioridad lo que estimasen adecuado; con operaciones á los límites de las provincias con Navarra, sino que acudiendo ve ló cual se evitaban los inconvenientes de reducir todas las condiciones de loca lozmente, á pesar de su número, corto para tanta…</t>
  </si>
  <si>
    <t>Valdés, Isa</t>
  </si>
  <si>
    <t>Isa Valdés</t>
  </si>
  <si>
    <t>…dos todos á| La fidelísima ciudad de Borja, una de las de voto en Cortes en el reino de unos 10 hombres, se dirigían el 4 del corriente á Oñate, huyendo del general [ Aragón, dió cumplimiento al Real decreto que manda proclamar á Doña Isa- Valdés, que los había arrojado de la primera de aquellas provincias, y los per bul ii con toda la solemnidad que era de esperar de sus leales habitantes. En seguía vivamente. la mañana del 9 del pasado un repique general de campanas anunció la fun- La facción alavesa de Franca , reducida á 4^0 hombres, er…</t>
  </si>
  <si>
    <t>Valdes, Juan Melendez</t>
  </si>
  <si>
    <t>Juan Melendez Valdes</t>
  </si>
  <si>
    <t>…cación mas mala, ó por mejor decir, mas abandonada, que la del malhadado Henrique iv. Obras que se hallan de venta en el desfacho de la imprenta Real. Entregado para la instrucción á uji fraile ignorante que nada le po Poesías de D. Juan Melendez Valdes, fiscal que fue de la sala de día enseñar, abandonado á la compañía y sugestiones de mozuelos alcaldes de Casa y Corte é individuo de las Reales academias Espadóla viciosos é intrigantes que estragaron y aniquilaron su fuerza física y de San Fernando: 4 tomos en 8.°, edición de 1820, con el retrato…</t>
  </si>
  <si>
    <t>Valdés, Juan Melendez</t>
  </si>
  <si>
    <t>Juan Melendez Valdés</t>
  </si>
  <si>
    <t>…os. Los pretendientes dirigirán los memoriales al ayuntamiento de la reférida villa, hasta el día 8 del próximo mes de Marzo. ——Por providencia del Sr. de Norzagaray, del consejo de S. M., y teoleote de cor ,1Xscvwtos forenses de D. Juan Melendez Valdés, fiscal que fue de la ¿ala de al regidor de esta villa, refreodada de D. Jacinto Gaona y Loeches, escribano dej núcalde» de la Real casa y corte : un tomo en 8.°. edición de i8ai, á xa rs. en pasta. mero de la misma, se cita por término de 30 días, contados desde este de La fecha, -■Ralbé1discursos…</t>
  </si>
  <si>
    <t>Vale, Santiago Ruiz y Albor</t>
  </si>
  <si>
    <t>Santiago Ruiz y Albor Vale</t>
  </si>
  <si>
    <t>…r la fuente pública, y abrir una fuente Id. id. de 4 p. roo, 49*.al contado: 49$, j ¡o, 49$, 3,50, i. 50 á varias ft. vol. y firme: joJ á varias fs. vol. y firme, á prima de de riego. i p. roo. División territorial y estadística. D. Santiago Ruiz y Albor Vale»' no consolidados, 13$ al contado: 13$ á varias fs. vol. y firme. noz se ha ofrecido á levantar un plano de la villa de Villar de Ca Deuda negociable de J p. 100 á papel, 00. . ñas, y hacer la nivelación de la vega del rio Záncara. Id. sin Interes, 5 j al contado: 6, si y 6 á varias fs. ó voU Accio…</t>
  </si>
  <si>
    <t>Valehzuela, Rafael</t>
  </si>
  <si>
    <t>Rafael Valehzuela</t>
  </si>
  <si>
    <t>…de la Asunción y Zaretroceder sobre sus guaridas del Guadiana. Asegurado de este movimiento mairamala perecían todavía algunas personas de resultas del cólera. dispuse que en la noche saliese el teniente de Infantería de Córdoba Don Rafael Valehzuela, con la órden de situarse y ocultarse en la casa llama PROVINCIA DE SEVILLA. da del Rincón, punto donde inferí debían pasar los enemigos, y yo con el resto marché í la siguiente mañana i recorrer la casería de la ]güera, en la falda En su capital enfermaron el dia 24 del presente 2 mugeres con sínt…</t>
  </si>
  <si>
    <t>Valen</t>
  </si>
  <si>
    <t>…los viduos de ella con la brillantez que les és propia, debiendo manifestar i V. i cantones , á pesar dé su actividad y ardor, apenas tuvieron tiempo para eyer so que las dos mitades, mandadas por el expresado teniente de húsares D. Valen bre el cabecilla Locho; tal fue la velocidad con que verificó su paso al vecino tín Fernandez de la Maza, y la, otra. por. el. capitán D. Antonio Anión , í las reino de Portugal. órdenes las tres del teniente coronel D. Eustaquio S. Cristóbal, marchaban Detalles de la derrota del rebelde Merino, an…</t>
  </si>
  <si>
    <t>Valenci</t>
  </si>
  <si>
    <t>…l actual avisa su gobernador civil que en Torremo- Amsrerdam, 00. París, 16-1. CádJx;l|á|h, , Sevilla, 4 h. cba no se ba presentado ningún caso nuevo de cólera, ni ha fallecido ninguno Bayona, 00. Alicante, á corto pit Corufla, | d. Valenci*, par. .de lo* 8 convalecientes de que habló en el parte anterior. Añade que en el Burdeos, 00. eo, i d. Granada, 1 d. Zangos*, « i 00. Hamburgo, Barcelona, * n«fe. Málaga, * id. de Descuento letraspueblo de Moscardón han ocurrido tres casos de cólera en una joven y dos an a0 dias, Lóndres, á 1 b.…</t>
  </si>
  <si>
    <t>Valencia</t>
  </si>
  <si>
    <t>…ldes de Navarra á las dos y media, por aviso que Amsterdam, 00. París ifi-i. ' Cádiz $ b. | Sevilla J d. se ies dio de aquel punto de mi llegada á él, cuya casualidad me ha privado de Bayona , 00. •.Hcaotr a corto pla ! Corulla $ d. | Valencia par. wOncluir hoy con todos sus individuos. Burdeos, 00. zo par. (Granada i-i id. Zaragoza j á I d. Sin embargo de esto el teniente D. Paulino Rubio, del regimiento de ca Hamt urgo, 00. Barcelona i pesos fs. Málaga 4 4 J b. Descuento de letras par. b. Santander ; a i 4 yo día* ¿ 4 p. 100 al año.bal…</t>
  </si>
  <si>
    <t>…bidas que en ogro caso las parará per juicio. Amstefdiin , 00. París 13-18. Cádiz * á ib. Sevilla par i i d. —---Por providencia de la subd^egacion general dé Mostrencos se cUa á joda? las Bayona, 00. Alicante! corto pla Coruña ^ d. Valencia id. id. personas, corporaciones, y establecimientos y demas que puedan tener derecho *á Burdeos, co. zo par. Granada 1 á id. Zaragoza i d. dos casas sitas en rsta corte, una callé re las Úrosas, núm. 3, manz, 137 ; y la otra Hamburgo, 00. Barcelona ¿ pesos fs. Málaga 4 b. Descuento de letras calle…</t>
  </si>
  <si>
    <t>…in Ínteres, 00. Acciones del banco español, 00. ^ CAMBIOS. Eí teniente coronel D. Joaquín Ayerbe , me dice con fecha de ayer lo que Amsterdam, 00. Paris, 16. Cádiz, | b. Sevilla, par. Bayona,00. Alicante, pla i corto d. ± Curuña, d. Valencia, | sigue: zo , i d. 00. Burdeos, Granada, id. f id. Zaragoza, j Las armas de la Reina nuestra Señora siempre vencedoras han conseguido 00. Hamburgo, £ ps. fs.. Barcelona, Malaga , par. letras Descuento de una nueva victoria; 48 prisioneros, varios muertos y heridos, y entre ellos el Londres, a 9O d…</t>
  </si>
  <si>
    <t>…de una casa cuyo suelo no etuviese nivelado ni em Amsterdam, 00. París, 16-2. Cádiz, 1| b. Sevilla, 4 b. pedrado: cubríanle de tierra en presencia de toda ia familia que cantaba entra Bayona, 00. A1 lean te, 4 corté pla Coruña, $ d. Valencia, par. tanto y-tañía, instrumentos para que no se oyesen los quejidos de la víctima, y Burdeos, 00. ceo, $ d. Gransula, id Id- Zaragoza, 4 dla misma madre alborotaba á veces mas que todos los demas. ■ ■ Hamburgo, 00. Barcelona, 4 ps. Es, Málaga, 4 d. Descuento de letras, lAndres. 4 90 días, Santande…</t>
  </si>
  <si>
    <t>…, y que todos los demas pueblos goza- Acciones del banco español, 00.- - ban.de buena salud. CAMBIOS. PROVINCIA DE LOGO. Amstcrdsm, 00. París, 16-2 á 3. Cádiz, L£ á £ b» Sevilla , $ fc. Bayona, 00. Alicante, i corto pla Coruña, $ d. Valencia.$ a $ Id. Según parte de 21 del actual, en Nogales existían el dii 16 del mismo 5 Burdeos,Hamburgo.00.00. Barcelona,zo, i b. á ps. fs., Granada,MnJaga , ib.id. Zaragoza,Descuento yded.letras, personas con cólicos: en Vitlanueva de Lorenzana habia el dia 20 tres perso Londres, á 90 dias, id. id. Saur…</t>
  </si>
  <si>
    <t>…dirige el ayudante del distrito de Castro-Urdiales, Amsrerdam, 00. París, 16. Cádiz, ■} b. Sevilla, par. dice al ministerio de su ramo que habiendo intimado el cabecilla Castor la ren Bayona, 00. A1 icante, á corto pla Coruña, } d. Valencia, } d. ‘ dición de-aquel punto y la entrega de 19 raciones, la corta fuerza de carabine Burdeos, 00. zo , ¿ d. Granada, } id. Zaragoza, } id. ros que álli sé hallaba, con el paisanage de la villa y parte de la marinería ar Hamburgo, 00. Barcelona, k ps. fs.. Málaga , par. Descuento de tetras, á 4 p»…</t>
  </si>
  <si>
    <t>…de 5 p. 100 4 papel, 00* Id. sin ínteres, lOf al contado. Acciones del banco español» 00. Parte sanitario de Orikuela. CAMBIOS. Amsterdam, 00. París, 16-3. 1 Cádiz, lfb. Sevilla, 4 b. Bayona, 00. Alicante, 4 corto pía* Coruña* 4 d. Valencia, par. Sisa. Enfermos. Curados. Fallecidos. Burdeos, 00. BOy 4 d, Granada, 4 id. Zaragoaa, f d. Hamburgo, 00. Barcelona, 4 ps. ñ., Málaga, 4 Í4. Descuento de letras, Lóndres, 4 9O días, |b. Santander, 4 b. i 4 4 P* 4W al año. 22 211 60 9 384. Bilbao, 44. Santiago, fd. 23 206 60 10 I 24 202 6 15 25 2…</t>
  </si>
  <si>
    <t>…s con muchos de sus compatriotas, y que las corrient» Amsterdsm, 00w París, 16-2. Cádiz, 1| b. Sevilla, 4 b. los habían dirigido i Tuppoya, donde habian tomado tierra. Los habitantes, Bayona, 00. Alicante* k corto pía*, Coruña* 4 d. Valencia, opr. detpues de haberles arrebatado sus canoas, los habian despojado de cuanto po Burdeos, 00. ao, 4 d. Granada, id. id. Zaragoza, f d. 00. Barcelona, frpa.fr., Málaga * fr id. Descuento de letras»seían; pero esperaban que Pomarra los recibiría bajo su protección. ¡Por qué, Hamburgo* Lóndres* 4 90…</t>
  </si>
  <si>
    <t>…dmi nistración j recaudación de laa penas de Cámara. (Id.) 1 Amstcrdam, 00- París, 16-2. Cádiz, I b. iSevilta, par. —— suprimiendo el derecho consular denominado de ambulancia. (Id.) L Bayona, 00. Alicante. 4 cortopia- Corufia, 4 d. 'Valencia, id. ——— sobre bu. letres de cambio procedente* de las provincia*'Vascongadas r Burdeos, 00. 10, *d. Granada, 4 id. Zaragoza, 4 d. Malaga, id. id. Ierras, Desciwnto de b. Navarra. (Id.) '' j ‘ \ ' - ' Ha|ubur|otLóqdres, a 00.90 dias,,. Barcelona,tb. 4 ps. fin, Santander, i al 4 4 p. 100 mandando se…</t>
  </si>
  <si>
    <t>…r«w. 1440 CJLMSTOS. — 1 declarando á quién pertenece la presidencia general de 1as diferentes cor París, 16—2. Cádiz, 14 b. Sevilla, i b. poraciones reunidas en jos actos y funciones publicas. Cid*) Alicante, acorto pla Coruña, 1 d. Valencia, par. t— 2 prescribiendo pedidas para facilitar á los pueblos afligidos por el cólera- zo , 4 d. Granada, id. id* Zaragoxa, ¿ d. d. Malaga , J á o*, fs., Barcelona, Descuento de letras 14-5.) (Afatfi. los auxilio^ que reclama sú triste situación morbo todos , a icj Londresuiiu 1 b. b. £ Santander,…</t>
  </si>
  <si>
    <t>…gociableinreres, 12delá 60d.5 p. f.100ó ávol.,papel,á prima00. de $ p. 10&lt;X Acciones del banco español, 00. CAMBIOS. VARIEDADES. Amsrerdam, 00. París, 16-1 Cádiz, U á | h. Sevilla, I b. Bayona, 00. Alicante, ácorto pla Car uña, { d. Valencia, par á £ b. Burdeos, 00. zo, 4 b. Granada, 1 Id. Zaragoza, 4 d. Ventajas que ha tacado la Inglaterra de tos telares que se mueven por vapor. Hamburgo, 00. Barcelona, k p*. fs.* Málaga, ¿ b. Descuento de letras Lóndrcs, 4 90 dias, i id. Santander, á id* á 4 p. 100 al año. 38. Bilbao, par. Santiago v…</t>
  </si>
  <si>
    <t>…ndo que por el mucho trabajo que tenían los fa Atnsterdam, OQ. París, 16-2 k 3. Cádia, 14&amp;)h. Sevilla b. cultativos y por la aflicción que generalmente reinaba en la ciudad, tenia fun Bayona, 00. Alicante, i corto pía* Cprufia, 4 d. Valencia, 4 á. | id.¡ dado motivo para sospechar que habría alguna inexactitud en este parte. puédeos, 00. so, 4 b. Granada, | id. Zaragoza^ f d. 1 Hamburgo, 00. Barcelona, k p* fu, Málaga ,4 b. Descuento de letras PROVINCIA DE SBGOVIA. Londres, i 90 dias, id. Id. Santander., 1 id. á 4 p. 100 al año. — Bilb…</t>
  </si>
  <si>
    <t>…mento de Sanidad, no progre CAMBIOS* saba; pues de los invadidos solo había fallecido uno, y otros tres quedaban Amsterdam, 00. París, 16-2. Cádiz, 1 b. Sevilla, par. fuera de peligro. "^Uyona, 00. Alicante, á corto pla Coruña, £ d. Valencia, kL Burdeos, 00. zo, 4 d» Granada, 4 id. Zaragoza, £ A* 00. Hamburgo, letras, Descuento de id. Malaga, id. Barcelona, k ps. £5., VA1IBDADBS ESTADISTICAS DEL REINO. oQ dias. Londres , á 1 b. £ b. Santander, a 4 P* 300 año. al Precios Je ios cereales y otros frutos en las provincias 4 la ¿poca que se…</t>
  </si>
  <si>
    <t>…o por el celo que habia manifestado, asi cambios. para cortar los progresos de la enfermedad como para minorar sus estragos. Amsterdam , 00. París, 16-ÍL Cádiz, 1¿ á £ b. Sevilla, | b. Bayona, 00. Alicante, á corto pla Cor uña, j d. Valencia, par á 4 id. PROVINCIA BE TERUEL. Burdeos, 00. zo, $ b. Granada, 1 id. Zaragoza, ¿ d. Hamburgo, 00. Barcelona, á ps. fs.. Málaga , $ b. Descuento de ierras, En 26 de Agosto próximo pasado continuaba la villa de Torremocha sin LÓndres, á 90 dias, Í id. Santander, | id. a 4 P- 100 al año. enfermo alg…</t>
  </si>
  <si>
    <t>…eblos invadidos no tenia mas noticia que la Acciones dei banco espado!, 00. CAMBIOS. que resulta del siguiente i Parte sanitario. Amsterdam, 00. París, 16-4* Cádiz, l|b. Sevilla, 4b« Bayona , 00. Al Icante, k corto pla- Corana, 4 d. Valencia, 4 Id. Burdeos, 00. zo, 4 b. Granada, jd. Id. Zaragoza | d. Pueblos. Pías. Enfermos» Curados. Fallecidos. Hamburgo, 00. Barcelona, k ps. &amp;, Milaga, 4 b. Descuento de letras, Lóndres, k 90 días, í á 4 id. Santander, 14 id. h 4 p. 100 al afio. 384 a 4. Bilbao, par. Santiago, 1 d. Cilleros el hondo. 2…</t>
  </si>
  <si>
    <t>…Gobiernos ilustrados, en cuyo interes está el cono: asi el territorio á cuyo destino presiden para promover la felicidad de sus moradores. am, 00. París, 16-7 á 8. Cádiz, par. Sevilla, $ b. Bayona A licante, i corto pla Coruña, 1 d. Valencia, $ id. Galicia es la primera porción de la Península ibérica cuya superficie se Burdeos, zo, 1 b. Granada, Id. id. Zaragoza, $ d. ve fielmente demostrada en la ¿arta geométrica que con fecha l.° del corriente Hamburgo Barcelona, á ps. fs., Málaga, $ b. Descuento de letras, entregó al Excmo. Sr. Sec…</t>
  </si>
  <si>
    <t>…ín Miguel, y persiguió por espacio de tres leguas la Amsterdam, 00. París, !6-2. [Cádiz, 1 b. Sevilla, par. fínica partida que había quedado reunida, matando dos, y cogiendo igual nit— Bayona, 00. Alicante, á corto pía- Coruña, 4 d. Valencia, id. 4 id. ¡Granada, zo , 4 d. 00. 4 d. Zaragoza, ínero de prisioneros corr varios pertrechos y armas. Burdeos, Hamburgo, id. Malaga , id. 00. Barcelona, i ps. fs., de Descuento Es digna de elogio la bizarría y denuedo con que se han portado todos los Londres , á 90 dias, I b. i Sanrand *r , ^ b. i…</t>
  </si>
  <si>
    <t>…modaba extraordinariamente al vecindario: han dic Amsterdam, 00. Paris, 16-2. Cid!*, 14 b. Sevilla, i b. tado enérgicas providencias para el aseo y ventilación de los cuarteles: cooti- Bayona, 00. Alicante, k coreo pía- Coruña, | d. Valencia, par. fiadla visita domiciliaria, aplicando remedio á varios abusos: se están baoien- Burdeos., 00. xo, 4 d. Granada , 4 id. Zaragoza , f 4. 2 0 camisas, pantalones y alpargatas para los presos de la cárcel de villa, i los Hamburgo, 00- Barcelona, k ps. fs., Málaga, id. id. Peecueat» de letras, San…</t>
  </si>
  <si>
    <t>…r á cazar .en un soto de la propiedad de la señora marquesa de Amsterdam, 00. París, Cádiz, H b. Sevilla, * b. Ayefve,se ha impedido esta violación mediante las órdenes dadas oportuna Bayona , 00. Alicahte, ifcértópla- Cor uña» l d. Valencia t par. mente' á los alcaldes dé aquellos. Burdeos. 00. *0, * d. Granada/id. id. Zaragota , { d. Hamburgo, 00. Barcelona,-¿ pS» &amp;«, Málaga, * id. Descuento de ttm, .Londres, á 90 días»; .1 b. Santander, 100*1 «fio. Extracto del parte remitido por el secretario dd -gobierno civil de la 37* i f. Bilba…</t>
  </si>
  <si>
    <t>…de quienes supimos algunas particularidades Amsterdam, 00. - París, 16-3. - 5Cádiz, Ifi-4 f b. Sevilla, 4 b. curiosas acerca de sus costumbres y comercio. Este último consiste principal Bayona, 00. Alicante,4¿cortopla-¡Coruña, $ d. Valencia, * 4 4 Id. mente en arroz, que cultivan crin mucha inteligencia, y que produce con abun Burdeos, 00. M , j b. Granada, * id. Zaragoza, 4 d. dancia el suelo de aquélla provincia. El arroz es generalmente muy estimado laóndre»,Hamburgo,4 00.90 días, Barcelona,id. id. 4 ps. 6-1 Málaga,Santander,4 b.1…</t>
  </si>
  <si>
    <t>…ndo una comisión para examinar la contribución del l^^^tltra^nombrando'comisión para formar la planta que Haya de tener la Atnsterdaon, oo. París 16 á i£-r, , Cádiz t i i b. Sevilla 4 ó. iBavona oo. Alicante á corto pía- Comfia | d. Valencia par. i 4 b. 1 Granada i* fd. Zaragoza ¿ ó. HOji de lp Regí Jtlaclcnda. (Id.) -v-1 Burdeos, oo. zo par. Descuento de letras orden .martdatido examinar el estado actual de la Zbntribucion de LondresHamburgo,a yooo. días BarcelonaÍ a X b. á pesos fs. i¡ SantioUMálaga tr b.par. 460. á 4 p. IpQ 37i- Bil…</t>
  </si>
  <si>
    <t>…, para formar la planta que Haya de tener la , Cádiz París 16 á i£-r, t i 4 ó. i b. Sevilla l^^^tltra^nombrando’comisiónCcífordcn nombrando una comisión para examinar la contribución del oo. iBavona Comfia á corto pía- Alicante | d. Valencia par. i 4 b. 1 Granada i* fd. Zaragoza ¿ ó. HOji de lg Regí Jtlaclcnda. (Id.) -v-1 Burdeos, oo. zo par. Descuento de letras orden -maridañdo examinar el estado actual de la Zbntribucion de LondresHamburgo,a yooo. días BarcelonaÍ a X b. á pesos fs. i¡ SantioUMálaga tr b.par. 460. á 4 p. IpQ 37i- Bilb…</t>
  </si>
  <si>
    <t>…n seguida pasó á felicitar al Sr. gobernador civil y Amsterdam, 00. Taris. 16—2. Cádiz, 1 b. Sevilla, ^ b. al comandante de armas. Concluida esta ceremonia en que brillaron rasgos de Buyocia, 00. s Alicante.á corto pla Cortina, | d. Valencia , pan Burdeos* 00. zo , ^ d. Granada, -i id» ¿arjg.ir®, fd. ternura y fidelidad por parte de todas ias autoridades, el comandante de Ur Hamburgo, 00. Barcelona, á ps. fs.. Malaga , 4 id. Descuento de Ierras banos D. Francisco Moiada dió un espléndido convite á varios de sus compa Londres , á 00 día…</t>
  </si>
  <si>
    <t>…artera: aceite, id.rjudías, id.: 32 á'34 ,,&lt;í&lt;s 4 34rs. Amsterdam 16-2. , 00. Parí», b. Cádlx, Ü b. Sevilí», | id. de del de id. 25 del arroba: vino país, 5(5 a 64 ¡A: priorato, 24 4 Alicante, á corto pla Bayona, 00. Coruñáf j d. d. Valencia, i Málaga (provincia de)__ Ante quera (31 de Mayo). Trigo, de 44 í 48 Burdeos, 00. zo, i d. Granada, é-i&lt;4« Zaragoza, £ d. 1 rs. fanega: cebada, de 25 á 27 id.¡maíz,de 4$ á 50 id.: habas, de 34.4 38 liainburgOi 00. Barcelona, i ps. fs., Málaga, ida,id* IJescuento de Jeeras . id.: garbanzos,“de 70 4…</t>
  </si>
  <si>
    <t>…es existían once en la última fecha, padecían có Amsterdam, 00. París, 1¿-1, Cádiz, 14 b. Sevilla , 4 b. lico* biliosos inflamatorios, sin mas síntomas que ios propios de dicha enferme Bayona, 00. Alicante, á cor to pla Coruña, 1 d. Valencia, par. Burdeos, 00. zo, ^ J. Granada, id. id. Zaragoza, 4 d. dad,-habiendo curado veinte y cuatro; y muerto cinco: acompaña asimismo' Hamburgo. 0,0. Barcelona , A tu. fs.. Malaga , ¿.id. Descuento de letra** &lt;1 .Siguiente Londres, á 90 día*. 1 b. Santander, á b- k 4 p* 100 al año. Partt sanitario. B…</t>
  </si>
  <si>
    <t>…Ínteres, 10£ al contado; 11, 3 dleziseisavos á 60 d. f. ó vol* Acciones del banco español, 00. Sr. D. Antonio Seoane. cambios. Amsterdam, 00. París, 16-J á 6* Cádiz, 14 b. Sevilla, 4 K Bayona, 00. Alicante, á corto pla Coruña, | d. Valencia, 4 id. Burdeos, 00. zo, £ b. Granada, id. id«. Zaragoza, | d. Partes recibidos en ia secretaría de Estado y del Despacho de la Guerra. Hamburgo, 00. Barcelona, á ps. Es., Málaga, | b. Descuento de letras» Londres, k 90 dias, i Id. Santander, 14 Id. á 4 p. 100 al año» El capitán general de Aragón av…</t>
  </si>
  <si>
    <t>…fue electo Diputado á las Cortes ordinarias por la Amstérdam, 00. Par!*, 16*7 i 8. Cádiz, par. Sevilla , 4 b. provincia de Murcia. Las alteraciones políticas de I8I4 interrumpieron su car Bayona, 00 Alicante, icono pla Coruña, £ d. Valencia, 4 id. rera pública, mas no sus trabajos literarios. En esta época fue nombrado se Burdeos, 00. zo, 1 b. Granada, Id. Id. Zaragoza . 4 d. Hamburgo, 00. Barcelona, k p*. £*.* Málaga, i b. Descuento de letras, cretario de la academia de la historia. Ldndres, i 90 días, 4 ki id. Santander, 1 id. á 4 P…</t>
  </si>
  <si>
    <t>…834-crManuet de Mazarredo.^: CAMBIOS, Excmoi Sr. Comandante general del ejército del reino de Valencia.s^Es copia.:s Valdés. - Amsterdam , 00. Taris, 16 papel. Cádiz, | b. Sevilla, par. Bayona, 00. Alicante, acorto pía- Coruña, J d. Valencia, $ d. Burdeos. 00. zo, ¿ d. Granada, f id. Zaragoza, f id. El capitán general de Castilla la Nueva en 4 de Mayo actual dice á este Hamburgo, 00. Barcelona, á ps. fs.. Malaga . par. Descuento de letras, ■ministerio lo siguiente: Londres, a 90 días. i b. Santander, i b. a 4 p» 100 al año» Excmo. Sr.:…</t>
  </si>
  <si>
    <t>…olvieion á presentar á la misma hora con la fuerza Amsterdara, 00. París, t6-2. Cádiz, 1 b. „ Sevilla, ¿ b. de dos batallones coronando las alturas tituladas de Slo* Domingo, desde-don Bayona. 00. Alicante, a corto pla C »ruña, | d. Valencia, par. de estuvieron haciendo mucho fuego fuera del alcance, sin contestarles la pla BurdeosHamburgo,. 00. 00. Barcelona,zo, $ d. á ps. fs.. Granada.,Malaga, ¿3 id.id. Zaragoza,Descuent ided. letras, za m*s que algunas guerrillas que se avanzaron. En esta situación estuvieron Londres, á 9O dias, 1 b…</t>
  </si>
  <si>
    <t>…sposición para que se verifique con la mayor economía. Amsterdam, 00. París, 16-1. Cidlx, ti b. Snrflli, |b. Las tristes circunstanciasen que se halla esta provincia,y que llevo rápida Bayona, 00. Alicante, á corto piar Coruña, 1 d. Valencia, p»r. 00. zo, 4 d. Burdeos, id. Granada, Id. Z«»gox»,id. y débilmente descritas, reducen mis conatos á la conservación, sin permitirme Hamburgo, fi ps. £s-, 00. Barcelona, d. Stícueoto de letra, Málaga, i cj jppkkplo de su prosperidad como deseara. landres , i oQ días; • Ib; Santander, | b. 4: 4 10…</t>
  </si>
  <si>
    <t>…ga de 135 quintales, mientras que en los CAMBIOS. caminos empedrados no puede llevar mas que ana de 15 quintales. Los canales- Amsterdant , 00. París, 16-3. Cádiz, 14 4 f fa. Sevilla, 4 b. -f d. A Ucante, 4 corto pla Coruña, 4 4 ¡d. Valencia,.4 Bayona , 00. reducen los gastos de trasporte á 1,25, puesto que un caballo -puede arrastrar Zaragoza 4 d. Id. 4 Granada, 00. Burdeos. zo, 4 b. una carga de 484 quintales. Hamburgo, 00. Barcelona, 4 ps. fs., Málaga, 4 b. Descuento de letras, En el espacio de 50 años ba gastado la Inglaterra 800 m…</t>
  </si>
  <si>
    <t>…tual en el dia anterior habían sido invadidas en su Amsterdam, 00. París* I6~l. ' Cádiz, lá b. Sevilla, f b. capital &amp; perdonas, habían curado 3, muerto 2, y quedando existentes 24 en Bayona, 00. Alicante, á corto pía- Cor uña, 1 d. Valencia, par. 00. zo &lt; £ d. id Granada, id. 'Zaragoza', g'd’. fermos coñ síntomas sospechosos. Burdeos, ps. fs.. Hamburgo, 00. - Barcelona,-a d. Málaga, ♦ Deseo euro de letras, ‘ "• PROVINCIA DE VArtAfioIID. Londres, i 90 dios. 1 ba Santand ;r. | b. á 4 P* 100.al año,. • • - V • I ’ * &gt; . V í* - • V . ' 37…</t>
  </si>
  <si>
    <t>…lculo de Quetelet hay en Francia un suscriptor sobre 437 habitan 00. Amsterdam, 16-3. Parts, 4 Cádiz, 1| |K Sevilla , ib. tes; en Inglaterra le hay sobre 184» y en los Paiscs-B.i¡os sobre luO. , Baymia, 00. AI icanre, a corto pla d. Valencia, Cortina, í á | id. i En 1827 se publicaban ¿n Paris 179 periódicos; de los cuales 20 eran de Burdeos, 00. zo , i b. Granada , 4 id. Zaragoza, f d. jurisprudencia, 17 de ciencias políticas , 6 de educación , 22 de'medicina, 28 Han. bu reo, 00. Barcelona, 4 ps. fs.t Malaga ,4 b. Descuento de letras,…</t>
  </si>
  <si>
    <t>…ntamientos, asegura que están en pleno Amsterdam, 00, París, 16 libs. papel. Cádiz, $ á $ b. Sevilla» par. ejercicio las autoridades locales de todos los pueblos de la provincia, no lle Bayona, 00. Alicante, á corto pla Coruña, $ d. Valencia, id. d. $ zo, $ dT 00. $ id. Zaragoza, Granada, gando á seis las reclamaciones que hay contra los concejales elegidos. Burdeos, de Descuenco letras, Hamburgo, Malaga, par. 00. Barcelona, á ps. fs.. Habla del atraso de la instrucción pública , de sus causas y dé los remedios landres, á 9O días, $ b.…</t>
  </si>
  <si>
    <t>…ovincia los mayores beneficios. Acciones del banco español, 00. CAMBIOS. Amsterdam, 00. París, 16-2. Cádiz, b. 1 . Extracto dél parte remitido por el gobernador civil de la provincia de Bayona, 00. Alicante, a cotfo pla Coruña, 4 d. Valencia, f d. Huelva D. José Huet con fecha de 5 de Junio último. Burdeos-,Hamburgo,00.00. Barcelona,zo, i d. k ps. fs., Granada,Málaga, id.4 id.id. Zaragoza,Descuento $ded. letras, Elogia el buen espíritu de los habitantes de dicha provincia. Londres , i 9O días, ib. Santander ,4 b. M p. tOO al año. Ha pe…</t>
  </si>
  <si>
    <t>…el banco español, 00. CAMBIOS. PROVINCIA DE lOGRORO. Amsterdam, 00. París, 16-3. Cidiz, 1* ij b. Sevilla, i b. Resulta del oficio que en fecha 3 del presente ha remitido su gobernador Bayona, 00. Alicante, 4 corto pla Corulla , } d. Valencia,* 44 M. ’ 00*. Burdeos, zo, i b. ld. d. Granada, Zaragoza, * i civil, que desde 26 de Setiembre á 2 dél mes de la fecha fallecieron en‘aquella Humburgo, 4 00. Barcelona, ps. fs.. Málaga, 1 b. Descuento dé lrrras, capital 22 personas y curaron 3; y que en los otros 19 pueblos de la provin Londres ,…</t>
  </si>
  <si>
    <t>…estarán exentos de toda clase de impuestos por «pació Asnsterd^m, 00. París*1 té^X k 4. Sevilla, *b. ée iO años ; pero solo disfrutarán esta gracia, durante cuatro, aquellos .que el Bayona,' 00. Alicante, fc«9rro-pla- Cortina, 4 *d. Valencia, k Ü é. letras» gobierno destinare á los terrenos señalados eri el artículo l.° en-el caso desque ‘-Burdeos,Hunsburgo,00. 00. Barcelona«zo,tb. Granada«Málaga t Idjid. Zaragoca*Detcueonr|de rerse trasladar a otros puntos-oonsultando-sus intereses. - Irindres , 4 '90 '■ „ k id. Stiwifikr,'! Id. 4 4 p…</t>
  </si>
  <si>
    <t>…columna, luego que principio el ataque se arrojo sobre un rebelde, Amsterdam, oo* Parts 16-ia Cádiz * b. Serilla * d. lo desarmó y mató. Todo lo que comunico á V. E pata su conocimiento. Bayona, 00. Alicante 4 corto pla Corufia | d. Valencia par 4 * b. j Y lo trascribo á V. E. por si tiene á bien elevarlo al de S. M. la Reina Burdeos,flambiirgo,oo*00. Barcelonazo par á 4ipesosb. fs. GranadaMálaga ¿ i±b..VL ZaragozaDescuento* ded. letras] Gobernadora, quedando á mi cuidado dirigir á V. E en el dia de mañana la Lóndres á 90 días * 4 4 id…</t>
  </si>
  <si>
    <t>…s noticias de que los facciosos habían dormido la no Amsterdam , 00. París 16 4 r6-i. Cádiz *4 * b. Sevilla í d. che del 3 en Greño, tres leguas de Maestú en la direcion de Salvatierra. Bayona, 00. Alicante á corto pla Corulla. | d. Valencia par. Burd-os, 00. zo par. Granada id. Zaragoza | d. Ambos gefes salieron á perseguirlos, con el fin de completar su dispersión, H jmburgo, 00. Barcelona 4 pesos fs. Málaga i á 4 b. Descuerno de Ierras que ha principiado. A la llegada del coronel Tolrá á S. Román huyeron en Lóodres á 90 días J 4 1 b…</t>
  </si>
  <si>
    <t>…do CAMBIOS. •n gran parte el mal estado de los campos. Amsterdani, 00. París, 16—2. Cádiz, 1 b. Sevilla, * b. Ha repartido á los labradores 1500 fanegas de terreno inculto en el partido Bayona, 00. Alicante, á corto pla Coruña, ^ d. Valencia, par. de Trujillo y en otros muchos bajo la imposición de un canon moderado, con Burdeos, 00. zo , i d. Granada, 4 id. Zaragoza , * d. destino £ la composición del camino desde aquella ciudad £, la de Caceres. Hamburgo, 00. Barcelona, i ps» fs.. Málaga, f id. Descuento de letras, Londres, i 90 dias…</t>
  </si>
  <si>
    <t>…grueso de la facción, y con arreglo á algunas noti Amsterdam, 00» París, 16-3. Cádiz, l|áf b. Sevilla, 4 b. cias, seguí á Briongos, Barriosuso y Silos, y al anochecer salí de este últi Bayona, 00. Alicante, 4 corto pla Coruña, 4 d. Valencia, 4 á 4 id. ' mo pueblo, y por segunda vez caí á las diez de la noche sobre este punto cre Burdeos, 00. zo * 4,b. Granada, | id. Zaragoza, | d. yendo sorprender 4 los enemigos, á cuyo efecto,tomé las disposiciones conve Hamburgo, 00. Barcelona, 4 ps. fs», Málaga, 4 b, Descuento de letras nientes; pe…</t>
  </si>
  <si>
    <t>…ernannufiez.... 27 á 30 Set.... 43 23 4 Higueras. ...... 25 Set. á l.° Oct. 21 12 i Aasterdam, 00. Taris, 16-9. C4di*,l#4 fbr Sevilla, |tr. Priego-. ..;......... 26 á 30 Set.... 9 9 00 Bayona. 00. Alicante, 4 corto pla Corufia, # d. Valencia; #4 # Jd. Rambla........ 27 á Ídem........... 12 8 s Burdeos. 00. zo ,# b. Granada, # 14* 2arageé», #4, Hamburgo, 00. Barcelona. 4 ps. fs. Milaga, # b. Desosemor djr letras Lóndres, 4 90 días. id. id. Santander, 1 id. 4 4p. 100:'al año* PROVINCIA PE CUENCA. 38|. Bilbao. par* Santiago, {lid. Manifie…</t>
  </si>
  <si>
    <t>…1 4 varia» convalecencia. fs. ó. vol.: 11#, a 3ó d. f. ó vol., 4 prima de # p. 100Acciones del banco español ,00. VARIEDADES. Amsterslam, 00. París. 16-5 4 6. Cádiz, 1# b. Sevilla, # b. Bayona, 00. Alicante, 4 corto pla Corana, # d. Valencia, # lí. Idea de las cargas de la Ir tanda, y estado moral y religioso de este pais. Burdeos,Hamburgo,00. 00. Barcelona,zo , # b. 4 ps. fs., Granada,Málaga, # id.b. id. Zaragoza,Descuento #ded. letras, Lóndres , i 90 dias, * id. Santander, 11 id. i 4P&gt; 100 al año. La suerte de toda la Gran-Bretaña de…</t>
  </si>
  <si>
    <t>…edicto, que se hicieron acreedores á una particular mención por Amsterdam, 00. Paria 1^-19. (Cádiz |b. Sevilla par. 'hallarse aquella en el dia separada de mí. Asimismo merecen toda mi reco Bayona, 00. AJicanteácortopla—'Corufia ^d. Valencia id. mendación y aprecio de V. E. el comandante de escuadrón D. Joaquín Somo BurdeosHamburgo,, 00.00. Barcelonazo par. á pesos fs. GranadaMálaga | 1 áId.par* DescuentoZaragoza } de&lt;L letras za, los ayudantes de campo D. Manuel de la Concha y D. Agustín la Cerda, Londres á 90 dia* I b. ¡Santander par…</t>
  </si>
  <si>
    <t>…eres, 11$ y 11$ al contado: 12, $ y 11$ k varias fs. ó voi* Acciones del banco español, 00. CAMBIOS. PROVINCIA DE BARCELONA. O Amsterdam, 00. Parts, 16-5 4 6. C4diz, 1$ b. Sevilla, f b. Bayona, 00. Alicante, acorto pla Cor uña, $ d. Valencia, $ Id. Avisa su gobernador civil en oficio de 5 del presente que en los días 1, 2, Burdeos, 00. zo, $ b. Granada, Id. Id. Zaragoza, $ d. Hauiburgo, 00. Barcelona, 4 ps. fs., Málaga, $ b: Descuento de letras, 8 y 4 del mismo habían fallecido en aquella capital 45, 54, 26 y 31 perso Londres, k 90 dia…</t>
  </si>
  <si>
    <t>…aii reparado, y se han blanqueado las estancias, dán Amsterdam, 00. París, 16-2. Cádiz, 14 b. Sevilla, i b. dolas muy buenas InceS, y amueblándolas decentemente? el edificio de los cé Bayona , 00. A1 Icante* á corto pla Coruña, 4 d. Valencia* par. lebres baños de la Piscina, que estaba ruinoso y casi inservible, se ha reedifica** Burdeos. 00. zo * i d. Granada, 4 id. Zaragoza, d. Hamburgo, 00. Barcelona, á ps. fs.* Málaga * ¿ id. Descuerno de letras* do, y hoy compite en brillantez con los demas del establecimiento. Todas las Londres,…</t>
  </si>
  <si>
    <t>…tet del banco español, 00. PSOVIKCtA DB SCADKtD. CAVETOS. Arasterdam, 00* París, 16-1. b. Cádiz, H Sevilla, i b. En oficio de 11 del presente dice su gobernador civil que según le avisa Bayona, 00. Alicante, k corto pla 1 Coruña* d. Valencia* par. el alcalde de Carabanchel alto, la enfermedad que en dicho pueblo se padecía Burdeos, 00. co» £ d. Granada, id. id. Zaragoza, { d. - había tomado diferente carácter del que manifestó al principio, y que los en Hatnburgo, 00. Barcelona, 4ps.fr, Málaga, i d. Descuento de letras JLóndres, á 9O d…</t>
  </si>
  <si>
    <t>…l banco eapafiol, oo. CAMBIOS. chas cabecilla. V que Zavala se había unido á la junta, separándose del mando Amsterdam, oo. París 16 á 15-19. Cádiz f i 4 b. ¡ Sevilla i d* de ja facción. Bayooa , 00. Alicante ácurtu pía- Curutu ¿ d. Valencia par. Burdeos , 00» zo par. Granada 11 id. Zaragoza 4 d. * La columna de granaderos provinciales y cazadores á caballo de la guardia Hamb-irgo , 00. Barcelona á pesos fs. Má;..ga { b. Descuenta de letm par. Santander 1 90 dias a 4 p. too al afio. 1 b. Real, .que salió de Madrid , se ha situado en Pa…</t>
  </si>
  <si>
    <t>…en Zujaz, pues así lo 'desea^ lo* habitantes de aquel territorio , resueltos á invertir cuanto poseen por realizar un proyec Am^terdam, 00. ¡París, 16-1 4 2. CldJa, ti b. BHlis, iW, 'Bayona, 00. Al icante, i cortó pió* Coruña, f d. |Valencia, id,i&lt;L to dé que depende su futura felicidad. Burdeos, 00. zo, 4 d. Granada, i 4 i Id. I Zaragoza f -id. Han sido de grande utilidad los pósitos en aquella provincia r y el gober Hamburgo, 00. Barcelona, 4ps. tu Malaga, id. id. 1 Descuento de letra!. nador civil ha cuidado de atender con parte de…</t>
  </si>
  <si>
    <t>…á varias fs. 6 vol. Parte sanitario. Acciones del banco español» 00. CAMBIOS. Pueblo»» Pisa Enfermos. Curado». • Fallecidos. Amsterdam» 00. Paris, I6-4. Cádiz, 14 á f b. Sevilla, 4 b. Bayona, 00. Alicante» á corto pie* Cor uña, 4 d. 1 Valencia, id. id. Burdeos, 00* xo, 4 b. Granada, 4 id. Zaragoza, | d. Badajo,......... . 9 y 10 Octubre. 28 7 i Hámburgo, 00. Barcelona, 4 tos. fs», Málaga, 4 b. Descuento de letras, Llerena.......... . 5 á 8 ídem.... 42 . 24 t Londres,38Í. 4 90 días, Bilbao,id. id. par. Santander,Santiago, 1 1d.id. á 4 p*…</t>
  </si>
  <si>
    <t>…azote de la ley, lastimarían demasiado á la Amsterdam, 00. París, 16-6 k T. Cádiz, 1 b. Sevilla , 4 b. humanidad, véanse á lo menos las murallas que esconden á los seres infelices, Bayona, 00. A1 ica n te, á corto pl a- Coruña, 4 d. Valencia, 4 id. condenados á Una larga ó tal vez eterna separación de la sociedad que han Burdeos, 00. zo, 4 b. Granada, id. rd. Zaragoza, i á 1 d. ultrájado con sus crímenes y contarhinado con su ejemplo: ellas hablarán en Hamburgo,Londres, á 00.90 días, Barcelona,* id. á ps. fs., Santander,Malaga , 4 b.1…</t>
  </si>
  <si>
    <t>…Sr.=Manucl Llander. = Exento. Sr- Secretario de Estado y Ácciooes del banco español, 00. ^ CAMBIOS. •del Despacho de la Guerra. Amsterdam, 00» París HS-i. Cádiz 4 b. Sevilla par i | d. Sayona, 00. Alicante á corto pía. Corulla 4 d. Valencia par. El día 8 se bailaba el general Lorenzo en Puente la Reina, habiendo sido Burdeos, 00. zo ¿ b. Granada 14 id* Zaragoza £ d. reforzadas las tropas con las que sacó de Pamplona , y esperaba lo fuesen mas Hamburgo, 00. Barcelona á pesosfs. Málaga | b. A Descuento de tetras con las que el capitán g…</t>
  </si>
  <si>
    <t>…es bastante con— CAUBTOS. tiácrable ; en cl dia asciende á mas de 120, y están en cinta ademas muchas de Amsterdam. 00* París* 16-2 4 I. Cádiz. I* á | b. Sevilla, ) V. tus 700 mugeres. Bayona, 00. Alicante, á corto pía- Coruña, ) d. Valencia, id. Id* La corte de Teheram no es muy brillante; consiste en unos 50 señores, Burdeos, 00. zo , | b. -Granada, id. Id. Zaragoza, ) d. Hamburgo, 00. Barcelona, á ps. ft.. Málaga, i b. Descuerno dr Isn sa^ antiguos testigos de la eclipsada grandeza de su patria, afligidos en el dia Londres , á 90 di…</t>
  </si>
  <si>
    <t>…corren á los menesterosos; y finalmente, dice que en los otros 20 pueblos de la provincia que padecían el cólera iban á menos Anuterdam, 00. París, 16-4- Cádiz, 14 A fb. Sevilla ,4 b» Bayona, 00. A1 icante, á corto pía- Coruña, 4 d. Valencia, id. id. los estragos de dicha enfermedad. fe Burdeos, 00. 20, 4 b. Granada, 4 Id. Zaragoza, | d. Hamburgo , 00. Barcelona, A ps. fs., Málaga: , 4 b. Descuento de letras» GUIPUZCOA. landres, A 90 días, id. id. Santander, 1 id. A 4 p* 100 al año» 38|. i Bilbao, par. Santiago, 1 d. El comisionado rég…</t>
  </si>
  <si>
    <t>…en los que responden de los negocios del Aqistérdam, (XX París, 16-7 á 8. Cádiz, par á*4 d* Sevilla , * b. pais la independencia necesaria para mahifestarlos como se debe. Por eso he Bayona, 00. Al ican te, á cortopla- Coruña, 4 d. Valencia, 4 Id. rehusado el ministerio siempre qüe me lo han ofrecido. Burdeos, 00. ' *0, 1 ú Granada, id. id. Zaragoza, | d. Explicó el orador la parte que ha tenido en la formación del ministerio Hamburgo,Londres, i 00¿90 dias, Barcelona,4 id. ips. fs., MálagaSantander,,46*1 U, Descuentoá 4 p. 100dealletr…</t>
  </si>
  <si>
    <t>…lle CAMBIOS. na de excelentes sentimientos, y en ia que estimulaba el zeló de los habitantes para alistarse en la Milicia urbana. Amsterdam , 00. lWís, 16 papeL Cádiz, £ b. Sevilla, par. Bayona, 00. Alicante, acortopla- Coruña, £ d. Valencia, id. Burdeos, 00. zo, i d. Granada, £ id. Zaragoza, ¿ d. Hamburgo, 00. Barcelona, á ps. fs.. Málaga . par. Descuento de letras, Extracto del parte remitido por el subdelegado de Fomento de la provin Londres, á 90 dias, £ b. Santander, £ b. á 4 p* 100 al año. cia de Oviedo D. Joaquín María Suarez, c…</t>
  </si>
  <si>
    <t>…fallecido hasta el dia 8 del presente, los rarísimos casos que de nuevo sc'preséntaban, apenas se podían graduar de colerines. Amsterdam, 00. París, 16—3. Cádiz, lf b, Sevilla, i 4 4 b. Bayona, 00. Alicante, á corto pla Coruña, d d. Valencia* par. Burdeos, 00. zo * 4 d. granada, ¿ id. Zaragoza* 4 d. Provincia de Córdoba, Hamburgo,. 00. Barcelona, á ps. fs., Málaga, 4 id. Descuento de letras Lóndres , á q0 días, 1 b. Santander, i b. á 4 p» 100 al año. d. El gobernador civil de esta provincia remite con fecha 12 del mes corrien 3»* Bilba…</t>
  </si>
  <si>
    <t>…papel,1$ k 60d.00. f. ó vol. Acciones del banco español , 00» J ¡mena de la; cambios. Frontera. .... ■ 30 Jun. á 6 Jul. 177 93 18 Amsterdam, 00. Paris, 16-2. Cádiz, H b. Sevilla, | b. Bayona, 00. Alicante, k corto pía- (Coruña, |d. Valencia, id id. rGranada, 4* 4 d. jid. Zaragoza, Glvera................ 1 á 3 ídem.... 239 97 10 Burdeos«Hamburgo,00.00, Barcelona,. zo, ¿ d. k ps. Málaga, íd. id. Descuento de letrls, Londres, k 90 dias, Santander, ¿-b. i 4 P‘ lOOal afto. Vejer................. 1 á 4 ídem.... 573 54 40 38. Bilbao, * d* Sa…</t>
  </si>
  <si>
    <t>…a provincia, que tuvo Amsterdam, 00. París, 16-1. Cádiz, 1¿á Jb, Sevilla, fb. efecto el día 31 del mismo Julio , y ahora en seguida la estableceré en las ca Bayona,Burdeos , 00.00. Alicante,zo, * d.á corto pla Coruña,Granada,* 1d.d. Valencia,Zaragoza, fpar.d. bezas de partido, como en la misma Real órden se manda. Hamburgo, 00. . Barcelona, á ps. fs., Málaga, * id. Descuento de letras Despoblados. El proyecto de reedificación de la antigua ciudad de Tejada* Lóndres . á 9O dia», 1 b. Santander, * b. á 4 p* 100 «I año. ha quedado en susp…</t>
  </si>
  <si>
    <t>…ente dirige su gobernador civil aparece que. Amsterdam, 00. París, 16-2 á 3. Cádiz. 14 á 4 b. Sevilla, 4 b. al dia 8 se habia cantado el Te Dtum en Daganzo de-arriba, y que ios demas . Bayona, 00. Alicante, á corto pla Coruila, 4 d. Valencia, Id, Id. pueblos invadidos en esta provincia se hallaban en la situación que indica el ü- Burdeos, 00. zo , 4 b. ranada, id. Id. Zaragoza, i d. Hamburgq, 00. Barcelona, í ps. fs-, Sálaga, 4 b. descuento de letras IAndres, i 90 dias, i i í id. Santander, id.id. á 4 p. 100 al «fio» Parts sanitario. »…</t>
  </si>
  <si>
    <t>…e de tal: ni es fácil hallarlo contra la verdad, por grande que sea la fuerza del entendimiento preocupadp contra ella. Amsterdam, 00. París, 16-74 8, Cádiz, par 4 | d. Sevilla, 4 K Bayo ría, 00. Alicante, 4 corto pla Cortiña , ^ d. •Valencia, 4 Id Se impugnó la primera parte del proyecto, suponiendo que el Gobierno Burdeos.,: 00. zo, 1 b. Granada* id, id, Zaragoza* fd. queria constituirse señor de las empresas, en que solo quiere ser parte auxiliar. Humburgo, 00. Barcelona* k os. £s., Málaga, 4 b. Descuento d« letra*. Fretendíasq.que p…</t>
  </si>
  <si>
    <t>…alquier puerto de Europa que vinieren con pa Amsterdam, 00. París rs-19 á 18. Cádiz # á # b. Sevilla par. tente limpia de sanidad serán recibidas sin distinción á libre plática y comercio. Biyona, 00. Alicante ácorropla- CoruOa 4 d. Valencia id. (5.a Se exceptúan de esta precedente medida, hasta quedar desvanecidas las Burdeos, oo. ^to paT. Granada if id. Zaragoza 4 d. actuales sospechas de la aparición del cólera-morbo, las embarcaciones proce Hamburgo, 00. Barcelona á pesos fs. Máiaga i á 4 b. Desatento de letras I á 4 p. 100 al afio…</t>
  </si>
  <si>
    <t>…do «a Mi ios. Sanidad del reino digo con esta fecha io que sigue: »Excmo Sr.: Ai remitir á la junta provincial de mi presidencia la muni Amsterdam, eo. Paris 15-19. CádU 4 b. Sevilla par* Bayona, 00. Alicante Acorto pla Corufia 4 d. Valencia id. cipal de Marbeila el parte descriptivo de las enfermedades reinantes en aquella Burdeos, 00. zo par. Granada 1 id. Zaragoza ¿ d. ciudad, de que acompaño copia á V. E., manifiesta haber adoptado y puesto Ramburgo, 00. Barcelona i pesos fs. Málaga par. Descuento de letras en practica con el mayor…</t>
  </si>
  <si>
    <t>…va persecución qúe se lea CAMBIOS. preparaba: mas bien eran ladrones que facciosos, según el mismo alcalde ma Amsterdam, 00» París, 16 papel. Cádiz, | á £b» Sevilla, par. yor me indica. Bayona, 00. Alicante»* corto pla Cor uña, £ d. Valencia, id. La de nueve hombres, que é las órdenes del sacristán de Cabezón vagaba Bordea*too:Hamburgo, 00. Barcelona,zo, £ d. 4 pt. fs., Granada,Málaga, id.£ id.id. Zaragoza,Descuento £ded. letras, por estas inmediaciones, ha sido enteramente dispersada ; cuatro de sus indivi Londres, 4 oO días, I h. San…</t>
  </si>
  <si>
    <t>…parte muy activa los Urbanos de aquella ciudad y los Amsterdam, 00. Taris, 16-3. Cádiz, !$ b. Sevilla, 4 b. de otros pueblos de la provincia. Concluye en fin dicho capitán general dicien Bayona, 00. Alicante, acorto pla Curuña, $ d. Valencia, par. do que por comunicación que le hace desde Lumbicr con fecha del 10 el bri Burdeos, 00. zo, $ d. Granada , $ id. Zaragoza, $ d. gadier Linares, se preparaba á marchar para Pamplona con un convoy de 17 Londres,Hamburgo,a 00.90 dias. Barcelona,1 b. á ps. fs.. Santander,Malaga. 4 id.4 b. Descuent…</t>
  </si>
  <si>
    <t>…co . ...: 5 á 8 idem.... 143 72 9 Acciones del banco español, 00. CAMBIOS. 00. * 3. París, 16-2 b. Cádiz* 1* b. Sevilla, * Priego................ Idem Idem.... 70 11 7 Aimterdam» Bayona, 00. Alicante, acorto * pla Coruña, íd. id. d. Valencia, Rute.................. 6 í 9 idem.... 58 10 31 Burdeos,Hatnburgo00.,• 00» Barcelona,zo, * 4, á m. ft,, Granada,Malaga, id.* áid.* id* DescuentoZaragoza, |déid.letras^ Lóndres, a 90 dias, ib. Saorander, * b. - á 4 p.100 «laño* * Villa del Rio.. 7 i 9 idem.... 4S 23 5 58. Bilbao* * d. Santiago, 1 d.…</t>
  </si>
  <si>
    <t>…contribución de la sal produce en Austria un diez y Amsterdam, 00. Parfs, I6-4. Cádiz, 1$ k $ b. Sevilla, $b. ochó avo■ en Francia un diez y nueve avo: en Prusia un décimo de las ren Bayona » 00. A1 Jcante, á corto ola* Coruña, $ d. Valencia, id. id. Burdeos. 00. zo, $ b. Granada» 4 id. Zaragoza $ d. tas ordinarias del tesoro. ”Yo no creo , dice Mr. Schoen hablando de los mo Hamburgo, 00. Barcelona, 4 ps. fs., Málaga, $ b. Descuento de ierran, nopolios, que sea conveniente dar á los gobiernos el consejo de renunciar á to Londres, k 90…</t>
  </si>
  <si>
    <t>…orción entre el número de profesores y el número Amsferdam, 00. París, 16-6 &amp; 7. Cádiz, 1 b. Sevilla , * b. de candidatos; y cuando se pierde este equilibrio, debería cuidar al punto do Bayona, 00. Alicante, á corto pla Corona, * d. Valencia, * id. restablecerle, fomentando con todos sus esfuerzos las profesiones abandonadas, Burdeos, 00. zo, * b. Granada, Id. id. Zaragoza, j á 1 d. á fin de mantener siempre la proporción, y de impedir que los jóvenes no sa LondresHumburgo,, 4 9000.' dias, Barcelona,* id. 4 ps. fs., Santander,Málaga ,…</t>
  </si>
  <si>
    <t>…rinV. '.. 27Julí 11 Ag. 8 ■ s ■ - • y Aecionet.deí banco español, 00. auKBiot* Otero deHerrérot. .......................... 1 1 09 ' ¿HstCTdam.OO. París, 16-1. Cádiz, í b. Sevilla, i b* Bayona, 00. Alicante, 4 cortopla- Cazuña, | d. Valencia, par. 2arZuefá del Mon- Burdeos, 00. so, ¿ d. Granada, 1 d. Zaragoza, f d. 00. Hamburgo, Barcelona, á pt.fi., Málaga, 1 id. Descuento letras da . 4 O0 días, 1 b. ' ié.' .:..6 i 11 Agosto. 2 \ 1 i landres Santander, ¿ b. k 4 p. 100 al año. Sn á 4- Bilbao t par. Santiago, 1 d. - NavarresdeAyuso. 9 á…</t>
  </si>
  <si>
    <t>…o ningún fallecimiento en la Mota del Cuervo y Car- Amsterdam, 00, París, I6-4. Cádiz, 14* |b. Sevilla, $ b. denete; y que desde 9 á 12 del mes de la fecha curaron 9 personas en Saeli- Bayona, 00. Alicante, k corto pla Cor uña, $ d. Valencia, id. id. ces, murieron 8 y quedaban 7 enfermas. Burdeos, 00. zo , $ b. Granada, $ id. Zaragoza,' $ d. Hamburgo, 00. Barcelona, k p*. £$., Málaga, $ b. Descuento de letras, PROVINCIA DE CUADALAJARA. IAndres, á 90 días, i id. Santander, 1 id. ^ 4 P« 100 al año» *8|á*. Bilbao, par» Santiago, $ d. Resu…</t>
  </si>
  <si>
    <t>…un hombre holgazán, vicioso y desarreglado, los Amsterdam, 00. París, 16-7 k 8. Cádiz, 1 k }b. Sevilla, } b. hábitos de un obrero industrioso y sobrio; y aunque es cierto que el látigo Bayona, 00. Alteante, k corto pla Coruña, } d. Valencia,} id. Burdeos, 00. zo ,} b. Granada, id. Id. Zaragoza, Jí Id. producirá movimientos de cólera y propósitos de venganza en el alma de un Hamburgo, 00. Barcelona, i ps. fs-, Málaga, } b. Descuenio dc letras, reo que acaba de dejar las guaridas "del crimen y el tumulto de una sociedad Lóndres , k 90 d…</t>
  </si>
  <si>
    <t>…nco español, 00. » Blandos céfiros ondean Su azul manto rozagante, 1 «▲unos. Y algunos mas atrevidos Amsterdem, 00. París, 16-24 3. Cádiz, 14 k |K *ev{3a,*b. , Sobre su seno se abaten.” Bayona, 00. Alicante, ¿corto pla Cor uña, 4 d. Valencia, id. id. Burdeos, 00. zo, ib. Granada, id. id. Zaragoza, 4 d, En la pág. 12 del mismo tomo realza la desgracia de la hermosura infe Hemburgo, 00. Barcelona, 4 pi. Cu, Málaga, i b. Descuento de &gt;rtm» liz en amores con esta bella comparación: ¿¿odres, 4 90 dies, 4 4 4 id. ‘Santander, id. id. 4 4 &lt;p.…</t>
  </si>
  <si>
    <t>…propio regimiento D. Joaquín Santa María, que llevaba igualmen Amsterdaxn, 00. París 16. Cádiz | b. Sevilla par. te 25 soldados de su cuerpo y 20 del de cazadores á caballo de la Guardia Bayona, 00. Alicante á corto pla Coraba f d. Valencia kt. Real , fueron atacados bruscamente por unos 500 rebeldes que ocupaban loa Burdeos, oo. zo i b. Granada 1$ á i id. Zaragosa 1 &lt;L bosques y peñascos cerca de Miravalles, los que por la espesura y corte del ter Hamburgo, 00. Barcelona á pesos ft. Málaga i b. Descuento de letras I ¿ 90 días Santand…</t>
  </si>
  <si>
    <t>…que proponga arbitrios CAMBIOS. para construir dos estanques en su término, reuniendo al efecto 4 los principa Am-tvrdam, 00. París, 16 papel. CádJx, | bu Sevilla, par. les hacendados. ' Sayona, 00. Alicante,4 corto pla- Coruña,^ d. Valencia,.-id. Igual medida ha tomado para que se compongan las acequias de Torrela- Burdeos , 00. ao, i d, . Granada, á id» Zaragoza, 4 d. Ramburgo, 00. Barcelona, 4 os. fs., Malagaj id. ld*‘ Descuento de Ierras, paja , y sé deseque tina laguna de grande extensión en Gallocanta. Londres . i g0 días, .ih* .…</t>
  </si>
  <si>
    <t>…nco español, 00* ¿Altalos. PROVINCIA DE RALAHANCA. Amcterdam, 00. París, 16-3 i 3. Cádla, 1| 4 |b. “T3evíll». i b. Con fecha 13 del corriente dicen el presidente de la junta de Sanidad y Bayona, 00. Alicante, acorto pla Coruña, g d. Valencia, id. id* ¡ zo , 4 b. id. Granada, $ d. id. Zaragóaa 'el gobernador-civil de dicha provincia que en aquella capital habia disminui Burdeos.tismburgo,00.00»' 4 p$. f$.,| Barcelona, b. Malaga, 4 Descuento de do considerablemente la enfermedad reinante, pues desde 9 i 12 del mismo Londres, 4 90 días, é…</t>
  </si>
  <si>
    <t>…re en defensa de la patria, y para con sus fami Amsterdam, 00- París, 16-4- Cádiz, 1)4 |b. Sevilla, 4 b. lias; sustituida en todas partes la acción de una policía tortuosa á la acción de Bayona, 00. Alicante, Icorto pla Corona, | d. Valencia, Id. id. las leyes; la delación, penetrando en el ?eno de las familias, dividiendo entre sí Burdeos, 00. zo, 4 b- Granada, i id. Zaragoza, J d. Hamburgo, 00. Barcelona, 4 ps. fs., Málaga, 4 b. Descuento de letras» á los allegados, y extinguiendo toda moralidad en la nación; la educación, Londres. 4…</t>
  </si>
  <si>
    <t>…e se halla sumergida varía entre nueve y diez pies, y algunas de las casas están enterradas en una capa de arena, muy abundante en partículas de oro. Amsterdam,Bayona , 00. 00.v París,Alicante,16-7¿cortoá 8. pla Cádiz,Coruña,fb.# d. Valencia,Sevilla;1# b.# id. Son. 34 en número, construidas con maderos de seis á diez pulgadas de diá Burdeos, 00. zo, Ib. Granada, Id. Id. Zaragoza, # á 1 &lt;3. metro , y de diez ó doce pies de largo. Las paredes tienen de tres á seis pies de Hamburgo, 00. Barcelona, ¿ ps. fs.. Málaga, # b. íDescuenm de letr…</t>
  </si>
  <si>
    <t>…, pues en el momento que oyeron el fuego acudieron paisa nos armados y milicianos urbanos á ayudar á los valientes del ejército, que no Amsterdafn, 00. París 13-iy. Cádiz 4 &amp;. Sevilla par. Bayooa, 00. Alteante ácorto pla CoruDa 4 d. -Valencia ld^ ' pudieron conseguir enteramente, pues los rebeldes iban ya dispersó». Posterior- Burdeos, 00. to par. Granada. 4 16. ZaragozyTdirr habían rfófyidó noticias que de los heridos facciosos, dos habían muer íiaoiburgo , po* Barcelona .i pt. fs. Málaga pas^ ,. Descgenws de letras to ya, y que las he…</t>
  </si>
  <si>
    <t>…Boletines Acciones del banco español* 00u. eAnnos. oficiales y demas periódicos para obtener Tas mejores condiciones posibles; -■ Árasterdam # 00. París, 16-2. Cádiz, 1| bv SevilMY ¿4a. Bayona , 00. ÁHcánte, acoetoplá-» Coruña, | d. 4 Valencia, id. tí. Burdeos. 00. 20 q 4 d.* Qraaada, id» íd« Zaragoza, | dl«««w, Descuento de «ñata * al ESTADO SANITARIO DEL REINO. Hamburgo*Londres, á 00¿90 dias, Blfbaó.id.Barcelona» 4 ps. fs«» MálagaSantai|der,.d* 4 ¿ b. ' i 4 P-100 PROVINCIA de C¿DIZ. 38. Santiago* 1 d. Con fecha 15 del corriente avisan…</t>
  </si>
  <si>
    <t>…con fecha del t8 del actual dice que la enfermedad Amsrerdam , 00. Taris, 16-1. Cádiz, 11 &amp; | b. Sevilla, 4 b. ha disminuido sus,estragos en aquella ciudad; que en Marchámalo seguía su Ba nma, 00. Alicante, á corto pla Coruña, £ d. Valencia, par. curso; que en Trilló había minorado de tal modo el número de enfermos, que Ríndeos, 00. zo, £ J. Granada, 1 id. Zaragoza, ¿ d. , desde el 14 al 16 Solo habian sido invadidos 4 individuos; que en Brihucga Hainlnirgo,Lón bes, a 00.00 días, Barcelona,1 b. á ps. fs», Santander,Málaga, 4 id.4 b. D…</t>
  </si>
  <si>
    <t>…mplicaciones que cantan la memoria, y para cuya inte Amsterdam, 00. París, I6-4. Cádla, I## ib. Sa*m», i b. ligencia no hay atención que baste: por ejemplo, ¡quién podría lisonjearse de Bayona, 00- Alicante, í corto pla Coruña, | d. Valencia, id. Id.. . exponer eñ pocas palabras todos lqs sucesos de la guerra del Peloponeso! Ver- Bqrdeos,Hamburgo,00-00. Barcelona,zo , J b..................i 'nL fs., Granada,Málaga , }b1 Id. Zaragoaa,-}.&lt;LDescuento de letras . dad es quo Tucídides refiere éstos sucesos que todos pueden y deben leer; per…</t>
  </si>
  <si>
    <t>…al de cruzar la raza del ganado merino con Amsterdam, 00. París, 16 libs. 1 din. Cád ¡z, 1 b. Sevilla, par. •1 estante, cuyo proyecto, prometiendo resultados de incalculables ventajas, Bayona, 00. A1 icante, á corto pla Coruña, £ d. Valencia, id. cuenta ya con una cria robusta debida á esta mezcla. Burdeos, 00. zo , -i d. Granada, 4 id. Zaragoza, $ d. Habla de la fábrica de paños de Yenguas, y asegura que se sostiene por el • LondresHamburgo,, á 00.90 dias, Barcelona,íb. á ps. fs., S^ntand^r,Malaga , id. 1 b. Descuentoá 4 p* 100deallet…</t>
  </si>
  <si>
    <t>…cio; al sargento primero de la compañía ríe cazado Amsterdam, 00. P.rli, 16-2 i 3. Cádiz, 14 i fb. Sevilla, éb. res de Segovía D. Ignacio de la Infanta; sargento segundo de id. Felipe Mar Bayona, 00. Alicante, .cortopla Coruña, 4 d. Valencia, id. Id. tin ; id. id. Pedro Gómez; cabo primero de id. Félix Calzada, y los soldado* Burdeos. 00. zo, { b. Granada, id. id. Taragoza , 4 d. Mateo García, Gregorio Margañon, Narciso López; no pudiendo menos de Humburgo,Londres * % W00. dias, Barcelona,4 a t id. k pz fz, Santander,Málaga. 4 b.id. id…</t>
  </si>
  <si>
    <t>…noche fue tan brillante como la de la anteriór, y Amsterdam, 00. París, !&lt;*-!. Cádiz, 1 b. Sevilla, par. en muehas casas estaban entregados sus vecinos á bailes y cenas, celebrando asi Bayona, 00. Alioante, ¿corto pla Coruña, •£ d. Valencia, id. t! feliz suceso del dia, y manifestando la satisfacción y complacencia de que Bprdeos*Naniburgó,00.00. Barcelona,za, i d. ¿ ps, fs.. Granada,Malaga', Id.4 Id*id. Zaragoza,Descuento $ded.letras, estaban poseídos. Las casas capitulares; la fachada de la santa iglesia catedral ,1a 2*óndres« k 90…</t>
  </si>
  <si>
    <t>…ia del sistema nervioso, y la mayor ó Arasterdam, 00. Parí*;, 16-2 á 3. CAMBIOS.Cádiz, H á f b. Sevilla, *b. menor intensidad de la enfermedad , se deben -proporcionar de modo que solo Bayona , 00. Alicante, á corto pla Coruña, * d. Valencia, id. id. produzcan ligeras náuseas: en general la dósis es de 5 a 20 granos. En cuanto Burdeos, 00. zo , * b. Granada, id. id. Zaragoza, * d. al tiempo, durante-el cual se baya de continuar el usp def remedio y los in Hatnburgo, 00. Barcelona, á pt. Malaga , * b. Descuento de” lérrit# 1 tervalos en…</t>
  </si>
  <si>
    <t>…etario de Estado y del Despacho di la Guerra.” CAMBIOS. El gobernador de Bilbao con fecha de 15 del actual dice á este ministe Amsterdam, 00. Paris, 16-4. Cádiz, 14 i f b. Sevilla, i b. Bajuna, 00. Alicante, acorto pla Coruña , f d. Valencia, id. id. rio lo que sigue: «Excmo. Sr.: El 13 del corriente fue atacada esta plaza por Burdeos, 00. zo , d b. Granada, 4 á 4 id. Zaragoza, £ d. las alturas de Santo Domingo con fuerzas numerosas, mandadas por el mismo Humburgo, 00. Barcelona, á ps. fs.. Málaga «4 b. Descuento de letras» Pretendient…</t>
  </si>
  <si>
    <t>…ilidad; y que las eleccio &gt; cambios. nes se hacían de una manera poco favorable al general Jackson. (Diario de Amsrerdam, 00. París, 16-7 k 8. Cádiz» i b. Sevilla* ¿ b. los Debates.) Bayona,' 00. Alicante, á corto pía* Coru&amp;a 1 { d. Valencia, 4 id. Burdeos, 00. ao, I b. Granada, id. id. Zaragoza, | i 1 d. -T.a Gaceta de Ausgburgo, refiriéndose á cartas de Viena, dice: Corre la Humburgo, 00. Barcelona, á ps. fs., Málaga, ib. Descuento de Ierras»' voz de que el cantón de Berna ha empezado á moderar sus pretensiones políti Londres, k 90 d…</t>
  </si>
  <si>
    <t>…so de ser cogidos nuevamente. Añade el referido capitán general, que por la comunicación, que con fecha del 16 le hace el coronel Nogueras desde Valde- Amsterdam,Bayona, 00. 00* París,Alicante,16-3.ácorto pla Coruña,Cádiz, 1}■} b.d. Valencia,Sevilla, 4 par.b. robles, la facción de Cabrera, Valles y Mestre se dividió en tres pelotones, Burdeos, 00. zo, 4 d. Granada, 4 á 4 Id. *^aragoz*, \ d. los cuales andan errantes, y de quienes se desertan muchos. Hamburgo, 00. Barcelona, á ps. fs., Malaga, 4 id# descuento de letra?* Londres, k 90 dí…</t>
  </si>
  <si>
    <t>…d. sin ínteres, 11£ a 60 d. t. ó vol. Acciones del banco español, 00. CAMBIOS. Pueblos. Dias. Invadido». Curados. Fallecidos. Amsterdam * 00. París, 16-1, Cádiz, 14 á 4 bu Sevilla, 1 b. Bayona» 00. Alicante, acorto pía- Coruña, | d. Valencia, par. Burdeos* 00. zo, par. Granada* 1 id* Zaragoza, 1 d. Hamburgo, 00. Barcelona* á ps. fs.. Málaga * 4 Id. Descuento de letras, Mota del Marqué». 18 de Agosto... 12 Londres, á 90 dias* ib. Santander * 4 b. A 4 P- 100 al año. Rioscco. • 18 37J. Bilbao, 4 d. Santiago * 1 d. Tnfdttitbs. ..... 82 'Vs…</t>
  </si>
  <si>
    <t>…ias y todos los habitantes de estos valles y monta ■ Sevilla, par. ñas en favor de nuestra augusta Soberana Doña Isabel ii : no solo han estado AmsterdaoL, 00* París 16 U. Cádiz, $ b. Bayona, 00. Ai icante, á corto pía* Coruña, ¿ d. Valencia, ¿ d. puntualísimos con los partes y avisos, sino que se han prestado gustosa y volun Buratos* 00. zo , i d. Granada, i Id. Zaragoza-, 3 id. tariamente á la persecución de la gavilla; por lo que les considero acreedores á Hamburgo, 00. Barcelona, i ps. fs., Málaga , par. Descuento de letras l¡t gra…</t>
  </si>
  <si>
    <t>…atía contra los hermanos extrangeros. Con gregóse el sínodo de Elchmiarin, y decretó que se opondría en lo suctesivo con Amsterdara , 00. París, 16-2 k 3. Cádiz, !$ á $b* Sevilla, $ b. Bayona. 00. Alicante, á cortopla- Cor uña, $ d. Valencia, id. id. todas sus fuerzas*á las innovaciones; que se prohihiria imprimir el Nu^vo Tes Burdeos. 00. - zo, i b. Granada, id. id. Zaragoza, $ d;. tamento en lengua armenia moderna; hicieron comparecer delante de su tribu Hamburgo, 00. Barcelona, k ps. fs*, Málaga, | b. Descuento de letras, nal para s…</t>
  </si>
  <si>
    <t>…nte la Reina con la brigada de reserva, y yo con Amsterdam, 00. . Taris, 16—1 papel, Cádiz., 1 b, Sevilla, par. la de mi mando á Viscaret. El 15 hizo una contramarcha Zumalacarregui, y: Bayona , 00. Alicante, a corto pla Coruña,j d. Valencia., ¡d* vino don dos batallones á Zubiri y Urdaniz; Iturraldé con el tercer batallón á Burdeos, 00. zo , ¿d. Granada, * id. Zaragoza» jí», Ochagavia- El general Lorenzo permanecía en Lumbier para reponerse los cuer Hamburgo, 00. Barcelona, k os. fs., Málaga , la. id. Descuento de letras * Santander, b…</t>
  </si>
  <si>
    <t>…n qua an la actualidad haya reclamación alguna pendiente. Amsterdam, 00. Paris, lñ-3. Cádfz* 14 b. Sevilla, |b. Ha nombrado comisiones en algunos pueblos para hacer efectivas las deu Bayona , 00. .Alicante; k corto pla- Corona, 4 d. Valencia* par, 3 Burdeos. 00. XO, 4 d. Giíap^da, 4 á i id. (Zaragoza, 4 d. das en favor del caudal de pósitos. Hambtirgo * 00. Barcelona* á ps. fs»« Malaga * 4 id. Descuajto de1 letéM* Sigue socorriendo á los pueblos acometidos por el cólera-mórbo del modo I.óndres, i 90 días» \ i ^ Santander, 4 b» a4P-l0áa…</t>
  </si>
  <si>
    <t>…, que en Talavefa la Real apenas ljegó 4 dcs- Amsterdam, 00. París. 16-í 4 3. Cádiz, 1| á i b. Sevilla, d f&gt;. dréóUatse lí-enfermedad, por cuya razón se cantaría el TV Deum en el mismo Bayona, 00. Alicante, acorto pía- Coruña, •} d. Valencia, id. !d*y ; dit de da* fecha-: que-en la capital se habían manifestado dos casos sospechosos, Burdeos, 00. zo* i b. Granada^ id. Id. Zaragoza, * d. f-'de resaltas - se'alarmó al pronto el vecindario, disipándose muy luego aquella Hamburgo, 00. Barcelona k ps. Es., Málaga, f b. Descuento de letras,…</t>
  </si>
  <si>
    <t>…SPropiedades de la línea recta combinada con el plano. Amsterdam , 00. París, 16r7 k 8. Cádiz, par. Sevilla, ib. Propiedades de los poliedros., y medida de sus ángulos, superficie y vo Bayona , 00. Alicante, á corto pla Coruña, 4 d. Valencia, id. lumen. Burdeos, 00. zo, ib. Granada, Id. id. Zaragoza, i d. Generación y propiedades de los cuerpos redondos y medida de su su Hamburgo, 00. Barcelona, k ps. fe.» Málaga, i b. Descuento de letras, 1 Santander, i k i id. k 90 dias, id. á 4 P» 100 al año.perficie y volúmen. Lóndres, Bilbao, Sant…</t>
  </si>
  <si>
    <t>…tes mejoras en el ramo de policía urbana, tanto en la Amstcrdam, 00. París, 16 ls. Cádiz, | b. Sevilla, par. capital comó én'lór'détnas ptfeblós ¡de la provincia, dedicándose muy particu- Sayona, 00.£ Alicante,acorto pla Coruña,4 d. Valencia, 4 4. lírmente á protaovér la construcción de cementerios. Burdeos a 00. zo d. Granada, $■ id. Zaragoza, | id. Viendo qué1 algunos pueblos carecen de escuelas de primeras letras, ha pre HamburgOt-00. Barcelonaá ps. fs.. Málaga,, par. Descuento de lerr** Londres , k 9O días* i b. Santander ,$b. v 44…</t>
  </si>
  <si>
    <t>…allos perdidos deí regimiento,!.0 de CAMBIOS. línea.’ ! AmsterdBm, 00. París, 16-1 papel. Cádiz, 1 b. Sevilla, |d. El expresado general Hore recomienda al coronel Mazarredo por lo bien Bayona, 00, A1 ¡cante, í corto pla Coruña, { d. Valencia, Id. que se ha portado en esta acción , y por la importancia de ella, atendidas las Burdeos, 00. zo , 4 d. Granada, i id. Zaragoza, 4 d. Hamburgot* 00. Barcelona, í ps. fs., Málaga , id. id. Descuento de letras, circunstancias de aquel país: lo hace igualmente del coronel Nbgueras, que'ha- Londres…</t>
  </si>
  <si>
    <t>…á su digno comandante el teniente D. Nicolás García, sos Amsterdam, 00. París, 16-4- Cádiz* 1| b. Sevilla* i b. tenida por la partida del regimiento infantería, &lt;S¡° ligero, al mando del Bayona, 00. Alicante, acorto pla Coruña, * d. Valencia, id. Id. 'catKt&amp;n D. Lucas Pineiro, y del teniente D. Pedro Amau, quienes nada me Burdeos, 00. zo, * b. Granada, Id. id. Zaragoza , $ 4* SdepToh que desear, despreciando el fuego que los enemigos dirigían de las Hambufgo, 00. Barcelona, &amp; ps. fs., Malaga* ¿ b. Descuento de letras, 4 90 días, Londre…</t>
  </si>
  <si>
    <t>…hombres , cansados, hambrientos y desalentados, en Amsrerdam, 00. París, 16-7 á 8. Cádiz, par. Sevilla, 4 b. cuya persecución se ocupaban ei brigadier Santa Cruz, el coronel Rebollo y el Bayona, DO Alicante, acorto pía- Coruña, | d. Valencia, i Id. coronel Nogueras. , Burdeos, 00. zo, | b. Granada, id. id. Zaragoza, j d. En otro del dia 20 y con referencia, al que el brigadier Santa Cruz habia Hamburgo, 00. Barcelona, k pa. Málaga, 4 b. Descuento de letras, Lóndres, 4 90 días, 1 Santander, 4 a i id. Id. á 4 P- 100 ai año.dado el dia 19…</t>
  </si>
  <si>
    <t>…banco español, 00. le dirigió desde el puente de Caparroso el capitán D. Rafael Midon , coman CAMBIOS. dante de Ja columna móvil de carabineros, de los cuales resulta que los faccio Amsterdam, 00. París 16-1. Cádiz i b. Sevilla 4 d. Valencia par. Coruña } d. . Alicante á corto pla 00.sos reunidos en Lumbier, habían dividido sus^ fuerzas á la aproximación de nues Bayona, Granada íd. Zaragoza zo par. 00. ij Burdeos, | á I d. tras tropas , marchando dos batallones con parte de su caballería sobre Sangüesa, Hamburgo, 00. * Barcelona á peso…</t>
  </si>
  <si>
    <t>…rtillería en todos los sitios qué emprendieron los Amsterdam; 00. ■ Parts, 16-2. (Cádiz, á | b. Sevilla , i b. españoles en la conquista del reino de Granada; y qué por su ciencia se aven Bayona,, 00. Alicante,ácortopla- Coruña, $d. Valencia, par. tajó á todo aquel semillero de héroes que tanto sobresalieron en tan porfiada y Burdeos, 00. zo, par. Granada, 1 id. Zaragozá, jd. tenaz lucha. Pues si estos fueron en el campo terror del enemigo, y se hicieron Hambui^o, 00. Barcelona, á ps. fs.,'Málaga, ^ id. Descuento de letyas, célebres go…</t>
  </si>
  <si>
    <t>…esde entonces hubiesen ocurrido ssicrci» case« - «as CéSa^ da, Jim*.» Valdens y Villaimí era coito el número de taska, fsanay. 1 Jbmpttifon»^ GOL l?arísT I6-4. Cádiz, 14 b. Sevilla , é b. 0O:.’ A l i can te. 2 corto pla Coruña, }~d. Valencia, id. id.j Bi:nfgn»y Q0u zo, $ ti. Granada, id. id. Zaragoza, j d. HOTIKCF4 DI LOCSfiSfl. SMfTlMfFKSv &lt;V% ' Barcelona, á ps. Cu, Málaga . $ b. Uescuento de lénJar&lt; £mufrev. ¿ 90- dial. i * é íd Santander, 1 Id. a 4 p. 100 al aóc. iBÜbao, par. . Santiago, J d. £1 cólera séaiia ixé curso ordinario cu…</t>
  </si>
  <si>
    <t>Valencia, Casimiro Martínez y de Francisco</t>
  </si>
  <si>
    <t>Casimiro Martínez y de Francisco Valencia</t>
  </si>
  <si>
    <t>…Gofii, que con tres caballos mas, unidos al capitán Castell, salvaron el ganado caballar y arrojaron i los enemigos ¿ la Madrid 24 de Agosto* masa de su fuerza. Del mismo modo debo mencionar con honor la conducta bizarra del Lie. D. Casimiro Martínez y de Francisco Valencia , ambos Urba En medio de las dificultades producidas por los funestos errores de lo pa nos de esta villa, comprendidos entre los 20 individuos que hicieron la salida, sado y las circunstancias presentes, es grato tender la vista sobre el porvenir y en fin, fue Canto el entusiasmo de estos Urbanos,…</t>
  </si>
  <si>
    <t>Valencia, Maraña</t>
  </si>
  <si>
    <t>Maraña Valencia</t>
  </si>
  <si>
    <t>…meros de «asirnos. menor á mayor, y sus valores; v en la de los extractos de inscripciones se ano . 00* París, 16-24$. 14 Cádiz, á b. r \ bw Sevilla, | tará ademas la letra de la série a qué pertenecen. Amsterdám, Bayona, ÓO. d. !d. - , Maraña Valencia 4 ;íd.' Alicante; á corto pía-* Mo.se admitiránijuntoslos efectos, aun siendó-de úna misma clase, siem Burdeos, 00. zo« | b. Granada* id. id. Zaragoza, | d. pre que no aten iguala en el cobro de los semestres de intereses que van de—1 Hamburgo , 00. Barcelona, k *»., Málaga, i b. Descuento de letra…</t>
  </si>
  <si>
    <t>Valencia, Se</t>
  </si>
  <si>
    <t>Se Valencia</t>
  </si>
  <si>
    <t>…o parecerá, como lo es en efecto, muy moderado si reemplazar.al Sr. IX José Plandolit. _ . se advierte que pagándose por el vino que se consume, en el antiguo reino de El Estamento quedó enterado de una Real órden, que remitía el Sr. Se-1 Valencia existen mas de un millón de habitantes; que esta cosecha abunda socretario del Despacho de Gracia y Justicia, para que el archivo de la diputa -bremanera en aquel país; que en él hay muchísimas fábricas de aguardiente; ción de reinos pase i la secretaria del mismo. que el arriendo pasa a segundos y…</t>
  </si>
  <si>
    <t>Valendá, Sevilla</t>
  </si>
  <si>
    <t>Sevilla Valendá</t>
  </si>
  <si>
    <t>…apel, 00. &lt; Id. sin Ínteres. J1 f y 114 4 60 d. £ ó vol.: 12 4 60 d. f. ó vol., 4 prima de t p. 100. Acciones del banco español, 00. CAMBIOS. ESPAÑA. Amsterdam,Bayona, 0p. 00. París,Alicante,16-7Acorroi 8. pla Cádiz,Coruñíf*par.i d. Sevilla*Valendá ib.* d* id» Burdeos. 00. zo, 1 b. Granada *Jd. Id* Zaragoza* j,d. Madrid 5 de Diciembre. Hamburgó; 90. Barcelona, i pe. £u, Málaga, ¿b. ’ Descuento de letra** ■ JLOndret, 4 90 días, BlíbaoVéi Santander* lid. alafia «*• Santiago* 1 d* ESTADO SANITARIO DEL REINO. PtOVINcia DE BADAJOZ. ANUNCIOS. Avisa…</t>
  </si>
  <si>
    <t>Valenoia</t>
  </si>
  <si>
    <t>…uella comarca. Dios &amp;c. .Zaragoza 10 de CAMtMTOS. Setiembre de ig34-=Excmo. SrmeEl condé de Ezpeleta.=dExcmo. Sr. Secreta Amsterdam , 00. París, 16-2 i 5. Cádiz, 14 i |B. Sevilla, 4 b. Bayona , 00. Alicante, ^ corto pla Coruña, | d. Valenoia, ¿4- id» rio Sitado y-del Despacho de la^Guerra. Burdeos. 00* zo,-Jb. Granada, id. Id. Zaragoza J¡ A. Hamburgo, 00. Barcelona, 4 ps. fs., Málaga,-f b, Descuento de letras, *XAndics« A 90 días, * á i w. Santander, id. id, á 4 pé 100«1 año. m- Bilbao^ .par.1 ¿ Santiago , 4 d. ESTADO SANITARIO DEL REI…</t>
  </si>
  <si>
    <t>Valentin</t>
  </si>
  <si>
    <t>…su ‘resalta á IX Julián Reales decretos nombrando a D. Fernando Butrón hlenfriez y Yanguasi'CídO 1 - ‘ V ■ *■/ • . 1 D. Gaspar Jáuregui comandante general de-'- G*aipüZeoa , y á ?D. Santos __T nombrando eorfejtúhtf de Arévalo á (D.-Valentin deGarralda. ¡ (Idíy AlTeñde teniente dé rey de la Coruña. (Id.) ' " Real órden mandando .que se apliquen las disposiciones de la de 6 del corriente Real céd(u)a fi?bre lar construcción del canal de Tamarite de Litera en el.rci'n» ’ S lóí individuos de la marina Real, f determinando quiénes deben da…</t>
  </si>
  <si>
    <t>Valentín'Fernandez</t>
  </si>
  <si>
    <t>…de andar un cuarto de niente coronel D- Eustaquio S. Cristóbal, capitán del regimiento caballeríad: legua, nos presentaron la batalla, colocados en una altura del mismo camino. Cataluña , el teniente graduado de teniente coronel D. Valentín'Fernandez de &gt;&gt;£n ej momento ordené que dos mitades al mando del teniente coronel la Maza, de húsares, y el capitán de caballería D. Antonio Antoo, con todo D. Valentín Fernandez de la Maza, y- otra de reserva al del capitán D. Anto los demas oficiales á que hace referencia, á quienes. considero acreedores á lá…</t>
  </si>
  <si>
    <t>Valentín'Fernandez, D</t>
  </si>
  <si>
    <t>D Valentín'Fernandez</t>
  </si>
  <si>
    <t>…después de andar un cuarto de niente coronel D- Eustaquio S. Cristóbal, capitán del regimiento caballeríad: legua, nos presentaron la batalla, colocados en una altura del mismo camino. Cataluña , el teniente graduado de teniente coronel D. Valentín'Fernandez de &gt;&gt;£n ej momento ordené que dos mitades al mando del teniente coronel la Maza, de húsares, y el capitán de caballería D. Antonio Antoo, con todo D. Valentín Fernandez de la Maza, y- otra de reserva al del capitán D. Anto los demas oficiales á que hace referencia, á quienes. considero acreedores á lá…</t>
  </si>
  <si>
    <t>Valenzucla, D Rafael</t>
  </si>
  <si>
    <t>D Rafael Valenzucla</t>
  </si>
  <si>
    <t>…canar y Villa Iba habían sido invadidos, siendo corto el número de enfer precisamente y como yo dalcúlé habían ido los facciosos k dar acuella tarde. mos y muertos: en Ulldecona causaba bastante estrago la onfermedad: fin fin, El teniente D. Rafael Valenzucla oculto en dicha casa con su partida salió de eñ Perdió, Reus y Tortosa perecía ya muy poca gente. ella, ios atacó con bizarría, trabó un combate, á pesar de la diferencia de fuer za , matando ¿ hiriendo i muchos y cogiendo uno de los principales cabecillas PROVINCIA DE TERUEL. llamado Mala vida, qu…</t>
  </si>
  <si>
    <t>Valenzucla, Rafael</t>
  </si>
  <si>
    <t>Rafael Valenzucla</t>
  </si>
  <si>
    <t>…illa Iba habían sido invadidos, siendo corto el número de enfer precisamente y como yo dalcúlé habían ido los facciosos k dar acuella tarde. mos y muertos: en Ulldecona causaba bastante estrago la onfermedad: fin fin, El teniente D. Rafael Valenzucla oculto en dicha casa con su partida salió de eñ Perdió, Reus y Tortosa perecía ya muy poca gente. ella, ios atacó con bizarría, trabó un combate, á pesar de la diferencia de fuer za , matando ¿ hiriendo i muchos y cogiendo uno de los principales cabecillas PROVINCIA DE TERUEL. llamado Mala vida, qu…</t>
  </si>
  <si>
    <t>Valenzuela</t>
  </si>
  <si>
    <t>…posiciones se pusieron en precipitada faga por «No ob^t-inte, seguí sobre el grupo mayor que por dos veces nos hizo distintas direcciones , siguiendo la derrota por medio de los montes, y ponién dome al frente de 12 soldados y el teniente Valenzuela can 16 se les persiguió fuego en dos ásperos barrancos, cuyo paso-, débilmente disputado, vencimos, despreciando un fuego tan incierto, como lo es siempre ei dirigido por la co basta entrada la noche. bardía. Hemos continuado la persecución por las cuestas de Mambla y hasta, El resultado de la acci…</t>
  </si>
  <si>
    <t>Valenzuela, Antonio</t>
  </si>
  <si>
    <t>Antonio Valenzuela</t>
  </si>
  <si>
    <t>…ismo el gobierno que sin excedernos mucho de los presupuestos D. Buenaventura Alvarado para la Puebla de Tribes; á D. Joaquín debemos mantener sobre las armas la fuerza en que nuestro ejército se halla Rorieali para Villalon, y á D. Antonio Valenzuela para Val de Ca actualmente , por la reunión de los que estaban con licencia temporal, sin per balleros. juicio de dar nuevas licencias por tres meses, si las circunstancias lo permiten. Con arreglo á esto se ha calculado el aumento de gastos para el afio de 1&amp;34.. Como este cálculo manifiesta del m…</t>
  </si>
  <si>
    <t>Valeocia</t>
  </si>
  <si>
    <t>…cuerpo Francisco Izquierdo, Francisco de tos Amsterdam, Op. París, papel. Cádiz, IJ tu. Sevilla, b. Santos y Antonio Jiménez, los cítales siguieron constantemente el paso y los Bayona, 0Ú. A l ica n te» i po r td p 1 a- Coruña» f d. Valeocia,-par. movimientos de la caballería. Burdeos» 00. ; • - zo, ^ d, Granada« + id¿ Zaragdza; | d. Los pueblos del tránsito Parácüellos. dé la Ribera, SaVÍpan, Mores, Ses- Hauibui%o» QO./i.. . Barcelona,, á p^fs», Malaga ^ 4 d* Descuento de:letra* Iaóndres, Á 90t4|Ías» Ib. Santander r i b. á 4 P» 100 al…</t>
  </si>
  <si>
    <t>…militar de la provincia de 1 ras-os-montes Amsterdam , 00. París, 16-1 á 2. Cádiz, 1 j b. \ Sevilla , | b. de 28 del pasado, el que entre otras cosas, manifestando el buen romportamiemo Bayona * 00. Alicante, acortopla- Coruña, $ d. 'Valeocia, id. que han observado nuestras tropas en aquel reino, dice lo siguienfe: »*Ilustrisí- Burdeos, 00. zo, t J. Granada ♦ 4 a J id. Zaragoza, ¿ d. 00. Hamburgo, Barcelona', i ps. fs., Mzlaga , id. Id.. letras* de Descuento u*o y Excmo. Sr.: Tengo el honor de poner en conocimiento de V. E. quc.cn 90 dí…</t>
  </si>
  <si>
    <t>…Bósch, paisano, de los Uqstalets de Balañat. CAMBIOS, Miguel Gilabtrt, ídem, de Tordera. Amsterdam, 00. París 15*18. Cádiz | b. Sevilla par. Juan Galcerán, idem, de 5. Estéban Sasrovira. Bayona, do. Alicante á corto pla Corulla | d. Valeocia par Pedro Cerda , Ídem, del Prat. Burdeos, oo. zo par. Granada Id. Zaragoza ^ d Hamburgo, 00. Barcelona á pesosfs. Málaga k b. Descuento d&lt; Antonio Ratera, idem, de Barcelona. Ldndres á 90 días *b. Saetaoder par. á 4 p. 100 ■ Antonio de Lloselias, idem, de Barcelona. 37 i- Bilbao par á ± d. Santiag…</t>
  </si>
  <si>
    <t>…si resulta ¡nocente echarle á la sociedad . CAMBIOS. amaestrado pata perpetrar cien crímenes, es el colmo de la demencia. Segura Amsterdam, 00. Paris; 16-8 á 9. Cádiz, | b. Sevilla, 4b. Bayona, 00. Alicante, acorto pla Cnruña, | d. Valeocia. 4 id. mente hay otros medios de detención y custodia que este encarcelamiento pro Burdeos, 00. zo, f b. Granada, id. Zaragoza, 4 i 1 d. miscuo. No hay derecho para castigar antes del juicio; ¡y qué castigo peor que Hsmburgo, 00. Barcelona» k p». b., Málaga, i b. Descuento de letras, exponer á un ho…</t>
  </si>
  <si>
    <t>Valepcia</t>
  </si>
  <si>
    <t>…or D. Gregorio de Torres, vicario capitu CAMBIOS. lar eclesiástico, D. Patricio O-connor y D. Eusebio dei Olmo, de aquel co- Ámsterdam, 00. París, 16-1 á 2. Cádiz, 14 b. Sevilla, i b. Bayona, 00. Al (cante, á corto pla Cor uña, ¿ d. Valepcia, id. id. tnercio, cuyos individuos habían redactado un reglamento para llenar cumpli Burdeos, 00. zo, ¿ d. Granada, i k £ Id, Zaragoza, , d. damente el fin de su instituto: añade que para dar ocupación á los pobres se Hamburgo, 00. Barcelona,- á ps. fs., Málaga, id. id. Descuento de letras; Habia p…</t>
  </si>
  <si>
    <t>Valera, José</t>
  </si>
  <si>
    <t>José Valera</t>
  </si>
  <si>
    <t>…tentativas REAL DECRETO. han sido por esto infructuosas! Las inteligencias aun las mas activas se desani man; la tristeza y el desaliento se apoderan de las almas cuando la simpatía y Atertdiendo a los méritos y circunstancias de D. José Valera, la prosperidad no sostienen el entendimiento. marques de la Paniega, he tenido á bien nombrarle gobernador ci «Para poner un término á este estado de cosas , es menester por una parte, vil de la provincia de Córdoba en reemplazo del marques de Viluma, que las sociedades sábias reciban del gobierno…</t>
  </si>
  <si>
    <t>Valero</t>
  </si>
  <si>
    <t>…de saberselas aguas,«tí estesu análisispunto. Sequímico*vende endistanciadaesta catto de 1834*=Manuel Obregon.=rSr. D Domingo Orejón, comandante del es- en 1a librería de Sojo ñ H rs. en pasta y 12 en rústica: Barcelona, en la de D. Valero : cuadron maniobrero del regimiento caballería del Rey , l.° de línea. Sierra: Cádiz, Sres. Hortal y Compañía, y Valencia Sres. Malleot y Berard, con el Lo que pongo en conocimiento de V. E con la mayor satisfacción, y en aumento de un real tna* por razón de portes. ------ En la librería de Monier.…</t>
  </si>
  <si>
    <t>Valero, Francisco Castillo</t>
  </si>
  <si>
    <t>Francisco Castillo Valero</t>
  </si>
  <si>
    <t>…s María Garelly. quiera ^ue sean la dignidad, corporación, establecimiento o persoHe venido en jubilar con sus honores y sueldo que les corres mJírt 2o prestaciones devengadas hasta et dia señalado en el ponda por clasificación á D. Francisco Castillo Valero ya D. José artículo anterior, se podrán hacer efectivas por los respectivos par del Castillo, oidores de la Real audiencia de Cáceres; 4 D. Sandagp tícipes á quienes corresponda para invertirlas en los objetos de su Fernandez de Negrete, y á D. Juan Peinador y Pino, alcaides del foniíucion. „ crime…</t>
  </si>
  <si>
    <t>Valero, José</t>
  </si>
  <si>
    <t>José Valero</t>
  </si>
  <si>
    <t>…al capitán D. Ramón Conti y Galiano, de ja com pañía de cazadores de Segovia , al teniente ríe la misma-D. José de Miera, y Inscripciones en el gran libro i $ p. 100, í6|^l contado. aí subteniente dé ídem D. Antonio Saaveríra, y D. José Valero, subteniente Tirulos al portador del 5 p. 100, S8¿ a variu fs. ó val. íe .carabineros. , TiruiosInscripcionesal portadordelen el gran4 librop. 100,4 452p*al 100contado:* 00. 54, 59f y 13 i variad A. 6 vol* «Igualmente recomiendo at alférez graduado sargento primero de ia 1.* Vales Reales no consoli…</t>
  </si>
  <si>
    <t>Vales</t>
  </si>
  <si>
    <t>…rto'pla- Alteante vol.| i i , 4 ■y , 100. de 'dtat.bo.firme p. y prima f j i Carnaval: los filarmónico: hombres en id.—Contra el furor sátira.—Contra t—~EI 4 d. Zaragoza I Grasada ¿ zo ii Id* par. v (WiT, d 40 f. oO.consolidados, d. Vales vol. su tai i defeo&amp;a tos manto id.—Contra la para de mugeres: escribir público; el de id^Rer Descuento de letra* Málaga b. i fs. pesos 00. oburgo, i P- oo. oegoclable papel, beoda . del á ico Barcelonas D. un Todas baile de en cuerdos de obras de cuentos máscaras, verso. Manuel.Bre año. 4 p, al lo…</t>
  </si>
  <si>
    <t>…íWíctíiiafmtí.-tdr moutt^Eeeeguidos por, las.tropas ¿ pesar de la Títulbs.al portaáar dcl f fs t(Mí H ntcsnlado: (2y óf i varias ts. órot; ít,f y J3 &lt; ■. ipscuHdedrt. de^ndor ivarioír; efectos . eotte ellos aigiiaqs . fusiles. £1 brigadier ..Vales• ídem.Roalesjnotroowlidados.lgl'áápihBadol.y/ diexi^isayoí-variasp. 100.fs. ó vol.. O-Doylc seguia.fln,laí»»r¿na del..2S,biícia7Bemedo. . ^ Deuda negociable ife l p. 100 i'papel*;tej al contadS*. ‘ W. sin iníertsvÓÓ. ' " ' ■ t . j '■ep eS ; ..' -b rroí a-n Wt tí *i ’ ;r::r;a i,,;:; r,,-¡ .. . - ^ A…</t>
  </si>
  <si>
    <t>Vales, Antonio Rcmon Zarco del Valle Secretar</t>
  </si>
  <si>
    <t>Antonio Rcmon Zarco del Valle Secretar Vales</t>
  </si>
  <si>
    <t>…estado de 1* Id. Id de 4 p. roo, 47*;, 47.-*. 47, t, t i y * i 60, 7. 1», ar . as, rs, 40, a*, 49 nja deJ-Qxaceta tiúm. 3.) y 37 d. f vol. v firme: 47J , 4 36 y 4&lt;f d. f. vol y firme i prima de 4 p. ios. r^Sr /V"r£rr9 nombrando * D. Antonio Rcmon Zarco del Valle Secretar Vales 00 consolidados, ia, 4 33,60, y 34 d. f. vol. y firme: 13 4 do d. f. d vol. 4 #'pu«rra en propiedad. (Núm. &amp;,) ... Deudaprim.negociablede ¿ p. 100*del J p. 100 4 papel, la i 33 y 60 d. f. d vol. | ’ OFrcr tbodíEcg^tjo-.d gistemá dé impresión, publicación y circulación de h- Id. sin ínteres, oo. Acc…</t>
  </si>
  <si>
    <t>…stado de 1* Id. Id de 4 p. roo, 47*;, 47.-*. 47, t, t i y * i 60, 7. 1», ar . as, rs, 40, a*, 49 nja deJ-Qxaceta tiúm. 3.) y 37 d. f vol. v firme: 47J , 4 36 y 4&lt;f d. f. vol y firnte i prima de 4 p. ios. r^Sr /V"r£rr9 nombrando * D. Antonio Rcmon Zarco del Valle Secretar Vales 00 consolidados, ia, 4 33,60, y 34 d. f. vol. y firme: 13 4 fio d. f. d vol. 4 íf W'tra en propiedad. (Núm. &amp;,) ... Deudaprim.negociablede ¿ p. 100*del J p. 100 4 papel, la i 33 y 60 d. f. d vol. | ’ OFrcr ibodíEc^tjo-.d gistemá dé impresión, publicación y circulación de h- Id. sin ínteres, oo. Acc…</t>
  </si>
  <si>
    <t>Valiejo, José Mariano</t>
  </si>
  <si>
    <t>José Mariano Valiejo</t>
  </si>
  <si>
    <t>…unta se cufiaron menos al 1? Que desde luego se nombren dos'oficiales por cada cuerpo de gunos relojes de oro. (Cióte.') los que se hallan de servicio en Madrid, los cuales, aprovechando ¡ j : , !■ la laudable oferta del referido D. José Mariano Valiejo", reciban de Tn True-Sun da ciertos-pormenores de la-prócesion de las sociednfcs ,'n. •u instrucción en la materia los conocimientos necesarios para for dustriales según el programa publicado antes de verificarse. Cada socio debía lle mar buenos instructores; no solo respecto al método de lectura,…</t>
  </si>
  <si>
    <t>Valiejo, Pedro</t>
  </si>
  <si>
    <t>Pedro Valiejo</t>
  </si>
  <si>
    <t>…sma relativo á que se exonerase Se nombró para la comisión especial de examen del expediente del Prín del cargo-de Procurador 4 O. Juan -Domingo Baimaseda , que lo es por la cipe D. Cirio* -al Excmo Sr. obispo que fue de Mallorca D. Pedro Valiejo, provincia de Avila, á causa de los males crónicos que padece , según él mis en lugar del Sr. arzobispo de Búrgos; y para la &lt;de Gracia y Justicia, en mo Jo había solicitado. .lugar del Sr« obispo de ValladoÜd al Excmo. Sr. obispo de Cóvboba* Igualmente se aprobó el dictamen de la misma comisión re…</t>
  </si>
  <si>
    <t>Valiente, José Musso y</t>
  </si>
  <si>
    <t>José Musso y Valiente</t>
  </si>
  <si>
    <t>…otánica D. José Alonso Quintaníllaí de que le tiene dadas pruebas. MOLSa de cou-BActa.~—Cotizac!oft,de hoy á las tres dt id tardé. Extracto del parte dado por el subdelegado del Fomento de la xFictos Públicos. provincia de Murcia D. José Musso y Valiente con fecha de 31 Inscripciones sobre el grao libro al ¿ por ida, od. ’ IfV. v“otl'^ del mes anterior. Dichas Id. al 4 p. loo, 51 al contado: 497, $ y go| i Varias firme: 49 sin e) cupón del presente semestre, a 60 días ó Vol. Se han tomado las medidas mas oportunas, y se han hecho las Titulo* al por…</t>
  </si>
  <si>
    <t>Valk</t>
  </si>
  <si>
    <t>…caballería. formidables posiciones de dicha población, y no teniendo nada que rezeiar, e-*- El coronel. £ím._el racuadCQP de.Jancerog mandado pf&gt;r el aperaba que el enemigo tomase algún garrido, qu$? según la confusion^de sus mo capitán \Valk&lt;j^l&lt;íj te%a torttdas^lgur¿S guerrillas enemigas,situadas ¿ nues vimientos, tpdavía no sabia cuálibabta de ser. Éntre tanto el duquc£$e Tercera, tra izquierda, fjje anDmjglclji ppr &lt;» esGffad^ones cqatído menos, que porjalcun pronto a marcW, había destacado alguna caballería sobre Valladeé p^ra e*ca…</t>
  </si>
  <si>
    <t>Valladares, José</t>
  </si>
  <si>
    <t>José Valladares</t>
  </si>
  <si>
    <t>…aneíSeo-Muguiro é Iribarren, pór Navarra. de conveniencia",Sis ,cl que allana la'senda á las reformas, y el que se ha pro D. José Alcalde, por Pontevedra. puesto segilir S- M. No podía por lo tanto echaren pitido que parte de lo? D. José Valladares , por id. productos de esta’* exacción-estaban destinados al culto; que en otra. parte de Marques de Monsalud , por Sevilla. ios mismobee^qtfrq^a l^subsistomáe-de ^igunos-ministros delsantuarúju-y que J4arguqs.jle laVUuena.por “ el resto c£baMani|ien%dica¡jo ÉtobjeJÍo^de he8éfióenc¡a;'&lt;*iet&lt;g'^od|s…</t>
  </si>
  <si>
    <t>…i modo se han de conservar las piemgaiivas del Estamento que las del Gobier guel Cosío, electo Procurador por la provincia de Segovia; y una expo.icion no. O gamos lo que dice la exposición (no pet'Cion como ha dicho el Sr. Se de D. José Valladares, electo por la de Pontevedra , di rígida á que se le exo cretario); y luego determinaremos sobre ella lo que esté en nuestras atribucio nere del cargo de Procurador, en atención a su numerosa tarmlia y cortos me nes con arreglo i las leyes." dios de subsistencia. El Sr. Medrana: «Esto es perder e!…</t>
  </si>
  <si>
    <t>…ataques, simulados de un poder codicioso. Se dió cuenta de un dictámen de fe comisión de Poderes , en que mani D. Juan ir en las Cortes de Valiadoiid ei ano de 1448 penetrado de las festaba que habiendo examinado fe exposición de D. José Valladares , electo razones-incontestables, en que nuestros legisladores fundaron su petición, san- Procurador por la provincia de Pontcvcdia, en solic tud de que se fe exonere ciprio. U ley &lt;5.% ttt. 4 °» lib« 3° de la Novísima Recopilación: en ella se or de dicho cargo por las razones expuestas en ella, y h…</t>
  </si>
  <si>
    <t>Valladares, José Aicalde Julio Sr D José</t>
  </si>
  <si>
    <t>José Aicalde Julio Sr D José Valladares</t>
  </si>
  <si>
    <t>…ecidos. \ _ ír.-í). Alvaro Ftórez &amp;ttadí' ' . ; jfc í&gt;. Jósé Lorenzo Salas. ‘ PROVINCIA DE ÍONTirV*DR&gt;to Orihuela. . . . .. 29 Junio á 1.a Julio.. . . .... 232 39 21 Sr, D, Miguel Pardo Bazan- Albatera. . .'. . 30 Junio á 2 ‘ Sr. D. José Aicalde. Julio.............. 122 9 18 Sr. D. José Valladares- Callosa de Segura. 28 á 30 Jumo# 43 28 1 Sr. p. Sebastian Cuesta. Sr. D. Antonio María Montenegro. Almoradí..,. . 2/ á 29 .ídem. 217 ¥ 2 • PROVINCIA DE TARaAnONA. Bigastro............ . 28 á 30 ídem. 12 8 2 fe, P. Alberto Valdric, marques de TorreraejU. Sr. D. Ramón de Ciscar. Dolores............ .…</t>
  </si>
  <si>
    <t>Valladares, Se de D José</t>
  </si>
  <si>
    <t>Se de D José Valladares</t>
  </si>
  <si>
    <t>…s por D. Mi modo se han de conservar las piemgaiivas del Estamento que las del Gobier guel Cosío, electo Procurador por la provincia de Segovia; y una expo.icion no. O gamos lo que dice la exposición (no pet'Cion como ha dicho el Sr. Se de D. José Valladares, electo por la de Pontevedra , di rígida á que se le exo cretario); y luego determinaremos sobre ella lo que esté en nuestras atribucio nere del cargo de Procurador, en atención a su numerosa tarmlia y cortos me nes con arreglo i las leyes." dios de subsistencia. El Sr. Medrana: «Esto es perder e!…</t>
  </si>
  <si>
    <t>Valladolid</t>
  </si>
  <si>
    <t>…r en la llanura sobre los caminos de Logroño y Lodosa; la infantería ya nuestra énas alta consideración Ócc.rcFrancisco Delessert, presÍdente.= Dubois, ocupaba las posiciones que .dominan el que traía el enemigo, y el batallón de secretario. ” Valladolid, que se hallaba formado en uno de los ángulos de la antigua mura lla , rompió el fuego sobre los que se dirigían á apoderarse de la población. . n .El Constitucional observa que mientras* los gobiernos ingles y francés no » F.l tiroteo duró como media hora con vivacidad; pero precisada nuestra * mu…</t>
  </si>
  <si>
    <t>Vallcjo, José Mariano</t>
  </si>
  <si>
    <t>José Mariano Vallcjo</t>
  </si>
  <si>
    <t>…adé la Real orden de 13 de Marzo último sobre este asunto, También he recomendado i |os pueblos el tratado sobre el movimienlo y j Jin mi parte de Abril manifesté que me hallaba instruyendo un expedien- aplicación de las aguas de D. José Mariano Vallcjo, cuya lectura puede ser Ite sobré una cantidad considerable de roturaciones que habían hecho varios la- en esta provincia de mas utilidad que en-la mayor parte de las del reino. fbradores de Bell-lloch en terrenos del común, para su completa instrucción , lo Del informe que pedí ¿ la junta de admin…</t>
  </si>
  <si>
    <t>…e que desde Sos le ha dirigido en 9 del actual ortografía , el catecismo de Flcuri y las cuatro reglas de números enteros de la el brigadier Linares, manifestándole haberse reunido á su columna el primer aritmética para niños, de D. José Mariano Vallcjo. batallon del regimiento de infantería, 6.a de ligeros, procedente de Aragón, y Clase 3.a- Un premio de cinta, medalla de plata sobredorada y 100 reales1 que al dia siguiente iba á salir con el convoy que debía conducir á Navarra. vn. para el niño de ocho á doce años que reúna cdn mas perfección, á…</t>
  </si>
  <si>
    <t>Vallcjo, Pedro González</t>
  </si>
  <si>
    <t>Pedro González Vallcjo</t>
  </si>
  <si>
    <t>…cimiento de li drnd i ftvrr-tn-rera , -d?h^ ~derirsft fpie e^trrangerj r por p?rm He», los Sr&lt;s. PuV:crr«s lm Fyrrrinc. Sne&amp;... -ran/V Ai* ---- __fue ¿ peticinn-^lel Spr-mndt- fie P.iñnnrr&gt;&lt;tT-rt| D. Aiiaucl.de Ricardo de A!jvat. D. Pedro González Vallcjo, marques de El Sr. Presidente mamfeiró que el dia 19 del corriente hábil recibido del Albaidj y el conde González Cástejon, y por la de los Sre*. Procuradores Tos Eterno. Sr. E). Javier de Burgos um expo.icion que contenü la prtKc^ra que Sre«. D. Alvaro hlorcz fji'traHa , marques^de Mon?er!'r¿cn ,…</t>
  </si>
  <si>
    <t>Valle</t>
  </si>
  <si>
    <t>…bía salido, fio duda el El gobierno creyó conciliar todos los extremos concediendo á los que hicie gobierno del buen éxito dé esta expedición. sen los pagos al contado y en.dinero una rebaja que compensase la ganancia El valiente coronel Valle, que en otro tiempo mandó el justamente cele que debían tener en los abonos, y el interés respectivo por el adelanto. El co brado regimiento de húsares de J unin, se halla al frente de la división que se mercio recibió muy bien esta medida, lo que prueba que ella concilló la jus está formando en la…</t>
  </si>
  <si>
    <t>…creía que hubiese la di «5i pues 4 los actuales poseedores se les obliga 4 este pago, van 4 quedar ficultad que se suponía para su admisión. arruinados muchos, no poniendo el correctivo que expresa la adición que pre- F.1 Excmo. Sr. Valle jó dijó que aunque abundaba en las mismas ideas que séñto; én cuyo caso podré dirigirse la acción contra los bienes libres en que el Sr Secretario del Despacho, sin embargo, creía que podía admitirse la adi hayan sucedido, sin tocar 4 los del vínculo. El Estamento graduaré el mérito ción si se esta…</t>
  </si>
  <si>
    <t>…Lis islas irta; pero habéis vmo también que precp*tadacncnte se van destruyendo sus de Cuba y Puerto-Rico. vite* 'ecuaces, agobiados por el pr*-.o irresistible da la indignación nacional. Habéis vi-.tr&gt; llegar a! Calibo al bravo coronel Valle, conduciendo toda la caba Al intendente de Filipinas se dire lo siguiente: Flalñcudo liado llería que los traidores teman en La, p»ra consumar sus crimines. Habéis visto cuenta á S- M. la Reina Gobernadora del espediente promovido reunirse nns los buques de guerra y a valiente La nao con las tropas…</t>
  </si>
  <si>
    <t>Valle, D Melchor</t>
  </si>
  <si>
    <t>D Melchor Valle</t>
  </si>
  <si>
    <t>…del de Guerra y Marina. Era de caballería, que estaba en Pisco, siguió el mismo partido;* embarcándose en preciso que se encargase también, por las circunstancias, del de Gobierno y Re— . ese puerto, se vino al Callao con el Sr. coronel D. Melchor Valle y.otros ge-" ' Liciones Exteriores. Tres distintos ministerios de úna sola oficina y en una sola fes y oficiales. El teniente coronel Sotomayor sé vino también con 14o^fosi- persona, no podían dejar de'perjudicarse mutuamente, causando confusión y ies y 10 barriles de pólvora que los sediciosos man…</t>
  </si>
  <si>
    <t>Válle, D Pedro</t>
  </si>
  <si>
    <t>D Pedro Válle</t>
  </si>
  <si>
    <t>…ostenerlo, y la puesta por el Excmo. Sr. marques de Guadalcázar al proyecto de lev sobre la de no poder atender á este bien sin descuidar el de la propia subsistencia, que venta de bienes vinculado*-, subió á la tribuna el Excmo. Sr. D. Pedro Válle es el primero de fódos, y sin limitación alguna en el número , pues que cuan lo, y lo leyó t siendo como sigue: to mayor sea, menor será la carga que corresponderá llevar á cada uno, y Ilustres Próceros t .Habiendo acordado el Ilustre Estamento que sé tómase mas segura descansarán la libertad y tod…</t>
  </si>
  <si>
    <t>Valle, Eduardo</t>
  </si>
  <si>
    <t>Eduardo Valle</t>
  </si>
  <si>
    <t>…, cras de aquella ciudad que oportunamente se ha destruido ¿ b neficio de medidas D. Amonio Araujo , D. Juan de Cosío, D. Nicolás Mena, D. Pedro Tajonetamurias, aislando el mal en su origen, de que V- t. tiene cumplido conoci ra, D. Eduardo Valle, D. José María A bel la, D. Anacido Martí, D. Ma miento. En dos pueblos ma* de la provincia se han presentada uno ó dos casos nuel Fuertes , D. Joaquín Acevedo , D. Manuel de Lucas, D. Angel Domín sospechosos, que hasta ahora no resultan caracterizados, y de este modo confio guez de. Soto, D. José…</t>
  </si>
  <si>
    <t>Valle, Juan</t>
  </si>
  <si>
    <t>Juan Valle</t>
  </si>
  <si>
    <t>…en oficio de 30 de Setiembre anterior, quo Ilon; los capitanes D. Andrés Herrera y D. Tadeo Lolikoski; el subteniento desde'26 á 29 del mismo mes existieron en aquella capital 109 enfermos," cu D. Francisco Galan; el sargento l.° D. Juan Valle; el cadete D. Francisco raron 37, y murieron i4 = que había sido invadido el pueblo de Comin Real: Mullen; los cabos primeros Pedro García y Vicente Eravo, y los soldados que en los 20 pueblos de la provincia que sufrían el cólera y le daban noti Antonio Fernandez, José Coronel, Francisco Orillana,…</t>
  </si>
  <si>
    <t>Valle, Melchor</t>
  </si>
  <si>
    <t>Melchor Valle</t>
  </si>
  <si>
    <t>…Guerra y Marina. Era de caballería, que estaba en Pisco, siguió el mismo partido;* embarcándose en preciso que se encargase también, por las circunstancias, del de Gobierno y Re— . ese puerto, se vino al Callao con el Sr. coronel D. Melchor Valle y.otros ge-" ' Liciones Exteriores. Tres distintos ministerios de úna sola oficina y en una sola fes y oficiales. El teniente coronel Sotomayor sé vino también con 14o^fosi- persona, no podían dejar de'perjudicarse mutuamente, causando confusión y ies y 10 barriles de pólvora que los sediciosos man…</t>
  </si>
  <si>
    <t>Válle, Pedro</t>
  </si>
  <si>
    <t>Pedro Válle</t>
  </si>
  <si>
    <t>…nerlo, y la puesta por el Excmo. Sr. marques de Guadalcázar al proyecto de lev sobre la de no poder atender á este bien sin descuidar el de la propia subsistencia, que venta de bienes vinculado*-, subió á la tribuna el Excmo. Sr. D. Pedro Válle es el primero de fódos, y sin limitación alguna en el número , pues que cuan lo, y lo leyó t siendo como sigue: to mayor sea, menor será la carga que corresponderá llevar á cada uno, y Ilustres Próceros t .Habiendo acordado el Ilustre Estamento que sé tómase mas segura descansarán la libertad y tod…</t>
  </si>
  <si>
    <t>Valle, Pedro González</t>
  </si>
  <si>
    <t>Pedro González Valle</t>
  </si>
  <si>
    <t>…a familia que osó alimentar ambicióse* desig . . Entraron i jurar y. tomaron asiento los Excmos. Síes, conde de Cuba, nios, aun viviendo su Hermano y su Rey, y que muerto este, intenta por conde de Salvatierra, D. Antonio Posada, D. Pedro González Valle jo y condq medio de la guerra civil arrebatar, él cetro i su heredera legítima. V. M. pien de ViUafuertes. ■ , : ( : , „ sa con razón que la tranquilidad'presente y la suerte futura dé estos reinos pen Se leyó un oficio; del Excmo. Sr. . Secretario de lo Interior con que acom- den quizá de. la, dec…</t>
  </si>
  <si>
    <t>Vallej.i, Jo.e Mariano</t>
  </si>
  <si>
    <t>Jo.e Mariano Vallej.i</t>
  </si>
  <si>
    <t>…co 4 V. E. para conocimiento de la Reina Gobernadora, Colimadora en las escuelas normales, establecidas por Re.,1 orden bajo la inspección 4 quien puede V. E. asegurar que con el entusiasmo y decisión que asi en esta inmediata de D. Jo.e Mariano Vallej.i, y distribución de los premios adjudicados el 11 de Mayo en las mismas, por el Excmo. Sr. duque de Gor, gobernador civil de la ocasión como en las otras, en que fue atacada esta villa, ha manifestado tanto provincia de Madrid, con asistencia del Sr. Corregidor . de los individuos de la Real la mayo…</t>
  </si>
  <si>
    <t>Valléjo</t>
  </si>
  <si>
    <t>…onstruyendo, y los demas carecen de fon Cuando llamamos al Oriente la actividad de! sistema occidental, cuando le dos para costearlos. mostramos la utilidad de unir á la Grecia con el Occidente y le indicamos esta Ha recibido del Sr. Valléjo las instrucciones que le pidió para establecer nueva carrera abierta á su energía , no hacemos nada que sea superior á las fuer una escuela normal de su método en aquella ciudad, y no duda poder realizar zas y al porvenir de este sistema; examínense si no ¿ los progresos que ha hecho en este útil proye…</t>
  </si>
  <si>
    <t>Vallejo</t>
  </si>
  <si>
    <t>…pueblo no está satisfecha: personas infames, á sos en un barrio de los mas grandes y pobres del cuartel, tenia preparados,y quienes al parecer Se protege, deben ser exterminadas.” Los autores de este es distribuyó por su mano el Sr. Vallejo; socorriendo ademas con dos camisas a crito incendiario no han sido descubiertos hasta ahora. dos vecinos pobres de los mas necesitados de su demarcación. Entre los exami M. Schovaers, en cuya casa se juntaba una reunión orangista sin que él lo nados hubo un niño y dos niñas á quienes por haber sob…</t>
  </si>
  <si>
    <t>…tituyeron en su imperio* Los gefes de las escuelas seguí-: soldados del regimiento de Coraceros, y resultando que no conocían ninguna dos de una multitud de discípulos y *dc amigos, se presentaban en la corte ¿ letra, procedió el Sr. Vallejo d hacerles una explicación de la cljve , y los sol disputar la corona de oro, premio del estudio y del talento. Las mismas mugedados leyeron por sí algunas1 sílabas antes de decírselas, continuando del mismo res, no contentas con adornar las reuniones de que eran el alma y la vida, Cam modo hasta l…</t>
  </si>
  <si>
    <t>…a procedido á escribirla, el Sr. Secretario de Estado hab-a fi nuel García Herreros, id.; D. Tomas González Carvajal , enfermo; coritle de jado de tal modo la cuestión, que eL Estamento convino en que no había nece Castejon, id.; obispo Vallejo, presente; duque de Gor, id.; marques de sidad de sentar ninguna nueva proposición, ni por consiguiente la del Sr. Gar Guadalcozar , presente; conde de Guaqui, id.; duque de Hijar, id.; conde cía Herreros. Este repuse que aun cuando eso fuese cierto, el acta debía referir de Humanes, idi; D- Justo…</t>
  </si>
  <si>
    <t>…alle de Santiago, empezándose por un discurso del encargado deitro de la eludid, y otro extramuros de ella: acompaña asimismo el si principal del establecimiento, en el que manifestó las ventajas positivas del jnéguiente tedo del Sr. Vallejo, la progresión de los adelantos hechos por diferentes.suParte sanitario. getos de todas edades, y la suma sencillez y facilidad de la nueva teoría. Pueblos- Días. Enferitios. Curados. 4 Fallecidos. ANUNCIOS. Observaciones sobre el empréstito Guebharci, por el Bxcmo. Sr. D. Javier de Bur 1834. Sojo.…</t>
  </si>
  <si>
    <t>…s fundamentales un ensanche racional,'mas odiaba la anarquía; quería un El estado de instrucción de los alumnos examinados á presencia de S. MI | trono constitucional libre,, independiente y digno de una nación grande, mas por el Sr. Vallejo, desde el momento-en que desnudos aquellos de todo cono-1 se ini’aba al ver las facciones agitarse y organizarse en derredor del naciente cimiento de las letras que componen nuestro alfabeto se presentan á recibir su 1 Gobierno, para convertirlo en instrumento de un partido, ó para ahogarlo en inst…</t>
  </si>
  <si>
    <t>…, Sr. Bardají, Sr. Alava, conde de Monterron , conde de Villafuertes, en los términos que lo he propuesto.” conde de S. Román, Sr. Navarro y Sangran , obispo de Teruel, conde de Cu Después de una ligera discusión entre los Sres. obispo Vallejo y mar ba, Sr. Atvarez Guerra, duque de Noblejas, marques de Malpica, Sr. Nkvar- ques de S. Felices, quedó aprobado el artículo según se hallaba. ‘ rete, Sr. Cuadra, Sr. Quintana, Sr. García Herreros, Sr. obispo Val lejo, se- . Art. 3.° Quedan suprimidos desde dicha época ios juzgados protectores ñor…</t>
  </si>
  <si>
    <t>…e suscripción 102 Burdeos, 00.' zo ^ b. Graoada i| fd. Zaragosa | d. 00- A* m burgo, Barcelona á pesos fs. de letras b. Descuento Málaga | M 90 diaa I reales: de renta 120. Idndrci i abo. Santander al á 4 p* 100 t d. i Id- : . El Sr. Vallejo ha concluido la vasta empresa que se propuso. Cuanto hay tTÍ Bilbao par á t &lt;L Samiago | á 1 idimportante «le saber en materia de este grande agente de la naturaleza j da la» artes, se halla expuesto en su obra con arreglo al último estado de la ciencia hidráulica y de sus aplicaciones con suma cla…</t>
  </si>
  <si>
    <t>…o artículo 4 que se refería la adición estaba remediado El Excmo. Sr. Secretario de Gracia y Justicia contestó ser imposible el ed gravámen que equivocadamente se suponía cargar Sobre los flctuales poscedo-,, caso que proponía el Sr. Vallejo de que un poseeedor de fincas que no las hu res; porque expresa claramente que cada poseedor de la finca devuelta habia de biese él vendido reintegrase al comprador el precio que dió por ellas: que en satisfacer los réditos por el tiempo que la hubiese disfrutado: que si aquella ha caso de existir un…</t>
  </si>
  <si>
    <t>…ó mala, que vendieron, aun cuando no percibieron el valor de las ventas, su encontraron ampare la posesión, hasta ei día que se derogue no hay mora pon un regalo, hijo de las circunstancias políticas, y resultado de medidas an El Sr. Vallejo: «Pbr lo mismo que habia una ley con tuyas disposicio tipolíticas , entrando por título lucrativo ai goce de una finca legamente des nes no se cumplía, habia mora. La ley ó cédula del año de 1824 óecia (leyó.) membrada; la ley ahora, tratando de reparar los perjuicios ocasionados, dice Por consigui…</t>
  </si>
  <si>
    <t>…das á sucu mpliniicnto, no contándose ct tiempo trascurri lá adición. ■ "&gt; ' . . do desdeja cédula de 182^hai*e la"sanción del presente proyecto comoley.” Vista la&lt; propuesta por el Sr. Redondo al párrafo 4-° del articülo'4-0, El Sr. Vallejo se Opuso á que se admitiese, Fundado en que la ley no de para que se añada, ¿ los-que no deben ser incluidos en etdistamiento «los're be comprender sino dos casás comunes y ordinarios, sin descender á los parti latores dé los tribunales supremos , superiores y especiales,, aunque no sean de culares…</t>
  </si>
  <si>
    <t>…•OtaA-D* cantss.cio.^Cbtizacion de hoy S tar tres de la torete. - ,JPatú éstabléccé etí'eíta ciudad únaescuel» normal donde pudiesen los macar-, rpxctos'pvNLIcoa. ttúé de varios pueblósidc la provincia, instruirse del método del Sr. Vallejo, dfcpsfté háeerelettsáyÓ ¿Ón algunos ¿unos i las órdenes del maestro de primera» Inscripciones en elgrtn libro tí p. JOO^ 00. --r; '¡ - ' - - . Títulos *1 pí»rtador del i p. IOO. OíX ' ' , latías P. Angel Escudero,-y su rpqjudo.ha correspondido í sus deseos, ha- Inscripciones en el gran libro á 4 v…</t>
  </si>
  <si>
    <t>…virids puejp despmpefian en. el método de enseñar he comisionado á un joven de las me- blos contagiados , mandando ademas que los vecihds rociasen lo interior dé sus jqrcs .disposiciones para que trasladándose á Madrid reciba del Sr. Vallejo, con casas con agua clorurada ó vinagre, cuidando asimismo-de tenerlas siéhiproasea— ¡jqietj.estoy de acuerdo, las instrucciones necesarias para establecer en esta ciu- das-; que habia resuelto que en: dicha capital nosfc ádtbitlesen eriférmó» déifiiedaq una escuela normal de educación primaria , d…</t>
  </si>
  <si>
    <t>Vallejo, D José Mariano</t>
  </si>
  <si>
    <t>D José Mariano Vallejo</t>
  </si>
  <si>
    <t>…embates de un partido incapaz de ceder én sus preocupaciones ni ea los soldados de la Guardia Real de infantería^ que bajo la detección del dili sus intereses, y amaestrado en alevosas maquinaciones; desórdenes y extravíos gente profesor D. José Mariano Vallejo, y por su nuevo é ingenioso método, casi irremediables en semejantes épocas; males fínicos que afligen y disminuyen correspondió á los deseos , y sirvió para que se diese otra extensión al mismo la población, y sobre todo la necesidad de mantener para su seguridad y su fu ensayo, que ha seguido con…</t>
  </si>
  <si>
    <t>Vallejo, D Pedro González</t>
  </si>
  <si>
    <t>D Pedro González Vallejo</t>
  </si>
  <si>
    <t>…ra cu.it r». M.is oros sol» puede decirle que fueron cinco voto* en virtud de~los decretos de las anteriores Cortes. A su consecuencia el Exce contra cuatro ; porque si hubiere votado el Sr. Galarzi, a quien vo creo cor lentísimo Sr. D. Pedro González Vallejo le leyó desde la tribuna (se inserta respondía , es claro que no hubiera votado en favor de los que se opusieron a rá el tKa señalado para la discusión). que entrabe en la junta. F.n tal caso hubiera salido empatada iJ votación , v de Acabada la' lectura de este dictamen, el Excmo. Sr. Presidente d…</t>
  </si>
  <si>
    <t>Vallejo, Dionisio</t>
  </si>
  <si>
    <t>Dionisio Vallejo</t>
  </si>
  <si>
    <t>…eposo., y les han cogido.atguqos prisioneros rezagados que se diri 4.982.. 500*.. Malaga.. gen i Seo. Domingo ó- Haro. Entre estos es dq notarse la captura que hizo el 25.243.. 500.. . Madrid. cabo de la Milicia urbana de Briones D. Dionisio Vallejo, que solo , y sin 13.998.. 500.. , Idem. ansas, aprehendió ¿dosfacciosos, consiguiendo con ardides apoderarse de las 23.366.. 500.. , Barra lona, que. ellos tenían, y los condujo á disposición de la autoridad competente. . 2.665.. 500... a q ... a ... . Jétfifcd? la Frontera. »L» dirección que llev…</t>
  </si>
  <si>
    <t>Vallejo, Jo-é Mjriar.o</t>
  </si>
  <si>
    <t>Jo-é Mjriar.o Vallejo</t>
  </si>
  <si>
    <t>…o de muerte á todos, y golpeando del modo mas birbaro á ensayado el cultivo de lino de Fundes, y el de otras semillas proporcionada» Cuanto» se le oposÚD , por lo que el dia 9 había emprendido su marcha desde por el mismo Arias y D. Jo-é Mjriar.o Vallejo ; se usan trillos mas perfectdi Cervera para el citado valle, y el lu al llegar al pueblo de VilUnucva de La- que los comunes; el gobernador haTiecho traer el arado de Herrar**, y h» n¡a-supo que en el de Campo se hallaban los faeciosos en numero de 4^» acau.- expedido una circular para saber el es…</t>
  </si>
  <si>
    <t>Vallejo, José Mariano</t>
  </si>
  <si>
    <t>José Mariano Vallejo</t>
  </si>
  <si>
    <t>…de mptaS ,cuya conservación y fomento se hacen precisos' paTa con - El 22 del mismo también se instaló la-academia de enseñanza del nuevo tener eTímpetu cíe las vertientes que ocasionan tales inundaciones- ' _ • método de leer de D. José •Mariano Vallejo/á cuyo acto de apertura-concurríEn esta capital «e han tomado las medidas necesarias para desterrar dé las por indisposición de este gobernador icívil; y despues.de habér hecho presente casas ,calles, plazas é inmediaciones de la población cuanto pueda perjudicar i el noble objeto ,que$all i reunia…</t>
  </si>
  <si>
    <t>…l centro por el brigadier barón del Solar de Espinosa; y U de la derecha por j medios de establecer en dicha provincia escuelas normales, según el método de el brigadier D. Manuel Benedicto, con la que marche, para que obrando en D. José Mariano Vallejo: otra para inquirir las causas de la miseria en que se combinación se pudiese dar un golpe decisivo a las facciones de e*u provincia, hallan los labradores , y las disposiciones que convendrá adoptar para elevarlos que en número de 60 hombres se hallaban situados en las mmeluc:c*ne&gt; de] álgrado de…</t>
  </si>
  <si>
    <t>…as cosas que en él echaba de menos; peleta, siguiéndose el método de lectlira introducido en las escuelas normales I por cuyb medio si no se destruye el sistema de centralización , porque: no es útil de esta corte por sú director D. José Mariano Vallejo. ■ ¿ ni conveniente separar á los pueblos de la metrópoli, convirtíéndolos en peque Ala una y media de la tarde se presentó S. M. acompafiada del Excelen ños.estados independientes, que equivaldría á romper la unidad que constituye tísimo Sr. capitán de Guardias de la Real Persona y de su gentilhomb…</t>
  </si>
  <si>
    <t>…su acequia Real. Con el remanente del _ Premio de 500 rs. vn. al que plantifique una escuela normal para facilitar fondo que se aplicó á la mejora del alumbrado, ha dispuesto que se construyan la enseñanza por el.nuevo método de D. José Mariano Vallejo-=Si se estable en la cuidad de S. Felipe dos lavaderos públicos, y se emprendan otras obras ciesen dos ó mas se adjudicará el premio al que en fin de Octubre presente ma útiles. yor número de individuos instruidos. Har despachado algunos expedientes sobre repartos vecinales de granos de pósitos. * A…</t>
  </si>
  <si>
    <t>…bres propios de personas con sus diminutivos: todo en el mejor órden. finalmente , que desde el dia ó se habian presentado dos casos en Rioscco; pero que 4(á£ta:ebli no stf-vhtbra aumentado eLnúmero de enfermos , habiendo* filie— D. José Mariano Vallejo ha logrado ya cumplir cuanto tenia ofrecido, relativo á cido las dos personas invadidas. _................................. proporcldnar para enseñar a leer por so nuevo método, claves, colecciones Scc. de todos los tamaños y caracteres, y al gitanee de todas las forru ñas. Asi es , que ademas , PR…</t>
  </si>
  <si>
    <t>…creada por nji Real decreto de este día, vengo en nombrar á D. Manuel José Quin ' S. M. la Reina nuestra Señora, su augusta Madre la Reina tana, Procer del Reino; á D. Mariano Liñan, Procer del Reino v obispo electo de Teruel; á D. José Mariano Vallejo, vocal que lia Gobernadora y la Serma. Sra. Infanta Doña María Luisa, continúan sido de la inspección general de Instrucción pública: á D. Juan N-isin novedad en.su importante salud en el Real sitio del Pardo. casio Gallego, ministro del tribunal de la Real Gracia del excusado, y á D. Eugenio Tapia…</t>
  </si>
  <si>
    <t>…de un partido incapaz de ceder én sus preocupaciones ni ea los soldados de la Guardia Real de infantería^ que bajo la detección del dili sus intereses, y amaestrado en alevosas maquinaciones; desórdenes y extravíos gente profesor D. José Mariano Vallejo, y por su nuevo é ingenioso método, casi irremediables en semejantes épocas; males fínicos que afligen y disminuyen correspondió á los deseos , y sirvió para que se diese otra extensión al mismo la población, y sobre todo la necesidad de mantener para su seguridad y su fu ensayo, que ha seguido con…</t>
  </si>
  <si>
    <t>Vallejo, Josef Mariano</t>
  </si>
  <si>
    <t>Josef Mariano Vallejo</t>
  </si>
  <si>
    <t>…Fernando de Gllman , acadériiéo, tercera edición , 3 to— f mos con láminas á 72 rs. pasta: amb'ás se'veriden en la Librería de Razóla. — .Cuatro pa'obras sobre las obras para la enseñanza de las primeras letras, publl-j cadas por D. Josef Mariano Vallejo; y defensa de las que inventó el difunto D. Vi-41 Los suscriptores á la colección^ litográfica de, cuadros de la Reina nuestra deute Nabarro» Por D. X* dirigida á vindicar U buena memoqia defl Señora en. el Real museo se'servirán mandar Ü recoger al Real establecimiento laprofesorparte D.queVicente…</t>
  </si>
  <si>
    <t>Vallejo, Pedro González</t>
  </si>
  <si>
    <t>Pedro González Vallejo</t>
  </si>
  <si>
    <t>…----- Ta repentina salida para París del barón Rothschild ha causado alguna Atendiendo á la notoria ilustración y demás circunstancias cfue conmoción en la city y en U lonja. Después que recibió el expreso en que se concurren en D. Pedro González Vallejo, Prúcer del reino, y obispo le llamaba inmediatamente á París, despachó un criado a! joven barón Rotchsqxte fue de Mallorca, he tenido á hien nombrarle vocal de la comi ehild que había ido á una partida de pesca, escribiéndole que cuidase de los sión creada por mi Real decreto de 4 de Enero de este…</t>
  </si>
  <si>
    <t>…u.it r». M.is oros sol» puede decirle que fueron cinco voto* en virtud de~los decretos de las anteriores Cortes. A su consecuencia el Exce contra cuatro ; porque si hubiere votado el Sr. Galarzi, a quien vo creo cor lentísimo Sr. D. Pedro González Vallejo le leyó desde la tribuna (se inserta respondía , es claro que no hubiera votado en favor de los que se opusieron a rá el tKa señalado para la discusión). que entrabe en la junta. F.n tal caso hubiera salido empatada iJ votación , v de Acabada la' lectura de este dictamen, el Excmo. Sr. Presidente d…</t>
  </si>
  <si>
    <t>Valles, Antonio</t>
  </si>
  <si>
    <t>Antonio Valles</t>
  </si>
  <si>
    <t>…uS funciones , y empiezan i desempeñarlas después de haber pres Arpiroz , del 5.° libero , ha balido y dispersado completamente á la facción del tado el juramento que previene el Real decreto de 30 de Noviembre últin\p, cabecilla D. Antonio Valles, que se suponía de 200 hombres , en la masada de en m.mos del Excmo. Sr. Secretario de Estado y del Despacho del Fomento la V.dl de Navaldó, término de Horta . el 5 del corriente, siendo muy general del Remo,-ó&gt;en las de los capitanes generales de las provincias, fuera recomendable el mérito de est…</t>
  </si>
  <si>
    <t>Vallfejo, José Mariano</t>
  </si>
  <si>
    <t>José Mariano Vallfejo</t>
  </si>
  <si>
    <t>…smo capitán general, pues las bre que padec.a achaques habituales, y en el cual degeneró el colera en tifus. pocas que existen en el castillo de esta ciudad son casi del todo mótiles. EV TTíétodo para enseñar á leer inventado por D. José Mariano Vallfejo, es PROVINCIA DB TOIEUO. tablecido ya en la ciudad de Toro y en la villa de S. Cebrian de Castro Torafe , según anuncié á V. E. en mi último parte, no tardará en plantcarse'én es Con fecha 27 del corriente avisa el gobernador civil de dicha provincia que ta,capital. Para conseguirlo he señalado, de…</t>
  </si>
  <si>
    <t>Valsóla, Santiago</t>
  </si>
  <si>
    <t>Santiago Valsóla</t>
  </si>
  <si>
    <t>…ortes recibidos en la secretaría de Estada y del Dejpatho de lo Guerra. VWigpHri» rownqwrty w ';¡! ia;li ¡lg «wU, El capitati-gencral dé Castilla Ja Nueva comuniqa. cl siguiente.,parte ¡del .capitán del .Real cuerpo de Ingenieros D. Santiago Valsóla, comandante.de Jh columna móvil de la provincia de Guadaiajara, fecho en Caracena á -Ló del fulgida de profundidad, en figura de taza, y de ud puIírg^CfjjD^u^tt^^ialnitr actual. .,-ií teria era el cuarzo, que había sido trasparente, pero se había manchado por el «En virtud de un parte verbal en que…</t>
  </si>
  <si>
    <t>Valverde, Antonio</t>
  </si>
  <si>
    <t>Antonio Valverde</t>
  </si>
  <si>
    <t>…yey á las doce, después de una marcha de reís leguas por sendas casi ha sabido dar buen ejemplo á sus soldados. El ayudante‘de la Reina . 2.° da iptrahsx^*q{es: i la medía hora, Citando la tropa tomando raciones, iré aviso línea, D. Antonio Valverde, graduado de capitán, y el alférez del 3.° D. Ge tin confidente re hallaban los enemigos en él pueblo de Ácdo de las Pueblas rónimo Díaz, han conducido perfectamente las mitades que han mandado: la en elyñtle ¿fe Paz. Al momento escogí 8i&gt; ¿nfantes del provincial de Grana infantería del regimiento…</t>
  </si>
  <si>
    <t>Valverde, D Faustino</t>
  </si>
  <si>
    <t>D Faustino Valverde</t>
  </si>
  <si>
    <t>…4 452p*al 100contado:* 00. 54, 59f y 13 i variad A. 6 vol* «Igualmente recomiendo at alférez graduado sargento primero de ia 1.* Vales Reales no consolidados, 18$ y 18$ a varias fs. ó vol. compañía del regimiento infantería de la Reina D. Faustino Valverde, y á los Deuda negociable de $ p. 100 á papel, 00* Id. sin Ínteres, 10$ al contado: 11$ a 33 d. f. 6 vol.* k prima da $ p. 10&amp; toldados de la misma Antonio JDalderon y Juan Redon; al subteniente de la Acciones del banco español* 00. Guardia Real provincial D. Javier Linares, y al soldado herido del…</t>
  </si>
  <si>
    <t>Valverde, Faustino</t>
  </si>
  <si>
    <t>Faustino Valverde</t>
  </si>
  <si>
    <t>…*al 100contado:* 00. 54, 59f y 13 i variad A. 6 vol* «Igualmente recomiendo at alférez graduado sargento primero de ia 1.* Vales Reales no consolidados, 18$ y 18$ a varias fs. ó vol. compañía del regimiento infantería de la Reina D. Faustino Valverde, y á los Deuda negociable de $ p. 100 á papel, 00* Id. sin Ínteres, 10$ al contado: 11$ a 33 d. f. 6 vol.* k prima da $ p. 10&amp; toldados de la misma Antonio JDalderon y Juan Redon; al subteniente de la Acciones del banco español* 00. Guardia Real provincial D. Javier Linares, y al soldado herido del…</t>
  </si>
  <si>
    <t>…na hora. eoroáieT£&gt;7Tedro Espinosa, espiran del tí.°ligeros, los cargase con sus 5o ca- ■►También es digno de recomendación el sargento L* con grado de alSbalW»t Mcapiian D. G*&amp;p*r Hernando, tenientes D„ José Martín A reárate ,ez D. Faustino Valverde, del regimiento caballería, '2." dé linca, que h* y D. Mabueí Cortazar, que &gt;a-4iftgiescn:por la izquierda 4 fin de impedirles U , dirigido la guerrilla de su arma j y en fin. rock*.. pues todos han rivalizad* VJfaí aquel puntó, IBinéndolo yo por ti centra con los 25- caballos de «q decisáon al gri…</t>
  </si>
  <si>
    <t>Valvtrda, Antonio</t>
  </si>
  <si>
    <t>Antonio Valvtrda</t>
  </si>
  <si>
    <t>…y íorneno?m caballería con que fue atacada la facción se coqjppiyia.de 26 caballos del 2.a Rio k deducir la «¿don que le* competa i apetcibkkk que puado ata Tarificarlo Jerpa»4* da linee *1 anudo del ayudanta graduado, da cogitan D. Antonio Valvtrda^ mrá perjuicio» ~ ' 1 SM XA JMP&amp;KÑT.4 &amp;XA&amp;</t>
  </si>
  <si>
    <t>VaMés</t>
  </si>
  <si>
    <t>…a sus documentos y se aprueben no es Procurador: por tanto, en te cuando se amenazaba el trono de nuestra ¿nocente Ruina Doña Isabel ii, el dia podrá decirse que venga ó‘no el individuo de que se trata; pero que se le y cuando el general VaMés fue nombrado para mandar el ejercito del Norte. admita esta renuncia no puede resolverse. Ruego, pues, á los Sres. que han pe Separado Valdés de dicho mando, vino el coronel Seoane á la capital, en U dí ’o la palabra en contra del dictámen, que se hagan bien cargo de él.” que estuvo un corto tiempo…</t>
  </si>
  <si>
    <t>Van Snelen, Verstolk</t>
  </si>
  <si>
    <t>Verstolk Van Snelen</t>
  </si>
  <si>
    <t>…Schcwcmngen , donde lomará los baño» durante una gian paite del ve ro de 15l&gt;0 hombres desde K.Hlamata contra los ma*notas. Su país se entiende rano. por esta parte hasta Kraechova por una séric de colmas que van en disminu •* El barón Verstolk Van Snelen , m rostro de NTeg&lt;~c¡oi extrangeros, ha ción desde el monte Taygetó has*a ia mar, siendo el terreno mas bien desigual vuelto ayer del Loo. hsU mafuni se ha engarzado de su tmontciio, que des que escarpado. Las alturas están cubiertas de torres b en fortificadas, que sir pachaba interinamente M. Va…</t>
  </si>
  <si>
    <t>Van-den-Rosch</t>
  </si>
  <si>
    <t>…nte decreto.ccD. Pedro, duque de Braganza.rr:Benito PePor decreto de 30 del mismo mes de Mayo, ha conferido S. M. el mi reira de Carmo.=Jos¿ de Silva Carvalho.=:Agustín José Fre¡re.=Jóaqúin An nisterio de las colonias al teniente general Van-den-Rosch, comisario general tonio de Aguiar. — Francisco Sincoens Margiochi. = Palacio de las Necesidades que ha sido en Java, 17 de Mayo de 1834* (Globe and Travelleri) El príncipe felds-mariscal, pasará hoy revista ee Oosterhout á dos regi mientos de coraceros y uno de lanceros, los cuales harán después v…</t>
  </si>
  <si>
    <t>Van-halen</t>
  </si>
  <si>
    <t>J 9*5 ____ El general Van-halen desterrado cuatro reces da España ha llegad# i «tí* que sean de su soberano agrado. Dios «Scc. Cuartel general de Vi^arcavo Marsella. 24 de Setiembre de 1 834-=Exc/no. Sr.srjose Afanso-z^Excroo. Sr. secretario de Estado y del Despacho de ia Guerra. ... El Diario de los Debates dice: á pesar dfc las…</t>
  </si>
  <si>
    <t>Van-Ness, Cornelio P</t>
  </si>
  <si>
    <t>Cornelio P Van-Ness</t>
  </si>
  <si>
    <t>…dichos Estados.de Hacienda, Enviado extraordinario y Ministro plenipotenciario cesante, y Presidente de la Real Junta de apelaciones de créditos contra la Francia; y el INSCRIPCION NAPresidente de los Estados-Unidos de América á D. Cornelio P. Van-Ness, ciudadano de dichos Estados, y Enviado extraordinario y Ministro plenipoten ciario cerca de S. M. Católica Doña Isabel ii , los cuales , después de haber CAPITAL. * XEKTA* cangeado sus respectivos plenos poderes , han convenido en los artículos si Pesos fuertes------------------i Pesos fuertes____…</t>
  </si>
  <si>
    <t>Vanden-Bosch, Mr</t>
  </si>
  <si>
    <t>Mr Vanden-Bosch</t>
  </si>
  <si>
    <t>…la división del brigadier López se había puesto rápidamente en los habitantes. El té de Java de diferentes calidades, llevado á Holanda por movimiento desde Viana en dirección de los Arcos, y que los enemigos se ha el gobernador general Mr. Vanden-Bosch, hoy ministro de las Colonias, y llaban en el valle de la Bcrrueza. que habla costado en la isla de 20 á 30 cents (l) la libra, ha sido evaluado El 12 que se oía fuego mu,y vivo de fusilería y cañón desde las tres de la por los comerciantes de Amsterdan en el precio de 2 á 4 florines. Cree este há…</t>
  </si>
  <si>
    <t>Vanhalen</t>
  </si>
  <si>
    <t>…ado los correspondientes destacamentos. En la plaza de Tortosa también ESPAÑA. se han presentado ocho facciosos. La activa persecución que han experimentado las gavillas de la montaña Üfadrid 23 de Diciembre. por las columnas del coronel Vanhalen y las de otros gefes militares de aque llos distritos, han producido también la dispersion_y el descontento entre los Habiéndose dignado S. M. la Rxina Gobernadora señalar dia y hora con rebeldes. De sus resultas avisa el teniente general conde de Castellani, coman la anticipación debida, una comisión del E…</t>
  </si>
  <si>
    <t>Vani'tijVíf, Antonio</t>
  </si>
  <si>
    <t>Antonio Vani'tijVíf</t>
  </si>
  <si>
    <t>…ores dé Isabel ii, todo bajo las órdenes del bravb de que están animados los Urbanos de Llusánes. pdrdñéi'lí. Jiilláíi Olivares, sostenido eficazmente por los carabineros de costas, El comandante general déla alta montaña coronel D. Antonio \Vani'tijVíf cabeza iba‘el'Sr. brigadier Di Pedro Aznar, en unión del 2.°batallon halen sigue con fruto sus operaciones; el sistema adoptado y las providencias 3É1 JrrfnciÓe. v toda está fuerza dirigida por el acreditado y bizarro brigadier tomadas por V. E. con tanta previsión comoácierto, inutilizan los esfue…</t>
  </si>
  <si>
    <t>Vani'tijVíf, D Antonio</t>
  </si>
  <si>
    <t>D Antonio Vani'tijVíf</t>
  </si>
  <si>
    <t>…e calzadores dé Isabel ii, todo bajo las órdenes del bravb de que están animados los Urbanos de Llusánes. pdrdñéi'lí. Jiilláíi Olivares, sostenido eficazmente por los carabineros de costas, El comandante general déla alta montaña coronel D. Antonio \Vani'tijVíf cabeza iba‘el'Sr. brigadier Di Pedro Aznar, en unión del 2.°batallon halen sigue con fruto sus operaciones; el sistema adoptado y las providencias 3É1 JrrfnciÓe. v toda está fuerza dirigida por el acreditado y bizarro brigadier tomadas por V. E. con tanta previsión comoácierto, inutilizan los esfue…</t>
  </si>
  <si>
    <t>Var, Calixto</t>
  </si>
  <si>
    <t>Calixto Var</t>
  </si>
  <si>
    <t>…Guerra. ISLAS BALBAEES. I . Con fecha 27 del corriente participa el capitán general de Castilla la Con fecha,/ dél actual participa el gobernador civil que .desde 13 4 25 Nueva que el capitán del regimiento provincial de Córdoba D. Calixto Var del mes último fueron invadidas en toda la isla de Menorca 31 personas, cu gas encontró una pequeña facción en el término de Luciana, y la atacó con raron 54, fallecieron 47, y había 119 convalecientes. su columna, matando 3 de los individuos que la componían: que el tenien te del mismo cuerpo D. Vicen…</t>
  </si>
  <si>
    <t>Var, Vicente</t>
  </si>
  <si>
    <t>Vicente Var</t>
  </si>
  <si>
    <t>…stacamento, los creo dignos de que S. M. les mire como acostumbra 4 sus mas valientes y el que se dirigió á este pueblo con el de igual clase D. Severino Cobian , 34 decididos soldados, y mas particularmente 4 los Sres. oficiales D. Vicente Var infantes del propio regimiento y 8 caballos del regimiento del Rey l.° de lí gas y D. Severino Cobun , reservándome para cuando recíba el parte del pri nea, con el objeto de atacar una facción de 4(1 infantes y unos pocos caballos mero de los susodichos oficíales recomendar á los que mas se hayan d…</t>
  </si>
  <si>
    <t>Varcla, D Manuel Tcrnzoácz</t>
  </si>
  <si>
    <t>D Manuel Tcrnzoácz Varcla</t>
  </si>
  <si>
    <t>…to de dos millones y medio de francos para que pueda ocurrir al pa sagrada ceremonia, según previene el ritual romano; ordenando que ei- Exce go de los créditos que aparezcan contra Ja antigua casa Real de Carlos x”: va lentísimo Sr. D. Manuel Tcrnzoácz Varcla, arcediano de Madrid y comisario rios diputados se oponen á la aprobación de este artículo , alegando las razones general apostólico de la Santa Cruzada, hiciese las funciones de padrino á en que fundan esta opinron; mas la Cámara lo aprueba. nombre y en representación de la Reina nuestra 9eñora Do…</t>
  </si>
  <si>
    <t>Varcla, Manuel Tcrnzoácz</t>
  </si>
  <si>
    <t>Manuel Tcrnzoácz Varcla</t>
  </si>
  <si>
    <t>…e dos millones y medio de francos para que pueda ocurrir al pa sagrada ceremonia, según previene el ritual romano; ordenando que ei- Exce go de los créditos que aparezcan contra Ja antigua casa Real de Carlos x”: va lentísimo Sr. D. Manuel Tcrnzoácz Varcla, arcediano de Madrid y comisario rios diputados se oponen á la aprobación de este artículo , alegando las razones general apostólico de la Santa Cruzada, hiciese las funciones de padrino á en que fundan esta opinron; mas la Cámara lo aprueba. nombre y en representación de la Reina nuestra 9eñora Do…</t>
  </si>
  <si>
    <t>Vardua, José</t>
  </si>
  <si>
    <t>José Vardua</t>
  </si>
  <si>
    <t>…á Pancorvo, donde entró piese que venían muchas fuerzas sobre ei, me decidieron á aprovechar lo» mo itn novedad. Dicho oficial recomienda á D. Eusebio López y á D. Juan Ma mentosnuel Gallón, alféreces de Urbanos de infantería, á D. José Vardua, sargen «Todo lo que me apresuro á manifestar 2 V. E. para que renza á bien to 2.° de la misma arma, i D. Ramón Mantilla, á D. José Leiva y á Santia elevarlo ¿ la soberana consideración de S. M-, a fin de que vea con satisfac go Morquecho .Urbanos de caballería, y en particular al sargento 2.“ dist…</t>
  </si>
  <si>
    <t>Varela, Manuel Fernandez</t>
  </si>
  <si>
    <t>Manuel Fernandez Varela</t>
  </si>
  <si>
    <t>…le eaocw corro de la indigencia, á la que en muchos pueblos aquejaban la escasez y la lindad no tra de mucha consideración. enfermedad á un mismo tiempo. Fueron estos dos eclesiásticos el Excmo. beñor Comisario general de Cruzada D. Manuel Fernandez Varela , y el Colec VARIEDADES. tor general de Espolies.y.Vacantes D. Francisco Ranero. El primero ofició el dia 21 de Julio último al Excmo. Sr. Secretario de Estado y del Despacho de El Rey de Persia, su corte, sus mugeres y sus hijos. lo Interior , participándole existia aun disponible úna suma aproxim…</t>
  </si>
  <si>
    <t>Varela, Manuet Fernandez</t>
  </si>
  <si>
    <t>Manuet Fernandez Varela</t>
  </si>
  <si>
    <t>…obras que hayan de ejecutarse en la bahía del En oficio de 3 del corriente manifiesta el gobernador civil de esta pro Ferrol. (Núm. 205.) vincia, que en Alcobendas habían muerto dos personas del cólera morbo ful ____ nombrando 4 D. Manuet Fernandez Varela, al duquf de |Gor, á Don minante, y que en Es tremerá no babia ocurrido novedad desde el último parte. José Escario y á D. Pablo Montesinos miembros-de la comisión creada para el plan de instrucción primaria del Reino , y á D. Alejandro Olivan, PROVINCIA DE PÁLENCIA. secretario de la misma. (AJúm.…</t>
  </si>
  <si>
    <t>Vareta, D Manuel Fernandez</t>
  </si>
  <si>
    <t>D Manuel Fernandez Vareta</t>
  </si>
  <si>
    <t>…e de í p^JOO k papel, 00, U nombrado presidente de la diputación permanente en esta corte al Excelen Id. sin Interes. 12 al contado: 124 y 13 á varias fie. rol. -sr firme-, 124 y MI eaelas f. o.toI., a prima de 4 p. 10Q. J tísimo Sr. D. Manuel Fernandez Vareta, comisario general déla Santa Cruza- Acciones del banco español, 00. Ha vicepresidente á D. Manuel Silvestre Armero, y secretario á D. Juan Fram cisco Fon tan, cuyas elecciones han merecido todas la aprobación de S.M. la ■anuos. Reina Gobernadora. Amsrerdam, 09. París, 16-í. (Cádír, Sevilla, # b. S…</t>
  </si>
  <si>
    <t>Vareta, José</t>
  </si>
  <si>
    <t>José Vareta</t>
  </si>
  <si>
    <t>…para lo cual Se libraron á D. José, jfüo de San Miguel ha observado en íl ti paso/de Vlnus en 17ó9. A lo cual Cayetano fieroale», comerciante español establecido en aquella capital, 16UÜ añadiremos nosotros que el misnio Tofiño y D. José Vareta publicaron deis libras esterlinas, sacadas de jos productos del .establecimiento, y se ajustó con tomo*' de observación*» que se imprimieron «a Cádiz en 1774, Y tenían proa-</t>
  </si>
  <si>
    <t>Vareta, Manuel Fernandez</t>
  </si>
  <si>
    <t>Manuel Fernandez Vareta</t>
  </si>
  <si>
    <t>…í p^JOO k papel, 00, U nombrado presidente de la diputación permanente en esta corte al Excelen Id. sin Interes. 12 al contado: 124 y 13 á varias fie. rol. -sr firme-, 124 y MI eaelas f. o.toI., a prima de 4 p. 10Q. J tísimo Sr. D. Manuel Fernandez Vareta, comisario general déla Santa Cruza- Acciones del banco español, 00. Ha vicepresidente á D. Manuel Silvestre Armero, y secretario á D. Juan Fram cisco Fon tan, cuyas elecciones han merecido todas la aprobación de S.M. la ■anuos. Reina Gobernadora. Amsrerdam, 09. París, 16-í. (Cádír, Sevilla, # b. S…</t>
  </si>
  <si>
    <t>Varga, Manuel</t>
  </si>
  <si>
    <t>Manuel Varga</t>
  </si>
  <si>
    <t>…Este es mi dictámen.*’ , acokpniabá la renuncia de D. Francisco Barra de su plaza de escribiente en la Sr. Latorrc; *&gt; Verdaderamente marchamos por un camino desconocido, y secretaría del Estamento, y nombramiento en su lugar de D. Manuel Varga* no es extraño, porque no han podido tomarse medidas preventivas para cosas Gutiérrez. que aun no se sabia podían existir.. Veo que es arbitrario pisodo de alegar ex¿ Se 'tñandaron repartir 200 ejemplares del discurso de S. M. la Reina Go cusas, pero encuentro ma)ores dificultades-en adoptar ijna m…</t>
  </si>
  <si>
    <t>Vargas</t>
  </si>
  <si>
    <t>…ediciosos quedaron sin puerto. en su lugar al Sr. cpronel Valle-Riestra, que sabiendo la Venida del gobierno, Entre tanto engrosábamos nuestras fuerzas de mar y tierra. Incierto el lo siguió-y logró reunírseleá la media noche. El general Vargas había estado el obierno de la suerte de los buques de guerra que estaban en el nozte , compró t dia 3 mucho tiempo con el general Gamarra , quien es imposible que no le hu Ga goleta traigo, y la hizo poner un buen cañón giratorio: armo cuatrolqjxbiese hablado. sobre la revolución. Si hubiera sido d…</t>
  </si>
  <si>
    <t>VargaS'qittriS</t>
  </si>
  <si>
    <t>…amblea legislativa de las islas Jónicas ha dirigimos á ü ^¿tada“a&lt;¿ Callao», «Ha&gt; martjpcl presidente al . -terminado su.primera sesjon en Corfú. El lord supremo-comisario pronunció un cochero qué sigtiiese sin&lt; decidq adonde. El general VargaS'qittriS yi.en-sos discurso |nta cerrar aquélla. La asámblea no volverá á emprender sus trabajos pechas tpero no:se atrevió á preguntar cosa alguna hasta que el,, presidente hasta el mes de Marzo próxima mismo !* dnuntíó, aunque no do un módo claro , el objeto" dé su viagei El coche llegó al Callao, muy cer…</t>
  </si>
  <si>
    <t>Vargas, Calixto</t>
  </si>
  <si>
    <t>Calixto Vargas</t>
  </si>
  <si>
    <t>…n dfcl cabecilla Jiiñco vagaba por lo» montes de Poczuma, y qué Perfecto Sánchez trataba de féunírsele con 27 hpmbres , dispuse Saliese á hacer una batida á,dicho punto el capitán del re ANtllíCIÓS. gimiento provincial de Córdoba D. Calixto Vargas con uña columna , Com - ííittoria general He Es-paña del P. MSiiaña, ilustrada y continuada por D. José puesta de tropa de sil Cuerpo, cazadores de seguridad pública y 10 caballos Sabau y Blanco, canónigo que fue de S. Isidro. Tomo vil. Contiene este tomo los li del 3.° ligero: este Capitañ con fec…</t>
  </si>
  <si>
    <t>…nisterio un parte que le traslada el comandante general de Ciudad- Laredo..... ... 27 de Set. á-20 1- x, Real con la del 3, por el que resulta: que sabedor el capitán del regimiento de Oct. inclusive. 107 92 provincial de Córdoba D. Calixto Vargas, comandante de una columna en cargada de lá persecución de los facciosos que vagan por el partido de infantes, PROVINCIA DE TERUEL. que uh gcupo,4? es^os sé hallaba en el caserío llamado del Guerrero» se diri gió a él 1 habiendo tomado de antemano las medidas necesarias para evitar su Manifiesta su…</t>
  </si>
  <si>
    <t>Vargas, Joaquúi Btázquezy</t>
  </si>
  <si>
    <t>Joaquúi Btázquezy Vargas</t>
  </si>
  <si>
    <t>…nfermedad, porcuya razón se cantó el Te D‘um el dia 28 :y concepto la correspondan, parándola no lo haciendo el perjuicio que haya lugar. que en Toro disminuía el número de invasiones y la intensidad del mal. —-Habiendo.fallecido D. Joaquúi Btázquezy Vargas ♦ vecino que fue de esta cortes el fir. teniente corregidor D. PedroRalscYa , que conoce de su testamentaria por Ja es-* crlbanía del número de Santin; ha acordado citar como se hace á fodos sus acreedora» DROVIXCIA DE MADRID. para que en et preciso termino de 30 días contados desde el de hoy, acud…</t>
  </si>
  <si>
    <t>Vargas, Vicente</t>
  </si>
  <si>
    <t>Vicente Vargas</t>
  </si>
  <si>
    <t>…rop#,espafiolas^l día 8; esto es, el mismo dia en que el duque dejerccira lo gue. ¿(icho coronel. verificaba, en, Coímbra, y que,el almirante Napier desembarcaba con su expedi- . Cómo no he recibido parte dél referido subteniente D. Vicente Vargas, cion ,en Figueíra. ; . me refiero en todo lo que llevo dicho 4 los informes que me han dado la jus esta siierte se va desarrollando 4 un tiempo el plan combinado de an ticia y otras^personas de este pueblo, testigos oculares del hecho, los que aña temano con tino y previsión , y ejecutado con el m…</t>
  </si>
  <si>
    <t>Vario</t>
  </si>
  <si>
    <t>…F ñas .................... 29 Set. ¿ ó Oct. 136 Idem. 24 jeto de atacar y sorprender, si era posible, en Elguea la junta de Alava, la Ircio..................... 1 a 6 Octubre.. 22 7 2 cual, apercibida poco antes de la llegada del brigadier Vario, huyó con los Miranda de Ebro. Idem................... 77 35 6 facciosos que la acompañaban por lo áspero de ia montaña hácia Araoz, sin Villadiego........... 4 á 6 Octubre.. 5 No consta. 2 senda n¡ vereda. Ei general Osma marchó con ia columna que se dirigió á Ar Villafranca......... 24 a 2V Setie…</t>
  </si>
  <si>
    <t>Varo, José</t>
  </si>
  <si>
    <t>José Varo</t>
  </si>
  <si>
    <t>…as terior, eran de los que usan los oficiales, y las casacas-teman presilla». casai,'rio-vaciló en atacarlos, sin embargo de no haber llagado cl subteniente Faltaría á mi deber si no recomendase encarecidamente á V. S al caysitan D. José Varo por la oscuridad y lo escabroso del camino, con tanta bizarría graduado D. José de Torres, al teniente graduado D. Ildefonso Mata, al sar ,que atacando las tres casas y rompiendo Jas puertas entro en ellas á la bayone gento 2.° Joaquín García, al sargento l.°, graduado de subteniente, D. José do ta…</t>
  </si>
  <si>
    <t>Varo, Josef</t>
  </si>
  <si>
    <t>Josef Varo</t>
  </si>
  <si>
    <t>…ruando dél citado D. Juan de Torres mató un llamado oficial de ello* que var á uno de los cuarteles, y i Jas dos de ia mañana dispuse que el teniente á la carrera huí® por ei rio que circunda este pueblo; y que la de la izquierda D. Josef Varo, subteniente de Africa, con 40 hombres de su regimiento, se avanzando por la otra parte hasta meterse ella y su oficial en el agua á la cin-* dirigiese por caminos extraviados al barrio de Durañona, en donde acostum tura , perseguían á uno que parecía cabeclla por el morrión que llevaba y de-» brab…</t>
  </si>
  <si>
    <t>Varona, Francisco Jerez y</t>
  </si>
  <si>
    <t>Francisco Jerez y Varona</t>
  </si>
  <si>
    <t>…Abril de 1834- — Los suscriptores A los Nuevos principios de economía política, 6 de la riqueza en sus relaciones con la población, por J. C. L. Slmoode de Excmo. Sr.rrRamón Gómez de Bedoya. Sismoqdl, traducidos al castellano por D. Francisco Jerez y Varona, pa sarán á la librería de Viana Razóla á recoger el cuaderno 1.° Continúa abierta la suscripción, á 8 rs. cada uno. ——Discurro sobre el carácter, las costumbres, suerte y espíritu de las El capitán general de Valencia con la misma fecha de 15 del mugeres en los diferentes siglos. Un cuaderno en 8.…</t>
  </si>
  <si>
    <t>…s k los Nuevas principios de economía política, ó ¿e la riqueza en sus relaciones con la población, por J. C. L. S/monde de SiMnondí, rraducidi&gt;s ul ca— Capitanía general de Aragoo=Excmo. Sr.: Acompaño á V. E. para co tellano puf D. Francisco Jerez y Varona, acudirán a recoger el ultimo cuaderno en nocimiento de S. M. copia del parte que en este momento recibo del brigadier Madrid a la librería de Viana Razóla, y en los demus puntos .'e las provincias donde Linares. La muerte del cabecilla Mancho es de bastante importancia por la in dispuestose hubies…</t>
  </si>
  <si>
    <t>Vasallo, Blas Benito</t>
  </si>
  <si>
    <t>Blas Benito Vasallo</t>
  </si>
  <si>
    <t>…ta, D. José Ventura Aguirre Solarte, D. Julián Harrea, di- El de Asturias. reCtór de la casa de Beneficencia , y el mariscal de campo D., Amo El contador y demas gefes y empleados de rentas de la provincia de As nio Pean. turias. D. Blas Benito Vasallo, administrador de la aduana de Cxrtaya. 3? Se autoriza la inversión de 429 rs. en las obras necesarias El subdelegado de rentas de Betanzos. para habilitar los .hospitales, según esa junta ha propuesto. El intendente de Extremadura. 4? Quedarán inmediatamente en estado de prestir el servicio á El i…</t>
  </si>
  <si>
    <t>Vasco, Juan</t>
  </si>
  <si>
    <t>Juan Vasco</t>
  </si>
  <si>
    <t>…rme en el ángulo que forman bién-muertos y 3ü heridos, 6 contusos, 2 prisioneros, de ellos un oficial y 7 las casas apoyadas sobre el convento de Sama Clara , é hice que el teniente de caballos entre muertos y heridos. artillería D. Juan Vasco y el subteniente de la misma arma D. Rafael Escu dero bajasen del Campillo un cañón, que se situó en el camino de la Rioja tan El mismo comandante general remite el parte siguiente que le ha dirigido Oportunamente, que parapetados los facciosos en la venta llamada del Gallego, el de Guipúzcoa. la aba…</t>
  </si>
  <si>
    <t>Vasconcellos</t>
  </si>
  <si>
    <t>…del proyecto de ley relativo »á las admisión de cereales extrangeros**; y después de oir las razones con que la apo congruas de los párrocos.” yo su autor, la Cámara la tomó en consideración, acordando pasase á examen Observó el Sr. Vasconcellos que la Cámara había resuelto que apenas se de las comisiones de Hacienda y de Gobierno. distribuyese el informe de la comisión sobre el proyecto de ley relativo al ex Asimismo se leyeron- y aprobaron varios informes de comisiones acerca infante, se procediera inmediatamente á discutirlo; lo que equ…</t>
  </si>
  <si>
    <t>…rrecciones volviesen á la. comisión, para-que en vista de todo lo 1834=Sebastian Eugenio Vela, secretario. ' redactase de nuevo; los Sres. Sousa , Miranda, Barjona y Leonel hablaron éh favor de ia opinión que había manifestado el Sr. Vasconcellos; el Sr. Agúiar dijo, que no se oponía con tal que se votase por partes, porque era muy com plexa la propuesta de dicho SrvVasconcelIos, y podría haber quien votase por ESTADO SANITARIO DEL REINO. parte de ella , y por otra no. Asi se verificó, y quedó aprobada en todas sus partes, salva la redacció…</t>
  </si>
  <si>
    <t>Vasconcelos</t>
  </si>
  <si>
    <t>…e tenían en U parte mcu- ♦uartel general de Torresnovas al Excmo. Sr. D. Agustín Freire, que habiendo dional dei Tajo. Entre tanto se tiraban algunos cañonazos de una parte a otra dejado el mando de la plaza de Leiria al teniente coronel Vasconcelos, se tras- en el' puente de Asscca; pero el enemigo presentaba tan poca fue iza v peleaba “fttJó el dia 24 con la fuerza de su mando á la aldea de la Cruz y a Ourem, tan tiojamentc, que no tuve necesidad para rechazarlos mas que de aguaos ti desde cuyos puntos llegó al rayar el dia siguiente á Torre…</t>
  </si>
  <si>
    <t>…niendo que la dis Modlin; pero esta centralización de tropas rusas debe llamar la atención de cusión actual era sobre la totalidad del proyecto: del mismo dictamen fiie el la Europa hacia los negocios del Oriente. Sr. Sánchez: el Sr. Vasconcelos sostuvo también que el proyecto no debía vol be dice por personas bien informadas que el conde OrlofF, encargado re ver á la comisión; antesal contrario, una vez discutido en su totalidad, era cientemente de una misión en Holanda, será nombrado embajador de Rusia justo proceder á la discusión por a…</t>
  </si>
  <si>
    <t>…-—En virtud de providencia del Sr. D. Mateo de Norzagaray, teniente de corregidor de esta villa, refrendada del escribano Sanz. y Barca, se cita a los acreedores í Xa tes Terceira én dos columnas, la dé la derecha, al mando del. general Vasconcelos, tamentaría de p. Manuel de Robredo, vecino y del comercio qtie fue de esta catre. había entrado el 11 en Condeixa, presentándosele en su marcha algunos deser qoe4un no hayan percib¡dp&gt;el Importe del 8 por 100 de sus respectivos'créditos, que tores del ejército enemigo, cuya vanguardia se había rep…</t>
  </si>
  <si>
    <t>Vasooni, Josef</t>
  </si>
  <si>
    <t>Josef Vasooni</t>
  </si>
  <si>
    <t>…s afv &gt;s. Puerto- R ico 1 4 ce N’ &gt;v i = :iv ;e de ría Seijas, de D. Manuel Gutiérrez, intendente de provincia, vocales de la Excmo. ¿&gt;r.= Miguel de la Tur:e.= hxvnvj. Sr. Secretario de E.tad, v d De Real junta de Aranceles, y de D. Josef Vasooni, para que examinando el es 1 pacho. tado actual de esta contribución de puertas, proponga los medios que podrán MINISTERIO DE GR.'o IA V Jl-TULA. adoptarse para mejorarla sin perjuicio de! arriendo de esta renta que tiene he cho la Real Hacienda, con todo cuanto se le ofrezca y parezca. Lo que comu…</t>
  </si>
  <si>
    <t>VÁtconocIlrKN</t>
  </si>
  <si>
    <t>1 1123 El Sr. VÁtconocIlrKN^robó la doctrina &lt;i¿l artículo, sosteniendo sin em tratado de ll cuádruple alianza le pudiere aprovechar si una vez faltaba á iav bargo que debía estar mas explícito , pues habría quizá autoridades escrupulo promesas que había hecho y á las condiciones estipulad is por ¿1: promesas tan sas que ha¿h…</t>
  </si>
  <si>
    <t>Vatencia</t>
  </si>
  <si>
    <t>…a 1 Id. siu íDifres, 00. I ^rÜélHtü, cfifuiVífiendó los titiles conocimientos de aquel arte. Acciones det banco español, oo. CAMBIOS. Amsterdám , 00. París 16-r. Cádiz i b. SévIltS t d. Bjvoqa , 00. Alicante á corto pla Corufia £ d. -Vatencia par i ¡j SI día 10 de Enero próximo so dignó S. M. la R«ina Gobernadora efií- Burdeos, oc. zo par. Granada ’&lt;L Z^r-goca i 4. f¿£.,U Real lnclusa colegio de la Paz. Llegó S. M., «in preceder aviso, se- Hamburgo, 00. Barcelona á pesos fs. Málaga i b Descueóto de 1er I 4uid* del Excmo. Sr, capitán de…</t>
  </si>
  <si>
    <t>Vatenylst-paiv</t>
  </si>
  <si>
    <t>…écñnaihicaiyespero vecen breveréalizado tan útil .proyecto. ...... Amsterd%nav 00. Psm,l$rL ‘ SevH1*,’é’irá r-1 Sé1continúa la¿dCahtarilla de está ciudad, y como dejo insinuado en piar-, Bayona, 00. Alicante, ácortopla- Coruña, | d. ... * Vatenylst-paiv ", tícülo de ay untamientos, te practican las diligencias oportunas para facilitar so- Burdeos,Hambttrgo,00.00. ■■ Barceloiia, áyps. «.» Granada.^id. £5^ Descuero de letrat «Ofttf U éómtntécion de una nueva cárceL Lóndréi, á 9O dias, ib. Swttindéri '^b» ; iigTfOQsIrów' »8. Bilbao, ±&lt;L Samugo d¿ EST…</t>
  </si>
  <si>
    <t>Vatout</t>
  </si>
  <si>
    <t>…bierno del Haya para que lo mas pronto posible se concluya un tratado, en virtud del cual queden arreglados cámara im los diputados.__Sesión de ídem. definitivamente los negocios holando-belgas á condición de que la Francia re El Sr. Vatout lee una proposición relativa á la conservación de los cami conozca la alianza de la Rusia con la Turquía, y la nueva forma de gobierno nos vecinales, ofreciendo que en la sesión de 28 del corriente manifestará las que se piensa dar á la Polonia.” (Mensagero.) causas que le mueven á hacerla. El Sr.…</t>
  </si>
  <si>
    <t>…Te Dtum en la parroquia de Sta. María con ídem._Sesion del día 28. asistencia de todas las autoridades, y han quedado de manifiesto el retrato de S. M., y el pendón Real en los balcones de la sala capitular. Las decoraciones, El Sr. Vatout manifiesta en apoyo de la propuesta que ha hecho acerca de iluminaciones, función de novillos y refresco á los convidados, todo ha sido caminos vecinales, que los progresos de la agricultura, del comercio y de la in costeado por la provincia en obsequio de su amada Soberana. dustria son inútiles y…</t>
  </si>
  <si>
    <t>VaUejo, Dionisio</t>
  </si>
  <si>
    <t>Dionisio VaUejo</t>
  </si>
  <si>
    <t>…ador civil, pareciéndome es muy digno- 7.118.. SOO» f • t « f l py , • t C4dí?- "ídeque-se le agracie con la cruz de Isabel ii.Dios &amp;c,” 6.807.. 500.............. .............. Mofttilla- ■ Se M., en ésta del mérito cootraidppor D. Dionisio VaUejo, cabo de la Milicia urbana dé Briones , se ha dignado- agraciarlo con la cruz de Isabel* u» +f &gt;oua db combrcio.—Cotixacion dt hoy £ ios tres de la tarde. nmoi PVBLICOIa Por ei ministerio de lo Interior se ha comunicado, con fecha 18 de esto Inscripciones en el gran libro *1J p. 100, 00. Ú7é *1 por…</t>
  </si>
  <si>
    <t>VaWes, Juan Arguelles</t>
  </si>
  <si>
    <t>Juan Arguelles VaWes</t>
  </si>
  <si>
    <t>…terceras partes- de sueldos Real decreto sobre las mejoras que deberán adoptarse respecto á las calidades (Núm. 95.) - 9 ;f de los subdelegados de Fomento, y i la organización de las subdelegaciones.: ____ nombrando en su lugar í D. Juan Arguelles VaWes. (Id) (Núm. 82.), ___ _ jubilando á dos ministros de la misma Real audiéücW(/i/.) Real órden nombrando á E&gt;. Andrés Arango secretario de la sección de In- ‘ ____ nombrando ministros y fiscal de la misma. (Id.) días del Consejo Real. (Id.) Reales órdenes sobre el trasbordó de los frutos y efectos col…</t>
  </si>
  <si>
    <t>Vázquez, D Juan</t>
  </si>
  <si>
    <t>D Juan Vázquez</t>
  </si>
  <si>
    <t>…Junio* dames y Sopuerta por el coronel D. Julián Olivares, á quien se han presentado un oficial, un tambor con caja y 36 hombres. La actividad de este gefe y la del Dias. Existenciadia interior.del Invadidos. Curados. Tallecidos. capitán D. Juan Vázquez, han recogido del enemigo en los puntos indicados 196 fusiles. «La brigada del coronel Carrera recogió algunos en Sodupe, Gordejuela y Oquendo , y en el día en estos tres pueblos se habrán recogido como unos SO fusiles, y están reuniendo algunos mas , cuya operación se continuará hasta que se prese…</t>
  </si>
  <si>
    <t>Vázquez, Fernando</t>
  </si>
  <si>
    <t>Fernando Vázquez</t>
  </si>
  <si>
    <t>…mo rótulo.. Subieron al tablado la América, h diosa y ninfas: estas habían penetrado en el valle, salieron inmediatamente en su persecución el ca con teas lucientes, quedando delante de ellas el alférez Real, jóvenes y músi pitán D. Fernando Vázquez con parte del destacamento del provincial de Be-t, ca; y en medio de un profundo silencio recitó por dos veces el referido niño tanzos y la 2.a compañía de Urbanos de dicho valle, al msndo de su espitan cón energía, expresión la mas sublime, tono y acción adecuada, la Joa que á D. Alvaro de Quintan…</t>
  </si>
  <si>
    <t>Vázquez, José</t>
  </si>
  <si>
    <t>José Vázquez</t>
  </si>
  <si>
    <t>…4 formar la posesionabas4¡pda^y productiva de la provincia. El ejem son dignos de recomendación, y particularmente el capitán del provincial de plo de este sugeto que sin coñócímlentás científicos y con un capital mediano ^Oviedo D. José Vázquez. dará prontacipia-á tuja po^fwwaCfi «orto ófnapo Je convierte en uno de A la pérdida considerable de 10 hombres, cntre ellos dos capttaoes de mi los mayores propietarios, es el mejor estímulo que pueda ofrecerse i.sus.coaiprimera columna, tengo el disgusto de añadir que el teniente .de caballería el…</t>
  </si>
  <si>
    <t>…edad , en retribución de Iá cantidad que se le D. Juan Sevillano................................................................................... 1500 ha otorgado por vía de alimentos, y que este convenio había tenido lugar por D. José Vázquez , aposentador de S. M., 4Ó0 rs. de una vez, y .^0 evitar .pleitos gravosos y consecuencias desagradables. Otros Sres. hablaron erí mensuales mientras dure U epidemia........................................................ 400 pro y en contra , y discutido el punto suficientemente, resolvió la junta…</t>
  </si>
  <si>
    <t>Vázquez, Josef</t>
  </si>
  <si>
    <t>Josef Vázquez</t>
  </si>
  <si>
    <t>…respetab'e en ticvpos de las I-abeles, de los Y err.a;ic¡-&gt;-•, s de Antonio Remon Zarco del Valle. otros excelsos Procenitóres de V M. de gíato e inmortal recuerdo1 Nad ? , Se Teniendo presente la lealtad y antiguos servicios de D. Josef Vázquez bi-“ ñora ; las acertadas medid ts que \T. M. ha adoptado para dism nuir los gravagueToa , me he dignado conferirle, en nombre de mi muy cara y amada Hija ' mene^ de la mrmarquEi , v redi.C’r os a lo abv' .-utam nte mdispensab-e . -on la U Reina' Doña Isabel ii, la Secretaría de Estado y del Despac…</t>
  </si>
  <si>
    <t>Vázquez, Juan</t>
  </si>
  <si>
    <t>Juan Vázquez</t>
  </si>
  <si>
    <t>…consideración en ti pueblo de Ule— mas de Balmaseda en oficio de 27 del actual le daba parte de haber hecho bo, perjudicial á la salud, y cuyo terreno es muy útil para el cultivo, excitó salir al'capí tan del provincial de Oviedo D. Juan Vázquez con 4® hombres las mas desagradables diferencias con los vecinos del pueblo de las Cacetas, por en persecución de una partida de facciosos de igual número, á quienes alcanzó el cierta obra que había de hacerse en el término de este, hasta el punto de ha mitmb d¡a&lt; y. atacados sufrieron una total1 d…</t>
  </si>
  <si>
    <t>…ames y Sopuerta por el coronel D. Julián Olivares, á quien se han presentado un oficial, un tambor con caja y 36 hombres. La actividad de este gefe y la del Dias. Existenciadia interior.del Invadidos. Curados. Tallecidos. capitán D. Juan Vázquez, han recogido del enemigo en los puntos indicados 196 fusiles. «La brigada del coronel Carrera recogió algunos en Sodupe, Gordejuela y Oquendo , y en el día en estos tres pueblos se habrán recogido como unos SO fusiles, y están reuniendo algunos mas , cuya operación se continuará hasta que se prese…</t>
  </si>
  <si>
    <t>Vázquez, Ramón López</t>
  </si>
  <si>
    <t>Ramón López Vázquez</t>
  </si>
  <si>
    <t>…para oidores áD. Anto énté los respectivos tribunales superiores. nio Neira y Marin, á1 D. Juan García del Pozo, á D. Antonio,MarAr*.- 4? Los juicios que se entablen después de publicad» la abo quez Osorio, á D. Jorge Martines, í D. Ramón López Vázquez; lición del Voto, á virtud de pactos ó convenios anteriores, se sus-/ para alcaldes del crimen á D. Pedro Gómez Hermosa, á D. Pedro fáticiárán en igual foVma áttte los mismas jtízgádos ordinarios com- Regalado López Montenegro, á D. Vicente Sandino, áD. Francisco Tames Hevia, á D. José María Pardo…</t>
  </si>
  <si>
    <t>Vázquez, ViceMf</t>
  </si>
  <si>
    <t>ViceMf Vázquez</t>
  </si>
  <si>
    <t>…oftfettaS)lis. Sr. D. J acobo Florea." Por‘ejemplo, la Inglaterra dejando el arar libre á nuestra marina, mas dies Sr. D. Manuel Gutiérrez Caricdes. tra y pqtferíM^iqqeJa ^ M$qs n.qts^Of adxqt^|o»-r™'Vd&lt;^a^|,.clarc&gt; que nos . $r. D. ViceMf Vázquez. ■'.¿i , seria ncíl ¿múñar, eVqptnétcio, de nyestros'.enemjgos, y ,toqjiv.pew la espalda, ■ v'fe desembarcando en otnts apuntos ; las posiciones que han defendido por tierra ..^f PROVINCIA DX CXXOStA. contra ituéstros ataquen'Cerdudo élmat i nuestros buque* ¡T jr; abriéndole solo Sr, D. José, Fina d…</t>
  </si>
  <si>
    <t>VbIJejo, José Mariano</t>
  </si>
  <si>
    <t>José Mariano VbIJejo</t>
  </si>
  <si>
    <t>…gía medica. Se hallará en Madrid, k 5 rs. en rústicá, en la Ji— También ha desechado a9 del ramo de arrezes; ha mandado hacer reco nrerta de Ríos. nocimientos en lo» términos de Aigeme&amp;t y despoblado de Partínes, para reaii-^. " -Don José Mariano VbIJejo, cumpliendo lo que tiene ofrecido, presenta ya de *ar el acotamiento arrozal; está tomando conocimiento para fundar una prov^r' venta en las librerías de Sojo, Paz, Razóla y Orea claves de los diferentes.tamaños v pred is q¿ie siguen: las cLves de á curtida eq carácter de glosilla,, á des Cuarto»:…</t>
  </si>
  <si>
    <t>VCharncUífe</t>
  </si>
  <si>
    <t>…a*.guiarse USndret 30 de'Junio. si se interpretará mal esta mejora, es evidente que la mayoría que la ha adop tado no podía estar mas acorde en su manera de ver y apreciar las Gwcunstan- En la Cámara de los Lores del 20 de Junio, lord VCharncUífe h¡*o una cias. Si nos atreviéramos á dar un consejo á los pueblos , les diríamos que tu moción sobre el mal catado de las cárceles, y el indujo de las penas para pre vieran cpnfianra en tus gobiernos , porque ellos sabrán resolver el problema de venir Jos delitos. Como presidente del tribunal de as…</t>
  </si>
  <si>
    <t>Vclasco, Manuel</t>
  </si>
  <si>
    <t>Manuel Vclasco</t>
  </si>
  <si>
    <t>…parte de 3 del corriente, en Mejorada del Champo habían falleci poniéndome para depositario á O. Juan Calonge, y para contador al intenden do 4 personas en los dias 27 y 28 de Julio; sin que antes^ ni después hubiese te jubilado D. Manuel Vclasco, individuos de su seno, en quienes concurren ocurrido ningún caso nuevo. En Pozuelo del Rey continuaba la enfermedad lia cualidades mas distinguidas para el desempeño de sus respectivas funciones, su curso natural. En Villarejo de Salvanés ha cedido extraordinariamente la ' y. 4.quíenes por lo mism…</t>
  </si>
  <si>
    <t>Vclez, Fernando</t>
  </si>
  <si>
    <t>Fernando Vclez</t>
  </si>
  <si>
    <t>…f&gt;, 30 y 3r del tomo y.° del Jomlnt, que aquí se &amp;él túpremo consejo jr cámara deludías; D. Josef de A y uso y Navarro, mi nombran secciones, para su debida distinción de aqueifos 15 primeros. Contiene el nistro del Consejo Real; D. Fernando Vclez , del de las Ordenes militares; Don 4*°»parteflde3«°la dehistorialos principiosde la campañade Estrategiade 179ÓdeleaarchiduqueAlemania,Cáelos,en 18 capítuque d-&lt;ijeny élsu iacon2.a Juan Josef Recacbo, del referido supremo de Indias; D. Vicente de Oc.unpo, clusión ; el último período de la campaña…</t>
  </si>
  <si>
    <t>Vdrlos</t>
  </si>
  <si>
    <t>…ermedad qne se padece en varios pueblos de esta provincia habia to- ,4'21 en las ptos'iócjas. * uiedo uw car irte i sumamente benigoQypues según avisa-su. gobernadorcivil, en —Memorta polítiCQ-lefíal sobróla exclusión del infante D. Vdrlos y tod*str lrnea 9 de| presente «l Orcajo y Barajas de Meló se veían ya sm ningún enfermes delpublicase'-derecho-z-succJcr1» exposicióncfl-della Sr.coronaministrode España.de Graciar£siey escritrr,Justicia ,fbrmadx&gt;-uiaorádaantesgrasardeporqueRnlse •o l* capital era cortísimo él número de invadidos, y…</t>
  </si>
  <si>
    <t>Ve, Pedro</t>
  </si>
  <si>
    <t>Pedro Ve</t>
  </si>
  <si>
    <t>…n el Principado de Cataluña, con la asignación de 16 Isidoro Ruiz , beneficiado de Gamara mayor: D. Marcelino de Le- reales vellón. De Real órden lo comunico á V. E. para su in zaza,-presbítero beneficiado de Nanclares de la Oca: D. Pedro Ve teligencia, noticia del interesado y demas efectos consiguientes.. jez deMendizabal, canónigo de la iglesia colegial de Vitoria: Don Dios &amp;c. Palacio 10 de Abril de 1834—N. El Marques de Val-, Pío de Aramburu, canónigo lectora! de la misma; D-Simón Ruiz verde^zSr. Secretario del Despacho de la Guer…</t>
  </si>
  <si>
    <t>Ve, Ramón</t>
  </si>
  <si>
    <t>Ramón Ve</t>
  </si>
  <si>
    <t>…esalojado; en vista de esto se dispuso saliere at se hallan los susodichos, y no menos los tenientes del regimiento caballería dd trote el escuadrón del regimiento del Rey , T.° de línea, quien á pt*co rato avi Rey, l.° de línea, D. Ramón Ve lasco y D. Francisco Ceillaldo, y el sargento só h&gt;s tenia á la vista; entonces el benemérito corone! D. Manuel Obregon, to graduado de aiférez del mismo cuerpo D. Manuel López, los cuales manio mando ei escuadrón de cazadores de Isabel ti, salió igualmente al gran trote brando á mi vista en el ser…</t>
  </si>
  <si>
    <t>Veas, Antonio</t>
  </si>
  <si>
    <t>Antonio Veas</t>
  </si>
  <si>
    <t>…á D. Francisco de Paula persona que facilite la multiplicación de los ejemplares de aquellasVaqupr, á D. José Banguells de Eixalá, á D. Felipe Martínez Motápeles se le aplicarán inmediatamente ¡as penas impuestas por las retin, á D. Antonio Veas, y á D. Ramón María de Arrióla y Esmiieyes de la imprenta á los contraventores, publicándolo en la Gacetavel: y para fiscales, á D. Pedro Pasdasio Galvo, de lo civil, y á Don de Madrid y Anales administrativos: la policía formará sin dilaciónJoaquin Alconisa, de lo criminal: Y es mi voluntad que ca…</t>
  </si>
  <si>
    <t>Véase</t>
  </si>
  <si>
    <t>…mpréstitos posteriores. I Y habremos de imitar ahora tal Gobierno estaba reconocido en toda la Peníosula: tenia á su favor por consi conducta? ¡Qué diría de nosotros el mundo que nos contempla! En vista de guiente la aquiescencia general. Véase, pues, como hay una diferencia muy no todo lo expuesto , voto porque se suprima la adición hecha al art. l.° del pro table eritre ambas épocas, ipor mas que se pretenda desconocer. yecto de ley sobre reconocimiento de la deuda extrangera, ó porque se admita «Otra de las razones que se expusieron en…</t>
  </si>
  <si>
    <t>Véase, Gabriel</t>
  </si>
  <si>
    <t>Gabriel Véase</t>
  </si>
  <si>
    <t>…l canal imperial tiene constantemente visto que es cosa justísima, pues nace de la imposición de 2.4U0,Uihj reales nueve pies de agua de profundidad, y sesenta de anchura en la superficie, coa al 4 por 100 que hizo el Sr. Infante D. Gabriel. Véase, pues, como si ahora el objeto únicamente de la navegación. Sin remontarnos al reinado de Cárlos v, se suprime un millón de rs. quedará abandonado el canal, pues en las cargas y en cuya época se principiaron aquellas obras, y prescindiendo de las que des sueldos se irá lo que se recaude, y las obra…</t>
  </si>
  <si>
    <t>Véase, Infante D Gabriel</t>
  </si>
  <si>
    <t>Infante D Gabriel Véase</t>
  </si>
  <si>
    <t>…áulicos, y el canal imperial tiene constantemente visto que es cosa justísima, pues nace de la imposición de 2.4U0,Uihj reales nueve pies de agua de profundidad, y sesenta de anchura en la superficie, coa al 4 por 100 que hizo el Sr. Infante D. Gabriel. Véase, pues, como si ahora el objeto únicamente de la navegación. Sin remontarnos al reinado de Cárlos v, se suprime un millón de rs. quedará abandonado el canal, pues en las cargas y en cuya época se principiaron aquellas obras, y prescindiendo de las que des sueldos se irá lo que se recaude, y las obra…</t>
  </si>
  <si>
    <t>Véase, Isabel</t>
  </si>
  <si>
    <t>Isabel Véase</t>
  </si>
  <si>
    <t>…á su fondo, sino en cuanto á la por odio al padre, y por su origen , que se suponía era impuro , á Doña forma. Pronunció sobre este asunto un largo discurso, que no pudo oirse bien Juana, llamada la Beltraneja, designó á la Reina Doña Isabel. Véase aquí por á causa de la posición del orador; por lo que solo daremos una idea de él. estos hechos históricos cómo en virtud &lt;je la facultad que se reservaba la Na Principió manifestando que por el derecho público debía excluirse al ción,, en virtud de la conveniencia pública, en virtud del derecho d…</t>
  </si>
  <si>
    <t>Vecchiarelli</t>
  </si>
  <si>
    <t>…M. U Reina Gobernadora, una Aprobada el acta de la última sesión, se da cuenta de varias solicitudes de de las tutoras mas sobresalientes que en ninguna época ha presentado la historia de España.Iparticulares, entre ellas la del Sr. Vecchiarelli, napolitano refugiado, que se Gradefes 16 de Diciembre.[queja de que los tribunales no le administran justicia. Los Sres. Dulong y Gar- | nicr-Pagés sostienen la petición de Vecchiarelli: el ministro de Justicia y la F.1 corregidor y ayuntamiento general de la M. N. y M. L villa r partido I comisió…</t>
  </si>
  <si>
    <t>Vecino, José</t>
  </si>
  <si>
    <t>José Vecino</t>
  </si>
  <si>
    <t>…onio Heredia; á D. Lorenzo María Ferreras; á Don Abril de 1834—A D. Francisco Martínez de la Rosa, Presiden Mariano de la fuente; á D. Fernando López de Sagredo, qüc ac te del Consejo de Ministros. tualmente lo soh de la misma; á D. José Vecino/ fiscal de k&gt; ci vil dé la audiencia de Búrgos, y á D. José López de CoZar y i Eli atención á los extensos conocimientos en la ciencia de la D. António Fernandez del Castillo, oidores cesantes con sueldo: administración y demas cualidades1 que adornan á D. Juan Alva- por la clase de alcaldes á D. A…</t>
  </si>
  <si>
    <t>…res petos de lealtad y sumisión, congratulándose, asi por la exaltaciónPara la plaza de fiscal de lo civil de la Real audiencia de Bur al trono de las Españas de su legítima heredera Doña Isabbi ii, gos, vacante por traslación de D. José Vecino á oidor de la de como porque su gobierno en la menor edad esté á cargo de una Granada, nombro á D. Vicente Calvo, corregidor de Logroño. Madre que, cual ángel tutelar, no anhela ni suspira mas que por Tendréislo entendido, y lo comunicareis á quien corresponda=Está la felicidad de los españoles. ru…</t>
  </si>
  <si>
    <t>Vecino, Manuel Balaguer</t>
  </si>
  <si>
    <t>Manuel Balaguer Vecino</t>
  </si>
  <si>
    <t>…4.* L° del Gobierno civil de Cádiz, D. Roque, rartos cúañdb kréstixnín eotiveniente. : f ■ Aguado y D. Ildefonso Zamora, y nombrados en su reemplazo, oficial pri mero D. Rafael González Llanos, y oficial 4*0 l-° D. Agustín Pinol; D. Manuel Balaguer ^Vecino y fabricante de la ciudad ¿le Barcelona , hi zo presente la necesidad que había de mejorar la calidad é hiladura de nuestras A propuesta de la . dirección general de correos S. M. se ha servido nom sedas, proponiendo ciertas reglas que al efedro debían observarse; y enterada brar á D. Fulgencio Perez…</t>
  </si>
  <si>
    <t>Vedoya</t>
  </si>
  <si>
    <t>…de su persecución dirigiéndose sobre Puente la Reina. De al i to con 14 caballos, que fueron conducidos ¿ Orduña, ¿ cuyo comandante mi marchó á E»tella, de donde reunida con el tercer batallón, continuo sobre litar le previno el brigadier Vedoya que á dicho Quevedo y á cualquiera otro $, Martin de Cámpeso, Maestú, valle de la Borunda hasta volver otra vez a que haya usurpado el título de oficial, les aplique todo el rigor de la ley. las inmediaciones de Estella, sin que en todo este gran círculo haya podido descansar, nj apellas comer un s…</t>
  </si>
  <si>
    <t>Vega</t>
  </si>
  <si>
    <t>…tercera parte del valor de computar por.año en 50® rs. El artículo que nos presenta el proyecto no de sus beneficios por la supresión del Voto.” solo es de rigorosa justicia, sino que está redactado según la cordura de los que El Sr. Vega,: «Es preciso no olvidar que las reformas que hagamos de lo han hecho. Las reformas son para reformar, no para destruir; porque si re bemos procurar hacerlas con justicia y equidad. Se ha sostenido en la discusión formamos tasto como destruimos, nada adelantaremos. Cuando es preciso des que las can…</t>
  </si>
  <si>
    <t>…demos un paso retrógrado, que nos romano, invadieron las provincia del medio día; es llegado el momento de la vuelva á la antigua orilla. reacci.on invadiendo el Mediodía al Norte: no conquistando por medio de las «Ha hablado el Sr. Vega de un folletito , de que corrieron muchas co armas y con violencia, sino propagando las generosas ideas por medio de la pias manuscritas , haciendo gran perjuicio: para evitar estos daños no bastaría ilustración, de la civilización. En esta reacción ocupan Inglaterra, Francia, prohibir la imprenta; se…</t>
  </si>
  <si>
    <t>…os ambos señores á formalizar sus jodLociones + lo galmente impuestas y á las condenaciones hechas por centenera legátmeate eje hicieron, y se pusieron á votacíoñpdr ili“5rden; primero la del Sr. Domecq, cutoriada. después la deí Sr. Vega, y por último la del Sr. López del Baño, resultando « La confiscación de bienes queda abolida.*’ no tomarse en consideración por el Esiamento ninguna de ellas, y quedar ei El Sr* Serrano (£&gt;. Gines) : «He pedido la palabra no para impugnar artículo tal como estaba. el artículo en su fondo, porque e…</t>
  </si>
  <si>
    <t>…ender los derecho» de sus con pero siempre encontraré ventajoso lleve aquel nombre que concille los dos ex ciudadanos, sino sostener el orden , sin el cusí no hay nada. tremos. En lo que no puedo convenir es en lo que ha dicho el Sr. Vega , da "Hoy estamos en el caso palpable de esta verdad. Esa (acción miserable que-el nombre de Milicia nacional no es español, y que está tomado de los nos hace la guerra en cuatro provincias: el Gobierno necesita acudir con extranjeros. Todo al contrario: es tomado de los españoles, y no hay nada ma…</t>
  </si>
  <si>
    <t>…or se leyeron los arts. 3Í y 32 del Esta nerse al sistema que se quiere introducir , que seria preciso alargarme mas de tuto Real, y él 74 del Reglamento. lo que permiten las ocupaciones perentorias del mismo: pero yo creo que to Sr. Vega r ’»La mayor gloria de los individuos que componemos este do nace de tto entenderse bien el espíritu del Reglamento. Las preguntas que Estamento consiste en respetaT e! Estatütó Real y el Reglamento de las se hacen al Gobierno giran sobre hechos y materias de que él es responsable: Cortes. Se ha ci…</t>
  </si>
  <si>
    <t>…artes mecánicas, dición y filosofía que hace muy apreciable ata parte de la obra , por la origi consignado también á la academia de las ciencias; otro én 1783, distribuido nalidad con que está tratada tan importante cuestión. El Sr. Vega cree que loe por la misma academia para una memoria apoyada en experimentos que sim malos efectos de la amortización deben, no destruirse de una vez por la vio plificase los procedimientos de algunas de dichas artes, y otro en el mismo año lencia, como ha sucedido en algunas nación», sino disminuir…</t>
  </si>
  <si>
    <t>…eguida el mismo Sr. Secreta suma, no puede excepcionar el mal uso que de ella hubiera hecho su antecesor. rio dijo, haber sido nombrados para este acto ai Sr. Butrón y al Sr. Vega y ¡Raro raciocinio por cierto! «Quién ha dicho al Sr. Vega que las naciones son Rio; manifestando el Estamento quedar enterado. herederas de sus Reyes, ni que tampoco sea cierto que todos los herederos pa Se leyeron dos peticiones firmadas por competente número de Sres. Procu guen por los que pudieron antecederles? Las deudas de un poseedor de vincula rado…</t>
  </si>
  <si>
    <t>Vega, Alejandro Gil de la</t>
  </si>
  <si>
    <t>Alejandro Gil de la Vega</t>
  </si>
  <si>
    <t>…ro de enfermos de la estacional, sino que también en los que se han pre Josef Perez Sánchez, del Sr. reétor de los Irlandeses D. Diego Tro Gartlan y sentado disminuye extraordinariamente la intensidad de los síntomas, hasta el de D. Alejandro Gil de la Vega en calidad de secretario, proponganá la bre punto de hacerse leves y aun curables en los ancianos, en los que regularmente vedad posible, las reforjas y alteraciones que exige el estado de la población, habían producido antes fatales ex jcncias. No debiendo omitir que la mayor y los medios de reali…</t>
  </si>
  <si>
    <t>Vega, Blas Damián de la</t>
  </si>
  <si>
    <t>Blas Damián de la Vega</t>
  </si>
  <si>
    <t>…di » E»u legación griega continua experimentando las dificultades y disgusto* cho superior tribunal, á D. Francisco Cortazar, á D. Pablo Govan- que hace tiempo sufre de paite del gobierno turco. Mas de 81) buques griego* tes y á D. Blas Damián de la Vega: y para fiscales, á D. Claudio siguen detenidos sin obtener el firman de salida, ni para el mar Negro, ni pa Antón de Luzuriaga , de lo civil, y á D. José Joaquin Casaux para ra el Archipiélago, á pesar de U protesta formal que han hecho los capitanea lo criminal. Y es mi voluntad que cada uno ocup…</t>
  </si>
  <si>
    <t>Vega, EL Francisco de Paula</t>
  </si>
  <si>
    <t>EL Francisco de Paula Vega</t>
  </si>
  <si>
    <t>…ra ser Procurador. datos propuestos por el Estamento, al Sr. conde de Almodovar para Presiden— Igualmente se la pasó un oficio del Gobierna relativo á la elección del •te del mismo , y al Sr. D. Diego Mcdrano para Vicepresidente. Sr. EL Francisco de Paula Vega por U provincia de Gerona. El Sr. Posadas , Presidente interino, al entregar la presidencia á su suce Por último se pasó á 4a misma una representación del Sr. D. Francisco sor , dijo: Muguiro é Iribarren, pidiendo se le exonetc-del cargo de Procurador por Na— y» Señores: Llegó -el momento tan senti…</t>
  </si>
  <si>
    <t>Vega, José</t>
  </si>
  <si>
    <t>José Vega</t>
  </si>
  <si>
    <t>…raídos eA Diego Alarte á que observase en la disposición que se hallaban los esta expedición al coronel comandante de Mondoñedo D. Ramón rebeldes en la posada, y viendo que ¿on müclio regocijo estaban •Pardiñas, ál sargento mayor D. José Vega, los comandantes dé comiendo, y con todas las armas hasta los. sables colgados en los seécion D. Domingo Vilela y D. Alonso Villaron, que con toa caballos, movido de su grande valor y adhesión á Isabel ii , quiso dos sus oficiales y tropa han llenado bien y cumplidamente sus de solo apoderarse de e…</t>
  </si>
  <si>
    <t>Vega, Vicente Mayoral de la</t>
  </si>
  <si>
    <t>Vicente Mayoral de la Vega</t>
  </si>
  <si>
    <t>…ral de Correos se ha servido S. M. nom 13,424. 400..................... .... Madrid. brar para la administración de la estafeta de Reinosa á D, Juan Antonio Perca; 12,493. 400..................... para la principal de Salamanca á D. Vicente Mayoral de la Vega, y para la 10,546. 400..................... .... Barcelona. plaza de oficial segundo de la de Puerto-Rico á D. Federico Rodríguez y Cam 1,481. 400..................... .... Algeciras. pos, escribiente de número del ministerio de lo Interior. 1,313. 4oo..................... Asimismo se ha dignado S.…</t>
  </si>
  <si>
    <t>Vegaabogado, Alejajudrp Oíl de la</t>
  </si>
  <si>
    <t>Alejajudrp Oíl de la Vegaabogado</t>
  </si>
  <si>
    <t>. . | SI D. Alejajudrp^Oíl de la Vegaabogado y empleado; D. Vicente Morales, 2Vam. 2.° Real academia de Medicina y Cirugía de Granada. Excmo. Sr.t propicianb^y empleado; 1). Agapito Mena, empleado en la empresa; TÍ. Ma Ciando movido del zelo que caracteriza a V. E. y -á esa junta superior que nuel Isidro, médico , y D. Diego Tro Gartian, rector…</t>
  </si>
  <si>
    <t>Veiasco, D Ramón</t>
  </si>
  <si>
    <t>D Ramón Veiasco</t>
  </si>
  <si>
    <t>…terminio, á pesar de llevar 9 leguas la valiente tropa Aloy y 30 caballos del regimiento del Rey l.° de línea, al mando de su capi de mi columna, emprendí con la mayor celeridad mi marcha-, redoblando!» tán D. Antonio Cándano,"d^ teniente D. Ramón Veiasco y del porta gra todo lo posible, y á mi llegada á el , me encomie con 30 soldados de infantería duado de teniente D. Alej.mdro'Miranda , los cuales se reunieron instantánea de la Princesa del destacamento de Peñaranda con 8 de caballería del regimien mente : despaché un posta al comandante del Burgo de (…</t>
  </si>
  <si>
    <t>Veiasco, Ramón</t>
  </si>
  <si>
    <t>Ramón Veiasco</t>
  </si>
  <si>
    <t>…á pesar de llevar 9 leguas la valiente tropa Aloy y 30 caballos del regimiento del Rey l.° de línea, al mando de su capi de mi columna, emprendí con la mayor celeridad mi marcha-, redoblando!» tán D. Antonio Cándano,"d^ teniente D. Ramón Veiasco y del porta gra todo lo posible, y á mi llegada á el , me encomie con 30 soldados de infantería duado de teniente D. Alej.mdro'Miranda , los cuales se reunieron instantánea de la Princesa del destacamento de Peñaranda con 8 de caballería del regimien mente : despaché un posta al comandante del Burgo de (…</t>
  </si>
  <si>
    <t>Veiez, Cesáreo</t>
  </si>
  <si>
    <t>Cesáreo Veiez</t>
  </si>
  <si>
    <t>…igilancia de esta autoridad/' del contento universal. Después de esto se celebró úna función de iglesia para Enterada de este hecho S. M. la Reina Gobernadora, se ha dignado man dar gracias al Altísimo, en la cual el cura párroco D. Cesáreo Veiez predicó dar se den las gracias en su Real nombre á los que le ejecutaron , y que se pu la debida obediencia á la potestad soberana; y lo mismo hizo en una alocución blique en la Gaceta para que sirva de satisfacción á los ioteresados , y de estí al pueblo el señor alcalde mayor, probando con el tex…</t>
  </si>
  <si>
    <t>Veizsco, D Manuel</t>
  </si>
  <si>
    <t>D Manuel Veizsco</t>
  </si>
  <si>
    <t>…r nuestra parte en e»ta acción el comandante d •’ regimiento han de cumplir algunos de dichos encargos” Se levanta la sesión, infantería de Borbon D. Francisco de Paula Dugi, y el subteniente D. Faus tino M irrinez: fue herido el teniente D. Manuel Veizsco, y contuso el capi iPKtf.__Sesión del dia \..°%de Marzo. tán D* Julián Mirú Losada; fue herido también ei sargento de zapadores Ma Jura y toma asiento el general Durrieux, diputado nombrado por el de nuel Puebla, y ei de Borboa Francisco MontieL partamento de las Landas. En seguida se da cuenta de…</t>
  </si>
  <si>
    <t>Veizsco, Manuel</t>
  </si>
  <si>
    <t>Manuel Veizsco</t>
  </si>
  <si>
    <t>…parte en e»ta acción el comandante d •’ regimiento han de cumplir algunos de dichos encargos” Se levanta la sesión, infantería de Borbon D. Francisco de Paula Dugi, y el subteniente D. Faus tino M irrinez: fue herido el teniente D. Manuel Veizsco, y contuso el capi iPKtf.__Sesión del dia \..°%de Marzo. tán D* Julián Mirú Losada; fue herido también ei sargento de zapadores Ma Jura y toma asiento el general Durrieux, diputado nombrado por el de nuel Puebla, y ei de Borboa Francisco MontieL partamento de las Landas. En seguida se da cuenta de…</t>
  </si>
  <si>
    <t>Vela, José</t>
  </si>
  <si>
    <t>José Vela</t>
  </si>
  <si>
    <t>…eniencia dé aguardiente y vinagré que se introdujese p^r las puertas de Madrid, á im efe'pa restituir á los tribunales, el lleno de facultades que exige la ordenada adminis gar con estos productos un crédito que tienen a su favor D. José Vela r Tíob tración de justicia, sin privar por ello á los agraviados del recurso de queja £ Ventura de la Peña por los suministros que hicieron a las tropas de ÍSapoicoc mi Real Persona, ni menoscabar la protectora vigilancia que corresponde á mi en U guerra de la independencia; S. M., ^ue se ha entera…</t>
  </si>
  <si>
    <t>Vela, Juan Nepcimüceno</t>
  </si>
  <si>
    <t>Juan Nepcimüceno Vela</t>
  </si>
  <si>
    <t>…l conde Carnavon declara que en su dictamen la adopción del bilí que nombrar para la plaza de regente 4 D. José Joaquín Ortiz: en clase se discute daría un golpe mortal á las antiguas universidades del reino, que son de oidores á D. Juan Nepcimüceno Vela, 4 D. Fermín Fernandez Ja gloria de la Inglaterra. De su seno, dice el orador , ha salido hasta nuestros de la Cuesta, 4 D. Manuel Paz, que lo son de la misma, 4 I). José dias esa juventud británica tan célebre por la pureza de sus costumbres, la so Ignaciojie Alara, que lo es de la de díceres, 4 D…</t>
  </si>
  <si>
    <t>Velado, Bruno Portillo y</t>
  </si>
  <si>
    <t>Bruno Portillo y Velado</t>
  </si>
  <si>
    <t>…M.iceda , segundo teniente de asistente de la ciudad de Sevilla, do mención en particular de! tefe de esta plana mayor , teniente coronel gra pende la testamentaria concursada de D. Tontas Gularza. y a virtud de despacho li duado D. Bruno Portillo y Velado, que tanto ha contribuido con sus cono brado á esra corre cumplimentado por el Sr. D. Pedro Bjlsera, teniente corregidor de cimientos y actividad en las combinaciones á los buenos resultados de mis dis esta villa, se cita y emplaza á todos los interesados que puedan tener derecho a los bienes de aq…</t>
  </si>
  <si>
    <t>Velasco, Bruno Portillo y</t>
  </si>
  <si>
    <t>Bruno Portillo y Velasco</t>
  </si>
  <si>
    <t>…entada á nombre del gobernador de Badajoz por el teniente coro de circunvalación á tiro de pistola de la muralla, e| gefe de la plana mayor te nel del Real cuerpo de artillería D. Fernando Chacón á quien S. A. mani niente coronel D. Bruno Portillo y Velasco y el ayudante de la misma Don festó el mucho aprecio que hacia de las repetidas atenciones que había mereci José Gallego, colocando también en las casas Inmediatas el numero propor do á los generales españoles. cionado de tropas de los dos batallones con objeto de hacer fuego desde las ven tanas, sit…</t>
  </si>
  <si>
    <t>…como siempre. El dia 18 estuvo en el valle de Ulzama , y el día 19 - lograr su tótáí aniquilamiento y exterminio, hayan repasado ó noel Ebro. hizo una sorpresa en la* Amescuas, ¡unto á Estella, pasando entre los acanto El coronel D. Bruno Portillo y Velasco ,i ¡qmen comisioné esta mañana namientos de los generales Carondclet y Anleo, por la parte de Lafriom I&lt;a •para que pasase al pueblo de la Moliña á repoger los despojos que hubiesen que esencia del parte carlista, en que se da cuenta de este hechq, es bastante veror dado de resultas de la derrota q…</t>
  </si>
  <si>
    <t>Velasco, D Bruno Portillo y</t>
  </si>
  <si>
    <t>D Bruno Portillo y Velasco</t>
  </si>
  <si>
    <t>…cumplimentada á nombre del gobernador de Badajoz por el teniente coro de circunvalación á tiro de pistola de la muralla, e| gefe de la plana mayor te nel del Real cuerpo de artillería D. Fernando Chacón á quien S. A. mani niente coronel D. Bruno Portillo y Velasco y el ayudante de la misma Don festó el mucho aprecio que hacia de las repetidas atenciones que había mereci José Gallego, colocando también en las casas Inmediatas el numero propor do á los generales españoles. cionado de tropas de los dos batallones con objeto de hacer fuego desde las ven tanas, sit…</t>
  </si>
  <si>
    <t>…rrerías como siempre. El dia 18 estuvo en el valle de Ulzama , y el día 19 - lograr su tótáí aniquilamiento y exterminio, hayan repasado ó noel Ebro. hizo una sorpresa en la* Amescuas, ¡unto á Estella, pasando entre los acanto El coronel D. Bruno Portillo y Velasco ,i ¡qmen comisioné esta mañana namientos de los generales Carondclet y Anleo, por la parte de Lafriom I&lt;a •para que pasase al pueblo de la Moliña á repoger los despojos que hubiesen que esencia del parte carlista, en que se da cuenta de este hechq, es bastante veror dado de resultas de la derrota q…</t>
  </si>
  <si>
    <t>Velasco, Francisco</t>
  </si>
  <si>
    <t>Francisco Velasco</t>
  </si>
  <si>
    <t>…isma diéndose estos dos situados por vía de pensión sobre los fondos de Cruzada. Al mismo tiempo se lia» servido S. AI, mandar-que se tenpunto, tres reálñf dé Vellón diarios: á Eusebia Tabuenca, vecina de ga presente el mérito de D. Francisco Velasco, presidiera, que conAtalos, viuda oon seis Rijos de'Msttas Jiménez , asesinado en Hcresus conocimientos y personal asistencia, coopero eficazmente al lo dia. cinco reales de yriion diarios; á Juliana Alfaro, vecina de Angro de las ventajas conseguidas en Matalobos contra la faecion deguiano; viijda…</t>
  </si>
  <si>
    <t>…r indispo sargentos segundos Matías Navarro, del expresado regimiento de sición de su gefe. caballeríay Domingo Turrez, de cazadores del Principe, asi co Se ha procurado adquirir un conocimiento exacto del estado mo el presbítero D. Francisco Velasco, que por el conocimiento en que se halla la agricultura de la provincia, y se han anulado del país, su adhesión y amor á la sagrada causa de nuestra Sobera varias disposiciones de los ayuntamientos contrarias á la propiedad. na , no dudó acompañarme á tan arriesgada empresa hasta este pue Se ofrece…</t>
  </si>
  <si>
    <t>Velascohásta, Damasa Sorianode</t>
  </si>
  <si>
    <t>Damasa Sorianode Velascohásta</t>
  </si>
  <si>
    <t>…J827 i Madrid y al trato de sus amigos, fue de nuevo morales eran tan poderosos en su corazón,'que retardó, por 10 aflos su deseada ocupado por el Gobierno en varias comisiones y consalras que desempeñó unión Con'su digna esposa Doña Damasa Sorianode Velascohásta el de 1798, siempre con su celo y acierto acostumbrados. Entre jpttas merece particular porque desecho de acudir 41 auxilio de sus ancianos padres y de procurarla iteñeion el informe que dió en 1833 en compaBía de D. Tomas González, ya colocación de sús hermanos, temía que se lo dificultasen las ob…</t>
  </si>
  <si>
    <t>Velaz, Andrés</t>
  </si>
  <si>
    <t>Andrés Velaz</t>
  </si>
  <si>
    <t>…ar relativo á establecer una comunicación entre las Indias orien á D. José Antonio Aldave, rector de Ziga, á D. Pedro Beistegui, tales y Europa por medio de buques de vapor. Al proyecto acompaña una nota vicario de Astigarraga: á D. Andrés Velaz, vicario de Abarzuza; en que se persuade á los capitalistas de la metrópoli á tomar parte en la em á D. Silvestre Mimendia, vicario interino de Legorreta; i D. José presa , para la cual se calcula necesario un fondo de 1203 libras esterlinas. Con María Oses» beneficiado de Barasoaih; á D. Manuel Ai…</t>
  </si>
  <si>
    <t>Velcz</t>
  </si>
  <si>
    <t>…a á demostrar, será culpable ni digno de castigo en ningún sentido. Esta , señores, no es una como ya se ha hecho en este recinto, la legitimidad del Gobierno de aquella preposición mía, ni lo es tampoco del abate Barruel, ni del arzobispo Velcz, época. Será necesario quo tomando el hilo de nuestra historia desde éf afio defensor del altar y del trono; es del conde Sully, uno de los literatos mas de 18u8, en que empezó verdaderamente la regeneración política de la Na distinguidos de la Európaées este qhien Jó dícé en el examen de la revolu…</t>
  </si>
  <si>
    <t>Vele, Alejandró</t>
  </si>
  <si>
    <t>Alejandró Vele</t>
  </si>
  <si>
    <t>…Ktro de lo Interior dará también una vuelta por todo el reino. Francia en io capital de Bogotá; ' : »' . ; • Aunque cyperabtmo» hace dias .la ltegoda del ministro de Negocios extnn- Y el preside..te del Estado de Nueva-Granada, á D. Alejandró Vele/, se*' geTf* M. Verstolic, j$r E. no ha vuelto aun de Vicjii; jr ijo aena imposible que crcurio da Estado en el departamento de lo Interior y de Relaciones extiatsfcs detuviese algún'tiempo en Maguncia. . * "La» conferencias de Viena se han terminado; el riempomos dirá solamen Los cuates, después d…</t>
  </si>
  <si>
    <t>Velejo, José Mariano</t>
  </si>
  <si>
    <t>José Mariano Velejo</t>
  </si>
  <si>
    <t>…tó; pero no al gobierno un acto tan piadoso, dándole toda la ostentación que se merece, invitó con francés, porque con la ley de asociaciones se ha puesto nuestro gabinete en es anticipación al Sr. censor del cuartel de Afligidos D. José Mariano Velejo; tado de no poder por mucho tiempo ocuparse mas que en su propia .defensa* quien, á pesar de sus muchas ocupaciones, se dignó señalar'y asistir «te&lt;¡u XMcnsagero.) presidiendo la diputación ,• por no poderlo verificar en el mismo 27 siguiente —Escriben de Ñapóles fecha 5 del que rige que SS. MM. el…</t>
  </si>
  <si>
    <t>Velington</t>
  </si>
  <si>
    <t>…e Hacienda es el mas débil; permítame $. S- expresarlo asi, pago de deudas; pero no ha tenidp presente S. S. que en I83v.» se tsircuó el ha sido el mas débil, y no seré yo ciertamente el que atribuya esa debilidad á ministerio de Lord \Velington en una cuestión Sobre lista civil, poique mkcs falta de su elocuencia tan generalmente reconocida como su talento, sino á La llevados los ministro^ de aquel país, asi como los de otros, del deseo de aiuCimala causa, si me es lícito llamarla asi, qusjáa defendido: ésta causa es la que nar á los pueb…</t>
  </si>
  <si>
    <t>Velluti, D Pedro</t>
  </si>
  <si>
    <t>D Pedro Velluti</t>
  </si>
  <si>
    <t>…sabemos que la oposición , propiamente dicha, no civil de esta provincia*....................................*...............................* . 20 pretende también defender la Carta , y no tratamos^ de ofender su sinceridad. El Sr. D. Pedro Velluti, marques de Falces, corregidor de esta muy Pero-entre la oposición y nosotros-hay la diferencia de que nosotros defende heroica villa.................................................................................................. 1000 mos fa Carta como ella es, y la oposición la defiende bajo la…</t>
  </si>
  <si>
    <t>Velluti, Joaquín</t>
  </si>
  <si>
    <t>Joaquín Velluti</t>
  </si>
  <si>
    <t>…también su aparición , habiendo ya ocurrido «ario* Escudero .alcalde del crimen de la misma: en clase de alcaldes del accidentesenfermedadenunestacaráctercapitalmaligno.y sus arrabales, aunque hasta ahora no presenta la crimen á D. Joaquín Velluti, á D. Cayetano Muñiz, alcaldes de di » E»u legación griega continua experimentando las dificultades y disgusto* cho superior tribunal, á D. Francisco Cortazar, á D. Pablo Govan- que hace tiempo sufre de paite del gobierno turco. Mas de 81) buques griego* tes y á D. Blas Damián de la Vega: y para fi…</t>
  </si>
  <si>
    <t>Velluti, Pedro</t>
  </si>
  <si>
    <t>Pedro Velluti</t>
  </si>
  <si>
    <t>…emos que la oposición , propiamente dicha, no civil de esta provincia*....................................*...............................* . 20 pretende también defender la Carta , y no tratamos^ de ofender su sinceridad. El Sr. D. Pedro Velluti, marques de Falces, corregidor de esta muy Pero-entre la oposición y nosotros-hay la diferencia de que nosotros defende heroica villa.................................................................................................. 1000 mos fa Carta como ella es, y la oposición la defiende bajo la…</t>
  </si>
  <si>
    <t>…or la inmediación de las facciones desorganizadora* y rebeldes, ‘ Consejo y Cámara de Castilla. facilitó toda clase de auxilios para la defensa , y tomó una parte muy activa en j ; Atendiendo á las recomendables circunstancias de D. Pedro Velluti, mar el penoso y continuado servicio que se estableció por falta de tropa á las órda-1 nes de aquel ilustre ayuntamiento, dando Maldonado ejemplo de decisión á sus I qués de Falces, y á su conocida adhesión á mi augusta Hija la Reiva Doña subalternos para el mejor cumplimiento de tan sagrados deber…</t>
  </si>
  <si>
    <t>Vemey, Nicolás Ma Sir H</t>
  </si>
  <si>
    <t>Nicolás Ma Sir H Vemey</t>
  </si>
  <si>
    <t>…islo entendido, y dispon- ya situación no era quizá tan infeliz como la de los polacos que drcB-sa-tfireuladon y cumplimiento. Está rubricado de la Real actualmente viven entre nosotros.” manocrRn AtanjuezÁ 13 de Abril de 1834-=A D. Nicolás Ma- Sir H. Vemey apoyó la mocion del coronel Evans, y después xia -Gardly. . - de decir que la Inglaterra seria siempre u-n asilo libre para los des graciados de todas las naciones, y su Parlamento un tribunal abier ta para oir sus quejas; concluyó con exponer que tanto mas dignos Ele venido en mandar que el examen…</t>
  </si>
  <si>
    <t>Ven, D</t>
  </si>
  <si>
    <t>D Ven</t>
  </si>
  <si>
    <t>…onducido la comandancia general para laga, vacante por dimisión de D. Francisco León Bendicho, que me preservarlos y conservar la tranquilidad pública que hasta anoche se había he dignado admitir en Real decreto de esta fecha, al coronel D. Ven mantenido inalterable, Tal póíicion no podía conservarse por mas tiempo, y tura de Córdoba, gobernador civil de la provincia de Cuenca. Ten era preciso que los militares, unidos á la opinión geríeral del Estado y de los pueblos todos de la república, se explicaran de una manera solemne, por dréislo…</t>
  </si>
  <si>
    <t>Veñals, José</t>
  </si>
  <si>
    <t>José Veñals</t>
  </si>
  <si>
    <t>…a , por Córdoba , por id. Presidente, preguntó al Estamento si ha de pasarse el proyecto leído á las co D. Jósé Vicente Bahillo, por Ciudad Real, por id. misiones reunidas de Gracia y Justicia y "Hacienda; y se acordó afirmativa— D. José Veñals, por Gerona , por el cólera. rqen^e.,,.-, .... • , . ; . . D. Francisco Javier Perratnonj.fjof;jRy id_ „ &gt;A propuesta del tnismo Sr. duque de Rivas acordó el Estamento se im-' Conde de Villatnena , por GrSliada', por enfermo. , pellín esc la. sesión del día 3 del 3ctual, cu que se trató de la exclu…</t>
  </si>
  <si>
    <t>Véndese, D Manuel Fernandez del Reales Consejos</t>
  </si>
  <si>
    <t>D Manuel Fernandez del Reales Consejos Véndese</t>
  </si>
  <si>
    <t>…fuer, ciaron y fallo de ellas. Escrita pon motivo del Real decreto de 13 de za de dicha partida, solo sí que en ella iban 6 á 8 caballos. Diciembre de 1833. Por D. Benito Calero de Cáceres, abogado de loj Asimismo se sabe que el coronel D. Manuel Fernandez del Reales Consejos. Véndese á a rs. en la librería de Matute y en la de la Viuda de Cruz. Después de indicar el autor de esta memoria la necesiPozo, comandante de la columna móvil de Guadalajara, perseguía dad de que se aleje de los fallos judiciales la arbitrariedad, qúe Vulgar desde Aiustante vivamente el mismo día 29 al fa…</t>
  </si>
  <si>
    <t>Vendese, J A P y F</t>
  </si>
  <si>
    <t>J A P y F Vendese</t>
  </si>
  <si>
    <t>…omandante general de Toledo, con fecha del 12 del actual, remite i ■■■i ■ Observaciones imparciales hechas sobre los funestos efectos que estis causando 1» este ministerio el siguiente parte: ilegítima pretensión a la Corona, por D. J. A. P. y F. Vendese en las librerías de ; Excmo. S. i El comandante de armas de Talavera de la Reina en 10 del Matute, de Cuesta y de Gutiérrez, á 2 rs. -—-Se halla vacante el partido de cirujano de la villa de Carmena, provincia de To actual mé da párle , refiriéndose á otro del alcalde de Navalmoral, del pronto ledo…</t>
  </si>
  <si>
    <t>Véndese, Judas Josef Romo</t>
  </si>
  <si>
    <t>Judas Josef Romo Véndese</t>
  </si>
  <si>
    <t>…6 rs. con Us 23 anteriores en los almacenes de música ya. enunciados, y en el óe papel rayado, calle de la Crua. Consiguiente al anuncio dado al público en el último párrafo del aviso ín- —-—Arte de leer el eattellano^y latín por D. Judas Josef Romo. Véndese eti las libre | serlo en la Gaceta de 19 d* Noviembre último, número 144» Para c* sorteo rías'de Ranz y de Peres, á a rs. eo rústica. En tas mismas se hal aran las observa |de los vales no consolidados y efectos de la deuda corriente con ínteres, ha de* ciones sobre la dificultad de la ortop/afiá-c…</t>
  </si>
  <si>
    <t>Véndese, Manuel Fernandez del Reales Consejos</t>
  </si>
  <si>
    <t>Manuel Fernandez del Reales Consejos Véndese</t>
  </si>
  <si>
    <t>…iaron y fallo de ellas. Escrita pon motivo del Real decreto de 13 de za de dicha partida, solo sí que en ella iban 6 á 8 caballos. Diciembre de 1833. Por D. Benito Calero de Cáceres, abogado de loj Asimismo se sabe que el coronel D. Manuel Fernandez del Reales Consejos. Véndese á a rs. en la librería de Matute y en la de la Viuda de Cruz. Después de indicar el autor de esta memoria la necesiPozo, comandante de la columna móvil de Guadalajara, perseguía dad de que se aleje de los fallos judiciales la arbitrariedad, qúe Vulgar desde Aiustante vivamente el mismo día 29 al fa…</t>
  </si>
  <si>
    <t>Véndese, Narciso Torre-Lopez y Ruedas</t>
  </si>
  <si>
    <t>Narciso Torre-Lopez y Ruedas Véndese</t>
  </si>
  <si>
    <t>…zar las condiciones de la pro — -Las mas nobles ideas de los defensores de Isabul rr, y los depravados pensa puesta que hace de Construir un puente colgante de hierro en lugar del de -bar mientos de los enemigos de la patria* por D. Narciso Torre-Lopez y Ruedas. Véndese cas que hay en la misma, y otros dos en los puntos que señale. á 2 rs. en la casa del autor* plazuela del Rastro* núm. 35* cuarto í.° —Sinfonía de la ópera seria Norma* ¿e\ maestro Bellinu para piano á 8 rs. Sin fonía de la ópera T&gt;tifa el Nuevo Fígaro del maestro Rlcci para piano á 8 rs. Nueva Ext…</t>
  </si>
  <si>
    <t>Vengo</t>
  </si>
  <si>
    <t>…de operaciones de Portugal, con fecha 8 del soldado de Borhon Antonio Codaccro, que a pie v »m armas combatía a pe ^actual:desde M¡ajadas, dice lo que sigue; dradas hasta que se hizo con el caballo de uno de los rebeldes. Excmo. Sr.: Vengo á vanguardia del ejército para allanar inconvenientes, El sjnbernador al recomendar al sanéenlo de Borboo y siete individuo* ¿k estar cada dia en mas inmediata relación con V. F.., y ensayar la rapidez de Ja su cuerpo expre*a cuanto vo pudiera decir a V. E. en todas Us acciones ocur marcha que pued…</t>
  </si>
  <si>
    <t>Vengo, José Ma</t>
  </si>
  <si>
    <t>José Ma Vengo</t>
  </si>
  <si>
    <t>…bre un sistema ordenado y general, que fíjase el número, clases, atribu de 1834.=A D. Nicolás María Garelly. ciones y cualidades que deben tener los escribanos de todo el reino, he ve-nido en mandar que una comisión, compuesta de D. José Ma Vengo en suprimir la secretaría de la presidencia del extingui ría Calatrava, ministro dei supremo tribunal de España é Indias; do Gmsejó de Castilla, cuyos papeles se pasarán al archivo general -■ D. Joaquín de la Escalera, ministro de la Real audiencia de Ma del Consejo Real de España é Indias; quedand…</t>
  </si>
  <si>
    <t>Vengo, Nicolás María Ga</t>
  </si>
  <si>
    <t>Nicolás María Ga Vengo</t>
  </si>
  <si>
    <t>…cia. Tendréíslo enten lacio á 9 de Febrero de 1334--— Al Presidente del Consejo y Camara dcOastillla. dido, y dispondréis lo necesario para su cumplimiento, zz Está rubricado de la Real manocsEn Palacio ‘á 9 de Febrero de 1834-^A D. Nicolás María Ga- Vengo en nombrar í D. Francisco Delgado, oidor de Sevilla, para igual relly. &gt; » plaza de la audiencia de Albacete. Tendráse entendido en La Cimara para su I cumplimiento.=Está rubricado de la Real mano-=En Palacio á 9 de Febrero I Para las tres plazas de tenientes de la villa y corte de Madrid, creadas…</t>
  </si>
  <si>
    <t>Ventajas</t>
  </si>
  <si>
    <t>…&lt;X Acciones del banco español, 00. CAMBIOS. VARIEDADES. Amsrerdam, 00. París, 16-1 Cádiz, U á | h. Sevilla, I b. Bayona, 00. Alicante, ácorto pla Car uña, { d. Valencia, par á £ b. Burdeos, 00. zo, 4 b. Granada, 1 Id. Zaragoza, 4 d. Ventajas que ha tacado la Inglaterra de tos telares que se mueven por vapor. Hamburgo, 00. Barcelona, k p*. fs.* Málaga, ¿ b. Descuento de letras Lóndrcs, 4 90 dias, i id. Santander, á id* á 4 p. 100 al año. 38. Bilbao, par. Santiago v £4. Mr. Austln de Glasgow inventó un telar de vapor en 1789, lo mejo ró…</t>
  </si>
  <si>
    <t>Ventó</t>
  </si>
  <si>
    <t>…tjó escrita! Hic jacet J. K. ~L. El sábado w espera 4 la Etinccsa de Orange en Ia casa rfe recreo deí tóo . de vuelta de suvlage dh Alemania. ___E1 conde y condesa Grey han tenido en su cáai tiM mudan en nttt de .Antes de ayer el barón Ventó*1? vatí^ssefen dio él primer: gran convite ' estas últimas ñocha, í que hín esktide todos tos emHsjadóra y minúltos eí- . al cuerjw'diplomáticdy otrOs penonagcs, después de su vitadla dé Vfcní, ’ trabgetos, y un gran húmero de petáonaa «fistiftguidas. , Se Itasabidc/cn Amsterdám por cartas d* Crons…</t>
  </si>
  <si>
    <t>Vento, Rafael Perez</t>
  </si>
  <si>
    <t>Rafael Perez Vento</t>
  </si>
  <si>
    <t>…de recomen para desunirlos, permanecieron casi inactivos, mientras Ibrahim continuaba dación el ayudante D. Gregorio Contreras y los sargentos D. Franci-co Mar tus esfuerzos para domar la rebelión con la fuerza de !a$ arma*. có y D. Rafael Perez Vento, el primero de lanceros de la Guardia, y el se La aldea Tonificada de Z-*it!a, distante siete ú ocho horas de Naplusa, fuá gundo de húsares, pues comunicaron m¡s órdenes con la rapidez y acierto que tomada i la bayoneta, y dos horas después fueron derrotados los montañeses caracteriza su valor y de…</t>
  </si>
  <si>
    <t>Veo, Josef</t>
  </si>
  <si>
    <t>Josef Veo</t>
  </si>
  <si>
    <t>…tres plazas, y es Vengo en nombrar á D. Eugenio Manuel Cuervo para oidor de la Real mi voluntad que las cinco sean iguales en consideración y facultades, con el., . audiencia de Burgos, y para fiscales de la misma, de lo civil, a D. Josef Veo- j sueldo de 3bS&gt; rs. anuales, sin emolumentos de ninguna especie: y que el go no, y de lo criminal, á D. Josef Vilanova y Jordán. Tendráse entendido en bernador de dicha Real audiencia asigne á cada una dos de los diez cuarteles de la Cámara para su cumplimiento.=Está lubricado de la Real mano.=En…</t>
  </si>
  <si>
    <t>Veo, Lofex</t>
  </si>
  <si>
    <t>Lofex Veo</t>
  </si>
  <si>
    <t>…to necesidad de expresar los derechos y deberes en un código ó resámen moral' y 4 la Amisión para que lo reformase en los términos que he manifestado.”, político; sucinto, pero que no deje lugar á duda alguna. Es cuanto por ahora Sr. Lofex.% »Veo que el Sr. preopinante, aunque se ba propuesto impugcreo deber deettfflbínvipttSttCt l*-pS|Ílbra“para~contestar á dasobjociones que - nar el -pnoyectoji haapróbadct’iñlDchos de-siRpárraml Sin cmBhrgo, contestaré se hagan á lajflornfcion, ¿L" '■ i algunas A'sus observaciones, arique brevemente'^para…</t>
  </si>
  <si>
    <t>Vera, Hochituti</t>
  </si>
  <si>
    <t>Hochituti Vera</t>
  </si>
  <si>
    <t>El Sr. Hochituti Vera: »La comisión no ha queridojjltenir los sueldo? ñarios. Cuando alguna vez por ellos se ven precisadas á hacer 'una asignación de los generales y ^brigadieres; pero debe manifestar qué ha encontrado unas extraordinaria, no la*Conceden en clase de pensión, sino como sobresueldo: asi anomalías bien ra…</t>
  </si>
  <si>
    <t>Vera, Rodríguez</t>
  </si>
  <si>
    <t>Rodríguez Vera</t>
  </si>
  <si>
    <t>…ntilla de los oficíales que se pue Sesión del dia 28 de Diciembre. den necesitar para la inspección; pero es imposible que se pueda #Wi»mpi»ffor con 8.” Se abrió i las once y cuarto, y leída el acta de la anterior, quedó apro- El Sr. Rodríguez Vera i «La comisión ha dotado á la inspección de in bada, mandándose Insertar en ella los votos de los Sres. marques de Falces, Cal* fantería con siete oficiales según propone el Gobierno: en esto no se la debe deron Collantes y marques de Espinardo, contrarios á lo resuelto por ei Esta culpar. Después…</t>
  </si>
  <si>
    <t>…que in guiente creo que es muy arreglado el dictamen de la comisión* y que el Señor debidamente se hayan incluido en el capítulo qiíe se discute.” Secretario de la Guerra tratará de que desaparezcan esas viudedades, que Jejos El Sr. Rodríguez Vera: «La comisión ha dicho que los individuos ex tic ¿cr un recuerdo glorioso, sbn de ominosa memoria, y mas vate echar un presados tenían sueldos considerables, y esto Consta de la lista que le há pasa velo sobre esto. do el Gobierno. Por-ella se ven mariscales de campo con el sueldo de 6u9 rs.1 «Quis…</t>
  </si>
  <si>
    <t>…uese El Sr. Secretario del Despacho de -Hacienda repuso que Ja práctica alega cierto, resultaría un ahorro que la comisión no ha tenido presente.” da por el Sr. conde de las Navas solo tenia luga-r despue^de publicadas las vo- El Sr. Rodríguez Vera: «La comisión ha tenido presentes las justas ob t.ic:ones; á lo que satisfizo por su parte el Sr. conde de las Navas, diciendo que servaciones que acaba de hacer el Sr. preopinante: pero no ha creído que de la mesa había publicado la votación del artículo anterior, y que por eso mis bía extenderse…</t>
  </si>
  <si>
    <t>…y como en ellos se asciende tículo 3.°, hizo presente el Sr. Secretario del Despacho de la Guerra que por .rigurosa escala, sin favor ni consideración alguna, y después de estudios di eran 19 regimientos de á tres batallones. El Sr. Rodríguez Vera dijo que era latados , creo oportuno se les consideren los destinos de que se trata como un necesario atender á que estaban puestos para tiempo de paz; y el Sr. Secretario premio y descanso en su carrera. En ingenieros no hay mas que 13 mariscales del Despacho de Hacienda manifestó que el presupues…</t>
  </si>
  <si>
    <t>…viene. Sin embargo, nunca los individuos del tribunal ma racione» por parte de los Sres. Ferer, Secretarios del Despacho de la Guerra f yor de cuentas han sido llamados mas veces al Ministerio de mucho, años atras, de H&lt;cienda, y Sr. Rodríguez Vera como individuo de la comisión, puesto á ni nunca se ha atendido mas á este importante establecimiento, ni tampoco voticion el artículo 1° según lo proponía el Gobierno y se conformaba la co dádole mayor impulso. Hemos visto’consultando á varios dignos Ministros de misión , quedó aprobado. este trib…</t>
  </si>
  <si>
    <t>Verdaderamente, Alcalá Galiano'</t>
  </si>
  <si>
    <t>Alcalá Galiano' Verdaderamente</t>
  </si>
  <si>
    <t>…relativo á cabos y sargentos, y demas que indique al prin llaban todos los extremo^, en atencion á que asi e^tc artículo, como todos lo» de cipio.” mas, es preciso que esten en conformidad con el sistema que sigue el Gobierno El'Sr. Alcalá Galiano'. «Verdaderamente no sé 2 punto fijo el terreno en los demas puntos. No se pueden por lo mismo apiícar los principios que se si en que nos encontramos. Creo que ha variado algo del que era en el momento guen en Francia para la formación de la Mdicia urbana, porque no son aplicables en que pedí la palabra; pero no es…</t>
  </si>
  <si>
    <t>Verdaderamente, Truebat</t>
  </si>
  <si>
    <t>Truebat Verdaderamente</t>
  </si>
  <si>
    <t>…ta, de acuerdo con el expresa sus ideas con sinceridad, conbuena fe, con la franqueza que requiere juramento que previene el art. 26 del proyecto, entonces no tenia inconve la lealtad de sus intenciones.” niente en aprobarla.” El Sr. Truebat «Verdaderamente, cuando pedí la palabra en esta discu El Sr. conde de las Navas: «La Oposición que ha sufrido la adición he sión en pro del asunto de que tratamos, estaba muy lejos de sospechar el furi cha por el Sr. González de parte'del Sr. Mediano, mas bien ha redundado, en bundo ataque, si se me permite decirl…</t>
  </si>
  <si>
    <t>Vergara, Juan José</t>
  </si>
  <si>
    <t>Juan José Vergara</t>
  </si>
  <si>
    <t>…rzo último, he venido en mandar que sean extrañados para siempre de estos reinos, y desde luego se ocupen las temporalida INGLATERRA. des a D. Alejandro León, presbítero, vicario del Pueyo; á D. Flo rencio Goya, abad de Oricin; á D. Juan José Vergara, vicario de IjSndrit 28 de Mayo. Añezcar; á D. Manuel Gregorio González, vicario de Salinas de Los negociantes de'Lóndres han recibido de Calcuta un proyecto en for Monreal; á D. Pedro Miguel Irañeta, vicario de Huarte Araquil; ma de circular relativo á establecer una comunicación entre las Indias…</t>
  </si>
  <si>
    <t>Vermay, Juan Bautista</t>
  </si>
  <si>
    <t>Juan Bautista Vermay</t>
  </si>
  <si>
    <t>…trios que no esten destinados á otros meros rudimentos^hasta copiar estatuas de yeso, he seguido el orden que mi objetos ^ teniendo presente para ello el uso que podría hacerse del grande hos apreciable maestro y antiguo director D. Juan Bautista Vermay; en lo de pital y He los atrasos del voto dé Santiago. más he queridodespertar el estudio del paisage que ha inmortalizado á tantos célebres pintores, á lo cual, entre otras cosas de puto reconocimiento, me ha Los gobernadores civiles de las provincias de Gerona, Córdoba, Anula animado hallarme en…</t>
  </si>
  <si>
    <t>Vermay, Juap Bautista</t>
  </si>
  <si>
    <t>Juap Bautista Vermay</t>
  </si>
  <si>
    <t>…i 4 i: empréstito Real de id., 26 b 4 alumnos, concluía que no podían esperarse o Ivas en lo general sobresalientes. 27: renta perpetua de id. 43 4 44* Dió cuenta de haber seguido el mismo métodofjue su antiguo director y ma«stro D. Juap Bautista Vermay, añadiendo únicamente la copia de países por El Monitor belga del 29 de Setiembre dice que las decoraciones distri- las ventajas que resultan de esta clase de dibujos. buida»-por el Rey, Leopoldo con motivo del aniversario de la revolución bel- La sección, instruida por sí misma y por los informes…</t>
  </si>
  <si>
    <t>Verstolk</t>
  </si>
  <si>
    <t>…e Julio á Alejandría. mosna í los verdaderos necesitados, y en los demis pueblos de la misma pro-, vincia que habían sido invadidos disminuía o, considerablemente los efectos Sahflmr* por noticias delHayaque.el ministro de Estado barón Verstolk- del mal. Vari-Zoéleh ha sido condecorado por el . Emperador do Austria con la gran PROVINCIA OS1 ASTORIA*. cruz de la órden d*5® Estriban de Hungría. Dice tu gobernador civil en oficio de 24 del.mes próximo pasado, que el cólera se habia desarrollado en la capital de aquella provincia, hab'cnJo,sido, a…</t>
  </si>
  <si>
    <t>…mucho lá curiosidad pública. (Extracto de los periódicos de Amsterdam del 4 de Julio, recibidos por Una inmensa multitud acudió á la playa párá verle desembarcar; y todos, apevía extraordinaria.') Todavía no ha vuelto al Haya el ministro' Verstolk, y nas le vieron-sobre el puente, empezaron á buscar con los ojos, aunque enaunque se espera á S. E. de un dia á otro, se ve sin embargo que el Rey debió vano, aquella larga y patriarcal barba que se aseguraba había dejado crecer duponerse en camino leí 2 á las seis dé la mañana para visitar el eje…</t>
  </si>
  <si>
    <t>Verter</t>
  </si>
  <si>
    <t>…rminos en que se baila concebida la petición que se «tá ••capellanías colativas eclesiásticas y laicales, y memorias de mitas y legados discutiendo:” *•pios de cualquier clase y condicioa que sean, piocurando conciliar el bien £i Sr. Verter: »Parece qne en el siglo eo que estamos una cuestión de ••general del Estado con los demás derechos de los pariiculare..” asta especie ño debía admitir tantas dudas. Harto esclarecida de suyo se halla •• En el caso de que los señores peticionarios admitíaos ésta variación, esta materia, j Quién « a…</t>
  </si>
  <si>
    <t>Vesasegurar</t>
  </si>
  <si>
    <t>…ría parecían avado del amor de padre, le aseguró á tan poca costa. . plaudir las palabras de su dueño. Un librero de Paris, debiendo embarcarse para Nueva-España, cuidó de El filósofo Favorino decía que nada tenia que replicar al Emperador Vesasegurar su vida en 29 duros, ante; de emprender su viage. Apenas llegó á asiano, bajo cuyas órdenes militaban diez legiones. ¿Qué podía yo responder Veracruz, cuando fue víctima de la fiebre amarilla, y su infeliz viuda tuvo al mi amigo que peroraba, en coche? Pruebas y testigos tenia él á la vista; y mis,…</t>
  </si>
  <si>
    <t>Vespasiano</t>
  </si>
  <si>
    <t>…a vez la mayor parte de nuestro hermoso ejército, obispos residían en aldeas que no tenían plazas ni mercados; y en un documen compuesto casi todo de jóvenes. (Constitucional.') to auténtico se asegura que en Creta, en tiempo del Emperador Vespasiano, cuando apenas un tercio de la población se había convertido al cristianismo, ____ Escriben de Ginebra qué la regencia griega había designado á nuestro pai Había mas de cien obispos. Asi pues el argumento de M. Laurence no prueba sano M. Eynard para ser elegido comendador de la orden Real del Salva…</t>
  </si>
  <si>
    <t>Vestías</t>
  </si>
  <si>
    <t>…ucont^ay alivios para tqn gnaq dolor , aunque conoce que en «tos tristes momentos Ípy¡ pocas aliyitn para el coraron qe un padre ó de una madre. Dichoso ¿ desgipc^jo el pueblo, Sci|ór, Ipi confun dido sus sentimientos con los del Rey., Vestías,alegrías han ajan sus alegrá?, (Continuación del correo anterior.) y vuestras penas sus penas; el lazo que une al Monarca con la pactoa, va «— ALEMANIA. trechándose de día en día. ■. ^ . r' ^.-. . r •j El espectáculo de una unión tan Intima puede alijtiar jugttpjtáqto b:amaf- ,. Francfort 19 de May…</t>
  </si>
  <si>
    <t>Vfi, D Fernando</t>
  </si>
  <si>
    <t>D Fernando Vfi</t>
  </si>
  <si>
    <t>…que me han dado en todas nuestras reuniones mis dignísimos compa ciones, tuvo á bien darlas ep oficio de 2 de Noviembre próximo , manifestando ñeros de comisión. Una sola Opinión nos ha separado; y esta es tanto mas aeree* que el Sr. D. Fernando Vfi, en Real órden de 27 de Agosto de 1825 , se ha dora al respeto , cuanto se funda en un concepto moral* bía servido concederla por vía de pensión, y como réditos de la dote de $0u9 Mi voto particular se reduce, pues: escudos de oro pertenecientes á su Madre la Reina de Etruria. Ansiosa la co 1.° A q…</t>
  </si>
  <si>
    <t>Vfi, Fernando</t>
  </si>
  <si>
    <t>Fernando Vfi</t>
  </si>
  <si>
    <t>…me han dado en todas nuestras reuniones mis dignísimos compa ciones, tuvo á bien darlas ep oficio de 2 de Noviembre próximo , manifestando ñeros de comisión. Una sola Opinión nos ha separado; y esta es tanto mas aeree* que el Sr. D. Fernando Vfi, en Real órden de 27 de Agosto de 1825 , se ha dora al respeto , cuanto se funda en un concepto moral* bía servido concederla por vía de pensión, y como réditos de la dote de $0u9 Mi voto particular se reduce, pues: escudos de oro pertenecientes á su Madre la Reina de Etruria. Ansiosa la co 1.° A q…</t>
  </si>
  <si>
    <t>Vfllatba, Andrés</t>
  </si>
  <si>
    <t>Andrés Vfllatba</t>
  </si>
  <si>
    <t>…truidas, no se les pueda ocupar con trabajos con varse en esta corte contra lá epidemia reinante en algunas provincias, {/¿.y tinuos » cuyo* producto* se la aseguren de un modo estable, ellos serán una pu Real decreto nombrando á D. Andrés Vfllatba wbsacretario de Estado. (.V». ra carga en la sociedad, y su situación nunca merecida será el mayor conflicto mero 135.) de las autoridades que oyen sus lamentos sin medios para prevenir su deseape- Real órden nombrando i varias personas individuos de la junta de Sanidad desacion; á pesar de todo no…</t>
  </si>
  <si>
    <t>Vhlderrama, Antonio</t>
  </si>
  <si>
    <t>Antonio Vhlderrama</t>
  </si>
  <si>
    <t>…del S.° ligero, al mando del alférez graduado de teniente de la ciudad de Montero , y de ellos rcsult3 que por la combinación Jiecha por D. Raimundo Hernández, y por una compañía de granaderos provinciales que el teniente coronel D. Antonio Vhlderrama, según las instrucciones que le co lo estaba al del ayudante D. Ramón Luaces, que lo verificaron con mucho ar munique, se vieron cercados lo* facciosos, tanto por las tropas que lleva consi rojo y contribuyeron á su precipitada fuga. go y otra* varia* partidas en persecución de malhechores que se d…</t>
  </si>
  <si>
    <t>Vhlderrama, D Antonio</t>
  </si>
  <si>
    <t>D Antonio Vhlderrama</t>
  </si>
  <si>
    <t>…aballos del S.° ligero, al mando del alférez graduado de teniente de la ciudad de Montero , y de ellos rcsult3 que por la combinación Jiecha por D. Raimundo Hernández, y por una compañía de granaderos provinciales que el teniente coronel D. Antonio Vhlderrama, según las instrucciones que le co lo estaba al del ayudante D. Ramón Luaces, que lo verificaron con mucho ar munique, se vieron cercados lo* facciosos, tanto por las tropas que lleva consi rojo y contribuyeron á su precipitada fuga. go y otra* varia* partidas en persecución de malhechores que se d…</t>
  </si>
  <si>
    <t>Vi, José Joaquín</t>
  </si>
  <si>
    <t>José Joaquín Vi</t>
  </si>
  <si>
    <t>…, be El buque de vapor de Bombay será despachado á tiempo que pueda llegar neficiado de Segura; á D. José Manuel Bustindui, beneficiado de á Socotora dos días antes del de Calcuta, y de alli pasará á Madras y á Ceylao. Motrico; á’D. José Joaquín Vi^uendi, diácono de Urrestilla: á Don A la llegada del vapor de Calcuta., el de Bombay que ya habrá tenido dos dias Joaquín Gancio é Irigoyen, diácono capellán de .Arizau; á D. An para repararse y proveerse de todo lo necesario, tomará inmediatamente tos tonio José Lasarte, subdiácqno de Urrestilla;…</t>
  </si>
  <si>
    <t>Vi, Miguel</t>
  </si>
  <si>
    <t>Miguel Vi</t>
  </si>
  <si>
    <t>…ecretado la confiscación de dos fo . S. M. la Reina Gobernadora se lia dignado nombrar subdelega lletos revolucionarios, prohibiendo que se vendan en el territorio del reino. £1 do principal de Policía de la provincia de Madrid á D. Miguel Vi- uso se intitular la 'Pototua^y sus héroes , por Román Sokykj y-dotro: Cere— gil de Quiñones, fiscal del tribunal de Cruzada, quedando satisfecha menia fúnebre en honor de tos potaros. del zelo con que se ha conducido el actual subdelegado D. Fermín Sabemos que el príncipe Soutzo ha recibido orden p…</t>
  </si>
  <si>
    <t>Vi.lachica</t>
  </si>
  <si>
    <t>…tamen, el Excmo. Sr. Presidente dijo que bieran haberse echado suertes; pero na sucedió lo uno m lo otro, sino que vo atendiendtxa la gravedad del negocio-, se imprimirá á la mayor brevedad y se tó el cebante, v salió clécid &gt; el Sr. Vi.lachica. repartitá"'con la misma á.los Sres. Próccrcs, señalando pira su dw\»:»n l.\ se «D-ce l;i compon el K lamento decidió en el expediente sobre la sión del Iones próximo; con lo que cerró la de este dia, quedando el Esta elección de Cáceres que la segunda junu era una secuela de ;a puniera, y qjatt men…</t>
  </si>
  <si>
    <t>Viacto, D Manuel Alonso</t>
  </si>
  <si>
    <t>D Manuel Alonso Viacto</t>
  </si>
  <si>
    <t>…sco Goyeneche. En la 5.a.................................................. Sr. D Miguel Nájera. El capitán general de Extremadura trasladando el parte que le comunica el En la ó.a.................................................. Sr. D. Manuel Alonso Viacto. corregidor subdelegado de policía de Trujillo con fecha del 10, pone en noti cia de este ministerio que habiendo sido completamente batida la gavilla del traidor Cuesta en las inmediaciones de Fresnedoso, fuero-n perseguidos sus res bolsa db cqxxkcio.—.Cotización de hoy a las tres de la tarde. tos…</t>
  </si>
  <si>
    <t>Viacto, Manuel Alonso</t>
  </si>
  <si>
    <t>Manuel Alonso Viacto</t>
  </si>
  <si>
    <t>…Goyeneche. En la 5.a.................................................. Sr. D Miguel Nájera. El capitán general de Extremadura trasladando el parte que le comunica el En la ó.a.................................................. Sr. D. Manuel Alonso Viacto. corregidor subdelegado de policía de Trujillo con fecha del 10, pone en noti cia de este ministerio que habiendo sido completamente batida la gavilla del traidor Cuesta en las inmediaciones de Fresnedoso, fuero-n perseguidos sus res bolsa db cqxxkcio.—.Cotización de hoy a las tres de la tarde. tos…</t>
  </si>
  <si>
    <t>Viado, Manuel</t>
  </si>
  <si>
    <t>Manuel Viado</t>
  </si>
  <si>
    <t>…tiene la dicha de ofrecer á los Reales pies del trono de vuestra excelsa Hija I con D. Cesáreo María Saenz, director de la Re.il compañía de Filipina», y de y nuestra augusta Soberana Doña Isabel u, suplicando á V. M- se digne ad D. Manuel Viado,-examinando el sistema é índole de dicha contribución pro mitirles como un impulso de su mes acrisolada lealtad. ponga el, modo de hacerla mas desembarazada, ya sea indicando otras bases que Alcoy 18 de Noviembre de 1833 =Señora,= Á L. R. R de V. M-crGreconduzcan á este objeto con mas suavidad y fa…</t>
  </si>
  <si>
    <t>…pies de dos reales de plata con «t Sr. Marc-Dalbourg á tan laudable fin, y que han ilustrado mas y mas provincial tuviese el valor óe cuatro rea'es de vellón justos, ó treinta y cuatro la materia con sus luces, han sido los Sres. D. Manuel Viado, D. Gerónimo cuartos, en lugar de los treinta y dos que estaban prefijados; el real de plata de de la Escosura, y el Sr. Sepúlveda, de la casa de la moneda. Debemos hacer su especie diez y siete cu irtos, en vea de diez y seis; y el medio real dé plata conmemoración de estos señores, y hacerles la…</t>
  </si>
  <si>
    <t>Vial</t>
  </si>
  <si>
    <t>…la secretaría de Estado, y otra igual tuvo ayer coa fes Idris y Thusein bey , que el bajá de Egipto conservaba á su ser el mismo ministro M. Van de Weyer. vicio á peso de oro y los consideraba como hijos propios: la deSe- ____El caballero Vial, encargado de Negocios de España, empezó lim-baja, que habiendo merecido la preferencia entre sus ¡guales, ayer sus preparativos de viage para volverse á Madrid; debiendo se había casado con una hija de Mehemed-Ali y gozaba de la ma llegar á esta corte, según se dice, en toda la semana próxima el y…</t>
  </si>
  <si>
    <t>…de estas disputas corrió la voz de que el conde Grey se continuará intercediendo enérgicamente en favor de aquella valiente y desven ; ^ había separado del ministerio, pero esta noticia carece de fundamento. turada nación. •&gt; _E1 caballero Vial, encargado de Negocios de España, ha tenido una entre En apoyo de esta propuesta dice el Sr. Barrot que no intenta entorpecer di ¿vista, con lord Palmerston. las negociaciones que el gobierno tenga pendientes ni suscitarle compromisos, n^i Es cierto que el príncipe de Talleyrand se volverá á Franci…</t>
  </si>
  <si>
    <t>…. Tres por 100 consolidados 90 • Larreta; D. José López Juana Pinilla. Ayer llegó á esta ciudad el nuevo embajador de España , conde Para la de Marina á D. Martin Fernandez de Navarrete, deca de Floridablanca. Hoy, acompañado del caballero Vial, ha hecho no; D. Agustín Perales; D. Miguel Moreno- una visita á lord Palmerston, y el 16 será presentado á S. M. Un Para la de Fomento á D. Juan Alvarez Guerra, decano; Don número considerable de distinguidos personages, incluso el cuerpo José Canga-Arguelles; D. José de Heredia; £&gt;. Justo José Ba…</t>
  </si>
  <si>
    <t>…undo de la sanguinaria Convención y del sistema de Robespierre, pero I mediatamente después de concluido el convite. nadie respondió á sus. voces, nadie mostró simpatía con sus máximas, ni quiso i___El príncipe de Talleyrand y el caballero Vial, encargado de Negocios de asociarse á sus ideas. El modo como fueron recibidas las declaraciones de estos ¿paña, tuvieron ayer una entrevista con lord Palmerston. dos hombres pru*ba que su ejemplo ni es peligroso para la monarquía, ni útil’ ___Eos ingleses residentes en Hamburgo han enviado una exp…</t>
  </si>
  <si>
    <t>Viamonte</t>
  </si>
  <si>
    <t>…obligados de resi Buenos Airee 13 de Julio. dir allí continuamente, El nunistro.de Estado prescntóesla institución con loa Colores mas favorables en una carta qpe dirigió» la. cotnSaon de las Cámaras; Después de la separación del gobernador Viamonte, nombró el Congreso pero la Oposición (expresión de que se hatervúlo Me. Breibcsctixch, convryrro de representantes para sucederle al brigadier D. Juan Manuel de Rosas; pero y comisario del Gobierno, y que ha desaprobada altamente el Sr.Digntado teté ha hecho ya tres renuntiás, y i pesar de las ins…</t>
  </si>
  <si>
    <t>Viana, Manuel</t>
  </si>
  <si>
    <t>Manuel Viana</t>
  </si>
  <si>
    <t>…ión una estampa con rses figuras en perspec tiva. de solo contornos, ura que se puedan iluminar. Un cuadernito en Se vende mún 4 todos los qtw habían desempeñado los primeros cargos bajo él régi á 5 rs. en Madrid cala librería de D. Manuel Viana y cii la de D. Juan José Bscobar. men constitucional, sé retiró 4 Vivir 4 su quinta, donde se dedicó dé nuevo 1 En los provincias en las librerías siguientes: Badajoz,Carrillo; Barcelona, Gaspar; á su; ocupaciones literarias, alternadas ton las campestres; ¿ cuyo género de Búrgos.VIlUnueva; Cádiz, Ca…</t>
  </si>
  <si>
    <t>Viant, Francisco</t>
  </si>
  <si>
    <t>Francisco Viant</t>
  </si>
  <si>
    <t>…e la Real órden de 22 de Marzo último, por la cual D. Tomas-de Linaccro............................................................................ 400 tuvo S. M. á bien mandar que se estableciese en esta capital una sociedad eco D. Francisco Viant................................................................................. 80 nómica de um;gos del país, invité á todos los sugetos de luces que hay en la ‘ D. Pedro Sanz, del comercio de libros.................................................. 300 roi»ma, y se en efecto en el día 8 del próximo pasado. D. J.C.................................................;..............…</t>
  </si>
  <si>
    <t>Viaor, Manuel</t>
  </si>
  <si>
    <t>Manuel Viaor</t>
  </si>
  <si>
    <t>…1) La presente edlcldtrd* eita óbte consta de 4 tetaos en «.*, y se vende en ' robadasarroyo deleo Puercoel más ,deporMarzosi quUieéende 183&amp;peranftaraeeaen los monteslaCuadrados-,causa. ca&amp;ate dtt :. p [ Madrid en ia librería de D. Manuel Viaor* zoo rs. cada ejemplar en pasta» •; . -• .. ? “• m. - - .. .... «-i ui * 7L't'&lt; HH lA QfflREKTA REAL</t>
  </si>
  <si>
    <t>Viatptyrtí</t>
  </si>
  <si>
    <t>…ehS'dfrBue acabaré , dedicado sleWpréá mirar pór Ibs tiritereses de está ‘ciudad y condado. nos-Aires que alcanzan hasta el 7 de Junio inclusive. Permitidme que otra vez os tribute, rendidas gracias por vuestra felicitación, y El gobernador Viatptyrtí había, hocbo ditnisjoníde SU encargo el S ante la en particular á Mr. Woodman por los términos lisonjeros con que la ha Cámara de R.epresetnáiités, y'está'mandó pasar lá renuncia á la comisión de acompañado.*? ¡" '' v ■ ! ‘ ' . ., Negocios constitucionales* . . , r '' ■ El mismo dfá acudió í la Cál…</t>
  </si>
  <si>
    <t>Vicáfbaro</t>
  </si>
  <si>
    <t>…u celebraciónliaría yeladministraciónpro-ente; e-críra, y enel usotrancesque haporhechoel R. deP. ellosD. Carlosdesde Chardonel. tiempo, ydeTralos ducida al castellano con adiciones y notas por los Sres. D. Fr. Alberico Echandi y Don Vicáfbaro.................. Del 11 al 16. .. 30 6 3 Juan124 pastade Campocomún.y HallaseOliva. Ochoreunidotomosy seguidoen 8.°,enediciónesta historiadel añode17-/J,los Sacramentosa 80 rs. rama10,10y Leganés....................... Del 11 al 14. . . 6 10 L lo perteneciente á cada uno de ellus, su naturaleza, sus constitutivos efect…</t>
  </si>
  <si>
    <t>Vicáfbaro, Fr Alberico Echandi y Don</t>
  </si>
  <si>
    <t>Fr Alberico Echandi y Don Vicáfbaro</t>
  </si>
  <si>
    <t>…ados. Fallecíd upnsr-&gt;!e*su celebraciónliaría yeladministraciónpro-ente; e-críra, y enel usotrancesque haporhechoel R. deP. ellosD. Carlosdesde Chardonel. tiempo, ydeTralos ducida al castellano con adiciones y notas por los Sres. D. Fr. Alberico Echandi y Don Vicáfbaro.................. Del 11 al 16. .. 30 6 3 Juan124 pastade Campocomún.y HallaseOliva. Ochoreunidotomosy seguidoen 8.°,enediciónesta historiadel añode17-/J,los Sacramentosa 80 rs. rama10,10y Leganés....................... Del 11 al 14. . . 6 10 L lo perteneciente á cada uno de ellus, su naturaleza, sus constitutivos efect…</t>
  </si>
  <si>
    <t>Vice</t>
  </si>
  <si>
    <t>…é sicmpreificefcrihle que se sos á)enes del Toisop de Oro, Cirios itt é Isabel la Católica, y de los jóvenes tenga y fomente el amor á su trono que el mal estado del estabíecümenio ¡da sa pensionados en Roma.. Real caáa; - - : El Sr. Vice presidente: *•Habiendo extendido le cornijón del presupuesto 7.a «Que la,dignidad del mismo Estamento está exigiendo, que destoses de ide casa Real'au dict&amp;neu acerca'de la proposición que se la pasó ayer á este fin, haber pasado,,per,todos los inconvenientes de discusiones .tan poco agrSables, ,va…</t>
  </si>
  <si>
    <t>Vicedo</t>
  </si>
  <si>
    <t>…s tampoco se atreverían á ir, tar'a que no tuv esen ni aun la que tienen. por temor de los contrabandistas , como por no saber si fa-larian á las Icrev'* - - No bqsta, como ha dicho un Sr. Procurador, tener oídos para saber lo El Sr. Vicedo: -Respecto al inconveniente que podría tener el aití.u o que conviene; el oído es menos exacto que la vista ; y yo tengo experien que se discute, yo me&lt;creo autorizado para advertir que los peticionan!s que cias repetidas de haberme supuesto cosas contrarias á lo que había dicho, pero hemosóimado e…</t>
  </si>
  <si>
    <t>…esultó con que estén en el proyecto presentado por el Gobierno, ¡ Y qué proyecto aprobada aquella por 76 votos contra 36, habiéndose abstenido de votar el de ley puede haber que no se haya presentado por el Gobierno? Ninguno. Es, Sr. Vicedo. pues, evidente que los dos artículos citados ofrecen la norma y pauta que tene Los Sres. que la aprobaron fueron los siguientes: Otazu,Cano Manuel mos obligación de seguir. EQué ha contestado el Sr. López á este argumento ? (padre), Rodríguez Paterna , Osea, Vitoria, Somoza, Clarós, Marín, Men», Ha…</t>
  </si>
  <si>
    <t>…pueden servimos de,norte, ya porque se leían muchos escritos , ya parque las quiere hacer alguna proposición,, que la baga.” t- sesiones eran ,ma|. largas,” El Sr. Presidente: ®Yo creo que &lt;m vista de lo que d sr. Lopes acaba El Sr. Vicedo: «El Sr. Doasecqme h*gjsyenido en cuento á que pesó de proponer , la deiieadeña de loa Sres. J'rocuradCrei les retraerá de pedir li—• á la comisión el negocio de que se trata. Por lo dama, apoyo qde se establez cencía; sin embargo, si alguno presenta semejante petición , siempre tiene el, ca un dia…</t>
  </si>
  <si>
    <t>…pues hoy no ha podi impida llevar adelante sus trabajos el no estar presentada la ley de ayuntamien do empezarse la sesión hasta las once y media.” tos, puede hacerlo presente al Éstamentd á fin de que este lo decida; masen mi El Sr. Vicedo: »La comisión de Milicia urbana ha empezado sus trabajos juicid, no es esa causa bastante poderosa para causar en asunto de tanta impor y se encuentra embarazada por no tener la ley de Ayuntamientos. Desearía tancia el menor entorpecimiento ó dilación.” que el Sr. Secretario del Despacho de Estado…</t>
  </si>
  <si>
    <t>Vicedo, Andrés</t>
  </si>
  <si>
    <t>Andrés Vicedo</t>
  </si>
  <si>
    <t>…e tiradores, y no con una columna 'de. suficiente , Sr. D. Miguel Oca y 'Gucreau. fuerza. _ . Sr. D. Francisco Belda, barón de Casanova de Bocairente, La marcha sobre Lisboa fue retardada por la villanía de los proveedores de Sr. D. Andrés Vicedo, hacendado. víveres, que robaron las tres cuartas'partes de las provisiones destinadas al ejér cito, y obligaron i los soldados á detenerse en el camino, no solo por la ncce— provincia db Avila. «¡dad de comer , sino por la de buscarse ellos mismos los alimentos. El ataque Sr. L&gt;. José Somoza. ¿pot…</t>
  </si>
  <si>
    <t>Vicedo, D Andrés</t>
  </si>
  <si>
    <t>D Andrés Vicedo</t>
  </si>
  <si>
    <t>…be de tiradores, y no con una columna 'de. suficiente , Sr. D. Miguel Oca y 'Gucreau. fuerza. _ . Sr. D. Francisco Belda, barón de Casanova de Bocairente, La marcha sobre Lisboa fue retardada por la villanía de los proveedores de Sr. D. Andrés Vicedo, hacendado. víveres, que robaron las tres cuartas'partes de las provisiones destinadas al ejér cito, y obligaron i los soldados á detenerse en el camino, no solo por la ncce— provincia db Avila. «¡dad de comer , sino por la de buscarse ellos mismos los alimentos. El ataque Sr. L&gt;. José Somoza. ¿pot…</t>
  </si>
  <si>
    <t>Vicen</t>
  </si>
  <si>
    <t>…a polí S. M. se ha servido conferir la plaza de oficial tercero de la contaduría de tica establecida en aquella capital por Real orden de 28 de Setiembre del año propios de la provincia de Valladolid, vacante por fallecimiento de D. Vicen próximo pasado, S. M. se ha servido autorizar á la citada corporación para que te Laviña, á D. Antonio Froilan Perez, cesante de la de Granada: la de ofi ensaye dicho reglamentó, proponiendo las adiciones ó modificaciones que la cial segundo de la contaduría de igual clase de Albacete, vacante por…</t>
  </si>
  <si>
    <t>…lssá, ofrece cual cuenta ya 67 alumnos, habiendo costeado cuantos enseres y efectos han el premio de sócio de mérito y la gran medalla de oro de pcv de dos onzas, súfo y son menester, y encargándose de la dotación de los maestros D. Vicen con el nombre del autor abierto á burilen el reverso (permitiéndole, si lo pide, te Bordalonga, vecino y del comercio de aquella capital. que haga acuñar hasta el número de seis de su cuenta) al que con mayor pro Se han hecho alguna* mejoras en las cárceles de la misma, y la Real aso piedad y circu…</t>
  </si>
  <si>
    <t>…del 5.° ligero D. Rafael Morales, comandante del destacamen to móvil.de Alcanar, aprehendió el dia 18 a 4 rebeldes armados, los cuale» han sufrido el condigno castigo. »En virtud de las instrucciones que tengo dadas al comandante D. Vicen te Llorens, situado en la izquierda del Ebro, verifico dicho gefe en los días 18 El capitán general.de Valencia con fecha 23 de Diciembre remite á este y 19, y en unión con el comandante de armas de Irise!, D. Antonio Anselministerio el parte siguiente. me , una escrupulosa batida en, varios puntos…</t>
  </si>
  <si>
    <t>Vicen, D</t>
  </si>
  <si>
    <t>D Vicen</t>
  </si>
  <si>
    <t>…l teniente del 5.° ligero D. Rafael Morales, comandante del destacamen to móvil.de Alcanar, aprehendió el dia 18 a 4 rebeldes armados, los cuale» han sufrido el condigno castigo. »En virtud de las instrucciones que tengo dadas al comandante D. Vicen te Llorens, situado en la izquierda del Ebro, verifico dicho gefe en los días 18 El capitán general.de Valencia con fecha 23 de Diciembre remite á este y 19, y en unión con el comandante de armas de Irise!, D. Antonio Anselministerio el parte siguiente. me , una escrupulosa batida en, varios puntos…</t>
  </si>
  <si>
    <t>Vícente</t>
  </si>
  <si>
    <t>…as tropas en decreto de 19 de Julio último la que entró en la noche del 24, al aproximarse á su casa á las tres de la mi para perpetuar la memoria de la jura de su augusta Hija como heredera del rria, fue conocido por el referido D. Vícente, quien le intimo que se rindiese; trono , y con la procesión que se verificó en este y el siguióme dia llevando en pero hjbiéndose puesto en fuga el mencionado cabecilla, le disparo aquel un triunfo fei retrato de la Riüna nuestra Señora. A fcsto debe añadirse el con tiro, hiriéndole ligeramente, y…</t>
  </si>
  <si>
    <t>Vicente</t>
  </si>
  <si>
    <t>…ente en , Se ha conformado con e! proyecto del capitán general de Oranada y Jaén, tusiasmo. sobre aumentar el número de compañías de escopeteros,-&gt;y Je ha remitido el En seguida las lucidas comparsas de los gremios, dirigidas por D. Vicente repartimiento de los gastos según e! presupuesto de dicha capitanía general. Lo ada, empezaron á ejecutar las danzas del país delante del retrato de S. M-, Trata deshacer efectivas las sumas que se adeudan á fa casa de beneficencia que estaba colocado en la fachada de la casa consistorial. Hubo tam…</t>
  </si>
  <si>
    <t>…ente en , Se ha conformado con e! proyecto del capitán general de Granada y Jaén, tusiasmo. sobre aumentar el número de compañías de escopeteros,-&gt;y Je ha remitido el En seguida las lucidas comparsas de los gremios, dirigidas por D. Vicente repartimiento de los gastos según e! presupuesto de dicha capitanía general. Lo ada, empezaron á ejecutar las danzas del país delante del retrato de S. M-, Trata deshacer efectivas las sumas que se adeudan á fa casa de beneficencia que estaba colocado en la fachada de la casa consistorial. Hubo tam…</t>
  </si>
  <si>
    <t>…ancisco Romero, tano OHoqúi , y de las compañías de cazadores de lo* regimientos Príncipe, AIRogelio Peña, Jaime Serrano, Francisco Carrera , José Morcll , Cayetano Co mansa y provincial de Compórtela , mandadas por lo* capitanes D. Vicente llado, Vicente Oliver y Fernando Alfaro, siendo este último del regimiento Ruiz, D. Cirios Bctcgon y el teniente D. Ramón Pardo , con las que marchó infantería de Zaragoza. El mismo biigadier Linares me ha recomendado tam también la de granaderos de Al mansa ccn el capitán D. Félix Saraza. bién esp…</t>
  </si>
  <si>
    <t>…endo en ciertos parages un gran sistema de colo Camps y Soler, conde de S. Simón, Arango y Ayal3nización , de acuerdo con las compañías que particularmente se ocupan en esto Los que desaprobaron fueron los siguiente: Cano Manuel (D. Vicente), en Europa, con especialidad en Inglaterra. Propuestas favorables tiene ya el Abargues, Belda, López, Vísedo, Carrasco, Chacón, González ( D. Anto Gobierno, que es probable se realicen, restablecida en el reino la paz y la nio), García de Atocha , Garda Carrasco, Ontiveros , Ulloa, Alcalá Galia tr…</t>
  </si>
  <si>
    <t>…ana por sus atrocidades. de la compañía de carabineros del mismo D. Ramón Ferrer: los comandan Deseoso el capitán general de castigar los asesinatos cometidos por aquellos tes D. Joaquín Ramos y D. Miguel Mirambell: los capitanes D. Vicente malvados en Falset en las personas del capitán D. Miguel Sala, en eL teniente Llorens y D. Mariano López, el primero graduado de Teniente coronel; y el D. José Castañeda y el cadete D. Miguel, hijo del expresado capitán, todos subteniente D. Gerónimo Vidal, todos del regimiento de Bailen: el tenien…</t>
  </si>
  <si>
    <t>…instantánea de la Princesa del destacamento de Peñaranda con 8 de caballería del regimien mente : despaché un posta al comandante del Burgo de (Xma , mandándole sa to del Rey, l.° de linea, mandados por los bizarros subtenientes D. Vicente lir con toda su fuerza, á socorrer 4 Vargas, por si podía llegar antes que yo, Vargas y D. Severino Cobian, á quienes el rebelde Merino, que había reuni y por si no veniun algunos otros destacamentos inmediatos, y salí con la.Tefe- do de 150 4 2ÓU infantes, y de ÓU 4 80 caballos, valido del corto n…</t>
  </si>
  <si>
    <t>…eguidas por las Él 2/ de Abril último se celebraron en la ciudad de León los exámenes columnas de'los brigadieres Magrat y ColubÍr&gt;y otras varias, que los obligaron públicos de la escuela de primera enseñanza, que está á cargo de D. Vicente á pasar á la derecha del Segre; pero recibidas en el corregimiento de Talasort Nieto Picado, y se distribuyeron los premios á los mas sobresalientes. Fueron por las tropas y voluntarios con que les salió al encuentro su gobernador, y presididos estos exámenes por la Real junta de inspección de escu…</t>
  </si>
  <si>
    <t>…que son ellos mismos, como repetidas veces se dos, un alférez y un cadete, unida á estos otra partida de 30 hom J»a manifestado an la discusión, el argumento mas poderoso y la bres de zapadores de la Guardia Real con su teniente D. Vicente demostración mas convincente de que existen las circunstancias quo Talledo , algunos caballos de granaderos de dicha Guardia y del han dado margen á presentar el proyecto de ley. 3.° de ligeros con los tenientes D. Antonio López Lechuga y Don »¿Es cierto, nos pregunta el otro partido de oposición,…</t>
  </si>
  <si>
    <t>…os que acudieron, dan do sus ordenes y dirigiendo los trabajos hasta que se apagócl incendio. He dado cuanta á S. M. la Reina Gobernadora de una exposi El pueblo, siempre penetrado de la mas viva gratitud por los cuidados ción de D. Vicente,José Sanguino, vecino de Casar de Cáceres, en llenos de humanidad y el valor extraordinario de que ha dado tantas pruebas solicitud de que se te expida gratuitamente y sin sujeción á eximen S. AR. mientras afligía a esta capital una cruel .epidemia, le acogió con gri el tirulo de maestro de primera…</t>
  </si>
  <si>
    <t>Vicente, D</t>
  </si>
  <si>
    <t>D Vicente</t>
  </si>
  <si>
    <t>…Les dirá que son ellos mismos, como repetidas veces se dos, un alférez y un cadete, unida á estos otra partida de 30 hom J»a manifestado an la discusión, el argumento mas poderoso y la bres de zapadores de la Guardia Real con su teniente D. Vicente demostración mas convincente de que existen las circunstancias quo Talledo , algunos caballos de granaderos de dicha Guardia y del han dado margen á presentar el proyecto de ley. 3.° de ligeros con los tenientes D. Antonio López Lechuga y Don »¿Es cierto, nos pregunta el otro partido de oposición,…</t>
  </si>
  <si>
    <t>Vicente, J L B Cormoo y D</t>
  </si>
  <si>
    <t>J L B Cormoo y D Vicente</t>
  </si>
  <si>
    <t>…puHolx compuesto y fielmente recopilado según U última edición del Diccionario de la Academia español, y el Vocabulario de la Crusca, como f AJMnm , en muy mal estado. Igualmente del gran Diccionario de Alberti de Villanova , por D. J. L B. Cormoo y D. Vicente Maurl. Un tomo 8.° pasta. Véndese á ¿o rs. eo la librería de D. Tamas Elbrigadier- D. Baldomero Espartero, comandante general de Vizcaya, re- Jord:*n, Cé' e de lá Concepción gerónlma. { míre con fecha de 29 del próximo pasado Enero copia de los partes que había — Tratado de la círíw/&lt;iWof» artifici…</t>
  </si>
  <si>
    <t>Vicente, Pascual</t>
  </si>
  <si>
    <t>Pascual Vicente</t>
  </si>
  <si>
    <t>« . l ' 1 _y . Juan Ramón Huesca, y en lo* heridos D. Jos* Vivar, «argento 2*, Juan gacton , y teniendo suficiente concurrencia para sostenerla* cura perspectíra ál Corveynf D. Pascual Vicente, D. Camilodél Pozo y D. Nicolás Perca, del , presente es muy lisonjera. ----—______ ______ ’ mismo cuereo. Las demás partidas de Urbatio* dé las Villas de la Torre de No es necesario detallar aquí las miras de los empresarios con respectó a JúnnAbad, Yillanueva de la Fuente* Infantes, Manzanares, M…</t>
  </si>
  <si>
    <t>Vicente, Pedro</t>
  </si>
  <si>
    <t>Pedro Vicente</t>
  </si>
  <si>
    <t>…ciudad y hospitales. que di i V. E- aviso en mi comunicación de 10 del mes actual, que en ia ma drugada del dia 8 se presentó en lí Pola de Laviana, llevándose los presos que Con la misma fecha avisa el gobernador civil de J-ien D. Pedro Vicente habia en su cárcel , ha desaparecido enteramente; y según las noticias que me Jare ño haber desaparecido enteramente las enfermedades sospechosas que en el comunican los comandantes de las columnas móviles ocupadas incesantemente hospital de confinados de la Guardia padecian algunos individuos de l…</t>
  </si>
  <si>
    <t>Vicente, Ramón</t>
  </si>
  <si>
    <t>Ramón Vicente</t>
  </si>
  <si>
    <t>…njuez 27 de Abril de 1854.= clarar hallarse muy satisfecha.A D. Tomas Lobo. Rara formar la dotación de ministros de la Real audiencia de Madrid, he venido en nombrar á D. Joaquín de la Escalera; á Don Gerónimo Manuel Caballero; á D. Ramón Vicente; á D. Fermín PARTE NO OFICIAL. Gil de Linares; á D. Juan Modesto de la Mota; á D. José Alonso; á D. Fra neisco Verea y Cornejo; á D. Francisco Crespo y Rascón y NOTICIAS EXTR AXGERAS. á I). Miguel Moreno, que lo son de la misma; á D. José Francisco ValtléS y Posada, oidor decano déla audiencia de A…</t>
  </si>
  <si>
    <t>…órdenes- cino ijuc era (le Arenillas de Ñuño Perez, asesinado en el mismo punta, tres reales de vellorí diarins: á la viuda y ocho tiijos del ci Eicmo. Sr. : En cumpllpiiento del Real decreto de 26 de Marzo rujano de TramacaJilla D. Ramón Vicente, muerto ei U aocjon llltimn, jwr el que las temporalidades de eclesiásticos rebeldes se des dei 10 de A! mil contra el cab-cilla Caragol, cinco reales de vellón ainaron al socorro de viudas y huérfanos de los leales sacrificados in diarios: á Josefa Antonia Zulieldia, vecina del Barrio de Bedayo, h…</t>
  </si>
  <si>
    <t>…de la misma fecha que hemos, visto , nada dice. Por Real decreto de 11 de este mes se ha servido S. M. la Reina Go {Standar di) bernadora conceder ati jubilación con sus honores y el sueldo que le correspon da por clasificación á D. Ramón Vicente, ministro de la [Real audiencia de Madrid; y nombrar para esta plaza á D. Angel Fernandez de los Ríos , te niente primero de corregidor de Madrid. l ESPAÑA. Asimismo ha tenido á bien nombrar por Reales decretos de 13 del actual, Pamplona 8 de Octubre. en consideración á los servicio* que han presta…</t>
  </si>
  <si>
    <t>….......... .......... ... Vctez-Málaga. bido mas desgracia que la del dependiente de Sallent Joaquin Sanz contuso, y Nota. Las 8¿3 indemnizaciones, i 4 duros cada una , corresponden á los . la muerte del cirujano de Tramacastilla D. Ramón Vicente que salió con otros números impares. paisanos de aquel pueblo, y pereció batiéndose con los facciosos; ha dejado muger y ocho ó nueve hijos en la mayor miseria, y creo de mi deber reco mendar esta familia desgraciada á V. E, para que si lo tiene á bien lo haga á bolsa de comercio.__ Cotización de h…</t>
  </si>
  <si>
    <t>Vicente, Rimoh</t>
  </si>
  <si>
    <t>Rimoh Vicente</t>
  </si>
  <si>
    <t>…Oliente ¡de la partida la Ombría, caminó' «Me resta únicamente hablar á V. E. en favor de la viuda y desgraciada fa- ' de Mezquita con ubos ISl» hombres y cuatro1 caballos, perseguida por la co milia del cirujano de Tramacastilla D. Rimoh Vicente, que fue víctima de los lumna de Nogueras. rebeldes; espero que V. E. se dignará inclinar la Real piedad de S., M. en be »La compañía de preferencia de Urbanos de Zaragoza pasó por Ginebrosa si-' neficio de esta tmeliz viuda Con ocho hijos'que han quedado en la mayor indi gurendo la facción -de Mon…</t>
  </si>
  <si>
    <t>Vicentese</t>
  </si>
  <si>
    <t>…n el Real museo, se servirán mandar reco- escuela. Los pretendientes dirigirán los memoriales, fraocos de porte hasta el3^del l ger el cuaderno 38 y adelantar el importé del 39, que saldrá incesantemente, queá losrige,memorialesá D. Vicentese acompañenBardají demuestrasAzara, vecinodé las letrasde dichadel pretendiente.villa; y sé prévleÓe‘qué- ■ EN LA IMPRENTA REAL.</t>
  </si>
  <si>
    <t>VicenW, Juan Manuel</t>
  </si>
  <si>
    <t>Juan Manuel VicenW</t>
  </si>
  <si>
    <t>…mismo para Oroquieta, ¡donde ten ciudad; una en la calle de Cabrera señalada con el núm. 10, y la otra eo la cuesta del go que esperar la incorporación rápida de Bray , sin 1 renunciar 4 perseguir.i carmen, sin número, propia de D. Juan Manuel VicenW, vecino de la referid* Ciudad, aquel, si puedo cortarlo todavía, hilando fusilar al espía, cogido. Dios Bec. Del para hacer paco k la Real Hacienda de 34010 rs. y l ars. .retasada la primera en $M¡M reales, y la secunda en 13683 r*.: éstl señalado pala su remare el 16 de Octubre próxbao ¡punto de l…</t>
  </si>
  <si>
    <t>Vicepre</t>
  </si>
  <si>
    <t>…destino que Leído el art. 2.° del mismo capítulo que trata del cuerpo de alabarderos, desempefian. De aqui se deduciría que todos los tenientes generales empleados y en que la comisión proponía el ahorro total de 4fi,10b.rs., el Sr. Vicepre tendrían 90,000 rs., 603 los mariscales de campo, y 483 los brigadieres. No sidente manifestó que el sueldo del capitán de alabarderos debería sujetarse á hay ya lugar á establecer esta regla , porque hemos fijado en 603 rs. el sueldo la regla adoptada ya por el Estamento. del decano del tribunal s…</t>
  </si>
  <si>
    <t>Vicepresidente</t>
  </si>
  <si>
    <t>…intérprete del voto de.la ma aprobado por el Estamento. yoría del Estamento, emitir el suyo propio-ó proponer un término medio, leyó dicho proyecto. que concíbase ios encontrados pareceres que se han manifestado, en tas discu El Sr. Vicepresidente: «Al art. 24 se hizo una adición por el Sr. Se siones de estos dias. Dificil fuera lo primero; lo segundo la haría tal vez acree cretario del Despacho de Hacienda para que se agregase »los delegados de pro- dora á inculpaciones desagradables é injustas; tercerp'no evit «ría tal vez una atiricia ” ;…</t>
  </si>
  <si>
    <t>…de las Navas, so reglamento que autorice para lo contrario, ni puede prevalecer'contra lo lite bre la veleidad ó poca constancia que stipone en su voto; porque cabalmente ral y expresamente dispuesto en él la práctica que dice el Sr. Vicepresidente yo, que me hago un honor de haber optado como S. S., me creo incluido en hallarse introducida en el Estamento de qué se pregunte si el asunto está sufi ella. Se funda el Sr. Presidente del Consejó de Ministros en que el Sr. conde, cientemente discutido cuando algún Sr. Procurador pida que se haga e…</t>
  </si>
  <si>
    <t>…n susceptibles de pagarse con dinero , y me parece que Algunos señores reclamaron contra la votación diciendo que debía ser no hasta ofenderíamos la delicadeza de S. A. con tal suposición. Yo por lo me minal, á lo que contestó el Sr. Vicepresidente que la votación estaba ya publi nos me ofendería, y juzgúese cuánta diferencia hay de mí á S. A. cada, y que por consiguiente no debía volverse atras, á menos que por *ufi- «Se trata de cumplir las obligaciones que tenemos respecto á S. A.; y cieóte número de Sres. Procuradores no se pidiera que se…</t>
  </si>
  <si>
    <t>…ía, Trucba Cosío, Villalaz , Agreda, Como S. S. se extendiese en manifestar los perjuicios que traían a la cau González Prrczr conde de Hust, López del Baño, San C emente,, Martí, Al sa de S- M- la cercanía de dichas personas, el señor Vicepresidente le recordó varez García, Aguirre Solarte, Villachica, Garay, Laborda , Quintana, que solo tenia la palabra para deshacer equivocaciones; á lo que contestó el Arango y Avala. Sr. Abargues, que era necesaria dicha manifestación para deshacerlas; y con Se ab&gt;tuvierbn de votar los señores Otazu, Cano M…</t>
  </si>
  <si>
    <t>…ORTES. pero no es poco probable que se haya conseguido ere nnevo triunfo, efecto ri las derrotas anteriores de los rebeldes, y del valor y entusiasmo de las tropas ESTAMENTO DB ISSOlBt PKOCUÍADOSES. leales.” Habiendo anunciado el Sr. Vicepresidente que se iba á proceder ¿ la Sesión del dia 19 de Diciembre. discusión del presupuesto relativo al ministerio de Estado, se leyó el pro: ecto del Gobierno (véase el apéndice al suplemento de la Gaceta de 12 de O - tubre último), y en seguida el dictamen de la comi-ion de E.tado sobre el Se abrió á la…</t>
  </si>
  <si>
    <t>…n mas el apoyo y sentimientos generosos de la Nación. Sea esto tCaUr á algunas preguntas que se le habían hecho. dicho en manifestación mas bien dé mi opinión que de la de mis amigos com Habiéndole sido comcJida la palabra por el Sr. Vicepresidente, continuó pañeros de comisión: si en ello ha habido alguna indiscreción, debe recaer so El Sr. Secretario del £)est&gt;acko de Hacienda: «Me parece que en esta bre mí solo. , discusión caii todos nos entendemos, por decirlo asi, puesto que el mismo de «El otro de los puntes á que S. S. ha aludido, y s…</t>
  </si>
  <si>
    <t>…a resuelto no abandonarla hasta comeguir el completo triunfo í&amp; porder la Acuña, Diez González . Fernandez Blanco, Mantilla, Fíela, Ciscar, Bucesta, vida.” marques de Súmentelos, Miranda y Olmedilla, Vega yRio, Vázquez Quei- ■ El Sr. Vicepresidente; anuncié que mañana 4 las once te-reuniría,el Espo, Calderón de la'Barca, Fontagud Gargollo, Mattel, Paez Jaramillo. Car tamento para discutir primero el proyecto sobre continuación de los preso1rillo Albornoz ¿ Alcántara, Galwey, marques de Espinardo, Palarea, Foche, puestos-antiguos hasta k aprob…</t>
  </si>
  <si>
    <t>…gal suficiente, era de dictamen que se accediese á ella. en cuanto sea dado al año 35: sea ventajoso ó desventajoso lo que se haga, es Asi se acordó. ta es una medida interina: añadiré mas: que los gastos de Diciembre se pagan El Sr. Vicepresidente anunció que se iba á proceder á la discusión del en su mayor porción én Enero, porque se pagan siempre un mes después del proyecto de ley relativo á que continúen los presupuestos antiguos en tanto vencimiento casi todos los gravámenes y cargas del Estado, asi que los de este que se aprueban los nu…</t>
  </si>
  <si>
    <t>…promovido , pues, quecotutará en htiranra; peró'debbráfiadifj qtiela •- tal 249-- •. 7 •' . i noticia queacabáde comunicarsé,noc»mta de oficio todavía.” , El Sr. Onís: «Este párrafo se Halla en el mismo caso que los que hemos El Sr. Vicepresidente: «La observación del Sr. Secretario de Gracia y aprobado; la comisión no riene inconveniente en;admitirlo.” Justicia la considero de la mayor importancia para la retolucion-dcl Estamen En seguidb fue aprobado dicho párrafo. to ; pues no hay partes oficiales, si bien son noticias positivas.” El Sr.…</t>
  </si>
  <si>
    <t>…uesto que no ha merecido ni aun ei ponerse á votación del Es en contra;, suponer que las dotaciones de los cónsules están comprendidas en tamento.” tre 12 y 209 re.; y aquí hay algunas asignaciones de 40 y de &lt;5u9 re. Al con - El Sr. Vicepresidente: «La mesa.no ha podido menos de poner á votación sulado de Gibraltar se le señalan 409 rs. y á los de Tánger, Trípoli y Túnez Con arreglo á practica la propuesta del Gobierno. Cuanto la comisión manifies se les asigna 609. De consiguiente el Estamento decidirá si se ha de votar la ta en su dictámen…</t>
  </si>
  <si>
    <t>…los proyectos que se presenten á su deliberación. Habló en seguida del pro empeño de su cargo , al que fiie admitido bajo protesta de presentarlos. yecto de ley sobre la abolición del Voto de Santiago, en el cual se habían se El Sr. Vicepresidente anunció que ayer quedó pendiente la indicación que guido los mismos trámites; y concluyó diciendo que el Estamento-no obraba por iba á leerse. espíritu de partido, y que no debía sacrificar ninguna de sus prerogarivas. (So El Sr. Secretario González (D. Antonio) leyó dicha indicación, conce leyó el…</t>
  </si>
  <si>
    <t>…ctámendela comisión-” «¡Quéentiende el Estamento}-¡quedes una cosa refundida en otra! Que la cosa Estamento..:..-.” r ’ i-c-.¡.I .-hg-a: :;oi que sé ¡refunde, en mi concepto , ó jo ño lo sé entender de Qtromodo , no e» r. Aquí el Sr. Vicepresidente interiumpió .al orador, ,Bd&lt;r¡rtiÓpdole qo# mas que..una pequeña .parte de las.cosas .que.,refunde, y de consiguiente que no se saliese de la cuestión; á-lo que -contesto que Creía estaba ep ,pf. órden, la cuestión -debe girar sobre la cosa qnc¡refunde- .Kbto es estrictamente lo que puesto que lo q…</t>
  </si>
  <si>
    <t>…Señor manifestó que al hacer esta _proposicion ao tetiiq mas nientes.” objeto que el salvar á la comisión de que se creyese que no defendió sus bases* . . -El Sr. Redondo ocupó la tribuna, y en un breve discurso hizo presente El Sr. Vicepresidente dijo que creía no hubiese necesidad de que recaye que én ninguna plañera' sería útil la cuenta que*%e hiciese y presentase en Ja pró se acuerdo del Estamento sobre la referida proposición, porque habiéndose xima legislatura, con arreglo al quinquenio último, pues no podría servir de regla general:…</t>
  </si>
  <si>
    <t>…ia de la petición hecha por los Sres. Procuradores. el sencillo relato con que está extendido (leyó parte de dicho dictámen). El' Estamento quedó enterado. «Cualquiera cosa que hubiera propuesto la comisión en punto á reformas El Sr.., Vicepresidente dijo que mañana se procedería á la discusión de las y economías, relativamente al consejo de que se trata , hubiera ciertamente es 1 tres peticiones siguientes: 1.a sobre abolición de privilegios concedidos á los tado fundado cn.unaespecie de opinión gratuita de los individuos que la Com pobladores…</t>
  </si>
  <si>
    <t>…i se acordó, y se man sente informe que lo apoya, aunque con algunas modificaciones, hayan supera dó se comunícase esta resolución. do las dtucullaóes v desvanecido los inconvenientes en su totalid'd , creen s-n Anunció el Excmo- Sr. Vicepresidente duque de Gor que se iba 4 entrar embargo que el provecto de ley preventado por el Gobierno e» muv conforme en la discusión señalada para este dia, sobre el proyecto de ley presentado por á las rectas intenciones y deseos de S. M. de icducsr á kMuni •» de concilia el Gobierno para reintegrar á los c…</t>
  </si>
  <si>
    <t>…en Se leyó el artículo 5.a dei proyecto del Gobierno, que se aprobó sin opo el servicio, y que estos castigo» sean con arreglo al artículo siguiente. sición. «En cuanto al párrafo 2.°, como ya ha dicho el el Sr. Polo y Monge, El Sr. Vicepresidente suspendió la discusión , señalando para proseguirla ha creído la comisión que no se debía dar voto de calidad al presidente, por el dia de mañana á las once, con lo que levantó la sesión. que podrían tener parte en su decisión las personalidades, r mirarse la misma como una venganza, o quedar sin c…</t>
  </si>
  <si>
    <t>…curadores rela donativos voluntarios que los fieles dan; y no puede tocar á ellos el Estamen tiva i que se facilite y fomente la navegación del Duero. to. En Jerusalen hay una casa religiosa de españoles que no la paga el Esta El Sr. Vicepresidente dijo que esta petición se imprimirla y distribuiría y do; y en ella encuentran socorros y hospitalidad los peregrinos y viageros; y se señalarla dia para su discusión- no parece justo ni conveniente que dejen de subsistir por falta de recursos es La mesa dió cuenta de haber nombrado individuos de l…</t>
  </si>
  <si>
    <t>…irmar al Gotyerno en los principios que profesa en esta ma señores peticionarios, mediante considera la introducción de granos extrangeros teria.*’ como funestísima al único ramo de riqueza que en el dia tiene la Nación , cual Ei Sr. Vicepresidente suspendió esta discusión, y anunció que mañana no es el de sus productos territoriales, y especialmente los granos, con los que si se reuniría el Estamento: pero sí pasado mañana pura discutir las peticiones las comunicaciones in eriores estuviesen establecidas, como es de desear , no solo pendient…</t>
  </si>
  <si>
    <t>…r contrario, y todos pedían que pueden evitarse ahora adoptando esta adición; y ademas podría tenerse al po constase en el acta. . -------- _ seedor de los bienes de que se trata, que se hubiese anticipado 4 cumplir con El Excmo. Sr. Vicepresidente contestó que pusiesen por escrito su disen él reintegro al comprador, como un delincuente 4 quien se le imponia la pena so para los efectos que solicitaban. de no poder considerar aquellos bienes como libres y desvinculados para usar Se dió cuenta de un oficio del Sr. Secretario de lo Interior en q…</t>
  </si>
  <si>
    <t>…consideración. culo y párrafo, donde se dispensa i los empleados de este servicio obligatorio, Acordado asi, se mandó pasar á tas Comisiones. _ * la cual d ce: «únicamenle en las horas que tengan que cubrir sus obligaciones.” El Sr. Vicepresidente anunció que se suspendía la discusión hasta que las Pues si bien el espíritu de esta adición parece ser que con pretexto de las obli comisiones dieran su dictámen'sobre este particular, advirtiendo que se avisaría gaciones de sus destinos, no se eximan del servicio de la Milicia, la comisión, al do…</t>
  </si>
  <si>
    <t>…as dos íos y 'cimüfBtaWcKtt á loSgranós extrangeros; y sí solo á que se conserve la le- • .partes en que se dividió. , gisiaetotí vigértfeVrjU'subétste én ia fuerza y vigor, y que no piensa el Gobier- Habiéndose' anunciado por el Sr. Vicepresidente que iba i abrirse la dis &gt;ftO ’lMt)t4ífe-fi Soló A caso presénte , sino conservaría para toa .demas que pue- cusión sobre el dictámen de la comisión de Estado acerca de la proposición ijei dátt ocurrif. ’ i ‘ ■ Sr. Samponts relativa i los derechos y obvención» de los cónsul» en pais ex o- -#^starÍá…</t>
  </si>
  <si>
    <t>…$u vo no por tibieza ni por falta de voluntad de parte del Gobierno se ha retardado tación por partes, según se acordó, y fue aprobado en todas ellas. la presentación del proyecto de ley que se reclama. El Gobierno hubiera de Ei Sr. Vicepresidente anunció que se iba á abrir la discusión acerca de Ja seado que Jas próximas elecciones de ayuntamientos se hubiesen hecho de un petición relativa á la ley de ayuntamientos. modo uniforme; pero con solo pensar en reducir el proyecto á la práctica, se Se leyó dicha petición, cuyo tenor es el siguient…</t>
  </si>
  <si>
    <t>…posibili -ta aqui. Madrid 20 de Diciembre de 1834- , . »S. M. la Reina Gobernadora me manda en consecuencia, que la ley asi dad absoluta de hacerlo.” aprobada por el Estamento de Sres. Procuradores la presente £ este Estamento El Sr. Vicepresidente dijo que k manifestación de S. S. era bastante pa de ilustres Próceros pare su eximen y resolución. Madrid 22 de Diciembre ra que constase. Se mandaron pasar á la comisión de Poderes el testimonio del acta de la de 1834 =TE1 conde de Toreno.” ’ elección de la provincia de Guadalajara que' ha recaíd…</t>
  </si>
  <si>
    <t>…cuales opinaban que El Sr. Rodríguez Vera: «La comisión deshará esta equivocación , que no no había inconveniente en que se discutiera en público. es suya, sino del Gobierno, el cual proponía que á la inspección de infantería El Sr. Vicepresidente anunció que esta petición se imprimiría y reparti se le señalasen 7 oficiales, no pudíendo por tanto la comisión extenderse á masría, y se señalaría dia para su discusión; como asimismo que se iba á conti Ahora qpe manifiesta el Gobierno qué cato ha sido una equivocación, la cq— nuar la del presupu…</t>
  </si>
  <si>
    <t>…. marques de Falces, que era la de votar que era menester pagar lo que se reclamaba, y ejecutar puntualmente la senten dos ó tres.reglas geneiaíes. cia. Volvió al ministerio esta consulta; y su Presidente, en cuyas manos conti El Sr. Vicepresidente manifestó que la mesa no podía apartarse de la nuaba el asunto , le remitió al consejo de Gobierno, el cual fue del mismo dic práctica seguida hasta entonces , que era poner á votación primero la propuesta támen que el consejo Real. Entonces los Ministros en consejo ib e fe varón'á co del Gobierno,…</t>
  </si>
  <si>
    <t>…ella-son como de un intruso ó de un^aventurero, pu^ no he hecho sino leer abraza el capítulo 4-°» y ascienden á 1.688,132 ra. algunas obras militares por mera curiosidad- Esto supuesto, creo que como A cuya pregunta satisfizo el Sr. Vicepresidente, indicando que el dictá Procuradores.á Cór|es Jo único que debemos hacer es examinar la suma total men de la comisión estaba dividido en partes, y que sobre cada una de ella* que se pídq, sin entrar en pormenores. Por consiguiente, lo primero que yo por separado recaería la votación. h&amp;qa seria pre…</t>
  </si>
  <si>
    <t>…o que por ser «Es inhegable que el mayor honor ¿ que puede aspirar cualquiera per este negocio interesante podría quedar el expeaiente sobre la mesa.” sona en un país libre, es merecer la confianza de sus conciudadanos par^ re El Sr. Vicepresidente dijo que no había necesidad de que este negocio presentarlos en el Congreso nacional , y bajo de este respecto se le comidera eo quedase sobre la mesa; y en seguida, puesto á votación el dictamen de comi las naciones citadas; mas en España no es asi. Sin negar que es konroto , se le sión , fue apro…</t>
  </si>
  <si>
    <t>…' . c de los cuerpos que componen el ejércitos q.ue todavía subsisten los cuatro regi Se puso á votación el dictámen de la comisión, y quedó aprobado. mientos suizos; y me temo que han de subsistir por tiempo indefinido, á lo El Sr. Vicepresidente anunció que se iba á continuar la discusión del pro*, menos hasta que se hayanarrcglado las contratas pendíéntés: héjpqui lo que K~ '•*&amp; %óS a^toló3i® Á'e&amp;talMfi'.átíf.Úk t «tteaí#» raimientos me hzcqrntar indeciso eAaprofeSi"!*! dictámen^He laEWBision. f ; \ " ”Ñd nje queda duda-oingiuíadcja-idea…</t>
  </si>
  <si>
    <t>…i el ria tan lenta, pero mas equitativa, y no se cortarla ia carrera á los que fian en asuntó estaba suficientemente discutido, y se declaró que sí. trado en ella bajo el pie actual, y han adquirido el derecho de que no se rom El Sr. Vicepresidente: "El capítulo que se ha puesto á discusión del Es pa el contrato de un modo tan violento. A este punto llevo el respe -o á los tamento y va á votarse, consta dejtos únicas partidas, £'n eü.is e ran compren derechos adquiridos, y estoy bien persuadido de que este principio es de conve didos muchos p…</t>
  </si>
  <si>
    <t>…, y de los empleadas en secreta misión, y aun el Gobierno está acorde en ello. Hay una .pordon de ciudades rias y auditorías de Guerra, 6.984,2 9Q as. que tienen honores de plazas de armas, y de consiguiente un gobernador, que El Sr. Vicepresidente suspendió esta discusión para continuarla ras Sana £ como tal debe ser un oficial de alta graduación, empleado, con un sobresueldo las once, anunciando por primera vez la discusión del prasupttesttrde Gracia y competente i su categoría. De un estado que tengo á la vista resulta que el Justicia, y c…</t>
  </si>
  <si>
    <t>…ígrafos de las mas interesadas en su conservación, y á las que se miraban entonces como los periódicos, no puedo menos de-llamar la atención sobre esto.” el antemural’y mas firme valla de sus derechos. Una compañía constaba en El Sr. Vicepresidente: «Respectó á que el Sr. conde de las Navas ha di tonces de jóvenes ilustres de las familias flamencas, otra de italianos, otra de cho ya lo que yo tenia que decir , creo que esta indicación servirá para que Jos americanos,-y otra de españoles. Esta organización cesóá principios deb siglo taquígrafo…</t>
  </si>
  <si>
    <t>…y quedó aprobado el dió- «Hay, si se quiere, omisión departe de los empleados; pero también támen de la comisión , que proponía el ahorro de ó.lK’O rs. hay males de organización, porque se han complicado tanto muchas partes de El Sr. Vicepresidente anunció que se suspendía esta discusión, y que el esta administración, que aun con el mejor deseo no es fácil remover con cele Sr. Secretario del Despacho de Hacienda iba á leer una comunicación dei Go ridad todos los obstáculos. Sin embargo, conviene decir que en estos últimos bierno. • años se ha…</t>
  </si>
  <si>
    <t>VÍckIoW</t>
  </si>
  <si>
    <t>…üV Yo pregunto al noble conde, que tanto interes muerta por sú patria,»! ' Después de haber.hablado algunos otros lores, la Cámara aprobó la mocion ha encontrado alguna persona que no convenga en la necesidad'de rííormar la , del conde ‘\VÍckIoW nemine discrepante* ■ .-tIglesia de Irlanda- de mil sé decir que bo he visto ninguna que_no esté acorde • ' ' . «n que La situación de aquella Iglesia es diferente de la de Inglaterra. Ambas, _Ya se Ha leirfo por segunda vez en la Cámara de los Comunes, y debe es verdad, se hallan unidas por una le…</t>
  </si>
  <si>
    <t>Victor</t>
  </si>
  <si>
    <t>…á21 de Enero de ,183¿.=A D. Antonio Re to que representa , y que recordará en lo sucesivo. men Zarco del Valle. Dios guarde á V. E. muchos año». Madrid y Diciembre 28 de 1833. :s XINISTEKIO DKI FOVEtíTO GEVBXAL DEL ÍEIHO. Excmo. Sr.=Victor, obispo de Torto»a.=cExcmo. Sr. Ministro de Gracia y Justicia. Real orden circular declarando exento! de derechos ¡os comes tilles que consu man los conjinados Á óbrese públicas , con otrae aclaraciones. Gobierno eclesiástico de la diócesis de Osma.=Incluso en el oficio, que de Al diractor general…</t>
  </si>
  <si>
    <t>Víctor, D Francisco Domecq y</t>
  </si>
  <si>
    <t>D Francisco Domecq y Víctor</t>
  </si>
  <si>
    <t>…o de los mas célebres publi cistas moderno*. ELECCION DE PROCURADORES DEL REINO. raANctA. VIOVINCIA BB cLsts, Toloñ 12 ele Jimio. Sr. D. Pedro Juan de Dilueta. La corbeta la Durance, mandada por M. Miegevílle, capitán de corbeta, Sr. D. Francisco Domecq y Víctor, áaíió de Sona el S dé este, llegó aquí el &gt;0 después de beber deseenbarez- Sr. D. Francisco Zapata y Bueno. 124 pasageros en Marsella. Sr, D. Francisco Javier Ulloa. El buco de vapor del Litado la Ciudad de HetVre, mandado pof M. Rég-* Sr. D. José Manuel Badillo.r</t>
  </si>
  <si>
    <t>Víctor, Francisco Domecq y</t>
  </si>
  <si>
    <t>Francisco Domecq y Víctor</t>
  </si>
  <si>
    <t>…los mas célebres publi cistas moderno*. ELECCION DE PROCURADORES DEL REINO. raANctA. VIOVINCIA BB cLsts, Toloñ 12 ele Jimio. Sr. D. Pedro Juan de Dilueta. La corbeta la Durance, mandada por M. Miegevílle, capitán de corbeta, Sr. D. Francisco Domecq y Víctor, áaíió de Sona el S dé este, llegó aquí el &gt;0 después de beber deseenbarez- Sr. D. Francisco Zapata y Bueno. 124 pasageros en Marsella. Sr, D. Francisco Javier Ulloa. El buco de vapor del Litado la Ciudad de HetVre, mandado pof M. Rég-* Sr. D. José Manuel Badillo.r</t>
  </si>
  <si>
    <t>Victoria</t>
  </si>
  <si>
    <t>…sado, í reconocer el Gobierno de SaUtana, á la sumisión de «El deseo de instruirse en las artes y las ciencias es tan vivo como an las tropas de línea, y desarme délos federalistas que contribuyeron á la rebelión. teriormente. £1 general Victoria fue nombrado- gobernador de la Puebla con amplios po «Aunque los diques y demás obras de defensa marítima hayan padecido deres para conciliar los partidos y restablecer el orden. mucho e invierno último por las tempestades y la elevación de las aguas, de Campeche se había declarado por Santana, y s…</t>
  </si>
  <si>
    <t>…io. Real orden. Dada en París el 4 de Julio de 18¿4-—Luis Fei¡pe.—El ministro Fondos públicos. Tres por 100 consolidados 93. secretario de Estado y de Hacienda , Humann. Nos ha causado la mayor satisfacción ver el modo con que la princesa Victoria fue recibida por el pueblo en su ida y vuelta del concierto musical —■—M. Humann ha salido hoy de París para trasladarse á Strásburgo, y de que se dió el 29 último en la abadía de VVe-trpinster. Millares de personas que alli á los baños. Su ausencia durará cerca de un mes. Dunca habian disfrutado d…</t>
  </si>
  <si>
    <t>Victoria, Bernardo</t>
  </si>
  <si>
    <t>Bernardo Victoria</t>
  </si>
  <si>
    <t>…ceda ¿ 'Iá nuÁ^ ejeccion.1 No; és extráfiq que eá algunas partes no haya te - Badajoz.esD.: José Villánueva,obtuvo mimes dé licencia. , nido estó efecto tan pronto' como seria dé desear, tanto por loe obstáculos qué - Alicante.ee D. Bernardo Victoria7, ídem. Se ignora la causa de no haberse há habido pata ¿lío con motivo dél cólera, ¿orno por fí estado polfticq de -al presentado. gunas provincias. En el primer caso .está la de Oviedo) en la queno pudo ve rificarse la elección porque al mismo tiempo se desarrolló la epidemia , y este Señores cuy…</t>
  </si>
  <si>
    <t>VictorianojMmilla</t>
  </si>
  <si>
    <t>…a 2.a brigada de caba— Avisa su gobernador civil «i oficio de 8 deJ actual, que desde 3 i 6 del Hería. D. Blas Royo, adicto á la plana mayor, subteniente. mismo habian curado en Porcuna 17 personas, falleciendo 32, sin que en loa D. VictorianojMmilla, comisario de guerra. demás pueblos de la provincia ocurriese novedad Lerin 8 de Noviembre de 1834-=Lopez. JPROVtNClA DE SEVILLA* Zumalacarregui, después de la acción de Sesma, se dirigió k la Solana, y' Desdé l.° á 8 del corriente solo fue invadida una persona en la capital el dia 7 apareció en Pe…</t>
  </si>
  <si>
    <t>Victoríariu</t>
  </si>
  <si>
    <t>…lorca, Noguera. Igualmente se admiti tumbres, ys'certificacfOn de haber estudiado latinidád-' en enseñanza1 aprobada, —Historiéldclrán en toda^las. redaccionescólera-morbode Boletinesde París enoficiales.:1 , ¿efunda edición^ por D. Victoríariu sin cuyos requisitos nü serán admitidos. Madrid 22 dé Junio de 18J4~PI Pre Torrecilla, profesor de medicina, doctor en círiLgia medica y socio de número de i* sidente de la junta de Protección , Piega Clcoicpcrn.^tSecretatio,.iiymon Real Academia de medicina y cirugía;de Madrid. Huirá ahora el Estu…</t>
  </si>
  <si>
    <t>Vicuña, Cristóbal</t>
  </si>
  <si>
    <t>Cristóbal Vicuña</t>
  </si>
  <si>
    <t>…el deten.' ' :' f' "" ’■............... ■ mismo dia 9 por la noche venia S. M. i Lóndres para asistir i un consejo de Rs. vn. gabinete, del cual resultarían sin duda alguna las disposiciones definitivas que exijan estas mudanzas. D. Cristóbal Vicuña, por ahora, y sin perjuicio de señalar un diario si las circunstancias lo exigen................ ....................................................... 500 _Por conducto fidedigno nos consta, dice el Courier, que el ministerio de D. Manuel Borrajo.... ..............................................…</t>
  </si>
  <si>
    <t>Vidal</t>
  </si>
  <si>
    <t>…asi gastadas de antemano todas las rentas, se ' un entusiasmo que manifiesta hasta dónde se extiende su ilustración, y su amor veía el nuevo gobierno en los mayores apuros. Apenas, empezaba á‘buscar ar i las instituciones. El Sr. general Vidal, comandante general y prefecto del de bitrios, cuando se halló en la necesidad de retirarse al Callao, donde nó con partamento de la Libertad, y el teniente coronel Torneo, comandante del ba taba con mas fondos, que poco mas de 4^ pesos que llevó consigo. Xa devo tallón Zepita, que'se halla en Truj…</t>
  </si>
  <si>
    <t>Vidal, Benigno Martínez</t>
  </si>
  <si>
    <t>Benigno Martínez Vidal</t>
  </si>
  <si>
    <t>…: nunciado á los estudios los demas por motivos particulares. para la alcaldía mayor de Plasencia á D. Anselmo de León Barra La universidad de Charkoff tiene una dotación de 52 profesores y empleaddas: para la de Alba de Tormes á D. Benigno Martínez Vidal: para dos , y el número de estudiantes asciende á 464. El año anterior SO de los úl la de Albaida á D. Miguel Falcon Abellan : para la de Alniendra- timos acabaron sus cursos, y se retiraron sin exigir diplomas; 87los recibieron. lejo á D. José Galvez Cañero: para la del Barco de Avila á D. José En…</t>
  </si>
  <si>
    <t>Vidal, Francisco</t>
  </si>
  <si>
    <t>Francisco Vidal</t>
  </si>
  <si>
    <t>CoII : capellán, D. Francisco Vidal; sargento primero, Lorenzo Marioquin; ' xouA DE comercio.__Cotización dt hoy á lat tres dt la iardt. cazador, Anastasio Garcés. EFECTOS PUBLICOS. Caballería.=Ayudante, D. José García. Inscripciones en el gran libro £ 5 p. 100, 00. Cazad res provinciales de Ciudad-Real. ^Subteniente f O. Manuel Blaz…</t>
  </si>
  <si>
    <t>…iones * y recibí aviso deque la llamada Manuel de Luna que solicitaron ser empicados en los puntos de mayor riesgo: junta de Castilla , Ibarrola con su titulado batallón , que unido con alguno* de el P. capellán de dicho batallón D. Francisco Vidal , y el profesor medico- bopclana y otras partidas que componían un total de ÓUU á ”00 hombres , ha cirujano del mismo D. Francisco Oliva, que desempeñaron sus deberes en lo bían llegado al pueblo de Ungoiti , donde pensaban pernoctar según las dispo mas vivo del fuego : los individuos de tropa que…</t>
  </si>
  <si>
    <t>Vidal, Gerónimo</t>
  </si>
  <si>
    <t>Gerónimo Vidal</t>
  </si>
  <si>
    <t>…en Falset en las personas del capitán D. Miguel Sala, en eL teniente Llorens y D. Mariano López, el primero graduado de Teniente coronel; y el D. José Castañeda y el cadete D. Miguel, hijo del expresado capitán, todos subteniente D. Gerónimo Vidal, todos del regimiento de Bailen: el teniente del regimiento infantería de Bailen, 5.° ligero, del subteniente de voluntarios coronel capitán de carabineros de costas y fronteras D. N. López; y el sub Solé y otros varios que no se tiran, porque ningún parte oficial hasta ahora lo teniente del mismo…</t>
  </si>
  <si>
    <t>Vidal, José</t>
  </si>
  <si>
    <t>José Vidal</t>
  </si>
  <si>
    <t>…la policía urbana de esta ciudad yen los caminos inmediatos: piedad y recomendables circunstancias del canónigo penitenciario de esta santa esta comisión ha evacuado su informe de un modo satisfactorio, y á conse iglesia catedral D. José Vidal, han conseguido mejorar aquel establecimiento, cuencia de él he dictado las providencias de que voy á hablar-... haciendo desembolsos de consideración de su propio peculio. La existencia en di La comisión en su informe divide los caminos en dos clases, i saber; en cho establecimiento es de 22 niños…</t>
  </si>
  <si>
    <t>Vidal, Juan</t>
  </si>
  <si>
    <t>Juan Vidal</t>
  </si>
  <si>
    <t>…Ibrahím-bajá da al Sultán motivos reiterados de des teniente de cazadores del Rey D. José Trabesí, y el teniente de la compañía de contento y quejas. Se le ha invitado á que mantenga la mejor disciplina en su seguridad de Morclla D. Juan Vidal; y entre los individuos de tropa los sar ejército, y á que proteja á ios habitantes; pero aunque sobre esto muestra las gentos de cazadores del Rey Juan Vüldés y José Egea, el de carabineros Ma mejores disposiciones, sus tropas subordinadas en tiempo de guerra , atropellan nuel Oliven , el cazador…</t>
  </si>
  <si>
    <t>Vidal, Juan Scrra y</t>
  </si>
  <si>
    <t>Juan Scrra y Vidal</t>
  </si>
  <si>
    <t>…ucción del cementerio de Mazcar^que los sobrantes dgí duríade Propios de la provincia de Almería* vacante por separación de Don pósito, debiendo reintegrarse este con los derechos de rompimiento tüf neos- Vicente Kerrer y Cano, á D. Juan^Scrra y Vidal, cesante del mismo'ramo; sídyl de imponer nuevos gravámenes á los pueblos, \ • ' • y á D. José García Reloba, OficBl cuarto de la contaduría de Propios de Ora nada , para la plaza de primero de la de Lugo.; También se ha servido S. M. nombrar administrador del Real hospicio de Granada á Di Manuel C…</t>
  </si>
  <si>
    <t>Vidart, José Domingo</t>
  </si>
  <si>
    <t>José Domingo Vidart</t>
  </si>
  <si>
    <t>…cciones son confor mes con los verdaderos intereses del país. (.Monitor.') Extracto deí parte remitido por el gobernador civil de la provincia de Cá ____ El Diario Je ios Debates observa que los amantes del trono y de las ins diz D. José Domingo Vidart con fecha de 9 de Junio ultimo. tituciones de Julio, han obtenido el mas completo triunfo en las elecciones. Ha dirigido una circular á los pueblos inculcándoles la utilidad de reducir Abade que repeliendo las asechanzas del espíritu de desorden y de anarquía, á cultivo los terrenos de propios, y t…</t>
  </si>
  <si>
    <t>Vidmncta, Juan Bautista</t>
  </si>
  <si>
    <t>Juan Bautista Vidmncta</t>
  </si>
  <si>
    <t>…a rendido f Doña María, y D. Miguel y Don . * 1 t . jCáriós acabats de cmbarcarseen un navío de guerra ingles. Madrid 15 d*. Junio.* ' Después de la victoria conseguida por el duque de Terceira- cerca de Tho- El 30 de Mayo último D. Juan Bautista Vidmncta con 4 celadores de •nMr ioa tniguetísta*, tomo antes anunciamos, abandonaron precipitadamente i Irun vestidos de pananos, y sin otras armas que navajas regularer, ñnitafon á SadUit», y paiwoind w del Tajo coa dirección i Evon. fia tu marcha fut ios facciosos ocrea de Urdas, en territorio español, t…</t>
  </si>
  <si>
    <t>Vie, Leopoldo</t>
  </si>
  <si>
    <t>Leopoldo Vie</t>
  </si>
  <si>
    <t>…han apresurado á ofrecerle sus felici $_E, el presidente de la república de la unión de los Estados de la plata , rela taciones y manifestarle &amp;us sentimientos de fidelidad. tiva al advenimiento al trono de la Bélgica de S. M. el Rey Leopoldo. «Vie será muy agradable quiera V. E. indicarme las vías de costumbre para entregar Cuartel general de Argel 28 Je Setiembre de 1334- «1 original a S. E. tí gefe supremo de la república. Aprovecho esta ocasión para Oficiales y soldados: S. M. Luis Felipe se ha dignado ponerme á vuestra renovar á V. K. la…</t>
  </si>
  <si>
    <t>Viejo, Timoteo González</t>
  </si>
  <si>
    <t>Timoteo González Viejo</t>
  </si>
  <si>
    <t>…o. Antonio Diego, ídem. Vicente Puig, idem. Sebastian del Despacho de lo Interior. Oliva, ídem. José Fuster, ídem. Antonio Miel, idein. Miguel Vázquez, idem. Juan Llambíes, idem. D. Francisco Oliva, físico. Provincial de Avila. =:D. Timoteo González Viejo, teniente coronel ESTADO SANITARIO DEL REINO.del cuerpo. Agustín Fernandez, cabo segundo. Melchor Oarrido, corneta. Pa blo González, soldado. Manuel Martin, ídem. Eusebio García, ídem. Fran PROVINCIA DE CÓRDOBA. cisco Iglesias, idem- Manuel Vallejo, idem. Real cuerpo de artillería.:=D. José Gil de…</t>
  </si>
  <si>
    <t>Viendo, Gobernadora</t>
  </si>
  <si>
    <t>Gobernadora Viendo</t>
  </si>
  <si>
    <t>…ro todos sus esfuerzos fueron tan inútiles, que fueron rechazados por ra vez que se ha prestado á tan buenos servicios este administrador, lo reco dos veces en el mayor desorden. miendo á V. E. por si lo tiene á bien lo haga á la Reina Gobernadora. « Viendo en la última carga la cobardía de los enemigos en avanzar, j los »Los Urbanos de Villarcayo y la tropa que allí había abandonaron la ca esfuerzos de los oficiales para ejecutarlo, escarmentados de nuestros fuegos su sa de la villa eptre doce y una de la madrugada de boy, salvándose por medio fridos…</t>
  </si>
  <si>
    <t>Viennet</t>
  </si>
  <si>
    <t>…el afio próximo pasado, que se imprima di cha minuta, dando un ejemplar í cada diputado-, á.fin de que en la sesión in Ijfndres 5 de Enero. mediata pueda principiar la discusión. Pondos públicos. Trés por J00 consolidados 90£. El Sr. Viennet replica que por-lo general las discusiones de esta claBe han El giro que han tomado los negocios de España es un ejemplo de que pue- comenzado aun sin que los diputados pasen á las comisiones, y opina que. se [ ¡dan engañarse los hombres mas juiciosos en sus pronósticos sobre los sucesos de debe ad…</t>
  </si>
  <si>
    <t>…ases pobres, por cuya causa palabra no es contraria á la constitución: si algo pudiera serlo, serian las inter es de opinión que no se debe aprobar. rupciones que me detienen, y la opinión que manifiesta un presidente desde su El Sr. Viennet ve con disgusto que siempre que se trata de leyes, cuyo ob sillón. {Murmullo en el centro.) jeto es mantener el orden público y reprimir escándalos, hay en la Cámara Presidente: Gozareis de toda libertad; pero sí tenets derecho como orador, quien se separa de la mayoría. Haciéndose cargo de los arg…</t>
  </si>
  <si>
    <t>…varias observaciones, de las cuales deducen que la Cá I limitase al número dc^ministros necesarios al servicio espiritual de las iglesias mara debe limitarse á fijar el dia en que se han de hacer las preguntas. de aquel país. El Sr. Viennet sostiene que si bien el derecho de hablar es inherente al En la misma sesión se presentaron varías peticiones etl solicitud de que se cargo de diputado, la Cámara tiene con todo eL de disponer que se use de aquella I reforme la legislación existente sobre introducción de granos: entre otras se facu…</t>
  </si>
  <si>
    <t>Víeriíi'eT</t>
  </si>
  <si>
    <t>…o Si Bye Bfi Í3^fri|^¡Si¿Ídg pgr^cl primer tratadp reducida á um&gt;-ter-v ; Los Sres. Licqpcrani, L'eveqúc y Teutón sostienen el dictámeu d¿LJ}r. $iparte, un STivtoáHnéJarife de anferferés y* positivos empeños es una prué-‘ pey. El Sr. Víeriíi'eT^dicC'vque Vf Tos aufóres dé las éx^íícioffirtr se nObíSnhr^fiba de la moderación y buen espíritu de la Rusia , y un testimonio de la in- mitado á pedir que los restos mortales de Napoleón se trasladasen á París, nada gabinéteíde S. Petersborgo la Francia élngla- le ocurriría ^qué 'decir; pero ,quim…</t>
  </si>
  <si>
    <t>Viflamartin, Per Jerez y</t>
  </si>
  <si>
    <t>Per Jerez y Viflamartin</t>
  </si>
  <si>
    <t>…á desapareéitfo'la enfermedad;'qúfe en Ch¡- dispersión de la facción de Carnicer el dia 12. piona aumentaba el número de invasionei_y.de fdtltcimie.nfos-pqne en V"eger, Capitanía general de Valencia y Murcia.=Flana tn*yor.=Excmo. Sr.: Per Jerez y Viflamartin seguían sin novedad su Cuarentena de óbsérVáeión; que en seguida por Aragón y Valencia con la mayor actividad posible la facción ca Algectras y Tárrfa sé' habian declarado en estado desalud; finalmente, que ett talana, que descendió de los fuertes de Beceite en l.° del corriente al mando todos los…</t>
  </si>
  <si>
    <t>Vigas, José María</t>
  </si>
  <si>
    <t>José María Vigas</t>
  </si>
  <si>
    <t>…ntestación de la Cámara de los Pares al discurso del trono. Mañana viernes debe presentar su trabajo á sus colegas. iConrtitucion.il.) fiados del reina-D. Andrés Ignacio Egurrola, vicario de la parro quial de S. Pedro de Pasages; D. José María Vigas, beneficiado de ____ El Dr. Bowring acaba de llegar á Parts, con el objeto de hacer ¿ nues S. Sebastian, y D. Antonio María Iturralde, beneficiado de la tro ministerio, según se dice, á nombre del gobierno ingles, las observaciones misma. oportunas acerca de la anomalía que se observa en el derecho…</t>
  </si>
  <si>
    <t>Vignet</t>
  </si>
  <si>
    <t>…inción, propuso Luciano otro «Con mucha satisfacción ha recibido el directorio federativo, y lo hará igual brindis propio del constante y celoso defensor de los principios republicanos; mente la Confederación, la protesta del Sr. barón Vignet, reducida á que en mas sin embargo notable en un hermano de Napoleón, por ser en elogio de consideración á lo expuesto por la diputación federativa que ha presentado á las instituciones políticas de la Gran-Bretaña- Fue el siguiente: «á Jos pfincir' S. M. el Rey de Cerdeña la expresión de los senti…</t>
  </si>
  <si>
    <t>Vigoáet, Gaspar</t>
  </si>
  <si>
    <t>Gaspar Vigoáet</t>
  </si>
  <si>
    <t>…lcta; D. Manuel Llauder; conde de de ”1 abjada, id.; crzjde de Teba, ivi.; obispo de Vailadolid, ausente; cónde Montenegro; D. Gerónimo Valdes; D. Luís Balanzat; prímópe de Anglona; del Venadito, presente; duque de Veraguas, id.; D. Gaspar -Vigoáet, ídem; conde Armildez de Toledo; D. Miguel Tacón; D. Manuel Freiré; D. Caye marque» de VüUfucrtcs, id.; y duque de Zar.i¿o^a. tano Valdés; marques del Cerro; conde de Villanueva , y D. Jacobo María de El br. Presidente del Consejo de Mu.isiro» ie\ó un Real decreto expedi ^arga , con Real licencia.…</t>
  </si>
  <si>
    <t>Vigodet</t>
  </si>
  <si>
    <t>…el art. 4-° del proyecto, preguntó el Sr. duque de Veraguas si el de Noblejas, marques de Malpica, Sr. Navarrete, Sr. Gil de la Cuadra, señor Gobierno admitía el de las comisiones, ó insistía en que se aprobase el suyo. Quintana, Sr. Vigodet, marques de Espeja , conde del Montijo, conde de O ña- El Sr. Secretario del Despacho de Gracia y Justicia: «Las comisiones te , conde de Clavijo, conde de Guendulain, marques del Salar, conde de Par— han tenido por conveniente suprimir el art. 2.° á que hace referencia el pro sent, marques de la C…</t>
  </si>
  <si>
    <t>Vigódet, Gaspar</t>
  </si>
  <si>
    <t>Gaspar Vigódet</t>
  </si>
  <si>
    <t>…tago, duque de te-do adoptarla , y varios Sres. Próceres lo apoyaran. S. Cárlos, conde de Teba, D- Mariano Liñad, condé del Venad i to, du Se preguntó en seguida si algún Sr. Prócer pedia la palabra, y no habién- que de Veraguas, D. Gaspar Vigódet, conde de Villafiiertes y matques de ’dotoíSécerró la discusión con arreglo al art. 56 del reglamento, que se leyó. Valmediano. ■ ,:Mt íSe’pidió que la votación de) dictimen de la comisión fuese nominal; y Resultaron ausentes los Exentos. Sres. conde de Atarés, arzobispo de habiéndose suscitado la…</t>
  </si>
  <si>
    <t>Vigodet, Gaspar</t>
  </si>
  <si>
    <t>Gaspar Vigodet</t>
  </si>
  <si>
    <t>…zález Arnao. ____ La Gaceta de Augsbttrgo copia un parte deViena del 26 úl Para la sección de Indias á D. Manuel de la Bodega, decano; timo , qué entre otras cosas contiene lo siguiente: Se sabe que el D- Ramón Gil de la Cffidra; D. Gaspar Vigodet; D. Antonio congreso de ministros celebrará esta semana una sesión general, á Daban y Urrutia; D. Luis de UrrcjqlajD. Joaquín Carrion y que debe concurrir M. Ancillon. Las providencias que van i to Moreno. marse serán tales, que basten á desmentir los rumores injuriosos es Y para la plaza de secret…</t>
  </si>
  <si>
    <t>…obleiss, marques de' Mansera y de Malpica, D. MartiU Feryendo los párrafos aegun*se van discutiendo, me parece qu^ esto es mfi- ñández de Navarrete, D. Ramón Gil de ia Cuadre, D. Manuel José Quintaw, D. José García teon y Pkarro, D. Gaspar Vigodet, marques de Espe C&gt;ent&lt;JEJ Sr, VicefresiJente:~^Ya no puedo prescindir é^ observar el regla ta, í). Antonio Martínez, marques de Montealegre, conde de, Montijo, conde mento, ni de. que está eo prictica el leer siempre el provecto det Gobierno y &amp; Ckviio, ■conde de Sisuréo. conde de Paraént, marques…</t>
  </si>
  <si>
    <t>Vigodet, Parsent-zsD Gaspar</t>
  </si>
  <si>
    <t>Parsent-zsD Gaspar Vigodet</t>
  </si>
  <si>
    <t>…correspondía al encargado de la Secretaría del Despacho de Guerra, el cual no merino al extrangero. Madrid 7 de Octubre de 1834-=Conde González. = Ei se presentaba 4 causa de una indisposición que se lo impedía. duque de Rivas == Conde Parsent-zsD. Gaspar Vigodet. =rDuque de San Lo En seguida leyó S. E. los dos proyectos de ley indicados, y los oficios renzo y del Parquc.^El conde de Sástágo. = D. Manuel García Herreros = con que el Sr. Presidente del Estamento de Sres. Procuradores los remitió al D. Hipólito, obispo de Lugo. El conde de Guaquí. :=sD. Martin…</t>
  </si>
  <si>
    <t>VII, FERNANDO</t>
  </si>
  <si>
    <t>FERNANDO VII</t>
  </si>
  <si>
    <t>y SUPLEMENTO A LA GACETA DE MADRID DEL SABADO 7 DE JUNIO DE I834. CELEBRADAS EN SUFRAGIO DEL ALMA DEL SEÑOR REY DON FERNANDO VII (Q. E. E. G.) Habiendo resuelto $. M. la Rbtka Gobernadora que se celebrasen solem ral de entrada al crucero, el que ademas de estorbar el paso ocultaba parte del nes y suntuosas exequias en sufragio del alma de su augusto y muy amado Es monumento. poso, dignas de la excelsa persona á quien se diri…</t>
  </si>
  <si>
    <t>Vii, Joaquín de Palma y</t>
  </si>
  <si>
    <t>Joaquín de Palma y Vii</t>
  </si>
  <si>
    <t>…el conde de Guendulaiu, punto inmediato y que domina el Tuerté, desde á D. Juan José Ortiz, que lo esde Chelva 5 para el^"de -Alcázar de Sañ Jqan “ donde emprendió ufa vivo fuego contra la guarnición. ResultSñwvdc este ataque o á D. Joaquín de Palma y Vii^uesa, que lo es de Latín; panuel de Piedrabue- 3 heridos del regimiento de Soria ^ y á la hora en que escribía dicho coman na á D. José Carrizo de Liado, regente de Carríon de CaUtráya; para él do dante ignoraba aué la pérdida del enemigo: solo supo que llevaban uno de ca la lsla de Leoná D. José M…</t>
  </si>
  <si>
    <t>VII, REY DON FERNANDO</t>
  </si>
  <si>
    <t>REY DON FERNANDO VII</t>
  </si>
  <si>
    <t>Viiués, José</t>
  </si>
  <si>
    <t>José Viiués</t>
  </si>
  <si>
    <t>…ella el destino tiérrez : de la.de Soria á D. Manuel Pezuela, marque* de Vllun,. de director general de los mismos, vengo en conferirlo al mariscal y de la de Zaragoza á D. Pedro Clemente Ligues. de campo de los Reales ejércitos D. José Viiués rén atención á Al mismo tiempoS. M. ha tenido á bien conferir al su hí los conocimientos, servicios y circunstancias que concurren en su gado actual de Avila D. José López Requena, plaza de olicüna persona. Tendréislo entendido, y dispondréis lo necesario para su la Secretaría de Estado y del Despa…</t>
  </si>
  <si>
    <t>Vil, Francisco</t>
  </si>
  <si>
    <t>Francisco Vil</t>
  </si>
  <si>
    <t>…pios, al tercio del Luis Suero, y del alférez del propio D. Manuel Muso, y de 20 caballos del peso de la bala, ¿ pero cuanto mayor se hace el imposible , si tenemos presente regimiento del Rey, l.° &lt;ic línea, á las de su "alférez D. Francisco Vil laido; lo que nos dice d celebre autor español Diego Ufano, de que pAra los disparo» peto que sabedor el expresado teniente D. Luis huero á poco de su salida, de la primitiva y antigua artillería se usaba de la excesiva carga de todb el peso por parte que recibió del alcalde del pueblo de Pedro, de…</t>
  </si>
  <si>
    <t>Vila, Antonio</t>
  </si>
  <si>
    <t>Antonio Vila</t>
  </si>
  <si>
    <t>…o estos, sino todos los que vienen de Samaren, Trasladólo á V. E. fiara conocimiento de S. M., v que por la par aquellas van reduciéndose al último extremo, cundiendo de tal modo ticular recomendación que se hace, considero que á D. Antonio Vila desmoralización, qué el Infante se verá seguido en su retirada de la y Ribot, teniente con grado de capitán, se le confiera la primera un corto número extremamente comprometidos. Ignoro todavía si compañía que vaque en su regimiento, y á los cuatro heridos del saldremos hoy de éste punto; pues ya d…</t>
  </si>
  <si>
    <t>Vila, Cristóbal</t>
  </si>
  <si>
    <t>Cristóbal Vila</t>
  </si>
  <si>
    <t>…ió lugar á que fuesen muertos en el acto, siendo de notar por las Enfermos existentes de ayer 10, 21. :averiguaciones practicarais, que uno de los muertos era el presb'tero patrimo- Idem nuevos de hoy, 4* -nial que fue de Cervera D. Cristóbal Vila, célebre por sus crímenes y siste- Curado* .mítica rebelión, á quien entre los papeles diferentes que se le han interceptado, Muertos, 00. -hay algunos que demuestran haber sido el que se dedicaba á la interceptación ■ de los correos. , El 7 de! corriente debian ser relevadas por tropas portuguesas…</t>
  </si>
  <si>
    <t>Vila, Domingo María</t>
  </si>
  <si>
    <t>Domingo María Vila</t>
  </si>
  <si>
    <t>…Exento. Sr.; He dado cuenta á S. M. la Reína Gobernadora de federal en que la nación se ha constituido, y no faltará tampoco á este deber. 3. ° No ha desconocido hasta ahora la autoridad del general presidente, y la instancia de D. Domingo María Vila, abogado del colegio de esta protesta sostenerlo en el ejercicio de sus funciones. cortejen solicitud de que se declaren válidos los grados conferidos 4° Todos los decretos que se hayan dado por las Cámaras de la unión y por la universidad (le segunda y tercera enseñanza de Barcelona du legislatura…</t>
  </si>
  <si>
    <t>Vilar, Fina y</t>
  </si>
  <si>
    <t>Fina y Vilar</t>
  </si>
  <si>
    <t>…29 rs. vn. No sé'creá.qué También ló quedó él.de la misma comisión, relativo á qué te proceda i esta es subiente para abandonar la familia del interesado en su país, y mante- nueva elección en Geróiia por la incapacidad legal del Sr. Fina y Vilar, elec wmm 1? tppital. sino tiene utas reputsos que la citada renta. De consiguiente to por aquella provincia., _____ ..._____ da,--------- 1-------- cuantpun 1ndíyidiÍ8^«H||le ¿n es» páso , y pó posea~t6jtjjrtos (Jemas - medios La misca .'cortfainix pieseisti^^u informe pspecto áj|o expuestqHgor el…</t>
  </si>
  <si>
    <t>Vilches, María de los Dolores</t>
  </si>
  <si>
    <t>María de los Dolores Vilches</t>
  </si>
  <si>
    <t>…n la mañana del 3 en Teruel el capitán Tetira-" Angeles Abtrrategui y á Doña María Josefa Abarrátegui. Otra igual por el do D. Antonio Borras y Josef Beltran, voluntarlo realista de Torreblanca, bordado con sedas sobre el papel á Doña María de los Dolores Vilches y pertenecientes á la facción de Morella. Que en Alcañíz el día 6, y en Calata— Espejo. yud el P habían sufrido igual castigo, en la primera el teniente ilimitado Don Por la perfección y gusto de la obra efe matices, presentada por Doña Ma Raimundo Rius, que pertenecía á la facción de Carnicer; y en…</t>
  </si>
  <si>
    <t>Vilella, Antonio</t>
  </si>
  <si>
    <t>Antonio Vilella</t>
  </si>
  <si>
    <t>…en que cuerpo á cuerpo pelearon á bayo netazos nuestros soldados durante 10 minutos: que el.«resultado fue quedar boisa dm conancio~—Cottt*atÍQtt de hoy d las tres dé la téreU. muerto uno de los cabecillas, que lo era el teniente D. Antonio Vilella, de sthctos pánicos, - • los deportados á Ceuta, herido Tristani de up bayonetazo en el costado derechopor el soldado Joaquín Aquí naga, cuyo valiente individuo cayó muerto Inscripciones sobre el gran libro al 5 p. joo , 00. Dichas idfem ál a p. loo, 00. 4n seguida de un trabucazo: que ademas perec…</t>
  </si>
  <si>
    <t>Vilella, D Antonio</t>
  </si>
  <si>
    <t>D Antonio Vilella</t>
  </si>
  <si>
    <t>…griento, en que cuerpo á cuerpo pelearon á bayo netazos nuestros soldados durante 10 minutos: que el.«resultado fue quedar boisa dm conancio~—Cottt*atÍQtt de hoy d las tres dé la téreU. muerto uno de los cabecillas, que lo era el teniente D. Antonio Vilella, de sthctos pánicos, - • los deportados á Ceuta, herido Tristani de up bayonetazo en el costado derechopor el soldado Joaquín Aquí naga, cuyo valiente individuo cayó muerto Inscripciones sobre el gran libro al 5 p. joo , 00. Dichas idfem ál a p. loo, 00. 4n seguida de un trabucazo: que ademas perec…</t>
  </si>
  <si>
    <t>VílentiniUrbano</t>
  </si>
  <si>
    <t>…en su base la pirámide 18i pies en cuadro, y de al estuvo á cargo de D. Francisco Martinez la talla fue ejecutada por los artífi to 4á ; de forma que el todo del catafalco, basta la parte superior ó cúspide da ces D. José Perez y D. VílentiniUrbano: el dorado y bronceado de flameros, la referida pirámide, tenia 75 pies. arandelas y demas adornos de 1# tapicería, fue desempeñado por D. Manuel Las alegorías de escultura y pintura que determinaban el objeto de este mo Alvarez: la carpintería de toda clase ejecutada en el catafalco, coro y todas…</t>
  </si>
  <si>
    <t>VílentiniUrbano, José Perez y D</t>
  </si>
  <si>
    <t>José Perez y D VílentiniUrbano</t>
  </si>
  <si>
    <t>…ella, teniendo en su base la pirámide 18i pies en cuadro, y de al estuvo á cargo de D. Francisco Martinez la talla fue ejecutada por los artífi to 4á ; de forma que el todo del catafalco, basta la parte superior ó cúspide da ces D. José Perez y D. VílentiniUrbano: el dorado y bronceado de flameros, la referida pirámide, tenia 75 pies. arandelas y demas adornos de 1# tapicería, fue desempeñado por D. Manuel Las alegorías de escultura y pintura que determinaban el objeto de este mo Alvarez: la carpintería de toda clase ejecutada en el catafalco, coro y todas…</t>
  </si>
  <si>
    <t>Vilianueva, José</t>
  </si>
  <si>
    <t>José Vilianueva</t>
  </si>
  <si>
    <t>…retaría de Estado y del Despacho de la Guerra. propio regimiento y 13 tiradores de vanos pueblos de la Sierra, quienes en. unión de los 8 caballos de la Reina y 5 urbanos de la Serena, destruyeron tan 1 El dia 9 del corriente mes D. José Vilianueva, vecino del arrabal de Ote pronto corno avistaron la criminal facción; elogiando igualmente al teniente I ro, extramuros de Oviedo, y ex-voluntario realista de caballería, alzó el grito coronel D. Lorenzo González, que con los tiradores de Guadalupe se unió afl I de rebelión en el concejo de Langre…</t>
  </si>
  <si>
    <t>Villa, Antonio Alvarez de la</t>
  </si>
  <si>
    <t>Antonio Alvarez de la Villa</t>
  </si>
  <si>
    <t>…Ultramar descubra su afición al último, D. Mariano Gil............................................................................................. lóoij es cosa que se comprende, y que nace de la propensión del joven Príncipe i D. Antonio Alvarez de la Villa................................................................ 32ü -favorecer los intereses británicos; pero que pretenda el redactor apoyarse en el Un sugeto que no quiso decir su nombre................................................ 20 derecho para justificar su predilección, es lo que no se le puede pasar, y en lo El Excmo. Sr. duque de San Lorenzo y del P…</t>
  </si>
  <si>
    <t>Villa, Antonio Rentero y</t>
  </si>
  <si>
    <t>Antonio Rentero y Villa</t>
  </si>
  <si>
    <t>…por haberles favorecido la oscuridad de la 5. JoséTaconibe -, y para ¿1 corregimiento de Andujar, vacante por separación noche para ocultarla; la de los leales ha consistido en un herido y tres contu leD. Manuel Angel del Pozo, á D. Antonio Rentero y Villa. sos, hallándose: resueltos todos á perecer antes en las ruina*, del ediúqio. que ■ &lt; guarnecen, que rendirse á los rebeldes, si estos inténtaóen de nu.vo el embes tirlo. Asi lo dice el bizarro teniente coronel D. Francisco Linage, gobernador '~Pi&amp;fes recibidos ets la secretaria dt Estado y del Desp…</t>
  </si>
  <si>
    <t>Villa, Diego</t>
  </si>
  <si>
    <t>Diego Villa</t>
  </si>
  <si>
    <t>…e que por lo tanto deben pre-^ informe de la comisión, compuesta de los Sres. D. Manuel García Herreros, «verse y defenderse de su entrada. Cuando apareció en Huelva , y mientras se D. José María Calatrava, D. Juan de la Dehesa y D. Diego Villa, y el pro conservó en aquel punto, pareció fácil aislarla; por lo que se aplicaron con ri yecto de ley formado por ia misma. gor las medidas sanitarias por el ministerio anterior al actual; se estableció un Verificada esta lectura, dijo el Sr. Presidente : «En virtud de lo que pre Cordón cerca del…</t>
  </si>
  <si>
    <t>Villaba, D Francisco</t>
  </si>
  <si>
    <t>D Francisco Villaba</t>
  </si>
  <si>
    <t>…l capitán D. Joaquín Díaz de veda con la primera de ellas mientras el comandante Cosío pasaba Rabayo, de la 4-1 del J.° del mismo cuerpo, y el teniente gradua á Sanzadornil con la segunda. Este gefe me avisó desde S. Mrllan do de capitán D. Francisco Villaba , han conducido la tropa coa que Basilio habia salido á las doce hacia el valle de Váldcrejo, y serenidad y arrojo que les hace recomendables. El reníente D. Be que seguía en su persecución, y con el propio objeto me puse en nigno Tapia, ayudante del 2.° batallón de Borbon, ha estado cons marcha pa…</t>
  </si>
  <si>
    <t>Villaba, Francisco</t>
  </si>
  <si>
    <t>Francisco Villaba</t>
  </si>
  <si>
    <t>…n D. Joaquín Díaz de veda con la primera de ellas mientras el comandante Cosío pasaba Rabayo, de la 4-1 del J.° del mismo cuerpo, y el teniente gradua á Sanzadornil con la segunda. Este gefe me avisó desde S. Mrllan do de capitán D. Francisco Villaba , han conducido la tropa coa que Basilio habia salido á las doce hacia el valle de Váldcrejo, y serenidad y arrojo que les hace recomendables. El reníente D. Be que seguía en su persecución, y con el propio objeto me puse en nigno Tapia, ayudante del 2.° batallón de Borbon, ha estado cons marcha pa…</t>
  </si>
  <si>
    <t>Villacampo</t>
  </si>
  <si>
    <t>…solo disentía de U comisión en órden á si la palabra trozas debería ce ast: “ reemplazarse por la de mitades y escuadras, accedió á lo que esta proponía. Art. 6° «'Por ahora los ayuntamientos de cada pueblo, parroquia ó juris £1 Sr. Villacampo apoyó el dictámen (fe l* comisión , como mas sencillo dicción, asistidos de un número de mayores contribuyentes, igual al de los y propio: y en seguida f puesto á votación el art. 7.° conforme esta lo propo concejales , tendrán á su cargo la formación del alistamiento y declaración de nía y adoptab…</t>
  </si>
  <si>
    <t>Villachica</t>
  </si>
  <si>
    <t>…l Sr. Secretario de Gracia y Justicia por hallarse Asi pues, y en atención á que aunque no hub'cra asistido a la junta este elector, al lado de S. M., le había encargado que leyese en él la copia del proyecto de hubiera tenido el Sr. Villachica la mayoría de votos, me parece que se está en ley sancionado por S. M-, relativo á la abolición del Voto de Santiago. el caso de aprobarse su elección.'’ Concluida su lectura , el Excmo. Sr. Presidente manifestó lo mismo que E¡ Sr. Butrón: «Entre los s'arios requisitos que se exigen para ser elec-- al…</t>
  </si>
  <si>
    <t>…que la segunda junta es continuación de la ría) no se opusiesen á su admisión. Supóngase que vdjando con los cuatro, el primera; pero esto es cuando no ha habido nuevas elecciones. Mi Opinión es, empate se decide á favor, no del Sr. Villachica , sino del que ellos nombrasen; pues, que no se debe aprobar el dictámen de la comisión.” y supóngase finalmente que el tal nombrado no tuviese tacha. Tampoco la tie El Sr. Domecq-. "Para probar el Sr. Palarea que es nula la elección dice: ne el Sr. Villachica, ni hay quien le ponga el menor defect…</t>
  </si>
  <si>
    <t>Villachica, D Manuel</t>
  </si>
  <si>
    <t>D Manuel Villachica</t>
  </si>
  <si>
    <t>…la exclusión de los maestros de escuela y de los El Sr. Presidente anunció que mañana discutiría el Estamento el dictá— catedráticos. Con respecto á ios individuos de las órdenes religiosas, qqc ha men relativo á la elección del Sr. D. Manuel Villachica, cuyo expediente ha propuesto el Sr. Caballero se excluyan también, es menester tener presente que bía quedado sobre la mesa para que los señores que gustases pudieran enterar de Jos que no son ordcaados, unos están suplo» á los voto» religiosos, como su se de él. cede con los legos, según creo (si…</t>
  </si>
  <si>
    <t>…ción para un empréstito de 4,H* millones de reales, cuyo El Sr. Presidente dijo que ib.r á darse cuenta al Estamento del expediente recibo avisaba el Excmo. Sr. Presidente del Consejo de Sres. Miniaros. relativo á la elección del Sr. D. Manuel Villachica, que había quedado sobre la El mismo Excmo. Sr. comunicó de Real orden al Estamento dos decretos mqsa , y cuva discusión estaba señalada para este dia. de S- M.; uno admitiendo al Sr. D. Antonio Rcmon Zirco del Valle la di En seguida se leyó el dictamen de la comisión de Poderes sobre el parti misi…</t>
  </si>
  <si>
    <t>Villachica, Manuel</t>
  </si>
  <si>
    <t>Manuel Villachica</t>
  </si>
  <si>
    <t>…exclusión de los maestros de escuela y de los El Sr. Presidente anunció que mañana discutiría el Estamento el dictá— catedráticos. Con respecto á ios individuos de las órdenes religiosas, qqc ha men relativo á la elección del Sr. D. Manuel Villachica, cuyo expediente ha propuesto el Sr. Caballero se excluyan también, es menester tener presente que bía quedado sobre la mesa para que los señores que gustases pudieran enterar de Jos que no son ordcaados, unos están suplo» á los voto» religiosos, como su se de él. cede con los legos, según creo (si…</t>
  </si>
  <si>
    <t>…para un empréstito de 4,H* millones de reales, cuyo El Sr. Presidente dijo que ib.r á darse cuenta al Estamento del expediente recibo avisaba el Excmo. Sr. Presidente del Consejo de Sres. Miniaros. relativo á la elección del Sr. D. Manuel Villachica, que había quedado sobre la El mismo Excmo. Sr. comunicó de Real orden al Estamento dos decretos mqsa , y cuva discusión estaba señalada para este dia. de S- M.; uno admitiendo al Sr. D. Antonio Rcmon Zirco del Valle la di En seguida se leyó el dictamen de la comisión de Poderes sobre el parti misi…</t>
  </si>
  <si>
    <t>VillacKica, Manuel</t>
  </si>
  <si>
    <t>Manuel VillacKica</t>
  </si>
  <si>
    <t>…ue debió, reemplazará Don Lugo. — D. José Becerra. José Plandolit, fueron comunicadas con la mayor celeridad, y por consi Otense. = Di Manuel María Losada. guiente poco podrá retardarse la presentación de su reemplazo. Zamora. i= D. Manuel VillacKica. •runo de los Sres. Procuradores nombrados por Canarias, el coronel Don José Quintano, ayer noche se presentó en el ministerio de mi cargo. , Señores que han renunciado sus poderes, y se ignora su reemplazo. «El coronel D. Ramón Pardi&amp;as, nombrado Procurador por una 3e las Tarragona.=D. Guillermo Ol…</t>
  </si>
  <si>
    <t>Villafranca</t>
  </si>
  <si>
    <t>…lacarrcgui al mando de Gui- (Indicador de Burdeos.) belalde, en número de mas de debió pasar á esta vüla a cosa de las drwc horas de la noche del día 4 al 5 del presente, ocupó las alturas del monte de Anguba, Iriburu, Huerta del conde Villafranca, Miepilde, Zavalótegui, ócl ESPAÑA. convento de la enseñanza, y Zúrraga, y al.mismo tiempo las calles de Mas» Madrid 17 de Setiembre terreca y Arruriaga de abajó, y un? porción de la misma bajando á la^calle de Arruriaga arriba, y la de Santísima Tripidad, por el convento de la comuni-, Parces reci…</t>
  </si>
  <si>
    <t>Villagarcía</t>
  </si>
  <si>
    <t>…to la conmiseración y amparo de los desgraciado», forma en que está el artículo1; y en esta punto adhiero á la redacción que pro aunque debiesen merecer los sentimientos del Estamento, no seria esto muy pone mi digno compañero el Sr. Villagarcía, porque la contemplo m» con propio para entrar en una discusión deliberativa; y por eso no invocaré tam veniente que la que se ha dado al artículo. r poco esa conveniencia pública, aunque es una idea tan exacta como lo es la d» «Considero yo á los empleados de que se trata, como si hubiesen estado…</t>
  </si>
  <si>
    <t>Villalaz, D Francisco</t>
  </si>
  <si>
    <t>D Francisco Villalaz</t>
  </si>
  <si>
    <t>…gencia no ejer PROVINCIA B* LA NTAndBl, cían ya ningún influjo notable sobre el curso de las cosas. La vista del proceso Sr. D. Tetesforo Trueba Cosío. contra los individuos acusados del crimen de alta traición había comenzado, y Sr. D. Francisco Villalaz. según las deposiciones de los testigos quedaba poca duda acerca de su culpa ¡ ei por consiguiente probable que serán condenados, y esto contribuirá i consoli PROVINCIA BB SSCOV1A. dar el órden público. La expedición contra, los mamolas había sido precedida Sí. D. Miguel Cosío. por una especie de co…</t>
  </si>
  <si>
    <t>Villalaz, Francisco</t>
  </si>
  <si>
    <t>Francisco Villalaz</t>
  </si>
  <si>
    <t>…ia no ejer PROVINCIA B* LA NTAndBl, cían ya ningún influjo notable sobre el curso de las cosas. La vista del proceso Sr. D. Tetesforo Trueba Cosío. contra los individuos acusados del crimen de alta traición había comenzado, y Sr. D. Francisco Villalaz. según las deposiciones de los testigos quedaba poca duda acerca de su culpa ¡ ei por consiguiente probable que serán condenados, y esto contribuirá i consoli PROVINCIA BB SSCOV1A. dar el órden público. La expedición contra, los mamolas había sido precedida Sí. D. Miguel Cosío. por una especie de co…</t>
  </si>
  <si>
    <t>Villalba, Andrés</t>
  </si>
  <si>
    <t>Andrés Villalba</t>
  </si>
  <si>
    <t>…El de Lérida. El de la jurisdicción de ValdéorTaS, provincia de Orense. El de la villa de Almcndralejo. REAL DECRETO. El de la de Talará. El de Ubeda. Kn consideración á la acreditada lealtad y buenós servicios de El de Gibraieom D. Andrés Villalba, introductor de embajadores, he venido en nom El de Ciudad-Rodrigo. brarle subsecretario de Estado. Tendréislo entendido, y dispondréis El de la villa de Fortuna. lo necesario á su cumplimiento. = Está rubricado de la Real niano.z El de la de Monlijo. En Palacio á 26 de Junio de 1834. = A D. Franci…</t>
  </si>
  <si>
    <t>…construidas, no se les pueda ocupar con trabajos con varse en esta corte contra lá epidemia reinante en algunas provincias. } tinuos » cuyos productos se la aseguren de un modo estable, ellos serán una pu Real decreto nombrando á D. Andrés Villalba subsecretario de Estado. (.V». ra carga en la sociedad, y su situación nunca merecida será el mayor conflicto mero 135.) de las autoridades que oyen sus lamentos sin medios para prevenir su deseape- Real órden nombrando i varias personas individuos de k junta de Sanidad desacion; á pesar de todo no…</t>
  </si>
  <si>
    <t>…Escuderos, término de Sta. María del Campo, haciendo varias contra Excrna. Sra. marquesa viuda de Castromonte....................................... 320 marchas, y atravesando monres y valles. El coronel gefe de la plana mayor de D. Andrés Villalba.................................................. 4^0 esta brigada de mi mando D. Ignacio de Hoyos, y los Sres. oficiales y tropa Doña N. E..................................................... 2b0 que he tenido á mis óidcnes en este día, han rivalizado en decisión y valor, 1&gt;. C E....................................................................…</t>
  </si>
  <si>
    <t>Villalobos</t>
  </si>
  <si>
    <t>…que cuando se examina la serie de excelentes leyes pre bien entendida política de los españoles, y señaladamente del ilustre general sentadas al Parlamento por lord Grey y sus compañeros, es preciso confesar Rodil , y del activo general Villalobos, gobernador de Ciudad-Rodrigo. Se que no pueden los ingleses quejarse de su gobierno, so pena de ingratos é in han desclavado, montado y habilitado un gran número de piezas de artillería» justos. »&gt;La posición , dice, que ha tomodo el ministerio whig en todo lo que se ha recibido armamento y fornit…</t>
  </si>
  <si>
    <t>Villalobos, Alejandro González</t>
  </si>
  <si>
    <t>Alejandro González Villalobos</t>
  </si>
  <si>
    <t>…na Gobernadora. Dios guarde á V. E. todavía se hace más indispensable en proporción que la faltado pe muchos años. Ciudad-Rodrigo 20 de Abril de 1834 á las once del ricia aumenta la dificultad en el servicio militar. dia.rcExcmo. Sr.=Alejandro González Villalobos .ncExcmo. Sr. Se «¡Guarnición de la plaza de Almeida! Yo os recomiendo la cretario de Estado y del Despacho de la Guerra. obediencia á vuestros gefes y oficiales, el respeto á las autoridades, la protección á las propiedades. Convenzamos á nuestros enemigos de la superioridad de nuestros principios…</t>
  </si>
  <si>
    <t>…n de los en de ayer. carcelados , con lo que de justicia correspondiese al alcaide-, y ha Dios guarde á V. E. muchos años. Ciudad-Rodrigo 21 de acudido al gobierno para obtener medios con que atender á la ma Abril de 1834-=Excmo. Sr.=Alejandro González Villalobos.^ nutención de los presos en varias cárceles. Excmo. Sr. Secretario de Estado y del Despacho de la Guerra. Se ocupa igualmente en ¿el proyecto de construir un camino desde Toledo á la corte, y ha tomado providencias muy oportu El comandante general de Extremadura avisa desde Valencia nas para mejora…</t>
  </si>
  <si>
    <t>Villalobos, Angel</t>
  </si>
  <si>
    <t>Angel Villalobos</t>
  </si>
  <si>
    <t>…riormente prefijadas para ello. (77.) xilno.ájaadoce d« aumañana, en la cas* del' ordenador «efe de Hacienda'militar, enr las referidas Islas. Rospliegoudeeondicionet. bajo los cuales ha dehacerse e;ie servicio.; . comisionando á D. Angel Villalobos y a D. Diego Leonardo Gallardo se hallarán de' manifiesto en ia secretaria de dicha ordenación , y en poder de los comi para que páséná^Lóndres a instruirte en la éiírefíariza pública láncasteriana, sarios de Guerra inspectores del ramo en tas piaras de Ibixa y Menorca, los cuales ad y acompañando la…</t>
  </si>
  <si>
    <t>…revi mas seguro y breve al conocimiento que se desea del sistema. Deberán por tan no en Real rc-den de 4 de Octubre último, se ha dignado comisionar to los comisionados seguir en todo su dirección, teniendo siempre presente que á D. Angel Villalobos, oficial de la teneduría de libros de la inter .deben volver á plantear el sistema de enseñanza mutua, y ejercitarlo en un vención general del ejército, V á D. Diego Leonardo Gallardo, resi país distante donde no hay otras escuelas de esta especie ni maestros con quie dente en Cádiz, para que pasen…</t>
  </si>
  <si>
    <t>Villalobos, González</t>
  </si>
  <si>
    <t>González Villalobos</t>
  </si>
  <si>
    <t>…guarde a V. E. muchos tablecer el bloqueo de la isla de Satnos, de modo que pueda interceptar todas años. Ciudad-Rodrigo 19 de Mayo de 1834.=Excmo. Sr.=Alejandro las comunicaciones de esta isla con el exterior. A este efecto, el comandante González Villalobos. en gefe de la flota, ha recibido de S. M. todas las instrucciones necesarias. Se da este informe al Sr. embajador para que tenga entendido que apenas Las tropas que de Galicia y de las inmediaciones de Ciudad- se establezca el bloqueo, no podrá ningún navio, de cualquier nación que sea, Rodrigo, co…</t>
  </si>
  <si>
    <t>Villalonga, Juan</t>
  </si>
  <si>
    <t>Juan Villalonga</t>
  </si>
  <si>
    <t>…a, los cuales con su ejemplo y pericia han decidido la victoria en Navarra, confiriendo al mis mo tiempo igual grado de Brigadier al coronel barón del Solar de Espinosa, y el de coronel al capitán de la guardia Real de infantería D. Juan Villalonga, por Su bizarra conducta én Garnica; declarando asimismo el grado inmediato á los heridos en ambas acciones. &lt; ■ _ * en la imprenta, real.</t>
  </si>
  <si>
    <t>Villamartin</t>
  </si>
  <si>
    <t>…239 97 10 Burdeos«Hamburgo,00.00, Barcelona,. zo, ¿ d. k ps. Málaga, íd. id. Descuento de letrls, Londres, k 90 dias, Santander, ¿-b. i 4 P‘ lOOal afto. Vejer................. 1 á 4 ídem.... 573 54 40 38. Bilbao, * d* Santiago 1 d. Villamartin..,. 22 Jun. á 5 JuL 000 145 . 43 ANÜKCIOS. j pxovnjqjA lk granada. ' Obras que si hallan de&amp;rñta en si despacho dt la imprenta Real. Año cristiano de España, pordi 1&gt;. Joaquín Lorenzo VÍlfaoaev*i «dieron del En oficio de 12 dél presente avisé el presidente de la junta, de Sanidad- do afio.de l/91. Tr…</t>
  </si>
  <si>
    <t>Villamil, Francisco</t>
  </si>
  <si>
    <t>Francisco Villamil</t>
  </si>
  <si>
    <t>…y D Ra ductos de este ramo, su mejor manejo y administración. Las dos subdelegacio món Tajoncra;-en trigonometría plana D. Angel Hernández, D. Miguel nes que había en esta establecidas en Ay amonte y dracena han quedado las Rúa , D. Francisco Villamil, D. Gervasio Araujo, y dichos D. Pablo Carcamismas, con la diferencia que desde l.° del corriente cada una ha de adminis fio, D. Andrés de Castro, D. Pedro y D. Robustiano Pequeño, D. José Sán trar á los pueblos de los partidos judiciales establecidos últimamente , y quitada- chez y D.. Ramón Tajon…</t>
  </si>
  <si>
    <t>Villanue, José</t>
  </si>
  <si>
    <t>José Villanue</t>
  </si>
  <si>
    <t>…nuevos documentos, exami Se concedió licencia de un'mes por el Estamento á los Sres. D. Betnar- narlos, y si eran legítimos aprobarlos, y si no desaprobarlos. Ha presentado dino Vitoria, Procurador por la provincia de Alicante, y D. José Villanue- en efecto los documentos que se.le habian permitido; pero aun dando mas im va por la de Badajoz, en virtud de las razones que ambos alegaron en sus res portancia i las razones con que se pretende combatir el dictáipen de la comisión pectivas solicitudes al efecto. que á la resolución del Estamento…</t>
  </si>
  <si>
    <t>Villanueva</t>
  </si>
  <si>
    <t>…al orador, manifestando que solo trataba trajésemos á solo las sociedades modernas, que todas han pesado los delitos y de un punto de la petición*, y no dcLtotal, que era lo que sediscut+a* penas-cen una-exactitud matemática; El Sr. Villanueva contestó que había creído que solo se discutía lo re «Respecto de la propiedad, es un axioma bien conocido que debe ser res lativo a imprenta, y que supuesto que estaba equivocado, se reservaba la pa petada inviolablemente; pero los mismos Sres. autores de la petición ya indi labra para cuando fues…</t>
  </si>
  <si>
    <t>Villanueva, D José</t>
  </si>
  <si>
    <t>D José Villanueva</t>
  </si>
  <si>
    <t>…el el siguiente plan r le dijo Sr. D. José Claros. que supuesto que la contienda de Portugal era parte de la. lucha general que Sr. D. Vrnturade Mena. había en Europa sobre principios encontrados , juzgaba que la guerra en que se Sr. D. José Villanueva. jial aba empeñado debía mirarse mas bajo de un punto de vista político que Sr. D. Mateos Marín. militar; / por tanto le recomendaba que el ejército tomase una posición defeniva de-de Santarem i Ovidos, ó desde el Tajo al mar; que durante el in PRVIINCIA DI SURCOS. vierno juntase reclutas y las disc…</t>
  </si>
  <si>
    <t>Villanueva, José</t>
  </si>
  <si>
    <t>José Villanueva</t>
  </si>
  <si>
    <t>…l siguiente plan r le dijo Sr. D. José Claros. que supuesto que la contienda de Portugal era parte de la. lucha general que Sr. D. Vrnturade Mena. había en Europa sobre principios encontrados , juzgaba que la guerra en que se Sr. D. José Villanueva. jial aba empeñado debía mirarse mas bajo de un punto de vista político que Sr. D. Mateos Marín. militar; / por tanto le recomendaba que el ejército tomase una posición defeniva de-de Santarem i Ovidos, ó desde el Tajo al mar; que durante el in PRVIINCIA DI SURCOS. vierno juntase reclutas y las disc…</t>
  </si>
  <si>
    <t>Villanueva, Lorenzo</t>
  </si>
  <si>
    <t>Lorenzo Villanueva</t>
  </si>
  <si>
    <t>…ención queunapuedenmemoriaser muysobreúti-las en las cercanías^de Ubrique, reino de Córdoba, y dos copias de inscripciones kUfarias del Cid, y dos tratados, uno de gramática y otro de ortografía romanas que presentó. En unión con D. Lorenzo Villanueva, individuo del castellanas. mismo cuerpo, trabajó varias excertas ó colecciones de historiadores por en Pero de todas sus empresas literarias, la mas notable por sus inmensas in cargo de la academia. Pero de todos sus trabajos históricos, el que mas apre vestigaciones y por la filosofía histórica q…</t>
  </si>
  <si>
    <t>Villapadierna</t>
  </si>
  <si>
    <t>…S. Francisco, confesando que todos se habían dispersado al ver la constan ciones: cia con que se les perseguía. Mucho debe e$te pueblo .é inmediatos al digno 1. * Que habiendo recibido el directorio un gran número de notas políti coronel Villapadierna: él ha limpiado la vega de ladrones y habiendo estalla cas, dando cuenta unas veces á los Estados, y oirás contestando sin hacerlo, do el cólera en todas partes de la población y lazareto, se veían prestando el pedia que el directorio tuviese derecho de responder ex oficio á todas las notas servici…</t>
  </si>
  <si>
    <t>Villapol, José Rafael</t>
  </si>
  <si>
    <t>José Rafael Villapol</t>
  </si>
  <si>
    <t>…uido por mi Real decreto de de su jurisdicción. Marzo último, á D. José María Fernandez de Córdoba , D. Ma Art. S.° Los corregidores y alcaldes mayores de los pueblos nuel Pardo, D. Manuel Silvestre Armero, D. Gonzalo de Ueredia, D. José Rafael Villapol, D. Joaquín Fernandez Compani, (I) La división judicial de partidos, coo expresión de los pueblos que D. Marcelino de la Torre, D Ramón Macia de Lleopart, Don cada uno de aquellos comprende, y de su población respectiva, se ven Diego Martin Villodres y D. Manuel Antonio Caballero. Y para derá por s…</t>
  </si>
  <si>
    <t>Villar, Francisco de Pa.ula</t>
  </si>
  <si>
    <t>Francisco de Pa.ula Villar</t>
  </si>
  <si>
    <t>…r ios heriinéww campos de Bcrja y Dolías,,tensando las.gguas -■ - ■Para iá junta general deácreedüreS'á los bledos q^éd¥dbs por muerte dél del lio Beninar; y en 2 de Agosto dcLmismo &gt;afio fuenon:aprobadas porS*A4. sario ordenador D. Francisco de Pa.ula Villar, ministro que fue de la Hacienda¿mili-i tar,eo I# proviotia de Cuéqc»'VT»obáaeúaiado Voy-AWii próximo^4-laf oncé ■’tiüí cbntratas celebrada»'-pór el empresario con los ayusttamíéntps de palias, ete su maQana ene^ juzgadp déla capjjiacdá general de CastiUa la Nueva y auditores -Félíií1/ Roquetas f V…</t>
  </si>
  <si>
    <t>Villar, Francisco de Paula</t>
  </si>
  <si>
    <t>Francisco de Paula Villar</t>
  </si>
  <si>
    <t>…nel D. Juan Zavala, por el con los militares de Vaud. subteniente de cazadores ,de Isabel ii D. Toribio de An^ótegui, y mandado »Se temía que hubiese algunos desórdenes el domingo, pero no ha sucedi por el alférez de dicho cúerpó D. Francisco de Paula Villar, lo efectuaba por do asi-” {D*do JWíV*) la espalda. Los enemigos al aproximarte nuestros cazadores se pusieron en pre cipitada fuga; pero fueron perseguidos vigorosamente por. el p'tquetc de caballe ____Con fecha l.° del corriente escriben de Tessin lo que sigue: «El miér ría, y capturado por los t…</t>
  </si>
  <si>
    <t>Villaron, Alonso</t>
  </si>
  <si>
    <t>Alonso Villaron</t>
  </si>
  <si>
    <t>…D. Ramón rebeldes en la posada, y viendo que ¿on müclio regocijo estaban •Pardiñas, ál sargento mayor D. José Vega, los comandantes dé comiendo, y con todas las armas hasta los. sables colgados en los seécion D. Domingo Vilela y D. Alonso Villaron, que con toa caballos, movido de su grande valor y adhesión á Isabel ii , quiso dos sus oficiales y tropa han llenado bien y cumplidamente sus de solo apoderarse de ellos , pero fue infructuosa su' resolución, por beres. Igualmente recomienda al capitán de caballería del 1.a ligero que al oir el ca…</t>
  </si>
  <si>
    <t>Villaron, Domingo Vilela y D Alonso</t>
  </si>
  <si>
    <t>Domingo Vilela y D Alonso Villaron</t>
  </si>
  <si>
    <t>…andante de Mondoñedo D. Ramón rebeldes en la posada, y viendo que ¿on müclio regocijo estaban •Pardiñas, ál sargento mayor D. José Vega, los comandantes dé comiendo, y con todas las armas hasta los. sables colgados en los seécion D. Domingo Vilela y D. Alonso Villaron, que con toa caballos, movido de su grande valor y adhesión á Isabel ii , quiso dos sus oficiales y tropa han llenado bien y cumplidamente sus de solo apoderarse de ellos , pero fue infructuosa su' resolución, por beres. Igualmente recomienda al capitán de caballería del 1.a ligero que al oir el ca…</t>
  </si>
  <si>
    <t>Villaronte, José María</t>
  </si>
  <si>
    <t>José María Villaronte</t>
  </si>
  <si>
    <t>…to de Extremadura, 15 de línea, el primer comandante Ferelló.............. . 20 á 27 id.... 10 '4 D. Pascual Menacho; el 2.° D. José Boadella; el teniente coronel graduado, Reus.................. . 25 4 28 id.... 72 30 10 eapitan D. José María Villaronte; los capitanes graduados, tenientesD. Alon Tortosa.............. . 24 4J27 id.... 21 10 2 so del Marmol y D. Francisco Saurco; el subteniente graduado, sargento 1.°,. D. Manuel Esteban; el sargehto l.° Pedro Tellez; el 2.° Miguel Alrambra, PROVINCIA DE TERUEL. y los cabos primeros Francisco Gamona…</t>
  </si>
  <si>
    <t>Villastnte, José Alonso</t>
  </si>
  <si>
    <t>José Alonso Villastnte</t>
  </si>
  <si>
    <t>…santes con sueldo: administración y demas cualidades1 que adornan á D. Juan Alva- por la clase de alcaldes á D. Andrés MasegoSa; á D. Francisco iez Gueíra, he venido en nombrarle para la plaza de decano de lá GalveZ Fernandez y á D. José Alonso Villastnte, que son tam sección de Fomento del Consejo Real dé España é Indias, vacan bién de la misma, y á D. José Aguilera, elerto para el consejo te p6f promoción de D. José María Moscoso de Altamira á la Se de Navarra; y para fiscales á D. Francisco de Paula Sierra, magis cretaria del Dtepacho de dicho fa…</t>
  </si>
  <si>
    <t>Villathica, D Manuel</t>
  </si>
  <si>
    <t>D Manuel Villathica</t>
  </si>
  <si>
    <t>…uel Alvarez García. Excmo. Sr.: El teniente coronel D. bíarcíso CU vería, con fecha 23 dei PROVINCIA DE ZAMORA. corriente desde Meceneyes, me dice lo que sigue: «Excmo. Sr.: Habiendo salido á las cuatro de la mañana de Ctiíemcí&lt;r Sr. D. Manuel Villathica. de abajo, hallé después de ser de d¿a, en ei mente de Caserillo de Solaran*, señales del vivac que ocupó anoche la facción, cuyas huellas seguí constan temente hasta que á las dos de esta tarde la aviste desde una altura á un cuar Oficio recibido en el minirteria de Gracia y Jucticia. to de legui de e…</t>
  </si>
  <si>
    <t>Villathica, Manuel</t>
  </si>
  <si>
    <t>Manuel Villathica</t>
  </si>
  <si>
    <t>…Alvarez García. Excmo. Sr.: El teniente coronel D. bíarcíso CU vería, con fecha 23 dei PROVINCIA DE ZAMORA. corriente desde Meceneyes, me dice lo que sigue: «Excmo. Sr.: Habiendo salido á las cuatro de la mañana de Ctiíemcí&lt;r Sr. D. Manuel Villathica. de abajo, hallé después de ser de d¿a, en ei mente de Caserillo de Solaran*, señales del vivac que ocupó anoche la facción, cuyas huellas seguí constan temente hasta que á las dos de esta tarde la aviste desde una altura á un cuar Oficio recibido en el minirteria de Gracia y Jucticia. to de legui de e…</t>
  </si>
  <si>
    <t>Villattueva, José</t>
  </si>
  <si>
    <t>José Villattueva</t>
  </si>
  <si>
    <t>…ta de lo» üependténTéáqüe: sean ncCeSUrfós. par» la trias Ordena de ?4 de Marzo último, 4 D. ^.ndres Subiza , á D. Rafael Paz y da y expedita adtñírñstticion ¿e justicia^ elevando uno' y fchpiTs S Tuertes, £ D. José Móntemáyor; á D. José Villattueva,' á pojn conocimiento de S.' Míj bara la resOfüCÍdJi que estime concediente. José Martínez Areta, á D. José Mier, á D. Teótimo Escudero,! De -Afad orden lo°di¿» s:V. E. pati suimtwigOTC¡xytatiñfflimián!- D. Matías Herrero Prieto, á D. Francisco Redondo y á D. José to. Dios guarde á V. E. muchos año…</t>
  </si>
  <si>
    <t>Villaumez</t>
  </si>
  <si>
    <t>…ring Rice la cancillería del Echiquier, y al actual lord Spencer el mi y recibió al embajador de Austria, al gran canciller de la Cámara de los Pares, nisterio de las Colonias. Sin embargo, nada se sabe hasta aqui de positivo. al almirante Villaumez y á Mr. Delabordére. El 15 tuvo el mariscal Gerard {(jiote.') una audiencia del Rey, é igualmente la tuvieron el almirante Jacob y el duque de Choiseul. El siguiente día recibió S. M. al conde de Mont^livct, al duque __Algunos piensan que Mr. Bajríng será nombrado canciller del Echiquier, de Bassano,…</t>
  </si>
  <si>
    <t>Villavícencio, D Juan Fausto Uñarte</t>
  </si>
  <si>
    <t>D Juan Fausto Uñarte Villavícencio</t>
  </si>
  <si>
    <t>…campó abierto, con actitudes y expresiones las mas naturales, de un dibujo correcto St. D. Tomas de Torres y Zapata, marques de S. Miguel de Groe, y de un colorido verdadero y robusto, cuadro pintado por el caballero sanjuanista Sr. D. Juan Fausto Uñarte. Villavícencio, discípulo de Murillo: Diana bañándose con sus doncellas, en eá acto que descubre la debilidad de Calisto, cuadro que se cree pintó Tiñan» Parte recibida en la secretaría de Estado y del Despacho ¿t la Guerra.— cuando pasaba de 90 años de edad, habiendo muerto-á los 99, de bellodibujo, y con el her…</t>
  </si>
  <si>
    <t>Villavícencio, Juan Fausto Uñarte</t>
  </si>
  <si>
    <t>Juan Fausto Uñarte Villavícencio</t>
  </si>
  <si>
    <t>…pó abierto, con actitudes y expresiones las mas naturales, de un dibujo correcto St. D. Tomas de Torres y Zapata, marques de S. Miguel de Groe, y de un colorido verdadero y robusto, cuadro pintado por el caballero sanjuanista Sr. D. Juan Fausto Uñarte. Villavícencio, discípulo de Murillo: Diana bañándose con sus doncellas, en eá acto que descubre la debilidad de Calisto, cuadro que se cree pintó Tiñan» Parte recibida en la secretaría de Estado y del Despacho ¿t la Guerra.— cuando pasaba de 90 años de edad, habiendo muerto-á los 99, de bellodibujo, y con el her…</t>
  </si>
  <si>
    <t>Villcle</t>
  </si>
  <si>
    <t>…an justa y tan sagrada; deuda con con la Francia; y ¡qué ha de hacer la Francia! Responderé al Sr. ministro de traída por la Nación misma por medio de sus representantes. Pero si esta deu Hacienda sobre este punto por la boca del ministro Villcle, que el Gobier da está revestida de todas las condiciones de legalidad y de justicia ,1a que di no no1 podía intervenir en estas operaciones, y que el que tomaba este papel mana del empréstito de 1823 , llamado dé Guebhard ¡ presenta en todas sus lo hacia con pleno conocimiento y á su riesgo.’* par…</t>
  </si>
  <si>
    <t>Villele</t>
  </si>
  <si>
    <t>…ofrecerá es la siguiente, i La fecha del contrato y que obraron coofiados en la buena fe de los españole-*. Esos infelices sabían le hace de tal manera nulo, que los actos repetidos del Rey no pudiesen sub muy bien loque hacia su Ministro Villele; los papcle&gt; franceses lo anuncia sanar e-»te defecto del origen? El Rey le aprobó en Andújar ó Sevilla el dia ban, y cuando ellos se interesaron en dicho empréstito , lo hicieron con pleno 15; el Rey lo mejoró percibiendo el producto íntegro desde la primera partida conocimiento. Ademas de que qui…</t>
  </si>
  <si>
    <t>…erable.” Es preciso advertir que á fin del año anterior, y según lo que sus almas patriotas. Los Diputados de España no son los de Francia del tiem manifestó el mismo director del Real Tesoro, no existía nada, sino un gran po del Ministro Villele; no sucumbirán ni i las amenazas del éxtrángero ni déficit y obligaciones sin ciimplir, en términos que no expreso la cantidad á ninguna otra especie de armas que se quieran usar para obligarles á ceder. existente en arcas al fin del año pasado, porque no me atrevo á hacerlo por •&gt;Es preciso que se…</t>
  </si>
  <si>
    <t>Villemain</t>
  </si>
  <si>
    <t>…ia de la provincia de Sevilla á D. Bernardo de Elizalde, que servia en cXwara de los pares__ Sesión del dia 22. comisión la de Extremadura. Esta á D. Pascual Genaro de Rodenas, que ser Aprobada el acta de la última sesión, lee el Sr. Villemain el elogio fúne via la de Málaga. Estaá D. Diego de Aguirrc , que desempeñaba la de Cuenca. bre? del Sf. Agustín Periex. La Cámara acuerda que se imprima. Esta á D. Fernando de Rojas, que tenia á su cargo la de Santander. Y esta á Principia la discusión de la propuesta que acerca de los efectos del…</t>
  </si>
  <si>
    <t>Villota, Manuel Genaro</t>
  </si>
  <si>
    <t>Manuel Genaro Villota</t>
  </si>
  <si>
    <t>…tendentes dirigirán a e&gt;a direevion ¿eneral, o a la contaduría general de Valores en su respectivo caso para la aprobaciónaugusta Hija que concurren en D. Joscf de Hevia y Noriega , ministro del Cor se jo y Cámara de Castilla: en D. Manuel Genaro Villota, que lo es del cone^pondientc ; deb-end^ los interesados acudí: a solbitar -.us nuevas c.i'»n«.aConsejo y Cámara de Indias; y en D. Félix Joscf Reinoso, auditor de la Nun oones o mejoras de ellas a los intendentes de la&gt; provincias en que desempeña ron sus últimos debimos propietario*, n ’ .» ios J…</t>
  </si>
  <si>
    <t>Viñas, José</t>
  </si>
  <si>
    <t>José Viñas</t>
  </si>
  <si>
    <t>…nser Esta facción, la mas numerosa que existia en esta reino, des vación del orden en el maestrazgo, y también el subteniente de ca pués de la de Carnicer, ha quedado destruida: los soldados me pre rabineros de costas y fronteras D. José Viñas. sentan á cada momento prisioneros que cogen escondidos en las ca Como el teniente graduado de capitán del regimiento de Ma sas y en las peñas, y todos los desmandados por la sierra. llorca, D. Isidro Rebollo vió ayer mañana en el pueblo de Ar- Dios guarde á V. S. muchos años. Pauls 15 de Abril de 1…</t>
  </si>
  <si>
    <t>…jotaUa visi Relación que se cita en el parte anterior. blemente su -estado 'Sanitario. D. Julián Betron , cabo segundo , y Tomas Cordal, péienccteotes al regi ¡frXOVTNCrA TfZ AVU'A. miento de zapadores-, Francisco Sorpreda, de la Princesa; José Viñas, cabo segundo; Guillermo Puchol, y Salvador Usares, del regí miento de Soria; Pe Con fecha 20del actual-avisa-su gobernador civil jque en'Nav^Im&amp;ral no dro Gamundi, sargento segundo; Ventura Puede bal i , Felipe López, cabos Vhabia ocurrido últimamente ningún caso sospechoso; que en Navaluengahabia…</t>
  </si>
  <si>
    <t>Vincent, Pascual</t>
  </si>
  <si>
    <t>Pascual Vincent</t>
  </si>
  <si>
    <t>…érdicietrlas'apuas-det-THxEsahciúr, qiie sirven, para regar las tierra» del tér— sé ha nombrado una Comisión compuesta del doctor'D: Joaquin Palacios, mino de Gratis j y- para dar impulso á una fábrica-de papel que ha establecido D.’Pascual Vincent yp. Fernando Santos, para que,en unión coñ el expresado Di Pablo de-Reredia; y se han instruido otros expedientes en vista de solici cirujano Risco, procedan á hacer con rectitud las observaciones, cuyos resulta tudes presentadas por diferentes pueblos. dos tan pronto como los obtenga pondrá esta c…</t>
  </si>
  <si>
    <t>Viniegra, ANUNCIOS D José</t>
  </si>
  <si>
    <t>ANUNCIOS D José Viniegra</t>
  </si>
  <si>
    <t>…e del fuerte y elevarísimo cerro lla 38*. Bilbao, *&lt;L Santiago, 1 d. mado Copeta de Silos. »La precipitación de la salida me hizo conocer seria imposible alcanzar los con la infantería , y por lo mismo por medio de un ayudante el teniente ANUNCIOS. D. José Viniegra dispuse qüe reconociese el pueblo y siguiese el movimiento Da Caño L©Y Los suscriptores filarmónico al periódico titulado la Lira Ae Apelo* flanqueando mi derecha , mientras el coronel D. Benito Losada y yo al frente tarán 1 9á ranearerecoger ----------------cavatina Adea. 1„la suscripción) que con…</t>
  </si>
  <si>
    <t>Viniegra, José</t>
  </si>
  <si>
    <t>José Viniegra</t>
  </si>
  <si>
    <t>…arísimo cerro lla 38*. Bilbao, *&lt;L Santiago, 1 d. mado Copeta de Silos. »La precipitación de la salida me hizo conocer seria imposible alcanzar los con la infantería , y por lo mismo por medio de un ayudante el teniente ANUNCIOS. D. José Viniegra dispuse qüe reconociese el pueblo y siguiese el movimiento Da Caño L©Y Los suscriptores filarmónico al periódico titulado la Lira Ae Apelo* flanqueando mi derecha , mientras el coronel D. Benito Losada y yo al frente tarán 1 9á ranearerecoger ----------------cavatina Adea. 1„la suscripción) que con…</t>
  </si>
  <si>
    <t>Vinot</t>
  </si>
  <si>
    <t>…................................. 158 Svr D. Pedro Canals y Mayol. Sr. D. Juan Camps y Soler. En el periódico de Tolosa, titulado la Francia meridional, del 28 de Julio, se lee lo siguiente: » Habiéndosele admitido su dimisión al general Vinot, comandante del departamento de los Pirineos orientales, ha partido el 16 de Suscripción mandada establecer por Real ir den de l.° del actual para socorPerpiñan. Le sustituye interinamente el general San Josef , que manda una ro de los enfermos y menesterosos que sean invadidos por el diera asiátic…</t>
  </si>
  <si>
    <t>Vinuesa, Joaquín de Palma y</t>
  </si>
  <si>
    <t>Joaquín de Palma y Vinuesa</t>
  </si>
  <si>
    <t>…edo, la de hilaza de lanas de D, Joaquín Perez, y la tintore fatigable y decidido regente dé la Real jurisdicción de la ¡referida villa de Mes- ría del mismo, y ha excitado el zelo de entrambos fabricantes., i quienes darán lanza D. Joaquín de Palma y Vinuesa, quien e4 digno de toda ccosiderácion toda la protección debida. Dice que d precio de las lanas continúa muy eleva í remuneración por sus importantes méritos contraidos durante la pfrisecucion do i V.que no se duda, que este año .serán muy concurridas lo^ mercadas prin de estas gavillas, y las pris…</t>
  </si>
  <si>
    <t>Vinuesa, José</t>
  </si>
  <si>
    <t>José Vinuesa</t>
  </si>
  <si>
    <t>…ra de enfermedades comunes. D. G. M. P. de las B. 40 rs., y ofrece 20 mensuales hasta fia del presente año.................................................................................................. 40 trovixcia de Sevilla. D. José Vinuesa por ana vez............................................................... 500 Según los partes de 26 4® Julio último iban á menos los casos sospecho ~ El Excmo. Sr. Marques de Villafranca por una vez y por mano de sos que ocurrían en la capital de dicha provincia, pues el día 25 solo fueron su apo…</t>
  </si>
  <si>
    <t>Viqente</t>
  </si>
  <si>
    <t>…a 21 dtl | Capitanía general del ejército y principado de Cataluña. En la mañana actual, que habiendo salido d da voluntarios de Castc.ion de u Piaña ] -del dia iS del presente, aprovechando los enemigos de 1? noble causa que de- D. Viqente {bjaguer cotí orden de perseguir al cabecilla D. Mariano Granel!, fcademós/íni ausencia de esta capitál .lograron con sus manejos ocultos prepa- fue aprefcéhdldó1 este el di* W'fvi dicho capitán en YiH#nueva de Aleóles. raz un movimiento popular, que ¡rremiiublcmcpte iba a turbar el orden v dispÓTi…</t>
  </si>
  <si>
    <t>Viqnnet</t>
  </si>
  <si>
    <t>…s, á las violencias y á los planes demostrar que hay motivo para rezclar la existencia de algún plan reservado, y opresores del gobierno. que el ministerio tiene por monarquía constitucional la monarquía aristocrática. Observa el Sr. Viqnnet que hasta ahora no se presenta ninguna objeción con Siente que se desconfié de los hombres de Julio, y vitupera agriamente á tra la minuta, pues todo lo que ha oido son críticas asi del sistema del gobierno los que excitan á la clase menesterosa contra la acomodada, y á los que quie como de los ind…</t>
  </si>
  <si>
    <t>Virgas</t>
  </si>
  <si>
    <t>…, declararlo en estado de bloqueo, y.sostener e&amp;tp porque se consideraban hechuras del general Gamarra. declaración con alguna, fuerza marítima. Esta medida produjo su efecto» Los El dia siguiente se quitó el mando de la plaza al general Virgas, y re puso extranjeros la respetaron , y los sediciosos quedaron sin puerto. en su lugar al Sr. cpronel Valle-Riestra, que sabiendo la Venida del gobierno, Entre tanto engrosábamos nuestras fuerzas de mar y tierra. Incierto el lo siguió-y logró reunírseleá la media noche. El general Vargas había es…</t>
  </si>
  <si>
    <t>Virgilio</t>
  </si>
  <si>
    <t>…cabamos de hablar, y que era una en inteligencia que para su remate se halla señalado el dia 7 de Enero próximo, 4 la especie de monóma'no ó maniático que no por haber comprado la casa de una de su tarde, en la audiencia de dicho señor. . Virgilio, heredó también su genio! Seria por ventura Persio escritor oscuro, ——Por providencia del Sr. Balsera , teniente de corregido» de esta villa, dada 4 Ins- rancia de los ecreedores é interesados k ios bienes que bao quedado por fallecimiento embarazado, que oculta el Vacío de los pensamientos bajo la…</t>
  </si>
  <si>
    <t>Viscdo</t>
  </si>
  <si>
    <t>…vea que no se halla resuelta, y no ayer, para manifestar al Sr. Secretario de lo Interior cómo podía concillarse el se parta del supuesto de que lo está. Volviendo á la relativa á los hijos, yo encabezamiento según los deseos del Sr. Viscdo. quisiera que se aprovechase el entusiasmo y afición que siempre tiene la juven Después de una aclaración hecha por el Sr, Visedo, propuso el Sr. Montud ¡á la Milicia, en favor dé la institución de que tratamos; si bien no quisie tevírgen una' nueva redacción del encabezamiento: y en vista de las ob…</t>
  </si>
  <si>
    <t>Visedo</t>
  </si>
  <si>
    <t>…ción la adición El Sr. Secretario del Despacho de Hacienda: «Puede crearse también referida , dijo deuda á petición de las Córtes, aprobada por el Gobierno.” El Sr. De Pedro: »Me parece que, según esta adición, el que antes li El Sr. Visedo: «Se puede suprimir la palabra pudiese, y ‘decir que el quide , antes cobrará; y siendo tan justa la deuda de unos como la de otros, se Gobierno en unión con las Córtes creare.'’ ria muy regalar que hubiera un plazo determinado para que todos cobrasen El Sr. Crespo Tejada: «El Gobierno puede crear…</t>
  </si>
  <si>
    <t>…amente á aquella fuerza encargada de defender la libertad y mantener la sujetar al exálten del Estamento la parte reglamentaria de la ejecución.” tranquilidad pública , en la que esta .mas inmediatamente interesada que la otra El Sr. Visedo: «Siento-que el Sr. Secretario del Despacho de Hacienda fuerza ó ejército nacional, cuyo objeto es mas bien combatir á’ los enemigos haya padecido una equivocación, suponiendo que bajo el nombre de Milicia exteriores. De consiguiente yo no veo que haya dificultad en que se haga la -urbana se hayan…</t>
  </si>
  <si>
    <t>…jeto el sostenimiento de las dar et nombre y tomarlo del extrangero ? En buen hora que la Francia reno leyes, del trono, de la verdadera libertad.” vase ese nombre , creado desde el principio de su revolución; ¿ pero á que fin Mi Sr. Visedo: «El Sr.^Ministro de Estado se ha anticipado á darnos una copiarlo nosotros? Se ha dicho que-el Gobierno de Carlos x suprimió la Guar satisfacción acerca del reglamento sobre organización de la Milicia urbana; de • dia nacional; mas no fue en toda ia Francia , sino en París solamente; ni tam este r…</t>
  </si>
  <si>
    <t>…campo se robustecen y forman antes que los de las ciudades^ en las dos. En virtud de todas estas con .¡duraciones apoyo el artículo que discutimos.'* cuales es naturalmente mayor el servicio de la Milicia urbana. Ademas es pre El Sr. Visedo: «Habiendo el Sr. Secretario de lo Interior admitido Jas va ciso tener presente que los jóvenes, especialmente en las grandes poblaciones, riaciones hechas por la comisión en éste artículo, quisiera que S. S. nos dijese procuran sustraerse lo mas pronto posible de la obediencia paterna; y cuanto si…</t>
  </si>
  <si>
    <t>…; pasiones inno existe. Ni unos ni otros podemos lisonjearnos de tener por patrimonio exclu bles que los legisladores deben siempre combatir con incansable perseverancia.” sivo el acierto y la verdad: hé ahi la controversia. 1 El Sr. Visedo-. «La comisión no ha tratado de abrir un juicio de purifi «Los principios que el.Gobierno ha proclamado, siempre que se ha trata caciones, sino de excluir las personas notoriamente mal opinadas y viciosas. do este punto, si bien en circunstancias tranquilas harían honor a su filantropía Sabido es que hay…</t>
  </si>
  <si>
    <t>…Procuradores que quisiesen salvar su voto, lo hicie presupuesto, cuyo total para el próximo año de 185 5 es de 12.44”/&gt;4T rs- ’ i mrs., y no ha desdeñado ahorros al parecer insignificantes, pues que si e-r::s escrito. sen por El Sr. Visedo leyó el art. 87 del reglamento, y dijo que cualquiera po cantidades son de poca-monta cuando se miran aisladamente y una por una, reunidas acaso representan la riqueza de muchas poblaciones en nuestra exhaus dria expresar haber sido su voto contrario á lo resuelto por el Estamento; pero ta Monarquí…</t>
  </si>
  <si>
    <t>…Milicia urbana. ’ diese Ucencia al coronel Seoane pára ir á la guerra del Norte luego que en Leído el art. ó.° del Gobierno y el de igual número de la com»ion , dijo vista de sus documentos quedase admitido como Procurador.*’ El Sr. Visedo, como individuo de la comisión: «Si las circunstancias no EI Sr. Medrano' «Yo creo que con lo que ha dicho el Sr. Domrcq de hubieren dado Jugará que en los pueblos se formase anteriormente &gt; la Milicia bía estar satisfecho el Estamento de que el punto, que se discute es la admisión urbana por difer…</t>
  </si>
  <si>
    <t>…mitirse por ningún estilo. Por las razones que dió el Sri'Torrcmejíá acerca El Sr. Lasanta: «En prjner Jugar: diré que nd me conformo Con lo del empré-tito de Guebard, todo el Estamento me parece que está conforme que ha dicho el Sr. Visedo en cuanto á los Secretarios, pues allí no hubo opo en que no debe reconocerse. Pero no es lo peor ese empréstito, sino las fatales sición. Se dice que la junta de que se trata es una continuación de anterior. consecuencias que acarreó á la nación. Con ese empréstito sufrió España una in De ningún-m…</t>
  </si>
  <si>
    <t>…especto á vicecónsules, solo hay cuatro en Europa con mezqui til lo que propone el Gobierno, é inútil también de todo punto lo propuesto no sueldo.” por la comisión. No entraré, pues , á tratar de la convehiencia y utilidad de El Sr. Visedo: «Yo creo que podrían suprimirse ó modificarse muchos que sean encargados de Negocios ó ministros residentes los que se hayan de en consulados inútiles, como v. g. los de Oporto, Venecia, Palermo y otros.” viar á dichas cortes, pues todas esas consideraciones de si podrá ó no represen El Sr. Secret…</t>
  </si>
  <si>
    <t>…ue no sirva de regia para lo sucesivo, porque en la comisión ante» de proceder á la votación de la del Gobierno.” tonces nunca acabaremos con este asunto.” _ * El Sr. Secretario del Despacho de Estado: «Me levanto meramente pa El Sr. Visedo manifestó que conviniendo con lo que había dicho el se ra recordar que el órden seguido siempre hasta aquí, es votar lo que propone ñor Ministro de Hacienda en cuanto á los demas presupuestos, no hallaba inel Gobierno. Este fija en 1.0529 rs. ü cantidad del presupuesto para los agen cónveniente en…</t>
  </si>
  <si>
    <t>Visedoi</t>
  </si>
  <si>
    <t>…as más solamente en cálculos de probabilidad *, pero que á pesar de esto, si la co la agricultura y la industria tie los brazos que tanto necesitan. misión necesítase de otros documentos, podría especificarlos, pues de otro mo El Sr. Visedoi «La comisión ve Ja a conformado con que se admita en la do no seria fácil saber cuáles eran los que pudiese necesitar. segunda parte de este artículo la exclusión de los maestros de escuela y de los El Sr. Presidente anunció que mañana discutiría el Estamento el dictá— catedráticos. Con respecto á ios…</t>
  </si>
  <si>
    <t>Vital, Salvador</t>
  </si>
  <si>
    <t>Salvador Vital</t>
  </si>
  <si>
    <t>…añía de granaderos y algunos fusileros, la mandaba el capitán con grado de 1,526............ .... 500.......................... ......... .. Idem. teniente coronel D. Tomás Alonso, y el que tenia á sus órdenes á los subte nientes D. Salvador Vital, propuesto ya para teniente y ejerciendo funciones de tal, y D. Joaquín Moscoso. En la sección que quedó conmigo en el centro, compuesta de mis cazadores y algunos fusileros, venían el capitán D. Mateo bolsa de hoy á las tres de la tarde. comercio.deEFECTOS PUBLICOS. José Cepeda, el subteniente D.…</t>
  </si>
  <si>
    <t>Vito</t>
  </si>
  <si>
    <t>…apoyo tantes de esta ciudad para que semejantes escenas no.se repitan en lo sucesivo. popular. Por tanto el Senado ruega á cada ciudadano en nombre del deber &lt;pte le impo Los restos de las tropas de Bravo, á quienes ha negado el general Vito ne esta calidad, y i cada habitante en nombre de las obligacione» que ha con ria la capitulación que pedían, batidos después y dispertados por este gefe, an traido en virtud de su residencia en la ciudad libre de Francfort, que declaren dan errantes por los montes, perseguidos y acosados por la mil…</t>
  </si>
  <si>
    <t>Vitoria</t>
  </si>
  <si>
    <t>…siasmo que las anima por la defensa de los derechos de la Ruina nuestra Señora.” Deshecha enteramente la considerable facción del Maestrazgo apoyada á la plaza d» Morelia; pasados por las armas sus gefes el barón de Hervcs, el cx-gobernador Vitoria, él comandante de realistas Gil, y los cabecillas fusté y Torá, solo quedaba el furioso Carnicer, que en su fuga pasó el Ebro por la barca de Escatron el 28, y en el mismo día fue -alcanzado y dispersado; de manéra que al siguiente fue sorprendido por el corregidor de Caspe con solo seis que le seg…</t>
  </si>
  <si>
    <t>Vitoria, Infanta Doña María Ana</t>
  </si>
  <si>
    <t>Infanta Doña María Ana Vitoria</t>
  </si>
  <si>
    <t>…a ser nombrado Procurador por una de las provincias en que se conoce mas cedente de los réditos del capital de 18.75u9 rs. de la dote y contradote de la el valor del trabajo, para respetar también con mayor escrupulosidad, si asi Sra. Infanta Doña María Ana Vitoria, hallándose ademas en descubierto de quicre-Jlamarse, la imposición de los sacrificios. Bástame en fin conocer el si 1.2009 rs. de alimentos atrasados de que aparece acreedor al Estado. La comi glo en que vivimos para admirar tas virtudes y los beneficios con preferencia sión considera que estas ca…</t>
  </si>
  <si>
    <t>Vitoria, L Bérnarnino</t>
  </si>
  <si>
    <t>L Bérnarnino Vitoria</t>
  </si>
  <si>
    <t>…tra $r. P. Joaquín Abarques , hacendado. se el desaliento en las filas desu ejército. El mal suceso de esta tentativa se de- Sr. P. Jqáquin María López. b’ó á la precipitacion.de Bourmont, y masque todo.el sistema erróneo de que* Sr. L&gt;. Bérnarnino Vitoria .comerciante, re- avanzar con una nube de tiradores, y no con una columna 'de. suficiente , Sr. D. Miguel Oca y 'Gucreau. fuerza. _ . Sr. D. Francisco Belda, barón de Casanova de Bocairente, La marcha sobre Lisboa fue retardada por la villanía de los proveedores de Sr. D. Andrés Vicedo, hacendado.…</t>
  </si>
  <si>
    <t>Vitoria, María Ana</t>
  </si>
  <si>
    <t>María Ana Vitoria</t>
  </si>
  <si>
    <t>…o Procurador por una de las provincias en que se conoce mas cedente de los réditos del capital de 18.75u9 rs. de la dote y contradote de la el valor del trabajo, para respetar también con mayor escrupulosidad, si asi Sra. Infanta Doña María Ana Vitoria, hallándose ademas en descubierto de quicre-Jlamarse, la imposición de los sacrificios. Bástame en fin conocer el si 1.2009 rs. de alimentos atrasados de que aparece acreedor al Estado. La comi glo en que vivimos para admirar tas virtudes y los beneficios con preferencia sión considera que estas ca…</t>
  </si>
  <si>
    <t>ViUaaon, Alomo González</t>
  </si>
  <si>
    <t>Alomo González ViUaaon</t>
  </si>
  <si>
    <t>…naderos. Lo fnitmó sucedió cuando en 1799 desembarcaron algunas, bandas de sici Dicho coronel recomienda al capitán de granaderos dei cuerpo «le su man lianos en las costas de Ñipóles, reclutadas de lo mas inmundo de la plebe, do D. Alomo González ViUaaon; subteniente D. Francisco Pardo y Moco que untas crueldades cometieron sobre los napolitanos mismos. Entonces un so, y el teniente D. Bartolomé Díaz de Fuga del propio</t>
  </si>
  <si>
    <t>ViUachica, Manuel</t>
  </si>
  <si>
    <t>Manuel ViUachica</t>
  </si>
  <si>
    <t>…»'He dicho que es inútil ademas, porque ¿dónde tendremos medios para por no concurrir en los electos las circunstancias prescritas; y puesto que el Se armxr e»te número de urbanos! B en e&gt; rerdjd que si nosotros ajustamos la ñor D. Manuel ViUachica las reúne, era de opinión que debia aprobarse su cuenta del número de armas que existían hace un año, debia haber muchas maf elección. de las que se han repartido. Trescientos mil realistas habii armados en el año A petición del Sr. Conde de las Navas se leyó la protesta que hace el Se 32: no &gt;é cómo h…</t>
  </si>
  <si>
    <t>ViUalva, Ramón</t>
  </si>
  <si>
    <t>Ramón ViUalva</t>
  </si>
  <si>
    <t>…sal»*acit&gt;n en .a velocidad Jo&gt;é Joaquín de Virues y Spibola, encargados por U Real maestranza de Ron délos que montában:"¿s1e oficial me recomienda ¡a intrepidez del joven cadete da de presentar 4 b. M. la siguiente exposición: D. Ramón ViUalva, y el buen p&lt;¿&gt;rte dei teniente D. Antomo Luis Gómez. &gt; . Señora: Con up^gozo y una gratitud que ctl vano intentaríamos expresar, T0J0 lo que pongo en el superior conocimiento de V. E. deseando lo eleve á ha recibido la Reat maestranza de caballería dé Ronda el aviso ministerial de rol.cía de S- M.…</t>
  </si>
  <si>
    <t>Vivar, D José</t>
  </si>
  <si>
    <t>D José Vivar</t>
  </si>
  <si>
    <t>…ociedades de las plazas que foraían las Varsas^estáciones. de S. Femando de1 primera clase á su benemérito comandante I). José Mqreno De la extensión del apoyo y suficiente concurrencia, con que puede con Muñoz; la de Isabel n al sargento 2.° D. José Vivar y á losUrbano* Don tarse, están en estado de formar una opinión muy exacta ia mayor parte de los Juan,.Corbeya, I&gt;. Pascyal Vicente, D. Camilo del Pozo y D. Nicolás Péreá* empresarios, en razón de su residencia y transacciones en las costas déla Penín heridos; cinco cruces mas de Isabel u, que serán…</t>
  </si>
  <si>
    <t>Vivar, Jos</t>
  </si>
  <si>
    <t>Jos Vivar</t>
  </si>
  <si>
    <t>« . l ' 1 _y . Juan Ramón Huesca, y en lo* heridos D. Jos* Vivar, «argento 2*, Juan gacton , y teniendo suficiente concurrencia para sostenerla* cura perspectíra ál Corveynf D. Pascual Vicente, D. Camilodél Pozo y D. Nicolás Perca, del , presente es muy lisonjera. ----—______ ______ ’ mismo cuereo. Las demás partidas de Urbatio* dé las Villas de la Torre de No e…</t>
  </si>
  <si>
    <t>Vivar, José</t>
  </si>
  <si>
    <t>José Vivar</t>
  </si>
  <si>
    <t>…las plazas que foraían las Varsas^estáciones. de S. Femando de1 primera clase á su benemérito comandante I). José Mqreno De la extensión del apoyo y suficiente concurrencia, con que puede con Muñoz; la de Isabel n al sargento 2.° D. José Vivar y á losUrbano* Don tarse, están en estado de formar una opinión muy exacta ia mayor parte de los Juan,.Corbeya, I&gt;. Pascyal Vicente, D. Camilo del Pozo y D. Nicolás Péreá* empresarios, en razón de su residencia y transacciones en las costas déla Penín heridos; cinco cruces mas de Isabel u, que serán…</t>
  </si>
  <si>
    <t>Vive, Rowley</t>
  </si>
  <si>
    <t>Rowley Vive</t>
  </si>
  <si>
    <t>…er útil al comercio é intereses de la Inglaterra- El co las naranjas, como nosotros de los pepinos. ronel Campbell ha comunicado al ministro este deseo de Mehemet, y parece que se ha hecho atención á él, y que se ha dado orden al almirante Rowley ____Vive actualmente en Dordrecht, reino de Holanda, un marinero llama de que impida á la escuadra turca el acercarse á las costas de la Siria. Inútil do Conrado Vancouver, que el 2o de Agosto último cunfplio 135 años de será decir el modo coq que nos mirarán en Constantinopia después de estas edad. Puede c…</t>
  </si>
  <si>
    <t>Vivero, Manuel</t>
  </si>
  <si>
    <t>Manuel Vivero</t>
  </si>
  <si>
    <t>…se el mal trato dado por Ibrahim al famoso Abou- timo cuerpo D. Pedro Espinosa, y el espitan de húsares D. Pedro Lavtfia. Ghos, gefe de las montañas de Jerusalen, condenado á ias galeras de S. Juan Que el capitán del 1.® de línea D. Manuel Vivero, y el teniente &lt;t«t S.® li de Acre por haber quebrantado la prohibición referida. El numero de insur geros D. Juan Arró.pide siguiesen con otra de refuerzo ; y al bizarro coronel gentes que se levantaron en aquella parte de Siria se valuaba en unos 253 D. Ignacio de Hotos confié la reserva compuest…</t>
  </si>
  <si>
    <t>…. Sr. *. Continuando en persecución del cabecilla Villalobos que columna han manifestado valor y sufrimiento. El capitán del E° do caballababiá logrado reunir 2\)ü infantes y Í2o caballos, llegue ageste punto en el ría de línea , D. Manuel Vivero , que tantos servicias ha hecho en esta guerra, di* de iyey á las doce, después de una marcha de reís leguas por sendas casi ha sabido dar buen ejemplo á sus soldados. El ayudante‘de la Reina . 2.° da iptrahsx^*q{es: i la medía hora, Citando la tropa tomando raciones, iré aviso línea, D. Antonio Va…</t>
  </si>
  <si>
    <t>Viveros, Gobernadora</t>
  </si>
  <si>
    <t>Gobernadora Viveros</t>
  </si>
  <si>
    <t>…los mas nobles actos de fidelidad esta secretaría. □lie hacen conocer el voto de los espaüoles-en sostener un trono, que afianzan ].* sección.----Agricultura y ss^s agregados. a la par las leyes fundamentales y la sabiduría de la Reina Gobernadora. Viveros y crias de ganados: pastos; casas de monta y depósitos de caballos padres: roturaciones y arrendamientos-de tierras: obras de riego y desecación de terrenos pantanosos: desmontes: plantío y conservación de los montes y ar Parte i recibidos en la secretaría de Estado y del Despacho de ¡a Guerra. bolad…</t>
  </si>
  <si>
    <t>Vives, Lázaro</t>
  </si>
  <si>
    <t>Lázaro Vives</t>
  </si>
  <si>
    <t>…as que lograron arrojar de pira sorprendernos, é incitó á su compañía á romper el fuego: el capiran Don sus guaridas á dichas facciones , prensándolas á una vergonzosa fuga háciarel Jacinto Soler, l«s tenientes D. Vicente Arruc y D. Lázaro Vives, y alférez valle de Arratia, donde se reunieron con las de Latorre, Luqui y otros r salí IX Antonio María Colmenares, que con las compamas 4*a J 5.a de Soria sos inmediatamente sobre ellas; pero á nuestra apiox'-macion dividieron sus fuerza* tuvieron la defensa de la ermita con el mayor valor, el g…</t>
  </si>
  <si>
    <t>Vives, Vicente Arruc y D Lázaro</t>
  </si>
  <si>
    <t>Vicente Arruc y D Lázaro Vives</t>
  </si>
  <si>
    <t>…con quien marché, tas que lograron arrojar de pira sorprendernos, é incitó á su compañía á romper el fuego: el capiran Don sus guaridas á dichas facciones , prensándolas á una vergonzosa fuga háciarel Jacinto Soler, l«s tenientes D. Vicente Arruc y D. Lázaro Vives, y alférez valle de Arratia, donde se reunieron con las de Latorre, Luqui y otros r salí IX Antonio María Colmenares, que con las compamas 4*a J 5.a de Soria sos inmediatamente sobre ellas; pero á nuestra apiox'-macion dividieron sus fuerza* tuvieron la defensa de la ermita con el mayor valor, el g…</t>
  </si>
  <si>
    <t>Vivicn</t>
  </si>
  <si>
    <t>…lo , alegando las razones general apostólico de la Santa Cruzada, hiciese las funciones de padrino á en que fundan esta opinron; mas la Cámara lo aprueba. nombre y en representación de la Reina nuestra 9eñora Doña Isabel n, co El Sr. Vivicn pide que se haga distinción «entre las pensiones hechas á tí locándose su augusto retrato en el presbiterio bajo un riquísimo dosel de ter tulo oneroso y las que son gratuitas.” La Cámara oye las reflexiones que en pro ciopelo bordado de oro, y expidiéndose por mayordomía mayor las órdenes y en con…</t>
  </si>
  <si>
    <t>Vivien</t>
  </si>
  <si>
    <t>…o ciopelo bordado de oro, y expidiéndose por mayordomía mayor las órdenes y en contra de esta adición hacen varios diputados , y aprueba la propuesta del competentes para que nada faltase á la pompa , magestad y decoro de este re Sr. Vivien respecto á las pensiones onerosas, suspendiendo discutir la parte que ligioso acto. trata de pensiones gratuitas por no haber suficiente número de diputados. Se A las once de la mañana llegó á las puertas de dicha iglesia en su carroza levanta la sesión. el Excmo. Sr. comisario, acompañado de Doña…</t>
  </si>
  <si>
    <t>…les que causan los folletos que se pregonan por las ca supuesto de la casa Real de Cárlos x. lles , y cuán necesario es evitarlos, para lo cual cree que la ley que se discute | El presidente lee el 2.° párrafo de la propuesta del Sr. Vivien: se oponen es todavía ineficaz; mas .sin embargo, la aprueba, ya que no se propone otra [ á ¿1 algunos diputados i otros hacen varias proposiciones acerca de las pensiones mas á propósito para el objeto á que se dirige. I de gracia, y Í3 Cámara adhiriendo al dictamen de los Sres. Charlemagne y Sal-…</t>
  </si>
  <si>
    <t>Viviente, Manuel</t>
  </si>
  <si>
    <t>Manuel Viviente</t>
  </si>
  <si>
    <t>…acultativos, por cuya razón había recurrido al celo patrió que fue de FuentenebTO, calle de Fuencurral; Barcelona, Gaspar y Ptferrer; Cádiz, Hortal y compañía; Zaragoza, Jauregui; Valladolid, Rodríguez; Murcia, Benedicto; tico de D. Manuel Viviente, para que pasando á dicho pueblo en compañía Cor uña , Cal vete. 1 del practicante de cirugía D. Juan José Lujan, prestase á su vecindario los au - - Sisterña de hacienda controvertido en Esparta desde 180? hasta 3823, por Don xilios que con tan buen éxito prestó al de ia villa de Tórtpla: acompaña…</t>
  </si>
  <si>
    <t>Vizcáij, Joaquín</t>
  </si>
  <si>
    <t>Joaquín Vizcáij</t>
  </si>
  <si>
    <t>…AL DECRETO. desembarcar en las costas de España. "Se nos asegura que hay ya dos personas presas, y quo el telégrafo ha da Atendiendo á las recomendables circunstancias que concurren do qrdeti de prender á otras dos en Bayona.” •n D. Joaquín Vizcáij¡io, marques viudo, de Pontejos, j á su deci dida‘adhesión á mi augusta Hija la Reirá Doña Isarel ii, he veni —El Belga contiene lo siguiente: do en líonibrarle corregidor de Madrid; quedando mujr satisfecha «Algunos aficionados á pichones del nuevo jardín de Ambercs (nienwett del celo con que ha de…</t>
  </si>
  <si>
    <t>Vizconde</t>
  </si>
  <si>
    <t>…puerto de Tolott dos los ciudadanos para que se presten siempre í defender el orden público* de vuelta de Túnez, adonde habia ido con úna misión particular que se re objetó qué no se lograría si la .Cámara adhiriese í la idea del Sr. Vizconde. duce á lo siguiente. ' Se desecha la propuesta, y queda aprobado el proyecto de ley por 1U6 vo Informado el gobierno francés de que el bey de Túnez no cesaba de abas tos coaita* 4' ' • tecer de toda especie de municiones al dé Constantitia, dió órdenes secretas ií En seguida principia la discusión…</t>
  </si>
  <si>
    <t>Vizo, José Mariano</t>
  </si>
  <si>
    <t>José Mariano Vizo</t>
  </si>
  <si>
    <t>…allos pasaron el Ebro, y se dirigieron á Cala deseen imponerse en el modo de ensebar 4 leer por el nuevo mttofa horra el dia 9 del presente mes: perseguidos per el general Loren analítico publicado en la Teoría da la.lectura. Por D. José Mariano Vizo, que entró en el mismo dia 9 en Lodosa y continuó su marcha Uejo, autor de la expresada Teoría. Esta obrita consta de una Introduc ción, de tres partes y de un mapa de Espafia. En la introducción se in sobre Calahorra, se vieron obligados por este á evacuar esta ciudad dica lo conveniente, oportuna…</t>
  </si>
  <si>
    <t>Vlsedomanífestó</t>
  </si>
  <si>
    <t>…l artículo tal como había quedado apio-* •fojj es^depaz y mansedumbre, á los ordenados in sacris debía añadirse »y los / luda clérigos de corona ” „ . \ . Leído el artículo 5.® según se halla en el proyecto dei Gybtcrrio, y en El Sr. Vlsedomanífestó que el Sr. Secretario del Despacho podía extender , seguida, según lo. ha presentado la comisión, dijo la adiciónj y habiéndole contestado que lckestaba haciendo asi, añadió que se JEl Sr. polo y Monge • «Como individuo de la comisión diré ,con fran conformaba con la idea de ella. queza y sencillez…</t>
  </si>
  <si>
    <t>Vlvia'-aqui, VaiidreuiF</t>
  </si>
  <si>
    <t>VaiidreuiF Vlvia'-aqui</t>
  </si>
  <si>
    <t>…nterio,les restos del enrha|a- cion. Iba' el Rcf,¿ caballo, yllcvaba el uniforme de coronel de la- guardia ' dor francés, condede..yaudreuil, pitra ser desde allí, enviados a lrancia i la cívica.•- &gt;•- i. i-, ’primera ocasión. El conde VaiidreuiF Vlvia'-aqui con grán lujo, J¡ contribüiv . Veinte y un cañonazos anunciaron.'la salida de SS. MM. de. palacio. mucho á animar Lra1t»«or.«*dilrt, CMrrcuria df Sucvia.'l \- Xa tropa de línea1 estaba formada en hatalla en las calles Real . Ducal y de la Ley. ' ... 4 ___Nuestra universidad espera contar de nuevo e…</t>
  </si>
  <si>
    <t>Vn, Fernando</t>
  </si>
  <si>
    <t>Fernando Vn</t>
  </si>
  <si>
    <t>…es trastornos. Yo ya he manifestado en la bonos de Cortes. Si el empréstito de Guebhard en su grandísima totalidad en- discusión general que estoy por mi parte pronto á dar al Gobierno todos los tró en arcas durante el reinado de D. Fernando Vn , ni este empréstito ni los recursos nececesarios. No porque crea que se va á hundir el país; de ningún demas pueden dejar de reconocerse , como dice el proyecto de ley del Gobier modo. ¿Por qué se ha de hundir el país? ¿Porque está el Gobierno en apu no y díctámen de la minoría. Por consiguiente d…</t>
  </si>
  <si>
    <t>Vn, J Peres Hervas</t>
  </si>
  <si>
    <t>J Peres Hervas Vn</t>
  </si>
  <si>
    <t>…eres compues Partí tanitario de 15 dtl actual. to, anualidades, amortización {ice.-, terminado por una aplicación esjeoal del mismo ■létndi» a la extinción de la deuda pública , por J. B Juvigny j y traducido al castellano 1 ftur D. J. Peres Hervas Vn cuaderno en 4Í0; se hallara a 6 ra. en rustica en la libre- 'Pueblo*. Bit*. Enfermo*. Curados. Fallecido*, ji* de Cues^i y de Sánchez. -——A virtud de providencia del tribunal de comercio está señalada para el dia ¿0 de Ocrubre prnotimo, y hora de las clnéo de 1* tarde, en la oasa consular plazuela…</t>
  </si>
  <si>
    <t>Voirol</t>
  </si>
  <si>
    <t>…copia lo siguiente de una carta de Argel: mas de al gobierno de Grecia ha acordado una disposición semejante. 200 colonos y comerciantes presidido* por las personas mas notables de Argel fueron «t 31 del pasado i Ja posada . del general Voirol, Comandante en gefe ------ Una carta de Alejandría de 20 del pasado anuncia la vuelta de NabitUInterino, i darle gracias per los servicia» que ha hecho í la colonia durante tu administración. Al mismo tiempo se abrió urja subscripción para regalarle effendi de Constan tino pía, adonde fue para repr…</t>
  </si>
  <si>
    <t>…os vecinos Estados de Alemania) la ejecución de las me lemnidad ha sido celebrada con el entusiasmo que excita todos los años. didas que estos últimos se viesen obligados á tomar contra la Suiza. Copia de un despacho del teniente general Voirol, comandante interina del « La Confederación germánica ha creído que (por las relaciones amistosas cuerpo de ocupación de Africa, que con gran satfcfacccion suya han existido hasta ahora, y que desea mantener para siempre) estaba obligada á dar, por medio de la Dierik federativa, qup'~ék Argel 2 de…</t>
  </si>
  <si>
    <t>…aprensión, se dice que las diferentes cortes han resuelto fecha lo siguiente: restablecer sus antiguas relaciones con el gobierno de Isabel. «Excmo. Sr..- En el pueblo de Huetor Tajar hace cuatro dias no ha falle ____El teniente general Voirol en un despacho de 18 de Enero anuncia desde cido individuo alguno, y la enfermedad toca su término, pues los individúe» Africa lo que sigue: un suceso trágico acaba de libertar las llanuras de Argel no pasan de 5, y la existencia de enfermos 4$, según el último parte recibido de o de los mas terrib…</t>
  </si>
  <si>
    <t>…l niño: nadá entre dos corrientes dirigiéndose á la orilla. Logra ea Las noticias que se acaban de recibir de Africa continúan siendo favora fin tocar el fondo con el pie: se levanta; pero el agüé cubre todavía su cabe** bles. El general Voirol, que manda interinamente el ejército de ocupación, es za, el aire no llega á sus pulmones, sus fuerzas desfallecen y no le queda yí cribe al ministro de la Guerra con fecha de 12 de Julio lo que sigue: mas que su resolución! Hace un esfuerzo desesperado, y su amigo y el niño se »La tranquilidad es…</t>
  </si>
  <si>
    <t>…á mano armada contra estos países, con niente coronel Duvivier, que concibió y dirigió el movimiento, ha dado prue los cuales la Confederación desea con tanto empeño conservar relaciones, de bas de ¿u aptitud miUúr.==El teniente general Voirol. (Monitor de Argel.') amistad, y por otra para alejar de su suelo á los instigador* de este movimien to insensato. Usías medidas enérgicas que han adoptado las autoridades: fede SUIZA. rativas luego que han tenido conocimiento de los provectos de los agitadores, lugano 18 de Mayo. , . lian desvaneci…</t>
  </si>
  <si>
    <t>…an. de. escribirse loa contratos, se ha dignado S. M. resolver, del general en gefe, á quien pidió protección, prometiendo hacerse cristiana en de conformidad con lo propuesto por el Consejo Real de España é caso de necesidad. El general Voirol, cuya humanidad es bien conocida, la di lodíad en sección de Hacienda, se reforme la disposición del artí suadió de semejante proyecto, asegurándola que seria respetada, que podía vol culo 28 del expresado Real decreto, que se redactará y cumplirá ver al seno de su familia, y que él respondía de qu…</t>
  </si>
  <si>
    <t>…de el brados en semejantes casos, como suplemento de paga. l.° de Agosto á trabajar, motivo por el cual habían sido presos unos 40 , y enviados á la fortaleza de Brímsuwn-Hill para ser juzgados al tenor de la ley ____ El teniente general Voirol, comandante interino dd cuerpo 4b AcafMÜMt marcial; en Monserrate reinaba también grande temor de los negros, aunque de Africa, comunica al ministro- de la Guerra en un parte de 23 de Agóste una plaga de erisipelas^ llevaba á muchos de ellos diariamente. Tabago y Gra que continúan con la mayor acti…</t>
  </si>
  <si>
    <t>…interino de la ciudad de Lannion.” (Diario de los Debates-') dpvdc JBc^na, Argovja, Badén, Thurgoyi* Cj¡incbra , Friburgo y San-Gall. Él Sr. Casimiro Pfifrer ha llamado la atención de la asamblea sobre la necesi ____ El teniente general Voirol, comandante superior de Argel, ha publicado dad absoluta de revisar el pacto, que es, según cree, el único medio de que la la orden del día que sigue , con fecha de 21 de Junio. Sriútajfegue á ser una nación fuerte y respetada. ”La Dieta actual, añade, está •• Las comunicaciones del teniente corone…</t>
  </si>
  <si>
    <t>…gar s« habían embarcado en la corbeta &amp;-AgAta_y en el bergantín el Aríuto que han llegado hoy igualmente; mi-in sin navetla») errsu importante salud en el Real Sitio,del Pardo. El gobernador general Ha ¿do recibido par cítcnientc general Voirol que le esperaba al frente de las tropa». Le han acompañado hasta la posada del Gob.crno el cst-tdo mayor del ejercito de ocupación, Mi. Gcnty de~ Bussy, y t&lt;&gt;dos ios gefes de las oficinas civiles. . . ~k PARTE NO OFICIAL. La atiuencu de espectadores era muy considerable; los indígenas sobre todo ac…</t>
  </si>
  <si>
    <t>VolkboüsNavarra</t>
  </si>
  <si>
    <t>…én 4. &gt; Pttersbvrgo 25 de Abril. León 4, Lérida 2, Logroño 2, Lugo ó. Por Real órden del 5 de este mes, S. M: el Emperador ha nombrado ga t Madrid ó, Málaga 6, Murcia 4. fe del estado mayor del ejército destacado en el Cáucaso al general VolkboüsNavarra 3. ky , que ya desempeñaba interinamente el referido empleo. Orense 3, Oviedo 6. Por otra Real órden del mismo dia se ha dignado el Emperador admitir Patencia 2, Pontevedra 5. en su servicio i Djavat-Khan , hijo del teniente general Mustafí, Khan del Salamanca 3, Santander 2, Segovia 2, Sevilla 6,…</t>
  </si>
  <si>
    <t>Vonkudwige</t>
  </si>
  <si>
    <t>…ue expedición hasta Lattakoo. el Uso de papel sellado de pobres no se permita á las comunidades* *&gt;Sir J. Hersehell, Mr. Márc Cleat, astrónomo.Real, Mr. Meada w y el corporaciones y personas que tienen propiedad d rema que exceda barón Vonkudwige, amigos suyos, animados cómo ellos de la pastad dé IdS de 150 ducados anuales, ni á Tas viudas que gocen mas de 300, en descubrimientos, los han acompañado toda la mañana. La historia dé todas la* ttez de los,500 ó 400 ducados señalados respectivamente en el arti expediciones añtériorts emprendidas…</t>
  </si>
  <si>
    <t>Vota, Hert</t>
  </si>
  <si>
    <t>Hert Vota</t>
  </si>
  <si>
    <t>…convenientes que'ha de producir esta ley, y procura terlinas cada roes: lord Combermere 100: M. Hope 230: Sir Ti desvanecer los temores que según se dice inspifán las asociaciones.. Poore 8Ó: Sir R. Otway IOO: lord de Tabley loO: lord Hert- .Vota contra el proyecto. ford 230. El general Jacqueminot sostiene el dictamen de, ia comisión; .i____Una cárfia particular de Constantinopla, refiere que el 26 de porque a su entender es indispensable dictar una ley que reprimien Enero último se verificó en aqüella capital la inauguración de la do la o…</t>
  </si>
  <si>
    <t>VotroF</t>
  </si>
  <si>
    <t>…ito de una dinastía verdaderamente nácioáal; pqro nucstnosmun esperanza se ha frustrado. Parts 7 de Junio. ........ - j r^Hiémos perdido al héredero de vuestra corona; “pero nuestros corazones, Copia de un parte del Sr. teetíetát general VotroF, eomanddnte¡ ietterino del Señor, iiose han cerrado á la .esperanza/Una nueva prénda de nuestra unión cimentará.Ja.tlliapea.qi^ babeis contraído con cí pueblo belga, y consolidará cuerpo de ocupación de Africa, ai Sr. mariscal ministro de la Gurn&lt;J. su sndepeiidéncui.'' ‘ . Argel 25 de Mayo de 1834…</t>
  </si>
  <si>
    <t>Voy, Alcalá Galiano</t>
  </si>
  <si>
    <t>Alcalá Galiano Voy</t>
  </si>
  <si>
    <t>…da, me he abstenido de recon cho presentes aquí, y que no se han concedido, ni se concederán por esc mie venir á los Sres. Ministros con este artículo.” do, por ese miedo imprudente, que pone la patria en muchísimo peligro, co El Sr. Alcalá Galiano. «Voy á deshacer algunas equivocaciones. En mo $e ha dicho ya en veinte ocasiones; mas no hay peor sordo que el que no primer lugar en cuanto á la acritud que ha tomado esta discusión, según aca quiere oir. ba de indicar el Sr. Minitro de Hacienda, cieo que no seria sobre ini sobre »$e ha dicho que tomó…</t>
  </si>
  <si>
    <t>Voy, Caballero</t>
  </si>
  <si>
    <t>Caballero Voy</t>
  </si>
  <si>
    <t>…a á pender de ella la salud del Estado. En mar la iniciativa, se haya visto herido con el arma de la oposición en la se tonces reconoció también el ministerio otro principio solemne , á saber - que la gunda parte del discurso del Sr. Caballero. Voy á hacer.sobre unos y otros pun* decisión"debita cuestión pcTtenecíá""eTchisrvaroenig. i. Jas Córtes, las cuales tos .algunas Jweve^-observácTones. eran la única autoridad competente, según nuestras leyes, según nuestras an «Asi la comisión en su dictamen, como el ministerio cuando ha tratado esta t…</t>
  </si>
  <si>
    <t>…delicada y de tanta- trascendencia en: dos calidades de gefe visible de la Iglesia, y de Monarca temporal; y bajo,esta una Nación como la española.” última consideración es igual á todos los demas Soberanos! igual al Emperador El Sr. Caballero-. «Voy meramente í manifestar una contradicción en de las Rusias, asi como at Presidente de los Estados-Unidos de América; pero que me parece ha incurrido el Sr. Presidente del consejo de Ministros contes esta calidad no tiene tan íntima unión con la otra que no sea posible el que tando ai discurso del Sr…</t>
  </si>
  <si>
    <t>Voy, El Sr Caballero</t>
  </si>
  <si>
    <t>El Sr Caballero Voy</t>
  </si>
  <si>
    <t>…materia tan delicada y de tanta- trascendencia en: dos calidades de gefe visible de la Iglesia, y de Monarca temporal; y bajo,esta una Nación como la española.” última consideración es igual á todos los demas Soberanos! igual al Emperador El Sr. Caballero-. «Voy meramente í manifestar una contradicción en de las Rusias, asi como at Presidente de los Estados-Unidos de América; pero que me parece ha incurrido el Sr. Presidente del consejo de Ministros contes esta calidad no tiene tan íntima unión con la otra que no sea posible el que tando ai discurso del Sr…</t>
  </si>
  <si>
    <t>Voy, Grey</t>
  </si>
  <si>
    <t>Grey Voy</t>
  </si>
  <si>
    <t>…sea fácil prever la época en que podrá emanciparse léñjúáge dé la justicia y de la humanidad, porque las ejecuciones siguen como de semejante protección. antes. Los habitantes huyen despavoridos: á algunos que se han guarecido en Lord Grey. « Voy á contestar al duque de "Wellington sobre nuestra po los montes, ha mandado el baja que los hagan salir á tiros. Los infelices cre lítica exterior. El noble Duque, gran partidario como se sabe del Rey de Ho tenses piden como un favor que se les permita abandonar su tierra natal; se landa, ha dicho…</t>
  </si>
  <si>
    <t>Voy, José Izmendi</t>
  </si>
  <si>
    <t>José Izmendi Voy</t>
  </si>
  <si>
    <t>…sco Sanjuanena, sus ayu á sus antiguas guaridas en las provincias de Santander, Burgos y dantes D. José Hallegg , D. Luis del Arco, y comisario de guer Soria. Juntamente se advirtió el mismo impulso en las facciones ra habilitado D. José Izmendi. Voy á salir á la Guarda con toda de la Provincias Vascongadas y de Navarra. Basilio García se in la fuerza que me sigue, y á dar todas las disposiciones necesarias i</t>
  </si>
  <si>
    <t>Voy, Mcdrano</t>
  </si>
  <si>
    <t>Mcdrano Voy</t>
  </si>
  <si>
    <t>…io Belda que se iba á discutir la petición Se anunció que se iba á proceden á la discusión por artículos, y leído el sobrejtxtincion de las hermandades santa. Real y vieja, que leyó, y cuyo te primero, dijo nor es como sigue : El Sr. Mcdrano. «Voy ha hacer una ligera observación en cuanto al Señora: «El Estamento de Procuradores del reino , cuyo objeto es'-mirar ejército. Todos sabemos que en tiempo de Felipe v un general francés vino por el bienestar y felicidad de sus comitentes, y relevarlos de las pesadas car por conveniencia de España á…</t>
  </si>
  <si>
    <t>Voy, Medrano</t>
  </si>
  <si>
    <t>Medrano Voy</t>
  </si>
  <si>
    <t>…Asi se acordó. D. Agustín Arguelles, por Oviedo.^ ’ Concluido el despacho, tomó la palabra-el Sr. Medrano para presentar una D. Saturnino Calderón, por Orense. indicación. D. Francisco de Paula Crespo Rascón, por Salamanca. ’ El Sr. Medrano-. »Voy á hacer al Estamento una indicación, que no sé D. Mauricio Cárlos de Onís', por id. (Este se sabia por una acta hallarse si estará en su lugar: pero me parece que por lo menos no es inoportuna. Ha enfermo.) ce 44 dias que estamos reunidos en este recinto, y veo que aun faltan mas de 60 Sres. Procur…</t>
  </si>
  <si>
    <t>Voy, Palarea</t>
  </si>
  <si>
    <t>Palarea Voy</t>
  </si>
  <si>
    <t>…esta primera adición. el consejo de disciplina lo hará presente á S. M , cuando lo crea necesario.” Respecto de la segunda dijo también en su apoyo La comisión opina que podría intercalarse como 5.a clase de las penas de este El Sr. Palarea-. «Voy á ver si soy mas feliz en esta segunda adición. modo. «Privación de empleo por S. M., á petición dei consejo de disciplina, Én el día hay individuos en la Milicia urbana que pasan de los cincuenta años, exponiendo este los motivos.” y que hao sido recomendados varias veces por sus servicios: en ade…</t>
  </si>
  <si>
    <t>Voyer</t>
  </si>
  <si>
    <t>…y termina diciendo que espera oir en gobierno de las facciones que tanta osadía ostentan- No podemos ocultar á la Cámara que esto ha sido una calumnia. V. M. que los habitantes de algunos departamentos del Oeste viven en conti El Sr. Voyer d'Argenson manifiesta sucintamente que^eLúnico fin de la so nuo desasosiego por*] o* delitos que allí se cometen, y por el grave desorden en ciedad de loi Derechos del hombre al publicar la declaffacion, es proclamar el que aquellos se encuentran-, la situación de aquellas desgraciadas comarcas lla…</t>
  </si>
  <si>
    <t>Vrliamil, Francisco</t>
  </si>
  <si>
    <t>Francisco Vrliamil</t>
  </si>
  <si>
    <t>…de los partidos judiciales establecidos últimamente , y quitada- chez y D.. Ramón Tajonera; en trigonometría esférica D. Jo&gt;é Ruibal, D. An la monstruosidad de que AI monte, que está á un extremo de la provincia, de gel Hernando, D. Francisco Vrliamil, j dichos D. Miguel Rúa, D. Gervasio pendiese de Ayamonte , que está al opuesto en este ramo. En su virtud , siendo Araujo, D. Pablo Carcafio, D. Andrés de Castro, D. Pedro y D. Robustta— tejs los partidos judiciales de estacha sido la distribución muy fácil y sencilla, no Pequeño, D. José Sánchez…</t>
  </si>
  <si>
    <t>VsipufioijiD', Juan</t>
  </si>
  <si>
    <t>Juan VsipufioijiD'</t>
  </si>
  <si>
    <t>…parte de los individuos de su ayuntamiento, Perales de Tajufia. l.° á 7 Agosto.. 000 00 3 ha encostrado sin embargo un gran consuelo en los tres regidores, síndico y diputado D. Befnabé Clararana, D. José Soler, D. Félix Giménez, D. Juan VsipufioijiD'; ilVgqstWrGitbert (este ha sido victima ¿le la epidemia), y Don Ambite................ S Agosto.......... 22 00 6 Manuel Botca, Secretario, que con el gobernador presidente permanecieron fir mes enau puéiroi, dando camello un ejemplo de patriotismo digno de elogio y de reooMpeosau Estos beneméritos…</t>
  </si>
  <si>
    <t>Vtena</t>
  </si>
  <si>
    <t>…ro del secretario privado de la Reina de Inglaterra es falso, y mucho mu AUSTRIA. lo que afiade del órente que va á leerte ¡»E1 correo despachado por el duque de Wellington á.air Roberto Peel i Florencia, fue el primero que dió i lord Vtena 5, dt Noviembre. Grandvüle la noticia dé la mudanza del ministerio ingles. Este correo, que es secretario privado de la Reina, está encargado por S. M. de enterar á sir Ro . Omscbonstaqcas independientes de las de la Europa Occidental deci berto Peel de la naturaleza de la nueva combinación de gabi…</t>
  </si>
  <si>
    <t>Vtsedo</t>
  </si>
  <si>
    <t>…que lo mas acertado será aprobar el artículo propuesto existente y la que ha de crearse. Con respecto á los puntos ?n que aun no por' el Gobierno.” 1 existe la Milicia, la comisión se conforma con el dictámen del Gobierno, sin EI Sr. Vtsedo-, «Me veo precisado á deshacer otra equivocación del señor mas diferencia que la de proponer se haga el alistamiento por una comisión Secretario'del Despacho. La comisión no propone que los consejos de provin compuesta de concejales y de mayores contribuyentes, en vez de serlo por el cia intervengan…</t>
  </si>
  <si>
    <t>Vuestra</t>
  </si>
  <si>
    <t>…se encargue la mayor vigilancia á los empleados en las puertas y Reposiciones á S. M. la Retísa Gobernadora. I roiidai cdn sujéciott á responsabilidad. 2.a Que se prohíba que dentro de la circunferencia de las murallas, casetas, Señora: Vuestra audiencia de Cariarías, abatida por el Olas profundo senti- I de resguirdo ó cercas de las capitales y puertos habilitados, se registre ni allane miento, eleva á t. R. P. de V- M. con el mayor respeto esta débil expresión I por el resguardo á pretexto de buscar contrabando, ninguna casa ni almacén,…</t>
  </si>
  <si>
    <t>Vuestro</t>
  </si>
  <si>
    <t>…una palabra, los asuntos de Africa van lo mejor posible: no creo que teligentes, los cuales aseguran que hay existencias del año anterior. en ninguna época hayan estado los indígenas tan bien dispuestos como en la actualidad.=Sr. mariscal^:Vuestro humilde y obediente servidor, el tenicato general comandante interino del cuerpo de ocupación de Africa, VoiioL De los estados sanitarios y necrológicos últimamente recibidos de la Haba na, resulta que á pesar de haber aparecido d cólera— morbo en aquella ciudad en el año próximo pasado, en el hosp…</t>
  </si>
  <si>
    <t>…á señalado actualmente por su mane ral-=J June Parcel , síndico personen} jo, responsabilidad y gastos, cuando sean parciales los arriendos, ó dichos ro mos se adtmintstren, i&gt; cuando ie* de cuenta y obligación de los telendos ad Señora: Vuestro corregidor y ayuntamiento de 1» villa de Torrifos no^pue ministradores el‘recaudar los valores, y el recibir bajo su responsabilidad las de pasar en silencio su lealtad y decjwon cuando todas las autoridades y pueblo» 'fianzas de Iris arrendatarios , pites en tal caso deben ser aquellos considerado…</t>
  </si>
  <si>
    <t>Vuestros</t>
  </si>
  <si>
    <t>…unciado por S. M. la RssMjí Go- de la monarquía, y sostenida por la voluntad manifiesta de la nación. ¡remadora en la Sesión Regia del 24 de Julio de 1834- «Natural es también y aun necesario que después de untas desgracia como •«Señora: Vuestros fieles súbditos los Proceres del reino vienen á los pies sucesivamente fia ex per. mentado la España en pocos años, no sea alhagüeño del Trono á presentar á la Reina su Señora Doña Isabel ii el homenage de el cuadro de su situación interior. i su lealtad y de su obediencia; y á V. M. como Gobernado…</t>
  </si>
  <si>
    <t>VÜfelbá, Julián</t>
  </si>
  <si>
    <t>Julián VÜfelbá</t>
  </si>
  <si>
    <t>…vido raoirer entre á «-«jujure fe oems fe ma ; y ¡ñafia ?jüoú ora fe nortexa fe que una facción fe 3,500 hombres peñsrreet q»p^V D-Antonio Gañérrez, y aonha posa c ~ r xl ujrsmul Escalera, quien con su pequeña columna estaba te i D. Julián VÜfelbá, oficial 1.® de fe seuiuá «fe fe seca y* repirgrii ea ri pasco fe Bacefe, la Milicia urbana quedaba ya sobre las en el Gmcjp HoL nemm+ v rii providencias para su defensa. A la$v Bu ananr fixmxafe ex fe vieja Goda fe tropa fe los buques en número de En coffiidendon al distinguido mérito coetaido «9…</t>
  </si>
  <si>
    <t>Vzldés, Gerónimo</t>
  </si>
  <si>
    <t>Gerónimo Vzldés</t>
  </si>
  <si>
    <t>…se dignará mandar se haga de ellos efectiva, y muy pocos enfermos en la disponible. una mención honorífica. Dios guarde a V. E. muchos años. Va Dios guarde á V- E. muchos años. Cuartel general de la Guar- lencia ut supram Excmo. Sr. = Gerónimo Vzldés.</t>
  </si>
  <si>
    <t>Waí, Eugenia Pigoatell</t>
  </si>
  <si>
    <t>Eugenia Pigoatell Waí</t>
  </si>
  <si>
    <t>….. 1000_ quisitos .que pfevieEe ut;l feglimeotQ; .acto cqntínuo, el Excmo. Sr. PcesicktiU .Excma. Sra. Condesa de Fuentes f viuda, por ahora........................... 1000 dió por concluida esta segunda junta preparatoria. _$rá. Doña Eugenia Pigoatell Waí, hija de dicha Excma. Sra. con desa de Fuentes. ........................................................................................... soo r, estaj4ento.de procuradores. t.Ün caballero-que no dejó su nombre............................ ..................... 60' I ‘ c’ ' ............... í&gt;. M. F…</t>
  </si>
  <si>
    <t>Waldén, Howard</t>
  </si>
  <si>
    <t>Howard Waldén</t>
  </si>
  <si>
    <t>…ré, rogando á la Cámara •.Milores y Señora: que tome en consideración el patronato de ia Iglesia de Escocia. xtLlamándoos otra vez al desempeño de vuestras altas funciona, descanso -------Ayer salió de esta capital para Lisboa el lord Howard Waldén con él [pbñasncnte-en vuestro zelo y solicitud, en vuestra adhesión sincera á ios inte- carácter de ministro plenipotenciario cerca de aquella corte, | tese públicos, y¡.cn vuestra firmeza en sostener sobre sus antiguos cimientos la FRAKCrA. | cofia litación «leí Estado. - »Estas cualidades han dis…</t>
  </si>
  <si>
    <t>Wamqliffe</t>
  </si>
  <si>
    <t>…"de la .carta que se H»uy bien conservados. Habiá^eo uno de ellos trn'sable',tarcomldo;qlof la oxipedia. dacion. y qna urna dé tierra en extremo elegante por su forma, adornada con Lord ¡Ellenijorough habla eneltnistno sentido de lord Wamqliffe, y tum- muchas molHuras en relieve perfectamente ejecutadas, que no reclama la presentacion dé la carta, cree que en principio genersí^dé}» Estosisepulcros deben- pertenecer á tiempos muy remotos, si se ha de juz manifestarse i lá Cámara. gar por la forma y belleza del vaso que se ha encontrado en…</t>
  </si>
  <si>
    <t>Wanufifel, José Patricio</t>
  </si>
  <si>
    <t>José Patricio Wanufifel</t>
  </si>
  <si>
    <t>…entrega de sus bienes, con apercibimiento. —Se cita por termino de 20 dias i todas Las personas- que puedan tener derecho £ bou a i&gt;B comercio.__Cotización de ayer á las tres de la tarde. los bienes que han quedado por muerte de D. José Patricio Wanufifel, vecino y agen,- te de negocios que fue de esta corte, y de su esposa doña Angela García, para que en el indicado término acudan £ deducirle en el juzgado del Soñor López Pelegrin, te EFECTOS PUBLICOS. niente corregidor de esta villa, y por la escribanía de Romeral; con apercibimiento de que no ver…</t>
  </si>
  <si>
    <t>WaracliSe</t>
  </si>
  <si>
    <t>…pena de muerte- Despoes de ha ber hablado algunos señores, la Cámara aprobó la segunda lectura, y el bilí Belgrado 4 de Julio. pasó i la comisión respectiva. Sabemos per el último correo de Constantinopla qué-una .parte de la «- Lord WaracliSe se levanta para presentar su mocion, con el objeto de cuadra¿inglesa se baila en el puerto de Vurla, y que tiene intención de-dete que se comunique la correspondencia que ha mediado entre el conde Gres- r nerse allí algún tiempo, como resulta de la compra de víveres hecha para la el lord lugar-teni…</t>
  </si>
  <si>
    <t>Warren</t>
  </si>
  <si>
    <t>…mino estrecho entre Montet y Rocíes una moneda de oro con la efigie de Se Suena Esperanza y de la costa occidental de Africa. Va á reemplazar al vice bastian , Rey de Portugal. Este descubrimiento excitó su curiosidad, y poco des almirante Warren, cuyo servicio temporal ha concluido. pués encontró cinco de Felipe n, Rey de España, otra del Rey D. Sebastian, -dotdeFrancisco i con las arma» de Francia, y una que tenia en el canto Carlos ____ El teniente de la armada Rose ha apresado^ á la salida del rio CaTabar á imperator, en el centro Liber…</t>
  </si>
  <si>
    <t>Wasa, Oustavo</t>
  </si>
  <si>
    <t>Oustavo Wasa</t>
  </si>
  <si>
    <t>…annove- libertad, patria y la vida en sacrificio, dejó por legado á su inconsolable viu rianós, sardos y bá varos,* concurrió la Duquesa María Luisa de Parma, el da nuestra gratitud y nuestra generosidad! (/dj Duque de Módena, el príncipe Oustavo Wasa, hijo del ex~Rey Oustavo iv de Suecia, hoy el coronel Gustawson, y el general Cubieres. En Berlín es considerable la afluencia de extrangeros. El príncipe Mauro* cordato, embajador de Grecia en Munich, llegó el 14, y piensa permanecer aquí algún tiempo, y lo mismo el conde Luis de Irbach-Schoenberg…</t>
  </si>
  <si>
    <t>Washington</t>
  </si>
  <si>
    <t>…frecer este asiló i sos- compatriotas dispersos en Eu— 1* i 7 Setlenib. 1 1"’ n:s " ’. do sope, que prosita acaso se verán 'en la precisión de seguirlos. Este plan ha 25 Air 4 7 Sét: 81- ’v ’j1 42 ■ 8 sido «probado;''han!-enviado diputado» ¿'Washington para solicitar del Con4 31 Ag. 4 7 Set. 17 ' ’ 6 i getaosquu-lea conceda' tierras y los'medios necesarios para fundar una coloniai l.° á 7 Sét.,.. '. 84 ' V ? ' 4 : No hay duda que*esta petición obtendrá Un favorable resultado; ya se han •bipseó jas lstas de suscripción, en las&lt;Cuáles se distinguen…</t>
  </si>
  <si>
    <t>Wattel, P</t>
  </si>
  <si>
    <t>P Wattel</t>
  </si>
  <si>
    <t>…as relaciones comerciales é industriales que pueden entablarse cón el' Egip-, to por Alejandría ó por otros puntos. ■ -’T r Eos horribles atentados cometidos en esta corte el dia 17 del cor Un decreto de la misma fecha concede al Sr. P. Wattel, armador cn Amriente produjeron en el ánimo de los honrados Milicianos urbanós beres, una prima de 33 francos para enviar una expedición á ¡Argel • can un de Madrid la pundonorosa sensa-cion propia de todos los españoles, navio de 60 toneladas. - , Se ha concedido esta prima á M. Wattel bajo las mi…</t>
  </si>
  <si>
    <t>Wavas, Je las</t>
  </si>
  <si>
    <t>Je las Wavas</t>
  </si>
  <si>
    <t>…4 las que ahora han curador tiene do* medios para eximirse de serlo; el primero decir: «no tengo excitado iu risa del Estamento y del público.” la renta necesaria para ello;” segundo, manifestar su voluntad de no ad.-b.-r El S*\ conde Je las Wavas: «No puedo ser sospechoso en esta materia, --este Cargo, que no =.e debe coartar. Pero aquí no estamos en e-re caso: aquí c* porque el Estamento sabe, por habérmelo oido varias veces, que mi opinión Sr. Procurador de que se trata presenta unas razones que el E-Umc-ito hi man es dar una completa lat…</t>
  </si>
  <si>
    <t>Wc, Ro</t>
  </si>
  <si>
    <t>Ro Wc</t>
  </si>
  <si>
    <t>…eljlé mte ítklm(te_liene l4 rreota que en él se exige para se rProcurador &gt; í *e empeñasen obstinadamente en decir qoe el título 5.° no habla de proyectos ’ GórteS;: y no- hay necesidad de dar ninguna: interpretación l ia ley. El Sr. Ro ^ Wc^ w 9*;»bb e«presimeiite de estos provectos/y ea mero Alpuerite '(¡«Di una escritura^ pasada por la oficina de hipotecas , y pac términos bien claros.? Ademas, el artículo 55 dice (leyó); pero mas adelanta ■ ’let'Uato me Opongo aLdictámen de la comisión.” t ™ce qde ate proyecto 6 propuesta puede ser…</t>
  </si>
  <si>
    <t>We, Curios</t>
  </si>
  <si>
    <t>Curios We</t>
  </si>
  <si>
    <t>…ngeros de Grecia, es relativa a ios negocios de Todavía será menester velar sobre pasiones insensatas y culpables intrigas, Candía V Samo*. (Id.) que tienden á conmover el edificio social; pero i esto opondremos vuestra leal . El lord Curios We/íesley, hijo menor del duque de Wellington, está en cooperación, la firmeza de los tribunales, la actividad de U administración pú Beilin cn clase de ayudante del duque de Cumberland. blica, el denuedo y patriotismo de la guardia nacional y del ejército, y en fui, Purgue que dentro de unos dias sal…</t>
  </si>
  <si>
    <t>Weccchea, Aíariano</t>
  </si>
  <si>
    <t>Aíariano Weccchea</t>
  </si>
  <si>
    <t>…y nuestro hor.or.rrForUicza de la independencia, Enera es loStpfsttiQj tres reales en la española y 5 en la extranjera: 5.' Y 22 de 1834-=Luis José Orbegoso. que por eít¿ derecho se despachen las partirlas de pítima de la pro- El general Aíariano Weccchea á las tropas €eles. piedad TeH. Ramón Cabello y D. Manuel Corvera, cancelándose las obligaciones que tengan presentadas. De Real orden ln comunico Soldados: Retirado en mi casa no pensaba va en empunir la espada cre á V. So. para que dispongan su ci mplimiento. Dios c'te. Madrid ti yendo que la rep…</t>
  </si>
  <si>
    <t>Wefterstoof</t>
  </si>
  <si>
    <t>lisa ■ . . - -Elatmiraiite lSriíSeSaramate* ha;iec¡^abaiW.¿^t^i|y conde Wefterstoof, res y Mr.Humannhan tenido Éi; honrare Mr^recibMos.pof efJEéy. / ministro del Rey de Suec-ia, en .que de parte de S. M. le envía un retcatód-e : /'Hoy el duque de Bassan&lt;x/,nhnist¿&gt;^de!Í Jhtiridr?, |r ,|efcril Bemard, cuerpo entero del Rey (Cirios Jiiáft por los emineptes servicios,jqsfe' prestéjíh…</t>
  </si>
  <si>
    <t>WelILngton</t>
  </si>
  <si>
    <t>…e ministerio se le destina; pero según notisu augusta esposa , y de toda la familia Real. cías, será nombrado canciller del Echiquicr. El principe Guillermo, hermano del Rey, ha llegado también de Ma Ün periódico dice, que cuando lord WelILngton fue llamado á Brighton guncia. para formar un nuevo ministerio, tuvo una conferencia con S. M., que duró El Rey ha nombrado al gentilhombre y consejero de legación el barón dos horas. Schoultz d'Archezaden embajador extraordinario y ministro plenipotenciario El Morning Ckronicle asegura que la part…</t>
  </si>
  <si>
    <t>Wellingion</t>
  </si>
  <si>
    <t>…ciesen esas conmociones parciales que han imposible la recolección de los diezmos, aun en Ja parte protestante y acomo agitado á veces diferentes puntos dél imperio, y á las cuales procura dar nuevo dada del país. En esta ocasión lord Wellingion ha subordinado su juicio al fu~ ' incremento la facción que todavía aspira á restablecer el sistema ¿ influencia nalistno de sus aliados. -que Ja nación reprobó en Abril de 1831. La opinión pública, sin embargo, los El Cxlqbe dice que no cree se adopte desde luego alguna medida de re sentimientos y…</t>
  </si>
  <si>
    <t>Wellington</t>
  </si>
  <si>
    <t>…entrar ellos mismos en pretextando que unido por sus opiniones á los whigs y al ministerio de lord el camino de las reformas. Grey ¡ se hallaría en una posición falsa y desagradable, si aceptara el empleo »No debemos olvidar que lord .Wellington fue el que promovió la eman . de embajador cerca de un gabinete tory; que conocía peisonalmente, es cierto, cipación de los católicos, después de haberse opuesto i ella en el ministerio al duque de Wellington, pero que las relaciones polínicas eran en un todo de Canning. No hay política alguna que…</t>
  </si>
  <si>
    <t>…44¿- Renuna obra titulada Panteón del ejército prusiano, de la cual se han. publicado ta perpetra&lt;da.id. 43|. Cortes, 4-9#' ya dos tomos. (Corresp. de Hambttrgo,') . ~' * v Ayet tarde pasó por esta capital el correo que lleva al lord Wellington la contestación de sir R. Peel. Lo único que se ha podido averiguar , es que Inglaterra. sir R. Peél regresa á Inglaterra, y que estará en París mañana ó pasado ma ñana. QD. de los Debates^ Léndrts 2 de Diciembre. Fondos publicar. Tres por 100 consolidados 9l|. . *L . .... i Muchos padres ignoran ó ha…</t>
  </si>
  <si>
    <t>…ó con los del Estado en general ; mas á pesar mió nisterio. El lenguage de los periódicos whigs es notable por su moderación: me- veo obligado á añadir que en esta circunstancia los términos de la petición ño desesperan de ver á lord Wellington adoptar una política conforme á los llevan, el carácter de menoscabar el. ejercicio de una de las mas importantes votos del pais , y declaran que esperarán el resultado de sus actos para juzgar prerogatívas de S. M., cual es la de elegir libremente sus ministros y los con- - de su administración. a…</t>
  </si>
  <si>
    <t>Wersiziere</t>
  </si>
  <si>
    <t>…sin haber precedido de los alborotos de León. la autorización del gobierno, DO solamente fue castigado el prelado, sino que Continúa la discusión del presupuesto del ministerio de Marida', y dé una la bula fue revocada. El cura y diputado Wersiziere respondió que semejante prpposicion.de M. Arago, que tiene por objeto que np, se .conceda, un nailon acontecimiento era posible en Austria, pero no en Baviera; en donde el clero para comprar máquinas de vapor, sino bajo la condición de que sean fabrica no traspasa nunca los límites que le asegura l…</t>
  </si>
  <si>
    <t>Werthen</t>
  </si>
  <si>
    <t>…la propuesta del barón Sá, respec gunas joven.* aldeanas. Habiéndosele un dia caído á S. M. de la mano un ra to »»á la admisión de cursos particulares ganados por los estudiantes que con las millete que acababan de ofrecerla, el Sr. Werthen, embajador de Lrtuia, que armas en La mano han combatido contra la usurpación.” se hallaba presente, ie recogió y presentó á la Reina, diciendo: «El pie de Algunos Sres. Pares fueron de dictamen que siendo corto este informe, "V. M. ha marchitado un pocp esta flor de lis." «Señor barón, respondió l…</t>
  </si>
  <si>
    <t>Wes, Jorge T</t>
  </si>
  <si>
    <t>Jorge T Wes</t>
  </si>
  <si>
    <t>…5 cía dé la misma ciudadt^vucs ademas de 6ü(J ó 7u0 raciones qué diariamente re- teria necesario hacer uo detenido análisis de filias, locual no admiren los estrechos li«* asarna,meorria con dinero áfos enfermos; y su presidente D. Jorge T. Wes- mi tes de un catalizo; y-asi-hasté observar que-dotado el aurorde una ardiente fantasía, y cultivada ademas -su razón con buenos estudios, no podía menos de hacerse un lugar Í^nnthlmTa&gt;o&lt;on*eiito-con-plg«r la parte por que-se había interesado en la sus- distinguido en el -Parnaso español, enriqueci…</t>
  </si>
  <si>
    <t>Wessenberg</t>
  </si>
  <si>
    <t>…el gran auxilio de este vehículo de la naturaleza, dejándo Se dice entre tas personas de rango y en los saloges diplomáticos que ni los obstruir, y que derramen sus aguas inútilmente, y 3un á veces con grave el barón Bulow fít el barón Wessenberg reasumirán sus funciones de repre perjuicio de fértiles campiñas, que temiendo siempre una inundación^ ó verse sentantes cerca de nuestra corte. El barón Wessenberg, aunque ya lleva tres cubiertas de arena, permanecen abandonadas. Interin no tengamos caminos y años de residencia en Inglaterra, solo…</t>
  </si>
  <si>
    <t>…tos que pudiera un casuista para probar que no es lícito sin violar su 1 y " El príncipe de Talleyrand y la duquesa de Dino han dado un gran con conqiencia y manchar su honor el juramento á Luis Felipe, mientras conspiran vite al barón "Wessenberg, condesa Baltliyany, condesa de Tankcrvillc, lady contra au gobierno, ó le denuncian como usurpador. Por otra parte dos dipu Burghcrsh , sir H. Halford, M. de Bacourt y á otras personas principales. S. E-, tados, M-. d'Argenson y M. de Puyraveaú, hicieran su confesión republicana en aunque sufrió a…</t>
  </si>
  <si>
    <t>Westroinsterel</t>
  </si>
  <si>
    <t>…ral. 2. a Todas las leyes y providencias dictadas sobré reformas religiosas, y de Cuando se prorogó el: Parlamento; fue convocado para hallarte’reunido éh más particulares que tienden 4 traspasar, los límite; de _ia.Coastttm.-ion general Westroinsterel 23 dé Octubre ¡ por consiguiente‘se reunirá eff Westrninstétié'h y particular de este Estado, se tendrán por de ningún valor ni efecto. .dicho dia , y para estefe£ecto fic ha -hecho una sola- de dos salas de comisiones;de 3. a Se desconoce al actual congreso, senado y gobernador del Estado, y la Cá…</t>
  </si>
  <si>
    <t>Weürngton</t>
  </si>
  <si>
    <t>…ada; cL hilo de lana, cualquiera l ord Hill, sir Jl. Hardinge , lord Ellemboroug, el conde Rosslyn y el quesea/ teñido ó no, paga 6 talen; los tejfdos de lana, de lana y pelo de embajador de Prusía han visitado esta mañana (29) á lord Weürngton en la se otros animales, y mezclados con hiló, de lino, 20 talen. cretaria riel «misterio de lo Interior. El hierro y el acero no pagan nada; el hierro fundido y elaborado, co mo los hornos, las parrillas, las láminas flte. pagan un talar) la quincallería, __ELTimes dice que la atención pública se…</t>
  </si>
  <si>
    <t>Whamcliffe</t>
  </si>
  <si>
    <t>…M. Sir Roberto Peel, primer lord de la tesorería y canciller del echiquief. PRUSIA.___^ duque de Negocios extrangeros. ministro de V/ellington, El ■ ... j ' f. . _ Mr. ministro de lo Interior. Goulburn, PerUn 10 de^Diciembre. '* Lord Whamcliffe, lord del selló jirrváda. • ... _ •__ h . Mr. Alejandro Baring, presidente de la junta de comercia es El Rejr acaba de conferir d título~cle consejero de legación 4 Mr.Maurí- El cófide de Rosslyn, jireridénte del-consejó; cio Jordán, censor de lá Gaceta de Estado de Prutia, y secretario íntimo Str…</t>
  </si>
  <si>
    <t>Wharncliffc</t>
  </si>
  <si>
    <t>…sar de su mayor instrucción 4 ésta Cíente de las de Lóndres, donde es imposible que entre una persona ctAjuie* era la cansa de » inmoralidad, sin examinar que también contienen mayor ra que no salga contaminada : por lo mismo él (lord Wharncliffc) proponía piinvrrt de faabitotn qúe Lbxgiúd&amp; : tm mensage á S. M. para que se dignase nombra* una comisión que examinan En general debe ofeervane que la poblactoo de Inglaterra hi crecido eit» do el estado de las cárceles y casas de corrección, las clases de reos y reglamcp- ordinaamertc , y que en…</t>
  </si>
  <si>
    <t>Wharncliffe</t>
  </si>
  <si>
    <t>…no. áí perjurio, y habituado los hombres á cometer todo género de maldades. Lo Lord Melbourne dijo que convenía en casi todas las observaciones del no mismo diremos de Im leyes demasiado crueles que imponían.con harta frecuen ble lord Wharncliffe acerca de una cuestión en que se interesaba el bienestar cia la pota de muerte: d pueblo »e acostumbró á estás escenas de sangre, miró de 1a sociedad; pero que los crímenes eran de todos los tiempos, y que en vana con -menas borrar coliga» tan bárbaros, y suceuvamcate se pesvitierozf los las Dacion…</t>
  </si>
  <si>
    <t>Wharnd</t>
  </si>
  <si>
    <t>…a hbtpria de hombies de gran talento y sabiduría, que no por eso estuvieron Mucho se ha hablado del indujo de la instrucción en las clases bajas, pero exentos de grandes viejo»: bomsiitteris gratéis imbutus, fanrim mentem non éí (lord Wharnd tfe) debía decir que los efectos no habían correspondido á bu¿ster*i{. Si los principios que se enseñan al pueblo tienden á levantarte sobre Jas esperanzas; y aunque estaba lejos de desechar la ilustración como principio' et grado que ocupa en la sociedad, y á infundirle aversión al orden y al em f…</t>
  </si>
  <si>
    <t>Wicklow</t>
  </si>
  <si>
    <t>…s, y con qüé acuerdo se le habian conferido facultades parecidas á la» de la dictadura romana, para sobreponerse á todas las leyes y á todas las insti ^ Oficio recibido en el ministerio de ló Interior. tuciones de Inglaterra. El (lord 'Wicklow) no pedia comprender cómo el no ble Conde que está á la cabeza del gobierno, y el noble Marques presidenta ' Eterno. Sr.: S. M. la Reina nuestra Señora Doña Isabel rt, y del Consejo apoyaban semejantes medidas, ni cómo declaraban no solo la com S. M. la Reina Gobernadora han llegado felizmente á es…</t>
  </si>
  <si>
    <t>Widenmam, Juan Federico Guillermo</t>
  </si>
  <si>
    <t>Juan Federico Guillermo Widenmam</t>
  </si>
  <si>
    <t>…ega: maiz, de 20 á 26 id.: judías, de, ticia de las ediciones de su obra, y además un prólogo en que se'manifiesta el mérito de la que se anuncia sobre todas las publicadas. 48 á 54 ¡d. -■■-—La orictognosia, escrita en alemán por D. Juan Federico Guillermo Widenmam, ’ Larrilo. Trigo, á 40 rs- fanega: cebada, á 10 rs. id.: maiz, á 20 id.: vi-: y traducida por D. Cristiano Herrgen» Pos tomos en 8.° mayor impresos de orden su no, á 22 rs. la cántara: judías, á 36 id. perior en 1797, k 30 rs. /ama y 45 pasta común. La presenre-obra que contiene el sis tema mas mo…</t>
  </si>
  <si>
    <t>Wieling, G A</t>
  </si>
  <si>
    <t>G A Wieling</t>
  </si>
  <si>
    <t>…o. han de usar exactamente las subdelegaciones de provincia para toda su corres '‘Excmo. Sr.: Enterada S. M. la Reina Gobernadora de una exposición en pondencia, disponiendo se grabe en alto sobre latón, y que se ponga á cada que D. G. A. Wieling y compañía, de Alicante, solicita se declare que los uno el nombre de la respectiva provincia. frutos del país que vayan por mar de tránsito para el extrangero tengan el mis De Real orden lo comunico á V. para su inteligencia y cumplimiento, mo tiempo de depósito doméstico que los que se conducen por…</t>
  </si>
  <si>
    <t>Williams</t>
  </si>
  <si>
    <t>…Cámara, discute si convendrá dar publicidad' á la De Mr. Ewart: que se igualen ios derechos sobre los productos de la In lista de las votaciones nominales. dia oriental, con los.que pagan los productos de las demas colonias. Del coronel 'Williams: que por medio.dé un respetuoso mensage al Rey, Del mismo: que sea abolida ia pena capital cobtra los robador de cartas, te le suplique qué los qué han de recibir grados en las universidades de Oxford y contra el sacrilegio. y de Cambridge no sean obligados á suscribir á los tres artículos del cáno…</t>
  </si>
  <si>
    <t>Winchelsea</t>
  </si>
  <si>
    <t>…ones del pais contra el espíritu de innovación y reforma que pulula por todas partes.” INGLATERRA. Todavía iba á continuar el orador, cuando levantándose el conde RádIdndres 29 de Julio. ñor, y llamándole al orden, dijo: el noble conde Winchelsea había adunda Se ha celebrado esta mañana una asamblea de miembros de la Cámara de do que se ljmitaria á hacer unas preguntas muy breves, .y ha pronunciado un los Comunes para conferenciar acerca del bilí de diezmos irlandeses, cuya larguísimo discurso: ya ha recibido contestación, y no obstante qui…</t>
  </si>
  <si>
    <t>Windham, Grandville y Mr</t>
  </si>
  <si>
    <t>Grandville y Mr Windham</t>
  </si>
  <si>
    <t>…yecto se ve que no están comprendidos en la am época, como uno de los lores de la tesorería. Mas tarde entró en el ministerio nistía los ministros presos en el castillo de Ham, por ser su crimen anterior á de Pitt, juntamente con lord Grandville y Mr. Windham, y fue primer lord la fecha del 29 de J ulio. Se dice también que en ningún caso el conde de Peydel almirantazgo, puesto que ocupó con honor, desde L794 hasta 1801. Mien ronnet admitiría la amnistía, porque siempre insiste en que se le oiga en jus tras estuvo al frente de la marina británica se dis…</t>
  </si>
  <si>
    <t>Wínford</t>
  </si>
  <si>
    <t>…ción secreta, y por 73 votos contra 36 INGLATERRA* queda aprobado el todo de la ley. El presidente levanta la sesión. ‘ T.6ndres 8 de Afarzó. IDEM DE ios diputados—Sesión de ídem. En la sesión que celebró ayer la Cámara alta dijo lord Wínford que pefl-* El Presidente réCuerda que en la sesión de ayer quedó pendiente la reso I saba hacer una mocion para la mas exacta observancia del domingo; pero que lución relativa á La solicitud del Sr. Salverte; y añide que para conservar ile [sabedor de que se le había anticipado ano de sus nobles co…</t>
  </si>
  <si>
    <t>WJriií</t>
  </si>
  <si>
    <t>•, Tfcfcíftt prutfdg6ut&lt;*-4el lord WJriií?HlíffV uno do; lo* Pan» nrnrácaC 1&amp;S7 r«m«lé dbdktiav éirrnbejds, JfljScjGitoaio 1*tí#,CfafaSet de Inglaterra, se ha casado ea estos días cu k¡i¿lesia de MafjrJebooe. con .lí? “■ jJrtreoG* df.ías.Ilanaadas aduanasRcaie*, establecidas por la nieta de Desaliñes, uno de los generales negros que dirigi…</t>
  </si>
  <si>
    <t>WLa, Santiago</t>
  </si>
  <si>
    <t>Santiago WLa</t>
  </si>
  <si>
    <t>…rno falu é lo que establece la Carta, que quiere que el clero sea De nuestra parte no hemos tenido pérdida, y si la satisfacción de haber he pagaÜd por el Ruado*” _ rido un faccioso y muerto otro por el subteniente de la guemlig' D. Santiago WLa libertad, dice el orador, de hacer confirmar su hijo y de presentarlo Cabria , que cogiendo un fusil de uno de sus soldados tuvo la'siiérte de acertar en la primera comunica, ea para una gran ana de ciudadanos Crapcfief de mu- le. El capitán D. Juan Cuena, aunque según las instrucciones de V. E. me…</t>
  </si>
  <si>
    <t>Woronsoíf</t>
  </si>
  <si>
    <t>…se tiene noticia de que en estos parages hay mu Odesa 2i de Octubre. chas corrientes y un gran número de presas, que en otro tiempo sirvieron para distribuir las aguas con abundancia, aunque se asegura que estos obstáculos no El, conde Woronsoíf, gobernador general de la Nueva Rusia y de Bessa- son de temer sino en tiempo de sequía-, pn que mengua el caudal del rio. rabia, ha vuelto el 14 deS. Petersburgo, y se ha trasladado á la Crimea el 16. El capitán Chesney se propone dejar á Bir en el mes de Mayó con los (Mercurio de Suevia.') barcos…</t>
  </si>
  <si>
    <t>Woronzow</t>
  </si>
  <si>
    <t>…efiriéndose á noticias de Odesa del 22 9.° y 10 concebidos en esto» términos: del pasado, dice que de resultas de un correo que llegó de S. Petersburgo, el Art. 9.° «Lo dispuesto en los artículos que anteceden se aplica á las sus conde Woronzow salió para Zkatherinoslaw, donde el hambre ha ocasionado tituciones hechas en virtud de la ley de 17 de Mayo de 1826.” sucesos de bastante seriedad. Art. 10. «Se deroga todo lo que sea contrario á la presente ley, el acta im El mismo periódico refiere que una compañía inglesa ha hecho proposicio pe…</t>
  </si>
  <si>
    <t>Wrede, Gustavo</t>
  </si>
  <si>
    <t>Gustavo Wrede</t>
  </si>
  <si>
    <t>…que se alterase la paz Casas consistoriales de Gerona 6 Enero de 1834* — Señora. — A L. R. P. general de Europa. de V* M*= El gobernador presidente Josef Marcos de Saíz. = Narciso de Bur .. Escriben de Grecia que ha sido preso el príncipe Gustavo Wrede, que gués, regidor. = Francisco Escarrá, iegidor.=rLuis Wontul, regidor. = Pio Boíx está allí desde 1826, por cómplice en la conspiración. Es hi^b del célebre ma y Fraixel, regidor.=.Antonio Oliva, regidor. =Joscf Llach , diputado. =Jaime riscal de este nombre. Tricoupi, último ministro de Estado,…</t>
  </si>
  <si>
    <t>Wright</t>
  </si>
  <si>
    <t>…a en la ma\or centurión 3. ° Esta Excepción, hecha i las reglas generales de la administración, du en aquel país. rará solo'áo queViufareñ laa círcunstancias extraordinarias que obligan á hace;- En el Perú, otro o6cial ingles, el general Wright , reunió 500 hombres I Ja', y-pasadas las cuales corresponderán exclusivamente á ios gefes civiles Us para ejecutar una revolución; pero fue batido por 1W fuerzas que envío Gaj'atpíbucáones de la policía, que no pueden segregarse de las demas atribuciones marra contra el. Sin embargo, se asegura qu…</t>
  </si>
  <si>
    <t>Wrotham</t>
  </si>
  <si>
    <t>…on , sir F. Bourdett con el de lord Foremar— .aprecio. ke , sir George Phillips con el de lord Sheldon, Mr. Hanburg Trac y con el 51 Ao habiendo postor que cubra este señalamiento se retasar,ín de lord Tracy , Mr, Rjgne con el de lord Wrotham, y Mr. Litleton con el las fincas, y hecho, se publicará otra vez el remate sirviendo de base de lord Tyddcsly. (Po/f.) la retasa. 4? Si en esta nueva subasta no hubiese postor que dé las dos ter __el mes actual han llegado á Londres 300 buques extrangeros ceras partes del último avalúo, tendrá ent…</t>
  </si>
  <si>
    <t>WsaenMdelJflSsttfo’VóAefe</t>
  </si>
  <si>
    <t>…ra eludir los mandatos del Monar ayijrrlmP^n inr írititrrrr bey á -«icrc^-disputaL.i^córpiia^ como Ja ca..# ra^po^jr^rsc del jpdicijdajtrono , para*pstar raasxercanoen ponenrqs7, nr'ponerse á lo en. qúé fajeíese^l A&amp;nar roclamar^\Rey. WsaenMdelJflSsttfo’VóAefe ñatoca ¿fdCdartótpU' rlcsgdfela jjcijg ( ¿pr ima^séri^ de^ptlNidaneSfo : en "un dia susy*^^^ jV Sigi/ícjñdg la jpos¿ _^ada por J^lbs en ¿paña, el Ferinstituciones ,suv entura, rilisifasilsespeTínzas’, &lt; ¡■yr^'WBnTdñíjpuéStCf qtífc ISrTSórtés rcdm3á2TgñTwá(frjd , jurS&amp;ft á*?u pri puerta á todo temor…</t>
  </si>
  <si>
    <t>Wtaitidife</t>
  </si>
  <si>
    <t>…o el noble Lord cófl el candor y sinceridad que le caracterízate y bay motivo de mtícrpw los wu ynrr» inuIruInT pero otros han preguntado con una especie de recónrcncion y de burla, «qué Lord finNqfaaa coádaye por rearar al noble lord Wtaitidife qae nt^te han hecho el clero, las escuela», las sociedades mecánica» y tantas otras insti ai modoo, dejando c—c amulo cu nauma del gofaiciaow :¡ tuciones peía reformar el carácter moral del pueblo2 Mejor hubiera sido eme* rarse ames de los obstáculo» que han tenido que vencerse, y comidera cunta "…</t>
  </si>
  <si>
    <t>Wylde</t>
  </si>
  <si>
    <t>…os aguadores de las fuentes sitas en el cuartel en que ocurra el deseo era ir á Hamburgo. Con motivo de alguna violencia manifestada, contra fuego. Si ftipse de consideración por su larga duración, asistirán to ellos, el teniente coronel Wylde fue á aquel pueblo para ampararlos con su protección. D. Miguel salió de la babía de Cascaes el 7 para Liorna, habiendodos los aguadores de las demas fuentes. sido acompañado por 300 soldados de la Reina ál dirigirse al lugar de su em 62. Los fontaneros suministrarán el agua necesaria á las fuentes…</t>
  </si>
  <si>
    <t>Xaaqia, Carita</t>
  </si>
  <si>
    <t>Carita Xaaqia</t>
  </si>
  <si>
    <t>….i* _ -. i • v \ ,f.í. rt; - ¿y.-.r.-í •_ en una discusibn;prevurlÍMuettns'¿e unailioni, para éscaStd aa babea de discutir 6 no; y lo mismo'sucedería rm» las pstii iiaisa.”- : ■■ ;. ■, i- vsrAVBirro ;sB ; «bBosb* mo&lt;?qkadokbs. £1 Sr. Carita -.’»Xaaqia« dé «¿ags^ailtiiilu coBVéajpS'CUCt' S.- S. en que ' pmxb presentataeralBstatnento tiiiitrn afgini ijpa f ile n)m18iilatii al que se *■•' • • ‘ ■'' ■■•i--J8hfc'ib¿&lt;®»í?Zá&lt;i:-ÍSí^M!ÍSrife'-.- • \i ' , discute, no obstame convengo en i .«"^fff*»rrl,"**r. r** ahora con haber exdtado ál Estamesto al Jau…</t>
  </si>
  <si>
    <t>Xael, Antonio</t>
  </si>
  <si>
    <t>Antonio Xael</t>
  </si>
  <si>
    <t>…endo una carga á la bayoneta. A esta jor ciosos , que todos pagaron doa la vida su osadía. nada gloriosa para las tmpacr que en ella tomaron parte, éorrespotidió otra por Nuestra bizarra infantería , í ls órdenes de su djgno gefe D. Antonio Xael ladó de Navarra, Lqs raerz?» reunidas al mando del brigadier Linares «alíe— place, 2.° comandante dei primer batallón del 3.° ligero, los cargó imsdiata rpü di Pamplona con dirección i la Bofunda en la madrugada del 18, y Ea- tamente al grito do jipa Isabbj. 11, avanzando a la bayoneta con tal denu…</t>
  </si>
  <si>
    <t>Xayona, Francisco Ra</t>
  </si>
  <si>
    <t>Francisco Ra Xayona</t>
  </si>
  <si>
    <t>…Lángreo, entraron en su ca -«Awaioa, pital , La villa de Sama , vitoreando al Pretendiente, según dije á V. E en mi Am*terdan&gt;, &gt; 00. París, 16-1. Cádk,l#4fb. Sevilla, i b. comunicación de 13 del mismo: perseguida activamente por D. Francisco Ra Xayona, 00. Alicante, á corto pla- Coruña, | d Valencia, par. queros, capitán de la compañía de seguridad, fue avistada el 12 alas inmediacio ©úrdeos,iHamburgo,00.00. Barcelona,xo, par. 4 ps.‘&amp;* Granada,Málaga, 4 lid.id. Zjragoza,Descuento $ ded. fletas nes del pueblo de Conforcos ¡ concejo de Aller, atra…</t>
  </si>
  <si>
    <t>Xferckx</t>
  </si>
  <si>
    <t>…, por 220 votos contra 79: después continúa la votación , y son electos Bruselas 20 de Diciembre. vicepresidentes los Srs. de Schonen , B. Delcssert y Etienne. A las seis se le Acabamos de saber que ayer regresó á esta capital *1 general Xferckx, en vanta la sesión, reservando para la del día 27 la elección del cuarto vicepre friado extraordinario que ha sido de nuestra corte cerca de la de Berlín; y quo sidente y de los cuatro secretarios, la del diputado que ha de reemplazar al thoy sale para esta última Mr. Serruys con el carácter de en…</t>
  </si>
  <si>
    <t>XH', D José Oltíí</t>
  </si>
  <si>
    <t>D José Oltíí XH'</t>
  </si>
  <si>
    <t>…Jdií'RoseiiBóyíf ti ’V^yFtia 1 ■ al i maá,y' eMté la ptpMgcb(Bí.r'(i%}.AiSJBU.t, i: w.á.131-34 K-i-r-: ■•••i“ •\'j *■, ' : , ' Sr. D. Manuel María Vázquez Oyeipo de Lira, ■ / Sr. D. Femando' Miritn3a~y 01íín¿üutu ~ i--,.-* -N le Sr. D. José Oltíí *. XH', ,&lt; r o,A-1 '¿3 . r‘ ■ i: '**■ ■4 &gt;t..' . ; ..fn. f&lt;¡ -u? : .raoywptesriwi oteparn a-w ....... -...'.iK-aa Escriban deOibnltat coniecha de 3? do Junio pr&amp;umope»doloi¡^ Sr. D. Pedro Ventura de Pug», por BMaimidnl dt fuiente: rat¡*/"fc-i--li *"* ¡S ' -- -&gt;^ " M* CK Manuel Mará Losttti.</t>
  </si>
  <si>
    <t>XH', José Oltíí</t>
  </si>
  <si>
    <t>José Oltíí XH'</t>
  </si>
  <si>
    <t>…í'RoseiiBóyíf ti ’V^yFtia 1 ■ al i maá,y' eMté la ptpMgcb(Bí.r'(i%}.AiSJBU.t, i: w.á.131-34 K-i-r-: ■•••i“ •\'j *■, ' : , ' Sr. D. Manuel María Vázquez Oyeipo de Lira, ■ / Sr. D. Femando' Miritn3a~y 01íín¿üutu ~ i--,.-* -N le Sr. D. José Oltíí *. XH', ,&lt; r o,A-1 '¿3 . r‘ ■ i: '**■ ■4 &gt;t..' . ; ..fn. f&lt;¡ -u? : .raoywptesriwi oteparn a-w ....... -...'.iK-aa Escriban deOibnltat coniecha de 3? do Junio pr&amp;umope»doloi¡^ Sr. D. Pedro Ventura de Pug», por BMaimidnl dt fuiente: rat¡*/"fc-i--li *"* ¡S ' -- -&gt;^ " M* CK Manuel Mará Losttti.</t>
  </si>
  <si>
    <t>Xíunch-Bellinghausen</t>
  </si>
  <si>
    <t>…o que ha sido del fisco , para que am en nuestra ciudad» que intentan las noticias¿que jes parece» sobre todo en tra bos puedan verificar aquella yenta, según el tenor de las leyes.” tándose, dt la Dieta /.anuncian la llegada del Sr. Xíunch-Bellinghausen para, él 31 de «te mes /sin decirnos por qué razona continúa S. Eá sin moverse de -ce__Isshilcá-effendi, profesor -en gefe dei cuerpo de ingenieros del ejército del Viena. El motivo de esta dilación es muy claro , y hé aquí cómo lo explicaOran Señor, Va‘á partÍT con el'objeto de desvanecer las duda…</t>
  </si>
  <si>
    <t>Xnerhaay</t>
  </si>
  <si>
    <t>…de de Valdbnurg- no quería seguir mas opinión que la suya propia. El primer puso de BourZein y Wuraach de 1» de lá embajada wurtemburgues*. El príncipe Pablo snont fue enviar á Larochejaquelta á mandar tais tropas dé Lisboa, pero Don Xnerhaay, amatan cnbejadox ccrca de la coste de Londres, ha llegado aquí. Miguel le quitó el mando casi inmediatamente, y á pesar de que, «l duque (fe Cadiral enviaba corte» «obre corteo pidiendo algún general qeq as cacargmt</t>
  </si>
  <si>
    <t>Xoieba</t>
  </si>
  <si>
    <t>…o en las ocurrencia* posíerioiesyaintcuamio muchos estaban Gobierno, y sí en Procuradores que suelen votar contra e! ministerio, y ai la xa oposición con sus ideas. No aprobaiJaneitas» penp.iprcímeroir darle fuerza i do del mismo Sr. Xoieba; que quizá ha firmada, álgunas. de dichas peticiones. fomentar la conmoción, fin ;el segundo caso, ¡que ib oi.de que lá. facción; vea. de Desaprobarlas ahora nos.lia ja-esperanza:* repito» que el Sr. preopinante acabará pcnooás turbulentas, la misma MiliciaMará, próntoEn (¿i,los. pefturbadores pox…</t>
  </si>
  <si>
    <t>Xtuub, María</t>
  </si>
  <si>
    <t>María Xtuub</t>
  </si>
  <si>
    <t>…,034¿ «trode Í00 petos no consqjtiifnln iláim»ii ¿ $$Q ' Infante D. ErartCteco de Paulai Antpm&amp;, la banda de la Real órden de da pesoé ¿aaa uno consolidado* núme/ot 27^78 f tZ,12?9i lodos dd ifio de IttL qué lula ma» noble* de la Reina María Xtuub tlvárf. 255.) sido rétenJdps y ted*madot&lt; cotdo de U pertenencia de D. Cosme de Moni oirá ooe PrQTCCto.de,torísaaaiocada por &amp; M,;l? Rjajua Gobernadora, declarando en *1 preciso tdn&gt;fc¡ deZ9.diairMfidan MtMéfireleteU^fiiefi fi usne.MdtemliÜde que /. C&amp;fjei» Maná Isidro de Borbou y toda su líT ÉN LA…</t>
  </si>
  <si>
    <t>Yañez, Alejo Andrade</t>
  </si>
  <si>
    <t>Alejo Andrade Yañez</t>
  </si>
  <si>
    <t>…NOTICIAS EXTRANGERAS. He dado cuenta á S. M. la Reina Gobernadora del plano, des cripción y presupuesto de gastos de la carretera que debe abrirse desde Rabade á Ferrol, formada por los ingenieros D. Julián Ro TURQUIA. dríguez y D. Alejo Andrade Yañez, como asi bien de cuanto V. S. propone en 20 del corriente acerca de su mas pronta y económica Constantinopia 18 de Noviembre. ejecución; enterada S. M. de todo se lia servido mandar que los tra Lejos de reinar en Siria una completa tranquilidad, se nota insurrecciónbajos del año próximo se dispong…</t>
  </si>
  <si>
    <t>Yanguas</t>
  </si>
  <si>
    <t>…ora la de San '^ícente de la Barquera á D. Segundo San á para para la de Escalona y Galves: la de Cíñete Ripoll Juan: i D. J rolsa db coMERcio._Co/itciooM dt htsy i las tres dt la tardt. • p a Martine;: Urioste, y la de Ordenes á D. Yanguas: Aquilino D. Julián pare *1 corregimient o de Calahorra á D. Mariano AmadorL EFECTOS PUBLICOS. Inserípelona en el gran .libro i í p- 100 . 00. Títulos si portador del 5, p. 100. 5a 31 d. f. 6 voL ESTADO SANITARIO DEL REINO. Inscripciones en el gran libro a 4 P- 100 . 00. Títulos al portador del 4 p…</t>
  </si>
  <si>
    <t>Yanguas, Matías de Soldcvilla y</t>
  </si>
  <si>
    <t>Matías de Soldcvilla y Yanguas</t>
  </si>
  <si>
    <t>…nas; ahora salen diaria parientes é' Interesados en los bienes qué han quedado por falleciiaienrozbintestato del mente 533 vjageros. En 1754 llegó un coche de Mancbester á Lóndres en teniente coronel del Real cuerpo 4e ingenieros D. Matías de Soldcvilla y Yanguas, cuatro dias y medio; ahora se hace el mismo camino en 27 horas. La diligen para que dentro del termino de 30 dias comparezcan 4 diebo juzgado por si ó por me dio de personas competentemente autorizadas, 4 deducir lo que 4 so derecho convenga,* cia de Paria'á Burdeos empleaba, en este virée 222 bot…</t>
  </si>
  <si>
    <t>Yarboroug</t>
  </si>
  <si>
    <t>…ran las disposicio cada dia se habitúa mas á lax fatigas y á las privaciones de la vida marítima. nes de los negros. El l.° de Agosto al romper el alba, los aprendices r forman-? S. A.- R. ha sido recibido al llegar á esta por el lord Yarboroug que hace poco do numerosos grupos, se dirigieron hacia el palacio del gobierno con el objeto se halla en la isla, y que con la mayor urbanidad puso a difpo^icien dei prin de notificar al gobernador que no-querían trabajar mas. S. E. prirheró, y des cipe fu yaeht de recreo. S. A¿ R. se detendrá unos…</t>
  </si>
  <si>
    <t>Yarto</t>
  </si>
  <si>
    <t>…tificativos que le entregó la secretaría para proceder á su examen. ciones ; ademas se les cogieron cinco cabal los, muchas armas y otros varios Después de algún tiempo volvió la comisión á la sata de juntas, y sus in efectos.'El coronel Yarto recomienda al teniente coronel capitán de carabine dividuos dicten cuenta por turno de lo, i 4 poderes que habian examinado y ros D. Rafael Midon, al teniente de Borbon D. Cristóbal Agúrlar y i los al encontraban corrientes, en conformidad al artículo 12 del reglamento; y en féreces D. Francisco Ab…</t>
  </si>
  <si>
    <t>…ia, la paz y benevolencia con nuestros hermanos, y su obser- marchaba animismo sobre el Ebro. El 22 debe llegar a Vitoria la columna del I váne» nos caracteriza de verdaderos discípulos de Jesucristo. Esta caridad es la mando del coronel Yarto que salió de esta corte; y marcha por Aragón con 1 que’nos hace justos, afables y benéficos con nuestros conciudadanos, sumisos y dirección á Navarra el batallón de Soria que vino á Valencia desde Mallorca, [obedientes á las autoridades legítimas, amantes del orden y zelosos por el bien y que será…</t>
  </si>
  <si>
    <t>Yarto, D Francisco</t>
  </si>
  <si>
    <t>D Francisco Yarto</t>
  </si>
  <si>
    <t>…te sobre ellas; pero á nuestra apiox'-macion dividieron sus fuerza* tuvieron la defensa de la ermita con el mayor valor, el gefe de la plana ma- marchando en distintas direcciones. Continué en la persecución de uno de los &gt; or el coronel D Francisco Yarto, y los oficiales adictos á la misma IX Fer grupos principales, al que fui picando su retaguardia todo el d«a 28, dejando nando Norzatzarai , D. Fernanda? Santiago y D Miguel Aiagra, que ordena en nuestro poder tres carros que conducían con víveres , algunas armas y otro* ron las primeras tropas que…</t>
  </si>
  <si>
    <t>Yarto, Tomás</t>
  </si>
  <si>
    <t>Tomás Yarto</t>
  </si>
  <si>
    <t>…los comandantes de la firme, sio cupón. Guardia D. Joaquín Bayonij D. Bernardo Uncela, D. Francisco Ezpcleta, eL Vales no Consolidados, *2 nueve díet y seis «vos y lag al eonado; xaf al 98 Abril mente coronel de dicho Real cuerpo D. Tomás Yarto, y el segundo coman Deudaó vol.negociable del 5 p. 100 i papel, 00. dante de Africa D. Sebastian Mora, que puestos á la cabeza de sus respectivas Id. sio Interes, 00. fuerzas «tan los primeros que dieron ejemplo, no siéndome posible insertar los Acciones del banco españolado. nombres de los señores…</t>
  </si>
  <si>
    <t>Yendráse, Miguel Moreno</t>
  </si>
  <si>
    <t>Miguel Moreno Yendráse</t>
  </si>
  <si>
    <t>…^servido con integridad y zelo por espacio de 30 años, he venido en nombrarle para la plaza de oidor delaReal audiencia de Valencia, El capítan de fragata de la Real armada D. Agustín José Malsonado, se-| vacante por promocioo de D. Miguel Moreno. Yendráse entendido en la Cá gundo comandante del tercio naval de Santander, y capitán interino de aquel f mara para su cumplimiento.:^ Está rubricado de la Real mano-“En Aranjuez puerto, ha acudido á S. M. la Reiva Gobernadora manifestándole su sentí-I miento por el silencio que se ha guardado acerca de los…</t>
  </si>
  <si>
    <t>Yero.Dios, Manuel</t>
  </si>
  <si>
    <t>Manuel Yero.Dios</t>
  </si>
  <si>
    <t>…él siguiente fesor inteligente que To hiciese con la exactitud que correspondía; y con las Parte sanitario.n&gt;iras expresadas acompaño á V. E. copia del informe que se me ha dado por et Dr. en medicina É&gt;. Alejandró Boy Jé, v Ldo. D. Manuel Yero.Dios guar de i nachos ¿ños. Bayamo y Abril 18 de 1834.=Exctno. SraárFrands- Pueblos. Días. Enfermos. Curados. Fallecidos. cq ¡Fernandez de Castro.=Excnio. Sr, capitán general de esta feta Los.facultativos que1'suscriben ¡ para "etScuar el informe de los gemelo^ de Guisa, que^V, se ha servjdo pedirles, d…</t>
  </si>
  <si>
    <t>Yessenberg</t>
  </si>
  <si>
    <t>…rand ha dado un segundo convite , á que han asisti Dean y cabildo de la «anta iglesia de Jaén, Blas de Haya» vocal secretario. do el conde y coodesa Grey, el conde de Tankerville y su esposa f el príncipe y princesa de Lteven, el barón \Yessenberg , barón Boiow , vizconde Palmer»- 1 Señora: La ciudad de S. Juan de Jaruco, en la siempre Bel isla de Ceba, io.n , caballero Lima, embajador de Portugal, y otras varias personas de dis ha celebrado con el mayor júbilo el dia en que su ayuntamiento, llevaodo al tinción. frente 4 su justicia mayor el…</t>
  </si>
  <si>
    <t>Yo, Afedrctno'</t>
  </si>
  <si>
    <t>Afedrctno' Yo</t>
  </si>
  <si>
    <t>…a vento verá ’si se han de caso me tomaría la licencia de md’car al Sr. Presidente que en su lugar baria aprobar ó no todos los extremos que comprende. 30 al E-damento la preguru de si se votará por pa&lt;tes la petición. Este es el Sr. Afedrctno' «Yo creo que esté reducido todo á dos preguntas: prime órden quí ¡ve ó^u ó &gt;.ujfulo tuve el honor de pre&gt;idir un cuerpo respetable; J ra si se h \ de aprobar ia petición en --u totalidad: secunda si se ha proceder al el ni sitio camino siguieron los que ocuparon igual destino.” examen de las disposicio…</t>
  </si>
  <si>
    <t>Yo, Arguelles'</t>
  </si>
  <si>
    <t>Arguelles' Yo</t>
  </si>
  <si>
    <t>…bada: en tal estado se hizo razones muy sencillas. No se crea por esto que yo censuro las leyes existentes una jtfbeva proposición por el Sr. Ulloa.” en España; pero debo decir con franqueza» que este Estamento necesita de úna El Sr. Arguelles'. «Yo ruego al Estamento que tenga la bondad de disi libertad que no le concede el reglamento, porque todos los días nos encontra mularme.. Acaso no debiera haber hecho esta pregunta; pero cuento con la in remos con obstáculos insuperables para marchar. No haré mas que referir lo dulgencia del Estamento…</t>
  </si>
  <si>
    <t>Yo, AUala Galiano</t>
  </si>
  <si>
    <t>AUala Galiano Yo</t>
  </si>
  <si>
    <t>…Sr. Galiano, el artículo creo se aprobará con la misma tuviésemos en el 30 de Setiembre de 1823 respecto á esto. Todos los que obte unanimidad que ayer.” nían destinos en comisión, como tales se considerarán, no como empleados El Sr. AUala Galiano. «Yo he entendido que estaba as: expresad.-» en efectivos. Al que había sido gefe político, y no lo era ya entonces, no se le la petición, v bajo e.e supuesto he hablado, pues reconozco todos los actos considerará como tal. Al que estaba encausado ¿se le reintegrará en sus dere del Gobierno constitucion…</t>
  </si>
  <si>
    <t>Yo, BeIda</t>
  </si>
  <si>
    <t>BeIda Yo</t>
  </si>
  <si>
    <t>…abra en, pro ó en contra de ella, y que si no se procedería á su la dificultad. S. S. me permitirá que no me haga cargo de las observaciones votación. que ha hecho, y de las cuales no dejarla' de sacar motivos para impugnarle; El Sr. BeIda.- «Yo he dicho que el artículo 92 del reglamento no está pero ¡qué tiende á probar con esas observaciones: Qué i se trata de coartar la de ninguna manera en contradicción con lo que prefija el título S.° El títu libertad del Estamento obligándole á votar el proyecto de ley del Gobierno lo 7.a habla de pr…</t>
  </si>
  <si>
    <t>Yo, Brida</t>
  </si>
  <si>
    <t>Brida Yo</t>
  </si>
  <si>
    <t>…Presidente : "Permítame el Sr. lie!da le diga que no es la cuestión tituciones. si sé admite ó no esta exposición, sino el decidir qué giro ha de llevar.” V. M, ha puesto un término á la reacción que dió principio en 1823 , y El Sr. Brida-. "Yo tengo que advertir a! Sr. Presidente que muchos de los que se ha prolongado hasta que V. AL ha hecho nacer en iodos los corazones Sres. que me han precedido han hablado sobre la petición que se debe hacer; la esperanza de mas venturosos dias: V. M. quiere cerrar para siempre el abes— yo solo lo he…</t>
  </si>
  <si>
    <t>Yo, Chacón</t>
  </si>
  <si>
    <t>Chacón Yo</t>
  </si>
  <si>
    <t>…hacer esta excitación, que la retirase porque no et nece y ratificaba sus renuncias i la corcrñi; Triaba sobre la reforma de loa abaso* f aría.” desórdenes públicos, así eximo sobre los m^ristrados v tribunales; sin su aut-TriEl Sr. Chacón*. »&gt;Yo estoy tntiy distante de acriminar al Sr. Secretario de dád no « pod»an imponer contribuciones,y ai mümo tiempo nO poái.1 variar Hacienda ni á los demás. He hecho esta proposición porque creo que abríriajs te la ley de U moneda, nr acunare otra nueva, sin su comeñtimtento. Y estad puerta á los capit…</t>
  </si>
  <si>
    <t>Yo, Diez Gómale</t>
  </si>
  <si>
    <t>Diez Gómale Yo</t>
  </si>
  <si>
    <t>…a del juzgado. Esto es lo que se pide, y esto es lo que se sos cetto, ni puede serio, V decirlo cuando no es cierto ui puede serlo, es pone moa tiene.” en contradicción y dar al pueblo Usa esperanza de la que en el mismo momen El Sr. Diez Gómale*'- «Yo no veo que haya contradicción enlre el. to que se le da queda defraudado. Señor, ¿en qué se funda la sociedad! ¿enqué k pritieipió que se sienta en la petición y el modo de aplicarle: antes bien creo se funda esta nqisma monarquía: En ciertas desigualdades, no nacidas de privile que hay un medio dé…</t>
  </si>
  <si>
    <t>Yo, Ferrer</t>
  </si>
  <si>
    <t>Ferrer Yo</t>
  </si>
  <si>
    <t>…ios, puedan alistarse.” desaman, á lo menos ninguno llora la muerte del hermano que se deja primo Se volvió i leer la adición, y continuó _____ .. génito: las hermanas, las infelices hembras, las peor libradas en esta gótica y El Sr. Ferrer- «Yo no encuentro inconveniente en que para lo sucesivo bárbara institución , ni aun el haber nacido ames las apiovecha , y en cada va tengan, esa libertad dichos individuos, sintiéndose con robustez, y reuniendo rón miran un tirano á quien obedecer. A la Verdad, es muy doloroso que dos las demás cualid…</t>
  </si>
  <si>
    <t>Yo, Ferrer W</t>
  </si>
  <si>
    <t>Ferrer W Yo</t>
  </si>
  <si>
    <t>…l dictámen de la comisión «En ninguno,dé nuestros antiguos códigos, como el Fuero juzgo, él Real, de Milicia utbana relativo i la primera adición. los Fueros Municipales y las leyes de las Partidas, se halla señal alguna de ma El Sr. Ferrer \ W Yo creo, si no he entendido mal, que la comisión se yorazgos , que no fueron conocidos en España hasta las leyes de Toro. conforma con que les que hayan entrado voluntariamente eb la Milicia perma «En esta institución se conculcan y huellan los derechos mas sagrados de li nezcan efl ella, aun después…</t>
  </si>
  <si>
    <t>Yo, Francis</t>
  </si>
  <si>
    <t>Francis Yo</t>
  </si>
  <si>
    <t>…obierno ha meditado bien y coa presencia de tal me 1o persuade la cantidad que ha hjado, que según mis cálculos veo que, datos exactos, proponiéndonos lo justo. dejando subsistente la asignación de l.ódli© rs. para el Sr. Infante D. Francis «Yo no molestaré al Estamento con repetir cálculo* minuciosos;1 pero co-, y los óOli© para la Cámara de su Esposa, ha considerado necesario 5o© du me parece que son exactísimos los que han presentado el Sr. Fleix y el Go cados para cada uno de los“e¿nco hijos mayores de siete años, y habrá creído biern…</t>
  </si>
  <si>
    <t>Yo, Galiano</t>
  </si>
  <si>
    <t>Galiano Yo</t>
  </si>
  <si>
    <t>…rno en las personas que nombra papa sus comisiones é informes: aun argumentó bajo diversas formas otros varios señores , entre ellos el Sr. Trueba respecto de una carta confidencial, no se hace uso de ella sin' el prévio per y el Sr. Galiano. Yo creo que el decir que si el Estamento de Procuradores miso de su dueño. (Al llegar aqiii el Sr. Secretarío de Estado, el Sr. Ferrer pi ■variasede dictámen cometería una falta, yharia una ofensa á su' honor inia’- dió la palabra; y prosiguió el Ministro): ' ’- mo, no es ni justo níexacto; y qué seme…</t>
  </si>
  <si>
    <t>Yo, Grey</t>
  </si>
  <si>
    <t>Grey Yo</t>
  </si>
  <si>
    <t>…a plumeros blancos á que pertenecía el d.funto, asistió casi todo entero , igual conducta política que se propone adoptar con respecto á España y Portugal. mente que un gran número de guardias mcionales de los otros cuerpos. Ocho Lord Grey- Yo no me he engañado un momento en creer que la inten hombres de la compañía llevaban el ataúd, y le precedían de 20 á 30 mucha ción del noble marques era combatir todo el sistema de política seguido por el chas vestidas de negro y coronadas de siemprevivas. Todos los oficiales del ba ministerio. Pero…</t>
  </si>
  <si>
    <t>Yo, Infante D Francis</t>
  </si>
  <si>
    <t>Infante D Francis Yo</t>
  </si>
  <si>
    <t>…reo que ei Gobierno ha meditado bien y coa presencia de tal me 1o persuade la cantidad que ha hjado, que según mis cálculos veo que, datos exactos, proponiéndonos lo justo. dejando subsistente la asignación de l.ódli© rs. para el Sr. Infante D. Francis «Yo no molestaré al Estamento con repetir cálculo* minuciosos;1 pero co-, y los óOli© para la Cámara de su Esposa, ha considerado necesario 5o© du me parece que son exactísimos los que han presentado el Sr. Fleix y el Go cados para cada uno de los“e¿nco hijos mayores de siete años, y habrá creído biern…</t>
  </si>
  <si>
    <t>Yo, Medrana</t>
  </si>
  <si>
    <t>Medrana Yo</t>
  </si>
  <si>
    <t>…á la comisión para que informe, hacer presente al Estamento que es necesario que nos vayamos con mucho tien y luego se verá lo que debe hacerse.” to en conceder licencias, pues de, lo contrario, faltando todavía vatios señores El Sr. Medrana. «Yo me creo en el deber de hacer una observación, Procuradores, quedará reducidísima la representación nacional. porque es en beneficio de los pueblos. Estoy persuadido de que cualquiera em • No debemos olvidar que está muy próxima la discusión del proyecto de presario que tornea su cargo el diario de…</t>
  </si>
  <si>
    <t>Yo, Medrano'</t>
  </si>
  <si>
    <t>Medrano' Yo</t>
  </si>
  <si>
    <t>…el Norte luego que en Leído el art. ó.° del Gobierno y el de igual número de la com»ion , dijo vista de sus documentos quedase admitido como Procurador.*’ El Sr. Visedo, como individuo de la comisión: «Si las circunstancias no EI Sr. Medrano' «Yo creo que con lo que ha dicho el Sr. Domrcq de hubieren dado Jugará que en los pueblos se formase anteriormente &gt; la Milicia bía estar satisfecho el Estamento de que el punto, que se discute es la admisión urbana por diferentes medió*, hubiera sido muy sencilla la organización de clia ó no de la ren…</t>
  </si>
  <si>
    <t>Yo, Medratttii</t>
  </si>
  <si>
    <t>Medratttii Yo</t>
  </si>
  <si>
    <t>…evarse á S. M. * ó si se ha de las familias aglomerar rentas cuantiosas. 'suspender su curso-en virtud del proyecto de ley que el Gobierno ha presen- « Las'provincias de Aragón , Cataluña * Valencia y otras bo pagan seme lado.”El Sr. Medratttii «Yo respeto la Opinión del Sr. Presidente; pero no me antiguajante Voto;coronay éstade Castilladesigualdad, es otrode tributosmotivo queparasufrenque ellasVotar“ttesaparezca&gt;que pertenecieron sii lala «s posible convenir con ella. La comisión no tiene ínteres en que se discuta ó balanza de la justicia…</t>
  </si>
  <si>
    <t>Yo, Morales</t>
  </si>
  <si>
    <t>Morales Yo</t>
  </si>
  <si>
    <t>…n sida cfisuefias, ten legislatura: si es un afio, ó una sesión, ó el tiempo-que tienen los Diputados drían que volverse á reunir antes de un año.” sus poderes. Si la contestación no me satisface, en este caso me reservo la pa Ei Sr. Morales-. «Yo he hablado en el supuesto que el Gobierno abu labra.” sase, en cuyo caso no se acudirá'á la Nación, como previene el Estatuto Real, El Sr. Secretario del Despacho de Estado: «La palabra legislatura^sin porque .no se observaría este:” entrar ahora en una cuestion'académica, ni ventilar si es bastant…</t>
  </si>
  <si>
    <t>Yo, Njvas</t>
  </si>
  <si>
    <t>Njvas Yo</t>
  </si>
  <si>
    <t>…torizaba, pasan embaraza el curso de la administración ! El Ministerio és responsable. inmediatamente á ccmtestar á las acusacípnes que ha hecho el Sr. conde de las MAl dar, hace un mes, el mando del ejército del Norte al ilustre general Njvas. Yo deseará qué cuando se tratare estas materias,en lugar de hablar va Mina , contando con su reputación bien adquirida en aquellas provincias, con gamente de asuntos generales, se concretasen á ejecutarlo déla materia y de el conocimiento práctico que tiene del pais, con los recursos que 3e él puede J…</t>
  </si>
  <si>
    <t>Yo, Palana</t>
  </si>
  <si>
    <t>Palana Yo</t>
  </si>
  <si>
    <t>…cen al llamado territorio de la órden de Santiago , se paga con el título do cuatro-dias.” ---- —T _ ,__ :____ --------------------- ---------------— 'merced de amigos por los labradores, bajó la misma forma y reglas que en el El Sr. Palana-. »Yo he creído que tema facultad:para- hacer esas adi indicado voto; pero con la notabilísima diferencia de que exceptuándose los ciones; pues sí hubiese juzgado que eran .peticiones,, me parece hubiera fácil nobles, gravita única y exclusivamente usóte- ios'qqe por lo Secular son mas mente encontrado 1…</t>
  </si>
  <si>
    <t>Yo, Presidente</t>
  </si>
  <si>
    <t>Presidente Yo</t>
  </si>
  <si>
    <t>…discutido mientras hubiese algún se «Por último, es de notar que existiendo prévia censura á Cargo de censo ñor Procurador que tuviera pedida la palabra.” res de nombramiento y con sueldo del Gobierno, no puede haber verdadera El Sr. Presidente*- «Yo quisiera que se me citase et artículo del regla libertad de imprenta. Asi que debe quitarse-aquella, estableciendo para reme— mentó que prohíba el que se pueda pedir por cualquiera Sr. Procurador que se diar los abusos de dicha libertad, que sin duda habrá, como los hay en todo, pregunte si está un…</t>
  </si>
  <si>
    <t>Yo, Procurador</t>
  </si>
  <si>
    <t>Procurador Yo</t>
  </si>
  <si>
    <t>…tampoco que siendo el discurso del Sr. Secretario de Hacienda se dirige á mí, tendrá presente S. S. atas asignaciones variables por su misma naturaleza, estarán siempre sujetas á que ha equivocado mis expresiones con las de otro Sr. Procurador. Yo no he las modifiaciones ó alteraciones que las diversas circunstancias de la Nación y hablado personalmente, porque no tengo ningún ínteres personal en la cuestión; de tan augustas Personas bagan justas ó necesarias en ellas. sobre lo cual apelo al testimonio de cuantos me han oido.” La comisión se…</t>
  </si>
  <si>
    <t>Yo, Rbaherrera'</t>
  </si>
  <si>
    <t>Rbaherrera' Yo</t>
  </si>
  <si>
    <t>/ Jtl Sr. Rbaherrera'■ «Yo he pedido que pasasejá lá del GoWernointe- .pnracirí) ttiejbr es ja'siguiente: si' un hijo de familia dijese: «dente vd. dinero riot. Es hacer poco aprecio de los individuos dé atprtlh cénnéoa^fle srtñialls cttn tquécomprár un puñal para matar á mi padre: zzal.í lo tiene vd.”, y el hijo , negocio d…</t>
  </si>
  <si>
    <t>Yo, Samponts</t>
  </si>
  <si>
    <t>Samponts Yo</t>
  </si>
  <si>
    <t>…tiene á nuestros ojos ni á los de la tada por el Gobierno, ni con el dictámen de la comi:.-on en el mismo senti justicia; mas el primero, liberal en todas las épocas, protector y apoyo de to do, ni aun con el voto particular del Sr. Samponts. Yo deseo que se hagan las dos los perseguidos pot la justa causa, al paso que él también lo ha sido á su mayores, economías en todos los r§mo$ de la administración en favor de los yez; franco, generoso,‘enlazado con una esposa á quien no es un secreto que tpueblos á quienes representamos: en favor de…</t>
  </si>
  <si>
    <t>Yo, V-allljot</t>
  </si>
  <si>
    <t>V-allljot Yo</t>
  </si>
  <si>
    <t>…y sé les da, asi co Jos del proyecto de ley para la organización de la Milicia urbana, y que ha mo £ los tenedores de bonos de Córtes, un respiro.*’ biéndose concluido en la sesión anterior U del art. 21, se procedía a la del Ei Sr. V-allljot «Yo no he hablacfo nada de principios políticos ¿ ni de art. 22. nada que tenga relación directa con ellos. Lo que he dicho es, que como el Habiéndose leído dicho art. 22, tanto dd proyecto del Gobierno, como que puede lo mas puéde lo menos , mejor podrá la Reina en el día , ó ei Go del dictámen de la…</t>
  </si>
  <si>
    <t>Yo, Zdano-Chztvarn</t>
  </si>
  <si>
    <t>Zdano-Chztvarn Yo</t>
  </si>
  <si>
    <t>…l Estamento Sesión del dia l.° de Octubre. quiere que no sean estos, sino los anteriores, los que se discutan^tjenff la facul— tad de resolverlo asi: por eso he. presentado-el-asunTO í su decisión.” -Sc-abriÓ^Iis diez y media. El Sr. Zdano-Chztvarn«Yo creo íjue según la indicación del Sr. Secre Se leyó y aprobó el acta de la anterior. tario de Hacienda, no solo debemos discufir los artículos del proyecto del Go El Sr. marques de Someruelos y el Sr. Crespo de Tejada , usando del de bierno , sino los de la comisión que seán compatibles con él.” re…</t>
  </si>
  <si>
    <t>Yóno, Truebai</t>
  </si>
  <si>
    <t>Truebai Yóno</t>
  </si>
  <si>
    <t>…irasen, ó que el Estamento decidiese no haber lugar á votar var el cólera no están • echadas al olvido , sino qüe por las circunstancias .que sobre ella.” ? han ocurrido no han podido publicarse, comoUéí/Wrá acaso muy profetas En Sr. Truebai «Yóno comprendo lo que desea el Sr. preopinante; pues «i cuanto al Teglamento sanitario, detde l8ló se ertá/Xratando -de eso, yba-corrió bien no reprueba la petición, n&gt;aqifiesta deseo de*que-ee retire ó se deseche. do varios trámites el expediente. Uaacomisión científica^ de la qoeformaron r Hz dicho S,…</t>
  </si>
  <si>
    <t>Yorck, En</t>
  </si>
  <si>
    <t>En Yorck</t>
  </si>
  <si>
    <t>…bien general, y enteraise por documentos que él tenia ea su poder que en el Urgí, periodo d« djgoo* bajo todos aspectos de desempeña!, el encargo quo se ha ba coubado. láíO i 183Í se habían aumentado, en Ir proporción de "8 ¿ ií£d. En Yorck «o* ((*, Je Au¡sburgo ) prétós uurante el espacio de doce años habían ascendido desde 2ó*j i F*</t>
  </si>
  <si>
    <t>Yorck, Francisco Antonio Mantilla Cartas de Nueva</t>
  </si>
  <si>
    <t>Francisco Antonio Mantilla Cartas de Nueva Yorck</t>
  </si>
  <si>
    <t>…su destierro á los mismos hombres que Sr. D. Francisco Diez González. por su ignorancia., estupidez ó traición han sido los primeros autores de su des- Sr. D. José María Quiñones, marque»de Mbntevirgea. . gracia. (Cvurier."} Si. D. Francisco Antonio Mantilla. ____ Cartas de Nueva Yorck dicen que Tos intereses del comercio se resentían PROVINCIA BS lOOMltqn de las últimas medidas, y que las entradas del tesoro público en el primer tri Sr. marques de Someruelos. mestre de este año presentaban un déficit de 2A009 dollars, comparadas con Sr. D. Joaquín Ruiz de Bucesta. igual trimestr…</t>
  </si>
  <si>
    <t>Ypodra</t>
  </si>
  <si>
    <t>…nsiguiente ' nifestar que hemos tenido que cargar cón ia faUl 'herencia de este empréstito. ^tódaslásícántidades que se asignen y todas las rentas que-tenga Doña Isabel n, i Y cuántos y cuantoslcgados de &amp;me¿antectase tendrá esta Señora? ¿Ypodra £cajaotitt las debe percibir j administrar la Reina Gobernadora' y disponer decir: «criados de raf padre¿ andad-cott&amp;Dios, áotrptqucós mantenga**; y ha de' eli^i para la manntencion de cu.Hija y la suya: mi voto ea 32 millones. cer lo mismo;respecto d? otras obligaciones de cftí ftafaraleza ? Detan…</t>
  </si>
  <si>
    <t>Yuste, Saint</t>
  </si>
  <si>
    <t>Saint Yuste</t>
  </si>
  <si>
    <t>…arques de Montesa manifestó que el Sr. Procurador electo por la Teruel. eeD. Juan Romero Alpuente. provincia dé Soria So hallaba en el ejército del Norte. Santiago de Cuba.ee D. Pedro Echavarria y Ogaban. El Sr. Ayala dijo que el Sr. Saint Yuste habla salido ya d« PuertorPrín Guada lajara. = D. Francisco Morales. cipe para Marsella. I El Sr. González (D. Antonio) manifestó que la casualidad de haber lle Señores cuya elección consta, por las actas, y que han avisado hallarse en gado á esta capital.el Sr. Scoane facilitaría la contestación q…</t>
  </si>
  <si>
    <t>YVhyde</t>
  </si>
  <si>
    <t>…6.° Culto reformado, florines 1.33o3_Capí tulo 7.° Culto católico romano, florines __ Cap. 8.° Marina, florines . . Escriben de Bayona el 18. 4.750©.^Cap. 9.° Hacienda, a deuda nacional, florines 20.674,200; b gastos «El teniente coronel YVhyde, que reemplaza á Mr. Caradoc, ha llegado del departamento, administraciones, pensiones &amp;c., florines 4*765,186 46. á Bayona hace algunos dias. Tiene encargo de su gobierno de acompañar á Mina Total, florines 25.438,386 4Pi__Cap. 10. Guerra, florines 11.000,OUÜ. Total cuando saiga para España” gener…</t>
  </si>
  <si>
    <t>YYritzlebcn</t>
  </si>
  <si>
    <t>…actuafsituación de la Europa. Nuestro an NOTICIAS EXTRANGERAS. cianoy de observaciónRey nunca queha estadoha seguidomas decididodesde Julio.á noUnabandonarministro muvla políticaconocidomoderadaha ha blado en este concepto, y el general YYritzlebcn, edecán favorito del Rey y ministró dé la güeña, guarda siempre la misma circunspección con respecto á ciertos servidores turbulentos y caballerescos de nuestros Príncipes, que desea (Continuación del corteo anterior.) rían que sé presentase una ocasión de hacer carrera. No ha faltado quien se dies…</t>
  </si>
  <si>
    <t>Za, D Pedro Alcalá</t>
  </si>
  <si>
    <t>D Pedro Alcalá Za</t>
  </si>
  <si>
    <t>…aís; que en él hay muchísimas fábricas de aguardiente; ción de reinos pase i la secretaria del mismo. que el arriendo pasa a segundos y terceros subarrendadores, y á todos se les han El Estamento concedió dos meses de licencia al Sr. D. Pedro Alcalá Za de suponer ganancias; que las personas á quienes está cometida su exacción, mora para restablecerse de sus dolores reumáticos, y atender á la educación de gozando del fuero de la Real Hacienda, no suelen ser las mas delicadas, y sus cinco hijos de menor edad. sabido es cuánto se puede abusar de él, y…</t>
  </si>
  <si>
    <t>Za, Francisco</t>
  </si>
  <si>
    <t>Francisco Za</t>
  </si>
  <si>
    <t>…iras del Gobierno háciados puntos capitales: asen Sr. D. Francisco Serrano, Procurador por Jaén. tar las bases permanentes de un buen régimen interior, restableciendo las anti El Estamento quedó enterado de una exposición del Sr; D. Francisco Za guas leyes fundamentales de la monarquía con las alteracionss que exigiese la pata, electo por Cádiz, manifestando no poder asistir á las sesiones por hallar mudanza de tiempos y circunstancias, y adoptar por norma y guia de la polí se enfermo de la vista, y que si no se cura avisará para que se pr…</t>
  </si>
  <si>
    <t>Za, Pedro Alcalá</t>
  </si>
  <si>
    <t>Pedro Alcalá Za</t>
  </si>
  <si>
    <t>…que en él hay muchísimas fábricas de aguardiente; ción de reinos pase i la secretaria del mismo. que el arriendo pasa a segundos y terceros subarrendadores, y á todos se les han El Estamento concedió dos meses de licencia al Sr. D. Pedro Alcalá Za de suponer ganancias; que las personas á quienes está cometida su exacción, mora para restablecerse de sus dolores reumáticos, y atender á la educación de gozando del fuero de la Real Hacienda, no suelen ser las mas delicadas, y sus cinco hijos de menor edad. sabido es cuánto se puede abusar de él, y…</t>
  </si>
  <si>
    <t>Zabala, Juan</t>
  </si>
  <si>
    <t>Juan Zabala</t>
  </si>
  <si>
    <t>…Guardia D. José nuestra Señora fueron puestos en vergonzosa fuga-y-complcta dis*^ Oriveq .erial ferez decabaUeríade la Albuhera D. Domingo Padu pcísion, dejando en poder de la mencionada columna tres carros ra, y á sus ayudantes D. Juan Zabala, capitán del 4-° ligero, y el cargados.de víveres , dos caballos y otros' efectos que se distribuye de la-misma clase y arma D.'Agustin de la Cerda, el teniente dé ron i la tropa!'- sin que estas ventajas hayan cosjacja mas que ser infantería, ilimitado D. Rufino Ipiña, y el alférez del 3-° ligero…</t>
  </si>
  <si>
    <t>Zabalburu, Julián</t>
  </si>
  <si>
    <t>Julián Zabalburu</t>
  </si>
  <si>
    <t>…s rebeldes exigieron diferentes multas al ayuntar .Pedro Saavcdra y Pardo; para él de Miranda de Ebro á D. Pantalón Félix miento y á los particulares, llevándose en rehenes algunos de estos hasta efec Galilea; para el de Sedaño á D. Julián Zabalburu; para?el de Santillana del tuarlas. \ Mar á D. Gregorio Anaya jipará el de Sala de Infantes ¿ D. Juan Eriales, que ^E1 comandante del fuerte elogia el valor y serenidad de toda la guarni lo es de Villafranca Montes de Oca ; para el de Villadiego á D. Pedro Es ción y de los Urbanos de Tafalla, disti…</t>
  </si>
  <si>
    <t>Zabalo, José Ignacio</t>
  </si>
  <si>
    <t>José Ignacio Zabalo</t>
  </si>
  <si>
    <t>…, beneficiado de los y ¡os tres réstantes para ser empicados en Ja costa oriental del Istmo, uno en Atcos; I D. José Sotó, beneficiado de Arroniz; á D. Pedro María Bombay y dos en Calcuta. Irazuzta, beneficiado-de S. Sebastian; á D. José Ignacio Zabalo, be El buque de vapor de Bombay será despachado á tiempo que pueda llegar neficiado de Segura; á D. José Manuel Bustindui, beneficiado de á Socotora dos días antes del de Calcuta, y de alli pasará á Madras y á Ceylao. Motrico; á’D. José Joaquín Vi^uendi, diácono de Urrestilla: á Don A la llegada de…</t>
  </si>
  <si>
    <t>Zaborda</t>
  </si>
  <si>
    <t>…s motivos que el Sr. Polo y Monge acaba de indicar, el Gobierno Se tomó en consideración y mandó pasar á la comisión. de S. M. cree deberse oponer á que se adopte la adición de la comisión. Para En vista de esta adición retiró el Sr. Zaborda otra que hizo para que se no armar al padre contra el hijo, al hermano contra el hermano, para no sus eximiese del servicio á los dependientes de los tribunales. citar resentimientos entre las familias, ni renovar odios y rivalidades, creo que 2. a De los Srcs. Atocha , NUvas , Belda , García Carra…</t>
  </si>
  <si>
    <t>Zafrillai, D Felipe Lesnies</t>
  </si>
  <si>
    <t>D Felipe Lesnies Zafrillai</t>
  </si>
  <si>
    <t>…nombrando los individuos que han de componer la comisión para formar —tomo—ftovena8.° del angélico doctor Sto. Tomás de Aquino, sobre el buen qso de los luga él índiée de libros prohibidos. (Id.) res teológicos, compuesu por, el doctor D. Felipe Lesnies Zafrillai la da á luz la 1 Real orden extrañando para siempre de estos reinos al R. obispo de León. (Id.) Real academia de teología escolástico-dogmática de Madrid. Sé despacha en ia libre-1 ____fijando el término en que se ha de formar, sustanciar y. fallar la causa í ría——Elde González,editor del juntoAteneoá St…</t>
  </si>
  <si>
    <t>Zafrillai, Felipe Lesnies</t>
  </si>
  <si>
    <t>Felipe Lesnies Zafrillai</t>
  </si>
  <si>
    <t>…ndo los individuos que han de componer la comisión para formar —tomo—ftovena8.° del angélico doctor Sto. Tomás de Aquino, sobre el buen qso de los luga él índiée de libros prohibidos. (Id.) res teológicos, compuesu por, el doctor D. Felipe Lesnies Zafrillai la da á luz la 1 Real orden extrañando para siempre de estos reinos al R. obispo de León. (Id.) Real academia de teología escolástico-dogmática de Madrid. Sé despacha en ia libre-1 ____fijando el término en que se ha de formar, sustanciar y. fallar la causa í ría——Elde González,editor del juntoAteneoá St…</t>
  </si>
  <si>
    <t>Zambrano, Ceferino Jalindo y D José</t>
  </si>
  <si>
    <t>Ceferino Jalindo y D José Zambrano</t>
  </si>
  <si>
    <t>…su columna, y muy particularmente al capitán fiel, no hay que temer revoluciones. Muro; capitán de húsares D. Pedro Laviña; teniente y subteniente »E1 Emperador se habia propuesto ya visitar la capital de Polonia á ins del mismo, D. Ceferino Jalindo y D. José Zambrano; sargento segundo llde— tancias dél Príncipe de Varsovia: esto no obstante consultó á su suegro este -fonso Pérez, y otros varios individuos. En esta acción no ha habido pérdida proyecto de viage, quien Je confirmó en su resolución. El Emperador no ha alguna por nuestra parte. ido á Vaisovia sino d…</t>
  </si>
  <si>
    <t>Zambrano, José</t>
  </si>
  <si>
    <t>José Zambrano</t>
  </si>
  <si>
    <t>…icularmente al capitán fiel, no hay que temer revoluciones. Muro; capitán de húsares D. Pedro Laviña; teniente y subteniente »E1 Emperador se habia propuesto ya visitar la capital de Polonia á ins del mismo, D. Ceferino Jalindo y D. José Zambrano; sargento segundo llde— tancias dél Príncipe de Varsovia: esto no obstante consultó á su suegro este -fonso Pérez, y otros varios individuos. En esta acción no ha habido pérdida proyecto de viage, quien Je confirmó en su resolución. El Emperador no ha alguna por nuestra parte. ido á Vaisovia sino d…</t>
  </si>
  <si>
    <t>Zamcra, Alcalá</t>
  </si>
  <si>
    <t>Alcalá Zamcra</t>
  </si>
  <si>
    <t>…eñte~~sepxrada—4* 1n anirriori por eso nóta la falta de fórmate— bían aprobarse. Asi se acordó. dad que ha habido en ella, y en que ha fundado su dictamen.” Igualmente dió cuenta la misma comisión de haber examinado el testimo El Sr. Alcalá Zamcra: «Debo decir á mayor abundamiento, que aun nio dei acta de la elección de D. Pedro Ontivcros, en reemplazo de D. Die que la junta electoral fuese concluida en su primera sesión, la actual es verda go González Alonso, por la provincia de Cáceres, y el o6cio con que la re deramente una continuación d…</t>
  </si>
  <si>
    <t>Zamora, ALalá</t>
  </si>
  <si>
    <t>ALalá Zamora</t>
  </si>
  <si>
    <t>…ue la fuerza no fuese bastante para firmar mitades ó ayuntamiento» , sino á estos, en unión con un número de mayores contribu cuartas de compañía. yentes igual al de sus concejales; por consiguiente se crea para este efecto un El Sr. ALalá Zamora: «Tomo la palabra para hablar únicamente sobro .cuerpo nuevo, que no tiene como los ayuntamientos reglamentos por d* nde la parte de este arlícu’o , que dice: «La artillería y lo» bombero-» formarán regirse, y podra ocurrirse á otros, como á mí , la duda de si tendrán facu’tad compañías sueltas.” E…</t>
  </si>
  <si>
    <t>Zamora, Alcalá</t>
  </si>
  <si>
    <t>Alcalá Zamora</t>
  </si>
  <si>
    <t>…restaciones del Voto lado. Si el objeto que se propone el Gobierno con esta me lida es no recargar de Santiago á los tribunales ordinarios competentes. á la nación con un nuevo impuesto que produjere dichas rentas , me. parece El Sr. Alcalá Zamora: «Estoy conforme con la primera parte del artí que eso mismo puede conseguirse de un modo mas sencillo, cual es el de mino culo; pero en cuanto á la segunda creo que debiera estar redactada de una ma rar el número de los canónigos de dicha catedral, cuyo número consta por otra nera mas clara y term…</t>
  </si>
  <si>
    <t>…aquellos em tiva á que la medida adoptada con respecto á las viudas é hijos de los militare», pleados que como los gefes políticos, lejos de cumplir con su deber si hubie fuese extensiva á los empleados civiles: ni tampoco la del Sr. Alcalá Zamora, ran seguido á las Cortes, hubieran, faltado á él abandonando sus provincias. pidiendo que sean restituidos á sus empleos los eclesiásticos, que sin tener Exa Los empleados que se hallan en este caso son muy raros; pero debe haber al les nombramientos, gozaban en aquella época de empleos vitalicios…</t>
  </si>
  <si>
    <t>…ia de los La misma comisión dió cuenta de~faabcr examinado—la instancia dc- Poá padres;-y'dc~tüdog modos yo reclamó la observancia del artículo citado.” Agustín Alvarez Sotomayor, electo Procurador por la provincia de Córdoba, El Sr. Alcalá Zamora: »*E1 Sr. preopinante acaba de decir que el Es i quien el Estamento concedió término para mejorar sus documentos, que fue tatuto Real exige 123 rs. de renta para ser Procurador. El Estatuto Real ron desaprobados, relativa á que en vista de la justificación que nuevamente dice que se ha de tener par…</t>
  </si>
  <si>
    <t>…ciudades, porque la experiencia ha acreditado sui&gt;uen régimen y excelentes re Agreda^ se acordó que no. sultados. A ellos, á su disciplina, comportamiento y buen desempeño en los Tampoco se tomó en consideración ti siguiente del Sr. Alcalá Zamora a! ar* muchos incendios ocurridos en dicha ciudad desde su creación, se debe sin du tículo r.° « cuanto á las compañías de bomberos, pido que se exprese que se da el que en la pasada ominosa época, á pesar del horror con que se ota el rán objeto» de disposiciones particulares.”</t>
  </si>
  <si>
    <t>…es declarar nulo el bar el dictámen de la comisión.” * acto de su elección, pero sin perjuicio de que independientemente de esto pue El Sr. conde de las plavas: «Siento no estar de acuerdo con, la comi da ser elegido. Respecto al Sr. Alcalá Zamora, que ha querido comparar lo sión; pero y* juzgo que la elección de que se trata es válida, pues está hecha que sucedió en el Estamento con lo que pasa en la junta electoral , diciendo por los mismos individuos que hicieron la primera, y tiene el mismo objeto, que se levanta la sesión de hoy para co…</t>
  </si>
  <si>
    <t>…eco y otros héroes de aquella ¿poca, y aun el mismo Riego, A petición del Sr. conde de Adanero se leyó la exposición del goberna que después de haber estado bajo la salvaguardia del ejército francés, fue nue dor civil, y á Ja del Sr. Alcalá Zamora el artículo 2&lt;5 del reglamento. vamente entregado para ser inmolado en Madrid. EL Sr. Domecq d*jo era de sentir que. ¡debía aprobarse la elección hecha, «Los que ahora invocan nuestra compasión, no la tuvieron en verdad de porque en ella había presidido la mejor voluntad en los electores, cuando po…</t>
  </si>
  <si>
    <t>…lo impida. ¿El menor puede vender sus bienes? No: y sin embargo es dueño Sr. Romero Alpuente; por tamo, pues, la comisión no puede aprobar sus po de ellos ¿Estes no son ejemplos de dominio-real y verdadero, lo mismo que deres.”El Sr. Alcalá Zamora: «El Sr. Romero Alpuente presenta una escri cuestiónel maridode respectosi el maridode losera bienesdueño dede lalosmuger?bienes Elde otrola muger.día seElsuscitómahdpaquípuela tura de transacción , una renti de 12$ rs., y esto lo hace con una obligación de hacer de ellos lo que quiera siempre que…</t>
  </si>
  <si>
    <t>…e— ltgú~.*a guarda. Ninguno *o»tendrá que lis ¡n?tituciónrs de que frutamos hayan Poeta á discusión esta petición, tomó la palabra en pro, y dijo proporcionado i U Nación eclesiásticos fe estas cualidad.*»- i a facilidad fe orJSi Sr. Alcalá Zamora: «La amoiTÍzacion civil y eclesiástica*«1 verda drrt»rse i-tíiulo fe ellas, v cosí sin. instrucción alguna, ¿os ha multiplicado e* deramente. como todos ¿aben, Uní pUg-t, que aniquila el cuerpo social, por cxí.cmo, y e»U ¡multiplicidad ha contribuido no p^-cn á hacerles perder 'qoe hace decaer la a…</t>
  </si>
  <si>
    <t>…ey aclaratoria de la sentencia arbitral en lantos hechos en las ciencias bocas, químicas y economico-políticas, las cuales que apoyaban su solicitud. han mejorado considerablemente el estado de la agricultura. Con este motivo, Kl Sr. Alcalá Zamora empezó su discurso manifestando el origen que pues, ha variado de un modo muy notable el cultivo de las plantas de uva* de habían tenido los diezmos, y diciendo que fue una especie de contribución in pasa, y ha tomado tal incremento que el cabildo percibe aun mas de lo que directa sobre los product…</t>
  </si>
  <si>
    <t>Zamora, Andrés</t>
  </si>
  <si>
    <t>Andrés Zamora</t>
  </si>
  <si>
    <t>…ontenía también pendón , cuyo adorno corrió por cuenta del alférez Real, la del cura párroco entre mas cosas, dos gcniecillos sentados en acción de escribir sobre la rodilla vicario foráneo y la del escribano publico y de cabildo D. Andrés Zamora. izquierda el uno estas palabras: Legitimidad y Union, y el otro: Justicia y El frontispicio de la primera era el de un suntuoso palacio de mármoles y jas Prosperidad. Esta mesa fue ocupada por las personas convidadas al sarao á las pes diferentes, cuyas columnas del orden compuesto estaban construi…</t>
  </si>
  <si>
    <t>Zamora, D Pedro Alcalá</t>
  </si>
  <si>
    <t>D Pedro Alcalá Zamora</t>
  </si>
  <si>
    <t>…presentes y venideros, salud.' Sr. D. José María Pedrajas. Hacemos saber que entre No* y la república de Venezuela se ha concluido Sr. Conde de las Navas. un convenio preliminar de amistad, comercio y navegación, firmado en Cara Sr. D. Pedro Alcalá Zamora. cas él día 11 del mes de Marzo del afio de 18331 convenio preliminar,.aúpan St. D. Agustín Aivarez de Sototnayor. ratificaciones se han cangeado en Caracas, el tercer dia del mes de Eneres deá riovtHciA os ■tratar*. Sr. D. José Ctarói. Exc.no. Sr. D. Juan Gualberto González. mrtcio establecidas hac…</t>
  </si>
  <si>
    <t>Zamora, Ildefonso</t>
  </si>
  <si>
    <t>Ildefonso Zamora</t>
  </si>
  <si>
    <t>»’ • ' í dos* todo ello un perjuicio de que ios vecinos dei lugar de Bullado pueden cer- destinos los oficiales 14.* L° del Gobierno civil de Cádiz, D. Roque, rartos cúañdb kréstixnín eotiveniente. : f ■ Aguado y D. Ildefonso Zamora, y nombrados en su reemplazo, oficial pri mero D. Rafael González Llanos, y oficial 4*0 l-° D. Agustín Pinol; D. Manuel Balaguer ^Vecino y fabricante de la ciudad ¿le Barcelona , hi zo presente la necesidad que había de mejorar la calidad é hiladura de nuestras A propuesta de la . dirección general…</t>
  </si>
  <si>
    <t>Zamora, Pedro Alcalá</t>
  </si>
  <si>
    <t>Pedro Alcalá Zamora</t>
  </si>
  <si>
    <t>…sentes y venideros, salud.' Sr. D. José María Pedrajas. Hacemos saber que entre No* y la república de Venezuela se ha concluido Sr. Conde de las Navas. un convenio preliminar de amistad, comercio y navegación, firmado en Cara Sr. D. Pedro Alcalá Zamora. cas él día 11 del mes de Marzo del afio de 18331 convenio preliminar,.aúpan St. D. Agustín Aivarez de Sototnayor. ratificaciones se han cangeado en Caracas, el tercer dia del mes de Eneres deá riovtHciA os ■tratar*. Sr. D. José Ctarói. Exc.no. Sr. D. Juan Gualberto González. mrtcio establecidas hac…</t>
  </si>
  <si>
    <t>Zamora, Pedro Gómez</t>
  </si>
  <si>
    <t>Pedro Gómez Zamora</t>
  </si>
  <si>
    <t>…o Saiz, á D. Benito López Enguídanos, cesante de la contaduría de Valencia! la de oficial primero de ia contaduría, de La compañía oómica. de Sevilla solicitó que por los fondos municipales se Cuenca, vacante por fallecimiento de D. Pedro Gómez Zamora, á D. Igna pagase alguna paTte de la deuda que contrajo durante,la suspensión de funcio cio María Uzcundun, cesante de la suprimida dirección del ramo; y la de ofi nes ocurrida con motivo del fallecimiento del Sr. D. Fernando vtt, y de ia cial de la contaduría de Almena, vacante por cesantía de D.…</t>
  </si>
  <si>
    <t>Zamora, Valencia Ricota María Garelly</t>
  </si>
  <si>
    <t>Valencia Ricota María Garelly Zamora</t>
  </si>
  <si>
    <t>…miento o Santander. delegación'de sus respectivos diocesanos., Tendré i slo entendido, y Teruel. dispondréis lo necesBrio á su mas exacto cumpl¡miento.=Está rubri Toledo. cado de la Real- mano.=EnlAranjuex á 8-de junio de 1854.=A Don Valencia. _ Ricota* María Garelly.- Zamora.</t>
  </si>
  <si>
    <t>Zangos</t>
  </si>
  <si>
    <t>…tado ningún caso nuevo de cólera, ni ha fallecido ninguno Bayona, 00. Alicante, á corto pit Corufla, | d. Valenci*, par. .de lo* 8 convalecientes de que habló en el parte anterior. Añade que en el Burdeos, 00. eo, i d. Granada, 1 d. Zangos*, « i 00. Hamburgo, Barcelona, * n«fe. Málaga, * id. de Descuento letraspueblo de Moscardón han ocurrido tres casos de cólera en una joven y dos an a0 dias, Lóndres, á 1 b. Santander, 4 b. «fe *4*100*1 cianos, habiendo fallecido estos en pocas horas, y curado aquella. *74kl. Bilbao, par. Santiago,…</t>
  </si>
  <si>
    <t>Zapata, Baltasar Antonio</t>
  </si>
  <si>
    <t>Baltasar Antonio Zapata</t>
  </si>
  <si>
    <t>…a de Moscow por Mr M guei Marrochettf, médico-cirujano del hospital de Galitzia, é individuo tas consideraciones, y atendiendo á que ambas columnas tienen algunos heridos de la misma suciedad ; traducida del frduces por el doctor D. Baltasar Antonio Zapata: y enfermos, cuya vida peligra en las marchas, he determinado dejar en esta vi 2.a edición admentada. S* vende 4 3 rs. eo Madrid en la librería de Sojo« lla toda la fuerza correspondiente á Laredo, acuartelada en un edificio sólido, ■ Se halla vacante el partido de médico de los pueblos de Castilru…</t>
  </si>
  <si>
    <t>Zapata, D Baltasar Antonio</t>
  </si>
  <si>
    <t>D Baltasar Antonio Zapata</t>
  </si>
  <si>
    <t>…o-física de Moscow por Mr M guei Marrochettf, médico-cirujano del hospital de Galitzia, é individuo tas consideraciones, y atendiendo á que ambas columnas tienen algunos heridos de la misma suciedad ; traducida del frduces por el doctor D. Baltasar Antonio Zapata: y enfermos, cuya vida peligra en las marchas, he determinado dejar en esta vi 2.a edición admentada. S* vende 4 3 rs. eo Madrid en la librería de Sojo« lla toda la fuerza correspondiente á Laredo, acuartelada en un edificio sólido, ■ Se halla vacante el partido de médico de los pueblos de Castilru…</t>
  </si>
  <si>
    <t>Zapata, Francisco</t>
  </si>
  <si>
    <t>Francisco Zapata</t>
  </si>
  <si>
    <t>…iV7p €iscars posád., id. *, y blecimíentos de beneficencia, ni de causar daño a las personas particulares que ' ' Vá. Jósé 'plSndolit ,'por'TÍ!., id.1 J disfrutaban de parte de sus productos. Cree el Ministerio haber combinado la D. Francisco Zapata, por Cádiz, por hallarse enfermo. justicia y la conveniencia en el proyecto de ley que presenta: resolver este Marques de Astariz, por la Corufia, por hallarse en Pamplona en servicio problema ha sido su conato, su anhelo; las luces y la sabiduría del Estamento militar. decidirán si ha acertado. (L…</t>
  </si>
  <si>
    <t>Zapata, Juan</t>
  </si>
  <si>
    <t>Juan Zapata</t>
  </si>
  <si>
    <t>…illa de Madrid, an te el notario mayor de .so tribunal í&gt;. Lorenío de Motínuévo y Calera, se cita I, ■ 1 por término ,de: $0 diai perentorios al que fuere poseedor del m.yorazgo: fuAdadó Aseó »••«»*»••• .*«•*•*»••»*«» 25 5; 2 por D. Juan Zapata de v JUafuerte, para que en ellos te presente por « 6 por me ' de con de fehaciente uncenso apoderado, acreditar la imposición dccumcnt, á per- dio ■. •J^eoisacet..». 7 %\ ■ 2 SOOinrs. sobre casasen anuales, de una gallina la pétuo y ,ravitáánti,oanienteFatarella. ...... 5 ......................... ..…</t>
  </si>
  <si>
    <t>Zapata, Tomas de Torres y</t>
  </si>
  <si>
    <t>Tomas de Torres y Zapata</t>
  </si>
  <si>
    <t>…n primor y mucho conocimiento de las reglas PROVINCIA SE SORIA. e la perspectiva lineal y de la óptica: unos muchachos jugando á los dados en campó abierto, con actitudes y expresiones las mas naturales, de un dibujo correcto St. D. Tomas de Torres y Zapata, marques de S. Miguel de Groe, y de un colorido verdadero y robusto, cuadro pintado por el caballero sanjuanista Sr. D. Juan Fausto Uñarte. Villavícencio, discípulo de Murillo: Diana bañándose con sus doncellas, en eá acto que descubre la debilidad de Calisto, cuadro que se cree pintó Tiñan» Parte…</t>
  </si>
  <si>
    <t>…os y la consignación de la Casa Real, y lebrada para reemplazar a los Sres. marqueses de Veiamizan y de Viljueña; »c vistió al ejército, que sabido es daba vergüenza ver cómo estaba antes; el sol nombrando en su lugar 4 los Sres. D. Tomas de Torres y Zapata, marques de dado que tenía corbatín , no tenia pantalones; el que tenia camisa no tenia ca San Miguel de Oros, y D- Juan Fausto Uñarte; y las de la de Sevilla para saca ni zapatos , y asi los demas. Las Cortes aplicaron un remedio eficaz, y en reemplazar al Sr. marques de Monsalud f nombrando al Sr…</t>
  </si>
  <si>
    <t>Zara, Toma</t>
  </si>
  <si>
    <t>Toma Zara</t>
  </si>
  <si>
    <t>…edacte un proyecto de ley urbana, dispuesto según el tenor de las Reales ordenanzas "y tácticas vigentes, y la sobre la responsabilidad de los jueces {Núm. 1240 doctrina de ios mejores reglamentos que tratan sobre la materia, por D. Toma» Zara goza, pasarán é recoger en las librerías dondé se hayan suscrito el tomo l.° de dicha .^^concediendo á D. Leopoldo de Gregorio el título de marques de Gri- obra, y aoricipar el importe del 2.°, que está en prensa. Precede á lo principal de los maldi para sí, sus hijos y sucesores. {Id.) asuntos que…</t>
  </si>
  <si>
    <t>Zaragoza</t>
  </si>
  <si>
    <t>…minas, en con Amsterdam, 00. París, 16-2. Cádiz, Hb. formidad con los principios de la actual administración , no se haga novedad Bayona, 00. Alicante, á corto pla Coruña, $ d* Valencia, par. zo, $ d. 00. ^úrdeos, $ id. Granada. d. Zaragoza, | alguna en el órden de conocer y proceder en los asuntos contenciosos. ([Id.) Hataburgo* 00. Barcelona, Málaga, id. á os. fs.. id. Descuento de letras, resolviendo que se lleve á debido efecto lo dispuesto por el Real decreto Lóndres , í 9O días, *b. Santander, $ b. á 4 p* t00 al año. de 3 de May…</t>
  </si>
  <si>
    <t>…días 37) Bilbao par. VevIlU par. sulta que el ¿rttbélde Cuesta y su gavilla, compuesta de 19 hombres * t: Cádiz, | h. Valencia id. d 4 d. qn el peor eataap posible, se hah internado en Portugal en la no Parisiú 1. Córüfii -J á 1 d. Zaragoza | d. che del 25 déí mes último por verse perseguí iosén todas direccio Descuento de letras d 4 p/ roo al año. nes por las valientes tropas de S. M. y los leales habitantes de di cha provincia» ANUNCIOS. tos suscriptorrs i las cibrajs completas de Buj^on, aumentadas por Cuvter. pasaran á la librería…</t>
  </si>
  <si>
    <t>…la Amsterdam, 00. París, !6-2. [Cádiz, 1 b. Sevilla, par. fínica partida que había quedado reunida, matando dos, y cogiendo igual nit— Bayona, 00. Alicante, á corto pía- Coruña, 4 d. Valencia, id. 4 id. ¡Granada, zo , 4 d. 00. 4 d. Zaragoza, ínero de prisioneros corr varios pertrechos y armas. Burdeos, Hamburgo, id. Malaga , id. 00. Barcelona, i ps. fs., de Descuento Es digna de elogio la bizarría y denuedo con que se han portado todos los Londres , á 90 dias, I b. i Sanrand *r , ^ b. i 4 P* 100 alIerras,año. individuos de la columna,…</t>
  </si>
  <si>
    <t>…a Ldodres » 90 días 37} Bilbao par. SevIHa par. movimiento que se intentase en ella por los enemigos del reposo á ). Cádiz 4 b. Valencia Id. á i*. público. Situado dicho general .en Morella con la fuerza de su París 16. Corulla ^ d. Zaragoza j d. Descuento de letras A 4 p. too al afio. mando , observa desde aquel mportante punto todo el pais confi- . ñau te de Aragón y Cataluña, habiendo inútiles las tentativas de . algunas pequeñas partidas formadas de los rebeldes que vagan dis ANUNCIO. persos d&lt;¿de que se destruyó la facción de More…</t>
  </si>
  <si>
    <t>…que Amsterdam, 00. Parí», 16-S. Cádiz, U á 1 b. [Sevilla, | b. habla: la ambigüedad de ¡as voces , ya de alabanza', ya de vituperio, en que se' Bayona, 00. Alicante, ¿corto pla Corofú,'f-*fcr— Valencia, # á | Id» b. J ¿ Granada, ¡d. Zaragoza d. , |sustituyen epítetos en lugar de pruebas, y generalidades vagas en vez de de Burdeos,Hamburgo,00.00. Barcelona,zo, | b. k ps. fs., Málaga, £ Descuento letra*. de mostraciones exactas; yen fin la confusión de las personas con las cosas, cuan-' JLóndres, k 90 dias, id. íd. Santander, 1 id. i 4 p…</t>
  </si>
  <si>
    <t>…nceridad que logra siempre en nuestra nación la causa Lóndres A 90 dias 374 Bilbao par. Sevilla par. de la legitimidad y de la justicia. Peró tampoco se debe omitir que Paris 16 á 15-19 1» jcádlz 4 á i b. Valencia 4 d. (Corulla 4 d. Zaragoza 4 d. este'entusíasfno y esta buena voluntad no solo se han sostenido, sino Descuento de letras á 4 p. 100 al alio. también se han aumentado con la presencia cercana y continua de los fnagtarados tutelares, encargados por el gobierno de S. M. de ANUNCIOS. velar incesantemente sobre ios intereses de…</t>
  </si>
  <si>
    <t>…ncjo extensivo el decreto de 11 dé:Febrero de este año Ldndres 4.90 dias 37j Bilbao par. Sevilla par. París ifi 1. 15-19 s. Cádtz f i i b. Valencia i d. en Ihvór 'dfr- iós individuos déL ejército álós dé la marina Real* Corufla ¿ d. Zaragoza ^ id. .)v ■■ ■■■■■-■ . • Descuento de letras á 4 p. roo al afio. Ifcsd'Órtfen-reHitiva- ¿'las-causis pendientes sobre suministro» heGfioq jj las trópas de Napoleón en la guerra do la independencia, ANUNCIOS. ‘ caá Otrósitres que se reBeren al mismo objeto. (Id.) —-.i ■ ■■■ ------------- . ' '^""Jit…</t>
  </si>
  <si>
    <t>…ls, 16-2 á 3. Cádiz, Uáfb. 'Sevilla, é b. Bayona, 00. Alicante, 3 d. á corro pla Cortina, idé id. Valencia, ción y al reposo doméstico, sin la cual no hay ni felicidad ni prosperidad para 00. Burdeos, zo , á b. id. id. Granada, ¿ d. Zaragoza, . 'lai-nacionesíi Se acercad dia, señores, en que la paz deseada por los hombres Hamburgo, 00. Barcelona, á ps. fs.. Máljga , ¿ M. Descuento de Ierras . sensatos se establecerá naturalmente entre todas las naciones, entre los subditos Londres, k o0 días, 4 á 4 id* Santander, ¿ b. k 4 p« 100 al año…</t>
  </si>
  <si>
    <t>…0. j b. Santiago 1 d. resultaba de los partes relativos al estado sanitario de ambas pobla Lóndres á 90 dias 37$. Bilbao par. Sevilla par. París á 16 á 15-19. Cádiz f á | b. Valencia 4 d. ciones, que,son los siguientes: Corulla | d. Zaragoza j Id. Descuento de letras á 4 p. 100 al afio. Sitado sanitario de la tilla de Estepona desde el dia 29 al 31 de la fecha. Existencia del dia ANUNCIOS. Dias. anterior. Invadidos. Total. Curados. Fallecidos. Graves» Leves. Obrar que re hallan de venta en el derpacko de la imprenta Real. 29 20 15 60 9…</t>
  </si>
  <si>
    <t>…entes notas que dan á este tomo, ademas Lóndres á 90 días 37^. Bilbao par. Sevilla par. del mérito de la filosofía, el de la erudición bien manejada y el de Paris á 16 á 15-19. Cádiz | b. Valencia ¿ d. la buena crítica. Corufia | d. Zaragoza ¡ id. Para dar á nuestros lectores alguna muestra del estilo, siempre Descuento de letras á 4 p. 100 al alio. animado, pero con modestia; siempre elegante, pero con sencillez, Cual requieren las obras históricas, copiaremos solamente dos pasages. El primero es el retrato de D. Henrique iv, llamado…</t>
  </si>
  <si>
    <t>Zaragóza</t>
  </si>
  <si>
    <t>…portante. Lóndresá 90 di as 37 y g. Bilbao par á 4 d. Sevilla par. • Hicimos de 60 a 70 prisioneros. Las autoridades civiles y mi Paris 16 á 15-19. Cádiz j b. Valencia f d. litares huyeron sin tener tiempo para vestirse. CoruBa J d. Zaragóza \ id. Descuento de letras á 4 p. ido al año. Suplico á V. E. que recomiende á la consideración de S. M. I. al mayor Carvalho, ai capitán de marina Liot, y al capitán Bart de los soldados de marina ingleses. Todos los oficiales y demas per ANUNCIOS. sonas en general se portaron con ¡a mayor bizarría…</t>
  </si>
  <si>
    <t>…que es el que ha sacado de Manila y Bayona,Amsterdam,00. 00. París,Alicante,16-5iconoá 6. pla d. Corüña, f Valencia, * dido á conocer á las demas naciones la morera de muchos tallos, y en el se Burdeos, 00. zo, * b. Granada, id. |d. Zaragoza, * &lt;LId. (jo. Hamburgo, Barcelona, b. 1* Málaga, i ps. A, pero versado profundamente de Mr. gundo el manual en todo lo que Morin; de letras, Pescueqto 4 Londres. on dias. t Id. 1* Santander; id. año. al á 4 p. 100 Se refiere este largos hecho , y habiendo y clima por sí mismo cultivó en al 38* á *.…</t>
  </si>
  <si>
    <t>…iago rd. &lt; Sevilla par.1' Logroño 4- Estaban admitidos y filiados en la capital 300 Xdndres ¿ 90 días Bilbao par. - París 16 á 15-19. Cádiz fb. Patencia gd. hombres; y la comisión de revisión ’se ocupaba dia y noche con Corulla 4 d. Zaragoza 4 id, zelo ejemplar en el ejercicio de sus funciones. Descuento de letras á 4 p. roo al afió. Lugo 3. La villa de Rivadeo fue la primera de la provincia que presentó su contingente en la capital el dia 25 de Marzo, á . 1 pesar de ser uno de los pueblos mas distantes. También acreditó su , " ANUNCIO…</t>
  </si>
  <si>
    <t>…1 d. Ebro. Ldndres 4 90 días 37I Bilbao par. Sevilla par. El capitán graduado de teniente coronel D. Ramón Ger, ti París 16 4 l£-i9. Cádiz i b. Valeocia | d. tulado comandante del proyectado batallón 6° de Navarra y l.° Coraba j d. Zaragoza j id. Descuento de letras 4 4 p. 100 al alio. de Aragón, y comisionado por la junta rebelde de Navarra para Teclutar en el alto Aragón , ha sido aprehendido por los fusileros y urbanos de Huesca y Sos, y á estas horas habrá expiado su cri ANUNCIOS. men, con la pena designada por la ley. Zaragoza 13…</t>
  </si>
  <si>
    <t>…1 d. oficiado al ayuntamiento de aquella capital para que dé razón exac Ldndres á 90 dial Bilbao par. Sevilla par. Varis 15 19. Cádiz j b. Valencia * d&lt; ta de las obras necesarias en la huerta, y proponga arbitrios para Corulla i d. Zaragoza ¿ id. ejecutarlas. _ _ ( Se ha nombrado una comisión para informar sobre la cria de Descuento de letras á 4 p. lod al año. • caballos; y se ha remitido un informe sobre el fomento de la agri cultura y la formación de una cartilla rural. Anuncios. Se trata de restablecer ó reemplazar las dos fábrica…</t>
  </si>
  <si>
    <t>…auKBiot* Otero deHerrérot. .......................... 1 1 09 ' ¿HstCTdam.OO. París, 16-1. Cádiz, í b. Sevilla, i b* Bayona, 00. Alicante, 4 cortopla- Cazuña, | d. Valencia, par. 2arZuefá del Mon- Burdeos, 00. so, ¿ d. Granada, 1 d. Zaragoza, f d. 00. Hamburgo, Barcelona, á pt.fi., Málaga, 1 id. Descuento letras da . 4 O0 días, 1 b. ' ié.' .:..6 i 11 Agosto. 2 \ 1 i landres Santander, ¿ b. k 4 p. 100 al año. Sn á 4- Bilbao t par. Santiago, 1 d. - NavarresdeAyuso. 9 á IX idem. .. 12 00 s ■ La Maúlla...... Idem idem... ü • 1 00 1 ANUNCIO…</t>
  </si>
  <si>
    <t>…también es Ldndres á 90 días 37}. Bilbao par. Sevilla par. tén k la vista de las demás facciones que procuran engrosarse. Paria 15-19. Cádiz j b. Valencia } d. En efecto, las de Bárcena y Arroyo que fueron arrojadas de Corulla i d. Zaragoza | id. Descuento de letras á 4 p. 100 al afio. Espinosa y la montaña de Santander, y que aparecidas en Liébana fyeron también allí dispersas, intentan volver á las merindades, y ya lo verificaron algunos grupos, entre ellos uno de 40 caba ANUNCIOS. llos al mando de Negrucla; pero habiendo previsto y…</t>
  </si>
  <si>
    <t>…, destinados por el gobierno de aquella nación á cruzar Bayona, 00. Alicante,á corte pía- Coruña, $ d Valencia, par. sobre las costas orientales de España desde Rosas hasta la embocadura del Ebro Burdeos , 00. so, $ d. Granada, 1 d. Zaragoza, | d. 00. ps. fs.. Barcelona, Hamburgo, á Descuente de letra» Málaga, i td.con el objeto de oponerse á cuanto sea susceptible de favorecer las empresas de . Lóndres 9O días, Santander, $ b. Ib. . i k 4 p* 100 al aña. los rebeldes españoles. BiLbae* par. Santiago, 1 d. Según parte del gobernador de…</t>
  </si>
  <si>
    <t>…ición y se Hamburgo, 00. |b. Santiago j d. dirigió al mismo valle de Arana, en donde debería hallarse por lá Ldodres á 90 días 37I. Bilbao 4 d. Sevilla par. Paris 15-19. Cádiz 4 b. Valencia 4 d. noche la brigada de Oráa. CoruBa 4 d. Zaragoza 4 id. Con estas noticias marché con la reserva hácia Zúfiiga, enca Descuento de letras á 4 p. loo al alio. minándome al mismo valle de Arana, y dirigí la brigada del ge neral LoTetizo á una hora sobre mi derecha al Val de Lana, para lelo al de Arana, y á una hora de distancia de Contrasta, de ma AN…</t>
  </si>
  <si>
    <t>…dres á 90 días 37^. Bilbao ^ d. Sevilla par. de Abril un turno de jornales para la recomposición y construc París 1 g ls. 19 s. Cádiz j b. , Valencia 4 d. ción de caminos, que deberá seguir durante un mes; después de la Corulla { d. Zaragoza { id. siega empezará el segundo turno. Descuento de letras A 4 P- 100 al alio. Finalmente, ha concedido á la villa de Manacor permiso para abrir un teatro de aficionados , é invertir el producto de las repre sentaciones en la mejora mas útil para ei pueblo. ANUNCIOS. Extracto del parte dado con fec…</t>
  </si>
  <si>
    <t>…b. Santiago J i 1 d. bon; los facciosos dejaron 2 muertos y todas las racionas que ha Ldndres á 90 dias 37$ Bilbao J d. Sevilla par. bían exigido á viva fuerza en el referido pueblo. París 15-19. Cádiz % b. Valencia 4 d. CuruBa | d. Zaragoza j Id. Por los partes que. el ministerio de Marina traslada al de la Descuento de letras á 4 p. 10a ai afio. Guerra de los comandantes de las provincias de Tarragona y Tor- , tosa, de fecha-15 y 16 del actual, resultan confirmadas las favora bles consecuencias que ha tenido la derrota de Carnicer, v…</t>
  </si>
  <si>
    <t>…es que sufrían algunos pueblos: Antsterdam , 00*.;. , Bayona 00. Alicante, id» d. ácortopla- Corona* Valencia* f añade dicho general que coq el mismo objeto había hecho salir de Haro un es -00* Burdeos. 1 . z.o, ¿ d. id. Granada, d. Zaragoza , £ cuadrón del l.° de ligeros; y que el brigadier Iriarte esraba el 17 en Balma— tfamburgo » 00. Barcelona, k ps. fs., Malaga, id. id. Descuento de Ierras, seda acahando de fortificar aquel punto para dejar-una guarnición, y emprender Londres* a 90 dias, 1 b. Santander* t b. a 4 p- 100 al año. nue…</t>
  </si>
  <si>
    <t>…m, 00. Pul), 16-7 4 8. Cídír, * 4 * d. Sevilla, * b. esta, y aunque aprovechó la noche para pasar el rio Arlanza y separarse de mi Bayona, 00. Alicante* á corto pía- CoruSa , 4 á 1 id. Valencia* ^ id. zo* j b. 00. * id. 4 Granada d. Zaragoza* $ columna tres leguas, á las doce del dia de hoy, después de vadear el rio mon Burdeos, Humburgo, * b. 00. Barcelona* Malaga * * ps. fs.. de Descuento tando la infantería á grupa de los caballos, la avisté en este pueblo, en nú Londres, 4 90 días, id. id. Santander, 1 id. a 4 p. 100 alletras»año»…</t>
  </si>
  <si>
    <t>…Pozo. Lóndres á 90 días 3?f. Bilbao i d. Sevilla par. Se han pedido noticias sobre los veneros minerales que se cree Varis 15-19. Cádiz 4 b. Valencia 4 d. existen dentro, de los terrenos de Beraton, Carabantes, Agreda, Corulla 4 d. Zaragoza 4 id. Qlhega, Bordvia, Deza, La Miñosa y Villasecas; y ha dispuesto Descuento de letras á 4 p. roo al aBo. que se acrisole por persona inteligente una sustancia ferruginosa con mezcla de estaño que le ha sido presentada. ANUNCIOS. Se va á instruir e! expediente general sobre los empleos con cejales…</t>
  </si>
  <si>
    <t>…. Ha excitado á la sociedad económica para que medite sobre el Ló odres 4 90 dias 37f. Bilbao t d. Sevilla par. París x£ 19 á id. Cádiz $ b. Valencia 4 d. modo de aumentar los productos de las dehesas, multiplicando los Corulla j d. Zaragoza | id. ganados y sustituyendo á la trashumacion otro método de afinar Descuento de letras á 4 p. 100 al alio. la lana, que sea mas sencillo y económico. A propuesta de la misma sociedad se ha empezado á mejorar ANUNCIOS.el arbolado, y se han designado criaderos ó almácigas, tanto para arbolados de p…</t>
  </si>
  <si>
    <t>Zaragoza, Granad Id Id</t>
  </si>
  <si>
    <t>Granad Id Id Zaragoza</t>
  </si>
  <si>
    <t>…na A1ICANTB. Aasstcrdam, 00. iParls, 16-2. Cádla, 14 h. Sevilla* ib. Bayona, 00. I Alicante, í corto pía- Coruña, | d». Valencia* par» Ségutt parte que el gobernador civil de ella da con fecha 26 del corriente, Burdeos, 00. «o, *d. Granad** Id. Id. Zaragoza* ) d. la enfermedad que aflige ¿ varios pueblos de la misma provincia continuaba Hamburgo, 00. Barcelona, í ps. &amp;,] Málaga* ¿ id. Descuéfito de letras* Ióndres Santander * , i 9O días, Blíui., 4 d. 4 á ib. á 4 p. 100 al afio. desarrollándose con fuerza cu Elche y Oribuela, que son los últimos en qu…</t>
  </si>
  <si>
    <t>Zaragoza, Granada Í</t>
  </si>
  <si>
    <t>Granada Í Zaragoza</t>
  </si>
  <si>
    <t>…'fécha 24 del corriente avisa el presidente de la juma superior de Sa £41^003, 00, ,■ Alicante* á corto pla Coro ña, j &lt;L Valencia» id. nidad de Granada que en la ciudad de Motril ¡continuaba disminuyendo el nú Burdeos, 00. zo, ¿ d. Granada» 4 1&lt;Í. Zaragoza* i d. mero do invadidos y fallecidos de la enfermedad que con síntomas alarmantes Hamburgo,.Londres, k 00.qO dias, Barcelona»Ib. k ps. fs., Málaga,Santander;id.| Jd.b. descuentoa 4 p, 100deal letra*,año. había aparecido en ella á mediado* del mes actual, sin que hasta aquella fecha Vio Bilbaof | &lt;L…</t>
  </si>
  <si>
    <t>Zaragoza, Granada Id</t>
  </si>
  <si>
    <t>Granada Id Zaragoza</t>
  </si>
  <si>
    <t>…l. Cádiz, i i |b. Sevilla* par» embargo ha llamado eficazmente su atención. Bayona, 00. Alicante* a corro pla Coruña, £ d» Valencia* id. Ha aprobado la transad on entre el ayuntamiento de aquella ciudad y el ; Buríleos, 00. zo, é d. Granada* £ Id. Zaragoza* * d. arrendatario de las albercas y pozos de nieve de Constantina, y ha dispuesto Hamburgo, 00. Barcelona* á ps. fs.* Málaga, par. Descuento de ietns* que se tasen las obras que necesitan las albercas y se saque su cjecucion á pú Londres37* M-, a TJ0 d Bilbao,1 b* 4 d. Santiago*Santander *jd.^ b.…</t>
  </si>
  <si>
    <t>Zaragoza, Id</t>
  </si>
  <si>
    <t>Id Zaragoza</t>
  </si>
  <si>
    <t>…s. CAMBIOS. Rotterdam, 00. Pfcrlt, 16*7 fc 8. cfcdfrh pttf. Bayona, 00. Al icante, k corto pía* Coroda, j &lt;f. Valencia, i id. Según el parte del capitán general de Castilla la Vieja del 25 desde Lo Burdeos, 00. so, ¿ b. Granada, ¡d. Id. Zaragoza, i d. groño, no había ocurrido novedad en la línea del Ebro. Hamburgo, 00. Barcelona, fcpa.fr,. Málaga, ¿ b. Descuento de letras, 1 id. **p. 100 al año. La facción navarra parece que se halla eü las Amescuas. La división del Londres,JE#. 4 90 días, Bilbao*8 á i £id.d. .Santiago,Santander,4 d, gener…</t>
  </si>
  <si>
    <t>Zarazaga, Manuel Esteban y</t>
  </si>
  <si>
    <t>Manuel Esteban y Zarazaga</t>
  </si>
  <si>
    <t>…Salido, y el trompeta José Bueno. j bierno civil D. Alonso Folache., ~5. M. se ha dignado ascender á esta plaza al _ La fuerza del enemigo consistía en Manolin con mas de 40 caballos y ^oficial tercero-segundo de la misma oficina D. Manuel Esteban y Zarazaga. 40 infantes, á los cuales he estado observando durante algunos dias. Todos los - , 1 ~ oficiales y tropa de "esta columna que tengo el honor de mandar han llenado sus obligaciones con un valor y bizarría sin ejemplar; y asi no puedo menos de La de oficial primero del gobierno civil de Lérida, S. M.…</t>
  </si>
  <si>
    <t>Zarco, Antomo Rcmon</t>
  </si>
  <si>
    <t>Antomo Rcmon Zarco</t>
  </si>
  <si>
    <t>…cn'e decreto. Tendreióo entendido, y dis los dos años de su admisión. pondréis su cumpljrti¡enfo.=K&gt;tá rubricado de la Reu mina—En Palacio á *1 Art- 6.° Por cada hombre que á cuenta de su cupo presenten los pueblos, de Febrero de D. Antomo Rcmon Zarco ¿el Valle. ó por cada sustituto que para cubrir su plaza presenten los mozos á quienes to Dedicada constantemente á indagar cuantos medio* puedan conducir al ali que la suerte, si los sustitutos son de la clase de paisanos pagarán por la prime vio de los pueblos de esta heroica monarquía, que desde…</t>
  </si>
  <si>
    <t>Zarco, Antonio Remon</t>
  </si>
  <si>
    <t>Antonio Remon Zarco</t>
  </si>
  <si>
    <t>…He-de e! rroi - ..e Y M. dispondréis lo necesario para su cumplimiento. Está rubricado de la Real 'curtípliendo con !a saer.ida v -.!unr id He ruoir: le.1: t rr&lt;-b ’ era- O. r&gt;. D Ir, rruno.^En Palacio á 1S ae Enero de 1834-=: A D. Antonio Remon Zarco ie encardó por secunda vez del gobierno de la mor..-.■ .¡n• &gt; , p.. 1-n e. s ordel Valle. tn pr» odo de esta memorable época, se han voto recibir con-, il.Tjb.es rv‘.-/-r«s En consideración á los vastos conocimientos de D- Francisco Martínez de todos los ramos de la administración púh ica. la Rosa…</t>
  </si>
  <si>
    <t>…lo comunicareis i Un hecho incontestable resulta de las últimas noticias de la quien corresponda.=Está rubricado de la Real mano.=En Aran- regencia , y es que ya nada puede impedir al Gobierno ocupar juez á 18 de Abril de 1834*=A D. Antonio Remon Zarco del se en la colonización del litoral de los tres puntos principales, ocu Valle. pados por nuestras tropas. Las tribus de la provincia de Oran han pedido la paz y les ha sido concedida: en Bona se goza de la mas ■ Para la sección de Indias del consejo Real de España é Indias, perfecta seguridad, que no…</t>
  </si>
  <si>
    <t>Zaso, D Fermín</t>
  </si>
  <si>
    <t>D Fermín Zaso</t>
  </si>
  <si>
    <t>…dición de 1819 á 4 rs. eu rústica. D. Antonio Bay mandaban las guerrillas primeras unidos á las compañías de ——Discurso pronunciado en la Real iglesia de S. Isidro de esta corre, por el doctor cazadores de Africa, que mandaron el teniente D. Fermín Zaso y el alférez D. Antonio de posada Rubin de Celis, canónigo de la misma, et día 20 de NoviemD. Joaquín Olea (herido). bre de 1^03 en el aniversario de los militares españoles: un cuaderno en 8.°, edi Cuando mis rápidas operaciones me lo permitan remitiré ¿ V. E. una no ciónra acordóde 1804con, S.á $M.…</t>
  </si>
  <si>
    <t>Zaso, Fermín</t>
  </si>
  <si>
    <t>Fermín Zaso</t>
  </si>
  <si>
    <t>…1819 á 4 rs. eu rústica. D. Antonio Bay mandaban las guerrillas primeras unidos á las compañías de ——Discurso pronunciado en la Real iglesia de S. Isidro de esta corre, por el doctor cazadores de Africa, que mandaron el teniente D. Fermín Zaso y el alférez D. Antonio de posada Rubin de Celis, canónigo de la misma, et día 20 de NoviemD. Joaquín Olea (herido). bre de 1^03 en el aniversario de los militares españoles: un cuaderno en 8.°, edi Cuando mis rápidas operaciones me lo permitan remitiré ¿ V. E. una no ciónra acordóde 1804con, S.á $M.…</t>
  </si>
  <si>
    <t>Zavala</t>
  </si>
  <si>
    <t>…laciones políticas y del mes próximo pasado, prohíbo sigan en el ejército las señoras mercantiles que median entre Francia y los Estados, mejicanos. Se y demas mugeres de todos los individuos, pertenecientes al mismo. dice que el Sr. Zavala trae igualmente instrucciones para solicitar Las que con escándalo de la buena moral y costumbres se reunie del gobierno español el reconocimiento de la independencia de la sen á la tropa, serán conducidas de justicia en justicia hasta el pue América española. (Monitor.) blo de su-naturaleza, para…</t>
  </si>
  <si>
    <t>…en. En este ataque I&gt;. Fetipe v; en la cual se comprenden otros actos públicos y Reales fielmente sacada por J&gt;. José Antonio de Abren y Bertudano. Doce tomos en folio, edición de 1740, k quedaron muertos en el campo el- titulado intendente Zavala y los dos que 24O rs. rama y 29+ en rustica. Hay algunos tonos suelti s en pasta, que si pudiesen . jfueron aprehendidos con él; seguí mi marcha habiendo desaparecido el cnetni- ser toriles k algunos Sres. dipltmÍatico&lt; o letrados. W duran por 110 moderado precio* , ¿t&gt; haber mas desgracia por nuestra parte…</t>
  </si>
  <si>
    <t>Zavala, Antonio Cortés y</t>
  </si>
  <si>
    <t>Antonio Cortés y Zavala</t>
  </si>
  <si>
    <t>…de las autoridades «le policía en este particular : y quedes y dos fiscales: Y nombro para la ptaza de regente á D. Alvaro S. M„ queriendo cese tal escándalo, prohíbe desde ahora la publicaciónGómez Becerra: en clase de oidores á D. Antonio Cortés y Zavala, de dichos papeles, bien sean iinpresosó manuscritos, s’i no están autoá D. Vicente Pereda, á D. Pedro Ayuso, que lo son de la misma, á rizados con las precisas formalidades de la ley: los ciegos ó ¡lefsonasD. Manuel Leonardo Vizmanos, fiscal del crimen de dicha audiencia, que los pregonen serán ar…</t>
  </si>
  <si>
    <t>Zavala, D Juan</t>
  </si>
  <si>
    <t>D Juan Zavala</t>
  </si>
  <si>
    <t>…la mayor parte de los ofi su frente, mientras que e! piquete de caballería de cazadores de la Guardia, di ciales superiores'; también se felicitan de la buena inteligencia que mantienen rigido por mí ayudante de campo el teniente-coronel D. Juan Zavala, por el con los militares de Vaud. subteniente de cazadores ,de Isabel ii D. Toribio de An^ótegui, y mandado »Se temía que hubiese algunos desórdenes el domingo, pero no ha sucedi por el alférez de dicho cúerpó D. Francisco de Paula Villar, lo efectuaba por do asi-” {D*do JWíV*) la espalda. Los ene…</t>
  </si>
  <si>
    <t>Zavala, D Víctor</t>
  </si>
  <si>
    <t>D Víctor Zavala</t>
  </si>
  <si>
    <t>…. E. mu ragol. chos años. Alcañiz y Abril 21 de 1834—Excmo. Sr.=Juan José Aguavera.es » Al feliz éxito de esta Operación ha contribuido la celeridad con que el te Excmo. Sr. capitán general de Aragón.” =Es copia.=Ezpelcta. niente coronel D. Víctor Zavala , capitán del provincial de Búrgos, con su co lumna de ISO hombres de dicho cuerpo y del 12 de Enea de-infantería, apa Gobierno militar y político de la ciudad de Jaca y su partido—Exce reció desde Jabierregay sobre Hecho, donde estaban los facciosos, en cuyos lentísimo Señor: El teniente graduado…</t>
  </si>
  <si>
    <t>Zavala, Juan</t>
  </si>
  <si>
    <t>Juan Zavala</t>
  </si>
  <si>
    <t>…en la persecución del dia siguiente; el de igual clase D. Joaquín Bassold que se incorporó y mantuvo en ANUNCIOS*los puntos d« mayor riesgo durante la acción: lo son asimismo por haber obra do del mismo modo el ayudante de campo D. Juan Zavala, capitán del 4 ° re Obpas que se hallan de veníale* el desfacha de la imprenta Real* gimiento de caballería ligera, el de la plana mayor, teniente de la Guardia, Real Instrucción adicional ¿ los artículos 10 y 35 de la ordenaoza de reemplazos O. José Orive, y ct teniente del mismo cuerpo D. José Fe…</t>
  </si>
  <si>
    <t>…parte de los ofi su frente, mientras que e! piquete de caballería de cazadores de la Guardia, di ciales superiores'; también se felicitan de la buena inteligencia que mantienen rigido por mí ayudante de campo el teniente-coronel D. Juan Zavala, por el con los militares de Vaud. subteniente de cazadores ,de Isabel ii D. Toribio de An^ótegui, y mandado »Se temía que hubiese algunos desórdenes el domingo, pero no ha sucedi por el alférez de dicho cúerpó D. Francisco de Paula Villar, lo efectuaba por do asi-” {D*do JWíV*) la espalda. Los ene…</t>
  </si>
  <si>
    <t>Zavala, Víctor</t>
  </si>
  <si>
    <t>Víctor Zavala</t>
  </si>
  <si>
    <t>…ragol. chos años. Alcañiz y Abril 21 de 1834—Excmo. Sr.=Juan José Aguavera.es » Al feliz éxito de esta Operación ha contribuido la celeridad con que el te Excmo. Sr. capitán general de Aragón.” =Es copia.=Ezpelcta. niente coronel D. Víctor Zavala , capitán del provincial de Búrgos, con su co lumna de ISO hombres de dicho cuerpo y del 12 de Enea de-infantería, apa Gobierno militar y político de la ciudad de Jaca y su partido—Exce reció desde Jabierregay sobre Hecho, donde estaban los facciosos, en cuyos lentísimo Señor: El teniente graduado…</t>
  </si>
  <si>
    <t>Zayas</t>
  </si>
  <si>
    <t>…ecretario. to Real &lt;$c id. 361. También se trató del nombramiento de otro secretario, por haber queda Las pérdidas ocasionadas en Francia por los temporales acaecidos en los do uno solo á consecuencia del fallecimiento del citado-Sr. Zayas, y quedó dos últimos meses se valúan en dos millones. electo el Sr. D. Nicolás de Cárdenas y Manzano, acordándose que se le oficia se por*el Excmo. Sr. presidente, participándole el nombramiento, que espera la v r Eí nuevo catálogo de la galería de pinturas dpi Louvre contiene 1358 junta aceptará,…</t>
  </si>
  <si>
    <t>Zendrera, José María</t>
  </si>
  <si>
    <t>José María Zendrera</t>
  </si>
  <si>
    <t>…esta será la lección que constante á. loa .rebeldes. , „ mente recibirán de nuestras leales trepas, siempre que osaren presentarse ante Las compañías que formaba ti el reteo.á las órdenes del Segundo comandan* ellas. te de Soria D. José María Zendrera, ocuparon desde luego la altura, pues su No recomiendo á V. E. el mérito particular de cada uno, solo puedo de posición mas inmediata les facilitó esta operación para servir al mismo tiempo cirle que los hechos de valor y lealtad se multiplicaban en todos los puntos da apoyo á la brigada de Villaca…</t>
  </si>
  <si>
    <t>Zielinski, Cárlos</t>
  </si>
  <si>
    <t>Cárlos Zielinski</t>
  </si>
  <si>
    <t>…años serán reducidos á 2, y los sentenciados á 2 misión de 26 individuos, presidida por el corregidor, esta encargada de velar lo serán á 1. el cumplimiento de las resoluciones de la asamblea. (.Id.) «Queda perdonado el teniente coronel Cárlos Zielinski á causa de su con ducta. En cuánto á los criminales y malhechores que se han ocultado después ____ Se han recibido noticias de S. Juan y de Cantón. Las de S. Juan, que al dé acabada la rebelión, estando acusados de crímenes que los excluyen de la canzan hasta fines de Setiembre, anuncian que casi e…</t>
  </si>
  <si>
    <t>Zimora, Alcalá</t>
  </si>
  <si>
    <t>Alcalá Zimora</t>
  </si>
  <si>
    <t>…patria, me parece Fernando. Yo estaba en aquella sesión, no como diputado, que ahn no lo era, que no puede ni debe reconocerse el empréstito de Guebhard.” sino como espectador. Un Sr. Diputado por Sevilla , llamado Reina , fue El Sr. Alcalá Zimora pid.ó que se preguntase ti el puntó estaba suficien quien la dijo; se levantó al hablarse de cómo se había de recibir al Rey, y di temente discutido; y habiéndolo verificado el Secretario Trucha, resultó que jo: «Si el Sr. Rey D. Fernando yiene á España.deberá ser absoluto, como fue no por 43 contr…</t>
  </si>
  <si>
    <t>Zirate, Eerenguelá Joaquín Ortizde</t>
  </si>
  <si>
    <t>Eerenguelá Joaquín Ortizde Zirate</t>
  </si>
  <si>
    <t>…io el parte qui con fe los castillos y fortalezas que mandaba cuando quedó de Reina en Castilla y cha de 1&amp; del corriente le remite desde Chaves el gefe de la plana mayor Don león. D. Lope de Haro, que fué despachado por la Reina Doña Eerenguelá Joaquín Ortizde Zirate, que es como sigue: «Por mi oficio del 11 anuncié á despiesde haberla jurado como sucesora de su hermano D Henrique, para V. S. que las autoridades portuguesas me pedían auxilio para destruir la facción alcanzar del Rey de león á su hijo mayor D. Fernando, tan caro á los espa compuesta de españoles…</t>
  </si>
  <si>
    <t>Zografos</t>
  </si>
  <si>
    <t>…gunos regalos á Haiil Hifaat bajá nos tienen de que se verifique una reacción, porque la aristocracia humillada con el plausible motivo de sus bodas. ésplota hábilmente la malevolencia popular contra los polacos para dirigirla El señor Zografos enviado de la corte de Grecia cerca de este soberano, después contra el poder que los proteje. llegó aqui hace algunos días é hizo sus visitasá todos los gefes de las legaciones En cuanto i los proyectos de reacción de que han hablado los periódicos en extrangeras. La Puerta no le ha recibido todav…</t>
  </si>
  <si>
    <t>Zograpbos</t>
  </si>
  <si>
    <t>…bjeto que el asignado primitivamente á su esta tablar nuevas negociaciones para que sé le devuelva él derecho de señorío sobre blecimiento. (fialignanys Mcuengcr^) esta parte del Africa. El embajador griego cerca de la Puerta, el Sr. Zograpbos, ha logrado en ------ General mente se cree por las personas mejor informadas qué los ministros fin una audiencia del gran visir, á que se seguirá muy pronto otra del Sultán. están discordes sobre el destino que debe darse á la propiedad de la Iglesia de Se ha dilatado hasta el mes de Setiembre pró…</t>
  </si>
  <si>
    <t>Zographos</t>
  </si>
  <si>
    <t>…'nombre del esposo y del respeto á las leyes. Sin embargo vemos que posteriormente se han desen que-se destina á la segunda. gañado , y que todo temor de disturbios en nuestro país ha desaparecido de sus -El ministro de Grecia el Sr. Zographos no había aun obtenido audiencia ánimos. (Id.) -albina'del Sultán, lo cual ba producido una desagradable impresión. Se conti nuaban-con la anayor actividad los trabajos de la marina, igualmente que la ____ Dice el Times en un artículo redactado al parecer ccm mucha circutisptc- •otgaoizaeiomdel-ejér…</t>
  </si>
  <si>
    <t>Zorrilla</t>
  </si>
  <si>
    <t>…escritos de este célebre químico y eco nomista francés, redactada por el traductor, y un prólogo de este mismo, en que expone el plan de la obra castellana: porque como anuncia su título, no es ANUNCIOS. ufia mera traducción. El Sr. Zorrilla ha omitido todos los artículos del original Los suscri plores r la obra Diccionario enciclopédico de teología por M, Bergier* que interesando exclusivamente á los franceses, y no conteniendo principios ge pueden acudir 4 las'librerías donde enea suscritos, !&gt;ara recoger el cuaderóo £•&gt; (Set nerales…</t>
  </si>
  <si>
    <t>Zorrilla, Manuel</t>
  </si>
  <si>
    <t>Manuel Zorrilla</t>
  </si>
  <si>
    <t>…ido de .Sigüenza. linar Garda* D- Gabriel Trucha* D. Justo Fernandez, menor, D. Manuel de ¡PROVINCIA DE KADRID. la Peña, D. Gabriel de Ve lasco , D. Lázaro de Arredondo, D. Gil García, D. Indalecio del Corral, D. Miguel Garmilla, D. Manuel Zorrilla; y en Del parte recibido el dia'20 del actual en el«3*ebíern©.'civil&gt;de».esta propartícularal capitán de Betanzos O. Vicente María Seguróla. -vincia aparece queel dia*I6 delqiropio había en-Carábanchél-alio 3B enfer- -mos, de los cuales curaron 17., y-no-murió-ninguno; y .que^el-dia.2u habia en SI…</t>
  </si>
  <si>
    <t>Zu, Tomas</t>
  </si>
  <si>
    <t>Tomas Zu</t>
  </si>
  <si>
    <t>…locadas sus dos piezas de cuarto de hora, antes de pocos momentos vais á ser abrasados. Cuartel gene artillería se me llamó de la casa mas inmediata por una muger anciana, aya ral de Peralta 8 de Noviembre do L8$4-:=El comandante general Tomas Zu en mi niñez, suplicándome hiciese parar el fuego: se acerca con las lágrimas en malacarregui.—A lee que se encierran en el fuerte de esta villa.” los ojos á una de las aspilleras, y puso en mi manó los. dos oficios que por 2.° «La amistad y el recuerdo de lo que dgbó a su tía de V. ponen-la plu , c…</t>
  </si>
  <si>
    <t>Zuaznabar, D Miguel Antonio</t>
  </si>
  <si>
    <t>D Miguel Antonio Zuaznabar</t>
  </si>
  <si>
    <t>…rtin Lucas, Doña Gerónim» Duran y Diego tacion de ios maestros , y estos deben estar bien remuneiados para obtenerlos ca Cortavilla. paces de su alto ministerio, parece no podrán conseguirse de pronto estos efec Los herederos del Sr. D. Miguel Antonio Zuaznabar , gefe que fue del tos , si por una parte no se aligera al pueblo de sus^argas fútiles, y por otra Real guardatopa, no se distribuye el producto de ios impuestos en proporción á esta necesidad El convento de agonizantes de S. Dámaso de la calle de Fuencarral. moral. El patronato Real de legos y mem…</t>
  </si>
  <si>
    <t>Zuaznabar, Miguel Antonio</t>
  </si>
  <si>
    <t>Miguel Antonio Zuaznabar</t>
  </si>
  <si>
    <t>…Lucas, Doña Gerónim» Duran y Diego tacion de ios maestros , y estos deben estar bien remuneiados para obtenerlos ca Cortavilla. paces de su alto ministerio, parece no podrán conseguirse de pronto estos efec Los herederos del Sr. D. Miguel Antonio Zuaznabar , gefe que fue del tos , si por una parte no se aligera al pueblo de sus^argas fútiles, y por otra Real guardatopa, no se distribuye el producto de ios impuestos en proporción á esta necesidad El convento de agonizantes de S. Dámaso de la calle de Fuencarral. moral. El patronato Real de legos y mem…</t>
  </si>
  <si>
    <t>Zubiaga</t>
  </si>
  <si>
    <t>…el siguiente extracto. que el coronel Allende encargado del E. M. N. viniese á esta plaza: para que »E1 teniente general previene i la división que se han manifestado algu "niciéie lo mismo lá escolta del gobierno, y para que el coronel Zubiaga fuese nos casos de cólera en el distrito de Bauca, ocupado por un destacamento dd Separado del mando del batallón Cuzco, y le sustituyese el teniente coronel 18 de ligeros. Ningún soldado ha sido atacado; y en la visita que ha hecho el yivanco. teniente general á los acantonamientos de este regimie…</t>
  </si>
  <si>
    <t>…Lima, no quisieron mandarle la fuerza que estaban dispuesto* á emplear en su á la otra. destrucción. . Sin embargo de estar ya Ja sedición declarada, el Gobierno temblaba al El único á quien se quiso separar de su comisión fue al coronel Zubiaga. verse en La triste necesidad de disparar la primer bala en una guerra fratricida^ Él infrascrito ha manifestado antes, y es bastante sabido, quién es este gefe, pero los sediciosos no tuvieron estas consideraciones. Un bote armado fue man y las razones que se tuvieron presentes para ordeñar su sepa…</t>
  </si>
  <si>
    <t>Zugarramurdi</t>
  </si>
  <si>
    <t>…os. Sevilla 12 de Febrero de 1834*=Exce-l I-hombres al mando de Sagastíbelza tenían sitiado y en el mayor apuro en la lentísimo Señor.=Miguel• Tacon.=Excma Sr. Secretario de Estado y del Des-] [casa fuerte de Elizondo al teniente coronel Zugarramurdi, que con 120 hom- pacho del Fomento general del remo. , I Ibres de voluntarios de Isabel n_y carabineros de costas y fronterp se defendía Segundo. Excmo. Sr.: El presidente de la junta de Sanidad de Montellano I [-valientemente, determiné salir en persona a socorrerlos con la brigada del bri- me di…</t>
  </si>
  <si>
    <t>…ados por estos bravos, cuya contestación fue 1, Bayona 14 de Setiembre, de morir por Isabel ii; viendo tan heroica resolución dieron fuego á las prin cipales casas, haciéndolo basta el número de unas 30, intentando, pero «n va El coronel Zugarramurdi, con la actividad que le es propia , practica mo no,.hacerlo con la de la villa (punto de mayor defensa), que solo lograron sa vimientos en el radío de su posición de Eiizoodo, habiendo entrado en Val— desplomase el relox. Carlos, donde aprehendió tteá mugeres; captura de importancia por las relaci…</t>
  </si>
  <si>
    <t>Zuhetos</t>
  </si>
  <si>
    <t>….,• 00» Barcelona,zo, * 4, á m. ft,, Granada,Malaga, id.* áid.* id* DescuentoZaragoza, |déid.letras^ Lóndres, a 90 dias, ib. Saorander, * b. - á 4 p.100 «laño* * Villa del Rio.. 7 i 9 idem.... 4S 23 5 58. Bilbao* * d. Santiago, 1 d. Zuhetos............. 6 í 9 ídem.... 2 6 11 5 ANUNCIOS. PROVINCIA DE JAEN* Obras (lúe si hallan de ventó en el despacho de la imprenta Real. Parte sanitario de los pueilos que en (i se expresan. Arte de la cria del gusano de la seda, por D. Juaij Lañes y Duvai, edición de 17$7’ Un tomo en 8.° á i rs. rama y 8 en pasta c…</t>
  </si>
  <si>
    <t>Zuma, Miguel Antonio</t>
  </si>
  <si>
    <t>Miguel Antonio Zuma</t>
  </si>
  <si>
    <t>…articulares en favor de los pobres encarcelados, de que llevará _____nombrando regentes de Us Reales audiencias de Albacete y Burgo» a Don cuenta y razón. Hará que de este fondo se distribuyan diariamente dos ranchos Pedro Simo y D. Miguel Antonio Zuma 1 acartegui. (/*4) i proporcionados al número de presos, uno por la mañana y otro por la tarde, Real orden mandando que Us audiencias remitan todos los años un estado ge- I que sean suficientes para satisfacer sus necesidades, y que ademas se abonen á ncral de las causas criminales fenecidas en pri…</t>
  </si>
  <si>
    <t>Zumalacarrcgui, Eedoyasobrc</t>
  </si>
  <si>
    <t>Eedoyasobrc Zumalacarrcgui</t>
  </si>
  <si>
    <t>…n de las piezas en que se hallan establecidas Según las últimas noticias de las provincia Vascongadas, el 28 marchaban k mayor parte de ellas: desde el dia 2 del corriente se hace diariamente la reunidos el general Espartero y el brigadier Eedoyasobrc Zumalacarrcgui , que limpieza de las calles: se ha principiado á ejecutar la clasificación de los.men retirándose delante de nuestras tropas, habia llegado á Azpeitia y Azcoitia; de digos, y concluida, que será en breve, saldrán de la capital los forasteros, previa cuyas resultas el brigadier Jáuregui con las fue…</t>
  </si>
  <si>
    <t>Zumalacarregui</t>
  </si>
  <si>
    <t>…el 3. legas y yo adoptamos por base de nuestra administración, principios que espe La deserción era tal en la facción, que el 24 de Setiembre último dió una ramos merecerán la confianza y el apoyo de nuestros conciudadanos. órden general Zumalacarregui, en que hablando de lo escandaloso de día, fija «El primero y preferente será consolidar la Constitución,cstabíecerla com- la pena de muerte i los desertores, con otras prevenciones muy señeras, ett 4$ pletameatc , arreglar tan pronto como lo puntúan las fuerzas humanas lias di cuales inculca la ne…</t>
  </si>
  <si>
    <t>Zumb, Tomas</t>
  </si>
  <si>
    <t>Tomas Zumb</t>
  </si>
  <si>
    <t>…on elogios de stia pa miáiiiosscntimienloe animan.á todala guarnición..Fuerte de Peralta 8 de No- dres y maestros, ni ó, comprender las bellezas, n¡;i adquirir «1 gusto de I» , viembre de 1B34==EI comandante Fermín de Irachett.=A D. Tomas Zumb buena poesía. " ' ' ; ía carregui.” 4° ”D- Juan Antonio: Nunca manché mi conducta con ninguna debili dad , y mi existencia la miraria como un oprobio , si solo me ocurriese la XB4I tOTBRJA SOSBIVA 1 idea de rendirme. Eq mí mtlérte- solo fundará Vi la victoria: este es mi de V ber, sin que el temor…</t>
  </si>
  <si>
    <t>Zumcta, Antonio</t>
  </si>
  <si>
    <t>Antonio Zumcta</t>
  </si>
  <si>
    <t>…étza en U; cumbre hace impracticable la subida con solo echar á rodar piedras, como ya se .empezó i verificar contra una guerrilla mandath pifrfér recibido}' tala secretarla de JEstado y del Ufespacho de la Guerra* por el capitán D. Antonio Zumcta, hizo cesar*el fuégo y tocar llamada, dir* í rlfe El canaendante genial de las provincias Vascongada* coo (f«cha 5 del ac- poniendo que e] subteniente adietó á la plana xfayor D. Leandro-Bernabé* cc Wv &amp; ¿ trt* mísituvio el liguKtttMpartf., \ ipunisasc U- orden ^Foorotteí -UrreizrieUj pam que Yenni…</t>
  </si>
  <si>
    <t>Zumcta, D Antonio</t>
  </si>
  <si>
    <t>D Antonio Zumcta</t>
  </si>
  <si>
    <t>…corta fuétza en U; cumbre hace impracticable la subida con solo echar á rodar piedras, como ya se .empezó i verificar contra una guerrilla mandath pifrfér recibido}' tala secretarla de JEstado y del Ufespacho de la Guerra* por el capitán D. Antonio Zumcta, hizo cesar*el fuégo y tocar llamada, dir* í rlfe El canaendante genial de las provincias Vascongada* coo (f«cha 5 del ac- poniendo que e] subteniente adietó á la plana xfayor D. Leandro-Bernabé* cc Wv &amp; ¿ trt* mísituvio el liguKtttMpartf., \ ipunisasc U- orden ^Foorotteí -UrreizrieUj pam que Yenni…</t>
  </si>
  <si>
    <t>Zumel</t>
  </si>
  <si>
    <t>…orazgo de Sarrion, quien pudo salvarse por la velo Andriani.rcExcmo. Sr. capitán general del ejército y reino de Ara- cidad de su caballo. gon.c=Es copia.=Ezpeleta. Recomiendo con eficacia el importante servicio que el expre sado sargento Zumel ha hecho á la tranquilidad de aquel país , con la muerte del cabecilla Sanz, hombre cruel y sanguinario, hacien Excmo. Sr.: Parece indudable que el Pretendiente se refugió á do también un particular elogio de la bizarría e incansable activi Santarem, según todas las noticias mas verídicas y contest…</t>
  </si>
  <si>
    <t>Zumeta, Antonio</t>
  </si>
  <si>
    <t>Antonio Zumeta</t>
  </si>
  <si>
    <t>…eña eminencia que se encuentra en la salida del pueblo y gos , ha hecho brillar la intrepidez de toda la compañía, la de su arrojado y su flanco izquierdo: no tardaron los rebeldes en desplegar una numerosa línea valiente capitán D. Antonio Zumeta, la de los tenientes D. Miguel Ibarreta de tiradores sobre nuestros puntos, siendo careado el de la derecha con intre y D. Pedro Argoti, y la del hijo del capitán D. Miguel , de edad de 15 años, pidez por fuerzas considerables y cabal 1ería , Io que le obl.có á ceder la posición, que fue uno de los…</t>
  </si>
  <si>
    <t>…noche del pueblo de Montalban con cl cuarto pelotón compuesto de llón de U columna guipuzco.ma D. Anselmo Iñurrigarro; e! capiían de la ].* Ja segunda de cazadores y cuarta del mismo, por órden que me comunico el compañía de ella D. Antonio Zumeta y el de la 2.a D. Isidoro Jrocheta : los Sr. teniente coronel mayor del cuerpo , pan que dirigiese mi marcha al pueblo oficia/es de ía compañía de cazadores del batallón de San Fernando, teniente de Torre Jas Arcas, porque se decía se hallaban en aquel*punto los faccioso®, D. Nicolás Suarez y subteni…</t>
  </si>
  <si>
    <t>Zumeta, D Antonio</t>
  </si>
  <si>
    <t>D Antonio Zumeta</t>
  </si>
  <si>
    <t>…una pequeña eminencia que se encuentra en la salida del pueblo y gos , ha hecho brillar la intrepidez de toda la compañía, la de su arrojado y su flanco izquierdo: no tardaron los rebeldes en desplegar una numerosa línea valiente capitán D. Antonio Zumeta, la de los tenientes D. Miguel Ibarreta de tiradores sobre nuestros puntos, siendo careado el de la derecha con intre y D. Pedro Argoti, y la del hijo del capitán D. Miguel , de edad de 15 años, pidez por fuerzas considerables y cabal 1ería , Io que le obl.có á ceder la posición, que fue uno de los…</t>
  </si>
  <si>
    <t>Zúñiga, D Miguel Cor.an y</t>
  </si>
  <si>
    <t>D Miguel Cor.an y Zúñiga</t>
  </si>
  <si>
    <t>…favor de provincia, na xa casulla. 'facuadrupti. aliante, ni ^cl Fiiinonte qüé tó-dé'ó temprano .debe, incorporarse : ,Sr. D. Pedro,Bertnudez del Villar. en étfa'para‘iío“pefder la Suboystsin.compensaacm.alguna, fesultán para nos Sr. D. Miguel Cor.an y Zúñiga. otros del tratado en virtud del cual los Pretendientes han sido expulsados de la Sr, Marques de Astarú. Península , ventajas de poSfCÍdh incoftfettaS)lis. Sr. D. J acobo Florea." Por‘ejemplo, la Inglaterra dejando el arar libre á nuestra marina, mas dies Sr. D. Manuel Gutiérrez Caricdes. tra y pqtf…</t>
  </si>
  <si>
    <t>Zúñiga, Miguel Cor.an y</t>
  </si>
  <si>
    <t>Miguel Cor.an y Zúñiga</t>
  </si>
  <si>
    <t>…r de provincia, na xa casulla. 'facuadrupti. aliante, ni ^cl Fiiinonte qüé tó-dé'ó temprano .debe, incorporarse : ,Sr. D. Pedro,Bertnudez del Villar. en étfa'para‘iío“pefder la Suboystsin.compensaacm.alguna, fesultán para nos Sr. D. Miguel Cor.an y Zúñiga. otros del tratado en virtud del cual los Pretendientes han sido expulsados de la Sr, Marques de Astarú. Península , ventajas de poSfCÍdh incoftfettaS)lis. Sr. D. J acobo Florea." Por‘ejemplo, la Inglaterra dejando el arar libre á nuestra marina, mas dies Sr. D. Manuel Gutiérrez Caricdes. tra y pqtf…</t>
  </si>
  <si>
    <t>Zúñiga, Salvador Ruiz</t>
  </si>
  <si>
    <t>Salvador Ruiz Zúñiga</t>
  </si>
  <si>
    <t>…o y añojo que fue xxu aomirjcion y la su acostumbrada benevolencia, dándole á besar su Real mano, y mostrándose de todos sus compañeros. plenamente satisfecha de sus leales y dignos sentimientos. El capitán de cazadores de Borbon D. Salvador Ruiz Zúñiga y el de grana- ^ertis del mismo cuerpo D. Agustín de Luque, se arrojaron ios primeros con . Atendiendo á los conocimientos, á la lealtad minea desmentida del duque muy pocos soldados sobre la cresta de la montaña, era lo mas cni.cn de íj ac de O-br , y1 al desinterés é inteligencia con que ha desempe…</t>
  </si>
  <si>
    <t>Zúrla</t>
  </si>
  <si>
    <t>…o Vaccino (Forum Romanum3, donde fue mero de vbges de los barcos de vapor en solo el Reino-Unido : recibido por ¿1 pueblo con' las mas vivas aclamaciones y muestras de respeto. 1833 cabotages 11,4&lt;&gt;1 viages 1AÓ2,089 toneladas. £1 cardenal Zúrla, vicario general del Papa, trata de emprender un viage 1832 10,392 1.5 Ol,ó49 para Sicilia con el objeto de visitar ios conventos que dependen de su jurisdicción. 1833 p. puertos extrangeros 1,305 132,921 Madama Leticia Bonapartc, que ha cumplido 8 S años, ha tenido durante 1832 1,112 98,115 algunp…</t>
  </si>
  <si>
    <t>Zurro, Juan</t>
  </si>
  <si>
    <t>Juan Zurro</t>
  </si>
  <si>
    <t>…n su correspondiente acompañamiento de ór— del 7 de Julio el de la Gobernación de la Península. Hizo, en aquéllas difíci 'gaño; distribuido para las dos noches de pascua, días 4e Inocentes, año nuevo y Reyes; se hallara a real eí Alcalde Juan Zurro«a, y a ó rs. la música en la librería de Cuesta: les circunstancias servicios eminentes á la nación y al trono', basta el 5 de puede ir en carca. Agosto del mismo año, eti que se le admitieron sus repetida renuncias en ------Descripción , uso y ventajas de la Sesma hidráulica, establecida en Montii…</t>
  </si>
  <si>
    <t>Fuentes oficiales y criterio de elaboración · 1834</t>
  </si>
  <si>
    <t>480 archivos · 2012 páginas · enlaces al facsímil oficial</t>
  </si>
  <si>
    <t>Archivo</t>
  </si>
  <si>
    <t>Páginas PDF</t>
  </si>
  <si>
    <t>Registros del índice</t>
  </si>
  <si>
    <t>Facsímil completo</t>
  </si>
  <si>
    <t>GMD-1834-1.pdf</t>
  </si>
  <si>
    <t>GMD-1834-2E.pdf</t>
  </si>
  <si>
    <t>GMD-1834-3.pdf</t>
  </si>
  <si>
    <t>GMD-1834-4.pdf</t>
  </si>
  <si>
    <t>GMD-1834-5.pdf</t>
  </si>
  <si>
    <t>GMD-1834-6.pdf</t>
  </si>
  <si>
    <t>GMD-1834-7.pdf</t>
  </si>
  <si>
    <t>GMD-1834-8.pdf</t>
  </si>
  <si>
    <t>GMD-1834-9.pdf</t>
  </si>
  <si>
    <t>GMD-1834-10.pdf</t>
  </si>
  <si>
    <t>GMD-1834-11.pdf</t>
  </si>
  <si>
    <t>GMD-1834-12.pdf</t>
  </si>
  <si>
    <t>GMD-1834-13.pdf</t>
  </si>
  <si>
    <t>GMD-1834-14.pdf</t>
  </si>
  <si>
    <t>GMD-1834-15.pdf</t>
  </si>
  <si>
    <t>GMD-1834-16.pdf</t>
  </si>
  <si>
    <t>GMD-C-1834-16.pdf</t>
  </si>
  <si>
    <t>GMD-1834-17.pdf</t>
  </si>
  <si>
    <t>GMD-C-1834-17.pdf</t>
  </si>
  <si>
    <t>GMD-D-1834-17.pdf</t>
  </si>
  <si>
    <t>I00074-00074.pdf</t>
  </si>
  <si>
    <t>GMD-1834-18.pdf</t>
  </si>
  <si>
    <t>GMD-C-1834-18.pdf</t>
  </si>
  <si>
    <t>GMD-1834-19.pdf</t>
  </si>
  <si>
    <t>GMD-1834-20.pdf</t>
  </si>
  <si>
    <t>GMD-1834-21.pdf</t>
  </si>
  <si>
    <t>GMD-1834-22.pdf</t>
  </si>
  <si>
    <t>GMD-C-1834-22.pdf</t>
  </si>
  <si>
    <t>GMD-1834-23.pdf</t>
  </si>
  <si>
    <t>GMD-1834-24.pdf</t>
  </si>
  <si>
    <t>GMD-C-1834-24.pdf</t>
  </si>
  <si>
    <t>GMD-1834-25.pdf</t>
  </si>
  <si>
    <t>GMD-1834-26.pdf</t>
  </si>
  <si>
    <t>GMD-1834-27.pdf</t>
  </si>
  <si>
    <t>GMD-1834-28.pdf</t>
  </si>
  <si>
    <t>GMD-1834-29.pdf</t>
  </si>
  <si>
    <t>I00139-00140.pdf</t>
  </si>
  <si>
    <t>GMD-1834-30.pdf</t>
  </si>
  <si>
    <t>GMD-1834-31.pdf</t>
  </si>
  <si>
    <t>GMD-1834-32.pdf</t>
  </si>
  <si>
    <t>GMD-1834-33.pdf</t>
  </si>
  <si>
    <t>GMD-1834-34.pdf</t>
  </si>
  <si>
    <t>GMD-1834-35.pdf</t>
  </si>
  <si>
    <t>GMD-1834-36.pdf</t>
  </si>
  <si>
    <t>GMD-C-1834-36.pdf</t>
  </si>
  <si>
    <t>GMD-1834-37.pdf</t>
  </si>
  <si>
    <t>GMD-C-1834-37.pdf</t>
  </si>
  <si>
    <t>GMD-1834-38.pdf</t>
  </si>
  <si>
    <t>GMD-1834-39.pdf</t>
  </si>
  <si>
    <t>GMD-1834-40.pdf</t>
  </si>
  <si>
    <t>GMD-1834-41.pdf</t>
  </si>
  <si>
    <t>GMD-C-1834-41.pdf</t>
  </si>
  <si>
    <t>GMD-1834-42.pdf</t>
  </si>
  <si>
    <t>GMD-1834-43.pdf</t>
  </si>
  <si>
    <t>GMD-1834-44.pdf</t>
  </si>
  <si>
    <t>GMD-1834-45.pdf</t>
  </si>
  <si>
    <t>GMD-1834-46.pdf</t>
  </si>
  <si>
    <t>GMD-1834-47.pdf</t>
  </si>
  <si>
    <t>GMD-1834-48.pdf</t>
  </si>
  <si>
    <t>GMD-1834-49.pdf</t>
  </si>
  <si>
    <t>GMD-C-1834-49.pdf</t>
  </si>
  <si>
    <t>I00227-00228.pdf</t>
  </si>
  <si>
    <t>GMD-1834-50.pdf</t>
  </si>
  <si>
    <t>GMD-1834-51.pdf</t>
  </si>
  <si>
    <t>GMD-1834-52.pdf</t>
  </si>
  <si>
    <t>GMD-1834-53.pdf</t>
  </si>
  <si>
    <t>GMD-1834-54.pdf</t>
  </si>
  <si>
    <t>GMD-1834-55.pdf</t>
  </si>
  <si>
    <t>GMD-C-1834-55.pdf</t>
  </si>
  <si>
    <t>GMD-1834-56.pdf</t>
  </si>
  <si>
    <t>GMD-C-1834-56.pdf</t>
  </si>
  <si>
    <t>GMD-1834-57.pdf</t>
  </si>
  <si>
    <t>GMD-1834-58.pdf</t>
  </si>
  <si>
    <t>GMD-C-1834-58.pdf</t>
  </si>
  <si>
    <t>GMD-1834-59.pdf</t>
  </si>
  <si>
    <t>GMD-1834-60.pdf</t>
  </si>
  <si>
    <t>GMD-1834-61.pdf</t>
  </si>
  <si>
    <t>GMD-C-1834-61.pdf</t>
  </si>
  <si>
    <t>GMD-1834-62.pdf</t>
  </si>
  <si>
    <t>GMD-C-1834-62.pdf</t>
  </si>
  <si>
    <t>GMD-1834-63.pdf</t>
  </si>
  <si>
    <t>GMD-1834-64.pdf</t>
  </si>
  <si>
    <t>GMD-1834-65.pdf</t>
  </si>
  <si>
    <t>GMD-1834-66.pdf</t>
  </si>
  <si>
    <t>GMD-1834-67.pdf</t>
  </si>
  <si>
    <t>GMD-1834-68.pdf</t>
  </si>
  <si>
    <t>GMD-1834-69.pdf</t>
  </si>
  <si>
    <t>GMD-1834-70.pdf</t>
  </si>
  <si>
    <t>GMD-1834-71.pdf</t>
  </si>
  <si>
    <t>GMD-1834-72.pdf</t>
  </si>
  <si>
    <t>GMD-1834-73.pdf</t>
  </si>
  <si>
    <t>GMD-1834-74.pdf</t>
  </si>
  <si>
    <t>I00347-00348.pdf</t>
  </si>
  <si>
    <t>GMD-1834-75.pdf</t>
  </si>
  <si>
    <t>GMD-1834-76.pdf</t>
  </si>
  <si>
    <t>GMD-1834-77.pdf</t>
  </si>
  <si>
    <t>GMD-1834-78.pdf</t>
  </si>
  <si>
    <t>GMD-1834-79.pdf</t>
  </si>
  <si>
    <t>GMD-1834-80.pdf</t>
  </si>
  <si>
    <t>GMD-1834-81.pdf</t>
  </si>
  <si>
    <t>GMD-1834-82.pdf</t>
  </si>
  <si>
    <t>GMD-1834-83.pdf</t>
  </si>
  <si>
    <t>GMD-1834-84.pdf</t>
  </si>
  <si>
    <t>GMD-C-1834-84.pdf</t>
  </si>
  <si>
    <t>GMD-1834-85.pdf</t>
  </si>
  <si>
    <t>GMD-1834-86.pdf</t>
  </si>
  <si>
    <t>GMD-1834-87.pdf</t>
  </si>
  <si>
    <t>GMD-1834-88.pdf</t>
  </si>
  <si>
    <t>GMD-1834-89.pdf</t>
  </si>
  <si>
    <t>GMD-1834-90.pdf</t>
  </si>
  <si>
    <t>GMD-1834-91.pdf</t>
  </si>
  <si>
    <t>GMD-1834-92.pdf</t>
  </si>
  <si>
    <t>GMD-1834-93.pdf</t>
  </si>
  <si>
    <t>GMD-1834-94.pdf</t>
  </si>
  <si>
    <t>C00001-00001.pdf</t>
  </si>
  <si>
    <t>GMD-1834-95.pdf</t>
  </si>
  <si>
    <t>GMD-1834-96.pdf</t>
  </si>
  <si>
    <t>GMD-1834-97.pdf</t>
  </si>
  <si>
    <t>GMD-1834-98.pdf</t>
  </si>
  <si>
    <t>GMD-1834-99.pdf</t>
  </si>
  <si>
    <t>GMD-1834-100.pdf</t>
  </si>
  <si>
    <t>GMD-1834-101E.pdf</t>
  </si>
  <si>
    <t>GMD-1834-102.pdf</t>
  </si>
  <si>
    <t>GMD-1834-103.pdf</t>
  </si>
  <si>
    <t>GMD-1834-104E.pdf</t>
  </si>
  <si>
    <t>GMD-1834-105.pdf</t>
  </si>
  <si>
    <t>I00469-00470.pdf</t>
  </si>
  <si>
    <t>GMD-1834-106.pdf</t>
  </si>
  <si>
    <t>GMD-1834-107.pdf</t>
  </si>
  <si>
    <t>GMD-1834-108.pdf</t>
  </si>
  <si>
    <t>GMD-1834-109.pdf</t>
  </si>
  <si>
    <t>GMD-C-1834-109.pdf</t>
  </si>
  <si>
    <t>GMD-1834-110.pdf</t>
  </si>
  <si>
    <t>GMD-1834-111E.pdf</t>
  </si>
  <si>
    <t>GMD-1834-112.pdf</t>
  </si>
  <si>
    <t>GMD-1834-113.pdf</t>
  </si>
  <si>
    <t>GMD-1834-114.pdf</t>
  </si>
  <si>
    <t>GMD-1834-115.pdf</t>
  </si>
  <si>
    <t>GMD-C-1834-115.pdf</t>
  </si>
  <si>
    <t>GMD-1834-116.pdf</t>
  </si>
  <si>
    <t>GMD-1834-117.pdf</t>
  </si>
  <si>
    <t>GMD-1834-118.pdf</t>
  </si>
  <si>
    <t>GMD-1834-119.pdf</t>
  </si>
  <si>
    <t>GMD-1834-120.pdf</t>
  </si>
  <si>
    <t>GMD-1834-121.pdf</t>
  </si>
  <si>
    <t>GMD-1834-122.pdf</t>
  </si>
  <si>
    <t>GMD-1834-123.pdf</t>
  </si>
  <si>
    <t>GMD-1834-124.pdf</t>
  </si>
  <si>
    <t>GMD-1834-125.pdf</t>
  </si>
  <si>
    <t>GMD-1834-126.pdf</t>
  </si>
  <si>
    <t>GMD-1834-127.pdf</t>
  </si>
  <si>
    <t>GMD-1834-128.pdf</t>
  </si>
  <si>
    <t>GMD-1834-129.pdf</t>
  </si>
  <si>
    <t>GMD-C-1834-129.pdf</t>
  </si>
  <si>
    <t>GMD-1834-130.pdf</t>
  </si>
  <si>
    <t>GMD-1834-131.pdf</t>
  </si>
  <si>
    <t>GMD-1834-132.pdf</t>
  </si>
  <si>
    <t>GMD-1834-133.pdf</t>
  </si>
  <si>
    <t>GMD-1834-134.pdf</t>
  </si>
  <si>
    <t>GMD-1834-135.pdf</t>
  </si>
  <si>
    <t>GMD-1834-136.pdf</t>
  </si>
  <si>
    <t>GMD-1834-137.pdf</t>
  </si>
  <si>
    <t>I00597-00598.pdf</t>
  </si>
  <si>
    <t>GMD-1834-138.pdf</t>
  </si>
  <si>
    <t>GMD-1834-139.pdf</t>
  </si>
  <si>
    <t>GMD-1834-140.pdf</t>
  </si>
  <si>
    <t>Gaceta de Madrid n.º 140 · suplemento</t>
  </si>
  <si>
    <t>GMD-C-1834-140.pdf</t>
  </si>
  <si>
    <t>GMD-1834-141.pdf</t>
  </si>
  <si>
    <t>GMD-1834-142.pdf</t>
  </si>
  <si>
    <t>GMD-1834-143.pdf</t>
  </si>
  <si>
    <t>GMD-1834-144.pdf</t>
  </si>
  <si>
    <t>GMD-1834-145.pdf</t>
  </si>
  <si>
    <t>GMD-1834-146.pdf</t>
  </si>
  <si>
    <t>GMD-1834-147.pdf</t>
  </si>
  <si>
    <t>GMD-1834-148.pdf</t>
  </si>
  <si>
    <t>GMD-1834-149.pdf</t>
  </si>
  <si>
    <t>GMD-1834-150.pdf</t>
  </si>
  <si>
    <t>GMD-1834-151.pdf</t>
  </si>
  <si>
    <t>GMD-1834-152.pdf</t>
  </si>
  <si>
    <t>GMD-1834-153.pdf</t>
  </si>
  <si>
    <t>GMD-1834-154.pdf</t>
  </si>
  <si>
    <t>GMD-1834-155.pdf</t>
  </si>
  <si>
    <t>GMD-1834-156.pdf</t>
  </si>
  <si>
    <t>GMD-1834-157.pdf</t>
  </si>
  <si>
    <t>GMD-1834-158.pdf</t>
  </si>
  <si>
    <t>GMD-C-1834-158.pdf</t>
  </si>
  <si>
    <t>GMD-1834-159.pdf</t>
  </si>
  <si>
    <t>GMD-C-1834-159.pdf</t>
  </si>
  <si>
    <t>GMD-1834-160.pdf</t>
  </si>
  <si>
    <t>GMD-C-1834-160.pdf</t>
  </si>
  <si>
    <t>GMD-1834-161.pdf</t>
  </si>
  <si>
    <t>GMD-1834-162.pdf</t>
  </si>
  <si>
    <t>GMD-C-1834-162.pdf</t>
  </si>
  <si>
    <t>GMD-1834-163.pdf</t>
  </si>
  <si>
    <t>GMD-C-1834-163.pdf</t>
  </si>
  <si>
    <t>GMD-1834-164.pdf</t>
  </si>
  <si>
    <t>GMD-1834-165.pdf</t>
  </si>
  <si>
    <t>GMD-C-1834-165.pdf</t>
  </si>
  <si>
    <t>GMD-D-1834-165.pdf</t>
  </si>
  <si>
    <t>GMD-1834-166.pdf</t>
  </si>
  <si>
    <t>GMD-C-1834-166.pdf</t>
  </si>
  <si>
    <t>GMD-1834-167.pdf</t>
  </si>
  <si>
    <t>GMD-C-1834-167.pdf</t>
  </si>
  <si>
    <t>I00721-00722.pdf</t>
  </si>
  <si>
    <t>GMD-1834-168.pdf</t>
  </si>
  <si>
    <t>GMD-C-1834-168.pdf</t>
  </si>
  <si>
    <t>GMD-1834-169.pdf</t>
  </si>
  <si>
    <t>GMD-C-1834-169.pdf</t>
  </si>
  <si>
    <t>GMD-1834-170.pdf</t>
  </si>
  <si>
    <t>GMD-1834-171E.pdf</t>
  </si>
  <si>
    <t>GMD-C-1834-170.pdf</t>
  </si>
  <si>
    <t>GMD-1834-172.pdf</t>
  </si>
  <si>
    <t>GMD-C-1834-172.pdf</t>
  </si>
  <si>
    <t>GMD-1834-173.pdf</t>
  </si>
  <si>
    <t>GMD-C-1834-173.pdf</t>
  </si>
  <si>
    <t>GMD-1834-174.pdf</t>
  </si>
  <si>
    <t>GMD-C-1834-174.pdf</t>
  </si>
  <si>
    <t>GMD-1834-175.pdf</t>
  </si>
  <si>
    <t>GMD-C-1834-175.pdf</t>
  </si>
  <si>
    <t>GMD-1834-176.pdf</t>
  </si>
  <si>
    <t>GMD-C-1834-176.pdf</t>
  </si>
  <si>
    <t>GMD-1834-177.pdf</t>
  </si>
  <si>
    <t>GMD-C-1834-177.pdf</t>
  </si>
  <si>
    <t>GMD-1834-178.pdf</t>
  </si>
  <si>
    <t>GMD-C-1834-178.pdf</t>
  </si>
  <si>
    <t>GMD-1834-179.pdf</t>
  </si>
  <si>
    <t>GMD-C-1834-179.pdf</t>
  </si>
  <si>
    <t>GMD-1834-180.pdf</t>
  </si>
  <si>
    <t>GMD-C-1834-180.pdf</t>
  </si>
  <si>
    <t>GMD-1834-181.pdf</t>
  </si>
  <si>
    <t>GMD-C-1834-181.pdf</t>
  </si>
  <si>
    <t>GMD-1834-182.pdf</t>
  </si>
  <si>
    <t>GMD-1834-183E.pdf</t>
  </si>
  <si>
    <t>GMD-C-1834-182.pdf</t>
  </si>
  <si>
    <t>GMD-D-1834-182.pdf</t>
  </si>
  <si>
    <t>GMD-1834-184.pdf</t>
  </si>
  <si>
    <t>GMD-C-1834-184.pdf</t>
  </si>
  <si>
    <t>GMD-1834-185.pdf</t>
  </si>
  <si>
    <t>GMD-C-1834-185.pdf</t>
  </si>
  <si>
    <t>GMD-D-1834-185.pdf</t>
  </si>
  <si>
    <t>GMD-1834-186.pdf</t>
  </si>
  <si>
    <t>GMD-1834-187.pdf</t>
  </si>
  <si>
    <t>GMD-C-1834-187.pdf</t>
  </si>
  <si>
    <t>GMD-1834-188.pdf</t>
  </si>
  <si>
    <t>GMD-1834-189.pdf</t>
  </si>
  <si>
    <t>GMD-C-1834-189.pdf</t>
  </si>
  <si>
    <t>GMD-1834-190.pdf</t>
  </si>
  <si>
    <t>GMD-1834-191.pdf</t>
  </si>
  <si>
    <t>GMD-1834-192.pdf</t>
  </si>
  <si>
    <t>GMD-C-1834-192.pdf</t>
  </si>
  <si>
    <t>GMD-1834-193.pdf</t>
  </si>
  <si>
    <t>GMD-C-1834-193.pdf</t>
  </si>
  <si>
    <t>GMD-1834-194.pdf</t>
  </si>
  <si>
    <t>GMD-1834-195.pdf</t>
  </si>
  <si>
    <t>GMD-C-1834-195.pdf</t>
  </si>
  <si>
    <t>GMD-1834-196.pdf</t>
  </si>
  <si>
    <t>GMD-1834-197E.pdf</t>
  </si>
  <si>
    <t>GMD-C-1834-196.pdf</t>
  </si>
  <si>
    <t>GMD-D-1834-196.pdf</t>
  </si>
  <si>
    <t>GMD-1834-198.pdf</t>
  </si>
  <si>
    <t>GMD-C-1834-198.pdf</t>
  </si>
  <si>
    <t>GMD-D-1834-198.pdf</t>
  </si>
  <si>
    <t>GMD-1834-199.pdf</t>
  </si>
  <si>
    <t>GMD-C-1834-199.pdf</t>
  </si>
  <si>
    <t>GMD-D-1834-199.pdf</t>
  </si>
  <si>
    <t>I00843-00844.pdf</t>
  </si>
  <si>
    <t>GMD-1834-200.pdf</t>
  </si>
  <si>
    <t>GMD-C-1834-200.pdf</t>
  </si>
  <si>
    <t>GMD-1834-201.pdf</t>
  </si>
  <si>
    <t>GMD-C-1834-201.pdf</t>
  </si>
  <si>
    <t>GMD-1834-202.pdf</t>
  </si>
  <si>
    <t>GMD-C-1834-202.pdf</t>
  </si>
  <si>
    <t>GMD-1834-203.pdf</t>
  </si>
  <si>
    <t>GMD-C-1834-203.pdf</t>
  </si>
  <si>
    <t>GMD-1834-204.pdf</t>
  </si>
  <si>
    <t>GMD-C-1834-204.pdf</t>
  </si>
  <si>
    <t>GMD-D-1834-204.pdf</t>
  </si>
  <si>
    <t>GMD-1834-205.pdf</t>
  </si>
  <si>
    <t>GMD-C-1834-205.pdf</t>
  </si>
  <si>
    <t>GMD-1834-206.pdf</t>
  </si>
  <si>
    <t>GMD-1834-207.pdf</t>
  </si>
  <si>
    <t>GMD-C-1834-207.pdf</t>
  </si>
  <si>
    <t>GMD-1834-208.pdf</t>
  </si>
  <si>
    <t>GMD-C-1834-208.pdf</t>
  </si>
  <si>
    <t>GMD-1834-209.pdf</t>
  </si>
  <si>
    <t>GMD-C-1834-209.pdf</t>
  </si>
  <si>
    <t>GMD-1834-210.pdf</t>
  </si>
  <si>
    <t>GMD-C-1834-210.pdf</t>
  </si>
  <si>
    <t>GMD-1834-211.pdf</t>
  </si>
  <si>
    <t>GMD-1834-212.pdf</t>
  </si>
  <si>
    <t>GMD-C-1834-212.pdf</t>
  </si>
  <si>
    <t>GMD-1834-213.pdf</t>
  </si>
  <si>
    <t>GMD-1834-214.pdf</t>
  </si>
  <si>
    <t>GMD-C-1834-214.pdf</t>
  </si>
  <si>
    <t>GMD-1834-215.pdf</t>
  </si>
  <si>
    <t>GMD-C-1834-215.pdf</t>
  </si>
  <si>
    <t>GMD-1834-216.pdf</t>
  </si>
  <si>
    <t>GMD-C-1834-216.pdf</t>
  </si>
  <si>
    <t>GMD-1834-217.pdf</t>
  </si>
  <si>
    <t>GMD-C-1834-217.pdf</t>
  </si>
  <si>
    <t>GMD-1834-218.pdf</t>
  </si>
  <si>
    <t>GMD-C-1834-218.pdf</t>
  </si>
  <si>
    <t>GMD-1834-219.pdf</t>
  </si>
  <si>
    <t>GMD-C-1834-219.pdf</t>
  </si>
  <si>
    <t>GMD-1834-220.pdf</t>
  </si>
  <si>
    <t>GMD-C-1834-220.pdf</t>
  </si>
  <si>
    <t>GMD-1834-221.pdf</t>
  </si>
  <si>
    <t>GMD-C-1834-221.pdf</t>
  </si>
  <si>
    <t>GMD-1834-222.pdf</t>
  </si>
  <si>
    <t>GMD-C-1834-222.pdf</t>
  </si>
  <si>
    <t>GMD-1834-223.pdf</t>
  </si>
  <si>
    <t>GMD-C-1834-223.pdf</t>
  </si>
  <si>
    <t>GMD-1834-224.pdf</t>
  </si>
  <si>
    <t>GMD-C-1834-224.pdf</t>
  </si>
  <si>
    <t>GMD-1834-225.pdf</t>
  </si>
  <si>
    <t>GMD-C-1834-225.pdf</t>
  </si>
  <si>
    <t>GMD-1834-226.pdf</t>
  </si>
  <si>
    <t>GMD-C-1834-226.pdf</t>
  </si>
  <si>
    <t>GMD-1834-227.pdf</t>
  </si>
  <si>
    <t>GMD-1834-228.pdf</t>
  </si>
  <si>
    <t>GMD-C-1834-228.pdf</t>
  </si>
  <si>
    <t>GMD-1834-229.pdf</t>
  </si>
  <si>
    <t>GMD-C-1834-229.pdf</t>
  </si>
  <si>
    <t>GMD-1834-230.pdf</t>
  </si>
  <si>
    <t>GMD-C-1834-230.pdf</t>
  </si>
  <si>
    <t>GMD-1834-231.pdf</t>
  </si>
  <si>
    <t>GMD-1834-232.pdf</t>
  </si>
  <si>
    <t>GMD-C-1834-232.pdf</t>
  </si>
  <si>
    <t>GMD-1834-233.pdf</t>
  </si>
  <si>
    <t>GMD-C-1834-233.pdf</t>
  </si>
  <si>
    <t>GMD-1834-234.pdf</t>
  </si>
  <si>
    <t>GMD-1834-235.pdf</t>
  </si>
  <si>
    <t>GMD-C-1834-235.pdf</t>
  </si>
  <si>
    <t>I00986-00987.pdf</t>
  </si>
  <si>
    <t>GMD-1834-236.pdf</t>
  </si>
  <si>
    <t>GMD-C-1834-236.pdf</t>
  </si>
  <si>
    <t>GMD-1834-237.pdf</t>
  </si>
  <si>
    <t>GMD-C-1834-237.pdf</t>
  </si>
  <si>
    <t>GMD-1834-238.pdf</t>
  </si>
  <si>
    <t>GMD-C-1834-238.pdf</t>
  </si>
  <si>
    <t>GMD-1834-239.pdf</t>
  </si>
  <si>
    <t>GMD-1834-240.pdf</t>
  </si>
  <si>
    <t>GMD-C-1834-240.pdf</t>
  </si>
  <si>
    <t>GMD-D-1834-240.pdf</t>
  </si>
  <si>
    <t>GMD-1834-241.pdf</t>
  </si>
  <si>
    <t>GMD-1834-242.pdf</t>
  </si>
  <si>
    <t>GMD-C-1834-242.pdf</t>
  </si>
  <si>
    <t>GMD-1834-243.pdf</t>
  </si>
  <si>
    <t>GMD-C-1834-243.pdf</t>
  </si>
  <si>
    <t>GMD-1834-244.pdf</t>
  </si>
  <si>
    <t>GMD-C-1834-244.pdf</t>
  </si>
  <si>
    <t>GMD-1834-245.pdf</t>
  </si>
  <si>
    <t>GMD-C-1834-245.pdf</t>
  </si>
  <si>
    <t>GMD-1834-246.pdf</t>
  </si>
  <si>
    <t>GMD-C-1834-246.pdf</t>
  </si>
  <si>
    <t>GMD-1834-247.pdf</t>
  </si>
  <si>
    <t>GMD-C-1834-247.pdf</t>
  </si>
  <si>
    <t>GMD-1834-248.pdf</t>
  </si>
  <si>
    <t>GMD-1834-249.pdf</t>
  </si>
  <si>
    <t>GMD-C-1834-249.pdf</t>
  </si>
  <si>
    <t>GMD-1834-250.pdf</t>
  </si>
  <si>
    <t>GMD-C-1834-250.pdf</t>
  </si>
  <si>
    <t>GMD-1834-251.pdf</t>
  </si>
  <si>
    <t>GMD-1834-252.pdf</t>
  </si>
  <si>
    <t>GMD-1834-253.pdf</t>
  </si>
  <si>
    <t>GMD-1834-254.pdf</t>
  </si>
  <si>
    <t>GMD-C-1834-254.pdf</t>
  </si>
  <si>
    <t>GMD-1834-255.pdf</t>
  </si>
  <si>
    <t>GMD-1834-256.pdf</t>
  </si>
  <si>
    <t>GMD-1834-257.pdf</t>
  </si>
  <si>
    <t>GMD-C-1834-257.pdf</t>
  </si>
  <si>
    <t>GMD-1834-258.pdf</t>
  </si>
  <si>
    <t>GMD-1834-259.pdf</t>
  </si>
  <si>
    <t>GMD-C-1834-259.pdf</t>
  </si>
  <si>
    <t>GMD-1834-260.pdf</t>
  </si>
  <si>
    <t>I01088-01088.pdf</t>
  </si>
  <si>
    <t>GMD-1834-261.pdf</t>
  </si>
  <si>
    <t>GMD-1834-262.pdf</t>
  </si>
  <si>
    <t>GMD-1834-263.pdf</t>
  </si>
  <si>
    <t>GMD-C-1834-263.pdf</t>
  </si>
  <si>
    <t>GMD-1834-264.pdf</t>
  </si>
  <si>
    <t>GMD-1834-265.pdf</t>
  </si>
  <si>
    <t>GMD-1834-266.pdf</t>
  </si>
  <si>
    <t>GMD-C-1834-266.pdf</t>
  </si>
  <si>
    <t>GMD-1834-267.pdf</t>
  </si>
  <si>
    <t>GMD-C-1834-267.pdf</t>
  </si>
  <si>
    <t>GMD-1834-268.pdf</t>
  </si>
  <si>
    <t>GMD-C-1834-268.pdf</t>
  </si>
  <si>
    <t>GMD-1834-269.pdf</t>
  </si>
  <si>
    <t>GMD-1834-270.pdf</t>
  </si>
  <si>
    <t>GMD-C-1834-270.pdf</t>
  </si>
  <si>
    <t>GMD-1834-271.pdf</t>
  </si>
  <si>
    <t>GMD-C-1834-271.pdf</t>
  </si>
  <si>
    <t>GMD-1834-272.pdf</t>
  </si>
  <si>
    <t>GMD-C-1834-272.pdf</t>
  </si>
  <si>
    <t>GMD-1834-273.pdf</t>
  </si>
  <si>
    <t>GMD-C-1834-273.pdf</t>
  </si>
  <si>
    <t>GMD-1834-274.pdf</t>
  </si>
  <si>
    <t>GMD-C-1834-274.pdf</t>
  </si>
  <si>
    <t>GMD-1834-275.pdf</t>
  </si>
  <si>
    <t>GMD-C-1834-275.pdf</t>
  </si>
  <si>
    <t>GMD-1834-276.pdf</t>
  </si>
  <si>
    <t>GMD-1834-277.pdf</t>
  </si>
  <si>
    <t>GMD-C-1834-277.pdf</t>
  </si>
  <si>
    <t>GMD-1834-278.pdf</t>
  </si>
  <si>
    <t>GMD-C-1834-278.pdf</t>
  </si>
  <si>
    <t>GMD-1834-279.pdf</t>
  </si>
  <si>
    <t>GMD-1834-280.pdf</t>
  </si>
  <si>
    <t>GMD-C-1834-280.pdf</t>
  </si>
  <si>
    <t>GMD-1834-281.pdf</t>
  </si>
  <si>
    <t>GMD-C-1834-281.pdf</t>
  </si>
  <si>
    <t>GMD-1834-282.pdf</t>
  </si>
  <si>
    <t>GMD-C-1834-282.pdf</t>
  </si>
  <si>
    <t>GMD-1834-283.pdf</t>
  </si>
  <si>
    <t>GMD-1834-284.pdf</t>
  </si>
  <si>
    <t>GMD-C-1834-284.pdf</t>
  </si>
  <si>
    <t>GMD-1834-285.pdf</t>
  </si>
  <si>
    <t>GMD-C-1834-285.pdf</t>
  </si>
  <si>
    <t>GMD-1834-286.pdf</t>
  </si>
  <si>
    <t>GMD-C-1834-286.pdf</t>
  </si>
  <si>
    <t>GMD-1834-287.pdf</t>
  </si>
  <si>
    <t>GMD-1834-288.pdf</t>
  </si>
  <si>
    <t>GMD-C-1834-288.pdf</t>
  </si>
  <si>
    <t>GMD-1834-289.pdf</t>
  </si>
  <si>
    <t>GMD-C-1834-289.pdf</t>
  </si>
  <si>
    <t>GMD-1834-290.pdf</t>
  </si>
  <si>
    <t>I01208-01208.pdf</t>
  </si>
  <si>
    <t>GMD-1834-291.pdf</t>
  </si>
  <si>
    <t>GMD-1834-292.pdf</t>
  </si>
  <si>
    <t>GMD-1834-293.pdf</t>
  </si>
  <si>
    <t>GMD-1834-294.pdf</t>
  </si>
  <si>
    <t>GMD-C-1834-294.pdf</t>
  </si>
  <si>
    <t>GMD-1834-295.pdf</t>
  </si>
  <si>
    <t>GMD-C-1834-295.pdf</t>
  </si>
  <si>
    <t>GMD-1834-296.pdf</t>
  </si>
  <si>
    <t>GMD-1834-297.pdf</t>
  </si>
  <si>
    <t>GMD-1834-298.pdf</t>
  </si>
  <si>
    <t>GMD-1834-299.pdf</t>
  </si>
  <si>
    <t>GMD-C-1834-299.pdf</t>
  </si>
  <si>
    <t>GMD-1834-300.pdf</t>
  </si>
  <si>
    <t>GMD-C-1834-300.pdf</t>
  </si>
  <si>
    <t>GMD-1834-301.pdf</t>
  </si>
  <si>
    <t>GMD-C-1834-301.pdf</t>
  </si>
  <si>
    <t>GMD-1834-302.pdf</t>
  </si>
  <si>
    <t>GMD-C-1834-302.pdf</t>
  </si>
  <si>
    <t>GMD-1834-303.pdf</t>
  </si>
  <si>
    <t>GMD-C-1834-303.pdf</t>
  </si>
  <si>
    <t>GMD-1834-304.pdf</t>
  </si>
  <si>
    <t>GMD-1834-305.pdf</t>
  </si>
  <si>
    <t>GMD-C-1834-305.pdf</t>
  </si>
  <si>
    <t>GMD-1834-306.pdf</t>
  </si>
  <si>
    <t>GMD-1834-307E.pdf</t>
  </si>
  <si>
    <t>GMD-C-1834-306.pdf</t>
  </si>
  <si>
    <t>GMD-1834-308.pdf</t>
  </si>
  <si>
    <t>GMD-C-1834-308.pdf</t>
  </si>
  <si>
    <t>GMD-1834-309.pdf</t>
  </si>
  <si>
    <t>GMD-C-1834-309.pdf</t>
  </si>
  <si>
    <t>GMD-1834-310.pdf</t>
  </si>
  <si>
    <t>GMD-C-1834-310.pdf</t>
  </si>
  <si>
    <t>GMD-1834-311.pdf</t>
  </si>
  <si>
    <t>GMD-C-1834-311.pdf</t>
  </si>
  <si>
    <t>GMD-1834-312.pdf</t>
  </si>
  <si>
    <t>GMD-1834-313.pdf</t>
  </si>
  <si>
    <t>GMD-C-1834-313.pdf</t>
  </si>
  <si>
    <t>GMD-1834-314.pdf</t>
  </si>
  <si>
    <t>GMD-C-1834-314.pdf</t>
  </si>
  <si>
    <t>GMD-1834-315.pdf</t>
  </si>
  <si>
    <t>GMD-C-1834-315.pdf</t>
  </si>
  <si>
    <t>GMD-1834-316.pdf</t>
  </si>
  <si>
    <t>GMD-1834-317.pdf</t>
  </si>
  <si>
    <t>GMD-C-1834-317.pdf</t>
  </si>
  <si>
    <t>GMD-1834-318.pdf</t>
  </si>
  <si>
    <t>GMD-C-1834-318.pdf</t>
  </si>
  <si>
    <t>GMD-1834-319.pdf</t>
  </si>
  <si>
    <t>GMD-C-1834-319.pdf</t>
  </si>
  <si>
    <t>GMD-1834-320.pdf</t>
  </si>
  <si>
    <t>GMD-C-1834-320.pdf</t>
  </si>
  <si>
    <t>GMD-1834-321.pdf</t>
  </si>
  <si>
    <t>GMD-C-1834-321.pdf</t>
  </si>
  <si>
    <t>GMD-D-1834-321.pdf</t>
  </si>
  <si>
    <t>Criterios, alcance y limitaciones</t>
  </si>
  <si>
    <t>Cobertura</t>
  </si>
  <si>
    <t>Se incluyen los 480 archivos localizados en la hemeroteca oficial entre el 1 de enero y el 31 de diciembre de 1834, incluidas 8 ediciones extraordinarias y 148 suplementos.</t>
  </si>
  <si>
    <t>Cabeceras</t>
  </si>
  <si>
    <t>Gaceta de Madrid (480 archivos).</t>
  </si>
  <si>
    <t>Numeración</t>
  </si>
  <si>
    <t>La numeración, las 8 ediciones extraordinarias y los 148 suplementos se distinguen en la columna de publicación.</t>
  </si>
  <si>
    <t>Inclusión</t>
  </si>
  <si>
    <t>Se recogen nombres propios detectados tras tratamientos, cargos y títulos. Una misma persona puede aparecer varias veces en una página cuando el OCR ofrece variantes; dentro de cada página se eliminan duplicados idénticos.</t>
  </si>
  <si>
    <t>Orden</t>
  </si>
  <si>
    <t>La primera columna propone un orden por apellido estimado. En nombres extranjeros, nobiliarios o deteriorados por el OCR, el orden puede no coincidir con el uso catalográfico.</t>
  </si>
  <si>
    <t>Se muestra la página impresa cuando el encabezado pudo leerse con suficiente claridad; en caso contrario se indica la página interna del PDF.</t>
  </si>
  <si>
    <t>Enlaces</t>
  </si>
  <si>
    <t>Cada registro abre directamente el PDF oficial en la página interna correspondiente; la hoja de fuentes enlaza también el documento completo.</t>
  </si>
  <si>
    <t>OCR</t>
  </si>
  <si>
    <t>La ortografía histórica y los defectos de impresión producen variantes, cortes y errores. Dos páginas finales no ofrecieron texto OCR utilizable; los facsímiles completos permanecen enlazados en la hoja de fuentes.</t>
  </si>
  <si>
    <t>Uso recomendado</t>
  </si>
  <si>
    <t>Para citas académicas, jurídicas o genealógicas, comprobar siempre nombre, fecha y página en el facsímil enlazado.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</si>
</sst>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 &quot;de&quot;\ mmmm\ &quot;de&quot;\ yyyy"/>
  </numFmts>
  <fonts count="11">
    <font>
      <sz val="11"/>
      <name val="Carlito"/>
    </font>
    <font>
      <b/>
      <sz val="18"/>
      <color rgb="FFFFFFFF"/>
      <name val="Calibri"/>
    </font>
    <font>
      <sz val="11"/>
      <color rgb="FF1F1F1F"/>
      <name val="Calibri"/>
    </font>
    <font>
      <b/>
      <sz val="10"/>
      <color rgb="FF7F6000"/>
      <name val="Calibri"/>
    </font>
    <font>
      <b/>
      <sz val="10"/>
      <color rgb="FF375623"/>
      <name val="Calibri"/>
    </font>
    <font>
      <b/>
      <sz val="10"/>
      <color rgb="FFFFFFFF"/>
      <name val="Calibri"/>
    </font>
    <font>
      <sz val="9"/>
      <name val="Calibri"/>
    </font>
    <font>
      <sz val="11"/>
      <name val="Calibri"/>
    </font>
    <font>
      <b/>
      <sz val="11"/>
      <color rgb="FFFFFFFF"/>
      <name val="Arial"/>
    </font>
    <font>
      <b/>
      <sz val="10"/>
      <color rgb="FF1F4E78"/>
      <name val="Arial"/>
    </font>
    <font>
      <sz val="10"/>
      <color rgb="FF000000"/>
      <name val="Arial"/>
    </font>
  </fonts>
  <fills count="9">
    <fill>
      <patternFill patternType="none"/>
    </fill>
    <fill>
      <patternFill patternType="gray125"/>
    </fill>
    <fill>
      <patternFill patternType="solid">
        <fgColor rgb="FF1F4E78"/>
      </patternFill>
    </fill>
    <fill>
      <patternFill patternType="solid">
        <fgColor rgb="FFD9EAF7"/>
      </patternFill>
    </fill>
    <fill>
      <patternFill patternType="solid">
        <fgColor rgb="FFFFF2CC"/>
      </patternFill>
    </fill>
    <fill>
      <patternFill patternType="solid">
        <fgColor rgb="FFE2F0D9"/>
      </patternFill>
    </fill>
    <fill>
      <patternFill patternType="solid">
        <fgColor rgb="FF4472C4"/>
      </patternFill>
    </fill>
    <fill>
      <patternFill patternType="solid">
        <fgColor rgb="FFDDEBF7"/>
      </patternFill>
    </fill>
    <fill>
      <patternFill patternType="solid">
        <fgColor rgb="FFFFFFFF"/>
      </patternFill>
    </fill>
  </fills>
  <borders count="5">
    <border>
      <left/>
      <right/>
      <top/>
      <bottom/>
      <diagonal/>
    </border>
    <border>
      <left style="thin">
        <color rgb="FF9DC3E6"/>
      </left>
      <right/>
      <top style="thin">
        <color rgb="FF9DC3E6"/>
      </top>
      <bottom style="thin">
        <color rgb="FF9DC3E6"/>
      </bottom>
      <diagonal/>
    </border>
    <border>
      <left/>
      <right/>
      <top style="thin">
        <color rgb="FF9DC3E6"/>
      </top>
      <bottom style="thin">
        <color rgb="FF9DC3E6"/>
      </bottom>
      <diagonal/>
    </border>
    <border>
      <left/>
      <right style="thin">
        <color rgb="FF9DC3E6"/>
      </right>
      <top style="thin">
        <color rgb="FF9DC3E6"/>
      </top>
      <bottom style="thin">
        <color rgb="FF9DC3E6"/>
      </bottom>
      <diagonal/>
    </border>
    <border>
      <left style="thin">
        <color rgb="FF9DC3E6"/>
      </left>
      <right style="thin">
        <color rgb="FF9DC3E6"/>
      </right>
      <top style="thin">
        <color rgb="FF9DC3E6"/>
      </top>
      <bottom style="thin">
        <color rgb="FF9DC3E6"/>
      </bottom>
      <diagonal/>
    </border>
  </borders>
  <cellStyleXfs count="1">
    <xf numFmtId="0" fontId="0" fillId="0" borderId="0"/>
  </cellStyleXfs>
  <cellXfs count="26">
    <xf numFmtId="0" fontId="0" fillId="0" borderId="0" xfId="0"/>
    <xf numFmtId="0" fontId="5" fillId="6" borderId="0" xfId="0" applyFont="1" applyFill="1" applyAlignment="1">
      <alignment horizontal="center" vertical="center" wrapText="1"/>
    </xf>
    <xf numFmtId="0" fontId="6" fillId="0" borderId="0" xfId="0" applyFont="1" applyAlignment="1">
      <alignment vertical="top" wrapText="1"/>
    </xf>
    <xf numFmtId="0" fontId="6" fillId="0" borderId="0" xfId="0" applyFont="1" applyAlignment="1">
      <alignment horizontal="center" vertical="top" wrapText="1"/>
    </xf>
    <xf numFmtId="164" fontId="6" fillId="0" borderId="0" xfId="0" applyNumberFormat="1" applyFont="1" applyAlignment="1">
      <alignment vertical="top" wrapText="1"/>
    </xf>
    <xf numFmtId="49" fontId="6" fillId="0" borderId="0" xfId="0" applyNumberFormat="1" applyFont="1" applyAlignment="1">
      <alignment horizontal="center" vertical="top" wrapText="1"/>
    </xf>
    <xf numFmtId="49" fontId="6" fillId="0" borderId="0" xfId="0" applyNumberFormat="1" applyFont="1" applyAlignment="1">
      <alignment vertical="top" wrapText="1"/>
    </xf>
    <xf numFmtId="0" fontId="9" fillId="7" borderId="4" xfId="0" applyFont="1" applyFill="1" applyBorder="1" applyAlignment="1">
      <alignment vertical="top" wrapText="1"/>
    </xf>
    <xf numFmtId="0" fontId="10" fillId="8" borderId="4" xfId="0" applyFont="1" applyFill="1" applyBorder="1" applyAlignment="1">
      <alignment vertical="top" wrapText="1"/>
    </xf>
    <xf numFmtId="0" fontId="0" fillId="0" borderId="0" xfId="0" applyAlignment="1">
      <alignment vertical="top" wrapText="1"/>
    </xf>
    <xf numFmtId="0" fontId="0" fillId="0" borderId="0" xfId="0" applyAlignment="1">
      <alignment horizontal="center" vertical="top" wrapText="1"/>
    </xf>
    <xf numFmtId="0" fontId="8" fillId="6" borderId="1" xfId="0" applyFont="1" applyFill="1" applyBorder="1" applyAlignment="1">
      <alignment vertical="top" wrapText="1"/>
    </xf>
    <xf numFmtId="0" fontId="8" fillId="6" borderId="2" xfId="0" applyFont="1" applyFill="1" applyBorder="1" applyAlignment="1">
      <alignment vertical="top" wrapText="1"/>
    </xf>
    <xf numFmtId="0" fontId="8" fillId="6" borderId="2" xfId="0" applyFont="1" applyFill="1" applyBorder="1" applyAlignment="1">
      <alignment horizontal="center" vertical="top" wrapText="1"/>
    </xf>
    <xf numFmtId="0" fontId="8" fillId="6" borderId="3" xfId="0" applyFont="1" applyFill="1" applyBorder="1" applyAlignment="1">
      <alignment horizontal="center" vertical="top" wrapText="1"/>
    </xf>
    <xf numFmtId="0" fontId="10" fillId="8" borderId="4" xfId="0" applyFont="1" applyFill="1" applyBorder="1" applyAlignment="1">
      <alignment horizontal="center" vertical="top" wrapText="1"/>
    </xf>
    <xf numFmtId="0" fontId="9" fillId="7" borderId="4" xfId="0" applyFont="1" applyFill="1" applyBorder="1" applyAlignment="1">
      <alignment vertical="center" wrapText="1"/>
    </xf>
    <xf numFmtId="0" fontId="1" fillId="2" borderId="0" xfId="0" applyFont="1" applyFill="1" applyAlignment="1">
      <alignment vertical="center"/>
    </xf>
    <xf numFmtId="0" fontId="2" fillId="3" borderId="0" xfId="0" applyFont="1" applyFill="1" applyAlignment="1">
      <alignment vertical="center"/>
    </xf>
    <xf numFmtId="0" fontId="3" fillId="4" borderId="0" xfId="0" applyFont="1" applyFill="1" applyAlignment="1">
      <alignment vertical="center" wrapText="1"/>
    </xf>
    <xf numFmtId="0" fontId="4" fillId="5" borderId="0" xfId="0" applyFont="1" applyFill="1" applyAlignment="1">
      <alignment vertical="center"/>
    </xf>
    <xf numFmtId="0" fontId="7" fillId="3" borderId="0" xfId="0" applyFont="1" applyFill="1" applyAlignment="1">
      <alignment vertical="center"/>
    </xf>
    <xf numFmtId="0" fontId="8" fillId="6" borderId="1" xfId="0" applyFont="1" applyFill="1" applyBorder="1" applyAlignment="1">
      <alignment vertical="center" wrapText="1"/>
    </xf>
    <xf numFmtId="0" fontId="8" fillId="6" borderId="2" xfId="0" applyFont="1" applyFill="1" applyBorder="1" applyAlignment="1">
      <alignment vertical="center" wrapText="1"/>
    </xf>
    <xf numFmtId="0" fontId="8" fillId="6" borderId="3" xfId="0" applyFont="1" applyFill="1" applyBorder="1" applyAlignment="1">
      <alignment vertical="center" wrapText="1"/>
    </xf>
    <xf numFmtId="0" fontId="10" fillId="8" borderId="4" xfId="0" applyFont="1" applyFill="1" applyBorder="1" applyAlignment="1">
      <alignment vertical="center" wrapText="1"/>
    </xf>
  </cellXfs>
  <cellStyles count="1">
    <cellStyle name="Normal" xfId="0" builtinId="0"/>
  </cellStyles>
  <dxfs count="2">
    <dxf>
      <font>
        <b/>
        <color rgb="FF9C0006"/>
      </font>
      <fill>
        <patternFill patternType="solid">
          <bgColor rgb="FFFCE4D6"/>
        </patternFill>
      </fill>
    </dxf>
    <dxf>
      <font>
        <b/>
        <color rgb="FFC00000"/>
      </font>
      <fill>
        <patternFill>
          <bgColor rgb="FFFCE4D6"/>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IndiceOnomasticoAnual1834" displayName="IndiceOnomasticoAnual1834" ref="A6:K18634" totalsRowShown="0">
  <autoFilter ref="A6:K18634" xr:uid="{00000000-0009-0000-0100-000001000000}"/>
  <tableColumns count="11">
    <tableColumn id="1" xr3:uid="{00000000-0010-0000-0000-000001000000}" name="Apellidos y nombre (orden estimado)"/>
    <tableColumn id="2" xr3:uid="{00000000-0010-0000-0000-000002000000}" name="Nombre leído"/>
    <tableColumn id="3" xr3:uid="{00000000-0010-0000-0000-000003000000}" name="Motivo de aparición"/>
    <tableColumn id="4" xr3:uid="{00000000-0010-0000-0000-000004000000}" name="Organismo o sección"/>
    <tableColumn id="5" xr3:uid="{00000000-0010-0000-0000-000005000000}" name="Fecha"/>
    <tableColumn id="6" xr3:uid="{00000000-0010-0000-0000-000006000000}" name="Publicación y nº"/>
    <tableColumn id="7" xr3:uid="{00000000-0010-0000-0000-000007000000}" name="Página"/>
    <tableColumn id="8" xr3:uid="{00000000-0010-0000-0000-000008000000}" name="Observaciones"/>
    <tableColumn id="9" xr3:uid="{00000000-0010-0000-0000-000009000000}" name="Extracto original OCR"/>
    <tableColumn id="10" xr3:uid="{00000000-0010-0000-0000-00000A000000}" name="Facsímil (página)"/>
    <tableColumn id="11" xr3:uid="{00000000-0010-0000-0000-00000B000000}" name="Estado de lectura"/>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FuentesGacetaAnual1834" displayName="FuentesGacetaAnual1834" ref="A4:F484" totalsRowShown="0">
  <autoFilter ref="A4:F484" xr:uid="{00000000-0009-0000-0100-000002000000}"/>
  <tableColumns count="6">
    <tableColumn id="1" xr3:uid="{00000000-0010-0000-0100-000001000000}" name="Fecha"/>
    <tableColumn id="2" xr3:uid="{00000000-0010-0000-0100-000002000000}" name="Publicación y nº"/>
    <tableColumn id="3" xr3:uid="{00000000-0010-0000-0100-000003000000}" name="Archivo"/>
    <tableColumn id="4" xr3:uid="{00000000-0010-0000-0100-000004000000}" name="Páginas PDF"/>
    <tableColumn id="5" xr3:uid="{00000000-0010-0000-0100-000005000000}" name="Registros del índice"/>
    <tableColumn id="6" xr3:uid="{00000000-0010-0000-0100-000006000000}" name="Facsímil completo"/>
  </tableColumns>
  <tableStyleInfo name="TableStyleMedium2"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F4E78"/>
  </sheetPr>
  <dimension ref="A1:K18634"/>
  <sheetViews>
    <sheetView showGridLines="0" tabSelected="1" workbookViewId="0">
      <pane xSplit="2" ySplit="6" topLeftCell="C7" activePane="bottomRight" state="frozen"/>
      <selection pane="topRight"/>
      <selection pane="bottomLeft"/>
      <selection pane="bottomRight" activeCell="C7" sqref="C7"/>
    </sheetView>
  </sheetViews>
  <sheetFormatPr baseColWidth="10" defaultColWidth="8.796875" defaultRowHeight="13.8"/>
  <cols>
    <col min="1" max="1" width="31" customWidth="1"/>
    <col min="2" max="3" width="27" customWidth="1"/>
    <col min="4" max="4" width="23" customWidth="1"/>
    <col min="5" max="5" width="12" customWidth="1"/>
    <col min="6" max="6" width="31" customWidth="1"/>
    <col min="7" max="7" width="12" customWidth="1"/>
    <col min="8" max="8" width="41" customWidth="1"/>
    <col min="9" max="9" width="92" customWidth="1"/>
    <col min="10" max="10" width="18" customWidth="1"/>
    <col min="11" max="11" width="16" customWidth="1"/>
  </cols>
  <sheetData>
    <row r="1" spans="1:11" ht="30" customHeight="1">
      <c r="A1" s="17" t="s">
        <v>0</v>
      </c>
      <c r="B1" s="17"/>
      <c r="C1" s="17"/>
      <c r="D1" s="17"/>
      <c r="E1" s="17"/>
      <c r="F1" s="17"/>
      <c r="G1" s="17"/>
      <c r="H1" s="17"/>
      <c r="I1" s="17"/>
      <c r="J1" s="17"/>
      <c r="K1" s="17"/>
    </row>
    <row r="2" spans="1:11" ht="22.05" customHeight="1">
      <c r="A2" s="18" t="s">
        <v>1</v>
      </c>
      <c r="B2" s="18"/>
      <c r="C2" s="18"/>
      <c r="D2" s="18"/>
      <c r="E2" s="18"/>
      <c r="F2" s="18"/>
      <c r="G2" s="18"/>
      <c r="H2" s="18"/>
      <c r="I2" s="18"/>
      <c r="J2" s="18"/>
      <c r="K2" s="18"/>
    </row>
    <row r="3" spans="1:11" ht="34.049999999999997" customHeight="1">
      <c r="A3" s="19" t="s">
        <v>2</v>
      </c>
      <c r="B3" s="19"/>
      <c r="C3" s="19"/>
      <c r="D3" s="19"/>
      <c r="E3" s="19"/>
      <c r="F3" s="19"/>
      <c r="G3" s="19"/>
      <c r="H3" s="19"/>
      <c r="I3" s="19"/>
      <c r="J3" s="19"/>
      <c r="K3" s="19"/>
    </row>
    <row r="4" spans="1:11" ht="22.05" customHeight="1">
      <c r="A4" s="20" t="s">
        <v>3</v>
      </c>
      <c r="B4" s="20"/>
      <c r="C4" s="20"/>
      <c r="D4" s="20"/>
      <c r="E4" s="20"/>
      <c r="F4" s="20"/>
      <c r="G4" s="20"/>
      <c r="H4" s="20"/>
      <c r="I4" s="20"/>
      <c r="J4" s="20"/>
      <c r="K4" s="20"/>
    </row>
    <row r="6" spans="1:11" ht="36" customHeight="1">
      <c r="A6" s="1" t="s">
        <v>4</v>
      </c>
      <c r="B6" s="1" t="s">
        <v>5</v>
      </c>
      <c r="C6" s="1" t="s">
        <v>6</v>
      </c>
      <c r="D6" s="1" t="s">
        <v>7</v>
      </c>
      <c r="E6" s="1" t="s">
        <v>8</v>
      </c>
      <c r="F6" s="1" t="s">
        <v>9</v>
      </c>
      <c r="G6" s="1" t="s">
        <v>10</v>
      </c>
      <c r="H6" s="1" t="s">
        <v>11</v>
      </c>
      <c r="I6" s="1" t="s">
        <v>12</v>
      </c>
      <c r="J6" s="1" t="s">
        <v>13</v>
      </c>
      <c r="K6" s="1" t="s">
        <v>14</v>
      </c>
    </row>
    <row r="7" spans="1:11" ht="54" customHeight="1">
      <c r="A7" s="2" t="s">
        <v>15</v>
      </c>
      <c r="B7" s="2" t="s">
        <v>16</v>
      </c>
      <c r="C7" s="2" t="s">
        <v>17</v>
      </c>
      <c r="D7" s="2" t="s">
        <v>18</v>
      </c>
      <c r="E7" s="5" t="s">
        <v>19</v>
      </c>
      <c r="F7" s="3" t="s">
        <v>20</v>
      </c>
      <c r="G7" s="3" t="s">
        <v>21</v>
      </c>
      <c r="H7" s="2" t="s">
        <v>22</v>
      </c>
      <c r="I7" s="2" t="s">
        <v>23</v>
      </c>
      <c r="J7" s="3" t="str">
        <f>HYPERLINK("https://www.boe.es/gazeta/dias/1834/08/17/pdfs/GMD-D-1834-182.pdf#page=3","Abrir facsímil")</f>
        <v>Abrir facsímil</v>
      </c>
      <c r="K7" s="3" t="s">
        <v>24</v>
      </c>
    </row>
    <row r="8" spans="1:11" ht="54" customHeight="1">
      <c r="A8" s="2" t="s">
        <v>25</v>
      </c>
      <c r="B8" s="2" t="s">
        <v>25</v>
      </c>
      <c r="C8" s="2" t="s">
        <v>17</v>
      </c>
      <c r="D8" s="2" t="s">
        <v>18</v>
      </c>
      <c r="E8" s="5" t="s">
        <v>26</v>
      </c>
      <c r="F8" s="3" t="s">
        <v>27</v>
      </c>
      <c r="G8" s="3" t="s">
        <v>28</v>
      </c>
      <c r="H8" s="2" t="s">
        <v>22</v>
      </c>
      <c r="I8" s="2" t="s">
        <v>29</v>
      </c>
      <c r="J8" s="3" t="str">
        <f>HYPERLINK("https://www.boe.es/gazeta/dias/1834/10/19/pdfs/GMD-C-1834-247.pdf#page=5","Abrir facsímil")</f>
        <v>Abrir facsímil</v>
      </c>
      <c r="K8" s="3" t="s">
        <v>24</v>
      </c>
    </row>
    <row r="9" spans="1:11" ht="54" customHeight="1">
      <c r="A9" s="2" t="s">
        <v>30</v>
      </c>
      <c r="B9" s="2" t="s">
        <v>31</v>
      </c>
      <c r="C9" s="2" t="s">
        <v>17</v>
      </c>
      <c r="D9" s="2" t="s">
        <v>18</v>
      </c>
      <c r="E9" s="5" t="s">
        <v>32</v>
      </c>
      <c r="F9" s="3" t="s">
        <v>33</v>
      </c>
      <c r="G9" s="3" t="s">
        <v>34</v>
      </c>
      <c r="H9" s="2" t="s">
        <v>35</v>
      </c>
      <c r="I9" s="2" t="s">
        <v>36</v>
      </c>
      <c r="J9" s="3" t="str">
        <f>HYPERLINK("https://www.boe.es/gazeta/dias/1834/04/23/pdfs/GMD-1834-62.pdf#page=1","Abrir facsímil")</f>
        <v>Abrir facsímil</v>
      </c>
      <c r="K9" s="3" t="s">
        <v>37</v>
      </c>
    </row>
    <row r="10" spans="1:11" ht="54" customHeight="1">
      <c r="A10" s="2" t="s">
        <v>38</v>
      </c>
      <c r="B10" s="2" t="s">
        <v>39</v>
      </c>
      <c r="C10" s="2" t="s">
        <v>17</v>
      </c>
      <c r="D10" s="2" t="s">
        <v>40</v>
      </c>
      <c r="E10" s="5" t="s">
        <v>41</v>
      </c>
      <c r="F10" s="3" t="s">
        <v>42</v>
      </c>
      <c r="G10" s="3" t="s">
        <v>21</v>
      </c>
      <c r="H10" s="2" t="s">
        <v>35</v>
      </c>
      <c r="I10" s="2" t="s">
        <v>43</v>
      </c>
      <c r="J10" s="3" t="str">
        <f>HYPERLINK("https://www.boe.es/gazeta/dias/1834/06/11/pdfs/GMD-1834-114.pdf#page=3","Abrir facsímil")</f>
        <v>Abrir facsímil</v>
      </c>
      <c r="K10" s="3" t="s">
        <v>37</v>
      </c>
    </row>
    <row r="11" spans="1:11" ht="54" customHeight="1">
      <c r="A11" s="2" t="s">
        <v>44</v>
      </c>
      <c r="B11" s="2" t="s">
        <v>45</v>
      </c>
      <c r="C11" s="2" t="s">
        <v>46</v>
      </c>
      <c r="D11" s="2" t="s">
        <v>18</v>
      </c>
      <c r="E11" s="5" t="s">
        <v>47</v>
      </c>
      <c r="F11" s="3" t="s">
        <v>48</v>
      </c>
      <c r="G11" s="3" t="s">
        <v>21</v>
      </c>
      <c r="H11" s="2" t="s">
        <v>35</v>
      </c>
      <c r="I11" s="2" t="s">
        <v>49</v>
      </c>
      <c r="J11" s="3" t="str">
        <f>HYPERLINK("https://www.boe.es/gazeta/dias/1834/09/05/pdfs/GMD-C-1834-203.pdf#page=3","Abrir facsímil")</f>
        <v>Abrir facsímil</v>
      </c>
      <c r="K11" s="3" t="s">
        <v>37</v>
      </c>
    </row>
    <row r="12" spans="1:11" ht="54" customHeight="1">
      <c r="A12" s="2" t="s">
        <v>50</v>
      </c>
      <c r="B12" s="2" t="s">
        <v>51</v>
      </c>
      <c r="C12" s="2" t="s">
        <v>17</v>
      </c>
      <c r="D12" s="2" t="s">
        <v>40</v>
      </c>
      <c r="E12" s="5" t="s">
        <v>41</v>
      </c>
      <c r="F12" s="3" t="s">
        <v>42</v>
      </c>
      <c r="G12" s="3" t="s">
        <v>21</v>
      </c>
      <c r="H12" s="2" t="s">
        <v>35</v>
      </c>
      <c r="I12" s="2" t="s">
        <v>52</v>
      </c>
      <c r="J12" s="3" t="str">
        <f>HYPERLINK("https://www.boe.es/gazeta/dias/1834/06/11/pdfs/GMD-1834-114.pdf#page=3","Abrir facsímil")</f>
        <v>Abrir facsímil</v>
      </c>
      <c r="K12" s="3" t="s">
        <v>37</v>
      </c>
    </row>
    <row r="13" spans="1:11" ht="54" customHeight="1">
      <c r="A13" s="2" t="s">
        <v>53</v>
      </c>
      <c r="B13" s="2" t="s">
        <v>54</v>
      </c>
      <c r="C13" s="2" t="s">
        <v>17</v>
      </c>
      <c r="D13" s="2" t="s">
        <v>55</v>
      </c>
      <c r="E13" s="5" t="s">
        <v>56</v>
      </c>
      <c r="F13" s="3" t="s">
        <v>57</v>
      </c>
      <c r="G13" s="3" t="s">
        <v>21</v>
      </c>
      <c r="H13" s="2" t="s">
        <v>35</v>
      </c>
      <c r="I13" s="2" t="s">
        <v>58</v>
      </c>
      <c r="J13" s="3" t="str">
        <f>HYPERLINK("https://www.boe.es/gazeta/dias/1834/07/09/pdfs/GMD-1834-142.pdf#page=3","Abrir facsímil")</f>
        <v>Abrir facsímil</v>
      </c>
      <c r="K13" s="3" t="s">
        <v>37</v>
      </c>
    </row>
    <row r="14" spans="1:11" ht="54" customHeight="1">
      <c r="A14" s="2" t="s">
        <v>59</v>
      </c>
      <c r="B14" s="2" t="s">
        <v>60</v>
      </c>
      <c r="C14" s="2" t="s">
        <v>17</v>
      </c>
      <c r="D14" s="2" t="s">
        <v>18</v>
      </c>
      <c r="E14" s="5" t="s">
        <v>61</v>
      </c>
      <c r="F14" s="3" t="s">
        <v>62</v>
      </c>
      <c r="G14" s="3" t="s">
        <v>34</v>
      </c>
      <c r="H14" s="2" t="s">
        <v>35</v>
      </c>
      <c r="I14" s="2" t="s">
        <v>63</v>
      </c>
      <c r="J14" s="3" t="str">
        <f>HYPERLINK("https://www.boe.es/gazeta/dias/1834/06/08/pdfs/GMD-1834-111E.pdf#page=1","Abrir facsímil")</f>
        <v>Abrir facsímil</v>
      </c>
      <c r="K14" s="3" t="s">
        <v>37</v>
      </c>
    </row>
    <row r="15" spans="1:11" ht="54" customHeight="1">
      <c r="A15" s="2" t="s">
        <v>64</v>
      </c>
      <c r="B15" s="2" t="s">
        <v>65</v>
      </c>
      <c r="C15" s="2" t="s">
        <v>66</v>
      </c>
      <c r="D15" s="2" t="s">
        <v>67</v>
      </c>
      <c r="E15" s="5" t="s">
        <v>68</v>
      </c>
      <c r="F15" s="3" t="s">
        <v>69</v>
      </c>
      <c r="G15" s="3" t="s">
        <v>21</v>
      </c>
      <c r="H15" s="2" t="s">
        <v>35</v>
      </c>
      <c r="I15" s="2" t="s">
        <v>70</v>
      </c>
      <c r="J15" s="3" t="str">
        <f>HYPERLINK("https://www.boe.es/gazeta/dias/1834/11/01/pdfs/GMD-1834-260.pdf#page=3","Abrir facsímil")</f>
        <v>Abrir facsímil</v>
      </c>
      <c r="K15" s="3" t="s">
        <v>37</v>
      </c>
    </row>
    <row r="16" spans="1:11" ht="54" customHeight="1">
      <c r="A16" s="2" t="s">
        <v>71</v>
      </c>
      <c r="B16" s="2" t="s">
        <v>72</v>
      </c>
      <c r="C16" s="2" t="s">
        <v>17</v>
      </c>
      <c r="D16" s="2" t="s">
        <v>18</v>
      </c>
      <c r="E16" s="5" t="s">
        <v>73</v>
      </c>
      <c r="F16" s="3" t="s">
        <v>74</v>
      </c>
      <c r="G16" s="3" t="s">
        <v>75</v>
      </c>
      <c r="H16" s="2" t="s">
        <v>35</v>
      </c>
      <c r="I16" s="2" t="s">
        <v>76</v>
      </c>
      <c r="J16" s="3" t="str">
        <f>HYPERLINK("https://www.boe.es/gazeta/dias/1834/11/04/pdfs/GMD-1834-263.pdf#page=4","Abrir facsímil")</f>
        <v>Abrir facsímil</v>
      </c>
      <c r="K16" s="3" t="s">
        <v>37</v>
      </c>
    </row>
    <row r="17" spans="1:11" ht="54" customHeight="1">
      <c r="A17" s="2" t="s">
        <v>77</v>
      </c>
      <c r="B17" s="2" t="s">
        <v>78</v>
      </c>
      <c r="C17" s="2" t="s">
        <v>17</v>
      </c>
      <c r="D17" s="2" t="s">
        <v>55</v>
      </c>
      <c r="E17" s="5" t="s">
        <v>79</v>
      </c>
      <c r="F17" s="3" t="s">
        <v>80</v>
      </c>
      <c r="G17" s="3" t="s">
        <v>21</v>
      </c>
      <c r="H17" s="2" t="s">
        <v>35</v>
      </c>
      <c r="I17" s="2" t="s">
        <v>81</v>
      </c>
      <c r="J17" s="3" t="str">
        <f>HYPERLINK("https://www.boe.es/gazeta/dias/1834/07/12/pdfs/GMD-1834-145.pdf#page=3","Abrir facsímil")</f>
        <v>Abrir facsímil</v>
      </c>
      <c r="K17" s="3" t="s">
        <v>37</v>
      </c>
    </row>
    <row r="18" spans="1:11" ht="54" customHeight="1">
      <c r="A18" s="2" t="s">
        <v>82</v>
      </c>
      <c r="B18" s="2" t="s">
        <v>83</v>
      </c>
      <c r="C18" s="2" t="s">
        <v>66</v>
      </c>
      <c r="D18" s="2" t="s">
        <v>67</v>
      </c>
      <c r="E18" s="5" t="s">
        <v>84</v>
      </c>
      <c r="F18" s="3" t="s">
        <v>85</v>
      </c>
      <c r="G18" s="3" t="s">
        <v>86</v>
      </c>
      <c r="H18" s="2" t="s">
        <v>35</v>
      </c>
      <c r="I18" s="2" t="s">
        <v>87</v>
      </c>
      <c r="J18" s="3" t="str">
        <f>HYPERLINK("https://www.boe.es/gazeta/dias/1834/06/07/pdfs/GMD-C-1834-109.pdf#page=2","Abrir facsímil")</f>
        <v>Abrir facsímil</v>
      </c>
      <c r="K18" s="3" t="s">
        <v>37</v>
      </c>
    </row>
    <row r="19" spans="1:11" ht="54" customHeight="1">
      <c r="A19" s="2" t="s">
        <v>88</v>
      </c>
      <c r="B19" s="2" t="s">
        <v>89</v>
      </c>
      <c r="C19" s="2" t="s">
        <v>90</v>
      </c>
      <c r="D19" s="2" t="s">
        <v>18</v>
      </c>
      <c r="E19" s="5" t="s">
        <v>91</v>
      </c>
      <c r="F19" s="3" t="s">
        <v>92</v>
      </c>
      <c r="G19" s="3" t="s">
        <v>21</v>
      </c>
      <c r="H19" s="2" t="s">
        <v>35</v>
      </c>
      <c r="I19" s="2" t="s">
        <v>93</v>
      </c>
      <c r="J19" s="3" t="str">
        <f>HYPERLINK("https://www.boe.es/gazeta/dias/1834/02/13/pdfs/GMD-1834-20.pdf#page=3","Abrir facsímil")</f>
        <v>Abrir facsímil</v>
      </c>
      <c r="K19" s="3" t="s">
        <v>37</v>
      </c>
    </row>
    <row r="20" spans="1:11" ht="54" customHeight="1">
      <c r="A20" s="2" t="s">
        <v>94</v>
      </c>
      <c r="B20" s="2" t="s">
        <v>95</v>
      </c>
      <c r="C20" s="2" t="s">
        <v>17</v>
      </c>
      <c r="D20" s="2" t="s">
        <v>18</v>
      </c>
      <c r="E20" s="5" t="s">
        <v>96</v>
      </c>
      <c r="F20" s="3" t="s">
        <v>97</v>
      </c>
      <c r="G20" s="3" t="s">
        <v>34</v>
      </c>
      <c r="H20" s="2" t="s">
        <v>35</v>
      </c>
      <c r="I20" s="2" t="s">
        <v>98</v>
      </c>
      <c r="J20" s="3" t="str">
        <f>HYPERLINK("https://www.boe.es/gazeta/dias/1834/11/11/pdfs/GMD-C-1834-270.pdf#page=1","Abrir facsímil")</f>
        <v>Abrir facsímil</v>
      </c>
      <c r="K20" s="3" t="s">
        <v>37</v>
      </c>
    </row>
    <row r="21" spans="1:11" ht="54" customHeight="1">
      <c r="A21" s="2" t="s">
        <v>99</v>
      </c>
      <c r="B21" s="2" t="s">
        <v>100</v>
      </c>
      <c r="C21" s="2" t="s">
        <v>17</v>
      </c>
      <c r="D21" s="2" t="s">
        <v>101</v>
      </c>
      <c r="E21" s="5" t="s">
        <v>102</v>
      </c>
      <c r="F21" s="3" t="s">
        <v>103</v>
      </c>
      <c r="G21" s="3" t="s">
        <v>34</v>
      </c>
      <c r="H21" s="2" t="s">
        <v>35</v>
      </c>
      <c r="I21" s="2" t="s">
        <v>104</v>
      </c>
      <c r="J21" s="3" t="str">
        <f>HYPERLINK("https://www.boe.es/gazeta/dias/1834/07/19/pdfs/GMD-1834-152.pdf#page=1","Abrir facsímil")</f>
        <v>Abrir facsímil</v>
      </c>
      <c r="K21" s="3" t="s">
        <v>37</v>
      </c>
    </row>
    <row r="22" spans="1:11" ht="54" customHeight="1">
      <c r="A22" s="2" t="s">
        <v>105</v>
      </c>
      <c r="B22" s="2" t="s">
        <v>106</v>
      </c>
      <c r="C22" s="2" t="s">
        <v>17</v>
      </c>
      <c r="D22" s="2" t="s">
        <v>18</v>
      </c>
      <c r="E22" s="5" t="s">
        <v>19</v>
      </c>
      <c r="F22" s="3" t="s">
        <v>107</v>
      </c>
      <c r="G22" s="3" t="s">
        <v>75</v>
      </c>
      <c r="H22" s="2" t="s">
        <v>35</v>
      </c>
      <c r="I22" s="2" t="s">
        <v>108</v>
      </c>
      <c r="J22" s="3" t="str">
        <f>HYPERLINK("https://www.boe.es/gazeta/dias/1834/08/17/pdfs/GMD-1834-182.pdf#page=4","Abrir facsímil")</f>
        <v>Abrir facsímil</v>
      </c>
      <c r="K22" s="3" t="s">
        <v>37</v>
      </c>
    </row>
    <row r="23" spans="1:11" ht="54" customHeight="1">
      <c r="A23" s="2" t="s">
        <v>109</v>
      </c>
      <c r="B23" s="2" t="s">
        <v>110</v>
      </c>
      <c r="C23" s="2" t="s">
        <v>17</v>
      </c>
      <c r="D23" s="2" t="s">
        <v>55</v>
      </c>
      <c r="E23" s="5" t="s">
        <v>56</v>
      </c>
      <c r="F23" s="3" t="s">
        <v>57</v>
      </c>
      <c r="G23" s="3" t="s">
        <v>21</v>
      </c>
      <c r="H23" s="2" t="s">
        <v>35</v>
      </c>
      <c r="I23" s="2" t="s">
        <v>111</v>
      </c>
      <c r="J23" s="3" t="str">
        <f>HYPERLINK("https://www.boe.es/gazeta/dias/1834/07/09/pdfs/GMD-1834-142.pdf#page=3","Abrir facsímil")</f>
        <v>Abrir facsímil</v>
      </c>
      <c r="K23" s="3" t="s">
        <v>37</v>
      </c>
    </row>
    <row r="24" spans="1:11" ht="54" customHeight="1">
      <c r="A24" s="2" t="s">
        <v>112</v>
      </c>
      <c r="B24" s="2" t="s">
        <v>113</v>
      </c>
      <c r="C24" s="2" t="s">
        <v>17</v>
      </c>
      <c r="D24" s="2" t="s">
        <v>18</v>
      </c>
      <c r="E24" s="5" t="s">
        <v>84</v>
      </c>
      <c r="F24" s="3" t="s">
        <v>85</v>
      </c>
      <c r="G24" s="3" t="s">
        <v>34</v>
      </c>
      <c r="H24" s="2" t="s">
        <v>35</v>
      </c>
      <c r="I24" s="2" t="s">
        <v>114</v>
      </c>
      <c r="J24" s="3" t="str">
        <f>HYPERLINK("https://www.boe.es/gazeta/dias/1834/06/07/pdfs/GMD-C-1834-109.pdf#page=1","Abrir facsímil")</f>
        <v>Abrir facsímil</v>
      </c>
      <c r="K24" s="3" t="s">
        <v>37</v>
      </c>
    </row>
    <row r="25" spans="1:11" ht="54" customHeight="1">
      <c r="A25" s="2" t="s">
        <v>115</v>
      </c>
      <c r="B25" s="2" t="s">
        <v>116</v>
      </c>
      <c r="C25" s="2" t="s">
        <v>90</v>
      </c>
      <c r="D25" s="2" t="s">
        <v>18</v>
      </c>
      <c r="E25" s="5" t="s">
        <v>117</v>
      </c>
      <c r="F25" s="3" t="s">
        <v>118</v>
      </c>
      <c r="G25" s="3" t="s">
        <v>75</v>
      </c>
      <c r="H25" s="2" t="s">
        <v>35</v>
      </c>
      <c r="I25" s="2" t="s">
        <v>119</v>
      </c>
      <c r="J25" s="3" t="str">
        <f>HYPERLINK("https://www.boe.es/gazeta/dias/1834/07/21/pdfs/GMD-1834-154.pdf#page=4","Abrir facsímil")</f>
        <v>Abrir facsímil</v>
      </c>
      <c r="K25" s="3" t="s">
        <v>37</v>
      </c>
    </row>
    <row r="26" spans="1:11" ht="54" customHeight="1">
      <c r="A26" s="2" t="s">
        <v>120</v>
      </c>
      <c r="B26" s="2" t="s">
        <v>121</v>
      </c>
      <c r="C26" s="2" t="s">
        <v>122</v>
      </c>
      <c r="D26" s="2" t="s">
        <v>55</v>
      </c>
      <c r="E26" s="5" t="s">
        <v>123</v>
      </c>
      <c r="F26" s="3" t="s">
        <v>124</v>
      </c>
      <c r="G26" s="3" t="s">
        <v>21</v>
      </c>
      <c r="H26" s="2" t="s">
        <v>35</v>
      </c>
      <c r="I26" s="2" t="s">
        <v>125</v>
      </c>
      <c r="J26" s="3" t="str">
        <f>HYPERLINK("https://www.boe.es/gazeta/dias/1834/07/11/pdfs/GMD-1834-144.pdf#page=3","Abrir facsímil")</f>
        <v>Abrir facsímil</v>
      </c>
      <c r="K26" s="3" t="s">
        <v>37</v>
      </c>
    </row>
    <row r="27" spans="1:11" ht="54" customHeight="1">
      <c r="A27" s="2" t="s">
        <v>126</v>
      </c>
      <c r="B27" s="2" t="s">
        <v>127</v>
      </c>
      <c r="C27" s="2" t="s">
        <v>17</v>
      </c>
      <c r="D27" s="2" t="s">
        <v>18</v>
      </c>
      <c r="E27" s="5" t="s">
        <v>128</v>
      </c>
      <c r="F27" s="3" t="s">
        <v>129</v>
      </c>
      <c r="G27" s="3" t="s">
        <v>86</v>
      </c>
      <c r="H27" s="2" t="s">
        <v>35</v>
      </c>
      <c r="I27" s="2" t="s">
        <v>130</v>
      </c>
      <c r="J27" s="3" t="str">
        <f>HYPERLINK("https://www.boe.es/gazeta/dias/1834/12/24/pdfs/GMD-C-1834-314.pdf#page=2","Abrir facsímil")</f>
        <v>Abrir facsímil</v>
      </c>
      <c r="K27" s="3" t="s">
        <v>37</v>
      </c>
    </row>
    <row r="28" spans="1:11" ht="54" customHeight="1">
      <c r="A28" s="2" t="s">
        <v>131</v>
      </c>
      <c r="B28" s="2" t="s">
        <v>132</v>
      </c>
      <c r="C28" s="2" t="s">
        <v>90</v>
      </c>
      <c r="D28" s="2" t="s">
        <v>55</v>
      </c>
      <c r="E28" s="5" t="s">
        <v>133</v>
      </c>
      <c r="F28" s="3" t="s">
        <v>134</v>
      </c>
      <c r="G28" s="3" t="s">
        <v>86</v>
      </c>
      <c r="H28" s="2" t="s">
        <v>35</v>
      </c>
      <c r="I28" s="2" t="s">
        <v>135</v>
      </c>
      <c r="J28" s="3" t="str">
        <f>HYPERLINK("https://www.boe.es/gazeta/dias/1834/06/18/pdfs/GMD-1834-121.pdf#page=2","Abrir facsímil")</f>
        <v>Abrir facsímil</v>
      </c>
      <c r="K28" s="3" t="s">
        <v>37</v>
      </c>
    </row>
    <row r="29" spans="1:11" ht="54" customHeight="1">
      <c r="A29" s="2" t="s">
        <v>136</v>
      </c>
      <c r="B29" s="2" t="s">
        <v>137</v>
      </c>
      <c r="C29" s="2" t="s">
        <v>90</v>
      </c>
      <c r="D29" s="2" t="s">
        <v>67</v>
      </c>
      <c r="E29" s="5" t="s">
        <v>138</v>
      </c>
      <c r="F29" s="3" t="s">
        <v>139</v>
      </c>
      <c r="G29" s="3" t="s">
        <v>34</v>
      </c>
      <c r="H29" s="2" t="s">
        <v>35</v>
      </c>
      <c r="I29" s="2" t="s">
        <v>140</v>
      </c>
      <c r="J29" s="3" t="str">
        <f>HYPERLINK("https://www.boe.es/gazeta/dias/1834/05/17/pdfs/GMD-1834-86.pdf#page=1","Abrir facsímil")</f>
        <v>Abrir facsímil</v>
      </c>
      <c r="K29" s="3" t="s">
        <v>37</v>
      </c>
    </row>
    <row r="30" spans="1:11" ht="54" customHeight="1">
      <c r="A30" s="2" t="s">
        <v>141</v>
      </c>
      <c r="B30" s="2" t="s">
        <v>142</v>
      </c>
      <c r="C30" s="2" t="s">
        <v>17</v>
      </c>
      <c r="D30" s="2" t="s">
        <v>18</v>
      </c>
      <c r="E30" s="5" t="s">
        <v>143</v>
      </c>
      <c r="F30" s="3" t="s">
        <v>144</v>
      </c>
      <c r="G30" s="3" t="s">
        <v>21</v>
      </c>
      <c r="H30" s="2" t="s">
        <v>35</v>
      </c>
      <c r="I30" s="2" t="s">
        <v>145</v>
      </c>
      <c r="J30" s="3" t="str">
        <f>HYPERLINK("https://www.boe.es/gazeta/dias/1834/07/31/pdfs/GMD-1834-164.pdf#page=3","Abrir facsímil")</f>
        <v>Abrir facsímil</v>
      </c>
      <c r="K30" s="3" t="s">
        <v>37</v>
      </c>
    </row>
    <row r="31" spans="1:11" ht="54" customHeight="1">
      <c r="A31" s="2" t="s">
        <v>146</v>
      </c>
      <c r="B31" s="2" t="s">
        <v>147</v>
      </c>
      <c r="C31" s="2" t="s">
        <v>66</v>
      </c>
      <c r="D31" s="2" t="s">
        <v>67</v>
      </c>
      <c r="E31" s="5" t="s">
        <v>148</v>
      </c>
      <c r="F31" s="3" t="s">
        <v>149</v>
      </c>
      <c r="G31" s="3" t="s">
        <v>21</v>
      </c>
      <c r="H31" s="2" t="s">
        <v>35</v>
      </c>
      <c r="I31" s="2" t="s">
        <v>150</v>
      </c>
      <c r="J31" s="3" t="str">
        <f>HYPERLINK("https://www.boe.es/gazeta/dias/1834/10/20/pdfs/GMD-1834-248.pdf#page=3","Abrir facsímil")</f>
        <v>Abrir facsímil</v>
      </c>
      <c r="K31" s="3" t="s">
        <v>37</v>
      </c>
    </row>
    <row r="32" spans="1:11" ht="54" customHeight="1">
      <c r="A32" s="2" t="s">
        <v>151</v>
      </c>
      <c r="B32" s="2" t="s">
        <v>152</v>
      </c>
      <c r="C32" s="2" t="s">
        <v>17</v>
      </c>
      <c r="D32" s="2" t="s">
        <v>18</v>
      </c>
      <c r="E32" s="5" t="s">
        <v>153</v>
      </c>
      <c r="F32" s="3" t="s">
        <v>154</v>
      </c>
      <c r="G32" s="3" t="s">
        <v>75</v>
      </c>
      <c r="H32" s="2" t="s">
        <v>35</v>
      </c>
      <c r="I32" s="2" t="s">
        <v>155</v>
      </c>
      <c r="J32" s="3" t="str">
        <f>HYPERLINK("https://www.boe.es/gazeta/dias/1834/12/30/pdfs/GMD-C-1834-320.pdf#page=4","Abrir facsímil")</f>
        <v>Abrir facsímil</v>
      </c>
      <c r="K32" s="3" t="s">
        <v>37</v>
      </c>
    </row>
    <row r="33" spans="1:11" ht="54" customHeight="1">
      <c r="A33" s="2" t="s">
        <v>156</v>
      </c>
      <c r="B33" s="2" t="s">
        <v>157</v>
      </c>
      <c r="C33" s="2" t="s">
        <v>17</v>
      </c>
      <c r="D33" s="2" t="s">
        <v>55</v>
      </c>
      <c r="E33" s="5" t="s">
        <v>158</v>
      </c>
      <c r="F33" s="3" t="s">
        <v>159</v>
      </c>
      <c r="G33" s="3" t="s">
        <v>86</v>
      </c>
      <c r="H33" s="2" t="s">
        <v>35</v>
      </c>
      <c r="I33" s="2" t="s">
        <v>160</v>
      </c>
      <c r="J33" s="3" t="str">
        <f>HYPERLINK("https://www.boe.es/gazeta/dias/1834/10/01/pdfs/GMD-1834-229.pdf#page=2","Abrir facsímil")</f>
        <v>Abrir facsímil</v>
      </c>
      <c r="K33" s="3" t="s">
        <v>37</v>
      </c>
    </row>
    <row r="34" spans="1:11" ht="54" customHeight="1">
      <c r="A34" s="2" t="s">
        <v>161</v>
      </c>
      <c r="B34" s="2" t="s">
        <v>162</v>
      </c>
      <c r="C34" s="2" t="s">
        <v>46</v>
      </c>
      <c r="D34" s="2" t="s">
        <v>101</v>
      </c>
      <c r="E34" s="5" t="s">
        <v>163</v>
      </c>
      <c r="F34" s="3" t="s">
        <v>164</v>
      </c>
      <c r="G34" s="3" t="s">
        <v>86</v>
      </c>
      <c r="H34" s="2" t="s">
        <v>35</v>
      </c>
      <c r="I34" s="2" t="s">
        <v>165</v>
      </c>
      <c r="J34" s="3" t="str">
        <f>HYPERLINK("https://www.boe.es/gazeta/dias/1834/08/09/pdfs/GMD-1834-174.pdf#page=2","Abrir facsímil")</f>
        <v>Abrir facsímil</v>
      </c>
      <c r="K34" s="3" t="s">
        <v>37</v>
      </c>
    </row>
    <row r="35" spans="1:11" ht="54" customHeight="1">
      <c r="A35" s="2" t="s">
        <v>166</v>
      </c>
      <c r="B35" s="2" t="s">
        <v>166</v>
      </c>
      <c r="C35" s="2" t="s">
        <v>66</v>
      </c>
      <c r="D35" s="2" t="s">
        <v>18</v>
      </c>
      <c r="E35" s="5" t="s">
        <v>167</v>
      </c>
      <c r="F35" s="3" t="s">
        <v>168</v>
      </c>
      <c r="G35" s="3" t="s">
        <v>34</v>
      </c>
      <c r="H35" s="2" t="s">
        <v>22</v>
      </c>
      <c r="I35" s="2" t="s">
        <v>169</v>
      </c>
      <c r="J35" s="3" t="str">
        <f>HYPERLINK("https://www.boe.es/gazeta/dias/1834/09/07/pdfs/GMD-1834-205.pdf#page=1","Abrir facsímil")</f>
        <v>Abrir facsímil</v>
      </c>
      <c r="K35" s="3" t="s">
        <v>24</v>
      </c>
    </row>
    <row r="36" spans="1:11" ht="54" customHeight="1">
      <c r="A36" s="2" t="s">
        <v>170</v>
      </c>
      <c r="B36" s="2" t="s">
        <v>170</v>
      </c>
      <c r="C36" s="2" t="s">
        <v>17</v>
      </c>
      <c r="D36" s="2" t="s">
        <v>18</v>
      </c>
      <c r="E36" s="5" t="s">
        <v>143</v>
      </c>
      <c r="F36" s="3" t="s">
        <v>144</v>
      </c>
      <c r="G36" s="3" t="s">
        <v>75</v>
      </c>
      <c r="H36" s="2" t="s">
        <v>22</v>
      </c>
      <c r="I36" s="2" t="s">
        <v>171</v>
      </c>
      <c r="J36" s="3" t="str">
        <f>HYPERLINK("https://www.boe.es/gazeta/dias/1834/07/31/pdfs/GMD-1834-164.pdf#page=4","Abrir facsímil")</f>
        <v>Abrir facsímil</v>
      </c>
      <c r="K36" s="3" t="s">
        <v>24</v>
      </c>
    </row>
    <row r="37" spans="1:11" ht="54" customHeight="1">
      <c r="A37" s="2" t="s">
        <v>172</v>
      </c>
      <c r="B37" s="2" t="s">
        <v>173</v>
      </c>
      <c r="C37" s="2" t="s">
        <v>17</v>
      </c>
      <c r="D37" s="2" t="s">
        <v>18</v>
      </c>
      <c r="E37" s="5" t="s">
        <v>174</v>
      </c>
      <c r="F37" s="3" t="s">
        <v>175</v>
      </c>
      <c r="G37" s="3" t="s">
        <v>176</v>
      </c>
      <c r="H37" s="2" t="s">
        <v>22</v>
      </c>
      <c r="I37" s="2" t="s">
        <v>177</v>
      </c>
      <c r="J37" s="3" t="str">
        <f>HYPERLINK("https://www.boe.es/gazeta/dias/1834/03/27/pdfs/GMD-1834-38.pdf#page=6","Abrir facsímil")</f>
        <v>Abrir facsímil</v>
      </c>
      <c r="K37" s="3" t="s">
        <v>24</v>
      </c>
    </row>
    <row r="38" spans="1:11" ht="54" customHeight="1">
      <c r="A38" s="2" t="s">
        <v>178</v>
      </c>
      <c r="B38" s="2" t="s">
        <v>178</v>
      </c>
      <c r="C38" s="2" t="s">
        <v>17</v>
      </c>
      <c r="D38" s="2" t="s">
        <v>18</v>
      </c>
      <c r="E38" s="5" t="s">
        <v>179</v>
      </c>
      <c r="F38" s="3" t="s">
        <v>180</v>
      </c>
      <c r="G38" s="3" t="s">
        <v>75</v>
      </c>
      <c r="H38" s="2" t="s">
        <v>22</v>
      </c>
      <c r="I38" s="2" t="s">
        <v>181</v>
      </c>
      <c r="J38" s="3" t="str">
        <f>HYPERLINK("https://www.boe.es/gazeta/dias/1834/10/28/pdfs/GMD-1834-256.pdf#page=4","Abrir facsímil")</f>
        <v>Abrir facsímil</v>
      </c>
      <c r="K38" s="3" t="s">
        <v>24</v>
      </c>
    </row>
    <row r="39" spans="1:11" ht="54" customHeight="1">
      <c r="A39" s="2" t="s">
        <v>182</v>
      </c>
      <c r="B39" s="2" t="s">
        <v>182</v>
      </c>
      <c r="C39" s="2" t="s">
        <v>66</v>
      </c>
      <c r="D39" s="2" t="s">
        <v>67</v>
      </c>
      <c r="E39" s="5" t="s">
        <v>183</v>
      </c>
      <c r="F39" s="3" t="s">
        <v>184</v>
      </c>
      <c r="G39" s="3" t="s">
        <v>21</v>
      </c>
      <c r="H39" s="2" t="s">
        <v>22</v>
      </c>
      <c r="I39" s="2" t="s">
        <v>185</v>
      </c>
      <c r="J39" s="3" t="str">
        <f>HYPERLINK("https://www.boe.es/gazeta/dias/1834/03/18/pdfs/GMD-1834-34.pdf#page=3","Abrir facsímil")</f>
        <v>Abrir facsímil</v>
      </c>
      <c r="K39" s="3" t="s">
        <v>24</v>
      </c>
    </row>
    <row r="40" spans="1:11" ht="54" customHeight="1">
      <c r="A40" s="2" t="s">
        <v>186</v>
      </c>
      <c r="B40" s="2" t="s">
        <v>186</v>
      </c>
      <c r="C40" s="2" t="s">
        <v>66</v>
      </c>
      <c r="D40" s="2" t="s">
        <v>67</v>
      </c>
      <c r="E40" s="5" t="s">
        <v>187</v>
      </c>
      <c r="F40" s="3" t="s">
        <v>188</v>
      </c>
      <c r="G40" s="3" t="s">
        <v>34</v>
      </c>
      <c r="H40" s="2" t="s">
        <v>22</v>
      </c>
      <c r="I40" s="2" t="s">
        <v>189</v>
      </c>
      <c r="J40" s="3" t="str">
        <f>HYPERLINK("https://www.boe.es/gazeta/dias/1834/09/30/pdfs/GMD-1834-228.pdf#page=1","Abrir facsímil")</f>
        <v>Abrir facsímil</v>
      </c>
      <c r="K40" s="3" t="s">
        <v>24</v>
      </c>
    </row>
    <row r="41" spans="1:11" ht="54" customHeight="1">
      <c r="A41" s="2" t="s">
        <v>190</v>
      </c>
      <c r="B41" s="2" t="s">
        <v>191</v>
      </c>
      <c r="C41" s="2" t="s">
        <v>66</v>
      </c>
      <c r="D41" s="2" t="s">
        <v>67</v>
      </c>
      <c r="E41" s="5" t="s">
        <v>192</v>
      </c>
      <c r="F41" s="3" t="s">
        <v>193</v>
      </c>
      <c r="G41" s="3" t="s">
        <v>75</v>
      </c>
      <c r="H41" s="2" t="s">
        <v>22</v>
      </c>
      <c r="I41" s="2" t="s">
        <v>194</v>
      </c>
      <c r="J41" s="3" t="str">
        <f>HYPERLINK("https://www.boe.es/gazeta/dias/1834/12/31/pdfs/GMD-1834-321.pdf#page=4","Abrir facsímil")</f>
        <v>Abrir facsímil</v>
      </c>
      <c r="K41" s="3" t="s">
        <v>24</v>
      </c>
    </row>
    <row r="42" spans="1:11" ht="54" customHeight="1">
      <c r="A42" s="2" t="s">
        <v>195</v>
      </c>
      <c r="B42" s="2" t="s">
        <v>196</v>
      </c>
      <c r="C42" s="2" t="s">
        <v>66</v>
      </c>
      <c r="D42" s="2" t="s">
        <v>67</v>
      </c>
      <c r="E42" s="5" t="s">
        <v>192</v>
      </c>
      <c r="F42" s="3" t="s">
        <v>193</v>
      </c>
      <c r="G42" s="3" t="s">
        <v>75</v>
      </c>
      <c r="H42" s="2" t="s">
        <v>35</v>
      </c>
      <c r="I42" s="2" t="s">
        <v>197</v>
      </c>
      <c r="J42" s="3" t="str">
        <f>HYPERLINK("https://www.boe.es/gazeta/dias/1834/12/31/pdfs/GMD-1834-321.pdf#page=4","Abrir facsímil")</f>
        <v>Abrir facsímil</v>
      </c>
      <c r="K42" s="3" t="s">
        <v>37</v>
      </c>
    </row>
    <row r="43" spans="1:11" ht="54" customHeight="1">
      <c r="A43" s="2" t="s">
        <v>198</v>
      </c>
      <c r="B43" s="2" t="s">
        <v>199</v>
      </c>
      <c r="C43" s="2" t="s">
        <v>17</v>
      </c>
      <c r="D43" s="2" t="s">
        <v>55</v>
      </c>
      <c r="E43" s="5" t="s">
        <v>200</v>
      </c>
      <c r="F43" s="3" t="s">
        <v>201</v>
      </c>
      <c r="G43" s="3" t="s">
        <v>21</v>
      </c>
      <c r="H43" s="2" t="s">
        <v>22</v>
      </c>
      <c r="I43" s="2" t="s">
        <v>202</v>
      </c>
      <c r="J43" s="3" t="str">
        <f>HYPERLINK("https://www.boe.es/gazeta/dias/1834/12/11/pdfs/GMD-1834-300.pdf#page=3","Abrir facsímil")</f>
        <v>Abrir facsímil</v>
      </c>
      <c r="K43" s="3" t="s">
        <v>24</v>
      </c>
    </row>
    <row r="44" spans="1:11" ht="54" customHeight="1">
      <c r="A44" s="2" t="s">
        <v>203</v>
      </c>
      <c r="B44" s="2" t="s">
        <v>204</v>
      </c>
      <c r="C44" s="2" t="s">
        <v>17</v>
      </c>
      <c r="D44" s="2" t="s">
        <v>55</v>
      </c>
      <c r="E44" s="5" t="s">
        <v>61</v>
      </c>
      <c r="F44" s="3" t="s">
        <v>205</v>
      </c>
      <c r="G44" s="3" t="s">
        <v>34</v>
      </c>
      <c r="H44" s="2" t="s">
        <v>22</v>
      </c>
      <c r="I44" s="2" t="s">
        <v>206</v>
      </c>
      <c r="J44" s="3" t="str">
        <f>HYPERLINK("https://www.boe.es/gazeta/dias/1834/06/08/pdfs/GMD-1834-110.pdf#page=1","Abrir facsímil")</f>
        <v>Abrir facsímil</v>
      </c>
      <c r="K44" s="3" t="s">
        <v>24</v>
      </c>
    </row>
    <row r="45" spans="1:11" ht="54" customHeight="1">
      <c r="A45" s="2" t="s">
        <v>207</v>
      </c>
      <c r="B45" s="2" t="s">
        <v>208</v>
      </c>
      <c r="C45" s="2" t="s">
        <v>17</v>
      </c>
      <c r="D45" s="2" t="s">
        <v>55</v>
      </c>
      <c r="E45" s="5" t="s">
        <v>209</v>
      </c>
      <c r="F45" s="3" t="s">
        <v>210</v>
      </c>
      <c r="G45" s="3" t="s">
        <v>21</v>
      </c>
      <c r="H45" s="2" t="s">
        <v>22</v>
      </c>
      <c r="I45" s="2" t="s">
        <v>211</v>
      </c>
      <c r="J45" s="3" t="str">
        <f>HYPERLINK("https://www.boe.es/gazeta/dias/1834/07/01/pdfs/GMD-1834-134.pdf#page=3","Abrir facsímil")</f>
        <v>Abrir facsímil</v>
      </c>
      <c r="K45" s="3" t="s">
        <v>24</v>
      </c>
    </row>
    <row r="46" spans="1:11" ht="54" customHeight="1">
      <c r="A46" s="2" t="s">
        <v>212</v>
      </c>
      <c r="B46" s="2" t="s">
        <v>213</v>
      </c>
      <c r="C46" s="2" t="s">
        <v>17</v>
      </c>
      <c r="D46" s="2" t="s">
        <v>55</v>
      </c>
      <c r="E46" s="5" t="s">
        <v>209</v>
      </c>
      <c r="F46" s="3" t="s">
        <v>210</v>
      </c>
      <c r="G46" s="3" t="s">
        <v>21</v>
      </c>
      <c r="H46" s="2" t="s">
        <v>35</v>
      </c>
      <c r="I46" s="2" t="s">
        <v>214</v>
      </c>
      <c r="J46" s="3" t="str">
        <f>HYPERLINK("https://www.boe.es/gazeta/dias/1834/07/01/pdfs/GMD-1834-134.pdf#page=3","Abrir facsímil")</f>
        <v>Abrir facsímil</v>
      </c>
      <c r="K46" s="3" t="s">
        <v>37</v>
      </c>
    </row>
    <row r="47" spans="1:11" ht="54" customHeight="1">
      <c r="A47" s="2" t="s">
        <v>215</v>
      </c>
      <c r="B47" s="2" t="s">
        <v>216</v>
      </c>
      <c r="C47" s="2" t="s">
        <v>66</v>
      </c>
      <c r="D47" s="2" t="s">
        <v>67</v>
      </c>
      <c r="E47" s="5" t="s">
        <v>217</v>
      </c>
      <c r="F47" s="3" t="s">
        <v>218</v>
      </c>
      <c r="G47" s="3" t="s">
        <v>34</v>
      </c>
      <c r="H47" s="2" t="s">
        <v>35</v>
      </c>
      <c r="I47" s="2" t="s">
        <v>219</v>
      </c>
      <c r="J47" s="3" t="str">
        <f>HYPERLINK("https://www.boe.es/gazeta/dias/1834/04/20/pdfs/GMD-1834-59.pdf#page=1","Abrir facsímil")</f>
        <v>Abrir facsímil</v>
      </c>
      <c r="K47" s="3" t="s">
        <v>37</v>
      </c>
    </row>
    <row r="48" spans="1:11" ht="54" customHeight="1">
      <c r="A48" s="2" t="s">
        <v>220</v>
      </c>
      <c r="B48" s="2" t="s">
        <v>221</v>
      </c>
      <c r="C48" s="2" t="s">
        <v>17</v>
      </c>
      <c r="D48" s="2" t="s">
        <v>18</v>
      </c>
      <c r="E48" s="5" t="s">
        <v>222</v>
      </c>
      <c r="F48" s="3" t="s">
        <v>223</v>
      </c>
      <c r="G48" s="3" t="s">
        <v>21</v>
      </c>
      <c r="H48" s="2" t="s">
        <v>22</v>
      </c>
      <c r="I48" s="2" t="s">
        <v>224</v>
      </c>
      <c r="J48" s="3" t="str">
        <f>HYPERLINK("https://www.boe.es/gazeta/dias/1834/09/14/pdfs/GMD-1834-212.pdf#page=3","Abrir facsímil")</f>
        <v>Abrir facsímil</v>
      </c>
      <c r="K48" s="3" t="s">
        <v>24</v>
      </c>
    </row>
    <row r="49" spans="1:11" ht="54" customHeight="1">
      <c r="A49" s="2" t="s">
        <v>225</v>
      </c>
      <c r="B49" s="2" t="s">
        <v>226</v>
      </c>
      <c r="C49" s="2" t="s">
        <v>66</v>
      </c>
      <c r="D49" s="2" t="s">
        <v>67</v>
      </c>
      <c r="E49" s="5" t="s">
        <v>217</v>
      </c>
      <c r="F49" s="3" t="s">
        <v>218</v>
      </c>
      <c r="G49" s="3" t="s">
        <v>34</v>
      </c>
      <c r="H49" s="2" t="s">
        <v>22</v>
      </c>
      <c r="I49" s="2" t="s">
        <v>227</v>
      </c>
      <c r="J49" s="3" t="str">
        <f>HYPERLINK("https://www.boe.es/gazeta/dias/1834/04/20/pdfs/GMD-1834-59.pdf#page=1","Abrir facsímil")</f>
        <v>Abrir facsímil</v>
      </c>
      <c r="K49" s="3" t="s">
        <v>24</v>
      </c>
    </row>
    <row r="50" spans="1:11" ht="54" customHeight="1">
      <c r="A50" s="2" t="s">
        <v>228</v>
      </c>
      <c r="B50" s="2" t="s">
        <v>229</v>
      </c>
      <c r="C50" s="2" t="s">
        <v>17</v>
      </c>
      <c r="D50" s="2" t="s">
        <v>55</v>
      </c>
      <c r="E50" s="5" t="s">
        <v>32</v>
      </c>
      <c r="F50" s="3" t="s">
        <v>33</v>
      </c>
      <c r="G50" s="3" t="s">
        <v>86</v>
      </c>
      <c r="H50" s="2" t="s">
        <v>22</v>
      </c>
      <c r="I50" s="2" t="s">
        <v>230</v>
      </c>
      <c r="J50" s="3" t="str">
        <f>HYPERLINK("https://www.boe.es/gazeta/dias/1834/04/23/pdfs/GMD-1834-62.pdf#page=2","Abrir facsímil")</f>
        <v>Abrir facsímil</v>
      </c>
      <c r="K50" s="3" t="s">
        <v>24</v>
      </c>
    </row>
    <row r="51" spans="1:11" ht="54" customHeight="1">
      <c r="A51" s="2" t="s">
        <v>231</v>
      </c>
      <c r="B51" s="2" t="s">
        <v>232</v>
      </c>
      <c r="C51" s="2" t="s">
        <v>17</v>
      </c>
      <c r="D51" s="2" t="s">
        <v>18</v>
      </c>
      <c r="E51" s="5" t="s">
        <v>233</v>
      </c>
      <c r="F51" s="3" t="s">
        <v>234</v>
      </c>
      <c r="G51" s="3" t="s">
        <v>75</v>
      </c>
      <c r="H51" s="2" t="s">
        <v>22</v>
      </c>
      <c r="I51" s="2" t="s">
        <v>235</v>
      </c>
      <c r="J51" s="3" t="str">
        <f>HYPERLINK("https://www.boe.es/gazeta/dias/1834/12/16/pdfs/GMD-1834-305.pdf#page=4","Abrir facsímil")</f>
        <v>Abrir facsímil</v>
      </c>
      <c r="K51" s="3" t="s">
        <v>24</v>
      </c>
    </row>
    <row r="52" spans="1:11" ht="54" customHeight="1">
      <c r="A52" s="2" t="s">
        <v>236</v>
      </c>
      <c r="B52" s="2" t="s">
        <v>236</v>
      </c>
      <c r="C52" s="2" t="s">
        <v>90</v>
      </c>
      <c r="D52" s="2" t="s">
        <v>18</v>
      </c>
      <c r="E52" s="5" t="s">
        <v>237</v>
      </c>
      <c r="F52" s="3" t="s">
        <v>238</v>
      </c>
      <c r="G52" s="3" t="s">
        <v>34</v>
      </c>
      <c r="H52" s="2" t="s">
        <v>22</v>
      </c>
      <c r="I52" s="2" t="s">
        <v>239</v>
      </c>
      <c r="J52" s="3" t="str">
        <f>HYPERLINK("https://www.boe.es/gazeta/dias/1834/08/15/pdfs/GMD-C-1834-180.pdf#page=1","Abrir facsímil")</f>
        <v>Abrir facsímil</v>
      </c>
      <c r="K52" s="3" t="s">
        <v>24</v>
      </c>
    </row>
    <row r="53" spans="1:11" ht="54" customHeight="1">
      <c r="A53" s="2" t="s">
        <v>240</v>
      </c>
      <c r="B53" s="2" t="s">
        <v>240</v>
      </c>
      <c r="C53" s="2" t="s">
        <v>46</v>
      </c>
      <c r="D53" s="2" t="s">
        <v>18</v>
      </c>
      <c r="E53" s="5" t="s">
        <v>128</v>
      </c>
      <c r="F53" s="3" t="s">
        <v>129</v>
      </c>
      <c r="G53" s="3" t="s">
        <v>21</v>
      </c>
      <c r="H53" s="2" t="s">
        <v>22</v>
      </c>
      <c r="I53" s="2" t="s">
        <v>241</v>
      </c>
      <c r="J53" s="3" t="str">
        <f>HYPERLINK("https://www.boe.es/gazeta/dias/1834/12/24/pdfs/GMD-C-1834-314.pdf#page=3","Abrir facsímil")</f>
        <v>Abrir facsímil</v>
      </c>
      <c r="K53" s="3" t="s">
        <v>24</v>
      </c>
    </row>
    <row r="54" spans="1:11" ht="54" customHeight="1">
      <c r="A54" s="2" t="s">
        <v>242</v>
      </c>
      <c r="B54" s="2" t="s">
        <v>242</v>
      </c>
      <c r="C54" s="2" t="s">
        <v>17</v>
      </c>
      <c r="D54" s="2" t="s">
        <v>18</v>
      </c>
      <c r="E54" s="5" t="s">
        <v>243</v>
      </c>
      <c r="F54" s="3" t="s">
        <v>244</v>
      </c>
      <c r="G54" s="3" t="s">
        <v>86</v>
      </c>
      <c r="H54" s="2" t="s">
        <v>22</v>
      </c>
      <c r="I54" s="2" t="s">
        <v>245</v>
      </c>
      <c r="J54" s="3" t="str">
        <f>HYPERLINK("https://www.boe.es/gazeta/dias/1834/08/05/pdfs/GMD-C-1834-169.pdf#page=2","Abrir facsímil")</f>
        <v>Abrir facsímil</v>
      </c>
      <c r="K54" s="3" t="s">
        <v>24</v>
      </c>
    </row>
    <row r="55" spans="1:11" ht="54" customHeight="1">
      <c r="A55" s="2" t="s">
        <v>246</v>
      </c>
      <c r="B55" s="2" t="s">
        <v>246</v>
      </c>
      <c r="C55" s="2" t="s">
        <v>90</v>
      </c>
      <c r="D55" s="2" t="s">
        <v>18</v>
      </c>
      <c r="E55" s="5" t="s">
        <v>247</v>
      </c>
      <c r="F55" s="3" t="s">
        <v>248</v>
      </c>
      <c r="G55" s="3" t="s">
        <v>86</v>
      </c>
      <c r="H55" s="2" t="s">
        <v>22</v>
      </c>
      <c r="I55" s="2" t="s">
        <v>249</v>
      </c>
      <c r="J55" s="3" t="str">
        <f>HYPERLINK("https://www.boe.es/gazeta/dias/1834/08/23/pdfs/GMD-C-1834-189.pdf#page=2","Abrir facsímil")</f>
        <v>Abrir facsímil</v>
      </c>
      <c r="K55" s="3" t="s">
        <v>24</v>
      </c>
    </row>
    <row r="56" spans="1:11" ht="54" customHeight="1">
      <c r="A56" s="2" t="s">
        <v>250</v>
      </c>
      <c r="B56" s="2" t="s">
        <v>250</v>
      </c>
      <c r="C56" s="2" t="s">
        <v>17</v>
      </c>
      <c r="D56" s="2" t="s">
        <v>18</v>
      </c>
      <c r="E56" s="5" t="s">
        <v>251</v>
      </c>
      <c r="F56" s="3" t="s">
        <v>252</v>
      </c>
      <c r="G56" s="3" t="s">
        <v>21</v>
      </c>
      <c r="H56" s="2" t="s">
        <v>22</v>
      </c>
      <c r="I56" s="2" t="s">
        <v>253</v>
      </c>
      <c r="J56" s="3" t="str">
        <f>HYPERLINK("https://www.boe.es/gazeta/dias/1834/09/26/pdfs/GMD-C-1834-224.pdf#page=3","Abrir facsímil")</f>
        <v>Abrir facsímil</v>
      </c>
      <c r="K56" s="3" t="s">
        <v>24</v>
      </c>
    </row>
    <row r="57" spans="1:11" ht="54" customHeight="1">
      <c r="A57" s="2" t="s">
        <v>254</v>
      </c>
      <c r="B57" s="2" t="s">
        <v>254</v>
      </c>
      <c r="C57" s="2" t="s">
        <v>17</v>
      </c>
      <c r="D57" s="2" t="s">
        <v>18</v>
      </c>
      <c r="E57" s="5" t="s">
        <v>255</v>
      </c>
      <c r="F57" s="3" t="s">
        <v>256</v>
      </c>
      <c r="G57" s="3" t="s">
        <v>34</v>
      </c>
      <c r="H57" s="2" t="s">
        <v>22</v>
      </c>
      <c r="I57" s="2" t="s">
        <v>257</v>
      </c>
      <c r="J57" s="3" t="str">
        <f>HYPERLINK("https://www.boe.es/gazeta/dias/1834/09/01/pdfs/GMD-D-1834-199.pdf#page=1","Abrir facsímil")</f>
        <v>Abrir facsímil</v>
      </c>
      <c r="K57" s="3" t="s">
        <v>24</v>
      </c>
    </row>
    <row r="58" spans="1:11" ht="54" customHeight="1">
      <c r="A58" s="2" t="s">
        <v>254</v>
      </c>
      <c r="B58" s="2" t="s">
        <v>254</v>
      </c>
      <c r="C58" s="2" t="s">
        <v>46</v>
      </c>
      <c r="D58" s="2" t="s">
        <v>101</v>
      </c>
      <c r="E58" s="5" t="s">
        <v>258</v>
      </c>
      <c r="F58" s="3" t="s">
        <v>259</v>
      </c>
      <c r="G58" s="3" t="s">
        <v>86</v>
      </c>
      <c r="H58" s="2" t="s">
        <v>22</v>
      </c>
      <c r="I58" s="2" t="s">
        <v>260</v>
      </c>
      <c r="J58" s="3" t="str">
        <f>HYPERLINK("https://www.boe.es/gazeta/dias/1834/10/09/pdfs/GMD-C-1834-237.pdf#page=2","Abrir facsímil")</f>
        <v>Abrir facsímil</v>
      </c>
      <c r="K58" s="3" t="s">
        <v>24</v>
      </c>
    </row>
    <row r="59" spans="1:11" ht="54" customHeight="1">
      <c r="A59" s="2" t="s">
        <v>254</v>
      </c>
      <c r="B59" s="2" t="s">
        <v>254</v>
      </c>
      <c r="C59" s="2" t="s">
        <v>17</v>
      </c>
      <c r="D59" s="2" t="s">
        <v>18</v>
      </c>
      <c r="E59" s="5" t="s">
        <v>237</v>
      </c>
      <c r="F59" s="3" t="s">
        <v>238</v>
      </c>
      <c r="G59" s="3" t="s">
        <v>21</v>
      </c>
      <c r="H59" s="2" t="s">
        <v>22</v>
      </c>
      <c r="I59" s="2" t="s">
        <v>261</v>
      </c>
      <c r="J59" s="3" t="str">
        <f>HYPERLINK("https://www.boe.es/gazeta/dias/1834/08/15/pdfs/GMD-C-1834-180.pdf#page=3","Abrir facsímil")</f>
        <v>Abrir facsímil</v>
      </c>
      <c r="K59" s="3" t="s">
        <v>24</v>
      </c>
    </row>
    <row r="60" spans="1:11" ht="54" customHeight="1">
      <c r="A60" s="2" t="s">
        <v>254</v>
      </c>
      <c r="B60" s="2" t="s">
        <v>254</v>
      </c>
      <c r="C60" s="2" t="s">
        <v>17</v>
      </c>
      <c r="D60" s="2" t="s">
        <v>18</v>
      </c>
      <c r="E60" s="5" t="s">
        <v>262</v>
      </c>
      <c r="F60" s="3" t="s">
        <v>263</v>
      </c>
      <c r="G60" s="3" t="s">
        <v>34</v>
      </c>
      <c r="H60" s="2" t="s">
        <v>22</v>
      </c>
      <c r="I60" s="2" t="s">
        <v>264</v>
      </c>
      <c r="J60" s="3" t="str">
        <f>HYPERLINK("https://www.boe.es/gazeta/dias/1834/10/18/pdfs/GMD-C-1834-246.pdf#page=1","Abrir facsímil")</f>
        <v>Abrir facsímil</v>
      </c>
      <c r="K60" s="3" t="s">
        <v>24</v>
      </c>
    </row>
    <row r="61" spans="1:11" ht="54" customHeight="1">
      <c r="A61" s="2" t="s">
        <v>254</v>
      </c>
      <c r="B61" s="2" t="s">
        <v>254</v>
      </c>
      <c r="C61" s="2" t="s">
        <v>17</v>
      </c>
      <c r="D61" s="2" t="s">
        <v>18</v>
      </c>
      <c r="E61" s="5" t="s">
        <v>265</v>
      </c>
      <c r="F61" s="3" t="s">
        <v>266</v>
      </c>
      <c r="G61" s="3" t="s">
        <v>75</v>
      </c>
      <c r="H61" s="2" t="s">
        <v>22</v>
      </c>
      <c r="I61" s="2" t="s">
        <v>267</v>
      </c>
      <c r="J61" s="3" t="str">
        <f>HYPERLINK("https://www.boe.es/gazeta/dias/1834/11/19/pdfs/GMD-C-1834-278.pdf#page=4","Abrir facsímil")</f>
        <v>Abrir facsímil</v>
      </c>
      <c r="K61" s="3" t="s">
        <v>24</v>
      </c>
    </row>
    <row r="62" spans="1:11" ht="54" customHeight="1">
      <c r="A62" s="2" t="s">
        <v>254</v>
      </c>
      <c r="B62" s="2" t="s">
        <v>254</v>
      </c>
      <c r="C62" s="2" t="s">
        <v>17</v>
      </c>
      <c r="D62" s="2" t="s">
        <v>18</v>
      </c>
      <c r="E62" s="5" t="s">
        <v>268</v>
      </c>
      <c r="F62" s="3" t="s">
        <v>269</v>
      </c>
      <c r="G62" s="3" t="s">
        <v>34</v>
      </c>
      <c r="H62" s="2" t="s">
        <v>22</v>
      </c>
      <c r="I62" s="2" t="s">
        <v>270</v>
      </c>
      <c r="J62" s="3" t="str">
        <f>HYPERLINK("https://www.boe.es/gazeta/dias/1834/12/19/pdfs/GMD-C-1834-309.pdf#page=1","Abrir facsímil")</f>
        <v>Abrir facsímil</v>
      </c>
      <c r="K62" s="3" t="s">
        <v>24</v>
      </c>
    </row>
    <row r="63" spans="1:11" ht="54" customHeight="1">
      <c r="A63" s="2" t="s">
        <v>254</v>
      </c>
      <c r="B63" s="2" t="s">
        <v>254</v>
      </c>
      <c r="C63" s="2" t="s">
        <v>122</v>
      </c>
      <c r="D63" s="2" t="s">
        <v>18</v>
      </c>
      <c r="E63" s="5" t="s">
        <v>268</v>
      </c>
      <c r="F63" s="3" t="s">
        <v>269</v>
      </c>
      <c r="G63" s="3" t="s">
        <v>75</v>
      </c>
      <c r="H63" s="2" t="s">
        <v>22</v>
      </c>
      <c r="I63" s="2" t="s">
        <v>271</v>
      </c>
      <c r="J63" s="3" t="str">
        <f>HYPERLINK("https://www.boe.es/gazeta/dias/1834/12/19/pdfs/GMD-C-1834-309.pdf#page=4","Abrir facsímil")</f>
        <v>Abrir facsímil</v>
      </c>
      <c r="K63" s="3" t="s">
        <v>24</v>
      </c>
    </row>
    <row r="64" spans="1:11" ht="54" customHeight="1">
      <c r="A64" s="2" t="s">
        <v>254</v>
      </c>
      <c r="B64" s="2" t="s">
        <v>254</v>
      </c>
      <c r="C64" s="2" t="s">
        <v>17</v>
      </c>
      <c r="D64" s="2" t="s">
        <v>18</v>
      </c>
      <c r="E64" s="5" t="s">
        <v>268</v>
      </c>
      <c r="F64" s="3" t="s">
        <v>269</v>
      </c>
      <c r="G64" s="3" t="s">
        <v>28</v>
      </c>
      <c r="H64" s="2" t="s">
        <v>22</v>
      </c>
      <c r="I64" s="2" t="s">
        <v>272</v>
      </c>
      <c r="J64" s="3" t="str">
        <f>HYPERLINK("https://www.boe.es/gazeta/dias/1834/12/19/pdfs/GMD-C-1834-309.pdf#page=5","Abrir facsímil")</f>
        <v>Abrir facsímil</v>
      </c>
      <c r="K64" s="3" t="s">
        <v>24</v>
      </c>
    </row>
    <row r="65" spans="1:11" ht="54" customHeight="1">
      <c r="A65" s="2" t="s">
        <v>254</v>
      </c>
      <c r="B65" s="2" t="s">
        <v>254</v>
      </c>
      <c r="C65" s="2" t="s">
        <v>17</v>
      </c>
      <c r="D65" s="2" t="s">
        <v>18</v>
      </c>
      <c r="E65" s="5" t="s">
        <v>273</v>
      </c>
      <c r="F65" s="3" t="s">
        <v>274</v>
      </c>
      <c r="G65" s="3" t="s">
        <v>176</v>
      </c>
      <c r="H65" s="2" t="s">
        <v>22</v>
      </c>
      <c r="I65" s="2" t="s">
        <v>275</v>
      </c>
      <c r="J65" s="3" t="str">
        <f>HYPERLINK("https://www.boe.es/gazeta/dias/1834/08/31/pdfs/GMD-D-1834-198.pdf#page=6","Abrir facsímil")</f>
        <v>Abrir facsímil</v>
      </c>
      <c r="K65" s="3" t="s">
        <v>24</v>
      </c>
    </row>
    <row r="66" spans="1:11" ht="54" customHeight="1">
      <c r="A66" s="2" t="s">
        <v>276</v>
      </c>
      <c r="B66" s="2" t="s">
        <v>277</v>
      </c>
      <c r="C66" s="2" t="s">
        <v>17</v>
      </c>
      <c r="D66" s="2" t="s">
        <v>18</v>
      </c>
      <c r="E66" s="5" t="s">
        <v>268</v>
      </c>
      <c r="F66" s="3" t="s">
        <v>269</v>
      </c>
      <c r="G66" s="3" t="s">
        <v>28</v>
      </c>
      <c r="H66" s="2" t="s">
        <v>22</v>
      </c>
      <c r="I66" s="2" t="s">
        <v>278</v>
      </c>
      <c r="J66" s="3" t="str">
        <f>HYPERLINK("https://www.boe.es/gazeta/dias/1834/12/19/pdfs/GMD-C-1834-309.pdf#page=5","Abrir facsímil")</f>
        <v>Abrir facsímil</v>
      </c>
      <c r="K66" s="3" t="s">
        <v>24</v>
      </c>
    </row>
    <row r="67" spans="1:11" ht="54" customHeight="1">
      <c r="A67" s="2" t="s">
        <v>279</v>
      </c>
      <c r="B67" s="2" t="s">
        <v>279</v>
      </c>
      <c r="C67" s="2" t="s">
        <v>17</v>
      </c>
      <c r="D67" s="2" t="s">
        <v>18</v>
      </c>
      <c r="E67" s="5" t="s">
        <v>280</v>
      </c>
      <c r="F67" s="3" t="s">
        <v>281</v>
      </c>
      <c r="G67" s="3" t="s">
        <v>21</v>
      </c>
      <c r="H67" s="2" t="s">
        <v>22</v>
      </c>
      <c r="I67" s="2" t="s">
        <v>282</v>
      </c>
      <c r="J67" s="3" t="str">
        <f>HYPERLINK("https://www.boe.es/gazeta/dias/1834/08/29/pdfs/GMD-C-1834-195.pdf#page=3","Abrir facsímil")</f>
        <v>Abrir facsímil</v>
      </c>
      <c r="K67" s="3" t="s">
        <v>24</v>
      </c>
    </row>
    <row r="68" spans="1:11" ht="54" customHeight="1">
      <c r="A68" s="2" t="s">
        <v>279</v>
      </c>
      <c r="B68" s="2" t="s">
        <v>279</v>
      </c>
      <c r="C68" s="2" t="s">
        <v>17</v>
      </c>
      <c r="D68" s="2" t="s">
        <v>18</v>
      </c>
      <c r="E68" s="5" t="s">
        <v>283</v>
      </c>
      <c r="F68" s="3" t="s">
        <v>284</v>
      </c>
      <c r="G68" s="3" t="s">
        <v>34</v>
      </c>
      <c r="H68" s="2" t="s">
        <v>22</v>
      </c>
      <c r="I68" s="2" t="s">
        <v>285</v>
      </c>
      <c r="J68" s="3" t="str">
        <f>HYPERLINK("https://www.boe.es/gazeta/dias/1834/11/29/pdfs/GMD-C-1834-288.pdf#page=1","Abrir facsímil")</f>
        <v>Abrir facsímil</v>
      </c>
      <c r="K68" s="3" t="s">
        <v>24</v>
      </c>
    </row>
    <row r="69" spans="1:11" ht="54" customHeight="1">
      <c r="A69" s="2" t="s">
        <v>279</v>
      </c>
      <c r="B69" s="2" t="s">
        <v>279</v>
      </c>
      <c r="C69" s="2" t="s">
        <v>17</v>
      </c>
      <c r="D69" s="2" t="s">
        <v>18</v>
      </c>
      <c r="E69" s="5" t="s">
        <v>286</v>
      </c>
      <c r="F69" s="3" t="s">
        <v>287</v>
      </c>
      <c r="G69" s="3" t="s">
        <v>75</v>
      </c>
      <c r="H69" s="2" t="s">
        <v>22</v>
      </c>
      <c r="I69" s="2" t="s">
        <v>288</v>
      </c>
      <c r="J69" s="3" t="str">
        <f>HYPERLINK("https://www.boe.es/gazeta/dias/1834/08/30/pdfs/GMD-C-1834-196.pdf#page=4","Abrir facsímil")</f>
        <v>Abrir facsímil</v>
      </c>
      <c r="K69" s="3" t="s">
        <v>24</v>
      </c>
    </row>
    <row r="70" spans="1:11" ht="54" customHeight="1">
      <c r="A70" s="2" t="s">
        <v>289</v>
      </c>
      <c r="B70" s="2" t="s">
        <v>290</v>
      </c>
      <c r="C70" s="2" t="s">
        <v>90</v>
      </c>
      <c r="D70" s="2" t="s">
        <v>101</v>
      </c>
      <c r="E70" s="5" t="s">
        <v>128</v>
      </c>
      <c r="F70" s="3" t="s">
        <v>129</v>
      </c>
      <c r="G70" s="3" t="s">
        <v>28</v>
      </c>
      <c r="H70" s="2" t="s">
        <v>22</v>
      </c>
      <c r="I70" s="2" t="s">
        <v>291</v>
      </c>
      <c r="J70" s="3" t="str">
        <f>HYPERLINK("https://www.boe.es/gazeta/dias/1834/12/24/pdfs/GMD-C-1834-314.pdf#page=5","Abrir facsímil")</f>
        <v>Abrir facsímil</v>
      </c>
      <c r="K70" s="3" t="s">
        <v>24</v>
      </c>
    </row>
    <row r="71" spans="1:11" ht="54" customHeight="1">
      <c r="A71" s="2" t="s">
        <v>292</v>
      </c>
      <c r="B71" s="2" t="s">
        <v>293</v>
      </c>
      <c r="C71" s="2" t="s">
        <v>17</v>
      </c>
      <c r="D71" s="2" t="s">
        <v>18</v>
      </c>
      <c r="E71" s="5" t="s">
        <v>294</v>
      </c>
      <c r="F71" s="3" t="s">
        <v>295</v>
      </c>
      <c r="G71" s="3" t="s">
        <v>75</v>
      </c>
      <c r="H71" s="2" t="s">
        <v>22</v>
      </c>
      <c r="I71" s="2" t="s">
        <v>296</v>
      </c>
      <c r="J71" s="3" t="str">
        <f>HYPERLINK("https://www.boe.es/gazeta/dias/1834/09/27/pdfs/GMD-1834-225.pdf#page=4","Abrir facsímil")</f>
        <v>Abrir facsímil</v>
      </c>
      <c r="K71" s="3" t="s">
        <v>24</v>
      </c>
    </row>
    <row r="72" spans="1:11" ht="54" customHeight="1">
      <c r="A72" s="2" t="s">
        <v>297</v>
      </c>
      <c r="B72" s="2" t="s">
        <v>298</v>
      </c>
      <c r="C72" s="2" t="s">
        <v>17</v>
      </c>
      <c r="D72" s="2" t="s">
        <v>18</v>
      </c>
      <c r="E72" s="5" t="s">
        <v>299</v>
      </c>
      <c r="F72" s="3" t="s">
        <v>300</v>
      </c>
      <c r="G72" s="3" t="s">
        <v>21</v>
      </c>
      <c r="H72" s="2" t="s">
        <v>22</v>
      </c>
      <c r="I72" s="2" t="s">
        <v>301</v>
      </c>
      <c r="J72" s="3" t="str">
        <f>HYPERLINK("https://www.boe.es/gazeta/dias/1834/12/12/pdfs/GMD-1834-301.pdf#page=3","Abrir facsímil")</f>
        <v>Abrir facsímil</v>
      </c>
      <c r="K72" s="3" t="s">
        <v>24</v>
      </c>
    </row>
    <row r="73" spans="1:11" ht="54" customHeight="1">
      <c r="A73" s="2" t="s">
        <v>302</v>
      </c>
      <c r="B73" s="2" t="s">
        <v>303</v>
      </c>
      <c r="C73" s="2" t="s">
        <v>17</v>
      </c>
      <c r="D73" s="2" t="s">
        <v>18</v>
      </c>
      <c r="E73" s="5" t="s">
        <v>304</v>
      </c>
      <c r="F73" s="3" t="s">
        <v>305</v>
      </c>
      <c r="G73" s="3" t="s">
        <v>21</v>
      </c>
      <c r="H73" s="2" t="s">
        <v>22</v>
      </c>
      <c r="I73" s="2" t="s">
        <v>306</v>
      </c>
      <c r="J73" s="3" t="str">
        <f>HYPERLINK("https://www.boe.es/gazeta/dias/1834/01/21/pdfs/GMD-1834-10.pdf#page=3","Abrir facsímil")</f>
        <v>Abrir facsímil</v>
      </c>
      <c r="K73" s="3" t="s">
        <v>24</v>
      </c>
    </row>
    <row r="74" spans="1:11" ht="54" customHeight="1">
      <c r="A74" s="2" t="s">
        <v>307</v>
      </c>
      <c r="B74" s="2" t="s">
        <v>308</v>
      </c>
      <c r="C74" s="2" t="s">
        <v>17</v>
      </c>
      <c r="D74" s="2" t="s">
        <v>18</v>
      </c>
      <c r="E74" s="5" t="s">
        <v>309</v>
      </c>
      <c r="F74" s="3" t="s">
        <v>310</v>
      </c>
      <c r="G74" s="3" t="s">
        <v>34</v>
      </c>
      <c r="H74" s="2" t="s">
        <v>22</v>
      </c>
      <c r="I74" s="2" t="s">
        <v>311</v>
      </c>
      <c r="J74" s="3" t="str">
        <f>HYPERLINK("https://www.boe.es/gazeta/dias/1834/05/30/pdfs/GMD-1834-99.pdf#page=1","Abrir facsímil")</f>
        <v>Abrir facsímil</v>
      </c>
      <c r="K74" s="3" t="s">
        <v>24</v>
      </c>
    </row>
    <row r="75" spans="1:11" ht="54" customHeight="1">
      <c r="A75" s="2" t="s">
        <v>312</v>
      </c>
      <c r="B75" s="2" t="s">
        <v>312</v>
      </c>
      <c r="C75" s="2" t="s">
        <v>46</v>
      </c>
      <c r="D75" s="2" t="s">
        <v>101</v>
      </c>
      <c r="E75" s="5" t="s">
        <v>192</v>
      </c>
      <c r="F75" s="3" t="s">
        <v>193</v>
      </c>
      <c r="G75" s="3" t="s">
        <v>21</v>
      </c>
      <c r="H75" s="2" t="s">
        <v>22</v>
      </c>
      <c r="I75" s="2" t="s">
        <v>313</v>
      </c>
      <c r="J75" s="3" t="str">
        <f>HYPERLINK("https://www.boe.es/gazeta/dias/1834/12/31/pdfs/GMD-1834-321.pdf#page=3","Abrir facsímil")</f>
        <v>Abrir facsímil</v>
      </c>
      <c r="K75" s="3" t="s">
        <v>24</v>
      </c>
    </row>
    <row r="76" spans="1:11" ht="54" customHeight="1">
      <c r="A76" s="2" t="s">
        <v>314</v>
      </c>
      <c r="B76" s="2" t="s">
        <v>314</v>
      </c>
      <c r="C76" s="2" t="s">
        <v>17</v>
      </c>
      <c r="D76" s="2" t="s">
        <v>18</v>
      </c>
      <c r="E76" s="5" t="s">
        <v>243</v>
      </c>
      <c r="F76" s="3" t="s">
        <v>244</v>
      </c>
      <c r="G76" s="3" t="s">
        <v>86</v>
      </c>
      <c r="H76" s="2" t="s">
        <v>22</v>
      </c>
      <c r="I76" s="2" t="s">
        <v>315</v>
      </c>
      <c r="J76" s="3" t="str">
        <f>HYPERLINK("https://www.boe.es/gazeta/dias/1834/08/05/pdfs/GMD-C-1834-169.pdf#page=2","Abrir facsímil")</f>
        <v>Abrir facsímil</v>
      </c>
      <c r="K76" s="3" t="s">
        <v>24</v>
      </c>
    </row>
    <row r="77" spans="1:11" ht="54" customHeight="1">
      <c r="A77" s="2" t="s">
        <v>316</v>
      </c>
      <c r="B77" s="2" t="s">
        <v>316</v>
      </c>
      <c r="C77" s="2" t="s">
        <v>122</v>
      </c>
      <c r="D77" s="2" t="s">
        <v>18</v>
      </c>
      <c r="E77" s="5" t="s">
        <v>317</v>
      </c>
      <c r="F77" s="3" t="s">
        <v>318</v>
      </c>
      <c r="G77" s="3" t="s">
        <v>86</v>
      </c>
      <c r="H77" s="2" t="s">
        <v>22</v>
      </c>
      <c r="I77" s="2" t="s">
        <v>319</v>
      </c>
      <c r="J77" s="3" t="str">
        <f>HYPERLINK("https://www.boe.es/gazeta/dias/1834/03/06/pdfs/GMD-1834-29.pdf#page=2","Abrir facsímil")</f>
        <v>Abrir facsímil</v>
      </c>
      <c r="K77" s="3" t="s">
        <v>24</v>
      </c>
    </row>
    <row r="78" spans="1:11" ht="54" customHeight="1">
      <c r="A78" s="2" t="s">
        <v>320</v>
      </c>
      <c r="B78" s="2" t="s">
        <v>321</v>
      </c>
      <c r="C78" s="2" t="s">
        <v>122</v>
      </c>
      <c r="D78" s="2" t="s">
        <v>101</v>
      </c>
      <c r="E78" s="5" t="s">
        <v>317</v>
      </c>
      <c r="F78" s="3" t="s">
        <v>318</v>
      </c>
      <c r="G78" s="3" t="s">
        <v>34</v>
      </c>
      <c r="H78" s="2" t="s">
        <v>22</v>
      </c>
      <c r="I78" s="2" t="s">
        <v>322</v>
      </c>
      <c r="J78" s="3" t="str">
        <f>HYPERLINK("https://www.boe.es/gazeta/dias/1834/03/06/pdfs/I00139-00140.pdf#page=1","Abrir facsímil")</f>
        <v>Abrir facsímil</v>
      </c>
      <c r="K78" s="3" t="s">
        <v>24</v>
      </c>
    </row>
    <row r="79" spans="1:11" ht="54" customHeight="1">
      <c r="A79" s="2" t="s">
        <v>320</v>
      </c>
      <c r="B79" s="2" t="s">
        <v>321</v>
      </c>
      <c r="C79" s="2" t="s">
        <v>122</v>
      </c>
      <c r="D79" s="2" t="s">
        <v>101</v>
      </c>
      <c r="E79" s="5" t="s">
        <v>317</v>
      </c>
      <c r="F79" s="3" t="s">
        <v>318</v>
      </c>
      <c r="G79" s="3" t="s">
        <v>21</v>
      </c>
      <c r="H79" s="2" t="s">
        <v>22</v>
      </c>
      <c r="I79" s="2" t="s">
        <v>323</v>
      </c>
      <c r="J79" s="3" t="str">
        <f>HYPERLINK("https://www.boe.es/gazeta/dias/1834/03/06/pdfs/GMD-1834-29.pdf#page=3","Abrir facsímil")</f>
        <v>Abrir facsímil</v>
      </c>
      <c r="K79" s="3" t="s">
        <v>24</v>
      </c>
    </row>
    <row r="80" spans="1:11" ht="54" customHeight="1">
      <c r="A80" s="2" t="s">
        <v>324</v>
      </c>
      <c r="B80" s="2" t="s">
        <v>325</v>
      </c>
      <c r="C80" s="2" t="s">
        <v>17</v>
      </c>
      <c r="D80" s="2" t="s">
        <v>18</v>
      </c>
      <c r="E80" s="5" t="s">
        <v>326</v>
      </c>
      <c r="F80" s="3" t="s">
        <v>327</v>
      </c>
      <c r="G80" s="3" t="s">
        <v>75</v>
      </c>
      <c r="H80" s="2" t="s">
        <v>22</v>
      </c>
      <c r="I80" s="2" t="s">
        <v>328</v>
      </c>
      <c r="J80" s="3" t="str">
        <f>HYPERLINK("https://www.boe.es/gazeta/dias/1834/07/15/pdfs/GMD-1834-148.pdf#page=4","Abrir facsímil")</f>
        <v>Abrir facsímil</v>
      </c>
      <c r="K80" s="3" t="s">
        <v>24</v>
      </c>
    </row>
    <row r="81" spans="1:11" ht="54" customHeight="1">
      <c r="A81" s="2" t="s">
        <v>329</v>
      </c>
      <c r="B81" s="2" t="s">
        <v>329</v>
      </c>
      <c r="C81" s="2" t="s">
        <v>17</v>
      </c>
      <c r="D81" s="2" t="s">
        <v>18</v>
      </c>
      <c r="E81" s="5" t="s">
        <v>330</v>
      </c>
      <c r="F81" s="3" t="s">
        <v>331</v>
      </c>
      <c r="G81" s="3" t="s">
        <v>34</v>
      </c>
      <c r="H81" s="2" t="s">
        <v>22</v>
      </c>
      <c r="I81" s="2" t="s">
        <v>332</v>
      </c>
      <c r="J81" s="3" t="str">
        <f>HYPERLINK("https://www.boe.es/gazeta/dias/1834/12/03/pdfs/GMD-1834-292.pdf#page=1","Abrir facsímil")</f>
        <v>Abrir facsímil</v>
      </c>
      <c r="K81" s="3" t="s">
        <v>24</v>
      </c>
    </row>
    <row r="82" spans="1:11" ht="54" customHeight="1">
      <c r="A82" s="2" t="s">
        <v>333</v>
      </c>
      <c r="B82" s="2" t="s">
        <v>333</v>
      </c>
      <c r="C82" s="2" t="s">
        <v>46</v>
      </c>
      <c r="D82" s="2" t="s">
        <v>55</v>
      </c>
      <c r="E82" s="5" t="s">
        <v>334</v>
      </c>
      <c r="F82" s="3" t="s">
        <v>335</v>
      </c>
      <c r="G82" s="3" t="s">
        <v>86</v>
      </c>
      <c r="H82" s="2" t="s">
        <v>22</v>
      </c>
      <c r="I82" s="2" t="s">
        <v>336</v>
      </c>
      <c r="J82" s="3" t="str">
        <f>HYPERLINK("https://www.boe.es/gazeta/dias/1834/09/11/pdfs/GMD-C-1834-209.pdf#page=2","Abrir facsímil")</f>
        <v>Abrir facsímil</v>
      </c>
      <c r="K82" s="3" t="s">
        <v>24</v>
      </c>
    </row>
    <row r="83" spans="1:11" ht="54" customHeight="1">
      <c r="A83" s="2" t="s">
        <v>337</v>
      </c>
      <c r="B83" s="2" t="s">
        <v>338</v>
      </c>
      <c r="C83" s="2" t="s">
        <v>17</v>
      </c>
      <c r="D83" s="2" t="s">
        <v>18</v>
      </c>
      <c r="E83" s="5" t="s">
        <v>339</v>
      </c>
      <c r="F83" s="3" t="s">
        <v>340</v>
      </c>
      <c r="G83" s="3" t="s">
        <v>75</v>
      </c>
      <c r="H83" s="2" t="s">
        <v>22</v>
      </c>
      <c r="I83" s="2" t="s">
        <v>341</v>
      </c>
      <c r="J83" s="3" t="str">
        <f>HYPERLINK("https://www.boe.es/gazeta/dias/1834/05/02/pdfs/GMD-1834-71.pdf#page=4","Abrir facsímil")</f>
        <v>Abrir facsímil</v>
      </c>
      <c r="K83" s="3" t="s">
        <v>24</v>
      </c>
    </row>
    <row r="84" spans="1:11" ht="54" customHeight="1">
      <c r="A84" s="2" t="s">
        <v>342</v>
      </c>
      <c r="B84" s="2" t="s">
        <v>342</v>
      </c>
      <c r="C84" s="2" t="s">
        <v>66</v>
      </c>
      <c r="D84" s="2" t="s">
        <v>40</v>
      </c>
      <c r="E84" s="5" t="s">
        <v>343</v>
      </c>
      <c r="F84" s="3" t="s">
        <v>344</v>
      </c>
      <c r="G84" s="3" t="s">
        <v>75</v>
      </c>
      <c r="H84" s="2" t="s">
        <v>22</v>
      </c>
      <c r="I84" s="2" t="s">
        <v>345</v>
      </c>
      <c r="J84" s="3" t="str">
        <f>HYPERLINK("https://www.boe.es/gazeta/dias/1834/01/14/pdfs/GMD-1834-7.pdf#page=4","Abrir facsímil")</f>
        <v>Abrir facsímil</v>
      </c>
      <c r="K84" s="3" t="s">
        <v>24</v>
      </c>
    </row>
    <row r="85" spans="1:11" ht="54" customHeight="1">
      <c r="A85" s="2" t="s">
        <v>346</v>
      </c>
      <c r="B85" s="2" t="s">
        <v>347</v>
      </c>
      <c r="C85" s="2" t="s">
        <v>17</v>
      </c>
      <c r="D85" s="2" t="s">
        <v>55</v>
      </c>
      <c r="E85" s="5" t="s">
        <v>348</v>
      </c>
      <c r="F85" s="3" t="s">
        <v>349</v>
      </c>
      <c r="G85" s="3" t="s">
        <v>34</v>
      </c>
      <c r="H85" s="2" t="s">
        <v>22</v>
      </c>
      <c r="I85" s="2" t="s">
        <v>350</v>
      </c>
      <c r="J85" s="3" t="str">
        <f>HYPERLINK("https://www.boe.es/gazeta/dias/1834/06/12/pdfs/GMD-C-1834-115.pdf#page=1","Abrir facsímil")</f>
        <v>Abrir facsímil</v>
      </c>
      <c r="K85" s="3" t="s">
        <v>24</v>
      </c>
    </row>
    <row r="86" spans="1:11" ht="54" customHeight="1">
      <c r="A86" s="2" t="s">
        <v>351</v>
      </c>
      <c r="B86" s="2" t="s">
        <v>352</v>
      </c>
      <c r="C86" s="2" t="s">
        <v>17</v>
      </c>
      <c r="D86" s="2" t="s">
        <v>18</v>
      </c>
      <c r="E86" s="5" t="s">
        <v>343</v>
      </c>
      <c r="F86" s="3" t="s">
        <v>344</v>
      </c>
      <c r="G86" s="3" t="s">
        <v>75</v>
      </c>
      <c r="H86" s="2" t="s">
        <v>22</v>
      </c>
      <c r="I86" s="2" t="s">
        <v>353</v>
      </c>
      <c r="J86" s="3" t="str">
        <f>HYPERLINK("https://www.boe.es/gazeta/dias/1834/01/14/pdfs/GMD-1834-7.pdf#page=4","Abrir facsímil")</f>
        <v>Abrir facsímil</v>
      </c>
      <c r="K86" s="3" t="s">
        <v>24</v>
      </c>
    </row>
    <row r="87" spans="1:11" ht="54" customHeight="1">
      <c r="A87" s="2" t="s">
        <v>354</v>
      </c>
      <c r="B87" s="2" t="s">
        <v>354</v>
      </c>
      <c r="C87" s="2" t="s">
        <v>46</v>
      </c>
      <c r="D87" s="2" t="s">
        <v>101</v>
      </c>
      <c r="E87" s="5" t="s">
        <v>355</v>
      </c>
      <c r="F87" s="3" t="s">
        <v>356</v>
      </c>
      <c r="G87" s="3" t="s">
        <v>86</v>
      </c>
      <c r="H87" s="2" t="s">
        <v>22</v>
      </c>
      <c r="I87" s="2" t="s">
        <v>357</v>
      </c>
      <c r="J87" s="3" t="str">
        <f>HYPERLINK("https://www.boe.es/gazeta/dias/1834/07/04/pdfs/GMD-1834-137.pdf#page=2","Abrir facsímil")</f>
        <v>Abrir facsímil</v>
      </c>
      <c r="K87" s="3" t="s">
        <v>24</v>
      </c>
    </row>
    <row r="88" spans="1:11" ht="54" customHeight="1">
      <c r="A88" s="2" t="s">
        <v>358</v>
      </c>
      <c r="B88" s="2" t="s">
        <v>359</v>
      </c>
      <c r="C88" s="2" t="s">
        <v>17</v>
      </c>
      <c r="D88" s="2" t="s">
        <v>18</v>
      </c>
      <c r="E88" s="5" t="s">
        <v>360</v>
      </c>
      <c r="F88" s="3" t="s">
        <v>361</v>
      </c>
      <c r="G88" s="3" t="s">
        <v>75</v>
      </c>
      <c r="H88" s="2" t="s">
        <v>35</v>
      </c>
      <c r="I88" s="2" t="s">
        <v>362</v>
      </c>
      <c r="J88" s="3" t="str">
        <f>HYPERLINK("https://www.boe.es/gazeta/dias/1834/04/07/pdfs/GMD-1834-46.pdf#page=4","Abrir facsímil")</f>
        <v>Abrir facsímil</v>
      </c>
      <c r="K88" s="3" t="s">
        <v>37</v>
      </c>
    </row>
    <row r="89" spans="1:11" ht="54" customHeight="1">
      <c r="A89" s="2" t="s">
        <v>363</v>
      </c>
      <c r="B89" s="2" t="s">
        <v>363</v>
      </c>
      <c r="C89" s="2" t="s">
        <v>17</v>
      </c>
      <c r="D89" s="2" t="s">
        <v>18</v>
      </c>
      <c r="E89" s="5" t="s">
        <v>364</v>
      </c>
      <c r="F89" s="3" t="s">
        <v>365</v>
      </c>
      <c r="G89" s="3" t="s">
        <v>86</v>
      </c>
      <c r="H89" s="2" t="s">
        <v>22</v>
      </c>
      <c r="I89" s="2" t="s">
        <v>366</v>
      </c>
      <c r="J89" s="3" t="str">
        <f>HYPERLINK("https://www.boe.es/gazeta/dias/1834/09/06/pdfs/GMD-D-1834-204.pdf#page=2","Abrir facsímil")</f>
        <v>Abrir facsímil</v>
      </c>
      <c r="K89" s="3" t="s">
        <v>24</v>
      </c>
    </row>
    <row r="90" spans="1:11" ht="54" customHeight="1">
      <c r="A90" s="2" t="s">
        <v>363</v>
      </c>
      <c r="B90" s="2" t="s">
        <v>363</v>
      </c>
      <c r="C90" s="2" t="s">
        <v>17</v>
      </c>
      <c r="D90" s="2" t="s">
        <v>40</v>
      </c>
      <c r="E90" s="5" t="s">
        <v>367</v>
      </c>
      <c r="F90" s="3" t="s">
        <v>368</v>
      </c>
      <c r="G90" s="3" t="s">
        <v>75</v>
      </c>
      <c r="H90" s="2" t="s">
        <v>22</v>
      </c>
      <c r="I90" s="2" t="s">
        <v>369</v>
      </c>
      <c r="J90" s="3" t="str">
        <f>HYPERLINK("https://www.boe.es/gazeta/dias/1834/05/19/pdfs/GMD-1834-88.pdf#page=4","Abrir facsímil")</f>
        <v>Abrir facsímil</v>
      </c>
      <c r="K90" s="3" t="s">
        <v>24</v>
      </c>
    </row>
    <row r="91" spans="1:11" ht="54" customHeight="1">
      <c r="A91" s="2" t="s">
        <v>370</v>
      </c>
      <c r="B91" s="2" t="s">
        <v>370</v>
      </c>
      <c r="C91" s="2" t="s">
        <v>17</v>
      </c>
      <c r="D91" s="2" t="s">
        <v>101</v>
      </c>
      <c r="E91" s="5" t="s">
        <v>371</v>
      </c>
      <c r="F91" s="3" t="s">
        <v>372</v>
      </c>
      <c r="G91" s="3" t="s">
        <v>34</v>
      </c>
      <c r="H91" s="2" t="s">
        <v>22</v>
      </c>
      <c r="I91" s="2" t="s">
        <v>373</v>
      </c>
      <c r="J91" s="3" t="str">
        <f>HYPERLINK("https://www.boe.es/gazeta/dias/1834/05/27/pdfs/GMD-1834-96.pdf#page=1","Abrir facsímil")</f>
        <v>Abrir facsímil</v>
      </c>
      <c r="K91" s="3" t="s">
        <v>24</v>
      </c>
    </row>
    <row r="92" spans="1:11" ht="54" customHeight="1">
      <c r="A92" s="2" t="s">
        <v>374</v>
      </c>
      <c r="B92" s="2" t="s">
        <v>374</v>
      </c>
      <c r="C92" s="2" t="s">
        <v>66</v>
      </c>
      <c r="D92" s="2" t="s">
        <v>67</v>
      </c>
      <c r="E92" s="5" t="s">
        <v>375</v>
      </c>
      <c r="F92" s="3" t="s">
        <v>376</v>
      </c>
      <c r="G92" s="3" t="s">
        <v>21</v>
      </c>
      <c r="H92" s="2" t="s">
        <v>22</v>
      </c>
      <c r="I92" s="2" t="s">
        <v>377</v>
      </c>
      <c r="J92" s="3" t="str">
        <f>HYPERLINK("https://www.boe.es/gazeta/dias/1834/08/21/pdfs/GMD-1834-187.pdf#page=3","Abrir facsímil")</f>
        <v>Abrir facsímil</v>
      </c>
      <c r="K92" s="3" t="s">
        <v>24</v>
      </c>
    </row>
    <row r="93" spans="1:11" ht="54" customHeight="1">
      <c r="A93" s="2" t="s">
        <v>374</v>
      </c>
      <c r="B93" s="2" t="s">
        <v>374</v>
      </c>
      <c r="C93" s="2" t="s">
        <v>17</v>
      </c>
      <c r="D93" s="2" t="s">
        <v>18</v>
      </c>
      <c r="E93" s="5" t="s">
        <v>378</v>
      </c>
      <c r="F93" s="3" t="s">
        <v>379</v>
      </c>
      <c r="G93" s="3" t="s">
        <v>21</v>
      </c>
      <c r="H93" s="2" t="s">
        <v>22</v>
      </c>
      <c r="I93" s="2" t="s">
        <v>380</v>
      </c>
      <c r="J93" s="3" t="str">
        <f>HYPERLINK("https://www.boe.es/gazeta/dias/1834/09/24/pdfs/GMD-1834-222.pdf#page=3","Abrir facsímil")</f>
        <v>Abrir facsímil</v>
      </c>
      <c r="K93" s="3" t="s">
        <v>24</v>
      </c>
    </row>
    <row r="94" spans="1:11" ht="54" customHeight="1">
      <c r="A94" s="2" t="s">
        <v>374</v>
      </c>
      <c r="B94" s="2" t="s">
        <v>374</v>
      </c>
      <c r="C94" s="2" t="s">
        <v>17</v>
      </c>
      <c r="D94" s="2" t="s">
        <v>18</v>
      </c>
      <c r="E94" s="5" t="s">
        <v>371</v>
      </c>
      <c r="F94" s="3" t="s">
        <v>372</v>
      </c>
      <c r="G94" s="3" t="s">
        <v>75</v>
      </c>
      <c r="H94" s="2" t="s">
        <v>22</v>
      </c>
      <c r="I94" s="2" t="s">
        <v>381</v>
      </c>
      <c r="J94" s="3" t="str">
        <f>HYPERLINK("https://www.boe.es/gazeta/dias/1834/05/27/pdfs/GMD-1834-96.pdf#page=4","Abrir facsímil")</f>
        <v>Abrir facsímil</v>
      </c>
      <c r="K94" s="3" t="s">
        <v>24</v>
      </c>
    </row>
    <row r="95" spans="1:11" ht="54" customHeight="1">
      <c r="A95" s="2" t="s">
        <v>382</v>
      </c>
      <c r="B95" s="2" t="s">
        <v>382</v>
      </c>
      <c r="C95" s="2" t="s">
        <v>46</v>
      </c>
      <c r="D95" s="2" t="s">
        <v>101</v>
      </c>
      <c r="E95" s="5" t="s">
        <v>334</v>
      </c>
      <c r="F95" s="3" t="s">
        <v>335</v>
      </c>
      <c r="G95" s="3" t="s">
        <v>86</v>
      </c>
      <c r="H95" s="2" t="s">
        <v>22</v>
      </c>
      <c r="I95" s="2" t="s">
        <v>383</v>
      </c>
      <c r="J95" s="3" t="str">
        <f>HYPERLINK("https://www.boe.es/gazeta/dias/1834/09/11/pdfs/GMD-C-1834-209.pdf#page=2","Abrir facsímil")</f>
        <v>Abrir facsímil</v>
      </c>
      <c r="K95" s="3" t="s">
        <v>24</v>
      </c>
    </row>
    <row r="96" spans="1:11" ht="54" customHeight="1">
      <c r="A96" s="2" t="s">
        <v>384</v>
      </c>
      <c r="B96" s="2" t="s">
        <v>385</v>
      </c>
      <c r="C96" s="2" t="s">
        <v>46</v>
      </c>
      <c r="D96" s="2" t="s">
        <v>101</v>
      </c>
      <c r="E96" s="5" t="s">
        <v>334</v>
      </c>
      <c r="F96" s="3" t="s">
        <v>335</v>
      </c>
      <c r="G96" s="3" t="s">
        <v>86</v>
      </c>
      <c r="H96" s="2" t="s">
        <v>22</v>
      </c>
      <c r="I96" s="2" t="s">
        <v>386</v>
      </c>
      <c r="J96" s="3" t="str">
        <f>HYPERLINK("https://www.boe.es/gazeta/dias/1834/09/11/pdfs/GMD-C-1834-209.pdf#page=2","Abrir facsímil")</f>
        <v>Abrir facsímil</v>
      </c>
      <c r="K96" s="3" t="s">
        <v>24</v>
      </c>
    </row>
    <row r="97" spans="1:11" ht="54" customHeight="1">
      <c r="A97" s="2" t="s">
        <v>387</v>
      </c>
      <c r="B97" s="2" t="s">
        <v>388</v>
      </c>
      <c r="C97" s="2" t="s">
        <v>122</v>
      </c>
      <c r="D97" s="2" t="s">
        <v>18</v>
      </c>
      <c r="E97" s="5" t="s">
        <v>389</v>
      </c>
      <c r="F97" s="3" t="s">
        <v>390</v>
      </c>
      <c r="G97" s="3" t="s">
        <v>75</v>
      </c>
      <c r="H97" s="2" t="s">
        <v>22</v>
      </c>
      <c r="I97" s="2" t="s">
        <v>391</v>
      </c>
      <c r="J97" s="3" t="str">
        <f>HYPERLINK("https://www.boe.es/gazeta/dias/1834/10/25/pdfs/GMD-1834-253.pdf#page=4","Abrir facsímil")</f>
        <v>Abrir facsímil</v>
      </c>
      <c r="K97" s="3" t="s">
        <v>24</v>
      </c>
    </row>
    <row r="98" spans="1:11" ht="54" customHeight="1">
      <c r="A98" s="2" t="s">
        <v>392</v>
      </c>
      <c r="B98" s="2" t="s">
        <v>393</v>
      </c>
      <c r="C98" s="2" t="s">
        <v>66</v>
      </c>
      <c r="D98" s="2" t="s">
        <v>67</v>
      </c>
      <c r="E98" s="5" t="s">
        <v>394</v>
      </c>
      <c r="F98" s="3" t="s">
        <v>395</v>
      </c>
      <c r="G98" s="3" t="s">
        <v>75</v>
      </c>
      <c r="H98" s="2" t="s">
        <v>22</v>
      </c>
      <c r="I98" s="2" t="s">
        <v>396</v>
      </c>
      <c r="J98" s="3" t="str">
        <f>HYPERLINK("https://www.boe.es/gazeta/dias/1834/12/23/pdfs/GMD-1834-313.pdf#page=4","Abrir facsímil")</f>
        <v>Abrir facsímil</v>
      </c>
      <c r="K98" s="3" t="s">
        <v>24</v>
      </c>
    </row>
    <row r="99" spans="1:11" ht="54" customHeight="1">
      <c r="A99" s="2" t="s">
        <v>397</v>
      </c>
      <c r="B99" s="2" t="s">
        <v>398</v>
      </c>
      <c r="C99" s="2" t="s">
        <v>122</v>
      </c>
      <c r="D99" s="2" t="s">
        <v>18</v>
      </c>
      <c r="E99" s="5" t="s">
        <v>399</v>
      </c>
      <c r="F99" s="3" t="s">
        <v>400</v>
      </c>
      <c r="G99" s="3" t="s">
        <v>75</v>
      </c>
      <c r="H99" s="2" t="s">
        <v>22</v>
      </c>
      <c r="I99" s="2" t="s">
        <v>401</v>
      </c>
      <c r="J99" s="3" t="str">
        <f>HYPERLINK("https://www.boe.es/gazeta/dias/1834/07/08/pdfs/GMD-1834-141.pdf#page=4","Abrir facsímil")</f>
        <v>Abrir facsímil</v>
      </c>
      <c r="K99" s="3" t="s">
        <v>24</v>
      </c>
    </row>
    <row r="100" spans="1:11" ht="54" customHeight="1">
      <c r="A100" s="2" t="s">
        <v>402</v>
      </c>
      <c r="B100" s="2" t="s">
        <v>402</v>
      </c>
      <c r="C100" s="2" t="s">
        <v>46</v>
      </c>
      <c r="D100" s="2" t="s">
        <v>101</v>
      </c>
      <c r="E100" s="5" t="s">
        <v>403</v>
      </c>
      <c r="F100" s="3" t="s">
        <v>404</v>
      </c>
      <c r="G100" s="3" t="s">
        <v>34</v>
      </c>
      <c r="H100" s="2" t="s">
        <v>22</v>
      </c>
      <c r="I100" s="2" t="s">
        <v>405</v>
      </c>
      <c r="J100" s="3" t="str">
        <f>HYPERLINK("https://www.boe.es/gazeta/dias/1834/09/25/pdfs/GMD-C-1834-223.pdf#page=1","Abrir facsímil")</f>
        <v>Abrir facsímil</v>
      </c>
      <c r="K100" s="3" t="s">
        <v>24</v>
      </c>
    </row>
    <row r="101" spans="1:11" ht="54" customHeight="1">
      <c r="A101" s="2" t="s">
        <v>406</v>
      </c>
      <c r="B101" s="2" t="s">
        <v>407</v>
      </c>
      <c r="C101" s="2" t="s">
        <v>17</v>
      </c>
      <c r="D101" s="2" t="s">
        <v>18</v>
      </c>
      <c r="E101" s="5" t="s">
        <v>408</v>
      </c>
      <c r="F101" s="3" t="s">
        <v>409</v>
      </c>
      <c r="G101" s="3" t="s">
        <v>75</v>
      </c>
      <c r="H101" s="2" t="s">
        <v>22</v>
      </c>
      <c r="I101" s="2" t="s">
        <v>410</v>
      </c>
      <c r="J101" s="3" t="str">
        <f>HYPERLINK("https://www.boe.es/gazeta/dias/1834/04/28/pdfs/GMD-1834-67.pdf#page=4","Abrir facsímil")</f>
        <v>Abrir facsímil</v>
      </c>
      <c r="K101" s="3" t="s">
        <v>24</v>
      </c>
    </row>
    <row r="102" spans="1:11" ht="54" customHeight="1">
      <c r="A102" s="2" t="s">
        <v>411</v>
      </c>
      <c r="B102" s="2" t="s">
        <v>412</v>
      </c>
      <c r="C102" s="2" t="s">
        <v>46</v>
      </c>
      <c r="D102" s="2" t="s">
        <v>18</v>
      </c>
      <c r="E102" s="5" t="s">
        <v>273</v>
      </c>
      <c r="F102" s="3" t="s">
        <v>413</v>
      </c>
      <c r="G102" s="3" t="s">
        <v>86</v>
      </c>
      <c r="H102" s="2" t="s">
        <v>22</v>
      </c>
      <c r="I102" s="2" t="s">
        <v>414</v>
      </c>
      <c r="J102" s="3" t="str">
        <f>HYPERLINK("https://www.boe.es/gazeta/dias/1834/08/31/pdfs/GMD-1834-198.pdf#page=2","Abrir facsímil")</f>
        <v>Abrir facsímil</v>
      </c>
      <c r="K102" s="3" t="s">
        <v>24</v>
      </c>
    </row>
    <row r="103" spans="1:11" ht="54" customHeight="1">
      <c r="A103" s="2" t="s">
        <v>415</v>
      </c>
      <c r="B103" s="2" t="s">
        <v>415</v>
      </c>
      <c r="C103" s="2" t="s">
        <v>17</v>
      </c>
      <c r="D103" s="2" t="s">
        <v>18</v>
      </c>
      <c r="E103" s="5" t="s">
        <v>416</v>
      </c>
      <c r="F103" s="3" t="s">
        <v>417</v>
      </c>
      <c r="G103" s="3" t="s">
        <v>21</v>
      </c>
      <c r="H103" s="2" t="s">
        <v>22</v>
      </c>
      <c r="I103" s="2" t="s">
        <v>418</v>
      </c>
      <c r="J103" s="3" t="str">
        <f>HYPERLINK("https://www.boe.es/gazeta/dias/1834/10/02/pdfs/GMD-C-1834-230.pdf#page=3","Abrir facsímil")</f>
        <v>Abrir facsímil</v>
      </c>
      <c r="K103" s="3" t="s">
        <v>24</v>
      </c>
    </row>
    <row r="104" spans="1:11" ht="54" customHeight="1">
      <c r="A104" s="2" t="s">
        <v>419</v>
      </c>
      <c r="B104" s="2" t="s">
        <v>419</v>
      </c>
      <c r="C104" s="2" t="s">
        <v>17</v>
      </c>
      <c r="D104" s="2" t="s">
        <v>18</v>
      </c>
      <c r="E104" s="5" t="s">
        <v>128</v>
      </c>
      <c r="F104" s="3" t="s">
        <v>129</v>
      </c>
      <c r="G104" s="3" t="s">
        <v>21</v>
      </c>
      <c r="H104" s="2" t="s">
        <v>22</v>
      </c>
      <c r="I104" s="2" t="s">
        <v>420</v>
      </c>
      <c r="J104" s="3" t="str">
        <f>HYPERLINK("https://www.boe.es/gazeta/dias/1834/12/24/pdfs/GMD-C-1834-314.pdf#page=3","Abrir facsímil")</f>
        <v>Abrir facsímil</v>
      </c>
      <c r="K104" s="3" t="s">
        <v>24</v>
      </c>
    </row>
    <row r="105" spans="1:11" ht="54" customHeight="1">
      <c r="A105" s="2" t="s">
        <v>421</v>
      </c>
      <c r="B105" s="2" t="s">
        <v>422</v>
      </c>
      <c r="C105" s="2" t="s">
        <v>66</v>
      </c>
      <c r="D105" s="2" t="s">
        <v>67</v>
      </c>
      <c r="E105" s="5" t="s">
        <v>280</v>
      </c>
      <c r="F105" s="3" t="s">
        <v>281</v>
      </c>
      <c r="G105" s="3" t="s">
        <v>176</v>
      </c>
      <c r="H105" s="2" t="s">
        <v>22</v>
      </c>
      <c r="I105" s="2" t="s">
        <v>423</v>
      </c>
      <c r="J105" s="3" t="str">
        <f>HYPERLINK("https://www.boe.es/gazeta/dias/1834/08/29/pdfs/GMD-C-1834-195.pdf#page=6","Abrir facsímil")</f>
        <v>Abrir facsímil</v>
      </c>
      <c r="K105" s="3" t="s">
        <v>24</v>
      </c>
    </row>
    <row r="106" spans="1:11" ht="54" customHeight="1">
      <c r="A106" s="2" t="s">
        <v>424</v>
      </c>
      <c r="B106" s="2" t="s">
        <v>424</v>
      </c>
      <c r="C106" s="2" t="s">
        <v>46</v>
      </c>
      <c r="D106" s="2" t="s">
        <v>101</v>
      </c>
      <c r="E106" s="5" t="s">
        <v>255</v>
      </c>
      <c r="F106" s="3" t="s">
        <v>256</v>
      </c>
      <c r="G106" s="3" t="s">
        <v>86</v>
      </c>
      <c r="H106" s="2" t="s">
        <v>22</v>
      </c>
      <c r="I106" s="2" t="s">
        <v>425</v>
      </c>
      <c r="J106" s="3" t="str">
        <f>HYPERLINK("https://www.boe.es/gazeta/dias/1834/09/01/pdfs/GMD-D-1834-199.pdf#page=2","Abrir facsímil")</f>
        <v>Abrir facsímil</v>
      </c>
      <c r="K106" s="3" t="s">
        <v>24</v>
      </c>
    </row>
    <row r="107" spans="1:11" ht="54" customHeight="1">
      <c r="A107" s="2" t="s">
        <v>424</v>
      </c>
      <c r="B107" s="2" t="s">
        <v>424</v>
      </c>
      <c r="C107" s="2" t="s">
        <v>17</v>
      </c>
      <c r="D107" s="2" t="s">
        <v>18</v>
      </c>
      <c r="E107" s="5" t="s">
        <v>426</v>
      </c>
      <c r="F107" s="3" t="s">
        <v>427</v>
      </c>
      <c r="G107" s="3" t="s">
        <v>21</v>
      </c>
      <c r="H107" s="2" t="s">
        <v>22</v>
      </c>
      <c r="I107" s="2" t="s">
        <v>428</v>
      </c>
      <c r="J107" s="3" t="str">
        <f>HYPERLINK("https://www.boe.es/gazeta/dias/1834/10/04/pdfs/GMD-1834-232.pdf#page=3","Abrir facsímil")</f>
        <v>Abrir facsímil</v>
      </c>
      <c r="K107" s="3" t="s">
        <v>24</v>
      </c>
    </row>
    <row r="108" spans="1:11" ht="54" customHeight="1">
      <c r="A108" s="2" t="s">
        <v>424</v>
      </c>
      <c r="B108" s="2" t="s">
        <v>424</v>
      </c>
      <c r="C108" s="2" t="s">
        <v>17</v>
      </c>
      <c r="D108" s="2" t="s">
        <v>18</v>
      </c>
      <c r="E108" s="5" t="s">
        <v>429</v>
      </c>
      <c r="F108" s="3" t="s">
        <v>430</v>
      </c>
      <c r="G108" s="3" t="s">
        <v>86</v>
      </c>
      <c r="H108" s="2" t="s">
        <v>22</v>
      </c>
      <c r="I108" s="2" t="s">
        <v>431</v>
      </c>
      <c r="J108" s="3" t="str">
        <f>HYPERLINK("https://www.boe.es/gazeta/dias/1834/08/07/pdfs/GMD-C-1834-172.pdf#page=2","Abrir facsímil")</f>
        <v>Abrir facsímil</v>
      </c>
      <c r="K108" s="3" t="s">
        <v>24</v>
      </c>
    </row>
    <row r="109" spans="1:11" ht="54" customHeight="1">
      <c r="A109" s="2" t="s">
        <v>424</v>
      </c>
      <c r="B109" s="2" t="s">
        <v>424</v>
      </c>
      <c r="C109" s="2" t="s">
        <v>17</v>
      </c>
      <c r="D109" s="2" t="s">
        <v>101</v>
      </c>
      <c r="E109" s="5" t="s">
        <v>429</v>
      </c>
      <c r="F109" s="3" t="s">
        <v>430</v>
      </c>
      <c r="G109" s="3" t="s">
        <v>75</v>
      </c>
      <c r="H109" s="2" t="s">
        <v>22</v>
      </c>
      <c r="I109" s="2" t="s">
        <v>432</v>
      </c>
      <c r="J109" s="3" t="str">
        <f>HYPERLINK("https://www.boe.es/gazeta/dias/1834/08/07/pdfs/GMD-C-1834-172.pdf#page=4","Abrir facsímil")</f>
        <v>Abrir facsímil</v>
      </c>
      <c r="K109" s="3" t="s">
        <v>24</v>
      </c>
    </row>
    <row r="110" spans="1:11" ht="54" customHeight="1">
      <c r="A110" s="2" t="s">
        <v>424</v>
      </c>
      <c r="B110" s="2" t="s">
        <v>424</v>
      </c>
      <c r="C110" s="2" t="s">
        <v>90</v>
      </c>
      <c r="D110" s="2" t="s">
        <v>18</v>
      </c>
      <c r="E110" s="5" t="s">
        <v>433</v>
      </c>
      <c r="F110" s="3" t="s">
        <v>434</v>
      </c>
      <c r="G110" s="3" t="s">
        <v>86</v>
      </c>
      <c r="H110" s="2" t="s">
        <v>22</v>
      </c>
      <c r="I110" s="2" t="s">
        <v>435</v>
      </c>
      <c r="J110" s="3" t="str">
        <f>HYPERLINK("https://www.boe.es/gazeta/dias/1834/10/07/pdfs/GMD-C-1834-235.pdf#page=2","Abrir facsímil")</f>
        <v>Abrir facsímil</v>
      </c>
      <c r="K110" s="3" t="s">
        <v>24</v>
      </c>
    </row>
    <row r="111" spans="1:11" ht="54" customHeight="1">
      <c r="A111" s="2" t="s">
        <v>424</v>
      </c>
      <c r="B111" s="2" t="s">
        <v>424</v>
      </c>
      <c r="C111" s="2" t="s">
        <v>17</v>
      </c>
      <c r="D111" s="2" t="s">
        <v>55</v>
      </c>
      <c r="E111" s="5" t="s">
        <v>433</v>
      </c>
      <c r="F111" s="3" t="s">
        <v>434</v>
      </c>
      <c r="G111" s="3" t="s">
        <v>75</v>
      </c>
      <c r="H111" s="2" t="s">
        <v>22</v>
      </c>
      <c r="I111" s="2" t="s">
        <v>436</v>
      </c>
      <c r="J111" s="3" t="str">
        <f>HYPERLINK("https://www.boe.es/gazeta/dias/1834/10/07/pdfs/GMD-C-1834-235.pdf#page=4","Abrir facsímil")</f>
        <v>Abrir facsímil</v>
      </c>
      <c r="K111" s="3" t="s">
        <v>24</v>
      </c>
    </row>
    <row r="112" spans="1:11" ht="54" customHeight="1">
      <c r="A112" s="2" t="s">
        <v>424</v>
      </c>
      <c r="B112" s="2" t="s">
        <v>424</v>
      </c>
      <c r="C112" s="2" t="s">
        <v>17</v>
      </c>
      <c r="D112" s="2" t="s">
        <v>18</v>
      </c>
      <c r="E112" s="5" t="s">
        <v>258</v>
      </c>
      <c r="F112" s="3" t="s">
        <v>259</v>
      </c>
      <c r="G112" s="3" t="s">
        <v>21</v>
      </c>
      <c r="H112" s="2" t="s">
        <v>22</v>
      </c>
      <c r="I112" s="2" t="s">
        <v>437</v>
      </c>
      <c r="J112" s="3" t="str">
        <f>HYPERLINK("https://www.boe.es/gazeta/dias/1834/10/09/pdfs/GMD-C-1834-237.pdf#page=3","Abrir facsímil")</f>
        <v>Abrir facsímil</v>
      </c>
      <c r="K112" s="3" t="s">
        <v>24</v>
      </c>
    </row>
    <row r="113" spans="1:11" ht="54" customHeight="1">
      <c r="A113" s="2" t="s">
        <v>424</v>
      </c>
      <c r="B113" s="2" t="s">
        <v>424</v>
      </c>
      <c r="C113" s="2" t="s">
        <v>17</v>
      </c>
      <c r="D113" s="2" t="s">
        <v>55</v>
      </c>
      <c r="E113" s="5" t="s">
        <v>438</v>
      </c>
      <c r="F113" s="3" t="s">
        <v>439</v>
      </c>
      <c r="G113" s="3" t="s">
        <v>21</v>
      </c>
      <c r="H113" s="2" t="s">
        <v>22</v>
      </c>
      <c r="I113" s="2" t="s">
        <v>440</v>
      </c>
      <c r="J113" s="3" t="str">
        <f>HYPERLINK("https://www.boe.es/gazeta/dias/1834/11/09/pdfs/GMD-1834-268.pdf#page=3","Abrir facsímil")</f>
        <v>Abrir facsímil</v>
      </c>
      <c r="K113" s="3" t="s">
        <v>24</v>
      </c>
    </row>
    <row r="114" spans="1:11" ht="54" customHeight="1">
      <c r="A114" s="2" t="s">
        <v>424</v>
      </c>
      <c r="B114" s="2" t="s">
        <v>424</v>
      </c>
      <c r="C114" s="2" t="s">
        <v>17</v>
      </c>
      <c r="D114" s="2" t="s">
        <v>18</v>
      </c>
      <c r="E114" s="5" t="s">
        <v>441</v>
      </c>
      <c r="F114" s="3" t="s">
        <v>442</v>
      </c>
      <c r="G114" s="3" t="s">
        <v>86</v>
      </c>
      <c r="H114" s="2" t="s">
        <v>22</v>
      </c>
      <c r="I114" s="2" t="s">
        <v>443</v>
      </c>
      <c r="J114" s="3" t="str">
        <f>HYPERLINK("https://www.boe.es/gazeta/dias/1834/11/10/pdfs/GMD-1834-269.pdf#page=2","Abrir facsímil")</f>
        <v>Abrir facsímil</v>
      </c>
      <c r="K114" s="3" t="s">
        <v>24</v>
      </c>
    </row>
    <row r="115" spans="1:11" ht="54" customHeight="1">
      <c r="A115" s="2" t="s">
        <v>424</v>
      </c>
      <c r="B115" s="2" t="s">
        <v>424</v>
      </c>
      <c r="C115" s="2" t="s">
        <v>17</v>
      </c>
      <c r="D115" s="2" t="s">
        <v>18</v>
      </c>
      <c r="E115" s="5" t="s">
        <v>444</v>
      </c>
      <c r="F115" s="3" t="s">
        <v>445</v>
      </c>
      <c r="G115" s="3" t="s">
        <v>75</v>
      </c>
      <c r="H115" s="2" t="s">
        <v>22</v>
      </c>
      <c r="I115" s="2" t="s">
        <v>446</v>
      </c>
      <c r="J115" s="3" t="str">
        <f>HYPERLINK("https://www.boe.es/gazeta/dias/1834/09/12/pdfs/GMD-C-1834-210.pdf#page=4","Abrir facsímil")</f>
        <v>Abrir facsímil</v>
      </c>
      <c r="K115" s="3" t="s">
        <v>24</v>
      </c>
    </row>
    <row r="116" spans="1:11" ht="54" customHeight="1">
      <c r="A116" s="2" t="s">
        <v>424</v>
      </c>
      <c r="B116" s="2" t="s">
        <v>424</v>
      </c>
      <c r="C116" s="2" t="s">
        <v>17</v>
      </c>
      <c r="D116" s="2" t="s">
        <v>18</v>
      </c>
      <c r="E116" s="5" t="s">
        <v>444</v>
      </c>
      <c r="F116" s="3" t="s">
        <v>445</v>
      </c>
      <c r="G116" s="3" t="s">
        <v>28</v>
      </c>
      <c r="H116" s="2" t="s">
        <v>22</v>
      </c>
      <c r="I116" s="2" t="s">
        <v>447</v>
      </c>
      <c r="J116" s="3" t="str">
        <f>HYPERLINK("https://www.boe.es/gazeta/dias/1834/09/12/pdfs/GMD-C-1834-210.pdf#page=5","Abrir facsímil")</f>
        <v>Abrir facsímil</v>
      </c>
      <c r="K116" s="3" t="s">
        <v>24</v>
      </c>
    </row>
    <row r="117" spans="1:11" ht="54" customHeight="1">
      <c r="A117" s="2" t="s">
        <v>424</v>
      </c>
      <c r="B117" s="2" t="s">
        <v>424</v>
      </c>
      <c r="C117" s="2" t="s">
        <v>46</v>
      </c>
      <c r="D117" s="2" t="s">
        <v>101</v>
      </c>
      <c r="E117" s="5" t="s">
        <v>448</v>
      </c>
      <c r="F117" s="3" t="s">
        <v>449</v>
      </c>
      <c r="G117" s="3" t="s">
        <v>86</v>
      </c>
      <c r="H117" s="2" t="s">
        <v>22</v>
      </c>
      <c r="I117" s="2" t="s">
        <v>450</v>
      </c>
      <c r="J117" s="3" t="str">
        <f>HYPERLINK("https://www.boe.es/gazeta/dias/1834/10/14/pdfs/GMD-C-1834-242.pdf#page=2","Abrir facsímil")</f>
        <v>Abrir facsímil</v>
      </c>
      <c r="K117" s="3" t="s">
        <v>24</v>
      </c>
    </row>
    <row r="118" spans="1:11" ht="54" customHeight="1">
      <c r="A118" s="2" t="s">
        <v>424</v>
      </c>
      <c r="B118" s="2" t="s">
        <v>424</v>
      </c>
      <c r="C118" s="2" t="s">
        <v>17</v>
      </c>
      <c r="D118" s="2" t="s">
        <v>18</v>
      </c>
      <c r="E118" s="5" t="s">
        <v>451</v>
      </c>
      <c r="F118" s="3" t="s">
        <v>452</v>
      </c>
      <c r="G118" s="3" t="s">
        <v>86</v>
      </c>
      <c r="H118" s="2" t="s">
        <v>22</v>
      </c>
      <c r="I118" s="2" t="s">
        <v>453</v>
      </c>
      <c r="J118" s="3" t="str">
        <f>HYPERLINK("https://www.boe.es/gazeta/dias/1834/10/15/pdfs/GMD-C-1834-243.pdf#page=2","Abrir facsímil")</f>
        <v>Abrir facsímil</v>
      </c>
      <c r="K118" s="3" t="s">
        <v>24</v>
      </c>
    </row>
    <row r="119" spans="1:11" ht="54" customHeight="1">
      <c r="A119" s="2" t="s">
        <v>424</v>
      </c>
      <c r="B119" s="2" t="s">
        <v>424</v>
      </c>
      <c r="C119" s="2" t="s">
        <v>122</v>
      </c>
      <c r="D119" s="2" t="s">
        <v>18</v>
      </c>
      <c r="E119" s="5" t="s">
        <v>454</v>
      </c>
      <c r="F119" s="3" t="s">
        <v>455</v>
      </c>
      <c r="G119" s="3" t="s">
        <v>34</v>
      </c>
      <c r="H119" s="2" t="s">
        <v>22</v>
      </c>
      <c r="I119" s="2" t="s">
        <v>456</v>
      </c>
      <c r="J119" s="3" t="str">
        <f>HYPERLINK("https://www.boe.es/gazeta/dias/1834/10/16/pdfs/GMD-C-1834-244.pdf#page=1","Abrir facsímil")</f>
        <v>Abrir facsímil</v>
      </c>
      <c r="K119" s="3" t="s">
        <v>24</v>
      </c>
    </row>
    <row r="120" spans="1:11" ht="54" customHeight="1">
      <c r="A120" s="2" t="s">
        <v>424</v>
      </c>
      <c r="B120" s="2" t="s">
        <v>424</v>
      </c>
      <c r="C120" s="2" t="s">
        <v>17</v>
      </c>
      <c r="D120" s="2" t="s">
        <v>55</v>
      </c>
      <c r="E120" s="5" t="s">
        <v>268</v>
      </c>
      <c r="F120" s="3" t="s">
        <v>269</v>
      </c>
      <c r="G120" s="3" t="s">
        <v>75</v>
      </c>
      <c r="H120" s="2" t="s">
        <v>22</v>
      </c>
      <c r="I120" s="2" t="s">
        <v>457</v>
      </c>
      <c r="J120" s="3" t="str">
        <f>HYPERLINK("https://www.boe.es/gazeta/dias/1834/12/19/pdfs/GMD-C-1834-309.pdf#page=4","Abrir facsímil")</f>
        <v>Abrir facsímil</v>
      </c>
      <c r="K120" s="3" t="s">
        <v>24</v>
      </c>
    </row>
    <row r="121" spans="1:11" ht="54" customHeight="1">
      <c r="A121" s="2" t="s">
        <v>424</v>
      </c>
      <c r="B121" s="2" t="s">
        <v>424</v>
      </c>
      <c r="C121" s="2" t="s">
        <v>90</v>
      </c>
      <c r="D121" s="2" t="s">
        <v>55</v>
      </c>
      <c r="E121" s="5" t="s">
        <v>247</v>
      </c>
      <c r="F121" s="3" t="s">
        <v>248</v>
      </c>
      <c r="G121" s="3" t="s">
        <v>34</v>
      </c>
      <c r="H121" s="2" t="s">
        <v>22</v>
      </c>
      <c r="I121" s="2" t="s">
        <v>458</v>
      </c>
      <c r="J121" s="3" t="str">
        <f>HYPERLINK("https://www.boe.es/gazeta/dias/1834/08/23/pdfs/GMD-C-1834-189.pdf#page=1","Abrir facsímil")</f>
        <v>Abrir facsímil</v>
      </c>
      <c r="K121" s="3" t="s">
        <v>24</v>
      </c>
    </row>
    <row r="122" spans="1:11" ht="54" customHeight="1">
      <c r="A122" s="2" t="s">
        <v>424</v>
      </c>
      <c r="B122" s="2" t="s">
        <v>424</v>
      </c>
      <c r="C122" s="2" t="s">
        <v>17</v>
      </c>
      <c r="D122" s="2" t="s">
        <v>18</v>
      </c>
      <c r="E122" s="5" t="s">
        <v>394</v>
      </c>
      <c r="F122" s="3" t="s">
        <v>459</v>
      </c>
      <c r="G122" s="3" t="s">
        <v>86</v>
      </c>
      <c r="H122" s="2" t="s">
        <v>22</v>
      </c>
      <c r="I122" s="2" t="s">
        <v>460</v>
      </c>
      <c r="J122" s="3" t="str">
        <f>HYPERLINK("https://www.boe.es/gazeta/dias/1834/12/23/pdfs/GMD-C-1834-313.pdf#page=2","Abrir facsímil")</f>
        <v>Abrir facsímil</v>
      </c>
      <c r="K122" s="3" t="s">
        <v>24</v>
      </c>
    </row>
    <row r="123" spans="1:11" ht="54" customHeight="1">
      <c r="A123" s="2" t="s">
        <v>424</v>
      </c>
      <c r="B123" s="2" t="s">
        <v>424</v>
      </c>
      <c r="C123" s="2" t="s">
        <v>17</v>
      </c>
      <c r="D123" s="2" t="s">
        <v>18</v>
      </c>
      <c r="E123" s="5" t="s">
        <v>403</v>
      </c>
      <c r="F123" s="3" t="s">
        <v>404</v>
      </c>
      <c r="G123" s="3" t="s">
        <v>34</v>
      </c>
      <c r="H123" s="2" t="s">
        <v>22</v>
      </c>
      <c r="I123" s="2" t="s">
        <v>461</v>
      </c>
      <c r="J123" s="3" t="str">
        <f>HYPERLINK("https://www.boe.es/gazeta/dias/1834/09/25/pdfs/GMD-C-1834-223.pdf#page=1","Abrir facsímil")</f>
        <v>Abrir facsímil</v>
      </c>
      <c r="K123" s="3" t="s">
        <v>24</v>
      </c>
    </row>
    <row r="124" spans="1:11" ht="54" customHeight="1">
      <c r="A124" s="2" t="s">
        <v>424</v>
      </c>
      <c r="B124" s="2" t="s">
        <v>424</v>
      </c>
      <c r="C124" s="2" t="s">
        <v>46</v>
      </c>
      <c r="D124" s="2" t="s">
        <v>101</v>
      </c>
      <c r="E124" s="5" t="s">
        <v>462</v>
      </c>
      <c r="F124" s="3" t="s">
        <v>463</v>
      </c>
      <c r="G124" s="3" t="s">
        <v>86</v>
      </c>
      <c r="H124" s="2" t="s">
        <v>22</v>
      </c>
      <c r="I124" s="2" t="s">
        <v>464</v>
      </c>
      <c r="J124" s="3" t="str">
        <f>HYPERLINK("https://www.boe.es/gazeta/dias/1834/08/27/pdfs/GMD-C-1834-193.pdf#page=2","Abrir facsímil")</f>
        <v>Abrir facsímil</v>
      </c>
      <c r="K124" s="3" t="s">
        <v>24</v>
      </c>
    </row>
    <row r="125" spans="1:11" ht="54" customHeight="1">
      <c r="A125" s="2" t="s">
        <v>424</v>
      </c>
      <c r="B125" s="2" t="s">
        <v>424</v>
      </c>
      <c r="C125" s="2" t="s">
        <v>46</v>
      </c>
      <c r="D125" s="2" t="s">
        <v>101</v>
      </c>
      <c r="E125" s="5" t="s">
        <v>465</v>
      </c>
      <c r="F125" s="3" t="s">
        <v>466</v>
      </c>
      <c r="G125" s="3" t="s">
        <v>176</v>
      </c>
      <c r="H125" s="2" t="s">
        <v>22</v>
      </c>
      <c r="I125" s="2" t="s">
        <v>467</v>
      </c>
      <c r="J125" s="3" t="str">
        <f>HYPERLINK("https://www.boe.es/gazeta/dias/1834/11/27/pdfs/GMD-C-1834-286.pdf#page=6","Abrir facsímil")</f>
        <v>Abrir facsímil</v>
      </c>
      <c r="K125" s="3" t="s">
        <v>24</v>
      </c>
    </row>
    <row r="126" spans="1:11" ht="54" customHeight="1">
      <c r="A126" s="2" t="s">
        <v>424</v>
      </c>
      <c r="B126" s="2" t="s">
        <v>424</v>
      </c>
      <c r="C126" s="2" t="s">
        <v>17</v>
      </c>
      <c r="D126" s="2" t="s">
        <v>18</v>
      </c>
      <c r="E126" s="5" t="s">
        <v>468</v>
      </c>
      <c r="F126" s="3" t="s">
        <v>469</v>
      </c>
      <c r="G126" s="3" t="s">
        <v>470</v>
      </c>
      <c r="H126" s="2" t="s">
        <v>22</v>
      </c>
      <c r="I126" s="2" t="s">
        <v>471</v>
      </c>
      <c r="J126" s="3" t="str">
        <f>HYPERLINK("https://www.boe.es/gazeta/dias/1834/12/28/pdfs/GMD-C-1834-318.pdf#page=8","Abrir facsímil")</f>
        <v>Abrir facsímil</v>
      </c>
      <c r="K126" s="3" t="s">
        <v>24</v>
      </c>
    </row>
    <row r="127" spans="1:11" ht="54" customHeight="1">
      <c r="A127" s="2" t="s">
        <v>424</v>
      </c>
      <c r="B127" s="2" t="s">
        <v>424</v>
      </c>
      <c r="C127" s="2" t="s">
        <v>17</v>
      </c>
      <c r="D127" s="2" t="s">
        <v>18</v>
      </c>
      <c r="E127" s="5" t="s">
        <v>280</v>
      </c>
      <c r="F127" s="3" t="s">
        <v>281</v>
      </c>
      <c r="G127" s="3" t="s">
        <v>21</v>
      </c>
      <c r="H127" s="2" t="s">
        <v>22</v>
      </c>
      <c r="I127" s="2" t="s">
        <v>472</v>
      </c>
      <c r="J127" s="3" t="str">
        <f>HYPERLINK("https://www.boe.es/gazeta/dias/1834/08/29/pdfs/GMD-C-1834-195.pdf#page=3","Abrir facsímil")</f>
        <v>Abrir facsímil</v>
      </c>
      <c r="K127" s="3" t="s">
        <v>24</v>
      </c>
    </row>
    <row r="128" spans="1:11" ht="54" customHeight="1">
      <c r="A128" s="2" t="s">
        <v>424</v>
      </c>
      <c r="B128" s="2" t="s">
        <v>424</v>
      </c>
      <c r="C128" s="2" t="s">
        <v>17</v>
      </c>
      <c r="D128" s="2" t="s">
        <v>18</v>
      </c>
      <c r="E128" s="5" t="s">
        <v>153</v>
      </c>
      <c r="F128" s="3" t="s">
        <v>154</v>
      </c>
      <c r="G128" s="3" t="s">
        <v>34</v>
      </c>
      <c r="H128" s="2" t="s">
        <v>22</v>
      </c>
      <c r="I128" s="2" t="s">
        <v>473</v>
      </c>
      <c r="J128" s="3" t="str">
        <f>HYPERLINK("https://www.boe.es/gazeta/dias/1834/12/30/pdfs/GMD-C-1834-320.pdf#page=1","Abrir facsímil")</f>
        <v>Abrir facsímil</v>
      </c>
      <c r="K128" s="3" t="s">
        <v>24</v>
      </c>
    </row>
    <row r="129" spans="1:11" ht="54" customHeight="1">
      <c r="A129" s="2" t="s">
        <v>474</v>
      </c>
      <c r="B129" s="2" t="s">
        <v>475</v>
      </c>
      <c r="C129" s="2" t="s">
        <v>90</v>
      </c>
      <c r="D129" s="2" t="s">
        <v>18</v>
      </c>
      <c r="E129" s="5" t="s">
        <v>454</v>
      </c>
      <c r="F129" s="3" t="s">
        <v>455</v>
      </c>
      <c r="G129" s="3" t="s">
        <v>34</v>
      </c>
      <c r="H129" s="2" t="s">
        <v>22</v>
      </c>
      <c r="I129" s="2" t="s">
        <v>476</v>
      </c>
      <c r="J129" s="3" t="str">
        <f>HYPERLINK("https://www.boe.es/gazeta/dias/1834/10/16/pdfs/GMD-C-1834-244.pdf#page=1","Abrir facsímil")</f>
        <v>Abrir facsímil</v>
      </c>
      <c r="K129" s="3" t="s">
        <v>24</v>
      </c>
    </row>
    <row r="130" spans="1:11" ht="54" customHeight="1">
      <c r="A130" s="2" t="s">
        <v>477</v>
      </c>
      <c r="B130" s="2" t="s">
        <v>478</v>
      </c>
      <c r="C130" s="2" t="s">
        <v>46</v>
      </c>
      <c r="D130" s="2" t="s">
        <v>101</v>
      </c>
      <c r="E130" s="5" t="s">
        <v>479</v>
      </c>
      <c r="F130" s="3" t="s">
        <v>480</v>
      </c>
      <c r="G130" s="3" t="s">
        <v>86</v>
      </c>
      <c r="H130" s="2" t="s">
        <v>35</v>
      </c>
      <c r="I130" s="2" t="s">
        <v>481</v>
      </c>
      <c r="J130" s="3" t="str">
        <f>HYPERLINK("https://www.boe.es/gazeta/dias/1834/08/13/pdfs/GMD-1834-178.pdf#page=2","Abrir facsímil")</f>
        <v>Abrir facsímil</v>
      </c>
      <c r="K130" s="3" t="s">
        <v>37</v>
      </c>
    </row>
    <row r="131" spans="1:11" ht="54" customHeight="1">
      <c r="A131" s="2" t="s">
        <v>482</v>
      </c>
      <c r="B131" s="2" t="s">
        <v>483</v>
      </c>
      <c r="C131" s="2" t="s">
        <v>17</v>
      </c>
      <c r="D131" s="2" t="s">
        <v>18</v>
      </c>
      <c r="E131" s="5" t="s">
        <v>19</v>
      </c>
      <c r="F131" s="3" t="s">
        <v>107</v>
      </c>
      <c r="G131" s="3" t="s">
        <v>75</v>
      </c>
      <c r="H131" s="2" t="s">
        <v>22</v>
      </c>
      <c r="I131" s="2" t="s">
        <v>484</v>
      </c>
      <c r="J131" s="3" t="str">
        <f>HYPERLINK("https://www.boe.es/gazeta/dias/1834/08/17/pdfs/GMD-1834-182.pdf#page=4","Abrir facsímil")</f>
        <v>Abrir facsímil</v>
      </c>
      <c r="K131" s="3" t="s">
        <v>24</v>
      </c>
    </row>
    <row r="132" spans="1:11" ht="54" customHeight="1">
      <c r="A132" s="2" t="s">
        <v>485</v>
      </c>
      <c r="B132" s="2" t="s">
        <v>486</v>
      </c>
      <c r="C132" s="2" t="s">
        <v>46</v>
      </c>
      <c r="D132" s="2" t="s">
        <v>101</v>
      </c>
      <c r="E132" s="5" t="s">
        <v>479</v>
      </c>
      <c r="F132" s="3" t="s">
        <v>480</v>
      </c>
      <c r="G132" s="3" t="s">
        <v>86</v>
      </c>
      <c r="H132" s="2" t="s">
        <v>22</v>
      </c>
      <c r="I132" s="2" t="s">
        <v>487</v>
      </c>
      <c r="J132" s="3" t="str">
        <f>HYPERLINK("https://www.boe.es/gazeta/dias/1834/08/13/pdfs/GMD-1834-178.pdf#page=2","Abrir facsímil")</f>
        <v>Abrir facsímil</v>
      </c>
      <c r="K132" s="3" t="s">
        <v>24</v>
      </c>
    </row>
    <row r="133" spans="1:11" ht="54" customHeight="1">
      <c r="A133" s="2" t="s">
        <v>488</v>
      </c>
      <c r="B133" s="2" t="s">
        <v>489</v>
      </c>
      <c r="C133" s="2" t="s">
        <v>17</v>
      </c>
      <c r="D133" s="2" t="s">
        <v>18</v>
      </c>
      <c r="E133" s="5" t="s">
        <v>444</v>
      </c>
      <c r="F133" s="3" t="s">
        <v>445</v>
      </c>
      <c r="G133" s="3" t="s">
        <v>75</v>
      </c>
      <c r="H133" s="2" t="s">
        <v>22</v>
      </c>
      <c r="I133" s="2" t="s">
        <v>490</v>
      </c>
      <c r="J133" s="3" t="str">
        <f>HYPERLINK("https://www.boe.es/gazeta/dias/1834/09/12/pdfs/GMD-C-1834-210.pdf#page=4","Abrir facsímil")</f>
        <v>Abrir facsímil</v>
      </c>
      <c r="K133" s="3" t="s">
        <v>24</v>
      </c>
    </row>
    <row r="134" spans="1:11" ht="54" customHeight="1">
      <c r="A134" s="2" t="s">
        <v>491</v>
      </c>
      <c r="B134" s="2" t="s">
        <v>491</v>
      </c>
      <c r="C134" s="2" t="s">
        <v>17</v>
      </c>
      <c r="D134" s="2" t="s">
        <v>18</v>
      </c>
      <c r="E134" s="5" t="s">
        <v>492</v>
      </c>
      <c r="F134" s="3" t="s">
        <v>493</v>
      </c>
      <c r="G134" s="3" t="s">
        <v>176</v>
      </c>
      <c r="H134" s="2" t="s">
        <v>22</v>
      </c>
      <c r="I134" s="2" t="s">
        <v>494</v>
      </c>
      <c r="J134" s="3" t="str">
        <f>HYPERLINK("https://www.boe.es/gazeta/dias/1834/11/21/pdfs/GMD-C-1834-280.pdf#page=6","Abrir facsímil")</f>
        <v>Abrir facsímil</v>
      </c>
      <c r="K134" s="3" t="s">
        <v>24</v>
      </c>
    </row>
    <row r="135" spans="1:11" ht="54" customHeight="1">
      <c r="A135" s="2" t="s">
        <v>495</v>
      </c>
      <c r="B135" s="2" t="s">
        <v>495</v>
      </c>
      <c r="C135" s="2" t="s">
        <v>17</v>
      </c>
      <c r="D135" s="2" t="s">
        <v>18</v>
      </c>
      <c r="E135" s="5" t="s">
        <v>433</v>
      </c>
      <c r="F135" s="3" t="s">
        <v>434</v>
      </c>
      <c r="G135" s="3" t="s">
        <v>86</v>
      </c>
      <c r="H135" s="2" t="s">
        <v>22</v>
      </c>
      <c r="I135" s="2" t="s">
        <v>496</v>
      </c>
      <c r="J135" s="3" t="str">
        <f>HYPERLINK("https://www.boe.es/gazeta/dias/1834/10/07/pdfs/GMD-C-1834-235.pdf#page=2","Abrir facsímil")</f>
        <v>Abrir facsímil</v>
      </c>
      <c r="K135" s="3" t="s">
        <v>24</v>
      </c>
    </row>
    <row r="136" spans="1:11" ht="54" customHeight="1">
      <c r="A136" s="2" t="s">
        <v>497</v>
      </c>
      <c r="B136" s="2" t="s">
        <v>498</v>
      </c>
      <c r="C136" s="2" t="s">
        <v>66</v>
      </c>
      <c r="D136" s="2" t="s">
        <v>67</v>
      </c>
      <c r="E136" s="5" t="s">
        <v>299</v>
      </c>
      <c r="F136" s="3" t="s">
        <v>300</v>
      </c>
      <c r="G136" s="3" t="s">
        <v>75</v>
      </c>
      <c r="H136" s="2" t="s">
        <v>22</v>
      </c>
      <c r="I136" s="2" t="s">
        <v>499</v>
      </c>
      <c r="J136" s="3" t="str">
        <f>HYPERLINK("https://www.boe.es/gazeta/dias/1834/12/12/pdfs/GMD-1834-301.pdf#page=4","Abrir facsímil")</f>
        <v>Abrir facsímil</v>
      </c>
      <c r="K136" s="3" t="s">
        <v>24</v>
      </c>
    </row>
    <row r="137" spans="1:11" ht="54" customHeight="1">
      <c r="A137" s="2" t="s">
        <v>500</v>
      </c>
      <c r="B137" s="2" t="s">
        <v>500</v>
      </c>
      <c r="C137" s="2" t="s">
        <v>17</v>
      </c>
      <c r="D137" s="2" t="s">
        <v>18</v>
      </c>
      <c r="E137" s="5" t="s">
        <v>348</v>
      </c>
      <c r="F137" s="3" t="s">
        <v>501</v>
      </c>
      <c r="G137" s="3" t="s">
        <v>34</v>
      </c>
      <c r="H137" s="2" t="s">
        <v>22</v>
      </c>
      <c r="I137" s="2" t="s">
        <v>502</v>
      </c>
      <c r="J137" s="3" t="str">
        <f>HYPERLINK("https://www.boe.es/gazeta/dias/1834/06/12/pdfs/GMD-1834-115.pdf#page=1","Abrir facsímil")</f>
        <v>Abrir facsímil</v>
      </c>
      <c r="K137" s="3" t="s">
        <v>24</v>
      </c>
    </row>
    <row r="138" spans="1:11" ht="54" customHeight="1">
      <c r="A138" s="2" t="s">
        <v>503</v>
      </c>
      <c r="B138" s="2" t="s">
        <v>503</v>
      </c>
      <c r="C138" s="2" t="s">
        <v>17</v>
      </c>
      <c r="D138" s="2" t="s">
        <v>18</v>
      </c>
      <c r="E138" s="5" t="s">
        <v>286</v>
      </c>
      <c r="F138" s="3" t="s">
        <v>287</v>
      </c>
      <c r="G138" s="3" t="s">
        <v>28</v>
      </c>
      <c r="H138" s="2" t="s">
        <v>22</v>
      </c>
      <c r="I138" s="2" t="s">
        <v>504</v>
      </c>
      <c r="J138" s="3" t="str">
        <f>HYPERLINK("https://www.boe.es/gazeta/dias/1834/08/30/pdfs/GMD-C-1834-196.pdf#page=5","Abrir facsímil")</f>
        <v>Abrir facsímil</v>
      </c>
      <c r="K138" s="3" t="s">
        <v>24</v>
      </c>
    </row>
    <row r="139" spans="1:11" ht="54" customHeight="1">
      <c r="A139" s="2" t="s">
        <v>505</v>
      </c>
      <c r="B139" s="2" t="s">
        <v>505</v>
      </c>
      <c r="C139" s="2" t="s">
        <v>17</v>
      </c>
      <c r="D139" s="2" t="s">
        <v>18</v>
      </c>
      <c r="E139" s="5" t="s">
        <v>506</v>
      </c>
      <c r="F139" s="3" t="s">
        <v>507</v>
      </c>
      <c r="G139" s="3" t="s">
        <v>28</v>
      </c>
      <c r="H139" s="2" t="s">
        <v>22</v>
      </c>
      <c r="I139" s="2" t="s">
        <v>508</v>
      </c>
      <c r="J139" s="3" t="str">
        <f>HYPERLINK("https://www.boe.es/gazeta/dias/1834/03/04/pdfs/GMD-1834-28.pdf#page=5","Abrir facsímil")</f>
        <v>Abrir facsímil</v>
      </c>
      <c r="K139" s="3" t="s">
        <v>24</v>
      </c>
    </row>
    <row r="140" spans="1:11" ht="54" customHeight="1">
      <c r="A140" s="2" t="s">
        <v>505</v>
      </c>
      <c r="B140" s="2" t="s">
        <v>505</v>
      </c>
      <c r="C140" s="2" t="s">
        <v>17</v>
      </c>
      <c r="D140" s="2" t="s">
        <v>55</v>
      </c>
      <c r="E140" s="5" t="s">
        <v>133</v>
      </c>
      <c r="F140" s="3" t="s">
        <v>134</v>
      </c>
      <c r="G140" s="3" t="s">
        <v>21</v>
      </c>
      <c r="H140" s="2" t="s">
        <v>22</v>
      </c>
      <c r="I140" s="2" t="s">
        <v>509</v>
      </c>
      <c r="J140" s="3" t="str">
        <f>HYPERLINK("https://www.boe.es/gazeta/dias/1834/06/18/pdfs/GMD-1834-121.pdf#page=3","Abrir facsímil")</f>
        <v>Abrir facsímil</v>
      </c>
      <c r="K140" s="3" t="s">
        <v>24</v>
      </c>
    </row>
    <row r="141" spans="1:11" ht="54" customHeight="1">
      <c r="A141" s="2" t="s">
        <v>505</v>
      </c>
      <c r="B141" s="2" t="s">
        <v>505</v>
      </c>
      <c r="C141" s="2" t="s">
        <v>46</v>
      </c>
      <c r="D141" s="2" t="s">
        <v>40</v>
      </c>
      <c r="E141" s="5" t="s">
        <v>510</v>
      </c>
      <c r="F141" s="3" t="s">
        <v>511</v>
      </c>
      <c r="G141" s="3" t="s">
        <v>75</v>
      </c>
      <c r="H141" s="2" t="s">
        <v>22</v>
      </c>
      <c r="I141" s="2" t="s">
        <v>512</v>
      </c>
      <c r="J141" s="3" t="str">
        <f>HYPERLINK("https://www.boe.es/gazeta/dias/1834/11/26/pdfs/GMD-1834-285.pdf#page=4","Abrir facsímil")</f>
        <v>Abrir facsímil</v>
      </c>
      <c r="K141" s="3" t="s">
        <v>24</v>
      </c>
    </row>
    <row r="142" spans="1:11" ht="54" customHeight="1">
      <c r="A142" s="2" t="s">
        <v>505</v>
      </c>
      <c r="B142" s="2" t="s">
        <v>505</v>
      </c>
      <c r="C142" s="2" t="s">
        <v>66</v>
      </c>
      <c r="D142" s="2" t="s">
        <v>67</v>
      </c>
      <c r="E142" s="5" t="s">
        <v>513</v>
      </c>
      <c r="F142" s="3" t="s">
        <v>514</v>
      </c>
      <c r="G142" s="3" t="s">
        <v>28</v>
      </c>
      <c r="H142" s="2" t="s">
        <v>22</v>
      </c>
      <c r="I142" s="2" t="s">
        <v>515</v>
      </c>
      <c r="J142" s="3" t="str">
        <f>HYPERLINK("https://www.boe.es/gazeta/dias/1834/04/27/pdfs/GMD-1834-66.pdf#page=5","Abrir facsímil")</f>
        <v>Abrir facsímil</v>
      </c>
      <c r="K142" s="3" t="s">
        <v>24</v>
      </c>
    </row>
    <row r="143" spans="1:11" ht="54" customHeight="1">
      <c r="A143" s="2" t="s">
        <v>516</v>
      </c>
      <c r="B143" s="2" t="s">
        <v>517</v>
      </c>
      <c r="C143" s="2" t="s">
        <v>66</v>
      </c>
      <c r="D143" s="2" t="s">
        <v>40</v>
      </c>
      <c r="E143" s="5" t="s">
        <v>518</v>
      </c>
      <c r="F143" s="3" t="s">
        <v>519</v>
      </c>
      <c r="G143" s="3" t="s">
        <v>75</v>
      </c>
      <c r="H143" s="2" t="s">
        <v>22</v>
      </c>
      <c r="I143" s="2" t="s">
        <v>520</v>
      </c>
      <c r="J143" s="3" t="str">
        <f>HYPERLINK("https://www.boe.es/gazeta/dias/1834/03/15/pdfs/GMD-1834-33.pdf#page=4","Abrir facsímil")</f>
        <v>Abrir facsímil</v>
      </c>
      <c r="K143" s="3" t="s">
        <v>24</v>
      </c>
    </row>
    <row r="144" spans="1:11" ht="54" customHeight="1">
      <c r="A144" s="2" t="s">
        <v>521</v>
      </c>
      <c r="B144" s="2" t="s">
        <v>521</v>
      </c>
      <c r="C144" s="2" t="s">
        <v>66</v>
      </c>
      <c r="D144" s="2" t="s">
        <v>18</v>
      </c>
      <c r="E144" s="5" t="s">
        <v>348</v>
      </c>
      <c r="F144" s="3" t="s">
        <v>501</v>
      </c>
      <c r="G144" s="3" t="s">
        <v>86</v>
      </c>
      <c r="H144" s="2" t="s">
        <v>22</v>
      </c>
      <c r="I144" s="2" t="s">
        <v>522</v>
      </c>
      <c r="J144" s="3" t="str">
        <f>HYPERLINK("https://www.boe.es/gazeta/dias/1834/06/12/pdfs/GMD-1834-115.pdf#page=2","Abrir facsímil")</f>
        <v>Abrir facsímil</v>
      </c>
      <c r="K144" s="3" t="s">
        <v>24</v>
      </c>
    </row>
    <row r="145" spans="1:11" ht="54" customHeight="1">
      <c r="A145" s="2" t="s">
        <v>523</v>
      </c>
      <c r="B145" s="2" t="s">
        <v>523</v>
      </c>
      <c r="C145" s="2" t="s">
        <v>17</v>
      </c>
      <c r="D145" s="2" t="s">
        <v>18</v>
      </c>
      <c r="E145" s="5" t="s">
        <v>524</v>
      </c>
      <c r="F145" s="3" t="s">
        <v>525</v>
      </c>
      <c r="G145" s="3" t="s">
        <v>86</v>
      </c>
      <c r="H145" s="2" t="s">
        <v>22</v>
      </c>
      <c r="I145" s="2" t="s">
        <v>526</v>
      </c>
      <c r="J145" s="3" t="str">
        <f>HYPERLINK("https://www.boe.es/gazeta/dias/1834/12/25/pdfs/GMD-C-1834-315.pdf#page=2","Abrir facsímil")</f>
        <v>Abrir facsímil</v>
      </c>
      <c r="K145" s="3" t="s">
        <v>24</v>
      </c>
    </row>
    <row r="146" spans="1:11" ht="54" customHeight="1">
      <c r="A146" s="2" t="s">
        <v>527</v>
      </c>
      <c r="B146" s="2" t="s">
        <v>527</v>
      </c>
      <c r="C146" s="2" t="s">
        <v>46</v>
      </c>
      <c r="D146" s="2" t="s">
        <v>101</v>
      </c>
      <c r="E146" s="5" t="s">
        <v>438</v>
      </c>
      <c r="F146" s="3" t="s">
        <v>528</v>
      </c>
      <c r="G146" s="3" t="s">
        <v>34</v>
      </c>
      <c r="H146" s="2" t="s">
        <v>22</v>
      </c>
      <c r="I146" s="2" t="s">
        <v>529</v>
      </c>
      <c r="J146" s="3" t="str">
        <f>HYPERLINK("https://www.boe.es/gazeta/dias/1834/11/09/pdfs/GMD-C-1834-268.pdf#page=1","Abrir facsímil")</f>
        <v>Abrir facsímil</v>
      </c>
      <c r="K146" s="3" t="s">
        <v>24</v>
      </c>
    </row>
    <row r="147" spans="1:11" ht="54" customHeight="1">
      <c r="A147" s="2" t="s">
        <v>527</v>
      </c>
      <c r="B147" s="2" t="s">
        <v>527</v>
      </c>
      <c r="C147" s="2" t="s">
        <v>17</v>
      </c>
      <c r="D147" s="2" t="s">
        <v>18</v>
      </c>
      <c r="E147" s="5" t="s">
        <v>524</v>
      </c>
      <c r="F147" s="3" t="s">
        <v>525</v>
      </c>
      <c r="G147" s="3" t="s">
        <v>86</v>
      </c>
      <c r="H147" s="2" t="s">
        <v>22</v>
      </c>
      <c r="I147" s="2" t="s">
        <v>530</v>
      </c>
      <c r="J147" s="3" t="str">
        <f>HYPERLINK("https://www.boe.es/gazeta/dias/1834/12/25/pdfs/GMD-C-1834-315.pdf#page=2","Abrir facsímil")</f>
        <v>Abrir facsímil</v>
      </c>
      <c r="K147" s="3" t="s">
        <v>24</v>
      </c>
    </row>
    <row r="148" spans="1:11" ht="54" customHeight="1">
      <c r="A148" s="2" t="s">
        <v>527</v>
      </c>
      <c r="B148" s="2" t="s">
        <v>527</v>
      </c>
      <c r="C148" s="2" t="s">
        <v>17</v>
      </c>
      <c r="D148" s="2" t="s">
        <v>18</v>
      </c>
      <c r="E148" s="5" t="s">
        <v>510</v>
      </c>
      <c r="F148" s="3" t="s">
        <v>531</v>
      </c>
      <c r="G148" s="3" t="s">
        <v>176</v>
      </c>
      <c r="H148" s="2" t="s">
        <v>22</v>
      </c>
      <c r="I148" s="2" t="s">
        <v>532</v>
      </c>
      <c r="J148" s="3" t="str">
        <f>HYPERLINK("https://www.boe.es/gazeta/dias/1834/11/26/pdfs/GMD-C-1834-285.pdf#page=6","Abrir facsímil")</f>
        <v>Abrir facsímil</v>
      </c>
      <c r="K148" s="3" t="s">
        <v>24</v>
      </c>
    </row>
    <row r="149" spans="1:11" ht="54" customHeight="1">
      <c r="A149" s="2" t="s">
        <v>533</v>
      </c>
      <c r="B149" s="2" t="s">
        <v>534</v>
      </c>
      <c r="C149" s="2" t="s">
        <v>17</v>
      </c>
      <c r="D149" s="2" t="s">
        <v>18</v>
      </c>
      <c r="E149" s="5" t="s">
        <v>535</v>
      </c>
      <c r="F149" s="3" t="s">
        <v>536</v>
      </c>
      <c r="G149" s="3" t="s">
        <v>21</v>
      </c>
      <c r="H149" s="2" t="s">
        <v>35</v>
      </c>
      <c r="I149" s="2" t="s">
        <v>537</v>
      </c>
      <c r="J149" s="3" t="str">
        <f>HYPERLINK("https://www.boe.es/gazeta/dias/1834/05/21/pdfs/GMD-1834-90.pdf#page=3","Abrir facsímil")</f>
        <v>Abrir facsímil</v>
      </c>
      <c r="K149" s="3" t="s">
        <v>37</v>
      </c>
    </row>
    <row r="150" spans="1:11" ht="54" customHeight="1">
      <c r="A150" s="2" t="s">
        <v>538</v>
      </c>
      <c r="B150" s="2" t="s">
        <v>539</v>
      </c>
      <c r="C150" s="2" t="s">
        <v>17</v>
      </c>
      <c r="D150" s="2" t="s">
        <v>55</v>
      </c>
      <c r="E150" s="5" t="s">
        <v>506</v>
      </c>
      <c r="F150" s="3" t="s">
        <v>507</v>
      </c>
      <c r="G150" s="3" t="s">
        <v>75</v>
      </c>
      <c r="H150" s="2" t="s">
        <v>22</v>
      </c>
      <c r="I150" s="2" t="s">
        <v>540</v>
      </c>
      <c r="J150" s="3" t="str">
        <f>HYPERLINK("https://www.boe.es/gazeta/dias/1834/03/04/pdfs/GMD-1834-28.pdf#page=4","Abrir facsímil")</f>
        <v>Abrir facsímil</v>
      </c>
      <c r="K150" s="3" t="s">
        <v>24</v>
      </c>
    </row>
    <row r="151" spans="1:11" ht="54" customHeight="1">
      <c r="A151" s="2" t="s">
        <v>538</v>
      </c>
      <c r="B151" s="2" t="s">
        <v>539</v>
      </c>
      <c r="C151" s="2" t="s">
        <v>46</v>
      </c>
      <c r="D151" s="2" t="s">
        <v>101</v>
      </c>
      <c r="E151" s="5" t="s">
        <v>541</v>
      </c>
      <c r="F151" s="3" t="s">
        <v>542</v>
      </c>
      <c r="G151" s="3" t="s">
        <v>34</v>
      </c>
      <c r="H151" s="2" t="s">
        <v>22</v>
      </c>
      <c r="I151" s="2" t="s">
        <v>543</v>
      </c>
      <c r="J151" s="3" t="str">
        <f>HYPERLINK("https://www.boe.es/gazeta/dias/1834/04/18/pdfs/GMD-1834-57.pdf#page=1","Abrir facsímil")</f>
        <v>Abrir facsímil</v>
      </c>
      <c r="K151" s="3" t="s">
        <v>24</v>
      </c>
    </row>
    <row r="152" spans="1:11" ht="54" customHeight="1">
      <c r="A152" s="2" t="s">
        <v>544</v>
      </c>
      <c r="B152" s="2" t="s">
        <v>545</v>
      </c>
      <c r="C152" s="2" t="s">
        <v>17</v>
      </c>
      <c r="D152" s="2" t="s">
        <v>18</v>
      </c>
      <c r="E152" s="5" t="s">
        <v>535</v>
      </c>
      <c r="F152" s="3" t="s">
        <v>536</v>
      </c>
      <c r="G152" s="3" t="s">
        <v>21</v>
      </c>
      <c r="H152" s="2" t="s">
        <v>22</v>
      </c>
      <c r="I152" s="2" t="s">
        <v>546</v>
      </c>
      <c r="J152" s="3" t="str">
        <f>HYPERLINK("https://www.boe.es/gazeta/dias/1834/05/21/pdfs/GMD-1834-90.pdf#page=3","Abrir facsímil")</f>
        <v>Abrir facsímil</v>
      </c>
      <c r="K152" s="3" t="s">
        <v>24</v>
      </c>
    </row>
    <row r="153" spans="1:11" ht="54" customHeight="1">
      <c r="A153" s="2" t="s">
        <v>547</v>
      </c>
      <c r="B153" s="2" t="s">
        <v>547</v>
      </c>
      <c r="C153" s="2" t="s">
        <v>17</v>
      </c>
      <c r="D153" s="2" t="s">
        <v>18</v>
      </c>
      <c r="E153" s="5" t="s">
        <v>286</v>
      </c>
      <c r="F153" s="3" t="s">
        <v>548</v>
      </c>
      <c r="G153" s="3" t="s">
        <v>75</v>
      </c>
      <c r="H153" s="2" t="s">
        <v>22</v>
      </c>
      <c r="I153" s="2" t="s">
        <v>549</v>
      </c>
      <c r="J153" s="3" t="str">
        <f>HYPERLINK("https://www.boe.es/gazeta/dias/1834/08/30/pdfs/GMD-1834-196.pdf#page=4","Abrir facsímil")</f>
        <v>Abrir facsímil</v>
      </c>
      <c r="K153" s="3" t="s">
        <v>24</v>
      </c>
    </row>
    <row r="154" spans="1:11" ht="54" customHeight="1">
      <c r="A154" s="2" t="s">
        <v>550</v>
      </c>
      <c r="B154" s="2" t="s">
        <v>551</v>
      </c>
      <c r="C154" s="2" t="s">
        <v>17</v>
      </c>
      <c r="D154" s="2" t="s">
        <v>18</v>
      </c>
      <c r="E154" s="5" t="s">
        <v>552</v>
      </c>
      <c r="F154" s="3" t="s">
        <v>553</v>
      </c>
      <c r="G154" s="3" t="s">
        <v>86</v>
      </c>
      <c r="H154" s="2" t="s">
        <v>35</v>
      </c>
      <c r="I154" s="2" t="s">
        <v>554</v>
      </c>
      <c r="J154" s="3" t="str">
        <f>HYPERLINK("https://www.boe.es/gazeta/dias/1834/07/30/pdfs/GMD-1834-163.pdf#page=2","Abrir facsímil")</f>
        <v>Abrir facsímil</v>
      </c>
      <c r="K154" s="3" t="s">
        <v>37</v>
      </c>
    </row>
    <row r="155" spans="1:11" ht="54" customHeight="1">
      <c r="A155" s="2" t="s">
        <v>555</v>
      </c>
      <c r="B155" s="2" t="s">
        <v>555</v>
      </c>
      <c r="C155" s="2" t="s">
        <v>17</v>
      </c>
      <c r="D155" s="2" t="s">
        <v>18</v>
      </c>
      <c r="E155" s="5" t="s">
        <v>556</v>
      </c>
      <c r="F155" s="3" t="s">
        <v>557</v>
      </c>
      <c r="G155" s="3" t="s">
        <v>86</v>
      </c>
      <c r="H155" s="2" t="s">
        <v>22</v>
      </c>
      <c r="I155" s="2" t="s">
        <v>558</v>
      </c>
      <c r="J155" s="3" t="str">
        <f>HYPERLINK("https://www.boe.es/gazeta/dias/1834/09/13/pdfs/GMD-1834-211.pdf#page=2","Abrir facsímil")</f>
        <v>Abrir facsímil</v>
      </c>
      <c r="K155" s="3" t="s">
        <v>24</v>
      </c>
    </row>
    <row r="156" spans="1:11" ht="54" customHeight="1">
      <c r="A156" s="2" t="s">
        <v>559</v>
      </c>
      <c r="B156" s="2" t="s">
        <v>559</v>
      </c>
      <c r="C156" s="2" t="s">
        <v>17</v>
      </c>
      <c r="D156" s="2" t="s">
        <v>18</v>
      </c>
      <c r="E156" s="5" t="s">
        <v>510</v>
      </c>
      <c r="F156" s="3" t="s">
        <v>531</v>
      </c>
      <c r="G156" s="3" t="s">
        <v>560</v>
      </c>
      <c r="H156" s="2" t="s">
        <v>22</v>
      </c>
      <c r="I156" s="2" t="s">
        <v>561</v>
      </c>
      <c r="J156" s="3" t="str">
        <f>HYPERLINK("https://www.boe.es/gazeta/dias/1834/11/26/pdfs/GMD-C-1834-285.pdf#page=7","Abrir facsímil")</f>
        <v>Abrir facsímil</v>
      </c>
      <c r="K156" s="3" t="s">
        <v>24</v>
      </c>
    </row>
    <row r="157" spans="1:11" ht="54" customHeight="1">
      <c r="A157" s="2" t="s">
        <v>562</v>
      </c>
      <c r="B157" s="2" t="s">
        <v>562</v>
      </c>
      <c r="C157" s="2" t="s">
        <v>17</v>
      </c>
      <c r="D157" s="2" t="s">
        <v>18</v>
      </c>
      <c r="E157" s="5" t="s">
        <v>563</v>
      </c>
      <c r="F157" s="3" t="s">
        <v>564</v>
      </c>
      <c r="G157" s="3" t="s">
        <v>21</v>
      </c>
      <c r="H157" s="2" t="s">
        <v>22</v>
      </c>
      <c r="I157" s="2" t="s">
        <v>565</v>
      </c>
      <c r="J157" s="3" t="str">
        <f>HYPERLINK("https://www.boe.es/gazeta/dias/1834/04/19/pdfs/GMD-1834-58.pdf#page=3","Abrir facsímil")</f>
        <v>Abrir facsímil</v>
      </c>
      <c r="K157" s="3" t="s">
        <v>24</v>
      </c>
    </row>
    <row r="158" spans="1:11" ht="54" customHeight="1">
      <c r="A158" s="2" t="s">
        <v>566</v>
      </c>
      <c r="B158" s="2" t="s">
        <v>566</v>
      </c>
      <c r="C158" s="2" t="s">
        <v>17</v>
      </c>
      <c r="D158" s="2" t="s">
        <v>55</v>
      </c>
      <c r="E158" s="5" t="s">
        <v>334</v>
      </c>
      <c r="F158" s="3" t="s">
        <v>567</v>
      </c>
      <c r="G158" s="3" t="s">
        <v>86</v>
      </c>
      <c r="H158" s="2" t="s">
        <v>22</v>
      </c>
      <c r="I158" s="2" t="s">
        <v>568</v>
      </c>
      <c r="J158" s="3" t="str">
        <f>HYPERLINK("https://www.boe.es/gazeta/dias/1834/09/11/pdfs/GMD-1834-209.pdf#page=2","Abrir facsímil")</f>
        <v>Abrir facsímil</v>
      </c>
      <c r="K158" s="3" t="s">
        <v>24</v>
      </c>
    </row>
    <row r="159" spans="1:11" ht="54" customHeight="1">
      <c r="A159" s="2" t="s">
        <v>569</v>
      </c>
      <c r="B159" s="2" t="s">
        <v>570</v>
      </c>
      <c r="C159" s="2" t="s">
        <v>46</v>
      </c>
      <c r="D159" s="2" t="s">
        <v>18</v>
      </c>
      <c r="E159" s="5" t="s">
        <v>571</v>
      </c>
      <c r="F159" s="3" t="s">
        <v>572</v>
      </c>
      <c r="G159" s="3" t="s">
        <v>34</v>
      </c>
      <c r="H159" s="2" t="s">
        <v>22</v>
      </c>
      <c r="I159" s="2" t="s">
        <v>573</v>
      </c>
      <c r="J159" s="3" t="str">
        <f>HYPERLINK("https://www.boe.es/gazeta/dias/1834/09/04/pdfs/GMD-1834-202.pdf#page=1","Abrir facsímil")</f>
        <v>Abrir facsímil</v>
      </c>
      <c r="K159" s="3" t="s">
        <v>24</v>
      </c>
    </row>
    <row r="160" spans="1:11" ht="54" customHeight="1">
      <c r="A160" s="2" t="s">
        <v>574</v>
      </c>
      <c r="B160" s="2" t="s">
        <v>574</v>
      </c>
      <c r="C160" s="2" t="s">
        <v>17</v>
      </c>
      <c r="D160" s="2" t="s">
        <v>18</v>
      </c>
      <c r="E160" s="5" t="s">
        <v>343</v>
      </c>
      <c r="F160" s="3" t="s">
        <v>344</v>
      </c>
      <c r="G160" s="3" t="s">
        <v>34</v>
      </c>
      <c r="H160" s="2" t="s">
        <v>22</v>
      </c>
      <c r="I160" s="2" t="s">
        <v>575</v>
      </c>
      <c r="J160" s="3" t="str">
        <f>HYPERLINK("https://www.boe.es/gazeta/dias/1834/01/14/pdfs/GMD-1834-7.pdf#page=1","Abrir facsímil")</f>
        <v>Abrir facsímil</v>
      </c>
      <c r="K160" s="3" t="s">
        <v>24</v>
      </c>
    </row>
    <row r="161" spans="1:11" ht="54" customHeight="1">
      <c r="A161" s="2" t="s">
        <v>574</v>
      </c>
      <c r="B161" s="2" t="s">
        <v>574</v>
      </c>
      <c r="C161" s="2" t="s">
        <v>17</v>
      </c>
      <c r="D161" s="2" t="s">
        <v>18</v>
      </c>
      <c r="E161" s="5" t="s">
        <v>576</v>
      </c>
      <c r="F161" s="3" t="s">
        <v>577</v>
      </c>
      <c r="G161" s="3" t="s">
        <v>34</v>
      </c>
      <c r="H161" s="2" t="s">
        <v>22</v>
      </c>
      <c r="I161" s="2" t="s">
        <v>578</v>
      </c>
      <c r="J161" s="3" t="str">
        <f>HYPERLINK("https://www.boe.es/gazeta/dias/1834/09/23/pdfs/GMD-1834-221.pdf#page=1","Abrir facsímil")</f>
        <v>Abrir facsímil</v>
      </c>
      <c r="K161" s="3" t="s">
        <v>24</v>
      </c>
    </row>
    <row r="162" spans="1:11" ht="54" customHeight="1">
      <c r="A162" s="2" t="s">
        <v>579</v>
      </c>
      <c r="B162" s="2" t="s">
        <v>580</v>
      </c>
      <c r="C162" s="2" t="s">
        <v>90</v>
      </c>
      <c r="D162" s="2" t="s">
        <v>18</v>
      </c>
      <c r="E162" s="5" t="s">
        <v>158</v>
      </c>
      <c r="F162" s="3" t="s">
        <v>581</v>
      </c>
      <c r="G162" s="3" t="s">
        <v>34</v>
      </c>
      <c r="H162" s="2" t="s">
        <v>22</v>
      </c>
      <c r="I162" s="2" t="s">
        <v>582</v>
      </c>
      <c r="J162" s="3" t="str">
        <f>HYPERLINK("https://www.boe.es/gazeta/dias/1834/10/01/pdfs/GMD-C-1834-229.pdf#page=1","Abrir facsímil")</f>
        <v>Abrir facsímil</v>
      </c>
      <c r="K162" s="3" t="s">
        <v>24</v>
      </c>
    </row>
    <row r="163" spans="1:11" ht="54" customHeight="1">
      <c r="A163" s="2" t="s">
        <v>583</v>
      </c>
      <c r="B163" s="2" t="s">
        <v>584</v>
      </c>
      <c r="C163" s="2" t="s">
        <v>90</v>
      </c>
      <c r="D163" s="2" t="s">
        <v>18</v>
      </c>
      <c r="E163" s="5" t="s">
        <v>454</v>
      </c>
      <c r="F163" s="3" t="s">
        <v>455</v>
      </c>
      <c r="G163" s="3" t="s">
        <v>75</v>
      </c>
      <c r="H163" s="2" t="s">
        <v>22</v>
      </c>
      <c r="I163" s="2" t="s">
        <v>585</v>
      </c>
      <c r="J163" s="3" t="str">
        <f>HYPERLINK("https://www.boe.es/gazeta/dias/1834/10/16/pdfs/GMD-C-1834-244.pdf#page=4","Abrir facsímil")</f>
        <v>Abrir facsímil</v>
      </c>
      <c r="K163" s="3" t="s">
        <v>24</v>
      </c>
    </row>
    <row r="164" spans="1:11" ht="54" customHeight="1">
      <c r="A164" s="2" t="s">
        <v>586</v>
      </c>
      <c r="B164" s="2" t="s">
        <v>586</v>
      </c>
      <c r="C164" s="2" t="s">
        <v>17</v>
      </c>
      <c r="D164" s="2" t="s">
        <v>18</v>
      </c>
      <c r="E164" s="5" t="s">
        <v>510</v>
      </c>
      <c r="F164" s="3" t="s">
        <v>531</v>
      </c>
      <c r="G164" s="3" t="s">
        <v>28</v>
      </c>
      <c r="H164" s="2" t="s">
        <v>22</v>
      </c>
      <c r="I164" s="2" t="s">
        <v>587</v>
      </c>
      <c r="J164" s="3" t="str">
        <f>HYPERLINK("https://www.boe.es/gazeta/dias/1834/11/26/pdfs/GMD-C-1834-285.pdf#page=5","Abrir facsímil")</f>
        <v>Abrir facsímil</v>
      </c>
      <c r="K164" s="3" t="s">
        <v>24</v>
      </c>
    </row>
    <row r="165" spans="1:11" ht="54" customHeight="1">
      <c r="A165" s="2" t="s">
        <v>588</v>
      </c>
      <c r="B165" s="2" t="s">
        <v>589</v>
      </c>
      <c r="C165" s="2" t="s">
        <v>17</v>
      </c>
      <c r="D165" s="2" t="s">
        <v>18</v>
      </c>
      <c r="E165" s="5" t="s">
        <v>590</v>
      </c>
      <c r="F165" s="3" t="s">
        <v>591</v>
      </c>
      <c r="G165" s="3" t="s">
        <v>75</v>
      </c>
      <c r="H165" s="2" t="s">
        <v>22</v>
      </c>
      <c r="I165" s="2" t="s">
        <v>592</v>
      </c>
      <c r="J165" s="3" t="str">
        <f>HYPERLINK("https://www.boe.es/gazeta/dias/1834/11/30/pdfs/GMD-1834-289.pdf#page=4","Abrir facsímil")</f>
        <v>Abrir facsímil</v>
      </c>
      <c r="K165" s="3" t="s">
        <v>24</v>
      </c>
    </row>
    <row r="166" spans="1:11" ht="54" customHeight="1">
      <c r="A166" s="2" t="s">
        <v>593</v>
      </c>
      <c r="B166" s="2" t="s">
        <v>593</v>
      </c>
      <c r="C166" s="2" t="s">
        <v>17</v>
      </c>
      <c r="D166" s="2" t="s">
        <v>55</v>
      </c>
      <c r="E166" s="5" t="s">
        <v>594</v>
      </c>
      <c r="F166" s="3" t="s">
        <v>595</v>
      </c>
      <c r="G166" s="3" t="s">
        <v>34</v>
      </c>
      <c r="H166" s="2" t="s">
        <v>22</v>
      </c>
      <c r="I166" s="2" t="s">
        <v>596</v>
      </c>
      <c r="J166" s="3" t="str">
        <f>HYPERLINK("https://www.boe.es/gazeta/dias/1834/06/01/pdfs/GMD-1834-102.pdf#page=1","Abrir facsímil")</f>
        <v>Abrir facsímil</v>
      </c>
      <c r="K166" s="3" t="s">
        <v>24</v>
      </c>
    </row>
    <row r="167" spans="1:11" ht="54" customHeight="1">
      <c r="A167" s="2" t="s">
        <v>597</v>
      </c>
      <c r="B167" s="2" t="s">
        <v>598</v>
      </c>
      <c r="C167" s="2" t="s">
        <v>66</v>
      </c>
      <c r="D167" s="2" t="s">
        <v>67</v>
      </c>
      <c r="E167" s="5" t="s">
        <v>513</v>
      </c>
      <c r="F167" s="3" t="s">
        <v>514</v>
      </c>
      <c r="G167" s="3" t="s">
        <v>75</v>
      </c>
      <c r="H167" s="2" t="s">
        <v>22</v>
      </c>
      <c r="I167" s="2" t="s">
        <v>599</v>
      </c>
      <c r="J167" s="3" t="str">
        <f>HYPERLINK("https://www.boe.es/gazeta/dias/1834/04/27/pdfs/GMD-1834-66.pdf#page=4","Abrir facsímil")</f>
        <v>Abrir facsímil</v>
      </c>
      <c r="K167" s="3" t="s">
        <v>24</v>
      </c>
    </row>
    <row r="168" spans="1:11" ht="54" customHeight="1">
      <c r="A168" s="2" t="s">
        <v>600</v>
      </c>
      <c r="B168" s="2" t="s">
        <v>600</v>
      </c>
      <c r="C168" s="2" t="s">
        <v>17</v>
      </c>
      <c r="D168" s="2" t="s">
        <v>55</v>
      </c>
      <c r="E168" s="5" t="s">
        <v>601</v>
      </c>
      <c r="F168" s="3" t="s">
        <v>602</v>
      </c>
      <c r="G168" s="3" t="s">
        <v>21</v>
      </c>
      <c r="H168" s="2" t="s">
        <v>22</v>
      </c>
      <c r="I168" s="2" t="s">
        <v>603</v>
      </c>
      <c r="J168" s="3" t="str">
        <f>HYPERLINK("https://www.boe.es/gazeta/dias/1834/08/16/pdfs/GMD-1834-181.pdf#page=3","Abrir facsímil")</f>
        <v>Abrir facsímil</v>
      </c>
      <c r="K168" s="3" t="s">
        <v>24</v>
      </c>
    </row>
    <row r="169" spans="1:11" ht="54" customHeight="1">
      <c r="A169" s="2" t="s">
        <v>604</v>
      </c>
      <c r="B169" s="2" t="s">
        <v>605</v>
      </c>
      <c r="C169" s="2" t="s">
        <v>17</v>
      </c>
      <c r="D169" s="2" t="s">
        <v>18</v>
      </c>
      <c r="E169" s="5" t="s">
        <v>606</v>
      </c>
      <c r="F169" s="3" t="s">
        <v>607</v>
      </c>
      <c r="G169" s="3" t="s">
        <v>86</v>
      </c>
      <c r="H169" s="2" t="s">
        <v>22</v>
      </c>
      <c r="I169" s="2" t="s">
        <v>608</v>
      </c>
      <c r="J169" s="3" t="str">
        <f>HYPERLINK("https://www.boe.es/gazeta/dias/1834/06/23/pdfs/GMD-1834-126.pdf#page=2","Abrir facsímil")</f>
        <v>Abrir facsímil</v>
      </c>
      <c r="K169" s="3" t="s">
        <v>24</v>
      </c>
    </row>
    <row r="170" spans="1:11" ht="54" customHeight="1">
      <c r="A170" s="2" t="s">
        <v>609</v>
      </c>
      <c r="B170" s="2" t="s">
        <v>609</v>
      </c>
      <c r="C170" s="2" t="s">
        <v>17</v>
      </c>
      <c r="D170" s="2" t="s">
        <v>18</v>
      </c>
      <c r="E170" s="5" t="s">
        <v>610</v>
      </c>
      <c r="F170" s="3" t="s">
        <v>611</v>
      </c>
      <c r="G170" s="3" t="s">
        <v>21</v>
      </c>
      <c r="H170" s="2" t="s">
        <v>22</v>
      </c>
      <c r="I170" s="2" t="s">
        <v>612</v>
      </c>
      <c r="J170" s="3" t="str">
        <f>HYPERLINK("https://www.boe.es/gazeta/dias/1834/12/21/pdfs/GMD-C-1834-311.pdf#page=3","Abrir facsímil")</f>
        <v>Abrir facsímil</v>
      </c>
      <c r="K170" s="3" t="s">
        <v>24</v>
      </c>
    </row>
    <row r="171" spans="1:11" ht="54" customHeight="1">
      <c r="A171" s="2" t="s">
        <v>613</v>
      </c>
      <c r="B171" s="2" t="s">
        <v>614</v>
      </c>
      <c r="C171" s="2" t="s">
        <v>17</v>
      </c>
      <c r="D171" s="2" t="s">
        <v>40</v>
      </c>
      <c r="E171" s="5" t="s">
        <v>615</v>
      </c>
      <c r="F171" s="3" t="s">
        <v>616</v>
      </c>
      <c r="G171" s="3" t="s">
        <v>86</v>
      </c>
      <c r="H171" s="2" t="s">
        <v>22</v>
      </c>
      <c r="I171" s="2" t="s">
        <v>617</v>
      </c>
      <c r="J171" s="3" t="str">
        <f>HYPERLINK("https://www.boe.es/gazeta/dias/1834/08/19/pdfs/GMD-1834-185.pdf#page=2","Abrir facsímil")</f>
        <v>Abrir facsímil</v>
      </c>
      <c r="K171" s="3" t="s">
        <v>24</v>
      </c>
    </row>
    <row r="172" spans="1:11" ht="54" customHeight="1">
      <c r="A172" s="2" t="s">
        <v>618</v>
      </c>
      <c r="B172" s="2" t="s">
        <v>619</v>
      </c>
      <c r="C172" s="2" t="s">
        <v>17</v>
      </c>
      <c r="D172" s="2" t="s">
        <v>18</v>
      </c>
      <c r="E172" s="5" t="s">
        <v>571</v>
      </c>
      <c r="F172" s="3" t="s">
        <v>620</v>
      </c>
      <c r="G172" s="3" t="s">
        <v>560</v>
      </c>
      <c r="H172" s="2" t="s">
        <v>22</v>
      </c>
      <c r="I172" s="2" t="s">
        <v>621</v>
      </c>
      <c r="J172" s="3" t="str">
        <f>HYPERLINK("https://www.boe.es/gazeta/dias/1834/09/04/pdfs/GMD-C-1834-202.pdf#page=7","Abrir facsímil")</f>
        <v>Abrir facsímil</v>
      </c>
      <c r="K172" s="3" t="s">
        <v>24</v>
      </c>
    </row>
    <row r="173" spans="1:11" ht="54" customHeight="1">
      <c r="A173" s="2" t="s">
        <v>622</v>
      </c>
      <c r="B173" s="2" t="s">
        <v>622</v>
      </c>
      <c r="C173" s="2" t="s">
        <v>66</v>
      </c>
      <c r="D173" s="2" t="s">
        <v>67</v>
      </c>
      <c r="E173" s="5" t="s">
        <v>623</v>
      </c>
      <c r="F173" s="3" t="s">
        <v>624</v>
      </c>
      <c r="G173" s="3" t="s">
        <v>34</v>
      </c>
      <c r="H173" s="2" t="s">
        <v>22</v>
      </c>
      <c r="I173" s="2" t="s">
        <v>625</v>
      </c>
      <c r="J173" s="3" t="str">
        <f>HYPERLINK("https://www.boe.es/gazeta/dias/1834/10/12/pdfs/GMD-C-1834-240.pdf#page=1","Abrir facsímil")</f>
        <v>Abrir facsímil</v>
      </c>
      <c r="K173" s="3" t="s">
        <v>24</v>
      </c>
    </row>
    <row r="174" spans="1:11" ht="54" customHeight="1">
      <c r="A174" s="2" t="s">
        <v>626</v>
      </c>
      <c r="B174" s="2" t="s">
        <v>626</v>
      </c>
      <c r="C174" s="2" t="s">
        <v>17</v>
      </c>
      <c r="D174" s="2" t="s">
        <v>18</v>
      </c>
      <c r="E174" s="5" t="s">
        <v>627</v>
      </c>
      <c r="F174" s="3" t="s">
        <v>628</v>
      </c>
      <c r="G174" s="3" t="s">
        <v>34</v>
      </c>
      <c r="H174" s="2" t="s">
        <v>22</v>
      </c>
      <c r="I174" s="2" t="s">
        <v>629</v>
      </c>
      <c r="J174" s="3" t="str">
        <f>HYPERLINK("https://www.boe.es/gazeta/dias/1834/09/22/pdfs/GMD-C-1834-220.pdf#page=1","Abrir facsímil")</f>
        <v>Abrir facsímil</v>
      </c>
      <c r="K174" s="3" t="s">
        <v>24</v>
      </c>
    </row>
    <row r="175" spans="1:11" ht="54" customHeight="1">
      <c r="A175" s="2" t="s">
        <v>630</v>
      </c>
      <c r="B175" s="2" t="s">
        <v>630</v>
      </c>
      <c r="C175" s="2" t="s">
        <v>17</v>
      </c>
      <c r="D175" s="2" t="s">
        <v>18</v>
      </c>
      <c r="E175" s="5" t="s">
        <v>524</v>
      </c>
      <c r="F175" s="3" t="s">
        <v>525</v>
      </c>
      <c r="G175" s="3" t="s">
        <v>86</v>
      </c>
      <c r="H175" s="2" t="s">
        <v>22</v>
      </c>
      <c r="I175" s="2" t="s">
        <v>631</v>
      </c>
      <c r="J175" s="3" t="str">
        <f>HYPERLINK("https://www.boe.es/gazeta/dias/1834/12/25/pdfs/GMD-C-1834-315.pdf#page=2","Abrir facsímil")</f>
        <v>Abrir facsímil</v>
      </c>
      <c r="K175" s="3" t="s">
        <v>24</v>
      </c>
    </row>
    <row r="176" spans="1:11" ht="54" customHeight="1">
      <c r="A176" s="2" t="s">
        <v>632</v>
      </c>
      <c r="B176" s="2" t="s">
        <v>632</v>
      </c>
      <c r="C176" s="2" t="s">
        <v>66</v>
      </c>
      <c r="D176" s="2" t="s">
        <v>67</v>
      </c>
      <c r="E176" s="5" t="s">
        <v>633</v>
      </c>
      <c r="F176" s="3" t="s">
        <v>634</v>
      </c>
      <c r="G176" s="3" t="s">
        <v>34</v>
      </c>
      <c r="H176" s="2" t="s">
        <v>22</v>
      </c>
      <c r="I176" s="2" t="s">
        <v>635</v>
      </c>
      <c r="J176" s="3" t="str">
        <f>HYPERLINK("https://www.boe.es/gazeta/dias/1834/10/24/pdfs/GMD-1834-252.pdf#page=1","Abrir facsímil")</f>
        <v>Abrir facsímil</v>
      </c>
      <c r="K176" s="3" t="s">
        <v>24</v>
      </c>
    </row>
    <row r="177" spans="1:11" ht="54" customHeight="1">
      <c r="A177" s="2" t="s">
        <v>636</v>
      </c>
      <c r="B177" s="2" t="s">
        <v>636</v>
      </c>
      <c r="C177" s="2" t="s">
        <v>17</v>
      </c>
      <c r="D177" s="2" t="s">
        <v>101</v>
      </c>
      <c r="E177" s="5" t="s">
        <v>637</v>
      </c>
      <c r="F177" s="3" t="s">
        <v>638</v>
      </c>
      <c r="G177" s="3" t="s">
        <v>86</v>
      </c>
      <c r="H177" s="2" t="s">
        <v>22</v>
      </c>
      <c r="I177" s="2" t="s">
        <v>639</v>
      </c>
      <c r="J177" s="3" t="str">
        <f>HYPERLINK("https://www.boe.es/gazeta/dias/1834/06/03/pdfs/I00469-00470.pdf#page=2","Abrir facsímil")</f>
        <v>Abrir facsímil</v>
      </c>
      <c r="K177" s="3" t="s">
        <v>24</v>
      </c>
    </row>
    <row r="178" spans="1:11" ht="54" customHeight="1">
      <c r="A178" s="2" t="s">
        <v>636</v>
      </c>
      <c r="B178" s="2" t="s">
        <v>636</v>
      </c>
      <c r="C178" s="2" t="s">
        <v>17</v>
      </c>
      <c r="D178" s="2" t="s">
        <v>101</v>
      </c>
      <c r="E178" s="5" t="s">
        <v>637</v>
      </c>
      <c r="F178" s="3" t="s">
        <v>638</v>
      </c>
      <c r="G178" s="3" t="s">
        <v>75</v>
      </c>
      <c r="H178" s="2" t="s">
        <v>22</v>
      </c>
      <c r="I178" s="2" t="s">
        <v>639</v>
      </c>
      <c r="J178" s="3" t="str">
        <f>HYPERLINK("https://www.boe.es/gazeta/dias/1834/06/03/pdfs/GMD-1834-105.pdf#page=4","Abrir facsímil")</f>
        <v>Abrir facsímil</v>
      </c>
      <c r="K178" s="3" t="s">
        <v>24</v>
      </c>
    </row>
    <row r="179" spans="1:11" ht="54" customHeight="1">
      <c r="A179" s="2" t="s">
        <v>640</v>
      </c>
      <c r="B179" s="2" t="s">
        <v>641</v>
      </c>
      <c r="C179" s="2" t="s">
        <v>17</v>
      </c>
      <c r="D179" s="2" t="s">
        <v>18</v>
      </c>
      <c r="E179" s="5" t="s">
        <v>642</v>
      </c>
      <c r="F179" s="3" t="s">
        <v>643</v>
      </c>
      <c r="G179" s="3" t="s">
        <v>21</v>
      </c>
      <c r="H179" s="2" t="s">
        <v>22</v>
      </c>
      <c r="I179" s="2" t="s">
        <v>644</v>
      </c>
      <c r="J179" s="3" t="str">
        <f>HYPERLINK("https://www.boe.es/gazeta/dias/1834/11/12/pdfs/GMD-C-1834-271.pdf#page=3","Abrir facsímil")</f>
        <v>Abrir facsímil</v>
      </c>
      <c r="K179" s="3" t="s">
        <v>24</v>
      </c>
    </row>
    <row r="180" spans="1:11" ht="54" customHeight="1">
      <c r="A180" s="2" t="s">
        <v>645</v>
      </c>
      <c r="B180" s="2" t="s">
        <v>646</v>
      </c>
      <c r="C180" s="2" t="s">
        <v>46</v>
      </c>
      <c r="D180" s="2" t="s">
        <v>101</v>
      </c>
      <c r="E180" s="5" t="s">
        <v>647</v>
      </c>
      <c r="F180" s="3" t="s">
        <v>648</v>
      </c>
      <c r="G180" s="3" t="s">
        <v>34</v>
      </c>
      <c r="H180" s="2" t="s">
        <v>22</v>
      </c>
      <c r="I180" s="2" t="s">
        <v>649</v>
      </c>
      <c r="J180" s="3" t="str">
        <f>HYPERLINK("https://www.boe.es/gazeta/dias/1834/10/21/pdfs/GMD-C-1834-249.pdf#page=1","Abrir facsímil")</f>
        <v>Abrir facsímil</v>
      </c>
      <c r="K180" s="3" t="s">
        <v>24</v>
      </c>
    </row>
    <row r="181" spans="1:11" ht="54" customHeight="1">
      <c r="A181" s="2" t="s">
        <v>650</v>
      </c>
      <c r="B181" s="2" t="s">
        <v>650</v>
      </c>
      <c r="C181" s="2" t="s">
        <v>17</v>
      </c>
      <c r="D181" s="2" t="s">
        <v>18</v>
      </c>
      <c r="E181" s="5" t="s">
        <v>268</v>
      </c>
      <c r="F181" s="3" t="s">
        <v>269</v>
      </c>
      <c r="G181" s="3" t="s">
        <v>86</v>
      </c>
      <c r="H181" s="2" t="s">
        <v>22</v>
      </c>
      <c r="I181" s="2" t="s">
        <v>651</v>
      </c>
      <c r="J181" s="3" t="str">
        <f>HYPERLINK("https://www.boe.es/gazeta/dias/1834/12/19/pdfs/GMD-C-1834-309.pdf#page=2","Abrir facsímil")</f>
        <v>Abrir facsímil</v>
      </c>
      <c r="K181" s="3" t="s">
        <v>24</v>
      </c>
    </row>
    <row r="182" spans="1:11" ht="54" customHeight="1">
      <c r="A182" s="2" t="s">
        <v>652</v>
      </c>
      <c r="B182" s="2" t="s">
        <v>652</v>
      </c>
      <c r="C182" s="2" t="s">
        <v>17</v>
      </c>
      <c r="D182" s="2" t="s">
        <v>18</v>
      </c>
      <c r="E182" s="5" t="s">
        <v>653</v>
      </c>
      <c r="F182" s="3" t="s">
        <v>654</v>
      </c>
      <c r="G182" s="3" t="s">
        <v>86</v>
      </c>
      <c r="H182" s="2" t="s">
        <v>22</v>
      </c>
      <c r="I182" s="2" t="s">
        <v>655</v>
      </c>
      <c r="J182" s="3" t="str">
        <f>HYPERLINK("https://www.boe.es/gazeta/dias/1834/08/06/pdfs/GMD-C-1834-170.pdf#page=2","Abrir facsímil")</f>
        <v>Abrir facsímil</v>
      </c>
      <c r="K182" s="3" t="s">
        <v>24</v>
      </c>
    </row>
    <row r="183" spans="1:11" ht="54" customHeight="1">
      <c r="A183" s="2" t="s">
        <v>656</v>
      </c>
      <c r="B183" s="2" t="s">
        <v>657</v>
      </c>
      <c r="C183" s="2" t="s">
        <v>17</v>
      </c>
      <c r="D183" s="2" t="s">
        <v>18</v>
      </c>
      <c r="E183" s="5" t="s">
        <v>658</v>
      </c>
      <c r="F183" s="3" t="s">
        <v>659</v>
      </c>
      <c r="G183" s="3" t="s">
        <v>21</v>
      </c>
      <c r="H183" s="2" t="s">
        <v>22</v>
      </c>
      <c r="I183" s="2" t="s">
        <v>660</v>
      </c>
      <c r="J183" s="3" t="str">
        <f>HYPERLINK("https://www.boe.es/gazeta/dias/1834/05/26/pdfs/GMD-1834-95.pdf#page=3","Abrir facsímil")</f>
        <v>Abrir facsímil</v>
      </c>
      <c r="K183" s="3" t="s">
        <v>24</v>
      </c>
    </row>
    <row r="184" spans="1:11" ht="54" customHeight="1">
      <c r="A184" s="2" t="s">
        <v>661</v>
      </c>
      <c r="B184" s="2" t="s">
        <v>662</v>
      </c>
      <c r="C184" s="2" t="s">
        <v>17</v>
      </c>
      <c r="D184" s="2" t="s">
        <v>40</v>
      </c>
      <c r="E184" s="5" t="s">
        <v>663</v>
      </c>
      <c r="F184" s="3" t="s">
        <v>664</v>
      </c>
      <c r="G184" s="3" t="s">
        <v>75</v>
      </c>
      <c r="H184" s="2" t="s">
        <v>22</v>
      </c>
      <c r="I184" s="2" t="s">
        <v>665</v>
      </c>
      <c r="J184" s="3" t="str">
        <f>HYPERLINK("https://www.boe.es/gazeta/dias/1834/07/16/pdfs/GMD-1834-149.pdf#page=4","Abrir facsímil")</f>
        <v>Abrir facsímil</v>
      </c>
      <c r="K184" s="3" t="s">
        <v>24</v>
      </c>
    </row>
    <row r="185" spans="1:11" ht="54" customHeight="1">
      <c r="A185" s="2" t="s">
        <v>666</v>
      </c>
      <c r="B185" s="2" t="s">
        <v>666</v>
      </c>
      <c r="C185" s="2" t="s">
        <v>17</v>
      </c>
      <c r="D185" s="2" t="s">
        <v>18</v>
      </c>
      <c r="E185" s="5" t="s">
        <v>667</v>
      </c>
      <c r="F185" s="3" t="s">
        <v>668</v>
      </c>
      <c r="G185" s="3" t="s">
        <v>34</v>
      </c>
      <c r="H185" s="2" t="s">
        <v>22</v>
      </c>
      <c r="I185" s="2" t="s">
        <v>669</v>
      </c>
      <c r="J185" s="3" t="str">
        <f>HYPERLINK("https://www.boe.es/gazeta/dias/1834/11/23/pdfs/GMD-C-1834-282.pdf#page=1","Abrir facsímil")</f>
        <v>Abrir facsímil</v>
      </c>
      <c r="K185" s="3" t="s">
        <v>24</v>
      </c>
    </row>
    <row r="186" spans="1:11" ht="54" customHeight="1">
      <c r="A186" s="2" t="s">
        <v>670</v>
      </c>
      <c r="B186" s="2" t="s">
        <v>671</v>
      </c>
      <c r="C186" s="2" t="s">
        <v>90</v>
      </c>
      <c r="D186" s="2" t="s">
        <v>18</v>
      </c>
      <c r="E186" s="5" t="s">
        <v>672</v>
      </c>
      <c r="F186" s="3" t="s">
        <v>673</v>
      </c>
      <c r="G186" s="3" t="s">
        <v>21</v>
      </c>
      <c r="H186" s="2" t="s">
        <v>22</v>
      </c>
      <c r="I186" s="2" t="s">
        <v>674</v>
      </c>
      <c r="J186" s="3" t="str">
        <f>HYPERLINK("https://www.boe.es/gazeta/dias/1834/09/19/pdfs/GMD-1834-217.pdf#page=3","Abrir facsímil")</f>
        <v>Abrir facsímil</v>
      </c>
      <c r="K186" s="3" t="s">
        <v>24</v>
      </c>
    </row>
    <row r="187" spans="1:11" ht="54" customHeight="1">
      <c r="A187" s="2" t="s">
        <v>675</v>
      </c>
      <c r="B187" s="2" t="s">
        <v>675</v>
      </c>
      <c r="C187" s="2" t="s">
        <v>17</v>
      </c>
      <c r="D187" s="2" t="s">
        <v>18</v>
      </c>
      <c r="E187" s="5" t="s">
        <v>56</v>
      </c>
      <c r="F187" s="3" t="s">
        <v>57</v>
      </c>
      <c r="G187" s="3" t="s">
        <v>75</v>
      </c>
      <c r="H187" s="2" t="s">
        <v>22</v>
      </c>
      <c r="I187" s="2" t="s">
        <v>676</v>
      </c>
      <c r="J187" s="3" t="str">
        <f>HYPERLINK("https://www.boe.es/gazeta/dias/1834/07/09/pdfs/GMD-1834-142.pdf#page=4","Abrir facsímil")</f>
        <v>Abrir facsímil</v>
      </c>
      <c r="K187" s="3" t="s">
        <v>24</v>
      </c>
    </row>
    <row r="188" spans="1:11" ht="54" customHeight="1">
      <c r="A188" s="2" t="s">
        <v>677</v>
      </c>
      <c r="B188" s="2" t="s">
        <v>678</v>
      </c>
      <c r="C188" s="2" t="s">
        <v>17</v>
      </c>
      <c r="D188" s="2" t="s">
        <v>18</v>
      </c>
      <c r="E188" s="5" t="s">
        <v>679</v>
      </c>
      <c r="F188" s="3" t="s">
        <v>680</v>
      </c>
      <c r="G188" s="3" t="s">
        <v>34</v>
      </c>
      <c r="H188" s="2" t="s">
        <v>22</v>
      </c>
      <c r="I188" s="2" t="s">
        <v>681</v>
      </c>
      <c r="J188" s="3" t="str">
        <f>HYPERLINK("https://www.boe.es/gazeta/dias/1834/12/10/pdfs/GMD-1834-299.pdf#page=1","Abrir facsímil")</f>
        <v>Abrir facsímil</v>
      </c>
      <c r="K188" s="3" t="s">
        <v>24</v>
      </c>
    </row>
    <row r="189" spans="1:11" ht="54" customHeight="1">
      <c r="A189" s="2" t="s">
        <v>682</v>
      </c>
      <c r="B189" s="2" t="s">
        <v>683</v>
      </c>
      <c r="C189" s="2" t="s">
        <v>17</v>
      </c>
      <c r="D189" s="2" t="s">
        <v>101</v>
      </c>
      <c r="E189" s="5" t="s">
        <v>255</v>
      </c>
      <c r="F189" s="3" t="s">
        <v>256</v>
      </c>
      <c r="G189" s="3" t="s">
        <v>34</v>
      </c>
      <c r="H189" s="2" t="s">
        <v>22</v>
      </c>
      <c r="I189" s="2" t="s">
        <v>684</v>
      </c>
      <c r="J189" s="3" t="str">
        <f>HYPERLINK("https://www.boe.es/gazeta/dias/1834/09/01/pdfs/GMD-C-1834-199.pdf#page=1","Abrir facsímil")</f>
        <v>Abrir facsímil</v>
      </c>
      <c r="K189" s="3" t="s">
        <v>24</v>
      </c>
    </row>
    <row r="190" spans="1:11" ht="54" customHeight="1">
      <c r="A190" s="2" t="s">
        <v>685</v>
      </c>
      <c r="B190" s="2" t="s">
        <v>686</v>
      </c>
      <c r="C190" s="2" t="s">
        <v>17</v>
      </c>
      <c r="D190" s="2" t="s">
        <v>101</v>
      </c>
      <c r="E190" s="5" t="s">
        <v>255</v>
      </c>
      <c r="F190" s="3" t="s">
        <v>256</v>
      </c>
      <c r="G190" s="3" t="s">
        <v>34</v>
      </c>
      <c r="H190" s="2" t="s">
        <v>35</v>
      </c>
      <c r="I190" s="2" t="s">
        <v>687</v>
      </c>
      <c r="J190" s="3" t="str">
        <f>HYPERLINK("https://www.boe.es/gazeta/dias/1834/09/01/pdfs/GMD-C-1834-199.pdf#page=1","Abrir facsímil")</f>
        <v>Abrir facsímil</v>
      </c>
      <c r="K190" s="3" t="s">
        <v>37</v>
      </c>
    </row>
    <row r="191" spans="1:11" ht="54" customHeight="1">
      <c r="A191" s="2" t="s">
        <v>688</v>
      </c>
      <c r="B191" s="2" t="s">
        <v>689</v>
      </c>
      <c r="C191" s="2" t="s">
        <v>90</v>
      </c>
      <c r="D191" s="2" t="s">
        <v>18</v>
      </c>
      <c r="E191" s="5" t="s">
        <v>690</v>
      </c>
      <c r="F191" s="3" t="s">
        <v>691</v>
      </c>
      <c r="G191" s="3" t="s">
        <v>34</v>
      </c>
      <c r="H191" s="2" t="s">
        <v>22</v>
      </c>
      <c r="I191" s="2" t="s">
        <v>692</v>
      </c>
      <c r="J191" s="3" t="str">
        <f>HYPERLINK("https://www.boe.es/gazeta/dias/1834/09/03/pdfs/GMD-C-1834-201.pdf#page=1","Abrir facsímil")</f>
        <v>Abrir facsímil</v>
      </c>
      <c r="K191" s="3" t="s">
        <v>24</v>
      </c>
    </row>
    <row r="192" spans="1:11" ht="54" customHeight="1">
      <c r="A192" s="2" t="s">
        <v>693</v>
      </c>
      <c r="B192" s="2" t="s">
        <v>693</v>
      </c>
      <c r="C192" s="2" t="s">
        <v>17</v>
      </c>
      <c r="D192" s="2" t="s">
        <v>18</v>
      </c>
      <c r="E192" s="5" t="s">
        <v>426</v>
      </c>
      <c r="F192" s="3" t="s">
        <v>694</v>
      </c>
      <c r="G192" s="3" t="s">
        <v>34</v>
      </c>
      <c r="H192" s="2" t="s">
        <v>22</v>
      </c>
      <c r="I192" s="2" t="s">
        <v>695</v>
      </c>
      <c r="J192" s="3" t="str">
        <f>HYPERLINK("https://www.boe.es/gazeta/dias/1834/10/04/pdfs/GMD-C-1834-232.pdf#page=1","Abrir facsímil")</f>
        <v>Abrir facsímil</v>
      </c>
      <c r="K192" s="3" t="s">
        <v>24</v>
      </c>
    </row>
    <row r="193" spans="1:11" ht="54" customHeight="1">
      <c r="A193" s="2" t="s">
        <v>693</v>
      </c>
      <c r="B193" s="2" t="s">
        <v>693</v>
      </c>
      <c r="C193" s="2" t="s">
        <v>46</v>
      </c>
      <c r="D193" s="2" t="s">
        <v>101</v>
      </c>
      <c r="E193" s="5" t="s">
        <v>696</v>
      </c>
      <c r="F193" s="3" t="s">
        <v>697</v>
      </c>
      <c r="G193" s="3" t="s">
        <v>34</v>
      </c>
      <c r="H193" s="2" t="s">
        <v>22</v>
      </c>
      <c r="I193" s="2" t="s">
        <v>698</v>
      </c>
      <c r="J193" s="3" t="str">
        <f>HYPERLINK("https://www.boe.es/gazeta/dias/1834/12/06/pdfs/GMD-C-1834-295.pdf#page=1","Abrir facsímil")</f>
        <v>Abrir facsímil</v>
      </c>
      <c r="K193" s="3" t="s">
        <v>24</v>
      </c>
    </row>
    <row r="194" spans="1:11" ht="54" customHeight="1">
      <c r="A194" s="2" t="s">
        <v>693</v>
      </c>
      <c r="B194" s="2" t="s">
        <v>693</v>
      </c>
      <c r="C194" s="2" t="s">
        <v>17</v>
      </c>
      <c r="D194" s="2" t="s">
        <v>18</v>
      </c>
      <c r="E194" s="5" t="s">
        <v>679</v>
      </c>
      <c r="F194" s="3" t="s">
        <v>699</v>
      </c>
      <c r="G194" s="3" t="s">
        <v>86</v>
      </c>
      <c r="H194" s="2" t="s">
        <v>22</v>
      </c>
      <c r="I194" s="2" t="s">
        <v>700</v>
      </c>
      <c r="J194" s="3" t="str">
        <f>HYPERLINK("https://www.boe.es/gazeta/dias/1834/12/10/pdfs/GMD-C-1834-299.pdf#page=2","Abrir facsímil")</f>
        <v>Abrir facsímil</v>
      </c>
      <c r="K194" s="3" t="s">
        <v>24</v>
      </c>
    </row>
    <row r="195" spans="1:11" ht="54" customHeight="1">
      <c r="A195" s="2" t="s">
        <v>693</v>
      </c>
      <c r="B195" s="2" t="s">
        <v>693</v>
      </c>
      <c r="C195" s="2" t="s">
        <v>17</v>
      </c>
      <c r="D195" s="2" t="s">
        <v>18</v>
      </c>
      <c r="E195" s="5" t="s">
        <v>492</v>
      </c>
      <c r="F195" s="3" t="s">
        <v>493</v>
      </c>
      <c r="G195" s="3" t="s">
        <v>28</v>
      </c>
      <c r="H195" s="2" t="s">
        <v>22</v>
      </c>
      <c r="I195" s="2" t="s">
        <v>701</v>
      </c>
      <c r="J195" s="3" t="str">
        <f>HYPERLINK("https://www.boe.es/gazeta/dias/1834/11/21/pdfs/GMD-C-1834-280.pdf#page=5","Abrir facsímil")</f>
        <v>Abrir facsímil</v>
      </c>
      <c r="K195" s="3" t="s">
        <v>24</v>
      </c>
    </row>
    <row r="196" spans="1:11" ht="54" customHeight="1">
      <c r="A196" s="2" t="s">
        <v>693</v>
      </c>
      <c r="B196" s="2" t="s">
        <v>693</v>
      </c>
      <c r="C196" s="2" t="s">
        <v>122</v>
      </c>
      <c r="D196" s="2" t="s">
        <v>18</v>
      </c>
      <c r="E196" s="5" t="s">
        <v>702</v>
      </c>
      <c r="F196" s="3" t="s">
        <v>703</v>
      </c>
      <c r="G196" s="3" t="s">
        <v>34</v>
      </c>
      <c r="H196" s="2" t="s">
        <v>22</v>
      </c>
      <c r="I196" s="2" t="s">
        <v>704</v>
      </c>
      <c r="J196" s="3" t="str">
        <f>HYPERLINK("https://www.boe.es/gazeta/dias/1834/11/22/pdfs/GMD-C-1834-281.pdf#page=1","Abrir facsímil")</f>
        <v>Abrir facsímil</v>
      </c>
      <c r="K196" s="3" t="s">
        <v>24</v>
      </c>
    </row>
    <row r="197" spans="1:11" ht="54" customHeight="1">
      <c r="A197" s="2" t="s">
        <v>693</v>
      </c>
      <c r="B197" s="2" t="s">
        <v>693</v>
      </c>
      <c r="C197" s="2" t="s">
        <v>17</v>
      </c>
      <c r="D197" s="2" t="s">
        <v>18</v>
      </c>
      <c r="E197" s="5" t="s">
        <v>667</v>
      </c>
      <c r="F197" s="3" t="s">
        <v>668</v>
      </c>
      <c r="G197" s="3" t="s">
        <v>34</v>
      </c>
      <c r="H197" s="2" t="s">
        <v>22</v>
      </c>
      <c r="I197" s="2" t="s">
        <v>705</v>
      </c>
      <c r="J197" s="3" t="str">
        <f>HYPERLINK("https://www.boe.es/gazeta/dias/1834/11/23/pdfs/GMD-C-1834-282.pdf#page=1","Abrir facsímil")</f>
        <v>Abrir facsímil</v>
      </c>
      <c r="K197" s="3" t="s">
        <v>24</v>
      </c>
    </row>
    <row r="198" spans="1:11" ht="54" customHeight="1">
      <c r="A198" s="2" t="s">
        <v>693</v>
      </c>
      <c r="B198" s="2" t="s">
        <v>693</v>
      </c>
      <c r="C198" s="2" t="s">
        <v>46</v>
      </c>
      <c r="D198" s="2" t="s">
        <v>101</v>
      </c>
      <c r="E198" s="5" t="s">
        <v>667</v>
      </c>
      <c r="F198" s="3" t="s">
        <v>668</v>
      </c>
      <c r="G198" s="3" t="s">
        <v>176</v>
      </c>
      <c r="H198" s="2" t="s">
        <v>22</v>
      </c>
      <c r="I198" s="2" t="s">
        <v>706</v>
      </c>
      <c r="J198" s="3" t="str">
        <f>HYPERLINK("https://www.boe.es/gazeta/dias/1834/11/23/pdfs/GMD-C-1834-282.pdf#page=6","Abrir facsímil")</f>
        <v>Abrir facsímil</v>
      </c>
      <c r="K198" s="3" t="s">
        <v>24</v>
      </c>
    </row>
    <row r="199" spans="1:11" ht="54" customHeight="1">
      <c r="A199" s="2" t="s">
        <v>693</v>
      </c>
      <c r="B199" s="2" t="s">
        <v>693</v>
      </c>
      <c r="C199" s="2" t="s">
        <v>17</v>
      </c>
      <c r="D199" s="2" t="s">
        <v>18</v>
      </c>
      <c r="E199" s="5" t="s">
        <v>707</v>
      </c>
      <c r="F199" s="3" t="s">
        <v>708</v>
      </c>
      <c r="G199" s="3" t="s">
        <v>560</v>
      </c>
      <c r="H199" s="2" t="s">
        <v>22</v>
      </c>
      <c r="I199" s="2" t="s">
        <v>709</v>
      </c>
      <c r="J199" s="3" t="str">
        <f>HYPERLINK("https://www.boe.es/gazeta/dias/1834/11/25/pdfs/GMD-C-1834-284.pdf#page=7","Abrir facsímil")</f>
        <v>Abrir facsímil</v>
      </c>
      <c r="K199" s="3" t="s">
        <v>24</v>
      </c>
    </row>
    <row r="200" spans="1:11" ht="54" customHeight="1">
      <c r="A200" s="2" t="s">
        <v>693</v>
      </c>
      <c r="B200" s="2" t="s">
        <v>693</v>
      </c>
      <c r="C200" s="2" t="s">
        <v>17</v>
      </c>
      <c r="D200" s="2" t="s">
        <v>18</v>
      </c>
      <c r="E200" s="5" t="s">
        <v>707</v>
      </c>
      <c r="F200" s="3" t="s">
        <v>708</v>
      </c>
      <c r="G200" s="3" t="s">
        <v>470</v>
      </c>
      <c r="H200" s="2" t="s">
        <v>22</v>
      </c>
      <c r="I200" s="2" t="s">
        <v>710</v>
      </c>
      <c r="J200" s="3" t="str">
        <f>HYPERLINK("https://www.boe.es/gazeta/dias/1834/11/25/pdfs/GMD-C-1834-284.pdf#page=8","Abrir facsímil")</f>
        <v>Abrir facsímil</v>
      </c>
      <c r="K200" s="3" t="s">
        <v>24</v>
      </c>
    </row>
    <row r="201" spans="1:11" ht="54" customHeight="1">
      <c r="A201" s="2" t="s">
        <v>711</v>
      </c>
      <c r="B201" s="2" t="s">
        <v>712</v>
      </c>
      <c r="C201" s="2" t="s">
        <v>17</v>
      </c>
      <c r="D201" s="2" t="s">
        <v>55</v>
      </c>
      <c r="E201" s="5" t="s">
        <v>454</v>
      </c>
      <c r="F201" s="3" t="s">
        <v>455</v>
      </c>
      <c r="G201" s="3" t="s">
        <v>34</v>
      </c>
      <c r="H201" s="2" t="s">
        <v>35</v>
      </c>
      <c r="I201" s="2" t="s">
        <v>713</v>
      </c>
      <c r="J201" s="3" t="str">
        <f>HYPERLINK("https://www.boe.es/gazeta/dias/1834/10/16/pdfs/GMD-C-1834-244.pdf#page=1","Abrir facsímil")</f>
        <v>Abrir facsímil</v>
      </c>
      <c r="K201" s="3" t="s">
        <v>37</v>
      </c>
    </row>
    <row r="202" spans="1:11" ht="54" customHeight="1">
      <c r="A202" s="2" t="s">
        <v>714</v>
      </c>
      <c r="B202" s="2" t="s">
        <v>714</v>
      </c>
      <c r="C202" s="2" t="s">
        <v>122</v>
      </c>
      <c r="D202" s="2" t="s">
        <v>101</v>
      </c>
      <c r="E202" s="5" t="s">
        <v>715</v>
      </c>
      <c r="F202" s="3" t="s">
        <v>716</v>
      </c>
      <c r="G202" s="3" t="s">
        <v>176</v>
      </c>
      <c r="H202" s="2" t="s">
        <v>22</v>
      </c>
      <c r="I202" s="2" t="s">
        <v>717</v>
      </c>
      <c r="J202" s="3" t="str">
        <f>HYPERLINK("https://www.boe.es/gazeta/dias/1834/09/17/pdfs/GMD-C-1834-215.pdf#page=6","Abrir facsímil")</f>
        <v>Abrir facsímil</v>
      </c>
      <c r="K202" s="3" t="s">
        <v>24</v>
      </c>
    </row>
    <row r="203" spans="1:11" ht="54" customHeight="1">
      <c r="A203" s="2" t="s">
        <v>714</v>
      </c>
      <c r="B203" s="2" t="s">
        <v>714</v>
      </c>
      <c r="C203" s="2" t="s">
        <v>90</v>
      </c>
      <c r="D203" s="2" t="s">
        <v>18</v>
      </c>
      <c r="E203" s="5" t="s">
        <v>251</v>
      </c>
      <c r="F203" s="3" t="s">
        <v>252</v>
      </c>
      <c r="G203" s="3" t="s">
        <v>86</v>
      </c>
      <c r="H203" s="2" t="s">
        <v>22</v>
      </c>
      <c r="I203" s="2" t="s">
        <v>718</v>
      </c>
      <c r="J203" s="3" t="str">
        <f>HYPERLINK("https://www.boe.es/gazeta/dias/1834/09/26/pdfs/GMD-C-1834-224.pdf#page=2","Abrir facsímil")</f>
        <v>Abrir facsímil</v>
      </c>
      <c r="K203" s="3" t="s">
        <v>24</v>
      </c>
    </row>
    <row r="204" spans="1:11" ht="54" customHeight="1">
      <c r="A204" s="2" t="s">
        <v>714</v>
      </c>
      <c r="B204" s="2" t="s">
        <v>714</v>
      </c>
      <c r="C204" s="2" t="s">
        <v>66</v>
      </c>
      <c r="D204" s="2" t="s">
        <v>67</v>
      </c>
      <c r="E204" s="5" t="s">
        <v>719</v>
      </c>
      <c r="F204" s="3" t="s">
        <v>720</v>
      </c>
      <c r="G204" s="3" t="s">
        <v>75</v>
      </c>
      <c r="H204" s="2" t="s">
        <v>22</v>
      </c>
      <c r="I204" s="2" t="s">
        <v>721</v>
      </c>
      <c r="J204" s="3" t="str">
        <f>HYPERLINK("https://www.boe.es/gazeta/dias/1834/04/29/pdfs/GMD-1834-68.pdf#page=4","Abrir facsímil")</f>
        <v>Abrir facsímil</v>
      </c>
      <c r="K204" s="3" t="s">
        <v>24</v>
      </c>
    </row>
    <row r="205" spans="1:11" ht="54" customHeight="1">
      <c r="A205" s="2" t="s">
        <v>722</v>
      </c>
      <c r="B205" s="2" t="s">
        <v>723</v>
      </c>
      <c r="C205" s="2" t="s">
        <v>90</v>
      </c>
      <c r="D205" s="2" t="s">
        <v>18</v>
      </c>
      <c r="E205" s="5" t="s">
        <v>724</v>
      </c>
      <c r="F205" s="3" t="s">
        <v>725</v>
      </c>
      <c r="G205" s="3" t="s">
        <v>176</v>
      </c>
      <c r="H205" s="2" t="s">
        <v>22</v>
      </c>
      <c r="I205" s="2" t="s">
        <v>726</v>
      </c>
      <c r="J205" s="3" t="str">
        <f>HYPERLINK("https://www.boe.es/gazeta/dias/1834/04/25/pdfs/GMD-1834-64.pdf#page=6","Abrir facsímil")</f>
        <v>Abrir facsímil</v>
      </c>
      <c r="K205" s="3" t="s">
        <v>24</v>
      </c>
    </row>
    <row r="206" spans="1:11" ht="54" customHeight="1">
      <c r="A206" s="2" t="s">
        <v>727</v>
      </c>
      <c r="B206" s="2" t="s">
        <v>728</v>
      </c>
      <c r="C206" s="2" t="s">
        <v>66</v>
      </c>
      <c r="D206" s="2" t="s">
        <v>67</v>
      </c>
      <c r="E206" s="5" t="s">
        <v>729</v>
      </c>
      <c r="F206" s="3" t="s">
        <v>730</v>
      </c>
      <c r="G206" s="3" t="s">
        <v>75</v>
      </c>
      <c r="H206" s="2" t="s">
        <v>35</v>
      </c>
      <c r="I206" s="2" t="s">
        <v>731</v>
      </c>
      <c r="J206" s="3" t="str">
        <f>HYPERLINK("https://www.boe.es/gazeta/dias/1834/04/13/pdfs/GMD-1834-52.pdf#page=4","Abrir facsímil")</f>
        <v>Abrir facsímil</v>
      </c>
      <c r="K206" s="3" t="s">
        <v>37</v>
      </c>
    </row>
    <row r="207" spans="1:11" ht="54" customHeight="1">
      <c r="A207" s="2" t="s">
        <v>732</v>
      </c>
      <c r="B207" s="2" t="s">
        <v>733</v>
      </c>
      <c r="C207" s="2" t="s">
        <v>17</v>
      </c>
      <c r="D207" s="2" t="s">
        <v>18</v>
      </c>
      <c r="E207" s="5" t="s">
        <v>734</v>
      </c>
      <c r="F207" s="3" t="s">
        <v>735</v>
      </c>
      <c r="G207" s="3" t="s">
        <v>21</v>
      </c>
      <c r="H207" s="2" t="s">
        <v>35</v>
      </c>
      <c r="I207" s="2" t="s">
        <v>736</v>
      </c>
      <c r="J207" s="3" t="str">
        <f>HYPERLINK("https://www.boe.es/gazeta/dias/1834/05/06/pdfs/GMD-1834-75.pdf#page=3","Abrir facsímil")</f>
        <v>Abrir facsímil</v>
      </c>
      <c r="K207" s="3" t="s">
        <v>37</v>
      </c>
    </row>
    <row r="208" spans="1:11" ht="54" customHeight="1">
      <c r="A208" s="2" t="s">
        <v>737</v>
      </c>
      <c r="B208" s="2" t="s">
        <v>738</v>
      </c>
      <c r="C208" s="2" t="s">
        <v>17</v>
      </c>
      <c r="D208" s="2" t="s">
        <v>18</v>
      </c>
      <c r="E208" s="5" t="s">
        <v>739</v>
      </c>
      <c r="F208" s="3" t="s">
        <v>740</v>
      </c>
      <c r="G208" s="3" t="s">
        <v>75</v>
      </c>
      <c r="H208" s="2" t="s">
        <v>22</v>
      </c>
      <c r="I208" s="2" t="s">
        <v>741</v>
      </c>
      <c r="J208" s="3" t="str">
        <f>HYPERLINK("https://www.boe.es/gazeta/dias/1834/03/25/pdfs/GMD-1834-37.pdf#page=4","Abrir facsímil")</f>
        <v>Abrir facsímil</v>
      </c>
      <c r="K208" s="3" t="s">
        <v>24</v>
      </c>
    </row>
    <row r="209" spans="1:11" ht="54" customHeight="1">
      <c r="A209" s="2" t="s">
        <v>742</v>
      </c>
      <c r="B209" s="2" t="s">
        <v>743</v>
      </c>
      <c r="C209" s="2" t="s">
        <v>66</v>
      </c>
      <c r="D209" s="2" t="s">
        <v>67</v>
      </c>
      <c r="E209" s="5" t="s">
        <v>729</v>
      </c>
      <c r="F209" s="3" t="s">
        <v>730</v>
      </c>
      <c r="G209" s="3" t="s">
        <v>75</v>
      </c>
      <c r="H209" s="2" t="s">
        <v>22</v>
      </c>
      <c r="I209" s="2" t="s">
        <v>744</v>
      </c>
      <c r="J209" s="3" t="str">
        <f>HYPERLINK("https://www.boe.es/gazeta/dias/1834/04/13/pdfs/GMD-1834-52.pdf#page=4","Abrir facsímil")</f>
        <v>Abrir facsímil</v>
      </c>
      <c r="K209" s="3" t="s">
        <v>24</v>
      </c>
    </row>
    <row r="210" spans="1:11" ht="54" customHeight="1">
      <c r="A210" s="2" t="s">
        <v>745</v>
      </c>
      <c r="B210" s="2" t="s">
        <v>746</v>
      </c>
      <c r="C210" s="2" t="s">
        <v>17</v>
      </c>
      <c r="D210" s="2" t="s">
        <v>18</v>
      </c>
      <c r="E210" s="5" t="s">
        <v>719</v>
      </c>
      <c r="F210" s="3" t="s">
        <v>720</v>
      </c>
      <c r="G210" s="3" t="s">
        <v>75</v>
      </c>
      <c r="H210" s="2" t="s">
        <v>22</v>
      </c>
      <c r="I210" s="2" t="s">
        <v>747</v>
      </c>
      <c r="J210" s="3" t="str">
        <f>HYPERLINK("https://www.boe.es/gazeta/dias/1834/04/29/pdfs/GMD-1834-68.pdf#page=4","Abrir facsímil")</f>
        <v>Abrir facsímil</v>
      </c>
      <c r="K210" s="3" t="s">
        <v>24</v>
      </c>
    </row>
    <row r="211" spans="1:11" ht="54" customHeight="1">
      <c r="A211" s="2" t="s">
        <v>748</v>
      </c>
      <c r="B211" s="2" t="s">
        <v>749</v>
      </c>
      <c r="C211" s="2" t="s">
        <v>17</v>
      </c>
      <c r="D211" s="2" t="s">
        <v>18</v>
      </c>
      <c r="E211" s="5" t="s">
        <v>734</v>
      </c>
      <c r="F211" s="3" t="s">
        <v>735</v>
      </c>
      <c r="G211" s="3" t="s">
        <v>21</v>
      </c>
      <c r="H211" s="2" t="s">
        <v>22</v>
      </c>
      <c r="I211" s="2" t="s">
        <v>750</v>
      </c>
      <c r="J211" s="3" t="str">
        <f>HYPERLINK("https://www.boe.es/gazeta/dias/1834/05/06/pdfs/GMD-1834-75.pdf#page=3","Abrir facsímil")</f>
        <v>Abrir facsímil</v>
      </c>
      <c r="K211" s="3" t="s">
        <v>24</v>
      </c>
    </row>
    <row r="212" spans="1:11" ht="54" customHeight="1">
      <c r="A212" s="2" t="s">
        <v>751</v>
      </c>
      <c r="B212" s="2" t="s">
        <v>752</v>
      </c>
      <c r="C212" s="2" t="s">
        <v>17</v>
      </c>
      <c r="D212" s="2" t="s">
        <v>18</v>
      </c>
      <c r="E212" s="5" t="s">
        <v>753</v>
      </c>
      <c r="F212" s="3" t="s">
        <v>754</v>
      </c>
      <c r="G212" s="3" t="s">
        <v>176</v>
      </c>
      <c r="H212" s="2" t="s">
        <v>22</v>
      </c>
      <c r="I212" s="2" t="s">
        <v>755</v>
      </c>
      <c r="J212" s="3" t="str">
        <f>HYPERLINK("https://www.boe.es/gazeta/dias/1834/04/21/pdfs/GMD-1834-60.pdf#page=6","Abrir facsímil")</f>
        <v>Abrir facsímil</v>
      </c>
      <c r="K212" s="3" t="s">
        <v>24</v>
      </c>
    </row>
    <row r="213" spans="1:11" ht="54" customHeight="1">
      <c r="A213" s="2" t="s">
        <v>756</v>
      </c>
      <c r="B213" s="2" t="s">
        <v>757</v>
      </c>
      <c r="C213" s="2" t="s">
        <v>90</v>
      </c>
      <c r="D213" s="2" t="s">
        <v>101</v>
      </c>
      <c r="E213" s="5" t="s">
        <v>758</v>
      </c>
      <c r="F213" s="3" t="s">
        <v>759</v>
      </c>
      <c r="G213" s="3" t="s">
        <v>34</v>
      </c>
      <c r="H213" s="2" t="s">
        <v>22</v>
      </c>
      <c r="I213" s="2" t="s">
        <v>760</v>
      </c>
      <c r="J213" s="3" t="str">
        <f>HYPERLINK("https://www.boe.es/gazeta/dias/1834/01/04/pdfs/GMD-1834-3.pdf#page=1","Abrir facsímil")</f>
        <v>Abrir facsímil</v>
      </c>
      <c r="K213" s="3" t="s">
        <v>24</v>
      </c>
    </row>
    <row r="214" spans="1:11" ht="54" customHeight="1">
      <c r="A214" s="2" t="s">
        <v>761</v>
      </c>
      <c r="B214" s="2" t="s">
        <v>761</v>
      </c>
      <c r="C214" s="2" t="s">
        <v>17</v>
      </c>
      <c r="D214" s="2" t="s">
        <v>18</v>
      </c>
      <c r="E214" s="5" t="s">
        <v>762</v>
      </c>
      <c r="F214" s="3" t="s">
        <v>763</v>
      </c>
      <c r="G214" s="3" t="s">
        <v>21</v>
      </c>
      <c r="H214" s="2" t="s">
        <v>22</v>
      </c>
      <c r="I214" s="2" t="s">
        <v>764</v>
      </c>
      <c r="J214" s="3" t="str">
        <f>HYPERLINK("https://www.boe.es/gazeta/dias/1834/11/07/pdfs/GMD-1834-266.pdf#page=3","Abrir facsímil")</f>
        <v>Abrir facsímil</v>
      </c>
      <c r="K214" s="3" t="s">
        <v>24</v>
      </c>
    </row>
    <row r="215" spans="1:11" ht="54" customHeight="1">
      <c r="A215" s="2" t="s">
        <v>765</v>
      </c>
      <c r="B215" s="2" t="s">
        <v>765</v>
      </c>
      <c r="C215" s="2" t="s">
        <v>17</v>
      </c>
      <c r="D215" s="2" t="s">
        <v>18</v>
      </c>
      <c r="E215" s="5" t="s">
        <v>441</v>
      </c>
      <c r="F215" s="3" t="s">
        <v>442</v>
      </c>
      <c r="G215" s="3" t="s">
        <v>75</v>
      </c>
      <c r="H215" s="2" t="s">
        <v>22</v>
      </c>
      <c r="I215" s="2" t="s">
        <v>766</v>
      </c>
      <c r="J215" s="3" t="str">
        <f>HYPERLINK("https://www.boe.es/gazeta/dias/1834/11/10/pdfs/GMD-1834-269.pdf#page=4","Abrir facsímil")</f>
        <v>Abrir facsímil</v>
      </c>
      <c r="K215" s="3" t="s">
        <v>24</v>
      </c>
    </row>
    <row r="216" spans="1:11" ht="54" customHeight="1">
      <c r="A216" s="2" t="s">
        <v>767</v>
      </c>
      <c r="B216" s="2" t="s">
        <v>768</v>
      </c>
      <c r="C216" s="2" t="s">
        <v>17</v>
      </c>
      <c r="D216" s="2" t="s">
        <v>40</v>
      </c>
      <c r="E216" s="5" t="s">
        <v>739</v>
      </c>
      <c r="F216" s="3" t="s">
        <v>740</v>
      </c>
      <c r="G216" s="3" t="s">
        <v>75</v>
      </c>
      <c r="H216" s="2" t="s">
        <v>22</v>
      </c>
      <c r="I216" s="2" t="s">
        <v>769</v>
      </c>
      <c r="J216" s="3" t="str">
        <f>HYPERLINK("https://www.boe.es/gazeta/dias/1834/03/25/pdfs/GMD-1834-37.pdf#page=4","Abrir facsímil")</f>
        <v>Abrir facsímil</v>
      </c>
      <c r="K216" s="3" t="s">
        <v>24</v>
      </c>
    </row>
    <row r="217" spans="1:11" ht="54" customHeight="1">
      <c r="A217" s="2" t="s">
        <v>770</v>
      </c>
      <c r="B217" s="2" t="s">
        <v>771</v>
      </c>
      <c r="C217" s="2" t="s">
        <v>17</v>
      </c>
      <c r="D217" s="2" t="s">
        <v>18</v>
      </c>
      <c r="E217" s="5" t="s">
        <v>772</v>
      </c>
      <c r="F217" s="3" t="s">
        <v>773</v>
      </c>
      <c r="G217" s="3" t="s">
        <v>21</v>
      </c>
      <c r="H217" s="2" t="s">
        <v>22</v>
      </c>
      <c r="I217" s="2" t="s">
        <v>774</v>
      </c>
      <c r="J217" s="3" t="str">
        <f>HYPERLINK("https://www.boe.es/gazeta/dias/1834/09/18/pdfs/GMD-1834-216.pdf#page=3","Abrir facsímil")</f>
        <v>Abrir facsímil</v>
      </c>
      <c r="K217" s="3" t="s">
        <v>24</v>
      </c>
    </row>
    <row r="218" spans="1:11" ht="54" customHeight="1">
      <c r="A218" s="2" t="s">
        <v>775</v>
      </c>
      <c r="B218" s="2" t="s">
        <v>776</v>
      </c>
      <c r="C218" s="2" t="s">
        <v>90</v>
      </c>
      <c r="D218" s="2" t="s">
        <v>101</v>
      </c>
      <c r="E218" s="5" t="s">
        <v>777</v>
      </c>
      <c r="F218" s="3" t="s">
        <v>778</v>
      </c>
      <c r="G218" s="3" t="s">
        <v>21</v>
      </c>
      <c r="H218" s="2" t="s">
        <v>22</v>
      </c>
      <c r="I218" s="2" t="s">
        <v>779</v>
      </c>
      <c r="J218" s="3" t="str">
        <f>HYPERLINK("https://www.boe.es/gazeta/dias/1834/10/29/pdfs/GMD-1834-257.pdf#page=3","Abrir facsímil")</f>
        <v>Abrir facsímil</v>
      </c>
      <c r="K218" s="3" t="s">
        <v>24</v>
      </c>
    </row>
    <row r="219" spans="1:11" ht="54" customHeight="1">
      <c r="A219" s="2" t="s">
        <v>780</v>
      </c>
      <c r="B219" s="2" t="s">
        <v>781</v>
      </c>
      <c r="C219" s="2" t="s">
        <v>17</v>
      </c>
      <c r="D219" s="2" t="s">
        <v>18</v>
      </c>
      <c r="E219" s="5" t="s">
        <v>563</v>
      </c>
      <c r="F219" s="3" t="s">
        <v>564</v>
      </c>
      <c r="G219" s="3" t="s">
        <v>34</v>
      </c>
      <c r="H219" s="2" t="s">
        <v>22</v>
      </c>
      <c r="I219" s="2" t="s">
        <v>782</v>
      </c>
      <c r="J219" s="3" t="str">
        <f>HYPERLINK("https://www.boe.es/gazeta/dias/1834/04/19/pdfs/GMD-1834-58.pdf#page=1","Abrir facsímil")</f>
        <v>Abrir facsímil</v>
      </c>
      <c r="K219" s="3" t="s">
        <v>24</v>
      </c>
    </row>
    <row r="220" spans="1:11" ht="54" customHeight="1">
      <c r="A220" s="2" t="s">
        <v>783</v>
      </c>
      <c r="B220" s="2" t="s">
        <v>784</v>
      </c>
      <c r="C220" s="2" t="s">
        <v>17</v>
      </c>
      <c r="D220" s="2" t="s">
        <v>18</v>
      </c>
      <c r="E220" s="5" t="s">
        <v>785</v>
      </c>
      <c r="F220" s="3" t="s">
        <v>786</v>
      </c>
      <c r="G220" s="3" t="s">
        <v>34</v>
      </c>
      <c r="H220" s="2" t="s">
        <v>22</v>
      </c>
      <c r="I220" s="2" t="s">
        <v>787</v>
      </c>
      <c r="J220" s="3" t="str">
        <f>HYPERLINK("https://www.boe.es/gazeta/dias/1834/02/11/pdfs/GMD-1834-19.pdf#page=1","Abrir facsímil")</f>
        <v>Abrir facsímil</v>
      </c>
      <c r="K220" s="3" t="s">
        <v>24</v>
      </c>
    </row>
    <row r="221" spans="1:11" ht="54" customHeight="1">
      <c r="A221" s="2" t="s">
        <v>788</v>
      </c>
      <c r="B221" s="2" t="s">
        <v>788</v>
      </c>
      <c r="C221" s="2" t="s">
        <v>66</v>
      </c>
      <c r="D221" s="2" t="s">
        <v>67</v>
      </c>
      <c r="E221" s="5" t="s">
        <v>441</v>
      </c>
      <c r="F221" s="3" t="s">
        <v>442</v>
      </c>
      <c r="G221" s="3" t="s">
        <v>21</v>
      </c>
      <c r="H221" s="2" t="s">
        <v>22</v>
      </c>
      <c r="I221" s="2" t="s">
        <v>789</v>
      </c>
      <c r="J221" s="3" t="str">
        <f>HYPERLINK("https://www.boe.es/gazeta/dias/1834/11/10/pdfs/GMD-1834-269.pdf#page=3","Abrir facsímil")</f>
        <v>Abrir facsímil</v>
      </c>
      <c r="K221" s="3" t="s">
        <v>24</v>
      </c>
    </row>
    <row r="222" spans="1:11" ht="54" customHeight="1">
      <c r="A222" s="2" t="s">
        <v>788</v>
      </c>
      <c r="B222" s="2" t="s">
        <v>788</v>
      </c>
      <c r="C222" s="2" t="s">
        <v>17</v>
      </c>
      <c r="D222" s="2" t="s">
        <v>18</v>
      </c>
      <c r="E222" s="5" t="s">
        <v>441</v>
      </c>
      <c r="F222" s="3" t="s">
        <v>442</v>
      </c>
      <c r="G222" s="3" t="s">
        <v>75</v>
      </c>
      <c r="H222" s="2" t="s">
        <v>22</v>
      </c>
      <c r="I222" s="2" t="s">
        <v>790</v>
      </c>
      <c r="J222" s="3" t="str">
        <f>HYPERLINK("https://www.boe.es/gazeta/dias/1834/11/10/pdfs/GMD-1834-269.pdf#page=4","Abrir facsímil")</f>
        <v>Abrir facsímil</v>
      </c>
      <c r="K222" s="3" t="s">
        <v>24</v>
      </c>
    </row>
    <row r="223" spans="1:11" ht="54" customHeight="1">
      <c r="A223" s="2" t="s">
        <v>791</v>
      </c>
      <c r="B223" s="2" t="s">
        <v>792</v>
      </c>
      <c r="C223" s="2" t="s">
        <v>122</v>
      </c>
      <c r="D223" s="2" t="s">
        <v>18</v>
      </c>
      <c r="E223" s="5" t="s">
        <v>793</v>
      </c>
      <c r="F223" s="3" t="s">
        <v>794</v>
      </c>
      <c r="G223" s="3" t="s">
        <v>86</v>
      </c>
      <c r="H223" s="2" t="s">
        <v>22</v>
      </c>
      <c r="I223" s="2" t="s">
        <v>795</v>
      </c>
      <c r="J223" s="3" t="str">
        <f>HYPERLINK("https://www.boe.es/gazeta/dias/1834/10/08/pdfs/GMD-1834-236.pdf#page=2","Abrir facsímil")</f>
        <v>Abrir facsímil</v>
      </c>
      <c r="K223" s="3" t="s">
        <v>24</v>
      </c>
    </row>
    <row r="224" spans="1:11" ht="54" customHeight="1">
      <c r="A224" s="2" t="s">
        <v>796</v>
      </c>
      <c r="B224" s="2" t="s">
        <v>796</v>
      </c>
      <c r="C224" s="2" t="s">
        <v>17</v>
      </c>
      <c r="D224" s="2" t="s">
        <v>18</v>
      </c>
      <c r="E224" s="5" t="s">
        <v>627</v>
      </c>
      <c r="F224" s="3" t="s">
        <v>628</v>
      </c>
      <c r="G224" s="3" t="s">
        <v>86</v>
      </c>
      <c r="H224" s="2" t="s">
        <v>22</v>
      </c>
      <c r="I224" s="2" t="s">
        <v>797</v>
      </c>
      <c r="J224" s="3" t="str">
        <f>HYPERLINK("https://www.boe.es/gazeta/dias/1834/09/22/pdfs/GMD-C-1834-220.pdf#page=2","Abrir facsímil")</f>
        <v>Abrir facsímil</v>
      </c>
      <c r="K224" s="3" t="s">
        <v>24</v>
      </c>
    </row>
    <row r="225" spans="1:11" ht="54" customHeight="1">
      <c r="A225" s="2" t="s">
        <v>798</v>
      </c>
      <c r="B225" s="2" t="s">
        <v>799</v>
      </c>
      <c r="C225" s="2" t="s">
        <v>17</v>
      </c>
      <c r="D225" s="2" t="s">
        <v>40</v>
      </c>
      <c r="E225" s="5" t="s">
        <v>343</v>
      </c>
      <c r="F225" s="3" t="s">
        <v>344</v>
      </c>
      <c r="G225" s="3" t="s">
        <v>21</v>
      </c>
      <c r="H225" s="2" t="s">
        <v>22</v>
      </c>
      <c r="I225" s="2" t="s">
        <v>800</v>
      </c>
      <c r="J225" s="3" t="str">
        <f>HYPERLINK("https://www.boe.es/gazeta/dias/1834/01/14/pdfs/GMD-1834-7.pdf#page=3","Abrir facsímil")</f>
        <v>Abrir facsímil</v>
      </c>
      <c r="K225" s="3" t="s">
        <v>24</v>
      </c>
    </row>
    <row r="226" spans="1:11" ht="54" customHeight="1">
      <c r="A226" s="2" t="s">
        <v>801</v>
      </c>
      <c r="B226" s="2" t="s">
        <v>802</v>
      </c>
      <c r="C226" s="2" t="s">
        <v>17</v>
      </c>
      <c r="D226" s="2" t="s">
        <v>18</v>
      </c>
      <c r="E226" s="5" t="s">
        <v>803</v>
      </c>
      <c r="F226" s="3" t="s">
        <v>804</v>
      </c>
      <c r="G226" s="3" t="s">
        <v>75</v>
      </c>
      <c r="H226" s="2" t="s">
        <v>22</v>
      </c>
      <c r="I226" s="2" t="s">
        <v>805</v>
      </c>
      <c r="J226" s="3" t="str">
        <f>HYPERLINK("https://www.boe.es/gazeta/dias/1834/03/29/pdfs/GMD-1834-39.pdf#page=4","Abrir facsímil")</f>
        <v>Abrir facsímil</v>
      </c>
      <c r="K226" s="3" t="s">
        <v>24</v>
      </c>
    </row>
    <row r="227" spans="1:11" ht="54" customHeight="1">
      <c r="A227" s="2" t="s">
        <v>806</v>
      </c>
      <c r="B227" s="2" t="s">
        <v>807</v>
      </c>
      <c r="C227" s="2" t="s">
        <v>17</v>
      </c>
      <c r="D227" s="2" t="s">
        <v>18</v>
      </c>
      <c r="E227" s="5" t="s">
        <v>808</v>
      </c>
      <c r="F227" s="3" t="s">
        <v>809</v>
      </c>
      <c r="G227" s="3" t="s">
        <v>75</v>
      </c>
      <c r="H227" s="2" t="s">
        <v>35</v>
      </c>
      <c r="I227" s="2" t="s">
        <v>810</v>
      </c>
      <c r="J227" s="3" t="str">
        <f>HYPERLINK("https://www.boe.es/gazeta/dias/1834/10/11/pdfs/GMD-1834-239.pdf#page=4","Abrir facsímil")</f>
        <v>Abrir facsímil</v>
      </c>
      <c r="K227" s="3" t="s">
        <v>37</v>
      </c>
    </row>
    <row r="228" spans="1:11" ht="54" customHeight="1">
      <c r="A228" s="2" t="s">
        <v>811</v>
      </c>
      <c r="B228" s="2" t="s">
        <v>812</v>
      </c>
      <c r="C228" s="2" t="s">
        <v>122</v>
      </c>
      <c r="D228" s="2" t="s">
        <v>18</v>
      </c>
      <c r="E228" s="5" t="s">
        <v>813</v>
      </c>
      <c r="F228" s="3" t="s">
        <v>814</v>
      </c>
      <c r="G228" s="3" t="s">
        <v>21</v>
      </c>
      <c r="H228" s="2" t="s">
        <v>22</v>
      </c>
      <c r="I228" s="2" t="s">
        <v>815</v>
      </c>
      <c r="J228" s="3" t="str">
        <f>HYPERLINK("https://www.boe.es/gazeta/dias/1834/08/08/pdfs/GMD-1834-173.pdf#page=3","Abrir facsímil")</f>
        <v>Abrir facsímil</v>
      </c>
      <c r="K228" s="3" t="s">
        <v>24</v>
      </c>
    </row>
    <row r="229" spans="1:11" ht="54" customHeight="1">
      <c r="A229" s="2" t="s">
        <v>816</v>
      </c>
      <c r="B229" s="2" t="s">
        <v>817</v>
      </c>
      <c r="C229" s="2" t="s">
        <v>122</v>
      </c>
      <c r="D229" s="2" t="s">
        <v>18</v>
      </c>
      <c r="E229" s="5" t="s">
        <v>26</v>
      </c>
      <c r="F229" s="3" t="s">
        <v>818</v>
      </c>
      <c r="G229" s="3" t="s">
        <v>21</v>
      </c>
      <c r="H229" s="2" t="s">
        <v>22</v>
      </c>
      <c r="I229" s="2" t="s">
        <v>819</v>
      </c>
      <c r="J229" s="3" t="str">
        <f>HYPERLINK("https://www.boe.es/gazeta/dias/1834/10/19/pdfs/GMD-1834-247.pdf#page=3","Abrir facsímil")</f>
        <v>Abrir facsímil</v>
      </c>
      <c r="K229" s="3" t="s">
        <v>24</v>
      </c>
    </row>
    <row r="230" spans="1:11" ht="54" customHeight="1">
      <c r="A230" s="2" t="s">
        <v>820</v>
      </c>
      <c r="B230" s="2" t="s">
        <v>821</v>
      </c>
      <c r="C230" s="2" t="s">
        <v>17</v>
      </c>
      <c r="D230" s="2" t="s">
        <v>18</v>
      </c>
      <c r="E230" s="5" t="s">
        <v>808</v>
      </c>
      <c r="F230" s="3" t="s">
        <v>809</v>
      </c>
      <c r="G230" s="3" t="s">
        <v>75</v>
      </c>
      <c r="H230" s="2" t="s">
        <v>22</v>
      </c>
      <c r="I230" s="2" t="s">
        <v>822</v>
      </c>
      <c r="J230" s="3" t="str">
        <f>HYPERLINK("https://www.boe.es/gazeta/dias/1834/10/11/pdfs/GMD-1834-239.pdf#page=4","Abrir facsímil")</f>
        <v>Abrir facsímil</v>
      </c>
      <c r="K230" s="3" t="s">
        <v>24</v>
      </c>
    </row>
    <row r="231" spans="1:11" ht="54" customHeight="1">
      <c r="A231" s="2" t="s">
        <v>820</v>
      </c>
      <c r="B231" s="2" t="s">
        <v>821</v>
      </c>
      <c r="C231" s="2" t="s">
        <v>17</v>
      </c>
      <c r="D231" s="2" t="s">
        <v>40</v>
      </c>
      <c r="E231" s="5" t="s">
        <v>823</v>
      </c>
      <c r="F231" s="3" t="s">
        <v>824</v>
      </c>
      <c r="G231" s="3" t="s">
        <v>176</v>
      </c>
      <c r="H231" s="2" t="s">
        <v>22</v>
      </c>
      <c r="I231" s="2" t="s">
        <v>825</v>
      </c>
      <c r="J231" s="3" t="str">
        <f>HYPERLINK("https://www.boe.es/gazeta/dias/1834/07/23/pdfs/GMD-1834-156.pdf#page=6","Abrir facsímil")</f>
        <v>Abrir facsímil</v>
      </c>
      <c r="K231" s="3" t="s">
        <v>24</v>
      </c>
    </row>
    <row r="232" spans="1:11" ht="54" customHeight="1">
      <c r="A232" s="2" t="s">
        <v>826</v>
      </c>
      <c r="B232" s="2" t="s">
        <v>827</v>
      </c>
      <c r="C232" s="2" t="s">
        <v>17</v>
      </c>
      <c r="D232" s="2" t="s">
        <v>18</v>
      </c>
      <c r="E232" s="5" t="s">
        <v>61</v>
      </c>
      <c r="F232" s="3" t="s">
        <v>205</v>
      </c>
      <c r="G232" s="3" t="s">
        <v>21</v>
      </c>
      <c r="H232" s="2" t="s">
        <v>22</v>
      </c>
      <c r="I232" s="2" t="s">
        <v>828</v>
      </c>
      <c r="J232" s="3" t="str">
        <f>HYPERLINK("https://www.boe.es/gazeta/dias/1834/06/08/pdfs/GMD-1834-110.pdf#page=3","Abrir facsímil")</f>
        <v>Abrir facsímil</v>
      </c>
      <c r="K232" s="3" t="s">
        <v>24</v>
      </c>
    </row>
    <row r="233" spans="1:11" ht="54" customHeight="1">
      <c r="A233" s="2" t="s">
        <v>829</v>
      </c>
      <c r="B233" s="2" t="s">
        <v>830</v>
      </c>
      <c r="C233" s="2" t="s">
        <v>17</v>
      </c>
      <c r="D233" s="2" t="s">
        <v>18</v>
      </c>
      <c r="E233" s="5" t="s">
        <v>117</v>
      </c>
      <c r="F233" s="3" t="s">
        <v>118</v>
      </c>
      <c r="G233" s="3" t="s">
        <v>75</v>
      </c>
      <c r="H233" s="2" t="s">
        <v>22</v>
      </c>
      <c r="I233" s="2" t="s">
        <v>831</v>
      </c>
      <c r="J233" s="3" t="str">
        <f>HYPERLINK("https://www.boe.es/gazeta/dias/1834/07/21/pdfs/GMD-1834-154.pdf#page=4","Abrir facsímil")</f>
        <v>Abrir facsímil</v>
      </c>
      <c r="K233" s="3" t="s">
        <v>24</v>
      </c>
    </row>
    <row r="234" spans="1:11" ht="54" customHeight="1">
      <c r="A234" s="2" t="s">
        <v>832</v>
      </c>
      <c r="B234" s="2" t="s">
        <v>832</v>
      </c>
      <c r="C234" s="2" t="s">
        <v>17</v>
      </c>
      <c r="D234" s="2" t="s">
        <v>40</v>
      </c>
      <c r="E234" s="5" t="s">
        <v>833</v>
      </c>
      <c r="F234" s="3" t="s">
        <v>834</v>
      </c>
      <c r="G234" s="3" t="s">
        <v>21</v>
      </c>
      <c r="H234" s="2" t="s">
        <v>22</v>
      </c>
      <c r="I234" s="2" t="s">
        <v>835</v>
      </c>
      <c r="J234" s="3" t="str">
        <f>HYPERLINK("https://www.boe.es/gazeta/dias/1834/04/24/pdfs/GMD-1834-63.pdf#page=3","Abrir facsímil")</f>
        <v>Abrir facsímil</v>
      </c>
      <c r="K234" s="3" t="s">
        <v>24</v>
      </c>
    </row>
    <row r="235" spans="1:11" ht="54" customHeight="1">
      <c r="A235" s="2" t="s">
        <v>836</v>
      </c>
      <c r="B235" s="2" t="s">
        <v>836</v>
      </c>
      <c r="C235" s="2" t="s">
        <v>46</v>
      </c>
      <c r="D235" s="2" t="s">
        <v>18</v>
      </c>
      <c r="E235" s="5" t="s">
        <v>571</v>
      </c>
      <c r="F235" s="3" t="s">
        <v>572</v>
      </c>
      <c r="G235" s="3" t="s">
        <v>34</v>
      </c>
      <c r="H235" s="2" t="s">
        <v>22</v>
      </c>
      <c r="I235" s="2" t="s">
        <v>837</v>
      </c>
      <c r="J235" s="3" t="str">
        <f>HYPERLINK("https://www.boe.es/gazeta/dias/1834/09/04/pdfs/GMD-1834-202.pdf#page=1","Abrir facsímil")</f>
        <v>Abrir facsímil</v>
      </c>
      <c r="K235" s="3" t="s">
        <v>24</v>
      </c>
    </row>
    <row r="236" spans="1:11" ht="54" customHeight="1">
      <c r="A236" s="2" t="s">
        <v>836</v>
      </c>
      <c r="B236" s="2" t="s">
        <v>836</v>
      </c>
      <c r="C236" s="2" t="s">
        <v>17</v>
      </c>
      <c r="D236" s="2" t="s">
        <v>18</v>
      </c>
      <c r="E236" s="5" t="s">
        <v>838</v>
      </c>
      <c r="F236" s="3" t="s">
        <v>839</v>
      </c>
      <c r="G236" s="3" t="s">
        <v>21</v>
      </c>
      <c r="H236" s="2" t="s">
        <v>22</v>
      </c>
      <c r="I236" s="2" t="s">
        <v>840</v>
      </c>
      <c r="J236" s="3" t="str">
        <f>HYPERLINK("https://www.boe.es/gazeta/dias/1834/07/18/pdfs/GMD-1834-151.pdf#page=3","Abrir facsímil")</f>
        <v>Abrir facsímil</v>
      </c>
      <c r="K236" s="3" t="s">
        <v>24</v>
      </c>
    </row>
    <row r="237" spans="1:11" ht="54" customHeight="1">
      <c r="A237" s="2" t="s">
        <v>836</v>
      </c>
      <c r="B237" s="2" t="s">
        <v>836</v>
      </c>
      <c r="C237" s="2" t="s">
        <v>46</v>
      </c>
      <c r="D237" s="2" t="s">
        <v>101</v>
      </c>
      <c r="E237" s="5" t="s">
        <v>658</v>
      </c>
      <c r="F237" s="3" t="s">
        <v>659</v>
      </c>
      <c r="G237" s="3" t="s">
        <v>34</v>
      </c>
      <c r="H237" s="2" t="s">
        <v>22</v>
      </c>
      <c r="I237" s="2" t="s">
        <v>841</v>
      </c>
      <c r="J237" s="3" t="str">
        <f>HYPERLINK("https://www.boe.es/gazeta/dias/1834/05/26/pdfs/GMD-1834-95.pdf#page=1","Abrir facsímil")</f>
        <v>Abrir facsímil</v>
      </c>
      <c r="K237" s="3" t="s">
        <v>24</v>
      </c>
    </row>
    <row r="238" spans="1:11" ht="54" customHeight="1">
      <c r="A238" s="2" t="s">
        <v>842</v>
      </c>
      <c r="B238" s="2" t="s">
        <v>843</v>
      </c>
      <c r="C238" s="2" t="s">
        <v>17</v>
      </c>
      <c r="D238" s="2" t="s">
        <v>18</v>
      </c>
      <c r="E238" s="5" t="s">
        <v>844</v>
      </c>
      <c r="F238" s="3" t="s">
        <v>845</v>
      </c>
      <c r="G238" s="3" t="s">
        <v>75</v>
      </c>
      <c r="H238" s="2" t="s">
        <v>35</v>
      </c>
      <c r="I238" s="2" t="s">
        <v>846</v>
      </c>
      <c r="J238" s="3" t="str">
        <f>HYPERLINK("https://www.boe.es/gazeta/dias/1834/03/13/pdfs/GMD-1834-32.pdf#page=4","Abrir facsímil")</f>
        <v>Abrir facsímil</v>
      </c>
      <c r="K238" s="3" t="s">
        <v>37</v>
      </c>
    </row>
    <row r="239" spans="1:11" ht="54" customHeight="1">
      <c r="A239" s="2" t="s">
        <v>847</v>
      </c>
      <c r="B239" s="2" t="s">
        <v>848</v>
      </c>
      <c r="C239" s="2" t="s">
        <v>17</v>
      </c>
      <c r="D239" s="2" t="s">
        <v>18</v>
      </c>
      <c r="E239" s="5" t="s">
        <v>849</v>
      </c>
      <c r="F239" s="3" t="s">
        <v>850</v>
      </c>
      <c r="G239" s="3" t="s">
        <v>75</v>
      </c>
      <c r="H239" s="2" t="s">
        <v>22</v>
      </c>
      <c r="I239" s="2" t="s">
        <v>851</v>
      </c>
      <c r="J239" s="3" t="str">
        <f>HYPERLINK("https://www.boe.es/gazeta/dias/1834/06/21/pdfs/GMD-1834-124.pdf#page=4","Abrir facsímil")</f>
        <v>Abrir facsímil</v>
      </c>
      <c r="K239" s="3" t="s">
        <v>24</v>
      </c>
    </row>
    <row r="240" spans="1:11" ht="54" customHeight="1">
      <c r="A240" s="2" t="s">
        <v>852</v>
      </c>
      <c r="B240" s="2" t="s">
        <v>853</v>
      </c>
      <c r="C240" s="2" t="s">
        <v>66</v>
      </c>
      <c r="D240" s="2" t="s">
        <v>67</v>
      </c>
      <c r="E240" s="5" t="s">
        <v>696</v>
      </c>
      <c r="F240" s="3" t="s">
        <v>854</v>
      </c>
      <c r="G240" s="3" t="s">
        <v>21</v>
      </c>
      <c r="H240" s="2" t="s">
        <v>22</v>
      </c>
      <c r="I240" s="2" t="s">
        <v>855</v>
      </c>
      <c r="J240" s="3" t="str">
        <f>HYPERLINK("https://www.boe.es/gazeta/dias/1834/12/06/pdfs/GMD-1834-295.pdf#page=3","Abrir facsímil")</f>
        <v>Abrir facsímil</v>
      </c>
      <c r="K240" s="3" t="s">
        <v>24</v>
      </c>
    </row>
    <row r="241" spans="1:11" ht="54" customHeight="1">
      <c r="A241" s="2" t="s">
        <v>856</v>
      </c>
      <c r="B241" s="2" t="s">
        <v>856</v>
      </c>
      <c r="C241" s="2" t="s">
        <v>857</v>
      </c>
      <c r="D241" s="2" t="s">
        <v>18</v>
      </c>
      <c r="E241" s="5" t="s">
        <v>330</v>
      </c>
      <c r="F241" s="3" t="s">
        <v>331</v>
      </c>
      <c r="G241" s="3" t="s">
        <v>34</v>
      </c>
      <c r="H241" s="2" t="s">
        <v>22</v>
      </c>
      <c r="I241" s="2" t="s">
        <v>858</v>
      </c>
      <c r="J241" s="3" t="str">
        <f>HYPERLINK("https://www.boe.es/gazeta/dias/1834/12/03/pdfs/GMD-1834-292.pdf#page=1","Abrir facsímil")</f>
        <v>Abrir facsímil</v>
      </c>
      <c r="K241" s="3" t="s">
        <v>24</v>
      </c>
    </row>
    <row r="242" spans="1:11" ht="54" customHeight="1">
      <c r="A242" s="2" t="s">
        <v>859</v>
      </c>
      <c r="B242" s="2" t="s">
        <v>859</v>
      </c>
      <c r="C242" s="2" t="s">
        <v>17</v>
      </c>
      <c r="D242" s="2" t="s">
        <v>18</v>
      </c>
      <c r="E242" s="5" t="s">
        <v>860</v>
      </c>
      <c r="F242" s="3" t="s">
        <v>861</v>
      </c>
      <c r="G242" s="3" t="s">
        <v>86</v>
      </c>
      <c r="H242" s="2" t="s">
        <v>22</v>
      </c>
      <c r="I242" s="2" t="s">
        <v>862</v>
      </c>
      <c r="J242" s="3" t="str">
        <f>HYPERLINK("https://www.boe.es/gazeta/dias/1834/02/08/pdfs/GMD-1834-18.pdf#page=2","Abrir facsímil")</f>
        <v>Abrir facsímil</v>
      </c>
      <c r="K242" s="3" t="s">
        <v>24</v>
      </c>
    </row>
    <row r="243" spans="1:11" ht="54" customHeight="1">
      <c r="A243" s="2" t="s">
        <v>859</v>
      </c>
      <c r="B243" s="2" t="s">
        <v>859</v>
      </c>
      <c r="C243" s="2" t="s">
        <v>66</v>
      </c>
      <c r="D243" s="2" t="s">
        <v>67</v>
      </c>
      <c r="E243" s="5" t="s">
        <v>863</v>
      </c>
      <c r="F243" s="3" t="s">
        <v>864</v>
      </c>
      <c r="G243" s="3" t="s">
        <v>21</v>
      </c>
      <c r="H243" s="2" t="s">
        <v>22</v>
      </c>
      <c r="I243" s="2" t="s">
        <v>865</v>
      </c>
      <c r="J243" s="3" t="str">
        <f>HYPERLINK("https://www.boe.es/gazeta/dias/1834/09/15/pdfs/GMD-1834-213.pdf#page=3","Abrir facsímil")</f>
        <v>Abrir facsímil</v>
      </c>
      <c r="K243" s="3" t="s">
        <v>24</v>
      </c>
    </row>
    <row r="244" spans="1:11" ht="54" customHeight="1">
      <c r="A244" s="2" t="s">
        <v>859</v>
      </c>
      <c r="B244" s="2" t="s">
        <v>859</v>
      </c>
      <c r="C244" s="2" t="s">
        <v>17</v>
      </c>
      <c r="D244" s="2" t="s">
        <v>101</v>
      </c>
      <c r="E244" s="5" t="s">
        <v>866</v>
      </c>
      <c r="F244" s="3" t="s">
        <v>867</v>
      </c>
      <c r="G244" s="3" t="s">
        <v>34</v>
      </c>
      <c r="H244" s="2" t="s">
        <v>22</v>
      </c>
      <c r="I244" s="2" t="s">
        <v>868</v>
      </c>
      <c r="J244" s="3" t="str">
        <f>HYPERLINK("https://www.boe.es/gazeta/dias/1834/01/18/pdfs/GMD-1834-9.pdf#page=1","Abrir facsímil")</f>
        <v>Abrir facsímil</v>
      </c>
      <c r="K244" s="3" t="s">
        <v>24</v>
      </c>
    </row>
    <row r="245" spans="1:11" ht="54" customHeight="1">
      <c r="A245" s="2" t="s">
        <v>859</v>
      </c>
      <c r="B245" s="2" t="s">
        <v>859</v>
      </c>
      <c r="C245" s="2" t="s">
        <v>66</v>
      </c>
      <c r="D245" s="2" t="s">
        <v>18</v>
      </c>
      <c r="E245" s="5" t="s">
        <v>375</v>
      </c>
      <c r="F245" s="3" t="s">
        <v>376</v>
      </c>
      <c r="G245" s="3" t="s">
        <v>21</v>
      </c>
      <c r="H245" s="2" t="s">
        <v>22</v>
      </c>
      <c r="I245" s="2" t="s">
        <v>869</v>
      </c>
      <c r="J245" s="3" t="str">
        <f>HYPERLINK("https://www.boe.es/gazeta/dias/1834/08/21/pdfs/GMD-1834-187.pdf#page=3","Abrir facsímil")</f>
        <v>Abrir facsímil</v>
      </c>
      <c r="K245" s="3" t="s">
        <v>24</v>
      </c>
    </row>
    <row r="246" spans="1:11" ht="54" customHeight="1">
      <c r="A246" s="2" t="s">
        <v>859</v>
      </c>
      <c r="B246" s="2" t="s">
        <v>859</v>
      </c>
      <c r="C246" s="2" t="s">
        <v>66</v>
      </c>
      <c r="D246" s="2" t="s">
        <v>67</v>
      </c>
      <c r="E246" s="5" t="s">
        <v>870</v>
      </c>
      <c r="F246" s="3" t="s">
        <v>871</v>
      </c>
      <c r="G246" s="3" t="s">
        <v>21</v>
      </c>
      <c r="H246" s="2" t="s">
        <v>22</v>
      </c>
      <c r="I246" s="2" t="s">
        <v>872</v>
      </c>
      <c r="J246" s="3" t="str">
        <f>HYPERLINK("https://www.boe.es/gazeta/dias/1834/05/28/pdfs/GMD-1834-97.pdf#page=3","Abrir facsímil")</f>
        <v>Abrir facsímil</v>
      </c>
      <c r="K246" s="3" t="s">
        <v>24</v>
      </c>
    </row>
    <row r="247" spans="1:11" ht="54" customHeight="1">
      <c r="A247" s="2" t="s">
        <v>873</v>
      </c>
      <c r="B247" s="2" t="s">
        <v>874</v>
      </c>
      <c r="C247" s="2" t="s">
        <v>17</v>
      </c>
      <c r="D247" s="2" t="s">
        <v>18</v>
      </c>
      <c r="E247" s="5" t="s">
        <v>309</v>
      </c>
      <c r="F247" s="3" t="s">
        <v>310</v>
      </c>
      <c r="G247" s="3" t="s">
        <v>34</v>
      </c>
      <c r="H247" s="2" t="s">
        <v>22</v>
      </c>
      <c r="I247" s="2" t="s">
        <v>875</v>
      </c>
      <c r="J247" s="3" t="str">
        <f>HYPERLINK("https://www.boe.es/gazeta/dias/1834/05/30/pdfs/GMD-1834-99.pdf#page=1","Abrir facsímil")</f>
        <v>Abrir facsímil</v>
      </c>
      <c r="K247" s="3" t="s">
        <v>24</v>
      </c>
    </row>
    <row r="248" spans="1:11" ht="54" customHeight="1">
      <c r="A248" s="2" t="s">
        <v>876</v>
      </c>
      <c r="B248" s="2" t="s">
        <v>876</v>
      </c>
      <c r="C248" s="2" t="s">
        <v>17</v>
      </c>
      <c r="D248" s="2" t="s">
        <v>18</v>
      </c>
      <c r="E248" s="5" t="s">
        <v>454</v>
      </c>
      <c r="F248" s="3" t="s">
        <v>455</v>
      </c>
      <c r="G248" s="3" t="s">
        <v>34</v>
      </c>
      <c r="H248" s="2" t="s">
        <v>22</v>
      </c>
      <c r="I248" s="2" t="s">
        <v>877</v>
      </c>
      <c r="J248" s="3" t="str">
        <f>HYPERLINK("https://www.boe.es/gazeta/dias/1834/10/16/pdfs/GMD-C-1834-244.pdf#page=1","Abrir facsímil")</f>
        <v>Abrir facsímil</v>
      </c>
      <c r="K248" s="3" t="s">
        <v>24</v>
      </c>
    </row>
    <row r="249" spans="1:11" ht="54" customHeight="1">
      <c r="A249" s="2" t="s">
        <v>878</v>
      </c>
      <c r="B249" s="2" t="s">
        <v>879</v>
      </c>
      <c r="C249" s="2" t="s">
        <v>17</v>
      </c>
      <c r="D249" s="2" t="s">
        <v>55</v>
      </c>
      <c r="E249" s="5" t="s">
        <v>32</v>
      </c>
      <c r="F249" s="3" t="s">
        <v>33</v>
      </c>
      <c r="G249" s="3" t="s">
        <v>86</v>
      </c>
      <c r="H249" s="2" t="s">
        <v>22</v>
      </c>
      <c r="I249" s="2" t="s">
        <v>880</v>
      </c>
      <c r="J249" s="3" t="str">
        <f>HYPERLINK("https://www.boe.es/gazeta/dias/1834/04/23/pdfs/GMD-1834-62.pdf#page=2","Abrir facsímil")</f>
        <v>Abrir facsímil</v>
      </c>
      <c r="K249" s="3" t="s">
        <v>24</v>
      </c>
    </row>
    <row r="250" spans="1:11" ht="54" customHeight="1">
      <c r="A250" s="2" t="s">
        <v>881</v>
      </c>
      <c r="B250" s="2" t="s">
        <v>882</v>
      </c>
      <c r="C250" s="2" t="s">
        <v>17</v>
      </c>
      <c r="D250" s="2" t="s">
        <v>18</v>
      </c>
      <c r="E250" s="5" t="s">
        <v>883</v>
      </c>
      <c r="F250" s="3" t="s">
        <v>884</v>
      </c>
      <c r="G250" s="3" t="s">
        <v>34</v>
      </c>
      <c r="H250" s="2" t="s">
        <v>22</v>
      </c>
      <c r="I250" s="2" t="s">
        <v>885</v>
      </c>
      <c r="J250" s="3" t="str">
        <f>HYPERLINK("https://www.boe.es/gazeta/dias/1834/11/16/pdfs/GMD-C-1834-275.pdf#page=1","Abrir facsímil")</f>
        <v>Abrir facsímil</v>
      </c>
      <c r="K250" s="3" t="s">
        <v>24</v>
      </c>
    </row>
    <row r="251" spans="1:11" ht="54" customHeight="1">
      <c r="A251" s="2" t="s">
        <v>886</v>
      </c>
      <c r="B251" s="2" t="s">
        <v>887</v>
      </c>
      <c r="C251" s="2" t="s">
        <v>17</v>
      </c>
      <c r="D251" s="2" t="s">
        <v>18</v>
      </c>
      <c r="E251" s="5" t="s">
        <v>378</v>
      </c>
      <c r="F251" s="3" t="s">
        <v>888</v>
      </c>
      <c r="G251" s="3" t="s">
        <v>34</v>
      </c>
      <c r="H251" s="2" t="s">
        <v>22</v>
      </c>
      <c r="I251" s="2" t="s">
        <v>889</v>
      </c>
      <c r="J251" s="3" t="str">
        <f>HYPERLINK("https://www.boe.es/gazeta/dias/1834/09/24/pdfs/GMD-C-1834-222.pdf#page=1","Abrir facsímil")</f>
        <v>Abrir facsímil</v>
      </c>
      <c r="K251" s="3" t="s">
        <v>24</v>
      </c>
    </row>
    <row r="252" spans="1:11" ht="54" customHeight="1">
      <c r="A252" s="2" t="s">
        <v>890</v>
      </c>
      <c r="B252" s="2" t="s">
        <v>890</v>
      </c>
      <c r="C252" s="2" t="s">
        <v>17</v>
      </c>
      <c r="D252" s="2" t="s">
        <v>18</v>
      </c>
      <c r="E252" s="5" t="s">
        <v>891</v>
      </c>
      <c r="F252" s="3" t="s">
        <v>892</v>
      </c>
      <c r="G252" s="3" t="s">
        <v>176</v>
      </c>
      <c r="H252" s="2" t="s">
        <v>22</v>
      </c>
      <c r="I252" s="2" t="s">
        <v>893</v>
      </c>
      <c r="J252" s="3" t="str">
        <f>HYPERLINK("https://www.boe.es/gazeta/dias/1834/10/31/pdfs/GMD-C-1834-259.pdf#page=6","Abrir facsímil")</f>
        <v>Abrir facsímil</v>
      </c>
      <c r="K252" s="3" t="s">
        <v>24</v>
      </c>
    </row>
    <row r="253" spans="1:11" ht="54" customHeight="1">
      <c r="A253" s="2" t="s">
        <v>894</v>
      </c>
      <c r="B253" s="2" t="s">
        <v>895</v>
      </c>
      <c r="C253" s="2" t="s">
        <v>66</v>
      </c>
      <c r="D253" s="2" t="s">
        <v>67</v>
      </c>
      <c r="E253" s="5" t="s">
        <v>844</v>
      </c>
      <c r="F253" s="3" t="s">
        <v>845</v>
      </c>
      <c r="G253" s="3" t="s">
        <v>21</v>
      </c>
      <c r="H253" s="2" t="s">
        <v>22</v>
      </c>
      <c r="I253" s="2" t="s">
        <v>896</v>
      </c>
      <c r="J253" s="3" t="str">
        <f>HYPERLINK("https://www.boe.es/gazeta/dias/1834/03/13/pdfs/GMD-1834-32.pdf#page=3","Abrir facsímil")</f>
        <v>Abrir facsímil</v>
      </c>
      <c r="K253" s="3" t="s">
        <v>24</v>
      </c>
    </row>
    <row r="254" spans="1:11" ht="54" customHeight="1">
      <c r="A254" s="2" t="s">
        <v>897</v>
      </c>
      <c r="B254" s="2" t="s">
        <v>898</v>
      </c>
      <c r="C254" s="2" t="s">
        <v>66</v>
      </c>
      <c r="D254" s="2" t="s">
        <v>67</v>
      </c>
      <c r="E254" s="5" t="s">
        <v>899</v>
      </c>
      <c r="F254" s="3" t="s">
        <v>900</v>
      </c>
      <c r="G254" s="3" t="s">
        <v>470</v>
      </c>
      <c r="H254" s="2" t="s">
        <v>22</v>
      </c>
      <c r="I254" s="2" t="s">
        <v>901</v>
      </c>
      <c r="J254" s="3" t="str">
        <f>HYPERLINK("https://www.boe.es/gazeta/dias/1834/01/30/pdfs/GMD-1834-14.pdf#page=8","Abrir facsímil")</f>
        <v>Abrir facsímil</v>
      </c>
      <c r="K254" s="3" t="s">
        <v>24</v>
      </c>
    </row>
    <row r="255" spans="1:11" ht="54" customHeight="1">
      <c r="A255" s="2" t="s">
        <v>902</v>
      </c>
      <c r="B255" s="2" t="s">
        <v>902</v>
      </c>
      <c r="C255" s="2" t="s">
        <v>17</v>
      </c>
      <c r="D255" s="2" t="s">
        <v>18</v>
      </c>
      <c r="E255" s="5" t="s">
        <v>623</v>
      </c>
      <c r="F255" s="3" t="s">
        <v>624</v>
      </c>
      <c r="G255" s="3" t="s">
        <v>34</v>
      </c>
      <c r="H255" s="2" t="s">
        <v>22</v>
      </c>
      <c r="I255" s="2" t="s">
        <v>903</v>
      </c>
      <c r="J255" s="3" t="str">
        <f>HYPERLINK("https://www.boe.es/gazeta/dias/1834/10/12/pdfs/GMD-C-1834-240.pdf#page=1","Abrir facsímil")</f>
        <v>Abrir facsímil</v>
      </c>
      <c r="K255" s="3" t="s">
        <v>24</v>
      </c>
    </row>
    <row r="256" spans="1:11" ht="54" customHeight="1">
      <c r="A256" s="2" t="s">
        <v>904</v>
      </c>
      <c r="B256" s="2" t="s">
        <v>904</v>
      </c>
      <c r="C256" s="2" t="s">
        <v>17</v>
      </c>
      <c r="D256" s="2" t="s">
        <v>40</v>
      </c>
      <c r="E256" s="5" t="s">
        <v>905</v>
      </c>
      <c r="F256" s="3" t="s">
        <v>906</v>
      </c>
      <c r="G256" s="3" t="s">
        <v>34</v>
      </c>
      <c r="H256" s="2" t="s">
        <v>22</v>
      </c>
      <c r="I256" s="2" t="s">
        <v>907</v>
      </c>
      <c r="J256" s="3" t="str">
        <f>HYPERLINK("https://www.boe.es/gazeta/dias/1834/08/02/pdfs/GMD-C-1834-166.pdf#page=1","Abrir facsímil")</f>
        <v>Abrir facsímil</v>
      </c>
      <c r="K256" s="3" t="s">
        <v>24</v>
      </c>
    </row>
    <row r="257" spans="1:11" ht="54" customHeight="1">
      <c r="A257" s="2" t="s">
        <v>908</v>
      </c>
      <c r="B257" s="2" t="s">
        <v>908</v>
      </c>
      <c r="C257" s="2" t="s">
        <v>90</v>
      </c>
      <c r="D257" s="2" t="s">
        <v>55</v>
      </c>
      <c r="E257" s="5" t="s">
        <v>637</v>
      </c>
      <c r="F257" s="3" t="s">
        <v>638</v>
      </c>
      <c r="G257" s="3" t="s">
        <v>86</v>
      </c>
      <c r="H257" s="2" t="s">
        <v>22</v>
      </c>
      <c r="I257" s="2" t="s">
        <v>909</v>
      </c>
      <c r="J257" s="3" t="str">
        <f>HYPERLINK("https://www.boe.es/gazeta/dias/1834/06/03/pdfs/GMD-1834-105.pdf#page=2","Abrir facsímil")</f>
        <v>Abrir facsímil</v>
      </c>
      <c r="K257" s="3" t="s">
        <v>24</v>
      </c>
    </row>
    <row r="258" spans="1:11" ht="54" customHeight="1">
      <c r="A258" s="2" t="s">
        <v>910</v>
      </c>
      <c r="B258" s="2" t="s">
        <v>911</v>
      </c>
      <c r="C258" s="2" t="s">
        <v>17</v>
      </c>
      <c r="D258" s="2" t="s">
        <v>18</v>
      </c>
      <c r="E258" s="5" t="s">
        <v>912</v>
      </c>
      <c r="F258" s="3" t="s">
        <v>913</v>
      </c>
      <c r="G258" s="3" t="s">
        <v>28</v>
      </c>
      <c r="H258" s="2" t="s">
        <v>22</v>
      </c>
      <c r="I258" s="2" t="s">
        <v>914</v>
      </c>
      <c r="J258" s="3" t="str">
        <f>HYPERLINK("https://www.boe.es/gazeta/dias/1834/02/15/pdfs/GMD-1834-21.pdf#page=5","Abrir facsímil")</f>
        <v>Abrir facsímil</v>
      </c>
      <c r="K258" s="3" t="s">
        <v>24</v>
      </c>
    </row>
    <row r="259" spans="1:11" ht="54" customHeight="1">
      <c r="A259" s="2" t="s">
        <v>915</v>
      </c>
      <c r="B259" s="2" t="s">
        <v>915</v>
      </c>
      <c r="C259" s="2" t="s">
        <v>66</v>
      </c>
      <c r="D259" s="2" t="s">
        <v>67</v>
      </c>
      <c r="E259" s="5" t="s">
        <v>513</v>
      </c>
      <c r="F259" s="3" t="s">
        <v>514</v>
      </c>
      <c r="G259" s="3" t="s">
        <v>75</v>
      </c>
      <c r="H259" s="2" t="s">
        <v>22</v>
      </c>
      <c r="I259" s="2" t="s">
        <v>916</v>
      </c>
      <c r="J259" s="3" t="str">
        <f>HYPERLINK("https://www.boe.es/gazeta/dias/1834/04/27/pdfs/GMD-1834-66.pdf#page=4","Abrir facsímil")</f>
        <v>Abrir facsímil</v>
      </c>
      <c r="K259" s="3" t="s">
        <v>24</v>
      </c>
    </row>
    <row r="260" spans="1:11" ht="54" customHeight="1">
      <c r="A260" s="2" t="s">
        <v>917</v>
      </c>
      <c r="B260" s="2" t="s">
        <v>918</v>
      </c>
      <c r="C260" s="2" t="s">
        <v>66</v>
      </c>
      <c r="D260" s="2" t="s">
        <v>67</v>
      </c>
      <c r="E260" s="5" t="s">
        <v>919</v>
      </c>
      <c r="F260" s="3" t="s">
        <v>920</v>
      </c>
      <c r="G260" s="3" t="s">
        <v>75</v>
      </c>
      <c r="H260" s="2" t="s">
        <v>22</v>
      </c>
      <c r="I260" s="2" t="s">
        <v>921</v>
      </c>
      <c r="J260" s="3" t="str">
        <f>HYPERLINK("https://www.boe.es/gazeta/dias/1834/06/24/pdfs/GMD-1834-127.pdf#page=4","Abrir facsímil")</f>
        <v>Abrir facsímil</v>
      </c>
      <c r="K260" s="3" t="s">
        <v>24</v>
      </c>
    </row>
    <row r="261" spans="1:11" ht="54" customHeight="1">
      <c r="A261" s="2" t="s">
        <v>922</v>
      </c>
      <c r="B261" s="2" t="s">
        <v>922</v>
      </c>
      <c r="C261" s="2" t="s">
        <v>17</v>
      </c>
      <c r="D261" s="2" t="s">
        <v>40</v>
      </c>
      <c r="E261" s="5" t="s">
        <v>777</v>
      </c>
      <c r="F261" s="3" t="s">
        <v>778</v>
      </c>
      <c r="G261" s="3" t="s">
        <v>75</v>
      </c>
      <c r="H261" s="2" t="s">
        <v>22</v>
      </c>
      <c r="I261" s="2" t="s">
        <v>923</v>
      </c>
      <c r="J261" s="3" t="str">
        <f>HYPERLINK("https://www.boe.es/gazeta/dias/1834/10/29/pdfs/GMD-1834-257.pdf#page=4","Abrir facsímil")</f>
        <v>Abrir facsímil</v>
      </c>
      <c r="K261" s="3" t="s">
        <v>24</v>
      </c>
    </row>
    <row r="262" spans="1:11" ht="54" customHeight="1">
      <c r="A262" s="2" t="s">
        <v>924</v>
      </c>
      <c r="B262" s="2" t="s">
        <v>924</v>
      </c>
      <c r="C262" s="2" t="s">
        <v>17</v>
      </c>
      <c r="D262" s="2" t="s">
        <v>18</v>
      </c>
      <c r="E262" s="5" t="s">
        <v>606</v>
      </c>
      <c r="F262" s="3" t="s">
        <v>607</v>
      </c>
      <c r="G262" s="3" t="s">
        <v>21</v>
      </c>
      <c r="H262" s="2" t="s">
        <v>22</v>
      </c>
      <c r="I262" s="2" t="s">
        <v>925</v>
      </c>
      <c r="J262" s="3" t="str">
        <f>HYPERLINK("https://www.boe.es/gazeta/dias/1834/06/23/pdfs/GMD-1834-126.pdf#page=3","Abrir facsímil")</f>
        <v>Abrir facsímil</v>
      </c>
      <c r="K262" s="3" t="s">
        <v>24</v>
      </c>
    </row>
    <row r="263" spans="1:11" ht="54" customHeight="1">
      <c r="A263" s="2" t="s">
        <v>926</v>
      </c>
      <c r="B263" s="2" t="s">
        <v>927</v>
      </c>
      <c r="C263" s="2" t="s">
        <v>46</v>
      </c>
      <c r="D263" s="2" t="s">
        <v>18</v>
      </c>
      <c r="E263" s="5" t="s">
        <v>928</v>
      </c>
      <c r="F263" s="3" t="s">
        <v>929</v>
      </c>
      <c r="G263" s="3" t="s">
        <v>21</v>
      </c>
      <c r="H263" s="2" t="s">
        <v>22</v>
      </c>
      <c r="I263" s="2" t="s">
        <v>930</v>
      </c>
      <c r="J263" s="3" t="str">
        <f>HYPERLINK("https://www.boe.es/gazeta/dias/1834/11/15/pdfs/GMD-C-1834-274.pdf#page=3","Abrir facsímil")</f>
        <v>Abrir facsímil</v>
      </c>
      <c r="K263" s="3" t="s">
        <v>24</v>
      </c>
    </row>
    <row r="264" spans="1:11" ht="54" customHeight="1">
      <c r="A264" s="2" t="s">
        <v>931</v>
      </c>
      <c r="B264" s="2" t="s">
        <v>932</v>
      </c>
      <c r="C264" s="2" t="s">
        <v>46</v>
      </c>
      <c r="D264" s="2" t="s">
        <v>101</v>
      </c>
      <c r="E264" s="5" t="s">
        <v>32</v>
      </c>
      <c r="F264" s="3" t="s">
        <v>33</v>
      </c>
      <c r="G264" s="3" t="s">
        <v>28</v>
      </c>
      <c r="H264" s="2" t="s">
        <v>35</v>
      </c>
      <c r="I264" s="2" t="s">
        <v>933</v>
      </c>
      <c r="J264" s="3" t="str">
        <f>HYPERLINK("https://www.boe.es/gazeta/dias/1834/04/23/pdfs/GMD-1834-62.pdf#page=5","Abrir facsímil")</f>
        <v>Abrir facsímil</v>
      </c>
      <c r="K264" s="3" t="s">
        <v>37</v>
      </c>
    </row>
    <row r="265" spans="1:11" ht="54" customHeight="1">
      <c r="A265" s="2" t="s">
        <v>934</v>
      </c>
      <c r="B265" s="2" t="s">
        <v>935</v>
      </c>
      <c r="C265" s="2" t="s">
        <v>46</v>
      </c>
      <c r="D265" s="2" t="s">
        <v>101</v>
      </c>
      <c r="E265" s="5" t="s">
        <v>32</v>
      </c>
      <c r="F265" s="3" t="s">
        <v>33</v>
      </c>
      <c r="G265" s="3" t="s">
        <v>28</v>
      </c>
      <c r="H265" s="2" t="s">
        <v>22</v>
      </c>
      <c r="I265" s="2" t="s">
        <v>936</v>
      </c>
      <c r="J265" s="3" t="str">
        <f>HYPERLINK("https://www.boe.es/gazeta/dias/1834/04/23/pdfs/GMD-1834-62.pdf#page=5","Abrir facsímil")</f>
        <v>Abrir facsímil</v>
      </c>
      <c r="K265" s="3" t="s">
        <v>24</v>
      </c>
    </row>
    <row r="266" spans="1:11" ht="54" customHeight="1">
      <c r="A266" s="2" t="s">
        <v>937</v>
      </c>
      <c r="B266" s="2" t="s">
        <v>938</v>
      </c>
      <c r="C266" s="2" t="s">
        <v>17</v>
      </c>
      <c r="D266" s="2" t="s">
        <v>55</v>
      </c>
      <c r="E266" s="5" t="s">
        <v>939</v>
      </c>
      <c r="F266" s="3" t="s">
        <v>940</v>
      </c>
      <c r="G266" s="3" t="s">
        <v>34</v>
      </c>
      <c r="H266" s="2" t="s">
        <v>22</v>
      </c>
      <c r="I266" s="2" t="s">
        <v>941</v>
      </c>
      <c r="J266" s="3" t="str">
        <f>HYPERLINK("https://www.boe.es/gazeta/dias/1834/06/10/pdfs/GMD-1834-113.pdf#page=1","Abrir facsímil")</f>
        <v>Abrir facsímil</v>
      </c>
      <c r="K266" s="3" t="s">
        <v>24</v>
      </c>
    </row>
    <row r="267" spans="1:11" ht="54" customHeight="1">
      <c r="A267" s="2" t="s">
        <v>942</v>
      </c>
      <c r="B267" s="2" t="s">
        <v>943</v>
      </c>
      <c r="C267" s="2" t="s">
        <v>17</v>
      </c>
      <c r="D267" s="2" t="s">
        <v>55</v>
      </c>
      <c r="E267" s="5" t="s">
        <v>19</v>
      </c>
      <c r="F267" s="3" t="s">
        <v>107</v>
      </c>
      <c r="G267" s="3" t="s">
        <v>86</v>
      </c>
      <c r="H267" s="2" t="s">
        <v>22</v>
      </c>
      <c r="I267" s="2" t="s">
        <v>944</v>
      </c>
      <c r="J267" s="3" t="str">
        <f>HYPERLINK("https://www.boe.es/gazeta/dias/1834/08/17/pdfs/GMD-1834-182.pdf#page=2","Abrir facsímil")</f>
        <v>Abrir facsímil</v>
      </c>
      <c r="K267" s="3" t="s">
        <v>24</v>
      </c>
    </row>
    <row r="268" spans="1:11" ht="54" customHeight="1">
      <c r="A268" s="2" t="s">
        <v>945</v>
      </c>
      <c r="B268" s="2" t="s">
        <v>945</v>
      </c>
      <c r="C268" s="2" t="s">
        <v>17</v>
      </c>
      <c r="D268" s="2" t="s">
        <v>18</v>
      </c>
      <c r="E268" s="5" t="s">
        <v>378</v>
      </c>
      <c r="F268" s="3" t="s">
        <v>888</v>
      </c>
      <c r="G268" s="3" t="s">
        <v>28</v>
      </c>
      <c r="H268" s="2" t="s">
        <v>22</v>
      </c>
      <c r="I268" s="2" t="s">
        <v>946</v>
      </c>
      <c r="J268" s="3" t="str">
        <f>HYPERLINK("https://www.boe.es/gazeta/dias/1834/09/24/pdfs/GMD-C-1834-222.pdf#page=5","Abrir facsímil")</f>
        <v>Abrir facsímil</v>
      </c>
      <c r="K268" s="3" t="s">
        <v>24</v>
      </c>
    </row>
    <row r="269" spans="1:11" ht="54" customHeight="1">
      <c r="A269" s="2" t="s">
        <v>947</v>
      </c>
      <c r="B269" s="2" t="s">
        <v>948</v>
      </c>
      <c r="C269" s="2" t="s">
        <v>90</v>
      </c>
      <c r="D269" s="2" t="s">
        <v>101</v>
      </c>
      <c r="E269" s="5" t="s">
        <v>506</v>
      </c>
      <c r="F269" s="3" t="s">
        <v>507</v>
      </c>
      <c r="G269" s="3" t="s">
        <v>34</v>
      </c>
      <c r="H269" s="2" t="s">
        <v>22</v>
      </c>
      <c r="I269" s="2" t="s">
        <v>949</v>
      </c>
      <c r="J269" s="3" t="str">
        <f>HYPERLINK("https://www.boe.es/gazeta/dias/1834/03/04/pdfs/GMD-1834-28.pdf#page=1","Abrir facsímil")</f>
        <v>Abrir facsímil</v>
      </c>
      <c r="K269" s="3" t="s">
        <v>24</v>
      </c>
    </row>
    <row r="270" spans="1:11" ht="54" customHeight="1">
      <c r="A270" s="2" t="s">
        <v>947</v>
      </c>
      <c r="B270" s="2" t="s">
        <v>948</v>
      </c>
      <c r="C270" s="2" t="s">
        <v>17</v>
      </c>
      <c r="D270" s="2" t="s">
        <v>18</v>
      </c>
      <c r="E270" s="5" t="s">
        <v>237</v>
      </c>
      <c r="F270" s="3" t="s">
        <v>238</v>
      </c>
      <c r="G270" s="3" t="s">
        <v>34</v>
      </c>
      <c r="H270" s="2" t="s">
        <v>22</v>
      </c>
      <c r="I270" s="2" t="s">
        <v>950</v>
      </c>
      <c r="J270" s="3" t="str">
        <f>HYPERLINK("https://www.boe.es/gazeta/dias/1834/08/15/pdfs/GMD-C-1834-180.pdf#page=1","Abrir facsímil")</f>
        <v>Abrir facsímil</v>
      </c>
      <c r="K270" s="3" t="s">
        <v>24</v>
      </c>
    </row>
    <row r="271" spans="1:11" ht="54" customHeight="1">
      <c r="A271" s="2" t="s">
        <v>951</v>
      </c>
      <c r="B271" s="2" t="s">
        <v>952</v>
      </c>
      <c r="C271" s="2" t="s">
        <v>17</v>
      </c>
      <c r="D271" s="2" t="s">
        <v>18</v>
      </c>
      <c r="E271" s="5" t="s">
        <v>237</v>
      </c>
      <c r="F271" s="3" t="s">
        <v>238</v>
      </c>
      <c r="G271" s="3" t="s">
        <v>34</v>
      </c>
      <c r="H271" s="2" t="s">
        <v>35</v>
      </c>
      <c r="I271" s="2" t="s">
        <v>953</v>
      </c>
      <c r="J271" s="3" t="str">
        <f>HYPERLINK("https://www.boe.es/gazeta/dias/1834/08/15/pdfs/GMD-C-1834-180.pdf#page=1","Abrir facsímil")</f>
        <v>Abrir facsímil</v>
      </c>
      <c r="K271" s="3" t="s">
        <v>37</v>
      </c>
    </row>
    <row r="272" spans="1:11" ht="54" customHeight="1">
      <c r="A272" s="2" t="s">
        <v>954</v>
      </c>
      <c r="B272" s="2" t="s">
        <v>955</v>
      </c>
      <c r="C272" s="2" t="s">
        <v>46</v>
      </c>
      <c r="D272" s="2" t="s">
        <v>101</v>
      </c>
      <c r="E272" s="5" t="s">
        <v>956</v>
      </c>
      <c r="F272" s="3" t="s">
        <v>957</v>
      </c>
      <c r="G272" s="3" t="s">
        <v>34</v>
      </c>
      <c r="H272" s="2" t="s">
        <v>35</v>
      </c>
      <c r="I272" s="2" t="s">
        <v>958</v>
      </c>
      <c r="J272" s="3" t="str">
        <f>HYPERLINK("https://www.boe.es/gazeta/dias/1834/08/10/pdfs/GMD-C-1834-175.pdf#page=1","Abrir facsímil")</f>
        <v>Abrir facsímil</v>
      </c>
      <c r="K272" s="3" t="s">
        <v>37</v>
      </c>
    </row>
    <row r="273" spans="1:11" ht="54" customHeight="1">
      <c r="A273" s="2" t="s">
        <v>954</v>
      </c>
      <c r="B273" s="2" t="s">
        <v>955</v>
      </c>
      <c r="C273" s="2" t="s">
        <v>66</v>
      </c>
      <c r="D273" s="2" t="s">
        <v>67</v>
      </c>
      <c r="E273" s="5" t="s">
        <v>294</v>
      </c>
      <c r="F273" s="3" t="s">
        <v>959</v>
      </c>
      <c r="G273" s="3" t="s">
        <v>34</v>
      </c>
      <c r="H273" s="2" t="s">
        <v>35</v>
      </c>
      <c r="I273" s="2" t="s">
        <v>960</v>
      </c>
      <c r="J273" s="3" t="str">
        <f>HYPERLINK("https://www.boe.es/gazeta/dias/1834/09/27/pdfs/GMD-C-1834-225.pdf#page=1","Abrir facsímil")</f>
        <v>Abrir facsímil</v>
      </c>
      <c r="K273" s="3" t="s">
        <v>37</v>
      </c>
    </row>
    <row r="274" spans="1:11" ht="54" customHeight="1">
      <c r="A274" s="2" t="s">
        <v>961</v>
      </c>
      <c r="B274" s="2" t="s">
        <v>962</v>
      </c>
      <c r="C274" s="2" t="s">
        <v>17</v>
      </c>
      <c r="D274" s="2" t="s">
        <v>18</v>
      </c>
      <c r="E274" s="5" t="s">
        <v>667</v>
      </c>
      <c r="F274" s="3" t="s">
        <v>668</v>
      </c>
      <c r="G274" s="3" t="s">
        <v>34</v>
      </c>
      <c r="H274" s="2" t="s">
        <v>35</v>
      </c>
      <c r="I274" s="2" t="s">
        <v>963</v>
      </c>
      <c r="J274" s="3" t="str">
        <f>HYPERLINK("https://www.boe.es/gazeta/dias/1834/11/23/pdfs/GMD-C-1834-282.pdf#page=1","Abrir facsímil")</f>
        <v>Abrir facsímil</v>
      </c>
      <c r="K274" s="3" t="s">
        <v>37</v>
      </c>
    </row>
    <row r="275" spans="1:11" ht="54" customHeight="1">
      <c r="A275" s="2" t="s">
        <v>964</v>
      </c>
      <c r="B275" s="2" t="s">
        <v>965</v>
      </c>
      <c r="C275" s="2" t="s">
        <v>17</v>
      </c>
      <c r="D275" s="2" t="s">
        <v>18</v>
      </c>
      <c r="E275" s="5" t="s">
        <v>571</v>
      </c>
      <c r="F275" s="3" t="s">
        <v>620</v>
      </c>
      <c r="G275" s="3" t="s">
        <v>28</v>
      </c>
      <c r="H275" s="2" t="s">
        <v>22</v>
      </c>
      <c r="I275" s="2" t="s">
        <v>966</v>
      </c>
      <c r="J275" s="3" t="str">
        <f>HYPERLINK("https://www.boe.es/gazeta/dias/1834/09/04/pdfs/GMD-C-1834-202.pdf#page=5","Abrir facsímil")</f>
        <v>Abrir facsímil</v>
      </c>
      <c r="K275" s="3" t="s">
        <v>24</v>
      </c>
    </row>
    <row r="276" spans="1:11" ht="54" customHeight="1">
      <c r="A276" s="2" t="s">
        <v>967</v>
      </c>
      <c r="B276" s="2" t="s">
        <v>968</v>
      </c>
      <c r="C276" s="2" t="s">
        <v>66</v>
      </c>
      <c r="D276" s="2" t="s">
        <v>101</v>
      </c>
      <c r="E276" s="5" t="s">
        <v>265</v>
      </c>
      <c r="F276" s="3" t="s">
        <v>969</v>
      </c>
      <c r="G276" s="3" t="s">
        <v>34</v>
      </c>
      <c r="H276" s="2" t="s">
        <v>22</v>
      </c>
      <c r="I276" s="2" t="s">
        <v>970</v>
      </c>
      <c r="J276" s="3" t="str">
        <f>HYPERLINK("https://www.boe.es/gazeta/dias/1834/11/19/pdfs/GMD-1834-278.pdf#page=1","Abrir facsímil")</f>
        <v>Abrir facsímil</v>
      </c>
      <c r="K276" s="3" t="s">
        <v>24</v>
      </c>
    </row>
    <row r="277" spans="1:11" ht="54" customHeight="1">
      <c r="A277" s="2" t="s">
        <v>971</v>
      </c>
      <c r="B277" s="2" t="s">
        <v>972</v>
      </c>
      <c r="C277" s="2" t="s">
        <v>17</v>
      </c>
      <c r="D277" s="2" t="s">
        <v>40</v>
      </c>
      <c r="E277" s="5" t="s">
        <v>265</v>
      </c>
      <c r="F277" s="3" t="s">
        <v>969</v>
      </c>
      <c r="G277" s="3" t="s">
        <v>21</v>
      </c>
      <c r="H277" s="2" t="s">
        <v>22</v>
      </c>
      <c r="I277" s="2" t="s">
        <v>973</v>
      </c>
      <c r="J277" s="3" t="str">
        <f>HYPERLINK("https://www.boe.es/gazeta/dias/1834/11/19/pdfs/GMD-1834-278.pdf#page=3","Abrir facsímil")</f>
        <v>Abrir facsímil</v>
      </c>
      <c r="K277" s="3" t="s">
        <v>24</v>
      </c>
    </row>
    <row r="278" spans="1:11" ht="54" customHeight="1">
      <c r="A278" s="2" t="s">
        <v>974</v>
      </c>
      <c r="B278" s="2" t="s">
        <v>975</v>
      </c>
      <c r="C278" s="2" t="s">
        <v>90</v>
      </c>
      <c r="D278" s="2" t="s">
        <v>18</v>
      </c>
      <c r="E278" s="5" t="s">
        <v>976</v>
      </c>
      <c r="F278" s="3" t="s">
        <v>977</v>
      </c>
      <c r="G278" s="3" t="s">
        <v>21</v>
      </c>
      <c r="H278" s="2" t="s">
        <v>22</v>
      </c>
      <c r="I278" s="2" t="s">
        <v>978</v>
      </c>
      <c r="J278" s="3" t="str">
        <f>HYPERLINK("https://www.boe.es/gazeta/dias/1834/04/02/pdfs/GMD-1834-41.pdf#page=3","Abrir facsímil")</f>
        <v>Abrir facsímil</v>
      </c>
      <c r="K278" s="3" t="s">
        <v>24</v>
      </c>
    </row>
    <row r="279" spans="1:11" ht="54" customHeight="1">
      <c r="A279" s="2" t="s">
        <v>979</v>
      </c>
      <c r="B279" s="2" t="s">
        <v>980</v>
      </c>
      <c r="C279" s="2" t="s">
        <v>17</v>
      </c>
      <c r="D279" s="2" t="s">
        <v>18</v>
      </c>
      <c r="E279" s="5" t="s">
        <v>981</v>
      </c>
      <c r="F279" s="3" t="s">
        <v>982</v>
      </c>
      <c r="G279" s="3" t="s">
        <v>86</v>
      </c>
      <c r="H279" s="2" t="s">
        <v>22</v>
      </c>
      <c r="I279" s="2" t="s">
        <v>983</v>
      </c>
      <c r="J279" s="3" t="str">
        <f>HYPERLINK("https://www.boe.es/gazeta/dias/1834/09/21/pdfs/GMD-1834-219.pdf#page=2","Abrir facsímil")</f>
        <v>Abrir facsímil</v>
      </c>
      <c r="K279" s="3" t="s">
        <v>24</v>
      </c>
    </row>
    <row r="280" spans="1:11" ht="54" customHeight="1">
      <c r="A280" s="2" t="s">
        <v>984</v>
      </c>
      <c r="B280" s="2" t="s">
        <v>985</v>
      </c>
      <c r="C280" s="2" t="s">
        <v>17</v>
      </c>
      <c r="D280" s="2" t="s">
        <v>18</v>
      </c>
      <c r="E280" s="5" t="s">
        <v>823</v>
      </c>
      <c r="F280" s="3" t="s">
        <v>824</v>
      </c>
      <c r="G280" s="3" t="s">
        <v>28</v>
      </c>
      <c r="H280" s="2" t="s">
        <v>22</v>
      </c>
      <c r="I280" s="2" t="s">
        <v>986</v>
      </c>
      <c r="J280" s="3" t="str">
        <f>HYPERLINK("https://www.boe.es/gazeta/dias/1834/07/23/pdfs/GMD-1834-156.pdf#page=5","Abrir facsímil")</f>
        <v>Abrir facsímil</v>
      </c>
      <c r="K280" s="3" t="s">
        <v>24</v>
      </c>
    </row>
    <row r="281" spans="1:11" ht="54" customHeight="1">
      <c r="A281" s="2" t="s">
        <v>987</v>
      </c>
      <c r="B281" s="2" t="s">
        <v>988</v>
      </c>
      <c r="C281" s="2" t="s">
        <v>17</v>
      </c>
      <c r="D281" s="2" t="s">
        <v>101</v>
      </c>
      <c r="E281" s="5" t="s">
        <v>844</v>
      </c>
      <c r="F281" s="3" t="s">
        <v>845</v>
      </c>
      <c r="G281" s="3" t="s">
        <v>86</v>
      </c>
      <c r="H281" s="2" t="s">
        <v>22</v>
      </c>
      <c r="I281" s="2" t="s">
        <v>989</v>
      </c>
      <c r="J281" s="3" t="str">
        <f>HYPERLINK("https://www.boe.es/gazeta/dias/1834/03/13/pdfs/GMD-1834-32.pdf#page=2","Abrir facsímil")</f>
        <v>Abrir facsímil</v>
      </c>
      <c r="K281" s="3" t="s">
        <v>24</v>
      </c>
    </row>
    <row r="282" spans="1:11" ht="54" customHeight="1">
      <c r="A282" s="2" t="s">
        <v>990</v>
      </c>
      <c r="B282" s="2" t="s">
        <v>991</v>
      </c>
      <c r="C282" s="2" t="s">
        <v>66</v>
      </c>
      <c r="D282" s="2" t="s">
        <v>67</v>
      </c>
      <c r="E282" s="5" t="s">
        <v>513</v>
      </c>
      <c r="F282" s="3" t="s">
        <v>514</v>
      </c>
      <c r="G282" s="3" t="s">
        <v>176</v>
      </c>
      <c r="H282" s="2" t="s">
        <v>22</v>
      </c>
      <c r="I282" s="2" t="s">
        <v>992</v>
      </c>
      <c r="J282" s="3" t="str">
        <f>HYPERLINK("https://www.boe.es/gazeta/dias/1834/04/27/pdfs/GMD-1834-66.pdf#page=6","Abrir facsímil")</f>
        <v>Abrir facsímil</v>
      </c>
      <c r="K282" s="3" t="s">
        <v>24</v>
      </c>
    </row>
    <row r="283" spans="1:11" ht="54" customHeight="1">
      <c r="A283" s="2" t="s">
        <v>993</v>
      </c>
      <c r="B283" s="2" t="s">
        <v>994</v>
      </c>
      <c r="C283" s="2" t="s">
        <v>46</v>
      </c>
      <c r="D283" s="2" t="s">
        <v>101</v>
      </c>
      <c r="E283" s="5" t="s">
        <v>956</v>
      </c>
      <c r="F283" s="3" t="s">
        <v>957</v>
      </c>
      <c r="G283" s="3" t="s">
        <v>34</v>
      </c>
      <c r="H283" s="2" t="s">
        <v>22</v>
      </c>
      <c r="I283" s="2" t="s">
        <v>995</v>
      </c>
      <c r="J283" s="3" t="str">
        <f>HYPERLINK("https://www.boe.es/gazeta/dias/1834/08/10/pdfs/GMD-C-1834-175.pdf#page=1","Abrir facsímil")</f>
        <v>Abrir facsímil</v>
      </c>
      <c r="K283" s="3" t="s">
        <v>24</v>
      </c>
    </row>
    <row r="284" spans="1:11" ht="54" customHeight="1">
      <c r="A284" s="2" t="s">
        <v>993</v>
      </c>
      <c r="B284" s="2" t="s">
        <v>994</v>
      </c>
      <c r="C284" s="2" t="s">
        <v>66</v>
      </c>
      <c r="D284" s="2" t="s">
        <v>67</v>
      </c>
      <c r="E284" s="5" t="s">
        <v>294</v>
      </c>
      <c r="F284" s="3" t="s">
        <v>959</v>
      </c>
      <c r="G284" s="3" t="s">
        <v>34</v>
      </c>
      <c r="H284" s="2" t="s">
        <v>22</v>
      </c>
      <c r="I284" s="2" t="s">
        <v>996</v>
      </c>
      <c r="J284" s="3" t="str">
        <f>HYPERLINK("https://www.boe.es/gazeta/dias/1834/09/27/pdfs/GMD-C-1834-225.pdf#page=1","Abrir facsímil")</f>
        <v>Abrir facsímil</v>
      </c>
      <c r="K284" s="3" t="s">
        <v>24</v>
      </c>
    </row>
    <row r="285" spans="1:11" ht="54" customHeight="1">
      <c r="A285" s="2" t="s">
        <v>997</v>
      </c>
      <c r="B285" s="2" t="s">
        <v>998</v>
      </c>
      <c r="C285" s="2" t="s">
        <v>17</v>
      </c>
      <c r="D285" s="2" t="s">
        <v>18</v>
      </c>
      <c r="E285" s="5" t="s">
        <v>667</v>
      </c>
      <c r="F285" s="3" t="s">
        <v>668</v>
      </c>
      <c r="G285" s="3" t="s">
        <v>34</v>
      </c>
      <c r="H285" s="2" t="s">
        <v>22</v>
      </c>
      <c r="I285" s="2" t="s">
        <v>999</v>
      </c>
      <c r="J285" s="3" t="str">
        <f>HYPERLINK("https://www.boe.es/gazeta/dias/1834/11/23/pdfs/GMD-C-1834-282.pdf#page=1","Abrir facsímil")</f>
        <v>Abrir facsímil</v>
      </c>
      <c r="K285" s="3" t="s">
        <v>24</v>
      </c>
    </row>
    <row r="286" spans="1:11" ht="54" customHeight="1">
      <c r="A286" s="2" t="s">
        <v>1000</v>
      </c>
      <c r="B286" s="2" t="s">
        <v>1001</v>
      </c>
      <c r="C286" s="2" t="s">
        <v>122</v>
      </c>
      <c r="D286" s="2" t="s">
        <v>18</v>
      </c>
      <c r="E286" s="5" t="s">
        <v>1002</v>
      </c>
      <c r="F286" s="3" t="s">
        <v>1003</v>
      </c>
      <c r="G286" s="3" t="s">
        <v>75</v>
      </c>
      <c r="H286" s="2" t="s">
        <v>22</v>
      </c>
      <c r="I286" s="2" t="s">
        <v>1004</v>
      </c>
      <c r="J286" s="3" t="str">
        <f>HYPERLINK("https://www.boe.es/gazeta/dias/1834/06/26/pdfs/GMD-1834-129.pdf#page=4","Abrir facsímil")</f>
        <v>Abrir facsímil</v>
      </c>
      <c r="K286" s="3" t="s">
        <v>24</v>
      </c>
    </row>
    <row r="287" spans="1:11" ht="54" customHeight="1">
      <c r="A287" s="2" t="s">
        <v>1005</v>
      </c>
      <c r="B287" s="2" t="s">
        <v>1006</v>
      </c>
      <c r="C287" s="2" t="s">
        <v>17</v>
      </c>
      <c r="D287" s="2" t="s">
        <v>18</v>
      </c>
      <c r="E287" s="5" t="s">
        <v>690</v>
      </c>
      <c r="F287" s="3" t="s">
        <v>691</v>
      </c>
      <c r="G287" s="3" t="s">
        <v>28</v>
      </c>
      <c r="H287" s="2" t="s">
        <v>22</v>
      </c>
      <c r="I287" s="2" t="s">
        <v>1007</v>
      </c>
      <c r="J287" s="3" t="str">
        <f>HYPERLINK("https://www.boe.es/gazeta/dias/1834/09/03/pdfs/GMD-C-1834-201.pdf#page=5","Abrir facsímil")</f>
        <v>Abrir facsímil</v>
      </c>
      <c r="K287" s="3" t="s">
        <v>24</v>
      </c>
    </row>
    <row r="288" spans="1:11" ht="54" customHeight="1">
      <c r="A288" s="2" t="s">
        <v>1005</v>
      </c>
      <c r="B288" s="2" t="s">
        <v>1006</v>
      </c>
      <c r="C288" s="2" t="s">
        <v>90</v>
      </c>
      <c r="D288" s="2" t="s">
        <v>40</v>
      </c>
      <c r="E288" s="5" t="s">
        <v>1008</v>
      </c>
      <c r="F288" s="3" t="s">
        <v>1009</v>
      </c>
      <c r="G288" s="3" t="s">
        <v>560</v>
      </c>
      <c r="H288" s="2" t="s">
        <v>22</v>
      </c>
      <c r="I288" s="2" t="s">
        <v>1010</v>
      </c>
      <c r="J288" s="3" t="str">
        <f>HYPERLINK("https://www.boe.es/gazeta/dias/1834/11/08/pdfs/GMD-C-1834-267.pdf#page=7","Abrir facsímil")</f>
        <v>Abrir facsímil</v>
      </c>
      <c r="K288" s="3" t="s">
        <v>24</v>
      </c>
    </row>
    <row r="289" spans="1:11" ht="54" customHeight="1">
      <c r="A289" s="2" t="s">
        <v>1011</v>
      </c>
      <c r="B289" s="2" t="s">
        <v>1012</v>
      </c>
      <c r="C289" s="2" t="s">
        <v>66</v>
      </c>
      <c r="D289" s="2" t="s">
        <v>67</v>
      </c>
      <c r="E289" s="5" t="s">
        <v>627</v>
      </c>
      <c r="F289" s="3" t="s">
        <v>1013</v>
      </c>
      <c r="G289" s="3" t="s">
        <v>86</v>
      </c>
      <c r="H289" s="2" t="s">
        <v>22</v>
      </c>
      <c r="I289" s="2" t="s">
        <v>1014</v>
      </c>
      <c r="J289" s="3" t="str">
        <f>HYPERLINK("https://www.boe.es/gazeta/dias/1834/09/22/pdfs/GMD-1834-220.pdf#page=2","Abrir facsímil")</f>
        <v>Abrir facsímil</v>
      </c>
      <c r="K289" s="3" t="s">
        <v>24</v>
      </c>
    </row>
    <row r="290" spans="1:11" ht="54" customHeight="1">
      <c r="A290" s="2" t="s">
        <v>1015</v>
      </c>
      <c r="B290" s="2" t="s">
        <v>1016</v>
      </c>
      <c r="C290" s="2" t="s">
        <v>17</v>
      </c>
      <c r="D290" s="2" t="s">
        <v>18</v>
      </c>
      <c r="E290" s="5" t="s">
        <v>1017</v>
      </c>
      <c r="F290" s="3" t="s">
        <v>1018</v>
      </c>
      <c r="G290" s="3" t="s">
        <v>21</v>
      </c>
      <c r="H290" s="2" t="s">
        <v>22</v>
      </c>
      <c r="I290" s="2" t="s">
        <v>1019</v>
      </c>
      <c r="J290" s="3" t="str">
        <f>HYPERLINK("https://www.boe.es/gazeta/dias/1834/07/24/pdfs/GMD-1834-157.pdf#page=3","Abrir facsímil")</f>
        <v>Abrir facsímil</v>
      </c>
      <c r="K290" s="3" t="s">
        <v>24</v>
      </c>
    </row>
    <row r="291" spans="1:11" ht="54" customHeight="1">
      <c r="A291" s="2" t="s">
        <v>1020</v>
      </c>
      <c r="B291" s="2" t="s">
        <v>1021</v>
      </c>
      <c r="C291" s="2" t="s">
        <v>17</v>
      </c>
      <c r="D291" s="2" t="s">
        <v>55</v>
      </c>
      <c r="E291" s="5" t="s">
        <v>243</v>
      </c>
      <c r="F291" s="3" t="s">
        <v>244</v>
      </c>
      <c r="G291" s="3" t="s">
        <v>34</v>
      </c>
      <c r="H291" s="2" t="s">
        <v>22</v>
      </c>
      <c r="I291" s="2" t="s">
        <v>1022</v>
      </c>
      <c r="J291" s="3" t="str">
        <f>HYPERLINK("https://www.boe.es/gazeta/dias/1834/08/05/pdfs/GMD-C-1834-169.pdf#page=1","Abrir facsímil")</f>
        <v>Abrir facsímil</v>
      </c>
      <c r="K291" s="3" t="s">
        <v>24</v>
      </c>
    </row>
    <row r="292" spans="1:11" ht="54" customHeight="1">
      <c r="A292" s="2" t="s">
        <v>1023</v>
      </c>
      <c r="B292" s="2" t="s">
        <v>1024</v>
      </c>
      <c r="C292" s="2" t="s">
        <v>17</v>
      </c>
      <c r="D292" s="2" t="s">
        <v>40</v>
      </c>
      <c r="E292" s="5" t="s">
        <v>1025</v>
      </c>
      <c r="F292" s="3" t="s">
        <v>1026</v>
      </c>
      <c r="G292" s="3" t="s">
        <v>176</v>
      </c>
      <c r="H292" s="2" t="s">
        <v>22</v>
      </c>
      <c r="I292" s="2" t="s">
        <v>1027</v>
      </c>
      <c r="J292" s="3" t="str">
        <f>HYPERLINK("https://www.boe.es/gazeta/dias/1834/03/01/pdfs/GMD-1834-27.pdf#page=6","Abrir facsímil")</f>
        <v>Abrir facsímil</v>
      </c>
      <c r="K292" s="3" t="s">
        <v>24</v>
      </c>
    </row>
    <row r="293" spans="1:11" ht="54" customHeight="1">
      <c r="A293" s="2" t="s">
        <v>1028</v>
      </c>
      <c r="B293" s="2" t="s">
        <v>1029</v>
      </c>
      <c r="C293" s="2" t="s">
        <v>90</v>
      </c>
      <c r="D293" s="2" t="s">
        <v>101</v>
      </c>
      <c r="E293" s="5" t="s">
        <v>348</v>
      </c>
      <c r="F293" s="3" t="s">
        <v>501</v>
      </c>
      <c r="G293" s="3" t="s">
        <v>86</v>
      </c>
      <c r="H293" s="2" t="s">
        <v>35</v>
      </c>
      <c r="I293" s="2" t="s">
        <v>1030</v>
      </c>
      <c r="J293" s="3" t="str">
        <f>HYPERLINK("https://www.boe.es/gazeta/dias/1834/06/12/pdfs/GMD-1834-115.pdf#page=2","Abrir facsímil")</f>
        <v>Abrir facsímil</v>
      </c>
      <c r="K293" s="3" t="s">
        <v>37</v>
      </c>
    </row>
    <row r="294" spans="1:11" ht="54" customHeight="1">
      <c r="A294" s="2" t="s">
        <v>1031</v>
      </c>
      <c r="B294" s="2" t="s">
        <v>1032</v>
      </c>
      <c r="C294" s="2" t="s">
        <v>90</v>
      </c>
      <c r="D294" s="2" t="s">
        <v>101</v>
      </c>
      <c r="E294" s="5" t="s">
        <v>348</v>
      </c>
      <c r="F294" s="3" t="s">
        <v>501</v>
      </c>
      <c r="G294" s="3" t="s">
        <v>86</v>
      </c>
      <c r="H294" s="2" t="s">
        <v>22</v>
      </c>
      <c r="I294" s="2" t="s">
        <v>1030</v>
      </c>
      <c r="J294" s="3" t="str">
        <f>HYPERLINK("https://www.boe.es/gazeta/dias/1834/06/12/pdfs/GMD-1834-115.pdf#page=2","Abrir facsímil")</f>
        <v>Abrir facsímil</v>
      </c>
      <c r="K294" s="3" t="s">
        <v>24</v>
      </c>
    </row>
    <row r="295" spans="1:11" ht="54" customHeight="1">
      <c r="A295" s="2" t="s">
        <v>1033</v>
      </c>
      <c r="B295" s="2" t="s">
        <v>1033</v>
      </c>
      <c r="C295" s="2" t="s">
        <v>17</v>
      </c>
      <c r="D295" s="2" t="s">
        <v>18</v>
      </c>
      <c r="E295" s="5" t="s">
        <v>454</v>
      </c>
      <c r="F295" s="3" t="s">
        <v>455</v>
      </c>
      <c r="G295" s="3" t="s">
        <v>21</v>
      </c>
      <c r="H295" s="2" t="s">
        <v>22</v>
      </c>
      <c r="I295" s="2" t="s">
        <v>1034</v>
      </c>
      <c r="J295" s="3" t="str">
        <f>HYPERLINK("https://www.boe.es/gazeta/dias/1834/10/16/pdfs/GMD-C-1834-244.pdf#page=3","Abrir facsímil")</f>
        <v>Abrir facsímil</v>
      </c>
      <c r="K295" s="3" t="s">
        <v>24</v>
      </c>
    </row>
    <row r="296" spans="1:11" ht="54" customHeight="1">
      <c r="A296" s="2" t="s">
        <v>1035</v>
      </c>
      <c r="B296" s="2" t="s">
        <v>1035</v>
      </c>
      <c r="C296" s="2" t="s">
        <v>66</v>
      </c>
      <c r="D296" s="2" t="s">
        <v>67</v>
      </c>
      <c r="E296" s="5" t="s">
        <v>364</v>
      </c>
      <c r="F296" s="3" t="s">
        <v>365</v>
      </c>
      <c r="G296" s="3" t="s">
        <v>34</v>
      </c>
      <c r="H296" s="2" t="s">
        <v>22</v>
      </c>
      <c r="I296" s="2" t="s">
        <v>1036</v>
      </c>
      <c r="J296" s="3" t="str">
        <f>HYPERLINK("https://www.boe.es/gazeta/dias/1834/09/06/pdfs/GMD-D-1834-204.pdf#page=1","Abrir facsímil")</f>
        <v>Abrir facsímil</v>
      </c>
      <c r="K296" s="3" t="s">
        <v>24</v>
      </c>
    </row>
    <row r="297" spans="1:11" ht="54" customHeight="1">
      <c r="A297" s="2" t="s">
        <v>1037</v>
      </c>
      <c r="B297" s="2" t="s">
        <v>1038</v>
      </c>
      <c r="C297" s="2" t="s">
        <v>90</v>
      </c>
      <c r="D297" s="2" t="s">
        <v>18</v>
      </c>
      <c r="E297" s="5" t="s">
        <v>364</v>
      </c>
      <c r="F297" s="3" t="s">
        <v>365</v>
      </c>
      <c r="G297" s="3" t="s">
        <v>34</v>
      </c>
      <c r="H297" s="2" t="s">
        <v>35</v>
      </c>
      <c r="I297" s="2" t="s">
        <v>1039</v>
      </c>
      <c r="J297" s="3" t="str">
        <f>HYPERLINK("https://www.boe.es/gazeta/dias/1834/09/06/pdfs/GMD-D-1834-204.pdf#page=1","Abrir facsímil")</f>
        <v>Abrir facsímil</v>
      </c>
      <c r="K297" s="3" t="s">
        <v>37</v>
      </c>
    </row>
    <row r="298" spans="1:11" ht="54" customHeight="1">
      <c r="A298" s="2" t="s">
        <v>1040</v>
      </c>
      <c r="B298" s="2" t="s">
        <v>1041</v>
      </c>
      <c r="C298" s="2" t="s">
        <v>90</v>
      </c>
      <c r="D298" s="2" t="s">
        <v>18</v>
      </c>
      <c r="E298" s="5" t="s">
        <v>364</v>
      </c>
      <c r="F298" s="3" t="s">
        <v>365</v>
      </c>
      <c r="G298" s="3" t="s">
        <v>34</v>
      </c>
      <c r="H298" s="2" t="s">
        <v>22</v>
      </c>
      <c r="I298" s="2" t="s">
        <v>1042</v>
      </c>
      <c r="J298" s="3" t="str">
        <f>HYPERLINK("https://www.boe.es/gazeta/dias/1834/09/06/pdfs/GMD-D-1834-204.pdf#page=1","Abrir facsímil")</f>
        <v>Abrir facsímil</v>
      </c>
      <c r="K298" s="3" t="s">
        <v>24</v>
      </c>
    </row>
    <row r="299" spans="1:11" ht="54" customHeight="1">
      <c r="A299" s="2" t="s">
        <v>1043</v>
      </c>
      <c r="B299" s="2" t="s">
        <v>1044</v>
      </c>
      <c r="C299" s="2" t="s">
        <v>66</v>
      </c>
      <c r="D299" s="2" t="s">
        <v>67</v>
      </c>
      <c r="E299" s="5" t="s">
        <v>808</v>
      </c>
      <c r="F299" s="3" t="s">
        <v>809</v>
      </c>
      <c r="G299" s="3" t="s">
        <v>21</v>
      </c>
      <c r="H299" s="2" t="s">
        <v>22</v>
      </c>
      <c r="I299" s="2" t="s">
        <v>1045</v>
      </c>
      <c r="J299" s="3" t="str">
        <f>HYPERLINK("https://www.boe.es/gazeta/dias/1834/10/11/pdfs/GMD-1834-239.pdf#page=3","Abrir facsímil")</f>
        <v>Abrir facsímil</v>
      </c>
      <c r="K299" s="3" t="s">
        <v>24</v>
      </c>
    </row>
    <row r="300" spans="1:11" ht="54" customHeight="1">
      <c r="A300" s="2" t="s">
        <v>1046</v>
      </c>
      <c r="B300" s="2" t="s">
        <v>1046</v>
      </c>
      <c r="C300" s="2" t="s">
        <v>17</v>
      </c>
      <c r="D300" s="2" t="s">
        <v>55</v>
      </c>
      <c r="E300" s="5" t="s">
        <v>394</v>
      </c>
      <c r="F300" s="3" t="s">
        <v>395</v>
      </c>
      <c r="G300" s="3" t="s">
        <v>86</v>
      </c>
      <c r="H300" s="2" t="s">
        <v>22</v>
      </c>
      <c r="I300" s="2" t="s">
        <v>1047</v>
      </c>
      <c r="J300" s="3" t="str">
        <f>HYPERLINK("https://www.boe.es/gazeta/dias/1834/12/23/pdfs/GMD-1834-313.pdf#page=2","Abrir facsímil")</f>
        <v>Abrir facsímil</v>
      </c>
      <c r="K300" s="3" t="s">
        <v>24</v>
      </c>
    </row>
    <row r="301" spans="1:11" ht="54" customHeight="1">
      <c r="A301" s="2" t="s">
        <v>1048</v>
      </c>
      <c r="B301" s="2" t="s">
        <v>1048</v>
      </c>
      <c r="C301" s="2" t="s">
        <v>17</v>
      </c>
      <c r="D301" s="2" t="s">
        <v>18</v>
      </c>
      <c r="E301" s="5" t="s">
        <v>334</v>
      </c>
      <c r="F301" s="3" t="s">
        <v>335</v>
      </c>
      <c r="G301" s="3" t="s">
        <v>86</v>
      </c>
      <c r="H301" s="2" t="s">
        <v>22</v>
      </c>
      <c r="I301" s="2" t="s">
        <v>1049</v>
      </c>
      <c r="J301" s="3" t="str">
        <f>HYPERLINK("https://www.boe.es/gazeta/dias/1834/09/11/pdfs/GMD-C-1834-209.pdf#page=2","Abrir facsímil")</f>
        <v>Abrir facsímil</v>
      </c>
      <c r="K301" s="3" t="s">
        <v>24</v>
      </c>
    </row>
    <row r="302" spans="1:11" ht="54" customHeight="1">
      <c r="A302" s="2" t="s">
        <v>1050</v>
      </c>
      <c r="B302" s="2" t="s">
        <v>1050</v>
      </c>
      <c r="C302" s="2" t="s">
        <v>17</v>
      </c>
      <c r="D302" s="2" t="s">
        <v>101</v>
      </c>
      <c r="E302" s="5" t="s">
        <v>200</v>
      </c>
      <c r="F302" s="3" t="s">
        <v>201</v>
      </c>
      <c r="G302" s="3" t="s">
        <v>21</v>
      </c>
      <c r="H302" s="2" t="s">
        <v>22</v>
      </c>
      <c r="I302" s="2" t="s">
        <v>1051</v>
      </c>
      <c r="J302" s="3" t="str">
        <f>HYPERLINK("https://www.boe.es/gazeta/dias/1834/12/11/pdfs/GMD-1834-300.pdf#page=3","Abrir facsímil")</f>
        <v>Abrir facsímil</v>
      </c>
      <c r="K302" s="3" t="s">
        <v>24</v>
      </c>
    </row>
    <row r="303" spans="1:11" ht="54" customHeight="1">
      <c r="A303" s="2" t="s">
        <v>1052</v>
      </c>
      <c r="B303" s="2" t="s">
        <v>1052</v>
      </c>
      <c r="C303" s="2" t="s">
        <v>17</v>
      </c>
      <c r="D303" s="2" t="s">
        <v>55</v>
      </c>
      <c r="E303" s="5" t="s">
        <v>912</v>
      </c>
      <c r="F303" s="3" t="s">
        <v>913</v>
      </c>
      <c r="G303" s="3" t="s">
        <v>21</v>
      </c>
      <c r="H303" s="2" t="s">
        <v>22</v>
      </c>
      <c r="I303" s="2" t="s">
        <v>1053</v>
      </c>
      <c r="J303" s="3" t="str">
        <f>HYPERLINK("https://www.boe.es/gazeta/dias/1834/02/15/pdfs/GMD-1834-21.pdf#page=3","Abrir facsímil")</f>
        <v>Abrir facsímil</v>
      </c>
      <c r="K303" s="3" t="s">
        <v>24</v>
      </c>
    </row>
    <row r="304" spans="1:11" ht="54" customHeight="1">
      <c r="A304" s="2" t="s">
        <v>1054</v>
      </c>
      <c r="B304" s="2" t="s">
        <v>1054</v>
      </c>
      <c r="C304" s="2" t="s">
        <v>17</v>
      </c>
      <c r="D304" s="2" t="s">
        <v>18</v>
      </c>
      <c r="E304" s="5" t="s">
        <v>672</v>
      </c>
      <c r="F304" s="3" t="s">
        <v>1055</v>
      </c>
      <c r="G304" s="3" t="s">
        <v>75</v>
      </c>
      <c r="H304" s="2" t="s">
        <v>22</v>
      </c>
      <c r="I304" s="2" t="s">
        <v>1056</v>
      </c>
      <c r="J304" s="3" t="str">
        <f>HYPERLINK("https://www.boe.es/gazeta/dias/1834/09/19/pdfs/GMD-C-1834-217.pdf#page=4","Abrir facsímil")</f>
        <v>Abrir facsímil</v>
      </c>
      <c r="K304" s="3" t="s">
        <v>24</v>
      </c>
    </row>
    <row r="305" spans="1:11" ht="54" customHeight="1">
      <c r="A305" s="2" t="s">
        <v>1054</v>
      </c>
      <c r="B305" s="2" t="s">
        <v>1054</v>
      </c>
      <c r="C305" s="2" t="s">
        <v>17</v>
      </c>
      <c r="D305" s="2" t="s">
        <v>18</v>
      </c>
      <c r="E305" s="5" t="s">
        <v>26</v>
      </c>
      <c r="F305" s="3" t="s">
        <v>27</v>
      </c>
      <c r="G305" s="3" t="s">
        <v>21</v>
      </c>
      <c r="H305" s="2" t="s">
        <v>22</v>
      </c>
      <c r="I305" s="2" t="s">
        <v>1057</v>
      </c>
      <c r="J305" s="3" t="str">
        <f>HYPERLINK("https://www.boe.es/gazeta/dias/1834/10/19/pdfs/GMD-C-1834-247.pdf#page=3","Abrir facsímil")</f>
        <v>Abrir facsímil</v>
      </c>
      <c r="K305" s="3" t="s">
        <v>24</v>
      </c>
    </row>
    <row r="306" spans="1:11" ht="54" customHeight="1">
      <c r="A306" s="2" t="s">
        <v>1054</v>
      </c>
      <c r="B306" s="2" t="s">
        <v>1054</v>
      </c>
      <c r="C306" s="2" t="s">
        <v>17</v>
      </c>
      <c r="D306" s="2" t="s">
        <v>18</v>
      </c>
      <c r="E306" s="5" t="s">
        <v>26</v>
      </c>
      <c r="F306" s="3" t="s">
        <v>27</v>
      </c>
      <c r="G306" s="3" t="s">
        <v>75</v>
      </c>
      <c r="H306" s="2" t="s">
        <v>22</v>
      </c>
      <c r="I306" s="2" t="s">
        <v>1058</v>
      </c>
      <c r="J306" s="3" t="str">
        <f>HYPERLINK("https://www.boe.es/gazeta/dias/1834/10/19/pdfs/GMD-C-1834-247.pdf#page=4","Abrir facsímil")</f>
        <v>Abrir facsímil</v>
      </c>
      <c r="K306" s="3" t="s">
        <v>24</v>
      </c>
    </row>
    <row r="307" spans="1:11" ht="54" customHeight="1">
      <c r="A307" s="2" t="s">
        <v>1059</v>
      </c>
      <c r="B307" s="2" t="s">
        <v>1060</v>
      </c>
      <c r="C307" s="2" t="s">
        <v>46</v>
      </c>
      <c r="D307" s="2" t="s">
        <v>101</v>
      </c>
      <c r="E307" s="5" t="s">
        <v>976</v>
      </c>
      <c r="F307" s="3" t="s">
        <v>1061</v>
      </c>
      <c r="G307" s="3" t="s">
        <v>34</v>
      </c>
      <c r="H307" s="2" t="s">
        <v>22</v>
      </c>
      <c r="I307" s="2" t="s">
        <v>1062</v>
      </c>
      <c r="J307" s="3" t="str">
        <f>HYPERLINK("https://www.boe.es/gazeta/dias/1834/04/02/pdfs/GMD-C-1834-41.pdf#page=1","Abrir facsímil")</f>
        <v>Abrir facsímil</v>
      </c>
      <c r="K307" s="3" t="s">
        <v>24</v>
      </c>
    </row>
    <row r="308" spans="1:11" ht="54" customHeight="1">
      <c r="A308" s="2" t="s">
        <v>1063</v>
      </c>
      <c r="B308" s="2" t="s">
        <v>1064</v>
      </c>
      <c r="C308" s="2" t="s">
        <v>17</v>
      </c>
      <c r="D308" s="2" t="s">
        <v>101</v>
      </c>
      <c r="E308" s="5" t="s">
        <v>32</v>
      </c>
      <c r="F308" s="3" t="s">
        <v>33</v>
      </c>
      <c r="G308" s="3" t="s">
        <v>86</v>
      </c>
      <c r="H308" s="2" t="s">
        <v>22</v>
      </c>
      <c r="I308" s="2" t="s">
        <v>1065</v>
      </c>
      <c r="J308" s="3" t="str">
        <f>HYPERLINK("https://www.boe.es/gazeta/dias/1834/04/23/pdfs/GMD-1834-62.pdf#page=2","Abrir facsímil")</f>
        <v>Abrir facsímil</v>
      </c>
      <c r="K308" s="3" t="s">
        <v>24</v>
      </c>
    </row>
    <row r="309" spans="1:11" ht="54" customHeight="1">
      <c r="A309" s="2" t="s">
        <v>1066</v>
      </c>
      <c r="B309" s="2" t="s">
        <v>1067</v>
      </c>
      <c r="C309" s="2" t="s">
        <v>17</v>
      </c>
      <c r="D309" s="2" t="s">
        <v>18</v>
      </c>
      <c r="E309" s="5" t="s">
        <v>128</v>
      </c>
      <c r="F309" s="3" t="s">
        <v>1068</v>
      </c>
      <c r="G309" s="3" t="s">
        <v>75</v>
      </c>
      <c r="H309" s="2" t="s">
        <v>22</v>
      </c>
      <c r="I309" s="2" t="s">
        <v>1069</v>
      </c>
      <c r="J309" s="3" t="str">
        <f>HYPERLINK("https://www.boe.es/gazeta/dias/1834/12/24/pdfs/GMD-1834-314.pdf#page=4","Abrir facsímil")</f>
        <v>Abrir facsímil</v>
      </c>
      <c r="K309" s="3" t="s">
        <v>24</v>
      </c>
    </row>
    <row r="310" spans="1:11" ht="54" customHeight="1">
      <c r="A310" s="2" t="s">
        <v>1070</v>
      </c>
      <c r="B310" s="2" t="s">
        <v>1071</v>
      </c>
      <c r="C310" s="2" t="s">
        <v>66</v>
      </c>
      <c r="D310" s="2" t="s">
        <v>67</v>
      </c>
      <c r="E310" s="5" t="s">
        <v>919</v>
      </c>
      <c r="F310" s="3" t="s">
        <v>920</v>
      </c>
      <c r="G310" s="3" t="s">
        <v>86</v>
      </c>
      <c r="H310" s="2" t="s">
        <v>22</v>
      </c>
      <c r="I310" s="2" t="s">
        <v>1072</v>
      </c>
      <c r="J310" s="3" t="str">
        <f>HYPERLINK("https://www.boe.es/gazeta/dias/1834/06/24/pdfs/GMD-1834-127.pdf#page=2","Abrir facsímil")</f>
        <v>Abrir facsímil</v>
      </c>
      <c r="K310" s="3" t="s">
        <v>24</v>
      </c>
    </row>
    <row r="311" spans="1:11" ht="54" customHeight="1">
      <c r="A311" s="2" t="s">
        <v>1073</v>
      </c>
      <c r="B311" s="2" t="s">
        <v>1074</v>
      </c>
      <c r="C311" s="2" t="s">
        <v>17</v>
      </c>
      <c r="D311" s="2" t="s">
        <v>55</v>
      </c>
      <c r="E311" s="5" t="s">
        <v>258</v>
      </c>
      <c r="F311" s="3" t="s">
        <v>1075</v>
      </c>
      <c r="G311" s="3" t="s">
        <v>34</v>
      </c>
      <c r="H311" s="2" t="s">
        <v>22</v>
      </c>
      <c r="I311" s="2" t="s">
        <v>1076</v>
      </c>
      <c r="J311" s="3" t="str">
        <f>HYPERLINK("https://www.boe.es/gazeta/dias/1834/10/09/pdfs/GMD-1834-237.pdf#page=1","Abrir facsímil")</f>
        <v>Abrir facsímil</v>
      </c>
      <c r="K311" s="3" t="s">
        <v>24</v>
      </c>
    </row>
    <row r="312" spans="1:11" ht="54" customHeight="1">
      <c r="A312" s="2" t="s">
        <v>1077</v>
      </c>
      <c r="B312" s="2" t="s">
        <v>1077</v>
      </c>
      <c r="C312" s="2" t="s">
        <v>122</v>
      </c>
      <c r="D312" s="2" t="s">
        <v>55</v>
      </c>
      <c r="E312" s="5" t="s">
        <v>167</v>
      </c>
      <c r="F312" s="3" t="s">
        <v>168</v>
      </c>
      <c r="G312" s="3" t="s">
        <v>86</v>
      </c>
      <c r="H312" s="2" t="s">
        <v>22</v>
      </c>
      <c r="I312" s="2" t="s">
        <v>1078</v>
      </c>
      <c r="J312" s="3" t="str">
        <f>HYPERLINK("https://www.boe.es/gazeta/dias/1834/09/07/pdfs/GMD-1834-205.pdf#page=2","Abrir facsímil")</f>
        <v>Abrir facsímil</v>
      </c>
      <c r="K312" s="3" t="s">
        <v>24</v>
      </c>
    </row>
    <row r="313" spans="1:11" ht="54" customHeight="1">
      <c r="A313" s="2" t="s">
        <v>1079</v>
      </c>
      <c r="B313" s="2" t="s">
        <v>1080</v>
      </c>
      <c r="C313" s="2" t="s">
        <v>46</v>
      </c>
      <c r="D313" s="2" t="s">
        <v>18</v>
      </c>
      <c r="E313" s="5" t="s">
        <v>866</v>
      </c>
      <c r="F313" s="3" t="s">
        <v>867</v>
      </c>
      <c r="G313" s="3" t="s">
        <v>86</v>
      </c>
      <c r="H313" s="2" t="s">
        <v>22</v>
      </c>
      <c r="I313" s="2" t="s">
        <v>1081</v>
      </c>
      <c r="J313" s="3" t="str">
        <f>HYPERLINK("https://www.boe.es/gazeta/dias/1834/01/18/pdfs/GMD-1834-9.pdf#page=2","Abrir facsímil")</f>
        <v>Abrir facsímil</v>
      </c>
      <c r="K313" s="3" t="s">
        <v>24</v>
      </c>
    </row>
    <row r="314" spans="1:11" ht="54" customHeight="1">
      <c r="A314" s="2" t="s">
        <v>1082</v>
      </c>
      <c r="B314" s="2" t="s">
        <v>1083</v>
      </c>
      <c r="C314" s="2" t="s">
        <v>17</v>
      </c>
      <c r="D314" s="2" t="s">
        <v>18</v>
      </c>
      <c r="E314" s="5" t="s">
        <v>1084</v>
      </c>
      <c r="F314" s="3" t="s">
        <v>1085</v>
      </c>
      <c r="G314" s="3" t="s">
        <v>28</v>
      </c>
      <c r="H314" s="2" t="s">
        <v>22</v>
      </c>
      <c r="I314" s="2" t="s">
        <v>1086</v>
      </c>
      <c r="J314" s="3" t="str">
        <f>HYPERLINK("https://www.boe.es/gazeta/dias/1834/05/01/pdfs/GMD-1834-70.pdf#page=5","Abrir facsímil")</f>
        <v>Abrir facsímil</v>
      </c>
      <c r="K314" s="3" t="s">
        <v>24</v>
      </c>
    </row>
    <row r="315" spans="1:11" ht="54" customHeight="1">
      <c r="A315" s="2" t="s">
        <v>1087</v>
      </c>
      <c r="B315" s="2" t="s">
        <v>1088</v>
      </c>
      <c r="C315" s="2" t="s">
        <v>17</v>
      </c>
      <c r="D315" s="2" t="s">
        <v>18</v>
      </c>
      <c r="E315" s="5" t="s">
        <v>1084</v>
      </c>
      <c r="F315" s="3" t="s">
        <v>1085</v>
      </c>
      <c r="G315" s="3" t="s">
        <v>28</v>
      </c>
      <c r="H315" s="2" t="s">
        <v>22</v>
      </c>
      <c r="I315" s="2" t="s">
        <v>1089</v>
      </c>
      <c r="J315" s="3" t="str">
        <f>HYPERLINK("https://www.boe.es/gazeta/dias/1834/05/01/pdfs/GMD-1834-70.pdf#page=5","Abrir facsímil")</f>
        <v>Abrir facsímil</v>
      </c>
      <c r="K315" s="3" t="s">
        <v>24</v>
      </c>
    </row>
    <row r="316" spans="1:11" ht="54" customHeight="1">
      <c r="A316" s="2" t="s">
        <v>1090</v>
      </c>
      <c r="B316" s="2" t="s">
        <v>1090</v>
      </c>
      <c r="C316" s="2" t="s">
        <v>17</v>
      </c>
      <c r="D316" s="2" t="s">
        <v>18</v>
      </c>
      <c r="E316" s="5" t="s">
        <v>299</v>
      </c>
      <c r="F316" s="3" t="s">
        <v>300</v>
      </c>
      <c r="G316" s="3" t="s">
        <v>34</v>
      </c>
      <c r="H316" s="2" t="s">
        <v>22</v>
      </c>
      <c r="I316" s="2" t="s">
        <v>1091</v>
      </c>
      <c r="J316" s="3" t="str">
        <f>HYPERLINK("https://www.boe.es/gazeta/dias/1834/12/12/pdfs/GMD-1834-301.pdf#page=1","Abrir facsímil")</f>
        <v>Abrir facsímil</v>
      </c>
      <c r="K316" s="3" t="s">
        <v>24</v>
      </c>
    </row>
    <row r="317" spans="1:11" ht="54" customHeight="1">
      <c r="A317" s="2" t="s">
        <v>1092</v>
      </c>
      <c r="B317" s="2" t="s">
        <v>1093</v>
      </c>
      <c r="C317" s="2" t="s">
        <v>46</v>
      </c>
      <c r="D317" s="2" t="s">
        <v>55</v>
      </c>
      <c r="E317" s="5" t="s">
        <v>1094</v>
      </c>
      <c r="F317" s="3" t="s">
        <v>1095</v>
      </c>
      <c r="G317" s="3" t="s">
        <v>34</v>
      </c>
      <c r="H317" s="2" t="s">
        <v>22</v>
      </c>
      <c r="I317" s="2" t="s">
        <v>1096</v>
      </c>
      <c r="J317" s="3" t="str">
        <f>HYPERLINK("https://www.boe.es/gazeta/dias/1834/07/13/pdfs/GMD-1834-146.pdf#page=1","Abrir facsímil")</f>
        <v>Abrir facsímil</v>
      </c>
      <c r="K317" s="3" t="s">
        <v>24</v>
      </c>
    </row>
    <row r="318" spans="1:11" ht="54" customHeight="1">
      <c r="A318" s="2" t="s">
        <v>1097</v>
      </c>
      <c r="B318" s="2" t="s">
        <v>1098</v>
      </c>
      <c r="C318" s="2" t="s">
        <v>90</v>
      </c>
      <c r="D318" s="2" t="s">
        <v>18</v>
      </c>
      <c r="E318" s="5" t="s">
        <v>468</v>
      </c>
      <c r="F318" s="3" t="s">
        <v>469</v>
      </c>
      <c r="G318" s="3" t="s">
        <v>1099</v>
      </c>
      <c r="H318" s="2" t="s">
        <v>22</v>
      </c>
      <c r="I318" s="2" t="s">
        <v>1100</v>
      </c>
      <c r="J318" s="3" t="str">
        <f>HYPERLINK("https://www.boe.es/gazeta/dias/1834/12/28/pdfs/GMD-C-1834-318.pdf#page=11","Abrir facsímil")</f>
        <v>Abrir facsímil</v>
      </c>
      <c r="K318" s="3" t="s">
        <v>24</v>
      </c>
    </row>
    <row r="319" spans="1:11" ht="54" customHeight="1">
      <c r="A319" s="2" t="s">
        <v>1101</v>
      </c>
      <c r="B319" s="2" t="s">
        <v>1102</v>
      </c>
      <c r="C319" s="2" t="s">
        <v>66</v>
      </c>
      <c r="D319" s="2" t="s">
        <v>67</v>
      </c>
      <c r="E319" s="5" t="s">
        <v>1103</v>
      </c>
      <c r="F319" s="3" t="s">
        <v>1104</v>
      </c>
      <c r="G319" s="3" t="s">
        <v>86</v>
      </c>
      <c r="H319" s="2" t="s">
        <v>22</v>
      </c>
      <c r="I319" s="2" t="s">
        <v>1105</v>
      </c>
      <c r="J319" s="3" t="str">
        <f>HYPERLINK("https://www.boe.es/gazeta/dias/1834/10/10/pdfs/GMD-C-1834-238.pdf#page=2","Abrir facsímil")</f>
        <v>Abrir facsímil</v>
      </c>
      <c r="K319" s="3" t="s">
        <v>24</v>
      </c>
    </row>
    <row r="320" spans="1:11" ht="54" customHeight="1">
      <c r="A320" s="2" t="s">
        <v>1101</v>
      </c>
      <c r="B320" s="2" t="s">
        <v>1102</v>
      </c>
      <c r="C320" s="2" t="s">
        <v>17</v>
      </c>
      <c r="D320" s="2" t="s">
        <v>18</v>
      </c>
      <c r="E320" s="5" t="s">
        <v>510</v>
      </c>
      <c r="F320" s="3" t="s">
        <v>531</v>
      </c>
      <c r="G320" s="3" t="s">
        <v>28</v>
      </c>
      <c r="H320" s="2" t="s">
        <v>22</v>
      </c>
      <c r="I320" s="2" t="s">
        <v>1106</v>
      </c>
      <c r="J320" s="3" t="str">
        <f>HYPERLINK("https://www.boe.es/gazeta/dias/1834/11/26/pdfs/GMD-C-1834-285.pdf#page=5","Abrir facsímil")</f>
        <v>Abrir facsímil</v>
      </c>
      <c r="K320" s="3" t="s">
        <v>24</v>
      </c>
    </row>
    <row r="321" spans="1:11" ht="54" customHeight="1">
      <c r="A321" s="2" t="s">
        <v>1107</v>
      </c>
      <c r="B321" s="2" t="s">
        <v>1108</v>
      </c>
      <c r="C321" s="2" t="s">
        <v>17</v>
      </c>
      <c r="D321" s="2" t="s">
        <v>18</v>
      </c>
      <c r="E321" s="5" t="s">
        <v>243</v>
      </c>
      <c r="F321" s="3" t="s">
        <v>1109</v>
      </c>
      <c r="G321" s="3" t="s">
        <v>21</v>
      </c>
      <c r="H321" s="2" t="s">
        <v>22</v>
      </c>
      <c r="I321" s="2" t="s">
        <v>1110</v>
      </c>
      <c r="J321" s="3" t="str">
        <f>HYPERLINK("https://www.boe.es/gazeta/dias/1834/08/05/pdfs/GMD-1834-169.pdf#page=3","Abrir facsímil")</f>
        <v>Abrir facsímil</v>
      </c>
      <c r="K321" s="3" t="s">
        <v>24</v>
      </c>
    </row>
    <row r="322" spans="1:11" ht="54" customHeight="1">
      <c r="A322" s="2" t="s">
        <v>1111</v>
      </c>
      <c r="B322" s="2" t="s">
        <v>1111</v>
      </c>
      <c r="C322" s="2" t="s">
        <v>46</v>
      </c>
      <c r="D322" s="2" t="s">
        <v>101</v>
      </c>
      <c r="E322" s="5" t="s">
        <v>79</v>
      </c>
      <c r="F322" s="3" t="s">
        <v>80</v>
      </c>
      <c r="G322" s="3" t="s">
        <v>75</v>
      </c>
      <c r="H322" s="2" t="s">
        <v>22</v>
      </c>
      <c r="I322" s="2" t="s">
        <v>1112</v>
      </c>
      <c r="J322" s="3" t="str">
        <f>HYPERLINK("https://www.boe.es/gazeta/dias/1834/07/12/pdfs/GMD-1834-145.pdf#page=4","Abrir facsímil")</f>
        <v>Abrir facsímil</v>
      </c>
      <c r="K322" s="3" t="s">
        <v>24</v>
      </c>
    </row>
    <row r="323" spans="1:11" ht="54" customHeight="1">
      <c r="A323" s="2" t="s">
        <v>1111</v>
      </c>
      <c r="B323" s="2" t="s">
        <v>1111</v>
      </c>
      <c r="C323" s="2" t="s">
        <v>17</v>
      </c>
      <c r="D323" s="2" t="s">
        <v>18</v>
      </c>
      <c r="E323" s="5" t="s">
        <v>1113</v>
      </c>
      <c r="F323" s="3" t="s">
        <v>1114</v>
      </c>
      <c r="G323" s="3" t="s">
        <v>75</v>
      </c>
      <c r="H323" s="2" t="s">
        <v>22</v>
      </c>
      <c r="I323" s="2" t="s">
        <v>1115</v>
      </c>
      <c r="J323" s="3" t="str">
        <f>HYPERLINK("https://www.boe.es/gazeta/dias/1834/04/14/pdfs/GMD-1834-53.pdf#page=4","Abrir facsímil")</f>
        <v>Abrir facsímil</v>
      </c>
      <c r="K323" s="3" t="s">
        <v>24</v>
      </c>
    </row>
    <row r="324" spans="1:11" ht="54" customHeight="1">
      <c r="A324" s="2" t="s">
        <v>1111</v>
      </c>
      <c r="B324" s="2" t="s">
        <v>1111</v>
      </c>
      <c r="C324" s="2" t="s">
        <v>17</v>
      </c>
      <c r="D324" s="2" t="s">
        <v>40</v>
      </c>
      <c r="E324" s="5" t="s">
        <v>1116</v>
      </c>
      <c r="F324" s="3" t="s">
        <v>1117</v>
      </c>
      <c r="G324" s="3" t="s">
        <v>75</v>
      </c>
      <c r="H324" s="2" t="s">
        <v>22</v>
      </c>
      <c r="I324" s="2" t="s">
        <v>1118</v>
      </c>
      <c r="J324" s="3" t="str">
        <f>HYPERLINK("https://www.boe.es/gazeta/dias/1834/05/16/pdfs/GMD-1834-85.pdf#page=4","Abrir facsímil")</f>
        <v>Abrir facsímil</v>
      </c>
      <c r="K324" s="3" t="s">
        <v>24</v>
      </c>
    </row>
    <row r="325" spans="1:11" ht="54" customHeight="1">
      <c r="A325" s="2" t="s">
        <v>1111</v>
      </c>
      <c r="B325" s="2" t="s">
        <v>1111</v>
      </c>
      <c r="C325" s="2" t="s">
        <v>66</v>
      </c>
      <c r="D325" s="2" t="s">
        <v>67</v>
      </c>
      <c r="E325" s="5" t="s">
        <v>1119</v>
      </c>
      <c r="F325" s="3" t="s">
        <v>1120</v>
      </c>
      <c r="G325" s="3" t="s">
        <v>21</v>
      </c>
      <c r="H325" s="2" t="s">
        <v>22</v>
      </c>
      <c r="I325" s="2" t="s">
        <v>1121</v>
      </c>
      <c r="J325" s="3" t="str">
        <f>HYPERLINK("https://www.boe.es/gazeta/dias/1834/07/17/pdfs/GMD-1834-150.pdf#page=3","Abrir facsímil")</f>
        <v>Abrir facsímil</v>
      </c>
      <c r="K325" s="3" t="s">
        <v>24</v>
      </c>
    </row>
    <row r="326" spans="1:11" ht="54" customHeight="1">
      <c r="A326" s="2" t="s">
        <v>1111</v>
      </c>
      <c r="B326" s="2" t="s">
        <v>1111</v>
      </c>
      <c r="C326" s="2" t="s">
        <v>66</v>
      </c>
      <c r="D326" s="2" t="s">
        <v>67</v>
      </c>
      <c r="E326" s="5" t="s">
        <v>187</v>
      </c>
      <c r="F326" s="3" t="s">
        <v>188</v>
      </c>
      <c r="G326" s="3" t="s">
        <v>21</v>
      </c>
      <c r="H326" s="2" t="s">
        <v>22</v>
      </c>
      <c r="I326" s="2" t="s">
        <v>1122</v>
      </c>
      <c r="J326" s="3" t="str">
        <f>HYPERLINK("https://www.boe.es/gazeta/dias/1834/09/30/pdfs/GMD-1834-228.pdf#page=3","Abrir facsímil")</f>
        <v>Abrir facsímil</v>
      </c>
      <c r="K326" s="3" t="s">
        <v>24</v>
      </c>
    </row>
    <row r="327" spans="1:11" ht="54" customHeight="1">
      <c r="A327" s="2" t="s">
        <v>1123</v>
      </c>
      <c r="B327" s="2" t="s">
        <v>1124</v>
      </c>
      <c r="C327" s="2" t="s">
        <v>17</v>
      </c>
      <c r="D327" s="2" t="s">
        <v>18</v>
      </c>
      <c r="E327" s="5" t="s">
        <v>1125</v>
      </c>
      <c r="F327" s="3" t="s">
        <v>1126</v>
      </c>
      <c r="G327" s="3" t="s">
        <v>86</v>
      </c>
      <c r="H327" s="2" t="s">
        <v>35</v>
      </c>
      <c r="I327" s="2" t="s">
        <v>1127</v>
      </c>
      <c r="J327" s="3" t="str">
        <f>HYPERLINK("https://www.boe.es/gazeta/dias/1834/04/17/pdfs/GMD-C-1834-56.pdf#page=2","Abrir facsímil")</f>
        <v>Abrir facsímil</v>
      </c>
      <c r="K327" s="3" t="s">
        <v>37</v>
      </c>
    </row>
    <row r="328" spans="1:11" ht="54" customHeight="1">
      <c r="A328" s="2" t="s">
        <v>1128</v>
      </c>
      <c r="B328" s="2" t="s">
        <v>1129</v>
      </c>
      <c r="C328" s="2" t="s">
        <v>46</v>
      </c>
      <c r="D328" s="2" t="s">
        <v>55</v>
      </c>
      <c r="E328" s="5" t="s">
        <v>416</v>
      </c>
      <c r="F328" s="3" t="s">
        <v>1130</v>
      </c>
      <c r="G328" s="3" t="s">
        <v>86</v>
      </c>
      <c r="H328" s="2" t="s">
        <v>35</v>
      </c>
      <c r="I328" s="2" t="s">
        <v>1131</v>
      </c>
      <c r="J328" s="3" t="str">
        <f>HYPERLINK("https://www.boe.es/gazeta/dias/1834/10/02/pdfs/GMD-1834-230.pdf#page=2","Abrir facsímil")</f>
        <v>Abrir facsímil</v>
      </c>
      <c r="K328" s="3" t="s">
        <v>37</v>
      </c>
    </row>
    <row r="329" spans="1:11" ht="54" customHeight="1">
      <c r="A329" s="2" t="s">
        <v>1128</v>
      </c>
      <c r="B329" s="2" t="s">
        <v>1129</v>
      </c>
      <c r="C329" s="2" t="s">
        <v>17</v>
      </c>
      <c r="D329" s="2" t="s">
        <v>18</v>
      </c>
      <c r="E329" s="5" t="s">
        <v>133</v>
      </c>
      <c r="F329" s="3" t="s">
        <v>134</v>
      </c>
      <c r="G329" s="3" t="s">
        <v>75</v>
      </c>
      <c r="H329" s="2" t="s">
        <v>35</v>
      </c>
      <c r="I329" s="2" t="s">
        <v>1132</v>
      </c>
      <c r="J329" s="3" t="str">
        <f>HYPERLINK("https://www.boe.es/gazeta/dias/1834/06/18/pdfs/GMD-1834-121.pdf#page=4","Abrir facsímil")</f>
        <v>Abrir facsímil</v>
      </c>
      <c r="K329" s="3" t="s">
        <v>37</v>
      </c>
    </row>
    <row r="330" spans="1:11" ht="54" customHeight="1">
      <c r="A330" s="2" t="s">
        <v>1128</v>
      </c>
      <c r="B330" s="2" t="s">
        <v>1129</v>
      </c>
      <c r="C330" s="2" t="s">
        <v>17</v>
      </c>
      <c r="D330" s="2" t="s">
        <v>18</v>
      </c>
      <c r="E330" s="5" t="s">
        <v>32</v>
      </c>
      <c r="F330" s="3" t="s">
        <v>33</v>
      </c>
      <c r="G330" s="3" t="s">
        <v>28</v>
      </c>
      <c r="H330" s="2" t="s">
        <v>35</v>
      </c>
      <c r="I330" s="2" t="s">
        <v>1133</v>
      </c>
      <c r="J330" s="3" t="str">
        <f>HYPERLINK("https://www.boe.es/gazeta/dias/1834/04/23/pdfs/GMD-1834-62.pdf#page=5","Abrir facsímil")</f>
        <v>Abrir facsímil</v>
      </c>
      <c r="K330" s="3" t="s">
        <v>37</v>
      </c>
    </row>
    <row r="331" spans="1:11" ht="54" customHeight="1">
      <c r="A331" s="2" t="s">
        <v>1128</v>
      </c>
      <c r="B331" s="2" t="s">
        <v>1129</v>
      </c>
      <c r="C331" s="2" t="s">
        <v>17</v>
      </c>
      <c r="D331" s="2" t="s">
        <v>18</v>
      </c>
      <c r="E331" s="5" t="s">
        <v>739</v>
      </c>
      <c r="F331" s="3" t="s">
        <v>740</v>
      </c>
      <c r="G331" s="3" t="s">
        <v>75</v>
      </c>
      <c r="H331" s="2" t="s">
        <v>35</v>
      </c>
      <c r="I331" s="2" t="s">
        <v>1134</v>
      </c>
      <c r="J331" s="3" t="str">
        <f>HYPERLINK("https://www.boe.es/gazeta/dias/1834/03/25/pdfs/GMD-1834-37.pdf#page=4","Abrir facsímil")</f>
        <v>Abrir facsímil</v>
      </c>
      <c r="K331" s="3" t="s">
        <v>37</v>
      </c>
    </row>
    <row r="332" spans="1:11" ht="54" customHeight="1">
      <c r="A332" s="2" t="s">
        <v>1128</v>
      </c>
      <c r="B332" s="2" t="s">
        <v>1129</v>
      </c>
      <c r="C332" s="2" t="s">
        <v>66</v>
      </c>
      <c r="D332" s="2" t="s">
        <v>55</v>
      </c>
      <c r="E332" s="5" t="s">
        <v>1135</v>
      </c>
      <c r="F332" s="3" t="s">
        <v>1136</v>
      </c>
      <c r="G332" s="3" t="s">
        <v>21</v>
      </c>
      <c r="H332" s="2" t="s">
        <v>35</v>
      </c>
      <c r="I332" s="2" t="s">
        <v>1137</v>
      </c>
      <c r="J332" s="3" t="str">
        <f>HYPERLINK("https://www.boe.es/gazeta/dias/1834/08/26/pdfs/GMD-1834-192.pdf#page=3","Abrir facsímil")</f>
        <v>Abrir facsímil</v>
      </c>
      <c r="K332" s="3" t="s">
        <v>37</v>
      </c>
    </row>
    <row r="333" spans="1:11" ht="54" customHeight="1">
      <c r="A333" s="2" t="s">
        <v>1138</v>
      </c>
      <c r="B333" s="2" t="s">
        <v>1139</v>
      </c>
      <c r="C333" s="2" t="s">
        <v>17</v>
      </c>
      <c r="D333" s="2" t="s">
        <v>18</v>
      </c>
      <c r="E333" s="5" t="s">
        <v>719</v>
      </c>
      <c r="F333" s="3" t="s">
        <v>720</v>
      </c>
      <c r="G333" s="3" t="s">
        <v>21</v>
      </c>
      <c r="H333" s="2" t="s">
        <v>35</v>
      </c>
      <c r="I333" s="2" t="s">
        <v>1140</v>
      </c>
      <c r="J333" s="3" t="str">
        <f>HYPERLINK("https://www.boe.es/gazeta/dias/1834/04/29/pdfs/GMD-1834-68.pdf#page=3","Abrir facsímil")</f>
        <v>Abrir facsímil</v>
      </c>
      <c r="K333" s="3" t="s">
        <v>37</v>
      </c>
    </row>
    <row r="334" spans="1:11" ht="54" customHeight="1">
      <c r="A334" s="2" t="s">
        <v>1128</v>
      </c>
      <c r="B334" s="2" t="s">
        <v>1129</v>
      </c>
      <c r="C334" s="2" t="s">
        <v>66</v>
      </c>
      <c r="D334" s="2" t="s">
        <v>67</v>
      </c>
      <c r="E334" s="5" t="s">
        <v>1141</v>
      </c>
      <c r="F334" s="3" t="s">
        <v>1142</v>
      </c>
      <c r="G334" s="3" t="s">
        <v>75</v>
      </c>
      <c r="H334" s="2" t="s">
        <v>35</v>
      </c>
      <c r="I334" s="2" t="s">
        <v>1143</v>
      </c>
      <c r="J334" s="3" t="str">
        <f>HYPERLINK("https://www.boe.es/gazeta/dias/1834/04/30/pdfs/GMD-1834-69.pdf#page=4","Abrir facsímil")</f>
        <v>Abrir facsímil</v>
      </c>
      <c r="K334" s="3" t="s">
        <v>37</v>
      </c>
    </row>
    <row r="335" spans="1:11" ht="54" customHeight="1">
      <c r="A335" s="2" t="s">
        <v>1144</v>
      </c>
      <c r="B335" s="2" t="s">
        <v>1145</v>
      </c>
      <c r="C335" s="2" t="s">
        <v>17</v>
      </c>
      <c r="D335" s="2" t="s">
        <v>18</v>
      </c>
      <c r="E335" s="5" t="s">
        <v>79</v>
      </c>
      <c r="F335" s="3" t="s">
        <v>80</v>
      </c>
      <c r="G335" s="3" t="s">
        <v>75</v>
      </c>
      <c r="H335" s="2" t="s">
        <v>35</v>
      </c>
      <c r="I335" s="2" t="s">
        <v>1146</v>
      </c>
      <c r="J335" s="3" t="str">
        <f>HYPERLINK("https://www.boe.es/gazeta/dias/1834/07/12/pdfs/GMD-1834-145.pdf#page=4","Abrir facsímil")</f>
        <v>Abrir facsímil</v>
      </c>
      <c r="K335" s="3" t="s">
        <v>37</v>
      </c>
    </row>
    <row r="336" spans="1:11" ht="54" customHeight="1">
      <c r="A336" s="2" t="s">
        <v>1147</v>
      </c>
      <c r="B336" s="2" t="s">
        <v>1148</v>
      </c>
      <c r="C336" s="2" t="s">
        <v>17</v>
      </c>
      <c r="D336" s="2" t="s">
        <v>18</v>
      </c>
      <c r="E336" s="5" t="s">
        <v>1125</v>
      </c>
      <c r="F336" s="3" t="s">
        <v>1126</v>
      </c>
      <c r="G336" s="3" t="s">
        <v>86</v>
      </c>
      <c r="H336" s="2" t="s">
        <v>22</v>
      </c>
      <c r="I336" s="2" t="s">
        <v>1127</v>
      </c>
      <c r="J336" s="3" t="str">
        <f>HYPERLINK("https://www.boe.es/gazeta/dias/1834/04/17/pdfs/GMD-C-1834-56.pdf#page=2","Abrir facsímil")</f>
        <v>Abrir facsímil</v>
      </c>
      <c r="K336" s="3" t="s">
        <v>24</v>
      </c>
    </row>
    <row r="337" spans="1:11" ht="54" customHeight="1">
      <c r="A337" s="2" t="s">
        <v>1149</v>
      </c>
      <c r="B337" s="2" t="s">
        <v>1150</v>
      </c>
      <c r="C337" s="2" t="s">
        <v>46</v>
      </c>
      <c r="D337" s="2" t="s">
        <v>55</v>
      </c>
      <c r="E337" s="5" t="s">
        <v>416</v>
      </c>
      <c r="F337" s="3" t="s">
        <v>1130</v>
      </c>
      <c r="G337" s="3" t="s">
        <v>86</v>
      </c>
      <c r="H337" s="2" t="s">
        <v>22</v>
      </c>
      <c r="I337" s="2" t="s">
        <v>1151</v>
      </c>
      <c r="J337" s="3" t="str">
        <f>HYPERLINK("https://www.boe.es/gazeta/dias/1834/10/02/pdfs/GMD-1834-230.pdf#page=2","Abrir facsímil")</f>
        <v>Abrir facsímil</v>
      </c>
      <c r="K337" s="3" t="s">
        <v>24</v>
      </c>
    </row>
    <row r="338" spans="1:11" ht="54" customHeight="1">
      <c r="A338" s="2" t="s">
        <v>1152</v>
      </c>
      <c r="B338" s="2" t="s">
        <v>1153</v>
      </c>
      <c r="C338" s="2" t="s">
        <v>17</v>
      </c>
      <c r="D338" s="2" t="s">
        <v>55</v>
      </c>
      <c r="E338" s="5" t="s">
        <v>138</v>
      </c>
      <c r="F338" s="3" t="s">
        <v>139</v>
      </c>
      <c r="G338" s="3" t="s">
        <v>21</v>
      </c>
      <c r="H338" s="2" t="s">
        <v>22</v>
      </c>
      <c r="I338" s="2" t="s">
        <v>1154</v>
      </c>
      <c r="J338" s="3" t="str">
        <f>HYPERLINK("https://www.boe.es/gazeta/dias/1834/05/17/pdfs/GMD-1834-86.pdf#page=3","Abrir facsímil")</f>
        <v>Abrir facsímil</v>
      </c>
      <c r="K338" s="3" t="s">
        <v>24</v>
      </c>
    </row>
    <row r="339" spans="1:11" ht="54" customHeight="1">
      <c r="A339" s="2" t="s">
        <v>1149</v>
      </c>
      <c r="B339" s="2" t="s">
        <v>1150</v>
      </c>
      <c r="C339" s="2" t="s">
        <v>17</v>
      </c>
      <c r="D339" s="2" t="s">
        <v>18</v>
      </c>
      <c r="E339" s="5" t="s">
        <v>133</v>
      </c>
      <c r="F339" s="3" t="s">
        <v>134</v>
      </c>
      <c r="G339" s="3" t="s">
        <v>75</v>
      </c>
      <c r="H339" s="2" t="s">
        <v>22</v>
      </c>
      <c r="I339" s="2" t="s">
        <v>1155</v>
      </c>
      <c r="J339" s="3" t="str">
        <f>HYPERLINK("https://www.boe.es/gazeta/dias/1834/06/18/pdfs/GMD-1834-121.pdf#page=4","Abrir facsímil")</f>
        <v>Abrir facsímil</v>
      </c>
      <c r="K339" s="3" t="s">
        <v>24</v>
      </c>
    </row>
    <row r="340" spans="1:11" ht="54" customHeight="1">
      <c r="A340" s="2" t="s">
        <v>1149</v>
      </c>
      <c r="B340" s="2" t="s">
        <v>1150</v>
      </c>
      <c r="C340" s="2" t="s">
        <v>17</v>
      </c>
      <c r="D340" s="2" t="s">
        <v>18</v>
      </c>
      <c r="E340" s="5" t="s">
        <v>32</v>
      </c>
      <c r="F340" s="3" t="s">
        <v>33</v>
      </c>
      <c r="G340" s="3" t="s">
        <v>28</v>
      </c>
      <c r="H340" s="2" t="s">
        <v>22</v>
      </c>
      <c r="I340" s="2" t="s">
        <v>1156</v>
      </c>
      <c r="J340" s="3" t="str">
        <f>HYPERLINK("https://www.boe.es/gazeta/dias/1834/04/23/pdfs/GMD-1834-62.pdf#page=5","Abrir facsímil")</f>
        <v>Abrir facsímil</v>
      </c>
      <c r="K340" s="3" t="s">
        <v>24</v>
      </c>
    </row>
    <row r="341" spans="1:11" ht="54" customHeight="1">
      <c r="A341" s="2" t="s">
        <v>1149</v>
      </c>
      <c r="B341" s="2" t="s">
        <v>1150</v>
      </c>
      <c r="C341" s="2" t="s">
        <v>17</v>
      </c>
      <c r="D341" s="2" t="s">
        <v>18</v>
      </c>
      <c r="E341" s="5" t="s">
        <v>739</v>
      </c>
      <c r="F341" s="3" t="s">
        <v>740</v>
      </c>
      <c r="G341" s="3" t="s">
        <v>75</v>
      </c>
      <c r="H341" s="2" t="s">
        <v>22</v>
      </c>
      <c r="I341" s="2" t="s">
        <v>1157</v>
      </c>
      <c r="J341" s="3" t="str">
        <f>HYPERLINK("https://www.boe.es/gazeta/dias/1834/03/25/pdfs/GMD-1834-37.pdf#page=4","Abrir facsímil")</f>
        <v>Abrir facsímil</v>
      </c>
      <c r="K341" s="3" t="s">
        <v>24</v>
      </c>
    </row>
    <row r="342" spans="1:11" ht="54" customHeight="1">
      <c r="A342" s="2" t="s">
        <v>1149</v>
      </c>
      <c r="B342" s="2" t="s">
        <v>1150</v>
      </c>
      <c r="C342" s="2" t="s">
        <v>66</v>
      </c>
      <c r="D342" s="2" t="s">
        <v>55</v>
      </c>
      <c r="E342" s="5" t="s">
        <v>1135</v>
      </c>
      <c r="F342" s="3" t="s">
        <v>1136</v>
      </c>
      <c r="G342" s="3" t="s">
        <v>21</v>
      </c>
      <c r="H342" s="2" t="s">
        <v>22</v>
      </c>
      <c r="I342" s="2" t="s">
        <v>1158</v>
      </c>
      <c r="J342" s="3" t="str">
        <f>HYPERLINK("https://www.boe.es/gazeta/dias/1834/08/26/pdfs/GMD-1834-192.pdf#page=3","Abrir facsímil")</f>
        <v>Abrir facsímil</v>
      </c>
      <c r="K342" s="3" t="s">
        <v>24</v>
      </c>
    </row>
    <row r="343" spans="1:11" ht="54" customHeight="1">
      <c r="A343" s="2" t="s">
        <v>1152</v>
      </c>
      <c r="B343" s="2" t="s">
        <v>1153</v>
      </c>
      <c r="C343" s="2" t="s">
        <v>17</v>
      </c>
      <c r="D343" s="2" t="s">
        <v>18</v>
      </c>
      <c r="E343" s="5" t="s">
        <v>719</v>
      </c>
      <c r="F343" s="3" t="s">
        <v>720</v>
      </c>
      <c r="G343" s="3" t="s">
        <v>21</v>
      </c>
      <c r="H343" s="2" t="s">
        <v>22</v>
      </c>
      <c r="I343" s="2" t="s">
        <v>1159</v>
      </c>
      <c r="J343" s="3" t="str">
        <f>HYPERLINK("https://www.boe.es/gazeta/dias/1834/04/29/pdfs/GMD-1834-68.pdf#page=3","Abrir facsímil")</f>
        <v>Abrir facsímil</v>
      </c>
      <c r="K343" s="3" t="s">
        <v>24</v>
      </c>
    </row>
    <row r="344" spans="1:11" ht="54" customHeight="1">
      <c r="A344" s="2" t="s">
        <v>1149</v>
      </c>
      <c r="B344" s="2" t="s">
        <v>1150</v>
      </c>
      <c r="C344" s="2" t="s">
        <v>66</v>
      </c>
      <c r="D344" s="2" t="s">
        <v>67</v>
      </c>
      <c r="E344" s="5" t="s">
        <v>1141</v>
      </c>
      <c r="F344" s="3" t="s">
        <v>1142</v>
      </c>
      <c r="G344" s="3" t="s">
        <v>75</v>
      </c>
      <c r="H344" s="2" t="s">
        <v>22</v>
      </c>
      <c r="I344" s="2" t="s">
        <v>1160</v>
      </c>
      <c r="J344" s="3" t="str">
        <f>HYPERLINK("https://www.boe.es/gazeta/dias/1834/04/30/pdfs/GMD-1834-69.pdf#page=4","Abrir facsímil")</f>
        <v>Abrir facsímil</v>
      </c>
      <c r="K344" s="3" t="s">
        <v>24</v>
      </c>
    </row>
    <row r="345" spans="1:11" ht="54" customHeight="1">
      <c r="A345" s="2" t="s">
        <v>1149</v>
      </c>
      <c r="B345" s="2" t="s">
        <v>1150</v>
      </c>
      <c r="C345" s="2" t="s">
        <v>17</v>
      </c>
      <c r="D345" s="2" t="s">
        <v>18</v>
      </c>
      <c r="E345" s="5" t="s">
        <v>187</v>
      </c>
      <c r="F345" s="3" t="s">
        <v>188</v>
      </c>
      <c r="G345" s="3" t="s">
        <v>21</v>
      </c>
      <c r="H345" s="2" t="s">
        <v>22</v>
      </c>
      <c r="I345" s="2" t="s">
        <v>1161</v>
      </c>
      <c r="J345" s="3" t="str">
        <f>HYPERLINK("https://www.boe.es/gazeta/dias/1834/09/30/pdfs/GMD-1834-228.pdf#page=3","Abrir facsímil")</f>
        <v>Abrir facsímil</v>
      </c>
      <c r="K345" s="3" t="s">
        <v>24</v>
      </c>
    </row>
    <row r="346" spans="1:11" ht="54" customHeight="1">
      <c r="A346" s="2" t="s">
        <v>1162</v>
      </c>
      <c r="B346" s="2" t="s">
        <v>1163</v>
      </c>
      <c r="C346" s="2" t="s">
        <v>17</v>
      </c>
      <c r="D346" s="2" t="s">
        <v>18</v>
      </c>
      <c r="E346" s="5" t="s">
        <v>79</v>
      </c>
      <c r="F346" s="3" t="s">
        <v>80</v>
      </c>
      <c r="G346" s="3" t="s">
        <v>75</v>
      </c>
      <c r="H346" s="2" t="s">
        <v>22</v>
      </c>
      <c r="I346" s="2" t="s">
        <v>1146</v>
      </c>
      <c r="J346" s="3" t="str">
        <f>HYPERLINK("https://www.boe.es/gazeta/dias/1834/07/12/pdfs/GMD-1834-145.pdf#page=4","Abrir facsímil")</f>
        <v>Abrir facsímil</v>
      </c>
      <c r="K346" s="3" t="s">
        <v>24</v>
      </c>
    </row>
    <row r="347" spans="1:11" ht="54" customHeight="1">
      <c r="A347" s="2" t="s">
        <v>1164</v>
      </c>
      <c r="B347" s="2" t="s">
        <v>1164</v>
      </c>
      <c r="C347" s="2" t="s">
        <v>17</v>
      </c>
      <c r="D347" s="2" t="s">
        <v>18</v>
      </c>
      <c r="E347" s="5" t="s">
        <v>217</v>
      </c>
      <c r="F347" s="3" t="s">
        <v>218</v>
      </c>
      <c r="G347" s="3" t="s">
        <v>75</v>
      </c>
      <c r="H347" s="2" t="s">
        <v>22</v>
      </c>
      <c r="I347" s="2" t="s">
        <v>1165</v>
      </c>
      <c r="J347" s="3" t="str">
        <f>HYPERLINK("https://www.boe.es/gazeta/dias/1834/04/20/pdfs/GMD-1834-59.pdf#page=4","Abrir facsímil")</f>
        <v>Abrir facsímil</v>
      </c>
      <c r="K347" s="3" t="s">
        <v>24</v>
      </c>
    </row>
    <row r="348" spans="1:11" ht="54" customHeight="1">
      <c r="A348" s="2" t="s">
        <v>1166</v>
      </c>
      <c r="B348" s="2" t="s">
        <v>1166</v>
      </c>
      <c r="C348" s="2" t="s">
        <v>17</v>
      </c>
      <c r="D348" s="2" t="s">
        <v>18</v>
      </c>
      <c r="E348" s="5" t="s">
        <v>813</v>
      </c>
      <c r="F348" s="3" t="s">
        <v>814</v>
      </c>
      <c r="G348" s="3" t="s">
        <v>21</v>
      </c>
      <c r="H348" s="2" t="s">
        <v>22</v>
      </c>
      <c r="I348" s="2" t="s">
        <v>1167</v>
      </c>
      <c r="J348" s="3" t="str">
        <f>HYPERLINK("https://www.boe.es/gazeta/dias/1834/08/08/pdfs/GMD-1834-173.pdf#page=3","Abrir facsímil")</f>
        <v>Abrir facsímil</v>
      </c>
      <c r="K348" s="3" t="s">
        <v>24</v>
      </c>
    </row>
    <row r="349" spans="1:11" ht="54" customHeight="1">
      <c r="A349" s="2" t="s">
        <v>1168</v>
      </c>
      <c r="B349" s="2" t="s">
        <v>1169</v>
      </c>
      <c r="C349" s="2" t="s">
        <v>17</v>
      </c>
      <c r="D349" s="2" t="s">
        <v>18</v>
      </c>
      <c r="E349" s="5" t="s">
        <v>1170</v>
      </c>
      <c r="F349" s="3" t="s">
        <v>1171</v>
      </c>
      <c r="G349" s="3" t="s">
        <v>28</v>
      </c>
      <c r="H349" s="2" t="s">
        <v>35</v>
      </c>
      <c r="I349" s="2" t="s">
        <v>1172</v>
      </c>
      <c r="J349" s="3" t="str">
        <f>HYPERLINK("https://www.boe.es/gazeta/dias/1834/01/07/pdfs/GMD-1834-4.pdf#page=5","Abrir facsímil")</f>
        <v>Abrir facsímil</v>
      </c>
      <c r="K349" s="3" t="s">
        <v>37</v>
      </c>
    </row>
    <row r="350" spans="1:11" ht="54" customHeight="1">
      <c r="A350" s="2" t="s">
        <v>1173</v>
      </c>
      <c r="B350" s="2" t="s">
        <v>1174</v>
      </c>
      <c r="C350" s="2" t="s">
        <v>17</v>
      </c>
      <c r="D350" s="2" t="s">
        <v>18</v>
      </c>
      <c r="E350" s="5" t="s">
        <v>1170</v>
      </c>
      <c r="F350" s="3" t="s">
        <v>1171</v>
      </c>
      <c r="G350" s="3" t="s">
        <v>28</v>
      </c>
      <c r="H350" s="2" t="s">
        <v>22</v>
      </c>
      <c r="I350" s="2" t="s">
        <v>1175</v>
      </c>
      <c r="J350" s="3" t="str">
        <f>HYPERLINK("https://www.boe.es/gazeta/dias/1834/01/07/pdfs/GMD-1834-4.pdf#page=5","Abrir facsímil")</f>
        <v>Abrir facsímil</v>
      </c>
      <c r="K350" s="3" t="s">
        <v>24</v>
      </c>
    </row>
    <row r="351" spans="1:11" ht="54" customHeight="1">
      <c r="A351" s="2" t="s">
        <v>1176</v>
      </c>
      <c r="B351" s="2" t="s">
        <v>1177</v>
      </c>
      <c r="C351" s="2" t="s">
        <v>17</v>
      </c>
      <c r="D351" s="2" t="s">
        <v>18</v>
      </c>
      <c r="E351" s="5" t="s">
        <v>1178</v>
      </c>
      <c r="F351" s="3" t="s">
        <v>1179</v>
      </c>
      <c r="G351" s="3" t="s">
        <v>86</v>
      </c>
      <c r="H351" s="2" t="s">
        <v>35</v>
      </c>
      <c r="I351" s="2" t="s">
        <v>1180</v>
      </c>
      <c r="J351" s="3" t="str">
        <f>HYPERLINK("https://www.boe.es/gazeta/dias/1834/04/10/pdfs/GMD-C-1834-49.pdf#page=2","Abrir facsímil")</f>
        <v>Abrir facsímil</v>
      </c>
      <c r="K351" s="3" t="s">
        <v>37</v>
      </c>
    </row>
    <row r="352" spans="1:11" ht="54" customHeight="1">
      <c r="A352" s="2" t="s">
        <v>1181</v>
      </c>
      <c r="B352" s="2" t="s">
        <v>1182</v>
      </c>
      <c r="C352" s="2" t="s">
        <v>17</v>
      </c>
      <c r="D352" s="2" t="s">
        <v>18</v>
      </c>
      <c r="E352" s="5" t="s">
        <v>1178</v>
      </c>
      <c r="F352" s="3" t="s">
        <v>1179</v>
      </c>
      <c r="G352" s="3" t="s">
        <v>86</v>
      </c>
      <c r="H352" s="2" t="s">
        <v>22</v>
      </c>
      <c r="I352" s="2" t="s">
        <v>1183</v>
      </c>
      <c r="J352" s="3" t="str">
        <f>HYPERLINK("https://www.boe.es/gazeta/dias/1834/04/10/pdfs/GMD-C-1834-49.pdf#page=2","Abrir facsímil")</f>
        <v>Abrir facsímil</v>
      </c>
      <c r="K352" s="3" t="s">
        <v>24</v>
      </c>
    </row>
    <row r="353" spans="1:11" ht="54" customHeight="1">
      <c r="A353" s="2" t="s">
        <v>1184</v>
      </c>
      <c r="B353" s="2" t="s">
        <v>1185</v>
      </c>
      <c r="C353" s="2" t="s">
        <v>17</v>
      </c>
      <c r="D353" s="2" t="s">
        <v>18</v>
      </c>
      <c r="E353" s="5" t="s">
        <v>1186</v>
      </c>
      <c r="F353" s="3" t="s">
        <v>1187</v>
      </c>
      <c r="G353" s="3" t="s">
        <v>34</v>
      </c>
      <c r="H353" s="2" t="s">
        <v>22</v>
      </c>
      <c r="I353" s="2" t="s">
        <v>1188</v>
      </c>
      <c r="J353" s="3" t="str">
        <f>HYPERLINK("https://www.boe.es/gazeta/dias/1834/08/14/pdfs/GMD-1834-179.pdf#page=1","Abrir facsímil")</f>
        <v>Abrir facsímil</v>
      </c>
      <c r="K353" s="3" t="s">
        <v>24</v>
      </c>
    </row>
    <row r="354" spans="1:11" ht="54" customHeight="1">
      <c r="A354" s="2" t="s">
        <v>1189</v>
      </c>
      <c r="B354" s="2" t="s">
        <v>1189</v>
      </c>
      <c r="C354" s="2" t="s">
        <v>90</v>
      </c>
      <c r="D354" s="2" t="s">
        <v>18</v>
      </c>
      <c r="E354" s="5" t="s">
        <v>454</v>
      </c>
      <c r="F354" s="3" t="s">
        <v>455</v>
      </c>
      <c r="G354" s="3" t="s">
        <v>21</v>
      </c>
      <c r="H354" s="2" t="s">
        <v>22</v>
      </c>
      <c r="I354" s="2" t="s">
        <v>1190</v>
      </c>
      <c r="J354" s="3" t="str">
        <f>HYPERLINK("https://www.boe.es/gazeta/dias/1834/10/16/pdfs/GMD-C-1834-244.pdf#page=3","Abrir facsímil")</f>
        <v>Abrir facsímil</v>
      </c>
      <c r="K354" s="3" t="s">
        <v>24</v>
      </c>
    </row>
    <row r="355" spans="1:11" ht="54" customHeight="1">
      <c r="A355" s="2" t="s">
        <v>1189</v>
      </c>
      <c r="B355" s="2" t="s">
        <v>1189</v>
      </c>
      <c r="C355" s="2" t="s">
        <v>17</v>
      </c>
      <c r="D355" s="2" t="s">
        <v>18</v>
      </c>
      <c r="E355" s="5" t="s">
        <v>19</v>
      </c>
      <c r="F355" s="3" t="s">
        <v>20</v>
      </c>
      <c r="G355" s="3" t="s">
        <v>21</v>
      </c>
      <c r="H355" s="2" t="s">
        <v>22</v>
      </c>
      <c r="I355" s="2" t="s">
        <v>1191</v>
      </c>
      <c r="J355" s="3" t="str">
        <f>HYPERLINK("https://www.boe.es/gazeta/dias/1834/08/17/pdfs/GMD-D-1834-182.pdf#page=3","Abrir facsímil")</f>
        <v>Abrir facsímil</v>
      </c>
      <c r="K355" s="3" t="s">
        <v>24</v>
      </c>
    </row>
    <row r="356" spans="1:11" ht="54" customHeight="1">
      <c r="A356" s="2" t="s">
        <v>1192</v>
      </c>
      <c r="B356" s="2" t="s">
        <v>1192</v>
      </c>
      <c r="C356" s="2" t="s">
        <v>17</v>
      </c>
      <c r="D356" s="2" t="s">
        <v>18</v>
      </c>
      <c r="E356" s="5" t="s">
        <v>627</v>
      </c>
      <c r="F356" s="3" t="s">
        <v>628</v>
      </c>
      <c r="G356" s="3" t="s">
        <v>86</v>
      </c>
      <c r="H356" s="2" t="s">
        <v>22</v>
      </c>
      <c r="I356" s="2" t="s">
        <v>1193</v>
      </c>
      <c r="J356" s="3" t="str">
        <f>HYPERLINK("https://www.boe.es/gazeta/dias/1834/09/22/pdfs/GMD-C-1834-220.pdf#page=2","Abrir facsímil")</f>
        <v>Abrir facsímil</v>
      </c>
      <c r="K356" s="3" t="s">
        <v>24</v>
      </c>
    </row>
    <row r="357" spans="1:11" ht="54" customHeight="1">
      <c r="A357" s="2" t="s">
        <v>1194</v>
      </c>
      <c r="B357" s="2" t="s">
        <v>1194</v>
      </c>
      <c r="C357" s="2" t="s">
        <v>90</v>
      </c>
      <c r="D357" s="2" t="s">
        <v>18</v>
      </c>
      <c r="E357" s="5" t="s">
        <v>1195</v>
      </c>
      <c r="F357" s="3" t="s">
        <v>1196</v>
      </c>
      <c r="G357" s="3" t="s">
        <v>560</v>
      </c>
      <c r="H357" s="2" t="s">
        <v>22</v>
      </c>
      <c r="I357" s="2" t="s">
        <v>1197</v>
      </c>
      <c r="J357" s="3" t="str">
        <f>HYPERLINK("https://www.boe.es/gazeta/dias/1834/10/17/pdfs/GMD-C-1834-245.pdf#page=7","Abrir facsímil")</f>
        <v>Abrir facsímil</v>
      </c>
      <c r="K357" s="3" t="s">
        <v>24</v>
      </c>
    </row>
    <row r="358" spans="1:11" ht="54" customHeight="1">
      <c r="A358" s="2" t="s">
        <v>1198</v>
      </c>
      <c r="B358" s="2" t="s">
        <v>1199</v>
      </c>
      <c r="C358" s="2" t="s">
        <v>17</v>
      </c>
      <c r="D358" s="2" t="s">
        <v>18</v>
      </c>
      <c r="E358" s="5" t="s">
        <v>167</v>
      </c>
      <c r="F358" s="3" t="s">
        <v>1200</v>
      </c>
      <c r="G358" s="3" t="s">
        <v>86</v>
      </c>
      <c r="H358" s="2" t="s">
        <v>22</v>
      </c>
      <c r="I358" s="2" t="s">
        <v>1201</v>
      </c>
      <c r="J358" s="3" t="str">
        <f>HYPERLINK("https://www.boe.es/gazeta/dias/1834/09/07/pdfs/GMD-C-1834-205.pdf#page=2","Abrir facsímil")</f>
        <v>Abrir facsímil</v>
      </c>
      <c r="K358" s="3" t="s">
        <v>24</v>
      </c>
    </row>
    <row r="359" spans="1:11" ht="54" customHeight="1">
      <c r="A359" s="2" t="s">
        <v>1202</v>
      </c>
      <c r="B359" s="2" t="s">
        <v>1203</v>
      </c>
      <c r="C359" s="2" t="s">
        <v>122</v>
      </c>
      <c r="D359" s="2" t="s">
        <v>18</v>
      </c>
      <c r="E359" s="5" t="s">
        <v>19</v>
      </c>
      <c r="F359" s="3" t="s">
        <v>20</v>
      </c>
      <c r="G359" s="3" t="s">
        <v>21</v>
      </c>
      <c r="H359" s="2" t="s">
        <v>22</v>
      </c>
      <c r="I359" s="2" t="s">
        <v>1204</v>
      </c>
      <c r="J359" s="3" t="str">
        <f>HYPERLINK("https://www.boe.es/gazeta/dias/1834/08/17/pdfs/GMD-D-1834-182.pdf#page=3","Abrir facsímil")</f>
        <v>Abrir facsímil</v>
      </c>
      <c r="K359" s="3" t="s">
        <v>24</v>
      </c>
    </row>
    <row r="360" spans="1:11" ht="54" customHeight="1">
      <c r="A360" s="2" t="s">
        <v>1202</v>
      </c>
      <c r="B360" s="2" t="s">
        <v>1203</v>
      </c>
      <c r="C360" s="2" t="s">
        <v>90</v>
      </c>
      <c r="D360" s="2" t="s">
        <v>40</v>
      </c>
      <c r="E360" s="5" t="s">
        <v>615</v>
      </c>
      <c r="F360" s="3" t="s">
        <v>1205</v>
      </c>
      <c r="G360" s="3" t="s">
        <v>86</v>
      </c>
      <c r="H360" s="2" t="s">
        <v>22</v>
      </c>
      <c r="I360" s="2" t="s">
        <v>1206</v>
      </c>
      <c r="J360" s="3" t="str">
        <f>HYPERLINK("https://www.boe.es/gazeta/dias/1834/08/19/pdfs/GMD-D-1834-185.pdf#page=2","Abrir facsímil")</f>
        <v>Abrir facsímil</v>
      </c>
      <c r="K360" s="3" t="s">
        <v>24</v>
      </c>
    </row>
    <row r="361" spans="1:11" ht="54" customHeight="1">
      <c r="A361" s="2" t="s">
        <v>1207</v>
      </c>
      <c r="B361" s="2" t="s">
        <v>1208</v>
      </c>
      <c r="C361" s="2" t="s">
        <v>17</v>
      </c>
      <c r="D361" s="2" t="s">
        <v>18</v>
      </c>
      <c r="E361" s="5" t="s">
        <v>222</v>
      </c>
      <c r="F361" s="3" t="s">
        <v>223</v>
      </c>
      <c r="G361" s="3" t="s">
        <v>21</v>
      </c>
      <c r="H361" s="2" t="s">
        <v>22</v>
      </c>
      <c r="I361" s="2" t="s">
        <v>1209</v>
      </c>
      <c r="J361" s="3" t="str">
        <f>HYPERLINK("https://www.boe.es/gazeta/dias/1834/09/14/pdfs/GMD-1834-212.pdf#page=3","Abrir facsímil")</f>
        <v>Abrir facsímil</v>
      </c>
      <c r="K361" s="3" t="s">
        <v>24</v>
      </c>
    </row>
    <row r="362" spans="1:11" ht="54" customHeight="1">
      <c r="A362" s="2" t="s">
        <v>1210</v>
      </c>
      <c r="B362" s="2" t="s">
        <v>1211</v>
      </c>
      <c r="C362" s="2" t="s">
        <v>66</v>
      </c>
      <c r="D362" s="2" t="s">
        <v>67</v>
      </c>
      <c r="E362" s="5" t="s">
        <v>1212</v>
      </c>
      <c r="F362" s="3" t="s">
        <v>1213</v>
      </c>
      <c r="G362" s="3" t="s">
        <v>86</v>
      </c>
      <c r="H362" s="2" t="s">
        <v>22</v>
      </c>
      <c r="I362" s="2" t="s">
        <v>1214</v>
      </c>
      <c r="J362" s="3" t="str">
        <f>HYPERLINK("https://www.boe.es/gazeta/dias/1834/05/24/pdfs/GMD-1834-93.pdf#page=2","Abrir facsímil")</f>
        <v>Abrir facsímil</v>
      </c>
      <c r="K362" s="3" t="s">
        <v>24</v>
      </c>
    </row>
    <row r="363" spans="1:11" ht="54" customHeight="1">
      <c r="A363" s="2" t="s">
        <v>1215</v>
      </c>
      <c r="B363" s="2" t="s">
        <v>1216</v>
      </c>
      <c r="C363" s="2" t="s">
        <v>857</v>
      </c>
      <c r="D363" s="2" t="s">
        <v>55</v>
      </c>
      <c r="E363" s="5" t="s">
        <v>258</v>
      </c>
      <c r="F363" s="3" t="s">
        <v>1075</v>
      </c>
      <c r="G363" s="3" t="s">
        <v>86</v>
      </c>
      <c r="H363" s="2" t="s">
        <v>35</v>
      </c>
      <c r="I363" s="2" t="s">
        <v>1217</v>
      </c>
      <c r="J363" s="3" t="str">
        <f>HYPERLINK("https://www.boe.es/gazeta/dias/1834/10/09/pdfs/GMD-1834-237.pdf#page=2","Abrir facsímil")</f>
        <v>Abrir facsímil</v>
      </c>
      <c r="K363" s="3" t="s">
        <v>37</v>
      </c>
    </row>
    <row r="364" spans="1:11" ht="54" customHeight="1">
      <c r="A364" s="2" t="s">
        <v>1218</v>
      </c>
      <c r="B364" s="2" t="s">
        <v>1219</v>
      </c>
      <c r="C364" s="2" t="s">
        <v>857</v>
      </c>
      <c r="D364" s="2" t="s">
        <v>55</v>
      </c>
      <c r="E364" s="5" t="s">
        <v>258</v>
      </c>
      <c r="F364" s="3" t="s">
        <v>1075</v>
      </c>
      <c r="G364" s="3" t="s">
        <v>86</v>
      </c>
      <c r="H364" s="2" t="s">
        <v>22</v>
      </c>
      <c r="I364" s="2" t="s">
        <v>1220</v>
      </c>
      <c r="J364" s="3" t="str">
        <f>HYPERLINK("https://www.boe.es/gazeta/dias/1834/10/09/pdfs/GMD-1834-237.pdf#page=2","Abrir facsímil")</f>
        <v>Abrir facsímil</v>
      </c>
      <c r="K364" s="3" t="s">
        <v>24</v>
      </c>
    </row>
    <row r="365" spans="1:11" ht="54" customHeight="1">
      <c r="A365" s="2" t="s">
        <v>1221</v>
      </c>
      <c r="B365" s="2" t="s">
        <v>1222</v>
      </c>
      <c r="C365" s="2" t="s">
        <v>17</v>
      </c>
      <c r="D365" s="2" t="s">
        <v>18</v>
      </c>
      <c r="E365" s="5" t="s">
        <v>84</v>
      </c>
      <c r="F365" s="3" t="s">
        <v>1223</v>
      </c>
      <c r="G365" s="3" t="s">
        <v>34</v>
      </c>
      <c r="H365" s="2" t="s">
        <v>22</v>
      </c>
      <c r="I365" s="2" t="s">
        <v>1224</v>
      </c>
      <c r="J365" s="3" t="str">
        <f>HYPERLINK("https://www.boe.es/gazeta/dias/1834/06/07/pdfs/GMD-1834-109.pdf#page=1","Abrir facsímil")</f>
        <v>Abrir facsímil</v>
      </c>
      <c r="K365" s="3" t="s">
        <v>24</v>
      </c>
    </row>
    <row r="366" spans="1:11" ht="54" customHeight="1">
      <c r="A366" s="2" t="s">
        <v>1225</v>
      </c>
      <c r="B366" s="2" t="s">
        <v>1225</v>
      </c>
      <c r="C366" s="2" t="s">
        <v>46</v>
      </c>
      <c r="D366" s="2" t="s">
        <v>101</v>
      </c>
      <c r="E366" s="5" t="s">
        <v>1226</v>
      </c>
      <c r="F366" s="3" t="s">
        <v>1227</v>
      </c>
      <c r="G366" s="3" t="s">
        <v>75</v>
      </c>
      <c r="H366" s="2" t="s">
        <v>22</v>
      </c>
      <c r="I366" s="2" t="s">
        <v>1228</v>
      </c>
      <c r="J366" s="3" t="str">
        <f>HYPERLINK("https://www.boe.es/gazeta/dias/1834/07/14/pdfs/GMD-1834-147.pdf#page=4","Abrir facsímil")</f>
        <v>Abrir facsímil</v>
      </c>
      <c r="K366" s="3" t="s">
        <v>24</v>
      </c>
    </row>
    <row r="367" spans="1:11" ht="54" customHeight="1">
      <c r="A367" s="2" t="s">
        <v>1229</v>
      </c>
      <c r="B367" s="2" t="s">
        <v>1230</v>
      </c>
      <c r="C367" s="2" t="s">
        <v>17</v>
      </c>
      <c r="D367" s="2" t="s">
        <v>18</v>
      </c>
      <c r="E367" s="5" t="s">
        <v>304</v>
      </c>
      <c r="F367" s="3" t="s">
        <v>305</v>
      </c>
      <c r="G367" s="3" t="s">
        <v>176</v>
      </c>
      <c r="H367" s="2" t="s">
        <v>22</v>
      </c>
      <c r="I367" s="2" t="s">
        <v>1231</v>
      </c>
      <c r="J367" s="3" t="str">
        <f>HYPERLINK("https://www.boe.es/gazeta/dias/1834/01/21/pdfs/GMD-1834-10.pdf#page=6","Abrir facsímil")</f>
        <v>Abrir facsímil</v>
      </c>
      <c r="K367" s="3" t="s">
        <v>24</v>
      </c>
    </row>
    <row r="368" spans="1:11" ht="54" customHeight="1">
      <c r="A368" s="2" t="s">
        <v>1232</v>
      </c>
      <c r="B368" s="2" t="s">
        <v>1233</v>
      </c>
      <c r="C368" s="2" t="s">
        <v>66</v>
      </c>
      <c r="D368" s="2" t="s">
        <v>67</v>
      </c>
      <c r="E368" s="5" t="s">
        <v>1234</v>
      </c>
      <c r="F368" s="3" t="s">
        <v>1235</v>
      </c>
      <c r="G368" s="3" t="s">
        <v>34</v>
      </c>
      <c r="H368" s="2" t="s">
        <v>22</v>
      </c>
      <c r="I368" s="2" t="s">
        <v>1236</v>
      </c>
      <c r="J368" s="3" t="str">
        <f>HYPERLINK("https://www.boe.es/gazeta/dias/1834/05/15/pdfs/GMD-C-1834-84.pdf#page=1","Abrir facsímil")</f>
        <v>Abrir facsímil</v>
      </c>
      <c r="K368" s="3" t="s">
        <v>24</v>
      </c>
    </row>
    <row r="369" spans="1:11" ht="54" customHeight="1">
      <c r="A369" s="2" t="s">
        <v>1237</v>
      </c>
      <c r="B369" s="2" t="s">
        <v>1238</v>
      </c>
      <c r="C369" s="2" t="s">
        <v>66</v>
      </c>
      <c r="D369" s="2" t="s">
        <v>67</v>
      </c>
      <c r="E369" s="5" t="s">
        <v>1239</v>
      </c>
      <c r="F369" s="3" t="s">
        <v>1240</v>
      </c>
      <c r="G369" s="3" t="s">
        <v>34</v>
      </c>
      <c r="H369" s="2" t="s">
        <v>22</v>
      </c>
      <c r="I369" s="2" t="s">
        <v>1241</v>
      </c>
      <c r="J369" s="3" t="str">
        <f>HYPERLINK("https://www.boe.es/gazeta/dias/1834/08/20/pdfs/GMD-1834-186.pdf#page=1","Abrir facsímil")</f>
        <v>Abrir facsímil</v>
      </c>
      <c r="K369" s="3" t="s">
        <v>24</v>
      </c>
    </row>
    <row r="370" spans="1:11" ht="54" customHeight="1">
      <c r="A370" s="2" t="s">
        <v>1242</v>
      </c>
      <c r="B370" s="2" t="s">
        <v>1243</v>
      </c>
      <c r="C370" s="2" t="s">
        <v>17</v>
      </c>
      <c r="D370" s="2" t="s">
        <v>55</v>
      </c>
      <c r="E370" s="5" t="s">
        <v>939</v>
      </c>
      <c r="F370" s="3" t="s">
        <v>940</v>
      </c>
      <c r="G370" s="3" t="s">
        <v>34</v>
      </c>
      <c r="H370" s="2" t="s">
        <v>22</v>
      </c>
      <c r="I370" s="2" t="s">
        <v>1244</v>
      </c>
      <c r="J370" s="3" t="str">
        <f>HYPERLINK("https://www.boe.es/gazeta/dias/1834/06/10/pdfs/GMD-1834-113.pdf#page=1","Abrir facsímil")</f>
        <v>Abrir facsímil</v>
      </c>
      <c r="K370" s="3" t="s">
        <v>24</v>
      </c>
    </row>
    <row r="371" spans="1:11" ht="54" customHeight="1">
      <c r="A371" s="2" t="s">
        <v>1245</v>
      </c>
      <c r="B371" s="2" t="s">
        <v>1245</v>
      </c>
      <c r="C371" s="2" t="s">
        <v>17</v>
      </c>
      <c r="D371" s="2" t="s">
        <v>18</v>
      </c>
      <c r="E371" s="5" t="s">
        <v>1239</v>
      </c>
      <c r="F371" s="3" t="s">
        <v>1240</v>
      </c>
      <c r="G371" s="3" t="s">
        <v>75</v>
      </c>
      <c r="H371" s="2" t="s">
        <v>22</v>
      </c>
      <c r="I371" s="2" t="s">
        <v>1246</v>
      </c>
      <c r="J371" s="3" t="str">
        <f>HYPERLINK("https://www.boe.es/gazeta/dias/1834/08/20/pdfs/GMD-1834-186.pdf#page=4","Abrir facsímil")</f>
        <v>Abrir facsímil</v>
      </c>
      <c r="K371" s="3" t="s">
        <v>24</v>
      </c>
    </row>
    <row r="372" spans="1:11" ht="54" customHeight="1">
      <c r="A372" s="2" t="s">
        <v>1247</v>
      </c>
      <c r="B372" s="2" t="s">
        <v>1248</v>
      </c>
      <c r="C372" s="2" t="s">
        <v>90</v>
      </c>
      <c r="D372" s="2" t="s">
        <v>55</v>
      </c>
      <c r="E372" s="5" t="s">
        <v>273</v>
      </c>
      <c r="F372" s="3" t="s">
        <v>413</v>
      </c>
      <c r="G372" s="3" t="s">
        <v>86</v>
      </c>
      <c r="H372" s="2" t="s">
        <v>22</v>
      </c>
      <c r="I372" s="2" t="s">
        <v>1249</v>
      </c>
      <c r="J372" s="3" t="str">
        <f>HYPERLINK("https://www.boe.es/gazeta/dias/1834/08/31/pdfs/GMD-1834-198.pdf#page=2","Abrir facsímil")</f>
        <v>Abrir facsímil</v>
      </c>
      <c r="K372" s="3" t="s">
        <v>24</v>
      </c>
    </row>
    <row r="373" spans="1:11" ht="54" customHeight="1">
      <c r="A373" s="2" t="s">
        <v>1250</v>
      </c>
      <c r="B373" s="2" t="s">
        <v>1250</v>
      </c>
      <c r="C373" s="2" t="s">
        <v>17</v>
      </c>
      <c r="D373" s="2" t="s">
        <v>18</v>
      </c>
      <c r="E373" s="5" t="s">
        <v>138</v>
      </c>
      <c r="F373" s="3" t="s">
        <v>139</v>
      </c>
      <c r="G373" s="3" t="s">
        <v>21</v>
      </c>
      <c r="H373" s="2" t="s">
        <v>22</v>
      </c>
      <c r="I373" s="2" t="s">
        <v>1251</v>
      </c>
      <c r="J373" s="3" t="str">
        <f>HYPERLINK("https://www.boe.es/gazeta/dias/1834/05/17/pdfs/GMD-1834-86.pdf#page=3","Abrir facsímil")</f>
        <v>Abrir facsímil</v>
      </c>
      <c r="K373" s="3" t="s">
        <v>24</v>
      </c>
    </row>
    <row r="374" spans="1:11" ht="54" customHeight="1">
      <c r="A374" s="2" t="s">
        <v>1252</v>
      </c>
      <c r="B374" s="2" t="s">
        <v>1253</v>
      </c>
      <c r="C374" s="2" t="s">
        <v>17</v>
      </c>
      <c r="D374" s="2" t="s">
        <v>18</v>
      </c>
      <c r="E374" s="5" t="s">
        <v>138</v>
      </c>
      <c r="F374" s="3" t="s">
        <v>139</v>
      </c>
      <c r="G374" s="3" t="s">
        <v>21</v>
      </c>
      <c r="H374" s="2" t="s">
        <v>35</v>
      </c>
      <c r="I374" s="2" t="s">
        <v>1254</v>
      </c>
      <c r="J374" s="3" t="str">
        <f>HYPERLINK("https://www.boe.es/gazeta/dias/1834/05/17/pdfs/GMD-1834-86.pdf#page=3","Abrir facsímil")</f>
        <v>Abrir facsímil</v>
      </c>
      <c r="K374" s="3" t="s">
        <v>37</v>
      </c>
    </row>
    <row r="375" spans="1:11" ht="54" customHeight="1">
      <c r="A375" s="2" t="s">
        <v>1255</v>
      </c>
      <c r="B375" s="2" t="s">
        <v>1256</v>
      </c>
      <c r="C375" s="2" t="s">
        <v>17</v>
      </c>
      <c r="D375" s="2" t="s">
        <v>18</v>
      </c>
      <c r="E375" s="5" t="s">
        <v>200</v>
      </c>
      <c r="F375" s="3" t="s">
        <v>201</v>
      </c>
      <c r="G375" s="3" t="s">
        <v>21</v>
      </c>
      <c r="H375" s="2" t="s">
        <v>22</v>
      </c>
      <c r="I375" s="2" t="s">
        <v>1257</v>
      </c>
      <c r="J375" s="3" t="str">
        <f>HYPERLINK("https://www.boe.es/gazeta/dias/1834/12/11/pdfs/GMD-1834-300.pdf#page=3","Abrir facsímil")</f>
        <v>Abrir facsímil</v>
      </c>
      <c r="K375" s="3" t="s">
        <v>24</v>
      </c>
    </row>
    <row r="376" spans="1:11" ht="54" customHeight="1">
      <c r="A376" s="2" t="s">
        <v>1258</v>
      </c>
      <c r="B376" s="2" t="s">
        <v>1258</v>
      </c>
      <c r="C376" s="2" t="s">
        <v>17</v>
      </c>
      <c r="D376" s="2" t="s">
        <v>55</v>
      </c>
      <c r="E376" s="5" t="s">
        <v>1103</v>
      </c>
      <c r="F376" s="3" t="s">
        <v>1259</v>
      </c>
      <c r="G376" s="3" t="s">
        <v>34</v>
      </c>
      <c r="H376" s="2" t="s">
        <v>22</v>
      </c>
      <c r="I376" s="2" t="s">
        <v>1260</v>
      </c>
      <c r="J376" s="3" t="str">
        <f>HYPERLINK("https://www.boe.es/gazeta/dias/1834/10/10/pdfs/GMD-1834-238.pdf#page=1","Abrir facsímil")</f>
        <v>Abrir facsímil</v>
      </c>
      <c r="K376" s="3" t="s">
        <v>24</v>
      </c>
    </row>
    <row r="377" spans="1:11" ht="54" customHeight="1">
      <c r="A377" s="2" t="s">
        <v>1261</v>
      </c>
      <c r="B377" s="2" t="s">
        <v>1261</v>
      </c>
      <c r="C377" s="2" t="s">
        <v>17</v>
      </c>
      <c r="D377" s="2" t="s">
        <v>55</v>
      </c>
      <c r="E377" s="5" t="s">
        <v>1262</v>
      </c>
      <c r="F377" s="3" t="s">
        <v>1263</v>
      </c>
      <c r="G377" s="3" t="s">
        <v>21</v>
      </c>
      <c r="H377" s="2" t="s">
        <v>22</v>
      </c>
      <c r="I377" s="2" t="s">
        <v>1264</v>
      </c>
      <c r="J377" s="3" t="str">
        <f>HYPERLINK("https://www.boe.es/gazeta/dias/1834/02/01/pdfs/GMD-1834-15.pdf#page=3","Abrir facsímil")</f>
        <v>Abrir facsímil</v>
      </c>
      <c r="K377" s="3" t="s">
        <v>24</v>
      </c>
    </row>
    <row r="378" spans="1:11" ht="54" customHeight="1">
      <c r="A378" s="2" t="s">
        <v>1261</v>
      </c>
      <c r="B378" s="2" t="s">
        <v>1261</v>
      </c>
      <c r="C378" s="2" t="s">
        <v>90</v>
      </c>
      <c r="D378" s="2" t="s">
        <v>101</v>
      </c>
      <c r="E378" s="5" t="s">
        <v>1265</v>
      </c>
      <c r="F378" s="3" t="s">
        <v>1266</v>
      </c>
      <c r="G378" s="3" t="s">
        <v>34</v>
      </c>
      <c r="H378" s="2" t="s">
        <v>22</v>
      </c>
      <c r="I378" s="2" t="s">
        <v>1267</v>
      </c>
      <c r="J378" s="3" t="str">
        <f>HYPERLINK("https://www.boe.es/gazeta/dias/1834/09/08/pdfs/GMD-1834-206.pdf#page=1","Abrir facsímil")</f>
        <v>Abrir facsímil</v>
      </c>
      <c r="K378" s="3" t="s">
        <v>24</v>
      </c>
    </row>
    <row r="379" spans="1:11" ht="54" customHeight="1">
      <c r="A379" s="2" t="s">
        <v>1261</v>
      </c>
      <c r="B379" s="2" t="s">
        <v>1261</v>
      </c>
      <c r="C379" s="2" t="s">
        <v>17</v>
      </c>
      <c r="D379" s="2" t="s">
        <v>18</v>
      </c>
      <c r="E379" s="5" t="s">
        <v>1268</v>
      </c>
      <c r="F379" s="3" t="s">
        <v>1269</v>
      </c>
      <c r="G379" s="3" t="s">
        <v>86</v>
      </c>
      <c r="H379" s="2" t="s">
        <v>22</v>
      </c>
      <c r="I379" s="2" t="s">
        <v>1270</v>
      </c>
      <c r="J379" s="3" t="str">
        <f>HYPERLINK("https://www.boe.es/gazeta/dias/1834/12/09/pdfs/GMD-1834-298.pdf#page=2","Abrir facsímil")</f>
        <v>Abrir facsímil</v>
      </c>
      <c r="K379" s="3" t="s">
        <v>24</v>
      </c>
    </row>
    <row r="380" spans="1:11" ht="54" customHeight="1">
      <c r="A380" s="2" t="s">
        <v>1261</v>
      </c>
      <c r="B380" s="2" t="s">
        <v>1261</v>
      </c>
      <c r="C380" s="2" t="s">
        <v>17</v>
      </c>
      <c r="D380" s="2" t="s">
        <v>18</v>
      </c>
      <c r="E380" s="5" t="s">
        <v>1268</v>
      </c>
      <c r="F380" s="3" t="s">
        <v>1269</v>
      </c>
      <c r="G380" s="3" t="s">
        <v>21</v>
      </c>
      <c r="H380" s="2" t="s">
        <v>22</v>
      </c>
      <c r="I380" s="2" t="s">
        <v>1271</v>
      </c>
      <c r="J380" s="3" t="str">
        <f>HYPERLINK("https://www.boe.es/gazeta/dias/1834/12/09/pdfs/GMD-1834-298.pdf#page=3","Abrir facsímil")</f>
        <v>Abrir facsímil</v>
      </c>
      <c r="K380" s="3" t="s">
        <v>24</v>
      </c>
    </row>
    <row r="381" spans="1:11" ht="54" customHeight="1">
      <c r="A381" s="2" t="s">
        <v>1261</v>
      </c>
      <c r="B381" s="2" t="s">
        <v>1261</v>
      </c>
      <c r="C381" s="2" t="s">
        <v>90</v>
      </c>
      <c r="D381" s="2" t="s">
        <v>67</v>
      </c>
      <c r="E381" s="5" t="s">
        <v>1103</v>
      </c>
      <c r="F381" s="3" t="s">
        <v>1259</v>
      </c>
      <c r="G381" s="3" t="s">
        <v>34</v>
      </c>
      <c r="H381" s="2" t="s">
        <v>22</v>
      </c>
      <c r="I381" s="2" t="s">
        <v>1272</v>
      </c>
      <c r="J381" s="3" t="str">
        <f>HYPERLINK("https://www.boe.es/gazeta/dias/1834/10/10/pdfs/GMD-1834-238.pdf#page=1","Abrir facsímil")</f>
        <v>Abrir facsímil</v>
      </c>
      <c r="K381" s="3" t="s">
        <v>24</v>
      </c>
    </row>
    <row r="382" spans="1:11" ht="54" customHeight="1">
      <c r="A382" s="2" t="s">
        <v>1261</v>
      </c>
      <c r="B382" s="2" t="s">
        <v>1261</v>
      </c>
      <c r="C382" s="2" t="s">
        <v>90</v>
      </c>
      <c r="D382" s="2" t="s">
        <v>55</v>
      </c>
      <c r="E382" s="5" t="s">
        <v>1273</v>
      </c>
      <c r="F382" s="3" t="s">
        <v>1274</v>
      </c>
      <c r="G382" s="3" t="s">
        <v>86</v>
      </c>
      <c r="H382" s="2" t="s">
        <v>22</v>
      </c>
      <c r="I382" s="2" t="s">
        <v>1275</v>
      </c>
      <c r="J382" s="3" t="str">
        <f>HYPERLINK("https://www.boe.es/gazeta/dias/1834/05/14/pdfs/GMD-1834-83.pdf#page=2","Abrir facsímil")</f>
        <v>Abrir facsímil</v>
      </c>
      <c r="K382" s="3" t="s">
        <v>24</v>
      </c>
    </row>
    <row r="383" spans="1:11" ht="54" customHeight="1">
      <c r="A383" s="2" t="s">
        <v>1261</v>
      </c>
      <c r="B383" s="2" t="s">
        <v>1261</v>
      </c>
      <c r="C383" s="2" t="s">
        <v>46</v>
      </c>
      <c r="D383" s="2" t="s">
        <v>18</v>
      </c>
      <c r="E383" s="5" t="s">
        <v>26</v>
      </c>
      <c r="F383" s="3" t="s">
        <v>818</v>
      </c>
      <c r="G383" s="3" t="s">
        <v>86</v>
      </c>
      <c r="H383" s="2" t="s">
        <v>22</v>
      </c>
      <c r="I383" s="2" t="s">
        <v>1276</v>
      </c>
      <c r="J383" s="3" t="str">
        <f>HYPERLINK("https://www.boe.es/gazeta/dias/1834/10/19/pdfs/GMD-1834-247.pdf#page=2","Abrir facsímil")</f>
        <v>Abrir facsímil</v>
      </c>
      <c r="K383" s="3" t="s">
        <v>24</v>
      </c>
    </row>
    <row r="384" spans="1:11" ht="54" customHeight="1">
      <c r="A384" s="2" t="s">
        <v>1261</v>
      </c>
      <c r="B384" s="2" t="s">
        <v>1261</v>
      </c>
      <c r="C384" s="2" t="s">
        <v>66</v>
      </c>
      <c r="D384" s="2" t="s">
        <v>67</v>
      </c>
      <c r="E384" s="5" t="s">
        <v>1212</v>
      </c>
      <c r="F384" s="3" t="s">
        <v>1213</v>
      </c>
      <c r="G384" s="3" t="s">
        <v>86</v>
      </c>
      <c r="H384" s="2" t="s">
        <v>22</v>
      </c>
      <c r="I384" s="2" t="s">
        <v>1277</v>
      </c>
      <c r="J384" s="3" t="str">
        <f>HYPERLINK("https://www.boe.es/gazeta/dias/1834/05/24/pdfs/GMD-1834-93.pdf#page=2","Abrir facsímil")</f>
        <v>Abrir facsímil</v>
      </c>
      <c r="K384" s="3" t="s">
        <v>24</v>
      </c>
    </row>
    <row r="385" spans="1:11" ht="54" customHeight="1">
      <c r="A385" s="2" t="s">
        <v>1261</v>
      </c>
      <c r="B385" s="2" t="s">
        <v>1261</v>
      </c>
      <c r="C385" s="2" t="s">
        <v>17</v>
      </c>
      <c r="D385" s="2" t="s">
        <v>18</v>
      </c>
      <c r="E385" s="5" t="s">
        <v>251</v>
      </c>
      <c r="F385" s="3" t="s">
        <v>1278</v>
      </c>
      <c r="G385" s="3" t="s">
        <v>75</v>
      </c>
      <c r="H385" s="2" t="s">
        <v>22</v>
      </c>
      <c r="I385" s="2" t="s">
        <v>1279</v>
      </c>
      <c r="J385" s="3" t="str">
        <f>HYPERLINK("https://www.boe.es/gazeta/dias/1834/09/26/pdfs/GMD-1834-224.pdf#page=4","Abrir facsímil")</f>
        <v>Abrir facsímil</v>
      </c>
      <c r="K385" s="3" t="s">
        <v>24</v>
      </c>
    </row>
    <row r="386" spans="1:11" ht="54" customHeight="1">
      <c r="A386" s="2" t="s">
        <v>1261</v>
      </c>
      <c r="B386" s="2" t="s">
        <v>1261</v>
      </c>
      <c r="C386" s="2" t="s">
        <v>17</v>
      </c>
      <c r="D386" s="2" t="s">
        <v>18</v>
      </c>
      <c r="E386" s="5" t="s">
        <v>294</v>
      </c>
      <c r="F386" s="3" t="s">
        <v>295</v>
      </c>
      <c r="G386" s="3" t="s">
        <v>21</v>
      </c>
      <c r="H386" s="2" t="s">
        <v>22</v>
      </c>
      <c r="I386" s="2" t="s">
        <v>1280</v>
      </c>
      <c r="J386" s="3" t="str">
        <f>HYPERLINK("https://www.boe.es/gazeta/dias/1834/09/27/pdfs/GMD-1834-225.pdf#page=3","Abrir facsímil")</f>
        <v>Abrir facsímil</v>
      </c>
      <c r="K386" s="3" t="s">
        <v>24</v>
      </c>
    </row>
    <row r="387" spans="1:11" ht="54" customHeight="1">
      <c r="A387" s="2" t="s">
        <v>1261</v>
      </c>
      <c r="B387" s="2" t="s">
        <v>1261</v>
      </c>
      <c r="C387" s="2" t="s">
        <v>17</v>
      </c>
      <c r="D387" s="2" t="s">
        <v>18</v>
      </c>
      <c r="E387" s="5" t="s">
        <v>1281</v>
      </c>
      <c r="F387" s="3" t="s">
        <v>1282</v>
      </c>
      <c r="G387" s="3" t="s">
        <v>86</v>
      </c>
      <c r="H387" s="2" t="s">
        <v>22</v>
      </c>
      <c r="I387" s="2" t="s">
        <v>1283</v>
      </c>
      <c r="J387" s="3" t="str">
        <f>HYPERLINK("https://www.boe.es/gazeta/dias/1834/10/27/pdfs/GMD-1834-255.pdf#page=2","Abrir facsímil")</f>
        <v>Abrir facsímil</v>
      </c>
      <c r="K387" s="3" t="s">
        <v>24</v>
      </c>
    </row>
    <row r="388" spans="1:11" ht="54" customHeight="1">
      <c r="A388" s="2" t="s">
        <v>1261</v>
      </c>
      <c r="B388" s="2" t="s">
        <v>1261</v>
      </c>
      <c r="C388" s="2" t="s">
        <v>17</v>
      </c>
      <c r="D388" s="2" t="s">
        <v>55</v>
      </c>
      <c r="E388" s="5" t="s">
        <v>1284</v>
      </c>
      <c r="F388" s="3" t="s">
        <v>1285</v>
      </c>
      <c r="G388" s="3" t="s">
        <v>86</v>
      </c>
      <c r="H388" s="2" t="s">
        <v>22</v>
      </c>
      <c r="I388" s="2" t="s">
        <v>1286</v>
      </c>
      <c r="J388" s="3" t="str">
        <f>HYPERLINK("https://www.boe.es/gazeta/dias/1834/11/28/pdfs/GMD-1834-287.pdf#page=2","Abrir facsímil")</f>
        <v>Abrir facsímil</v>
      </c>
      <c r="K388" s="3" t="s">
        <v>24</v>
      </c>
    </row>
    <row r="389" spans="1:11" ht="54" customHeight="1">
      <c r="A389" s="2" t="s">
        <v>1287</v>
      </c>
      <c r="B389" s="2" t="s">
        <v>1288</v>
      </c>
      <c r="C389" s="2" t="s">
        <v>17</v>
      </c>
      <c r="D389" s="2" t="s">
        <v>18</v>
      </c>
      <c r="E389" s="5" t="s">
        <v>394</v>
      </c>
      <c r="F389" s="3" t="s">
        <v>395</v>
      </c>
      <c r="G389" s="3" t="s">
        <v>21</v>
      </c>
      <c r="H389" s="2" t="s">
        <v>22</v>
      </c>
      <c r="I389" s="2" t="s">
        <v>1289</v>
      </c>
      <c r="J389" s="3" t="str">
        <f>HYPERLINK("https://www.boe.es/gazeta/dias/1834/12/23/pdfs/GMD-1834-313.pdf#page=3","Abrir facsímil")</f>
        <v>Abrir facsímil</v>
      </c>
      <c r="K389" s="3" t="s">
        <v>24</v>
      </c>
    </row>
    <row r="390" spans="1:11" ht="54" customHeight="1">
      <c r="A390" s="2" t="s">
        <v>1290</v>
      </c>
      <c r="B390" s="2" t="s">
        <v>1291</v>
      </c>
      <c r="C390" s="2" t="s">
        <v>17</v>
      </c>
      <c r="D390" s="2" t="s">
        <v>55</v>
      </c>
      <c r="E390" s="5" t="s">
        <v>1262</v>
      </c>
      <c r="F390" s="3" t="s">
        <v>1263</v>
      </c>
      <c r="G390" s="3" t="s">
        <v>21</v>
      </c>
      <c r="H390" s="2" t="s">
        <v>22</v>
      </c>
      <c r="I390" s="2" t="s">
        <v>1292</v>
      </c>
      <c r="J390" s="3" t="str">
        <f>HYPERLINK("https://www.boe.es/gazeta/dias/1834/02/01/pdfs/GMD-1834-15.pdf#page=3","Abrir facsímil")</f>
        <v>Abrir facsímil</v>
      </c>
      <c r="K390" s="3" t="s">
        <v>24</v>
      </c>
    </row>
    <row r="391" spans="1:11" ht="54" customHeight="1">
      <c r="A391" s="2" t="s">
        <v>1293</v>
      </c>
      <c r="B391" s="2" t="s">
        <v>1293</v>
      </c>
      <c r="C391" s="2" t="s">
        <v>66</v>
      </c>
      <c r="D391" s="2" t="s">
        <v>67</v>
      </c>
      <c r="E391" s="5" t="s">
        <v>153</v>
      </c>
      <c r="F391" s="3" t="s">
        <v>1294</v>
      </c>
      <c r="G391" s="3" t="s">
        <v>34</v>
      </c>
      <c r="H391" s="2" t="s">
        <v>22</v>
      </c>
      <c r="I391" s="2" t="s">
        <v>1295</v>
      </c>
      <c r="J391" s="3" t="str">
        <f>HYPERLINK("https://www.boe.es/gazeta/dias/1834/12/30/pdfs/GMD-1834-320.pdf#page=1","Abrir facsímil")</f>
        <v>Abrir facsímil</v>
      </c>
      <c r="K391" s="3" t="s">
        <v>24</v>
      </c>
    </row>
    <row r="392" spans="1:11" ht="54" customHeight="1">
      <c r="A392" s="2" t="s">
        <v>1296</v>
      </c>
      <c r="B392" s="2" t="s">
        <v>1296</v>
      </c>
      <c r="C392" s="2" t="s">
        <v>66</v>
      </c>
      <c r="D392" s="2" t="s">
        <v>67</v>
      </c>
      <c r="E392" s="5" t="s">
        <v>1297</v>
      </c>
      <c r="F392" s="3" t="s">
        <v>1298</v>
      </c>
      <c r="G392" s="3" t="s">
        <v>34</v>
      </c>
      <c r="H392" s="2" t="s">
        <v>22</v>
      </c>
      <c r="I392" s="2" t="s">
        <v>1299</v>
      </c>
      <c r="J392" s="3" t="str">
        <f>HYPERLINK("https://www.boe.es/gazeta/dias/1834/08/01/pdfs/GMD-1834-165.pdf#page=1","Abrir facsímil")</f>
        <v>Abrir facsímil</v>
      </c>
      <c r="K392" s="3" t="s">
        <v>24</v>
      </c>
    </row>
    <row r="393" spans="1:11" ht="54" customHeight="1">
      <c r="A393" s="2" t="s">
        <v>1300</v>
      </c>
      <c r="B393" s="2" t="s">
        <v>1301</v>
      </c>
      <c r="C393" s="2" t="s">
        <v>46</v>
      </c>
      <c r="D393" s="2" t="s">
        <v>18</v>
      </c>
      <c r="E393" s="5" t="s">
        <v>258</v>
      </c>
      <c r="F393" s="3" t="s">
        <v>1075</v>
      </c>
      <c r="G393" s="3" t="s">
        <v>75</v>
      </c>
      <c r="H393" s="2" t="s">
        <v>22</v>
      </c>
      <c r="I393" s="2" t="s">
        <v>1302</v>
      </c>
      <c r="J393" s="3" t="str">
        <f>HYPERLINK("https://www.boe.es/gazeta/dias/1834/10/09/pdfs/GMD-1834-237.pdf#page=4","Abrir facsímil")</f>
        <v>Abrir facsímil</v>
      </c>
      <c r="K393" s="3" t="s">
        <v>24</v>
      </c>
    </row>
    <row r="394" spans="1:11" ht="54" customHeight="1">
      <c r="A394" s="2" t="s">
        <v>1303</v>
      </c>
      <c r="B394" s="2" t="s">
        <v>1304</v>
      </c>
      <c r="C394" s="2" t="s">
        <v>17</v>
      </c>
      <c r="D394" s="2" t="s">
        <v>55</v>
      </c>
      <c r="E394" s="5" t="s">
        <v>258</v>
      </c>
      <c r="F394" s="3" t="s">
        <v>1075</v>
      </c>
      <c r="G394" s="3" t="s">
        <v>75</v>
      </c>
      <c r="H394" s="2" t="s">
        <v>22</v>
      </c>
      <c r="I394" s="2" t="s">
        <v>1305</v>
      </c>
      <c r="J394" s="3" t="str">
        <f>HYPERLINK("https://www.boe.es/gazeta/dias/1834/10/09/pdfs/GMD-1834-237.pdf#page=4","Abrir facsímil")</f>
        <v>Abrir facsímil</v>
      </c>
      <c r="K394" s="3" t="s">
        <v>24</v>
      </c>
    </row>
    <row r="395" spans="1:11" ht="54" customHeight="1">
      <c r="A395" s="2" t="s">
        <v>1306</v>
      </c>
      <c r="B395" s="2" t="s">
        <v>1306</v>
      </c>
      <c r="C395" s="2" t="s">
        <v>17</v>
      </c>
      <c r="D395" s="2" t="s">
        <v>18</v>
      </c>
      <c r="E395" s="5" t="s">
        <v>1307</v>
      </c>
      <c r="F395" s="3" t="s">
        <v>1308</v>
      </c>
      <c r="G395" s="3" t="s">
        <v>75</v>
      </c>
      <c r="H395" s="2" t="s">
        <v>22</v>
      </c>
      <c r="I395" s="2" t="s">
        <v>1309</v>
      </c>
      <c r="J395" s="3" t="str">
        <f>HYPERLINK("https://www.boe.es/gazeta/dias/1834/08/25/pdfs/GMD-1834-191.pdf#page=4","Abrir facsímil")</f>
        <v>Abrir facsímil</v>
      </c>
      <c r="K395" s="3" t="s">
        <v>24</v>
      </c>
    </row>
    <row r="396" spans="1:11" ht="54" customHeight="1">
      <c r="A396" s="2" t="s">
        <v>1310</v>
      </c>
      <c r="B396" s="2" t="s">
        <v>1311</v>
      </c>
      <c r="C396" s="2" t="s">
        <v>122</v>
      </c>
      <c r="D396" s="2" t="s">
        <v>18</v>
      </c>
      <c r="E396" s="5" t="s">
        <v>222</v>
      </c>
      <c r="F396" s="3" t="s">
        <v>223</v>
      </c>
      <c r="G396" s="3" t="s">
        <v>86</v>
      </c>
      <c r="H396" s="2" t="s">
        <v>22</v>
      </c>
      <c r="I396" s="2" t="s">
        <v>1312</v>
      </c>
      <c r="J396" s="3" t="str">
        <f>HYPERLINK("https://www.boe.es/gazeta/dias/1834/09/14/pdfs/GMD-1834-212.pdf#page=2","Abrir facsímil")</f>
        <v>Abrir facsímil</v>
      </c>
      <c r="K396" s="3" t="s">
        <v>24</v>
      </c>
    </row>
    <row r="397" spans="1:11" ht="54" customHeight="1">
      <c r="A397" s="2" t="s">
        <v>1313</v>
      </c>
      <c r="B397" s="2" t="s">
        <v>1314</v>
      </c>
      <c r="C397" s="2" t="s">
        <v>90</v>
      </c>
      <c r="D397" s="2" t="s">
        <v>18</v>
      </c>
      <c r="E397" s="5" t="s">
        <v>84</v>
      </c>
      <c r="F397" s="3" t="s">
        <v>85</v>
      </c>
      <c r="G397" s="3" t="s">
        <v>86</v>
      </c>
      <c r="H397" s="2" t="s">
        <v>22</v>
      </c>
      <c r="I397" s="2" t="s">
        <v>1315</v>
      </c>
      <c r="J397" s="3" t="str">
        <f>HYPERLINK("https://www.boe.es/gazeta/dias/1834/06/07/pdfs/GMD-C-1834-109.pdf#page=2","Abrir facsímil")</f>
        <v>Abrir facsímil</v>
      </c>
      <c r="K397" s="3" t="s">
        <v>24</v>
      </c>
    </row>
    <row r="398" spans="1:11" ht="54" customHeight="1">
      <c r="A398" s="2" t="s">
        <v>1316</v>
      </c>
      <c r="B398" s="2" t="s">
        <v>1317</v>
      </c>
      <c r="C398" s="2" t="s">
        <v>17</v>
      </c>
      <c r="D398" s="2" t="s">
        <v>18</v>
      </c>
      <c r="E398" s="5" t="s">
        <v>1318</v>
      </c>
      <c r="F398" s="3" t="s">
        <v>1319</v>
      </c>
      <c r="G398" s="3" t="s">
        <v>34</v>
      </c>
      <c r="H398" s="2" t="s">
        <v>22</v>
      </c>
      <c r="I398" s="2" t="s">
        <v>1320</v>
      </c>
      <c r="J398" s="3" t="str">
        <f>HYPERLINK("https://www.boe.es/gazeta/dias/1834/05/10/pdfs/GMD-1834-79.pdf#page=1","Abrir facsímil")</f>
        <v>Abrir facsímil</v>
      </c>
      <c r="K398" s="3" t="s">
        <v>24</v>
      </c>
    </row>
    <row r="399" spans="1:11" ht="54" customHeight="1">
      <c r="A399" s="2" t="s">
        <v>1321</v>
      </c>
      <c r="B399" s="2" t="s">
        <v>1322</v>
      </c>
      <c r="C399" s="2" t="s">
        <v>17</v>
      </c>
      <c r="D399" s="2" t="s">
        <v>40</v>
      </c>
      <c r="E399" s="5" t="s">
        <v>1323</v>
      </c>
      <c r="F399" s="3" t="s">
        <v>1324</v>
      </c>
      <c r="G399" s="3" t="s">
        <v>75</v>
      </c>
      <c r="H399" s="2" t="s">
        <v>22</v>
      </c>
      <c r="I399" s="2" t="s">
        <v>1325</v>
      </c>
      <c r="J399" s="3" t="str">
        <f>HYPERLINK("https://www.boe.es/gazeta/dias/1834/05/22/pdfs/GMD-1834-91.pdf#page=4","Abrir facsímil")</f>
        <v>Abrir facsímil</v>
      </c>
      <c r="K399" s="3" t="s">
        <v>24</v>
      </c>
    </row>
    <row r="400" spans="1:11" ht="54" customHeight="1">
      <c r="A400" s="2" t="s">
        <v>1326</v>
      </c>
      <c r="B400" s="2" t="s">
        <v>1326</v>
      </c>
      <c r="C400" s="2" t="s">
        <v>17</v>
      </c>
      <c r="D400" s="2" t="s">
        <v>55</v>
      </c>
      <c r="E400" s="5" t="s">
        <v>1170</v>
      </c>
      <c r="F400" s="3" t="s">
        <v>1171</v>
      </c>
      <c r="G400" s="3" t="s">
        <v>75</v>
      </c>
      <c r="H400" s="2" t="s">
        <v>22</v>
      </c>
      <c r="I400" s="2" t="s">
        <v>1327</v>
      </c>
      <c r="J400" s="3" t="str">
        <f>HYPERLINK("https://www.boe.es/gazeta/dias/1834/01/07/pdfs/GMD-1834-4.pdf#page=4","Abrir facsímil")</f>
        <v>Abrir facsímil</v>
      </c>
      <c r="K400" s="3" t="s">
        <v>24</v>
      </c>
    </row>
    <row r="401" spans="1:11" ht="54" customHeight="1">
      <c r="A401" s="2" t="s">
        <v>1328</v>
      </c>
      <c r="B401" s="2" t="s">
        <v>1329</v>
      </c>
      <c r="C401" s="2" t="s">
        <v>46</v>
      </c>
      <c r="D401" s="2" t="s">
        <v>18</v>
      </c>
      <c r="E401" s="5" t="s">
        <v>571</v>
      </c>
      <c r="F401" s="3" t="s">
        <v>572</v>
      </c>
      <c r="G401" s="3" t="s">
        <v>34</v>
      </c>
      <c r="H401" s="2" t="s">
        <v>22</v>
      </c>
      <c r="I401" s="2" t="s">
        <v>1330</v>
      </c>
      <c r="J401" s="3" t="str">
        <f>HYPERLINK("https://www.boe.es/gazeta/dias/1834/09/04/pdfs/GMD-1834-202.pdf#page=1","Abrir facsímil")</f>
        <v>Abrir facsímil</v>
      </c>
      <c r="K401" s="3" t="s">
        <v>24</v>
      </c>
    </row>
    <row r="402" spans="1:11" ht="54" customHeight="1">
      <c r="A402" s="2" t="s">
        <v>1331</v>
      </c>
      <c r="B402" s="2" t="s">
        <v>1332</v>
      </c>
      <c r="C402" s="2" t="s">
        <v>17</v>
      </c>
      <c r="D402" s="2" t="s">
        <v>18</v>
      </c>
      <c r="E402" s="5" t="s">
        <v>1333</v>
      </c>
      <c r="F402" s="3" t="s">
        <v>1334</v>
      </c>
      <c r="G402" s="3" t="s">
        <v>176</v>
      </c>
      <c r="H402" s="2" t="s">
        <v>35</v>
      </c>
      <c r="I402" s="2" t="s">
        <v>1335</v>
      </c>
      <c r="J402" s="3" t="str">
        <f>HYPERLINK("https://www.boe.es/gazeta/dias/1834/04/01/pdfs/GMD-1834-40.pdf#page=6","Abrir facsímil")</f>
        <v>Abrir facsímil</v>
      </c>
      <c r="K402" s="3" t="s">
        <v>37</v>
      </c>
    </row>
    <row r="403" spans="1:11" ht="54" customHeight="1">
      <c r="A403" s="2" t="s">
        <v>1336</v>
      </c>
      <c r="B403" s="2" t="s">
        <v>1336</v>
      </c>
      <c r="C403" s="2" t="s">
        <v>17</v>
      </c>
      <c r="D403" s="2" t="s">
        <v>18</v>
      </c>
      <c r="E403" s="5" t="s">
        <v>1337</v>
      </c>
      <c r="F403" s="3" t="s">
        <v>1338</v>
      </c>
      <c r="G403" s="3" t="s">
        <v>21</v>
      </c>
      <c r="H403" s="2" t="s">
        <v>22</v>
      </c>
      <c r="I403" s="2" t="s">
        <v>1339</v>
      </c>
      <c r="J403" s="3" t="str">
        <f>HYPERLINK("https://www.boe.es/gazeta/dias/1834/01/02/pdfs/GMD-1834-1.pdf#page=3","Abrir facsímil")</f>
        <v>Abrir facsímil</v>
      </c>
      <c r="K403" s="3" t="s">
        <v>24</v>
      </c>
    </row>
    <row r="404" spans="1:11" ht="54" customHeight="1">
      <c r="A404" s="2" t="s">
        <v>1336</v>
      </c>
      <c r="B404" s="2" t="s">
        <v>1336</v>
      </c>
      <c r="C404" s="2" t="s">
        <v>66</v>
      </c>
      <c r="D404" s="2" t="s">
        <v>67</v>
      </c>
      <c r="E404" s="5" t="s">
        <v>1340</v>
      </c>
      <c r="F404" s="3" t="s">
        <v>1341</v>
      </c>
      <c r="G404" s="3" t="s">
        <v>86</v>
      </c>
      <c r="H404" s="2" t="s">
        <v>22</v>
      </c>
      <c r="I404" s="2" t="s">
        <v>1342</v>
      </c>
      <c r="J404" s="3" t="str">
        <f>HYPERLINK("https://www.boe.es/gazeta/dias/1834/10/05/pdfs/GMD-C-1834-233.pdf#page=2","Abrir facsímil")</f>
        <v>Abrir facsímil</v>
      </c>
      <c r="K404" s="3" t="s">
        <v>24</v>
      </c>
    </row>
    <row r="405" spans="1:11" ht="54" customHeight="1">
      <c r="A405" s="2" t="s">
        <v>1336</v>
      </c>
      <c r="B405" s="2" t="s">
        <v>1336</v>
      </c>
      <c r="C405" s="2" t="s">
        <v>17</v>
      </c>
      <c r="D405" s="2" t="s">
        <v>55</v>
      </c>
      <c r="E405" s="5" t="s">
        <v>167</v>
      </c>
      <c r="F405" s="3" t="s">
        <v>1200</v>
      </c>
      <c r="G405" s="3" t="s">
        <v>1343</v>
      </c>
      <c r="H405" s="2" t="s">
        <v>22</v>
      </c>
      <c r="I405" s="2" t="s">
        <v>1344</v>
      </c>
      <c r="J405" s="3" t="str">
        <f>HYPERLINK("https://www.boe.es/gazeta/dias/1834/09/07/pdfs/GMD-C-1834-205.pdf#page=9","Abrir facsímil")</f>
        <v>Abrir facsímil</v>
      </c>
      <c r="K405" s="3" t="s">
        <v>24</v>
      </c>
    </row>
    <row r="406" spans="1:11" ht="54" customHeight="1">
      <c r="A406" s="2" t="s">
        <v>1336</v>
      </c>
      <c r="B406" s="2" t="s">
        <v>1336</v>
      </c>
      <c r="C406" s="2" t="s">
        <v>46</v>
      </c>
      <c r="D406" s="2" t="s">
        <v>101</v>
      </c>
      <c r="E406" s="5" t="s">
        <v>258</v>
      </c>
      <c r="F406" s="3" t="s">
        <v>259</v>
      </c>
      <c r="G406" s="3" t="s">
        <v>86</v>
      </c>
      <c r="H406" s="2" t="s">
        <v>22</v>
      </c>
      <c r="I406" s="2" t="s">
        <v>1345</v>
      </c>
      <c r="J406" s="3" t="str">
        <f>HYPERLINK("https://www.boe.es/gazeta/dias/1834/10/09/pdfs/GMD-C-1834-237.pdf#page=2","Abrir facsímil")</f>
        <v>Abrir facsímil</v>
      </c>
      <c r="K406" s="3" t="s">
        <v>24</v>
      </c>
    </row>
    <row r="407" spans="1:11" ht="54" customHeight="1">
      <c r="A407" s="2" t="s">
        <v>1336</v>
      </c>
      <c r="B407" s="2" t="s">
        <v>1336</v>
      </c>
      <c r="C407" s="2" t="s">
        <v>17</v>
      </c>
      <c r="D407" s="2" t="s">
        <v>18</v>
      </c>
      <c r="E407" s="5" t="s">
        <v>912</v>
      </c>
      <c r="F407" s="3" t="s">
        <v>913</v>
      </c>
      <c r="G407" s="3" t="s">
        <v>28</v>
      </c>
      <c r="H407" s="2" t="s">
        <v>22</v>
      </c>
      <c r="I407" s="2" t="s">
        <v>1346</v>
      </c>
      <c r="J407" s="3" t="str">
        <f>HYPERLINK("https://www.boe.es/gazeta/dias/1834/02/15/pdfs/GMD-1834-21.pdf#page=5","Abrir facsímil")</f>
        <v>Abrir facsímil</v>
      </c>
      <c r="K407" s="3" t="s">
        <v>24</v>
      </c>
    </row>
    <row r="408" spans="1:11" ht="54" customHeight="1">
      <c r="A408" s="2" t="s">
        <v>1336</v>
      </c>
      <c r="B408" s="2" t="s">
        <v>1336</v>
      </c>
      <c r="C408" s="2" t="s">
        <v>46</v>
      </c>
      <c r="D408" s="2" t="s">
        <v>101</v>
      </c>
      <c r="E408" s="5" t="s">
        <v>280</v>
      </c>
      <c r="F408" s="3" t="s">
        <v>281</v>
      </c>
      <c r="G408" s="3" t="s">
        <v>34</v>
      </c>
      <c r="H408" s="2" t="s">
        <v>22</v>
      </c>
      <c r="I408" s="2" t="s">
        <v>1347</v>
      </c>
      <c r="J408" s="3" t="str">
        <f>HYPERLINK("https://www.boe.es/gazeta/dias/1834/08/29/pdfs/GMD-C-1834-195.pdf#page=1","Abrir facsímil")</f>
        <v>Abrir facsímil</v>
      </c>
      <c r="K408" s="3" t="s">
        <v>24</v>
      </c>
    </row>
    <row r="409" spans="1:11" ht="54" customHeight="1">
      <c r="A409" s="2" t="s">
        <v>1336</v>
      </c>
      <c r="B409" s="2" t="s">
        <v>1336</v>
      </c>
      <c r="C409" s="2" t="s">
        <v>17</v>
      </c>
      <c r="D409" s="2" t="s">
        <v>18</v>
      </c>
      <c r="E409" s="5" t="s">
        <v>280</v>
      </c>
      <c r="F409" s="3" t="s">
        <v>281</v>
      </c>
      <c r="G409" s="3" t="s">
        <v>21</v>
      </c>
      <c r="H409" s="2" t="s">
        <v>22</v>
      </c>
      <c r="I409" s="2" t="s">
        <v>1348</v>
      </c>
      <c r="J409" s="3" t="str">
        <f>HYPERLINK("https://www.boe.es/gazeta/dias/1834/08/29/pdfs/GMD-C-1834-195.pdf#page=3","Abrir facsímil")</f>
        <v>Abrir facsímil</v>
      </c>
      <c r="K409" s="3" t="s">
        <v>24</v>
      </c>
    </row>
    <row r="410" spans="1:11" ht="54" customHeight="1">
      <c r="A410" s="2" t="s">
        <v>1336</v>
      </c>
      <c r="B410" s="2" t="s">
        <v>1336</v>
      </c>
      <c r="C410" s="2" t="s">
        <v>17</v>
      </c>
      <c r="D410" s="2" t="s">
        <v>18</v>
      </c>
      <c r="E410" s="5" t="s">
        <v>283</v>
      </c>
      <c r="F410" s="3" t="s">
        <v>284</v>
      </c>
      <c r="G410" s="3" t="s">
        <v>28</v>
      </c>
      <c r="H410" s="2" t="s">
        <v>22</v>
      </c>
      <c r="I410" s="2" t="s">
        <v>1349</v>
      </c>
      <c r="J410" s="3" t="str">
        <f>HYPERLINK("https://www.boe.es/gazeta/dias/1834/11/29/pdfs/GMD-C-1834-288.pdf#page=5","Abrir facsímil")</f>
        <v>Abrir facsímil</v>
      </c>
      <c r="K410" s="3" t="s">
        <v>24</v>
      </c>
    </row>
    <row r="411" spans="1:11" ht="54" customHeight="1">
      <c r="A411" s="2" t="s">
        <v>1350</v>
      </c>
      <c r="B411" s="2" t="s">
        <v>1350</v>
      </c>
      <c r="C411" s="2" t="s">
        <v>66</v>
      </c>
      <c r="D411" s="2" t="s">
        <v>67</v>
      </c>
      <c r="E411" s="5" t="s">
        <v>1351</v>
      </c>
      <c r="F411" s="3" t="s">
        <v>1352</v>
      </c>
      <c r="G411" s="3" t="s">
        <v>28</v>
      </c>
      <c r="H411" s="2" t="s">
        <v>22</v>
      </c>
      <c r="I411" s="2" t="s">
        <v>1353</v>
      </c>
      <c r="J411" s="3" t="str">
        <f>HYPERLINK("https://www.boe.es/gazeta/dias/1834/07/05/pdfs/GMD-1834-138.pdf#page=5","Abrir facsímil")</f>
        <v>Abrir facsímil</v>
      </c>
      <c r="K411" s="3" t="s">
        <v>24</v>
      </c>
    </row>
    <row r="412" spans="1:11" ht="54" customHeight="1">
      <c r="A412" s="2" t="s">
        <v>1354</v>
      </c>
      <c r="B412" s="2" t="s">
        <v>1355</v>
      </c>
      <c r="C412" s="2" t="s">
        <v>66</v>
      </c>
      <c r="D412" s="2" t="s">
        <v>67</v>
      </c>
      <c r="E412" s="5" t="s">
        <v>1351</v>
      </c>
      <c r="F412" s="3" t="s">
        <v>1352</v>
      </c>
      <c r="G412" s="3" t="s">
        <v>28</v>
      </c>
      <c r="H412" s="2" t="s">
        <v>35</v>
      </c>
      <c r="I412" s="2" t="s">
        <v>1356</v>
      </c>
      <c r="J412" s="3" t="str">
        <f>HYPERLINK("https://www.boe.es/gazeta/dias/1834/07/05/pdfs/GMD-1834-138.pdf#page=5","Abrir facsímil")</f>
        <v>Abrir facsímil</v>
      </c>
      <c r="K412" s="3" t="s">
        <v>37</v>
      </c>
    </row>
    <row r="413" spans="1:11" ht="54" customHeight="1">
      <c r="A413" s="2" t="s">
        <v>1357</v>
      </c>
      <c r="B413" s="2" t="s">
        <v>1357</v>
      </c>
      <c r="C413" s="2" t="s">
        <v>66</v>
      </c>
      <c r="D413" s="2" t="s">
        <v>18</v>
      </c>
      <c r="E413" s="5" t="s">
        <v>1239</v>
      </c>
      <c r="F413" s="3" t="s">
        <v>1240</v>
      </c>
      <c r="G413" s="3" t="s">
        <v>34</v>
      </c>
      <c r="H413" s="2" t="s">
        <v>22</v>
      </c>
      <c r="I413" s="2" t="s">
        <v>1358</v>
      </c>
      <c r="J413" s="3" t="str">
        <f>HYPERLINK("https://www.boe.es/gazeta/dias/1834/08/20/pdfs/GMD-1834-186.pdf#page=1","Abrir facsímil")</f>
        <v>Abrir facsímil</v>
      </c>
      <c r="K413" s="3" t="s">
        <v>24</v>
      </c>
    </row>
    <row r="414" spans="1:11" ht="54" customHeight="1">
      <c r="A414" s="2" t="s">
        <v>1357</v>
      </c>
      <c r="B414" s="2" t="s">
        <v>1357</v>
      </c>
      <c r="C414" s="2" t="s">
        <v>90</v>
      </c>
      <c r="D414" s="2" t="s">
        <v>101</v>
      </c>
      <c r="E414" s="5" t="s">
        <v>707</v>
      </c>
      <c r="F414" s="3" t="s">
        <v>1359</v>
      </c>
      <c r="G414" s="3" t="s">
        <v>86</v>
      </c>
      <c r="H414" s="2" t="s">
        <v>22</v>
      </c>
      <c r="I414" s="2" t="s">
        <v>1360</v>
      </c>
      <c r="J414" s="3" t="str">
        <f>HYPERLINK("https://www.boe.es/gazeta/dias/1834/11/25/pdfs/GMD-1834-284.pdf#page=2","Abrir facsímil")</f>
        <v>Abrir facsímil</v>
      </c>
      <c r="K414" s="3" t="s">
        <v>24</v>
      </c>
    </row>
    <row r="415" spans="1:11" ht="54" customHeight="1">
      <c r="A415" s="2" t="s">
        <v>1357</v>
      </c>
      <c r="B415" s="2" t="s">
        <v>1357</v>
      </c>
      <c r="C415" s="2" t="s">
        <v>46</v>
      </c>
      <c r="D415" s="2" t="s">
        <v>101</v>
      </c>
      <c r="E415" s="5" t="s">
        <v>465</v>
      </c>
      <c r="F415" s="3" t="s">
        <v>1361</v>
      </c>
      <c r="G415" s="3" t="s">
        <v>34</v>
      </c>
      <c r="H415" s="2" t="s">
        <v>22</v>
      </c>
      <c r="I415" s="2" t="s">
        <v>1362</v>
      </c>
      <c r="J415" s="3" t="str">
        <f>HYPERLINK("https://www.boe.es/gazeta/dias/1834/11/27/pdfs/GMD-1834-286.pdf#page=1","Abrir facsímil")</f>
        <v>Abrir facsímil</v>
      </c>
      <c r="K415" s="3" t="s">
        <v>24</v>
      </c>
    </row>
    <row r="416" spans="1:11" ht="54" customHeight="1">
      <c r="A416" s="2" t="s">
        <v>1363</v>
      </c>
      <c r="B416" s="2" t="s">
        <v>1364</v>
      </c>
      <c r="C416" s="2" t="s">
        <v>46</v>
      </c>
      <c r="D416" s="2" t="s">
        <v>18</v>
      </c>
      <c r="E416" s="5" t="s">
        <v>1365</v>
      </c>
      <c r="F416" s="3" t="s">
        <v>1366</v>
      </c>
      <c r="G416" s="3" t="s">
        <v>86</v>
      </c>
      <c r="H416" s="2" t="s">
        <v>22</v>
      </c>
      <c r="I416" s="2" t="s">
        <v>1367</v>
      </c>
      <c r="J416" s="3" t="str">
        <f>HYPERLINK("https://www.boe.es/gazeta/dias/1834/06/20/pdfs/GMD-1834-123.pdf#page=2","Abrir facsímil")</f>
        <v>Abrir facsímil</v>
      </c>
      <c r="K416" s="3" t="s">
        <v>24</v>
      </c>
    </row>
    <row r="417" spans="1:11" ht="54" customHeight="1">
      <c r="A417" s="2" t="s">
        <v>1368</v>
      </c>
      <c r="B417" s="2" t="s">
        <v>1368</v>
      </c>
      <c r="C417" s="2" t="s">
        <v>17</v>
      </c>
      <c r="D417" s="2" t="s">
        <v>18</v>
      </c>
      <c r="E417" s="5" t="s">
        <v>1265</v>
      </c>
      <c r="F417" s="3" t="s">
        <v>1266</v>
      </c>
      <c r="G417" s="3" t="s">
        <v>75</v>
      </c>
      <c r="H417" s="2" t="s">
        <v>22</v>
      </c>
      <c r="I417" s="2" t="s">
        <v>1369</v>
      </c>
      <c r="J417" s="3" t="str">
        <f>HYPERLINK("https://www.boe.es/gazeta/dias/1834/09/08/pdfs/GMD-1834-206.pdf#page=4","Abrir facsímil")</f>
        <v>Abrir facsímil</v>
      </c>
      <c r="K417" s="3" t="s">
        <v>24</v>
      </c>
    </row>
    <row r="418" spans="1:11" ht="54" customHeight="1">
      <c r="A418" s="2" t="s">
        <v>1370</v>
      </c>
      <c r="B418" s="2" t="s">
        <v>1371</v>
      </c>
      <c r="C418" s="2" t="s">
        <v>17</v>
      </c>
      <c r="D418" s="2" t="s">
        <v>55</v>
      </c>
      <c r="E418" s="5" t="s">
        <v>251</v>
      </c>
      <c r="F418" s="3" t="s">
        <v>1278</v>
      </c>
      <c r="G418" s="3" t="s">
        <v>86</v>
      </c>
      <c r="H418" s="2" t="s">
        <v>22</v>
      </c>
      <c r="I418" s="2" t="s">
        <v>1372</v>
      </c>
      <c r="J418" s="3" t="str">
        <f>HYPERLINK("https://www.boe.es/gazeta/dias/1834/09/26/pdfs/GMD-1834-224.pdf#page=2","Abrir facsímil")</f>
        <v>Abrir facsímil</v>
      </c>
      <c r="K418" s="3" t="s">
        <v>24</v>
      </c>
    </row>
    <row r="419" spans="1:11" ht="54" customHeight="1">
      <c r="A419" s="2" t="s">
        <v>1373</v>
      </c>
      <c r="B419" s="2" t="s">
        <v>1373</v>
      </c>
      <c r="C419" s="2" t="s">
        <v>17</v>
      </c>
      <c r="D419" s="2" t="s">
        <v>55</v>
      </c>
      <c r="E419" s="5" t="s">
        <v>610</v>
      </c>
      <c r="F419" s="3" t="s">
        <v>1374</v>
      </c>
      <c r="G419" s="3" t="s">
        <v>86</v>
      </c>
      <c r="H419" s="2" t="s">
        <v>22</v>
      </c>
      <c r="I419" s="2" t="s">
        <v>1375</v>
      </c>
      <c r="J419" s="3" t="str">
        <f>HYPERLINK("https://www.boe.es/gazeta/dias/1834/12/21/pdfs/GMD-1834-311.pdf#page=2","Abrir facsímil")</f>
        <v>Abrir facsímil</v>
      </c>
      <c r="K419" s="3" t="s">
        <v>24</v>
      </c>
    </row>
    <row r="420" spans="1:11" ht="54" customHeight="1">
      <c r="A420" s="2" t="s">
        <v>1376</v>
      </c>
      <c r="B420" s="2" t="s">
        <v>1376</v>
      </c>
      <c r="C420" s="2" t="s">
        <v>122</v>
      </c>
      <c r="D420" s="2" t="s">
        <v>18</v>
      </c>
      <c r="E420" s="5" t="s">
        <v>506</v>
      </c>
      <c r="F420" s="3" t="s">
        <v>507</v>
      </c>
      <c r="G420" s="3" t="s">
        <v>176</v>
      </c>
      <c r="H420" s="2" t="s">
        <v>22</v>
      </c>
      <c r="I420" s="2" t="s">
        <v>1377</v>
      </c>
      <c r="J420" s="3" t="str">
        <f>HYPERLINK("https://www.boe.es/gazeta/dias/1834/03/04/pdfs/GMD-1834-28.pdf#page=6","Abrir facsímil")</f>
        <v>Abrir facsímil</v>
      </c>
      <c r="K420" s="3" t="s">
        <v>24</v>
      </c>
    </row>
    <row r="421" spans="1:11" ht="54" customHeight="1">
      <c r="A421" s="2" t="s">
        <v>1376</v>
      </c>
      <c r="B421" s="2" t="s">
        <v>1376</v>
      </c>
      <c r="C421" s="2" t="s">
        <v>17</v>
      </c>
      <c r="D421" s="2" t="s">
        <v>18</v>
      </c>
      <c r="E421" s="5" t="s">
        <v>91</v>
      </c>
      <c r="F421" s="3" t="s">
        <v>92</v>
      </c>
      <c r="G421" s="3" t="s">
        <v>75</v>
      </c>
      <c r="H421" s="2" t="s">
        <v>22</v>
      </c>
      <c r="I421" s="2" t="s">
        <v>1378</v>
      </c>
      <c r="J421" s="3" t="str">
        <f>HYPERLINK("https://www.boe.es/gazeta/dias/1834/02/13/pdfs/GMD-1834-20.pdf#page=4","Abrir facsímil")</f>
        <v>Abrir facsímil</v>
      </c>
      <c r="K421" s="3" t="s">
        <v>24</v>
      </c>
    </row>
    <row r="422" spans="1:11" ht="54" customHeight="1">
      <c r="A422" s="2" t="s">
        <v>1376</v>
      </c>
      <c r="B422" s="2" t="s">
        <v>1376</v>
      </c>
      <c r="C422" s="2" t="s">
        <v>66</v>
      </c>
      <c r="D422" s="2" t="s">
        <v>67</v>
      </c>
      <c r="E422" s="5" t="s">
        <v>899</v>
      </c>
      <c r="F422" s="3" t="s">
        <v>900</v>
      </c>
      <c r="G422" s="3" t="s">
        <v>470</v>
      </c>
      <c r="H422" s="2" t="s">
        <v>22</v>
      </c>
      <c r="I422" s="2" t="s">
        <v>1379</v>
      </c>
      <c r="J422" s="3" t="str">
        <f>HYPERLINK("https://www.boe.es/gazeta/dias/1834/01/30/pdfs/GMD-1834-14.pdf#page=8","Abrir facsímil")</f>
        <v>Abrir facsímil</v>
      </c>
      <c r="K422" s="3" t="s">
        <v>24</v>
      </c>
    </row>
    <row r="423" spans="1:11" ht="54" customHeight="1">
      <c r="A423" s="2" t="s">
        <v>1376</v>
      </c>
      <c r="B423" s="2" t="s">
        <v>1376</v>
      </c>
      <c r="C423" s="2" t="s">
        <v>17</v>
      </c>
      <c r="D423" s="2" t="s">
        <v>101</v>
      </c>
      <c r="E423" s="5" t="s">
        <v>552</v>
      </c>
      <c r="F423" s="3" t="s">
        <v>553</v>
      </c>
      <c r="G423" s="3" t="s">
        <v>75</v>
      </c>
      <c r="H423" s="2" t="s">
        <v>22</v>
      </c>
      <c r="I423" s="2" t="s">
        <v>1380</v>
      </c>
      <c r="J423" s="3" t="str">
        <f>HYPERLINK("https://www.boe.es/gazeta/dias/1834/07/30/pdfs/GMD-1834-163.pdf#page=4","Abrir facsímil")</f>
        <v>Abrir facsímil</v>
      </c>
      <c r="K423" s="3" t="s">
        <v>24</v>
      </c>
    </row>
    <row r="424" spans="1:11" ht="54" customHeight="1">
      <c r="A424" s="2" t="s">
        <v>1376</v>
      </c>
      <c r="B424" s="2" t="s">
        <v>1376</v>
      </c>
      <c r="C424" s="2" t="s">
        <v>17</v>
      </c>
      <c r="D424" s="2" t="s">
        <v>18</v>
      </c>
      <c r="E424" s="5" t="s">
        <v>273</v>
      </c>
      <c r="F424" s="3" t="s">
        <v>413</v>
      </c>
      <c r="G424" s="3" t="s">
        <v>75</v>
      </c>
      <c r="H424" s="2" t="s">
        <v>22</v>
      </c>
      <c r="I424" s="2" t="s">
        <v>1381</v>
      </c>
      <c r="J424" s="3" t="str">
        <f>HYPERLINK("https://www.boe.es/gazeta/dias/1834/08/31/pdfs/GMD-1834-198.pdf#page=4","Abrir facsímil")</f>
        <v>Abrir facsímil</v>
      </c>
      <c r="K424" s="3" t="s">
        <v>24</v>
      </c>
    </row>
    <row r="425" spans="1:11" ht="54" customHeight="1">
      <c r="A425" s="2" t="s">
        <v>1382</v>
      </c>
      <c r="B425" s="2" t="s">
        <v>1383</v>
      </c>
      <c r="C425" s="2" t="s">
        <v>17</v>
      </c>
      <c r="D425" s="2" t="s">
        <v>18</v>
      </c>
      <c r="E425" s="5" t="s">
        <v>61</v>
      </c>
      <c r="F425" s="3" t="s">
        <v>205</v>
      </c>
      <c r="G425" s="3" t="s">
        <v>75</v>
      </c>
      <c r="H425" s="2" t="s">
        <v>22</v>
      </c>
      <c r="I425" s="2" t="s">
        <v>1384</v>
      </c>
      <c r="J425" s="3" t="str">
        <f>HYPERLINK("https://www.boe.es/gazeta/dias/1834/06/08/pdfs/GMD-1834-110.pdf#page=4","Abrir facsímil")</f>
        <v>Abrir facsímil</v>
      </c>
      <c r="K425" s="3" t="s">
        <v>24</v>
      </c>
    </row>
    <row r="426" spans="1:11" ht="54" customHeight="1">
      <c r="A426" s="2" t="s">
        <v>1385</v>
      </c>
      <c r="B426" s="2" t="s">
        <v>1385</v>
      </c>
      <c r="C426" s="2" t="s">
        <v>17</v>
      </c>
      <c r="D426" s="2" t="s">
        <v>18</v>
      </c>
      <c r="E426" s="5" t="s">
        <v>956</v>
      </c>
      <c r="F426" s="3" t="s">
        <v>957</v>
      </c>
      <c r="G426" s="3" t="s">
        <v>34</v>
      </c>
      <c r="H426" s="2" t="s">
        <v>22</v>
      </c>
      <c r="I426" s="2" t="s">
        <v>1386</v>
      </c>
      <c r="J426" s="3" t="str">
        <f>HYPERLINK("https://www.boe.es/gazeta/dias/1834/08/10/pdfs/GMD-C-1834-175.pdf#page=1","Abrir facsímil")</f>
        <v>Abrir facsímil</v>
      </c>
      <c r="K426" s="3" t="s">
        <v>24</v>
      </c>
    </row>
    <row r="427" spans="1:11" ht="54" customHeight="1">
      <c r="A427" s="2" t="s">
        <v>1387</v>
      </c>
      <c r="B427" s="2" t="s">
        <v>1388</v>
      </c>
      <c r="C427" s="2" t="s">
        <v>17</v>
      </c>
      <c r="D427" s="2" t="s">
        <v>18</v>
      </c>
      <c r="E427" s="5" t="s">
        <v>956</v>
      </c>
      <c r="F427" s="3" t="s">
        <v>957</v>
      </c>
      <c r="G427" s="3" t="s">
        <v>34</v>
      </c>
      <c r="H427" s="2" t="s">
        <v>35</v>
      </c>
      <c r="I427" s="2" t="s">
        <v>1389</v>
      </c>
      <c r="J427" s="3" t="str">
        <f>HYPERLINK("https://www.boe.es/gazeta/dias/1834/08/10/pdfs/GMD-C-1834-175.pdf#page=1","Abrir facsímil")</f>
        <v>Abrir facsímil</v>
      </c>
      <c r="K427" s="3" t="s">
        <v>37</v>
      </c>
    </row>
    <row r="428" spans="1:11" ht="54" customHeight="1">
      <c r="A428" s="2" t="s">
        <v>1390</v>
      </c>
      <c r="B428" s="2" t="s">
        <v>1390</v>
      </c>
      <c r="C428" s="2" t="s">
        <v>46</v>
      </c>
      <c r="D428" s="2" t="s">
        <v>101</v>
      </c>
      <c r="E428" s="5" t="s">
        <v>183</v>
      </c>
      <c r="F428" s="3" t="s">
        <v>184</v>
      </c>
      <c r="G428" s="3" t="s">
        <v>86</v>
      </c>
      <c r="H428" s="2" t="s">
        <v>22</v>
      </c>
      <c r="I428" s="2" t="s">
        <v>1391</v>
      </c>
      <c r="J428" s="3" t="str">
        <f>HYPERLINK("https://www.boe.es/gazeta/dias/1834/03/18/pdfs/GMD-1834-34.pdf#page=2","Abrir facsímil")</f>
        <v>Abrir facsímil</v>
      </c>
      <c r="K428" s="3" t="s">
        <v>24</v>
      </c>
    </row>
    <row r="429" spans="1:11" ht="54" customHeight="1">
      <c r="A429" s="2" t="s">
        <v>1392</v>
      </c>
      <c r="B429" s="2" t="s">
        <v>1393</v>
      </c>
      <c r="C429" s="2" t="s">
        <v>17</v>
      </c>
      <c r="D429" s="2" t="s">
        <v>40</v>
      </c>
      <c r="E429" s="5" t="s">
        <v>1394</v>
      </c>
      <c r="F429" s="3" t="s">
        <v>1395</v>
      </c>
      <c r="G429" s="3" t="s">
        <v>75</v>
      </c>
      <c r="H429" s="2" t="s">
        <v>35</v>
      </c>
      <c r="I429" s="2" t="s">
        <v>1396</v>
      </c>
      <c r="J429" s="3" t="str">
        <f>HYPERLINK("https://www.boe.es/gazeta/dias/1834/04/16/pdfs/GMD-1834-55.pdf#page=4","Abrir facsímil")</f>
        <v>Abrir facsímil</v>
      </c>
      <c r="K429" s="3" t="s">
        <v>37</v>
      </c>
    </row>
    <row r="430" spans="1:11" ht="54" customHeight="1">
      <c r="A430" s="2" t="s">
        <v>1397</v>
      </c>
      <c r="B430" s="2" t="s">
        <v>1398</v>
      </c>
      <c r="C430" s="2" t="s">
        <v>17</v>
      </c>
      <c r="D430" s="2" t="s">
        <v>40</v>
      </c>
      <c r="E430" s="5" t="s">
        <v>1394</v>
      </c>
      <c r="F430" s="3" t="s">
        <v>1395</v>
      </c>
      <c r="G430" s="3" t="s">
        <v>75</v>
      </c>
      <c r="H430" s="2" t="s">
        <v>22</v>
      </c>
      <c r="I430" s="2" t="s">
        <v>1399</v>
      </c>
      <c r="J430" s="3" t="str">
        <f>HYPERLINK("https://www.boe.es/gazeta/dias/1834/04/16/pdfs/GMD-1834-55.pdf#page=4","Abrir facsímil")</f>
        <v>Abrir facsímil</v>
      </c>
      <c r="K430" s="3" t="s">
        <v>24</v>
      </c>
    </row>
    <row r="431" spans="1:11" ht="54" customHeight="1">
      <c r="A431" s="2" t="s">
        <v>1400</v>
      </c>
      <c r="B431" s="2" t="s">
        <v>1401</v>
      </c>
      <c r="C431" s="2" t="s">
        <v>17</v>
      </c>
      <c r="D431" s="2" t="s">
        <v>18</v>
      </c>
      <c r="E431" s="5" t="s">
        <v>1402</v>
      </c>
      <c r="F431" s="3" t="s">
        <v>1403</v>
      </c>
      <c r="G431" s="3" t="s">
        <v>75</v>
      </c>
      <c r="H431" s="2" t="s">
        <v>22</v>
      </c>
      <c r="I431" s="2" t="s">
        <v>1404</v>
      </c>
      <c r="J431" s="3" t="str">
        <f>HYPERLINK("https://www.boe.es/gazeta/dias/1834/05/05/pdfs/GMD-1834-74.pdf#page=4","Abrir facsímil")</f>
        <v>Abrir facsímil</v>
      </c>
      <c r="K431" s="3" t="s">
        <v>24</v>
      </c>
    </row>
    <row r="432" spans="1:11" ht="54" customHeight="1">
      <c r="A432" s="2" t="s">
        <v>1405</v>
      </c>
      <c r="B432" s="2" t="s">
        <v>1405</v>
      </c>
      <c r="C432" s="2" t="s">
        <v>17</v>
      </c>
      <c r="D432" s="2" t="s">
        <v>18</v>
      </c>
      <c r="E432" s="5" t="s">
        <v>1406</v>
      </c>
      <c r="F432" s="3" t="s">
        <v>1407</v>
      </c>
      <c r="G432" s="3" t="s">
        <v>34</v>
      </c>
      <c r="H432" s="2" t="s">
        <v>22</v>
      </c>
      <c r="I432" s="2" t="s">
        <v>1408</v>
      </c>
      <c r="J432" s="3" t="str">
        <f>HYPERLINK("https://www.boe.es/gazeta/dias/1834/11/03/pdfs/GMD-1834-262.pdf#page=1","Abrir facsímil")</f>
        <v>Abrir facsímil</v>
      </c>
      <c r="K432" s="3" t="s">
        <v>24</v>
      </c>
    </row>
    <row r="433" spans="1:11" ht="54" customHeight="1">
      <c r="A433" s="2" t="s">
        <v>1405</v>
      </c>
      <c r="B433" s="2" t="s">
        <v>1405</v>
      </c>
      <c r="C433" s="2" t="s">
        <v>66</v>
      </c>
      <c r="D433" s="2" t="s">
        <v>67</v>
      </c>
      <c r="E433" s="5" t="s">
        <v>1406</v>
      </c>
      <c r="F433" s="3" t="s">
        <v>1407</v>
      </c>
      <c r="G433" s="3" t="s">
        <v>86</v>
      </c>
      <c r="H433" s="2" t="s">
        <v>22</v>
      </c>
      <c r="I433" s="2" t="s">
        <v>1409</v>
      </c>
      <c r="J433" s="3" t="str">
        <f>HYPERLINK("https://www.boe.es/gazeta/dias/1834/11/03/pdfs/GMD-1834-262.pdf#page=2","Abrir facsímil")</f>
        <v>Abrir facsímil</v>
      </c>
      <c r="K433" s="3" t="s">
        <v>24</v>
      </c>
    </row>
    <row r="434" spans="1:11" ht="54" customHeight="1">
      <c r="A434" s="2" t="s">
        <v>1405</v>
      </c>
      <c r="B434" s="2" t="s">
        <v>1405</v>
      </c>
      <c r="C434" s="2" t="s">
        <v>66</v>
      </c>
      <c r="D434" s="2" t="s">
        <v>67</v>
      </c>
      <c r="E434" s="5" t="s">
        <v>1410</v>
      </c>
      <c r="F434" s="3" t="s">
        <v>1411</v>
      </c>
      <c r="G434" s="3" t="s">
        <v>86</v>
      </c>
      <c r="H434" s="2" t="s">
        <v>22</v>
      </c>
      <c r="I434" s="2" t="s">
        <v>1412</v>
      </c>
      <c r="J434" s="3" t="str">
        <f>HYPERLINK("https://www.boe.es/gazeta/dias/1834/09/09/pdfs/GMD-1834-207.pdf#page=2","Abrir facsímil")</f>
        <v>Abrir facsímil</v>
      </c>
      <c r="K434" s="3" t="s">
        <v>24</v>
      </c>
    </row>
    <row r="435" spans="1:11" ht="54" customHeight="1">
      <c r="A435" s="2" t="s">
        <v>1405</v>
      </c>
      <c r="B435" s="2" t="s">
        <v>1405</v>
      </c>
      <c r="C435" s="2" t="s">
        <v>46</v>
      </c>
      <c r="D435" s="2" t="s">
        <v>18</v>
      </c>
      <c r="E435" s="5" t="s">
        <v>123</v>
      </c>
      <c r="F435" s="3" t="s">
        <v>124</v>
      </c>
      <c r="G435" s="3" t="s">
        <v>21</v>
      </c>
      <c r="H435" s="2" t="s">
        <v>22</v>
      </c>
      <c r="I435" s="2" t="s">
        <v>1413</v>
      </c>
      <c r="J435" s="3" t="str">
        <f>HYPERLINK("https://www.boe.es/gazeta/dias/1834/07/11/pdfs/GMD-1834-144.pdf#page=3","Abrir facsímil")</f>
        <v>Abrir facsímil</v>
      </c>
      <c r="K435" s="3" t="s">
        <v>24</v>
      </c>
    </row>
    <row r="436" spans="1:11" ht="54" customHeight="1">
      <c r="A436" s="2" t="s">
        <v>1414</v>
      </c>
      <c r="B436" s="2" t="s">
        <v>1415</v>
      </c>
      <c r="C436" s="2" t="s">
        <v>17</v>
      </c>
      <c r="D436" s="2" t="s">
        <v>18</v>
      </c>
      <c r="E436" s="5" t="s">
        <v>73</v>
      </c>
      <c r="F436" s="3" t="s">
        <v>1416</v>
      </c>
      <c r="G436" s="3" t="s">
        <v>86</v>
      </c>
      <c r="H436" s="2" t="s">
        <v>35</v>
      </c>
      <c r="I436" s="2" t="s">
        <v>1417</v>
      </c>
      <c r="J436" s="3" t="str">
        <f>HYPERLINK("https://www.boe.es/gazeta/dias/1834/11/04/pdfs/GMD-C-1834-263.pdf#page=2","Abrir facsímil")</f>
        <v>Abrir facsímil</v>
      </c>
      <c r="K436" s="3" t="s">
        <v>37</v>
      </c>
    </row>
    <row r="437" spans="1:11" ht="54" customHeight="1">
      <c r="A437" s="2" t="s">
        <v>1418</v>
      </c>
      <c r="B437" s="2" t="s">
        <v>1419</v>
      </c>
      <c r="C437" s="2" t="s">
        <v>90</v>
      </c>
      <c r="D437" s="2" t="s">
        <v>18</v>
      </c>
      <c r="E437" s="5" t="s">
        <v>265</v>
      </c>
      <c r="F437" s="3" t="s">
        <v>266</v>
      </c>
      <c r="G437" s="3" t="s">
        <v>86</v>
      </c>
      <c r="H437" s="2" t="s">
        <v>22</v>
      </c>
      <c r="I437" s="2" t="s">
        <v>1420</v>
      </c>
      <c r="J437" s="3" t="str">
        <f>HYPERLINK("https://www.boe.es/gazeta/dias/1834/11/19/pdfs/GMD-C-1834-278.pdf#page=2","Abrir facsímil")</f>
        <v>Abrir facsímil</v>
      </c>
      <c r="K437" s="3" t="s">
        <v>24</v>
      </c>
    </row>
    <row r="438" spans="1:11" ht="54" customHeight="1">
      <c r="A438" s="2" t="s">
        <v>1421</v>
      </c>
      <c r="B438" s="2" t="s">
        <v>1422</v>
      </c>
      <c r="C438" s="2" t="s">
        <v>17</v>
      </c>
      <c r="D438" s="2" t="s">
        <v>18</v>
      </c>
      <c r="E438" s="5" t="s">
        <v>73</v>
      </c>
      <c r="F438" s="3" t="s">
        <v>1416</v>
      </c>
      <c r="G438" s="3" t="s">
        <v>86</v>
      </c>
      <c r="H438" s="2" t="s">
        <v>22</v>
      </c>
      <c r="I438" s="2" t="s">
        <v>1423</v>
      </c>
      <c r="J438" s="3" t="str">
        <f>HYPERLINK("https://www.boe.es/gazeta/dias/1834/11/04/pdfs/GMD-C-1834-263.pdf#page=2","Abrir facsímil")</f>
        <v>Abrir facsímil</v>
      </c>
      <c r="K438" s="3" t="s">
        <v>24</v>
      </c>
    </row>
    <row r="439" spans="1:11" ht="54" customHeight="1">
      <c r="A439" s="2" t="s">
        <v>1421</v>
      </c>
      <c r="B439" s="2" t="s">
        <v>1422</v>
      </c>
      <c r="C439" s="2" t="s">
        <v>17</v>
      </c>
      <c r="D439" s="2" t="s">
        <v>18</v>
      </c>
      <c r="E439" s="5" t="s">
        <v>1424</v>
      </c>
      <c r="F439" s="3" t="s">
        <v>1425</v>
      </c>
      <c r="G439" s="3" t="s">
        <v>34</v>
      </c>
      <c r="H439" s="2" t="s">
        <v>22</v>
      </c>
      <c r="I439" s="2" t="s">
        <v>1426</v>
      </c>
      <c r="J439" s="3" t="str">
        <f>HYPERLINK("https://www.boe.es/gazeta/dias/1834/11/14/pdfs/GMD-C-1834-273.pdf#page=1","Abrir facsímil")</f>
        <v>Abrir facsímil</v>
      </c>
      <c r="K439" s="3" t="s">
        <v>24</v>
      </c>
    </row>
    <row r="440" spans="1:11" ht="54" customHeight="1">
      <c r="A440" s="2" t="s">
        <v>1421</v>
      </c>
      <c r="B440" s="2" t="s">
        <v>1422</v>
      </c>
      <c r="C440" s="2" t="s">
        <v>90</v>
      </c>
      <c r="D440" s="2" t="s">
        <v>18</v>
      </c>
      <c r="E440" s="5" t="s">
        <v>462</v>
      </c>
      <c r="F440" s="3" t="s">
        <v>463</v>
      </c>
      <c r="G440" s="3" t="s">
        <v>34</v>
      </c>
      <c r="H440" s="2" t="s">
        <v>22</v>
      </c>
      <c r="I440" s="2" t="s">
        <v>1427</v>
      </c>
      <c r="J440" s="3" t="str">
        <f>HYPERLINK("https://www.boe.es/gazeta/dias/1834/08/27/pdfs/GMD-C-1834-193.pdf#page=1","Abrir facsímil")</f>
        <v>Abrir facsímil</v>
      </c>
      <c r="K440" s="3" t="s">
        <v>24</v>
      </c>
    </row>
    <row r="441" spans="1:11" ht="54" customHeight="1">
      <c r="A441" s="2" t="s">
        <v>1421</v>
      </c>
      <c r="B441" s="2" t="s">
        <v>1422</v>
      </c>
      <c r="C441" s="2" t="s">
        <v>122</v>
      </c>
      <c r="D441" s="2" t="s">
        <v>101</v>
      </c>
      <c r="E441" s="5" t="s">
        <v>280</v>
      </c>
      <c r="F441" s="3" t="s">
        <v>281</v>
      </c>
      <c r="G441" s="3" t="s">
        <v>86</v>
      </c>
      <c r="H441" s="2" t="s">
        <v>22</v>
      </c>
      <c r="I441" s="2" t="s">
        <v>1428</v>
      </c>
      <c r="J441" s="3" t="str">
        <f>HYPERLINK("https://www.boe.es/gazeta/dias/1834/08/29/pdfs/GMD-C-1834-195.pdf#page=2","Abrir facsímil")</f>
        <v>Abrir facsímil</v>
      </c>
      <c r="K441" s="3" t="s">
        <v>24</v>
      </c>
    </row>
    <row r="442" spans="1:11" ht="54" customHeight="1">
      <c r="A442" s="2" t="s">
        <v>1429</v>
      </c>
      <c r="B442" s="2" t="s">
        <v>1430</v>
      </c>
      <c r="C442" s="2" t="s">
        <v>17</v>
      </c>
      <c r="D442" s="2" t="s">
        <v>101</v>
      </c>
      <c r="E442" s="5" t="s">
        <v>183</v>
      </c>
      <c r="F442" s="3" t="s">
        <v>184</v>
      </c>
      <c r="G442" s="3" t="s">
        <v>34</v>
      </c>
      <c r="H442" s="2" t="s">
        <v>22</v>
      </c>
      <c r="I442" s="2" t="s">
        <v>1431</v>
      </c>
      <c r="J442" s="3" t="str">
        <f>HYPERLINK("https://www.boe.es/gazeta/dias/1834/03/18/pdfs/GMD-1834-34.pdf#page=1","Abrir facsímil")</f>
        <v>Abrir facsímil</v>
      </c>
      <c r="K442" s="3" t="s">
        <v>24</v>
      </c>
    </row>
    <row r="443" spans="1:11" ht="54" customHeight="1">
      <c r="A443" s="2" t="s">
        <v>1432</v>
      </c>
      <c r="B443" s="2" t="s">
        <v>1433</v>
      </c>
      <c r="C443" s="2" t="s">
        <v>17</v>
      </c>
      <c r="D443" s="2" t="s">
        <v>18</v>
      </c>
      <c r="E443" s="5" t="s">
        <v>343</v>
      </c>
      <c r="F443" s="3" t="s">
        <v>344</v>
      </c>
      <c r="G443" s="3" t="s">
        <v>21</v>
      </c>
      <c r="H443" s="2" t="s">
        <v>22</v>
      </c>
      <c r="I443" s="2" t="s">
        <v>1434</v>
      </c>
      <c r="J443" s="3" t="str">
        <f>HYPERLINK("https://www.boe.es/gazeta/dias/1834/01/14/pdfs/GMD-1834-7.pdf#page=3","Abrir facsímil")</f>
        <v>Abrir facsímil</v>
      </c>
      <c r="K443" s="3" t="s">
        <v>24</v>
      </c>
    </row>
    <row r="444" spans="1:11" ht="54" customHeight="1">
      <c r="A444" s="2" t="s">
        <v>1435</v>
      </c>
      <c r="B444" s="2" t="s">
        <v>1436</v>
      </c>
      <c r="C444" s="2" t="s">
        <v>122</v>
      </c>
      <c r="D444" s="2" t="s">
        <v>18</v>
      </c>
      <c r="E444" s="5" t="s">
        <v>1337</v>
      </c>
      <c r="F444" s="3" t="s">
        <v>1338</v>
      </c>
      <c r="G444" s="3" t="s">
        <v>86</v>
      </c>
      <c r="H444" s="2" t="s">
        <v>22</v>
      </c>
      <c r="I444" s="2" t="s">
        <v>1437</v>
      </c>
      <c r="J444" s="3" t="str">
        <f>HYPERLINK("https://www.boe.es/gazeta/dias/1834/01/02/pdfs/GMD-1834-1.pdf#page=2","Abrir facsímil")</f>
        <v>Abrir facsímil</v>
      </c>
      <c r="K444" s="3" t="s">
        <v>24</v>
      </c>
    </row>
    <row r="445" spans="1:11" ht="54" customHeight="1">
      <c r="A445" s="2" t="s">
        <v>1435</v>
      </c>
      <c r="B445" s="2" t="s">
        <v>1436</v>
      </c>
      <c r="C445" s="2" t="s">
        <v>17</v>
      </c>
      <c r="D445" s="2" t="s">
        <v>18</v>
      </c>
      <c r="E445" s="5" t="s">
        <v>1438</v>
      </c>
      <c r="F445" s="3" t="s">
        <v>1439</v>
      </c>
      <c r="G445" s="3" t="s">
        <v>75</v>
      </c>
      <c r="H445" s="2" t="s">
        <v>22</v>
      </c>
      <c r="I445" s="2" t="s">
        <v>1440</v>
      </c>
      <c r="J445" s="3" t="str">
        <f>HYPERLINK("https://www.boe.es/gazeta/dias/1834/05/13/pdfs/GMD-1834-82.pdf#page=4","Abrir facsímil")</f>
        <v>Abrir facsímil</v>
      </c>
      <c r="K445" s="3" t="s">
        <v>24</v>
      </c>
    </row>
    <row r="446" spans="1:11" ht="54" customHeight="1">
      <c r="A446" s="2" t="s">
        <v>1441</v>
      </c>
      <c r="B446" s="2" t="s">
        <v>1442</v>
      </c>
      <c r="C446" s="2" t="s">
        <v>17</v>
      </c>
      <c r="D446" s="2" t="s">
        <v>55</v>
      </c>
      <c r="E446" s="5" t="s">
        <v>243</v>
      </c>
      <c r="F446" s="3" t="s">
        <v>1109</v>
      </c>
      <c r="G446" s="3" t="s">
        <v>34</v>
      </c>
      <c r="H446" s="2" t="s">
        <v>22</v>
      </c>
      <c r="I446" s="2" t="s">
        <v>1443</v>
      </c>
      <c r="J446" s="3" t="str">
        <f>HYPERLINK("https://www.boe.es/gazeta/dias/1834/08/05/pdfs/GMD-1834-169.pdf#page=1","Abrir facsímil")</f>
        <v>Abrir facsímil</v>
      </c>
      <c r="K446" s="3" t="s">
        <v>24</v>
      </c>
    </row>
    <row r="447" spans="1:11" ht="54" customHeight="1">
      <c r="A447" s="2" t="s">
        <v>1444</v>
      </c>
      <c r="B447" s="2" t="s">
        <v>1445</v>
      </c>
      <c r="C447" s="2" t="s">
        <v>17</v>
      </c>
      <c r="D447" s="2" t="s">
        <v>18</v>
      </c>
      <c r="E447" s="5" t="s">
        <v>61</v>
      </c>
      <c r="F447" s="3" t="s">
        <v>205</v>
      </c>
      <c r="G447" s="3" t="s">
        <v>75</v>
      </c>
      <c r="H447" s="2" t="s">
        <v>22</v>
      </c>
      <c r="I447" s="2" t="s">
        <v>1446</v>
      </c>
      <c r="J447" s="3" t="str">
        <f>HYPERLINK("https://www.boe.es/gazeta/dias/1834/06/08/pdfs/GMD-1834-110.pdf#page=4","Abrir facsímil")</f>
        <v>Abrir facsímil</v>
      </c>
      <c r="K447" s="3" t="s">
        <v>24</v>
      </c>
    </row>
    <row r="448" spans="1:11" ht="54" customHeight="1">
      <c r="A448" s="2" t="s">
        <v>1447</v>
      </c>
      <c r="B448" s="2" t="s">
        <v>1448</v>
      </c>
      <c r="C448" s="2" t="s">
        <v>46</v>
      </c>
      <c r="D448" s="2" t="s">
        <v>101</v>
      </c>
      <c r="E448" s="5" t="s">
        <v>615</v>
      </c>
      <c r="F448" s="3" t="s">
        <v>616</v>
      </c>
      <c r="G448" s="3" t="s">
        <v>86</v>
      </c>
      <c r="H448" s="2" t="s">
        <v>22</v>
      </c>
      <c r="I448" s="2" t="s">
        <v>1449</v>
      </c>
      <c r="J448" s="3" t="str">
        <f>HYPERLINK("https://www.boe.es/gazeta/dias/1834/08/19/pdfs/GMD-1834-185.pdf#page=2","Abrir facsímil")</f>
        <v>Abrir facsímil</v>
      </c>
      <c r="K448" s="3" t="s">
        <v>24</v>
      </c>
    </row>
    <row r="449" spans="1:11" ht="54" customHeight="1">
      <c r="A449" s="2" t="s">
        <v>1450</v>
      </c>
      <c r="B449" s="2" t="s">
        <v>1451</v>
      </c>
      <c r="C449" s="2" t="s">
        <v>17</v>
      </c>
      <c r="D449" s="2" t="s">
        <v>55</v>
      </c>
      <c r="E449" s="5" t="s">
        <v>299</v>
      </c>
      <c r="F449" s="3" t="s">
        <v>300</v>
      </c>
      <c r="G449" s="3" t="s">
        <v>21</v>
      </c>
      <c r="H449" s="2" t="s">
        <v>22</v>
      </c>
      <c r="I449" s="2" t="s">
        <v>1452</v>
      </c>
      <c r="J449" s="3" t="str">
        <f>HYPERLINK("https://www.boe.es/gazeta/dias/1834/12/12/pdfs/GMD-1834-301.pdf#page=3","Abrir facsímil")</f>
        <v>Abrir facsímil</v>
      </c>
      <c r="K449" s="3" t="s">
        <v>24</v>
      </c>
    </row>
    <row r="450" spans="1:11" ht="54" customHeight="1">
      <c r="A450" s="2" t="s">
        <v>1453</v>
      </c>
      <c r="B450" s="2" t="s">
        <v>1454</v>
      </c>
      <c r="C450" s="2" t="s">
        <v>17</v>
      </c>
      <c r="D450" s="2" t="s">
        <v>18</v>
      </c>
      <c r="E450" s="5" t="s">
        <v>1234</v>
      </c>
      <c r="F450" s="3" t="s">
        <v>1455</v>
      </c>
      <c r="G450" s="3" t="s">
        <v>86</v>
      </c>
      <c r="H450" s="2" t="s">
        <v>22</v>
      </c>
      <c r="I450" s="2" t="s">
        <v>1456</v>
      </c>
      <c r="J450" s="3" t="str">
        <f>HYPERLINK("https://www.boe.es/gazeta/dias/1834/05/15/pdfs/GMD-1834-84.pdf#page=2","Abrir facsímil")</f>
        <v>Abrir facsímil</v>
      </c>
      <c r="K450" s="3" t="s">
        <v>24</v>
      </c>
    </row>
    <row r="451" spans="1:11" ht="54" customHeight="1">
      <c r="A451" s="2" t="s">
        <v>1457</v>
      </c>
      <c r="B451" s="2" t="s">
        <v>1458</v>
      </c>
      <c r="C451" s="2" t="s">
        <v>17</v>
      </c>
      <c r="D451" s="2" t="s">
        <v>18</v>
      </c>
      <c r="E451" s="5" t="s">
        <v>1459</v>
      </c>
      <c r="F451" s="3" t="s">
        <v>1460</v>
      </c>
      <c r="G451" s="3" t="s">
        <v>21</v>
      </c>
      <c r="H451" s="2" t="s">
        <v>22</v>
      </c>
      <c r="I451" s="2" t="s">
        <v>1461</v>
      </c>
      <c r="J451" s="3" t="str">
        <f>HYPERLINK("https://www.boe.es/gazeta/dias/1834/08/18/pdfs/GMD-1834-184.pdf#page=3","Abrir facsímil")</f>
        <v>Abrir facsímil</v>
      </c>
      <c r="K451" s="3" t="s">
        <v>24</v>
      </c>
    </row>
    <row r="452" spans="1:11" ht="54" customHeight="1">
      <c r="A452" s="2" t="s">
        <v>1462</v>
      </c>
      <c r="B452" s="2" t="s">
        <v>1463</v>
      </c>
      <c r="C452" s="2" t="s">
        <v>17</v>
      </c>
      <c r="D452" s="2" t="s">
        <v>55</v>
      </c>
      <c r="E452" s="5" t="s">
        <v>571</v>
      </c>
      <c r="F452" s="3" t="s">
        <v>572</v>
      </c>
      <c r="G452" s="3" t="s">
        <v>34</v>
      </c>
      <c r="H452" s="2" t="s">
        <v>22</v>
      </c>
      <c r="I452" s="2" t="s">
        <v>1464</v>
      </c>
      <c r="J452" s="3" t="str">
        <f>HYPERLINK("https://www.boe.es/gazeta/dias/1834/09/04/pdfs/GMD-1834-202.pdf#page=1","Abrir facsímil")</f>
        <v>Abrir facsímil</v>
      </c>
      <c r="K452" s="3" t="s">
        <v>24</v>
      </c>
    </row>
    <row r="453" spans="1:11" ht="54" customHeight="1">
      <c r="A453" s="2" t="s">
        <v>1465</v>
      </c>
      <c r="B453" s="2" t="s">
        <v>1465</v>
      </c>
      <c r="C453" s="2" t="s">
        <v>17</v>
      </c>
      <c r="D453" s="2" t="s">
        <v>18</v>
      </c>
      <c r="E453" s="5" t="s">
        <v>47</v>
      </c>
      <c r="F453" s="3" t="s">
        <v>1466</v>
      </c>
      <c r="G453" s="3" t="s">
        <v>21</v>
      </c>
      <c r="H453" s="2" t="s">
        <v>22</v>
      </c>
      <c r="I453" s="2" t="s">
        <v>1467</v>
      </c>
      <c r="J453" s="3" t="str">
        <f>HYPERLINK("https://www.boe.es/gazeta/dias/1834/09/05/pdfs/GMD-1834-203.pdf#page=3","Abrir facsímil")</f>
        <v>Abrir facsímil</v>
      </c>
      <c r="K453" s="3" t="s">
        <v>24</v>
      </c>
    </row>
    <row r="454" spans="1:11" ht="54" customHeight="1">
      <c r="A454" s="2" t="s">
        <v>1468</v>
      </c>
      <c r="B454" s="2" t="s">
        <v>1469</v>
      </c>
      <c r="C454" s="2" t="s">
        <v>17</v>
      </c>
      <c r="D454" s="2" t="s">
        <v>18</v>
      </c>
      <c r="E454" s="5" t="s">
        <v>56</v>
      </c>
      <c r="F454" s="3" t="s">
        <v>57</v>
      </c>
      <c r="G454" s="3" t="s">
        <v>75</v>
      </c>
      <c r="H454" s="2" t="s">
        <v>22</v>
      </c>
      <c r="I454" s="2" t="s">
        <v>1470</v>
      </c>
      <c r="J454" s="3" t="str">
        <f>HYPERLINK("https://www.boe.es/gazeta/dias/1834/07/09/pdfs/GMD-1834-142.pdf#page=4","Abrir facsímil")</f>
        <v>Abrir facsímil</v>
      </c>
      <c r="K454" s="3" t="s">
        <v>24</v>
      </c>
    </row>
    <row r="455" spans="1:11" ht="54" customHeight="1">
      <c r="A455" s="2" t="s">
        <v>1471</v>
      </c>
      <c r="B455" s="2" t="s">
        <v>1472</v>
      </c>
      <c r="C455" s="2" t="s">
        <v>17</v>
      </c>
      <c r="D455" s="2" t="s">
        <v>18</v>
      </c>
      <c r="E455" s="5" t="s">
        <v>56</v>
      </c>
      <c r="F455" s="3" t="s">
        <v>57</v>
      </c>
      <c r="G455" s="3" t="s">
        <v>75</v>
      </c>
      <c r="H455" s="2" t="s">
        <v>35</v>
      </c>
      <c r="I455" s="2" t="s">
        <v>1473</v>
      </c>
      <c r="J455" s="3" t="str">
        <f>HYPERLINK("https://www.boe.es/gazeta/dias/1834/07/09/pdfs/GMD-1834-142.pdf#page=4","Abrir facsímil")</f>
        <v>Abrir facsímil</v>
      </c>
      <c r="K455" s="3" t="s">
        <v>37</v>
      </c>
    </row>
    <row r="456" spans="1:11" ht="54" customHeight="1">
      <c r="A456" s="2" t="s">
        <v>1474</v>
      </c>
      <c r="B456" s="2" t="s">
        <v>1474</v>
      </c>
      <c r="C456" s="2" t="s">
        <v>17</v>
      </c>
      <c r="D456" s="2" t="s">
        <v>18</v>
      </c>
      <c r="E456" s="5" t="s">
        <v>1340</v>
      </c>
      <c r="F456" s="3" t="s">
        <v>1341</v>
      </c>
      <c r="G456" s="3" t="s">
        <v>34</v>
      </c>
      <c r="H456" s="2" t="s">
        <v>22</v>
      </c>
      <c r="I456" s="2" t="s">
        <v>1475</v>
      </c>
      <c r="J456" s="3" t="str">
        <f>HYPERLINK("https://www.boe.es/gazeta/dias/1834/10/05/pdfs/GMD-C-1834-233.pdf#page=1","Abrir facsímil")</f>
        <v>Abrir facsímil</v>
      </c>
      <c r="K456" s="3" t="s">
        <v>24</v>
      </c>
    </row>
    <row r="457" spans="1:11" ht="54" customHeight="1">
      <c r="A457" s="2" t="s">
        <v>1476</v>
      </c>
      <c r="B457" s="2" t="s">
        <v>1477</v>
      </c>
      <c r="C457" s="2" t="s">
        <v>17</v>
      </c>
      <c r="D457" s="2" t="s">
        <v>18</v>
      </c>
      <c r="E457" s="5" t="s">
        <v>552</v>
      </c>
      <c r="F457" s="3" t="s">
        <v>1478</v>
      </c>
      <c r="G457" s="3" t="s">
        <v>34</v>
      </c>
      <c r="H457" s="2" t="s">
        <v>22</v>
      </c>
      <c r="I457" s="2" t="s">
        <v>1479</v>
      </c>
      <c r="J457" s="3" t="str">
        <f>HYPERLINK("https://www.boe.es/gazeta/dias/1834/07/30/pdfs/GMD-C-1834-163.pdf#page=1","Abrir facsímil")</f>
        <v>Abrir facsímil</v>
      </c>
      <c r="K457" s="3" t="s">
        <v>24</v>
      </c>
    </row>
    <row r="458" spans="1:11" ht="54" customHeight="1">
      <c r="A458" s="2" t="s">
        <v>1480</v>
      </c>
      <c r="B458" s="2" t="s">
        <v>1481</v>
      </c>
      <c r="C458" s="2" t="s">
        <v>17</v>
      </c>
      <c r="D458" s="2" t="s">
        <v>18</v>
      </c>
      <c r="E458" s="5" t="s">
        <v>785</v>
      </c>
      <c r="F458" s="3" t="s">
        <v>786</v>
      </c>
      <c r="G458" s="3" t="s">
        <v>34</v>
      </c>
      <c r="H458" s="2" t="s">
        <v>22</v>
      </c>
      <c r="I458" s="2" t="s">
        <v>1482</v>
      </c>
      <c r="J458" s="3" t="str">
        <f>HYPERLINK("https://www.boe.es/gazeta/dias/1834/02/11/pdfs/GMD-1834-19.pdf#page=1","Abrir facsímil")</f>
        <v>Abrir facsímil</v>
      </c>
      <c r="K458" s="3" t="s">
        <v>24</v>
      </c>
    </row>
    <row r="459" spans="1:11" ht="54" customHeight="1">
      <c r="A459" s="2" t="s">
        <v>1483</v>
      </c>
      <c r="B459" s="2" t="s">
        <v>1484</v>
      </c>
      <c r="C459" s="2" t="s">
        <v>122</v>
      </c>
      <c r="D459" s="2" t="s">
        <v>18</v>
      </c>
      <c r="E459" s="5" t="s">
        <v>309</v>
      </c>
      <c r="F459" s="3" t="s">
        <v>310</v>
      </c>
      <c r="G459" s="3" t="s">
        <v>75</v>
      </c>
      <c r="H459" s="2" t="s">
        <v>22</v>
      </c>
      <c r="I459" s="2" t="s">
        <v>1485</v>
      </c>
      <c r="J459" s="3" t="str">
        <f>HYPERLINK("https://www.boe.es/gazeta/dias/1834/05/30/pdfs/GMD-1834-99.pdf#page=4","Abrir facsímil")</f>
        <v>Abrir facsímil</v>
      </c>
      <c r="K459" s="3" t="s">
        <v>24</v>
      </c>
    </row>
    <row r="460" spans="1:11" ht="54" customHeight="1">
      <c r="A460" s="2" t="s">
        <v>1486</v>
      </c>
      <c r="B460" s="2" t="s">
        <v>1486</v>
      </c>
      <c r="C460" s="2" t="s">
        <v>17</v>
      </c>
      <c r="D460" s="2" t="s">
        <v>18</v>
      </c>
      <c r="E460" s="5" t="s">
        <v>724</v>
      </c>
      <c r="F460" s="3" t="s">
        <v>725</v>
      </c>
      <c r="G460" s="3" t="s">
        <v>75</v>
      </c>
      <c r="H460" s="2" t="s">
        <v>22</v>
      </c>
      <c r="I460" s="2" t="s">
        <v>1487</v>
      </c>
      <c r="J460" s="3" t="str">
        <f>HYPERLINK("https://www.boe.es/gazeta/dias/1834/04/25/pdfs/GMD-1834-64.pdf#page=4","Abrir facsímil")</f>
        <v>Abrir facsímil</v>
      </c>
      <c r="K460" s="3" t="s">
        <v>24</v>
      </c>
    </row>
    <row r="461" spans="1:11" ht="54" customHeight="1">
      <c r="A461" s="2" t="s">
        <v>1488</v>
      </c>
      <c r="B461" s="2" t="s">
        <v>1489</v>
      </c>
      <c r="C461" s="2" t="s">
        <v>17</v>
      </c>
      <c r="D461" s="2" t="s">
        <v>18</v>
      </c>
      <c r="E461" s="5" t="s">
        <v>724</v>
      </c>
      <c r="F461" s="3" t="s">
        <v>725</v>
      </c>
      <c r="G461" s="3" t="s">
        <v>75</v>
      </c>
      <c r="H461" s="2" t="s">
        <v>35</v>
      </c>
      <c r="I461" s="2" t="s">
        <v>1490</v>
      </c>
      <c r="J461" s="3" t="str">
        <f>HYPERLINK("https://www.boe.es/gazeta/dias/1834/04/25/pdfs/GMD-1834-64.pdf#page=4","Abrir facsímil")</f>
        <v>Abrir facsímil</v>
      </c>
      <c r="K461" s="3" t="s">
        <v>37</v>
      </c>
    </row>
    <row r="462" spans="1:11" ht="54" customHeight="1">
      <c r="A462" s="2" t="s">
        <v>1491</v>
      </c>
      <c r="B462" s="2" t="s">
        <v>1492</v>
      </c>
      <c r="C462" s="2" t="s">
        <v>17</v>
      </c>
      <c r="D462" s="2" t="s">
        <v>18</v>
      </c>
      <c r="E462" s="5" t="s">
        <v>339</v>
      </c>
      <c r="F462" s="3" t="s">
        <v>340</v>
      </c>
      <c r="G462" s="3" t="s">
        <v>21</v>
      </c>
      <c r="H462" s="2" t="s">
        <v>22</v>
      </c>
      <c r="I462" s="2" t="s">
        <v>1493</v>
      </c>
      <c r="J462" s="3" t="str">
        <f>HYPERLINK("https://www.boe.es/gazeta/dias/1834/05/02/pdfs/GMD-1834-71.pdf#page=3","Abrir facsímil")</f>
        <v>Abrir facsímil</v>
      </c>
      <c r="K462" s="3" t="s">
        <v>24</v>
      </c>
    </row>
    <row r="463" spans="1:11" ht="54" customHeight="1">
      <c r="A463" s="2" t="s">
        <v>1494</v>
      </c>
      <c r="B463" s="2" t="s">
        <v>1495</v>
      </c>
      <c r="C463" s="2" t="s">
        <v>17</v>
      </c>
      <c r="D463" s="2" t="s">
        <v>18</v>
      </c>
      <c r="E463" s="5" t="s">
        <v>707</v>
      </c>
      <c r="F463" s="3" t="s">
        <v>708</v>
      </c>
      <c r="G463" s="3" t="s">
        <v>28</v>
      </c>
      <c r="H463" s="2" t="s">
        <v>22</v>
      </c>
      <c r="I463" s="2" t="s">
        <v>1496</v>
      </c>
      <c r="J463" s="3" t="str">
        <f>HYPERLINK("https://www.boe.es/gazeta/dias/1834/11/25/pdfs/GMD-C-1834-284.pdf#page=5","Abrir facsímil")</f>
        <v>Abrir facsímil</v>
      </c>
      <c r="K463" s="3" t="s">
        <v>24</v>
      </c>
    </row>
    <row r="464" spans="1:11" ht="54" customHeight="1">
      <c r="A464" s="2" t="s">
        <v>1497</v>
      </c>
      <c r="B464" s="2" t="s">
        <v>1498</v>
      </c>
      <c r="C464" s="2" t="s">
        <v>66</v>
      </c>
      <c r="D464" s="2" t="s">
        <v>67</v>
      </c>
      <c r="E464" s="5" t="s">
        <v>667</v>
      </c>
      <c r="F464" s="3" t="s">
        <v>668</v>
      </c>
      <c r="G464" s="3" t="s">
        <v>34</v>
      </c>
      <c r="H464" s="2" t="s">
        <v>22</v>
      </c>
      <c r="I464" s="2" t="s">
        <v>1499</v>
      </c>
      <c r="J464" s="3" t="str">
        <f>HYPERLINK("https://www.boe.es/gazeta/dias/1834/11/23/pdfs/GMD-C-1834-282.pdf#page=1","Abrir facsímil")</f>
        <v>Abrir facsímil</v>
      </c>
      <c r="K464" s="3" t="s">
        <v>24</v>
      </c>
    </row>
    <row r="465" spans="1:11" ht="54" customHeight="1">
      <c r="A465" s="2" t="s">
        <v>1497</v>
      </c>
      <c r="B465" s="2" t="s">
        <v>1498</v>
      </c>
      <c r="C465" s="2" t="s">
        <v>17</v>
      </c>
      <c r="D465" s="2" t="s">
        <v>18</v>
      </c>
      <c r="E465" s="5" t="s">
        <v>667</v>
      </c>
      <c r="F465" s="3" t="s">
        <v>668</v>
      </c>
      <c r="G465" s="3" t="s">
        <v>28</v>
      </c>
      <c r="H465" s="2" t="s">
        <v>22</v>
      </c>
      <c r="I465" s="2" t="s">
        <v>1500</v>
      </c>
      <c r="J465" s="3" t="str">
        <f>HYPERLINK("https://www.boe.es/gazeta/dias/1834/11/23/pdfs/GMD-C-1834-282.pdf#page=5","Abrir facsímil")</f>
        <v>Abrir facsímil</v>
      </c>
      <c r="K465" s="3" t="s">
        <v>24</v>
      </c>
    </row>
    <row r="466" spans="1:11" ht="54" customHeight="1">
      <c r="A466" s="2" t="s">
        <v>1501</v>
      </c>
      <c r="B466" s="2" t="s">
        <v>1501</v>
      </c>
      <c r="C466" s="2" t="s">
        <v>17</v>
      </c>
      <c r="D466" s="2" t="s">
        <v>18</v>
      </c>
      <c r="E466" s="5" t="s">
        <v>571</v>
      </c>
      <c r="F466" s="3" t="s">
        <v>620</v>
      </c>
      <c r="G466" s="3" t="s">
        <v>21</v>
      </c>
      <c r="H466" s="2" t="s">
        <v>22</v>
      </c>
      <c r="I466" s="2" t="s">
        <v>1502</v>
      </c>
      <c r="J466" s="3" t="str">
        <f>HYPERLINK("https://www.boe.es/gazeta/dias/1834/09/04/pdfs/GMD-C-1834-202.pdf#page=3","Abrir facsímil")</f>
        <v>Abrir facsímil</v>
      </c>
      <c r="K466" s="3" t="s">
        <v>24</v>
      </c>
    </row>
    <row r="467" spans="1:11" ht="54" customHeight="1">
      <c r="A467" s="2" t="s">
        <v>1501</v>
      </c>
      <c r="B467" s="2" t="s">
        <v>1501</v>
      </c>
      <c r="C467" s="2" t="s">
        <v>17</v>
      </c>
      <c r="D467" s="2" t="s">
        <v>18</v>
      </c>
      <c r="E467" s="5" t="s">
        <v>571</v>
      </c>
      <c r="F467" s="3" t="s">
        <v>620</v>
      </c>
      <c r="G467" s="3" t="s">
        <v>176</v>
      </c>
      <c r="H467" s="2" t="s">
        <v>22</v>
      </c>
      <c r="I467" s="2" t="s">
        <v>1503</v>
      </c>
      <c r="J467" s="3" t="str">
        <f>HYPERLINK("https://www.boe.es/gazeta/dias/1834/09/04/pdfs/GMD-C-1834-202.pdf#page=6","Abrir facsímil")</f>
        <v>Abrir facsímil</v>
      </c>
      <c r="K467" s="3" t="s">
        <v>24</v>
      </c>
    </row>
    <row r="468" spans="1:11" ht="54" customHeight="1">
      <c r="A468" s="2" t="s">
        <v>1501</v>
      </c>
      <c r="B468" s="2" t="s">
        <v>1501</v>
      </c>
      <c r="C468" s="2" t="s">
        <v>46</v>
      </c>
      <c r="D468" s="2" t="s">
        <v>18</v>
      </c>
      <c r="E468" s="5" t="s">
        <v>696</v>
      </c>
      <c r="F468" s="3" t="s">
        <v>854</v>
      </c>
      <c r="G468" s="3" t="s">
        <v>75</v>
      </c>
      <c r="H468" s="2" t="s">
        <v>22</v>
      </c>
      <c r="I468" s="2" t="s">
        <v>1504</v>
      </c>
      <c r="J468" s="3" t="str">
        <f>HYPERLINK("https://www.boe.es/gazeta/dias/1834/12/06/pdfs/GMD-1834-295.pdf#page=4","Abrir facsímil")</f>
        <v>Abrir facsímil</v>
      </c>
      <c r="K468" s="3" t="s">
        <v>24</v>
      </c>
    </row>
    <row r="469" spans="1:11" ht="54" customHeight="1">
      <c r="A469" s="2" t="s">
        <v>1501</v>
      </c>
      <c r="B469" s="2" t="s">
        <v>1501</v>
      </c>
      <c r="C469" s="2" t="s">
        <v>17</v>
      </c>
      <c r="D469" s="2" t="s">
        <v>18</v>
      </c>
      <c r="E469" s="5" t="s">
        <v>1505</v>
      </c>
      <c r="F469" s="3" t="s">
        <v>1506</v>
      </c>
      <c r="G469" s="3" t="s">
        <v>21</v>
      </c>
      <c r="H469" s="2" t="s">
        <v>22</v>
      </c>
      <c r="I469" s="2" t="s">
        <v>1507</v>
      </c>
      <c r="J469" s="3" t="str">
        <f>HYPERLINK("https://www.boe.es/gazeta/dias/1834/05/08/pdfs/GMD-1834-77.pdf#page=3","Abrir facsímil")</f>
        <v>Abrir facsímil</v>
      </c>
      <c r="K469" s="3" t="s">
        <v>24</v>
      </c>
    </row>
    <row r="470" spans="1:11" ht="54" customHeight="1">
      <c r="A470" s="2" t="s">
        <v>1501</v>
      </c>
      <c r="B470" s="2" t="s">
        <v>1501</v>
      </c>
      <c r="C470" s="2" t="s">
        <v>122</v>
      </c>
      <c r="D470" s="2" t="s">
        <v>18</v>
      </c>
      <c r="E470" s="5" t="s">
        <v>956</v>
      </c>
      <c r="F470" s="3" t="s">
        <v>1508</v>
      </c>
      <c r="G470" s="3" t="s">
        <v>21</v>
      </c>
      <c r="H470" s="2" t="s">
        <v>22</v>
      </c>
      <c r="I470" s="2" t="s">
        <v>1509</v>
      </c>
      <c r="J470" s="3" t="str">
        <f>HYPERLINK("https://www.boe.es/gazeta/dias/1834/08/10/pdfs/GMD-1834-175.pdf#page=3","Abrir facsímil")</f>
        <v>Abrir facsímil</v>
      </c>
      <c r="K470" s="3" t="s">
        <v>24</v>
      </c>
    </row>
    <row r="471" spans="1:11" ht="54" customHeight="1">
      <c r="A471" s="2" t="s">
        <v>1501</v>
      </c>
      <c r="B471" s="2" t="s">
        <v>1501</v>
      </c>
      <c r="C471" s="2" t="s">
        <v>17</v>
      </c>
      <c r="D471" s="2" t="s">
        <v>18</v>
      </c>
      <c r="E471" s="5" t="s">
        <v>1510</v>
      </c>
      <c r="F471" s="3" t="s">
        <v>1511</v>
      </c>
      <c r="G471" s="3" t="s">
        <v>75</v>
      </c>
      <c r="H471" s="2" t="s">
        <v>22</v>
      </c>
      <c r="I471" s="2" t="s">
        <v>1512</v>
      </c>
      <c r="J471" s="3" t="str">
        <f>HYPERLINK("https://www.boe.es/gazeta/dias/1834/06/13/pdfs/GMD-1834-116.pdf#page=4","Abrir facsímil")</f>
        <v>Abrir facsímil</v>
      </c>
      <c r="K471" s="3" t="s">
        <v>24</v>
      </c>
    </row>
    <row r="472" spans="1:11" ht="54" customHeight="1">
      <c r="A472" s="2" t="s">
        <v>1501</v>
      </c>
      <c r="B472" s="2" t="s">
        <v>1501</v>
      </c>
      <c r="C472" s="2" t="s">
        <v>17</v>
      </c>
      <c r="D472" s="2" t="s">
        <v>18</v>
      </c>
      <c r="E472" s="5" t="s">
        <v>343</v>
      </c>
      <c r="F472" s="3" t="s">
        <v>344</v>
      </c>
      <c r="G472" s="3" t="s">
        <v>21</v>
      </c>
      <c r="H472" s="2" t="s">
        <v>22</v>
      </c>
      <c r="I472" s="2" t="s">
        <v>1513</v>
      </c>
      <c r="J472" s="3" t="str">
        <f>HYPERLINK("https://www.boe.es/gazeta/dias/1834/01/14/pdfs/GMD-1834-7.pdf#page=3","Abrir facsímil")</f>
        <v>Abrir facsímil</v>
      </c>
      <c r="K472" s="3" t="s">
        <v>24</v>
      </c>
    </row>
    <row r="473" spans="1:11" ht="54" customHeight="1">
      <c r="A473" s="2" t="s">
        <v>1501</v>
      </c>
      <c r="B473" s="2" t="s">
        <v>1501</v>
      </c>
      <c r="C473" s="2" t="s">
        <v>66</v>
      </c>
      <c r="D473" s="2" t="s">
        <v>67</v>
      </c>
      <c r="E473" s="5" t="s">
        <v>448</v>
      </c>
      <c r="F473" s="3" t="s">
        <v>449</v>
      </c>
      <c r="G473" s="3" t="s">
        <v>21</v>
      </c>
      <c r="H473" s="2" t="s">
        <v>22</v>
      </c>
      <c r="I473" s="2" t="s">
        <v>1514</v>
      </c>
      <c r="J473" s="3" t="str">
        <f>HYPERLINK("https://www.boe.es/gazeta/dias/1834/10/14/pdfs/GMD-C-1834-242.pdf#page=3","Abrir facsímil")</f>
        <v>Abrir facsímil</v>
      </c>
      <c r="K473" s="3" t="s">
        <v>24</v>
      </c>
    </row>
    <row r="474" spans="1:11" ht="54" customHeight="1">
      <c r="A474" s="2" t="s">
        <v>1501</v>
      </c>
      <c r="B474" s="2" t="s">
        <v>1501</v>
      </c>
      <c r="C474" s="2" t="s">
        <v>66</v>
      </c>
      <c r="D474" s="2" t="s">
        <v>67</v>
      </c>
      <c r="E474" s="5" t="s">
        <v>19</v>
      </c>
      <c r="F474" s="3" t="s">
        <v>107</v>
      </c>
      <c r="G474" s="3" t="s">
        <v>21</v>
      </c>
      <c r="H474" s="2" t="s">
        <v>22</v>
      </c>
      <c r="I474" s="2" t="s">
        <v>1515</v>
      </c>
      <c r="J474" s="3" t="str">
        <f>HYPERLINK("https://www.boe.es/gazeta/dias/1834/08/17/pdfs/GMD-1834-182.pdf#page=3","Abrir facsímil")</f>
        <v>Abrir facsímil</v>
      </c>
      <c r="K474" s="3" t="s">
        <v>24</v>
      </c>
    </row>
    <row r="475" spans="1:11" ht="54" customHeight="1">
      <c r="A475" s="2" t="s">
        <v>1501</v>
      </c>
      <c r="B475" s="2" t="s">
        <v>1501</v>
      </c>
      <c r="C475" s="2" t="s">
        <v>17</v>
      </c>
      <c r="D475" s="2" t="s">
        <v>55</v>
      </c>
      <c r="E475" s="5" t="s">
        <v>19</v>
      </c>
      <c r="F475" s="3" t="s">
        <v>20</v>
      </c>
      <c r="G475" s="3" t="s">
        <v>86</v>
      </c>
      <c r="H475" s="2" t="s">
        <v>22</v>
      </c>
      <c r="I475" s="2" t="s">
        <v>1516</v>
      </c>
      <c r="J475" s="3" t="str">
        <f>HYPERLINK("https://www.boe.es/gazeta/dias/1834/08/17/pdfs/GMD-C-1834-182.pdf#page=2","Abrir facsímil")</f>
        <v>Abrir facsímil</v>
      </c>
      <c r="K475" s="3" t="s">
        <v>24</v>
      </c>
    </row>
    <row r="476" spans="1:11" ht="54" customHeight="1">
      <c r="A476" s="2" t="s">
        <v>1501</v>
      </c>
      <c r="B476" s="2" t="s">
        <v>1501</v>
      </c>
      <c r="C476" s="2" t="s">
        <v>17</v>
      </c>
      <c r="D476" s="2" t="s">
        <v>18</v>
      </c>
      <c r="E476" s="5" t="s">
        <v>1517</v>
      </c>
      <c r="F476" s="3" t="s">
        <v>1518</v>
      </c>
      <c r="G476" s="3" t="s">
        <v>21</v>
      </c>
      <c r="H476" s="2" t="s">
        <v>22</v>
      </c>
      <c r="I476" s="2" t="s">
        <v>1519</v>
      </c>
      <c r="J476" s="3" t="str">
        <f>HYPERLINK("https://www.boe.es/gazeta/dias/1834/05/18/pdfs/GMD-1834-87.pdf#page=3","Abrir facsímil")</f>
        <v>Abrir facsímil</v>
      </c>
      <c r="K476" s="3" t="s">
        <v>24</v>
      </c>
    </row>
    <row r="477" spans="1:11" ht="54" customHeight="1">
      <c r="A477" s="2" t="s">
        <v>1501</v>
      </c>
      <c r="B477" s="2" t="s">
        <v>1501</v>
      </c>
      <c r="C477" s="2" t="s">
        <v>17</v>
      </c>
      <c r="D477" s="2" t="s">
        <v>18</v>
      </c>
      <c r="E477" s="5" t="s">
        <v>283</v>
      </c>
      <c r="F477" s="3" t="s">
        <v>284</v>
      </c>
      <c r="G477" s="3" t="s">
        <v>86</v>
      </c>
      <c r="H477" s="2" t="s">
        <v>22</v>
      </c>
      <c r="I477" s="2" t="s">
        <v>1520</v>
      </c>
      <c r="J477" s="3" t="str">
        <f>HYPERLINK("https://www.boe.es/gazeta/dias/1834/11/29/pdfs/GMD-C-1834-288.pdf#page=2","Abrir facsímil")</f>
        <v>Abrir facsímil</v>
      </c>
      <c r="K477" s="3" t="s">
        <v>24</v>
      </c>
    </row>
    <row r="478" spans="1:11" ht="54" customHeight="1">
      <c r="A478" s="2" t="s">
        <v>1521</v>
      </c>
      <c r="B478" s="2" t="s">
        <v>1522</v>
      </c>
      <c r="C478" s="2" t="s">
        <v>122</v>
      </c>
      <c r="D478" s="2" t="s">
        <v>18</v>
      </c>
      <c r="E478" s="5" t="s">
        <v>758</v>
      </c>
      <c r="F478" s="3" t="s">
        <v>759</v>
      </c>
      <c r="G478" s="3" t="s">
        <v>34</v>
      </c>
      <c r="H478" s="2" t="s">
        <v>22</v>
      </c>
      <c r="I478" s="2" t="s">
        <v>1523</v>
      </c>
      <c r="J478" s="3" t="str">
        <f>HYPERLINK("https://www.boe.es/gazeta/dias/1834/01/04/pdfs/GMD-1834-3.pdf#page=1","Abrir facsímil")</f>
        <v>Abrir facsímil</v>
      </c>
      <c r="K478" s="3" t="s">
        <v>24</v>
      </c>
    </row>
    <row r="479" spans="1:11" ht="54" customHeight="1">
      <c r="A479" s="2" t="s">
        <v>1521</v>
      </c>
      <c r="B479" s="2" t="s">
        <v>1522</v>
      </c>
      <c r="C479" s="2" t="s">
        <v>122</v>
      </c>
      <c r="D479" s="2" t="s">
        <v>40</v>
      </c>
      <c r="E479" s="5" t="s">
        <v>117</v>
      </c>
      <c r="F479" s="3" t="s">
        <v>118</v>
      </c>
      <c r="G479" s="3" t="s">
        <v>75</v>
      </c>
      <c r="H479" s="2" t="s">
        <v>22</v>
      </c>
      <c r="I479" s="2" t="s">
        <v>1524</v>
      </c>
      <c r="J479" s="3" t="str">
        <f>HYPERLINK("https://www.boe.es/gazeta/dias/1834/07/21/pdfs/GMD-1834-154.pdf#page=4","Abrir facsímil")</f>
        <v>Abrir facsímil</v>
      </c>
      <c r="K479" s="3" t="s">
        <v>24</v>
      </c>
    </row>
    <row r="480" spans="1:11" ht="54" customHeight="1">
      <c r="A480" s="2" t="s">
        <v>1525</v>
      </c>
      <c r="B480" s="2" t="s">
        <v>1526</v>
      </c>
      <c r="C480" s="2" t="s">
        <v>90</v>
      </c>
      <c r="D480" s="2" t="s">
        <v>18</v>
      </c>
      <c r="E480" s="5" t="s">
        <v>158</v>
      </c>
      <c r="F480" s="3" t="s">
        <v>159</v>
      </c>
      <c r="G480" s="3" t="s">
        <v>21</v>
      </c>
      <c r="H480" s="2" t="s">
        <v>22</v>
      </c>
      <c r="I480" s="2" t="s">
        <v>1527</v>
      </c>
      <c r="J480" s="3" t="str">
        <f>HYPERLINK("https://www.boe.es/gazeta/dias/1834/10/01/pdfs/GMD-1834-229.pdf#page=3","Abrir facsímil")</f>
        <v>Abrir facsímil</v>
      </c>
      <c r="K480" s="3" t="s">
        <v>24</v>
      </c>
    </row>
    <row r="481" spans="1:11" ht="54" customHeight="1">
      <c r="A481" s="2" t="s">
        <v>1528</v>
      </c>
      <c r="B481" s="2" t="s">
        <v>1529</v>
      </c>
      <c r="C481" s="2" t="s">
        <v>46</v>
      </c>
      <c r="D481" s="2" t="s">
        <v>18</v>
      </c>
      <c r="E481" s="5" t="s">
        <v>696</v>
      </c>
      <c r="F481" s="3" t="s">
        <v>854</v>
      </c>
      <c r="G481" s="3" t="s">
        <v>75</v>
      </c>
      <c r="H481" s="2" t="s">
        <v>35</v>
      </c>
      <c r="I481" s="2" t="s">
        <v>1530</v>
      </c>
      <c r="J481" s="3" t="str">
        <f>HYPERLINK("https://www.boe.es/gazeta/dias/1834/12/06/pdfs/GMD-1834-295.pdf#page=4","Abrir facsímil")</f>
        <v>Abrir facsímil</v>
      </c>
      <c r="K481" s="3" t="s">
        <v>37</v>
      </c>
    </row>
    <row r="482" spans="1:11" ht="54" customHeight="1">
      <c r="A482" s="2" t="s">
        <v>1528</v>
      </c>
      <c r="B482" s="2" t="s">
        <v>1529</v>
      </c>
      <c r="C482" s="2" t="s">
        <v>122</v>
      </c>
      <c r="D482" s="2" t="s">
        <v>18</v>
      </c>
      <c r="E482" s="5" t="s">
        <v>956</v>
      </c>
      <c r="F482" s="3" t="s">
        <v>1508</v>
      </c>
      <c r="G482" s="3" t="s">
        <v>21</v>
      </c>
      <c r="H482" s="2" t="s">
        <v>35</v>
      </c>
      <c r="I482" s="2" t="s">
        <v>1531</v>
      </c>
      <c r="J482" s="3" t="str">
        <f>HYPERLINK("https://www.boe.es/gazeta/dias/1834/08/10/pdfs/GMD-1834-175.pdf#page=3","Abrir facsímil")</f>
        <v>Abrir facsímil</v>
      </c>
      <c r="K482" s="3" t="s">
        <v>37</v>
      </c>
    </row>
    <row r="483" spans="1:11" ht="54" customHeight="1">
      <c r="A483" s="2" t="s">
        <v>1528</v>
      </c>
      <c r="B483" s="2" t="s">
        <v>1529</v>
      </c>
      <c r="C483" s="2" t="s">
        <v>66</v>
      </c>
      <c r="D483" s="2" t="s">
        <v>67</v>
      </c>
      <c r="E483" s="5" t="s">
        <v>19</v>
      </c>
      <c r="F483" s="3" t="s">
        <v>107</v>
      </c>
      <c r="G483" s="3" t="s">
        <v>21</v>
      </c>
      <c r="H483" s="2" t="s">
        <v>35</v>
      </c>
      <c r="I483" s="2" t="s">
        <v>1532</v>
      </c>
      <c r="J483" s="3" t="str">
        <f>HYPERLINK("https://www.boe.es/gazeta/dias/1834/08/17/pdfs/GMD-1834-182.pdf#page=3","Abrir facsímil")</f>
        <v>Abrir facsímil</v>
      </c>
      <c r="K483" s="3" t="s">
        <v>37</v>
      </c>
    </row>
    <row r="484" spans="1:11" ht="54" customHeight="1">
      <c r="A484" s="2" t="s">
        <v>1528</v>
      </c>
      <c r="B484" s="2" t="s">
        <v>1529</v>
      </c>
      <c r="C484" s="2" t="s">
        <v>17</v>
      </c>
      <c r="D484" s="2" t="s">
        <v>55</v>
      </c>
      <c r="E484" s="5" t="s">
        <v>19</v>
      </c>
      <c r="F484" s="3" t="s">
        <v>20</v>
      </c>
      <c r="G484" s="3" t="s">
        <v>86</v>
      </c>
      <c r="H484" s="2" t="s">
        <v>35</v>
      </c>
      <c r="I484" s="2" t="s">
        <v>1533</v>
      </c>
      <c r="J484" s="3" t="str">
        <f>HYPERLINK("https://www.boe.es/gazeta/dias/1834/08/17/pdfs/GMD-C-1834-182.pdf#page=2","Abrir facsímil")</f>
        <v>Abrir facsímil</v>
      </c>
      <c r="K484" s="3" t="s">
        <v>37</v>
      </c>
    </row>
    <row r="485" spans="1:11" ht="54" customHeight="1">
      <c r="A485" s="2" t="s">
        <v>1528</v>
      </c>
      <c r="B485" s="2" t="s">
        <v>1529</v>
      </c>
      <c r="C485" s="2" t="s">
        <v>17</v>
      </c>
      <c r="D485" s="2" t="s">
        <v>18</v>
      </c>
      <c r="E485" s="5" t="s">
        <v>1517</v>
      </c>
      <c r="F485" s="3" t="s">
        <v>1518</v>
      </c>
      <c r="G485" s="3" t="s">
        <v>21</v>
      </c>
      <c r="H485" s="2" t="s">
        <v>35</v>
      </c>
      <c r="I485" s="2" t="s">
        <v>1534</v>
      </c>
      <c r="J485" s="3" t="str">
        <f>HYPERLINK("https://www.boe.es/gazeta/dias/1834/05/18/pdfs/GMD-1834-87.pdf#page=3","Abrir facsímil")</f>
        <v>Abrir facsímil</v>
      </c>
      <c r="K485" s="3" t="s">
        <v>37</v>
      </c>
    </row>
    <row r="486" spans="1:11" ht="54" customHeight="1">
      <c r="A486" s="2" t="s">
        <v>1535</v>
      </c>
      <c r="B486" s="2" t="s">
        <v>1536</v>
      </c>
      <c r="C486" s="2" t="s">
        <v>46</v>
      </c>
      <c r="D486" s="2" t="s">
        <v>55</v>
      </c>
      <c r="E486" s="5" t="s">
        <v>758</v>
      </c>
      <c r="F486" s="3" t="s">
        <v>759</v>
      </c>
      <c r="G486" s="3" t="s">
        <v>34</v>
      </c>
      <c r="H486" s="2" t="s">
        <v>35</v>
      </c>
      <c r="I486" s="2" t="s">
        <v>1537</v>
      </c>
      <c r="J486" s="3" t="str">
        <f>HYPERLINK("https://www.boe.es/gazeta/dias/1834/01/04/pdfs/GMD-1834-3.pdf#page=1","Abrir facsímil")</f>
        <v>Abrir facsímil</v>
      </c>
      <c r="K486" s="3" t="s">
        <v>37</v>
      </c>
    </row>
    <row r="487" spans="1:11" ht="54" customHeight="1">
      <c r="A487" s="2" t="s">
        <v>1538</v>
      </c>
      <c r="B487" s="2" t="s">
        <v>1539</v>
      </c>
      <c r="C487" s="2" t="s">
        <v>66</v>
      </c>
      <c r="D487" s="2" t="s">
        <v>67</v>
      </c>
      <c r="E487" s="5" t="s">
        <v>1351</v>
      </c>
      <c r="F487" s="3" t="s">
        <v>1352</v>
      </c>
      <c r="G487" s="3" t="s">
        <v>75</v>
      </c>
      <c r="H487" s="2" t="s">
        <v>35</v>
      </c>
      <c r="I487" s="2" t="s">
        <v>1540</v>
      </c>
      <c r="J487" s="3" t="str">
        <f>HYPERLINK("https://www.boe.es/gazeta/dias/1834/07/05/pdfs/GMD-1834-138.pdf#page=4","Abrir facsímil")</f>
        <v>Abrir facsímil</v>
      </c>
      <c r="K487" s="3" t="s">
        <v>37</v>
      </c>
    </row>
    <row r="488" spans="1:11" ht="54" customHeight="1">
      <c r="A488" s="2" t="s">
        <v>1541</v>
      </c>
      <c r="B488" s="2" t="s">
        <v>1542</v>
      </c>
      <c r="C488" s="2" t="s">
        <v>17</v>
      </c>
      <c r="D488" s="2" t="s">
        <v>18</v>
      </c>
      <c r="E488" s="5" t="s">
        <v>1505</v>
      </c>
      <c r="F488" s="3" t="s">
        <v>1506</v>
      </c>
      <c r="G488" s="3" t="s">
        <v>21</v>
      </c>
      <c r="H488" s="2" t="s">
        <v>35</v>
      </c>
      <c r="I488" s="2" t="s">
        <v>1543</v>
      </c>
      <c r="J488" s="3" t="str">
        <f>HYPERLINK("https://www.boe.es/gazeta/dias/1834/05/08/pdfs/GMD-1834-77.pdf#page=3","Abrir facsímil")</f>
        <v>Abrir facsímil</v>
      </c>
      <c r="K488" s="3" t="s">
        <v>37</v>
      </c>
    </row>
    <row r="489" spans="1:11" ht="54" customHeight="1">
      <c r="A489" s="2" t="s">
        <v>1544</v>
      </c>
      <c r="B489" s="2" t="s">
        <v>1545</v>
      </c>
      <c r="C489" s="2" t="s">
        <v>17</v>
      </c>
      <c r="D489" s="2" t="s">
        <v>18</v>
      </c>
      <c r="E489" s="5" t="s">
        <v>1505</v>
      </c>
      <c r="F489" s="3" t="s">
        <v>1506</v>
      </c>
      <c r="G489" s="3" t="s">
        <v>75</v>
      </c>
      <c r="H489" s="2" t="s">
        <v>35</v>
      </c>
      <c r="I489" s="2" t="s">
        <v>1546</v>
      </c>
      <c r="J489" s="3" t="str">
        <f>HYPERLINK("https://www.boe.es/gazeta/dias/1834/05/08/pdfs/GMD-1834-77.pdf#page=4","Abrir facsímil")</f>
        <v>Abrir facsímil</v>
      </c>
      <c r="K489" s="3" t="s">
        <v>37</v>
      </c>
    </row>
    <row r="490" spans="1:11" ht="54" customHeight="1">
      <c r="A490" s="2" t="s">
        <v>1547</v>
      </c>
      <c r="B490" s="2" t="s">
        <v>1548</v>
      </c>
      <c r="C490" s="2" t="s">
        <v>17</v>
      </c>
      <c r="D490" s="2" t="s">
        <v>18</v>
      </c>
      <c r="E490" s="5" t="s">
        <v>167</v>
      </c>
      <c r="F490" s="3" t="s">
        <v>1200</v>
      </c>
      <c r="G490" s="3" t="s">
        <v>86</v>
      </c>
      <c r="H490" s="2" t="s">
        <v>22</v>
      </c>
      <c r="I490" s="2" t="s">
        <v>1549</v>
      </c>
      <c r="J490" s="3" t="str">
        <f>HYPERLINK("https://www.boe.es/gazeta/dias/1834/09/07/pdfs/GMD-C-1834-205.pdf#page=2","Abrir facsímil")</f>
        <v>Abrir facsímil</v>
      </c>
      <c r="K490" s="3" t="s">
        <v>24</v>
      </c>
    </row>
    <row r="491" spans="1:11" ht="54" customHeight="1">
      <c r="A491" s="2" t="s">
        <v>1550</v>
      </c>
      <c r="B491" s="2" t="s">
        <v>1551</v>
      </c>
      <c r="C491" s="2" t="s">
        <v>66</v>
      </c>
      <c r="D491" s="2" t="s">
        <v>67</v>
      </c>
      <c r="E491" s="5" t="s">
        <v>1351</v>
      </c>
      <c r="F491" s="3" t="s">
        <v>1352</v>
      </c>
      <c r="G491" s="3" t="s">
        <v>75</v>
      </c>
      <c r="H491" s="2" t="s">
        <v>22</v>
      </c>
      <c r="I491" s="2" t="s">
        <v>1552</v>
      </c>
      <c r="J491" s="3" t="str">
        <f>HYPERLINK("https://www.boe.es/gazeta/dias/1834/07/05/pdfs/GMD-1834-138.pdf#page=4","Abrir facsímil")</f>
        <v>Abrir facsímil</v>
      </c>
      <c r="K491" s="3" t="s">
        <v>24</v>
      </c>
    </row>
    <row r="492" spans="1:11" ht="54" customHeight="1">
      <c r="A492" s="2" t="s">
        <v>1550</v>
      </c>
      <c r="B492" s="2" t="s">
        <v>1551</v>
      </c>
      <c r="C492" s="2" t="s">
        <v>17</v>
      </c>
      <c r="D492" s="2" t="s">
        <v>18</v>
      </c>
      <c r="E492" s="5" t="s">
        <v>1186</v>
      </c>
      <c r="F492" s="3" t="s">
        <v>1187</v>
      </c>
      <c r="G492" s="3" t="s">
        <v>34</v>
      </c>
      <c r="H492" s="2" t="s">
        <v>22</v>
      </c>
      <c r="I492" s="2" t="s">
        <v>1553</v>
      </c>
      <c r="J492" s="3" t="str">
        <f>HYPERLINK("https://www.boe.es/gazeta/dias/1834/08/14/pdfs/GMD-1834-179.pdf#page=1","Abrir facsímil")</f>
        <v>Abrir facsímil</v>
      </c>
      <c r="K492" s="3" t="s">
        <v>24</v>
      </c>
    </row>
    <row r="493" spans="1:11" ht="54" customHeight="1">
      <c r="A493" s="2" t="s">
        <v>1554</v>
      </c>
      <c r="B493" s="2" t="s">
        <v>1555</v>
      </c>
      <c r="C493" s="2" t="s">
        <v>66</v>
      </c>
      <c r="D493" s="2" t="s">
        <v>67</v>
      </c>
      <c r="E493" s="5" t="s">
        <v>1556</v>
      </c>
      <c r="F493" s="3" t="s">
        <v>1557</v>
      </c>
      <c r="G493" s="3" t="s">
        <v>21</v>
      </c>
      <c r="H493" s="2" t="s">
        <v>22</v>
      </c>
      <c r="I493" s="2" t="s">
        <v>1558</v>
      </c>
      <c r="J493" s="3" t="str">
        <f>HYPERLINK("https://www.boe.es/gazeta/dias/1834/06/06/pdfs/GMD-1834-108.pdf#page=3","Abrir facsímil")</f>
        <v>Abrir facsímil</v>
      </c>
      <c r="K493" s="3" t="s">
        <v>24</v>
      </c>
    </row>
    <row r="494" spans="1:11" ht="54" customHeight="1">
      <c r="A494" s="2" t="s">
        <v>1559</v>
      </c>
      <c r="B494" s="2" t="s">
        <v>1560</v>
      </c>
      <c r="C494" s="2" t="s">
        <v>17</v>
      </c>
      <c r="D494" s="2" t="s">
        <v>18</v>
      </c>
      <c r="E494" s="5" t="s">
        <v>429</v>
      </c>
      <c r="F494" s="3" t="s">
        <v>430</v>
      </c>
      <c r="G494" s="3" t="s">
        <v>21</v>
      </c>
      <c r="H494" s="2" t="s">
        <v>22</v>
      </c>
      <c r="I494" s="2" t="s">
        <v>1561</v>
      </c>
      <c r="J494" s="3" t="str">
        <f>HYPERLINK("https://www.boe.es/gazeta/dias/1834/08/07/pdfs/GMD-C-1834-172.pdf#page=3","Abrir facsímil")</f>
        <v>Abrir facsímil</v>
      </c>
      <c r="K494" s="3" t="s">
        <v>24</v>
      </c>
    </row>
    <row r="495" spans="1:11" ht="54" customHeight="1">
      <c r="A495" s="2" t="s">
        <v>1559</v>
      </c>
      <c r="B495" s="2" t="s">
        <v>1560</v>
      </c>
      <c r="C495" s="2" t="s">
        <v>17</v>
      </c>
      <c r="D495" s="2" t="s">
        <v>18</v>
      </c>
      <c r="E495" s="5" t="s">
        <v>429</v>
      </c>
      <c r="F495" s="3" t="s">
        <v>430</v>
      </c>
      <c r="G495" s="3" t="s">
        <v>28</v>
      </c>
      <c r="H495" s="2" t="s">
        <v>22</v>
      </c>
      <c r="I495" s="2" t="s">
        <v>1562</v>
      </c>
      <c r="J495" s="3" t="str">
        <f>HYPERLINK("https://www.boe.es/gazeta/dias/1834/08/07/pdfs/GMD-C-1834-172.pdf#page=5","Abrir facsímil")</f>
        <v>Abrir facsímil</v>
      </c>
      <c r="K495" s="3" t="s">
        <v>24</v>
      </c>
    </row>
    <row r="496" spans="1:11" ht="54" customHeight="1">
      <c r="A496" s="2" t="s">
        <v>1559</v>
      </c>
      <c r="B496" s="2" t="s">
        <v>1560</v>
      </c>
      <c r="C496" s="2" t="s">
        <v>17</v>
      </c>
      <c r="D496" s="2" t="s">
        <v>18</v>
      </c>
      <c r="E496" s="5" t="s">
        <v>19</v>
      </c>
      <c r="F496" s="3" t="s">
        <v>20</v>
      </c>
      <c r="G496" s="3" t="s">
        <v>21</v>
      </c>
      <c r="H496" s="2" t="s">
        <v>22</v>
      </c>
      <c r="I496" s="2" t="s">
        <v>1563</v>
      </c>
      <c r="J496" s="3" t="str">
        <f>HYPERLINK("https://www.boe.es/gazeta/dias/1834/08/17/pdfs/GMD-D-1834-182.pdf#page=3","Abrir facsímil")</f>
        <v>Abrir facsímil</v>
      </c>
      <c r="K496" s="3" t="s">
        <v>24</v>
      </c>
    </row>
    <row r="497" spans="1:11" ht="54" customHeight="1">
      <c r="A497" s="2" t="s">
        <v>1559</v>
      </c>
      <c r="B497" s="2" t="s">
        <v>1560</v>
      </c>
      <c r="C497" s="2" t="s">
        <v>17</v>
      </c>
      <c r="D497" s="2" t="s">
        <v>18</v>
      </c>
      <c r="E497" s="5" t="s">
        <v>615</v>
      </c>
      <c r="F497" s="3" t="s">
        <v>1205</v>
      </c>
      <c r="G497" s="3" t="s">
        <v>86</v>
      </c>
      <c r="H497" s="2" t="s">
        <v>22</v>
      </c>
      <c r="I497" s="2" t="s">
        <v>1564</v>
      </c>
      <c r="J497" s="3" t="str">
        <f>HYPERLINK("https://www.boe.es/gazeta/dias/1834/08/19/pdfs/GMD-D-1834-185.pdf#page=2","Abrir facsímil")</f>
        <v>Abrir facsímil</v>
      </c>
      <c r="K497" s="3" t="s">
        <v>24</v>
      </c>
    </row>
    <row r="498" spans="1:11" ht="54" customHeight="1">
      <c r="A498" s="2" t="s">
        <v>1559</v>
      </c>
      <c r="B498" s="2" t="s">
        <v>1560</v>
      </c>
      <c r="C498" s="2" t="s">
        <v>17</v>
      </c>
      <c r="D498" s="2" t="s">
        <v>18</v>
      </c>
      <c r="E498" s="5" t="s">
        <v>823</v>
      </c>
      <c r="F498" s="3" t="s">
        <v>824</v>
      </c>
      <c r="G498" s="3" t="s">
        <v>75</v>
      </c>
      <c r="H498" s="2" t="s">
        <v>22</v>
      </c>
      <c r="I498" s="2" t="s">
        <v>1565</v>
      </c>
      <c r="J498" s="3" t="str">
        <f>HYPERLINK("https://www.boe.es/gazeta/dias/1834/07/23/pdfs/GMD-1834-156.pdf#page=4","Abrir facsímil")</f>
        <v>Abrir facsímil</v>
      </c>
      <c r="K498" s="3" t="s">
        <v>24</v>
      </c>
    </row>
    <row r="499" spans="1:11" ht="54" customHeight="1">
      <c r="A499" s="2" t="s">
        <v>1559</v>
      </c>
      <c r="B499" s="2" t="s">
        <v>1560</v>
      </c>
      <c r="C499" s="2" t="s">
        <v>17</v>
      </c>
      <c r="D499" s="2" t="s">
        <v>18</v>
      </c>
      <c r="E499" s="5" t="s">
        <v>1135</v>
      </c>
      <c r="F499" s="3" t="s">
        <v>1566</v>
      </c>
      <c r="G499" s="3" t="s">
        <v>34</v>
      </c>
      <c r="H499" s="2" t="s">
        <v>22</v>
      </c>
      <c r="I499" s="2" t="s">
        <v>1567</v>
      </c>
      <c r="J499" s="3" t="str">
        <f>HYPERLINK("https://www.boe.es/gazeta/dias/1834/08/26/pdfs/GMD-C-1834-192.pdf#page=1","Abrir facsímil")</f>
        <v>Abrir facsímil</v>
      </c>
      <c r="K499" s="3" t="s">
        <v>24</v>
      </c>
    </row>
    <row r="500" spans="1:11" ht="54" customHeight="1">
      <c r="A500" s="2" t="s">
        <v>1559</v>
      </c>
      <c r="B500" s="2" t="s">
        <v>1560</v>
      </c>
      <c r="C500" s="2" t="s">
        <v>17</v>
      </c>
      <c r="D500" s="2" t="s">
        <v>18</v>
      </c>
      <c r="E500" s="5" t="s">
        <v>552</v>
      </c>
      <c r="F500" s="3" t="s">
        <v>1478</v>
      </c>
      <c r="G500" s="3" t="s">
        <v>34</v>
      </c>
      <c r="H500" s="2" t="s">
        <v>22</v>
      </c>
      <c r="I500" s="2" t="s">
        <v>1568</v>
      </c>
      <c r="J500" s="3" t="str">
        <f>HYPERLINK("https://www.boe.es/gazeta/dias/1834/07/30/pdfs/GMD-C-1834-163.pdf#page=1","Abrir facsímil")</f>
        <v>Abrir facsímil</v>
      </c>
      <c r="K500" s="3" t="s">
        <v>24</v>
      </c>
    </row>
    <row r="501" spans="1:11" ht="54" customHeight="1">
      <c r="A501" s="2" t="s">
        <v>1569</v>
      </c>
      <c r="B501" s="2" t="s">
        <v>1570</v>
      </c>
      <c r="C501" s="2" t="s">
        <v>17</v>
      </c>
      <c r="D501" s="2" t="s">
        <v>55</v>
      </c>
      <c r="E501" s="5" t="s">
        <v>339</v>
      </c>
      <c r="F501" s="3" t="s">
        <v>340</v>
      </c>
      <c r="G501" s="3" t="s">
        <v>34</v>
      </c>
      <c r="H501" s="2" t="s">
        <v>22</v>
      </c>
      <c r="I501" s="2" t="s">
        <v>1571</v>
      </c>
      <c r="J501" s="3" t="str">
        <f>HYPERLINK("https://www.boe.es/gazeta/dias/1834/05/02/pdfs/GMD-1834-71.pdf#page=1","Abrir facsímil")</f>
        <v>Abrir facsímil</v>
      </c>
      <c r="K501" s="3" t="s">
        <v>24</v>
      </c>
    </row>
    <row r="502" spans="1:11" ht="54" customHeight="1">
      <c r="A502" s="2" t="s">
        <v>1569</v>
      </c>
      <c r="B502" s="2" t="s">
        <v>1570</v>
      </c>
      <c r="C502" s="2" t="s">
        <v>17</v>
      </c>
      <c r="D502" s="2" t="s">
        <v>18</v>
      </c>
      <c r="E502" s="5" t="s">
        <v>1572</v>
      </c>
      <c r="F502" s="3" t="s">
        <v>1573</v>
      </c>
      <c r="G502" s="3" t="s">
        <v>28</v>
      </c>
      <c r="H502" s="2" t="s">
        <v>22</v>
      </c>
      <c r="I502" s="2" t="s">
        <v>1574</v>
      </c>
      <c r="J502" s="3" t="str">
        <f>HYPERLINK("https://www.boe.es/gazeta/dias/1834/03/20/pdfs/GMD-1834-35.pdf#page=5","Abrir facsímil")</f>
        <v>Abrir facsímil</v>
      </c>
      <c r="K502" s="3" t="s">
        <v>24</v>
      </c>
    </row>
    <row r="503" spans="1:11" ht="54" customHeight="1">
      <c r="A503" s="2" t="s">
        <v>1569</v>
      </c>
      <c r="B503" s="2" t="s">
        <v>1570</v>
      </c>
      <c r="C503" s="2" t="s">
        <v>17</v>
      </c>
      <c r="D503" s="2" t="s">
        <v>18</v>
      </c>
      <c r="E503" s="5" t="s">
        <v>1575</v>
      </c>
      <c r="F503" s="3" t="s">
        <v>1576</v>
      </c>
      <c r="G503" s="3" t="s">
        <v>34</v>
      </c>
      <c r="H503" s="2" t="s">
        <v>22</v>
      </c>
      <c r="I503" s="2" t="s">
        <v>1577</v>
      </c>
      <c r="J503" s="3" t="str">
        <f>HYPERLINK("https://www.boe.es/gazeta/dias/1834/11/24/pdfs/GMD-1834-283.pdf#page=1","Abrir facsímil")</f>
        <v>Abrir facsímil</v>
      </c>
      <c r="K503" s="3" t="s">
        <v>24</v>
      </c>
    </row>
    <row r="504" spans="1:11" ht="54" customHeight="1">
      <c r="A504" s="2" t="s">
        <v>1578</v>
      </c>
      <c r="B504" s="2" t="s">
        <v>1579</v>
      </c>
      <c r="C504" s="2" t="s">
        <v>17</v>
      </c>
      <c r="D504" s="2" t="s">
        <v>18</v>
      </c>
      <c r="E504" s="5" t="s">
        <v>772</v>
      </c>
      <c r="F504" s="3" t="s">
        <v>773</v>
      </c>
      <c r="G504" s="3" t="s">
        <v>21</v>
      </c>
      <c r="H504" s="2" t="s">
        <v>22</v>
      </c>
      <c r="I504" s="2" t="s">
        <v>1580</v>
      </c>
      <c r="J504" s="3" t="str">
        <f>HYPERLINK("https://www.boe.es/gazeta/dias/1834/09/18/pdfs/GMD-1834-216.pdf#page=3","Abrir facsímil")</f>
        <v>Abrir facsímil</v>
      </c>
      <c r="K504" s="3" t="s">
        <v>24</v>
      </c>
    </row>
    <row r="505" spans="1:11" ht="54" customHeight="1">
      <c r="A505" s="2" t="s">
        <v>1581</v>
      </c>
      <c r="B505" s="2" t="s">
        <v>1582</v>
      </c>
      <c r="C505" s="2" t="s">
        <v>17</v>
      </c>
      <c r="D505" s="2" t="s">
        <v>18</v>
      </c>
      <c r="E505" s="5" t="s">
        <v>1141</v>
      </c>
      <c r="F505" s="3" t="s">
        <v>1142</v>
      </c>
      <c r="G505" s="3" t="s">
        <v>34</v>
      </c>
      <c r="H505" s="2" t="s">
        <v>22</v>
      </c>
      <c r="I505" s="2" t="s">
        <v>1583</v>
      </c>
      <c r="J505" s="3" t="str">
        <f>HYPERLINK("https://www.boe.es/gazeta/dias/1834/04/30/pdfs/GMD-1834-69.pdf#page=1","Abrir facsímil")</f>
        <v>Abrir facsímil</v>
      </c>
      <c r="K505" s="3" t="s">
        <v>24</v>
      </c>
    </row>
    <row r="506" spans="1:11" ht="54" customHeight="1">
      <c r="A506" s="2" t="s">
        <v>1584</v>
      </c>
      <c r="B506" s="2" t="s">
        <v>1585</v>
      </c>
      <c r="C506" s="2" t="s">
        <v>17</v>
      </c>
      <c r="D506" s="2" t="s">
        <v>18</v>
      </c>
      <c r="E506" s="5" t="s">
        <v>283</v>
      </c>
      <c r="F506" s="3" t="s">
        <v>284</v>
      </c>
      <c r="G506" s="3" t="s">
        <v>86</v>
      </c>
      <c r="H506" s="2" t="s">
        <v>35</v>
      </c>
      <c r="I506" s="2" t="s">
        <v>1586</v>
      </c>
      <c r="J506" s="3" t="str">
        <f>HYPERLINK("https://www.boe.es/gazeta/dias/1834/11/29/pdfs/GMD-C-1834-288.pdf#page=2","Abrir facsímil")</f>
        <v>Abrir facsímil</v>
      </c>
      <c r="K506" s="3" t="s">
        <v>37</v>
      </c>
    </row>
    <row r="507" spans="1:11" ht="54" customHeight="1">
      <c r="A507" s="2" t="s">
        <v>1587</v>
      </c>
      <c r="B507" s="2" t="s">
        <v>1588</v>
      </c>
      <c r="C507" s="2" t="s">
        <v>17</v>
      </c>
      <c r="D507" s="2" t="s">
        <v>18</v>
      </c>
      <c r="E507" s="5" t="s">
        <v>1505</v>
      </c>
      <c r="F507" s="3" t="s">
        <v>1506</v>
      </c>
      <c r="G507" s="3" t="s">
        <v>21</v>
      </c>
      <c r="H507" s="2" t="s">
        <v>22</v>
      </c>
      <c r="I507" s="2" t="s">
        <v>1589</v>
      </c>
      <c r="J507" s="3" t="str">
        <f>HYPERLINK("https://www.boe.es/gazeta/dias/1834/05/08/pdfs/GMD-1834-77.pdf#page=3","Abrir facsímil")</f>
        <v>Abrir facsímil</v>
      </c>
      <c r="K507" s="3" t="s">
        <v>24</v>
      </c>
    </row>
    <row r="508" spans="1:11" ht="54" customHeight="1">
      <c r="A508" s="2" t="s">
        <v>1590</v>
      </c>
      <c r="B508" s="2" t="s">
        <v>1591</v>
      </c>
      <c r="C508" s="2" t="s">
        <v>17</v>
      </c>
      <c r="D508" s="2" t="s">
        <v>18</v>
      </c>
      <c r="E508" s="5" t="s">
        <v>1505</v>
      </c>
      <c r="F508" s="3" t="s">
        <v>1506</v>
      </c>
      <c r="G508" s="3" t="s">
        <v>75</v>
      </c>
      <c r="H508" s="2" t="s">
        <v>22</v>
      </c>
      <c r="I508" s="2" t="s">
        <v>1592</v>
      </c>
      <c r="J508" s="3" t="str">
        <f>HYPERLINK("https://www.boe.es/gazeta/dias/1834/05/08/pdfs/GMD-1834-77.pdf#page=4","Abrir facsímil")</f>
        <v>Abrir facsímil</v>
      </c>
      <c r="K508" s="3" t="s">
        <v>24</v>
      </c>
    </row>
    <row r="509" spans="1:11" ht="54" customHeight="1">
      <c r="A509" s="2" t="s">
        <v>1593</v>
      </c>
      <c r="B509" s="2" t="s">
        <v>1594</v>
      </c>
      <c r="C509" s="2" t="s">
        <v>17</v>
      </c>
      <c r="D509" s="2" t="s">
        <v>18</v>
      </c>
      <c r="E509" s="5" t="s">
        <v>891</v>
      </c>
      <c r="F509" s="3" t="s">
        <v>892</v>
      </c>
      <c r="G509" s="3" t="s">
        <v>34</v>
      </c>
      <c r="H509" s="2" t="s">
        <v>22</v>
      </c>
      <c r="I509" s="2" t="s">
        <v>1595</v>
      </c>
      <c r="J509" s="3" t="str">
        <f>HYPERLINK("https://www.boe.es/gazeta/dias/1834/10/31/pdfs/GMD-C-1834-259.pdf#page=1","Abrir facsímil")</f>
        <v>Abrir facsímil</v>
      </c>
      <c r="K509" s="3" t="s">
        <v>24</v>
      </c>
    </row>
    <row r="510" spans="1:11" ht="54" customHeight="1">
      <c r="A510" s="2" t="s">
        <v>1596</v>
      </c>
      <c r="B510" s="2" t="s">
        <v>1596</v>
      </c>
      <c r="C510" s="2" t="s">
        <v>17</v>
      </c>
      <c r="D510" s="2" t="s">
        <v>18</v>
      </c>
      <c r="E510" s="5" t="s">
        <v>1597</v>
      </c>
      <c r="F510" s="3" t="s">
        <v>1598</v>
      </c>
      <c r="G510" s="3" t="s">
        <v>75</v>
      </c>
      <c r="H510" s="2" t="s">
        <v>22</v>
      </c>
      <c r="I510" s="2" t="s">
        <v>1599</v>
      </c>
      <c r="J510" s="3" t="str">
        <f>HYPERLINK("https://www.boe.es/gazeta/dias/1834/10/03/pdfs/GMD-1834-231.pdf#page=4","Abrir facsímil")</f>
        <v>Abrir facsímil</v>
      </c>
      <c r="K510" s="3" t="s">
        <v>24</v>
      </c>
    </row>
    <row r="511" spans="1:11" ht="54" customHeight="1">
      <c r="A511" s="2" t="s">
        <v>1600</v>
      </c>
      <c r="B511" s="2" t="s">
        <v>1601</v>
      </c>
      <c r="C511" s="2" t="s">
        <v>17</v>
      </c>
      <c r="D511" s="2" t="s">
        <v>18</v>
      </c>
      <c r="E511" s="5" t="s">
        <v>378</v>
      </c>
      <c r="F511" s="3" t="s">
        <v>888</v>
      </c>
      <c r="G511" s="3" t="s">
        <v>21</v>
      </c>
      <c r="H511" s="2" t="s">
        <v>22</v>
      </c>
      <c r="I511" s="2" t="s">
        <v>1602</v>
      </c>
      <c r="J511" s="3" t="str">
        <f>HYPERLINK("https://www.boe.es/gazeta/dias/1834/09/24/pdfs/GMD-C-1834-222.pdf#page=3","Abrir facsímil")</f>
        <v>Abrir facsímil</v>
      </c>
      <c r="K511" s="3" t="s">
        <v>24</v>
      </c>
    </row>
    <row r="512" spans="1:11" ht="54" customHeight="1">
      <c r="A512" s="2" t="s">
        <v>1603</v>
      </c>
      <c r="B512" s="2" t="s">
        <v>1604</v>
      </c>
      <c r="C512" s="2" t="s">
        <v>17</v>
      </c>
      <c r="D512" s="2" t="s">
        <v>18</v>
      </c>
      <c r="E512" s="5" t="s">
        <v>378</v>
      </c>
      <c r="F512" s="3" t="s">
        <v>888</v>
      </c>
      <c r="G512" s="3" t="s">
        <v>86</v>
      </c>
      <c r="H512" s="2" t="s">
        <v>22</v>
      </c>
      <c r="I512" s="2" t="s">
        <v>1605</v>
      </c>
      <c r="J512" s="3" t="str">
        <f>HYPERLINK("https://www.boe.es/gazeta/dias/1834/09/24/pdfs/GMD-C-1834-222.pdf#page=2","Abrir facsímil")</f>
        <v>Abrir facsímil</v>
      </c>
      <c r="K512" s="3" t="s">
        <v>24</v>
      </c>
    </row>
    <row r="513" spans="1:11" ht="54" customHeight="1">
      <c r="A513" s="2" t="s">
        <v>1606</v>
      </c>
      <c r="B513" s="2" t="s">
        <v>1607</v>
      </c>
      <c r="C513" s="2" t="s">
        <v>17</v>
      </c>
      <c r="D513" s="2" t="s">
        <v>18</v>
      </c>
      <c r="E513" s="5" t="s">
        <v>167</v>
      </c>
      <c r="F513" s="3" t="s">
        <v>1200</v>
      </c>
      <c r="G513" s="3" t="s">
        <v>86</v>
      </c>
      <c r="H513" s="2" t="s">
        <v>35</v>
      </c>
      <c r="I513" s="2" t="s">
        <v>1608</v>
      </c>
      <c r="J513" s="3" t="str">
        <f>HYPERLINK("https://www.boe.es/gazeta/dias/1834/09/07/pdfs/GMD-C-1834-205.pdf#page=2","Abrir facsímil")</f>
        <v>Abrir facsímil</v>
      </c>
      <c r="K513" s="3" t="s">
        <v>37</v>
      </c>
    </row>
    <row r="514" spans="1:11" ht="54" customHeight="1">
      <c r="A514" s="2" t="s">
        <v>1609</v>
      </c>
      <c r="B514" s="2" t="s">
        <v>1610</v>
      </c>
      <c r="C514" s="2" t="s">
        <v>66</v>
      </c>
      <c r="D514" s="2" t="s">
        <v>67</v>
      </c>
      <c r="E514" s="5" t="s">
        <v>863</v>
      </c>
      <c r="F514" s="3" t="s">
        <v>864</v>
      </c>
      <c r="G514" s="3" t="s">
        <v>86</v>
      </c>
      <c r="H514" s="2" t="s">
        <v>35</v>
      </c>
      <c r="I514" s="2" t="s">
        <v>1611</v>
      </c>
      <c r="J514" s="3" t="str">
        <f>HYPERLINK("https://www.boe.es/gazeta/dias/1834/09/15/pdfs/GMD-1834-213.pdf#page=2","Abrir facsímil")</f>
        <v>Abrir facsímil</v>
      </c>
      <c r="K514" s="3" t="s">
        <v>37</v>
      </c>
    </row>
    <row r="515" spans="1:11" ht="54" customHeight="1">
      <c r="A515" s="2" t="s">
        <v>1612</v>
      </c>
      <c r="B515" s="2" t="s">
        <v>1613</v>
      </c>
      <c r="C515" s="2" t="s">
        <v>17</v>
      </c>
      <c r="D515" s="2" t="s">
        <v>18</v>
      </c>
      <c r="E515" s="5" t="s">
        <v>753</v>
      </c>
      <c r="F515" s="3" t="s">
        <v>754</v>
      </c>
      <c r="G515" s="3" t="s">
        <v>28</v>
      </c>
      <c r="H515" s="2" t="s">
        <v>35</v>
      </c>
      <c r="I515" s="2" t="s">
        <v>1614</v>
      </c>
      <c r="J515" s="3" t="str">
        <f>HYPERLINK("https://www.boe.es/gazeta/dias/1834/04/21/pdfs/GMD-1834-60.pdf#page=5","Abrir facsímil")</f>
        <v>Abrir facsímil</v>
      </c>
      <c r="K515" s="3" t="s">
        <v>37</v>
      </c>
    </row>
    <row r="516" spans="1:11" ht="54" customHeight="1">
      <c r="A516" s="2" t="s">
        <v>1615</v>
      </c>
      <c r="B516" s="2" t="s">
        <v>1616</v>
      </c>
      <c r="C516" s="2" t="s">
        <v>17</v>
      </c>
      <c r="D516" s="2" t="s">
        <v>18</v>
      </c>
      <c r="E516" s="5" t="s">
        <v>378</v>
      </c>
      <c r="F516" s="3" t="s">
        <v>888</v>
      </c>
      <c r="G516" s="3" t="s">
        <v>34</v>
      </c>
      <c r="H516" s="2" t="s">
        <v>22</v>
      </c>
      <c r="I516" s="2" t="s">
        <v>1617</v>
      </c>
      <c r="J516" s="3" t="str">
        <f>HYPERLINK("https://www.boe.es/gazeta/dias/1834/09/24/pdfs/GMD-C-1834-222.pdf#page=1","Abrir facsímil")</f>
        <v>Abrir facsímil</v>
      </c>
      <c r="K516" s="3" t="s">
        <v>24</v>
      </c>
    </row>
    <row r="517" spans="1:11" ht="54" customHeight="1">
      <c r="A517" s="2" t="s">
        <v>1618</v>
      </c>
      <c r="B517" s="2" t="s">
        <v>1619</v>
      </c>
      <c r="C517" s="2" t="s">
        <v>17</v>
      </c>
      <c r="D517" s="2" t="s">
        <v>18</v>
      </c>
      <c r="E517" s="5" t="s">
        <v>378</v>
      </c>
      <c r="F517" s="3" t="s">
        <v>888</v>
      </c>
      <c r="G517" s="3" t="s">
        <v>34</v>
      </c>
      <c r="H517" s="2" t="s">
        <v>22</v>
      </c>
      <c r="I517" s="2" t="s">
        <v>1620</v>
      </c>
      <c r="J517" s="3" t="str">
        <f>HYPERLINK("https://www.boe.es/gazeta/dias/1834/09/24/pdfs/GMD-C-1834-222.pdf#page=1","Abrir facsímil")</f>
        <v>Abrir facsímil</v>
      </c>
      <c r="K517" s="3" t="s">
        <v>24</v>
      </c>
    </row>
    <row r="518" spans="1:11" ht="54" customHeight="1">
      <c r="A518" s="2" t="s">
        <v>1621</v>
      </c>
      <c r="B518" s="2" t="s">
        <v>1622</v>
      </c>
      <c r="C518" s="2" t="s">
        <v>17</v>
      </c>
      <c r="D518" s="2" t="s">
        <v>18</v>
      </c>
      <c r="E518" s="5" t="s">
        <v>378</v>
      </c>
      <c r="F518" s="3" t="s">
        <v>888</v>
      </c>
      <c r="G518" s="3" t="s">
        <v>86</v>
      </c>
      <c r="H518" s="2" t="s">
        <v>22</v>
      </c>
      <c r="I518" s="2" t="s">
        <v>1623</v>
      </c>
      <c r="J518" s="3" t="str">
        <f>HYPERLINK("https://www.boe.es/gazeta/dias/1834/09/24/pdfs/GMD-C-1834-222.pdf#page=2","Abrir facsímil")</f>
        <v>Abrir facsímil</v>
      </c>
      <c r="K518" s="3" t="s">
        <v>24</v>
      </c>
    </row>
    <row r="519" spans="1:11" ht="54" customHeight="1">
      <c r="A519" s="2" t="s">
        <v>1624</v>
      </c>
      <c r="B519" s="2" t="s">
        <v>1625</v>
      </c>
      <c r="C519" s="2" t="s">
        <v>66</v>
      </c>
      <c r="D519" s="2" t="s">
        <v>67</v>
      </c>
      <c r="E519" s="5" t="s">
        <v>863</v>
      </c>
      <c r="F519" s="3" t="s">
        <v>864</v>
      </c>
      <c r="G519" s="3" t="s">
        <v>86</v>
      </c>
      <c r="H519" s="2" t="s">
        <v>22</v>
      </c>
      <c r="I519" s="2" t="s">
        <v>1626</v>
      </c>
      <c r="J519" s="3" t="str">
        <f>HYPERLINK("https://www.boe.es/gazeta/dias/1834/09/15/pdfs/GMD-1834-213.pdf#page=2","Abrir facsímil")</f>
        <v>Abrir facsímil</v>
      </c>
      <c r="K519" s="3" t="s">
        <v>24</v>
      </c>
    </row>
    <row r="520" spans="1:11" ht="54" customHeight="1">
      <c r="A520" s="2" t="s">
        <v>1627</v>
      </c>
      <c r="B520" s="2" t="s">
        <v>1628</v>
      </c>
      <c r="C520" s="2" t="s">
        <v>17</v>
      </c>
      <c r="D520" s="2" t="s">
        <v>18</v>
      </c>
      <c r="E520" s="5" t="s">
        <v>753</v>
      </c>
      <c r="F520" s="3" t="s">
        <v>754</v>
      </c>
      <c r="G520" s="3" t="s">
        <v>28</v>
      </c>
      <c r="H520" s="2" t="s">
        <v>22</v>
      </c>
      <c r="I520" s="2" t="s">
        <v>1629</v>
      </c>
      <c r="J520" s="3" t="str">
        <f>HYPERLINK("https://www.boe.es/gazeta/dias/1834/04/21/pdfs/GMD-1834-60.pdf#page=5","Abrir facsímil")</f>
        <v>Abrir facsímil</v>
      </c>
      <c r="K520" s="3" t="s">
        <v>24</v>
      </c>
    </row>
    <row r="521" spans="1:11" ht="54" customHeight="1">
      <c r="A521" s="2" t="s">
        <v>1630</v>
      </c>
      <c r="B521" s="2" t="s">
        <v>1631</v>
      </c>
      <c r="C521" s="2" t="s">
        <v>46</v>
      </c>
      <c r="D521" s="2" t="s">
        <v>101</v>
      </c>
      <c r="E521" s="5" t="s">
        <v>378</v>
      </c>
      <c r="F521" s="3" t="s">
        <v>888</v>
      </c>
      <c r="G521" s="3" t="s">
        <v>86</v>
      </c>
      <c r="H521" s="2" t="s">
        <v>22</v>
      </c>
      <c r="I521" s="2" t="s">
        <v>1632</v>
      </c>
      <c r="J521" s="3" t="str">
        <f>HYPERLINK("https://www.boe.es/gazeta/dias/1834/09/24/pdfs/GMD-C-1834-222.pdf#page=2","Abrir facsímil")</f>
        <v>Abrir facsímil</v>
      </c>
      <c r="K521" s="3" t="s">
        <v>24</v>
      </c>
    </row>
    <row r="522" spans="1:11" ht="54" customHeight="1">
      <c r="A522" s="2" t="s">
        <v>1633</v>
      </c>
      <c r="B522" s="2" t="s">
        <v>1634</v>
      </c>
      <c r="C522" s="2" t="s">
        <v>17</v>
      </c>
      <c r="D522" s="2" t="s">
        <v>18</v>
      </c>
      <c r="E522" s="5" t="s">
        <v>378</v>
      </c>
      <c r="F522" s="3" t="s">
        <v>888</v>
      </c>
      <c r="G522" s="3" t="s">
        <v>86</v>
      </c>
      <c r="H522" s="2" t="s">
        <v>22</v>
      </c>
      <c r="I522" s="2" t="s">
        <v>1635</v>
      </c>
      <c r="J522" s="3" t="str">
        <f>HYPERLINK("https://www.boe.es/gazeta/dias/1834/09/24/pdfs/GMD-C-1834-222.pdf#page=2","Abrir facsímil")</f>
        <v>Abrir facsímil</v>
      </c>
      <c r="K522" s="3" t="s">
        <v>24</v>
      </c>
    </row>
    <row r="523" spans="1:11" ht="54" customHeight="1">
      <c r="A523" s="2" t="s">
        <v>1636</v>
      </c>
      <c r="B523" s="2" t="s">
        <v>1637</v>
      </c>
      <c r="C523" s="2" t="s">
        <v>17</v>
      </c>
      <c r="D523" s="2" t="s">
        <v>18</v>
      </c>
      <c r="E523" s="5" t="s">
        <v>378</v>
      </c>
      <c r="F523" s="3" t="s">
        <v>888</v>
      </c>
      <c r="G523" s="3" t="s">
        <v>34</v>
      </c>
      <c r="H523" s="2" t="s">
        <v>22</v>
      </c>
      <c r="I523" s="2" t="s">
        <v>1638</v>
      </c>
      <c r="J523" s="3" t="str">
        <f>HYPERLINK("https://www.boe.es/gazeta/dias/1834/09/24/pdfs/GMD-C-1834-222.pdf#page=1","Abrir facsímil")</f>
        <v>Abrir facsímil</v>
      </c>
      <c r="K523" s="3" t="s">
        <v>24</v>
      </c>
    </row>
    <row r="524" spans="1:11" ht="54" customHeight="1">
      <c r="A524" s="2" t="s">
        <v>1636</v>
      </c>
      <c r="B524" s="2" t="s">
        <v>1637</v>
      </c>
      <c r="C524" s="2" t="s">
        <v>46</v>
      </c>
      <c r="D524" s="2" t="s">
        <v>101</v>
      </c>
      <c r="E524" s="5" t="s">
        <v>378</v>
      </c>
      <c r="F524" s="3" t="s">
        <v>888</v>
      </c>
      <c r="G524" s="3" t="s">
        <v>86</v>
      </c>
      <c r="H524" s="2" t="s">
        <v>22</v>
      </c>
      <c r="I524" s="2" t="s">
        <v>1639</v>
      </c>
      <c r="J524" s="3" t="str">
        <f>HYPERLINK("https://www.boe.es/gazeta/dias/1834/09/24/pdfs/GMD-C-1834-222.pdf#page=2","Abrir facsímil")</f>
        <v>Abrir facsímil</v>
      </c>
      <c r="K524" s="3" t="s">
        <v>24</v>
      </c>
    </row>
    <row r="525" spans="1:11" ht="54" customHeight="1">
      <c r="A525" s="2" t="s">
        <v>1636</v>
      </c>
      <c r="B525" s="2" t="s">
        <v>1637</v>
      </c>
      <c r="C525" s="2" t="s">
        <v>17</v>
      </c>
      <c r="D525" s="2" t="s">
        <v>18</v>
      </c>
      <c r="E525" s="5" t="s">
        <v>378</v>
      </c>
      <c r="F525" s="3" t="s">
        <v>888</v>
      </c>
      <c r="G525" s="3" t="s">
        <v>21</v>
      </c>
      <c r="H525" s="2" t="s">
        <v>22</v>
      </c>
      <c r="I525" s="2" t="s">
        <v>1640</v>
      </c>
      <c r="J525" s="3" t="str">
        <f>HYPERLINK("https://www.boe.es/gazeta/dias/1834/09/24/pdfs/GMD-C-1834-222.pdf#page=3","Abrir facsímil")</f>
        <v>Abrir facsímil</v>
      </c>
      <c r="K525" s="3" t="s">
        <v>24</v>
      </c>
    </row>
    <row r="526" spans="1:11" ht="54" customHeight="1">
      <c r="A526" s="2" t="s">
        <v>1636</v>
      </c>
      <c r="B526" s="2" t="s">
        <v>1637</v>
      </c>
      <c r="C526" s="2" t="s">
        <v>17</v>
      </c>
      <c r="D526" s="2" t="s">
        <v>18</v>
      </c>
      <c r="E526" s="5" t="s">
        <v>1641</v>
      </c>
      <c r="F526" s="3" t="s">
        <v>1642</v>
      </c>
      <c r="G526" s="3" t="s">
        <v>34</v>
      </c>
      <c r="H526" s="2" t="s">
        <v>22</v>
      </c>
      <c r="I526" s="2" t="s">
        <v>1643</v>
      </c>
      <c r="J526" s="3" t="str">
        <f>HYPERLINK("https://www.boe.es/gazeta/dias/1834/09/28/pdfs/GMD-C-1834-226.pdf#page=1","Abrir facsímil")</f>
        <v>Abrir facsímil</v>
      </c>
      <c r="K526" s="3" t="s">
        <v>24</v>
      </c>
    </row>
    <row r="527" spans="1:11" ht="54" customHeight="1">
      <c r="A527" s="2" t="s">
        <v>1644</v>
      </c>
      <c r="B527" s="2" t="s">
        <v>1645</v>
      </c>
      <c r="C527" s="2" t="s">
        <v>46</v>
      </c>
      <c r="D527" s="2" t="s">
        <v>101</v>
      </c>
      <c r="E527" s="5" t="s">
        <v>378</v>
      </c>
      <c r="F527" s="3" t="s">
        <v>888</v>
      </c>
      <c r="G527" s="3" t="s">
        <v>86</v>
      </c>
      <c r="H527" s="2" t="s">
        <v>22</v>
      </c>
      <c r="I527" s="2" t="s">
        <v>1646</v>
      </c>
      <c r="J527" s="3" t="str">
        <f>HYPERLINK("https://www.boe.es/gazeta/dias/1834/09/24/pdfs/GMD-C-1834-222.pdf#page=2","Abrir facsímil")</f>
        <v>Abrir facsímil</v>
      </c>
      <c r="K527" s="3" t="s">
        <v>24</v>
      </c>
    </row>
    <row r="528" spans="1:11" ht="54" customHeight="1">
      <c r="A528" s="2" t="s">
        <v>1647</v>
      </c>
      <c r="B528" s="2" t="s">
        <v>1648</v>
      </c>
      <c r="C528" s="2" t="s">
        <v>17</v>
      </c>
      <c r="D528" s="2" t="s">
        <v>18</v>
      </c>
      <c r="E528" s="5" t="s">
        <v>378</v>
      </c>
      <c r="F528" s="3" t="s">
        <v>888</v>
      </c>
      <c r="G528" s="3" t="s">
        <v>86</v>
      </c>
      <c r="H528" s="2" t="s">
        <v>22</v>
      </c>
      <c r="I528" s="2" t="s">
        <v>1649</v>
      </c>
      <c r="J528" s="3" t="str">
        <f>HYPERLINK("https://www.boe.es/gazeta/dias/1834/09/24/pdfs/GMD-C-1834-222.pdf#page=2","Abrir facsímil")</f>
        <v>Abrir facsímil</v>
      </c>
      <c r="K528" s="3" t="s">
        <v>24</v>
      </c>
    </row>
    <row r="529" spans="1:11" ht="54" customHeight="1">
      <c r="A529" s="2" t="s">
        <v>1650</v>
      </c>
      <c r="B529" s="2" t="s">
        <v>1650</v>
      </c>
      <c r="C529" s="2" t="s">
        <v>66</v>
      </c>
      <c r="D529" s="2" t="s">
        <v>67</v>
      </c>
      <c r="E529" s="5" t="s">
        <v>905</v>
      </c>
      <c r="F529" s="3" t="s">
        <v>1651</v>
      </c>
      <c r="G529" s="3" t="s">
        <v>34</v>
      </c>
      <c r="H529" s="2" t="s">
        <v>22</v>
      </c>
      <c r="I529" s="2" t="s">
        <v>1652</v>
      </c>
      <c r="J529" s="3" t="str">
        <f>HYPERLINK("https://www.boe.es/gazeta/dias/1834/08/02/pdfs/GMD-1834-166.pdf#page=1","Abrir facsímil")</f>
        <v>Abrir facsímil</v>
      </c>
      <c r="K529" s="3" t="s">
        <v>24</v>
      </c>
    </row>
    <row r="530" spans="1:11" ht="54" customHeight="1">
      <c r="A530" s="2" t="s">
        <v>1650</v>
      </c>
      <c r="B530" s="2" t="s">
        <v>1650</v>
      </c>
      <c r="C530" s="2" t="s">
        <v>17</v>
      </c>
      <c r="D530" s="2" t="s">
        <v>55</v>
      </c>
      <c r="E530" s="5" t="s">
        <v>1653</v>
      </c>
      <c r="F530" s="3" t="s">
        <v>1654</v>
      </c>
      <c r="G530" s="3" t="s">
        <v>86</v>
      </c>
      <c r="H530" s="2" t="s">
        <v>22</v>
      </c>
      <c r="I530" s="2" t="s">
        <v>1655</v>
      </c>
      <c r="J530" s="3" t="str">
        <f>HYPERLINK("https://www.boe.es/gazeta/dias/1834/07/03/pdfs/GMD-1834-136.pdf#page=2","Abrir facsímil")</f>
        <v>Abrir facsímil</v>
      </c>
      <c r="K530" s="3" t="s">
        <v>24</v>
      </c>
    </row>
    <row r="531" spans="1:11" ht="54" customHeight="1">
      <c r="A531" s="2" t="s">
        <v>1650</v>
      </c>
      <c r="B531" s="2" t="s">
        <v>1650</v>
      </c>
      <c r="C531" s="2" t="s">
        <v>90</v>
      </c>
      <c r="D531" s="2" t="s">
        <v>101</v>
      </c>
      <c r="E531" s="5" t="s">
        <v>330</v>
      </c>
      <c r="F531" s="3" t="s">
        <v>331</v>
      </c>
      <c r="G531" s="3" t="s">
        <v>34</v>
      </c>
      <c r="H531" s="2" t="s">
        <v>22</v>
      </c>
      <c r="I531" s="2" t="s">
        <v>1656</v>
      </c>
      <c r="J531" s="3" t="str">
        <f>HYPERLINK("https://www.boe.es/gazeta/dias/1834/12/03/pdfs/GMD-1834-292.pdf#page=1","Abrir facsímil")</f>
        <v>Abrir facsímil</v>
      </c>
      <c r="K531" s="3" t="s">
        <v>24</v>
      </c>
    </row>
    <row r="532" spans="1:11" ht="54" customHeight="1">
      <c r="A532" s="2" t="s">
        <v>1650</v>
      </c>
      <c r="B532" s="2" t="s">
        <v>1650</v>
      </c>
      <c r="C532" s="2" t="s">
        <v>122</v>
      </c>
      <c r="D532" s="2" t="s">
        <v>18</v>
      </c>
      <c r="E532" s="5" t="s">
        <v>506</v>
      </c>
      <c r="F532" s="3" t="s">
        <v>507</v>
      </c>
      <c r="G532" s="3" t="s">
        <v>75</v>
      </c>
      <c r="H532" s="2" t="s">
        <v>22</v>
      </c>
      <c r="I532" s="2" t="s">
        <v>1657</v>
      </c>
      <c r="J532" s="3" t="str">
        <f>HYPERLINK("https://www.boe.es/gazeta/dias/1834/03/04/pdfs/GMD-1834-28.pdf#page=4","Abrir facsímil")</f>
        <v>Abrir facsímil</v>
      </c>
      <c r="K532" s="3" t="s">
        <v>24</v>
      </c>
    </row>
    <row r="533" spans="1:11" ht="54" customHeight="1">
      <c r="A533" s="2" t="s">
        <v>1650</v>
      </c>
      <c r="B533" s="2" t="s">
        <v>1650</v>
      </c>
      <c r="C533" s="2" t="s">
        <v>17</v>
      </c>
      <c r="D533" s="2" t="s">
        <v>18</v>
      </c>
      <c r="E533" s="5" t="s">
        <v>1658</v>
      </c>
      <c r="F533" s="3" t="s">
        <v>1659</v>
      </c>
      <c r="G533" s="3" t="s">
        <v>34</v>
      </c>
      <c r="H533" s="2" t="s">
        <v>22</v>
      </c>
      <c r="I533" s="2" t="s">
        <v>1660</v>
      </c>
      <c r="J533" s="3" t="str">
        <f>HYPERLINK("https://www.boe.es/gazeta/dias/1834/04/05/pdfs/GMD-1834-44.pdf#page=1","Abrir facsímil")</f>
        <v>Abrir facsímil</v>
      </c>
      <c r="K533" s="3" t="s">
        <v>24</v>
      </c>
    </row>
    <row r="534" spans="1:11" ht="54" customHeight="1">
      <c r="A534" s="2" t="s">
        <v>1650</v>
      </c>
      <c r="B534" s="2" t="s">
        <v>1650</v>
      </c>
      <c r="C534" s="2" t="s">
        <v>66</v>
      </c>
      <c r="D534" s="2" t="s">
        <v>67</v>
      </c>
      <c r="E534" s="5" t="s">
        <v>1661</v>
      </c>
      <c r="F534" s="3" t="s">
        <v>1662</v>
      </c>
      <c r="G534" s="3" t="s">
        <v>86</v>
      </c>
      <c r="H534" s="2" t="s">
        <v>22</v>
      </c>
      <c r="I534" s="2" t="s">
        <v>1663</v>
      </c>
      <c r="J534" s="3" t="str">
        <f>HYPERLINK("https://www.boe.es/gazeta/dias/1834/04/06/pdfs/GMD-1834-45.pdf#page=2","Abrir facsímil")</f>
        <v>Abrir facsímil</v>
      </c>
      <c r="K534" s="3" t="s">
        <v>24</v>
      </c>
    </row>
    <row r="535" spans="1:11" ht="54" customHeight="1">
      <c r="A535" s="2" t="s">
        <v>1650</v>
      </c>
      <c r="B535" s="2" t="s">
        <v>1650</v>
      </c>
      <c r="C535" s="2" t="s">
        <v>17</v>
      </c>
      <c r="D535" s="2" t="s">
        <v>18</v>
      </c>
      <c r="E535" s="5" t="s">
        <v>956</v>
      </c>
      <c r="F535" s="3" t="s">
        <v>1508</v>
      </c>
      <c r="G535" s="3" t="s">
        <v>34</v>
      </c>
      <c r="H535" s="2" t="s">
        <v>22</v>
      </c>
      <c r="I535" s="2" t="s">
        <v>1664</v>
      </c>
      <c r="J535" s="3" t="str">
        <f>HYPERLINK("https://www.boe.es/gazeta/dias/1834/08/10/pdfs/GMD-1834-175.pdf#page=1","Abrir facsímil")</f>
        <v>Abrir facsímil</v>
      </c>
      <c r="K535" s="3" t="s">
        <v>24</v>
      </c>
    </row>
    <row r="536" spans="1:11" ht="54" customHeight="1">
      <c r="A536" s="2" t="s">
        <v>1650</v>
      </c>
      <c r="B536" s="2" t="s">
        <v>1650</v>
      </c>
      <c r="C536" s="2" t="s">
        <v>46</v>
      </c>
      <c r="D536" s="2" t="s">
        <v>101</v>
      </c>
      <c r="E536" s="5" t="s">
        <v>785</v>
      </c>
      <c r="F536" s="3" t="s">
        <v>786</v>
      </c>
      <c r="G536" s="3" t="s">
        <v>86</v>
      </c>
      <c r="H536" s="2" t="s">
        <v>22</v>
      </c>
      <c r="I536" s="2" t="s">
        <v>1665</v>
      </c>
      <c r="J536" s="3" t="str">
        <f>HYPERLINK("https://www.boe.es/gazeta/dias/1834/02/11/pdfs/GMD-1834-19.pdf#page=2","Abrir facsímil")</f>
        <v>Abrir facsímil</v>
      </c>
      <c r="K536" s="3" t="s">
        <v>24</v>
      </c>
    </row>
    <row r="537" spans="1:11" ht="54" customHeight="1">
      <c r="A537" s="2" t="s">
        <v>1650</v>
      </c>
      <c r="B537" s="2" t="s">
        <v>1650</v>
      </c>
      <c r="C537" s="2" t="s">
        <v>17</v>
      </c>
      <c r="D537" s="2" t="s">
        <v>18</v>
      </c>
      <c r="E537" s="5" t="s">
        <v>348</v>
      </c>
      <c r="F537" s="3" t="s">
        <v>501</v>
      </c>
      <c r="G537" s="3" t="s">
        <v>34</v>
      </c>
      <c r="H537" s="2" t="s">
        <v>22</v>
      </c>
      <c r="I537" s="2" t="s">
        <v>1666</v>
      </c>
      <c r="J537" s="3" t="str">
        <f>HYPERLINK("https://www.boe.es/gazeta/dias/1834/06/12/pdfs/GMD-1834-115.pdf#page=1","Abrir facsímil")</f>
        <v>Abrir facsímil</v>
      </c>
      <c r="K537" s="3" t="s">
        <v>24</v>
      </c>
    </row>
    <row r="538" spans="1:11" ht="54" customHeight="1">
      <c r="A538" s="2" t="s">
        <v>1650</v>
      </c>
      <c r="B538" s="2" t="s">
        <v>1650</v>
      </c>
      <c r="C538" s="2" t="s">
        <v>46</v>
      </c>
      <c r="D538" s="2" t="s">
        <v>18</v>
      </c>
      <c r="E538" s="5" t="s">
        <v>844</v>
      </c>
      <c r="F538" s="3" t="s">
        <v>845</v>
      </c>
      <c r="G538" s="3" t="s">
        <v>86</v>
      </c>
      <c r="H538" s="2" t="s">
        <v>22</v>
      </c>
      <c r="I538" s="2" t="s">
        <v>1667</v>
      </c>
      <c r="J538" s="3" t="str">
        <f>HYPERLINK("https://www.boe.es/gazeta/dias/1834/03/13/pdfs/GMD-1834-32.pdf#page=2","Abrir facsímil")</f>
        <v>Abrir facsímil</v>
      </c>
      <c r="K538" s="3" t="s">
        <v>24</v>
      </c>
    </row>
    <row r="539" spans="1:11" ht="54" customHeight="1">
      <c r="A539" s="2" t="s">
        <v>1650</v>
      </c>
      <c r="B539" s="2" t="s">
        <v>1650</v>
      </c>
      <c r="C539" s="2" t="s">
        <v>90</v>
      </c>
      <c r="D539" s="2" t="s">
        <v>18</v>
      </c>
      <c r="E539" s="5" t="s">
        <v>1510</v>
      </c>
      <c r="F539" s="3" t="s">
        <v>1511</v>
      </c>
      <c r="G539" s="3" t="s">
        <v>86</v>
      </c>
      <c r="H539" s="2" t="s">
        <v>22</v>
      </c>
      <c r="I539" s="2" t="s">
        <v>1668</v>
      </c>
      <c r="J539" s="3" t="str">
        <f>HYPERLINK("https://www.boe.es/gazeta/dias/1834/06/13/pdfs/GMD-1834-116.pdf#page=2","Abrir facsímil")</f>
        <v>Abrir facsímil</v>
      </c>
      <c r="K539" s="3" t="s">
        <v>24</v>
      </c>
    </row>
    <row r="540" spans="1:11" ht="54" customHeight="1">
      <c r="A540" s="2" t="s">
        <v>1650</v>
      </c>
      <c r="B540" s="2" t="s">
        <v>1650</v>
      </c>
      <c r="C540" s="2" t="s">
        <v>46</v>
      </c>
      <c r="D540" s="2" t="s">
        <v>18</v>
      </c>
      <c r="E540" s="5" t="s">
        <v>1669</v>
      </c>
      <c r="F540" s="3" t="s">
        <v>1670</v>
      </c>
      <c r="G540" s="3" t="s">
        <v>86</v>
      </c>
      <c r="H540" s="2" t="s">
        <v>22</v>
      </c>
      <c r="I540" s="2" t="s">
        <v>1671</v>
      </c>
      <c r="J540" s="3" t="str">
        <f>HYPERLINK("https://www.boe.es/gazeta/dias/1834/06/19/pdfs/GMD-1834-122.pdf#page=2","Abrir facsímil")</f>
        <v>Abrir facsímil</v>
      </c>
      <c r="K540" s="3" t="s">
        <v>24</v>
      </c>
    </row>
    <row r="541" spans="1:11" ht="54" customHeight="1">
      <c r="A541" s="2" t="s">
        <v>1650</v>
      </c>
      <c r="B541" s="2" t="s">
        <v>1650</v>
      </c>
      <c r="C541" s="2" t="s">
        <v>17</v>
      </c>
      <c r="D541" s="2" t="s">
        <v>18</v>
      </c>
      <c r="E541" s="5" t="s">
        <v>492</v>
      </c>
      <c r="F541" s="3" t="s">
        <v>1672</v>
      </c>
      <c r="G541" s="3" t="s">
        <v>34</v>
      </c>
      <c r="H541" s="2" t="s">
        <v>22</v>
      </c>
      <c r="I541" s="2" t="s">
        <v>1673</v>
      </c>
      <c r="J541" s="3" t="str">
        <f>HYPERLINK("https://www.boe.es/gazeta/dias/1834/11/21/pdfs/GMD-1834-280.pdf#page=1","Abrir facsímil")</f>
        <v>Abrir facsímil</v>
      </c>
      <c r="K541" s="3" t="s">
        <v>24</v>
      </c>
    </row>
    <row r="542" spans="1:11" ht="54" customHeight="1">
      <c r="A542" s="2" t="s">
        <v>1650</v>
      </c>
      <c r="B542" s="2" t="s">
        <v>1650</v>
      </c>
      <c r="C542" s="2" t="s">
        <v>90</v>
      </c>
      <c r="D542" s="2" t="s">
        <v>55</v>
      </c>
      <c r="E542" s="5" t="s">
        <v>1674</v>
      </c>
      <c r="F542" s="3" t="s">
        <v>1675</v>
      </c>
      <c r="G542" s="3" t="s">
        <v>21</v>
      </c>
      <c r="H542" s="2" t="s">
        <v>22</v>
      </c>
      <c r="I542" s="2" t="s">
        <v>1676</v>
      </c>
      <c r="J542" s="3" t="str">
        <f>HYPERLINK("https://www.boe.es/gazeta/dias/1834/07/25/pdfs/GMD-1834-158.pdf#page=3","Abrir facsímil")</f>
        <v>Abrir facsímil</v>
      </c>
      <c r="K542" s="3" t="s">
        <v>24</v>
      </c>
    </row>
    <row r="543" spans="1:11" ht="54" customHeight="1">
      <c r="A543" s="2" t="s">
        <v>1650</v>
      </c>
      <c r="B543" s="2" t="s">
        <v>1650</v>
      </c>
      <c r="C543" s="2" t="s">
        <v>17</v>
      </c>
      <c r="D543" s="2" t="s">
        <v>55</v>
      </c>
      <c r="E543" s="5" t="s">
        <v>1677</v>
      </c>
      <c r="F543" s="3" t="s">
        <v>1678</v>
      </c>
      <c r="G543" s="3" t="s">
        <v>21</v>
      </c>
      <c r="H543" s="2" t="s">
        <v>22</v>
      </c>
      <c r="I543" s="2" t="s">
        <v>1679</v>
      </c>
      <c r="J543" s="3" t="str">
        <f>HYPERLINK("https://www.boe.es/gazeta/dias/1834/07/26/pdfs/GMD-1834-159.pdf#page=3","Abrir facsímil")</f>
        <v>Abrir facsímil</v>
      </c>
      <c r="K543" s="3" t="s">
        <v>24</v>
      </c>
    </row>
    <row r="544" spans="1:11" ht="54" customHeight="1">
      <c r="A544" s="2" t="s">
        <v>1650</v>
      </c>
      <c r="B544" s="2" t="s">
        <v>1650</v>
      </c>
      <c r="C544" s="2" t="s">
        <v>17</v>
      </c>
      <c r="D544" s="2" t="s">
        <v>18</v>
      </c>
      <c r="E544" s="5" t="s">
        <v>1680</v>
      </c>
      <c r="F544" s="3" t="s">
        <v>1681</v>
      </c>
      <c r="G544" s="3" t="s">
        <v>86</v>
      </c>
      <c r="H544" s="2" t="s">
        <v>22</v>
      </c>
      <c r="I544" s="2" t="s">
        <v>1682</v>
      </c>
      <c r="J544" s="3" t="str">
        <f>HYPERLINK("https://www.boe.es/gazeta/dias/1834/02/27/pdfs/GMD-1834-26.pdf#page=2","Abrir facsímil")</f>
        <v>Abrir facsímil</v>
      </c>
      <c r="K544" s="3" t="s">
        <v>24</v>
      </c>
    </row>
    <row r="545" spans="1:11" ht="54" customHeight="1">
      <c r="A545" s="2" t="s">
        <v>1650</v>
      </c>
      <c r="B545" s="2" t="s">
        <v>1650</v>
      </c>
      <c r="C545" s="2" t="s">
        <v>17</v>
      </c>
      <c r="D545" s="2" t="s">
        <v>55</v>
      </c>
      <c r="E545" s="5" t="s">
        <v>1683</v>
      </c>
      <c r="F545" s="3" t="s">
        <v>1684</v>
      </c>
      <c r="G545" s="3" t="s">
        <v>86</v>
      </c>
      <c r="H545" s="2" t="s">
        <v>22</v>
      </c>
      <c r="I545" s="2" t="s">
        <v>1685</v>
      </c>
      <c r="J545" s="3" t="str">
        <f>HYPERLINK("https://www.boe.es/gazeta/dias/1834/06/27/pdfs/GMD-1834-130.pdf#page=2","Abrir facsímil")</f>
        <v>Abrir facsímil</v>
      </c>
      <c r="K545" s="3" t="s">
        <v>24</v>
      </c>
    </row>
    <row r="546" spans="1:11" ht="54" customHeight="1">
      <c r="A546" s="2" t="s">
        <v>1650</v>
      </c>
      <c r="B546" s="2" t="s">
        <v>1650</v>
      </c>
      <c r="C546" s="2" t="s">
        <v>46</v>
      </c>
      <c r="D546" s="2" t="s">
        <v>101</v>
      </c>
      <c r="E546" s="5" t="s">
        <v>1686</v>
      </c>
      <c r="F546" s="3" t="s">
        <v>1687</v>
      </c>
      <c r="G546" s="3" t="s">
        <v>86</v>
      </c>
      <c r="H546" s="2" t="s">
        <v>22</v>
      </c>
      <c r="I546" s="2" t="s">
        <v>1688</v>
      </c>
      <c r="J546" s="3" t="str">
        <f>HYPERLINK("https://www.boe.es/gazeta/dias/1834/07/27/pdfs/GMD-1834-160.pdf#page=2","Abrir facsímil")</f>
        <v>Abrir facsímil</v>
      </c>
      <c r="K546" s="3" t="s">
        <v>24</v>
      </c>
    </row>
    <row r="547" spans="1:11" ht="54" customHeight="1">
      <c r="A547" s="2" t="s">
        <v>1650</v>
      </c>
      <c r="B547" s="2" t="s">
        <v>1650</v>
      </c>
      <c r="C547" s="2" t="s">
        <v>17</v>
      </c>
      <c r="D547" s="2" t="s">
        <v>18</v>
      </c>
      <c r="E547" s="5" t="s">
        <v>1689</v>
      </c>
      <c r="F547" s="3" t="s">
        <v>1690</v>
      </c>
      <c r="G547" s="3" t="s">
        <v>86</v>
      </c>
      <c r="H547" s="2" t="s">
        <v>22</v>
      </c>
      <c r="I547" s="2" t="s">
        <v>1691</v>
      </c>
      <c r="J547" s="3" t="str">
        <f>HYPERLINK("https://www.boe.es/gazeta/dias/1834/07/28/pdfs/GMD-1834-161.pdf#page=2","Abrir facsímil")</f>
        <v>Abrir facsímil</v>
      </c>
      <c r="K547" s="3" t="s">
        <v>24</v>
      </c>
    </row>
    <row r="548" spans="1:11" ht="54" customHeight="1">
      <c r="A548" s="2" t="s">
        <v>1650</v>
      </c>
      <c r="B548" s="2" t="s">
        <v>1650</v>
      </c>
      <c r="C548" s="2" t="s">
        <v>17</v>
      </c>
      <c r="D548" s="2" t="s">
        <v>55</v>
      </c>
      <c r="E548" s="5" t="s">
        <v>1692</v>
      </c>
      <c r="F548" s="3" t="s">
        <v>1693</v>
      </c>
      <c r="G548" s="3" t="s">
        <v>86</v>
      </c>
      <c r="H548" s="2" t="s">
        <v>22</v>
      </c>
      <c r="I548" s="2" t="s">
        <v>1694</v>
      </c>
      <c r="J548" s="3" t="str">
        <f>HYPERLINK("https://www.boe.es/gazeta/dias/1834/07/29/pdfs/GMD-1834-162.pdf#page=2","Abrir facsímil")</f>
        <v>Abrir facsímil</v>
      </c>
      <c r="K548" s="3" t="s">
        <v>24</v>
      </c>
    </row>
    <row r="549" spans="1:11" ht="54" customHeight="1">
      <c r="A549" s="2" t="s">
        <v>1650</v>
      </c>
      <c r="B549" s="2" t="s">
        <v>1650</v>
      </c>
      <c r="C549" s="2" t="s">
        <v>46</v>
      </c>
      <c r="D549" s="2" t="s">
        <v>18</v>
      </c>
      <c r="E549" s="5" t="s">
        <v>1695</v>
      </c>
      <c r="F549" s="3" t="s">
        <v>1696</v>
      </c>
      <c r="G549" s="3" t="s">
        <v>86</v>
      </c>
      <c r="H549" s="2" t="s">
        <v>22</v>
      </c>
      <c r="I549" s="2" t="s">
        <v>1697</v>
      </c>
      <c r="J549" s="3" t="str">
        <f>HYPERLINK("https://www.boe.es/gazeta/dias/1834/06/30/pdfs/GMD-1834-133.pdf#page=2","Abrir facsímil")</f>
        <v>Abrir facsímil</v>
      </c>
      <c r="K549" s="3" t="s">
        <v>24</v>
      </c>
    </row>
    <row r="550" spans="1:11" ht="54" customHeight="1">
      <c r="A550" s="2" t="s">
        <v>1698</v>
      </c>
      <c r="B550" s="2" t="s">
        <v>1698</v>
      </c>
      <c r="C550" s="2" t="s">
        <v>46</v>
      </c>
      <c r="D550" s="2" t="s">
        <v>55</v>
      </c>
      <c r="E550" s="5" t="s">
        <v>1575</v>
      </c>
      <c r="F550" s="3" t="s">
        <v>1576</v>
      </c>
      <c r="G550" s="3" t="s">
        <v>86</v>
      </c>
      <c r="H550" s="2" t="s">
        <v>22</v>
      </c>
      <c r="I550" s="2" t="s">
        <v>1699</v>
      </c>
      <c r="J550" s="3" t="str">
        <f>HYPERLINK("https://www.boe.es/gazeta/dias/1834/11/24/pdfs/GMD-1834-283.pdf#page=2","Abrir facsímil")</f>
        <v>Abrir facsímil</v>
      </c>
      <c r="K550" s="3" t="s">
        <v>24</v>
      </c>
    </row>
    <row r="551" spans="1:11" ht="54" customHeight="1">
      <c r="A551" s="2" t="s">
        <v>1700</v>
      </c>
      <c r="B551" s="2" t="s">
        <v>1700</v>
      </c>
      <c r="C551" s="2" t="s">
        <v>46</v>
      </c>
      <c r="D551" s="2" t="s">
        <v>18</v>
      </c>
      <c r="E551" s="5" t="s">
        <v>1297</v>
      </c>
      <c r="F551" s="3" t="s">
        <v>1298</v>
      </c>
      <c r="G551" s="3" t="s">
        <v>34</v>
      </c>
      <c r="H551" s="2" t="s">
        <v>22</v>
      </c>
      <c r="I551" s="2" t="s">
        <v>1701</v>
      </c>
      <c r="J551" s="3" t="str">
        <f>HYPERLINK("https://www.boe.es/gazeta/dias/1834/08/01/pdfs/GMD-1834-165.pdf#page=1","Abrir facsímil")</f>
        <v>Abrir facsímil</v>
      </c>
      <c r="K551" s="3" t="s">
        <v>24</v>
      </c>
    </row>
    <row r="552" spans="1:11" ht="54" customHeight="1">
      <c r="A552" s="2" t="s">
        <v>1700</v>
      </c>
      <c r="B552" s="2" t="s">
        <v>1700</v>
      </c>
      <c r="C552" s="2" t="s">
        <v>122</v>
      </c>
      <c r="D552" s="2" t="s">
        <v>55</v>
      </c>
      <c r="E552" s="5" t="s">
        <v>1689</v>
      </c>
      <c r="F552" s="3" t="s">
        <v>1690</v>
      </c>
      <c r="G552" s="3" t="s">
        <v>21</v>
      </c>
      <c r="H552" s="2" t="s">
        <v>22</v>
      </c>
      <c r="I552" s="2" t="s">
        <v>1702</v>
      </c>
      <c r="J552" s="3" t="str">
        <f>HYPERLINK("https://www.boe.es/gazeta/dias/1834/07/28/pdfs/GMD-1834-161.pdf#page=3","Abrir facsímil")</f>
        <v>Abrir facsímil</v>
      </c>
      <c r="K552" s="3" t="s">
        <v>24</v>
      </c>
    </row>
    <row r="553" spans="1:11" ht="54" customHeight="1">
      <c r="A553" s="2" t="s">
        <v>1703</v>
      </c>
      <c r="B553" s="2" t="s">
        <v>1703</v>
      </c>
      <c r="C553" s="2" t="s">
        <v>90</v>
      </c>
      <c r="D553" s="2" t="s">
        <v>101</v>
      </c>
      <c r="E553" s="5" t="s">
        <v>1704</v>
      </c>
      <c r="F553" s="3" t="s">
        <v>1705</v>
      </c>
      <c r="G553" s="3" t="s">
        <v>21</v>
      </c>
      <c r="H553" s="2" t="s">
        <v>22</v>
      </c>
      <c r="I553" s="2" t="s">
        <v>1706</v>
      </c>
      <c r="J553" s="3" t="str">
        <f>HYPERLINK("https://www.boe.es/gazeta/dias/1834/12/02/pdfs/GMD-1834-291.pdf#page=3","Abrir facsímil")</f>
        <v>Abrir facsímil</v>
      </c>
      <c r="K553" s="3" t="s">
        <v>24</v>
      </c>
    </row>
    <row r="554" spans="1:11" ht="54" customHeight="1">
      <c r="A554" s="2" t="s">
        <v>1707</v>
      </c>
      <c r="B554" s="2" t="s">
        <v>1707</v>
      </c>
      <c r="C554" s="2" t="s">
        <v>17</v>
      </c>
      <c r="D554" s="2" t="s">
        <v>18</v>
      </c>
      <c r="E554" s="5" t="s">
        <v>1708</v>
      </c>
      <c r="F554" s="3" t="s">
        <v>1709</v>
      </c>
      <c r="G554" s="3" t="s">
        <v>28</v>
      </c>
      <c r="H554" s="2" t="s">
        <v>22</v>
      </c>
      <c r="I554" s="2" t="s">
        <v>1710</v>
      </c>
      <c r="J554" s="3" t="str">
        <f>HYPERLINK("https://www.boe.es/gazeta/dias/1834/04/12/pdfs/GMD-1834-51.pdf#page=5","Abrir facsímil")</f>
        <v>Abrir facsímil</v>
      </c>
      <c r="K554" s="3" t="s">
        <v>24</v>
      </c>
    </row>
    <row r="555" spans="1:11" ht="54" customHeight="1">
      <c r="A555" s="2" t="s">
        <v>1711</v>
      </c>
      <c r="B555" s="2" t="s">
        <v>1712</v>
      </c>
      <c r="C555" s="2" t="s">
        <v>17</v>
      </c>
      <c r="D555" s="2" t="s">
        <v>18</v>
      </c>
      <c r="E555" s="5" t="s">
        <v>563</v>
      </c>
      <c r="F555" s="3" t="s">
        <v>564</v>
      </c>
      <c r="G555" s="3" t="s">
        <v>34</v>
      </c>
      <c r="H555" s="2" t="s">
        <v>22</v>
      </c>
      <c r="I555" s="2" t="s">
        <v>1713</v>
      </c>
      <c r="J555" s="3" t="str">
        <f>HYPERLINK("https://www.boe.es/gazeta/dias/1834/04/19/pdfs/GMD-1834-58.pdf#page=1","Abrir facsímil")</f>
        <v>Abrir facsímil</v>
      </c>
      <c r="K555" s="3" t="s">
        <v>24</v>
      </c>
    </row>
    <row r="556" spans="1:11" ht="54" customHeight="1">
      <c r="A556" s="2" t="s">
        <v>1714</v>
      </c>
      <c r="B556" s="2" t="s">
        <v>1714</v>
      </c>
      <c r="C556" s="2" t="s">
        <v>17</v>
      </c>
      <c r="D556" s="2" t="s">
        <v>18</v>
      </c>
      <c r="E556" s="5" t="s">
        <v>187</v>
      </c>
      <c r="F556" s="3" t="s">
        <v>1715</v>
      </c>
      <c r="G556" s="3" t="s">
        <v>34</v>
      </c>
      <c r="H556" s="2" t="s">
        <v>22</v>
      </c>
      <c r="I556" s="2" t="s">
        <v>1716</v>
      </c>
      <c r="J556" s="3" t="str">
        <f>HYPERLINK("https://www.boe.es/gazeta/dias/1834/09/30/pdfs/GMD-C-1834-228.pdf#page=1","Abrir facsímil")</f>
        <v>Abrir facsímil</v>
      </c>
      <c r="K556" s="3" t="s">
        <v>24</v>
      </c>
    </row>
    <row r="557" spans="1:11" ht="54" customHeight="1">
      <c r="A557" s="2" t="s">
        <v>1717</v>
      </c>
      <c r="B557" s="2" t="s">
        <v>1718</v>
      </c>
      <c r="C557" s="2" t="s">
        <v>17</v>
      </c>
      <c r="D557" s="2" t="s">
        <v>40</v>
      </c>
      <c r="E557" s="5" t="s">
        <v>183</v>
      </c>
      <c r="F557" s="3" t="s">
        <v>184</v>
      </c>
      <c r="G557" s="3" t="s">
        <v>75</v>
      </c>
      <c r="H557" s="2" t="s">
        <v>22</v>
      </c>
      <c r="I557" s="2" t="s">
        <v>1719</v>
      </c>
      <c r="J557" s="3" t="str">
        <f>HYPERLINK("https://www.boe.es/gazeta/dias/1834/03/18/pdfs/GMD-1834-34.pdf#page=4","Abrir facsímil")</f>
        <v>Abrir facsímil</v>
      </c>
      <c r="K557" s="3" t="s">
        <v>24</v>
      </c>
    </row>
    <row r="558" spans="1:11" ht="54" customHeight="1">
      <c r="A558" s="2" t="s">
        <v>1720</v>
      </c>
      <c r="B558" s="2" t="s">
        <v>1721</v>
      </c>
      <c r="C558" s="2" t="s">
        <v>66</v>
      </c>
      <c r="D558" s="2" t="s">
        <v>67</v>
      </c>
      <c r="E558" s="5" t="s">
        <v>919</v>
      </c>
      <c r="F558" s="3" t="s">
        <v>920</v>
      </c>
      <c r="G558" s="3" t="s">
        <v>86</v>
      </c>
      <c r="H558" s="2" t="s">
        <v>22</v>
      </c>
      <c r="I558" s="2" t="s">
        <v>1722</v>
      </c>
      <c r="J558" s="3" t="str">
        <f>HYPERLINK("https://www.boe.es/gazeta/dias/1834/06/24/pdfs/GMD-1834-127.pdf#page=2","Abrir facsímil")</f>
        <v>Abrir facsímil</v>
      </c>
      <c r="K558" s="3" t="s">
        <v>24</v>
      </c>
    </row>
    <row r="559" spans="1:11" ht="54" customHeight="1">
      <c r="A559" s="2" t="s">
        <v>1723</v>
      </c>
      <c r="B559" s="2" t="s">
        <v>1724</v>
      </c>
      <c r="C559" s="2" t="s">
        <v>17</v>
      </c>
      <c r="D559" s="2" t="s">
        <v>18</v>
      </c>
      <c r="E559" s="5" t="s">
        <v>96</v>
      </c>
      <c r="F559" s="3" t="s">
        <v>1725</v>
      </c>
      <c r="G559" s="3" t="s">
        <v>75</v>
      </c>
      <c r="H559" s="2" t="s">
        <v>22</v>
      </c>
      <c r="I559" s="2" t="s">
        <v>1726</v>
      </c>
      <c r="J559" s="3" t="str">
        <f>HYPERLINK("https://www.boe.es/gazeta/dias/1834/11/11/pdfs/GMD-1834-270.pdf#page=4","Abrir facsímil")</f>
        <v>Abrir facsímil</v>
      </c>
      <c r="K559" s="3" t="s">
        <v>24</v>
      </c>
    </row>
    <row r="560" spans="1:11" ht="54" customHeight="1">
      <c r="A560" s="2" t="s">
        <v>1727</v>
      </c>
      <c r="B560" s="2" t="s">
        <v>1728</v>
      </c>
      <c r="C560" s="2" t="s">
        <v>17</v>
      </c>
      <c r="D560" s="2" t="s">
        <v>18</v>
      </c>
      <c r="E560" s="5" t="s">
        <v>1641</v>
      </c>
      <c r="F560" s="3" t="s">
        <v>1729</v>
      </c>
      <c r="G560" s="3" t="s">
        <v>75</v>
      </c>
      <c r="H560" s="2" t="s">
        <v>22</v>
      </c>
      <c r="I560" s="2" t="s">
        <v>1730</v>
      </c>
      <c r="J560" s="3" t="str">
        <f>HYPERLINK("https://www.boe.es/gazeta/dias/1834/09/28/pdfs/GMD-1834-226.pdf#page=4","Abrir facsímil")</f>
        <v>Abrir facsímil</v>
      </c>
      <c r="K560" s="3" t="s">
        <v>24</v>
      </c>
    </row>
    <row r="561" spans="1:11" ht="54" customHeight="1">
      <c r="A561" s="2" t="s">
        <v>1731</v>
      </c>
      <c r="B561" s="2" t="s">
        <v>1732</v>
      </c>
      <c r="C561" s="2" t="s">
        <v>17</v>
      </c>
      <c r="D561" s="2" t="s">
        <v>18</v>
      </c>
      <c r="E561" s="5" t="s">
        <v>1572</v>
      </c>
      <c r="F561" s="3" t="s">
        <v>1573</v>
      </c>
      <c r="G561" s="3" t="s">
        <v>75</v>
      </c>
      <c r="H561" s="2" t="s">
        <v>35</v>
      </c>
      <c r="I561" s="2" t="s">
        <v>1733</v>
      </c>
      <c r="J561" s="3" t="str">
        <f>HYPERLINK("https://www.boe.es/gazeta/dias/1834/03/20/pdfs/GMD-1834-35.pdf#page=4","Abrir facsímil")</f>
        <v>Abrir facsímil</v>
      </c>
      <c r="K561" s="3" t="s">
        <v>37</v>
      </c>
    </row>
    <row r="562" spans="1:11" ht="54" customHeight="1">
      <c r="A562" s="2" t="s">
        <v>1734</v>
      </c>
      <c r="B562" s="2" t="s">
        <v>1735</v>
      </c>
      <c r="C562" s="2" t="s">
        <v>66</v>
      </c>
      <c r="D562" s="2" t="s">
        <v>18</v>
      </c>
      <c r="E562" s="5" t="s">
        <v>719</v>
      </c>
      <c r="F562" s="3" t="s">
        <v>720</v>
      </c>
      <c r="G562" s="3" t="s">
        <v>21</v>
      </c>
      <c r="H562" s="2" t="s">
        <v>22</v>
      </c>
      <c r="I562" s="2" t="s">
        <v>1736</v>
      </c>
      <c r="J562" s="3" t="str">
        <f>HYPERLINK("https://www.boe.es/gazeta/dias/1834/04/29/pdfs/GMD-1834-68.pdf#page=3","Abrir facsímil")</f>
        <v>Abrir facsímil</v>
      </c>
      <c r="K562" s="3" t="s">
        <v>24</v>
      </c>
    </row>
    <row r="563" spans="1:11" ht="54" customHeight="1">
      <c r="A563" s="2" t="s">
        <v>1737</v>
      </c>
      <c r="B563" s="2" t="s">
        <v>1738</v>
      </c>
      <c r="C563" s="2" t="s">
        <v>17</v>
      </c>
      <c r="D563" s="2" t="s">
        <v>18</v>
      </c>
      <c r="E563" s="5" t="s">
        <v>309</v>
      </c>
      <c r="F563" s="3" t="s">
        <v>310</v>
      </c>
      <c r="G563" s="3" t="s">
        <v>34</v>
      </c>
      <c r="H563" s="2" t="s">
        <v>22</v>
      </c>
      <c r="I563" s="2" t="s">
        <v>1739</v>
      </c>
      <c r="J563" s="3" t="str">
        <f>HYPERLINK("https://www.boe.es/gazeta/dias/1834/05/30/pdfs/GMD-1834-99.pdf#page=1","Abrir facsímil")</f>
        <v>Abrir facsímil</v>
      </c>
      <c r="K563" s="3" t="s">
        <v>24</v>
      </c>
    </row>
    <row r="564" spans="1:11" ht="54" customHeight="1">
      <c r="A564" s="2" t="s">
        <v>1740</v>
      </c>
      <c r="B564" s="2" t="s">
        <v>1741</v>
      </c>
      <c r="C564" s="2" t="s">
        <v>17</v>
      </c>
      <c r="D564" s="2" t="s">
        <v>40</v>
      </c>
      <c r="E564" s="5" t="s">
        <v>1742</v>
      </c>
      <c r="F564" s="3" t="s">
        <v>1743</v>
      </c>
      <c r="G564" s="3" t="s">
        <v>75</v>
      </c>
      <c r="H564" s="2" t="s">
        <v>22</v>
      </c>
      <c r="I564" s="2" t="s">
        <v>1744</v>
      </c>
      <c r="J564" s="3" t="str">
        <f>HYPERLINK("https://www.boe.es/gazeta/dias/1834/11/06/pdfs/GMD-1834-265.pdf#page=4","Abrir facsímil")</f>
        <v>Abrir facsímil</v>
      </c>
      <c r="K564" s="3" t="s">
        <v>24</v>
      </c>
    </row>
    <row r="565" spans="1:11" ht="54" customHeight="1">
      <c r="A565" s="2" t="s">
        <v>1745</v>
      </c>
      <c r="B565" s="2" t="s">
        <v>1746</v>
      </c>
      <c r="C565" s="2" t="s">
        <v>90</v>
      </c>
      <c r="D565" s="2" t="s">
        <v>67</v>
      </c>
      <c r="E565" s="5" t="s">
        <v>1747</v>
      </c>
      <c r="F565" s="3" t="s">
        <v>1748</v>
      </c>
      <c r="G565" s="3" t="s">
        <v>34</v>
      </c>
      <c r="H565" s="2" t="s">
        <v>22</v>
      </c>
      <c r="I565" s="2" t="s">
        <v>1749</v>
      </c>
      <c r="J565" s="3" t="str">
        <f>HYPERLINK("https://www.boe.es/gazeta/dias/1834/06/29/pdfs/GMD-1834-132.pdf#page=1","Abrir facsímil")</f>
        <v>Abrir facsímil</v>
      </c>
      <c r="K565" s="3" t="s">
        <v>24</v>
      </c>
    </row>
    <row r="566" spans="1:11" ht="54" customHeight="1">
      <c r="A566" s="2" t="s">
        <v>1750</v>
      </c>
      <c r="B566" s="2" t="s">
        <v>1751</v>
      </c>
      <c r="C566" s="2" t="s">
        <v>17</v>
      </c>
      <c r="D566" s="2" t="s">
        <v>18</v>
      </c>
      <c r="E566" s="5" t="s">
        <v>1572</v>
      </c>
      <c r="F566" s="3" t="s">
        <v>1573</v>
      </c>
      <c r="G566" s="3" t="s">
        <v>75</v>
      </c>
      <c r="H566" s="2" t="s">
        <v>22</v>
      </c>
      <c r="I566" s="2" t="s">
        <v>1752</v>
      </c>
      <c r="J566" s="3" t="str">
        <f>HYPERLINK("https://www.boe.es/gazeta/dias/1834/03/20/pdfs/GMD-1834-35.pdf#page=4","Abrir facsímil")</f>
        <v>Abrir facsímil</v>
      </c>
      <c r="K566" s="3" t="s">
        <v>24</v>
      </c>
    </row>
    <row r="567" spans="1:11" ht="54" customHeight="1">
      <c r="A567" s="2" t="s">
        <v>1753</v>
      </c>
      <c r="B567" s="2" t="s">
        <v>1754</v>
      </c>
      <c r="C567" s="2" t="s">
        <v>66</v>
      </c>
      <c r="D567" s="2" t="s">
        <v>67</v>
      </c>
      <c r="E567" s="5" t="s">
        <v>860</v>
      </c>
      <c r="F567" s="3" t="s">
        <v>1755</v>
      </c>
      <c r="G567" s="3" t="s">
        <v>34</v>
      </c>
      <c r="H567" s="2" t="s">
        <v>22</v>
      </c>
      <c r="I567" s="2" t="s">
        <v>1756</v>
      </c>
      <c r="J567" s="3" t="str">
        <f>HYPERLINK("https://www.boe.es/gazeta/dias/1834/02/08/pdfs/GMD-C-1834-18.pdf#page=1","Abrir facsímil")</f>
        <v>Abrir facsímil</v>
      </c>
      <c r="K567" s="3" t="s">
        <v>24</v>
      </c>
    </row>
    <row r="568" spans="1:11" ht="54" customHeight="1">
      <c r="A568" s="2" t="s">
        <v>1757</v>
      </c>
      <c r="B568" s="2" t="s">
        <v>1758</v>
      </c>
      <c r="C568" s="2" t="s">
        <v>90</v>
      </c>
      <c r="D568" s="2" t="s">
        <v>101</v>
      </c>
      <c r="E568" s="5" t="s">
        <v>158</v>
      </c>
      <c r="F568" s="3" t="s">
        <v>159</v>
      </c>
      <c r="G568" s="3" t="s">
        <v>21</v>
      </c>
      <c r="H568" s="2" t="s">
        <v>22</v>
      </c>
      <c r="I568" s="2" t="s">
        <v>1759</v>
      </c>
      <c r="J568" s="3" t="str">
        <f>HYPERLINK("https://www.boe.es/gazeta/dias/1834/10/01/pdfs/GMD-1834-229.pdf#page=3","Abrir facsímil")</f>
        <v>Abrir facsímil</v>
      </c>
      <c r="K568" s="3" t="s">
        <v>24</v>
      </c>
    </row>
    <row r="569" spans="1:11" ht="54" customHeight="1">
      <c r="A569" s="2" t="s">
        <v>1760</v>
      </c>
      <c r="B569" s="2" t="s">
        <v>1761</v>
      </c>
      <c r="C569" s="2" t="s">
        <v>17</v>
      </c>
      <c r="D569" s="2" t="s">
        <v>18</v>
      </c>
      <c r="E569" s="5" t="s">
        <v>1186</v>
      </c>
      <c r="F569" s="3" t="s">
        <v>1187</v>
      </c>
      <c r="G569" s="3" t="s">
        <v>21</v>
      </c>
      <c r="H569" s="2" t="s">
        <v>22</v>
      </c>
      <c r="I569" s="2" t="s">
        <v>1762</v>
      </c>
      <c r="J569" s="3" t="str">
        <f>HYPERLINK("https://www.boe.es/gazeta/dias/1834/08/14/pdfs/GMD-1834-179.pdf#page=3","Abrir facsímil")</f>
        <v>Abrir facsímil</v>
      </c>
      <c r="K569" s="3" t="s">
        <v>24</v>
      </c>
    </row>
    <row r="570" spans="1:11" ht="54" customHeight="1">
      <c r="A570" s="2" t="s">
        <v>1763</v>
      </c>
      <c r="B570" s="2" t="s">
        <v>1763</v>
      </c>
      <c r="C570" s="2" t="s">
        <v>17</v>
      </c>
      <c r="D570" s="2" t="s">
        <v>55</v>
      </c>
      <c r="E570" s="5" t="s">
        <v>56</v>
      </c>
      <c r="F570" s="3" t="s">
        <v>57</v>
      </c>
      <c r="G570" s="3" t="s">
        <v>21</v>
      </c>
      <c r="H570" s="2" t="s">
        <v>22</v>
      </c>
      <c r="I570" s="2" t="s">
        <v>1764</v>
      </c>
      <c r="J570" s="3" t="str">
        <f>HYPERLINK("https://www.boe.es/gazeta/dias/1834/07/09/pdfs/GMD-1834-142.pdf#page=3","Abrir facsímil")</f>
        <v>Abrir facsímil</v>
      </c>
      <c r="K570" s="3" t="s">
        <v>24</v>
      </c>
    </row>
    <row r="571" spans="1:11" ht="54" customHeight="1">
      <c r="A571" s="2" t="s">
        <v>1763</v>
      </c>
      <c r="B571" s="2" t="s">
        <v>1763</v>
      </c>
      <c r="C571" s="2" t="s">
        <v>17</v>
      </c>
      <c r="D571" s="2" t="s">
        <v>55</v>
      </c>
      <c r="E571" s="5" t="s">
        <v>1708</v>
      </c>
      <c r="F571" s="3" t="s">
        <v>1709</v>
      </c>
      <c r="G571" s="3" t="s">
        <v>28</v>
      </c>
      <c r="H571" s="2" t="s">
        <v>22</v>
      </c>
      <c r="I571" s="2" t="s">
        <v>1765</v>
      </c>
      <c r="J571" s="3" t="str">
        <f>HYPERLINK("https://www.boe.es/gazeta/dias/1834/04/12/pdfs/GMD-1834-51.pdf#page=5","Abrir facsímil")</f>
        <v>Abrir facsímil</v>
      </c>
      <c r="K571" s="3" t="s">
        <v>24</v>
      </c>
    </row>
    <row r="572" spans="1:11" ht="54" customHeight="1">
      <c r="A572" s="2" t="s">
        <v>1763</v>
      </c>
      <c r="B572" s="2" t="s">
        <v>1763</v>
      </c>
      <c r="C572" s="2" t="s">
        <v>17</v>
      </c>
      <c r="D572" s="2" t="s">
        <v>18</v>
      </c>
      <c r="E572" s="5" t="s">
        <v>1766</v>
      </c>
      <c r="F572" s="3" t="s">
        <v>1767</v>
      </c>
      <c r="G572" s="3" t="s">
        <v>34</v>
      </c>
      <c r="H572" s="2" t="s">
        <v>22</v>
      </c>
      <c r="I572" s="2" t="s">
        <v>1768</v>
      </c>
      <c r="J572" s="3" t="str">
        <f>HYPERLINK("https://www.boe.es/gazeta/dias/1834/10/26/pdfs/GMD-C-1834-254.pdf#page=1","Abrir facsímil")</f>
        <v>Abrir facsímil</v>
      </c>
      <c r="K572" s="3" t="s">
        <v>24</v>
      </c>
    </row>
    <row r="573" spans="1:11" ht="54" customHeight="1">
      <c r="A573" s="2" t="s">
        <v>1769</v>
      </c>
      <c r="B573" s="2" t="s">
        <v>1769</v>
      </c>
      <c r="C573" s="2" t="s">
        <v>17</v>
      </c>
      <c r="D573" s="2" t="s">
        <v>18</v>
      </c>
      <c r="E573" s="5" t="s">
        <v>128</v>
      </c>
      <c r="F573" s="3" t="s">
        <v>129</v>
      </c>
      <c r="G573" s="3" t="s">
        <v>176</v>
      </c>
      <c r="H573" s="2" t="s">
        <v>22</v>
      </c>
      <c r="I573" s="2" t="s">
        <v>1770</v>
      </c>
      <c r="J573" s="3" t="str">
        <f>HYPERLINK("https://www.boe.es/gazeta/dias/1834/12/24/pdfs/GMD-C-1834-314.pdf#page=6","Abrir facsímil")</f>
        <v>Abrir facsímil</v>
      </c>
      <c r="K573" s="3" t="s">
        <v>24</v>
      </c>
    </row>
    <row r="574" spans="1:11" ht="54" customHeight="1">
      <c r="A574" s="2" t="s">
        <v>1771</v>
      </c>
      <c r="B574" s="2" t="s">
        <v>1772</v>
      </c>
      <c r="C574" s="2" t="s">
        <v>17</v>
      </c>
      <c r="D574" s="2" t="s">
        <v>18</v>
      </c>
      <c r="E574" s="5" t="s">
        <v>1773</v>
      </c>
      <c r="F574" s="3" t="s">
        <v>1774</v>
      </c>
      <c r="G574" s="3" t="s">
        <v>21</v>
      </c>
      <c r="H574" s="2" t="s">
        <v>22</v>
      </c>
      <c r="I574" s="2" t="s">
        <v>1775</v>
      </c>
      <c r="J574" s="3" t="str">
        <f>HYPERLINK("https://www.boe.es/gazeta/dias/1834/06/28/pdfs/GMD-1834-131.pdf#page=3","Abrir facsímil")</f>
        <v>Abrir facsímil</v>
      </c>
      <c r="K574" s="3" t="s">
        <v>24</v>
      </c>
    </row>
    <row r="575" spans="1:11" ht="54" customHeight="1">
      <c r="A575" s="2" t="s">
        <v>1776</v>
      </c>
      <c r="B575" s="2" t="s">
        <v>1777</v>
      </c>
      <c r="C575" s="2" t="s">
        <v>66</v>
      </c>
      <c r="D575" s="2" t="s">
        <v>67</v>
      </c>
      <c r="E575" s="5" t="s">
        <v>658</v>
      </c>
      <c r="F575" s="3" t="s">
        <v>659</v>
      </c>
      <c r="G575" s="3" t="s">
        <v>75</v>
      </c>
      <c r="H575" s="2" t="s">
        <v>22</v>
      </c>
      <c r="I575" s="2" t="s">
        <v>1778</v>
      </c>
      <c r="J575" s="3" t="str">
        <f>HYPERLINK("https://www.boe.es/gazeta/dias/1834/05/26/pdfs/GMD-1834-95.pdf#page=4","Abrir facsímil")</f>
        <v>Abrir facsímil</v>
      </c>
      <c r="K575" s="3" t="s">
        <v>24</v>
      </c>
    </row>
    <row r="576" spans="1:11" ht="54" customHeight="1">
      <c r="A576" s="2" t="s">
        <v>1779</v>
      </c>
      <c r="B576" s="2" t="s">
        <v>1780</v>
      </c>
      <c r="C576" s="2" t="s">
        <v>66</v>
      </c>
      <c r="D576" s="2" t="s">
        <v>67</v>
      </c>
      <c r="E576" s="5" t="s">
        <v>637</v>
      </c>
      <c r="F576" s="3" t="s">
        <v>638</v>
      </c>
      <c r="G576" s="3" t="s">
        <v>86</v>
      </c>
      <c r="H576" s="2" t="s">
        <v>22</v>
      </c>
      <c r="I576" s="2" t="s">
        <v>1781</v>
      </c>
      <c r="J576" s="3" t="str">
        <f>HYPERLINK("https://www.boe.es/gazeta/dias/1834/06/03/pdfs/I00469-00470.pdf#page=2","Abrir facsímil")</f>
        <v>Abrir facsímil</v>
      </c>
      <c r="K576" s="3" t="s">
        <v>24</v>
      </c>
    </row>
    <row r="577" spans="1:11" ht="54" customHeight="1">
      <c r="A577" s="2" t="s">
        <v>1779</v>
      </c>
      <c r="B577" s="2" t="s">
        <v>1780</v>
      </c>
      <c r="C577" s="2" t="s">
        <v>66</v>
      </c>
      <c r="D577" s="2" t="s">
        <v>67</v>
      </c>
      <c r="E577" s="5" t="s">
        <v>637</v>
      </c>
      <c r="F577" s="3" t="s">
        <v>638</v>
      </c>
      <c r="G577" s="3" t="s">
        <v>75</v>
      </c>
      <c r="H577" s="2" t="s">
        <v>22</v>
      </c>
      <c r="I577" s="2" t="s">
        <v>1781</v>
      </c>
      <c r="J577" s="3" t="str">
        <f>HYPERLINK("https://www.boe.es/gazeta/dias/1834/06/03/pdfs/GMD-1834-105.pdf#page=4","Abrir facsímil")</f>
        <v>Abrir facsímil</v>
      </c>
      <c r="K577" s="3" t="s">
        <v>24</v>
      </c>
    </row>
    <row r="578" spans="1:11" ht="54" customHeight="1">
      <c r="A578" s="2" t="s">
        <v>1782</v>
      </c>
      <c r="B578" s="2" t="s">
        <v>1782</v>
      </c>
      <c r="C578" s="2" t="s">
        <v>17</v>
      </c>
      <c r="D578" s="2" t="s">
        <v>18</v>
      </c>
      <c r="E578" s="5" t="s">
        <v>556</v>
      </c>
      <c r="F578" s="3" t="s">
        <v>557</v>
      </c>
      <c r="G578" s="3" t="s">
        <v>86</v>
      </c>
      <c r="H578" s="2" t="s">
        <v>22</v>
      </c>
      <c r="I578" s="2" t="s">
        <v>1783</v>
      </c>
      <c r="J578" s="3" t="str">
        <f>HYPERLINK("https://www.boe.es/gazeta/dias/1834/09/13/pdfs/GMD-1834-211.pdf#page=2","Abrir facsímil")</f>
        <v>Abrir facsímil</v>
      </c>
      <c r="K578" s="3" t="s">
        <v>24</v>
      </c>
    </row>
    <row r="579" spans="1:11" ht="54" customHeight="1">
      <c r="A579" s="2" t="s">
        <v>1784</v>
      </c>
      <c r="B579" s="2" t="s">
        <v>1785</v>
      </c>
      <c r="C579" s="2" t="s">
        <v>17</v>
      </c>
      <c r="D579" s="2" t="s">
        <v>18</v>
      </c>
      <c r="E579" s="5" t="s">
        <v>556</v>
      </c>
      <c r="F579" s="3" t="s">
        <v>557</v>
      </c>
      <c r="G579" s="3" t="s">
        <v>86</v>
      </c>
      <c r="H579" s="2" t="s">
        <v>22</v>
      </c>
      <c r="I579" s="2" t="s">
        <v>1786</v>
      </c>
      <c r="J579" s="3" t="str">
        <f>HYPERLINK("https://www.boe.es/gazeta/dias/1834/09/13/pdfs/GMD-1834-211.pdf#page=2","Abrir facsímil")</f>
        <v>Abrir facsímil</v>
      </c>
      <c r="K579" s="3" t="s">
        <v>24</v>
      </c>
    </row>
    <row r="580" spans="1:11" ht="54" customHeight="1">
      <c r="A580" s="2" t="s">
        <v>1787</v>
      </c>
      <c r="B580" s="2" t="s">
        <v>1788</v>
      </c>
      <c r="C580" s="2" t="s">
        <v>17</v>
      </c>
      <c r="D580" s="2" t="s">
        <v>40</v>
      </c>
      <c r="E580" s="5" t="s">
        <v>1789</v>
      </c>
      <c r="F580" s="3" t="s">
        <v>1790</v>
      </c>
      <c r="G580" s="3" t="s">
        <v>75</v>
      </c>
      <c r="H580" s="2" t="s">
        <v>22</v>
      </c>
      <c r="I580" s="2" t="s">
        <v>1791</v>
      </c>
      <c r="J580" s="3" t="str">
        <f>HYPERLINK("https://www.boe.es/gazeta/dias/1834/05/31/pdfs/GMD-1834-100.pdf#page=4","Abrir facsímil")</f>
        <v>Abrir facsímil</v>
      </c>
      <c r="K580" s="3" t="s">
        <v>24</v>
      </c>
    </row>
    <row r="581" spans="1:11" ht="54" customHeight="1">
      <c r="A581" s="2" t="s">
        <v>1792</v>
      </c>
      <c r="B581" s="2" t="s">
        <v>1793</v>
      </c>
      <c r="C581" s="2" t="s">
        <v>66</v>
      </c>
      <c r="D581" s="2" t="s">
        <v>18</v>
      </c>
      <c r="E581" s="5" t="s">
        <v>19</v>
      </c>
      <c r="F581" s="3" t="s">
        <v>107</v>
      </c>
      <c r="G581" s="3" t="s">
        <v>21</v>
      </c>
      <c r="H581" s="2" t="s">
        <v>22</v>
      </c>
      <c r="I581" s="2" t="s">
        <v>1794</v>
      </c>
      <c r="J581" s="3" t="str">
        <f>HYPERLINK("https://www.boe.es/gazeta/dias/1834/08/17/pdfs/GMD-1834-182.pdf#page=3","Abrir facsímil")</f>
        <v>Abrir facsímil</v>
      </c>
      <c r="K581" s="3" t="s">
        <v>24</v>
      </c>
    </row>
    <row r="582" spans="1:11" ht="54" customHeight="1">
      <c r="A582" s="2" t="s">
        <v>1795</v>
      </c>
      <c r="B582" s="2" t="s">
        <v>1796</v>
      </c>
      <c r="C582" s="2" t="s">
        <v>66</v>
      </c>
      <c r="D582" s="2" t="s">
        <v>67</v>
      </c>
      <c r="E582" s="5" t="s">
        <v>1742</v>
      </c>
      <c r="F582" s="3" t="s">
        <v>1743</v>
      </c>
      <c r="G582" s="3" t="s">
        <v>75</v>
      </c>
      <c r="H582" s="2" t="s">
        <v>22</v>
      </c>
      <c r="I582" s="2" t="s">
        <v>1797</v>
      </c>
      <c r="J582" s="3" t="str">
        <f>HYPERLINK("https://www.boe.es/gazeta/dias/1834/11/06/pdfs/GMD-1834-265.pdf#page=4","Abrir facsímil")</f>
        <v>Abrir facsímil</v>
      </c>
      <c r="K582" s="3" t="s">
        <v>24</v>
      </c>
    </row>
    <row r="583" spans="1:11" ht="54" customHeight="1">
      <c r="A583" s="2" t="s">
        <v>1798</v>
      </c>
      <c r="B583" s="2" t="s">
        <v>1799</v>
      </c>
      <c r="C583" s="2" t="s">
        <v>17</v>
      </c>
      <c r="D583" s="2" t="s">
        <v>40</v>
      </c>
      <c r="E583" s="5" t="s">
        <v>576</v>
      </c>
      <c r="F583" s="3" t="s">
        <v>577</v>
      </c>
      <c r="G583" s="3" t="s">
        <v>75</v>
      </c>
      <c r="H583" s="2" t="s">
        <v>22</v>
      </c>
      <c r="I583" s="2" t="s">
        <v>1800</v>
      </c>
      <c r="J583" s="3" t="str">
        <f>HYPERLINK("https://www.boe.es/gazeta/dias/1834/09/23/pdfs/GMD-1834-221.pdf#page=4","Abrir facsímil")</f>
        <v>Abrir facsímil</v>
      </c>
      <c r="K583" s="3" t="s">
        <v>24</v>
      </c>
    </row>
    <row r="584" spans="1:11" ht="54" customHeight="1">
      <c r="A584" s="2" t="s">
        <v>1801</v>
      </c>
      <c r="B584" s="2" t="s">
        <v>1802</v>
      </c>
      <c r="C584" s="2" t="s">
        <v>17</v>
      </c>
      <c r="D584" s="2" t="s">
        <v>40</v>
      </c>
      <c r="E584" s="5" t="s">
        <v>343</v>
      </c>
      <c r="F584" s="3" t="s">
        <v>344</v>
      </c>
      <c r="G584" s="3" t="s">
        <v>75</v>
      </c>
      <c r="H584" s="2" t="s">
        <v>22</v>
      </c>
      <c r="I584" s="2" t="s">
        <v>1803</v>
      </c>
      <c r="J584" s="3" t="str">
        <f>HYPERLINK("https://www.boe.es/gazeta/dias/1834/01/14/pdfs/GMD-1834-7.pdf#page=4","Abrir facsímil")</f>
        <v>Abrir facsímil</v>
      </c>
      <c r="K584" s="3" t="s">
        <v>24</v>
      </c>
    </row>
    <row r="585" spans="1:11" ht="54" customHeight="1">
      <c r="A585" s="2" t="s">
        <v>1804</v>
      </c>
      <c r="B585" s="2" t="s">
        <v>1805</v>
      </c>
      <c r="C585" s="2" t="s">
        <v>17</v>
      </c>
      <c r="D585" s="2" t="s">
        <v>55</v>
      </c>
      <c r="E585" s="5" t="s">
        <v>1742</v>
      </c>
      <c r="F585" s="3" t="s">
        <v>1743</v>
      </c>
      <c r="G585" s="3" t="s">
        <v>75</v>
      </c>
      <c r="H585" s="2" t="s">
        <v>22</v>
      </c>
      <c r="I585" s="2" t="s">
        <v>1806</v>
      </c>
      <c r="J585" s="3" t="str">
        <f>HYPERLINK("https://www.boe.es/gazeta/dias/1834/11/06/pdfs/GMD-1834-265.pdf#page=4","Abrir facsímil")</f>
        <v>Abrir facsímil</v>
      </c>
      <c r="K585" s="3" t="s">
        <v>24</v>
      </c>
    </row>
    <row r="586" spans="1:11" ht="54" customHeight="1">
      <c r="A586" s="2" t="s">
        <v>1807</v>
      </c>
      <c r="B586" s="2" t="s">
        <v>1807</v>
      </c>
      <c r="C586" s="2" t="s">
        <v>46</v>
      </c>
      <c r="D586" s="2" t="s">
        <v>18</v>
      </c>
      <c r="E586" s="5" t="s">
        <v>1025</v>
      </c>
      <c r="F586" s="3" t="s">
        <v>1026</v>
      </c>
      <c r="G586" s="3" t="s">
        <v>21</v>
      </c>
      <c r="H586" s="2" t="s">
        <v>22</v>
      </c>
      <c r="I586" s="2" t="s">
        <v>1808</v>
      </c>
      <c r="J586" s="3" t="str">
        <f>HYPERLINK("https://www.boe.es/gazeta/dias/1834/03/01/pdfs/GMD-1834-27.pdf#page=3","Abrir facsímil")</f>
        <v>Abrir facsímil</v>
      </c>
      <c r="K586" s="3" t="s">
        <v>24</v>
      </c>
    </row>
    <row r="587" spans="1:11" ht="54" customHeight="1">
      <c r="A587" s="2" t="s">
        <v>1807</v>
      </c>
      <c r="B587" s="2" t="s">
        <v>1807</v>
      </c>
      <c r="C587" s="2" t="s">
        <v>122</v>
      </c>
      <c r="D587" s="2" t="s">
        <v>40</v>
      </c>
      <c r="E587" s="5" t="s">
        <v>1333</v>
      </c>
      <c r="F587" s="3" t="s">
        <v>1334</v>
      </c>
      <c r="G587" s="3" t="s">
        <v>176</v>
      </c>
      <c r="H587" s="2" t="s">
        <v>22</v>
      </c>
      <c r="I587" s="2" t="s">
        <v>1809</v>
      </c>
      <c r="J587" s="3" t="str">
        <f>HYPERLINK("https://www.boe.es/gazeta/dias/1834/04/01/pdfs/GMD-1834-40.pdf#page=6","Abrir facsímil")</f>
        <v>Abrir facsímil</v>
      </c>
      <c r="K587" s="3" t="s">
        <v>24</v>
      </c>
    </row>
    <row r="588" spans="1:11" ht="54" customHeight="1">
      <c r="A588" s="2" t="s">
        <v>1807</v>
      </c>
      <c r="B588" s="2" t="s">
        <v>1807</v>
      </c>
      <c r="C588" s="2" t="s">
        <v>46</v>
      </c>
      <c r="D588" s="2" t="s">
        <v>18</v>
      </c>
      <c r="E588" s="5" t="s">
        <v>233</v>
      </c>
      <c r="F588" s="3" t="s">
        <v>1810</v>
      </c>
      <c r="G588" s="3" t="s">
        <v>1343</v>
      </c>
      <c r="H588" s="2" t="s">
        <v>22</v>
      </c>
      <c r="I588" s="2" t="s">
        <v>1811</v>
      </c>
      <c r="J588" s="3" t="str">
        <f>HYPERLINK("https://www.boe.es/gazeta/dias/1834/12/16/pdfs/GMD-C-1834-305.pdf#page=9","Abrir facsímil")</f>
        <v>Abrir facsímil</v>
      </c>
      <c r="K588" s="3" t="s">
        <v>24</v>
      </c>
    </row>
    <row r="589" spans="1:11" ht="54" customHeight="1">
      <c r="A589" s="2" t="s">
        <v>1807</v>
      </c>
      <c r="B589" s="2" t="s">
        <v>1807</v>
      </c>
      <c r="C589" s="2" t="s">
        <v>46</v>
      </c>
      <c r="D589" s="2" t="s">
        <v>101</v>
      </c>
      <c r="E589" s="5" t="s">
        <v>1812</v>
      </c>
      <c r="F589" s="3" t="s">
        <v>1813</v>
      </c>
      <c r="G589" s="3" t="s">
        <v>21</v>
      </c>
      <c r="H589" s="2" t="s">
        <v>22</v>
      </c>
      <c r="I589" s="2" t="s">
        <v>1814</v>
      </c>
      <c r="J589" s="3" t="str">
        <f>HYPERLINK("https://www.boe.es/gazeta/dias/1834/10/23/pdfs/GMD-1834-251.pdf#page=3","Abrir facsímil")</f>
        <v>Abrir facsímil</v>
      </c>
      <c r="K589" s="3" t="s">
        <v>24</v>
      </c>
    </row>
    <row r="590" spans="1:11" ht="54" customHeight="1">
      <c r="A590" s="2" t="s">
        <v>1807</v>
      </c>
      <c r="B590" s="2" t="s">
        <v>1807</v>
      </c>
      <c r="C590" s="2" t="s">
        <v>17</v>
      </c>
      <c r="D590" s="2" t="s">
        <v>40</v>
      </c>
      <c r="E590" s="5" t="s">
        <v>803</v>
      </c>
      <c r="F590" s="3" t="s">
        <v>804</v>
      </c>
      <c r="G590" s="3" t="s">
        <v>75</v>
      </c>
      <c r="H590" s="2" t="s">
        <v>22</v>
      </c>
      <c r="I590" s="2" t="s">
        <v>1815</v>
      </c>
      <c r="J590" s="3" t="str">
        <f>HYPERLINK("https://www.boe.es/gazeta/dias/1834/03/29/pdfs/GMD-1834-39.pdf#page=4","Abrir facsímil")</f>
        <v>Abrir facsímil</v>
      </c>
      <c r="K590" s="3" t="s">
        <v>24</v>
      </c>
    </row>
    <row r="591" spans="1:11" ht="54" customHeight="1">
      <c r="A591" s="2" t="s">
        <v>1816</v>
      </c>
      <c r="B591" s="2" t="s">
        <v>1817</v>
      </c>
      <c r="C591" s="2" t="s">
        <v>90</v>
      </c>
      <c r="D591" s="2" t="s">
        <v>55</v>
      </c>
      <c r="E591" s="5" t="s">
        <v>200</v>
      </c>
      <c r="F591" s="3" t="s">
        <v>201</v>
      </c>
      <c r="G591" s="3" t="s">
        <v>21</v>
      </c>
      <c r="H591" s="2" t="s">
        <v>22</v>
      </c>
      <c r="I591" s="2" t="s">
        <v>1818</v>
      </c>
      <c r="J591" s="3" t="str">
        <f>HYPERLINK("https://www.boe.es/gazeta/dias/1834/12/11/pdfs/GMD-1834-300.pdf#page=3","Abrir facsímil")</f>
        <v>Abrir facsímil</v>
      </c>
      <c r="K591" s="3" t="s">
        <v>24</v>
      </c>
    </row>
    <row r="592" spans="1:11" ht="54" customHeight="1">
      <c r="A592" s="2" t="s">
        <v>1819</v>
      </c>
      <c r="B592" s="2" t="s">
        <v>1820</v>
      </c>
      <c r="C592" s="2" t="s">
        <v>90</v>
      </c>
      <c r="D592" s="2" t="s">
        <v>101</v>
      </c>
      <c r="E592" s="5" t="s">
        <v>334</v>
      </c>
      <c r="F592" s="3" t="s">
        <v>567</v>
      </c>
      <c r="G592" s="3" t="s">
        <v>21</v>
      </c>
      <c r="H592" s="2" t="s">
        <v>22</v>
      </c>
      <c r="I592" s="2" t="s">
        <v>1821</v>
      </c>
      <c r="J592" s="3" t="str">
        <f>HYPERLINK("https://www.boe.es/gazeta/dias/1834/09/11/pdfs/GMD-1834-209.pdf#page=3","Abrir facsímil")</f>
        <v>Abrir facsímil</v>
      </c>
      <c r="K592" s="3" t="s">
        <v>24</v>
      </c>
    </row>
    <row r="593" spans="1:11" ht="54" customHeight="1">
      <c r="A593" s="2" t="s">
        <v>1822</v>
      </c>
      <c r="B593" s="2" t="s">
        <v>1823</v>
      </c>
      <c r="C593" s="2" t="s">
        <v>17</v>
      </c>
      <c r="D593" s="2" t="s">
        <v>18</v>
      </c>
      <c r="E593" s="5" t="s">
        <v>734</v>
      </c>
      <c r="F593" s="3" t="s">
        <v>735</v>
      </c>
      <c r="G593" s="3" t="s">
        <v>75</v>
      </c>
      <c r="H593" s="2" t="s">
        <v>22</v>
      </c>
      <c r="I593" s="2" t="s">
        <v>1824</v>
      </c>
      <c r="J593" s="3" t="str">
        <f>HYPERLINK("https://www.boe.es/gazeta/dias/1834/05/06/pdfs/GMD-1834-75.pdf#page=4","Abrir facsímil")</f>
        <v>Abrir facsímil</v>
      </c>
      <c r="K593" s="3" t="s">
        <v>24</v>
      </c>
    </row>
    <row r="594" spans="1:11" ht="54" customHeight="1">
      <c r="A594" s="2" t="s">
        <v>1825</v>
      </c>
      <c r="B594" s="2" t="s">
        <v>1826</v>
      </c>
      <c r="C594" s="2" t="s">
        <v>90</v>
      </c>
      <c r="D594" s="2" t="s">
        <v>101</v>
      </c>
      <c r="E594" s="5" t="s">
        <v>334</v>
      </c>
      <c r="F594" s="3" t="s">
        <v>567</v>
      </c>
      <c r="G594" s="3" t="s">
        <v>21</v>
      </c>
      <c r="H594" s="2" t="s">
        <v>22</v>
      </c>
      <c r="I594" s="2" t="s">
        <v>1827</v>
      </c>
      <c r="J594" s="3" t="str">
        <f>HYPERLINK("https://www.boe.es/gazeta/dias/1834/09/11/pdfs/GMD-1834-209.pdf#page=3","Abrir facsímil")</f>
        <v>Abrir facsímil</v>
      </c>
      <c r="K594" s="3" t="s">
        <v>24</v>
      </c>
    </row>
    <row r="595" spans="1:11" ht="54" customHeight="1">
      <c r="A595" s="2" t="s">
        <v>1828</v>
      </c>
      <c r="B595" s="2" t="s">
        <v>1828</v>
      </c>
      <c r="C595" s="2" t="s">
        <v>46</v>
      </c>
      <c r="D595" s="2" t="s">
        <v>18</v>
      </c>
      <c r="E595" s="5" t="s">
        <v>1025</v>
      </c>
      <c r="F595" s="3" t="s">
        <v>1026</v>
      </c>
      <c r="G595" s="3" t="s">
        <v>21</v>
      </c>
      <c r="H595" s="2" t="s">
        <v>22</v>
      </c>
      <c r="I595" s="2" t="s">
        <v>1829</v>
      </c>
      <c r="J595" s="3" t="str">
        <f>HYPERLINK("https://www.boe.es/gazeta/dias/1834/03/01/pdfs/GMD-1834-27.pdf#page=3","Abrir facsímil")</f>
        <v>Abrir facsímil</v>
      </c>
      <c r="K595" s="3" t="s">
        <v>24</v>
      </c>
    </row>
    <row r="596" spans="1:11" ht="54" customHeight="1">
      <c r="A596" s="2" t="s">
        <v>1830</v>
      </c>
      <c r="B596" s="2" t="s">
        <v>1830</v>
      </c>
      <c r="C596" s="2" t="s">
        <v>17</v>
      </c>
      <c r="D596" s="2" t="s">
        <v>18</v>
      </c>
      <c r="E596" s="5" t="s">
        <v>1789</v>
      </c>
      <c r="F596" s="3" t="s">
        <v>1790</v>
      </c>
      <c r="G596" s="3" t="s">
        <v>21</v>
      </c>
      <c r="H596" s="2" t="s">
        <v>22</v>
      </c>
      <c r="I596" s="2" t="s">
        <v>1831</v>
      </c>
      <c r="J596" s="3" t="str">
        <f>HYPERLINK("https://www.boe.es/gazeta/dias/1834/05/31/pdfs/GMD-1834-100.pdf#page=3","Abrir facsímil")</f>
        <v>Abrir facsímil</v>
      </c>
      <c r="K596" s="3" t="s">
        <v>24</v>
      </c>
    </row>
    <row r="597" spans="1:11" ht="54" customHeight="1">
      <c r="A597" s="2" t="s">
        <v>1832</v>
      </c>
      <c r="B597" s="2" t="s">
        <v>1833</v>
      </c>
      <c r="C597" s="2" t="s">
        <v>17</v>
      </c>
      <c r="D597" s="2" t="s">
        <v>18</v>
      </c>
      <c r="E597" s="5" t="s">
        <v>1116</v>
      </c>
      <c r="F597" s="3" t="s">
        <v>1117</v>
      </c>
      <c r="G597" s="3" t="s">
        <v>75</v>
      </c>
      <c r="H597" s="2" t="s">
        <v>22</v>
      </c>
      <c r="I597" s="2" t="s">
        <v>1834</v>
      </c>
      <c r="J597" s="3" t="str">
        <f>HYPERLINK("https://www.boe.es/gazeta/dias/1834/05/16/pdfs/GMD-1834-85.pdf#page=4","Abrir facsímil")</f>
        <v>Abrir facsímil</v>
      </c>
      <c r="K597" s="3" t="s">
        <v>24</v>
      </c>
    </row>
    <row r="598" spans="1:11" ht="54" customHeight="1">
      <c r="A598" s="2" t="s">
        <v>1835</v>
      </c>
      <c r="B598" s="2" t="s">
        <v>1836</v>
      </c>
      <c r="C598" s="2" t="s">
        <v>17</v>
      </c>
      <c r="D598" s="2" t="s">
        <v>18</v>
      </c>
      <c r="E598" s="5" t="s">
        <v>1025</v>
      </c>
      <c r="F598" s="3" t="s">
        <v>1026</v>
      </c>
      <c r="G598" s="3" t="s">
        <v>176</v>
      </c>
      <c r="H598" s="2" t="s">
        <v>22</v>
      </c>
      <c r="I598" s="2" t="s">
        <v>1837</v>
      </c>
      <c r="J598" s="3" t="str">
        <f>HYPERLINK("https://www.boe.es/gazeta/dias/1834/03/01/pdfs/GMD-1834-27.pdf#page=6","Abrir facsímil")</f>
        <v>Abrir facsímil</v>
      </c>
      <c r="K598" s="3" t="s">
        <v>24</v>
      </c>
    </row>
    <row r="599" spans="1:11" ht="54" customHeight="1">
      <c r="A599" s="2" t="s">
        <v>1838</v>
      </c>
      <c r="B599" s="2" t="s">
        <v>1838</v>
      </c>
      <c r="C599" s="2" t="s">
        <v>17</v>
      </c>
      <c r="D599" s="2" t="s">
        <v>18</v>
      </c>
      <c r="E599" s="5" t="s">
        <v>1839</v>
      </c>
      <c r="F599" s="3" t="s">
        <v>1840</v>
      </c>
      <c r="G599" s="3" t="s">
        <v>86</v>
      </c>
      <c r="H599" s="2" t="s">
        <v>22</v>
      </c>
      <c r="I599" s="2" t="s">
        <v>1841</v>
      </c>
      <c r="J599" s="3" t="str">
        <f>HYPERLINK("https://www.boe.es/gazeta/dias/1834/08/12/pdfs/GMD-C-1834-177.pdf#page=2","Abrir facsímil")</f>
        <v>Abrir facsímil</v>
      </c>
      <c r="K599" s="3" t="s">
        <v>24</v>
      </c>
    </row>
    <row r="600" spans="1:11" ht="54" customHeight="1">
      <c r="A600" s="2" t="s">
        <v>1842</v>
      </c>
      <c r="B600" s="2" t="s">
        <v>1842</v>
      </c>
      <c r="C600" s="2" t="s">
        <v>17</v>
      </c>
      <c r="D600" s="2" t="s">
        <v>18</v>
      </c>
      <c r="E600" s="5" t="s">
        <v>642</v>
      </c>
      <c r="F600" s="3" t="s">
        <v>1843</v>
      </c>
      <c r="G600" s="3" t="s">
        <v>75</v>
      </c>
      <c r="H600" s="2" t="s">
        <v>22</v>
      </c>
      <c r="I600" s="2" t="s">
        <v>1844</v>
      </c>
      <c r="J600" s="3" t="str">
        <f>HYPERLINK("https://www.boe.es/gazeta/dias/1834/11/12/pdfs/GMD-1834-271.pdf#page=4","Abrir facsímil")</f>
        <v>Abrir facsímil</v>
      </c>
      <c r="K600" s="3" t="s">
        <v>24</v>
      </c>
    </row>
    <row r="601" spans="1:11" ht="54" customHeight="1">
      <c r="A601" s="2" t="s">
        <v>1845</v>
      </c>
      <c r="B601" s="2" t="s">
        <v>1846</v>
      </c>
      <c r="C601" s="2" t="s">
        <v>17</v>
      </c>
      <c r="D601" s="2" t="s">
        <v>18</v>
      </c>
      <c r="E601" s="5" t="s">
        <v>762</v>
      </c>
      <c r="F601" s="3" t="s">
        <v>763</v>
      </c>
      <c r="G601" s="3" t="s">
        <v>75</v>
      </c>
      <c r="H601" s="2" t="s">
        <v>35</v>
      </c>
      <c r="I601" s="2" t="s">
        <v>1847</v>
      </c>
      <c r="J601" s="3" t="str">
        <f>HYPERLINK("https://www.boe.es/gazeta/dias/1834/11/07/pdfs/GMD-1834-266.pdf#page=4","Abrir facsímil")</f>
        <v>Abrir facsímil</v>
      </c>
      <c r="K601" s="3" t="s">
        <v>37</v>
      </c>
    </row>
    <row r="602" spans="1:11" ht="54" customHeight="1">
      <c r="A602" s="2" t="s">
        <v>1848</v>
      </c>
      <c r="B602" s="2" t="s">
        <v>1849</v>
      </c>
      <c r="C602" s="2" t="s">
        <v>17</v>
      </c>
      <c r="D602" s="2" t="s">
        <v>18</v>
      </c>
      <c r="E602" s="5" t="s">
        <v>1850</v>
      </c>
      <c r="F602" s="3" t="s">
        <v>1851</v>
      </c>
      <c r="G602" s="3" t="s">
        <v>21</v>
      </c>
      <c r="H602" s="2" t="s">
        <v>22</v>
      </c>
      <c r="I602" s="2" t="s">
        <v>1852</v>
      </c>
      <c r="J602" s="3" t="str">
        <f>HYPERLINK("https://www.boe.es/gazeta/dias/1834/02/18/pdfs/GMD-1834-22.pdf#page=3","Abrir facsímil")</f>
        <v>Abrir facsímil</v>
      </c>
      <c r="K602" s="3" t="s">
        <v>24</v>
      </c>
    </row>
    <row r="603" spans="1:11" ht="54" customHeight="1">
      <c r="A603" s="2" t="s">
        <v>1848</v>
      </c>
      <c r="B603" s="2" t="s">
        <v>1849</v>
      </c>
      <c r="C603" s="2" t="s">
        <v>66</v>
      </c>
      <c r="D603" s="2" t="s">
        <v>18</v>
      </c>
      <c r="E603" s="5" t="s">
        <v>408</v>
      </c>
      <c r="F603" s="3" t="s">
        <v>409</v>
      </c>
      <c r="G603" s="3" t="s">
        <v>34</v>
      </c>
      <c r="H603" s="2" t="s">
        <v>22</v>
      </c>
      <c r="I603" s="2" t="s">
        <v>1853</v>
      </c>
      <c r="J603" s="3" t="str">
        <f>HYPERLINK("https://www.boe.es/gazeta/dias/1834/04/28/pdfs/GMD-1834-67.pdf#page=1","Abrir facsímil")</f>
        <v>Abrir facsímil</v>
      </c>
      <c r="K603" s="3" t="s">
        <v>24</v>
      </c>
    </row>
    <row r="604" spans="1:11" ht="54" customHeight="1">
      <c r="A604" s="2" t="s">
        <v>1854</v>
      </c>
      <c r="B604" s="2" t="s">
        <v>1855</v>
      </c>
      <c r="C604" s="2" t="s">
        <v>17</v>
      </c>
      <c r="D604" s="2" t="s">
        <v>18</v>
      </c>
      <c r="E604" s="5" t="s">
        <v>762</v>
      </c>
      <c r="F604" s="3" t="s">
        <v>763</v>
      </c>
      <c r="G604" s="3" t="s">
        <v>75</v>
      </c>
      <c r="H604" s="2" t="s">
        <v>22</v>
      </c>
      <c r="I604" s="2" t="s">
        <v>1856</v>
      </c>
      <c r="J604" s="3" t="str">
        <f>HYPERLINK("https://www.boe.es/gazeta/dias/1834/11/07/pdfs/GMD-1834-266.pdf#page=4","Abrir facsímil")</f>
        <v>Abrir facsímil</v>
      </c>
      <c r="K604" s="3" t="s">
        <v>24</v>
      </c>
    </row>
    <row r="605" spans="1:11" ht="54" customHeight="1">
      <c r="A605" s="2" t="s">
        <v>1857</v>
      </c>
      <c r="B605" s="2" t="s">
        <v>1858</v>
      </c>
      <c r="C605" s="2" t="s">
        <v>17</v>
      </c>
      <c r="D605" s="2" t="s">
        <v>18</v>
      </c>
      <c r="E605" s="5" t="s">
        <v>84</v>
      </c>
      <c r="F605" s="3" t="s">
        <v>85</v>
      </c>
      <c r="G605" s="3" t="s">
        <v>86</v>
      </c>
      <c r="H605" s="2" t="s">
        <v>22</v>
      </c>
      <c r="I605" s="2" t="s">
        <v>1859</v>
      </c>
      <c r="J605" s="3" t="str">
        <f>HYPERLINK("https://www.boe.es/gazeta/dias/1834/06/07/pdfs/GMD-C-1834-109.pdf#page=2","Abrir facsímil")</f>
        <v>Abrir facsímil</v>
      </c>
      <c r="K605" s="3" t="s">
        <v>24</v>
      </c>
    </row>
    <row r="606" spans="1:11" ht="54" customHeight="1">
      <c r="A606" s="2" t="s">
        <v>1860</v>
      </c>
      <c r="B606" s="2" t="s">
        <v>1861</v>
      </c>
      <c r="C606" s="2" t="s">
        <v>17</v>
      </c>
      <c r="D606" s="2" t="s">
        <v>55</v>
      </c>
      <c r="E606" s="5" t="s">
        <v>1862</v>
      </c>
      <c r="F606" s="3" t="s">
        <v>1863</v>
      </c>
      <c r="G606" s="3" t="s">
        <v>75</v>
      </c>
      <c r="H606" s="2" t="s">
        <v>22</v>
      </c>
      <c r="I606" s="2" t="s">
        <v>1864</v>
      </c>
      <c r="J606" s="3" t="str">
        <f>HYPERLINK("https://www.boe.es/gazeta/dias/1834/02/04/pdfs/GMD-1834-16.pdf#page=4","Abrir facsímil")</f>
        <v>Abrir facsímil</v>
      </c>
      <c r="K606" s="3" t="s">
        <v>24</v>
      </c>
    </row>
    <row r="607" spans="1:11" ht="54" customHeight="1">
      <c r="A607" s="2" t="s">
        <v>1865</v>
      </c>
      <c r="B607" s="2" t="s">
        <v>1866</v>
      </c>
      <c r="C607" s="2" t="s">
        <v>66</v>
      </c>
      <c r="D607" s="2" t="s">
        <v>67</v>
      </c>
      <c r="E607" s="5" t="s">
        <v>777</v>
      </c>
      <c r="F607" s="3" t="s">
        <v>778</v>
      </c>
      <c r="G607" s="3" t="s">
        <v>75</v>
      </c>
      <c r="H607" s="2" t="s">
        <v>35</v>
      </c>
      <c r="I607" s="2" t="s">
        <v>1867</v>
      </c>
      <c r="J607" s="3" t="str">
        <f>HYPERLINK("https://www.boe.es/gazeta/dias/1834/10/29/pdfs/GMD-1834-257.pdf#page=4","Abrir facsímil")</f>
        <v>Abrir facsímil</v>
      </c>
      <c r="K607" s="3" t="s">
        <v>37</v>
      </c>
    </row>
    <row r="608" spans="1:11" ht="54" customHeight="1">
      <c r="A608" s="2" t="s">
        <v>1868</v>
      </c>
      <c r="B608" s="2" t="s">
        <v>1869</v>
      </c>
      <c r="C608" s="2" t="s">
        <v>66</v>
      </c>
      <c r="D608" s="2" t="s">
        <v>67</v>
      </c>
      <c r="E608" s="5" t="s">
        <v>777</v>
      </c>
      <c r="F608" s="3" t="s">
        <v>778</v>
      </c>
      <c r="G608" s="3" t="s">
        <v>75</v>
      </c>
      <c r="H608" s="2" t="s">
        <v>22</v>
      </c>
      <c r="I608" s="2" t="s">
        <v>1870</v>
      </c>
      <c r="J608" s="3" t="str">
        <f>HYPERLINK("https://www.boe.es/gazeta/dias/1834/10/29/pdfs/GMD-1834-257.pdf#page=4","Abrir facsímil")</f>
        <v>Abrir facsímil</v>
      </c>
      <c r="K608" s="3" t="s">
        <v>24</v>
      </c>
    </row>
    <row r="609" spans="1:11" ht="54" customHeight="1">
      <c r="A609" s="2" t="s">
        <v>1871</v>
      </c>
      <c r="B609" s="2" t="s">
        <v>1871</v>
      </c>
      <c r="C609" s="2" t="s">
        <v>17</v>
      </c>
      <c r="D609" s="2" t="s">
        <v>18</v>
      </c>
      <c r="E609" s="5" t="s">
        <v>785</v>
      </c>
      <c r="F609" s="3" t="s">
        <v>786</v>
      </c>
      <c r="G609" s="3" t="s">
        <v>75</v>
      </c>
      <c r="H609" s="2" t="s">
        <v>22</v>
      </c>
      <c r="I609" s="2" t="s">
        <v>1872</v>
      </c>
      <c r="J609" s="3" t="str">
        <f>HYPERLINK("https://www.boe.es/gazeta/dias/1834/02/11/pdfs/GMD-1834-19.pdf#page=4","Abrir facsímil")</f>
        <v>Abrir facsímil</v>
      </c>
      <c r="K609" s="3" t="s">
        <v>24</v>
      </c>
    </row>
    <row r="610" spans="1:11" ht="54" customHeight="1">
      <c r="A610" s="2" t="s">
        <v>1873</v>
      </c>
      <c r="B610" s="2" t="s">
        <v>1873</v>
      </c>
      <c r="C610" s="2" t="s">
        <v>17</v>
      </c>
      <c r="D610" s="2" t="s">
        <v>18</v>
      </c>
      <c r="E610" s="5" t="s">
        <v>506</v>
      </c>
      <c r="F610" s="3" t="s">
        <v>507</v>
      </c>
      <c r="G610" s="3" t="s">
        <v>86</v>
      </c>
      <c r="H610" s="2" t="s">
        <v>22</v>
      </c>
      <c r="I610" s="2" t="s">
        <v>1874</v>
      </c>
      <c r="J610" s="3" t="str">
        <f>HYPERLINK("https://www.boe.es/gazeta/dias/1834/03/04/pdfs/GMD-1834-28.pdf#page=2","Abrir facsímil")</f>
        <v>Abrir facsímil</v>
      </c>
      <c r="K610" s="3" t="s">
        <v>24</v>
      </c>
    </row>
    <row r="611" spans="1:11" ht="54" customHeight="1">
      <c r="A611" s="2" t="s">
        <v>1875</v>
      </c>
      <c r="B611" s="2" t="s">
        <v>1876</v>
      </c>
      <c r="C611" s="2" t="s">
        <v>66</v>
      </c>
      <c r="D611" s="2" t="s">
        <v>67</v>
      </c>
      <c r="E611" s="5" t="s">
        <v>1337</v>
      </c>
      <c r="F611" s="3" t="s">
        <v>1338</v>
      </c>
      <c r="G611" s="3" t="s">
        <v>86</v>
      </c>
      <c r="H611" s="2" t="s">
        <v>22</v>
      </c>
      <c r="I611" s="2" t="s">
        <v>1877</v>
      </c>
      <c r="J611" s="3" t="str">
        <f>HYPERLINK("https://www.boe.es/gazeta/dias/1834/01/02/pdfs/GMD-1834-1.pdf#page=2","Abrir facsímil")</f>
        <v>Abrir facsímil</v>
      </c>
      <c r="K611" s="3" t="s">
        <v>24</v>
      </c>
    </row>
    <row r="612" spans="1:11" ht="54" customHeight="1">
      <c r="A612" s="2" t="s">
        <v>1878</v>
      </c>
      <c r="B612" s="2" t="s">
        <v>1878</v>
      </c>
      <c r="C612" s="2" t="s">
        <v>66</v>
      </c>
      <c r="D612" s="2" t="s">
        <v>67</v>
      </c>
      <c r="E612" s="5" t="s">
        <v>1297</v>
      </c>
      <c r="F612" s="3" t="s">
        <v>1879</v>
      </c>
      <c r="G612" s="3" t="s">
        <v>34</v>
      </c>
      <c r="H612" s="2" t="s">
        <v>22</v>
      </c>
      <c r="I612" s="2" t="s">
        <v>1880</v>
      </c>
      <c r="J612" s="3" t="str">
        <f>HYPERLINK("https://www.boe.es/gazeta/dias/1834/08/01/pdfs/GMD-D-1834-165.pdf#page=1","Abrir facsímil")</f>
        <v>Abrir facsímil</v>
      </c>
      <c r="K612" s="3" t="s">
        <v>24</v>
      </c>
    </row>
    <row r="613" spans="1:11" ht="54" customHeight="1">
      <c r="A613" s="2" t="s">
        <v>1881</v>
      </c>
      <c r="B613" s="2" t="s">
        <v>1882</v>
      </c>
      <c r="C613" s="2" t="s">
        <v>122</v>
      </c>
      <c r="D613" s="2" t="s">
        <v>18</v>
      </c>
      <c r="E613" s="5" t="s">
        <v>1883</v>
      </c>
      <c r="F613" s="3" t="s">
        <v>1884</v>
      </c>
      <c r="G613" s="3" t="s">
        <v>86</v>
      </c>
      <c r="H613" s="2" t="s">
        <v>22</v>
      </c>
      <c r="I613" s="2" t="s">
        <v>1885</v>
      </c>
      <c r="J613" s="3" t="str">
        <f>HYPERLINK("https://www.boe.es/gazeta/dias/1834/01/11/pdfs/GMD-1834-6.pdf#page=2","Abrir facsímil")</f>
        <v>Abrir facsímil</v>
      </c>
      <c r="K613" s="3" t="s">
        <v>24</v>
      </c>
    </row>
    <row r="614" spans="1:11" ht="54" customHeight="1">
      <c r="A614" s="2" t="s">
        <v>1886</v>
      </c>
      <c r="B614" s="2" t="s">
        <v>1887</v>
      </c>
      <c r="C614" s="2" t="s">
        <v>17</v>
      </c>
      <c r="D614" s="2" t="s">
        <v>18</v>
      </c>
      <c r="E614" s="5" t="s">
        <v>273</v>
      </c>
      <c r="F614" s="3" t="s">
        <v>274</v>
      </c>
      <c r="G614" s="3" t="s">
        <v>34</v>
      </c>
      <c r="H614" s="2" t="s">
        <v>22</v>
      </c>
      <c r="I614" s="2" t="s">
        <v>1888</v>
      </c>
      <c r="J614" s="3" t="str">
        <f>HYPERLINK("https://www.boe.es/gazeta/dias/1834/08/31/pdfs/GMD-D-1834-198.pdf#page=1","Abrir facsímil")</f>
        <v>Abrir facsímil</v>
      </c>
      <c r="K614" s="3" t="s">
        <v>24</v>
      </c>
    </row>
    <row r="615" spans="1:11" ht="54" customHeight="1">
      <c r="A615" s="2" t="s">
        <v>1889</v>
      </c>
      <c r="B615" s="2" t="s">
        <v>1890</v>
      </c>
      <c r="C615" s="2" t="s">
        <v>66</v>
      </c>
      <c r="D615" s="2" t="s">
        <v>18</v>
      </c>
      <c r="E615" s="5" t="s">
        <v>1178</v>
      </c>
      <c r="F615" s="3" t="s">
        <v>1179</v>
      </c>
      <c r="G615" s="3" t="s">
        <v>86</v>
      </c>
      <c r="H615" s="2" t="s">
        <v>22</v>
      </c>
      <c r="I615" s="2" t="s">
        <v>1891</v>
      </c>
      <c r="J615" s="3" t="str">
        <f>HYPERLINK("https://www.boe.es/gazeta/dias/1834/04/10/pdfs/GMD-C-1834-49.pdf#page=2","Abrir facsímil")</f>
        <v>Abrir facsímil</v>
      </c>
      <c r="K615" s="3" t="s">
        <v>24</v>
      </c>
    </row>
    <row r="616" spans="1:11" ht="54" customHeight="1">
      <c r="A616" s="2" t="s">
        <v>1892</v>
      </c>
      <c r="B616" s="2" t="s">
        <v>1892</v>
      </c>
      <c r="C616" s="2" t="s">
        <v>66</v>
      </c>
      <c r="D616" s="2" t="s">
        <v>18</v>
      </c>
      <c r="E616" s="5" t="s">
        <v>1323</v>
      </c>
      <c r="F616" s="3" t="s">
        <v>1324</v>
      </c>
      <c r="G616" s="3" t="s">
        <v>21</v>
      </c>
      <c r="H616" s="2" t="s">
        <v>22</v>
      </c>
      <c r="I616" s="2" t="s">
        <v>1893</v>
      </c>
      <c r="J616" s="3" t="str">
        <f>HYPERLINK("https://www.boe.es/gazeta/dias/1834/05/22/pdfs/GMD-1834-91.pdf#page=3","Abrir facsímil")</f>
        <v>Abrir facsímil</v>
      </c>
      <c r="K616" s="3" t="s">
        <v>24</v>
      </c>
    </row>
    <row r="617" spans="1:11" ht="54" customHeight="1">
      <c r="A617" s="2" t="s">
        <v>1894</v>
      </c>
      <c r="B617" s="2" t="s">
        <v>1894</v>
      </c>
      <c r="C617" s="2" t="s">
        <v>17</v>
      </c>
      <c r="D617" s="2" t="s">
        <v>18</v>
      </c>
      <c r="E617" s="5" t="s">
        <v>793</v>
      </c>
      <c r="F617" s="3" t="s">
        <v>1895</v>
      </c>
      <c r="G617" s="3" t="s">
        <v>21</v>
      </c>
      <c r="H617" s="2" t="s">
        <v>22</v>
      </c>
      <c r="I617" s="2" t="s">
        <v>1896</v>
      </c>
      <c r="J617" s="3" t="str">
        <f>HYPERLINK("https://www.boe.es/gazeta/dias/1834/10/08/pdfs/GMD-C-1834-236.pdf#page=3","Abrir facsímil")</f>
        <v>Abrir facsímil</v>
      </c>
      <c r="K617" s="3" t="s">
        <v>24</v>
      </c>
    </row>
    <row r="618" spans="1:11" ht="54" customHeight="1">
      <c r="A618" s="2" t="s">
        <v>1894</v>
      </c>
      <c r="B618" s="2" t="s">
        <v>1894</v>
      </c>
      <c r="C618" s="2" t="s">
        <v>90</v>
      </c>
      <c r="D618" s="2" t="s">
        <v>18</v>
      </c>
      <c r="E618" s="5" t="s">
        <v>334</v>
      </c>
      <c r="F618" s="3" t="s">
        <v>335</v>
      </c>
      <c r="G618" s="3" t="s">
        <v>75</v>
      </c>
      <c r="H618" s="2" t="s">
        <v>22</v>
      </c>
      <c r="I618" s="2" t="s">
        <v>1897</v>
      </c>
      <c r="J618" s="3" t="str">
        <f>HYPERLINK("https://www.boe.es/gazeta/dias/1834/09/11/pdfs/GMD-C-1834-209.pdf#page=4","Abrir facsímil")</f>
        <v>Abrir facsímil</v>
      </c>
      <c r="K618" s="3" t="s">
        <v>24</v>
      </c>
    </row>
    <row r="619" spans="1:11" ht="54" customHeight="1">
      <c r="A619" s="2" t="s">
        <v>1894</v>
      </c>
      <c r="B619" s="2" t="s">
        <v>1894</v>
      </c>
      <c r="C619" s="2" t="s">
        <v>17</v>
      </c>
      <c r="D619" s="2" t="s">
        <v>18</v>
      </c>
      <c r="E619" s="5" t="s">
        <v>268</v>
      </c>
      <c r="F619" s="3" t="s">
        <v>269</v>
      </c>
      <c r="G619" s="3" t="s">
        <v>21</v>
      </c>
      <c r="H619" s="2" t="s">
        <v>22</v>
      </c>
      <c r="I619" s="2" t="s">
        <v>1898</v>
      </c>
      <c r="J619" s="3" t="str">
        <f>HYPERLINK("https://www.boe.es/gazeta/dias/1834/12/19/pdfs/GMD-C-1834-309.pdf#page=3","Abrir facsímil")</f>
        <v>Abrir facsímil</v>
      </c>
      <c r="K619" s="3" t="s">
        <v>24</v>
      </c>
    </row>
    <row r="620" spans="1:11" ht="54" customHeight="1">
      <c r="A620" s="2" t="s">
        <v>1899</v>
      </c>
      <c r="B620" s="2" t="s">
        <v>1900</v>
      </c>
      <c r="C620" s="2" t="s">
        <v>17</v>
      </c>
      <c r="D620" s="2" t="s">
        <v>18</v>
      </c>
      <c r="E620" s="5" t="s">
        <v>255</v>
      </c>
      <c r="F620" s="3" t="s">
        <v>256</v>
      </c>
      <c r="G620" s="3" t="s">
        <v>86</v>
      </c>
      <c r="H620" s="2" t="s">
        <v>22</v>
      </c>
      <c r="I620" s="2" t="s">
        <v>1901</v>
      </c>
      <c r="J620" s="3" t="str">
        <f>HYPERLINK("https://www.boe.es/gazeta/dias/1834/09/01/pdfs/GMD-D-1834-199.pdf#page=2","Abrir facsímil")</f>
        <v>Abrir facsímil</v>
      </c>
      <c r="K620" s="3" t="s">
        <v>24</v>
      </c>
    </row>
    <row r="621" spans="1:11" ht="54" customHeight="1">
      <c r="A621" s="2" t="s">
        <v>1902</v>
      </c>
      <c r="B621" s="2" t="s">
        <v>1902</v>
      </c>
      <c r="C621" s="2" t="s">
        <v>17</v>
      </c>
      <c r="D621" s="2" t="s">
        <v>18</v>
      </c>
      <c r="E621" s="5" t="s">
        <v>610</v>
      </c>
      <c r="F621" s="3" t="s">
        <v>611</v>
      </c>
      <c r="G621" s="3" t="s">
        <v>21</v>
      </c>
      <c r="H621" s="2" t="s">
        <v>22</v>
      </c>
      <c r="I621" s="2" t="s">
        <v>1903</v>
      </c>
      <c r="J621" s="3" t="str">
        <f>HYPERLINK("https://www.boe.es/gazeta/dias/1834/12/21/pdfs/GMD-C-1834-311.pdf#page=3","Abrir facsímil")</f>
        <v>Abrir facsímil</v>
      </c>
      <c r="K621" s="3" t="s">
        <v>24</v>
      </c>
    </row>
    <row r="622" spans="1:11" ht="54" customHeight="1">
      <c r="A622" s="2" t="s">
        <v>1904</v>
      </c>
      <c r="B622" s="2" t="s">
        <v>1904</v>
      </c>
      <c r="C622" s="2" t="s">
        <v>17</v>
      </c>
      <c r="D622" s="2" t="s">
        <v>18</v>
      </c>
      <c r="E622" s="5" t="s">
        <v>1025</v>
      </c>
      <c r="F622" s="3" t="s">
        <v>1026</v>
      </c>
      <c r="G622" s="3" t="s">
        <v>28</v>
      </c>
      <c r="H622" s="2" t="s">
        <v>22</v>
      </c>
      <c r="I622" s="2" t="s">
        <v>1905</v>
      </c>
      <c r="J622" s="3" t="str">
        <f>HYPERLINK("https://www.boe.es/gazeta/dias/1834/03/01/pdfs/GMD-1834-27.pdf#page=5","Abrir facsímil")</f>
        <v>Abrir facsímil</v>
      </c>
      <c r="K622" s="3" t="s">
        <v>24</v>
      </c>
    </row>
    <row r="623" spans="1:11" ht="54" customHeight="1">
      <c r="A623" s="2" t="s">
        <v>1904</v>
      </c>
      <c r="B623" s="2" t="s">
        <v>1904</v>
      </c>
      <c r="C623" s="2" t="s">
        <v>66</v>
      </c>
      <c r="D623" s="2" t="s">
        <v>67</v>
      </c>
      <c r="E623" s="5" t="s">
        <v>1337</v>
      </c>
      <c r="F623" s="3" t="s">
        <v>1906</v>
      </c>
      <c r="G623" s="3" t="s">
        <v>34</v>
      </c>
      <c r="H623" s="2" t="s">
        <v>22</v>
      </c>
      <c r="I623" s="2" t="s">
        <v>1907</v>
      </c>
      <c r="J623" s="3" t="str">
        <f>HYPERLINK("https://www.boe.es/gazeta/dias/1834/01/02/pdfs/GMD-1834-2E.pdf#page=1","Abrir facsímil")</f>
        <v>Abrir facsímil</v>
      </c>
      <c r="K623" s="3" t="s">
        <v>24</v>
      </c>
    </row>
    <row r="624" spans="1:11" ht="54" customHeight="1">
      <c r="A624" s="2" t="s">
        <v>1904</v>
      </c>
      <c r="B624" s="2" t="s">
        <v>1904</v>
      </c>
      <c r="C624" s="2" t="s">
        <v>66</v>
      </c>
      <c r="D624" s="2" t="s">
        <v>18</v>
      </c>
      <c r="E624" s="5" t="s">
        <v>1862</v>
      </c>
      <c r="F624" s="3" t="s">
        <v>1908</v>
      </c>
      <c r="G624" s="3" t="s">
        <v>34</v>
      </c>
      <c r="H624" s="2" t="s">
        <v>22</v>
      </c>
      <c r="I624" s="2" t="s">
        <v>1909</v>
      </c>
      <c r="J624" s="3" t="str">
        <f>HYPERLINK("https://www.boe.es/gazeta/dias/1834/02/04/pdfs/GMD-C-1834-16.pdf#page=1","Abrir facsímil")</f>
        <v>Abrir facsímil</v>
      </c>
      <c r="K624" s="3" t="s">
        <v>24</v>
      </c>
    </row>
    <row r="625" spans="1:11" ht="54" customHeight="1">
      <c r="A625" s="2" t="s">
        <v>1904</v>
      </c>
      <c r="B625" s="2" t="s">
        <v>1904</v>
      </c>
      <c r="C625" s="2" t="s">
        <v>66</v>
      </c>
      <c r="D625" s="2" t="s">
        <v>18</v>
      </c>
      <c r="E625" s="5" t="s">
        <v>364</v>
      </c>
      <c r="F625" s="3" t="s">
        <v>365</v>
      </c>
      <c r="G625" s="3" t="s">
        <v>86</v>
      </c>
      <c r="H625" s="2" t="s">
        <v>22</v>
      </c>
      <c r="I625" s="2" t="s">
        <v>1910</v>
      </c>
      <c r="J625" s="3" t="str">
        <f>HYPERLINK("https://www.boe.es/gazeta/dias/1834/09/06/pdfs/GMD-D-1834-204.pdf#page=2","Abrir facsímil")</f>
        <v>Abrir facsímil</v>
      </c>
      <c r="K625" s="3" t="s">
        <v>24</v>
      </c>
    </row>
    <row r="626" spans="1:11" ht="54" customHeight="1">
      <c r="A626" s="2" t="s">
        <v>1904</v>
      </c>
      <c r="B626" s="2" t="s">
        <v>1904</v>
      </c>
      <c r="C626" s="2" t="s">
        <v>17</v>
      </c>
      <c r="D626" s="2" t="s">
        <v>18</v>
      </c>
      <c r="E626" s="5" t="s">
        <v>1178</v>
      </c>
      <c r="F626" s="3" t="s">
        <v>1179</v>
      </c>
      <c r="G626" s="3" t="s">
        <v>34</v>
      </c>
      <c r="H626" s="2" t="s">
        <v>22</v>
      </c>
      <c r="I626" s="2" t="s">
        <v>1911</v>
      </c>
      <c r="J626" s="3" t="str">
        <f>HYPERLINK("https://www.boe.es/gazeta/dias/1834/04/10/pdfs/GMD-C-1834-49.pdf#page=1","Abrir facsímil")</f>
        <v>Abrir facsímil</v>
      </c>
      <c r="K626" s="3" t="s">
        <v>24</v>
      </c>
    </row>
    <row r="627" spans="1:11" ht="54" customHeight="1">
      <c r="A627" s="2" t="s">
        <v>1904</v>
      </c>
      <c r="B627" s="2" t="s">
        <v>1904</v>
      </c>
      <c r="C627" s="2" t="s">
        <v>66</v>
      </c>
      <c r="D627" s="2" t="s">
        <v>67</v>
      </c>
      <c r="E627" s="5" t="s">
        <v>785</v>
      </c>
      <c r="F627" s="3" t="s">
        <v>786</v>
      </c>
      <c r="G627" s="3" t="s">
        <v>21</v>
      </c>
      <c r="H627" s="2" t="s">
        <v>22</v>
      </c>
      <c r="I627" s="2" t="s">
        <v>1912</v>
      </c>
      <c r="J627" s="3" t="str">
        <f>HYPERLINK("https://www.boe.es/gazeta/dias/1834/02/11/pdfs/GMD-1834-19.pdf#page=3","Abrir facsímil")</f>
        <v>Abrir facsímil</v>
      </c>
      <c r="K627" s="3" t="s">
        <v>24</v>
      </c>
    </row>
    <row r="628" spans="1:11" ht="54" customHeight="1">
      <c r="A628" s="2" t="s">
        <v>1904</v>
      </c>
      <c r="B628" s="2" t="s">
        <v>1904</v>
      </c>
      <c r="C628" s="2" t="s">
        <v>66</v>
      </c>
      <c r="D628" s="2" t="s">
        <v>67</v>
      </c>
      <c r="E628" s="5" t="s">
        <v>343</v>
      </c>
      <c r="F628" s="3" t="s">
        <v>344</v>
      </c>
      <c r="G628" s="3" t="s">
        <v>75</v>
      </c>
      <c r="H628" s="2" t="s">
        <v>22</v>
      </c>
      <c r="I628" s="2" t="s">
        <v>1913</v>
      </c>
      <c r="J628" s="3" t="str">
        <f>HYPERLINK("https://www.boe.es/gazeta/dias/1834/01/14/pdfs/GMD-1834-7.pdf#page=4","Abrir facsímil")</f>
        <v>Abrir facsímil</v>
      </c>
      <c r="K628" s="3" t="s">
        <v>24</v>
      </c>
    </row>
    <row r="629" spans="1:11" ht="54" customHeight="1">
      <c r="A629" s="2" t="s">
        <v>1904</v>
      </c>
      <c r="B629" s="2" t="s">
        <v>1904</v>
      </c>
      <c r="C629" s="2" t="s">
        <v>17</v>
      </c>
      <c r="D629" s="2" t="s">
        <v>18</v>
      </c>
      <c r="E629" s="5" t="s">
        <v>222</v>
      </c>
      <c r="F629" s="3" t="s">
        <v>223</v>
      </c>
      <c r="G629" s="3" t="s">
        <v>21</v>
      </c>
      <c r="H629" s="2" t="s">
        <v>22</v>
      </c>
      <c r="I629" s="2" t="s">
        <v>1914</v>
      </c>
      <c r="J629" s="3" t="str">
        <f>HYPERLINK("https://www.boe.es/gazeta/dias/1834/09/14/pdfs/GMD-1834-212.pdf#page=3","Abrir facsímil")</f>
        <v>Abrir facsímil</v>
      </c>
      <c r="K629" s="3" t="s">
        <v>24</v>
      </c>
    </row>
    <row r="630" spans="1:11" ht="54" customHeight="1">
      <c r="A630" s="2" t="s">
        <v>1904</v>
      </c>
      <c r="B630" s="2" t="s">
        <v>1904</v>
      </c>
      <c r="C630" s="2" t="s">
        <v>66</v>
      </c>
      <c r="D630" s="2" t="s">
        <v>18</v>
      </c>
      <c r="E630" s="5" t="s">
        <v>912</v>
      </c>
      <c r="F630" s="3" t="s">
        <v>913</v>
      </c>
      <c r="G630" s="3" t="s">
        <v>28</v>
      </c>
      <c r="H630" s="2" t="s">
        <v>22</v>
      </c>
      <c r="I630" s="2" t="s">
        <v>1915</v>
      </c>
      <c r="J630" s="3" t="str">
        <f>HYPERLINK("https://www.boe.es/gazeta/dias/1834/02/15/pdfs/GMD-1834-21.pdf#page=5","Abrir facsímil")</f>
        <v>Abrir facsímil</v>
      </c>
      <c r="K630" s="3" t="s">
        <v>24</v>
      </c>
    </row>
    <row r="631" spans="1:11" ht="54" customHeight="1">
      <c r="A631" s="2" t="s">
        <v>1904</v>
      </c>
      <c r="B631" s="2" t="s">
        <v>1904</v>
      </c>
      <c r="C631" s="2" t="s">
        <v>17</v>
      </c>
      <c r="D631" s="2" t="s">
        <v>18</v>
      </c>
      <c r="E631" s="5" t="s">
        <v>1195</v>
      </c>
      <c r="F631" s="3" t="s">
        <v>1916</v>
      </c>
      <c r="G631" s="3" t="s">
        <v>21</v>
      </c>
      <c r="H631" s="2" t="s">
        <v>22</v>
      </c>
      <c r="I631" s="2" t="s">
        <v>1917</v>
      </c>
      <c r="J631" s="3" t="str">
        <f>HYPERLINK("https://www.boe.es/gazeta/dias/1834/10/17/pdfs/GMD-1834-245.pdf#page=3","Abrir facsímil")</f>
        <v>Abrir facsímil</v>
      </c>
      <c r="K631" s="3" t="s">
        <v>24</v>
      </c>
    </row>
    <row r="632" spans="1:11" ht="54" customHeight="1">
      <c r="A632" s="2" t="s">
        <v>1904</v>
      </c>
      <c r="B632" s="2" t="s">
        <v>1904</v>
      </c>
      <c r="C632" s="2" t="s">
        <v>66</v>
      </c>
      <c r="D632" s="2" t="s">
        <v>67</v>
      </c>
      <c r="E632" s="5" t="s">
        <v>1918</v>
      </c>
      <c r="F632" s="3" t="s">
        <v>1919</v>
      </c>
      <c r="G632" s="3" t="s">
        <v>75</v>
      </c>
      <c r="H632" s="2" t="s">
        <v>22</v>
      </c>
      <c r="I632" s="2" t="s">
        <v>1920</v>
      </c>
      <c r="J632" s="3" t="str">
        <f>HYPERLINK("https://www.boe.es/gazeta/dias/1834/03/22/pdfs/GMD-1834-36.pdf#page=4","Abrir facsímil")</f>
        <v>Abrir facsímil</v>
      </c>
      <c r="K632" s="3" t="s">
        <v>24</v>
      </c>
    </row>
    <row r="633" spans="1:11" ht="54" customHeight="1">
      <c r="A633" s="2" t="s">
        <v>1904</v>
      </c>
      <c r="B633" s="2" t="s">
        <v>1904</v>
      </c>
      <c r="C633" s="2" t="s">
        <v>90</v>
      </c>
      <c r="D633" s="2" t="s">
        <v>67</v>
      </c>
      <c r="E633" s="5" t="s">
        <v>1323</v>
      </c>
      <c r="F633" s="3" t="s">
        <v>1324</v>
      </c>
      <c r="G633" s="3" t="s">
        <v>21</v>
      </c>
      <c r="H633" s="2" t="s">
        <v>22</v>
      </c>
      <c r="I633" s="2" t="s">
        <v>1921</v>
      </c>
      <c r="J633" s="3" t="str">
        <f>HYPERLINK("https://www.boe.es/gazeta/dias/1834/05/22/pdfs/GMD-1834-91.pdf#page=3","Abrir facsímil")</f>
        <v>Abrir facsímil</v>
      </c>
      <c r="K633" s="3" t="s">
        <v>24</v>
      </c>
    </row>
    <row r="634" spans="1:11" ht="54" customHeight="1">
      <c r="A634" s="2" t="s">
        <v>1904</v>
      </c>
      <c r="B634" s="2" t="s">
        <v>1904</v>
      </c>
      <c r="C634" s="2" t="s">
        <v>66</v>
      </c>
      <c r="D634" s="2" t="s">
        <v>67</v>
      </c>
      <c r="E634" s="5" t="s">
        <v>1922</v>
      </c>
      <c r="F634" s="3" t="s">
        <v>1923</v>
      </c>
      <c r="G634" s="3" t="s">
        <v>28</v>
      </c>
      <c r="H634" s="2" t="s">
        <v>22</v>
      </c>
      <c r="I634" s="2" t="s">
        <v>1924</v>
      </c>
      <c r="J634" s="3" t="str">
        <f>HYPERLINK("https://www.boe.es/gazeta/dias/1834/02/25/pdfs/GMD-1834-25.pdf#page=5","Abrir facsímil")</f>
        <v>Abrir facsímil</v>
      </c>
      <c r="K634" s="3" t="s">
        <v>24</v>
      </c>
    </row>
    <row r="635" spans="1:11" ht="54" customHeight="1">
      <c r="A635" s="2" t="s">
        <v>1904</v>
      </c>
      <c r="B635" s="2" t="s">
        <v>1904</v>
      </c>
      <c r="C635" s="2" t="s">
        <v>122</v>
      </c>
      <c r="D635" s="2" t="s">
        <v>18</v>
      </c>
      <c r="E635" s="5" t="s">
        <v>389</v>
      </c>
      <c r="F635" s="3" t="s">
        <v>390</v>
      </c>
      <c r="G635" s="3" t="s">
        <v>75</v>
      </c>
      <c r="H635" s="2" t="s">
        <v>22</v>
      </c>
      <c r="I635" s="2" t="s">
        <v>1925</v>
      </c>
      <c r="J635" s="3" t="str">
        <f>HYPERLINK("https://www.boe.es/gazeta/dias/1834/10/25/pdfs/GMD-1834-253.pdf#page=4","Abrir facsímil")</f>
        <v>Abrir facsímil</v>
      </c>
      <c r="K635" s="3" t="s">
        <v>24</v>
      </c>
    </row>
    <row r="636" spans="1:11" ht="54" customHeight="1">
      <c r="A636" s="2" t="s">
        <v>1904</v>
      </c>
      <c r="B636" s="2" t="s">
        <v>1904</v>
      </c>
      <c r="C636" s="2" t="s">
        <v>66</v>
      </c>
      <c r="D636" s="2" t="s">
        <v>67</v>
      </c>
      <c r="E636" s="5" t="s">
        <v>803</v>
      </c>
      <c r="F636" s="3" t="s">
        <v>804</v>
      </c>
      <c r="G636" s="3" t="s">
        <v>75</v>
      </c>
      <c r="H636" s="2" t="s">
        <v>22</v>
      </c>
      <c r="I636" s="2" t="s">
        <v>1926</v>
      </c>
      <c r="J636" s="3" t="str">
        <f>HYPERLINK("https://www.boe.es/gazeta/dias/1834/03/29/pdfs/GMD-1834-39.pdf#page=4","Abrir facsímil")</f>
        <v>Abrir facsímil</v>
      </c>
      <c r="K636" s="3" t="s">
        <v>24</v>
      </c>
    </row>
    <row r="637" spans="1:11" ht="54" customHeight="1">
      <c r="A637" s="2" t="s">
        <v>1904</v>
      </c>
      <c r="B637" s="2" t="s">
        <v>1904</v>
      </c>
      <c r="C637" s="2" t="s">
        <v>17</v>
      </c>
      <c r="D637" s="2" t="s">
        <v>18</v>
      </c>
      <c r="E637" s="5" t="s">
        <v>552</v>
      </c>
      <c r="F637" s="3" t="s">
        <v>553</v>
      </c>
      <c r="G637" s="3" t="s">
        <v>21</v>
      </c>
      <c r="H637" s="2" t="s">
        <v>22</v>
      </c>
      <c r="I637" s="2" t="s">
        <v>1927</v>
      </c>
      <c r="J637" s="3" t="str">
        <f>HYPERLINK("https://www.boe.es/gazeta/dias/1834/07/30/pdfs/GMD-1834-163.pdf#page=3","Abrir facsímil")</f>
        <v>Abrir facsímil</v>
      </c>
      <c r="K637" s="3" t="s">
        <v>24</v>
      </c>
    </row>
    <row r="638" spans="1:11" ht="54" customHeight="1">
      <c r="A638" s="2" t="s">
        <v>1904</v>
      </c>
      <c r="B638" s="2" t="s">
        <v>1904</v>
      </c>
      <c r="C638" s="2" t="s">
        <v>66</v>
      </c>
      <c r="D638" s="2" t="s">
        <v>40</v>
      </c>
      <c r="E638" s="5" t="s">
        <v>286</v>
      </c>
      <c r="F638" s="3" t="s">
        <v>1928</v>
      </c>
      <c r="G638" s="3" t="s">
        <v>86</v>
      </c>
      <c r="H638" s="2" t="s">
        <v>22</v>
      </c>
      <c r="I638" s="2" t="s">
        <v>1929</v>
      </c>
      <c r="J638" s="3" t="str">
        <f>HYPERLINK("https://www.boe.es/gazeta/dias/1834/08/30/pdfs/GMD-1834-197E.pdf#page=2","Abrir facsímil")</f>
        <v>Abrir facsímil</v>
      </c>
      <c r="K638" s="3" t="s">
        <v>24</v>
      </c>
    </row>
    <row r="639" spans="1:11" ht="54" customHeight="1">
      <c r="A639" s="2" t="s">
        <v>1930</v>
      </c>
      <c r="B639" s="2" t="s">
        <v>1931</v>
      </c>
      <c r="C639" s="2" t="s">
        <v>66</v>
      </c>
      <c r="D639" s="2" t="s">
        <v>67</v>
      </c>
      <c r="E639" s="5" t="s">
        <v>222</v>
      </c>
      <c r="F639" s="3" t="s">
        <v>223</v>
      </c>
      <c r="G639" s="3" t="s">
        <v>21</v>
      </c>
      <c r="H639" s="2" t="s">
        <v>22</v>
      </c>
      <c r="I639" s="2" t="s">
        <v>1932</v>
      </c>
      <c r="J639" s="3" t="str">
        <f>HYPERLINK("https://www.boe.es/gazeta/dias/1834/09/14/pdfs/GMD-1834-212.pdf#page=3","Abrir facsímil")</f>
        <v>Abrir facsímil</v>
      </c>
      <c r="K639" s="3" t="s">
        <v>24</v>
      </c>
    </row>
    <row r="640" spans="1:11" ht="54" customHeight="1">
      <c r="A640" s="2" t="s">
        <v>1930</v>
      </c>
      <c r="B640" s="2" t="s">
        <v>1931</v>
      </c>
      <c r="C640" s="2" t="s">
        <v>90</v>
      </c>
      <c r="D640" s="2" t="s">
        <v>18</v>
      </c>
      <c r="E640" s="5" t="s">
        <v>19</v>
      </c>
      <c r="F640" s="3" t="s">
        <v>1933</v>
      </c>
      <c r="G640" s="3" t="s">
        <v>34</v>
      </c>
      <c r="H640" s="2" t="s">
        <v>22</v>
      </c>
      <c r="I640" s="2" t="s">
        <v>1934</v>
      </c>
      <c r="J640" s="3" t="str">
        <f>HYPERLINK("https://www.boe.es/gazeta/dias/1834/08/17/pdfs/GMD-1834-183E.pdf#page=1","Abrir facsímil")</f>
        <v>Abrir facsímil</v>
      </c>
      <c r="K640" s="3" t="s">
        <v>24</v>
      </c>
    </row>
    <row r="641" spans="1:11" ht="54" customHeight="1">
      <c r="A641" s="2" t="s">
        <v>1930</v>
      </c>
      <c r="B641" s="2" t="s">
        <v>1931</v>
      </c>
      <c r="C641" s="2" t="s">
        <v>17</v>
      </c>
      <c r="D641" s="2" t="s">
        <v>18</v>
      </c>
      <c r="E641" s="5" t="s">
        <v>739</v>
      </c>
      <c r="F641" s="3" t="s">
        <v>740</v>
      </c>
      <c r="G641" s="3" t="s">
        <v>75</v>
      </c>
      <c r="H641" s="2" t="s">
        <v>22</v>
      </c>
      <c r="I641" s="2" t="s">
        <v>1935</v>
      </c>
      <c r="J641" s="3" t="str">
        <f>HYPERLINK("https://www.boe.es/gazeta/dias/1834/03/25/pdfs/GMD-1834-37.pdf#page=4","Abrir facsímil")</f>
        <v>Abrir facsímil</v>
      </c>
      <c r="K641" s="3" t="s">
        <v>24</v>
      </c>
    </row>
    <row r="642" spans="1:11" ht="54" customHeight="1">
      <c r="A642" s="2" t="s">
        <v>1936</v>
      </c>
      <c r="B642" s="2" t="s">
        <v>1937</v>
      </c>
      <c r="C642" s="2" t="s">
        <v>66</v>
      </c>
      <c r="D642" s="2" t="s">
        <v>67</v>
      </c>
      <c r="E642" s="5" t="s">
        <v>222</v>
      </c>
      <c r="F642" s="3" t="s">
        <v>223</v>
      </c>
      <c r="G642" s="3" t="s">
        <v>21</v>
      </c>
      <c r="H642" s="2" t="s">
        <v>35</v>
      </c>
      <c r="I642" s="2" t="s">
        <v>1938</v>
      </c>
      <c r="J642" s="3" t="str">
        <f>HYPERLINK("https://www.boe.es/gazeta/dias/1834/09/14/pdfs/GMD-1834-212.pdf#page=3","Abrir facsímil")</f>
        <v>Abrir facsímil</v>
      </c>
      <c r="K642" s="3" t="s">
        <v>37</v>
      </c>
    </row>
    <row r="643" spans="1:11" ht="54" customHeight="1">
      <c r="A643" s="2" t="s">
        <v>1939</v>
      </c>
      <c r="B643" s="2" t="s">
        <v>1939</v>
      </c>
      <c r="C643" s="2" t="s">
        <v>17</v>
      </c>
      <c r="D643" s="2" t="s">
        <v>18</v>
      </c>
      <c r="E643" s="5" t="s">
        <v>793</v>
      </c>
      <c r="F643" s="3" t="s">
        <v>794</v>
      </c>
      <c r="G643" s="3" t="s">
        <v>34</v>
      </c>
      <c r="H643" s="2" t="s">
        <v>22</v>
      </c>
      <c r="I643" s="2" t="s">
        <v>1940</v>
      </c>
      <c r="J643" s="3" t="str">
        <f>HYPERLINK("https://www.boe.es/gazeta/dias/1834/10/08/pdfs/GMD-1834-236.pdf#page=1","Abrir facsímil")</f>
        <v>Abrir facsímil</v>
      </c>
      <c r="K643" s="3" t="s">
        <v>24</v>
      </c>
    </row>
    <row r="644" spans="1:11" ht="54" customHeight="1">
      <c r="A644" s="2" t="s">
        <v>1941</v>
      </c>
      <c r="B644" s="2" t="s">
        <v>1942</v>
      </c>
      <c r="C644" s="2" t="s">
        <v>122</v>
      </c>
      <c r="D644" s="2" t="s">
        <v>18</v>
      </c>
      <c r="E644" s="5" t="s">
        <v>56</v>
      </c>
      <c r="F644" s="3" t="s">
        <v>57</v>
      </c>
      <c r="G644" s="3" t="s">
        <v>75</v>
      </c>
      <c r="H644" s="2" t="s">
        <v>22</v>
      </c>
      <c r="I644" s="2" t="s">
        <v>1943</v>
      </c>
      <c r="J644" s="3" t="str">
        <f>HYPERLINK("https://www.boe.es/gazeta/dias/1834/07/09/pdfs/GMD-1834-142.pdf#page=4","Abrir facsímil")</f>
        <v>Abrir facsímil</v>
      </c>
      <c r="K644" s="3" t="s">
        <v>24</v>
      </c>
    </row>
    <row r="645" spans="1:11" ht="54" customHeight="1">
      <c r="A645" s="2" t="s">
        <v>1944</v>
      </c>
      <c r="B645" s="2" t="s">
        <v>1945</v>
      </c>
      <c r="C645" s="2" t="s">
        <v>122</v>
      </c>
      <c r="D645" s="2" t="s">
        <v>18</v>
      </c>
      <c r="E645" s="5" t="s">
        <v>96</v>
      </c>
      <c r="F645" s="3" t="s">
        <v>1725</v>
      </c>
      <c r="G645" s="3" t="s">
        <v>75</v>
      </c>
      <c r="H645" s="2" t="s">
        <v>22</v>
      </c>
      <c r="I645" s="2" t="s">
        <v>1946</v>
      </c>
      <c r="J645" s="3" t="str">
        <f>HYPERLINK("https://www.boe.es/gazeta/dias/1834/11/11/pdfs/GMD-1834-270.pdf#page=4","Abrir facsímil")</f>
        <v>Abrir facsímil</v>
      </c>
      <c r="K645" s="3" t="s">
        <v>24</v>
      </c>
    </row>
    <row r="646" spans="1:11" ht="54" customHeight="1">
      <c r="A646" s="2" t="s">
        <v>1947</v>
      </c>
      <c r="B646" s="2" t="s">
        <v>1948</v>
      </c>
      <c r="C646" s="2" t="s">
        <v>122</v>
      </c>
      <c r="D646" s="2" t="s">
        <v>18</v>
      </c>
      <c r="E646" s="5" t="s">
        <v>1661</v>
      </c>
      <c r="F646" s="3" t="s">
        <v>1662</v>
      </c>
      <c r="G646" s="3" t="s">
        <v>75</v>
      </c>
      <c r="H646" s="2" t="s">
        <v>22</v>
      </c>
      <c r="I646" s="2" t="s">
        <v>1949</v>
      </c>
      <c r="J646" s="3" t="str">
        <f>HYPERLINK("https://www.boe.es/gazeta/dias/1834/04/06/pdfs/GMD-1834-45.pdf#page=4","Abrir facsímil")</f>
        <v>Abrir facsímil</v>
      </c>
      <c r="K646" s="3" t="s">
        <v>24</v>
      </c>
    </row>
    <row r="647" spans="1:11" ht="54" customHeight="1">
      <c r="A647" s="2" t="s">
        <v>1950</v>
      </c>
      <c r="B647" s="2" t="s">
        <v>1951</v>
      </c>
      <c r="C647" s="2" t="s">
        <v>122</v>
      </c>
      <c r="D647" s="2" t="s">
        <v>18</v>
      </c>
      <c r="E647" s="5" t="s">
        <v>222</v>
      </c>
      <c r="F647" s="3" t="s">
        <v>223</v>
      </c>
      <c r="G647" s="3" t="s">
        <v>75</v>
      </c>
      <c r="H647" s="2" t="s">
        <v>22</v>
      </c>
      <c r="I647" s="2" t="s">
        <v>1952</v>
      </c>
      <c r="J647" s="3" t="str">
        <f>HYPERLINK("https://www.boe.es/gazeta/dias/1834/09/14/pdfs/GMD-1834-212.pdf#page=4","Abrir facsímil")</f>
        <v>Abrir facsímil</v>
      </c>
      <c r="K647" s="3" t="s">
        <v>24</v>
      </c>
    </row>
    <row r="648" spans="1:11" ht="54" customHeight="1">
      <c r="A648" s="2" t="s">
        <v>1953</v>
      </c>
      <c r="B648" s="2" t="s">
        <v>1954</v>
      </c>
      <c r="C648" s="2" t="s">
        <v>17</v>
      </c>
      <c r="D648" s="2" t="s">
        <v>18</v>
      </c>
      <c r="E648" s="5" t="s">
        <v>1955</v>
      </c>
      <c r="F648" s="3" t="s">
        <v>1956</v>
      </c>
      <c r="G648" s="3" t="s">
        <v>86</v>
      </c>
      <c r="H648" s="2" t="s">
        <v>35</v>
      </c>
      <c r="I648" s="2" t="s">
        <v>1957</v>
      </c>
      <c r="J648" s="3" t="str">
        <f>HYPERLINK("https://www.boe.es/gazeta/dias/1834/05/04/pdfs/GMD-1834-73.pdf#page=2","Abrir facsímil")</f>
        <v>Abrir facsímil</v>
      </c>
      <c r="K648" s="3" t="s">
        <v>37</v>
      </c>
    </row>
    <row r="649" spans="1:11" ht="54" customHeight="1">
      <c r="A649" s="2" t="s">
        <v>1958</v>
      </c>
      <c r="B649" s="2" t="s">
        <v>1959</v>
      </c>
      <c r="C649" s="2" t="s">
        <v>17</v>
      </c>
      <c r="D649" s="2" t="s">
        <v>18</v>
      </c>
      <c r="E649" s="5" t="s">
        <v>1955</v>
      </c>
      <c r="F649" s="3" t="s">
        <v>1956</v>
      </c>
      <c r="G649" s="3" t="s">
        <v>86</v>
      </c>
      <c r="H649" s="2" t="s">
        <v>22</v>
      </c>
      <c r="I649" s="2" t="s">
        <v>1960</v>
      </c>
      <c r="J649" s="3" t="str">
        <f>HYPERLINK("https://www.boe.es/gazeta/dias/1834/05/04/pdfs/GMD-1834-73.pdf#page=2","Abrir facsímil")</f>
        <v>Abrir facsímil</v>
      </c>
      <c r="K649" s="3" t="s">
        <v>24</v>
      </c>
    </row>
    <row r="650" spans="1:11" ht="54" customHeight="1">
      <c r="A650" s="2" t="s">
        <v>1961</v>
      </c>
      <c r="B650" s="2" t="s">
        <v>1962</v>
      </c>
      <c r="C650" s="2" t="s">
        <v>17</v>
      </c>
      <c r="D650" s="2" t="s">
        <v>18</v>
      </c>
      <c r="E650" s="5" t="s">
        <v>1002</v>
      </c>
      <c r="F650" s="3" t="s">
        <v>1003</v>
      </c>
      <c r="G650" s="3" t="s">
        <v>86</v>
      </c>
      <c r="H650" s="2" t="s">
        <v>35</v>
      </c>
      <c r="I650" s="2" t="s">
        <v>1963</v>
      </c>
      <c r="J650" s="3" t="str">
        <f>HYPERLINK("https://www.boe.es/gazeta/dias/1834/06/26/pdfs/GMD-1834-129.pdf#page=2","Abrir facsímil")</f>
        <v>Abrir facsímil</v>
      </c>
      <c r="K650" s="3" t="s">
        <v>37</v>
      </c>
    </row>
    <row r="651" spans="1:11" ht="54" customHeight="1">
      <c r="A651" s="2" t="s">
        <v>1964</v>
      </c>
      <c r="B651" s="2" t="s">
        <v>1965</v>
      </c>
      <c r="C651" s="2" t="s">
        <v>122</v>
      </c>
      <c r="D651" s="2" t="s">
        <v>55</v>
      </c>
      <c r="E651" s="5" t="s">
        <v>133</v>
      </c>
      <c r="F651" s="3" t="s">
        <v>134</v>
      </c>
      <c r="G651" s="3" t="s">
        <v>21</v>
      </c>
      <c r="H651" s="2" t="s">
        <v>22</v>
      </c>
      <c r="I651" s="2" t="s">
        <v>1966</v>
      </c>
      <c r="J651" s="3" t="str">
        <f>HYPERLINK("https://www.boe.es/gazeta/dias/1834/06/18/pdfs/GMD-1834-121.pdf#page=3","Abrir facsímil")</f>
        <v>Abrir facsímil</v>
      </c>
      <c r="K651" s="3" t="s">
        <v>24</v>
      </c>
    </row>
    <row r="652" spans="1:11" ht="54" customHeight="1">
      <c r="A652" s="2" t="s">
        <v>1964</v>
      </c>
      <c r="B652" s="2" t="s">
        <v>1965</v>
      </c>
      <c r="C652" s="2" t="s">
        <v>17</v>
      </c>
      <c r="D652" s="2" t="s">
        <v>18</v>
      </c>
      <c r="E652" s="5" t="s">
        <v>1002</v>
      </c>
      <c r="F652" s="3" t="s">
        <v>1003</v>
      </c>
      <c r="G652" s="3" t="s">
        <v>21</v>
      </c>
      <c r="H652" s="2" t="s">
        <v>22</v>
      </c>
      <c r="I652" s="2" t="s">
        <v>1967</v>
      </c>
      <c r="J652" s="3" t="str">
        <f>HYPERLINK("https://www.boe.es/gazeta/dias/1834/06/26/pdfs/GMD-1834-129.pdf#page=3","Abrir facsímil")</f>
        <v>Abrir facsímil</v>
      </c>
      <c r="K652" s="3" t="s">
        <v>24</v>
      </c>
    </row>
    <row r="653" spans="1:11" ht="54" customHeight="1">
      <c r="A653" s="2" t="s">
        <v>1968</v>
      </c>
      <c r="B653" s="2" t="s">
        <v>1969</v>
      </c>
      <c r="C653" s="2" t="s">
        <v>17</v>
      </c>
      <c r="D653" s="2" t="s">
        <v>18</v>
      </c>
      <c r="E653" s="5" t="s">
        <v>1002</v>
      </c>
      <c r="F653" s="3" t="s">
        <v>1003</v>
      </c>
      <c r="G653" s="3" t="s">
        <v>86</v>
      </c>
      <c r="H653" s="2" t="s">
        <v>22</v>
      </c>
      <c r="I653" s="2" t="s">
        <v>1970</v>
      </c>
      <c r="J653" s="3" t="str">
        <f>HYPERLINK("https://www.boe.es/gazeta/dias/1834/06/26/pdfs/GMD-1834-129.pdf#page=2","Abrir facsímil")</f>
        <v>Abrir facsímil</v>
      </c>
      <c r="K653" s="3" t="s">
        <v>24</v>
      </c>
    </row>
    <row r="654" spans="1:11" ht="54" customHeight="1">
      <c r="A654" s="2" t="s">
        <v>1971</v>
      </c>
      <c r="B654" s="2" t="s">
        <v>1972</v>
      </c>
      <c r="C654" s="2" t="s">
        <v>46</v>
      </c>
      <c r="D654" s="2" t="s">
        <v>18</v>
      </c>
      <c r="E654" s="5" t="s">
        <v>1973</v>
      </c>
      <c r="F654" s="3" t="s">
        <v>1974</v>
      </c>
      <c r="G654" s="3" t="s">
        <v>560</v>
      </c>
      <c r="H654" s="2" t="s">
        <v>22</v>
      </c>
      <c r="I654" s="2" t="s">
        <v>1975</v>
      </c>
      <c r="J654" s="3" t="str">
        <f>HYPERLINK("https://www.boe.es/gazeta/dias/1834/12/20/pdfs/GMD-C-1834-310.pdf#page=7","Abrir facsímil")</f>
        <v>Abrir facsímil</v>
      </c>
      <c r="K654" s="3" t="s">
        <v>24</v>
      </c>
    </row>
    <row r="655" spans="1:11" ht="54" customHeight="1">
      <c r="A655" s="2" t="s">
        <v>1976</v>
      </c>
      <c r="B655" s="2" t="s">
        <v>1977</v>
      </c>
      <c r="C655" s="2" t="s">
        <v>66</v>
      </c>
      <c r="D655" s="2" t="s">
        <v>67</v>
      </c>
      <c r="E655" s="5" t="s">
        <v>1141</v>
      </c>
      <c r="F655" s="3" t="s">
        <v>1142</v>
      </c>
      <c r="G655" s="3" t="s">
        <v>75</v>
      </c>
      <c r="H655" s="2" t="s">
        <v>22</v>
      </c>
      <c r="I655" s="2" t="s">
        <v>1978</v>
      </c>
      <c r="J655" s="3" t="str">
        <f>HYPERLINK("https://www.boe.es/gazeta/dias/1834/04/30/pdfs/GMD-1834-69.pdf#page=4","Abrir facsímil")</f>
        <v>Abrir facsímil</v>
      </c>
      <c r="K655" s="3" t="s">
        <v>24</v>
      </c>
    </row>
    <row r="656" spans="1:11" ht="54" customHeight="1">
      <c r="A656" s="2" t="s">
        <v>1979</v>
      </c>
      <c r="B656" s="2" t="s">
        <v>1980</v>
      </c>
      <c r="C656" s="2" t="s">
        <v>122</v>
      </c>
      <c r="D656" s="2" t="s">
        <v>18</v>
      </c>
      <c r="E656" s="5" t="s">
        <v>1981</v>
      </c>
      <c r="F656" s="3" t="s">
        <v>1982</v>
      </c>
      <c r="G656" s="3" t="s">
        <v>75</v>
      </c>
      <c r="H656" s="2" t="s">
        <v>22</v>
      </c>
      <c r="I656" s="2" t="s">
        <v>1983</v>
      </c>
      <c r="J656" s="3" t="str">
        <f>HYPERLINK("https://www.boe.es/gazeta/dias/1834/12/13/pdfs/GMD-1834-302.pdf#page=4","Abrir facsímil")</f>
        <v>Abrir facsímil</v>
      </c>
      <c r="K656" s="3" t="s">
        <v>24</v>
      </c>
    </row>
    <row r="657" spans="1:11" ht="54" customHeight="1">
      <c r="A657" s="2" t="s">
        <v>1984</v>
      </c>
      <c r="B657" s="2" t="s">
        <v>1984</v>
      </c>
      <c r="C657" s="2" t="s">
        <v>90</v>
      </c>
      <c r="D657" s="2" t="s">
        <v>18</v>
      </c>
      <c r="E657" s="5" t="s">
        <v>891</v>
      </c>
      <c r="F657" s="3" t="s">
        <v>892</v>
      </c>
      <c r="G657" s="3" t="s">
        <v>34</v>
      </c>
      <c r="H657" s="2" t="s">
        <v>22</v>
      </c>
      <c r="I657" s="2" t="s">
        <v>1985</v>
      </c>
      <c r="J657" s="3" t="str">
        <f>HYPERLINK("https://www.boe.es/gazeta/dias/1834/10/31/pdfs/GMD-C-1834-259.pdf#page=1","Abrir facsímil")</f>
        <v>Abrir facsímil</v>
      </c>
      <c r="K657" s="3" t="s">
        <v>24</v>
      </c>
    </row>
    <row r="658" spans="1:11" ht="54" customHeight="1">
      <c r="A658" s="2" t="s">
        <v>1986</v>
      </c>
      <c r="B658" s="2" t="s">
        <v>1987</v>
      </c>
      <c r="C658" s="2" t="s">
        <v>90</v>
      </c>
      <c r="D658" s="2" t="s">
        <v>18</v>
      </c>
      <c r="E658" s="5" t="s">
        <v>355</v>
      </c>
      <c r="F658" s="3" t="s">
        <v>356</v>
      </c>
      <c r="G658" s="3" t="s">
        <v>86</v>
      </c>
      <c r="H658" s="2" t="s">
        <v>35</v>
      </c>
      <c r="I658" s="2" t="s">
        <v>1988</v>
      </c>
      <c r="J658" s="3" t="str">
        <f>HYPERLINK("https://www.boe.es/gazeta/dias/1834/07/04/pdfs/GMD-1834-137.pdf#page=2","Abrir facsímil")</f>
        <v>Abrir facsímil</v>
      </c>
      <c r="K658" s="3" t="s">
        <v>37</v>
      </c>
    </row>
    <row r="659" spans="1:11" ht="54" customHeight="1">
      <c r="A659" s="2" t="s">
        <v>1989</v>
      </c>
      <c r="B659" s="2" t="s">
        <v>1990</v>
      </c>
      <c r="C659" s="2" t="s">
        <v>17</v>
      </c>
      <c r="D659" s="2" t="s">
        <v>18</v>
      </c>
      <c r="E659" s="5" t="s">
        <v>299</v>
      </c>
      <c r="F659" s="3" t="s">
        <v>300</v>
      </c>
      <c r="G659" s="3" t="s">
        <v>75</v>
      </c>
      <c r="H659" s="2" t="s">
        <v>22</v>
      </c>
      <c r="I659" s="2" t="s">
        <v>1991</v>
      </c>
      <c r="J659" s="3" t="str">
        <f>HYPERLINK("https://www.boe.es/gazeta/dias/1834/12/12/pdfs/GMD-1834-301.pdf#page=4","Abrir facsímil")</f>
        <v>Abrir facsímil</v>
      </c>
      <c r="K659" s="3" t="s">
        <v>24</v>
      </c>
    </row>
    <row r="660" spans="1:11" ht="54" customHeight="1">
      <c r="A660" s="2" t="s">
        <v>1992</v>
      </c>
      <c r="B660" s="2" t="s">
        <v>1993</v>
      </c>
      <c r="C660" s="2" t="s">
        <v>90</v>
      </c>
      <c r="D660" s="2" t="s">
        <v>18</v>
      </c>
      <c r="E660" s="5" t="s">
        <v>355</v>
      </c>
      <c r="F660" s="3" t="s">
        <v>356</v>
      </c>
      <c r="G660" s="3" t="s">
        <v>86</v>
      </c>
      <c r="H660" s="2" t="s">
        <v>22</v>
      </c>
      <c r="I660" s="2" t="s">
        <v>1994</v>
      </c>
      <c r="J660" s="3" t="str">
        <f>HYPERLINK("https://www.boe.es/gazeta/dias/1834/07/04/pdfs/GMD-1834-137.pdf#page=2","Abrir facsímil")</f>
        <v>Abrir facsímil</v>
      </c>
      <c r="K660" s="3" t="s">
        <v>24</v>
      </c>
    </row>
    <row r="661" spans="1:11" ht="54" customHeight="1">
      <c r="A661" s="2" t="s">
        <v>1995</v>
      </c>
      <c r="B661" s="2" t="s">
        <v>1996</v>
      </c>
      <c r="C661" s="2" t="s">
        <v>17</v>
      </c>
      <c r="D661" s="2" t="s">
        <v>55</v>
      </c>
      <c r="E661" s="5" t="s">
        <v>153</v>
      </c>
      <c r="F661" s="3" t="s">
        <v>1294</v>
      </c>
      <c r="G661" s="3" t="s">
        <v>21</v>
      </c>
      <c r="H661" s="2" t="s">
        <v>22</v>
      </c>
      <c r="I661" s="2" t="s">
        <v>1997</v>
      </c>
      <c r="J661" s="3" t="str">
        <f>HYPERLINK("https://www.boe.es/gazeta/dias/1834/12/30/pdfs/GMD-1834-320.pdf#page=3","Abrir facsímil")</f>
        <v>Abrir facsímil</v>
      </c>
      <c r="K661" s="3" t="s">
        <v>24</v>
      </c>
    </row>
    <row r="662" spans="1:11" ht="54" customHeight="1">
      <c r="A662" s="2" t="s">
        <v>1998</v>
      </c>
      <c r="B662" s="2" t="s">
        <v>1998</v>
      </c>
      <c r="C662" s="2" t="s">
        <v>17</v>
      </c>
      <c r="D662" s="2" t="s">
        <v>18</v>
      </c>
      <c r="E662" s="5" t="s">
        <v>1999</v>
      </c>
      <c r="F662" s="3" t="s">
        <v>2000</v>
      </c>
      <c r="G662" s="3" t="s">
        <v>34</v>
      </c>
      <c r="H662" s="2" t="s">
        <v>22</v>
      </c>
      <c r="I662" s="2" t="s">
        <v>2001</v>
      </c>
      <c r="J662" s="3" t="str">
        <f>HYPERLINK("https://www.boe.es/gazeta/dias/1834/04/09/pdfs/GMD-1834-48.pdf#page=1","Abrir facsímil")</f>
        <v>Abrir facsímil</v>
      </c>
      <c r="K662" s="3" t="s">
        <v>24</v>
      </c>
    </row>
    <row r="663" spans="1:11" ht="54" customHeight="1">
      <c r="A663" s="2" t="s">
        <v>2002</v>
      </c>
      <c r="B663" s="2" t="s">
        <v>2002</v>
      </c>
      <c r="C663" s="2" t="s">
        <v>17</v>
      </c>
      <c r="D663" s="2" t="s">
        <v>18</v>
      </c>
      <c r="E663" s="5" t="s">
        <v>860</v>
      </c>
      <c r="F663" s="3" t="s">
        <v>861</v>
      </c>
      <c r="G663" s="3" t="s">
        <v>21</v>
      </c>
      <c r="H663" s="2" t="s">
        <v>22</v>
      </c>
      <c r="I663" s="2" t="s">
        <v>2003</v>
      </c>
      <c r="J663" s="3" t="str">
        <f>HYPERLINK("https://www.boe.es/gazeta/dias/1834/02/08/pdfs/GMD-1834-18.pdf#page=3","Abrir facsímil")</f>
        <v>Abrir facsímil</v>
      </c>
      <c r="K663" s="3" t="s">
        <v>24</v>
      </c>
    </row>
    <row r="664" spans="1:11" ht="54" customHeight="1">
      <c r="A664" s="2" t="s">
        <v>2002</v>
      </c>
      <c r="B664" s="2" t="s">
        <v>2002</v>
      </c>
      <c r="C664" s="2" t="s">
        <v>46</v>
      </c>
      <c r="D664" s="2" t="s">
        <v>101</v>
      </c>
      <c r="E664" s="5" t="s">
        <v>2004</v>
      </c>
      <c r="F664" s="3" t="s">
        <v>2005</v>
      </c>
      <c r="G664" s="3" t="s">
        <v>34</v>
      </c>
      <c r="H664" s="2" t="s">
        <v>22</v>
      </c>
      <c r="I664" s="2" t="s">
        <v>2006</v>
      </c>
      <c r="J664" s="3" t="str">
        <f>HYPERLINK("https://www.boe.es/gazeta/dias/1834/05/09/pdfs/GMD-1834-78.pdf#page=1","Abrir facsímil")</f>
        <v>Abrir facsímil</v>
      </c>
      <c r="K664" s="3" t="s">
        <v>24</v>
      </c>
    </row>
    <row r="665" spans="1:11" ht="54" customHeight="1">
      <c r="A665" s="2" t="s">
        <v>2007</v>
      </c>
      <c r="B665" s="2" t="s">
        <v>2008</v>
      </c>
      <c r="C665" s="2" t="s">
        <v>17</v>
      </c>
      <c r="D665" s="2" t="s">
        <v>101</v>
      </c>
      <c r="E665" s="5" t="s">
        <v>454</v>
      </c>
      <c r="F665" s="3" t="s">
        <v>2009</v>
      </c>
      <c r="G665" s="3" t="s">
        <v>21</v>
      </c>
      <c r="H665" s="2" t="s">
        <v>22</v>
      </c>
      <c r="I665" s="2" t="s">
        <v>2010</v>
      </c>
      <c r="J665" s="3" t="str">
        <f>HYPERLINK("https://www.boe.es/gazeta/dias/1834/10/16/pdfs/GMD-1834-244.pdf#page=3","Abrir facsímil")</f>
        <v>Abrir facsímil</v>
      </c>
      <c r="K665" s="3" t="s">
        <v>24</v>
      </c>
    </row>
    <row r="666" spans="1:11" ht="54" customHeight="1">
      <c r="A666" s="2" t="s">
        <v>2011</v>
      </c>
      <c r="B666" s="2" t="s">
        <v>2011</v>
      </c>
      <c r="C666" s="2" t="s">
        <v>46</v>
      </c>
      <c r="D666" s="2" t="s">
        <v>55</v>
      </c>
      <c r="E666" s="5" t="s">
        <v>1094</v>
      </c>
      <c r="F666" s="3" t="s">
        <v>1095</v>
      </c>
      <c r="G666" s="3" t="s">
        <v>34</v>
      </c>
      <c r="H666" s="2" t="s">
        <v>22</v>
      </c>
      <c r="I666" s="2" t="s">
        <v>2012</v>
      </c>
      <c r="J666" s="3" t="str">
        <f>HYPERLINK("https://www.boe.es/gazeta/dias/1834/07/13/pdfs/GMD-1834-146.pdf#page=1","Abrir facsímil")</f>
        <v>Abrir facsímil</v>
      </c>
      <c r="K666" s="3" t="s">
        <v>24</v>
      </c>
    </row>
    <row r="667" spans="1:11" ht="54" customHeight="1">
      <c r="A667" s="2" t="s">
        <v>2013</v>
      </c>
      <c r="B667" s="2" t="s">
        <v>2014</v>
      </c>
      <c r="C667" s="2" t="s">
        <v>857</v>
      </c>
      <c r="D667" s="2" t="s">
        <v>18</v>
      </c>
      <c r="E667" s="5" t="s">
        <v>378</v>
      </c>
      <c r="F667" s="3" t="s">
        <v>379</v>
      </c>
      <c r="G667" s="3" t="s">
        <v>75</v>
      </c>
      <c r="H667" s="2" t="s">
        <v>22</v>
      </c>
      <c r="I667" s="2" t="s">
        <v>2015</v>
      </c>
      <c r="J667" s="3" t="str">
        <f>HYPERLINK("https://www.boe.es/gazeta/dias/1834/09/24/pdfs/GMD-1834-222.pdf#page=4","Abrir facsímil")</f>
        <v>Abrir facsímil</v>
      </c>
      <c r="K667" s="3" t="s">
        <v>24</v>
      </c>
    </row>
    <row r="668" spans="1:11" ht="54" customHeight="1">
      <c r="A668" s="2" t="s">
        <v>2016</v>
      </c>
      <c r="B668" s="2" t="s">
        <v>2017</v>
      </c>
      <c r="C668" s="2" t="s">
        <v>46</v>
      </c>
      <c r="D668" s="2" t="s">
        <v>55</v>
      </c>
      <c r="E668" s="5" t="s">
        <v>222</v>
      </c>
      <c r="F668" s="3" t="s">
        <v>223</v>
      </c>
      <c r="G668" s="3" t="s">
        <v>86</v>
      </c>
      <c r="H668" s="2" t="s">
        <v>35</v>
      </c>
      <c r="I668" s="2" t="s">
        <v>2018</v>
      </c>
      <c r="J668" s="3" t="str">
        <f>HYPERLINK("https://www.boe.es/gazeta/dias/1834/09/14/pdfs/GMD-1834-212.pdf#page=2","Abrir facsímil")</f>
        <v>Abrir facsímil</v>
      </c>
      <c r="K668" s="3" t="s">
        <v>37</v>
      </c>
    </row>
    <row r="669" spans="1:11" ht="54" customHeight="1">
      <c r="A669" s="2" t="s">
        <v>2019</v>
      </c>
      <c r="B669" s="2" t="s">
        <v>2020</v>
      </c>
      <c r="C669" s="2" t="s">
        <v>46</v>
      </c>
      <c r="D669" s="2" t="s">
        <v>55</v>
      </c>
      <c r="E669" s="5" t="s">
        <v>222</v>
      </c>
      <c r="F669" s="3" t="s">
        <v>223</v>
      </c>
      <c r="G669" s="3" t="s">
        <v>86</v>
      </c>
      <c r="H669" s="2" t="s">
        <v>22</v>
      </c>
      <c r="I669" s="2" t="s">
        <v>2021</v>
      </c>
      <c r="J669" s="3" t="str">
        <f>HYPERLINK("https://www.boe.es/gazeta/dias/1834/09/14/pdfs/GMD-1834-212.pdf#page=2","Abrir facsímil")</f>
        <v>Abrir facsímil</v>
      </c>
      <c r="K669" s="3" t="s">
        <v>24</v>
      </c>
    </row>
    <row r="670" spans="1:11" ht="54" customHeight="1">
      <c r="A670" s="2" t="s">
        <v>2022</v>
      </c>
      <c r="B670" s="2" t="s">
        <v>2023</v>
      </c>
      <c r="C670" s="2" t="s">
        <v>66</v>
      </c>
      <c r="D670" s="2" t="s">
        <v>67</v>
      </c>
      <c r="E670" s="5" t="s">
        <v>1918</v>
      </c>
      <c r="F670" s="3" t="s">
        <v>2024</v>
      </c>
      <c r="G670" s="3" t="s">
        <v>34</v>
      </c>
      <c r="H670" s="2" t="s">
        <v>22</v>
      </c>
      <c r="I670" s="2" t="s">
        <v>2025</v>
      </c>
      <c r="J670" s="3" t="str">
        <f>HYPERLINK("https://www.boe.es/gazeta/dias/1834/03/22/pdfs/GMD-C-1834-36.pdf#page=1","Abrir facsímil")</f>
        <v>Abrir facsímil</v>
      </c>
      <c r="K670" s="3" t="s">
        <v>24</v>
      </c>
    </row>
    <row r="671" spans="1:11" ht="54" customHeight="1">
      <c r="A671" s="2" t="s">
        <v>2026</v>
      </c>
      <c r="B671" s="2" t="s">
        <v>2027</v>
      </c>
      <c r="C671" s="2" t="s">
        <v>17</v>
      </c>
      <c r="D671" s="2" t="s">
        <v>18</v>
      </c>
      <c r="E671" s="5" t="s">
        <v>642</v>
      </c>
      <c r="F671" s="3" t="s">
        <v>1843</v>
      </c>
      <c r="G671" s="3" t="s">
        <v>34</v>
      </c>
      <c r="H671" s="2" t="s">
        <v>22</v>
      </c>
      <c r="I671" s="2" t="s">
        <v>2028</v>
      </c>
      <c r="J671" s="3" t="str">
        <f>HYPERLINK("https://www.boe.es/gazeta/dias/1834/11/12/pdfs/GMD-1834-271.pdf#page=1","Abrir facsímil")</f>
        <v>Abrir facsímil</v>
      </c>
      <c r="K671" s="3" t="s">
        <v>24</v>
      </c>
    </row>
    <row r="672" spans="1:11" ht="54" customHeight="1">
      <c r="A672" s="2" t="s">
        <v>2029</v>
      </c>
      <c r="B672" s="2" t="s">
        <v>2030</v>
      </c>
      <c r="C672" s="2" t="s">
        <v>90</v>
      </c>
      <c r="D672" s="2" t="s">
        <v>101</v>
      </c>
      <c r="E672" s="5" t="s">
        <v>541</v>
      </c>
      <c r="F672" s="3" t="s">
        <v>542</v>
      </c>
      <c r="G672" s="3" t="s">
        <v>86</v>
      </c>
      <c r="H672" s="2" t="s">
        <v>22</v>
      </c>
      <c r="I672" s="2" t="s">
        <v>2031</v>
      </c>
      <c r="J672" s="3" t="str">
        <f>HYPERLINK("https://www.boe.es/gazeta/dias/1834/04/18/pdfs/GMD-1834-57.pdf#page=2","Abrir facsímil")</f>
        <v>Abrir facsímil</v>
      </c>
      <c r="K672" s="3" t="s">
        <v>24</v>
      </c>
    </row>
    <row r="673" spans="1:11" ht="54" customHeight="1">
      <c r="A673" s="2" t="s">
        <v>2032</v>
      </c>
      <c r="B673" s="2" t="s">
        <v>2033</v>
      </c>
      <c r="C673" s="2" t="s">
        <v>66</v>
      </c>
      <c r="D673" s="2" t="s">
        <v>67</v>
      </c>
      <c r="E673" s="5" t="s">
        <v>1556</v>
      </c>
      <c r="F673" s="3" t="s">
        <v>1557</v>
      </c>
      <c r="G673" s="3" t="s">
        <v>21</v>
      </c>
      <c r="H673" s="2" t="s">
        <v>22</v>
      </c>
      <c r="I673" s="2" t="s">
        <v>2034</v>
      </c>
      <c r="J673" s="3" t="str">
        <f>HYPERLINK("https://www.boe.es/gazeta/dias/1834/06/06/pdfs/GMD-1834-108.pdf#page=3","Abrir facsímil")</f>
        <v>Abrir facsímil</v>
      </c>
      <c r="K673" s="3" t="s">
        <v>24</v>
      </c>
    </row>
    <row r="674" spans="1:11" ht="54" customHeight="1">
      <c r="A674" s="2" t="s">
        <v>2035</v>
      </c>
      <c r="B674" s="2" t="s">
        <v>2036</v>
      </c>
      <c r="C674" s="2" t="s">
        <v>122</v>
      </c>
      <c r="D674" s="2" t="s">
        <v>18</v>
      </c>
      <c r="E674" s="5" t="s">
        <v>2037</v>
      </c>
      <c r="F674" s="3" t="s">
        <v>2038</v>
      </c>
      <c r="G674" s="3" t="s">
        <v>34</v>
      </c>
      <c r="H674" s="2" t="s">
        <v>22</v>
      </c>
      <c r="I674" s="2" t="s">
        <v>2039</v>
      </c>
      <c r="J674" s="3" t="str">
        <f>HYPERLINK("https://www.boe.es/gazeta/dias/1834/12/01/pdfs/I01208-01208.pdf#page=1","Abrir facsímil")</f>
        <v>Abrir facsímil</v>
      </c>
      <c r="K674" s="3" t="s">
        <v>24</v>
      </c>
    </row>
    <row r="675" spans="1:11" ht="54" customHeight="1">
      <c r="A675" s="2" t="s">
        <v>2035</v>
      </c>
      <c r="B675" s="2" t="s">
        <v>2036</v>
      </c>
      <c r="C675" s="2" t="s">
        <v>122</v>
      </c>
      <c r="D675" s="2" t="s">
        <v>18</v>
      </c>
      <c r="E675" s="5" t="s">
        <v>2037</v>
      </c>
      <c r="F675" s="3" t="s">
        <v>2038</v>
      </c>
      <c r="G675" s="3" t="s">
        <v>75</v>
      </c>
      <c r="H675" s="2" t="s">
        <v>22</v>
      </c>
      <c r="I675" s="2" t="s">
        <v>2039</v>
      </c>
      <c r="J675" s="3" t="str">
        <f>HYPERLINK("https://www.boe.es/gazeta/dias/1834/12/01/pdfs/GMD-1834-290.pdf#page=4","Abrir facsímil")</f>
        <v>Abrir facsímil</v>
      </c>
      <c r="K675" s="3" t="s">
        <v>24</v>
      </c>
    </row>
    <row r="676" spans="1:11" ht="54" customHeight="1">
      <c r="A676" s="2" t="s">
        <v>2040</v>
      </c>
      <c r="B676" s="2" t="s">
        <v>2040</v>
      </c>
      <c r="C676" s="2" t="s">
        <v>17</v>
      </c>
      <c r="D676" s="2" t="s">
        <v>18</v>
      </c>
      <c r="E676" s="5" t="s">
        <v>1410</v>
      </c>
      <c r="F676" s="3" t="s">
        <v>1411</v>
      </c>
      <c r="G676" s="3" t="s">
        <v>21</v>
      </c>
      <c r="H676" s="2" t="s">
        <v>22</v>
      </c>
      <c r="I676" s="2" t="s">
        <v>2041</v>
      </c>
      <c r="J676" s="3" t="str">
        <f>HYPERLINK("https://www.boe.es/gazeta/dias/1834/09/09/pdfs/GMD-1834-207.pdf#page=3","Abrir facsímil")</f>
        <v>Abrir facsímil</v>
      </c>
      <c r="K676" s="3" t="s">
        <v>24</v>
      </c>
    </row>
    <row r="677" spans="1:11" ht="54" customHeight="1">
      <c r="A677" s="2" t="s">
        <v>2042</v>
      </c>
      <c r="B677" s="2" t="s">
        <v>2043</v>
      </c>
      <c r="C677" s="2" t="s">
        <v>17</v>
      </c>
      <c r="D677" s="2" t="s">
        <v>55</v>
      </c>
      <c r="E677" s="5" t="s">
        <v>956</v>
      </c>
      <c r="F677" s="3" t="s">
        <v>1508</v>
      </c>
      <c r="G677" s="3" t="s">
        <v>75</v>
      </c>
      <c r="H677" s="2" t="s">
        <v>22</v>
      </c>
      <c r="I677" s="2" t="s">
        <v>2044</v>
      </c>
      <c r="J677" s="3" t="str">
        <f>HYPERLINK("https://www.boe.es/gazeta/dias/1834/08/10/pdfs/GMD-1834-175.pdf#page=4","Abrir facsímil")</f>
        <v>Abrir facsímil</v>
      </c>
      <c r="K677" s="3" t="s">
        <v>24</v>
      </c>
    </row>
    <row r="678" spans="1:11" ht="54" customHeight="1">
      <c r="A678" s="2" t="s">
        <v>2042</v>
      </c>
      <c r="B678" s="2" t="s">
        <v>2043</v>
      </c>
      <c r="C678" s="2" t="s">
        <v>17</v>
      </c>
      <c r="D678" s="2" t="s">
        <v>18</v>
      </c>
      <c r="E678" s="5" t="s">
        <v>1307</v>
      </c>
      <c r="F678" s="3" t="s">
        <v>1308</v>
      </c>
      <c r="G678" s="3" t="s">
        <v>75</v>
      </c>
      <c r="H678" s="2" t="s">
        <v>22</v>
      </c>
      <c r="I678" s="2" t="s">
        <v>2045</v>
      </c>
      <c r="J678" s="3" t="str">
        <f>HYPERLINK("https://www.boe.es/gazeta/dias/1834/08/25/pdfs/GMD-1834-191.pdf#page=4","Abrir facsímil")</f>
        <v>Abrir facsímil</v>
      </c>
      <c r="K678" s="3" t="s">
        <v>24</v>
      </c>
    </row>
    <row r="679" spans="1:11" ht="54" customHeight="1">
      <c r="A679" s="2" t="s">
        <v>2046</v>
      </c>
      <c r="B679" s="2" t="s">
        <v>2047</v>
      </c>
      <c r="C679" s="2" t="s">
        <v>17</v>
      </c>
      <c r="D679" s="2" t="s">
        <v>18</v>
      </c>
      <c r="E679" s="5" t="s">
        <v>2048</v>
      </c>
      <c r="F679" s="3" t="s">
        <v>2049</v>
      </c>
      <c r="G679" s="3" t="s">
        <v>75</v>
      </c>
      <c r="H679" s="2" t="s">
        <v>22</v>
      </c>
      <c r="I679" s="2" t="s">
        <v>2050</v>
      </c>
      <c r="J679" s="3" t="str">
        <f>HYPERLINK("https://www.boe.es/gazeta/dias/1834/05/12/pdfs/GMD-1834-81.pdf#page=4","Abrir facsímil")</f>
        <v>Abrir facsímil</v>
      </c>
      <c r="K679" s="3" t="s">
        <v>24</v>
      </c>
    </row>
    <row r="680" spans="1:11" ht="54" customHeight="1">
      <c r="A680" s="2" t="s">
        <v>2051</v>
      </c>
      <c r="B680" s="2" t="s">
        <v>2052</v>
      </c>
      <c r="C680" s="2" t="s">
        <v>17</v>
      </c>
      <c r="D680" s="2" t="s">
        <v>18</v>
      </c>
      <c r="E680" s="5" t="s">
        <v>2053</v>
      </c>
      <c r="F680" s="3" t="s">
        <v>2054</v>
      </c>
      <c r="G680" s="3" t="s">
        <v>75</v>
      </c>
      <c r="H680" s="2" t="s">
        <v>35</v>
      </c>
      <c r="I680" s="2" t="s">
        <v>2055</v>
      </c>
      <c r="J680" s="3" t="str">
        <f>HYPERLINK("https://www.boe.es/gazeta/dias/1834/06/02/pdfs/GMD-1834-103.pdf#page=4","Abrir facsímil")</f>
        <v>Abrir facsímil</v>
      </c>
      <c r="K680" s="3" t="s">
        <v>37</v>
      </c>
    </row>
    <row r="681" spans="1:11" ht="54" customHeight="1">
      <c r="A681" s="2" t="s">
        <v>2056</v>
      </c>
      <c r="B681" s="2" t="s">
        <v>2057</v>
      </c>
      <c r="C681" s="2" t="s">
        <v>17</v>
      </c>
      <c r="D681" s="2" t="s">
        <v>18</v>
      </c>
      <c r="E681" s="5" t="s">
        <v>448</v>
      </c>
      <c r="F681" s="3" t="s">
        <v>2058</v>
      </c>
      <c r="G681" s="3" t="s">
        <v>21</v>
      </c>
      <c r="H681" s="2" t="s">
        <v>22</v>
      </c>
      <c r="I681" s="2" t="s">
        <v>2059</v>
      </c>
      <c r="J681" s="3" t="str">
        <f>HYPERLINK("https://www.boe.es/gazeta/dias/1834/10/14/pdfs/GMD-1834-242.pdf#page=3","Abrir facsímil")</f>
        <v>Abrir facsímil</v>
      </c>
      <c r="K681" s="3" t="s">
        <v>24</v>
      </c>
    </row>
    <row r="682" spans="1:11" ht="54" customHeight="1">
      <c r="A682" s="2" t="s">
        <v>2060</v>
      </c>
      <c r="B682" s="2" t="s">
        <v>2061</v>
      </c>
      <c r="C682" s="2" t="s">
        <v>17</v>
      </c>
      <c r="D682" s="2" t="s">
        <v>18</v>
      </c>
      <c r="E682" s="5" t="s">
        <v>2053</v>
      </c>
      <c r="F682" s="3" t="s">
        <v>2054</v>
      </c>
      <c r="G682" s="3" t="s">
        <v>75</v>
      </c>
      <c r="H682" s="2" t="s">
        <v>22</v>
      </c>
      <c r="I682" s="2" t="s">
        <v>2062</v>
      </c>
      <c r="J682" s="3" t="str">
        <f>HYPERLINK("https://www.boe.es/gazeta/dias/1834/06/02/pdfs/GMD-1834-103.pdf#page=4","Abrir facsímil")</f>
        <v>Abrir facsímil</v>
      </c>
      <c r="K682" s="3" t="s">
        <v>24</v>
      </c>
    </row>
    <row r="683" spans="1:11" ht="54" customHeight="1">
      <c r="A683" s="2" t="s">
        <v>2063</v>
      </c>
      <c r="B683" s="2" t="s">
        <v>2063</v>
      </c>
      <c r="C683" s="2" t="s">
        <v>122</v>
      </c>
      <c r="D683" s="2" t="s">
        <v>18</v>
      </c>
      <c r="E683" s="5" t="s">
        <v>696</v>
      </c>
      <c r="F683" s="3" t="s">
        <v>854</v>
      </c>
      <c r="G683" s="3" t="s">
        <v>86</v>
      </c>
      <c r="H683" s="2" t="s">
        <v>22</v>
      </c>
      <c r="I683" s="2" t="s">
        <v>2064</v>
      </c>
      <c r="J683" s="3" t="str">
        <f>HYPERLINK("https://www.boe.es/gazeta/dias/1834/12/06/pdfs/GMD-1834-295.pdf#page=2","Abrir facsímil")</f>
        <v>Abrir facsímil</v>
      </c>
      <c r="K683" s="3" t="s">
        <v>24</v>
      </c>
    </row>
    <row r="684" spans="1:11" ht="54" customHeight="1">
      <c r="A684" s="2" t="s">
        <v>2063</v>
      </c>
      <c r="B684" s="2" t="s">
        <v>2063</v>
      </c>
      <c r="C684" s="2" t="s">
        <v>66</v>
      </c>
      <c r="D684" s="2" t="s">
        <v>67</v>
      </c>
      <c r="E684" s="5" t="s">
        <v>1766</v>
      </c>
      <c r="F684" s="3" t="s">
        <v>1767</v>
      </c>
      <c r="G684" s="3" t="s">
        <v>86</v>
      </c>
      <c r="H684" s="2" t="s">
        <v>22</v>
      </c>
      <c r="I684" s="2" t="s">
        <v>2065</v>
      </c>
      <c r="J684" s="3" t="str">
        <f>HYPERLINK("https://www.boe.es/gazeta/dias/1834/10/26/pdfs/GMD-C-1834-254.pdf#page=2","Abrir facsímil")</f>
        <v>Abrir facsímil</v>
      </c>
      <c r="K684" s="3" t="s">
        <v>24</v>
      </c>
    </row>
    <row r="685" spans="1:11" ht="54" customHeight="1">
      <c r="A685" s="2" t="s">
        <v>2066</v>
      </c>
      <c r="B685" s="2" t="s">
        <v>2067</v>
      </c>
      <c r="C685" s="2" t="s">
        <v>17</v>
      </c>
      <c r="D685" s="2" t="s">
        <v>18</v>
      </c>
      <c r="E685" s="5" t="s">
        <v>1850</v>
      </c>
      <c r="F685" s="3" t="s">
        <v>1851</v>
      </c>
      <c r="G685" s="3" t="s">
        <v>28</v>
      </c>
      <c r="H685" s="2" t="s">
        <v>22</v>
      </c>
      <c r="I685" s="2" t="s">
        <v>2068</v>
      </c>
      <c r="J685" s="3" t="str">
        <f>HYPERLINK("https://www.boe.es/gazeta/dias/1834/02/18/pdfs/GMD-1834-22.pdf#page=5","Abrir facsímil")</f>
        <v>Abrir facsímil</v>
      </c>
      <c r="K685" s="3" t="s">
        <v>24</v>
      </c>
    </row>
    <row r="686" spans="1:11" ht="54" customHeight="1">
      <c r="A686" s="2" t="s">
        <v>2069</v>
      </c>
      <c r="B686" s="2" t="s">
        <v>2070</v>
      </c>
      <c r="C686" s="2" t="s">
        <v>17</v>
      </c>
      <c r="D686" s="2" t="s">
        <v>18</v>
      </c>
      <c r="E686" s="5" t="s">
        <v>1686</v>
      </c>
      <c r="F686" s="3" t="s">
        <v>1687</v>
      </c>
      <c r="G686" s="3" t="s">
        <v>34</v>
      </c>
      <c r="H686" s="2" t="s">
        <v>35</v>
      </c>
      <c r="I686" s="2" t="s">
        <v>2071</v>
      </c>
      <c r="J686" s="3" t="str">
        <f>HYPERLINK("https://www.boe.es/gazeta/dias/1834/07/27/pdfs/GMD-1834-160.pdf#page=1","Abrir facsímil")</f>
        <v>Abrir facsímil</v>
      </c>
      <c r="K686" s="3" t="s">
        <v>37</v>
      </c>
    </row>
    <row r="687" spans="1:11" ht="54" customHeight="1">
      <c r="A687" s="2" t="s">
        <v>2072</v>
      </c>
      <c r="B687" s="2" t="s">
        <v>2073</v>
      </c>
      <c r="C687" s="2" t="s">
        <v>122</v>
      </c>
      <c r="D687" s="2" t="s">
        <v>101</v>
      </c>
      <c r="E687" s="5" t="s">
        <v>1119</v>
      </c>
      <c r="F687" s="3" t="s">
        <v>1120</v>
      </c>
      <c r="G687" s="3" t="s">
        <v>21</v>
      </c>
      <c r="H687" s="2" t="s">
        <v>22</v>
      </c>
      <c r="I687" s="2" t="s">
        <v>2074</v>
      </c>
      <c r="J687" s="3" t="str">
        <f>HYPERLINK("https://www.boe.es/gazeta/dias/1834/07/17/pdfs/GMD-1834-150.pdf#page=3","Abrir facsímil")</f>
        <v>Abrir facsímil</v>
      </c>
      <c r="K687" s="3" t="s">
        <v>24</v>
      </c>
    </row>
    <row r="688" spans="1:11" ht="54" customHeight="1">
      <c r="A688" s="2" t="s">
        <v>2075</v>
      </c>
      <c r="B688" s="2" t="s">
        <v>2076</v>
      </c>
      <c r="C688" s="2" t="s">
        <v>122</v>
      </c>
      <c r="D688" s="2" t="s">
        <v>101</v>
      </c>
      <c r="E688" s="5" t="s">
        <v>1119</v>
      </c>
      <c r="F688" s="3" t="s">
        <v>1120</v>
      </c>
      <c r="G688" s="3" t="s">
        <v>21</v>
      </c>
      <c r="H688" s="2" t="s">
        <v>22</v>
      </c>
      <c r="I688" s="2" t="s">
        <v>2077</v>
      </c>
      <c r="J688" s="3" t="str">
        <f>HYPERLINK("https://www.boe.es/gazeta/dias/1834/07/17/pdfs/GMD-1834-150.pdf#page=3","Abrir facsímil")</f>
        <v>Abrir facsímil</v>
      </c>
      <c r="K688" s="3" t="s">
        <v>24</v>
      </c>
    </row>
    <row r="689" spans="1:11" ht="54" customHeight="1">
      <c r="A689" s="2" t="s">
        <v>2078</v>
      </c>
      <c r="B689" s="2" t="s">
        <v>2078</v>
      </c>
      <c r="C689" s="2" t="s">
        <v>17</v>
      </c>
      <c r="D689" s="2" t="s">
        <v>40</v>
      </c>
      <c r="E689" s="5" t="s">
        <v>1323</v>
      </c>
      <c r="F689" s="3" t="s">
        <v>1324</v>
      </c>
      <c r="G689" s="3" t="s">
        <v>75</v>
      </c>
      <c r="H689" s="2" t="s">
        <v>22</v>
      </c>
      <c r="I689" s="2" t="s">
        <v>2079</v>
      </c>
      <c r="J689" s="3" t="str">
        <f>HYPERLINK("https://www.boe.es/gazeta/dias/1834/05/22/pdfs/GMD-1834-91.pdf#page=4","Abrir facsímil")</f>
        <v>Abrir facsímil</v>
      </c>
      <c r="K689" s="3" t="s">
        <v>24</v>
      </c>
    </row>
    <row r="690" spans="1:11" ht="54" customHeight="1">
      <c r="A690" s="2" t="s">
        <v>2080</v>
      </c>
      <c r="B690" s="2" t="s">
        <v>2081</v>
      </c>
      <c r="C690" s="2" t="s">
        <v>17</v>
      </c>
      <c r="D690" s="2" t="s">
        <v>55</v>
      </c>
      <c r="E690" s="5" t="s">
        <v>1141</v>
      </c>
      <c r="F690" s="3" t="s">
        <v>1142</v>
      </c>
      <c r="G690" s="3" t="s">
        <v>75</v>
      </c>
      <c r="H690" s="2" t="s">
        <v>22</v>
      </c>
      <c r="I690" s="2" t="s">
        <v>2082</v>
      </c>
      <c r="J690" s="3" t="str">
        <f>HYPERLINK("https://www.boe.es/gazeta/dias/1834/04/30/pdfs/GMD-1834-69.pdf#page=4","Abrir facsímil")</f>
        <v>Abrir facsímil</v>
      </c>
      <c r="K690" s="3" t="s">
        <v>24</v>
      </c>
    </row>
    <row r="691" spans="1:11" ht="54" customHeight="1">
      <c r="A691" s="2" t="s">
        <v>2083</v>
      </c>
      <c r="B691" s="2" t="s">
        <v>2084</v>
      </c>
      <c r="C691" s="2" t="s">
        <v>17</v>
      </c>
      <c r="D691" s="2" t="s">
        <v>55</v>
      </c>
      <c r="E691" s="5" t="s">
        <v>1141</v>
      </c>
      <c r="F691" s="3" t="s">
        <v>1142</v>
      </c>
      <c r="G691" s="3" t="s">
        <v>75</v>
      </c>
      <c r="H691" s="2" t="s">
        <v>35</v>
      </c>
      <c r="I691" s="2" t="s">
        <v>2085</v>
      </c>
      <c r="J691" s="3" t="str">
        <f>HYPERLINK("https://www.boe.es/gazeta/dias/1834/04/30/pdfs/GMD-1834-69.pdf#page=4","Abrir facsímil")</f>
        <v>Abrir facsímil</v>
      </c>
      <c r="K691" s="3" t="s">
        <v>37</v>
      </c>
    </row>
    <row r="692" spans="1:11" ht="54" customHeight="1">
      <c r="A692" s="2" t="s">
        <v>2086</v>
      </c>
      <c r="B692" s="2" t="s">
        <v>2086</v>
      </c>
      <c r="C692" s="2" t="s">
        <v>46</v>
      </c>
      <c r="D692" s="2" t="s">
        <v>101</v>
      </c>
      <c r="E692" s="5" t="s">
        <v>2087</v>
      </c>
      <c r="F692" s="3" t="s">
        <v>2088</v>
      </c>
      <c r="G692" s="3" t="s">
        <v>34</v>
      </c>
      <c r="H692" s="2" t="s">
        <v>22</v>
      </c>
      <c r="I692" s="2" t="s">
        <v>2089</v>
      </c>
      <c r="J692" s="3" t="str">
        <f>HYPERLINK("https://www.boe.es/gazeta/dias/1834/12/14/pdfs/GMD-1834-303.pdf#page=1","Abrir facsímil")</f>
        <v>Abrir facsímil</v>
      </c>
      <c r="K692" s="3" t="s">
        <v>24</v>
      </c>
    </row>
    <row r="693" spans="1:11" ht="54" customHeight="1">
      <c r="A693" s="2" t="s">
        <v>2090</v>
      </c>
      <c r="B693" s="2" t="s">
        <v>2090</v>
      </c>
      <c r="C693" s="2" t="s">
        <v>122</v>
      </c>
      <c r="D693" s="2" t="s">
        <v>55</v>
      </c>
      <c r="E693" s="5" t="s">
        <v>2091</v>
      </c>
      <c r="F693" s="3" t="s">
        <v>2092</v>
      </c>
      <c r="G693" s="3" t="s">
        <v>86</v>
      </c>
      <c r="H693" s="2" t="s">
        <v>22</v>
      </c>
      <c r="I693" s="2" t="s">
        <v>2093</v>
      </c>
      <c r="J693" s="3" t="str">
        <f>HYPERLINK("https://www.boe.es/gazeta/dias/1834/03/08/pdfs/GMD-1834-30.pdf#page=2","Abrir facsímil")</f>
        <v>Abrir facsímil</v>
      </c>
      <c r="K693" s="3" t="s">
        <v>24</v>
      </c>
    </row>
    <row r="694" spans="1:11" ht="54" customHeight="1">
      <c r="A694" s="2" t="s">
        <v>2090</v>
      </c>
      <c r="B694" s="2" t="s">
        <v>2090</v>
      </c>
      <c r="C694" s="2" t="s">
        <v>17</v>
      </c>
      <c r="D694" s="2" t="s">
        <v>18</v>
      </c>
      <c r="E694" s="5" t="s">
        <v>174</v>
      </c>
      <c r="F694" s="3" t="s">
        <v>175</v>
      </c>
      <c r="G694" s="3" t="s">
        <v>21</v>
      </c>
      <c r="H694" s="2" t="s">
        <v>22</v>
      </c>
      <c r="I694" s="2" t="s">
        <v>2094</v>
      </c>
      <c r="J694" s="3" t="str">
        <f>HYPERLINK("https://www.boe.es/gazeta/dias/1834/03/27/pdfs/GMD-1834-38.pdf#page=3","Abrir facsímil")</f>
        <v>Abrir facsímil</v>
      </c>
      <c r="K694" s="3" t="s">
        <v>24</v>
      </c>
    </row>
    <row r="695" spans="1:11" ht="54" customHeight="1">
      <c r="A695" s="2" t="s">
        <v>2095</v>
      </c>
      <c r="B695" s="2" t="s">
        <v>2095</v>
      </c>
      <c r="C695" s="2" t="s">
        <v>17</v>
      </c>
      <c r="D695" s="2" t="s">
        <v>18</v>
      </c>
      <c r="E695" s="5" t="s">
        <v>183</v>
      </c>
      <c r="F695" s="3" t="s">
        <v>184</v>
      </c>
      <c r="G695" s="3" t="s">
        <v>21</v>
      </c>
      <c r="H695" s="2" t="s">
        <v>22</v>
      </c>
      <c r="I695" s="2" t="s">
        <v>2096</v>
      </c>
      <c r="J695" s="3" t="str">
        <f>HYPERLINK("https://www.boe.es/gazeta/dias/1834/03/18/pdfs/GMD-1834-34.pdf#page=3","Abrir facsímil")</f>
        <v>Abrir facsímil</v>
      </c>
      <c r="K695" s="3" t="s">
        <v>24</v>
      </c>
    </row>
    <row r="696" spans="1:11" ht="54" customHeight="1">
      <c r="A696" s="2" t="s">
        <v>2097</v>
      </c>
      <c r="B696" s="2" t="s">
        <v>2097</v>
      </c>
      <c r="C696" s="2" t="s">
        <v>66</v>
      </c>
      <c r="D696" s="2" t="s">
        <v>67</v>
      </c>
      <c r="E696" s="5" t="s">
        <v>2098</v>
      </c>
      <c r="F696" s="3" t="s">
        <v>2099</v>
      </c>
      <c r="G696" s="3" t="s">
        <v>21</v>
      </c>
      <c r="H696" s="2" t="s">
        <v>22</v>
      </c>
      <c r="I696" s="2" t="s">
        <v>2100</v>
      </c>
      <c r="J696" s="3" t="str">
        <f>HYPERLINK("https://www.boe.es/gazeta/dias/1834/08/11/pdfs/GMD-1834-176.pdf#page=3","Abrir facsímil")</f>
        <v>Abrir facsímil</v>
      </c>
      <c r="K696" s="3" t="s">
        <v>24</v>
      </c>
    </row>
    <row r="697" spans="1:11" ht="54" customHeight="1">
      <c r="A697" s="2" t="s">
        <v>2101</v>
      </c>
      <c r="B697" s="2" t="s">
        <v>2101</v>
      </c>
      <c r="C697" s="2" t="s">
        <v>17</v>
      </c>
      <c r="D697" s="2" t="s">
        <v>18</v>
      </c>
      <c r="E697" s="5" t="s">
        <v>364</v>
      </c>
      <c r="F697" s="3" t="s">
        <v>2102</v>
      </c>
      <c r="G697" s="3" t="s">
        <v>21</v>
      </c>
      <c r="H697" s="2" t="s">
        <v>22</v>
      </c>
      <c r="I697" s="2" t="s">
        <v>2103</v>
      </c>
      <c r="J697" s="3" t="str">
        <f>HYPERLINK("https://www.boe.es/gazeta/dias/1834/09/06/pdfs/GMD-1834-204.pdf#page=3","Abrir facsímil")</f>
        <v>Abrir facsímil</v>
      </c>
      <c r="K697" s="3" t="s">
        <v>24</v>
      </c>
    </row>
    <row r="698" spans="1:11" ht="54" customHeight="1">
      <c r="A698" s="2" t="s">
        <v>2101</v>
      </c>
      <c r="B698" s="2" t="s">
        <v>2101</v>
      </c>
      <c r="C698" s="2" t="s">
        <v>66</v>
      </c>
      <c r="D698" s="2" t="s">
        <v>18</v>
      </c>
      <c r="E698" s="5" t="s">
        <v>364</v>
      </c>
      <c r="F698" s="3" t="s">
        <v>365</v>
      </c>
      <c r="G698" s="3" t="s">
        <v>86</v>
      </c>
      <c r="H698" s="2" t="s">
        <v>22</v>
      </c>
      <c r="I698" s="2" t="s">
        <v>2104</v>
      </c>
      <c r="J698" s="3" t="str">
        <f>HYPERLINK("https://www.boe.es/gazeta/dias/1834/09/06/pdfs/GMD-D-1834-204.pdf#page=2","Abrir facsímil")</f>
        <v>Abrir facsímil</v>
      </c>
      <c r="K698" s="3" t="s">
        <v>24</v>
      </c>
    </row>
    <row r="699" spans="1:11" ht="54" customHeight="1">
      <c r="A699" s="2" t="s">
        <v>2101</v>
      </c>
      <c r="B699" s="2" t="s">
        <v>2101</v>
      </c>
      <c r="C699" s="2" t="s">
        <v>66</v>
      </c>
      <c r="D699" s="2" t="s">
        <v>67</v>
      </c>
      <c r="E699" s="5" t="s">
        <v>479</v>
      </c>
      <c r="F699" s="3" t="s">
        <v>480</v>
      </c>
      <c r="G699" s="3" t="s">
        <v>86</v>
      </c>
      <c r="H699" s="2" t="s">
        <v>22</v>
      </c>
      <c r="I699" s="2" t="s">
        <v>2105</v>
      </c>
      <c r="J699" s="3" t="str">
        <f>HYPERLINK("https://www.boe.es/gazeta/dias/1834/08/13/pdfs/GMD-1834-178.pdf#page=2","Abrir facsímil")</f>
        <v>Abrir facsímil</v>
      </c>
      <c r="K699" s="3" t="s">
        <v>24</v>
      </c>
    </row>
    <row r="700" spans="1:11" ht="54" customHeight="1">
      <c r="A700" s="2" t="s">
        <v>2101</v>
      </c>
      <c r="B700" s="2" t="s">
        <v>2101</v>
      </c>
      <c r="C700" s="2" t="s">
        <v>66</v>
      </c>
      <c r="D700" s="2" t="s">
        <v>18</v>
      </c>
      <c r="E700" s="5" t="s">
        <v>1239</v>
      </c>
      <c r="F700" s="3" t="s">
        <v>1240</v>
      </c>
      <c r="G700" s="3" t="s">
        <v>21</v>
      </c>
      <c r="H700" s="2" t="s">
        <v>22</v>
      </c>
      <c r="I700" s="2" t="s">
        <v>2106</v>
      </c>
      <c r="J700" s="3" t="str">
        <f>HYPERLINK("https://www.boe.es/gazeta/dias/1834/08/20/pdfs/GMD-1834-186.pdf#page=3","Abrir facsímil")</f>
        <v>Abrir facsímil</v>
      </c>
      <c r="K700" s="3" t="s">
        <v>24</v>
      </c>
    </row>
    <row r="701" spans="1:11" ht="54" customHeight="1">
      <c r="A701" s="2" t="s">
        <v>2101</v>
      </c>
      <c r="B701" s="2" t="s">
        <v>2101</v>
      </c>
      <c r="C701" s="2" t="s">
        <v>66</v>
      </c>
      <c r="D701" s="2" t="s">
        <v>67</v>
      </c>
      <c r="E701" s="5" t="s">
        <v>2107</v>
      </c>
      <c r="F701" s="3" t="s">
        <v>2108</v>
      </c>
      <c r="G701" s="3" t="s">
        <v>21</v>
      </c>
      <c r="H701" s="2" t="s">
        <v>22</v>
      </c>
      <c r="I701" s="2" t="s">
        <v>2109</v>
      </c>
      <c r="J701" s="3" t="str">
        <f>HYPERLINK("https://www.boe.es/gazeta/dias/1834/08/24/pdfs/GMD-1834-190.pdf#page=3","Abrir facsímil")</f>
        <v>Abrir facsímil</v>
      </c>
      <c r="K701" s="3" t="s">
        <v>24</v>
      </c>
    </row>
    <row r="702" spans="1:11" ht="54" customHeight="1">
      <c r="A702" s="2" t="s">
        <v>2101</v>
      </c>
      <c r="B702" s="2" t="s">
        <v>2101</v>
      </c>
      <c r="C702" s="2" t="s">
        <v>66</v>
      </c>
      <c r="D702" s="2" t="s">
        <v>18</v>
      </c>
      <c r="E702" s="5" t="s">
        <v>462</v>
      </c>
      <c r="F702" s="3" t="s">
        <v>2110</v>
      </c>
      <c r="G702" s="3" t="s">
        <v>21</v>
      </c>
      <c r="H702" s="2" t="s">
        <v>22</v>
      </c>
      <c r="I702" s="2" t="s">
        <v>2111</v>
      </c>
      <c r="J702" s="3" t="str">
        <f>HYPERLINK("https://www.boe.es/gazeta/dias/1834/08/27/pdfs/GMD-1834-193.pdf#page=3","Abrir facsímil")</f>
        <v>Abrir facsímil</v>
      </c>
      <c r="K702" s="3" t="s">
        <v>24</v>
      </c>
    </row>
    <row r="703" spans="1:11" ht="54" customHeight="1">
      <c r="A703" s="2" t="s">
        <v>2101</v>
      </c>
      <c r="B703" s="2" t="s">
        <v>2101</v>
      </c>
      <c r="C703" s="2" t="s">
        <v>90</v>
      </c>
      <c r="D703" s="2" t="s">
        <v>18</v>
      </c>
      <c r="E703" s="5" t="s">
        <v>552</v>
      </c>
      <c r="F703" s="3" t="s">
        <v>553</v>
      </c>
      <c r="G703" s="3" t="s">
        <v>21</v>
      </c>
      <c r="H703" s="2" t="s">
        <v>22</v>
      </c>
      <c r="I703" s="2" t="s">
        <v>2112</v>
      </c>
      <c r="J703" s="3" t="str">
        <f>HYPERLINK("https://www.boe.es/gazeta/dias/1834/07/30/pdfs/GMD-1834-163.pdf#page=3","Abrir facsímil")</f>
        <v>Abrir facsímil</v>
      </c>
      <c r="K703" s="3" t="s">
        <v>24</v>
      </c>
    </row>
    <row r="704" spans="1:11" ht="54" customHeight="1">
      <c r="A704" s="2" t="s">
        <v>2101</v>
      </c>
      <c r="B704" s="2" t="s">
        <v>2101</v>
      </c>
      <c r="C704" s="2" t="s">
        <v>66</v>
      </c>
      <c r="D704" s="2" t="s">
        <v>67</v>
      </c>
      <c r="E704" s="5" t="s">
        <v>286</v>
      </c>
      <c r="F704" s="3" t="s">
        <v>548</v>
      </c>
      <c r="G704" s="3" t="s">
        <v>21</v>
      </c>
      <c r="H704" s="2" t="s">
        <v>22</v>
      </c>
      <c r="I704" s="2" t="s">
        <v>2113</v>
      </c>
      <c r="J704" s="3" t="str">
        <f>HYPERLINK("https://www.boe.es/gazeta/dias/1834/08/30/pdfs/GMD-1834-196.pdf#page=3","Abrir facsímil")</f>
        <v>Abrir facsímil</v>
      </c>
      <c r="K704" s="3" t="s">
        <v>24</v>
      </c>
    </row>
    <row r="705" spans="1:11" ht="54" customHeight="1">
      <c r="A705" s="2" t="s">
        <v>2101</v>
      </c>
      <c r="B705" s="2" t="s">
        <v>2101</v>
      </c>
      <c r="C705" s="2" t="s">
        <v>17</v>
      </c>
      <c r="D705" s="2" t="s">
        <v>18</v>
      </c>
      <c r="E705" s="5" t="s">
        <v>286</v>
      </c>
      <c r="F705" s="3" t="s">
        <v>1928</v>
      </c>
      <c r="G705" s="3" t="s">
        <v>34</v>
      </c>
      <c r="H705" s="2" t="s">
        <v>22</v>
      </c>
      <c r="I705" s="2" t="s">
        <v>2114</v>
      </c>
      <c r="J705" s="3" t="str">
        <f>HYPERLINK("https://www.boe.es/gazeta/dias/1834/08/30/pdfs/GMD-1834-197E.pdf#page=1","Abrir facsímil")</f>
        <v>Abrir facsímil</v>
      </c>
      <c r="K705" s="3" t="s">
        <v>24</v>
      </c>
    </row>
    <row r="706" spans="1:11" ht="54" customHeight="1">
      <c r="A706" s="2" t="s">
        <v>2101</v>
      </c>
      <c r="B706" s="2" t="s">
        <v>2101</v>
      </c>
      <c r="C706" s="2" t="s">
        <v>17</v>
      </c>
      <c r="D706" s="2" t="s">
        <v>18</v>
      </c>
      <c r="E706" s="5" t="s">
        <v>286</v>
      </c>
      <c r="F706" s="3" t="s">
        <v>1928</v>
      </c>
      <c r="G706" s="3" t="s">
        <v>86</v>
      </c>
      <c r="H706" s="2" t="s">
        <v>22</v>
      </c>
      <c r="I706" s="2" t="s">
        <v>2115</v>
      </c>
      <c r="J706" s="3" t="str">
        <f>HYPERLINK("https://www.boe.es/gazeta/dias/1834/08/30/pdfs/GMD-1834-197E.pdf#page=2","Abrir facsímil")</f>
        <v>Abrir facsímil</v>
      </c>
      <c r="K706" s="3" t="s">
        <v>24</v>
      </c>
    </row>
    <row r="707" spans="1:11" ht="54" customHeight="1">
      <c r="A707" s="2" t="s">
        <v>2116</v>
      </c>
      <c r="B707" s="2" t="s">
        <v>2117</v>
      </c>
      <c r="C707" s="2" t="s">
        <v>17</v>
      </c>
      <c r="D707" s="2" t="s">
        <v>18</v>
      </c>
      <c r="E707" s="5" t="s">
        <v>364</v>
      </c>
      <c r="F707" s="3" t="s">
        <v>365</v>
      </c>
      <c r="G707" s="3" t="s">
        <v>34</v>
      </c>
      <c r="H707" s="2" t="s">
        <v>35</v>
      </c>
      <c r="I707" s="2" t="s">
        <v>2118</v>
      </c>
      <c r="J707" s="3" t="str">
        <f>HYPERLINK("https://www.boe.es/gazeta/dias/1834/09/06/pdfs/GMD-D-1834-204.pdf#page=1","Abrir facsímil")</f>
        <v>Abrir facsímil</v>
      </c>
      <c r="K707" s="3" t="s">
        <v>37</v>
      </c>
    </row>
    <row r="708" spans="1:11" ht="54" customHeight="1">
      <c r="A708" s="2" t="s">
        <v>2116</v>
      </c>
      <c r="B708" s="2" t="s">
        <v>2117</v>
      </c>
      <c r="C708" s="2" t="s">
        <v>17</v>
      </c>
      <c r="D708" s="2" t="s">
        <v>18</v>
      </c>
      <c r="E708" s="5" t="s">
        <v>375</v>
      </c>
      <c r="F708" s="3" t="s">
        <v>376</v>
      </c>
      <c r="G708" s="3" t="s">
        <v>86</v>
      </c>
      <c r="H708" s="2" t="s">
        <v>35</v>
      </c>
      <c r="I708" s="2" t="s">
        <v>2119</v>
      </c>
      <c r="J708" s="3" t="str">
        <f>HYPERLINK("https://www.boe.es/gazeta/dias/1834/08/21/pdfs/GMD-1834-187.pdf#page=2","Abrir facsímil")</f>
        <v>Abrir facsímil</v>
      </c>
      <c r="K708" s="3" t="s">
        <v>37</v>
      </c>
    </row>
    <row r="709" spans="1:11" ht="54" customHeight="1">
      <c r="A709" s="2" t="s">
        <v>2120</v>
      </c>
      <c r="B709" s="2" t="s">
        <v>2121</v>
      </c>
      <c r="C709" s="2" t="s">
        <v>66</v>
      </c>
      <c r="D709" s="2" t="s">
        <v>18</v>
      </c>
      <c r="E709" s="5" t="s">
        <v>1297</v>
      </c>
      <c r="F709" s="3" t="s">
        <v>1879</v>
      </c>
      <c r="G709" s="3" t="s">
        <v>34</v>
      </c>
      <c r="H709" s="2" t="s">
        <v>22</v>
      </c>
      <c r="I709" s="2" t="s">
        <v>2122</v>
      </c>
      <c r="J709" s="3" t="str">
        <f>HYPERLINK("https://www.boe.es/gazeta/dias/1834/08/01/pdfs/GMD-D-1834-165.pdf#page=1","Abrir facsímil")</f>
        <v>Abrir facsímil</v>
      </c>
      <c r="K709" s="3" t="s">
        <v>24</v>
      </c>
    </row>
    <row r="710" spans="1:11" ht="54" customHeight="1">
      <c r="A710" s="2" t="s">
        <v>2120</v>
      </c>
      <c r="B710" s="2" t="s">
        <v>2121</v>
      </c>
      <c r="C710" s="2" t="s">
        <v>17</v>
      </c>
      <c r="D710" s="2" t="s">
        <v>18</v>
      </c>
      <c r="E710" s="5" t="s">
        <v>364</v>
      </c>
      <c r="F710" s="3" t="s">
        <v>365</v>
      </c>
      <c r="G710" s="3" t="s">
        <v>34</v>
      </c>
      <c r="H710" s="2" t="s">
        <v>22</v>
      </c>
      <c r="I710" s="2" t="s">
        <v>2123</v>
      </c>
      <c r="J710" s="3" t="str">
        <f>HYPERLINK("https://www.boe.es/gazeta/dias/1834/09/06/pdfs/GMD-D-1834-204.pdf#page=1","Abrir facsímil")</f>
        <v>Abrir facsímil</v>
      </c>
      <c r="K710" s="3" t="s">
        <v>24</v>
      </c>
    </row>
    <row r="711" spans="1:11" ht="54" customHeight="1">
      <c r="A711" s="2" t="s">
        <v>2120</v>
      </c>
      <c r="B711" s="2" t="s">
        <v>2121</v>
      </c>
      <c r="C711" s="2" t="s">
        <v>66</v>
      </c>
      <c r="D711" s="2" t="s">
        <v>67</v>
      </c>
      <c r="E711" s="5" t="s">
        <v>2124</v>
      </c>
      <c r="F711" s="3" t="s">
        <v>2125</v>
      </c>
      <c r="G711" s="3" t="s">
        <v>75</v>
      </c>
      <c r="H711" s="2" t="s">
        <v>22</v>
      </c>
      <c r="I711" s="2" t="s">
        <v>2126</v>
      </c>
      <c r="J711" s="3" t="str">
        <f>HYPERLINK("https://www.boe.es/gazeta/dias/1834/06/09/pdfs/GMD-1834-112.pdf#page=4","Abrir facsímil")</f>
        <v>Abrir facsímil</v>
      </c>
      <c r="K711" s="3" t="s">
        <v>24</v>
      </c>
    </row>
    <row r="712" spans="1:11" ht="54" customHeight="1">
      <c r="A712" s="2" t="s">
        <v>2120</v>
      </c>
      <c r="B712" s="2" t="s">
        <v>2121</v>
      </c>
      <c r="C712" s="2" t="s">
        <v>17</v>
      </c>
      <c r="D712" s="2" t="s">
        <v>18</v>
      </c>
      <c r="E712" s="5" t="s">
        <v>375</v>
      </c>
      <c r="F712" s="3" t="s">
        <v>376</v>
      </c>
      <c r="G712" s="3" t="s">
        <v>86</v>
      </c>
      <c r="H712" s="2" t="s">
        <v>22</v>
      </c>
      <c r="I712" s="2" t="s">
        <v>2127</v>
      </c>
      <c r="J712" s="3" t="str">
        <f>HYPERLINK("https://www.boe.es/gazeta/dias/1834/08/21/pdfs/GMD-1834-187.pdf#page=2","Abrir facsímil")</f>
        <v>Abrir facsímil</v>
      </c>
      <c r="K712" s="3" t="s">
        <v>24</v>
      </c>
    </row>
    <row r="713" spans="1:11" ht="54" customHeight="1">
      <c r="A713" s="2" t="s">
        <v>2128</v>
      </c>
      <c r="B713" s="2" t="s">
        <v>2128</v>
      </c>
      <c r="C713" s="2" t="s">
        <v>17</v>
      </c>
      <c r="D713" s="2" t="s">
        <v>18</v>
      </c>
      <c r="E713" s="5" t="s">
        <v>348</v>
      </c>
      <c r="F713" s="3" t="s">
        <v>501</v>
      </c>
      <c r="G713" s="3" t="s">
        <v>75</v>
      </c>
      <c r="H713" s="2" t="s">
        <v>22</v>
      </c>
      <c r="I713" s="2" t="s">
        <v>2129</v>
      </c>
      <c r="J713" s="3" t="str">
        <f>HYPERLINK("https://www.boe.es/gazeta/dias/1834/06/12/pdfs/GMD-1834-115.pdf#page=4","Abrir facsímil")</f>
        <v>Abrir facsímil</v>
      </c>
      <c r="K713" s="3" t="s">
        <v>24</v>
      </c>
    </row>
    <row r="714" spans="1:11" ht="54" customHeight="1">
      <c r="A714" s="2" t="s">
        <v>2128</v>
      </c>
      <c r="B714" s="2" t="s">
        <v>2128</v>
      </c>
      <c r="C714" s="2" t="s">
        <v>46</v>
      </c>
      <c r="D714" s="2" t="s">
        <v>101</v>
      </c>
      <c r="E714" s="5" t="s">
        <v>371</v>
      </c>
      <c r="F714" s="3" t="s">
        <v>372</v>
      </c>
      <c r="G714" s="3" t="s">
        <v>75</v>
      </c>
      <c r="H714" s="2" t="s">
        <v>22</v>
      </c>
      <c r="I714" s="2" t="s">
        <v>2130</v>
      </c>
      <c r="J714" s="3" t="str">
        <f>HYPERLINK("https://www.boe.es/gazeta/dias/1834/05/27/pdfs/GMD-1834-96.pdf#page=4","Abrir facsímil")</f>
        <v>Abrir facsímil</v>
      </c>
      <c r="K714" s="3" t="s">
        <v>24</v>
      </c>
    </row>
    <row r="715" spans="1:11" ht="54" customHeight="1">
      <c r="A715" s="2" t="s">
        <v>2131</v>
      </c>
      <c r="B715" s="2" t="s">
        <v>2132</v>
      </c>
      <c r="C715" s="2" t="s">
        <v>122</v>
      </c>
      <c r="D715" s="2" t="s">
        <v>18</v>
      </c>
      <c r="E715" s="5" t="s">
        <v>1297</v>
      </c>
      <c r="F715" s="3" t="s">
        <v>1879</v>
      </c>
      <c r="G715" s="3" t="s">
        <v>34</v>
      </c>
      <c r="H715" s="2" t="s">
        <v>35</v>
      </c>
      <c r="I715" s="2" t="s">
        <v>2133</v>
      </c>
      <c r="J715" s="3" t="str">
        <f>HYPERLINK("https://www.boe.es/gazeta/dias/1834/08/01/pdfs/GMD-D-1834-165.pdf#page=1","Abrir facsímil")</f>
        <v>Abrir facsímil</v>
      </c>
      <c r="K715" s="3" t="s">
        <v>37</v>
      </c>
    </row>
    <row r="716" spans="1:11" ht="54" customHeight="1">
      <c r="A716" s="2" t="s">
        <v>2131</v>
      </c>
      <c r="B716" s="2" t="s">
        <v>2132</v>
      </c>
      <c r="C716" s="2" t="s">
        <v>46</v>
      </c>
      <c r="D716" s="2" t="s">
        <v>101</v>
      </c>
      <c r="E716" s="5" t="s">
        <v>1234</v>
      </c>
      <c r="F716" s="3" t="s">
        <v>1455</v>
      </c>
      <c r="G716" s="3" t="s">
        <v>21</v>
      </c>
      <c r="H716" s="2" t="s">
        <v>35</v>
      </c>
      <c r="I716" s="2" t="s">
        <v>2134</v>
      </c>
      <c r="J716" s="3" t="str">
        <f>HYPERLINK("https://www.boe.es/gazeta/dias/1834/05/15/pdfs/GMD-1834-84.pdf#page=3","Abrir facsímil")</f>
        <v>Abrir facsímil</v>
      </c>
      <c r="K716" s="3" t="s">
        <v>37</v>
      </c>
    </row>
    <row r="717" spans="1:11" ht="54" customHeight="1">
      <c r="A717" s="2" t="s">
        <v>2135</v>
      </c>
      <c r="B717" s="2" t="s">
        <v>2136</v>
      </c>
      <c r="C717" s="2" t="s">
        <v>122</v>
      </c>
      <c r="D717" s="2" t="s">
        <v>18</v>
      </c>
      <c r="E717" s="5" t="s">
        <v>1297</v>
      </c>
      <c r="F717" s="3" t="s">
        <v>1879</v>
      </c>
      <c r="G717" s="3" t="s">
        <v>34</v>
      </c>
      <c r="H717" s="2" t="s">
        <v>22</v>
      </c>
      <c r="I717" s="2" t="s">
        <v>2137</v>
      </c>
      <c r="J717" s="3" t="str">
        <f>HYPERLINK("https://www.boe.es/gazeta/dias/1834/08/01/pdfs/GMD-D-1834-165.pdf#page=1","Abrir facsímil")</f>
        <v>Abrir facsímil</v>
      </c>
      <c r="K717" s="3" t="s">
        <v>24</v>
      </c>
    </row>
    <row r="718" spans="1:11" ht="54" customHeight="1">
      <c r="A718" s="2" t="s">
        <v>2135</v>
      </c>
      <c r="B718" s="2" t="s">
        <v>2136</v>
      </c>
      <c r="C718" s="2" t="s">
        <v>46</v>
      </c>
      <c r="D718" s="2" t="s">
        <v>101</v>
      </c>
      <c r="E718" s="5" t="s">
        <v>1234</v>
      </c>
      <c r="F718" s="3" t="s">
        <v>1455</v>
      </c>
      <c r="G718" s="3" t="s">
        <v>21</v>
      </c>
      <c r="H718" s="2" t="s">
        <v>22</v>
      </c>
      <c r="I718" s="2" t="s">
        <v>2138</v>
      </c>
      <c r="J718" s="3" t="str">
        <f>HYPERLINK("https://www.boe.es/gazeta/dias/1834/05/15/pdfs/GMD-1834-84.pdf#page=3","Abrir facsímil")</f>
        <v>Abrir facsímil</v>
      </c>
      <c r="K718" s="3" t="s">
        <v>24</v>
      </c>
    </row>
    <row r="719" spans="1:11" ht="54" customHeight="1">
      <c r="A719" s="2" t="s">
        <v>2135</v>
      </c>
      <c r="B719" s="2" t="s">
        <v>2136</v>
      </c>
      <c r="C719" s="2" t="s">
        <v>66</v>
      </c>
      <c r="D719" s="2" t="s">
        <v>40</v>
      </c>
      <c r="E719" s="5" t="s">
        <v>19</v>
      </c>
      <c r="F719" s="3" t="s">
        <v>1933</v>
      </c>
      <c r="G719" s="3" t="s">
        <v>34</v>
      </c>
      <c r="H719" s="2" t="s">
        <v>22</v>
      </c>
      <c r="I719" s="2" t="s">
        <v>2139</v>
      </c>
      <c r="J719" s="3" t="str">
        <f>HYPERLINK("https://www.boe.es/gazeta/dias/1834/08/17/pdfs/GMD-1834-183E.pdf#page=1","Abrir facsímil")</f>
        <v>Abrir facsímil</v>
      </c>
      <c r="K719" s="3" t="s">
        <v>24</v>
      </c>
    </row>
    <row r="720" spans="1:11" ht="54" customHeight="1">
      <c r="A720" s="2" t="s">
        <v>2140</v>
      </c>
      <c r="B720" s="2" t="s">
        <v>2141</v>
      </c>
      <c r="C720" s="2" t="s">
        <v>46</v>
      </c>
      <c r="D720" s="2" t="s">
        <v>101</v>
      </c>
      <c r="E720" s="5" t="s">
        <v>2142</v>
      </c>
      <c r="F720" s="3" t="s">
        <v>2143</v>
      </c>
      <c r="G720" s="3" t="s">
        <v>21</v>
      </c>
      <c r="H720" s="2" t="s">
        <v>22</v>
      </c>
      <c r="I720" s="2" t="s">
        <v>2144</v>
      </c>
      <c r="J720" s="3" t="str">
        <f>HYPERLINK("https://www.boe.es/gazeta/dias/1834/12/27/pdfs/GMD-1834-317.pdf#page=3","Abrir facsímil")</f>
        <v>Abrir facsímil</v>
      </c>
      <c r="K720" s="3" t="s">
        <v>24</v>
      </c>
    </row>
    <row r="721" spans="1:11" ht="54" customHeight="1">
      <c r="A721" s="2" t="s">
        <v>2145</v>
      </c>
      <c r="B721" s="2" t="s">
        <v>2145</v>
      </c>
      <c r="C721" s="2" t="s">
        <v>17</v>
      </c>
      <c r="D721" s="2" t="s">
        <v>18</v>
      </c>
      <c r="E721" s="5" t="s">
        <v>1084</v>
      </c>
      <c r="F721" s="3" t="s">
        <v>1085</v>
      </c>
      <c r="G721" s="3" t="s">
        <v>28</v>
      </c>
      <c r="H721" s="2" t="s">
        <v>22</v>
      </c>
      <c r="I721" s="2" t="s">
        <v>2146</v>
      </c>
      <c r="J721" s="3" t="str">
        <f>HYPERLINK("https://www.boe.es/gazeta/dias/1834/05/01/pdfs/GMD-1834-70.pdf#page=5","Abrir facsímil")</f>
        <v>Abrir facsímil</v>
      </c>
      <c r="K721" s="3" t="s">
        <v>24</v>
      </c>
    </row>
    <row r="722" spans="1:11" ht="54" customHeight="1">
      <c r="A722" s="2" t="s">
        <v>2147</v>
      </c>
      <c r="B722" s="2" t="s">
        <v>2148</v>
      </c>
      <c r="C722" s="2" t="s">
        <v>46</v>
      </c>
      <c r="D722" s="2" t="s">
        <v>101</v>
      </c>
      <c r="E722" s="5" t="s">
        <v>696</v>
      </c>
      <c r="F722" s="3" t="s">
        <v>854</v>
      </c>
      <c r="G722" s="3" t="s">
        <v>86</v>
      </c>
      <c r="H722" s="2" t="s">
        <v>22</v>
      </c>
      <c r="I722" s="2" t="s">
        <v>2149</v>
      </c>
      <c r="J722" s="3" t="str">
        <f>HYPERLINK("https://www.boe.es/gazeta/dias/1834/12/06/pdfs/GMD-1834-295.pdf#page=2","Abrir facsímil")</f>
        <v>Abrir facsímil</v>
      </c>
      <c r="K722" s="3" t="s">
        <v>24</v>
      </c>
    </row>
    <row r="723" spans="1:11" ht="54" customHeight="1">
      <c r="A723" s="2" t="s">
        <v>2150</v>
      </c>
      <c r="B723" s="2" t="s">
        <v>2150</v>
      </c>
      <c r="C723" s="2" t="s">
        <v>17</v>
      </c>
      <c r="D723" s="2" t="s">
        <v>101</v>
      </c>
      <c r="E723" s="5" t="s">
        <v>183</v>
      </c>
      <c r="F723" s="3" t="s">
        <v>184</v>
      </c>
      <c r="G723" s="3" t="s">
        <v>34</v>
      </c>
      <c r="H723" s="2" t="s">
        <v>22</v>
      </c>
      <c r="I723" s="2" t="s">
        <v>2151</v>
      </c>
      <c r="J723" s="3" t="str">
        <f>HYPERLINK("https://www.boe.es/gazeta/dias/1834/03/18/pdfs/GMD-1834-34.pdf#page=1","Abrir facsímil")</f>
        <v>Abrir facsímil</v>
      </c>
      <c r="K723" s="3" t="s">
        <v>24</v>
      </c>
    </row>
    <row r="724" spans="1:11" ht="54" customHeight="1">
      <c r="A724" s="2" t="s">
        <v>2152</v>
      </c>
      <c r="B724" s="2" t="s">
        <v>2152</v>
      </c>
      <c r="C724" s="2" t="s">
        <v>46</v>
      </c>
      <c r="D724" s="2" t="s">
        <v>18</v>
      </c>
      <c r="E724" s="5" t="s">
        <v>2153</v>
      </c>
      <c r="F724" s="3" t="s">
        <v>2154</v>
      </c>
      <c r="G724" s="3" t="s">
        <v>34</v>
      </c>
      <c r="H724" s="2" t="s">
        <v>22</v>
      </c>
      <c r="I724" s="2" t="s">
        <v>2155</v>
      </c>
      <c r="J724" s="3" t="str">
        <f>HYPERLINK("https://www.boe.es/gazeta/dias/1834/01/23/pdfs/GMD-1834-11.pdf#page=1","Abrir facsímil")</f>
        <v>Abrir facsímil</v>
      </c>
      <c r="K724" s="3" t="s">
        <v>24</v>
      </c>
    </row>
    <row r="725" spans="1:11" ht="54" customHeight="1">
      <c r="A725" s="2" t="s">
        <v>2156</v>
      </c>
      <c r="B725" s="2" t="s">
        <v>2157</v>
      </c>
      <c r="C725" s="2" t="s">
        <v>17</v>
      </c>
      <c r="D725" s="2" t="s">
        <v>18</v>
      </c>
      <c r="E725" s="5" t="s">
        <v>479</v>
      </c>
      <c r="F725" s="3" t="s">
        <v>480</v>
      </c>
      <c r="G725" s="3" t="s">
        <v>21</v>
      </c>
      <c r="H725" s="2" t="s">
        <v>35</v>
      </c>
      <c r="I725" s="2" t="s">
        <v>2158</v>
      </c>
      <c r="J725" s="3" t="str">
        <f>HYPERLINK("https://www.boe.es/gazeta/dias/1834/08/13/pdfs/GMD-1834-178.pdf#page=3","Abrir facsímil")</f>
        <v>Abrir facsímil</v>
      </c>
      <c r="K725" s="3" t="s">
        <v>37</v>
      </c>
    </row>
    <row r="726" spans="1:11" ht="54" customHeight="1">
      <c r="A726" s="2" t="s">
        <v>2159</v>
      </c>
      <c r="B726" s="2" t="s">
        <v>2160</v>
      </c>
      <c r="C726" s="2" t="s">
        <v>17</v>
      </c>
      <c r="D726" s="2" t="s">
        <v>18</v>
      </c>
      <c r="E726" s="5" t="s">
        <v>479</v>
      </c>
      <c r="F726" s="3" t="s">
        <v>480</v>
      </c>
      <c r="G726" s="3" t="s">
        <v>21</v>
      </c>
      <c r="H726" s="2" t="s">
        <v>22</v>
      </c>
      <c r="I726" s="2" t="s">
        <v>2161</v>
      </c>
      <c r="J726" s="3" t="str">
        <f>HYPERLINK("https://www.boe.es/gazeta/dias/1834/08/13/pdfs/GMD-1834-178.pdf#page=3","Abrir facsímil")</f>
        <v>Abrir facsímil</v>
      </c>
      <c r="K726" s="3" t="s">
        <v>24</v>
      </c>
    </row>
    <row r="727" spans="1:11" ht="54" customHeight="1">
      <c r="A727" s="2" t="s">
        <v>2162</v>
      </c>
      <c r="B727" s="2" t="s">
        <v>2162</v>
      </c>
      <c r="C727" s="2" t="s">
        <v>17</v>
      </c>
      <c r="D727" s="2" t="s">
        <v>18</v>
      </c>
      <c r="E727" s="5" t="s">
        <v>416</v>
      </c>
      <c r="F727" s="3" t="s">
        <v>1130</v>
      </c>
      <c r="G727" s="3" t="s">
        <v>86</v>
      </c>
      <c r="H727" s="2" t="s">
        <v>22</v>
      </c>
      <c r="I727" s="2" t="s">
        <v>2163</v>
      </c>
      <c r="J727" s="3" t="str">
        <f>HYPERLINK("https://www.boe.es/gazeta/dias/1834/10/02/pdfs/GMD-1834-230.pdf#page=2","Abrir facsímil")</f>
        <v>Abrir facsímil</v>
      </c>
      <c r="K727" s="3" t="s">
        <v>24</v>
      </c>
    </row>
    <row r="728" spans="1:11" ht="54" customHeight="1">
      <c r="A728" s="2" t="s">
        <v>2162</v>
      </c>
      <c r="B728" s="2" t="s">
        <v>2162</v>
      </c>
      <c r="C728" s="2" t="s">
        <v>17</v>
      </c>
      <c r="D728" s="2" t="s">
        <v>18</v>
      </c>
      <c r="E728" s="5" t="s">
        <v>690</v>
      </c>
      <c r="F728" s="3" t="s">
        <v>691</v>
      </c>
      <c r="G728" s="3" t="s">
        <v>21</v>
      </c>
      <c r="H728" s="2" t="s">
        <v>22</v>
      </c>
      <c r="I728" s="2" t="s">
        <v>2164</v>
      </c>
      <c r="J728" s="3" t="str">
        <f>HYPERLINK("https://www.boe.es/gazeta/dias/1834/09/03/pdfs/GMD-C-1834-201.pdf#page=3","Abrir facsímil")</f>
        <v>Abrir facsímil</v>
      </c>
      <c r="K728" s="3" t="s">
        <v>24</v>
      </c>
    </row>
    <row r="729" spans="1:11" ht="54" customHeight="1">
      <c r="A729" s="2" t="s">
        <v>2162</v>
      </c>
      <c r="B729" s="2" t="s">
        <v>2162</v>
      </c>
      <c r="C729" s="2" t="s">
        <v>66</v>
      </c>
      <c r="D729" s="2" t="s">
        <v>18</v>
      </c>
      <c r="E729" s="5" t="s">
        <v>808</v>
      </c>
      <c r="F729" s="3" t="s">
        <v>809</v>
      </c>
      <c r="G729" s="3" t="s">
        <v>75</v>
      </c>
      <c r="H729" s="2" t="s">
        <v>22</v>
      </c>
      <c r="I729" s="2" t="s">
        <v>2165</v>
      </c>
      <c r="J729" s="3" t="str">
        <f>HYPERLINK("https://www.boe.es/gazeta/dias/1834/10/11/pdfs/GMD-1834-239.pdf#page=4","Abrir facsímil")</f>
        <v>Abrir facsímil</v>
      </c>
      <c r="K729" s="3" t="s">
        <v>24</v>
      </c>
    </row>
    <row r="730" spans="1:11" ht="54" customHeight="1">
      <c r="A730" s="2" t="s">
        <v>2162</v>
      </c>
      <c r="B730" s="2" t="s">
        <v>2162</v>
      </c>
      <c r="C730" s="2" t="s">
        <v>17</v>
      </c>
      <c r="D730" s="2" t="s">
        <v>18</v>
      </c>
      <c r="E730" s="5" t="s">
        <v>1119</v>
      </c>
      <c r="F730" s="3" t="s">
        <v>1120</v>
      </c>
      <c r="G730" s="3" t="s">
        <v>86</v>
      </c>
      <c r="H730" s="2" t="s">
        <v>22</v>
      </c>
      <c r="I730" s="2" t="s">
        <v>2166</v>
      </c>
      <c r="J730" s="3" t="str">
        <f>HYPERLINK("https://www.boe.es/gazeta/dias/1834/07/17/pdfs/GMD-1834-150.pdf#page=2","Abrir facsímil")</f>
        <v>Abrir facsímil</v>
      </c>
      <c r="K730" s="3" t="s">
        <v>24</v>
      </c>
    </row>
    <row r="731" spans="1:11" ht="54" customHeight="1">
      <c r="A731" s="2" t="s">
        <v>2162</v>
      </c>
      <c r="B731" s="2" t="s">
        <v>2162</v>
      </c>
      <c r="C731" s="2" t="s">
        <v>66</v>
      </c>
      <c r="D731" s="2" t="s">
        <v>67</v>
      </c>
      <c r="E731" s="5" t="s">
        <v>658</v>
      </c>
      <c r="F731" s="3" t="s">
        <v>2167</v>
      </c>
      <c r="G731" s="3" t="s">
        <v>34</v>
      </c>
      <c r="H731" s="2" t="s">
        <v>22</v>
      </c>
      <c r="I731" s="2" t="s">
        <v>2168</v>
      </c>
      <c r="J731" s="3" t="str">
        <f>HYPERLINK("https://www.boe.es/gazeta/dias/1834/05/26/pdfs/C00001-00001.pdf#page=1","Abrir facsímil")</f>
        <v>Abrir facsímil</v>
      </c>
      <c r="K731" s="3" t="s">
        <v>24</v>
      </c>
    </row>
    <row r="732" spans="1:11" ht="54" customHeight="1">
      <c r="A732" s="2" t="s">
        <v>2169</v>
      </c>
      <c r="B732" s="2" t="s">
        <v>2170</v>
      </c>
      <c r="C732" s="2" t="s">
        <v>17</v>
      </c>
      <c r="D732" s="2" t="s">
        <v>18</v>
      </c>
      <c r="E732" s="5" t="s">
        <v>690</v>
      </c>
      <c r="F732" s="3" t="s">
        <v>691</v>
      </c>
      <c r="G732" s="3" t="s">
        <v>21</v>
      </c>
      <c r="H732" s="2" t="s">
        <v>22</v>
      </c>
      <c r="I732" s="2" t="s">
        <v>2171</v>
      </c>
      <c r="J732" s="3" t="str">
        <f>HYPERLINK("https://www.boe.es/gazeta/dias/1834/09/03/pdfs/GMD-C-1834-201.pdf#page=3","Abrir facsímil")</f>
        <v>Abrir facsímil</v>
      </c>
      <c r="K732" s="3" t="s">
        <v>24</v>
      </c>
    </row>
    <row r="733" spans="1:11" ht="54" customHeight="1">
      <c r="A733" s="2" t="s">
        <v>2172</v>
      </c>
      <c r="B733" s="2" t="s">
        <v>2172</v>
      </c>
      <c r="C733" s="2" t="s">
        <v>46</v>
      </c>
      <c r="D733" s="2" t="s">
        <v>101</v>
      </c>
      <c r="E733" s="5" t="s">
        <v>429</v>
      </c>
      <c r="F733" s="3" t="s">
        <v>430</v>
      </c>
      <c r="G733" s="3" t="s">
        <v>34</v>
      </c>
      <c r="H733" s="2" t="s">
        <v>22</v>
      </c>
      <c r="I733" s="2" t="s">
        <v>2173</v>
      </c>
      <c r="J733" s="3" t="str">
        <f>HYPERLINK("https://www.boe.es/gazeta/dias/1834/08/07/pdfs/GMD-C-1834-172.pdf#page=1","Abrir facsímil")</f>
        <v>Abrir facsímil</v>
      </c>
      <c r="K733" s="3" t="s">
        <v>24</v>
      </c>
    </row>
    <row r="734" spans="1:11" ht="54" customHeight="1">
      <c r="A734" s="2" t="s">
        <v>2172</v>
      </c>
      <c r="B734" s="2" t="s">
        <v>2172</v>
      </c>
      <c r="C734" s="2" t="s">
        <v>17</v>
      </c>
      <c r="D734" s="2" t="s">
        <v>18</v>
      </c>
      <c r="E734" s="5" t="s">
        <v>167</v>
      </c>
      <c r="F734" s="3" t="s">
        <v>1200</v>
      </c>
      <c r="G734" s="3" t="s">
        <v>2174</v>
      </c>
      <c r="H734" s="2" t="s">
        <v>22</v>
      </c>
      <c r="I734" s="2" t="s">
        <v>2175</v>
      </c>
      <c r="J734" s="3" t="str">
        <f>HYPERLINK("https://www.boe.es/gazeta/dias/1834/09/07/pdfs/GMD-C-1834-205.pdf#page=10","Abrir facsímil")</f>
        <v>Abrir facsímil</v>
      </c>
      <c r="K734" s="3" t="s">
        <v>24</v>
      </c>
    </row>
    <row r="735" spans="1:11" ht="54" customHeight="1">
      <c r="A735" s="2" t="s">
        <v>2172</v>
      </c>
      <c r="B735" s="2" t="s">
        <v>2172</v>
      </c>
      <c r="C735" s="2" t="s">
        <v>122</v>
      </c>
      <c r="D735" s="2" t="s">
        <v>18</v>
      </c>
      <c r="E735" s="5" t="s">
        <v>647</v>
      </c>
      <c r="F735" s="3" t="s">
        <v>2176</v>
      </c>
      <c r="G735" s="3" t="s">
        <v>34</v>
      </c>
      <c r="H735" s="2" t="s">
        <v>22</v>
      </c>
      <c r="I735" s="2" t="s">
        <v>2177</v>
      </c>
      <c r="J735" s="3" t="str">
        <f>HYPERLINK("https://www.boe.es/gazeta/dias/1834/10/21/pdfs/GMD-1834-249.pdf#page=1","Abrir facsímil")</f>
        <v>Abrir facsímil</v>
      </c>
      <c r="K735" s="3" t="s">
        <v>24</v>
      </c>
    </row>
    <row r="736" spans="1:11" ht="54" customHeight="1">
      <c r="A736" s="2" t="s">
        <v>2172</v>
      </c>
      <c r="B736" s="2" t="s">
        <v>2172</v>
      </c>
      <c r="C736" s="2" t="s">
        <v>122</v>
      </c>
      <c r="D736" s="2" t="s">
        <v>18</v>
      </c>
      <c r="E736" s="5" t="s">
        <v>513</v>
      </c>
      <c r="F736" s="3" t="s">
        <v>514</v>
      </c>
      <c r="G736" s="3" t="s">
        <v>34</v>
      </c>
      <c r="H736" s="2" t="s">
        <v>22</v>
      </c>
      <c r="I736" s="2" t="s">
        <v>2178</v>
      </c>
      <c r="J736" s="3" t="str">
        <f>HYPERLINK("https://www.boe.es/gazeta/dias/1834/04/27/pdfs/GMD-1834-66.pdf#page=1","Abrir facsímil")</f>
        <v>Abrir facsímil</v>
      </c>
      <c r="K736" s="3" t="s">
        <v>24</v>
      </c>
    </row>
    <row r="737" spans="1:11" ht="54" customHeight="1">
      <c r="A737" s="2" t="s">
        <v>2172</v>
      </c>
      <c r="B737" s="2" t="s">
        <v>2172</v>
      </c>
      <c r="C737" s="2" t="s">
        <v>66</v>
      </c>
      <c r="D737" s="2" t="s">
        <v>67</v>
      </c>
      <c r="E737" s="5" t="s">
        <v>513</v>
      </c>
      <c r="F737" s="3" t="s">
        <v>514</v>
      </c>
      <c r="G737" s="3" t="s">
        <v>75</v>
      </c>
      <c r="H737" s="2" t="s">
        <v>22</v>
      </c>
      <c r="I737" s="2" t="s">
        <v>2179</v>
      </c>
      <c r="J737" s="3" t="str">
        <f>HYPERLINK("https://www.boe.es/gazeta/dias/1834/04/27/pdfs/GMD-1834-66.pdf#page=4","Abrir facsímil")</f>
        <v>Abrir facsímil</v>
      </c>
      <c r="K737" s="3" t="s">
        <v>24</v>
      </c>
    </row>
    <row r="738" spans="1:11" ht="54" customHeight="1">
      <c r="A738" s="2" t="s">
        <v>2172</v>
      </c>
      <c r="B738" s="2" t="s">
        <v>2172</v>
      </c>
      <c r="C738" s="2" t="s">
        <v>17</v>
      </c>
      <c r="D738" s="2" t="s">
        <v>18</v>
      </c>
      <c r="E738" s="5" t="s">
        <v>1141</v>
      </c>
      <c r="F738" s="3" t="s">
        <v>1142</v>
      </c>
      <c r="G738" s="3" t="s">
        <v>75</v>
      </c>
      <c r="H738" s="2" t="s">
        <v>22</v>
      </c>
      <c r="I738" s="2" t="s">
        <v>2180</v>
      </c>
      <c r="J738" s="3" t="str">
        <f>HYPERLINK("https://www.boe.es/gazeta/dias/1834/04/30/pdfs/GMD-1834-69.pdf#page=4","Abrir facsímil")</f>
        <v>Abrir facsímil</v>
      </c>
      <c r="K738" s="3" t="s">
        <v>24</v>
      </c>
    </row>
    <row r="739" spans="1:11" ht="54" customHeight="1">
      <c r="A739" s="2" t="s">
        <v>2181</v>
      </c>
      <c r="B739" s="2" t="s">
        <v>2182</v>
      </c>
      <c r="C739" s="2" t="s">
        <v>17</v>
      </c>
      <c r="D739" s="2" t="s">
        <v>18</v>
      </c>
      <c r="E739" s="5" t="s">
        <v>1141</v>
      </c>
      <c r="F739" s="3" t="s">
        <v>1142</v>
      </c>
      <c r="G739" s="3" t="s">
        <v>75</v>
      </c>
      <c r="H739" s="2" t="s">
        <v>35</v>
      </c>
      <c r="I739" s="2" t="s">
        <v>2183</v>
      </c>
      <c r="J739" s="3" t="str">
        <f>HYPERLINK("https://www.boe.es/gazeta/dias/1834/04/30/pdfs/GMD-1834-69.pdf#page=4","Abrir facsímil")</f>
        <v>Abrir facsímil</v>
      </c>
      <c r="K739" s="3" t="s">
        <v>37</v>
      </c>
    </row>
    <row r="740" spans="1:11" ht="54" customHeight="1">
      <c r="A740" s="2" t="s">
        <v>2184</v>
      </c>
      <c r="B740" s="2" t="s">
        <v>2185</v>
      </c>
      <c r="C740" s="2" t="s">
        <v>17</v>
      </c>
      <c r="D740" s="2" t="s">
        <v>40</v>
      </c>
      <c r="E740" s="5" t="s">
        <v>1008</v>
      </c>
      <c r="F740" s="3" t="s">
        <v>1009</v>
      </c>
      <c r="G740" s="3" t="s">
        <v>34</v>
      </c>
      <c r="H740" s="2" t="s">
        <v>35</v>
      </c>
      <c r="I740" s="2" t="s">
        <v>2186</v>
      </c>
      <c r="J740" s="3" t="str">
        <f>HYPERLINK("https://www.boe.es/gazeta/dias/1834/11/08/pdfs/GMD-C-1834-267.pdf#page=1","Abrir facsímil")</f>
        <v>Abrir facsímil</v>
      </c>
      <c r="K740" s="3" t="s">
        <v>37</v>
      </c>
    </row>
    <row r="741" spans="1:11" ht="54" customHeight="1">
      <c r="A741" s="2" t="s">
        <v>2187</v>
      </c>
      <c r="B741" s="2" t="s">
        <v>2188</v>
      </c>
      <c r="C741" s="2" t="s">
        <v>90</v>
      </c>
      <c r="D741" s="2" t="s">
        <v>55</v>
      </c>
      <c r="E741" s="5" t="s">
        <v>251</v>
      </c>
      <c r="F741" s="3" t="s">
        <v>1278</v>
      </c>
      <c r="G741" s="3" t="s">
        <v>86</v>
      </c>
      <c r="H741" s="2" t="s">
        <v>22</v>
      </c>
      <c r="I741" s="2" t="s">
        <v>2189</v>
      </c>
      <c r="J741" s="3" t="str">
        <f>HYPERLINK("https://www.boe.es/gazeta/dias/1834/09/26/pdfs/GMD-1834-224.pdf#page=2","Abrir facsímil")</f>
        <v>Abrir facsímil</v>
      </c>
      <c r="K741" s="3" t="s">
        <v>24</v>
      </c>
    </row>
    <row r="742" spans="1:11" ht="54" customHeight="1">
      <c r="A742" s="2" t="s">
        <v>2190</v>
      </c>
      <c r="B742" s="2" t="s">
        <v>2191</v>
      </c>
      <c r="C742" s="2" t="s">
        <v>17</v>
      </c>
      <c r="D742" s="2" t="s">
        <v>40</v>
      </c>
      <c r="E742" s="5" t="s">
        <v>1008</v>
      </c>
      <c r="F742" s="3" t="s">
        <v>1009</v>
      </c>
      <c r="G742" s="3" t="s">
        <v>34</v>
      </c>
      <c r="H742" s="2" t="s">
        <v>22</v>
      </c>
      <c r="I742" s="2" t="s">
        <v>2192</v>
      </c>
      <c r="J742" s="3" t="str">
        <f>HYPERLINK("https://www.boe.es/gazeta/dias/1834/11/08/pdfs/GMD-C-1834-267.pdf#page=1","Abrir facsímil")</f>
        <v>Abrir facsímil</v>
      </c>
      <c r="K742" s="3" t="s">
        <v>24</v>
      </c>
    </row>
    <row r="743" spans="1:11" ht="54" customHeight="1">
      <c r="A743" s="2" t="s">
        <v>2193</v>
      </c>
      <c r="B743" s="2" t="s">
        <v>2193</v>
      </c>
      <c r="C743" s="2" t="s">
        <v>17</v>
      </c>
      <c r="D743" s="2" t="s">
        <v>18</v>
      </c>
      <c r="E743" s="5" t="s">
        <v>158</v>
      </c>
      <c r="F743" s="3" t="s">
        <v>581</v>
      </c>
      <c r="G743" s="3" t="s">
        <v>176</v>
      </c>
      <c r="H743" s="2" t="s">
        <v>22</v>
      </c>
      <c r="I743" s="2" t="s">
        <v>2194</v>
      </c>
      <c r="J743" s="3" t="str">
        <f>HYPERLINK("https://www.boe.es/gazeta/dias/1834/10/01/pdfs/GMD-C-1834-229.pdf#page=6","Abrir facsímil")</f>
        <v>Abrir facsímil</v>
      </c>
      <c r="K743" s="3" t="s">
        <v>24</v>
      </c>
    </row>
    <row r="744" spans="1:11" ht="54" customHeight="1">
      <c r="A744" s="2" t="s">
        <v>2195</v>
      </c>
      <c r="B744" s="2" t="s">
        <v>2195</v>
      </c>
      <c r="C744" s="2" t="s">
        <v>17</v>
      </c>
      <c r="D744" s="2" t="s">
        <v>18</v>
      </c>
      <c r="E744" s="5" t="s">
        <v>1103</v>
      </c>
      <c r="F744" s="3" t="s">
        <v>1259</v>
      </c>
      <c r="G744" s="3" t="s">
        <v>86</v>
      </c>
      <c r="H744" s="2" t="s">
        <v>22</v>
      </c>
      <c r="I744" s="2" t="s">
        <v>2196</v>
      </c>
      <c r="J744" s="3" t="str">
        <f>HYPERLINK("https://www.boe.es/gazeta/dias/1834/10/10/pdfs/GMD-1834-238.pdf#page=2","Abrir facsímil")</f>
        <v>Abrir facsímil</v>
      </c>
      <c r="K744" s="3" t="s">
        <v>24</v>
      </c>
    </row>
    <row r="745" spans="1:11" ht="54" customHeight="1">
      <c r="A745" s="2" t="s">
        <v>2197</v>
      </c>
      <c r="B745" s="2" t="s">
        <v>2198</v>
      </c>
      <c r="C745" s="2" t="s">
        <v>17</v>
      </c>
      <c r="D745" s="2" t="s">
        <v>101</v>
      </c>
      <c r="E745" s="5" t="s">
        <v>68</v>
      </c>
      <c r="F745" s="3" t="s">
        <v>69</v>
      </c>
      <c r="G745" s="3" t="s">
        <v>34</v>
      </c>
      <c r="H745" s="2" t="s">
        <v>22</v>
      </c>
      <c r="I745" s="2" t="s">
        <v>2199</v>
      </c>
      <c r="J745" s="3" t="str">
        <f>HYPERLINK("https://www.boe.es/gazeta/dias/1834/11/01/pdfs/I01088-01088.pdf#page=1","Abrir facsímil")</f>
        <v>Abrir facsímil</v>
      </c>
      <c r="K745" s="3" t="s">
        <v>24</v>
      </c>
    </row>
    <row r="746" spans="1:11" ht="54" customHeight="1">
      <c r="A746" s="2" t="s">
        <v>2200</v>
      </c>
      <c r="B746" s="2" t="s">
        <v>2200</v>
      </c>
      <c r="C746" s="2" t="s">
        <v>66</v>
      </c>
      <c r="D746" s="2" t="s">
        <v>67</v>
      </c>
      <c r="E746" s="5" t="s">
        <v>251</v>
      </c>
      <c r="F746" s="3" t="s">
        <v>1278</v>
      </c>
      <c r="G746" s="3" t="s">
        <v>86</v>
      </c>
      <c r="H746" s="2" t="s">
        <v>22</v>
      </c>
      <c r="I746" s="2" t="s">
        <v>2201</v>
      </c>
      <c r="J746" s="3" t="str">
        <f>HYPERLINK("https://www.boe.es/gazeta/dias/1834/09/26/pdfs/GMD-1834-224.pdf#page=2","Abrir facsímil")</f>
        <v>Abrir facsímil</v>
      </c>
      <c r="K746" s="3" t="s">
        <v>24</v>
      </c>
    </row>
    <row r="747" spans="1:11" ht="54" customHeight="1">
      <c r="A747" s="2" t="s">
        <v>2202</v>
      </c>
      <c r="B747" s="2" t="s">
        <v>2202</v>
      </c>
      <c r="C747" s="2" t="s">
        <v>17</v>
      </c>
      <c r="D747" s="2" t="s">
        <v>40</v>
      </c>
      <c r="E747" s="5" t="s">
        <v>2203</v>
      </c>
      <c r="F747" s="3" t="s">
        <v>2204</v>
      </c>
      <c r="G747" s="3" t="s">
        <v>75</v>
      </c>
      <c r="H747" s="2" t="s">
        <v>22</v>
      </c>
      <c r="I747" s="2" t="s">
        <v>2205</v>
      </c>
      <c r="J747" s="3" t="str">
        <f>HYPERLINK("https://www.boe.es/gazeta/dias/1834/09/10/pdfs/GMD-C-1834-208.pdf#page=4","Abrir facsímil")</f>
        <v>Abrir facsímil</v>
      </c>
      <c r="K747" s="3" t="s">
        <v>24</v>
      </c>
    </row>
    <row r="748" spans="1:11" ht="54" customHeight="1">
      <c r="A748" s="2" t="s">
        <v>2206</v>
      </c>
      <c r="B748" s="2" t="s">
        <v>2206</v>
      </c>
      <c r="C748" s="2" t="s">
        <v>90</v>
      </c>
      <c r="D748" s="2" t="s">
        <v>55</v>
      </c>
      <c r="E748" s="5" t="s">
        <v>1973</v>
      </c>
      <c r="F748" s="3" t="s">
        <v>1974</v>
      </c>
      <c r="G748" s="3" t="s">
        <v>560</v>
      </c>
      <c r="H748" s="2" t="s">
        <v>22</v>
      </c>
      <c r="I748" s="2" t="s">
        <v>2207</v>
      </c>
      <c r="J748" s="3" t="str">
        <f>HYPERLINK("https://www.boe.es/gazeta/dias/1834/12/20/pdfs/GMD-C-1834-310.pdf#page=7","Abrir facsímil")</f>
        <v>Abrir facsímil</v>
      </c>
      <c r="K748" s="3" t="s">
        <v>24</v>
      </c>
    </row>
    <row r="749" spans="1:11" ht="54" customHeight="1">
      <c r="A749" s="2" t="s">
        <v>2208</v>
      </c>
      <c r="B749" s="2" t="s">
        <v>2208</v>
      </c>
      <c r="C749" s="2" t="s">
        <v>17</v>
      </c>
      <c r="D749" s="2" t="s">
        <v>18</v>
      </c>
      <c r="E749" s="5" t="s">
        <v>1297</v>
      </c>
      <c r="F749" s="3" t="s">
        <v>1298</v>
      </c>
      <c r="G749" s="3" t="s">
        <v>21</v>
      </c>
      <c r="H749" s="2" t="s">
        <v>22</v>
      </c>
      <c r="I749" s="2" t="s">
        <v>2209</v>
      </c>
      <c r="J749" s="3" t="str">
        <f>HYPERLINK("https://www.boe.es/gazeta/dias/1834/08/01/pdfs/GMD-1834-165.pdf#page=3","Abrir facsímil")</f>
        <v>Abrir facsímil</v>
      </c>
      <c r="K749" s="3" t="s">
        <v>24</v>
      </c>
    </row>
    <row r="750" spans="1:11" ht="54" customHeight="1">
      <c r="A750" s="2" t="s">
        <v>2208</v>
      </c>
      <c r="B750" s="2" t="s">
        <v>2208</v>
      </c>
      <c r="C750" s="2" t="s">
        <v>17</v>
      </c>
      <c r="D750" s="2" t="s">
        <v>18</v>
      </c>
      <c r="E750" s="5" t="s">
        <v>255</v>
      </c>
      <c r="F750" s="3" t="s">
        <v>256</v>
      </c>
      <c r="G750" s="3" t="s">
        <v>86</v>
      </c>
      <c r="H750" s="2" t="s">
        <v>22</v>
      </c>
      <c r="I750" s="2" t="s">
        <v>2210</v>
      </c>
      <c r="J750" s="3" t="str">
        <f>HYPERLINK("https://www.boe.es/gazeta/dias/1834/09/01/pdfs/GMD-D-1834-199.pdf#page=2","Abrir facsímil")</f>
        <v>Abrir facsímil</v>
      </c>
      <c r="K750" s="3" t="s">
        <v>24</v>
      </c>
    </row>
    <row r="751" spans="1:11" ht="54" customHeight="1">
      <c r="A751" s="2" t="s">
        <v>2208</v>
      </c>
      <c r="B751" s="2" t="s">
        <v>2208</v>
      </c>
      <c r="C751" s="2" t="s">
        <v>17</v>
      </c>
      <c r="D751" s="2" t="s">
        <v>55</v>
      </c>
      <c r="E751" s="5" t="s">
        <v>690</v>
      </c>
      <c r="F751" s="3" t="s">
        <v>691</v>
      </c>
      <c r="G751" s="3" t="s">
        <v>560</v>
      </c>
      <c r="H751" s="2" t="s">
        <v>22</v>
      </c>
      <c r="I751" s="2" t="s">
        <v>2211</v>
      </c>
      <c r="J751" s="3" t="str">
        <f>HYPERLINK("https://www.boe.es/gazeta/dias/1834/09/03/pdfs/GMD-C-1834-201.pdf#page=7","Abrir facsímil")</f>
        <v>Abrir facsímil</v>
      </c>
      <c r="K751" s="3" t="s">
        <v>24</v>
      </c>
    </row>
    <row r="752" spans="1:11" ht="54" customHeight="1">
      <c r="A752" s="2" t="s">
        <v>2208</v>
      </c>
      <c r="B752" s="2" t="s">
        <v>2208</v>
      </c>
      <c r="C752" s="2" t="s">
        <v>17</v>
      </c>
      <c r="D752" s="2" t="s">
        <v>18</v>
      </c>
      <c r="E752" s="5" t="s">
        <v>2212</v>
      </c>
      <c r="F752" s="3" t="s">
        <v>2213</v>
      </c>
      <c r="G752" s="3" t="s">
        <v>34</v>
      </c>
      <c r="H752" s="2" t="s">
        <v>22</v>
      </c>
      <c r="I752" s="2" t="s">
        <v>2214</v>
      </c>
      <c r="J752" s="3" t="str">
        <f>HYPERLINK("https://www.boe.es/gazeta/dias/1834/08/04/pdfs/GMD-C-1834-168.pdf#page=1","Abrir facsímil")</f>
        <v>Abrir facsímil</v>
      </c>
      <c r="K752" s="3" t="s">
        <v>24</v>
      </c>
    </row>
    <row r="753" spans="1:11" ht="54" customHeight="1">
      <c r="A753" s="2" t="s">
        <v>2208</v>
      </c>
      <c r="B753" s="2" t="s">
        <v>2208</v>
      </c>
      <c r="C753" s="2" t="s">
        <v>17</v>
      </c>
      <c r="D753" s="2" t="s">
        <v>18</v>
      </c>
      <c r="E753" s="5" t="s">
        <v>571</v>
      </c>
      <c r="F753" s="3" t="s">
        <v>620</v>
      </c>
      <c r="G753" s="3" t="s">
        <v>470</v>
      </c>
      <c r="H753" s="2" t="s">
        <v>22</v>
      </c>
      <c r="I753" s="2" t="s">
        <v>2215</v>
      </c>
      <c r="J753" s="3" t="str">
        <f>HYPERLINK("https://www.boe.es/gazeta/dias/1834/09/04/pdfs/GMD-C-1834-202.pdf#page=8","Abrir facsímil")</f>
        <v>Abrir facsímil</v>
      </c>
      <c r="K753" s="3" t="s">
        <v>24</v>
      </c>
    </row>
    <row r="754" spans="1:11" ht="54" customHeight="1">
      <c r="A754" s="2" t="s">
        <v>2208</v>
      </c>
      <c r="B754" s="2" t="s">
        <v>2208</v>
      </c>
      <c r="C754" s="2" t="s">
        <v>90</v>
      </c>
      <c r="D754" s="2" t="s">
        <v>67</v>
      </c>
      <c r="E754" s="5" t="s">
        <v>426</v>
      </c>
      <c r="F754" s="3" t="s">
        <v>694</v>
      </c>
      <c r="G754" s="3" t="s">
        <v>34</v>
      </c>
      <c r="H754" s="2" t="s">
        <v>22</v>
      </c>
      <c r="I754" s="2" t="s">
        <v>2216</v>
      </c>
      <c r="J754" s="3" t="str">
        <f>HYPERLINK("https://www.boe.es/gazeta/dias/1834/10/04/pdfs/GMD-C-1834-232.pdf#page=1","Abrir facsímil")</f>
        <v>Abrir facsímil</v>
      </c>
      <c r="K754" s="3" t="s">
        <v>24</v>
      </c>
    </row>
    <row r="755" spans="1:11" ht="54" customHeight="1">
      <c r="A755" s="2" t="s">
        <v>2208</v>
      </c>
      <c r="B755" s="2" t="s">
        <v>2208</v>
      </c>
      <c r="C755" s="2" t="s">
        <v>17</v>
      </c>
      <c r="D755" s="2" t="s">
        <v>18</v>
      </c>
      <c r="E755" s="5" t="s">
        <v>243</v>
      </c>
      <c r="F755" s="3" t="s">
        <v>244</v>
      </c>
      <c r="G755" s="3" t="s">
        <v>21</v>
      </c>
      <c r="H755" s="2" t="s">
        <v>22</v>
      </c>
      <c r="I755" s="2" t="s">
        <v>2217</v>
      </c>
      <c r="J755" s="3" t="str">
        <f>HYPERLINK("https://www.boe.es/gazeta/dias/1834/08/05/pdfs/GMD-C-1834-169.pdf#page=3","Abrir facsímil")</f>
        <v>Abrir facsímil</v>
      </c>
      <c r="K755" s="3" t="s">
        <v>24</v>
      </c>
    </row>
    <row r="756" spans="1:11" ht="54" customHeight="1">
      <c r="A756" s="2" t="s">
        <v>2208</v>
      </c>
      <c r="B756" s="2" t="s">
        <v>2208</v>
      </c>
      <c r="C756" s="2" t="s">
        <v>90</v>
      </c>
      <c r="D756" s="2" t="s">
        <v>55</v>
      </c>
      <c r="E756" s="5" t="s">
        <v>2218</v>
      </c>
      <c r="F756" s="3" t="s">
        <v>2219</v>
      </c>
      <c r="G756" s="3" t="s">
        <v>34</v>
      </c>
      <c r="H756" s="2" t="s">
        <v>22</v>
      </c>
      <c r="I756" s="2" t="s">
        <v>2220</v>
      </c>
      <c r="J756" s="3" t="str">
        <f>HYPERLINK("https://www.boe.es/gazeta/dias/1834/11/05/pdfs/GMD-1834-264.pdf#page=1","Abrir facsímil")</f>
        <v>Abrir facsímil</v>
      </c>
      <c r="K756" s="3" t="s">
        <v>24</v>
      </c>
    </row>
    <row r="757" spans="1:11" ht="54" customHeight="1">
      <c r="A757" s="2" t="s">
        <v>2208</v>
      </c>
      <c r="B757" s="2" t="s">
        <v>2208</v>
      </c>
      <c r="C757" s="2" t="s">
        <v>46</v>
      </c>
      <c r="D757" s="2" t="s">
        <v>55</v>
      </c>
      <c r="E757" s="5" t="s">
        <v>1661</v>
      </c>
      <c r="F757" s="3" t="s">
        <v>1662</v>
      </c>
      <c r="G757" s="3" t="s">
        <v>34</v>
      </c>
      <c r="H757" s="2" t="s">
        <v>22</v>
      </c>
      <c r="I757" s="2" t="s">
        <v>2221</v>
      </c>
      <c r="J757" s="3" t="str">
        <f>HYPERLINK("https://www.boe.es/gazeta/dias/1834/04/06/pdfs/GMD-1834-45.pdf#page=1","Abrir facsímil")</f>
        <v>Abrir facsímil</v>
      </c>
      <c r="K757" s="3" t="s">
        <v>24</v>
      </c>
    </row>
    <row r="758" spans="1:11" ht="54" customHeight="1">
      <c r="A758" s="2" t="s">
        <v>2208</v>
      </c>
      <c r="B758" s="2" t="s">
        <v>2208</v>
      </c>
      <c r="C758" s="2" t="s">
        <v>17</v>
      </c>
      <c r="D758" s="2" t="s">
        <v>18</v>
      </c>
      <c r="E758" s="5" t="s">
        <v>364</v>
      </c>
      <c r="F758" s="3" t="s">
        <v>2102</v>
      </c>
      <c r="G758" s="3" t="s">
        <v>34</v>
      </c>
      <c r="H758" s="2" t="s">
        <v>22</v>
      </c>
      <c r="I758" s="2" t="s">
        <v>2222</v>
      </c>
      <c r="J758" s="3" t="str">
        <f>HYPERLINK("https://www.boe.es/gazeta/dias/1834/09/06/pdfs/GMD-1834-204.pdf#page=1","Abrir facsímil")</f>
        <v>Abrir facsímil</v>
      </c>
      <c r="K758" s="3" t="s">
        <v>24</v>
      </c>
    </row>
    <row r="759" spans="1:11" ht="54" customHeight="1">
      <c r="A759" s="2" t="s">
        <v>2208</v>
      </c>
      <c r="B759" s="2" t="s">
        <v>2208</v>
      </c>
      <c r="C759" s="2" t="s">
        <v>46</v>
      </c>
      <c r="D759" s="2" t="s">
        <v>40</v>
      </c>
      <c r="E759" s="5" t="s">
        <v>429</v>
      </c>
      <c r="F759" s="3" t="s">
        <v>430</v>
      </c>
      <c r="G759" s="3" t="s">
        <v>34</v>
      </c>
      <c r="H759" s="2" t="s">
        <v>22</v>
      </c>
      <c r="I759" s="2" t="s">
        <v>2223</v>
      </c>
      <c r="J759" s="3" t="str">
        <f>HYPERLINK("https://www.boe.es/gazeta/dias/1834/08/07/pdfs/GMD-C-1834-172.pdf#page=1","Abrir facsímil")</f>
        <v>Abrir facsímil</v>
      </c>
      <c r="K759" s="3" t="s">
        <v>24</v>
      </c>
    </row>
    <row r="760" spans="1:11" ht="54" customHeight="1">
      <c r="A760" s="2" t="s">
        <v>2208</v>
      </c>
      <c r="B760" s="2" t="s">
        <v>2208</v>
      </c>
      <c r="C760" s="2" t="s">
        <v>17</v>
      </c>
      <c r="D760" s="2" t="s">
        <v>18</v>
      </c>
      <c r="E760" s="5" t="s">
        <v>429</v>
      </c>
      <c r="F760" s="3" t="s">
        <v>430</v>
      </c>
      <c r="G760" s="3" t="s">
        <v>21</v>
      </c>
      <c r="H760" s="2" t="s">
        <v>22</v>
      </c>
      <c r="I760" s="2" t="s">
        <v>2224</v>
      </c>
      <c r="J760" s="3" t="str">
        <f>HYPERLINK("https://www.boe.es/gazeta/dias/1834/08/07/pdfs/GMD-C-1834-172.pdf#page=3","Abrir facsímil")</f>
        <v>Abrir facsímil</v>
      </c>
      <c r="K760" s="3" t="s">
        <v>24</v>
      </c>
    </row>
    <row r="761" spans="1:11" ht="54" customHeight="1">
      <c r="A761" s="2" t="s">
        <v>2208</v>
      </c>
      <c r="B761" s="2" t="s">
        <v>2208</v>
      </c>
      <c r="C761" s="2" t="s">
        <v>17</v>
      </c>
      <c r="D761" s="2" t="s">
        <v>18</v>
      </c>
      <c r="E761" s="5" t="s">
        <v>429</v>
      </c>
      <c r="F761" s="3" t="s">
        <v>430</v>
      </c>
      <c r="G761" s="3" t="s">
        <v>28</v>
      </c>
      <c r="H761" s="2" t="s">
        <v>22</v>
      </c>
      <c r="I761" s="2" t="s">
        <v>2225</v>
      </c>
      <c r="J761" s="3" t="str">
        <f>HYPERLINK("https://www.boe.es/gazeta/dias/1834/08/07/pdfs/GMD-C-1834-172.pdf#page=5","Abrir facsímil")</f>
        <v>Abrir facsímil</v>
      </c>
      <c r="K761" s="3" t="s">
        <v>24</v>
      </c>
    </row>
    <row r="762" spans="1:11" ht="54" customHeight="1">
      <c r="A762" s="2" t="s">
        <v>2208</v>
      </c>
      <c r="B762" s="2" t="s">
        <v>2208</v>
      </c>
      <c r="C762" s="2" t="s">
        <v>17</v>
      </c>
      <c r="D762" s="2" t="s">
        <v>18</v>
      </c>
      <c r="E762" s="5" t="s">
        <v>762</v>
      </c>
      <c r="F762" s="3" t="s">
        <v>763</v>
      </c>
      <c r="G762" s="3" t="s">
        <v>34</v>
      </c>
      <c r="H762" s="2" t="s">
        <v>22</v>
      </c>
      <c r="I762" s="2" t="s">
        <v>2226</v>
      </c>
      <c r="J762" s="3" t="str">
        <f>HYPERLINK("https://www.boe.es/gazeta/dias/1834/11/07/pdfs/GMD-1834-266.pdf#page=1","Abrir facsímil")</f>
        <v>Abrir facsímil</v>
      </c>
      <c r="K762" s="3" t="s">
        <v>24</v>
      </c>
    </row>
    <row r="763" spans="1:11" ht="54" customHeight="1">
      <c r="A763" s="2" t="s">
        <v>2208</v>
      </c>
      <c r="B763" s="2" t="s">
        <v>2208</v>
      </c>
      <c r="C763" s="2" t="s">
        <v>17</v>
      </c>
      <c r="D763" s="2" t="s">
        <v>18</v>
      </c>
      <c r="E763" s="5" t="s">
        <v>762</v>
      </c>
      <c r="F763" s="3" t="s">
        <v>2227</v>
      </c>
      <c r="G763" s="3" t="s">
        <v>21</v>
      </c>
      <c r="H763" s="2" t="s">
        <v>22</v>
      </c>
      <c r="I763" s="2" t="s">
        <v>2228</v>
      </c>
      <c r="J763" s="3" t="str">
        <f>HYPERLINK("https://www.boe.es/gazeta/dias/1834/11/07/pdfs/GMD-C-1834-266.pdf#page=3","Abrir facsímil")</f>
        <v>Abrir facsímil</v>
      </c>
      <c r="K763" s="3" t="s">
        <v>24</v>
      </c>
    </row>
    <row r="764" spans="1:11" ht="54" customHeight="1">
      <c r="A764" s="2" t="s">
        <v>2208</v>
      </c>
      <c r="B764" s="2" t="s">
        <v>2208</v>
      </c>
      <c r="C764" s="2" t="s">
        <v>46</v>
      </c>
      <c r="D764" s="2" t="s">
        <v>101</v>
      </c>
      <c r="E764" s="5" t="s">
        <v>2091</v>
      </c>
      <c r="F764" s="3" t="s">
        <v>2092</v>
      </c>
      <c r="G764" s="3" t="s">
        <v>34</v>
      </c>
      <c r="H764" s="2" t="s">
        <v>22</v>
      </c>
      <c r="I764" s="2" t="s">
        <v>2229</v>
      </c>
      <c r="J764" s="3" t="str">
        <f>HYPERLINK("https://www.boe.es/gazeta/dias/1834/03/08/pdfs/GMD-1834-30.pdf#page=1","Abrir facsímil")</f>
        <v>Abrir facsímil</v>
      </c>
      <c r="K764" s="3" t="s">
        <v>24</v>
      </c>
    </row>
    <row r="765" spans="1:11" ht="54" customHeight="1">
      <c r="A765" s="2" t="s">
        <v>2208</v>
      </c>
      <c r="B765" s="2" t="s">
        <v>2208</v>
      </c>
      <c r="C765" s="2" t="s">
        <v>17</v>
      </c>
      <c r="D765" s="2" t="s">
        <v>18</v>
      </c>
      <c r="E765" s="5" t="s">
        <v>1008</v>
      </c>
      <c r="F765" s="3" t="s">
        <v>1009</v>
      </c>
      <c r="G765" s="3" t="s">
        <v>470</v>
      </c>
      <c r="H765" s="2" t="s">
        <v>22</v>
      </c>
      <c r="I765" s="2" t="s">
        <v>2230</v>
      </c>
      <c r="J765" s="3" t="str">
        <f>HYPERLINK("https://www.boe.es/gazeta/dias/1834/11/08/pdfs/GMD-C-1834-267.pdf#page=8","Abrir facsímil")</f>
        <v>Abrir facsímil</v>
      </c>
      <c r="K765" s="3" t="s">
        <v>24</v>
      </c>
    </row>
    <row r="766" spans="1:11" ht="54" customHeight="1">
      <c r="A766" s="2" t="s">
        <v>2208</v>
      </c>
      <c r="B766" s="2" t="s">
        <v>2208</v>
      </c>
      <c r="C766" s="2" t="s">
        <v>17</v>
      </c>
      <c r="D766" s="2" t="s">
        <v>18</v>
      </c>
      <c r="E766" s="5" t="s">
        <v>1410</v>
      </c>
      <c r="F766" s="3" t="s">
        <v>2231</v>
      </c>
      <c r="G766" s="3" t="s">
        <v>21</v>
      </c>
      <c r="H766" s="2" t="s">
        <v>22</v>
      </c>
      <c r="I766" s="2" t="s">
        <v>2232</v>
      </c>
      <c r="J766" s="3" t="str">
        <f>HYPERLINK("https://www.boe.es/gazeta/dias/1834/09/09/pdfs/GMD-C-1834-207.pdf#page=3","Abrir facsímil")</f>
        <v>Abrir facsímil</v>
      </c>
      <c r="K766" s="3" t="s">
        <v>24</v>
      </c>
    </row>
    <row r="767" spans="1:11" ht="54" customHeight="1">
      <c r="A767" s="2" t="s">
        <v>2208</v>
      </c>
      <c r="B767" s="2" t="s">
        <v>2208</v>
      </c>
      <c r="C767" s="2" t="s">
        <v>17</v>
      </c>
      <c r="D767" s="2" t="s">
        <v>18</v>
      </c>
      <c r="E767" s="5" t="s">
        <v>1410</v>
      </c>
      <c r="F767" s="3" t="s">
        <v>2231</v>
      </c>
      <c r="G767" s="3" t="s">
        <v>28</v>
      </c>
      <c r="H767" s="2" t="s">
        <v>22</v>
      </c>
      <c r="I767" s="2" t="s">
        <v>2233</v>
      </c>
      <c r="J767" s="3" t="str">
        <f>HYPERLINK("https://www.boe.es/gazeta/dias/1834/09/09/pdfs/GMD-C-1834-207.pdf#page=5","Abrir facsímil")</f>
        <v>Abrir facsímil</v>
      </c>
      <c r="K767" s="3" t="s">
        <v>24</v>
      </c>
    </row>
    <row r="768" spans="1:11" ht="54" customHeight="1">
      <c r="A768" s="2" t="s">
        <v>2208</v>
      </c>
      <c r="B768" s="2" t="s">
        <v>2208</v>
      </c>
      <c r="C768" s="2" t="s">
        <v>17</v>
      </c>
      <c r="D768" s="2" t="s">
        <v>18</v>
      </c>
      <c r="E768" s="5" t="s">
        <v>258</v>
      </c>
      <c r="F768" s="3" t="s">
        <v>1075</v>
      </c>
      <c r="G768" s="3" t="s">
        <v>86</v>
      </c>
      <c r="H768" s="2" t="s">
        <v>22</v>
      </c>
      <c r="I768" s="2" t="s">
        <v>2234</v>
      </c>
      <c r="J768" s="3" t="str">
        <f>HYPERLINK("https://www.boe.es/gazeta/dias/1834/10/09/pdfs/GMD-1834-237.pdf#page=2","Abrir facsímil")</f>
        <v>Abrir facsímil</v>
      </c>
      <c r="K768" s="3" t="s">
        <v>24</v>
      </c>
    </row>
    <row r="769" spans="1:11" ht="54" customHeight="1">
      <c r="A769" s="2" t="s">
        <v>2208</v>
      </c>
      <c r="B769" s="2" t="s">
        <v>2208</v>
      </c>
      <c r="C769" s="2" t="s">
        <v>17</v>
      </c>
      <c r="D769" s="2" t="s">
        <v>55</v>
      </c>
      <c r="E769" s="5" t="s">
        <v>438</v>
      </c>
      <c r="F769" s="3" t="s">
        <v>528</v>
      </c>
      <c r="G769" s="3" t="s">
        <v>28</v>
      </c>
      <c r="H769" s="2" t="s">
        <v>22</v>
      </c>
      <c r="I769" s="2" t="s">
        <v>2235</v>
      </c>
      <c r="J769" s="3" t="str">
        <f>HYPERLINK("https://www.boe.es/gazeta/dias/1834/11/09/pdfs/GMD-C-1834-268.pdf#page=5","Abrir facsímil")</f>
        <v>Abrir facsímil</v>
      </c>
      <c r="K769" s="3" t="s">
        <v>24</v>
      </c>
    </row>
    <row r="770" spans="1:11" ht="54" customHeight="1">
      <c r="A770" s="2" t="s">
        <v>2208</v>
      </c>
      <c r="B770" s="2" t="s">
        <v>2208</v>
      </c>
      <c r="C770" s="2" t="s">
        <v>17</v>
      </c>
      <c r="D770" s="2" t="s">
        <v>18</v>
      </c>
      <c r="E770" s="5" t="s">
        <v>2203</v>
      </c>
      <c r="F770" s="3" t="s">
        <v>2204</v>
      </c>
      <c r="G770" s="3" t="s">
        <v>86</v>
      </c>
      <c r="H770" s="2" t="s">
        <v>22</v>
      </c>
      <c r="I770" s="2" t="s">
        <v>2236</v>
      </c>
      <c r="J770" s="3" t="str">
        <f>HYPERLINK("https://www.boe.es/gazeta/dias/1834/09/10/pdfs/GMD-C-1834-208.pdf#page=2","Abrir facsímil")</f>
        <v>Abrir facsímil</v>
      </c>
      <c r="K770" s="3" t="s">
        <v>24</v>
      </c>
    </row>
    <row r="771" spans="1:11" ht="54" customHeight="1">
      <c r="A771" s="2" t="s">
        <v>2208</v>
      </c>
      <c r="B771" s="2" t="s">
        <v>2208</v>
      </c>
      <c r="C771" s="2" t="s">
        <v>90</v>
      </c>
      <c r="D771" s="2" t="s">
        <v>18</v>
      </c>
      <c r="E771" s="5" t="s">
        <v>2203</v>
      </c>
      <c r="F771" s="3" t="s">
        <v>2204</v>
      </c>
      <c r="G771" s="3" t="s">
        <v>75</v>
      </c>
      <c r="H771" s="2" t="s">
        <v>22</v>
      </c>
      <c r="I771" s="2" t="s">
        <v>2237</v>
      </c>
      <c r="J771" s="3" t="str">
        <f>HYPERLINK("https://www.boe.es/gazeta/dias/1834/09/10/pdfs/GMD-C-1834-208.pdf#page=4","Abrir facsímil")</f>
        <v>Abrir facsímil</v>
      </c>
      <c r="K771" s="3" t="s">
        <v>24</v>
      </c>
    </row>
    <row r="772" spans="1:11" ht="54" customHeight="1">
      <c r="A772" s="2" t="s">
        <v>2208</v>
      </c>
      <c r="B772" s="2" t="s">
        <v>2208</v>
      </c>
      <c r="C772" s="2" t="s">
        <v>66</v>
      </c>
      <c r="D772" s="2" t="s">
        <v>67</v>
      </c>
      <c r="E772" s="5" t="s">
        <v>1103</v>
      </c>
      <c r="F772" s="3" t="s">
        <v>1104</v>
      </c>
      <c r="G772" s="3" t="s">
        <v>75</v>
      </c>
      <c r="H772" s="2" t="s">
        <v>22</v>
      </c>
      <c r="I772" s="2" t="s">
        <v>2238</v>
      </c>
      <c r="J772" s="3" t="str">
        <f>HYPERLINK("https://www.boe.es/gazeta/dias/1834/10/10/pdfs/GMD-C-1834-238.pdf#page=4","Abrir facsímil")</f>
        <v>Abrir facsímil</v>
      </c>
      <c r="K772" s="3" t="s">
        <v>24</v>
      </c>
    </row>
    <row r="773" spans="1:11" ht="54" customHeight="1">
      <c r="A773" s="2" t="s">
        <v>2208</v>
      </c>
      <c r="B773" s="2" t="s">
        <v>2208</v>
      </c>
      <c r="C773" s="2" t="s">
        <v>46</v>
      </c>
      <c r="D773" s="2" t="s">
        <v>101</v>
      </c>
      <c r="E773" s="5" t="s">
        <v>679</v>
      </c>
      <c r="F773" s="3" t="s">
        <v>699</v>
      </c>
      <c r="G773" s="3" t="s">
        <v>21</v>
      </c>
      <c r="H773" s="2" t="s">
        <v>22</v>
      </c>
      <c r="I773" s="2" t="s">
        <v>2239</v>
      </c>
      <c r="J773" s="3" t="str">
        <f>HYPERLINK("https://www.boe.es/gazeta/dias/1834/12/10/pdfs/GMD-C-1834-299.pdf#page=3","Abrir facsímil")</f>
        <v>Abrir facsímil</v>
      </c>
      <c r="K773" s="3" t="s">
        <v>24</v>
      </c>
    </row>
    <row r="774" spans="1:11" ht="54" customHeight="1">
      <c r="A774" s="2" t="s">
        <v>2208</v>
      </c>
      <c r="B774" s="2" t="s">
        <v>2208</v>
      </c>
      <c r="C774" s="2" t="s">
        <v>90</v>
      </c>
      <c r="D774" s="2" t="s">
        <v>18</v>
      </c>
      <c r="E774" s="5" t="s">
        <v>679</v>
      </c>
      <c r="F774" s="3" t="s">
        <v>699</v>
      </c>
      <c r="G774" s="3" t="s">
        <v>75</v>
      </c>
      <c r="H774" s="2" t="s">
        <v>22</v>
      </c>
      <c r="I774" s="2" t="s">
        <v>2240</v>
      </c>
      <c r="J774" s="3" t="str">
        <f>HYPERLINK("https://www.boe.es/gazeta/dias/1834/12/10/pdfs/GMD-C-1834-299.pdf#page=4","Abrir facsímil")</f>
        <v>Abrir facsímil</v>
      </c>
      <c r="K774" s="3" t="s">
        <v>24</v>
      </c>
    </row>
    <row r="775" spans="1:11" ht="54" customHeight="1">
      <c r="A775" s="2" t="s">
        <v>2208</v>
      </c>
      <c r="B775" s="2" t="s">
        <v>2208</v>
      </c>
      <c r="C775" s="2" t="s">
        <v>66</v>
      </c>
      <c r="D775" s="2" t="s">
        <v>67</v>
      </c>
      <c r="E775" s="5" t="s">
        <v>2241</v>
      </c>
      <c r="F775" s="3" t="s">
        <v>2242</v>
      </c>
      <c r="G775" s="3" t="s">
        <v>75</v>
      </c>
      <c r="H775" s="2" t="s">
        <v>22</v>
      </c>
      <c r="I775" s="2" t="s">
        <v>2243</v>
      </c>
      <c r="J775" s="3" t="str">
        <f>HYPERLINK("https://www.boe.es/gazeta/dias/1834/03/11/pdfs/GMD-1834-31.pdf#page=4","Abrir facsímil")</f>
        <v>Abrir facsímil</v>
      </c>
      <c r="K775" s="3" t="s">
        <v>24</v>
      </c>
    </row>
    <row r="776" spans="1:11" ht="54" customHeight="1">
      <c r="A776" s="2" t="s">
        <v>2208</v>
      </c>
      <c r="B776" s="2" t="s">
        <v>2208</v>
      </c>
      <c r="C776" s="2" t="s">
        <v>17</v>
      </c>
      <c r="D776" s="2" t="s">
        <v>18</v>
      </c>
      <c r="E776" s="5" t="s">
        <v>334</v>
      </c>
      <c r="F776" s="3" t="s">
        <v>335</v>
      </c>
      <c r="G776" s="3" t="s">
        <v>86</v>
      </c>
      <c r="H776" s="2" t="s">
        <v>22</v>
      </c>
      <c r="I776" s="2" t="s">
        <v>2244</v>
      </c>
      <c r="J776" s="3" t="str">
        <f>HYPERLINK("https://www.boe.es/gazeta/dias/1834/09/11/pdfs/GMD-C-1834-209.pdf#page=2","Abrir facsímil")</f>
        <v>Abrir facsímil</v>
      </c>
      <c r="K776" s="3" t="s">
        <v>24</v>
      </c>
    </row>
    <row r="777" spans="1:11" ht="54" customHeight="1">
      <c r="A777" s="2" t="s">
        <v>2208</v>
      </c>
      <c r="B777" s="2" t="s">
        <v>2208</v>
      </c>
      <c r="C777" s="2" t="s">
        <v>66</v>
      </c>
      <c r="D777" s="2" t="s">
        <v>67</v>
      </c>
      <c r="E777" s="5" t="s">
        <v>808</v>
      </c>
      <c r="F777" s="3" t="s">
        <v>809</v>
      </c>
      <c r="G777" s="3" t="s">
        <v>75</v>
      </c>
      <c r="H777" s="2" t="s">
        <v>22</v>
      </c>
      <c r="I777" s="2" t="s">
        <v>2245</v>
      </c>
      <c r="J777" s="3" t="str">
        <f>HYPERLINK("https://www.boe.es/gazeta/dias/1834/10/11/pdfs/GMD-1834-239.pdf#page=4","Abrir facsímil")</f>
        <v>Abrir facsímil</v>
      </c>
      <c r="K777" s="3" t="s">
        <v>24</v>
      </c>
    </row>
    <row r="778" spans="1:11" ht="54" customHeight="1">
      <c r="A778" s="2" t="s">
        <v>2208</v>
      </c>
      <c r="B778" s="2" t="s">
        <v>2208</v>
      </c>
      <c r="C778" s="2" t="s">
        <v>17</v>
      </c>
      <c r="D778" s="2" t="s">
        <v>18</v>
      </c>
      <c r="E778" s="5" t="s">
        <v>96</v>
      </c>
      <c r="F778" s="3" t="s">
        <v>97</v>
      </c>
      <c r="G778" s="3" t="s">
        <v>34</v>
      </c>
      <c r="H778" s="2" t="s">
        <v>22</v>
      </c>
      <c r="I778" s="2" t="s">
        <v>2246</v>
      </c>
      <c r="J778" s="3" t="str">
        <f>HYPERLINK("https://www.boe.es/gazeta/dias/1834/11/11/pdfs/GMD-C-1834-270.pdf#page=1","Abrir facsímil")</f>
        <v>Abrir facsímil</v>
      </c>
      <c r="K778" s="3" t="s">
        <v>24</v>
      </c>
    </row>
    <row r="779" spans="1:11" ht="54" customHeight="1">
      <c r="A779" s="2" t="s">
        <v>2208</v>
      </c>
      <c r="B779" s="2" t="s">
        <v>2208</v>
      </c>
      <c r="C779" s="2" t="s">
        <v>46</v>
      </c>
      <c r="D779" s="2" t="s">
        <v>101</v>
      </c>
      <c r="E779" s="5" t="s">
        <v>96</v>
      </c>
      <c r="F779" s="3" t="s">
        <v>97</v>
      </c>
      <c r="G779" s="3" t="s">
        <v>86</v>
      </c>
      <c r="H779" s="2" t="s">
        <v>22</v>
      </c>
      <c r="I779" s="2" t="s">
        <v>2247</v>
      </c>
      <c r="J779" s="3" t="str">
        <f>HYPERLINK("https://www.boe.es/gazeta/dias/1834/11/11/pdfs/GMD-C-1834-270.pdf#page=2","Abrir facsímil")</f>
        <v>Abrir facsímil</v>
      </c>
      <c r="K779" s="3" t="s">
        <v>24</v>
      </c>
    </row>
    <row r="780" spans="1:11" ht="54" customHeight="1">
      <c r="A780" s="2" t="s">
        <v>2208</v>
      </c>
      <c r="B780" s="2" t="s">
        <v>2208</v>
      </c>
      <c r="C780" s="2" t="s">
        <v>17</v>
      </c>
      <c r="D780" s="2" t="s">
        <v>18</v>
      </c>
      <c r="E780" s="5" t="s">
        <v>200</v>
      </c>
      <c r="F780" s="3" t="s">
        <v>2248</v>
      </c>
      <c r="G780" s="3" t="s">
        <v>86</v>
      </c>
      <c r="H780" s="2" t="s">
        <v>22</v>
      </c>
      <c r="I780" s="2" t="s">
        <v>2249</v>
      </c>
      <c r="J780" s="3" t="str">
        <f>HYPERLINK("https://www.boe.es/gazeta/dias/1834/12/11/pdfs/GMD-C-1834-300.pdf#page=2","Abrir facsímil")</f>
        <v>Abrir facsímil</v>
      </c>
      <c r="K780" s="3" t="s">
        <v>24</v>
      </c>
    </row>
    <row r="781" spans="1:11" ht="54" customHeight="1">
      <c r="A781" s="2" t="s">
        <v>2208</v>
      </c>
      <c r="B781" s="2" t="s">
        <v>2208</v>
      </c>
      <c r="C781" s="2" t="s">
        <v>17</v>
      </c>
      <c r="D781" s="2" t="s">
        <v>18</v>
      </c>
      <c r="E781" s="5" t="s">
        <v>200</v>
      </c>
      <c r="F781" s="3" t="s">
        <v>2248</v>
      </c>
      <c r="G781" s="3" t="s">
        <v>21</v>
      </c>
      <c r="H781" s="2" t="s">
        <v>22</v>
      </c>
      <c r="I781" s="2" t="s">
        <v>2250</v>
      </c>
      <c r="J781" s="3" t="str">
        <f>HYPERLINK("https://www.boe.es/gazeta/dias/1834/12/11/pdfs/GMD-C-1834-300.pdf#page=3","Abrir facsímil")</f>
        <v>Abrir facsímil</v>
      </c>
      <c r="K781" s="3" t="s">
        <v>24</v>
      </c>
    </row>
    <row r="782" spans="1:11" ht="54" customHeight="1">
      <c r="A782" s="2" t="s">
        <v>2208</v>
      </c>
      <c r="B782" s="2" t="s">
        <v>2208</v>
      </c>
      <c r="C782" s="2" t="s">
        <v>17</v>
      </c>
      <c r="D782" s="2" t="s">
        <v>18</v>
      </c>
      <c r="E782" s="5" t="s">
        <v>200</v>
      </c>
      <c r="F782" s="3" t="s">
        <v>2248</v>
      </c>
      <c r="G782" s="3" t="s">
        <v>75</v>
      </c>
      <c r="H782" s="2" t="s">
        <v>22</v>
      </c>
      <c r="I782" s="2" t="s">
        <v>2251</v>
      </c>
      <c r="J782" s="3" t="str">
        <f>HYPERLINK("https://www.boe.es/gazeta/dias/1834/12/11/pdfs/GMD-C-1834-300.pdf#page=4","Abrir facsímil")</f>
        <v>Abrir facsímil</v>
      </c>
      <c r="K782" s="3" t="s">
        <v>24</v>
      </c>
    </row>
    <row r="783" spans="1:11" ht="54" customHeight="1">
      <c r="A783" s="2" t="s">
        <v>2208</v>
      </c>
      <c r="B783" s="2" t="s">
        <v>2208</v>
      </c>
      <c r="C783" s="2" t="s">
        <v>17</v>
      </c>
      <c r="D783" s="2" t="s">
        <v>18</v>
      </c>
      <c r="E783" s="5" t="s">
        <v>1839</v>
      </c>
      <c r="F783" s="3" t="s">
        <v>1840</v>
      </c>
      <c r="G783" s="3" t="s">
        <v>34</v>
      </c>
      <c r="H783" s="2" t="s">
        <v>22</v>
      </c>
      <c r="I783" s="2" t="s">
        <v>2252</v>
      </c>
      <c r="J783" s="3" t="str">
        <f>HYPERLINK("https://www.boe.es/gazeta/dias/1834/08/12/pdfs/GMD-C-1834-177.pdf#page=1","Abrir facsímil")</f>
        <v>Abrir facsímil</v>
      </c>
      <c r="K783" s="3" t="s">
        <v>24</v>
      </c>
    </row>
    <row r="784" spans="1:11" ht="54" customHeight="1">
      <c r="A784" s="2" t="s">
        <v>2208</v>
      </c>
      <c r="B784" s="2" t="s">
        <v>2208</v>
      </c>
      <c r="C784" s="2" t="s">
        <v>17</v>
      </c>
      <c r="D784" s="2" t="s">
        <v>18</v>
      </c>
      <c r="E784" s="5" t="s">
        <v>642</v>
      </c>
      <c r="F784" s="3" t="s">
        <v>643</v>
      </c>
      <c r="G784" s="3" t="s">
        <v>560</v>
      </c>
      <c r="H784" s="2" t="s">
        <v>22</v>
      </c>
      <c r="I784" s="2" t="s">
        <v>2253</v>
      </c>
      <c r="J784" s="3" t="str">
        <f>HYPERLINK("https://www.boe.es/gazeta/dias/1834/11/12/pdfs/GMD-C-1834-271.pdf#page=7","Abrir facsímil")</f>
        <v>Abrir facsímil</v>
      </c>
      <c r="K784" s="3" t="s">
        <v>24</v>
      </c>
    </row>
    <row r="785" spans="1:11" ht="54" customHeight="1">
      <c r="A785" s="2" t="s">
        <v>2208</v>
      </c>
      <c r="B785" s="2" t="s">
        <v>2208</v>
      </c>
      <c r="C785" s="2" t="s">
        <v>46</v>
      </c>
      <c r="D785" s="2" t="s">
        <v>101</v>
      </c>
      <c r="E785" s="5" t="s">
        <v>642</v>
      </c>
      <c r="F785" s="3" t="s">
        <v>643</v>
      </c>
      <c r="G785" s="3" t="s">
        <v>470</v>
      </c>
      <c r="H785" s="2" t="s">
        <v>22</v>
      </c>
      <c r="I785" s="2" t="s">
        <v>2254</v>
      </c>
      <c r="J785" s="3" t="str">
        <f>HYPERLINK("https://www.boe.es/gazeta/dias/1834/11/12/pdfs/GMD-C-1834-271.pdf#page=8","Abrir facsímil")</f>
        <v>Abrir facsímil</v>
      </c>
      <c r="K785" s="3" t="s">
        <v>24</v>
      </c>
    </row>
    <row r="786" spans="1:11" ht="54" customHeight="1">
      <c r="A786" s="2" t="s">
        <v>2208</v>
      </c>
      <c r="B786" s="2" t="s">
        <v>2208</v>
      </c>
      <c r="C786" s="2" t="s">
        <v>90</v>
      </c>
      <c r="D786" s="2" t="s">
        <v>18</v>
      </c>
      <c r="E786" s="5" t="s">
        <v>299</v>
      </c>
      <c r="F786" s="3" t="s">
        <v>2255</v>
      </c>
      <c r="G786" s="3" t="s">
        <v>34</v>
      </c>
      <c r="H786" s="2" t="s">
        <v>22</v>
      </c>
      <c r="I786" s="2" t="s">
        <v>2256</v>
      </c>
      <c r="J786" s="3" t="str">
        <f>HYPERLINK("https://www.boe.es/gazeta/dias/1834/12/12/pdfs/GMD-C-1834-301.pdf#page=1","Abrir facsímil")</f>
        <v>Abrir facsímil</v>
      </c>
      <c r="K786" s="3" t="s">
        <v>24</v>
      </c>
    </row>
    <row r="787" spans="1:11" ht="54" customHeight="1">
      <c r="A787" s="2" t="s">
        <v>2208</v>
      </c>
      <c r="B787" s="2" t="s">
        <v>2208</v>
      </c>
      <c r="C787" s="2" t="s">
        <v>66</v>
      </c>
      <c r="D787" s="2" t="s">
        <v>67</v>
      </c>
      <c r="E787" s="5" t="s">
        <v>844</v>
      </c>
      <c r="F787" s="3" t="s">
        <v>845</v>
      </c>
      <c r="G787" s="3" t="s">
        <v>75</v>
      </c>
      <c r="H787" s="2" t="s">
        <v>22</v>
      </c>
      <c r="I787" s="2" t="s">
        <v>2257</v>
      </c>
      <c r="J787" s="3" t="str">
        <f>HYPERLINK("https://www.boe.es/gazeta/dias/1834/03/13/pdfs/GMD-1834-32.pdf#page=4","Abrir facsímil")</f>
        <v>Abrir facsímil</v>
      </c>
      <c r="K787" s="3" t="s">
        <v>24</v>
      </c>
    </row>
    <row r="788" spans="1:11" ht="54" customHeight="1">
      <c r="A788" s="2" t="s">
        <v>2208</v>
      </c>
      <c r="B788" s="2" t="s">
        <v>2208</v>
      </c>
      <c r="C788" s="2" t="s">
        <v>17</v>
      </c>
      <c r="D788" s="2" t="s">
        <v>40</v>
      </c>
      <c r="E788" s="5" t="s">
        <v>479</v>
      </c>
      <c r="F788" s="3" t="s">
        <v>2258</v>
      </c>
      <c r="G788" s="3" t="s">
        <v>34</v>
      </c>
      <c r="H788" s="2" t="s">
        <v>22</v>
      </c>
      <c r="I788" s="2" t="s">
        <v>2259</v>
      </c>
      <c r="J788" s="3" t="str">
        <f>HYPERLINK("https://www.boe.es/gazeta/dias/1834/08/13/pdfs/GMD-C-1834-178.pdf#page=1","Abrir facsímil")</f>
        <v>Abrir facsímil</v>
      </c>
      <c r="K788" s="3" t="s">
        <v>24</v>
      </c>
    </row>
    <row r="789" spans="1:11" ht="54" customHeight="1">
      <c r="A789" s="2" t="s">
        <v>2208</v>
      </c>
      <c r="B789" s="2" t="s">
        <v>2208</v>
      </c>
      <c r="C789" s="2" t="s">
        <v>17</v>
      </c>
      <c r="D789" s="2" t="s">
        <v>18</v>
      </c>
      <c r="E789" s="5" t="s">
        <v>2260</v>
      </c>
      <c r="F789" s="3" t="s">
        <v>2261</v>
      </c>
      <c r="G789" s="3" t="s">
        <v>34</v>
      </c>
      <c r="H789" s="2" t="s">
        <v>22</v>
      </c>
      <c r="I789" s="2" t="s">
        <v>2262</v>
      </c>
      <c r="J789" s="3" t="str">
        <f>HYPERLINK("https://www.boe.es/gazeta/dias/1834/11/13/pdfs/GMD-1834-272.pdf#page=1","Abrir facsímil")</f>
        <v>Abrir facsímil</v>
      </c>
      <c r="K789" s="3" t="s">
        <v>24</v>
      </c>
    </row>
    <row r="790" spans="1:11" ht="54" customHeight="1">
      <c r="A790" s="2" t="s">
        <v>2208</v>
      </c>
      <c r="B790" s="2" t="s">
        <v>2208</v>
      </c>
      <c r="C790" s="2" t="s">
        <v>46</v>
      </c>
      <c r="D790" s="2" t="s">
        <v>101</v>
      </c>
      <c r="E790" s="5" t="s">
        <v>2260</v>
      </c>
      <c r="F790" s="3" t="s">
        <v>2263</v>
      </c>
      <c r="G790" s="3" t="s">
        <v>86</v>
      </c>
      <c r="H790" s="2" t="s">
        <v>22</v>
      </c>
      <c r="I790" s="2" t="s">
        <v>2264</v>
      </c>
      <c r="J790" s="3" t="str">
        <f>HYPERLINK("https://www.boe.es/gazeta/dias/1834/11/13/pdfs/GMD-C-1834-272.pdf#page=2","Abrir facsímil")</f>
        <v>Abrir facsímil</v>
      </c>
      <c r="K790" s="3" t="s">
        <v>24</v>
      </c>
    </row>
    <row r="791" spans="1:11" ht="54" customHeight="1">
      <c r="A791" s="2" t="s">
        <v>2208</v>
      </c>
      <c r="B791" s="2" t="s">
        <v>2208</v>
      </c>
      <c r="C791" s="2" t="s">
        <v>17</v>
      </c>
      <c r="D791" s="2" t="s">
        <v>18</v>
      </c>
      <c r="E791" s="5" t="s">
        <v>1424</v>
      </c>
      <c r="F791" s="3" t="s">
        <v>1425</v>
      </c>
      <c r="G791" s="3" t="s">
        <v>34</v>
      </c>
      <c r="H791" s="2" t="s">
        <v>22</v>
      </c>
      <c r="I791" s="2" t="s">
        <v>2265</v>
      </c>
      <c r="J791" s="3" t="str">
        <f>HYPERLINK("https://www.boe.es/gazeta/dias/1834/11/14/pdfs/GMD-C-1834-273.pdf#page=1","Abrir facsímil")</f>
        <v>Abrir facsímil</v>
      </c>
      <c r="K791" s="3" t="s">
        <v>24</v>
      </c>
    </row>
    <row r="792" spans="1:11" ht="54" customHeight="1">
      <c r="A792" s="2" t="s">
        <v>2208</v>
      </c>
      <c r="B792" s="2" t="s">
        <v>2208</v>
      </c>
      <c r="C792" s="2" t="s">
        <v>17</v>
      </c>
      <c r="D792" s="2" t="s">
        <v>18</v>
      </c>
      <c r="E792" s="5" t="s">
        <v>1424</v>
      </c>
      <c r="F792" s="3" t="s">
        <v>1425</v>
      </c>
      <c r="G792" s="3" t="s">
        <v>176</v>
      </c>
      <c r="H792" s="2" t="s">
        <v>22</v>
      </c>
      <c r="I792" s="2" t="s">
        <v>2266</v>
      </c>
      <c r="J792" s="3" t="str">
        <f>HYPERLINK("https://www.boe.es/gazeta/dias/1834/11/14/pdfs/GMD-C-1834-273.pdf#page=6","Abrir facsímil")</f>
        <v>Abrir facsímil</v>
      </c>
      <c r="K792" s="3" t="s">
        <v>24</v>
      </c>
    </row>
    <row r="793" spans="1:11" ht="54" customHeight="1">
      <c r="A793" s="2" t="s">
        <v>2208</v>
      </c>
      <c r="B793" s="2" t="s">
        <v>2208</v>
      </c>
      <c r="C793" s="2" t="s">
        <v>17</v>
      </c>
      <c r="D793" s="2" t="s">
        <v>18</v>
      </c>
      <c r="E793" s="5" t="s">
        <v>2087</v>
      </c>
      <c r="F793" s="3" t="s">
        <v>2267</v>
      </c>
      <c r="G793" s="3" t="s">
        <v>2174</v>
      </c>
      <c r="H793" s="2" t="s">
        <v>22</v>
      </c>
      <c r="I793" s="2" t="s">
        <v>2268</v>
      </c>
      <c r="J793" s="3" t="str">
        <f>HYPERLINK("https://www.boe.es/gazeta/dias/1834/12/14/pdfs/GMD-C-1834-303.pdf#page=10","Abrir facsímil")</f>
        <v>Abrir facsímil</v>
      </c>
      <c r="K793" s="3" t="s">
        <v>24</v>
      </c>
    </row>
    <row r="794" spans="1:11" ht="54" customHeight="1">
      <c r="A794" s="2" t="s">
        <v>2208</v>
      </c>
      <c r="B794" s="2" t="s">
        <v>2208</v>
      </c>
      <c r="C794" s="2" t="s">
        <v>17</v>
      </c>
      <c r="D794" s="2" t="s">
        <v>18</v>
      </c>
      <c r="E794" s="5" t="s">
        <v>863</v>
      </c>
      <c r="F794" s="3" t="s">
        <v>864</v>
      </c>
      <c r="G794" s="3" t="s">
        <v>75</v>
      </c>
      <c r="H794" s="2" t="s">
        <v>22</v>
      </c>
      <c r="I794" s="2" t="s">
        <v>2269</v>
      </c>
      <c r="J794" s="3" t="str">
        <f>HYPERLINK("https://www.boe.es/gazeta/dias/1834/09/15/pdfs/GMD-1834-213.pdf#page=4","Abrir facsímil")</f>
        <v>Abrir facsímil</v>
      </c>
      <c r="K794" s="3" t="s">
        <v>24</v>
      </c>
    </row>
    <row r="795" spans="1:11" ht="54" customHeight="1">
      <c r="A795" s="2" t="s">
        <v>2208</v>
      </c>
      <c r="B795" s="2" t="s">
        <v>2208</v>
      </c>
      <c r="C795" s="2" t="s">
        <v>17</v>
      </c>
      <c r="D795" s="2" t="s">
        <v>18</v>
      </c>
      <c r="E795" s="5" t="s">
        <v>451</v>
      </c>
      <c r="F795" s="3" t="s">
        <v>452</v>
      </c>
      <c r="G795" s="3" t="s">
        <v>21</v>
      </c>
      <c r="H795" s="2" t="s">
        <v>22</v>
      </c>
      <c r="I795" s="2" t="s">
        <v>2270</v>
      </c>
      <c r="J795" s="3" t="str">
        <f>HYPERLINK("https://www.boe.es/gazeta/dias/1834/10/15/pdfs/GMD-C-1834-243.pdf#page=3","Abrir facsímil")</f>
        <v>Abrir facsímil</v>
      </c>
      <c r="K795" s="3" t="s">
        <v>24</v>
      </c>
    </row>
    <row r="796" spans="1:11" ht="54" customHeight="1">
      <c r="A796" s="2" t="s">
        <v>2208</v>
      </c>
      <c r="B796" s="2" t="s">
        <v>2208</v>
      </c>
      <c r="C796" s="2" t="s">
        <v>17</v>
      </c>
      <c r="D796" s="2" t="s">
        <v>18</v>
      </c>
      <c r="E796" s="5" t="s">
        <v>928</v>
      </c>
      <c r="F796" s="3" t="s">
        <v>929</v>
      </c>
      <c r="G796" s="3" t="s">
        <v>34</v>
      </c>
      <c r="H796" s="2" t="s">
        <v>22</v>
      </c>
      <c r="I796" s="2" t="s">
        <v>2271</v>
      </c>
      <c r="J796" s="3" t="str">
        <f>HYPERLINK("https://www.boe.es/gazeta/dias/1834/11/15/pdfs/GMD-C-1834-274.pdf#page=1","Abrir facsímil")</f>
        <v>Abrir facsímil</v>
      </c>
      <c r="K796" s="3" t="s">
        <v>24</v>
      </c>
    </row>
    <row r="797" spans="1:11" ht="54" customHeight="1">
      <c r="A797" s="2" t="s">
        <v>2208</v>
      </c>
      <c r="B797" s="2" t="s">
        <v>2208</v>
      </c>
      <c r="C797" s="2" t="s">
        <v>122</v>
      </c>
      <c r="D797" s="2" t="s">
        <v>55</v>
      </c>
      <c r="E797" s="5" t="s">
        <v>233</v>
      </c>
      <c r="F797" s="3" t="s">
        <v>1810</v>
      </c>
      <c r="G797" s="3" t="s">
        <v>2272</v>
      </c>
      <c r="H797" s="2" t="s">
        <v>22</v>
      </c>
      <c r="I797" s="2" t="s">
        <v>2273</v>
      </c>
      <c r="J797" s="3" t="str">
        <f>HYPERLINK("https://www.boe.es/gazeta/dias/1834/12/16/pdfs/GMD-C-1834-305.pdf#page=12","Abrir facsímil")</f>
        <v>Abrir facsímil</v>
      </c>
      <c r="K797" s="3" t="s">
        <v>24</v>
      </c>
    </row>
    <row r="798" spans="1:11" ht="54" customHeight="1">
      <c r="A798" s="2" t="s">
        <v>2208</v>
      </c>
      <c r="B798" s="2" t="s">
        <v>2208</v>
      </c>
      <c r="C798" s="2" t="s">
        <v>17</v>
      </c>
      <c r="D798" s="2" t="s">
        <v>18</v>
      </c>
      <c r="E798" s="5" t="s">
        <v>233</v>
      </c>
      <c r="F798" s="3" t="s">
        <v>1810</v>
      </c>
      <c r="G798" s="3" t="s">
        <v>2274</v>
      </c>
      <c r="H798" s="2" t="s">
        <v>22</v>
      </c>
      <c r="I798" s="2" t="s">
        <v>2275</v>
      </c>
      <c r="J798" s="3" t="str">
        <f>HYPERLINK("https://www.boe.es/gazeta/dias/1834/12/16/pdfs/GMD-C-1834-305.pdf#page=13","Abrir facsímil")</f>
        <v>Abrir facsímil</v>
      </c>
      <c r="K798" s="3" t="s">
        <v>24</v>
      </c>
    </row>
    <row r="799" spans="1:11" ht="54" customHeight="1">
      <c r="A799" s="2" t="s">
        <v>2208</v>
      </c>
      <c r="B799" s="2" t="s">
        <v>2208</v>
      </c>
      <c r="C799" s="2" t="s">
        <v>17</v>
      </c>
      <c r="D799" s="2" t="s">
        <v>18</v>
      </c>
      <c r="E799" s="5" t="s">
        <v>233</v>
      </c>
      <c r="F799" s="3" t="s">
        <v>1810</v>
      </c>
      <c r="G799" s="3" t="s">
        <v>86</v>
      </c>
      <c r="H799" s="2" t="s">
        <v>22</v>
      </c>
      <c r="I799" s="2" t="s">
        <v>2276</v>
      </c>
      <c r="J799" s="3" t="str">
        <f>HYPERLINK("https://www.boe.es/gazeta/dias/1834/12/16/pdfs/GMD-C-1834-305.pdf#page=2","Abrir facsímil")</f>
        <v>Abrir facsímil</v>
      </c>
      <c r="K799" s="3" t="s">
        <v>24</v>
      </c>
    </row>
    <row r="800" spans="1:11" ht="54" customHeight="1">
      <c r="A800" s="2" t="s">
        <v>2208</v>
      </c>
      <c r="B800" s="2" t="s">
        <v>2208</v>
      </c>
      <c r="C800" s="2" t="s">
        <v>17</v>
      </c>
      <c r="D800" s="2" t="s">
        <v>18</v>
      </c>
      <c r="E800" s="5" t="s">
        <v>715</v>
      </c>
      <c r="F800" s="3" t="s">
        <v>716</v>
      </c>
      <c r="G800" s="3" t="s">
        <v>34</v>
      </c>
      <c r="H800" s="2" t="s">
        <v>22</v>
      </c>
      <c r="I800" s="2" t="s">
        <v>2277</v>
      </c>
      <c r="J800" s="3" t="str">
        <f>HYPERLINK("https://www.boe.es/gazeta/dias/1834/09/17/pdfs/GMD-C-1834-215.pdf#page=1","Abrir facsímil")</f>
        <v>Abrir facsímil</v>
      </c>
      <c r="K800" s="3" t="s">
        <v>24</v>
      </c>
    </row>
    <row r="801" spans="1:11" ht="54" customHeight="1">
      <c r="A801" s="2" t="s">
        <v>2208</v>
      </c>
      <c r="B801" s="2" t="s">
        <v>2208</v>
      </c>
      <c r="C801" s="2" t="s">
        <v>17</v>
      </c>
      <c r="D801" s="2" t="s">
        <v>18</v>
      </c>
      <c r="E801" s="5" t="s">
        <v>2278</v>
      </c>
      <c r="F801" s="3" t="s">
        <v>2279</v>
      </c>
      <c r="G801" s="3" t="s">
        <v>86</v>
      </c>
      <c r="H801" s="2" t="s">
        <v>22</v>
      </c>
      <c r="I801" s="2" t="s">
        <v>2280</v>
      </c>
      <c r="J801" s="3" t="str">
        <f>HYPERLINK("https://www.boe.es/gazeta/dias/1834/12/17/pdfs/GMD-C-1834-306.pdf#page=2","Abrir facsímil")</f>
        <v>Abrir facsímil</v>
      </c>
      <c r="K801" s="3" t="s">
        <v>24</v>
      </c>
    </row>
    <row r="802" spans="1:11" ht="54" customHeight="1">
      <c r="A802" s="2" t="s">
        <v>2208</v>
      </c>
      <c r="B802" s="2" t="s">
        <v>2208</v>
      </c>
      <c r="C802" s="2" t="s">
        <v>66</v>
      </c>
      <c r="D802" s="2" t="s">
        <v>67</v>
      </c>
      <c r="E802" s="5" t="s">
        <v>2278</v>
      </c>
      <c r="F802" s="3" t="s">
        <v>2279</v>
      </c>
      <c r="G802" s="3" t="s">
        <v>75</v>
      </c>
      <c r="H802" s="2" t="s">
        <v>22</v>
      </c>
      <c r="I802" s="2" t="s">
        <v>2281</v>
      </c>
      <c r="J802" s="3" t="str">
        <f>HYPERLINK("https://www.boe.es/gazeta/dias/1834/12/17/pdfs/GMD-C-1834-306.pdf#page=4","Abrir facsímil")</f>
        <v>Abrir facsímil</v>
      </c>
      <c r="K802" s="3" t="s">
        <v>24</v>
      </c>
    </row>
    <row r="803" spans="1:11" ht="54" customHeight="1">
      <c r="A803" s="2" t="s">
        <v>2208</v>
      </c>
      <c r="B803" s="2" t="s">
        <v>2208</v>
      </c>
      <c r="C803" s="2" t="s">
        <v>17</v>
      </c>
      <c r="D803" s="2" t="s">
        <v>18</v>
      </c>
      <c r="E803" s="5" t="s">
        <v>2278</v>
      </c>
      <c r="F803" s="3" t="s">
        <v>2279</v>
      </c>
      <c r="G803" s="3" t="s">
        <v>176</v>
      </c>
      <c r="H803" s="2" t="s">
        <v>22</v>
      </c>
      <c r="I803" s="2" t="s">
        <v>2282</v>
      </c>
      <c r="J803" s="3" t="str">
        <f>HYPERLINK("https://www.boe.es/gazeta/dias/1834/12/17/pdfs/GMD-C-1834-306.pdf#page=6","Abrir facsímil")</f>
        <v>Abrir facsímil</v>
      </c>
      <c r="K803" s="3" t="s">
        <v>24</v>
      </c>
    </row>
    <row r="804" spans="1:11" ht="54" customHeight="1">
      <c r="A804" s="2" t="s">
        <v>2208</v>
      </c>
      <c r="B804" s="2" t="s">
        <v>2208</v>
      </c>
      <c r="C804" s="2" t="s">
        <v>17</v>
      </c>
      <c r="D804" s="2" t="s">
        <v>18</v>
      </c>
      <c r="E804" s="5" t="s">
        <v>1850</v>
      </c>
      <c r="F804" s="3" t="s">
        <v>1851</v>
      </c>
      <c r="G804" s="3" t="s">
        <v>560</v>
      </c>
      <c r="H804" s="2" t="s">
        <v>22</v>
      </c>
      <c r="I804" s="2" t="s">
        <v>2283</v>
      </c>
      <c r="J804" s="3" t="str">
        <f>HYPERLINK("https://www.boe.es/gazeta/dias/1834/02/18/pdfs/GMD-1834-22.pdf#page=7","Abrir facsímil")</f>
        <v>Abrir facsímil</v>
      </c>
      <c r="K804" s="3" t="s">
        <v>24</v>
      </c>
    </row>
    <row r="805" spans="1:11" ht="54" customHeight="1">
      <c r="A805" s="2" t="s">
        <v>2208</v>
      </c>
      <c r="B805" s="2" t="s">
        <v>2208</v>
      </c>
      <c r="C805" s="2" t="s">
        <v>17</v>
      </c>
      <c r="D805" s="2" t="s">
        <v>18</v>
      </c>
      <c r="E805" s="5" t="s">
        <v>772</v>
      </c>
      <c r="F805" s="3" t="s">
        <v>2284</v>
      </c>
      <c r="G805" s="3" t="s">
        <v>21</v>
      </c>
      <c r="H805" s="2" t="s">
        <v>22</v>
      </c>
      <c r="I805" s="2" t="s">
        <v>2285</v>
      </c>
      <c r="J805" s="3" t="str">
        <f>HYPERLINK("https://www.boe.es/gazeta/dias/1834/09/18/pdfs/GMD-C-1834-216.pdf#page=3","Abrir facsímil")</f>
        <v>Abrir facsímil</v>
      </c>
      <c r="K805" s="3" t="s">
        <v>24</v>
      </c>
    </row>
    <row r="806" spans="1:11" ht="54" customHeight="1">
      <c r="A806" s="2" t="s">
        <v>2208</v>
      </c>
      <c r="B806" s="2" t="s">
        <v>2208</v>
      </c>
      <c r="C806" s="2" t="s">
        <v>17</v>
      </c>
      <c r="D806" s="2" t="s">
        <v>18</v>
      </c>
      <c r="E806" s="5" t="s">
        <v>772</v>
      </c>
      <c r="F806" s="3" t="s">
        <v>2284</v>
      </c>
      <c r="G806" s="3" t="s">
        <v>470</v>
      </c>
      <c r="H806" s="2" t="s">
        <v>22</v>
      </c>
      <c r="I806" s="2" t="s">
        <v>2286</v>
      </c>
      <c r="J806" s="3" t="str">
        <f>HYPERLINK("https://www.boe.es/gazeta/dias/1834/09/18/pdfs/GMD-C-1834-216.pdf#page=8","Abrir facsímil")</f>
        <v>Abrir facsímil</v>
      </c>
      <c r="K806" s="3" t="s">
        <v>24</v>
      </c>
    </row>
    <row r="807" spans="1:11" ht="54" customHeight="1">
      <c r="A807" s="2" t="s">
        <v>2208</v>
      </c>
      <c r="B807" s="2" t="s">
        <v>2208</v>
      </c>
      <c r="C807" s="2" t="s">
        <v>17</v>
      </c>
      <c r="D807" s="2" t="s">
        <v>18</v>
      </c>
      <c r="E807" s="5" t="s">
        <v>2287</v>
      </c>
      <c r="F807" s="3" t="s">
        <v>2288</v>
      </c>
      <c r="G807" s="3" t="s">
        <v>176</v>
      </c>
      <c r="H807" s="2" t="s">
        <v>22</v>
      </c>
      <c r="I807" s="2" t="s">
        <v>2289</v>
      </c>
      <c r="J807" s="3" t="str">
        <f>HYPERLINK("https://www.boe.es/gazeta/dias/1834/12/18/pdfs/GMD-C-1834-308.pdf#page=6","Abrir facsímil")</f>
        <v>Abrir facsímil</v>
      </c>
      <c r="K807" s="3" t="s">
        <v>24</v>
      </c>
    </row>
    <row r="808" spans="1:11" ht="54" customHeight="1">
      <c r="A808" s="2" t="s">
        <v>2208</v>
      </c>
      <c r="B808" s="2" t="s">
        <v>2208</v>
      </c>
      <c r="C808" s="2" t="s">
        <v>66</v>
      </c>
      <c r="D808" s="2" t="s">
        <v>67</v>
      </c>
      <c r="E808" s="5" t="s">
        <v>367</v>
      </c>
      <c r="F808" s="3" t="s">
        <v>368</v>
      </c>
      <c r="G808" s="3" t="s">
        <v>21</v>
      </c>
      <c r="H808" s="2" t="s">
        <v>22</v>
      </c>
      <c r="I808" s="2" t="s">
        <v>2290</v>
      </c>
      <c r="J808" s="3" t="str">
        <f>HYPERLINK("https://www.boe.es/gazeta/dias/1834/05/19/pdfs/GMD-1834-88.pdf#page=3","Abrir facsímil")</f>
        <v>Abrir facsímil</v>
      </c>
      <c r="K808" s="3" t="s">
        <v>24</v>
      </c>
    </row>
    <row r="809" spans="1:11" ht="54" customHeight="1">
      <c r="A809" s="2" t="s">
        <v>2208</v>
      </c>
      <c r="B809" s="2" t="s">
        <v>2208</v>
      </c>
      <c r="C809" s="2" t="s">
        <v>17</v>
      </c>
      <c r="D809" s="2" t="s">
        <v>18</v>
      </c>
      <c r="E809" s="5" t="s">
        <v>26</v>
      </c>
      <c r="F809" s="3" t="s">
        <v>27</v>
      </c>
      <c r="G809" s="3" t="s">
        <v>28</v>
      </c>
      <c r="H809" s="2" t="s">
        <v>22</v>
      </c>
      <c r="I809" s="2" t="s">
        <v>2291</v>
      </c>
      <c r="J809" s="3" t="str">
        <f>HYPERLINK("https://www.boe.es/gazeta/dias/1834/10/19/pdfs/GMD-C-1834-247.pdf#page=5","Abrir facsímil")</f>
        <v>Abrir facsímil</v>
      </c>
      <c r="K809" s="3" t="s">
        <v>24</v>
      </c>
    </row>
    <row r="810" spans="1:11" ht="54" customHeight="1">
      <c r="A810" s="2" t="s">
        <v>2208</v>
      </c>
      <c r="B810" s="2" t="s">
        <v>2208</v>
      </c>
      <c r="C810" s="2" t="s">
        <v>17</v>
      </c>
      <c r="D810" s="2" t="s">
        <v>18</v>
      </c>
      <c r="E810" s="5" t="s">
        <v>268</v>
      </c>
      <c r="F810" s="3" t="s">
        <v>269</v>
      </c>
      <c r="G810" s="3" t="s">
        <v>34</v>
      </c>
      <c r="H810" s="2" t="s">
        <v>22</v>
      </c>
      <c r="I810" s="2" t="s">
        <v>2292</v>
      </c>
      <c r="J810" s="3" t="str">
        <f>HYPERLINK("https://www.boe.es/gazeta/dias/1834/12/19/pdfs/GMD-C-1834-309.pdf#page=1","Abrir facsímil")</f>
        <v>Abrir facsímil</v>
      </c>
      <c r="K810" s="3" t="s">
        <v>24</v>
      </c>
    </row>
    <row r="811" spans="1:11" ht="54" customHeight="1">
      <c r="A811" s="2" t="s">
        <v>2208</v>
      </c>
      <c r="B811" s="2" t="s">
        <v>2208</v>
      </c>
      <c r="C811" s="2" t="s">
        <v>17</v>
      </c>
      <c r="D811" s="2" t="s">
        <v>18</v>
      </c>
      <c r="E811" s="5" t="s">
        <v>268</v>
      </c>
      <c r="F811" s="3" t="s">
        <v>269</v>
      </c>
      <c r="G811" s="3" t="s">
        <v>28</v>
      </c>
      <c r="H811" s="2" t="s">
        <v>22</v>
      </c>
      <c r="I811" s="2" t="s">
        <v>2293</v>
      </c>
      <c r="J811" s="3" t="str">
        <f>HYPERLINK("https://www.boe.es/gazeta/dias/1834/12/19/pdfs/GMD-C-1834-309.pdf#page=5","Abrir facsímil")</f>
        <v>Abrir facsímil</v>
      </c>
      <c r="K811" s="3" t="s">
        <v>24</v>
      </c>
    </row>
    <row r="812" spans="1:11" ht="54" customHeight="1">
      <c r="A812" s="2" t="s">
        <v>2208</v>
      </c>
      <c r="B812" s="2" t="s">
        <v>2208</v>
      </c>
      <c r="C812" s="2" t="s">
        <v>17</v>
      </c>
      <c r="D812" s="2" t="s">
        <v>18</v>
      </c>
      <c r="E812" s="5" t="s">
        <v>217</v>
      </c>
      <c r="F812" s="3" t="s">
        <v>218</v>
      </c>
      <c r="G812" s="3" t="s">
        <v>34</v>
      </c>
      <c r="H812" s="2" t="s">
        <v>22</v>
      </c>
      <c r="I812" s="2" t="s">
        <v>2294</v>
      </c>
      <c r="J812" s="3" t="str">
        <f>HYPERLINK("https://www.boe.es/gazeta/dias/1834/04/20/pdfs/GMD-1834-59.pdf#page=1","Abrir facsímil")</f>
        <v>Abrir facsímil</v>
      </c>
      <c r="K812" s="3" t="s">
        <v>24</v>
      </c>
    </row>
    <row r="813" spans="1:11" ht="54" customHeight="1">
      <c r="A813" s="2" t="s">
        <v>2208</v>
      </c>
      <c r="B813" s="2" t="s">
        <v>2208</v>
      </c>
      <c r="C813" s="2" t="s">
        <v>17</v>
      </c>
      <c r="D813" s="2" t="s">
        <v>18</v>
      </c>
      <c r="E813" s="5" t="s">
        <v>1973</v>
      </c>
      <c r="F813" s="3" t="s">
        <v>1974</v>
      </c>
      <c r="G813" s="3" t="s">
        <v>34</v>
      </c>
      <c r="H813" s="2" t="s">
        <v>22</v>
      </c>
      <c r="I813" s="2" t="s">
        <v>2295</v>
      </c>
      <c r="J813" s="3" t="str">
        <f>HYPERLINK("https://www.boe.es/gazeta/dias/1834/12/20/pdfs/GMD-C-1834-310.pdf#page=1","Abrir facsímil")</f>
        <v>Abrir facsímil</v>
      </c>
      <c r="K813" s="3" t="s">
        <v>24</v>
      </c>
    </row>
    <row r="814" spans="1:11" ht="54" customHeight="1">
      <c r="A814" s="2" t="s">
        <v>2208</v>
      </c>
      <c r="B814" s="2" t="s">
        <v>2208</v>
      </c>
      <c r="C814" s="2" t="s">
        <v>66</v>
      </c>
      <c r="D814" s="2" t="s">
        <v>67</v>
      </c>
      <c r="E814" s="5" t="s">
        <v>753</v>
      </c>
      <c r="F814" s="3" t="s">
        <v>754</v>
      </c>
      <c r="G814" s="3" t="s">
        <v>34</v>
      </c>
      <c r="H814" s="2" t="s">
        <v>22</v>
      </c>
      <c r="I814" s="2" t="s">
        <v>2296</v>
      </c>
      <c r="J814" s="3" t="str">
        <f>HYPERLINK("https://www.boe.es/gazeta/dias/1834/04/21/pdfs/GMD-1834-60.pdf#page=1","Abrir facsímil")</f>
        <v>Abrir facsímil</v>
      </c>
      <c r="K814" s="3" t="s">
        <v>24</v>
      </c>
    </row>
    <row r="815" spans="1:11" ht="54" customHeight="1">
      <c r="A815" s="2" t="s">
        <v>2208</v>
      </c>
      <c r="B815" s="2" t="s">
        <v>2208</v>
      </c>
      <c r="C815" s="2" t="s">
        <v>122</v>
      </c>
      <c r="D815" s="2" t="s">
        <v>18</v>
      </c>
      <c r="E815" s="5" t="s">
        <v>117</v>
      </c>
      <c r="F815" s="3" t="s">
        <v>118</v>
      </c>
      <c r="G815" s="3" t="s">
        <v>75</v>
      </c>
      <c r="H815" s="2" t="s">
        <v>22</v>
      </c>
      <c r="I815" s="2" t="s">
        <v>2297</v>
      </c>
      <c r="J815" s="3" t="str">
        <f>HYPERLINK("https://www.boe.es/gazeta/dias/1834/07/21/pdfs/GMD-1834-154.pdf#page=4","Abrir facsímil")</f>
        <v>Abrir facsímil</v>
      </c>
      <c r="K815" s="3" t="s">
        <v>24</v>
      </c>
    </row>
    <row r="816" spans="1:11" ht="54" customHeight="1">
      <c r="A816" s="2" t="s">
        <v>2208</v>
      </c>
      <c r="B816" s="2" t="s">
        <v>2208</v>
      </c>
      <c r="C816" s="2" t="s">
        <v>17</v>
      </c>
      <c r="D816" s="2" t="s">
        <v>18</v>
      </c>
      <c r="E816" s="5" t="s">
        <v>32</v>
      </c>
      <c r="F816" s="3" t="s">
        <v>33</v>
      </c>
      <c r="G816" s="3" t="s">
        <v>86</v>
      </c>
      <c r="H816" s="2" t="s">
        <v>22</v>
      </c>
      <c r="I816" s="2" t="s">
        <v>2298</v>
      </c>
      <c r="J816" s="3" t="str">
        <f>HYPERLINK("https://www.boe.es/gazeta/dias/1834/04/23/pdfs/GMD-1834-62.pdf#page=2","Abrir facsímil")</f>
        <v>Abrir facsímil</v>
      </c>
      <c r="K816" s="3" t="s">
        <v>24</v>
      </c>
    </row>
    <row r="817" spans="1:11" ht="54" customHeight="1">
      <c r="A817" s="2" t="s">
        <v>2208</v>
      </c>
      <c r="B817" s="2" t="s">
        <v>2208</v>
      </c>
      <c r="C817" s="2" t="s">
        <v>17</v>
      </c>
      <c r="D817" s="2" t="s">
        <v>55</v>
      </c>
      <c r="E817" s="5" t="s">
        <v>823</v>
      </c>
      <c r="F817" s="3" t="s">
        <v>824</v>
      </c>
      <c r="G817" s="3" t="s">
        <v>176</v>
      </c>
      <c r="H817" s="2" t="s">
        <v>22</v>
      </c>
      <c r="I817" s="2" t="s">
        <v>2299</v>
      </c>
      <c r="J817" s="3" t="str">
        <f>HYPERLINK("https://www.boe.es/gazeta/dias/1834/07/23/pdfs/GMD-1834-156.pdf#page=6","Abrir facsímil")</f>
        <v>Abrir facsímil</v>
      </c>
      <c r="K817" s="3" t="s">
        <v>24</v>
      </c>
    </row>
    <row r="818" spans="1:11" ht="54" customHeight="1">
      <c r="A818" s="2" t="s">
        <v>2208</v>
      </c>
      <c r="B818" s="2" t="s">
        <v>2208</v>
      </c>
      <c r="C818" s="2" t="s">
        <v>17</v>
      </c>
      <c r="D818" s="2" t="s">
        <v>18</v>
      </c>
      <c r="E818" s="5" t="s">
        <v>378</v>
      </c>
      <c r="F818" s="3" t="s">
        <v>888</v>
      </c>
      <c r="G818" s="3" t="s">
        <v>21</v>
      </c>
      <c r="H818" s="2" t="s">
        <v>22</v>
      </c>
      <c r="I818" s="2" t="s">
        <v>2300</v>
      </c>
      <c r="J818" s="3" t="str">
        <f>HYPERLINK("https://www.boe.es/gazeta/dias/1834/09/24/pdfs/GMD-C-1834-222.pdf#page=3","Abrir facsímil")</f>
        <v>Abrir facsímil</v>
      </c>
      <c r="K818" s="3" t="s">
        <v>24</v>
      </c>
    </row>
    <row r="819" spans="1:11" ht="54" customHeight="1">
      <c r="A819" s="2" t="s">
        <v>2208</v>
      </c>
      <c r="B819" s="2" t="s">
        <v>2208</v>
      </c>
      <c r="C819" s="2" t="s">
        <v>17</v>
      </c>
      <c r="D819" s="2" t="s">
        <v>40</v>
      </c>
      <c r="E819" s="5" t="s">
        <v>378</v>
      </c>
      <c r="F819" s="3" t="s">
        <v>888</v>
      </c>
      <c r="G819" s="3" t="s">
        <v>176</v>
      </c>
      <c r="H819" s="2" t="s">
        <v>22</v>
      </c>
      <c r="I819" s="2" t="s">
        <v>2301</v>
      </c>
      <c r="J819" s="3" t="str">
        <f>HYPERLINK("https://www.boe.es/gazeta/dias/1834/09/24/pdfs/GMD-C-1834-222.pdf#page=6","Abrir facsímil")</f>
        <v>Abrir facsímil</v>
      </c>
      <c r="K819" s="3" t="s">
        <v>24</v>
      </c>
    </row>
    <row r="820" spans="1:11" ht="54" customHeight="1">
      <c r="A820" s="2" t="s">
        <v>2208</v>
      </c>
      <c r="B820" s="2" t="s">
        <v>2208</v>
      </c>
      <c r="C820" s="2" t="s">
        <v>17</v>
      </c>
      <c r="D820" s="2" t="s">
        <v>18</v>
      </c>
      <c r="E820" s="5" t="s">
        <v>2302</v>
      </c>
      <c r="F820" s="3" t="s">
        <v>2303</v>
      </c>
      <c r="G820" s="3" t="s">
        <v>75</v>
      </c>
      <c r="H820" s="2" t="s">
        <v>22</v>
      </c>
      <c r="I820" s="2" t="s">
        <v>2304</v>
      </c>
      <c r="J820" s="3" t="str">
        <f>HYPERLINK("https://www.boe.es/gazeta/dias/1834/01/25/pdfs/GMD-1834-12.pdf#page=4","Abrir facsímil")</f>
        <v>Abrir facsímil</v>
      </c>
      <c r="K820" s="3" t="s">
        <v>24</v>
      </c>
    </row>
    <row r="821" spans="1:11" ht="54" customHeight="1">
      <c r="A821" s="2" t="s">
        <v>2208</v>
      </c>
      <c r="B821" s="2" t="s">
        <v>2208</v>
      </c>
      <c r="C821" s="2" t="s">
        <v>17</v>
      </c>
      <c r="D821" s="2" t="s">
        <v>18</v>
      </c>
      <c r="E821" s="5" t="s">
        <v>524</v>
      </c>
      <c r="F821" s="3" t="s">
        <v>525</v>
      </c>
      <c r="G821" s="3" t="s">
        <v>86</v>
      </c>
      <c r="H821" s="2" t="s">
        <v>22</v>
      </c>
      <c r="I821" s="2" t="s">
        <v>2305</v>
      </c>
      <c r="J821" s="3" t="str">
        <f>HYPERLINK("https://www.boe.es/gazeta/dias/1834/12/25/pdfs/GMD-C-1834-315.pdf#page=2","Abrir facsímil")</f>
        <v>Abrir facsímil</v>
      </c>
      <c r="K821" s="3" t="s">
        <v>24</v>
      </c>
    </row>
    <row r="822" spans="1:11" ht="54" customHeight="1">
      <c r="A822" s="2" t="s">
        <v>2208</v>
      </c>
      <c r="B822" s="2" t="s">
        <v>2208</v>
      </c>
      <c r="C822" s="2" t="s">
        <v>17</v>
      </c>
      <c r="D822" s="2" t="s">
        <v>40</v>
      </c>
      <c r="E822" s="5" t="s">
        <v>2306</v>
      </c>
      <c r="F822" s="3" t="s">
        <v>2307</v>
      </c>
      <c r="G822" s="3" t="s">
        <v>75</v>
      </c>
      <c r="H822" s="2" t="s">
        <v>22</v>
      </c>
      <c r="I822" s="2" t="s">
        <v>2308</v>
      </c>
      <c r="J822" s="3" t="str">
        <f>HYPERLINK("https://www.boe.es/gazeta/dias/1834/04/26/pdfs/GMD-1834-65.pdf#page=4","Abrir facsímil")</f>
        <v>Abrir facsímil</v>
      </c>
      <c r="K822" s="3" t="s">
        <v>24</v>
      </c>
    </row>
    <row r="823" spans="1:11" ht="54" customHeight="1">
      <c r="A823" s="2" t="s">
        <v>2208</v>
      </c>
      <c r="B823" s="2" t="s">
        <v>2208</v>
      </c>
      <c r="C823" s="2" t="s">
        <v>17</v>
      </c>
      <c r="D823" s="2" t="s">
        <v>18</v>
      </c>
      <c r="E823" s="5" t="s">
        <v>251</v>
      </c>
      <c r="F823" s="3" t="s">
        <v>252</v>
      </c>
      <c r="G823" s="3" t="s">
        <v>470</v>
      </c>
      <c r="H823" s="2" t="s">
        <v>22</v>
      </c>
      <c r="I823" s="2" t="s">
        <v>2309</v>
      </c>
      <c r="J823" s="3" t="str">
        <f>HYPERLINK("https://www.boe.es/gazeta/dias/1834/09/26/pdfs/GMD-C-1834-224.pdf#page=8","Abrir facsímil")</f>
        <v>Abrir facsímil</v>
      </c>
      <c r="K823" s="3" t="s">
        <v>24</v>
      </c>
    </row>
    <row r="824" spans="1:11" ht="54" customHeight="1">
      <c r="A824" s="2" t="s">
        <v>2208</v>
      </c>
      <c r="B824" s="2" t="s">
        <v>2208</v>
      </c>
      <c r="C824" s="2" t="s">
        <v>90</v>
      </c>
      <c r="D824" s="2" t="s">
        <v>18</v>
      </c>
      <c r="E824" s="5" t="s">
        <v>510</v>
      </c>
      <c r="F824" s="3" t="s">
        <v>531</v>
      </c>
      <c r="G824" s="3" t="s">
        <v>560</v>
      </c>
      <c r="H824" s="2" t="s">
        <v>22</v>
      </c>
      <c r="I824" s="2" t="s">
        <v>2310</v>
      </c>
      <c r="J824" s="3" t="str">
        <f>HYPERLINK("https://www.boe.es/gazeta/dias/1834/11/26/pdfs/GMD-C-1834-285.pdf#page=7","Abrir facsímil")</f>
        <v>Abrir facsímil</v>
      </c>
      <c r="K824" s="3" t="s">
        <v>24</v>
      </c>
    </row>
    <row r="825" spans="1:11" ht="54" customHeight="1">
      <c r="A825" s="2" t="s">
        <v>2208</v>
      </c>
      <c r="B825" s="2" t="s">
        <v>2208</v>
      </c>
      <c r="C825" s="2" t="s">
        <v>46</v>
      </c>
      <c r="D825" s="2" t="s">
        <v>101</v>
      </c>
      <c r="E825" s="5" t="s">
        <v>1686</v>
      </c>
      <c r="F825" s="3" t="s">
        <v>2311</v>
      </c>
      <c r="G825" s="3" t="s">
        <v>34</v>
      </c>
      <c r="H825" s="2" t="s">
        <v>22</v>
      </c>
      <c r="I825" s="2" t="s">
        <v>2312</v>
      </c>
      <c r="J825" s="3" t="str">
        <f>HYPERLINK("https://www.boe.es/gazeta/dias/1834/07/27/pdfs/GMD-C-1834-160.pdf#page=1","Abrir facsímil")</f>
        <v>Abrir facsímil</v>
      </c>
      <c r="K825" s="3" t="s">
        <v>24</v>
      </c>
    </row>
    <row r="826" spans="1:11" ht="54" customHeight="1">
      <c r="A826" s="2" t="s">
        <v>2208</v>
      </c>
      <c r="B826" s="2" t="s">
        <v>2208</v>
      </c>
      <c r="C826" s="2" t="s">
        <v>17</v>
      </c>
      <c r="D826" s="2" t="s">
        <v>18</v>
      </c>
      <c r="E826" s="5" t="s">
        <v>294</v>
      </c>
      <c r="F826" s="3" t="s">
        <v>959</v>
      </c>
      <c r="G826" s="3" t="s">
        <v>21</v>
      </c>
      <c r="H826" s="2" t="s">
        <v>22</v>
      </c>
      <c r="I826" s="2" t="s">
        <v>2313</v>
      </c>
      <c r="J826" s="3" t="str">
        <f>HYPERLINK("https://www.boe.es/gazeta/dias/1834/09/27/pdfs/GMD-C-1834-225.pdf#page=3","Abrir facsímil")</f>
        <v>Abrir facsímil</v>
      </c>
      <c r="K826" s="3" t="s">
        <v>24</v>
      </c>
    </row>
    <row r="827" spans="1:11" ht="54" customHeight="1">
      <c r="A827" s="2" t="s">
        <v>2208</v>
      </c>
      <c r="B827" s="2" t="s">
        <v>2208</v>
      </c>
      <c r="C827" s="2" t="s">
        <v>17</v>
      </c>
      <c r="D827" s="2" t="s">
        <v>18</v>
      </c>
      <c r="E827" s="5" t="s">
        <v>465</v>
      </c>
      <c r="F827" s="3" t="s">
        <v>466</v>
      </c>
      <c r="G827" s="3" t="s">
        <v>21</v>
      </c>
      <c r="H827" s="2" t="s">
        <v>22</v>
      </c>
      <c r="I827" s="2" t="s">
        <v>2314</v>
      </c>
      <c r="J827" s="3" t="str">
        <f>HYPERLINK("https://www.boe.es/gazeta/dias/1834/11/27/pdfs/GMD-C-1834-286.pdf#page=3","Abrir facsímil")</f>
        <v>Abrir facsímil</v>
      </c>
      <c r="K827" s="3" t="s">
        <v>24</v>
      </c>
    </row>
    <row r="828" spans="1:11" ht="54" customHeight="1">
      <c r="A828" s="2" t="s">
        <v>2208</v>
      </c>
      <c r="B828" s="2" t="s">
        <v>2208</v>
      </c>
      <c r="C828" s="2" t="s">
        <v>66</v>
      </c>
      <c r="D828" s="2" t="s">
        <v>67</v>
      </c>
      <c r="E828" s="5" t="s">
        <v>465</v>
      </c>
      <c r="F828" s="3" t="s">
        <v>466</v>
      </c>
      <c r="G828" s="3" t="s">
        <v>176</v>
      </c>
      <c r="H828" s="2" t="s">
        <v>22</v>
      </c>
      <c r="I828" s="2" t="s">
        <v>2315</v>
      </c>
      <c r="J828" s="3" t="str">
        <f>HYPERLINK("https://www.boe.es/gazeta/dias/1834/11/27/pdfs/GMD-C-1834-286.pdf#page=6","Abrir facsímil")</f>
        <v>Abrir facsímil</v>
      </c>
      <c r="K828" s="3" t="s">
        <v>24</v>
      </c>
    </row>
    <row r="829" spans="1:11" ht="54" customHeight="1">
      <c r="A829" s="2" t="s">
        <v>2208</v>
      </c>
      <c r="B829" s="2" t="s">
        <v>2208</v>
      </c>
      <c r="C829" s="2" t="s">
        <v>17</v>
      </c>
      <c r="D829" s="2" t="s">
        <v>18</v>
      </c>
      <c r="E829" s="5" t="s">
        <v>2142</v>
      </c>
      <c r="F829" s="3" t="s">
        <v>2316</v>
      </c>
      <c r="G829" s="3" t="s">
        <v>21</v>
      </c>
      <c r="H829" s="2" t="s">
        <v>22</v>
      </c>
      <c r="I829" s="2" t="s">
        <v>2317</v>
      </c>
      <c r="J829" s="3" t="str">
        <f>HYPERLINK("https://www.boe.es/gazeta/dias/1834/12/27/pdfs/GMD-C-1834-317.pdf#page=3","Abrir facsímil")</f>
        <v>Abrir facsímil</v>
      </c>
      <c r="K829" s="3" t="s">
        <v>24</v>
      </c>
    </row>
    <row r="830" spans="1:11" ht="54" customHeight="1">
      <c r="A830" s="2" t="s">
        <v>2208</v>
      </c>
      <c r="B830" s="2" t="s">
        <v>2208</v>
      </c>
      <c r="C830" s="2" t="s">
        <v>17</v>
      </c>
      <c r="D830" s="2" t="s">
        <v>18</v>
      </c>
      <c r="E830" s="5" t="s">
        <v>1773</v>
      </c>
      <c r="F830" s="3" t="s">
        <v>1774</v>
      </c>
      <c r="G830" s="3" t="s">
        <v>21</v>
      </c>
      <c r="H830" s="2" t="s">
        <v>22</v>
      </c>
      <c r="I830" s="2" t="s">
        <v>2318</v>
      </c>
      <c r="J830" s="3" t="str">
        <f>HYPERLINK("https://www.boe.es/gazeta/dias/1834/06/28/pdfs/GMD-1834-131.pdf#page=3","Abrir facsímil")</f>
        <v>Abrir facsímil</v>
      </c>
      <c r="K830" s="3" t="s">
        <v>24</v>
      </c>
    </row>
    <row r="831" spans="1:11" ht="54" customHeight="1">
      <c r="A831" s="2" t="s">
        <v>2208</v>
      </c>
      <c r="B831" s="2" t="s">
        <v>2208</v>
      </c>
      <c r="C831" s="2" t="s">
        <v>17</v>
      </c>
      <c r="D831" s="2" t="s">
        <v>18</v>
      </c>
      <c r="E831" s="5" t="s">
        <v>1641</v>
      </c>
      <c r="F831" s="3" t="s">
        <v>1642</v>
      </c>
      <c r="G831" s="3" t="s">
        <v>28</v>
      </c>
      <c r="H831" s="2" t="s">
        <v>22</v>
      </c>
      <c r="I831" s="2" t="s">
        <v>2319</v>
      </c>
      <c r="J831" s="3" t="str">
        <f>HYPERLINK("https://www.boe.es/gazeta/dias/1834/09/28/pdfs/GMD-C-1834-226.pdf#page=5","Abrir facsímil")</f>
        <v>Abrir facsímil</v>
      </c>
      <c r="K831" s="3" t="s">
        <v>24</v>
      </c>
    </row>
    <row r="832" spans="1:11" ht="54" customHeight="1">
      <c r="A832" s="2" t="s">
        <v>2208</v>
      </c>
      <c r="B832" s="2" t="s">
        <v>2208</v>
      </c>
      <c r="C832" s="2" t="s">
        <v>17</v>
      </c>
      <c r="D832" s="2" t="s">
        <v>18</v>
      </c>
      <c r="E832" s="5" t="s">
        <v>468</v>
      </c>
      <c r="F832" s="3" t="s">
        <v>469</v>
      </c>
      <c r="G832" s="3" t="s">
        <v>470</v>
      </c>
      <c r="H832" s="2" t="s">
        <v>22</v>
      </c>
      <c r="I832" s="2" t="s">
        <v>2320</v>
      </c>
      <c r="J832" s="3" t="str">
        <f>HYPERLINK("https://www.boe.es/gazeta/dias/1834/12/28/pdfs/GMD-C-1834-318.pdf#page=8","Abrir facsímil")</f>
        <v>Abrir facsímil</v>
      </c>
      <c r="K832" s="3" t="s">
        <v>24</v>
      </c>
    </row>
    <row r="833" spans="1:11" ht="54" customHeight="1">
      <c r="A833" s="2" t="s">
        <v>2208</v>
      </c>
      <c r="B833" s="2" t="s">
        <v>2208</v>
      </c>
      <c r="C833" s="2" t="s">
        <v>17</v>
      </c>
      <c r="D833" s="2" t="s">
        <v>18</v>
      </c>
      <c r="E833" s="5" t="s">
        <v>280</v>
      </c>
      <c r="F833" s="3" t="s">
        <v>281</v>
      </c>
      <c r="G833" s="3" t="s">
        <v>28</v>
      </c>
      <c r="H833" s="2" t="s">
        <v>22</v>
      </c>
      <c r="I833" s="2" t="s">
        <v>2321</v>
      </c>
      <c r="J833" s="3" t="str">
        <f>HYPERLINK("https://www.boe.es/gazeta/dias/1834/08/29/pdfs/GMD-C-1834-195.pdf#page=5","Abrir facsímil")</f>
        <v>Abrir facsímil</v>
      </c>
      <c r="K833" s="3" t="s">
        <v>24</v>
      </c>
    </row>
    <row r="834" spans="1:11" ht="54" customHeight="1">
      <c r="A834" s="2" t="s">
        <v>2208</v>
      </c>
      <c r="B834" s="2" t="s">
        <v>2208</v>
      </c>
      <c r="C834" s="2" t="s">
        <v>17</v>
      </c>
      <c r="D834" s="2" t="s">
        <v>18</v>
      </c>
      <c r="E834" s="5" t="s">
        <v>273</v>
      </c>
      <c r="F834" s="3" t="s">
        <v>274</v>
      </c>
      <c r="G834" s="3" t="s">
        <v>176</v>
      </c>
      <c r="H834" s="2" t="s">
        <v>22</v>
      </c>
      <c r="I834" s="2" t="s">
        <v>2322</v>
      </c>
      <c r="J834" s="3" t="str">
        <f>HYPERLINK("https://www.boe.es/gazeta/dias/1834/08/31/pdfs/GMD-D-1834-198.pdf#page=6","Abrir facsímil")</f>
        <v>Abrir facsímil</v>
      </c>
      <c r="K834" s="3" t="s">
        <v>24</v>
      </c>
    </row>
    <row r="835" spans="1:11" ht="54" customHeight="1">
      <c r="A835" s="2" t="s">
        <v>2208</v>
      </c>
      <c r="B835" s="2" t="s">
        <v>2208</v>
      </c>
      <c r="C835" s="2" t="s">
        <v>17</v>
      </c>
      <c r="D835" s="2" t="s">
        <v>18</v>
      </c>
      <c r="E835" s="5" t="s">
        <v>891</v>
      </c>
      <c r="F835" s="3" t="s">
        <v>892</v>
      </c>
      <c r="G835" s="3" t="s">
        <v>86</v>
      </c>
      <c r="H835" s="2" t="s">
        <v>22</v>
      </c>
      <c r="I835" s="2" t="s">
        <v>2323</v>
      </c>
      <c r="J835" s="3" t="str">
        <f>HYPERLINK("https://www.boe.es/gazeta/dias/1834/10/31/pdfs/GMD-C-1834-259.pdf#page=2","Abrir facsímil")</f>
        <v>Abrir facsímil</v>
      </c>
      <c r="K835" s="3" t="s">
        <v>24</v>
      </c>
    </row>
    <row r="836" spans="1:11" ht="54" customHeight="1">
      <c r="A836" s="2" t="s">
        <v>2324</v>
      </c>
      <c r="B836" s="2" t="s">
        <v>2324</v>
      </c>
      <c r="C836" s="2" t="s">
        <v>17</v>
      </c>
      <c r="D836" s="2" t="s">
        <v>18</v>
      </c>
      <c r="E836" s="5" t="s">
        <v>793</v>
      </c>
      <c r="F836" s="3" t="s">
        <v>1895</v>
      </c>
      <c r="G836" s="3" t="s">
        <v>34</v>
      </c>
      <c r="H836" s="2" t="s">
        <v>22</v>
      </c>
      <c r="I836" s="2" t="s">
        <v>2325</v>
      </c>
      <c r="J836" s="3" t="str">
        <f>HYPERLINK("https://www.boe.es/gazeta/dias/1834/10/08/pdfs/GMD-C-1834-236.pdf#page=1","Abrir facsímil")</f>
        <v>Abrir facsímil</v>
      </c>
      <c r="K836" s="3" t="s">
        <v>24</v>
      </c>
    </row>
    <row r="837" spans="1:11" ht="54" customHeight="1">
      <c r="A837" s="2" t="s">
        <v>2324</v>
      </c>
      <c r="B837" s="2" t="s">
        <v>2324</v>
      </c>
      <c r="C837" s="2" t="s">
        <v>17</v>
      </c>
      <c r="D837" s="2" t="s">
        <v>18</v>
      </c>
      <c r="E837" s="5" t="s">
        <v>334</v>
      </c>
      <c r="F837" s="3" t="s">
        <v>335</v>
      </c>
      <c r="G837" s="3" t="s">
        <v>34</v>
      </c>
      <c r="H837" s="2" t="s">
        <v>22</v>
      </c>
      <c r="I837" s="2" t="s">
        <v>2326</v>
      </c>
      <c r="J837" s="3" t="str">
        <f>HYPERLINK("https://www.boe.es/gazeta/dias/1834/09/11/pdfs/GMD-C-1834-209.pdf#page=1","Abrir facsímil")</f>
        <v>Abrir facsímil</v>
      </c>
      <c r="K837" s="3" t="s">
        <v>24</v>
      </c>
    </row>
    <row r="838" spans="1:11" ht="54" customHeight="1">
      <c r="A838" s="2" t="s">
        <v>2324</v>
      </c>
      <c r="B838" s="2" t="s">
        <v>2324</v>
      </c>
      <c r="C838" s="2" t="s">
        <v>90</v>
      </c>
      <c r="D838" s="2" t="s">
        <v>18</v>
      </c>
      <c r="E838" s="5" t="s">
        <v>299</v>
      </c>
      <c r="F838" s="3" t="s">
        <v>2255</v>
      </c>
      <c r="G838" s="3" t="s">
        <v>34</v>
      </c>
      <c r="H838" s="2" t="s">
        <v>22</v>
      </c>
      <c r="I838" s="2" t="s">
        <v>2327</v>
      </c>
      <c r="J838" s="3" t="str">
        <f>HYPERLINK("https://www.boe.es/gazeta/dias/1834/12/12/pdfs/GMD-C-1834-301.pdf#page=1","Abrir facsímil")</f>
        <v>Abrir facsímil</v>
      </c>
      <c r="K838" s="3" t="s">
        <v>24</v>
      </c>
    </row>
    <row r="839" spans="1:11" ht="54" customHeight="1">
      <c r="A839" s="2" t="s">
        <v>2324</v>
      </c>
      <c r="B839" s="2" t="s">
        <v>2324</v>
      </c>
      <c r="C839" s="2" t="s">
        <v>17</v>
      </c>
      <c r="D839" s="2" t="s">
        <v>18</v>
      </c>
      <c r="E839" s="5" t="s">
        <v>448</v>
      </c>
      <c r="F839" s="3" t="s">
        <v>449</v>
      </c>
      <c r="G839" s="3" t="s">
        <v>75</v>
      </c>
      <c r="H839" s="2" t="s">
        <v>22</v>
      </c>
      <c r="I839" s="2" t="s">
        <v>2328</v>
      </c>
      <c r="J839" s="3" t="str">
        <f>HYPERLINK("https://www.boe.es/gazeta/dias/1834/10/14/pdfs/GMD-C-1834-242.pdf#page=4","Abrir facsímil")</f>
        <v>Abrir facsímil</v>
      </c>
      <c r="K839" s="3" t="s">
        <v>24</v>
      </c>
    </row>
    <row r="840" spans="1:11" ht="54" customHeight="1">
      <c r="A840" s="2" t="s">
        <v>2324</v>
      </c>
      <c r="B840" s="2" t="s">
        <v>2324</v>
      </c>
      <c r="C840" s="2" t="s">
        <v>17</v>
      </c>
      <c r="D840" s="2" t="s">
        <v>18</v>
      </c>
      <c r="E840" s="5" t="s">
        <v>454</v>
      </c>
      <c r="F840" s="3" t="s">
        <v>455</v>
      </c>
      <c r="G840" s="3" t="s">
        <v>34</v>
      </c>
      <c r="H840" s="2" t="s">
        <v>22</v>
      </c>
      <c r="I840" s="2" t="s">
        <v>2329</v>
      </c>
      <c r="J840" s="3" t="str">
        <f>HYPERLINK("https://www.boe.es/gazeta/dias/1834/10/16/pdfs/GMD-C-1834-244.pdf#page=1","Abrir facsímil")</f>
        <v>Abrir facsímil</v>
      </c>
      <c r="K840" s="3" t="s">
        <v>24</v>
      </c>
    </row>
    <row r="841" spans="1:11" ht="54" customHeight="1">
      <c r="A841" s="2" t="s">
        <v>2324</v>
      </c>
      <c r="B841" s="2" t="s">
        <v>2324</v>
      </c>
      <c r="C841" s="2" t="s">
        <v>90</v>
      </c>
      <c r="D841" s="2" t="s">
        <v>18</v>
      </c>
      <c r="E841" s="5" t="s">
        <v>2278</v>
      </c>
      <c r="F841" s="3" t="s">
        <v>2279</v>
      </c>
      <c r="G841" s="3" t="s">
        <v>21</v>
      </c>
      <c r="H841" s="2" t="s">
        <v>22</v>
      </c>
      <c r="I841" s="2" t="s">
        <v>2330</v>
      </c>
      <c r="J841" s="3" t="str">
        <f>HYPERLINK("https://www.boe.es/gazeta/dias/1834/12/17/pdfs/GMD-C-1834-306.pdf#page=3","Abrir facsímil")</f>
        <v>Abrir facsímil</v>
      </c>
      <c r="K841" s="3" t="s">
        <v>24</v>
      </c>
    </row>
    <row r="842" spans="1:11" ht="54" customHeight="1">
      <c r="A842" s="2" t="s">
        <v>2324</v>
      </c>
      <c r="B842" s="2" t="s">
        <v>2324</v>
      </c>
      <c r="C842" s="2" t="s">
        <v>90</v>
      </c>
      <c r="D842" s="2" t="s">
        <v>18</v>
      </c>
      <c r="E842" s="5" t="s">
        <v>492</v>
      </c>
      <c r="F842" s="3" t="s">
        <v>493</v>
      </c>
      <c r="G842" s="3" t="s">
        <v>34</v>
      </c>
      <c r="H842" s="2" t="s">
        <v>22</v>
      </c>
      <c r="I842" s="2" t="s">
        <v>2331</v>
      </c>
      <c r="J842" s="3" t="str">
        <f>HYPERLINK("https://www.boe.es/gazeta/dias/1834/11/21/pdfs/GMD-C-1834-280.pdf#page=1","Abrir facsímil")</f>
        <v>Abrir facsímil</v>
      </c>
      <c r="K842" s="3" t="s">
        <v>24</v>
      </c>
    </row>
    <row r="843" spans="1:11" ht="54" customHeight="1">
      <c r="A843" s="2" t="s">
        <v>2324</v>
      </c>
      <c r="B843" s="2" t="s">
        <v>2324</v>
      </c>
      <c r="C843" s="2" t="s">
        <v>17</v>
      </c>
      <c r="D843" s="2" t="s">
        <v>18</v>
      </c>
      <c r="E843" s="5" t="s">
        <v>462</v>
      </c>
      <c r="F843" s="3" t="s">
        <v>463</v>
      </c>
      <c r="G843" s="3" t="s">
        <v>86</v>
      </c>
      <c r="H843" s="2" t="s">
        <v>22</v>
      </c>
      <c r="I843" s="2" t="s">
        <v>2332</v>
      </c>
      <c r="J843" s="3" t="str">
        <f>HYPERLINK("https://www.boe.es/gazeta/dias/1834/08/27/pdfs/GMD-C-1834-193.pdf#page=2","Abrir facsímil")</f>
        <v>Abrir facsímil</v>
      </c>
      <c r="K843" s="3" t="s">
        <v>24</v>
      </c>
    </row>
    <row r="844" spans="1:11" ht="54" customHeight="1">
      <c r="A844" s="2" t="s">
        <v>2324</v>
      </c>
      <c r="B844" s="2" t="s">
        <v>2324</v>
      </c>
      <c r="C844" s="2" t="s">
        <v>17</v>
      </c>
      <c r="D844" s="2" t="s">
        <v>18</v>
      </c>
      <c r="E844" s="5" t="s">
        <v>280</v>
      </c>
      <c r="F844" s="3" t="s">
        <v>281</v>
      </c>
      <c r="G844" s="3" t="s">
        <v>28</v>
      </c>
      <c r="H844" s="2" t="s">
        <v>22</v>
      </c>
      <c r="I844" s="2" t="s">
        <v>2333</v>
      </c>
      <c r="J844" s="3" t="str">
        <f>HYPERLINK("https://www.boe.es/gazeta/dias/1834/08/29/pdfs/GMD-C-1834-195.pdf#page=5","Abrir facsímil")</f>
        <v>Abrir facsímil</v>
      </c>
      <c r="K844" s="3" t="s">
        <v>24</v>
      </c>
    </row>
    <row r="845" spans="1:11" ht="54" customHeight="1">
      <c r="A845" s="2" t="s">
        <v>2334</v>
      </c>
      <c r="B845" s="2" t="s">
        <v>2334</v>
      </c>
      <c r="C845" s="2" t="s">
        <v>90</v>
      </c>
      <c r="D845" s="2" t="s">
        <v>18</v>
      </c>
      <c r="E845" s="5" t="s">
        <v>492</v>
      </c>
      <c r="F845" s="3" t="s">
        <v>493</v>
      </c>
      <c r="G845" s="3" t="s">
        <v>34</v>
      </c>
      <c r="H845" s="2" t="s">
        <v>22</v>
      </c>
      <c r="I845" s="2" t="s">
        <v>2335</v>
      </c>
      <c r="J845" s="3" t="str">
        <f>HYPERLINK("https://www.boe.es/gazeta/dias/1834/11/21/pdfs/GMD-C-1834-280.pdf#page=1","Abrir facsímil")</f>
        <v>Abrir facsímil</v>
      </c>
      <c r="K845" s="3" t="s">
        <v>24</v>
      </c>
    </row>
    <row r="846" spans="1:11" ht="54" customHeight="1">
      <c r="A846" s="2" t="s">
        <v>2336</v>
      </c>
      <c r="B846" s="2" t="s">
        <v>2337</v>
      </c>
      <c r="C846" s="2" t="s">
        <v>90</v>
      </c>
      <c r="D846" s="2" t="s">
        <v>18</v>
      </c>
      <c r="E846" s="5" t="s">
        <v>492</v>
      </c>
      <c r="F846" s="3" t="s">
        <v>493</v>
      </c>
      <c r="G846" s="3" t="s">
        <v>34</v>
      </c>
      <c r="H846" s="2" t="s">
        <v>35</v>
      </c>
      <c r="I846" s="2" t="s">
        <v>2338</v>
      </c>
      <c r="J846" s="3" t="str">
        <f>HYPERLINK("https://www.boe.es/gazeta/dias/1834/11/21/pdfs/GMD-C-1834-280.pdf#page=1","Abrir facsímil")</f>
        <v>Abrir facsímil</v>
      </c>
      <c r="K846" s="3" t="s">
        <v>37</v>
      </c>
    </row>
    <row r="847" spans="1:11" ht="54" customHeight="1">
      <c r="A847" s="2" t="s">
        <v>2339</v>
      </c>
      <c r="B847" s="2" t="s">
        <v>2340</v>
      </c>
      <c r="C847" s="2" t="s">
        <v>17</v>
      </c>
      <c r="D847" s="2" t="s">
        <v>18</v>
      </c>
      <c r="E847" s="5" t="s">
        <v>1575</v>
      </c>
      <c r="F847" s="3" t="s">
        <v>1576</v>
      </c>
      <c r="G847" s="3" t="s">
        <v>34</v>
      </c>
      <c r="H847" s="2" t="s">
        <v>22</v>
      </c>
      <c r="I847" s="2" t="s">
        <v>2341</v>
      </c>
      <c r="J847" s="3" t="str">
        <f>HYPERLINK("https://www.boe.es/gazeta/dias/1834/11/24/pdfs/GMD-1834-283.pdf#page=1","Abrir facsímil")</f>
        <v>Abrir facsímil</v>
      </c>
      <c r="K847" s="3" t="s">
        <v>24</v>
      </c>
    </row>
    <row r="848" spans="1:11" ht="54" customHeight="1">
      <c r="A848" s="2" t="s">
        <v>2342</v>
      </c>
      <c r="B848" s="2" t="s">
        <v>2343</v>
      </c>
      <c r="C848" s="2" t="s">
        <v>66</v>
      </c>
      <c r="D848" s="2" t="s">
        <v>18</v>
      </c>
      <c r="E848" s="5" t="s">
        <v>339</v>
      </c>
      <c r="F848" s="3" t="s">
        <v>340</v>
      </c>
      <c r="G848" s="3" t="s">
        <v>21</v>
      </c>
      <c r="H848" s="2" t="s">
        <v>35</v>
      </c>
      <c r="I848" s="2" t="s">
        <v>2344</v>
      </c>
      <c r="J848" s="3" t="str">
        <f>HYPERLINK("https://www.boe.es/gazeta/dias/1834/05/02/pdfs/GMD-1834-71.pdf#page=3","Abrir facsímil")</f>
        <v>Abrir facsímil</v>
      </c>
      <c r="K848" s="3" t="s">
        <v>37</v>
      </c>
    </row>
    <row r="849" spans="1:11" ht="54" customHeight="1">
      <c r="A849" s="2" t="s">
        <v>2342</v>
      </c>
      <c r="B849" s="2" t="s">
        <v>2343</v>
      </c>
      <c r="C849" s="2" t="s">
        <v>17</v>
      </c>
      <c r="D849" s="2" t="s">
        <v>18</v>
      </c>
      <c r="E849" s="5" t="s">
        <v>571</v>
      </c>
      <c r="F849" s="3" t="s">
        <v>620</v>
      </c>
      <c r="G849" s="3" t="s">
        <v>470</v>
      </c>
      <c r="H849" s="2" t="s">
        <v>35</v>
      </c>
      <c r="I849" s="2" t="s">
        <v>2345</v>
      </c>
      <c r="J849" s="3" t="str">
        <f>HYPERLINK("https://www.boe.es/gazeta/dias/1834/09/04/pdfs/GMD-C-1834-202.pdf#page=8","Abrir facsímil")</f>
        <v>Abrir facsímil</v>
      </c>
      <c r="K849" s="3" t="s">
        <v>37</v>
      </c>
    </row>
    <row r="850" spans="1:11" ht="54" customHeight="1">
      <c r="A850" s="2" t="s">
        <v>2342</v>
      </c>
      <c r="B850" s="2" t="s">
        <v>2343</v>
      </c>
      <c r="C850" s="2" t="s">
        <v>90</v>
      </c>
      <c r="D850" s="2" t="s">
        <v>67</v>
      </c>
      <c r="E850" s="5" t="s">
        <v>426</v>
      </c>
      <c r="F850" s="3" t="s">
        <v>694</v>
      </c>
      <c r="G850" s="3" t="s">
        <v>34</v>
      </c>
      <c r="H850" s="2" t="s">
        <v>35</v>
      </c>
      <c r="I850" s="2" t="s">
        <v>2346</v>
      </c>
      <c r="J850" s="3" t="str">
        <f>HYPERLINK("https://www.boe.es/gazeta/dias/1834/10/04/pdfs/GMD-C-1834-232.pdf#page=1","Abrir facsímil")</f>
        <v>Abrir facsímil</v>
      </c>
      <c r="K850" s="3" t="s">
        <v>37</v>
      </c>
    </row>
    <row r="851" spans="1:11" ht="54" customHeight="1">
      <c r="A851" s="2" t="s">
        <v>2342</v>
      </c>
      <c r="B851" s="2" t="s">
        <v>2343</v>
      </c>
      <c r="C851" s="2" t="s">
        <v>17</v>
      </c>
      <c r="D851" s="2" t="s">
        <v>18</v>
      </c>
      <c r="E851" s="5" t="s">
        <v>258</v>
      </c>
      <c r="F851" s="3" t="s">
        <v>1075</v>
      </c>
      <c r="G851" s="3" t="s">
        <v>86</v>
      </c>
      <c r="H851" s="2" t="s">
        <v>35</v>
      </c>
      <c r="I851" s="2" t="s">
        <v>2347</v>
      </c>
      <c r="J851" s="3" t="str">
        <f>HYPERLINK("https://www.boe.es/gazeta/dias/1834/10/09/pdfs/GMD-1834-237.pdf#page=2","Abrir facsímil")</f>
        <v>Abrir facsímil</v>
      </c>
      <c r="K851" s="3" t="s">
        <v>37</v>
      </c>
    </row>
    <row r="852" spans="1:11" ht="54" customHeight="1">
      <c r="A852" s="2" t="s">
        <v>2342</v>
      </c>
      <c r="B852" s="2" t="s">
        <v>2343</v>
      </c>
      <c r="C852" s="2" t="s">
        <v>66</v>
      </c>
      <c r="D852" s="2" t="s">
        <v>67</v>
      </c>
      <c r="E852" s="5" t="s">
        <v>808</v>
      </c>
      <c r="F852" s="3" t="s">
        <v>809</v>
      </c>
      <c r="G852" s="3" t="s">
        <v>75</v>
      </c>
      <c r="H852" s="2" t="s">
        <v>35</v>
      </c>
      <c r="I852" s="2" t="s">
        <v>2348</v>
      </c>
      <c r="J852" s="3" t="str">
        <f>HYPERLINK("https://www.boe.es/gazeta/dias/1834/10/11/pdfs/GMD-1834-239.pdf#page=4","Abrir facsímil")</f>
        <v>Abrir facsímil</v>
      </c>
      <c r="K852" s="3" t="s">
        <v>37</v>
      </c>
    </row>
    <row r="853" spans="1:11" ht="54" customHeight="1">
      <c r="A853" s="2" t="s">
        <v>2342</v>
      </c>
      <c r="B853" s="2" t="s">
        <v>2343</v>
      </c>
      <c r="C853" s="2" t="s">
        <v>17</v>
      </c>
      <c r="D853" s="2" t="s">
        <v>55</v>
      </c>
      <c r="E853" s="5" t="s">
        <v>823</v>
      </c>
      <c r="F853" s="3" t="s">
        <v>824</v>
      </c>
      <c r="G853" s="3" t="s">
        <v>176</v>
      </c>
      <c r="H853" s="2" t="s">
        <v>35</v>
      </c>
      <c r="I853" s="2" t="s">
        <v>2349</v>
      </c>
      <c r="J853" s="3" t="str">
        <f>HYPERLINK("https://www.boe.es/gazeta/dias/1834/07/23/pdfs/GMD-1834-156.pdf#page=6","Abrir facsímil")</f>
        <v>Abrir facsímil</v>
      </c>
      <c r="K853" s="3" t="s">
        <v>37</v>
      </c>
    </row>
    <row r="854" spans="1:11" ht="54" customHeight="1">
      <c r="A854" s="2" t="s">
        <v>2342</v>
      </c>
      <c r="B854" s="2" t="s">
        <v>2343</v>
      </c>
      <c r="C854" s="2" t="s">
        <v>17</v>
      </c>
      <c r="D854" s="2" t="s">
        <v>18</v>
      </c>
      <c r="E854" s="5" t="s">
        <v>2302</v>
      </c>
      <c r="F854" s="3" t="s">
        <v>2303</v>
      </c>
      <c r="G854" s="3" t="s">
        <v>75</v>
      </c>
      <c r="H854" s="2" t="s">
        <v>35</v>
      </c>
      <c r="I854" s="2" t="s">
        <v>2350</v>
      </c>
      <c r="J854" s="3" t="str">
        <f>HYPERLINK("https://www.boe.es/gazeta/dias/1834/01/25/pdfs/GMD-1834-12.pdf#page=4","Abrir facsímil")</f>
        <v>Abrir facsímil</v>
      </c>
      <c r="K854" s="3" t="s">
        <v>37</v>
      </c>
    </row>
    <row r="855" spans="1:11" ht="54" customHeight="1">
      <c r="A855" s="2" t="s">
        <v>2342</v>
      </c>
      <c r="B855" s="2" t="s">
        <v>2343</v>
      </c>
      <c r="C855" s="2" t="s">
        <v>17</v>
      </c>
      <c r="D855" s="2" t="s">
        <v>40</v>
      </c>
      <c r="E855" s="5" t="s">
        <v>2306</v>
      </c>
      <c r="F855" s="3" t="s">
        <v>2307</v>
      </c>
      <c r="G855" s="3" t="s">
        <v>75</v>
      </c>
      <c r="H855" s="2" t="s">
        <v>35</v>
      </c>
      <c r="I855" s="2" t="s">
        <v>2351</v>
      </c>
      <c r="J855" s="3" t="str">
        <f>HYPERLINK("https://www.boe.es/gazeta/dias/1834/04/26/pdfs/GMD-1834-65.pdf#page=4","Abrir facsímil")</f>
        <v>Abrir facsímil</v>
      </c>
      <c r="K855" s="3" t="s">
        <v>37</v>
      </c>
    </row>
    <row r="856" spans="1:11" ht="54" customHeight="1">
      <c r="A856" s="2" t="s">
        <v>2352</v>
      </c>
      <c r="B856" s="2" t="s">
        <v>2353</v>
      </c>
      <c r="C856" s="2" t="s">
        <v>46</v>
      </c>
      <c r="D856" s="2" t="s">
        <v>101</v>
      </c>
      <c r="E856" s="5" t="s">
        <v>1402</v>
      </c>
      <c r="F856" s="3" t="s">
        <v>1403</v>
      </c>
      <c r="G856" s="3" t="s">
        <v>34</v>
      </c>
      <c r="H856" s="2" t="s">
        <v>22</v>
      </c>
      <c r="I856" s="2" t="s">
        <v>2354</v>
      </c>
      <c r="J856" s="3" t="str">
        <f>HYPERLINK("https://www.boe.es/gazeta/dias/1834/05/05/pdfs/I00347-00348.pdf#page=1","Abrir facsímil")</f>
        <v>Abrir facsímil</v>
      </c>
      <c r="K856" s="3" t="s">
        <v>24</v>
      </c>
    </row>
    <row r="857" spans="1:11" ht="54" customHeight="1">
      <c r="A857" s="2" t="s">
        <v>2352</v>
      </c>
      <c r="B857" s="2" t="s">
        <v>2353</v>
      </c>
      <c r="C857" s="2" t="s">
        <v>46</v>
      </c>
      <c r="D857" s="2" t="s">
        <v>101</v>
      </c>
      <c r="E857" s="5" t="s">
        <v>1402</v>
      </c>
      <c r="F857" s="3" t="s">
        <v>1403</v>
      </c>
      <c r="G857" s="3" t="s">
        <v>28</v>
      </c>
      <c r="H857" s="2" t="s">
        <v>22</v>
      </c>
      <c r="I857" s="2" t="s">
        <v>2355</v>
      </c>
      <c r="J857" s="3" t="str">
        <f>HYPERLINK("https://www.boe.es/gazeta/dias/1834/05/05/pdfs/GMD-1834-74.pdf#page=5","Abrir facsímil")</f>
        <v>Abrir facsímil</v>
      </c>
      <c r="K857" s="3" t="s">
        <v>24</v>
      </c>
    </row>
    <row r="858" spans="1:11" ht="54" customHeight="1">
      <c r="A858" s="2" t="s">
        <v>2356</v>
      </c>
      <c r="B858" s="2" t="s">
        <v>2357</v>
      </c>
      <c r="C858" s="2" t="s">
        <v>17</v>
      </c>
      <c r="D858" s="2" t="s">
        <v>18</v>
      </c>
      <c r="E858" s="5" t="s">
        <v>1281</v>
      </c>
      <c r="F858" s="3" t="s">
        <v>1282</v>
      </c>
      <c r="G858" s="3" t="s">
        <v>34</v>
      </c>
      <c r="H858" s="2" t="s">
        <v>22</v>
      </c>
      <c r="I858" s="2" t="s">
        <v>2358</v>
      </c>
      <c r="J858" s="3" t="str">
        <f>HYPERLINK("https://www.boe.es/gazeta/dias/1834/10/27/pdfs/GMD-1834-255.pdf#page=1","Abrir facsímil")</f>
        <v>Abrir facsímil</v>
      </c>
      <c r="K858" s="3" t="s">
        <v>24</v>
      </c>
    </row>
    <row r="859" spans="1:11" ht="54" customHeight="1">
      <c r="A859" s="2" t="s">
        <v>2359</v>
      </c>
      <c r="B859" s="2" t="s">
        <v>2360</v>
      </c>
      <c r="C859" s="2" t="s">
        <v>46</v>
      </c>
      <c r="D859" s="2" t="s">
        <v>101</v>
      </c>
      <c r="E859" s="5" t="s">
        <v>123</v>
      </c>
      <c r="F859" s="3" t="s">
        <v>124</v>
      </c>
      <c r="G859" s="3" t="s">
        <v>34</v>
      </c>
      <c r="H859" s="2" t="s">
        <v>22</v>
      </c>
      <c r="I859" s="2" t="s">
        <v>2361</v>
      </c>
      <c r="J859" s="3" t="str">
        <f>HYPERLINK("https://www.boe.es/gazeta/dias/1834/07/11/pdfs/GMD-1834-144.pdf#page=1","Abrir facsímil")</f>
        <v>Abrir facsímil</v>
      </c>
      <c r="K859" s="3" t="s">
        <v>24</v>
      </c>
    </row>
    <row r="860" spans="1:11" ht="54" customHeight="1">
      <c r="A860" s="2" t="s">
        <v>2359</v>
      </c>
      <c r="B860" s="2" t="s">
        <v>2360</v>
      </c>
      <c r="C860" s="2" t="s">
        <v>17</v>
      </c>
      <c r="D860" s="2" t="s">
        <v>18</v>
      </c>
      <c r="E860" s="5" t="s">
        <v>123</v>
      </c>
      <c r="F860" s="3" t="s">
        <v>124</v>
      </c>
      <c r="G860" s="3" t="s">
        <v>86</v>
      </c>
      <c r="H860" s="2" t="s">
        <v>22</v>
      </c>
      <c r="I860" s="2" t="s">
        <v>2362</v>
      </c>
      <c r="J860" s="3" t="str">
        <f>HYPERLINK("https://www.boe.es/gazeta/dias/1834/07/11/pdfs/GMD-1834-144.pdf#page=2","Abrir facsímil")</f>
        <v>Abrir facsímil</v>
      </c>
      <c r="K860" s="3" t="s">
        <v>24</v>
      </c>
    </row>
    <row r="861" spans="1:11" ht="54" customHeight="1">
      <c r="A861" s="2" t="s">
        <v>2363</v>
      </c>
      <c r="B861" s="2" t="s">
        <v>2364</v>
      </c>
      <c r="C861" s="2" t="s">
        <v>17</v>
      </c>
      <c r="D861" s="2" t="s">
        <v>18</v>
      </c>
      <c r="E861" s="5" t="s">
        <v>813</v>
      </c>
      <c r="F861" s="3" t="s">
        <v>814</v>
      </c>
      <c r="G861" s="3" t="s">
        <v>21</v>
      </c>
      <c r="H861" s="2" t="s">
        <v>35</v>
      </c>
      <c r="I861" s="2" t="s">
        <v>2365</v>
      </c>
      <c r="J861" s="3" t="str">
        <f>HYPERLINK("https://www.boe.es/gazeta/dias/1834/08/08/pdfs/GMD-1834-173.pdf#page=3","Abrir facsímil")</f>
        <v>Abrir facsímil</v>
      </c>
      <c r="K861" s="3" t="s">
        <v>37</v>
      </c>
    </row>
    <row r="862" spans="1:11" ht="54" customHeight="1">
      <c r="A862" s="2" t="s">
        <v>2366</v>
      </c>
      <c r="B862" s="2" t="s">
        <v>2367</v>
      </c>
      <c r="C862" s="2" t="s">
        <v>17</v>
      </c>
      <c r="D862" s="2" t="s">
        <v>101</v>
      </c>
      <c r="E862" s="5" t="s">
        <v>255</v>
      </c>
      <c r="F862" s="3" t="s">
        <v>2368</v>
      </c>
      <c r="G862" s="3" t="s">
        <v>34</v>
      </c>
      <c r="H862" s="2" t="s">
        <v>22</v>
      </c>
      <c r="I862" s="2" t="s">
        <v>2369</v>
      </c>
      <c r="J862" s="3" t="str">
        <f>HYPERLINK("https://www.boe.es/gazeta/dias/1834/09/01/pdfs/I00843-00844.pdf#page=1","Abrir facsímil")</f>
        <v>Abrir facsímil</v>
      </c>
      <c r="K862" s="3" t="s">
        <v>24</v>
      </c>
    </row>
    <row r="863" spans="1:11" ht="54" customHeight="1">
      <c r="A863" s="2" t="s">
        <v>2366</v>
      </c>
      <c r="B863" s="2" t="s">
        <v>2367</v>
      </c>
      <c r="C863" s="2" t="s">
        <v>17</v>
      </c>
      <c r="D863" s="2" t="s">
        <v>101</v>
      </c>
      <c r="E863" s="5" t="s">
        <v>255</v>
      </c>
      <c r="F863" s="3" t="s">
        <v>2368</v>
      </c>
      <c r="G863" s="3" t="s">
        <v>21</v>
      </c>
      <c r="H863" s="2" t="s">
        <v>22</v>
      </c>
      <c r="I863" s="2" t="s">
        <v>2369</v>
      </c>
      <c r="J863" s="3" t="str">
        <f>HYPERLINK("https://www.boe.es/gazeta/dias/1834/09/01/pdfs/GMD-1834-199.pdf#page=3","Abrir facsímil")</f>
        <v>Abrir facsímil</v>
      </c>
      <c r="K863" s="3" t="s">
        <v>24</v>
      </c>
    </row>
    <row r="864" spans="1:11" ht="54" customHeight="1">
      <c r="A864" s="2" t="s">
        <v>2370</v>
      </c>
      <c r="B864" s="2" t="s">
        <v>2371</v>
      </c>
      <c r="C864" s="2" t="s">
        <v>17</v>
      </c>
      <c r="D864" s="2" t="s">
        <v>18</v>
      </c>
      <c r="E864" s="5" t="s">
        <v>1084</v>
      </c>
      <c r="F864" s="3" t="s">
        <v>1085</v>
      </c>
      <c r="G864" s="3" t="s">
        <v>28</v>
      </c>
      <c r="H864" s="2" t="s">
        <v>22</v>
      </c>
      <c r="I864" s="2" t="s">
        <v>2372</v>
      </c>
      <c r="J864" s="3" t="str">
        <f>HYPERLINK("https://www.boe.es/gazeta/dias/1834/05/01/pdfs/GMD-1834-70.pdf#page=5","Abrir facsímil")</f>
        <v>Abrir facsímil</v>
      </c>
      <c r="K864" s="3" t="s">
        <v>24</v>
      </c>
    </row>
    <row r="865" spans="1:11" ht="54" customHeight="1">
      <c r="A865" s="2" t="s">
        <v>2373</v>
      </c>
      <c r="B865" s="2" t="s">
        <v>2374</v>
      </c>
      <c r="C865" s="2" t="s">
        <v>66</v>
      </c>
      <c r="D865" s="2" t="s">
        <v>67</v>
      </c>
      <c r="E865" s="5" t="s">
        <v>1922</v>
      </c>
      <c r="F865" s="3" t="s">
        <v>1923</v>
      </c>
      <c r="G865" s="3" t="s">
        <v>75</v>
      </c>
      <c r="H865" s="2" t="s">
        <v>22</v>
      </c>
      <c r="I865" s="2" t="s">
        <v>2375</v>
      </c>
      <c r="J865" s="3" t="str">
        <f>HYPERLINK("https://www.boe.es/gazeta/dias/1834/02/25/pdfs/GMD-1834-25.pdf#page=4","Abrir facsímil")</f>
        <v>Abrir facsímil</v>
      </c>
      <c r="K865" s="3" t="s">
        <v>24</v>
      </c>
    </row>
    <row r="866" spans="1:11" ht="54" customHeight="1">
      <c r="A866" s="2" t="s">
        <v>2376</v>
      </c>
      <c r="B866" s="2" t="s">
        <v>2377</v>
      </c>
      <c r="C866" s="2" t="s">
        <v>17</v>
      </c>
      <c r="D866" s="2" t="s">
        <v>18</v>
      </c>
      <c r="E866" s="5" t="s">
        <v>339</v>
      </c>
      <c r="F866" s="3" t="s">
        <v>340</v>
      </c>
      <c r="G866" s="3" t="s">
        <v>34</v>
      </c>
      <c r="H866" s="2" t="s">
        <v>22</v>
      </c>
      <c r="I866" s="2" t="s">
        <v>2378</v>
      </c>
      <c r="J866" s="3" t="str">
        <f>HYPERLINK("https://www.boe.es/gazeta/dias/1834/05/02/pdfs/GMD-1834-71.pdf#page=1","Abrir facsímil")</f>
        <v>Abrir facsímil</v>
      </c>
      <c r="K866" s="3" t="s">
        <v>24</v>
      </c>
    </row>
    <row r="867" spans="1:11" ht="54" customHeight="1">
      <c r="A867" s="2" t="s">
        <v>2376</v>
      </c>
      <c r="B867" s="2" t="s">
        <v>2377</v>
      </c>
      <c r="C867" s="2" t="s">
        <v>17</v>
      </c>
      <c r="D867" s="2" t="s">
        <v>18</v>
      </c>
      <c r="E867" s="5" t="s">
        <v>2379</v>
      </c>
      <c r="F867" s="3" t="s">
        <v>2380</v>
      </c>
      <c r="G867" s="3" t="s">
        <v>75</v>
      </c>
      <c r="H867" s="2" t="s">
        <v>22</v>
      </c>
      <c r="I867" s="2" t="s">
        <v>2381</v>
      </c>
      <c r="J867" s="3" t="str">
        <f>HYPERLINK("https://www.boe.es/gazeta/dias/1834/04/03/pdfs/GMD-1834-42.pdf#page=4","Abrir facsímil")</f>
        <v>Abrir facsímil</v>
      </c>
      <c r="K867" s="3" t="s">
        <v>24</v>
      </c>
    </row>
    <row r="868" spans="1:11" ht="54" customHeight="1">
      <c r="A868" s="2" t="s">
        <v>2376</v>
      </c>
      <c r="B868" s="2" t="s">
        <v>2377</v>
      </c>
      <c r="C868" s="2" t="s">
        <v>46</v>
      </c>
      <c r="D868" s="2" t="s">
        <v>101</v>
      </c>
      <c r="E868" s="5" t="s">
        <v>163</v>
      </c>
      <c r="F868" s="3" t="s">
        <v>164</v>
      </c>
      <c r="G868" s="3" t="s">
        <v>34</v>
      </c>
      <c r="H868" s="2" t="s">
        <v>22</v>
      </c>
      <c r="I868" s="2" t="s">
        <v>2382</v>
      </c>
      <c r="J868" s="3" t="str">
        <f>HYPERLINK("https://www.boe.es/gazeta/dias/1834/08/09/pdfs/GMD-1834-174.pdf#page=1","Abrir facsímil")</f>
        <v>Abrir facsímil</v>
      </c>
      <c r="K868" s="3" t="s">
        <v>24</v>
      </c>
    </row>
    <row r="869" spans="1:11" ht="54" customHeight="1">
      <c r="A869" s="2" t="s">
        <v>2376</v>
      </c>
      <c r="B869" s="2" t="s">
        <v>2377</v>
      </c>
      <c r="C869" s="2" t="s">
        <v>17</v>
      </c>
      <c r="D869" s="2" t="s">
        <v>18</v>
      </c>
      <c r="E869" s="5" t="s">
        <v>838</v>
      </c>
      <c r="F869" s="3" t="s">
        <v>839</v>
      </c>
      <c r="G869" s="3" t="s">
        <v>21</v>
      </c>
      <c r="H869" s="2" t="s">
        <v>22</v>
      </c>
      <c r="I869" s="2" t="s">
        <v>2383</v>
      </c>
      <c r="J869" s="3" t="str">
        <f>HYPERLINK("https://www.boe.es/gazeta/dias/1834/07/18/pdfs/GMD-1834-151.pdf#page=3","Abrir facsímil")</f>
        <v>Abrir facsímil</v>
      </c>
      <c r="K869" s="3" t="s">
        <v>24</v>
      </c>
    </row>
    <row r="870" spans="1:11" ht="54" customHeight="1">
      <c r="A870" s="2" t="s">
        <v>2384</v>
      </c>
      <c r="B870" s="2" t="s">
        <v>2385</v>
      </c>
      <c r="C870" s="2" t="s">
        <v>17</v>
      </c>
      <c r="D870" s="2" t="s">
        <v>18</v>
      </c>
      <c r="E870" s="5" t="s">
        <v>1575</v>
      </c>
      <c r="F870" s="3" t="s">
        <v>1576</v>
      </c>
      <c r="G870" s="3" t="s">
        <v>34</v>
      </c>
      <c r="H870" s="2" t="s">
        <v>22</v>
      </c>
      <c r="I870" s="2" t="s">
        <v>2386</v>
      </c>
      <c r="J870" s="3" t="str">
        <f>HYPERLINK("https://www.boe.es/gazeta/dias/1834/11/24/pdfs/GMD-1834-283.pdf#page=1","Abrir facsímil")</f>
        <v>Abrir facsímil</v>
      </c>
      <c r="K870" s="3" t="s">
        <v>24</v>
      </c>
    </row>
    <row r="871" spans="1:11" ht="54" customHeight="1">
      <c r="A871" s="2" t="s">
        <v>2387</v>
      </c>
      <c r="B871" s="2" t="s">
        <v>2388</v>
      </c>
      <c r="C871" s="2" t="s">
        <v>17</v>
      </c>
      <c r="D871" s="2" t="s">
        <v>18</v>
      </c>
      <c r="E871" s="5" t="s">
        <v>1773</v>
      </c>
      <c r="F871" s="3" t="s">
        <v>1774</v>
      </c>
      <c r="G871" s="3" t="s">
        <v>21</v>
      </c>
      <c r="H871" s="2" t="s">
        <v>35</v>
      </c>
      <c r="I871" s="2" t="s">
        <v>2389</v>
      </c>
      <c r="J871" s="3" t="str">
        <f>HYPERLINK("https://www.boe.es/gazeta/dias/1834/06/28/pdfs/GMD-1834-131.pdf#page=3","Abrir facsímil")</f>
        <v>Abrir facsímil</v>
      </c>
      <c r="K871" s="3" t="s">
        <v>37</v>
      </c>
    </row>
    <row r="872" spans="1:11" ht="54" customHeight="1">
      <c r="A872" s="2" t="s">
        <v>2390</v>
      </c>
      <c r="B872" s="2" t="s">
        <v>2391</v>
      </c>
      <c r="C872" s="2" t="s">
        <v>17</v>
      </c>
      <c r="D872" s="2" t="s">
        <v>18</v>
      </c>
      <c r="E872" s="5" t="s">
        <v>258</v>
      </c>
      <c r="F872" s="3" t="s">
        <v>1075</v>
      </c>
      <c r="G872" s="3" t="s">
        <v>86</v>
      </c>
      <c r="H872" s="2" t="s">
        <v>35</v>
      </c>
      <c r="I872" s="2" t="s">
        <v>2392</v>
      </c>
      <c r="J872" s="3" t="str">
        <f>HYPERLINK("https://www.boe.es/gazeta/dias/1834/10/09/pdfs/GMD-1834-237.pdf#page=2","Abrir facsímil")</f>
        <v>Abrir facsímil</v>
      </c>
      <c r="K872" s="3" t="s">
        <v>37</v>
      </c>
    </row>
    <row r="873" spans="1:11" ht="54" customHeight="1">
      <c r="A873" s="2" t="s">
        <v>2393</v>
      </c>
      <c r="B873" s="2" t="s">
        <v>2394</v>
      </c>
      <c r="C873" s="2" t="s">
        <v>17</v>
      </c>
      <c r="D873" s="2" t="s">
        <v>18</v>
      </c>
      <c r="E873" s="5" t="s">
        <v>251</v>
      </c>
      <c r="F873" s="3" t="s">
        <v>252</v>
      </c>
      <c r="G873" s="3" t="s">
        <v>28</v>
      </c>
      <c r="H873" s="2" t="s">
        <v>22</v>
      </c>
      <c r="I873" s="2" t="s">
        <v>2395</v>
      </c>
      <c r="J873" s="3" t="str">
        <f>HYPERLINK("https://www.boe.es/gazeta/dias/1834/09/26/pdfs/GMD-C-1834-224.pdf#page=5","Abrir facsímil")</f>
        <v>Abrir facsímil</v>
      </c>
      <c r="K873" s="3" t="s">
        <v>24</v>
      </c>
    </row>
    <row r="874" spans="1:11" ht="54" customHeight="1">
      <c r="A874" s="2" t="s">
        <v>2396</v>
      </c>
      <c r="B874" s="2" t="s">
        <v>2397</v>
      </c>
      <c r="C874" s="2" t="s">
        <v>17</v>
      </c>
      <c r="D874" s="2" t="s">
        <v>101</v>
      </c>
      <c r="E874" s="5" t="s">
        <v>2398</v>
      </c>
      <c r="F874" s="3" t="s">
        <v>2399</v>
      </c>
      <c r="G874" s="3" t="s">
        <v>75</v>
      </c>
      <c r="H874" s="2" t="s">
        <v>35</v>
      </c>
      <c r="I874" s="2" t="s">
        <v>2400</v>
      </c>
      <c r="J874" s="3" t="str">
        <f>HYPERLINK("https://www.boe.es/gazeta/dias/1834/01/16/pdfs/GMD-1834-8.pdf#page=4","Abrir facsímil")</f>
        <v>Abrir facsímil</v>
      </c>
      <c r="K874" s="3" t="s">
        <v>37</v>
      </c>
    </row>
    <row r="875" spans="1:11" ht="54" customHeight="1">
      <c r="A875" s="2" t="s">
        <v>2401</v>
      </c>
      <c r="B875" s="2" t="s">
        <v>2402</v>
      </c>
      <c r="C875" s="2" t="s">
        <v>46</v>
      </c>
      <c r="D875" s="2" t="s">
        <v>18</v>
      </c>
      <c r="E875" s="5" t="s">
        <v>304</v>
      </c>
      <c r="F875" s="3" t="s">
        <v>305</v>
      </c>
      <c r="G875" s="3" t="s">
        <v>21</v>
      </c>
      <c r="H875" s="2" t="s">
        <v>22</v>
      </c>
      <c r="I875" s="2" t="s">
        <v>2403</v>
      </c>
      <c r="J875" s="3" t="str">
        <f>HYPERLINK("https://www.boe.es/gazeta/dias/1834/01/21/pdfs/GMD-1834-10.pdf#page=3","Abrir facsímil")</f>
        <v>Abrir facsímil</v>
      </c>
      <c r="K875" s="3" t="s">
        <v>24</v>
      </c>
    </row>
    <row r="876" spans="1:11" ht="54" customHeight="1">
      <c r="A876" s="2" t="s">
        <v>2404</v>
      </c>
      <c r="B876" s="2" t="s">
        <v>2405</v>
      </c>
      <c r="C876" s="2" t="s">
        <v>66</v>
      </c>
      <c r="D876" s="2" t="s">
        <v>67</v>
      </c>
      <c r="E876" s="5" t="s">
        <v>367</v>
      </c>
      <c r="F876" s="3" t="s">
        <v>368</v>
      </c>
      <c r="G876" s="3" t="s">
        <v>21</v>
      </c>
      <c r="H876" s="2" t="s">
        <v>35</v>
      </c>
      <c r="I876" s="2" t="s">
        <v>2406</v>
      </c>
      <c r="J876" s="3" t="str">
        <f>HYPERLINK("https://www.boe.es/gazeta/dias/1834/05/19/pdfs/GMD-1834-88.pdf#page=3","Abrir facsímil")</f>
        <v>Abrir facsímil</v>
      </c>
      <c r="K876" s="3" t="s">
        <v>37</v>
      </c>
    </row>
    <row r="877" spans="1:11" ht="54" customHeight="1">
      <c r="A877" s="2" t="s">
        <v>2407</v>
      </c>
      <c r="B877" s="2" t="s">
        <v>2407</v>
      </c>
      <c r="C877" s="2" t="s">
        <v>17</v>
      </c>
      <c r="D877" s="2" t="s">
        <v>40</v>
      </c>
      <c r="E877" s="5" t="s">
        <v>251</v>
      </c>
      <c r="F877" s="3" t="s">
        <v>1278</v>
      </c>
      <c r="G877" s="3" t="s">
        <v>75</v>
      </c>
      <c r="H877" s="2" t="s">
        <v>22</v>
      </c>
      <c r="I877" s="2" t="s">
        <v>2408</v>
      </c>
      <c r="J877" s="3" t="str">
        <f>HYPERLINK("https://www.boe.es/gazeta/dias/1834/09/26/pdfs/GMD-1834-224.pdf#page=4","Abrir facsímil")</f>
        <v>Abrir facsímil</v>
      </c>
      <c r="K877" s="3" t="s">
        <v>24</v>
      </c>
    </row>
    <row r="878" spans="1:11" ht="54" customHeight="1">
      <c r="A878" s="2" t="s">
        <v>2409</v>
      </c>
      <c r="B878" s="2" t="s">
        <v>2409</v>
      </c>
      <c r="C878" s="2" t="s">
        <v>46</v>
      </c>
      <c r="D878" s="2" t="s">
        <v>101</v>
      </c>
      <c r="E878" s="5" t="s">
        <v>1850</v>
      </c>
      <c r="F878" s="3" t="s">
        <v>1851</v>
      </c>
      <c r="G878" s="3" t="s">
        <v>470</v>
      </c>
      <c r="H878" s="2" t="s">
        <v>22</v>
      </c>
      <c r="I878" s="2" t="s">
        <v>2410</v>
      </c>
      <c r="J878" s="3" t="str">
        <f>HYPERLINK("https://www.boe.es/gazeta/dias/1834/02/18/pdfs/GMD-1834-22.pdf#page=8","Abrir facsímil")</f>
        <v>Abrir facsímil</v>
      </c>
      <c r="K878" s="3" t="s">
        <v>24</v>
      </c>
    </row>
    <row r="879" spans="1:11" ht="54" customHeight="1">
      <c r="A879" s="2" t="s">
        <v>2411</v>
      </c>
      <c r="B879" s="2" t="s">
        <v>2411</v>
      </c>
      <c r="C879" s="2" t="s">
        <v>122</v>
      </c>
      <c r="D879" s="2" t="s">
        <v>18</v>
      </c>
      <c r="E879" s="5" t="s">
        <v>444</v>
      </c>
      <c r="F879" s="3" t="s">
        <v>2412</v>
      </c>
      <c r="G879" s="3" t="s">
        <v>75</v>
      </c>
      <c r="H879" s="2" t="s">
        <v>22</v>
      </c>
      <c r="I879" s="2" t="s">
        <v>2413</v>
      </c>
      <c r="J879" s="3" t="str">
        <f>HYPERLINK("https://www.boe.es/gazeta/dias/1834/09/12/pdfs/GMD-1834-210.pdf#page=4","Abrir facsímil")</f>
        <v>Abrir facsímil</v>
      </c>
      <c r="K879" s="3" t="s">
        <v>24</v>
      </c>
    </row>
    <row r="880" spans="1:11" ht="54" customHeight="1">
      <c r="A880" s="2" t="s">
        <v>2414</v>
      </c>
      <c r="B880" s="2" t="s">
        <v>2414</v>
      </c>
      <c r="C880" s="2" t="s">
        <v>17</v>
      </c>
      <c r="D880" s="2" t="s">
        <v>18</v>
      </c>
      <c r="E880" s="5" t="s">
        <v>265</v>
      </c>
      <c r="F880" s="3" t="s">
        <v>266</v>
      </c>
      <c r="G880" s="3" t="s">
        <v>75</v>
      </c>
      <c r="H880" s="2" t="s">
        <v>22</v>
      </c>
      <c r="I880" s="2" t="s">
        <v>2415</v>
      </c>
      <c r="J880" s="3" t="str">
        <f>HYPERLINK("https://www.boe.es/gazeta/dias/1834/11/19/pdfs/GMD-C-1834-278.pdf#page=4","Abrir facsímil")</f>
        <v>Abrir facsímil</v>
      </c>
      <c r="K880" s="3" t="s">
        <v>24</v>
      </c>
    </row>
    <row r="881" spans="1:11" ht="54" customHeight="1">
      <c r="A881" s="2" t="s">
        <v>2416</v>
      </c>
      <c r="B881" s="2" t="s">
        <v>2417</v>
      </c>
      <c r="C881" s="2" t="s">
        <v>17</v>
      </c>
      <c r="D881" s="2" t="s">
        <v>18</v>
      </c>
      <c r="E881" s="5" t="s">
        <v>1141</v>
      </c>
      <c r="F881" s="3" t="s">
        <v>1142</v>
      </c>
      <c r="G881" s="3" t="s">
        <v>75</v>
      </c>
      <c r="H881" s="2" t="s">
        <v>22</v>
      </c>
      <c r="I881" s="2" t="s">
        <v>2418</v>
      </c>
      <c r="J881" s="3" t="str">
        <f>HYPERLINK("https://www.boe.es/gazeta/dias/1834/04/30/pdfs/GMD-1834-69.pdf#page=4","Abrir facsímil")</f>
        <v>Abrir facsímil</v>
      </c>
      <c r="K881" s="3" t="s">
        <v>24</v>
      </c>
    </row>
    <row r="882" spans="1:11" ht="54" customHeight="1">
      <c r="A882" s="2" t="s">
        <v>2419</v>
      </c>
      <c r="B882" s="2" t="s">
        <v>2420</v>
      </c>
      <c r="C882" s="2" t="s">
        <v>17</v>
      </c>
      <c r="D882" s="2" t="s">
        <v>101</v>
      </c>
      <c r="E882" s="5" t="s">
        <v>68</v>
      </c>
      <c r="F882" s="3" t="s">
        <v>69</v>
      </c>
      <c r="G882" s="3" t="s">
        <v>75</v>
      </c>
      <c r="H882" s="2" t="s">
        <v>22</v>
      </c>
      <c r="I882" s="2" t="s">
        <v>2421</v>
      </c>
      <c r="J882" s="3" t="str">
        <f>HYPERLINK("https://www.boe.es/gazeta/dias/1834/11/01/pdfs/GMD-1834-260.pdf#page=4","Abrir facsímil")</f>
        <v>Abrir facsímil</v>
      </c>
      <c r="K882" s="3" t="s">
        <v>24</v>
      </c>
    </row>
    <row r="883" spans="1:11" ht="54" customHeight="1">
      <c r="A883" s="2" t="s">
        <v>2422</v>
      </c>
      <c r="B883" s="2" t="s">
        <v>2423</v>
      </c>
      <c r="C883" s="2" t="s">
        <v>46</v>
      </c>
      <c r="D883" s="2" t="s">
        <v>40</v>
      </c>
      <c r="E883" s="5" t="s">
        <v>84</v>
      </c>
      <c r="F883" s="3" t="s">
        <v>1223</v>
      </c>
      <c r="G883" s="3" t="s">
        <v>21</v>
      </c>
      <c r="H883" s="2" t="s">
        <v>22</v>
      </c>
      <c r="I883" s="2" t="s">
        <v>2424</v>
      </c>
      <c r="J883" s="3" t="str">
        <f>HYPERLINK("https://www.boe.es/gazeta/dias/1834/06/07/pdfs/GMD-1834-109.pdf#page=3","Abrir facsímil")</f>
        <v>Abrir facsímil</v>
      </c>
      <c r="K883" s="3" t="s">
        <v>24</v>
      </c>
    </row>
    <row r="884" spans="1:11" ht="54" customHeight="1">
      <c r="A884" s="2" t="s">
        <v>2425</v>
      </c>
      <c r="B884" s="2" t="s">
        <v>2426</v>
      </c>
      <c r="C884" s="2" t="s">
        <v>17</v>
      </c>
      <c r="D884" s="2" t="s">
        <v>40</v>
      </c>
      <c r="E884" s="5" t="s">
        <v>702</v>
      </c>
      <c r="F884" s="3" t="s">
        <v>2427</v>
      </c>
      <c r="G884" s="3" t="s">
        <v>75</v>
      </c>
      <c r="H884" s="2" t="s">
        <v>22</v>
      </c>
      <c r="I884" s="2" t="s">
        <v>2428</v>
      </c>
      <c r="J884" s="3" t="str">
        <f>HYPERLINK("https://www.boe.es/gazeta/dias/1834/11/22/pdfs/GMD-1834-281.pdf#page=4","Abrir facsímil")</f>
        <v>Abrir facsímil</v>
      </c>
      <c r="K884" s="3" t="s">
        <v>24</v>
      </c>
    </row>
    <row r="885" spans="1:11" ht="54" customHeight="1">
      <c r="A885" s="2" t="s">
        <v>2429</v>
      </c>
      <c r="B885" s="2" t="s">
        <v>2430</v>
      </c>
      <c r="C885" s="2" t="s">
        <v>46</v>
      </c>
      <c r="D885" s="2" t="s">
        <v>101</v>
      </c>
      <c r="E885" s="5" t="s">
        <v>510</v>
      </c>
      <c r="F885" s="3" t="s">
        <v>511</v>
      </c>
      <c r="G885" s="3" t="s">
        <v>75</v>
      </c>
      <c r="H885" s="2" t="s">
        <v>22</v>
      </c>
      <c r="I885" s="2" t="s">
        <v>2431</v>
      </c>
      <c r="J885" s="3" t="str">
        <f>HYPERLINK("https://www.boe.es/gazeta/dias/1834/11/26/pdfs/GMD-1834-285.pdf#page=4","Abrir facsímil")</f>
        <v>Abrir facsímil</v>
      </c>
      <c r="K885" s="3" t="s">
        <v>24</v>
      </c>
    </row>
    <row r="886" spans="1:11" ht="54" customHeight="1">
      <c r="A886" s="2" t="s">
        <v>2432</v>
      </c>
      <c r="B886" s="2" t="s">
        <v>2433</v>
      </c>
      <c r="C886" s="2" t="s">
        <v>857</v>
      </c>
      <c r="D886" s="2" t="s">
        <v>40</v>
      </c>
      <c r="E886" s="5" t="s">
        <v>823</v>
      </c>
      <c r="F886" s="3" t="s">
        <v>824</v>
      </c>
      <c r="G886" s="3" t="s">
        <v>176</v>
      </c>
      <c r="H886" s="2" t="s">
        <v>22</v>
      </c>
      <c r="I886" s="2" t="s">
        <v>2434</v>
      </c>
      <c r="J886" s="3" t="str">
        <f>HYPERLINK("https://www.boe.es/gazeta/dias/1834/07/23/pdfs/GMD-1834-156.pdf#page=6","Abrir facsímil")</f>
        <v>Abrir facsímil</v>
      </c>
      <c r="K886" s="3" t="s">
        <v>24</v>
      </c>
    </row>
    <row r="887" spans="1:11" ht="54" customHeight="1">
      <c r="A887" s="2" t="s">
        <v>2435</v>
      </c>
      <c r="B887" s="2" t="s">
        <v>2436</v>
      </c>
      <c r="C887" s="2" t="s">
        <v>17</v>
      </c>
      <c r="D887" s="2" t="s">
        <v>40</v>
      </c>
      <c r="E887" s="5" t="s">
        <v>1862</v>
      </c>
      <c r="F887" s="3" t="s">
        <v>1863</v>
      </c>
      <c r="G887" s="3" t="s">
        <v>75</v>
      </c>
      <c r="H887" s="2" t="s">
        <v>35</v>
      </c>
      <c r="I887" s="2" t="s">
        <v>2437</v>
      </c>
      <c r="J887" s="3" t="str">
        <f>HYPERLINK("https://www.boe.es/gazeta/dias/1834/02/04/pdfs/GMD-1834-16.pdf#page=4","Abrir facsímil")</f>
        <v>Abrir facsímil</v>
      </c>
      <c r="K887" s="3" t="s">
        <v>37</v>
      </c>
    </row>
    <row r="888" spans="1:11" ht="54" customHeight="1">
      <c r="A888" s="2" t="s">
        <v>2438</v>
      </c>
      <c r="B888" s="2" t="s">
        <v>2439</v>
      </c>
      <c r="C888" s="2" t="s">
        <v>17</v>
      </c>
      <c r="D888" s="2" t="s">
        <v>40</v>
      </c>
      <c r="E888" s="5" t="s">
        <v>1862</v>
      </c>
      <c r="F888" s="3" t="s">
        <v>1863</v>
      </c>
      <c r="G888" s="3" t="s">
        <v>75</v>
      </c>
      <c r="H888" s="2" t="s">
        <v>22</v>
      </c>
      <c r="I888" s="2" t="s">
        <v>2440</v>
      </c>
      <c r="J888" s="3" t="str">
        <f>HYPERLINK("https://www.boe.es/gazeta/dias/1834/02/04/pdfs/GMD-1834-16.pdf#page=4","Abrir facsímil")</f>
        <v>Abrir facsímil</v>
      </c>
      <c r="K888" s="3" t="s">
        <v>24</v>
      </c>
    </row>
    <row r="889" spans="1:11" ht="54" customHeight="1">
      <c r="A889" s="2" t="s">
        <v>2441</v>
      </c>
      <c r="B889" s="2" t="s">
        <v>2441</v>
      </c>
      <c r="C889" s="2" t="s">
        <v>66</v>
      </c>
      <c r="D889" s="2" t="s">
        <v>67</v>
      </c>
      <c r="E889" s="5" t="s">
        <v>1641</v>
      </c>
      <c r="F889" s="3" t="s">
        <v>1729</v>
      </c>
      <c r="G889" s="3" t="s">
        <v>21</v>
      </c>
      <c r="H889" s="2" t="s">
        <v>22</v>
      </c>
      <c r="I889" s="2" t="s">
        <v>2442</v>
      </c>
      <c r="J889" s="3" t="str">
        <f>HYPERLINK("https://www.boe.es/gazeta/dias/1834/09/28/pdfs/GMD-1834-226.pdf#page=3","Abrir facsímil")</f>
        <v>Abrir facsímil</v>
      </c>
      <c r="K889" s="3" t="s">
        <v>24</v>
      </c>
    </row>
    <row r="890" spans="1:11" ht="54" customHeight="1">
      <c r="A890" s="2" t="s">
        <v>2443</v>
      </c>
      <c r="B890" s="2" t="s">
        <v>2444</v>
      </c>
      <c r="C890" s="2" t="s">
        <v>17</v>
      </c>
      <c r="D890" s="2" t="s">
        <v>55</v>
      </c>
      <c r="E890" s="5" t="s">
        <v>1170</v>
      </c>
      <c r="F890" s="3" t="s">
        <v>1171</v>
      </c>
      <c r="G890" s="3" t="s">
        <v>176</v>
      </c>
      <c r="H890" s="2" t="s">
        <v>22</v>
      </c>
      <c r="I890" s="2" t="s">
        <v>2445</v>
      </c>
      <c r="J890" s="3" t="str">
        <f>HYPERLINK("https://www.boe.es/gazeta/dias/1834/01/07/pdfs/GMD-1834-4.pdf#page=6","Abrir facsímil")</f>
        <v>Abrir facsímil</v>
      </c>
      <c r="K890" s="3" t="s">
        <v>24</v>
      </c>
    </row>
    <row r="891" spans="1:11" ht="54" customHeight="1">
      <c r="A891" s="2" t="s">
        <v>2446</v>
      </c>
      <c r="B891" s="2" t="s">
        <v>2447</v>
      </c>
      <c r="C891" s="2" t="s">
        <v>17</v>
      </c>
      <c r="D891" s="2" t="s">
        <v>18</v>
      </c>
      <c r="E891" s="5" t="s">
        <v>19</v>
      </c>
      <c r="F891" s="3" t="s">
        <v>107</v>
      </c>
      <c r="G891" s="3" t="s">
        <v>21</v>
      </c>
      <c r="H891" s="2" t="s">
        <v>22</v>
      </c>
      <c r="I891" s="2" t="s">
        <v>2448</v>
      </c>
      <c r="J891" s="3" t="str">
        <f>HYPERLINK("https://www.boe.es/gazeta/dias/1834/08/17/pdfs/GMD-1834-182.pdf#page=3","Abrir facsímil")</f>
        <v>Abrir facsímil</v>
      </c>
      <c r="K891" s="3" t="s">
        <v>24</v>
      </c>
    </row>
    <row r="892" spans="1:11" ht="54" customHeight="1">
      <c r="A892" s="2" t="s">
        <v>2449</v>
      </c>
      <c r="B892" s="2" t="s">
        <v>2450</v>
      </c>
      <c r="C892" s="2" t="s">
        <v>17</v>
      </c>
      <c r="D892" s="2" t="s">
        <v>18</v>
      </c>
      <c r="E892" s="5" t="s">
        <v>444</v>
      </c>
      <c r="F892" s="3" t="s">
        <v>445</v>
      </c>
      <c r="G892" s="3" t="s">
        <v>28</v>
      </c>
      <c r="H892" s="2" t="s">
        <v>22</v>
      </c>
      <c r="I892" s="2" t="s">
        <v>2451</v>
      </c>
      <c r="J892" s="3" t="str">
        <f>HYPERLINK("https://www.boe.es/gazeta/dias/1834/09/12/pdfs/GMD-C-1834-210.pdf#page=5","Abrir facsímil")</f>
        <v>Abrir facsímil</v>
      </c>
      <c r="K892" s="3" t="s">
        <v>24</v>
      </c>
    </row>
    <row r="893" spans="1:11" ht="54" customHeight="1">
      <c r="A893" s="2" t="s">
        <v>2452</v>
      </c>
      <c r="B893" s="2" t="s">
        <v>2452</v>
      </c>
      <c r="C893" s="2" t="s">
        <v>46</v>
      </c>
      <c r="D893" s="2" t="s">
        <v>55</v>
      </c>
      <c r="E893" s="5" t="s">
        <v>200</v>
      </c>
      <c r="F893" s="3" t="s">
        <v>201</v>
      </c>
      <c r="G893" s="3" t="s">
        <v>34</v>
      </c>
      <c r="H893" s="2" t="s">
        <v>22</v>
      </c>
      <c r="I893" s="2" t="s">
        <v>2453</v>
      </c>
      <c r="J893" s="3" t="str">
        <f>HYPERLINK("https://www.boe.es/gazeta/dias/1834/12/11/pdfs/GMD-1834-300.pdf#page=1","Abrir facsímil")</f>
        <v>Abrir facsímil</v>
      </c>
      <c r="K893" s="3" t="s">
        <v>24</v>
      </c>
    </row>
    <row r="894" spans="1:11" ht="54" customHeight="1">
      <c r="A894" s="2" t="s">
        <v>2454</v>
      </c>
      <c r="B894" s="2" t="s">
        <v>2454</v>
      </c>
      <c r="C894" s="2" t="s">
        <v>17</v>
      </c>
      <c r="D894" s="2" t="s">
        <v>18</v>
      </c>
      <c r="E894" s="5" t="s">
        <v>273</v>
      </c>
      <c r="F894" s="3" t="s">
        <v>413</v>
      </c>
      <c r="G894" s="3" t="s">
        <v>21</v>
      </c>
      <c r="H894" s="2" t="s">
        <v>22</v>
      </c>
      <c r="I894" s="2" t="s">
        <v>2455</v>
      </c>
      <c r="J894" s="3" t="str">
        <f>HYPERLINK("https://www.boe.es/gazeta/dias/1834/08/31/pdfs/GMD-1834-198.pdf#page=3","Abrir facsímil")</f>
        <v>Abrir facsímil</v>
      </c>
      <c r="K894" s="3" t="s">
        <v>24</v>
      </c>
    </row>
    <row r="895" spans="1:11" ht="54" customHeight="1">
      <c r="A895" s="2" t="s">
        <v>2456</v>
      </c>
      <c r="B895" s="2" t="s">
        <v>2456</v>
      </c>
      <c r="C895" s="2" t="s">
        <v>46</v>
      </c>
      <c r="D895" s="2" t="s">
        <v>18</v>
      </c>
      <c r="E895" s="5" t="s">
        <v>441</v>
      </c>
      <c r="F895" s="3" t="s">
        <v>442</v>
      </c>
      <c r="G895" s="3" t="s">
        <v>86</v>
      </c>
      <c r="H895" s="2" t="s">
        <v>22</v>
      </c>
      <c r="I895" s="2" t="s">
        <v>2457</v>
      </c>
      <c r="J895" s="3" t="str">
        <f>HYPERLINK("https://www.boe.es/gazeta/dias/1834/11/10/pdfs/GMD-1834-269.pdf#page=2","Abrir facsímil")</f>
        <v>Abrir facsímil</v>
      </c>
      <c r="K895" s="3" t="s">
        <v>24</v>
      </c>
    </row>
    <row r="896" spans="1:11" ht="54" customHeight="1">
      <c r="A896" s="2" t="s">
        <v>2458</v>
      </c>
      <c r="B896" s="2" t="s">
        <v>2458</v>
      </c>
      <c r="C896" s="2" t="s">
        <v>17</v>
      </c>
      <c r="D896" s="2" t="s">
        <v>40</v>
      </c>
      <c r="E896" s="5" t="s">
        <v>2459</v>
      </c>
      <c r="F896" s="3" t="s">
        <v>2460</v>
      </c>
      <c r="G896" s="3" t="s">
        <v>75</v>
      </c>
      <c r="H896" s="2" t="s">
        <v>22</v>
      </c>
      <c r="I896" s="2" t="s">
        <v>2461</v>
      </c>
      <c r="J896" s="3" t="str">
        <f>HYPERLINK("https://www.boe.es/gazeta/dias/1834/04/04/pdfs/GMD-1834-43.pdf#page=4","Abrir facsímil")</f>
        <v>Abrir facsímil</v>
      </c>
      <c r="K896" s="3" t="s">
        <v>24</v>
      </c>
    </row>
    <row r="897" spans="1:11" ht="54" customHeight="1">
      <c r="A897" s="2" t="s">
        <v>2458</v>
      </c>
      <c r="B897" s="2" t="s">
        <v>2458</v>
      </c>
      <c r="C897" s="2" t="s">
        <v>46</v>
      </c>
      <c r="D897" s="2" t="s">
        <v>101</v>
      </c>
      <c r="E897" s="5" t="s">
        <v>1692</v>
      </c>
      <c r="F897" s="3" t="s">
        <v>1693</v>
      </c>
      <c r="G897" s="3" t="s">
        <v>21</v>
      </c>
      <c r="H897" s="2" t="s">
        <v>22</v>
      </c>
      <c r="I897" s="2" t="s">
        <v>2462</v>
      </c>
      <c r="J897" s="3" t="str">
        <f>HYPERLINK("https://www.boe.es/gazeta/dias/1834/07/29/pdfs/GMD-1834-162.pdf#page=3","Abrir facsímil")</f>
        <v>Abrir facsímil</v>
      </c>
      <c r="K897" s="3" t="s">
        <v>24</v>
      </c>
    </row>
    <row r="898" spans="1:11" ht="54" customHeight="1">
      <c r="A898" s="2" t="s">
        <v>2463</v>
      </c>
      <c r="B898" s="2" t="s">
        <v>2464</v>
      </c>
      <c r="C898" s="2" t="s">
        <v>17</v>
      </c>
      <c r="D898" s="2" t="s">
        <v>40</v>
      </c>
      <c r="E898" s="5" t="s">
        <v>2142</v>
      </c>
      <c r="F898" s="3" t="s">
        <v>2316</v>
      </c>
      <c r="G898" s="3" t="s">
        <v>86</v>
      </c>
      <c r="H898" s="2" t="s">
        <v>22</v>
      </c>
      <c r="I898" s="2" t="s">
        <v>2465</v>
      </c>
      <c r="J898" s="3" t="str">
        <f>HYPERLINK("https://www.boe.es/gazeta/dias/1834/12/27/pdfs/GMD-C-1834-317.pdf#page=2","Abrir facsímil")</f>
        <v>Abrir facsímil</v>
      </c>
      <c r="K898" s="3" t="s">
        <v>24</v>
      </c>
    </row>
    <row r="899" spans="1:11" ht="54" customHeight="1">
      <c r="A899" s="2" t="s">
        <v>2466</v>
      </c>
      <c r="B899" s="2" t="s">
        <v>2467</v>
      </c>
      <c r="C899" s="2" t="s">
        <v>17</v>
      </c>
      <c r="D899" s="2" t="s">
        <v>18</v>
      </c>
      <c r="E899" s="5" t="s">
        <v>2260</v>
      </c>
      <c r="F899" s="3" t="s">
        <v>2263</v>
      </c>
      <c r="G899" s="3" t="s">
        <v>34</v>
      </c>
      <c r="H899" s="2" t="s">
        <v>22</v>
      </c>
      <c r="I899" s="2" t="s">
        <v>2468</v>
      </c>
      <c r="J899" s="3" t="str">
        <f>HYPERLINK("https://www.boe.es/gazeta/dias/1834/11/13/pdfs/GMD-C-1834-272.pdf#page=1","Abrir facsímil")</f>
        <v>Abrir facsímil</v>
      </c>
      <c r="K899" s="3" t="s">
        <v>24</v>
      </c>
    </row>
    <row r="900" spans="1:11" ht="54" customHeight="1">
      <c r="A900" s="2" t="s">
        <v>2469</v>
      </c>
      <c r="B900" s="2" t="s">
        <v>2470</v>
      </c>
      <c r="C900" s="2" t="s">
        <v>17</v>
      </c>
      <c r="D900" s="2" t="s">
        <v>18</v>
      </c>
      <c r="E900" s="5" t="s">
        <v>1981</v>
      </c>
      <c r="F900" s="3" t="s">
        <v>2471</v>
      </c>
      <c r="G900" s="3" t="s">
        <v>34</v>
      </c>
      <c r="H900" s="2" t="s">
        <v>22</v>
      </c>
      <c r="I900" s="2" t="s">
        <v>2472</v>
      </c>
      <c r="J900" s="3" t="str">
        <f>HYPERLINK("https://www.boe.es/gazeta/dias/1834/12/13/pdfs/GMD-C-1834-302.pdf#page=1","Abrir facsímil")</f>
        <v>Abrir facsímil</v>
      </c>
      <c r="K900" s="3" t="s">
        <v>24</v>
      </c>
    </row>
    <row r="901" spans="1:11" ht="54" customHeight="1">
      <c r="A901" s="2" t="s">
        <v>2469</v>
      </c>
      <c r="B901" s="2" t="s">
        <v>2470</v>
      </c>
      <c r="C901" s="2" t="s">
        <v>17</v>
      </c>
      <c r="D901" s="2" t="s">
        <v>18</v>
      </c>
      <c r="E901" s="5" t="s">
        <v>454</v>
      </c>
      <c r="F901" s="3" t="s">
        <v>455</v>
      </c>
      <c r="G901" s="3" t="s">
        <v>86</v>
      </c>
      <c r="H901" s="2" t="s">
        <v>22</v>
      </c>
      <c r="I901" s="2" t="s">
        <v>2473</v>
      </c>
      <c r="J901" s="3" t="str">
        <f>HYPERLINK("https://www.boe.es/gazeta/dias/1834/10/16/pdfs/GMD-C-1834-244.pdf#page=2","Abrir facsímil")</f>
        <v>Abrir facsímil</v>
      </c>
      <c r="K901" s="3" t="s">
        <v>24</v>
      </c>
    </row>
    <row r="902" spans="1:11" ht="54" customHeight="1">
      <c r="A902" s="2" t="s">
        <v>2469</v>
      </c>
      <c r="B902" s="2" t="s">
        <v>2470</v>
      </c>
      <c r="C902" s="2" t="s">
        <v>17</v>
      </c>
      <c r="D902" s="2" t="s">
        <v>18</v>
      </c>
      <c r="E902" s="5" t="s">
        <v>891</v>
      </c>
      <c r="F902" s="3" t="s">
        <v>892</v>
      </c>
      <c r="G902" s="3" t="s">
        <v>86</v>
      </c>
      <c r="H902" s="2" t="s">
        <v>22</v>
      </c>
      <c r="I902" s="2" t="s">
        <v>2474</v>
      </c>
      <c r="J902" s="3" t="str">
        <f>HYPERLINK("https://www.boe.es/gazeta/dias/1834/10/31/pdfs/GMD-C-1834-259.pdf#page=2","Abrir facsímil")</f>
        <v>Abrir facsímil</v>
      </c>
      <c r="K902" s="3" t="s">
        <v>24</v>
      </c>
    </row>
    <row r="903" spans="1:11" ht="54" customHeight="1">
      <c r="A903" s="2" t="s">
        <v>2475</v>
      </c>
      <c r="B903" s="2" t="s">
        <v>2476</v>
      </c>
      <c r="C903" s="2" t="s">
        <v>122</v>
      </c>
      <c r="D903" s="2" t="s">
        <v>18</v>
      </c>
      <c r="E903" s="5" t="s">
        <v>594</v>
      </c>
      <c r="F903" s="3" t="s">
        <v>595</v>
      </c>
      <c r="G903" s="3" t="s">
        <v>75</v>
      </c>
      <c r="H903" s="2" t="s">
        <v>22</v>
      </c>
      <c r="I903" s="2" t="s">
        <v>2477</v>
      </c>
      <c r="J903" s="3" t="str">
        <f>HYPERLINK("https://www.boe.es/gazeta/dias/1834/06/01/pdfs/GMD-1834-102.pdf#page=4","Abrir facsímil")</f>
        <v>Abrir facsímil</v>
      </c>
      <c r="K903" s="3" t="s">
        <v>24</v>
      </c>
    </row>
    <row r="904" spans="1:11" ht="54" customHeight="1">
      <c r="A904" s="2" t="s">
        <v>2478</v>
      </c>
      <c r="B904" s="2" t="s">
        <v>2479</v>
      </c>
      <c r="C904" s="2" t="s">
        <v>17</v>
      </c>
      <c r="D904" s="2" t="s">
        <v>18</v>
      </c>
      <c r="E904" s="5" t="s">
        <v>1981</v>
      </c>
      <c r="F904" s="3" t="s">
        <v>2471</v>
      </c>
      <c r="G904" s="3" t="s">
        <v>34</v>
      </c>
      <c r="H904" s="2" t="s">
        <v>35</v>
      </c>
      <c r="I904" s="2" t="s">
        <v>2480</v>
      </c>
      <c r="J904" s="3" t="str">
        <f>HYPERLINK("https://www.boe.es/gazeta/dias/1834/12/13/pdfs/GMD-C-1834-302.pdf#page=1","Abrir facsímil")</f>
        <v>Abrir facsímil</v>
      </c>
      <c r="K904" s="3" t="s">
        <v>37</v>
      </c>
    </row>
    <row r="905" spans="1:11" ht="54" customHeight="1">
      <c r="A905" s="2" t="s">
        <v>2481</v>
      </c>
      <c r="B905" s="2" t="s">
        <v>2482</v>
      </c>
      <c r="C905" s="2" t="s">
        <v>17</v>
      </c>
      <c r="D905" s="2" t="s">
        <v>18</v>
      </c>
      <c r="E905" s="5" t="s">
        <v>167</v>
      </c>
      <c r="F905" s="3" t="s">
        <v>168</v>
      </c>
      <c r="G905" s="3" t="s">
        <v>21</v>
      </c>
      <c r="H905" s="2" t="s">
        <v>22</v>
      </c>
      <c r="I905" s="2" t="s">
        <v>2483</v>
      </c>
      <c r="J905" s="3" t="str">
        <f>HYPERLINK("https://www.boe.es/gazeta/dias/1834/09/07/pdfs/GMD-1834-205.pdf#page=3","Abrir facsímil")</f>
        <v>Abrir facsímil</v>
      </c>
      <c r="K905" s="3" t="s">
        <v>24</v>
      </c>
    </row>
    <row r="906" spans="1:11" ht="54" customHeight="1">
      <c r="A906" s="2" t="s">
        <v>2484</v>
      </c>
      <c r="B906" s="2" t="s">
        <v>2485</v>
      </c>
      <c r="C906" s="2" t="s">
        <v>17</v>
      </c>
      <c r="D906" s="2" t="s">
        <v>18</v>
      </c>
      <c r="E906" s="5" t="s">
        <v>448</v>
      </c>
      <c r="F906" s="3" t="s">
        <v>2058</v>
      </c>
      <c r="G906" s="3" t="s">
        <v>75</v>
      </c>
      <c r="H906" s="2" t="s">
        <v>22</v>
      </c>
      <c r="I906" s="2" t="s">
        <v>2486</v>
      </c>
      <c r="J906" s="3" t="str">
        <f>HYPERLINK("https://www.boe.es/gazeta/dias/1834/10/14/pdfs/GMD-1834-242.pdf#page=4","Abrir facsímil")</f>
        <v>Abrir facsímil</v>
      </c>
      <c r="K906" s="3" t="s">
        <v>24</v>
      </c>
    </row>
    <row r="907" spans="1:11" ht="54" customHeight="1">
      <c r="A907" s="2" t="s">
        <v>2487</v>
      </c>
      <c r="B907" s="2" t="s">
        <v>2487</v>
      </c>
      <c r="C907" s="2" t="s">
        <v>17</v>
      </c>
      <c r="D907" s="2" t="s">
        <v>55</v>
      </c>
      <c r="E907" s="5" t="s">
        <v>286</v>
      </c>
      <c r="F907" s="3" t="s">
        <v>1928</v>
      </c>
      <c r="G907" s="3" t="s">
        <v>34</v>
      </c>
      <c r="H907" s="2" t="s">
        <v>22</v>
      </c>
      <c r="I907" s="2" t="s">
        <v>2488</v>
      </c>
      <c r="J907" s="3" t="str">
        <f>HYPERLINK("https://www.boe.es/gazeta/dias/1834/08/30/pdfs/GMD-1834-197E.pdf#page=1","Abrir facsímil")</f>
        <v>Abrir facsímil</v>
      </c>
      <c r="K907" s="3" t="s">
        <v>24</v>
      </c>
    </row>
    <row r="908" spans="1:11" ht="54" customHeight="1">
      <c r="A908" s="2" t="s">
        <v>2489</v>
      </c>
      <c r="B908" s="2" t="s">
        <v>2489</v>
      </c>
      <c r="C908" s="2" t="s">
        <v>66</v>
      </c>
      <c r="D908" s="2" t="s">
        <v>67</v>
      </c>
      <c r="E908" s="5" t="s">
        <v>1125</v>
      </c>
      <c r="F908" s="3" t="s">
        <v>2490</v>
      </c>
      <c r="G908" s="3" t="s">
        <v>560</v>
      </c>
      <c r="H908" s="2" t="s">
        <v>22</v>
      </c>
      <c r="I908" s="2" t="s">
        <v>2491</v>
      </c>
      <c r="J908" s="3" t="str">
        <f>HYPERLINK("https://www.boe.es/gazeta/dias/1834/04/17/pdfs/GMD-1834-56.pdf#page=7","Abrir facsímil")</f>
        <v>Abrir facsímil</v>
      </c>
      <c r="K908" s="3" t="s">
        <v>24</v>
      </c>
    </row>
    <row r="909" spans="1:11" ht="54" customHeight="1">
      <c r="A909" s="2" t="s">
        <v>2492</v>
      </c>
      <c r="B909" s="2" t="s">
        <v>2492</v>
      </c>
      <c r="C909" s="2" t="s">
        <v>46</v>
      </c>
      <c r="D909" s="2" t="s">
        <v>101</v>
      </c>
      <c r="E909" s="5" t="s">
        <v>1883</v>
      </c>
      <c r="F909" s="3" t="s">
        <v>1884</v>
      </c>
      <c r="G909" s="3" t="s">
        <v>21</v>
      </c>
      <c r="H909" s="2" t="s">
        <v>22</v>
      </c>
      <c r="I909" s="2" t="s">
        <v>2493</v>
      </c>
      <c r="J909" s="3" t="str">
        <f>HYPERLINK("https://www.boe.es/gazeta/dias/1834/01/11/pdfs/GMD-1834-6.pdf#page=3","Abrir facsímil")</f>
        <v>Abrir facsímil</v>
      </c>
      <c r="K909" s="3" t="s">
        <v>24</v>
      </c>
    </row>
    <row r="910" spans="1:11" ht="54" customHeight="1">
      <c r="A910" s="2" t="s">
        <v>2494</v>
      </c>
      <c r="B910" s="2" t="s">
        <v>2495</v>
      </c>
      <c r="C910" s="2" t="s">
        <v>857</v>
      </c>
      <c r="D910" s="2" t="s">
        <v>18</v>
      </c>
      <c r="E910" s="5" t="s">
        <v>73</v>
      </c>
      <c r="F910" s="3" t="s">
        <v>74</v>
      </c>
      <c r="G910" s="3" t="s">
        <v>75</v>
      </c>
      <c r="H910" s="2" t="s">
        <v>22</v>
      </c>
      <c r="I910" s="2" t="s">
        <v>2496</v>
      </c>
      <c r="J910" s="3" t="str">
        <f>HYPERLINK("https://www.boe.es/gazeta/dias/1834/11/04/pdfs/GMD-1834-263.pdf#page=4","Abrir facsímil")</f>
        <v>Abrir facsímil</v>
      </c>
      <c r="K910" s="3" t="s">
        <v>24</v>
      </c>
    </row>
    <row r="911" spans="1:11" ht="54" customHeight="1">
      <c r="A911" s="2" t="s">
        <v>2497</v>
      </c>
      <c r="B911" s="2" t="s">
        <v>2497</v>
      </c>
      <c r="C911" s="2" t="s">
        <v>122</v>
      </c>
      <c r="D911" s="2" t="s">
        <v>18</v>
      </c>
      <c r="E911" s="5" t="s">
        <v>133</v>
      </c>
      <c r="F911" s="3" t="s">
        <v>134</v>
      </c>
      <c r="G911" s="3" t="s">
        <v>21</v>
      </c>
      <c r="H911" s="2" t="s">
        <v>22</v>
      </c>
      <c r="I911" s="2" t="s">
        <v>2498</v>
      </c>
      <c r="J911" s="3" t="str">
        <f>HYPERLINK("https://www.boe.es/gazeta/dias/1834/06/18/pdfs/GMD-1834-121.pdf#page=3","Abrir facsímil")</f>
        <v>Abrir facsímil</v>
      </c>
      <c r="K911" s="3" t="s">
        <v>24</v>
      </c>
    </row>
    <row r="912" spans="1:11" ht="54" customHeight="1">
      <c r="A912" s="2" t="s">
        <v>2499</v>
      </c>
      <c r="B912" s="2" t="s">
        <v>2499</v>
      </c>
      <c r="C912" s="2" t="s">
        <v>66</v>
      </c>
      <c r="D912" s="2" t="s">
        <v>18</v>
      </c>
      <c r="E912" s="5" t="s">
        <v>222</v>
      </c>
      <c r="F912" s="3" t="s">
        <v>223</v>
      </c>
      <c r="G912" s="3" t="s">
        <v>21</v>
      </c>
      <c r="H912" s="2" t="s">
        <v>22</v>
      </c>
      <c r="I912" s="2" t="s">
        <v>2500</v>
      </c>
      <c r="J912" s="3" t="str">
        <f>HYPERLINK("https://www.boe.es/gazeta/dias/1834/09/14/pdfs/GMD-1834-212.pdf#page=3","Abrir facsímil")</f>
        <v>Abrir facsímil</v>
      </c>
      <c r="K912" s="3" t="s">
        <v>24</v>
      </c>
    </row>
    <row r="913" spans="1:11" ht="54" customHeight="1">
      <c r="A913" s="2" t="s">
        <v>2501</v>
      </c>
      <c r="B913" s="2" t="s">
        <v>2501</v>
      </c>
      <c r="C913" s="2" t="s">
        <v>66</v>
      </c>
      <c r="D913" s="2" t="s">
        <v>67</v>
      </c>
      <c r="E913" s="5" t="s">
        <v>1337</v>
      </c>
      <c r="F913" s="3" t="s">
        <v>1338</v>
      </c>
      <c r="G913" s="3" t="s">
        <v>86</v>
      </c>
      <c r="H913" s="2" t="s">
        <v>22</v>
      </c>
      <c r="I913" s="2" t="s">
        <v>2502</v>
      </c>
      <c r="J913" s="3" t="str">
        <f>HYPERLINK("https://www.boe.es/gazeta/dias/1834/01/02/pdfs/GMD-1834-1.pdf#page=2","Abrir facsímil")</f>
        <v>Abrir facsímil</v>
      </c>
      <c r="K913" s="3" t="s">
        <v>24</v>
      </c>
    </row>
    <row r="914" spans="1:11" ht="54" customHeight="1">
      <c r="A914" s="2" t="s">
        <v>2503</v>
      </c>
      <c r="B914" s="2" t="s">
        <v>2503</v>
      </c>
      <c r="C914" s="2" t="s">
        <v>17</v>
      </c>
      <c r="D914" s="2" t="s">
        <v>18</v>
      </c>
      <c r="E914" s="5" t="s">
        <v>663</v>
      </c>
      <c r="F914" s="3" t="s">
        <v>664</v>
      </c>
      <c r="G914" s="3" t="s">
        <v>21</v>
      </c>
      <c r="H914" s="2" t="s">
        <v>22</v>
      </c>
      <c r="I914" s="2" t="s">
        <v>2504</v>
      </c>
      <c r="J914" s="3" t="str">
        <f>HYPERLINK("https://www.boe.es/gazeta/dias/1834/07/16/pdfs/GMD-1834-149.pdf#page=3","Abrir facsímil")</f>
        <v>Abrir facsímil</v>
      </c>
      <c r="K914" s="3" t="s">
        <v>24</v>
      </c>
    </row>
    <row r="915" spans="1:11" ht="54" customHeight="1">
      <c r="A915" s="2" t="s">
        <v>2505</v>
      </c>
      <c r="B915" s="2" t="s">
        <v>2506</v>
      </c>
      <c r="C915" s="2" t="s">
        <v>17</v>
      </c>
      <c r="D915" s="2" t="s">
        <v>18</v>
      </c>
      <c r="E915" s="5" t="s">
        <v>233</v>
      </c>
      <c r="F915" s="3" t="s">
        <v>234</v>
      </c>
      <c r="G915" s="3" t="s">
        <v>75</v>
      </c>
      <c r="H915" s="2" t="s">
        <v>22</v>
      </c>
      <c r="I915" s="2" t="s">
        <v>2507</v>
      </c>
      <c r="J915" s="3" t="str">
        <f>HYPERLINK("https://www.boe.es/gazeta/dias/1834/12/16/pdfs/GMD-1834-305.pdf#page=4","Abrir facsímil")</f>
        <v>Abrir facsímil</v>
      </c>
      <c r="K915" s="3" t="s">
        <v>24</v>
      </c>
    </row>
    <row r="916" spans="1:11" ht="54" customHeight="1">
      <c r="A916" s="2" t="s">
        <v>2508</v>
      </c>
      <c r="B916" s="2" t="s">
        <v>2509</v>
      </c>
      <c r="C916" s="2" t="s">
        <v>90</v>
      </c>
      <c r="D916" s="2" t="s">
        <v>101</v>
      </c>
      <c r="E916" s="5" t="s">
        <v>317</v>
      </c>
      <c r="F916" s="3" t="s">
        <v>318</v>
      </c>
      <c r="G916" s="3" t="s">
        <v>34</v>
      </c>
      <c r="H916" s="2" t="s">
        <v>22</v>
      </c>
      <c r="I916" s="2" t="s">
        <v>2510</v>
      </c>
      <c r="J916" s="3" t="str">
        <f>HYPERLINK("https://www.boe.es/gazeta/dias/1834/03/06/pdfs/I00139-00140.pdf#page=1","Abrir facsímil")</f>
        <v>Abrir facsímil</v>
      </c>
      <c r="K916" s="3" t="s">
        <v>24</v>
      </c>
    </row>
    <row r="917" spans="1:11" ht="54" customHeight="1">
      <c r="A917" s="2" t="s">
        <v>2508</v>
      </c>
      <c r="B917" s="2" t="s">
        <v>2509</v>
      </c>
      <c r="C917" s="2" t="s">
        <v>90</v>
      </c>
      <c r="D917" s="2" t="s">
        <v>101</v>
      </c>
      <c r="E917" s="5" t="s">
        <v>317</v>
      </c>
      <c r="F917" s="3" t="s">
        <v>318</v>
      </c>
      <c r="G917" s="3" t="s">
        <v>21</v>
      </c>
      <c r="H917" s="2" t="s">
        <v>22</v>
      </c>
      <c r="I917" s="2" t="s">
        <v>2510</v>
      </c>
      <c r="J917" s="3" t="str">
        <f>HYPERLINK("https://www.boe.es/gazeta/dias/1834/03/06/pdfs/GMD-1834-29.pdf#page=3","Abrir facsímil")</f>
        <v>Abrir facsímil</v>
      </c>
      <c r="K917" s="3" t="s">
        <v>24</v>
      </c>
    </row>
    <row r="918" spans="1:11" ht="54" customHeight="1">
      <c r="A918" s="2" t="s">
        <v>2511</v>
      </c>
      <c r="B918" s="2" t="s">
        <v>2512</v>
      </c>
      <c r="C918" s="2" t="s">
        <v>46</v>
      </c>
      <c r="D918" s="2" t="s">
        <v>101</v>
      </c>
      <c r="E918" s="5" t="s">
        <v>860</v>
      </c>
      <c r="F918" s="3" t="s">
        <v>861</v>
      </c>
      <c r="G918" s="3" t="s">
        <v>34</v>
      </c>
      <c r="H918" s="2" t="s">
        <v>22</v>
      </c>
      <c r="I918" s="2" t="s">
        <v>2513</v>
      </c>
      <c r="J918" s="3" t="str">
        <f>HYPERLINK("https://www.boe.es/gazeta/dias/1834/02/08/pdfs/GMD-1834-18.pdf#page=1","Abrir facsímil")</f>
        <v>Abrir facsímil</v>
      </c>
      <c r="K918" s="3" t="s">
        <v>24</v>
      </c>
    </row>
    <row r="919" spans="1:11" ht="54" customHeight="1">
      <c r="A919" s="2" t="s">
        <v>2514</v>
      </c>
      <c r="B919" s="2" t="s">
        <v>2514</v>
      </c>
      <c r="C919" s="2" t="s">
        <v>17</v>
      </c>
      <c r="D919" s="2" t="s">
        <v>18</v>
      </c>
      <c r="E919" s="5" t="s">
        <v>1677</v>
      </c>
      <c r="F919" s="3" t="s">
        <v>2515</v>
      </c>
      <c r="G919" s="3" t="s">
        <v>34</v>
      </c>
      <c r="H919" s="2" t="s">
        <v>22</v>
      </c>
      <c r="I919" s="2" t="s">
        <v>2516</v>
      </c>
      <c r="J919" s="3" t="str">
        <f>HYPERLINK("https://www.boe.es/gazeta/dias/1834/07/26/pdfs/GMD-C-1834-159.pdf#page=1","Abrir facsímil")</f>
        <v>Abrir facsímil</v>
      </c>
      <c r="K919" s="3" t="s">
        <v>24</v>
      </c>
    </row>
    <row r="920" spans="1:11" ht="54" customHeight="1">
      <c r="A920" s="2" t="s">
        <v>2517</v>
      </c>
      <c r="B920" s="2" t="s">
        <v>2518</v>
      </c>
      <c r="C920" s="2" t="s">
        <v>17</v>
      </c>
      <c r="D920" s="2" t="s">
        <v>18</v>
      </c>
      <c r="E920" s="5" t="s">
        <v>1226</v>
      </c>
      <c r="F920" s="3" t="s">
        <v>1227</v>
      </c>
      <c r="G920" s="3" t="s">
        <v>21</v>
      </c>
      <c r="H920" s="2" t="s">
        <v>35</v>
      </c>
      <c r="I920" s="2" t="s">
        <v>2519</v>
      </c>
      <c r="J920" s="3" t="str">
        <f>HYPERLINK("https://www.boe.es/gazeta/dias/1834/07/14/pdfs/GMD-1834-147.pdf#page=3","Abrir facsímil")</f>
        <v>Abrir facsímil</v>
      </c>
      <c r="K920" s="3" t="s">
        <v>37</v>
      </c>
    </row>
    <row r="921" spans="1:11" ht="54" customHeight="1">
      <c r="A921" s="2" t="s">
        <v>2520</v>
      </c>
      <c r="B921" s="2" t="s">
        <v>2520</v>
      </c>
      <c r="C921" s="2" t="s">
        <v>17</v>
      </c>
      <c r="D921" s="2" t="s">
        <v>18</v>
      </c>
      <c r="E921" s="5" t="s">
        <v>438</v>
      </c>
      <c r="F921" s="3" t="s">
        <v>528</v>
      </c>
      <c r="G921" s="3" t="s">
        <v>75</v>
      </c>
      <c r="H921" s="2" t="s">
        <v>22</v>
      </c>
      <c r="I921" s="2" t="s">
        <v>2521</v>
      </c>
      <c r="J921" s="3" t="str">
        <f>HYPERLINK("https://www.boe.es/gazeta/dias/1834/11/09/pdfs/GMD-C-1834-268.pdf#page=4","Abrir facsímil")</f>
        <v>Abrir facsímil</v>
      </c>
      <c r="K921" s="3" t="s">
        <v>24</v>
      </c>
    </row>
    <row r="922" spans="1:11" ht="54" customHeight="1">
      <c r="A922" s="2" t="s">
        <v>2520</v>
      </c>
      <c r="B922" s="2" t="s">
        <v>2520</v>
      </c>
      <c r="C922" s="2" t="s">
        <v>17</v>
      </c>
      <c r="D922" s="2" t="s">
        <v>18</v>
      </c>
      <c r="E922" s="5" t="s">
        <v>96</v>
      </c>
      <c r="F922" s="3" t="s">
        <v>97</v>
      </c>
      <c r="G922" s="3" t="s">
        <v>34</v>
      </c>
      <c r="H922" s="2" t="s">
        <v>22</v>
      </c>
      <c r="I922" s="2" t="s">
        <v>2522</v>
      </c>
      <c r="J922" s="3" t="str">
        <f>HYPERLINK("https://www.boe.es/gazeta/dias/1834/11/11/pdfs/GMD-C-1834-270.pdf#page=1","Abrir facsímil")</f>
        <v>Abrir facsímil</v>
      </c>
      <c r="K922" s="3" t="s">
        <v>24</v>
      </c>
    </row>
    <row r="923" spans="1:11" ht="54" customHeight="1">
      <c r="A923" s="2" t="s">
        <v>2520</v>
      </c>
      <c r="B923" s="2" t="s">
        <v>2520</v>
      </c>
      <c r="C923" s="2" t="s">
        <v>17</v>
      </c>
      <c r="D923" s="2" t="s">
        <v>18</v>
      </c>
      <c r="E923" s="5" t="s">
        <v>642</v>
      </c>
      <c r="F923" s="3" t="s">
        <v>643</v>
      </c>
      <c r="G923" s="3" t="s">
        <v>86</v>
      </c>
      <c r="H923" s="2" t="s">
        <v>22</v>
      </c>
      <c r="I923" s="2" t="s">
        <v>2523</v>
      </c>
      <c r="J923" s="3" t="str">
        <f>HYPERLINK("https://www.boe.es/gazeta/dias/1834/11/12/pdfs/GMD-C-1834-271.pdf#page=2","Abrir facsímil")</f>
        <v>Abrir facsímil</v>
      </c>
      <c r="K923" s="3" t="s">
        <v>24</v>
      </c>
    </row>
    <row r="924" spans="1:11" ht="54" customHeight="1">
      <c r="A924" s="2" t="s">
        <v>2520</v>
      </c>
      <c r="B924" s="2" t="s">
        <v>2520</v>
      </c>
      <c r="C924" s="2" t="s">
        <v>17</v>
      </c>
      <c r="D924" s="2" t="s">
        <v>55</v>
      </c>
      <c r="E924" s="5" t="s">
        <v>642</v>
      </c>
      <c r="F924" s="3" t="s">
        <v>643</v>
      </c>
      <c r="G924" s="3" t="s">
        <v>560</v>
      </c>
      <c r="H924" s="2" t="s">
        <v>22</v>
      </c>
      <c r="I924" s="2" t="s">
        <v>2524</v>
      </c>
      <c r="J924" s="3" t="str">
        <f>HYPERLINK("https://www.boe.es/gazeta/dias/1834/11/12/pdfs/GMD-C-1834-271.pdf#page=7","Abrir facsímil")</f>
        <v>Abrir facsímil</v>
      </c>
      <c r="K924" s="3" t="s">
        <v>24</v>
      </c>
    </row>
    <row r="925" spans="1:11" ht="54" customHeight="1">
      <c r="A925" s="2" t="s">
        <v>2520</v>
      </c>
      <c r="B925" s="2" t="s">
        <v>2520</v>
      </c>
      <c r="C925" s="2" t="s">
        <v>90</v>
      </c>
      <c r="D925" s="2" t="s">
        <v>67</v>
      </c>
      <c r="E925" s="5" t="s">
        <v>408</v>
      </c>
      <c r="F925" s="3" t="s">
        <v>409</v>
      </c>
      <c r="G925" s="3" t="s">
        <v>75</v>
      </c>
      <c r="H925" s="2" t="s">
        <v>22</v>
      </c>
      <c r="I925" s="2" t="s">
        <v>2525</v>
      </c>
      <c r="J925" s="3" t="str">
        <f>HYPERLINK("https://www.boe.es/gazeta/dias/1834/04/28/pdfs/GMD-1834-67.pdf#page=4","Abrir facsímil")</f>
        <v>Abrir facsímil</v>
      </c>
      <c r="K925" s="3" t="s">
        <v>24</v>
      </c>
    </row>
    <row r="926" spans="1:11" ht="54" customHeight="1">
      <c r="A926" s="2" t="s">
        <v>2520</v>
      </c>
      <c r="B926" s="2" t="s">
        <v>2520</v>
      </c>
      <c r="C926" s="2" t="s">
        <v>46</v>
      </c>
      <c r="D926" s="2" t="s">
        <v>101</v>
      </c>
      <c r="E926" s="5" t="s">
        <v>2526</v>
      </c>
      <c r="F926" s="3" t="s">
        <v>2527</v>
      </c>
      <c r="G926" s="3" t="s">
        <v>75</v>
      </c>
      <c r="H926" s="2" t="s">
        <v>22</v>
      </c>
      <c r="I926" s="2" t="s">
        <v>2528</v>
      </c>
      <c r="J926" s="3" t="str">
        <f>HYPERLINK("https://www.boe.es/gazeta/dias/1834/12/29/pdfs/GMD-C-1834-319.pdf#page=4","Abrir facsímil")</f>
        <v>Abrir facsímil</v>
      </c>
      <c r="K926" s="3" t="s">
        <v>24</v>
      </c>
    </row>
    <row r="927" spans="1:11" ht="54" customHeight="1">
      <c r="A927" s="2" t="s">
        <v>2529</v>
      </c>
      <c r="B927" s="2" t="s">
        <v>2530</v>
      </c>
      <c r="C927" s="2" t="s">
        <v>66</v>
      </c>
      <c r="D927" s="2" t="s">
        <v>67</v>
      </c>
      <c r="E927" s="5" t="s">
        <v>571</v>
      </c>
      <c r="F927" s="3" t="s">
        <v>572</v>
      </c>
      <c r="G927" s="3" t="s">
        <v>86</v>
      </c>
      <c r="H927" s="2" t="s">
        <v>22</v>
      </c>
      <c r="I927" s="2" t="s">
        <v>2531</v>
      </c>
      <c r="J927" s="3" t="str">
        <f>HYPERLINK("https://www.boe.es/gazeta/dias/1834/09/04/pdfs/GMD-1834-202.pdf#page=2","Abrir facsímil")</f>
        <v>Abrir facsímil</v>
      </c>
      <c r="K927" s="3" t="s">
        <v>24</v>
      </c>
    </row>
    <row r="928" spans="1:11" ht="54" customHeight="1">
      <c r="A928" s="2" t="s">
        <v>2532</v>
      </c>
      <c r="B928" s="2" t="s">
        <v>2533</v>
      </c>
      <c r="C928" s="2" t="s">
        <v>17</v>
      </c>
      <c r="D928" s="2" t="s">
        <v>18</v>
      </c>
      <c r="E928" s="5" t="s">
        <v>1195</v>
      </c>
      <c r="F928" s="3" t="s">
        <v>1196</v>
      </c>
      <c r="G928" s="3" t="s">
        <v>34</v>
      </c>
      <c r="H928" s="2" t="s">
        <v>22</v>
      </c>
      <c r="I928" s="2" t="s">
        <v>2534</v>
      </c>
      <c r="J928" s="3" t="str">
        <f>HYPERLINK("https://www.boe.es/gazeta/dias/1834/10/17/pdfs/GMD-C-1834-245.pdf#page=1","Abrir facsímil")</f>
        <v>Abrir facsímil</v>
      </c>
      <c r="K928" s="3" t="s">
        <v>24</v>
      </c>
    </row>
    <row r="929" spans="1:11" ht="54" customHeight="1">
      <c r="A929" s="2" t="s">
        <v>2532</v>
      </c>
      <c r="B929" s="2" t="s">
        <v>2533</v>
      </c>
      <c r="C929" s="2" t="s">
        <v>17</v>
      </c>
      <c r="D929" s="2" t="s">
        <v>18</v>
      </c>
      <c r="E929" s="5" t="s">
        <v>777</v>
      </c>
      <c r="F929" s="3" t="s">
        <v>2535</v>
      </c>
      <c r="G929" s="3" t="s">
        <v>86</v>
      </c>
      <c r="H929" s="2" t="s">
        <v>22</v>
      </c>
      <c r="I929" s="2" t="s">
        <v>2536</v>
      </c>
      <c r="J929" s="3" t="str">
        <f>HYPERLINK("https://www.boe.es/gazeta/dias/1834/10/29/pdfs/GMD-C-1834-257.pdf#page=2","Abrir facsímil")</f>
        <v>Abrir facsímil</v>
      </c>
      <c r="K929" s="3" t="s">
        <v>24</v>
      </c>
    </row>
    <row r="930" spans="1:11" ht="54" customHeight="1">
      <c r="A930" s="2" t="s">
        <v>2537</v>
      </c>
      <c r="B930" s="2" t="s">
        <v>2538</v>
      </c>
      <c r="C930" s="2" t="s">
        <v>66</v>
      </c>
      <c r="D930" s="2" t="s">
        <v>67</v>
      </c>
      <c r="E930" s="5" t="s">
        <v>571</v>
      </c>
      <c r="F930" s="3" t="s">
        <v>572</v>
      </c>
      <c r="G930" s="3" t="s">
        <v>86</v>
      </c>
      <c r="H930" s="2" t="s">
        <v>35</v>
      </c>
      <c r="I930" s="2" t="s">
        <v>2539</v>
      </c>
      <c r="J930" s="3" t="str">
        <f>HYPERLINK("https://www.boe.es/gazeta/dias/1834/09/04/pdfs/GMD-1834-202.pdf#page=2","Abrir facsímil")</f>
        <v>Abrir facsímil</v>
      </c>
      <c r="K930" s="3" t="s">
        <v>37</v>
      </c>
    </row>
    <row r="931" spans="1:11" ht="54" customHeight="1">
      <c r="A931" s="2" t="s">
        <v>2540</v>
      </c>
      <c r="B931" s="2" t="s">
        <v>2541</v>
      </c>
      <c r="C931" s="2" t="s">
        <v>17</v>
      </c>
      <c r="D931" s="2" t="s">
        <v>18</v>
      </c>
      <c r="E931" s="5" t="s">
        <v>777</v>
      </c>
      <c r="F931" s="3" t="s">
        <v>2535</v>
      </c>
      <c r="G931" s="3" t="s">
        <v>86</v>
      </c>
      <c r="H931" s="2" t="s">
        <v>35</v>
      </c>
      <c r="I931" s="2" t="s">
        <v>2542</v>
      </c>
      <c r="J931" s="3" t="str">
        <f>HYPERLINK("https://www.boe.es/gazeta/dias/1834/10/29/pdfs/GMD-C-1834-257.pdf#page=2","Abrir facsímil")</f>
        <v>Abrir facsímil</v>
      </c>
      <c r="K931" s="3" t="s">
        <v>37</v>
      </c>
    </row>
    <row r="932" spans="1:11" ht="54" customHeight="1">
      <c r="A932" s="2" t="s">
        <v>2543</v>
      </c>
      <c r="B932" s="2" t="s">
        <v>2544</v>
      </c>
      <c r="C932" s="2" t="s">
        <v>17</v>
      </c>
      <c r="D932" s="2" t="s">
        <v>18</v>
      </c>
      <c r="E932" s="5" t="s">
        <v>510</v>
      </c>
      <c r="F932" s="3" t="s">
        <v>531</v>
      </c>
      <c r="G932" s="3" t="s">
        <v>34</v>
      </c>
      <c r="H932" s="2" t="s">
        <v>35</v>
      </c>
      <c r="I932" s="2" t="s">
        <v>2545</v>
      </c>
      <c r="J932" s="3" t="str">
        <f>HYPERLINK("https://www.boe.es/gazeta/dias/1834/11/26/pdfs/GMD-C-1834-285.pdf#page=1","Abrir facsímil")</f>
        <v>Abrir facsímil</v>
      </c>
      <c r="K932" s="3" t="s">
        <v>37</v>
      </c>
    </row>
    <row r="933" spans="1:11" ht="54" customHeight="1">
      <c r="A933" s="2" t="s">
        <v>2543</v>
      </c>
      <c r="B933" s="2" t="s">
        <v>2544</v>
      </c>
      <c r="C933" s="2" t="s">
        <v>17</v>
      </c>
      <c r="D933" s="2" t="s">
        <v>40</v>
      </c>
      <c r="E933" s="5" t="s">
        <v>408</v>
      </c>
      <c r="F933" s="3" t="s">
        <v>409</v>
      </c>
      <c r="G933" s="3" t="s">
        <v>75</v>
      </c>
      <c r="H933" s="2" t="s">
        <v>35</v>
      </c>
      <c r="I933" s="2" t="s">
        <v>2546</v>
      </c>
      <c r="J933" s="3" t="str">
        <f>HYPERLINK("https://www.boe.es/gazeta/dias/1834/04/28/pdfs/GMD-1834-67.pdf#page=4","Abrir facsímil")</f>
        <v>Abrir facsímil</v>
      </c>
      <c r="K933" s="3" t="s">
        <v>37</v>
      </c>
    </row>
    <row r="934" spans="1:11" ht="54" customHeight="1">
      <c r="A934" s="2" t="s">
        <v>2547</v>
      </c>
      <c r="B934" s="2" t="s">
        <v>2548</v>
      </c>
      <c r="C934" s="2" t="s">
        <v>66</v>
      </c>
      <c r="D934" s="2" t="s">
        <v>67</v>
      </c>
      <c r="E934" s="5" t="s">
        <v>133</v>
      </c>
      <c r="F934" s="3" t="s">
        <v>134</v>
      </c>
      <c r="G934" s="3" t="s">
        <v>34</v>
      </c>
      <c r="H934" s="2" t="s">
        <v>22</v>
      </c>
      <c r="I934" s="2" t="s">
        <v>2549</v>
      </c>
      <c r="J934" s="3" t="str">
        <f>HYPERLINK("https://www.boe.es/gazeta/dias/1834/06/18/pdfs/GMD-1834-121.pdf#page=1","Abrir facsímil")</f>
        <v>Abrir facsímil</v>
      </c>
      <c r="K934" s="3" t="s">
        <v>24</v>
      </c>
    </row>
    <row r="935" spans="1:11" ht="54" customHeight="1">
      <c r="A935" s="2" t="s">
        <v>2547</v>
      </c>
      <c r="B935" s="2" t="s">
        <v>2548</v>
      </c>
      <c r="C935" s="2" t="s">
        <v>17</v>
      </c>
      <c r="D935" s="2" t="s">
        <v>18</v>
      </c>
      <c r="E935" s="5" t="s">
        <v>510</v>
      </c>
      <c r="F935" s="3" t="s">
        <v>531</v>
      </c>
      <c r="G935" s="3" t="s">
        <v>34</v>
      </c>
      <c r="H935" s="2" t="s">
        <v>22</v>
      </c>
      <c r="I935" s="2" t="s">
        <v>2550</v>
      </c>
      <c r="J935" s="3" t="str">
        <f>HYPERLINK("https://www.boe.es/gazeta/dias/1834/11/26/pdfs/GMD-C-1834-285.pdf#page=1","Abrir facsímil")</f>
        <v>Abrir facsímil</v>
      </c>
      <c r="K935" s="3" t="s">
        <v>24</v>
      </c>
    </row>
    <row r="936" spans="1:11" ht="54" customHeight="1">
      <c r="A936" s="2" t="s">
        <v>2547</v>
      </c>
      <c r="B936" s="2" t="s">
        <v>2548</v>
      </c>
      <c r="C936" s="2" t="s">
        <v>17</v>
      </c>
      <c r="D936" s="2" t="s">
        <v>40</v>
      </c>
      <c r="E936" s="5" t="s">
        <v>408</v>
      </c>
      <c r="F936" s="3" t="s">
        <v>409</v>
      </c>
      <c r="G936" s="3" t="s">
        <v>75</v>
      </c>
      <c r="H936" s="2" t="s">
        <v>22</v>
      </c>
      <c r="I936" s="2" t="s">
        <v>2551</v>
      </c>
      <c r="J936" s="3" t="str">
        <f>HYPERLINK("https://www.boe.es/gazeta/dias/1834/04/28/pdfs/GMD-1834-67.pdf#page=4","Abrir facsímil")</f>
        <v>Abrir facsímil</v>
      </c>
      <c r="K936" s="3" t="s">
        <v>24</v>
      </c>
    </row>
    <row r="937" spans="1:11" ht="54" customHeight="1">
      <c r="A937" s="2" t="s">
        <v>2552</v>
      </c>
      <c r="B937" s="2" t="s">
        <v>2553</v>
      </c>
      <c r="C937" s="2" t="s">
        <v>17</v>
      </c>
      <c r="D937" s="2" t="s">
        <v>18</v>
      </c>
      <c r="E937" s="5" t="s">
        <v>1572</v>
      </c>
      <c r="F937" s="3" t="s">
        <v>1573</v>
      </c>
      <c r="G937" s="3" t="s">
        <v>75</v>
      </c>
      <c r="H937" s="2" t="s">
        <v>22</v>
      </c>
      <c r="I937" s="2" t="s">
        <v>2554</v>
      </c>
      <c r="J937" s="3" t="str">
        <f>HYPERLINK("https://www.boe.es/gazeta/dias/1834/03/20/pdfs/GMD-1834-35.pdf#page=4","Abrir facsímil")</f>
        <v>Abrir facsímil</v>
      </c>
      <c r="K937" s="3" t="s">
        <v>24</v>
      </c>
    </row>
    <row r="938" spans="1:11" ht="54" customHeight="1">
      <c r="A938" s="2" t="s">
        <v>2555</v>
      </c>
      <c r="B938" s="2" t="s">
        <v>2555</v>
      </c>
      <c r="C938" s="2" t="s">
        <v>66</v>
      </c>
      <c r="D938" s="2" t="s">
        <v>101</v>
      </c>
      <c r="E938" s="5" t="s">
        <v>1212</v>
      </c>
      <c r="F938" s="3" t="s">
        <v>1213</v>
      </c>
      <c r="G938" s="3" t="s">
        <v>34</v>
      </c>
      <c r="H938" s="2" t="s">
        <v>22</v>
      </c>
      <c r="I938" s="2" t="s">
        <v>2556</v>
      </c>
      <c r="J938" s="3" t="str">
        <f>HYPERLINK("https://www.boe.es/gazeta/dias/1834/05/24/pdfs/GMD-1834-93.pdf#page=1","Abrir facsímil")</f>
        <v>Abrir facsímil</v>
      </c>
      <c r="K938" s="3" t="s">
        <v>24</v>
      </c>
    </row>
    <row r="939" spans="1:11" ht="54" customHeight="1">
      <c r="A939" s="2" t="s">
        <v>2557</v>
      </c>
      <c r="B939" s="2" t="s">
        <v>2558</v>
      </c>
      <c r="C939" s="2" t="s">
        <v>90</v>
      </c>
      <c r="D939" s="2" t="s">
        <v>101</v>
      </c>
      <c r="E939" s="5" t="s">
        <v>19</v>
      </c>
      <c r="F939" s="3" t="s">
        <v>20</v>
      </c>
      <c r="G939" s="3" t="s">
        <v>21</v>
      </c>
      <c r="H939" s="2" t="s">
        <v>22</v>
      </c>
      <c r="I939" s="2" t="s">
        <v>2559</v>
      </c>
      <c r="J939" s="3" t="str">
        <f>HYPERLINK("https://www.boe.es/gazeta/dias/1834/08/17/pdfs/GMD-D-1834-182.pdf#page=3","Abrir facsímil")</f>
        <v>Abrir facsímil</v>
      </c>
      <c r="K939" s="3" t="s">
        <v>24</v>
      </c>
    </row>
    <row r="940" spans="1:11" ht="54" customHeight="1">
      <c r="A940" s="2" t="s">
        <v>2560</v>
      </c>
      <c r="B940" s="2" t="s">
        <v>2560</v>
      </c>
      <c r="C940" s="2" t="s">
        <v>46</v>
      </c>
      <c r="D940" s="2" t="s">
        <v>101</v>
      </c>
      <c r="E940" s="5" t="s">
        <v>389</v>
      </c>
      <c r="F940" s="3" t="s">
        <v>390</v>
      </c>
      <c r="G940" s="3" t="s">
        <v>75</v>
      </c>
      <c r="H940" s="2" t="s">
        <v>22</v>
      </c>
      <c r="I940" s="2" t="s">
        <v>2561</v>
      </c>
      <c r="J940" s="3" t="str">
        <f>HYPERLINK("https://www.boe.es/gazeta/dias/1834/10/25/pdfs/GMD-1834-253.pdf#page=4","Abrir facsímil")</f>
        <v>Abrir facsímil</v>
      </c>
      <c r="K940" s="3" t="s">
        <v>24</v>
      </c>
    </row>
    <row r="941" spans="1:11" ht="54" customHeight="1">
      <c r="A941" s="2" t="s">
        <v>2562</v>
      </c>
      <c r="B941" s="2" t="s">
        <v>2563</v>
      </c>
      <c r="C941" s="2" t="s">
        <v>66</v>
      </c>
      <c r="D941" s="2" t="s">
        <v>67</v>
      </c>
      <c r="E941" s="5" t="s">
        <v>389</v>
      </c>
      <c r="F941" s="3" t="s">
        <v>390</v>
      </c>
      <c r="G941" s="3" t="s">
        <v>75</v>
      </c>
      <c r="H941" s="2" t="s">
        <v>35</v>
      </c>
      <c r="I941" s="2" t="s">
        <v>2564</v>
      </c>
      <c r="J941" s="3" t="str">
        <f>HYPERLINK("https://www.boe.es/gazeta/dias/1834/10/25/pdfs/GMD-1834-253.pdf#page=4","Abrir facsímil")</f>
        <v>Abrir facsímil</v>
      </c>
      <c r="K941" s="3" t="s">
        <v>37</v>
      </c>
    </row>
    <row r="942" spans="1:11" ht="54" customHeight="1">
      <c r="A942" s="2" t="s">
        <v>2565</v>
      </c>
      <c r="B942" s="2" t="s">
        <v>2566</v>
      </c>
      <c r="C942" s="2" t="s">
        <v>66</v>
      </c>
      <c r="D942" s="2" t="s">
        <v>67</v>
      </c>
      <c r="E942" s="5" t="s">
        <v>389</v>
      </c>
      <c r="F942" s="3" t="s">
        <v>390</v>
      </c>
      <c r="G942" s="3" t="s">
        <v>75</v>
      </c>
      <c r="H942" s="2" t="s">
        <v>22</v>
      </c>
      <c r="I942" s="2" t="s">
        <v>2567</v>
      </c>
      <c r="J942" s="3" t="str">
        <f>HYPERLINK("https://www.boe.es/gazeta/dias/1834/10/25/pdfs/GMD-1834-253.pdf#page=4","Abrir facsímil")</f>
        <v>Abrir facsímil</v>
      </c>
      <c r="K942" s="3" t="s">
        <v>24</v>
      </c>
    </row>
    <row r="943" spans="1:11" ht="54" customHeight="1">
      <c r="A943" s="2" t="s">
        <v>2568</v>
      </c>
      <c r="B943" s="2" t="s">
        <v>2569</v>
      </c>
      <c r="C943" s="2" t="s">
        <v>17</v>
      </c>
      <c r="D943" s="2" t="s">
        <v>18</v>
      </c>
      <c r="E943" s="5" t="s">
        <v>19</v>
      </c>
      <c r="F943" s="3" t="s">
        <v>107</v>
      </c>
      <c r="G943" s="3" t="s">
        <v>75</v>
      </c>
      <c r="H943" s="2" t="s">
        <v>22</v>
      </c>
      <c r="I943" s="2" t="s">
        <v>2570</v>
      </c>
      <c r="J943" s="3" t="str">
        <f>HYPERLINK("https://www.boe.es/gazeta/dias/1834/08/17/pdfs/GMD-1834-182.pdf#page=4","Abrir facsímil")</f>
        <v>Abrir facsímil</v>
      </c>
      <c r="K943" s="3" t="s">
        <v>24</v>
      </c>
    </row>
    <row r="944" spans="1:11" ht="54" customHeight="1">
      <c r="A944" s="2" t="s">
        <v>2571</v>
      </c>
      <c r="B944" s="2" t="s">
        <v>2572</v>
      </c>
      <c r="C944" s="2" t="s">
        <v>17</v>
      </c>
      <c r="D944" s="2" t="s">
        <v>18</v>
      </c>
      <c r="E944" s="5" t="s">
        <v>19</v>
      </c>
      <c r="F944" s="3" t="s">
        <v>107</v>
      </c>
      <c r="G944" s="3" t="s">
        <v>75</v>
      </c>
      <c r="H944" s="2" t="s">
        <v>22</v>
      </c>
      <c r="I944" s="2" t="s">
        <v>2573</v>
      </c>
      <c r="J944" s="3" t="str">
        <f>HYPERLINK("https://www.boe.es/gazeta/dias/1834/08/17/pdfs/GMD-1834-182.pdf#page=4","Abrir facsímil")</f>
        <v>Abrir facsímil</v>
      </c>
      <c r="K944" s="3" t="s">
        <v>24</v>
      </c>
    </row>
    <row r="945" spans="1:11" ht="54" customHeight="1">
      <c r="A945" s="2" t="s">
        <v>2574</v>
      </c>
      <c r="B945" s="2" t="s">
        <v>2575</v>
      </c>
      <c r="C945" s="2" t="s">
        <v>17</v>
      </c>
      <c r="D945" s="2" t="s">
        <v>18</v>
      </c>
      <c r="E945" s="5" t="s">
        <v>1517</v>
      </c>
      <c r="F945" s="3" t="s">
        <v>1518</v>
      </c>
      <c r="G945" s="3" t="s">
        <v>75</v>
      </c>
      <c r="H945" s="2" t="s">
        <v>22</v>
      </c>
      <c r="I945" s="2" t="s">
        <v>2576</v>
      </c>
      <c r="J945" s="3" t="str">
        <f>HYPERLINK("https://www.boe.es/gazeta/dias/1834/05/18/pdfs/GMD-1834-87.pdf#page=4","Abrir facsímil")</f>
        <v>Abrir facsímil</v>
      </c>
      <c r="K945" s="3" t="s">
        <v>24</v>
      </c>
    </row>
    <row r="946" spans="1:11" ht="54" customHeight="1">
      <c r="A946" s="2" t="s">
        <v>2577</v>
      </c>
      <c r="B946" s="2" t="s">
        <v>2578</v>
      </c>
      <c r="C946" s="2" t="s">
        <v>122</v>
      </c>
      <c r="D946" s="2" t="s">
        <v>18</v>
      </c>
      <c r="E946" s="5" t="s">
        <v>696</v>
      </c>
      <c r="F946" s="3" t="s">
        <v>854</v>
      </c>
      <c r="G946" s="3" t="s">
        <v>86</v>
      </c>
      <c r="H946" s="2" t="s">
        <v>22</v>
      </c>
      <c r="I946" s="2" t="s">
        <v>2579</v>
      </c>
      <c r="J946" s="3" t="str">
        <f>HYPERLINK("https://www.boe.es/gazeta/dias/1834/12/06/pdfs/GMD-1834-295.pdf#page=2","Abrir facsímil")</f>
        <v>Abrir facsímil</v>
      </c>
      <c r="K946" s="3" t="s">
        <v>24</v>
      </c>
    </row>
    <row r="947" spans="1:11" ht="54" customHeight="1">
      <c r="A947" s="2" t="s">
        <v>2580</v>
      </c>
      <c r="B947" s="2" t="s">
        <v>2581</v>
      </c>
      <c r="C947" s="2" t="s">
        <v>17</v>
      </c>
      <c r="D947" s="2" t="s">
        <v>18</v>
      </c>
      <c r="E947" s="5" t="s">
        <v>1226</v>
      </c>
      <c r="F947" s="3" t="s">
        <v>1227</v>
      </c>
      <c r="G947" s="3" t="s">
        <v>21</v>
      </c>
      <c r="H947" s="2" t="s">
        <v>22</v>
      </c>
      <c r="I947" s="2" t="s">
        <v>2582</v>
      </c>
      <c r="J947" s="3" t="str">
        <f>HYPERLINK("https://www.boe.es/gazeta/dias/1834/07/14/pdfs/GMD-1834-147.pdf#page=3","Abrir facsímil")</f>
        <v>Abrir facsímil</v>
      </c>
      <c r="K947" s="3" t="s">
        <v>24</v>
      </c>
    </row>
    <row r="948" spans="1:11" ht="54" customHeight="1">
      <c r="A948" s="2" t="s">
        <v>2583</v>
      </c>
      <c r="B948" s="2" t="s">
        <v>2584</v>
      </c>
      <c r="C948" s="2" t="s">
        <v>66</v>
      </c>
      <c r="D948" s="2" t="s">
        <v>18</v>
      </c>
      <c r="E948" s="5" t="s">
        <v>808</v>
      </c>
      <c r="F948" s="3" t="s">
        <v>809</v>
      </c>
      <c r="G948" s="3" t="s">
        <v>21</v>
      </c>
      <c r="H948" s="2" t="s">
        <v>35</v>
      </c>
      <c r="I948" s="2" t="s">
        <v>2585</v>
      </c>
      <c r="J948" s="3" t="str">
        <f>HYPERLINK("https://www.boe.es/gazeta/dias/1834/10/11/pdfs/GMD-1834-239.pdf#page=3","Abrir facsímil")</f>
        <v>Abrir facsímil</v>
      </c>
      <c r="K948" s="3" t="s">
        <v>37</v>
      </c>
    </row>
    <row r="949" spans="1:11" ht="54" customHeight="1">
      <c r="A949" s="2" t="s">
        <v>2586</v>
      </c>
      <c r="B949" s="2" t="s">
        <v>2587</v>
      </c>
      <c r="C949" s="2" t="s">
        <v>66</v>
      </c>
      <c r="D949" s="2" t="s">
        <v>18</v>
      </c>
      <c r="E949" s="5" t="s">
        <v>808</v>
      </c>
      <c r="F949" s="3" t="s">
        <v>809</v>
      </c>
      <c r="G949" s="3" t="s">
        <v>21</v>
      </c>
      <c r="H949" s="2" t="s">
        <v>22</v>
      </c>
      <c r="I949" s="2" t="s">
        <v>2588</v>
      </c>
      <c r="J949" s="3" t="str">
        <f>HYPERLINK("https://www.boe.es/gazeta/dias/1834/10/11/pdfs/GMD-1834-239.pdf#page=3","Abrir facsímil")</f>
        <v>Abrir facsímil</v>
      </c>
      <c r="K949" s="3" t="s">
        <v>24</v>
      </c>
    </row>
    <row r="950" spans="1:11" ht="54" customHeight="1">
      <c r="A950" s="2" t="s">
        <v>2589</v>
      </c>
      <c r="B950" s="2" t="s">
        <v>2590</v>
      </c>
      <c r="C950" s="2" t="s">
        <v>122</v>
      </c>
      <c r="D950" s="2" t="s">
        <v>18</v>
      </c>
      <c r="E950" s="5" t="s">
        <v>2153</v>
      </c>
      <c r="F950" s="3" t="s">
        <v>2154</v>
      </c>
      <c r="G950" s="3" t="s">
        <v>21</v>
      </c>
      <c r="H950" s="2" t="s">
        <v>22</v>
      </c>
      <c r="I950" s="2" t="s">
        <v>2591</v>
      </c>
      <c r="J950" s="3" t="str">
        <f>HYPERLINK("https://www.boe.es/gazeta/dias/1834/01/23/pdfs/GMD-1834-11.pdf#page=3","Abrir facsímil")</f>
        <v>Abrir facsímil</v>
      </c>
      <c r="K950" s="3" t="s">
        <v>24</v>
      </c>
    </row>
    <row r="951" spans="1:11" ht="54" customHeight="1">
      <c r="A951" s="2" t="s">
        <v>2592</v>
      </c>
      <c r="B951" s="2" t="s">
        <v>2592</v>
      </c>
      <c r="C951" s="2" t="s">
        <v>46</v>
      </c>
      <c r="D951" s="2" t="s">
        <v>101</v>
      </c>
      <c r="E951" s="5" t="s">
        <v>355</v>
      </c>
      <c r="F951" s="3" t="s">
        <v>356</v>
      </c>
      <c r="G951" s="3" t="s">
        <v>86</v>
      </c>
      <c r="H951" s="2" t="s">
        <v>22</v>
      </c>
      <c r="I951" s="2" t="s">
        <v>2593</v>
      </c>
      <c r="J951" s="3" t="str">
        <f>HYPERLINK("https://www.boe.es/gazeta/dias/1834/07/04/pdfs/GMD-1834-137.pdf#page=2","Abrir facsímil")</f>
        <v>Abrir facsímil</v>
      </c>
      <c r="K951" s="3" t="s">
        <v>24</v>
      </c>
    </row>
    <row r="952" spans="1:11" ht="54" customHeight="1">
      <c r="A952" s="2" t="s">
        <v>2594</v>
      </c>
      <c r="B952" s="2" t="s">
        <v>2595</v>
      </c>
      <c r="C952" s="2" t="s">
        <v>17</v>
      </c>
      <c r="D952" s="2" t="s">
        <v>18</v>
      </c>
      <c r="E952" s="5" t="s">
        <v>2596</v>
      </c>
      <c r="F952" s="3" t="s">
        <v>2597</v>
      </c>
      <c r="G952" s="3" t="s">
        <v>86</v>
      </c>
      <c r="H952" s="2" t="s">
        <v>22</v>
      </c>
      <c r="I952" s="2" t="s">
        <v>2598</v>
      </c>
      <c r="J952" s="3" t="str">
        <f>HYPERLINK("https://www.boe.es/gazeta/dias/1834/10/22/pdfs/GMD-1834-250.pdf#page=2","Abrir facsímil")</f>
        <v>Abrir facsímil</v>
      </c>
      <c r="K952" s="3" t="s">
        <v>24</v>
      </c>
    </row>
    <row r="953" spans="1:11" ht="54" customHeight="1">
      <c r="A953" s="2" t="s">
        <v>2599</v>
      </c>
      <c r="B953" s="2" t="s">
        <v>2599</v>
      </c>
      <c r="C953" s="2" t="s">
        <v>17</v>
      </c>
      <c r="D953" s="2" t="s">
        <v>18</v>
      </c>
      <c r="E953" s="5" t="s">
        <v>454</v>
      </c>
      <c r="F953" s="3" t="s">
        <v>455</v>
      </c>
      <c r="G953" s="3" t="s">
        <v>86</v>
      </c>
      <c r="H953" s="2" t="s">
        <v>22</v>
      </c>
      <c r="I953" s="2" t="s">
        <v>2600</v>
      </c>
      <c r="J953" s="3" t="str">
        <f>HYPERLINK("https://www.boe.es/gazeta/dias/1834/10/16/pdfs/GMD-C-1834-244.pdf#page=2","Abrir facsímil")</f>
        <v>Abrir facsímil</v>
      </c>
      <c r="K953" s="3" t="s">
        <v>24</v>
      </c>
    </row>
    <row r="954" spans="1:11" ht="54" customHeight="1">
      <c r="A954" s="2" t="s">
        <v>2601</v>
      </c>
      <c r="B954" s="2" t="s">
        <v>2601</v>
      </c>
      <c r="C954" s="2" t="s">
        <v>17</v>
      </c>
      <c r="D954" s="2" t="s">
        <v>18</v>
      </c>
      <c r="E954" s="5" t="s">
        <v>2526</v>
      </c>
      <c r="F954" s="3" t="s">
        <v>2527</v>
      </c>
      <c r="G954" s="3" t="s">
        <v>21</v>
      </c>
      <c r="H954" s="2" t="s">
        <v>22</v>
      </c>
      <c r="I954" s="2" t="s">
        <v>2602</v>
      </c>
      <c r="J954" s="3" t="str">
        <f>HYPERLINK("https://www.boe.es/gazeta/dias/1834/12/29/pdfs/GMD-C-1834-319.pdf#page=3","Abrir facsímil")</f>
        <v>Abrir facsímil</v>
      </c>
      <c r="K954" s="3" t="s">
        <v>24</v>
      </c>
    </row>
    <row r="955" spans="1:11" ht="54" customHeight="1">
      <c r="A955" s="2" t="s">
        <v>2603</v>
      </c>
      <c r="B955" s="2" t="s">
        <v>2603</v>
      </c>
      <c r="C955" s="2" t="s">
        <v>17</v>
      </c>
      <c r="D955" s="2" t="s">
        <v>55</v>
      </c>
      <c r="E955" s="5" t="s">
        <v>200</v>
      </c>
      <c r="F955" s="3" t="s">
        <v>201</v>
      </c>
      <c r="G955" s="3" t="s">
        <v>75</v>
      </c>
      <c r="H955" s="2" t="s">
        <v>22</v>
      </c>
      <c r="I955" s="2" t="s">
        <v>2604</v>
      </c>
      <c r="J955" s="3" t="str">
        <f>HYPERLINK("https://www.boe.es/gazeta/dias/1834/12/11/pdfs/GMD-1834-300.pdf#page=4","Abrir facsímil")</f>
        <v>Abrir facsímil</v>
      </c>
      <c r="K955" s="3" t="s">
        <v>24</v>
      </c>
    </row>
    <row r="956" spans="1:11" ht="54" customHeight="1">
      <c r="A956" s="2" t="s">
        <v>2605</v>
      </c>
      <c r="B956" s="2" t="s">
        <v>2606</v>
      </c>
      <c r="C956" s="2" t="s">
        <v>17</v>
      </c>
      <c r="D956" s="2" t="s">
        <v>55</v>
      </c>
      <c r="E956" s="5" t="s">
        <v>1226</v>
      </c>
      <c r="F956" s="3" t="s">
        <v>1227</v>
      </c>
      <c r="G956" s="3" t="s">
        <v>34</v>
      </c>
      <c r="H956" s="2" t="s">
        <v>22</v>
      </c>
      <c r="I956" s="2" t="s">
        <v>2607</v>
      </c>
      <c r="J956" s="3" t="str">
        <f>HYPERLINK("https://www.boe.es/gazeta/dias/1834/07/14/pdfs/GMD-1834-147.pdf#page=1","Abrir facsímil")</f>
        <v>Abrir facsímil</v>
      </c>
      <c r="K956" s="3" t="s">
        <v>24</v>
      </c>
    </row>
    <row r="957" spans="1:11" ht="54" customHeight="1">
      <c r="A957" s="2" t="s">
        <v>2608</v>
      </c>
      <c r="B957" s="2" t="s">
        <v>2609</v>
      </c>
      <c r="C957" s="2" t="s">
        <v>17</v>
      </c>
      <c r="D957" s="2" t="s">
        <v>18</v>
      </c>
      <c r="E957" s="5" t="s">
        <v>1017</v>
      </c>
      <c r="F957" s="3" t="s">
        <v>1018</v>
      </c>
      <c r="G957" s="3" t="s">
        <v>75</v>
      </c>
      <c r="H957" s="2" t="s">
        <v>22</v>
      </c>
      <c r="I957" s="2" t="s">
        <v>2610</v>
      </c>
      <c r="J957" s="3" t="str">
        <f>HYPERLINK("https://www.boe.es/gazeta/dias/1834/07/24/pdfs/GMD-1834-157.pdf#page=4","Abrir facsímil")</f>
        <v>Abrir facsímil</v>
      </c>
      <c r="K957" s="3" t="s">
        <v>24</v>
      </c>
    </row>
    <row r="958" spans="1:11" ht="54" customHeight="1">
      <c r="A958" s="2" t="s">
        <v>2611</v>
      </c>
      <c r="B958" s="2" t="s">
        <v>2611</v>
      </c>
      <c r="C958" s="2" t="s">
        <v>17</v>
      </c>
      <c r="D958" s="2" t="s">
        <v>40</v>
      </c>
      <c r="E958" s="5" t="s">
        <v>454</v>
      </c>
      <c r="F958" s="3" t="s">
        <v>455</v>
      </c>
      <c r="G958" s="3" t="s">
        <v>34</v>
      </c>
      <c r="H958" s="2" t="s">
        <v>22</v>
      </c>
      <c r="I958" s="2" t="s">
        <v>2612</v>
      </c>
      <c r="J958" s="3" t="str">
        <f>HYPERLINK("https://www.boe.es/gazeta/dias/1834/10/16/pdfs/GMD-C-1834-244.pdf#page=1","Abrir facsímil")</f>
        <v>Abrir facsímil</v>
      </c>
      <c r="K958" s="3" t="s">
        <v>24</v>
      </c>
    </row>
    <row r="959" spans="1:11" ht="54" customHeight="1">
      <c r="A959" s="2" t="s">
        <v>2613</v>
      </c>
      <c r="B959" s="2" t="s">
        <v>2613</v>
      </c>
      <c r="C959" s="2" t="s">
        <v>46</v>
      </c>
      <c r="D959" s="2" t="s">
        <v>18</v>
      </c>
      <c r="E959" s="5" t="s">
        <v>73</v>
      </c>
      <c r="F959" s="3" t="s">
        <v>1416</v>
      </c>
      <c r="G959" s="3" t="s">
        <v>21</v>
      </c>
      <c r="H959" s="2" t="s">
        <v>22</v>
      </c>
      <c r="I959" s="2" t="s">
        <v>2614</v>
      </c>
      <c r="J959" s="3" t="str">
        <f>HYPERLINK("https://www.boe.es/gazeta/dias/1834/11/04/pdfs/GMD-C-1834-263.pdf#page=3","Abrir facsímil")</f>
        <v>Abrir facsímil</v>
      </c>
      <c r="K959" s="3" t="s">
        <v>24</v>
      </c>
    </row>
    <row r="960" spans="1:11" ht="54" customHeight="1">
      <c r="A960" s="2" t="s">
        <v>2615</v>
      </c>
      <c r="B960" s="2" t="s">
        <v>2615</v>
      </c>
      <c r="C960" s="2" t="s">
        <v>17</v>
      </c>
      <c r="D960" s="2" t="s">
        <v>18</v>
      </c>
      <c r="E960" s="5" t="s">
        <v>1008</v>
      </c>
      <c r="F960" s="3" t="s">
        <v>1009</v>
      </c>
      <c r="G960" s="3" t="s">
        <v>75</v>
      </c>
      <c r="H960" s="2" t="s">
        <v>22</v>
      </c>
      <c r="I960" s="2" t="s">
        <v>2616</v>
      </c>
      <c r="J960" s="3" t="str">
        <f>HYPERLINK("https://www.boe.es/gazeta/dias/1834/11/08/pdfs/GMD-C-1834-267.pdf#page=4","Abrir facsímil")</f>
        <v>Abrir facsímil</v>
      </c>
      <c r="K960" s="3" t="s">
        <v>24</v>
      </c>
    </row>
    <row r="961" spans="1:11" ht="54" customHeight="1">
      <c r="A961" s="2" t="s">
        <v>2617</v>
      </c>
      <c r="B961" s="2" t="s">
        <v>2617</v>
      </c>
      <c r="C961" s="2" t="s">
        <v>90</v>
      </c>
      <c r="D961" s="2" t="s">
        <v>18</v>
      </c>
      <c r="E961" s="5" t="s">
        <v>610</v>
      </c>
      <c r="F961" s="3" t="s">
        <v>611</v>
      </c>
      <c r="G961" s="3" t="s">
        <v>176</v>
      </c>
      <c r="H961" s="2" t="s">
        <v>22</v>
      </c>
      <c r="I961" s="2" t="s">
        <v>2618</v>
      </c>
      <c r="J961" s="3" t="str">
        <f>HYPERLINK("https://www.boe.es/gazeta/dias/1834/12/21/pdfs/GMD-C-1834-311.pdf#page=6","Abrir facsímil")</f>
        <v>Abrir facsímil</v>
      </c>
      <c r="K961" s="3" t="s">
        <v>24</v>
      </c>
    </row>
    <row r="962" spans="1:11" ht="54" customHeight="1">
      <c r="A962" s="2" t="s">
        <v>2619</v>
      </c>
      <c r="B962" s="2" t="s">
        <v>2619</v>
      </c>
      <c r="C962" s="2" t="s">
        <v>17</v>
      </c>
      <c r="D962" s="2" t="s">
        <v>18</v>
      </c>
      <c r="E962" s="5" t="s">
        <v>454</v>
      </c>
      <c r="F962" s="3" t="s">
        <v>455</v>
      </c>
      <c r="G962" s="3" t="s">
        <v>34</v>
      </c>
      <c r="H962" s="2" t="s">
        <v>22</v>
      </c>
      <c r="I962" s="2" t="s">
        <v>2620</v>
      </c>
      <c r="J962" s="3" t="str">
        <f>HYPERLINK("https://www.boe.es/gazeta/dias/1834/10/16/pdfs/GMD-C-1834-244.pdf#page=1","Abrir facsímil")</f>
        <v>Abrir facsímil</v>
      </c>
      <c r="K962" s="3" t="s">
        <v>24</v>
      </c>
    </row>
    <row r="963" spans="1:11" ht="54" customHeight="1">
      <c r="A963" s="2" t="s">
        <v>2621</v>
      </c>
      <c r="B963" s="2" t="s">
        <v>2621</v>
      </c>
      <c r="C963" s="2" t="s">
        <v>17</v>
      </c>
      <c r="D963" s="2" t="s">
        <v>18</v>
      </c>
      <c r="E963" s="5" t="s">
        <v>454</v>
      </c>
      <c r="F963" s="3" t="s">
        <v>455</v>
      </c>
      <c r="G963" s="3" t="s">
        <v>86</v>
      </c>
      <c r="H963" s="2" t="s">
        <v>22</v>
      </c>
      <c r="I963" s="2" t="s">
        <v>2622</v>
      </c>
      <c r="J963" s="3" t="str">
        <f>HYPERLINK("https://www.boe.es/gazeta/dias/1834/10/16/pdfs/GMD-C-1834-244.pdf#page=2","Abrir facsímil")</f>
        <v>Abrir facsímil</v>
      </c>
      <c r="K963" s="3" t="s">
        <v>24</v>
      </c>
    </row>
    <row r="964" spans="1:11" ht="54" customHeight="1">
      <c r="A964" s="2" t="s">
        <v>2621</v>
      </c>
      <c r="B964" s="2" t="s">
        <v>2621</v>
      </c>
      <c r="C964" s="2" t="s">
        <v>46</v>
      </c>
      <c r="D964" s="2" t="s">
        <v>101</v>
      </c>
      <c r="E964" s="5" t="s">
        <v>647</v>
      </c>
      <c r="F964" s="3" t="s">
        <v>648</v>
      </c>
      <c r="G964" s="3" t="s">
        <v>21</v>
      </c>
      <c r="H964" s="2" t="s">
        <v>22</v>
      </c>
      <c r="I964" s="2" t="s">
        <v>2623</v>
      </c>
      <c r="J964" s="3" t="str">
        <f>HYPERLINK("https://www.boe.es/gazeta/dias/1834/10/21/pdfs/GMD-C-1834-249.pdf#page=3","Abrir facsímil")</f>
        <v>Abrir facsímil</v>
      </c>
      <c r="K964" s="3" t="s">
        <v>24</v>
      </c>
    </row>
    <row r="965" spans="1:11" ht="54" customHeight="1">
      <c r="A965" s="2" t="s">
        <v>2621</v>
      </c>
      <c r="B965" s="2" t="s">
        <v>2621</v>
      </c>
      <c r="C965" s="2" t="s">
        <v>17</v>
      </c>
      <c r="D965" s="2" t="s">
        <v>55</v>
      </c>
      <c r="E965" s="5" t="s">
        <v>153</v>
      </c>
      <c r="F965" s="3" t="s">
        <v>154</v>
      </c>
      <c r="G965" s="3" t="s">
        <v>176</v>
      </c>
      <c r="H965" s="2" t="s">
        <v>22</v>
      </c>
      <c r="I965" s="2" t="s">
        <v>2624</v>
      </c>
      <c r="J965" s="3" t="str">
        <f>HYPERLINK("https://www.boe.es/gazeta/dias/1834/12/30/pdfs/GMD-C-1834-320.pdf#page=6","Abrir facsímil")</f>
        <v>Abrir facsímil</v>
      </c>
      <c r="K965" s="3" t="s">
        <v>24</v>
      </c>
    </row>
    <row r="966" spans="1:11" ht="54" customHeight="1">
      <c r="A966" s="2" t="s">
        <v>2625</v>
      </c>
      <c r="B966" s="2" t="s">
        <v>2626</v>
      </c>
      <c r="C966" s="2" t="s">
        <v>46</v>
      </c>
      <c r="D966" s="2" t="s">
        <v>55</v>
      </c>
      <c r="E966" s="5" t="s">
        <v>454</v>
      </c>
      <c r="F966" s="3" t="s">
        <v>455</v>
      </c>
      <c r="G966" s="3" t="s">
        <v>34</v>
      </c>
      <c r="H966" s="2" t="s">
        <v>22</v>
      </c>
      <c r="I966" s="2" t="s">
        <v>2627</v>
      </c>
      <c r="J966" s="3" t="str">
        <f>HYPERLINK("https://www.boe.es/gazeta/dias/1834/10/16/pdfs/GMD-C-1834-244.pdf#page=1","Abrir facsímil")</f>
        <v>Abrir facsímil</v>
      </c>
      <c r="K966" s="3" t="s">
        <v>24</v>
      </c>
    </row>
    <row r="967" spans="1:11" ht="54" customHeight="1">
      <c r="A967" s="2" t="s">
        <v>2625</v>
      </c>
      <c r="B967" s="2" t="s">
        <v>2626</v>
      </c>
      <c r="C967" s="2" t="s">
        <v>17</v>
      </c>
      <c r="D967" s="2" t="s">
        <v>18</v>
      </c>
      <c r="E967" s="5" t="s">
        <v>454</v>
      </c>
      <c r="F967" s="3" t="s">
        <v>455</v>
      </c>
      <c r="G967" s="3" t="s">
        <v>86</v>
      </c>
      <c r="H967" s="2" t="s">
        <v>22</v>
      </c>
      <c r="I967" s="2" t="s">
        <v>2628</v>
      </c>
      <c r="J967" s="3" t="str">
        <f>HYPERLINK("https://www.boe.es/gazeta/dias/1834/10/16/pdfs/GMD-C-1834-244.pdf#page=2","Abrir facsímil")</f>
        <v>Abrir facsímil</v>
      </c>
      <c r="K967" s="3" t="s">
        <v>24</v>
      </c>
    </row>
    <row r="968" spans="1:11" ht="54" customHeight="1">
      <c r="A968" s="2" t="s">
        <v>2629</v>
      </c>
      <c r="B968" s="2" t="s">
        <v>2630</v>
      </c>
      <c r="C968" s="2" t="s">
        <v>17</v>
      </c>
      <c r="D968" s="2" t="s">
        <v>18</v>
      </c>
      <c r="E968" s="5" t="s">
        <v>179</v>
      </c>
      <c r="F968" s="3" t="s">
        <v>180</v>
      </c>
      <c r="G968" s="3" t="s">
        <v>86</v>
      </c>
      <c r="H968" s="2" t="s">
        <v>22</v>
      </c>
      <c r="I968" s="2" t="s">
        <v>2631</v>
      </c>
      <c r="J968" s="3" t="str">
        <f>HYPERLINK("https://www.boe.es/gazeta/dias/1834/10/28/pdfs/GMD-1834-256.pdf#page=2","Abrir facsímil")</f>
        <v>Abrir facsímil</v>
      </c>
      <c r="K968" s="3" t="s">
        <v>24</v>
      </c>
    </row>
    <row r="969" spans="1:11" ht="54" customHeight="1">
      <c r="A969" s="2" t="s">
        <v>2632</v>
      </c>
      <c r="B969" s="2" t="s">
        <v>2633</v>
      </c>
      <c r="C969" s="2" t="s">
        <v>17</v>
      </c>
      <c r="D969" s="2" t="s">
        <v>18</v>
      </c>
      <c r="E969" s="5" t="s">
        <v>1084</v>
      </c>
      <c r="F969" s="3" t="s">
        <v>1085</v>
      </c>
      <c r="G969" s="3" t="s">
        <v>28</v>
      </c>
      <c r="H969" s="2" t="s">
        <v>22</v>
      </c>
      <c r="I969" s="2" t="s">
        <v>2634</v>
      </c>
      <c r="J969" s="3" t="str">
        <f>HYPERLINK("https://www.boe.es/gazeta/dias/1834/05/01/pdfs/GMD-1834-70.pdf#page=5","Abrir facsímil")</f>
        <v>Abrir facsímil</v>
      </c>
      <c r="K969" s="3" t="s">
        <v>24</v>
      </c>
    </row>
    <row r="970" spans="1:11" ht="54" customHeight="1">
      <c r="A970" s="2" t="s">
        <v>2635</v>
      </c>
      <c r="B970" s="2" t="s">
        <v>2636</v>
      </c>
      <c r="C970" s="2" t="s">
        <v>17</v>
      </c>
      <c r="D970" s="2" t="s">
        <v>40</v>
      </c>
      <c r="E970" s="5" t="s">
        <v>1402</v>
      </c>
      <c r="F970" s="3" t="s">
        <v>1403</v>
      </c>
      <c r="G970" s="3" t="s">
        <v>176</v>
      </c>
      <c r="H970" s="2" t="s">
        <v>22</v>
      </c>
      <c r="I970" s="2" t="s">
        <v>2637</v>
      </c>
      <c r="J970" s="3" t="str">
        <f>HYPERLINK("https://www.boe.es/gazeta/dias/1834/05/05/pdfs/GMD-1834-74.pdf#page=6","Abrir facsímil")</f>
        <v>Abrir facsímil</v>
      </c>
      <c r="K970" s="3" t="s">
        <v>24</v>
      </c>
    </row>
    <row r="971" spans="1:11" ht="54" customHeight="1">
      <c r="A971" s="2" t="s">
        <v>2638</v>
      </c>
      <c r="B971" s="2" t="s">
        <v>2638</v>
      </c>
      <c r="C971" s="2" t="s">
        <v>17</v>
      </c>
      <c r="D971" s="2" t="s">
        <v>18</v>
      </c>
      <c r="E971" s="5" t="s">
        <v>233</v>
      </c>
      <c r="F971" s="3" t="s">
        <v>1810</v>
      </c>
      <c r="G971" s="3" t="s">
        <v>1099</v>
      </c>
      <c r="H971" s="2" t="s">
        <v>22</v>
      </c>
      <c r="I971" s="2" t="s">
        <v>2639</v>
      </c>
      <c r="J971" s="3" t="str">
        <f>HYPERLINK("https://www.boe.es/gazeta/dias/1834/12/16/pdfs/GMD-C-1834-305.pdf#page=11","Abrir facsímil")</f>
        <v>Abrir facsímil</v>
      </c>
      <c r="K971" s="3" t="s">
        <v>24</v>
      </c>
    </row>
    <row r="972" spans="1:11" ht="54" customHeight="1">
      <c r="A972" s="2" t="s">
        <v>2640</v>
      </c>
      <c r="B972" s="2" t="s">
        <v>2641</v>
      </c>
      <c r="C972" s="2" t="s">
        <v>66</v>
      </c>
      <c r="D972" s="2" t="s">
        <v>67</v>
      </c>
      <c r="E972" s="5" t="s">
        <v>2459</v>
      </c>
      <c r="F972" s="3" t="s">
        <v>2460</v>
      </c>
      <c r="G972" s="3" t="s">
        <v>75</v>
      </c>
      <c r="H972" s="2" t="s">
        <v>22</v>
      </c>
      <c r="I972" s="2" t="s">
        <v>2642</v>
      </c>
      <c r="J972" s="3" t="str">
        <f>HYPERLINK("https://www.boe.es/gazeta/dias/1834/04/04/pdfs/GMD-1834-43.pdf#page=4","Abrir facsímil")</f>
        <v>Abrir facsímil</v>
      </c>
      <c r="K972" s="3" t="s">
        <v>24</v>
      </c>
    </row>
    <row r="973" spans="1:11" ht="54" customHeight="1">
      <c r="A973" s="2" t="s">
        <v>2643</v>
      </c>
      <c r="B973" s="2" t="s">
        <v>2643</v>
      </c>
      <c r="C973" s="2" t="s">
        <v>17</v>
      </c>
      <c r="D973" s="2" t="s">
        <v>40</v>
      </c>
      <c r="E973" s="5" t="s">
        <v>647</v>
      </c>
      <c r="F973" s="3" t="s">
        <v>648</v>
      </c>
      <c r="G973" s="3" t="s">
        <v>75</v>
      </c>
      <c r="H973" s="2" t="s">
        <v>22</v>
      </c>
      <c r="I973" s="2" t="s">
        <v>2644</v>
      </c>
      <c r="J973" s="3" t="str">
        <f>HYPERLINK("https://www.boe.es/gazeta/dias/1834/10/21/pdfs/GMD-C-1834-249.pdf#page=4","Abrir facsímil")</f>
        <v>Abrir facsímil</v>
      </c>
      <c r="K973" s="3" t="s">
        <v>24</v>
      </c>
    </row>
    <row r="974" spans="1:11" ht="54" customHeight="1">
      <c r="A974" s="2" t="s">
        <v>2645</v>
      </c>
      <c r="B974" s="2" t="s">
        <v>2645</v>
      </c>
      <c r="C974" s="2" t="s">
        <v>17</v>
      </c>
      <c r="D974" s="2" t="s">
        <v>18</v>
      </c>
      <c r="E974" s="5" t="s">
        <v>299</v>
      </c>
      <c r="F974" s="3" t="s">
        <v>2255</v>
      </c>
      <c r="G974" s="3" t="s">
        <v>21</v>
      </c>
      <c r="H974" s="2" t="s">
        <v>22</v>
      </c>
      <c r="I974" s="2" t="s">
        <v>2646</v>
      </c>
      <c r="J974" s="3" t="str">
        <f>HYPERLINK("https://www.boe.es/gazeta/dias/1834/12/12/pdfs/GMD-C-1834-301.pdf#page=3","Abrir facsímil")</f>
        <v>Abrir facsímil</v>
      </c>
      <c r="K974" s="3" t="s">
        <v>24</v>
      </c>
    </row>
    <row r="975" spans="1:11" ht="54" customHeight="1">
      <c r="A975" s="2" t="s">
        <v>2647</v>
      </c>
      <c r="B975" s="2" t="s">
        <v>2647</v>
      </c>
      <c r="C975" s="2" t="s">
        <v>17</v>
      </c>
      <c r="D975" s="2" t="s">
        <v>18</v>
      </c>
      <c r="E975" s="5" t="s">
        <v>283</v>
      </c>
      <c r="F975" s="3" t="s">
        <v>284</v>
      </c>
      <c r="G975" s="3" t="s">
        <v>28</v>
      </c>
      <c r="H975" s="2" t="s">
        <v>22</v>
      </c>
      <c r="I975" s="2" t="s">
        <v>2648</v>
      </c>
      <c r="J975" s="3" t="str">
        <f>HYPERLINK("https://www.boe.es/gazeta/dias/1834/11/29/pdfs/GMD-C-1834-288.pdf#page=5","Abrir facsímil")</f>
        <v>Abrir facsímil</v>
      </c>
      <c r="K975" s="3" t="s">
        <v>24</v>
      </c>
    </row>
    <row r="976" spans="1:11" ht="54" customHeight="1">
      <c r="A976" s="2" t="s">
        <v>2649</v>
      </c>
      <c r="B976" s="2" t="s">
        <v>2649</v>
      </c>
      <c r="C976" s="2" t="s">
        <v>46</v>
      </c>
      <c r="D976" s="2" t="s">
        <v>18</v>
      </c>
      <c r="E976" s="5" t="s">
        <v>647</v>
      </c>
      <c r="F976" s="3" t="s">
        <v>648</v>
      </c>
      <c r="G976" s="3" t="s">
        <v>21</v>
      </c>
      <c r="H976" s="2" t="s">
        <v>22</v>
      </c>
      <c r="I976" s="2" t="s">
        <v>2650</v>
      </c>
      <c r="J976" s="3" t="str">
        <f>HYPERLINK("https://www.boe.es/gazeta/dias/1834/10/21/pdfs/GMD-C-1834-249.pdf#page=3","Abrir facsímil")</f>
        <v>Abrir facsímil</v>
      </c>
      <c r="K976" s="3" t="s">
        <v>24</v>
      </c>
    </row>
    <row r="977" spans="1:11" ht="54" customHeight="1">
      <c r="A977" s="2" t="s">
        <v>2651</v>
      </c>
      <c r="B977" s="2" t="s">
        <v>2652</v>
      </c>
      <c r="C977" s="2" t="s">
        <v>46</v>
      </c>
      <c r="D977" s="2" t="s">
        <v>18</v>
      </c>
      <c r="E977" s="5" t="s">
        <v>647</v>
      </c>
      <c r="F977" s="3" t="s">
        <v>648</v>
      </c>
      <c r="G977" s="3" t="s">
        <v>21</v>
      </c>
      <c r="H977" s="2" t="s">
        <v>22</v>
      </c>
      <c r="I977" s="2" t="s">
        <v>2653</v>
      </c>
      <c r="J977" s="3" t="str">
        <f>HYPERLINK("https://www.boe.es/gazeta/dias/1834/10/21/pdfs/GMD-C-1834-249.pdf#page=3","Abrir facsímil")</f>
        <v>Abrir facsímil</v>
      </c>
      <c r="K977" s="3" t="s">
        <v>24</v>
      </c>
    </row>
    <row r="978" spans="1:11" ht="54" customHeight="1">
      <c r="A978" s="2" t="s">
        <v>2654</v>
      </c>
      <c r="B978" s="2" t="s">
        <v>2655</v>
      </c>
      <c r="C978" s="2" t="s">
        <v>17</v>
      </c>
      <c r="D978" s="2" t="s">
        <v>40</v>
      </c>
      <c r="E978" s="5" t="s">
        <v>408</v>
      </c>
      <c r="F978" s="3" t="s">
        <v>409</v>
      </c>
      <c r="G978" s="3" t="s">
        <v>75</v>
      </c>
      <c r="H978" s="2" t="s">
        <v>22</v>
      </c>
      <c r="I978" s="2" t="s">
        <v>2656</v>
      </c>
      <c r="J978" s="3" t="str">
        <f>HYPERLINK("https://www.boe.es/gazeta/dias/1834/04/28/pdfs/GMD-1834-67.pdf#page=4","Abrir facsímil")</f>
        <v>Abrir facsímil</v>
      </c>
      <c r="K978" s="3" t="s">
        <v>24</v>
      </c>
    </row>
    <row r="979" spans="1:11" ht="54" customHeight="1">
      <c r="A979" s="2" t="s">
        <v>2657</v>
      </c>
      <c r="B979" s="2" t="s">
        <v>2657</v>
      </c>
      <c r="C979" s="2" t="s">
        <v>17</v>
      </c>
      <c r="D979" s="2" t="s">
        <v>18</v>
      </c>
      <c r="E979" s="5" t="s">
        <v>73</v>
      </c>
      <c r="F979" s="3" t="s">
        <v>1416</v>
      </c>
      <c r="G979" s="3" t="s">
        <v>21</v>
      </c>
      <c r="H979" s="2" t="s">
        <v>22</v>
      </c>
      <c r="I979" s="2" t="s">
        <v>2658</v>
      </c>
      <c r="J979" s="3" t="str">
        <f>HYPERLINK("https://www.boe.es/gazeta/dias/1834/11/04/pdfs/GMD-C-1834-263.pdf#page=3","Abrir facsímil")</f>
        <v>Abrir facsímil</v>
      </c>
      <c r="K979" s="3" t="s">
        <v>24</v>
      </c>
    </row>
    <row r="980" spans="1:11" ht="54" customHeight="1">
      <c r="A980" s="2" t="s">
        <v>2659</v>
      </c>
      <c r="B980" s="2" t="s">
        <v>2659</v>
      </c>
      <c r="C980" s="2" t="s">
        <v>17</v>
      </c>
      <c r="D980" s="2" t="s">
        <v>18</v>
      </c>
      <c r="E980" s="5" t="s">
        <v>262</v>
      </c>
      <c r="F980" s="3" t="s">
        <v>263</v>
      </c>
      <c r="G980" s="3" t="s">
        <v>86</v>
      </c>
      <c r="H980" s="2" t="s">
        <v>22</v>
      </c>
      <c r="I980" s="2" t="s">
        <v>2660</v>
      </c>
      <c r="J980" s="3" t="str">
        <f>HYPERLINK("https://www.boe.es/gazeta/dias/1834/10/18/pdfs/GMD-C-1834-246.pdf#page=2","Abrir facsímil")</f>
        <v>Abrir facsímil</v>
      </c>
      <c r="K980" s="3" t="s">
        <v>24</v>
      </c>
    </row>
    <row r="981" spans="1:11" ht="54" customHeight="1">
      <c r="A981" s="2" t="s">
        <v>2659</v>
      </c>
      <c r="B981" s="2" t="s">
        <v>2659</v>
      </c>
      <c r="C981" s="2" t="s">
        <v>17</v>
      </c>
      <c r="D981" s="2" t="s">
        <v>18</v>
      </c>
      <c r="E981" s="5" t="s">
        <v>2142</v>
      </c>
      <c r="F981" s="3" t="s">
        <v>2316</v>
      </c>
      <c r="G981" s="3" t="s">
        <v>86</v>
      </c>
      <c r="H981" s="2" t="s">
        <v>22</v>
      </c>
      <c r="I981" s="2" t="s">
        <v>2661</v>
      </c>
      <c r="J981" s="3" t="str">
        <f>HYPERLINK("https://www.boe.es/gazeta/dias/1834/12/27/pdfs/GMD-C-1834-317.pdf#page=2","Abrir facsímil")</f>
        <v>Abrir facsímil</v>
      </c>
      <c r="K981" s="3" t="s">
        <v>24</v>
      </c>
    </row>
    <row r="982" spans="1:11" ht="54" customHeight="1">
      <c r="A982" s="2" t="s">
        <v>2662</v>
      </c>
      <c r="B982" s="2" t="s">
        <v>2662</v>
      </c>
      <c r="C982" s="2" t="s">
        <v>17</v>
      </c>
      <c r="D982" s="2" t="s">
        <v>18</v>
      </c>
      <c r="E982" s="5" t="s">
        <v>1008</v>
      </c>
      <c r="F982" s="3" t="s">
        <v>1009</v>
      </c>
      <c r="G982" s="3" t="s">
        <v>176</v>
      </c>
      <c r="H982" s="2" t="s">
        <v>22</v>
      </c>
      <c r="I982" s="2" t="s">
        <v>2663</v>
      </c>
      <c r="J982" s="3" t="str">
        <f>HYPERLINK("https://www.boe.es/gazeta/dias/1834/11/08/pdfs/GMD-C-1834-267.pdf#page=6","Abrir facsímil")</f>
        <v>Abrir facsímil</v>
      </c>
      <c r="K982" s="3" t="s">
        <v>24</v>
      </c>
    </row>
    <row r="983" spans="1:11" ht="54" customHeight="1">
      <c r="A983" s="2" t="s">
        <v>2664</v>
      </c>
      <c r="B983" s="2" t="s">
        <v>2664</v>
      </c>
      <c r="C983" s="2" t="s">
        <v>17</v>
      </c>
      <c r="D983" s="2" t="s">
        <v>18</v>
      </c>
      <c r="E983" s="5" t="s">
        <v>233</v>
      </c>
      <c r="F983" s="3" t="s">
        <v>1810</v>
      </c>
      <c r="G983" s="3" t="s">
        <v>2272</v>
      </c>
      <c r="H983" s="2" t="s">
        <v>22</v>
      </c>
      <c r="I983" s="2" t="s">
        <v>2665</v>
      </c>
      <c r="J983" s="3" t="str">
        <f>HYPERLINK("https://www.boe.es/gazeta/dias/1834/12/16/pdfs/GMD-C-1834-305.pdf#page=12","Abrir facsímil")</f>
        <v>Abrir facsímil</v>
      </c>
      <c r="K983" s="3" t="s">
        <v>24</v>
      </c>
    </row>
    <row r="984" spans="1:11" ht="54" customHeight="1">
      <c r="A984" s="2" t="s">
        <v>2666</v>
      </c>
      <c r="B984" s="2" t="s">
        <v>2666</v>
      </c>
      <c r="C984" s="2" t="s">
        <v>17</v>
      </c>
      <c r="D984" s="2" t="s">
        <v>18</v>
      </c>
      <c r="E984" s="5" t="s">
        <v>167</v>
      </c>
      <c r="F984" s="3" t="s">
        <v>1200</v>
      </c>
      <c r="G984" s="3" t="s">
        <v>21</v>
      </c>
      <c r="H984" s="2" t="s">
        <v>22</v>
      </c>
      <c r="I984" s="2" t="s">
        <v>2667</v>
      </c>
      <c r="J984" s="3" t="str">
        <f>HYPERLINK("https://www.boe.es/gazeta/dias/1834/09/07/pdfs/GMD-C-1834-205.pdf#page=3","Abrir facsímil")</f>
        <v>Abrir facsímil</v>
      </c>
      <c r="K984" s="3" t="s">
        <v>24</v>
      </c>
    </row>
    <row r="985" spans="1:11" ht="54" customHeight="1">
      <c r="A985" s="2" t="s">
        <v>2666</v>
      </c>
      <c r="B985" s="2" t="s">
        <v>2666</v>
      </c>
      <c r="C985" s="2" t="s">
        <v>17</v>
      </c>
      <c r="D985" s="2" t="s">
        <v>18</v>
      </c>
      <c r="E985" s="5" t="s">
        <v>1008</v>
      </c>
      <c r="F985" s="3" t="s">
        <v>1009</v>
      </c>
      <c r="G985" s="3" t="s">
        <v>21</v>
      </c>
      <c r="H985" s="2" t="s">
        <v>22</v>
      </c>
      <c r="I985" s="2" t="s">
        <v>2668</v>
      </c>
      <c r="J985" s="3" t="str">
        <f>HYPERLINK("https://www.boe.es/gazeta/dias/1834/11/08/pdfs/GMD-C-1834-267.pdf#page=3","Abrir facsímil")</f>
        <v>Abrir facsímil</v>
      </c>
      <c r="K985" s="3" t="s">
        <v>24</v>
      </c>
    </row>
    <row r="986" spans="1:11" ht="54" customHeight="1">
      <c r="A986" s="2" t="s">
        <v>2666</v>
      </c>
      <c r="B986" s="2" t="s">
        <v>2666</v>
      </c>
      <c r="C986" s="2" t="s">
        <v>17</v>
      </c>
      <c r="D986" s="2" t="s">
        <v>18</v>
      </c>
      <c r="E986" s="5" t="s">
        <v>1008</v>
      </c>
      <c r="F986" s="3" t="s">
        <v>1009</v>
      </c>
      <c r="G986" s="3" t="s">
        <v>470</v>
      </c>
      <c r="H986" s="2" t="s">
        <v>22</v>
      </c>
      <c r="I986" s="2" t="s">
        <v>2669</v>
      </c>
      <c r="J986" s="3" t="str">
        <f>HYPERLINK("https://www.boe.es/gazeta/dias/1834/11/08/pdfs/GMD-C-1834-267.pdf#page=8","Abrir facsímil")</f>
        <v>Abrir facsímil</v>
      </c>
      <c r="K986" s="3" t="s">
        <v>24</v>
      </c>
    </row>
    <row r="987" spans="1:11" ht="54" customHeight="1">
      <c r="A987" s="2" t="s">
        <v>2666</v>
      </c>
      <c r="B987" s="2" t="s">
        <v>2666</v>
      </c>
      <c r="C987" s="2" t="s">
        <v>17</v>
      </c>
      <c r="D987" s="2" t="s">
        <v>18</v>
      </c>
      <c r="E987" s="5" t="s">
        <v>444</v>
      </c>
      <c r="F987" s="3" t="s">
        <v>445</v>
      </c>
      <c r="G987" s="3" t="s">
        <v>75</v>
      </c>
      <c r="H987" s="2" t="s">
        <v>22</v>
      </c>
      <c r="I987" s="2" t="s">
        <v>2670</v>
      </c>
      <c r="J987" s="3" t="str">
        <f>HYPERLINK("https://www.boe.es/gazeta/dias/1834/09/12/pdfs/GMD-C-1834-210.pdf#page=4","Abrir facsímil")</f>
        <v>Abrir facsímil</v>
      </c>
      <c r="K987" s="3" t="s">
        <v>24</v>
      </c>
    </row>
    <row r="988" spans="1:11" ht="54" customHeight="1">
      <c r="A988" s="2" t="s">
        <v>2666</v>
      </c>
      <c r="B988" s="2" t="s">
        <v>2666</v>
      </c>
      <c r="C988" s="2" t="s">
        <v>17</v>
      </c>
      <c r="D988" s="2" t="s">
        <v>40</v>
      </c>
      <c r="E988" s="5" t="s">
        <v>299</v>
      </c>
      <c r="F988" s="3" t="s">
        <v>2255</v>
      </c>
      <c r="G988" s="3" t="s">
        <v>21</v>
      </c>
      <c r="H988" s="2" t="s">
        <v>22</v>
      </c>
      <c r="I988" s="2" t="s">
        <v>2671</v>
      </c>
      <c r="J988" s="3" t="str">
        <f>HYPERLINK("https://www.boe.es/gazeta/dias/1834/12/12/pdfs/GMD-C-1834-301.pdf#page=3","Abrir facsímil")</f>
        <v>Abrir facsímil</v>
      </c>
      <c r="K988" s="3" t="s">
        <v>24</v>
      </c>
    </row>
    <row r="989" spans="1:11" ht="54" customHeight="1">
      <c r="A989" s="2" t="s">
        <v>2666</v>
      </c>
      <c r="B989" s="2" t="s">
        <v>2666</v>
      </c>
      <c r="C989" s="2" t="s">
        <v>17</v>
      </c>
      <c r="D989" s="2" t="s">
        <v>18</v>
      </c>
      <c r="E989" s="5" t="s">
        <v>299</v>
      </c>
      <c r="F989" s="3" t="s">
        <v>2255</v>
      </c>
      <c r="G989" s="3" t="s">
        <v>560</v>
      </c>
      <c r="H989" s="2" t="s">
        <v>22</v>
      </c>
      <c r="I989" s="2" t="s">
        <v>2672</v>
      </c>
      <c r="J989" s="3" t="str">
        <f>HYPERLINK("https://www.boe.es/gazeta/dias/1834/12/12/pdfs/GMD-C-1834-301.pdf#page=7","Abrir facsímil")</f>
        <v>Abrir facsímil</v>
      </c>
      <c r="K989" s="3" t="s">
        <v>24</v>
      </c>
    </row>
    <row r="990" spans="1:11" ht="54" customHeight="1">
      <c r="A990" s="2" t="s">
        <v>2666</v>
      </c>
      <c r="B990" s="2" t="s">
        <v>2666</v>
      </c>
      <c r="C990" s="2" t="s">
        <v>46</v>
      </c>
      <c r="D990" s="2" t="s">
        <v>18</v>
      </c>
      <c r="E990" s="5" t="s">
        <v>299</v>
      </c>
      <c r="F990" s="3" t="s">
        <v>2255</v>
      </c>
      <c r="G990" s="3" t="s">
        <v>470</v>
      </c>
      <c r="H990" s="2" t="s">
        <v>22</v>
      </c>
      <c r="I990" s="2" t="s">
        <v>2673</v>
      </c>
      <c r="J990" s="3" t="str">
        <f>HYPERLINK("https://www.boe.es/gazeta/dias/1834/12/12/pdfs/GMD-C-1834-301.pdf#page=8","Abrir facsímil")</f>
        <v>Abrir facsímil</v>
      </c>
      <c r="K990" s="3" t="s">
        <v>24</v>
      </c>
    </row>
    <row r="991" spans="1:11" ht="54" customHeight="1">
      <c r="A991" s="2" t="s">
        <v>2666</v>
      </c>
      <c r="B991" s="2" t="s">
        <v>2666</v>
      </c>
      <c r="C991" s="2" t="s">
        <v>17</v>
      </c>
      <c r="D991" s="2" t="s">
        <v>18</v>
      </c>
      <c r="E991" s="5" t="s">
        <v>1981</v>
      </c>
      <c r="F991" s="3" t="s">
        <v>2471</v>
      </c>
      <c r="G991" s="3" t="s">
        <v>86</v>
      </c>
      <c r="H991" s="2" t="s">
        <v>22</v>
      </c>
      <c r="I991" s="2" t="s">
        <v>2674</v>
      </c>
      <c r="J991" s="3" t="str">
        <f>HYPERLINK("https://www.boe.es/gazeta/dias/1834/12/13/pdfs/GMD-C-1834-302.pdf#page=2","Abrir facsímil")</f>
        <v>Abrir facsímil</v>
      </c>
      <c r="K991" s="3" t="s">
        <v>24</v>
      </c>
    </row>
    <row r="992" spans="1:11" ht="54" customHeight="1">
      <c r="A992" s="2" t="s">
        <v>2666</v>
      </c>
      <c r="B992" s="2" t="s">
        <v>2666</v>
      </c>
      <c r="C992" s="2" t="s">
        <v>90</v>
      </c>
      <c r="D992" s="2" t="s">
        <v>18</v>
      </c>
      <c r="E992" s="5" t="s">
        <v>454</v>
      </c>
      <c r="F992" s="3" t="s">
        <v>455</v>
      </c>
      <c r="G992" s="3" t="s">
        <v>34</v>
      </c>
      <c r="H992" s="2" t="s">
        <v>22</v>
      </c>
      <c r="I992" s="2" t="s">
        <v>2675</v>
      </c>
      <c r="J992" s="3" t="str">
        <f>HYPERLINK("https://www.boe.es/gazeta/dias/1834/10/16/pdfs/GMD-C-1834-244.pdf#page=1","Abrir facsímil")</f>
        <v>Abrir facsímil</v>
      </c>
      <c r="K992" s="3" t="s">
        <v>24</v>
      </c>
    </row>
    <row r="993" spans="1:11" ht="54" customHeight="1">
      <c r="A993" s="2" t="s">
        <v>2666</v>
      </c>
      <c r="B993" s="2" t="s">
        <v>2666</v>
      </c>
      <c r="C993" s="2" t="s">
        <v>122</v>
      </c>
      <c r="D993" s="2" t="s">
        <v>18</v>
      </c>
      <c r="E993" s="5" t="s">
        <v>454</v>
      </c>
      <c r="F993" s="3" t="s">
        <v>455</v>
      </c>
      <c r="G993" s="3" t="s">
        <v>86</v>
      </c>
      <c r="H993" s="2" t="s">
        <v>22</v>
      </c>
      <c r="I993" s="2" t="s">
        <v>2676</v>
      </c>
      <c r="J993" s="3" t="str">
        <f>HYPERLINK("https://www.boe.es/gazeta/dias/1834/10/16/pdfs/GMD-C-1834-244.pdf#page=2","Abrir facsímil")</f>
        <v>Abrir facsímil</v>
      </c>
      <c r="K993" s="3" t="s">
        <v>24</v>
      </c>
    </row>
    <row r="994" spans="1:11" ht="54" customHeight="1">
      <c r="A994" s="2" t="s">
        <v>2666</v>
      </c>
      <c r="B994" s="2" t="s">
        <v>2666</v>
      </c>
      <c r="C994" s="2" t="s">
        <v>46</v>
      </c>
      <c r="D994" s="2" t="s">
        <v>101</v>
      </c>
      <c r="E994" s="5" t="s">
        <v>233</v>
      </c>
      <c r="F994" s="3" t="s">
        <v>1810</v>
      </c>
      <c r="G994" s="3" t="s">
        <v>2174</v>
      </c>
      <c r="H994" s="2" t="s">
        <v>22</v>
      </c>
      <c r="I994" s="2" t="s">
        <v>2677</v>
      </c>
      <c r="J994" s="3" t="str">
        <f>HYPERLINK("https://www.boe.es/gazeta/dias/1834/12/16/pdfs/GMD-C-1834-305.pdf#page=10","Abrir facsímil")</f>
        <v>Abrir facsímil</v>
      </c>
      <c r="K994" s="3" t="s">
        <v>24</v>
      </c>
    </row>
    <row r="995" spans="1:11" ht="54" customHeight="1">
      <c r="A995" s="2" t="s">
        <v>2666</v>
      </c>
      <c r="B995" s="2" t="s">
        <v>2666</v>
      </c>
      <c r="C995" s="2" t="s">
        <v>17</v>
      </c>
      <c r="D995" s="2" t="s">
        <v>18</v>
      </c>
      <c r="E995" s="5" t="s">
        <v>233</v>
      </c>
      <c r="F995" s="3" t="s">
        <v>1810</v>
      </c>
      <c r="G995" s="3" t="s">
        <v>1099</v>
      </c>
      <c r="H995" s="2" t="s">
        <v>22</v>
      </c>
      <c r="I995" s="2" t="s">
        <v>2678</v>
      </c>
      <c r="J995" s="3" t="str">
        <f>HYPERLINK("https://www.boe.es/gazeta/dias/1834/12/16/pdfs/GMD-C-1834-305.pdf#page=11","Abrir facsímil")</f>
        <v>Abrir facsímil</v>
      </c>
      <c r="K995" s="3" t="s">
        <v>24</v>
      </c>
    </row>
    <row r="996" spans="1:11" ht="54" customHeight="1">
      <c r="A996" s="2" t="s">
        <v>2666</v>
      </c>
      <c r="B996" s="2" t="s">
        <v>2666</v>
      </c>
      <c r="C996" s="2" t="s">
        <v>46</v>
      </c>
      <c r="D996" s="2" t="s">
        <v>18</v>
      </c>
      <c r="E996" s="5" t="s">
        <v>233</v>
      </c>
      <c r="F996" s="3" t="s">
        <v>1810</v>
      </c>
      <c r="G996" s="3" t="s">
        <v>2272</v>
      </c>
      <c r="H996" s="2" t="s">
        <v>22</v>
      </c>
      <c r="I996" s="2" t="s">
        <v>2679</v>
      </c>
      <c r="J996" s="3" t="str">
        <f>HYPERLINK("https://www.boe.es/gazeta/dias/1834/12/16/pdfs/GMD-C-1834-305.pdf#page=12","Abrir facsímil")</f>
        <v>Abrir facsímil</v>
      </c>
      <c r="K996" s="3" t="s">
        <v>24</v>
      </c>
    </row>
    <row r="997" spans="1:11" ht="54" customHeight="1">
      <c r="A997" s="2" t="s">
        <v>2666</v>
      </c>
      <c r="B997" s="2" t="s">
        <v>2666</v>
      </c>
      <c r="C997" s="2" t="s">
        <v>17</v>
      </c>
      <c r="D997" s="2" t="s">
        <v>18</v>
      </c>
      <c r="E997" s="5" t="s">
        <v>233</v>
      </c>
      <c r="F997" s="3" t="s">
        <v>1810</v>
      </c>
      <c r="G997" s="3" t="s">
        <v>470</v>
      </c>
      <c r="H997" s="2" t="s">
        <v>22</v>
      </c>
      <c r="I997" s="2" t="s">
        <v>2680</v>
      </c>
      <c r="J997" s="3" t="str">
        <f>HYPERLINK("https://www.boe.es/gazeta/dias/1834/12/16/pdfs/GMD-C-1834-305.pdf#page=8","Abrir facsímil")</f>
        <v>Abrir facsímil</v>
      </c>
      <c r="K997" s="3" t="s">
        <v>24</v>
      </c>
    </row>
    <row r="998" spans="1:11" ht="54" customHeight="1">
      <c r="A998" s="2" t="s">
        <v>2666</v>
      </c>
      <c r="B998" s="2" t="s">
        <v>2666</v>
      </c>
      <c r="C998" s="2" t="s">
        <v>17</v>
      </c>
      <c r="D998" s="2" t="s">
        <v>18</v>
      </c>
      <c r="E998" s="5" t="s">
        <v>233</v>
      </c>
      <c r="F998" s="3" t="s">
        <v>1810</v>
      </c>
      <c r="G998" s="3" t="s">
        <v>1343</v>
      </c>
      <c r="H998" s="2" t="s">
        <v>22</v>
      </c>
      <c r="I998" s="2" t="s">
        <v>2681</v>
      </c>
      <c r="J998" s="3" t="str">
        <f>HYPERLINK("https://www.boe.es/gazeta/dias/1834/12/16/pdfs/GMD-C-1834-305.pdf#page=9","Abrir facsímil")</f>
        <v>Abrir facsímil</v>
      </c>
      <c r="K998" s="3" t="s">
        <v>24</v>
      </c>
    </row>
    <row r="999" spans="1:11" ht="54" customHeight="1">
      <c r="A999" s="2" t="s">
        <v>2666</v>
      </c>
      <c r="B999" s="2" t="s">
        <v>2666</v>
      </c>
      <c r="C999" s="2" t="s">
        <v>66</v>
      </c>
      <c r="D999" s="2" t="s">
        <v>18</v>
      </c>
      <c r="E999" s="5" t="s">
        <v>1195</v>
      </c>
      <c r="F999" s="3" t="s">
        <v>1196</v>
      </c>
      <c r="G999" s="3" t="s">
        <v>1343</v>
      </c>
      <c r="H999" s="2" t="s">
        <v>22</v>
      </c>
      <c r="I999" s="2" t="s">
        <v>2682</v>
      </c>
      <c r="J999" s="3" t="str">
        <f>HYPERLINK("https://www.boe.es/gazeta/dias/1834/10/17/pdfs/GMD-C-1834-245.pdf#page=9","Abrir facsímil")</f>
        <v>Abrir facsímil</v>
      </c>
      <c r="K999" s="3" t="s">
        <v>24</v>
      </c>
    </row>
    <row r="1000" spans="1:11" ht="54" customHeight="1">
      <c r="A1000" s="2" t="s">
        <v>2666</v>
      </c>
      <c r="B1000" s="2" t="s">
        <v>2666</v>
      </c>
      <c r="C1000" s="2" t="s">
        <v>17</v>
      </c>
      <c r="D1000" s="2" t="s">
        <v>18</v>
      </c>
      <c r="E1000" s="5" t="s">
        <v>2278</v>
      </c>
      <c r="F1000" s="3" t="s">
        <v>2279</v>
      </c>
      <c r="G1000" s="3" t="s">
        <v>75</v>
      </c>
      <c r="H1000" s="2" t="s">
        <v>22</v>
      </c>
      <c r="I1000" s="2" t="s">
        <v>2683</v>
      </c>
      <c r="J1000" s="3" t="str">
        <f>HYPERLINK("https://www.boe.es/gazeta/dias/1834/12/17/pdfs/GMD-C-1834-306.pdf#page=4","Abrir facsímil")</f>
        <v>Abrir facsímil</v>
      </c>
      <c r="K1000" s="3" t="s">
        <v>24</v>
      </c>
    </row>
    <row r="1001" spans="1:11" ht="54" customHeight="1">
      <c r="A1001" s="2" t="s">
        <v>2666</v>
      </c>
      <c r="B1001" s="2" t="s">
        <v>2666</v>
      </c>
      <c r="C1001" s="2" t="s">
        <v>17</v>
      </c>
      <c r="D1001" s="2" t="s">
        <v>18</v>
      </c>
      <c r="E1001" s="5" t="s">
        <v>262</v>
      </c>
      <c r="F1001" s="3" t="s">
        <v>263</v>
      </c>
      <c r="G1001" s="3" t="s">
        <v>34</v>
      </c>
      <c r="H1001" s="2" t="s">
        <v>22</v>
      </c>
      <c r="I1001" s="2" t="s">
        <v>2684</v>
      </c>
      <c r="J1001" s="3" t="str">
        <f>HYPERLINK("https://www.boe.es/gazeta/dias/1834/10/18/pdfs/GMD-C-1834-246.pdf#page=1","Abrir facsímil")</f>
        <v>Abrir facsímil</v>
      </c>
      <c r="K1001" s="3" t="s">
        <v>24</v>
      </c>
    </row>
    <row r="1002" spans="1:11" ht="54" customHeight="1">
      <c r="A1002" s="2" t="s">
        <v>2666</v>
      </c>
      <c r="B1002" s="2" t="s">
        <v>2666</v>
      </c>
      <c r="C1002" s="2" t="s">
        <v>17</v>
      </c>
      <c r="D1002" s="2" t="s">
        <v>40</v>
      </c>
      <c r="E1002" s="5" t="s">
        <v>262</v>
      </c>
      <c r="F1002" s="3" t="s">
        <v>263</v>
      </c>
      <c r="G1002" s="3" t="s">
        <v>21</v>
      </c>
      <c r="H1002" s="2" t="s">
        <v>22</v>
      </c>
      <c r="I1002" s="2" t="s">
        <v>2685</v>
      </c>
      <c r="J1002" s="3" t="str">
        <f>HYPERLINK("https://www.boe.es/gazeta/dias/1834/10/18/pdfs/GMD-C-1834-246.pdf#page=3","Abrir facsímil")</f>
        <v>Abrir facsímil</v>
      </c>
      <c r="K1002" s="3" t="s">
        <v>24</v>
      </c>
    </row>
    <row r="1003" spans="1:11" ht="54" customHeight="1">
      <c r="A1003" s="2" t="s">
        <v>2666</v>
      </c>
      <c r="B1003" s="2" t="s">
        <v>2666</v>
      </c>
      <c r="C1003" s="2" t="s">
        <v>17</v>
      </c>
      <c r="D1003" s="2" t="s">
        <v>18</v>
      </c>
      <c r="E1003" s="5" t="s">
        <v>262</v>
      </c>
      <c r="F1003" s="3" t="s">
        <v>263</v>
      </c>
      <c r="G1003" s="3" t="s">
        <v>28</v>
      </c>
      <c r="H1003" s="2" t="s">
        <v>22</v>
      </c>
      <c r="I1003" s="2" t="s">
        <v>2686</v>
      </c>
      <c r="J1003" s="3" t="str">
        <f>HYPERLINK("https://www.boe.es/gazeta/dias/1834/10/18/pdfs/GMD-C-1834-246.pdf#page=5","Abrir facsímil")</f>
        <v>Abrir facsímil</v>
      </c>
      <c r="K1003" s="3" t="s">
        <v>24</v>
      </c>
    </row>
    <row r="1004" spans="1:11" ht="54" customHeight="1">
      <c r="A1004" s="2" t="s">
        <v>2666</v>
      </c>
      <c r="B1004" s="2" t="s">
        <v>2666</v>
      </c>
      <c r="C1004" s="2" t="s">
        <v>17</v>
      </c>
      <c r="D1004" s="2" t="s">
        <v>18</v>
      </c>
      <c r="E1004" s="5" t="s">
        <v>268</v>
      </c>
      <c r="F1004" s="3" t="s">
        <v>269</v>
      </c>
      <c r="G1004" s="3" t="s">
        <v>34</v>
      </c>
      <c r="H1004" s="2" t="s">
        <v>22</v>
      </c>
      <c r="I1004" s="2" t="s">
        <v>2687</v>
      </c>
      <c r="J1004" s="3" t="str">
        <f>HYPERLINK("https://www.boe.es/gazeta/dias/1834/12/19/pdfs/GMD-C-1834-309.pdf#page=1","Abrir facsímil")</f>
        <v>Abrir facsímil</v>
      </c>
      <c r="K1004" s="3" t="s">
        <v>24</v>
      </c>
    </row>
    <row r="1005" spans="1:11" ht="54" customHeight="1">
      <c r="A1005" s="2" t="s">
        <v>2666</v>
      </c>
      <c r="B1005" s="2" t="s">
        <v>2666</v>
      </c>
      <c r="C1005" s="2" t="s">
        <v>17</v>
      </c>
      <c r="D1005" s="2" t="s">
        <v>40</v>
      </c>
      <c r="E1005" s="5" t="s">
        <v>268</v>
      </c>
      <c r="F1005" s="3" t="s">
        <v>269</v>
      </c>
      <c r="G1005" s="3" t="s">
        <v>28</v>
      </c>
      <c r="H1005" s="2" t="s">
        <v>22</v>
      </c>
      <c r="I1005" s="2" t="s">
        <v>2688</v>
      </c>
      <c r="J1005" s="3" t="str">
        <f>HYPERLINK("https://www.boe.es/gazeta/dias/1834/12/19/pdfs/GMD-C-1834-309.pdf#page=5","Abrir facsímil")</f>
        <v>Abrir facsímil</v>
      </c>
      <c r="K1005" s="3" t="s">
        <v>24</v>
      </c>
    </row>
    <row r="1006" spans="1:11" ht="54" customHeight="1">
      <c r="A1006" s="2" t="s">
        <v>2666</v>
      </c>
      <c r="B1006" s="2" t="s">
        <v>2666</v>
      </c>
      <c r="C1006" s="2" t="s">
        <v>17</v>
      </c>
      <c r="D1006" s="2" t="s">
        <v>18</v>
      </c>
      <c r="E1006" s="5" t="s">
        <v>1973</v>
      </c>
      <c r="F1006" s="3" t="s">
        <v>1974</v>
      </c>
      <c r="G1006" s="3" t="s">
        <v>176</v>
      </c>
      <c r="H1006" s="2" t="s">
        <v>22</v>
      </c>
      <c r="I1006" s="2" t="s">
        <v>2689</v>
      </c>
      <c r="J1006" s="3" t="str">
        <f>HYPERLINK("https://www.boe.es/gazeta/dias/1834/12/20/pdfs/GMD-C-1834-310.pdf#page=6","Abrir facsímil")</f>
        <v>Abrir facsímil</v>
      </c>
      <c r="K1006" s="3" t="s">
        <v>24</v>
      </c>
    </row>
    <row r="1007" spans="1:11" ht="54" customHeight="1">
      <c r="A1007" s="2" t="s">
        <v>2666</v>
      </c>
      <c r="B1007" s="2" t="s">
        <v>2666</v>
      </c>
      <c r="C1007" s="2" t="s">
        <v>90</v>
      </c>
      <c r="D1007" s="2" t="s">
        <v>55</v>
      </c>
      <c r="E1007" s="5" t="s">
        <v>1973</v>
      </c>
      <c r="F1007" s="3" t="s">
        <v>1974</v>
      </c>
      <c r="G1007" s="3" t="s">
        <v>560</v>
      </c>
      <c r="H1007" s="2" t="s">
        <v>22</v>
      </c>
      <c r="I1007" s="2" t="s">
        <v>2690</v>
      </c>
      <c r="J1007" s="3" t="str">
        <f>HYPERLINK("https://www.boe.es/gazeta/dias/1834/12/20/pdfs/GMD-C-1834-310.pdf#page=7","Abrir facsímil")</f>
        <v>Abrir facsímil</v>
      </c>
      <c r="K1007" s="3" t="s">
        <v>24</v>
      </c>
    </row>
    <row r="1008" spans="1:11" ht="54" customHeight="1">
      <c r="A1008" s="2" t="s">
        <v>2666</v>
      </c>
      <c r="B1008" s="2" t="s">
        <v>2666</v>
      </c>
      <c r="C1008" s="2" t="s">
        <v>90</v>
      </c>
      <c r="D1008" s="2" t="s">
        <v>18</v>
      </c>
      <c r="E1008" s="5" t="s">
        <v>647</v>
      </c>
      <c r="F1008" s="3" t="s">
        <v>648</v>
      </c>
      <c r="G1008" s="3" t="s">
        <v>86</v>
      </c>
      <c r="H1008" s="2" t="s">
        <v>22</v>
      </c>
      <c r="I1008" s="2" t="s">
        <v>2691</v>
      </c>
      <c r="J1008" s="3" t="str">
        <f>HYPERLINK("https://www.boe.es/gazeta/dias/1834/10/21/pdfs/GMD-C-1834-249.pdf#page=2","Abrir facsímil")</f>
        <v>Abrir facsímil</v>
      </c>
      <c r="K1008" s="3" t="s">
        <v>24</v>
      </c>
    </row>
    <row r="1009" spans="1:11" ht="54" customHeight="1">
      <c r="A1009" s="2" t="s">
        <v>2666</v>
      </c>
      <c r="B1009" s="2" t="s">
        <v>2666</v>
      </c>
      <c r="C1009" s="2" t="s">
        <v>17</v>
      </c>
      <c r="D1009" s="2" t="s">
        <v>18</v>
      </c>
      <c r="E1009" s="5" t="s">
        <v>647</v>
      </c>
      <c r="F1009" s="3" t="s">
        <v>648</v>
      </c>
      <c r="G1009" s="3" t="s">
        <v>21</v>
      </c>
      <c r="H1009" s="2" t="s">
        <v>22</v>
      </c>
      <c r="I1009" s="2" t="s">
        <v>2692</v>
      </c>
      <c r="J1009" s="3" t="str">
        <f>HYPERLINK("https://www.boe.es/gazeta/dias/1834/10/21/pdfs/GMD-C-1834-249.pdf#page=3","Abrir facsímil")</f>
        <v>Abrir facsímil</v>
      </c>
      <c r="K1009" s="3" t="s">
        <v>24</v>
      </c>
    </row>
    <row r="1010" spans="1:11" ht="54" customHeight="1">
      <c r="A1010" s="2" t="s">
        <v>2666</v>
      </c>
      <c r="B1010" s="2" t="s">
        <v>2666</v>
      </c>
      <c r="C1010" s="2" t="s">
        <v>46</v>
      </c>
      <c r="D1010" s="2" t="s">
        <v>101</v>
      </c>
      <c r="E1010" s="5" t="s">
        <v>647</v>
      </c>
      <c r="F1010" s="3" t="s">
        <v>648</v>
      </c>
      <c r="G1010" s="3" t="s">
        <v>75</v>
      </c>
      <c r="H1010" s="2" t="s">
        <v>22</v>
      </c>
      <c r="I1010" s="2" t="s">
        <v>2693</v>
      </c>
      <c r="J1010" s="3" t="str">
        <f>HYPERLINK("https://www.boe.es/gazeta/dias/1834/10/21/pdfs/GMD-C-1834-249.pdf#page=4","Abrir facsímil")</f>
        <v>Abrir facsímil</v>
      </c>
      <c r="K1010" s="3" t="s">
        <v>24</v>
      </c>
    </row>
    <row r="1011" spans="1:11" ht="54" customHeight="1">
      <c r="A1011" s="2" t="s">
        <v>2666</v>
      </c>
      <c r="B1011" s="2" t="s">
        <v>2666</v>
      </c>
      <c r="C1011" s="2" t="s">
        <v>90</v>
      </c>
      <c r="D1011" s="2" t="s">
        <v>55</v>
      </c>
      <c r="E1011" s="5" t="s">
        <v>647</v>
      </c>
      <c r="F1011" s="3" t="s">
        <v>648</v>
      </c>
      <c r="G1011" s="3" t="s">
        <v>28</v>
      </c>
      <c r="H1011" s="2" t="s">
        <v>22</v>
      </c>
      <c r="I1011" s="2" t="s">
        <v>2694</v>
      </c>
      <c r="J1011" s="3" t="str">
        <f>HYPERLINK("https://www.boe.es/gazeta/dias/1834/10/21/pdfs/GMD-C-1834-249.pdf#page=5","Abrir facsímil")</f>
        <v>Abrir facsímil</v>
      </c>
      <c r="K1011" s="3" t="s">
        <v>24</v>
      </c>
    </row>
    <row r="1012" spans="1:11" ht="54" customHeight="1">
      <c r="A1012" s="2" t="s">
        <v>2666</v>
      </c>
      <c r="B1012" s="2" t="s">
        <v>2666</v>
      </c>
      <c r="C1012" s="2" t="s">
        <v>46</v>
      </c>
      <c r="D1012" s="2" t="s">
        <v>101</v>
      </c>
      <c r="E1012" s="5" t="s">
        <v>647</v>
      </c>
      <c r="F1012" s="3" t="s">
        <v>648</v>
      </c>
      <c r="G1012" s="3" t="s">
        <v>176</v>
      </c>
      <c r="H1012" s="2" t="s">
        <v>22</v>
      </c>
      <c r="I1012" s="2" t="s">
        <v>2695</v>
      </c>
      <c r="J1012" s="3" t="str">
        <f>HYPERLINK("https://www.boe.es/gazeta/dias/1834/10/21/pdfs/GMD-C-1834-249.pdf#page=6","Abrir facsímil")</f>
        <v>Abrir facsímil</v>
      </c>
      <c r="K1012" s="3" t="s">
        <v>24</v>
      </c>
    </row>
    <row r="1013" spans="1:11" ht="54" customHeight="1">
      <c r="A1013" s="2" t="s">
        <v>2666</v>
      </c>
      <c r="B1013" s="2" t="s">
        <v>2666</v>
      </c>
      <c r="C1013" s="2" t="s">
        <v>17</v>
      </c>
      <c r="D1013" s="2" t="s">
        <v>18</v>
      </c>
      <c r="E1013" s="5" t="s">
        <v>647</v>
      </c>
      <c r="F1013" s="3" t="s">
        <v>648</v>
      </c>
      <c r="G1013" s="3" t="s">
        <v>560</v>
      </c>
      <c r="H1013" s="2" t="s">
        <v>22</v>
      </c>
      <c r="I1013" s="2" t="s">
        <v>2696</v>
      </c>
      <c r="J1013" s="3" t="str">
        <f>HYPERLINK("https://www.boe.es/gazeta/dias/1834/10/21/pdfs/GMD-C-1834-249.pdf#page=7","Abrir facsímil")</f>
        <v>Abrir facsímil</v>
      </c>
      <c r="K1013" s="3" t="s">
        <v>24</v>
      </c>
    </row>
    <row r="1014" spans="1:11" ht="54" customHeight="1">
      <c r="A1014" s="2" t="s">
        <v>2666</v>
      </c>
      <c r="B1014" s="2" t="s">
        <v>2666</v>
      </c>
      <c r="C1014" s="2" t="s">
        <v>17</v>
      </c>
      <c r="D1014" s="2" t="s">
        <v>18</v>
      </c>
      <c r="E1014" s="5" t="s">
        <v>610</v>
      </c>
      <c r="F1014" s="3" t="s">
        <v>611</v>
      </c>
      <c r="G1014" s="3" t="s">
        <v>176</v>
      </c>
      <c r="H1014" s="2" t="s">
        <v>22</v>
      </c>
      <c r="I1014" s="2" t="s">
        <v>2697</v>
      </c>
      <c r="J1014" s="3" t="str">
        <f>HYPERLINK("https://www.boe.es/gazeta/dias/1834/12/21/pdfs/GMD-C-1834-311.pdf#page=6","Abrir facsímil")</f>
        <v>Abrir facsímil</v>
      </c>
      <c r="K1014" s="3" t="s">
        <v>24</v>
      </c>
    </row>
    <row r="1015" spans="1:11" ht="54" customHeight="1">
      <c r="A1015" s="2" t="s">
        <v>2666</v>
      </c>
      <c r="B1015" s="2" t="s">
        <v>2666</v>
      </c>
      <c r="C1015" s="2" t="s">
        <v>46</v>
      </c>
      <c r="D1015" s="2" t="s">
        <v>101</v>
      </c>
      <c r="E1015" s="5" t="s">
        <v>394</v>
      </c>
      <c r="F1015" s="3" t="s">
        <v>459</v>
      </c>
      <c r="G1015" s="3" t="s">
        <v>75</v>
      </c>
      <c r="H1015" s="2" t="s">
        <v>22</v>
      </c>
      <c r="I1015" s="2" t="s">
        <v>2698</v>
      </c>
      <c r="J1015" s="3" t="str">
        <f>HYPERLINK("https://www.boe.es/gazeta/dias/1834/12/23/pdfs/GMD-C-1834-313.pdf#page=4","Abrir facsímil")</f>
        <v>Abrir facsímil</v>
      </c>
      <c r="K1015" s="3" t="s">
        <v>24</v>
      </c>
    </row>
    <row r="1016" spans="1:11" ht="54" customHeight="1">
      <c r="A1016" s="2" t="s">
        <v>2666</v>
      </c>
      <c r="B1016" s="2" t="s">
        <v>2666</v>
      </c>
      <c r="C1016" s="2" t="s">
        <v>46</v>
      </c>
      <c r="D1016" s="2" t="s">
        <v>101</v>
      </c>
      <c r="E1016" s="5" t="s">
        <v>128</v>
      </c>
      <c r="F1016" s="3" t="s">
        <v>129</v>
      </c>
      <c r="G1016" s="3" t="s">
        <v>86</v>
      </c>
      <c r="H1016" s="2" t="s">
        <v>22</v>
      </c>
      <c r="I1016" s="2" t="s">
        <v>2699</v>
      </c>
      <c r="J1016" s="3" t="str">
        <f>HYPERLINK("https://www.boe.es/gazeta/dias/1834/12/24/pdfs/GMD-C-1834-314.pdf#page=2","Abrir facsímil")</f>
        <v>Abrir facsímil</v>
      </c>
      <c r="K1016" s="3" t="s">
        <v>24</v>
      </c>
    </row>
    <row r="1017" spans="1:11" ht="54" customHeight="1">
      <c r="A1017" s="2" t="s">
        <v>2666</v>
      </c>
      <c r="B1017" s="2" t="s">
        <v>2666</v>
      </c>
      <c r="C1017" s="2" t="s">
        <v>17</v>
      </c>
      <c r="D1017" s="2" t="s">
        <v>18</v>
      </c>
      <c r="E1017" s="5" t="s">
        <v>128</v>
      </c>
      <c r="F1017" s="3" t="s">
        <v>129</v>
      </c>
      <c r="G1017" s="3" t="s">
        <v>21</v>
      </c>
      <c r="H1017" s="2" t="s">
        <v>22</v>
      </c>
      <c r="I1017" s="2" t="s">
        <v>2700</v>
      </c>
      <c r="J1017" s="3" t="str">
        <f>HYPERLINK("https://www.boe.es/gazeta/dias/1834/12/24/pdfs/GMD-C-1834-314.pdf#page=3","Abrir facsímil")</f>
        <v>Abrir facsímil</v>
      </c>
      <c r="K1017" s="3" t="s">
        <v>24</v>
      </c>
    </row>
    <row r="1018" spans="1:11" ht="54" customHeight="1">
      <c r="A1018" s="2" t="s">
        <v>2666</v>
      </c>
      <c r="B1018" s="2" t="s">
        <v>2666</v>
      </c>
      <c r="C1018" s="2" t="s">
        <v>90</v>
      </c>
      <c r="D1018" s="2" t="s">
        <v>18</v>
      </c>
      <c r="E1018" s="5" t="s">
        <v>128</v>
      </c>
      <c r="F1018" s="3" t="s">
        <v>129</v>
      </c>
      <c r="G1018" s="3" t="s">
        <v>176</v>
      </c>
      <c r="H1018" s="2" t="s">
        <v>22</v>
      </c>
      <c r="I1018" s="2" t="s">
        <v>2701</v>
      </c>
      <c r="J1018" s="3" t="str">
        <f>HYPERLINK("https://www.boe.es/gazeta/dias/1834/12/24/pdfs/GMD-C-1834-314.pdf#page=6","Abrir facsímil")</f>
        <v>Abrir facsímil</v>
      </c>
      <c r="K1018" s="3" t="s">
        <v>24</v>
      </c>
    </row>
    <row r="1019" spans="1:11" ht="54" customHeight="1">
      <c r="A1019" s="2" t="s">
        <v>2666</v>
      </c>
      <c r="B1019" s="2" t="s">
        <v>2666</v>
      </c>
      <c r="C1019" s="2" t="s">
        <v>17</v>
      </c>
      <c r="D1019" s="2" t="s">
        <v>18</v>
      </c>
      <c r="E1019" s="5" t="s">
        <v>524</v>
      </c>
      <c r="F1019" s="3" t="s">
        <v>525</v>
      </c>
      <c r="G1019" s="3" t="s">
        <v>34</v>
      </c>
      <c r="H1019" s="2" t="s">
        <v>22</v>
      </c>
      <c r="I1019" s="2" t="s">
        <v>2702</v>
      </c>
      <c r="J1019" s="3" t="str">
        <f>HYPERLINK("https://www.boe.es/gazeta/dias/1834/12/25/pdfs/GMD-C-1834-315.pdf#page=1","Abrir facsímil")</f>
        <v>Abrir facsímil</v>
      </c>
      <c r="K1019" s="3" t="s">
        <v>24</v>
      </c>
    </row>
    <row r="1020" spans="1:11" ht="54" customHeight="1">
      <c r="A1020" s="2" t="s">
        <v>2666</v>
      </c>
      <c r="B1020" s="2" t="s">
        <v>2666</v>
      </c>
      <c r="C1020" s="2" t="s">
        <v>90</v>
      </c>
      <c r="D1020" s="2" t="s">
        <v>18</v>
      </c>
      <c r="E1020" s="5" t="s">
        <v>524</v>
      </c>
      <c r="F1020" s="3" t="s">
        <v>525</v>
      </c>
      <c r="G1020" s="3" t="s">
        <v>86</v>
      </c>
      <c r="H1020" s="2" t="s">
        <v>22</v>
      </c>
      <c r="I1020" s="2" t="s">
        <v>2703</v>
      </c>
      <c r="J1020" s="3" t="str">
        <f>HYPERLINK("https://www.boe.es/gazeta/dias/1834/12/25/pdfs/GMD-C-1834-315.pdf#page=2","Abrir facsímil")</f>
        <v>Abrir facsímil</v>
      </c>
      <c r="K1020" s="3" t="s">
        <v>24</v>
      </c>
    </row>
    <row r="1021" spans="1:11" ht="54" customHeight="1">
      <c r="A1021" s="2" t="s">
        <v>2666</v>
      </c>
      <c r="B1021" s="2" t="s">
        <v>2666</v>
      </c>
      <c r="C1021" s="2" t="s">
        <v>17</v>
      </c>
      <c r="D1021" s="2" t="s">
        <v>18</v>
      </c>
      <c r="E1021" s="5" t="s">
        <v>777</v>
      </c>
      <c r="F1021" s="3" t="s">
        <v>2535</v>
      </c>
      <c r="G1021" s="3" t="s">
        <v>28</v>
      </c>
      <c r="H1021" s="2" t="s">
        <v>22</v>
      </c>
      <c r="I1021" s="2" t="s">
        <v>2704</v>
      </c>
      <c r="J1021" s="3" t="str">
        <f>HYPERLINK("https://www.boe.es/gazeta/dias/1834/10/29/pdfs/GMD-C-1834-257.pdf#page=5","Abrir facsímil")</f>
        <v>Abrir facsímil</v>
      </c>
      <c r="K1021" s="3" t="s">
        <v>24</v>
      </c>
    </row>
    <row r="1022" spans="1:11" ht="54" customHeight="1">
      <c r="A1022" s="2" t="s">
        <v>2666</v>
      </c>
      <c r="B1022" s="2" t="s">
        <v>2666</v>
      </c>
      <c r="C1022" s="2" t="s">
        <v>17</v>
      </c>
      <c r="D1022" s="2" t="s">
        <v>18</v>
      </c>
      <c r="E1022" s="5" t="s">
        <v>777</v>
      </c>
      <c r="F1022" s="3" t="s">
        <v>2535</v>
      </c>
      <c r="G1022" s="3" t="s">
        <v>176</v>
      </c>
      <c r="H1022" s="2" t="s">
        <v>22</v>
      </c>
      <c r="I1022" s="2" t="s">
        <v>2705</v>
      </c>
      <c r="J1022" s="3" t="str">
        <f>HYPERLINK("https://www.boe.es/gazeta/dias/1834/10/29/pdfs/GMD-C-1834-257.pdf#page=6","Abrir facsímil")</f>
        <v>Abrir facsímil</v>
      </c>
      <c r="K1022" s="3" t="s">
        <v>24</v>
      </c>
    </row>
    <row r="1023" spans="1:11" ht="54" customHeight="1">
      <c r="A1023" s="2" t="s">
        <v>2666</v>
      </c>
      <c r="B1023" s="2" t="s">
        <v>2666</v>
      </c>
      <c r="C1023" s="2" t="s">
        <v>17</v>
      </c>
      <c r="D1023" s="2" t="s">
        <v>18</v>
      </c>
      <c r="E1023" s="5" t="s">
        <v>283</v>
      </c>
      <c r="F1023" s="3" t="s">
        <v>284</v>
      </c>
      <c r="G1023" s="3" t="s">
        <v>28</v>
      </c>
      <c r="H1023" s="2" t="s">
        <v>22</v>
      </c>
      <c r="I1023" s="2" t="s">
        <v>2706</v>
      </c>
      <c r="J1023" s="3" t="str">
        <f>HYPERLINK("https://www.boe.es/gazeta/dias/1834/11/29/pdfs/GMD-C-1834-288.pdf#page=5","Abrir facsímil")</f>
        <v>Abrir facsímil</v>
      </c>
      <c r="K1023" s="3" t="s">
        <v>24</v>
      </c>
    </row>
    <row r="1024" spans="1:11" ht="54" customHeight="1">
      <c r="A1024" s="2" t="s">
        <v>2666</v>
      </c>
      <c r="B1024" s="2" t="s">
        <v>2666</v>
      </c>
      <c r="C1024" s="2" t="s">
        <v>66</v>
      </c>
      <c r="D1024" s="2" t="s">
        <v>67</v>
      </c>
      <c r="E1024" s="5" t="s">
        <v>2526</v>
      </c>
      <c r="F1024" s="3" t="s">
        <v>2527</v>
      </c>
      <c r="G1024" s="3" t="s">
        <v>75</v>
      </c>
      <c r="H1024" s="2" t="s">
        <v>22</v>
      </c>
      <c r="I1024" s="2" t="s">
        <v>2707</v>
      </c>
      <c r="J1024" s="3" t="str">
        <f>HYPERLINK("https://www.boe.es/gazeta/dias/1834/12/29/pdfs/GMD-C-1834-319.pdf#page=4","Abrir facsímil")</f>
        <v>Abrir facsímil</v>
      </c>
      <c r="K1024" s="3" t="s">
        <v>24</v>
      </c>
    </row>
    <row r="1025" spans="1:11" ht="54" customHeight="1">
      <c r="A1025" s="2" t="s">
        <v>2666</v>
      </c>
      <c r="B1025" s="2" t="s">
        <v>2666</v>
      </c>
      <c r="C1025" s="2" t="s">
        <v>66</v>
      </c>
      <c r="D1025" s="2" t="s">
        <v>67</v>
      </c>
      <c r="E1025" s="5" t="s">
        <v>153</v>
      </c>
      <c r="F1025" s="3" t="s">
        <v>154</v>
      </c>
      <c r="G1025" s="3" t="s">
        <v>86</v>
      </c>
      <c r="H1025" s="2" t="s">
        <v>22</v>
      </c>
      <c r="I1025" s="2" t="s">
        <v>2708</v>
      </c>
      <c r="J1025" s="3" t="str">
        <f>HYPERLINK("https://www.boe.es/gazeta/dias/1834/12/30/pdfs/GMD-C-1834-320.pdf#page=2","Abrir facsímil")</f>
        <v>Abrir facsímil</v>
      </c>
      <c r="K1025" s="3" t="s">
        <v>24</v>
      </c>
    </row>
    <row r="1026" spans="1:11" ht="54" customHeight="1">
      <c r="A1026" s="2" t="s">
        <v>2666</v>
      </c>
      <c r="B1026" s="2" t="s">
        <v>2666</v>
      </c>
      <c r="C1026" s="2" t="s">
        <v>90</v>
      </c>
      <c r="D1026" s="2" t="s">
        <v>18</v>
      </c>
      <c r="E1026" s="5" t="s">
        <v>153</v>
      </c>
      <c r="F1026" s="3" t="s">
        <v>154</v>
      </c>
      <c r="G1026" s="3" t="s">
        <v>21</v>
      </c>
      <c r="H1026" s="2" t="s">
        <v>22</v>
      </c>
      <c r="I1026" s="2" t="s">
        <v>2709</v>
      </c>
      <c r="J1026" s="3" t="str">
        <f>HYPERLINK("https://www.boe.es/gazeta/dias/1834/12/30/pdfs/GMD-C-1834-320.pdf#page=3","Abrir facsímil")</f>
        <v>Abrir facsímil</v>
      </c>
      <c r="K1026" s="3" t="s">
        <v>24</v>
      </c>
    </row>
    <row r="1027" spans="1:11" ht="54" customHeight="1">
      <c r="A1027" s="2" t="s">
        <v>2666</v>
      </c>
      <c r="B1027" s="2" t="s">
        <v>2666</v>
      </c>
      <c r="C1027" s="2" t="s">
        <v>66</v>
      </c>
      <c r="D1027" s="2" t="s">
        <v>67</v>
      </c>
      <c r="E1027" s="5" t="s">
        <v>153</v>
      </c>
      <c r="F1027" s="3" t="s">
        <v>154</v>
      </c>
      <c r="G1027" s="3" t="s">
        <v>28</v>
      </c>
      <c r="H1027" s="2" t="s">
        <v>22</v>
      </c>
      <c r="I1027" s="2" t="s">
        <v>2710</v>
      </c>
      <c r="J1027" s="3" t="str">
        <f>HYPERLINK("https://www.boe.es/gazeta/dias/1834/12/30/pdfs/GMD-C-1834-320.pdf#page=5","Abrir facsímil")</f>
        <v>Abrir facsímil</v>
      </c>
      <c r="K1027" s="3" t="s">
        <v>24</v>
      </c>
    </row>
    <row r="1028" spans="1:11" ht="54" customHeight="1">
      <c r="A1028" s="2" t="s">
        <v>2666</v>
      </c>
      <c r="B1028" s="2" t="s">
        <v>2666</v>
      </c>
      <c r="C1028" s="2" t="s">
        <v>66</v>
      </c>
      <c r="D1028" s="2" t="s">
        <v>55</v>
      </c>
      <c r="E1028" s="5" t="s">
        <v>153</v>
      </c>
      <c r="F1028" s="3" t="s">
        <v>154</v>
      </c>
      <c r="G1028" s="3" t="s">
        <v>176</v>
      </c>
      <c r="H1028" s="2" t="s">
        <v>22</v>
      </c>
      <c r="I1028" s="2" t="s">
        <v>2711</v>
      </c>
      <c r="J1028" s="3" t="str">
        <f>HYPERLINK("https://www.boe.es/gazeta/dias/1834/12/30/pdfs/GMD-C-1834-320.pdf#page=6","Abrir facsímil")</f>
        <v>Abrir facsímil</v>
      </c>
      <c r="K1028" s="3" t="s">
        <v>24</v>
      </c>
    </row>
    <row r="1029" spans="1:11" ht="54" customHeight="1">
      <c r="A1029" s="2" t="s">
        <v>2666</v>
      </c>
      <c r="B1029" s="2" t="s">
        <v>2666</v>
      </c>
      <c r="C1029" s="2" t="s">
        <v>17</v>
      </c>
      <c r="D1029" s="2" t="s">
        <v>40</v>
      </c>
      <c r="E1029" s="5" t="s">
        <v>891</v>
      </c>
      <c r="F1029" s="3" t="s">
        <v>892</v>
      </c>
      <c r="G1029" s="3" t="s">
        <v>86</v>
      </c>
      <c r="H1029" s="2" t="s">
        <v>22</v>
      </c>
      <c r="I1029" s="2" t="s">
        <v>2712</v>
      </c>
      <c r="J1029" s="3" t="str">
        <f>HYPERLINK("https://www.boe.es/gazeta/dias/1834/10/31/pdfs/GMD-C-1834-259.pdf#page=2","Abrir facsímil")</f>
        <v>Abrir facsímil</v>
      </c>
      <c r="K1029" s="3" t="s">
        <v>24</v>
      </c>
    </row>
    <row r="1030" spans="1:11" ht="54" customHeight="1">
      <c r="A1030" s="2" t="s">
        <v>2666</v>
      </c>
      <c r="B1030" s="2" t="s">
        <v>2666</v>
      </c>
      <c r="C1030" s="2" t="s">
        <v>17</v>
      </c>
      <c r="D1030" s="2" t="s">
        <v>18</v>
      </c>
      <c r="E1030" s="5" t="s">
        <v>192</v>
      </c>
      <c r="F1030" s="3" t="s">
        <v>2713</v>
      </c>
      <c r="G1030" s="3" t="s">
        <v>75</v>
      </c>
      <c r="H1030" s="2" t="s">
        <v>22</v>
      </c>
      <c r="I1030" s="2" t="s">
        <v>2714</v>
      </c>
      <c r="J1030" s="3" t="str">
        <f>HYPERLINK("https://www.boe.es/gazeta/dias/1834/12/31/pdfs/GMD-C-1834-321.pdf#page=4","Abrir facsímil")</f>
        <v>Abrir facsímil</v>
      </c>
      <c r="K1030" s="3" t="s">
        <v>24</v>
      </c>
    </row>
    <row r="1031" spans="1:11" ht="54" customHeight="1">
      <c r="A1031" s="2" t="s">
        <v>2715</v>
      </c>
      <c r="B1031" s="2" t="s">
        <v>2716</v>
      </c>
      <c r="C1031" s="2" t="s">
        <v>122</v>
      </c>
      <c r="D1031" s="2" t="s">
        <v>18</v>
      </c>
      <c r="E1031" s="5" t="s">
        <v>167</v>
      </c>
      <c r="F1031" s="3" t="s">
        <v>1200</v>
      </c>
      <c r="G1031" s="3" t="s">
        <v>86</v>
      </c>
      <c r="H1031" s="2" t="s">
        <v>22</v>
      </c>
      <c r="I1031" s="2" t="s">
        <v>2717</v>
      </c>
      <c r="J1031" s="3" t="str">
        <f>HYPERLINK("https://www.boe.es/gazeta/dias/1834/09/07/pdfs/GMD-C-1834-205.pdf#page=2","Abrir facsímil")</f>
        <v>Abrir facsímil</v>
      </c>
      <c r="K1031" s="3" t="s">
        <v>24</v>
      </c>
    </row>
    <row r="1032" spans="1:11" ht="54" customHeight="1">
      <c r="A1032" s="2" t="s">
        <v>2715</v>
      </c>
      <c r="B1032" s="2" t="s">
        <v>2716</v>
      </c>
      <c r="C1032" s="2" t="s">
        <v>90</v>
      </c>
      <c r="D1032" s="2" t="s">
        <v>18</v>
      </c>
      <c r="E1032" s="5" t="s">
        <v>222</v>
      </c>
      <c r="F1032" s="3" t="s">
        <v>223</v>
      </c>
      <c r="G1032" s="3" t="s">
        <v>86</v>
      </c>
      <c r="H1032" s="2" t="s">
        <v>22</v>
      </c>
      <c r="I1032" s="2" t="s">
        <v>2718</v>
      </c>
      <c r="J1032" s="3" t="str">
        <f>HYPERLINK("https://www.boe.es/gazeta/dias/1834/09/14/pdfs/GMD-1834-212.pdf#page=2","Abrir facsímil")</f>
        <v>Abrir facsímil</v>
      </c>
      <c r="K1032" s="3" t="s">
        <v>24</v>
      </c>
    </row>
    <row r="1033" spans="1:11" ht="54" customHeight="1">
      <c r="A1033" s="2" t="s">
        <v>2715</v>
      </c>
      <c r="B1033" s="2" t="s">
        <v>2716</v>
      </c>
      <c r="C1033" s="2" t="s">
        <v>17</v>
      </c>
      <c r="D1033" s="2" t="s">
        <v>18</v>
      </c>
      <c r="E1033" s="5" t="s">
        <v>454</v>
      </c>
      <c r="F1033" s="3" t="s">
        <v>455</v>
      </c>
      <c r="G1033" s="3" t="s">
        <v>34</v>
      </c>
      <c r="H1033" s="2" t="s">
        <v>22</v>
      </c>
      <c r="I1033" s="2" t="s">
        <v>2719</v>
      </c>
      <c r="J1033" s="3" t="str">
        <f>HYPERLINK("https://www.boe.es/gazeta/dias/1834/10/16/pdfs/GMD-C-1834-244.pdf#page=1","Abrir facsímil")</f>
        <v>Abrir facsímil</v>
      </c>
      <c r="K1033" s="3" t="s">
        <v>24</v>
      </c>
    </row>
    <row r="1034" spans="1:11" ht="54" customHeight="1">
      <c r="A1034" s="2" t="s">
        <v>2715</v>
      </c>
      <c r="B1034" s="2" t="s">
        <v>2716</v>
      </c>
      <c r="C1034" s="2" t="s">
        <v>46</v>
      </c>
      <c r="D1034" s="2" t="s">
        <v>18</v>
      </c>
      <c r="E1034" s="5" t="s">
        <v>454</v>
      </c>
      <c r="F1034" s="3" t="s">
        <v>455</v>
      </c>
      <c r="G1034" s="3" t="s">
        <v>86</v>
      </c>
      <c r="H1034" s="2" t="s">
        <v>22</v>
      </c>
      <c r="I1034" s="2" t="s">
        <v>2720</v>
      </c>
      <c r="J1034" s="3" t="str">
        <f>HYPERLINK("https://www.boe.es/gazeta/dias/1834/10/16/pdfs/GMD-C-1834-244.pdf#page=2","Abrir facsímil")</f>
        <v>Abrir facsímil</v>
      </c>
      <c r="K1034" s="3" t="s">
        <v>24</v>
      </c>
    </row>
    <row r="1035" spans="1:11" ht="54" customHeight="1">
      <c r="A1035" s="2" t="s">
        <v>2715</v>
      </c>
      <c r="B1035" s="2" t="s">
        <v>2716</v>
      </c>
      <c r="C1035" s="2" t="s">
        <v>90</v>
      </c>
      <c r="D1035" s="2" t="s">
        <v>67</v>
      </c>
      <c r="E1035" s="5" t="s">
        <v>1195</v>
      </c>
      <c r="F1035" s="3" t="s">
        <v>1196</v>
      </c>
      <c r="G1035" s="3" t="s">
        <v>34</v>
      </c>
      <c r="H1035" s="2" t="s">
        <v>22</v>
      </c>
      <c r="I1035" s="2" t="s">
        <v>2721</v>
      </c>
      <c r="J1035" s="3" t="str">
        <f>HYPERLINK("https://www.boe.es/gazeta/dias/1834/10/17/pdfs/GMD-C-1834-245.pdf#page=1","Abrir facsímil")</f>
        <v>Abrir facsímil</v>
      </c>
      <c r="K1035" s="3" t="s">
        <v>24</v>
      </c>
    </row>
    <row r="1036" spans="1:11" ht="54" customHeight="1">
      <c r="A1036" s="2" t="s">
        <v>2722</v>
      </c>
      <c r="B1036" s="2" t="s">
        <v>2723</v>
      </c>
      <c r="C1036" s="2" t="s">
        <v>17</v>
      </c>
      <c r="D1036" s="2" t="s">
        <v>18</v>
      </c>
      <c r="E1036" s="5" t="s">
        <v>451</v>
      </c>
      <c r="F1036" s="3" t="s">
        <v>452</v>
      </c>
      <c r="G1036" s="3" t="s">
        <v>34</v>
      </c>
      <c r="H1036" s="2" t="s">
        <v>35</v>
      </c>
      <c r="I1036" s="2" t="s">
        <v>2724</v>
      </c>
      <c r="J1036" s="3" t="str">
        <f>HYPERLINK("https://www.boe.es/gazeta/dias/1834/10/15/pdfs/GMD-C-1834-243.pdf#page=1","Abrir facsímil")</f>
        <v>Abrir facsímil</v>
      </c>
      <c r="K1036" s="3" t="s">
        <v>37</v>
      </c>
    </row>
    <row r="1037" spans="1:11" ht="54" customHeight="1">
      <c r="A1037" s="2" t="s">
        <v>2722</v>
      </c>
      <c r="B1037" s="2" t="s">
        <v>2723</v>
      </c>
      <c r="C1037" s="2" t="s">
        <v>17</v>
      </c>
      <c r="D1037" s="2" t="s">
        <v>18</v>
      </c>
      <c r="E1037" s="5" t="s">
        <v>454</v>
      </c>
      <c r="F1037" s="3" t="s">
        <v>455</v>
      </c>
      <c r="G1037" s="3" t="s">
        <v>34</v>
      </c>
      <c r="H1037" s="2" t="s">
        <v>35</v>
      </c>
      <c r="I1037" s="2" t="s">
        <v>2725</v>
      </c>
      <c r="J1037" s="3" t="str">
        <f>HYPERLINK("https://www.boe.es/gazeta/dias/1834/10/16/pdfs/GMD-C-1834-244.pdf#page=1","Abrir facsímil")</f>
        <v>Abrir facsímil</v>
      </c>
      <c r="K1037" s="3" t="s">
        <v>37</v>
      </c>
    </row>
    <row r="1038" spans="1:11" ht="54" customHeight="1">
      <c r="A1038" s="2" t="s">
        <v>2722</v>
      </c>
      <c r="B1038" s="2" t="s">
        <v>2723</v>
      </c>
      <c r="C1038" s="2" t="s">
        <v>90</v>
      </c>
      <c r="D1038" s="2" t="s">
        <v>67</v>
      </c>
      <c r="E1038" s="5" t="s">
        <v>1195</v>
      </c>
      <c r="F1038" s="3" t="s">
        <v>1196</v>
      </c>
      <c r="G1038" s="3" t="s">
        <v>34</v>
      </c>
      <c r="H1038" s="2" t="s">
        <v>35</v>
      </c>
      <c r="I1038" s="2" t="s">
        <v>2726</v>
      </c>
      <c r="J1038" s="3" t="str">
        <f>HYPERLINK("https://www.boe.es/gazeta/dias/1834/10/17/pdfs/GMD-C-1834-245.pdf#page=1","Abrir facsímil")</f>
        <v>Abrir facsímil</v>
      </c>
      <c r="K1038" s="3" t="s">
        <v>37</v>
      </c>
    </row>
    <row r="1039" spans="1:11" ht="54" customHeight="1">
      <c r="A1039" s="2" t="s">
        <v>2727</v>
      </c>
      <c r="B1039" s="2" t="s">
        <v>2728</v>
      </c>
      <c r="C1039" s="2" t="s">
        <v>122</v>
      </c>
      <c r="D1039" s="2" t="s">
        <v>18</v>
      </c>
      <c r="E1039" s="5" t="s">
        <v>2729</v>
      </c>
      <c r="F1039" s="3" t="s">
        <v>2730</v>
      </c>
      <c r="G1039" s="3" t="s">
        <v>21</v>
      </c>
      <c r="H1039" s="2" t="s">
        <v>35</v>
      </c>
      <c r="I1039" s="2" t="s">
        <v>2731</v>
      </c>
      <c r="J1039" s="3" t="str">
        <f>HYPERLINK("https://www.boe.es/gazeta/dias/1834/07/02/pdfs/GMD-1834-135.pdf#page=3","Abrir facsímil")</f>
        <v>Abrir facsímil</v>
      </c>
      <c r="K1039" s="3" t="s">
        <v>37</v>
      </c>
    </row>
    <row r="1040" spans="1:11" ht="54" customHeight="1">
      <c r="A1040" s="2" t="s">
        <v>2732</v>
      </c>
      <c r="B1040" s="2" t="s">
        <v>2733</v>
      </c>
      <c r="C1040" s="2" t="s">
        <v>66</v>
      </c>
      <c r="D1040" s="2" t="s">
        <v>67</v>
      </c>
      <c r="E1040" s="5" t="s">
        <v>808</v>
      </c>
      <c r="F1040" s="3" t="s">
        <v>809</v>
      </c>
      <c r="G1040" s="3" t="s">
        <v>75</v>
      </c>
      <c r="H1040" s="2" t="s">
        <v>35</v>
      </c>
      <c r="I1040" s="2" t="s">
        <v>2734</v>
      </c>
      <c r="J1040" s="3" t="str">
        <f>HYPERLINK("https://www.boe.es/gazeta/dias/1834/10/11/pdfs/GMD-1834-239.pdf#page=4","Abrir facsímil")</f>
        <v>Abrir facsímil</v>
      </c>
      <c r="K1040" s="3" t="s">
        <v>37</v>
      </c>
    </row>
    <row r="1041" spans="1:11" ht="54" customHeight="1">
      <c r="A1041" s="2" t="s">
        <v>2735</v>
      </c>
      <c r="B1041" s="2" t="s">
        <v>2736</v>
      </c>
      <c r="C1041" s="2" t="s">
        <v>122</v>
      </c>
      <c r="D1041" s="2" t="s">
        <v>18</v>
      </c>
      <c r="E1041" s="5" t="s">
        <v>2729</v>
      </c>
      <c r="F1041" s="3" t="s">
        <v>2730</v>
      </c>
      <c r="G1041" s="3" t="s">
        <v>21</v>
      </c>
      <c r="H1041" s="2" t="s">
        <v>22</v>
      </c>
      <c r="I1041" s="2" t="s">
        <v>2737</v>
      </c>
      <c r="J1041" s="3" t="str">
        <f>HYPERLINK("https://www.boe.es/gazeta/dias/1834/07/02/pdfs/GMD-1834-135.pdf#page=3","Abrir facsímil")</f>
        <v>Abrir facsímil</v>
      </c>
      <c r="K1041" s="3" t="s">
        <v>24</v>
      </c>
    </row>
    <row r="1042" spans="1:11" ht="54" customHeight="1">
      <c r="A1042" s="2" t="s">
        <v>2735</v>
      </c>
      <c r="B1042" s="2" t="s">
        <v>2736</v>
      </c>
      <c r="C1042" s="2" t="s">
        <v>17</v>
      </c>
      <c r="D1042" s="2" t="s">
        <v>18</v>
      </c>
      <c r="E1042" s="5" t="s">
        <v>1195</v>
      </c>
      <c r="F1042" s="3" t="s">
        <v>1916</v>
      </c>
      <c r="G1042" s="3" t="s">
        <v>21</v>
      </c>
      <c r="H1042" s="2" t="s">
        <v>22</v>
      </c>
      <c r="I1042" s="2" t="s">
        <v>2738</v>
      </c>
      <c r="J1042" s="3" t="str">
        <f>HYPERLINK("https://www.boe.es/gazeta/dias/1834/10/17/pdfs/GMD-1834-245.pdf#page=3","Abrir facsímil")</f>
        <v>Abrir facsímil</v>
      </c>
      <c r="K1042" s="3" t="s">
        <v>24</v>
      </c>
    </row>
    <row r="1043" spans="1:11" ht="54" customHeight="1">
      <c r="A1043" s="2" t="s">
        <v>2739</v>
      </c>
      <c r="B1043" s="2" t="s">
        <v>2740</v>
      </c>
      <c r="C1043" s="2" t="s">
        <v>46</v>
      </c>
      <c r="D1043" s="2" t="s">
        <v>18</v>
      </c>
      <c r="E1043" s="5" t="s">
        <v>233</v>
      </c>
      <c r="F1043" s="3" t="s">
        <v>1810</v>
      </c>
      <c r="G1043" s="3" t="s">
        <v>1099</v>
      </c>
      <c r="H1043" s="2" t="s">
        <v>22</v>
      </c>
      <c r="I1043" s="2" t="s">
        <v>2741</v>
      </c>
      <c r="J1043" s="3" t="str">
        <f>HYPERLINK("https://www.boe.es/gazeta/dias/1834/12/16/pdfs/GMD-C-1834-305.pdf#page=11","Abrir facsímil")</f>
        <v>Abrir facsímil</v>
      </c>
      <c r="K1043" s="3" t="s">
        <v>24</v>
      </c>
    </row>
    <row r="1044" spans="1:11" ht="54" customHeight="1">
      <c r="A1044" s="2" t="s">
        <v>2739</v>
      </c>
      <c r="B1044" s="2" t="s">
        <v>2740</v>
      </c>
      <c r="C1044" s="2" t="s">
        <v>46</v>
      </c>
      <c r="D1044" s="2" t="s">
        <v>18</v>
      </c>
      <c r="E1044" s="5" t="s">
        <v>233</v>
      </c>
      <c r="F1044" s="3" t="s">
        <v>1810</v>
      </c>
      <c r="G1044" s="3" t="s">
        <v>1343</v>
      </c>
      <c r="H1044" s="2" t="s">
        <v>22</v>
      </c>
      <c r="I1044" s="2" t="s">
        <v>2742</v>
      </c>
      <c r="J1044" s="3" t="str">
        <f>HYPERLINK("https://www.boe.es/gazeta/dias/1834/12/16/pdfs/GMD-C-1834-305.pdf#page=9","Abrir facsímil")</f>
        <v>Abrir facsímil</v>
      </c>
      <c r="K1044" s="3" t="s">
        <v>24</v>
      </c>
    </row>
    <row r="1045" spans="1:11" ht="54" customHeight="1">
      <c r="A1045" s="2" t="s">
        <v>2743</v>
      </c>
      <c r="B1045" s="2" t="s">
        <v>2744</v>
      </c>
      <c r="C1045" s="2" t="s">
        <v>17</v>
      </c>
      <c r="D1045" s="2" t="s">
        <v>101</v>
      </c>
      <c r="E1045" s="5" t="s">
        <v>753</v>
      </c>
      <c r="F1045" s="3" t="s">
        <v>754</v>
      </c>
      <c r="G1045" s="3" t="s">
        <v>34</v>
      </c>
      <c r="H1045" s="2" t="s">
        <v>22</v>
      </c>
      <c r="I1045" s="2" t="s">
        <v>2745</v>
      </c>
      <c r="J1045" s="3" t="str">
        <f>HYPERLINK("https://www.boe.es/gazeta/dias/1834/04/21/pdfs/GMD-1834-60.pdf#page=1","Abrir facsímil")</f>
        <v>Abrir facsímil</v>
      </c>
      <c r="K1045" s="3" t="s">
        <v>24</v>
      </c>
    </row>
    <row r="1046" spans="1:11" ht="54" customHeight="1">
      <c r="A1046" s="2" t="s">
        <v>2746</v>
      </c>
      <c r="B1046" s="2" t="s">
        <v>2747</v>
      </c>
      <c r="C1046" s="2" t="s">
        <v>17</v>
      </c>
      <c r="D1046" s="2" t="s">
        <v>40</v>
      </c>
      <c r="E1046" s="5" t="s">
        <v>2748</v>
      </c>
      <c r="F1046" s="3" t="s">
        <v>2749</v>
      </c>
      <c r="G1046" s="3" t="s">
        <v>75</v>
      </c>
      <c r="H1046" s="2" t="s">
        <v>22</v>
      </c>
      <c r="I1046" s="2" t="s">
        <v>2750</v>
      </c>
      <c r="J1046" s="3" t="str">
        <f>HYPERLINK("https://www.boe.es/gazeta/dias/1834/01/09/pdfs/GMD-1834-5.pdf#page=4","Abrir facsímil")</f>
        <v>Abrir facsímil</v>
      </c>
      <c r="K1046" s="3" t="s">
        <v>24</v>
      </c>
    </row>
    <row r="1047" spans="1:11" ht="54" customHeight="1">
      <c r="A1047" s="2" t="s">
        <v>2746</v>
      </c>
      <c r="B1047" s="2" t="s">
        <v>2747</v>
      </c>
      <c r="C1047" s="2" t="s">
        <v>46</v>
      </c>
      <c r="D1047" s="2" t="s">
        <v>101</v>
      </c>
      <c r="E1047" s="5" t="s">
        <v>1850</v>
      </c>
      <c r="F1047" s="3" t="s">
        <v>1851</v>
      </c>
      <c r="G1047" s="3" t="s">
        <v>470</v>
      </c>
      <c r="H1047" s="2" t="s">
        <v>22</v>
      </c>
      <c r="I1047" s="2" t="s">
        <v>2751</v>
      </c>
      <c r="J1047" s="3" t="str">
        <f>HYPERLINK("https://www.boe.es/gazeta/dias/1834/02/18/pdfs/GMD-1834-22.pdf#page=8","Abrir facsímil")</f>
        <v>Abrir facsímil</v>
      </c>
      <c r="K1047" s="3" t="s">
        <v>24</v>
      </c>
    </row>
    <row r="1048" spans="1:11" ht="54" customHeight="1">
      <c r="A1048" s="2" t="s">
        <v>2752</v>
      </c>
      <c r="B1048" s="2" t="s">
        <v>2753</v>
      </c>
      <c r="C1048" s="2" t="s">
        <v>17</v>
      </c>
      <c r="D1048" s="2" t="s">
        <v>18</v>
      </c>
      <c r="E1048" s="5" t="s">
        <v>753</v>
      </c>
      <c r="F1048" s="3" t="s">
        <v>754</v>
      </c>
      <c r="G1048" s="3" t="s">
        <v>75</v>
      </c>
      <c r="H1048" s="2" t="s">
        <v>22</v>
      </c>
      <c r="I1048" s="2" t="s">
        <v>2754</v>
      </c>
      <c r="J1048" s="3" t="str">
        <f>HYPERLINK("https://www.boe.es/gazeta/dias/1834/04/21/pdfs/GMD-1834-60.pdf#page=4","Abrir facsímil")</f>
        <v>Abrir facsímil</v>
      </c>
      <c r="K1048" s="3" t="s">
        <v>24</v>
      </c>
    </row>
    <row r="1049" spans="1:11" ht="54" customHeight="1">
      <c r="A1049" s="2" t="s">
        <v>2755</v>
      </c>
      <c r="B1049" s="2" t="s">
        <v>2756</v>
      </c>
      <c r="C1049" s="2" t="s">
        <v>90</v>
      </c>
      <c r="D1049" s="2" t="s">
        <v>18</v>
      </c>
      <c r="E1049" s="5" t="s">
        <v>167</v>
      </c>
      <c r="F1049" s="3" t="s">
        <v>168</v>
      </c>
      <c r="G1049" s="3" t="s">
        <v>21</v>
      </c>
      <c r="H1049" s="2" t="s">
        <v>22</v>
      </c>
      <c r="I1049" s="2" t="s">
        <v>2757</v>
      </c>
      <c r="J1049" s="3" t="str">
        <f>HYPERLINK("https://www.boe.es/gazeta/dias/1834/09/07/pdfs/GMD-1834-205.pdf#page=3","Abrir facsímil")</f>
        <v>Abrir facsímil</v>
      </c>
      <c r="K1049" s="3" t="s">
        <v>24</v>
      </c>
    </row>
    <row r="1050" spans="1:11" ht="54" customHeight="1">
      <c r="A1050" s="2" t="s">
        <v>2758</v>
      </c>
      <c r="B1050" s="2" t="s">
        <v>2759</v>
      </c>
      <c r="C1050" s="2" t="s">
        <v>66</v>
      </c>
      <c r="D1050" s="2" t="s">
        <v>67</v>
      </c>
      <c r="E1050" s="5" t="s">
        <v>808</v>
      </c>
      <c r="F1050" s="3" t="s">
        <v>809</v>
      </c>
      <c r="G1050" s="3" t="s">
        <v>75</v>
      </c>
      <c r="H1050" s="2" t="s">
        <v>22</v>
      </c>
      <c r="I1050" s="2" t="s">
        <v>2760</v>
      </c>
      <c r="J1050" s="3" t="str">
        <f>HYPERLINK("https://www.boe.es/gazeta/dias/1834/10/11/pdfs/GMD-1834-239.pdf#page=4","Abrir facsímil")</f>
        <v>Abrir facsímil</v>
      </c>
      <c r="K1050" s="3" t="s">
        <v>24</v>
      </c>
    </row>
    <row r="1051" spans="1:11" ht="54" customHeight="1">
      <c r="A1051" s="2" t="s">
        <v>2761</v>
      </c>
      <c r="B1051" s="2" t="s">
        <v>2761</v>
      </c>
      <c r="C1051" s="2" t="s">
        <v>17</v>
      </c>
      <c r="D1051" s="2" t="s">
        <v>101</v>
      </c>
      <c r="E1051" s="5" t="s">
        <v>128</v>
      </c>
      <c r="F1051" s="3" t="s">
        <v>129</v>
      </c>
      <c r="G1051" s="3" t="s">
        <v>28</v>
      </c>
      <c r="H1051" s="2" t="s">
        <v>22</v>
      </c>
      <c r="I1051" s="2" t="s">
        <v>2762</v>
      </c>
      <c r="J1051" s="3" t="str">
        <f>HYPERLINK("https://www.boe.es/gazeta/dias/1834/12/24/pdfs/GMD-C-1834-314.pdf#page=5","Abrir facsímil")</f>
        <v>Abrir facsímil</v>
      </c>
      <c r="K1051" s="3" t="s">
        <v>24</v>
      </c>
    </row>
    <row r="1052" spans="1:11" ht="54" customHeight="1">
      <c r="A1052" s="2" t="s">
        <v>2763</v>
      </c>
      <c r="B1052" s="2" t="s">
        <v>2764</v>
      </c>
      <c r="C1052" s="2" t="s">
        <v>17</v>
      </c>
      <c r="D1052" s="2" t="s">
        <v>18</v>
      </c>
      <c r="E1052" s="5" t="s">
        <v>1234</v>
      </c>
      <c r="F1052" s="3" t="s">
        <v>1235</v>
      </c>
      <c r="G1052" s="3" t="s">
        <v>34</v>
      </c>
      <c r="H1052" s="2" t="s">
        <v>22</v>
      </c>
      <c r="I1052" s="2" t="s">
        <v>2765</v>
      </c>
      <c r="J1052" s="3" t="str">
        <f>HYPERLINK("https://www.boe.es/gazeta/dias/1834/05/15/pdfs/GMD-C-1834-84.pdf#page=1","Abrir facsímil")</f>
        <v>Abrir facsímil</v>
      </c>
      <c r="K1052" s="3" t="s">
        <v>24</v>
      </c>
    </row>
    <row r="1053" spans="1:11" ht="54" customHeight="1">
      <c r="A1053" s="2" t="s">
        <v>2766</v>
      </c>
      <c r="B1053" s="2" t="s">
        <v>2766</v>
      </c>
      <c r="C1053" s="2" t="s">
        <v>17</v>
      </c>
      <c r="D1053" s="2" t="s">
        <v>18</v>
      </c>
      <c r="E1053" s="5" t="s">
        <v>762</v>
      </c>
      <c r="F1053" s="3" t="s">
        <v>2227</v>
      </c>
      <c r="G1053" s="3" t="s">
        <v>21</v>
      </c>
      <c r="H1053" s="2" t="s">
        <v>22</v>
      </c>
      <c r="I1053" s="2" t="s">
        <v>2767</v>
      </c>
      <c r="J1053" s="3" t="str">
        <f>HYPERLINK("https://www.boe.es/gazeta/dias/1834/11/07/pdfs/GMD-C-1834-266.pdf#page=3","Abrir facsímil")</f>
        <v>Abrir facsímil</v>
      </c>
      <c r="K1053" s="3" t="s">
        <v>24</v>
      </c>
    </row>
    <row r="1054" spans="1:11" ht="54" customHeight="1">
      <c r="A1054" s="2" t="s">
        <v>2768</v>
      </c>
      <c r="B1054" s="2" t="s">
        <v>2769</v>
      </c>
      <c r="C1054" s="2" t="s">
        <v>90</v>
      </c>
      <c r="D1054" s="2" t="s">
        <v>18</v>
      </c>
      <c r="E1054" s="5" t="s">
        <v>294</v>
      </c>
      <c r="F1054" s="3" t="s">
        <v>295</v>
      </c>
      <c r="G1054" s="3" t="s">
        <v>86</v>
      </c>
      <c r="H1054" s="2" t="s">
        <v>22</v>
      </c>
      <c r="I1054" s="2" t="s">
        <v>2770</v>
      </c>
      <c r="J1054" s="3" t="str">
        <f>HYPERLINK("https://www.boe.es/gazeta/dias/1834/09/27/pdfs/GMD-1834-225.pdf#page=2","Abrir facsímil")</f>
        <v>Abrir facsímil</v>
      </c>
      <c r="K1054" s="3" t="s">
        <v>24</v>
      </c>
    </row>
    <row r="1055" spans="1:11" ht="54" customHeight="1">
      <c r="A1055" s="2" t="s">
        <v>2771</v>
      </c>
      <c r="B1055" s="2" t="s">
        <v>2772</v>
      </c>
      <c r="C1055" s="2" t="s">
        <v>857</v>
      </c>
      <c r="D1055" s="2" t="s">
        <v>101</v>
      </c>
      <c r="E1055" s="5" t="s">
        <v>433</v>
      </c>
      <c r="F1055" s="3" t="s">
        <v>2773</v>
      </c>
      <c r="G1055" s="3" t="s">
        <v>34</v>
      </c>
      <c r="H1055" s="2" t="s">
        <v>22</v>
      </c>
      <c r="I1055" s="2" t="s">
        <v>2774</v>
      </c>
      <c r="J1055" s="3" t="str">
        <f>HYPERLINK("https://www.boe.es/gazeta/dias/1834/10/07/pdfs/I00986-00987.pdf#page=1","Abrir facsímil")</f>
        <v>Abrir facsímil</v>
      </c>
      <c r="K1055" s="3" t="s">
        <v>24</v>
      </c>
    </row>
    <row r="1056" spans="1:11" ht="54" customHeight="1">
      <c r="A1056" s="2" t="s">
        <v>2771</v>
      </c>
      <c r="B1056" s="2" t="s">
        <v>2772</v>
      </c>
      <c r="C1056" s="2" t="s">
        <v>857</v>
      </c>
      <c r="D1056" s="2" t="s">
        <v>101</v>
      </c>
      <c r="E1056" s="5" t="s">
        <v>433</v>
      </c>
      <c r="F1056" s="3" t="s">
        <v>2773</v>
      </c>
      <c r="G1056" s="3" t="s">
        <v>86</v>
      </c>
      <c r="H1056" s="2" t="s">
        <v>22</v>
      </c>
      <c r="I1056" s="2" t="s">
        <v>2774</v>
      </c>
      <c r="J1056" s="3" t="str">
        <f>HYPERLINK("https://www.boe.es/gazeta/dias/1834/10/07/pdfs/GMD-1834-235.pdf#page=2","Abrir facsímil")</f>
        <v>Abrir facsímil</v>
      </c>
      <c r="K1056" s="3" t="s">
        <v>24</v>
      </c>
    </row>
    <row r="1057" spans="1:11" ht="54" customHeight="1">
      <c r="A1057" s="2" t="s">
        <v>2775</v>
      </c>
      <c r="B1057" s="2" t="s">
        <v>2776</v>
      </c>
      <c r="C1057" s="2" t="s">
        <v>66</v>
      </c>
      <c r="D1057" s="2" t="s">
        <v>67</v>
      </c>
      <c r="E1057" s="5" t="s">
        <v>32</v>
      </c>
      <c r="F1057" s="3" t="s">
        <v>33</v>
      </c>
      <c r="G1057" s="3" t="s">
        <v>21</v>
      </c>
      <c r="H1057" s="2" t="s">
        <v>22</v>
      </c>
      <c r="I1057" s="2" t="s">
        <v>2777</v>
      </c>
      <c r="J1057" s="3" t="str">
        <f>HYPERLINK("https://www.boe.es/gazeta/dias/1834/04/23/pdfs/GMD-1834-62.pdf#page=3","Abrir facsímil")</f>
        <v>Abrir facsímil</v>
      </c>
      <c r="K1057" s="3" t="s">
        <v>24</v>
      </c>
    </row>
    <row r="1058" spans="1:11" ht="54" customHeight="1">
      <c r="A1058" s="2" t="s">
        <v>2778</v>
      </c>
      <c r="B1058" s="2" t="s">
        <v>2778</v>
      </c>
      <c r="C1058" s="2" t="s">
        <v>17</v>
      </c>
      <c r="D1058" s="2" t="s">
        <v>18</v>
      </c>
      <c r="E1058" s="5" t="s">
        <v>1212</v>
      </c>
      <c r="F1058" s="3" t="s">
        <v>1213</v>
      </c>
      <c r="G1058" s="3" t="s">
        <v>86</v>
      </c>
      <c r="H1058" s="2" t="s">
        <v>22</v>
      </c>
      <c r="I1058" s="2" t="s">
        <v>2779</v>
      </c>
      <c r="J1058" s="3" t="str">
        <f>HYPERLINK("https://www.boe.es/gazeta/dias/1834/05/24/pdfs/GMD-1834-93.pdf#page=2","Abrir facsímil")</f>
        <v>Abrir facsímil</v>
      </c>
      <c r="K1058" s="3" t="s">
        <v>24</v>
      </c>
    </row>
    <row r="1059" spans="1:11" ht="54" customHeight="1">
      <c r="A1059" s="2" t="s">
        <v>2780</v>
      </c>
      <c r="B1059" s="2" t="s">
        <v>2780</v>
      </c>
      <c r="C1059" s="2" t="s">
        <v>17</v>
      </c>
      <c r="D1059" s="2" t="s">
        <v>18</v>
      </c>
      <c r="E1059" s="5" t="s">
        <v>1239</v>
      </c>
      <c r="F1059" s="3" t="s">
        <v>1240</v>
      </c>
      <c r="G1059" s="3" t="s">
        <v>86</v>
      </c>
      <c r="H1059" s="2" t="s">
        <v>22</v>
      </c>
      <c r="I1059" s="2" t="s">
        <v>2781</v>
      </c>
      <c r="J1059" s="3" t="str">
        <f>HYPERLINK("https://www.boe.es/gazeta/dias/1834/08/20/pdfs/GMD-1834-186.pdf#page=2","Abrir facsímil")</f>
        <v>Abrir facsímil</v>
      </c>
      <c r="K1059" s="3" t="s">
        <v>24</v>
      </c>
    </row>
    <row r="1060" spans="1:11" ht="54" customHeight="1">
      <c r="A1060" s="2" t="s">
        <v>2782</v>
      </c>
      <c r="B1060" s="2" t="s">
        <v>2783</v>
      </c>
      <c r="C1060" s="2" t="s">
        <v>17</v>
      </c>
      <c r="D1060" s="2" t="s">
        <v>18</v>
      </c>
      <c r="E1060" s="5" t="s">
        <v>492</v>
      </c>
      <c r="F1060" s="3" t="s">
        <v>1672</v>
      </c>
      <c r="G1060" s="3" t="s">
        <v>75</v>
      </c>
      <c r="H1060" s="2" t="s">
        <v>22</v>
      </c>
      <c r="I1060" s="2" t="s">
        <v>2784</v>
      </c>
      <c r="J1060" s="3" t="str">
        <f>HYPERLINK("https://www.boe.es/gazeta/dias/1834/11/21/pdfs/GMD-1834-280.pdf#page=4","Abrir facsímil")</f>
        <v>Abrir facsímil</v>
      </c>
      <c r="K1060" s="3" t="s">
        <v>24</v>
      </c>
    </row>
    <row r="1061" spans="1:11" ht="54" customHeight="1">
      <c r="A1061" s="2" t="s">
        <v>2785</v>
      </c>
      <c r="B1061" s="2" t="s">
        <v>2786</v>
      </c>
      <c r="C1061" s="2" t="s">
        <v>17</v>
      </c>
      <c r="D1061" s="2" t="s">
        <v>55</v>
      </c>
      <c r="E1061" s="5" t="s">
        <v>2053</v>
      </c>
      <c r="F1061" s="3" t="s">
        <v>2054</v>
      </c>
      <c r="G1061" s="3" t="s">
        <v>21</v>
      </c>
      <c r="H1061" s="2" t="s">
        <v>22</v>
      </c>
      <c r="I1061" s="2" t="s">
        <v>2787</v>
      </c>
      <c r="J1061" s="3" t="str">
        <f>HYPERLINK("https://www.boe.es/gazeta/dias/1834/06/02/pdfs/GMD-1834-103.pdf#page=3","Abrir facsímil")</f>
        <v>Abrir facsímil</v>
      </c>
      <c r="K1061" s="3" t="s">
        <v>24</v>
      </c>
    </row>
    <row r="1062" spans="1:11" ht="54" customHeight="1">
      <c r="A1062" s="2" t="s">
        <v>2788</v>
      </c>
      <c r="B1062" s="2" t="s">
        <v>2788</v>
      </c>
      <c r="C1062" s="2" t="s">
        <v>17</v>
      </c>
      <c r="D1062" s="2" t="s">
        <v>18</v>
      </c>
      <c r="E1062" s="5" t="s">
        <v>462</v>
      </c>
      <c r="F1062" s="3" t="s">
        <v>2110</v>
      </c>
      <c r="G1062" s="3" t="s">
        <v>86</v>
      </c>
      <c r="H1062" s="2" t="s">
        <v>22</v>
      </c>
      <c r="I1062" s="2" t="s">
        <v>2789</v>
      </c>
      <c r="J1062" s="3" t="str">
        <f>HYPERLINK("https://www.boe.es/gazeta/dias/1834/08/27/pdfs/GMD-1834-193.pdf#page=2","Abrir facsímil")</f>
        <v>Abrir facsímil</v>
      </c>
      <c r="K1062" s="3" t="s">
        <v>24</v>
      </c>
    </row>
    <row r="1063" spans="1:11" ht="54" customHeight="1">
      <c r="A1063" s="2" t="s">
        <v>2790</v>
      </c>
      <c r="B1063" s="2" t="s">
        <v>2791</v>
      </c>
      <c r="C1063" s="2" t="s">
        <v>66</v>
      </c>
      <c r="D1063" s="2" t="s">
        <v>67</v>
      </c>
      <c r="E1063" s="5" t="s">
        <v>919</v>
      </c>
      <c r="F1063" s="3" t="s">
        <v>920</v>
      </c>
      <c r="G1063" s="3" t="s">
        <v>86</v>
      </c>
      <c r="H1063" s="2" t="s">
        <v>22</v>
      </c>
      <c r="I1063" s="2" t="s">
        <v>2792</v>
      </c>
      <c r="J1063" s="3" t="str">
        <f>HYPERLINK("https://www.boe.es/gazeta/dias/1834/06/24/pdfs/GMD-1834-127.pdf#page=2","Abrir facsímil")</f>
        <v>Abrir facsímil</v>
      </c>
      <c r="K1063" s="3" t="s">
        <v>24</v>
      </c>
    </row>
    <row r="1064" spans="1:11" ht="54" customHeight="1">
      <c r="A1064" s="2" t="s">
        <v>2793</v>
      </c>
      <c r="B1064" s="2" t="s">
        <v>2794</v>
      </c>
      <c r="C1064" s="2" t="s">
        <v>122</v>
      </c>
      <c r="D1064" s="2" t="s">
        <v>18</v>
      </c>
      <c r="E1064" s="5" t="s">
        <v>56</v>
      </c>
      <c r="F1064" s="3" t="s">
        <v>57</v>
      </c>
      <c r="G1064" s="3" t="s">
        <v>75</v>
      </c>
      <c r="H1064" s="2" t="s">
        <v>22</v>
      </c>
      <c r="I1064" s="2" t="s">
        <v>2795</v>
      </c>
      <c r="J1064" s="3" t="str">
        <f>HYPERLINK("https://www.boe.es/gazeta/dias/1834/07/09/pdfs/GMD-1834-142.pdf#page=4","Abrir facsímil")</f>
        <v>Abrir facsímil</v>
      </c>
      <c r="K1064" s="3" t="s">
        <v>24</v>
      </c>
    </row>
    <row r="1065" spans="1:11" ht="54" customHeight="1">
      <c r="A1065" s="2" t="s">
        <v>2793</v>
      </c>
      <c r="B1065" s="2" t="s">
        <v>2794</v>
      </c>
      <c r="C1065" s="2" t="s">
        <v>66</v>
      </c>
      <c r="D1065" s="2" t="s">
        <v>101</v>
      </c>
      <c r="E1065" s="5" t="s">
        <v>32</v>
      </c>
      <c r="F1065" s="3" t="s">
        <v>33</v>
      </c>
      <c r="G1065" s="3" t="s">
        <v>34</v>
      </c>
      <c r="H1065" s="2" t="s">
        <v>22</v>
      </c>
      <c r="I1065" s="2" t="s">
        <v>2796</v>
      </c>
      <c r="J1065" s="3" t="str">
        <f>HYPERLINK("https://www.boe.es/gazeta/dias/1834/04/23/pdfs/GMD-1834-62.pdf#page=1","Abrir facsímil")</f>
        <v>Abrir facsímil</v>
      </c>
      <c r="K1065" s="3" t="s">
        <v>24</v>
      </c>
    </row>
    <row r="1066" spans="1:11" ht="54" customHeight="1">
      <c r="A1066" s="2" t="s">
        <v>2797</v>
      </c>
      <c r="B1066" s="2" t="s">
        <v>2797</v>
      </c>
      <c r="C1066" s="2" t="s">
        <v>17</v>
      </c>
      <c r="D1066" s="2" t="s">
        <v>40</v>
      </c>
      <c r="E1066" s="5" t="s">
        <v>1265</v>
      </c>
      <c r="F1066" s="3" t="s">
        <v>1266</v>
      </c>
      <c r="G1066" s="3" t="s">
        <v>21</v>
      </c>
      <c r="H1066" s="2" t="s">
        <v>22</v>
      </c>
      <c r="I1066" s="2" t="s">
        <v>2798</v>
      </c>
      <c r="J1066" s="3" t="str">
        <f>HYPERLINK("https://www.boe.es/gazeta/dias/1834/09/08/pdfs/GMD-1834-206.pdf#page=3","Abrir facsímil")</f>
        <v>Abrir facsímil</v>
      </c>
      <c r="K1066" s="3" t="s">
        <v>24</v>
      </c>
    </row>
    <row r="1067" spans="1:11" ht="54" customHeight="1">
      <c r="A1067" s="2" t="s">
        <v>2799</v>
      </c>
      <c r="B1067" s="2" t="s">
        <v>2799</v>
      </c>
      <c r="C1067" s="2" t="s">
        <v>17</v>
      </c>
      <c r="D1067" s="2" t="s">
        <v>101</v>
      </c>
      <c r="E1067" s="5" t="s">
        <v>255</v>
      </c>
      <c r="F1067" s="3" t="s">
        <v>2368</v>
      </c>
      <c r="G1067" s="3" t="s">
        <v>34</v>
      </c>
      <c r="H1067" s="2" t="s">
        <v>22</v>
      </c>
      <c r="I1067" s="2" t="s">
        <v>2800</v>
      </c>
      <c r="J1067" s="3" t="str">
        <f>HYPERLINK("https://www.boe.es/gazeta/dias/1834/09/01/pdfs/I00843-00844.pdf#page=1","Abrir facsímil")</f>
        <v>Abrir facsímil</v>
      </c>
      <c r="K1067" s="3" t="s">
        <v>24</v>
      </c>
    </row>
    <row r="1068" spans="1:11" ht="54" customHeight="1">
      <c r="A1068" s="2" t="s">
        <v>2799</v>
      </c>
      <c r="B1068" s="2" t="s">
        <v>2799</v>
      </c>
      <c r="C1068" s="2" t="s">
        <v>17</v>
      </c>
      <c r="D1068" s="2" t="s">
        <v>101</v>
      </c>
      <c r="E1068" s="5" t="s">
        <v>255</v>
      </c>
      <c r="F1068" s="3" t="s">
        <v>2368</v>
      </c>
      <c r="G1068" s="3" t="s">
        <v>21</v>
      </c>
      <c r="H1068" s="2" t="s">
        <v>22</v>
      </c>
      <c r="I1068" s="2" t="s">
        <v>2800</v>
      </c>
      <c r="J1068" s="3" t="str">
        <f>HYPERLINK("https://www.boe.es/gazeta/dias/1834/09/01/pdfs/GMD-1834-199.pdf#page=3","Abrir facsímil")</f>
        <v>Abrir facsímil</v>
      </c>
      <c r="K1068" s="3" t="s">
        <v>24</v>
      </c>
    </row>
    <row r="1069" spans="1:11" ht="54" customHeight="1">
      <c r="A1069" s="2" t="s">
        <v>2801</v>
      </c>
      <c r="B1069" s="2" t="s">
        <v>2801</v>
      </c>
      <c r="C1069" s="2" t="s">
        <v>66</v>
      </c>
      <c r="D1069" s="2" t="s">
        <v>67</v>
      </c>
      <c r="E1069" s="5" t="s">
        <v>222</v>
      </c>
      <c r="F1069" s="3" t="s">
        <v>223</v>
      </c>
      <c r="G1069" s="3" t="s">
        <v>75</v>
      </c>
      <c r="H1069" s="2" t="s">
        <v>22</v>
      </c>
      <c r="I1069" s="2" t="s">
        <v>2802</v>
      </c>
      <c r="J1069" s="3" t="str">
        <f>HYPERLINK("https://www.boe.es/gazeta/dias/1834/09/14/pdfs/GMD-1834-212.pdf#page=4","Abrir facsímil")</f>
        <v>Abrir facsímil</v>
      </c>
      <c r="K1069" s="3" t="s">
        <v>24</v>
      </c>
    </row>
    <row r="1070" spans="1:11" ht="54" customHeight="1">
      <c r="A1070" s="2" t="s">
        <v>2801</v>
      </c>
      <c r="B1070" s="2" t="s">
        <v>2801</v>
      </c>
      <c r="C1070" s="2" t="s">
        <v>66</v>
      </c>
      <c r="D1070" s="2" t="s">
        <v>67</v>
      </c>
      <c r="E1070" s="5" t="s">
        <v>1850</v>
      </c>
      <c r="F1070" s="3" t="s">
        <v>1851</v>
      </c>
      <c r="G1070" s="3" t="s">
        <v>176</v>
      </c>
      <c r="H1070" s="2" t="s">
        <v>22</v>
      </c>
      <c r="I1070" s="2" t="s">
        <v>2803</v>
      </c>
      <c r="J1070" s="3" t="str">
        <f>HYPERLINK("https://www.boe.es/gazeta/dias/1834/02/18/pdfs/GMD-1834-22.pdf#page=6","Abrir facsímil")</f>
        <v>Abrir facsímil</v>
      </c>
      <c r="K1070" s="3" t="s">
        <v>24</v>
      </c>
    </row>
    <row r="1071" spans="1:11" ht="54" customHeight="1">
      <c r="A1071" s="2" t="s">
        <v>2801</v>
      </c>
      <c r="B1071" s="2" t="s">
        <v>2801</v>
      </c>
      <c r="C1071" s="2" t="s">
        <v>17</v>
      </c>
      <c r="D1071" s="2" t="s">
        <v>18</v>
      </c>
      <c r="E1071" s="5" t="s">
        <v>981</v>
      </c>
      <c r="F1071" s="3" t="s">
        <v>982</v>
      </c>
      <c r="G1071" s="3" t="s">
        <v>75</v>
      </c>
      <c r="H1071" s="2" t="s">
        <v>22</v>
      </c>
      <c r="I1071" s="2" t="s">
        <v>2804</v>
      </c>
      <c r="J1071" s="3" t="str">
        <f>HYPERLINK("https://www.boe.es/gazeta/dias/1834/09/21/pdfs/GMD-1834-219.pdf#page=4","Abrir facsímil")</f>
        <v>Abrir facsímil</v>
      </c>
      <c r="K1071" s="3" t="s">
        <v>24</v>
      </c>
    </row>
    <row r="1072" spans="1:11" ht="54" customHeight="1">
      <c r="A1072" s="2" t="s">
        <v>2801</v>
      </c>
      <c r="B1072" s="2" t="s">
        <v>2801</v>
      </c>
      <c r="C1072" s="2" t="s">
        <v>46</v>
      </c>
      <c r="D1072" s="2" t="s">
        <v>18</v>
      </c>
      <c r="E1072" s="5" t="s">
        <v>247</v>
      </c>
      <c r="F1072" s="3" t="s">
        <v>2805</v>
      </c>
      <c r="G1072" s="3" t="s">
        <v>21</v>
      </c>
      <c r="H1072" s="2" t="s">
        <v>22</v>
      </c>
      <c r="I1072" s="2" t="s">
        <v>2806</v>
      </c>
      <c r="J1072" s="3" t="str">
        <f>HYPERLINK("https://www.boe.es/gazeta/dias/1834/08/23/pdfs/GMD-1834-189.pdf#page=3","Abrir facsímil")</f>
        <v>Abrir facsímil</v>
      </c>
      <c r="K1072" s="3" t="s">
        <v>24</v>
      </c>
    </row>
    <row r="1073" spans="1:11" ht="54" customHeight="1">
      <c r="A1073" s="2" t="s">
        <v>2807</v>
      </c>
      <c r="B1073" s="2" t="s">
        <v>2808</v>
      </c>
      <c r="C1073" s="2" t="s">
        <v>66</v>
      </c>
      <c r="D1073" s="2" t="s">
        <v>67</v>
      </c>
      <c r="E1073" s="5" t="s">
        <v>167</v>
      </c>
      <c r="F1073" s="3" t="s">
        <v>168</v>
      </c>
      <c r="G1073" s="3" t="s">
        <v>86</v>
      </c>
      <c r="H1073" s="2" t="s">
        <v>35</v>
      </c>
      <c r="I1073" s="2" t="s">
        <v>2809</v>
      </c>
      <c r="J1073" s="3" t="str">
        <f>HYPERLINK("https://www.boe.es/gazeta/dias/1834/09/07/pdfs/GMD-1834-205.pdf#page=2","Abrir facsímil")</f>
        <v>Abrir facsímil</v>
      </c>
      <c r="K1073" s="3" t="s">
        <v>37</v>
      </c>
    </row>
    <row r="1074" spans="1:11" ht="54" customHeight="1">
      <c r="A1074" s="2" t="s">
        <v>2810</v>
      </c>
      <c r="B1074" s="2" t="s">
        <v>2811</v>
      </c>
      <c r="C1074" s="2" t="s">
        <v>66</v>
      </c>
      <c r="D1074" s="2" t="s">
        <v>67</v>
      </c>
      <c r="E1074" s="5" t="s">
        <v>167</v>
      </c>
      <c r="F1074" s="3" t="s">
        <v>168</v>
      </c>
      <c r="G1074" s="3" t="s">
        <v>86</v>
      </c>
      <c r="H1074" s="2" t="s">
        <v>22</v>
      </c>
      <c r="I1074" s="2" t="s">
        <v>2812</v>
      </c>
      <c r="J1074" s="3" t="str">
        <f>HYPERLINK("https://www.boe.es/gazeta/dias/1834/09/07/pdfs/GMD-1834-205.pdf#page=2","Abrir facsímil")</f>
        <v>Abrir facsímil</v>
      </c>
      <c r="K1074" s="3" t="s">
        <v>24</v>
      </c>
    </row>
    <row r="1075" spans="1:11" ht="54" customHeight="1">
      <c r="A1075" s="2" t="s">
        <v>2813</v>
      </c>
      <c r="B1075" s="2" t="s">
        <v>2814</v>
      </c>
      <c r="C1075" s="2" t="s">
        <v>90</v>
      </c>
      <c r="D1075" s="2" t="s">
        <v>18</v>
      </c>
      <c r="E1075" s="5" t="s">
        <v>863</v>
      </c>
      <c r="F1075" s="3" t="s">
        <v>864</v>
      </c>
      <c r="G1075" s="3" t="s">
        <v>86</v>
      </c>
      <c r="H1075" s="2" t="s">
        <v>35</v>
      </c>
      <c r="I1075" s="2" t="s">
        <v>2815</v>
      </c>
      <c r="J1075" s="3" t="str">
        <f>HYPERLINK("https://www.boe.es/gazeta/dias/1834/09/15/pdfs/GMD-1834-213.pdf#page=2","Abrir facsímil")</f>
        <v>Abrir facsímil</v>
      </c>
      <c r="K1075" s="3" t="s">
        <v>37</v>
      </c>
    </row>
    <row r="1076" spans="1:11" ht="54" customHeight="1">
      <c r="A1076" s="2" t="s">
        <v>2816</v>
      </c>
      <c r="B1076" s="2" t="s">
        <v>2817</v>
      </c>
      <c r="C1076" s="2" t="s">
        <v>90</v>
      </c>
      <c r="D1076" s="2" t="s">
        <v>18</v>
      </c>
      <c r="E1076" s="5" t="s">
        <v>863</v>
      </c>
      <c r="F1076" s="3" t="s">
        <v>864</v>
      </c>
      <c r="G1076" s="3" t="s">
        <v>86</v>
      </c>
      <c r="H1076" s="2" t="s">
        <v>22</v>
      </c>
      <c r="I1076" s="2" t="s">
        <v>2818</v>
      </c>
      <c r="J1076" s="3" t="str">
        <f>HYPERLINK("https://www.boe.es/gazeta/dias/1834/09/15/pdfs/GMD-1834-213.pdf#page=2","Abrir facsímil")</f>
        <v>Abrir facsímil</v>
      </c>
      <c r="K1076" s="3" t="s">
        <v>24</v>
      </c>
    </row>
    <row r="1077" spans="1:11" ht="54" customHeight="1">
      <c r="A1077" s="2" t="s">
        <v>2819</v>
      </c>
      <c r="B1077" s="2" t="s">
        <v>2820</v>
      </c>
      <c r="C1077" s="2" t="s">
        <v>17</v>
      </c>
      <c r="D1077" s="2" t="s">
        <v>18</v>
      </c>
      <c r="E1077" s="5" t="s">
        <v>777</v>
      </c>
      <c r="F1077" s="3" t="s">
        <v>778</v>
      </c>
      <c r="G1077" s="3" t="s">
        <v>75</v>
      </c>
      <c r="H1077" s="2" t="s">
        <v>22</v>
      </c>
      <c r="I1077" s="2" t="s">
        <v>2821</v>
      </c>
      <c r="J1077" s="3" t="str">
        <f>HYPERLINK("https://www.boe.es/gazeta/dias/1834/10/29/pdfs/GMD-1834-257.pdf#page=4","Abrir facsímil")</f>
        <v>Abrir facsímil</v>
      </c>
      <c r="K1077" s="3" t="s">
        <v>24</v>
      </c>
    </row>
    <row r="1078" spans="1:11" ht="54" customHeight="1">
      <c r="A1078" s="2" t="s">
        <v>2822</v>
      </c>
      <c r="B1078" s="2" t="s">
        <v>2823</v>
      </c>
      <c r="C1078" s="2" t="s">
        <v>122</v>
      </c>
      <c r="D1078" s="2" t="s">
        <v>40</v>
      </c>
      <c r="E1078" s="5" t="s">
        <v>47</v>
      </c>
      <c r="F1078" s="3" t="s">
        <v>1466</v>
      </c>
      <c r="G1078" s="3" t="s">
        <v>75</v>
      </c>
      <c r="H1078" s="2" t="s">
        <v>22</v>
      </c>
      <c r="I1078" s="2" t="s">
        <v>2824</v>
      </c>
      <c r="J1078" s="3" t="str">
        <f>HYPERLINK("https://www.boe.es/gazeta/dias/1834/09/05/pdfs/GMD-1834-203.pdf#page=4","Abrir facsímil")</f>
        <v>Abrir facsímil</v>
      </c>
      <c r="K1078" s="3" t="s">
        <v>24</v>
      </c>
    </row>
    <row r="1079" spans="1:11" ht="54" customHeight="1">
      <c r="A1079" s="2" t="s">
        <v>2825</v>
      </c>
      <c r="B1079" s="2" t="s">
        <v>2825</v>
      </c>
      <c r="C1079" s="2" t="s">
        <v>17</v>
      </c>
      <c r="D1079" s="2" t="s">
        <v>18</v>
      </c>
      <c r="E1079" s="5" t="s">
        <v>1094</v>
      </c>
      <c r="F1079" s="3" t="s">
        <v>1095</v>
      </c>
      <c r="G1079" s="3" t="s">
        <v>21</v>
      </c>
      <c r="H1079" s="2" t="s">
        <v>22</v>
      </c>
      <c r="I1079" s="2" t="s">
        <v>2826</v>
      </c>
      <c r="J1079" s="3" t="str">
        <f>HYPERLINK("https://www.boe.es/gazeta/dias/1834/07/13/pdfs/GMD-1834-146.pdf#page=3","Abrir facsímil")</f>
        <v>Abrir facsímil</v>
      </c>
      <c r="K1079" s="3" t="s">
        <v>24</v>
      </c>
    </row>
    <row r="1080" spans="1:11" ht="54" customHeight="1">
      <c r="A1080" s="2" t="s">
        <v>2827</v>
      </c>
      <c r="B1080" s="2" t="s">
        <v>2828</v>
      </c>
      <c r="C1080" s="2" t="s">
        <v>17</v>
      </c>
      <c r="D1080" s="2" t="s">
        <v>18</v>
      </c>
      <c r="E1080" s="5" t="s">
        <v>96</v>
      </c>
      <c r="F1080" s="3" t="s">
        <v>1725</v>
      </c>
      <c r="G1080" s="3" t="s">
        <v>75</v>
      </c>
      <c r="H1080" s="2" t="s">
        <v>22</v>
      </c>
      <c r="I1080" s="2" t="s">
        <v>2829</v>
      </c>
      <c r="J1080" s="3" t="str">
        <f>HYPERLINK("https://www.boe.es/gazeta/dias/1834/11/11/pdfs/GMD-1834-270.pdf#page=4","Abrir facsímil")</f>
        <v>Abrir facsímil</v>
      </c>
      <c r="K1080" s="3" t="s">
        <v>24</v>
      </c>
    </row>
    <row r="1081" spans="1:11" ht="54" customHeight="1">
      <c r="A1081" s="2" t="s">
        <v>2830</v>
      </c>
      <c r="B1081" s="2" t="s">
        <v>2831</v>
      </c>
      <c r="C1081" s="2" t="s">
        <v>66</v>
      </c>
      <c r="D1081" s="2" t="s">
        <v>67</v>
      </c>
      <c r="E1081" s="5" t="s">
        <v>255</v>
      </c>
      <c r="F1081" s="3" t="s">
        <v>2368</v>
      </c>
      <c r="G1081" s="3" t="s">
        <v>34</v>
      </c>
      <c r="H1081" s="2" t="s">
        <v>22</v>
      </c>
      <c r="I1081" s="2" t="s">
        <v>2832</v>
      </c>
      <c r="J1081" s="3" t="str">
        <f>HYPERLINK("https://www.boe.es/gazeta/dias/1834/09/01/pdfs/GMD-1834-199.pdf#page=1","Abrir facsímil")</f>
        <v>Abrir facsímil</v>
      </c>
      <c r="K1081" s="3" t="s">
        <v>24</v>
      </c>
    </row>
    <row r="1082" spans="1:11" ht="54" customHeight="1">
      <c r="A1082" s="2" t="s">
        <v>2833</v>
      </c>
      <c r="B1082" s="2" t="s">
        <v>2834</v>
      </c>
      <c r="C1082" s="2" t="s">
        <v>122</v>
      </c>
      <c r="D1082" s="2" t="s">
        <v>40</v>
      </c>
      <c r="E1082" s="5" t="s">
        <v>117</v>
      </c>
      <c r="F1082" s="3" t="s">
        <v>118</v>
      </c>
      <c r="G1082" s="3" t="s">
        <v>75</v>
      </c>
      <c r="H1082" s="2" t="s">
        <v>22</v>
      </c>
      <c r="I1082" s="2" t="s">
        <v>2835</v>
      </c>
      <c r="J1082" s="3" t="str">
        <f>HYPERLINK("https://www.boe.es/gazeta/dias/1834/07/21/pdfs/GMD-1834-154.pdf#page=4","Abrir facsímil")</f>
        <v>Abrir facsímil</v>
      </c>
      <c r="K1082" s="3" t="s">
        <v>24</v>
      </c>
    </row>
    <row r="1083" spans="1:11" ht="54" customHeight="1">
      <c r="A1083" s="2" t="s">
        <v>2836</v>
      </c>
      <c r="B1083" s="2" t="s">
        <v>2837</v>
      </c>
      <c r="C1083" s="2" t="s">
        <v>17</v>
      </c>
      <c r="D1083" s="2" t="s">
        <v>18</v>
      </c>
      <c r="E1083" s="5" t="s">
        <v>633</v>
      </c>
      <c r="F1083" s="3" t="s">
        <v>634</v>
      </c>
      <c r="G1083" s="3" t="s">
        <v>75</v>
      </c>
      <c r="H1083" s="2" t="s">
        <v>22</v>
      </c>
      <c r="I1083" s="2" t="s">
        <v>2838</v>
      </c>
      <c r="J1083" s="3" t="str">
        <f>HYPERLINK("https://www.boe.es/gazeta/dias/1834/10/24/pdfs/GMD-1834-252.pdf#page=4","Abrir facsímil")</f>
        <v>Abrir facsímil</v>
      </c>
      <c r="K1083" s="3" t="s">
        <v>24</v>
      </c>
    </row>
    <row r="1084" spans="1:11" ht="54" customHeight="1">
      <c r="A1084" s="2" t="s">
        <v>2839</v>
      </c>
      <c r="B1084" s="2" t="s">
        <v>2840</v>
      </c>
      <c r="C1084" s="2" t="s">
        <v>66</v>
      </c>
      <c r="D1084" s="2" t="s">
        <v>67</v>
      </c>
      <c r="E1084" s="5" t="s">
        <v>1307</v>
      </c>
      <c r="F1084" s="3" t="s">
        <v>1308</v>
      </c>
      <c r="G1084" s="3" t="s">
        <v>21</v>
      </c>
      <c r="H1084" s="2" t="s">
        <v>22</v>
      </c>
      <c r="I1084" s="2" t="s">
        <v>2841</v>
      </c>
      <c r="J1084" s="3" t="str">
        <f>HYPERLINK("https://www.boe.es/gazeta/dias/1834/08/25/pdfs/GMD-1834-191.pdf#page=3","Abrir facsímil")</f>
        <v>Abrir facsímil</v>
      </c>
      <c r="K1084" s="3" t="s">
        <v>24</v>
      </c>
    </row>
    <row r="1085" spans="1:11" ht="54" customHeight="1">
      <c r="A1085" s="2" t="s">
        <v>2842</v>
      </c>
      <c r="B1085" s="2" t="s">
        <v>2842</v>
      </c>
      <c r="C1085" s="2" t="s">
        <v>66</v>
      </c>
      <c r="D1085" s="2" t="s">
        <v>67</v>
      </c>
      <c r="E1085" s="5" t="s">
        <v>576</v>
      </c>
      <c r="F1085" s="3" t="s">
        <v>577</v>
      </c>
      <c r="G1085" s="3" t="s">
        <v>75</v>
      </c>
      <c r="H1085" s="2" t="s">
        <v>22</v>
      </c>
      <c r="I1085" s="2" t="s">
        <v>2843</v>
      </c>
      <c r="J1085" s="3" t="str">
        <f>HYPERLINK("https://www.boe.es/gazeta/dias/1834/09/23/pdfs/GMD-1834-221.pdf#page=4","Abrir facsímil")</f>
        <v>Abrir facsímil</v>
      </c>
      <c r="K1085" s="3" t="s">
        <v>24</v>
      </c>
    </row>
    <row r="1086" spans="1:11" ht="54" customHeight="1">
      <c r="A1086" s="2" t="s">
        <v>2844</v>
      </c>
      <c r="B1086" s="2" t="s">
        <v>2845</v>
      </c>
      <c r="C1086" s="2" t="s">
        <v>17</v>
      </c>
      <c r="D1086" s="2" t="s">
        <v>18</v>
      </c>
      <c r="E1086" s="5" t="s">
        <v>615</v>
      </c>
      <c r="F1086" s="3" t="s">
        <v>616</v>
      </c>
      <c r="G1086" s="3" t="s">
        <v>75</v>
      </c>
      <c r="H1086" s="2" t="s">
        <v>22</v>
      </c>
      <c r="I1086" s="2" t="s">
        <v>2846</v>
      </c>
      <c r="J1086" s="3" t="str">
        <f>HYPERLINK("https://www.boe.es/gazeta/dias/1834/08/19/pdfs/GMD-1834-185.pdf#page=4","Abrir facsímil")</f>
        <v>Abrir facsímil</v>
      </c>
      <c r="K1086" s="3" t="s">
        <v>24</v>
      </c>
    </row>
    <row r="1087" spans="1:11" ht="54" customHeight="1">
      <c r="A1087" s="2" t="s">
        <v>2847</v>
      </c>
      <c r="B1087" s="2" t="s">
        <v>2847</v>
      </c>
      <c r="C1087" s="2" t="s">
        <v>17</v>
      </c>
      <c r="D1087" s="2" t="s">
        <v>18</v>
      </c>
      <c r="E1087" s="5" t="s">
        <v>73</v>
      </c>
      <c r="F1087" s="3" t="s">
        <v>74</v>
      </c>
      <c r="G1087" s="3" t="s">
        <v>34</v>
      </c>
      <c r="H1087" s="2" t="s">
        <v>22</v>
      </c>
      <c r="I1087" s="2" t="s">
        <v>2848</v>
      </c>
      <c r="J1087" s="3" t="str">
        <f>HYPERLINK("https://www.boe.es/gazeta/dias/1834/11/04/pdfs/GMD-1834-263.pdf#page=1","Abrir facsímil")</f>
        <v>Abrir facsímil</v>
      </c>
      <c r="K1087" s="3" t="s">
        <v>24</v>
      </c>
    </row>
    <row r="1088" spans="1:11" ht="54" customHeight="1">
      <c r="A1088" s="2" t="s">
        <v>2849</v>
      </c>
      <c r="B1088" s="2" t="s">
        <v>2850</v>
      </c>
      <c r="C1088" s="2" t="s">
        <v>90</v>
      </c>
      <c r="D1088" s="2" t="s">
        <v>18</v>
      </c>
      <c r="E1088" s="5" t="s">
        <v>416</v>
      </c>
      <c r="F1088" s="3" t="s">
        <v>1130</v>
      </c>
      <c r="G1088" s="3" t="s">
        <v>86</v>
      </c>
      <c r="H1088" s="2" t="s">
        <v>22</v>
      </c>
      <c r="I1088" s="2" t="s">
        <v>2851</v>
      </c>
      <c r="J1088" s="3" t="str">
        <f>HYPERLINK("https://www.boe.es/gazeta/dias/1834/10/02/pdfs/GMD-1834-230.pdf#page=2","Abrir facsímil")</f>
        <v>Abrir facsímil</v>
      </c>
      <c r="K1088" s="3" t="s">
        <v>24</v>
      </c>
    </row>
    <row r="1089" spans="1:11" ht="54" customHeight="1">
      <c r="A1089" s="2" t="s">
        <v>2852</v>
      </c>
      <c r="B1089" s="2" t="s">
        <v>2853</v>
      </c>
      <c r="C1089" s="2" t="s">
        <v>17</v>
      </c>
      <c r="D1089" s="2" t="s">
        <v>18</v>
      </c>
      <c r="E1089" s="5" t="s">
        <v>1113</v>
      </c>
      <c r="F1089" s="3" t="s">
        <v>1114</v>
      </c>
      <c r="G1089" s="3" t="s">
        <v>75</v>
      </c>
      <c r="H1089" s="2" t="s">
        <v>22</v>
      </c>
      <c r="I1089" s="2" t="s">
        <v>2854</v>
      </c>
      <c r="J1089" s="3" t="str">
        <f>HYPERLINK("https://www.boe.es/gazeta/dias/1834/04/14/pdfs/GMD-1834-53.pdf#page=4","Abrir facsímil")</f>
        <v>Abrir facsímil</v>
      </c>
      <c r="K1089" s="3" t="s">
        <v>24</v>
      </c>
    </row>
    <row r="1090" spans="1:11" ht="54" customHeight="1">
      <c r="A1090" s="2" t="s">
        <v>2855</v>
      </c>
      <c r="B1090" s="2" t="s">
        <v>2856</v>
      </c>
      <c r="C1090" s="2" t="s">
        <v>17</v>
      </c>
      <c r="D1090" s="2" t="s">
        <v>101</v>
      </c>
      <c r="E1090" s="5" t="s">
        <v>1017</v>
      </c>
      <c r="F1090" s="3" t="s">
        <v>1018</v>
      </c>
      <c r="G1090" s="3" t="s">
        <v>34</v>
      </c>
      <c r="H1090" s="2" t="s">
        <v>22</v>
      </c>
      <c r="I1090" s="2" t="s">
        <v>2857</v>
      </c>
      <c r="J1090" s="3" t="str">
        <f>HYPERLINK("https://www.boe.es/gazeta/dias/1834/07/24/pdfs/GMD-1834-157.pdf#page=1","Abrir facsímil")</f>
        <v>Abrir facsímil</v>
      </c>
      <c r="K1090" s="3" t="s">
        <v>24</v>
      </c>
    </row>
    <row r="1091" spans="1:11" ht="54" customHeight="1">
      <c r="A1091" s="2" t="s">
        <v>2858</v>
      </c>
      <c r="B1091" s="2" t="s">
        <v>2859</v>
      </c>
      <c r="C1091" s="2" t="s">
        <v>17</v>
      </c>
      <c r="D1091" s="2" t="s">
        <v>101</v>
      </c>
      <c r="E1091" s="5" t="s">
        <v>2860</v>
      </c>
      <c r="F1091" s="3" t="s">
        <v>2861</v>
      </c>
      <c r="G1091" s="3" t="s">
        <v>34</v>
      </c>
      <c r="H1091" s="2" t="s">
        <v>22</v>
      </c>
      <c r="I1091" s="2" t="s">
        <v>2862</v>
      </c>
      <c r="J1091" s="3" t="str">
        <f>HYPERLINK("https://www.boe.es/gazeta/dias/1834/07/20/pdfs/GMD-1834-153.pdf#page=1","Abrir facsímil")</f>
        <v>Abrir facsímil</v>
      </c>
      <c r="K1091" s="3" t="s">
        <v>24</v>
      </c>
    </row>
    <row r="1092" spans="1:11" ht="54" customHeight="1">
      <c r="A1092" s="2" t="s">
        <v>2863</v>
      </c>
      <c r="B1092" s="2" t="s">
        <v>2864</v>
      </c>
      <c r="C1092" s="2" t="s">
        <v>90</v>
      </c>
      <c r="D1092" s="2" t="s">
        <v>101</v>
      </c>
      <c r="E1092" s="5" t="s">
        <v>2865</v>
      </c>
      <c r="F1092" s="3" t="s">
        <v>2866</v>
      </c>
      <c r="G1092" s="3" t="s">
        <v>34</v>
      </c>
      <c r="H1092" s="2" t="s">
        <v>22</v>
      </c>
      <c r="I1092" s="2" t="s">
        <v>2867</v>
      </c>
      <c r="J1092" s="3" t="str">
        <f>HYPERLINK("https://www.boe.es/gazeta/dias/1834/07/06/pdfs/GMD-1834-139.pdf#page=1","Abrir facsímil")</f>
        <v>Abrir facsímil</v>
      </c>
      <c r="K1092" s="3" t="s">
        <v>24</v>
      </c>
    </row>
    <row r="1093" spans="1:11" ht="54" customHeight="1">
      <c r="A1093" s="2" t="s">
        <v>2868</v>
      </c>
      <c r="B1093" s="2" t="s">
        <v>2869</v>
      </c>
      <c r="C1093" s="2" t="s">
        <v>66</v>
      </c>
      <c r="D1093" s="2" t="s">
        <v>18</v>
      </c>
      <c r="E1093" s="5" t="s">
        <v>1677</v>
      </c>
      <c r="F1093" s="3" t="s">
        <v>1678</v>
      </c>
      <c r="G1093" s="3" t="s">
        <v>34</v>
      </c>
      <c r="H1093" s="2" t="s">
        <v>22</v>
      </c>
      <c r="I1093" s="2" t="s">
        <v>2870</v>
      </c>
      <c r="J1093" s="3" t="str">
        <f>HYPERLINK("https://www.boe.es/gazeta/dias/1834/07/26/pdfs/GMD-1834-159.pdf#page=1","Abrir facsímil")</f>
        <v>Abrir facsímil</v>
      </c>
      <c r="K1093" s="3" t="s">
        <v>24</v>
      </c>
    </row>
    <row r="1094" spans="1:11" ht="54" customHeight="1">
      <c r="A1094" s="2" t="s">
        <v>2871</v>
      </c>
      <c r="B1094" s="2" t="s">
        <v>2872</v>
      </c>
      <c r="C1094" s="2" t="s">
        <v>17</v>
      </c>
      <c r="D1094" s="2" t="s">
        <v>101</v>
      </c>
      <c r="E1094" s="5" t="s">
        <v>1017</v>
      </c>
      <c r="F1094" s="3" t="s">
        <v>1018</v>
      </c>
      <c r="G1094" s="3" t="s">
        <v>34</v>
      </c>
      <c r="H1094" s="2" t="s">
        <v>35</v>
      </c>
      <c r="I1094" s="2" t="s">
        <v>2873</v>
      </c>
      <c r="J1094" s="3" t="str">
        <f>HYPERLINK("https://www.boe.es/gazeta/dias/1834/07/24/pdfs/GMD-1834-157.pdf#page=1","Abrir facsímil")</f>
        <v>Abrir facsímil</v>
      </c>
      <c r="K1094" s="3" t="s">
        <v>37</v>
      </c>
    </row>
    <row r="1095" spans="1:11" ht="54" customHeight="1">
      <c r="A1095" s="2" t="s">
        <v>2874</v>
      </c>
      <c r="B1095" s="2" t="s">
        <v>2875</v>
      </c>
      <c r="C1095" s="2" t="s">
        <v>17</v>
      </c>
      <c r="D1095" s="2" t="s">
        <v>101</v>
      </c>
      <c r="E1095" s="5" t="s">
        <v>2860</v>
      </c>
      <c r="F1095" s="3" t="s">
        <v>2861</v>
      </c>
      <c r="G1095" s="3" t="s">
        <v>34</v>
      </c>
      <c r="H1095" s="2" t="s">
        <v>35</v>
      </c>
      <c r="I1095" s="2" t="s">
        <v>2876</v>
      </c>
      <c r="J1095" s="3" t="str">
        <f>HYPERLINK("https://www.boe.es/gazeta/dias/1834/07/20/pdfs/GMD-1834-153.pdf#page=1","Abrir facsímil")</f>
        <v>Abrir facsímil</v>
      </c>
      <c r="K1095" s="3" t="s">
        <v>37</v>
      </c>
    </row>
    <row r="1096" spans="1:11" ht="54" customHeight="1">
      <c r="A1096" s="2" t="s">
        <v>2877</v>
      </c>
      <c r="B1096" s="2" t="s">
        <v>2878</v>
      </c>
      <c r="C1096" s="2" t="s">
        <v>46</v>
      </c>
      <c r="D1096" s="2" t="s">
        <v>101</v>
      </c>
      <c r="E1096" s="5" t="s">
        <v>117</v>
      </c>
      <c r="F1096" s="3" t="s">
        <v>118</v>
      </c>
      <c r="G1096" s="3" t="s">
        <v>21</v>
      </c>
      <c r="H1096" s="2" t="s">
        <v>22</v>
      </c>
      <c r="I1096" s="2" t="s">
        <v>2879</v>
      </c>
      <c r="J1096" s="3" t="str">
        <f>HYPERLINK("https://www.boe.es/gazeta/dias/1834/07/21/pdfs/GMD-1834-154.pdf#page=3","Abrir facsímil")</f>
        <v>Abrir facsímil</v>
      </c>
      <c r="K1096" s="3" t="s">
        <v>24</v>
      </c>
    </row>
    <row r="1097" spans="1:11" ht="54" customHeight="1">
      <c r="A1097" s="2" t="s">
        <v>2880</v>
      </c>
      <c r="B1097" s="2" t="s">
        <v>2881</v>
      </c>
      <c r="C1097" s="2" t="s">
        <v>66</v>
      </c>
      <c r="D1097" s="2" t="s">
        <v>18</v>
      </c>
      <c r="E1097" s="5" t="s">
        <v>1677</v>
      </c>
      <c r="F1097" s="3" t="s">
        <v>1678</v>
      </c>
      <c r="G1097" s="3" t="s">
        <v>34</v>
      </c>
      <c r="H1097" s="2" t="s">
        <v>22</v>
      </c>
      <c r="I1097" s="2" t="s">
        <v>2882</v>
      </c>
      <c r="J1097" s="3" t="str">
        <f>HYPERLINK("https://www.boe.es/gazeta/dias/1834/07/26/pdfs/GMD-1834-159.pdf#page=1","Abrir facsímil")</f>
        <v>Abrir facsímil</v>
      </c>
      <c r="K1097" s="3" t="s">
        <v>24</v>
      </c>
    </row>
    <row r="1098" spans="1:11" ht="54" customHeight="1">
      <c r="A1098" s="2" t="s">
        <v>2883</v>
      </c>
      <c r="B1098" s="2" t="s">
        <v>2884</v>
      </c>
      <c r="C1098" s="2" t="s">
        <v>46</v>
      </c>
      <c r="D1098" s="2" t="s">
        <v>18</v>
      </c>
      <c r="E1098" s="5" t="s">
        <v>1135</v>
      </c>
      <c r="F1098" s="3" t="s">
        <v>1136</v>
      </c>
      <c r="G1098" s="3" t="s">
        <v>86</v>
      </c>
      <c r="H1098" s="2" t="s">
        <v>22</v>
      </c>
      <c r="I1098" s="2" t="s">
        <v>2885</v>
      </c>
      <c r="J1098" s="3" t="str">
        <f>HYPERLINK("https://www.boe.es/gazeta/dias/1834/08/26/pdfs/GMD-1834-192.pdf#page=2","Abrir facsímil")</f>
        <v>Abrir facsímil</v>
      </c>
      <c r="K1098" s="3" t="s">
        <v>24</v>
      </c>
    </row>
    <row r="1099" spans="1:11" ht="54" customHeight="1">
      <c r="A1099" s="2" t="s">
        <v>2886</v>
      </c>
      <c r="B1099" s="2" t="s">
        <v>2887</v>
      </c>
      <c r="C1099" s="2" t="s">
        <v>46</v>
      </c>
      <c r="D1099" s="2" t="s">
        <v>18</v>
      </c>
      <c r="E1099" s="5" t="s">
        <v>2888</v>
      </c>
      <c r="F1099" s="3" t="s">
        <v>2889</v>
      </c>
      <c r="G1099" s="3" t="s">
        <v>86</v>
      </c>
      <c r="H1099" s="2" t="s">
        <v>22</v>
      </c>
      <c r="I1099" s="2" t="s">
        <v>2890</v>
      </c>
      <c r="J1099" s="3" t="str">
        <f>HYPERLINK("https://www.boe.es/gazeta/dias/1834/12/22/pdfs/GMD-1834-312.pdf#page=2","Abrir facsímil")</f>
        <v>Abrir facsímil</v>
      </c>
      <c r="K1099" s="3" t="s">
        <v>24</v>
      </c>
    </row>
    <row r="1100" spans="1:11" ht="54" customHeight="1">
      <c r="A1100" s="2" t="s">
        <v>2891</v>
      </c>
      <c r="B1100" s="2" t="s">
        <v>2892</v>
      </c>
      <c r="C1100" s="2" t="s">
        <v>46</v>
      </c>
      <c r="D1100" s="2" t="s">
        <v>18</v>
      </c>
      <c r="E1100" s="5" t="s">
        <v>2124</v>
      </c>
      <c r="F1100" s="3" t="s">
        <v>2125</v>
      </c>
      <c r="G1100" s="3" t="s">
        <v>86</v>
      </c>
      <c r="H1100" s="2" t="s">
        <v>22</v>
      </c>
      <c r="I1100" s="2" t="s">
        <v>2893</v>
      </c>
      <c r="J1100" s="3" t="str">
        <f>HYPERLINK("https://www.boe.es/gazeta/dias/1834/06/09/pdfs/GMD-1834-112.pdf#page=2","Abrir facsímil")</f>
        <v>Abrir facsímil</v>
      </c>
      <c r="K1100" s="3" t="s">
        <v>24</v>
      </c>
    </row>
    <row r="1101" spans="1:11" ht="54" customHeight="1">
      <c r="A1101" s="2" t="s">
        <v>2894</v>
      </c>
      <c r="B1101" s="2" t="s">
        <v>2895</v>
      </c>
      <c r="C1101" s="2" t="s">
        <v>17</v>
      </c>
      <c r="D1101" s="2" t="s">
        <v>18</v>
      </c>
      <c r="E1101" s="5" t="s">
        <v>299</v>
      </c>
      <c r="F1101" s="3" t="s">
        <v>300</v>
      </c>
      <c r="G1101" s="3" t="s">
        <v>21</v>
      </c>
      <c r="H1101" s="2" t="s">
        <v>22</v>
      </c>
      <c r="I1101" s="2" t="s">
        <v>2896</v>
      </c>
      <c r="J1101" s="3" t="str">
        <f>HYPERLINK("https://www.boe.es/gazeta/dias/1834/12/12/pdfs/GMD-1834-301.pdf#page=3","Abrir facsímil")</f>
        <v>Abrir facsímil</v>
      </c>
      <c r="K1101" s="3" t="s">
        <v>24</v>
      </c>
    </row>
    <row r="1102" spans="1:11" ht="54" customHeight="1">
      <c r="A1102" s="2" t="s">
        <v>2897</v>
      </c>
      <c r="B1102" s="2" t="s">
        <v>2898</v>
      </c>
      <c r="C1102" s="2" t="s">
        <v>17</v>
      </c>
      <c r="D1102" s="2" t="s">
        <v>18</v>
      </c>
      <c r="E1102" s="5" t="s">
        <v>309</v>
      </c>
      <c r="F1102" s="3" t="s">
        <v>310</v>
      </c>
      <c r="G1102" s="3" t="s">
        <v>34</v>
      </c>
      <c r="H1102" s="2" t="s">
        <v>22</v>
      </c>
      <c r="I1102" s="2" t="s">
        <v>2899</v>
      </c>
      <c r="J1102" s="3" t="str">
        <f>HYPERLINK("https://www.boe.es/gazeta/dias/1834/05/30/pdfs/GMD-1834-99.pdf#page=1","Abrir facsímil")</f>
        <v>Abrir facsímil</v>
      </c>
      <c r="K1102" s="3" t="s">
        <v>24</v>
      </c>
    </row>
    <row r="1103" spans="1:11" ht="54" customHeight="1">
      <c r="A1103" s="2" t="s">
        <v>2900</v>
      </c>
      <c r="B1103" s="2" t="s">
        <v>2901</v>
      </c>
      <c r="C1103" s="2" t="s">
        <v>17</v>
      </c>
      <c r="D1103" s="2" t="s">
        <v>18</v>
      </c>
      <c r="E1103" s="5" t="s">
        <v>956</v>
      </c>
      <c r="F1103" s="3" t="s">
        <v>1508</v>
      </c>
      <c r="G1103" s="3" t="s">
        <v>86</v>
      </c>
      <c r="H1103" s="2" t="s">
        <v>22</v>
      </c>
      <c r="I1103" s="2" t="s">
        <v>2902</v>
      </c>
      <c r="J1103" s="3" t="str">
        <f>HYPERLINK("https://www.boe.es/gazeta/dias/1834/08/10/pdfs/GMD-1834-175.pdf#page=2","Abrir facsímil")</f>
        <v>Abrir facsímil</v>
      </c>
      <c r="K1103" s="3" t="s">
        <v>24</v>
      </c>
    </row>
    <row r="1104" spans="1:11" ht="54" customHeight="1">
      <c r="A1104" s="2" t="s">
        <v>2900</v>
      </c>
      <c r="B1104" s="2" t="s">
        <v>2901</v>
      </c>
      <c r="C1104" s="2" t="s">
        <v>122</v>
      </c>
      <c r="D1104" s="2" t="s">
        <v>40</v>
      </c>
      <c r="E1104" s="5" t="s">
        <v>1747</v>
      </c>
      <c r="F1104" s="3" t="s">
        <v>1748</v>
      </c>
      <c r="G1104" s="3" t="s">
        <v>21</v>
      </c>
      <c r="H1104" s="2" t="s">
        <v>22</v>
      </c>
      <c r="I1104" s="2" t="s">
        <v>2903</v>
      </c>
      <c r="J1104" s="3" t="str">
        <f>HYPERLINK("https://www.boe.es/gazeta/dias/1834/06/29/pdfs/GMD-1834-132.pdf#page=3","Abrir facsímil")</f>
        <v>Abrir facsímil</v>
      </c>
      <c r="K1104" s="3" t="s">
        <v>24</v>
      </c>
    </row>
    <row r="1105" spans="1:11" ht="54" customHeight="1">
      <c r="A1105" s="2" t="s">
        <v>2900</v>
      </c>
      <c r="B1105" s="2" t="s">
        <v>2901</v>
      </c>
      <c r="C1105" s="2" t="s">
        <v>17</v>
      </c>
      <c r="D1105" s="2" t="s">
        <v>18</v>
      </c>
      <c r="E1105" s="5" t="s">
        <v>309</v>
      </c>
      <c r="F1105" s="3" t="s">
        <v>310</v>
      </c>
      <c r="G1105" s="3" t="s">
        <v>75</v>
      </c>
      <c r="H1105" s="2" t="s">
        <v>22</v>
      </c>
      <c r="I1105" s="2" t="s">
        <v>2904</v>
      </c>
      <c r="J1105" s="3" t="str">
        <f>HYPERLINK("https://www.boe.es/gazeta/dias/1834/05/30/pdfs/GMD-1834-99.pdf#page=4","Abrir facsímil")</f>
        <v>Abrir facsímil</v>
      </c>
      <c r="K1105" s="3" t="s">
        <v>24</v>
      </c>
    </row>
    <row r="1106" spans="1:11" ht="54" customHeight="1">
      <c r="A1106" s="2" t="s">
        <v>2905</v>
      </c>
      <c r="B1106" s="2" t="s">
        <v>2906</v>
      </c>
      <c r="C1106" s="2" t="s">
        <v>122</v>
      </c>
      <c r="D1106" s="2" t="s">
        <v>18</v>
      </c>
      <c r="E1106" s="5" t="s">
        <v>905</v>
      </c>
      <c r="F1106" s="3" t="s">
        <v>1651</v>
      </c>
      <c r="G1106" s="3" t="s">
        <v>21</v>
      </c>
      <c r="H1106" s="2" t="s">
        <v>22</v>
      </c>
      <c r="I1106" s="2" t="s">
        <v>2907</v>
      </c>
      <c r="J1106" s="3" t="str">
        <f>HYPERLINK("https://www.boe.es/gazeta/dias/1834/08/02/pdfs/GMD-1834-166.pdf#page=3","Abrir facsímil")</f>
        <v>Abrir facsímil</v>
      </c>
      <c r="K1106" s="3" t="s">
        <v>24</v>
      </c>
    </row>
    <row r="1107" spans="1:11" ht="54" customHeight="1">
      <c r="A1107" s="2" t="s">
        <v>2908</v>
      </c>
      <c r="B1107" s="2" t="s">
        <v>2908</v>
      </c>
      <c r="C1107" s="2" t="s">
        <v>17</v>
      </c>
      <c r="D1107" s="2" t="s">
        <v>18</v>
      </c>
      <c r="E1107" s="5" t="s">
        <v>1812</v>
      </c>
      <c r="F1107" s="3" t="s">
        <v>1813</v>
      </c>
      <c r="G1107" s="3" t="s">
        <v>34</v>
      </c>
      <c r="H1107" s="2" t="s">
        <v>22</v>
      </c>
      <c r="I1107" s="2" t="s">
        <v>2909</v>
      </c>
      <c r="J1107" s="3" t="str">
        <f>HYPERLINK("https://www.boe.es/gazeta/dias/1834/10/23/pdfs/GMD-1834-251.pdf#page=1","Abrir facsímil")</f>
        <v>Abrir facsímil</v>
      </c>
      <c r="K1107" s="3" t="s">
        <v>24</v>
      </c>
    </row>
    <row r="1108" spans="1:11" ht="54" customHeight="1">
      <c r="A1108" s="2" t="s">
        <v>2910</v>
      </c>
      <c r="B1108" s="2" t="s">
        <v>2911</v>
      </c>
      <c r="C1108" s="2" t="s">
        <v>17</v>
      </c>
      <c r="D1108" s="2" t="s">
        <v>18</v>
      </c>
      <c r="E1108" s="5" t="s">
        <v>2053</v>
      </c>
      <c r="F1108" s="3" t="s">
        <v>2912</v>
      </c>
      <c r="G1108" s="3" t="s">
        <v>34</v>
      </c>
      <c r="H1108" s="2" t="s">
        <v>35</v>
      </c>
      <c r="I1108" s="2" t="s">
        <v>2913</v>
      </c>
      <c r="J1108" s="3" t="str">
        <f>HYPERLINK("https://www.boe.es/gazeta/dias/1834/06/02/pdfs/GMD-1834-104E.pdf#page=1","Abrir facsímil")</f>
        <v>Abrir facsímil</v>
      </c>
      <c r="K1108" s="3" t="s">
        <v>37</v>
      </c>
    </row>
    <row r="1109" spans="1:11" ht="54" customHeight="1">
      <c r="A1109" s="2" t="s">
        <v>2914</v>
      </c>
      <c r="B1109" s="2" t="s">
        <v>2915</v>
      </c>
      <c r="C1109" s="2" t="s">
        <v>17</v>
      </c>
      <c r="D1109" s="2" t="s">
        <v>18</v>
      </c>
      <c r="E1109" s="5" t="s">
        <v>2053</v>
      </c>
      <c r="F1109" s="3" t="s">
        <v>2912</v>
      </c>
      <c r="G1109" s="3" t="s">
        <v>34</v>
      </c>
      <c r="H1109" s="2" t="s">
        <v>22</v>
      </c>
      <c r="I1109" s="2" t="s">
        <v>2916</v>
      </c>
      <c r="J1109" s="3" t="str">
        <f>HYPERLINK("https://www.boe.es/gazeta/dias/1834/06/02/pdfs/GMD-1834-104E.pdf#page=1","Abrir facsímil")</f>
        <v>Abrir facsímil</v>
      </c>
      <c r="K1109" s="3" t="s">
        <v>24</v>
      </c>
    </row>
    <row r="1110" spans="1:11" ht="54" customHeight="1">
      <c r="A1110" s="2" t="s">
        <v>2917</v>
      </c>
      <c r="B1110" s="2" t="s">
        <v>2918</v>
      </c>
      <c r="C1110" s="2" t="s">
        <v>17</v>
      </c>
      <c r="D1110" s="2" t="s">
        <v>18</v>
      </c>
      <c r="E1110" s="5" t="s">
        <v>762</v>
      </c>
      <c r="F1110" s="3" t="s">
        <v>763</v>
      </c>
      <c r="G1110" s="3" t="s">
        <v>75</v>
      </c>
      <c r="H1110" s="2" t="s">
        <v>22</v>
      </c>
      <c r="I1110" s="2" t="s">
        <v>2919</v>
      </c>
      <c r="J1110" s="3" t="str">
        <f>HYPERLINK("https://www.boe.es/gazeta/dias/1834/11/07/pdfs/GMD-1834-266.pdf#page=4","Abrir facsímil")</f>
        <v>Abrir facsímil</v>
      </c>
      <c r="K1110" s="3" t="s">
        <v>24</v>
      </c>
    </row>
    <row r="1111" spans="1:11" ht="54" customHeight="1">
      <c r="A1111" s="2" t="s">
        <v>2920</v>
      </c>
      <c r="B1111" s="2" t="s">
        <v>2921</v>
      </c>
      <c r="C1111" s="2" t="s">
        <v>17</v>
      </c>
      <c r="D1111" s="2" t="s">
        <v>18</v>
      </c>
      <c r="E1111" s="5" t="s">
        <v>348</v>
      </c>
      <c r="F1111" s="3" t="s">
        <v>501</v>
      </c>
      <c r="G1111" s="3" t="s">
        <v>21</v>
      </c>
      <c r="H1111" s="2" t="s">
        <v>22</v>
      </c>
      <c r="I1111" s="2" t="s">
        <v>2922</v>
      </c>
      <c r="J1111" s="3" t="str">
        <f>HYPERLINK("https://www.boe.es/gazeta/dias/1834/06/12/pdfs/GMD-1834-115.pdf#page=3","Abrir facsímil")</f>
        <v>Abrir facsímil</v>
      </c>
      <c r="K1111" s="3" t="s">
        <v>24</v>
      </c>
    </row>
    <row r="1112" spans="1:11" ht="54" customHeight="1">
      <c r="A1112" s="2" t="s">
        <v>2920</v>
      </c>
      <c r="B1112" s="2" t="s">
        <v>2921</v>
      </c>
      <c r="C1112" s="2" t="s">
        <v>122</v>
      </c>
      <c r="D1112" s="2" t="s">
        <v>18</v>
      </c>
      <c r="E1112" s="5" t="s">
        <v>1394</v>
      </c>
      <c r="F1112" s="3" t="s">
        <v>2923</v>
      </c>
      <c r="G1112" s="3" t="s">
        <v>34</v>
      </c>
      <c r="H1112" s="2" t="s">
        <v>22</v>
      </c>
      <c r="I1112" s="2" t="s">
        <v>2924</v>
      </c>
      <c r="J1112" s="3" t="str">
        <f>HYPERLINK("https://www.boe.es/gazeta/dias/1834/04/16/pdfs/GMD-C-1834-55.pdf#page=1","Abrir facsímil")</f>
        <v>Abrir facsímil</v>
      </c>
      <c r="K1112" s="3" t="s">
        <v>24</v>
      </c>
    </row>
    <row r="1113" spans="1:11" ht="54" customHeight="1">
      <c r="A1113" s="2" t="s">
        <v>2925</v>
      </c>
      <c r="B1113" s="2" t="s">
        <v>2925</v>
      </c>
      <c r="C1113" s="2" t="s">
        <v>17</v>
      </c>
      <c r="D1113" s="2" t="s">
        <v>101</v>
      </c>
      <c r="E1113" s="5" t="s">
        <v>2748</v>
      </c>
      <c r="F1113" s="3" t="s">
        <v>2749</v>
      </c>
      <c r="G1113" s="3" t="s">
        <v>34</v>
      </c>
      <c r="H1113" s="2" t="s">
        <v>22</v>
      </c>
      <c r="I1113" s="2" t="s">
        <v>2926</v>
      </c>
      <c r="J1113" s="3" t="str">
        <f>HYPERLINK("https://www.boe.es/gazeta/dias/1834/01/09/pdfs/GMD-1834-5.pdf#page=1","Abrir facsímil")</f>
        <v>Abrir facsímil</v>
      </c>
      <c r="K1113" s="3" t="s">
        <v>24</v>
      </c>
    </row>
    <row r="1114" spans="1:11" ht="54" customHeight="1">
      <c r="A1114" s="2" t="s">
        <v>2927</v>
      </c>
      <c r="B1114" s="2" t="s">
        <v>2928</v>
      </c>
      <c r="C1114" s="2" t="s">
        <v>46</v>
      </c>
      <c r="D1114" s="2" t="s">
        <v>18</v>
      </c>
      <c r="E1114" s="5" t="s">
        <v>838</v>
      </c>
      <c r="F1114" s="3" t="s">
        <v>839</v>
      </c>
      <c r="G1114" s="3" t="s">
        <v>21</v>
      </c>
      <c r="H1114" s="2" t="s">
        <v>22</v>
      </c>
      <c r="I1114" s="2" t="s">
        <v>2929</v>
      </c>
      <c r="J1114" s="3" t="str">
        <f>HYPERLINK("https://www.boe.es/gazeta/dias/1834/07/18/pdfs/GMD-1834-151.pdf#page=3","Abrir facsímil")</f>
        <v>Abrir facsímil</v>
      </c>
      <c r="K1114" s="3" t="s">
        <v>24</v>
      </c>
    </row>
    <row r="1115" spans="1:11" ht="54" customHeight="1">
      <c r="A1115" s="2" t="s">
        <v>2930</v>
      </c>
      <c r="B1115" s="2" t="s">
        <v>2931</v>
      </c>
      <c r="C1115" s="2" t="s">
        <v>17</v>
      </c>
      <c r="D1115" s="2" t="s">
        <v>18</v>
      </c>
      <c r="E1115" s="5" t="s">
        <v>1955</v>
      </c>
      <c r="F1115" s="3" t="s">
        <v>1956</v>
      </c>
      <c r="G1115" s="3" t="s">
        <v>21</v>
      </c>
      <c r="H1115" s="2" t="s">
        <v>22</v>
      </c>
      <c r="I1115" s="2" t="s">
        <v>2932</v>
      </c>
      <c r="J1115" s="3" t="str">
        <f>HYPERLINK("https://www.boe.es/gazeta/dias/1834/05/04/pdfs/GMD-1834-73.pdf#page=3","Abrir facsímil")</f>
        <v>Abrir facsímil</v>
      </c>
      <c r="K1115" s="3" t="s">
        <v>24</v>
      </c>
    </row>
    <row r="1116" spans="1:11" ht="54" customHeight="1">
      <c r="A1116" s="2" t="s">
        <v>2933</v>
      </c>
      <c r="B1116" s="2" t="s">
        <v>2933</v>
      </c>
      <c r="C1116" s="2" t="s">
        <v>17</v>
      </c>
      <c r="D1116" s="2" t="s">
        <v>55</v>
      </c>
      <c r="E1116" s="5" t="s">
        <v>454</v>
      </c>
      <c r="F1116" s="3" t="s">
        <v>455</v>
      </c>
      <c r="G1116" s="3" t="s">
        <v>34</v>
      </c>
      <c r="H1116" s="2" t="s">
        <v>22</v>
      </c>
      <c r="I1116" s="2" t="s">
        <v>2934</v>
      </c>
      <c r="J1116" s="3" t="str">
        <f>HYPERLINK("https://www.boe.es/gazeta/dias/1834/10/16/pdfs/GMD-C-1834-244.pdf#page=1","Abrir facsímil")</f>
        <v>Abrir facsímil</v>
      </c>
      <c r="K1116" s="3" t="s">
        <v>24</v>
      </c>
    </row>
    <row r="1117" spans="1:11" ht="54" customHeight="1">
      <c r="A1117" s="2" t="s">
        <v>2935</v>
      </c>
      <c r="B1117" s="2" t="s">
        <v>2936</v>
      </c>
      <c r="C1117" s="2" t="s">
        <v>17</v>
      </c>
      <c r="D1117" s="2" t="s">
        <v>18</v>
      </c>
      <c r="E1117" s="5" t="s">
        <v>2937</v>
      </c>
      <c r="F1117" s="3" t="s">
        <v>2938</v>
      </c>
      <c r="G1117" s="3" t="s">
        <v>75</v>
      </c>
      <c r="H1117" s="2" t="s">
        <v>22</v>
      </c>
      <c r="I1117" s="2" t="s">
        <v>2939</v>
      </c>
      <c r="J1117" s="3" t="str">
        <f>HYPERLINK("https://www.boe.es/gazeta/dias/1834/06/25/pdfs/GMD-1834-128.pdf#page=4","Abrir facsímil")</f>
        <v>Abrir facsímil</v>
      </c>
      <c r="K1117" s="3" t="s">
        <v>24</v>
      </c>
    </row>
    <row r="1118" spans="1:11" ht="54" customHeight="1">
      <c r="A1118" s="2" t="s">
        <v>2940</v>
      </c>
      <c r="B1118" s="2" t="s">
        <v>2941</v>
      </c>
      <c r="C1118" s="2" t="s">
        <v>17</v>
      </c>
      <c r="D1118" s="2" t="s">
        <v>18</v>
      </c>
      <c r="E1118" s="5" t="s">
        <v>2937</v>
      </c>
      <c r="F1118" s="3" t="s">
        <v>2938</v>
      </c>
      <c r="G1118" s="3" t="s">
        <v>75</v>
      </c>
      <c r="H1118" s="2" t="s">
        <v>35</v>
      </c>
      <c r="I1118" s="2" t="s">
        <v>2942</v>
      </c>
      <c r="J1118" s="3" t="str">
        <f>HYPERLINK("https://www.boe.es/gazeta/dias/1834/06/25/pdfs/GMD-1834-128.pdf#page=4","Abrir facsímil")</f>
        <v>Abrir facsímil</v>
      </c>
      <c r="K1118" s="3" t="s">
        <v>37</v>
      </c>
    </row>
    <row r="1119" spans="1:11" ht="54" customHeight="1">
      <c r="A1119" s="2" t="s">
        <v>2943</v>
      </c>
      <c r="B1119" s="2" t="s">
        <v>2944</v>
      </c>
      <c r="C1119" s="2" t="s">
        <v>66</v>
      </c>
      <c r="D1119" s="2" t="s">
        <v>67</v>
      </c>
      <c r="E1119" s="5" t="s">
        <v>2945</v>
      </c>
      <c r="F1119" s="3" t="s">
        <v>2946</v>
      </c>
      <c r="G1119" s="3" t="s">
        <v>21</v>
      </c>
      <c r="H1119" s="2" t="s">
        <v>35</v>
      </c>
      <c r="I1119" s="2" t="s">
        <v>2947</v>
      </c>
      <c r="J1119" s="3" t="str">
        <f>HYPERLINK("https://www.boe.es/gazeta/dias/1834/05/29/pdfs/GMD-1834-98.pdf#page=3","Abrir facsímil")</f>
        <v>Abrir facsímil</v>
      </c>
      <c r="K1119" s="3" t="s">
        <v>37</v>
      </c>
    </row>
    <row r="1120" spans="1:11" ht="54" customHeight="1">
      <c r="A1120" s="2" t="s">
        <v>2948</v>
      </c>
      <c r="B1120" s="2" t="s">
        <v>2949</v>
      </c>
      <c r="C1120" s="2" t="s">
        <v>17</v>
      </c>
      <c r="D1120" s="2" t="s">
        <v>18</v>
      </c>
      <c r="E1120" s="5" t="s">
        <v>2950</v>
      </c>
      <c r="F1120" s="3" t="s">
        <v>2951</v>
      </c>
      <c r="G1120" s="3" t="s">
        <v>75</v>
      </c>
      <c r="H1120" s="2" t="s">
        <v>22</v>
      </c>
      <c r="I1120" s="2" t="s">
        <v>2952</v>
      </c>
      <c r="J1120" s="3" t="str">
        <f>HYPERLINK("https://www.boe.es/gazeta/dias/1834/05/20/pdfs/GMD-1834-89.pdf#page=4","Abrir facsímil")</f>
        <v>Abrir facsímil</v>
      </c>
      <c r="K1120" s="3" t="s">
        <v>24</v>
      </c>
    </row>
    <row r="1121" spans="1:11" ht="54" customHeight="1">
      <c r="A1121" s="2" t="s">
        <v>2953</v>
      </c>
      <c r="B1121" s="2" t="s">
        <v>2954</v>
      </c>
      <c r="C1121" s="2" t="s">
        <v>17</v>
      </c>
      <c r="D1121" s="2" t="s">
        <v>18</v>
      </c>
      <c r="E1121" s="5" t="s">
        <v>541</v>
      </c>
      <c r="F1121" s="3" t="s">
        <v>542</v>
      </c>
      <c r="G1121" s="3" t="s">
        <v>34</v>
      </c>
      <c r="H1121" s="2" t="s">
        <v>22</v>
      </c>
      <c r="I1121" s="2" t="s">
        <v>2955</v>
      </c>
      <c r="J1121" s="3" t="str">
        <f>HYPERLINK("https://www.boe.es/gazeta/dias/1834/04/18/pdfs/GMD-1834-57.pdf#page=1","Abrir facsímil")</f>
        <v>Abrir facsímil</v>
      </c>
      <c r="K1121" s="3" t="s">
        <v>24</v>
      </c>
    </row>
    <row r="1122" spans="1:11" ht="54" customHeight="1">
      <c r="A1122" s="2" t="s">
        <v>2956</v>
      </c>
      <c r="B1122" s="2" t="s">
        <v>2957</v>
      </c>
      <c r="C1122" s="2" t="s">
        <v>17</v>
      </c>
      <c r="D1122" s="2" t="s">
        <v>18</v>
      </c>
      <c r="E1122" s="5" t="s">
        <v>1340</v>
      </c>
      <c r="F1122" s="3" t="s">
        <v>1341</v>
      </c>
      <c r="G1122" s="3" t="s">
        <v>75</v>
      </c>
      <c r="H1122" s="2" t="s">
        <v>22</v>
      </c>
      <c r="I1122" s="2" t="s">
        <v>2958</v>
      </c>
      <c r="J1122" s="3" t="str">
        <f>HYPERLINK("https://www.boe.es/gazeta/dias/1834/10/05/pdfs/GMD-C-1834-233.pdf#page=4","Abrir facsímil")</f>
        <v>Abrir facsímil</v>
      </c>
      <c r="K1122" s="3" t="s">
        <v>24</v>
      </c>
    </row>
    <row r="1123" spans="1:11" ht="54" customHeight="1">
      <c r="A1123" s="2" t="s">
        <v>2959</v>
      </c>
      <c r="B1123" s="2" t="s">
        <v>2959</v>
      </c>
      <c r="C1123" s="2" t="s">
        <v>90</v>
      </c>
      <c r="D1123" s="2" t="s">
        <v>18</v>
      </c>
      <c r="E1123" s="5" t="s">
        <v>1692</v>
      </c>
      <c r="F1123" s="3" t="s">
        <v>1693</v>
      </c>
      <c r="G1123" s="3" t="s">
        <v>21</v>
      </c>
      <c r="H1123" s="2" t="s">
        <v>22</v>
      </c>
      <c r="I1123" s="2" t="s">
        <v>2960</v>
      </c>
      <c r="J1123" s="3" t="str">
        <f>HYPERLINK("https://www.boe.es/gazeta/dias/1834/07/29/pdfs/GMD-1834-162.pdf#page=3","Abrir facsímil")</f>
        <v>Abrir facsímil</v>
      </c>
      <c r="K1123" s="3" t="s">
        <v>24</v>
      </c>
    </row>
    <row r="1124" spans="1:11" ht="54" customHeight="1">
      <c r="A1124" s="2" t="s">
        <v>2961</v>
      </c>
      <c r="B1124" s="2" t="s">
        <v>2962</v>
      </c>
      <c r="C1124" s="2" t="s">
        <v>46</v>
      </c>
      <c r="D1124" s="2" t="s">
        <v>18</v>
      </c>
      <c r="E1124" s="5" t="s">
        <v>158</v>
      </c>
      <c r="F1124" s="3" t="s">
        <v>581</v>
      </c>
      <c r="G1124" s="3" t="s">
        <v>176</v>
      </c>
      <c r="H1124" s="2" t="s">
        <v>22</v>
      </c>
      <c r="I1124" s="2" t="s">
        <v>2963</v>
      </c>
      <c r="J1124" s="3" t="str">
        <f>HYPERLINK("https://www.boe.es/gazeta/dias/1834/10/01/pdfs/GMD-C-1834-229.pdf#page=6","Abrir facsímil")</f>
        <v>Abrir facsímil</v>
      </c>
      <c r="K1124" s="3" t="s">
        <v>24</v>
      </c>
    </row>
    <row r="1125" spans="1:11" ht="54" customHeight="1">
      <c r="A1125" s="2" t="s">
        <v>2964</v>
      </c>
      <c r="B1125" s="2" t="s">
        <v>2965</v>
      </c>
      <c r="C1125" s="2" t="s">
        <v>17</v>
      </c>
      <c r="D1125" s="2" t="s">
        <v>18</v>
      </c>
      <c r="E1125" s="5" t="s">
        <v>2278</v>
      </c>
      <c r="F1125" s="3" t="s">
        <v>2279</v>
      </c>
      <c r="G1125" s="3" t="s">
        <v>28</v>
      </c>
      <c r="H1125" s="2" t="s">
        <v>22</v>
      </c>
      <c r="I1125" s="2" t="s">
        <v>2966</v>
      </c>
      <c r="J1125" s="3" t="str">
        <f>HYPERLINK("https://www.boe.es/gazeta/dias/1834/12/17/pdfs/GMD-C-1834-306.pdf#page=5","Abrir facsímil")</f>
        <v>Abrir facsímil</v>
      </c>
      <c r="K1125" s="3" t="s">
        <v>24</v>
      </c>
    </row>
    <row r="1126" spans="1:11" ht="54" customHeight="1">
      <c r="A1126" s="2" t="s">
        <v>2967</v>
      </c>
      <c r="B1126" s="2" t="s">
        <v>2968</v>
      </c>
      <c r="C1126" s="2" t="s">
        <v>46</v>
      </c>
      <c r="D1126" s="2" t="s">
        <v>101</v>
      </c>
      <c r="E1126" s="5" t="s">
        <v>283</v>
      </c>
      <c r="F1126" s="3" t="s">
        <v>2969</v>
      </c>
      <c r="G1126" s="3" t="s">
        <v>34</v>
      </c>
      <c r="H1126" s="2" t="s">
        <v>22</v>
      </c>
      <c r="I1126" s="2" t="s">
        <v>2970</v>
      </c>
      <c r="J1126" s="3" t="str">
        <f>HYPERLINK("https://www.boe.es/gazeta/dias/1834/11/29/pdfs/GMD-1834-288.pdf#page=1","Abrir facsímil")</f>
        <v>Abrir facsímil</v>
      </c>
      <c r="K1126" s="3" t="s">
        <v>24</v>
      </c>
    </row>
    <row r="1127" spans="1:11" ht="54" customHeight="1">
      <c r="A1127" s="2" t="s">
        <v>2971</v>
      </c>
      <c r="B1127" s="2" t="s">
        <v>2971</v>
      </c>
      <c r="C1127" s="2" t="s">
        <v>17</v>
      </c>
      <c r="D1127" s="2" t="s">
        <v>18</v>
      </c>
      <c r="E1127" s="5" t="s">
        <v>91</v>
      </c>
      <c r="F1127" s="3" t="s">
        <v>92</v>
      </c>
      <c r="G1127" s="3" t="s">
        <v>75</v>
      </c>
      <c r="H1127" s="2" t="s">
        <v>22</v>
      </c>
      <c r="I1127" s="2" t="s">
        <v>2972</v>
      </c>
      <c r="J1127" s="3" t="str">
        <f>HYPERLINK("https://www.boe.es/gazeta/dias/1834/02/13/pdfs/GMD-1834-20.pdf#page=4","Abrir facsímil")</f>
        <v>Abrir facsímil</v>
      </c>
      <c r="K1127" s="3" t="s">
        <v>24</v>
      </c>
    </row>
    <row r="1128" spans="1:11" ht="54" customHeight="1">
      <c r="A1128" s="2" t="s">
        <v>2973</v>
      </c>
      <c r="B1128" s="2" t="s">
        <v>2974</v>
      </c>
      <c r="C1128" s="2" t="s">
        <v>17</v>
      </c>
      <c r="D1128" s="2" t="s">
        <v>18</v>
      </c>
      <c r="E1128" s="5" t="s">
        <v>506</v>
      </c>
      <c r="F1128" s="3" t="s">
        <v>507</v>
      </c>
      <c r="G1128" s="3" t="s">
        <v>75</v>
      </c>
      <c r="H1128" s="2" t="s">
        <v>22</v>
      </c>
      <c r="I1128" s="2" t="s">
        <v>2975</v>
      </c>
      <c r="J1128" s="3" t="str">
        <f>HYPERLINK("https://www.boe.es/gazeta/dias/1834/03/04/pdfs/GMD-1834-28.pdf#page=4","Abrir facsímil")</f>
        <v>Abrir facsímil</v>
      </c>
      <c r="K1128" s="3" t="s">
        <v>24</v>
      </c>
    </row>
    <row r="1129" spans="1:11" ht="54" customHeight="1">
      <c r="A1129" s="2" t="s">
        <v>2976</v>
      </c>
      <c r="B1129" s="2" t="s">
        <v>2977</v>
      </c>
      <c r="C1129" s="2" t="s">
        <v>17</v>
      </c>
      <c r="D1129" s="2" t="s">
        <v>18</v>
      </c>
      <c r="E1129" s="5" t="s">
        <v>863</v>
      </c>
      <c r="F1129" s="3" t="s">
        <v>864</v>
      </c>
      <c r="G1129" s="3" t="s">
        <v>21</v>
      </c>
      <c r="H1129" s="2" t="s">
        <v>22</v>
      </c>
      <c r="I1129" s="2" t="s">
        <v>2978</v>
      </c>
      <c r="J1129" s="3" t="str">
        <f>HYPERLINK("https://www.boe.es/gazeta/dias/1834/09/15/pdfs/GMD-1834-213.pdf#page=3","Abrir facsímil")</f>
        <v>Abrir facsímil</v>
      </c>
      <c r="K1129" s="3" t="s">
        <v>24</v>
      </c>
    </row>
    <row r="1130" spans="1:11" ht="54" customHeight="1">
      <c r="A1130" s="2" t="s">
        <v>2979</v>
      </c>
      <c r="B1130" s="2" t="s">
        <v>2980</v>
      </c>
      <c r="C1130" s="2" t="s">
        <v>17</v>
      </c>
      <c r="D1130" s="2" t="s">
        <v>18</v>
      </c>
      <c r="E1130" s="5" t="s">
        <v>1195</v>
      </c>
      <c r="F1130" s="3" t="s">
        <v>1916</v>
      </c>
      <c r="G1130" s="3" t="s">
        <v>21</v>
      </c>
      <c r="H1130" s="2" t="s">
        <v>22</v>
      </c>
      <c r="I1130" s="2" t="s">
        <v>2981</v>
      </c>
      <c r="J1130" s="3" t="str">
        <f>HYPERLINK("https://www.boe.es/gazeta/dias/1834/10/17/pdfs/GMD-1834-245.pdf#page=3","Abrir facsímil")</f>
        <v>Abrir facsímil</v>
      </c>
      <c r="K1130" s="3" t="s">
        <v>24</v>
      </c>
    </row>
    <row r="1131" spans="1:11" ht="54" customHeight="1">
      <c r="A1131" s="2" t="s">
        <v>2982</v>
      </c>
      <c r="B1131" s="2" t="s">
        <v>2983</v>
      </c>
      <c r="C1131" s="2" t="s">
        <v>17</v>
      </c>
      <c r="D1131" s="2" t="s">
        <v>18</v>
      </c>
      <c r="E1131" s="5" t="s">
        <v>237</v>
      </c>
      <c r="F1131" s="3" t="s">
        <v>238</v>
      </c>
      <c r="G1131" s="3" t="s">
        <v>34</v>
      </c>
      <c r="H1131" s="2" t="s">
        <v>22</v>
      </c>
      <c r="I1131" s="2" t="s">
        <v>2984</v>
      </c>
      <c r="J1131" s="3" t="str">
        <f>HYPERLINK("https://www.boe.es/gazeta/dias/1834/08/15/pdfs/GMD-C-1834-180.pdf#page=1","Abrir facsímil")</f>
        <v>Abrir facsímil</v>
      </c>
      <c r="K1131" s="3" t="s">
        <v>24</v>
      </c>
    </row>
    <row r="1132" spans="1:11" ht="54" customHeight="1">
      <c r="A1132" s="2" t="s">
        <v>2985</v>
      </c>
      <c r="B1132" s="2" t="s">
        <v>2985</v>
      </c>
      <c r="C1132" s="2" t="s">
        <v>17</v>
      </c>
      <c r="D1132" s="2" t="s">
        <v>18</v>
      </c>
      <c r="E1132" s="5" t="s">
        <v>615</v>
      </c>
      <c r="F1132" s="3" t="s">
        <v>616</v>
      </c>
      <c r="G1132" s="3" t="s">
        <v>34</v>
      </c>
      <c r="H1132" s="2" t="s">
        <v>22</v>
      </c>
      <c r="I1132" s="2" t="s">
        <v>2986</v>
      </c>
      <c r="J1132" s="3" t="str">
        <f>HYPERLINK("https://www.boe.es/gazeta/dias/1834/08/19/pdfs/GMD-1834-185.pdf#page=1","Abrir facsímil")</f>
        <v>Abrir facsímil</v>
      </c>
      <c r="K1132" s="3" t="s">
        <v>24</v>
      </c>
    </row>
    <row r="1133" spans="1:11" ht="54" customHeight="1">
      <c r="A1133" s="2" t="s">
        <v>2987</v>
      </c>
      <c r="B1133" s="2" t="s">
        <v>2987</v>
      </c>
      <c r="C1133" s="2" t="s">
        <v>17</v>
      </c>
      <c r="D1133" s="2" t="s">
        <v>18</v>
      </c>
      <c r="E1133" s="5" t="s">
        <v>416</v>
      </c>
      <c r="F1133" s="3" t="s">
        <v>417</v>
      </c>
      <c r="G1133" s="3" t="s">
        <v>21</v>
      </c>
      <c r="H1133" s="2" t="s">
        <v>22</v>
      </c>
      <c r="I1133" s="2" t="s">
        <v>2988</v>
      </c>
      <c r="J1133" s="3" t="str">
        <f>HYPERLINK("https://www.boe.es/gazeta/dias/1834/10/02/pdfs/GMD-C-1834-230.pdf#page=3","Abrir facsímil")</f>
        <v>Abrir facsímil</v>
      </c>
      <c r="K1133" s="3" t="s">
        <v>24</v>
      </c>
    </row>
    <row r="1134" spans="1:11" ht="54" customHeight="1">
      <c r="A1134" s="2" t="s">
        <v>2989</v>
      </c>
      <c r="B1134" s="2" t="s">
        <v>2990</v>
      </c>
      <c r="C1134" s="2" t="s">
        <v>66</v>
      </c>
      <c r="D1134" s="2" t="s">
        <v>67</v>
      </c>
      <c r="E1134" s="5" t="s">
        <v>1008</v>
      </c>
      <c r="F1134" s="3" t="s">
        <v>2991</v>
      </c>
      <c r="G1134" s="3" t="s">
        <v>75</v>
      </c>
      <c r="H1134" s="2" t="s">
        <v>22</v>
      </c>
      <c r="I1134" s="2" t="s">
        <v>2992</v>
      </c>
      <c r="J1134" s="3" t="str">
        <f>HYPERLINK("https://www.boe.es/gazeta/dias/1834/11/08/pdfs/GMD-1834-267.pdf#page=4","Abrir facsímil")</f>
        <v>Abrir facsímil</v>
      </c>
      <c r="K1134" s="3" t="s">
        <v>24</v>
      </c>
    </row>
    <row r="1135" spans="1:11" ht="54" customHeight="1">
      <c r="A1135" s="2" t="s">
        <v>2993</v>
      </c>
      <c r="B1135" s="2" t="s">
        <v>2993</v>
      </c>
      <c r="C1135" s="2" t="s">
        <v>17</v>
      </c>
      <c r="D1135" s="2" t="s">
        <v>18</v>
      </c>
      <c r="E1135" s="5" t="s">
        <v>1812</v>
      </c>
      <c r="F1135" s="3" t="s">
        <v>1813</v>
      </c>
      <c r="G1135" s="3" t="s">
        <v>75</v>
      </c>
      <c r="H1135" s="2" t="s">
        <v>22</v>
      </c>
      <c r="I1135" s="2" t="s">
        <v>2994</v>
      </c>
      <c r="J1135" s="3" t="str">
        <f>HYPERLINK("https://www.boe.es/gazeta/dias/1834/10/23/pdfs/GMD-1834-251.pdf#page=4","Abrir facsímil")</f>
        <v>Abrir facsímil</v>
      </c>
      <c r="K1135" s="3" t="s">
        <v>24</v>
      </c>
    </row>
    <row r="1136" spans="1:11" ht="54" customHeight="1">
      <c r="A1136" s="2" t="s">
        <v>2995</v>
      </c>
      <c r="B1136" s="2" t="s">
        <v>2996</v>
      </c>
      <c r="C1136" s="2" t="s">
        <v>90</v>
      </c>
      <c r="D1136" s="2" t="s">
        <v>18</v>
      </c>
      <c r="E1136" s="5" t="s">
        <v>506</v>
      </c>
      <c r="F1136" s="3" t="s">
        <v>507</v>
      </c>
      <c r="G1136" s="3" t="s">
        <v>86</v>
      </c>
      <c r="H1136" s="2" t="s">
        <v>22</v>
      </c>
      <c r="I1136" s="2" t="s">
        <v>2997</v>
      </c>
      <c r="J1136" s="3" t="str">
        <f>HYPERLINK("https://www.boe.es/gazeta/dias/1834/03/04/pdfs/GMD-1834-28.pdf#page=2","Abrir facsímil")</f>
        <v>Abrir facsímil</v>
      </c>
      <c r="K1136" s="3" t="s">
        <v>24</v>
      </c>
    </row>
    <row r="1137" spans="1:11" ht="54" customHeight="1">
      <c r="A1137" s="2" t="s">
        <v>2998</v>
      </c>
      <c r="B1137" s="2" t="s">
        <v>2998</v>
      </c>
      <c r="C1137" s="2" t="s">
        <v>17</v>
      </c>
      <c r="D1137" s="2" t="s">
        <v>18</v>
      </c>
      <c r="E1137" s="5" t="s">
        <v>1839</v>
      </c>
      <c r="F1137" s="3" t="s">
        <v>1840</v>
      </c>
      <c r="G1137" s="3" t="s">
        <v>34</v>
      </c>
      <c r="H1137" s="2" t="s">
        <v>22</v>
      </c>
      <c r="I1137" s="2" t="s">
        <v>2999</v>
      </c>
      <c r="J1137" s="3" t="str">
        <f>HYPERLINK("https://www.boe.es/gazeta/dias/1834/08/12/pdfs/GMD-C-1834-177.pdf#page=1","Abrir facsímil")</f>
        <v>Abrir facsímil</v>
      </c>
      <c r="K1137" s="3" t="s">
        <v>24</v>
      </c>
    </row>
    <row r="1138" spans="1:11" ht="54" customHeight="1">
      <c r="A1138" s="2" t="s">
        <v>3000</v>
      </c>
      <c r="B1138" s="2" t="s">
        <v>3000</v>
      </c>
      <c r="C1138" s="2" t="s">
        <v>17</v>
      </c>
      <c r="D1138" s="2" t="s">
        <v>55</v>
      </c>
      <c r="E1138" s="5" t="s">
        <v>200</v>
      </c>
      <c r="F1138" s="3" t="s">
        <v>201</v>
      </c>
      <c r="G1138" s="3" t="s">
        <v>21</v>
      </c>
      <c r="H1138" s="2" t="s">
        <v>22</v>
      </c>
      <c r="I1138" s="2" t="s">
        <v>3001</v>
      </c>
      <c r="J1138" s="3" t="str">
        <f>HYPERLINK("https://www.boe.es/gazeta/dias/1834/12/11/pdfs/GMD-1834-300.pdf#page=3","Abrir facsímil")</f>
        <v>Abrir facsímil</v>
      </c>
      <c r="K1138" s="3" t="s">
        <v>24</v>
      </c>
    </row>
    <row r="1139" spans="1:11" ht="54" customHeight="1">
      <c r="A1139" s="2" t="s">
        <v>3002</v>
      </c>
      <c r="B1139" s="2" t="s">
        <v>3003</v>
      </c>
      <c r="C1139" s="2" t="s">
        <v>17</v>
      </c>
      <c r="D1139" s="2" t="s">
        <v>18</v>
      </c>
      <c r="E1139" s="5" t="s">
        <v>506</v>
      </c>
      <c r="F1139" s="3" t="s">
        <v>507</v>
      </c>
      <c r="G1139" s="3" t="s">
        <v>176</v>
      </c>
      <c r="H1139" s="2" t="s">
        <v>22</v>
      </c>
      <c r="I1139" s="2" t="s">
        <v>3004</v>
      </c>
      <c r="J1139" s="3" t="str">
        <f>HYPERLINK("https://www.boe.es/gazeta/dias/1834/03/04/pdfs/GMD-1834-28.pdf#page=6","Abrir facsímil")</f>
        <v>Abrir facsímil</v>
      </c>
      <c r="K1139" s="3" t="s">
        <v>24</v>
      </c>
    </row>
    <row r="1140" spans="1:11" ht="54" customHeight="1">
      <c r="A1140" s="2" t="s">
        <v>3005</v>
      </c>
      <c r="B1140" s="2" t="s">
        <v>3005</v>
      </c>
      <c r="C1140" s="2" t="s">
        <v>46</v>
      </c>
      <c r="D1140" s="2" t="s">
        <v>101</v>
      </c>
      <c r="E1140" s="5" t="s">
        <v>19</v>
      </c>
      <c r="F1140" s="3" t="s">
        <v>107</v>
      </c>
      <c r="G1140" s="3" t="s">
        <v>34</v>
      </c>
      <c r="H1140" s="2" t="s">
        <v>22</v>
      </c>
      <c r="I1140" s="2" t="s">
        <v>3006</v>
      </c>
      <c r="J1140" s="3" t="str">
        <f>HYPERLINK("https://www.boe.es/gazeta/dias/1834/08/17/pdfs/GMD-1834-182.pdf#page=1","Abrir facsímil")</f>
        <v>Abrir facsímil</v>
      </c>
      <c r="K1140" s="3" t="s">
        <v>24</v>
      </c>
    </row>
    <row r="1141" spans="1:11" ht="54" customHeight="1">
      <c r="A1141" s="2" t="s">
        <v>3007</v>
      </c>
      <c r="B1141" s="2" t="s">
        <v>3008</v>
      </c>
      <c r="C1141" s="2" t="s">
        <v>17</v>
      </c>
      <c r="D1141" s="2" t="s">
        <v>18</v>
      </c>
      <c r="E1141" s="5" t="s">
        <v>187</v>
      </c>
      <c r="F1141" s="3" t="s">
        <v>1715</v>
      </c>
      <c r="G1141" s="3" t="s">
        <v>34</v>
      </c>
      <c r="H1141" s="2" t="s">
        <v>22</v>
      </c>
      <c r="I1141" s="2" t="s">
        <v>3009</v>
      </c>
      <c r="J1141" s="3" t="str">
        <f>HYPERLINK("https://www.boe.es/gazeta/dias/1834/09/30/pdfs/GMD-C-1834-228.pdf#page=1","Abrir facsímil")</f>
        <v>Abrir facsímil</v>
      </c>
      <c r="K1141" s="3" t="s">
        <v>24</v>
      </c>
    </row>
    <row r="1142" spans="1:11" ht="54" customHeight="1">
      <c r="A1142" s="2" t="s">
        <v>3010</v>
      </c>
      <c r="B1142" s="2" t="s">
        <v>3011</v>
      </c>
      <c r="C1142" s="2" t="s">
        <v>17</v>
      </c>
      <c r="D1142" s="2" t="s">
        <v>18</v>
      </c>
      <c r="E1142" s="5" t="s">
        <v>1575</v>
      </c>
      <c r="F1142" s="3" t="s">
        <v>1576</v>
      </c>
      <c r="G1142" s="3" t="s">
        <v>34</v>
      </c>
      <c r="H1142" s="2" t="s">
        <v>22</v>
      </c>
      <c r="I1142" s="2" t="s">
        <v>3012</v>
      </c>
      <c r="J1142" s="3" t="str">
        <f>HYPERLINK("https://www.boe.es/gazeta/dias/1834/11/24/pdfs/GMD-1834-283.pdf#page=1","Abrir facsímil")</f>
        <v>Abrir facsímil</v>
      </c>
      <c r="K1142" s="3" t="s">
        <v>24</v>
      </c>
    </row>
    <row r="1143" spans="1:11" ht="54" customHeight="1">
      <c r="A1143" s="2" t="s">
        <v>3013</v>
      </c>
      <c r="B1143" s="2" t="s">
        <v>3014</v>
      </c>
      <c r="C1143" s="2" t="s">
        <v>17</v>
      </c>
      <c r="D1143" s="2" t="s">
        <v>55</v>
      </c>
      <c r="E1143" s="5" t="s">
        <v>1226</v>
      </c>
      <c r="F1143" s="3" t="s">
        <v>1227</v>
      </c>
      <c r="G1143" s="3" t="s">
        <v>34</v>
      </c>
      <c r="H1143" s="2" t="s">
        <v>22</v>
      </c>
      <c r="I1143" s="2" t="s">
        <v>3015</v>
      </c>
      <c r="J1143" s="3" t="str">
        <f>HYPERLINK("https://www.boe.es/gazeta/dias/1834/07/14/pdfs/GMD-1834-147.pdf#page=1","Abrir facsímil")</f>
        <v>Abrir facsímil</v>
      </c>
      <c r="K1143" s="3" t="s">
        <v>24</v>
      </c>
    </row>
    <row r="1144" spans="1:11" ht="54" customHeight="1">
      <c r="A1144" s="2" t="s">
        <v>3016</v>
      </c>
      <c r="B1144" s="2" t="s">
        <v>3017</v>
      </c>
      <c r="C1144" s="2" t="s">
        <v>17</v>
      </c>
      <c r="D1144" s="2" t="s">
        <v>55</v>
      </c>
      <c r="E1144" s="5" t="s">
        <v>1850</v>
      </c>
      <c r="F1144" s="3" t="s">
        <v>1851</v>
      </c>
      <c r="G1144" s="3" t="s">
        <v>75</v>
      </c>
      <c r="H1144" s="2" t="s">
        <v>22</v>
      </c>
      <c r="I1144" s="2" t="s">
        <v>3018</v>
      </c>
      <c r="J1144" s="3" t="str">
        <f>HYPERLINK("https://www.boe.es/gazeta/dias/1834/02/18/pdfs/GMD-1834-22.pdf#page=4","Abrir facsímil")</f>
        <v>Abrir facsímil</v>
      </c>
      <c r="K1144" s="3" t="s">
        <v>24</v>
      </c>
    </row>
    <row r="1145" spans="1:11" ht="54" customHeight="1">
      <c r="A1145" s="2" t="s">
        <v>3019</v>
      </c>
      <c r="B1145" s="2" t="s">
        <v>3019</v>
      </c>
      <c r="C1145" s="2" t="s">
        <v>46</v>
      </c>
      <c r="D1145" s="2" t="s">
        <v>18</v>
      </c>
      <c r="E1145" s="5" t="s">
        <v>1195</v>
      </c>
      <c r="F1145" s="3" t="s">
        <v>1196</v>
      </c>
      <c r="G1145" s="3" t="s">
        <v>2174</v>
      </c>
      <c r="H1145" s="2" t="s">
        <v>22</v>
      </c>
      <c r="I1145" s="2" t="s">
        <v>3020</v>
      </c>
      <c r="J1145" s="3" t="str">
        <f>HYPERLINK("https://www.boe.es/gazeta/dias/1834/10/17/pdfs/GMD-C-1834-245.pdf#page=10","Abrir facsímil")</f>
        <v>Abrir facsímil</v>
      </c>
      <c r="K1145" s="3" t="s">
        <v>24</v>
      </c>
    </row>
    <row r="1146" spans="1:11" ht="54" customHeight="1">
      <c r="A1146" s="2" t="s">
        <v>3021</v>
      </c>
      <c r="B1146" s="2" t="s">
        <v>3021</v>
      </c>
      <c r="C1146" s="2" t="s">
        <v>17</v>
      </c>
      <c r="D1146" s="2" t="s">
        <v>18</v>
      </c>
      <c r="E1146" s="5" t="s">
        <v>1297</v>
      </c>
      <c r="F1146" s="3" t="s">
        <v>1879</v>
      </c>
      <c r="G1146" s="3" t="s">
        <v>34</v>
      </c>
      <c r="H1146" s="2" t="s">
        <v>22</v>
      </c>
      <c r="I1146" s="2" t="s">
        <v>3022</v>
      </c>
      <c r="J1146" s="3" t="str">
        <f>HYPERLINK("https://www.boe.es/gazeta/dias/1834/08/01/pdfs/GMD-D-1834-165.pdf#page=1","Abrir facsímil")</f>
        <v>Abrir facsímil</v>
      </c>
      <c r="K1146" s="3" t="s">
        <v>24</v>
      </c>
    </row>
    <row r="1147" spans="1:11" ht="54" customHeight="1">
      <c r="A1147" s="2" t="s">
        <v>3023</v>
      </c>
      <c r="B1147" s="2" t="s">
        <v>3024</v>
      </c>
      <c r="C1147" s="2" t="s">
        <v>66</v>
      </c>
      <c r="D1147" s="2" t="s">
        <v>67</v>
      </c>
      <c r="E1147" s="5" t="s">
        <v>3025</v>
      </c>
      <c r="F1147" s="3" t="s">
        <v>3026</v>
      </c>
      <c r="G1147" s="3" t="s">
        <v>176</v>
      </c>
      <c r="H1147" s="2" t="s">
        <v>35</v>
      </c>
      <c r="I1147" s="2" t="s">
        <v>3027</v>
      </c>
      <c r="J1147" s="3" t="str">
        <f>HYPERLINK("https://www.boe.es/gazeta/dias/1834/05/25/pdfs/GMD-1834-94.pdf#page=6","Abrir facsímil")</f>
        <v>Abrir facsímil</v>
      </c>
      <c r="K1147" s="3" t="s">
        <v>37</v>
      </c>
    </row>
    <row r="1148" spans="1:11" ht="54" customHeight="1">
      <c r="A1148" s="2" t="s">
        <v>3028</v>
      </c>
      <c r="B1148" s="2" t="s">
        <v>3029</v>
      </c>
      <c r="C1148" s="2" t="s">
        <v>66</v>
      </c>
      <c r="D1148" s="2" t="s">
        <v>67</v>
      </c>
      <c r="E1148" s="5" t="s">
        <v>3025</v>
      </c>
      <c r="F1148" s="3" t="s">
        <v>3026</v>
      </c>
      <c r="G1148" s="3" t="s">
        <v>176</v>
      </c>
      <c r="H1148" s="2" t="s">
        <v>22</v>
      </c>
      <c r="I1148" s="2" t="s">
        <v>3030</v>
      </c>
      <c r="J1148" s="3" t="str">
        <f>HYPERLINK("https://www.boe.es/gazeta/dias/1834/05/25/pdfs/GMD-1834-94.pdf#page=6","Abrir facsímil")</f>
        <v>Abrir facsímil</v>
      </c>
      <c r="K1148" s="3" t="s">
        <v>24</v>
      </c>
    </row>
    <row r="1149" spans="1:11" ht="54" customHeight="1">
      <c r="A1149" s="2" t="s">
        <v>3031</v>
      </c>
      <c r="B1149" s="2" t="s">
        <v>3032</v>
      </c>
      <c r="C1149" s="2" t="s">
        <v>17</v>
      </c>
      <c r="D1149" s="2" t="s">
        <v>18</v>
      </c>
      <c r="E1149" s="5" t="s">
        <v>416</v>
      </c>
      <c r="F1149" s="3" t="s">
        <v>417</v>
      </c>
      <c r="G1149" s="3" t="s">
        <v>21</v>
      </c>
      <c r="H1149" s="2" t="s">
        <v>22</v>
      </c>
      <c r="I1149" s="2" t="s">
        <v>3033</v>
      </c>
      <c r="J1149" s="3" t="str">
        <f>HYPERLINK("https://www.boe.es/gazeta/dias/1834/10/02/pdfs/GMD-C-1834-230.pdf#page=3","Abrir facsímil")</f>
        <v>Abrir facsímil</v>
      </c>
      <c r="K1149" s="3" t="s">
        <v>24</v>
      </c>
    </row>
    <row r="1150" spans="1:11" ht="54" customHeight="1">
      <c r="A1150" s="2" t="s">
        <v>3034</v>
      </c>
      <c r="B1150" s="2" t="s">
        <v>3034</v>
      </c>
      <c r="C1150" s="2" t="s">
        <v>46</v>
      </c>
      <c r="D1150" s="2" t="s">
        <v>101</v>
      </c>
      <c r="E1150" s="5" t="s">
        <v>416</v>
      </c>
      <c r="F1150" s="3" t="s">
        <v>417</v>
      </c>
      <c r="G1150" s="3" t="s">
        <v>21</v>
      </c>
      <c r="H1150" s="2" t="s">
        <v>22</v>
      </c>
      <c r="I1150" s="2" t="s">
        <v>3035</v>
      </c>
      <c r="J1150" s="3" t="str">
        <f>HYPERLINK("https://www.boe.es/gazeta/dias/1834/10/02/pdfs/GMD-C-1834-230.pdf#page=3","Abrir facsímil")</f>
        <v>Abrir facsímil</v>
      </c>
      <c r="K1150" s="3" t="s">
        <v>24</v>
      </c>
    </row>
    <row r="1151" spans="1:11" ht="54" customHeight="1">
      <c r="A1151" s="2" t="s">
        <v>3034</v>
      </c>
      <c r="B1151" s="2" t="s">
        <v>3034</v>
      </c>
      <c r="C1151" s="2" t="s">
        <v>17</v>
      </c>
      <c r="D1151" s="2" t="s">
        <v>18</v>
      </c>
      <c r="E1151" s="5" t="s">
        <v>3036</v>
      </c>
      <c r="F1151" s="3" t="s">
        <v>3037</v>
      </c>
      <c r="G1151" s="3" t="s">
        <v>86</v>
      </c>
      <c r="H1151" s="2" t="s">
        <v>22</v>
      </c>
      <c r="I1151" s="2" t="s">
        <v>3038</v>
      </c>
      <c r="J1151" s="3" t="str">
        <f>HYPERLINK("https://www.boe.es/gazeta/dias/1834/11/18/pdfs/GMD-C-1834-277.pdf#page=2","Abrir facsímil")</f>
        <v>Abrir facsímil</v>
      </c>
      <c r="K1151" s="3" t="s">
        <v>24</v>
      </c>
    </row>
    <row r="1152" spans="1:11" ht="54" customHeight="1">
      <c r="A1152" s="2" t="s">
        <v>3034</v>
      </c>
      <c r="B1152" s="2" t="s">
        <v>3034</v>
      </c>
      <c r="C1152" s="2" t="s">
        <v>17</v>
      </c>
      <c r="D1152" s="2" t="s">
        <v>18</v>
      </c>
      <c r="E1152" s="5" t="s">
        <v>1677</v>
      </c>
      <c r="F1152" s="3" t="s">
        <v>2515</v>
      </c>
      <c r="G1152" s="3" t="s">
        <v>34</v>
      </c>
      <c r="H1152" s="2" t="s">
        <v>22</v>
      </c>
      <c r="I1152" s="2" t="s">
        <v>3039</v>
      </c>
      <c r="J1152" s="3" t="str">
        <f>HYPERLINK("https://www.boe.es/gazeta/dias/1834/07/26/pdfs/GMD-C-1834-159.pdf#page=1","Abrir facsímil")</f>
        <v>Abrir facsímil</v>
      </c>
      <c r="K1152" s="3" t="s">
        <v>24</v>
      </c>
    </row>
    <row r="1153" spans="1:11" ht="54" customHeight="1">
      <c r="A1153" s="2" t="s">
        <v>3040</v>
      </c>
      <c r="B1153" s="2" t="s">
        <v>3041</v>
      </c>
      <c r="C1153" s="2" t="s">
        <v>17</v>
      </c>
      <c r="D1153" s="2" t="s">
        <v>18</v>
      </c>
      <c r="E1153" s="5" t="s">
        <v>416</v>
      </c>
      <c r="F1153" s="3" t="s">
        <v>417</v>
      </c>
      <c r="G1153" s="3" t="s">
        <v>86</v>
      </c>
      <c r="H1153" s="2" t="s">
        <v>22</v>
      </c>
      <c r="I1153" s="2" t="s">
        <v>3042</v>
      </c>
      <c r="J1153" s="3" t="str">
        <f>HYPERLINK("https://www.boe.es/gazeta/dias/1834/10/02/pdfs/GMD-C-1834-230.pdf#page=2","Abrir facsímil")</f>
        <v>Abrir facsímil</v>
      </c>
      <c r="K1153" s="3" t="s">
        <v>24</v>
      </c>
    </row>
    <row r="1154" spans="1:11" ht="54" customHeight="1">
      <c r="A1154" s="2" t="s">
        <v>3040</v>
      </c>
      <c r="B1154" s="2" t="s">
        <v>3041</v>
      </c>
      <c r="C1154" s="2" t="s">
        <v>17</v>
      </c>
      <c r="D1154" s="2" t="s">
        <v>18</v>
      </c>
      <c r="E1154" s="5" t="s">
        <v>416</v>
      </c>
      <c r="F1154" s="3" t="s">
        <v>417</v>
      </c>
      <c r="G1154" s="3" t="s">
        <v>21</v>
      </c>
      <c r="H1154" s="2" t="s">
        <v>22</v>
      </c>
      <c r="I1154" s="2" t="s">
        <v>3043</v>
      </c>
      <c r="J1154" s="3" t="str">
        <f>HYPERLINK("https://www.boe.es/gazeta/dias/1834/10/02/pdfs/GMD-C-1834-230.pdf#page=3","Abrir facsímil")</f>
        <v>Abrir facsímil</v>
      </c>
      <c r="K1154" s="3" t="s">
        <v>24</v>
      </c>
    </row>
    <row r="1155" spans="1:11" ht="54" customHeight="1">
      <c r="A1155" s="2" t="s">
        <v>3040</v>
      </c>
      <c r="B1155" s="2" t="s">
        <v>3041</v>
      </c>
      <c r="C1155" s="2" t="s">
        <v>46</v>
      </c>
      <c r="D1155" s="2" t="s">
        <v>18</v>
      </c>
      <c r="E1155" s="5" t="s">
        <v>265</v>
      </c>
      <c r="F1155" s="3" t="s">
        <v>266</v>
      </c>
      <c r="G1155" s="3" t="s">
        <v>75</v>
      </c>
      <c r="H1155" s="2" t="s">
        <v>22</v>
      </c>
      <c r="I1155" s="2" t="s">
        <v>3044</v>
      </c>
      <c r="J1155" s="3" t="str">
        <f>HYPERLINK("https://www.boe.es/gazeta/dias/1834/11/19/pdfs/GMD-C-1834-278.pdf#page=4","Abrir facsímil")</f>
        <v>Abrir facsímil</v>
      </c>
      <c r="K1155" s="3" t="s">
        <v>24</v>
      </c>
    </row>
    <row r="1156" spans="1:11" ht="54" customHeight="1">
      <c r="A1156" s="2" t="s">
        <v>3045</v>
      </c>
      <c r="B1156" s="2" t="s">
        <v>3045</v>
      </c>
      <c r="C1156" s="2" t="s">
        <v>17</v>
      </c>
      <c r="D1156" s="2" t="s">
        <v>18</v>
      </c>
      <c r="E1156" s="5" t="s">
        <v>448</v>
      </c>
      <c r="F1156" s="3" t="s">
        <v>2058</v>
      </c>
      <c r="G1156" s="3" t="s">
        <v>86</v>
      </c>
      <c r="H1156" s="2" t="s">
        <v>22</v>
      </c>
      <c r="I1156" s="2" t="s">
        <v>3046</v>
      </c>
      <c r="J1156" s="3" t="str">
        <f>HYPERLINK("https://www.boe.es/gazeta/dias/1834/10/14/pdfs/GMD-1834-242.pdf#page=2","Abrir facsímil")</f>
        <v>Abrir facsímil</v>
      </c>
      <c r="K1156" s="3" t="s">
        <v>24</v>
      </c>
    </row>
    <row r="1157" spans="1:11" ht="54" customHeight="1">
      <c r="A1157" s="2" t="s">
        <v>3047</v>
      </c>
      <c r="B1157" s="2" t="s">
        <v>3047</v>
      </c>
      <c r="C1157" s="2" t="s">
        <v>46</v>
      </c>
      <c r="D1157" s="2" t="s">
        <v>101</v>
      </c>
      <c r="E1157" s="5" t="s">
        <v>317</v>
      </c>
      <c r="F1157" s="3" t="s">
        <v>318</v>
      </c>
      <c r="G1157" s="3" t="s">
        <v>34</v>
      </c>
      <c r="H1157" s="2" t="s">
        <v>22</v>
      </c>
      <c r="I1157" s="2" t="s">
        <v>3048</v>
      </c>
      <c r="J1157" s="3" t="str">
        <f>HYPERLINK("https://www.boe.es/gazeta/dias/1834/03/06/pdfs/GMD-1834-29.pdf#page=1","Abrir facsímil")</f>
        <v>Abrir facsímil</v>
      </c>
      <c r="K1157" s="3" t="s">
        <v>24</v>
      </c>
    </row>
    <row r="1158" spans="1:11" ht="54" customHeight="1">
      <c r="A1158" s="2" t="s">
        <v>3049</v>
      </c>
      <c r="B1158" s="2" t="s">
        <v>3049</v>
      </c>
      <c r="C1158" s="2" t="s">
        <v>46</v>
      </c>
      <c r="D1158" s="2" t="s">
        <v>18</v>
      </c>
      <c r="E1158" s="5" t="s">
        <v>247</v>
      </c>
      <c r="F1158" s="3" t="s">
        <v>2805</v>
      </c>
      <c r="G1158" s="3" t="s">
        <v>21</v>
      </c>
      <c r="H1158" s="2" t="s">
        <v>22</v>
      </c>
      <c r="I1158" s="2" t="s">
        <v>3050</v>
      </c>
      <c r="J1158" s="3" t="str">
        <f>HYPERLINK("https://www.boe.es/gazeta/dias/1834/08/23/pdfs/GMD-1834-189.pdf#page=3","Abrir facsímil")</f>
        <v>Abrir facsímil</v>
      </c>
      <c r="K1158" s="3" t="s">
        <v>24</v>
      </c>
    </row>
    <row r="1159" spans="1:11" ht="54" customHeight="1">
      <c r="A1159" s="2" t="s">
        <v>3051</v>
      </c>
      <c r="B1159" s="2" t="s">
        <v>3051</v>
      </c>
      <c r="C1159" s="2" t="s">
        <v>66</v>
      </c>
      <c r="D1159" s="2" t="s">
        <v>67</v>
      </c>
      <c r="E1159" s="5" t="s">
        <v>1653</v>
      </c>
      <c r="F1159" s="3" t="s">
        <v>1654</v>
      </c>
      <c r="G1159" s="3" t="s">
        <v>86</v>
      </c>
      <c r="H1159" s="2" t="s">
        <v>22</v>
      </c>
      <c r="I1159" s="2" t="s">
        <v>3052</v>
      </c>
      <c r="J1159" s="3" t="str">
        <f>HYPERLINK("https://www.boe.es/gazeta/dias/1834/07/03/pdfs/GMD-1834-136.pdf#page=2","Abrir facsímil")</f>
        <v>Abrir facsímil</v>
      </c>
      <c r="K1159" s="3" t="s">
        <v>24</v>
      </c>
    </row>
    <row r="1160" spans="1:11" ht="54" customHeight="1">
      <c r="A1160" s="2" t="s">
        <v>3051</v>
      </c>
      <c r="B1160" s="2" t="s">
        <v>3051</v>
      </c>
      <c r="C1160" s="2" t="s">
        <v>66</v>
      </c>
      <c r="D1160" s="2" t="s">
        <v>67</v>
      </c>
      <c r="E1160" s="5" t="s">
        <v>47</v>
      </c>
      <c r="F1160" s="3" t="s">
        <v>1466</v>
      </c>
      <c r="G1160" s="3" t="s">
        <v>86</v>
      </c>
      <c r="H1160" s="2" t="s">
        <v>22</v>
      </c>
      <c r="I1160" s="2" t="s">
        <v>3053</v>
      </c>
      <c r="J1160" s="3" t="str">
        <f>HYPERLINK("https://www.boe.es/gazeta/dias/1834/09/05/pdfs/GMD-1834-203.pdf#page=2","Abrir facsímil")</f>
        <v>Abrir facsímil</v>
      </c>
      <c r="K1160" s="3" t="s">
        <v>24</v>
      </c>
    </row>
    <row r="1161" spans="1:11" ht="54" customHeight="1">
      <c r="A1161" s="2" t="s">
        <v>3051</v>
      </c>
      <c r="B1161" s="2" t="s">
        <v>3051</v>
      </c>
      <c r="C1161" s="2" t="s">
        <v>66</v>
      </c>
      <c r="D1161" s="2" t="s">
        <v>67</v>
      </c>
      <c r="E1161" s="5" t="s">
        <v>3054</v>
      </c>
      <c r="F1161" s="3" t="s">
        <v>3055</v>
      </c>
      <c r="G1161" s="3" t="s">
        <v>86</v>
      </c>
      <c r="H1161" s="2" t="s">
        <v>22</v>
      </c>
      <c r="I1161" s="2" t="s">
        <v>3056</v>
      </c>
      <c r="J1161" s="3" t="str">
        <f>HYPERLINK("https://www.boe.es/gazeta/dias/1834/10/06/pdfs/GMD-1834-234.pdf#page=2","Abrir facsímil")</f>
        <v>Abrir facsímil</v>
      </c>
      <c r="K1161" s="3" t="s">
        <v>24</v>
      </c>
    </row>
    <row r="1162" spans="1:11" ht="54" customHeight="1">
      <c r="A1162" s="2" t="s">
        <v>3051</v>
      </c>
      <c r="B1162" s="2" t="s">
        <v>3051</v>
      </c>
      <c r="C1162" s="2" t="s">
        <v>66</v>
      </c>
      <c r="D1162" s="2" t="s">
        <v>67</v>
      </c>
      <c r="E1162" s="5" t="s">
        <v>3057</v>
      </c>
      <c r="F1162" s="3" t="s">
        <v>3058</v>
      </c>
      <c r="G1162" s="3" t="s">
        <v>86</v>
      </c>
      <c r="H1162" s="2" t="s">
        <v>22</v>
      </c>
      <c r="I1162" s="2" t="s">
        <v>3059</v>
      </c>
      <c r="J1162" s="3" t="str">
        <f>HYPERLINK("https://www.boe.es/gazeta/dias/1834/06/14/pdfs/GMD-1834-117.pdf#page=2","Abrir facsímil")</f>
        <v>Abrir facsímil</v>
      </c>
      <c r="K1162" s="3" t="s">
        <v>24</v>
      </c>
    </row>
    <row r="1163" spans="1:11" ht="54" customHeight="1">
      <c r="A1163" s="2" t="s">
        <v>3051</v>
      </c>
      <c r="B1163" s="2" t="s">
        <v>3051</v>
      </c>
      <c r="C1163" s="2" t="s">
        <v>17</v>
      </c>
      <c r="D1163" s="2" t="s">
        <v>18</v>
      </c>
      <c r="E1163" s="5" t="s">
        <v>1284</v>
      </c>
      <c r="F1163" s="3" t="s">
        <v>1285</v>
      </c>
      <c r="G1163" s="3" t="s">
        <v>34</v>
      </c>
      <c r="H1163" s="2" t="s">
        <v>22</v>
      </c>
      <c r="I1163" s="2" t="s">
        <v>3060</v>
      </c>
      <c r="J1163" s="3" t="str">
        <f>HYPERLINK("https://www.boe.es/gazeta/dias/1834/11/28/pdfs/GMD-1834-287.pdf#page=1","Abrir facsímil")</f>
        <v>Abrir facsímil</v>
      </c>
      <c r="K1163" s="3" t="s">
        <v>24</v>
      </c>
    </row>
    <row r="1164" spans="1:11" ht="54" customHeight="1">
      <c r="A1164" s="2" t="s">
        <v>3061</v>
      </c>
      <c r="B1164" s="2" t="s">
        <v>3061</v>
      </c>
      <c r="C1164" s="2" t="s">
        <v>17</v>
      </c>
      <c r="D1164" s="2" t="s">
        <v>18</v>
      </c>
      <c r="E1164" s="5" t="s">
        <v>899</v>
      </c>
      <c r="F1164" s="3" t="s">
        <v>900</v>
      </c>
      <c r="G1164" s="3" t="s">
        <v>75</v>
      </c>
      <c r="H1164" s="2" t="s">
        <v>22</v>
      </c>
      <c r="I1164" s="2" t="s">
        <v>3062</v>
      </c>
      <c r="J1164" s="3" t="str">
        <f>HYPERLINK("https://www.boe.es/gazeta/dias/1834/01/30/pdfs/GMD-1834-14.pdf#page=4","Abrir facsímil")</f>
        <v>Abrir facsímil</v>
      </c>
      <c r="K1164" s="3" t="s">
        <v>24</v>
      </c>
    </row>
    <row r="1165" spans="1:11" ht="54" customHeight="1">
      <c r="A1165" s="2" t="s">
        <v>3063</v>
      </c>
      <c r="B1165" s="2" t="s">
        <v>3063</v>
      </c>
      <c r="C1165" s="2" t="s">
        <v>17</v>
      </c>
      <c r="D1165" s="2" t="s">
        <v>18</v>
      </c>
      <c r="E1165" s="5" t="s">
        <v>899</v>
      </c>
      <c r="F1165" s="3" t="s">
        <v>900</v>
      </c>
      <c r="G1165" s="3" t="s">
        <v>75</v>
      </c>
      <c r="H1165" s="2" t="s">
        <v>22</v>
      </c>
      <c r="I1165" s="2" t="s">
        <v>3064</v>
      </c>
      <c r="J1165" s="3" t="str">
        <f>HYPERLINK("https://www.boe.es/gazeta/dias/1834/01/30/pdfs/GMD-1834-14.pdf#page=4","Abrir facsímil")</f>
        <v>Abrir facsímil</v>
      </c>
      <c r="K1165" s="3" t="s">
        <v>24</v>
      </c>
    </row>
    <row r="1166" spans="1:11" ht="54" customHeight="1">
      <c r="A1166" s="2" t="s">
        <v>3065</v>
      </c>
      <c r="B1166" s="2" t="s">
        <v>3065</v>
      </c>
      <c r="C1166" s="2" t="s">
        <v>46</v>
      </c>
      <c r="D1166" s="2" t="s">
        <v>101</v>
      </c>
      <c r="E1166" s="5" t="s">
        <v>3066</v>
      </c>
      <c r="F1166" s="3" t="s">
        <v>3067</v>
      </c>
      <c r="G1166" s="3" t="s">
        <v>86</v>
      </c>
      <c r="H1166" s="2" t="s">
        <v>22</v>
      </c>
      <c r="I1166" s="2" t="s">
        <v>3068</v>
      </c>
      <c r="J1166" s="3" t="str">
        <f>HYPERLINK("https://www.boe.es/gazeta/dias/1834/08/03/pdfs/GMD-C-1834-167.pdf#page=2","Abrir facsímil")</f>
        <v>Abrir facsímil</v>
      </c>
      <c r="K1166" s="3" t="s">
        <v>24</v>
      </c>
    </row>
    <row r="1167" spans="1:11" ht="54" customHeight="1">
      <c r="A1167" s="2" t="s">
        <v>3069</v>
      </c>
      <c r="B1167" s="2" t="s">
        <v>3070</v>
      </c>
      <c r="C1167" s="2" t="s">
        <v>17</v>
      </c>
      <c r="D1167" s="2" t="s">
        <v>55</v>
      </c>
      <c r="E1167" s="5" t="s">
        <v>1742</v>
      </c>
      <c r="F1167" s="3" t="s">
        <v>1743</v>
      </c>
      <c r="G1167" s="3" t="s">
        <v>75</v>
      </c>
      <c r="H1167" s="2" t="s">
        <v>22</v>
      </c>
      <c r="I1167" s="2" t="s">
        <v>3071</v>
      </c>
      <c r="J1167" s="3" t="str">
        <f>HYPERLINK("https://www.boe.es/gazeta/dias/1834/11/06/pdfs/GMD-1834-265.pdf#page=4","Abrir facsímil")</f>
        <v>Abrir facsímil</v>
      </c>
      <c r="K1167" s="3" t="s">
        <v>24</v>
      </c>
    </row>
    <row r="1168" spans="1:11" ht="54" customHeight="1">
      <c r="A1168" s="2" t="s">
        <v>3072</v>
      </c>
      <c r="B1168" s="2" t="s">
        <v>3072</v>
      </c>
      <c r="C1168" s="2" t="s">
        <v>17</v>
      </c>
      <c r="D1168" s="2" t="s">
        <v>55</v>
      </c>
      <c r="E1168" s="5" t="s">
        <v>679</v>
      </c>
      <c r="F1168" s="3" t="s">
        <v>680</v>
      </c>
      <c r="G1168" s="3" t="s">
        <v>75</v>
      </c>
      <c r="H1168" s="2" t="s">
        <v>22</v>
      </c>
      <c r="I1168" s="2" t="s">
        <v>3073</v>
      </c>
      <c r="J1168" s="3" t="str">
        <f>HYPERLINK("https://www.boe.es/gazeta/dias/1834/12/10/pdfs/GMD-1834-299.pdf#page=4","Abrir facsímil")</f>
        <v>Abrir facsímil</v>
      </c>
      <c r="K1168" s="3" t="s">
        <v>24</v>
      </c>
    </row>
    <row r="1169" spans="1:11" ht="54" customHeight="1">
      <c r="A1169" s="2" t="s">
        <v>3072</v>
      </c>
      <c r="B1169" s="2" t="s">
        <v>3072</v>
      </c>
      <c r="C1169" s="2" t="s">
        <v>17</v>
      </c>
      <c r="D1169" s="2" t="s">
        <v>55</v>
      </c>
      <c r="E1169" s="5" t="s">
        <v>200</v>
      </c>
      <c r="F1169" s="3" t="s">
        <v>201</v>
      </c>
      <c r="G1169" s="3" t="s">
        <v>75</v>
      </c>
      <c r="H1169" s="2" t="s">
        <v>22</v>
      </c>
      <c r="I1169" s="2" t="s">
        <v>3074</v>
      </c>
      <c r="J1169" s="3" t="str">
        <f>HYPERLINK("https://www.boe.es/gazeta/dias/1834/12/11/pdfs/GMD-1834-300.pdf#page=4","Abrir facsímil")</f>
        <v>Abrir facsímil</v>
      </c>
      <c r="K1169" s="3" t="s">
        <v>24</v>
      </c>
    </row>
    <row r="1170" spans="1:11" ht="54" customHeight="1">
      <c r="A1170" s="2" t="s">
        <v>3072</v>
      </c>
      <c r="B1170" s="2" t="s">
        <v>3072</v>
      </c>
      <c r="C1170" s="2" t="s">
        <v>17</v>
      </c>
      <c r="D1170" s="2" t="s">
        <v>18</v>
      </c>
      <c r="E1170" s="5" t="s">
        <v>128</v>
      </c>
      <c r="F1170" s="3" t="s">
        <v>1068</v>
      </c>
      <c r="G1170" s="3" t="s">
        <v>21</v>
      </c>
      <c r="H1170" s="2" t="s">
        <v>22</v>
      </c>
      <c r="I1170" s="2" t="s">
        <v>3075</v>
      </c>
      <c r="J1170" s="3" t="str">
        <f>HYPERLINK("https://www.boe.es/gazeta/dias/1834/12/24/pdfs/GMD-1834-314.pdf#page=3","Abrir facsímil")</f>
        <v>Abrir facsímil</v>
      </c>
      <c r="K1170" s="3" t="s">
        <v>24</v>
      </c>
    </row>
    <row r="1171" spans="1:11" ht="54" customHeight="1">
      <c r="A1171" s="2" t="s">
        <v>3072</v>
      </c>
      <c r="B1171" s="2" t="s">
        <v>3072</v>
      </c>
      <c r="C1171" s="2" t="s">
        <v>46</v>
      </c>
      <c r="D1171" s="2" t="s">
        <v>55</v>
      </c>
      <c r="E1171" s="5" t="s">
        <v>389</v>
      </c>
      <c r="F1171" s="3" t="s">
        <v>390</v>
      </c>
      <c r="G1171" s="3" t="s">
        <v>86</v>
      </c>
      <c r="H1171" s="2" t="s">
        <v>22</v>
      </c>
      <c r="I1171" s="2" t="s">
        <v>3076</v>
      </c>
      <c r="J1171" s="3" t="str">
        <f>HYPERLINK("https://www.boe.es/gazeta/dias/1834/10/25/pdfs/GMD-1834-253.pdf#page=2","Abrir facsímil")</f>
        <v>Abrir facsímil</v>
      </c>
      <c r="K1171" s="3" t="s">
        <v>24</v>
      </c>
    </row>
    <row r="1172" spans="1:11" ht="54" customHeight="1">
      <c r="A1172" s="2" t="s">
        <v>3072</v>
      </c>
      <c r="B1172" s="2" t="s">
        <v>3072</v>
      </c>
      <c r="C1172" s="2" t="s">
        <v>17</v>
      </c>
      <c r="D1172" s="2" t="s">
        <v>18</v>
      </c>
      <c r="E1172" s="5" t="s">
        <v>2142</v>
      </c>
      <c r="F1172" s="3" t="s">
        <v>2143</v>
      </c>
      <c r="G1172" s="3" t="s">
        <v>86</v>
      </c>
      <c r="H1172" s="2" t="s">
        <v>22</v>
      </c>
      <c r="I1172" s="2" t="s">
        <v>3077</v>
      </c>
      <c r="J1172" s="3" t="str">
        <f>HYPERLINK("https://www.boe.es/gazeta/dias/1834/12/27/pdfs/GMD-1834-317.pdf#page=2","Abrir facsímil")</f>
        <v>Abrir facsímil</v>
      </c>
      <c r="K1172" s="3" t="s">
        <v>24</v>
      </c>
    </row>
    <row r="1173" spans="1:11" ht="54" customHeight="1">
      <c r="A1173" s="2" t="s">
        <v>3078</v>
      </c>
      <c r="B1173" s="2" t="s">
        <v>3078</v>
      </c>
      <c r="C1173" s="2" t="s">
        <v>17</v>
      </c>
      <c r="D1173" s="2" t="s">
        <v>18</v>
      </c>
      <c r="E1173" s="5" t="s">
        <v>2218</v>
      </c>
      <c r="F1173" s="3" t="s">
        <v>2219</v>
      </c>
      <c r="G1173" s="3" t="s">
        <v>34</v>
      </c>
      <c r="H1173" s="2" t="s">
        <v>22</v>
      </c>
      <c r="I1173" s="2" t="s">
        <v>3079</v>
      </c>
      <c r="J1173" s="3" t="str">
        <f>HYPERLINK("https://www.boe.es/gazeta/dias/1834/11/05/pdfs/GMD-1834-264.pdf#page=1","Abrir facsímil")</f>
        <v>Abrir facsímil</v>
      </c>
      <c r="K1173" s="3" t="s">
        <v>24</v>
      </c>
    </row>
    <row r="1174" spans="1:11" ht="54" customHeight="1">
      <c r="A1174" s="2" t="s">
        <v>3080</v>
      </c>
      <c r="B1174" s="2" t="s">
        <v>3080</v>
      </c>
      <c r="C1174" s="2" t="s">
        <v>46</v>
      </c>
      <c r="D1174" s="2" t="s">
        <v>101</v>
      </c>
      <c r="E1174" s="5" t="s">
        <v>518</v>
      </c>
      <c r="F1174" s="3" t="s">
        <v>519</v>
      </c>
      <c r="G1174" s="3" t="s">
        <v>86</v>
      </c>
      <c r="H1174" s="2" t="s">
        <v>22</v>
      </c>
      <c r="I1174" s="2" t="s">
        <v>3081</v>
      </c>
      <c r="J1174" s="3" t="str">
        <f>HYPERLINK("https://www.boe.es/gazeta/dias/1834/03/15/pdfs/GMD-1834-33.pdf#page=2","Abrir facsímil")</f>
        <v>Abrir facsímil</v>
      </c>
      <c r="K1174" s="3" t="s">
        <v>24</v>
      </c>
    </row>
    <row r="1175" spans="1:11" ht="54" customHeight="1">
      <c r="A1175" s="2" t="s">
        <v>3082</v>
      </c>
      <c r="B1175" s="2" t="s">
        <v>3082</v>
      </c>
      <c r="C1175" s="2" t="s">
        <v>17</v>
      </c>
      <c r="D1175" s="2" t="s">
        <v>18</v>
      </c>
      <c r="E1175" s="5" t="s">
        <v>3083</v>
      </c>
      <c r="F1175" s="3" t="s">
        <v>3084</v>
      </c>
      <c r="G1175" s="3" t="s">
        <v>86</v>
      </c>
      <c r="H1175" s="2" t="s">
        <v>22</v>
      </c>
      <c r="I1175" s="2" t="s">
        <v>3085</v>
      </c>
      <c r="J1175" s="3" t="str">
        <f>HYPERLINK("https://www.boe.es/gazeta/dias/1834/10/30/pdfs/GMD-1834-258.pdf#page=2","Abrir facsímil")</f>
        <v>Abrir facsímil</v>
      </c>
      <c r="K1175" s="3" t="s">
        <v>24</v>
      </c>
    </row>
    <row r="1176" spans="1:11" ht="54" customHeight="1">
      <c r="A1176" s="2" t="s">
        <v>3086</v>
      </c>
      <c r="B1176" s="2" t="s">
        <v>3087</v>
      </c>
      <c r="C1176" s="2" t="s">
        <v>66</v>
      </c>
      <c r="D1176" s="2" t="s">
        <v>18</v>
      </c>
      <c r="E1176" s="5" t="s">
        <v>2278</v>
      </c>
      <c r="F1176" s="3" t="s">
        <v>3088</v>
      </c>
      <c r="G1176" s="3" t="s">
        <v>34</v>
      </c>
      <c r="H1176" s="2" t="s">
        <v>22</v>
      </c>
      <c r="I1176" s="2" t="s">
        <v>3089</v>
      </c>
      <c r="J1176" s="3" t="str">
        <f>HYPERLINK("https://www.boe.es/gazeta/dias/1834/12/17/pdfs/GMD-1834-306.pdf#page=1","Abrir facsímil")</f>
        <v>Abrir facsímil</v>
      </c>
      <c r="K1176" s="3" t="s">
        <v>24</v>
      </c>
    </row>
    <row r="1177" spans="1:11" ht="54" customHeight="1">
      <c r="A1177" s="2" t="s">
        <v>3090</v>
      </c>
      <c r="B1177" s="2" t="s">
        <v>3090</v>
      </c>
      <c r="C1177" s="2" t="s">
        <v>17</v>
      </c>
      <c r="D1177" s="2" t="s">
        <v>18</v>
      </c>
      <c r="E1177" s="5" t="s">
        <v>243</v>
      </c>
      <c r="F1177" s="3" t="s">
        <v>1109</v>
      </c>
      <c r="G1177" s="3" t="s">
        <v>21</v>
      </c>
      <c r="H1177" s="2" t="s">
        <v>22</v>
      </c>
      <c r="I1177" s="2" t="s">
        <v>3091</v>
      </c>
      <c r="J1177" s="3" t="str">
        <f>HYPERLINK("https://www.boe.es/gazeta/dias/1834/08/05/pdfs/GMD-1834-169.pdf#page=3","Abrir facsímil")</f>
        <v>Abrir facsímil</v>
      </c>
      <c r="K1177" s="3" t="s">
        <v>24</v>
      </c>
    </row>
    <row r="1178" spans="1:11" ht="54" customHeight="1">
      <c r="A1178" s="2" t="s">
        <v>3090</v>
      </c>
      <c r="B1178" s="2" t="s">
        <v>3090</v>
      </c>
      <c r="C1178" s="2" t="s">
        <v>17</v>
      </c>
      <c r="D1178" s="2" t="s">
        <v>55</v>
      </c>
      <c r="E1178" s="5" t="s">
        <v>364</v>
      </c>
      <c r="F1178" s="3" t="s">
        <v>2102</v>
      </c>
      <c r="G1178" s="3" t="s">
        <v>21</v>
      </c>
      <c r="H1178" s="2" t="s">
        <v>22</v>
      </c>
      <c r="I1178" s="2" t="s">
        <v>3092</v>
      </c>
      <c r="J1178" s="3" t="str">
        <f>HYPERLINK("https://www.boe.es/gazeta/dias/1834/09/06/pdfs/GMD-1834-204.pdf#page=3","Abrir facsímil")</f>
        <v>Abrir facsímil</v>
      </c>
      <c r="K1178" s="3" t="s">
        <v>24</v>
      </c>
    </row>
    <row r="1179" spans="1:11" ht="54" customHeight="1">
      <c r="A1179" s="2" t="s">
        <v>3090</v>
      </c>
      <c r="B1179" s="2" t="s">
        <v>3090</v>
      </c>
      <c r="C1179" s="2" t="s">
        <v>66</v>
      </c>
      <c r="D1179" s="2" t="s">
        <v>67</v>
      </c>
      <c r="E1179" s="5" t="s">
        <v>1394</v>
      </c>
      <c r="F1179" s="3" t="s">
        <v>2923</v>
      </c>
      <c r="G1179" s="3" t="s">
        <v>34</v>
      </c>
      <c r="H1179" s="2" t="s">
        <v>22</v>
      </c>
      <c r="I1179" s="2" t="s">
        <v>3093</v>
      </c>
      <c r="J1179" s="3" t="str">
        <f>HYPERLINK("https://www.boe.es/gazeta/dias/1834/04/16/pdfs/GMD-C-1834-55.pdf#page=1","Abrir facsímil")</f>
        <v>Abrir facsímil</v>
      </c>
      <c r="K1179" s="3" t="s">
        <v>24</v>
      </c>
    </row>
    <row r="1180" spans="1:11" ht="54" customHeight="1">
      <c r="A1180" s="2" t="s">
        <v>3090</v>
      </c>
      <c r="B1180" s="2" t="s">
        <v>3090</v>
      </c>
      <c r="C1180" s="2" t="s">
        <v>66</v>
      </c>
      <c r="D1180" s="2" t="s">
        <v>67</v>
      </c>
      <c r="E1180" s="5" t="s">
        <v>1850</v>
      </c>
      <c r="F1180" s="3" t="s">
        <v>1851</v>
      </c>
      <c r="G1180" s="3" t="s">
        <v>28</v>
      </c>
      <c r="H1180" s="2" t="s">
        <v>22</v>
      </c>
      <c r="I1180" s="2" t="s">
        <v>3094</v>
      </c>
      <c r="J1180" s="3" t="str">
        <f>HYPERLINK("https://www.boe.es/gazeta/dias/1834/02/18/pdfs/GMD-1834-22.pdf#page=5","Abrir facsímil")</f>
        <v>Abrir facsímil</v>
      </c>
      <c r="K1180" s="3" t="s">
        <v>24</v>
      </c>
    </row>
    <row r="1181" spans="1:11" ht="54" customHeight="1">
      <c r="A1181" s="2" t="s">
        <v>3090</v>
      </c>
      <c r="B1181" s="2" t="s">
        <v>3090</v>
      </c>
      <c r="C1181" s="2" t="s">
        <v>46</v>
      </c>
      <c r="D1181" s="2" t="s">
        <v>18</v>
      </c>
      <c r="E1181" s="5" t="s">
        <v>1517</v>
      </c>
      <c r="F1181" s="3" t="s">
        <v>1518</v>
      </c>
      <c r="G1181" s="3" t="s">
        <v>86</v>
      </c>
      <c r="H1181" s="2" t="s">
        <v>22</v>
      </c>
      <c r="I1181" s="2" t="s">
        <v>3095</v>
      </c>
      <c r="J1181" s="3" t="str">
        <f>HYPERLINK("https://www.boe.es/gazeta/dias/1834/05/18/pdfs/GMD-1834-87.pdf#page=2","Abrir facsímil")</f>
        <v>Abrir facsímil</v>
      </c>
      <c r="K1181" s="3" t="s">
        <v>24</v>
      </c>
    </row>
    <row r="1182" spans="1:11" ht="54" customHeight="1">
      <c r="A1182" s="2" t="s">
        <v>3090</v>
      </c>
      <c r="B1182" s="2" t="s">
        <v>3090</v>
      </c>
      <c r="C1182" s="2" t="s">
        <v>17</v>
      </c>
      <c r="D1182" s="2" t="s">
        <v>55</v>
      </c>
      <c r="E1182" s="5" t="s">
        <v>1689</v>
      </c>
      <c r="F1182" s="3" t="s">
        <v>1690</v>
      </c>
      <c r="G1182" s="3" t="s">
        <v>21</v>
      </c>
      <c r="H1182" s="2" t="s">
        <v>22</v>
      </c>
      <c r="I1182" s="2" t="s">
        <v>3096</v>
      </c>
      <c r="J1182" s="3" t="str">
        <f>HYPERLINK("https://www.boe.es/gazeta/dias/1834/07/28/pdfs/GMD-1834-161.pdf#page=3","Abrir facsímil")</f>
        <v>Abrir facsímil</v>
      </c>
      <c r="K1182" s="3" t="s">
        <v>24</v>
      </c>
    </row>
    <row r="1183" spans="1:11" ht="54" customHeight="1">
      <c r="A1183" s="2" t="s">
        <v>3097</v>
      </c>
      <c r="B1183" s="2" t="s">
        <v>3098</v>
      </c>
      <c r="C1183" s="2" t="s">
        <v>17</v>
      </c>
      <c r="D1183" s="2" t="s">
        <v>18</v>
      </c>
      <c r="E1183" s="5" t="s">
        <v>860</v>
      </c>
      <c r="F1183" s="3" t="s">
        <v>861</v>
      </c>
      <c r="G1183" s="3" t="s">
        <v>176</v>
      </c>
      <c r="H1183" s="2" t="s">
        <v>22</v>
      </c>
      <c r="I1183" s="2" t="s">
        <v>3099</v>
      </c>
      <c r="J1183" s="3" t="str">
        <f>HYPERLINK("https://www.boe.es/gazeta/dias/1834/02/08/pdfs/GMD-1834-18.pdf#page=6","Abrir facsímil")</f>
        <v>Abrir facsímil</v>
      </c>
      <c r="K1183" s="3" t="s">
        <v>24</v>
      </c>
    </row>
    <row r="1184" spans="1:11" ht="54" customHeight="1">
      <c r="A1184" s="2" t="s">
        <v>3100</v>
      </c>
      <c r="B1184" s="2" t="s">
        <v>3101</v>
      </c>
      <c r="C1184" s="2" t="s">
        <v>17</v>
      </c>
      <c r="D1184" s="2" t="s">
        <v>18</v>
      </c>
      <c r="E1184" s="5" t="s">
        <v>286</v>
      </c>
      <c r="F1184" s="3" t="s">
        <v>287</v>
      </c>
      <c r="G1184" s="3" t="s">
        <v>86</v>
      </c>
      <c r="H1184" s="2" t="s">
        <v>22</v>
      </c>
      <c r="I1184" s="2" t="s">
        <v>3102</v>
      </c>
      <c r="J1184" s="3" t="str">
        <f>HYPERLINK("https://www.boe.es/gazeta/dias/1834/08/30/pdfs/GMD-C-1834-196.pdf#page=2","Abrir facsímil")</f>
        <v>Abrir facsímil</v>
      </c>
      <c r="K1184" s="3" t="s">
        <v>24</v>
      </c>
    </row>
    <row r="1185" spans="1:11" ht="54" customHeight="1">
      <c r="A1185" s="2" t="s">
        <v>3103</v>
      </c>
      <c r="B1185" s="2" t="s">
        <v>3104</v>
      </c>
      <c r="C1185" s="2" t="s">
        <v>17</v>
      </c>
      <c r="D1185" s="2" t="s">
        <v>40</v>
      </c>
      <c r="E1185" s="5" t="s">
        <v>2203</v>
      </c>
      <c r="F1185" s="3" t="s">
        <v>2204</v>
      </c>
      <c r="G1185" s="3" t="s">
        <v>86</v>
      </c>
      <c r="H1185" s="2" t="s">
        <v>22</v>
      </c>
      <c r="I1185" s="2" t="s">
        <v>3105</v>
      </c>
      <c r="J1185" s="3" t="str">
        <f>HYPERLINK("https://www.boe.es/gazeta/dias/1834/09/10/pdfs/GMD-C-1834-208.pdf#page=2","Abrir facsímil")</f>
        <v>Abrir facsímil</v>
      </c>
      <c r="K1185" s="3" t="s">
        <v>24</v>
      </c>
    </row>
    <row r="1186" spans="1:11" ht="54" customHeight="1">
      <c r="A1186" s="2" t="s">
        <v>3106</v>
      </c>
      <c r="B1186" s="2" t="s">
        <v>3107</v>
      </c>
      <c r="C1186" s="2" t="s">
        <v>17</v>
      </c>
      <c r="D1186" s="2" t="s">
        <v>18</v>
      </c>
      <c r="E1186" s="5" t="s">
        <v>192</v>
      </c>
      <c r="F1186" s="3" t="s">
        <v>2713</v>
      </c>
      <c r="G1186" s="3" t="s">
        <v>21</v>
      </c>
      <c r="H1186" s="2" t="s">
        <v>22</v>
      </c>
      <c r="I1186" s="2" t="s">
        <v>3108</v>
      </c>
      <c r="J1186" s="3" t="str">
        <f>HYPERLINK("https://www.boe.es/gazeta/dias/1834/12/31/pdfs/GMD-C-1834-321.pdf#page=3","Abrir facsímil")</f>
        <v>Abrir facsímil</v>
      </c>
      <c r="K1186" s="3" t="s">
        <v>24</v>
      </c>
    </row>
    <row r="1187" spans="1:11" ht="54" customHeight="1">
      <c r="A1187" s="2" t="s">
        <v>3109</v>
      </c>
      <c r="B1187" s="2" t="s">
        <v>3109</v>
      </c>
      <c r="C1187" s="2" t="s">
        <v>66</v>
      </c>
      <c r="D1187" s="2" t="s">
        <v>67</v>
      </c>
      <c r="E1187" s="5" t="s">
        <v>813</v>
      </c>
      <c r="F1187" s="3" t="s">
        <v>814</v>
      </c>
      <c r="G1187" s="3" t="s">
        <v>86</v>
      </c>
      <c r="H1187" s="2" t="s">
        <v>22</v>
      </c>
      <c r="I1187" s="2" t="s">
        <v>3110</v>
      </c>
      <c r="J1187" s="3" t="str">
        <f>HYPERLINK("https://www.boe.es/gazeta/dias/1834/08/08/pdfs/GMD-1834-173.pdf#page=2","Abrir facsímil")</f>
        <v>Abrir facsímil</v>
      </c>
      <c r="K1187" s="3" t="s">
        <v>24</v>
      </c>
    </row>
    <row r="1188" spans="1:11" ht="54" customHeight="1">
      <c r="A1188" s="2" t="s">
        <v>3111</v>
      </c>
      <c r="B1188" s="2" t="s">
        <v>3111</v>
      </c>
      <c r="C1188" s="2" t="s">
        <v>122</v>
      </c>
      <c r="D1188" s="2" t="s">
        <v>18</v>
      </c>
      <c r="E1188" s="5" t="s">
        <v>143</v>
      </c>
      <c r="F1188" s="3" t="s">
        <v>144</v>
      </c>
      <c r="G1188" s="3" t="s">
        <v>21</v>
      </c>
      <c r="H1188" s="2" t="s">
        <v>22</v>
      </c>
      <c r="I1188" s="2" t="s">
        <v>3112</v>
      </c>
      <c r="J1188" s="3" t="str">
        <f>HYPERLINK("https://www.boe.es/gazeta/dias/1834/07/31/pdfs/GMD-1834-164.pdf#page=3","Abrir facsímil")</f>
        <v>Abrir facsímil</v>
      </c>
      <c r="K1188" s="3" t="s">
        <v>24</v>
      </c>
    </row>
    <row r="1189" spans="1:11" ht="54" customHeight="1">
      <c r="A1189" s="2" t="s">
        <v>3113</v>
      </c>
      <c r="B1189" s="2" t="s">
        <v>3113</v>
      </c>
      <c r="C1189" s="2" t="s">
        <v>17</v>
      </c>
      <c r="D1189" s="2" t="s">
        <v>18</v>
      </c>
      <c r="E1189" s="5" t="s">
        <v>1677</v>
      </c>
      <c r="F1189" s="3" t="s">
        <v>2515</v>
      </c>
      <c r="G1189" s="3" t="s">
        <v>34</v>
      </c>
      <c r="H1189" s="2" t="s">
        <v>22</v>
      </c>
      <c r="I1189" s="2" t="s">
        <v>3114</v>
      </c>
      <c r="J1189" s="3" t="str">
        <f>HYPERLINK("https://www.boe.es/gazeta/dias/1834/07/26/pdfs/GMD-C-1834-159.pdf#page=1","Abrir facsímil")</f>
        <v>Abrir facsímil</v>
      </c>
      <c r="K1189" s="3" t="s">
        <v>24</v>
      </c>
    </row>
    <row r="1190" spans="1:11" ht="54" customHeight="1">
      <c r="A1190" s="2" t="s">
        <v>3115</v>
      </c>
      <c r="B1190" s="2" t="s">
        <v>3115</v>
      </c>
      <c r="C1190" s="2" t="s">
        <v>66</v>
      </c>
      <c r="D1190" s="2" t="s">
        <v>67</v>
      </c>
      <c r="E1190" s="5" t="s">
        <v>803</v>
      </c>
      <c r="F1190" s="3" t="s">
        <v>804</v>
      </c>
      <c r="G1190" s="3" t="s">
        <v>86</v>
      </c>
      <c r="H1190" s="2" t="s">
        <v>22</v>
      </c>
      <c r="I1190" s="2" t="s">
        <v>3116</v>
      </c>
      <c r="J1190" s="3" t="str">
        <f>HYPERLINK("https://www.boe.es/gazeta/dias/1834/03/29/pdfs/GMD-1834-39.pdf#page=2","Abrir facsímil")</f>
        <v>Abrir facsímil</v>
      </c>
      <c r="K1190" s="3" t="s">
        <v>24</v>
      </c>
    </row>
    <row r="1191" spans="1:11" ht="54" customHeight="1">
      <c r="A1191" s="2" t="s">
        <v>3117</v>
      </c>
      <c r="B1191" s="2" t="s">
        <v>3117</v>
      </c>
      <c r="C1191" s="2" t="s">
        <v>17</v>
      </c>
      <c r="D1191" s="2" t="s">
        <v>18</v>
      </c>
      <c r="E1191" s="5" t="s">
        <v>1850</v>
      </c>
      <c r="F1191" s="3" t="s">
        <v>1851</v>
      </c>
      <c r="G1191" s="3" t="s">
        <v>470</v>
      </c>
      <c r="H1191" s="2" t="s">
        <v>22</v>
      </c>
      <c r="I1191" s="2" t="s">
        <v>3118</v>
      </c>
      <c r="J1191" s="3" t="str">
        <f>HYPERLINK("https://www.boe.es/gazeta/dias/1834/02/18/pdfs/GMD-1834-22.pdf#page=8","Abrir facsímil")</f>
        <v>Abrir facsímil</v>
      </c>
      <c r="K1191" s="3" t="s">
        <v>24</v>
      </c>
    </row>
    <row r="1192" spans="1:11" ht="54" customHeight="1">
      <c r="A1192" s="2" t="s">
        <v>3119</v>
      </c>
      <c r="B1192" s="2" t="s">
        <v>3119</v>
      </c>
      <c r="C1192" s="2" t="s">
        <v>17</v>
      </c>
      <c r="D1192" s="2" t="s">
        <v>101</v>
      </c>
      <c r="E1192" s="5" t="s">
        <v>870</v>
      </c>
      <c r="F1192" s="3" t="s">
        <v>871</v>
      </c>
      <c r="G1192" s="3" t="s">
        <v>21</v>
      </c>
      <c r="H1192" s="2" t="s">
        <v>22</v>
      </c>
      <c r="I1192" s="2" t="s">
        <v>3120</v>
      </c>
      <c r="J1192" s="3" t="str">
        <f>HYPERLINK("https://www.boe.es/gazeta/dias/1834/05/28/pdfs/GMD-1834-97.pdf#page=3","Abrir facsímil")</f>
        <v>Abrir facsímil</v>
      </c>
      <c r="K1192" s="3" t="s">
        <v>24</v>
      </c>
    </row>
    <row r="1193" spans="1:11" ht="54" customHeight="1">
      <c r="A1193" s="2" t="s">
        <v>3121</v>
      </c>
      <c r="B1193" s="2" t="s">
        <v>3122</v>
      </c>
      <c r="C1193" s="2" t="s">
        <v>857</v>
      </c>
      <c r="D1193" s="2" t="s">
        <v>55</v>
      </c>
      <c r="E1193" s="5" t="s">
        <v>590</v>
      </c>
      <c r="F1193" s="3" t="s">
        <v>591</v>
      </c>
      <c r="G1193" s="3" t="s">
        <v>86</v>
      </c>
      <c r="H1193" s="2" t="s">
        <v>22</v>
      </c>
      <c r="I1193" s="2" t="s">
        <v>3123</v>
      </c>
      <c r="J1193" s="3" t="str">
        <f>HYPERLINK("https://www.boe.es/gazeta/dias/1834/11/30/pdfs/GMD-1834-289.pdf#page=2","Abrir facsímil")</f>
        <v>Abrir facsímil</v>
      </c>
      <c r="K1193" s="3" t="s">
        <v>24</v>
      </c>
    </row>
    <row r="1194" spans="1:11" ht="54" customHeight="1">
      <c r="A1194" s="2" t="s">
        <v>3124</v>
      </c>
      <c r="B1194" s="2" t="s">
        <v>3124</v>
      </c>
      <c r="C1194" s="2" t="s">
        <v>17</v>
      </c>
      <c r="D1194" s="2" t="s">
        <v>55</v>
      </c>
      <c r="E1194" s="5" t="s">
        <v>2048</v>
      </c>
      <c r="F1194" s="3" t="s">
        <v>2049</v>
      </c>
      <c r="G1194" s="3" t="s">
        <v>86</v>
      </c>
      <c r="H1194" s="2" t="s">
        <v>22</v>
      </c>
      <c r="I1194" s="2" t="s">
        <v>3125</v>
      </c>
      <c r="J1194" s="3" t="str">
        <f>HYPERLINK("https://www.boe.es/gazeta/dias/1834/05/12/pdfs/GMD-1834-81.pdf#page=2","Abrir facsímil")</f>
        <v>Abrir facsímil</v>
      </c>
      <c r="K1194" s="3" t="s">
        <v>24</v>
      </c>
    </row>
    <row r="1195" spans="1:11" ht="54" customHeight="1">
      <c r="A1195" s="2" t="s">
        <v>3126</v>
      </c>
      <c r="B1195" s="2" t="s">
        <v>3126</v>
      </c>
      <c r="C1195" s="2" t="s">
        <v>90</v>
      </c>
      <c r="D1195" s="2" t="s">
        <v>55</v>
      </c>
      <c r="E1195" s="5" t="s">
        <v>438</v>
      </c>
      <c r="F1195" s="3" t="s">
        <v>439</v>
      </c>
      <c r="G1195" s="3" t="s">
        <v>21</v>
      </c>
      <c r="H1195" s="2" t="s">
        <v>22</v>
      </c>
      <c r="I1195" s="2" t="s">
        <v>3127</v>
      </c>
      <c r="J1195" s="3" t="str">
        <f>HYPERLINK("https://www.boe.es/gazeta/dias/1834/11/09/pdfs/GMD-1834-268.pdf#page=3","Abrir facsímil")</f>
        <v>Abrir facsímil</v>
      </c>
      <c r="K1195" s="3" t="s">
        <v>24</v>
      </c>
    </row>
    <row r="1196" spans="1:11" ht="54" customHeight="1">
      <c r="A1196" s="2" t="s">
        <v>3128</v>
      </c>
      <c r="B1196" s="2" t="s">
        <v>3129</v>
      </c>
      <c r="C1196" s="2" t="s">
        <v>17</v>
      </c>
      <c r="D1196" s="2" t="s">
        <v>18</v>
      </c>
      <c r="E1196" s="5" t="s">
        <v>19</v>
      </c>
      <c r="F1196" s="3" t="s">
        <v>20</v>
      </c>
      <c r="G1196" s="3" t="s">
        <v>86</v>
      </c>
      <c r="H1196" s="2" t="s">
        <v>22</v>
      </c>
      <c r="I1196" s="2" t="s">
        <v>3130</v>
      </c>
      <c r="J1196" s="3" t="str">
        <f>HYPERLINK("https://www.boe.es/gazeta/dias/1834/08/17/pdfs/GMD-D-1834-182.pdf#page=2","Abrir facsímil")</f>
        <v>Abrir facsímil</v>
      </c>
      <c r="K1196" s="3" t="s">
        <v>24</v>
      </c>
    </row>
    <row r="1197" spans="1:11" ht="54" customHeight="1">
      <c r="A1197" s="2" t="s">
        <v>3131</v>
      </c>
      <c r="B1197" s="2" t="s">
        <v>3131</v>
      </c>
      <c r="C1197" s="2" t="s">
        <v>17</v>
      </c>
      <c r="D1197" s="2" t="s">
        <v>18</v>
      </c>
      <c r="E1197" s="5" t="s">
        <v>1955</v>
      </c>
      <c r="F1197" s="3" t="s">
        <v>1956</v>
      </c>
      <c r="G1197" s="3" t="s">
        <v>75</v>
      </c>
      <c r="H1197" s="2" t="s">
        <v>22</v>
      </c>
      <c r="I1197" s="2" t="s">
        <v>3132</v>
      </c>
      <c r="J1197" s="3" t="str">
        <f>HYPERLINK("https://www.boe.es/gazeta/dias/1834/05/04/pdfs/GMD-1834-73.pdf#page=4","Abrir facsímil")</f>
        <v>Abrir facsímil</v>
      </c>
      <c r="K1197" s="3" t="s">
        <v>24</v>
      </c>
    </row>
    <row r="1198" spans="1:11" ht="54" customHeight="1">
      <c r="A1198" s="2" t="s">
        <v>3131</v>
      </c>
      <c r="B1198" s="2" t="s">
        <v>3131</v>
      </c>
      <c r="C1198" s="2" t="s">
        <v>66</v>
      </c>
      <c r="D1198" s="2" t="s">
        <v>67</v>
      </c>
      <c r="E1198" s="5" t="s">
        <v>513</v>
      </c>
      <c r="F1198" s="3" t="s">
        <v>514</v>
      </c>
      <c r="G1198" s="3" t="s">
        <v>28</v>
      </c>
      <c r="H1198" s="2" t="s">
        <v>22</v>
      </c>
      <c r="I1198" s="2" t="s">
        <v>3133</v>
      </c>
      <c r="J1198" s="3" t="str">
        <f>HYPERLINK("https://www.boe.es/gazeta/dias/1834/04/27/pdfs/GMD-1834-66.pdf#page=5","Abrir facsímil")</f>
        <v>Abrir facsímil</v>
      </c>
      <c r="K1198" s="3" t="s">
        <v>24</v>
      </c>
    </row>
    <row r="1199" spans="1:11" ht="54" customHeight="1">
      <c r="A1199" s="2" t="s">
        <v>3134</v>
      </c>
      <c r="B1199" s="2" t="s">
        <v>3134</v>
      </c>
      <c r="C1199" s="2" t="s">
        <v>17</v>
      </c>
      <c r="D1199" s="2" t="s">
        <v>18</v>
      </c>
      <c r="E1199" s="5" t="s">
        <v>148</v>
      </c>
      <c r="F1199" s="3" t="s">
        <v>149</v>
      </c>
      <c r="G1199" s="3" t="s">
        <v>86</v>
      </c>
      <c r="H1199" s="2" t="s">
        <v>22</v>
      </c>
      <c r="I1199" s="2" t="s">
        <v>3135</v>
      </c>
      <c r="J1199" s="3" t="str">
        <f>HYPERLINK("https://www.boe.es/gazeta/dias/1834/10/20/pdfs/GMD-1834-248.pdf#page=2","Abrir facsímil")</f>
        <v>Abrir facsímil</v>
      </c>
      <c r="K1199" s="3" t="s">
        <v>24</v>
      </c>
    </row>
    <row r="1200" spans="1:11" ht="54" customHeight="1">
      <c r="A1200" s="2" t="s">
        <v>3136</v>
      </c>
      <c r="B1200" s="2" t="s">
        <v>3137</v>
      </c>
      <c r="C1200" s="2" t="s">
        <v>17</v>
      </c>
      <c r="D1200" s="2" t="s">
        <v>18</v>
      </c>
      <c r="E1200" s="5" t="s">
        <v>1351</v>
      </c>
      <c r="F1200" s="3" t="s">
        <v>1352</v>
      </c>
      <c r="G1200" s="3" t="s">
        <v>75</v>
      </c>
      <c r="H1200" s="2" t="s">
        <v>35</v>
      </c>
      <c r="I1200" s="2" t="s">
        <v>3138</v>
      </c>
      <c r="J1200" s="3" t="str">
        <f>HYPERLINK("https://www.boe.es/gazeta/dias/1834/07/05/pdfs/GMD-1834-138.pdf#page=4","Abrir facsímil")</f>
        <v>Abrir facsímil</v>
      </c>
      <c r="K1200" s="3" t="s">
        <v>37</v>
      </c>
    </row>
    <row r="1201" spans="1:11" ht="54" customHeight="1">
      <c r="A1201" s="2" t="s">
        <v>3139</v>
      </c>
      <c r="B1201" s="2" t="s">
        <v>3139</v>
      </c>
      <c r="C1201" s="2" t="s">
        <v>66</v>
      </c>
      <c r="D1201" s="2" t="s">
        <v>67</v>
      </c>
      <c r="E1201" s="5" t="s">
        <v>465</v>
      </c>
      <c r="F1201" s="3" t="s">
        <v>466</v>
      </c>
      <c r="G1201" s="3" t="s">
        <v>176</v>
      </c>
      <c r="H1201" s="2" t="s">
        <v>22</v>
      </c>
      <c r="I1201" s="2" t="s">
        <v>3140</v>
      </c>
      <c r="J1201" s="3" t="str">
        <f>HYPERLINK("https://www.boe.es/gazeta/dias/1834/11/27/pdfs/GMD-C-1834-286.pdf#page=6","Abrir facsímil")</f>
        <v>Abrir facsímil</v>
      </c>
      <c r="K1201" s="3" t="s">
        <v>24</v>
      </c>
    </row>
    <row r="1202" spans="1:11" ht="54" customHeight="1">
      <c r="A1202" s="2" t="s">
        <v>3141</v>
      </c>
      <c r="B1202" s="2" t="s">
        <v>3142</v>
      </c>
      <c r="C1202" s="2" t="s">
        <v>17</v>
      </c>
      <c r="D1202" s="2" t="s">
        <v>18</v>
      </c>
      <c r="E1202" s="5" t="s">
        <v>309</v>
      </c>
      <c r="F1202" s="3" t="s">
        <v>310</v>
      </c>
      <c r="G1202" s="3" t="s">
        <v>34</v>
      </c>
      <c r="H1202" s="2" t="s">
        <v>22</v>
      </c>
      <c r="I1202" s="2" t="s">
        <v>3143</v>
      </c>
      <c r="J1202" s="3" t="str">
        <f>HYPERLINK("https://www.boe.es/gazeta/dias/1834/05/30/pdfs/GMD-1834-99.pdf#page=1","Abrir facsímil")</f>
        <v>Abrir facsímil</v>
      </c>
      <c r="K1202" s="3" t="s">
        <v>24</v>
      </c>
    </row>
    <row r="1203" spans="1:11" ht="54" customHeight="1">
      <c r="A1203" s="2" t="s">
        <v>3144</v>
      </c>
      <c r="B1203" s="2" t="s">
        <v>3145</v>
      </c>
      <c r="C1203" s="2" t="s">
        <v>66</v>
      </c>
      <c r="D1203" s="2" t="s">
        <v>67</v>
      </c>
      <c r="E1203" s="5" t="s">
        <v>465</v>
      </c>
      <c r="F1203" s="3" t="s">
        <v>466</v>
      </c>
      <c r="G1203" s="3" t="s">
        <v>176</v>
      </c>
      <c r="H1203" s="2" t="s">
        <v>22</v>
      </c>
      <c r="I1203" s="2" t="s">
        <v>3146</v>
      </c>
      <c r="J1203" s="3" t="str">
        <f>HYPERLINK("https://www.boe.es/gazeta/dias/1834/11/27/pdfs/GMD-C-1834-286.pdf#page=6","Abrir facsímil")</f>
        <v>Abrir facsímil</v>
      </c>
      <c r="K1203" s="3" t="s">
        <v>24</v>
      </c>
    </row>
    <row r="1204" spans="1:11" ht="54" customHeight="1">
      <c r="A1204" s="2" t="s">
        <v>3147</v>
      </c>
      <c r="B1204" s="2" t="s">
        <v>3147</v>
      </c>
      <c r="C1204" s="2" t="s">
        <v>46</v>
      </c>
      <c r="D1204" s="2" t="s">
        <v>40</v>
      </c>
      <c r="E1204" s="5" t="s">
        <v>299</v>
      </c>
      <c r="F1204" s="3" t="s">
        <v>2255</v>
      </c>
      <c r="G1204" s="3" t="s">
        <v>34</v>
      </c>
      <c r="H1204" s="2" t="s">
        <v>22</v>
      </c>
      <c r="I1204" s="2" t="s">
        <v>3148</v>
      </c>
      <c r="J1204" s="3" t="str">
        <f>HYPERLINK("https://www.boe.es/gazeta/dias/1834/12/12/pdfs/GMD-C-1834-301.pdf#page=1","Abrir facsímil")</f>
        <v>Abrir facsímil</v>
      </c>
      <c r="K1204" s="3" t="s">
        <v>24</v>
      </c>
    </row>
    <row r="1205" spans="1:11" ht="54" customHeight="1">
      <c r="A1205" s="2" t="s">
        <v>3149</v>
      </c>
      <c r="B1205" s="2" t="s">
        <v>3150</v>
      </c>
      <c r="C1205" s="2" t="s">
        <v>122</v>
      </c>
      <c r="D1205" s="2" t="s">
        <v>18</v>
      </c>
      <c r="E1205" s="5" t="s">
        <v>167</v>
      </c>
      <c r="F1205" s="3" t="s">
        <v>1200</v>
      </c>
      <c r="G1205" s="3" t="s">
        <v>86</v>
      </c>
      <c r="H1205" s="2" t="s">
        <v>22</v>
      </c>
      <c r="I1205" s="2" t="s">
        <v>3151</v>
      </c>
      <c r="J1205" s="3" t="str">
        <f>HYPERLINK("https://www.boe.es/gazeta/dias/1834/09/07/pdfs/GMD-C-1834-205.pdf#page=2","Abrir facsímil")</f>
        <v>Abrir facsímil</v>
      </c>
      <c r="K1205" s="3" t="s">
        <v>24</v>
      </c>
    </row>
    <row r="1206" spans="1:11" ht="54" customHeight="1">
      <c r="A1206" s="2" t="s">
        <v>3149</v>
      </c>
      <c r="B1206" s="2" t="s">
        <v>3150</v>
      </c>
      <c r="C1206" s="2" t="s">
        <v>17</v>
      </c>
      <c r="D1206" s="2" t="s">
        <v>18</v>
      </c>
      <c r="E1206" s="5" t="s">
        <v>299</v>
      </c>
      <c r="F1206" s="3" t="s">
        <v>2255</v>
      </c>
      <c r="G1206" s="3" t="s">
        <v>34</v>
      </c>
      <c r="H1206" s="2" t="s">
        <v>22</v>
      </c>
      <c r="I1206" s="2" t="s">
        <v>3152</v>
      </c>
      <c r="J1206" s="3" t="str">
        <f>HYPERLINK("https://www.boe.es/gazeta/dias/1834/12/12/pdfs/GMD-C-1834-301.pdf#page=1","Abrir facsímil")</f>
        <v>Abrir facsímil</v>
      </c>
      <c r="K1206" s="3" t="s">
        <v>24</v>
      </c>
    </row>
    <row r="1207" spans="1:11" ht="54" customHeight="1">
      <c r="A1207" s="2" t="s">
        <v>3153</v>
      </c>
      <c r="B1207" s="2" t="s">
        <v>3154</v>
      </c>
      <c r="C1207" s="2" t="s">
        <v>17</v>
      </c>
      <c r="D1207" s="2" t="s">
        <v>18</v>
      </c>
      <c r="E1207" s="5" t="s">
        <v>1686</v>
      </c>
      <c r="F1207" s="3" t="s">
        <v>2311</v>
      </c>
      <c r="G1207" s="3" t="s">
        <v>34</v>
      </c>
      <c r="H1207" s="2" t="s">
        <v>22</v>
      </c>
      <c r="I1207" s="2" t="s">
        <v>3155</v>
      </c>
      <c r="J1207" s="3" t="str">
        <f>HYPERLINK("https://www.boe.es/gazeta/dias/1834/07/27/pdfs/GMD-C-1834-160.pdf#page=1","Abrir facsímil")</f>
        <v>Abrir facsímil</v>
      </c>
      <c r="K1207" s="3" t="s">
        <v>24</v>
      </c>
    </row>
    <row r="1208" spans="1:11" ht="54" customHeight="1">
      <c r="A1208" s="2" t="s">
        <v>3156</v>
      </c>
      <c r="B1208" s="2" t="s">
        <v>3157</v>
      </c>
      <c r="C1208" s="2" t="s">
        <v>17</v>
      </c>
      <c r="D1208" s="2" t="s">
        <v>18</v>
      </c>
      <c r="E1208" s="5" t="s">
        <v>299</v>
      </c>
      <c r="F1208" s="3" t="s">
        <v>2255</v>
      </c>
      <c r="G1208" s="3" t="s">
        <v>34</v>
      </c>
      <c r="H1208" s="2" t="s">
        <v>35</v>
      </c>
      <c r="I1208" s="2" t="s">
        <v>3158</v>
      </c>
      <c r="J1208" s="3" t="str">
        <f>HYPERLINK("https://www.boe.es/gazeta/dias/1834/12/12/pdfs/GMD-C-1834-301.pdf#page=1","Abrir facsímil")</f>
        <v>Abrir facsímil</v>
      </c>
      <c r="K1208" s="3" t="s">
        <v>37</v>
      </c>
    </row>
    <row r="1209" spans="1:11" ht="54" customHeight="1">
      <c r="A1209" s="2" t="s">
        <v>3159</v>
      </c>
      <c r="B1209" s="2" t="s">
        <v>3160</v>
      </c>
      <c r="C1209" s="2" t="s">
        <v>17</v>
      </c>
      <c r="D1209" s="2" t="s">
        <v>18</v>
      </c>
      <c r="E1209" s="5" t="s">
        <v>1686</v>
      </c>
      <c r="F1209" s="3" t="s">
        <v>2311</v>
      </c>
      <c r="G1209" s="3" t="s">
        <v>34</v>
      </c>
      <c r="H1209" s="2" t="s">
        <v>35</v>
      </c>
      <c r="I1209" s="2" t="s">
        <v>3161</v>
      </c>
      <c r="J1209" s="3" t="str">
        <f>HYPERLINK("https://www.boe.es/gazeta/dias/1834/07/27/pdfs/GMD-C-1834-160.pdf#page=1","Abrir facsímil")</f>
        <v>Abrir facsímil</v>
      </c>
      <c r="K1209" s="3" t="s">
        <v>37</v>
      </c>
    </row>
    <row r="1210" spans="1:11" ht="54" customHeight="1">
      <c r="A1210" s="2" t="s">
        <v>3162</v>
      </c>
      <c r="B1210" s="2" t="s">
        <v>3162</v>
      </c>
      <c r="C1210" s="2" t="s">
        <v>17</v>
      </c>
      <c r="D1210" s="2" t="s">
        <v>18</v>
      </c>
      <c r="E1210" s="5" t="s">
        <v>3163</v>
      </c>
      <c r="F1210" s="3" t="s">
        <v>3164</v>
      </c>
      <c r="G1210" s="3" t="s">
        <v>86</v>
      </c>
      <c r="H1210" s="2" t="s">
        <v>22</v>
      </c>
      <c r="I1210" s="2" t="s">
        <v>3165</v>
      </c>
      <c r="J1210" s="3" t="str">
        <f>HYPERLINK("https://www.boe.es/gazeta/dias/1834/11/02/pdfs/GMD-1834-261.pdf#page=2","Abrir facsímil")</f>
        <v>Abrir facsímil</v>
      </c>
      <c r="K1210" s="3" t="s">
        <v>24</v>
      </c>
    </row>
    <row r="1211" spans="1:11" ht="54" customHeight="1">
      <c r="A1211" s="2" t="s">
        <v>3162</v>
      </c>
      <c r="B1211" s="2" t="s">
        <v>3162</v>
      </c>
      <c r="C1211" s="2" t="s">
        <v>122</v>
      </c>
      <c r="D1211" s="2" t="s">
        <v>18</v>
      </c>
      <c r="E1211" s="5" t="s">
        <v>1556</v>
      </c>
      <c r="F1211" s="3" t="s">
        <v>1557</v>
      </c>
      <c r="G1211" s="3" t="s">
        <v>21</v>
      </c>
      <c r="H1211" s="2" t="s">
        <v>22</v>
      </c>
      <c r="I1211" s="2" t="s">
        <v>3166</v>
      </c>
      <c r="J1211" s="3" t="str">
        <f>HYPERLINK("https://www.boe.es/gazeta/dias/1834/06/06/pdfs/GMD-1834-108.pdf#page=3","Abrir facsímil")</f>
        <v>Abrir facsímil</v>
      </c>
      <c r="K1211" s="3" t="s">
        <v>24</v>
      </c>
    </row>
    <row r="1212" spans="1:11" ht="54" customHeight="1">
      <c r="A1212" s="2" t="s">
        <v>3162</v>
      </c>
      <c r="B1212" s="2" t="s">
        <v>3162</v>
      </c>
      <c r="C1212" s="2" t="s">
        <v>17</v>
      </c>
      <c r="D1212" s="2" t="s">
        <v>18</v>
      </c>
      <c r="E1212" s="5" t="s">
        <v>653</v>
      </c>
      <c r="F1212" s="3" t="s">
        <v>3167</v>
      </c>
      <c r="G1212" s="3" t="s">
        <v>34</v>
      </c>
      <c r="H1212" s="2" t="s">
        <v>22</v>
      </c>
      <c r="I1212" s="2" t="s">
        <v>3168</v>
      </c>
      <c r="J1212" s="3" t="str">
        <f>HYPERLINK("https://www.boe.es/gazeta/dias/1834/08/06/pdfs/GMD-1834-171E.pdf#page=1","Abrir facsímil")</f>
        <v>Abrir facsímil</v>
      </c>
      <c r="K1212" s="3" t="s">
        <v>24</v>
      </c>
    </row>
    <row r="1213" spans="1:11" ht="54" customHeight="1">
      <c r="A1213" s="2" t="s">
        <v>3162</v>
      </c>
      <c r="B1213" s="2" t="s">
        <v>3162</v>
      </c>
      <c r="C1213" s="2" t="s">
        <v>17</v>
      </c>
      <c r="D1213" s="2" t="s">
        <v>18</v>
      </c>
      <c r="E1213" s="5" t="s">
        <v>84</v>
      </c>
      <c r="F1213" s="3" t="s">
        <v>1223</v>
      </c>
      <c r="G1213" s="3" t="s">
        <v>34</v>
      </c>
      <c r="H1213" s="2" t="s">
        <v>22</v>
      </c>
      <c r="I1213" s="2" t="s">
        <v>3169</v>
      </c>
      <c r="J1213" s="3" t="str">
        <f>HYPERLINK("https://www.boe.es/gazeta/dias/1834/06/07/pdfs/GMD-1834-109.pdf#page=1","Abrir facsímil")</f>
        <v>Abrir facsímil</v>
      </c>
      <c r="K1213" s="3" t="s">
        <v>24</v>
      </c>
    </row>
    <row r="1214" spans="1:11" ht="54" customHeight="1">
      <c r="A1214" s="2" t="s">
        <v>3162</v>
      </c>
      <c r="B1214" s="2" t="s">
        <v>3162</v>
      </c>
      <c r="C1214" s="2" t="s">
        <v>17</v>
      </c>
      <c r="D1214" s="2" t="s">
        <v>18</v>
      </c>
      <c r="E1214" s="5" t="s">
        <v>3170</v>
      </c>
      <c r="F1214" s="3" t="s">
        <v>3171</v>
      </c>
      <c r="G1214" s="3" t="s">
        <v>75</v>
      </c>
      <c r="H1214" s="2" t="s">
        <v>22</v>
      </c>
      <c r="I1214" s="2" t="s">
        <v>3172</v>
      </c>
      <c r="J1214" s="3" t="str">
        <f>HYPERLINK("https://www.boe.es/gazeta/dias/1834/12/07/pdfs/GMD-1834-296.pdf#page=4","Abrir facsímil")</f>
        <v>Abrir facsímil</v>
      </c>
      <c r="K1214" s="3" t="s">
        <v>24</v>
      </c>
    </row>
    <row r="1215" spans="1:11" ht="54" customHeight="1">
      <c r="A1215" s="2" t="s">
        <v>3162</v>
      </c>
      <c r="B1215" s="2" t="s">
        <v>3162</v>
      </c>
      <c r="C1215" s="2" t="s">
        <v>90</v>
      </c>
      <c r="D1215" s="2" t="s">
        <v>67</v>
      </c>
      <c r="E1215" s="5" t="s">
        <v>1103</v>
      </c>
      <c r="F1215" s="3" t="s">
        <v>1259</v>
      </c>
      <c r="G1215" s="3" t="s">
        <v>21</v>
      </c>
      <c r="H1215" s="2" t="s">
        <v>22</v>
      </c>
      <c r="I1215" s="2" t="s">
        <v>3173</v>
      </c>
      <c r="J1215" s="3" t="str">
        <f>HYPERLINK("https://www.boe.es/gazeta/dias/1834/10/10/pdfs/GMD-1834-238.pdf#page=3","Abrir facsímil")</f>
        <v>Abrir facsímil</v>
      </c>
      <c r="K1215" s="3" t="s">
        <v>24</v>
      </c>
    </row>
    <row r="1216" spans="1:11" ht="54" customHeight="1">
      <c r="A1216" s="2" t="s">
        <v>3162</v>
      </c>
      <c r="B1216" s="2" t="s">
        <v>3162</v>
      </c>
      <c r="C1216" s="2" t="s">
        <v>17</v>
      </c>
      <c r="D1216" s="2" t="s">
        <v>18</v>
      </c>
      <c r="E1216" s="5" t="s">
        <v>2153</v>
      </c>
      <c r="F1216" s="3" t="s">
        <v>2154</v>
      </c>
      <c r="G1216" s="3" t="s">
        <v>34</v>
      </c>
      <c r="H1216" s="2" t="s">
        <v>22</v>
      </c>
      <c r="I1216" s="2" t="s">
        <v>3174</v>
      </c>
      <c r="J1216" s="3" t="str">
        <f>HYPERLINK("https://www.boe.es/gazeta/dias/1834/01/23/pdfs/GMD-1834-11.pdf#page=1","Abrir facsímil")</f>
        <v>Abrir facsímil</v>
      </c>
      <c r="K1216" s="3" t="s">
        <v>24</v>
      </c>
    </row>
    <row r="1217" spans="1:11" ht="54" customHeight="1">
      <c r="A1217" s="2" t="s">
        <v>3162</v>
      </c>
      <c r="B1217" s="2" t="s">
        <v>3162</v>
      </c>
      <c r="C1217" s="2" t="s">
        <v>122</v>
      </c>
      <c r="D1217" s="2" t="s">
        <v>18</v>
      </c>
      <c r="E1217" s="5" t="s">
        <v>1307</v>
      </c>
      <c r="F1217" s="3" t="s">
        <v>1308</v>
      </c>
      <c r="G1217" s="3" t="s">
        <v>21</v>
      </c>
      <c r="H1217" s="2" t="s">
        <v>22</v>
      </c>
      <c r="I1217" s="2" t="s">
        <v>3175</v>
      </c>
      <c r="J1217" s="3" t="str">
        <f>HYPERLINK("https://www.boe.es/gazeta/dias/1834/08/25/pdfs/GMD-1834-191.pdf#page=3","Abrir facsímil")</f>
        <v>Abrir facsímil</v>
      </c>
      <c r="K1217" s="3" t="s">
        <v>24</v>
      </c>
    </row>
    <row r="1218" spans="1:11" ht="54" customHeight="1">
      <c r="A1218" s="2" t="s">
        <v>3162</v>
      </c>
      <c r="B1218" s="2" t="s">
        <v>3162</v>
      </c>
      <c r="C1218" s="2" t="s">
        <v>17</v>
      </c>
      <c r="D1218" s="2" t="s">
        <v>18</v>
      </c>
      <c r="E1218" s="5" t="s">
        <v>1002</v>
      </c>
      <c r="F1218" s="3" t="s">
        <v>1003</v>
      </c>
      <c r="G1218" s="3" t="s">
        <v>21</v>
      </c>
      <c r="H1218" s="2" t="s">
        <v>22</v>
      </c>
      <c r="I1218" s="2" t="s">
        <v>3176</v>
      </c>
      <c r="J1218" s="3" t="str">
        <f>HYPERLINK("https://www.boe.es/gazeta/dias/1834/06/26/pdfs/GMD-1834-129.pdf#page=3","Abrir facsímil")</f>
        <v>Abrir facsímil</v>
      </c>
      <c r="K1218" s="3" t="s">
        <v>24</v>
      </c>
    </row>
    <row r="1219" spans="1:11" ht="54" customHeight="1">
      <c r="A1219" s="2" t="s">
        <v>3177</v>
      </c>
      <c r="B1219" s="2" t="s">
        <v>3178</v>
      </c>
      <c r="C1219" s="2" t="s">
        <v>17</v>
      </c>
      <c r="D1219" s="2" t="s">
        <v>18</v>
      </c>
      <c r="E1219" s="5" t="s">
        <v>468</v>
      </c>
      <c r="F1219" s="3" t="s">
        <v>469</v>
      </c>
      <c r="G1219" s="3" t="s">
        <v>34</v>
      </c>
      <c r="H1219" s="2" t="s">
        <v>22</v>
      </c>
      <c r="I1219" s="2" t="s">
        <v>3179</v>
      </c>
      <c r="J1219" s="3" t="str">
        <f>HYPERLINK("https://www.boe.es/gazeta/dias/1834/12/28/pdfs/GMD-C-1834-318.pdf#page=1","Abrir facsímil")</f>
        <v>Abrir facsímil</v>
      </c>
      <c r="K1219" s="3" t="s">
        <v>24</v>
      </c>
    </row>
    <row r="1220" spans="1:11" ht="54" customHeight="1">
      <c r="A1220" s="2" t="s">
        <v>3180</v>
      </c>
      <c r="B1220" s="2" t="s">
        <v>3181</v>
      </c>
      <c r="C1220" s="2" t="s">
        <v>17</v>
      </c>
      <c r="D1220" s="2" t="s">
        <v>18</v>
      </c>
      <c r="E1220" s="5" t="s">
        <v>438</v>
      </c>
      <c r="F1220" s="3" t="s">
        <v>528</v>
      </c>
      <c r="G1220" s="3" t="s">
        <v>86</v>
      </c>
      <c r="H1220" s="2" t="s">
        <v>22</v>
      </c>
      <c r="I1220" s="2" t="s">
        <v>3182</v>
      </c>
      <c r="J1220" s="3" t="str">
        <f>HYPERLINK("https://www.boe.es/gazeta/dias/1834/11/09/pdfs/GMD-C-1834-268.pdf#page=2","Abrir facsímil")</f>
        <v>Abrir facsímil</v>
      </c>
      <c r="K1220" s="3" t="s">
        <v>24</v>
      </c>
    </row>
    <row r="1221" spans="1:11" ht="54" customHeight="1">
      <c r="A1221" s="2" t="s">
        <v>3183</v>
      </c>
      <c r="B1221" s="2" t="s">
        <v>3184</v>
      </c>
      <c r="C1221" s="2" t="s">
        <v>17</v>
      </c>
      <c r="D1221" s="2" t="s">
        <v>18</v>
      </c>
      <c r="E1221" s="5" t="s">
        <v>143</v>
      </c>
      <c r="F1221" s="3" t="s">
        <v>144</v>
      </c>
      <c r="G1221" s="3" t="s">
        <v>21</v>
      </c>
      <c r="H1221" s="2" t="s">
        <v>35</v>
      </c>
      <c r="I1221" s="2" t="s">
        <v>3185</v>
      </c>
      <c r="J1221" s="3" t="str">
        <f>HYPERLINK("https://www.boe.es/gazeta/dias/1834/07/31/pdfs/GMD-1834-164.pdf#page=3","Abrir facsímil")</f>
        <v>Abrir facsímil</v>
      </c>
      <c r="K1221" s="3" t="s">
        <v>37</v>
      </c>
    </row>
    <row r="1222" spans="1:11" ht="54" customHeight="1">
      <c r="A1222" s="2" t="s">
        <v>3186</v>
      </c>
      <c r="B1222" s="2" t="s">
        <v>3187</v>
      </c>
      <c r="C1222" s="2" t="s">
        <v>46</v>
      </c>
      <c r="D1222" s="2" t="s">
        <v>18</v>
      </c>
      <c r="E1222" s="5" t="s">
        <v>3066</v>
      </c>
      <c r="F1222" s="3" t="s">
        <v>3188</v>
      </c>
      <c r="G1222" s="3" t="s">
        <v>86</v>
      </c>
      <c r="H1222" s="2" t="s">
        <v>22</v>
      </c>
      <c r="I1222" s="2" t="s">
        <v>3189</v>
      </c>
      <c r="J1222" s="3" t="str">
        <f>HYPERLINK("https://www.boe.es/gazeta/dias/1834/08/03/pdfs/GMD-1834-167.pdf#page=2","Abrir facsímil")</f>
        <v>Abrir facsímil</v>
      </c>
      <c r="K1222" s="3" t="s">
        <v>24</v>
      </c>
    </row>
    <row r="1223" spans="1:11" ht="54" customHeight="1">
      <c r="A1223" s="2" t="s">
        <v>3190</v>
      </c>
      <c r="B1223" s="2" t="s">
        <v>3191</v>
      </c>
      <c r="C1223" s="2" t="s">
        <v>46</v>
      </c>
      <c r="D1223" s="2" t="s">
        <v>55</v>
      </c>
      <c r="E1223" s="5" t="s">
        <v>32</v>
      </c>
      <c r="F1223" s="3" t="s">
        <v>33</v>
      </c>
      <c r="G1223" s="3" t="s">
        <v>86</v>
      </c>
      <c r="H1223" s="2" t="s">
        <v>22</v>
      </c>
      <c r="I1223" s="2" t="s">
        <v>3192</v>
      </c>
      <c r="J1223" s="3" t="str">
        <f>HYPERLINK("https://www.boe.es/gazeta/dias/1834/04/23/pdfs/GMD-1834-62.pdf#page=2","Abrir facsímil")</f>
        <v>Abrir facsímil</v>
      </c>
      <c r="K1223" s="3" t="s">
        <v>24</v>
      </c>
    </row>
    <row r="1224" spans="1:11" ht="54" customHeight="1">
      <c r="A1224" s="2" t="s">
        <v>3193</v>
      </c>
      <c r="B1224" s="2" t="s">
        <v>3194</v>
      </c>
      <c r="C1224" s="2" t="s">
        <v>46</v>
      </c>
      <c r="D1224" s="2" t="s">
        <v>55</v>
      </c>
      <c r="E1224" s="5" t="s">
        <v>2729</v>
      </c>
      <c r="F1224" s="3" t="s">
        <v>2730</v>
      </c>
      <c r="G1224" s="3" t="s">
        <v>86</v>
      </c>
      <c r="H1224" s="2" t="s">
        <v>22</v>
      </c>
      <c r="I1224" s="2" t="s">
        <v>3195</v>
      </c>
      <c r="J1224" s="3" t="str">
        <f>HYPERLINK("https://www.boe.es/gazeta/dias/1834/07/02/pdfs/GMD-1834-135.pdf#page=2","Abrir facsímil")</f>
        <v>Abrir facsímil</v>
      </c>
      <c r="K1224" s="3" t="s">
        <v>24</v>
      </c>
    </row>
    <row r="1225" spans="1:11" ht="54" customHeight="1">
      <c r="A1225" s="2" t="s">
        <v>3196</v>
      </c>
      <c r="B1225" s="2" t="s">
        <v>3197</v>
      </c>
      <c r="C1225" s="2" t="s">
        <v>66</v>
      </c>
      <c r="D1225" s="2" t="s">
        <v>67</v>
      </c>
      <c r="E1225" s="5" t="s">
        <v>1084</v>
      </c>
      <c r="F1225" s="3" t="s">
        <v>1085</v>
      </c>
      <c r="G1225" s="3" t="s">
        <v>28</v>
      </c>
      <c r="H1225" s="2" t="s">
        <v>35</v>
      </c>
      <c r="I1225" s="2" t="s">
        <v>3198</v>
      </c>
      <c r="J1225" s="3" t="str">
        <f>HYPERLINK("https://www.boe.es/gazeta/dias/1834/05/01/pdfs/GMD-1834-70.pdf#page=5","Abrir facsímil")</f>
        <v>Abrir facsímil</v>
      </c>
      <c r="K1225" s="3" t="s">
        <v>37</v>
      </c>
    </row>
    <row r="1226" spans="1:11" ht="54" customHeight="1">
      <c r="A1226" s="2" t="s">
        <v>3196</v>
      </c>
      <c r="B1226" s="2" t="s">
        <v>3197</v>
      </c>
      <c r="C1226" s="2" t="s">
        <v>122</v>
      </c>
      <c r="D1226" s="2" t="s">
        <v>18</v>
      </c>
      <c r="E1226" s="5" t="s">
        <v>1084</v>
      </c>
      <c r="F1226" s="3" t="s">
        <v>1085</v>
      </c>
      <c r="G1226" s="3" t="s">
        <v>176</v>
      </c>
      <c r="H1226" s="2" t="s">
        <v>35</v>
      </c>
      <c r="I1226" s="2" t="s">
        <v>3199</v>
      </c>
      <c r="J1226" s="3" t="str">
        <f>HYPERLINK("https://www.boe.es/gazeta/dias/1834/05/01/pdfs/GMD-1834-70.pdf#page=6","Abrir facsímil")</f>
        <v>Abrir facsímil</v>
      </c>
      <c r="K1226" s="3" t="s">
        <v>37</v>
      </c>
    </row>
    <row r="1227" spans="1:11" ht="54" customHeight="1">
      <c r="A1227" s="2" t="s">
        <v>3200</v>
      </c>
      <c r="B1227" s="2" t="s">
        <v>3201</v>
      </c>
      <c r="C1227" s="2" t="s">
        <v>66</v>
      </c>
      <c r="D1227" s="2" t="s">
        <v>67</v>
      </c>
      <c r="E1227" s="5" t="s">
        <v>1084</v>
      </c>
      <c r="F1227" s="3" t="s">
        <v>1085</v>
      </c>
      <c r="G1227" s="3" t="s">
        <v>28</v>
      </c>
      <c r="H1227" s="2" t="s">
        <v>22</v>
      </c>
      <c r="I1227" s="2" t="s">
        <v>3202</v>
      </c>
      <c r="J1227" s="3" t="str">
        <f>HYPERLINK("https://www.boe.es/gazeta/dias/1834/05/01/pdfs/GMD-1834-70.pdf#page=5","Abrir facsímil")</f>
        <v>Abrir facsímil</v>
      </c>
      <c r="K1227" s="3" t="s">
        <v>24</v>
      </c>
    </row>
    <row r="1228" spans="1:11" ht="54" customHeight="1">
      <c r="A1228" s="2" t="s">
        <v>3200</v>
      </c>
      <c r="B1228" s="2" t="s">
        <v>3201</v>
      </c>
      <c r="C1228" s="2" t="s">
        <v>122</v>
      </c>
      <c r="D1228" s="2" t="s">
        <v>18</v>
      </c>
      <c r="E1228" s="5" t="s">
        <v>1084</v>
      </c>
      <c r="F1228" s="3" t="s">
        <v>1085</v>
      </c>
      <c r="G1228" s="3" t="s">
        <v>176</v>
      </c>
      <c r="H1228" s="2" t="s">
        <v>22</v>
      </c>
      <c r="I1228" s="2" t="s">
        <v>3203</v>
      </c>
      <c r="J1228" s="3" t="str">
        <f>HYPERLINK("https://www.boe.es/gazeta/dias/1834/05/01/pdfs/GMD-1834-70.pdf#page=6","Abrir facsímil")</f>
        <v>Abrir facsímil</v>
      </c>
      <c r="K1228" s="3" t="s">
        <v>24</v>
      </c>
    </row>
    <row r="1229" spans="1:11" ht="54" customHeight="1">
      <c r="A1229" s="2" t="s">
        <v>3204</v>
      </c>
      <c r="B1229" s="2" t="s">
        <v>3204</v>
      </c>
      <c r="C1229" s="2" t="s">
        <v>66</v>
      </c>
      <c r="D1229" s="2" t="s">
        <v>67</v>
      </c>
      <c r="E1229" s="5" t="s">
        <v>1955</v>
      </c>
      <c r="F1229" s="3" t="s">
        <v>1956</v>
      </c>
      <c r="G1229" s="3" t="s">
        <v>21</v>
      </c>
      <c r="H1229" s="2" t="s">
        <v>22</v>
      </c>
      <c r="I1229" s="2" t="s">
        <v>3205</v>
      </c>
      <c r="J1229" s="3" t="str">
        <f>HYPERLINK("https://www.boe.es/gazeta/dias/1834/05/04/pdfs/GMD-1834-73.pdf#page=3","Abrir facsímil")</f>
        <v>Abrir facsímil</v>
      </c>
      <c r="K1229" s="3" t="s">
        <v>24</v>
      </c>
    </row>
    <row r="1230" spans="1:11" ht="54" customHeight="1">
      <c r="A1230" s="2" t="s">
        <v>3206</v>
      </c>
      <c r="B1230" s="2" t="s">
        <v>3206</v>
      </c>
      <c r="C1230" s="2" t="s">
        <v>17</v>
      </c>
      <c r="D1230" s="2" t="s">
        <v>18</v>
      </c>
      <c r="E1230" s="5" t="s">
        <v>3207</v>
      </c>
      <c r="F1230" s="3" t="s">
        <v>3208</v>
      </c>
      <c r="G1230" s="3" t="s">
        <v>21</v>
      </c>
      <c r="H1230" s="2" t="s">
        <v>22</v>
      </c>
      <c r="I1230" s="2" t="s">
        <v>3209</v>
      </c>
      <c r="J1230" s="3" t="str">
        <f>HYPERLINK("https://www.boe.es/gazeta/dias/1834/10/13/pdfs/GMD-1834-241.pdf#page=3","Abrir facsímil")</f>
        <v>Abrir facsímil</v>
      </c>
      <c r="K1230" s="3" t="s">
        <v>24</v>
      </c>
    </row>
    <row r="1231" spans="1:11" ht="54" customHeight="1">
      <c r="A1231" s="2" t="s">
        <v>3210</v>
      </c>
      <c r="B1231" s="2" t="s">
        <v>3210</v>
      </c>
      <c r="C1231" s="2" t="s">
        <v>17</v>
      </c>
      <c r="D1231" s="2" t="s">
        <v>18</v>
      </c>
      <c r="E1231" s="5" t="s">
        <v>1084</v>
      </c>
      <c r="F1231" s="3" t="s">
        <v>1085</v>
      </c>
      <c r="G1231" s="3" t="s">
        <v>28</v>
      </c>
      <c r="H1231" s="2" t="s">
        <v>22</v>
      </c>
      <c r="I1231" s="2" t="s">
        <v>3211</v>
      </c>
      <c r="J1231" s="3" t="str">
        <f>HYPERLINK("https://www.boe.es/gazeta/dias/1834/05/01/pdfs/GMD-1834-70.pdf#page=5","Abrir facsímil")</f>
        <v>Abrir facsímil</v>
      </c>
      <c r="K1231" s="3" t="s">
        <v>24</v>
      </c>
    </row>
    <row r="1232" spans="1:11" ht="54" customHeight="1">
      <c r="A1232" s="2" t="s">
        <v>3212</v>
      </c>
      <c r="B1232" s="2" t="s">
        <v>3213</v>
      </c>
      <c r="C1232" s="2" t="s">
        <v>17</v>
      </c>
      <c r="D1232" s="2" t="s">
        <v>40</v>
      </c>
      <c r="E1232" s="5" t="s">
        <v>2091</v>
      </c>
      <c r="F1232" s="3" t="s">
        <v>2092</v>
      </c>
      <c r="G1232" s="3" t="s">
        <v>21</v>
      </c>
      <c r="H1232" s="2" t="s">
        <v>22</v>
      </c>
      <c r="I1232" s="2" t="s">
        <v>3214</v>
      </c>
      <c r="J1232" s="3" t="str">
        <f>HYPERLINK("https://www.boe.es/gazeta/dias/1834/03/08/pdfs/GMD-1834-30.pdf#page=3","Abrir facsímil")</f>
        <v>Abrir facsímil</v>
      </c>
      <c r="K1232" s="3" t="s">
        <v>24</v>
      </c>
    </row>
    <row r="1233" spans="1:11" ht="54" customHeight="1">
      <c r="A1233" s="2" t="s">
        <v>3215</v>
      </c>
      <c r="B1233" s="2" t="s">
        <v>3216</v>
      </c>
      <c r="C1233" s="2" t="s">
        <v>46</v>
      </c>
      <c r="D1233" s="2" t="s">
        <v>101</v>
      </c>
      <c r="E1233" s="5" t="s">
        <v>280</v>
      </c>
      <c r="F1233" s="3" t="s">
        <v>3217</v>
      </c>
      <c r="G1233" s="3" t="s">
        <v>34</v>
      </c>
      <c r="H1233" s="2" t="s">
        <v>22</v>
      </c>
      <c r="I1233" s="2" t="s">
        <v>3218</v>
      </c>
      <c r="J1233" s="3" t="str">
        <f>HYPERLINK("https://www.boe.es/gazeta/dias/1834/08/29/pdfs/GMD-1834-195.pdf#page=1","Abrir facsímil")</f>
        <v>Abrir facsímil</v>
      </c>
      <c r="K1233" s="3" t="s">
        <v>24</v>
      </c>
    </row>
    <row r="1234" spans="1:11" ht="54" customHeight="1">
      <c r="A1234" s="2" t="s">
        <v>3219</v>
      </c>
      <c r="B1234" s="2" t="s">
        <v>3220</v>
      </c>
      <c r="C1234" s="2" t="s">
        <v>17</v>
      </c>
      <c r="D1234" s="2" t="s">
        <v>18</v>
      </c>
      <c r="E1234" s="5" t="s">
        <v>1556</v>
      </c>
      <c r="F1234" s="3" t="s">
        <v>1557</v>
      </c>
      <c r="G1234" s="3" t="s">
        <v>21</v>
      </c>
      <c r="H1234" s="2" t="s">
        <v>22</v>
      </c>
      <c r="I1234" s="2" t="s">
        <v>3221</v>
      </c>
      <c r="J1234" s="3" t="str">
        <f>HYPERLINK("https://www.boe.es/gazeta/dias/1834/06/06/pdfs/GMD-1834-108.pdf#page=3","Abrir facsímil")</f>
        <v>Abrir facsímil</v>
      </c>
      <c r="K1234" s="3" t="s">
        <v>24</v>
      </c>
    </row>
    <row r="1235" spans="1:11" ht="54" customHeight="1">
      <c r="A1235" s="2" t="s">
        <v>3222</v>
      </c>
      <c r="B1235" s="2" t="s">
        <v>3222</v>
      </c>
      <c r="C1235" s="2" t="s">
        <v>17</v>
      </c>
      <c r="D1235" s="2" t="s">
        <v>18</v>
      </c>
      <c r="E1235" s="5" t="s">
        <v>153</v>
      </c>
      <c r="F1235" s="3" t="s">
        <v>154</v>
      </c>
      <c r="G1235" s="3" t="s">
        <v>21</v>
      </c>
      <c r="H1235" s="2" t="s">
        <v>22</v>
      </c>
      <c r="I1235" s="2" t="s">
        <v>3223</v>
      </c>
      <c r="J1235" s="3" t="str">
        <f>HYPERLINK("https://www.boe.es/gazeta/dias/1834/12/30/pdfs/GMD-C-1834-320.pdf#page=3","Abrir facsímil")</f>
        <v>Abrir facsímil</v>
      </c>
      <c r="K1235" s="3" t="s">
        <v>24</v>
      </c>
    </row>
    <row r="1236" spans="1:11" ht="54" customHeight="1">
      <c r="A1236" s="2" t="s">
        <v>3224</v>
      </c>
      <c r="B1236" s="2" t="s">
        <v>3224</v>
      </c>
      <c r="C1236" s="2" t="s">
        <v>17</v>
      </c>
      <c r="D1236" s="2" t="s">
        <v>18</v>
      </c>
      <c r="E1236" s="5" t="s">
        <v>3225</v>
      </c>
      <c r="F1236" s="3" t="s">
        <v>3226</v>
      </c>
      <c r="G1236" s="3" t="s">
        <v>75</v>
      </c>
      <c r="H1236" s="2" t="s">
        <v>22</v>
      </c>
      <c r="I1236" s="2" t="s">
        <v>3227</v>
      </c>
      <c r="J1236" s="3" t="str">
        <f>HYPERLINK("https://www.boe.es/gazeta/dias/1834/08/22/pdfs/GMD-1834-188.pdf#page=4","Abrir facsímil")</f>
        <v>Abrir facsímil</v>
      </c>
      <c r="K1236" s="3" t="s">
        <v>24</v>
      </c>
    </row>
    <row r="1237" spans="1:11" ht="54" customHeight="1">
      <c r="A1237" s="2" t="s">
        <v>3228</v>
      </c>
      <c r="B1237" s="2" t="s">
        <v>3229</v>
      </c>
      <c r="C1237" s="2" t="s">
        <v>90</v>
      </c>
      <c r="D1237" s="2" t="s">
        <v>18</v>
      </c>
      <c r="E1237" s="5" t="s">
        <v>2278</v>
      </c>
      <c r="F1237" s="3" t="s">
        <v>2279</v>
      </c>
      <c r="G1237" s="3" t="s">
        <v>34</v>
      </c>
      <c r="H1237" s="2" t="s">
        <v>35</v>
      </c>
      <c r="I1237" s="2" t="s">
        <v>3230</v>
      </c>
      <c r="J1237" s="3" t="str">
        <f>HYPERLINK("https://www.boe.es/gazeta/dias/1834/12/17/pdfs/GMD-C-1834-306.pdf#page=1","Abrir facsímil")</f>
        <v>Abrir facsímil</v>
      </c>
      <c r="K1237" s="3" t="s">
        <v>37</v>
      </c>
    </row>
    <row r="1238" spans="1:11" ht="54" customHeight="1">
      <c r="A1238" s="2" t="s">
        <v>3231</v>
      </c>
      <c r="B1238" s="2" t="s">
        <v>3232</v>
      </c>
      <c r="C1238" s="2" t="s">
        <v>17</v>
      </c>
      <c r="D1238" s="2" t="s">
        <v>18</v>
      </c>
      <c r="E1238" s="5" t="s">
        <v>1674</v>
      </c>
      <c r="F1238" s="3" t="s">
        <v>3233</v>
      </c>
      <c r="G1238" s="3" t="s">
        <v>86</v>
      </c>
      <c r="H1238" s="2" t="s">
        <v>22</v>
      </c>
      <c r="I1238" s="2" t="s">
        <v>3234</v>
      </c>
      <c r="J1238" s="3" t="str">
        <f>HYPERLINK("https://www.boe.es/gazeta/dias/1834/07/25/pdfs/GMD-C-1834-158.pdf#page=2","Abrir facsímil")</f>
        <v>Abrir facsímil</v>
      </c>
      <c r="K1238" s="3" t="s">
        <v>24</v>
      </c>
    </row>
    <row r="1239" spans="1:11" ht="54" customHeight="1">
      <c r="A1239" s="2" t="s">
        <v>3235</v>
      </c>
      <c r="B1239" s="2" t="s">
        <v>3236</v>
      </c>
      <c r="C1239" s="2" t="s">
        <v>90</v>
      </c>
      <c r="D1239" s="2" t="s">
        <v>18</v>
      </c>
      <c r="E1239" s="5" t="s">
        <v>2278</v>
      </c>
      <c r="F1239" s="3" t="s">
        <v>2279</v>
      </c>
      <c r="G1239" s="3" t="s">
        <v>34</v>
      </c>
      <c r="H1239" s="2" t="s">
        <v>22</v>
      </c>
      <c r="I1239" s="2" t="s">
        <v>3237</v>
      </c>
      <c r="J1239" s="3" t="str">
        <f>HYPERLINK("https://www.boe.es/gazeta/dias/1834/12/17/pdfs/GMD-C-1834-306.pdf#page=1","Abrir facsímil")</f>
        <v>Abrir facsímil</v>
      </c>
      <c r="K1239" s="3" t="s">
        <v>24</v>
      </c>
    </row>
    <row r="1240" spans="1:11" ht="54" customHeight="1">
      <c r="A1240" s="2" t="s">
        <v>3238</v>
      </c>
      <c r="B1240" s="2" t="s">
        <v>3238</v>
      </c>
      <c r="C1240" s="2" t="s">
        <v>17</v>
      </c>
      <c r="D1240" s="2" t="s">
        <v>55</v>
      </c>
      <c r="E1240" s="5" t="s">
        <v>441</v>
      </c>
      <c r="F1240" s="3" t="s">
        <v>442</v>
      </c>
      <c r="G1240" s="3" t="s">
        <v>86</v>
      </c>
      <c r="H1240" s="2" t="s">
        <v>22</v>
      </c>
      <c r="I1240" s="2" t="s">
        <v>3239</v>
      </c>
      <c r="J1240" s="3" t="str">
        <f>HYPERLINK("https://www.boe.es/gazeta/dias/1834/11/10/pdfs/GMD-1834-269.pdf#page=2","Abrir facsímil")</f>
        <v>Abrir facsímil</v>
      </c>
      <c r="K1240" s="3" t="s">
        <v>24</v>
      </c>
    </row>
    <row r="1241" spans="1:11" ht="54" customHeight="1">
      <c r="A1241" s="2" t="s">
        <v>3238</v>
      </c>
      <c r="B1241" s="2" t="s">
        <v>3238</v>
      </c>
      <c r="C1241" s="2" t="s">
        <v>17</v>
      </c>
      <c r="D1241" s="2" t="s">
        <v>18</v>
      </c>
      <c r="E1241" s="5" t="s">
        <v>441</v>
      </c>
      <c r="F1241" s="3" t="s">
        <v>442</v>
      </c>
      <c r="G1241" s="3" t="s">
        <v>21</v>
      </c>
      <c r="H1241" s="2" t="s">
        <v>22</v>
      </c>
      <c r="I1241" s="2" t="s">
        <v>3240</v>
      </c>
      <c r="J1241" s="3" t="str">
        <f>HYPERLINK("https://www.boe.es/gazeta/dias/1834/11/10/pdfs/GMD-1834-269.pdf#page=3","Abrir facsímil")</f>
        <v>Abrir facsímil</v>
      </c>
      <c r="K1241" s="3" t="s">
        <v>24</v>
      </c>
    </row>
    <row r="1242" spans="1:11" ht="54" customHeight="1">
      <c r="A1242" s="2" t="s">
        <v>3241</v>
      </c>
      <c r="B1242" s="2" t="s">
        <v>3242</v>
      </c>
      <c r="C1242" s="2" t="s">
        <v>17</v>
      </c>
      <c r="D1242" s="2" t="s">
        <v>18</v>
      </c>
      <c r="E1242" s="5" t="s">
        <v>1084</v>
      </c>
      <c r="F1242" s="3" t="s">
        <v>1085</v>
      </c>
      <c r="G1242" s="3" t="s">
        <v>28</v>
      </c>
      <c r="H1242" s="2" t="s">
        <v>22</v>
      </c>
      <c r="I1242" s="2" t="s">
        <v>3243</v>
      </c>
      <c r="J1242" s="3" t="str">
        <f>HYPERLINK("https://www.boe.es/gazeta/dias/1834/05/01/pdfs/GMD-1834-70.pdf#page=5","Abrir facsímil")</f>
        <v>Abrir facsímil</v>
      </c>
      <c r="K1242" s="3" t="s">
        <v>24</v>
      </c>
    </row>
    <row r="1243" spans="1:11" ht="54" customHeight="1">
      <c r="A1243" s="2" t="s">
        <v>3244</v>
      </c>
      <c r="B1243" s="2" t="s">
        <v>3244</v>
      </c>
      <c r="C1243" s="2" t="s">
        <v>17</v>
      </c>
      <c r="D1243" s="2" t="s">
        <v>18</v>
      </c>
      <c r="E1243" s="5" t="s">
        <v>1094</v>
      </c>
      <c r="F1243" s="3" t="s">
        <v>1095</v>
      </c>
      <c r="G1243" s="3" t="s">
        <v>21</v>
      </c>
      <c r="H1243" s="2" t="s">
        <v>22</v>
      </c>
      <c r="I1243" s="2" t="s">
        <v>3245</v>
      </c>
      <c r="J1243" s="3" t="str">
        <f>HYPERLINK("https://www.boe.es/gazeta/dias/1834/07/13/pdfs/GMD-1834-146.pdf#page=3","Abrir facsímil")</f>
        <v>Abrir facsímil</v>
      </c>
      <c r="K1243" s="3" t="s">
        <v>24</v>
      </c>
    </row>
    <row r="1244" spans="1:11" ht="54" customHeight="1">
      <c r="A1244" s="2" t="s">
        <v>3246</v>
      </c>
      <c r="B1244" s="2" t="s">
        <v>3246</v>
      </c>
      <c r="C1244" s="2" t="s">
        <v>17</v>
      </c>
      <c r="D1244" s="2" t="s">
        <v>18</v>
      </c>
      <c r="E1244" s="5" t="s">
        <v>863</v>
      </c>
      <c r="F1244" s="3" t="s">
        <v>864</v>
      </c>
      <c r="G1244" s="3" t="s">
        <v>86</v>
      </c>
      <c r="H1244" s="2" t="s">
        <v>22</v>
      </c>
      <c r="I1244" s="2" t="s">
        <v>3247</v>
      </c>
      <c r="J1244" s="3" t="str">
        <f>HYPERLINK("https://www.boe.es/gazeta/dias/1834/09/15/pdfs/GMD-1834-213.pdf#page=2","Abrir facsímil")</f>
        <v>Abrir facsímil</v>
      </c>
      <c r="K1244" s="3" t="s">
        <v>24</v>
      </c>
    </row>
    <row r="1245" spans="1:11" ht="54" customHeight="1">
      <c r="A1245" s="2" t="s">
        <v>3246</v>
      </c>
      <c r="B1245" s="2" t="s">
        <v>3246</v>
      </c>
      <c r="C1245" s="2" t="s">
        <v>17</v>
      </c>
      <c r="D1245" s="2" t="s">
        <v>18</v>
      </c>
      <c r="E1245" s="5" t="s">
        <v>3248</v>
      </c>
      <c r="F1245" s="3" t="s">
        <v>3249</v>
      </c>
      <c r="G1245" s="3" t="s">
        <v>21</v>
      </c>
      <c r="H1245" s="2" t="s">
        <v>22</v>
      </c>
      <c r="I1245" s="2" t="s">
        <v>3250</v>
      </c>
      <c r="J1245" s="3" t="str">
        <f>HYPERLINK("https://www.boe.es/gazeta/dias/1834/09/20/pdfs/GMD-1834-218.pdf#page=3","Abrir facsímil")</f>
        <v>Abrir facsímil</v>
      </c>
      <c r="K1245" s="3" t="s">
        <v>24</v>
      </c>
    </row>
    <row r="1246" spans="1:11" ht="54" customHeight="1">
      <c r="A1246" s="2" t="s">
        <v>3251</v>
      </c>
      <c r="B1246" s="2" t="s">
        <v>3252</v>
      </c>
      <c r="C1246" s="2" t="s">
        <v>17</v>
      </c>
      <c r="D1246" s="2" t="s">
        <v>18</v>
      </c>
      <c r="E1246" s="5" t="s">
        <v>1125</v>
      </c>
      <c r="F1246" s="3" t="s">
        <v>1126</v>
      </c>
      <c r="G1246" s="3" t="s">
        <v>34</v>
      </c>
      <c r="H1246" s="2" t="s">
        <v>22</v>
      </c>
      <c r="I1246" s="2" t="s">
        <v>3253</v>
      </c>
      <c r="J1246" s="3" t="str">
        <f>HYPERLINK("https://www.boe.es/gazeta/dias/1834/04/17/pdfs/GMD-C-1834-56.pdf#page=1","Abrir facsímil")</f>
        <v>Abrir facsímil</v>
      </c>
      <c r="K1246" s="3" t="s">
        <v>24</v>
      </c>
    </row>
    <row r="1247" spans="1:11" ht="54" customHeight="1">
      <c r="A1247" s="2" t="s">
        <v>3254</v>
      </c>
      <c r="B1247" s="2" t="s">
        <v>3255</v>
      </c>
      <c r="C1247" s="2" t="s">
        <v>17</v>
      </c>
      <c r="D1247" s="2" t="s">
        <v>55</v>
      </c>
      <c r="E1247" s="5" t="s">
        <v>3225</v>
      </c>
      <c r="F1247" s="3" t="s">
        <v>3226</v>
      </c>
      <c r="G1247" s="3" t="s">
        <v>21</v>
      </c>
      <c r="H1247" s="2" t="s">
        <v>35</v>
      </c>
      <c r="I1247" s="2" t="s">
        <v>3256</v>
      </c>
      <c r="J1247" s="3" t="str">
        <f>HYPERLINK("https://www.boe.es/gazeta/dias/1834/08/22/pdfs/GMD-1834-188.pdf#page=3","Abrir facsímil")</f>
        <v>Abrir facsímil</v>
      </c>
      <c r="K1247" s="3" t="s">
        <v>37</v>
      </c>
    </row>
    <row r="1248" spans="1:11" ht="54" customHeight="1">
      <c r="A1248" s="2" t="s">
        <v>3254</v>
      </c>
      <c r="B1248" s="2" t="s">
        <v>3255</v>
      </c>
      <c r="C1248" s="2" t="s">
        <v>66</v>
      </c>
      <c r="D1248" s="2" t="s">
        <v>67</v>
      </c>
      <c r="E1248" s="5" t="s">
        <v>378</v>
      </c>
      <c r="F1248" s="3" t="s">
        <v>379</v>
      </c>
      <c r="G1248" s="3" t="s">
        <v>75</v>
      </c>
      <c r="H1248" s="2" t="s">
        <v>35</v>
      </c>
      <c r="I1248" s="2" t="s">
        <v>3257</v>
      </c>
      <c r="J1248" s="3" t="str">
        <f>HYPERLINK("https://www.boe.es/gazeta/dias/1834/09/24/pdfs/GMD-1834-222.pdf#page=4","Abrir facsímil")</f>
        <v>Abrir facsímil</v>
      </c>
      <c r="K1248" s="3" t="s">
        <v>37</v>
      </c>
    </row>
    <row r="1249" spans="1:11" ht="54" customHeight="1">
      <c r="A1249" s="2" t="s">
        <v>3258</v>
      </c>
      <c r="B1249" s="2" t="s">
        <v>3259</v>
      </c>
      <c r="C1249" s="2" t="s">
        <v>66</v>
      </c>
      <c r="D1249" s="2" t="s">
        <v>67</v>
      </c>
      <c r="E1249" s="5" t="s">
        <v>1572</v>
      </c>
      <c r="F1249" s="3" t="s">
        <v>1573</v>
      </c>
      <c r="G1249" s="3" t="s">
        <v>75</v>
      </c>
      <c r="H1249" s="2" t="s">
        <v>22</v>
      </c>
      <c r="I1249" s="2" t="s">
        <v>3260</v>
      </c>
      <c r="J1249" s="3" t="str">
        <f>HYPERLINK("https://www.boe.es/gazeta/dias/1834/03/20/pdfs/GMD-1834-35.pdf#page=4","Abrir facsímil")</f>
        <v>Abrir facsímil</v>
      </c>
      <c r="K1249" s="3" t="s">
        <v>24</v>
      </c>
    </row>
    <row r="1250" spans="1:11" ht="54" customHeight="1">
      <c r="A1250" s="2" t="s">
        <v>3261</v>
      </c>
      <c r="B1250" s="2" t="s">
        <v>3262</v>
      </c>
      <c r="C1250" s="2" t="s">
        <v>66</v>
      </c>
      <c r="D1250" s="2" t="s">
        <v>67</v>
      </c>
      <c r="E1250" s="5" t="s">
        <v>222</v>
      </c>
      <c r="F1250" s="3" t="s">
        <v>223</v>
      </c>
      <c r="G1250" s="3" t="s">
        <v>21</v>
      </c>
      <c r="H1250" s="2" t="s">
        <v>22</v>
      </c>
      <c r="I1250" s="2" t="s">
        <v>3263</v>
      </c>
      <c r="J1250" s="3" t="str">
        <f>HYPERLINK("https://www.boe.es/gazeta/dias/1834/09/14/pdfs/GMD-1834-212.pdf#page=3","Abrir facsímil")</f>
        <v>Abrir facsímil</v>
      </c>
      <c r="K1250" s="3" t="s">
        <v>24</v>
      </c>
    </row>
    <row r="1251" spans="1:11" ht="54" customHeight="1">
      <c r="A1251" s="2" t="s">
        <v>3261</v>
      </c>
      <c r="B1251" s="2" t="s">
        <v>3262</v>
      </c>
      <c r="C1251" s="2" t="s">
        <v>17</v>
      </c>
      <c r="D1251" s="2" t="s">
        <v>55</v>
      </c>
      <c r="E1251" s="5" t="s">
        <v>3225</v>
      </c>
      <c r="F1251" s="3" t="s">
        <v>3226</v>
      </c>
      <c r="G1251" s="3" t="s">
        <v>21</v>
      </c>
      <c r="H1251" s="2" t="s">
        <v>22</v>
      </c>
      <c r="I1251" s="2" t="s">
        <v>3264</v>
      </c>
      <c r="J1251" s="3" t="str">
        <f>HYPERLINK("https://www.boe.es/gazeta/dias/1834/08/22/pdfs/GMD-1834-188.pdf#page=3","Abrir facsímil")</f>
        <v>Abrir facsímil</v>
      </c>
      <c r="K1251" s="3" t="s">
        <v>24</v>
      </c>
    </row>
    <row r="1252" spans="1:11" ht="54" customHeight="1">
      <c r="A1252" s="2" t="s">
        <v>3261</v>
      </c>
      <c r="B1252" s="2" t="s">
        <v>3262</v>
      </c>
      <c r="C1252" s="2" t="s">
        <v>66</v>
      </c>
      <c r="D1252" s="2" t="s">
        <v>67</v>
      </c>
      <c r="E1252" s="5" t="s">
        <v>378</v>
      </c>
      <c r="F1252" s="3" t="s">
        <v>379</v>
      </c>
      <c r="G1252" s="3" t="s">
        <v>75</v>
      </c>
      <c r="H1252" s="2" t="s">
        <v>22</v>
      </c>
      <c r="I1252" s="2" t="s">
        <v>3265</v>
      </c>
      <c r="J1252" s="3" t="str">
        <f>HYPERLINK("https://www.boe.es/gazeta/dias/1834/09/24/pdfs/GMD-1834-222.pdf#page=4","Abrir facsímil")</f>
        <v>Abrir facsímil</v>
      </c>
      <c r="K1252" s="3" t="s">
        <v>24</v>
      </c>
    </row>
    <row r="1253" spans="1:11" ht="54" customHeight="1">
      <c r="A1253" s="2" t="s">
        <v>3266</v>
      </c>
      <c r="B1253" s="2" t="s">
        <v>3267</v>
      </c>
      <c r="C1253" s="2" t="s">
        <v>90</v>
      </c>
      <c r="D1253" s="2" t="s">
        <v>101</v>
      </c>
      <c r="E1253" s="5" t="s">
        <v>615</v>
      </c>
      <c r="F1253" s="3" t="s">
        <v>1205</v>
      </c>
      <c r="G1253" s="3" t="s">
        <v>34</v>
      </c>
      <c r="H1253" s="2" t="s">
        <v>22</v>
      </c>
      <c r="I1253" s="2" t="s">
        <v>3268</v>
      </c>
      <c r="J1253" s="3" t="str">
        <f>HYPERLINK("https://www.boe.es/gazeta/dias/1834/08/19/pdfs/GMD-C-1834-185.pdf#page=1","Abrir facsímil")</f>
        <v>Abrir facsímil</v>
      </c>
      <c r="K1253" s="3" t="s">
        <v>24</v>
      </c>
    </row>
    <row r="1254" spans="1:11" ht="54" customHeight="1">
      <c r="A1254" s="2" t="s">
        <v>3269</v>
      </c>
      <c r="B1254" s="2" t="s">
        <v>3270</v>
      </c>
      <c r="C1254" s="2" t="s">
        <v>122</v>
      </c>
      <c r="D1254" s="2" t="s">
        <v>101</v>
      </c>
      <c r="E1254" s="5" t="s">
        <v>1125</v>
      </c>
      <c r="F1254" s="3" t="s">
        <v>1126</v>
      </c>
      <c r="G1254" s="3" t="s">
        <v>34</v>
      </c>
      <c r="H1254" s="2" t="s">
        <v>22</v>
      </c>
      <c r="I1254" s="2" t="s">
        <v>3271</v>
      </c>
      <c r="J1254" s="3" t="str">
        <f>HYPERLINK("https://www.boe.es/gazeta/dias/1834/04/17/pdfs/GMD-C-1834-56.pdf#page=1","Abrir facsímil")</f>
        <v>Abrir facsímil</v>
      </c>
      <c r="K1254" s="3" t="s">
        <v>24</v>
      </c>
    </row>
    <row r="1255" spans="1:11" ht="54" customHeight="1">
      <c r="A1255" s="2" t="s">
        <v>3272</v>
      </c>
      <c r="B1255" s="2" t="s">
        <v>3273</v>
      </c>
      <c r="C1255" s="2" t="s">
        <v>90</v>
      </c>
      <c r="D1255" s="2" t="s">
        <v>101</v>
      </c>
      <c r="E1255" s="5" t="s">
        <v>653</v>
      </c>
      <c r="F1255" s="3" t="s">
        <v>654</v>
      </c>
      <c r="G1255" s="3" t="s">
        <v>21</v>
      </c>
      <c r="H1255" s="2" t="s">
        <v>35</v>
      </c>
      <c r="I1255" s="2" t="s">
        <v>3274</v>
      </c>
      <c r="J1255" s="3" t="str">
        <f>HYPERLINK("https://www.boe.es/gazeta/dias/1834/08/06/pdfs/GMD-C-1834-170.pdf#page=3","Abrir facsímil")</f>
        <v>Abrir facsímil</v>
      </c>
      <c r="K1255" s="3" t="s">
        <v>37</v>
      </c>
    </row>
    <row r="1256" spans="1:11" ht="54" customHeight="1">
      <c r="A1256" s="2" t="s">
        <v>3275</v>
      </c>
      <c r="B1256" s="2" t="s">
        <v>3276</v>
      </c>
      <c r="C1256" s="2" t="s">
        <v>90</v>
      </c>
      <c r="D1256" s="2" t="s">
        <v>101</v>
      </c>
      <c r="E1256" s="5" t="s">
        <v>653</v>
      </c>
      <c r="F1256" s="3" t="s">
        <v>654</v>
      </c>
      <c r="G1256" s="3" t="s">
        <v>21</v>
      </c>
      <c r="H1256" s="2" t="s">
        <v>22</v>
      </c>
      <c r="I1256" s="2" t="s">
        <v>3277</v>
      </c>
      <c r="J1256" s="3" t="str">
        <f>HYPERLINK("https://www.boe.es/gazeta/dias/1834/08/06/pdfs/GMD-C-1834-170.pdf#page=3","Abrir facsímil")</f>
        <v>Abrir facsímil</v>
      </c>
      <c r="K1256" s="3" t="s">
        <v>24</v>
      </c>
    </row>
    <row r="1257" spans="1:11" ht="54" customHeight="1">
      <c r="A1257" s="2" t="s">
        <v>3278</v>
      </c>
      <c r="B1257" s="2" t="s">
        <v>3279</v>
      </c>
      <c r="C1257" s="2" t="s">
        <v>90</v>
      </c>
      <c r="D1257" s="2" t="s">
        <v>18</v>
      </c>
      <c r="E1257" s="5" t="s">
        <v>299</v>
      </c>
      <c r="F1257" s="3" t="s">
        <v>300</v>
      </c>
      <c r="G1257" s="3" t="s">
        <v>21</v>
      </c>
      <c r="H1257" s="2" t="s">
        <v>22</v>
      </c>
      <c r="I1257" s="2" t="s">
        <v>3280</v>
      </c>
      <c r="J1257" s="3" t="str">
        <f>HYPERLINK("https://www.boe.es/gazeta/dias/1834/12/12/pdfs/GMD-1834-301.pdf#page=3","Abrir facsímil")</f>
        <v>Abrir facsímil</v>
      </c>
      <c r="K1257" s="3" t="s">
        <v>24</v>
      </c>
    </row>
    <row r="1258" spans="1:11" ht="54" customHeight="1">
      <c r="A1258" s="2" t="s">
        <v>3281</v>
      </c>
      <c r="B1258" s="2" t="s">
        <v>3281</v>
      </c>
      <c r="C1258" s="2" t="s">
        <v>90</v>
      </c>
      <c r="D1258" s="2" t="s">
        <v>18</v>
      </c>
      <c r="E1258" s="5" t="s">
        <v>3282</v>
      </c>
      <c r="F1258" s="3" t="s">
        <v>3283</v>
      </c>
      <c r="G1258" s="3" t="s">
        <v>75</v>
      </c>
      <c r="H1258" s="2" t="s">
        <v>22</v>
      </c>
      <c r="I1258" s="2" t="s">
        <v>3284</v>
      </c>
      <c r="J1258" s="3" t="str">
        <f>HYPERLINK("https://www.boe.es/gazeta/dias/1834/04/15/pdfs/GMD-1834-54.pdf#page=4","Abrir facsímil")</f>
        <v>Abrir facsímil</v>
      </c>
      <c r="K1258" s="3" t="s">
        <v>24</v>
      </c>
    </row>
    <row r="1259" spans="1:11" ht="54" customHeight="1">
      <c r="A1259" s="2" t="s">
        <v>3285</v>
      </c>
      <c r="B1259" s="2" t="s">
        <v>3285</v>
      </c>
      <c r="C1259" s="2" t="s">
        <v>17</v>
      </c>
      <c r="D1259" s="2" t="s">
        <v>40</v>
      </c>
      <c r="E1259" s="5" t="s">
        <v>729</v>
      </c>
      <c r="F1259" s="3" t="s">
        <v>730</v>
      </c>
      <c r="G1259" s="3" t="s">
        <v>75</v>
      </c>
      <c r="H1259" s="2" t="s">
        <v>22</v>
      </c>
      <c r="I1259" s="2" t="s">
        <v>3286</v>
      </c>
      <c r="J1259" s="3" t="str">
        <f>HYPERLINK("https://www.boe.es/gazeta/dias/1834/04/13/pdfs/GMD-1834-52.pdf#page=4","Abrir facsímil")</f>
        <v>Abrir facsímil</v>
      </c>
      <c r="K1259" s="3" t="s">
        <v>24</v>
      </c>
    </row>
    <row r="1260" spans="1:11" ht="54" customHeight="1">
      <c r="A1260" s="2" t="s">
        <v>3285</v>
      </c>
      <c r="B1260" s="2" t="s">
        <v>3285</v>
      </c>
      <c r="C1260" s="2" t="s">
        <v>90</v>
      </c>
      <c r="D1260" s="2" t="s">
        <v>18</v>
      </c>
      <c r="E1260" s="5" t="s">
        <v>3282</v>
      </c>
      <c r="F1260" s="3" t="s">
        <v>3283</v>
      </c>
      <c r="G1260" s="3" t="s">
        <v>75</v>
      </c>
      <c r="H1260" s="2" t="s">
        <v>22</v>
      </c>
      <c r="I1260" s="2" t="s">
        <v>3287</v>
      </c>
      <c r="J1260" s="3" t="str">
        <f>HYPERLINK("https://www.boe.es/gazeta/dias/1834/04/15/pdfs/GMD-1834-54.pdf#page=4","Abrir facsímil")</f>
        <v>Abrir facsímil</v>
      </c>
      <c r="K1260" s="3" t="s">
        <v>24</v>
      </c>
    </row>
    <row r="1261" spans="1:11" ht="54" customHeight="1">
      <c r="A1261" s="2" t="s">
        <v>3285</v>
      </c>
      <c r="B1261" s="2" t="s">
        <v>3285</v>
      </c>
      <c r="C1261" s="2" t="s">
        <v>17</v>
      </c>
      <c r="D1261" s="2" t="s">
        <v>18</v>
      </c>
      <c r="E1261" s="5" t="s">
        <v>375</v>
      </c>
      <c r="F1261" s="3" t="s">
        <v>376</v>
      </c>
      <c r="G1261" s="3" t="s">
        <v>86</v>
      </c>
      <c r="H1261" s="2" t="s">
        <v>22</v>
      </c>
      <c r="I1261" s="2" t="s">
        <v>3288</v>
      </c>
      <c r="J1261" s="3" t="str">
        <f>HYPERLINK("https://www.boe.es/gazeta/dias/1834/08/21/pdfs/GMD-1834-187.pdf#page=2","Abrir facsímil")</f>
        <v>Abrir facsímil</v>
      </c>
      <c r="K1261" s="3" t="s">
        <v>24</v>
      </c>
    </row>
    <row r="1262" spans="1:11" ht="54" customHeight="1">
      <c r="A1262" s="2" t="s">
        <v>3289</v>
      </c>
      <c r="B1262" s="2" t="s">
        <v>3290</v>
      </c>
      <c r="C1262" s="2" t="s">
        <v>17</v>
      </c>
      <c r="D1262" s="2" t="s">
        <v>18</v>
      </c>
      <c r="E1262" s="5" t="s">
        <v>1234</v>
      </c>
      <c r="F1262" s="3" t="s">
        <v>1235</v>
      </c>
      <c r="G1262" s="3" t="s">
        <v>34</v>
      </c>
      <c r="H1262" s="2" t="s">
        <v>22</v>
      </c>
      <c r="I1262" s="2" t="s">
        <v>3291</v>
      </c>
      <c r="J1262" s="3" t="str">
        <f>HYPERLINK("https://www.boe.es/gazeta/dias/1834/05/15/pdfs/GMD-C-1834-84.pdf#page=1","Abrir facsímil")</f>
        <v>Abrir facsímil</v>
      </c>
      <c r="K1262" s="3" t="s">
        <v>24</v>
      </c>
    </row>
    <row r="1263" spans="1:11" ht="54" customHeight="1">
      <c r="A1263" s="2" t="s">
        <v>3289</v>
      </c>
      <c r="B1263" s="2" t="s">
        <v>3290</v>
      </c>
      <c r="C1263" s="2" t="s">
        <v>66</v>
      </c>
      <c r="D1263" s="2" t="s">
        <v>67</v>
      </c>
      <c r="E1263" s="5" t="s">
        <v>375</v>
      </c>
      <c r="F1263" s="3" t="s">
        <v>376</v>
      </c>
      <c r="G1263" s="3" t="s">
        <v>86</v>
      </c>
      <c r="H1263" s="2" t="s">
        <v>22</v>
      </c>
      <c r="I1263" s="2" t="s">
        <v>3292</v>
      </c>
      <c r="J1263" s="3" t="str">
        <f>HYPERLINK("https://www.boe.es/gazeta/dias/1834/08/21/pdfs/GMD-1834-187.pdf#page=2","Abrir facsímil")</f>
        <v>Abrir facsímil</v>
      </c>
      <c r="K1263" s="3" t="s">
        <v>24</v>
      </c>
    </row>
    <row r="1264" spans="1:11" ht="54" customHeight="1">
      <c r="A1264" s="2" t="s">
        <v>3293</v>
      </c>
      <c r="B1264" s="2" t="s">
        <v>3294</v>
      </c>
      <c r="C1264" s="2" t="s">
        <v>17</v>
      </c>
      <c r="D1264" s="2" t="s">
        <v>18</v>
      </c>
      <c r="E1264" s="5" t="s">
        <v>1234</v>
      </c>
      <c r="F1264" s="3" t="s">
        <v>1235</v>
      </c>
      <c r="G1264" s="3" t="s">
        <v>34</v>
      </c>
      <c r="H1264" s="2" t="s">
        <v>35</v>
      </c>
      <c r="I1264" s="2" t="s">
        <v>3295</v>
      </c>
      <c r="J1264" s="3" t="str">
        <f>HYPERLINK("https://www.boe.es/gazeta/dias/1834/05/15/pdfs/GMD-C-1834-84.pdf#page=1","Abrir facsímil")</f>
        <v>Abrir facsímil</v>
      </c>
      <c r="K1264" s="3" t="s">
        <v>37</v>
      </c>
    </row>
    <row r="1265" spans="1:11" ht="54" customHeight="1">
      <c r="A1265" s="2" t="s">
        <v>3296</v>
      </c>
      <c r="B1265" s="2" t="s">
        <v>3296</v>
      </c>
      <c r="C1265" s="2" t="s">
        <v>46</v>
      </c>
      <c r="D1265" s="2" t="s">
        <v>101</v>
      </c>
      <c r="E1265" s="5" t="s">
        <v>1125</v>
      </c>
      <c r="F1265" s="3" t="s">
        <v>2490</v>
      </c>
      <c r="G1265" s="3" t="s">
        <v>560</v>
      </c>
      <c r="H1265" s="2" t="s">
        <v>22</v>
      </c>
      <c r="I1265" s="2" t="s">
        <v>3297</v>
      </c>
      <c r="J1265" s="3" t="str">
        <f>HYPERLINK("https://www.boe.es/gazeta/dias/1834/04/17/pdfs/GMD-1834-56.pdf#page=7","Abrir facsímil")</f>
        <v>Abrir facsímil</v>
      </c>
      <c r="K1265" s="3" t="s">
        <v>24</v>
      </c>
    </row>
    <row r="1266" spans="1:11" ht="54" customHeight="1">
      <c r="A1266" s="2" t="s">
        <v>3298</v>
      </c>
      <c r="B1266" s="2" t="s">
        <v>3299</v>
      </c>
      <c r="C1266" s="2" t="s">
        <v>17</v>
      </c>
      <c r="D1266" s="2" t="s">
        <v>18</v>
      </c>
      <c r="E1266" s="5" t="s">
        <v>1340</v>
      </c>
      <c r="F1266" s="3" t="s">
        <v>3300</v>
      </c>
      <c r="G1266" s="3" t="s">
        <v>21</v>
      </c>
      <c r="H1266" s="2" t="s">
        <v>22</v>
      </c>
      <c r="I1266" s="2" t="s">
        <v>3301</v>
      </c>
      <c r="J1266" s="3" t="str">
        <f>HYPERLINK("https://www.boe.es/gazeta/dias/1834/10/05/pdfs/GMD-1834-233.pdf#page=3","Abrir facsímil")</f>
        <v>Abrir facsímil</v>
      </c>
      <c r="K1266" s="3" t="s">
        <v>24</v>
      </c>
    </row>
    <row r="1267" spans="1:11" ht="54" customHeight="1">
      <c r="A1267" s="2" t="s">
        <v>3302</v>
      </c>
      <c r="B1267" s="2" t="s">
        <v>3302</v>
      </c>
      <c r="C1267" s="2" t="s">
        <v>17</v>
      </c>
      <c r="D1267" s="2" t="s">
        <v>18</v>
      </c>
      <c r="E1267" s="5" t="s">
        <v>1812</v>
      </c>
      <c r="F1267" s="3" t="s">
        <v>1813</v>
      </c>
      <c r="G1267" s="3" t="s">
        <v>75</v>
      </c>
      <c r="H1267" s="2" t="s">
        <v>22</v>
      </c>
      <c r="I1267" s="2" t="s">
        <v>3303</v>
      </c>
      <c r="J1267" s="3" t="str">
        <f>HYPERLINK("https://www.boe.es/gazeta/dias/1834/10/23/pdfs/GMD-1834-251.pdf#page=4","Abrir facsímil")</f>
        <v>Abrir facsímil</v>
      </c>
      <c r="K1267" s="3" t="s">
        <v>24</v>
      </c>
    </row>
    <row r="1268" spans="1:11" ht="54" customHeight="1">
      <c r="A1268" s="2" t="s">
        <v>3304</v>
      </c>
      <c r="B1268" s="2" t="s">
        <v>3305</v>
      </c>
      <c r="C1268" s="2" t="s">
        <v>17</v>
      </c>
      <c r="D1268" s="2" t="s">
        <v>18</v>
      </c>
      <c r="E1268" s="5" t="s">
        <v>3306</v>
      </c>
      <c r="F1268" s="3" t="s">
        <v>3307</v>
      </c>
      <c r="G1268" s="3" t="s">
        <v>86</v>
      </c>
      <c r="H1268" s="2" t="s">
        <v>22</v>
      </c>
      <c r="I1268" s="2" t="s">
        <v>3308</v>
      </c>
      <c r="J1268" s="3" t="str">
        <f>HYPERLINK("https://www.boe.es/gazeta/dias/1834/05/07/pdfs/GMD-1834-76.pdf#page=2","Abrir facsímil")</f>
        <v>Abrir facsímil</v>
      </c>
      <c r="K1268" s="3" t="s">
        <v>24</v>
      </c>
    </row>
    <row r="1269" spans="1:11" ht="54" customHeight="1">
      <c r="A1269" s="2" t="s">
        <v>3309</v>
      </c>
      <c r="B1269" s="2" t="s">
        <v>3310</v>
      </c>
      <c r="C1269" s="2" t="s">
        <v>17</v>
      </c>
      <c r="D1269" s="2" t="s">
        <v>18</v>
      </c>
      <c r="E1269" s="5" t="s">
        <v>905</v>
      </c>
      <c r="F1269" s="3" t="s">
        <v>1651</v>
      </c>
      <c r="G1269" s="3" t="s">
        <v>21</v>
      </c>
      <c r="H1269" s="2" t="s">
        <v>35</v>
      </c>
      <c r="I1269" s="2" t="s">
        <v>3311</v>
      </c>
      <c r="J1269" s="3" t="str">
        <f>HYPERLINK("https://www.boe.es/gazeta/dias/1834/08/02/pdfs/GMD-1834-166.pdf#page=3","Abrir facsímil")</f>
        <v>Abrir facsímil</v>
      </c>
      <c r="K1269" s="3" t="s">
        <v>37</v>
      </c>
    </row>
    <row r="1270" spans="1:11" ht="54" customHeight="1">
      <c r="A1270" s="2" t="s">
        <v>3312</v>
      </c>
      <c r="B1270" s="2" t="s">
        <v>3313</v>
      </c>
      <c r="C1270" s="2" t="s">
        <v>17</v>
      </c>
      <c r="D1270" s="2" t="s">
        <v>18</v>
      </c>
      <c r="E1270" s="5" t="s">
        <v>905</v>
      </c>
      <c r="F1270" s="3" t="s">
        <v>1651</v>
      </c>
      <c r="G1270" s="3" t="s">
        <v>21</v>
      </c>
      <c r="H1270" s="2" t="s">
        <v>35</v>
      </c>
      <c r="I1270" s="2" t="s">
        <v>3314</v>
      </c>
      <c r="J1270" s="3" t="str">
        <f>HYPERLINK("https://www.boe.es/gazeta/dias/1834/08/02/pdfs/GMD-1834-166.pdf#page=3","Abrir facsímil")</f>
        <v>Abrir facsímil</v>
      </c>
      <c r="K1270" s="3" t="s">
        <v>37</v>
      </c>
    </row>
    <row r="1271" spans="1:11" ht="54" customHeight="1">
      <c r="A1271" s="2" t="s">
        <v>3315</v>
      </c>
      <c r="B1271" s="2" t="s">
        <v>3316</v>
      </c>
      <c r="C1271" s="2" t="s">
        <v>66</v>
      </c>
      <c r="D1271" s="2" t="s">
        <v>67</v>
      </c>
      <c r="E1271" s="5" t="s">
        <v>1103</v>
      </c>
      <c r="F1271" s="3" t="s">
        <v>1259</v>
      </c>
      <c r="G1271" s="3" t="s">
        <v>21</v>
      </c>
      <c r="H1271" s="2" t="s">
        <v>22</v>
      </c>
      <c r="I1271" s="2" t="s">
        <v>3317</v>
      </c>
      <c r="J1271" s="3" t="str">
        <f>HYPERLINK("https://www.boe.es/gazeta/dias/1834/10/10/pdfs/GMD-1834-238.pdf#page=3","Abrir facsímil")</f>
        <v>Abrir facsímil</v>
      </c>
      <c r="K1271" s="3" t="s">
        <v>24</v>
      </c>
    </row>
    <row r="1272" spans="1:11" ht="54" customHeight="1">
      <c r="A1272" s="2" t="s">
        <v>3318</v>
      </c>
      <c r="B1272" s="2" t="s">
        <v>3318</v>
      </c>
      <c r="C1272" s="2" t="s">
        <v>17</v>
      </c>
      <c r="D1272" s="2" t="s">
        <v>18</v>
      </c>
      <c r="E1272" s="5" t="s">
        <v>304</v>
      </c>
      <c r="F1272" s="3" t="s">
        <v>305</v>
      </c>
      <c r="G1272" s="3" t="s">
        <v>28</v>
      </c>
      <c r="H1272" s="2" t="s">
        <v>22</v>
      </c>
      <c r="I1272" s="2" t="s">
        <v>3319</v>
      </c>
      <c r="J1272" s="3" t="str">
        <f>HYPERLINK("https://www.boe.es/gazeta/dias/1834/01/21/pdfs/GMD-1834-10.pdf#page=5","Abrir facsímil")</f>
        <v>Abrir facsímil</v>
      </c>
      <c r="K1272" s="3" t="s">
        <v>24</v>
      </c>
    </row>
    <row r="1273" spans="1:11" ht="54" customHeight="1">
      <c r="A1273" s="2" t="s">
        <v>3320</v>
      </c>
      <c r="B1273" s="2" t="s">
        <v>3321</v>
      </c>
      <c r="C1273" s="2" t="s">
        <v>17</v>
      </c>
      <c r="D1273" s="2" t="s">
        <v>18</v>
      </c>
      <c r="E1273" s="5" t="s">
        <v>1017</v>
      </c>
      <c r="F1273" s="3" t="s">
        <v>1018</v>
      </c>
      <c r="G1273" s="3" t="s">
        <v>75</v>
      </c>
      <c r="H1273" s="2" t="s">
        <v>22</v>
      </c>
      <c r="I1273" s="2" t="s">
        <v>3322</v>
      </c>
      <c r="J1273" s="3" t="str">
        <f>HYPERLINK("https://www.boe.es/gazeta/dias/1834/07/24/pdfs/GMD-1834-157.pdf#page=4","Abrir facsímil")</f>
        <v>Abrir facsímil</v>
      </c>
      <c r="K1273" s="3" t="s">
        <v>24</v>
      </c>
    </row>
    <row r="1274" spans="1:11" ht="54" customHeight="1">
      <c r="A1274" s="2" t="s">
        <v>3323</v>
      </c>
      <c r="B1274" s="2" t="s">
        <v>3324</v>
      </c>
      <c r="C1274" s="2" t="s">
        <v>66</v>
      </c>
      <c r="D1274" s="2" t="s">
        <v>67</v>
      </c>
      <c r="E1274" s="5" t="s">
        <v>133</v>
      </c>
      <c r="F1274" s="3" t="s">
        <v>134</v>
      </c>
      <c r="G1274" s="3" t="s">
        <v>34</v>
      </c>
      <c r="H1274" s="2" t="s">
        <v>22</v>
      </c>
      <c r="I1274" s="2" t="s">
        <v>3325</v>
      </c>
      <c r="J1274" s="3" t="str">
        <f>HYPERLINK("https://www.boe.es/gazeta/dias/1834/06/18/pdfs/GMD-1834-121.pdf#page=1","Abrir facsímil")</f>
        <v>Abrir facsímil</v>
      </c>
      <c r="K1274" s="3" t="s">
        <v>24</v>
      </c>
    </row>
    <row r="1275" spans="1:11" ht="54" customHeight="1">
      <c r="A1275" s="2" t="s">
        <v>3326</v>
      </c>
      <c r="B1275" s="2" t="s">
        <v>3327</v>
      </c>
      <c r="C1275" s="2" t="s">
        <v>17</v>
      </c>
      <c r="D1275" s="2" t="s">
        <v>55</v>
      </c>
      <c r="E1275" s="5" t="s">
        <v>3328</v>
      </c>
      <c r="F1275" s="3" t="s">
        <v>3329</v>
      </c>
      <c r="G1275" s="3" t="s">
        <v>21</v>
      </c>
      <c r="H1275" s="2" t="s">
        <v>22</v>
      </c>
      <c r="I1275" s="2" t="s">
        <v>3330</v>
      </c>
      <c r="J1275" s="3" t="str">
        <f>HYPERLINK("https://www.boe.es/gazeta/dias/1834/06/04/pdfs/GMD-1834-106.pdf#page=3","Abrir facsímil")</f>
        <v>Abrir facsímil</v>
      </c>
      <c r="K1275" s="3" t="s">
        <v>24</v>
      </c>
    </row>
    <row r="1276" spans="1:11" ht="54" customHeight="1">
      <c r="A1276" s="2" t="s">
        <v>3331</v>
      </c>
      <c r="B1276" s="2" t="s">
        <v>3332</v>
      </c>
      <c r="C1276" s="2" t="s">
        <v>17</v>
      </c>
      <c r="D1276" s="2" t="s">
        <v>18</v>
      </c>
      <c r="E1276" s="5" t="s">
        <v>280</v>
      </c>
      <c r="F1276" s="3" t="s">
        <v>3217</v>
      </c>
      <c r="G1276" s="3" t="s">
        <v>21</v>
      </c>
      <c r="H1276" s="2" t="s">
        <v>22</v>
      </c>
      <c r="I1276" s="2" t="s">
        <v>3333</v>
      </c>
      <c r="J1276" s="3" t="str">
        <f>HYPERLINK("https://www.boe.es/gazeta/dias/1834/08/29/pdfs/GMD-1834-195.pdf#page=3","Abrir facsímil")</f>
        <v>Abrir facsímil</v>
      </c>
      <c r="K1276" s="3" t="s">
        <v>24</v>
      </c>
    </row>
    <row r="1277" spans="1:11" ht="54" customHeight="1">
      <c r="A1277" s="2" t="s">
        <v>3334</v>
      </c>
      <c r="B1277" s="2" t="s">
        <v>3334</v>
      </c>
      <c r="C1277" s="2" t="s">
        <v>66</v>
      </c>
      <c r="D1277" s="2" t="s">
        <v>67</v>
      </c>
      <c r="E1277" s="5" t="s">
        <v>330</v>
      </c>
      <c r="F1277" s="3" t="s">
        <v>331</v>
      </c>
      <c r="G1277" s="3" t="s">
        <v>21</v>
      </c>
      <c r="H1277" s="2" t="s">
        <v>22</v>
      </c>
      <c r="I1277" s="2" t="s">
        <v>3335</v>
      </c>
      <c r="J1277" s="3" t="str">
        <f>HYPERLINK("https://www.boe.es/gazeta/dias/1834/12/03/pdfs/GMD-1834-292.pdf#page=3","Abrir facsímil")</f>
        <v>Abrir facsímil</v>
      </c>
      <c r="K1277" s="3" t="s">
        <v>24</v>
      </c>
    </row>
    <row r="1278" spans="1:11" ht="54" customHeight="1">
      <c r="A1278" s="2" t="s">
        <v>3336</v>
      </c>
      <c r="B1278" s="2" t="s">
        <v>3337</v>
      </c>
      <c r="C1278" s="2" t="s">
        <v>17</v>
      </c>
      <c r="D1278" s="2" t="s">
        <v>18</v>
      </c>
      <c r="E1278" s="5" t="s">
        <v>928</v>
      </c>
      <c r="F1278" s="3" t="s">
        <v>3338</v>
      </c>
      <c r="G1278" s="3" t="s">
        <v>21</v>
      </c>
      <c r="H1278" s="2" t="s">
        <v>22</v>
      </c>
      <c r="I1278" s="2" t="s">
        <v>3339</v>
      </c>
      <c r="J1278" s="3" t="str">
        <f>HYPERLINK("https://www.boe.es/gazeta/dias/1834/11/15/pdfs/GMD-1834-274.pdf#page=3","Abrir facsímil")</f>
        <v>Abrir facsímil</v>
      </c>
      <c r="K1278" s="3" t="s">
        <v>24</v>
      </c>
    </row>
    <row r="1279" spans="1:11" ht="54" customHeight="1">
      <c r="A1279" s="2" t="s">
        <v>3340</v>
      </c>
      <c r="B1279" s="2" t="s">
        <v>3341</v>
      </c>
      <c r="C1279" s="2" t="s">
        <v>90</v>
      </c>
      <c r="D1279" s="2" t="s">
        <v>67</v>
      </c>
      <c r="E1279" s="5" t="s">
        <v>138</v>
      </c>
      <c r="F1279" s="3" t="s">
        <v>139</v>
      </c>
      <c r="G1279" s="3" t="s">
        <v>34</v>
      </c>
      <c r="H1279" s="2" t="s">
        <v>22</v>
      </c>
      <c r="I1279" s="2" t="s">
        <v>3342</v>
      </c>
      <c r="J1279" s="3" t="str">
        <f>HYPERLINK("https://www.boe.es/gazeta/dias/1834/05/17/pdfs/GMD-1834-86.pdf#page=1","Abrir facsímil")</f>
        <v>Abrir facsímil</v>
      </c>
      <c r="K1279" s="3" t="s">
        <v>24</v>
      </c>
    </row>
    <row r="1280" spans="1:11" ht="54" customHeight="1">
      <c r="A1280" s="2" t="s">
        <v>3343</v>
      </c>
      <c r="B1280" s="2" t="s">
        <v>3343</v>
      </c>
      <c r="C1280" s="2" t="s">
        <v>17</v>
      </c>
      <c r="D1280" s="2" t="s">
        <v>55</v>
      </c>
      <c r="E1280" s="5" t="s">
        <v>255</v>
      </c>
      <c r="F1280" s="3" t="s">
        <v>2368</v>
      </c>
      <c r="G1280" s="3" t="s">
        <v>86</v>
      </c>
      <c r="H1280" s="2" t="s">
        <v>22</v>
      </c>
      <c r="I1280" s="2" t="s">
        <v>3344</v>
      </c>
      <c r="J1280" s="3" t="str">
        <f>HYPERLINK("https://www.boe.es/gazeta/dias/1834/09/01/pdfs/GMD-1834-199.pdf#page=2","Abrir facsímil")</f>
        <v>Abrir facsímil</v>
      </c>
      <c r="K1280" s="3" t="s">
        <v>24</v>
      </c>
    </row>
    <row r="1281" spans="1:11" ht="54" customHeight="1">
      <c r="A1281" s="2" t="s">
        <v>3345</v>
      </c>
      <c r="B1281" s="2" t="s">
        <v>3345</v>
      </c>
      <c r="C1281" s="2" t="s">
        <v>90</v>
      </c>
      <c r="D1281" s="2" t="s">
        <v>67</v>
      </c>
      <c r="E1281" s="5" t="s">
        <v>2241</v>
      </c>
      <c r="F1281" s="3" t="s">
        <v>2242</v>
      </c>
      <c r="G1281" s="3" t="s">
        <v>86</v>
      </c>
      <c r="H1281" s="2" t="s">
        <v>22</v>
      </c>
      <c r="I1281" s="2" t="s">
        <v>3346</v>
      </c>
      <c r="J1281" s="3" t="str">
        <f>HYPERLINK("https://www.boe.es/gazeta/dias/1834/03/11/pdfs/GMD-1834-31.pdf#page=2","Abrir facsímil")</f>
        <v>Abrir facsímil</v>
      </c>
      <c r="K1281" s="3" t="s">
        <v>24</v>
      </c>
    </row>
    <row r="1282" spans="1:11" ht="54" customHeight="1">
      <c r="A1282" s="2" t="s">
        <v>3345</v>
      </c>
      <c r="B1282" s="2" t="s">
        <v>3345</v>
      </c>
      <c r="C1282" s="2" t="s">
        <v>46</v>
      </c>
      <c r="D1282" s="2" t="s">
        <v>101</v>
      </c>
      <c r="E1282" s="5" t="s">
        <v>667</v>
      </c>
      <c r="F1282" s="3" t="s">
        <v>3347</v>
      </c>
      <c r="G1282" s="3" t="s">
        <v>86</v>
      </c>
      <c r="H1282" s="2" t="s">
        <v>22</v>
      </c>
      <c r="I1282" s="2" t="s">
        <v>3348</v>
      </c>
      <c r="J1282" s="3" t="str">
        <f>HYPERLINK("https://www.boe.es/gazeta/dias/1834/11/23/pdfs/GMD-1834-282.pdf#page=2","Abrir facsímil")</f>
        <v>Abrir facsímil</v>
      </c>
      <c r="K1282" s="3" t="s">
        <v>24</v>
      </c>
    </row>
    <row r="1283" spans="1:11" ht="54" customHeight="1">
      <c r="A1283" s="2" t="s">
        <v>3349</v>
      </c>
      <c r="B1283" s="2" t="s">
        <v>3349</v>
      </c>
      <c r="C1283" s="2" t="s">
        <v>17</v>
      </c>
      <c r="D1283" s="2" t="s">
        <v>18</v>
      </c>
      <c r="E1283" s="5" t="s">
        <v>451</v>
      </c>
      <c r="F1283" s="3" t="s">
        <v>3350</v>
      </c>
      <c r="G1283" s="3" t="s">
        <v>75</v>
      </c>
      <c r="H1283" s="2" t="s">
        <v>22</v>
      </c>
      <c r="I1283" s="2" t="s">
        <v>3351</v>
      </c>
      <c r="J1283" s="3" t="str">
        <f>HYPERLINK("https://www.boe.es/gazeta/dias/1834/10/15/pdfs/GMD-1834-243.pdf#page=4","Abrir facsímil")</f>
        <v>Abrir facsímil</v>
      </c>
      <c r="K1283" s="3" t="s">
        <v>24</v>
      </c>
    </row>
    <row r="1284" spans="1:11" ht="54" customHeight="1">
      <c r="A1284" s="2" t="s">
        <v>3352</v>
      </c>
      <c r="B1284" s="2" t="s">
        <v>3353</v>
      </c>
      <c r="C1284" s="2" t="s">
        <v>66</v>
      </c>
      <c r="D1284" s="2" t="s">
        <v>67</v>
      </c>
      <c r="E1284" s="5" t="s">
        <v>448</v>
      </c>
      <c r="F1284" s="3" t="s">
        <v>2058</v>
      </c>
      <c r="G1284" s="3" t="s">
        <v>21</v>
      </c>
      <c r="H1284" s="2" t="s">
        <v>22</v>
      </c>
      <c r="I1284" s="2" t="s">
        <v>3354</v>
      </c>
      <c r="J1284" s="3" t="str">
        <f>HYPERLINK("https://www.boe.es/gazeta/dias/1834/10/14/pdfs/GMD-1834-242.pdf#page=3","Abrir facsímil")</f>
        <v>Abrir facsímil</v>
      </c>
      <c r="K1284" s="3" t="s">
        <v>24</v>
      </c>
    </row>
    <row r="1285" spans="1:11" ht="54" customHeight="1">
      <c r="A1285" s="2" t="s">
        <v>3355</v>
      </c>
      <c r="B1285" s="2" t="s">
        <v>3356</v>
      </c>
      <c r="C1285" s="2" t="s">
        <v>17</v>
      </c>
      <c r="D1285" s="2" t="s">
        <v>18</v>
      </c>
      <c r="E1285" s="5" t="s">
        <v>399</v>
      </c>
      <c r="F1285" s="3" t="s">
        <v>400</v>
      </c>
      <c r="G1285" s="3" t="s">
        <v>21</v>
      </c>
      <c r="H1285" s="2" t="s">
        <v>35</v>
      </c>
      <c r="I1285" s="2" t="s">
        <v>3357</v>
      </c>
      <c r="J1285" s="3" t="str">
        <f>HYPERLINK("https://www.boe.es/gazeta/dias/1834/07/08/pdfs/GMD-1834-141.pdf#page=3","Abrir facsímil")</f>
        <v>Abrir facsímil</v>
      </c>
      <c r="K1285" s="3" t="s">
        <v>37</v>
      </c>
    </row>
    <row r="1286" spans="1:11" ht="54" customHeight="1">
      <c r="A1286" s="2" t="s">
        <v>3358</v>
      </c>
      <c r="B1286" s="2" t="s">
        <v>3359</v>
      </c>
      <c r="C1286" s="2" t="s">
        <v>17</v>
      </c>
      <c r="D1286" s="2" t="s">
        <v>18</v>
      </c>
      <c r="E1286" s="5" t="s">
        <v>399</v>
      </c>
      <c r="F1286" s="3" t="s">
        <v>400</v>
      </c>
      <c r="G1286" s="3" t="s">
        <v>21</v>
      </c>
      <c r="H1286" s="2" t="s">
        <v>22</v>
      </c>
      <c r="I1286" s="2" t="s">
        <v>3360</v>
      </c>
      <c r="J1286" s="3" t="str">
        <f>HYPERLINK("https://www.boe.es/gazeta/dias/1834/07/08/pdfs/GMD-1834-141.pdf#page=3","Abrir facsímil")</f>
        <v>Abrir facsímil</v>
      </c>
      <c r="K1286" s="3" t="s">
        <v>24</v>
      </c>
    </row>
    <row r="1287" spans="1:11" ht="54" customHeight="1">
      <c r="A1287" s="2" t="s">
        <v>3361</v>
      </c>
      <c r="B1287" s="2" t="s">
        <v>3362</v>
      </c>
      <c r="C1287" s="2" t="s">
        <v>17</v>
      </c>
      <c r="D1287" s="2" t="s">
        <v>18</v>
      </c>
      <c r="E1287" s="5" t="s">
        <v>167</v>
      </c>
      <c r="F1287" s="3" t="s">
        <v>1200</v>
      </c>
      <c r="G1287" s="3" t="s">
        <v>86</v>
      </c>
      <c r="H1287" s="2" t="s">
        <v>22</v>
      </c>
      <c r="I1287" s="2" t="s">
        <v>3363</v>
      </c>
      <c r="J1287" s="3" t="str">
        <f>HYPERLINK("https://www.boe.es/gazeta/dias/1834/09/07/pdfs/GMD-C-1834-205.pdf#page=2","Abrir facsímil")</f>
        <v>Abrir facsímil</v>
      </c>
      <c r="K1287" s="3" t="s">
        <v>24</v>
      </c>
    </row>
    <row r="1288" spans="1:11" ht="54" customHeight="1">
      <c r="A1288" s="2" t="s">
        <v>3364</v>
      </c>
      <c r="B1288" s="2" t="s">
        <v>3365</v>
      </c>
      <c r="C1288" s="2" t="s">
        <v>17</v>
      </c>
      <c r="D1288" s="2" t="s">
        <v>18</v>
      </c>
      <c r="E1288" s="5" t="s">
        <v>571</v>
      </c>
      <c r="F1288" s="3" t="s">
        <v>620</v>
      </c>
      <c r="G1288" s="3" t="s">
        <v>470</v>
      </c>
      <c r="H1288" s="2" t="s">
        <v>22</v>
      </c>
      <c r="I1288" s="2" t="s">
        <v>3366</v>
      </c>
      <c r="J1288" s="3" t="str">
        <f>HYPERLINK("https://www.boe.es/gazeta/dias/1834/09/04/pdfs/GMD-C-1834-202.pdf#page=8","Abrir facsímil")</f>
        <v>Abrir facsímil</v>
      </c>
      <c r="K1288" s="3" t="s">
        <v>24</v>
      </c>
    </row>
    <row r="1289" spans="1:11" ht="54" customHeight="1">
      <c r="A1289" s="2" t="s">
        <v>3367</v>
      </c>
      <c r="B1289" s="2" t="s">
        <v>3368</v>
      </c>
      <c r="C1289" s="2" t="s">
        <v>17</v>
      </c>
      <c r="D1289" s="2" t="s">
        <v>18</v>
      </c>
      <c r="E1289" s="5" t="s">
        <v>653</v>
      </c>
      <c r="F1289" s="3" t="s">
        <v>3369</v>
      </c>
      <c r="G1289" s="3" t="s">
        <v>75</v>
      </c>
      <c r="H1289" s="2" t="s">
        <v>22</v>
      </c>
      <c r="I1289" s="2" t="s">
        <v>3370</v>
      </c>
      <c r="J1289" s="3" t="str">
        <f>HYPERLINK("https://www.boe.es/gazeta/dias/1834/08/06/pdfs/GMD-1834-170.pdf#page=4","Abrir facsímil")</f>
        <v>Abrir facsímil</v>
      </c>
      <c r="K1289" s="3" t="s">
        <v>24</v>
      </c>
    </row>
    <row r="1290" spans="1:11" ht="54" customHeight="1">
      <c r="A1290" s="2" t="s">
        <v>3371</v>
      </c>
      <c r="B1290" s="2" t="s">
        <v>3371</v>
      </c>
      <c r="C1290" s="2" t="s">
        <v>17</v>
      </c>
      <c r="D1290" s="2" t="s">
        <v>55</v>
      </c>
      <c r="E1290" s="5" t="s">
        <v>3036</v>
      </c>
      <c r="F1290" s="3" t="s">
        <v>3372</v>
      </c>
      <c r="G1290" s="3" t="s">
        <v>75</v>
      </c>
      <c r="H1290" s="2" t="s">
        <v>22</v>
      </c>
      <c r="I1290" s="2" t="s">
        <v>3373</v>
      </c>
      <c r="J1290" s="3" t="str">
        <f>HYPERLINK("https://www.boe.es/gazeta/dias/1834/11/18/pdfs/GMD-1834-277.pdf#page=4","Abrir facsímil")</f>
        <v>Abrir facsímil</v>
      </c>
      <c r="K1290" s="3" t="s">
        <v>24</v>
      </c>
    </row>
    <row r="1291" spans="1:11" ht="54" customHeight="1">
      <c r="A1291" s="2" t="s">
        <v>3374</v>
      </c>
      <c r="B1291" s="2" t="s">
        <v>3375</v>
      </c>
      <c r="C1291" s="2" t="s">
        <v>66</v>
      </c>
      <c r="D1291" s="2" t="s">
        <v>67</v>
      </c>
      <c r="E1291" s="5" t="s">
        <v>510</v>
      </c>
      <c r="F1291" s="3" t="s">
        <v>511</v>
      </c>
      <c r="G1291" s="3" t="s">
        <v>75</v>
      </c>
      <c r="H1291" s="2" t="s">
        <v>22</v>
      </c>
      <c r="I1291" s="2" t="s">
        <v>3376</v>
      </c>
      <c r="J1291" s="3" t="str">
        <f>HYPERLINK("https://www.boe.es/gazeta/dias/1834/11/26/pdfs/GMD-1834-285.pdf#page=4","Abrir facsímil")</f>
        <v>Abrir facsímil</v>
      </c>
      <c r="K1291" s="3" t="s">
        <v>24</v>
      </c>
    </row>
    <row r="1292" spans="1:11" ht="54" customHeight="1">
      <c r="A1292" s="2" t="s">
        <v>3377</v>
      </c>
      <c r="B1292" s="2" t="s">
        <v>3378</v>
      </c>
      <c r="C1292" s="2" t="s">
        <v>17</v>
      </c>
      <c r="D1292" s="2" t="s">
        <v>18</v>
      </c>
      <c r="E1292" s="5" t="s">
        <v>1438</v>
      </c>
      <c r="F1292" s="3" t="s">
        <v>1439</v>
      </c>
      <c r="G1292" s="3" t="s">
        <v>21</v>
      </c>
      <c r="H1292" s="2" t="s">
        <v>22</v>
      </c>
      <c r="I1292" s="2" t="s">
        <v>3379</v>
      </c>
      <c r="J1292" s="3" t="str">
        <f>HYPERLINK("https://www.boe.es/gazeta/dias/1834/05/13/pdfs/GMD-1834-82.pdf#page=3","Abrir facsímil")</f>
        <v>Abrir facsímil</v>
      </c>
      <c r="K1292" s="3" t="s">
        <v>24</v>
      </c>
    </row>
    <row r="1293" spans="1:11" ht="54" customHeight="1">
      <c r="A1293" s="2" t="s">
        <v>3380</v>
      </c>
      <c r="B1293" s="2" t="s">
        <v>3381</v>
      </c>
      <c r="C1293" s="2" t="s">
        <v>90</v>
      </c>
      <c r="D1293" s="2" t="s">
        <v>55</v>
      </c>
      <c r="E1293" s="5" t="s">
        <v>1661</v>
      </c>
      <c r="F1293" s="3" t="s">
        <v>1662</v>
      </c>
      <c r="G1293" s="3" t="s">
        <v>34</v>
      </c>
      <c r="H1293" s="2" t="s">
        <v>22</v>
      </c>
      <c r="I1293" s="2" t="s">
        <v>3382</v>
      </c>
      <c r="J1293" s="3" t="str">
        <f>HYPERLINK("https://www.boe.es/gazeta/dias/1834/04/06/pdfs/GMD-1834-45.pdf#page=1","Abrir facsímil")</f>
        <v>Abrir facsímil</v>
      </c>
      <c r="K1293" s="3" t="s">
        <v>24</v>
      </c>
    </row>
    <row r="1294" spans="1:11" ht="54" customHeight="1">
      <c r="A1294" s="2" t="s">
        <v>3383</v>
      </c>
      <c r="B1294" s="2" t="s">
        <v>3384</v>
      </c>
      <c r="C1294" s="2" t="s">
        <v>17</v>
      </c>
      <c r="D1294" s="2" t="s">
        <v>18</v>
      </c>
      <c r="E1294" s="5" t="s">
        <v>1839</v>
      </c>
      <c r="F1294" s="3" t="s">
        <v>1840</v>
      </c>
      <c r="G1294" s="3" t="s">
        <v>34</v>
      </c>
      <c r="H1294" s="2" t="s">
        <v>22</v>
      </c>
      <c r="I1294" s="2" t="s">
        <v>3385</v>
      </c>
      <c r="J1294" s="3" t="str">
        <f>HYPERLINK("https://www.boe.es/gazeta/dias/1834/08/12/pdfs/GMD-C-1834-177.pdf#page=1","Abrir facsímil")</f>
        <v>Abrir facsímil</v>
      </c>
      <c r="K1294" s="3" t="s">
        <v>24</v>
      </c>
    </row>
    <row r="1295" spans="1:11" ht="54" customHeight="1">
      <c r="A1295" s="2" t="s">
        <v>3380</v>
      </c>
      <c r="B1295" s="2" t="s">
        <v>3381</v>
      </c>
      <c r="C1295" s="2" t="s">
        <v>17</v>
      </c>
      <c r="D1295" s="2" t="s">
        <v>40</v>
      </c>
      <c r="E1295" s="5" t="s">
        <v>448</v>
      </c>
      <c r="F1295" s="3" t="s">
        <v>449</v>
      </c>
      <c r="G1295" s="3" t="s">
        <v>34</v>
      </c>
      <c r="H1295" s="2" t="s">
        <v>22</v>
      </c>
      <c r="I1295" s="2" t="s">
        <v>3386</v>
      </c>
      <c r="J1295" s="3" t="str">
        <f>HYPERLINK("https://www.boe.es/gazeta/dias/1834/10/14/pdfs/GMD-C-1834-242.pdf#page=1","Abrir facsímil")</f>
        <v>Abrir facsímil</v>
      </c>
      <c r="K1295" s="3" t="s">
        <v>24</v>
      </c>
    </row>
    <row r="1296" spans="1:11" ht="54" customHeight="1">
      <c r="A1296" s="2" t="s">
        <v>3383</v>
      </c>
      <c r="B1296" s="2" t="s">
        <v>3384</v>
      </c>
      <c r="C1296" s="2" t="s">
        <v>17</v>
      </c>
      <c r="D1296" s="2" t="s">
        <v>18</v>
      </c>
      <c r="E1296" s="5" t="s">
        <v>128</v>
      </c>
      <c r="F1296" s="3" t="s">
        <v>129</v>
      </c>
      <c r="G1296" s="3" t="s">
        <v>34</v>
      </c>
      <c r="H1296" s="2" t="s">
        <v>22</v>
      </c>
      <c r="I1296" s="2" t="s">
        <v>3387</v>
      </c>
      <c r="J1296" s="3" t="str">
        <f>HYPERLINK("https://www.boe.es/gazeta/dias/1834/12/24/pdfs/GMD-C-1834-314.pdf#page=1","Abrir facsímil")</f>
        <v>Abrir facsímil</v>
      </c>
      <c r="K1296" s="3" t="s">
        <v>24</v>
      </c>
    </row>
    <row r="1297" spans="1:11" ht="54" customHeight="1">
      <c r="A1297" s="2" t="s">
        <v>3388</v>
      </c>
      <c r="B1297" s="2" t="s">
        <v>3388</v>
      </c>
      <c r="C1297" s="2" t="s">
        <v>17</v>
      </c>
      <c r="D1297" s="2" t="s">
        <v>18</v>
      </c>
      <c r="E1297" s="5" t="s">
        <v>102</v>
      </c>
      <c r="F1297" s="3" t="s">
        <v>103</v>
      </c>
      <c r="G1297" s="3" t="s">
        <v>75</v>
      </c>
      <c r="H1297" s="2" t="s">
        <v>22</v>
      </c>
      <c r="I1297" s="2" t="s">
        <v>3389</v>
      </c>
      <c r="J1297" s="3" t="str">
        <f>HYPERLINK("https://www.boe.es/gazeta/dias/1834/07/19/pdfs/GMD-1834-152.pdf#page=4","Abrir facsímil")</f>
        <v>Abrir facsímil</v>
      </c>
      <c r="K1297" s="3" t="s">
        <v>24</v>
      </c>
    </row>
    <row r="1298" spans="1:11" ht="54" customHeight="1">
      <c r="A1298" s="2" t="s">
        <v>3390</v>
      </c>
      <c r="B1298" s="2" t="s">
        <v>3391</v>
      </c>
      <c r="C1298" s="2" t="s">
        <v>46</v>
      </c>
      <c r="D1298" s="2" t="s">
        <v>101</v>
      </c>
      <c r="E1298" s="5" t="s">
        <v>200</v>
      </c>
      <c r="F1298" s="3" t="s">
        <v>2248</v>
      </c>
      <c r="G1298" s="3" t="s">
        <v>34</v>
      </c>
      <c r="H1298" s="2" t="s">
        <v>22</v>
      </c>
      <c r="I1298" s="2" t="s">
        <v>3392</v>
      </c>
      <c r="J1298" s="3" t="str">
        <f>HYPERLINK("https://www.boe.es/gazeta/dias/1834/12/11/pdfs/GMD-C-1834-300.pdf#page=1","Abrir facsímil")</f>
        <v>Abrir facsímil</v>
      </c>
      <c r="K1298" s="3" t="s">
        <v>24</v>
      </c>
    </row>
    <row r="1299" spans="1:11" ht="54" customHeight="1">
      <c r="A1299" s="2" t="s">
        <v>3393</v>
      </c>
      <c r="B1299" s="2" t="s">
        <v>3394</v>
      </c>
      <c r="C1299" s="2" t="s">
        <v>66</v>
      </c>
      <c r="D1299" s="2" t="s">
        <v>67</v>
      </c>
      <c r="E1299" s="5" t="s">
        <v>251</v>
      </c>
      <c r="F1299" s="3" t="s">
        <v>1278</v>
      </c>
      <c r="G1299" s="3" t="s">
        <v>86</v>
      </c>
      <c r="H1299" s="2" t="s">
        <v>22</v>
      </c>
      <c r="I1299" s="2" t="s">
        <v>3395</v>
      </c>
      <c r="J1299" s="3" t="str">
        <f>HYPERLINK("https://www.boe.es/gazeta/dias/1834/09/26/pdfs/GMD-1834-224.pdf#page=2","Abrir facsímil")</f>
        <v>Abrir facsímil</v>
      </c>
      <c r="K1299" s="3" t="s">
        <v>24</v>
      </c>
    </row>
    <row r="1300" spans="1:11" ht="54" customHeight="1">
      <c r="A1300" s="2" t="s">
        <v>3396</v>
      </c>
      <c r="B1300" s="2" t="s">
        <v>3396</v>
      </c>
      <c r="C1300" s="2" t="s">
        <v>17</v>
      </c>
      <c r="D1300" s="2" t="s">
        <v>18</v>
      </c>
      <c r="E1300" s="5" t="s">
        <v>451</v>
      </c>
      <c r="F1300" s="3" t="s">
        <v>3350</v>
      </c>
      <c r="G1300" s="3" t="s">
        <v>75</v>
      </c>
      <c r="H1300" s="2" t="s">
        <v>22</v>
      </c>
      <c r="I1300" s="2" t="s">
        <v>3397</v>
      </c>
      <c r="J1300" s="3" t="str">
        <f>HYPERLINK("https://www.boe.es/gazeta/dias/1834/10/15/pdfs/GMD-1834-243.pdf#page=4","Abrir facsímil")</f>
        <v>Abrir facsímil</v>
      </c>
      <c r="K1300" s="3" t="s">
        <v>24</v>
      </c>
    </row>
    <row r="1301" spans="1:11" ht="54" customHeight="1">
      <c r="A1301" s="2" t="s">
        <v>3396</v>
      </c>
      <c r="B1301" s="2" t="s">
        <v>3396</v>
      </c>
      <c r="C1301" s="2" t="s">
        <v>66</v>
      </c>
      <c r="D1301" s="2" t="s">
        <v>67</v>
      </c>
      <c r="E1301" s="5" t="s">
        <v>1394</v>
      </c>
      <c r="F1301" s="3" t="s">
        <v>2923</v>
      </c>
      <c r="G1301" s="3" t="s">
        <v>86</v>
      </c>
      <c r="H1301" s="2" t="s">
        <v>22</v>
      </c>
      <c r="I1301" s="2" t="s">
        <v>3398</v>
      </c>
      <c r="J1301" s="3" t="str">
        <f>HYPERLINK("https://www.boe.es/gazeta/dias/1834/04/16/pdfs/GMD-C-1834-55.pdf#page=2","Abrir facsímil")</f>
        <v>Abrir facsímil</v>
      </c>
      <c r="K1301" s="3" t="s">
        <v>24</v>
      </c>
    </row>
    <row r="1302" spans="1:11" ht="54" customHeight="1">
      <c r="A1302" s="2" t="s">
        <v>3399</v>
      </c>
      <c r="B1302" s="2" t="s">
        <v>3400</v>
      </c>
      <c r="C1302" s="2" t="s">
        <v>66</v>
      </c>
      <c r="D1302" s="2" t="s">
        <v>67</v>
      </c>
      <c r="E1302" s="5" t="s">
        <v>1394</v>
      </c>
      <c r="F1302" s="3" t="s">
        <v>2923</v>
      </c>
      <c r="G1302" s="3" t="s">
        <v>86</v>
      </c>
      <c r="H1302" s="2" t="s">
        <v>35</v>
      </c>
      <c r="I1302" s="2" t="s">
        <v>3398</v>
      </c>
      <c r="J1302" s="3" t="str">
        <f>HYPERLINK("https://www.boe.es/gazeta/dias/1834/04/16/pdfs/GMD-C-1834-55.pdf#page=2","Abrir facsímil")</f>
        <v>Abrir facsímil</v>
      </c>
      <c r="K1302" s="3" t="s">
        <v>37</v>
      </c>
    </row>
    <row r="1303" spans="1:11" ht="54" customHeight="1">
      <c r="A1303" s="2" t="s">
        <v>3401</v>
      </c>
      <c r="B1303" s="2" t="s">
        <v>3402</v>
      </c>
      <c r="C1303" s="2" t="s">
        <v>17</v>
      </c>
      <c r="D1303" s="2" t="s">
        <v>55</v>
      </c>
      <c r="E1303" s="5" t="s">
        <v>1402</v>
      </c>
      <c r="F1303" s="3" t="s">
        <v>1403</v>
      </c>
      <c r="G1303" s="3" t="s">
        <v>75</v>
      </c>
      <c r="H1303" s="2" t="s">
        <v>22</v>
      </c>
      <c r="I1303" s="2" t="s">
        <v>3403</v>
      </c>
      <c r="J1303" s="3" t="str">
        <f>HYPERLINK("https://www.boe.es/gazeta/dias/1834/05/05/pdfs/GMD-1834-74.pdf#page=4","Abrir facsímil")</f>
        <v>Abrir facsímil</v>
      </c>
      <c r="K1303" s="3" t="s">
        <v>24</v>
      </c>
    </row>
    <row r="1304" spans="1:11" ht="54" customHeight="1">
      <c r="A1304" s="2" t="s">
        <v>3404</v>
      </c>
      <c r="B1304" s="2" t="s">
        <v>3404</v>
      </c>
      <c r="C1304" s="2" t="s">
        <v>17</v>
      </c>
      <c r="D1304" s="2" t="s">
        <v>18</v>
      </c>
      <c r="E1304" s="5" t="s">
        <v>672</v>
      </c>
      <c r="F1304" s="3" t="s">
        <v>1055</v>
      </c>
      <c r="G1304" s="3" t="s">
        <v>560</v>
      </c>
      <c r="H1304" s="2" t="s">
        <v>22</v>
      </c>
      <c r="I1304" s="2" t="s">
        <v>3405</v>
      </c>
      <c r="J1304" s="3" t="str">
        <f>HYPERLINK("https://www.boe.es/gazeta/dias/1834/09/19/pdfs/GMD-C-1834-217.pdf#page=7","Abrir facsímil")</f>
        <v>Abrir facsímil</v>
      </c>
      <c r="K1304" s="3" t="s">
        <v>24</v>
      </c>
    </row>
    <row r="1305" spans="1:11" ht="54" customHeight="1">
      <c r="A1305" s="2" t="s">
        <v>3404</v>
      </c>
      <c r="B1305" s="2" t="s">
        <v>3404</v>
      </c>
      <c r="C1305" s="2" t="s">
        <v>122</v>
      </c>
      <c r="D1305" s="2" t="s">
        <v>18</v>
      </c>
      <c r="E1305" s="5" t="s">
        <v>981</v>
      </c>
      <c r="F1305" s="3" t="s">
        <v>3406</v>
      </c>
      <c r="G1305" s="3" t="s">
        <v>28</v>
      </c>
      <c r="H1305" s="2" t="s">
        <v>22</v>
      </c>
      <c r="I1305" s="2" t="s">
        <v>3407</v>
      </c>
      <c r="J1305" s="3" t="str">
        <f>HYPERLINK("https://www.boe.es/gazeta/dias/1834/09/21/pdfs/GMD-C-1834-219.pdf#page=5","Abrir facsímil")</f>
        <v>Abrir facsímil</v>
      </c>
      <c r="K1305" s="3" t="s">
        <v>24</v>
      </c>
    </row>
    <row r="1306" spans="1:11" ht="54" customHeight="1">
      <c r="A1306" s="2" t="s">
        <v>3404</v>
      </c>
      <c r="B1306" s="2" t="s">
        <v>3404</v>
      </c>
      <c r="C1306" s="2" t="s">
        <v>46</v>
      </c>
      <c r="D1306" s="2" t="s">
        <v>101</v>
      </c>
      <c r="E1306" s="5" t="s">
        <v>403</v>
      </c>
      <c r="F1306" s="3" t="s">
        <v>404</v>
      </c>
      <c r="G1306" s="3" t="s">
        <v>86</v>
      </c>
      <c r="H1306" s="2" t="s">
        <v>22</v>
      </c>
      <c r="I1306" s="2" t="s">
        <v>3408</v>
      </c>
      <c r="J1306" s="3" t="str">
        <f>HYPERLINK("https://www.boe.es/gazeta/dias/1834/09/25/pdfs/GMD-C-1834-223.pdf#page=2","Abrir facsímil")</f>
        <v>Abrir facsímil</v>
      </c>
      <c r="K1306" s="3" t="s">
        <v>24</v>
      </c>
    </row>
    <row r="1307" spans="1:11" ht="54" customHeight="1">
      <c r="A1307" s="2" t="s">
        <v>3409</v>
      </c>
      <c r="B1307" s="2" t="s">
        <v>3410</v>
      </c>
      <c r="C1307" s="2" t="s">
        <v>17</v>
      </c>
      <c r="D1307" s="2" t="s">
        <v>18</v>
      </c>
      <c r="E1307" s="5" t="s">
        <v>1922</v>
      </c>
      <c r="F1307" s="3" t="s">
        <v>1923</v>
      </c>
      <c r="G1307" s="3" t="s">
        <v>75</v>
      </c>
      <c r="H1307" s="2" t="s">
        <v>35</v>
      </c>
      <c r="I1307" s="2" t="s">
        <v>3411</v>
      </c>
      <c r="J1307" s="3" t="str">
        <f>HYPERLINK("https://www.boe.es/gazeta/dias/1834/02/25/pdfs/GMD-1834-25.pdf#page=4","Abrir facsímil")</f>
        <v>Abrir facsímil</v>
      </c>
      <c r="K1307" s="3" t="s">
        <v>37</v>
      </c>
    </row>
    <row r="1308" spans="1:11" ht="54" customHeight="1">
      <c r="A1308" s="2" t="s">
        <v>3412</v>
      </c>
      <c r="B1308" s="2" t="s">
        <v>3413</v>
      </c>
      <c r="C1308" s="2" t="s">
        <v>66</v>
      </c>
      <c r="D1308" s="2" t="s">
        <v>67</v>
      </c>
      <c r="E1308" s="5" t="s">
        <v>1661</v>
      </c>
      <c r="F1308" s="3" t="s">
        <v>1662</v>
      </c>
      <c r="G1308" s="3" t="s">
        <v>34</v>
      </c>
      <c r="H1308" s="2" t="s">
        <v>22</v>
      </c>
      <c r="I1308" s="2" t="s">
        <v>3414</v>
      </c>
      <c r="J1308" s="3" t="str">
        <f>HYPERLINK("https://www.boe.es/gazeta/dias/1834/04/06/pdfs/GMD-1834-45.pdf#page=1","Abrir facsímil")</f>
        <v>Abrir facsímil</v>
      </c>
      <c r="K1308" s="3" t="s">
        <v>24</v>
      </c>
    </row>
    <row r="1309" spans="1:11" ht="54" customHeight="1">
      <c r="A1309" s="2" t="s">
        <v>3412</v>
      </c>
      <c r="B1309" s="2" t="s">
        <v>3413</v>
      </c>
      <c r="C1309" s="2" t="s">
        <v>17</v>
      </c>
      <c r="D1309" s="2" t="s">
        <v>18</v>
      </c>
      <c r="E1309" s="5" t="s">
        <v>1922</v>
      </c>
      <c r="F1309" s="3" t="s">
        <v>1923</v>
      </c>
      <c r="G1309" s="3" t="s">
        <v>75</v>
      </c>
      <c r="H1309" s="2" t="s">
        <v>22</v>
      </c>
      <c r="I1309" s="2" t="s">
        <v>3415</v>
      </c>
      <c r="J1309" s="3" t="str">
        <f>HYPERLINK("https://www.boe.es/gazeta/dias/1834/02/25/pdfs/GMD-1834-25.pdf#page=4","Abrir facsímil")</f>
        <v>Abrir facsímil</v>
      </c>
      <c r="K1309" s="3" t="s">
        <v>24</v>
      </c>
    </row>
    <row r="1310" spans="1:11" ht="54" customHeight="1">
      <c r="A1310" s="2" t="s">
        <v>3416</v>
      </c>
      <c r="B1310" s="2" t="s">
        <v>3417</v>
      </c>
      <c r="C1310" s="2" t="s">
        <v>17</v>
      </c>
      <c r="D1310" s="2" t="s">
        <v>18</v>
      </c>
      <c r="E1310" s="5" t="s">
        <v>2860</v>
      </c>
      <c r="F1310" s="3" t="s">
        <v>2861</v>
      </c>
      <c r="G1310" s="3" t="s">
        <v>21</v>
      </c>
      <c r="H1310" s="2" t="s">
        <v>22</v>
      </c>
      <c r="I1310" s="2" t="s">
        <v>3418</v>
      </c>
      <c r="J1310" s="3" t="str">
        <f>HYPERLINK("https://www.boe.es/gazeta/dias/1834/07/20/pdfs/GMD-1834-153.pdf#page=3","Abrir facsímil")</f>
        <v>Abrir facsímil</v>
      </c>
      <c r="K1310" s="3" t="s">
        <v>24</v>
      </c>
    </row>
    <row r="1311" spans="1:11" ht="54" customHeight="1">
      <c r="A1311" s="2" t="s">
        <v>3419</v>
      </c>
      <c r="B1311" s="2" t="s">
        <v>3420</v>
      </c>
      <c r="C1311" s="2" t="s">
        <v>17</v>
      </c>
      <c r="D1311" s="2" t="s">
        <v>18</v>
      </c>
      <c r="E1311" s="5" t="s">
        <v>429</v>
      </c>
      <c r="F1311" s="3" t="s">
        <v>3421</v>
      </c>
      <c r="G1311" s="3" t="s">
        <v>75</v>
      </c>
      <c r="H1311" s="2" t="s">
        <v>22</v>
      </c>
      <c r="I1311" s="2" t="s">
        <v>3422</v>
      </c>
      <c r="J1311" s="3" t="str">
        <f>HYPERLINK("https://www.boe.es/gazeta/dias/1834/08/07/pdfs/GMD-1834-172.pdf#page=4","Abrir facsímil")</f>
        <v>Abrir facsímil</v>
      </c>
      <c r="K1311" s="3" t="s">
        <v>24</v>
      </c>
    </row>
    <row r="1312" spans="1:11" ht="54" customHeight="1">
      <c r="A1312" s="2" t="s">
        <v>3423</v>
      </c>
      <c r="B1312" s="2" t="s">
        <v>3424</v>
      </c>
      <c r="C1312" s="2" t="s">
        <v>17</v>
      </c>
      <c r="D1312" s="2" t="s">
        <v>18</v>
      </c>
      <c r="E1312" s="5" t="s">
        <v>860</v>
      </c>
      <c r="F1312" s="3" t="s">
        <v>861</v>
      </c>
      <c r="G1312" s="3" t="s">
        <v>470</v>
      </c>
      <c r="H1312" s="2" t="s">
        <v>22</v>
      </c>
      <c r="I1312" s="2" t="s">
        <v>3425</v>
      </c>
      <c r="J1312" s="3" t="str">
        <f>HYPERLINK("https://www.boe.es/gazeta/dias/1834/02/08/pdfs/GMD-1834-18.pdf#page=8","Abrir facsímil")</f>
        <v>Abrir facsímil</v>
      </c>
      <c r="K1312" s="3" t="s">
        <v>24</v>
      </c>
    </row>
    <row r="1313" spans="1:11" ht="54" customHeight="1">
      <c r="A1313" s="2" t="s">
        <v>3426</v>
      </c>
      <c r="B1313" s="2" t="s">
        <v>3426</v>
      </c>
      <c r="C1313" s="2" t="s">
        <v>46</v>
      </c>
      <c r="D1313" s="2" t="s">
        <v>18</v>
      </c>
      <c r="E1313" s="5" t="s">
        <v>1641</v>
      </c>
      <c r="F1313" s="3" t="s">
        <v>1642</v>
      </c>
      <c r="G1313" s="3" t="s">
        <v>34</v>
      </c>
      <c r="H1313" s="2" t="s">
        <v>22</v>
      </c>
      <c r="I1313" s="2" t="s">
        <v>3427</v>
      </c>
      <c r="J1313" s="3" t="str">
        <f>HYPERLINK("https://www.boe.es/gazeta/dias/1834/09/28/pdfs/GMD-C-1834-226.pdf#page=1","Abrir facsímil")</f>
        <v>Abrir facsímil</v>
      </c>
      <c r="K1313" s="3" t="s">
        <v>24</v>
      </c>
    </row>
    <row r="1314" spans="1:11" ht="54" customHeight="1">
      <c r="A1314" s="2" t="s">
        <v>3428</v>
      </c>
      <c r="B1314" s="2" t="s">
        <v>3428</v>
      </c>
      <c r="C1314" s="2" t="s">
        <v>17</v>
      </c>
      <c r="D1314" s="2" t="s">
        <v>18</v>
      </c>
      <c r="E1314" s="5" t="s">
        <v>1281</v>
      </c>
      <c r="F1314" s="3" t="s">
        <v>1282</v>
      </c>
      <c r="G1314" s="3" t="s">
        <v>75</v>
      </c>
      <c r="H1314" s="2" t="s">
        <v>22</v>
      </c>
      <c r="I1314" s="2" t="s">
        <v>3429</v>
      </c>
      <c r="J1314" s="3" t="str">
        <f>HYPERLINK("https://www.boe.es/gazeta/dias/1834/10/27/pdfs/GMD-1834-255.pdf#page=4","Abrir facsímil")</f>
        <v>Abrir facsímil</v>
      </c>
      <c r="K1314" s="3" t="s">
        <v>24</v>
      </c>
    </row>
    <row r="1315" spans="1:11" ht="54" customHeight="1">
      <c r="A1315" s="2" t="s">
        <v>3430</v>
      </c>
      <c r="B1315" s="2" t="s">
        <v>3430</v>
      </c>
      <c r="C1315" s="2" t="s">
        <v>17</v>
      </c>
      <c r="D1315" s="2" t="s">
        <v>18</v>
      </c>
      <c r="E1315" s="5" t="s">
        <v>1025</v>
      </c>
      <c r="F1315" s="3" t="s">
        <v>1026</v>
      </c>
      <c r="G1315" s="3" t="s">
        <v>176</v>
      </c>
      <c r="H1315" s="2" t="s">
        <v>22</v>
      </c>
      <c r="I1315" s="2" t="s">
        <v>3431</v>
      </c>
      <c r="J1315" s="3" t="str">
        <f>HYPERLINK("https://www.boe.es/gazeta/dias/1834/03/01/pdfs/GMD-1834-27.pdf#page=6","Abrir facsímil")</f>
        <v>Abrir facsímil</v>
      </c>
      <c r="K1315" s="3" t="s">
        <v>24</v>
      </c>
    </row>
    <row r="1316" spans="1:11" ht="54" customHeight="1">
      <c r="A1316" s="2" t="s">
        <v>3430</v>
      </c>
      <c r="B1316" s="2" t="s">
        <v>3430</v>
      </c>
      <c r="C1316" s="2" t="s">
        <v>17</v>
      </c>
      <c r="D1316" s="2" t="s">
        <v>18</v>
      </c>
      <c r="E1316" s="5" t="s">
        <v>1084</v>
      </c>
      <c r="F1316" s="3" t="s">
        <v>1085</v>
      </c>
      <c r="G1316" s="3" t="s">
        <v>176</v>
      </c>
      <c r="H1316" s="2" t="s">
        <v>22</v>
      </c>
      <c r="I1316" s="2" t="s">
        <v>3432</v>
      </c>
      <c r="J1316" s="3" t="str">
        <f>HYPERLINK("https://www.boe.es/gazeta/dias/1834/05/01/pdfs/GMD-1834-70.pdf#page=6","Abrir facsímil")</f>
        <v>Abrir facsímil</v>
      </c>
      <c r="K1316" s="3" t="s">
        <v>24</v>
      </c>
    </row>
    <row r="1317" spans="1:11" ht="54" customHeight="1">
      <c r="A1317" s="2" t="s">
        <v>3430</v>
      </c>
      <c r="B1317" s="2" t="s">
        <v>3430</v>
      </c>
      <c r="C1317" s="2" t="s">
        <v>17</v>
      </c>
      <c r="D1317" s="2" t="s">
        <v>18</v>
      </c>
      <c r="E1317" s="5" t="s">
        <v>594</v>
      </c>
      <c r="F1317" s="3" t="s">
        <v>595</v>
      </c>
      <c r="G1317" s="3" t="s">
        <v>75</v>
      </c>
      <c r="H1317" s="2" t="s">
        <v>22</v>
      </c>
      <c r="I1317" s="2" t="s">
        <v>3433</v>
      </c>
      <c r="J1317" s="3" t="str">
        <f>HYPERLINK("https://www.boe.es/gazeta/dias/1834/06/01/pdfs/GMD-1834-102.pdf#page=4","Abrir facsímil")</f>
        <v>Abrir facsímil</v>
      </c>
      <c r="K1317" s="3" t="s">
        <v>24</v>
      </c>
    </row>
    <row r="1318" spans="1:11" ht="54" customHeight="1">
      <c r="A1318" s="2" t="s">
        <v>3430</v>
      </c>
      <c r="B1318" s="2" t="s">
        <v>3430</v>
      </c>
      <c r="C1318" s="2" t="s">
        <v>17</v>
      </c>
      <c r="D1318" s="2" t="s">
        <v>18</v>
      </c>
      <c r="E1318" s="5" t="s">
        <v>209</v>
      </c>
      <c r="F1318" s="3" t="s">
        <v>210</v>
      </c>
      <c r="G1318" s="3" t="s">
        <v>75</v>
      </c>
      <c r="H1318" s="2" t="s">
        <v>22</v>
      </c>
      <c r="I1318" s="2" t="s">
        <v>3434</v>
      </c>
      <c r="J1318" s="3" t="str">
        <f>HYPERLINK("https://www.boe.es/gazeta/dias/1834/07/01/pdfs/GMD-1834-134.pdf#page=4","Abrir facsímil")</f>
        <v>Abrir facsímil</v>
      </c>
      <c r="K1318" s="3" t="s">
        <v>24</v>
      </c>
    </row>
    <row r="1319" spans="1:11" ht="54" customHeight="1">
      <c r="A1319" s="2" t="s">
        <v>3430</v>
      </c>
      <c r="B1319" s="2" t="s">
        <v>3430</v>
      </c>
      <c r="C1319" s="2" t="s">
        <v>17</v>
      </c>
      <c r="D1319" s="2" t="s">
        <v>40</v>
      </c>
      <c r="E1319" s="5" t="s">
        <v>905</v>
      </c>
      <c r="F1319" s="3" t="s">
        <v>1651</v>
      </c>
      <c r="G1319" s="3" t="s">
        <v>75</v>
      </c>
      <c r="H1319" s="2" t="s">
        <v>22</v>
      </c>
      <c r="I1319" s="2" t="s">
        <v>3435</v>
      </c>
      <c r="J1319" s="3" t="str">
        <f>HYPERLINK("https://www.boe.es/gazeta/dias/1834/08/02/pdfs/GMD-1834-166.pdf#page=4","Abrir facsímil")</f>
        <v>Abrir facsímil</v>
      </c>
      <c r="K1319" s="3" t="s">
        <v>24</v>
      </c>
    </row>
    <row r="1320" spans="1:11" ht="54" customHeight="1">
      <c r="A1320" s="2" t="s">
        <v>3430</v>
      </c>
      <c r="B1320" s="2" t="s">
        <v>3430</v>
      </c>
      <c r="C1320" s="2" t="s">
        <v>17</v>
      </c>
      <c r="D1320" s="2" t="s">
        <v>40</v>
      </c>
      <c r="E1320" s="5" t="s">
        <v>1955</v>
      </c>
      <c r="F1320" s="3" t="s">
        <v>1956</v>
      </c>
      <c r="G1320" s="3" t="s">
        <v>75</v>
      </c>
      <c r="H1320" s="2" t="s">
        <v>22</v>
      </c>
      <c r="I1320" s="2" t="s">
        <v>3436</v>
      </c>
      <c r="J1320" s="3" t="str">
        <f>HYPERLINK("https://www.boe.es/gazeta/dias/1834/05/04/pdfs/GMD-1834-73.pdf#page=4","Abrir facsímil")</f>
        <v>Abrir facsímil</v>
      </c>
      <c r="K1320" s="3" t="s">
        <v>24</v>
      </c>
    </row>
    <row r="1321" spans="1:11" ht="54" customHeight="1">
      <c r="A1321" s="2" t="s">
        <v>3430</v>
      </c>
      <c r="B1321" s="2" t="s">
        <v>3430</v>
      </c>
      <c r="C1321" s="2" t="s">
        <v>17</v>
      </c>
      <c r="D1321" s="2" t="s">
        <v>18</v>
      </c>
      <c r="E1321" s="5" t="s">
        <v>3328</v>
      </c>
      <c r="F1321" s="3" t="s">
        <v>3329</v>
      </c>
      <c r="G1321" s="3" t="s">
        <v>75</v>
      </c>
      <c r="H1321" s="2" t="s">
        <v>22</v>
      </c>
      <c r="I1321" s="2" t="s">
        <v>3437</v>
      </c>
      <c r="J1321" s="3" t="str">
        <f>HYPERLINK("https://www.boe.es/gazeta/dias/1834/06/04/pdfs/GMD-1834-106.pdf#page=4","Abrir facsímil")</f>
        <v>Abrir facsímil</v>
      </c>
      <c r="K1321" s="3" t="s">
        <v>24</v>
      </c>
    </row>
    <row r="1322" spans="1:11" ht="54" customHeight="1">
      <c r="A1322" s="2" t="s">
        <v>3430</v>
      </c>
      <c r="B1322" s="2" t="s">
        <v>3430</v>
      </c>
      <c r="C1322" s="2" t="s">
        <v>17</v>
      </c>
      <c r="D1322" s="2" t="s">
        <v>40</v>
      </c>
      <c r="E1322" s="5" t="s">
        <v>433</v>
      </c>
      <c r="F1322" s="3" t="s">
        <v>2773</v>
      </c>
      <c r="G1322" s="3" t="s">
        <v>75</v>
      </c>
      <c r="H1322" s="2" t="s">
        <v>22</v>
      </c>
      <c r="I1322" s="2" t="s">
        <v>3438</v>
      </c>
      <c r="J1322" s="3" t="str">
        <f>HYPERLINK("https://www.boe.es/gazeta/dias/1834/10/07/pdfs/GMD-1834-235.pdf#page=4","Abrir facsímil")</f>
        <v>Abrir facsímil</v>
      </c>
      <c r="K1322" s="3" t="s">
        <v>24</v>
      </c>
    </row>
    <row r="1323" spans="1:11" ht="54" customHeight="1">
      <c r="A1323" s="2" t="s">
        <v>3430</v>
      </c>
      <c r="B1323" s="2" t="s">
        <v>3430</v>
      </c>
      <c r="C1323" s="2" t="s">
        <v>122</v>
      </c>
      <c r="D1323" s="2" t="s">
        <v>18</v>
      </c>
      <c r="E1323" s="5" t="s">
        <v>762</v>
      </c>
      <c r="F1323" s="3" t="s">
        <v>763</v>
      </c>
      <c r="G1323" s="3" t="s">
        <v>75</v>
      </c>
      <c r="H1323" s="2" t="s">
        <v>22</v>
      </c>
      <c r="I1323" s="2" t="s">
        <v>3439</v>
      </c>
      <c r="J1323" s="3" t="str">
        <f>HYPERLINK("https://www.boe.es/gazeta/dias/1834/11/07/pdfs/GMD-1834-266.pdf#page=4","Abrir facsímil")</f>
        <v>Abrir facsímil</v>
      </c>
      <c r="K1323" s="3" t="s">
        <v>24</v>
      </c>
    </row>
    <row r="1324" spans="1:11" ht="54" customHeight="1">
      <c r="A1324" s="2" t="s">
        <v>3430</v>
      </c>
      <c r="B1324" s="2" t="s">
        <v>3430</v>
      </c>
      <c r="C1324" s="2" t="s">
        <v>17</v>
      </c>
      <c r="D1324" s="2" t="s">
        <v>18</v>
      </c>
      <c r="E1324" s="5" t="s">
        <v>438</v>
      </c>
      <c r="F1324" s="3" t="s">
        <v>439</v>
      </c>
      <c r="G1324" s="3" t="s">
        <v>75</v>
      </c>
      <c r="H1324" s="2" t="s">
        <v>22</v>
      </c>
      <c r="I1324" s="2" t="s">
        <v>3440</v>
      </c>
      <c r="J1324" s="3" t="str">
        <f>HYPERLINK("https://www.boe.es/gazeta/dias/1834/11/09/pdfs/GMD-1834-268.pdf#page=4","Abrir facsímil")</f>
        <v>Abrir facsímil</v>
      </c>
      <c r="K1324" s="3" t="s">
        <v>24</v>
      </c>
    </row>
    <row r="1325" spans="1:11" ht="54" customHeight="1">
      <c r="A1325" s="2" t="s">
        <v>3430</v>
      </c>
      <c r="B1325" s="2" t="s">
        <v>3430</v>
      </c>
      <c r="C1325" s="2" t="s">
        <v>857</v>
      </c>
      <c r="D1325" s="2" t="s">
        <v>18</v>
      </c>
      <c r="E1325" s="5" t="s">
        <v>79</v>
      </c>
      <c r="F1325" s="3" t="s">
        <v>80</v>
      </c>
      <c r="G1325" s="3" t="s">
        <v>75</v>
      </c>
      <c r="H1325" s="2" t="s">
        <v>22</v>
      </c>
      <c r="I1325" s="2" t="s">
        <v>3441</v>
      </c>
      <c r="J1325" s="3" t="str">
        <f>HYPERLINK("https://www.boe.es/gazeta/dias/1834/07/12/pdfs/GMD-1834-145.pdf#page=4","Abrir facsímil")</f>
        <v>Abrir facsímil</v>
      </c>
      <c r="K1325" s="3" t="s">
        <v>24</v>
      </c>
    </row>
    <row r="1326" spans="1:11" ht="54" customHeight="1">
      <c r="A1326" s="2" t="s">
        <v>3430</v>
      </c>
      <c r="B1326" s="2" t="s">
        <v>3430</v>
      </c>
      <c r="C1326" s="2" t="s">
        <v>122</v>
      </c>
      <c r="D1326" s="2" t="s">
        <v>18</v>
      </c>
      <c r="E1326" s="5" t="s">
        <v>623</v>
      </c>
      <c r="F1326" s="3" t="s">
        <v>3442</v>
      </c>
      <c r="G1326" s="3" t="s">
        <v>75</v>
      </c>
      <c r="H1326" s="2" t="s">
        <v>22</v>
      </c>
      <c r="I1326" s="2" t="s">
        <v>3443</v>
      </c>
      <c r="J1326" s="3" t="str">
        <f>HYPERLINK("https://www.boe.es/gazeta/dias/1834/10/12/pdfs/GMD-1834-240.pdf#page=4","Abrir facsímil")</f>
        <v>Abrir facsímil</v>
      </c>
      <c r="K1326" s="3" t="s">
        <v>24</v>
      </c>
    </row>
    <row r="1327" spans="1:11" ht="54" customHeight="1">
      <c r="A1327" s="2" t="s">
        <v>3430</v>
      </c>
      <c r="B1327" s="2" t="s">
        <v>3430</v>
      </c>
      <c r="C1327" s="2" t="s">
        <v>17</v>
      </c>
      <c r="D1327" s="2" t="s">
        <v>18</v>
      </c>
      <c r="E1327" s="5" t="s">
        <v>1438</v>
      </c>
      <c r="F1327" s="3" t="s">
        <v>1439</v>
      </c>
      <c r="G1327" s="3" t="s">
        <v>75</v>
      </c>
      <c r="H1327" s="2" t="s">
        <v>22</v>
      </c>
      <c r="I1327" s="2" t="s">
        <v>3444</v>
      </c>
      <c r="J1327" s="3" t="str">
        <f>HYPERLINK("https://www.boe.es/gazeta/dias/1834/05/13/pdfs/GMD-1834-82.pdf#page=4","Abrir facsímil")</f>
        <v>Abrir facsímil</v>
      </c>
      <c r="K1327" s="3" t="s">
        <v>24</v>
      </c>
    </row>
    <row r="1328" spans="1:11" ht="54" customHeight="1">
      <c r="A1328" s="2" t="s">
        <v>3430</v>
      </c>
      <c r="B1328" s="2" t="s">
        <v>3430</v>
      </c>
      <c r="C1328" s="2" t="s">
        <v>122</v>
      </c>
      <c r="D1328" s="2" t="s">
        <v>18</v>
      </c>
      <c r="E1328" s="5" t="s">
        <v>1424</v>
      </c>
      <c r="F1328" s="3" t="s">
        <v>3445</v>
      </c>
      <c r="G1328" s="3" t="s">
        <v>75</v>
      </c>
      <c r="H1328" s="2" t="s">
        <v>22</v>
      </c>
      <c r="I1328" s="2" t="s">
        <v>3446</v>
      </c>
      <c r="J1328" s="3" t="str">
        <f>HYPERLINK("https://www.boe.es/gazeta/dias/1834/11/14/pdfs/GMD-1834-273.pdf#page=4","Abrir facsímil")</f>
        <v>Abrir facsímil</v>
      </c>
      <c r="K1328" s="3" t="s">
        <v>24</v>
      </c>
    </row>
    <row r="1329" spans="1:11" ht="54" customHeight="1">
      <c r="A1329" s="2" t="s">
        <v>3430</v>
      </c>
      <c r="B1329" s="2" t="s">
        <v>3430</v>
      </c>
      <c r="C1329" s="2" t="s">
        <v>90</v>
      </c>
      <c r="D1329" s="2" t="s">
        <v>40</v>
      </c>
      <c r="E1329" s="5" t="s">
        <v>1234</v>
      </c>
      <c r="F1329" s="3" t="s">
        <v>1455</v>
      </c>
      <c r="G1329" s="3" t="s">
        <v>75</v>
      </c>
      <c r="H1329" s="2" t="s">
        <v>22</v>
      </c>
      <c r="I1329" s="2" t="s">
        <v>3447</v>
      </c>
      <c r="J1329" s="3" t="str">
        <f>HYPERLINK("https://www.boe.es/gazeta/dias/1834/05/15/pdfs/GMD-1834-84.pdf#page=4","Abrir facsímil")</f>
        <v>Abrir facsímil</v>
      </c>
      <c r="K1329" s="3" t="s">
        <v>24</v>
      </c>
    </row>
    <row r="1330" spans="1:11" ht="54" customHeight="1">
      <c r="A1330" s="2" t="s">
        <v>3430</v>
      </c>
      <c r="B1330" s="2" t="s">
        <v>3430</v>
      </c>
      <c r="C1330" s="2" t="s">
        <v>122</v>
      </c>
      <c r="D1330" s="2" t="s">
        <v>40</v>
      </c>
      <c r="E1330" s="5" t="s">
        <v>454</v>
      </c>
      <c r="F1330" s="3" t="s">
        <v>2009</v>
      </c>
      <c r="G1330" s="3" t="s">
        <v>75</v>
      </c>
      <c r="H1330" s="2" t="s">
        <v>22</v>
      </c>
      <c r="I1330" s="2" t="s">
        <v>3448</v>
      </c>
      <c r="J1330" s="3" t="str">
        <f>HYPERLINK("https://www.boe.es/gazeta/dias/1834/10/16/pdfs/GMD-1834-244.pdf#page=4","Abrir facsímil")</f>
        <v>Abrir facsímil</v>
      </c>
      <c r="K1330" s="3" t="s">
        <v>24</v>
      </c>
    </row>
    <row r="1331" spans="1:11" ht="54" customHeight="1">
      <c r="A1331" s="2" t="s">
        <v>3430</v>
      </c>
      <c r="B1331" s="2" t="s">
        <v>3430</v>
      </c>
      <c r="C1331" s="2" t="s">
        <v>17</v>
      </c>
      <c r="D1331" s="2" t="s">
        <v>18</v>
      </c>
      <c r="E1331" s="5" t="s">
        <v>883</v>
      </c>
      <c r="F1331" s="3" t="s">
        <v>3449</v>
      </c>
      <c r="G1331" s="3" t="s">
        <v>75</v>
      </c>
      <c r="H1331" s="2" t="s">
        <v>22</v>
      </c>
      <c r="I1331" s="2" t="s">
        <v>3450</v>
      </c>
      <c r="J1331" s="3" t="str">
        <f>HYPERLINK("https://www.boe.es/gazeta/dias/1834/11/16/pdfs/GMD-1834-275.pdf#page=4","Abrir facsímil")</f>
        <v>Abrir facsímil</v>
      </c>
      <c r="K1331" s="3" t="s">
        <v>24</v>
      </c>
    </row>
    <row r="1332" spans="1:11" ht="54" customHeight="1">
      <c r="A1332" s="2" t="s">
        <v>3430</v>
      </c>
      <c r="B1332" s="2" t="s">
        <v>3430</v>
      </c>
      <c r="C1332" s="2" t="s">
        <v>122</v>
      </c>
      <c r="D1332" s="2" t="s">
        <v>18</v>
      </c>
      <c r="E1332" s="5" t="s">
        <v>866</v>
      </c>
      <c r="F1332" s="3" t="s">
        <v>867</v>
      </c>
      <c r="G1332" s="3" t="s">
        <v>75</v>
      </c>
      <c r="H1332" s="2" t="s">
        <v>22</v>
      </c>
      <c r="I1332" s="2" t="s">
        <v>3451</v>
      </c>
      <c r="J1332" s="3" t="str">
        <f>HYPERLINK("https://www.boe.es/gazeta/dias/1834/01/18/pdfs/GMD-1834-9.pdf#page=4","Abrir facsímil")</f>
        <v>Abrir facsímil</v>
      </c>
      <c r="K1332" s="3" t="s">
        <v>24</v>
      </c>
    </row>
    <row r="1333" spans="1:11" ht="54" customHeight="1">
      <c r="A1333" s="2" t="s">
        <v>3430</v>
      </c>
      <c r="B1333" s="2" t="s">
        <v>3430</v>
      </c>
      <c r="C1333" s="2" t="s">
        <v>857</v>
      </c>
      <c r="D1333" s="2" t="s">
        <v>18</v>
      </c>
      <c r="E1333" s="5" t="s">
        <v>1572</v>
      </c>
      <c r="F1333" s="3" t="s">
        <v>1573</v>
      </c>
      <c r="G1333" s="3" t="s">
        <v>176</v>
      </c>
      <c r="H1333" s="2" t="s">
        <v>22</v>
      </c>
      <c r="I1333" s="2" t="s">
        <v>3452</v>
      </c>
      <c r="J1333" s="3" t="str">
        <f>HYPERLINK("https://www.boe.es/gazeta/dias/1834/03/20/pdfs/GMD-1834-35.pdf#page=6","Abrir facsímil")</f>
        <v>Abrir facsímil</v>
      </c>
      <c r="K1333" s="3" t="s">
        <v>24</v>
      </c>
    </row>
    <row r="1334" spans="1:11" ht="54" customHeight="1">
      <c r="A1334" s="2" t="s">
        <v>3430</v>
      </c>
      <c r="B1334" s="2" t="s">
        <v>3430</v>
      </c>
      <c r="C1334" s="2" t="s">
        <v>17</v>
      </c>
      <c r="D1334" s="2" t="s">
        <v>18</v>
      </c>
      <c r="E1334" s="5" t="s">
        <v>492</v>
      </c>
      <c r="F1334" s="3" t="s">
        <v>1672</v>
      </c>
      <c r="G1334" s="3" t="s">
        <v>75</v>
      </c>
      <c r="H1334" s="2" t="s">
        <v>22</v>
      </c>
      <c r="I1334" s="2" t="s">
        <v>3453</v>
      </c>
      <c r="J1334" s="3" t="str">
        <f>HYPERLINK("https://www.boe.es/gazeta/dias/1834/11/21/pdfs/GMD-1834-280.pdf#page=4","Abrir facsímil")</f>
        <v>Abrir facsímil</v>
      </c>
      <c r="K1334" s="3" t="s">
        <v>24</v>
      </c>
    </row>
    <row r="1335" spans="1:11" ht="54" customHeight="1">
      <c r="A1335" s="2" t="s">
        <v>3430</v>
      </c>
      <c r="B1335" s="2" t="s">
        <v>3430</v>
      </c>
      <c r="C1335" s="2" t="s">
        <v>17</v>
      </c>
      <c r="D1335" s="2" t="s">
        <v>18</v>
      </c>
      <c r="E1335" s="5" t="s">
        <v>610</v>
      </c>
      <c r="F1335" s="3" t="s">
        <v>1374</v>
      </c>
      <c r="G1335" s="3" t="s">
        <v>75</v>
      </c>
      <c r="H1335" s="2" t="s">
        <v>22</v>
      </c>
      <c r="I1335" s="2" t="s">
        <v>3454</v>
      </c>
      <c r="J1335" s="3" t="str">
        <f>HYPERLINK("https://www.boe.es/gazeta/dias/1834/12/21/pdfs/GMD-1834-311.pdf#page=4","Abrir facsímil")</f>
        <v>Abrir facsímil</v>
      </c>
      <c r="K1335" s="3" t="s">
        <v>24</v>
      </c>
    </row>
    <row r="1336" spans="1:11" ht="54" customHeight="1">
      <c r="A1336" s="2" t="s">
        <v>3430</v>
      </c>
      <c r="B1336" s="2" t="s">
        <v>3430</v>
      </c>
      <c r="C1336" s="2" t="s">
        <v>17</v>
      </c>
      <c r="D1336" s="2" t="s">
        <v>40</v>
      </c>
      <c r="E1336" s="5" t="s">
        <v>378</v>
      </c>
      <c r="F1336" s="3" t="s">
        <v>379</v>
      </c>
      <c r="G1336" s="3" t="s">
        <v>75</v>
      </c>
      <c r="H1336" s="2" t="s">
        <v>22</v>
      </c>
      <c r="I1336" s="2" t="s">
        <v>3455</v>
      </c>
      <c r="J1336" s="3" t="str">
        <f>HYPERLINK("https://www.boe.es/gazeta/dias/1834/09/24/pdfs/GMD-1834-222.pdf#page=4","Abrir facsímil")</f>
        <v>Abrir facsímil</v>
      </c>
      <c r="K1336" s="3" t="s">
        <v>24</v>
      </c>
    </row>
    <row r="1337" spans="1:11" ht="54" customHeight="1">
      <c r="A1337" s="2" t="s">
        <v>3430</v>
      </c>
      <c r="B1337" s="2" t="s">
        <v>3430</v>
      </c>
      <c r="C1337" s="2" t="s">
        <v>17</v>
      </c>
      <c r="D1337" s="2" t="s">
        <v>40</v>
      </c>
      <c r="E1337" s="5" t="s">
        <v>403</v>
      </c>
      <c r="F1337" s="3" t="s">
        <v>3456</v>
      </c>
      <c r="G1337" s="3" t="s">
        <v>75</v>
      </c>
      <c r="H1337" s="2" t="s">
        <v>22</v>
      </c>
      <c r="I1337" s="2" t="s">
        <v>3457</v>
      </c>
      <c r="J1337" s="3" t="str">
        <f>HYPERLINK("https://www.boe.es/gazeta/dias/1834/09/25/pdfs/GMD-1834-223.pdf#page=4","Abrir facsímil")</f>
        <v>Abrir facsímil</v>
      </c>
      <c r="K1337" s="3" t="s">
        <v>24</v>
      </c>
    </row>
    <row r="1338" spans="1:11" ht="54" customHeight="1">
      <c r="A1338" s="2" t="s">
        <v>3430</v>
      </c>
      <c r="B1338" s="2" t="s">
        <v>3430</v>
      </c>
      <c r="C1338" s="2" t="s">
        <v>17</v>
      </c>
      <c r="D1338" s="2" t="s">
        <v>18</v>
      </c>
      <c r="E1338" s="5" t="s">
        <v>1002</v>
      </c>
      <c r="F1338" s="3" t="s">
        <v>1003</v>
      </c>
      <c r="G1338" s="3" t="s">
        <v>75</v>
      </c>
      <c r="H1338" s="2" t="s">
        <v>22</v>
      </c>
      <c r="I1338" s="2" t="s">
        <v>3458</v>
      </c>
      <c r="J1338" s="3" t="str">
        <f>HYPERLINK("https://www.boe.es/gazeta/dias/1834/06/26/pdfs/GMD-1834-129.pdf#page=4","Abrir facsímil")</f>
        <v>Abrir facsímil</v>
      </c>
      <c r="K1338" s="3" t="s">
        <v>24</v>
      </c>
    </row>
    <row r="1339" spans="1:11" ht="54" customHeight="1">
      <c r="A1339" s="2" t="s">
        <v>3430</v>
      </c>
      <c r="B1339" s="2" t="s">
        <v>3430</v>
      </c>
      <c r="C1339" s="2" t="s">
        <v>17</v>
      </c>
      <c r="D1339" s="2" t="s">
        <v>18</v>
      </c>
      <c r="E1339" s="5" t="s">
        <v>510</v>
      </c>
      <c r="F1339" s="3" t="s">
        <v>511</v>
      </c>
      <c r="G1339" s="3" t="s">
        <v>75</v>
      </c>
      <c r="H1339" s="2" t="s">
        <v>22</v>
      </c>
      <c r="I1339" s="2" t="s">
        <v>3459</v>
      </c>
      <c r="J1339" s="3" t="str">
        <f>HYPERLINK("https://www.boe.es/gazeta/dias/1834/11/26/pdfs/GMD-1834-285.pdf#page=4","Abrir facsímil")</f>
        <v>Abrir facsímil</v>
      </c>
      <c r="K1339" s="3" t="s">
        <v>24</v>
      </c>
    </row>
    <row r="1340" spans="1:11" ht="54" customHeight="1">
      <c r="A1340" s="2" t="s">
        <v>3430</v>
      </c>
      <c r="B1340" s="2" t="s">
        <v>3430</v>
      </c>
      <c r="C1340" s="2" t="s">
        <v>17</v>
      </c>
      <c r="D1340" s="2" t="s">
        <v>18</v>
      </c>
      <c r="E1340" s="5" t="s">
        <v>1281</v>
      </c>
      <c r="F1340" s="3" t="s">
        <v>1282</v>
      </c>
      <c r="G1340" s="3" t="s">
        <v>75</v>
      </c>
      <c r="H1340" s="2" t="s">
        <v>22</v>
      </c>
      <c r="I1340" s="2" t="s">
        <v>3460</v>
      </c>
      <c r="J1340" s="3" t="str">
        <f>HYPERLINK("https://www.boe.es/gazeta/dias/1834/10/27/pdfs/GMD-1834-255.pdf#page=4","Abrir facsímil")</f>
        <v>Abrir facsímil</v>
      </c>
      <c r="K1340" s="3" t="s">
        <v>24</v>
      </c>
    </row>
    <row r="1341" spans="1:11" ht="54" customHeight="1">
      <c r="A1341" s="2" t="s">
        <v>3430</v>
      </c>
      <c r="B1341" s="2" t="s">
        <v>3430</v>
      </c>
      <c r="C1341" s="2" t="s">
        <v>66</v>
      </c>
      <c r="D1341" s="2" t="s">
        <v>67</v>
      </c>
      <c r="E1341" s="5" t="s">
        <v>803</v>
      </c>
      <c r="F1341" s="3" t="s">
        <v>804</v>
      </c>
      <c r="G1341" s="3" t="s">
        <v>75</v>
      </c>
      <c r="H1341" s="2" t="s">
        <v>22</v>
      </c>
      <c r="I1341" s="2" t="s">
        <v>3461</v>
      </c>
      <c r="J1341" s="3" t="str">
        <f>HYPERLINK("https://www.boe.es/gazeta/dias/1834/03/29/pdfs/GMD-1834-39.pdf#page=4","Abrir facsímil")</f>
        <v>Abrir facsímil</v>
      </c>
      <c r="K1341" s="3" t="s">
        <v>24</v>
      </c>
    </row>
    <row r="1342" spans="1:11" ht="54" customHeight="1">
      <c r="A1342" s="2" t="s">
        <v>3430</v>
      </c>
      <c r="B1342" s="2" t="s">
        <v>3430</v>
      </c>
      <c r="C1342" s="2" t="s">
        <v>17</v>
      </c>
      <c r="D1342" s="2" t="s">
        <v>18</v>
      </c>
      <c r="E1342" s="5" t="s">
        <v>1747</v>
      </c>
      <c r="F1342" s="3" t="s">
        <v>1748</v>
      </c>
      <c r="G1342" s="3" t="s">
        <v>75</v>
      </c>
      <c r="H1342" s="2" t="s">
        <v>22</v>
      </c>
      <c r="I1342" s="2" t="s">
        <v>3462</v>
      </c>
      <c r="J1342" s="3" t="str">
        <f>HYPERLINK("https://www.boe.es/gazeta/dias/1834/06/29/pdfs/GMD-1834-132.pdf#page=4","Abrir facsímil")</f>
        <v>Abrir facsímil</v>
      </c>
      <c r="K1342" s="3" t="s">
        <v>24</v>
      </c>
    </row>
    <row r="1343" spans="1:11" ht="54" customHeight="1">
      <c r="A1343" s="2" t="s">
        <v>3463</v>
      </c>
      <c r="B1343" s="2" t="s">
        <v>3464</v>
      </c>
      <c r="C1343" s="2" t="s">
        <v>17</v>
      </c>
      <c r="D1343" s="2" t="s">
        <v>18</v>
      </c>
      <c r="E1343" s="5" t="s">
        <v>1410</v>
      </c>
      <c r="F1343" s="3" t="s">
        <v>1411</v>
      </c>
      <c r="G1343" s="3" t="s">
        <v>21</v>
      </c>
      <c r="H1343" s="2" t="s">
        <v>35</v>
      </c>
      <c r="I1343" s="2" t="s">
        <v>3465</v>
      </c>
      <c r="J1343" s="3" t="str">
        <f>HYPERLINK("https://www.boe.es/gazeta/dias/1834/09/09/pdfs/GMD-1834-207.pdf#page=3","Abrir facsímil")</f>
        <v>Abrir facsímil</v>
      </c>
      <c r="K1343" s="3" t="s">
        <v>37</v>
      </c>
    </row>
    <row r="1344" spans="1:11" ht="54" customHeight="1">
      <c r="A1344" s="2" t="s">
        <v>3466</v>
      </c>
      <c r="B1344" s="2" t="s">
        <v>3467</v>
      </c>
      <c r="C1344" s="2" t="s">
        <v>17</v>
      </c>
      <c r="D1344" s="2" t="s">
        <v>18</v>
      </c>
      <c r="E1344" s="5" t="s">
        <v>1402</v>
      </c>
      <c r="F1344" s="3" t="s">
        <v>1403</v>
      </c>
      <c r="G1344" s="3" t="s">
        <v>86</v>
      </c>
      <c r="H1344" s="2" t="s">
        <v>35</v>
      </c>
      <c r="I1344" s="2" t="s">
        <v>3468</v>
      </c>
      <c r="J1344" s="3" t="str">
        <f>HYPERLINK("https://www.boe.es/gazeta/dias/1834/05/05/pdfs/I00347-00348.pdf#page=2","Abrir facsímil")</f>
        <v>Abrir facsímil</v>
      </c>
      <c r="K1344" s="3" t="s">
        <v>37</v>
      </c>
    </row>
    <row r="1345" spans="1:11" ht="54" customHeight="1">
      <c r="A1345" s="2" t="s">
        <v>3466</v>
      </c>
      <c r="B1345" s="2" t="s">
        <v>3467</v>
      </c>
      <c r="C1345" s="2" t="s">
        <v>17</v>
      </c>
      <c r="D1345" s="2" t="s">
        <v>18</v>
      </c>
      <c r="E1345" s="5" t="s">
        <v>1402</v>
      </c>
      <c r="F1345" s="3" t="s">
        <v>1403</v>
      </c>
      <c r="G1345" s="3" t="s">
        <v>176</v>
      </c>
      <c r="H1345" s="2" t="s">
        <v>35</v>
      </c>
      <c r="I1345" s="2" t="s">
        <v>3469</v>
      </c>
      <c r="J1345" s="3" t="str">
        <f>HYPERLINK("https://www.boe.es/gazeta/dias/1834/05/05/pdfs/GMD-1834-74.pdf#page=6","Abrir facsímil")</f>
        <v>Abrir facsímil</v>
      </c>
      <c r="K1345" s="3" t="s">
        <v>37</v>
      </c>
    </row>
    <row r="1346" spans="1:11" ht="54" customHeight="1">
      <c r="A1346" s="2" t="s">
        <v>3466</v>
      </c>
      <c r="B1346" s="2" t="s">
        <v>3467</v>
      </c>
      <c r="C1346" s="2" t="s">
        <v>17</v>
      </c>
      <c r="D1346" s="2" t="s">
        <v>18</v>
      </c>
      <c r="E1346" s="5" t="s">
        <v>364</v>
      </c>
      <c r="F1346" s="3" t="s">
        <v>2102</v>
      </c>
      <c r="G1346" s="3" t="s">
        <v>75</v>
      </c>
      <c r="H1346" s="2" t="s">
        <v>35</v>
      </c>
      <c r="I1346" s="2" t="s">
        <v>3470</v>
      </c>
      <c r="J1346" s="3" t="str">
        <f>HYPERLINK("https://www.boe.es/gazeta/dias/1834/09/06/pdfs/GMD-1834-204.pdf#page=4","Abrir facsímil")</f>
        <v>Abrir facsímil</v>
      </c>
      <c r="K1346" s="3" t="s">
        <v>37</v>
      </c>
    </row>
    <row r="1347" spans="1:11" ht="54" customHeight="1">
      <c r="A1347" s="2" t="s">
        <v>3466</v>
      </c>
      <c r="B1347" s="2" t="s">
        <v>3467</v>
      </c>
      <c r="C1347" s="2" t="s">
        <v>17</v>
      </c>
      <c r="D1347" s="2" t="s">
        <v>18</v>
      </c>
      <c r="E1347" s="5" t="s">
        <v>3471</v>
      </c>
      <c r="F1347" s="3" t="s">
        <v>3472</v>
      </c>
      <c r="G1347" s="3" t="s">
        <v>75</v>
      </c>
      <c r="H1347" s="2" t="s">
        <v>35</v>
      </c>
      <c r="I1347" s="2" t="s">
        <v>3473</v>
      </c>
      <c r="J1347" s="3" t="str">
        <f>HYPERLINK("https://www.boe.es/gazeta/dias/1834/07/07/pdfs/GMD-1834-140.pdf#page=4","Abrir facsímil")</f>
        <v>Abrir facsímil</v>
      </c>
      <c r="K1347" s="3" t="s">
        <v>37</v>
      </c>
    </row>
    <row r="1348" spans="1:11" ht="54" customHeight="1">
      <c r="A1348" s="2" t="s">
        <v>3474</v>
      </c>
      <c r="B1348" s="2" t="s">
        <v>3475</v>
      </c>
      <c r="C1348" s="2" t="s">
        <v>17</v>
      </c>
      <c r="D1348" s="2" t="s">
        <v>18</v>
      </c>
      <c r="E1348" s="5" t="s">
        <v>1653</v>
      </c>
      <c r="F1348" s="3" t="s">
        <v>1654</v>
      </c>
      <c r="G1348" s="3" t="s">
        <v>75</v>
      </c>
      <c r="H1348" s="2" t="s">
        <v>22</v>
      </c>
      <c r="I1348" s="2" t="s">
        <v>3476</v>
      </c>
      <c r="J1348" s="3" t="str">
        <f>HYPERLINK("https://www.boe.es/gazeta/dias/1834/07/03/pdfs/GMD-1834-136.pdf#page=4","Abrir facsímil")</f>
        <v>Abrir facsímil</v>
      </c>
      <c r="K1348" s="3" t="s">
        <v>24</v>
      </c>
    </row>
    <row r="1349" spans="1:11" ht="54" customHeight="1">
      <c r="A1349" s="2" t="s">
        <v>3477</v>
      </c>
      <c r="B1349" s="2" t="s">
        <v>3478</v>
      </c>
      <c r="C1349" s="2" t="s">
        <v>17</v>
      </c>
      <c r="D1349" s="2" t="s">
        <v>18</v>
      </c>
      <c r="E1349" s="5" t="s">
        <v>1410</v>
      </c>
      <c r="F1349" s="3" t="s">
        <v>1411</v>
      </c>
      <c r="G1349" s="3" t="s">
        <v>21</v>
      </c>
      <c r="H1349" s="2" t="s">
        <v>22</v>
      </c>
      <c r="I1349" s="2" t="s">
        <v>3479</v>
      </c>
      <c r="J1349" s="3" t="str">
        <f>HYPERLINK("https://www.boe.es/gazeta/dias/1834/09/09/pdfs/GMD-1834-207.pdf#page=3","Abrir facsímil")</f>
        <v>Abrir facsímil</v>
      </c>
      <c r="K1349" s="3" t="s">
        <v>24</v>
      </c>
    </row>
    <row r="1350" spans="1:11" ht="54" customHeight="1">
      <c r="A1350" s="2" t="s">
        <v>3480</v>
      </c>
      <c r="B1350" s="2" t="s">
        <v>3481</v>
      </c>
      <c r="C1350" s="2" t="s">
        <v>17</v>
      </c>
      <c r="D1350" s="2" t="s">
        <v>18</v>
      </c>
      <c r="E1350" s="5" t="s">
        <v>1402</v>
      </c>
      <c r="F1350" s="3" t="s">
        <v>1403</v>
      </c>
      <c r="G1350" s="3" t="s">
        <v>86</v>
      </c>
      <c r="H1350" s="2" t="s">
        <v>22</v>
      </c>
      <c r="I1350" s="2" t="s">
        <v>3482</v>
      </c>
      <c r="J1350" s="3" t="str">
        <f>HYPERLINK("https://www.boe.es/gazeta/dias/1834/05/05/pdfs/I00347-00348.pdf#page=2","Abrir facsímil")</f>
        <v>Abrir facsímil</v>
      </c>
      <c r="K1350" s="3" t="s">
        <v>24</v>
      </c>
    </row>
    <row r="1351" spans="1:11" ht="54" customHeight="1">
      <c r="A1351" s="2" t="s">
        <v>3480</v>
      </c>
      <c r="B1351" s="2" t="s">
        <v>3481</v>
      </c>
      <c r="C1351" s="2" t="s">
        <v>17</v>
      </c>
      <c r="D1351" s="2" t="s">
        <v>18</v>
      </c>
      <c r="E1351" s="5" t="s">
        <v>1402</v>
      </c>
      <c r="F1351" s="3" t="s">
        <v>1403</v>
      </c>
      <c r="G1351" s="3" t="s">
        <v>176</v>
      </c>
      <c r="H1351" s="2" t="s">
        <v>22</v>
      </c>
      <c r="I1351" s="2" t="s">
        <v>3483</v>
      </c>
      <c r="J1351" s="3" t="str">
        <f>HYPERLINK("https://www.boe.es/gazeta/dias/1834/05/05/pdfs/GMD-1834-74.pdf#page=6","Abrir facsímil")</f>
        <v>Abrir facsímil</v>
      </c>
      <c r="K1351" s="3" t="s">
        <v>24</v>
      </c>
    </row>
    <row r="1352" spans="1:11" ht="54" customHeight="1">
      <c r="A1352" s="2" t="s">
        <v>3480</v>
      </c>
      <c r="B1352" s="2" t="s">
        <v>3481</v>
      </c>
      <c r="C1352" s="2" t="s">
        <v>17</v>
      </c>
      <c r="D1352" s="2" t="s">
        <v>18</v>
      </c>
      <c r="E1352" s="5" t="s">
        <v>734</v>
      </c>
      <c r="F1352" s="3" t="s">
        <v>735</v>
      </c>
      <c r="G1352" s="3" t="s">
        <v>75</v>
      </c>
      <c r="H1352" s="2" t="s">
        <v>22</v>
      </c>
      <c r="I1352" s="2" t="s">
        <v>3484</v>
      </c>
      <c r="J1352" s="3" t="str">
        <f>HYPERLINK("https://www.boe.es/gazeta/dias/1834/05/06/pdfs/GMD-1834-75.pdf#page=4","Abrir facsímil")</f>
        <v>Abrir facsímil</v>
      </c>
      <c r="K1352" s="3" t="s">
        <v>24</v>
      </c>
    </row>
    <row r="1353" spans="1:11" ht="54" customHeight="1">
      <c r="A1353" s="2" t="s">
        <v>3480</v>
      </c>
      <c r="B1353" s="2" t="s">
        <v>3481</v>
      </c>
      <c r="C1353" s="2" t="s">
        <v>17</v>
      </c>
      <c r="D1353" s="2" t="s">
        <v>18</v>
      </c>
      <c r="E1353" s="5" t="s">
        <v>364</v>
      </c>
      <c r="F1353" s="3" t="s">
        <v>2102</v>
      </c>
      <c r="G1353" s="3" t="s">
        <v>75</v>
      </c>
      <c r="H1353" s="2" t="s">
        <v>22</v>
      </c>
      <c r="I1353" s="2" t="s">
        <v>3485</v>
      </c>
      <c r="J1353" s="3" t="str">
        <f>HYPERLINK("https://www.boe.es/gazeta/dias/1834/09/06/pdfs/GMD-1834-204.pdf#page=4","Abrir facsímil")</f>
        <v>Abrir facsímil</v>
      </c>
      <c r="K1353" s="3" t="s">
        <v>24</v>
      </c>
    </row>
    <row r="1354" spans="1:11" ht="54" customHeight="1">
      <c r="A1354" s="2" t="s">
        <v>3480</v>
      </c>
      <c r="B1354" s="2" t="s">
        <v>3481</v>
      </c>
      <c r="C1354" s="2" t="s">
        <v>17</v>
      </c>
      <c r="D1354" s="2" t="s">
        <v>18</v>
      </c>
      <c r="E1354" s="5" t="s">
        <v>3471</v>
      </c>
      <c r="F1354" s="3" t="s">
        <v>3472</v>
      </c>
      <c r="G1354" s="3" t="s">
        <v>75</v>
      </c>
      <c r="H1354" s="2" t="s">
        <v>22</v>
      </c>
      <c r="I1354" s="2" t="s">
        <v>3486</v>
      </c>
      <c r="J1354" s="3" t="str">
        <f>HYPERLINK("https://www.boe.es/gazeta/dias/1834/07/07/pdfs/GMD-1834-140.pdf#page=4","Abrir facsímil")</f>
        <v>Abrir facsímil</v>
      </c>
      <c r="K1354" s="3" t="s">
        <v>24</v>
      </c>
    </row>
    <row r="1355" spans="1:11" ht="54" customHeight="1">
      <c r="A1355" s="2" t="s">
        <v>3487</v>
      </c>
      <c r="B1355" s="2" t="s">
        <v>3487</v>
      </c>
      <c r="C1355" s="2" t="s">
        <v>122</v>
      </c>
      <c r="D1355" s="2" t="s">
        <v>40</v>
      </c>
      <c r="E1355" s="5" t="s">
        <v>3488</v>
      </c>
      <c r="F1355" s="3" t="s">
        <v>3489</v>
      </c>
      <c r="G1355" s="3" t="s">
        <v>75</v>
      </c>
      <c r="H1355" s="2" t="s">
        <v>22</v>
      </c>
      <c r="I1355" s="2" t="s">
        <v>3490</v>
      </c>
      <c r="J1355" s="3" t="str">
        <f>HYPERLINK("https://www.boe.es/gazeta/dias/1834/06/22/pdfs/GMD-1834-125.pdf#page=4","Abrir facsímil")</f>
        <v>Abrir facsímil</v>
      </c>
      <c r="K1355" s="3" t="s">
        <v>24</v>
      </c>
    </row>
    <row r="1356" spans="1:11" ht="54" customHeight="1">
      <c r="A1356" s="2" t="s">
        <v>3487</v>
      </c>
      <c r="B1356" s="2" t="s">
        <v>3487</v>
      </c>
      <c r="C1356" s="2" t="s">
        <v>17</v>
      </c>
      <c r="D1356" s="2" t="s">
        <v>18</v>
      </c>
      <c r="E1356" s="5" t="s">
        <v>247</v>
      </c>
      <c r="F1356" s="3" t="s">
        <v>248</v>
      </c>
      <c r="G1356" s="3" t="s">
        <v>86</v>
      </c>
      <c r="H1356" s="2" t="s">
        <v>22</v>
      </c>
      <c r="I1356" s="2" t="s">
        <v>3491</v>
      </c>
      <c r="J1356" s="3" t="str">
        <f>HYPERLINK("https://www.boe.es/gazeta/dias/1834/08/23/pdfs/GMD-C-1834-189.pdf#page=2","Abrir facsímil")</f>
        <v>Abrir facsímil</v>
      </c>
      <c r="K1356" s="3" t="s">
        <v>24</v>
      </c>
    </row>
    <row r="1357" spans="1:11" ht="54" customHeight="1">
      <c r="A1357" s="2" t="s">
        <v>3492</v>
      </c>
      <c r="B1357" s="2" t="s">
        <v>3493</v>
      </c>
      <c r="C1357" s="2" t="s">
        <v>17</v>
      </c>
      <c r="D1357" s="2" t="s">
        <v>18</v>
      </c>
      <c r="E1357" s="5" t="s">
        <v>247</v>
      </c>
      <c r="F1357" s="3" t="s">
        <v>248</v>
      </c>
      <c r="G1357" s="3" t="s">
        <v>86</v>
      </c>
      <c r="H1357" s="2" t="s">
        <v>35</v>
      </c>
      <c r="I1357" s="2" t="s">
        <v>3494</v>
      </c>
      <c r="J1357" s="3" t="str">
        <f>HYPERLINK("https://www.boe.es/gazeta/dias/1834/08/23/pdfs/GMD-C-1834-189.pdf#page=2","Abrir facsímil")</f>
        <v>Abrir facsímil</v>
      </c>
      <c r="K1357" s="3" t="s">
        <v>37</v>
      </c>
    </row>
    <row r="1358" spans="1:11" ht="54" customHeight="1">
      <c r="A1358" s="2" t="s">
        <v>3495</v>
      </c>
      <c r="B1358" s="2" t="s">
        <v>3496</v>
      </c>
      <c r="C1358" s="2" t="s">
        <v>857</v>
      </c>
      <c r="D1358" s="2" t="s">
        <v>40</v>
      </c>
      <c r="E1358" s="5" t="s">
        <v>870</v>
      </c>
      <c r="F1358" s="3" t="s">
        <v>871</v>
      </c>
      <c r="G1358" s="3" t="s">
        <v>75</v>
      </c>
      <c r="H1358" s="2" t="s">
        <v>22</v>
      </c>
      <c r="I1358" s="2" t="s">
        <v>3497</v>
      </c>
      <c r="J1358" s="3" t="str">
        <f>HYPERLINK("https://www.boe.es/gazeta/dias/1834/05/28/pdfs/GMD-1834-97.pdf#page=4","Abrir facsímil")</f>
        <v>Abrir facsímil</v>
      </c>
      <c r="K1358" s="3" t="s">
        <v>24</v>
      </c>
    </row>
    <row r="1359" spans="1:11" ht="54" customHeight="1">
      <c r="A1359" s="2" t="s">
        <v>3498</v>
      </c>
      <c r="B1359" s="2" t="s">
        <v>3498</v>
      </c>
      <c r="C1359" s="2" t="s">
        <v>17</v>
      </c>
      <c r="D1359" s="2" t="s">
        <v>18</v>
      </c>
      <c r="E1359" s="5" t="s">
        <v>3499</v>
      </c>
      <c r="F1359" s="3" t="s">
        <v>3500</v>
      </c>
      <c r="G1359" s="3" t="s">
        <v>86</v>
      </c>
      <c r="H1359" s="2" t="s">
        <v>22</v>
      </c>
      <c r="I1359" s="2" t="s">
        <v>3501</v>
      </c>
      <c r="J1359" s="3" t="str">
        <f>HYPERLINK("https://www.boe.es/gazeta/dias/1834/01/28/pdfs/GMD-1834-13.pdf#page=2","Abrir facsímil")</f>
        <v>Abrir facsímil</v>
      </c>
      <c r="K1359" s="3" t="s">
        <v>24</v>
      </c>
    </row>
    <row r="1360" spans="1:11" ht="54" customHeight="1">
      <c r="A1360" s="2" t="s">
        <v>3502</v>
      </c>
      <c r="B1360" s="2" t="s">
        <v>3503</v>
      </c>
      <c r="C1360" s="2" t="s">
        <v>90</v>
      </c>
      <c r="D1360" s="2" t="s">
        <v>67</v>
      </c>
      <c r="E1360" s="5" t="s">
        <v>167</v>
      </c>
      <c r="F1360" s="3" t="s">
        <v>1200</v>
      </c>
      <c r="G1360" s="3" t="s">
        <v>86</v>
      </c>
      <c r="H1360" s="2" t="s">
        <v>22</v>
      </c>
      <c r="I1360" s="2" t="s">
        <v>3504</v>
      </c>
      <c r="J1360" s="3" t="str">
        <f>HYPERLINK("https://www.boe.es/gazeta/dias/1834/09/07/pdfs/GMD-C-1834-205.pdf#page=2","Abrir facsímil")</f>
        <v>Abrir facsímil</v>
      </c>
      <c r="K1360" s="3" t="s">
        <v>24</v>
      </c>
    </row>
    <row r="1361" spans="1:11" ht="54" customHeight="1">
      <c r="A1361" s="2" t="s">
        <v>3505</v>
      </c>
      <c r="B1361" s="2" t="s">
        <v>3506</v>
      </c>
      <c r="C1361" s="2" t="s">
        <v>17</v>
      </c>
      <c r="D1361" s="2" t="s">
        <v>18</v>
      </c>
      <c r="E1361" s="5" t="s">
        <v>633</v>
      </c>
      <c r="F1361" s="3" t="s">
        <v>634</v>
      </c>
      <c r="G1361" s="3" t="s">
        <v>21</v>
      </c>
      <c r="H1361" s="2" t="s">
        <v>22</v>
      </c>
      <c r="I1361" s="2" t="s">
        <v>3507</v>
      </c>
      <c r="J1361" s="3" t="str">
        <f>HYPERLINK("https://www.boe.es/gazeta/dias/1834/10/24/pdfs/GMD-1834-252.pdf#page=3","Abrir facsímil")</f>
        <v>Abrir facsímil</v>
      </c>
      <c r="K1361" s="3" t="s">
        <v>24</v>
      </c>
    </row>
    <row r="1362" spans="1:11" ht="54" customHeight="1">
      <c r="A1362" s="2" t="s">
        <v>3508</v>
      </c>
      <c r="B1362" s="2" t="s">
        <v>3509</v>
      </c>
      <c r="C1362" s="2" t="s">
        <v>17</v>
      </c>
      <c r="D1362" s="2" t="s">
        <v>18</v>
      </c>
      <c r="E1362" s="5" t="s">
        <v>3471</v>
      </c>
      <c r="F1362" s="3" t="s">
        <v>3472</v>
      </c>
      <c r="G1362" s="3" t="s">
        <v>75</v>
      </c>
      <c r="H1362" s="2" t="s">
        <v>22</v>
      </c>
      <c r="I1362" s="2" t="s">
        <v>3510</v>
      </c>
      <c r="J1362" s="3" t="str">
        <f>HYPERLINK("https://www.boe.es/gazeta/dias/1834/07/07/pdfs/GMD-1834-140.pdf#page=4","Abrir facsímil")</f>
        <v>Abrir facsímil</v>
      </c>
      <c r="K1362" s="3" t="s">
        <v>24</v>
      </c>
    </row>
    <row r="1363" spans="1:11" ht="54" customHeight="1">
      <c r="A1363" s="2" t="s">
        <v>3511</v>
      </c>
      <c r="B1363" s="2" t="s">
        <v>3512</v>
      </c>
      <c r="C1363" s="2" t="s">
        <v>17</v>
      </c>
      <c r="D1363" s="2" t="s">
        <v>18</v>
      </c>
      <c r="E1363" s="5" t="s">
        <v>251</v>
      </c>
      <c r="F1363" s="3" t="s">
        <v>252</v>
      </c>
      <c r="G1363" s="3" t="s">
        <v>470</v>
      </c>
      <c r="H1363" s="2" t="s">
        <v>22</v>
      </c>
      <c r="I1363" s="2" t="s">
        <v>3513</v>
      </c>
      <c r="J1363" s="3" t="str">
        <f>HYPERLINK("https://www.boe.es/gazeta/dias/1834/09/26/pdfs/GMD-C-1834-224.pdf#page=8","Abrir facsímil")</f>
        <v>Abrir facsímil</v>
      </c>
      <c r="K1363" s="3" t="s">
        <v>24</v>
      </c>
    </row>
    <row r="1364" spans="1:11" ht="54" customHeight="1">
      <c r="A1364" s="2" t="s">
        <v>3514</v>
      </c>
      <c r="B1364" s="2" t="s">
        <v>3515</v>
      </c>
      <c r="C1364" s="2" t="s">
        <v>17</v>
      </c>
      <c r="D1364" s="2" t="s">
        <v>18</v>
      </c>
      <c r="E1364" s="5" t="s">
        <v>183</v>
      </c>
      <c r="F1364" s="3" t="s">
        <v>184</v>
      </c>
      <c r="G1364" s="3" t="s">
        <v>75</v>
      </c>
      <c r="H1364" s="2" t="s">
        <v>35</v>
      </c>
      <c r="I1364" s="2" t="s">
        <v>3516</v>
      </c>
      <c r="J1364" s="3" t="str">
        <f>HYPERLINK("https://www.boe.es/gazeta/dias/1834/03/18/pdfs/GMD-1834-34.pdf#page=4","Abrir facsímil")</f>
        <v>Abrir facsímil</v>
      </c>
      <c r="K1364" s="3" t="s">
        <v>37</v>
      </c>
    </row>
    <row r="1365" spans="1:11" ht="54" customHeight="1">
      <c r="A1365" s="2" t="s">
        <v>3517</v>
      </c>
      <c r="B1365" s="2" t="s">
        <v>3518</v>
      </c>
      <c r="C1365" s="2" t="s">
        <v>17</v>
      </c>
      <c r="D1365" s="2" t="s">
        <v>18</v>
      </c>
      <c r="E1365" s="5" t="s">
        <v>183</v>
      </c>
      <c r="F1365" s="3" t="s">
        <v>184</v>
      </c>
      <c r="G1365" s="3" t="s">
        <v>75</v>
      </c>
      <c r="H1365" s="2" t="s">
        <v>22</v>
      </c>
      <c r="I1365" s="2" t="s">
        <v>3519</v>
      </c>
      <c r="J1365" s="3" t="str">
        <f>HYPERLINK("https://www.boe.es/gazeta/dias/1834/03/18/pdfs/GMD-1834-34.pdf#page=4","Abrir facsímil")</f>
        <v>Abrir facsímil</v>
      </c>
      <c r="K1365" s="3" t="s">
        <v>24</v>
      </c>
    </row>
    <row r="1366" spans="1:11" ht="54" customHeight="1">
      <c r="A1366" s="2" t="s">
        <v>3520</v>
      </c>
      <c r="B1366" s="2" t="s">
        <v>3521</v>
      </c>
      <c r="C1366" s="2" t="s">
        <v>857</v>
      </c>
      <c r="D1366" s="2" t="s">
        <v>18</v>
      </c>
      <c r="E1366" s="5" t="s">
        <v>73</v>
      </c>
      <c r="F1366" s="3" t="s">
        <v>74</v>
      </c>
      <c r="G1366" s="3" t="s">
        <v>75</v>
      </c>
      <c r="H1366" s="2" t="s">
        <v>22</v>
      </c>
      <c r="I1366" s="2" t="s">
        <v>3522</v>
      </c>
      <c r="J1366" s="3" t="str">
        <f>HYPERLINK("https://www.boe.es/gazeta/dias/1834/11/04/pdfs/GMD-1834-263.pdf#page=4","Abrir facsímil")</f>
        <v>Abrir facsímil</v>
      </c>
      <c r="K1366" s="3" t="s">
        <v>24</v>
      </c>
    </row>
    <row r="1367" spans="1:11" ht="54" customHeight="1">
      <c r="A1367" s="2" t="s">
        <v>3523</v>
      </c>
      <c r="B1367" s="2" t="s">
        <v>3524</v>
      </c>
      <c r="C1367" s="2" t="s">
        <v>66</v>
      </c>
      <c r="D1367" s="2" t="s">
        <v>18</v>
      </c>
      <c r="E1367" s="5" t="s">
        <v>32</v>
      </c>
      <c r="F1367" s="3" t="s">
        <v>33</v>
      </c>
      <c r="G1367" s="3" t="s">
        <v>34</v>
      </c>
      <c r="H1367" s="2" t="s">
        <v>22</v>
      </c>
      <c r="I1367" s="2" t="s">
        <v>3525</v>
      </c>
      <c r="J1367" s="3" t="str">
        <f>HYPERLINK("https://www.boe.es/gazeta/dias/1834/04/23/pdfs/GMD-1834-62.pdf#page=1","Abrir facsímil")</f>
        <v>Abrir facsímil</v>
      </c>
      <c r="K1367" s="3" t="s">
        <v>24</v>
      </c>
    </row>
    <row r="1368" spans="1:11" ht="54" customHeight="1">
      <c r="A1368" s="2" t="s">
        <v>3523</v>
      </c>
      <c r="B1368" s="2" t="s">
        <v>3524</v>
      </c>
      <c r="C1368" s="2" t="s">
        <v>17</v>
      </c>
      <c r="D1368" s="2" t="s">
        <v>101</v>
      </c>
      <c r="E1368" s="5" t="s">
        <v>32</v>
      </c>
      <c r="F1368" s="3" t="s">
        <v>33</v>
      </c>
      <c r="G1368" s="3" t="s">
        <v>86</v>
      </c>
      <c r="H1368" s="2" t="s">
        <v>22</v>
      </c>
      <c r="I1368" s="2" t="s">
        <v>3526</v>
      </c>
      <c r="J1368" s="3" t="str">
        <f>HYPERLINK("https://www.boe.es/gazeta/dias/1834/04/23/pdfs/GMD-1834-62.pdf#page=2","Abrir facsímil")</f>
        <v>Abrir facsímil</v>
      </c>
      <c r="K1368" s="3" t="s">
        <v>24</v>
      </c>
    </row>
    <row r="1369" spans="1:11" ht="54" customHeight="1">
      <c r="A1369" s="2" t="s">
        <v>3527</v>
      </c>
      <c r="B1369" s="2" t="s">
        <v>3528</v>
      </c>
      <c r="C1369" s="2" t="s">
        <v>46</v>
      </c>
      <c r="D1369" s="2" t="s">
        <v>101</v>
      </c>
      <c r="E1369" s="5" t="s">
        <v>268</v>
      </c>
      <c r="F1369" s="3" t="s">
        <v>3529</v>
      </c>
      <c r="G1369" s="3" t="s">
        <v>21</v>
      </c>
      <c r="H1369" s="2" t="s">
        <v>22</v>
      </c>
      <c r="I1369" s="2" t="s">
        <v>3530</v>
      </c>
      <c r="J1369" s="3" t="str">
        <f>HYPERLINK("https://www.boe.es/gazeta/dias/1834/12/19/pdfs/GMD-1834-309.pdf#page=3","Abrir facsímil")</f>
        <v>Abrir facsímil</v>
      </c>
      <c r="K1369" s="3" t="s">
        <v>24</v>
      </c>
    </row>
    <row r="1370" spans="1:11" ht="54" customHeight="1">
      <c r="A1370" s="2" t="s">
        <v>3531</v>
      </c>
      <c r="B1370" s="2" t="s">
        <v>3532</v>
      </c>
      <c r="C1370" s="2" t="s">
        <v>17</v>
      </c>
      <c r="D1370" s="2" t="s">
        <v>18</v>
      </c>
      <c r="E1370" s="5" t="s">
        <v>1333</v>
      </c>
      <c r="F1370" s="3" t="s">
        <v>1334</v>
      </c>
      <c r="G1370" s="3" t="s">
        <v>34</v>
      </c>
      <c r="H1370" s="2" t="s">
        <v>22</v>
      </c>
      <c r="I1370" s="2" t="s">
        <v>3533</v>
      </c>
      <c r="J1370" s="3" t="str">
        <f>HYPERLINK("https://www.boe.es/gazeta/dias/1834/04/01/pdfs/GMD-1834-40.pdf#page=1","Abrir facsímil")</f>
        <v>Abrir facsímil</v>
      </c>
      <c r="K1370" s="3" t="s">
        <v>24</v>
      </c>
    </row>
    <row r="1371" spans="1:11" ht="54" customHeight="1">
      <c r="A1371" s="2" t="s">
        <v>3534</v>
      </c>
      <c r="B1371" s="2" t="s">
        <v>3535</v>
      </c>
      <c r="C1371" s="2" t="s">
        <v>66</v>
      </c>
      <c r="D1371" s="2" t="s">
        <v>67</v>
      </c>
      <c r="E1371" s="5" t="s">
        <v>1170</v>
      </c>
      <c r="F1371" s="3" t="s">
        <v>1171</v>
      </c>
      <c r="G1371" s="3" t="s">
        <v>176</v>
      </c>
      <c r="H1371" s="2" t="s">
        <v>22</v>
      </c>
      <c r="I1371" s="2" t="s">
        <v>3536</v>
      </c>
      <c r="J1371" s="3" t="str">
        <f>HYPERLINK("https://www.boe.es/gazeta/dias/1834/01/07/pdfs/GMD-1834-4.pdf#page=6","Abrir facsímil")</f>
        <v>Abrir facsímil</v>
      </c>
      <c r="K1371" s="3" t="s">
        <v>24</v>
      </c>
    </row>
    <row r="1372" spans="1:11" ht="54" customHeight="1">
      <c r="A1372" s="2" t="s">
        <v>3537</v>
      </c>
      <c r="B1372" s="2" t="s">
        <v>3538</v>
      </c>
      <c r="C1372" s="2" t="s">
        <v>17</v>
      </c>
      <c r="D1372" s="2" t="s">
        <v>40</v>
      </c>
      <c r="E1372" s="5" t="s">
        <v>1103</v>
      </c>
      <c r="F1372" s="3" t="s">
        <v>1259</v>
      </c>
      <c r="G1372" s="3" t="s">
        <v>21</v>
      </c>
      <c r="H1372" s="2" t="s">
        <v>22</v>
      </c>
      <c r="I1372" s="2" t="s">
        <v>3539</v>
      </c>
      <c r="J1372" s="3" t="str">
        <f>HYPERLINK("https://www.boe.es/gazeta/dias/1834/10/10/pdfs/GMD-1834-238.pdf#page=3","Abrir facsímil")</f>
        <v>Abrir facsímil</v>
      </c>
      <c r="K1372" s="3" t="s">
        <v>24</v>
      </c>
    </row>
    <row r="1373" spans="1:11" ht="54" customHeight="1">
      <c r="A1373" s="2" t="s">
        <v>3540</v>
      </c>
      <c r="B1373" s="2" t="s">
        <v>3540</v>
      </c>
      <c r="C1373" s="2" t="s">
        <v>17</v>
      </c>
      <c r="D1373" s="2" t="s">
        <v>18</v>
      </c>
      <c r="E1373" s="5" t="s">
        <v>1742</v>
      </c>
      <c r="F1373" s="3" t="s">
        <v>1743</v>
      </c>
      <c r="G1373" s="3" t="s">
        <v>21</v>
      </c>
      <c r="H1373" s="2" t="s">
        <v>22</v>
      </c>
      <c r="I1373" s="2" t="s">
        <v>3541</v>
      </c>
      <c r="J1373" s="3" t="str">
        <f>HYPERLINK("https://www.boe.es/gazeta/dias/1834/11/06/pdfs/GMD-1834-265.pdf#page=3","Abrir facsímil")</f>
        <v>Abrir facsímil</v>
      </c>
      <c r="K1373" s="3" t="s">
        <v>24</v>
      </c>
    </row>
    <row r="1374" spans="1:11" ht="54" customHeight="1">
      <c r="A1374" s="2" t="s">
        <v>3542</v>
      </c>
      <c r="B1374" s="2" t="s">
        <v>3543</v>
      </c>
      <c r="C1374" s="2" t="s">
        <v>122</v>
      </c>
      <c r="D1374" s="2" t="s">
        <v>18</v>
      </c>
      <c r="E1374" s="5" t="s">
        <v>247</v>
      </c>
      <c r="F1374" s="3" t="s">
        <v>2805</v>
      </c>
      <c r="G1374" s="3" t="s">
        <v>75</v>
      </c>
      <c r="H1374" s="2" t="s">
        <v>22</v>
      </c>
      <c r="I1374" s="2" t="s">
        <v>3544</v>
      </c>
      <c r="J1374" s="3" t="str">
        <f>HYPERLINK("https://www.boe.es/gazeta/dias/1834/08/23/pdfs/GMD-1834-189.pdf#page=4","Abrir facsímil")</f>
        <v>Abrir facsímil</v>
      </c>
      <c r="K1374" s="3" t="s">
        <v>24</v>
      </c>
    </row>
    <row r="1375" spans="1:11" ht="54" customHeight="1">
      <c r="A1375" s="2" t="s">
        <v>3545</v>
      </c>
      <c r="B1375" s="2" t="s">
        <v>3546</v>
      </c>
      <c r="C1375" s="2" t="s">
        <v>17</v>
      </c>
      <c r="D1375" s="2" t="s">
        <v>18</v>
      </c>
      <c r="E1375" s="5" t="s">
        <v>1850</v>
      </c>
      <c r="F1375" s="3" t="s">
        <v>1851</v>
      </c>
      <c r="G1375" s="3" t="s">
        <v>28</v>
      </c>
      <c r="H1375" s="2" t="s">
        <v>22</v>
      </c>
      <c r="I1375" s="2" t="s">
        <v>3547</v>
      </c>
      <c r="J1375" s="3" t="str">
        <f>HYPERLINK("https://www.boe.es/gazeta/dias/1834/02/18/pdfs/GMD-1834-22.pdf#page=5","Abrir facsímil")</f>
        <v>Abrir facsímil</v>
      </c>
      <c r="K1375" s="3" t="s">
        <v>24</v>
      </c>
    </row>
    <row r="1376" spans="1:11" ht="54" customHeight="1">
      <c r="A1376" s="2" t="s">
        <v>3548</v>
      </c>
      <c r="B1376" s="2" t="s">
        <v>3549</v>
      </c>
      <c r="C1376" s="2" t="s">
        <v>17</v>
      </c>
      <c r="D1376" s="2" t="s">
        <v>55</v>
      </c>
      <c r="E1376" s="5" t="s">
        <v>304</v>
      </c>
      <c r="F1376" s="3" t="s">
        <v>305</v>
      </c>
      <c r="G1376" s="3" t="s">
        <v>28</v>
      </c>
      <c r="H1376" s="2" t="s">
        <v>22</v>
      </c>
      <c r="I1376" s="2" t="s">
        <v>3550</v>
      </c>
      <c r="J1376" s="3" t="str">
        <f>HYPERLINK("https://www.boe.es/gazeta/dias/1834/01/21/pdfs/GMD-1834-10.pdf#page=5","Abrir facsímil")</f>
        <v>Abrir facsímil</v>
      </c>
      <c r="K1376" s="3" t="s">
        <v>24</v>
      </c>
    </row>
    <row r="1377" spans="1:11" ht="54" customHeight="1">
      <c r="A1377" s="2" t="s">
        <v>3551</v>
      </c>
      <c r="B1377" s="2" t="s">
        <v>3552</v>
      </c>
      <c r="C1377" s="2" t="s">
        <v>90</v>
      </c>
      <c r="D1377" s="2" t="s">
        <v>18</v>
      </c>
      <c r="E1377" s="5" t="s">
        <v>563</v>
      </c>
      <c r="F1377" s="3" t="s">
        <v>564</v>
      </c>
      <c r="G1377" s="3" t="s">
        <v>86</v>
      </c>
      <c r="H1377" s="2" t="s">
        <v>22</v>
      </c>
      <c r="I1377" s="2" t="s">
        <v>3553</v>
      </c>
      <c r="J1377" s="3" t="str">
        <f>HYPERLINK("https://www.boe.es/gazeta/dias/1834/04/19/pdfs/GMD-1834-58.pdf#page=2","Abrir facsímil")</f>
        <v>Abrir facsímil</v>
      </c>
      <c r="K1377" s="3" t="s">
        <v>24</v>
      </c>
    </row>
    <row r="1378" spans="1:11" ht="54" customHeight="1">
      <c r="A1378" s="2" t="s">
        <v>3554</v>
      </c>
      <c r="B1378" s="2" t="s">
        <v>3555</v>
      </c>
      <c r="C1378" s="2" t="s">
        <v>17</v>
      </c>
      <c r="D1378" s="2" t="s">
        <v>18</v>
      </c>
      <c r="E1378" s="5" t="s">
        <v>299</v>
      </c>
      <c r="F1378" s="3" t="s">
        <v>300</v>
      </c>
      <c r="G1378" s="3" t="s">
        <v>21</v>
      </c>
      <c r="H1378" s="2" t="s">
        <v>22</v>
      </c>
      <c r="I1378" s="2" t="s">
        <v>3556</v>
      </c>
      <c r="J1378" s="3" t="str">
        <f>HYPERLINK("https://www.boe.es/gazeta/dias/1834/12/12/pdfs/GMD-1834-301.pdf#page=3","Abrir facsímil")</f>
        <v>Abrir facsímil</v>
      </c>
      <c r="K1378" s="3" t="s">
        <v>24</v>
      </c>
    </row>
    <row r="1379" spans="1:11" ht="54" customHeight="1">
      <c r="A1379" s="2" t="s">
        <v>3557</v>
      </c>
      <c r="B1379" s="2" t="s">
        <v>3558</v>
      </c>
      <c r="C1379" s="2" t="s">
        <v>90</v>
      </c>
      <c r="D1379" s="2" t="s">
        <v>101</v>
      </c>
      <c r="E1379" s="5" t="s">
        <v>637</v>
      </c>
      <c r="F1379" s="3" t="s">
        <v>638</v>
      </c>
      <c r="G1379" s="3" t="s">
        <v>34</v>
      </c>
      <c r="H1379" s="2" t="s">
        <v>22</v>
      </c>
      <c r="I1379" s="2" t="s">
        <v>3559</v>
      </c>
      <c r="J1379" s="3" t="str">
        <f>HYPERLINK("https://www.boe.es/gazeta/dias/1834/06/03/pdfs/I00469-00470.pdf#page=1","Abrir facsímil")</f>
        <v>Abrir facsímil</v>
      </c>
      <c r="K1379" s="3" t="s">
        <v>24</v>
      </c>
    </row>
    <row r="1380" spans="1:11" ht="54" customHeight="1">
      <c r="A1380" s="2" t="s">
        <v>3557</v>
      </c>
      <c r="B1380" s="2" t="s">
        <v>3558</v>
      </c>
      <c r="C1380" s="2" t="s">
        <v>90</v>
      </c>
      <c r="D1380" s="2" t="s">
        <v>101</v>
      </c>
      <c r="E1380" s="5" t="s">
        <v>637</v>
      </c>
      <c r="F1380" s="3" t="s">
        <v>638</v>
      </c>
      <c r="G1380" s="3" t="s">
        <v>21</v>
      </c>
      <c r="H1380" s="2" t="s">
        <v>22</v>
      </c>
      <c r="I1380" s="2" t="s">
        <v>3560</v>
      </c>
      <c r="J1380" s="3" t="str">
        <f>HYPERLINK("https://www.boe.es/gazeta/dias/1834/06/03/pdfs/GMD-1834-105.pdf#page=3","Abrir facsímil")</f>
        <v>Abrir facsímil</v>
      </c>
      <c r="K1380" s="3" t="s">
        <v>24</v>
      </c>
    </row>
    <row r="1381" spans="1:11" ht="54" customHeight="1">
      <c r="A1381" s="2" t="s">
        <v>3557</v>
      </c>
      <c r="B1381" s="2" t="s">
        <v>3558</v>
      </c>
      <c r="C1381" s="2" t="s">
        <v>17</v>
      </c>
      <c r="D1381" s="2" t="s">
        <v>101</v>
      </c>
      <c r="E1381" s="5" t="s">
        <v>465</v>
      </c>
      <c r="F1381" s="3" t="s">
        <v>1361</v>
      </c>
      <c r="G1381" s="3" t="s">
        <v>75</v>
      </c>
      <c r="H1381" s="2" t="s">
        <v>22</v>
      </c>
      <c r="I1381" s="2" t="s">
        <v>3561</v>
      </c>
      <c r="J1381" s="3" t="str">
        <f>HYPERLINK("https://www.boe.es/gazeta/dias/1834/11/27/pdfs/GMD-1834-286.pdf#page=4","Abrir facsímil")</f>
        <v>Abrir facsímil</v>
      </c>
      <c r="K1381" s="3" t="s">
        <v>24</v>
      </c>
    </row>
    <row r="1382" spans="1:11" ht="54" customHeight="1">
      <c r="A1382" s="2" t="s">
        <v>3557</v>
      </c>
      <c r="B1382" s="2" t="s">
        <v>3558</v>
      </c>
      <c r="C1382" s="2" t="s">
        <v>17</v>
      </c>
      <c r="D1382" s="2" t="s">
        <v>101</v>
      </c>
      <c r="E1382" s="5" t="s">
        <v>283</v>
      </c>
      <c r="F1382" s="3" t="s">
        <v>284</v>
      </c>
      <c r="G1382" s="3" t="s">
        <v>34</v>
      </c>
      <c r="H1382" s="2" t="s">
        <v>22</v>
      </c>
      <c r="I1382" s="2" t="s">
        <v>3562</v>
      </c>
      <c r="J1382" s="3" t="str">
        <f>HYPERLINK("https://www.boe.es/gazeta/dias/1834/11/29/pdfs/GMD-C-1834-288.pdf#page=1","Abrir facsímil")</f>
        <v>Abrir facsímil</v>
      </c>
      <c r="K1382" s="3" t="s">
        <v>24</v>
      </c>
    </row>
    <row r="1383" spans="1:11" ht="54" customHeight="1">
      <c r="A1383" s="2" t="s">
        <v>3557</v>
      </c>
      <c r="B1383" s="2" t="s">
        <v>3558</v>
      </c>
      <c r="C1383" s="2" t="s">
        <v>90</v>
      </c>
      <c r="D1383" s="2" t="s">
        <v>101</v>
      </c>
      <c r="E1383" s="5" t="s">
        <v>899</v>
      </c>
      <c r="F1383" s="3" t="s">
        <v>900</v>
      </c>
      <c r="G1383" s="3" t="s">
        <v>176</v>
      </c>
      <c r="H1383" s="2" t="s">
        <v>22</v>
      </c>
      <c r="I1383" s="2" t="s">
        <v>3563</v>
      </c>
      <c r="J1383" s="3" t="str">
        <f>HYPERLINK("https://www.boe.es/gazeta/dias/1834/01/30/pdfs/GMD-1834-14.pdf#page=6","Abrir facsímil")</f>
        <v>Abrir facsímil</v>
      </c>
      <c r="K1383" s="3" t="s">
        <v>24</v>
      </c>
    </row>
    <row r="1384" spans="1:11" ht="54" customHeight="1">
      <c r="A1384" s="2" t="s">
        <v>3564</v>
      </c>
      <c r="B1384" s="2" t="s">
        <v>3565</v>
      </c>
      <c r="C1384" s="2" t="s">
        <v>17</v>
      </c>
      <c r="D1384" s="2" t="s">
        <v>101</v>
      </c>
      <c r="E1384" s="5" t="s">
        <v>465</v>
      </c>
      <c r="F1384" s="3" t="s">
        <v>1361</v>
      </c>
      <c r="G1384" s="3" t="s">
        <v>75</v>
      </c>
      <c r="H1384" s="2" t="s">
        <v>35</v>
      </c>
      <c r="I1384" s="2" t="s">
        <v>3566</v>
      </c>
      <c r="J1384" s="3" t="str">
        <f>HYPERLINK("https://www.boe.es/gazeta/dias/1834/11/27/pdfs/GMD-1834-286.pdf#page=4","Abrir facsímil")</f>
        <v>Abrir facsímil</v>
      </c>
      <c r="K1384" s="3" t="s">
        <v>37</v>
      </c>
    </row>
    <row r="1385" spans="1:11" ht="54" customHeight="1">
      <c r="A1385" s="2" t="s">
        <v>3564</v>
      </c>
      <c r="B1385" s="2" t="s">
        <v>3565</v>
      </c>
      <c r="C1385" s="2" t="s">
        <v>17</v>
      </c>
      <c r="D1385" s="2" t="s">
        <v>101</v>
      </c>
      <c r="E1385" s="5" t="s">
        <v>283</v>
      </c>
      <c r="F1385" s="3" t="s">
        <v>284</v>
      </c>
      <c r="G1385" s="3" t="s">
        <v>34</v>
      </c>
      <c r="H1385" s="2" t="s">
        <v>35</v>
      </c>
      <c r="I1385" s="2" t="s">
        <v>3567</v>
      </c>
      <c r="J1385" s="3" t="str">
        <f>HYPERLINK("https://www.boe.es/gazeta/dias/1834/11/29/pdfs/GMD-C-1834-288.pdf#page=1","Abrir facsímil")</f>
        <v>Abrir facsímil</v>
      </c>
      <c r="K1385" s="3" t="s">
        <v>37</v>
      </c>
    </row>
    <row r="1386" spans="1:11" ht="54" customHeight="1">
      <c r="A1386" s="2" t="s">
        <v>3568</v>
      </c>
      <c r="B1386" s="2" t="s">
        <v>3569</v>
      </c>
      <c r="C1386" s="2" t="s">
        <v>17</v>
      </c>
      <c r="D1386" s="2" t="s">
        <v>18</v>
      </c>
      <c r="E1386" s="5" t="s">
        <v>1186</v>
      </c>
      <c r="F1386" s="3" t="s">
        <v>1187</v>
      </c>
      <c r="G1386" s="3" t="s">
        <v>86</v>
      </c>
      <c r="H1386" s="2" t="s">
        <v>35</v>
      </c>
      <c r="I1386" s="2" t="s">
        <v>3570</v>
      </c>
      <c r="J1386" s="3" t="str">
        <f>HYPERLINK("https://www.boe.es/gazeta/dias/1834/08/14/pdfs/GMD-1834-179.pdf#page=2","Abrir facsímil")</f>
        <v>Abrir facsímil</v>
      </c>
      <c r="K1386" s="3" t="s">
        <v>37</v>
      </c>
    </row>
    <row r="1387" spans="1:11" ht="54" customHeight="1">
      <c r="A1387" s="2" t="s">
        <v>3571</v>
      </c>
      <c r="B1387" s="2" t="s">
        <v>3572</v>
      </c>
      <c r="C1387" s="2" t="s">
        <v>17</v>
      </c>
      <c r="D1387" s="2" t="s">
        <v>18</v>
      </c>
      <c r="E1387" s="5" t="s">
        <v>1239</v>
      </c>
      <c r="F1387" s="3" t="s">
        <v>1240</v>
      </c>
      <c r="G1387" s="3" t="s">
        <v>21</v>
      </c>
      <c r="H1387" s="2" t="s">
        <v>22</v>
      </c>
      <c r="I1387" s="2" t="s">
        <v>3573</v>
      </c>
      <c r="J1387" s="3" t="str">
        <f>HYPERLINK("https://www.boe.es/gazeta/dias/1834/08/20/pdfs/GMD-1834-186.pdf#page=3","Abrir facsímil")</f>
        <v>Abrir facsímil</v>
      </c>
      <c r="K1387" s="3" t="s">
        <v>24</v>
      </c>
    </row>
    <row r="1388" spans="1:11" ht="54" customHeight="1">
      <c r="A1388" s="2" t="s">
        <v>3574</v>
      </c>
      <c r="B1388" s="2" t="s">
        <v>3575</v>
      </c>
      <c r="C1388" s="2" t="s">
        <v>17</v>
      </c>
      <c r="D1388" s="2" t="s">
        <v>18</v>
      </c>
      <c r="E1388" s="5" t="s">
        <v>1186</v>
      </c>
      <c r="F1388" s="3" t="s">
        <v>1187</v>
      </c>
      <c r="G1388" s="3" t="s">
        <v>86</v>
      </c>
      <c r="H1388" s="2" t="s">
        <v>22</v>
      </c>
      <c r="I1388" s="2" t="s">
        <v>3576</v>
      </c>
      <c r="J1388" s="3" t="str">
        <f>HYPERLINK("https://www.boe.es/gazeta/dias/1834/08/14/pdfs/GMD-1834-179.pdf#page=2","Abrir facsímil")</f>
        <v>Abrir facsímil</v>
      </c>
      <c r="K1388" s="3" t="s">
        <v>24</v>
      </c>
    </row>
    <row r="1389" spans="1:11" ht="54" customHeight="1">
      <c r="A1389" s="2" t="s">
        <v>3574</v>
      </c>
      <c r="B1389" s="2" t="s">
        <v>3575</v>
      </c>
      <c r="C1389" s="2" t="s">
        <v>122</v>
      </c>
      <c r="D1389" s="2" t="s">
        <v>18</v>
      </c>
      <c r="E1389" s="5" t="s">
        <v>294</v>
      </c>
      <c r="F1389" s="3" t="s">
        <v>959</v>
      </c>
      <c r="G1389" s="3" t="s">
        <v>34</v>
      </c>
      <c r="H1389" s="2" t="s">
        <v>22</v>
      </c>
      <c r="I1389" s="2" t="s">
        <v>3577</v>
      </c>
      <c r="J1389" s="3" t="str">
        <f>HYPERLINK("https://www.boe.es/gazeta/dias/1834/09/27/pdfs/GMD-C-1834-225.pdf#page=1","Abrir facsímil")</f>
        <v>Abrir facsímil</v>
      </c>
      <c r="K1389" s="3" t="s">
        <v>24</v>
      </c>
    </row>
    <row r="1390" spans="1:11" ht="54" customHeight="1">
      <c r="A1390" s="2" t="s">
        <v>3578</v>
      </c>
      <c r="B1390" s="2" t="s">
        <v>3578</v>
      </c>
      <c r="C1390" s="2" t="s">
        <v>17</v>
      </c>
      <c r="D1390" s="2" t="s">
        <v>55</v>
      </c>
      <c r="E1390" s="5" t="s">
        <v>803</v>
      </c>
      <c r="F1390" s="3" t="s">
        <v>804</v>
      </c>
      <c r="G1390" s="3" t="s">
        <v>75</v>
      </c>
      <c r="H1390" s="2" t="s">
        <v>22</v>
      </c>
      <c r="I1390" s="2" t="s">
        <v>3579</v>
      </c>
      <c r="J1390" s="3" t="str">
        <f>HYPERLINK("https://www.boe.es/gazeta/dias/1834/03/29/pdfs/GMD-1834-39.pdf#page=4","Abrir facsímil")</f>
        <v>Abrir facsímil</v>
      </c>
      <c r="K1390" s="3" t="s">
        <v>24</v>
      </c>
    </row>
    <row r="1391" spans="1:11" ht="54" customHeight="1">
      <c r="A1391" s="2" t="s">
        <v>3580</v>
      </c>
      <c r="B1391" s="2" t="s">
        <v>3580</v>
      </c>
      <c r="C1391" s="2" t="s">
        <v>122</v>
      </c>
      <c r="D1391" s="2" t="s">
        <v>40</v>
      </c>
      <c r="E1391" s="5" t="s">
        <v>1918</v>
      </c>
      <c r="F1391" s="3" t="s">
        <v>1919</v>
      </c>
      <c r="G1391" s="3" t="s">
        <v>21</v>
      </c>
      <c r="H1391" s="2" t="s">
        <v>22</v>
      </c>
      <c r="I1391" s="2" t="s">
        <v>3581</v>
      </c>
      <c r="J1391" s="3" t="str">
        <f>HYPERLINK("https://www.boe.es/gazeta/dias/1834/03/22/pdfs/GMD-1834-36.pdf#page=3","Abrir facsímil")</f>
        <v>Abrir facsímil</v>
      </c>
      <c r="K1391" s="3" t="s">
        <v>24</v>
      </c>
    </row>
    <row r="1392" spans="1:11" ht="54" customHeight="1">
      <c r="A1392" s="2" t="s">
        <v>3582</v>
      </c>
      <c r="B1392" s="2" t="s">
        <v>3583</v>
      </c>
      <c r="C1392" s="2" t="s">
        <v>17</v>
      </c>
      <c r="D1392" s="2" t="s">
        <v>18</v>
      </c>
      <c r="E1392" s="5" t="s">
        <v>280</v>
      </c>
      <c r="F1392" s="3" t="s">
        <v>281</v>
      </c>
      <c r="G1392" s="3" t="s">
        <v>560</v>
      </c>
      <c r="H1392" s="2" t="s">
        <v>22</v>
      </c>
      <c r="I1392" s="2" t="s">
        <v>3584</v>
      </c>
      <c r="J1392" s="3" t="str">
        <f>HYPERLINK("https://www.boe.es/gazeta/dias/1834/08/29/pdfs/GMD-C-1834-195.pdf#page=7","Abrir facsímil")</f>
        <v>Abrir facsímil</v>
      </c>
      <c r="K1392" s="3" t="s">
        <v>24</v>
      </c>
    </row>
    <row r="1393" spans="1:11" ht="54" customHeight="1">
      <c r="A1393" s="2" t="s">
        <v>3585</v>
      </c>
      <c r="B1393" s="2" t="s">
        <v>3586</v>
      </c>
      <c r="C1393" s="2" t="s">
        <v>17</v>
      </c>
      <c r="D1393" s="2" t="s">
        <v>55</v>
      </c>
      <c r="E1393" s="5" t="s">
        <v>209</v>
      </c>
      <c r="F1393" s="3" t="s">
        <v>210</v>
      </c>
      <c r="G1393" s="3" t="s">
        <v>21</v>
      </c>
      <c r="H1393" s="2" t="s">
        <v>35</v>
      </c>
      <c r="I1393" s="2" t="s">
        <v>3587</v>
      </c>
      <c r="J1393" s="3" t="str">
        <f>HYPERLINK("https://www.boe.es/gazeta/dias/1834/07/01/pdfs/GMD-1834-134.pdf#page=3","Abrir facsímil")</f>
        <v>Abrir facsímil</v>
      </c>
      <c r="K1393" s="3" t="s">
        <v>37</v>
      </c>
    </row>
    <row r="1394" spans="1:11" ht="54" customHeight="1">
      <c r="A1394" s="2" t="s">
        <v>3588</v>
      </c>
      <c r="B1394" s="2" t="s">
        <v>3589</v>
      </c>
      <c r="C1394" s="2" t="s">
        <v>17</v>
      </c>
      <c r="D1394" s="2" t="s">
        <v>18</v>
      </c>
      <c r="E1394" s="5" t="s">
        <v>663</v>
      </c>
      <c r="F1394" s="3" t="s">
        <v>664</v>
      </c>
      <c r="G1394" s="3" t="s">
        <v>21</v>
      </c>
      <c r="H1394" s="2" t="s">
        <v>22</v>
      </c>
      <c r="I1394" s="2" t="s">
        <v>3590</v>
      </c>
      <c r="J1394" s="3" t="str">
        <f>HYPERLINK("https://www.boe.es/gazeta/dias/1834/07/16/pdfs/GMD-1834-149.pdf#page=3","Abrir facsímil")</f>
        <v>Abrir facsímil</v>
      </c>
      <c r="K1394" s="3" t="s">
        <v>24</v>
      </c>
    </row>
    <row r="1395" spans="1:11" ht="54" customHeight="1">
      <c r="A1395" s="2" t="s">
        <v>3591</v>
      </c>
      <c r="B1395" s="2" t="s">
        <v>3592</v>
      </c>
      <c r="C1395" s="2" t="s">
        <v>17</v>
      </c>
      <c r="D1395" s="2" t="s">
        <v>55</v>
      </c>
      <c r="E1395" s="5" t="s">
        <v>209</v>
      </c>
      <c r="F1395" s="3" t="s">
        <v>210</v>
      </c>
      <c r="G1395" s="3" t="s">
        <v>21</v>
      </c>
      <c r="H1395" s="2" t="s">
        <v>22</v>
      </c>
      <c r="I1395" s="2" t="s">
        <v>3593</v>
      </c>
      <c r="J1395" s="3" t="str">
        <f>HYPERLINK("https://www.boe.es/gazeta/dias/1834/07/01/pdfs/GMD-1834-134.pdf#page=3","Abrir facsímil")</f>
        <v>Abrir facsímil</v>
      </c>
      <c r="K1395" s="3" t="s">
        <v>24</v>
      </c>
    </row>
    <row r="1396" spans="1:11" ht="54" customHeight="1">
      <c r="A1396" s="2" t="s">
        <v>3594</v>
      </c>
      <c r="B1396" s="2" t="s">
        <v>3595</v>
      </c>
      <c r="C1396" s="2" t="s">
        <v>17</v>
      </c>
      <c r="D1396" s="2" t="s">
        <v>18</v>
      </c>
      <c r="E1396" s="5" t="s">
        <v>1692</v>
      </c>
      <c r="F1396" s="3" t="s">
        <v>1693</v>
      </c>
      <c r="G1396" s="3" t="s">
        <v>75</v>
      </c>
      <c r="H1396" s="2" t="s">
        <v>22</v>
      </c>
      <c r="I1396" s="2" t="s">
        <v>3596</v>
      </c>
      <c r="J1396" s="3" t="str">
        <f>HYPERLINK("https://www.boe.es/gazeta/dias/1834/07/29/pdfs/GMD-1834-162.pdf#page=4","Abrir facsímil")</f>
        <v>Abrir facsímil</v>
      </c>
      <c r="K1396" s="3" t="s">
        <v>24</v>
      </c>
    </row>
    <row r="1397" spans="1:11" ht="54" customHeight="1">
      <c r="A1397" s="2" t="s">
        <v>3597</v>
      </c>
      <c r="B1397" s="2" t="s">
        <v>3597</v>
      </c>
      <c r="C1397" s="2" t="s">
        <v>17</v>
      </c>
      <c r="D1397" s="2" t="s">
        <v>18</v>
      </c>
      <c r="E1397" s="5" t="s">
        <v>1839</v>
      </c>
      <c r="F1397" s="3" t="s">
        <v>3598</v>
      </c>
      <c r="G1397" s="3" t="s">
        <v>75</v>
      </c>
      <c r="H1397" s="2" t="s">
        <v>22</v>
      </c>
      <c r="I1397" s="2" t="s">
        <v>3599</v>
      </c>
      <c r="J1397" s="3" t="str">
        <f>HYPERLINK("https://www.boe.es/gazeta/dias/1834/08/12/pdfs/GMD-1834-177.pdf#page=4","Abrir facsímil")</f>
        <v>Abrir facsímil</v>
      </c>
      <c r="K1397" s="3" t="s">
        <v>24</v>
      </c>
    </row>
    <row r="1398" spans="1:11" ht="54" customHeight="1">
      <c r="A1398" s="2" t="s">
        <v>3600</v>
      </c>
      <c r="B1398" s="2" t="s">
        <v>3600</v>
      </c>
      <c r="C1398" s="2" t="s">
        <v>17</v>
      </c>
      <c r="D1398" s="2" t="s">
        <v>18</v>
      </c>
      <c r="E1398" s="5" t="s">
        <v>905</v>
      </c>
      <c r="F1398" s="3" t="s">
        <v>1651</v>
      </c>
      <c r="G1398" s="3" t="s">
        <v>75</v>
      </c>
      <c r="H1398" s="2" t="s">
        <v>22</v>
      </c>
      <c r="I1398" s="2" t="s">
        <v>3601</v>
      </c>
      <c r="J1398" s="3" t="str">
        <f>HYPERLINK("https://www.boe.es/gazeta/dias/1834/08/02/pdfs/GMD-1834-166.pdf#page=4","Abrir facsímil")</f>
        <v>Abrir facsímil</v>
      </c>
      <c r="K1398" s="3" t="s">
        <v>24</v>
      </c>
    </row>
    <row r="1399" spans="1:11" ht="54" customHeight="1">
      <c r="A1399" s="2" t="s">
        <v>3600</v>
      </c>
      <c r="B1399" s="2" t="s">
        <v>3600</v>
      </c>
      <c r="C1399" s="2" t="s">
        <v>17</v>
      </c>
      <c r="D1399" s="2" t="s">
        <v>18</v>
      </c>
      <c r="E1399" s="5" t="s">
        <v>479</v>
      </c>
      <c r="F1399" s="3" t="s">
        <v>480</v>
      </c>
      <c r="G1399" s="3" t="s">
        <v>75</v>
      </c>
      <c r="H1399" s="2" t="s">
        <v>22</v>
      </c>
      <c r="I1399" s="2" t="s">
        <v>3602</v>
      </c>
      <c r="J1399" s="3" t="str">
        <f>HYPERLINK("https://www.boe.es/gazeta/dias/1834/08/13/pdfs/GMD-1834-178.pdf#page=4","Abrir facsímil")</f>
        <v>Abrir facsímil</v>
      </c>
      <c r="K1399" s="3" t="s">
        <v>24</v>
      </c>
    </row>
    <row r="1400" spans="1:11" ht="54" customHeight="1">
      <c r="A1400" s="2" t="s">
        <v>3603</v>
      </c>
      <c r="B1400" s="2" t="s">
        <v>3604</v>
      </c>
      <c r="C1400" s="2" t="s">
        <v>17</v>
      </c>
      <c r="D1400" s="2" t="s">
        <v>18</v>
      </c>
      <c r="E1400" s="5" t="s">
        <v>2945</v>
      </c>
      <c r="F1400" s="3" t="s">
        <v>2946</v>
      </c>
      <c r="G1400" s="3" t="s">
        <v>75</v>
      </c>
      <c r="H1400" s="2" t="s">
        <v>22</v>
      </c>
      <c r="I1400" s="2" t="s">
        <v>3605</v>
      </c>
      <c r="J1400" s="3" t="str">
        <f>HYPERLINK("https://www.boe.es/gazeta/dias/1834/05/29/pdfs/GMD-1834-98.pdf#page=4","Abrir facsímil")</f>
        <v>Abrir facsímil</v>
      </c>
      <c r="K1400" s="3" t="s">
        <v>24</v>
      </c>
    </row>
    <row r="1401" spans="1:11" ht="54" customHeight="1">
      <c r="A1401" s="2" t="s">
        <v>3606</v>
      </c>
      <c r="B1401" s="2" t="s">
        <v>3607</v>
      </c>
      <c r="C1401" s="2" t="s">
        <v>17</v>
      </c>
      <c r="D1401" s="2" t="s">
        <v>18</v>
      </c>
      <c r="E1401" s="5" t="s">
        <v>891</v>
      </c>
      <c r="F1401" s="3" t="s">
        <v>3608</v>
      </c>
      <c r="G1401" s="3" t="s">
        <v>75</v>
      </c>
      <c r="H1401" s="2" t="s">
        <v>35</v>
      </c>
      <c r="I1401" s="2" t="s">
        <v>3609</v>
      </c>
      <c r="J1401" s="3" t="str">
        <f>HYPERLINK("https://www.boe.es/gazeta/dias/1834/10/31/pdfs/GMD-1834-259.pdf#page=4","Abrir facsímil")</f>
        <v>Abrir facsímil</v>
      </c>
      <c r="K1401" s="3" t="s">
        <v>37</v>
      </c>
    </row>
    <row r="1402" spans="1:11" ht="54" customHeight="1">
      <c r="A1402" s="2" t="s">
        <v>3610</v>
      </c>
      <c r="B1402" s="2" t="s">
        <v>3610</v>
      </c>
      <c r="C1402" s="2" t="s">
        <v>17</v>
      </c>
      <c r="D1402" s="2" t="s">
        <v>18</v>
      </c>
      <c r="E1402" s="5" t="s">
        <v>753</v>
      </c>
      <c r="F1402" s="3" t="s">
        <v>754</v>
      </c>
      <c r="G1402" s="3" t="s">
        <v>28</v>
      </c>
      <c r="H1402" s="2" t="s">
        <v>22</v>
      </c>
      <c r="I1402" s="2" t="s">
        <v>3611</v>
      </c>
      <c r="J1402" s="3" t="str">
        <f>HYPERLINK("https://www.boe.es/gazeta/dias/1834/04/21/pdfs/GMD-1834-60.pdf#page=5","Abrir facsímil")</f>
        <v>Abrir facsímil</v>
      </c>
      <c r="K1402" s="3" t="s">
        <v>24</v>
      </c>
    </row>
    <row r="1403" spans="1:11" ht="54" customHeight="1">
      <c r="A1403" s="2" t="s">
        <v>3612</v>
      </c>
      <c r="B1403" s="2" t="s">
        <v>3613</v>
      </c>
      <c r="C1403" s="2" t="s">
        <v>17</v>
      </c>
      <c r="D1403" s="2" t="s">
        <v>18</v>
      </c>
      <c r="E1403" s="5" t="s">
        <v>1125</v>
      </c>
      <c r="F1403" s="3" t="s">
        <v>1126</v>
      </c>
      <c r="G1403" s="3" t="s">
        <v>34</v>
      </c>
      <c r="H1403" s="2" t="s">
        <v>35</v>
      </c>
      <c r="I1403" s="2" t="s">
        <v>3614</v>
      </c>
      <c r="J1403" s="3" t="str">
        <f>HYPERLINK("https://www.boe.es/gazeta/dias/1834/04/17/pdfs/GMD-C-1834-56.pdf#page=1","Abrir facsímil")</f>
        <v>Abrir facsímil</v>
      </c>
      <c r="K1403" s="3" t="s">
        <v>37</v>
      </c>
    </row>
    <row r="1404" spans="1:11" ht="54" customHeight="1">
      <c r="A1404" s="2" t="s">
        <v>3612</v>
      </c>
      <c r="B1404" s="2" t="s">
        <v>3613</v>
      </c>
      <c r="C1404" s="2" t="s">
        <v>17</v>
      </c>
      <c r="D1404" s="2" t="s">
        <v>18</v>
      </c>
      <c r="E1404" s="5" t="s">
        <v>753</v>
      </c>
      <c r="F1404" s="3" t="s">
        <v>754</v>
      </c>
      <c r="G1404" s="3" t="s">
        <v>28</v>
      </c>
      <c r="H1404" s="2" t="s">
        <v>35</v>
      </c>
      <c r="I1404" s="2" t="s">
        <v>3615</v>
      </c>
      <c r="J1404" s="3" t="str">
        <f>HYPERLINK("https://www.boe.es/gazeta/dias/1834/04/21/pdfs/GMD-1834-60.pdf#page=5","Abrir facsímil")</f>
        <v>Abrir facsímil</v>
      </c>
      <c r="K1404" s="3" t="s">
        <v>37</v>
      </c>
    </row>
    <row r="1405" spans="1:11" ht="54" customHeight="1">
      <c r="A1405" s="2" t="s">
        <v>3616</v>
      </c>
      <c r="B1405" s="2" t="s">
        <v>3617</v>
      </c>
      <c r="C1405" s="2" t="s">
        <v>90</v>
      </c>
      <c r="D1405" s="2" t="s">
        <v>101</v>
      </c>
      <c r="E1405" s="5" t="s">
        <v>1459</v>
      </c>
      <c r="F1405" s="3" t="s">
        <v>1460</v>
      </c>
      <c r="G1405" s="3" t="s">
        <v>34</v>
      </c>
      <c r="H1405" s="2" t="s">
        <v>22</v>
      </c>
      <c r="I1405" s="2" t="s">
        <v>3618</v>
      </c>
      <c r="J1405" s="3" t="str">
        <f>HYPERLINK("https://www.boe.es/gazeta/dias/1834/08/18/pdfs/GMD-1834-184.pdf#page=1","Abrir facsímil")</f>
        <v>Abrir facsímil</v>
      </c>
      <c r="K1405" s="3" t="s">
        <v>24</v>
      </c>
    </row>
    <row r="1406" spans="1:11" ht="54" customHeight="1">
      <c r="A1406" s="2" t="s">
        <v>3619</v>
      </c>
      <c r="B1406" s="2" t="s">
        <v>3620</v>
      </c>
      <c r="C1406" s="2" t="s">
        <v>17</v>
      </c>
      <c r="D1406" s="2" t="s">
        <v>18</v>
      </c>
      <c r="E1406" s="5" t="s">
        <v>1125</v>
      </c>
      <c r="F1406" s="3" t="s">
        <v>1126</v>
      </c>
      <c r="G1406" s="3" t="s">
        <v>34</v>
      </c>
      <c r="H1406" s="2" t="s">
        <v>22</v>
      </c>
      <c r="I1406" s="2" t="s">
        <v>3621</v>
      </c>
      <c r="J1406" s="3" t="str">
        <f>HYPERLINK("https://www.boe.es/gazeta/dias/1834/04/17/pdfs/GMD-C-1834-56.pdf#page=1","Abrir facsímil")</f>
        <v>Abrir facsímil</v>
      </c>
      <c r="K1406" s="3" t="s">
        <v>24</v>
      </c>
    </row>
    <row r="1407" spans="1:11" ht="54" customHeight="1">
      <c r="A1407" s="2" t="s">
        <v>3619</v>
      </c>
      <c r="B1407" s="2" t="s">
        <v>3620</v>
      </c>
      <c r="C1407" s="2" t="s">
        <v>17</v>
      </c>
      <c r="D1407" s="2" t="s">
        <v>18</v>
      </c>
      <c r="E1407" s="5" t="s">
        <v>753</v>
      </c>
      <c r="F1407" s="3" t="s">
        <v>754</v>
      </c>
      <c r="G1407" s="3" t="s">
        <v>28</v>
      </c>
      <c r="H1407" s="2" t="s">
        <v>22</v>
      </c>
      <c r="I1407" s="2" t="s">
        <v>3622</v>
      </c>
      <c r="J1407" s="3" t="str">
        <f>HYPERLINK("https://www.boe.es/gazeta/dias/1834/04/21/pdfs/GMD-1834-60.pdf#page=5","Abrir facsímil")</f>
        <v>Abrir facsímil</v>
      </c>
      <c r="K1407" s="3" t="s">
        <v>24</v>
      </c>
    </row>
    <row r="1408" spans="1:11" ht="54" customHeight="1">
      <c r="A1408" s="2" t="s">
        <v>3623</v>
      </c>
      <c r="B1408" s="2" t="s">
        <v>3624</v>
      </c>
      <c r="C1408" s="2" t="s">
        <v>17</v>
      </c>
      <c r="D1408" s="2" t="s">
        <v>18</v>
      </c>
      <c r="E1408" s="5" t="s">
        <v>3328</v>
      </c>
      <c r="F1408" s="3" t="s">
        <v>3329</v>
      </c>
      <c r="G1408" s="3" t="s">
        <v>34</v>
      </c>
      <c r="H1408" s="2" t="s">
        <v>22</v>
      </c>
      <c r="I1408" s="2" t="s">
        <v>3625</v>
      </c>
      <c r="J1408" s="3" t="str">
        <f>HYPERLINK("https://www.boe.es/gazeta/dias/1834/06/04/pdfs/GMD-1834-106.pdf#page=1","Abrir facsímil")</f>
        <v>Abrir facsímil</v>
      </c>
      <c r="K1408" s="3" t="s">
        <v>24</v>
      </c>
    </row>
    <row r="1409" spans="1:11" ht="54" customHeight="1">
      <c r="A1409" s="2" t="s">
        <v>3626</v>
      </c>
      <c r="B1409" s="2" t="s">
        <v>3627</v>
      </c>
      <c r="C1409" s="2" t="s">
        <v>122</v>
      </c>
      <c r="D1409" s="2" t="s">
        <v>18</v>
      </c>
      <c r="E1409" s="5" t="s">
        <v>2729</v>
      </c>
      <c r="F1409" s="3" t="s">
        <v>2730</v>
      </c>
      <c r="G1409" s="3" t="s">
        <v>34</v>
      </c>
      <c r="H1409" s="2" t="s">
        <v>22</v>
      </c>
      <c r="I1409" s="2" t="s">
        <v>3628</v>
      </c>
      <c r="J1409" s="3" t="str">
        <f>HYPERLINK("https://www.boe.es/gazeta/dias/1834/07/02/pdfs/GMD-1834-135.pdf#page=1","Abrir facsímil")</f>
        <v>Abrir facsímil</v>
      </c>
      <c r="K1409" s="3" t="s">
        <v>24</v>
      </c>
    </row>
    <row r="1410" spans="1:11" ht="54" customHeight="1">
      <c r="A1410" s="2" t="s">
        <v>3629</v>
      </c>
      <c r="B1410" s="2" t="s">
        <v>3629</v>
      </c>
      <c r="C1410" s="2" t="s">
        <v>17</v>
      </c>
      <c r="D1410" s="2" t="s">
        <v>18</v>
      </c>
      <c r="E1410" s="5" t="s">
        <v>672</v>
      </c>
      <c r="F1410" s="3" t="s">
        <v>1055</v>
      </c>
      <c r="G1410" s="3" t="s">
        <v>75</v>
      </c>
      <c r="H1410" s="2" t="s">
        <v>22</v>
      </c>
      <c r="I1410" s="2" t="s">
        <v>3630</v>
      </c>
      <c r="J1410" s="3" t="str">
        <f>HYPERLINK("https://www.boe.es/gazeta/dias/1834/09/19/pdfs/GMD-C-1834-217.pdf#page=4","Abrir facsímil")</f>
        <v>Abrir facsímil</v>
      </c>
      <c r="K1410" s="3" t="s">
        <v>24</v>
      </c>
    </row>
    <row r="1411" spans="1:11" ht="54" customHeight="1">
      <c r="A1411" s="2" t="s">
        <v>3631</v>
      </c>
      <c r="B1411" s="2" t="s">
        <v>3632</v>
      </c>
      <c r="C1411" s="2" t="s">
        <v>17</v>
      </c>
      <c r="D1411" s="2" t="s">
        <v>18</v>
      </c>
      <c r="E1411" s="5" t="s">
        <v>133</v>
      </c>
      <c r="F1411" s="3" t="s">
        <v>134</v>
      </c>
      <c r="G1411" s="3" t="s">
        <v>34</v>
      </c>
      <c r="H1411" s="2" t="s">
        <v>22</v>
      </c>
      <c r="I1411" s="2" t="s">
        <v>3633</v>
      </c>
      <c r="J1411" s="3" t="str">
        <f>HYPERLINK("https://www.boe.es/gazeta/dias/1834/06/18/pdfs/GMD-1834-121.pdf#page=1","Abrir facsímil")</f>
        <v>Abrir facsímil</v>
      </c>
      <c r="K1411" s="3" t="s">
        <v>24</v>
      </c>
    </row>
    <row r="1412" spans="1:11" ht="54" customHeight="1">
      <c r="A1412" s="2" t="s">
        <v>3634</v>
      </c>
      <c r="B1412" s="2" t="s">
        <v>3634</v>
      </c>
      <c r="C1412" s="2" t="s">
        <v>17</v>
      </c>
      <c r="D1412" s="2" t="s">
        <v>18</v>
      </c>
      <c r="E1412" s="5" t="s">
        <v>707</v>
      </c>
      <c r="F1412" s="3" t="s">
        <v>708</v>
      </c>
      <c r="G1412" s="3" t="s">
        <v>75</v>
      </c>
      <c r="H1412" s="2" t="s">
        <v>22</v>
      </c>
      <c r="I1412" s="2" t="s">
        <v>3635</v>
      </c>
      <c r="J1412" s="3" t="str">
        <f>HYPERLINK("https://www.boe.es/gazeta/dias/1834/11/25/pdfs/GMD-C-1834-284.pdf#page=4","Abrir facsímil")</f>
        <v>Abrir facsímil</v>
      </c>
      <c r="K1412" s="3" t="s">
        <v>24</v>
      </c>
    </row>
    <row r="1413" spans="1:11" ht="54" customHeight="1">
      <c r="A1413" s="2" t="s">
        <v>3636</v>
      </c>
      <c r="B1413" s="2" t="s">
        <v>3636</v>
      </c>
      <c r="C1413" s="2" t="s">
        <v>17</v>
      </c>
      <c r="D1413" s="2" t="s">
        <v>18</v>
      </c>
      <c r="E1413" s="5" t="s">
        <v>2087</v>
      </c>
      <c r="F1413" s="3" t="s">
        <v>2088</v>
      </c>
      <c r="G1413" s="3" t="s">
        <v>75</v>
      </c>
      <c r="H1413" s="2" t="s">
        <v>22</v>
      </c>
      <c r="I1413" s="2" t="s">
        <v>3637</v>
      </c>
      <c r="J1413" s="3" t="str">
        <f>HYPERLINK("https://www.boe.es/gazeta/dias/1834/12/14/pdfs/GMD-1834-303.pdf#page=4","Abrir facsímil")</f>
        <v>Abrir facsímil</v>
      </c>
      <c r="K1413" s="3" t="s">
        <v>24</v>
      </c>
    </row>
    <row r="1414" spans="1:11" ht="54" customHeight="1">
      <c r="A1414" s="2" t="s">
        <v>3638</v>
      </c>
      <c r="B1414" s="2" t="s">
        <v>3638</v>
      </c>
      <c r="C1414" s="2" t="s">
        <v>46</v>
      </c>
      <c r="D1414" s="2" t="s">
        <v>55</v>
      </c>
      <c r="E1414" s="5" t="s">
        <v>672</v>
      </c>
      <c r="F1414" s="3" t="s">
        <v>673</v>
      </c>
      <c r="G1414" s="3" t="s">
        <v>21</v>
      </c>
      <c r="H1414" s="2" t="s">
        <v>22</v>
      </c>
      <c r="I1414" s="2" t="s">
        <v>3639</v>
      </c>
      <c r="J1414" s="3" t="str">
        <f>HYPERLINK("https://www.boe.es/gazeta/dias/1834/09/19/pdfs/GMD-1834-217.pdf#page=3","Abrir facsímil")</f>
        <v>Abrir facsímil</v>
      </c>
      <c r="K1414" s="3" t="s">
        <v>24</v>
      </c>
    </row>
    <row r="1415" spans="1:11" ht="54" customHeight="1">
      <c r="A1415" s="2" t="s">
        <v>3640</v>
      </c>
      <c r="B1415" s="2" t="s">
        <v>3641</v>
      </c>
      <c r="C1415" s="2" t="s">
        <v>122</v>
      </c>
      <c r="D1415" s="2" t="s">
        <v>18</v>
      </c>
      <c r="E1415" s="5" t="s">
        <v>41</v>
      </c>
      <c r="F1415" s="3" t="s">
        <v>42</v>
      </c>
      <c r="G1415" s="3" t="s">
        <v>75</v>
      </c>
      <c r="H1415" s="2" t="s">
        <v>22</v>
      </c>
      <c r="I1415" s="2" t="s">
        <v>3642</v>
      </c>
      <c r="J1415" s="3" t="str">
        <f>HYPERLINK("https://www.boe.es/gazeta/dias/1834/06/11/pdfs/GMD-1834-114.pdf#page=4","Abrir facsímil")</f>
        <v>Abrir facsímil</v>
      </c>
      <c r="K1415" s="3" t="s">
        <v>24</v>
      </c>
    </row>
    <row r="1416" spans="1:11" ht="54" customHeight="1">
      <c r="A1416" s="2" t="s">
        <v>3643</v>
      </c>
      <c r="B1416" s="2" t="s">
        <v>3643</v>
      </c>
      <c r="C1416" s="2" t="s">
        <v>17</v>
      </c>
      <c r="D1416" s="2" t="s">
        <v>18</v>
      </c>
      <c r="E1416" s="5" t="s">
        <v>672</v>
      </c>
      <c r="F1416" s="3" t="s">
        <v>1055</v>
      </c>
      <c r="G1416" s="3" t="s">
        <v>75</v>
      </c>
      <c r="H1416" s="2" t="s">
        <v>22</v>
      </c>
      <c r="I1416" s="2" t="s">
        <v>3644</v>
      </c>
      <c r="J1416" s="3" t="str">
        <f>HYPERLINK("https://www.boe.es/gazeta/dias/1834/09/19/pdfs/GMD-C-1834-217.pdf#page=4","Abrir facsímil")</f>
        <v>Abrir facsímil</v>
      </c>
      <c r="K1416" s="3" t="s">
        <v>24</v>
      </c>
    </row>
    <row r="1417" spans="1:11" ht="54" customHeight="1">
      <c r="A1417" s="2" t="s">
        <v>3645</v>
      </c>
      <c r="B1417" s="2" t="s">
        <v>3646</v>
      </c>
      <c r="C1417" s="2" t="s">
        <v>122</v>
      </c>
      <c r="D1417" s="2" t="s">
        <v>18</v>
      </c>
      <c r="E1417" s="5" t="s">
        <v>1307</v>
      </c>
      <c r="F1417" s="3" t="s">
        <v>1308</v>
      </c>
      <c r="G1417" s="3" t="s">
        <v>21</v>
      </c>
      <c r="H1417" s="2" t="s">
        <v>22</v>
      </c>
      <c r="I1417" s="2" t="s">
        <v>3647</v>
      </c>
      <c r="J1417" s="3" t="str">
        <f>HYPERLINK("https://www.boe.es/gazeta/dias/1834/08/25/pdfs/GMD-1834-191.pdf#page=3","Abrir facsímil")</f>
        <v>Abrir facsímil</v>
      </c>
      <c r="K1417" s="3" t="s">
        <v>24</v>
      </c>
    </row>
    <row r="1418" spans="1:11" ht="54" customHeight="1">
      <c r="A1418" s="2" t="s">
        <v>3648</v>
      </c>
      <c r="B1418" s="2" t="s">
        <v>3649</v>
      </c>
      <c r="C1418" s="2" t="s">
        <v>122</v>
      </c>
      <c r="D1418" s="2" t="s">
        <v>18</v>
      </c>
      <c r="E1418" s="5" t="s">
        <v>1307</v>
      </c>
      <c r="F1418" s="3" t="s">
        <v>1308</v>
      </c>
      <c r="G1418" s="3" t="s">
        <v>21</v>
      </c>
      <c r="H1418" s="2" t="s">
        <v>35</v>
      </c>
      <c r="I1418" s="2" t="s">
        <v>3650</v>
      </c>
      <c r="J1418" s="3" t="str">
        <f>HYPERLINK("https://www.boe.es/gazeta/dias/1834/08/25/pdfs/GMD-1834-191.pdf#page=3","Abrir facsímil")</f>
        <v>Abrir facsímil</v>
      </c>
      <c r="K1418" s="3" t="s">
        <v>37</v>
      </c>
    </row>
    <row r="1419" spans="1:11" ht="54" customHeight="1">
      <c r="A1419" s="2" t="s">
        <v>3651</v>
      </c>
      <c r="B1419" s="2" t="s">
        <v>3652</v>
      </c>
      <c r="C1419" s="2" t="s">
        <v>122</v>
      </c>
      <c r="D1419" s="2" t="s">
        <v>18</v>
      </c>
      <c r="E1419" s="5" t="s">
        <v>1307</v>
      </c>
      <c r="F1419" s="3" t="s">
        <v>1308</v>
      </c>
      <c r="G1419" s="3" t="s">
        <v>21</v>
      </c>
      <c r="H1419" s="2" t="s">
        <v>35</v>
      </c>
      <c r="I1419" s="2" t="s">
        <v>3653</v>
      </c>
      <c r="J1419" s="3" t="str">
        <f>HYPERLINK("https://www.boe.es/gazeta/dias/1834/08/25/pdfs/GMD-1834-191.pdf#page=3","Abrir facsímil")</f>
        <v>Abrir facsímil</v>
      </c>
      <c r="K1419" s="3" t="s">
        <v>37</v>
      </c>
    </row>
    <row r="1420" spans="1:11" ht="54" customHeight="1">
      <c r="A1420" s="2" t="s">
        <v>3654</v>
      </c>
      <c r="B1420" s="2" t="s">
        <v>3654</v>
      </c>
      <c r="C1420" s="2" t="s">
        <v>17</v>
      </c>
      <c r="D1420" s="2" t="s">
        <v>18</v>
      </c>
      <c r="E1420" s="5" t="s">
        <v>860</v>
      </c>
      <c r="F1420" s="3" t="s">
        <v>861</v>
      </c>
      <c r="G1420" s="3" t="s">
        <v>75</v>
      </c>
      <c r="H1420" s="2" t="s">
        <v>22</v>
      </c>
      <c r="I1420" s="2" t="s">
        <v>3655</v>
      </c>
      <c r="J1420" s="3" t="str">
        <f>HYPERLINK("https://www.boe.es/gazeta/dias/1834/02/08/pdfs/GMD-1834-18.pdf#page=4","Abrir facsímil")</f>
        <v>Abrir facsímil</v>
      </c>
      <c r="K1420" s="3" t="s">
        <v>24</v>
      </c>
    </row>
    <row r="1421" spans="1:11" ht="54" customHeight="1">
      <c r="A1421" s="2" t="s">
        <v>3656</v>
      </c>
      <c r="B1421" s="2" t="s">
        <v>3656</v>
      </c>
      <c r="C1421" s="2" t="s">
        <v>46</v>
      </c>
      <c r="D1421" s="2" t="s">
        <v>18</v>
      </c>
      <c r="E1421" s="5" t="s">
        <v>1406</v>
      </c>
      <c r="F1421" s="3" t="s">
        <v>1407</v>
      </c>
      <c r="G1421" s="3" t="s">
        <v>21</v>
      </c>
      <c r="H1421" s="2" t="s">
        <v>22</v>
      </c>
      <c r="I1421" s="2" t="s">
        <v>3657</v>
      </c>
      <c r="J1421" s="3" t="str">
        <f>HYPERLINK("https://www.boe.es/gazeta/dias/1834/11/03/pdfs/GMD-1834-262.pdf#page=3","Abrir facsímil")</f>
        <v>Abrir facsímil</v>
      </c>
      <c r="K1421" s="3" t="s">
        <v>24</v>
      </c>
    </row>
    <row r="1422" spans="1:11" ht="54" customHeight="1">
      <c r="A1422" s="2" t="s">
        <v>3656</v>
      </c>
      <c r="B1422" s="2" t="s">
        <v>3656</v>
      </c>
      <c r="C1422" s="2" t="s">
        <v>17</v>
      </c>
      <c r="D1422" s="2" t="s">
        <v>18</v>
      </c>
      <c r="E1422" s="5" t="s">
        <v>441</v>
      </c>
      <c r="F1422" s="3" t="s">
        <v>442</v>
      </c>
      <c r="G1422" s="3" t="s">
        <v>21</v>
      </c>
      <c r="H1422" s="2" t="s">
        <v>22</v>
      </c>
      <c r="I1422" s="2" t="s">
        <v>3658</v>
      </c>
      <c r="J1422" s="3" t="str">
        <f>HYPERLINK("https://www.boe.es/gazeta/dias/1834/11/10/pdfs/GMD-1834-269.pdf#page=3","Abrir facsímil")</f>
        <v>Abrir facsímil</v>
      </c>
      <c r="K1422" s="3" t="s">
        <v>24</v>
      </c>
    </row>
    <row r="1423" spans="1:11" ht="54" customHeight="1">
      <c r="A1423" s="2" t="s">
        <v>3659</v>
      </c>
      <c r="B1423" s="2" t="s">
        <v>3659</v>
      </c>
      <c r="C1423" s="2" t="s">
        <v>17</v>
      </c>
      <c r="D1423" s="2" t="s">
        <v>18</v>
      </c>
      <c r="E1423" s="5" t="s">
        <v>441</v>
      </c>
      <c r="F1423" s="3" t="s">
        <v>442</v>
      </c>
      <c r="G1423" s="3" t="s">
        <v>21</v>
      </c>
      <c r="H1423" s="2" t="s">
        <v>22</v>
      </c>
      <c r="I1423" s="2" t="s">
        <v>3660</v>
      </c>
      <c r="J1423" s="3" t="str">
        <f>HYPERLINK("https://www.boe.es/gazeta/dias/1834/11/10/pdfs/GMD-1834-269.pdf#page=3","Abrir facsímil")</f>
        <v>Abrir facsímil</v>
      </c>
      <c r="K1423" s="3" t="s">
        <v>24</v>
      </c>
    </row>
    <row r="1424" spans="1:11" ht="54" customHeight="1">
      <c r="A1424" s="2" t="s">
        <v>3661</v>
      </c>
      <c r="B1424" s="2" t="s">
        <v>3661</v>
      </c>
      <c r="C1424" s="2" t="s">
        <v>17</v>
      </c>
      <c r="D1424" s="2" t="s">
        <v>18</v>
      </c>
      <c r="E1424" s="5" t="s">
        <v>762</v>
      </c>
      <c r="F1424" s="3" t="s">
        <v>763</v>
      </c>
      <c r="G1424" s="3" t="s">
        <v>21</v>
      </c>
      <c r="H1424" s="2" t="s">
        <v>22</v>
      </c>
      <c r="I1424" s="2" t="s">
        <v>3662</v>
      </c>
      <c r="J1424" s="3" t="str">
        <f>HYPERLINK("https://www.boe.es/gazeta/dias/1834/11/07/pdfs/GMD-1834-266.pdf#page=3","Abrir facsímil")</f>
        <v>Abrir facsímil</v>
      </c>
      <c r="K1424" s="3" t="s">
        <v>24</v>
      </c>
    </row>
    <row r="1425" spans="1:11" ht="54" customHeight="1">
      <c r="A1425" s="2" t="s">
        <v>3663</v>
      </c>
      <c r="B1425" s="2" t="s">
        <v>3664</v>
      </c>
      <c r="C1425" s="2" t="s">
        <v>17</v>
      </c>
      <c r="D1425" s="2" t="s">
        <v>18</v>
      </c>
      <c r="E1425" s="5" t="s">
        <v>309</v>
      </c>
      <c r="F1425" s="3" t="s">
        <v>310</v>
      </c>
      <c r="G1425" s="3" t="s">
        <v>34</v>
      </c>
      <c r="H1425" s="2" t="s">
        <v>22</v>
      </c>
      <c r="I1425" s="2" t="s">
        <v>3665</v>
      </c>
      <c r="J1425" s="3" t="str">
        <f>HYPERLINK("https://www.boe.es/gazeta/dias/1834/05/30/pdfs/GMD-1834-99.pdf#page=1","Abrir facsímil")</f>
        <v>Abrir facsímil</v>
      </c>
      <c r="K1425" s="3" t="s">
        <v>24</v>
      </c>
    </row>
    <row r="1426" spans="1:11" ht="54" customHeight="1">
      <c r="A1426" s="2" t="s">
        <v>3666</v>
      </c>
      <c r="B1426" s="2" t="s">
        <v>3667</v>
      </c>
      <c r="C1426" s="2" t="s">
        <v>90</v>
      </c>
      <c r="D1426" s="2" t="s">
        <v>18</v>
      </c>
      <c r="E1426" s="5" t="s">
        <v>905</v>
      </c>
      <c r="F1426" s="3" t="s">
        <v>906</v>
      </c>
      <c r="G1426" s="3" t="s">
        <v>34</v>
      </c>
      <c r="H1426" s="2" t="s">
        <v>22</v>
      </c>
      <c r="I1426" s="2" t="s">
        <v>3668</v>
      </c>
      <c r="J1426" s="3" t="str">
        <f>HYPERLINK("https://www.boe.es/gazeta/dias/1834/08/02/pdfs/GMD-C-1834-166.pdf#page=1","Abrir facsímil")</f>
        <v>Abrir facsímil</v>
      </c>
      <c r="K1426" s="3" t="s">
        <v>24</v>
      </c>
    </row>
    <row r="1427" spans="1:11" ht="54" customHeight="1">
      <c r="A1427" s="2" t="s">
        <v>3669</v>
      </c>
      <c r="B1427" s="2" t="s">
        <v>3670</v>
      </c>
      <c r="C1427" s="2" t="s">
        <v>122</v>
      </c>
      <c r="D1427" s="2" t="s">
        <v>18</v>
      </c>
      <c r="E1427" s="5" t="s">
        <v>724</v>
      </c>
      <c r="F1427" s="3" t="s">
        <v>725</v>
      </c>
      <c r="G1427" s="3" t="s">
        <v>176</v>
      </c>
      <c r="H1427" s="2" t="s">
        <v>22</v>
      </c>
      <c r="I1427" s="2" t="s">
        <v>3671</v>
      </c>
      <c r="J1427" s="3" t="str">
        <f>HYPERLINK("https://www.boe.es/gazeta/dias/1834/04/25/pdfs/GMD-1834-64.pdf#page=6","Abrir facsímil")</f>
        <v>Abrir facsímil</v>
      </c>
      <c r="K1427" s="3" t="s">
        <v>24</v>
      </c>
    </row>
    <row r="1428" spans="1:11" ht="54" customHeight="1">
      <c r="A1428" s="2" t="s">
        <v>3672</v>
      </c>
      <c r="B1428" s="2" t="s">
        <v>3673</v>
      </c>
      <c r="C1428" s="2" t="s">
        <v>17</v>
      </c>
      <c r="D1428" s="2" t="s">
        <v>40</v>
      </c>
      <c r="E1428" s="5" t="s">
        <v>1922</v>
      </c>
      <c r="F1428" s="3" t="s">
        <v>1923</v>
      </c>
      <c r="G1428" s="3" t="s">
        <v>176</v>
      </c>
      <c r="H1428" s="2" t="s">
        <v>22</v>
      </c>
      <c r="I1428" s="2" t="s">
        <v>3674</v>
      </c>
      <c r="J1428" s="3" t="str">
        <f>HYPERLINK("https://www.boe.es/gazeta/dias/1834/02/25/pdfs/GMD-1834-25.pdf#page=6","Abrir facsímil")</f>
        <v>Abrir facsímil</v>
      </c>
      <c r="K1428" s="3" t="s">
        <v>24</v>
      </c>
    </row>
    <row r="1429" spans="1:11" ht="54" customHeight="1">
      <c r="A1429" s="2" t="s">
        <v>3675</v>
      </c>
      <c r="B1429" s="2" t="s">
        <v>3676</v>
      </c>
      <c r="C1429" s="2" t="s">
        <v>122</v>
      </c>
      <c r="D1429" s="2" t="s">
        <v>18</v>
      </c>
      <c r="E1429" s="5" t="s">
        <v>1307</v>
      </c>
      <c r="F1429" s="3" t="s">
        <v>1308</v>
      </c>
      <c r="G1429" s="3" t="s">
        <v>21</v>
      </c>
      <c r="H1429" s="2" t="s">
        <v>22</v>
      </c>
      <c r="I1429" s="2" t="s">
        <v>3677</v>
      </c>
      <c r="J1429" s="3" t="str">
        <f>HYPERLINK("https://www.boe.es/gazeta/dias/1834/08/25/pdfs/GMD-1834-191.pdf#page=3","Abrir facsímil")</f>
        <v>Abrir facsímil</v>
      </c>
      <c r="K1429" s="3" t="s">
        <v>24</v>
      </c>
    </row>
    <row r="1430" spans="1:11" ht="54" customHeight="1">
      <c r="A1430" s="2" t="s">
        <v>3678</v>
      </c>
      <c r="B1430" s="2" t="s">
        <v>3679</v>
      </c>
      <c r="C1430" s="2" t="s">
        <v>17</v>
      </c>
      <c r="D1430" s="2" t="s">
        <v>18</v>
      </c>
      <c r="E1430" s="5" t="s">
        <v>19</v>
      </c>
      <c r="F1430" s="3" t="s">
        <v>1933</v>
      </c>
      <c r="G1430" s="3" t="s">
        <v>34</v>
      </c>
      <c r="H1430" s="2" t="s">
        <v>22</v>
      </c>
      <c r="I1430" s="2" t="s">
        <v>3680</v>
      </c>
      <c r="J1430" s="3" t="str">
        <f>HYPERLINK("https://www.boe.es/gazeta/dias/1834/08/17/pdfs/GMD-1834-183E.pdf#page=1","Abrir facsímil")</f>
        <v>Abrir facsímil</v>
      </c>
      <c r="K1430" s="3" t="s">
        <v>24</v>
      </c>
    </row>
    <row r="1431" spans="1:11" ht="54" customHeight="1">
      <c r="A1431" s="2" t="s">
        <v>3681</v>
      </c>
      <c r="B1431" s="2" t="s">
        <v>3682</v>
      </c>
      <c r="C1431" s="2" t="s">
        <v>66</v>
      </c>
      <c r="D1431" s="2" t="s">
        <v>67</v>
      </c>
      <c r="E1431" s="5" t="s">
        <v>61</v>
      </c>
      <c r="F1431" s="3" t="s">
        <v>205</v>
      </c>
      <c r="G1431" s="3" t="s">
        <v>21</v>
      </c>
      <c r="H1431" s="2" t="s">
        <v>22</v>
      </c>
      <c r="I1431" s="2" t="s">
        <v>3683</v>
      </c>
      <c r="J1431" s="3" t="str">
        <f>HYPERLINK("https://www.boe.es/gazeta/dias/1834/06/08/pdfs/GMD-1834-110.pdf#page=3","Abrir facsímil")</f>
        <v>Abrir facsímil</v>
      </c>
      <c r="K1431" s="3" t="s">
        <v>24</v>
      </c>
    </row>
    <row r="1432" spans="1:11" ht="54" customHeight="1">
      <c r="A1432" s="2" t="s">
        <v>3684</v>
      </c>
      <c r="B1432" s="2" t="s">
        <v>3684</v>
      </c>
      <c r="C1432" s="2" t="s">
        <v>17</v>
      </c>
      <c r="D1432" s="2" t="s">
        <v>18</v>
      </c>
      <c r="E1432" s="5" t="s">
        <v>1025</v>
      </c>
      <c r="F1432" s="3" t="s">
        <v>1026</v>
      </c>
      <c r="G1432" s="3" t="s">
        <v>28</v>
      </c>
      <c r="H1432" s="2" t="s">
        <v>22</v>
      </c>
      <c r="I1432" s="2" t="s">
        <v>3685</v>
      </c>
      <c r="J1432" s="3" t="str">
        <f>HYPERLINK("https://www.boe.es/gazeta/dias/1834/03/01/pdfs/GMD-1834-27.pdf#page=5","Abrir facsímil")</f>
        <v>Abrir facsímil</v>
      </c>
      <c r="K1432" s="3" t="s">
        <v>24</v>
      </c>
    </row>
    <row r="1433" spans="1:11" ht="54" customHeight="1">
      <c r="A1433" s="2" t="s">
        <v>3684</v>
      </c>
      <c r="B1433" s="2" t="s">
        <v>3684</v>
      </c>
      <c r="C1433" s="2" t="s">
        <v>17</v>
      </c>
      <c r="D1433" s="2" t="s">
        <v>18</v>
      </c>
      <c r="E1433" s="5" t="s">
        <v>348</v>
      </c>
      <c r="F1433" s="3" t="s">
        <v>349</v>
      </c>
      <c r="G1433" s="3" t="s">
        <v>34</v>
      </c>
      <c r="H1433" s="2" t="s">
        <v>22</v>
      </c>
      <c r="I1433" s="2" t="s">
        <v>3686</v>
      </c>
      <c r="J1433" s="3" t="str">
        <f>HYPERLINK("https://www.boe.es/gazeta/dias/1834/06/12/pdfs/GMD-C-1834-115.pdf#page=1","Abrir facsímil")</f>
        <v>Abrir facsímil</v>
      </c>
      <c r="K1433" s="3" t="s">
        <v>24</v>
      </c>
    </row>
    <row r="1434" spans="1:11" ht="54" customHeight="1">
      <c r="A1434" s="2" t="s">
        <v>3684</v>
      </c>
      <c r="B1434" s="2" t="s">
        <v>3684</v>
      </c>
      <c r="C1434" s="2" t="s">
        <v>66</v>
      </c>
      <c r="D1434" s="2" t="s">
        <v>18</v>
      </c>
      <c r="E1434" s="5" t="s">
        <v>2278</v>
      </c>
      <c r="F1434" s="3" t="s">
        <v>3687</v>
      </c>
      <c r="G1434" s="3" t="s">
        <v>34</v>
      </c>
      <c r="H1434" s="2" t="s">
        <v>22</v>
      </c>
      <c r="I1434" s="2" t="s">
        <v>3688</v>
      </c>
      <c r="J1434" s="3" t="str">
        <f>HYPERLINK("https://www.boe.es/gazeta/dias/1834/12/17/pdfs/GMD-1834-307E.pdf#page=1","Abrir facsímil")</f>
        <v>Abrir facsímil</v>
      </c>
      <c r="K1434" s="3" t="s">
        <v>24</v>
      </c>
    </row>
    <row r="1435" spans="1:11" ht="54" customHeight="1">
      <c r="A1435" s="2" t="s">
        <v>3684</v>
      </c>
      <c r="B1435" s="2" t="s">
        <v>3684</v>
      </c>
      <c r="C1435" s="2" t="s">
        <v>17</v>
      </c>
      <c r="D1435" s="2" t="s">
        <v>18</v>
      </c>
      <c r="E1435" s="5" t="s">
        <v>247</v>
      </c>
      <c r="F1435" s="3" t="s">
        <v>2805</v>
      </c>
      <c r="G1435" s="3" t="s">
        <v>75</v>
      </c>
      <c r="H1435" s="2" t="s">
        <v>22</v>
      </c>
      <c r="I1435" s="2" t="s">
        <v>3689</v>
      </c>
      <c r="J1435" s="3" t="str">
        <f>HYPERLINK("https://www.boe.es/gazeta/dias/1834/08/23/pdfs/GMD-1834-189.pdf#page=4","Abrir facsímil")</f>
        <v>Abrir facsímil</v>
      </c>
      <c r="K1435" s="3" t="s">
        <v>24</v>
      </c>
    </row>
    <row r="1436" spans="1:11" ht="54" customHeight="1">
      <c r="A1436" s="2" t="s">
        <v>3684</v>
      </c>
      <c r="B1436" s="2" t="s">
        <v>3684</v>
      </c>
      <c r="C1436" s="2" t="s">
        <v>66</v>
      </c>
      <c r="D1436" s="2" t="s">
        <v>18</v>
      </c>
      <c r="E1436" s="5" t="s">
        <v>462</v>
      </c>
      <c r="F1436" s="3" t="s">
        <v>2110</v>
      </c>
      <c r="G1436" s="3" t="s">
        <v>21</v>
      </c>
      <c r="H1436" s="2" t="s">
        <v>22</v>
      </c>
      <c r="I1436" s="2" t="s">
        <v>3690</v>
      </c>
      <c r="J1436" s="3" t="str">
        <f>HYPERLINK("https://www.boe.es/gazeta/dias/1834/08/27/pdfs/GMD-1834-193.pdf#page=3","Abrir facsímil")</f>
        <v>Abrir facsímil</v>
      </c>
      <c r="K1436" s="3" t="s">
        <v>24</v>
      </c>
    </row>
    <row r="1437" spans="1:11" ht="54" customHeight="1">
      <c r="A1437" s="2" t="s">
        <v>3684</v>
      </c>
      <c r="B1437" s="2" t="s">
        <v>3684</v>
      </c>
      <c r="C1437" s="2" t="s">
        <v>17</v>
      </c>
      <c r="D1437" s="2" t="s">
        <v>18</v>
      </c>
      <c r="E1437" s="5" t="s">
        <v>286</v>
      </c>
      <c r="F1437" s="3" t="s">
        <v>548</v>
      </c>
      <c r="G1437" s="3" t="s">
        <v>21</v>
      </c>
      <c r="H1437" s="2" t="s">
        <v>22</v>
      </c>
      <c r="I1437" s="2" t="s">
        <v>3691</v>
      </c>
      <c r="J1437" s="3" t="str">
        <f>HYPERLINK("https://www.boe.es/gazeta/dias/1834/08/30/pdfs/GMD-1834-196.pdf#page=3","Abrir facsímil")</f>
        <v>Abrir facsímil</v>
      </c>
      <c r="K1437" s="3" t="s">
        <v>24</v>
      </c>
    </row>
    <row r="1438" spans="1:11" ht="54" customHeight="1">
      <c r="A1438" s="2" t="s">
        <v>3684</v>
      </c>
      <c r="B1438" s="2" t="s">
        <v>3684</v>
      </c>
      <c r="C1438" s="2" t="s">
        <v>66</v>
      </c>
      <c r="D1438" s="2" t="s">
        <v>40</v>
      </c>
      <c r="E1438" s="5" t="s">
        <v>286</v>
      </c>
      <c r="F1438" s="3" t="s">
        <v>1928</v>
      </c>
      <c r="G1438" s="3" t="s">
        <v>86</v>
      </c>
      <c r="H1438" s="2" t="s">
        <v>22</v>
      </c>
      <c r="I1438" s="2" t="s">
        <v>3692</v>
      </c>
      <c r="J1438" s="3" t="str">
        <f>HYPERLINK("https://www.boe.es/gazeta/dias/1834/08/30/pdfs/GMD-1834-197E.pdf#page=2","Abrir facsímil")</f>
        <v>Abrir facsímil</v>
      </c>
      <c r="K1438" s="3" t="s">
        <v>24</v>
      </c>
    </row>
    <row r="1439" spans="1:11" ht="54" customHeight="1">
      <c r="A1439" s="2" t="s">
        <v>3693</v>
      </c>
      <c r="B1439" s="2" t="s">
        <v>3694</v>
      </c>
      <c r="C1439" s="2" t="s">
        <v>122</v>
      </c>
      <c r="D1439" s="2" t="s">
        <v>18</v>
      </c>
      <c r="E1439" s="5" t="s">
        <v>696</v>
      </c>
      <c r="F1439" s="3" t="s">
        <v>854</v>
      </c>
      <c r="G1439" s="3" t="s">
        <v>86</v>
      </c>
      <c r="H1439" s="2" t="s">
        <v>22</v>
      </c>
      <c r="I1439" s="2" t="s">
        <v>3695</v>
      </c>
      <c r="J1439" s="3" t="str">
        <f>HYPERLINK("https://www.boe.es/gazeta/dias/1834/12/06/pdfs/GMD-1834-295.pdf#page=2","Abrir facsímil")</f>
        <v>Abrir facsímil</v>
      </c>
      <c r="K1439" s="3" t="s">
        <v>24</v>
      </c>
    </row>
    <row r="1440" spans="1:11" ht="54" customHeight="1">
      <c r="A1440" s="2" t="s">
        <v>3696</v>
      </c>
      <c r="B1440" s="2" t="s">
        <v>3696</v>
      </c>
      <c r="C1440" s="2" t="s">
        <v>17</v>
      </c>
      <c r="D1440" s="2" t="s">
        <v>18</v>
      </c>
      <c r="E1440" s="5" t="s">
        <v>462</v>
      </c>
      <c r="F1440" s="3" t="s">
        <v>2110</v>
      </c>
      <c r="G1440" s="3" t="s">
        <v>21</v>
      </c>
      <c r="H1440" s="2" t="s">
        <v>22</v>
      </c>
      <c r="I1440" s="2" t="s">
        <v>3697</v>
      </c>
      <c r="J1440" s="3" t="str">
        <f>HYPERLINK("https://www.boe.es/gazeta/dias/1834/08/27/pdfs/GMD-1834-193.pdf#page=3","Abrir facsímil")</f>
        <v>Abrir facsímil</v>
      </c>
      <c r="K1440" s="3" t="s">
        <v>24</v>
      </c>
    </row>
    <row r="1441" spans="1:11" ht="54" customHeight="1">
      <c r="A1441" s="2" t="s">
        <v>3698</v>
      </c>
      <c r="B1441" s="2" t="s">
        <v>3698</v>
      </c>
      <c r="C1441" s="2" t="s">
        <v>46</v>
      </c>
      <c r="D1441" s="2" t="s">
        <v>55</v>
      </c>
      <c r="E1441" s="5" t="s">
        <v>3699</v>
      </c>
      <c r="F1441" s="3" t="s">
        <v>3700</v>
      </c>
      <c r="G1441" s="3" t="s">
        <v>86</v>
      </c>
      <c r="H1441" s="2" t="s">
        <v>22</v>
      </c>
      <c r="I1441" s="2" t="s">
        <v>3701</v>
      </c>
      <c r="J1441" s="3" t="str">
        <f>HYPERLINK("https://www.boe.es/gazeta/dias/1834/02/06/pdfs/GMD-1834-17.pdf#page=2","Abrir facsímil")</f>
        <v>Abrir facsímil</v>
      </c>
      <c r="K1441" s="3" t="s">
        <v>24</v>
      </c>
    </row>
    <row r="1442" spans="1:11" ht="54" customHeight="1">
      <c r="A1442" s="2" t="s">
        <v>3702</v>
      </c>
      <c r="B1442" s="2" t="s">
        <v>3703</v>
      </c>
      <c r="C1442" s="2" t="s">
        <v>66</v>
      </c>
      <c r="D1442" s="2" t="s">
        <v>67</v>
      </c>
      <c r="E1442" s="5" t="s">
        <v>3699</v>
      </c>
      <c r="F1442" s="3" t="s">
        <v>3700</v>
      </c>
      <c r="G1442" s="3" t="s">
        <v>86</v>
      </c>
      <c r="H1442" s="2" t="s">
        <v>22</v>
      </c>
      <c r="I1442" s="2" t="s">
        <v>3704</v>
      </c>
      <c r="J1442" s="3" t="str">
        <f>HYPERLINK("https://www.boe.es/gazeta/dias/1834/02/06/pdfs/GMD-1834-17.pdf#page=2","Abrir facsímil")</f>
        <v>Abrir facsímil</v>
      </c>
      <c r="K1442" s="3" t="s">
        <v>24</v>
      </c>
    </row>
    <row r="1443" spans="1:11" ht="54" customHeight="1">
      <c r="A1443" s="2" t="s">
        <v>3705</v>
      </c>
      <c r="B1443" s="2" t="s">
        <v>3706</v>
      </c>
      <c r="C1443" s="2" t="s">
        <v>66</v>
      </c>
      <c r="D1443" s="2" t="s">
        <v>67</v>
      </c>
      <c r="E1443" s="5" t="s">
        <v>1922</v>
      </c>
      <c r="F1443" s="3" t="s">
        <v>1923</v>
      </c>
      <c r="G1443" s="3" t="s">
        <v>75</v>
      </c>
      <c r="H1443" s="2" t="s">
        <v>35</v>
      </c>
      <c r="I1443" s="2" t="s">
        <v>3707</v>
      </c>
      <c r="J1443" s="3" t="str">
        <f>HYPERLINK("https://www.boe.es/gazeta/dias/1834/02/25/pdfs/GMD-1834-25.pdf#page=4","Abrir facsímil")</f>
        <v>Abrir facsímil</v>
      </c>
      <c r="K1443" s="3" t="s">
        <v>37</v>
      </c>
    </row>
    <row r="1444" spans="1:11" ht="54" customHeight="1">
      <c r="A1444" s="2" t="s">
        <v>3705</v>
      </c>
      <c r="B1444" s="2" t="s">
        <v>3706</v>
      </c>
      <c r="C1444" s="2" t="s">
        <v>66</v>
      </c>
      <c r="D1444" s="2" t="s">
        <v>67</v>
      </c>
      <c r="E1444" s="5" t="s">
        <v>739</v>
      </c>
      <c r="F1444" s="3" t="s">
        <v>740</v>
      </c>
      <c r="G1444" s="3" t="s">
        <v>21</v>
      </c>
      <c r="H1444" s="2" t="s">
        <v>35</v>
      </c>
      <c r="I1444" s="2" t="s">
        <v>3708</v>
      </c>
      <c r="J1444" s="3" t="str">
        <f>HYPERLINK("https://www.boe.es/gazeta/dias/1834/03/25/pdfs/GMD-1834-37.pdf#page=3","Abrir facsímil")</f>
        <v>Abrir facsímil</v>
      </c>
      <c r="K1444" s="3" t="s">
        <v>37</v>
      </c>
    </row>
    <row r="1445" spans="1:11" ht="54" customHeight="1">
      <c r="A1445" s="2" t="s">
        <v>3709</v>
      </c>
      <c r="B1445" s="2" t="s">
        <v>3710</v>
      </c>
      <c r="C1445" s="2" t="s">
        <v>66</v>
      </c>
      <c r="D1445" s="2" t="s">
        <v>67</v>
      </c>
      <c r="E1445" s="5" t="s">
        <v>3699</v>
      </c>
      <c r="F1445" s="3" t="s">
        <v>3700</v>
      </c>
      <c r="G1445" s="3" t="s">
        <v>86</v>
      </c>
      <c r="H1445" s="2" t="s">
        <v>22</v>
      </c>
      <c r="I1445" s="2" t="s">
        <v>3711</v>
      </c>
      <c r="J1445" s="3" t="str">
        <f>HYPERLINK("https://www.boe.es/gazeta/dias/1834/02/06/pdfs/GMD-1834-17.pdf#page=2","Abrir facsímil")</f>
        <v>Abrir facsímil</v>
      </c>
      <c r="K1445" s="3" t="s">
        <v>24</v>
      </c>
    </row>
    <row r="1446" spans="1:11" ht="54" customHeight="1">
      <c r="A1446" s="2" t="s">
        <v>3712</v>
      </c>
      <c r="B1446" s="2" t="s">
        <v>3713</v>
      </c>
      <c r="C1446" s="2" t="s">
        <v>90</v>
      </c>
      <c r="D1446" s="2" t="s">
        <v>18</v>
      </c>
      <c r="E1446" s="5" t="s">
        <v>339</v>
      </c>
      <c r="F1446" s="3" t="s">
        <v>340</v>
      </c>
      <c r="G1446" s="3" t="s">
        <v>21</v>
      </c>
      <c r="H1446" s="2" t="s">
        <v>22</v>
      </c>
      <c r="I1446" s="2" t="s">
        <v>3714</v>
      </c>
      <c r="J1446" s="3" t="str">
        <f>HYPERLINK("https://www.boe.es/gazeta/dias/1834/05/02/pdfs/GMD-1834-71.pdf#page=3","Abrir facsímil")</f>
        <v>Abrir facsímil</v>
      </c>
      <c r="K1446" s="3" t="s">
        <v>24</v>
      </c>
    </row>
    <row r="1447" spans="1:11" ht="54" customHeight="1">
      <c r="A1447" s="2" t="s">
        <v>3715</v>
      </c>
      <c r="B1447" s="2" t="s">
        <v>3715</v>
      </c>
      <c r="C1447" s="2" t="s">
        <v>66</v>
      </c>
      <c r="D1447" s="2" t="s">
        <v>18</v>
      </c>
      <c r="E1447" s="5" t="s">
        <v>729</v>
      </c>
      <c r="F1447" s="3" t="s">
        <v>730</v>
      </c>
      <c r="G1447" s="3" t="s">
        <v>75</v>
      </c>
      <c r="H1447" s="2" t="s">
        <v>22</v>
      </c>
      <c r="I1447" s="2" t="s">
        <v>3716</v>
      </c>
      <c r="J1447" s="3" t="str">
        <f>HYPERLINK("https://www.boe.es/gazeta/dias/1834/04/13/pdfs/GMD-1834-52.pdf#page=4","Abrir facsímil")</f>
        <v>Abrir facsímil</v>
      </c>
      <c r="K1447" s="3" t="s">
        <v>24</v>
      </c>
    </row>
    <row r="1448" spans="1:11" ht="54" customHeight="1">
      <c r="A1448" s="2" t="s">
        <v>3717</v>
      </c>
      <c r="B1448" s="2" t="s">
        <v>3718</v>
      </c>
      <c r="C1448" s="2" t="s">
        <v>17</v>
      </c>
      <c r="D1448" s="2" t="s">
        <v>18</v>
      </c>
      <c r="E1448" s="5" t="s">
        <v>739</v>
      </c>
      <c r="F1448" s="3" t="s">
        <v>740</v>
      </c>
      <c r="G1448" s="3" t="s">
        <v>21</v>
      </c>
      <c r="H1448" s="2" t="s">
        <v>35</v>
      </c>
      <c r="I1448" s="2" t="s">
        <v>3719</v>
      </c>
      <c r="J1448" s="3" t="str">
        <f>HYPERLINK("https://www.boe.es/gazeta/dias/1834/03/25/pdfs/GMD-1834-37.pdf#page=3","Abrir facsímil")</f>
        <v>Abrir facsímil</v>
      </c>
      <c r="K1448" s="3" t="s">
        <v>37</v>
      </c>
    </row>
    <row r="1449" spans="1:11" ht="54" customHeight="1">
      <c r="A1449" s="2" t="s">
        <v>3720</v>
      </c>
      <c r="B1449" s="2" t="s">
        <v>3720</v>
      </c>
      <c r="C1449" s="2" t="s">
        <v>17</v>
      </c>
      <c r="D1449" s="2" t="s">
        <v>18</v>
      </c>
      <c r="E1449" s="5" t="s">
        <v>3699</v>
      </c>
      <c r="F1449" s="3" t="s">
        <v>3700</v>
      </c>
      <c r="G1449" s="3" t="s">
        <v>21</v>
      </c>
      <c r="H1449" s="2" t="s">
        <v>22</v>
      </c>
      <c r="I1449" s="2" t="s">
        <v>3721</v>
      </c>
      <c r="J1449" s="3" t="str">
        <f>HYPERLINK("https://www.boe.es/gazeta/dias/1834/02/06/pdfs/GMD-1834-17.pdf#page=3","Abrir facsímil")</f>
        <v>Abrir facsímil</v>
      </c>
      <c r="K1449" s="3" t="s">
        <v>24</v>
      </c>
    </row>
    <row r="1450" spans="1:11" ht="54" customHeight="1">
      <c r="A1450" s="2" t="s">
        <v>3720</v>
      </c>
      <c r="B1450" s="2" t="s">
        <v>3720</v>
      </c>
      <c r="C1450" s="2" t="s">
        <v>17</v>
      </c>
      <c r="D1450" s="2" t="s">
        <v>18</v>
      </c>
      <c r="E1450" s="5" t="s">
        <v>1922</v>
      </c>
      <c r="F1450" s="3" t="s">
        <v>1923</v>
      </c>
      <c r="G1450" s="3" t="s">
        <v>75</v>
      </c>
      <c r="H1450" s="2" t="s">
        <v>22</v>
      </c>
      <c r="I1450" s="2" t="s">
        <v>3722</v>
      </c>
      <c r="J1450" s="3" t="str">
        <f>HYPERLINK("https://www.boe.es/gazeta/dias/1834/02/25/pdfs/GMD-1834-25.pdf#page=4","Abrir facsímil")</f>
        <v>Abrir facsímil</v>
      </c>
      <c r="K1450" s="3" t="s">
        <v>24</v>
      </c>
    </row>
    <row r="1451" spans="1:11" ht="54" customHeight="1">
      <c r="A1451" s="2" t="s">
        <v>3720</v>
      </c>
      <c r="B1451" s="2" t="s">
        <v>3720</v>
      </c>
      <c r="C1451" s="2" t="s">
        <v>46</v>
      </c>
      <c r="D1451" s="2" t="s">
        <v>55</v>
      </c>
      <c r="E1451" s="5" t="s">
        <v>899</v>
      </c>
      <c r="F1451" s="3" t="s">
        <v>900</v>
      </c>
      <c r="G1451" s="3" t="s">
        <v>75</v>
      </c>
      <c r="H1451" s="2" t="s">
        <v>22</v>
      </c>
      <c r="I1451" s="2" t="s">
        <v>3723</v>
      </c>
      <c r="J1451" s="3" t="str">
        <f>HYPERLINK("https://www.boe.es/gazeta/dias/1834/01/30/pdfs/GMD-1834-14.pdf#page=4","Abrir facsímil")</f>
        <v>Abrir facsímil</v>
      </c>
      <c r="K1451" s="3" t="s">
        <v>24</v>
      </c>
    </row>
    <row r="1452" spans="1:11" ht="54" customHeight="1">
      <c r="A1452" s="2" t="s">
        <v>3724</v>
      </c>
      <c r="B1452" s="2" t="s">
        <v>3724</v>
      </c>
      <c r="C1452" s="2" t="s">
        <v>17</v>
      </c>
      <c r="D1452" s="2" t="s">
        <v>18</v>
      </c>
      <c r="E1452" s="5" t="s">
        <v>1505</v>
      </c>
      <c r="F1452" s="3" t="s">
        <v>1506</v>
      </c>
      <c r="G1452" s="3" t="s">
        <v>21</v>
      </c>
      <c r="H1452" s="2" t="s">
        <v>22</v>
      </c>
      <c r="I1452" s="2" t="s">
        <v>3725</v>
      </c>
      <c r="J1452" s="3" t="str">
        <f>HYPERLINK("https://www.boe.es/gazeta/dias/1834/05/08/pdfs/GMD-1834-77.pdf#page=3","Abrir facsímil")</f>
        <v>Abrir facsímil</v>
      </c>
      <c r="K1452" s="3" t="s">
        <v>24</v>
      </c>
    </row>
    <row r="1453" spans="1:11" ht="54" customHeight="1">
      <c r="A1453" s="2" t="s">
        <v>3724</v>
      </c>
      <c r="B1453" s="2" t="s">
        <v>3724</v>
      </c>
      <c r="C1453" s="2" t="s">
        <v>17</v>
      </c>
      <c r="D1453" s="2" t="s">
        <v>18</v>
      </c>
      <c r="E1453" s="5" t="s">
        <v>1195</v>
      </c>
      <c r="F1453" s="3" t="s">
        <v>1916</v>
      </c>
      <c r="G1453" s="3" t="s">
        <v>21</v>
      </c>
      <c r="H1453" s="2" t="s">
        <v>22</v>
      </c>
      <c r="I1453" s="2" t="s">
        <v>3726</v>
      </c>
      <c r="J1453" s="3" t="str">
        <f>HYPERLINK("https://www.boe.es/gazeta/dias/1834/10/17/pdfs/GMD-1834-245.pdf#page=3","Abrir facsímil")</f>
        <v>Abrir facsímil</v>
      </c>
      <c r="K1453" s="3" t="s">
        <v>24</v>
      </c>
    </row>
    <row r="1454" spans="1:11" ht="54" customHeight="1">
      <c r="A1454" s="2" t="s">
        <v>3727</v>
      </c>
      <c r="B1454" s="2" t="s">
        <v>3728</v>
      </c>
      <c r="C1454" s="2" t="s">
        <v>17</v>
      </c>
      <c r="D1454" s="2" t="s">
        <v>18</v>
      </c>
      <c r="E1454" s="5" t="s">
        <v>1195</v>
      </c>
      <c r="F1454" s="3" t="s">
        <v>1916</v>
      </c>
      <c r="G1454" s="3" t="s">
        <v>21</v>
      </c>
      <c r="H1454" s="2" t="s">
        <v>35</v>
      </c>
      <c r="I1454" s="2" t="s">
        <v>3729</v>
      </c>
      <c r="J1454" s="3" t="str">
        <f>HYPERLINK("https://www.boe.es/gazeta/dias/1834/10/17/pdfs/GMD-1834-245.pdf#page=3","Abrir facsímil")</f>
        <v>Abrir facsímil</v>
      </c>
      <c r="K1454" s="3" t="s">
        <v>37</v>
      </c>
    </row>
    <row r="1455" spans="1:11" ht="54" customHeight="1">
      <c r="A1455" s="2" t="s">
        <v>3730</v>
      </c>
      <c r="B1455" s="2" t="s">
        <v>3730</v>
      </c>
      <c r="C1455" s="2" t="s">
        <v>122</v>
      </c>
      <c r="D1455" s="2" t="s">
        <v>18</v>
      </c>
      <c r="E1455" s="5" t="s">
        <v>1297</v>
      </c>
      <c r="F1455" s="3" t="s">
        <v>1879</v>
      </c>
      <c r="G1455" s="3" t="s">
        <v>34</v>
      </c>
      <c r="H1455" s="2" t="s">
        <v>22</v>
      </c>
      <c r="I1455" s="2" t="s">
        <v>3731</v>
      </c>
      <c r="J1455" s="3" t="str">
        <f>HYPERLINK("https://www.boe.es/gazeta/dias/1834/08/01/pdfs/GMD-D-1834-165.pdf#page=1","Abrir facsímil")</f>
        <v>Abrir facsímil</v>
      </c>
      <c r="K1455" s="3" t="s">
        <v>24</v>
      </c>
    </row>
    <row r="1456" spans="1:11" ht="54" customHeight="1">
      <c r="A1456" s="2" t="s">
        <v>3730</v>
      </c>
      <c r="B1456" s="2" t="s">
        <v>3730</v>
      </c>
      <c r="C1456" s="2" t="s">
        <v>66</v>
      </c>
      <c r="D1456" s="2" t="s">
        <v>67</v>
      </c>
      <c r="E1456" s="5" t="s">
        <v>3066</v>
      </c>
      <c r="F1456" s="3" t="s">
        <v>3188</v>
      </c>
      <c r="G1456" s="3" t="s">
        <v>86</v>
      </c>
      <c r="H1456" s="2" t="s">
        <v>22</v>
      </c>
      <c r="I1456" s="2" t="s">
        <v>3732</v>
      </c>
      <c r="J1456" s="3" t="str">
        <f>HYPERLINK("https://www.boe.es/gazeta/dias/1834/08/03/pdfs/GMD-1834-167.pdf#page=2","Abrir facsímil")</f>
        <v>Abrir facsímil</v>
      </c>
      <c r="K1456" s="3" t="s">
        <v>24</v>
      </c>
    </row>
    <row r="1457" spans="1:11" ht="54" customHeight="1">
      <c r="A1457" s="2" t="s">
        <v>3733</v>
      </c>
      <c r="B1457" s="2" t="s">
        <v>3733</v>
      </c>
      <c r="C1457" s="2" t="s">
        <v>90</v>
      </c>
      <c r="D1457" s="2" t="s">
        <v>67</v>
      </c>
      <c r="E1457" s="5" t="s">
        <v>1297</v>
      </c>
      <c r="F1457" s="3" t="s">
        <v>1879</v>
      </c>
      <c r="G1457" s="3" t="s">
        <v>34</v>
      </c>
      <c r="H1457" s="2" t="s">
        <v>22</v>
      </c>
      <c r="I1457" s="2" t="s">
        <v>3734</v>
      </c>
      <c r="J1457" s="3" t="str">
        <f>HYPERLINK("https://www.boe.es/gazeta/dias/1834/08/01/pdfs/GMD-D-1834-165.pdf#page=1","Abrir facsímil")</f>
        <v>Abrir facsímil</v>
      </c>
      <c r="K1457" s="3" t="s">
        <v>24</v>
      </c>
    </row>
    <row r="1458" spans="1:11" ht="54" customHeight="1">
      <c r="A1458" s="2" t="s">
        <v>3735</v>
      </c>
      <c r="B1458" s="2" t="s">
        <v>3736</v>
      </c>
      <c r="C1458" s="2" t="s">
        <v>90</v>
      </c>
      <c r="D1458" s="2" t="s">
        <v>67</v>
      </c>
      <c r="E1458" s="5" t="s">
        <v>1297</v>
      </c>
      <c r="F1458" s="3" t="s">
        <v>1879</v>
      </c>
      <c r="G1458" s="3" t="s">
        <v>34</v>
      </c>
      <c r="H1458" s="2" t="s">
        <v>35</v>
      </c>
      <c r="I1458" s="2" t="s">
        <v>3737</v>
      </c>
      <c r="J1458" s="3" t="str">
        <f>HYPERLINK("https://www.boe.es/gazeta/dias/1834/08/01/pdfs/GMD-D-1834-165.pdf#page=1","Abrir facsímil")</f>
        <v>Abrir facsímil</v>
      </c>
      <c r="K1458" s="3" t="s">
        <v>37</v>
      </c>
    </row>
    <row r="1459" spans="1:11" ht="54" customHeight="1">
      <c r="A1459" s="2" t="s">
        <v>3738</v>
      </c>
      <c r="B1459" s="2" t="s">
        <v>3739</v>
      </c>
      <c r="C1459" s="2" t="s">
        <v>122</v>
      </c>
      <c r="D1459" s="2" t="s">
        <v>18</v>
      </c>
      <c r="E1459" s="5" t="s">
        <v>1297</v>
      </c>
      <c r="F1459" s="3" t="s">
        <v>1879</v>
      </c>
      <c r="G1459" s="3" t="s">
        <v>34</v>
      </c>
      <c r="H1459" s="2" t="s">
        <v>35</v>
      </c>
      <c r="I1459" s="2" t="s">
        <v>3740</v>
      </c>
      <c r="J1459" s="3" t="str">
        <f>HYPERLINK("https://www.boe.es/gazeta/dias/1834/08/01/pdfs/GMD-D-1834-165.pdf#page=1","Abrir facsímil")</f>
        <v>Abrir facsímil</v>
      </c>
      <c r="K1459" s="3" t="s">
        <v>37</v>
      </c>
    </row>
    <row r="1460" spans="1:11" ht="54" customHeight="1">
      <c r="A1460" s="2" t="s">
        <v>3738</v>
      </c>
      <c r="B1460" s="2" t="s">
        <v>3739</v>
      </c>
      <c r="C1460" s="2" t="s">
        <v>66</v>
      </c>
      <c r="D1460" s="2" t="s">
        <v>67</v>
      </c>
      <c r="E1460" s="5" t="s">
        <v>3066</v>
      </c>
      <c r="F1460" s="3" t="s">
        <v>3188</v>
      </c>
      <c r="G1460" s="3" t="s">
        <v>86</v>
      </c>
      <c r="H1460" s="2" t="s">
        <v>35</v>
      </c>
      <c r="I1460" s="2" t="s">
        <v>3741</v>
      </c>
      <c r="J1460" s="3" t="str">
        <f>HYPERLINK("https://www.boe.es/gazeta/dias/1834/08/03/pdfs/GMD-1834-167.pdf#page=2","Abrir facsímil")</f>
        <v>Abrir facsímil</v>
      </c>
      <c r="K1460" s="3" t="s">
        <v>37</v>
      </c>
    </row>
    <row r="1461" spans="1:11" ht="54" customHeight="1">
      <c r="A1461" s="2" t="s">
        <v>3742</v>
      </c>
      <c r="B1461" s="2" t="s">
        <v>3743</v>
      </c>
      <c r="C1461" s="2" t="s">
        <v>17</v>
      </c>
      <c r="D1461" s="2" t="s">
        <v>18</v>
      </c>
      <c r="E1461" s="5" t="s">
        <v>563</v>
      </c>
      <c r="F1461" s="3" t="s">
        <v>564</v>
      </c>
      <c r="G1461" s="3" t="s">
        <v>176</v>
      </c>
      <c r="H1461" s="2" t="s">
        <v>22</v>
      </c>
      <c r="I1461" s="2" t="s">
        <v>3744</v>
      </c>
      <c r="J1461" s="3" t="str">
        <f>HYPERLINK("https://www.boe.es/gazeta/dias/1834/04/19/pdfs/GMD-1834-58.pdf#page=6","Abrir facsímil")</f>
        <v>Abrir facsímil</v>
      </c>
      <c r="K1461" s="3" t="s">
        <v>24</v>
      </c>
    </row>
    <row r="1462" spans="1:11" ht="54" customHeight="1">
      <c r="A1462" s="2" t="s">
        <v>3745</v>
      </c>
      <c r="B1462" s="2" t="s">
        <v>3746</v>
      </c>
      <c r="C1462" s="2" t="s">
        <v>17</v>
      </c>
      <c r="D1462" s="2" t="s">
        <v>18</v>
      </c>
      <c r="E1462" s="5" t="s">
        <v>1125</v>
      </c>
      <c r="F1462" s="3" t="s">
        <v>2490</v>
      </c>
      <c r="G1462" s="3" t="s">
        <v>34</v>
      </c>
      <c r="H1462" s="2" t="s">
        <v>22</v>
      </c>
      <c r="I1462" s="2" t="s">
        <v>3747</v>
      </c>
      <c r="J1462" s="3" t="str">
        <f>HYPERLINK("https://www.boe.es/gazeta/dias/1834/04/17/pdfs/GMD-1834-56.pdf#page=1","Abrir facsímil")</f>
        <v>Abrir facsímil</v>
      </c>
      <c r="K1462" s="3" t="s">
        <v>24</v>
      </c>
    </row>
    <row r="1463" spans="1:11" ht="54" customHeight="1">
      <c r="A1463" s="2" t="s">
        <v>3748</v>
      </c>
      <c r="B1463" s="2" t="s">
        <v>3749</v>
      </c>
      <c r="C1463" s="2" t="s">
        <v>17</v>
      </c>
      <c r="D1463" s="2" t="s">
        <v>18</v>
      </c>
      <c r="E1463" s="5" t="s">
        <v>2048</v>
      </c>
      <c r="F1463" s="3" t="s">
        <v>2049</v>
      </c>
      <c r="G1463" s="3" t="s">
        <v>75</v>
      </c>
      <c r="H1463" s="2" t="s">
        <v>22</v>
      </c>
      <c r="I1463" s="2" t="s">
        <v>3750</v>
      </c>
      <c r="J1463" s="3" t="str">
        <f>HYPERLINK("https://www.boe.es/gazeta/dias/1834/05/12/pdfs/GMD-1834-81.pdf#page=4","Abrir facsímil")</f>
        <v>Abrir facsímil</v>
      </c>
      <c r="K1463" s="3" t="s">
        <v>24</v>
      </c>
    </row>
    <row r="1464" spans="1:11" ht="54" customHeight="1">
      <c r="A1464" s="2" t="s">
        <v>3751</v>
      </c>
      <c r="B1464" s="2" t="s">
        <v>3752</v>
      </c>
      <c r="C1464" s="2" t="s">
        <v>17</v>
      </c>
      <c r="D1464" s="2" t="s">
        <v>18</v>
      </c>
      <c r="E1464" s="5" t="s">
        <v>844</v>
      </c>
      <c r="F1464" s="3" t="s">
        <v>845</v>
      </c>
      <c r="G1464" s="3" t="s">
        <v>75</v>
      </c>
      <c r="H1464" s="2" t="s">
        <v>22</v>
      </c>
      <c r="I1464" s="2" t="s">
        <v>3753</v>
      </c>
      <c r="J1464" s="3" t="str">
        <f>HYPERLINK("https://www.boe.es/gazeta/dias/1834/03/13/pdfs/GMD-1834-32.pdf#page=4","Abrir facsímil")</f>
        <v>Abrir facsímil</v>
      </c>
      <c r="K1464" s="3" t="s">
        <v>24</v>
      </c>
    </row>
    <row r="1465" spans="1:11" ht="54" customHeight="1">
      <c r="A1465" s="2" t="s">
        <v>3754</v>
      </c>
      <c r="B1465" s="2" t="s">
        <v>3755</v>
      </c>
      <c r="C1465" s="2" t="s">
        <v>90</v>
      </c>
      <c r="D1465" s="2" t="s">
        <v>18</v>
      </c>
      <c r="E1465" s="5" t="s">
        <v>2379</v>
      </c>
      <c r="F1465" s="3" t="s">
        <v>2380</v>
      </c>
      <c r="G1465" s="3" t="s">
        <v>75</v>
      </c>
      <c r="H1465" s="2" t="s">
        <v>35</v>
      </c>
      <c r="I1465" s="2" t="s">
        <v>3756</v>
      </c>
      <c r="J1465" s="3" t="str">
        <f>HYPERLINK("https://www.boe.es/gazeta/dias/1834/04/03/pdfs/GMD-1834-42.pdf#page=4","Abrir facsímil")</f>
        <v>Abrir facsímil</v>
      </c>
      <c r="K1465" s="3" t="s">
        <v>37</v>
      </c>
    </row>
    <row r="1466" spans="1:11" ht="54" customHeight="1">
      <c r="A1466" s="2" t="s">
        <v>3757</v>
      </c>
      <c r="B1466" s="2" t="s">
        <v>3758</v>
      </c>
      <c r="C1466" s="2" t="s">
        <v>90</v>
      </c>
      <c r="D1466" s="2" t="s">
        <v>18</v>
      </c>
      <c r="E1466" s="5" t="s">
        <v>2379</v>
      </c>
      <c r="F1466" s="3" t="s">
        <v>2380</v>
      </c>
      <c r="G1466" s="3" t="s">
        <v>75</v>
      </c>
      <c r="H1466" s="2" t="s">
        <v>22</v>
      </c>
      <c r="I1466" s="2" t="s">
        <v>3759</v>
      </c>
      <c r="J1466" s="3" t="str">
        <f>HYPERLINK("https://www.boe.es/gazeta/dias/1834/04/03/pdfs/GMD-1834-42.pdf#page=4","Abrir facsímil")</f>
        <v>Abrir facsímil</v>
      </c>
      <c r="K1466" s="3" t="s">
        <v>24</v>
      </c>
    </row>
    <row r="1467" spans="1:11" ht="54" customHeight="1">
      <c r="A1467" s="2" t="s">
        <v>3760</v>
      </c>
      <c r="B1467" s="2" t="s">
        <v>3760</v>
      </c>
      <c r="C1467" s="2" t="s">
        <v>17</v>
      </c>
      <c r="D1467" s="2" t="s">
        <v>18</v>
      </c>
      <c r="E1467" s="5" t="s">
        <v>1918</v>
      </c>
      <c r="F1467" s="3" t="s">
        <v>1919</v>
      </c>
      <c r="G1467" s="3" t="s">
        <v>21</v>
      </c>
      <c r="H1467" s="2" t="s">
        <v>22</v>
      </c>
      <c r="I1467" s="2" t="s">
        <v>3761</v>
      </c>
      <c r="J1467" s="3" t="str">
        <f>HYPERLINK("https://www.boe.es/gazeta/dias/1834/03/22/pdfs/GMD-1834-36.pdf#page=3","Abrir facsímil")</f>
        <v>Abrir facsímil</v>
      </c>
      <c r="K1467" s="3" t="s">
        <v>24</v>
      </c>
    </row>
    <row r="1468" spans="1:11" ht="54" customHeight="1">
      <c r="A1468" s="2" t="s">
        <v>3762</v>
      </c>
      <c r="B1468" s="2" t="s">
        <v>3762</v>
      </c>
      <c r="C1468" s="2" t="s">
        <v>17</v>
      </c>
      <c r="D1468" s="2" t="s">
        <v>18</v>
      </c>
      <c r="E1468" s="5" t="s">
        <v>1556</v>
      </c>
      <c r="F1468" s="3" t="s">
        <v>1557</v>
      </c>
      <c r="G1468" s="3" t="s">
        <v>21</v>
      </c>
      <c r="H1468" s="2" t="s">
        <v>22</v>
      </c>
      <c r="I1468" s="2" t="s">
        <v>3763</v>
      </c>
      <c r="J1468" s="3" t="str">
        <f>HYPERLINK("https://www.boe.es/gazeta/dias/1834/06/06/pdfs/GMD-1834-108.pdf#page=3","Abrir facsímil")</f>
        <v>Abrir facsímil</v>
      </c>
      <c r="K1468" s="3" t="s">
        <v>24</v>
      </c>
    </row>
    <row r="1469" spans="1:11" ht="54" customHeight="1">
      <c r="A1469" s="2" t="s">
        <v>3762</v>
      </c>
      <c r="B1469" s="2" t="s">
        <v>3762</v>
      </c>
      <c r="C1469" s="2" t="s">
        <v>17</v>
      </c>
      <c r="D1469" s="2" t="s">
        <v>18</v>
      </c>
      <c r="E1469" s="5" t="s">
        <v>183</v>
      </c>
      <c r="F1469" s="3" t="s">
        <v>184</v>
      </c>
      <c r="G1469" s="3" t="s">
        <v>75</v>
      </c>
      <c r="H1469" s="2" t="s">
        <v>22</v>
      </c>
      <c r="I1469" s="2" t="s">
        <v>3764</v>
      </c>
      <c r="J1469" s="3" t="str">
        <f>HYPERLINK("https://www.boe.es/gazeta/dias/1834/03/18/pdfs/GMD-1834-34.pdf#page=4","Abrir facsímil")</f>
        <v>Abrir facsímil</v>
      </c>
      <c r="K1469" s="3" t="s">
        <v>24</v>
      </c>
    </row>
    <row r="1470" spans="1:11" ht="54" customHeight="1">
      <c r="A1470" s="2" t="s">
        <v>3762</v>
      </c>
      <c r="B1470" s="2" t="s">
        <v>3762</v>
      </c>
      <c r="C1470" s="2" t="s">
        <v>17</v>
      </c>
      <c r="D1470" s="2" t="s">
        <v>18</v>
      </c>
      <c r="E1470" s="5" t="s">
        <v>174</v>
      </c>
      <c r="F1470" s="3" t="s">
        <v>175</v>
      </c>
      <c r="G1470" s="3" t="s">
        <v>86</v>
      </c>
      <c r="H1470" s="2" t="s">
        <v>22</v>
      </c>
      <c r="I1470" s="2" t="s">
        <v>3765</v>
      </c>
      <c r="J1470" s="3" t="str">
        <f>HYPERLINK("https://www.boe.es/gazeta/dias/1834/03/27/pdfs/GMD-1834-38.pdf#page=2","Abrir facsímil")</f>
        <v>Abrir facsímil</v>
      </c>
      <c r="K1470" s="3" t="s">
        <v>24</v>
      </c>
    </row>
    <row r="1471" spans="1:11" ht="54" customHeight="1">
      <c r="A1471" s="2" t="s">
        <v>3762</v>
      </c>
      <c r="B1471" s="2" t="s">
        <v>3762</v>
      </c>
      <c r="C1471" s="2" t="s">
        <v>17</v>
      </c>
      <c r="D1471" s="2" t="s">
        <v>40</v>
      </c>
      <c r="E1471" s="5" t="s">
        <v>174</v>
      </c>
      <c r="F1471" s="3" t="s">
        <v>175</v>
      </c>
      <c r="G1471" s="3" t="s">
        <v>75</v>
      </c>
      <c r="H1471" s="2" t="s">
        <v>22</v>
      </c>
      <c r="I1471" s="2" t="s">
        <v>3766</v>
      </c>
      <c r="J1471" s="3" t="str">
        <f>HYPERLINK("https://www.boe.es/gazeta/dias/1834/03/27/pdfs/GMD-1834-38.pdf#page=4","Abrir facsímil")</f>
        <v>Abrir facsímil</v>
      </c>
      <c r="K1471" s="3" t="s">
        <v>24</v>
      </c>
    </row>
    <row r="1472" spans="1:11" ht="54" customHeight="1">
      <c r="A1472" s="2" t="s">
        <v>3762</v>
      </c>
      <c r="B1472" s="2" t="s">
        <v>3762</v>
      </c>
      <c r="C1472" s="2" t="s">
        <v>17</v>
      </c>
      <c r="D1472" s="2" t="s">
        <v>18</v>
      </c>
      <c r="E1472" s="5" t="s">
        <v>803</v>
      </c>
      <c r="F1472" s="3" t="s">
        <v>804</v>
      </c>
      <c r="G1472" s="3" t="s">
        <v>75</v>
      </c>
      <c r="H1472" s="2" t="s">
        <v>22</v>
      </c>
      <c r="I1472" s="2" t="s">
        <v>3767</v>
      </c>
      <c r="J1472" s="3" t="str">
        <f>HYPERLINK("https://www.boe.es/gazeta/dias/1834/03/29/pdfs/GMD-1834-39.pdf#page=4","Abrir facsímil")</f>
        <v>Abrir facsímil</v>
      </c>
      <c r="K1472" s="3" t="s">
        <v>24</v>
      </c>
    </row>
    <row r="1473" spans="1:11" ht="54" customHeight="1">
      <c r="A1473" s="2" t="s">
        <v>3768</v>
      </c>
      <c r="B1473" s="2" t="s">
        <v>3769</v>
      </c>
      <c r="C1473" s="2" t="s">
        <v>66</v>
      </c>
      <c r="D1473" s="2" t="s">
        <v>67</v>
      </c>
      <c r="E1473" s="5" t="s">
        <v>1119</v>
      </c>
      <c r="F1473" s="3" t="s">
        <v>1120</v>
      </c>
      <c r="G1473" s="3" t="s">
        <v>21</v>
      </c>
      <c r="H1473" s="2" t="s">
        <v>22</v>
      </c>
      <c r="I1473" s="2" t="s">
        <v>3770</v>
      </c>
      <c r="J1473" s="3" t="str">
        <f>HYPERLINK("https://www.boe.es/gazeta/dias/1834/07/17/pdfs/GMD-1834-150.pdf#page=3","Abrir facsímil")</f>
        <v>Abrir facsímil</v>
      </c>
      <c r="K1473" s="3" t="s">
        <v>24</v>
      </c>
    </row>
    <row r="1474" spans="1:11" ht="54" customHeight="1">
      <c r="A1474" s="2" t="s">
        <v>3771</v>
      </c>
      <c r="B1474" s="2" t="s">
        <v>3772</v>
      </c>
      <c r="C1474" s="2" t="s">
        <v>17</v>
      </c>
      <c r="D1474" s="2" t="s">
        <v>40</v>
      </c>
      <c r="E1474" s="5" t="s">
        <v>844</v>
      </c>
      <c r="F1474" s="3" t="s">
        <v>845</v>
      </c>
      <c r="G1474" s="3" t="s">
        <v>75</v>
      </c>
      <c r="H1474" s="2" t="s">
        <v>22</v>
      </c>
      <c r="I1474" s="2" t="s">
        <v>3773</v>
      </c>
      <c r="J1474" s="3" t="str">
        <f>HYPERLINK("https://www.boe.es/gazeta/dias/1834/03/13/pdfs/GMD-1834-32.pdf#page=4","Abrir facsímil")</f>
        <v>Abrir facsímil</v>
      </c>
      <c r="K1474" s="3" t="s">
        <v>24</v>
      </c>
    </row>
    <row r="1475" spans="1:11" ht="54" customHeight="1">
      <c r="A1475" s="2" t="s">
        <v>3774</v>
      </c>
      <c r="B1475" s="2" t="s">
        <v>3775</v>
      </c>
      <c r="C1475" s="2" t="s">
        <v>17</v>
      </c>
      <c r="D1475" s="2" t="s">
        <v>18</v>
      </c>
      <c r="E1475" s="5" t="s">
        <v>32</v>
      </c>
      <c r="F1475" s="3" t="s">
        <v>33</v>
      </c>
      <c r="G1475" s="3" t="s">
        <v>75</v>
      </c>
      <c r="H1475" s="2" t="s">
        <v>22</v>
      </c>
      <c r="I1475" s="2" t="s">
        <v>3776</v>
      </c>
      <c r="J1475" s="3" t="str">
        <f>HYPERLINK("https://www.boe.es/gazeta/dias/1834/04/23/pdfs/GMD-1834-62.pdf#page=4","Abrir facsímil")</f>
        <v>Abrir facsímil</v>
      </c>
      <c r="K1475" s="3" t="s">
        <v>24</v>
      </c>
    </row>
    <row r="1476" spans="1:11" ht="54" customHeight="1">
      <c r="A1476" s="2" t="s">
        <v>3777</v>
      </c>
      <c r="B1476" s="2" t="s">
        <v>3778</v>
      </c>
      <c r="C1476" s="2" t="s">
        <v>17</v>
      </c>
      <c r="D1476" s="2" t="s">
        <v>18</v>
      </c>
      <c r="E1476" s="5" t="s">
        <v>1424</v>
      </c>
      <c r="F1476" s="3" t="s">
        <v>1425</v>
      </c>
      <c r="G1476" s="3" t="s">
        <v>86</v>
      </c>
      <c r="H1476" s="2" t="s">
        <v>22</v>
      </c>
      <c r="I1476" s="2" t="s">
        <v>3779</v>
      </c>
      <c r="J1476" s="3" t="str">
        <f>HYPERLINK("https://www.boe.es/gazeta/dias/1834/11/14/pdfs/GMD-C-1834-273.pdf#page=2","Abrir facsímil")</f>
        <v>Abrir facsímil</v>
      </c>
      <c r="K1476" s="3" t="s">
        <v>24</v>
      </c>
    </row>
    <row r="1477" spans="1:11" ht="54" customHeight="1">
      <c r="A1477" s="2" t="s">
        <v>3780</v>
      </c>
      <c r="B1477" s="2" t="s">
        <v>3781</v>
      </c>
      <c r="C1477" s="2" t="s">
        <v>46</v>
      </c>
      <c r="D1477" s="2" t="s">
        <v>40</v>
      </c>
      <c r="E1477" s="5" t="s">
        <v>273</v>
      </c>
      <c r="F1477" s="3" t="s">
        <v>413</v>
      </c>
      <c r="G1477" s="3" t="s">
        <v>75</v>
      </c>
      <c r="H1477" s="2" t="s">
        <v>22</v>
      </c>
      <c r="I1477" s="2" t="s">
        <v>3782</v>
      </c>
      <c r="J1477" s="3" t="str">
        <f>HYPERLINK("https://www.boe.es/gazeta/dias/1834/08/31/pdfs/GMD-1834-198.pdf#page=4","Abrir facsímil")</f>
        <v>Abrir facsímil</v>
      </c>
      <c r="K1477" s="3" t="s">
        <v>24</v>
      </c>
    </row>
    <row r="1478" spans="1:11" ht="54" customHeight="1">
      <c r="A1478" s="2" t="s">
        <v>3783</v>
      </c>
      <c r="B1478" s="2" t="s">
        <v>3784</v>
      </c>
      <c r="C1478" s="2" t="s">
        <v>17</v>
      </c>
      <c r="D1478" s="2" t="s">
        <v>18</v>
      </c>
      <c r="E1478" s="5" t="s">
        <v>1135</v>
      </c>
      <c r="F1478" s="3" t="s">
        <v>1136</v>
      </c>
      <c r="G1478" s="3" t="s">
        <v>21</v>
      </c>
      <c r="H1478" s="2" t="s">
        <v>22</v>
      </c>
      <c r="I1478" s="2" t="s">
        <v>3785</v>
      </c>
      <c r="J1478" s="3" t="str">
        <f>HYPERLINK("https://www.boe.es/gazeta/dias/1834/08/26/pdfs/GMD-1834-192.pdf#page=3","Abrir facsímil")</f>
        <v>Abrir facsímil</v>
      </c>
      <c r="K1478" s="3" t="s">
        <v>24</v>
      </c>
    </row>
    <row r="1479" spans="1:11" ht="54" customHeight="1">
      <c r="A1479" s="2" t="s">
        <v>3786</v>
      </c>
      <c r="B1479" s="2" t="s">
        <v>3787</v>
      </c>
      <c r="C1479" s="2" t="s">
        <v>17</v>
      </c>
      <c r="D1479" s="2" t="s">
        <v>18</v>
      </c>
      <c r="E1479" s="5" t="s">
        <v>1410</v>
      </c>
      <c r="F1479" s="3" t="s">
        <v>1411</v>
      </c>
      <c r="G1479" s="3" t="s">
        <v>21</v>
      </c>
      <c r="H1479" s="2" t="s">
        <v>22</v>
      </c>
      <c r="I1479" s="2" t="s">
        <v>3788</v>
      </c>
      <c r="J1479" s="3" t="str">
        <f>HYPERLINK("https://www.boe.es/gazeta/dias/1834/09/09/pdfs/GMD-1834-207.pdf#page=3","Abrir facsímil")</f>
        <v>Abrir facsímil</v>
      </c>
      <c r="K1479" s="3" t="s">
        <v>24</v>
      </c>
    </row>
    <row r="1480" spans="1:11" ht="54" customHeight="1">
      <c r="A1480" s="2" t="s">
        <v>3789</v>
      </c>
      <c r="B1480" s="2" t="s">
        <v>3790</v>
      </c>
      <c r="C1480" s="2" t="s">
        <v>17</v>
      </c>
      <c r="D1480" s="2" t="s">
        <v>101</v>
      </c>
      <c r="E1480" s="5" t="s">
        <v>1812</v>
      </c>
      <c r="F1480" s="3" t="s">
        <v>1813</v>
      </c>
      <c r="G1480" s="3" t="s">
        <v>34</v>
      </c>
      <c r="H1480" s="2" t="s">
        <v>22</v>
      </c>
      <c r="I1480" s="2" t="s">
        <v>3791</v>
      </c>
      <c r="J1480" s="3" t="str">
        <f>HYPERLINK("https://www.boe.es/gazeta/dias/1834/10/23/pdfs/GMD-1834-251.pdf#page=1","Abrir facsímil")</f>
        <v>Abrir facsímil</v>
      </c>
      <c r="K1480" s="3" t="s">
        <v>24</v>
      </c>
    </row>
    <row r="1481" spans="1:11" ht="54" customHeight="1">
      <c r="A1481" s="2" t="s">
        <v>3792</v>
      </c>
      <c r="B1481" s="2" t="s">
        <v>3793</v>
      </c>
      <c r="C1481" s="2" t="s">
        <v>122</v>
      </c>
      <c r="D1481" s="2" t="s">
        <v>18</v>
      </c>
      <c r="E1481" s="5" t="s">
        <v>1212</v>
      </c>
      <c r="F1481" s="3" t="s">
        <v>1213</v>
      </c>
      <c r="G1481" s="3" t="s">
        <v>75</v>
      </c>
      <c r="H1481" s="2" t="s">
        <v>22</v>
      </c>
      <c r="I1481" s="2" t="s">
        <v>3794</v>
      </c>
      <c r="J1481" s="3" t="str">
        <f>HYPERLINK("https://www.boe.es/gazeta/dias/1834/05/24/pdfs/GMD-1834-93.pdf#page=4","Abrir facsímil")</f>
        <v>Abrir facsímil</v>
      </c>
      <c r="K1481" s="3" t="s">
        <v>24</v>
      </c>
    </row>
    <row r="1482" spans="1:11" ht="54" customHeight="1">
      <c r="A1482" s="2" t="s">
        <v>3795</v>
      </c>
      <c r="B1482" s="2" t="s">
        <v>3796</v>
      </c>
      <c r="C1482" s="2" t="s">
        <v>90</v>
      </c>
      <c r="D1482" s="2" t="s">
        <v>18</v>
      </c>
      <c r="E1482" s="5" t="s">
        <v>454</v>
      </c>
      <c r="F1482" s="3" t="s">
        <v>2009</v>
      </c>
      <c r="G1482" s="3" t="s">
        <v>21</v>
      </c>
      <c r="H1482" s="2" t="s">
        <v>22</v>
      </c>
      <c r="I1482" s="2" t="s">
        <v>3797</v>
      </c>
      <c r="J1482" s="3" t="str">
        <f>HYPERLINK("https://www.boe.es/gazeta/dias/1834/10/16/pdfs/GMD-1834-244.pdf#page=3","Abrir facsímil")</f>
        <v>Abrir facsímil</v>
      </c>
      <c r="K1482" s="3" t="s">
        <v>24</v>
      </c>
    </row>
    <row r="1483" spans="1:11" ht="54" customHeight="1">
      <c r="A1483" s="2" t="s">
        <v>3798</v>
      </c>
      <c r="B1483" s="2" t="s">
        <v>3799</v>
      </c>
      <c r="C1483" s="2" t="s">
        <v>122</v>
      </c>
      <c r="D1483" s="2" t="s">
        <v>18</v>
      </c>
      <c r="E1483" s="5" t="s">
        <v>3170</v>
      </c>
      <c r="F1483" s="3" t="s">
        <v>3171</v>
      </c>
      <c r="G1483" s="3" t="s">
        <v>75</v>
      </c>
      <c r="H1483" s="2" t="s">
        <v>22</v>
      </c>
      <c r="I1483" s="2" t="s">
        <v>3800</v>
      </c>
      <c r="J1483" s="3" t="str">
        <f>HYPERLINK("https://www.boe.es/gazeta/dias/1834/12/07/pdfs/GMD-1834-296.pdf#page=4","Abrir facsímil")</f>
        <v>Abrir facsímil</v>
      </c>
      <c r="K1483" s="3" t="s">
        <v>24</v>
      </c>
    </row>
    <row r="1484" spans="1:11" ht="54" customHeight="1">
      <c r="A1484" s="2" t="s">
        <v>3801</v>
      </c>
      <c r="B1484" s="2" t="s">
        <v>3801</v>
      </c>
      <c r="C1484" s="2" t="s">
        <v>46</v>
      </c>
      <c r="D1484" s="2" t="s">
        <v>55</v>
      </c>
      <c r="E1484" s="5" t="s">
        <v>1661</v>
      </c>
      <c r="F1484" s="3" t="s">
        <v>1662</v>
      </c>
      <c r="G1484" s="3" t="s">
        <v>86</v>
      </c>
      <c r="H1484" s="2" t="s">
        <v>22</v>
      </c>
      <c r="I1484" s="2" t="s">
        <v>3802</v>
      </c>
      <c r="J1484" s="3" t="str">
        <f>HYPERLINK("https://www.boe.es/gazeta/dias/1834/04/06/pdfs/GMD-1834-45.pdf#page=2","Abrir facsímil")</f>
        <v>Abrir facsímil</v>
      </c>
      <c r="K1484" s="3" t="s">
        <v>24</v>
      </c>
    </row>
    <row r="1485" spans="1:11" ht="54" customHeight="1">
      <c r="A1485" s="2" t="s">
        <v>3803</v>
      </c>
      <c r="B1485" s="2" t="s">
        <v>3804</v>
      </c>
      <c r="C1485" s="2" t="s">
        <v>17</v>
      </c>
      <c r="D1485" s="2" t="s">
        <v>18</v>
      </c>
      <c r="E1485" s="5" t="s">
        <v>1239</v>
      </c>
      <c r="F1485" s="3" t="s">
        <v>1240</v>
      </c>
      <c r="G1485" s="3" t="s">
        <v>21</v>
      </c>
      <c r="H1485" s="2" t="s">
        <v>22</v>
      </c>
      <c r="I1485" s="2" t="s">
        <v>3805</v>
      </c>
      <c r="J1485" s="3" t="str">
        <f>HYPERLINK("https://www.boe.es/gazeta/dias/1834/08/20/pdfs/GMD-1834-186.pdf#page=3","Abrir facsímil")</f>
        <v>Abrir facsímil</v>
      </c>
      <c r="K1485" s="3" t="s">
        <v>24</v>
      </c>
    </row>
    <row r="1486" spans="1:11" ht="54" customHeight="1">
      <c r="A1486" s="2" t="s">
        <v>3806</v>
      </c>
      <c r="B1486" s="2" t="s">
        <v>3807</v>
      </c>
      <c r="C1486" s="2" t="s">
        <v>17</v>
      </c>
      <c r="D1486" s="2" t="s">
        <v>18</v>
      </c>
      <c r="E1486" s="5" t="s">
        <v>2596</v>
      </c>
      <c r="F1486" s="3" t="s">
        <v>2597</v>
      </c>
      <c r="G1486" s="3" t="s">
        <v>86</v>
      </c>
      <c r="H1486" s="2" t="s">
        <v>22</v>
      </c>
      <c r="I1486" s="2" t="s">
        <v>3808</v>
      </c>
      <c r="J1486" s="3" t="str">
        <f>HYPERLINK("https://www.boe.es/gazeta/dias/1834/10/22/pdfs/GMD-1834-250.pdf#page=2","Abrir facsímil")</f>
        <v>Abrir facsímil</v>
      </c>
      <c r="K1486" s="3" t="s">
        <v>24</v>
      </c>
    </row>
    <row r="1487" spans="1:11" ht="54" customHeight="1">
      <c r="A1487" s="2" t="s">
        <v>3809</v>
      </c>
      <c r="B1487" s="2" t="s">
        <v>3809</v>
      </c>
      <c r="C1487" s="2" t="s">
        <v>17</v>
      </c>
      <c r="D1487" s="2" t="s">
        <v>18</v>
      </c>
      <c r="E1487" s="5" t="s">
        <v>3810</v>
      </c>
      <c r="F1487" s="3" t="s">
        <v>3811</v>
      </c>
      <c r="G1487" s="3" t="s">
        <v>86</v>
      </c>
      <c r="H1487" s="2" t="s">
        <v>22</v>
      </c>
      <c r="I1487" s="2" t="s">
        <v>3812</v>
      </c>
      <c r="J1487" s="3" t="str">
        <f>HYPERLINK("https://www.boe.es/gazeta/dias/1834/02/20/pdfs/GMD-1834-23.pdf#page=2","Abrir facsímil")</f>
        <v>Abrir facsímil</v>
      </c>
      <c r="K1487" s="3" t="s">
        <v>24</v>
      </c>
    </row>
    <row r="1488" spans="1:11" ht="54" customHeight="1">
      <c r="A1488" s="2" t="s">
        <v>3809</v>
      </c>
      <c r="B1488" s="2" t="s">
        <v>3809</v>
      </c>
      <c r="C1488" s="2" t="s">
        <v>17</v>
      </c>
      <c r="D1488" s="2" t="s">
        <v>55</v>
      </c>
      <c r="E1488" s="5" t="s">
        <v>739</v>
      </c>
      <c r="F1488" s="3" t="s">
        <v>740</v>
      </c>
      <c r="G1488" s="3" t="s">
        <v>21</v>
      </c>
      <c r="H1488" s="2" t="s">
        <v>22</v>
      </c>
      <c r="I1488" s="2" t="s">
        <v>3813</v>
      </c>
      <c r="J1488" s="3" t="str">
        <f>HYPERLINK("https://www.boe.es/gazeta/dias/1834/03/25/pdfs/GMD-1834-37.pdf#page=3","Abrir facsímil")</f>
        <v>Abrir facsímil</v>
      </c>
      <c r="K1488" s="3" t="s">
        <v>24</v>
      </c>
    </row>
    <row r="1489" spans="1:11" ht="54" customHeight="1">
      <c r="A1489" s="2" t="s">
        <v>3814</v>
      </c>
      <c r="B1489" s="2" t="s">
        <v>3814</v>
      </c>
      <c r="C1489" s="2" t="s">
        <v>17</v>
      </c>
      <c r="D1489" s="2" t="s">
        <v>18</v>
      </c>
      <c r="E1489" s="5" t="s">
        <v>1459</v>
      </c>
      <c r="F1489" s="3" t="s">
        <v>1460</v>
      </c>
      <c r="G1489" s="3" t="s">
        <v>86</v>
      </c>
      <c r="H1489" s="2" t="s">
        <v>22</v>
      </c>
      <c r="I1489" s="2" t="s">
        <v>3815</v>
      </c>
      <c r="J1489" s="3" t="str">
        <f>HYPERLINK("https://www.boe.es/gazeta/dias/1834/08/18/pdfs/GMD-1834-184.pdf#page=2","Abrir facsímil")</f>
        <v>Abrir facsímil</v>
      </c>
      <c r="K1489" s="3" t="s">
        <v>24</v>
      </c>
    </row>
    <row r="1490" spans="1:11" ht="54" customHeight="1">
      <c r="A1490" s="2" t="s">
        <v>3816</v>
      </c>
      <c r="B1490" s="2" t="s">
        <v>3816</v>
      </c>
      <c r="C1490" s="2" t="s">
        <v>122</v>
      </c>
      <c r="D1490" s="2" t="s">
        <v>18</v>
      </c>
      <c r="E1490" s="5" t="s">
        <v>26</v>
      </c>
      <c r="F1490" s="3" t="s">
        <v>818</v>
      </c>
      <c r="G1490" s="3" t="s">
        <v>34</v>
      </c>
      <c r="H1490" s="2" t="s">
        <v>22</v>
      </c>
      <c r="I1490" s="2" t="s">
        <v>3817</v>
      </c>
      <c r="J1490" s="3" t="str">
        <f>HYPERLINK("https://www.boe.es/gazeta/dias/1834/10/19/pdfs/GMD-1834-247.pdf#page=1","Abrir facsímil")</f>
        <v>Abrir facsímil</v>
      </c>
      <c r="K1490" s="3" t="s">
        <v>24</v>
      </c>
    </row>
    <row r="1491" spans="1:11" ht="54" customHeight="1">
      <c r="A1491" s="2" t="s">
        <v>3818</v>
      </c>
      <c r="B1491" s="2" t="s">
        <v>3818</v>
      </c>
      <c r="C1491" s="2" t="s">
        <v>17</v>
      </c>
      <c r="D1491" s="2" t="s">
        <v>18</v>
      </c>
      <c r="E1491" s="5" t="s">
        <v>1406</v>
      </c>
      <c r="F1491" s="3" t="s">
        <v>1407</v>
      </c>
      <c r="G1491" s="3" t="s">
        <v>75</v>
      </c>
      <c r="H1491" s="2" t="s">
        <v>22</v>
      </c>
      <c r="I1491" s="2" t="s">
        <v>3819</v>
      </c>
      <c r="J1491" s="3" t="str">
        <f>HYPERLINK("https://www.boe.es/gazeta/dias/1834/11/03/pdfs/GMD-1834-262.pdf#page=4","Abrir facsímil")</f>
        <v>Abrir facsímil</v>
      </c>
      <c r="K1491" s="3" t="s">
        <v>24</v>
      </c>
    </row>
    <row r="1492" spans="1:11" ht="54" customHeight="1">
      <c r="A1492" s="2" t="s">
        <v>3820</v>
      </c>
      <c r="B1492" s="2" t="s">
        <v>3821</v>
      </c>
      <c r="C1492" s="2" t="s">
        <v>857</v>
      </c>
      <c r="D1492" s="2" t="s">
        <v>18</v>
      </c>
      <c r="E1492" s="5" t="s">
        <v>823</v>
      </c>
      <c r="F1492" s="3" t="s">
        <v>824</v>
      </c>
      <c r="G1492" s="3" t="s">
        <v>176</v>
      </c>
      <c r="H1492" s="2" t="s">
        <v>22</v>
      </c>
      <c r="I1492" s="2" t="s">
        <v>3822</v>
      </c>
      <c r="J1492" s="3" t="str">
        <f>HYPERLINK("https://www.boe.es/gazeta/dias/1834/07/23/pdfs/GMD-1834-156.pdf#page=6","Abrir facsímil")</f>
        <v>Abrir facsímil</v>
      </c>
      <c r="K1492" s="3" t="s">
        <v>24</v>
      </c>
    </row>
    <row r="1493" spans="1:11" ht="54" customHeight="1">
      <c r="A1493" s="2" t="s">
        <v>3820</v>
      </c>
      <c r="B1493" s="2" t="s">
        <v>3821</v>
      </c>
      <c r="C1493" s="2" t="s">
        <v>66</v>
      </c>
      <c r="D1493" s="2" t="s">
        <v>18</v>
      </c>
      <c r="E1493" s="5" t="s">
        <v>294</v>
      </c>
      <c r="F1493" s="3" t="s">
        <v>295</v>
      </c>
      <c r="G1493" s="3" t="s">
        <v>86</v>
      </c>
      <c r="H1493" s="2" t="s">
        <v>22</v>
      </c>
      <c r="I1493" s="2" t="s">
        <v>3823</v>
      </c>
      <c r="J1493" s="3" t="str">
        <f>HYPERLINK("https://www.boe.es/gazeta/dias/1834/09/27/pdfs/GMD-1834-225.pdf#page=2","Abrir facsímil")</f>
        <v>Abrir facsímil</v>
      </c>
      <c r="K1493" s="3" t="s">
        <v>24</v>
      </c>
    </row>
    <row r="1494" spans="1:11" ht="54" customHeight="1">
      <c r="A1494" s="2" t="s">
        <v>3824</v>
      </c>
      <c r="B1494" s="2" t="s">
        <v>3825</v>
      </c>
      <c r="C1494" s="2" t="s">
        <v>17</v>
      </c>
      <c r="D1494" s="2" t="s">
        <v>18</v>
      </c>
      <c r="E1494" s="5" t="s">
        <v>375</v>
      </c>
      <c r="F1494" s="3" t="s">
        <v>376</v>
      </c>
      <c r="G1494" s="3" t="s">
        <v>34</v>
      </c>
      <c r="H1494" s="2" t="s">
        <v>22</v>
      </c>
      <c r="I1494" s="2" t="s">
        <v>3826</v>
      </c>
      <c r="J1494" s="3" t="str">
        <f>HYPERLINK("https://www.boe.es/gazeta/dias/1834/08/21/pdfs/GMD-1834-187.pdf#page=1","Abrir facsímil")</f>
        <v>Abrir facsímil</v>
      </c>
      <c r="K1494" s="3" t="s">
        <v>24</v>
      </c>
    </row>
    <row r="1495" spans="1:11" ht="54" customHeight="1">
      <c r="A1495" s="2" t="s">
        <v>3827</v>
      </c>
      <c r="B1495" s="2" t="s">
        <v>3827</v>
      </c>
      <c r="C1495" s="2" t="s">
        <v>17</v>
      </c>
      <c r="D1495" s="2" t="s">
        <v>18</v>
      </c>
      <c r="E1495" s="5" t="s">
        <v>91</v>
      </c>
      <c r="F1495" s="3" t="s">
        <v>92</v>
      </c>
      <c r="G1495" s="3" t="s">
        <v>21</v>
      </c>
      <c r="H1495" s="2" t="s">
        <v>22</v>
      </c>
      <c r="I1495" s="2" t="s">
        <v>3828</v>
      </c>
      <c r="J1495" s="3" t="str">
        <f>HYPERLINK("https://www.boe.es/gazeta/dias/1834/02/13/pdfs/GMD-1834-20.pdf#page=3","Abrir facsímil")</f>
        <v>Abrir facsímil</v>
      </c>
      <c r="K1495" s="3" t="s">
        <v>24</v>
      </c>
    </row>
    <row r="1496" spans="1:11" ht="54" customHeight="1">
      <c r="A1496" s="2" t="s">
        <v>3827</v>
      </c>
      <c r="B1496" s="2" t="s">
        <v>3827</v>
      </c>
      <c r="C1496" s="2" t="s">
        <v>17</v>
      </c>
      <c r="D1496" s="2" t="s">
        <v>55</v>
      </c>
      <c r="E1496" s="5" t="s">
        <v>518</v>
      </c>
      <c r="F1496" s="3" t="s">
        <v>519</v>
      </c>
      <c r="G1496" s="3" t="s">
        <v>86</v>
      </c>
      <c r="H1496" s="2" t="s">
        <v>22</v>
      </c>
      <c r="I1496" s="2" t="s">
        <v>3829</v>
      </c>
      <c r="J1496" s="3" t="str">
        <f>HYPERLINK("https://www.boe.es/gazeta/dias/1834/03/15/pdfs/GMD-1834-33.pdf#page=2","Abrir facsímil")</f>
        <v>Abrir facsímil</v>
      </c>
      <c r="K1496" s="3" t="s">
        <v>24</v>
      </c>
    </row>
    <row r="1497" spans="1:11" ht="54" customHeight="1">
      <c r="A1497" s="2" t="s">
        <v>3830</v>
      </c>
      <c r="B1497" s="2" t="s">
        <v>3831</v>
      </c>
      <c r="C1497" s="2" t="s">
        <v>122</v>
      </c>
      <c r="D1497" s="2" t="s">
        <v>18</v>
      </c>
      <c r="E1497" s="5" t="s">
        <v>844</v>
      </c>
      <c r="F1497" s="3" t="s">
        <v>845</v>
      </c>
      <c r="G1497" s="3" t="s">
        <v>75</v>
      </c>
      <c r="H1497" s="2" t="s">
        <v>22</v>
      </c>
      <c r="I1497" s="2" t="s">
        <v>3832</v>
      </c>
      <c r="J1497" s="3" t="str">
        <f>HYPERLINK("https://www.boe.es/gazeta/dias/1834/03/13/pdfs/GMD-1834-32.pdf#page=4","Abrir facsímil")</f>
        <v>Abrir facsímil</v>
      </c>
      <c r="K1497" s="3" t="s">
        <v>24</v>
      </c>
    </row>
    <row r="1498" spans="1:11" ht="54" customHeight="1">
      <c r="A1498" s="2" t="s">
        <v>3833</v>
      </c>
      <c r="B1498" s="2" t="s">
        <v>3833</v>
      </c>
      <c r="C1498" s="2" t="s">
        <v>122</v>
      </c>
      <c r="D1498" s="2" t="s">
        <v>55</v>
      </c>
      <c r="E1498" s="5" t="s">
        <v>1284</v>
      </c>
      <c r="F1498" s="3" t="s">
        <v>1285</v>
      </c>
      <c r="G1498" s="3" t="s">
        <v>86</v>
      </c>
      <c r="H1498" s="2" t="s">
        <v>22</v>
      </c>
      <c r="I1498" s="2" t="s">
        <v>3834</v>
      </c>
      <c r="J1498" s="3" t="str">
        <f>HYPERLINK("https://www.boe.es/gazeta/dias/1834/11/28/pdfs/GMD-1834-287.pdf#page=2","Abrir facsímil")</f>
        <v>Abrir facsímil</v>
      </c>
      <c r="K1498" s="3" t="s">
        <v>24</v>
      </c>
    </row>
    <row r="1499" spans="1:11" ht="54" customHeight="1">
      <c r="A1499" s="2" t="s">
        <v>3835</v>
      </c>
      <c r="B1499" s="2" t="s">
        <v>3835</v>
      </c>
      <c r="C1499" s="2" t="s">
        <v>17</v>
      </c>
      <c r="D1499" s="2" t="s">
        <v>18</v>
      </c>
      <c r="E1499" s="5" t="s">
        <v>1307</v>
      </c>
      <c r="F1499" s="3" t="s">
        <v>1308</v>
      </c>
      <c r="G1499" s="3" t="s">
        <v>75</v>
      </c>
      <c r="H1499" s="2" t="s">
        <v>22</v>
      </c>
      <c r="I1499" s="2" t="s">
        <v>3836</v>
      </c>
      <c r="J1499" s="3" t="str">
        <f>HYPERLINK("https://www.boe.es/gazeta/dias/1834/08/25/pdfs/GMD-1834-191.pdf#page=4","Abrir facsímil")</f>
        <v>Abrir facsímil</v>
      </c>
      <c r="K1499" s="3" t="s">
        <v>24</v>
      </c>
    </row>
    <row r="1500" spans="1:11" ht="54" customHeight="1">
      <c r="A1500" s="2" t="s">
        <v>3837</v>
      </c>
      <c r="B1500" s="2" t="s">
        <v>3838</v>
      </c>
      <c r="C1500" s="2" t="s">
        <v>66</v>
      </c>
      <c r="D1500" s="2" t="s">
        <v>67</v>
      </c>
      <c r="E1500" s="5" t="s">
        <v>360</v>
      </c>
      <c r="F1500" s="3" t="s">
        <v>361</v>
      </c>
      <c r="G1500" s="3" t="s">
        <v>34</v>
      </c>
      <c r="H1500" s="2" t="s">
        <v>22</v>
      </c>
      <c r="I1500" s="2" t="s">
        <v>3839</v>
      </c>
      <c r="J1500" s="3" t="str">
        <f>HYPERLINK("https://www.boe.es/gazeta/dias/1834/04/07/pdfs/GMD-1834-46.pdf#page=1","Abrir facsímil")</f>
        <v>Abrir facsímil</v>
      </c>
      <c r="K1500" s="3" t="s">
        <v>24</v>
      </c>
    </row>
    <row r="1501" spans="1:11" ht="54" customHeight="1">
      <c r="A1501" s="2" t="s">
        <v>3840</v>
      </c>
      <c r="B1501" s="2" t="s">
        <v>3841</v>
      </c>
      <c r="C1501" s="2" t="s">
        <v>122</v>
      </c>
      <c r="D1501" s="2" t="s">
        <v>18</v>
      </c>
      <c r="E1501" s="5" t="s">
        <v>734</v>
      </c>
      <c r="F1501" s="3" t="s">
        <v>735</v>
      </c>
      <c r="G1501" s="3" t="s">
        <v>21</v>
      </c>
      <c r="H1501" s="2" t="s">
        <v>22</v>
      </c>
      <c r="I1501" s="2" t="s">
        <v>3842</v>
      </c>
      <c r="J1501" s="3" t="str">
        <f>HYPERLINK("https://www.boe.es/gazeta/dias/1834/05/06/pdfs/GMD-1834-75.pdf#page=3","Abrir facsímil")</f>
        <v>Abrir facsímil</v>
      </c>
      <c r="K1501" s="3" t="s">
        <v>24</v>
      </c>
    </row>
    <row r="1502" spans="1:11" ht="54" customHeight="1">
      <c r="A1502" s="2" t="s">
        <v>3843</v>
      </c>
      <c r="B1502" s="2" t="s">
        <v>3844</v>
      </c>
      <c r="C1502" s="2" t="s">
        <v>66</v>
      </c>
      <c r="D1502" s="2" t="s">
        <v>67</v>
      </c>
      <c r="E1502" s="5" t="s">
        <v>2241</v>
      </c>
      <c r="F1502" s="3" t="s">
        <v>2242</v>
      </c>
      <c r="G1502" s="3" t="s">
        <v>21</v>
      </c>
      <c r="H1502" s="2" t="s">
        <v>22</v>
      </c>
      <c r="I1502" s="2" t="s">
        <v>3845</v>
      </c>
      <c r="J1502" s="3" t="str">
        <f>HYPERLINK("https://www.boe.es/gazeta/dias/1834/03/11/pdfs/GMD-1834-31.pdf#page=3","Abrir facsímil")</f>
        <v>Abrir facsímil</v>
      </c>
      <c r="K1502" s="3" t="s">
        <v>24</v>
      </c>
    </row>
    <row r="1503" spans="1:11" ht="54" customHeight="1">
      <c r="A1503" s="2" t="s">
        <v>3846</v>
      </c>
      <c r="B1503" s="2" t="s">
        <v>3847</v>
      </c>
      <c r="C1503" s="2" t="s">
        <v>17</v>
      </c>
      <c r="D1503" s="2" t="s">
        <v>18</v>
      </c>
      <c r="E1503" s="5" t="s">
        <v>73</v>
      </c>
      <c r="F1503" s="3" t="s">
        <v>74</v>
      </c>
      <c r="G1503" s="3" t="s">
        <v>75</v>
      </c>
      <c r="H1503" s="2" t="s">
        <v>22</v>
      </c>
      <c r="I1503" s="2" t="s">
        <v>3848</v>
      </c>
      <c r="J1503" s="3" t="str">
        <f>HYPERLINK("https://www.boe.es/gazeta/dias/1834/11/04/pdfs/GMD-1834-263.pdf#page=4","Abrir facsímil")</f>
        <v>Abrir facsímil</v>
      </c>
      <c r="K1503" s="3" t="s">
        <v>24</v>
      </c>
    </row>
    <row r="1504" spans="1:11" ht="54" customHeight="1">
      <c r="A1504" s="2" t="s">
        <v>3849</v>
      </c>
      <c r="B1504" s="2" t="s">
        <v>3849</v>
      </c>
      <c r="C1504" s="2" t="s">
        <v>17</v>
      </c>
      <c r="D1504" s="2" t="s">
        <v>18</v>
      </c>
      <c r="E1504" s="5" t="s">
        <v>976</v>
      </c>
      <c r="F1504" s="3" t="s">
        <v>977</v>
      </c>
      <c r="G1504" s="3" t="s">
        <v>75</v>
      </c>
      <c r="H1504" s="2" t="s">
        <v>22</v>
      </c>
      <c r="I1504" s="2" t="s">
        <v>3850</v>
      </c>
      <c r="J1504" s="3" t="str">
        <f>HYPERLINK("https://www.boe.es/gazeta/dias/1834/04/02/pdfs/GMD-1834-41.pdf#page=4","Abrir facsímil")</f>
        <v>Abrir facsímil</v>
      </c>
      <c r="K1504" s="3" t="s">
        <v>24</v>
      </c>
    </row>
    <row r="1505" spans="1:11" ht="54" customHeight="1">
      <c r="A1505" s="2" t="s">
        <v>3849</v>
      </c>
      <c r="B1505" s="2" t="s">
        <v>3849</v>
      </c>
      <c r="C1505" s="2" t="s">
        <v>66</v>
      </c>
      <c r="D1505" s="2" t="s">
        <v>67</v>
      </c>
      <c r="E1505" s="5" t="s">
        <v>1008</v>
      </c>
      <c r="F1505" s="3" t="s">
        <v>2991</v>
      </c>
      <c r="G1505" s="3" t="s">
        <v>75</v>
      </c>
      <c r="H1505" s="2" t="s">
        <v>22</v>
      </c>
      <c r="I1505" s="2" t="s">
        <v>3851</v>
      </c>
      <c r="J1505" s="3" t="str">
        <f>HYPERLINK("https://www.boe.es/gazeta/dias/1834/11/08/pdfs/GMD-1834-267.pdf#page=4","Abrir facsímil")</f>
        <v>Abrir facsímil</v>
      </c>
      <c r="K1505" s="3" t="s">
        <v>24</v>
      </c>
    </row>
    <row r="1506" spans="1:11" ht="54" customHeight="1">
      <c r="A1506" s="2" t="s">
        <v>3849</v>
      </c>
      <c r="B1506" s="2" t="s">
        <v>3849</v>
      </c>
      <c r="C1506" s="2" t="s">
        <v>17</v>
      </c>
      <c r="D1506" s="2" t="s">
        <v>18</v>
      </c>
      <c r="E1506" s="5" t="s">
        <v>1999</v>
      </c>
      <c r="F1506" s="3" t="s">
        <v>2000</v>
      </c>
      <c r="G1506" s="3" t="s">
        <v>75</v>
      </c>
      <c r="H1506" s="2" t="s">
        <v>22</v>
      </c>
      <c r="I1506" s="2" t="s">
        <v>3852</v>
      </c>
      <c r="J1506" s="3" t="str">
        <f>HYPERLINK("https://www.boe.es/gazeta/dias/1834/04/09/pdfs/GMD-1834-48.pdf#page=4","Abrir facsímil")</f>
        <v>Abrir facsímil</v>
      </c>
      <c r="K1506" s="3" t="s">
        <v>24</v>
      </c>
    </row>
    <row r="1507" spans="1:11" ht="54" customHeight="1">
      <c r="A1507" s="2" t="s">
        <v>3849</v>
      </c>
      <c r="B1507" s="2" t="s">
        <v>3849</v>
      </c>
      <c r="C1507" s="2" t="s">
        <v>122</v>
      </c>
      <c r="D1507" s="2" t="s">
        <v>18</v>
      </c>
      <c r="E1507" s="5" t="s">
        <v>1103</v>
      </c>
      <c r="F1507" s="3" t="s">
        <v>1259</v>
      </c>
      <c r="G1507" s="3" t="s">
        <v>75</v>
      </c>
      <c r="H1507" s="2" t="s">
        <v>22</v>
      </c>
      <c r="I1507" s="2" t="s">
        <v>3853</v>
      </c>
      <c r="J1507" s="3" t="str">
        <f>HYPERLINK("https://www.boe.es/gazeta/dias/1834/10/10/pdfs/GMD-1834-238.pdf#page=4","Abrir facsímil")</f>
        <v>Abrir facsímil</v>
      </c>
      <c r="K1507" s="3" t="s">
        <v>24</v>
      </c>
    </row>
    <row r="1508" spans="1:11" ht="54" customHeight="1">
      <c r="A1508" s="2" t="s">
        <v>3849</v>
      </c>
      <c r="B1508" s="2" t="s">
        <v>3849</v>
      </c>
      <c r="C1508" s="2" t="s">
        <v>122</v>
      </c>
      <c r="D1508" s="2" t="s">
        <v>18</v>
      </c>
      <c r="E1508" s="5" t="s">
        <v>563</v>
      </c>
      <c r="F1508" s="3" t="s">
        <v>564</v>
      </c>
      <c r="G1508" s="3" t="s">
        <v>176</v>
      </c>
      <c r="H1508" s="2" t="s">
        <v>22</v>
      </c>
      <c r="I1508" s="2" t="s">
        <v>3854</v>
      </c>
      <c r="J1508" s="3" t="str">
        <f>HYPERLINK("https://www.boe.es/gazeta/dias/1834/04/19/pdfs/GMD-1834-58.pdf#page=6","Abrir facsímil")</f>
        <v>Abrir facsímil</v>
      </c>
      <c r="K1508" s="3" t="s">
        <v>24</v>
      </c>
    </row>
    <row r="1509" spans="1:11" ht="54" customHeight="1">
      <c r="A1509" s="2" t="s">
        <v>3855</v>
      </c>
      <c r="B1509" s="2" t="s">
        <v>3856</v>
      </c>
      <c r="C1509" s="2" t="s">
        <v>66</v>
      </c>
      <c r="D1509" s="2" t="s">
        <v>67</v>
      </c>
      <c r="E1509" s="5" t="s">
        <v>61</v>
      </c>
      <c r="F1509" s="3" t="s">
        <v>205</v>
      </c>
      <c r="G1509" s="3" t="s">
        <v>21</v>
      </c>
      <c r="H1509" s="2" t="s">
        <v>22</v>
      </c>
      <c r="I1509" s="2" t="s">
        <v>3857</v>
      </c>
      <c r="J1509" s="3" t="str">
        <f>HYPERLINK("https://www.boe.es/gazeta/dias/1834/06/08/pdfs/GMD-1834-110.pdf#page=3","Abrir facsímil")</f>
        <v>Abrir facsímil</v>
      </c>
      <c r="K1509" s="3" t="s">
        <v>24</v>
      </c>
    </row>
    <row r="1510" spans="1:11" ht="54" customHeight="1">
      <c r="A1510" s="2" t="s">
        <v>3858</v>
      </c>
      <c r="B1510" s="2" t="s">
        <v>3859</v>
      </c>
      <c r="C1510" s="2" t="s">
        <v>122</v>
      </c>
      <c r="D1510" s="2" t="s">
        <v>18</v>
      </c>
      <c r="E1510" s="5" t="s">
        <v>2153</v>
      </c>
      <c r="F1510" s="3" t="s">
        <v>2154</v>
      </c>
      <c r="G1510" s="3" t="s">
        <v>75</v>
      </c>
      <c r="H1510" s="2" t="s">
        <v>22</v>
      </c>
      <c r="I1510" s="2" t="s">
        <v>3860</v>
      </c>
      <c r="J1510" s="3" t="str">
        <f>HYPERLINK("https://www.boe.es/gazeta/dias/1834/01/23/pdfs/GMD-1834-11.pdf#page=4","Abrir facsímil")</f>
        <v>Abrir facsímil</v>
      </c>
      <c r="K1510" s="3" t="s">
        <v>24</v>
      </c>
    </row>
    <row r="1511" spans="1:11" ht="54" customHeight="1">
      <c r="A1511" s="2" t="s">
        <v>3861</v>
      </c>
      <c r="B1511" s="2" t="s">
        <v>3862</v>
      </c>
      <c r="C1511" s="2" t="s">
        <v>46</v>
      </c>
      <c r="D1511" s="2" t="s">
        <v>101</v>
      </c>
      <c r="E1511" s="5" t="s">
        <v>647</v>
      </c>
      <c r="F1511" s="3" t="s">
        <v>648</v>
      </c>
      <c r="G1511" s="3" t="s">
        <v>34</v>
      </c>
      <c r="H1511" s="2" t="s">
        <v>35</v>
      </c>
      <c r="I1511" s="2" t="s">
        <v>3863</v>
      </c>
      <c r="J1511" s="3" t="str">
        <f>HYPERLINK("https://www.boe.es/gazeta/dias/1834/10/21/pdfs/GMD-C-1834-249.pdf#page=1","Abrir facsímil")</f>
        <v>Abrir facsímil</v>
      </c>
      <c r="K1511" s="3" t="s">
        <v>37</v>
      </c>
    </row>
    <row r="1512" spans="1:11" ht="54" customHeight="1">
      <c r="A1512" s="2" t="s">
        <v>3864</v>
      </c>
      <c r="B1512" s="2" t="s">
        <v>3865</v>
      </c>
      <c r="C1512" s="2" t="s">
        <v>17</v>
      </c>
      <c r="D1512" s="2" t="s">
        <v>18</v>
      </c>
      <c r="E1512" s="5" t="s">
        <v>167</v>
      </c>
      <c r="F1512" s="3" t="s">
        <v>1200</v>
      </c>
      <c r="G1512" s="3" t="s">
        <v>86</v>
      </c>
      <c r="H1512" s="2" t="s">
        <v>22</v>
      </c>
      <c r="I1512" s="2" t="s">
        <v>3866</v>
      </c>
      <c r="J1512" s="3" t="str">
        <f>HYPERLINK("https://www.boe.es/gazeta/dias/1834/09/07/pdfs/GMD-C-1834-205.pdf#page=2","Abrir facsímil")</f>
        <v>Abrir facsímil</v>
      </c>
      <c r="K1512" s="3" t="s">
        <v>24</v>
      </c>
    </row>
    <row r="1513" spans="1:11" ht="54" customHeight="1">
      <c r="A1513" s="2" t="s">
        <v>3864</v>
      </c>
      <c r="B1513" s="2" t="s">
        <v>3865</v>
      </c>
      <c r="C1513" s="2" t="s">
        <v>46</v>
      </c>
      <c r="D1513" s="2" t="s">
        <v>101</v>
      </c>
      <c r="E1513" s="5" t="s">
        <v>448</v>
      </c>
      <c r="F1513" s="3" t="s">
        <v>449</v>
      </c>
      <c r="G1513" s="3" t="s">
        <v>34</v>
      </c>
      <c r="H1513" s="2" t="s">
        <v>22</v>
      </c>
      <c r="I1513" s="2" t="s">
        <v>3867</v>
      </c>
      <c r="J1513" s="3" t="str">
        <f>HYPERLINK("https://www.boe.es/gazeta/dias/1834/10/14/pdfs/GMD-C-1834-242.pdf#page=1","Abrir facsímil")</f>
        <v>Abrir facsímil</v>
      </c>
      <c r="K1513" s="3" t="s">
        <v>24</v>
      </c>
    </row>
    <row r="1514" spans="1:11" ht="54" customHeight="1">
      <c r="A1514" s="2" t="s">
        <v>3864</v>
      </c>
      <c r="B1514" s="2" t="s">
        <v>3865</v>
      </c>
      <c r="C1514" s="2" t="s">
        <v>46</v>
      </c>
      <c r="D1514" s="2" t="s">
        <v>101</v>
      </c>
      <c r="E1514" s="5" t="s">
        <v>647</v>
      </c>
      <c r="F1514" s="3" t="s">
        <v>648</v>
      </c>
      <c r="G1514" s="3" t="s">
        <v>34</v>
      </c>
      <c r="H1514" s="2" t="s">
        <v>22</v>
      </c>
      <c r="I1514" s="2" t="s">
        <v>3868</v>
      </c>
      <c r="J1514" s="3" t="str">
        <f>HYPERLINK("https://www.boe.es/gazeta/dias/1834/10/21/pdfs/GMD-C-1834-249.pdf#page=1","Abrir facsímil")</f>
        <v>Abrir facsímil</v>
      </c>
      <c r="K1514" s="3" t="s">
        <v>24</v>
      </c>
    </row>
    <row r="1515" spans="1:11" ht="54" customHeight="1">
      <c r="A1515" s="2" t="s">
        <v>3869</v>
      </c>
      <c r="B1515" s="2" t="s">
        <v>3870</v>
      </c>
      <c r="C1515" s="2" t="s">
        <v>17</v>
      </c>
      <c r="D1515" s="2" t="s">
        <v>18</v>
      </c>
      <c r="E1515" s="5" t="s">
        <v>96</v>
      </c>
      <c r="F1515" s="3" t="s">
        <v>1725</v>
      </c>
      <c r="G1515" s="3" t="s">
        <v>75</v>
      </c>
      <c r="H1515" s="2" t="s">
        <v>22</v>
      </c>
      <c r="I1515" s="2" t="s">
        <v>3871</v>
      </c>
      <c r="J1515" s="3" t="str">
        <f>HYPERLINK("https://www.boe.es/gazeta/dias/1834/11/11/pdfs/GMD-1834-270.pdf#page=4","Abrir facsímil")</f>
        <v>Abrir facsímil</v>
      </c>
      <c r="K1515" s="3" t="s">
        <v>24</v>
      </c>
    </row>
    <row r="1516" spans="1:11" ht="54" customHeight="1">
      <c r="A1516" s="2" t="s">
        <v>3872</v>
      </c>
      <c r="B1516" s="2" t="s">
        <v>3872</v>
      </c>
      <c r="C1516" s="2" t="s">
        <v>17</v>
      </c>
      <c r="D1516" s="2" t="s">
        <v>55</v>
      </c>
      <c r="E1516" s="5" t="s">
        <v>47</v>
      </c>
      <c r="F1516" s="3" t="s">
        <v>48</v>
      </c>
      <c r="G1516" s="3" t="s">
        <v>176</v>
      </c>
      <c r="H1516" s="2" t="s">
        <v>22</v>
      </c>
      <c r="I1516" s="2" t="s">
        <v>3873</v>
      </c>
      <c r="J1516" s="3" t="str">
        <f>HYPERLINK("https://www.boe.es/gazeta/dias/1834/09/05/pdfs/GMD-C-1834-203.pdf#page=6","Abrir facsímil")</f>
        <v>Abrir facsímil</v>
      </c>
      <c r="K1516" s="3" t="s">
        <v>24</v>
      </c>
    </row>
    <row r="1517" spans="1:11" ht="54" customHeight="1">
      <c r="A1517" s="2" t="s">
        <v>3872</v>
      </c>
      <c r="B1517" s="2" t="s">
        <v>3872</v>
      </c>
      <c r="C1517" s="2" t="s">
        <v>66</v>
      </c>
      <c r="D1517" s="2" t="s">
        <v>67</v>
      </c>
      <c r="E1517" s="5" t="s">
        <v>448</v>
      </c>
      <c r="F1517" s="3" t="s">
        <v>449</v>
      </c>
      <c r="G1517" s="3" t="s">
        <v>21</v>
      </c>
      <c r="H1517" s="2" t="s">
        <v>22</v>
      </c>
      <c r="I1517" s="2" t="s">
        <v>3874</v>
      </c>
      <c r="J1517" s="3" t="str">
        <f>HYPERLINK("https://www.boe.es/gazeta/dias/1834/10/14/pdfs/GMD-C-1834-242.pdf#page=3","Abrir facsímil")</f>
        <v>Abrir facsímil</v>
      </c>
      <c r="K1517" s="3" t="s">
        <v>24</v>
      </c>
    </row>
    <row r="1518" spans="1:11" ht="54" customHeight="1">
      <c r="A1518" s="2" t="s">
        <v>3872</v>
      </c>
      <c r="B1518" s="2" t="s">
        <v>3872</v>
      </c>
      <c r="C1518" s="2" t="s">
        <v>17</v>
      </c>
      <c r="D1518" s="2" t="s">
        <v>18</v>
      </c>
      <c r="E1518" s="5" t="s">
        <v>667</v>
      </c>
      <c r="F1518" s="3" t="s">
        <v>668</v>
      </c>
      <c r="G1518" s="3" t="s">
        <v>28</v>
      </c>
      <c r="H1518" s="2" t="s">
        <v>22</v>
      </c>
      <c r="I1518" s="2" t="s">
        <v>3875</v>
      </c>
      <c r="J1518" s="3" t="str">
        <f>HYPERLINK("https://www.boe.es/gazeta/dias/1834/11/23/pdfs/GMD-C-1834-282.pdf#page=5","Abrir facsímil")</f>
        <v>Abrir facsímil</v>
      </c>
      <c r="K1518" s="3" t="s">
        <v>24</v>
      </c>
    </row>
    <row r="1519" spans="1:11" ht="54" customHeight="1">
      <c r="A1519" s="2" t="s">
        <v>3876</v>
      </c>
      <c r="B1519" s="2" t="s">
        <v>3877</v>
      </c>
      <c r="C1519" s="2" t="s">
        <v>17</v>
      </c>
      <c r="D1519" s="2" t="s">
        <v>18</v>
      </c>
      <c r="E1519" s="5" t="s">
        <v>19</v>
      </c>
      <c r="F1519" s="3" t="s">
        <v>107</v>
      </c>
      <c r="G1519" s="3" t="s">
        <v>75</v>
      </c>
      <c r="H1519" s="2" t="s">
        <v>22</v>
      </c>
      <c r="I1519" s="2" t="s">
        <v>3878</v>
      </c>
      <c r="J1519" s="3" t="str">
        <f>HYPERLINK("https://www.boe.es/gazeta/dias/1834/08/17/pdfs/GMD-1834-182.pdf#page=4","Abrir facsímil")</f>
        <v>Abrir facsímil</v>
      </c>
      <c r="K1519" s="3" t="s">
        <v>24</v>
      </c>
    </row>
    <row r="1520" spans="1:11" ht="54" customHeight="1">
      <c r="A1520" s="2" t="s">
        <v>3879</v>
      </c>
      <c r="B1520" s="2" t="s">
        <v>3880</v>
      </c>
      <c r="C1520" s="2" t="s">
        <v>17</v>
      </c>
      <c r="D1520" s="2" t="s">
        <v>18</v>
      </c>
      <c r="E1520" s="5" t="s">
        <v>19</v>
      </c>
      <c r="F1520" s="3" t="s">
        <v>107</v>
      </c>
      <c r="G1520" s="3" t="s">
        <v>75</v>
      </c>
      <c r="H1520" s="2" t="s">
        <v>35</v>
      </c>
      <c r="I1520" s="2" t="s">
        <v>3881</v>
      </c>
      <c r="J1520" s="3" t="str">
        <f>HYPERLINK("https://www.boe.es/gazeta/dias/1834/08/17/pdfs/GMD-1834-182.pdf#page=4","Abrir facsímil")</f>
        <v>Abrir facsímil</v>
      </c>
      <c r="K1520" s="3" t="s">
        <v>37</v>
      </c>
    </row>
    <row r="1521" spans="1:11" ht="54" customHeight="1">
      <c r="A1521" s="2" t="s">
        <v>3882</v>
      </c>
      <c r="B1521" s="2" t="s">
        <v>3883</v>
      </c>
      <c r="C1521" s="2" t="s">
        <v>17</v>
      </c>
      <c r="D1521" s="2" t="s">
        <v>18</v>
      </c>
      <c r="E1521" s="5" t="s">
        <v>679</v>
      </c>
      <c r="F1521" s="3" t="s">
        <v>699</v>
      </c>
      <c r="G1521" s="3" t="s">
        <v>75</v>
      </c>
      <c r="H1521" s="2" t="s">
        <v>22</v>
      </c>
      <c r="I1521" s="2" t="s">
        <v>3884</v>
      </c>
      <c r="J1521" s="3" t="str">
        <f>HYPERLINK("https://www.boe.es/gazeta/dias/1834/12/10/pdfs/GMD-C-1834-299.pdf#page=4","Abrir facsímil")</f>
        <v>Abrir facsímil</v>
      </c>
      <c r="K1521" s="3" t="s">
        <v>24</v>
      </c>
    </row>
    <row r="1522" spans="1:11" ht="54" customHeight="1">
      <c r="A1522" s="2" t="s">
        <v>3885</v>
      </c>
      <c r="B1522" s="2" t="s">
        <v>3886</v>
      </c>
      <c r="C1522" s="2" t="s">
        <v>17</v>
      </c>
      <c r="D1522" s="2" t="s">
        <v>18</v>
      </c>
      <c r="E1522" s="5" t="s">
        <v>1572</v>
      </c>
      <c r="F1522" s="3" t="s">
        <v>1573</v>
      </c>
      <c r="G1522" s="3" t="s">
        <v>28</v>
      </c>
      <c r="H1522" s="2" t="s">
        <v>22</v>
      </c>
      <c r="I1522" s="2" t="s">
        <v>3887</v>
      </c>
      <c r="J1522" s="3" t="str">
        <f>HYPERLINK("https://www.boe.es/gazeta/dias/1834/03/20/pdfs/GMD-1834-35.pdf#page=5","Abrir facsímil")</f>
        <v>Abrir facsímil</v>
      </c>
      <c r="K1522" s="3" t="s">
        <v>24</v>
      </c>
    </row>
    <row r="1523" spans="1:11" ht="54" customHeight="1">
      <c r="A1523" s="2" t="s">
        <v>3888</v>
      </c>
      <c r="B1523" s="2" t="s">
        <v>3888</v>
      </c>
      <c r="C1523" s="2" t="s">
        <v>17</v>
      </c>
      <c r="D1523" s="2" t="s">
        <v>18</v>
      </c>
      <c r="E1523" s="5" t="s">
        <v>326</v>
      </c>
      <c r="F1523" s="3" t="s">
        <v>327</v>
      </c>
      <c r="G1523" s="3" t="s">
        <v>86</v>
      </c>
      <c r="H1523" s="2" t="s">
        <v>22</v>
      </c>
      <c r="I1523" s="2" t="s">
        <v>3889</v>
      </c>
      <c r="J1523" s="3" t="str">
        <f>HYPERLINK("https://www.boe.es/gazeta/dias/1834/07/15/pdfs/GMD-1834-148.pdf#page=2","Abrir facsímil")</f>
        <v>Abrir facsímil</v>
      </c>
      <c r="K1523" s="3" t="s">
        <v>24</v>
      </c>
    </row>
    <row r="1524" spans="1:11" ht="54" customHeight="1">
      <c r="A1524" s="2" t="s">
        <v>3890</v>
      </c>
      <c r="B1524" s="2" t="s">
        <v>3891</v>
      </c>
      <c r="C1524" s="2" t="s">
        <v>17</v>
      </c>
      <c r="D1524" s="2" t="s">
        <v>18</v>
      </c>
      <c r="E1524" s="5" t="s">
        <v>73</v>
      </c>
      <c r="F1524" s="3" t="s">
        <v>1416</v>
      </c>
      <c r="G1524" s="3" t="s">
        <v>86</v>
      </c>
      <c r="H1524" s="2" t="s">
        <v>35</v>
      </c>
      <c r="I1524" s="2" t="s">
        <v>3892</v>
      </c>
      <c r="J1524" s="3" t="str">
        <f>HYPERLINK("https://www.boe.es/gazeta/dias/1834/11/04/pdfs/GMD-C-1834-263.pdf#page=2","Abrir facsímil")</f>
        <v>Abrir facsímil</v>
      </c>
      <c r="K1524" s="3" t="s">
        <v>37</v>
      </c>
    </row>
    <row r="1525" spans="1:11" ht="54" customHeight="1">
      <c r="A1525" s="2" t="s">
        <v>3893</v>
      </c>
      <c r="B1525" s="2" t="s">
        <v>3894</v>
      </c>
      <c r="C1525" s="2" t="s">
        <v>17</v>
      </c>
      <c r="D1525" s="2" t="s">
        <v>18</v>
      </c>
      <c r="E1525" s="5" t="s">
        <v>73</v>
      </c>
      <c r="F1525" s="3" t="s">
        <v>1416</v>
      </c>
      <c r="G1525" s="3" t="s">
        <v>86</v>
      </c>
      <c r="H1525" s="2" t="s">
        <v>22</v>
      </c>
      <c r="I1525" s="2" t="s">
        <v>3895</v>
      </c>
      <c r="J1525" s="3" t="str">
        <f>HYPERLINK("https://www.boe.es/gazeta/dias/1834/11/04/pdfs/GMD-C-1834-263.pdf#page=2","Abrir facsímil")</f>
        <v>Abrir facsímil</v>
      </c>
      <c r="K1525" s="3" t="s">
        <v>24</v>
      </c>
    </row>
    <row r="1526" spans="1:11" ht="54" customHeight="1">
      <c r="A1526" s="2" t="s">
        <v>3896</v>
      </c>
      <c r="B1526" s="2" t="s">
        <v>3896</v>
      </c>
      <c r="C1526" s="2" t="s">
        <v>90</v>
      </c>
      <c r="D1526" s="2" t="s">
        <v>67</v>
      </c>
      <c r="E1526" s="5" t="s">
        <v>348</v>
      </c>
      <c r="F1526" s="3" t="s">
        <v>501</v>
      </c>
      <c r="G1526" s="3" t="s">
        <v>21</v>
      </c>
      <c r="H1526" s="2" t="s">
        <v>22</v>
      </c>
      <c r="I1526" s="2" t="s">
        <v>3897</v>
      </c>
      <c r="J1526" s="3" t="str">
        <f>HYPERLINK("https://www.boe.es/gazeta/dias/1834/06/12/pdfs/GMD-1834-115.pdf#page=3","Abrir facsímil")</f>
        <v>Abrir facsímil</v>
      </c>
      <c r="K1526" s="3" t="s">
        <v>24</v>
      </c>
    </row>
    <row r="1527" spans="1:11" ht="54" customHeight="1">
      <c r="A1527" s="2" t="s">
        <v>3898</v>
      </c>
      <c r="B1527" s="2" t="s">
        <v>3899</v>
      </c>
      <c r="C1527" s="2" t="s">
        <v>17</v>
      </c>
      <c r="D1527" s="2" t="s">
        <v>18</v>
      </c>
      <c r="E1527" s="5" t="s">
        <v>1170</v>
      </c>
      <c r="F1527" s="3" t="s">
        <v>1171</v>
      </c>
      <c r="G1527" s="3" t="s">
        <v>21</v>
      </c>
      <c r="H1527" s="2" t="s">
        <v>22</v>
      </c>
      <c r="I1527" s="2" t="s">
        <v>3900</v>
      </c>
      <c r="J1527" s="3" t="str">
        <f>HYPERLINK("https://www.boe.es/gazeta/dias/1834/01/07/pdfs/GMD-1834-4.pdf#page=3","Abrir facsímil")</f>
        <v>Abrir facsímil</v>
      </c>
      <c r="K1527" s="3" t="s">
        <v>24</v>
      </c>
    </row>
    <row r="1528" spans="1:11" ht="54" customHeight="1">
      <c r="A1528" s="2" t="s">
        <v>3901</v>
      </c>
      <c r="B1528" s="2" t="s">
        <v>3901</v>
      </c>
      <c r="C1528" s="2" t="s">
        <v>90</v>
      </c>
      <c r="D1528" s="2" t="s">
        <v>18</v>
      </c>
      <c r="E1528" s="5" t="s">
        <v>1116</v>
      </c>
      <c r="F1528" s="3" t="s">
        <v>1117</v>
      </c>
      <c r="G1528" s="3" t="s">
        <v>21</v>
      </c>
      <c r="H1528" s="2" t="s">
        <v>22</v>
      </c>
      <c r="I1528" s="2" t="s">
        <v>3902</v>
      </c>
      <c r="J1528" s="3" t="str">
        <f>HYPERLINK("https://www.boe.es/gazeta/dias/1834/05/16/pdfs/GMD-1834-85.pdf#page=3","Abrir facsímil")</f>
        <v>Abrir facsímil</v>
      </c>
      <c r="K1528" s="3" t="s">
        <v>24</v>
      </c>
    </row>
    <row r="1529" spans="1:11" ht="54" customHeight="1">
      <c r="A1529" s="2" t="s">
        <v>3903</v>
      </c>
      <c r="B1529" s="2" t="s">
        <v>3904</v>
      </c>
      <c r="C1529" s="2" t="s">
        <v>66</v>
      </c>
      <c r="D1529" s="2" t="s">
        <v>67</v>
      </c>
      <c r="E1529" s="5" t="s">
        <v>61</v>
      </c>
      <c r="F1529" s="3" t="s">
        <v>205</v>
      </c>
      <c r="G1529" s="3" t="s">
        <v>21</v>
      </c>
      <c r="H1529" s="2" t="s">
        <v>22</v>
      </c>
      <c r="I1529" s="2" t="s">
        <v>3905</v>
      </c>
      <c r="J1529" s="3" t="str">
        <f>HYPERLINK("https://www.boe.es/gazeta/dias/1834/06/08/pdfs/GMD-1834-110.pdf#page=3","Abrir facsímil")</f>
        <v>Abrir facsímil</v>
      </c>
      <c r="K1529" s="3" t="s">
        <v>24</v>
      </c>
    </row>
    <row r="1530" spans="1:11" ht="54" customHeight="1">
      <c r="A1530" s="2" t="s">
        <v>3906</v>
      </c>
      <c r="B1530" s="2" t="s">
        <v>3906</v>
      </c>
      <c r="C1530" s="2" t="s">
        <v>17</v>
      </c>
      <c r="D1530" s="2" t="s">
        <v>55</v>
      </c>
      <c r="E1530" s="5" t="s">
        <v>891</v>
      </c>
      <c r="F1530" s="3" t="s">
        <v>3608</v>
      </c>
      <c r="G1530" s="3" t="s">
        <v>21</v>
      </c>
      <c r="H1530" s="2" t="s">
        <v>22</v>
      </c>
      <c r="I1530" s="2" t="s">
        <v>3907</v>
      </c>
      <c r="J1530" s="3" t="str">
        <f>HYPERLINK("https://www.boe.es/gazeta/dias/1834/10/31/pdfs/GMD-1834-259.pdf#page=3","Abrir facsímil")</f>
        <v>Abrir facsímil</v>
      </c>
      <c r="K1530" s="3" t="s">
        <v>24</v>
      </c>
    </row>
    <row r="1531" spans="1:11" ht="54" customHeight="1">
      <c r="A1531" s="2" t="s">
        <v>3908</v>
      </c>
      <c r="B1531" s="2" t="s">
        <v>3908</v>
      </c>
      <c r="C1531" s="2" t="s">
        <v>66</v>
      </c>
      <c r="D1531" s="2" t="s">
        <v>67</v>
      </c>
      <c r="E1531" s="5" t="s">
        <v>19</v>
      </c>
      <c r="F1531" s="3" t="s">
        <v>107</v>
      </c>
      <c r="G1531" s="3" t="s">
        <v>21</v>
      </c>
      <c r="H1531" s="2" t="s">
        <v>22</v>
      </c>
      <c r="I1531" s="2" t="s">
        <v>3909</v>
      </c>
      <c r="J1531" s="3" t="str">
        <f>HYPERLINK("https://www.boe.es/gazeta/dias/1834/08/17/pdfs/GMD-1834-182.pdf#page=3","Abrir facsímil")</f>
        <v>Abrir facsímil</v>
      </c>
      <c r="K1531" s="3" t="s">
        <v>24</v>
      </c>
    </row>
    <row r="1532" spans="1:11" ht="54" customHeight="1">
      <c r="A1532" s="2" t="s">
        <v>3910</v>
      </c>
      <c r="B1532" s="2" t="s">
        <v>3910</v>
      </c>
      <c r="C1532" s="2" t="s">
        <v>46</v>
      </c>
      <c r="D1532" s="2" t="s">
        <v>55</v>
      </c>
      <c r="E1532" s="5" t="s">
        <v>1116</v>
      </c>
      <c r="F1532" s="3" t="s">
        <v>1117</v>
      </c>
      <c r="G1532" s="3" t="s">
        <v>86</v>
      </c>
      <c r="H1532" s="2" t="s">
        <v>22</v>
      </c>
      <c r="I1532" s="2" t="s">
        <v>3911</v>
      </c>
      <c r="J1532" s="3" t="str">
        <f>HYPERLINK("https://www.boe.es/gazeta/dias/1834/05/16/pdfs/GMD-1834-85.pdf#page=2","Abrir facsímil")</f>
        <v>Abrir facsímil</v>
      </c>
      <c r="K1532" s="3" t="s">
        <v>24</v>
      </c>
    </row>
    <row r="1533" spans="1:11" ht="54" customHeight="1">
      <c r="A1533" s="2" t="s">
        <v>3912</v>
      </c>
      <c r="B1533" s="2" t="s">
        <v>3913</v>
      </c>
      <c r="C1533" s="2" t="s">
        <v>90</v>
      </c>
      <c r="D1533" s="2" t="s">
        <v>55</v>
      </c>
      <c r="E1533" s="5" t="s">
        <v>1212</v>
      </c>
      <c r="F1533" s="3" t="s">
        <v>1213</v>
      </c>
      <c r="G1533" s="3" t="s">
        <v>21</v>
      </c>
      <c r="H1533" s="2" t="s">
        <v>35</v>
      </c>
      <c r="I1533" s="2" t="s">
        <v>3914</v>
      </c>
      <c r="J1533" s="3" t="str">
        <f>HYPERLINK("https://www.boe.es/gazeta/dias/1834/05/24/pdfs/GMD-1834-93.pdf#page=3","Abrir facsímil")</f>
        <v>Abrir facsímil</v>
      </c>
      <c r="K1533" s="3" t="s">
        <v>37</v>
      </c>
    </row>
    <row r="1534" spans="1:11" ht="54" customHeight="1">
      <c r="A1534" s="2" t="s">
        <v>3915</v>
      </c>
      <c r="B1534" s="2" t="s">
        <v>3916</v>
      </c>
      <c r="C1534" s="2" t="s">
        <v>17</v>
      </c>
      <c r="D1534" s="2" t="s">
        <v>40</v>
      </c>
      <c r="E1534" s="5" t="s">
        <v>2203</v>
      </c>
      <c r="F1534" s="3" t="s">
        <v>3917</v>
      </c>
      <c r="G1534" s="3" t="s">
        <v>75</v>
      </c>
      <c r="H1534" s="2" t="s">
        <v>22</v>
      </c>
      <c r="I1534" s="2" t="s">
        <v>3918</v>
      </c>
      <c r="J1534" s="3" t="str">
        <f>HYPERLINK("https://www.boe.es/gazeta/dias/1834/09/10/pdfs/GMD-1834-208.pdf#page=4","Abrir facsímil")</f>
        <v>Abrir facsímil</v>
      </c>
      <c r="K1534" s="3" t="s">
        <v>24</v>
      </c>
    </row>
    <row r="1535" spans="1:11" ht="54" customHeight="1">
      <c r="A1535" s="2" t="s">
        <v>3919</v>
      </c>
      <c r="B1535" s="2" t="s">
        <v>3919</v>
      </c>
      <c r="C1535" s="2" t="s">
        <v>90</v>
      </c>
      <c r="D1535" s="2" t="s">
        <v>18</v>
      </c>
      <c r="E1535" s="5" t="s">
        <v>394</v>
      </c>
      <c r="F1535" s="3" t="s">
        <v>459</v>
      </c>
      <c r="G1535" s="3" t="s">
        <v>34</v>
      </c>
      <c r="H1535" s="2" t="s">
        <v>22</v>
      </c>
      <c r="I1535" s="2" t="s">
        <v>3920</v>
      </c>
      <c r="J1535" s="3" t="str">
        <f>HYPERLINK("https://www.boe.es/gazeta/dias/1834/12/23/pdfs/GMD-C-1834-313.pdf#page=1","Abrir facsímil")</f>
        <v>Abrir facsímil</v>
      </c>
      <c r="K1535" s="3" t="s">
        <v>24</v>
      </c>
    </row>
    <row r="1536" spans="1:11" ht="54" customHeight="1">
      <c r="A1536" s="2" t="s">
        <v>3921</v>
      </c>
      <c r="B1536" s="2" t="s">
        <v>3922</v>
      </c>
      <c r="C1536" s="2" t="s">
        <v>17</v>
      </c>
      <c r="D1536" s="2" t="s">
        <v>40</v>
      </c>
      <c r="E1536" s="5" t="s">
        <v>2278</v>
      </c>
      <c r="F1536" s="3" t="s">
        <v>2279</v>
      </c>
      <c r="G1536" s="3" t="s">
        <v>86</v>
      </c>
      <c r="H1536" s="2" t="s">
        <v>35</v>
      </c>
      <c r="I1536" s="2" t="s">
        <v>3923</v>
      </c>
      <c r="J1536" s="3" t="str">
        <f>HYPERLINK("https://www.boe.es/gazeta/dias/1834/12/17/pdfs/GMD-C-1834-306.pdf#page=2","Abrir facsímil")</f>
        <v>Abrir facsímil</v>
      </c>
      <c r="K1536" s="3" t="s">
        <v>37</v>
      </c>
    </row>
    <row r="1537" spans="1:11" ht="54" customHeight="1">
      <c r="A1537" s="2" t="s">
        <v>3924</v>
      </c>
      <c r="B1537" s="2" t="s">
        <v>3925</v>
      </c>
      <c r="C1537" s="2" t="s">
        <v>17</v>
      </c>
      <c r="D1537" s="2" t="s">
        <v>18</v>
      </c>
      <c r="E1537" s="5" t="s">
        <v>448</v>
      </c>
      <c r="F1537" s="3" t="s">
        <v>449</v>
      </c>
      <c r="G1537" s="3" t="s">
        <v>34</v>
      </c>
      <c r="H1537" s="2" t="s">
        <v>22</v>
      </c>
      <c r="I1537" s="2" t="s">
        <v>3926</v>
      </c>
      <c r="J1537" s="3" t="str">
        <f>HYPERLINK("https://www.boe.es/gazeta/dias/1834/10/14/pdfs/GMD-C-1834-242.pdf#page=1","Abrir facsímil")</f>
        <v>Abrir facsímil</v>
      </c>
      <c r="K1537" s="3" t="s">
        <v>24</v>
      </c>
    </row>
    <row r="1538" spans="1:11" ht="54" customHeight="1">
      <c r="A1538" s="2" t="s">
        <v>3924</v>
      </c>
      <c r="B1538" s="2" t="s">
        <v>3925</v>
      </c>
      <c r="C1538" s="2" t="s">
        <v>17</v>
      </c>
      <c r="D1538" s="2" t="s">
        <v>40</v>
      </c>
      <c r="E1538" s="5" t="s">
        <v>2278</v>
      </c>
      <c r="F1538" s="3" t="s">
        <v>2279</v>
      </c>
      <c r="G1538" s="3" t="s">
        <v>86</v>
      </c>
      <c r="H1538" s="2" t="s">
        <v>22</v>
      </c>
      <c r="I1538" s="2" t="s">
        <v>3927</v>
      </c>
      <c r="J1538" s="3" t="str">
        <f>HYPERLINK("https://www.boe.es/gazeta/dias/1834/12/17/pdfs/GMD-C-1834-306.pdf#page=2","Abrir facsímil")</f>
        <v>Abrir facsímil</v>
      </c>
      <c r="K1538" s="3" t="s">
        <v>24</v>
      </c>
    </row>
    <row r="1539" spans="1:11" ht="54" customHeight="1">
      <c r="A1539" s="2" t="s">
        <v>3928</v>
      </c>
      <c r="B1539" s="2" t="s">
        <v>3929</v>
      </c>
      <c r="C1539" s="2" t="s">
        <v>17</v>
      </c>
      <c r="D1539" s="2" t="s">
        <v>18</v>
      </c>
      <c r="E1539" s="5" t="s">
        <v>167</v>
      </c>
      <c r="F1539" s="3" t="s">
        <v>1200</v>
      </c>
      <c r="G1539" s="3" t="s">
        <v>86</v>
      </c>
      <c r="H1539" s="2" t="s">
        <v>22</v>
      </c>
      <c r="I1539" s="2" t="s">
        <v>3930</v>
      </c>
      <c r="J1539" s="3" t="str">
        <f>HYPERLINK("https://www.boe.es/gazeta/dias/1834/09/07/pdfs/GMD-C-1834-205.pdf#page=2","Abrir facsímil")</f>
        <v>Abrir facsímil</v>
      </c>
      <c r="K1539" s="3" t="s">
        <v>24</v>
      </c>
    </row>
    <row r="1540" spans="1:11" ht="54" customHeight="1">
      <c r="A1540" s="2" t="s">
        <v>3931</v>
      </c>
      <c r="B1540" s="2" t="s">
        <v>3931</v>
      </c>
      <c r="C1540" s="2" t="s">
        <v>17</v>
      </c>
      <c r="D1540" s="2" t="s">
        <v>18</v>
      </c>
      <c r="E1540" s="5" t="s">
        <v>1704</v>
      </c>
      <c r="F1540" s="3" t="s">
        <v>1705</v>
      </c>
      <c r="G1540" s="3" t="s">
        <v>21</v>
      </c>
      <c r="H1540" s="2" t="s">
        <v>22</v>
      </c>
      <c r="I1540" s="2" t="s">
        <v>3932</v>
      </c>
      <c r="J1540" s="3" t="str">
        <f>HYPERLINK("https://www.boe.es/gazeta/dias/1834/12/02/pdfs/GMD-1834-291.pdf#page=3","Abrir facsímil")</f>
        <v>Abrir facsímil</v>
      </c>
      <c r="K1540" s="3" t="s">
        <v>24</v>
      </c>
    </row>
    <row r="1541" spans="1:11" ht="54" customHeight="1">
      <c r="A1541" s="2" t="s">
        <v>3933</v>
      </c>
      <c r="B1541" s="2" t="s">
        <v>3933</v>
      </c>
      <c r="C1541" s="2" t="s">
        <v>17</v>
      </c>
      <c r="D1541" s="2" t="s">
        <v>18</v>
      </c>
      <c r="E1541" s="5" t="s">
        <v>1025</v>
      </c>
      <c r="F1541" s="3" t="s">
        <v>1026</v>
      </c>
      <c r="G1541" s="3" t="s">
        <v>28</v>
      </c>
      <c r="H1541" s="2" t="s">
        <v>22</v>
      </c>
      <c r="I1541" s="2" t="s">
        <v>3934</v>
      </c>
      <c r="J1541" s="3" t="str">
        <f>HYPERLINK("https://www.boe.es/gazeta/dias/1834/03/01/pdfs/GMD-1834-27.pdf#page=5","Abrir facsímil")</f>
        <v>Abrir facsímil</v>
      </c>
      <c r="K1541" s="3" t="s">
        <v>24</v>
      </c>
    </row>
    <row r="1542" spans="1:11" ht="54" customHeight="1">
      <c r="A1542" s="2" t="s">
        <v>3933</v>
      </c>
      <c r="B1542" s="2" t="s">
        <v>3933</v>
      </c>
      <c r="C1542" s="2" t="s">
        <v>17</v>
      </c>
      <c r="D1542" s="2" t="s">
        <v>18</v>
      </c>
      <c r="E1542" s="5" t="s">
        <v>2729</v>
      </c>
      <c r="F1542" s="3" t="s">
        <v>2730</v>
      </c>
      <c r="G1542" s="3" t="s">
        <v>21</v>
      </c>
      <c r="H1542" s="2" t="s">
        <v>22</v>
      </c>
      <c r="I1542" s="2" t="s">
        <v>3935</v>
      </c>
      <c r="J1542" s="3" t="str">
        <f>HYPERLINK("https://www.boe.es/gazeta/dias/1834/07/02/pdfs/GMD-1834-135.pdf#page=3","Abrir facsímil")</f>
        <v>Abrir facsímil</v>
      </c>
      <c r="K1542" s="3" t="s">
        <v>24</v>
      </c>
    </row>
    <row r="1543" spans="1:11" ht="54" customHeight="1">
      <c r="A1543" s="2" t="s">
        <v>3933</v>
      </c>
      <c r="B1543" s="2" t="s">
        <v>3933</v>
      </c>
      <c r="C1543" s="2" t="s">
        <v>66</v>
      </c>
      <c r="D1543" s="2" t="s">
        <v>67</v>
      </c>
      <c r="E1543" s="5" t="s">
        <v>1862</v>
      </c>
      <c r="F1543" s="3" t="s">
        <v>1908</v>
      </c>
      <c r="G1543" s="3" t="s">
        <v>34</v>
      </c>
      <c r="H1543" s="2" t="s">
        <v>22</v>
      </c>
      <c r="I1543" s="2" t="s">
        <v>3936</v>
      </c>
      <c r="J1543" s="3" t="str">
        <f>HYPERLINK("https://www.boe.es/gazeta/dias/1834/02/04/pdfs/GMD-C-1834-16.pdf#page=1","Abrir facsímil")</f>
        <v>Abrir facsímil</v>
      </c>
      <c r="K1543" s="3" t="s">
        <v>24</v>
      </c>
    </row>
    <row r="1544" spans="1:11" ht="54" customHeight="1">
      <c r="A1544" s="2" t="s">
        <v>3933</v>
      </c>
      <c r="B1544" s="2" t="s">
        <v>3933</v>
      </c>
      <c r="C1544" s="2" t="s">
        <v>17</v>
      </c>
      <c r="D1544" s="2" t="s">
        <v>18</v>
      </c>
      <c r="E1544" s="5" t="s">
        <v>506</v>
      </c>
      <c r="F1544" s="3" t="s">
        <v>507</v>
      </c>
      <c r="G1544" s="3" t="s">
        <v>28</v>
      </c>
      <c r="H1544" s="2" t="s">
        <v>22</v>
      </c>
      <c r="I1544" s="2" t="s">
        <v>3937</v>
      </c>
      <c r="J1544" s="3" t="str">
        <f>HYPERLINK("https://www.boe.es/gazeta/dias/1834/03/04/pdfs/GMD-1834-28.pdf#page=5","Abrir facsímil")</f>
        <v>Abrir facsímil</v>
      </c>
      <c r="K1544" s="3" t="s">
        <v>24</v>
      </c>
    </row>
    <row r="1545" spans="1:11" ht="54" customHeight="1">
      <c r="A1545" s="2" t="s">
        <v>3933</v>
      </c>
      <c r="B1545" s="2" t="s">
        <v>3933</v>
      </c>
      <c r="C1545" s="2" t="s">
        <v>17</v>
      </c>
      <c r="D1545" s="2" t="s">
        <v>18</v>
      </c>
      <c r="E1545" s="5" t="s">
        <v>3170</v>
      </c>
      <c r="F1545" s="3" t="s">
        <v>3171</v>
      </c>
      <c r="G1545" s="3" t="s">
        <v>21</v>
      </c>
      <c r="H1545" s="2" t="s">
        <v>22</v>
      </c>
      <c r="I1545" s="2" t="s">
        <v>3938</v>
      </c>
      <c r="J1545" s="3" t="str">
        <f>HYPERLINK("https://www.boe.es/gazeta/dias/1834/12/07/pdfs/GMD-1834-296.pdf#page=3","Abrir facsímil")</f>
        <v>Abrir facsímil</v>
      </c>
      <c r="K1545" s="3" t="s">
        <v>24</v>
      </c>
    </row>
    <row r="1546" spans="1:11" ht="54" customHeight="1">
      <c r="A1546" s="2" t="s">
        <v>3933</v>
      </c>
      <c r="B1546" s="2" t="s">
        <v>3933</v>
      </c>
      <c r="C1546" s="2" t="s">
        <v>17</v>
      </c>
      <c r="D1546" s="2" t="s">
        <v>18</v>
      </c>
      <c r="E1546" s="5" t="s">
        <v>2091</v>
      </c>
      <c r="F1546" s="3" t="s">
        <v>2092</v>
      </c>
      <c r="G1546" s="3" t="s">
        <v>21</v>
      </c>
      <c r="H1546" s="2" t="s">
        <v>22</v>
      </c>
      <c r="I1546" s="2" t="s">
        <v>3939</v>
      </c>
      <c r="J1546" s="3" t="str">
        <f>HYPERLINK("https://www.boe.es/gazeta/dias/1834/03/08/pdfs/GMD-1834-30.pdf#page=3","Abrir facsímil")</f>
        <v>Abrir facsímil</v>
      </c>
      <c r="K1546" s="3" t="s">
        <v>24</v>
      </c>
    </row>
    <row r="1547" spans="1:11" ht="54" customHeight="1">
      <c r="A1547" s="2" t="s">
        <v>3933</v>
      </c>
      <c r="B1547" s="2" t="s">
        <v>3933</v>
      </c>
      <c r="C1547" s="2" t="s">
        <v>17</v>
      </c>
      <c r="D1547" s="2" t="s">
        <v>18</v>
      </c>
      <c r="E1547" s="5" t="s">
        <v>399</v>
      </c>
      <c r="F1547" s="3" t="s">
        <v>400</v>
      </c>
      <c r="G1547" s="3" t="s">
        <v>75</v>
      </c>
      <c r="H1547" s="2" t="s">
        <v>22</v>
      </c>
      <c r="I1547" s="2" t="s">
        <v>3940</v>
      </c>
      <c r="J1547" s="3" t="str">
        <f>HYPERLINK("https://www.boe.es/gazeta/dias/1834/07/08/pdfs/GMD-1834-141.pdf#page=4","Abrir facsímil")</f>
        <v>Abrir facsímil</v>
      </c>
      <c r="K1547" s="3" t="s">
        <v>24</v>
      </c>
    </row>
    <row r="1548" spans="1:11" ht="54" customHeight="1">
      <c r="A1548" s="2" t="s">
        <v>3933</v>
      </c>
      <c r="B1548" s="2" t="s">
        <v>3933</v>
      </c>
      <c r="C1548" s="2" t="s">
        <v>17</v>
      </c>
      <c r="D1548" s="2" t="s">
        <v>18</v>
      </c>
      <c r="E1548" s="5" t="s">
        <v>785</v>
      </c>
      <c r="F1548" s="3" t="s">
        <v>786</v>
      </c>
      <c r="G1548" s="3" t="s">
        <v>75</v>
      </c>
      <c r="H1548" s="2" t="s">
        <v>22</v>
      </c>
      <c r="I1548" s="2" t="s">
        <v>3941</v>
      </c>
      <c r="J1548" s="3" t="str">
        <f>HYPERLINK("https://www.boe.es/gazeta/dias/1834/02/11/pdfs/GMD-1834-19.pdf#page=4","Abrir facsímil")</f>
        <v>Abrir facsímil</v>
      </c>
      <c r="K1548" s="3" t="s">
        <v>24</v>
      </c>
    </row>
    <row r="1549" spans="1:11" ht="54" customHeight="1">
      <c r="A1549" s="2" t="s">
        <v>3933</v>
      </c>
      <c r="B1549" s="2" t="s">
        <v>3933</v>
      </c>
      <c r="C1549" s="2" t="s">
        <v>17</v>
      </c>
      <c r="D1549" s="2" t="s">
        <v>18</v>
      </c>
      <c r="E1549" s="5" t="s">
        <v>2098</v>
      </c>
      <c r="F1549" s="3" t="s">
        <v>2099</v>
      </c>
      <c r="G1549" s="3" t="s">
        <v>21</v>
      </c>
      <c r="H1549" s="2" t="s">
        <v>22</v>
      </c>
      <c r="I1549" s="2" t="s">
        <v>3942</v>
      </c>
      <c r="J1549" s="3" t="str">
        <f>HYPERLINK("https://www.boe.es/gazeta/dias/1834/08/11/pdfs/GMD-1834-176.pdf#page=3","Abrir facsímil")</f>
        <v>Abrir facsímil</v>
      </c>
      <c r="K1549" s="3" t="s">
        <v>24</v>
      </c>
    </row>
    <row r="1550" spans="1:11" ht="54" customHeight="1">
      <c r="A1550" s="2" t="s">
        <v>3933</v>
      </c>
      <c r="B1550" s="2" t="s">
        <v>3933</v>
      </c>
      <c r="C1550" s="2" t="s">
        <v>46</v>
      </c>
      <c r="D1550" s="2" t="s">
        <v>40</v>
      </c>
      <c r="E1550" s="5" t="s">
        <v>91</v>
      </c>
      <c r="F1550" s="3" t="s">
        <v>92</v>
      </c>
      <c r="G1550" s="3" t="s">
        <v>75</v>
      </c>
      <c r="H1550" s="2" t="s">
        <v>22</v>
      </c>
      <c r="I1550" s="2" t="s">
        <v>3943</v>
      </c>
      <c r="J1550" s="3" t="str">
        <f>HYPERLINK("https://www.boe.es/gazeta/dias/1834/02/13/pdfs/GMD-1834-20.pdf#page=4","Abrir facsímil")</f>
        <v>Abrir facsímil</v>
      </c>
      <c r="K1550" s="3" t="s">
        <v>24</v>
      </c>
    </row>
    <row r="1551" spans="1:11" ht="54" customHeight="1">
      <c r="A1551" s="2" t="s">
        <v>3933</v>
      </c>
      <c r="B1551" s="2" t="s">
        <v>3933</v>
      </c>
      <c r="C1551" s="2" t="s">
        <v>66</v>
      </c>
      <c r="D1551" s="2" t="s">
        <v>101</v>
      </c>
      <c r="E1551" s="5" t="s">
        <v>663</v>
      </c>
      <c r="F1551" s="3" t="s">
        <v>664</v>
      </c>
      <c r="G1551" s="3" t="s">
        <v>21</v>
      </c>
      <c r="H1551" s="2" t="s">
        <v>22</v>
      </c>
      <c r="I1551" s="2" t="s">
        <v>3944</v>
      </c>
      <c r="J1551" s="3" t="str">
        <f>HYPERLINK("https://www.boe.es/gazeta/dias/1834/07/16/pdfs/GMD-1834-149.pdf#page=3","Abrir facsímil")</f>
        <v>Abrir facsímil</v>
      </c>
      <c r="K1551" s="3" t="s">
        <v>24</v>
      </c>
    </row>
    <row r="1552" spans="1:11" ht="54" customHeight="1">
      <c r="A1552" s="2" t="s">
        <v>3933</v>
      </c>
      <c r="B1552" s="2" t="s">
        <v>3933</v>
      </c>
      <c r="C1552" s="2" t="s">
        <v>46</v>
      </c>
      <c r="D1552" s="2" t="s">
        <v>101</v>
      </c>
      <c r="E1552" s="5" t="s">
        <v>838</v>
      </c>
      <c r="F1552" s="3" t="s">
        <v>839</v>
      </c>
      <c r="G1552" s="3" t="s">
        <v>21</v>
      </c>
      <c r="H1552" s="2" t="s">
        <v>22</v>
      </c>
      <c r="I1552" s="2" t="s">
        <v>3945</v>
      </c>
      <c r="J1552" s="3" t="str">
        <f>HYPERLINK("https://www.boe.es/gazeta/dias/1834/07/18/pdfs/GMD-1834-151.pdf#page=3","Abrir facsímil")</f>
        <v>Abrir facsímil</v>
      </c>
      <c r="K1552" s="3" t="s">
        <v>24</v>
      </c>
    </row>
    <row r="1553" spans="1:11" ht="54" customHeight="1">
      <c r="A1553" s="2" t="s">
        <v>3933</v>
      </c>
      <c r="B1553" s="2" t="s">
        <v>3933</v>
      </c>
      <c r="C1553" s="2" t="s">
        <v>66</v>
      </c>
      <c r="D1553" s="2" t="s">
        <v>18</v>
      </c>
      <c r="E1553" s="5" t="s">
        <v>1669</v>
      </c>
      <c r="F1553" s="3" t="s">
        <v>1670</v>
      </c>
      <c r="G1553" s="3" t="s">
        <v>21</v>
      </c>
      <c r="H1553" s="2" t="s">
        <v>22</v>
      </c>
      <c r="I1553" s="2" t="s">
        <v>3946</v>
      </c>
      <c r="J1553" s="3" t="str">
        <f>HYPERLINK("https://www.boe.es/gazeta/dias/1834/06/19/pdfs/GMD-1834-122.pdf#page=3","Abrir facsímil")</f>
        <v>Abrir facsímil</v>
      </c>
      <c r="K1553" s="3" t="s">
        <v>24</v>
      </c>
    </row>
    <row r="1554" spans="1:11" ht="54" customHeight="1">
      <c r="A1554" s="2" t="s">
        <v>3933</v>
      </c>
      <c r="B1554" s="2" t="s">
        <v>3933</v>
      </c>
      <c r="C1554" s="2" t="s">
        <v>17</v>
      </c>
      <c r="D1554" s="2" t="s">
        <v>18</v>
      </c>
      <c r="E1554" s="5" t="s">
        <v>3810</v>
      </c>
      <c r="F1554" s="3" t="s">
        <v>3811</v>
      </c>
      <c r="G1554" s="3" t="s">
        <v>75</v>
      </c>
      <c r="H1554" s="2" t="s">
        <v>22</v>
      </c>
      <c r="I1554" s="2" t="s">
        <v>3947</v>
      </c>
      <c r="J1554" s="3" t="str">
        <f>HYPERLINK("https://www.boe.es/gazeta/dias/1834/02/20/pdfs/GMD-1834-23.pdf#page=4","Abrir facsímil")</f>
        <v>Abrir facsímil</v>
      </c>
      <c r="K1554" s="3" t="s">
        <v>24</v>
      </c>
    </row>
    <row r="1555" spans="1:11" ht="54" customHeight="1">
      <c r="A1555" s="2" t="s">
        <v>3933</v>
      </c>
      <c r="B1555" s="2" t="s">
        <v>3933</v>
      </c>
      <c r="C1555" s="2" t="s">
        <v>17</v>
      </c>
      <c r="D1555" s="2" t="s">
        <v>18</v>
      </c>
      <c r="E1555" s="5" t="s">
        <v>1572</v>
      </c>
      <c r="F1555" s="3" t="s">
        <v>1573</v>
      </c>
      <c r="G1555" s="3" t="s">
        <v>75</v>
      </c>
      <c r="H1555" s="2" t="s">
        <v>22</v>
      </c>
      <c r="I1555" s="2" t="s">
        <v>3948</v>
      </c>
      <c r="J1555" s="3" t="str">
        <f>HYPERLINK("https://www.boe.es/gazeta/dias/1834/03/20/pdfs/GMD-1834-35.pdf#page=4","Abrir facsímil")</f>
        <v>Abrir facsímil</v>
      </c>
      <c r="K1555" s="3" t="s">
        <v>24</v>
      </c>
    </row>
    <row r="1556" spans="1:11" ht="54" customHeight="1">
      <c r="A1556" s="2" t="s">
        <v>3933</v>
      </c>
      <c r="B1556" s="2" t="s">
        <v>3933</v>
      </c>
      <c r="C1556" s="2" t="s">
        <v>46</v>
      </c>
      <c r="D1556" s="2" t="s">
        <v>101</v>
      </c>
      <c r="E1556" s="5" t="s">
        <v>1239</v>
      </c>
      <c r="F1556" s="3" t="s">
        <v>1240</v>
      </c>
      <c r="G1556" s="3" t="s">
        <v>21</v>
      </c>
      <c r="H1556" s="2" t="s">
        <v>22</v>
      </c>
      <c r="I1556" s="2" t="s">
        <v>3949</v>
      </c>
      <c r="J1556" s="3" t="str">
        <f>HYPERLINK("https://www.boe.es/gazeta/dias/1834/08/20/pdfs/GMD-1834-186.pdf#page=3","Abrir facsímil")</f>
        <v>Abrir facsímil</v>
      </c>
      <c r="K1556" s="3" t="s">
        <v>24</v>
      </c>
    </row>
    <row r="1557" spans="1:11" ht="54" customHeight="1">
      <c r="A1557" s="2" t="s">
        <v>3933</v>
      </c>
      <c r="B1557" s="2" t="s">
        <v>3933</v>
      </c>
      <c r="C1557" s="2" t="s">
        <v>66</v>
      </c>
      <c r="D1557" s="2" t="s">
        <v>18</v>
      </c>
      <c r="E1557" s="5" t="s">
        <v>1973</v>
      </c>
      <c r="F1557" s="3" t="s">
        <v>1974</v>
      </c>
      <c r="G1557" s="3" t="s">
        <v>34</v>
      </c>
      <c r="H1557" s="2" t="s">
        <v>22</v>
      </c>
      <c r="I1557" s="2" t="s">
        <v>3950</v>
      </c>
      <c r="J1557" s="3" t="str">
        <f>HYPERLINK("https://www.boe.es/gazeta/dias/1834/12/20/pdfs/GMD-C-1834-310.pdf#page=1","Abrir facsímil")</f>
        <v>Abrir facsímil</v>
      </c>
      <c r="K1557" s="3" t="s">
        <v>24</v>
      </c>
    </row>
    <row r="1558" spans="1:11" ht="54" customHeight="1">
      <c r="A1558" s="2" t="s">
        <v>3933</v>
      </c>
      <c r="B1558" s="2" t="s">
        <v>3933</v>
      </c>
      <c r="C1558" s="2" t="s">
        <v>17</v>
      </c>
      <c r="D1558" s="2" t="s">
        <v>18</v>
      </c>
      <c r="E1558" s="5" t="s">
        <v>375</v>
      </c>
      <c r="F1558" s="3" t="s">
        <v>376</v>
      </c>
      <c r="G1558" s="3" t="s">
        <v>21</v>
      </c>
      <c r="H1558" s="2" t="s">
        <v>22</v>
      </c>
      <c r="I1558" s="2" t="s">
        <v>3951</v>
      </c>
      <c r="J1558" s="3" t="str">
        <f>HYPERLINK("https://www.boe.es/gazeta/dias/1834/08/21/pdfs/GMD-1834-187.pdf#page=3","Abrir facsímil")</f>
        <v>Abrir facsímil</v>
      </c>
      <c r="K1558" s="3" t="s">
        <v>24</v>
      </c>
    </row>
    <row r="1559" spans="1:11" ht="54" customHeight="1">
      <c r="A1559" s="2" t="s">
        <v>3933</v>
      </c>
      <c r="B1559" s="2" t="s">
        <v>3933</v>
      </c>
      <c r="C1559" s="2" t="s">
        <v>17</v>
      </c>
      <c r="D1559" s="2" t="s">
        <v>40</v>
      </c>
      <c r="E1559" s="5" t="s">
        <v>3952</v>
      </c>
      <c r="F1559" s="3" t="s">
        <v>3953</v>
      </c>
      <c r="G1559" s="3" t="s">
        <v>75</v>
      </c>
      <c r="H1559" s="2" t="s">
        <v>22</v>
      </c>
      <c r="I1559" s="2" t="s">
        <v>3954</v>
      </c>
      <c r="J1559" s="3" t="str">
        <f>HYPERLINK("https://www.boe.es/gazeta/dias/1834/02/22/pdfs/GMD-1834-24.pdf#page=4","Abrir facsímil")</f>
        <v>Abrir facsímil</v>
      </c>
      <c r="K1559" s="3" t="s">
        <v>24</v>
      </c>
    </row>
    <row r="1560" spans="1:11" ht="54" customHeight="1">
      <c r="A1560" s="2" t="s">
        <v>3933</v>
      </c>
      <c r="B1560" s="2" t="s">
        <v>3933</v>
      </c>
      <c r="C1560" s="2" t="s">
        <v>66</v>
      </c>
      <c r="D1560" s="2" t="s">
        <v>67</v>
      </c>
      <c r="E1560" s="5" t="s">
        <v>739</v>
      </c>
      <c r="F1560" s="3" t="s">
        <v>740</v>
      </c>
      <c r="G1560" s="3" t="s">
        <v>75</v>
      </c>
      <c r="H1560" s="2" t="s">
        <v>22</v>
      </c>
      <c r="I1560" s="2" t="s">
        <v>3955</v>
      </c>
      <c r="J1560" s="3" t="str">
        <f>HYPERLINK("https://www.boe.es/gazeta/dias/1834/03/25/pdfs/GMD-1834-37.pdf#page=4","Abrir facsímil")</f>
        <v>Abrir facsímil</v>
      </c>
      <c r="K1560" s="3" t="s">
        <v>24</v>
      </c>
    </row>
    <row r="1561" spans="1:11" ht="54" customHeight="1">
      <c r="A1561" s="2" t="s">
        <v>3933</v>
      </c>
      <c r="B1561" s="2" t="s">
        <v>3933</v>
      </c>
      <c r="C1561" s="2" t="s">
        <v>17</v>
      </c>
      <c r="D1561" s="2" t="s">
        <v>18</v>
      </c>
      <c r="E1561" s="5" t="s">
        <v>1680</v>
      </c>
      <c r="F1561" s="3" t="s">
        <v>1681</v>
      </c>
      <c r="G1561" s="3" t="s">
        <v>75</v>
      </c>
      <c r="H1561" s="2" t="s">
        <v>22</v>
      </c>
      <c r="I1561" s="2" t="s">
        <v>3956</v>
      </c>
      <c r="J1561" s="3" t="str">
        <f>HYPERLINK("https://www.boe.es/gazeta/dias/1834/02/27/pdfs/GMD-1834-26.pdf#page=4","Abrir facsímil")</f>
        <v>Abrir facsímil</v>
      </c>
      <c r="K1561" s="3" t="s">
        <v>24</v>
      </c>
    </row>
    <row r="1562" spans="1:11" ht="54" customHeight="1">
      <c r="A1562" s="2" t="s">
        <v>3933</v>
      </c>
      <c r="B1562" s="2" t="s">
        <v>3933</v>
      </c>
      <c r="C1562" s="2" t="s">
        <v>17</v>
      </c>
      <c r="D1562" s="2" t="s">
        <v>18</v>
      </c>
      <c r="E1562" s="5" t="s">
        <v>1641</v>
      </c>
      <c r="F1562" s="3" t="s">
        <v>1729</v>
      </c>
      <c r="G1562" s="3" t="s">
        <v>21</v>
      </c>
      <c r="H1562" s="2" t="s">
        <v>22</v>
      </c>
      <c r="I1562" s="2" t="s">
        <v>3957</v>
      </c>
      <c r="J1562" s="3" t="str">
        <f>HYPERLINK("https://www.boe.es/gazeta/dias/1834/09/28/pdfs/GMD-1834-226.pdf#page=3","Abrir facsímil")</f>
        <v>Abrir facsímil</v>
      </c>
      <c r="K1562" s="3" t="s">
        <v>24</v>
      </c>
    </row>
    <row r="1563" spans="1:11" ht="54" customHeight="1">
      <c r="A1563" s="2" t="s">
        <v>3933</v>
      </c>
      <c r="B1563" s="2" t="s">
        <v>3933</v>
      </c>
      <c r="C1563" s="2" t="s">
        <v>122</v>
      </c>
      <c r="D1563" s="2" t="s">
        <v>40</v>
      </c>
      <c r="E1563" s="5" t="s">
        <v>1747</v>
      </c>
      <c r="F1563" s="3" t="s">
        <v>1748</v>
      </c>
      <c r="G1563" s="3" t="s">
        <v>21</v>
      </c>
      <c r="H1563" s="2" t="s">
        <v>22</v>
      </c>
      <c r="I1563" s="2" t="s">
        <v>3958</v>
      </c>
      <c r="J1563" s="3" t="str">
        <f>HYPERLINK("https://www.boe.es/gazeta/dias/1834/06/29/pdfs/GMD-1834-132.pdf#page=3","Abrir facsímil")</f>
        <v>Abrir facsímil</v>
      </c>
      <c r="K1563" s="3" t="s">
        <v>24</v>
      </c>
    </row>
    <row r="1564" spans="1:11" ht="54" customHeight="1">
      <c r="A1564" s="2" t="s">
        <v>3933</v>
      </c>
      <c r="B1564" s="2" t="s">
        <v>3933</v>
      </c>
      <c r="C1564" s="2" t="s">
        <v>66</v>
      </c>
      <c r="D1564" s="2" t="s">
        <v>18</v>
      </c>
      <c r="E1564" s="5" t="s">
        <v>1695</v>
      </c>
      <c r="F1564" s="3" t="s">
        <v>1696</v>
      </c>
      <c r="G1564" s="3" t="s">
        <v>21</v>
      </c>
      <c r="H1564" s="2" t="s">
        <v>22</v>
      </c>
      <c r="I1564" s="2" t="s">
        <v>3959</v>
      </c>
      <c r="J1564" s="3" t="str">
        <f>HYPERLINK("https://www.boe.es/gazeta/dias/1834/06/30/pdfs/GMD-1834-133.pdf#page=3","Abrir facsímil")</f>
        <v>Abrir facsímil</v>
      </c>
      <c r="K1564" s="3" t="s">
        <v>24</v>
      </c>
    </row>
    <row r="1565" spans="1:11" ht="54" customHeight="1">
      <c r="A1565" s="2" t="s">
        <v>3960</v>
      </c>
      <c r="B1565" s="2" t="s">
        <v>3961</v>
      </c>
      <c r="C1565" s="2" t="s">
        <v>66</v>
      </c>
      <c r="D1565" s="2" t="s">
        <v>18</v>
      </c>
      <c r="E1565" s="5" t="s">
        <v>364</v>
      </c>
      <c r="F1565" s="3" t="s">
        <v>365</v>
      </c>
      <c r="G1565" s="3" t="s">
        <v>34</v>
      </c>
      <c r="H1565" s="2" t="s">
        <v>35</v>
      </c>
      <c r="I1565" s="2" t="s">
        <v>3962</v>
      </c>
      <c r="J1565" s="3" t="str">
        <f>HYPERLINK("https://www.boe.es/gazeta/dias/1834/09/06/pdfs/GMD-D-1834-204.pdf#page=1","Abrir facsímil")</f>
        <v>Abrir facsímil</v>
      </c>
      <c r="K1565" s="3" t="s">
        <v>37</v>
      </c>
    </row>
    <row r="1566" spans="1:11" ht="54" customHeight="1">
      <c r="A1566" s="2" t="s">
        <v>3963</v>
      </c>
      <c r="B1566" s="2" t="s">
        <v>3964</v>
      </c>
      <c r="C1566" s="2" t="s">
        <v>90</v>
      </c>
      <c r="D1566" s="2" t="s">
        <v>67</v>
      </c>
      <c r="E1566" s="5" t="s">
        <v>286</v>
      </c>
      <c r="F1566" s="3" t="s">
        <v>1928</v>
      </c>
      <c r="G1566" s="3" t="s">
        <v>34</v>
      </c>
      <c r="H1566" s="2" t="s">
        <v>35</v>
      </c>
      <c r="I1566" s="2" t="s">
        <v>3965</v>
      </c>
      <c r="J1566" s="3" t="str">
        <f>HYPERLINK("https://www.boe.es/gazeta/dias/1834/08/30/pdfs/GMD-1834-197E.pdf#page=1","Abrir facsímil")</f>
        <v>Abrir facsímil</v>
      </c>
      <c r="K1566" s="3" t="s">
        <v>37</v>
      </c>
    </row>
    <row r="1567" spans="1:11" ht="54" customHeight="1">
      <c r="A1567" s="2" t="s">
        <v>3966</v>
      </c>
      <c r="B1567" s="2" t="s">
        <v>3967</v>
      </c>
      <c r="C1567" s="2" t="s">
        <v>66</v>
      </c>
      <c r="D1567" s="2" t="s">
        <v>18</v>
      </c>
      <c r="E1567" s="5" t="s">
        <v>364</v>
      </c>
      <c r="F1567" s="3" t="s">
        <v>365</v>
      </c>
      <c r="G1567" s="3" t="s">
        <v>34</v>
      </c>
      <c r="H1567" s="2" t="s">
        <v>22</v>
      </c>
      <c r="I1567" s="2" t="s">
        <v>3968</v>
      </c>
      <c r="J1567" s="3" t="str">
        <f>HYPERLINK("https://www.boe.es/gazeta/dias/1834/09/06/pdfs/GMD-D-1834-204.pdf#page=1","Abrir facsímil")</f>
        <v>Abrir facsímil</v>
      </c>
      <c r="K1567" s="3" t="s">
        <v>24</v>
      </c>
    </row>
    <row r="1568" spans="1:11" ht="54" customHeight="1">
      <c r="A1568" s="2" t="s">
        <v>3969</v>
      </c>
      <c r="B1568" s="2" t="s">
        <v>3970</v>
      </c>
      <c r="C1568" s="2" t="s">
        <v>90</v>
      </c>
      <c r="D1568" s="2" t="s">
        <v>67</v>
      </c>
      <c r="E1568" s="5" t="s">
        <v>286</v>
      </c>
      <c r="F1568" s="3" t="s">
        <v>1928</v>
      </c>
      <c r="G1568" s="3" t="s">
        <v>34</v>
      </c>
      <c r="H1568" s="2" t="s">
        <v>22</v>
      </c>
      <c r="I1568" s="2" t="s">
        <v>3971</v>
      </c>
      <c r="J1568" s="3" t="str">
        <f>HYPERLINK("https://www.boe.es/gazeta/dias/1834/08/30/pdfs/GMD-1834-197E.pdf#page=1","Abrir facsímil")</f>
        <v>Abrir facsímil</v>
      </c>
      <c r="K1568" s="3" t="s">
        <v>24</v>
      </c>
    </row>
    <row r="1569" spans="1:11" ht="54" customHeight="1">
      <c r="A1569" s="2" t="s">
        <v>3972</v>
      </c>
      <c r="B1569" s="2" t="s">
        <v>3972</v>
      </c>
      <c r="C1569" s="2" t="s">
        <v>17</v>
      </c>
      <c r="D1569" s="2" t="s">
        <v>18</v>
      </c>
      <c r="E1569" s="5" t="s">
        <v>399</v>
      </c>
      <c r="F1569" s="3" t="s">
        <v>400</v>
      </c>
      <c r="G1569" s="3" t="s">
        <v>75</v>
      </c>
      <c r="H1569" s="2" t="s">
        <v>22</v>
      </c>
      <c r="I1569" s="2" t="s">
        <v>3973</v>
      </c>
      <c r="J1569" s="3" t="str">
        <f>HYPERLINK("https://www.boe.es/gazeta/dias/1834/07/08/pdfs/GMD-1834-141.pdf#page=4","Abrir facsímil")</f>
        <v>Abrir facsímil</v>
      </c>
      <c r="K1569" s="3" t="s">
        <v>24</v>
      </c>
    </row>
    <row r="1570" spans="1:11" ht="54" customHeight="1">
      <c r="A1570" s="2" t="s">
        <v>3974</v>
      </c>
      <c r="B1570" s="2" t="s">
        <v>3975</v>
      </c>
      <c r="C1570" s="2" t="s">
        <v>17</v>
      </c>
      <c r="D1570" s="2" t="s">
        <v>18</v>
      </c>
      <c r="E1570" s="5" t="s">
        <v>2107</v>
      </c>
      <c r="F1570" s="3" t="s">
        <v>2108</v>
      </c>
      <c r="G1570" s="3" t="s">
        <v>21</v>
      </c>
      <c r="H1570" s="2" t="s">
        <v>35</v>
      </c>
      <c r="I1570" s="2" t="s">
        <v>3976</v>
      </c>
      <c r="J1570" s="3" t="str">
        <f>HYPERLINK("https://www.boe.es/gazeta/dias/1834/08/24/pdfs/GMD-1834-190.pdf#page=3","Abrir facsímil")</f>
        <v>Abrir facsímil</v>
      </c>
      <c r="K1570" s="3" t="s">
        <v>37</v>
      </c>
    </row>
    <row r="1571" spans="1:11" ht="54" customHeight="1">
      <c r="A1571" s="2" t="s">
        <v>3977</v>
      </c>
      <c r="B1571" s="2" t="s">
        <v>3978</v>
      </c>
      <c r="C1571" s="2" t="s">
        <v>17</v>
      </c>
      <c r="D1571" s="2" t="s">
        <v>18</v>
      </c>
      <c r="E1571" s="5" t="s">
        <v>2107</v>
      </c>
      <c r="F1571" s="3" t="s">
        <v>2108</v>
      </c>
      <c r="G1571" s="3" t="s">
        <v>21</v>
      </c>
      <c r="H1571" s="2" t="s">
        <v>22</v>
      </c>
      <c r="I1571" s="2" t="s">
        <v>3979</v>
      </c>
      <c r="J1571" s="3" t="str">
        <f>HYPERLINK("https://www.boe.es/gazeta/dias/1834/08/24/pdfs/GMD-1834-190.pdf#page=3","Abrir facsímil")</f>
        <v>Abrir facsímil</v>
      </c>
      <c r="K1571" s="3" t="s">
        <v>24</v>
      </c>
    </row>
    <row r="1572" spans="1:11" ht="54" customHeight="1">
      <c r="A1572" s="2" t="s">
        <v>3980</v>
      </c>
      <c r="B1572" s="2" t="s">
        <v>3980</v>
      </c>
      <c r="C1572" s="2" t="s">
        <v>17</v>
      </c>
      <c r="D1572" s="2" t="s">
        <v>18</v>
      </c>
      <c r="E1572" s="5" t="s">
        <v>378</v>
      </c>
      <c r="F1572" s="3" t="s">
        <v>888</v>
      </c>
      <c r="G1572" s="3" t="s">
        <v>75</v>
      </c>
      <c r="H1572" s="2" t="s">
        <v>22</v>
      </c>
      <c r="I1572" s="2" t="s">
        <v>3981</v>
      </c>
      <c r="J1572" s="3" t="str">
        <f>HYPERLINK("https://www.boe.es/gazeta/dias/1834/09/24/pdfs/GMD-C-1834-222.pdf#page=4","Abrir facsímil")</f>
        <v>Abrir facsímil</v>
      </c>
      <c r="K1572" s="3" t="s">
        <v>24</v>
      </c>
    </row>
    <row r="1573" spans="1:11" ht="54" customHeight="1">
      <c r="A1573" s="2" t="s">
        <v>3980</v>
      </c>
      <c r="B1573" s="2" t="s">
        <v>3980</v>
      </c>
      <c r="C1573" s="2" t="s">
        <v>17</v>
      </c>
      <c r="D1573" s="2" t="s">
        <v>18</v>
      </c>
      <c r="E1573" s="5" t="s">
        <v>280</v>
      </c>
      <c r="F1573" s="3" t="s">
        <v>281</v>
      </c>
      <c r="G1573" s="3" t="s">
        <v>560</v>
      </c>
      <c r="H1573" s="2" t="s">
        <v>22</v>
      </c>
      <c r="I1573" s="2" t="s">
        <v>3982</v>
      </c>
      <c r="J1573" s="3" t="str">
        <f>HYPERLINK("https://www.boe.es/gazeta/dias/1834/08/29/pdfs/GMD-C-1834-195.pdf#page=7","Abrir facsímil")</f>
        <v>Abrir facsímil</v>
      </c>
      <c r="K1573" s="3" t="s">
        <v>24</v>
      </c>
    </row>
    <row r="1574" spans="1:11" ht="54" customHeight="1">
      <c r="A1574" s="2" t="s">
        <v>3983</v>
      </c>
      <c r="B1574" s="2" t="s">
        <v>3984</v>
      </c>
      <c r="C1574" s="2" t="s">
        <v>17</v>
      </c>
      <c r="D1574" s="2" t="s">
        <v>18</v>
      </c>
      <c r="E1574" s="5" t="s">
        <v>1692</v>
      </c>
      <c r="F1574" s="3" t="s">
        <v>3985</v>
      </c>
      <c r="G1574" s="3" t="s">
        <v>34</v>
      </c>
      <c r="H1574" s="2" t="s">
        <v>22</v>
      </c>
      <c r="I1574" s="2" t="s">
        <v>3986</v>
      </c>
      <c r="J1574" s="3" t="str">
        <f>HYPERLINK("https://www.boe.es/gazeta/dias/1834/07/29/pdfs/GMD-C-1834-162.pdf#page=1","Abrir facsímil")</f>
        <v>Abrir facsímil</v>
      </c>
      <c r="K1574" s="3" t="s">
        <v>24</v>
      </c>
    </row>
    <row r="1575" spans="1:11" ht="54" customHeight="1">
      <c r="A1575" s="2" t="s">
        <v>3987</v>
      </c>
      <c r="B1575" s="2" t="s">
        <v>3988</v>
      </c>
      <c r="C1575" s="2" t="s">
        <v>46</v>
      </c>
      <c r="D1575" s="2" t="s">
        <v>55</v>
      </c>
      <c r="E1575" s="5" t="s">
        <v>1262</v>
      </c>
      <c r="F1575" s="3" t="s">
        <v>1263</v>
      </c>
      <c r="G1575" s="3" t="s">
        <v>21</v>
      </c>
      <c r="H1575" s="2" t="s">
        <v>22</v>
      </c>
      <c r="I1575" s="2" t="s">
        <v>3989</v>
      </c>
      <c r="J1575" s="3" t="str">
        <f>HYPERLINK("https://www.boe.es/gazeta/dias/1834/02/01/pdfs/GMD-1834-15.pdf#page=3","Abrir facsímil")</f>
        <v>Abrir facsímil</v>
      </c>
      <c r="K1575" s="3" t="s">
        <v>24</v>
      </c>
    </row>
    <row r="1576" spans="1:11" ht="54" customHeight="1">
      <c r="A1576" s="2" t="s">
        <v>3990</v>
      </c>
      <c r="B1576" s="2" t="s">
        <v>3991</v>
      </c>
      <c r="C1576" s="2" t="s">
        <v>17</v>
      </c>
      <c r="D1576" s="2" t="s">
        <v>55</v>
      </c>
      <c r="E1576" s="5" t="s">
        <v>939</v>
      </c>
      <c r="F1576" s="3" t="s">
        <v>940</v>
      </c>
      <c r="G1576" s="3" t="s">
        <v>34</v>
      </c>
      <c r="H1576" s="2" t="s">
        <v>22</v>
      </c>
      <c r="I1576" s="2" t="s">
        <v>3992</v>
      </c>
      <c r="J1576" s="3" t="str">
        <f>HYPERLINK("https://www.boe.es/gazeta/dias/1834/06/10/pdfs/GMD-1834-113.pdf#page=1","Abrir facsímil")</f>
        <v>Abrir facsímil</v>
      </c>
      <c r="K1576" s="3" t="s">
        <v>24</v>
      </c>
    </row>
    <row r="1577" spans="1:11" ht="54" customHeight="1">
      <c r="A1577" s="2" t="s">
        <v>3993</v>
      </c>
      <c r="B1577" s="2" t="s">
        <v>3993</v>
      </c>
      <c r="C1577" s="2" t="s">
        <v>46</v>
      </c>
      <c r="D1577" s="2" t="s">
        <v>18</v>
      </c>
      <c r="E1577" s="5" t="s">
        <v>506</v>
      </c>
      <c r="F1577" s="3" t="s">
        <v>507</v>
      </c>
      <c r="G1577" s="3" t="s">
        <v>75</v>
      </c>
      <c r="H1577" s="2" t="s">
        <v>22</v>
      </c>
      <c r="I1577" s="2" t="s">
        <v>3994</v>
      </c>
      <c r="J1577" s="3" t="str">
        <f>HYPERLINK("https://www.boe.es/gazeta/dias/1834/03/04/pdfs/GMD-1834-28.pdf#page=4","Abrir facsímil")</f>
        <v>Abrir facsímil</v>
      </c>
      <c r="K1577" s="3" t="s">
        <v>24</v>
      </c>
    </row>
    <row r="1578" spans="1:11" ht="54" customHeight="1">
      <c r="A1578" s="2" t="s">
        <v>3995</v>
      </c>
      <c r="B1578" s="2" t="s">
        <v>3996</v>
      </c>
      <c r="C1578" s="2" t="s">
        <v>66</v>
      </c>
      <c r="D1578" s="2" t="s">
        <v>67</v>
      </c>
      <c r="E1578" s="5" t="s">
        <v>1351</v>
      </c>
      <c r="F1578" s="3" t="s">
        <v>1352</v>
      </c>
      <c r="G1578" s="3" t="s">
        <v>75</v>
      </c>
      <c r="H1578" s="2" t="s">
        <v>35</v>
      </c>
      <c r="I1578" s="2" t="s">
        <v>3997</v>
      </c>
      <c r="J1578" s="3" t="str">
        <f>HYPERLINK("https://www.boe.es/gazeta/dias/1834/07/05/pdfs/GMD-1834-138.pdf#page=4","Abrir facsímil")</f>
        <v>Abrir facsímil</v>
      </c>
      <c r="K1578" s="3" t="s">
        <v>37</v>
      </c>
    </row>
    <row r="1579" spans="1:11" ht="54" customHeight="1">
      <c r="A1579" s="2" t="s">
        <v>3998</v>
      </c>
      <c r="B1579" s="2" t="s">
        <v>3999</v>
      </c>
      <c r="C1579" s="2" t="s">
        <v>66</v>
      </c>
      <c r="D1579" s="2" t="s">
        <v>67</v>
      </c>
      <c r="E1579" s="5" t="s">
        <v>1351</v>
      </c>
      <c r="F1579" s="3" t="s">
        <v>1352</v>
      </c>
      <c r="G1579" s="3" t="s">
        <v>75</v>
      </c>
      <c r="H1579" s="2" t="s">
        <v>22</v>
      </c>
      <c r="I1579" s="2" t="s">
        <v>4000</v>
      </c>
      <c r="J1579" s="3" t="str">
        <f>HYPERLINK("https://www.boe.es/gazeta/dias/1834/07/05/pdfs/GMD-1834-138.pdf#page=4","Abrir facsímil")</f>
        <v>Abrir facsímil</v>
      </c>
      <c r="K1579" s="3" t="s">
        <v>24</v>
      </c>
    </row>
    <row r="1580" spans="1:11" ht="54" customHeight="1">
      <c r="A1580" s="2" t="s">
        <v>4001</v>
      </c>
      <c r="B1580" s="2" t="s">
        <v>4001</v>
      </c>
      <c r="C1580" s="2" t="s">
        <v>17</v>
      </c>
      <c r="D1580" s="2" t="s">
        <v>18</v>
      </c>
      <c r="E1580" s="5" t="s">
        <v>690</v>
      </c>
      <c r="F1580" s="3" t="s">
        <v>691</v>
      </c>
      <c r="G1580" s="3" t="s">
        <v>34</v>
      </c>
      <c r="H1580" s="2" t="s">
        <v>22</v>
      </c>
      <c r="I1580" s="2" t="s">
        <v>4002</v>
      </c>
      <c r="J1580" s="3" t="str">
        <f>HYPERLINK("https://www.boe.es/gazeta/dias/1834/09/03/pdfs/GMD-C-1834-201.pdf#page=1","Abrir facsímil")</f>
        <v>Abrir facsímil</v>
      </c>
      <c r="K1580" s="3" t="s">
        <v>24</v>
      </c>
    </row>
    <row r="1581" spans="1:11" ht="54" customHeight="1">
      <c r="A1581" s="2" t="s">
        <v>4001</v>
      </c>
      <c r="B1581" s="2" t="s">
        <v>4001</v>
      </c>
      <c r="C1581" s="2" t="s">
        <v>17</v>
      </c>
      <c r="D1581" s="2" t="s">
        <v>18</v>
      </c>
      <c r="E1581" s="5" t="s">
        <v>243</v>
      </c>
      <c r="F1581" s="3" t="s">
        <v>244</v>
      </c>
      <c r="G1581" s="3" t="s">
        <v>21</v>
      </c>
      <c r="H1581" s="2" t="s">
        <v>22</v>
      </c>
      <c r="I1581" s="2" t="s">
        <v>4003</v>
      </c>
      <c r="J1581" s="3" t="str">
        <f>HYPERLINK("https://www.boe.es/gazeta/dias/1834/08/05/pdfs/GMD-C-1834-169.pdf#page=3","Abrir facsímil")</f>
        <v>Abrir facsímil</v>
      </c>
      <c r="K1581" s="3" t="s">
        <v>24</v>
      </c>
    </row>
    <row r="1582" spans="1:11" ht="54" customHeight="1">
      <c r="A1582" s="2" t="s">
        <v>4001</v>
      </c>
      <c r="B1582" s="2" t="s">
        <v>4001</v>
      </c>
      <c r="C1582" s="2" t="s">
        <v>66</v>
      </c>
      <c r="D1582" s="2" t="s">
        <v>67</v>
      </c>
      <c r="E1582" s="5" t="s">
        <v>47</v>
      </c>
      <c r="F1582" s="3" t="s">
        <v>48</v>
      </c>
      <c r="G1582" s="3" t="s">
        <v>86</v>
      </c>
      <c r="H1582" s="2" t="s">
        <v>22</v>
      </c>
      <c r="I1582" s="2" t="s">
        <v>4004</v>
      </c>
      <c r="J1582" s="3" t="str">
        <f>HYPERLINK("https://www.boe.es/gazeta/dias/1834/09/05/pdfs/GMD-C-1834-203.pdf#page=2","Abrir facsímil")</f>
        <v>Abrir facsímil</v>
      </c>
      <c r="K1582" s="3" t="s">
        <v>24</v>
      </c>
    </row>
    <row r="1583" spans="1:11" ht="54" customHeight="1">
      <c r="A1583" s="2" t="s">
        <v>4001</v>
      </c>
      <c r="B1583" s="2" t="s">
        <v>4001</v>
      </c>
      <c r="C1583" s="2" t="s">
        <v>17</v>
      </c>
      <c r="D1583" s="2" t="s">
        <v>18</v>
      </c>
      <c r="E1583" s="5" t="s">
        <v>1340</v>
      </c>
      <c r="F1583" s="3" t="s">
        <v>1341</v>
      </c>
      <c r="G1583" s="3" t="s">
        <v>560</v>
      </c>
      <c r="H1583" s="2" t="s">
        <v>22</v>
      </c>
      <c r="I1583" s="2" t="s">
        <v>4005</v>
      </c>
      <c r="J1583" s="3" t="str">
        <f>HYPERLINK("https://www.boe.es/gazeta/dias/1834/10/05/pdfs/GMD-C-1834-233.pdf#page=7","Abrir facsímil")</f>
        <v>Abrir facsímil</v>
      </c>
      <c r="K1583" s="3" t="s">
        <v>24</v>
      </c>
    </row>
    <row r="1584" spans="1:11" ht="54" customHeight="1">
      <c r="A1584" s="2" t="s">
        <v>4001</v>
      </c>
      <c r="B1584" s="2" t="s">
        <v>4001</v>
      </c>
      <c r="C1584" s="2" t="s">
        <v>17</v>
      </c>
      <c r="D1584" s="2" t="s">
        <v>18</v>
      </c>
      <c r="E1584" s="5" t="s">
        <v>762</v>
      </c>
      <c r="F1584" s="3" t="s">
        <v>2227</v>
      </c>
      <c r="G1584" s="3" t="s">
        <v>34</v>
      </c>
      <c r="H1584" s="2" t="s">
        <v>22</v>
      </c>
      <c r="I1584" s="2" t="s">
        <v>4006</v>
      </c>
      <c r="J1584" s="3" t="str">
        <f>HYPERLINK("https://www.boe.es/gazeta/dias/1834/11/07/pdfs/GMD-C-1834-266.pdf#page=1","Abrir facsímil")</f>
        <v>Abrir facsímil</v>
      </c>
      <c r="K1584" s="3" t="s">
        <v>24</v>
      </c>
    </row>
    <row r="1585" spans="1:11" ht="54" customHeight="1">
      <c r="A1585" s="2" t="s">
        <v>4001</v>
      </c>
      <c r="B1585" s="2" t="s">
        <v>4001</v>
      </c>
      <c r="C1585" s="2" t="s">
        <v>17</v>
      </c>
      <c r="D1585" s="2" t="s">
        <v>18</v>
      </c>
      <c r="E1585" s="5" t="s">
        <v>1008</v>
      </c>
      <c r="F1585" s="3" t="s">
        <v>1009</v>
      </c>
      <c r="G1585" s="3" t="s">
        <v>34</v>
      </c>
      <c r="H1585" s="2" t="s">
        <v>22</v>
      </c>
      <c r="I1585" s="2" t="s">
        <v>4007</v>
      </c>
      <c r="J1585" s="3" t="str">
        <f>HYPERLINK("https://www.boe.es/gazeta/dias/1834/11/08/pdfs/GMD-C-1834-267.pdf#page=1","Abrir facsímil")</f>
        <v>Abrir facsímil</v>
      </c>
      <c r="K1585" s="3" t="s">
        <v>24</v>
      </c>
    </row>
    <row r="1586" spans="1:11" ht="54" customHeight="1">
      <c r="A1586" s="2" t="s">
        <v>4001</v>
      </c>
      <c r="B1586" s="2" t="s">
        <v>4001</v>
      </c>
      <c r="C1586" s="2" t="s">
        <v>90</v>
      </c>
      <c r="D1586" s="2" t="s">
        <v>101</v>
      </c>
      <c r="E1586" s="5" t="s">
        <v>1410</v>
      </c>
      <c r="F1586" s="3" t="s">
        <v>2231</v>
      </c>
      <c r="G1586" s="3" t="s">
        <v>34</v>
      </c>
      <c r="H1586" s="2" t="s">
        <v>22</v>
      </c>
      <c r="I1586" s="2" t="s">
        <v>4008</v>
      </c>
      <c r="J1586" s="3" t="str">
        <f>HYPERLINK("https://www.boe.es/gazeta/dias/1834/09/09/pdfs/GMD-C-1834-207.pdf#page=1","Abrir facsímil")</f>
        <v>Abrir facsímil</v>
      </c>
      <c r="K1586" s="3" t="s">
        <v>24</v>
      </c>
    </row>
    <row r="1587" spans="1:11" ht="54" customHeight="1">
      <c r="A1587" s="2" t="s">
        <v>4001</v>
      </c>
      <c r="B1587" s="2" t="s">
        <v>4001</v>
      </c>
      <c r="C1587" s="2" t="s">
        <v>17</v>
      </c>
      <c r="D1587" s="2" t="s">
        <v>40</v>
      </c>
      <c r="E1587" s="5" t="s">
        <v>438</v>
      </c>
      <c r="F1587" s="3" t="s">
        <v>528</v>
      </c>
      <c r="G1587" s="3" t="s">
        <v>34</v>
      </c>
      <c r="H1587" s="2" t="s">
        <v>22</v>
      </c>
      <c r="I1587" s="2" t="s">
        <v>4009</v>
      </c>
      <c r="J1587" s="3" t="str">
        <f>HYPERLINK("https://www.boe.es/gazeta/dias/1834/11/09/pdfs/GMD-C-1834-268.pdf#page=1","Abrir facsímil")</f>
        <v>Abrir facsímil</v>
      </c>
      <c r="K1587" s="3" t="s">
        <v>24</v>
      </c>
    </row>
    <row r="1588" spans="1:11" ht="54" customHeight="1">
      <c r="A1588" s="2" t="s">
        <v>4001</v>
      </c>
      <c r="B1588" s="2" t="s">
        <v>4001</v>
      </c>
      <c r="C1588" s="2" t="s">
        <v>66</v>
      </c>
      <c r="D1588" s="2" t="s">
        <v>67</v>
      </c>
      <c r="E1588" s="5" t="s">
        <v>2203</v>
      </c>
      <c r="F1588" s="3" t="s">
        <v>2204</v>
      </c>
      <c r="G1588" s="3" t="s">
        <v>75</v>
      </c>
      <c r="H1588" s="2" t="s">
        <v>22</v>
      </c>
      <c r="I1588" s="2" t="s">
        <v>4010</v>
      </c>
      <c r="J1588" s="3" t="str">
        <f>HYPERLINK("https://www.boe.es/gazeta/dias/1834/09/10/pdfs/GMD-C-1834-208.pdf#page=4","Abrir facsímil")</f>
        <v>Abrir facsímil</v>
      </c>
      <c r="K1588" s="3" t="s">
        <v>24</v>
      </c>
    </row>
    <row r="1589" spans="1:11" ht="54" customHeight="1">
      <c r="A1589" s="2" t="s">
        <v>4001</v>
      </c>
      <c r="B1589" s="2" t="s">
        <v>4001</v>
      </c>
      <c r="C1589" s="2" t="s">
        <v>46</v>
      </c>
      <c r="D1589" s="2" t="s">
        <v>101</v>
      </c>
      <c r="E1589" s="5" t="s">
        <v>1103</v>
      </c>
      <c r="F1589" s="3" t="s">
        <v>1104</v>
      </c>
      <c r="G1589" s="3" t="s">
        <v>86</v>
      </c>
      <c r="H1589" s="2" t="s">
        <v>22</v>
      </c>
      <c r="I1589" s="2" t="s">
        <v>4011</v>
      </c>
      <c r="J1589" s="3" t="str">
        <f>HYPERLINK("https://www.boe.es/gazeta/dias/1834/10/10/pdfs/GMD-C-1834-238.pdf#page=2","Abrir facsímil")</f>
        <v>Abrir facsímil</v>
      </c>
      <c r="K1589" s="3" t="s">
        <v>24</v>
      </c>
    </row>
    <row r="1590" spans="1:11" ht="54" customHeight="1">
      <c r="A1590" s="2" t="s">
        <v>4001</v>
      </c>
      <c r="B1590" s="2" t="s">
        <v>4001</v>
      </c>
      <c r="C1590" s="2" t="s">
        <v>66</v>
      </c>
      <c r="D1590" s="2" t="s">
        <v>67</v>
      </c>
      <c r="E1590" s="5" t="s">
        <v>1103</v>
      </c>
      <c r="F1590" s="3" t="s">
        <v>1104</v>
      </c>
      <c r="G1590" s="3" t="s">
        <v>75</v>
      </c>
      <c r="H1590" s="2" t="s">
        <v>22</v>
      </c>
      <c r="I1590" s="2" t="s">
        <v>4012</v>
      </c>
      <c r="J1590" s="3" t="str">
        <f>HYPERLINK("https://www.boe.es/gazeta/dias/1834/10/10/pdfs/GMD-C-1834-238.pdf#page=4","Abrir facsímil")</f>
        <v>Abrir facsímil</v>
      </c>
      <c r="K1590" s="3" t="s">
        <v>24</v>
      </c>
    </row>
    <row r="1591" spans="1:11" ht="54" customHeight="1">
      <c r="A1591" s="2" t="s">
        <v>4001</v>
      </c>
      <c r="B1591" s="2" t="s">
        <v>4001</v>
      </c>
      <c r="C1591" s="2" t="s">
        <v>17</v>
      </c>
      <c r="D1591" s="2" t="s">
        <v>18</v>
      </c>
      <c r="E1591" s="5" t="s">
        <v>444</v>
      </c>
      <c r="F1591" s="3" t="s">
        <v>445</v>
      </c>
      <c r="G1591" s="3" t="s">
        <v>28</v>
      </c>
      <c r="H1591" s="2" t="s">
        <v>22</v>
      </c>
      <c r="I1591" s="2" t="s">
        <v>4013</v>
      </c>
      <c r="J1591" s="3" t="str">
        <f>HYPERLINK("https://www.boe.es/gazeta/dias/1834/09/12/pdfs/GMD-C-1834-210.pdf#page=5","Abrir facsímil")</f>
        <v>Abrir facsímil</v>
      </c>
      <c r="K1591" s="3" t="s">
        <v>24</v>
      </c>
    </row>
    <row r="1592" spans="1:11" ht="54" customHeight="1">
      <c r="A1592" s="2" t="s">
        <v>4001</v>
      </c>
      <c r="B1592" s="2" t="s">
        <v>4001</v>
      </c>
      <c r="C1592" s="2" t="s">
        <v>17</v>
      </c>
      <c r="D1592" s="2" t="s">
        <v>18</v>
      </c>
      <c r="E1592" s="5" t="s">
        <v>1981</v>
      </c>
      <c r="F1592" s="3" t="s">
        <v>2471</v>
      </c>
      <c r="G1592" s="3" t="s">
        <v>21</v>
      </c>
      <c r="H1592" s="2" t="s">
        <v>22</v>
      </c>
      <c r="I1592" s="2" t="s">
        <v>4014</v>
      </c>
      <c r="J1592" s="3" t="str">
        <f>HYPERLINK("https://www.boe.es/gazeta/dias/1834/12/13/pdfs/GMD-C-1834-302.pdf#page=3","Abrir facsímil")</f>
        <v>Abrir facsímil</v>
      </c>
      <c r="K1592" s="3" t="s">
        <v>24</v>
      </c>
    </row>
    <row r="1593" spans="1:11" ht="54" customHeight="1">
      <c r="A1593" s="2" t="s">
        <v>4001</v>
      </c>
      <c r="B1593" s="2" t="s">
        <v>4001</v>
      </c>
      <c r="C1593" s="2" t="s">
        <v>90</v>
      </c>
      <c r="D1593" s="2" t="s">
        <v>18</v>
      </c>
      <c r="E1593" s="5" t="s">
        <v>222</v>
      </c>
      <c r="F1593" s="3" t="s">
        <v>4015</v>
      </c>
      <c r="G1593" s="3" t="s">
        <v>34</v>
      </c>
      <c r="H1593" s="2" t="s">
        <v>22</v>
      </c>
      <c r="I1593" s="2" t="s">
        <v>4016</v>
      </c>
      <c r="J1593" s="3" t="str">
        <f>HYPERLINK("https://www.boe.es/gazeta/dias/1834/09/14/pdfs/GMD-C-1834-212.pdf#page=1","Abrir facsímil")</f>
        <v>Abrir facsímil</v>
      </c>
      <c r="K1593" s="3" t="s">
        <v>24</v>
      </c>
    </row>
    <row r="1594" spans="1:11" ht="54" customHeight="1">
      <c r="A1594" s="2" t="s">
        <v>4001</v>
      </c>
      <c r="B1594" s="2" t="s">
        <v>4001</v>
      </c>
      <c r="C1594" s="2" t="s">
        <v>17</v>
      </c>
      <c r="D1594" s="2" t="s">
        <v>40</v>
      </c>
      <c r="E1594" s="5" t="s">
        <v>448</v>
      </c>
      <c r="F1594" s="3" t="s">
        <v>449</v>
      </c>
      <c r="G1594" s="3" t="s">
        <v>86</v>
      </c>
      <c r="H1594" s="2" t="s">
        <v>22</v>
      </c>
      <c r="I1594" s="2" t="s">
        <v>4017</v>
      </c>
      <c r="J1594" s="3" t="str">
        <f>HYPERLINK("https://www.boe.es/gazeta/dias/1834/10/14/pdfs/GMD-C-1834-242.pdf#page=2","Abrir facsímil")</f>
        <v>Abrir facsímil</v>
      </c>
      <c r="K1594" s="3" t="s">
        <v>24</v>
      </c>
    </row>
    <row r="1595" spans="1:11" ht="54" customHeight="1">
      <c r="A1595" s="2" t="s">
        <v>4001</v>
      </c>
      <c r="B1595" s="2" t="s">
        <v>4001</v>
      </c>
      <c r="C1595" s="2" t="s">
        <v>17</v>
      </c>
      <c r="D1595" s="2" t="s">
        <v>40</v>
      </c>
      <c r="E1595" s="5" t="s">
        <v>448</v>
      </c>
      <c r="F1595" s="3" t="s">
        <v>449</v>
      </c>
      <c r="G1595" s="3" t="s">
        <v>75</v>
      </c>
      <c r="H1595" s="2" t="s">
        <v>22</v>
      </c>
      <c r="I1595" s="2" t="s">
        <v>4018</v>
      </c>
      <c r="J1595" s="3" t="str">
        <f>HYPERLINK("https://www.boe.es/gazeta/dias/1834/10/14/pdfs/GMD-C-1834-242.pdf#page=4","Abrir facsímil")</f>
        <v>Abrir facsímil</v>
      </c>
      <c r="K1595" s="3" t="s">
        <v>24</v>
      </c>
    </row>
    <row r="1596" spans="1:11" ht="54" customHeight="1">
      <c r="A1596" s="2" t="s">
        <v>4001</v>
      </c>
      <c r="B1596" s="2" t="s">
        <v>4001</v>
      </c>
      <c r="C1596" s="2" t="s">
        <v>17</v>
      </c>
      <c r="D1596" s="2" t="s">
        <v>18</v>
      </c>
      <c r="E1596" s="5" t="s">
        <v>715</v>
      </c>
      <c r="F1596" s="3" t="s">
        <v>716</v>
      </c>
      <c r="G1596" s="3" t="s">
        <v>34</v>
      </c>
      <c r="H1596" s="2" t="s">
        <v>22</v>
      </c>
      <c r="I1596" s="2" t="s">
        <v>4019</v>
      </c>
      <c r="J1596" s="3" t="str">
        <f>HYPERLINK("https://www.boe.es/gazeta/dias/1834/09/17/pdfs/GMD-C-1834-215.pdf#page=1","Abrir facsímil")</f>
        <v>Abrir facsímil</v>
      </c>
      <c r="K1596" s="3" t="s">
        <v>24</v>
      </c>
    </row>
    <row r="1597" spans="1:11" ht="54" customHeight="1">
      <c r="A1597" s="2" t="s">
        <v>4001</v>
      </c>
      <c r="B1597" s="2" t="s">
        <v>4001</v>
      </c>
      <c r="C1597" s="2" t="s">
        <v>66</v>
      </c>
      <c r="D1597" s="2" t="s">
        <v>67</v>
      </c>
      <c r="E1597" s="5" t="s">
        <v>3036</v>
      </c>
      <c r="F1597" s="3" t="s">
        <v>3037</v>
      </c>
      <c r="G1597" s="3" t="s">
        <v>21</v>
      </c>
      <c r="H1597" s="2" t="s">
        <v>22</v>
      </c>
      <c r="I1597" s="2" t="s">
        <v>4020</v>
      </c>
      <c r="J1597" s="3" t="str">
        <f>HYPERLINK("https://www.boe.es/gazeta/dias/1834/11/18/pdfs/GMD-C-1834-277.pdf#page=3","Abrir facsímil")</f>
        <v>Abrir facsímil</v>
      </c>
      <c r="K1597" s="3" t="s">
        <v>24</v>
      </c>
    </row>
    <row r="1598" spans="1:11" ht="54" customHeight="1">
      <c r="A1598" s="2" t="s">
        <v>4001</v>
      </c>
      <c r="B1598" s="2" t="s">
        <v>4001</v>
      </c>
      <c r="C1598" s="2" t="s">
        <v>17</v>
      </c>
      <c r="D1598" s="2" t="s">
        <v>18</v>
      </c>
      <c r="E1598" s="5" t="s">
        <v>667</v>
      </c>
      <c r="F1598" s="3" t="s">
        <v>668</v>
      </c>
      <c r="G1598" s="3" t="s">
        <v>28</v>
      </c>
      <c r="H1598" s="2" t="s">
        <v>22</v>
      </c>
      <c r="I1598" s="2" t="s">
        <v>4021</v>
      </c>
      <c r="J1598" s="3" t="str">
        <f>HYPERLINK("https://www.boe.es/gazeta/dias/1834/11/23/pdfs/GMD-C-1834-282.pdf#page=5","Abrir facsímil")</f>
        <v>Abrir facsímil</v>
      </c>
      <c r="K1598" s="3" t="s">
        <v>24</v>
      </c>
    </row>
    <row r="1599" spans="1:11" ht="54" customHeight="1">
      <c r="A1599" s="2" t="s">
        <v>4001</v>
      </c>
      <c r="B1599" s="2" t="s">
        <v>4001</v>
      </c>
      <c r="C1599" s="2" t="s">
        <v>17</v>
      </c>
      <c r="D1599" s="2" t="s">
        <v>18</v>
      </c>
      <c r="E1599" s="5" t="s">
        <v>667</v>
      </c>
      <c r="F1599" s="3" t="s">
        <v>668</v>
      </c>
      <c r="G1599" s="3" t="s">
        <v>176</v>
      </c>
      <c r="H1599" s="2" t="s">
        <v>22</v>
      </c>
      <c r="I1599" s="2" t="s">
        <v>4022</v>
      </c>
      <c r="J1599" s="3" t="str">
        <f>HYPERLINK("https://www.boe.es/gazeta/dias/1834/11/23/pdfs/GMD-C-1834-282.pdf#page=6","Abrir facsímil")</f>
        <v>Abrir facsímil</v>
      </c>
      <c r="K1599" s="3" t="s">
        <v>24</v>
      </c>
    </row>
    <row r="1600" spans="1:11" ht="54" customHeight="1">
      <c r="A1600" s="2" t="s">
        <v>4001</v>
      </c>
      <c r="B1600" s="2" t="s">
        <v>4001</v>
      </c>
      <c r="C1600" s="2" t="s">
        <v>17</v>
      </c>
      <c r="D1600" s="2" t="s">
        <v>18</v>
      </c>
      <c r="E1600" s="5" t="s">
        <v>378</v>
      </c>
      <c r="F1600" s="3" t="s">
        <v>888</v>
      </c>
      <c r="G1600" s="3" t="s">
        <v>21</v>
      </c>
      <c r="H1600" s="2" t="s">
        <v>22</v>
      </c>
      <c r="I1600" s="2" t="s">
        <v>4023</v>
      </c>
      <c r="J1600" s="3" t="str">
        <f>HYPERLINK("https://www.boe.es/gazeta/dias/1834/09/24/pdfs/GMD-C-1834-222.pdf#page=3","Abrir facsímil")</f>
        <v>Abrir facsímil</v>
      </c>
      <c r="K1600" s="3" t="s">
        <v>24</v>
      </c>
    </row>
    <row r="1601" spans="1:11" ht="54" customHeight="1">
      <c r="A1601" s="2" t="s">
        <v>4024</v>
      </c>
      <c r="B1601" s="2" t="s">
        <v>4024</v>
      </c>
      <c r="C1601" s="2" t="s">
        <v>17</v>
      </c>
      <c r="D1601" s="2" t="s">
        <v>18</v>
      </c>
      <c r="E1601" s="5" t="s">
        <v>378</v>
      </c>
      <c r="F1601" s="3" t="s">
        <v>888</v>
      </c>
      <c r="G1601" s="3" t="s">
        <v>75</v>
      </c>
      <c r="H1601" s="2" t="s">
        <v>22</v>
      </c>
      <c r="I1601" s="2" t="s">
        <v>4025</v>
      </c>
      <c r="J1601" s="3" t="str">
        <f>HYPERLINK("https://www.boe.es/gazeta/dias/1834/09/24/pdfs/GMD-C-1834-222.pdf#page=4","Abrir facsímil")</f>
        <v>Abrir facsímil</v>
      </c>
      <c r="K1601" s="3" t="s">
        <v>24</v>
      </c>
    </row>
    <row r="1602" spans="1:11" ht="54" customHeight="1">
      <c r="A1602" s="2" t="s">
        <v>4001</v>
      </c>
      <c r="B1602" s="2" t="s">
        <v>4001</v>
      </c>
      <c r="C1602" s="2" t="s">
        <v>17</v>
      </c>
      <c r="D1602" s="2" t="s">
        <v>40</v>
      </c>
      <c r="E1602" s="5" t="s">
        <v>510</v>
      </c>
      <c r="F1602" s="3" t="s">
        <v>531</v>
      </c>
      <c r="G1602" s="3" t="s">
        <v>75</v>
      </c>
      <c r="H1602" s="2" t="s">
        <v>22</v>
      </c>
      <c r="I1602" s="2" t="s">
        <v>4026</v>
      </c>
      <c r="J1602" s="3" t="str">
        <f>HYPERLINK("https://www.boe.es/gazeta/dias/1834/11/26/pdfs/GMD-C-1834-285.pdf#page=4","Abrir facsímil")</f>
        <v>Abrir facsímil</v>
      </c>
      <c r="K1602" s="3" t="s">
        <v>24</v>
      </c>
    </row>
    <row r="1603" spans="1:11" ht="54" customHeight="1">
      <c r="A1603" s="2" t="s">
        <v>4001</v>
      </c>
      <c r="B1603" s="2" t="s">
        <v>4001</v>
      </c>
      <c r="C1603" s="2" t="s">
        <v>66</v>
      </c>
      <c r="D1603" s="2" t="s">
        <v>18</v>
      </c>
      <c r="E1603" s="5" t="s">
        <v>510</v>
      </c>
      <c r="F1603" s="3" t="s">
        <v>531</v>
      </c>
      <c r="G1603" s="3" t="s">
        <v>28</v>
      </c>
      <c r="H1603" s="2" t="s">
        <v>22</v>
      </c>
      <c r="I1603" s="2" t="s">
        <v>4027</v>
      </c>
      <c r="J1603" s="3" t="str">
        <f>HYPERLINK("https://www.boe.es/gazeta/dias/1834/11/26/pdfs/GMD-C-1834-285.pdf#page=5","Abrir facsímil")</f>
        <v>Abrir facsímil</v>
      </c>
      <c r="K1603" s="3" t="s">
        <v>24</v>
      </c>
    </row>
    <row r="1604" spans="1:11" ht="54" customHeight="1">
      <c r="A1604" s="2" t="s">
        <v>4001</v>
      </c>
      <c r="B1604" s="2" t="s">
        <v>4001</v>
      </c>
      <c r="C1604" s="2" t="s">
        <v>17</v>
      </c>
      <c r="D1604" s="2" t="s">
        <v>40</v>
      </c>
      <c r="E1604" s="5" t="s">
        <v>510</v>
      </c>
      <c r="F1604" s="3" t="s">
        <v>531</v>
      </c>
      <c r="G1604" s="3" t="s">
        <v>560</v>
      </c>
      <c r="H1604" s="2" t="s">
        <v>22</v>
      </c>
      <c r="I1604" s="2" t="s">
        <v>4028</v>
      </c>
      <c r="J1604" s="3" t="str">
        <f>HYPERLINK("https://www.boe.es/gazeta/dias/1834/11/26/pdfs/GMD-C-1834-285.pdf#page=7","Abrir facsímil")</f>
        <v>Abrir facsímil</v>
      </c>
      <c r="K1604" s="3" t="s">
        <v>24</v>
      </c>
    </row>
    <row r="1605" spans="1:11" ht="54" customHeight="1">
      <c r="A1605" s="2" t="s">
        <v>4001</v>
      </c>
      <c r="B1605" s="2" t="s">
        <v>4001</v>
      </c>
      <c r="C1605" s="2" t="s">
        <v>17</v>
      </c>
      <c r="D1605" s="2" t="s">
        <v>18</v>
      </c>
      <c r="E1605" s="5" t="s">
        <v>1686</v>
      </c>
      <c r="F1605" s="3" t="s">
        <v>2311</v>
      </c>
      <c r="G1605" s="3" t="s">
        <v>34</v>
      </c>
      <c r="H1605" s="2" t="s">
        <v>22</v>
      </c>
      <c r="I1605" s="2" t="s">
        <v>4029</v>
      </c>
      <c r="J1605" s="3" t="str">
        <f>HYPERLINK("https://www.boe.es/gazeta/dias/1834/07/27/pdfs/GMD-C-1834-160.pdf#page=1","Abrir facsímil")</f>
        <v>Abrir facsímil</v>
      </c>
      <c r="K1605" s="3" t="s">
        <v>24</v>
      </c>
    </row>
    <row r="1606" spans="1:11" ht="54" customHeight="1">
      <c r="A1606" s="2" t="s">
        <v>4001</v>
      </c>
      <c r="B1606" s="2" t="s">
        <v>4001</v>
      </c>
      <c r="C1606" s="2" t="s">
        <v>17</v>
      </c>
      <c r="D1606" s="2" t="s">
        <v>18</v>
      </c>
      <c r="E1606" s="5" t="s">
        <v>294</v>
      </c>
      <c r="F1606" s="3" t="s">
        <v>959</v>
      </c>
      <c r="G1606" s="3" t="s">
        <v>34</v>
      </c>
      <c r="H1606" s="2" t="s">
        <v>22</v>
      </c>
      <c r="I1606" s="2" t="s">
        <v>4030</v>
      </c>
      <c r="J1606" s="3" t="str">
        <f>HYPERLINK("https://www.boe.es/gazeta/dias/1834/09/27/pdfs/GMD-C-1834-225.pdf#page=1","Abrir facsímil")</f>
        <v>Abrir facsímil</v>
      </c>
      <c r="K1606" s="3" t="s">
        <v>24</v>
      </c>
    </row>
    <row r="1607" spans="1:11" ht="54" customHeight="1">
      <c r="A1607" s="2" t="s">
        <v>4001</v>
      </c>
      <c r="B1607" s="2" t="s">
        <v>4001</v>
      </c>
      <c r="C1607" s="2" t="s">
        <v>17</v>
      </c>
      <c r="D1607" s="2" t="s">
        <v>18</v>
      </c>
      <c r="E1607" s="5" t="s">
        <v>1641</v>
      </c>
      <c r="F1607" s="3" t="s">
        <v>1642</v>
      </c>
      <c r="G1607" s="3" t="s">
        <v>34</v>
      </c>
      <c r="H1607" s="2" t="s">
        <v>22</v>
      </c>
      <c r="I1607" s="2" t="s">
        <v>4031</v>
      </c>
      <c r="J1607" s="3" t="str">
        <f>HYPERLINK("https://www.boe.es/gazeta/dias/1834/09/28/pdfs/GMD-C-1834-226.pdf#page=1","Abrir facsímil")</f>
        <v>Abrir facsímil</v>
      </c>
      <c r="K1607" s="3" t="s">
        <v>24</v>
      </c>
    </row>
    <row r="1608" spans="1:11" ht="54" customHeight="1">
      <c r="A1608" s="2" t="s">
        <v>4001</v>
      </c>
      <c r="B1608" s="2" t="s">
        <v>4001</v>
      </c>
      <c r="C1608" s="2" t="s">
        <v>46</v>
      </c>
      <c r="D1608" s="2" t="s">
        <v>101</v>
      </c>
      <c r="E1608" s="5" t="s">
        <v>283</v>
      </c>
      <c r="F1608" s="3" t="s">
        <v>284</v>
      </c>
      <c r="G1608" s="3" t="s">
        <v>75</v>
      </c>
      <c r="H1608" s="2" t="s">
        <v>22</v>
      </c>
      <c r="I1608" s="2" t="s">
        <v>4032</v>
      </c>
      <c r="J1608" s="3" t="str">
        <f>HYPERLINK("https://www.boe.es/gazeta/dias/1834/11/29/pdfs/GMD-C-1834-288.pdf#page=4","Abrir facsímil")</f>
        <v>Abrir facsímil</v>
      </c>
      <c r="K1608" s="3" t="s">
        <v>24</v>
      </c>
    </row>
    <row r="1609" spans="1:11" ht="54" customHeight="1">
      <c r="A1609" s="2" t="s">
        <v>4001</v>
      </c>
      <c r="B1609" s="2" t="s">
        <v>4001</v>
      </c>
      <c r="C1609" s="2" t="s">
        <v>17</v>
      </c>
      <c r="D1609" s="2" t="s">
        <v>55</v>
      </c>
      <c r="E1609" s="5" t="s">
        <v>286</v>
      </c>
      <c r="F1609" s="3" t="s">
        <v>287</v>
      </c>
      <c r="G1609" s="3" t="s">
        <v>86</v>
      </c>
      <c r="H1609" s="2" t="s">
        <v>22</v>
      </c>
      <c r="I1609" s="2" t="s">
        <v>4033</v>
      </c>
      <c r="J1609" s="3" t="str">
        <f>HYPERLINK("https://www.boe.es/gazeta/dias/1834/08/30/pdfs/GMD-C-1834-196.pdf#page=2","Abrir facsímil")</f>
        <v>Abrir facsímil</v>
      </c>
      <c r="K1609" s="3" t="s">
        <v>24</v>
      </c>
    </row>
    <row r="1610" spans="1:11" ht="54" customHeight="1">
      <c r="A1610" s="2" t="s">
        <v>4001</v>
      </c>
      <c r="B1610" s="2" t="s">
        <v>4001</v>
      </c>
      <c r="C1610" s="2" t="s">
        <v>17</v>
      </c>
      <c r="D1610" s="2" t="s">
        <v>18</v>
      </c>
      <c r="E1610" s="5" t="s">
        <v>286</v>
      </c>
      <c r="F1610" s="3" t="s">
        <v>287</v>
      </c>
      <c r="G1610" s="3" t="s">
        <v>21</v>
      </c>
      <c r="H1610" s="2" t="s">
        <v>22</v>
      </c>
      <c r="I1610" s="2" t="s">
        <v>4034</v>
      </c>
      <c r="J1610" s="3" t="str">
        <f>HYPERLINK("https://www.boe.es/gazeta/dias/1834/08/30/pdfs/GMD-C-1834-196.pdf#page=3","Abrir facsímil")</f>
        <v>Abrir facsímil</v>
      </c>
      <c r="K1610" s="3" t="s">
        <v>24</v>
      </c>
    </row>
    <row r="1611" spans="1:11" ht="54" customHeight="1">
      <c r="A1611" s="2" t="s">
        <v>4001</v>
      </c>
      <c r="B1611" s="2" t="s">
        <v>4001</v>
      </c>
      <c r="C1611" s="2" t="s">
        <v>17</v>
      </c>
      <c r="D1611" s="2" t="s">
        <v>18</v>
      </c>
      <c r="E1611" s="5" t="s">
        <v>286</v>
      </c>
      <c r="F1611" s="3" t="s">
        <v>287</v>
      </c>
      <c r="G1611" s="3" t="s">
        <v>28</v>
      </c>
      <c r="H1611" s="2" t="s">
        <v>22</v>
      </c>
      <c r="I1611" s="2" t="s">
        <v>4035</v>
      </c>
      <c r="J1611" s="3" t="str">
        <f>HYPERLINK("https://www.boe.es/gazeta/dias/1834/08/30/pdfs/GMD-C-1834-196.pdf#page=5","Abrir facsímil")</f>
        <v>Abrir facsímil</v>
      </c>
      <c r="K1611" s="3" t="s">
        <v>24</v>
      </c>
    </row>
    <row r="1612" spans="1:11" ht="54" customHeight="1">
      <c r="A1612" s="2" t="s">
        <v>4001</v>
      </c>
      <c r="B1612" s="2" t="s">
        <v>4001</v>
      </c>
      <c r="C1612" s="2" t="s">
        <v>17</v>
      </c>
      <c r="D1612" s="2" t="s">
        <v>18</v>
      </c>
      <c r="E1612" s="5" t="s">
        <v>153</v>
      </c>
      <c r="F1612" s="3" t="s">
        <v>154</v>
      </c>
      <c r="G1612" s="3" t="s">
        <v>21</v>
      </c>
      <c r="H1612" s="2" t="s">
        <v>22</v>
      </c>
      <c r="I1612" s="2" t="s">
        <v>4036</v>
      </c>
      <c r="J1612" s="3" t="str">
        <f>HYPERLINK("https://www.boe.es/gazeta/dias/1834/12/30/pdfs/GMD-C-1834-320.pdf#page=3","Abrir facsímil")</f>
        <v>Abrir facsímil</v>
      </c>
      <c r="K1612" s="3" t="s">
        <v>24</v>
      </c>
    </row>
    <row r="1613" spans="1:11" ht="54" customHeight="1">
      <c r="A1613" s="2" t="s">
        <v>4037</v>
      </c>
      <c r="B1613" s="2" t="s">
        <v>4038</v>
      </c>
      <c r="C1613" s="2" t="s">
        <v>17</v>
      </c>
      <c r="D1613" s="2" t="s">
        <v>18</v>
      </c>
      <c r="E1613" s="5" t="s">
        <v>1351</v>
      </c>
      <c r="F1613" s="3" t="s">
        <v>1352</v>
      </c>
      <c r="G1613" s="3" t="s">
        <v>75</v>
      </c>
      <c r="H1613" s="2" t="s">
        <v>35</v>
      </c>
      <c r="I1613" s="2" t="s">
        <v>4039</v>
      </c>
      <c r="J1613" s="3" t="str">
        <f>HYPERLINK("https://www.boe.es/gazeta/dias/1834/07/05/pdfs/GMD-1834-138.pdf#page=4","Abrir facsímil")</f>
        <v>Abrir facsímil</v>
      </c>
      <c r="K1613" s="3" t="s">
        <v>37</v>
      </c>
    </row>
    <row r="1614" spans="1:11" ht="54" customHeight="1">
      <c r="A1614" s="2" t="s">
        <v>4040</v>
      </c>
      <c r="B1614" s="2" t="s">
        <v>4041</v>
      </c>
      <c r="C1614" s="2" t="s">
        <v>17</v>
      </c>
      <c r="D1614" s="2" t="s">
        <v>18</v>
      </c>
      <c r="E1614" s="5" t="s">
        <v>1351</v>
      </c>
      <c r="F1614" s="3" t="s">
        <v>1352</v>
      </c>
      <c r="G1614" s="3" t="s">
        <v>75</v>
      </c>
      <c r="H1614" s="2" t="s">
        <v>22</v>
      </c>
      <c r="I1614" s="2" t="s">
        <v>4042</v>
      </c>
      <c r="J1614" s="3" t="str">
        <f>HYPERLINK("https://www.boe.es/gazeta/dias/1834/07/05/pdfs/GMD-1834-138.pdf#page=4","Abrir facsímil")</f>
        <v>Abrir facsímil</v>
      </c>
      <c r="K1614" s="3" t="s">
        <v>24</v>
      </c>
    </row>
    <row r="1615" spans="1:11" ht="54" customHeight="1">
      <c r="A1615" s="2" t="s">
        <v>4043</v>
      </c>
      <c r="B1615" s="2" t="s">
        <v>4043</v>
      </c>
      <c r="C1615" s="2" t="s">
        <v>17</v>
      </c>
      <c r="D1615" s="2" t="s">
        <v>40</v>
      </c>
      <c r="E1615" s="5" t="s">
        <v>1641</v>
      </c>
      <c r="F1615" s="3" t="s">
        <v>1642</v>
      </c>
      <c r="G1615" s="3" t="s">
        <v>34</v>
      </c>
      <c r="H1615" s="2" t="s">
        <v>22</v>
      </c>
      <c r="I1615" s="2" t="s">
        <v>4044</v>
      </c>
      <c r="J1615" s="3" t="str">
        <f>HYPERLINK("https://www.boe.es/gazeta/dias/1834/09/28/pdfs/GMD-C-1834-226.pdf#page=1","Abrir facsímil")</f>
        <v>Abrir facsímil</v>
      </c>
      <c r="K1615" s="3" t="s">
        <v>24</v>
      </c>
    </row>
    <row r="1616" spans="1:11" ht="54" customHeight="1">
      <c r="A1616" s="2" t="s">
        <v>4045</v>
      </c>
      <c r="B1616" s="2" t="s">
        <v>4045</v>
      </c>
      <c r="C1616" s="2" t="s">
        <v>17</v>
      </c>
      <c r="D1616" s="2" t="s">
        <v>18</v>
      </c>
      <c r="E1616" s="5" t="s">
        <v>462</v>
      </c>
      <c r="F1616" s="3" t="s">
        <v>463</v>
      </c>
      <c r="G1616" s="3" t="s">
        <v>34</v>
      </c>
      <c r="H1616" s="2" t="s">
        <v>22</v>
      </c>
      <c r="I1616" s="2" t="s">
        <v>4046</v>
      </c>
      <c r="J1616" s="3" t="str">
        <f>HYPERLINK("https://www.boe.es/gazeta/dias/1834/08/27/pdfs/GMD-C-1834-193.pdf#page=1","Abrir facsímil")</f>
        <v>Abrir facsímil</v>
      </c>
      <c r="K1616" s="3" t="s">
        <v>24</v>
      </c>
    </row>
    <row r="1617" spans="1:11" ht="54" customHeight="1">
      <c r="A1617" s="2" t="s">
        <v>4047</v>
      </c>
      <c r="B1617" s="2" t="s">
        <v>4048</v>
      </c>
      <c r="C1617" s="2" t="s">
        <v>17</v>
      </c>
      <c r="D1617" s="2" t="s">
        <v>18</v>
      </c>
      <c r="E1617" s="5" t="s">
        <v>2124</v>
      </c>
      <c r="F1617" s="3" t="s">
        <v>2125</v>
      </c>
      <c r="G1617" s="3" t="s">
        <v>21</v>
      </c>
      <c r="H1617" s="2" t="s">
        <v>35</v>
      </c>
      <c r="I1617" s="2" t="s">
        <v>4049</v>
      </c>
      <c r="J1617" s="3" t="str">
        <f>HYPERLINK("https://www.boe.es/gazeta/dias/1834/06/09/pdfs/GMD-1834-112.pdf#page=3","Abrir facsímil")</f>
        <v>Abrir facsímil</v>
      </c>
      <c r="K1617" s="3" t="s">
        <v>37</v>
      </c>
    </row>
    <row r="1618" spans="1:11" ht="54" customHeight="1">
      <c r="A1618" s="2" t="s">
        <v>4050</v>
      </c>
      <c r="B1618" s="2" t="s">
        <v>4050</v>
      </c>
      <c r="C1618" s="2" t="s">
        <v>46</v>
      </c>
      <c r="D1618" s="2" t="s">
        <v>18</v>
      </c>
      <c r="E1618" s="5" t="s">
        <v>702</v>
      </c>
      <c r="F1618" s="3" t="s">
        <v>2427</v>
      </c>
      <c r="G1618" s="3" t="s">
        <v>86</v>
      </c>
      <c r="H1618" s="2" t="s">
        <v>22</v>
      </c>
      <c r="I1618" s="2" t="s">
        <v>4051</v>
      </c>
      <c r="J1618" s="3" t="str">
        <f>HYPERLINK("https://www.boe.es/gazeta/dias/1834/11/22/pdfs/GMD-1834-281.pdf#page=2","Abrir facsímil")</f>
        <v>Abrir facsímil</v>
      </c>
      <c r="K1618" s="3" t="s">
        <v>24</v>
      </c>
    </row>
    <row r="1619" spans="1:11" ht="54" customHeight="1">
      <c r="A1619" s="2" t="s">
        <v>4052</v>
      </c>
      <c r="B1619" s="2" t="s">
        <v>4052</v>
      </c>
      <c r="C1619" s="2" t="s">
        <v>66</v>
      </c>
      <c r="D1619" s="2" t="s">
        <v>67</v>
      </c>
      <c r="E1619" s="5" t="s">
        <v>849</v>
      </c>
      <c r="F1619" s="3" t="s">
        <v>850</v>
      </c>
      <c r="G1619" s="3" t="s">
        <v>34</v>
      </c>
      <c r="H1619" s="2" t="s">
        <v>22</v>
      </c>
      <c r="I1619" s="2" t="s">
        <v>4053</v>
      </c>
      <c r="J1619" s="3" t="str">
        <f>HYPERLINK("https://www.boe.es/gazeta/dias/1834/06/21/pdfs/GMD-1834-124.pdf#page=1","Abrir facsímil")</f>
        <v>Abrir facsímil</v>
      </c>
      <c r="K1619" s="3" t="s">
        <v>24</v>
      </c>
    </row>
    <row r="1620" spans="1:11" ht="54" customHeight="1">
      <c r="A1620" s="2" t="s">
        <v>4054</v>
      </c>
      <c r="B1620" s="2" t="s">
        <v>4054</v>
      </c>
      <c r="C1620" s="2" t="s">
        <v>17</v>
      </c>
      <c r="D1620" s="2" t="s">
        <v>18</v>
      </c>
      <c r="E1620" s="5" t="s">
        <v>627</v>
      </c>
      <c r="F1620" s="3" t="s">
        <v>628</v>
      </c>
      <c r="G1620" s="3" t="s">
        <v>86</v>
      </c>
      <c r="H1620" s="2" t="s">
        <v>22</v>
      </c>
      <c r="I1620" s="2" t="s">
        <v>4055</v>
      </c>
      <c r="J1620" s="3" t="str">
        <f>HYPERLINK("https://www.boe.es/gazeta/dias/1834/09/22/pdfs/GMD-C-1834-220.pdf#page=2","Abrir facsímil")</f>
        <v>Abrir facsímil</v>
      </c>
      <c r="K1620" s="3" t="s">
        <v>24</v>
      </c>
    </row>
    <row r="1621" spans="1:11" ht="54" customHeight="1">
      <c r="A1621" s="2" t="s">
        <v>4056</v>
      </c>
      <c r="B1621" s="2" t="s">
        <v>4057</v>
      </c>
      <c r="C1621" s="2" t="s">
        <v>17</v>
      </c>
      <c r="D1621" s="2" t="s">
        <v>18</v>
      </c>
      <c r="E1621" s="5" t="s">
        <v>1575</v>
      </c>
      <c r="F1621" s="3" t="s">
        <v>1576</v>
      </c>
      <c r="G1621" s="3" t="s">
        <v>75</v>
      </c>
      <c r="H1621" s="2" t="s">
        <v>22</v>
      </c>
      <c r="I1621" s="2" t="s">
        <v>4058</v>
      </c>
      <c r="J1621" s="3" t="str">
        <f>HYPERLINK("https://www.boe.es/gazeta/dias/1834/11/24/pdfs/GMD-1834-283.pdf#page=4","Abrir facsímil")</f>
        <v>Abrir facsímil</v>
      </c>
      <c r="K1621" s="3" t="s">
        <v>24</v>
      </c>
    </row>
    <row r="1622" spans="1:11" ht="54" customHeight="1">
      <c r="A1622" s="2" t="s">
        <v>4059</v>
      </c>
      <c r="B1622" s="2" t="s">
        <v>4060</v>
      </c>
      <c r="C1622" s="2" t="s">
        <v>17</v>
      </c>
      <c r="D1622" s="2" t="s">
        <v>18</v>
      </c>
      <c r="E1622" s="5" t="s">
        <v>1017</v>
      </c>
      <c r="F1622" s="3" t="s">
        <v>1018</v>
      </c>
      <c r="G1622" s="3" t="s">
        <v>21</v>
      </c>
      <c r="H1622" s="2" t="s">
        <v>22</v>
      </c>
      <c r="I1622" s="2" t="s">
        <v>4061</v>
      </c>
      <c r="J1622" s="3" t="str">
        <f>HYPERLINK("https://www.boe.es/gazeta/dias/1834/07/24/pdfs/GMD-1834-157.pdf#page=3","Abrir facsímil")</f>
        <v>Abrir facsímil</v>
      </c>
      <c r="K1622" s="3" t="s">
        <v>24</v>
      </c>
    </row>
    <row r="1623" spans="1:11" ht="54" customHeight="1">
      <c r="A1623" s="2" t="s">
        <v>4062</v>
      </c>
      <c r="B1623" s="2" t="s">
        <v>4063</v>
      </c>
      <c r="C1623" s="2" t="s">
        <v>17</v>
      </c>
      <c r="D1623" s="2" t="s">
        <v>18</v>
      </c>
      <c r="E1623" s="5" t="s">
        <v>4064</v>
      </c>
      <c r="F1623" s="3" t="s">
        <v>4065</v>
      </c>
      <c r="G1623" s="3" t="s">
        <v>86</v>
      </c>
      <c r="H1623" s="2" t="s">
        <v>22</v>
      </c>
      <c r="I1623" s="2" t="s">
        <v>4066</v>
      </c>
      <c r="J1623" s="3" t="str">
        <f>HYPERLINK("https://www.boe.es/gazeta/dias/1834/07/22/pdfs/GMD-1834-155.pdf#page=2","Abrir facsímil")</f>
        <v>Abrir facsímil</v>
      </c>
      <c r="K1623" s="3" t="s">
        <v>24</v>
      </c>
    </row>
    <row r="1624" spans="1:11" ht="54" customHeight="1">
      <c r="A1624" s="2" t="s">
        <v>4067</v>
      </c>
      <c r="B1624" s="2" t="s">
        <v>4068</v>
      </c>
      <c r="C1624" s="2" t="s">
        <v>46</v>
      </c>
      <c r="D1624" s="2" t="s">
        <v>18</v>
      </c>
      <c r="E1624" s="5" t="s">
        <v>860</v>
      </c>
      <c r="F1624" s="3" t="s">
        <v>861</v>
      </c>
      <c r="G1624" s="3" t="s">
        <v>28</v>
      </c>
      <c r="H1624" s="2" t="s">
        <v>22</v>
      </c>
      <c r="I1624" s="2" t="s">
        <v>4069</v>
      </c>
      <c r="J1624" s="3" t="str">
        <f>HYPERLINK("https://www.boe.es/gazeta/dias/1834/02/08/pdfs/GMD-1834-18.pdf#page=5","Abrir facsímil")</f>
        <v>Abrir facsímil</v>
      </c>
      <c r="K1624" s="3" t="s">
        <v>24</v>
      </c>
    </row>
    <row r="1625" spans="1:11" ht="54" customHeight="1">
      <c r="A1625" s="2" t="s">
        <v>4070</v>
      </c>
      <c r="B1625" s="2" t="s">
        <v>4071</v>
      </c>
      <c r="C1625" s="2" t="s">
        <v>17</v>
      </c>
      <c r="D1625" s="2" t="s">
        <v>18</v>
      </c>
      <c r="E1625" s="5" t="s">
        <v>1922</v>
      </c>
      <c r="F1625" s="3" t="s">
        <v>1923</v>
      </c>
      <c r="G1625" s="3" t="s">
        <v>28</v>
      </c>
      <c r="H1625" s="2" t="s">
        <v>22</v>
      </c>
      <c r="I1625" s="2" t="s">
        <v>4072</v>
      </c>
      <c r="J1625" s="3" t="str">
        <f>HYPERLINK("https://www.boe.es/gazeta/dias/1834/02/25/pdfs/GMD-1834-25.pdf#page=5","Abrir facsímil")</f>
        <v>Abrir facsímil</v>
      </c>
      <c r="K1625" s="3" t="s">
        <v>24</v>
      </c>
    </row>
    <row r="1626" spans="1:11" ht="54" customHeight="1">
      <c r="A1626" s="2" t="s">
        <v>4073</v>
      </c>
      <c r="B1626" s="2" t="s">
        <v>4073</v>
      </c>
      <c r="C1626" s="2" t="s">
        <v>66</v>
      </c>
      <c r="D1626" s="2" t="s">
        <v>67</v>
      </c>
      <c r="E1626" s="5" t="s">
        <v>3471</v>
      </c>
      <c r="F1626" s="3" t="s">
        <v>3472</v>
      </c>
      <c r="G1626" s="3" t="s">
        <v>86</v>
      </c>
      <c r="H1626" s="2" t="s">
        <v>22</v>
      </c>
      <c r="I1626" s="2" t="s">
        <v>4074</v>
      </c>
      <c r="J1626" s="3" t="str">
        <f>HYPERLINK("https://www.boe.es/gazeta/dias/1834/07/07/pdfs/GMD-1834-140.pdf#page=2","Abrir facsímil")</f>
        <v>Abrir facsímil</v>
      </c>
      <c r="K1626" s="3" t="s">
        <v>24</v>
      </c>
    </row>
    <row r="1627" spans="1:11" ht="54" customHeight="1">
      <c r="A1627" s="2" t="s">
        <v>4075</v>
      </c>
      <c r="B1627" s="2" t="s">
        <v>4076</v>
      </c>
      <c r="C1627" s="2" t="s">
        <v>17</v>
      </c>
      <c r="D1627" s="2" t="s">
        <v>40</v>
      </c>
      <c r="E1627" s="5" t="s">
        <v>304</v>
      </c>
      <c r="F1627" s="3" t="s">
        <v>305</v>
      </c>
      <c r="G1627" s="3" t="s">
        <v>176</v>
      </c>
      <c r="H1627" s="2" t="s">
        <v>22</v>
      </c>
      <c r="I1627" s="2" t="s">
        <v>4077</v>
      </c>
      <c r="J1627" s="3" t="str">
        <f>HYPERLINK("https://www.boe.es/gazeta/dias/1834/01/21/pdfs/GMD-1834-10.pdf#page=6","Abrir facsímil")</f>
        <v>Abrir facsímil</v>
      </c>
      <c r="K1627" s="3" t="s">
        <v>24</v>
      </c>
    </row>
    <row r="1628" spans="1:11" ht="54" customHeight="1">
      <c r="A1628" s="2" t="s">
        <v>4078</v>
      </c>
      <c r="B1628" s="2" t="s">
        <v>4078</v>
      </c>
      <c r="C1628" s="2" t="s">
        <v>17</v>
      </c>
      <c r="D1628" s="2" t="s">
        <v>18</v>
      </c>
      <c r="E1628" s="5" t="s">
        <v>1410</v>
      </c>
      <c r="F1628" s="3" t="s">
        <v>2231</v>
      </c>
      <c r="G1628" s="3" t="s">
        <v>28</v>
      </c>
      <c r="H1628" s="2" t="s">
        <v>22</v>
      </c>
      <c r="I1628" s="2" t="s">
        <v>4079</v>
      </c>
      <c r="J1628" s="3" t="str">
        <f>HYPERLINK("https://www.boe.es/gazeta/dias/1834/09/09/pdfs/GMD-C-1834-207.pdf#page=5","Abrir facsímil")</f>
        <v>Abrir facsímil</v>
      </c>
      <c r="K1628" s="3" t="s">
        <v>24</v>
      </c>
    </row>
    <row r="1629" spans="1:11" ht="54" customHeight="1">
      <c r="A1629" s="2" t="s">
        <v>4080</v>
      </c>
      <c r="B1629" s="2" t="s">
        <v>4080</v>
      </c>
      <c r="C1629" s="2" t="s">
        <v>17</v>
      </c>
      <c r="D1629" s="2" t="s">
        <v>18</v>
      </c>
      <c r="E1629" s="5" t="s">
        <v>334</v>
      </c>
      <c r="F1629" s="3" t="s">
        <v>335</v>
      </c>
      <c r="G1629" s="3" t="s">
        <v>75</v>
      </c>
      <c r="H1629" s="2" t="s">
        <v>22</v>
      </c>
      <c r="I1629" s="2" t="s">
        <v>4081</v>
      </c>
      <c r="J1629" s="3" t="str">
        <f>HYPERLINK("https://www.boe.es/gazeta/dias/1834/09/11/pdfs/GMD-C-1834-209.pdf#page=4","Abrir facsímil")</f>
        <v>Abrir facsímil</v>
      </c>
      <c r="K1629" s="3" t="s">
        <v>24</v>
      </c>
    </row>
    <row r="1630" spans="1:11" ht="54" customHeight="1">
      <c r="A1630" s="2" t="s">
        <v>4080</v>
      </c>
      <c r="B1630" s="2" t="s">
        <v>4080</v>
      </c>
      <c r="C1630" s="2" t="s">
        <v>17</v>
      </c>
      <c r="D1630" s="2" t="s">
        <v>18</v>
      </c>
      <c r="E1630" s="5" t="s">
        <v>823</v>
      </c>
      <c r="F1630" s="3" t="s">
        <v>824</v>
      </c>
      <c r="G1630" s="3" t="s">
        <v>75</v>
      </c>
      <c r="H1630" s="2" t="s">
        <v>22</v>
      </c>
      <c r="I1630" s="2" t="s">
        <v>4082</v>
      </c>
      <c r="J1630" s="3" t="str">
        <f>HYPERLINK("https://www.boe.es/gazeta/dias/1834/07/23/pdfs/GMD-1834-156.pdf#page=4","Abrir facsímil")</f>
        <v>Abrir facsímil</v>
      </c>
      <c r="K1630" s="3" t="s">
        <v>24</v>
      </c>
    </row>
    <row r="1631" spans="1:11" ht="54" customHeight="1">
      <c r="A1631" s="2" t="s">
        <v>4083</v>
      </c>
      <c r="B1631" s="2" t="s">
        <v>4084</v>
      </c>
      <c r="C1631" s="2" t="s">
        <v>66</v>
      </c>
      <c r="D1631" s="2" t="s">
        <v>67</v>
      </c>
      <c r="E1631" s="5" t="s">
        <v>286</v>
      </c>
      <c r="F1631" s="3" t="s">
        <v>548</v>
      </c>
      <c r="G1631" s="3" t="s">
        <v>75</v>
      </c>
      <c r="H1631" s="2" t="s">
        <v>22</v>
      </c>
      <c r="I1631" s="2" t="s">
        <v>4085</v>
      </c>
      <c r="J1631" s="3" t="str">
        <f>HYPERLINK("https://www.boe.es/gazeta/dias/1834/08/30/pdfs/GMD-1834-196.pdf#page=4","Abrir facsímil")</f>
        <v>Abrir facsímil</v>
      </c>
      <c r="K1631" s="3" t="s">
        <v>24</v>
      </c>
    </row>
    <row r="1632" spans="1:11" ht="54" customHeight="1">
      <c r="A1632" s="2" t="s">
        <v>4086</v>
      </c>
      <c r="B1632" s="2" t="s">
        <v>4087</v>
      </c>
      <c r="C1632" s="2" t="s">
        <v>90</v>
      </c>
      <c r="D1632" s="2" t="s">
        <v>18</v>
      </c>
      <c r="E1632" s="5" t="s">
        <v>84</v>
      </c>
      <c r="F1632" s="3" t="s">
        <v>85</v>
      </c>
      <c r="G1632" s="3" t="s">
        <v>86</v>
      </c>
      <c r="H1632" s="2" t="s">
        <v>22</v>
      </c>
      <c r="I1632" s="2" t="s">
        <v>4088</v>
      </c>
      <c r="J1632" s="3" t="str">
        <f>HYPERLINK("https://www.boe.es/gazeta/dias/1834/06/07/pdfs/GMD-C-1834-109.pdf#page=2","Abrir facsímil")</f>
        <v>Abrir facsímil</v>
      </c>
      <c r="K1632" s="3" t="s">
        <v>24</v>
      </c>
    </row>
    <row r="1633" spans="1:11" ht="54" customHeight="1">
      <c r="A1633" s="2" t="s">
        <v>4089</v>
      </c>
      <c r="B1633" s="2" t="s">
        <v>4090</v>
      </c>
      <c r="C1633" s="2" t="s">
        <v>17</v>
      </c>
      <c r="D1633" s="2" t="s">
        <v>18</v>
      </c>
      <c r="E1633" s="5" t="s">
        <v>343</v>
      </c>
      <c r="F1633" s="3" t="s">
        <v>344</v>
      </c>
      <c r="G1633" s="3" t="s">
        <v>75</v>
      </c>
      <c r="H1633" s="2" t="s">
        <v>22</v>
      </c>
      <c r="I1633" s="2" t="s">
        <v>4091</v>
      </c>
      <c r="J1633" s="3" t="str">
        <f>HYPERLINK("https://www.boe.es/gazeta/dias/1834/01/14/pdfs/GMD-1834-7.pdf#page=4","Abrir facsímil")</f>
        <v>Abrir facsímil</v>
      </c>
      <c r="K1633" s="3" t="s">
        <v>24</v>
      </c>
    </row>
    <row r="1634" spans="1:11" ht="54" customHeight="1">
      <c r="A1634" s="2" t="s">
        <v>4092</v>
      </c>
      <c r="B1634" s="2" t="s">
        <v>4093</v>
      </c>
      <c r="C1634" s="2" t="s">
        <v>66</v>
      </c>
      <c r="D1634" s="2" t="s">
        <v>67</v>
      </c>
      <c r="E1634" s="5" t="s">
        <v>601</v>
      </c>
      <c r="F1634" s="3" t="s">
        <v>602</v>
      </c>
      <c r="G1634" s="3" t="s">
        <v>75</v>
      </c>
      <c r="H1634" s="2" t="s">
        <v>22</v>
      </c>
      <c r="I1634" s="2" t="s">
        <v>4094</v>
      </c>
      <c r="J1634" s="3" t="str">
        <f>HYPERLINK("https://www.boe.es/gazeta/dias/1834/08/16/pdfs/GMD-1834-181.pdf#page=4","Abrir facsímil")</f>
        <v>Abrir facsímil</v>
      </c>
      <c r="K1634" s="3" t="s">
        <v>24</v>
      </c>
    </row>
    <row r="1635" spans="1:11" ht="54" customHeight="1">
      <c r="A1635" s="2" t="s">
        <v>4095</v>
      </c>
      <c r="B1635" s="2" t="s">
        <v>4096</v>
      </c>
      <c r="C1635" s="2" t="s">
        <v>17</v>
      </c>
      <c r="D1635" s="2" t="s">
        <v>18</v>
      </c>
      <c r="E1635" s="5" t="s">
        <v>2004</v>
      </c>
      <c r="F1635" s="3" t="s">
        <v>2005</v>
      </c>
      <c r="G1635" s="3" t="s">
        <v>75</v>
      </c>
      <c r="H1635" s="2" t="s">
        <v>22</v>
      </c>
      <c r="I1635" s="2" t="s">
        <v>4097</v>
      </c>
      <c r="J1635" s="3" t="str">
        <f>HYPERLINK("https://www.boe.es/gazeta/dias/1834/05/09/pdfs/GMD-1834-78.pdf#page=4","Abrir facsímil")</f>
        <v>Abrir facsímil</v>
      </c>
      <c r="K1635" s="3" t="s">
        <v>24</v>
      </c>
    </row>
    <row r="1636" spans="1:11" ht="54" customHeight="1">
      <c r="A1636" s="2" t="s">
        <v>4098</v>
      </c>
      <c r="B1636" s="2" t="s">
        <v>4099</v>
      </c>
      <c r="C1636" s="2" t="s">
        <v>46</v>
      </c>
      <c r="D1636" s="2" t="s">
        <v>18</v>
      </c>
      <c r="E1636" s="5" t="s">
        <v>571</v>
      </c>
      <c r="F1636" s="3" t="s">
        <v>572</v>
      </c>
      <c r="G1636" s="3" t="s">
        <v>34</v>
      </c>
      <c r="H1636" s="2" t="s">
        <v>22</v>
      </c>
      <c r="I1636" s="2" t="s">
        <v>4100</v>
      </c>
      <c r="J1636" s="3" t="str">
        <f>HYPERLINK("https://www.boe.es/gazeta/dias/1834/09/04/pdfs/GMD-1834-202.pdf#page=1","Abrir facsímil")</f>
        <v>Abrir facsímil</v>
      </c>
      <c r="K1636" s="3" t="s">
        <v>24</v>
      </c>
    </row>
    <row r="1637" spans="1:11" ht="54" customHeight="1">
      <c r="A1637" s="2" t="s">
        <v>4101</v>
      </c>
      <c r="B1637" s="2" t="s">
        <v>4102</v>
      </c>
      <c r="C1637" s="2" t="s">
        <v>17</v>
      </c>
      <c r="D1637" s="2" t="s">
        <v>40</v>
      </c>
      <c r="E1637" s="5" t="s">
        <v>658</v>
      </c>
      <c r="F1637" s="3" t="s">
        <v>659</v>
      </c>
      <c r="G1637" s="3" t="s">
        <v>75</v>
      </c>
      <c r="H1637" s="2" t="s">
        <v>22</v>
      </c>
      <c r="I1637" s="2" t="s">
        <v>4103</v>
      </c>
      <c r="J1637" s="3" t="str">
        <f>HYPERLINK("https://www.boe.es/gazeta/dias/1834/05/26/pdfs/GMD-1834-95.pdf#page=4","Abrir facsímil")</f>
        <v>Abrir facsímil</v>
      </c>
      <c r="K1637" s="3" t="s">
        <v>24</v>
      </c>
    </row>
    <row r="1638" spans="1:11" ht="54" customHeight="1">
      <c r="A1638" s="2" t="s">
        <v>4104</v>
      </c>
      <c r="B1638" s="2" t="s">
        <v>4104</v>
      </c>
      <c r="C1638" s="2" t="s">
        <v>46</v>
      </c>
      <c r="D1638" s="2" t="s">
        <v>101</v>
      </c>
      <c r="E1638" s="5" t="s">
        <v>4105</v>
      </c>
      <c r="F1638" s="3" t="s">
        <v>4106</v>
      </c>
      <c r="G1638" s="3" t="s">
        <v>34</v>
      </c>
      <c r="H1638" s="2" t="s">
        <v>22</v>
      </c>
      <c r="I1638" s="2" t="s">
        <v>4107</v>
      </c>
      <c r="J1638" s="3" t="str">
        <f>HYPERLINK("https://www.boe.es/gazeta/dias/1834/09/02/pdfs/GMD-C-1834-200.pdf#page=1","Abrir facsímil")</f>
        <v>Abrir facsímil</v>
      </c>
      <c r="K1638" s="3" t="s">
        <v>24</v>
      </c>
    </row>
    <row r="1639" spans="1:11" ht="54" customHeight="1">
      <c r="A1639" s="2" t="s">
        <v>4104</v>
      </c>
      <c r="B1639" s="2" t="s">
        <v>4104</v>
      </c>
      <c r="C1639" s="2" t="s">
        <v>46</v>
      </c>
      <c r="D1639" s="2" t="s">
        <v>101</v>
      </c>
      <c r="E1639" s="5" t="s">
        <v>4105</v>
      </c>
      <c r="F1639" s="3" t="s">
        <v>4106</v>
      </c>
      <c r="G1639" s="3" t="s">
        <v>28</v>
      </c>
      <c r="H1639" s="2" t="s">
        <v>22</v>
      </c>
      <c r="I1639" s="2" t="s">
        <v>4108</v>
      </c>
      <c r="J1639" s="3" t="str">
        <f>HYPERLINK("https://www.boe.es/gazeta/dias/1834/09/02/pdfs/GMD-C-1834-200.pdf#page=5","Abrir facsímil")</f>
        <v>Abrir facsímil</v>
      </c>
      <c r="K1639" s="3" t="s">
        <v>24</v>
      </c>
    </row>
    <row r="1640" spans="1:11" ht="54" customHeight="1">
      <c r="A1640" s="2" t="s">
        <v>4104</v>
      </c>
      <c r="B1640" s="2" t="s">
        <v>4104</v>
      </c>
      <c r="C1640" s="2" t="s">
        <v>46</v>
      </c>
      <c r="D1640" s="2" t="s">
        <v>101</v>
      </c>
      <c r="E1640" s="5" t="s">
        <v>793</v>
      </c>
      <c r="F1640" s="3" t="s">
        <v>1895</v>
      </c>
      <c r="G1640" s="3" t="s">
        <v>75</v>
      </c>
      <c r="H1640" s="2" t="s">
        <v>22</v>
      </c>
      <c r="I1640" s="2" t="s">
        <v>4109</v>
      </c>
      <c r="J1640" s="3" t="str">
        <f>HYPERLINK("https://www.boe.es/gazeta/dias/1834/10/08/pdfs/GMD-C-1834-236.pdf#page=4","Abrir facsímil")</f>
        <v>Abrir facsímil</v>
      </c>
      <c r="K1640" s="3" t="s">
        <v>24</v>
      </c>
    </row>
    <row r="1641" spans="1:11" ht="54" customHeight="1">
      <c r="A1641" s="2" t="s">
        <v>4104</v>
      </c>
      <c r="B1641" s="2" t="s">
        <v>4104</v>
      </c>
      <c r="C1641" s="2" t="s">
        <v>90</v>
      </c>
      <c r="D1641" s="2" t="s">
        <v>18</v>
      </c>
      <c r="E1641" s="5" t="s">
        <v>444</v>
      </c>
      <c r="F1641" s="3" t="s">
        <v>445</v>
      </c>
      <c r="G1641" s="3" t="s">
        <v>34</v>
      </c>
      <c r="H1641" s="2" t="s">
        <v>22</v>
      </c>
      <c r="I1641" s="2" t="s">
        <v>4110</v>
      </c>
      <c r="J1641" s="3" t="str">
        <f>HYPERLINK("https://www.boe.es/gazeta/dias/1834/09/12/pdfs/GMD-C-1834-210.pdf#page=1","Abrir facsímil")</f>
        <v>Abrir facsímil</v>
      </c>
      <c r="K1641" s="3" t="s">
        <v>24</v>
      </c>
    </row>
    <row r="1642" spans="1:11" ht="54" customHeight="1">
      <c r="A1642" s="2" t="s">
        <v>4104</v>
      </c>
      <c r="B1642" s="2" t="s">
        <v>4104</v>
      </c>
      <c r="C1642" s="2" t="s">
        <v>90</v>
      </c>
      <c r="D1642" s="2" t="s">
        <v>18</v>
      </c>
      <c r="E1642" s="5" t="s">
        <v>454</v>
      </c>
      <c r="F1642" s="3" t="s">
        <v>455</v>
      </c>
      <c r="G1642" s="3" t="s">
        <v>21</v>
      </c>
      <c r="H1642" s="2" t="s">
        <v>22</v>
      </c>
      <c r="I1642" s="2" t="s">
        <v>4111</v>
      </c>
      <c r="J1642" s="3" t="str">
        <f>HYPERLINK("https://www.boe.es/gazeta/dias/1834/10/16/pdfs/GMD-C-1834-244.pdf#page=3","Abrir facsímil")</f>
        <v>Abrir facsímil</v>
      </c>
      <c r="K1642" s="3" t="s">
        <v>24</v>
      </c>
    </row>
    <row r="1643" spans="1:11" ht="54" customHeight="1">
      <c r="A1643" s="2" t="s">
        <v>4104</v>
      </c>
      <c r="B1643" s="2" t="s">
        <v>4104</v>
      </c>
      <c r="C1643" s="2" t="s">
        <v>90</v>
      </c>
      <c r="D1643" s="2" t="s">
        <v>18</v>
      </c>
      <c r="E1643" s="5" t="s">
        <v>454</v>
      </c>
      <c r="F1643" s="3" t="s">
        <v>455</v>
      </c>
      <c r="G1643" s="3" t="s">
        <v>75</v>
      </c>
      <c r="H1643" s="2" t="s">
        <v>22</v>
      </c>
      <c r="I1643" s="2" t="s">
        <v>4112</v>
      </c>
      <c r="J1643" s="3" t="str">
        <f>HYPERLINK("https://www.boe.es/gazeta/dias/1834/10/16/pdfs/GMD-C-1834-244.pdf#page=4","Abrir facsímil")</f>
        <v>Abrir facsímil</v>
      </c>
      <c r="K1643" s="3" t="s">
        <v>24</v>
      </c>
    </row>
    <row r="1644" spans="1:11" ht="54" customHeight="1">
      <c r="A1644" s="2" t="s">
        <v>4113</v>
      </c>
      <c r="B1644" s="2" t="s">
        <v>4114</v>
      </c>
      <c r="C1644" s="2" t="s">
        <v>66</v>
      </c>
      <c r="D1644" s="2" t="s">
        <v>67</v>
      </c>
      <c r="E1644" s="5" t="s">
        <v>2004</v>
      </c>
      <c r="F1644" s="3" t="s">
        <v>2005</v>
      </c>
      <c r="G1644" s="3" t="s">
        <v>75</v>
      </c>
      <c r="H1644" s="2" t="s">
        <v>22</v>
      </c>
      <c r="I1644" s="2" t="s">
        <v>4115</v>
      </c>
      <c r="J1644" s="3" t="str">
        <f>HYPERLINK("https://www.boe.es/gazeta/dias/1834/05/09/pdfs/GMD-1834-78.pdf#page=4","Abrir facsímil")</f>
        <v>Abrir facsímil</v>
      </c>
      <c r="K1644" s="3" t="s">
        <v>24</v>
      </c>
    </row>
    <row r="1645" spans="1:11" ht="54" customHeight="1">
      <c r="A1645" s="2" t="s">
        <v>4113</v>
      </c>
      <c r="B1645" s="2" t="s">
        <v>4114</v>
      </c>
      <c r="C1645" s="2" t="s">
        <v>17</v>
      </c>
      <c r="D1645" s="2" t="s">
        <v>40</v>
      </c>
      <c r="E1645" s="5" t="s">
        <v>838</v>
      </c>
      <c r="F1645" s="3" t="s">
        <v>839</v>
      </c>
      <c r="G1645" s="3" t="s">
        <v>75</v>
      </c>
      <c r="H1645" s="2" t="s">
        <v>22</v>
      </c>
      <c r="I1645" s="2" t="s">
        <v>4116</v>
      </c>
      <c r="J1645" s="3" t="str">
        <f>HYPERLINK("https://www.boe.es/gazeta/dias/1834/07/18/pdfs/GMD-1834-151.pdf#page=4","Abrir facsímil")</f>
        <v>Abrir facsímil</v>
      </c>
      <c r="K1645" s="3" t="s">
        <v>24</v>
      </c>
    </row>
    <row r="1646" spans="1:11" ht="54" customHeight="1">
      <c r="A1646" s="2" t="s">
        <v>4113</v>
      </c>
      <c r="B1646" s="2" t="s">
        <v>4114</v>
      </c>
      <c r="C1646" s="2" t="s">
        <v>122</v>
      </c>
      <c r="D1646" s="2" t="s">
        <v>18</v>
      </c>
      <c r="E1646" s="5" t="s">
        <v>1773</v>
      </c>
      <c r="F1646" s="3" t="s">
        <v>1774</v>
      </c>
      <c r="G1646" s="3" t="s">
        <v>75</v>
      </c>
      <c r="H1646" s="2" t="s">
        <v>22</v>
      </c>
      <c r="I1646" s="2" t="s">
        <v>4117</v>
      </c>
      <c r="J1646" s="3" t="str">
        <f>HYPERLINK("https://www.boe.es/gazeta/dias/1834/06/28/pdfs/GMD-1834-131.pdf#page=4","Abrir facsímil")</f>
        <v>Abrir facsímil</v>
      </c>
      <c r="K1646" s="3" t="s">
        <v>24</v>
      </c>
    </row>
    <row r="1647" spans="1:11" ht="54" customHeight="1">
      <c r="A1647" s="2" t="s">
        <v>4118</v>
      </c>
      <c r="B1647" s="2" t="s">
        <v>4119</v>
      </c>
      <c r="C1647" s="2" t="s">
        <v>46</v>
      </c>
      <c r="D1647" s="2" t="s">
        <v>101</v>
      </c>
      <c r="E1647" s="5" t="s">
        <v>2260</v>
      </c>
      <c r="F1647" s="3" t="s">
        <v>2261</v>
      </c>
      <c r="G1647" s="3" t="s">
        <v>34</v>
      </c>
      <c r="H1647" s="2" t="s">
        <v>22</v>
      </c>
      <c r="I1647" s="2" t="s">
        <v>4120</v>
      </c>
      <c r="J1647" s="3" t="str">
        <f>HYPERLINK("https://www.boe.es/gazeta/dias/1834/11/13/pdfs/GMD-1834-272.pdf#page=1","Abrir facsímil")</f>
        <v>Abrir facsímil</v>
      </c>
      <c r="K1647" s="3" t="s">
        <v>24</v>
      </c>
    </row>
    <row r="1648" spans="1:11" ht="54" customHeight="1">
      <c r="A1648" s="2" t="s">
        <v>4121</v>
      </c>
      <c r="B1648" s="2" t="s">
        <v>4121</v>
      </c>
      <c r="C1648" s="2" t="s">
        <v>17</v>
      </c>
      <c r="D1648" s="2" t="s">
        <v>18</v>
      </c>
      <c r="E1648" s="5" t="s">
        <v>4105</v>
      </c>
      <c r="F1648" s="3" t="s">
        <v>4106</v>
      </c>
      <c r="G1648" s="3" t="s">
        <v>86</v>
      </c>
      <c r="H1648" s="2" t="s">
        <v>22</v>
      </c>
      <c r="I1648" s="2" t="s">
        <v>4122</v>
      </c>
      <c r="J1648" s="3" t="str">
        <f>HYPERLINK("https://www.boe.es/gazeta/dias/1834/09/02/pdfs/GMD-C-1834-200.pdf#page=2","Abrir facsímil")</f>
        <v>Abrir facsímil</v>
      </c>
      <c r="K1648" s="3" t="s">
        <v>24</v>
      </c>
    </row>
    <row r="1649" spans="1:11" ht="54" customHeight="1">
      <c r="A1649" s="2" t="s">
        <v>4123</v>
      </c>
      <c r="B1649" s="2" t="s">
        <v>4123</v>
      </c>
      <c r="C1649" s="2" t="s">
        <v>17</v>
      </c>
      <c r="D1649" s="2" t="s">
        <v>18</v>
      </c>
      <c r="E1649" s="5" t="s">
        <v>976</v>
      </c>
      <c r="F1649" s="3" t="s">
        <v>1061</v>
      </c>
      <c r="G1649" s="3" t="s">
        <v>86</v>
      </c>
      <c r="H1649" s="2" t="s">
        <v>22</v>
      </c>
      <c r="I1649" s="2" t="s">
        <v>4124</v>
      </c>
      <c r="J1649" s="3" t="str">
        <f>HYPERLINK("https://www.boe.es/gazeta/dias/1834/04/02/pdfs/GMD-C-1834-41.pdf#page=2","Abrir facsímil")</f>
        <v>Abrir facsímil</v>
      </c>
      <c r="K1649" s="3" t="s">
        <v>24</v>
      </c>
    </row>
    <row r="1650" spans="1:11" ht="54" customHeight="1">
      <c r="A1650" s="2" t="s">
        <v>4125</v>
      </c>
      <c r="B1650" s="2" t="s">
        <v>4125</v>
      </c>
      <c r="C1650" s="2" t="s">
        <v>66</v>
      </c>
      <c r="D1650" s="2" t="s">
        <v>67</v>
      </c>
      <c r="E1650" s="5" t="s">
        <v>1025</v>
      </c>
      <c r="F1650" s="3" t="s">
        <v>1026</v>
      </c>
      <c r="G1650" s="3" t="s">
        <v>28</v>
      </c>
      <c r="H1650" s="2" t="s">
        <v>22</v>
      </c>
      <c r="I1650" s="2" t="s">
        <v>4126</v>
      </c>
      <c r="J1650" s="3" t="str">
        <f>HYPERLINK("https://www.boe.es/gazeta/dias/1834/03/01/pdfs/GMD-1834-27.pdf#page=5","Abrir facsímil")</f>
        <v>Abrir facsímil</v>
      </c>
      <c r="K1650" s="3" t="s">
        <v>24</v>
      </c>
    </row>
    <row r="1651" spans="1:11" ht="54" customHeight="1">
      <c r="A1651" s="2" t="s">
        <v>4125</v>
      </c>
      <c r="B1651" s="2" t="s">
        <v>4125</v>
      </c>
      <c r="C1651" s="2" t="s">
        <v>17</v>
      </c>
      <c r="D1651" s="2" t="s">
        <v>18</v>
      </c>
      <c r="E1651" s="5" t="s">
        <v>844</v>
      </c>
      <c r="F1651" s="3" t="s">
        <v>845</v>
      </c>
      <c r="G1651" s="3" t="s">
        <v>21</v>
      </c>
      <c r="H1651" s="2" t="s">
        <v>22</v>
      </c>
      <c r="I1651" s="2" t="s">
        <v>4127</v>
      </c>
      <c r="J1651" s="3" t="str">
        <f>HYPERLINK("https://www.boe.es/gazeta/dias/1834/03/13/pdfs/GMD-1834-32.pdf#page=3","Abrir facsímil")</f>
        <v>Abrir facsímil</v>
      </c>
      <c r="K1651" s="3" t="s">
        <v>24</v>
      </c>
    </row>
    <row r="1652" spans="1:11" ht="54" customHeight="1">
      <c r="A1652" s="2" t="s">
        <v>4125</v>
      </c>
      <c r="B1652" s="2" t="s">
        <v>4125</v>
      </c>
      <c r="C1652" s="2" t="s">
        <v>122</v>
      </c>
      <c r="D1652" s="2" t="s">
        <v>18</v>
      </c>
      <c r="E1652" s="5" t="s">
        <v>844</v>
      </c>
      <c r="F1652" s="3" t="s">
        <v>845</v>
      </c>
      <c r="G1652" s="3" t="s">
        <v>75</v>
      </c>
      <c r="H1652" s="2" t="s">
        <v>22</v>
      </c>
      <c r="I1652" s="2" t="s">
        <v>4128</v>
      </c>
      <c r="J1652" s="3" t="str">
        <f>HYPERLINK("https://www.boe.es/gazeta/dias/1834/03/13/pdfs/GMD-1834-32.pdf#page=4","Abrir facsímil")</f>
        <v>Abrir facsímil</v>
      </c>
      <c r="K1652" s="3" t="s">
        <v>24</v>
      </c>
    </row>
    <row r="1653" spans="1:11" ht="54" customHeight="1">
      <c r="A1653" s="2" t="s">
        <v>4125</v>
      </c>
      <c r="B1653" s="2" t="s">
        <v>4125</v>
      </c>
      <c r="C1653" s="2" t="s">
        <v>90</v>
      </c>
      <c r="D1653" s="2" t="s">
        <v>55</v>
      </c>
      <c r="E1653" s="5" t="s">
        <v>1850</v>
      </c>
      <c r="F1653" s="3" t="s">
        <v>1851</v>
      </c>
      <c r="G1653" s="3" t="s">
        <v>28</v>
      </c>
      <c r="H1653" s="2" t="s">
        <v>22</v>
      </c>
      <c r="I1653" s="2" t="s">
        <v>4129</v>
      </c>
      <c r="J1653" s="3" t="str">
        <f>HYPERLINK("https://www.boe.es/gazeta/dias/1834/02/18/pdfs/GMD-1834-22.pdf#page=5","Abrir facsímil")</f>
        <v>Abrir facsímil</v>
      </c>
      <c r="K1653" s="3" t="s">
        <v>24</v>
      </c>
    </row>
    <row r="1654" spans="1:11" ht="54" customHeight="1">
      <c r="A1654" s="2" t="s">
        <v>4125</v>
      </c>
      <c r="B1654" s="2" t="s">
        <v>4125</v>
      </c>
      <c r="C1654" s="2" t="s">
        <v>66</v>
      </c>
      <c r="D1654" s="2" t="s">
        <v>18</v>
      </c>
      <c r="E1654" s="5" t="s">
        <v>1850</v>
      </c>
      <c r="F1654" s="3" t="s">
        <v>1851</v>
      </c>
      <c r="G1654" s="3" t="s">
        <v>176</v>
      </c>
      <c r="H1654" s="2" t="s">
        <v>22</v>
      </c>
      <c r="I1654" s="2" t="s">
        <v>4130</v>
      </c>
      <c r="J1654" s="3" t="str">
        <f>HYPERLINK("https://www.boe.es/gazeta/dias/1834/02/18/pdfs/GMD-1834-22.pdf#page=6","Abrir facsímil")</f>
        <v>Abrir facsímil</v>
      </c>
      <c r="K1654" s="3" t="s">
        <v>24</v>
      </c>
    </row>
    <row r="1655" spans="1:11" ht="54" customHeight="1">
      <c r="A1655" s="2" t="s">
        <v>4125</v>
      </c>
      <c r="B1655" s="2" t="s">
        <v>4125</v>
      </c>
      <c r="C1655" s="2" t="s">
        <v>17</v>
      </c>
      <c r="D1655" s="2" t="s">
        <v>55</v>
      </c>
      <c r="E1655" s="5" t="s">
        <v>32</v>
      </c>
      <c r="F1655" s="3" t="s">
        <v>33</v>
      </c>
      <c r="G1655" s="3" t="s">
        <v>21</v>
      </c>
      <c r="H1655" s="2" t="s">
        <v>22</v>
      </c>
      <c r="I1655" s="2" t="s">
        <v>4131</v>
      </c>
      <c r="J1655" s="3" t="str">
        <f>HYPERLINK("https://www.boe.es/gazeta/dias/1834/04/23/pdfs/GMD-1834-62.pdf#page=3","Abrir facsímil")</f>
        <v>Abrir facsímil</v>
      </c>
      <c r="K1655" s="3" t="s">
        <v>24</v>
      </c>
    </row>
    <row r="1656" spans="1:11" ht="54" customHeight="1">
      <c r="A1656" s="2" t="s">
        <v>4125</v>
      </c>
      <c r="B1656" s="2" t="s">
        <v>4125</v>
      </c>
      <c r="C1656" s="2" t="s">
        <v>66</v>
      </c>
      <c r="D1656" s="2" t="s">
        <v>67</v>
      </c>
      <c r="E1656" s="5" t="s">
        <v>389</v>
      </c>
      <c r="F1656" s="3" t="s">
        <v>390</v>
      </c>
      <c r="G1656" s="3" t="s">
        <v>75</v>
      </c>
      <c r="H1656" s="2" t="s">
        <v>22</v>
      </c>
      <c r="I1656" s="2" t="s">
        <v>4132</v>
      </c>
      <c r="J1656" s="3" t="str">
        <f>HYPERLINK("https://www.boe.es/gazeta/dias/1834/10/25/pdfs/GMD-1834-253.pdf#page=4","Abrir facsímil")</f>
        <v>Abrir facsímil</v>
      </c>
      <c r="K1656" s="3" t="s">
        <v>24</v>
      </c>
    </row>
    <row r="1657" spans="1:11" ht="54" customHeight="1">
      <c r="A1657" s="2" t="s">
        <v>4125</v>
      </c>
      <c r="B1657" s="2" t="s">
        <v>4125</v>
      </c>
      <c r="C1657" s="2" t="s">
        <v>17</v>
      </c>
      <c r="D1657" s="2" t="s">
        <v>18</v>
      </c>
      <c r="E1657" s="5" t="s">
        <v>286</v>
      </c>
      <c r="F1657" s="3" t="s">
        <v>287</v>
      </c>
      <c r="G1657" s="3" t="s">
        <v>21</v>
      </c>
      <c r="H1657" s="2" t="s">
        <v>22</v>
      </c>
      <c r="I1657" s="2" t="s">
        <v>4133</v>
      </c>
      <c r="J1657" s="3" t="str">
        <f>HYPERLINK("https://www.boe.es/gazeta/dias/1834/08/30/pdfs/GMD-D-1834-196.pdf#page=3","Abrir facsímil")</f>
        <v>Abrir facsímil</v>
      </c>
      <c r="K1657" s="3" t="s">
        <v>24</v>
      </c>
    </row>
    <row r="1658" spans="1:11" ht="54" customHeight="1">
      <c r="A1658" s="2" t="s">
        <v>4134</v>
      </c>
      <c r="B1658" s="2" t="s">
        <v>4135</v>
      </c>
      <c r="C1658" s="2" t="s">
        <v>17</v>
      </c>
      <c r="D1658" s="2" t="s">
        <v>18</v>
      </c>
      <c r="E1658" s="5" t="s">
        <v>976</v>
      </c>
      <c r="F1658" s="3" t="s">
        <v>1061</v>
      </c>
      <c r="G1658" s="3" t="s">
        <v>34</v>
      </c>
      <c r="H1658" s="2" t="s">
        <v>35</v>
      </c>
      <c r="I1658" s="2" t="s">
        <v>4136</v>
      </c>
      <c r="J1658" s="3" t="str">
        <f>HYPERLINK("https://www.boe.es/gazeta/dias/1834/04/02/pdfs/GMD-C-1834-41.pdf#page=1","Abrir facsímil")</f>
        <v>Abrir facsímil</v>
      </c>
      <c r="K1658" s="3" t="s">
        <v>37</v>
      </c>
    </row>
    <row r="1659" spans="1:11" ht="54" customHeight="1">
      <c r="A1659" s="2" t="s">
        <v>4134</v>
      </c>
      <c r="B1659" s="2" t="s">
        <v>4135</v>
      </c>
      <c r="C1659" s="2" t="s">
        <v>66</v>
      </c>
      <c r="D1659" s="2" t="s">
        <v>67</v>
      </c>
      <c r="E1659" s="5" t="s">
        <v>61</v>
      </c>
      <c r="F1659" s="3" t="s">
        <v>205</v>
      </c>
      <c r="G1659" s="3" t="s">
        <v>21</v>
      </c>
      <c r="H1659" s="2" t="s">
        <v>35</v>
      </c>
      <c r="I1659" s="2" t="s">
        <v>4137</v>
      </c>
      <c r="J1659" s="3" t="str">
        <f>HYPERLINK("https://www.boe.es/gazeta/dias/1834/06/08/pdfs/GMD-1834-110.pdf#page=3","Abrir facsímil")</f>
        <v>Abrir facsímil</v>
      </c>
      <c r="K1659" s="3" t="s">
        <v>37</v>
      </c>
    </row>
    <row r="1660" spans="1:11" ht="54" customHeight="1">
      <c r="A1660" s="2" t="s">
        <v>4134</v>
      </c>
      <c r="B1660" s="2" t="s">
        <v>4135</v>
      </c>
      <c r="C1660" s="2" t="s">
        <v>17</v>
      </c>
      <c r="D1660" s="2" t="s">
        <v>18</v>
      </c>
      <c r="E1660" s="5" t="s">
        <v>844</v>
      </c>
      <c r="F1660" s="3" t="s">
        <v>845</v>
      </c>
      <c r="G1660" s="3" t="s">
        <v>21</v>
      </c>
      <c r="H1660" s="2" t="s">
        <v>35</v>
      </c>
      <c r="I1660" s="2" t="s">
        <v>4138</v>
      </c>
      <c r="J1660" s="3" t="str">
        <f>HYPERLINK("https://www.boe.es/gazeta/dias/1834/03/13/pdfs/GMD-1834-32.pdf#page=3","Abrir facsímil")</f>
        <v>Abrir facsímil</v>
      </c>
      <c r="K1660" s="3" t="s">
        <v>37</v>
      </c>
    </row>
    <row r="1661" spans="1:11" ht="54" customHeight="1">
      <c r="A1661" s="2" t="s">
        <v>4134</v>
      </c>
      <c r="B1661" s="2" t="s">
        <v>4135</v>
      </c>
      <c r="C1661" s="2" t="s">
        <v>66</v>
      </c>
      <c r="D1661" s="2" t="s">
        <v>18</v>
      </c>
      <c r="E1661" s="5" t="s">
        <v>32</v>
      </c>
      <c r="F1661" s="3" t="s">
        <v>33</v>
      </c>
      <c r="G1661" s="3" t="s">
        <v>21</v>
      </c>
      <c r="H1661" s="2" t="s">
        <v>35</v>
      </c>
      <c r="I1661" s="2" t="s">
        <v>4139</v>
      </c>
      <c r="J1661" s="3" t="str">
        <f>HYPERLINK("https://www.boe.es/gazeta/dias/1834/04/23/pdfs/GMD-1834-62.pdf#page=3","Abrir facsímil")</f>
        <v>Abrir facsímil</v>
      </c>
      <c r="K1661" s="3" t="s">
        <v>37</v>
      </c>
    </row>
    <row r="1662" spans="1:11" ht="54" customHeight="1">
      <c r="A1662" s="2" t="s">
        <v>4140</v>
      </c>
      <c r="B1662" s="2" t="s">
        <v>4141</v>
      </c>
      <c r="C1662" s="2" t="s">
        <v>17</v>
      </c>
      <c r="D1662" s="2" t="s">
        <v>18</v>
      </c>
      <c r="E1662" s="5" t="s">
        <v>976</v>
      </c>
      <c r="F1662" s="3" t="s">
        <v>1061</v>
      </c>
      <c r="G1662" s="3" t="s">
        <v>34</v>
      </c>
      <c r="H1662" s="2" t="s">
        <v>22</v>
      </c>
      <c r="I1662" s="2" t="s">
        <v>4142</v>
      </c>
      <c r="J1662" s="3" t="str">
        <f>HYPERLINK("https://www.boe.es/gazeta/dias/1834/04/02/pdfs/GMD-C-1834-41.pdf#page=1","Abrir facsímil")</f>
        <v>Abrir facsímil</v>
      </c>
      <c r="K1662" s="3" t="s">
        <v>24</v>
      </c>
    </row>
    <row r="1663" spans="1:11" ht="54" customHeight="1">
      <c r="A1663" s="2" t="s">
        <v>4140</v>
      </c>
      <c r="B1663" s="2" t="s">
        <v>4141</v>
      </c>
      <c r="C1663" s="2" t="s">
        <v>17</v>
      </c>
      <c r="D1663" s="2" t="s">
        <v>18</v>
      </c>
      <c r="E1663" s="5" t="s">
        <v>317</v>
      </c>
      <c r="F1663" s="3" t="s">
        <v>318</v>
      </c>
      <c r="G1663" s="3" t="s">
        <v>34</v>
      </c>
      <c r="H1663" s="2" t="s">
        <v>22</v>
      </c>
      <c r="I1663" s="2" t="s">
        <v>4143</v>
      </c>
      <c r="J1663" s="3" t="str">
        <f>HYPERLINK("https://www.boe.es/gazeta/dias/1834/03/06/pdfs/I00139-00140.pdf#page=1","Abrir facsímil")</f>
        <v>Abrir facsímil</v>
      </c>
      <c r="K1663" s="3" t="s">
        <v>24</v>
      </c>
    </row>
    <row r="1664" spans="1:11" ht="54" customHeight="1">
      <c r="A1664" s="2" t="s">
        <v>4140</v>
      </c>
      <c r="B1664" s="2" t="s">
        <v>4141</v>
      </c>
      <c r="C1664" s="2" t="s">
        <v>17</v>
      </c>
      <c r="D1664" s="2" t="s">
        <v>18</v>
      </c>
      <c r="E1664" s="5" t="s">
        <v>317</v>
      </c>
      <c r="F1664" s="3" t="s">
        <v>318</v>
      </c>
      <c r="G1664" s="3" t="s">
        <v>21</v>
      </c>
      <c r="H1664" s="2" t="s">
        <v>22</v>
      </c>
      <c r="I1664" s="2" t="s">
        <v>4143</v>
      </c>
      <c r="J1664" s="3" t="str">
        <f>HYPERLINK("https://www.boe.es/gazeta/dias/1834/03/06/pdfs/GMD-1834-29.pdf#page=3","Abrir facsímil")</f>
        <v>Abrir facsímil</v>
      </c>
      <c r="K1664" s="3" t="s">
        <v>24</v>
      </c>
    </row>
    <row r="1665" spans="1:11" ht="54" customHeight="1">
      <c r="A1665" s="2" t="s">
        <v>4140</v>
      </c>
      <c r="B1665" s="2" t="s">
        <v>4141</v>
      </c>
      <c r="C1665" s="2" t="s">
        <v>66</v>
      </c>
      <c r="D1665" s="2" t="s">
        <v>67</v>
      </c>
      <c r="E1665" s="5" t="s">
        <v>61</v>
      </c>
      <c r="F1665" s="3" t="s">
        <v>205</v>
      </c>
      <c r="G1665" s="3" t="s">
        <v>21</v>
      </c>
      <c r="H1665" s="2" t="s">
        <v>22</v>
      </c>
      <c r="I1665" s="2" t="s">
        <v>4144</v>
      </c>
      <c r="J1665" s="3" t="str">
        <f>HYPERLINK("https://www.boe.es/gazeta/dias/1834/06/08/pdfs/GMD-1834-110.pdf#page=3","Abrir facsímil")</f>
        <v>Abrir facsímil</v>
      </c>
      <c r="K1665" s="3" t="s">
        <v>24</v>
      </c>
    </row>
    <row r="1666" spans="1:11" ht="54" customHeight="1">
      <c r="A1666" s="2" t="s">
        <v>4140</v>
      </c>
      <c r="B1666" s="2" t="s">
        <v>4141</v>
      </c>
      <c r="C1666" s="2" t="s">
        <v>17</v>
      </c>
      <c r="D1666" s="2" t="s">
        <v>18</v>
      </c>
      <c r="E1666" s="5" t="s">
        <v>844</v>
      </c>
      <c r="F1666" s="3" t="s">
        <v>845</v>
      </c>
      <c r="G1666" s="3" t="s">
        <v>21</v>
      </c>
      <c r="H1666" s="2" t="s">
        <v>22</v>
      </c>
      <c r="I1666" s="2" t="s">
        <v>4145</v>
      </c>
      <c r="J1666" s="3" t="str">
        <f>HYPERLINK("https://www.boe.es/gazeta/dias/1834/03/13/pdfs/GMD-1834-32.pdf#page=3","Abrir facsímil")</f>
        <v>Abrir facsímil</v>
      </c>
      <c r="K1666" s="3" t="s">
        <v>24</v>
      </c>
    </row>
    <row r="1667" spans="1:11" ht="54" customHeight="1">
      <c r="A1667" s="2" t="s">
        <v>4140</v>
      </c>
      <c r="B1667" s="2" t="s">
        <v>4141</v>
      </c>
      <c r="C1667" s="2" t="s">
        <v>66</v>
      </c>
      <c r="D1667" s="2" t="s">
        <v>18</v>
      </c>
      <c r="E1667" s="5" t="s">
        <v>32</v>
      </c>
      <c r="F1667" s="3" t="s">
        <v>33</v>
      </c>
      <c r="G1667" s="3" t="s">
        <v>21</v>
      </c>
      <c r="H1667" s="2" t="s">
        <v>22</v>
      </c>
      <c r="I1667" s="2" t="s">
        <v>4146</v>
      </c>
      <c r="J1667" s="3" t="str">
        <f>HYPERLINK("https://www.boe.es/gazeta/dias/1834/04/23/pdfs/GMD-1834-62.pdf#page=3","Abrir facsímil")</f>
        <v>Abrir facsímil</v>
      </c>
      <c r="K1667" s="3" t="s">
        <v>24</v>
      </c>
    </row>
    <row r="1668" spans="1:11" ht="54" customHeight="1">
      <c r="A1668" s="2" t="s">
        <v>4147</v>
      </c>
      <c r="B1668" s="2" t="s">
        <v>4148</v>
      </c>
      <c r="C1668" s="2" t="s">
        <v>66</v>
      </c>
      <c r="D1668" s="2" t="s">
        <v>67</v>
      </c>
      <c r="E1668" s="5" t="s">
        <v>753</v>
      </c>
      <c r="F1668" s="3" t="s">
        <v>754</v>
      </c>
      <c r="G1668" s="3" t="s">
        <v>34</v>
      </c>
      <c r="H1668" s="2" t="s">
        <v>22</v>
      </c>
      <c r="I1668" s="2" t="s">
        <v>4149</v>
      </c>
      <c r="J1668" s="3" t="str">
        <f>HYPERLINK("https://www.boe.es/gazeta/dias/1834/04/21/pdfs/GMD-1834-60.pdf#page=1","Abrir facsímil")</f>
        <v>Abrir facsímil</v>
      </c>
      <c r="K1668" s="3" t="s">
        <v>24</v>
      </c>
    </row>
    <row r="1669" spans="1:11" ht="54" customHeight="1">
      <c r="A1669" s="2" t="s">
        <v>4150</v>
      </c>
      <c r="B1669" s="2" t="s">
        <v>4150</v>
      </c>
      <c r="C1669" s="2" t="s">
        <v>17</v>
      </c>
      <c r="D1669" s="2" t="s">
        <v>18</v>
      </c>
      <c r="E1669" s="5" t="s">
        <v>492</v>
      </c>
      <c r="F1669" s="3" t="s">
        <v>1672</v>
      </c>
      <c r="G1669" s="3" t="s">
        <v>75</v>
      </c>
      <c r="H1669" s="2" t="s">
        <v>22</v>
      </c>
      <c r="I1669" s="2" t="s">
        <v>4151</v>
      </c>
      <c r="J1669" s="3" t="str">
        <f>HYPERLINK("https://www.boe.es/gazeta/dias/1834/11/21/pdfs/GMD-1834-280.pdf#page=4","Abrir facsímil")</f>
        <v>Abrir facsímil</v>
      </c>
      <c r="K1669" s="3" t="s">
        <v>24</v>
      </c>
    </row>
    <row r="1670" spans="1:11" ht="54" customHeight="1">
      <c r="A1670" s="2" t="s">
        <v>4152</v>
      </c>
      <c r="B1670" s="2" t="s">
        <v>4153</v>
      </c>
      <c r="C1670" s="2" t="s">
        <v>17</v>
      </c>
      <c r="D1670" s="2" t="s">
        <v>18</v>
      </c>
      <c r="E1670" s="5" t="s">
        <v>492</v>
      </c>
      <c r="F1670" s="3" t="s">
        <v>1672</v>
      </c>
      <c r="G1670" s="3" t="s">
        <v>75</v>
      </c>
      <c r="H1670" s="2" t="s">
        <v>35</v>
      </c>
      <c r="I1670" s="2" t="s">
        <v>4154</v>
      </c>
      <c r="J1670" s="3" t="str">
        <f>HYPERLINK("https://www.boe.es/gazeta/dias/1834/11/21/pdfs/GMD-1834-280.pdf#page=4","Abrir facsímil")</f>
        <v>Abrir facsímil</v>
      </c>
      <c r="K1670" s="3" t="s">
        <v>37</v>
      </c>
    </row>
    <row r="1671" spans="1:11" ht="54" customHeight="1">
      <c r="A1671" s="2" t="s">
        <v>4155</v>
      </c>
      <c r="B1671" s="2" t="s">
        <v>4156</v>
      </c>
      <c r="C1671" s="2" t="s">
        <v>122</v>
      </c>
      <c r="D1671" s="2" t="s">
        <v>18</v>
      </c>
      <c r="E1671" s="5" t="s">
        <v>1170</v>
      </c>
      <c r="F1671" s="3" t="s">
        <v>1171</v>
      </c>
      <c r="G1671" s="3" t="s">
        <v>21</v>
      </c>
      <c r="H1671" s="2" t="s">
        <v>22</v>
      </c>
      <c r="I1671" s="2" t="s">
        <v>4157</v>
      </c>
      <c r="J1671" s="3" t="str">
        <f>HYPERLINK("https://www.boe.es/gazeta/dias/1834/01/07/pdfs/GMD-1834-4.pdf#page=3","Abrir facsímil")</f>
        <v>Abrir facsímil</v>
      </c>
      <c r="K1671" s="3" t="s">
        <v>24</v>
      </c>
    </row>
    <row r="1672" spans="1:11" ht="54" customHeight="1">
      <c r="A1672" s="2" t="s">
        <v>4158</v>
      </c>
      <c r="B1672" s="2" t="s">
        <v>4159</v>
      </c>
      <c r="C1672" s="2" t="s">
        <v>17</v>
      </c>
      <c r="D1672" s="2" t="s">
        <v>18</v>
      </c>
      <c r="E1672" s="5" t="s">
        <v>2260</v>
      </c>
      <c r="F1672" s="3" t="s">
        <v>2261</v>
      </c>
      <c r="G1672" s="3" t="s">
        <v>75</v>
      </c>
      <c r="H1672" s="2" t="s">
        <v>22</v>
      </c>
      <c r="I1672" s="2" t="s">
        <v>4160</v>
      </c>
      <c r="J1672" s="3" t="str">
        <f>HYPERLINK("https://www.boe.es/gazeta/dias/1834/11/13/pdfs/GMD-1834-272.pdf#page=4","Abrir facsímil")</f>
        <v>Abrir facsímil</v>
      </c>
      <c r="K1672" s="3" t="s">
        <v>24</v>
      </c>
    </row>
    <row r="1673" spans="1:11" ht="54" customHeight="1">
      <c r="A1673" s="2" t="s">
        <v>4158</v>
      </c>
      <c r="B1673" s="2" t="s">
        <v>4159</v>
      </c>
      <c r="C1673" s="2" t="s">
        <v>17</v>
      </c>
      <c r="D1673" s="2" t="s">
        <v>18</v>
      </c>
      <c r="E1673" s="5" t="s">
        <v>492</v>
      </c>
      <c r="F1673" s="3" t="s">
        <v>1672</v>
      </c>
      <c r="G1673" s="3" t="s">
        <v>75</v>
      </c>
      <c r="H1673" s="2" t="s">
        <v>22</v>
      </c>
      <c r="I1673" s="2" t="s">
        <v>4161</v>
      </c>
      <c r="J1673" s="3" t="str">
        <f>HYPERLINK("https://www.boe.es/gazeta/dias/1834/11/21/pdfs/GMD-1834-280.pdf#page=4","Abrir facsímil")</f>
        <v>Abrir facsímil</v>
      </c>
      <c r="K1673" s="3" t="s">
        <v>24</v>
      </c>
    </row>
    <row r="1674" spans="1:11" ht="54" customHeight="1">
      <c r="A1674" s="2" t="s">
        <v>4162</v>
      </c>
      <c r="B1674" s="2" t="s">
        <v>4162</v>
      </c>
      <c r="C1674" s="2" t="s">
        <v>17</v>
      </c>
      <c r="D1674" s="2" t="s">
        <v>18</v>
      </c>
      <c r="E1674" s="5" t="s">
        <v>2037</v>
      </c>
      <c r="F1674" s="3" t="s">
        <v>2038</v>
      </c>
      <c r="G1674" s="3" t="s">
        <v>21</v>
      </c>
      <c r="H1674" s="2" t="s">
        <v>22</v>
      </c>
      <c r="I1674" s="2" t="s">
        <v>4163</v>
      </c>
      <c r="J1674" s="3" t="str">
        <f>HYPERLINK("https://www.boe.es/gazeta/dias/1834/12/01/pdfs/GMD-1834-290.pdf#page=3","Abrir facsímil")</f>
        <v>Abrir facsímil</v>
      </c>
      <c r="K1674" s="3" t="s">
        <v>24</v>
      </c>
    </row>
    <row r="1675" spans="1:11" ht="54" customHeight="1">
      <c r="A1675" s="2" t="s">
        <v>4162</v>
      </c>
      <c r="B1675" s="2" t="s">
        <v>4162</v>
      </c>
      <c r="C1675" s="2" t="s">
        <v>17</v>
      </c>
      <c r="D1675" s="2" t="s">
        <v>18</v>
      </c>
      <c r="E1675" s="5" t="s">
        <v>441</v>
      </c>
      <c r="F1675" s="3" t="s">
        <v>442</v>
      </c>
      <c r="G1675" s="3" t="s">
        <v>75</v>
      </c>
      <c r="H1675" s="2" t="s">
        <v>22</v>
      </c>
      <c r="I1675" s="2" t="s">
        <v>4164</v>
      </c>
      <c r="J1675" s="3" t="str">
        <f>HYPERLINK("https://www.boe.es/gazeta/dias/1834/11/10/pdfs/GMD-1834-269.pdf#page=4","Abrir facsímil")</f>
        <v>Abrir facsímil</v>
      </c>
      <c r="K1675" s="3" t="s">
        <v>24</v>
      </c>
    </row>
    <row r="1676" spans="1:11" ht="54" customHeight="1">
      <c r="A1676" s="2" t="s">
        <v>4162</v>
      </c>
      <c r="B1676" s="2" t="s">
        <v>4162</v>
      </c>
      <c r="C1676" s="2" t="s">
        <v>17</v>
      </c>
      <c r="D1676" s="2" t="s">
        <v>18</v>
      </c>
      <c r="E1676" s="5" t="s">
        <v>299</v>
      </c>
      <c r="F1676" s="3" t="s">
        <v>300</v>
      </c>
      <c r="G1676" s="3" t="s">
        <v>21</v>
      </c>
      <c r="H1676" s="2" t="s">
        <v>22</v>
      </c>
      <c r="I1676" s="2" t="s">
        <v>4165</v>
      </c>
      <c r="J1676" s="3" t="str">
        <f>HYPERLINK("https://www.boe.es/gazeta/dias/1834/12/12/pdfs/GMD-1834-301.pdf#page=3","Abrir facsímil")</f>
        <v>Abrir facsímil</v>
      </c>
      <c r="K1676" s="3" t="s">
        <v>24</v>
      </c>
    </row>
    <row r="1677" spans="1:11" ht="54" customHeight="1">
      <c r="A1677" s="2" t="s">
        <v>4162</v>
      </c>
      <c r="B1677" s="2" t="s">
        <v>4162</v>
      </c>
      <c r="C1677" s="2" t="s">
        <v>122</v>
      </c>
      <c r="D1677" s="2" t="s">
        <v>18</v>
      </c>
      <c r="E1677" s="5" t="s">
        <v>2087</v>
      </c>
      <c r="F1677" s="3" t="s">
        <v>2088</v>
      </c>
      <c r="G1677" s="3" t="s">
        <v>75</v>
      </c>
      <c r="H1677" s="2" t="s">
        <v>22</v>
      </c>
      <c r="I1677" s="2" t="s">
        <v>4166</v>
      </c>
      <c r="J1677" s="3" t="str">
        <f>HYPERLINK("https://www.boe.es/gazeta/dias/1834/12/14/pdfs/GMD-1834-303.pdf#page=4","Abrir facsímil")</f>
        <v>Abrir facsímil</v>
      </c>
      <c r="K1677" s="3" t="s">
        <v>24</v>
      </c>
    </row>
    <row r="1678" spans="1:11" ht="54" customHeight="1">
      <c r="A1678" s="2" t="s">
        <v>4162</v>
      </c>
      <c r="B1678" s="2" t="s">
        <v>4162</v>
      </c>
      <c r="C1678" s="2" t="s">
        <v>46</v>
      </c>
      <c r="D1678" s="2" t="s">
        <v>101</v>
      </c>
      <c r="E1678" s="5" t="s">
        <v>1234</v>
      </c>
      <c r="F1678" s="3" t="s">
        <v>1455</v>
      </c>
      <c r="G1678" s="3" t="s">
        <v>86</v>
      </c>
      <c r="H1678" s="2" t="s">
        <v>22</v>
      </c>
      <c r="I1678" s="2" t="s">
        <v>4167</v>
      </c>
      <c r="J1678" s="3" t="str">
        <f>HYPERLINK("https://www.boe.es/gazeta/dias/1834/05/15/pdfs/GMD-1834-84.pdf#page=2","Abrir facsímil")</f>
        <v>Abrir facsímil</v>
      </c>
      <c r="K1678" s="3" t="s">
        <v>24</v>
      </c>
    </row>
    <row r="1679" spans="1:11" ht="54" customHeight="1">
      <c r="A1679" s="2" t="s">
        <v>4162</v>
      </c>
      <c r="B1679" s="2" t="s">
        <v>4162</v>
      </c>
      <c r="C1679" s="2" t="s">
        <v>17</v>
      </c>
      <c r="D1679" s="2" t="s">
        <v>18</v>
      </c>
      <c r="E1679" s="5" t="s">
        <v>883</v>
      </c>
      <c r="F1679" s="3" t="s">
        <v>3449</v>
      </c>
      <c r="G1679" s="3" t="s">
        <v>21</v>
      </c>
      <c r="H1679" s="2" t="s">
        <v>22</v>
      </c>
      <c r="I1679" s="2" t="s">
        <v>4168</v>
      </c>
      <c r="J1679" s="3" t="str">
        <f>HYPERLINK("https://www.boe.es/gazeta/dias/1834/11/16/pdfs/GMD-1834-275.pdf#page=3","Abrir facsímil")</f>
        <v>Abrir facsímil</v>
      </c>
      <c r="K1679" s="3" t="s">
        <v>24</v>
      </c>
    </row>
    <row r="1680" spans="1:11" ht="54" customHeight="1">
      <c r="A1680" s="2" t="s">
        <v>4162</v>
      </c>
      <c r="B1680" s="2" t="s">
        <v>4162</v>
      </c>
      <c r="C1680" s="2" t="s">
        <v>17</v>
      </c>
      <c r="D1680" s="2" t="s">
        <v>18</v>
      </c>
      <c r="E1680" s="5" t="s">
        <v>4169</v>
      </c>
      <c r="F1680" s="3" t="s">
        <v>4170</v>
      </c>
      <c r="G1680" s="3" t="s">
        <v>21</v>
      </c>
      <c r="H1680" s="2" t="s">
        <v>22</v>
      </c>
      <c r="I1680" s="2" t="s">
        <v>4171</v>
      </c>
      <c r="J1680" s="3" t="str">
        <f>HYPERLINK("https://www.boe.es/gazeta/dias/1834/11/20/pdfs/GMD-1834-279.pdf#page=3","Abrir facsímil")</f>
        <v>Abrir facsímil</v>
      </c>
      <c r="K1680" s="3" t="s">
        <v>24</v>
      </c>
    </row>
    <row r="1681" spans="1:11" ht="54" customHeight="1">
      <c r="A1681" s="2" t="s">
        <v>4162</v>
      </c>
      <c r="B1681" s="2" t="s">
        <v>4162</v>
      </c>
      <c r="C1681" s="2" t="s">
        <v>17</v>
      </c>
      <c r="D1681" s="2" t="s">
        <v>18</v>
      </c>
      <c r="E1681" s="5" t="s">
        <v>753</v>
      </c>
      <c r="F1681" s="3" t="s">
        <v>754</v>
      </c>
      <c r="G1681" s="3" t="s">
        <v>28</v>
      </c>
      <c r="H1681" s="2" t="s">
        <v>22</v>
      </c>
      <c r="I1681" s="2" t="s">
        <v>4172</v>
      </c>
      <c r="J1681" s="3" t="str">
        <f>HYPERLINK("https://www.boe.es/gazeta/dias/1834/04/21/pdfs/GMD-1834-60.pdf#page=5","Abrir facsímil")</f>
        <v>Abrir facsímil</v>
      </c>
      <c r="K1681" s="3" t="s">
        <v>24</v>
      </c>
    </row>
    <row r="1682" spans="1:11" ht="54" customHeight="1">
      <c r="A1682" s="2" t="s">
        <v>4162</v>
      </c>
      <c r="B1682" s="2" t="s">
        <v>4162</v>
      </c>
      <c r="C1682" s="2" t="s">
        <v>17</v>
      </c>
      <c r="D1682" s="2" t="s">
        <v>55</v>
      </c>
      <c r="E1682" s="5" t="s">
        <v>667</v>
      </c>
      <c r="F1682" s="3" t="s">
        <v>3347</v>
      </c>
      <c r="G1682" s="3" t="s">
        <v>21</v>
      </c>
      <c r="H1682" s="2" t="s">
        <v>22</v>
      </c>
      <c r="I1682" s="2" t="s">
        <v>4173</v>
      </c>
      <c r="J1682" s="3" t="str">
        <f>HYPERLINK("https://www.boe.es/gazeta/dias/1834/11/23/pdfs/GMD-1834-282.pdf#page=3","Abrir facsímil")</f>
        <v>Abrir facsímil</v>
      </c>
      <c r="K1682" s="3" t="s">
        <v>24</v>
      </c>
    </row>
    <row r="1683" spans="1:11" ht="54" customHeight="1">
      <c r="A1683" s="2" t="s">
        <v>4162</v>
      </c>
      <c r="B1683" s="2" t="s">
        <v>4162</v>
      </c>
      <c r="C1683" s="2" t="s">
        <v>122</v>
      </c>
      <c r="D1683" s="2" t="s">
        <v>55</v>
      </c>
      <c r="E1683" s="5" t="s">
        <v>1284</v>
      </c>
      <c r="F1683" s="3" t="s">
        <v>1285</v>
      </c>
      <c r="G1683" s="3" t="s">
        <v>21</v>
      </c>
      <c r="H1683" s="2" t="s">
        <v>22</v>
      </c>
      <c r="I1683" s="2" t="s">
        <v>4174</v>
      </c>
      <c r="J1683" s="3" t="str">
        <f>HYPERLINK("https://www.boe.es/gazeta/dias/1834/11/28/pdfs/GMD-1834-287.pdf#page=3","Abrir facsímil")</f>
        <v>Abrir facsímil</v>
      </c>
      <c r="K1683" s="3" t="s">
        <v>24</v>
      </c>
    </row>
    <row r="1684" spans="1:11" ht="54" customHeight="1">
      <c r="A1684" s="2" t="s">
        <v>4162</v>
      </c>
      <c r="B1684" s="2" t="s">
        <v>4162</v>
      </c>
      <c r="C1684" s="2" t="s">
        <v>122</v>
      </c>
      <c r="D1684" s="2" t="s">
        <v>18</v>
      </c>
      <c r="E1684" s="5" t="s">
        <v>891</v>
      </c>
      <c r="F1684" s="3" t="s">
        <v>892</v>
      </c>
      <c r="G1684" s="3" t="s">
        <v>34</v>
      </c>
      <c r="H1684" s="2" t="s">
        <v>22</v>
      </c>
      <c r="I1684" s="2" t="s">
        <v>4175</v>
      </c>
      <c r="J1684" s="3" t="str">
        <f>HYPERLINK("https://www.boe.es/gazeta/dias/1834/10/31/pdfs/GMD-C-1834-259.pdf#page=1","Abrir facsímil")</f>
        <v>Abrir facsímil</v>
      </c>
      <c r="K1684" s="3" t="s">
        <v>24</v>
      </c>
    </row>
    <row r="1685" spans="1:11" ht="54" customHeight="1">
      <c r="A1685" s="2" t="s">
        <v>4176</v>
      </c>
      <c r="B1685" s="2" t="s">
        <v>4176</v>
      </c>
      <c r="C1685" s="2" t="s">
        <v>66</v>
      </c>
      <c r="D1685" s="2" t="s">
        <v>67</v>
      </c>
      <c r="E1685" s="5" t="s">
        <v>642</v>
      </c>
      <c r="F1685" s="3" t="s">
        <v>1843</v>
      </c>
      <c r="G1685" s="3" t="s">
        <v>21</v>
      </c>
      <c r="H1685" s="2" t="s">
        <v>22</v>
      </c>
      <c r="I1685" s="2" t="s">
        <v>4177</v>
      </c>
      <c r="J1685" s="3" t="str">
        <f>HYPERLINK("https://www.boe.es/gazeta/dias/1834/11/12/pdfs/GMD-1834-271.pdf#page=3","Abrir facsímil")</f>
        <v>Abrir facsímil</v>
      </c>
      <c r="K1685" s="3" t="s">
        <v>24</v>
      </c>
    </row>
    <row r="1686" spans="1:11" ht="54" customHeight="1">
      <c r="A1686" s="2" t="s">
        <v>4178</v>
      </c>
      <c r="B1686" s="2" t="s">
        <v>4179</v>
      </c>
      <c r="C1686" s="2" t="s">
        <v>90</v>
      </c>
      <c r="D1686" s="2" t="s">
        <v>55</v>
      </c>
      <c r="E1686" s="5" t="s">
        <v>426</v>
      </c>
      <c r="F1686" s="3" t="s">
        <v>427</v>
      </c>
      <c r="G1686" s="3" t="s">
        <v>86</v>
      </c>
      <c r="H1686" s="2" t="s">
        <v>35</v>
      </c>
      <c r="I1686" s="2" t="s">
        <v>4180</v>
      </c>
      <c r="J1686" s="3" t="str">
        <f>HYPERLINK("https://www.boe.es/gazeta/dias/1834/10/04/pdfs/GMD-1834-232.pdf#page=2","Abrir facsímil")</f>
        <v>Abrir facsímil</v>
      </c>
      <c r="K1686" s="3" t="s">
        <v>37</v>
      </c>
    </row>
    <row r="1687" spans="1:11" ht="54" customHeight="1">
      <c r="A1687" s="2" t="s">
        <v>4181</v>
      </c>
      <c r="B1687" s="2" t="s">
        <v>4182</v>
      </c>
      <c r="C1687" s="2" t="s">
        <v>90</v>
      </c>
      <c r="D1687" s="2" t="s">
        <v>18</v>
      </c>
      <c r="E1687" s="5" t="s">
        <v>647</v>
      </c>
      <c r="F1687" s="3" t="s">
        <v>648</v>
      </c>
      <c r="G1687" s="3" t="s">
        <v>34</v>
      </c>
      <c r="H1687" s="2" t="s">
        <v>35</v>
      </c>
      <c r="I1687" s="2" t="s">
        <v>4183</v>
      </c>
      <c r="J1687" s="3" t="str">
        <f>HYPERLINK("https://www.boe.es/gazeta/dias/1834/10/21/pdfs/GMD-C-1834-249.pdf#page=1","Abrir facsímil")</f>
        <v>Abrir facsímil</v>
      </c>
      <c r="K1687" s="3" t="s">
        <v>37</v>
      </c>
    </row>
    <row r="1688" spans="1:11" ht="54" customHeight="1">
      <c r="A1688" s="2" t="s">
        <v>4184</v>
      </c>
      <c r="B1688" s="2" t="s">
        <v>4185</v>
      </c>
      <c r="C1688" s="2" t="s">
        <v>90</v>
      </c>
      <c r="D1688" s="2" t="s">
        <v>18</v>
      </c>
      <c r="E1688" s="5" t="s">
        <v>647</v>
      </c>
      <c r="F1688" s="3" t="s">
        <v>648</v>
      </c>
      <c r="G1688" s="3" t="s">
        <v>34</v>
      </c>
      <c r="H1688" s="2" t="s">
        <v>22</v>
      </c>
      <c r="I1688" s="2" t="s">
        <v>4186</v>
      </c>
      <c r="J1688" s="3" t="str">
        <f>HYPERLINK("https://www.boe.es/gazeta/dias/1834/10/21/pdfs/GMD-C-1834-249.pdf#page=1","Abrir facsímil")</f>
        <v>Abrir facsímil</v>
      </c>
      <c r="K1688" s="3" t="s">
        <v>24</v>
      </c>
    </row>
    <row r="1689" spans="1:11" ht="54" customHeight="1">
      <c r="A1689" s="2" t="s">
        <v>4187</v>
      </c>
      <c r="B1689" s="2" t="s">
        <v>4188</v>
      </c>
      <c r="C1689" s="2" t="s">
        <v>90</v>
      </c>
      <c r="D1689" s="2" t="s">
        <v>18</v>
      </c>
      <c r="E1689" s="5" t="s">
        <v>724</v>
      </c>
      <c r="F1689" s="3" t="s">
        <v>725</v>
      </c>
      <c r="G1689" s="3" t="s">
        <v>28</v>
      </c>
      <c r="H1689" s="2" t="s">
        <v>35</v>
      </c>
      <c r="I1689" s="2" t="s">
        <v>4189</v>
      </c>
      <c r="J1689" s="3" t="str">
        <f>HYPERLINK("https://www.boe.es/gazeta/dias/1834/04/25/pdfs/GMD-1834-64.pdf#page=5","Abrir facsímil")</f>
        <v>Abrir facsímil</v>
      </c>
      <c r="K1689" s="3" t="s">
        <v>37</v>
      </c>
    </row>
    <row r="1690" spans="1:11" ht="54" customHeight="1">
      <c r="A1690" s="2" t="s">
        <v>4190</v>
      </c>
      <c r="B1690" s="2" t="s">
        <v>4191</v>
      </c>
      <c r="C1690" s="2" t="s">
        <v>17</v>
      </c>
      <c r="D1690" s="2" t="s">
        <v>18</v>
      </c>
      <c r="E1690" s="5" t="s">
        <v>255</v>
      </c>
      <c r="F1690" s="3" t="s">
        <v>256</v>
      </c>
      <c r="G1690" s="3" t="s">
        <v>34</v>
      </c>
      <c r="H1690" s="2" t="s">
        <v>22</v>
      </c>
      <c r="I1690" s="2" t="s">
        <v>4192</v>
      </c>
      <c r="J1690" s="3" t="str">
        <f>HYPERLINK("https://www.boe.es/gazeta/dias/1834/09/01/pdfs/GMD-C-1834-199.pdf#page=1","Abrir facsímil")</f>
        <v>Abrir facsímil</v>
      </c>
      <c r="K1690" s="3" t="s">
        <v>24</v>
      </c>
    </row>
    <row r="1691" spans="1:11" ht="54" customHeight="1">
      <c r="A1691" s="2" t="s">
        <v>4193</v>
      </c>
      <c r="B1691" s="2" t="s">
        <v>4193</v>
      </c>
      <c r="C1691" s="2" t="s">
        <v>90</v>
      </c>
      <c r="D1691" s="2" t="s">
        <v>55</v>
      </c>
      <c r="E1691" s="5" t="s">
        <v>1883</v>
      </c>
      <c r="F1691" s="3" t="s">
        <v>1884</v>
      </c>
      <c r="G1691" s="3" t="s">
        <v>86</v>
      </c>
      <c r="H1691" s="2" t="s">
        <v>22</v>
      </c>
      <c r="I1691" s="2" t="s">
        <v>4194</v>
      </c>
      <c r="J1691" s="3" t="str">
        <f>HYPERLINK("https://www.boe.es/gazeta/dias/1834/01/11/pdfs/GMD-1834-6.pdf#page=2","Abrir facsímil")</f>
        <v>Abrir facsímil</v>
      </c>
      <c r="K1691" s="3" t="s">
        <v>24</v>
      </c>
    </row>
    <row r="1692" spans="1:11" ht="54" customHeight="1">
      <c r="A1692" s="2" t="s">
        <v>4195</v>
      </c>
      <c r="B1692" s="2" t="s">
        <v>4196</v>
      </c>
      <c r="C1692" s="2" t="s">
        <v>17</v>
      </c>
      <c r="D1692" s="2" t="s">
        <v>18</v>
      </c>
      <c r="E1692" s="5" t="s">
        <v>1125</v>
      </c>
      <c r="F1692" s="3" t="s">
        <v>1126</v>
      </c>
      <c r="G1692" s="3" t="s">
        <v>86</v>
      </c>
      <c r="H1692" s="2" t="s">
        <v>22</v>
      </c>
      <c r="I1692" s="2" t="s">
        <v>4197</v>
      </c>
      <c r="J1692" s="3" t="str">
        <f>HYPERLINK("https://www.boe.es/gazeta/dias/1834/04/17/pdfs/GMD-C-1834-56.pdf#page=2","Abrir facsímil")</f>
        <v>Abrir facsímil</v>
      </c>
      <c r="K1692" s="3" t="s">
        <v>24</v>
      </c>
    </row>
    <row r="1693" spans="1:11" ht="54" customHeight="1">
      <c r="A1693" s="2" t="s">
        <v>4198</v>
      </c>
      <c r="B1693" s="2" t="s">
        <v>4198</v>
      </c>
      <c r="C1693" s="2" t="s">
        <v>46</v>
      </c>
      <c r="D1693" s="2" t="s">
        <v>101</v>
      </c>
      <c r="E1693" s="5" t="s">
        <v>258</v>
      </c>
      <c r="F1693" s="3" t="s">
        <v>259</v>
      </c>
      <c r="G1693" s="3" t="s">
        <v>86</v>
      </c>
      <c r="H1693" s="2" t="s">
        <v>22</v>
      </c>
      <c r="I1693" s="2" t="s">
        <v>4199</v>
      </c>
      <c r="J1693" s="3" t="str">
        <f>HYPERLINK("https://www.boe.es/gazeta/dias/1834/10/09/pdfs/GMD-C-1834-237.pdf#page=2","Abrir facsímil")</f>
        <v>Abrir facsímil</v>
      </c>
      <c r="K1693" s="3" t="s">
        <v>24</v>
      </c>
    </row>
    <row r="1694" spans="1:11" ht="54" customHeight="1">
      <c r="A1694" s="2" t="s">
        <v>4200</v>
      </c>
      <c r="B1694" s="2" t="s">
        <v>4200</v>
      </c>
      <c r="C1694" s="2" t="s">
        <v>17</v>
      </c>
      <c r="D1694" s="2" t="s">
        <v>18</v>
      </c>
      <c r="E1694" s="5" t="s">
        <v>304</v>
      </c>
      <c r="F1694" s="3" t="s">
        <v>305</v>
      </c>
      <c r="G1694" s="3" t="s">
        <v>28</v>
      </c>
      <c r="H1694" s="2" t="s">
        <v>22</v>
      </c>
      <c r="I1694" s="2" t="s">
        <v>4201</v>
      </c>
      <c r="J1694" s="3" t="str">
        <f>HYPERLINK("https://www.boe.es/gazeta/dias/1834/01/21/pdfs/GMD-1834-10.pdf#page=5","Abrir facsímil")</f>
        <v>Abrir facsímil</v>
      </c>
      <c r="K1694" s="3" t="s">
        <v>24</v>
      </c>
    </row>
    <row r="1695" spans="1:11" ht="54" customHeight="1">
      <c r="A1695" s="2" t="s">
        <v>4200</v>
      </c>
      <c r="B1695" s="2" t="s">
        <v>4200</v>
      </c>
      <c r="C1695" s="2" t="s">
        <v>46</v>
      </c>
      <c r="D1695" s="2" t="s">
        <v>18</v>
      </c>
      <c r="E1695" s="5" t="s">
        <v>2302</v>
      </c>
      <c r="F1695" s="3" t="s">
        <v>2303</v>
      </c>
      <c r="G1695" s="3" t="s">
        <v>86</v>
      </c>
      <c r="H1695" s="2" t="s">
        <v>22</v>
      </c>
      <c r="I1695" s="2" t="s">
        <v>4202</v>
      </c>
      <c r="J1695" s="3" t="str">
        <f>HYPERLINK("https://www.boe.es/gazeta/dias/1834/01/25/pdfs/GMD-1834-12.pdf#page=2","Abrir facsímil")</f>
        <v>Abrir facsímil</v>
      </c>
      <c r="K1695" s="3" t="s">
        <v>24</v>
      </c>
    </row>
    <row r="1696" spans="1:11" ht="54" customHeight="1">
      <c r="A1696" s="2" t="s">
        <v>4203</v>
      </c>
      <c r="B1696" s="2" t="s">
        <v>4203</v>
      </c>
      <c r="C1696" s="2" t="s">
        <v>46</v>
      </c>
      <c r="D1696" s="2" t="s">
        <v>101</v>
      </c>
      <c r="E1696" s="5" t="s">
        <v>571</v>
      </c>
      <c r="F1696" s="3" t="s">
        <v>620</v>
      </c>
      <c r="G1696" s="3" t="s">
        <v>21</v>
      </c>
      <c r="H1696" s="2" t="s">
        <v>22</v>
      </c>
      <c r="I1696" s="2" t="s">
        <v>4204</v>
      </c>
      <c r="J1696" s="3" t="str">
        <f>HYPERLINK("https://www.boe.es/gazeta/dias/1834/09/04/pdfs/GMD-C-1834-202.pdf#page=3","Abrir facsímil")</f>
        <v>Abrir facsímil</v>
      </c>
      <c r="K1696" s="3" t="s">
        <v>24</v>
      </c>
    </row>
    <row r="1697" spans="1:11" ht="54" customHeight="1">
      <c r="A1697" s="2" t="s">
        <v>4205</v>
      </c>
      <c r="B1697" s="2" t="s">
        <v>4206</v>
      </c>
      <c r="C1697" s="2" t="s">
        <v>46</v>
      </c>
      <c r="D1697" s="2" t="s">
        <v>101</v>
      </c>
      <c r="E1697" s="5" t="s">
        <v>3699</v>
      </c>
      <c r="F1697" s="3" t="s">
        <v>3700</v>
      </c>
      <c r="G1697" s="3" t="s">
        <v>75</v>
      </c>
      <c r="H1697" s="2" t="s">
        <v>22</v>
      </c>
      <c r="I1697" s="2" t="s">
        <v>4207</v>
      </c>
      <c r="J1697" s="3" t="str">
        <f>HYPERLINK("https://www.boe.es/gazeta/dias/1834/02/06/pdfs/GMD-1834-17.pdf#page=4","Abrir facsímil")</f>
        <v>Abrir facsímil</v>
      </c>
      <c r="K1697" s="3" t="s">
        <v>24</v>
      </c>
    </row>
    <row r="1698" spans="1:11" ht="54" customHeight="1">
      <c r="A1698" s="2" t="s">
        <v>4208</v>
      </c>
      <c r="B1698" s="2" t="s">
        <v>4209</v>
      </c>
      <c r="C1698" s="2" t="s">
        <v>46</v>
      </c>
      <c r="D1698" s="2" t="s">
        <v>18</v>
      </c>
      <c r="E1698" s="5" t="s">
        <v>330</v>
      </c>
      <c r="F1698" s="3" t="s">
        <v>331</v>
      </c>
      <c r="G1698" s="3" t="s">
        <v>21</v>
      </c>
      <c r="H1698" s="2" t="s">
        <v>22</v>
      </c>
      <c r="I1698" s="2" t="s">
        <v>4210</v>
      </c>
      <c r="J1698" s="3" t="str">
        <f>HYPERLINK("https://www.boe.es/gazeta/dias/1834/12/03/pdfs/GMD-1834-292.pdf#page=3","Abrir facsímil")</f>
        <v>Abrir facsímil</v>
      </c>
      <c r="K1698" s="3" t="s">
        <v>24</v>
      </c>
    </row>
    <row r="1699" spans="1:11" ht="54" customHeight="1">
      <c r="A1699" s="2" t="s">
        <v>4211</v>
      </c>
      <c r="B1699" s="2" t="s">
        <v>4211</v>
      </c>
      <c r="C1699" s="2" t="s">
        <v>66</v>
      </c>
      <c r="D1699" s="2" t="s">
        <v>18</v>
      </c>
      <c r="E1699" s="5" t="s">
        <v>73</v>
      </c>
      <c r="F1699" s="3" t="s">
        <v>74</v>
      </c>
      <c r="G1699" s="3" t="s">
        <v>34</v>
      </c>
      <c r="H1699" s="2" t="s">
        <v>22</v>
      </c>
      <c r="I1699" s="2" t="s">
        <v>4212</v>
      </c>
      <c r="J1699" s="3" t="str">
        <f>HYPERLINK("https://www.boe.es/gazeta/dias/1834/11/04/pdfs/GMD-1834-263.pdf#page=1","Abrir facsímil")</f>
        <v>Abrir facsímil</v>
      </c>
      <c r="K1699" s="3" t="s">
        <v>24</v>
      </c>
    </row>
    <row r="1700" spans="1:11" ht="54" customHeight="1">
      <c r="A1700" s="2" t="s">
        <v>4213</v>
      </c>
      <c r="B1700" s="2" t="s">
        <v>4214</v>
      </c>
      <c r="C1700" s="2" t="s">
        <v>17</v>
      </c>
      <c r="D1700" s="2" t="s">
        <v>18</v>
      </c>
      <c r="E1700" s="5" t="s">
        <v>416</v>
      </c>
      <c r="F1700" s="3" t="s">
        <v>417</v>
      </c>
      <c r="G1700" s="3" t="s">
        <v>34</v>
      </c>
      <c r="H1700" s="2" t="s">
        <v>35</v>
      </c>
      <c r="I1700" s="2" t="s">
        <v>4215</v>
      </c>
      <c r="J1700" s="3" t="str">
        <f>HYPERLINK("https://www.boe.es/gazeta/dias/1834/10/02/pdfs/GMD-C-1834-230.pdf#page=1","Abrir facsímil")</f>
        <v>Abrir facsímil</v>
      </c>
      <c r="K1700" s="3" t="s">
        <v>37</v>
      </c>
    </row>
    <row r="1701" spans="1:11" ht="54" customHeight="1">
      <c r="A1701" s="2" t="s">
        <v>4216</v>
      </c>
      <c r="B1701" s="2" t="s">
        <v>4217</v>
      </c>
      <c r="C1701" s="2" t="s">
        <v>17</v>
      </c>
      <c r="D1701" s="2" t="s">
        <v>18</v>
      </c>
      <c r="E1701" s="5" t="s">
        <v>479</v>
      </c>
      <c r="F1701" s="3" t="s">
        <v>2258</v>
      </c>
      <c r="G1701" s="3" t="s">
        <v>21</v>
      </c>
      <c r="H1701" s="2" t="s">
        <v>22</v>
      </c>
      <c r="I1701" s="2" t="s">
        <v>4218</v>
      </c>
      <c r="J1701" s="3" t="str">
        <f>HYPERLINK("https://www.boe.es/gazeta/dias/1834/08/13/pdfs/GMD-C-1834-178.pdf#page=3","Abrir facsímil")</f>
        <v>Abrir facsímil</v>
      </c>
      <c r="K1701" s="3" t="s">
        <v>24</v>
      </c>
    </row>
    <row r="1702" spans="1:11" ht="54" customHeight="1">
      <c r="A1702" s="2" t="s">
        <v>4216</v>
      </c>
      <c r="B1702" s="2" t="s">
        <v>4217</v>
      </c>
      <c r="C1702" s="2" t="s">
        <v>17</v>
      </c>
      <c r="D1702" s="2" t="s">
        <v>18</v>
      </c>
      <c r="E1702" s="5" t="s">
        <v>2398</v>
      </c>
      <c r="F1702" s="3" t="s">
        <v>2399</v>
      </c>
      <c r="G1702" s="3" t="s">
        <v>34</v>
      </c>
      <c r="H1702" s="2" t="s">
        <v>22</v>
      </c>
      <c r="I1702" s="2" t="s">
        <v>4219</v>
      </c>
      <c r="J1702" s="3" t="str">
        <f>HYPERLINK("https://www.boe.es/gazeta/dias/1834/01/16/pdfs/GMD-1834-8.pdf#page=1","Abrir facsímil")</f>
        <v>Abrir facsímil</v>
      </c>
      <c r="K1702" s="3" t="s">
        <v>24</v>
      </c>
    </row>
    <row r="1703" spans="1:11" ht="54" customHeight="1">
      <c r="A1703" s="2" t="s">
        <v>4220</v>
      </c>
      <c r="B1703" s="2" t="s">
        <v>4221</v>
      </c>
      <c r="C1703" s="2" t="s">
        <v>17</v>
      </c>
      <c r="D1703" s="2" t="s">
        <v>18</v>
      </c>
      <c r="E1703" s="5" t="s">
        <v>416</v>
      </c>
      <c r="F1703" s="3" t="s">
        <v>417</v>
      </c>
      <c r="G1703" s="3" t="s">
        <v>34</v>
      </c>
      <c r="H1703" s="2" t="s">
        <v>22</v>
      </c>
      <c r="I1703" s="2" t="s">
        <v>4222</v>
      </c>
      <c r="J1703" s="3" t="str">
        <f>HYPERLINK("https://www.boe.es/gazeta/dias/1834/10/02/pdfs/GMD-C-1834-230.pdf#page=1","Abrir facsímil")</f>
        <v>Abrir facsímil</v>
      </c>
      <c r="K1703" s="3" t="s">
        <v>24</v>
      </c>
    </row>
    <row r="1704" spans="1:11" ht="54" customHeight="1">
      <c r="A1704" s="2" t="s">
        <v>4223</v>
      </c>
      <c r="B1704" s="2" t="s">
        <v>4223</v>
      </c>
      <c r="C1704" s="2" t="s">
        <v>46</v>
      </c>
      <c r="D1704" s="2" t="s">
        <v>101</v>
      </c>
      <c r="E1704" s="5" t="s">
        <v>258</v>
      </c>
      <c r="F1704" s="3" t="s">
        <v>259</v>
      </c>
      <c r="G1704" s="3" t="s">
        <v>86</v>
      </c>
      <c r="H1704" s="2" t="s">
        <v>22</v>
      </c>
      <c r="I1704" s="2" t="s">
        <v>4224</v>
      </c>
      <c r="J1704" s="3" t="str">
        <f>HYPERLINK("https://www.boe.es/gazeta/dias/1834/10/09/pdfs/GMD-C-1834-237.pdf#page=2","Abrir facsímil")</f>
        <v>Abrir facsímil</v>
      </c>
      <c r="K1704" s="3" t="s">
        <v>24</v>
      </c>
    </row>
    <row r="1705" spans="1:11" ht="54" customHeight="1">
      <c r="A1705" s="2" t="s">
        <v>4225</v>
      </c>
      <c r="B1705" s="2" t="s">
        <v>4225</v>
      </c>
      <c r="C1705" s="2" t="s">
        <v>90</v>
      </c>
      <c r="D1705" s="2" t="s">
        <v>18</v>
      </c>
      <c r="E1705" s="5" t="s">
        <v>73</v>
      </c>
      <c r="F1705" s="3" t="s">
        <v>74</v>
      </c>
      <c r="G1705" s="3" t="s">
        <v>34</v>
      </c>
      <c r="H1705" s="2" t="s">
        <v>22</v>
      </c>
      <c r="I1705" s="2" t="s">
        <v>4226</v>
      </c>
      <c r="J1705" s="3" t="str">
        <f>HYPERLINK("https://www.boe.es/gazeta/dias/1834/11/04/pdfs/GMD-1834-263.pdf#page=1","Abrir facsímil")</f>
        <v>Abrir facsímil</v>
      </c>
      <c r="K1705" s="3" t="s">
        <v>24</v>
      </c>
    </row>
    <row r="1706" spans="1:11" ht="54" customHeight="1">
      <c r="A1706" s="2" t="s">
        <v>4227</v>
      </c>
      <c r="B1706" s="2" t="s">
        <v>4228</v>
      </c>
      <c r="C1706" s="2" t="s">
        <v>17</v>
      </c>
      <c r="D1706" s="2" t="s">
        <v>40</v>
      </c>
      <c r="E1706" s="5" t="s">
        <v>84</v>
      </c>
      <c r="F1706" s="3" t="s">
        <v>1223</v>
      </c>
      <c r="G1706" s="3" t="s">
        <v>75</v>
      </c>
      <c r="H1706" s="2" t="s">
        <v>22</v>
      </c>
      <c r="I1706" s="2" t="s">
        <v>4229</v>
      </c>
      <c r="J1706" s="3" t="str">
        <f>HYPERLINK("https://www.boe.es/gazeta/dias/1834/06/07/pdfs/GMD-1834-109.pdf#page=4","Abrir facsímil")</f>
        <v>Abrir facsímil</v>
      </c>
      <c r="K1706" s="3" t="s">
        <v>24</v>
      </c>
    </row>
    <row r="1707" spans="1:11" ht="54" customHeight="1">
      <c r="A1707" s="2" t="s">
        <v>4230</v>
      </c>
      <c r="B1707" s="2" t="s">
        <v>4230</v>
      </c>
      <c r="C1707" s="2" t="s">
        <v>46</v>
      </c>
      <c r="D1707" s="2" t="s">
        <v>55</v>
      </c>
      <c r="E1707" s="5" t="s">
        <v>265</v>
      </c>
      <c r="F1707" s="3" t="s">
        <v>969</v>
      </c>
      <c r="G1707" s="3" t="s">
        <v>86</v>
      </c>
      <c r="H1707" s="2" t="s">
        <v>22</v>
      </c>
      <c r="I1707" s="2" t="s">
        <v>4231</v>
      </c>
      <c r="J1707" s="3" t="str">
        <f>HYPERLINK("https://www.boe.es/gazeta/dias/1834/11/19/pdfs/GMD-1834-278.pdf#page=2","Abrir facsímil")</f>
        <v>Abrir facsímil</v>
      </c>
      <c r="K1707" s="3" t="s">
        <v>24</v>
      </c>
    </row>
    <row r="1708" spans="1:11" ht="54" customHeight="1">
      <c r="A1708" s="2" t="s">
        <v>4232</v>
      </c>
      <c r="B1708" s="2" t="s">
        <v>4232</v>
      </c>
      <c r="C1708" s="2" t="s">
        <v>17</v>
      </c>
      <c r="D1708" s="2" t="s">
        <v>18</v>
      </c>
      <c r="E1708" s="5" t="s">
        <v>939</v>
      </c>
      <c r="F1708" s="3" t="s">
        <v>940</v>
      </c>
      <c r="G1708" s="3" t="s">
        <v>34</v>
      </c>
      <c r="H1708" s="2" t="s">
        <v>22</v>
      </c>
      <c r="I1708" s="2" t="s">
        <v>4233</v>
      </c>
      <c r="J1708" s="3" t="str">
        <f>HYPERLINK("https://www.boe.es/gazeta/dias/1834/06/10/pdfs/GMD-1834-113.pdf#page=1","Abrir facsímil")</f>
        <v>Abrir facsímil</v>
      </c>
      <c r="K1708" s="3" t="s">
        <v>24</v>
      </c>
    </row>
    <row r="1709" spans="1:11" ht="54" customHeight="1">
      <c r="A1709" s="2" t="s">
        <v>4232</v>
      </c>
      <c r="B1709" s="2" t="s">
        <v>4232</v>
      </c>
      <c r="C1709" s="2" t="s">
        <v>90</v>
      </c>
      <c r="D1709" s="2" t="s">
        <v>67</v>
      </c>
      <c r="E1709" s="5" t="s">
        <v>772</v>
      </c>
      <c r="F1709" s="3" t="s">
        <v>773</v>
      </c>
      <c r="G1709" s="3" t="s">
        <v>21</v>
      </c>
      <c r="H1709" s="2" t="s">
        <v>22</v>
      </c>
      <c r="I1709" s="2" t="s">
        <v>4234</v>
      </c>
      <c r="J1709" s="3" t="str">
        <f>HYPERLINK("https://www.boe.es/gazeta/dias/1834/09/18/pdfs/GMD-1834-216.pdf#page=3","Abrir facsímil")</f>
        <v>Abrir facsímil</v>
      </c>
      <c r="K1709" s="3" t="s">
        <v>24</v>
      </c>
    </row>
    <row r="1710" spans="1:11" ht="54" customHeight="1">
      <c r="A1710" s="2" t="s">
        <v>4232</v>
      </c>
      <c r="B1710" s="2" t="s">
        <v>4232</v>
      </c>
      <c r="C1710" s="2" t="s">
        <v>857</v>
      </c>
      <c r="D1710" s="2" t="s">
        <v>55</v>
      </c>
      <c r="E1710" s="5" t="s">
        <v>1572</v>
      </c>
      <c r="F1710" s="3" t="s">
        <v>1573</v>
      </c>
      <c r="G1710" s="3" t="s">
        <v>176</v>
      </c>
      <c r="H1710" s="2" t="s">
        <v>22</v>
      </c>
      <c r="I1710" s="2" t="s">
        <v>4235</v>
      </c>
      <c r="J1710" s="3" t="str">
        <f>HYPERLINK("https://www.boe.es/gazeta/dias/1834/03/20/pdfs/GMD-1834-35.pdf#page=6","Abrir facsímil")</f>
        <v>Abrir facsímil</v>
      </c>
      <c r="K1710" s="3" t="s">
        <v>24</v>
      </c>
    </row>
    <row r="1711" spans="1:11" ht="54" customHeight="1">
      <c r="A1711" s="2" t="s">
        <v>4236</v>
      </c>
      <c r="B1711" s="2" t="s">
        <v>4236</v>
      </c>
      <c r="C1711" s="2" t="s">
        <v>17</v>
      </c>
      <c r="D1711" s="2" t="s">
        <v>18</v>
      </c>
      <c r="E1711" s="5" t="s">
        <v>4237</v>
      </c>
      <c r="F1711" s="3" t="s">
        <v>4238</v>
      </c>
      <c r="G1711" s="3" t="s">
        <v>21</v>
      </c>
      <c r="H1711" s="2" t="s">
        <v>22</v>
      </c>
      <c r="I1711" s="2" t="s">
        <v>4239</v>
      </c>
      <c r="J1711" s="3" t="str">
        <f>HYPERLINK("https://www.boe.es/gazeta/dias/1834/06/17/pdfs/GMD-1834-120.pdf#page=3","Abrir facsímil")</f>
        <v>Abrir facsímil</v>
      </c>
      <c r="K1711" s="3" t="s">
        <v>24</v>
      </c>
    </row>
    <row r="1712" spans="1:11" ht="54" customHeight="1">
      <c r="A1712" s="2" t="s">
        <v>4240</v>
      </c>
      <c r="B1712" s="2" t="s">
        <v>4240</v>
      </c>
      <c r="C1712" s="2" t="s">
        <v>17</v>
      </c>
      <c r="D1712" s="2" t="s">
        <v>18</v>
      </c>
      <c r="E1712" s="5" t="s">
        <v>1025</v>
      </c>
      <c r="F1712" s="3" t="s">
        <v>1026</v>
      </c>
      <c r="G1712" s="3" t="s">
        <v>86</v>
      </c>
      <c r="H1712" s="2" t="s">
        <v>22</v>
      </c>
      <c r="I1712" s="2" t="s">
        <v>4241</v>
      </c>
      <c r="J1712" s="3" t="str">
        <f>HYPERLINK("https://www.boe.es/gazeta/dias/1834/03/01/pdfs/GMD-1834-27.pdf#page=2","Abrir facsímil")</f>
        <v>Abrir facsímil</v>
      </c>
      <c r="K1712" s="3" t="s">
        <v>24</v>
      </c>
    </row>
    <row r="1713" spans="1:11" ht="54" customHeight="1">
      <c r="A1713" s="2" t="s">
        <v>4242</v>
      </c>
      <c r="B1713" s="2" t="s">
        <v>4243</v>
      </c>
      <c r="C1713" s="2" t="s">
        <v>17</v>
      </c>
      <c r="D1713" s="2" t="s">
        <v>18</v>
      </c>
      <c r="E1713" s="5" t="s">
        <v>905</v>
      </c>
      <c r="F1713" s="3" t="s">
        <v>1651</v>
      </c>
      <c r="G1713" s="3" t="s">
        <v>21</v>
      </c>
      <c r="H1713" s="2" t="s">
        <v>22</v>
      </c>
      <c r="I1713" s="2" t="s">
        <v>4244</v>
      </c>
      <c r="J1713" s="3" t="str">
        <f>HYPERLINK("https://www.boe.es/gazeta/dias/1834/08/02/pdfs/GMD-1834-166.pdf#page=3","Abrir facsímil")</f>
        <v>Abrir facsímil</v>
      </c>
      <c r="K1713" s="3" t="s">
        <v>24</v>
      </c>
    </row>
    <row r="1714" spans="1:11" ht="54" customHeight="1">
      <c r="A1714" s="2" t="s">
        <v>4245</v>
      </c>
      <c r="B1714" s="2" t="s">
        <v>4246</v>
      </c>
      <c r="C1714" s="2" t="s">
        <v>46</v>
      </c>
      <c r="D1714" s="2" t="s">
        <v>101</v>
      </c>
      <c r="E1714" s="5" t="s">
        <v>976</v>
      </c>
      <c r="F1714" s="3" t="s">
        <v>1061</v>
      </c>
      <c r="G1714" s="3" t="s">
        <v>34</v>
      </c>
      <c r="H1714" s="2" t="s">
        <v>22</v>
      </c>
      <c r="I1714" s="2" t="s">
        <v>4247</v>
      </c>
      <c r="J1714" s="3" t="str">
        <f>HYPERLINK("https://www.boe.es/gazeta/dias/1834/04/02/pdfs/GMD-C-1834-41.pdf#page=1","Abrir facsímil")</f>
        <v>Abrir facsímil</v>
      </c>
      <c r="K1714" s="3" t="s">
        <v>24</v>
      </c>
    </row>
    <row r="1715" spans="1:11" ht="54" customHeight="1">
      <c r="A1715" s="2" t="s">
        <v>4248</v>
      </c>
      <c r="B1715" s="2" t="s">
        <v>4249</v>
      </c>
      <c r="C1715" s="2" t="s">
        <v>66</v>
      </c>
      <c r="D1715" s="2" t="s">
        <v>67</v>
      </c>
      <c r="E1715" s="5" t="s">
        <v>339</v>
      </c>
      <c r="F1715" s="3" t="s">
        <v>340</v>
      </c>
      <c r="G1715" s="3" t="s">
        <v>21</v>
      </c>
      <c r="H1715" s="2" t="s">
        <v>22</v>
      </c>
      <c r="I1715" s="2" t="s">
        <v>4250</v>
      </c>
      <c r="J1715" s="3" t="str">
        <f>HYPERLINK("https://www.boe.es/gazeta/dias/1834/05/02/pdfs/GMD-1834-71.pdf#page=3","Abrir facsímil")</f>
        <v>Abrir facsímil</v>
      </c>
      <c r="K1715" s="3" t="s">
        <v>24</v>
      </c>
    </row>
    <row r="1716" spans="1:11" ht="54" customHeight="1">
      <c r="A1716" s="2" t="s">
        <v>4251</v>
      </c>
      <c r="B1716" s="2" t="s">
        <v>4251</v>
      </c>
      <c r="C1716" s="2" t="s">
        <v>17</v>
      </c>
      <c r="D1716" s="2" t="s">
        <v>55</v>
      </c>
      <c r="E1716" s="5" t="s">
        <v>1025</v>
      </c>
      <c r="F1716" s="3" t="s">
        <v>1026</v>
      </c>
      <c r="G1716" s="3" t="s">
        <v>86</v>
      </c>
      <c r="H1716" s="2" t="s">
        <v>22</v>
      </c>
      <c r="I1716" s="2" t="s">
        <v>4252</v>
      </c>
      <c r="J1716" s="3" t="str">
        <f>HYPERLINK("https://www.boe.es/gazeta/dias/1834/03/01/pdfs/GMD-1834-27.pdf#page=2","Abrir facsímil")</f>
        <v>Abrir facsímil</v>
      </c>
      <c r="K1716" s="3" t="s">
        <v>24</v>
      </c>
    </row>
    <row r="1717" spans="1:11" ht="54" customHeight="1">
      <c r="A1717" s="2" t="s">
        <v>4251</v>
      </c>
      <c r="B1717" s="2" t="s">
        <v>4251</v>
      </c>
      <c r="C1717" s="2" t="s">
        <v>17</v>
      </c>
      <c r="D1717" s="2" t="s">
        <v>55</v>
      </c>
      <c r="E1717" s="5" t="s">
        <v>1999</v>
      </c>
      <c r="F1717" s="3" t="s">
        <v>2000</v>
      </c>
      <c r="G1717" s="3" t="s">
        <v>21</v>
      </c>
      <c r="H1717" s="2" t="s">
        <v>22</v>
      </c>
      <c r="I1717" s="2" t="s">
        <v>4253</v>
      </c>
      <c r="J1717" s="3" t="str">
        <f>HYPERLINK("https://www.boe.es/gazeta/dias/1834/04/09/pdfs/GMD-1834-48.pdf#page=3","Abrir facsímil")</f>
        <v>Abrir facsímil</v>
      </c>
      <c r="K1717" s="3" t="s">
        <v>24</v>
      </c>
    </row>
    <row r="1718" spans="1:11" ht="54" customHeight="1">
      <c r="A1718" s="2" t="s">
        <v>4251</v>
      </c>
      <c r="B1718" s="2" t="s">
        <v>4251</v>
      </c>
      <c r="C1718" s="2" t="s">
        <v>122</v>
      </c>
      <c r="D1718" s="2" t="s">
        <v>18</v>
      </c>
      <c r="E1718" s="5" t="s">
        <v>899</v>
      </c>
      <c r="F1718" s="3" t="s">
        <v>900</v>
      </c>
      <c r="G1718" s="3" t="s">
        <v>75</v>
      </c>
      <c r="H1718" s="2" t="s">
        <v>22</v>
      </c>
      <c r="I1718" s="2" t="s">
        <v>4254</v>
      </c>
      <c r="J1718" s="3" t="str">
        <f>HYPERLINK("https://www.boe.es/gazeta/dias/1834/01/30/pdfs/GMD-1834-14.pdf#page=4","Abrir facsímil")</f>
        <v>Abrir facsímil</v>
      </c>
      <c r="K1718" s="3" t="s">
        <v>24</v>
      </c>
    </row>
    <row r="1719" spans="1:11" ht="54" customHeight="1">
      <c r="A1719" s="2" t="s">
        <v>4255</v>
      </c>
      <c r="B1719" s="2" t="s">
        <v>4256</v>
      </c>
      <c r="C1719" s="2" t="s">
        <v>46</v>
      </c>
      <c r="D1719" s="2" t="s">
        <v>101</v>
      </c>
      <c r="E1719" s="5" t="s">
        <v>3699</v>
      </c>
      <c r="F1719" s="3" t="s">
        <v>3700</v>
      </c>
      <c r="G1719" s="3" t="s">
        <v>34</v>
      </c>
      <c r="H1719" s="2" t="s">
        <v>22</v>
      </c>
      <c r="I1719" s="2" t="s">
        <v>4257</v>
      </c>
      <c r="J1719" s="3" t="str">
        <f>HYPERLINK("https://www.boe.es/gazeta/dias/1834/02/06/pdfs/I00074-00074.pdf#page=1","Abrir facsímil")</f>
        <v>Abrir facsímil</v>
      </c>
      <c r="K1719" s="3" t="s">
        <v>24</v>
      </c>
    </row>
    <row r="1720" spans="1:11" ht="54" customHeight="1">
      <c r="A1720" s="2" t="s">
        <v>4258</v>
      </c>
      <c r="B1720" s="2" t="s">
        <v>4258</v>
      </c>
      <c r="C1720" s="2" t="s">
        <v>17</v>
      </c>
      <c r="D1720" s="2" t="s">
        <v>18</v>
      </c>
      <c r="E1720" s="5" t="s">
        <v>84</v>
      </c>
      <c r="F1720" s="3" t="s">
        <v>1223</v>
      </c>
      <c r="G1720" s="3" t="s">
        <v>21</v>
      </c>
      <c r="H1720" s="2" t="s">
        <v>22</v>
      </c>
      <c r="I1720" s="2" t="s">
        <v>4259</v>
      </c>
      <c r="J1720" s="3" t="str">
        <f>HYPERLINK("https://www.boe.es/gazeta/dias/1834/06/07/pdfs/GMD-1834-109.pdf#page=3","Abrir facsímil")</f>
        <v>Abrir facsímil</v>
      </c>
      <c r="K1720" s="3" t="s">
        <v>24</v>
      </c>
    </row>
    <row r="1721" spans="1:11" ht="54" customHeight="1">
      <c r="A1721" s="2" t="s">
        <v>4258</v>
      </c>
      <c r="B1721" s="2" t="s">
        <v>4258</v>
      </c>
      <c r="C1721" s="2" t="s">
        <v>17</v>
      </c>
      <c r="D1721" s="2" t="s">
        <v>18</v>
      </c>
      <c r="E1721" s="5" t="s">
        <v>138</v>
      </c>
      <c r="F1721" s="3" t="s">
        <v>139</v>
      </c>
      <c r="G1721" s="3" t="s">
        <v>86</v>
      </c>
      <c r="H1721" s="2" t="s">
        <v>22</v>
      </c>
      <c r="I1721" s="2" t="s">
        <v>4260</v>
      </c>
      <c r="J1721" s="3" t="str">
        <f>HYPERLINK("https://www.boe.es/gazeta/dias/1834/05/17/pdfs/GMD-1834-86.pdf#page=2","Abrir facsímil")</f>
        <v>Abrir facsímil</v>
      </c>
      <c r="K1721" s="3" t="s">
        <v>24</v>
      </c>
    </row>
    <row r="1722" spans="1:11" ht="54" customHeight="1">
      <c r="A1722" s="2" t="s">
        <v>4258</v>
      </c>
      <c r="B1722" s="2" t="s">
        <v>4258</v>
      </c>
      <c r="C1722" s="2" t="s">
        <v>17</v>
      </c>
      <c r="D1722" s="2" t="s">
        <v>55</v>
      </c>
      <c r="E1722" s="5" t="s">
        <v>3952</v>
      </c>
      <c r="F1722" s="3" t="s">
        <v>3953</v>
      </c>
      <c r="G1722" s="3" t="s">
        <v>21</v>
      </c>
      <c r="H1722" s="2" t="s">
        <v>22</v>
      </c>
      <c r="I1722" s="2" t="s">
        <v>4261</v>
      </c>
      <c r="J1722" s="3" t="str">
        <f>HYPERLINK("https://www.boe.es/gazeta/dias/1834/02/22/pdfs/GMD-1834-24.pdf#page=3","Abrir facsímil")</f>
        <v>Abrir facsímil</v>
      </c>
      <c r="K1722" s="3" t="s">
        <v>24</v>
      </c>
    </row>
    <row r="1723" spans="1:11" ht="54" customHeight="1">
      <c r="A1723" s="2" t="s">
        <v>4262</v>
      </c>
      <c r="B1723" s="2" t="s">
        <v>4262</v>
      </c>
      <c r="C1723" s="2" t="s">
        <v>90</v>
      </c>
      <c r="D1723" s="2" t="s">
        <v>67</v>
      </c>
      <c r="E1723" s="5" t="s">
        <v>563</v>
      </c>
      <c r="F1723" s="3" t="s">
        <v>564</v>
      </c>
      <c r="G1723" s="3" t="s">
        <v>28</v>
      </c>
      <c r="H1723" s="2" t="s">
        <v>22</v>
      </c>
      <c r="I1723" s="2" t="s">
        <v>4263</v>
      </c>
      <c r="J1723" s="3" t="str">
        <f>HYPERLINK("https://www.boe.es/gazeta/dias/1834/04/19/pdfs/GMD-1834-58.pdf#page=5","Abrir facsímil")</f>
        <v>Abrir facsímil</v>
      </c>
      <c r="K1723" s="3" t="s">
        <v>24</v>
      </c>
    </row>
    <row r="1724" spans="1:11" ht="54" customHeight="1">
      <c r="A1724" s="2" t="s">
        <v>4264</v>
      </c>
      <c r="B1724" s="2" t="s">
        <v>4265</v>
      </c>
      <c r="C1724" s="2" t="s">
        <v>66</v>
      </c>
      <c r="D1724" s="2" t="s">
        <v>67</v>
      </c>
      <c r="E1724" s="5" t="s">
        <v>563</v>
      </c>
      <c r="F1724" s="3" t="s">
        <v>564</v>
      </c>
      <c r="G1724" s="3" t="s">
        <v>28</v>
      </c>
      <c r="H1724" s="2" t="s">
        <v>22</v>
      </c>
      <c r="I1724" s="2" t="s">
        <v>4266</v>
      </c>
      <c r="J1724" s="3" t="str">
        <f>HYPERLINK("https://www.boe.es/gazeta/dias/1834/04/19/pdfs/GMD-1834-58.pdf#page=5","Abrir facsímil")</f>
        <v>Abrir facsímil</v>
      </c>
      <c r="K1724" s="3" t="s">
        <v>24</v>
      </c>
    </row>
    <row r="1725" spans="1:11" ht="54" customHeight="1">
      <c r="A1725" s="2" t="s">
        <v>4267</v>
      </c>
      <c r="B1725" s="2" t="s">
        <v>4268</v>
      </c>
      <c r="C1725" s="2" t="s">
        <v>66</v>
      </c>
      <c r="D1725" s="2" t="s">
        <v>67</v>
      </c>
      <c r="E1725" s="5" t="s">
        <v>1883</v>
      </c>
      <c r="F1725" s="3" t="s">
        <v>1884</v>
      </c>
      <c r="G1725" s="3" t="s">
        <v>21</v>
      </c>
      <c r="H1725" s="2" t="s">
        <v>35</v>
      </c>
      <c r="I1725" s="2" t="s">
        <v>4269</v>
      </c>
      <c r="J1725" s="3" t="str">
        <f>HYPERLINK("https://www.boe.es/gazeta/dias/1834/01/11/pdfs/GMD-1834-6.pdf#page=3","Abrir facsímil")</f>
        <v>Abrir facsímil</v>
      </c>
      <c r="K1725" s="3" t="s">
        <v>37</v>
      </c>
    </row>
    <row r="1726" spans="1:11" ht="54" customHeight="1">
      <c r="A1726" s="2" t="s">
        <v>4270</v>
      </c>
      <c r="B1726" s="2" t="s">
        <v>4270</v>
      </c>
      <c r="C1726" s="2" t="s">
        <v>17</v>
      </c>
      <c r="D1726" s="2" t="s">
        <v>18</v>
      </c>
      <c r="E1726" s="5" t="s">
        <v>237</v>
      </c>
      <c r="F1726" s="3" t="s">
        <v>238</v>
      </c>
      <c r="G1726" s="3" t="s">
        <v>21</v>
      </c>
      <c r="H1726" s="2" t="s">
        <v>22</v>
      </c>
      <c r="I1726" s="2" t="s">
        <v>4271</v>
      </c>
      <c r="J1726" s="3" t="str">
        <f>HYPERLINK("https://www.boe.es/gazeta/dias/1834/08/15/pdfs/GMD-C-1834-180.pdf#page=3","Abrir facsímil")</f>
        <v>Abrir facsímil</v>
      </c>
      <c r="K1726" s="3" t="s">
        <v>24</v>
      </c>
    </row>
    <row r="1727" spans="1:11" ht="54" customHeight="1">
      <c r="A1727" s="2" t="s">
        <v>4272</v>
      </c>
      <c r="B1727" s="2" t="s">
        <v>4272</v>
      </c>
      <c r="C1727" s="2" t="s">
        <v>17</v>
      </c>
      <c r="D1727" s="2" t="s">
        <v>18</v>
      </c>
      <c r="E1727" s="5" t="s">
        <v>378</v>
      </c>
      <c r="F1727" s="3" t="s">
        <v>888</v>
      </c>
      <c r="G1727" s="3" t="s">
        <v>34</v>
      </c>
      <c r="H1727" s="2" t="s">
        <v>22</v>
      </c>
      <c r="I1727" s="2" t="s">
        <v>4273</v>
      </c>
      <c r="J1727" s="3" t="str">
        <f>HYPERLINK("https://www.boe.es/gazeta/dias/1834/09/24/pdfs/GMD-C-1834-222.pdf#page=1","Abrir facsímil")</f>
        <v>Abrir facsímil</v>
      </c>
      <c r="K1727" s="3" t="s">
        <v>24</v>
      </c>
    </row>
    <row r="1728" spans="1:11" ht="54" customHeight="1">
      <c r="A1728" s="2" t="s">
        <v>4274</v>
      </c>
      <c r="B1728" s="2" t="s">
        <v>4275</v>
      </c>
      <c r="C1728" s="2" t="s">
        <v>17</v>
      </c>
      <c r="D1728" s="2" t="s">
        <v>18</v>
      </c>
      <c r="E1728" s="5" t="s">
        <v>2107</v>
      </c>
      <c r="F1728" s="3" t="s">
        <v>2108</v>
      </c>
      <c r="G1728" s="3" t="s">
        <v>75</v>
      </c>
      <c r="H1728" s="2" t="s">
        <v>22</v>
      </c>
      <c r="I1728" s="2" t="s">
        <v>4276</v>
      </c>
      <c r="J1728" s="3" t="str">
        <f>HYPERLINK("https://www.boe.es/gazeta/dias/1834/08/24/pdfs/GMD-1834-190.pdf#page=4","Abrir facsímil")</f>
        <v>Abrir facsímil</v>
      </c>
      <c r="K1728" s="3" t="s">
        <v>24</v>
      </c>
    </row>
    <row r="1729" spans="1:11" ht="54" customHeight="1">
      <c r="A1729" s="2" t="s">
        <v>4277</v>
      </c>
      <c r="B1729" s="2" t="s">
        <v>4277</v>
      </c>
      <c r="C1729" s="2" t="s">
        <v>17</v>
      </c>
      <c r="D1729" s="2" t="s">
        <v>18</v>
      </c>
      <c r="E1729" s="5" t="s">
        <v>785</v>
      </c>
      <c r="F1729" s="3" t="s">
        <v>786</v>
      </c>
      <c r="G1729" s="3" t="s">
        <v>21</v>
      </c>
      <c r="H1729" s="2" t="s">
        <v>22</v>
      </c>
      <c r="I1729" s="2" t="s">
        <v>4278</v>
      </c>
      <c r="J1729" s="3" t="str">
        <f>HYPERLINK("https://www.boe.es/gazeta/dias/1834/02/11/pdfs/GMD-1834-19.pdf#page=3","Abrir facsímil")</f>
        <v>Abrir facsímil</v>
      </c>
      <c r="K1729" s="3" t="s">
        <v>24</v>
      </c>
    </row>
    <row r="1730" spans="1:11" ht="54" customHeight="1">
      <c r="A1730" s="2" t="s">
        <v>4279</v>
      </c>
      <c r="B1730" s="2" t="s">
        <v>4279</v>
      </c>
      <c r="C1730" s="2" t="s">
        <v>90</v>
      </c>
      <c r="D1730" s="2" t="s">
        <v>18</v>
      </c>
      <c r="E1730" s="5" t="s">
        <v>448</v>
      </c>
      <c r="F1730" s="3" t="s">
        <v>449</v>
      </c>
      <c r="G1730" s="3" t="s">
        <v>34</v>
      </c>
      <c r="H1730" s="2" t="s">
        <v>22</v>
      </c>
      <c r="I1730" s="2" t="s">
        <v>4280</v>
      </c>
      <c r="J1730" s="3" t="str">
        <f>HYPERLINK("https://www.boe.es/gazeta/dias/1834/10/14/pdfs/GMD-C-1834-242.pdf#page=1","Abrir facsímil")</f>
        <v>Abrir facsímil</v>
      </c>
      <c r="K1730" s="3" t="s">
        <v>24</v>
      </c>
    </row>
    <row r="1731" spans="1:11" ht="54" customHeight="1">
      <c r="A1731" s="2" t="s">
        <v>4281</v>
      </c>
      <c r="B1731" s="2" t="s">
        <v>4281</v>
      </c>
      <c r="C1731" s="2" t="s">
        <v>17</v>
      </c>
      <c r="D1731" s="2" t="s">
        <v>18</v>
      </c>
      <c r="E1731" s="5" t="s">
        <v>3066</v>
      </c>
      <c r="F1731" s="3" t="s">
        <v>3067</v>
      </c>
      <c r="G1731" s="3" t="s">
        <v>34</v>
      </c>
      <c r="H1731" s="2" t="s">
        <v>22</v>
      </c>
      <c r="I1731" s="2" t="s">
        <v>4282</v>
      </c>
      <c r="J1731" s="3" t="str">
        <f>HYPERLINK("https://www.boe.es/gazeta/dias/1834/08/03/pdfs/GMD-C-1834-167.pdf#page=1","Abrir facsímil")</f>
        <v>Abrir facsímil</v>
      </c>
      <c r="K1731" s="3" t="s">
        <v>24</v>
      </c>
    </row>
    <row r="1732" spans="1:11" ht="54" customHeight="1">
      <c r="A1732" s="2" t="s">
        <v>4283</v>
      </c>
      <c r="B1732" s="2" t="s">
        <v>4283</v>
      </c>
      <c r="C1732" s="2" t="s">
        <v>17</v>
      </c>
      <c r="D1732" s="2" t="s">
        <v>18</v>
      </c>
      <c r="E1732" s="5" t="s">
        <v>47</v>
      </c>
      <c r="F1732" s="3" t="s">
        <v>1466</v>
      </c>
      <c r="G1732" s="3" t="s">
        <v>86</v>
      </c>
      <c r="H1732" s="2" t="s">
        <v>22</v>
      </c>
      <c r="I1732" s="2" t="s">
        <v>4284</v>
      </c>
      <c r="J1732" s="3" t="str">
        <f>HYPERLINK("https://www.boe.es/gazeta/dias/1834/09/05/pdfs/GMD-1834-203.pdf#page=2","Abrir facsímil")</f>
        <v>Abrir facsímil</v>
      </c>
      <c r="K1732" s="3" t="s">
        <v>24</v>
      </c>
    </row>
    <row r="1733" spans="1:11" ht="54" customHeight="1">
      <c r="A1733" s="2" t="s">
        <v>4285</v>
      </c>
      <c r="B1733" s="2" t="s">
        <v>4285</v>
      </c>
      <c r="C1733" s="2" t="s">
        <v>17</v>
      </c>
      <c r="D1733" s="2" t="s">
        <v>18</v>
      </c>
      <c r="E1733" s="5" t="s">
        <v>1186</v>
      </c>
      <c r="F1733" s="3" t="s">
        <v>4286</v>
      </c>
      <c r="G1733" s="3" t="s">
        <v>86</v>
      </c>
      <c r="H1733" s="2" t="s">
        <v>22</v>
      </c>
      <c r="I1733" s="2" t="s">
        <v>4287</v>
      </c>
      <c r="J1733" s="3" t="str">
        <f>HYPERLINK("https://www.boe.es/gazeta/dias/1834/08/14/pdfs/GMD-C-1834-179.pdf#page=2","Abrir facsímil")</f>
        <v>Abrir facsímil</v>
      </c>
      <c r="K1733" s="3" t="s">
        <v>24</v>
      </c>
    </row>
    <row r="1734" spans="1:11" ht="54" customHeight="1">
      <c r="A1734" s="2" t="s">
        <v>4288</v>
      </c>
      <c r="B1734" s="2" t="s">
        <v>4288</v>
      </c>
      <c r="C1734" s="2" t="s">
        <v>46</v>
      </c>
      <c r="D1734" s="2" t="s">
        <v>18</v>
      </c>
      <c r="E1734" s="5" t="s">
        <v>1674</v>
      </c>
      <c r="F1734" s="3" t="s">
        <v>1675</v>
      </c>
      <c r="G1734" s="3" t="s">
        <v>75</v>
      </c>
      <c r="H1734" s="2" t="s">
        <v>22</v>
      </c>
      <c r="I1734" s="2" t="s">
        <v>4289</v>
      </c>
      <c r="J1734" s="3" t="str">
        <f>HYPERLINK("https://www.boe.es/gazeta/dias/1834/07/25/pdfs/GMD-1834-158.pdf#page=4","Abrir facsímil")</f>
        <v>Abrir facsímil</v>
      </c>
      <c r="K1734" s="3" t="s">
        <v>24</v>
      </c>
    </row>
    <row r="1735" spans="1:11" ht="54" customHeight="1">
      <c r="A1735" s="2" t="s">
        <v>4290</v>
      </c>
      <c r="B1735" s="2" t="s">
        <v>4291</v>
      </c>
      <c r="C1735" s="2" t="s">
        <v>90</v>
      </c>
      <c r="D1735" s="2" t="s">
        <v>101</v>
      </c>
      <c r="E1735" s="5" t="s">
        <v>375</v>
      </c>
      <c r="F1735" s="3" t="s">
        <v>376</v>
      </c>
      <c r="G1735" s="3" t="s">
        <v>34</v>
      </c>
      <c r="H1735" s="2" t="s">
        <v>22</v>
      </c>
      <c r="I1735" s="2" t="s">
        <v>4292</v>
      </c>
      <c r="J1735" s="3" t="str">
        <f>HYPERLINK("https://www.boe.es/gazeta/dias/1834/08/21/pdfs/GMD-1834-187.pdf#page=1","Abrir facsímil")</f>
        <v>Abrir facsímil</v>
      </c>
      <c r="K1735" s="3" t="s">
        <v>24</v>
      </c>
    </row>
    <row r="1736" spans="1:11" ht="54" customHeight="1">
      <c r="A1736" s="2" t="s">
        <v>4293</v>
      </c>
      <c r="B1736" s="2" t="s">
        <v>4293</v>
      </c>
      <c r="C1736" s="2" t="s">
        <v>46</v>
      </c>
      <c r="D1736" s="2" t="s">
        <v>101</v>
      </c>
      <c r="E1736" s="5" t="s">
        <v>3952</v>
      </c>
      <c r="F1736" s="3" t="s">
        <v>3953</v>
      </c>
      <c r="G1736" s="3" t="s">
        <v>34</v>
      </c>
      <c r="H1736" s="2" t="s">
        <v>22</v>
      </c>
      <c r="I1736" s="2" t="s">
        <v>4294</v>
      </c>
      <c r="J1736" s="3" t="str">
        <f>HYPERLINK("https://www.boe.es/gazeta/dias/1834/02/22/pdfs/GMD-1834-24.pdf#page=1","Abrir facsímil")</f>
        <v>Abrir facsímil</v>
      </c>
      <c r="K1736" s="3" t="s">
        <v>24</v>
      </c>
    </row>
    <row r="1737" spans="1:11" ht="54" customHeight="1">
      <c r="A1737" s="2" t="s">
        <v>4295</v>
      </c>
      <c r="B1737" s="2" t="s">
        <v>4295</v>
      </c>
      <c r="C1737" s="2" t="s">
        <v>17</v>
      </c>
      <c r="D1737" s="2" t="s">
        <v>40</v>
      </c>
      <c r="E1737" s="5" t="s">
        <v>803</v>
      </c>
      <c r="F1737" s="3" t="s">
        <v>804</v>
      </c>
      <c r="G1737" s="3" t="s">
        <v>75</v>
      </c>
      <c r="H1737" s="2" t="s">
        <v>22</v>
      </c>
      <c r="I1737" s="2" t="s">
        <v>4296</v>
      </c>
      <c r="J1737" s="3" t="str">
        <f>HYPERLINK("https://www.boe.es/gazeta/dias/1834/03/29/pdfs/GMD-1834-39.pdf#page=4","Abrir facsímil")</f>
        <v>Abrir facsímil</v>
      </c>
      <c r="K1737" s="3" t="s">
        <v>24</v>
      </c>
    </row>
    <row r="1738" spans="1:11" ht="54" customHeight="1">
      <c r="A1738" s="2" t="s">
        <v>4297</v>
      </c>
      <c r="B1738" s="2" t="s">
        <v>4297</v>
      </c>
      <c r="C1738" s="2" t="s">
        <v>66</v>
      </c>
      <c r="D1738" s="2" t="s">
        <v>67</v>
      </c>
      <c r="E1738" s="5" t="s">
        <v>1862</v>
      </c>
      <c r="F1738" s="3" t="s">
        <v>1863</v>
      </c>
      <c r="G1738" s="3" t="s">
        <v>86</v>
      </c>
      <c r="H1738" s="2" t="s">
        <v>22</v>
      </c>
      <c r="I1738" s="2" t="s">
        <v>4298</v>
      </c>
      <c r="J1738" s="3" t="str">
        <f>HYPERLINK("https://www.boe.es/gazeta/dias/1834/02/04/pdfs/GMD-1834-16.pdf#page=2","Abrir facsímil")</f>
        <v>Abrir facsímil</v>
      </c>
      <c r="K1738" s="3" t="s">
        <v>24</v>
      </c>
    </row>
    <row r="1739" spans="1:11" ht="54" customHeight="1">
      <c r="A1739" s="2" t="s">
        <v>4299</v>
      </c>
      <c r="B1739" s="2" t="s">
        <v>4299</v>
      </c>
      <c r="C1739" s="2" t="s">
        <v>17</v>
      </c>
      <c r="D1739" s="2" t="s">
        <v>18</v>
      </c>
      <c r="E1739" s="5" t="s">
        <v>1262</v>
      </c>
      <c r="F1739" s="3" t="s">
        <v>1263</v>
      </c>
      <c r="G1739" s="3" t="s">
        <v>21</v>
      </c>
      <c r="H1739" s="2" t="s">
        <v>22</v>
      </c>
      <c r="I1739" s="2" t="s">
        <v>4300</v>
      </c>
      <c r="J1739" s="3" t="str">
        <f>HYPERLINK("https://www.boe.es/gazeta/dias/1834/02/01/pdfs/GMD-1834-15.pdf#page=3","Abrir facsímil")</f>
        <v>Abrir facsímil</v>
      </c>
      <c r="K1739" s="3" t="s">
        <v>24</v>
      </c>
    </row>
    <row r="1740" spans="1:11" ht="54" customHeight="1">
      <c r="A1740" s="2" t="s">
        <v>4299</v>
      </c>
      <c r="B1740" s="2" t="s">
        <v>4299</v>
      </c>
      <c r="C1740" s="2" t="s">
        <v>17</v>
      </c>
      <c r="D1740" s="2" t="s">
        <v>55</v>
      </c>
      <c r="E1740" s="5" t="s">
        <v>1862</v>
      </c>
      <c r="F1740" s="3" t="s">
        <v>1863</v>
      </c>
      <c r="G1740" s="3" t="s">
        <v>86</v>
      </c>
      <c r="H1740" s="2" t="s">
        <v>22</v>
      </c>
      <c r="I1740" s="2" t="s">
        <v>4301</v>
      </c>
      <c r="J1740" s="3" t="str">
        <f>HYPERLINK("https://www.boe.es/gazeta/dias/1834/02/04/pdfs/GMD-1834-16.pdf#page=2","Abrir facsímil")</f>
        <v>Abrir facsímil</v>
      </c>
      <c r="K1740" s="3" t="s">
        <v>24</v>
      </c>
    </row>
    <row r="1741" spans="1:11" ht="54" customHeight="1">
      <c r="A1741" s="2" t="s">
        <v>4302</v>
      </c>
      <c r="B1741" s="2" t="s">
        <v>4302</v>
      </c>
      <c r="C1741" s="2" t="s">
        <v>66</v>
      </c>
      <c r="D1741" s="2" t="s">
        <v>67</v>
      </c>
      <c r="E1741" s="5" t="s">
        <v>3025</v>
      </c>
      <c r="F1741" s="3" t="s">
        <v>3026</v>
      </c>
      <c r="G1741" s="3" t="s">
        <v>75</v>
      </c>
      <c r="H1741" s="2" t="s">
        <v>22</v>
      </c>
      <c r="I1741" s="2" t="s">
        <v>4303</v>
      </c>
      <c r="J1741" s="3" t="str">
        <f>HYPERLINK("https://www.boe.es/gazeta/dias/1834/05/25/pdfs/GMD-1834-94.pdf#page=4","Abrir facsímil")</f>
        <v>Abrir facsímil</v>
      </c>
      <c r="K1741" s="3" t="s">
        <v>24</v>
      </c>
    </row>
    <row r="1742" spans="1:11" ht="54" customHeight="1">
      <c r="A1742" s="2" t="s">
        <v>4304</v>
      </c>
      <c r="B1742" s="2" t="s">
        <v>4304</v>
      </c>
      <c r="C1742" s="2" t="s">
        <v>17</v>
      </c>
      <c r="D1742" s="2" t="s">
        <v>18</v>
      </c>
      <c r="E1742" s="5" t="s">
        <v>1186</v>
      </c>
      <c r="F1742" s="3" t="s">
        <v>4286</v>
      </c>
      <c r="G1742" s="3" t="s">
        <v>86</v>
      </c>
      <c r="H1742" s="2" t="s">
        <v>22</v>
      </c>
      <c r="I1742" s="2" t="s">
        <v>4305</v>
      </c>
      <c r="J1742" s="3" t="str">
        <f>HYPERLINK("https://www.boe.es/gazeta/dias/1834/08/14/pdfs/GMD-C-1834-179.pdf#page=2","Abrir facsímil")</f>
        <v>Abrir facsímil</v>
      </c>
      <c r="K1742" s="3" t="s">
        <v>24</v>
      </c>
    </row>
    <row r="1743" spans="1:11" ht="54" customHeight="1">
      <c r="A1743" s="2" t="s">
        <v>4306</v>
      </c>
      <c r="B1743" s="2" t="s">
        <v>4306</v>
      </c>
      <c r="C1743" s="2" t="s">
        <v>66</v>
      </c>
      <c r="D1743" s="2" t="s">
        <v>40</v>
      </c>
      <c r="E1743" s="5" t="s">
        <v>1212</v>
      </c>
      <c r="F1743" s="3" t="s">
        <v>1213</v>
      </c>
      <c r="G1743" s="3" t="s">
        <v>75</v>
      </c>
      <c r="H1743" s="2" t="s">
        <v>22</v>
      </c>
      <c r="I1743" s="2" t="s">
        <v>4307</v>
      </c>
      <c r="J1743" s="3" t="str">
        <f>HYPERLINK("https://www.boe.es/gazeta/dias/1834/05/24/pdfs/GMD-1834-93.pdf#page=4","Abrir facsímil")</f>
        <v>Abrir facsímil</v>
      </c>
      <c r="K1743" s="3" t="s">
        <v>24</v>
      </c>
    </row>
    <row r="1744" spans="1:11" ht="54" customHeight="1">
      <c r="A1744" s="2" t="s">
        <v>4308</v>
      </c>
      <c r="B1744" s="2" t="s">
        <v>4309</v>
      </c>
      <c r="C1744" s="2" t="s">
        <v>17</v>
      </c>
      <c r="D1744" s="2" t="s">
        <v>40</v>
      </c>
      <c r="E1744" s="5" t="s">
        <v>2241</v>
      </c>
      <c r="F1744" s="3" t="s">
        <v>2242</v>
      </c>
      <c r="G1744" s="3" t="s">
        <v>75</v>
      </c>
      <c r="H1744" s="2" t="s">
        <v>22</v>
      </c>
      <c r="I1744" s="2" t="s">
        <v>4310</v>
      </c>
      <c r="J1744" s="3" t="str">
        <f>HYPERLINK("https://www.boe.es/gazeta/dias/1834/03/11/pdfs/GMD-1834-31.pdf#page=4","Abrir facsímil")</f>
        <v>Abrir facsímil</v>
      </c>
      <c r="K1744" s="3" t="s">
        <v>24</v>
      </c>
    </row>
    <row r="1745" spans="1:11" ht="54" customHeight="1">
      <c r="A1745" s="2" t="s">
        <v>4308</v>
      </c>
      <c r="B1745" s="2" t="s">
        <v>4309</v>
      </c>
      <c r="C1745" s="2" t="s">
        <v>17</v>
      </c>
      <c r="D1745" s="2" t="s">
        <v>101</v>
      </c>
      <c r="E1745" s="5" t="s">
        <v>1850</v>
      </c>
      <c r="F1745" s="3" t="s">
        <v>1851</v>
      </c>
      <c r="G1745" s="3" t="s">
        <v>470</v>
      </c>
      <c r="H1745" s="2" t="s">
        <v>22</v>
      </c>
      <c r="I1745" s="2" t="s">
        <v>4311</v>
      </c>
      <c r="J1745" s="3" t="str">
        <f>HYPERLINK("https://www.boe.es/gazeta/dias/1834/02/18/pdfs/GMD-1834-22.pdf#page=8","Abrir facsímil")</f>
        <v>Abrir facsímil</v>
      </c>
      <c r="K1745" s="3" t="s">
        <v>24</v>
      </c>
    </row>
    <row r="1746" spans="1:11" ht="54" customHeight="1">
      <c r="A1746" s="2" t="s">
        <v>4308</v>
      </c>
      <c r="B1746" s="2" t="s">
        <v>4309</v>
      </c>
      <c r="C1746" s="2" t="s">
        <v>122</v>
      </c>
      <c r="D1746" s="2" t="s">
        <v>40</v>
      </c>
      <c r="E1746" s="5" t="s">
        <v>1922</v>
      </c>
      <c r="F1746" s="3" t="s">
        <v>1923</v>
      </c>
      <c r="G1746" s="3" t="s">
        <v>176</v>
      </c>
      <c r="H1746" s="2" t="s">
        <v>22</v>
      </c>
      <c r="I1746" s="2" t="s">
        <v>4312</v>
      </c>
      <c r="J1746" s="3" t="str">
        <f>HYPERLINK("https://www.boe.es/gazeta/dias/1834/02/25/pdfs/GMD-1834-25.pdf#page=6","Abrir facsímil")</f>
        <v>Abrir facsímil</v>
      </c>
      <c r="K1746" s="3" t="s">
        <v>24</v>
      </c>
    </row>
    <row r="1747" spans="1:11" ht="54" customHeight="1">
      <c r="A1747" s="2" t="s">
        <v>4313</v>
      </c>
      <c r="B1747" s="2" t="s">
        <v>4313</v>
      </c>
      <c r="C1747" s="2" t="s">
        <v>17</v>
      </c>
      <c r="D1747" s="2" t="s">
        <v>18</v>
      </c>
      <c r="E1747" s="5" t="s">
        <v>91</v>
      </c>
      <c r="F1747" s="3" t="s">
        <v>92</v>
      </c>
      <c r="G1747" s="3" t="s">
        <v>75</v>
      </c>
      <c r="H1747" s="2" t="s">
        <v>22</v>
      </c>
      <c r="I1747" s="2" t="s">
        <v>4314</v>
      </c>
      <c r="J1747" s="3" t="str">
        <f>HYPERLINK("https://www.boe.es/gazeta/dias/1834/02/13/pdfs/GMD-1834-20.pdf#page=4","Abrir facsímil")</f>
        <v>Abrir facsímil</v>
      </c>
      <c r="K1747" s="3" t="s">
        <v>24</v>
      </c>
    </row>
    <row r="1748" spans="1:11" ht="54" customHeight="1">
      <c r="A1748" s="2" t="s">
        <v>4315</v>
      </c>
      <c r="B1748" s="2" t="s">
        <v>4316</v>
      </c>
      <c r="C1748" s="2" t="s">
        <v>17</v>
      </c>
      <c r="D1748" s="2" t="s">
        <v>18</v>
      </c>
      <c r="E1748" s="5" t="s">
        <v>667</v>
      </c>
      <c r="F1748" s="3" t="s">
        <v>3347</v>
      </c>
      <c r="G1748" s="3" t="s">
        <v>21</v>
      </c>
      <c r="H1748" s="2" t="s">
        <v>22</v>
      </c>
      <c r="I1748" s="2" t="s">
        <v>4317</v>
      </c>
      <c r="J1748" s="3" t="str">
        <f>HYPERLINK("https://www.boe.es/gazeta/dias/1834/11/23/pdfs/GMD-1834-282.pdf#page=3","Abrir facsímil")</f>
        <v>Abrir facsímil</v>
      </c>
      <c r="K1748" s="3" t="s">
        <v>24</v>
      </c>
    </row>
    <row r="1749" spans="1:11" ht="54" customHeight="1">
      <c r="A1749" s="2" t="s">
        <v>4318</v>
      </c>
      <c r="B1749" s="2" t="s">
        <v>4319</v>
      </c>
      <c r="C1749" s="2" t="s">
        <v>90</v>
      </c>
      <c r="D1749" s="2" t="s">
        <v>18</v>
      </c>
      <c r="E1749" s="5" t="s">
        <v>3471</v>
      </c>
      <c r="F1749" s="3" t="s">
        <v>3472</v>
      </c>
      <c r="G1749" s="3" t="s">
        <v>21</v>
      </c>
      <c r="H1749" s="2" t="s">
        <v>35</v>
      </c>
      <c r="I1749" s="2" t="s">
        <v>4320</v>
      </c>
      <c r="J1749" s="3" t="str">
        <f>HYPERLINK("https://www.boe.es/gazeta/dias/1834/07/07/pdfs/GMD-1834-140.pdf#page=3","Abrir facsímil")</f>
        <v>Abrir facsímil</v>
      </c>
      <c r="K1749" s="3" t="s">
        <v>37</v>
      </c>
    </row>
    <row r="1750" spans="1:11" ht="54" customHeight="1">
      <c r="A1750" s="2" t="s">
        <v>4321</v>
      </c>
      <c r="B1750" s="2" t="s">
        <v>4322</v>
      </c>
      <c r="C1750" s="2" t="s">
        <v>90</v>
      </c>
      <c r="D1750" s="2" t="s">
        <v>18</v>
      </c>
      <c r="E1750" s="5" t="s">
        <v>3471</v>
      </c>
      <c r="F1750" s="3" t="s">
        <v>3472</v>
      </c>
      <c r="G1750" s="3" t="s">
        <v>21</v>
      </c>
      <c r="H1750" s="2" t="s">
        <v>22</v>
      </c>
      <c r="I1750" s="2" t="s">
        <v>4323</v>
      </c>
      <c r="J1750" s="3" t="str">
        <f>HYPERLINK("https://www.boe.es/gazeta/dias/1834/07/07/pdfs/GMD-1834-140.pdf#page=3","Abrir facsímil")</f>
        <v>Abrir facsímil</v>
      </c>
      <c r="K1750" s="3" t="s">
        <v>24</v>
      </c>
    </row>
    <row r="1751" spans="1:11" ht="54" customHeight="1">
      <c r="A1751" s="2" t="s">
        <v>4324</v>
      </c>
      <c r="B1751" s="2" t="s">
        <v>4324</v>
      </c>
      <c r="C1751" s="2" t="s">
        <v>90</v>
      </c>
      <c r="D1751" s="2" t="s">
        <v>40</v>
      </c>
      <c r="E1751" s="5" t="s">
        <v>2865</v>
      </c>
      <c r="F1751" s="3" t="s">
        <v>2866</v>
      </c>
      <c r="G1751" s="3" t="s">
        <v>86</v>
      </c>
      <c r="H1751" s="2" t="s">
        <v>22</v>
      </c>
      <c r="I1751" s="2" t="s">
        <v>4325</v>
      </c>
      <c r="J1751" s="3" t="str">
        <f>HYPERLINK("https://www.boe.es/gazeta/dias/1834/07/06/pdfs/GMD-1834-139.pdf#page=2","Abrir facsímil")</f>
        <v>Abrir facsímil</v>
      </c>
      <c r="K1751" s="3" t="s">
        <v>24</v>
      </c>
    </row>
    <row r="1752" spans="1:11" ht="54" customHeight="1">
      <c r="A1752" s="2" t="s">
        <v>4326</v>
      </c>
      <c r="B1752" s="2" t="s">
        <v>4327</v>
      </c>
      <c r="C1752" s="2" t="s">
        <v>46</v>
      </c>
      <c r="D1752" s="2" t="s">
        <v>40</v>
      </c>
      <c r="E1752" s="5" t="s">
        <v>1307</v>
      </c>
      <c r="F1752" s="3" t="s">
        <v>1308</v>
      </c>
      <c r="G1752" s="3" t="s">
        <v>75</v>
      </c>
      <c r="H1752" s="2" t="s">
        <v>22</v>
      </c>
      <c r="I1752" s="2" t="s">
        <v>4328</v>
      </c>
      <c r="J1752" s="3" t="str">
        <f>HYPERLINK("https://www.boe.es/gazeta/dias/1834/08/25/pdfs/GMD-1834-191.pdf#page=4","Abrir facsímil")</f>
        <v>Abrir facsímil</v>
      </c>
      <c r="K1752" s="3" t="s">
        <v>24</v>
      </c>
    </row>
    <row r="1753" spans="1:11" ht="54" customHeight="1">
      <c r="A1753" s="2" t="s">
        <v>4329</v>
      </c>
      <c r="B1753" s="2" t="s">
        <v>4329</v>
      </c>
      <c r="C1753" s="2" t="s">
        <v>17</v>
      </c>
      <c r="D1753" s="2" t="s">
        <v>18</v>
      </c>
      <c r="E1753" s="5" t="s">
        <v>1839</v>
      </c>
      <c r="F1753" s="3" t="s">
        <v>1840</v>
      </c>
      <c r="G1753" s="3" t="s">
        <v>86</v>
      </c>
      <c r="H1753" s="2" t="s">
        <v>22</v>
      </c>
      <c r="I1753" s="2" t="s">
        <v>4330</v>
      </c>
      <c r="J1753" s="3" t="str">
        <f>HYPERLINK("https://www.boe.es/gazeta/dias/1834/08/12/pdfs/GMD-C-1834-177.pdf#page=2","Abrir facsímil")</f>
        <v>Abrir facsímil</v>
      </c>
      <c r="K1753" s="3" t="s">
        <v>24</v>
      </c>
    </row>
    <row r="1754" spans="1:11" ht="54" customHeight="1">
      <c r="A1754" s="2" t="s">
        <v>4331</v>
      </c>
      <c r="B1754" s="2" t="s">
        <v>4332</v>
      </c>
      <c r="C1754" s="2" t="s">
        <v>17</v>
      </c>
      <c r="D1754" s="2" t="s">
        <v>55</v>
      </c>
      <c r="E1754" s="5" t="s">
        <v>1119</v>
      </c>
      <c r="F1754" s="3" t="s">
        <v>1120</v>
      </c>
      <c r="G1754" s="3" t="s">
        <v>86</v>
      </c>
      <c r="H1754" s="2" t="s">
        <v>35</v>
      </c>
      <c r="I1754" s="2" t="s">
        <v>4333</v>
      </c>
      <c r="J1754" s="3" t="str">
        <f>HYPERLINK("https://www.boe.es/gazeta/dias/1834/07/17/pdfs/GMD-1834-150.pdf#page=2","Abrir facsímil")</f>
        <v>Abrir facsímil</v>
      </c>
      <c r="K1754" s="3" t="s">
        <v>37</v>
      </c>
    </row>
    <row r="1755" spans="1:11" ht="54" customHeight="1">
      <c r="A1755" s="2" t="s">
        <v>4334</v>
      </c>
      <c r="B1755" s="2" t="s">
        <v>4335</v>
      </c>
      <c r="C1755" s="2" t="s">
        <v>66</v>
      </c>
      <c r="D1755" s="2" t="s">
        <v>67</v>
      </c>
      <c r="E1755" s="5" t="s">
        <v>1510</v>
      </c>
      <c r="F1755" s="3" t="s">
        <v>1511</v>
      </c>
      <c r="G1755" s="3" t="s">
        <v>75</v>
      </c>
      <c r="H1755" s="2" t="s">
        <v>22</v>
      </c>
      <c r="I1755" s="2" t="s">
        <v>4336</v>
      </c>
      <c r="J1755" s="3" t="str">
        <f>HYPERLINK("https://www.boe.es/gazeta/dias/1834/06/13/pdfs/GMD-1834-116.pdf#page=4","Abrir facsímil")</f>
        <v>Abrir facsímil</v>
      </c>
      <c r="K1755" s="3" t="s">
        <v>24</v>
      </c>
    </row>
    <row r="1756" spans="1:11" ht="54" customHeight="1">
      <c r="A1756" s="2" t="s">
        <v>4337</v>
      </c>
      <c r="B1756" s="2" t="s">
        <v>4338</v>
      </c>
      <c r="C1756" s="2" t="s">
        <v>17</v>
      </c>
      <c r="D1756" s="2" t="s">
        <v>18</v>
      </c>
      <c r="E1756" s="5" t="s">
        <v>84</v>
      </c>
      <c r="F1756" s="3" t="s">
        <v>1223</v>
      </c>
      <c r="G1756" s="3" t="s">
        <v>75</v>
      </c>
      <c r="H1756" s="2" t="s">
        <v>35</v>
      </c>
      <c r="I1756" s="2" t="s">
        <v>4339</v>
      </c>
      <c r="J1756" s="3" t="str">
        <f>HYPERLINK("https://www.boe.es/gazeta/dias/1834/06/07/pdfs/GMD-1834-109.pdf#page=4","Abrir facsímil")</f>
        <v>Abrir facsímil</v>
      </c>
      <c r="K1756" s="3" t="s">
        <v>37</v>
      </c>
    </row>
    <row r="1757" spans="1:11" ht="54" customHeight="1">
      <c r="A1757" s="2" t="s">
        <v>4340</v>
      </c>
      <c r="B1757" s="2" t="s">
        <v>4341</v>
      </c>
      <c r="C1757" s="2" t="s">
        <v>17</v>
      </c>
      <c r="D1757" s="2" t="s">
        <v>18</v>
      </c>
      <c r="E1757" s="5" t="s">
        <v>84</v>
      </c>
      <c r="F1757" s="3" t="s">
        <v>1223</v>
      </c>
      <c r="G1757" s="3" t="s">
        <v>75</v>
      </c>
      <c r="H1757" s="2" t="s">
        <v>22</v>
      </c>
      <c r="I1757" s="2" t="s">
        <v>4342</v>
      </c>
      <c r="J1757" s="3" t="str">
        <f>HYPERLINK("https://www.boe.es/gazeta/dias/1834/06/07/pdfs/GMD-1834-109.pdf#page=4","Abrir facsímil")</f>
        <v>Abrir facsímil</v>
      </c>
      <c r="K1757" s="3" t="s">
        <v>24</v>
      </c>
    </row>
    <row r="1758" spans="1:11" ht="54" customHeight="1">
      <c r="A1758" s="2" t="s">
        <v>4343</v>
      </c>
      <c r="B1758" s="2" t="s">
        <v>4343</v>
      </c>
      <c r="C1758" s="2" t="s">
        <v>46</v>
      </c>
      <c r="D1758" s="2" t="s">
        <v>18</v>
      </c>
      <c r="E1758" s="5" t="s">
        <v>663</v>
      </c>
      <c r="F1758" s="3" t="s">
        <v>664</v>
      </c>
      <c r="G1758" s="3" t="s">
        <v>86</v>
      </c>
      <c r="H1758" s="2" t="s">
        <v>22</v>
      </c>
      <c r="I1758" s="2" t="s">
        <v>4344</v>
      </c>
      <c r="J1758" s="3" t="str">
        <f>HYPERLINK("https://www.boe.es/gazeta/dias/1834/07/16/pdfs/GMD-1834-149.pdf#page=2","Abrir facsímil")</f>
        <v>Abrir facsímil</v>
      </c>
      <c r="K1758" s="3" t="s">
        <v>24</v>
      </c>
    </row>
    <row r="1759" spans="1:11" ht="54" customHeight="1">
      <c r="A1759" s="2" t="s">
        <v>4345</v>
      </c>
      <c r="B1759" s="2" t="s">
        <v>4345</v>
      </c>
      <c r="C1759" s="2" t="s">
        <v>122</v>
      </c>
      <c r="D1759" s="2" t="s">
        <v>40</v>
      </c>
      <c r="E1759" s="5" t="s">
        <v>1862</v>
      </c>
      <c r="F1759" s="3" t="s">
        <v>1863</v>
      </c>
      <c r="G1759" s="3" t="s">
        <v>75</v>
      </c>
      <c r="H1759" s="2" t="s">
        <v>22</v>
      </c>
      <c r="I1759" s="2" t="s">
        <v>4346</v>
      </c>
      <c r="J1759" s="3" t="str">
        <f>HYPERLINK("https://www.boe.es/gazeta/dias/1834/02/04/pdfs/GMD-1834-16.pdf#page=4","Abrir facsímil")</f>
        <v>Abrir facsímil</v>
      </c>
      <c r="K1759" s="3" t="s">
        <v>24</v>
      </c>
    </row>
    <row r="1760" spans="1:11" ht="54" customHeight="1">
      <c r="A1760" s="2" t="s">
        <v>4347</v>
      </c>
      <c r="B1760" s="2" t="s">
        <v>4348</v>
      </c>
      <c r="C1760" s="2" t="s">
        <v>66</v>
      </c>
      <c r="D1760" s="2" t="s">
        <v>67</v>
      </c>
      <c r="E1760" s="5" t="s">
        <v>1850</v>
      </c>
      <c r="F1760" s="3" t="s">
        <v>1851</v>
      </c>
      <c r="G1760" s="3" t="s">
        <v>28</v>
      </c>
      <c r="H1760" s="2" t="s">
        <v>22</v>
      </c>
      <c r="I1760" s="2" t="s">
        <v>4349</v>
      </c>
      <c r="J1760" s="3" t="str">
        <f>HYPERLINK("https://www.boe.es/gazeta/dias/1834/02/18/pdfs/GMD-1834-22.pdf#page=5","Abrir facsímil")</f>
        <v>Abrir facsímil</v>
      </c>
      <c r="K1760" s="3" t="s">
        <v>24</v>
      </c>
    </row>
    <row r="1761" spans="1:11" ht="54" customHeight="1">
      <c r="A1761" s="2" t="s">
        <v>4350</v>
      </c>
      <c r="B1761" s="2" t="s">
        <v>4350</v>
      </c>
      <c r="C1761" s="2" t="s">
        <v>17</v>
      </c>
      <c r="D1761" s="2" t="s">
        <v>55</v>
      </c>
      <c r="E1761" s="5" t="s">
        <v>128</v>
      </c>
      <c r="F1761" s="3" t="s">
        <v>1068</v>
      </c>
      <c r="G1761" s="3" t="s">
        <v>21</v>
      </c>
      <c r="H1761" s="2" t="s">
        <v>22</v>
      </c>
      <c r="I1761" s="2" t="s">
        <v>4351</v>
      </c>
      <c r="J1761" s="3" t="str">
        <f>HYPERLINK("https://www.boe.es/gazeta/dias/1834/12/24/pdfs/GMD-1834-314.pdf#page=3","Abrir facsímil")</f>
        <v>Abrir facsímil</v>
      </c>
      <c r="K1761" s="3" t="s">
        <v>24</v>
      </c>
    </row>
    <row r="1762" spans="1:11" ht="54" customHeight="1">
      <c r="A1762" s="2" t="s">
        <v>4352</v>
      </c>
      <c r="B1762" s="2" t="s">
        <v>4352</v>
      </c>
      <c r="C1762" s="2" t="s">
        <v>66</v>
      </c>
      <c r="D1762" s="2" t="s">
        <v>67</v>
      </c>
      <c r="E1762" s="5" t="s">
        <v>1323</v>
      </c>
      <c r="F1762" s="3" t="s">
        <v>1324</v>
      </c>
      <c r="G1762" s="3" t="s">
        <v>86</v>
      </c>
      <c r="H1762" s="2" t="s">
        <v>22</v>
      </c>
      <c r="I1762" s="2" t="s">
        <v>4353</v>
      </c>
      <c r="J1762" s="3" t="str">
        <f>HYPERLINK("https://www.boe.es/gazeta/dias/1834/05/22/pdfs/GMD-1834-91.pdf#page=2","Abrir facsímil")</f>
        <v>Abrir facsímil</v>
      </c>
      <c r="K1762" s="3" t="s">
        <v>24</v>
      </c>
    </row>
    <row r="1763" spans="1:11" ht="54" customHeight="1">
      <c r="A1763" s="2" t="s">
        <v>4354</v>
      </c>
      <c r="B1763" s="2" t="s">
        <v>4354</v>
      </c>
      <c r="C1763" s="2" t="s">
        <v>17</v>
      </c>
      <c r="D1763" s="2" t="s">
        <v>18</v>
      </c>
      <c r="E1763" s="5" t="s">
        <v>255</v>
      </c>
      <c r="F1763" s="3" t="s">
        <v>256</v>
      </c>
      <c r="G1763" s="3" t="s">
        <v>86</v>
      </c>
      <c r="H1763" s="2" t="s">
        <v>22</v>
      </c>
      <c r="I1763" s="2" t="s">
        <v>4355</v>
      </c>
      <c r="J1763" s="3" t="str">
        <f>HYPERLINK("https://www.boe.es/gazeta/dias/1834/09/01/pdfs/GMD-D-1834-199.pdf#page=2","Abrir facsímil")</f>
        <v>Abrir facsímil</v>
      </c>
      <c r="K1763" s="3" t="s">
        <v>24</v>
      </c>
    </row>
    <row r="1764" spans="1:11" ht="54" customHeight="1">
      <c r="A1764" s="2" t="s">
        <v>4354</v>
      </c>
      <c r="B1764" s="2" t="s">
        <v>4354</v>
      </c>
      <c r="C1764" s="2" t="s">
        <v>17</v>
      </c>
      <c r="D1764" s="2" t="s">
        <v>18</v>
      </c>
      <c r="E1764" s="5" t="s">
        <v>192</v>
      </c>
      <c r="F1764" s="3" t="s">
        <v>2713</v>
      </c>
      <c r="G1764" s="3" t="s">
        <v>75</v>
      </c>
      <c r="H1764" s="2" t="s">
        <v>22</v>
      </c>
      <c r="I1764" s="2" t="s">
        <v>4356</v>
      </c>
      <c r="J1764" s="3" t="str">
        <f>HYPERLINK("https://www.boe.es/gazeta/dias/1834/12/31/pdfs/GMD-C-1834-321.pdf#page=4","Abrir facsímil")</f>
        <v>Abrir facsímil</v>
      </c>
      <c r="K1764" s="3" t="s">
        <v>24</v>
      </c>
    </row>
    <row r="1765" spans="1:11" ht="54" customHeight="1">
      <c r="A1765" s="2" t="s">
        <v>4357</v>
      </c>
      <c r="B1765" s="2" t="s">
        <v>4358</v>
      </c>
      <c r="C1765" s="2" t="s">
        <v>17</v>
      </c>
      <c r="D1765" s="2" t="s">
        <v>18</v>
      </c>
      <c r="E1765" s="5" t="s">
        <v>167</v>
      </c>
      <c r="F1765" s="3" t="s">
        <v>1200</v>
      </c>
      <c r="G1765" s="3" t="s">
        <v>86</v>
      </c>
      <c r="H1765" s="2" t="s">
        <v>35</v>
      </c>
      <c r="I1765" s="2" t="s">
        <v>4359</v>
      </c>
      <c r="J1765" s="3" t="str">
        <f>HYPERLINK("https://www.boe.es/gazeta/dias/1834/09/07/pdfs/GMD-C-1834-205.pdf#page=2","Abrir facsímil")</f>
        <v>Abrir facsímil</v>
      </c>
      <c r="K1765" s="3" t="s">
        <v>37</v>
      </c>
    </row>
    <row r="1766" spans="1:11" ht="54" customHeight="1">
      <c r="A1766" s="2" t="s">
        <v>4360</v>
      </c>
      <c r="B1766" s="2" t="s">
        <v>4361</v>
      </c>
      <c r="C1766" s="2" t="s">
        <v>66</v>
      </c>
      <c r="D1766" s="2" t="s">
        <v>67</v>
      </c>
      <c r="E1766" s="5" t="s">
        <v>1556</v>
      </c>
      <c r="F1766" s="3" t="s">
        <v>1557</v>
      </c>
      <c r="G1766" s="3" t="s">
        <v>21</v>
      </c>
      <c r="H1766" s="2" t="s">
        <v>22</v>
      </c>
      <c r="I1766" s="2" t="s">
        <v>4362</v>
      </c>
      <c r="J1766" s="3" t="str">
        <f>HYPERLINK("https://www.boe.es/gazeta/dias/1834/06/06/pdfs/GMD-1834-108.pdf#page=3","Abrir facsímil")</f>
        <v>Abrir facsímil</v>
      </c>
      <c r="K1766" s="3" t="s">
        <v>24</v>
      </c>
    </row>
    <row r="1767" spans="1:11" ht="54" customHeight="1">
      <c r="A1767" s="2" t="s">
        <v>4363</v>
      </c>
      <c r="B1767" s="2" t="s">
        <v>4364</v>
      </c>
      <c r="C1767" s="2" t="s">
        <v>17</v>
      </c>
      <c r="D1767" s="2" t="s">
        <v>18</v>
      </c>
      <c r="E1767" s="5" t="s">
        <v>167</v>
      </c>
      <c r="F1767" s="3" t="s">
        <v>1200</v>
      </c>
      <c r="G1767" s="3" t="s">
        <v>86</v>
      </c>
      <c r="H1767" s="2" t="s">
        <v>35</v>
      </c>
      <c r="I1767" s="2" t="s">
        <v>4365</v>
      </c>
      <c r="J1767" s="3" t="str">
        <f>HYPERLINK("https://www.boe.es/gazeta/dias/1834/09/07/pdfs/GMD-C-1834-205.pdf#page=2","Abrir facsímil")</f>
        <v>Abrir facsímil</v>
      </c>
      <c r="K1767" s="3" t="s">
        <v>37</v>
      </c>
    </row>
    <row r="1768" spans="1:11" ht="54" customHeight="1">
      <c r="A1768" s="2" t="s">
        <v>4366</v>
      </c>
      <c r="B1768" s="2" t="s">
        <v>4367</v>
      </c>
      <c r="C1768" s="2" t="s">
        <v>17</v>
      </c>
      <c r="D1768" s="2" t="s">
        <v>55</v>
      </c>
      <c r="E1768" s="5" t="s">
        <v>1351</v>
      </c>
      <c r="F1768" s="3" t="s">
        <v>1352</v>
      </c>
      <c r="G1768" s="3" t="s">
        <v>75</v>
      </c>
      <c r="H1768" s="2" t="s">
        <v>35</v>
      </c>
      <c r="I1768" s="2" t="s">
        <v>4368</v>
      </c>
      <c r="J1768" s="3" t="str">
        <f>HYPERLINK("https://www.boe.es/gazeta/dias/1834/07/05/pdfs/GMD-1834-138.pdf#page=4","Abrir facsímil")</f>
        <v>Abrir facsímil</v>
      </c>
      <c r="K1768" s="3" t="s">
        <v>37</v>
      </c>
    </row>
    <row r="1769" spans="1:11" ht="54" customHeight="1">
      <c r="A1769" s="2" t="s">
        <v>4369</v>
      </c>
      <c r="B1769" s="2" t="s">
        <v>4370</v>
      </c>
      <c r="C1769" s="2" t="s">
        <v>17</v>
      </c>
      <c r="D1769" s="2" t="s">
        <v>18</v>
      </c>
      <c r="E1769" s="5" t="s">
        <v>2860</v>
      </c>
      <c r="F1769" s="3" t="s">
        <v>2861</v>
      </c>
      <c r="G1769" s="3" t="s">
        <v>21</v>
      </c>
      <c r="H1769" s="2" t="s">
        <v>22</v>
      </c>
      <c r="I1769" s="2" t="s">
        <v>4371</v>
      </c>
      <c r="J1769" s="3" t="str">
        <f>HYPERLINK("https://www.boe.es/gazeta/dias/1834/07/20/pdfs/GMD-1834-153.pdf#page=3","Abrir facsímil")</f>
        <v>Abrir facsímil</v>
      </c>
      <c r="K1769" s="3" t="s">
        <v>24</v>
      </c>
    </row>
    <row r="1770" spans="1:11" ht="54" customHeight="1">
      <c r="A1770" s="2" t="s">
        <v>4372</v>
      </c>
      <c r="B1770" s="2" t="s">
        <v>4373</v>
      </c>
      <c r="C1770" s="2" t="s">
        <v>66</v>
      </c>
      <c r="D1770" s="2" t="s">
        <v>67</v>
      </c>
      <c r="E1770" s="5" t="s">
        <v>251</v>
      </c>
      <c r="F1770" s="3" t="s">
        <v>1278</v>
      </c>
      <c r="G1770" s="3" t="s">
        <v>86</v>
      </c>
      <c r="H1770" s="2" t="s">
        <v>22</v>
      </c>
      <c r="I1770" s="2" t="s">
        <v>4374</v>
      </c>
      <c r="J1770" s="3" t="str">
        <f>HYPERLINK("https://www.boe.es/gazeta/dias/1834/09/26/pdfs/GMD-1834-224.pdf#page=2","Abrir facsímil")</f>
        <v>Abrir facsímil</v>
      </c>
      <c r="K1770" s="3" t="s">
        <v>24</v>
      </c>
    </row>
    <row r="1771" spans="1:11" ht="54" customHeight="1">
      <c r="A1771" s="2" t="s">
        <v>4375</v>
      </c>
      <c r="B1771" s="2" t="s">
        <v>4376</v>
      </c>
      <c r="C1771" s="2" t="s">
        <v>17</v>
      </c>
      <c r="D1771" s="2" t="s">
        <v>18</v>
      </c>
      <c r="E1771" s="5" t="s">
        <v>167</v>
      </c>
      <c r="F1771" s="3" t="s">
        <v>1200</v>
      </c>
      <c r="G1771" s="3" t="s">
        <v>86</v>
      </c>
      <c r="H1771" s="2" t="s">
        <v>22</v>
      </c>
      <c r="I1771" s="2" t="s">
        <v>4377</v>
      </c>
      <c r="J1771" s="3" t="str">
        <f>HYPERLINK("https://www.boe.es/gazeta/dias/1834/09/07/pdfs/GMD-C-1834-205.pdf#page=2","Abrir facsímil")</f>
        <v>Abrir facsímil</v>
      </c>
      <c r="K1771" s="3" t="s">
        <v>24</v>
      </c>
    </row>
    <row r="1772" spans="1:11" ht="54" customHeight="1">
      <c r="A1772" s="2" t="s">
        <v>4378</v>
      </c>
      <c r="B1772" s="2" t="s">
        <v>4379</v>
      </c>
      <c r="C1772" s="2" t="s">
        <v>66</v>
      </c>
      <c r="D1772" s="2" t="s">
        <v>18</v>
      </c>
      <c r="E1772" s="5" t="s">
        <v>981</v>
      </c>
      <c r="F1772" s="3" t="s">
        <v>982</v>
      </c>
      <c r="G1772" s="3" t="s">
        <v>86</v>
      </c>
      <c r="H1772" s="2" t="s">
        <v>22</v>
      </c>
      <c r="I1772" s="2" t="s">
        <v>4380</v>
      </c>
      <c r="J1772" s="3" t="str">
        <f>HYPERLINK("https://www.boe.es/gazeta/dias/1834/09/21/pdfs/GMD-1834-219.pdf#page=2","Abrir facsímil")</f>
        <v>Abrir facsímil</v>
      </c>
      <c r="K1772" s="3" t="s">
        <v>24</v>
      </c>
    </row>
    <row r="1773" spans="1:11" ht="54" customHeight="1">
      <c r="A1773" s="2" t="s">
        <v>4381</v>
      </c>
      <c r="B1773" s="2" t="s">
        <v>4382</v>
      </c>
      <c r="C1773" s="2" t="s">
        <v>17</v>
      </c>
      <c r="D1773" s="2" t="s">
        <v>18</v>
      </c>
      <c r="E1773" s="5" t="s">
        <v>451</v>
      </c>
      <c r="F1773" s="3" t="s">
        <v>3350</v>
      </c>
      <c r="G1773" s="3" t="s">
        <v>75</v>
      </c>
      <c r="H1773" s="2" t="s">
        <v>22</v>
      </c>
      <c r="I1773" s="2" t="s">
        <v>4383</v>
      </c>
      <c r="J1773" s="3" t="str">
        <f>HYPERLINK("https://www.boe.es/gazeta/dias/1834/10/15/pdfs/GMD-1834-243.pdf#page=4","Abrir facsímil")</f>
        <v>Abrir facsímil</v>
      </c>
      <c r="K1773" s="3" t="s">
        <v>24</v>
      </c>
    </row>
    <row r="1774" spans="1:11" ht="54" customHeight="1">
      <c r="A1774" s="2" t="s">
        <v>4384</v>
      </c>
      <c r="B1774" s="2" t="s">
        <v>4385</v>
      </c>
      <c r="C1774" s="2" t="s">
        <v>66</v>
      </c>
      <c r="D1774" s="2" t="s">
        <v>67</v>
      </c>
      <c r="E1774" s="5" t="s">
        <v>928</v>
      </c>
      <c r="F1774" s="3" t="s">
        <v>3338</v>
      </c>
      <c r="G1774" s="3" t="s">
        <v>21</v>
      </c>
      <c r="H1774" s="2" t="s">
        <v>22</v>
      </c>
      <c r="I1774" s="2" t="s">
        <v>4386</v>
      </c>
      <c r="J1774" s="3" t="str">
        <f>HYPERLINK("https://www.boe.es/gazeta/dias/1834/11/15/pdfs/GMD-1834-274.pdf#page=3","Abrir facsímil")</f>
        <v>Abrir facsímil</v>
      </c>
      <c r="K1774" s="3" t="s">
        <v>24</v>
      </c>
    </row>
    <row r="1775" spans="1:11" ht="54" customHeight="1">
      <c r="A1775" s="2" t="s">
        <v>4387</v>
      </c>
      <c r="B1775" s="2" t="s">
        <v>4388</v>
      </c>
      <c r="C1775" s="2" t="s">
        <v>17</v>
      </c>
      <c r="D1775" s="2" t="s">
        <v>55</v>
      </c>
      <c r="E1775" s="5" t="s">
        <v>1351</v>
      </c>
      <c r="F1775" s="3" t="s">
        <v>1352</v>
      </c>
      <c r="G1775" s="3" t="s">
        <v>75</v>
      </c>
      <c r="H1775" s="2" t="s">
        <v>22</v>
      </c>
      <c r="I1775" s="2" t="s">
        <v>4389</v>
      </c>
      <c r="J1775" s="3" t="str">
        <f>HYPERLINK("https://www.boe.es/gazeta/dias/1834/07/05/pdfs/GMD-1834-138.pdf#page=4","Abrir facsímil")</f>
        <v>Abrir facsímil</v>
      </c>
      <c r="K1775" s="3" t="s">
        <v>24</v>
      </c>
    </row>
    <row r="1776" spans="1:11" ht="54" customHeight="1">
      <c r="A1776" s="2" t="s">
        <v>4390</v>
      </c>
      <c r="B1776" s="2" t="s">
        <v>4391</v>
      </c>
      <c r="C1776" s="2" t="s">
        <v>66</v>
      </c>
      <c r="D1776" s="2" t="s">
        <v>18</v>
      </c>
      <c r="E1776" s="5" t="s">
        <v>408</v>
      </c>
      <c r="F1776" s="3" t="s">
        <v>409</v>
      </c>
      <c r="G1776" s="3" t="s">
        <v>34</v>
      </c>
      <c r="H1776" s="2" t="s">
        <v>22</v>
      </c>
      <c r="I1776" s="2" t="s">
        <v>4392</v>
      </c>
      <c r="J1776" s="3" t="str">
        <f>HYPERLINK("https://www.boe.es/gazeta/dias/1834/04/28/pdfs/GMD-1834-67.pdf#page=1","Abrir facsímil")</f>
        <v>Abrir facsímil</v>
      </c>
      <c r="K1776" s="3" t="s">
        <v>24</v>
      </c>
    </row>
    <row r="1777" spans="1:11" ht="54" customHeight="1">
      <c r="A1777" s="2" t="s">
        <v>4393</v>
      </c>
      <c r="B1777" s="2" t="s">
        <v>4394</v>
      </c>
      <c r="C1777" s="2" t="s">
        <v>17</v>
      </c>
      <c r="D1777" s="2" t="s">
        <v>18</v>
      </c>
      <c r="E1777" s="5" t="s">
        <v>286</v>
      </c>
      <c r="F1777" s="3" t="s">
        <v>548</v>
      </c>
      <c r="G1777" s="3" t="s">
        <v>75</v>
      </c>
      <c r="H1777" s="2" t="s">
        <v>35</v>
      </c>
      <c r="I1777" s="2" t="s">
        <v>4395</v>
      </c>
      <c r="J1777" s="3" t="str">
        <f>HYPERLINK("https://www.boe.es/gazeta/dias/1834/08/30/pdfs/GMD-1834-196.pdf#page=4","Abrir facsímil")</f>
        <v>Abrir facsímil</v>
      </c>
      <c r="K1777" s="3" t="s">
        <v>37</v>
      </c>
    </row>
    <row r="1778" spans="1:11" ht="54" customHeight="1">
      <c r="A1778" s="2" t="s">
        <v>4396</v>
      </c>
      <c r="B1778" s="2" t="s">
        <v>4397</v>
      </c>
      <c r="C1778" s="2" t="s">
        <v>122</v>
      </c>
      <c r="D1778" s="2" t="s">
        <v>18</v>
      </c>
      <c r="E1778" s="5" t="s">
        <v>513</v>
      </c>
      <c r="F1778" s="3" t="s">
        <v>514</v>
      </c>
      <c r="G1778" s="3" t="s">
        <v>176</v>
      </c>
      <c r="H1778" s="2" t="s">
        <v>22</v>
      </c>
      <c r="I1778" s="2" t="s">
        <v>4398</v>
      </c>
      <c r="J1778" s="3" t="str">
        <f>HYPERLINK("https://www.boe.es/gazeta/dias/1834/04/27/pdfs/GMD-1834-66.pdf#page=6","Abrir facsímil")</f>
        <v>Abrir facsímil</v>
      </c>
      <c r="K1778" s="3" t="s">
        <v>24</v>
      </c>
    </row>
    <row r="1779" spans="1:11" ht="54" customHeight="1">
      <c r="A1779" s="2" t="s">
        <v>4399</v>
      </c>
      <c r="B1779" s="2" t="s">
        <v>4400</v>
      </c>
      <c r="C1779" s="2" t="s">
        <v>17</v>
      </c>
      <c r="D1779" s="2" t="s">
        <v>18</v>
      </c>
      <c r="E1779" s="5" t="s">
        <v>339</v>
      </c>
      <c r="F1779" s="3" t="s">
        <v>340</v>
      </c>
      <c r="G1779" s="3" t="s">
        <v>21</v>
      </c>
      <c r="H1779" s="2" t="s">
        <v>22</v>
      </c>
      <c r="I1779" s="2" t="s">
        <v>4401</v>
      </c>
      <c r="J1779" s="3" t="str">
        <f>HYPERLINK("https://www.boe.es/gazeta/dias/1834/05/02/pdfs/GMD-1834-71.pdf#page=3","Abrir facsímil")</f>
        <v>Abrir facsímil</v>
      </c>
      <c r="K1779" s="3" t="s">
        <v>24</v>
      </c>
    </row>
    <row r="1780" spans="1:11" ht="54" customHeight="1">
      <c r="A1780" s="2" t="s">
        <v>4402</v>
      </c>
      <c r="B1780" s="2" t="s">
        <v>4403</v>
      </c>
      <c r="C1780" s="2" t="s">
        <v>122</v>
      </c>
      <c r="D1780" s="2" t="s">
        <v>18</v>
      </c>
      <c r="E1780" s="5" t="s">
        <v>844</v>
      </c>
      <c r="F1780" s="3" t="s">
        <v>845</v>
      </c>
      <c r="G1780" s="3" t="s">
        <v>75</v>
      </c>
      <c r="H1780" s="2" t="s">
        <v>22</v>
      </c>
      <c r="I1780" s="2" t="s">
        <v>4404</v>
      </c>
      <c r="J1780" s="3" t="str">
        <f>HYPERLINK("https://www.boe.es/gazeta/dias/1834/03/13/pdfs/GMD-1834-32.pdf#page=4","Abrir facsímil")</f>
        <v>Abrir facsímil</v>
      </c>
      <c r="K1780" s="3" t="s">
        <v>24</v>
      </c>
    </row>
    <row r="1781" spans="1:11" ht="54" customHeight="1">
      <c r="A1781" s="2" t="s">
        <v>4405</v>
      </c>
      <c r="B1781" s="2" t="s">
        <v>4406</v>
      </c>
      <c r="C1781" s="2" t="s">
        <v>17</v>
      </c>
      <c r="D1781" s="2" t="s">
        <v>40</v>
      </c>
      <c r="E1781" s="5" t="s">
        <v>339</v>
      </c>
      <c r="F1781" s="3" t="s">
        <v>340</v>
      </c>
      <c r="G1781" s="3" t="s">
        <v>21</v>
      </c>
      <c r="H1781" s="2" t="s">
        <v>22</v>
      </c>
      <c r="I1781" s="2" t="s">
        <v>4407</v>
      </c>
      <c r="J1781" s="3" t="str">
        <f>HYPERLINK("https://www.boe.es/gazeta/dias/1834/05/02/pdfs/GMD-1834-71.pdf#page=3","Abrir facsímil")</f>
        <v>Abrir facsímil</v>
      </c>
      <c r="K1781" s="3" t="s">
        <v>24</v>
      </c>
    </row>
    <row r="1782" spans="1:11" ht="54" customHeight="1">
      <c r="A1782" s="2" t="s">
        <v>4408</v>
      </c>
      <c r="B1782" s="2" t="s">
        <v>4408</v>
      </c>
      <c r="C1782" s="2" t="s">
        <v>90</v>
      </c>
      <c r="D1782" s="2" t="s">
        <v>18</v>
      </c>
      <c r="E1782" s="5" t="s">
        <v>91</v>
      </c>
      <c r="F1782" s="3" t="s">
        <v>92</v>
      </c>
      <c r="G1782" s="3" t="s">
        <v>86</v>
      </c>
      <c r="H1782" s="2" t="s">
        <v>22</v>
      </c>
      <c r="I1782" s="2" t="s">
        <v>4409</v>
      </c>
      <c r="J1782" s="3" t="str">
        <f>HYPERLINK("https://www.boe.es/gazeta/dias/1834/02/13/pdfs/GMD-1834-20.pdf#page=2","Abrir facsímil")</f>
        <v>Abrir facsímil</v>
      </c>
      <c r="K1782" s="3" t="s">
        <v>24</v>
      </c>
    </row>
    <row r="1783" spans="1:11" ht="54" customHeight="1">
      <c r="A1783" s="2" t="s">
        <v>4410</v>
      </c>
      <c r="B1783" s="2" t="s">
        <v>4411</v>
      </c>
      <c r="C1783" s="2" t="s">
        <v>17</v>
      </c>
      <c r="D1783" s="2" t="s">
        <v>18</v>
      </c>
      <c r="E1783" s="5" t="s">
        <v>273</v>
      </c>
      <c r="F1783" s="3" t="s">
        <v>274</v>
      </c>
      <c r="G1783" s="3" t="s">
        <v>21</v>
      </c>
      <c r="H1783" s="2" t="s">
        <v>35</v>
      </c>
      <c r="I1783" s="2" t="s">
        <v>4412</v>
      </c>
      <c r="J1783" s="3" t="str">
        <f>HYPERLINK("https://www.boe.es/gazeta/dias/1834/08/31/pdfs/GMD-D-1834-198.pdf#page=3","Abrir facsímil")</f>
        <v>Abrir facsímil</v>
      </c>
      <c r="K1783" s="3" t="s">
        <v>37</v>
      </c>
    </row>
    <row r="1784" spans="1:11" ht="54" customHeight="1">
      <c r="A1784" s="2" t="s">
        <v>4413</v>
      </c>
      <c r="B1784" s="2" t="s">
        <v>4414</v>
      </c>
      <c r="C1784" s="2" t="s">
        <v>17</v>
      </c>
      <c r="D1784" s="2" t="s">
        <v>18</v>
      </c>
      <c r="E1784" s="5" t="s">
        <v>273</v>
      </c>
      <c r="F1784" s="3" t="s">
        <v>274</v>
      </c>
      <c r="G1784" s="3" t="s">
        <v>21</v>
      </c>
      <c r="H1784" s="2" t="s">
        <v>22</v>
      </c>
      <c r="I1784" s="2" t="s">
        <v>4415</v>
      </c>
      <c r="J1784" s="3" t="str">
        <f>HYPERLINK("https://www.boe.es/gazeta/dias/1834/08/31/pdfs/GMD-D-1834-198.pdf#page=3","Abrir facsímil")</f>
        <v>Abrir facsímil</v>
      </c>
      <c r="K1784" s="3" t="s">
        <v>24</v>
      </c>
    </row>
    <row r="1785" spans="1:11" ht="54" customHeight="1">
      <c r="A1785" s="2" t="s">
        <v>4416</v>
      </c>
      <c r="B1785" s="2" t="s">
        <v>4417</v>
      </c>
      <c r="C1785" s="2" t="s">
        <v>17</v>
      </c>
      <c r="D1785" s="2" t="s">
        <v>18</v>
      </c>
      <c r="E1785" s="5" t="s">
        <v>1680</v>
      </c>
      <c r="F1785" s="3" t="s">
        <v>1681</v>
      </c>
      <c r="G1785" s="3" t="s">
        <v>75</v>
      </c>
      <c r="H1785" s="2" t="s">
        <v>22</v>
      </c>
      <c r="I1785" s="2" t="s">
        <v>4418</v>
      </c>
      <c r="J1785" s="3" t="str">
        <f>HYPERLINK("https://www.boe.es/gazeta/dias/1834/02/27/pdfs/GMD-1834-26.pdf#page=4","Abrir facsímil")</f>
        <v>Abrir facsímil</v>
      </c>
      <c r="K1785" s="3" t="s">
        <v>24</v>
      </c>
    </row>
    <row r="1786" spans="1:11" ht="54" customHeight="1">
      <c r="A1786" s="2" t="s">
        <v>4419</v>
      </c>
      <c r="B1786" s="2" t="s">
        <v>4420</v>
      </c>
      <c r="C1786" s="2" t="s">
        <v>17</v>
      </c>
      <c r="D1786" s="2" t="s">
        <v>18</v>
      </c>
      <c r="E1786" s="5" t="s">
        <v>1025</v>
      </c>
      <c r="F1786" s="3" t="s">
        <v>1026</v>
      </c>
      <c r="G1786" s="3" t="s">
        <v>28</v>
      </c>
      <c r="H1786" s="2" t="s">
        <v>22</v>
      </c>
      <c r="I1786" s="2" t="s">
        <v>4421</v>
      </c>
      <c r="J1786" s="3" t="str">
        <f>HYPERLINK("https://www.boe.es/gazeta/dias/1834/03/01/pdfs/GMD-1834-27.pdf#page=5","Abrir facsímil")</f>
        <v>Abrir facsímil</v>
      </c>
      <c r="K1786" s="3" t="s">
        <v>24</v>
      </c>
    </row>
    <row r="1787" spans="1:11" ht="54" customHeight="1">
      <c r="A1787" s="2" t="s">
        <v>4422</v>
      </c>
      <c r="B1787" s="2" t="s">
        <v>4423</v>
      </c>
      <c r="C1787" s="2" t="s">
        <v>66</v>
      </c>
      <c r="D1787" s="2" t="s">
        <v>67</v>
      </c>
      <c r="E1787" s="5" t="s">
        <v>808</v>
      </c>
      <c r="F1787" s="3" t="s">
        <v>809</v>
      </c>
      <c r="G1787" s="3" t="s">
        <v>75</v>
      </c>
      <c r="H1787" s="2" t="s">
        <v>22</v>
      </c>
      <c r="I1787" s="2" t="s">
        <v>4424</v>
      </c>
      <c r="J1787" s="3" t="str">
        <f>HYPERLINK("https://www.boe.es/gazeta/dias/1834/10/11/pdfs/GMD-1834-239.pdf#page=4","Abrir facsímil")</f>
        <v>Abrir facsímil</v>
      </c>
      <c r="K1787" s="3" t="s">
        <v>24</v>
      </c>
    </row>
    <row r="1788" spans="1:11" ht="54" customHeight="1">
      <c r="A1788" s="2" t="s">
        <v>4425</v>
      </c>
      <c r="B1788" s="2" t="s">
        <v>4426</v>
      </c>
      <c r="C1788" s="2" t="s">
        <v>122</v>
      </c>
      <c r="D1788" s="2" t="s">
        <v>18</v>
      </c>
      <c r="E1788" s="5" t="s">
        <v>838</v>
      </c>
      <c r="F1788" s="3" t="s">
        <v>839</v>
      </c>
      <c r="G1788" s="3" t="s">
        <v>75</v>
      </c>
      <c r="H1788" s="2" t="s">
        <v>35</v>
      </c>
      <c r="I1788" s="2" t="s">
        <v>4427</v>
      </c>
      <c r="J1788" s="3" t="str">
        <f>HYPERLINK("https://www.boe.es/gazeta/dias/1834/07/18/pdfs/GMD-1834-151.pdf#page=4","Abrir facsímil")</f>
        <v>Abrir facsímil</v>
      </c>
      <c r="K1788" s="3" t="s">
        <v>37</v>
      </c>
    </row>
    <row r="1789" spans="1:11" ht="54" customHeight="1">
      <c r="A1789" s="2" t="s">
        <v>4428</v>
      </c>
      <c r="B1789" s="2" t="s">
        <v>4429</v>
      </c>
      <c r="C1789" s="2" t="s">
        <v>122</v>
      </c>
      <c r="D1789" s="2" t="s">
        <v>18</v>
      </c>
      <c r="E1789" s="5" t="s">
        <v>838</v>
      </c>
      <c r="F1789" s="3" t="s">
        <v>839</v>
      </c>
      <c r="G1789" s="3" t="s">
        <v>75</v>
      </c>
      <c r="H1789" s="2" t="s">
        <v>22</v>
      </c>
      <c r="I1789" s="2" t="s">
        <v>4430</v>
      </c>
      <c r="J1789" s="3" t="str">
        <f>HYPERLINK("https://www.boe.es/gazeta/dias/1834/07/18/pdfs/GMD-1834-151.pdf#page=4","Abrir facsímil")</f>
        <v>Abrir facsímil</v>
      </c>
      <c r="K1789" s="3" t="s">
        <v>24</v>
      </c>
    </row>
    <row r="1790" spans="1:11" ht="54" customHeight="1">
      <c r="A1790" s="2" t="s">
        <v>4431</v>
      </c>
      <c r="B1790" s="2" t="s">
        <v>4432</v>
      </c>
      <c r="C1790" s="2" t="s">
        <v>90</v>
      </c>
      <c r="D1790" s="2" t="s">
        <v>18</v>
      </c>
      <c r="E1790" s="5" t="s">
        <v>3066</v>
      </c>
      <c r="F1790" s="3" t="s">
        <v>3067</v>
      </c>
      <c r="G1790" s="3" t="s">
        <v>34</v>
      </c>
      <c r="H1790" s="2" t="s">
        <v>22</v>
      </c>
      <c r="I1790" s="2" t="s">
        <v>4433</v>
      </c>
      <c r="J1790" s="3" t="str">
        <f>HYPERLINK("https://www.boe.es/gazeta/dias/1834/08/03/pdfs/GMD-C-1834-167.pdf#page=1","Abrir facsímil")</f>
        <v>Abrir facsímil</v>
      </c>
      <c r="K1790" s="3" t="s">
        <v>24</v>
      </c>
    </row>
    <row r="1791" spans="1:11" ht="54" customHeight="1">
      <c r="A1791" s="2" t="s">
        <v>4434</v>
      </c>
      <c r="B1791" s="2" t="s">
        <v>4435</v>
      </c>
      <c r="C1791" s="2" t="s">
        <v>46</v>
      </c>
      <c r="D1791" s="2" t="s">
        <v>18</v>
      </c>
      <c r="E1791" s="5" t="s">
        <v>32</v>
      </c>
      <c r="F1791" s="3" t="s">
        <v>33</v>
      </c>
      <c r="G1791" s="3" t="s">
        <v>86</v>
      </c>
      <c r="H1791" s="2" t="s">
        <v>22</v>
      </c>
      <c r="I1791" s="2" t="s">
        <v>4436</v>
      </c>
      <c r="J1791" s="3" t="str">
        <f>HYPERLINK("https://www.boe.es/gazeta/dias/1834/04/23/pdfs/GMD-1834-62.pdf#page=2","Abrir facsímil")</f>
        <v>Abrir facsímil</v>
      </c>
      <c r="K1791" s="3" t="s">
        <v>24</v>
      </c>
    </row>
    <row r="1792" spans="1:11" ht="54" customHeight="1">
      <c r="A1792" s="2" t="s">
        <v>4437</v>
      </c>
      <c r="B1792" s="2" t="s">
        <v>4438</v>
      </c>
      <c r="C1792" s="2" t="s">
        <v>17</v>
      </c>
      <c r="D1792" s="2" t="s">
        <v>55</v>
      </c>
      <c r="E1792" s="5" t="s">
        <v>243</v>
      </c>
      <c r="F1792" s="3" t="s">
        <v>1109</v>
      </c>
      <c r="G1792" s="3" t="s">
        <v>34</v>
      </c>
      <c r="H1792" s="2" t="s">
        <v>22</v>
      </c>
      <c r="I1792" s="2" t="s">
        <v>4439</v>
      </c>
      <c r="J1792" s="3" t="str">
        <f>HYPERLINK("https://www.boe.es/gazeta/dias/1834/08/05/pdfs/GMD-1834-169.pdf#page=1","Abrir facsímil")</f>
        <v>Abrir facsímil</v>
      </c>
      <c r="K1792" s="3" t="s">
        <v>24</v>
      </c>
    </row>
    <row r="1793" spans="1:11" ht="54" customHeight="1">
      <c r="A1793" s="2" t="s">
        <v>4437</v>
      </c>
      <c r="B1793" s="2" t="s">
        <v>4438</v>
      </c>
      <c r="C1793" s="2" t="s">
        <v>17</v>
      </c>
      <c r="D1793" s="2" t="s">
        <v>55</v>
      </c>
      <c r="E1793" s="5" t="s">
        <v>2865</v>
      </c>
      <c r="F1793" s="3" t="s">
        <v>2866</v>
      </c>
      <c r="G1793" s="3" t="s">
        <v>86</v>
      </c>
      <c r="H1793" s="2" t="s">
        <v>22</v>
      </c>
      <c r="I1793" s="2" t="s">
        <v>4440</v>
      </c>
      <c r="J1793" s="3" t="str">
        <f>HYPERLINK("https://www.boe.es/gazeta/dias/1834/07/06/pdfs/GMD-1834-139.pdf#page=2","Abrir facsímil")</f>
        <v>Abrir facsímil</v>
      </c>
      <c r="K1793" s="3" t="s">
        <v>24</v>
      </c>
    </row>
    <row r="1794" spans="1:11" ht="54" customHeight="1">
      <c r="A1794" s="2" t="s">
        <v>4441</v>
      </c>
      <c r="B1794" s="2" t="s">
        <v>4441</v>
      </c>
      <c r="C1794" s="2" t="s">
        <v>17</v>
      </c>
      <c r="D1794" s="2" t="s">
        <v>18</v>
      </c>
      <c r="E1794" s="5" t="s">
        <v>2037</v>
      </c>
      <c r="F1794" s="3" t="s">
        <v>2038</v>
      </c>
      <c r="G1794" s="3" t="s">
        <v>86</v>
      </c>
      <c r="H1794" s="2" t="s">
        <v>22</v>
      </c>
      <c r="I1794" s="2" t="s">
        <v>4442</v>
      </c>
      <c r="J1794" s="3" t="str">
        <f>HYPERLINK("https://www.boe.es/gazeta/dias/1834/12/01/pdfs/GMD-1834-290.pdf#page=2","Abrir facsímil")</f>
        <v>Abrir facsímil</v>
      </c>
      <c r="K1794" s="3" t="s">
        <v>24</v>
      </c>
    </row>
    <row r="1795" spans="1:11" ht="54" customHeight="1">
      <c r="A1795" s="2" t="s">
        <v>4443</v>
      </c>
      <c r="B1795" s="2" t="s">
        <v>4443</v>
      </c>
      <c r="C1795" s="2" t="s">
        <v>90</v>
      </c>
      <c r="D1795" s="2" t="s">
        <v>18</v>
      </c>
      <c r="E1795" s="5" t="s">
        <v>360</v>
      </c>
      <c r="F1795" s="3" t="s">
        <v>361</v>
      </c>
      <c r="G1795" s="3" t="s">
        <v>21</v>
      </c>
      <c r="H1795" s="2" t="s">
        <v>22</v>
      </c>
      <c r="I1795" s="2" t="s">
        <v>4444</v>
      </c>
      <c r="J1795" s="3" t="str">
        <f>HYPERLINK("https://www.boe.es/gazeta/dias/1834/04/07/pdfs/GMD-1834-46.pdf#page=3","Abrir facsímil")</f>
        <v>Abrir facsímil</v>
      </c>
      <c r="K1795" s="3" t="s">
        <v>24</v>
      </c>
    </row>
    <row r="1796" spans="1:11" ht="54" customHeight="1">
      <c r="A1796" s="2" t="s">
        <v>4443</v>
      </c>
      <c r="B1796" s="2" t="s">
        <v>4443</v>
      </c>
      <c r="C1796" s="2" t="s">
        <v>17</v>
      </c>
      <c r="D1796" s="2" t="s">
        <v>18</v>
      </c>
      <c r="E1796" s="5" t="s">
        <v>360</v>
      </c>
      <c r="F1796" s="3" t="s">
        <v>361</v>
      </c>
      <c r="G1796" s="3" t="s">
        <v>75</v>
      </c>
      <c r="H1796" s="2" t="s">
        <v>22</v>
      </c>
      <c r="I1796" s="2" t="s">
        <v>4445</v>
      </c>
      <c r="J1796" s="3" t="str">
        <f>HYPERLINK("https://www.boe.es/gazeta/dias/1834/04/07/pdfs/GMD-1834-46.pdf#page=4","Abrir facsímil")</f>
        <v>Abrir facsímil</v>
      </c>
      <c r="K1796" s="3" t="s">
        <v>24</v>
      </c>
    </row>
    <row r="1797" spans="1:11" ht="54" customHeight="1">
      <c r="A1797" s="2" t="s">
        <v>4446</v>
      </c>
      <c r="B1797" s="2" t="s">
        <v>4447</v>
      </c>
      <c r="C1797" s="2" t="s">
        <v>17</v>
      </c>
      <c r="D1797" s="2" t="s">
        <v>18</v>
      </c>
      <c r="E1797" s="5" t="s">
        <v>360</v>
      </c>
      <c r="F1797" s="3" t="s">
        <v>361</v>
      </c>
      <c r="G1797" s="3" t="s">
        <v>21</v>
      </c>
      <c r="H1797" s="2" t="s">
        <v>22</v>
      </c>
      <c r="I1797" s="2" t="s">
        <v>4448</v>
      </c>
      <c r="J1797" s="3" t="str">
        <f>HYPERLINK("https://www.boe.es/gazeta/dias/1834/04/07/pdfs/GMD-1834-46.pdf#page=3","Abrir facsímil")</f>
        <v>Abrir facsímil</v>
      </c>
      <c r="K1797" s="3" t="s">
        <v>24</v>
      </c>
    </row>
    <row r="1798" spans="1:11" ht="54" customHeight="1">
      <c r="A1798" s="2" t="s">
        <v>4449</v>
      </c>
      <c r="B1798" s="2" t="s">
        <v>4450</v>
      </c>
      <c r="C1798" s="2" t="s">
        <v>17</v>
      </c>
      <c r="D1798" s="2" t="s">
        <v>18</v>
      </c>
      <c r="E1798" s="5" t="s">
        <v>1812</v>
      </c>
      <c r="F1798" s="3" t="s">
        <v>1813</v>
      </c>
      <c r="G1798" s="3" t="s">
        <v>21</v>
      </c>
      <c r="H1798" s="2" t="s">
        <v>22</v>
      </c>
      <c r="I1798" s="2" t="s">
        <v>4451</v>
      </c>
      <c r="J1798" s="3" t="str">
        <f>HYPERLINK("https://www.boe.es/gazeta/dias/1834/10/23/pdfs/GMD-1834-251.pdf#page=3","Abrir facsímil")</f>
        <v>Abrir facsímil</v>
      </c>
      <c r="K1798" s="3" t="s">
        <v>24</v>
      </c>
    </row>
    <row r="1799" spans="1:11" ht="54" customHeight="1">
      <c r="A1799" s="2" t="s">
        <v>4452</v>
      </c>
      <c r="B1799" s="2" t="s">
        <v>4453</v>
      </c>
      <c r="C1799" s="2" t="s">
        <v>17</v>
      </c>
      <c r="D1799" s="2" t="s">
        <v>18</v>
      </c>
      <c r="E1799" s="5" t="s">
        <v>1812</v>
      </c>
      <c r="F1799" s="3" t="s">
        <v>1813</v>
      </c>
      <c r="G1799" s="3" t="s">
        <v>21</v>
      </c>
      <c r="H1799" s="2" t="s">
        <v>35</v>
      </c>
      <c r="I1799" s="2" t="s">
        <v>4454</v>
      </c>
      <c r="J1799" s="3" t="str">
        <f>HYPERLINK("https://www.boe.es/gazeta/dias/1834/10/23/pdfs/GMD-1834-251.pdf#page=3","Abrir facsímil")</f>
        <v>Abrir facsímil</v>
      </c>
      <c r="K1799" s="3" t="s">
        <v>37</v>
      </c>
    </row>
    <row r="1800" spans="1:11" ht="54" customHeight="1">
      <c r="A1800" s="2" t="s">
        <v>4455</v>
      </c>
      <c r="B1800" s="2" t="s">
        <v>4456</v>
      </c>
      <c r="C1800" s="2" t="s">
        <v>66</v>
      </c>
      <c r="D1800" s="2" t="s">
        <v>67</v>
      </c>
      <c r="E1800" s="5" t="s">
        <v>187</v>
      </c>
      <c r="F1800" s="3" t="s">
        <v>188</v>
      </c>
      <c r="G1800" s="3" t="s">
        <v>21</v>
      </c>
      <c r="H1800" s="2" t="s">
        <v>35</v>
      </c>
      <c r="I1800" s="2" t="s">
        <v>4457</v>
      </c>
      <c r="J1800" s="3" t="str">
        <f>HYPERLINK("https://www.boe.es/gazeta/dias/1834/09/30/pdfs/GMD-1834-228.pdf#page=3","Abrir facsímil")</f>
        <v>Abrir facsímil</v>
      </c>
      <c r="K1800" s="3" t="s">
        <v>37</v>
      </c>
    </row>
    <row r="1801" spans="1:11" ht="54" customHeight="1">
      <c r="A1801" s="2" t="s">
        <v>4458</v>
      </c>
      <c r="B1801" s="2" t="s">
        <v>4459</v>
      </c>
      <c r="C1801" s="2" t="s">
        <v>66</v>
      </c>
      <c r="D1801" s="2" t="s">
        <v>67</v>
      </c>
      <c r="E1801" s="5" t="s">
        <v>187</v>
      </c>
      <c r="F1801" s="3" t="s">
        <v>188</v>
      </c>
      <c r="G1801" s="3" t="s">
        <v>21</v>
      </c>
      <c r="H1801" s="2" t="s">
        <v>22</v>
      </c>
      <c r="I1801" s="2" t="s">
        <v>4460</v>
      </c>
      <c r="J1801" s="3" t="str">
        <f>HYPERLINK("https://www.boe.es/gazeta/dias/1834/09/30/pdfs/GMD-1834-228.pdf#page=3","Abrir facsímil")</f>
        <v>Abrir facsímil</v>
      </c>
      <c r="K1801" s="3" t="s">
        <v>24</v>
      </c>
    </row>
    <row r="1802" spans="1:11" ht="54" customHeight="1">
      <c r="A1802" s="2" t="s">
        <v>4461</v>
      </c>
      <c r="B1802" s="2" t="s">
        <v>4461</v>
      </c>
      <c r="C1802" s="2" t="s">
        <v>46</v>
      </c>
      <c r="D1802" s="2" t="s">
        <v>55</v>
      </c>
      <c r="E1802" s="5" t="s">
        <v>899</v>
      </c>
      <c r="F1802" s="3" t="s">
        <v>900</v>
      </c>
      <c r="G1802" s="3" t="s">
        <v>21</v>
      </c>
      <c r="H1802" s="2" t="s">
        <v>22</v>
      </c>
      <c r="I1802" s="2" t="s">
        <v>4462</v>
      </c>
      <c r="J1802" s="3" t="str">
        <f>HYPERLINK("https://www.boe.es/gazeta/dias/1834/01/30/pdfs/GMD-1834-14.pdf#page=3","Abrir facsímil")</f>
        <v>Abrir facsímil</v>
      </c>
      <c r="K1802" s="3" t="s">
        <v>24</v>
      </c>
    </row>
    <row r="1803" spans="1:11" ht="54" customHeight="1">
      <c r="A1803" s="2" t="s">
        <v>4463</v>
      </c>
      <c r="B1803" s="2" t="s">
        <v>4463</v>
      </c>
      <c r="C1803" s="2" t="s">
        <v>17</v>
      </c>
      <c r="D1803" s="2" t="s">
        <v>55</v>
      </c>
      <c r="E1803" s="5" t="s">
        <v>2748</v>
      </c>
      <c r="F1803" s="3" t="s">
        <v>2749</v>
      </c>
      <c r="G1803" s="3" t="s">
        <v>21</v>
      </c>
      <c r="H1803" s="2" t="s">
        <v>22</v>
      </c>
      <c r="I1803" s="2" t="s">
        <v>4464</v>
      </c>
      <c r="J1803" s="3" t="str">
        <f>HYPERLINK("https://www.boe.es/gazeta/dias/1834/01/09/pdfs/GMD-1834-5.pdf#page=3","Abrir facsímil")</f>
        <v>Abrir facsímil</v>
      </c>
      <c r="K1803" s="3" t="s">
        <v>24</v>
      </c>
    </row>
    <row r="1804" spans="1:11" ht="54" customHeight="1">
      <c r="A1804" s="2" t="s">
        <v>4465</v>
      </c>
      <c r="B1804" s="2" t="s">
        <v>4465</v>
      </c>
      <c r="C1804" s="2" t="s">
        <v>17</v>
      </c>
      <c r="D1804" s="2" t="s">
        <v>18</v>
      </c>
      <c r="E1804" s="5" t="s">
        <v>912</v>
      </c>
      <c r="F1804" s="3" t="s">
        <v>913</v>
      </c>
      <c r="G1804" s="3" t="s">
        <v>75</v>
      </c>
      <c r="H1804" s="2" t="s">
        <v>22</v>
      </c>
      <c r="I1804" s="2" t="s">
        <v>4466</v>
      </c>
      <c r="J1804" s="3" t="str">
        <f>HYPERLINK("https://www.boe.es/gazeta/dias/1834/02/15/pdfs/GMD-1834-21.pdf#page=4","Abrir facsímil")</f>
        <v>Abrir facsímil</v>
      </c>
      <c r="K1804" s="3" t="s">
        <v>24</v>
      </c>
    </row>
    <row r="1805" spans="1:11" ht="54" customHeight="1">
      <c r="A1805" s="2" t="s">
        <v>4467</v>
      </c>
      <c r="B1805" s="2" t="s">
        <v>4468</v>
      </c>
      <c r="C1805" s="2" t="s">
        <v>17</v>
      </c>
      <c r="D1805" s="2" t="s">
        <v>18</v>
      </c>
      <c r="E1805" s="5" t="s">
        <v>1981</v>
      </c>
      <c r="F1805" s="3" t="s">
        <v>1982</v>
      </c>
      <c r="G1805" s="3" t="s">
        <v>75</v>
      </c>
      <c r="H1805" s="2" t="s">
        <v>22</v>
      </c>
      <c r="I1805" s="2" t="s">
        <v>4469</v>
      </c>
      <c r="J1805" s="3" t="str">
        <f>HYPERLINK("https://www.boe.es/gazeta/dias/1834/12/13/pdfs/GMD-1834-302.pdf#page=4","Abrir facsímil")</f>
        <v>Abrir facsímil</v>
      </c>
      <c r="K1805" s="3" t="s">
        <v>24</v>
      </c>
    </row>
    <row r="1806" spans="1:11" ht="54" customHeight="1">
      <c r="A1806" s="2" t="s">
        <v>4470</v>
      </c>
      <c r="B1806" s="2" t="s">
        <v>4471</v>
      </c>
      <c r="C1806" s="2" t="s">
        <v>17</v>
      </c>
      <c r="D1806" s="2" t="s">
        <v>55</v>
      </c>
      <c r="E1806" s="5" t="s">
        <v>939</v>
      </c>
      <c r="F1806" s="3" t="s">
        <v>940</v>
      </c>
      <c r="G1806" s="3" t="s">
        <v>34</v>
      </c>
      <c r="H1806" s="2" t="s">
        <v>22</v>
      </c>
      <c r="I1806" s="2" t="s">
        <v>4472</v>
      </c>
      <c r="J1806" s="3" t="str">
        <f>HYPERLINK("https://www.boe.es/gazeta/dias/1834/06/10/pdfs/GMD-1834-113.pdf#page=1","Abrir facsímil")</f>
        <v>Abrir facsímil</v>
      </c>
      <c r="K1806" s="3" t="s">
        <v>24</v>
      </c>
    </row>
    <row r="1807" spans="1:11" ht="54" customHeight="1">
      <c r="A1807" s="2" t="s">
        <v>4473</v>
      </c>
      <c r="B1807" s="2" t="s">
        <v>4474</v>
      </c>
      <c r="C1807" s="2" t="s">
        <v>122</v>
      </c>
      <c r="D1807" s="2" t="s">
        <v>18</v>
      </c>
      <c r="E1807" s="5" t="s">
        <v>1505</v>
      </c>
      <c r="F1807" s="3" t="s">
        <v>1506</v>
      </c>
      <c r="G1807" s="3" t="s">
        <v>75</v>
      </c>
      <c r="H1807" s="2" t="s">
        <v>22</v>
      </c>
      <c r="I1807" s="2" t="s">
        <v>4475</v>
      </c>
      <c r="J1807" s="3" t="str">
        <f>HYPERLINK("https://www.boe.es/gazeta/dias/1834/05/08/pdfs/GMD-1834-77.pdf#page=4","Abrir facsímil")</f>
        <v>Abrir facsímil</v>
      </c>
      <c r="K1807" s="3" t="s">
        <v>24</v>
      </c>
    </row>
    <row r="1808" spans="1:11" ht="54" customHeight="1">
      <c r="A1808" s="2" t="s">
        <v>4476</v>
      </c>
      <c r="B1808" s="2" t="s">
        <v>4477</v>
      </c>
      <c r="C1808" s="2" t="s">
        <v>17</v>
      </c>
      <c r="D1808" s="2" t="s">
        <v>55</v>
      </c>
      <c r="E1808" s="5" t="s">
        <v>2048</v>
      </c>
      <c r="F1808" s="3" t="s">
        <v>2049</v>
      </c>
      <c r="G1808" s="3" t="s">
        <v>75</v>
      </c>
      <c r="H1808" s="2" t="s">
        <v>22</v>
      </c>
      <c r="I1808" s="2" t="s">
        <v>4478</v>
      </c>
      <c r="J1808" s="3" t="str">
        <f>HYPERLINK("https://www.boe.es/gazeta/dias/1834/05/12/pdfs/GMD-1834-81.pdf#page=4","Abrir facsímil")</f>
        <v>Abrir facsímil</v>
      </c>
      <c r="K1808" s="3" t="s">
        <v>24</v>
      </c>
    </row>
    <row r="1809" spans="1:11" ht="54" customHeight="1">
      <c r="A1809" s="2" t="s">
        <v>4479</v>
      </c>
      <c r="B1809" s="2" t="s">
        <v>4479</v>
      </c>
      <c r="C1809" s="2" t="s">
        <v>46</v>
      </c>
      <c r="D1809" s="2" t="s">
        <v>18</v>
      </c>
      <c r="E1809" s="5" t="s">
        <v>255</v>
      </c>
      <c r="F1809" s="3" t="s">
        <v>2368</v>
      </c>
      <c r="G1809" s="3" t="s">
        <v>86</v>
      </c>
      <c r="H1809" s="2" t="s">
        <v>22</v>
      </c>
      <c r="I1809" s="2" t="s">
        <v>4480</v>
      </c>
      <c r="J1809" s="3" t="str">
        <f>HYPERLINK("https://www.boe.es/gazeta/dias/1834/09/01/pdfs/GMD-1834-199.pdf#page=2","Abrir facsímil")</f>
        <v>Abrir facsímil</v>
      </c>
      <c r="K1809" s="3" t="s">
        <v>24</v>
      </c>
    </row>
    <row r="1810" spans="1:11" ht="54" customHeight="1">
      <c r="A1810" s="2" t="s">
        <v>4479</v>
      </c>
      <c r="B1810" s="2" t="s">
        <v>4479</v>
      </c>
      <c r="C1810" s="2" t="s">
        <v>66</v>
      </c>
      <c r="D1810" s="2" t="s">
        <v>55</v>
      </c>
      <c r="E1810" s="5" t="s">
        <v>762</v>
      </c>
      <c r="F1810" s="3" t="s">
        <v>2227</v>
      </c>
      <c r="G1810" s="3" t="s">
        <v>21</v>
      </c>
      <c r="H1810" s="2" t="s">
        <v>22</v>
      </c>
      <c r="I1810" s="2" t="s">
        <v>4481</v>
      </c>
      <c r="J1810" s="3" t="str">
        <f>HYPERLINK("https://www.boe.es/gazeta/dias/1834/11/07/pdfs/GMD-C-1834-266.pdf#page=3","Abrir facsímil")</f>
        <v>Abrir facsímil</v>
      </c>
      <c r="K1810" s="3" t="s">
        <v>24</v>
      </c>
    </row>
    <row r="1811" spans="1:11" ht="54" customHeight="1">
      <c r="A1811" s="2" t="s">
        <v>4479</v>
      </c>
      <c r="B1811" s="2" t="s">
        <v>4479</v>
      </c>
      <c r="C1811" s="2" t="s">
        <v>66</v>
      </c>
      <c r="D1811" s="2" t="s">
        <v>18</v>
      </c>
      <c r="E1811" s="5" t="s">
        <v>1365</v>
      </c>
      <c r="F1811" s="3" t="s">
        <v>1366</v>
      </c>
      <c r="G1811" s="3" t="s">
        <v>75</v>
      </c>
      <c r="H1811" s="2" t="s">
        <v>22</v>
      </c>
      <c r="I1811" s="2" t="s">
        <v>4482</v>
      </c>
      <c r="J1811" s="3" t="str">
        <f>HYPERLINK("https://www.boe.es/gazeta/dias/1834/06/20/pdfs/GMD-1834-123.pdf#page=4","Abrir facsímil")</f>
        <v>Abrir facsímil</v>
      </c>
      <c r="K1811" s="3" t="s">
        <v>24</v>
      </c>
    </row>
    <row r="1812" spans="1:11" ht="54" customHeight="1">
      <c r="A1812" s="2" t="s">
        <v>4483</v>
      </c>
      <c r="B1812" s="2" t="s">
        <v>4484</v>
      </c>
      <c r="C1812" s="2" t="s">
        <v>122</v>
      </c>
      <c r="D1812" s="2" t="s">
        <v>18</v>
      </c>
      <c r="E1812" s="5" t="s">
        <v>1239</v>
      </c>
      <c r="F1812" s="3" t="s">
        <v>1240</v>
      </c>
      <c r="G1812" s="3" t="s">
        <v>86</v>
      </c>
      <c r="H1812" s="2" t="s">
        <v>22</v>
      </c>
      <c r="I1812" s="2" t="s">
        <v>4485</v>
      </c>
      <c r="J1812" s="3" t="str">
        <f>HYPERLINK("https://www.boe.es/gazeta/dias/1834/08/20/pdfs/GMD-1834-186.pdf#page=2","Abrir facsímil")</f>
        <v>Abrir facsímil</v>
      </c>
      <c r="K1812" s="3" t="s">
        <v>24</v>
      </c>
    </row>
    <row r="1813" spans="1:11" ht="54" customHeight="1">
      <c r="A1813" s="2" t="s">
        <v>4486</v>
      </c>
      <c r="B1813" s="2" t="s">
        <v>4487</v>
      </c>
      <c r="C1813" s="2" t="s">
        <v>17</v>
      </c>
      <c r="D1813" s="2" t="s">
        <v>18</v>
      </c>
      <c r="E1813" s="5" t="s">
        <v>563</v>
      </c>
      <c r="F1813" s="3" t="s">
        <v>564</v>
      </c>
      <c r="G1813" s="3" t="s">
        <v>28</v>
      </c>
      <c r="H1813" s="2" t="s">
        <v>22</v>
      </c>
      <c r="I1813" s="2" t="s">
        <v>4488</v>
      </c>
      <c r="J1813" s="3" t="str">
        <f>HYPERLINK("https://www.boe.es/gazeta/dias/1834/04/19/pdfs/GMD-1834-58.pdf#page=5","Abrir facsímil")</f>
        <v>Abrir facsímil</v>
      </c>
      <c r="K1813" s="3" t="s">
        <v>24</v>
      </c>
    </row>
    <row r="1814" spans="1:11" ht="54" customHeight="1">
      <c r="A1814" s="2" t="s">
        <v>4489</v>
      </c>
      <c r="B1814" s="2" t="s">
        <v>4490</v>
      </c>
      <c r="C1814" s="2" t="s">
        <v>66</v>
      </c>
      <c r="D1814" s="2" t="s">
        <v>67</v>
      </c>
      <c r="E1814" s="5" t="s">
        <v>1178</v>
      </c>
      <c r="F1814" s="3" t="s">
        <v>1179</v>
      </c>
      <c r="G1814" s="3" t="s">
        <v>86</v>
      </c>
      <c r="H1814" s="2" t="s">
        <v>22</v>
      </c>
      <c r="I1814" s="2" t="s">
        <v>4491</v>
      </c>
      <c r="J1814" s="3" t="str">
        <f>HYPERLINK("https://www.boe.es/gazeta/dias/1834/04/10/pdfs/GMD-C-1834-49.pdf#page=2","Abrir facsímil")</f>
        <v>Abrir facsímil</v>
      </c>
      <c r="K1814" s="3" t="s">
        <v>24</v>
      </c>
    </row>
    <row r="1815" spans="1:11" ht="54" customHeight="1">
      <c r="A1815" s="2" t="s">
        <v>4492</v>
      </c>
      <c r="B1815" s="2" t="s">
        <v>4492</v>
      </c>
      <c r="C1815" s="2" t="s">
        <v>17</v>
      </c>
      <c r="D1815" s="2" t="s">
        <v>18</v>
      </c>
      <c r="E1815" s="5" t="s">
        <v>3225</v>
      </c>
      <c r="F1815" s="3" t="s">
        <v>3226</v>
      </c>
      <c r="G1815" s="3" t="s">
        <v>75</v>
      </c>
      <c r="H1815" s="2" t="s">
        <v>22</v>
      </c>
      <c r="I1815" s="2" t="s">
        <v>4493</v>
      </c>
      <c r="J1815" s="3" t="str">
        <f>HYPERLINK("https://www.boe.es/gazeta/dias/1834/08/22/pdfs/GMD-1834-188.pdf#page=4","Abrir facsímil")</f>
        <v>Abrir facsímil</v>
      </c>
      <c r="K1815" s="3" t="s">
        <v>24</v>
      </c>
    </row>
    <row r="1816" spans="1:11" ht="54" customHeight="1">
      <c r="A1816" s="2" t="s">
        <v>4494</v>
      </c>
      <c r="B1816" s="2" t="s">
        <v>4495</v>
      </c>
      <c r="C1816" s="2" t="s">
        <v>66</v>
      </c>
      <c r="D1816" s="2" t="s">
        <v>67</v>
      </c>
      <c r="E1816" s="5" t="s">
        <v>1556</v>
      </c>
      <c r="F1816" s="3" t="s">
        <v>1557</v>
      </c>
      <c r="G1816" s="3" t="s">
        <v>21</v>
      </c>
      <c r="H1816" s="2" t="s">
        <v>35</v>
      </c>
      <c r="I1816" s="2" t="s">
        <v>4496</v>
      </c>
      <c r="J1816" s="3" t="str">
        <f>HYPERLINK("https://www.boe.es/gazeta/dias/1834/06/06/pdfs/GMD-1834-108.pdf#page=3","Abrir facsímil")</f>
        <v>Abrir facsímil</v>
      </c>
      <c r="K1816" s="3" t="s">
        <v>37</v>
      </c>
    </row>
    <row r="1817" spans="1:11" ht="54" customHeight="1">
      <c r="A1817" s="2" t="s">
        <v>4497</v>
      </c>
      <c r="B1817" s="2" t="s">
        <v>4498</v>
      </c>
      <c r="C1817" s="2" t="s">
        <v>66</v>
      </c>
      <c r="D1817" s="2" t="s">
        <v>18</v>
      </c>
      <c r="E1817" s="5" t="s">
        <v>1556</v>
      </c>
      <c r="F1817" s="3" t="s">
        <v>1557</v>
      </c>
      <c r="G1817" s="3" t="s">
        <v>21</v>
      </c>
      <c r="H1817" s="2" t="s">
        <v>22</v>
      </c>
      <c r="I1817" s="2" t="s">
        <v>4499</v>
      </c>
      <c r="J1817" s="3" t="str">
        <f>HYPERLINK("https://www.boe.es/gazeta/dias/1834/06/06/pdfs/GMD-1834-108.pdf#page=3","Abrir facsímil")</f>
        <v>Abrir facsímil</v>
      </c>
      <c r="K1817" s="3" t="s">
        <v>24</v>
      </c>
    </row>
    <row r="1818" spans="1:11" ht="54" customHeight="1">
      <c r="A1818" s="2" t="s">
        <v>4500</v>
      </c>
      <c r="B1818" s="2" t="s">
        <v>4501</v>
      </c>
      <c r="C1818" s="2" t="s">
        <v>90</v>
      </c>
      <c r="D1818" s="2" t="s">
        <v>101</v>
      </c>
      <c r="E1818" s="5" t="s">
        <v>158</v>
      </c>
      <c r="F1818" s="3" t="s">
        <v>159</v>
      </c>
      <c r="G1818" s="3" t="s">
        <v>21</v>
      </c>
      <c r="H1818" s="2" t="s">
        <v>22</v>
      </c>
      <c r="I1818" s="2" t="s">
        <v>4502</v>
      </c>
      <c r="J1818" s="3" t="str">
        <f>HYPERLINK("https://www.boe.es/gazeta/dias/1834/10/01/pdfs/GMD-1834-229.pdf#page=3","Abrir facsímil")</f>
        <v>Abrir facsímil</v>
      </c>
      <c r="K1818" s="3" t="s">
        <v>24</v>
      </c>
    </row>
    <row r="1819" spans="1:11" ht="54" customHeight="1">
      <c r="A1819" s="2" t="s">
        <v>4503</v>
      </c>
      <c r="B1819" s="2" t="s">
        <v>4503</v>
      </c>
      <c r="C1819" s="2" t="s">
        <v>46</v>
      </c>
      <c r="D1819" s="2" t="s">
        <v>18</v>
      </c>
      <c r="E1819" s="5" t="s">
        <v>571</v>
      </c>
      <c r="F1819" s="3" t="s">
        <v>572</v>
      </c>
      <c r="G1819" s="3" t="s">
        <v>86</v>
      </c>
      <c r="H1819" s="2" t="s">
        <v>22</v>
      </c>
      <c r="I1819" s="2" t="s">
        <v>4504</v>
      </c>
      <c r="J1819" s="3" t="str">
        <f>HYPERLINK("https://www.boe.es/gazeta/dias/1834/09/04/pdfs/GMD-1834-202.pdf#page=2","Abrir facsímil")</f>
        <v>Abrir facsímil</v>
      </c>
      <c r="K1819" s="3" t="s">
        <v>24</v>
      </c>
    </row>
    <row r="1820" spans="1:11" ht="54" customHeight="1">
      <c r="A1820" s="2" t="s">
        <v>4505</v>
      </c>
      <c r="B1820" s="2" t="s">
        <v>4506</v>
      </c>
      <c r="C1820" s="2" t="s">
        <v>66</v>
      </c>
      <c r="D1820" s="2" t="s">
        <v>67</v>
      </c>
      <c r="E1820" s="5" t="s">
        <v>133</v>
      </c>
      <c r="F1820" s="3" t="s">
        <v>134</v>
      </c>
      <c r="G1820" s="3" t="s">
        <v>34</v>
      </c>
      <c r="H1820" s="2" t="s">
        <v>22</v>
      </c>
      <c r="I1820" s="2" t="s">
        <v>4507</v>
      </c>
      <c r="J1820" s="3" t="str">
        <f>HYPERLINK("https://www.boe.es/gazeta/dias/1834/06/18/pdfs/GMD-1834-121.pdf#page=1","Abrir facsímil")</f>
        <v>Abrir facsímil</v>
      </c>
      <c r="K1820" s="3" t="s">
        <v>24</v>
      </c>
    </row>
    <row r="1821" spans="1:11" ht="54" customHeight="1">
      <c r="A1821" s="2" t="s">
        <v>4508</v>
      </c>
      <c r="B1821" s="2" t="s">
        <v>4509</v>
      </c>
      <c r="C1821" s="2" t="s">
        <v>66</v>
      </c>
      <c r="D1821" s="2" t="s">
        <v>67</v>
      </c>
      <c r="E1821" s="5" t="s">
        <v>1017</v>
      </c>
      <c r="F1821" s="3" t="s">
        <v>1018</v>
      </c>
      <c r="G1821" s="3" t="s">
        <v>86</v>
      </c>
      <c r="H1821" s="2" t="s">
        <v>22</v>
      </c>
      <c r="I1821" s="2" t="s">
        <v>4510</v>
      </c>
      <c r="J1821" s="3" t="str">
        <f>HYPERLINK("https://www.boe.es/gazeta/dias/1834/07/24/pdfs/GMD-1834-157.pdf#page=2","Abrir facsímil")</f>
        <v>Abrir facsímil</v>
      </c>
      <c r="K1821" s="3" t="s">
        <v>24</v>
      </c>
    </row>
    <row r="1822" spans="1:11" ht="54" customHeight="1">
      <c r="A1822" s="2" t="s">
        <v>4511</v>
      </c>
      <c r="B1822" s="2" t="s">
        <v>4512</v>
      </c>
      <c r="C1822" s="2" t="s">
        <v>46</v>
      </c>
      <c r="D1822" s="2" t="s">
        <v>55</v>
      </c>
      <c r="E1822" s="5" t="s">
        <v>1918</v>
      </c>
      <c r="F1822" s="3" t="s">
        <v>1919</v>
      </c>
      <c r="G1822" s="3" t="s">
        <v>21</v>
      </c>
      <c r="H1822" s="2" t="s">
        <v>22</v>
      </c>
      <c r="I1822" s="2" t="s">
        <v>4513</v>
      </c>
      <c r="J1822" s="3" t="str">
        <f>HYPERLINK("https://www.boe.es/gazeta/dias/1834/03/22/pdfs/GMD-1834-36.pdf#page=3","Abrir facsímil")</f>
        <v>Abrir facsímil</v>
      </c>
      <c r="K1822" s="3" t="s">
        <v>24</v>
      </c>
    </row>
    <row r="1823" spans="1:11" ht="54" customHeight="1">
      <c r="A1823" s="2" t="s">
        <v>4514</v>
      </c>
      <c r="B1823" s="2" t="s">
        <v>4515</v>
      </c>
      <c r="C1823" s="2" t="s">
        <v>17</v>
      </c>
      <c r="D1823" s="2" t="s">
        <v>18</v>
      </c>
      <c r="E1823" s="5" t="s">
        <v>793</v>
      </c>
      <c r="F1823" s="3" t="s">
        <v>1895</v>
      </c>
      <c r="G1823" s="3" t="s">
        <v>75</v>
      </c>
      <c r="H1823" s="2" t="s">
        <v>22</v>
      </c>
      <c r="I1823" s="2" t="s">
        <v>4516</v>
      </c>
      <c r="J1823" s="3" t="str">
        <f>HYPERLINK("https://www.boe.es/gazeta/dias/1834/10/08/pdfs/GMD-C-1834-236.pdf#page=4","Abrir facsímil")</f>
        <v>Abrir facsímil</v>
      </c>
      <c r="K1823" s="3" t="s">
        <v>24</v>
      </c>
    </row>
    <row r="1824" spans="1:11" ht="54" customHeight="1">
      <c r="A1824" s="2" t="s">
        <v>4517</v>
      </c>
      <c r="B1824" s="2" t="s">
        <v>4518</v>
      </c>
      <c r="C1824" s="2" t="s">
        <v>17</v>
      </c>
      <c r="D1824" s="2" t="s">
        <v>18</v>
      </c>
      <c r="E1824" s="5" t="s">
        <v>167</v>
      </c>
      <c r="F1824" s="3" t="s">
        <v>1200</v>
      </c>
      <c r="G1824" s="3" t="s">
        <v>86</v>
      </c>
      <c r="H1824" s="2" t="s">
        <v>22</v>
      </c>
      <c r="I1824" s="2" t="s">
        <v>4519</v>
      </c>
      <c r="J1824" s="3" t="str">
        <f>HYPERLINK("https://www.boe.es/gazeta/dias/1834/09/07/pdfs/GMD-C-1834-205.pdf#page=2","Abrir facsímil")</f>
        <v>Abrir facsímil</v>
      </c>
      <c r="K1824" s="3" t="s">
        <v>24</v>
      </c>
    </row>
    <row r="1825" spans="1:11" ht="54" customHeight="1">
      <c r="A1825" s="2" t="s">
        <v>4520</v>
      </c>
      <c r="B1825" s="2" t="s">
        <v>4521</v>
      </c>
      <c r="C1825" s="2" t="s">
        <v>17</v>
      </c>
      <c r="D1825" s="2" t="s">
        <v>18</v>
      </c>
      <c r="E1825" s="5" t="s">
        <v>1839</v>
      </c>
      <c r="F1825" s="3" t="s">
        <v>1840</v>
      </c>
      <c r="G1825" s="3" t="s">
        <v>34</v>
      </c>
      <c r="H1825" s="2" t="s">
        <v>22</v>
      </c>
      <c r="I1825" s="2" t="s">
        <v>4522</v>
      </c>
      <c r="J1825" s="3" t="str">
        <f>HYPERLINK("https://www.boe.es/gazeta/dias/1834/08/12/pdfs/GMD-C-1834-177.pdf#page=1","Abrir facsímil")</f>
        <v>Abrir facsímil</v>
      </c>
      <c r="K1825" s="3" t="s">
        <v>24</v>
      </c>
    </row>
    <row r="1826" spans="1:11" ht="54" customHeight="1">
      <c r="A1826" s="2" t="s">
        <v>4523</v>
      </c>
      <c r="B1826" s="2" t="s">
        <v>4523</v>
      </c>
      <c r="C1826" s="2" t="s">
        <v>17</v>
      </c>
      <c r="D1826" s="2" t="s">
        <v>101</v>
      </c>
      <c r="E1826" s="5" t="s">
        <v>1850</v>
      </c>
      <c r="F1826" s="3" t="s">
        <v>1851</v>
      </c>
      <c r="G1826" s="3" t="s">
        <v>28</v>
      </c>
      <c r="H1826" s="2" t="s">
        <v>22</v>
      </c>
      <c r="I1826" s="2" t="s">
        <v>4524</v>
      </c>
      <c r="J1826" s="3" t="str">
        <f>HYPERLINK("https://www.boe.es/gazeta/dias/1834/02/18/pdfs/GMD-1834-22.pdf#page=5","Abrir facsímil")</f>
        <v>Abrir facsímil</v>
      </c>
      <c r="K1826" s="3" t="s">
        <v>24</v>
      </c>
    </row>
    <row r="1827" spans="1:11" ht="54" customHeight="1">
      <c r="A1827" s="2" t="s">
        <v>4525</v>
      </c>
      <c r="B1827" s="2" t="s">
        <v>4526</v>
      </c>
      <c r="C1827" s="2" t="s">
        <v>90</v>
      </c>
      <c r="D1827" s="2" t="s">
        <v>55</v>
      </c>
      <c r="E1827" s="5" t="s">
        <v>4527</v>
      </c>
      <c r="F1827" s="3" t="s">
        <v>4528</v>
      </c>
      <c r="G1827" s="3" t="s">
        <v>34</v>
      </c>
      <c r="H1827" s="2" t="s">
        <v>22</v>
      </c>
      <c r="I1827" s="2" t="s">
        <v>4529</v>
      </c>
      <c r="J1827" s="3" t="str">
        <f>HYPERLINK("https://www.boe.es/gazeta/dias/1834/05/03/pdfs/GMD-1834-72.pdf#page=1","Abrir facsímil")</f>
        <v>Abrir facsímil</v>
      </c>
      <c r="K1827" s="3" t="s">
        <v>24</v>
      </c>
    </row>
    <row r="1828" spans="1:11" ht="54" customHeight="1">
      <c r="A1828" s="2" t="s">
        <v>4525</v>
      </c>
      <c r="B1828" s="2" t="s">
        <v>4526</v>
      </c>
      <c r="C1828" s="2" t="s">
        <v>66</v>
      </c>
      <c r="D1828" s="2" t="s">
        <v>67</v>
      </c>
      <c r="E1828" s="5" t="s">
        <v>758</v>
      </c>
      <c r="F1828" s="3" t="s">
        <v>759</v>
      </c>
      <c r="G1828" s="3" t="s">
        <v>86</v>
      </c>
      <c r="H1828" s="2" t="s">
        <v>22</v>
      </c>
      <c r="I1828" s="2" t="s">
        <v>4530</v>
      </c>
      <c r="J1828" s="3" t="str">
        <f>HYPERLINK("https://www.boe.es/gazeta/dias/1834/01/04/pdfs/GMD-1834-3.pdf#page=2","Abrir facsímil")</f>
        <v>Abrir facsímil</v>
      </c>
      <c r="K1828" s="3" t="s">
        <v>24</v>
      </c>
    </row>
    <row r="1829" spans="1:11" ht="54" customHeight="1">
      <c r="A1829" s="2" t="s">
        <v>4525</v>
      </c>
      <c r="B1829" s="2" t="s">
        <v>4526</v>
      </c>
      <c r="C1829" s="2" t="s">
        <v>17</v>
      </c>
      <c r="D1829" s="2" t="s">
        <v>18</v>
      </c>
      <c r="E1829" s="5" t="s">
        <v>389</v>
      </c>
      <c r="F1829" s="3" t="s">
        <v>390</v>
      </c>
      <c r="G1829" s="3" t="s">
        <v>86</v>
      </c>
      <c r="H1829" s="2" t="s">
        <v>22</v>
      </c>
      <c r="I1829" s="2" t="s">
        <v>4531</v>
      </c>
      <c r="J1829" s="3" t="str">
        <f>HYPERLINK("https://www.boe.es/gazeta/dias/1834/10/25/pdfs/GMD-1834-253.pdf#page=2","Abrir facsímil")</f>
        <v>Abrir facsímil</v>
      </c>
      <c r="K1829" s="3" t="s">
        <v>24</v>
      </c>
    </row>
    <row r="1830" spans="1:11" ht="54" customHeight="1">
      <c r="A1830" s="2" t="s">
        <v>4525</v>
      </c>
      <c r="B1830" s="2" t="s">
        <v>4526</v>
      </c>
      <c r="C1830" s="2" t="s">
        <v>90</v>
      </c>
      <c r="D1830" s="2" t="s">
        <v>18</v>
      </c>
      <c r="E1830" s="5" t="s">
        <v>510</v>
      </c>
      <c r="F1830" s="3" t="s">
        <v>511</v>
      </c>
      <c r="G1830" s="3" t="s">
        <v>21</v>
      </c>
      <c r="H1830" s="2" t="s">
        <v>22</v>
      </c>
      <c r="I1830" s="2" t="s">
        <v>4532</v>
      </c>
      <c r="J1830" s="3" t="str">
        <f>HYPERLINK("https://www.boe.es/gazeta/dias/1834/11/26/pdfs/GMD-1834-285.pdf#page=3","Abrir facsímil")</f>
        <v>Abrir facsímil</v>
      </c>
      <c r="K1830" s="3" t="s">
        <v>24</v>
      </c>
    </row>
    <row r="1831" spans="1:11" ht="54" customHeight="1">
      <c r="A1831" s="2" t="s">
        <v>4525</v>
      </c>
      <c r="B1831" s="2" t="s">
        <v>4526</v>
      </c>
      <c r="C1831" s="2" t="s">
        <v>46</v>
      </c>
      <c r="D1831" s="2" t="s">
        <v>18</v>
      </c>
      <c r="E1831" s="5" t="s">
        <v>891</v>
      </c>
      <c r="F1831" s="3" t="s">
        <v>3608</v>
      </c>
      <c r="G1831" s="3" t="s">
        <v>21</v>
      </c>
      <c r="H1831" s="2" t="s">
        <v>22</v>
      </c>
      <c r="I1831" s="2" t="s">
        <v>4533</v>
      </c>
      <c r="J1831" s="3" t="str">
        <f>HYPERLINK("https://www.boe.es/gazeta/dias/1834/10/31/pdfs/GMD-1834-259.pdf#page=3","Abrir facsímil")</f>
        <v>Abrir facsímil</v>
      </c>
      <c r="K1831" s="3" t="s">
        <v>24</v>
      </c>
    </row>
    <row r="1832" spans="1:11" ht="54" customHeight="1">
      <c r="A1832" s="2" t="s">
        <v>4534</v>
      </c>
      <c r="B1832" s="2" t="s">
        <v>4535</v>
      </c>
      <c r="C1832" s="2" t="s">
        <v>122</v>
      </c>
      <c r="D1832" s="2" t="s">
        <v>101</v>
      </c>
      <c r="E1832" s="5" t="s">
        <v>117</v>
      </c>
      <c r="F1832" s="3" t="s">
        <v>118</v>
      </c>
      <c r="G1832" s="3" t="s">
        <v>75</v>
      </c>
      <c r="H1832" s="2" t="s">
        <v>22</v>
      </c>
      <c r="I1832" s="2" t="s">
        <v>4536</v>
      </c>
      <c r="J1832" s="3" t="str">
        <f>HYPERLINK("https://www.boe.es/gazeta/dias/1834/07/21/pdfs/GMD-1834-154.pdf#page=4","Abrir facsímil")</f>
        <v>Abrir facsímil</v>
      </c>
      <c r="K1832" s="3" t="s">
        <v>24</v>
      </c>
    </row>
    <row r="1833" spans="1:11" ht="54" customHeight="1">
      <c r="A1833" s="2" t="s">
        <v>4537</v>
      </c>
      <c r="B1833" s="2" t="s">
        <v>4538</v>
      </c>
      <c r="C1833" s="2" t="s">
        <v>17</v>
      </c>
      <c r="D1833" s="2" t="s">
        <v>18</v>
      </c>
      <c r="E1833" s="5" t="s">
        <v>860</v>
      </c>
      <c r="F1833" s="3" t="s">
        <v>861</v>
      </c>
      <c r="G1833" s="3" t="s">
        <v>176</v>
      </c>
      <c r="H1833" s="2" t="s">
        <v>22</v>
      </c>
      <c r="I1833" s="2" t="s">
        <v>4539</v>
      </c>
      <c r="J1833" s="3" t="str">
        <f>HYPERLINK("https://www.boe.es/gazeta/dias/1834/02/08/pdfs/GMD-1834-18.pdf#page=6","Abrir facsímil")</f>
        <v>Abrir facsímil</v>
      </c>
      <c r="K1833" s="3" t="s">
        <v>24</v>
      </c>
    </row>
    <row r="1834" spans="1:11" ht="54" customHeight="1">
      <c r="A1834" s="2" t="s">
        <v>4540</v>
      </c>
      <c r="B1834" s="2" t="s">
        <v>4540</v>
      </c>
      <c r="C1834" s="2" t="s">
        <v>66</v>
      </c>
      <c r="D1834" s="2" t="s">
        <v>67</v>
      </c>
      <c r="E1834" s="5" t="s">
        <v>642</v>
      </c>
      <c r="F1834" s="3" t="s">
        <v>1843</v>
      </c>
      <c r="G1834" s="3" t="s">
        <v>86</v>
      </c>
      <c r="H1834" s="2" t="s">
        <v>22</v>
      </c>
      <c r="I1834" s="2" t="s">
        <v>4541</v>
      </c>
      <c r="J1834" s="3" t="str">
        <f>HYPERLINK("https://www.boe.es/gazeta/dias/1834/11/12/pdfs/GMD-1834-271.pdf#page=2","Abrir facsímil")</f>
        <v>Abrir facsímil</v>
      </c>
      <c r="K1834" s="3" t="s">
        <v>24</v>
      </c>
    </row>
    <row r="1835" spans="1:11" ht="54" customHeight="1">
      <c r="A1835" s="2" t="s">
        <v>4542</v>
      </c>
      <c r="B1835" s="2" t="s">
        <v>4543</v>
      </c>
      <c r="C1835" s="2" t="s">
        <v>17</v>
      </c>
      <c r="D1835" s="2" t="s">
        <v>18</v>
      </c>
      <c r="E1835" s="5" t="s">
        <v>615</v>
      </c>
      <c r="F1835" s="3" t="s">
        <v>616</v>
      </c>
      <c r="G1835" s="3" t="s">
        <v>86</v>
      </c>
      <c r="H1835" s="2" t="s">
        <v>22</v>
      </c>
      <c r="I1835" s="2" t="s">
        <v>4544</v>
      </c>
      <c r="J1835" s="3" t="str">
        <f>HYPERLINK("https://www.boe.es/gazeta/dias/1834/08/19/pdfs/GMD-1834-185.pdf#page=2","Abrir facsímil")</f>
        <v>Abrir facsímil</v>
      </c>
      <c r="K1835" s="3" t="s">
        <v>24</v>
      </c>
    </row>
    <row r="1836" spans="1:11" ht="54" customHeight="1">
      <c r="A1836" s="2" t="s">
        <v>4545</v>
      </c>
      <c r="B1836" s="2" t="s">
        <v>4546</v>
      </c>
      <c r="C1836" s="2" t="s">
        <v>17</v>
      </c>
      <c r="D1836" s="2" t="s">
        <v>18</v>
      </c>
      <c r="E1836" s="5" t="s">
        <v>1459</v>
      </c>
      <c r="F1836" s="3" t="s">
        <v>1460</v>
      </c>
      <c r="G1836" s="3" t="s">
        <v>21</v>
      </c>
      <c r="H1836" s="2" t="s">
        <v>22</v>
      </c>
      <c r="I1836" s="2" t="s">
        <v>4547</v>
      </c>
      <c r="J1836" s="3" t="str">
        <f>HYPERLINK("https://www.boe.es/gazeta/dias/1834/08/18/pdfs/GMD-1834-184.pdf#page=3","Abrir facsímil")</f>
        <v>Abrir facsímil</v>
      </c>
      <c r="K1836" s="3" t="s">
        <v>24</v>
      </c>
    </row>
    <row r="1837" spans="1:11" ht="54" customHeight="1">
      <c r="A1837" s="2" t="s">
        <v>4548</v>
      </c>
      <c r="B1837" s="2" t="s">
        <v>4548</v>
      </c>
      <c r="C1837" s="2" t="s">
        <v>90</v>
      </c>
      <c r="D1837" s="2" t="s">
        <v>67</v>
      </c>
      <c r="E1837" s="5" t="s">
        <v>1297</v>
      </c>
      <c r="F1837" s="3" t="s">
        <v>1298</v>
      </c>
      <c r="G1837" s="3" t="s">
        <v>34</v>
      </c>
      <c r="H1837" s="2" t="s">
        <v>22</v>
      </c>
      <c r="I1837" s="2" t="s">
        <v>4549</v>
      </c>
      <c r="J1837" s="3" t="str">
        <f>HYPERLINK("https://www.boe.es/gazeta/dias/1834/08/01/pdfs/GMD-1834-165.pdf#page=1","Abrir facsímil")</f>
        <v>Abrir facsímil</v>
      </c>
      <c r="K1837" s="3" t="s">
        <v>24</v>
      </c>
    </row>
    <row r="1838" spans="1:11" ht="54" customHeight="1">
      <c r="A1838" s="2" t="s">
        <v>4550</v>
      </c>
      <c r="B1838" s="2" t="s">
        <v>4551</v>
      </c>
      <c r="C1838" s="2" t="s">
        <v>46</v>
      </c>
      <c r="D1838" s="2" t="s">
        <v>101</v>
      </c>
      <c r="E1838" s="5" t="s">
        <v>606</v>
      </c>
      <c r="F1838" s="3" t="s">
        <v>607</v>
      </c>
      <c r="G1838" s="3" t="s">
        <v>75</v>
      </c>
      <c r="H1838" s="2" t="s">
        <v>22</v>
      </c>
      <c r="I1838" s="2" t="s">
        <v>4552</v>
      </c>
      <c r="J1838" s="3" t="str">
        <f>HYPERLINK("https://www.boe.es/gazeta/dias/1834/06/23/pdfs/GMD-1834-126.pdf#page=4","Abrir facsímil")</f>
        <v>Abrir facsímil</v>
      </c>
      <c r="K1838" s="3" t="s">
        <v>24</v>
      </c>
    </row>
    <row r="1839" spans="1:11" ht="54" customHeight="1">
      <c r="A1839" s="2" t="s">
        <v>4553</v>
      </c>
      <c r="B1839" s="2" t="s">
        <v>4554</v>
      </c>
      <c r="C1839" s="2" t="s">
        <v>46</v>
      </c>
      <c r="D1839" s="2" t="s">
        <v>18</v>
      </c>
      <c r="E1839" s="5" t="s">
        <v>2098</v>
      </c>
      <c r="F1839" s="3" t="s">
        <v>2099</v>
      </c>
      <c r="G1839" s="3" t="s">
        <v>75</v>
      </c>
      <c r="H1839" s="2" t="s">
        <v>35</v>
      </c>
      <c r="I1839" s="2" t="s">
        <v>4555</v>
      </c>
      <c r="J1839" s="3" t="str">
        <f>HYPERLINK("https://www.boe.es/gazeta/dias/1834/08/11/pdfs/GMD-1834-176.pdf#page=4","Abrir facsímil")</f>
        <v>Abrir facsímil</v>
      </c>
      <c r="K1839" s="3" t="s">
        <v>37</v>
      </c>
    </row>
    <row r="1840" spans="1:11" ht="54" customHeight="1">
      <c r="A1840" s="2" t="s">
        <v>4556</v>
      </c>
      <c r="B1840" s="2" t="s">
        <v>4557</v>
      </c>
      <c r="C1840" s="2" t="s">
        <v>17</v>
      </c>
      <c r="D1840" s="2" t="s">
        <v>18</v>
      </c>
      <c r="E1840" s="5" t="s">
        <v>1234</v>
      </c>
      <c r="F1840" s="3" t="s">
        <v>1455</v>
      </c>
      <c r="G1840" s="3" t="s">
        <v>21</v>
      </c>
      <c r="H1840" s="2" t="s">
        <v>22</v>
      </c>
      <c r="I1840" s="2" t="s">
        <v>4558</v>
      </c>
      <c r="J1840" s="3" t="str">
        <f>HYPERLINK("https://www.boe.es/gazeta/dias/1834/05/15/pdfs/GMD-1834-84.pdf#page=3","Abrir facsímil")</f>
        <v>Abrir facsímil</v>
      </c>
      <c r="K1840" s="3" t="s">
        <v>24</v>
      </c>
    </row>
    <row r="1841" spans="1:11" ht="54" customHeight="1">
      <c r="A1841" s="2" t="s">
        <v>4559</v>
      </c>
      <c r="B1841" s="2" t="s">
        <v>4559</v>
      </c>
      <c r="C1841" s="2" t="s">
        <v>17</v>
      </c>
      <c r="D1841" s="2" t="s">
        <v>18</v>
      </c>
      <c r="E1841" s="5" t="s">
        <v>4064</v>
      </c>
      <c r="F1841" s="3" t="s">
        <v>4065</v>
      </c>
      <c r="G1841" s="3" t="s">
        <v>21</v>
      </c>
      <c r="H1841" s="2" t="s">
        <v>22</v>
      </c>
      <c r="I1841" s="2" t="s">
        <v>4560</v>
      </c>
      <c r="J1841" s="3" t="str">
        <f>HYPERLINK("https://www.boe.es/gazeta/dias/1834/07/22/pdfs/GMD-1834-155.pdf#page=3","Abrir facsímil")</f>
        <v>Abrir facsímil</v>
      </c>
      <c r="K1841" s="3" t="s">
        <v>24</v>
      </c>
    </row>
    <row r="1842" spans="1:11" ht="54" customHeight="1">
      <c r="A1842" s="2" t="s">
        <v>4561</v>
      </c>
      <c r="B1842" s="2" t="s">
        <v>4562</v>
      </c>
      <c r="C1842" s="2" t="s">
        <v>17</v>
      </c>
      <c r="D1842" s="2" t="s">
        <v>40</v>
      </c>
      <c r="E1842" s="5" t="s">
        <v>1234</v>
      </c>
      <c r="F1842" s="3" t="s">
        <v>1455</v>
      </c>
      <c r="G1842" s="3" t="s">
        <v>21</v>
      </c>
      <c r="H1842" s="2" t="s">
        <v>22</v>
      </c>
      <c r="I1842" s="2" t="s">
        <v>4563</v>
      </c>
      <c r="J1842" s="3" t="str">
        <f>HYPERLINK("https://www.boe.es/gazeta/dias/1834/05/15/pdfs/GMD-1834-84.pdf#page=3","Abrir facsímil")</f>
        <v>Abrir facsímil</v>
      </c>
      <c r="K1842" s="3" t="s">
        <v>24</v>
      </c>
    </row>
    <row r="1843" spans="1:11" ht="54" customHeight="1">
      <c r="A1843" s="2" t="s">
        <v>4564</v>
      </c>
      <c r="B1843" s="2" t="s">
        <v>4564</v>
      </c>
      <c r="C1843" s="2" t="s">
        <v>17</v>
      </c>
      <c r="D1843" s="2" t="s">
        <v>18</v>
      </c>
      <c r="E1843" s="5" t="s">
        <v>4565</v>
      </c>
      <c r="F1843" s="3" t="s">
        <v>4566</v>
      </c>
      <c r="G1843" s="3" t="s">
        <v>75</v>
      </c>
      <c r="H1843" s="2" t="s">
        <v>22</v>
      </c>
      <c r="I1843" s="2" t="s">
        <v>4567</v>
      </c>
      <c r="J1843" s="3" t="str">
        <f>HYPERLINK("https://www.boe.es/gazeta/dias/1834/07/10/pdfs/GMD-1834-143.pdf#page=4","Abrir facsímil")</f>
        <v>Abrir facsímil</v>
      </c>
      <c r="K1843" s="3" t="s">
        <v>24</v>
      </c>
    </row>
    <row r="1844" spans="1:11" ht="54" customHeight="1">
      <c r="A1844" s="2" t="s">
        <v>4568</v>
      </c>
      <c r="B1844" s="2" t="s">
        <v>4568</v>
      </c>
      <c r="C1844" s="2" t="s">
        <v>17</v>
      </c>
      <c r="D1844" s="2" t="s">
        <v>18</v>
      </c>
      <c r="E1844" s="5" t="s">
        <v>3207</v>
      </c>
      <c r="F1844" s="3" t="s">
        <v>3208</v>
      </c>
      <c r="G1844" s="3" t="s">
        <v>21</v>
      </c>
      <c r="H1844" s="2" t="s">
        <v>22</v>
      </c>
      <c r="I1844" s="2" t="s">
        <v>4569</v>
      </c>
      <c r="J1844" s="3" t="str">
        <f>HYPERLINK("https://www.boe.es/gazeta/dias/1834/10/13/pdfs/GMD-1834-241.pdf#page=3","Abrir facsímil")</f>
        <v>Abrir facsímil</v>
      </c>
      <c r="K1844" s="3" t="s">
        <v>24</v>
      </c>
    </row>
    <row r="1845" spans="1:11" ht="54" customHeight="1">
      <c r="A1845" s="2" t="s">
        <v>4570</v>
      </c>
      <c r="B1845" s="2" t="s">
        <v>4570</v>
      </c>
      <c r="C1845" s="2" t="s">
        <v>17</v>
      </c>
      <c r="D1845" s="2" t="s">
        <v>55</v>
      </c>
      <c r="E1845" s="5" t="s">
        <v>339</v>
      </c>
      <c r="F1845" s="3" t="s">
        <v>340</v>
      </c>
      <c r="G1845" s="3" t="s">
        <v>75</v>
      </c>
      <c r="H1845" s="2" t="s">
        <v>22</v>
      </c>
      <c r="I1845" s="2" t="s">
        <v>4571</v>
      </c>
      <c r="J1845" s="3" t="str">
        <f>HYPERLINK("https://www.boe.es/gazeta/dias/1834/05/02/pdfs/GMD-1834-71.pdf#page=4","Abrir facsímil")</f>
        <v>Abrir facsímil</v>
      </c>
      <c r="K1845" s="3" t="s">
        <v>24</v>
      </c>
    </row>
    <row r="1846" spans="1:11" ht="54" customHeight="1">
      <c r="A1846" s="2" t="s">
        <v>4572</v>
      </c>
      <c r="B1846" s="2" t="s">
        <v>4572</v>
      </c>
      <c r="C1846" s="2" t="s">
        <v>17</v>
      </c>
      <c r="D1846" s="2" t="s">
        <v>18</v>
      </c>
      <c r="E1846" s="5" t="s">
        <v>1704</v>
      </c>
      <c r="F1846" s="3" t="s">
        <v>1705</v>
      </c>
      <c r="G1846" s="3" t="s">
        <v>21</v>
      </c>
      <c r="H1846" s="2" t="s">
        <v>22</v>
      </c>
      <c r="I1846" s="2" t="s">
        <v>4573</v>
      </c>
      <c r="J1846" s="3" t="str">
        <f>HYPERLINK("https://www.boe.es/gazeta/dias/1834/12/02/pdfs/GMD-1834-291.pdf#page=3","Abrir facsímil")</f>
        <v>Abrir facsímil</v>
      </c>
      <c r="K1846" s="3" t="s">
        <v>24</v>
      </c>
    </row>
    <row r="1847" spans="1:11" ht="54" customHeight="1">
      <c r="A1847" s="2" t="s">
        <v>4574</v>
      </c>
      <c r="B1847" s="2" t="s">
        <v>4574</v>
      </c>
      <c r="C1847" s="2" t="s">
        <v>17</v>
      </c>
      <c r="D1847" s="2" t="s">
        <v>18</v>
      </c>
      <c r="E1847" s="5" t="s">
        <v>1025</v>
      </c>
      <c r="F1847" s="3" t="s">
        <v>1026</v>
      </c>
      <c r="G1847" s="3" t="s">
        <v>86</v>
      </c>
      <c r="H1847" s="2" t="s">
        <v>22</v>
      </c>
      <c r="I1847" s="2" t="s">
        <v>4575</v>
      </c>
      <c r="J1847" s="3" t="str">
        <f>HYPERLINK("https://www.boe.es/gazeta/dias/1834/03/01/pdfs/GMD-1834-27.pdf#page=2","Abrir facsímil")</f>
        <v>Abrir facsímil</v>
      </c>
      <c r="K1847" s="3" t="s">
        <v>24</v>
      </c>
    </row>
    <row r="1848" spans="1:11" ht="54" customHeight="1">
      <c r="A1848" s="2" t="s">
        <v>4574</v>
      </c>
      <c r="B1848" s="2" t="s">
        <v>4574</v>
      </c>
      <c r="C1848" s="2" t="s">
        <v>66</v>
      </c>
      <c r="D1848" s="2" t="s">
        <v>18</v>
      </c>
      <c r="E1848" s="5" t="s">
        <v>2459</v>
      </c>
      <c r="F1848" s="3" t="s">
        <v>2460</v>
      </c>
      <c r="G1848" s="3" t="s">
        <v>86</v>
      </c>
      <c r="H1848" s="2" t="s">
        <v>22</v>
      </c>
      <c r="I1848" s="2" t="s">
        <v>4576</v>
      </c>
      <c r="J1848" s="3" t="str">
        <f>HYPERLINK("https://www.boe.es/gazeta/dias/1834/04/04/pdfs/GMD-1834-43.pdf#page=2","Abrir facsímil")</f>
        <v>Abrir facsímil</v>
      </c>
      <c r="K1848" s="3" t="s">
        <v>24</v>
      </c>
    </row>
    <row r="1849" spans="1:11" ht="54" customHeight="1">
      <c r="A1849" s="2" t="s">
        <v>4574</v>
      </c>
      <c r="B1849" s="2" t="s">
        <v>4574</v>
      </c>
      <c r="C1849" s="2" t="s">
        <v>66</v>
      </c>
      <c r="D1849" s="2" t="s">
        <v>67</v>
      </c>
      <c r="E1849" s="5" t="s">
        <v>1661</v>
      </c>
      <c r="F1849" s="3" t="s">
        <v>1662</v>
      </c>
      <c r="G1849" s="3" t="s">
        <v>86</v>
      </c>
      <c r="H1849" s="2" t="s">
        <v>22</v>
      </c>
      <c r="I1849" s="2" t="s">
        <v>4577</v>
      </c>
      <c r="J1849" s="3" t="str">
        <f>HYPERLINK("https://www.boe.es/gazeta/dias/1834/04/06/pdfs/GMD-1834-45.pdf#page=2","Abrir facsímil")</f>
        <v>Abrir facsímil</v>
      </c>
      <c r="K1849" s="3" t="s">
        <v>24</v>
      </c>
    </row>
    <row r="1850" spans="1:11" ht="54" customHeight="1">
      <c r="A1850" s="2" t="s">
        <v>4574</v>
      </c>
      <c r="B1850" s="2" t="s">
        <v>4574</v>
      </c>
      <c r="C1850" s="2" t="s">
        <v>17</v>
      </c>
      <c r="D1850" s="2" t="s">
        <v>18</v>
      </c>
      <c r="E1850" s="5" t="s">
        <v>1239</v>
      </c>
      <c r="F1850" s="3" t="s">
        <v>1240</v>
      </c>
      <c r="G1850" s="3" t="s">
        <v>86</v>
      </c>
      <c r="H1850" s="2" t="s">
        <v>22</v>
      </c>
      <c r="I1850" s="2" t="s">
        <v>4578</v>
      </c>
      <c r="J1850" s="3" t="str">
        <f>HYPERLINK("https://www.boe.es/gazeta/dias/1834/08/20/pdfs/GMD-1834-186.pdf#page=2","Abrir facsímil")</f>
        <v>Abrir facsímil</v>
      </c>
      <c r="K1850" s="3" t="s">
        <v>24</v>
      </c>
    </row>
    <row r="1851" spans="1:11" ht="54" customHeight="1">
      <c r="A1851" s="2" t="s">
        <v>4574</v>
      </c>
      <c r="B1851" s="2" t="s">
        <v>4574</v>
      </c>
      <c r="C1851" s="2" t="s">
        <v>66</v>
      </c>
      <c r="D1851" s="2" t="s">
        <v>67</v>
      </c>
      <c r="E1851" s="5" t="s">
        <v>753</v>
      </c>
      <c r="F1851" s="3" t="s">
        <v>754</v>
      </c>
      <c r="G1851" s="3" t="s">
        <v>75</v>
      </c>
      <c r="H1851" s="2" t="s">
        <v>22</v>
      </c>
      <c r="I1851" s="2" t="s">
        <v>4579</v>
      </c>
      <c r="J1851" s="3" t="str">
        <f>HYPERLINK("https://www.boe.es/gazeta/dias/1834/04/21/pdfs/GMD-1834-60.pdf#page=4","Abrir facsímil")</f>
        <v>Abrir facsímil</v>
      </c>
      <c r="K1851" s="3" t="s">
        <v>24</v>
      </c>
    </row>
    <row r="1852" spans="1:11" ht="54" customHeight="1">
      <c r="A1852" s="2" t="s">
        <v>4574</v>
      </c>
      <c r="B1852" s="2" t="s">
        <v>4574</v>
      </c>
      <c r="C1852" s="2" t="s">
        <v>17</v>
      </c>
      <c r="D1852" s="2" t="s">
        <v>18</v>
      </c>
      <c r="E1852" s="5" t="s">
        <v>3952</v>
      </c>
      <c r="F1852" s="3" t="s">
        <v>3953</v>
      </c>
      <c r="G1852" s="3" t="s">
        <v>21</v>
      </c>
      <c r="H1852" s="2" t="s">
        <v>22</v>
      </c>
      <c r="I1852" s="2" t="s">
        <v>4580</v>
      </c>
      <c r="J1852" s="3" t="str">
        <f>HYPERLINK("https://www.boe.es/gazeta/dias/1834/02/22/pdfs/GMD-1834-24.pdf#page=3","Abrir facsímil")</f>
        <v>Abrir facsímil</v>
      </c>
      <c r="K1852" s="3" t="s">
        <v>24</v>
      </c>
    </row>
    <row r="1853" spans="1:11" ht="54" customHeight="1">
      <c r="A1853" s="2" t="s">
        <v>4574</v>
      </c>
      <c r="B1853" s="2" t="s">
        <v>4574</v>
      </c>
      <c r="C1853" s="2" t="s">
        <v>66</v>
      </c>
      <c r="D1853" s="2" t="s">
        <v>67</v>
      </c>
      <c r="E1853" s="5" t="s">
        <v>2888</v>
      </c>
      <c r="F1853" s="3" t="s">
        <v>2889</v>
      </c>
      <c r="G1853" s="3" t="s">
        <v>21</v>
      </c>
      <c r="H1853" s="2" t="s">
        <v>22</v>
      </c>
      <c r="I1853" s="2" t="s">
        <v>4581</v>
      </c>
      <c r="J1853" s="3" t="str">
        <f>HYPERLINK("https://www.boe.es/gazeta/dias/1834/12/22/pdfs/GMD-1834-312.pdf#page=3","Abrir facsímil")</f>
        <v>Abrir facsímil</v>
      </c>
      <c r="K1853" s="3" t="s">
        <v>24</v>
      </c>
    </row>
    <row r="1854" spans="1:11" ht="54" customHeight="1">
      <c r="A1854" s="2" t="s">
        <v>4574</v>
      </c>
      <c r="B1854" s="2" t="s">
        <v>4574</v>
      </c>
      <c r="C1854" s="2" t="s">
        <v>17</v>
      </c>
      <c r="D1854" s="2" t="s">
        <v>55</v>
      </c>
      <c r="E1854" s="5" t="s">
        <v>2153</v>
      </c>
      <c r="F1854" s="3" t="s">
        <v>2154</v>
      </c>
      <c r="G1854" s="3" t="s">
        <v>86</v>
      </c>
      <c r="H1854" s="2" t="s">
        <v>22</v>
      </c>
      <c r="I1854" s="2" t="s">
        <v>4582</v>
      </c>
      <c r="J1854" s="3" t="str">
        <f>HYPERLINK("https://www.boe.es/gazeta/dias/1834/01/23/pdfs/GMD-1834-11.pdf#page=2","Abrir facsímil")</f>
        <v>Abrir facsímil</v>
      </c>
      <c r="K1854" s="3" t="s">
        <v>24</v>
      </c>
    </row>
    <row r="1855" spans="1:11" ht="54" customHeight="1">
      <c r="A1855" s="2" t="s">
        <v>4583</v>
      </c>
      <c r="B1855" s="2" t="s">
        <v>4583</v>
      </c>
      <c r="C1855" s="2" t="s">
        <v>66</v>
      </c>
      <c r="D1855" s="2" t="s">
        <v>18</v>
      </c>
      <c r="E1855" s="5" t="s">
        <v>1084</v>
      </c>
      <c r="F1855" s="3" t="s">
        <v>1085</v>
      </c>
      <c r="G1855" s="3" t="s">
        <v>34</v>
      </c>
      <c r="H1855" s="2" t="s">
        <v>22</v>
      </c>
      <c r="I1855" s="2" t="s">
        <v>4584</v>
      </c>
      <c r="J1855" s="3" t="str">
        <f>HYPERLINK("https://www.boe.es/gazeta/dias/1834/05/01/pdfs/GMD-1834-70.pdf#page=1","Abrir facsímil")</f>
        <v>Abrir facsímil</v>
      </c>
      <c r="K1855" s="3" t="s">
        <v>24</v>
      </c>
    </row>
    <row r="1856" spans="1:11" ht="54" customHeight="1">
      <c r="A1856" s="2" t="s">
        <v>4585</v>
      </c>
      <c r="B1856" s="2" t="s">
        <v>4586</v>
      </c>
      <c r="C1856" s="2" t="s">
        <v>66</v>
      </c>
      <c r="D1856" s="2" t="s">
        <v>67</v>
      </c>
      <c r="E1856" s="5" t="s">
        <v>1084</v>
      </c>
      <c r="F1856" s="3" t="s">
        <v>1085</v>
      </c>
      <c r="G1856" s="3" t="s">
        <v>34</v>
      </c>
      <c r="H1856" s="2" t="s">
        <v>35</v>
      </c>
      <c r="I1856" s="2" t="s">
        <v>4587</v>
      </c>
      <c r="J1856" s="3" t="str">
        <f>HYPERLINK("https://www.boe.es/gazeta/dias/1834/05/01/pdfs/GMD-1834-70.pdf#page=1","Abrir facsímil")</f>
        <v>Abrir facsímil</v>
      </c>
      <c r="K1856" s="3" t="s">
        <v>37</v>
      </c>
    </row>
    <row r="1857" spans="1:11" ht="54" customHeight="1">
      <c r="A1857" s="2" t="s">
        <v>4588</v>
      </c>
      <c r="B1857" s="2" t="s">
        <v>4589</v>
      </c>
      <c r="C1857" s="2" t="s">
        <v>66</v>
      </c>
      <c r="D1857" s="2" t="s">
        <v>67</v>
      </c>
      <c r="E1857" s="5" t="s">
        <v>343</v>
      </c>
      <c r="F1857" s="3" t="s">
        <v>344</v>
      </c>
      <c r="G1857" s="3" t="s">
        <v>21</v>
      </c>
      <c r="H1857" s="2" t="s">
        <v>22</v>
      </c>
      <c r="I1857" s="2" t="s">
        <v>4590</v>
      </c>
      <c r="J1857" s="3" t="str">
        <f>HYPERLINK("https://www.boe.es/gazeta/dias/1834/01/14/pdfs/GMD-1834-7.pdf#page=3","Abrir facsímil")</f>
        <v>Abrir facsímil</v>
      </c>
      <c r="K1857" s="3" t="s">
        <v>24</v>
      </c>
    </row>
    <row r="1858" spans="1:11" ht="54" customHeight="1">
      <c r="A1858" s="2" t="s">
        <v>4591</v>
      </c>
      <c r="B1858" s="2" t="s">
        <v>4592</v>
      </c>
      <c r="C1858" s="2" t="s">
        <v>17</v>
      </c>
      <c r="D1858" s="2" t="s">
        <v>18</v>
      </c>
      <c r="E1858" s="5" t="s">
        <v>1234</v>
      </c>
      <c r="F1858" s="3" t="s">
        <v>1455</v>
      </c>
      <c r="G1858" s="3" t="s">
        <v>21</v>
      </c>
      <c r="H1858" s="2" t="s">
        <v>22</v>
      </c>
      <c r="I1858" s="2" t="s">
        <v>4593</v>
      </c>
      <c r="J1858" s="3" t="str">
        <f>HYPERLINK("https://www.boe.es/gazeta/dias/1834/05/15/pdfs/GMD-1834-84.pdf#page=3","Abrir facsímil")</f>
        <v>Abrir facsímil</v>
      </c>
      <c r="K1858" s="3" t="s">
        <v>24</v>
      </c>
    </row>
    <row r="1859" spans="1:11" ht="54" customHeight="1">
      <c r="A1859" s="2" t="s">
        <v>4594</v>
      </c>
      <c r="B1859" s="2" t="s">
        <v>4595</v>
      </c>
      <c r="C1859" s="2" t="s">
        <v>17</v>
      </c>
      <c r="D1859" s="2" t="s">
        <v>18</v>
      </c>
      <c r="E1859" s="5" t="s">
        <v>309</v>
      </c>
      <c r="F1859" s="3" t="s">
        <v>310</v>
      </c>
      <c r="G1859" s="3" t="s">
        <v>34</v>
      </c>
      <c r="H1859" s="2" t="s">
        <v>22</v>
      </c>
      <c r="I1859" s="2" t="s">
        <v>4596</v>
      </c>
      <c r="J1859" s="3" t="str">
        <f>HYPERLINK("https://www.boe.es/gazeta/dias/1834/05/30/pdfs/GMD-1834-99.pdf#page=1","Abrir facsímil")</f>
        <v>Abrir facsímil</v>
      </c>
      <c r="K1859" s="3" t="s">
        <v>24</v>
      </c>
    </row>
    <row r="1860" spans="1:11" ht="54" customHeight="1">
      <c r="A1860" s="2" t="s">
        <v>4597</v>
      </c>
      <c r="B1860" s="2" t="s">
        <v>4597</v>
      </c>
      <c r="C1860" s="2" t="s">
        <v>66</v>
      </c>
      <c r="D1860" s="2" t="s">
        <v>67</v>
      </c>
      <c r="E1860" s="5" t="s">
        <v>364</v>
      </c>
      <c r="F1860" s="3" t="s">
        <v>2102</v>
      </c>
      <c r="G1860" s="3" t="s">
        <v>21</v>
      </c>
      <c r="H1860" s="2" t="s">
        <v>22</v>
      </c>
      <c r="I1860" s="2" t="s">
        <v>4598</v>
      </c>
      <c r="J1860" s="3" t="str">
        <f>HYPERLINK("https://www.boe.es/gazeta/dias/1834/09/06/pdfs/GMD-1834-204.pdf#page=3","Abrir facsímil")</f>
        <v>Abrir facsímil</v>
      </c>
      <c r="K1860" s="3" t="s">
        <v>24</v>
      </c>
    </row>
    <row r="1861" spans="1:11" ht="54" customHeight="1">
      <c r="A1861" s="2" t="s">
        <v>4597</v>
      </c>
      <c r="B1861" s="2" t="s">
        <v>4597</v>
      </c>
      <c r="C1861" s="2" t="s">
        <v>46</v>
      </c>
      <c r="D1861" s="2" t="s">
        <v>101</v>
      </c>
      <c r="E1861" s="5" t="s">
        <v>163</v>
      </c>
      <c r="F1861" s="3" t="s">
        <v>164</v>
      </c>
      <c r="G1861" s="3" t="s">
        <v>86</v>
      </c>
      <c r="H1861" s="2" t="s">
        <v>22</v>
      </c>
      <c r="I1861" s="2" t="s">
        <v>4599</v>
      </c>
      <c r="J1861" s="3" t="str">
        <f>HYPERLINK("https://www.boe.es/gazeta/dias/1834/08/09/pdfs/GMD-1834-174.pdf#page=2","Abrir facsímil")</f>
        <v>Abrir facsímil</v>
      </c>
      <c r="K1861" s="3" t="s">
        <v>24</v>
      </c>
    </row>
    <row r="1862" spans="1:11" ht="54" customHeight="1">
      <c r="A1862" s="2" t="s">
        <v>4597</v>
      </c>
      <c r="B1862" s="2" t="s">
        <v>4597</v>
      </c>
      <c r="C1862" s="2" t="s">
        <v>66</v>
      </c>
      <c r="D1862" s="2" t="s">
        <v>67</v>
      </c>
      <c r="E1862" s="5" t="s">
        <v>79</v>
      </c>
      <c r="F1862" s="3" t="s">
        <v>80</v>
      </c>
      <c r="G1862" s="3" t="s">
        <v>86</v>
      </c>
      <c r="H1862" s="2" t="s">
        <v>22</v>
      </c>
      <c r="I1862" s="2" t="s">
        <v>4600</v>
      </c>
      <c r="J1862" s="3" t="str">
        <f>HYPERLINK("https://www.boe.es/gazeta/dias/1834/07/12/pdfs/GMD-1834-145.pdf#page=2","Abrir facsímil")</f>
        <v>Abrir facsímil</v>
      </c>
      <c r="K1862" s="3" t="s">
        <v>24</v>
      </c>
    </row>
    <row r="1863" spans="1:11" ht="54" customHeight="1">
      <c r="A1863" s="2" t="s">
        <v>4597</v>
      </c>
      <c r="B1863" s="2" t="s">
        <v>4597</v>
      </c>
      <c r="C1863" s="2" t="s">
        <v>46</v>
      </c>
      <c r="D1863" s="2" t="s">
        <v>55</v>
      </c>
      <c r="E1863" s="5" t="s">
        <v>883</v>
      </c>
      <c r="F1863" s="3" t="s">
        <v>3449</v>
      </c>
      <c r="G1863" s="3" t="s">
        <v>86</v>
      </c>
      <c r="H1863" s="2" t="s">
        <v>22</v>
      </c>
      <c r="I1863" s="2" t="s">
        <v>4601</v>
      </c>
      <c r="J1863" s="3" t="str">
        <f>HYPERLINK("https://www.boe.es/gazeta/dias/1834/11/16/pdfs/GMD-1834-275.pdf#page=2","Abrir facsímil")</f>
        <v>Abrir facsímil</v>
      </c>
      <c r="K1863" s="3" t="s">
        <v>24</v>
      </c>
    </row>
    <row r="1864" spans="1:11" ht="54" customHeight="1">
      <c r="A1864" s="2" t="s">
        <v>4597</v>
      </c>
      <c r="B1864" s="2" t="s">
        <v>4597</v>
      </c>
      <c r="C1864" s="2" t="s">
        <v>122</v>
      </c>
      <c r="D1864" s="2" t="s">
        <v>55</v>
      </c>
      <c r="E1864" s="5" t="s">
        <v>702</v>
      </c>
      <c r="F1864" s="3" t="s">
        <v>2427</v>
      </c>
      <c r="G1864" s="3" t="s">
        <v>21</v>
      </c>
      <c r="H1864" s="2" t="s">
        <v>22</v>
      </c>
      <c r="I1864" s="2" t="s">
        <v>4602</v>
      </c>
      <c r="J1864" s="3" t="str">
        <f>HYPERLINK("https://www.boe.es/gazeta/dias/1834/11/22/pdfs/GMD-1834-281.pdf#page=3","Abrir facsímil")</f>
        <v>Abrir facsímil</v>
      </c>
      <c r="K1864" s="3" t="s">
        <v>24</v>
      </c>
    </row>
    <row r="1865" spans="1:11" ht="54" customHeight="1">
      <c r="A1865" s="2" t="s">
        <v>4603</v>
      </c>
      <c r="B1865" s="2" t="s">
        <v>4603</v>
      </c>
      <c r="C1865" s="2" t="s">
        <v>17</v>
      </c>
      <c r="D1865" s="2" t="s">
        <v>55</v>
      </c>
      <c r="E1865" s="5" t="s">
        <v>364</v>
      </c>
      <c r="F1865" s="3" t="s">
        <v>2102</v>
      </c>
      <c r="G1865" s="3" t="s">
        <v>21</v>
      </c>
      <c r="H1865" s="2" t="s">
        <v>22</v>
      </c>
      <c r="I1865" s="2" t="s">
        <v>4604</v>
      </c>
      <c r="J1865" s="3" t="str">
        <f>HYPERLINK("https://www.boe.es/gazeta/dias/1834/09/06/pdfs/GMD-1834-204.pdf#page=3","Abrir facsímil")</f>
        <v>Abrir facsímil</v>
      </c>
      <c r="K1865" s="3" t="s">
        <v>24</v>
      </c>
    </row>
    <row r="1866" spans="1:11" ht="54" customHeight="1">
      <c r="A1866" s="2" t="s">
        <v>4605</v>
      </c>
      <c r="B1866" s="2" t="s">
        <v>4605</v>
      </c>
      <c r="C1866" s="2" t="s">
        <v>17</v>
      </c>
      <c r="D1866" s="2" t="s">
        <v>18</v>
      </c>
      <c r="E1866" s="5" t="s">
        <v>518</v>
      </c>
      <c r="F1866" s="3" t="s">
        <v>519</v>
      </c>
      <c r="G1866" s="3" t="s">
        <v>86</v>
      </c>
      <c r="H1866" s="2" t="s">
        <v>22</v>
      </c>
      <c r="I1866" s="2" t="s">
        <v>4606</v>
      </c>
      <c r="J1866" s="3" t="str">
        <f>HYPERLINK("https://www.boe.es/gazeta/dias/1834/03/15/pdfs/GMD-1834-33.pdf#page=2","Abrir facsímil")</f>
        <v>Abrir facsímil</v>
      </c>
      <c r="K1866" s="3" t="s">
        <v>24</v>
      </c>
    </row>
    <row r="1867" spans="1:11" ht="54" customHeight="1">
      <c r="A1867" s="2" t="s">
        <v>4607</v>
      </c>
      <c r="B1867" s="2" t="s">
        <v>4608</v>
      </c>
      <c r="C1867" s="2" t="s">
        <v>17</v>
      </c>
      <c r="D1867" s="2" t="s">
        <v>40</v>
      </c>
      <c r="E1867" s="5" t="s">
        <v>237</v>
      </c>
      <c r="F1867" s="3" t="s">
        <v>4609</v>
      </c>
      <c r="G1867" s="3" t="s">
        <v>75</v>
      </c>
      <c r="H1867" s="2" t="s">
        <v>22</v>
      </c>
      <c r="I1867" s="2" t="s">
        <v>4610</v>
      </c>
      <c r="J1867" s="3" t="str">
        <f>HYPERLINK("https://www.boe.es/gazeta/dias/1834/08/15/pdfs/GMD-1834-180.pdf#page=4","Abrir facsímil")</f>
        <v>Abrir facsímil</v>
      </c>
      <c r="K1867" s="3" t="s">
        <v>24</v>
      </c>
    </row>
    <row r="1868" spans="1:11" ht="54" customHeight="1">
      <c r="A1868" s="2" t="s">
        <v>4611</v>
      </c>
      <c r="B1868" s="2" t="s">
        <v>4611</v>
      </c>
      <c r="C1868" s="2" t="s">
        <v>17</v>
      </c>
      <c r="D1868" s="2" t="s">
        <v>18</v>
      </c>
      <c r="E1868" s="5" t="s">
        <v>506</v>
      </c>
      <c r="F1868" s="3" t="s">
        <v>507</v>
      </c>
      <c r="G1868" s="3" t="s">
        <v>75</v>
      </c>
      <c r="H1868" s="2" t="s">
        <v>22</v>
      </c>
      <c r="I1868" s="2" t="s">
        <v>4612</v>
      </c>
      <c r="J1868" s="3" t="str">
        <f>HYPERLINK("https://www.boe.es/gazeta/dias/1834/03/04/pdfs/GMD-1834-28.pdf#page=4","Abrir facsímil")</f>
        <v>Abrir facsímil</v>
      </c>
      <c r="K1868" s="3" t="s">
        <v>24</v>
      </c>
    </row>
    <row r="1869" spans="1:11" ht="54" customHeight="1">
      <c r="A1869" s="2" t="s">
        <v>4611</v>
      </c>
      <c r="B1869" s="2" t="s">
        <v>4611</v>
      </c>
      <c r="C1869" s="2" t="s">
        <v>17</v>
      </c>
      <c r="D1869" s="2" t="s">
        <v>18</v>
      </c>
      <c r="E1869" s="5" t="s">
        <v>860</v>
      </c>
      <c r="F1869" s="3" t="s">
        <v>861</v>
      </c>
      <c r="G1869" s="3" t="s">
        <v>75</v>
      </c>
      <c r="H1869" s="2" t="s">
        <v>22</v>
      </c>
      <c r="I1869" s="2" t="s">
        <v>4613</v>
      </c>
      <c r="J1869" s="3" t="str">
        <f>HYPERLINK("https://www.boe.es/gazeta/dias/1834/02/08/pdfs/GMD-1834-18.pdf#page=4","Abrir facsímil")</f>
        <v>Abrir facsímil</v>
      </c>
      <c r="K1869" s="3" t="s">
        <v>24</v>
      </c>
    </row>
    <row r="1870" spans="1:11" ht="54" customHeight="1">
      <c r="A1870" s="2" t="s">
        <v>4611</v>
      </c>
      <c r="B1870" s="2" t="s">
        <v>4611</v>
      </c>
      <c r="C1870" s="2" t="s">
        <v>90</v>
      </c>
      <c r="D1870" s="2" t="s">
        <v>101</v>
      </c>
      <c r="E1870" s="5" t="s">
        <v>844</v>
      </c>
      <c r="F1870" s="3" t="s">
        <v>845</v>
      </c>
      <c r="G1870" s="3" t="s">
        <v>86</v>
      </c>
      <c r="H1870" s="2" t="s">
        <v>22</v>
      </c>
      <c r="I1870" s="2" t="s">
        <v>4614</v>
      </c>
      <c r="J1870" s="3" t="str">
        <f>HYPERLINK("https://www.boe.es/gazeta/dias/1834/03/13/pdfs/GMD-1834-32.pdf#page=2","Abrir facsímil")</f>
        <v>Abrir facsímil</v>
      </c>
      <c r="K1870" s="3" t="s">
        <v>24</v>
      </c>
    </row>
    <row r="1871" spans="1:11" ht="54" customHeight="1">
      <c r="A1871" s="2" t="s">
        <v>4615</v>
      </c>
      <c r="B1871" s="2" t="s">
        <v>4616</v>
      </c>
      <c r="C1871" s="2" t="s">
        <v>46</v>
      </c>
      <c r="D1871" s="2" t="s">
        <v>101</v>
      </c>
      <c r="E1871" s="5" t="s">
        <v>334</v>
      </c>
      <c r="F1871" s="3" t="s">
        <v>567</v>
      </c>
      <c r="G1871" s="3" t="s">
        <v>86</v>
      </c>
      <c r="H1871" s="2" t="s">
        <v>35</v>
      </c>
      <c r="I1871" s="2" t="s">
        <v>4617</v>
      </c>
      <c r="J1871" s="3" t="str">
        <f>HYPERLINK("https://www.boe.es/gazeta/dias/1834/09/11/pdfs/GMD-1834-209.pdf#page=2","Abrir facsímil")</f>
        <v>Abrir facsímil</v>
      </c>
      <c r="K1871" s="3" t="s">
        <v>37</v>
      </c>
    </row>
    <row r="1872" spans="1:11" ht="54" customHeight="1">
      <c r="A1872" s="2" t="s">
        <v>4618</v>
      </c>
      <c r="B1872" s="2" t="s">
        <v>4618</v>
      </c>
      <c r="C1872" s="2" t="s">
        <v>17</v>
      </c>
      <c r="D1872" s="2" t="s">
        <v>18</v>
      </c>
      <c r="E1872" s="5" t="s">
        <v>441</v>
      </c>
      <c r="F1872" s="3" t="s">
        <v>442</v>
      </c>
      <c r="G1872" s="3" t="s">
        <v>86</v>
      </c>
      <c r="H1872" s="2" t="s">
        <v>22</v>
      </c>
      <c r="I1872" s="2" t="s">
        <v>4619</v>
      </c>
      <c r="J1872" s="3" t="str">
        <f>HYPERLINK("https://www.boe.es/gazeta/dias/1834/11/10/pdfs/GMD-1834-269.pdf#page=2","Abrir facsímil")</f>
        <v>Abrir facsímil</v>
      </c>
      <c r="K1872" s="3" t="s">
        <v>24</v>
      </c>
    </row>
    <row r="1873" spans="1:11" ht="54" customHeight="1">
      <c r="A1873" s="2" t="s">
        <v>4620</v>
      </c>
      <c r="B1873" s="2" t="s">
        <v>4620</v>
      </c>
      <c r="C1873" s="2" t="s">
        <v>17</v>
      </c>
      <c r="D1873" s="2" t="s">
        <v>18</v>
      </c>
      <c r="E1873" s="5" t="s">
        <v>96</v>
      </c>
      <c r="F1873" s="3" t="s">
        <v>1725</v>
      </c>
      <c r="G1873" s="3" t="s">
        <v>21</v>
      </c>
      <c r="H1873" s="2" t="s">
        <v>22</v>
      </c>
      <c r="I1873" s="2" t="s">
        <v>4621</v>
      </c>
      <c r="J1873" s="3" t="str">
        <f>HYPERLINK("https://www.boe.es/gazeta/dias/1834/11/11/pdfs/GMD-1834-270.pdf#page=3","Abrir facsímil")</f>
        <v>Abrir facsímil</v>
      </c>
      <c r="K1873" s="3" t="s">
        <v>24</v>
      </c>
    </row>
    <row r="1874" spans="1:11" ht="54" customHeight="1">
      <c r="A1874" s="2" t="s">
        <v>4622</v>
      </c>
      <c r="B1874" s="2" t="s">
        <v>4622</v>
      </c>
      <c r="C1874" s="2" t="s">
        <v>17</v>
      </c>
      <c r="D1874" s="2" t="s">
        <v>18</v>
      </c>
      <c r="E1874" s="5" t="s">
        <v>2218</v>
      </c>
      <c r="F1874" s="3" t="s">
        <v>2219</v>
      </c>
      <c r="G1874" s="3" t="s">
        <v>86</v>
      </c>
      <c r="H1874" s="2" t="s">
        <v>22</v>
      </c>
      <c r="I1874" s="2" t="s">
        <v>4623</v>
      </c>
      <c r="J1874" s="3" t="str">
        <f>HYPERLINK("https://www.boe.es/gazeta/dias/1834/11/05/pdfs/GMD-1834-264.pdf#page=2","Abrir facsímil")</f>
        <v>Abrir facsímil</v>
      </c>
      <c r="K1874" s="3" t="s">
        <v>24</v>
      </c>
    </row>
    <row r="1875" spans="1:11" ht="54" customHeight="1">
      <c r="A1875" s="2" t="s">
        <v>4622</v>
      </c>
      <c r="B1875" s="2" t="s">
        <v>4622</v>
      </c>
      <c r="C1875" s="2" t="s">
        <v>17</v>
      </c>
      <c r="D1875" s="2" t="s">
        <v>18</v>
      </c>
      <c r="E1875" s="5" t="s">
        <v>96</v>
      </c>
      <c r="F1875" s="3" t="s">
        <v>1725</v>
      </c>
      <c r="G1875" s="3" t="s">
        <v>21</v>
      </c>
      <c r="H1875" s="2" t="s">
        <v>22</v>
      </c>
      <c r="I1875" s="2" t="s">
        <v>4624</v>
      </c>
      <c r="J1875" s="3" t="str">
        <f>HYPERLINK("https://www.boe.es/gazeta/dias/1834/11/11/pdfs/GMD-1834-270.pdf#page=3","Abrir facsímil")</f>
        <v>Abrir facsímil</v>
      </c>
      <c r="K1875" s="3" t="s">
        <v>24</v>
      </c>
    </row>
    <row r="1876" spans="1:11" ht="54" customHeight="1">
      <c r="A1876" s="2" t="s">
        <v>4625</v>
      </c>
      <c r="B1876" s="2" t="s">
        <v>4625</v>
      </c>
      <c r="C1876" s="2" t="s">
        <v>17</v>
      </c>
      <c r="D1876" s="2" t="s">
        <v>101</v>
      </c>
      <c r="E1876" s="5" t="s">
        <v>96</v>
      </c>
      <c r="F1876" s="3" t="s">
        <v>1725</v>
      </c>
      <c r="G1876" s="3" t="s">
        <v>21</v>
      </c>
      <c r="H1876" s="2" t="s">
        <v>22</v>
      </c>
      <c r="I1876" s="2" t="s">
        <v>4626</v>
      </c>
      <c r="J1876" s="3" t="str">
        <f>HYPERLINK("https://www.boe.es/gazeta/dias/1834/11/11/pdfs/GMD-1834-270.pdf#page=3","Abrir facsímil")</f>
        <v>Abrir facsímil</v>
      </c>
      <c r="K1876" s="3" t="s">
        <v>24</v>
      </c>
    </row>
    <row r="1877" spans="1:11" ht="54" customHeight="1">
      <c r="A1877" s="2" t="s">
        <v>4627</v>
      </c>
      <c r="B1877" s="2" t="s">
        <v>4628</v>
      </c>
      <c r="C1877" s="2" t="s">
        <v>66</v>
      </c>
      <c r="D1877" s="2" t="s">
        <v>67</v>
      </c>
      <c r="E1877" s="5" t="s">
        <v>217</v>
      </c>
      <c r="F1877" s="3" t="s">
        <v>218</v>
      </c>
      <c r="G1877" s="3" t="s">
        <v>21</v>
      </c>
      <c r="H1877" s="2" t="s">
        <v>22</v>
      </c>
      <c r="I1877" s="2" t="s">
        <v>4629</v>
      </c>
      <c r="J1877" s="3" t="str">
        <f>HYPERLINK("https://www.boe.es/gazeta/dias/1834/04/20/pdfs/GMD-1834-59.pdf#page=3","Abrir facsímil")</f>
        <v>Abrir facsímil</v>
      </c>
      <c r="K1877" s="3" t="s">
        <v>24</v>
      </c>
    </row>
    <row r="1878" spans="1:11" ht="54" customHeight="1">
      <c r="A1878" s="2" t="s">
        <v>4630</v>
      </c>
      <c r="B1878" s="2" t="s">
        <v>4631</v>
      </c>
      <c r="C1878" s="2" t="s">
        <v>17</v>
      </c>
      <c r="D1878" s="2" t="s">
        <v>18</v>
      </c>
      <c r="E1878" s="5" t="s">
        <v>403</v>
      </c>
      <c r="F1878" s="3" t="s">
        <v>3456</v>
      </c>
      <c r="G1878" s="3" t="s">
        <v>86</v>
      </c>
      <c r="H1878" s="2" t="s">
        <v>22</v>
      </c>
      <c r="I1878" s="2" t="s">
        <v>4632</v>
      </c>
      <c r="J1878" s="3" t="str">
        <f>HYPERLINK("https://www.boe.es/gazeta/dias/1834/09/25/pdfs/GMD-1834-223.pdf#page=2","Abrir facsímil")</f>
        <v>Abrir facsímil</v>
      </c>
      <c r="K1878" s="3" t="s">
        <v>24</v>
      </c>
    </row>
    <row r="1879" spans="1:11" ht="54" customHeight="1">
      <c r="A1879" s="2" t="s">
        <v>4633</v>
      </c>
      <c r="B1879" s="2" t="s">
        <v>4634</v>
      </c>
      <c r="C1879" s="2" t="s">
        <v>17</v>
      </c>
      <c r="D1879" s="2" t="s">
        <v>101</v>
      </c>
      <c r="E1879" s="5" t="s">
        <v>1226</v>
      </c>
      <c r="F1879" s="3" t="s">
        <v>1227</v>
      </c>
      <c r="G1879" s="3" t="s">
        <v>34</v>
      </c>
      <c r="H1879" s="2" t="s">
        <v>22</v>
      </c>
      <c r="I1879" s="2" t="s">
        <v>4635</v>
      </c>
      <c r="J1879" s="3" t="str">
        <f>HYPERLINK("https://www.boe.es/gazeta/dias/1834/07/14/pdfs/GMD-1834-147.pdf#page=1","Abrir facsímil")</f>
        <v>Abrir facsímil</v>
      </c>
      <c r="K1879" s="3" t="s">
        <v>24</v>
      </c>
    </row>
    <row r="1880" spans="1:11" ht="54" customHeight="1">
      <c r="A1880" s="2" t="s">
        <v>4636</v>
      </c>
      <c r="B1880" s="2" t="s">
        <v>4636</v>
      </c>
      <c r="C1880" s="2" t="s">
        <v>17</v>
      </c>
      <c r="D1880" s="2" t="s">
        <v>18</v>
      </c>
      <c r="E1880" s="5" t="s">
        <v>4637</v>
      </c>
      <c r="F1880" s="3" t="s">
        <v>4638</v>
      </c>
      <c r="G1880" s="3" t="s">
        <v>21</v>
      </c>
      <c r="H1880" s="2" t="s">
        <v>22</v>
      </c>
      <c r="I1880" s="2" t="s">
        <v>4639</v>
      </c>
      <c r="J1880" s="3" t="str">
        <f>HYPERLINK("https://www.boe.es/gazeta/dias/1834/12/08/pdfs/GMD-1834-297.pdf#page=3","Abrir facsímil")</f>
        <v>Abrir facsímil</v>
      </c>
      <c r="K1880" s="3" t="s">
        <v>24</v>
      </c>
    </row>
    <row r="1881" spans="1:11" ht="54" customHeight="1">
      <c r="A1881" s="2" t="s">
        <v>4640</v>
      </c>
      <c r="B1881" s="2" t="s">
        <v>4640</v>
      </c>
      <c r="C1881" s="2" t="s">
        <v>90</v>
      </c>
      <c r="D1881" s="2" t="s">
        <v>101</v>
      </c>
      <c r="E1881" s="5" t="s">
        <v>416</v>
      </c>
      <c r="F1881" s="3" t="s">
        <v>1130</v>
      </c>
      <c r="G1881" s="3" t="s">
        <v>34</v>
      </c>
      <c r="H1881" s="2" t="s">
        <v>22</v>
      </c>
      <c r="I1881" s="2" t="s">
        <v>4641</v>
      </c>
      <c r="J1881" s="3" t="str">
        <f>HYPERLINK("https://www.boe.es/gazeta/dias/1834/10/02/pdfs/GMD-1834-230.pdf#page=1","Abrir facsímil")</f>
        <v>Abrir facsímil</v>
      </c>
      <c r="K1881" s="3" t="s">
        <v>24</v>
      </c>
    </row>
    <row r="1882" spans="1:11" ht="54" customHeight="1">
      <c r="A1882" s="2" t="s">
        <v>4640</v>
      </c>
      <c r="B1882" s="2" t="s">
        <v>4640</v>
      </c>
      <c r="C1882" s="2" t="s">
        <v>17</v>
      </c>
      <c r="D1882" s="2" t="s">
        <v>18</v>
      </c>
      <c r="E1882" s="5" t="s">
        <v>506</v>
      </c>
      <c r="F1882" s="3" t="s">
        <v>507</v>
      </c>
      <c r="G1882" s="3" t="s">
        <v>28</v>
      </c>
      <c r="H1882" s="2" t="s">
        <v>22</v>
      </c>
      <c r="I1882" s="2" t="s">
        <v>4642</v>
      </c>
      <c r="J1882" s="3" t="str">
        <f>HYPERLINK("https://www.boe.es/gazeta/dias/1834/03/04/pdfs/GMD-1834-28.pdf#page=5","Abrir facsímil")</f>
        <v>Abrir facsímil</v>
      </c>
      <c r="K1882" s="3" t="s">
        <v>24</v>
      </c>
    </row>
    <row r="1883" spans="1:11" ht="54" customHeight="1">
      <c r="A1883" s="2" t="s">
        <v>4640</v>
      </c>
      <c r="B1883" s="2" t="s">
        <v>4640</v>
      </c>
      <c r="C1883" s="2" t="s">
        <v>66</v>
      </c>
      <c r="D1883" s="2" t="s">
        <v>67</v>
      </c>
      <c r="E1883" s="5" t="s">
        <v>1999</v>
      </c>
      <c r="F1883" s="3" t="s">
        <v>2000</v>
      </c>
      <c r="G1883" s="3" t="s">
        <v>86</v>
      </c>
      <c r="H1883" s="2" t="s">
        <v>22</v>
      </c>
      <c r="I1883" s="2" t="s">
        <v>4643</v>
      </c>
      <c r="J1883" s="3" t="str">
        <f>HYPERLINK("https://www.boe.es/gazeta/dias/1834/04/09/pdfs/GMD-1834-48.pdf#page=2","Abrir facsímil")</f>
        <v>Abrir facsímil</v>
      </c>
      <c r="K1883" s="3" t="s">
        <v>24</v>
      </c>
    </row>
    <row r="1884" spans="1:11" ht="54" customHeight="1">
      <c r="A1884" s="2" t="s">
        <v>4640</v>
      </c>
      <c r="B1884" s="2" t="s">
        <v>4640</v>
      </c>
      <c r="C1884" s="2" t="s">
        <v>17</v>
      </c>
      <c r="D1884" s="2" t="s">
        <v>18</v>
      </c>
      <c r="E1884" s="5" t="s">
        <v>1394</v>
      </c>
      <c r="F1884" s="3" t="s">
        <v>1395</v>
      </c>
      <c r="G1884" s="3" t="s">
        <v>21</v>
      </c>
      <c r="H1884" s="2" t="s">
        <v>22</v>
      </c>
      <c r="I1884" s="2" t="s">
        <v>4644</v>
      </c>
      <c r="J1884" s="3" t="str">
        <f>HYPERLINK("https://www.boe.es/gazeta/dias/1834/04/16/pdfs/GMD-1834-55.pdf#page=3","Abrir facsímil")</f>
        <v>Abrir facsímil</v>
      </c>
      <c r="K1884" s="3" t="s">
        <v>24</v>
      </c>
    </row>
    <row r="1885" spans="1:11" ht="54" customHeight="1">
      <c r="A1885" s="2" t="s">
        <v>4640</v>
      </c>
      <c r="B1885" s="2" t="s">
        <v>4640</v>
      </c>
      <c r="C1885" s="2" t="s">
        <v>17</v>
      </c>
      <c r="D1885" s="2" t="s">
        <v>18</v>
      </c>
      <c r="E1885" s="5" t="s">
        <v>1125</v>
      </c>
      <c r="F1885" s="3" t="s">
        <v>2490</v>
      </c>
      <c r="G1885" s="3" t="s">
        <v>560</v>
      </c>
      <c r="H1885" s="2" t="s">
        <v>22</v>
      </c>
      <c r="I1885" s="2" t="s">
        <v>4645</v>
      </c>
      <c r="J1885" s="3" t="str">
        <f>HYPERLINK("https://www.boe.es/gazeta/dias/1834/04/17/pdfs/GMD-1834-56.pdf#page=7","Abrir facsímil")</f>
        <v>Abrir facsímil</v>
      </c>
      <c r="K1885" s="3" t="s">
        <v>24</v>
      </c>
    </row>
    <row r="1886" spans="1:11" ht="54" customHeight="1">
      <c r="A1886" s="2" t="s">
        <v>4640</v>
      </c>
      <c r="B1886" s="2" t="s">
        <v>4640</v>
      </c>
      <c r="C1886" s="2" t="s">
        <v>46</v>
      </c>
      <c r="D1886" s="2" t="s">
        <v>101</v>
      </c>
      <c r="E1886" s="5" t="s">
        <v>2950</v>
      </c>
      <c r="F1886" s="3" t="s">
        <v>2951</v>
      </c>
      <c r="G1886" s="3" t="s">
        <v>86</v>
      </c>
      <c r="H1886" s="2" t="s">
        <v>22</v>
      </c>
      <c r="I1886" s="2" t="s">
        <v>4646</v>
      </c>
      <c r="J1886" s="3" t="str">
        <f>HYPERLINK("https://www.boe.es/gazeta/dias/1834/05/20/pdfs/GMD-1834-89.pdf#page=2","Abrir facsímil")</f>
        <v>Abrir facsímil</v>
      </c>
      <c r="K1886" s="3" t="s">
        <v>24</v>
      </c>
    </row>
    <row r="1887" spans="1:11" ht="54" customHeight="1">
      <c r="A1887" s="2" t="s">
        <v>4640</v>
      </c>
      <c r="B1887" s="2" t="s">
        <v>4640</v>
      </c>
      <c r="C1887" s="2" t="s">
        <v>66</v>
      </c>
      <c r="D1887" s="2" t="s">
        <v>67</v>
      </c>
      <c r="E1887" s="5" t="s">
        <v>919</v>
      </c>
      <c r="F1887" s="3" t="s">
        <v>920</v>
      </c>
      <c r="G1887" s="3" t="s">
        <v>21</v>
      </c>
      <c r="H1887" s="2" t="s">
        <v>22</v>
      </c>
      <c r="I1887" s="2" t="s">
        <v>4647</v>
      </c>
      <c r="J1887" s="3" t="str">
        <f>HYPERLINK("https://www.boe.es/gazeta/dias/1834/06/24/pdfs/GMD-1834-127.pdf#page=3","Abrir facsímil")</f>
        <v>Abrir facsímil</v>
      </c>
      <c r="K1887" s="3" t="s">
        <v>24</v>
      </c>
    </row>
    <row r="1888" spans="1:11" ht="54" customHeight="1">
      <c r="A1888" s="2" t="s">
        <v>4640</v>
      </c>
      <c r="B1888" s="2" t="s">
        <v>4640</v>
      </c>
      <c r="C1888" s="2" t="s">
        <v>66</v>
      </c>
      <c r="D1888" s="2" t="s">
        <v>67</v>
      </c>
      <c r="E1888" s="5" t="s">
        <v>803</v>
      </c>
      <c r="F1888" s="3" t="s">
        <v>804</v>
      </c>
      <c r="G1888" s="3" t="s">
        <v>86</v>
      </c>
      <c r="H1888" s="2" t="s">
        <v>22</v>
      </c>
      <c r="I1888" s="2" t="s">
        <v>4648</v>
      </c>
      <c r="J1888" s="3" t="str">
        <f>HYPERLINK("https://www.boe.es/gazeta/dias/1834/03/29/pdfs/GMD-1834-39.pdf#page=2","Abrir facsímil")</f>
        <v>Abrir facsímil</v>
      </c>
      <c r="K1888" s="3" t="s">
        <v>24</v>
      </c>
    </row>
    <row r="1889" spans="1:11" ht="54" customHeight="1">
      <c r="A1889" s="2" t="s">
        <v>4649</v>
      </c>
      <c r="B1889" s="2" t="s">
        <v>4650</v>
      </c>
      <c r="C1889" s="2" t="s">
        <v>17</v>
      </c>
      <c r="D1889" s="2" t="s">
        <v>18</v>
      </c>
      <c r="E1889" s="5" t="s">
        <v>506</v>
      </c>
      <c r="F1889" s="3" t="s">
        <v>507</v>
      </c>
      <c r="G1889" s="3" t="s">
        <v>28</v>
      </c>
      <c r="H1889" s="2" t="s">
        <v>22</v>
      </c>
      <c r="I1889" s="2" t="s">
        <v>4651</v>
      </c>
      <c r="J1889" s="3" t="str">
        <f>HYPERLINK("https://www.boe.es/gazeta/dias/1834/03/04/pdfs/GMD-1834-28.pdf#page=5","Abrir facsímil")</f>
        <v>Abrir facsímil</v>
      </c>
      <c r="K1889" s="3" t="s">
        <v>24</v>
      </c>
    </row>
    <row r="1890" spans="1:11" ht="54" customHeight="1">
      <c r="A1890" s="2" t="s">
        <v>4652</v>
      </c>
      <c r="B1890" s="2" t="s">
        <v>4653</v>
      </c>
      <c r="C1890" s="2" t="s">
        <v>66</v>
      </c>
      <c r="D1890" s="2" t="s">
        <v>67</v>
      </c>
      <c r="E1890" s="5" t="s">
        <v>2596</v>
      </c>
      <c r="F1890" s="3" t="s">
        <v>2597</v>
      </c>
      <c r="G1890" s="3" t="s">
        <v>86</v>
      </c>
      <c r="H1890" s="2" t="s">
        <v>22</v>
      </c>
      <c r="I1890" s="2" t="s">
        <v>4654</v>
      </c>
      <c r="J1890" s="3" t="str">
        <f>HYPERLINK("https://www.boe.es/gazeta/dias/1834/10/22/pdfs/GMD-1834-250.pdf#page=2","Abrir facsímil")</f>
        <v>Abrir facsímil</v>
      </c>
      <c r="K1890" s="3" t="s">
        <v>24</v>
      </c>
    </row>
    <row r="1891" spans="1:11" ht="54" customHeight="1">
      <c r="A1891" s="2" t="s">
        <v>4655</v>
      </c>
      <c r="B1891" s="2" t="s">
        <v>4655</v>
      </c>
      <c r="C1891" s="2" t="s">
        <v>66</v>
      </c>
      <c r="D1891" s="2" t="s">
        <v>67</v>
      </c>
      <c r="E1891" s="5" t="s">
        <v>426</v>
      </c>
      <c r="F1891" s="3" t="s">
        <v>427</v>
      </c>
      <c r="G1891" s="3" t="s">
        <v>75</v>
      </c>
      <c r="H1891" s="2" t="s">
        <v>22</v>
      </c>
      <c r="I1891" s="2" t="s">
        <v>4656</v>
      </c>
      <c r="J1891" s="3" t="str">
        <f>HYPERLINK("https://www.boe.es/gazeta/dias/1834/10/04/pdfs/GMD-1834-232.pdf#page=4","Abrir facsímil")</f>
        <v>Abrir facsímil</v>
      </c>
      <c r="K1891" s="3" t="s">
        <v>24</v>
      </c>
    </row>
    <row r="1892" spans="1:11" ht="54" customHeight="1">
      <c r="A1892" s="2" t="s">
        <v>4657</v>
      </c>
      <c r="B1892" s="2" t="s">
        <v>4658</v>
      </c>
      <c r="C1892" s="2" t="s">
        <v>17</v>
      </c>
      <c r="D1892" s="2" t="s">
        <v>18</v>
      </c>
      <c r="E1892" s="5" t="s">
        <v>426</v>
      </c>
      <c r="F1892" s="3" t="s">
        <v>427</v>
      </c>
      <c r="G1892" s="3" t="s">
        <v>75</v>
      </c>
      <c r="H1892" s="2" t="s">
        <v>35</v>
      </c>
      <c r="I1892" s="2" t="s">
        <v>4659</v>
      </c>
      <c r="J1892" s="3" t="str">
        <f>HYPERLINK("https://www.boe.es/gazeta/dias/1834/10/04/pdfs/GMD-1834-232.pdf#page=4","Abrir facsímil")</f>
        <v>Abrir facsímil</v>
      </c>
      <c r="K1892" s="3" t="s">
        <v>37</v>
      </c>
    </row>
    <row r="1893" spans="1:11" ht="54" customHeight="1">
      <c r="A1893" s="2" t="s">
        <v>4660</v>
      </c>
      <c r="B1893" s="2" t="s">
        <v>4661</v>
      </c>
      <c r="C1893" s="2" t="s">
        <v>17</v>
      </c>
      <c r="D1893" s="2" t="s">
        <v>18</v>
      </c>
      <c r="E1893" s="5" t="s">
        <v>426</v>
      </c>
      <c r="F1893" s="3" t="s">
        <v>427</v>
      </c>
      <c r="G1893" s="3" t="s">
        <v>75</v>
      </c>
      <c r="H1893" s="2" t="s">
        <v>22</v>
      </c>
      <c r="I1893" s="2" t="s">
        <v>4662</v>
      </c>
      <c r="J1893" s="3" t="str">
        <f>HYPERLINK("https://www.boe.es/gazeta/dias/1834/10/04/pdfs/GMD-1834-232.pdf#page=4","Abrir facsímil")</f>
        <v>Abrir facsímil</v>
      </c>
      <c r="K1893" s="3" t="s">
        <v>24</v>
      </c>
    </row>
    <row r="1894" spans="1:11" ht="54" customHeight="1">
      <c r="A1894" s="2" t="s">
        <v>4663</v>
      </c>
      <c r="B1894" s="2" t="s">
        <v>4663</v>
      </c>
      <c r="C1894" s="2" t="s">
        <v>17</v>
      </c>
      <c r="D1894" s="2" t="s">
        <v>18</v>
      </c>
      <c r="E1894" s="5" t="s">
        <v>1025</v>
      </c>
      <c r="F1894" s="3" t="s">
        <v>1026</v>
      </c>
      <c r="G1894" s="3" t="s">
        <v>86</v>
      </c>
      <c r="H1894" s="2" t="s">
        <v>22</v>
      </c>
      <c r="I1894" s="2" t="s">
        <v>4664</v>
      </c>
      <c r="J1894" s="3" t="str">
        <f>HYPERLINK("https://www.boe.es/gazeta/dias/1834/03/01/pdfs/GMD-1834-27.pdf#page=2","Abrir facsímil")</f>
        <v>Abrir facsímil</v>
      </c>
      <c r="K1894" s="3" t="s">
        <v>24</v>
      </c>
    </row>
    <row r="1895" spans="1:11" ht="54" customHeight="1">
      <c r="A1895" s="2" t="s">
        <v>4665</v>
      </c>
      <c r="B1895" s="2" t="s">
        <v>4665</v>
      </c>
      <c r="C1895" s="2" t="s">
        <v>46</v>
      </c>
      <c r="D1895" s="2" t="s">
        <v>101</v>
      </c>
      <c r="E1895" s="5" t="s">
        <v>1575</v>
      </c>
      <c r="F1895" s="3" t="s">
        <v>1576</v>
      </c>
      <c r="G1895" s="3" t="s">
        <v>86</v>
      </c>
      <c r="H1895" s="2" t="s">
        <v>22</v>
      </c>
      <c r="I1895" s="2" t="s">
        <v>4666</v>
      </c>
      <c r="J1895" s="3" t="str">
        <f>HYPERLINK("https://www.boe.es/gazeta/dias/1834/11/24/pdfs/GMD-1834-283.pdf#page=2","Abrir facsímil")</f>
        <v>Abrir facsímil</v>
      </c>
      <c r="K1895" s="3" t="s">
        <v>24</v>
      </c>
    </row>
    <row r="1896" spans="1:11" ht="54" customHeight="1">
      <c r="A1896" s="2" t="s">
        <v>4667</v>
      </c>
      <c r="B1896" s="2" t="s">
        <v>4667</v>
      </c>
      <c r="C1896" s="2" t="s">
        <v>17</v>
      </c>
      <c r="D1896" s="2" t="s">
        <v>18</v>
      </c>
      <c r="E1896" s="5" t="s">
        <v>444</v>
      </c>
      <c r="F1896" s="3" t="s">
        <v>2412</v>
      </c>
      <c r="G1896" s="3" t="s">
        <v>75</v>
      </c>
      <c r="H1896" s="2" t="s">
        <v>22</v>
      </c>
      <c r="I1896" s="2" t="s">
        <v>4668</v>
      </c>
      <c r="J1896" s="3" t="str">
        <f>HYPERLINK("https://www.boe.es/gazeta/dias/1834/09/12/pdfs/GMD-1834-210.pdf#page=4","Abrir facsímil")</f>
        <v>Abrir facsímil</v>
      </c>
      <c r="K1896" s="3" t="s">
        <v>24</v>
      </c>
    </row>
    <row r="1897" spans="1:11" ht="54" customHeight="1">
      <c r="A1897" s="2" t="s">
        <v>4669</v>
      </c>
      <c r="B1897" s="2" t="s">
        <v>4670</v>
      </c>
      <c r="C1897" s="2" t="s">
        <v>17</v>
      </c>
      <c r="D1897" s="2" t="s">
        <v>40</v>
      </c>
      <c r="E1897" s="5" t="s">
        <v>1318</v>
      </c>
      <c r="F1897" s="3" t="s">
        <v>1319</v>
      </c>
      <c r="G1897" s="3" t="s">
        <v>75</v>
      </c>
      <c r="H1897" s="2" t="s">
        <v>22</v>
      </c>
      <c r="I1897" s="2" t="s">
        <v>4671</v>
      </c>
      <c r="J1897" s="3" t="str">
        <f>HYPERLINK("https://www.boe.es/gazeta/dias/1834/05/10/pdfs/GMD-1834-79.pdf#page=4","Abrir facsímil")</f>
        <v>Abrir facsímil</v>
      </c>
      <c r="K1897" s="3" t="s">
        <v>24</v>
      </c>
    </row>
    <row r="1898" spans="1:11" ht="54" customHeight="1">
      <c r="A1898" s="2" t="s">
        <v>4672</v>
      </c>
      <c r="B1898" s="2" t="s">
        <v>4673</v>
      </c>
      <c r="C1898" s="2" t="s">
        <v>90</v>
      </c>
      <c r="D1898" s="2" t="s">
        <v>18</v>
      </c>
      <c r="E1898" s="5" t="s">
        <v>158</v>
      </c>
      <c r="F1898" s="3" t="s">
        <v>159</v>
      </c>
      <c r="G1898" s="3" t="s">
        <v>21</v>
      </c>
      <c r="H1898" s="2" t="s">
        <v>22</v>
      </c>
      <c r="I1898" s="2" t="s">
        <v>4674</v>
      </c>
      <c r="J1898" s="3" t="str">
        <f>HYPERLINK("https://www.boe.es/gazeta/dias/1834/10/01/pdfs/GMD-1834-229.pdf#page=3","Abrir facsímil")</f>
        <v>Abrir facsímil</v>
      </c>
      <c r="K1898" s="3" t="s">
        <v>24</v>
      </c>
    </row>
    <row r="1899" spans="1:11" ht="54" customHeight="1">
      <c r="A1899" s="2" t="s">
        <v>4672</v>
      </c>
      <c r="B1899" s="2" t="s">
        <v>4673</v>
      </c>
      <c r="C1899" s="2" t="s">
        <v>90</v>
      </c>
      <c r="D1899" s="2" t="s">
        <v>18</v>
      </c>
      <c r="E1899" s="5" t="s">
        <v>56</v>
      </c>
      <c r="F1899" s="3" t="s">
        <v>57</v>
      </c>
      <c r="G1899" s="3" t="s">
        <v>75</v>
      </c>
      <c r="H1899" s="2" t="s">
        <v>22</v>
      </c>
      <c r="I1899" s="2" t="s">
        <v>4675</v>
      </c>
      <c r="J1899" s="3" t="str">
        <f>HYPERLINK("https://www.boe.es/gazeta/dias/1834/07/09/pdfs/GMD-1834-142.pdf#page=4","Abrir facsímil")</f>
        <v>Abrir facsímil</v>
      </c>
      <c r="K1899" s="3" t="s">
        <v>24</v>
      </c>
    </row>
    <row r="1900" spans="1:11" ht="54" customHeight="1">
      <c r="A1900" s="2" t="s">
        <v>4672</v>
      </c>
      <c r="B1900" s="2" t="s">
        <v>4673</v>
      </c>
      <c r="C1900" s="2" t="s">
        <v>17</v>
      </c>
      <c r="D1900" s="2" t="s">
        <v>18</v>
      </c>
      <c r="E1900" s="5" t="s">
        <v>3248</v>
      </c>
      <c r="F1900" s="3" t="s">
        <v>3249</v>
      </c>
      <c r="G1900" s="3" t="s">
        <v>34</v>
      </c>
      <c r="H1900" s="2" t="s">
        <v>22</v>
      </c>
      <c r="I1900" s="2" t="s">
        <v>4676</v>
      </c>
      <c r="J1900" s="3" t="str">
        <f>HYPERLINK("https://www.boe.es/gazeta/dias/1834/09/20/pdfs/GMD-1834-218.pdf#page=1","Abrir facsímil")</f>
        <v>Abrir facsímil</v>
      </c>
      <c r="K1900" s="3" t="s">
        <v>24</v>
      </c>
    </row>
    <row r="1901" spans="1:11" ht="54" customHeight="1">
      <c r="A1901" s="2" t="s">
        <v>4672</v>
      </c>
      <c r="B1901" s="2" t="s">
        <v>4673</v>
      </c>
      <c r="C1901" s="2" t="s">
        <v>17</v>
      </c>
      <c r="D1901" s="2" t="s">
        <v>18</v>
      </c>
      <c r="E1901" s="5" t="s">
        <v>535</v>
      </c>
      <c r="F1901" s="3" t="s">
        <v>536</v>
      </c>
      <c r="G1901" s="3" t="s">
        <v>21</v>
      </c>
      <c r="H1901" s="2" t="s">
        <v>22</v>
      </c>
      <c r="I1901" s="2" t="s">
        <v>4677</v>
      </c>
      <c r="J1901" s="3" t="str">
        <f>HYPERLINK("https://www.boe.es/gazeta/dias/1834/05/21/pdfs/GMD-1834-90.pdf#page=3","Abrir facsímil")</f>
        <v>Abrir facsímil</v>
      </c>
      <c r="K1901" s="3" t="s">
        <v>24</v>
      </c>
    </row>
    <row r="1902" spans="1:11" ht="54" customHeight="1">
      <c r="A1902" s="2" t="s">
        <v>4672</v>
      </c>
      <c r="B1902" s="2" t="s">
        <v>4673</v>
      </c>
      <c r="C1902" s="2" t="s">
        <v>17</v>
      </c>
      <c r="D1902" s="2" t="s">
        <v>18</v>
      </c>
      <c r="E1902" s="5" t="s">
        <v>1695</v>
      </c>
      <c r="F1902" s="3" t="s">
        <v>1696</v>
      </c>
      <c r="G1902" s="3" t="s">
        <v>21</v>
      </c>
      <c r="H1902" s="2" t="s">
        <v>22</v>
      </c>
      <c r="I1902" s="2" t="s">
        <v>4678</v>
      </c>
      <c r="J1902" s="3" t="str">
        <f>HYPERLINK("https://www.boe.es/gazeta/dias/1834/06/30/pdfs/GMD-1834-133.pdf#page=3","Abrir facsímil")</f>
        <v>Abrir facsímil</v>
      </c>
      <c r="K1902" s="3" t="s">
        <v>24</v>
      </c>
    </row>
    <row r="1903" spans="1:11" ht="54" customHeight="1">
      <c r="A1903" s="2" t="s">
        <v>4679</v>
      </c>
      <c r="B1903" s="2" t="s">
        <v>4679</v>
      </c>
      <c r="C1903" s="2" t="s">
        <v>17</v>
      </c>
      <c r="D1903" s="2" t="s">
        <v>18</v>
      </c>
      <c r="E1903" s="5" t="s">
        <v>4169</v>
      </c>
      <c r="F1903" s="3" t="s">
        <v>4170</v>
      </c>
      <c r="G1903" s="3" t="s">
        <v>75</v>
      </c>
      <c r="H1903" s="2" t="s">
        <v>22</v>
      </c>
      <c r="I1903" s="2" t="s">
        <v>4680</v>
      </c>
      <c r="J1903" s="3" t="str">
        <f>HYPERLINK("https://www.boe.es/gazeta/dias/1834/11/20/pdfs/GMD-1834-279.pdf#page=4","Abrir facsímil")</f>
        <v>Abrir facsímil</v>
      </c>
      <c r="K1903" s="3" t="s">
        <v>24</v>
      </c>
    </row>
    <row r="1904" spans="1:11" ht="54" customHeight="1">
      <c r="A1904" s="2" t="s">
        <v>4681</v>
      </c>
      <c r="B1904" s="2" t="s">
        <v>4682</v>
      </c>
      <c r="C1904" s="2" t="s">
        <v>17</v>
      </c>
      <c r="D1904" s="2" t="s">
        <v>55</v>
      </c>
      <c r="E1904" s="5" t="s">
        <v>158</v>
      </c>
      <c r="F1904" s="3" t="s">
        <v>159</v>
      </c>
      <c r="G1904" s="3" t="s">
        <v>21</v>
      </c>
      <c r="H1904" s="2" t="s">
        <v>22</v>
      </c>
      <c r="I1904" s="2" t="s">
        <v>4683</v>
      </c>
      <c r="J1904" s="3" t="str">
        <f>HYPERLINK("https://www.boe.es/gazeta/dias/1834/10/01/pdfs/GMD-1834-229.pdf#page=3","Abrir facsímil")</f>
        <v>Abrir facsímil</v>
      </c>
      <c r="K1904" s="3" t="s">
        <v>24</v>
      </c>
    </row>
    <row r="1905" spans="1:11" ht="54" customHeight="1">
      <c r="A1905" s="2" t="s">
        <v>4684</v>
      </c>
      <c r="B1905" s="2" t="s">
        <v>4684</v>
      </c>
      <c r="C1905" s="2" t="s">
        <v>122</v>
      </c>
      <c r="D1905" s="2" t="s">
        <v>55</v>
      </c>
      <c r="E1905" s="5" t="s">
        <v>1689</v>
      </c>
      <c r="F1905" s="3" t="s">
        <v>1690</v>
      </c>
      <c r="G1905" s="3" t="s">
        <v>86</v>
      </c>
      <c r="H1905" s="2" t="s">
        <v>22</v>
      </c>
      <c r="I1905" s="2" t="s">
        <v>4685</v>
      </c>
      <c r="J1905" s="3" t="str">
        <f>HYPERLINK("https://www.boe.es/gazeta/dias/1834/07/28/pdfs/GMD-1834-161.pdf#page=2","Abrir facsímil")</f>
        <v>Abrir facsímil</v>
      </c>
      <c r="K1905" s="3" t="s">
        <v>24</v>
      </c>
    </row>
    <row r="1906" spans="1:11" ht="54" customHeight="1">
      <c r="A1906" s="2" t="s">
        <v>4686</v>
      </c>
      <c r="B1906" s="2" t="s">
        <v>4687</v>
      </c>
      <c r="C1906" s="2" t="s">
        <v>46</v>
      </c>
      <c r="D1906" s="2" t="s">
        <v>18</v>
      </c>
      <c r="E1906" s="5" t="s">
        <v>375</v>
      </c>
      <c r="F1906" s="3" t="s">
        <v>376</v>
      </c>
      <c r="G1906" s="3" t="s">
        <v>86</v>
      </c>
      <c r="H1906" s="2" t="s">
        <v>35</v>
      </c>
      <c r="I1906" s="2" t="s">
        <v>4688</v>
      </c>
      <c r="J1906" s="3" t="str">
        <f>HYPERLINK("https://www.boe.es/gazeta/dias/1834/08/21/pdfs/GMD-1834-187.pdf#page=2","Abrir facsímil")</f>
        <v>Abrir facsímil</v>
      </c>
      <c r="K1906" s="3" t="s">
        <v>37</v>
      </c>
    </row>
    <row r="1907" spans="1:11" ht="54" customHeight="1">
      <c r="A1907" s="2" t="s">
        <v>4689</v>
      </c>
      <c r="B1907" s="2" t="s">
        <v>4690</v>
      </c>
      <c r="C1907" s="2" t="s">
        <v>90</v>
      </c>
      <c r="D1907" s="2" t="s">
        <v>40</v>
      </c>
      <c r="E1907" s="5" t="s">
        <v>1505</v>
      </c>
      <c r="F1907" s="3" t="s">
        <v>1506</v>
      </c>
      <c r="G1907" s="3" t="s">
        <v>75</v>
      </c>
      <c r="H1907" s="2" t="s">
        <v>22</v>
      </c>
      <c r="I1907" s="2" t="s">
        <v>4691</v>
      </c>
      <c r="J1907" s="3" t="str">
        <f>HYPERLINK("https://www.boe.es/gazeta/dias/1834/05/08/pdfs/GMD-1834-77.pdf#page=4","Abrir facsímil")</f>
        <v>Abrir facsímil</v>
      </c>
      <c r="K1907" s="3" t="s">
        <v>24</v>
      </c>
    </row>
    <row r="1908" spans="1:11" ht="54" customHeight="1">
      <c r="A1908" s="2" t="s">
        <v>4689</v>
      </c>
      <c r="B1908" s="2" t="s">
        <v>4690</v>
      </c>
      <c r="C1908" s="2" t="s">
        <v>90</v>
      </c>
      <c r="D1908" s="2" t="s">
        <v>67</v>
      </c>
      <c r="E1908" s="5" t="s">
        <v>1234</v>
      </c>
      <c r="F1908" s="3" t="s">
        <v>1235</v>
      </c>
      <c r="G1908" s="3" t="s">
        <v>34</v>
      </c>
      <c r="H1908" s="2" t="s">
        <v>22</v>
      </c>
      <c r="I1908" s="2" t="s">
        <v>4692</v>
      </c>
      <c r="J1908" s="3" t="str">
        <f>HYPERLINK("https://www.boe.es/gazeta/dias/1834/05/15/pdfs/GMD-C-1834-84.pdf#page=1","Abrir facsímil")</f>
        <v>Abrir facsímil</v>
      </c>
      <c r="K1908" s="3" t="s">
        <v>24</v>
      </c>
    </row>
    <row r="1909" spans="1:11" ht="54" customHeight="1">
      <c r="A1909" s="2" t="s">
        <v>4689</v>
      </c>
      <c r="B1909" s="2" t="s">
        <v>4690</v>
      </c>
      <c r="C1909" s="2" t="s">
        <v>46</v>
      </c>
      <c r="D1909" s="2" t="s">
        <v>18</v>
      </c>
      <c r="E1909" s="5" t="s">
        <v>375</v>
      </c>
      <c r="F1909" s="3" t="s">
        <v>376</v>
      </c>
      <c r="G1909" s="3" t="s">
        <v>86</v>
      </c>
      <c r="H1909" s="2" t="s">
        <v>22</v>
      </c>
      <c r="I1909" s="2" t="s">
        <v>4693</v>
      </c>
      <c r="J1909" s="3" t="str">
        <f>HYPERLINK("https://www.boe.es/gazeta/dias/1834/08/21/pdfs/GMD-1834-187.pdf#page=2","Abrir facsímil")</f>
        <v>Abrir facsímil</v>
      </c>
      <c r="K1909" s="3" t="s">
        <v>24</v>
      </c>
    </row>
    <row r="1910" spans="1:11" ht="54" customHeight="1">
      <c r="A1910" s="2" t="s">
        <v>4689</v>
      </c>
      <c r="B1910" s="2" t="s">
        <v>4690</v>
      </c>
      <c r="C1910" s="2" t="s">
        <v>17</v>
      </c>
      <c r="D1910" s="2" t="s">
        <v>18</v>
      </c>
      <c r="E1910" s="5" t="s">
        <v>32</v>
      </c>
      <c r="F1910" s="3" t="s">
        <v>33</v>
      </c>
      <c r="G1910" s="3" t="s">
        <v>75</v>
      </c>
      <c r="H1910" s="2" t="s">
        <v>22</v>
      </c>
      <c r="I1910" s="2" t="s">
        <v>4694</v>
      </c>
      <c r="J1910" s="3" t="str">
        <f>HYPERLINK("https://www.boe.es/gazeta/dias/1834/04/23/pdfs/GMD-1834-62.pdf#page=4","Abrir facsímil")</f>
        <v>Abrir facsímil</v>
      </c>
      <c r="K1910" s="3" t="s">
        <v>24</v>
      </c>
    </row>
    <row r="1911" spans="1:11" ht="54" customHeight="1">
      <c r="A1911" s="2" t="s">
        <v>4695</v>
      </c>
      <c r="B1911" s="2" t="s">
        <v>4695</v>
      </c>
      <c r="C1911" s="2" t="s">
        <v>17</v>
      </c>
      <c r="D1911" s="2" t="s">
        <v>40</v>
      </c>
      <c r="E1911" s="5" t="s">
        <v>479</v>
      </c>
      <c r="F1911" s="3" t="s">
        <v>480</v>
      </c>
      <c r="G1911" s="3" t="s">
        <v>75</v>
      </c>
      <c r="H1911" s="2" t="s">
        <v>22</v>
      </c>
      <c r="I1911" s="2" t="s">
        <v>4696</v>
      </c>
      <c r="J1911" s="3" t="str">
        <f>HYPERLINK("https://www.boe.es/gazeta/dias/1834/08/13/pdfs/GMD-1834-178.pdf#page=4","Abrir facsímil")</f>
        <v>Abrir facsímil</v>
      </c>
      <c r="K1911" s="3" t="s">
        <v>24</v>
      </c>
    </row>
    <row r="1912" spans="1:11" ht="54" customHeight="1">
      <c r="A1912" s="2" t="s">
        <v>4697</v>
      </c>
      <c r="B1912" s="2" t="s">
        <v>4697</v>
      </c>
      <c r="C1912" s="2" t="s">
        <v>17</v>
      </c>
      <c r="D1912" s="2" t="s">
        <v>18</v>
      </c>
      <c r="E1912" s="5" t="s">
        <v>283</v>
      </c>
      <c r="F1912" s="3" t="s">
        <v>284</v>
      </c>
      <c r="G1912" s="3" t="s">
        <v>86</v>
      </c>
      <c r="H1912" s="2" t="s">
        <v>22</v>
      </c>
      <c r="I1912" s="2" t="s">
        <v>4698</v>
      </c>
      <c r="J1912" s="3" t="str">
        <f>HYPERLINK("https://www.boe.es/gazeta/dias/1834/11/29/pdfs/GMD-C-1834-288.pdf#page=2","Abrir facsímil")</f>
        <v>Abrir facsímil</v>
      </c>
      <c r="K1912" s="3" t="s">
        <v>24</v>
      </c>
    </row>
    <row r="1913" spans="1:11" ht="54" customHeight="1">
      <c r="A1913" s="2" t="s">
        <v>4697</v>
      </c>
      <c r="B1913" s="2" t="s">
        <v>4697</v>
      </c>
      <c r="C1913" s="2" t="s">
        <v>66</v>
      </c>
      <c r="D1913" s="2" t="s">
        <v>67</v>
      </c>
      <c r="E1913" s="5" t="s">
        <v>283</v>
      </c>
      <c r="F1913" s="3" t="s">
        <v>284</v>
      </c>
      <c r="G1913" s="3" t="s">
        <v>75</v>
      </c>
      <c r="H1913" s="2" t="s">
        <v>22</v>
      </c>
      <c r="I1913" s="2" t="s">
        <v>4699</v>
      </c>
      <c r="J1913" s="3" t="str">
        <f>HYPERLINK("https://www.boe.es/gazeta/dias/1834/11/29/pdfs/GMD-C-1834-288.pdf#page=4","Abrir facsímil")</f>
        <v>Abrir facsímil</v>
      </c>
      <c r="K1913" s="3" t="s">
        <v>24</v>
      </c>
    </row>
    <row r="1914" spans="1:11" ht="54" customHeight="1">
      <c r="A1914" s="2" t="s">
        <v>4700</v>
      </c>
      <c r="B1914" s="2" t="s">
        <v>4701</v>
      </c>
      <c r="C1914" s="2" t="s">
        <v>17</v>
      </c>
      <c r="D1914" s="2" t="s">
        <v>18</v>
      </c>
      <c r="E1914" s="5" t="s">
        <v>4637</v>
      </c>
      <c r="F1914" s="3" t="s">
        <v>4638</v>
      </c>
      <c r="G1914" s="3" t="s">
        <v>21</v>
      </c>
      <c r="H1914" s="2" t="s">
        <v>22</v>
      </c>
      <c r="I1914" s="2" t="s">
        <v>4702</v>
      </c>
      <c r="J1914" s="3" t="str">
        <f>HYPERLINK("https://www.boe.es/gazeta/dias/1834/12/08/pdfs/GMD-1834-297.pdf#page=3","Abrir facsímil")</f>
        <v>Abrir facsímil</v>
      </c>
      <c r="K1914" s="3" t="s">
        <v>24</v>
      </c>
    </row>
    <row r="1915" spans="1:11" ht="54" customHeight="1">
      <c r="A1915" s="2" t="s">
        <v>4703</v>
      </c>
      <c r="B1915" s="2" t="s">
        <v>4703</v>
      </c>
      <c r="C1915" s="2" t="s">
        <v>17</v>
      </c>
      <c r="D1915" s="2" t="s">
        <v>18</v>
      </c>
      <c r="E1915" s="5" t="s">
        <v>2124</v>
      </c>
      <c r="F1915" s="3" t="s">
        <v>2125</v>
      </c>
      <c r="G1915" s="3" t="s">
        <v>21</v>
      </c>
      <c r="H1915" s="2" t="s">
        <v>22</v>
      </c>
      <c r="I1915" s="2" t="s">
        <v>4704</v>
      </c>
      <c r="J1915" s="3" t="str">
        <f>HYPERLINK("https://www.boe.es/gazeta/dias/1834/06/09/pdfs/GMD-1834-112.pdf#page=3","Abrir facsímil")</f>
        <v>Abrir facsímil</v>
      </c>
      <c r="K1915" s="3" t="s">
        <v>24</v>
      </c>
    </row>
    <row r="1916" spans="1:11" ht="54" customHeight="1">
      <c r="A1916" s="2" t="s">
        <v>4705</v>
      </c>
      <c r="B1916" s="2" t="s">
        <v>4705</v>
      </c>
      <c r="C1916" s="2" t="s">
        <v>66</v>
      </c>
      <c r="D1916" s="2" t="s">
        <v>67</v>
      </c>
      <c r="E1916" s="5" t="s">
        <v>2241</v>
      </c>
      <c r="F1916" s="3" t="s">
        <v>2242</v>
      </c>
      <c r="G1916" s="3" t="s">
        <v>86</v>
      </c>
      <c r="H1916" s="2" t="s">
        <v>22</v>
      </c>
      <c r="I1916" s="2" t="s">
        <v>4706</v>
      </c>
      <c r="J1916" s="3" t="str">
        <f>HYPERLINK("https://www.boe.es/gazeta/dias/1834/03/11/pdfs/GMD-1834-31.pdf#page=2","Abrir facsímil")</f>
        <v>Abrir facsímil</v>
      </c>
      <c r="K1916" s="3" t="s">
        <v>24</v>
      </c>
    </row>
    <row r="1917" spans="1:11" ht="54" customHeight="1">
      <c r="A1917" s="2" t="s">
        <v>4707</v>
      </c>
      <c r="B1917" s="2" t="s">
        <v>4707</v>
      </c>
      <c r="C1917" s="2" t="s">
        <v>17</v>
      </c>
      <c r="D1917" s="2" t="s">
        <v>18</v>
      </c>
      <c r="E1917" s="5" t="s">
        <v>803</v>
      </c>
      <c r="F1917" s="3" t="s">
        <v>804</v>
      </c>
      <c r="G1917" s="3" t="s">
        <v>21</v>
      </c>
      <c r="H1917" s="2" t="s">
        <v>22</v>
      </c>
      <c r="I1917" s="2" t="s">
        <v>4708</v>
      </c>
      <c r="J1917" s="3" t="str">
        <f>HYPERLINK("https://www.boe.es/gazeta/dias/1834/03/29/pdfs/GMD-1834-39.pdf#page=3","Abrir facsímil")</f>
        <v>Abrir facsímil</v>
      </c>
      <c r="K1917" s="3" t="s">
        <v>24</v>
      </c>
    </row>
    <row r="1918" spans="1:11" ht="54" customHeight="1">
      <c r="A1918" s="2" t="s">
        <v>4709</v>
      </c>
      <c r="B1918" s="2" t="s">
        <v>4710</v>
      </c>
      <c r="C1918" s="2" t="s">
        <v>17</v>
      </c>
      <c r="D1918" s="2" t="s">
        <v>40</v>
      </c>
      <c r="E1918" s="5" t="s">
        <v>518</v>
      </c>
      <c r="F1918" s="3" t="s">
        <v>519</v>
      </c>
      <c r="G1918" s="3" t="s">
        <v>75</v>
      </c>
      <c r="H1918" s="2" t="s">
        <v>22</v>
      </c>
      <c r="I1918" s="2" t="s">
        <v>4711</v>
      </c>
      <c r="J1918" s="3" t="str">
        <f>HYPERLINK("https://www.boe.es/gazeta/dias/1834/03/15/pdfs/GMD-1834-33.pdf#page=4","Abrir facsímil")</f>
        <v>Abrir facsímil</v>
      </c>
      <c r="K1918" s="3" t="s">
        <v>24</v>
      </c>
    </row>
    <row r="1919" spans="1:11" ht="54" customHeight="1">
      <c r="A1919" s="2" t="s">
        <v>4712</v>
      </c>
      <c r="B1919" s="2" t="s">
        <v>4713</v>
      </c>
      <c r="C1919" s="2" t="s">
        <v>17</v>
      </c>
      <c r="D1919" s="2" t="s">
        <v>18</v>
      </c>
      <c r="E1919" s="5" t="s">
        <v>627</v>
      </c>
      <c r="F1919" s="3" t="s">
        <v>1013</v>
      </c>
      <c r="G1919" s="3" t="s">
        <v>21</v>
      </c>
      <c r="H1919" s="2" t="s">
        <v>22</v>
      </c>
      <c r="I1919" s="2" t="s">
        <v>4714</v>
      </c>
      <c r="J1919" s="3" t="str">
        <f>HYPERLINK("https://www.boe.es/gazeta/dias/1834/09/22/pdfs/GMD-1834-220.pdf#page=3","Abrir facsímil")</f>
        <v>Abrir facsímil</v>
      </c>
      <c r="K1919" s="3" t="s">
        <v>24</v>
      </c>
    </row>
    <row r="1920" spans="1:11" ht="54" customHeight="1">
      <c r="A1920" s="2" t="s">
        <v>4715</v>
      </c>
      <c r="B1920" s="2" t="s">
        <v>4715</v>
      </c>
      <c r="C1920" s="2" t="s">
        <v>17</v>
      </c>
      <c r="D1920" s="2" t="s">
        <v>18</v>
      </c>
      <c r="E1920" s="5" t="s">
        <v>128</v>
      </c>
      <c r="F1920" s="3" t="s">
        <v>1068</v>
      </c>
      <c r="G1920" s="3" t="s">
        <v>21</v>
      </c>
      <c r="H1920" s="2" t="s">
        <v>22</v>
      </c>
      <c r="I1920" s="2" t="s">
        <v>4716</v>
      </c>
      <c r="J1920" s="3" t="str">
        <f>HYPERLINK("https://www.boe.es/gazeta/dias/1834/12/24/pdfs/GMD-1834-314.pdf#page=3","Abrir facsímil")</f>
        <v>Abrir facsímil</v>
      </c>
      <c r="K1920" s="3" t="s">
        <v>24</v>
      </c>
    </row>
    <row r="1921" spans="1:11" ht="54" customHeight="1">
      <c r="A1921" s="2" t="s">
        <v>4717</v>
      </c>
      <c r="B1921" s="2" t="s">
        <v>4718</v>
      </c>
      <c r="C1921" s="2" t="s">
        <v>17</v>
      </c>
      <c r="D1921" s="2" t="s">
        <v>18</v>
      </c>
      <c r="E1921" s="5" t="s">
        <v>128</v>
      </c>
      <c r="F1921" s="3" t="s">
        <v>1068</v>
      </c>
      <c r="G1921" s="3" t="s">
        <v>21</v>
      </c>
      <c r="H1921" s="2" t="s">
        <v>22</v>
      </c>
      <c r="I1921" s="2" t="s">
        <v>4719</v>
      </c>
      <c r="J1921" s="3" t="str">
        <f>HYPERLINK("https://www.boe.es/gazeta/dias/1834/12/24/pdfs/GMD-1834-314.pdf#page=3","Abrir facsímil")</f>
        <v>Abrir facsímil</v>
      </c>
      <c r="K1921" s="3" t="s">
        <v>24</v>
      </c>
    </row>
    <row r="1922" spans="1:11" ht="54" customHeight="1">
      <c r="A1922" s="2" t="s">
        <v>4720</v>
      </c>
      <c r="B1922" s="2" t="s">
        <v>4720</v>
      </c>
      <c r="C1922" s="2" t="s">
        <v>17</v>
      </c>
      <c r="D1922" s="2" t="s">
        <v>55</v>
      </c>
      <c r="E1922" s="5" t="s">
        <v>3207</v>
      </c>
      <c r="F1922" s="3" t="s">
        <v>3208</v>
      </c>
      <c r="G1922" s="3" t="s">
        <v>21</v>
      </c>
      <c r="H1922" s="2" t="s">
        <v>22</v>
      </c>
      <c r="I1922" s="2" t="s">
        <v>4721</v>
      </c>
      <c r="J1922" s="3" t="str">
        <f>HYPERLINK("https://www.boe.es/gazeta/dias/1834/10/13/pdfs/GMD-1834-241.pdf#page=3","Abrir facsímil")</f>
        <v>Abrir facsímil</v>
      </c>
      <c r="K1922" s="3" t="s">
        <v>24</v>
      </c>
    </row>
    <row r="1923" spans="1:11" ht="54" customHeight="1">
      <c r="A1923" s="2" t="s">
        <v>4722</v>
      </c>
      <c r="B1923" s="2" t="s">
        <v>4723</v>
      </c>
      <c r="C1923" s="2" t="s">
        <v>17</v>
      </c>
      <c r="D1923" s="2" t="s">
        <v>18</v>
      </c>
      <c r="E1923" s="5" t="s">
        <v>299</v>
      </c>
      <c r="F1923" s="3" t="s">
        <v>300</v>
      </c>
      <c r="G1923" s="3" t="s">
        <v>21</v>
      </c>
      <c r="H1923" s="2" t="s">
        <v>22</v>
      </c>
      <c r="I1923" s="2" t="s">
        <v>4724</v>
      </c>
      <c r="J1923" s="3" t="str">
        <f>HYPERLINK("https://www.boe.es/gazeta/dias/1834/12/12/pdfs/GMD-1834-301.pdf#page=3","Abrir facsímil")</f>
        <v>Abrir facsímil</v>
      </c>
      <c r="K1923" s="3" t="s">
        <v>24</v>
      </c>
    </row>
    <row r="1924" spans="1:11" ht="54" customHeight="1">
      <c r="A1924" s="2" t="s">
        <v>4725</v>
      </c>
      <c r="B1924" s="2" t="s">
        <v>4725</v>
      </c>
      <c r="C1924" s="2" t="s">
        <v>17</v>
      </c>
      <c r="D1924" s="2" t="s">
        <v>18</v>
      </c>
      <c r="E1924" s="5" t="s">
        <v>128</v>
      </c>
      <c r="F1924" s="3" t="s">
        <v>1068</v>
      </c>
      <c r="G1924" s="3" t="s">
        <v>86</v>
      </c>
      <c r="H1924" s="2" t="s">
        <v>22</v>
      </c>
      <c r="I1924" s="2" t="s">
        <v>4726</v>
      </c>
      <c r="J1924" s="3" t="str">
        <f>HYPERLINK("https://www.boe.es/gazeta/dias/1834/12/24/pdfs/GMD-1834-314.pdf#page=2","Abrir facsímil")</f>
        <v>Abrir facsímil</v>
      </c>
      <c r="K1924" s="3" t="s">
        <v>24</v>
      </c>
    </row>
    <row r="1925" spans="1:11" ht="54" customHeight="1">
      <c r="A1925" s="2" t="s">
        <v>4727</v>
      </c>
      <c r="B1925" s="2" t="s">
        <v>4727</v>
      </c>
      <c r="C1925" s="2" t="s">
        <v>17</v>
      </c>
      <c r="D1925" s="2" t="s">
        <v>18</v>
      </c>
      <c r="E1925" s="5" t="s">
        <v>1262</v>
      </c>
      <c r="F1925" s="3" t="s">
        <v>1263</v>
      </c>
      <c r="G1925" s="3" t="s">
        <v>75</v>
      </c>
      <c r="H1925" s="2" t="s">
        <v>22</v>
      </c>
      <c r="I1925" s="2" t="s">
        <v>4728</v>
      </c>
      <c r="J1925" s="3" t="str">
        <f>HYPERLINK("https://www.boe.es/gazeta/dias/1834/02/01/pdfs/GMD-1834-15.pdf#page=4","Abrir facsímil")</f>
        <v>Abrir facsímil</v>
      </c>
      <c r="K1925" s="3" t="s">
        <v>24</v>
      </c>
    </row>
    <row r="1926" spans="1:11" ht="54" customHeight="1">
      <c r="A1926" s="2" t="s">
        <v>4727</v>
      </c>
      <c r="B1926" s="2" t="s">
        <v>4727</v>
      </c>
      <c r="C1926" s="2" t="s">
        <v>17</v>
      </c>
      <c r="D1926" s="2" t="s">
        <v>55</v>
      </c>
      <c r="E1926" s="5" t="s">
        <v>416</v>
      </c>
      <c r="F1926" s="3" t="s">
        <v>1130</v>
      </c>
      <c r="G1926" s="3" t="s">
        <v>34</v>
      </c>
      <c r="H1926" s="2" t="s">
        <v>22</v>
      </c>
      <c r="I1926" s="2" t="s">
        <v>4729</v>
      </c>
      <c r="J1926" s="3" t="str">
        <f>HYPERLINK("https://www.boe.es/gazeta/dias/1834/10/02/pdfs/GMD-1834-230.pdf#page=1","Abrir facsímil")</f>
        <v>Abrir facsímil</v>
      </c>
      <c r="K1926" s="3" t="s">
        <v>24</v>
      </c>
    </row>
    <row r="1927" spans="1:11" ht="54" customHeight="1">
      <c r="A1927" s="2" t="s">
        <v>4727</v>
      </c>
      <c r="B1927" s="2" t="s">
        <v>4727</v>
      </c>
      <c r="C1927" s="2" t="s">
        <v>17</v>
      </c>
      <c r="D1927" s="2" t="s">
        <v>55</v>
      </c>
      <c r="E1927" s="5" t="s">
        <v>1653</v>
      </c>
      <c r="F1927" s="3" t="s">
        <v>1654</v>
      </c>
      <c r="G1927" s="3" t="s">
        <v>86</v>
      </c>
      <c r="H1927" s="2" t="s">
        <v>22</v>
      </c>
      <c r="I1927" s="2" t="s">
        <v>4730</v>
      </c>
      <c r="J1927" s="3" t="str">
        <f>HYPERLINK("https://www.boe.es/gazeta/dias/1834/07/03/pdfs/GMD-1834-136.pdf#page=2","Abrir facsímil")</f>
        <v>Abrir facsímil</v>
      </c>
      <c r="K1927" s="3" t="s">
        <v>24</v>
      </c>
    </row>
    <row r="1928" spans="1:11" ht="54" customHeight="1">
      <c r="A1928" s="2" t="s">
        <v>4727</v>
      </c>
      <c r="B1928" s="2" t="s">
        <v>4727</v>
      </c>
      <c r="C1928" s="2" t="s">
        <v>66</v>
      </c>
      <c r="D1928" s="2" t="s">
        <v>18</v>
      </c>
      <c r="E1928" s="5" t="s">
        <v>330</v>
      </c>
      <c r="F1928" s="3" t="s">
        <v>331</v>
      </c>
      <c r="G1928" s="3" t="s">
        <v>34</v>
      </c>
      <c r="H1928" s="2" t="s">
        <v>22</v>
      </c>
      <c r="I1928" s="2" t="s">
        <v>4731</v>
      </c>
      <c r="J1928" s="3" t="str">
        <f>HYPERLINK("https://www.boe.es/gazeta/dias/1834/12/03/pdfs/GMD-1834-292.pdf#page=1","Abrir facsímil")</f>
        <v>Abrir facsímil</v>
      </c>
      <c r="K1928" s="3" t="s">
        <v>24</v>
      </c>
    </row>
    <row r="1929" spans="1:11" ht="54" customHeight="1">
      <c r="A1929" s="2" t="s">
        <v>4727</v>
      </c>
      <c r="B1929" s="2" t="s">
        <v>4727</v>
      </c>
      <c r="C1929" s="2" t="s">
        <v>46</v>
      </c>
      <c r="D1929" s="2" t="s">
        <v>18</v>
      </c>
      <c r="E1929" s="5" t="s">
        <v>3054</v>
      </c>
      <c r="F1929" s="3" t="s">
        <v>3055</v>
      </c>
      <c r="G1929" s="3" t="s">
        <v>86</v>
      </c>
      <c r="H1929" s="2" t="s">
        <v>22</v>
      </c>
      <c r="I1929" s="2" t="s">
        <v>4732</v>
      </c>
      <c r="J1929" s="3" t="str">
        <f>HYPERLINK("https://www.boe.es/gazeta/dias/1834/10/06/pdfs/GMD-1834-234.pdf#page=2","Abrir facsímil")</f>
        <v>Abrir facsímil</v>
      </c>
      <c r="K1929" s="3" t="s">
        <v>24</v>
      </c>
    </row>
    <row r="1930" spans="1:11" ht="54" customHeight="1">
      <c r="A1930" s="2" t="s">
        <v>4727</v>
      </c>
      <c r="B1930" s="2" t="s">
        <v>4727</v>
      </c>
      <c r="C1930" s="2" t="s">
        <v>122</v>
      </c>
      <c r="D1930" s="2" t="s">
        <v>18</v>
      </c>
      <c r="E1930" s="5" t="s">
        <v>258</v>
      </c>
      <c r="F1930" s="3" t="s">
        <v>1075</v>
      </c>
      <c r="G1930" s="3" t="s">
        <v>75</v>
      </c>
      <c r="H1930" s="2" t="s">
        <v>22</v>
      </c>
      <c r="I1930" s="2" t="s">
        <v>4733</v>
      </c>
      <c r="J1930" s="3" t="str">
        <f>HYPERLINK("https://www.boe.es/gazeta/dias/1834/10/09/pdfs/GMD-1834-237.pdf#page=4","Abrir facsímil")</f>
        <v>Abrir facsímil</v>
      </c>
      <c r="K1930" s="3" t="s">
        <v>24</v>
      </c>
    </row>
    <row r="1931" spans="1:11" ht="54" customHeight="1">
      <c r="A1931" s="2" t="s">
        <v>4727</v>
      </c>
      <c r="B1931" s="2" t="s">
        <v>4727</v>
      </c>
      <c r="C1931" s="2" t="s">
        <v>17</v>
      </c>
      <c r="D1931" s="2" t="s">
        <v>18</v>
      </c>
      <c r="E1931" s="5" t="s">
        <v>2260</v>
      </c>
      <c r="F1931" s="3" t="s">
        <v>2261</v>
      </c>
      <c r="G1931" s="3" t="s">
        <v>86</v>
      </c>
      <c r="H1931" s="2" t="s">
        <v>22</v>
      </c>
      <c r="I1931" s="2" t="s">
        <v>4734</v>
      </c>
      <c r="J1931" s="3" t="str">
        <f>HYPERLINK("https://www.boe.es/gazeta/dias/1834/11/13/pdfs/GMD-1834-272.pdf#page=2","Abrir facsímil")</f>
        <v>Abrir facsímil</v>
      </c>
      <c r="K1931" s="3" t="s">
        <v>24</v>
      </c>
    </row>
    <row r="1932" spans="1:11" ht="54" customHeight="1">
      <c r="A1932" s="2" t="s">
        <v>4727</v>
      </c>
      <c r="B1932" s="2" t="s">
        <v>4727</v>
      </c>
      <c r="C1932" s="2" t="s">
        <v>17</v>
      </c>
      <c r="D1932" s="2" t="s">
        <v>18</v>
      </c>
      <c r="E1932" s="5" t="s">
        <v>2087</v>
      </c>
      <c r="F1932" s="3" t="s">
        <v>2088</v>
      </c>
      <c r="G1932" s="3" t="s">
        <v>86</v>
      </c>
      <c r="H1932" s="2" t="s">
        <v>22</v>
      </c>
      <c r="I1932" s="2" t="s">
        <v>4735</v>
      </c>
      <c r="J1932" s="3" t="str">
        <f>HYPERLINK("https://www.boe.es/gazeta/dias/1834/12/14/pdfs/GMD-1834-303.pdf#page=2","Abrir facsímil")</f>
        <v>Abrir facsímil</v>
      </c>
      <c r="K1932" s="3" t="s">
        <v>24</v>
      </c>
    </row>
    <row r="1933" spans="1:11" ht="54" customHeight="1">
      <c r="A1933" s="2" t="s">
        <v>4727</v>
      </c>
      <c r="B1933" s="2" t="s">
        <v>4727</v>
      </c>
      <c r="C1933" s="2" t="s">
        <v>46</v>
      </c>
      <c r="D1933" s="2" t="s">
        <v>101</v>
      </c>
      <c r="E1933" s="5" t="s">
        <v>4736</v>
      </c>
      <c r="F1933" s="3" t="s">
        <v>4737</v>
      </c>
      <c r="G1933" s="3" t="s">
        <v>86</v>
      </c>
      <c r="H1933" s="2" t="s">
        <v>22</v>
      </c>
      <c r="I1933" s="2" t="s">
        <v>4738</v>
      </c>
      <c r="J1933" s="3" t="str">
        <f>HYPERLINK("https://www.boe.es/gazeta/dias/1834/09/16/pdfs/GMD-1834-214.pdf#page=2","Abrir facsímil")</f>
        <v>Abrir facsímil</v>
      </c>
      <c r="K1933" s="3" t="s">
        <v>24</v>
      </c>
    </row>
    <row r="1934" spans="1:11" ht="54" customHeight="1">
      <c r="A1934" s="2" t="s">
        <v>4727</v>
      </c>
      <c r="B1934" s="2" t="s">
        <v>4727</v>
      </c>
      <c r="C1934" s="2" t="s">
        <v>90</v>
      </c>
      <c r="D1934" s="2" t="s">
        <v>18</v>
      </c>
      <c r="E1934" s="5" t="s">
        <v>1119</v>
      </c>
      <c r="F1934" s="3" t="s">
        <v>1120</v>
      </c>
      <c r="G1934" s="3" t="s">
        <v>86</v>
      </c>
      <c r="H1934" s="2" t="s">
        <v>22</v>
      </c>
      <c r="I1934" s="2" t="s">
        <v>4739</v>
      </c>
      <c r="J1934" s="3" t="str">
        <f>HYPERLINK("https://www.boe.es/gazeta/dias/1834/07/17/pdfs/GMD-1834-150.pdf#page=2","Abrir facsímil")</f>
        <v>Abrir facsímil</v>
      </c>
      <c r="K1934" s="3" t="s">
        <v>24</v>
      </c>
    </row>
    <row r="1935" spans="1:11" ht="54" customHeight="1">
      <c r="A1935" s="2" t="s">
        <v>4727</v>
      </c>
      <c r="B1935" s="2" t="s">
        <v>4727</v>
      </c>
      <c r="C1935" s="2" t="s">
        <v>46</v>
      </c>
      <c r="D1935" s="2" t="s">
        <v>18</v>
      </c>
      <c r="E1935" s="5" t="s">
        <v>838</v>
      </c>
      <c r="F1935" s="3" t="s">
        <v>839</v>
      </c>
      <c r="G1935" s="3" t="s">
        <v>21</v>
      </c>
      <c r="H1935" s="2" t="s">
        <v>22</v>
      </c>
      <c r="I1935" s="2" t="s">
        <v>4740</v>
      </c>
      <c r="J1935" s="3" t="str">
        <f>HYPERLINK("https://www.boe.es/gazeta/dias/1834/07/18/pdfs/GMD-1834-151.pdf#page=3","Abrir facsímil")</f>
        <v>Abrir facsímil</v>
      </c>
      <c r="K1935" s="3" t="s">
        <v>24</v>
      </c>
    </row>
    <row r="1936" spans="1:11" ht="54" customHeight="1">
      <c r="A1936" s="2" t="s">
        <v>4727</v>
      </c>
      <c r="B1936" s="2" t="s">
        <v>4727</v>
      </c>
      <c r="C1936" s="2" t="s">
        <v>46</v>
      </c>
      <c r="D1936" s="2" t="s">
        <v>18</v>
      </c>
      <c r="E1936" s="5" t="s">
        <v>2287</v>
      </c>
      <c r="F1936" s="3" t="s">
        <v>4741</v>
      </c>
      <c r="G1936" s="3" t="s">
        <v>86</v>
      </c>
      <c r="H1936" s="2" t="s">
        <v>22</v>
      </c>
      <c r="I1936" s="2" t="s">
        <v>4742</v>
      </c>
      <c r="J1936" s="3" t="str">
        <f>HYPERLINK("https://www.boe.es/gazeta/dias/1834/12/18/pdfs/GMD-1834-308.pdf#page=2","Abrir facsímil")</f>
        <v>Abrir facsímil</v>
      </c>
      <c r="K1936" s="3" t="s">
        <v>24</v>
      </c>
    </row>
    <row r="1937" spans="1:11" ht="54" customHeight="1">
      <c r="A1937" s="2" t="s">
        <v>4727</v>
      </c>
      <c r="B1937" s="2" t="s">
        <v>4727</v>
      </c>
      <c r="C1937" s="2" t="s">
        <v>17</v>
      </c>
      <c r="D1937" s="2" t="s">
        <v>18</v>
      </c>
      <c r="E1937" s="5" t="s">
        <v>524</v>
      </c>
      <c r="F1937" s="3" t="s">
        <v>4743</v>
      </c>
      <c r="G1937" s="3" t="s">
        <v>21</v>
      </c>
      <c r="H1937" s="2" t="s">
        <v>22</v>
      </c>
      <c r="I1937" s="2" t="s">
        <v>4744</v>
      </c>
      <c r="J1937" s="3" t="str">
        <f>HYPERLINK("https://www.boe.es/gazeta/dias/1834/12/25/pdfs/GMD-1834-315.pdf#page=3","Abrir facsímil")</f>
        <v>Abrir facsímil</v>
      </c>
      <c r="K1937" s="3" t="s">
        <v>24</v>
      </c>
    </row>
    <row r="1938" spans="1:11" ht="54" customHeight="1">
      <c r="A1938" s="2" t="s">
        <v>4727</v>
      </c>
      <c r="B1938" s="2" t="s">
        <v>4727</v>
      </c>
      <c r="C1938" s="2" t="s">
        <v>66</v>
      </c>
      <c r="D1938" s="2" t="s">
        <v>18</v>
      </c>
      <c r="E1938" s="5" t="s">
        <v>1284</v>
      </c>
      <c r="F1938" s="3" t="s">
        <v>1285</v>
      </c>
      <c r="G1938" s="3" t="s">
        <v>34</v>
      </c>
      <c r="H1938" s="2" t="s">
        <v>22</v>
      </c>
      <c r="I1938" s="2" t="s">
        <v>4745</v>
      </c>
      <c r="J1938" s="3" t="str">
        <f>HYPERLINK("https://www.boe.es/gazeta/dias/1834/11/28/pdfs/GMD-1834-287.pdf#page=1","Abrir facsímil")</f>
        <v>Abrir facsímil</v>
      </c>
      <c r="K1938" s="3" t="s">
        <v>24</v>
      </c>
    </row>
    <row r="1939" spans="1:11" ht="54" customHeight="1">
      <c r="A1939" s="2" t="s">
        <v>4727</v>
      </c>
      <c r="B1939" s="2" t="s">
        <v>4727</v>
      </c>
      <c r="C1939" s="2" t="s">
        <v>17</v>
      </c>
      <c r="D1939" s="2" t="s">
        <v>18</v>
      </c>
      <c r="E1939" s="5" t="s">
        <v>1692</v>
      </c>
      <c r="F1939" s="3" t="s">
        <v>1693</v>
      </c>
      <c r="G1939" s="3" t="s">
        <v>86</v>
      </c>
      <c r="H1939" s="2" t="s">
        <v>22</v>
      </c>
      <c r="I1939" s="2" t="s">
        <v>4746</v>
      </c>
      <c r="J1939" s="3" t="str">
        <f>HYPERLINK("https://www.boe.es/gazeta/dias/1834/07/29/pdfs/GMD-1834-162.pdf#page=2","Abrir facsímil")</f>
        <v>Abrir facsímil</v>
      </c>
      <c r="K1939" s="3" t="s">
        <v>24</v>
      </c>
    </row>
    <row r="1940" spans="1:11" ht="54" customHeight="1">
      <c r="A1940" s="2" t="s">
        <v>4747</v>
      </c>
      <c r="B1940" s="2" t="s">
        <v>4747</v>
      </c>
      <c r="C1940" s="2" t="s">
        <v>90</v>
      </c>
      <c r="D1940" s="2" t="s">
        <v>18</v>
      </c>
      <c r="E1940" s="5" t="s">
        <v>416</v>
      </c>
      <c r="F1940" s="3" t="s">
        <v>1130</v>
      </c>
      <c r="G1940" s="3" t="s">
        <v>34</v>
      </c>
      <c r="H1940" s="2" t="s">
        <v>22</v>
      </c>
      <c r="I1940" s="2" t="s">
        <v>4748</v>
      </c>
      <c r="J1940" s="3" t="str">
        <f>HYPERLINK("https://www.boe.es/gazeta/dias/1834/10/02/pdfs/GMD-1834-230.pdf#page=1","Abrir facsímil")</f>
        <v>Abrir facsímil</v>
      </c>
      <c r="K1940" s="3" t="s">
        <v>24</v>
      </c>
    </row>
    <row r="1941" spans="1:11" ht="54" customHeight="1">
      <c r="A1941" s="2" t="s">
        <v>4749</v>
      </c>
      <c r="B1941" s="2" t="s">
        <v>4749</v>
      </c>
      <c r="C1941" s="2" t="s">
        <v>17</v>
      </c>
      <c r="D1941" s="2" t="s">
        <v>18</v>
      </c>
      <c r="E1941" s="5" t="s">
        <v>355</v>
      </c>
      <c r="F1941" s="3" t="s">
        <v>356</v>
      </c>
      <c r="G1941" s="3" t="s">
        <v>86</v>
      </c>
      <c r="H1941" s="2" t="s">
        <v>22</v>
      </c>
      <c r="I1941" s="2" t="s">
        <v>4750</v>
      </c>
      <c r="J1941" s="3" t="str">
        <f>HYPERLINK("https://www.boe.es/gazeta/dias/1834/07/04/pdfs/I00597-00598.pdf#page=2","Abrir facsímil")</f>
        <v>Abrir facsímil</v>
      </c>
      <c r="K1941" s="3" t="s">
        <v>24</v>
      </c>
    </row>
    <row r="1942" spans="1:11" ht="54" customHeight="1">
      <c r="A1942" s="2" t="s">
        <v>4749</v>
      </c>
      <c r="B1942" s="2" t="s">
        <v>4749</v>
      </c>
      <c r="C1942" s="2" t="s">
        <v>17</v>
      </c>
      <c r="D1942" s="2" t="s">
        <v>18</v>
      </c>
      <c r="E1942" s="5" t="s">
        <v>355</v>
      </c>
      <c r="F1942" s="3" t="s">
        <v>356</v>
      </c>
      <c r="G1942" s="3" t="s">
        <v>75</v>
      </c>
      <c r="H1942" s="2" t="s">
        <v>22</v>
      </c>
      <c r="I1942" s="2" t="s">
        <v>4750</v>
      </c>
      <c r="J1942" s="3" t="str">
        <f>HYPERLINK("https://www.boe.es/gazeta/dias/1834/07/04/pdfs/GMD-1834-137.pdf#page=4","Abrir facsímil")</f>
        <v>Abrir facsímil</v>
      </c>
      <c r="K1942" s="3" t="s">
        <v>24</v>
      </c>
    </row>
    <row r="1943" spans="1:11" ht="54" customHeight="1">
      <c r="A1943" s="2" t="s">
        <v>4749</v>
      </c>
      <c r="B1943" s="2" t="s">
        <v>4749</v>
      </c>
      <c r="C1943" s="2" t="s">
        <v>17</v>
      </c>
      <c r="D1943" s="2" t="s">
        <v>55</v>
      </c>
      <c r="E1943" s="5" t="s">
        <v>707</v>
      </c>
      <c r="F1943" s="3" t="s">
        <v>1359</v>
      </c>
      <c r="G1943" s="3" t="s">
        <v>21</v>
      </c>
      <c r="H1943" s="2" t="s">
        <v>22</v>
      </c>
      <c r="I1943" s="2" t="s">
        <v>4751</v>
      </c>
      <c r="J1943" s="3" t="str">
        <f>HYPERLINK("https://www.boe.es/gazeta/dias/1834/11/25/pdfs/GMD-1834-284.pdf#page=3","Abrir facsímil")</f>
        <v>Abrir facsímil</v>
      </c>
      <c r="K1943" s="3" t="s">
        <v>24</v>
      </c>
    </row>
    <row r="1944" spans="1:11" ht="54" customHeight="1">
      <c r="A1944" s="2" t="s">
        <v>4752</v>
      </c>
      <c r="B1944" s="2" t="s">
        <v>4752</v>
      </c>
      <c r="C1944" s="2" t="s">
        <v>17</v>
      </c>
      <c r="D1944" s="2" t="s">
        <v>18</v>
      </c>
      <c r="E1944" s="5" t="s">
        <v>838</v>
      </c>
      <c r="F1944" s="3" t="s">
        <v>839</v>
      </c>
      <c r="G1944" s="3" t="s">
        <v>21</v>
      </c>
      <c r="H1944" s="2" t="s">
        <v>22</v>
      </c>
      <c r="I1944" s="2" t="s">
        <v>4753</v>
      </c>
      <c r="J1944" s="3" t="str">
        <f>HYPERLINK("https://www.boe.es/gazeta/dias/1834/07/18/pdfs/GMD-1834-151.pdf#page=3","Abrir facsímil")</f>
        <v>Abrir facsímil</v>
      </c>
      <c r="K1944" s="3" t="s">
        <v>24</v>
      </c>
    </row>
    <row r="1945" spans="1:11" ht="54" customHeight="1">
      <c r="A1945" s="2" t="s">
        <v>4754</v>
      </c>
      <c r="B1945" s="2" t="s">
        <v>4754</v>
      </c>
      <c r="C1945" s="2" t="s">
        <v>17</v>
      </c>
      <c r="D1945" s="2" t="s">
        <v>18</v>
      </c>
      <c r="E1945" s="5" t="s">
        <v>102</v>
      </c>
      <c r="F1945" s="3" t="s">
        <v>103</v>
      </c>
      <c r="G1945" s="3" t="s">
        <v>86</v>
      </c>
      <c r="H1945" s="2" t="s">
        <v>22</v>
      </c>
      <c r="I1945" s="2" t="s">
        <v>4755</v>
      </c>
      <c r="J1945" s="3" t="str">
        <f>HYPERLINK("https://www.boe.es/gazeta/dias/1834/07/19/pdfs/GMD-1834-152.pdf#page=2","Abrir facsímil")</f>
        <v>Abrir facsímil</v>
      </c>
      <c r="K1945" s="3" t="s">
        <v>24</v>
      </c>
    </row>
    <row r="1946" spans="1:11" ht="54" customHeight="1">
      <c r="A1946" s="2" t="s">
        <v>4756</v>
      </c>
      <c r="B1946" s="2" t="s">
        <v>4757</v>
      </c>
      <c r="C1946" s="2" t="s">
        <v>122</v>
      </c>
      <c r="D1946" s="2" t="s">
        <v>18</v>
      </c>
      <c r="E1946" s="5" t="s">
        <v>2937</v>
      </c>
      <c r="F1946" s="3" t="s">
        <v>2938</v>
      </c>
      <c r="G1946" s="3" t="s">
        <v>34</v>
      </c>
      <c r="H1946" s="2" t="s">
        <v>22</v>
      </c>
      <c r="I1946" s="2" t="s">
        <v>4758</v>
      </c>
      <c r="J1946" s="3" t="str">
        <f>HYPERLINK("https://www.boe.es/gazeta/dias/1834/06/25/pdfs/GMD-1834-128.pdf#page=1","Abrir facsímil")</f>
        <v>Abrir facsímil</v>
      </c>
      <c r="K1946" s="3" t="s">
        <v>24</v>
      </c>
    </row>
    <row r="1947" spans="1:11" ht="54" customHeight="1">
      <c r="A1947" s="2" t="s">
        <v>4759</v>
      </c>
      <c r="B1947" s="2" t="s">
        <v>4759</v>
      </c>
      <c r="C1947" s="2" t="s">
        <v>66</v>
      </c>
      <c r="D1947" s="2" t="s">
        <v>67</v>
      </c>
      <c r="E1947" s="5" t="s">
        <v>61</v>
      </c>
      <c r="F1947" s="3" t="s">
        <v>205</v>
      </c>
      <c r="G1947" s="3" t="s">
        <v>21</v>
      </c>
      <c r="H1947" s="2" t="s">
        <v>22</v>
      </c>
      <c r="I1947" s="2" t="s">
        <v>4760</v>
      </c>
      <c r="J1947" s="3" t="str">
        <f>HYPERLINK("https://www.boe.es/gazeta/dias/1834/06/08/pdfs/GMD-1834-110.pdf#page=3","Abrir facsímil")</f>
        <v>Abrir facsímil</v>
      </c>
      <c r="K1947" s="3" t="s">
        <v>24</v>
      </c>
    </row>
    <row r="1948" spans="1:11" ht="54" customHeight="1">
      <c r="A1948" s="2" t="s">
        <v>4759</v>
      </c>
      <c r="B1948" s="2" t="s">
        <v>4759</v>
      </c>
      <c r="C1948" s="2" t="s">
        <v>66</v>
      </c>
      <c r="D1948" s="2" t="s">
        <v>18</v>
      </c>
      <c r="E1948" s="5" t="s">
        <v>808</v>
      </c>
      <c r="F1948" s="3" t="s">
        <v>809</v>
      </c>
      <c r="G1948" s="3" t="s">
        <v>21</v>
      </c>
      <c r="H1948" s="2" t="s">
        <v>22</v>
      </c>
      <c r="I1948" s="2" t="s">
        <v>4761</v>
      </c>
      <c r="J1948" s="3" t="str">
        <f>HYPERLINK("https://www.boe.es/gazeta/dias/1834/10/11/pdfs/GMD-1834-239.pdf#page=3","Abrir facsímil")</f>
        <v>Abrir facsímil</v>
      </c>
      <c r="K1948" s="3" t="s">
        <v>24</v>
      </c>
    </row>
    <row r="1949" spans="1:11" ht="54" customHeight="1">
      <c r="A1949" s="2" t="s">
        <v>4762</v>
      </c>
      <c r="B1949" s="2" t="s">
        <v>4763</v>
      </c>
      <c r="C1949" s="2" t="s">
        <v>66</v>
      </c>
      <c r="D1949" s="2" t="s">
        <v>18</v>
      </c>
      <c r="E1949" s="5" t="s">
        <v>808</v>
      </c>
      <c r="F1949" s="3" t="s">
        <v>809</v>
      </c>
      <c r="G1949" s="3" t="s">
        <v>21</v>
      </c>
      <c r="H1949" s="2" t="s">
        <v>35</v>
      </c>
      <c r="I1949" s="2" t="s">
        <v>4764</v>
      </c>
      <c r="J1949" s="3" t="str">
        <f>HYPERLINK("https://www.boe.es/gazeta/dias/1834/10/11/pdfs/GMD-1834-239.pdf#page=3","Abrir facsímil")</f>
        <v>Abrir facsímil</v>
      </c>
      <c r="K1949" s="3" t="s">
        <v>37</v>
      </c>
    </row>
    <row r="1950" spans="1:11" ht="54" customHeight="1">
      <c r="A1950" s="2" t="s">
        <v>4765</v>
      </c>
      <c r="B1950" s="2" t="s">
        <v>4766</v>
      </c>
      <c r="C1950" s="2" t="s">
        <v>90</v>
      </c>
      <c r="D1950" s="2" t="s">
        <v>67</v>
      </c>
      <c r="E1950" s="5" t="s">
        <v>3225</v>
      </c>
      <c r="F1950" s="3" t="s">
        <v>3226</v>
      </c>
      <c r="G1950" s="3" t="s">
        <v>21</v>
      </c>
      <c r="H1950" s="2" t="s">
        <v>35</v>
      </c>
      <c r="I1950" s="2" t="s">
        <v>4767</v>
      </c>
      <c r="J1950" s="3" t="str">
        <f>HYPERLINK("https://www.boe.es/gazeta/dias/1834/08/22/pdfs/GMD-1834-188.pdf#page=3","Abrir facsímil")</f>
        <v>Abrir facsímil</v>
      </c>
      <c r="K1950" s="3" t="s">
        <v>37</v>
      </c>
    </row>
    <row r="1951" spans="1:11" ht="54" customHeight="1">
      <c r="A1951" s="2" t="s">
        <v>4768</v>
      </c>
      <c r="B1951" s="2" t="s">
        <v>4769</v>
      </c>
      <c r="C1951" s="2" t="s">
        <v>90</v>
      </c>
      <c r="D1951" s="2" t="s">
        <v>67</v>
      </c>
      <c r="E1951" s="5" t="s">
        <v>3225</v>
      </c>
      <c r="F1951" s="3" t="s">
        <v>3226</v>
      </c>
      <c r="G1951" s="3" t="s">
        <v>21</v>
      </c>
      <c r="H1951" s="2" t="s">
        <v>22</v>
      </c>
      <c r="I1951" s="2" t="s">
        <v>4770</v>
      </c>
      <c r="J1951" s="3" t="str">
        <f>HYPERLINK("https://www.boe.es/gazeta/dias/1834/08/22/pdfs/GMD-1834-188.pdf#page=3","Abrir facsímil")</f>
        <v>Abrir facsímil</v>
      </c>
      <c r="K1951" s="3" t="s">
        <v>24</v>
      </c>
    </row>
    <row r="1952" spans="1:11" ht="54" customHeight="1">
      <c r="A1952" s="2" t="s">
        <v>4771</v>
      </c>
      <c r="B1952" s="2" t="s">
        <v>4772</v>
      </c>
      <c r="C1952" s="2" t="s">
        <v>90</v>
      </c>
      <c r="D1952" s="2" t="s">
        <v>40</v>
      </c>
      <c r="E1952" s="5" t="s">
        <v>696</v>
      </c>
      <c r="F1952" s="3" t="s">
        <v>854</v>
      </c>
      <c r="G1952" s="3" t="s">
        <v>75</v>
      </c>
      <c r="H1952" s="2" t="s">
        <v>22</v>
      </c>
      <c r="I1952" s="2" t="s">
        <v>4773</v>
      </c>
      <c r="J1952" s="3" t="str">
        <f>HYPERLINK("https://www.boe.es/gazeta/dias/1834/12/06/pdfs/GMD-1834-295.pdf#page=4","Abrir facsímil")</f>
        <v>Abrir facsímil</v>
      </c>
      <c r="K1952" s="3" t="s">
        <v>24</v>
      </c>
    </row>
    <row r="1953" spans="1:11" ht="54" customHeight="1">
      <c r="A1953" s="2" t="s">
        <v>4774</v>
      </c>
      <c r="B1953" s="2" t="s">
        <v>4775</v>
      </c>
      <c r="C1953" s="2" t="s">
        <v>90</v>
      </c>
      <c r="D1953" s="2" t="s">
        <v>18</v>
      </c>
      <c r="E1953" s="5" t="s">
        <v>19</v>
      </c>
      <c r="F1953" s="3" t="s">
        <v>20</v>
      </c>
      <c r="G1953" s="3" t="s">
        <v>86</v>
      </c>
      <c r="H1953" s="2" t="s">
        <v>35</v>
      </c>
      <c r="I1953" s="2" t="s">
        <v>4776</v>
      </c>
      <c r="J1953" s="3" t="str">
        <f>HYPERLINK("https://www.boe.es/gazeta/dias/1834/08/17/pdfs/GMD-D-1834-182.pdf#page=2","Abrir facsímil")</f>
        <v>Abrir facsímil</v>
      </c>
      <c r="K1953" s="3" t="s">
        <v>37</v>
      </c>
    </row>
    <row r="1954" spans="1:11" ht="54" customHeight="1">
      <c r="A1954" s="2" t="s">
        <v>4777</v>
      </c>
      <c r="B1954" s="2" t="s">
        <v>4777</v>
      </c>
      <c r="C1954" s="2" t="s">
        <v>17</v>
      </c>
      <c r="D1954" s="2" t="s">
        <v>18</v>
      </c>
      <c r="E1954" s="5" t="s">
        <v>642</v>
      </c>
      <c r="F1954" s="3" t="s">
        <v>643</v>
      </c>
      <c r="G1954" s="3" t="s">
        <v>21</v>
      </c>
      <c r="H1954" s="2" t="s">
        <v>22</v>
      </c>
      <c r="I1954" s="2" t="s">
        <v>4778</v>
      </c>
      <c r="J1954" s="3" t="str">
        <f>HYPERLINK("https://www.boe.es/gazeta/dias/1834/11/12/pdfs/GMD-C-1834-271.pdf#page=3","Abrir facsímil")</f>
        <v>Abrir facsímil</v>
      </c>
      <c r="K1954" s="3" t="s">
        <v>24</v>
      </c>
    </row>
    <row r="1955" spans="1:11" ht="54" customHeight="1">
      <c r="A1955" s="2" t="s">
        <v>4779</v>
      </c>
      <c r="B1955" s="2" t="s">
        <v>4780</v>
      </c>
      <c r="C1955" s="2" t="s">
        <v>17</v>
      </c>
      <c r="D1955" s="2" t="s">
        <v>18</v>
      </c>
      <c r="E1955" s="5" t="s">
        <v>1704</v>
      </c>
      <c r="F1955" s="3" t="s">
        <v>1705</v>
      </c>
      <c r="G1955" s="3" t="s">
        <v>75</v>
      </c>
      <c r="H1955" s="2" t="s">
        <v>22</v>
      </c>
      <c r="I1955" s="2" t="s">
        <v>4781</v>
      </c>
      <c r="J1955" s="3" t="str">
        <f>HYPERLINK("https://www.boe.es/gazeta/dias/1834/12/02/pdfs/GMD-1834-291.pdf#page=4","Abrir facsímil")</f>
        <v>Abrir facsímil</v>
      </c>
      <c r="K1955" s="3" t="s">
        <v>24</v>
      </c>
    </row>
    <row r="1956" spans="1:11" ht="54" customHeight="1">
      <c r="A1956" s="2" t="s">
        <v>4782</v>
      </c>
      <c r="B1956" s="2" t="s">
        <v>4782</v>
      </c>
      <c r="C1956" s="2" t="s">
        <v>17</v>
      </c>
      <c r="D1956" s="2" t="s">
        <v>18</v>
      </c>
      <c r="E1956" s="5" t="s">
        <v>2087</v>
      </c>
      <c r="F1956" s="3" t="s">
        <v>2088</v>
      </c>
      <c r="G1956" s="3" t="s">
        <v>86</v>
      </c>
      <c r="H1956" s="2" t="s">
        <v>22</v>
      </c>
      <c r="I1956" s="2" t="s">
        <v>4783</v>
      </c>
      <c r="J1956" s="3" t="str">
        <f>HYPERLINK("https://www.boe.es/gazeta/dias/1834/12/14/pdfs/GMD-1834-303.pdf#page=2","Abrir facsímil")</f>
        <v>Abrir facsímil</v>
      </c>
      <c r="K1956" s="3" t="s">
        <v>24</v>
      </c>
    </row>
    <row r="1957" spans="1:11" ht="54" customHeight="1">
      <c r="A1957" s="2" t="s">
        <v>4784</v>
      </c>
      <c r="B1957" s="2" t="s">
        <v>4784</v>
      </c>
      <c r="C1957" s="2" t="s">
        <v>122</v>
      </c>
      <c r="D1957" s="2" t="s">
        <v>101</v>
      </c>
      <c r="E1957" s="5" t="s">
        <v>309</v>
      </c>
      <c r="F1957" s="3" t="s">
        <v>310</v>
      </c>
      <c r="G1957" s="3" t="s">
        <v>86</v>
      </c>
      <c r="H1957" s="2" t="s">
        <v>22</v>
      </c>
      <c r="I1957" s="2" t="s">
        <v>4785</v>
      </c>
      <c r="J1957" s="3" t="str">
        <f>HYPERLINK("https://www.boe.es/gazeta/dias/1834/05/30/pdfs/GMD-1834-99.pdf#page=2","Abrir facsímil")</f>
        <v>Abrir facsímil</v>
      </c>
      <c r="K1957" s="3" t="s">
        <v>24</v>
      </c>
    </row>
    <row r="1958" spans="1:11" ht="54" customHeight="1">
      <c r="A1958" s="2" t="s">
        <v>4786</v>
      </c>
      <c r="B1958" s="2" t="s">
        <v>4787</v>
      </c>
      <c r="C1958" s="2" t="s">
        <v>66</v>
      </c>
      <c r="D1958" s="2" t="s">
        <v>55</v>
      </c>
      <c r="E1958" s="5" t="s">
        <v>84</v>
      </c>
      <c r="F1958" s="3" t="s">
        <v>1223</v>
      </c>
      <c r="G1958" s="3" t="s">
        <v>75</v>
      </c>
      <c r="H1958" s="2" t="s">
        <v>22</v>
      </c>
      <c r="I1958" s="2" t="s">
        <v>4788</v>
      </c>
      <c r="J1958" s="3" t="str">
        <f>HYPERLINK("https://www.boe.es/gazeta/dias/1834/06/07/pdfs/GMD-1834-109.pdf#page=4","Abrir facsímil")</f>
        <v>Abrir facsímil</v>
      </c>
      <c r="K1958" s="3" t="s">
        <v>24</v>
      </c>
    </row>
    <row r="1959" spans="1:11" ht="54" customHeight="1">
      <c r="A1959" s="2" t="s">
        <v>4789</v>
      </c>
      <c r="B1959" s="2" t="s">
        <v>4790</v>
      </c>
      <c r="C1959" s="2" t="s">
        <v>17</v>
      </c>
      <c r="D1959" s="2" t="s">
        <v>101</v>
      </c>
      <c r="E1959" s="5" t="s">
        <v>1850</v>
      </c>
      <c r="F1959" s="3" t="s">
        <v>1851</v>
      </c>
      <c r="G1959" s="3" t="s">
        <v>28</v>
      </c>
      <c r="H1959" s="2" t="s">
        <v>22</v>
      </c>
      <c r="I1959" s="2" t="s">
        <v>4791</v>
      </c>
      <c r="J1959" s="3" t="str">
        <f>HYPERLINK("https://www.boe.es/gazeta/dias/1834/02/18/pdfs/GMD-1834-22.pdf#page=5","Abrir facsímil")</f>
        <v>Abrir facsímil</v>
      </c>
      <c r="K1959" s="3" t="s">
        <v>24</v>
      </c>
    </row>
    <row r="1960" spans="1:11" ht="54" customHeight="1">
      <c r="A1960" s="2" t="s">
        <v>4792</v>
      </c>
      <c r="B1960" s="2" t="s">
        <v>4793</v>
      </c>
      <c r="C1960" s="2" t="s">
        <v>17</v>
      </c>
      <c r="D1960" s="2" t="s">
        <v>18</v>
      </c>
      <c r="E1960" s="5" t="s">
        <v>399</v>
      </c>
      <c r="F1960" s="3" t="s">
        <v>400</v>
      </c>
      <c r="G1960" s="3" t="s">
        <v>21</v>
      </c>
      <c r="H1960" s="2" t="s">
        <v>35</v>
      </c>
      <c r="I1960" s="2" t="s">
        <v>4794</v>
      </c>
      <c r="J1960" s="3" t="str">
        <f>HYPERLINK("https://www.boe.es/gazeta/dias/1834/07/08/pdfs/GMD-1834-141.pdf#page=3","Abrir facsímil")</f>
        <v>Abrir facsímil</v>
      </c>
      <c r="K1960" s="3" t="s">
        <v>37</v>
      </c>
    </row>
    <row r="1961" spans="1:11" ht="54" customHeight="1">
      <c r="A1961" s="2" t="s">
        <v>4795</v>
      </c>
      <c r="B1961" s="2" t="s">
        <v>4796</v>
      </c>
      <c r="C1961" s="2" t="s">
        <v>17</v>
      </c>
      <c r="D1961" s="2" t="s">
        <v>18</v>
      </c>
      <c r="E1961" s="5" t="s">
        <v>399</v>
      </c>
      <c r="F1961" s="3" t="s">
        <v>400</v>
      </c>
      <c r="G1961" s="3" t="s">
        <v>21</v>
      </c>
      <c r="H1961" s="2" t="s">
        <v>22</v>
      </c>
      <c r="I1961" s="2" t="s">
        <v>4797</v>
      </c>
      <c r="J1961" s="3" t="str">
        <f>HYPERLINK("https://www.boe.es/gazeta/dias/1834/07/08/pdfs/GMD-1834-141.pdf#page=3","Abrir facsímil")</f>
        <v>Abrir facsímil</v>
      </c>
      <c r="K1961" s="3" t="s">
        <v>24</v>
      </c>
    </row>
    <row r="1962" spans="1:11" ht="54" customHeight="1">
      <c r="A1962" s="2" t="s">
        <v>4795</v>
      </c>
      <c r="B1962" s="2" t="s">
        <v>4796</v>
      </c>
      <c r="C1962" s="2" t="s">
        <v>90</v>
      </c>
      <c r="D1962" s="2" t="s">
        <v>40</v>
      </c>
      <c r="E1962" s="5" t="s">
        <v>3248</v>
      </c>
      <c r="F1962" s="3" t="s">
        <v>4798</v>
      </c>
      <c r="G1962" s="3" t="s">
        <v>34</v>
      </c>
      <c r="H1962" s="2" t="s">
        <v>22</v>
      </c>
      <c r="I1962" s="2" t="s">
        <v>4799</v>
      </c>
      <c r="J1962" s="3" t="str">
        <f>HYPERLINK("https://www.boe.es/gazeta/dias/1834/09/20/pdfs/GMD-C-1834-218.pdf#page=1","Abrir facsímil")</f>
        <v>Abrir facsímil</v>
      </c>
      <c r="K1962" s="3" t="s">
        <v>24</v>
      </c>
    </row>
    <row r="1963" spans="1:11" ht="54" customHeight="1">
      <c r="A1963" s="2" t="s">
        <v>4800</v>
      </c>
      <c r="B1963" s="2" t="s">
        <v>4801</v>
      </c>
      <c r="C1963" s="2" t="s">
        <v>122</v>
      </c>
      <c r="D1963" s="2" t="s">
        <v>101</v>
      </c>
      <c r="E1963" s="5" t="s">
        <v>273</v>
      </c>
      <c r="F1963" s="3" t="s">
        <v>413</v>
      </c>
      <c r="G1963" s="3" t="s">
        <v>75</v>
      </c>
      <c r="H1963" s="2" t="s">
        <v>35</v>
      </c>
      <c r="I1963" s="2" t="s">
        <v>4802</v>
      </c>
      <c r="J1963" s="3" t="str">
        <f>HYPERLINK("https://www.boe.es/gazeta/dias/1834/08/31/pdfs/GMD-1834-198.pdf#page=4","Abrir facsímil")</f>
        <v>Abrir facsímil</v>
      </c>
      <c r="K1963" s="3" t="s">
        <v>37</v>
      </c>
    </row>
    <row r="1964" spans="1:11" ht="54" customHeight="1">
      <c r="A1964" s="2" t="s">
        <v>4803</v>
      </c>
      <c r="B1964" s="2" t="s">
        <v>4804</v>
      </c>
      <c r="C1964" s="2" t="s">
        <v>122</v>
      </c>
      <c r="D1964" s="2" t="s">
        <v>18</v>
      </c>
      <c r="E1964" s="5" t="s">
        <v>1008</v>
      </c>
      <c r="F1964" s="3" t="s">
        <v>2991</v>
      </c>
      <c r="G1964" s="3" t="s">
        <v>75</v>
      </c>
      <c r="H1964" s="2" t="s">
        <v>22</v>
      </c>
      <c r="I1964" s="2" t="s">
        <v>4805</v>
      </c>
      <c r="J1964" s="3" t="str">
        <f>HYPERLINK("https://www.boe.es/gazeta/dias/1834/11/08/pdfs/GMD-1834-267.pdf#page=4","Abrir facsímil")</f>
        <v>Abrir facsímil</v>
      </c>
      <c r="K1964" s="3" t="s">
        <v>24</v>
      </c>
    </row>
    <row r="1965" spans="1:11" ht="54" customHeight="1">
      <c r="A1965" s="2" t="s">
        <v>4803</v>
      </c>
      <c r="B1965" s="2" t="s">
        <v>4804</v>
      </c>
      <c r="C1965" s="2" t="s">
        <v>122</v>
      </c>
      <c r="D1965" s="2" t="s">
        <v>101</v>
      </c>
      <c r="E1965" s="5" t="s">
        <v>273</v>
      </c>
      <c r="F1965" s="3" t="s">
        <v>413</v>
      </c>
      <c r="G1965" s="3" t="s">
        <v>75</v>
      </c>
      <c r="H1965" s="2" t="s">
        <v>22</v>
      </c>
      <c r="I1965" s="2" t="s">
        <v>4806</v>
      </c>
      <c r="J1965" s="3" t="str">
        <f>HYPERLINK("https://www.boe.es/gazeta/dias/1834/08/31/pdfs/GMD-1834-198.pdf#page=4","Abrir facsímil")</f>
        <v>Abrir facsímil</v>
      </c>
      <c r="K1965" s="3" t="s">
        <v>24</v>
      </c>
    </row>
    <row r="1966" spans="1:11" ht="54" customHeight="1">
      <c r="A1966" s="2" t="s">
        <v>4807</v>
      </c>
      <c r="B1966" s="2" t="s">
        <v>4808</v>
      </c>
      <c r="C1966" s="2" t="s">
        <v>66</v>
      </c>
      <c r="D1966" s="2" t="s">
        <v>67</v>
      </c>
      <c r="E1966" s="5" t="s">
        <v>860</v>
      </c>
      <c r="F1966" s="3" t="s">
        <v>861</v>
      </c>
      <c r="G1966" s="3" t="s">
        <v>75</v>
      </c>
      <c r="H1966" s="2" t="s">
        <v>22</v>
      </c>
      <c r="I1966" s="2" t="s">
        <v>4809</v>
      </c>
      <c r="J1966" s="3" t="str">
        <f>HYPERLINK("https://www.boe.es/gazeta/dias/1834/02/08/pdfs/GMD-1834-18.pdf#page=4","Abrir facsímil")</f>
        <v>Abrir facsímil</v>
      </c>
      <c r="K1966" s="3" t="s">
        <v>24</v>
      </c>
    </row>
    <row r="1967" spans="1:11" ht="54" customHeight="1">
      <c r="A1967" s="2" t="s">
        <v>4810</v>
      </c>
      <c r="B1967" s="2" t="s">
        <v>4810</v>
      </c>
      <c r="C1967" s="2" t="s">
        <v>66</v>
      </c>
      <c r="D1967" s="2" t="s">
        <v>67</v>
      </c>
      <c r="E1967" s="5" t="s">
        <v>1084</v>
      </c>
      <c r="F1967" s="3" t="s">
        <v>1085</v>
      </c>
      <c r="G1967" s="3" t="s">
        <v>34</v>
      </c>
      <c r="H1967" s="2" t="s">
        <v>22</v>
      </c>
      <c r="I1967" s="2" t="s">
        <v>4811</v>
      </c>
      <c r="J1967" s="3" t="str">
        <f>HYPERLINK("https://www.boe.es/gazeta/dias/1834/05/01/pdfs/GMD-1834-70.pdf#page=1","Abrir facsímil")</f>
        <v>Abrir facsímil</v>
      </c>
      <c r="K1967" s="3" t="s">
        <v>24</v>
      </c>
    </row>
    <row r="1968" spans="1:11" ht="54" customHeight="1">
      <c r="A1968" s="2" t="s">
        <v>4810</v>
      </c>
      <c r="B1968" s="2" t="s">
        <v>4810</v>
      </c>
      <c r="C1968" s="2" t="s">
        <v>46</v>
      </c>
      <c r="D1968" s="2" t="s">
        <v>55</v>
      </c>
      <c r="E1968" s="5" t="s">
        <v>1862</v>
      </c>
      <c r="F1968" s="3" t="s">
        <v>1863</v>
      </c>
      <c r="G1968" s="3" t="s">
        <v>21</v>
      </c>
      <c r="H1968" s="2" t="s">
        <v>22</v>
      </c>
      <c r="I1968" s="2" t="s">
        <v>4812</v>
      </c>
      <c r="J1968" s="3" t="str">
        <f>HYPERLINK("https://www.boe.es/gazeta/dias/1834/02/04/pdfs/GMD-1834-16.pdf#page=3","Abrir facsímil")</f>
        <v>Abrir facsímil</v>
      </c>
      <c r="K1968" s="3" t="s">
        <v>24</v>
      </c>
    </row>
    <row r="1969" spans="1:11" ht="54" customHeight="1">
      <c r="A1969" s="2" t="s">
        <v>4810</v>
      </c>
      <c r="B1969" s="2" t="s">
        <v>4810</v>
      </c>
      <c r="C1969" s="2" t="s">
        <v>17</v>
      </c>
      <c r="D1969" s="2" t="s">
        <v>18</v>
      </c>
      <c r="E1969" s="5" t="s">
        <v>1402</v>
      </c>
      <c r="F1969" s="3" t="s">
        <v>1403</v>
      </c>
      <c r="G1969" s="3" t="s">
        <v>86</v>
      </c>
      <c r="H1969" s="2" t="s">
        <v>22</v>
      </c>
      <c r="I1969" s="2" t="s">
        <v>4813</v>
      </c>
      <c r="J1969" s="3" t="str">
        <f>HYPERLINK("https://www.boe.es/gazeta/dias/1834/05/05/pdfs/GMD-1834-74.pdf#page=2","Abrir facsímil")</f>
        <v>Abrir facsímil</v>
      </c>
      <c r="K1969" s="3" t="s">
        <v>24</v>
      </c>
    </row>
    <row r="1970" spans="1:11" ht="54" customHeight="1">
      <c r="A1970" s="2" t="s">
        <v>4810</v>
      </c>
      <c r="B1970" s="2" t="s">
        <v>4810</v>
      </c>
      <c r="C1970" s="2" t="s">
        <v>46</v>
      </c>
      <c r="D1970" s="2" t="s">
        <v>18</v>
      </c>
      <c r="E1970" s="5" t="s">
        <v>4814</v>
      </c>
      <c r="F1970" s="3" t="s">
        <v>4815</v>
      </c>
      <c r="G1970" s="3" t="s">
        <v>21</v>
      </c>
      <c r="H1970" s="2" t="s">
        <v>22</v>
      </c>
      <c r="I1970" s="2" t="s">
        <v>4816</v>
      </c>
      <c r="J1970" s="3" t="str">
        <f>HYPERLINK("https://www.boe.es/gazeta/dias/1834/06/05/pdfs/GMD-1834-107.pdf#page=3","Abrir facsímil")</f>
        <v>Abrir facsímil</v>
      </c>
      <c r="K1970" s="3" t="s">
        <v>24</v>
      </c>
    </row>
    <row r="1971" spans="1:11" ht="54" customHeight="1">
      <c r="A1971" s="2" t="s">
        <v>4810</v>
      </c>
      <c r="B1971" s="2" t="s">
        <v>4810</v>
      </c>
      <c r="C1971" s="2" t="s">
        <v>90</v>
      </c>
      <c r="D1971" s="2" t="s">
        <v>55</v>
      </c>
      <c r="E1971" s="5" t="s">
        <v>3699</v>
      </c>
      <c r="F1971" s="3" t="s">
        <v>3700</v>
      </c>
      <c r="G1971" s="3" t="s">
        <v>86</v>
      </c>
      <c r="H1971" s="2" t="s">
        <v>22</v>
      </c>
      <c r="I1971" s="2" t="s">
        <v>4817</v>
      </c>
      <c r="J1971" s="3" t="str">
        <f>HYPERLINK("https://www.boe.es/gazeta/dias/1834/02/06/pdfs/GMD-1834-17.pdf#page=2","Abrir facsímil")</f>
        <v>Abrir facsímil</v>
      </c>
      <c r="K1971" s="3" t="s">
        <v>24</v>
      </c>
    </row>
    <row r="1972" spans="1:11" ht="54" customHeight="1">
      <c r="A1972" s="2" t="s">
        <v>4810</v>
      </c>
      <c r="B1972" s="2" t="s">
        <v>4810</v>
      </c>
      <c r="C1972" s="2" t="s">
        <v>17</v>
      </c>
      <c r="D1972" s="2" t="s">
        <v>18</v>
      </c>
      <c r="E1972" s="5" t="s">
        <v>317</v>
      </c>
      <c r="F1972" s="3" t="s">
        <v>318</v>
      </c>
      <c r="G1972" s="3" t="s">
        <v>86</v>
      </c>
      <c r="H1972" s="2" t="s">
        <v>22</v>
      </c>
      <c r="I1972" s="2" t="s">
        <v>4818</v>
      </c>
      <c r="J1972" s="3" t="str">
        <f>HYPERLINK("https://www.boe.es/gazeta/dias/1834/03/06/pdfs/GMD-1834-29.pdf#page=2","Abrir facsímil")</f>
        <v>Abrir facsímil</v>
      </c>
      <c r="K1972" s="3" t="s">
        <v>24</v>
      </c>
    </row>
    <row r="1973" spans="1:11" ht="54" customHeight="1">
      <c r="A1973" s="2" t="s">
        <v>4819</v>
      </c>
      <c r="B1973" s="2" t="s">
        <v>4819</v>
      </c>
      <c r="C1973" s="2" t="s">
        <v>122</v>
      </c>
      <c r="D1973" s="2" t="s">
        <v>18</v>
      </c>
      <c r="E1973" s="5" t="s">
        <v>3306</v>
      </c>
      <c r="F1973" s="3" t="s">
        <v>3307</v>
      </c>
      <c r="G1973" s="3" t="s">
        <v>21</v>
      </c>
      <c r="H1973" s="2" t="s">
        <v>22</v>
      </c>
      <c r="I1973" s="2" t="s">
        <v>4820</v>
      </c>
      <c r="J1973" s="3" t="str">
        <f>HYPERLINK("https://www.boe.es/gazeta/dias/1834/05/07/pdfs/GMD-1834-76.pdf#page=3","Abrir facsímil")</f>
        <v>Abrir facsímil</v>
      </c>
      <c r="K1973" s="3" t="s">
        <v>24</v>
      </c>
    </row>
    <row r="1974" spans="1:11" ht="54" customHeight="1">
      <c r="A1974" s="2" t="s">
        <v>4810</v>
      </c>
      <c r="B1974" s="2" t="s">
        <v>4810</v>
      </c>
      <c r="C1974" s="2" t="s">
        <v>17</v>
      </c>
      <c r="D1974" s="2" t="s">
        <v>18</v>
      </c>
      <c r="E1974" s="5" t="s">
        <v>84</v>
      </c>
      <c r="F1974" s="3" t="s">
        <v>1223</v>
      </c>
      <c r="G1974" s="3" t="s">
        <v>21</v>
      </c>
      <c r="H1974" s="2" t="s">
        <v>22</v>
      </c>
      <c r="I1974" s="2" t="s">
        <v>4821</v>
      </c>
      <c r="J1974" s="3" t="str">
        <f>HYPERLINK("https://www.boe.es/gazeta/dias/1834/06/07/pdfs/GMD-1834-109.pdf#page=3","Abrir facsímil")</f>
        <v>Abrir facsímil</v>
      </c>
      <c r="K1974" s="3" t="s">
        <v>24</v>
      </c>
    </row>
    <row r="1975" spans="1:11" ht="54" customHeight="1">
      <c r="A1975" s="2" t="s">
        <v>4810</v>
      </c>
      <c r="B1975" s="2" t="s">
        <v>4810</v>
      </c>
      <c r="C1975" s="2" t="s">
        <v>90</v>
      </c>
      <c r="D1975" s="2" t="s">
        <v>18</v>
      </c>
      <c r="E1975" s="5" t="s">
        <v>2091</v>
      </c>
      <c r="F1975" s="3" t="s">
        <v>2092</v>
      </c>
      <c r="G1975" s="3" t="s">
        <v>86</v>
      </c>
      <c r="H1975" s="2" t="s">
        <v>22</v>
      </c>
      <c r="I1975" s="2" t="s">
        <v>4822</v>
      </c>
      <c r="J1975" s="3" t="str">
        <f>HYPERLINK("https://www.boe.es/gazeta/dias/1834/03/08/pdfs/GMD-1834-30.pdf#page=2","Abrir facsímil")</f>
        <v>Abrir facsímil</v>
      </c>
      <c r="K1975" s="3" t="s">
        <v>24</v>
      </c>
    </row>
    <row r="1976" spans="1:11" ht="54" customHeight="1">
      <c r="A1976" s="2" t="s">
        <v>4810</v>
      </c>
      <c r="B1976" s="2" t="s">
        <v>4810</v>
      </c>
      <c r="C1976" s="2" t="s">
        <v>66</v>
      </c>
      <c r="D1976" s="2" t="s">
        <v>67</v>
      </c>
      <c r="E1976" s="5" t="s">
        <v>91</v>
      </c>
      <c r="F1976" s="3" t="s">
        <v>92</v>
      </c>
      <c r="G1976" s="3" t="s">
        <v>21</v>
      </c>
      <c r="H1976" s="2" t="s">
        <v>22</v>
      </c>
      <c r="I1976" s="2" t="s">
        <v>4823</v>
      </c>
      <c r="J1976" s="3" t="str">
        <f>HYPERLINK("https://www.boe.es/gazeta/dias/1834/02/13/pdfs/GMD-1834-20.pdf#page=3","Abrir facsímil")</f>
        <v>Abrir facsímil</v>
      </c>
      <c r="K1976" s="3" t="s">
        <v>24</v>
      </c>
    </row>
    <row r="1977" spans="1:11" ht="54" customHeight="1">
      <c r="A1977" s="2" t="s">
        <v>4824</v>
      </c>
      <c r="B1977" s="2" t="s">
        <v>4824</v>
      </c>
      <c r="C1977" s="2" t="s">
        <v>122</v>
      </c>
      <c r="D1977" s="2" t="s">
        <v>18</v>
      </c>
      <c r="E1977" s="5" t="s">
        <v>2087</v>
      </c>
      <c r="F1977" s="3" t="s">
        <v>2088</v>
      </c>
      <c r="G1977" s="3" t="s">
        <v>86</v>
      </c>
      <c r="H1977" s="2" t="s">
        <v>22</v>
      </c>
      <c r="I1977" s="2" t="s">
        <v>4825</v>
      </c>
      <c r="J1977" s="3" t="str">
        <f>HYPERLINK("https://www.boe.es/gazeta/dias/1834/12/14/pdfs/GMD-1834-303.pdf#page=2","Abrir facsímil")</f>
        <v>Abrir facsímil</v>
      </c>
      <c r="K1977" s="3" t="s">
        <v>24</v>
      </c>
    </row>
    <row r="1978" spans="1:11" ht="54" customHeight="1">
      <c r="A1978" s="2" t="s">
        <v>4810</v>
      </c>
      <c r="B1978" s="2" t="s">
        <v>4810</v>
      </c>
      <c r="C1978" s="2" t="s">
        <v>17</v>
      </c>
      <c r="D1978" s="2" t="s">
        <v>18</v>
      </c>
      <c r="E1978" s="5" t="s">
        <v>849</v>
      </c>
      <c r="F1978" s="3" t="s">
        <v>850</v>
      </c>
      <c r="G1978" s="3" t="s">
        <v>86</v>
      </c>
      <c r="H1978" s="2" t="s">
        <v>22</v>
      </c>
      <c r="I1978" s="2" t="s">
        <v>4826</v>
      </c>
      <c r="J1978" s="3" t="str">
        <f>HYPERLINK("https://www.boe.es/gazeta/dias/1834/06/21/pdfs/GMD-1834-124.pdf#page=2","Abrir facsímil")</f>
        <v>Abrir facsímil</v>
      </c>
      <c r="K1978" s="3" t="s">
        <v>24</v>
      </c>
    </row>
    <row r="1979" spans="1:11" ht="54" customHeight="1">
      <c r="A1979" s="2" t="s">
        <v>4810</v>
      </c>
      <c r="B1979" s="2" t="s">
        <v>4810</v>
      </c>
      <c r="C1979" s="2" t="s">
        <v>122</v>
      </c>
      <c r="D1979" s="2" t="s">
        <v>18</v>
      </c>
      <c r="E1979" s="5" t="s">
        <v>870</v>
      </c>
      <c r="F1979" s="3" t="s">
        <v>871</v>
      </c>
      <c r="G1979" s="3" t="s">
        <v>21</v>
      </c>
      <c r="H1979" s="2" t="s">
        <v>22</v>
      </c>
      <c r="I1979" s="2" t="s">
        <v>4827</v>
      </c>
      <c r="J1979" s="3" t="str">
        <f>HYPERLINK("https://www.boe.es/gazeta/dias/1834/05/28/pdfs/GMD-1834-97.pdf#page=3","Abrir facsímil")</f>
        <v>Abrir facsímil</v>
      </c>
      <c r="K1979" s="3" t="s">
        <v>24</v>
      </c>
    </row>
    <row r="1980" spans="1:11" ht="54" customHeight="1">
      <c r="A1980" s="2" t="s">
        <v>4810</v>
      </c>
      <c r="B1980" s="2" t="s">
        <v>4810</v>
      </c>
      <c r="C1980" s="2" t="s">
        <v>46</v>
      </c>
      <c r="D1980" s="2" t="s">
        <v>101</v>
      </c>
      <c r="E1980" s="5" t="s">
        <v>899</v>
      </c>
      <c r="F1980" s="3" t="s">
        <v>900</v>
      </c>
      <c r="G1980" s="3" t="s">
        <v>21</v>
      </c>
      <c r="H1980" s="2" t="s">
        <v>22</v>
      </c>
      <c r="I1980" s="2" t="s">
        <v>4828</v>
      </c>
      <c r="J1980" s="3" t="str">
        <f>HYPERLINK("https://www.boe.es/gazeta/dias/1834/01/30/pdfs/GMD-1834-14.pdf#page=3","Abrir facsímil")</f>
        <v>Abrir facsímil</v>
      </c>
      <c r="K1980" s="3" t="s">
        <v>24</v>
      </c>
    </row>
    <row r="1981" spans="1:11" ht="54" customHeight="1">
      <c r="A1981" s="2" t="s">
        <v>4810</v>
      </c>
      <c r="B1981" s="2" t="s">
        <v>4810</v>
      </c>
      <c r="C1981" s="2" t="s">
        <v>122</v>
      </c>
      <c r="D1981" s="2" t="s">
        <v>55</v>
      </c>
      <c r="E1981" s="5" t="s">
        <v>309</v>
      </c>
      <c r="F1981" s="3" t="s">
        <v>310</v>
      </c>
      <c r="G1981" s="3" t="s">
        <v>86</v>
      </c>
      <c r="H1981" s="2" t="s">
        <v>22</v>
      </c>
      <c r="I1981" s="2" t="s">
        <v>4829</v>
      </c>
      <c r="J1981" s="3" t="str">
        <f>HYPERLINK("https://www.boe.es/gazeta/dias/1834/05/30/pdfs/GMD-1834-99.pdf#page=2","Abrir facsímil")</f>
        <v>Abrir facsímil</v>
      </c>
      <c r="K1981" s="3" t="s">
        <v>24</v>
      </c>
    </row>
    <row r="1982" spans="1:11" ht="54" customHeight="1">
      <c r="A1982" s="2" t="s">
        <v>4810</v>
      </c>
      <c r="B1982" s="2" t="s">
        <v>4810</v>
      </c>
      <c r="C1982" s="2" t="s">
        <v>46</v>
      </c>
      <c r="D1982" s="2" t="s">
        <v>18</v>
      </c>
      <c r="E1982" s="5" t="s">
        <v>1789</v>
      </c>
      <c r="F1982" s="3" t="s">
        <v>1790</v>
      </c>
      <c r="G1982" s="3" t="s">
        <v>86</v>
      </c>
      <c r="H1982" s="2" t="s">
        <v>22</v>
      </c>
      <c r="I1982" s="2" t="s">
        <v>4830</v>
      </c>
      <c r="J1982" s="3" t="str">
        <f>HYPERLINK("https://www.boe.es/gazeta/dias/1834/05/31/pdfs/GMD-1834-100.pdf#page=2","Abrir facsímil")</f>
        <v>Abrir facsímil</v>
      </c>
      <c r="K1982" s="3" t="s">
        <v>24</v>
      </c>
    </row>
    <row r="1983" spans="1:11" ht="54" customHeight="1">
      <c r="A1983" s="2" t="s">
        <v>4831</v>
      </c>
      <c r="B1983" s="2" t="s">
        <v>4831</v>
      </c>
      <c r="C1983" s="2" t="s">
        <v>46</v>
      </c>
      <c r="D1983" s="2" t="s">
        <v>101</v>
      </c>
      <c r="E1983" s="5" t="s">
        <v>1973</v>
      </c>
      <c r="F1983" s="3" t="s">
        <v>4832</v>
      </c>
      <c r="G1983" s="3" t="s">
        <v>86</v>
      </c>
      <c r="H1983" s="2" t="s">
        <v>22</v>
      </c>
      <c r="I1983" s="2" t="s">
        <v>4833</v>
      </c>
      <c r="J1983" s="3" t="str">
        <f>HYPERLINK("https://www.boe.es/gazeta/dias/1834/12/20/pdfs/GMD-1834-310.pdf#page=2","Abrir facsímil")</f>
        <v>Abrir facsímil</v>
      </c>
      <c r="K1983" s="3" t="s">
        <v>24</v>
      </c>
    </row>
    <row r="1984" spans="1:11" ht="54" customHeight="1">
      <c r="A1984" s="2" t="s">
        <v>4834</v>
      </c>
      <c r="B1984" s="2" t="s">
        <v>4835</v>
      </c>
      <c r="C1984" s="2" t="s">
        <v>17</v>
      </c>
      <c r="D1984" s="2" t="s">
        <v>18</v>
      </c>
      <c r="E1984" s="5" t="s">
        <v>3488</v>
      </c>
      <c r="F1984" s="3" t="s">
        <v>3489</v>
      </c>
      <c r="G1984" s="3" t="s">
        <v>86</v>
      </c>
      <c r="H1984" s="2" t="s">
        <v>22</v>
      </c>
      <c r="I1984" s="2" t="s">
        <v>4836</v>
      </c>
      <c r="J1984" s="3" t="str">
        <f>HYPERLINK("https://www.boe.es/gazeta/dias/1834/06/22/pdfs/GMD-1834-125.pdf#page=2","Abrir facsímil")</f>
        <v>Abrir facsímil</v>
      </c>
      <c r="K1984" s="3" t="s">
        <v>24</v>
      </c>
    </row>
    <row r="1985" spans="1:11" ht="54" customHeight="1">
      <c r="A1985" s="2" t="s">
        <v>4837</v>
      </c>
      <c r="B1985" s="2" t="s">
        <v>4837</v>
      </c>
      <c r="C1985" s="2" t="s">
        <v>66</v>
      </c>
      <c r="D1985" s="2" t="s">
        <v>18</v>
      </c>
      <c r="E1985" s="5" t="s">
        <v>928</v>
      </c>
      <c r="F1985" s="3" t="s">
        <v>3338</v>
      </c>
      <c r="G1985" s="3" t="s">
        <v>21</v>
      </c>
      <c r="H1985" s="2" t="s">
        <v>22</v>
      </c>
      <c r="I1985" s="2" t="s">
        <v>4838</v>
      </c>
      <c r="J1985" s="3" t="str">
        <f>HYPERLINK("https://www.boe.es/gazeta/dias/1834/11/15/pdfs/GMD-1834-274.pdf#page=3","Abrir facsímil")</f>
        <v>Abrir facsímil</v>
      </c>
      <c r="K1985" s="3" t="s">
        <v>24</v>
      </c>
    </row>
    <row r="1986" spans="1:11" ht="54" customHeight="1">
      <c r="A1986" s="2" t="s">
        <v>4839</v>
      </c>
      <c r="B1986" s="2" t="s">
        <v>4839</v>
      </c>
      <c r="C1986" s="2" t="s">
        <v>17</v>
      </c>
      <c r="D1986" s="2" t="s">
        <v>55</v>
      </c>
      <c r="E1986" s="5" t="s">
        <v>4736</v>
      </c>
      <c r="F1986" s="3" t="s">
        <v>4737</v>
      </c>
      <c r="G1986" s="3" t="s">
        <v>34</v>
      </c>
      <c r="H1986" s="2" t="s">
        <v>22</v>
      </c>
      <c r="I1986" s="2" t="s">
        <v>4840</v>
      </c>
      <c r="J1986" s="3" t="str">
        <f>HYPERLINK("https://www.boe.es/gazeta/dias/1834/09/16/pdfs/GMD-1834-214.pdf#page=1","Abrir facsímil")</f>
        <v>Abrir facsímil</v>
      </c>
      <c r="K1986" s="3" t="s">
        <v>24</v>
      </c>
    </row>
    <row r="1987" spans="1:11" ht="54" customHeight="1">
      <c r="A1987" s="2" t="s">
        <v>4841</v>
      </c>
      <c r="B1987" s="2" t="s">
        <v>4842</v>
      </c>
      <c r="C1987" s="2" t="s">
        <v>66</v>
      </c>
      <c r="D1987" s="2" t="s">
        <v>67</v>
      </c>
      <c r="E1987" s="5" t="s">
        <v>1918</v>
      </c>
      <c r="F1987" s="3" t="s">
        <v>2024</v>
      </c>
      <c r="G1987" s="3" t="s">
        <v>34</v>
      </c>
      <c r="H1987" s="2" t="s">
        <v>22</v>
      </c>
      <c r="I1987" s="2" t="s">
        <v>4843</v>
      </c>
      <c r="J1987" s="3" t="str">
        <f>HYPERLINK("https://www.boe.es/gazeta/dias/1834/03/22/pdfs/GMD-C-1834-36.pdf#page=1","Abrir facsímil")</f>
        <v>Abrir facsímil</v>
      </c>
      <c r="K1987" s="3" t="s">
        <v>24</v>
      </c>
    </row>
    <row r="1988" spans="1:11" ht="54" customHeight="1">
      <c r="A1988" s="2" t="s">
        <v>4844</v>
      </c>
      <c r="B1988" s="2" t="s">
        <v>4844</v>
      </c>
      <c r="C1988" s="2" t="s">
        <v>17</v>
      </c>
      <c r="D1988" s="2" t="s">
        <v>18</v>
      </c>
      <c r="E1988" s="5" t="s">
        <v>758</v>
      </c>
      <c r="F1988" s="3" t="s">
        <v>759</v>
      </c>
      <c r="G1988" s="3" t="s">
        <v>86</v>
      </c>
      <c r="H1988" s="2" t="s">
        <v>22</v>
      </c>
      <c r="I1988" s="2" t="s">
        <v>4845</v>
      </c>
      <c r="J1988" s="3" t="str">
        <f>HYPERLINK("https://www.boe.es/gazeta/dias/1834/01/04/pdfs/GMD-1834-3.pdf#page=2","Abrir facsímil")</f>
        <v>Abrir facsímil</v>
      </c>
      <c r="K1988" s="3" t="s">
        <v>24</v>
      </c>
    </row>
    <row r="1989" spans="1:11" ht="54" customHeight="1">
      <c r="A1989" s="2" t="s">
        <v>4844</v>
      </c>
      <c r="B1989" s="2" t="s">
        <v>4844</v>
      </c>
      <c r="C1989" s="2" t="s">
        <v>17</v>
      </c>
      <c r="D1989" s="2" t="s">
        <v>55</v>
      </c>
      <c r="E1989" s="5" t="s">
        <v>1883</v>
      </c>
      <c r="F1989" s="3" t="s">
        <v>1884</v>
      </c>
      <c r="G1989" s="3" t="s">
        <v>86</v>
      </c>
      <c r="H1989" s="2" t="s">
        <v>22</v>
      </c>
      <c r="I1989" s="2" t="s">
        <v>4846</v>
      </c>
      <c r="J1989" s="3" t="str">
        <f>HYPERLINK("https://www.boe.es/gazeta/dias/1834/01/11/pdfs/GMD-1834-6.pdf#page=2","Abrir facsímil")</f>
        <v>Abrir facsímil</v>
      </c>
      <c r="K1989" s="3" t="s">
        <v>24</v>
      </c>
    </row>
    <row r="1990" spans="1:11" ht="54" customHeight="1">
      <c r="A1990" s="2" t="s">
        <v>4844</v>
      </c>
      <c r="B1990" s="2" t="s">
        <v>4844</v>
      </c>
      <c r="C1990" s="2" t="s">
        <v>46</v>
      </c>
      <c r="D1990" s="2" t="s">
        <v>18</v>
      </c>
      <c r="E1990" s="5" t="s">
        <v>928</v>
      </c>
      <c r="F1990" s="3" t="s">
        <v>3338</v>
      </c>
      <c r="G1990" s="3" t="s">
        <v>86</v>
      </c>
      <c r="H1990" s="2" t="s">
        <v>22</v>
      </c>
      <c r="I1990" s="2" t="s">
        <v>4847</v>
      </c>
      <c r="J1990" s="3" t="str">
        <f>HYPERLINK("https://www.boe.es/gazeta/dias/1834/11/15/pdfs/GMD-1834-274.pdf#page=2","Abrir facsímil")</f>
        <v>Abrir facsímil</v>
      </c>
      <c r="K1990" s="3" t="s">
        <v>24</v>
      </c>
    </row>
    <row r="1991" spans="1:11" ht="54" customHeight="1">
      <c r="A1991" s="2" t="s">
        <v>4844</v>
      </c>
      <c r="B1991" s="2" t="s">
        <v>4844</v>
      </c>
      <c r="C1991" s="2" t="s">
        <v>46</v>
      </c>
      <c r="D1991" s="2" t="s">
        <v>55</v>
      </c>
      <c r="E1991" s="5" t="s">
        <v>1212</v>
      </c>
      <c r="F1991" s="3" t="s">
        <v>1213</v>
      </c>
      <c r="G1991" s="3" t="s">
        <v>21</v>
      </c>
      <c r="H1991" s="2" t="s">
        <v>22</v>
      </c>
      <c r="I1991" s="2" t="s">
        <v>4848</v>
      </c>
      <c r="J1991" s="3" t="str">
        <f>HYPERLINK("https://www.boe.es/gazeta/dias/1834/05/24/pdfs/GMD-1834-93.pdf#page=3","Abrir facsímil")</f>
        <v>Abrir facsímil</v>
      </c>
      <c r="K1991" s="3" t="s">
        <v>24</v>
      </c>
    </row>
    <row r="1992" spans="1:11" ht="54" customHeight="1">
      <c r="A1992" s="2" t="s">
        <v>4844</v>
      </c>
      <c r="B1992" s="2" t="s">
        <v>4844</v>
      </c>
      <c r="C1992" s="2" t="s">
        <v>46</v>
      </c>
      <c r="D1992" s="2" t="s">
        <v>55</v>
      </c>
      <c r="E1992" s="5" t="s">
        <v>378</v>
      </c>
      <c r="F1992" s="3" t="s">
        <v>379</v>
      </c>
      <c r="G1992" s="3" t="s">
        <v>86</v>
      </c>
      <c r="H1992" s="2" t="s">
        <v>22</v>
      </c>
      <c r="I1992" s="2" t="s">
        <v>4849</v>
      </c>
      <c r="J1992" s="3" t="str">
        <f>HYPERLINK("https://www.boe.es/gazeta/dias/1834/09/24/pdfs/GMD-1834-222.pdf#page=2","Abrir facsímil")</f>
        <v>Abrir facsímil</v>
      </c>
      <c r="K1992" s="3" t="s">
        <v>24</v>
      </c>
    </row>
    <row r="1993" spans="1:11" ht="54" customHeight="1">
      <c r="A1993" s="2" t="s">
        <v>4844</v>
      </c>
      <c r="B1993" s="2" t="s">
        <v>4844</v>
      </c>
      <c r="C1993" s="2" t="s">
        <v>46</v>
      </c>
      <c r="D1993" s="2" t="s">
        <v>55</v>
      </c>
      <c r="E1993" s="5" t="s">
        <v>251</v>
      </c>
      <c r="F1993" s="3" t="s">
        <v>1278</v>
      </c>
      <c r="G1993" s="3" t="s">
        <v>86</v>
      </c>
      <c r="H1993" s="2" t="s">
        <v>22</v>
      </c>
      <c r="I1993" s="2" t="s">
        <v>4850</v>
      </c>
      <c r="J1993" s="3" t="str">
        <f>HYPERLINK("https://www.boe.es/gazeta/dias/1834/09/26/pdfs/GMD-1834-224.pdf#page=2","Abrir facsímil")</f>
        <v>Abrir facsímil</v>
      </c>
      <c r="K1993" s="3" t="s">
        <v>24</v>
      </c>
    </row>
    <row r="1994" spans="1:11" ht="54" customHeight="1">
      <c r="A1994" s="2" t="s">
        <v>4851</v>
      </c>
      <c r="B1994" s="2" t="s">
        <v>4852</v>
      </c>
      <c r="C1994" s="2" t="s">
        <v>17</v>
      </c>
      <c r="D1994" s="2" t="s">
        <v>18</v>
      </c>
      <c r="E1994" s="5" t="s">
        <v>1008</v>
      </c>
      <c r="F1994" s="3" t="s">
        <v>2991</v>
      </c>
      <c r="G1994" s="3" t="s">
        <v>75</v>
      </c>
      <c r="H1994" s="2" t="s">
        <v>22</v>
      </c>
      <c r="I1994" s="2" t="s">
        <v>4853</v>
      </c>
      <c r="J1994" s="3" t="str">
        <f>HYPERLINK("https://www.boe.es/gazeta/dias/1834/11/08/pdfs/GMD-1834-267.pdf#page=4","Abrir facsímil")</f>
        <v>Abrir facsímil</v>
      </c>
      <c r="K1994" s="3" t="s">
        <v>24</v>
      </c>
    </row>
    <row r="1995" spans="1:11" ht="54" customHeight="1">
      <c r="A1995" s="2" t="s">
        <v>4854</v>
      </c>
      <c r="B1995" s="2" t="s">
        <v>4854</v>
      </c>
      <c r="C1995" s="2" t="s">
        <v>122</v>
      </c>
      <c r="D1995" s="2" t="s">
        <v>18</v>
      </c>
      <c r="E1995" s="5" t="s">
        <v>1084</v>
      </c>
      <c r="F1995" s="3" t="s">
        <v>1085</v>
      </c>
      <c r="G1995" s="3" t="s">
        <v>176</v>
      </c>
      <c r="H1995" s="2" t="s">
        <v>22</v>
      </c>
      <c r="I1995" s="2" t="s">
        <v>4855</v>
      </c>
      <c r="J1995" s="3" t="str">
        <f>HYPERLINK("https://www.boe.es/gazeta/dias/1834/05/01/pdfs/GMD-1834-70.pdf#page=6","Abrir facsímil")</f>
        <v>Abrir facsímil</v>
      </c>
      <c r="K1995" s="3" t="s">
        <v>24</v>
      </c>
    </row>
    <row r="1996" spans="1:11" ht="54" customHeight="1">
      <c r="A1996" s="2" t="s">
        <v>4854</v>
      </c>
      <c r="B1996" s="2" t="s">
        <v>4854</v>
      </c>
      <c r="C1996" s="2" t="s">
        <v>17</v>
      </c>
      <c r="D1996" s="2" t="s">
        <v>18</v>
      </c>
      <c r="E1996" s="5" t="s">
        <v>594</v>
      </c>
      <c r="F1996" s="3" t="s">
        <v>595</v>
      </c>
      <c r="G1996" s="3" t="s">
        <v>75</v>
      </c>
      <c r="H1996" s="2" t="s">
        <v>22</v>
      </c>
      <c r="I1996" s="2" t="s">
        <v>4856</v>
      </c>
      <c r="J1996" s="3" t="str">
        <f>HYPERLINK("https://www.boe.es/gazeta/dias/1834/06/01/pdfs/GMD-1834-102.pdf#page=4","Abrir facsímil")</f>
        <v>Abrir facsímil</v>
      </c>
      <c r="K1996" s="3" t="s">
        <v>24</v>
      </c>
    </row>
    <row r="1997" spans="1:11" ht="54" customHeight="1">
      <c r="A1997" s="2" t="s">
        <v>4854</v>
      </c>
      <c r="B1997" s="2" t="s">
        <v>4854</v>
      </c>
      <c r="C1997" s="2" t="s">
        <v>17</v>
      </c>
      <c r="D1997" s="2" t="s">
        <v>18</v>
      </c>
      <c r="E1997" s="5" t="s">
        <v>209</v>
      </c>
      <c r="F1997" s="3" t="s">
        <v>210</v>
      </c>
      <c r="G1997" s="3" t="s">
        <v>75</v>
      </c>
      <c r="H1997" s="2" t="s">
        <v>22</v>
      </c>
      <c r="I1997" s="2" t="s">
        <v>4857</v>
      </c>
      <c r="J1997" s="3" t="str">
        <f>HYPERLINK("https://www.boe.es/gazeta/dias/1834/07/01/pdfs/GMD-1834-134.pdf#page=4","Abrir facsímil")</f>
        <v>Abrir facsímil</v>
      </c>
      <c r="K1997" s="3" t="s">
        <v>24</v>
      </c>
    </row>
    <row r="1998" spans="1:11" ht="54" customHeight="1">
      <c r="A1998" s="2" t="s">
        <v>4854</v>
      </c>
      <c r="B1998" s="2" t="s">
        <v>4854</v>
      </c>
      <c r="C1998" s="2" t="s">
        <v>66</v>
      </c>
      <c r="D1998" s="2" t="s">
        <v>67</v>
      </c>
      <c r="E1998" s="5" t="s">
        <v>1505</v>
      </c>
      <c r="F1998" s="3" t="s">
        <v>1506</v>
      </c>
      <c r="G1998" s="3" t="s">
        <v>75</v>
      </c>
      <c r="H1998" s="2" t="s">
        <v>22</v>
      </c>
      <c r="I1998" s="2" t="s">
        <v>4858</v>
      </c>
      <c r="J1998" s="3" t="str">
        <f>HYPERLINK("https://www.boe.es/gazeta/dias/1834/05/08/pdfs/GMD-1834-77.pdf#page=4","Abrir facsímil")</f>
        <v>Abrir facsímil</v>
      </c>
      <c r="K1998" s="3" t="s">
        <v>24</v>
      </c>
    </row>
    <row r="1999" spans="1:11" ht="54" customHeight="1">
      <c r="A1999" s="2" t="s">
        <v>4854</v>
      </c>
      <c r="B1999" s="2" t="s">
        <v>4854</v>
      </c>
      <c r="C1999" s="2" t="s">
        <v>17</v>
      </c>
      <c r="D1999" s="2" t="s">
        <v>18</v>
      </c>
      <c r="E1999" s="5" t="s">
        <v>813</v>
      </c>
      <c r="F1999" s="3" t="s">
        <v>814</v>
      </c>
      <c r="G1999" s="3" t="s">
        <v>75</v>
      </c>
      <c r="H1999" s="2" t="s">
        <v>22</v>
      </c>
      <c r="I1999" s="2" t="s">
        <v>4859</v>
      </c>
      <c r="J1999" s="3" t="str">
        <f>HYPERLINK("https://www.boe.es/gazeta/dias/1834/08/08/pdfs/GMD-1834-173.pdf#page=4","Abrir facsímil")</f>
        <v>Abrir facsímil</v>
      </c>
      <c r="K1999" s="3" t="s">
        <v>24</v>
      </c>
    </row>
    <row r="2000" spans="1:11" ht="54" customHeight="1">
      <c r="A2000" s="2" t="s">
        <v>4854</v>
      </c>
      <c r="B2000" s="2" t="s">
        <v>4854</v>
      </c>
      <c r="C2000" s="2" t="s">
        <v>17</v>
      </c>
      <c r="D2000" s="2" t="s">
        <v>18</v>
      </c>
      <c r="E2000" s="5" t="s">
        <v>1883</v>
      </c>
      <c r="F2000" s="3" t="s">
        <v>1884</v>
      </c>
      <c r="G2000" s="3" t="s">
        <v>75</v>
      </c>
      <c r="H2000" s="2" t="s">
        <v>22</v>
      </c>
      <c r="I2000" s="2" t="s">
        <v>4860</v>
      </c>
      <c r="J2000" s="3" t="str">
        <f>HYPERLINK("https://www.boe.es/gazeta/dias/1834/01/11/pdfs/GMD-1834-6.pdf#page=4","Abrir facsímil")</f>
        <v>Abrir facsímil</v>
      </c>
      <c r="K2000" s="3" t="s">
        <v>24</v>
      </c>
    </row>
    <row r="2001" spans="1:11" ht="54" customHeight="1">
      <c r="A2001" s="2" t="s">
        <v>4854</v>
      </c>
      <c r="B2001" s="2" t="s">
        <v>4854</v>
      </c>
      <c r="C2001" s="2" t="s">
        <v>17</v>
      </c>
      <c r="D2001" s="2" t="s">
        <v>40</v>
      </c>
      <c r="E2001" s="5" t="s">
        <v>518</v>
      </c>
      <c r="F2001" s="3" t="s">
        <v>519</v>
      </c>
      <c r="G2001" s="3" t="s">
        <v>75</v>
      </c>
      <c r="H2001" s="2" t="s">
        <v>22</v>
      </c>
      <c r="I2001" s="2" t="s">
        <v>4861</v>
      </c>
      <c r="J2001" s="3" t="str">
        <f>HYPERLINK("https://www.boe.es/gazeta/dias/1834/03/15/pdfs/GMD-1834-33.pdf#page=4","Abrir facsímil")</f>
        <v>Abrir facsímil</v>
      </c>
      <c r="K2001" s="3" t="s">
        <v>24</v>
      </c>
    </row>
    <row r="2002" spans="1:11" ht="54" customHeight="1">
      <c r="A2002" s="2" t="s">
        <v>4854</v>
      </c>
      <c r="B2002" s="2" t="s">
        <v>4854</v>
      </c>
      <c r="C2002" s="2" t="s">
        <v>17</v>
      </c>
      <c r="D2002" s="2" t="s">
        <v>18</v>
      </c>
      <c r="E2002" s="5" t="s">
        <v>237</v>
      </c>
      <c r="F2002" s="3" t="s">
        <v>4609</v>
      </c>
      <c r="G2002" s="3" t="s">
        <v>75</v>
      </c>
      <c r="H2002" s="2" t="s">
        <v>22</v>
      </c>
      <c r="I2002" s="2" t="s">
        <v>4862</v>
      </c>
      <c r="J2002" s="3" t="str">
        <f>HYPERLINK("https://www.boe.es/gazeta/dias/1834/08/15/pdfs/GMD-1834-180.pdf#page=4","Abrir facsímil")</f>
        <v>Abrir facsímil</v>
      </c>
      <c r="K2002" s="3" t="s">
        <v>24</v>
      </c>
    </row>
    <row r="2003" spans="1:11" ht="54" customHeight="1">
      <c r="A2003" s="2" t="s">
        <v>4854</v>
      </c>
      <c r="B2003" s="2" t="s">
        <v>4854</v>
      </c>
      <c r="C2003" s="2" t="s">
        <v>17</v>
      </c>
      <c r="D2003" s="2" t="s">
        <v>18</v>
      </c>
      <c r="E2003" s="5" t="s">
        <v>1125</v>
      </c>
      <c r="F2003" s="3" t="s">
        <v>2490</v>
      </c>
      <c r="G2003" s="3" t="s">
        <v>470</v>
      </c>
      <c r="H2003" s="2" t="s">
        <v>22</v>
      </c>
      <c r="I2003" s="2" t="s">
        <v>4863</v>
      </c>
      <c r="J2003" s="3" t="str">
        <f>HYPERLINK("https://www.boe.es/gazeta/dias/1834/04/17/pdfs/GMD-1834-56.pdf#page=8","Abrir facsímil")</f>
        <v>Abrir facsímil</v>
      </c>
      <c r="K2003" s="3" t="s">
        <v>24</v>
      </c>
    </row>
    <row r="2004" spans="1:11" ht="54" customHeight="1">
      <c r="A2004" s="2" t="s">
        <v>4854</v>
      </c>
      <c r="B2004" s="2" t="s">
        <v>4854</v>
      </c>
      <c r="C2004" s="2" t="s">
        <v>66</v>
      </c>
      <c r="D2004" s="2" t="s">
        <v>67</v>
      </c>
      <c r="E2004" s="5" t="s">
        <v>174</v>
      </c>
      <c r="F2004" s="3" t="s">
        <v>175</v>
      </c>
      <c r="G2004" s="3" t="s">
        <v>176</v>
      </c>
      <c r="H2004" s="2" t="s">
        <v>22</v>
      </c>
      <c r="I2004" s="2" t="s">
        <v>4864</v>
      </c>
      <c r="J2004" s="3" t="str">
        <f>HYPERLINK("https://www.boe.es/gazeta/dias/1834/03/27/pdfs/GMD-1834-38.pdf#page=6","Abrir facsímil")</f>
        <v>Abrir facsímil</v>
      </c>
      <c r="K2004" s="3" t="s">
        <v>24</v>
      </c>
    </row>
    <row r="2005" spans="1:11" ht="54" customHeight="1">
      <c r="A2005" s="2" t="s">
        <v>4854</v>
      </c>
      <c r="B2005" s="2" t="s">
        <v>4854</v>
      </c>
      <c r="C2005" s="2" t="s">
        <v>17</v>
      </c>
      <c r="D2005" s="2" t="s">
        <v>101</v>
      </c>
      <c r="E2005" s="5" t="s">
        <v>552</v>
      </c>
      <c r="F2005" s="3" t="s">
        <v>553</v>
      </c>
      <c r="G2005" s="3" t="s">
        <v>75</v>
      </c>
      <c r="H2005" s="2" t="s">
        <v>22</v>
      </c>
      <c r="I2005" s="2" t="s">
        <v>4865</v>
      </c>
      <c r="J2005" s="3" t="str">
        <f>HYPERLINK("https://www.boe.es/gazeta/dias/1834/07/30/pdfs/GMD-1834-163.pdf#page=4","Abrir facsímil")</f>
        <v>Abrir facsímil</v>
      </c>
      <c r="K2005" s="3" t="s">
        <v>24</v>
      </c>
    </row>
    <row r="2006" spans="1:11" ht="54" customHeight="1">
      <c r="A2006" s="2" t="s">
        <v>4866</v>
      </c>
      <c r="B2006" s="2" t="s">
        <v>4867</v>
      </c>
      <c r="C2006" s="2" t="s">
        <v>17</v>
      </c>
      <c r="D2006" s="2" t="s">
        <v>18</v>
      </c>
      <c r="E2006" s="5" t="s">
        <v>247</v>
      </c>
      <c r="F2006" s="3" t="s">
        <v>2805</v>
      </c>
      <c r="G2006" s="3" t="s">
        <v>75</v>
      </c>
      <c r="H2006" s="2" t="s">
        <v>22</v>
      </c>
      <c r="I2006" s="2" t="s">
        <v>4868</v>
      </c>
      <c r="J2006" s="3" t="str">
        <f>HYPERLINK("https://www.boe.es/gazeta/dias/1834/08/23/pdfs/GMD-1834-189.pdf#page=4","Abrir facsímil")</f>
        <v>Abrir facsímil</v>
      </c>
      <c r="K2006" s="3" t="s">
        <v>24</v>
      </c>
    </row>
    <row r="2007" spans="1:11" ht="54" customHeight="1">
      <c r="A2007" s="2" t="s">
        <v>4869</v>
      </c>
      <c r="B2007" s="2" t="s">
        <v>4870</v>
      </c>
      <c r="C2007" s="2" t="s">
        <v>17</v>
      </c>
      <c r="D2007" s="2" t="s">
        <v>18</v>
      </c>
      <c r="E2007" s="5" t="s">
        <v>2306</v>
      </c>
      <c r="F2007" s="3" t="s">
        <v>2307</v>
      </c>
      <c r="G2007" s="3" t="s">
        <v>75</v>
      </c>
      <c r="H2007" s="2" t="s">
        <v>22</v>
      </c>
      <c r="I2007" s="2" t="s">
        <v>4871</v>
      </c>
      <c r="J2007" s="3" t="str">
        <f>HYPERLINK("https://www.boe.es/gazeta/dias/1834/04/26/pdfs/GMD-1834-65.pdf#page=4","Abrir facsímil")</f>
        <v>Abrir facsímil</v>
      </c>
      <c r="K2007" s="3" t="s">
        <v>24</v>
      </c>
    </row>
    <row r="2008" spans="1:11" ht="54" customHeight="1">
      <c r="A2008" s="2" t="s">
        <v>4872</v>
      </c>
      <c r="B2008" s="2" t="s">
        <v>4873</v>
      </c>
      <c r="C2008" s="2" t="s">
        <v>17</v>
      </c>
      <c r="D2008" s="2" t="s">
        <v>18</v>
      </c>
      <c r="E2008" s="5" t="s">
        <v>1680</v>
      </c>
      <c r="F2008" s="3" t="s">
        <v>1681</v>
      </c>
      <c r="G2008" s="3" t="s">
        <v>75</v>
      </c>
      <c r="H2008" s="2" t="s">
        <v>22</v>
      </c>
      <c r="I2008" s="2" t="s">
        <v>4874</v>
      </c>
      <c r="J2008" s="3" t="str">
        <f>HYPERLINK("https://www.boe.es/gazeta/dias/1834/02/27/pdfs/GMD-1834-26.pdf#page=4","Abrir facsímil")</f>
        <v>Abrir facsímil</v>
      </c>
      <c r="K2008" s="3" t="s">
        <v>24</v>
      </c>
    </row>
    <row r="2009" spans="1:11" ht="54" customHeight="1">
      <c r="A2009" s="2" t="s">
        <v>4875</v>
      </c>
      <c r="B2009" s="2" t="s">
        <v>4876</v>
      </c>
      <c r="C2009" s="2" t="s">
        <v>66</v>
      </c>
      <c r="D2009" s="2" t="s">
        <v>67</v>
      </c>
      <c r="E2009" s="5" t="s">
        <v>1658</v>
      </c>
      <c r="F2009" s="3" t="s">
        <v>1659</v>
      </c>
      <c r="G2009" s="3" t="s">
        <v>75</v>
      </c>
      <c r="H2009" s="2" t="s">
        <v>22</v>
      </c>
      <c r="I2009" s="2" t="s">
        <v>4877</v>
      </c>
      <c r="J2009" s="3" t="str">
        <f>HYPERLINK("https://www.boe.es/gazeta/dias/1834/04/05/pdfs/GMD-1834-44.pdf#page=4","Abrir facsímil")</f>
        <v>Abrir facsímil</v>
      </c>
      <c r="K2009" s="3" t="s">
        <v>24</v>
      </c>
    </row>
    <row r="2010" spans="1:11" ht="54" customHeight="1">
      <c r="A2010" s="2" t="s">
        <v>4878</v>
      </c>
      <c r="B2010" s="2" t="s">
        <v>4879</v>
      </c>
      <c r="C2010" s="2" t="s">
        <v>17</v>
      </c>
      <c r="D2010" s="2" t="s">
        <v>18</v>
      </c>
      <c r="E2010" s="5" t="s">
        <v>844</v>
      </c>
      <c r="F2010" s="3" t="s">
        <v>845</v>
      </c>
      <c r="G2010" s="3" t="s">
        <v>75</v>
      </c>
      <c r="H2010" s="2" t="s">
        <v>22</v>
      </c>
      <c r="I2010" s="2" t="s">
        <v>4880</v>
      </c>
      <c r="J2010" s="3" t="str">
        <f>HYPERLINK("https://www.boe.es/gazeta/dias/1834/03/13/pdfs/GMD-1834-32.pdf#page=4","Abrir facsímil")</f>
        <v>Abrir facsímil</v>
      </c>
      <c r="K2010" s="3" t="s">
        <v>24</v>
      </c>
    </row>
    <row r="2011" spans="1:11" ht="54" customHeight="1">
      <c r="A2011" s="2" t="s">
        <v>4881</v>
      </c>
      <c r="B2011" s="2" t="s">
        <v>4882</v>
      </c>
      <c r="C2011" s="2" t="s">
        <v>66</v>
      </c>
      <c r="D2011" s="2" t="s">
        <v>18</v>
      </c>
      <c r="E2011" s="5" t="s">
        <v>1674</v>
      </c>
      <c r="F2011" s="3" t="s">
        <v>3233</v>
      </c>
      <c r="G2011" s="3" t="s">
        <v>86</v>
      </c>
      <c r="H2011" s="2" t="s">
        <v>22</v>
      </c>
      <c r="I2011" s="2" t="s">
        <v>4883</v>
      </c>
      <c r="J2011" s="3" t="str">
        <f>HYPERLINK("https://www.boe.es/gazeta/dias/1834/07/25/pdfs/GMD-C-1834-158.pdf#page=2","Abrir facsímil")</f>
        <v>Abrir facsímil</v>
      </c>
      <c r="K2011" s="3" t="s">
        <v>24</v>
      </c>
    </row>
    <row r="2012" spans="1:11" ht="54" customHeight="1">
      <c r="A2012" s="2" t="s">
        <v>4884</v>
      </c>
      <c r="B2012" s="2" t="s">
        <v>4884</v>
      </c>
      <c r="C2012" s="2" t="s">
        <v>66</v>
      </c>
      <c r="D2012" s="2" t="s">
        <v>67</v>
      </c>
      <c r="E2012" s="5" t="s">
        <v>1125</v>
      </c>
      <c r="F2012" s="3" t="s">
        <v>2490</v>
      </c>
      <c r="G2012" s="3" t="s">
        <v>176</v>
      </c>
      <c r="H2012" s="2" t="s">
        <v>22</v>
      </c>
      <c r="I2012" s="2" t="s">
        <v>4885</v>
      </c>
      <c r="J2012" s="3" t="str">
        <f>HYPERLINK("https://www.boe.es/gazeta/dias/1834/04/17/pdfs/GMD-1834-56.pdf#page=6","Abrir facsímil")</f>
        <v>Abrir facsímil</v>
      </c>
      <c r="K2012" s="3" t="s">
        <v>24</v>
      </c>
    </row>
    <row r="2013" spans="1:11" ht="54" customHeight="1">
      <c r="A2013" s="2" t="s">
        <v>4886</v>
      </c>
      <c r="B2013" s="2" t="s">
        <v>4886</v>
      </c>
      <c r="C2013" s="2" t="s">
        <v>46</v>
      </c>
      <c r="D2013" s="2" t="s">
        <v>18</v>
      </c>
      <c r="E2013" s="5" t="s">
        <v>19</v>
      </c>
      <c r="F2013" s="3" t="s">
        <v>20</v>
      </c>
      <c r="G2013" s="3" t="s">
        <v>34</v>
      </c>
      <c r="H2013" s="2" t="s">
        <v>22</v>
      </c>
      <c r="I2013" s="2" t="s">
        <v>4887</v>
      </c>
      <c r="J2013" s="3" t="str">
        <f>HYPERLINK("https://www.boe.es/gazeta/dias/1834/08/17/pdfs/GMD-D-1834-182.pdf#page=1","Abrir facsímil")</f>
        <v>Abrir facsímil</v>
      </c>
      <c r="K2013" s="3" t="s">
        <v>24</v>
      </c>
    </row>
    <row r="2014" spans="1:11" ht="54" customHeight="1">
      <c r="A2014" s="2" t="s">
        <v>4888</v>
      </c>
      <c r="B2014" s="2" t="s">
        <v>4888</v>
      </c>
      <c r="C2014" s="2" t="s">
        <v>17</v>
      </c>
      <c r="D2014" s="2" t="s">
        <v>18</v>
      </c>
      <c r="E2014" s="5" t="s">
        <v>4105</v>
      </c>
      <c r="F2014" s="3" t="s">
        <v>4106</v>
      </c>
      <c r="G2014" s="3" t="s">
        <v>176</v>
      </c>
      <c r="H2014" s="2" t="s">
        <v>22</v>
      </c>
      <c r="I2014" s="2" t="s">
        <v>4889</v>
      </c>
      <c r="J2014" s="3" t="str">
        <f>HYPERLINK("https://www.boe.es/gazeta/dias/1834/09/02/pdfs/GMD-C-1834-200.pdf#page=6","Abrir facsímil")</f>
        <v>Abrir facsímil</v>
      </c>
      <c r="K2014" s="3" t="s">
        <v>24</v>
      </c>
    </row>
    <row r="2015" spans="1:11" ht="54" customHeight="1">
      <c r="A2015" s="2" t="s">
        <v>4890</v>
      </c>
      <c r="B2015" s="2" t="s">
        <v>4890</v>
      </c>
      <c r="C2015" s="2" t="s">
        <v>17</v>
      </c>
      <c r="D2015" s="2" t="s">
        <v>18</v>
      </c>
      <c r="E2015" s="5" t="s">
        <v>3066</v>
      </c>
      <c r="F2015" s="3" t="s">
        <v>3067</v>
      </c>
      <c r="G2015" s="3" t="s">
        <v>34</v>
      </c>
      <c r="H2015" s="2" t="s">
        <v>22</v>
      </c>
      <c r="I2015" s="2" t="s">
        <v>4891</v>
      </c>
      <c r="J2015" s="3" t="str">
        <f>HYPERLINK("https://www.boe.es/gazeta/dias/1834/08/03/pdfs/GMD-C-1834-167.pdf#page=1","Abrir facsímil")</f>
        <v>Abrir facsímil</v>
      </c>
      <c r="K2015" s="3" t="s">
        <v>24</v>
      </c>
    </row>
    <row r="2016" spans="1:11" ht="54" customHeight="1">
      <c r="A2016" s="2" t="s">
        <v>4890</v>
      </c>
      <c r="B2016" s="2" t="s">
        <v>4890</v>
      </c>
      <c r="C2016" s="2" t="s">
        <v>17</v>
      </c>
      <c r="D2016" s="2" t="s">
        <v>18</v>
      </c>
      <c r="E2016" s="5" t="s">
        <v>3066</v>
      </c>
      <c r="F2016" s="3" t="s">
        <v>3067</v>
      </c>
      <c r="G2016" s="3" t="s">
        <v>86</v>
      </c>
      <c r="H2016" s="2" t="s">
        <v>22</v>
      </c>
      <c r="I2016" s="2" t="s">
        <v>4892</v>
      </c>
      <c r="J2016" s="3" t="str">
        <f>HYPERLINK("https://www.boe.es/gazeta/dias/1834/08/03/pdfs/GMD-C-1834-167.pdf#page=2","Abrir facsímil")</f>
        <v>Abrir facsímil</v>
      </c>
      <c r="K2016" s="3" t="s">
        <v>24</v>
      </c>
    </row>
    <row r="2017" spans="1:11" ht="54" customHeight="1">
      <c r="A2017" s="2" t="s">
        <v>4888</v>
      </c>
      <c r="B2017" s="2" t="s">
        <v>4888</v>
      </c>
      <c r="C2017" s="2" t="s">
        <v>17</v>
      </c>
      <c r="D2017" s="2" t="s">
        <v>18</v>
      </c>
      <c r="E2017" s="5" t="s">
        <v>3066</v>
      </c>
      <c r="F2017" s="3" t="s">
        <v>3067</v>
      </c>
      <c r="G2017" s="3" t="s">
        <v>21</v>
      </c>
      <c r="H2017" s="2" t="s">
        <v>22</v>
      </c>
      <c r="I2017" s="2" t="s">
        <v>4893</v>
      </c>
      <c r="J2017" s="3" t="str">
        <f>HYPERLINK("https://www.boe.es/gazeta/dias/1834/08/03/pdfs/GMD-C-1834-167.pdf#page=3","Abrir facsímil")</f>
        <v>Abrir facsímil</v>
      </c>
      <c r="K2017" s="3" t="s">
        <v>24</v>
      </c>
    </row>
    <row r="2018" spans="1:11" ht="54" customHeight="1">
      <c r="A2018" s="2" t="s">
        <v>4890</v>
      </c>
      <c r="B2018" s="2" t="s">
        <v>4890</v>
      </c>
      <c r="C2018" s="2" t="s">
        <v>66</v>
      </c>
      <c r="D2018" s="2" t="s">
        <v>67</v>
      </c>
      <c r="E2018" s="5" t="s">
        <v>3066</v>
      </c>
      <c r="F2018" s="3" t="s">
        <v>3067</v>
      </c>
      <c r="G2018" s="3" t="s">
        <v>75</v>
      </c>
      <c r="H2018" s="2" t="s">
        <v>22</v>
      </c>
      <c r="I2018" s="2" t="s">
        <v>4894</v>
      </c>
      <c r="J2018" s="3" t="str">
        <f>HYPERLINK("https://www.boe.es/gazeta/dias/1834/08/03/pdfs/GMD-C-1834-167.pdf#page=4","Abrir facsímil")</f>
        <v>Abrir facsímil</v>
      </c>
      <c r="K2018" s="3" t="s">
        <v>24</v>
      </c>
    </row>
    <row r="2019" spans="1:11" ht="54" customHeight="1">
      <c r="A2019" s="2" t="s">
        <v>4890</v>
      </c>
      <c r="B2019" s="2" t="s">
        <v>4890</v>
      </c>
      <c r="C2019" s="2" t="s">
        <v>17</v>
      </c>
      <c r="D2019" s="2" t="s">
        <v>18</v>
      </c>
      <c r="E2019" s="5" t="s">
        <v>3066</v>
      </c>
      <c r="F2019" s="3" t="s">
        <v>3067</v>
      </c>
      <c r="G2019" s="3" t="s">
        <v>28</v>
      </c>
      <c r="H2019" s="2" t="s">
        <v>22</v>
      </c>
      <c r="I2019" s="2" t="s">
        <v>4895</v>
      </c>
      <c r="J2019" s="3" t="str">
        <f>HYPERLINK("https://www.boe.es/gazeta/dias/1834/08/03/pdfs/GMD-C-1834-167.pdf#page=5","Abrir facsímil")</f>
        <v>Abrir facsímil</v>
      </c>
      <c r="K2019" s="3" t="s">
        <v>24</v>
      </c>
    </row>
    <row r="2020" spans="1:11" ht="54" customHeight="1">
      <c r="A2020" s="2" t="s">
        <v>4890</v>
      </c>
      <c r="B2020" s="2" t="s">
        <v>4890</v>
      </c>
      <c r="C2020" s="2" t="s">
        <v>17</v>
      </c>
      <c r="D2020" s="2" t="s">
        <v>18</v>
      </c>
      <c r="E2020" s="5" t="s">
        <v>163</v>
      </c>
      <c r="F2020" s="3" t="s">
        <v>4896</v>
      </c>
      <c r="G2020" s="3" t="s">
        <v>34</v>
      </c>
      <c r="H2020" s="2" t="s">
        <v>22</v>
      </c>
      <c r="I2020" s="2" t="s">
        <v>4897</v>
      </c>
      <c r="J2020" s="3" t="str">
        <f>HYPERLINK("https://www.boe.es/gazeta/dias/1834/08/09/pdfs/GMD-C-1834-174.pdf#page=1","Abrir facsímil")</f>
        <v>Abrir facsímil</v>
      </c>
      <c r="K2020" s="3" t="s">
        <v>24</v>
      </c>
    </row>
    <row r="2021" spans="1:11" ht="54" customHeight="1">
      <c r="A2021" s="2" t="s">
        <v>4890</v>
      </c>
      <c r="B2021" s="2" t="s">
        <v>4890</v>
      </c>
      <c r="C2021" s="2" t="s">
        <v>17</v>
      </c>
      <c r="D2021" s="2" t="s">
        <v>18</v>
      </c>
      <c r="E2021" s="5" t="s">
        <v>1839</v>
      </c>
      <c r="F2021" s="3" t="s">
        <v>1840</v>
      </c>
      <c r="G2021" s="3" t="s">
        <v>86</v>
      </c>
      <c r="H2021" s="2" t="s">
        <v>22</v>
      </c>
      <c r="I2021" s="2" t="s">
        <v>4898</v>
      </c>
      <c r="J2021" s="3" t="str">
        <f>HYPERLINK("https://www.boe.es/gazeta/dias/1834/08/12/pdfs/GMD-C-1834-177.pdf#page=2","Abrir facsímil")</f>
        <v>Abrir facsímil</v>
      </c>
      <c r="K2021" s="3" t="s">
        <v>24</v>
      </c>
    </row>
    <row r="2022" spans="1:11" ht="54" customHeight="1">
      <c r="A2022" s="2" t="s">
        <v>4890</v>
      </c>
      <c r="B2022" s="2" t="s">
        <v>4890</v>
      </c>
      <c r="C2022" s="2" t="s">
        <v>17</v>
      </c>
      <c r="D2022" s="2" t="s">
        <v>18</v>
      </c>
      <c r="E2022" s="5" t="s">
        <v>1186</v>
      </c>
      <c r="F2022" s="3" t="s">
        <v>4286</v>
      </c>
      <c r="G2022" s="3" t="s">
        <v>34</v>
      </c>
      <c r="H2022" s="2" t="s">
        <v>22</v>
      </c>
      <c r="I2022" s="2" t="s">
        <v>4899</v>
      </c>
      <c r="J2022" s="3" t="str">
        <f>HYPERLINK("https://www.boe.es/gazeta/dias/1834/08/14/pdfs/GMD-C-1834-179.pdf#page=1","Abrir facsímil")</f>
        <v>Abrir facsímil</v>
      </c>
      <c r="K2022" s="3" t="s">
        <v>24</v>
      </c>
    </row>
    <row r="2023" spans="1:11" ht="54" customHeight="1">
      <c r="A2023" s="2" t="s">
        <v>4888</v>
      </c>
      <c r="B2023" s="2" t="s">
        <v>4888</v>
      </c>
      <c r="C2023" s="2" t="s">
        <v>90</v>
      </c>
      <c r="D2023" s="2" t="s">
        <v>18</v>
      </c>
      <c r="E2023" s="5" t="s">
        <v>1186</v>
      </c>
      <c r="F2023" s="3" t="s">
        <v>4286</v>
      </c>
      <c r="G2023" s="3" t="s">
        <v>86</v>
      </c>
      <c r="H2023" s="2" t="s">
        <v>22</v>
      </c>
      <c r="I2023" s="2" t="s">
        <v>4900</v>
      </c>
      <c r="J2023" s="3" t="str">
        <f>HYPERLINK("https://www.boe.es/gazeta/dias/1834/08/14/pdfs/GMD-C-1834-179.pdf#page=2","Abrir facsímil")</f>
        <v>Abrir facsímil</v>
      </c>
      <c r="K2023" s="3" t="s">
        <v>24</v>
      </c>
    </row>
    <row r="2024" spans="1:11" ht="54" customHeight="1">
      <c r="A2024" s="2" t="s">
        <v>4890</v>
      </c>
      <c r="B2024" s="2" t="s">
        <v>4890</v>
      </c>
      <c r="C2024" s="2" t="s">
        <v>17</v>
      </c>
      <c r="D2024" s="2" t="s">
        <v>18</v>
      </c>
      <c r="E2024" s="5" t="s">
        <v>19</v>
      </c>
      <c r="F2024" s="3" t="s">
        <v>20</v>
      </c>
      <c r="G2024" s="3" t="s">
        <v>34</v>
      </c>
      <c r="H2024" s="2" t="s">
        <v>22</v>
      </c>
      <c r="I2024" s="2" t="s">
        <v>4901</v>
      </c>
      <c r="J2024" s="3" t="str">
        <f>HYPERLINK("https://www.boe.es/gazeta/dias/1834/08/17/pdfs/GMD-D-1834-182.pdf#page=1","Abrir facsímil")</f>
        <v>Abrir facsímil</v>
      </c>
      <c r="K2024" s="3" t="s">
        <v>24</v>
      </c>
    </row>
    <row r="2025" spans="1:11" ht="54" customHeight="1">
      <c r="A2025" s="2" t="s">
        <v>4888</v>
      </c>
      <c r="B2025" s="2" t="s">
        <v>4888</v>
      </c>
      <c r="C2025" s="2" t="s">
        <v>17</v>
      </c>
      <c r="D2025" s="2" t="s">
        <v>18</v>
      </c>
      <c r="E2025" s="5" t="s">
        <v>19</v>
      </c>
      <c r="F2025" s="3" t="s">
        <v>20</v>
      </c>
      <c r="G2025" s="3" t="s">
        <v>86</v>
      </c>
      <c r="H2025" s="2" t="s">
        <v>22</v>
      </c>
      <c r="I2025" s="2" t="s">
        <v>4902</v>
      </c>
      <c r="J2025" s="3" t="str">
        <f>HYPERLINK("https://www.boe.es/gazeta/dias/1834/08/17/pdfs/GMD-D-1834-182.pdf#page=2","Abrir facsímil")</f>
        <v>Abrir facsímil</v>
      </c>
      <c r="K2025" s="3" t="s">
        <v>24</v>
      </c>
    </row>
    <row r="2026" spans="1:11" ht="54" customHeight="1">
      <c r="A2026" s="2" t="s">
        <v>4890</v>
      </c>
      <c r="B2026" s="2" t="s">
        <v>4890</v>
      </c>
      <c r="C2026" s="2" t="s">
        <v>17</v>
      </c>
      <c r="D2026" s="2" t="s">
        <v>18</v>
      </c>
      <c r="E2026" s="5" t="s">
        <v>615</v>
      </c>
      <c r="F2026" s="3" t="s">
        <v>1205</v>
      </c>
      <c r="G2026" s="3" t="s">
        <v>34</v>
      </c>
      <c r="H2026" s="2" t="s">
        <v>22</v>
      </c>
      <c r="I2026" s="2" t="s">
        <v>4903</v>
      </c>
      <c r="J2026" s="3" t="str">
        <f>HYPERLINK("https://www.boe.es/gazeta/dias/1834/08/19/pdfs/GMD-D-1834-185.pdf#page=1","Abrir facsímil")</f>
        <v>Abrir facsímil</v>
      </c>
      <c r="K2026" s="3" t="s">
        <v>24</v>
      </c>
    </row>
    <row r="2027" spans="1:11" ht="54" customHeight="1">
      <c r="A2027" s="2" t="s">
        <v>4890</v>
      </c>
      <c r="B2027" s="2" t="s">
        <v>4890</v>
      </c>
      <c r="C2027" s="2" t="s">
        <v>17</v>
      </c>
      <c r="D2027" s="2" t="s">
        <v>18</v>
      </c>
      <c r="E2027" s="5" t="s">
        <v>672</v>
      </c>
      <c r="F2027" s="3" t="s">
        <v>1055</v>
      </c>
      <c r="G2027" s="3" t="s">
        <v>34</v>
      </c>
      <c r="H2027" s="2" t="s">
        <v>22</v>
      </c>
      <c r="I2027" s="2" t="s">
        <v>4904</v>
      </c>
      <c r="J2027" s="3" t="str">
        <f>HYPERLINK("https://www.boe.es/gazeta/dias/1834/09/19/pdfs/GMD-C-1834-217.pdf#page=1","Abrir facsímil")</f>
        <v>Abrir facsímil</v>
      </c>
      <c r="K2027" s="3" t="s">
        <v>24</v>
      </c>
    </row>
    <row r="2028" spans="1:11" ht="54" customHeight="1">
      <c r="A2028" s="2" t="s">
        <v>4890</v>
      </c>
      <c r="B2028" s="2" t="s">
        <v>4890</v>
      </c>
      <c r="C2028" s="2" t="s">
        <v>17</v>
      </c>
      <c r="D2028" s="2" t="s">
        <v>18</v>
      </c>
      <c r="E2028" s="5" t="s">
        <v>672</v>
      </c>
      <c r="F2028" s="3" t="s">
        <v>1055</v>
      </c>
      <c r="G2028" s="3" t="s">
        <v>86</v>
      </c>
      <c r="H2028" s="2" t="s">
        <v>22</v>
      </c>
      <c r="I2028" s="2" t="s">
        <v>4905</v>
      </c>
      <c r="J2028" s="3" t="str">
        <f>HYPERLINK("https://www.boe.es/gazeta/dias/1834/09/19/pdfs/GMD-C-1834-217.pdf#page=2","Abrir facsímil")</f>
        <v>Abrir facsímil</v>
      </c>
      <c r="K2028" s="3" t="s">
        <v>24</v>
      </c>
    </row>
    <row r="2029" spans="1:11" ht="54" customHeight="1">
      <c r="A2029" s="2" t="s">
        <v>4890</v>
      </c>
      <c r="B2029" s="2" t="s">
        <v>4890</v>
      </c>
      <c r="C2029" s="2" t="s">
        <v>17</v>
      </c>
      <c r="D2029" s="2" t="s">
        <v>18</v>
      </c>
      <c r="E2029" s="5" t="s">
        <v>672</v>
      </c>
      <c r="F2029" s="3" t="s">
        <v>1055</v>
      </c>
      <c r="G2029" s="3" t="s">
        <v>75</v>
      </c>
      <c r="H2029" s="2" t="s">
        <v>22</v>
      </c>
      <c r="I2029" s="2" t="s">
        <v>4906</v>
      </c>
      <c r="J2029" s="3" t="str">
        <f>HYPERLINK("https://www.boe.es/gazeta/dias/1834/09/19/pdfs/GMD-C-1834-217.pdf#page=4","Abrir facsímil")</f>
        <v>Abrir facsímil</v>
      </c>
      <c r="K2029" s="3" t="s">
        <v>24</v>
      </c>
    </row>
    <row r="2030" spans="1:11" ht="54" customHeight="1">
      <c r="A2030" s="2" t="s">
        <v>4890</v>
      </c>
      <c r="B2030" s="2" t="s">
        <v>4890</v>
      </c>
      <c r="C2030" s="2" t="s">
        <v>17</v>
      </c>
      <c r="D2030" s="2" t="s">
        <v>40</v>
      </c>
      <c r="E2030" s="5" t="s">
        <v>672</v>
      </c>
      <c r="F2030" s="3" t="s">
        <v>1055</v>
      </c>
      <c r="G2030" s="3" t="s">
        <v>28</v>
      </c>
      <c r="H2030" s="2" t="s">
        <v>22</v>
      </c>
      <c r="I2030" s="2" t="s">
        <v>4907</v>
      </c>
      <c r="J2030" s="3" t="str">
        <f>HYPERLINK("https://www.boe.es/gazeta/dias/1834/09/19/pdfs/GMD-C-1834-217.pdf#page=5","Abrir facsímil")</f>
        <v>Abrir facsímil</v>
      </c>
      <c r="K2030" s="3" t="s">
        <v>24</v>
      </c>
    </row>
    <row r="2031" spans="1:11" ht="54" customHeight="1">
      <c r="A2031" s="2" t="s">
        <v>4890</v>
      </c>
      <c r="B2031" s="2" t="s">
        <v>4890</v>
      </c>
      <c r="C2031" s="2" t="s">
        <v>17</v>
      </c>
      <c r="D2031" s="2" t="s">
        <v>18</v>
      </c>
      <c r="E2031" s="5" t="s">
        <v>1677</v>
      </c>
      <c r="F2031" s="3" t="s">
        <v>2515</v>
      </c>
      <c r="G2031" s="3" t="s">
        <v>34</v>
      </c>
      <c r="H2031" s="2" t="s">
        <v>22</v>
      </c>
      <c r="I2031" s="2" t="s">
        <v>4908</v>
      </c>
      <c r="J2031" s="3" t="str">
        <f>HYPERLINK("https://www.boe.es/gazeta/dias/1834/07/26/pdfs/GMD-C-1834-159.pdf#page=1","Abrir facsímil")</f>
        <v>Abrir facsímil</v>
      </c>
      <c r="K2031" s="3" t="s">
        <v>24</v>
      </c>
    </row>
    <row r="2032" spans="1:11" ht="54" customHeight="1">
      <c r="A2032" s="2" t="s">
        <v>4890</v>
      </c>
      <c r="B2032" s="2" t="s">
        <v>4890</v>
      </c>
      <c r="C2032" s="2" t="s">
        <v>17</v>
      </c>
      <c r="D2032" s="2" t="s">
        <v>40</v>
      </c>
      <c r="E2032" s="5" t="s">
        <v>1766</v>
      </c>
      <c r="F2032" s="3" t="s">
        <v>1767</v>
      </c>
      <c r="G2032" s="3" t="s">
        <v>34</v>
      </c>
      <c r="H2032" s="2" t="s">
        <v>22</v>
      </c>
      <c r="I2032" s="2" t="s">
        <v>4909</v>
      </c>
      <c r="J2032" s="3" t="str">
        <f>HYPERLINK("https://www.boe.es/gazeta/dias/1834/10/26/pdfs/GMD-C-1834-254.pdf#page=1","Abrir facsímil")</f>
        <v>Abrir facsímil</v>
      </c>
      <c r="K2032" s="3" t="s">
        <v>24</v>
      </c>
    </row>
    <row r="2033" spans="1:11" ht="54" customHeight="1">
      <c r="A2033" s="2" t="s">
        <v>4890</v>
      </c>
      <c r="B2033" s="2" t="s">
        <v>4890</v>
      </c>
      <c r="C2033" s="2" t="s">
        <v>17</v>
      </c>
      <c r="D2033" s="2" t="s">
        <v>101</v>
      </c>
      <c r="E2033" s="5" t="s">
        <v>273</v>
      </c>
      <c r="F2033" s="3" t="s">
        <v>274</v>
      </c>
      <c r="G2033" s="3" t="s">
        <v>86</v>
      </c>
      <c r="H2033" s="2" t="s">
        <v>22</v>
      </c>
      <c r="I2033" s="2" t="s">
        <v>4910</v>
      </c>
      <c r="J2033" s="3" t="str">
        <f>HYPERLINK("https://www.boe.es/gazeta/dias/1834/08/31/pdfs/GMD-D-1834-198.pdf#page=2","Abrir facsímil")</f>
        <v>Abrir facsímil</v>
      </c>
      <c r="K2033" s="3" t="s">
        <v>24</v>
      </c>
    </row>
    <row r="2034" spans="1:11" ht="54" customHeight="1">
      <c r="A2034" s="2" t="s">
        <v>4911</v>
      </c>
      <c r="B2034" s="2" t="s">
        <v>4911</v>
      </c>
      <c r="C2034" s="2" t="s">
        <v>17</v>
      </c>
      <c r="D2034" s="2" t="s">
        <v>18</v>
      </c>
      <c r="E2034" s="5" t="s">
        <v>26</v>
      </c>
      <c r="F2034" s="3" t="s">
        <v>27</v>
      </c>
      <c r="G2034" s="3" t="s">
        <v>75</v>
      </c>
      <c r="H2034" s="2" t="s">
        <v>22</v>
      </c>
      <c r="I2034" s="2" t="s">
        <v>4912</v>
      </c>
      <c r="J2034" s="3" t="str">
        <f>HYPERLINK("https://www.boe.es/gazeta/dias/1834/10/19/pdfs/GMD-C-1834-247.pdf#page=4","Abrir facsímil")</f>
        <v>Abrir facsímil</v>
      </c>
      <c r="K2034" s="3" t="s">
        <v>24</v>
      </c>
    </row>
    <row r="2035" spans="1:11" ht="54" customHeight="1">
      <c r="A2035" s="2" t="s">
        <v>4913</v>
      </c>
      <c r="B2035" s="2" t="s">
        <v>4914</v>
      </c>
      <c r="C2035" s="2" t="s">
        <v>122</v>
      </c>
      <c r="D2035" s="2" t="s">
        <v>18</v>
      </c>
      <c r="E2035" s="5" t="s">
        <v>1394</v>
      </c>
      <c r="F2035" s="3" t="s">
        <v>2923</v>
      </c>
      <c r="G2035" s="3" t="s">
        <v>34</v>
      </c>
      <c r="H2035" s="2" t="s">
        <v>22</v>
      </c>
      <c r="I2035" s="2" t="s">
        <v>4915</v>
      </c>
      <c r="J2035" s="3" t="str">
        <f>HYPERLINK("https://www.boe.es/gazeta/dias/1834/04/16/pdfs/GMD-C-1834-55.pdf#page=1","Abrir facsímil")</f>
        <v>Abrir facsímil</v>
      </c>
      <c r="K2035" s="3" t="s">
        <v>24</v>
      </c>
    </row>
    <row r="2036" spans="1:11" ht="54" customHeight="1">
      <c r="A2036" s="2" t="s">
        <v>4916</v>
      </c>
      <c r="B2036" s="2" t="s">
        <v>4916</v>
      </c>
      <c r="C2036" s="2" t="s">
        <v>17</v>
      </c>
      <c r="D2036" s="2" t="s">
        <v>18</v>
      </c>
      <c r="E2036" s="5" t="s">
        <v>899</v>
      </c>
      <c r="F2036" s="3" t="s">
        <v>900</v>
      </c>
      <c r="G2036" s="3" t="s">
        <v>75</v>
      </c>
      <c r="H2036" s="2" t="s">
        <v>22</v>
      </c>
      <c r="I2036" s="2" t="s">
        <v>4917</v>
      </c>
      <c r="J2036" s="3" t="str">
        <f>HYPERLINK("https://www.boe.es/gazeta/dias/1834/01/30/pdfs/GMD-1834-14.pdf#page=4","Abrir facsímil")</f>
        <v>Abrir facsímil</v>
      </c>
      <c r="K2036" s="3" t="s">
        <v>24</v>
      </c>
    </row>
    <row r="2037" spans="1:11" ht="54" customHeight="1">
      <c r="A2037" s="2" t="s">
        <v>4918</v>
      </c>
      <c r="B2037" s="2" t="s">
        <v>4919</v>
      </c>
      <c r="C2037" s="2" t="s">
        <v>17</v>
      </c>
      <c r="D2037" s="2" t="s">
        <v>18</v>
      </c>
      <c r="E2037" s="5" t="s">
        <v>2748</v>
      </c>
      <c r="F2037" s="3" t="s">
        <v>2749</v>
      </c>
      <c r="G2037" s="3" t="s">
        <v>34</v>
      </c>
      <c r="H2037" s="2" t="s">
        <v>22</v>
      </c>
      <c r="I2037" s="2" t="s">
        <v>4920</v>
      </c>
      <c r="J2037" s="3" t="str">
        <f>HYPERLINK("https://www.boe.es/gazeta/dias/1834/01/09/pdfs/GMD-1834-5.pdf#page=1","Abrir facsímil")</f>
        <v>Abrir facsímil</v>
      </c>
      <c r="K2037" s="3" t="s">
        <v>24</v>
      </c>
    </row>
    <row r="2038" spans="1:11" ht="54" customHeight="1">
      <c r="A2038" s="2" t="s">
        <v>4921</v>
      </c>
      <c r="B2038" s="2" t="s">
        <v>4921</v>
      </c>
      <c r="C2038" s="2" t="s">
        <v>46</v>
      </c>
      <c r="D2038" s="2" t="s">
        <v>18</v>
      </c>
      <c r="E2038" s="5" t="s">
        <v>976</v>
      </c>
      <c r="F2038" s="3" t="s">
        <v>977</v>
      </c>
      <c r="G2038" s="3" t="s">
        <v>21</v>
      </c>
      <c r="H2038" s="2" t="s">
        <v>22</v>
      </c>
      <c r="I2038" s="2" t="s">
        <v>4922</v>
      </c>
      <c r="J2038" s="3" t="str">
        <f>HYPERLINK("https://www.boe.es/gazeta/dias/1834/04/02/pdfs/GMD-1834-41.pdf#page=3","Abrir facsímil")</f>
        <v>Abrir facsímil</v>
      </c>
      <c r="K2038" s="3" t="s">
        <v>24</v>
      </c>
    </row>
    <row r="2039" spans="1:11" ht="54" customHeight="1">
      <c r="A2039" s="2" t="s">
        <v>4923</v>
      </c>
      <c r="B2039" s="2" t="s">
        <v>4924</v>
      </c>
      <c r="C2039" s="2" t="s">
        <v>17</v>
      </c>
      <c r="D2039" s="2" t="s">
        <v>18</v>
      </c>
      <c r="E2039" s="5" t="s">
        <v>939</v>
      </c>
      <c r="F2039" s="3" t="s">
        <v>940</v>
      </c>
      <c r="G2039" s="3" t="s">
        <v>34</v>
      </c>
      <c r="H2039" s="2" t="s">
        <v>22</v>
      </c>
      <c r="I2039" s="2" t="s">
        <v>4925</v>
      </c>
      <c r="J2039" s="3" t="str">
        <f>HYPERLINK("https://www.boe.es/gazeta/dias/1834/06/10/pdfs/GMD-1834-113.pdf#page=1","Abrir facsímil")</f>
        <v>Abrir facsímil</v>
      </c>
      <c r="K2039" s="3" t="s">
        <v>24</v>
      </c>
    </row>
    <row r="2040" spans="1:11" ht="54" customHeight="1">
      <c r="A2040" s="2" t="s">
        <v>4926</v>
      </c>
      <c r="B2040" s="2" t="s">
        <v>4927</v>
      </c>
      <c r="C2040" s="2" t="s">
        <v>17</v>
      </c>
      <c r="D2040" s="2" t="s">
        <v>55</v>
      </c>
      <c r="E2040" s="5" t="s">
        <v>209</v>
      </c>
      <c r="F2040" s="3" t="s">
        <v>210</v>
      </c>
      <c r="G2040" s="3" t="s">
        <v>21</v>
      </c>
      <c r="H2040" s="2" t="s">
        <v>22</v>
      </c>
      <c r="I2040" s="2" t="s">
        <v>4928</v>
      </c>
      <c r="J2040" s="3" t="str">
        <f>HYPERLINK("https://www.boe.es/gazeta/dias/1834/07/01/pdfs/GMD-1834-134.pdf#page=3","Abrir facsímil")</f>
        <v>Abrir facsímil</v>
      </c>
      <c r="K2040" s="3" t="s">
        <v>24</v>
      </c>
    </row>
    <row r="2041" spans="1:11" ht="54" customHeight="1">
      <c r="A2041" s="2" t="s">
        <v>4926</v>
      </c>
      <c r="B2041" s="2" t="s">
        <v>4927</v>
      </c>
      <c r="C2041" s="2" t="s">
        <v>66</v>
      </c>
      <c r="D2041" s="2" t="s">
        <v>67</v>
      </c>
      <c r="E2041" s="5" t="s">
        <v>4814</v>
      </c>
      <c r="F2041" s="3" t="s">
        <v>4815</v>
      </c>
      <c r="G2041" s="3" t="s">
        <v>75</v>
      </c>
      <c r="H2041" s="2" t="s">
        <v>22</v>
      </c>
      <c r="I2041" s="2" t="s">
        <v>4929</v>
      </c>
      <c r="J2041" s="3" t="str">
        <f>HYPERLINK("https://www.boe.es/gazeta/dias/1834/06/05/pdfs/GMD-1834-107.pdf#page=4","Abrir facsímil")</f>
        <v>Abrir facsímil</v>
      </c>
      <c r="K2041" s="3" t="s">
        <v>24</v>
      </c>
    </row>
    <row r="2042" spans="1:11" ht="54" customHeight="1">
      <c r="A2042" s="2" t="s">
        <v>4926</v>
      </c>
      <c r="B2042" s="2" t="s">
        <v>4927</v>
      </c>
      <c r="C2042" s="2" t="s">
        <v>17</v>
      </c>
      <c r="D2042" s="2" t="s">
        <v>18</v>
      </c>
      <c r="E2042" s="5" t="s">
        <v>1438</v>
      </c>
      <c r="F2042" s="3" t="s">
        <v>1439</v>
      </c>
      <c r="G2042" s="3" t="s">
        <v>75</v>
      </c>
      <c r="H2042" s="2" t="s">
        <v>22</v>
      </c>
      <c r="I2042" s="2" t="s">
        <v>4930</v>
      </c>
      <c r="J2042" s="3" t="str">
        <f>HYPERLINK("https://www.boe.es/gazeta/dias/1834/05/13/pdfs/GMD-1834-82.pdf#page=4","Abrir facsímil")</f>
        <v>Abrir facsímil</v>
      </c>
      <c r="K2042" s="3" t="s">
        <v>24</v>
      </c>
    </row>
    <row r="2043" spans="1:11" ht="54" customHeight="1">
      <c r="A2043" s="2" t="s">
        <v>4931</v>
      </c>
      <c r="B2043" s="2" t="s">
        <v>4932</v>
      </c>
      <c r="C2043" s="2" t="s">
        <v>17</v>
      </c>
      <c r="D2043" s="2" t="s">
        <v>18</v>
      </c>
      <c r="E2043" s="5" t="s">
        <v>956</v>
      </c>
      <c r="F2043" s="3" t="s">
        <v>1508</v>
      </c>
      <c r="G2043" s="3" t="s">
        <v>21</v>
      </c>
      <c r="H2043" s="2" t="s">
        <v>22</v>
      </c>
      <c r="I2043" s="2" t="s">
        <v>4933</v>
      </c>
      <c r="J2043" s="3" t="str">
        <f>HYPERLINK("https://www.boe.es/gazeta/dias/1834/08/10/pdfs/GMD-1834-175.pdf#page=3","Abrir facsímil")</f>
        <v>Abrir facsímil</v>
      </c>
      <c r="K2043" s="3" t="s">
        <v>24</v>
      </c>
    </row>
    <row r="2044" spans="1:11" ht="54" customHeight="1">
      <c r="A2044" s="2" t="s">
        <v>4934</v>
      </c>
      <c r="B2044" s="2" t="s">
        <v>4935</v>
      </c>
      <c r="C2044" s="2" t="s">
        <v>17</v>
      </c>
      <c r="D2044" s="2" t="s">
        <v>55</v>
      </c>
      <c r="E2044" s="5" t="s">
        <v>209</v>
      </c>
      <c r="F2044" s="3" t="s">
        <v>210</v>
      </c>
      <c r="G2044" s="3" t="s">
        <v>21</v>
      </c>
      <c r="H2044" s="2" t="s">
        <v>22</v>
      </c>
      <c r="I2044" s="2" t="s">
        <v>4936</v>
      </c>
      <c r="J2044" s="3" t="str">
        <f>HYPERLINK("https://www.boe.es/gazeta/dias/1834/07/01/pdfs/GMD-1834-134.pdf#page=3","Abrir facsímil")</f>
        <v>Abrir facsímil</v>
      </c>
      <c r="K2044" s="3" t="s">
        <v>24</v>
      </c>
    </row>
    <row r="2045" spans="1:11" ht="54" customHeight="1">
      <c r="A2045" s="2" t="s">
        <v>4937</v>
      </c>
      <c r="B2045" s="2" t="s">
        <v>4937</v>
      </c>
      <c r="C2045" s="2" t="s">
        <v>90</v>
      </c>
      <c r="D2045" s="2" t="s">
        <v>55</v>
      </c>
      <c r="E2045" s="5" t="s">
        <v>2379</v>
      </c>
      <c r="F2045" s="3" t="s">
        <v>2380</v>
      </c>
      <c r="G2045" s="3" t="s">
        <v>21</v>
      </c>
      <c r="H2045" s="2" t="s">
        <v>22</v>
      </c>
      <c r="I2045" s="2" t="s">
        <v>4938</v>
      </c>
      <c r="J2045" s="3" t="str">
        <f>HYPERLINK("https://www.boe.es/gazeta/dias/1834/04/03/pdfs/GMD-1834-42.pdf#page=3","Abrir facsímil")</f>
        <v>Abrir facsímil</v>
      </c>
      <c r="K2045" s="3" t="s">
        <v>24</v>
      </c>
    </row>
    <row r="2046" spans="1:11" ht="54" customHeight="1">
      <c r="A2046" s="2" t="s">
        <v>4939</v>
      </c>
      <c r="B2046" s="2" t="s">
        <v>4939</v>
      </c>
      <c r="C2046" s="2" t="s">
        <v>46</v>
      </c>
      <c r="D2046" s="2" t="s">
        <v>101</v>
      </c>
      <c r="E2046" s="5" t="s">
        <v>462</v>
      </c>
      <c r="F2046" s="3" t="s">
        <v>463</v>
      </c>
      <c r="G2046" s="3" t="s">
        <v>34</v>
      </c>
      <c r="H2046" s="2" t="s">
        <v>22</v>
      </c>
      <c r="I2046" s="2" t="s">
        <v>4940</v>
      </c>
      <c r="J2046" s="3" t="str">
        <f>HYPERLINK("https://www.boe.es/gazeta/dias/1834/08/27/pdfs/GMD-C-1834-193.pdf#page=1","Abrir facsímil")</f>
        <v>Abrir facsímil</v>
      </c>
      <c r="K2046" s="3" t="s">
        <v>24</v>
      </c>
    </row>
    <row r="2047" spans="1:11" ht="54" customHeight="1">
      <c r="A2047" s="2" t="s">
        <v>4941</v>
      </c>
      <c r="B2047" s="2" t="s">
        <v>4942</v>
      </c>
      <c r="C2047" s="2" t="s">
        <v>17</v>
      </c>
      <c r="D2047" s="2" t="s">
        <v>18</v>
      </c>
      <c r="E2047" s="5" t="s">
        <v>772</v>
      </c>
      <c r="F2047" s="3" t="s">
        <v>773</v>
      </c>
      <c r="G2047" s="3" t="s">
        <v>34</v>
      </c>
      <c r="H2047" s="2" t="s">
        <v>22</v>
      </c>
      <c r="I2047" s="2" t="s">
        <v>4943</v>
      </c>
      <c r="J2047" s="3" t="str">
        <f>HYPERLINK("https://www.boe.es/gazeta/dias/1834/09/18/pdfs/GMD-1834-216.pdf#page=1","Abrir facsímil")</f>
        <v>Abrir facsímil</v>
      </c>
      <c r="K2047" s="3" t="s">
        <v>24</v>
      </c>
    </row>
    <row r="2048" spans="1:11" ht="54" customHeight="1">
      <c r="A2048" s="2" t="s">
        <v>4944</v>
      </c>
      <c r="B2048" s="2" t="s">
        <v>4945</v>
      </c>
      <c r="C2048" s="2" t="s">
        <v>46</v>
      </c>
      <c r="D2048" s="2" t="s">
        <v>101</v>
      </c>
      <c r="E2048" s="5" t="s">
        <v>433</v>
      </c>
      <c r="F2048" s="3" t="s">
        <v>2773</v>
      </c>
      <c r="G2048" s="3" t="s">
        <v>34</v>
      </c>
      <c r="H2048" s="2" t="s">
        <v>22</v>
      </c>
      <c r="I2048" s="2" t="s">
        <v>4946</v>
      </c>
      <c r="J2048" s="3" t="str">
        <f>HYPERLINK("https://www.boe.es/gazeta/dias/1834/10/07/pdfs/I00986-00987.pdf#page=1","Abrir facsímil")</f>
        <v>Abrir facsímil</v>
      </c>
      <c r="K2048" s="3" t="s">
        <v>24</v>
      </c>
    </row>
    <row r="2049" spans="1:11" ht="54" customHeight="1">
      <c r="A2049" s="2" t="s">
        <v>4944</v>
      </c>
      <c r="B2049" s="2" t="s">
        <v>4945</v>
      </c>
      <c r="C2049" s="2" t="s">
        <v>46</v>
      </c>
      <c r="D2049" s="2" t="s">
        <v>101</v>
      </c>
      <c r="E2049" s="5" t="s">
        <v>433</v>
      </c>
      <c r="F2049" s="3" t="s">
        <v>2773</v>
      </c>
      <c r="G2049" s="3" t="s">
        <v>86</v>
      </c>
      <c r="H2049" s="2" t="s">
        <v>22</v>
      </c>
      <c r="I2049" s="2" t="s">
        <v>4946</v>
      </c>
      <c r="J2049" s="3" t="str">
        <f>HYPERLINK("https://www.boe.es/gazeta/dias/1834/10/07/pdfs/GMD-1834-235.pdf#page=2","Abrir facsímil")</f>
        <v>Abrir facsímil</v>
      </c>
      <c r="K2049" s="3" t="s">
        <v>24</v>
      </c>
    </row>
    <row r="2050" spans="1:11" ht="54" customHeight="1">
      <c r="A2050" s="2" t="s">
        <v>4947</v>
      </c>
      <c r="B2050" s="2" t="s">
        <v>4947</v>
      </c>
      <c r="C2050" s="2" t="s">
        <v>90</v>
      </c>
      <c r="D2050" s="2" t="s">
        <v>18</v>
      </c>
      <c r="E2050" s="5" t="s">
        <v>905</v>
      </c>
      <c r="F2050" s="3" t="s">
        <v>906</v>
      </c>
      <c r="G2050" s="3" t="s">
        <v>86</v>
      </c>
      <c r="H2050" s="2" t="s">
        <v>22</v>
      </c>
      <c r="I2050" s="2" t="s">
        <v>4948</v>
      </c>
      <c r="J2050" s="3" t="str">
        <f>HYPERLINK("https://www.boe.es/gazeta/dias/1834/08/02/pdfs/GMD-C-1834-166.pdf#page=2","Abrir facsímil")</f>
        <v>Abrir facsímil</v>
      </c>
      <c r="K2050" s="3" t="s">
        <v>24</v>
      </c>
    </row>
    <row r="2051" spans="1:11" ht="54" customHeight="1">
      <c r="A2051" s="2" t="s">
        <v>4947</v>
      </c>
      <c r="B2051" s="2" t="s">
        <v>4947</v>
      </c>
      <c r="C2051" s="2" t="s">
        <v>17</v>
      </c>
      <c r="D2051" s="2" t="s">
        <v>18</v>
      </c>
      <c r="E2051" s="5" t="s">
        <v>416</v>
      </c>
      <c r="F2051" s="3" t="s">
        <v>417</v>
      </c>
      <c r="G2051" s="3" t="s">
        <v>75</v>
      </c>
      <c r="H2051" s="2" t="s">
        <v>22</v>
      </c>
      <c r="I2051" s="2" t="s">
        <v>4949</v>
      </c>
      <c r="J2051" s="3" t="str">
        <f>HYPERLINK("https://www.boe.es/gazeta/dias/1834/10/02/pdfs/GMD-C-1834-230.pdf#page=4","Abrir facsímil")</f>
        <v>Abrir facsímil</v>
      </c>
      <c r="K2051" s="3" t="s">
        <v>24</v>
      </c>
    </row>
    <row r="2052" spans="1:11" ht="54" customHeight="1">
      <c r="A2052" s="2" t="s">
        <v>4947</v>
      </c>
      <c r="B2052" s="2" t="s">
        <v>4947</v>
      </c>
      <c r="C2052" s="2" t="s">
        <v>17</v>
      </c>
      <c r="D2052" s="2" t="s">
        <v>18</v>
      </c>
      <c r="E2052" s="5" t="s">
        <v>696</v>
      </c>
      <c r="F2052" s="3" t="s">
        <v>697</v>
      </c>
      <c r="G2052" s="3" t="s">
        <v>34</v>
      </c>
      <c r="H2052" s="2" t="s">
        <v>22</v>
      </c>
      <c r="I2052" s="2" t="s">
        <v>4950</v>
      </c>
      <c r="J2052" s="3" t="str">
        <f>HYPERLINK("https://www.boe.es/gazeta/dias/1834/12/06/pdfs/GMD-C-1834-295.pdf#page=1","Abrir facsímil")</f>
        <v>Abrir facsímil</v>
      </c>
      <c r="K2052" s="3" t="s">
        <v>24</v>
      </c>
    </row>
    <row r="2053" spans="1:11" ht="54" customHeight="1">
      <c r="A2053" s="2" t="s">
        <v>4947</v>
      </c>
      <c r="B2053" s="2" t="s">
        <v>4947</v>
      </c>
      <c r="C2053" s="2" t="s">
        <v>17</v>
      </c>
      <c r="D2053" s="2" t="s">
        <v>18</v>
      </c>
      <c r="E2053" s="5" t="s">
        <v>429</v>
      </c>
      <c r="F2053" s="3" t="s">
        <v>430</v>
      </c>
      <c r="G2053" s="3" t="s">
        <v>34</v>
      </c>
      <c r="H2053" s="2" t="s">
        <v>22</v>
      </c>
      <c r="I2053" s="2" t="s">
        <v>4951</v>
      </c>
      <c r="J2053" s="3" t="str">
        <f>HYPERLINK("https://www.boe.es/gazeta/dias/1834/08/07/pdfs/GMD-C-1834-172.pdf#page=1","Abrir facsímil")</f>
        <v>Abrir facsímil</v>
      </c>
      <c r="K2053" s="3" t="s">
        <v>24</v>
      </c>
    </row>
    <row r="2054" spans="1:11" ht="54" customHeight="1">
      <c r="A2054" s="2" t="s">
        <v>4947</v>
      </c>
      <c r="B2054" s="2" t="s">
        <v>4947</v>
      </c>
      <c r="C2054" s="2" t="s">
        <v>66</v>
      </c>
      <c r="D2054" s="2" t="s">
        <v>67</v>
      </c>
      <c r="E2054" s="5" t="s">
        <v>2203</v>
      </c>
      <c r="F2054" s="3" t="s">
        <v>2204</v>
      </c>
      <c r="G2054" s="3" t="s">
        <v>34</v>
      </c>
      <c r="H2054" s="2" t="s">
        <v>22</v>
      </c>
      <c r="I2054" s="2" t="s">
        <v>4952</v>
      </c>
      <c r="J2054" s="3" t="str">
        <f>HYPERLINK("https://www.boe.es/gazeta/dias/1834/09/10/pdfs/GMD-C-1834-208.pdf#page=1","Abrir facsímil")</f>
        <v>Abrir facsímil</v>
      </c>
      <c r="K2054" s="3" t="s">
        <v>24</v>
      </c>
    </row>
    <row r="2055" spans="1:11" ht="54" customHeight="1">
      <c r="A2055" s="2" t="s">
        <v>4947</v>
      </c>
      <c r="B2055" s="2" t="s">
        <v>4947</v>
      </c>
      <c r="C2055" s="2" t="s">
        <v>46</v>
      </c>
      <c r="D2055" s="2" t="s">
        <v>101</v>
      </c>
      <c r="E2055" s="5" t="s">
        <v>2203</v>
      </c>
      <c r="F2055" s="3" t="s">
        <v>2204</v>
      </c>
      <c r="G2055" s="3" t="s">
        <v>86</v>
      </c>
      <c r="H2055" s="2" t="s">
        <v>22</v>
      </c>
      <c r="I2055" s="2" t="s">
        <v>4953</v>
      </c>
      <c r="J2055" s="3" t="str">
        <f>HYPERLINK("https://www.boe.es/gazeta/dias/1834/09/10/pdfs/GMD-C-1834-208.pdf#page=2","Abrir facsímil")</f>
        <v>Abrir facsímil</v>
      </c>
      <c r="K2055" s="3" t="s">
        <v>24</v>
      </c>
    </row>
    <row r="2056" spans="1:11" ht="54" customHeight="1">
      <c r="A2056" s="2" t="s">
        <v>4947</v>
      </c>
      <c r="B2056" s="2" t="s">
        <v>4947</v>
      </c>
      <c r="C2056" s="2" t="s">
        <v>17</v>
      </c>
      <c r="D2056" s="2" t="s">
        <v>18</v>
      </c>
      <c r="E2056" s="5" t="s">
        <v>265</v>
      </c>
      <c r="F2056" s="3" t="s">
        <v>266</v>
      </c>
      <c r="G2056" s="3" t="s">
        <v>34</v>
      </c>
      <c r="H2056" s="2" t="s">
        <v>22</v>
      </c>
      <c r="I2056" s="2" t="s">
        <v>4954</v>
      </c>
      <c r="J2056" s="3" t="str">
        <f>HYPERLINK("https://www.boe.es/gazeta/dias/1834/11/19/pdfs/GMD-C-1834-278.pdf#page=1","Abrir facsímil")</f>
        <v>Abrir facsímil</v>
      </c>
      <c r="K2056" s="3" t="s">
        <v>24</v>
      </c>
    </row>
    <row r="2057" spans="1:11" ht="54" customHeight="1">
      <c r="A2057" s="2" t="s">
        <v>4947</v>
      </c>
      <c r="B2057" s="2" t="s">
        <v>4947</v>
      </c>
      <c r="C2057" s="2" t="s">
        <v>90</v>
      </c>
      <c r="D2057" s="2" t="s">
        <v>18</v>
      </c>
      <c r="E2057" s="5" t="s">
        <v>265</v>
      </c>
      <c r="F2057" s="3" t="s">
        <v>266</v>
      </c>
      <c r="G2057" s="3" t="s">
        <v>86</v>
      </c>
      <c r="H2057" s="2" t="s">
        <v>22</v>
      </c>
      <c r="I2057" s="2" t="s">
        <v>4955</v>
      </c>
      <c r="J2057" s="3" t="str">
        <f>HYPERLINK("https://www.boe.es/gazeta/dias/1834/11/19/pdfs/GMD-C-1834-278.pdf#page=2","Abrir facsímil")</f>
        <v>Abrir facsímil</v>
      </c>
      <c r="K2057" s="3" t="s">
        <v>24</v>
      </c>
    </row>
    <row r="2058" spans="1:11" ht="54" customHeight="1">
      <c r="A2058" s="2" t="s">
        <v>4947</v>
      </c>
      <c r="B2058" s="2" t="s">
        <v>4947</v>
      </c>
      <c r="C2058" s="2" t="s">
        <v>17</v>
      </c>
      <c r="D2058" s="2" t="s">
        <v>18</v>
      </c>
      <c r="E2058" s="5" t="s">
        <v>268</v>
      </c>
      <c r="F2058" s="3" t="s">
        <v>269</v>
      </c>
      <c r="G2058" s="3" t="s">
        <v>86</v>
      </c>
      <c r="H2058" s="2" t="s">
        <v>22</v>
      </c>
      <c r="I2058" s="2" t="s">
        <v>4956</v>
      </c>
      <c r="J2058" s="3" t="str">
        <f>HYPERLINK("https://www.boe.es/gazeta/dias/1834/12/19/pdfs/GMD-C-1834-309.pdf#page=2","Abrir facsímil")</f>
        <v>Abrir facsímil</v>
      </c>
      <c r="K2058" s="3" t="s">
        <v>24</v>
      </c>
    </row>
    <row r="2059" spans="1:11" ht="54" customHeight="1">
      <c r="A2059" s="2" t="s">
        <v>4947</v>
      </c>
      <c r="B2059" s="2" t="s">
        <v>4947</v>
      </c>
      <c r="C2059" s="2" t="s">
        <v>90</v>
      </c>
      <c r="D2059" s="2" t="s">
        <v>18</v>
      </c>
      <c r="E2059" s="5" t="s">
        <v>627</v>
      </c>
      <c r="F2059" s="3" t="s">
        <v>628</v>
      </c>
      <c r="G2059" s="3" t="s">
        <v>560</v>
      </c>
      <c r="H2059" s="2" t="s">
        <v>22</v>
      </c>
      <c r="I2059" s="2" t="s">
        <v>4957</v>
      </c>
      <c r="J2059" s="3" t="str">
        <f>HYPERLINK("https://www.boe.es/gazeta/dias/1834/09/22/pdfs/GMD-C-1834-220.pdf#page=7","Abrir facsímil")</f>
        <v>Abrir facsímil</v>
      </c>
      <c r="K2059" s="3" t="s">
        <v>24</v>
      </c>
    </row>
    <row r="2060" spans="1:11" ht="54" customHeight="1">
      <c r="A2060" s="2" t="s">
        <v>4947</v>
      </c>
      <c r="B2060" s="2" t="s">
        <v>4947</v>
      </c>
      <c r="C2060" s="2" t="s">
        <v>46</v>
      </c>
      <c r="D2060" s="2" t="s">
        <v>18</v>
      </c>
      <c r="E2060" s="5" t="s">
        <v>128</v>
      </c>
      <c r="F2060" s="3" t="s">
        <v>129</v>
      </c>
      <c r="G2060" s="3" t="s">
        <v>21</v>
      </c>
      <c r="H2060" s="2" t="s">
        <v>22</v>
      </c>
      <c r="I2060" s="2" t="s">
        <v>4958</v>
      </c>
      <c r="J2060" s="3" t="str">
        <f>HYPERLINK("https://www.boe.es/gazeta/dias/1834/12/24/pdfs/GMD-C-1834-314.pdf#page=3","Abrir facsímil")</f>
        <v>Abrir facsímil</v>
      </c>
      <c r="K2060" s="3" t="s">
        <v>24</v>
      </c>
    </row>
    <row r="2061" spans="1:11" ht="54" customHeight="1">
      <c r="A2061" s="2" t="s">
        <v>4947</v>
      </c>
      <c r="B2061" s="2" t="s">
        <v>4947</v>
      </c>
      <c r="C2061" s="2" t="s">
        <v>17</v>
      </c>
      <c r="D2061" s="2" t="s">
        <v>18</v>
      </c>
      <c r="E2061" s="5" t="s">
        <v>510</v>
      </c>
      <c r="F2061" s="3" t="s">
        <v>531</v>
      </c>
      <c r="G2061" s="3" t="s">
        <v>28</v>
      </c>
      <c r="H2061" s="2" t="s">
        <v>22</v>
      </c>
      <c r="I2061" s="2" t="s">
        <v>4959</v>
      </c>
      <c r="J2061" s="3" t="str">
        <f>HYPERLINK("https://www.boe.es/gazeta/dias/1834/11/26/pdfs/GMD-C-1834-285.pdf#page=5","Abrir facsímil")</f>
        <v>Abrir facsímil</v>
      </c>
      <c r="K2061" s="3" t="s">
        <v>24</v>
      </c>
    </row>
    <row r="2062" spans="1:11" ht="54" customHeight="1">
      <c r="A2062" s="2" t="s">
        <v>4947</v>
      </c>
      <c r="B2062" s="2" t="s">
        <v>4947</v>
      </c>
      <c r="C2062" s="2" t="s">
        <v>66</v>
      </c>
      <c r="D2062" s="2" t="s">
        <v>67</v>
      </c>
      <c r="E2062" s="5" t="s">
        <v>510</v>
      </c>
      <c r="F2062" s="3" t="s">
        <v>531</v>
      </c>
      <c r="G2062" s="3" t="s">
        <v>176</v>
      </c>
      <c r="H2062" s="2" t="s">
        <v>22</v>
      </c>
      <c r="I2062" s="2" t="s">
        <v>4960</v>
      </c>
      <c r="J2062" s="3" t="str">
        <f>HYPERLINK("https://www.boe.es/gazeta/dias/1834/11/26/pdfs/GMD-C-1834-285.pdf#page=6","Abrir facsímil")</f>
        <v>Abrir facsímil</v>
      </c>
      <c r="K2062" s="3" t="s">
        <v>24</v>
      </c>
    </row>
    <row r="2063" spans="1:11" ht="54" customHeight="1">
      <c r="A2063" s="2" t="s">
        <v>4947</v>
      </c>
      <c r="B2063" s="2" t="s">
        <v>4947</v>
      </c>
      <c r="C2063" s="2" t="s">
        <v>90</v>
      </c>
      <c r="D2063" s="2" t="s">
        <v>67</v>
      </c>
      <c r="E2063" s="5" t="s">
        <v>283</v>
      </c>
      <c r="F2063" s="3" t="s">
        <v>284</v>
      </c>
      <c r="G2063" s="3" t="s">
        <v>75</v>
      </c>
      <c r="H2063" s="2" t="s">
        <v>22</v>
      </c>
      <c r="I2063" s="2" t="s">
        <v>4961</v>
      </c>
      <c r="J2063" s="3" t="str">
        <f>HYPERLINK("https://www.boe.es/gazeta/dias/1834/11/29/pdfs/GMD-C-1834-288.pdf#page=4","Abrir facsímil")</f>
        <v>Abrir facsímil</v>
      </c>
      <c r="K2063" s="3" t="s">
        <v>24</v>
      </c>
    </row>
    <row r="2064" spans="1:11" ht="54" customHeight="1">
      <c r="A2064" s="2" t="s">
        <v>4947</v>
      </c>
      <c r="B2064" s="2" t="s">
        <v>4947</v>
      </c>
      <c r="C2064" s="2" t="s">
        <v>17</v>
      </c>
      <c r="D2064" s="2" t="s">
        <v>18</v>
      </c>
      <c r="E2064" s="5" t="s">
        <v>153</v>
      </c>
      <c r="F2064" s="3" t="s">
        <v>154</v>
      </c>
      <c r="G2064" s="3" t="s">
        <v>21</v>
      </c>
      <c r="H2064" s="2" t="s">
        <v>22</v>
      </c>
      <c r="I2064" s="2" t="s">
        <v>4962</v>
      </c>
      <c r="J2064" s="3" t="str">
        <f>HYPERLINK("https://www.boe.es/gazeta/dias/1834/12/30/pdfs/GMD-C-1834-320.pdf#page=3","Abrir facsímil")</f>
        <v>Abrir facsímil</v>
      </c>
      <c r="K2064" s="3" t="s">
        <v>24</v>
      </c>
    </row>
    <row r="2065" spans="1:11" ht="54" customHeight="1">
      <c r="A2065" s="2" t="s">
        <v>4947</v>
      </c>
      <c r="B2065" s="2" t="s">
        <v>4947</v>
      </c>
      <c r="C2065" s="2" t="s">
        <v>17</v>
      </c>
      <c r="D2065" s="2" t="s">
        <v>18</v>
      </c>
      <c r="E2065" s="5" t="s">
        <v>153</v>
      </c>
      <c r="F2065" s="3" t="s">
        <v>154</v>
      </c>
      <c r="G2065" s="3" t="s">
        <v>560</v>
      </c>
      <c r="H2065" s="2" t="s">
        <v>22</v>
      </c>
      <c r="I2065" s="2" t="s">
        <v>4963</v>
      </c>
      <c r="J2065" s="3" t="str">
        <f>HYPERLINK("https://www.boe.es/gazeta/dias/1834/12/30/pdfs/GMD-C-1834-320.pdf#page=7","Abrir facsímil")</f>
        <v>Abrir facsímil</v>
      </c>
      <c r="K2065" s="3" t="s">
        <v>24</v>
      </c>
    </row>
    <row r="2066" spans="1:11" ht="54" customHeight="1">
      <c r="A2066" s="2" t="s">
        <v>4964</v>
      </c>
      <c r="B2066" s="2" t="s">
        <v>4965</v>
      </c>
      <c r="C2066" s="2" t="s">
        <v>122</v>
      </c>
      <c r="D2066" s="2" t="s">
        <v>18</v>
      </c>
      <c r="E2066" s="5" t="s">
        <v>1394</v>
      </c>
      <c r="F2066" s="3" t="s">
        <v>2923</v>
      </c>
      <c r="G2066" s="3" t="s">
        <v>34</v>
      </c>
      <c r="H2066" s="2" t="s">
        <v>35</v>
      </c>
      <c r="I2066" s="2" t="s">
        <v>4966</v>
      </c>
      <c r="J2066" s="3" t="str">
        <f>HYPERLINK("https://www.boe.es/gazeta/dias/1834/04/16/pdfs/GMD-C-1834-55.pdf#page=1","Abrir facsímil")</f>
        <v>Abrir facsímil</v>
      </c>
      <c r="K2066" s="3" t="s">
        <v>37</v>
      </c>
    </row>
    <row r="2067" spans="1:11" ht="54" customHeight="1">
      <c r="A2067" s="2" t="s">
        <v>4967</v>
      </c>
      <c r="B2067" s="2" t="s">
        <v>4968</v>
      </c>
      <c r="C2067" s="2" t="s">
        <v>90</v>
      </c>
      <c r="D2067" s="2" t="s">
        <v>18</v>
      </c>
      <c r="E2067" s="5" t="s">
        <v>360</v>
      </c>
      <c r="F2067" s="3" t="s">
        <v>361</v>
      </c>
      <c r="G2067" s="3" t="s">
        <v>34</v>
      </c>
      <c r="H2067" s="2" t="s">
        <v>22</v>
      </c>
      <c r="I2067" s="2" t="s">
        <v>4969</v>
      </c>
      <c r="J2067" s="3" t="str">
        <f>HYPERLINK("https://www.boe.es/gazeta/dias/1834/04/07/pdfs/GMD-1834-46.pdf#page=1","Abrir facsímil")</f>
        <v>Abrir facsímil</v>
      </c>
      <c r="K2067" s="3" t="s">
        <v>24</v>
      </c>
    </row>
    <row r="2068" spans="1:11" ht="54" customHeight="1">
      <c r="A2068" s="2" t="s">
        <v>4967</v>
      </c>
      <c r="B2068" s="2" t="s">
        <v>4968</v>
      </c>
      <c r="C2068" s="2" t="s">
        <v>17</v>
      </c>
      <c r="D2068" s="2" t="s">
        <v>18</v>
      </c>
      <c r="E2068" s="5" t="s">
        <v>813</v>
      </c>
      <c r="F2068" s="3" t="s">
        <v>814</v>
      </c>
      <c r="G2068" s="3" t="s">
        <v>21</v>
      </c>
      <c r="H2068" s="2" t="s">
        <v>22</v>
      </c>
      <c r="I2068" s="2" t="s">
        <v>4970</v>
      </c>
      <c r="J2068" s="3" t="str">
        <f>HYPERLINK("https://www.boe.es/gazeta/dias/1834/08/08/pdfs/GMD-1834-173.pdf#page=3","Abrir facsímil")</f>
        <v>Abrir facsímil</v>
      </c>
      <c r="K2068" s="3" t="s">
        <v>24</v>
      </c>
    </row>
    <row r="2069" spans="1:11" ht="54" customHeight="1">
      <c r="A2069" s="2" t="s">
        <v>4971</v>
      </c>
      <c r="B2069" s="2" t="s">
        <v>4972</v>
      </c>
      <c r="C2069" s="2" t="s">
        <v>90</v>
      </c>
      <c r="D2069" s="2" t="s">
        <v>101</v>
      </c>
      <c r="E2069" s="5" t="s">
        <v>1402</v>
      </c>
      <c r="F2069" s="3" t="s">
        <v>1403</v>
      </c>
      <c r="G2069" s="3" t="s">
        <v>86</v>
      </c>
      <c r="H2069" s="2" t="s">
        <v>22</v>
      </c>
      <c r="I2069" s="2" t="s">
        <v>4973</v>
      </c>
      <c r="J2069" s="3" t="str">
        <f>HYPERLINK("https://www.boe.es/gazeta/dias/1834/05/05/pdfs/I00347-00348.pdf#page=2","Abrir facsímil")</f>
        <v>Abrir facsímil</v>
      </c>
      <c r="K2069" s="3" t="s">
        <v>24</v>
      </c>
    </row>
    <row r="2070" spans="1:11" ht="54" customHeight="1">
      <c r="A2070" s="2" t="s">
        <v>4971</v>
      </c>
      <c r="B2070" s="2" t="s">
        <v>4972</v>
      </c>
      <c r="C2070" s="2" t="s">
        <v>90</v>
      </c>
      <c r="D2070" s="2" t="s">
        <v>101</v>
      </c>
      <c r="E2070" s="5" t="s">
        <v>1402</v>
      </c>
      <c r="F2070" s="3" t="s">
        <v>1403</v>
      </c>
      <c r="G2070" s="3" t="s">
        <v>176</v>
      </c>
      <c r="H2070" s="2" t="s">
        <v>22</v>
      </c>
      <c r="I2070" s="2" t="s">
        <v>4974</v>
      </c>
      <c r="J2070" s="3" t="str">
        <f>HYPERLINK("https://www.boe.es/gazeta/dias/1834/05/05/pdfs/GMD-1834-74.pdf#page=6","Abrir facsímil")</f>
        <v>Abrir facsímil</v>
      </c>
      <c r="K2070" s="3" t="s">
        <v>24</v>
      </c>
    </row>
    <row r="2071" spans="1:11" ht="54" customHeight="1">
      <c r="A2071" s="2" t="s">
        <v>4971</v>
      </c>
      <c r="B2071" s="2" t="s">
        <v>4972</v>
      </c>
      <c r="C2071" s="2" t="s">
        <v>122</v>
      </c>
      <c r="D2071" s="2" t="s">
        <v>18</v>
      </c>
      <c r="E2071" s="5" t="s">
        <v>1394</v>
      </c>
      <c r="F2071" s="3" t="s">
        <v>2923</v>
      </c>
      <c r="G2071" s="3" t="s">
        <v>34</v>
      </c>
      <c r="H2071" s="2" t="s">
        <v>22</v>
      </c>
      <c r="I2071" s="2" t="s">
        <v>4975</v>
      </c>
      <c r="J2071" s="3" t="str">
        <f>HYPERLINK("https://www.boe.es/gazeta/dias/1834/04/16/pdfs/GMD-C-1834-55.pdf#page=1","Abrir facsímil")</f>
        <v>Abrir facsímil</v>
      </c>
      <c r="K2071" s="3" t="s">
        <v>24</v>
      </c>
    </row>
    <row r="2072" spans="1:11" ht="54" customHeight="1">
      <c r="A2072" s="2" t="s">
        <v>4971</v>
      </c>
      <c r="B2072" s="2" t="s">
        <v>4972</v>
      </c>
      <c r="C2072" s="2" t="s">
        <v>17</v>
      </c>
      <c r="D2072" s="2" t="s">
        <v>18</v>
      </c>
      <c r="E2072" s="5" t="s">
        <v>1116</v>
      </c>
      <c r="F2072" s="3" t="s">
        <v>1117</v>
      </c>
      <c r="G2072" s="3" t="s">
        <v>21</v>
      </c>
      <c r="H2072" s="2" t="s">
        <v>22</v>
      </c>
      <c r="I2072" s="2" t="s">
        <v>4976</v>
      </c>
      <c r="J2072" s="3" t="str">
        <f>HYPERLINK("https://www.boe.es/gazeta/dias/1834/05/16/pdfs/GMD-1834-85.pdf#page=3","Abrir facsímil")</f>
        <v>Abrir facsímil</v>
      </c>
      <c r="K2072" s="3" t="s">
        <v>24</v>
      </c>
    </row>
    <row r="2073" spans="1:11" ht="54" customHeight="1">
      <c r="A2073" s="2" t="s">
        <v>4971</v>
      </c>
      <c r="B2073" s="2" t="s">
        <v>4972</v>
      </c>
      <c r="C2073" s="2" t="s">
        <v>90</v>
      </c>
      <c r="D2073" s="2" t="s">
        <v>67</v>
      </c>
      <c r="E2073" s="5" t="s">
        <v>2306</v>
      </c>
      <c r="F2073" s="3" t="s">
        <v>2307</v>
      </c>
      <c r="G2073" s="3" t="s">
        <v>34</v>
      </c>
      <c r="H2073" s="2" t="s">
        <v>22</v>
      </c>
      <c r="I2073" s="2" t="s">
        <v>4977</v>
      </c>
      <c r="J2073" s="3" t="str">
        <f>HYPERLINK("https://www.boe.es/gazeta/dias/1834/04/26/pdfs/GMD-1834-65.pdf#page=1","Abrir facsímil")</f>
        <v>Abrir facsímil</v>
      </c>
      <c r="K2073" s="3" t="s">
        <v>24</v>
      </c>
    </row>
    <row r="2074" spans="1:11" ht="54" customHeight="1">
      <c r="A2074" s="2" t="s">
        <v>4978</v>
      </c>
      <c r="B2074" s="2" t="s">
        <v>4978</v>
      </c>
      <c r="C2074" s="2" t="s">
        <v>122</v>
      </c>
      <c r="D2074" s="2" t="s">
        <v>18</v>
      </c>
      <c r="E2074" s="5" t="s">
        <v>1212</v>
      </c>
      <c r="F2074" s="3" t="s">
        <v>1213</v>
      </c>
      <c r="G2074" s="3" t="s">
        <v>75</v>
      </c>
      <c r="H2074" s="2" t="s">
        <v>22</v>
      </c>
      <c r="I2074" s="2" t="s">
        <v>4979</v>
      </c>
      <c r="J2074" s="3" t="str">
        <f>HYPERLINK("https://www.boe.es/gazeta/dias/1834/05/24/pdfs/GMD-1834-93.pdf#page=4","Abrir facsímil")</f>
        <v>Abrir facsímil</v>
      </c>
      <c r="K2074" s="3" t="s">
        <v>24</v>
      </c>
    </row>
    <row r="2075" spans="1:11" ht="54" customHeight="1">
      <c r="A2075" s="2" t="s">
        <v>4980</v>
      </c>
      <c r="B2075" s="2" t="s">
        <v>4980</v>
      </c>
      <c r="C2075" s="2" t="s">
        <v>17</v>
      </c>
      <c r="D2075" s="2" t="s">
        <v>18</v>
      </c>
      <c r="E2075" s="5" t="s">
        <v>777</v>
      </c>
      <c r="F2075" s="3" t="s">
        <v>778</v>
      </c>
      <c r="G2075" s="3" t="s">
        <v>86</v>
      </c>
      <c r="H2075" s="2" t="s">
        <v>22</v>
      </c>
      <c r="I2075" s="2" t="s">
        <v>4981</v>
      </c>
      <c r="J2075" s="3" t="str">
        <f>HYPERLINK("https://www.boe.es/gazeta/dias/1834/10/29/pdfs/GMD-1834-257.pdf#page=2","Abrir facsímil")</f>
        <v>Abrir facsímil</v>
      </c>
      <c r="K2075" s="3" t="s">
        <v>24</v>
      </c>
    </row>
    <row r="2076" spans="1:11" ht="54" customHeight="1">
      <c r="A2076" s="2" t="s">
        <v>4982</v>
      </c>
      <c r="B2076" s="2" t="s">
        <v>4982</v>
      </c>
      <c r="C2076" s="2" t="s">
        <v>90</v>
      </c>
      <c r="D2076" s="2" t="s">
        <v>18</v>
      </c>
      <c r="E2076" s="5" t="s">
        <v>375</v>
      </c>
      <c r="F2076" s="3" t="s">
        <v>4983</v>
      </c>
      <c r="G2076" s="3" t="s">
        <v>86</v>
      </c>
      <c r="H2076" s="2" t="s">
        <v>22</v>
      </c>
      <c r="I2076" s="2" t="s">
        <v>4984</v>
      </c>
      <c r="J2076" s="3" t="str">
        <f>HYPERLINK("https://www.boe.es/gazeta/dias/1834/08/21/pdfs/GMD-C-1834-187.pdf#page=2","Abrir facsímil")</f>
        <v>Abrir facsímil</v>
      </c>
      <c r="K2076" s="3" t="s">
        <v>24</v>
      </c>
    </row>
    <row r="2077" spans="1:11" ht="54" customHeight="1">
      <c r="A2077" s="2" t="s">
        <v>4985</v>
      </c>
      <c r="B2077" s="2" t="s">
        <v>4986</v>
      </c>
      <c r="C2077" s="2" t="s">
        <v>90</v>
      </c>
      <c r="D2077" s="2" t="s">
        <v>18</v>
      </c>
      <c r="E2077" s="5" t="s">
        <v>375</v>
      </c>
      <c r="F2077" s="3" t="s">
        <v>4983</v>
      </c>
      <c r="G2077" s="3" t="s">
        <v>86</v>
      </c>
      <c r="H2077" s="2" t="s">
        <v>35</v>
      </c>
      <c r="I2077" s="2" t="s">
        <v>4987</v>
      </c>
      <c r="J2077" s="3" t="str">
        <f>HYPERLINK("https://www.boe.es/gazeta/dias/1834/08/21/pdfs/GMD-C-1834-187.pdf#page=2","Abrir facsímil")</f>
        <v>Abrir facsímil</v>
      </c>
      <c r="K2077" s="3" t="s">
        <v>37</v>
      </c>
    </row>
    <row r="2078" spans="1:11" ht="54" customHeight="1">
      <c r="A2078" s="2" t="s">
        <v>4988</v>
      </c>
      <c r="B2078" s="2" t="s">
        <v>4989</v>
      </c>
      <c r="C2078" s="2" t="s">
        <v>17</v>
      </c>
      <c r="D2078" s="2" t="s">
        <v>18</v>
      </c>
      <c r="E2078" s="5" t="s">
        <v>1103</v>
      </c>
      <c r="F2078" s="3" t="s">
        <v>1104</v>
      </c>
      <c r="G2078" s="3" t="s">
        <v>34</v>
      </c>
      <c r="H2078" s="2" t="s">
        <v>35</v>
      </c>
      <c r="I2078" s="2" t="s">
        <v>4990</v>
      </c>
      <c r="J2078" s="3" t="str">
        <f>HYPERLINK("https://www.boe.es/gazeta/dias/1834/10/10/pdfs/GMD-C-1834-238.pdf#page=1","Abrir facsímil")</f>
        <v>Abrir facsímil</v>
      </c>
      <c r="K2078" s="3" t="s">
        <v>37</v>
      </c>
    </row>
    <row r="2079" spans="1:11" ht="54" customHeight="1">
      <c r="A2079" s="2" t="s">
        <v>4988</v>
      </c>
      <c r="B2079" s="2" t="s">
        <v>4989</v>
      </c>
      <c r="C2079" s="2" t="s">
        <v>122</v>
      </c>
      <c r="D2079" s="2" t="s">
        <v>40</v>
      </c>
      <c r="E2079" s="5" t="s">
        <v>2241</v>
      </c>
      <c r="F2079" s="3" t="s">
        <v>2242</v>
      </c>
      <c r="G2079" s="3" t="s">
        <v>75</v>
      </c>
      <c r="H2079" s="2" t="s">
        <v>35</v>
      </c>
      <c r="I2079" s="2" t="s">
        <v>4991</v>
      </c>
      <c r="J2079" s="3" t="str">
        <f>HYPERLINK("https://www.boe.es/gazeta/dias/1834/03/11/pdfs/GMD-1834-31.pdf#page=4","Abrir facsímil")</f>
        <v>Abrir facsímil</v>
      </c>
      <c r="K2079" s="3" t="s">
        <v>37</v>
      </c>
    </row>
    <row r="2080" spans="1:11" ht="54" customHeight="1">
      <c r="A2080" s="2" t="s">
        <v>4992</v>
      </c>
      <c r="B2080" s="2" t="s">
        <v>4992</v>
      </c>
      <c r="C2080" s="2" t="s">
        <v>17</v>
      </c>
      <c r="D2080" s="2" t="s">
        <v>18</v>
      </c>
      <c r="E2080" s="5" t="s">
        <v>2087</v>
      </c>
      <c r="F2080" s="3" t="s">
        <v>2267</v>
      </c>
      <c r="G2080" s="3" t="s">
        <v>2174</v>
      </c>
      <c r="H2080" s="2" t="s">
        <v>22</v>
      </c>
      <c r="I2080" s="2" t="s">
        <v>4993</v>
      </c>
      <c r="J2080" s="3" t="str">
        <f>HYPERLINK("https://www.boe.es/gazeta/dias/1834/12/14/pdfs/GMD-C-1834-303.pdf#page=10","Abrir facsímil")</f>
        <v>Abrir facsímil</v>
      </c>
      <c r="K2080" s="3" t="s">
        <v>24</v>
      </c>
    </row>
    <row r="2081" spans="1:11" ht="54" customHeight="1">
      <c r="A2081" s="2" t="s">
        <v>4994</v>
      </c>
      <c r="B2081" s="2" t="s">
        <v>4995</v>
      </c>
      <c r="C2081" s="2" t="s">
        <v>17</v>
      </c>
      <c r="D2081" s="2" t="s">
        <v>18</v>
      </c>
      <c r="E2081" s="5" t="s">
        <v>2087</v>
      </c>
      <c r="F2081" s="3" t="s">
        <v>2267</v>
      </c>
      <c r="G2081" s="3" t="s">
        <v>2174</v>
      </c>
      <c r="H2081" s="2" t="s">
        <v>35</v>
      </c>
      <c r="I2081" s="2" t="s">
        <v>4996</v>
      </c>
      <c r="J2081" s="3" t="str">
        <f>HYPERLINK("https://www.boe.es/gazeta/dias/1834/12/14/pdfs/GMD-C-1834-303.pdf#page=10","Abrir facsímil")</f>
        <v>Abrir facsímil</v>
      </c>
      <c r="K2081" s="3" t="s">
        <v>37</v>
      </c>
    </row>
    <row r="2082" spans="1:11" ht="54" customHeight="1">
      <c r="A2082" s="2" t="s">
        <v>4997</v>
      </c>
      <c r="B2082" s="2" t="s">
        <v>4998</v>
      </c>
      <c r="C2082" s="2" t="s">
        <v>857</v>
      </c>
      <c r="D2082" s="2" t="s">
        <v>101</v>
      </c>
      <c r="E2082" s="5" t="s">
        <v>2748</v>
      </c>
      <c r="F2082" s="3" t="s">
        <v>2749</v>
      </c>
      <c r="G2082" s="3" t="s">
        <v>34</v>
      </c>
      <c r="H2082" s="2" t="s">
        <v>22</v>
      </c>
      <c r="I2082" s="2" t="s">
        <v>4999</v>
      </c>
      <c r="J2082" s="3" t="str">
        <f>HYPERLINK("https://www.boe.es/gazeta/dias/1834/01/09/pdfs/GMD-1834-5.pdf#page=1","Abrir facsímil")</f>
        <v>Abrir facsímil</v>
      </c>
      <c r="K2082" s="3" t="s">
        <v>24</v>
      </c>
    </row>
    <row r="2083" spans="1:11" ht="54" customHeight="1">
      <c r="A2083" s="2" t="s">
        <v>5000</v>
      </c>
      <c r="B2083" s="2" t="s">
        <v>5001</v>
      </c>
      <c r="C2083" s="2" t="s">
        <v>46</v>
      </c>
      <c r="D2083" s="2" t="s">
        <v>18</v>
      </c>
      <c r="E2083" s="5" t="s">
        <v>1323</v>
      </c>
      <c r="F2083" s="3" t="s">
        <v>1324</v>
      </c>
      <c r="G2083" s="3" t="s">
        <v>75</v>
      </c>
      <c r="H2083" s="2" t="s">
        <v>22</v>
      </c>
      <c r="I2083" s="2" t="s">
        <v>5002</v>
      </c>
      <c r="J2083" s="3" t="str">
        <f>HYPERLINK("https://www.boe.es/gazeta/dias/1834/05/22/pdfs/GMD-1834-91.pdf#page=4","Abrir facsímil")</f>
        <v>Abrir facsímil</v>
      </c>
      <c r="K2083" s="3" t="s">
        <v>24</v>
      </c>
    </row>
    <row r="2084" spans="1:11" ht="54" customHeight="1">
      <c r="A2084" s="2" t="s">
        <v>5003</v>
      </c>
      <c r="B2084" s="2" t="s">
        <v>5004</v>
      </c>
      <c r="C2084" s="2" t="s">
        <v>46</v>
      </c>
      <c r="D2084" s="2" t="s">
        <v>101</v>
      </c>
      <c r="E2084" s="5" t="s">
        <v>1862</v>
      </c>
      <c r="F2084" s="3" t="s">
        <v>1863</v>
      </c>
      <c r="G2084" s="3" t="s">
        <v>34</v>
      </c>
      <c r="H2084" s="2" t="s">
        <v>22</v>
      </c>
      <c r="I2084" s="2" t="s">
        <v>5005</v>
      </c>
      <c r="J2084" s="3" t="str">
        <f>HYPERLINK("https://www.boe.es/gazeta/dias/1834/02/04/pdfs/GMD-1834-16.pdf#page=1","Abrir facsímil")</f>
        <v>Abrir facsímil</v>
      </c>
      <c r="K2084" s="3" t="s">
        <v>24</v>
      </c>
    </row>
    <row r="2085" spans="1:11" ht="54" customHeight="1">
      <c r="A2085" s="2" t="s">
        <v>5006</v>
      </c>
      <c r="B2085" s="2" t="s">
        <v>5007</v>
      </c>
      <c r="C2085" s="2" t="s">
        <v>17</v>
      </c>
      <c r="D2085" s="2" t="s">
        <v>18</v>
      </c>
      <c r="E2085" s="5" t="s">
        <v>808</v>
      </c>
      <c r="F2085" s="3" t="s">
        <v>809</v>
      </c>
      <c r="G2085" s="3" t="s">
        <v>21</v>
      </c>
      <c r="H2085" s="2" t="s">
        <v>22</v>
      </c>
      <c r="I2085" s="2" t="s">
        <v>5008</v>
      </c>
      <c r="J2085" s="3" t="str">
        <f>HYPERLINK("https://www.boe.es/gazeta/dias/1834/10/11/pdfs/GMD-1834-239.pdf#page=3","Abrir facsímil")</f>
        <v>Abrir facsímil</v>
      </c>
      <c r="K2085" s="3" t="s">
        <v>24</v>
      </c>
    </row>
    <row r="2086" spans="1:11" ht="54" customHeight="1">
      <c r="A2086" s="2" t="s">
        <v>5009</v>
      </c>
      <c r="B2086" s="2" t="s">
        <v>5010</v>
      </c>
      <c r="C2086" s="2" t="s">
        <v>17</v>
      </c>
      <c r="D2086" s="2" t="s">
        <v>18</v>
      </c>
      <c r="E2086" s="5" t="s">
        <v>158</v>
      </c>
      <c r="F2086" s="3" t="s">
        <v>159</v>
      </c>
      <c r="G2086" s="3" t="s">
        <v>21</v>
      </c>
      <c r="H2086" s="2" t="s">
        <v>22</v>
      </c>
      <c r="I2086" s="2" t="s">
        <v>5011</v>
      </c>
      <c r="J2086" s="3" t="str">
        <f>HYPERLINK("https://www.boe.es/gazeta/dias/1834/10/01/pdfs/GMD-1834-229.pdf#page=3","Abrir facsímil")</f>
        <v>Abrir facsímil</v>
      </c>
      <c r="K2086" s="3" t="s">
        <v>24</v>
      </c>
    </row>
    <row r="2087" spans="1:11" ht="54" customHeight="1">
      <c r="A2087" s="2" t="s">
        <v>5012</v>
      </c>
      <c r="B2087" s="2" t="s">
        <v>5013</v>
      </c>
      <c r="C2087" s="2" t="s">
        <v>66</v>
      </c>
      <c r="D2087" s="2" t="s">
        <v>67</v>
      </c>
      <c r="E2087" s="5" t="s">
        <v>2107</v>
      </c>
      <c r="F2087" s="3" t="s">
        <v>2108</v>
      </c>
      <c r="G2087" s="3" t="s">
        <v>75</v>
      </c>
      <c r="H2087" s="2" t="s">
        <v>22</v>
      </c>
      <c r="I2087" s="2" t="s">
        <v>5014</v>
      </c>
      <c r="J2087" s="3" t="str">
        <f>HYPERLINK("https://www.boe.es/gazeta/dias/1834/08/24/pdfs/GMD-1834-190.pdf#page=4","Abrir facsímil")</f>
        <v>Abrir facsímil</v>
      </c>
      <c r="K2087" s="3" t="s">
        <v>24</v>
      </c>
    </row>
    <row r="2088" spans="1:11" ht="54" customHeight="1">
      <c r="A2088" s="2" t="s">
        <v>5015</v>
      </c>
      <c r="B2088" s="2" t="s">
        <v>5016</v>
      </c>
      <c r="C2088" s="2" t="s">
        <v>857</v>
      </c>
      <c r="D2088" s="2" t="s">
        <v>18</v>
      </c>
      <c r="E2088" s="5" t="s">
        <v>399</v>
      </c>
      <c r="F2088" s="3" t="s">
        <v>400</v>
      </c>
      <c r="G2088" s="3" t="s">
        <v>21</v>
      </c>
      <c r="H2088" s="2" t="s">
        <v>22</v>
      </c>
      <c r="I2088" s="2" t="s">
        <v>5017</v>
      </c>
      <c r="J2088" s="3" t="str">
        <f>HYPERLINK("https://www.boe.es/gazeta/dias/1834/07/08/pdfs/GMD-1834-141.pdf#page=3","Abrir facsímil")</f>
        <v>Abrir facsímil</v>
      </c>
      <c r="K2088" s="3" t="s">
        <v>24</v>
      </c>
    </row>
    <row r="2089" spans="1:11" ht="54" customHeight="1">
      <c r="A2089" s="2" t="s">
        <v>5018</v>
      </c>
      <c r="B2089" s="2" t="s">
        <v>5019</v>
      </c>
      <c r="C2089" s="2" t="s">
        <v>17</v>
      </c>
      <c r="D2089" s="2" t="s">
        <v>18</v>
      </c>
      <c r="E2089" s="5" t="s">
        <v>299</v>
      </c>
      <c r="F2089" s="3" t="s">
        <v>2255</v>
      </c>
      <c r="G2089" s="3" t="s">
        <v>21</v>
      </c>
      <c r="H2089" s="2" t="s">
        <v>22</v>
      </c>
      <c r="I2089" s="2" t="s">
        <v>5020</v>
      </c>
      <c r="J2089" s="3" t="str">
        <f>HYPERLINK("https://www.boe.es/gazeta/dias/1834/12/12/pdfs/GMD-C-1834-301.pdf#page=3","Abrir facsímil")</f>
        <v>Abrir facsímil</v>
      </c>
      <c r="K2089" s="3" t="s">
        <v>24</v>
      </c>
    </row>
    <row r="2090" spans="1:11" ht="54" customHeight="1">
      <c r="A2090" s="2" t="s">
        <v>5021</v>
      </c>
      <c r="B2090" s="2" t="s">
        <v>5022</v>
      </c>
      <c r="C2090" s="2" t="s">
        <v>90</v>
      </c>
      <c r="D2090" s="2" t="s">
        <v>18</v>
      </c>
      <c r="E2090" s="5" t="s">
        <v>615</v>
      </c>
      <c r="F2090" s="3" t="s">
        <v>616</v>
      </c>
      <c r="G2090" s="3" t="s">
        <v>21</v>
      </c>
      <c r="H2090" s="2" t="s">
        <v>22</v>
      </c>
      <c r="I2090" s="2" t="s">
        <v>5023</v>
      </c>
      <c r="J2090" s="3" t="str">
        <f>HYPERLINK("https://www.boe.es/gazeta/dias/1834/08/19/pdfs/GMD-1834-185.pdf#page=3","Abrir facsímil")</f>
        <v>Abrir facsímil</v>
      </c>
      <c r="K2090" s="3" t="s">
        <v>24</v>
      </c>
    </row>
    <row r="2091" spans="1:11" ht="54" customHeight="1">
      <c r="A2091" s="2" t="s">
        <v>5024</v>
      </c>
      <c r="B2091" s="2" t="s">
        <v>5025</v>
      </c>
      <c r="C2091" s="2" t="s">
        <v>17</v>
      </c>
      <c r="D2091" s="2" t="s">
        <v>18</v>
      </c>
      <c r="E2091" s="5" t="s">
        <v>492</v>
      </c>
      <c r="F2091" s="3" t="s">
        <v>493</v>
      </c>
      <c r="G2091" s="3" t="s">
        <v>34</v>
      </c>
      <c r="H2091" s="2" t="s">
        <v>35</v>
      </c>
      <c r="I2091" s="2" t="s">
        <v>5026</v>
      </c>
      <c r="J2091" s="3" t="str">
        <f>HYPERLINK("https://www.boe.es/gazeta/dias/1834/11/21/pdfs/GMD-C-1834-280.pdf#page=1","Abrir facsímil")</f>
        <v>Abrir facsímil</v>
      </c>
      <c r="K2091" s="3" t="s">
        <v>37</v>
      </c>
    </row>
    <row r="2092" spans="1:11" ht="54" customHeight="1">
      <c r="A2092" s="2" t="s">
        <v>5027</v>
      </c>
      <c r="B2092" s="2" t="s">
        <v>5028</v>
      </c>
      <c r="C2092" s="2" t="s">
        <v>17</v>
      </c>
      <c r="D2092" s="2" t="s">
        <v>18</v>
      </c>
      <c r="E2092" s="5" t="s">
        <v>492</v>
      </c>
      <c r="F2092" s="3" t="s">
        <v>493</v>
      </c>
      <c r="G2092" s="3" t="s">
        <v>34</v>
      </c>
      <c r="H2092" s="2" t="s">
        <v>22</v>
      </c>
      <c r="I2092" s="2" t="s">
        <v>5029</v>
      </c>
      <c r="J2092" s="3" t="str">
        <f>HYPERLINK("https://www.boe.es/gazeta/dias/1834/11/21/pdfs/GMD-C-1834-280.pdf#page=1","Abrir facsímil")</f>
        <v>Abrir facsímil</v>
      </c>
      <c r="K2092" s="3" t="s">
        <v>24</v>
      </c>
    </row>
    <row r="2093" spans="1:11" ht="54" customHeight="1">
      <c r="A2093" s="2" t="s">
        <v>5030</v>
      </c>
      <c r="B2093" s="2" t="s">
        <v>5031</v>
      </c>
      <c r="C2093" s="2" t="s">
        <v>66</v>
      </c>
      <c r="D2093" s="2" t="s">
        <v>67</v>
      </c>
      <c r="E2093" s="5" t="s">
        <v>808</v>
      </c>
      <c r="F2093" s="3" t="s">
        <v>809</v>
      </c>
      <c r="G2093" s="3" t="s">
        <v>21</v>
      </c>
      <c r="H2093" s="2" t="s">
        <v>22</v>
      </c>
      <c r="I2093" s="2" t="s">
        <v>5032</v>
      </c>
      <c r="J2093" s="3" t="str">
        <f>HYPERLINK("https://www.boe.es/gazeta/dias/1834/10/11/pdfs/GMD-1834-239.pdf#page=3","Abrir facsímil")</f>
        <v>Abrir facsímil</v>
      </c>
      <c r="K2093" s="3" t="s">
        <v>24</v>
      </c>
    </row>
    <row r="2094" spans="1:11" ht="54" customHeight="1">
      <c r="A2094" s="2" t="s">
        <v>5033</v>
      </c>
      <c r="B2094" s="2" t="s">
        <v>5033</v>
      </c>
      <c r="C2094" s="2" t="s">
        <v>17</v>
      </c>
      <c r="D2094" s="2" t="s">
        <v>18</v>
      </c>
      <c r="E2094" s="5" t="s">
        <v>623</v>
      </c>
      <c r="F2094" s="3" t="s">
        <v>624</v>
      </c>
      <c r="G2094" s="3" t="s">
        <v>86</v>
      </c>
      <c r="H2094" s="2" t="s">
        <v>22</v>
      </c>
      <c r="I2094" s="2" t="s">
        <v>5034</v>
      </c>
      <c r="J2094" s="3" t="str">
        <f>HYPERLINK("https://www.boe.es/gazeta/dias/1834/10/12/pdfs/GMD-C-1834-240.pdf#page=2","Abrir facsímil")</f>
        <v>Abrir facsímil</v>
      </c>
      <c r="K2094" s="3" t="s">
        <v>24</v>
      </c>
    </row>
    <row r="2095" spans="1:11" ht="54" customHeight="1">
      <c r="A2095" s="2" t="s">
        <v>5035</v>
      </c>
      <c r="B2095" s="2" t="s">
        <v>5035</v>
      </c>
      <c r="C2095" s="2" t="s">
        <v>17</v>
      </c>
      <c r="D2095" s="2" t="s">
        <v>18</v>
      </c>
      <c r="E2095" s="5" t="s">
        <v>793</v>
      </c>
      <c r="F2095" s="3" t="s">
        <v>1895</v>
      </c>
      <c r="G2095" s="3" t="s">
        <v>86</v>
      </c>
      <c r="H2095" s="2" t="s">
        <v>22</v>
      </c>
      <c r="I2095" s="2" t="s">
        <v>5036</v>
      </c>
      <c r="J2095" s="3" t="str">
        <f>HYPERLINK("https://www.boe.es/gazeta/dias/1834/10/08/pdfs/GMD-C-1834-236.pdf#page=2","Abrir facsímil")</f>
        <v>Abrir facsímil</v>
      </c>
      <c r="K2095" s="3" t="s">
        <v>24</v>
      </c>
    </row>
    <row r="2096" spans="1:11" ht="54" customHeight="1">
      <c r="A2096" s="2" t="s">
        <v>5037</v>
      </c>
      <c r="B2096" s="2" t="s">
        <v>5037</v>
      </c>
      <c r="C2096" s="2" t="s">
        <v>17</v>
      </c>
      <c r="D2096" s="2" t="s">
        <v>18</v>
      </c>
      <c r="E2096" s="5" t="s">
        <v>255</v>
      </c>
      <c r="F2096" s="3" t="s">
        <v>256</v>
      </c>
      <c r="G2096" s="3" t="s">
        <v>86</v>
      </c>
      <c r="H2096" s="2" t="s">
        <v>22</v>
      </c>
      <c r="I2096" s="2" t="s">
        <v>5038</v>
      </c>
      <c r="J2096" s="3" t="str">
        <f>HYPERLINK("https://www.boe.es/gazeta/dias/1834/09/01/pdfs/GMD-D-1834-199.pdf#page=2","Abrir facsímil")</f>
        <v>Abrir facsímil</v>
      </c>
      <c r="K2096" s="3" t="s">
        <v>24</v>
      </c>
    </row>
    <row r="2097" spans="1:11" ht="54" customHeight="1">
      <c r="A2097" s="2" t="s">
        <v>5037</v>
      </c>
      <c r="B2097" s="2" t="s">
        <v>5037</v>
      </c>
      <c r="C2097" s="2" t="s">
        <v>90</v>
      </c>
      <c r="D2097" s="2" t="s">
        <v>18</v>
      </c>
      <c r="E2097" s="5" t="s">
        <v>158</v>
      </c>
      <c r="F2097" s="3" t="s">
        <v>581</v>
      </c>
      <c r="G2097" s="3" t="s">
        <v>34</v>
      </c>
      <c r="H2097" s="2" t="s">
        <v>22</v>
      </c>
      <c r="I2097" s="2" t="s">
        <v>5039</v>
      </c>
      <c r="J2097" s="3" t="str">
        <f>HYPERLINK("https://www.boe.es/gazeta/dias/1834/10/01/pdfs/GMD-C-1834-229.pdf#page=1","Abrir facsímil")</f>
        <v>Abrir facsímil</v>
      </c>
      <c r="K2097" s="3" t="s">
        <v>24</v>
      </c>
    </row>
    <row r="2098" spans="1:11" ht="54" customHeight="1">
      <c r="A2098" s="2" t="s">
        <v>5037</v>
      </c>
      <c r="B2098" s="2" t="s">
        <v>5037</v>
      </c>
      <c r="C2098" s="2" t="s">
        <v>17</v>
      </c>
      <c r="D2098" s="2" t="s">
        <v>18</v>
      </c>
      <c r="E2098" s="5" t="s">
        <v>416</v>
      </c>
      <c r="F2098" s="3" t="s">
        <v>417</v>
      </c>
      <c r="G2098" s="3" t="s">
        <v>34</v>
      </c>
      <c r="H2098" s="2" t="s">
        <v>22</v>
      </c>
      <c r="I2098" s="2" t="s">
        <v>5040</v>
      </c>
      <c r="J2098" s="3" t="str">
        <f>HYPERLINK("https://www.boe.es/gazeta/dias/1834/10/02/pdfs/GMD-C-1834-230.pdf#page=1","Abrir facsímil")</f>
        <v>Abrir facsímil</v>
      </c>
      <c r="K2098" s="3" t="s">
        <v>24</v>
      </c>
    </row>
    <row r="2099" spans="1:11" ht="54" customHeight="1">
      <c r="A2099" s="2" t="s">
        <v>5037</v>
      </c>
      <c r="B2099" s="2" t="s">
        <v>5037</v>
      </c>
      <c r="C2099" s="2" t="s">
        <v>17</v>
      </c>
      <c r="D2099" s="2" t="s">
        <v>18</v>
      </c>
      <c r="E2099" s="5" t="s">
        <v>416</v>
      </c>
      <c r="F2099" s="3" t="s">
        <v>417</v>
      </c>
      <c r="G2099" s="3" t="s">
        <v>86</v>
      </c>
      <c r="H2099" s="2" t="s">
        <v>22</v>
      </c>
      <c r="I2099" s="2" t="s">
        <v>5041</v>
      </c>
      <c r="J2099" s="3" t="str">
        <f>HYPERLINK("https://www.boe.es/gazeta/dias/1834/10/02/pdfs/GMD-C-1834-230.pdf#page=2","Abrir facsímil")</f>
        <v>Abrir facsímil</v>
      </c>
      <c r="K2099" s="3" t="s">
        <v>24</v>
      </c>
    </row>
    <row r="2100" spans="1:11" ht="54" customHeight="1">
      <c r="A2100" s="2" t="s">
        <v>5037</v>
      </c>
      <c r="B2100" s="2" t="s">
        <v>5037</v>
      </c>
      <c r="C2100" s="2" t="s">
        <v>46</v>
      </c>
      <c r="D2100" s="2" t="s">
        <v>101</v>
      </c>
      <c r="E2100" s="5" t="s">
        <v>416</v>
      </c>
      <c r="F2100" s="3" t="s">
        <v>417</v>
      </c>
      <c r="G2100" s="3" t="s">
        <v>21</v>
      </c>
      <c r="H2100" s="2" t="s">
        <v>22</v>
      </c>
      <c r="I2100" s="2" t="s">
        <v>5042</v>
      </c>
      <c r="J2100" s="3" t="str">
        <f>HYPERLINK("https://www.boe.es/gazeta/dias/1834/10/02/pdfs/GMD-C-1834-230.pdf#page=3","Abrir facsímil")</f>
        <v>Abrir facsímil</v>
      </c>
      <c r="K2100" s="3" t="s">
        <v>24</v>
      </c>
    </row>
    <row r="2101" spans="1:11" ht="54" customHeight="1">
      <c r="A2101" s="2" t="s">
        <v>5037</v>
      </c>
      <c r="B2101" s="2" t="s">
        <v>5037</v>
      </c>
      <c r="C2101" s="2" t="s">
        <v>17</v>
      </c>
      <c r="D2101" s="2" t="s">
        <v>18</v>
      </c>
      <c r="E2101" s="5" t="s">
        <v>690</v>
      </c>
      <c r="F2101" s="3" t="s">
        <v>691</v>
      </c>
      <c r="G2101" s="3" t="s">
        <v>75</v>
      </c>
      <c r="H2101" s="2" t="s">
        <v>22</v>
      </c>
      <c r="I2101" s="2" t="s">
        <v>5043</v>
      </c>
      <c r="J2101" s="3" t="str">
        <f>HYPERLINK("https://www.boe.es/gazeta/dias/1834/09/03/pdfs/GMD-C-1834-201.pdf#page=4","Abrir facsímil")</f>
        <v>Abrir facsímil</v>
      </c>
      <c r="K2101" s="3" t="s">
        <v>24</v>
      </c>
    </row>
    <row r="2102" spans="1:11" ht="54" customHeight="1">
      <c r="A2102" s="2" t="s">
        <v>5037</v>
      </c>
      <c r="B2102" s="2" t="s">
        <v>5037</v>
      </c>
      <c r="C2102" s="2" t="s">
        <v>17</v>
      </c>
      <c r="D2102" s="2" t="s">
        <v>18</v>
      </c>
      <c r="E2102" s="5" t="s">
        <v>690</v>
      </c>
      <c r="F2102" s="3" t="s">
        <v>691</v>
      </c>
      <c r="G2102" s="3" t="s">
        <v>176</v>
      </c>
      <c r="H2102" s="2" t="s">
        <v>22</v>
      </c>
      <c r="I2102" s="2" t="s">
        <v>5044</v>
      </c>
      <c r="J2102" s="3" t="str">
        <f>HYPERLINK("https://www.boe.es/gazeta/dias/1834/09/03/pdfs/GMD-C-1834-201.pdf#page=6","Abrir facsímil")</f>
        <v>Abrir facsímil</v>
      </c>
      <c r="K2102" s="3" t="s">
        <v>24</v>
      </c>
    </row>
    <row r="2103" spans="1:11" ht="54" customHeight="1">
      <c r="A2103" s="2" t="s">
        <v>5037</v>
      </c>
      <c r="B2103" s="2" t="s">
        <v>5037</v>
      </c>
      <c r="C2103" s="2" t="s">
        <v>17</v>
      </c>
      <c r="D2103" s="2" t="s">
        <v>55</v>
      </c>
      <c r="E2103" s="5" t="s">
        <v>690</v>
      </c>
      <c r="F2103" s="3" t="s">
        <v>691</v>
      </c>
      <c r="G2103" s="3" t="s">
        <v>560</v>
      </c>
      <c r="H2103" s="2" t="s">
        <v>22</v>
      </c>
      <c r="I2103" s="2" t="s">
        <v>5045</v>
      </c>
      <c r="J2103" s="3" t="str">
        <f>HYPERLINK("https://www.boe.es/gazeta/dias/1834/09/03/pdfs/GMD-C-1834-201.pdf#page=7","Abrir facsímil")</f>
        <v>Abrir facsímil</v>
      </c>
      <c r="K2103" s="3" t="s">
        <v>24</v>
      </c>
    </row>
    <row r="2104" spans="1:11" ht="54" customHeight="1">
      <c r="A2104" s="2" t="s">
        <v>5037</v>
      </c>
      <c r="B2104" s="2" t="s">
        <v>5037</v>
      </c>
      <c r="C2104" s="2" t="s">
        <v>17</v>
      </c>
      <c r="D2104" s="2" t="s">
        <v>18</v>
      </c>
      <c r="E2104" s="5" t="s">
        <v>2212</v>
      </c>
      <c r="F2104" s="3" t="s">
        <v>2213</v>
      </c>
      <c r="G2104" s="3" t="s">
        <v>34</v>
      </c>
      <c r="H2104" s="2" t="s">
        <v>22</v>
      </c>
      <c r="I2104" s="2" t="s">
        <v>5046</v>
      </c>
      <c r="J2104" s="3" t="str">
        <f>HYPERLINK("https://www.boe.es/gazeta/dias/1834/08/04/pdfs/GMD-C-1834-168.pdf#page=1","Abrir facsímil")</f>
        <v>Abrir facsímil</v>
      </c>
      <c r="K2104" s="3" t="s">
        <v>24</v>
      </c>
    </row>
    <row r="2105" spans="1:11" ht="54" customHeight="1">
      <c r="A2105" s="2" t="s">
        <v>5037</v>
      </c>
      <c r="B2105" s="2" t="s">
        <v>5037</v>
      </c>
      <c r="C2105" s="2" t="s">
        <v>90</v>
      </c>
      <c r="D2105" s="2" t="s">
        <v>101</v>
      </c>
      <c r="E2105" s="5" t="s">
        <v>426</v>
      </c>
      <c r="F2105" s="3" t="s">
        <v>694</v>
      </c>
      <c r="G2105" s="3" t="s">
        <v>75</v>
      </c>
      <c r="H2105" s="2" t="s">
        <v>22</v>
      </c>
      <c r="I2105" s="2" t="s">
        <v>5047</v>
      </c>
      <c r="J2105" s="3" t="str">
        <f>HYPERLINK("https://www.boe.es/gazeta/dias/1834/10/04/pdfs/GMD-C-1834-232.pdf#page=4","Abrir facsímil")</f>
        <v>Abrir facsímil</v>
      </c>
      <c r="K2105" s="3" t="s">
        <v>24</v>
      </c>
    </row>
    <row r="2106" spans="1:11" ht="54" customHeight="1">
      <c r="A2106" s="2" t="s">
        <v>5037</v>
      </c>
      <c r="B2106" s="2" t="s">
        <v>5037</v>
      </c>
      <c r="C2106" s="2" t="s">
        <v>90</v>
      </c>
      <c r="D2106" s="2" t="s">
        <v>18</v>
      </c>
      <c r="E2106" s="5" t="s">
        <v>426</v>
      </c>
      <c r="F2106" s="3" t="s">
        <v>694</v>
      </c>
      <c r="G2106" s="3" t="s">
        <v>176</v>
      </c>
      <c r="H2106" s="2" t="s">
        <v>22</v>
      </c>
      <c r="I2106" s="2" t="s">
        <v>5048</v>
      </c>
      <c r="J2106" s="3" t="str">
        <f>HYPERLINK("https://www.boe.es/gazeta/dias/1834/10/04/pdfs/GMD-C-1834-232.pdf#page=6","Abrir facsímil")</f>
        <v>Abrir facsímil</v>
      </c>
      <c r="K2106" s="3" t="s">
        <v>24</v>
      </c>
    </row>
    <row r="2107" spans="1:11" ht="54" customHeight="1">
      <c r="A2107" s="2" t="s">
        <v>5037</v>
      </c>
      <c r="B2107" s="2" t="s">
        <v>5037</v>
      </c>
      <c r="C2107" s="2" t="s">
        <v>17</v>
      </c>
      <c r="D2107" s="2" t="s">
        <v>18</v>
      </c>
      <c r="E2107" s="5" t="s">
        <v>243</v>
      </c>
      <c r="F2107" s="3" t="s">
        <v>244</v>
      </c>
      <c r="G2107" s="3" t="s">
        <v>86</v>
      </c>
      <c r="H2107" s="2" t="s">
        <v>22</v>
      </c>
      <c r="I2107" s="2" t="s">
        <v>5049</v>
      </c>
      <c r="J2107" s="3" t="str">
        <f>HYPERLINK("https://www.boe.es/gazeta/dias/1834/08/05/pdfs/GMD-C-1834-169.pdf#page=2","Abrir facsímil")</f>
        <v>Abrir facsímil</v>
      </c>
      <c r="K2107" s="3" t="s">
        <v>24</v>
      </c>
    </row>
    <row r="2108" spans="1:11" ht="54" customHeight="1">
      <c r="A2108" s="2" t="s">
        <v>5037</v>
      </c>
      <c r="B2108" s="2" t="s">
        <v>5037</v>
      </c>
      <c r="C2108" s="2" t="s">
        <v>17</v>
      </c>
      <c r="D2108" s="2" t="s">
        <v>18</v>
      </c>
      <c r="E2108" s="5" t="s">
        <v>1340</v>
      </c>
      <c r="F2108" s="3" t="s">
        <v>1341</v>
      </c>
      <c r="G2108" s="3" t="s">
        <v>75</v>
      </c>
      <c r="H2108" s="2" t="s">
        <v>22</v>
      </c>
      <c r="I2108" s="2" t="s">
        <v>5050</v>
      </c>
      <c r="J2108" s="3" t="str">
        <f>HYPERLINK("https://www.boe.es/gazeta/dias/1834/10/05/pdfs/GMD-C-1834-233.pdf#page=4","Abrir facsímil")</f>
        <v>Abrir facsímil</v>
      </c>
      <c r="K2108" s="3" t="s">
        <v>24</v>
      </c>
    </row>
    <row r="2109" spans="1:11" ht="54" customHeight="1">
      <c r="A2109" s="2" t="s">
        <v>5037</v>
      </c>
      <c r="B2109" s="2" t="s">
        <v>5037</v>
      </c>
      <c r="C2109" s="2" t="s">
        <v>17</v>
      </c>
      <c r="D2109" s="2" t="s">
        <v>18</v>
      </c>
      <c r="E2109" s="5" t="s">
        <v>1340</v>
      </c>
      <c r="F2109" s="3" t="s">
        <v>1341</v>
      </c>
      <c r="G2109" s="3" t="s">
        <v>560</v>
      </c>
      <c r="H2109" s="2" t="s">
        <v>22</v>
      </c>
      <c r="I2109" s="2" t="s">
        <v>5051</v>
      </c>
      <c r="J2109" s="3" t="str">
        <f>HYPERLINK("https://www.boe.es/gazeta/dias/1834/10/05/pdfs/GMD-C-1834-233.pdf#page=7","Abrir facsímil")</f>
        <v>Abrir facsímil</v>
      </c>
      <c r="K2109" s="3" t="s">
        <v>24</v>
      </c>
    </row>
    <row r="2110" spans="1:11" ht="54" customHeight="1">
      <c r="A2110" s="2" t="s">
        <v>5037</v>
      </c>
      <c r="B2110" s="2" t="s">
        <v>5037</v>
      </c>
      <c r="C2110" s="2" t="s">
        <v>17</v>
      </c>
      <c r="D2110" s="2" t="s">
        <v>18</v>
      </c>
      <c r="E2110" s="5" t="s">
        <v>653</v>
      </c>
      <c r="F2110" s="3" t="s">
        <v>654</v>
      </c>
      <c r="G2110" s="3" t="s">
        <v>86</v>
      </c>
      <c r="H2110" s="2" t="s">
        <v>22</v>
      </c>
      <c r="I2110" s="2" t="s">
        <v>5052</v>
      </c>
      <c r="J2110" s="3" t="str">
        <f>HYPERLINK("https://www.boe.es/gazeta/dias/1834/08/06/pdfs/GMD-C-1834-170.pdf#page=2","Abrir facsímil")</f>
        <v>Abrir facsímil</v>
      </c>
      <c r="K2110" s="3" t="s">
        <v>24</v>
      </c>
    </row>
    <row r="2111" spans="1:11" ht="54" customHeight="1">
      <c r="A2111" s="2" t="s">
        <v>5037</v>
      </c>
      <c r="B2111" s="2" t="s">
        <v>5037</v>
      </c>
      <c r="C2111" s="2" t="s">
        <v>17</v>
      </c>
      <c r="D2111" s="2" t="s">
        <v>18</v>
      </c>
      <c r="E2111" s="5" t="s">
        <v>653</v>
      </c>
      <c r="F2111" s="3" t="s">
        <v>654</v>
      </c>
      <c r="G2111" s="3" t="s">
        <v>21</v>
      </c>
      <c r="H2111" s="2" t="s">
        <v>22</v>
      </c>
      <c r="I2111" s="2" t="s">
        <v>5053</v>
      </c>
      <c r="J2111" s="3" t="str">
        <f>HYPERLINK("https://www.boe.es/gazeta/dias/1834/08/06/pdfs/GMD-C-1834-170.pdf#page=3","Abrir facsímil")</f>
        <v>Abrir facsímil</v>
      </c>
      <c r="K2111" s="3" t="s">
        <v>24</v>
      </c>
    </row>
    <row r="2112" spans="1:11" ht="54" customHeight="1">
      <c r="A2112" s="2" t="s">
        <v>5037</v>
      </c>
      <c r="B2112" s="2" t="s">
        <v>5037</v>
      </c>
      <c r="C2112" s="2" t="s">
        <v>17</v>
      </c>
      <c r="D2112" s="2" t="s">
        <v>18</v>
      </c>
      <c r="E2112" s="5" t="s">
        <v>364</v>
      </c>
      <c r="F2112" s="3" t="s">
        <v>365</v>
      </c>
      <c r="G2112" s="3" t="s">
        <v>560</v>
      </c>
      <c r="H2112" s="2" t="s">
        <v>22</v>
      </c>
      <c r="I2112" s="2" t="s">
        <v>5054</v>
      </c>
      <c r="J2112" s="3" t="str">
        <f>HYPERLINK("https://www.boe.es/gazeta/dias/1834/09/06/pdfs/GMD-C-1834-204.pdf#page=7","Abrir facsímil")</f>
        <v>Abrir facsímil</v>
      </c>
      <c r="K2112" s="3" t="s">
        <v>24</v>
      </c>
    </row>
    <row r="2113" spans="1:11" ht="54" customHeight="1">
      <c r="A2113" s="2" t="s">
        <v>5037</v>
      </c>
      <c r="B2113" s="2" t="s">
        <v>5037</v>
      </c>
      <c r="C2113" s="2" t="s">
        <v>17</v>
      </c>
      <c r="D2113" s="2" t="s">
        <v>18</v>
      </c>
      <c r="E2113" s="5" t="s">
        <v>433</v>
      </c>
      <c r="F2113" s="3" t="s">
        <v>434</v>
      </c>
      <c r="G2113" s="3" t="s">
        <v>86</v>
      </c>
      <c r="H2113" s="2" t="s">
        <v>22</v>
      </c>
      <c r="I2113" s="2" t="s">
        <v>5055</v>
      </c>
      <c r="J2113" s="3" t="str">
        <f>HYPERLINK("https://www.boe.es/gazeta/dias/1834/10/07/pdfs/GMD-C-1834-235.pdf#page=2","Abrir facsímil")</f>
        <v>Abrir facsímil</v>
      </c>
      <c r="K2113" s="3" t="s">
        <v>24</v>
      </c>
    </row>
    <row r="2114" spans="1:11" ht="54" customHeight="1">
      <c r="A2114" s="2" t="s">
        <v>5037</v>
      </c>
      <c r="B2114" s="2" t="s">
        <v>5037</v>
      </c>
      <c r="C2114" s="2" t="s">
        <v>17</v>
      </c>
      <c r="D2114" s="2" t="s">
        <v>18</v>
      </c>
      <c r="E2114" s="5" t="s">
        <v>793</v>
      </c>
      <c r="F2114" s="3" t="s">
        <v>1895</v>
      </c>
      <c r="G2114" s="3" t="s">
        <v>34</v>
      </c>
      <c r="H2114" s="2" t="s">
        <v>22</v>
      </c>
      <c r="I2114" s="2" t="s">
        <v>5056</v>
      </c>
      <c r="J2114" s="3" t="str">
        <f>HYPERLINK("https://www.boe.es/gazeta/dias/1834/10/08/pdfs/GMD-C-1834-236.pdf#page=1","Abrir facsímil")</f>
        <v>Abrir facsímil</v>
      </c>
      <c r="K2114" s="3" t="s">
        <v>24</v>
      </c>
    </row>
    <row r="2115" spans="1:11" ht="54" customHeight="1">
      <c r="A2115" s="2" t="s">
        <v>5037</v>
      </c>
      <c r="B2115" s="2" t="s">
        <v>5037</v>
      </c>
      <c r="C2115" s="2" t="s">
        <v>17</v>
      </c>
      <c r="D2115" s="2" t="s">
        <v>18</v>
      </c>
      <c r="E2115" s="5" t="s">
        <v>793</v>
      </c>
      <c r="F2115" s="3" t="s">
        <v>1895</v>
      </c>
      <c r="G2115" s="3" t="s">
        <v>86</v>
      </c>
      <c r="H2115" s="2" t="s">
        <v>22</v>
      </c>
      <c r="I2115" s="2" t="s">
        <v>5057</v>
      </c>
      <c r="J2115" s="3" t="str">
        <f>HYPERLINK("https://www.boe.es/gazeta/dias/1834/10/08/pdfs/GMD-C-1834-236.pdf#page=2","Abrir facsímil")</f>
        <v>Abrir facsímil</v>
      </c>
      <c r="K2115" s="3" t="s">
        <v>24</v>
      </c>
    </row>
    <row r="2116" spans="1:11" ht="54" customHeight="1">
      <c r="A2116" s="2" t="s">
        <v>5037</v>
      </c>
      <c r="B2116" s="2" t="s">
        <v>5037</v>
      </c>
      <c r="C2116" s="2" t="s">
        <v>17</v>
      </c>
      <c r="D2116" s="2" t="s">
        <v>18</v>
      </c>
      <c r="E2116" s="5" t="s">
        <v>1410</v>
      </c>
      <c r="F2116" s="3" t="s">
        <v>2231</v>
      </c>
      <c r="G2116" s="3" t="s">
        <v>75</v>
      </c>
      <c r="H2116" s="2" t="s">
        <v>22</v>
      </c>
      <c r="I2116" s="2" t="s">
        <v>5058</v>
      </c>
      <c r="J2116" s="3" t="str">
        <f>HYPERLINK("https://www.boe.es/gazeta/dias/1834/09/09/pdfs/GMD-C-1834-207.pdf#page=4","Abrir facsímil")</f>
        <v>Abrir facsímil</v>
      </c>
      <c r="K2116" s="3" t="s">
        <v>24</v>
      </c>
    </row>
    <row r="2117" spans="1:11" ht="54" customHeight="1">
      <c r="A2117" s="2" t="s">
        <v>5037</v>
      </c>
      <c r="B2117" s="2" t="s">
        <v>5037</v>
      </c>
      <c r="C2117" s="2" t="s">
        <v>46</v>
      </c>
      <c r="D2117" s="2" t="s">
        <v>18</v>
      </c>
      <c r="E2117" s="5" t="s">
        <v>258</v>
      </c>
      <c r="F2117" s="3" t="s">
        <v>259</v>
      </c>
      <c r="G2117" s="3" t="s">
        <v>28</v>
      </c>
      <c r="H2117" s="2" t="s">
        <v>22</v>
      </c>
      <c r="I2117" s="2" t="s">
        <v>5059</v>
      </c>
      <c r="J2117" s="3" t="str">
        <f>HYPERLINK("https://www.boe.es/gazeta/dias/1834/10/09/pdfs/GMD-C-1834-237.pdf#page=5","Abrir facsímil")</f>
        <v>Abrir facsímil</v>
      </c>
      <c r="K2117" s="3" t="s">
        <v>24</v>
      </c>
    </row>
    <row r="2118" spans="1:11" ht="54" customHeight="1">
      <c r="A2118" s="2" t="s">
        <v>5037</v>
      </c>
      <c r="B2118" s="2" t="s">
        <v>5037</v>
      </c>
      <c r="C2118" s="2" t="s">
        <v>17</v>
      </c>
      <c r="D2118" s="2" t="s">
        <v>18</v>
      </c>
      <c r="E2118" s="5" t="s">
        <v>258</v>
      </c>
      <c r="F2118" s="3" t="s">
        <v>259</v>
      </c>
      <c r="G2118" s="3" t="s">
        <v>176</v>
      </c>
      <c r="H2118" s="2" t="s">
        <v>22</v>
      </c>
      <c r="I2118" s="2" t="s">
        <v>5060</v>
      </c>
      <c r="J2118" s="3" t="str">
        <f>HYPERLINK("https://www.boe.es/gazeta/dias/1834/10/09/pdfs/GMD-C-1834-237.pdf#page=6","Abrir facsímil")</f>
        <v>Abrir facsímil</v>
      </c>
      <c r="K2118" s="3" t="s">
        <v>24</v>
      </c>
    </row>
    <row r="2119" spans="1:11" ht="54" customHeight="1">
      <c r="A2119" s="2" t="s">
        <v>5037</v>
      </c>
      <c r="B2119" s="2" t="s">
        <v>5037</v>
      </c>
      <c r="C2119" s="2" t="s">
        <v>46</v>
      </c>
      <c r="D2119" s="2" t="s">
        <v>101</v>
      </c>
      <c r="E2119" s="5" t="s">
        <v>2203</v>
      </c>
      <c r="F2119" s="3" t="s">
        <v>2204</v>
      </c>
      <c r="G2119" s="3" t="s">
        <v>28</v>
      </c>
      <c r="H2119" s="2" t="s">
        <v>22</v>
      </c>
      <c r="I2119" s="2" t="s">
        <v>5061</v>
      </c>
      <c r="J2119" s="3" t="str">
        <f>HYPERLINK("https://www.boe.es/gazeta/dias/1834/09/10/pdfs/GMD-C-1834-208.pdf#page=5","Abrir facsímil")</f>
        <v>Abrir facsímil</v>
      </c>
      <c r="K2119" s="3" t="s">
        <v>24</v>
      </c>
    </row>
    <row r="2120" spans="1:11" ht="54" customHeight="1">
      <c r="A2120" s="2" t="s">
        <v>5037</v>
      </c>
      <c r="B2120" s="2" t="s">
        <v>5037</v>
      </c>
      <c r="C2120" s="2" t="s">
        <v>17</v>
      </c>
      <c r="D2120" s="2" t="s">
        <v>18</v>
      </c>
      <c r="E2120" s="5" t="s">
        <v>679</v>
      </c>
      <c r="F2120" s="3" t="s">
        <v>699</v>
      </c>
      <c r="G2120" s="3" t="s">
        <v>86</v>
      </c>
      <c r="H2120" s="2" t="s">
        <v>22</v>
      </c>
      <c r="I2120" s="2" t="s">
        <v>5062</v>
      </c>
      <c r="J2120" s="3" t="str">
        <f>HYPERLINK("https://www.boe.es/gazeta/dias/1834/12/10/pdfs/GMD-C-1834-299.pdf#page=2","Abrir facsímil")</f>
        <v>Abrir facsímil</v>
      </c>
      <c r="K2120" s="3" t="s">
        <v>24</v>
      </c>
    </row>
    <row r="2121" spans="1:11" ht="54" customHeight="1">
      <c r="A2121" s="2" t="s">
        <v>5037</v>
      </c>
      <c r="B2121" s="2" t="s">
        <v>5037</v>
      </c>
      <c r="C2121" s="2" t="s">
        <v>17</v>
      </c>
      <c r="D2121" s="2" t="s">
        <v>18</v>
      </c>
      <c r="E2121" s="5" t="s">
        <v>679</v>
      </c>
      <c r="F2121" s="3" t="s">
        <v>699</v>
      </c>
      <c r="G2121" s="3" t="s">
        <v>75</v>
      </c>
      <c r="H2121" s="2" t="s">
        <v>22</v>
      </c>
      <c r="I2121" s="2" t="s">
        <v>5063</v>
      </c>
      <c r="J2121" s="3" t="str">
        <f>HYPERLINK("https://www.boe.es/gazeta/dias/1834/12/10/pdfs/GMD-C-1834-299.pdf#page=4","Abrir facsímil")</f>
        <v>Abrir facsímil</v>
      </c>
      <c r="K2121" s="3" t="s">
        <v>24</v>
      </c>
    </row>
    <row r="2122" spans="1:11" ht="54" customHeight="1">
      <c r="A2122" s="2" t="s">
        <v>5037</v>
      </c>
      <c r="B2122" s="2" t="s">
        <v>5037</v>
      </c>
      <c r="C2122" s="2" t="s">
        <v>17</v>
      </c>
      <c r="D2122" s="2" t="s">
        <v>18</v>
      </c>
      <c r="E2122" s="5" t="s">
        <v>334</v>
      </c>
      <c r="F2122" s="3" t="s">
        <v>335</v>
      </c>
      <c r="G2122" s="3" t="s">
        <v>34</v>
      </c>
      <c r="H2122" s="2" t="s">
        <v>22</v>
      </c>
      <c r="I2122" s="2" t="s">
        <v>5064</v>
      </c>
      <c r="J2122" s="3" t="str">
        <f>HYPERLINK("https://www.boe.es/gazeta/dias/1834/09/11/pdfs/GMD-C-1834-209.pdf#page=1","Abrir facsímil")</f>
        <v>Abrir facsímil</v>
      </c>
      <c r="K2122" s="3" t="s">
        <v>24</v>
      </c>
    </row>
    <row r="2123" spans="1:11" ht="54" customHeight="1">
      <c r="A2123" s="2" t="s">
        <v>5037</v>
      </c>
      <c r="B2123" s="2" t="s">
        <v>5037</v>
      </c>
      <c r="C2123" s="2" t="s">
        <v>17</v>
      </c>
      <c r="D2123" s="2" t="s">
        <v>18</v>
      </c>
      <c r="E2123" s="5" t="s">
        <v>334</v>
      </c>
      <c r="F2123" s="3" t="s">
        <v>335</v>
      </c>
      <c r="G2123" s="3" t="s">
        <v>86</v>
      </c>
      <c r="H2123" s="2" t="s">
        <v>22</v>
      </c>
      <c r="I2123" s="2" t="s">
        <v>5065</v>
      </c>
      <c r="J2123" s="3" t="str">
        <f>HYPERLINK("https://www.boe.es/gazeta/dias/1834/09/11/pdfs/GMD-C-1834-209.pdf#page=2","Abrir facsímil")</f>
        <v>Abrir facsímil</v>
      </c>
      <c r="K2123" s="3" t="s">
        <v>24</v>
      </c>
    </row>
    <row r="2124" spans="1:11" ht="54" customHeight="1">
      <c r="A2124" s="2" t="s">
        <v>5037</v>
      </c>
      <c r="B2124" s="2" t="s">
        <v>5037</v>
      </c>
      <c r="C2124" s="2" t="s">
        <v>17</v>
      </c>
      <c r="D2124" s="2" t="s">
        <v>18</v>
      </c>
      <c r="E2124" s="5" t="s">
        <v>334</v>
      </c>
      <c r="F2124" s="3" t="s">
        <v>335</v>
      </c>
      <c r="G2124" s="3" t="s">
        <v>75</v>
      </c>
      <c r="H2124" s="2" t="s">
        <v>22</v>
      </c>
      <c r="I2124" s="2" t="s">
        <v>5066</v>
      </c>
      <c r="J2124" s="3" t="str">
        <f>HYPERLINK("https://www.boe.es/gazeta/dias/1834/09/11/pdfs/GMD-C-1834-209.pdf#page=4","Abrir facsímil")</f>
        <v>Abrir facsímil</v>
      </c>
      <c r="K2124" s="3" t="s">
        <v>24</v>
      </c>
    </row>
    <row r="2125" spans="1:11" ht="54" customHeight="1">
      <c r="A2125" s="2" t="s">
        <v>5037</v>
      </c>
      <c r="B2125" s="2" t="s">
        <v>5037</v>
      </c>
      <c r="C2125" s="2" t="s">
        <v>17</v>
      </c>
      <c r="D2125" s="2" t="s">
        <v>18</v>
      </c>
      <c r="E2125" s="5" t="s">
        <v>444</v>
      </c>
      <c r="F2125" s="3" t="s">
        <v>445</v>
      </c>
      <c r="G2125" s="3" t="s">
        <v>34</v>
      </c>
      <c r="H2125" s="2" t="s">
        <v>22</v>
      </c>
      <c r="I2125" s="2" t="s">
        <v>5067</v>
      </c>
      <c r="J2125" s="3" t="str">
        <f>HYPERLINK("https://www.boe.es/gazeta/dias/1834/09/12/pdfs/GMD-C-1834-210.pdf#page=1","Abrir facsímil")</f>
        <v>Abrir facsímil</v>
      </c>
      <c r="K2125" s="3" t="s">
        <v>24</v>
      </c>
    </row>
    <row r="2126" spans="1:11" ht="54" customHeight="1">
      <c r="A2126" s="2" t="s">
        <v>5037</v>
      </c>
      <c r="B2126" s="2" t="s">
        <v>5037</v>
      </c>
      <c r="C2126" s="2" t="s">
        <v>17</v>
      </c>
      <c r="D2126" s="2" t="s">
        <v>18</v>
      </c>
      <c r="E2126" s="5" t="s">
        <v>299</v>
      </c>
      <c r="F2126" s="3" t="s">
        <v>2255</v>
      </c>
      <c r="G2126" s="3" t="s">
        <v>86</v>
      </c>
      <c r="H2126" s="2" t="s">
        <v>22</v>
      </c>
      <c r="I2126" s="2" t="s">
        <v>5068</v>
      </c>
      <c r="J2126" s="3" t="str">
        <f>HYPERLINK("https://www.boe.es/gazeta/dias/1834/12/12/pdfs/GMD-C-1834-301.pdf#page=2","Abrir facsímil")</f>
        <v>Abrir facsímil</v>
      </c>
      <c r="K2126" s="3" t="s">
        <v>24</v>
      </c>
    </row>
    <row r="2127" spans="1:11" ht="54" customHeight="1">
      <c r="A2127" s="2" t="s">
        <v>5037</v>
      </c>
      <c r="B2127" s="2" t="s">
        <v>5037</v>
      </c>
      <c r="C2127" s="2" t="s">
        <v>17</v>
      </c>
      <c r="D2127" s="2" t="s">
        <v>18</v>
      </c>
      <c r="E2127" s="5" t="s">
        <v>1424</v>
      </c>
      <c r="F2127" s="3" t="s">
        <v>1425</v>
      </c>
      <c r="G2127" s="3" t="s">
        <v>34</v>
      </c>
      <c r="H2127" s="2" t="s">
        <v>22</v>
      </c>
      <c r="I2127" s="2" t="s">
        <v>5069</v>
      </c>
      <c r="J2127" s="3" t="str">
        <f>HYPERLINK("https://www.boe.es/gazeta/dias/1834/11/14/pdfs/GMD-C-1834-273.pdf#page=1","Abrir facsímil")</f>
        <v>Abrir facsímil</v>
      </c>
      <c r="K2127" s="3" t="s">
        <v>24</v>
      </c>
    </row>
    <row r="2128" spans="1:11" ht="54" customHeight="1">
      <c r="A2128" s="2" t="s">
        <v>5037</v>
      </c>
      <c r="B2128" s="2" t="s">
        <v>5037</v>
      </c>
      <c r="C2128" s="2" t="s">
        <v>17</v>
      </c>
      <c r="D2128" s="2" t="s">
        <v>18</v>
      </c>
      <c r="E2128" s="5" t="s">
        <v>1424</v>
      </c>
      <c r="F2128" s="3" t="s">
        <v>1425</v>
      </c>
      <c r="G2128" s="3" t="s">
        <v>21</v>
      </c>
      <c r="H2128" s="2" t="s">
        <v>22</v>
      </c>
      <c r="I2128" s="2" t="s">
        <v>5070</v>
      </c>
      <c r="J2128" s="3" t="str">
        <f>HYPERLINK("https://www.boe.es/gazeta/dias/1834/11/14/pdfs/GMD-C-1834-273.pdf#page=3","Abrir facsímil")</f>
        <v>Abrir facsímil</v>
      </c>
      <c r="K2128" s="3" t="s">
        <v>24</v>
      </c>
    </row>
    <row r="2129" spans="1:11" ht="54" customHeight="1">
      <c r="A2129" s="2" t="s">
        <v>5037</v>
      </c>
      <c r="B2129" s="2" t="s">
        <v>5037</v>
      </c>
      <c r="C2129" s="2" t="s">
        <v>17</v>
      </c>
      <c r="D2129" s="2" t="s">
        <v>18</v>
      </c>
      <c r="E2129" s="5" t="s">
        <v>1424</v>
      </c>
      <c r="F2129" s="3" t="s">
        <v>1425</v>
      </c>
      <c r="G2129" s="3" t="s">
        <v>75</v>
      </c>
      <c r="H2129" s="2" t="s">
        <v>22</v>
      </c>
      <c r="I2129" s="2" t="s">
        <v>5071</v>
      </c>
      <c r="J2129" s="3" t="str">
        <f>HYPERLINK("https://www.boe.es/gazeta/dias/1834/11/14/pdfs/GMD-C-1834-273.pdf#page=4","Abrir facsímil")</f>
        <v>Abrir facsímil</v>
      </c>
      <c r="K2129" s="3" t="s">
        <v>24</v>
      </c>
    </row>
    <row r="2130" spans="1:11" ht="54" customHeight="1">
      <c r="A2130" s="2" t="s">
        <v>5037</v>
      </c>
      <c r="B2130" s="2" t="s">
        <v>5037</v>
      </c>
      <c r="C2130" s="2" t="s">
        <v>17</v>
      </c>
      <c r="D2130" s="2" t="s">
        <v>55</v>
      </c>
      <c r="E2130" s="5" t="s">
        <v>1424</v>
      </c>
      <c r="F2130" s="3" t="s">
        <v>1425</v>
      </c>
      <c r="G2130" s="3" t="s">
        <v>28</v>
      </c>
      <c r="H2130" s="2" t="s">
        <v>22</v>
      </c>
      <c r="I2130" s="2" t="s">
        <v>5072</v>
      </c>
      <c r="J2130" s="3" t="str">
        <f>HYPERLINK("https://www.boe.es/gazeta/dias/1834/11/14/pdfs/GMD-C-1834-273.pdf#page=5","Abrir facsímil")</f>
        <v>Abrir facsímil</v>
      </c>
      <c r="K2130" s="3" t="s">
        <v>24</v>
      </c>
    </row>
    <row r="2131" spans="1:11" ht="54" customHeight="1">
      <c r="A2131" s="2" t="s">
        <v>5037</v>
      </c>
      <c r="B2131" s="2" t="s">
        <v>5037</v>
      </c>
      <c r="C2131" s="2" t="s">
        <v>90</v>
      </c>
      <c r="D2131" s="2" t="s">
        <v>18</v>
      </c>
      <c r="E2131" s="5" t="s">
        <v>2087</v>
      </c>
      <c r="F2131" s="3" t="s">
        <v>2267</v>
      </c>
      <c r="G2131" s="3" t="s">
        <v>75</v>
      </c>
      <c r="H2131" s="2" t="s">
        <v>22</v>
      </c>
      <c r="I2131" s="2" t="s">
        <v>5073</v>
      </c>
      <c r="J2131" s="3" t="str">
        <f>HYPERLINK("https://www.boe.es/gazeta/dias/1834/12/14/pdfs/GMD-C-1834-303.pdf#page=4","Abrir facsímil")</f>
        <v>Abrir facsímil</v>
      </c>
      <c r="K2131" s="3" t="s">
        <v>24</v>
      </c>
    </row>
    <row r="2132" spans="1:11" ht="54" customHeight="1">
      <c r="A2132" s="2" t="s">
        <v>5037</v>
      </c>
      <c r="B2132" s="2" t="s">
        <v>5037</v>
      </c>
      <c r="C2132" s="2" t="s">
        <v>17</v>
      </c>
      <c r="D2132" s="2" t="s">
        <v>18</v>
      </c>
      <c r="E2132" s="5" t="s">
        <v>237</v>
      </c>
      <c r="F2132" s="3" t="s">
        <v>238</v>
      </c>
      <c r="G2132" s="3" t="s">
        <v>86</v>
      </c>
      <c r="H2132" s="2" t="s">
        <v>22</v>
      </c>
      <c r="I2132" s="2" t="s">
        <v>5074</v>
      </c>
      <c r="J2132" s="3" t="str">
        <f>HYPERLINK("https://www.boe.es/gazeta/dias/1834/08/15/pdfs/GMD-C-1834-180.pdf#page=2","Abrir facsímil")</f>
        <v>Abrir facsímil</v>
      </c>
      <c r="K2132" s="3" t="s">
        <v>24</v>
      </c>
    </row>
    <row r="2133" spans="1:11" ht="54" customHeight="1">
      <c r="A2133" s="2" t="s">
        <v>5037</v>
      </c>
      <c r="B2133" s="2" t="s">
        <v>5037</v>
      </c>
      <c r="C2133" s="2" t="s">
        <v>17</v>
      </c>
      <c r="D2133" s="2" t="s">
        <v>18</v>
      </c>
      <c r="E2133" s="5" t="s">
        <v>928</v>
      </c>
      <c r="F2133" s="3" t="s">
        <v>929</v>
      </c>
      <c r="G2133" s="3" t="s">
        <v>21</v>
      </c>
      <c r="H2133" s="2" t="s">
        <v>22</v>
      </c>
      <c r="I2133" s="2" t="s">
        <v>5075</v>
      </c>
      <c r="J2133" s="3" t="str">
        <f>HYPERLINK("https://www.boe.es/gazeta/dias/1834/11/15/pdfs/GMD-C-1834-274.pdf#page=3","Abrir facsímil")</f>
        <v>Abrir facsímil</v>
      </c>
      <c r="K2133" s="3" t="s">
        <v>24</v>
      </c>
    </row>
    <row r="2134" spans="1:11" ht="54" customHeight="1">
      <c r="A2134" s="2" t="s">
        <v>5037</v>
      </c>
      <c r="B2134" s="2" t="s">
        <v>5037</v>
      </c>
      <c r="C2134" s="2" t="s">
        <v>17</v>
      </c>
      <c r="D2134" s="2" t="s">
        <v>18</v>
      </c>
      <c r="E2134" s="5" t="s">
        <v>928</v>
      </c>
      <c r="F2134" s="3" t="s">
        <v>929</v>
      </c>
      <c r="G2134" s="3" t="s">
        <v>75</v>
      </c>
      <c r="H2134" s="2" t="s">
        <v>22</v>
      </c>
      <c r="I2134" s="2" t="s">
        <v>5076</v>
      </c>
      <c r="J2134" s="3" t="str">
        <f>HYPERLINK("https://www.boe.es/gazeta/dias/1834/11/15/pdfs/GMD-C-1834-274.pdf#page=4","Abrir facsímil")</f>
        <v>Abrir facsímil</v>
      </c>
      <c r="K2134" s="3" t="s">
        <v>24</v>
      </c>
    </row>
    <row r="2135" spans="1:11" ht="54" customHeight="1">
      <c r="A2135" s="2" t="s">
        <v>5037</v>
      </c>
      <c r="B2135" s="2" t="s">
        <v>5037</v>
      </c>
      <c r="C2135" s="2" t="s">
        <v>46</v>
      </c>
      <c r="D2135" s="2" t="s">
        <v>101</v>
      </c>
      <c r="E2135" s="5" t="s">
        <v>233</v>
      </c>
      <c r="F2135" s="3" t="s">
        <v>1810</v>
      </c>
      <c r="G2135" s="3" t="s">
        <v>1099</v>
      </c>
      <c r="H2135" s="2" t="s">
        <v>22</v>
      </c>
      <c r="I2135" s="2" t="s">
        <v>5077</v>
      </c>
      <c r="J2135" s="3" t="str">
        <f>HYPERLINK("https://www.boe.es/gazeta/dias/1834/12/16/pdfs/GMD-C-1834-305.pdf#page=11","Abrir facsímil")</f>
        <v>Abrir facsímil</v>
      </c>
      <c r="K2135" s="3" t="s">
        <v>24</v>
      </c>
    </row>
    <row r="2136" spans="1:11" ht="54" customHeight="1">
      <c r="A2136" s="2" t="s">
        <v>5037</v>
      </c>
      <c r="B2136" s="2" t="s">
        <v>5037</v>
      </c>
      <c r="C2136" s="2" t="s">
        <v>17</v>
      </c>
      <c r="D2136" s="2" t="s">
        <v>18</v>
      </c>
      <c r="E2136" s="5" t="s">
        <v>233</v>
      </c>
      <c r="F2136" s="3" t="s">
        <v>1810</v>
      </c>
      <c r="G2136" s="3" t="s">
        <v>2272</v>
      </c>
      <c r="H2136" s="2" t="s">
        <v>22</v>
      </c>
      <c r="I2136" s="2" t="s">
        <v>5078</v>
      </c>
      <c r="J2136" s="3" t="str">
        <f>HYPERLINK("https://www.boe.es/gazeta/dias/1834/12/16/pdfs/GMD-C-1834-305.pdf#page=12","Abrir facsímil")</f>
        <v>Abrir facsímil</v>
      </c>
      <c r="K2136" s="3" t="s">
        <v>24</v>
      </c>
    </row>
    <row r="2137" spans="1:11" ht="54" customHeight="1">
      <c r="A2137" s="2" t="s">
        <v>5037</v>
      </c>
      <c r="B2137" s="2" t="s">
        <v>5037</v>
      </c>
      <c r="C2137" s="2" t="s">
        <v>66</v>
      </c>
      <c r="D2137" s="2" t="s">
        <v>18</v>
      </c>
      <c r="E2137" s="5" t="s">
        <v>233</v>
      </c>
      <c r="F2137" s="3" t="s">
        <v>1810</v>
      </c>
      <c r="G2137" s="3" t="s">
        <v>560</v>
      </c>
      <c r="H2137" s="2" t="s">
        <v>22</v>
      </c>
      <c r="I2137" s="2" t="s">
        <v>5079</v>
      </c>
      <c r="J2137" s="3" t="str">
        <f>HYPERLINK("https://www.boe.es/gazeta/dias/1834/12/16/pdfs/GMD-C-1834-305.pdf#page=7","Abrir facsímil")</f>
        <v>Abrir facsímil</v>
      </c>
      <c r="K2137" s="3" t="s">
        <v>24</v>
      </c>
    </row>
    <row r="2138" spans="1:11" ht="54" customHeight="1">
      <c r="A2138" s="2" t="s">
        <v>5037</v>
      </c>
      <c r="B2138" s="2" t="s">
        <v>5037</v>
      </c>
      <c r="C2138" s="2" t="s">
        <v>17</v>
      </c>
      <c r="D2138" s="2" t="s">
        <v>18</v>
      </c>
      <c r="E2138" s="5" t="s">
        <v>233</v>
      </c>
      <c r="F2138" s="3" t="s">
        <v>1810</v>
      </c>
      <c r="G2138" s="3" t="s">
        <v>470</v>
      </c>
      <c r="H2138" s="2" t="s">
        <v>22</v>
      </c>
      <c r="I2138" s="2" t="s">
        <v>5080</v>
      </c>
      <c r="J2138" s="3" t="str">
        <f>HYPERLINK("https://www.boe.es/gazeta/dias/1834/12/16/pdfs/GMD-C-1834-305.pdf#page=8","Abrir facsímil")</f>
        <v>Abrir facsímil</v>
      </c>
      <c r="K2138" s="3" t="s">
        <v>24</v>
      </c>
    </row>
    <row r="2139" spans="1:11" ht="54" customHeight="1">
      <c r="A2139" s="2" t="s">
        <v>5037</v>
      </c>
      <c r="B2139" s="2" t="s">
        <v>5037</v>
      </c>
      <c r="C2139" s="2" t="s">
        <v>17</v>
      </c>
      <c r="D2139" s="2" t="s">
        <v>18</v>
      </c>
      <c r="E2139" s="5" t="s">
        <v>233</v>
      </c>
      <c r="F2139" s="3" t="s">
        <v>1810</v>
      </c>
      <c r="G2139" s="3" t="s">
        <v>1343</v>
      </c>
      <c r="H2139" s="2" t="s">
        <v>22</v>
      </c>
      <c r="I2139" s="2" t="s">
        <v>5081</v>
      </c>
      <c r="J2139" s="3" t="str">
        <f>HYPERLINK("https://www.boe.es/gazeta/dias/1834/12/16/pdfs/GMD-C-1834-305.pdf#page=9","Abrir facsímil")</f>
        <v>Abrir facsímil</v>
      </c>
      <c r="K2139" s="3" t="s">
        <v>24</v>
      </c>
    </row>
    <row r="2140" spans="1:11" ht="54" customHeight="1">
      <c r="A2140" s="2" t="s">
        <v>5037</v>
      </c>
      <c r="B2140" s="2" t="s">
        <v>5037</v>
      </c>
      <c r="C2140" s="2" t="s">
        <v>17</v>
      </c>
      <c r="D2140" s="2" t="s">
        <v>18</v>
      </c>
      <c r="E2140" s="5" t="s">
        <v>2278</v>
      </c>
      <c r="F2140" s="3" t="s">
        <v>2279</v>
      </c>
      <c r="G2140" s="3" t="s">
        <v>75</v>
      </c>
      <c r="H2140" s="2" t="s">
        <v>22</v>
      </c>
      <c r="I2140" s="2" t="s">
        <v>5082</v>
      </c>
      <c r="J2140" s="3" t="str">
        <f>HYPERLINK("https://www.boe.es/gazeta/dias/1834/12/17/pdfs/GMD-C-1834-306.pdf#page=4","Abrir facsímil")</f>
        <v>Abrir facsímil</v>
      </c>
      <c r="K2140" s="3" t="s">
        <v>24</v>
      </c>
    </row>
    <row r="2141" spans="1:11" ht="54" customHeight="1">
      <c r="A2141" s="2" t="s">
        <v>5037</v>
      </c>
      <c r="B2141" s="2" t="s">
        <v>5037</v>
      </c>
      <c r="C2141" s="2" t="s">
        <v>17</v>
      </c>
      <c r="D2141" s="2" t="s">
        <v>18</v>
      </c>
      <c r="E2141" s="5" t="s">
        <v>2278</v>
      </c>
      <c r="F2141" s="3" t="s">
        <v>2279</v>
      </c>
      <c r="G2141" s="3" t="s">
        <v>28</v>
      </c>
      <c r="H2141" s="2" t="s">
        <v>22</v>
      </c>
      <c r="I2141" s="2" t="s">
        <v>5083</v>
      </c>
      <c r="J2141" s="3" t="str">
        <f>HYPERLINK("https://www.boe.es/gazeta/dias/1834/12/17/pdfs/GMD-C-1834-306.pdf#page=5","Abrir facsímil")</f>
        <v>Abrir facsímil</v>
      </c>
      <c r="K2141" s="3" t="s">
        <v>24</v>
      </c>
    </row>
    <row r="2142" spans="1:11" ht="54" customHeight="1">
      <c r="A2142" s="2" t="s">
        <v>5037</v>
      </c>
      <c r="B2142" s="2" t="s">
        <v>5037</v>
      </c>
      <c r="C2142" s="2" t="s">
        <v>17</v>
      </c>
      <c r="D2142" s="2" t="s">
        <v>40</v>
      </c>
      <c r="E2142" s="5" t="s">
        <v>3036</v>
      </c>
      <c r="F2142" s="3" t="s">
        <v>3037</v>
      </c>
      <c r="G2142" s="3" t="s">
        <v>34</v>
      </c>
      <c r="H2142" s="2" t="s">
        <v>22</v>
      </c>
      <c r="I2142" s="2" t="s">
        <v>5084</v>
      </c>
      <c r="J2142" s="3" t="str">
        <f>HYPERLINK("https://www.boe.es/gazeta/dias/1834/11/18/pdfs/GMD-C-1834-277.pdf#page=1","Abrir facsímil")</f>
        <v>Abrir facsímil</v>
      </c>
      <c r="K2142" s="3" t="s">
        <v>24</v>
      </c>
    </row>
    <row r="2143" spans="1:11" ht="54" customHeight="1">
      <c r="A2143" s="2" t="s">
        <v>5037</v>
      </c>
      <c r="B2143" s="2" t="s">
        <v>5037</v>
      </c>
      <c r="C2143" s="2" t="s">
        <v>17</v>
      </c>
      <c r="D2143" s="2" t="s">
        <v>40</v>
      </c>
      <c r="E2143" s="5" t="s">
        <v>2287</v>
      </c>
      <c r="F2143" s="3" t="s">
        <v>2288</v>
      </c>
      <c r="G2143" s="3" t="s">
        <v>34</v>
      </c>
      <c r="H2143" s="2" t="s">
        <v>22</v>
      </c>
      <c r="I2143" s="2" t="s">
        <v>5085</v>
      </c>
      <c r="J2143" s="3" t="str">
        <f>HYPERLINK("https://www.boe.es/gazeta/dias/1834/12/18/pdfs/GMD-C-1834-308.pdf#page=1","Abrir facsímil")</f>
        <v>Abrir facsímil</v>
      </c>
      <c r="K2143" s="3" t="s">
        <v>24</v>
      </c>
    </row>
    <row r="2144" spans="1:11" ht="54" customHeight="1">
      <c r="A2144" s="2" t="s">
        <v>5037</v>
      </c>
      <c r="B2144" s="2" t="s">
        <v>5037</v>
      </c>
      <c r="C2144" s="2" t="s">
        <v>17</v>
      </c>
      <c r="D2144" s="2" t="s">
        <v>18</v>
      </c>
      <c r="E2144" s="5" t="s">
        <v>265</v>
      </c>
      <c r="F2144" s="3" t="s">
        <v>266</v>
      </c>
      <c r="G2144" s="3" t="s">
        <v>21</v>
      </c>
      <c r="H2144" s="2" t="s">
        <v>22</v>
      </c>
      <c r="I2144" s="2" t="s">
        <v>5086</v>
      </c>
      <c r="J2144" s="3" t="str">
        <f>HYPERLINK("https://www.boe.es/gazeta/dias/1834/11/19/pdfs/GMD-C-1834-278.pdf#page=3","Abrir facsímil")</f>
        <v>Abrir facsímil</v>
      </c>
      <c r="K2144" s="3" t="s">
        <v>24</v>
      </c>
    </row>
    <row r="2145" spans="1:11" ht="54" customHeight="1">
      <c r="A2145" s="2" t="s">
        <v>5037</v>
      </c>
      <c r="B2145" s="2" t="s">
        <v>5037</v>
      </c>
      <c r="C2145" s="2" t="s">
        <v>17</v>
      </c>
      <c r="D2145" s="2" t="s">
        <v>18</v>
      </c>
      <c r="E2145" s="5" t="s">
        <v>265</v>
      </c>
      <c r="F2145" s="3" t="s">
        <v>266</v>
      </c>
      <c r="G2145" s="3" t="s">
        <v>75</v>
      </c>
      <c r="H2145" s="2" t="s">
        <v>22</v>
      </c>
      <c r="I2145" s="2" t="s">
        <v>5087</v>
      </c>
      <c r="J2145" s="3" t="str">
        <f>HYPERLINK("https://www.boe.es/gazeta/dias/1834/11/19/pdfs/GMD-C-1834-278.pdf#page=4","Abrir facsímil")</f>
        <v>Abrir facsímil</v>
      </c>
      <c r="K2145" s="3" t="s">
        <v>24</v>
      </c>
    </row>
    <row r="2146" spans="1:11" ht="54" customHeight="1">
      <c r="A2146" s="2" t="s">
        <v>5037</v>
      </c>
      <c r="B2146" s="2" t="s">
        <v>5037</v>
      </c>
      <c r="C2146" s="2" t="s">
        <v>17</v>
      </c>
      <c r="D2146" s="2" t="s">
        <v>18</v>
      </c>
      <c r="E2146" s="5" t="s">
        <v>268</v>
      </c>
      <c r="F2146" s="3" t="s">
        <v>269</v>
      </c>
      <c r="G2146" s="3" t="s">
        <v>21</v>
      </c>
      <c r="H2146" s="2" t="s">
        <v>22</v>
      </c>
      <c r="I2146" s="2" t="s">
        <v>5088</v>
      </c>
      <c r="J2146" s="3" t="str">
        <f>HYPERLINK("https://www.boe.es/gazeta/dias/1834/12/19/pdfs/GMD-C-1834-309.pdf#page=3","Abrir facsímil")</f>
        <v>Abrir facsímil</v>
      </c>
      <c r="K2146" s="3" t="s">
        <v>24</v>
      </c>
    </row>
    <row r="2147" spans="1:11" ht="54" customHeight="1">
      <c r="A2147" s="2" t="s">
        <v>5037</v>
      </c>
      <c r="B2147" s="2" t="s">
        <v>5037</v>
      </c>
      <c r="C2147" s="2" t="s">
        <v>90</v>
      </c>
      <c r="D2147" s="2" t="s">
        <v>18</v>
      </c>
      <c r="E2147" s="5" t="s">
        <v>117</v>
      </c>
      <c r="F2147" s="3" t="s">
        <v>118</v>
      </c>
      <c r="G2147" s="3" t="s">
        <v>75</v>
      </c>
      <c r="H2147" s="2" t="s">
        <v>22</v>
      </c>
      <c r="I2147" s="2" t="s">
        <v>5089</v>
      </c>
      <c r="J2147" s="3" t="str">
        <f>HYPERLINK("https://www.boe.es/gazeta/dias/1834/07/21/pdfs/GMD-1834-154.pdf#page=4","Abrir facsímil")</f>
        <v>Abrir facsímil</v>
      </c>
      <c r="K2147" s="3" t="s">
        <v>24</v>
      </c>
    </row>
    <row r="2148" spans="1:11" ht="54" customHeight="1">
      <c r="A2148" s="2" t="s">
        <v>5037</v>
      </c>
      <c r="B2148" s="2" t="s">
        <v>5037</v>
      </c>
      <c r="C2148" s="2" t="s">
        <v>46</v>
      </c>
      <c r="D2148" s="2" t="s">
        <v>101</v>
      </c>
      <c r="E2148" s="5" t="s">
        <v>981</v>
      </c>
      <c r="F2148" s="3" t="s">
        <v>3406</v>
      </c>
      <c r="G2148" s="3" t="s">
        <v>176</v>
      </c>
      <c r="H2148" s="2" t="s">
        <v>22</v>
      </c>
      <c r="I2148" s="2" t="s">
        <v>5090</v>
      </c>
      <c r="J2148" s="3" t="str">
        <f>HYPERLINK("https://www.boe.es/gazeta/dias/1834/09/21/pdfs/GMD-C-1834-219.pdf#page=6","Abrir facsímil")</f>
        <v>Abrir facsímil</v>
      </c>
      <c r="K2148" s="3" t="s">
        <v>24</v>
      </c>
    </row>
    <row r="2149" spans="1:11" ht="54" customHeight="1">
      <c r="A2149" s="2" t="s">
        <v>5037</v>
      </c>
      <c r="B2149" s="2" t="s">
        <v>5037</v>
      </c>
      <c r="C2149" s="2" t="s">
        <v>17</v>
      </c>
      <c r="D2149" s="2" t="s">
        <v>18</v>
      </c>
      <c r="E2149" s="5" t="s">
        <v>981</v>
      </c>
      <c r="F2149" s="3" t="s">
        <v>3406</v>
      </c>
      <c r="G2149" s="3" t="s">
        <v>560</v>
      </c>
      <c r="H2149" s="2" t="s">
        <v>22</v>
      </c>
      <c r="I2149" s="2" t="s">
        <v>5091</v>
      </c>
      <c r="J2149" s="3" t="str">
        <f>HYPERLINK("https://www.boe.es/gazeta/dias/1834/09/21/pdfs/GMD-C-1834-219.pdf#page=7","Abrir facsímil")</f>
        <v>Abrir facsímil</v>
      </c>
      <c r="K2149" s="3" t="s">
        <v>24</v>
      </c>
    </row>
    <row r="2150" spans="1:11" ht="54" customHeight="1">
      <c r="A2150" s="2" t="s">
        <v>5037</v>
      </c>
      <c r="B2150" s="2" t="s">
        <v>5037</v>
      </c>
      <c r="C2150" s="2" t="s">
        <v>90</v>
      </c>
      <c r="D2150" s="2" t="s">
        <v>101</v>
      </c>
      <c r="E2150" s="5" t="s">
        <v>647</v>
      </c>
      <c r="F2150" s="3" t="s">
        <v>648</v>
      </c>
      <c r="G2150" s="3" t="s">
        <v>86</v>
      </c>
      <c r="H2150" s="2" t="s">
        <v>22</v>
      </c>
      <c r="I2150" s="2" t="s">
        <v>5092</v>
      </c>
      <c r="J2150" s="3" t="str">
        <f>HYPERLINK("https://www.boe.es/gazeta/dias/1834/10/21/pdfs/GMD-C-1834-249.pdf#page=2","Abrir facsímil")</f>
        <v>Abrir facsímil</v>
      </c>
      <c r="K2150" s="3" t="s">
        <v>24</v>
      </c>
    </row>
    <row r="2151" spans="1:11" ht="54" customHeight="1">
      <c r="A2151" s="2" t="s">
        <v>5037</v>
      </c>
      <c r="B2151" s="2" t="s">
        <v>5037</v>
      </c>
      <c r="C2151" s="2" t="s">
        <v>17</v>
      </c>
      <c r="D2151" s="2" t="s">
        <v>18</v>
      </c>
      <c r="E2151" s="5" t="s">
        <v>647</v>
      </c>
      <c r="F2151" s="3" t="s">
        <v>648</v>
      </c>
      <c r="G2151" s="3" t="s">
        <v>75</v>
      </c>
      <c r="H2151" s="2" t="s">
        <v>22</v>
      </c>
      <c r="I2151" s="2" t="s">
        <v>5093</v>
      </c>
      <c r="J2151" s="3" t="str">
        <f>HYPERLINK("https://www.boe.es/gazeta/dias/1834/10/21/pdfs/GMD-C-1834-249.pdf#page=4","Abrir facsímil")</f>
        <v>Abrir facsímil</v>
      </c>
      <c r="K2151" s="3" t="s">
        <v>24</v>
      </c>
    </row>
    <row r="2152" spans="1:11" ht="54" customHeight="1">
      <c r="A2152" s="2" t="s">
        <v>5037</v>
      </c>
      <c r="B2152" s="2" t="s">
        <v>5037</v>
      </c>
      <c r="C2152" s="2" t="s">
        <v>17</v>
      </c>
      <c r="D2152" s="2" t="s">
        <v>18</v>
      </c>
      <c r="E2152" s="5" t="s">
        <v>610</v>
      </c>
      <c r="F2152" s="3" t="s">
        <v>611</v>
      </c>
      <c r="G2152" s="3" t="s">
        <v>21</v>
      </c>
      <c r="H2152" s="2" t="s">
        <v>22</v>
      </c>
      <c r="I2152" s="2" t="s">
        <v>5094</v>
      </c>
      <c r="J2152" s="3" t="str">
        <f>HYPERLINK("https://www.boe.es/gazeta/dias/1834/12/21/pdfs/GMD-C-1834-311.pdf#page=3","Abrir facsímil")</f>
        <v>Abrir facsímil</v>
      </c>
      <c r="K2152" s="3" t="s">
        <v>24</v>
      </c>
    </row>
    <row r="2153" spans="1:11" ht="54" customHeight="1">
      <c r="A2153" s="2" t="s">
        <v>5037</v>
      </c>
      <c r="B2153" s="2" t="s">
        <v>5037</v>
      </c>
      <c r="C2153" s="2" t="s">
        <v>17</v>
      </c>
      <c r="D2153" s="2" t="s">
        <v>18</v>
      </c>
      <c r="E2153" s="5" t="s">
        <v>627</v>
      </c>
      <c r="F2153" s="3" t="s">
        <v>628</v>
      </c>
      <c r="G2153" s="3" t="s">
        <v>86</v>
      </c>
      <c r="H2153" s="2" t="s">
        <v>22</v>
      </c>
      <c r="I2153" s="2" t="s">
        <v>5095</v>
      </c>
      <c r="J2153" s="3" t="str">
        <f>HYPERLINK("https://www.boe.es/gazeta/dias/1834/09/22/pdfs/GMD-C-1834-220.pdf#page=2","Abrir facsímil")</f>
        <v>Abrir facsímil</v>
      </c>
      <c r="K2153" s="3" t="s">
        <v>24</v>
      </c>
    </row>
    <row r="2154" spans="1:11" ht="54" customHeight="1">
      <c r="A2154" s="2" t="s">
        <v>5037</v>
      </c>
      <c r="B2154" s="2" t="s">
        <v>5037</v>
      </c>
      <c r="C2154" s="2" t="s">
        <v>46</v>
      </c>
      <c r="D2154" s="2" t="s">
        <v>18</v>
      </c>
      <c r="E2154" s="5" t="s">
        <v>627</v>
      </c>
      <c r="F2154" s="3" t="s">
        <v>628</v>
      </c>
      <c r="G2154" s="3" t="s">
        <v>560</v>
      </c>
      <c r="H2154" s="2" t="s">
        <v>22</v>
      </c>
      <c r="I2154" s="2" t="s">
        <v>5096</v>
      </c>
      <c r="J2154" s="3" t="str">
        <f>HYPERLINK("https://www.boe.es/gazeta/dias/1834/09/22/pdfs/GMD-C-1834-220.pdf#page=7","Abrir facsímil")</f>
        <v>Abrir facsímil</v>
      </c>
      <c r="K2154" s="3" t="s">
        <v>24</v>
      </c>
    </row>
    <row r="2155" spans="1:11" ht="54" customHeight="1">
      <c r="A2155" s="2" t="s">
        <v>5037</v>
      </c>
      <c r="B2155" s="2" t="s">
        <v>5037</v>
      </c>
      <c r="C2155" s="2" t="s">
        <v>17</v>
      </c>
      <c r="D2155" s="2" t="s">
        <v>18</v>
      </c>
      <c r="E2155" s="5" t="s">
        <v>667</v>
      </c>
      <c r="F2155" s="3" t="s">
        <v>668</v>
      </c>
      <c r="G2155" s="3" t="s">
        <v>86</v>
      </c>
      <c r="H2155" s="2" t="s">
        <v>22</v>
      </c>
      <c r="I2155" s="2" t="s">
        <v>5097</v>
      </c>
      <c r="J2155" s="3" t="str">
        <f>HYPERLINK("https://www.boe.es/gazeta/dias/1834/11/23/pdfs/GMD-C-1834-282.pdf#page=2","Abrir facsímil")</f>
        <v>Abrir facsímil</v>
      </c>
      <c r="K2155" s="3" t="s">
        <v>24</v>
      </c>
    </row>
    <row r="2156" spans="1:11" ht="54" customHeight="1">
      <c r="A2156" s="2" t="s">
        <v>5037</v>
      </c>
      <c r="B2156" s="2" t="s">
        <v>5037</v>
      </c>
      <c r="C2156" s="2" t="s">
        <v>46</v>
      </c>
      <c r="D2156" s="2" t="s">
        <v>18</v>
      </c>
      <c r="E2156" s="5" t="s">
        <v>394</v>
      </c>
      <c r="F2156" s="3" t="s">
        <v>459</v>
      </c>
      <c r="G2156" s="3" t="s">
        <v>86</v>
      </c>
      <c r="H2156" s="2" t="s">
        <v>22</v>
      </c>
      <c r="I2156" s="2" t="s">
        <v>5098</v>
      </c>
      <c r="J2156" s="3" t="str">
        <f>HYPERLINK("https://www.boe.es/gazeta/dias/1834/12/23/pdfs/GMD-C-1834-313.pdf#page=2","Abrir facsímil")</f>
        <v>Abrir facsímil</v>
      </c>
      <c r="K2156" s="3" t="s">
        <v>24</v>
      </c>
    </row>
    <row r="2157" spans="1:11" ht="54" customHeight="1">
      <c r="A2157" s="2" t="s">
        <v>5037</v>
      </c>
      <c r="B2157" s="2" t="s">
        <v>5037</v>
      </c>
      <c r="C2157" s="2" t="s">
        <v>66</v>
      </c>
      <c r="D2157" s="2" t="s">
        <v>67</v>
      </c>
      <c r="E2157" s="5" t="s">
        <v>394</v>
      </c>
      <c r="F2157" s="3" t="s">
        <v>459</v>
      </c>
      <c r="G2157" s="3" t="s">
        <v>75</v>
      </c>
      <c r="H2157" s="2" t="s">
        <v>22</v>
      </c>
      <c r="I2157" s="2" t="s">
        <v>5099</v>
      </c>
      <c r="J2157" s="3" t="str">
        <f>HYPERLINK("https://www.boe.es/gazeta/dias/1834/12/23/pdfs/GMD-C-1834-313.pdf#page=4","Abrir facsímil")</f>
        <v>Abrir facsímil</v>
      </c>
      <c r="K2157" s="3" t="s">
        <v>24</v>
      </c>
    </row>
    <row r="2158" spans="1:11" ht="54" customHeight="1">
      <c r="A2158" s="2" t="s">
        <v>5037</v>
      </c>
      <c r="B2158" s="2" t="s">
        <v>5037</v>
      </c>
      <c r="C2158" s="2" t="s">
        <v>17</v>
      </c>
      <c r="D2158" s="2" t="s">
        <v>18</v>
      </c>
      <c r="E2158" s="5" t="s">
        <v>394</v>
      </c>
      <c r="F2158" s="3" t="s">
        <v>459</v>
      </c>
      <c r="G2158" s="3" t="s">
        <v>28</v>
      </c>
      <c r="H2158" s="2" t="s">
        <v>22</v>
      </c>
      <c r="I2158" s="2" t="s">
        <v>5100</v>
      </c>
      <c r="J2158" s="3" t="str">
        <f>HYPERLINK("https://www.boe.es/gazeta/dias/1834/12/23/pdfs/GMD-C-1834-313.pdf#page=5","Abrir facsímil")</f>
        <v>Abrir facsímil</v>
      </c>
      <c r="K2158" s="3" t="s">
        <v>24</v>
      </c>
    </row>
    <row r="2159" spans="1:11" ht="54" customHeight="1">
      <c r="A2159" s="2" t="s">
        <v>5037</v>
      </c>
      <c r="B2159" s="2" t="s">
        <v>5037</v>
      </c>
      <c r="C2159" s="2" t="s">
        <v>17</v>
      </c>
      <c r="D2159" s="2" t="s">
        <v>18</v>
      </c>
      <c r="E2159" s="5" t="s">
        <v>378</v>
      </c>
      <c r="F2159" s="3" t="s">
        <v>888</v>
      </c>
      <c r="G2159" s="3" t="s">
        <v>75</v>
      </c>
      <c r="H2159" s="2" t="s">
        <v>22</v>
      </c>
      <c r="I2159" s="2" t="s">
        <v>5101</v>
      </c>
      <c r="J2159" s="3" t="str">
        <f>HYPERLINK("https://www.boe.es/gazeta/dias/1834/09/24/pdfs/GMD-C-1834-222.pdf#page=4","Abrir facsímil")</f>
        <v>Abrir facsímil</v>
      </c>
      <c r="K2159" s="3" t="s">
        <v>24</v>
      </c>
    </row>
    <row r="2160" spans="1:11" ht="54" customHeight="1">
      <c r="A2160" s="2" t="s">
        <v>5037</v>
      </c>
      <c r="B2160" s="2" t="s">
        <v>5037</v>
      </c>
      <c r="C2160" s="2" t="s">
        <v>17</v>
      </c>
      <c r="D2160" s="2" t="s">
        <v>40</v>
      </c>
      <c r="E2160" s="5" t="s">
        <v>128</v>
      </c>
      <c r="F2160" s="3" t="s">
        <v>129</v>
      </c>
      <c r="G2160" s="3" t="s">
        <v>21</v>
      </c>
      <c r="H2160" s="2" t="s">
        <v>22</v>
      </c>
      <c r="I2160" s="2" t="s">
        <v>5102</v>
      </c>
      <c r="J2160" s="3" t="str">
        <f>HYPERLINK("https://www.boe.es/gazeta/dias/1834/12/24/pdfs/GMD-C-1834-314.pdf#page=3","Abrir facsímil")</f>
        <v>Abrir facsímil</v>
      </c>
      <c r="K2160" s="3" t="s">
        <v>24</v>
      </c>
    </row>
    <row r="2161" spans="1:11" ht="54" customHeight="1">
      <c r="A2161" s="2" t="s">
        <v>5037</v>
      </c>
      <c r="B2161" s="2" t="s">
        <v>5037</v>
      </c>
      <c r="C2161" s="2" t="s">
        <v>17</v>
      </c>
      <c r="D2161" s="2" t="s">
        <v>18</v>
      </c>
      <c r="E2161" s="5" t="s">
        <v>403</v>
      </c>
      <c r="F2161" s="3" t="s">
        <v>404</v>
      </c>
      <c r="G2161" s="3" t="s">
        <v>34</v>
      </c>
      <c r="H2161" s="2" t="s">
        <v>22</v>
      </c>
      <c r="I2161" s="2" t="s">
        <v>5103</v>
      </c>
      <c r="J2161" s="3" t="str">
        <f>HYPERLINK("https://www.boe.es/gazeta/dias/1834/09/25/pdfs/GMD-C-1834-223.pdf#page=1","Abrir facsímil")</f>
        <v>Abrir facsímil</v>
      </c>
      <c r="K2161" s="3" t="s">
        <v>24</v>
      </c>
    </row>
    <row r="2162" spans="1:11" ht="54" customHeight="1">
      <c r="A2162" s="2" t="s">
        <v>5037</v>
      </c>
      <c r="B2162" s="2" t="s">
        <v>5037</v>
      </c>
      <c r="C2162" s="2" t="s">
        <v>17</v>
      </c>
      <c r="D2162" s="2" t="s">
        <v>18</v>
      </c>
      <c r="E2162" s="5" t="s">
        <v>524</v>
      </c>
      <c r="F2162" s="3" t="s">
        <v>525</v>
      </c>
      <c r="G2162" s="3" t="s">
        <v>34</v>
      </c>
      <c r="H2162" s="2" t="s">
        <v>22</v>
      </c>
      <c r="I2162" s="2" t="s">
        <v>5104</v>
      </c>
      <c r="J2162" s="3" t="str">
        <f>HYPERLINK("https://www.boe.es/gazeta/dias/1834/12/25/pdfs/GMD-C-1834-315.pdf#page=1","Abrir facsímil")</f>
        <v>Abrir facsímil</v>
      </c>
      <c r="K2162" s="3" t="s">
        <v>24</v>
      </c>
    </row>
    <row r="2163" spans="1:11" ht="54" customHeight="1">
      <c r="A2163" s="2" t="s">
        <v>5037</v>
      </c>
      <c r="B2163" s="2" t="s">
        <v>5037</v>
      </c>
      <c r="C2163" s="2" t="s">
        <v>17</v>
      </c>
      <c r="D2163" s="2" t="s">
        <v>18</v>
      </c>
      <c r="E2163" s="5" t="s">
        <v>1677</v>
      </c>
      <c r="F2163" s="3" t="s">
        <v>2515</v>
      </c>
      <c r="G2163" s="3" t="s">
        <v>34</v>
      </c>
      <c r="H2163" s="2" t="s">
        <v>22</v>
      </c>
      <c r="I2163" s="2" t="s">
        <v>5105</v>
      </c>
      <c r="J2163" s="3" t="str">
        <f>HYPERLINK("https://www.boe.es/gazeta/dias/1834/07/26/pdfs/GMD-C-1834-159.pdf#page=1","Abrir facsímil")</f>
        <v>Abrir facsímil</v>
      </c>
      <c r="K2163" s="3" t="s">
        <v>24</v>
      </c>
    </row>
    <row r="2164" spans="1:11" ht="54" customHeight="1">
      <c r="A2164" s="2" t="s">
        <v>5037</v>
      </c>
      <c r="B2164" s="2" t="s">
        <v>5037</v>
      </c>
      <c r="C2164" s="2" t="s">
        <v>46</v>
      </c>
      <c r="D2164" s="2" t="s">
        <v>101</v>
      </c>
      <c r="E2164" s="5" t="s">
        <v>251</v>
      </c>
      <c r="F2164" s="3" t="s">
        <v>252</v>
      </c>
      <c r="G2164" s="3" t="s">
        <v>86</v>
      </c>
      <c r="H2164" s="2" t="s">
        <v>22</v>
      </c>
      <c r="I2164" s="2" t="s">
        <v>5106</v>
      </c>
      <c r="J2164" s="3" t="str">
        <f>HYPERLINK("https://www.boe.es/gazeta/dias/1834/09/26/pdfs/GMD-C-1834-224.pdf#page=2","Abrir facsímil")</f>
        <v>Abrir facsímil</v>
      </c>
      <c r="K2164" s="3" t="s">
        <v>24</v>
      </c>
    </row>
    <row r="2165" spans="1:11" ht="54" customHeight="1">
      <c r="A2165" s="2" t="s">
        <v>5037</v>
      </c>
      <c r="B2165" s="2" t="s">
        <v>5037</v>
      </c>
      <c r="C2165" s="2" t="s">
        <v>17</v>
      </c>
      <c r="D2165" s="2" t="s">
        <v>18</v>
      </c>
      <c r="E2165" s="5" t="s">
        <v>1686</v>
      </c>
      <c r="F2165" s="3" t="s">
        <v>2311</v>
      </c>
      <c r="G2165" s="3" t="s">
        <v>34</v>
      </c>
      <c r="H2165" s="2" t="s">
        <v>22</v>
      </c>
      <c r="I2165" s="2" t="s">
        <v>5107</v>
      </c>
      <c r="J2165" s="3" t="str">
        <f>HYPERLINK("https://www.boe.es/gazeta/dias/1834/07/27/pdfs/GMD-C-1834-160.pdf#page=1","Abrir facsímil")</f>
        <v>Abrir facsímil</v>
      </c>
      <c r="K2165" s="3" t="s">
        <v>24</v>
      </c>
    </row>
    <row r="2166" spans="1:11" ht="54" customHeight="1">
      <c r="A2166" s="2" t="s">
        <v>5037</v>
      </c>
      <c r="B2166" s="2" t="s">
        <v>5037</v>
      </c>
      <c r="C2166" s="2" t="s">
        <v>17</v>
      </c>
      <c r="D2166" s="2" t="s">
        <v>18</v>
      </c>
      <c r="E2166" s="5" t="s">
        <v>462</v>
      </c>
      <c r="F2166" s="3" t="s">
        <v>463</v>
      </c>
      <c r="G2166" s="3" t="s">
        <v>34</v>
      </c>
      <c r="H2166" s="2" t="s">
        <v>22</v>
      </c>
      <c r="I2166" s="2" t="s">
        <v>5108</v>
      </c>
      <c r="J2166" s="3" t="str">
        <f>HYPERLINK("https://www.boe.es/gazeta/dias/1834/08/27/pdfs/GMD-C-1834-193.pdf#page=1","Abrir facsímil")</f>
        <v>Abrir facsímil</v>
      </c>
      <c r="K2166" s="3" t="s">
        <v>24</v>
      </c>
    </row>
    <row r="2167" spans="1:11" ht="54" customHeight="1">
      <c r="A2167" s="2" t="s">
        <v>5037</v>
      </c>
      <c r="B2167" s="2" t="s">
        <v>5037</v>
      </c>
      <c r="C2167" s="2" t="s">
        <v>17</v>
      </c>
      <c r="D2167" s="2" t="s">
        <v>18</v>
      </c>
      <c r="E2167" s="5" t="s">
        <v>294</v>
      </c>
      <c r="F2167" s="3" t="s">
        <v>959</v>
      </c>
      <c r="G2167" s="3" t="s">
        <v>86</v>
      </c>
      <c r="H2167" s="2" t="s">
        <v>22</v>
      </c>
      <c r="I2167" s="2" t="s">
        <v>5109</v>
      </c>
      <c r="J2167" s="3" t="str">
        <f>HYPERLINK("https://www.boe.es/gazeta/dias/1834/09/27/pdfs/GMD-C-1834-225.pdf#page=2","Abrir facsímil")</f>
        <v>Abrir facsímil</v>
      </c>
      <c r="K2167" s="3" t="s">
        <v>24</v>
      </c>
    </row>
    <row r="2168" spans="1:11" ht="54" customHeight="1">
      <c r="A2168" s="2" t="s">
        <v>5037</v>
      </c>
      <c r="B2168" s="2" t="s">
        <v>5037</v>
      </c>
      <c r="C2168" s="2" t="s">
        <v>17</v>
      </c>
      <c r="D2168" s="2" t="s">
        <v>18</v>
      </c>
      <c r="E2168" s="5" t="s">
        <v>294</v>
      </c>
      <c r="F2168" s="3" t="s">
        <v>959</v>
      </c>
      <c r="G2168" s="3" t="s">
        <v>75</v>
      </c>
      <c r="H2168" s="2" t="s">
        <v>22</v>
      </c>
      <c r="I2168" s="2" t="s">
        <v>5110</v>
      </c>
      <c r="J2168" s="3" t="str">
        <f>HYPERLINK("https://www.boe.es/gazeta/dias/1834/09/27/pdfs/GMD-C-1834-225.pdf#page=4","Abrir facsímil")</f>
        <v>Abrir facsímil</v>
      </c>
      <c r="K2168" s="3" t="s">
        <v>24</v>
      </c>
    </row>
    <row r="2169" spans="1:11" ht="54" customHeight="1">
      <c r="A2169" s="2" t="s">
        <v>5037</v>
      </c>
      <c r="B2169" s="2" t="s">
        <v>5037</v>
      </c>
      <c r="C2169" s="2" t="s">
        <v>17</v>
      </c>
      <c r="D2169" s="2" t="s">
        <v>18</v>
      </c>
      <c r="E2169" s="5" t="s">
        <v>1641</v>
      </c>
      <c r="F2169" s="3" t="s">
        <v>1642</v>
      </c>
      <c r="G2169" s="3" t="s">
        <v>75</v>
      </c>
      <c r="H2169" s="2" t="s">
        <v>22</v>
      </c>
      <c r="I2169" s="2" t="s">
        <v>5111</v>
      </c>
      <c r="J2169" s="3" t="str">
        <f>HYPERLINK("https://www.boe.es/gazeta/dias/1834/09/28/pdfs/GMD-C-1834-226.pdf#page=4","Abrir facsímil")</f>
        <v>Abrir facsímil</v>
      </c>
      <c r="K2169" s="3" t="s">
        <v>24</v>
      </c>
    </row>
    <row r="2170" spans="1:11" ht="54" customHeight="1">
      <c r="A2170" s="2" t="s">
        <v>5037</v>
      </c>
      <c r="B2170" s="2" t="s">
        <v>5037</v>
      </c>
      <c r="C2170" s="2" t="s">
        <v>17</v>
      </c>
      <c r="D2170" s="2" t="s">
        <v>18</v>
      </c>
      <c r="E2170" s="5" t="s">
        <v>280</v>
      </c>
      <c r="F2170" s="3" t="s">
        <v>281</v>
      </c>
      <c r="G2170" s="3" t="s">
        <v>560</v>
      </c>
      <c r="H2170" s="2" t="s">
        <v>22</v>
      </c>
      <c r="I2170" s="2" t="s">
        <v>5112</v>
      </c>
      <c r="J2170" s="3" t="str">
        <f>HYPERLINK("https://www.boe.es/gazeta/dias/1834/08/29/pdfs/GMD-C-1834-195.pdf#page=7","Abrir facsímil")</f>
        <v>Abrir facsímil</v>
      </c>
      <c r="K2170" s="3" t="s">
        <v>24</v>
      </c>
    </row>
    <row r="2171" spans="1:11" ht="54" customHeight="1">
      <c r="A2171" s="2" t="s">
        <v>5037</v>
      </c>
      <c r="B2171" s="2" t="s">
        <v>5037</v>
      </c>
      <c r="C2171" s="2" t="s">
        <v>17</v>
      </c>
      <c r="D2171" s="2" t="s">
        <v>18</v>
      </c>
      <c r="E2171" s="5" t="s">
        <v>777</v>
      </c>
      <c r="F2171" s="3" t="s">
        <v>2535</v>
      </c>
      <c r="G2171" s="3" t="s">
        <v>86</v>
      </c>
      <c r="H2171" s="2" t="s">
        <v>22</v>
      </c>
      <c r="I2171" s="2" t="s">
        <v>5113</v>
      </c>
      <c r="J2171" s="3" t="str">
        <f>HYPERLINK("https://www.boe.es/gazeta/dias/1834/10/29/pdfs/GMD-C-1834-257.pdf#page=2","Abrir facsímil")</f>
        <v>Abrir facsímil</v>
      </c>
      <c r="K2171" s="3" t="s">
        <v>24</v>
      </c>
    </row>
    <row r="2172" spans="1:11" ht="54" customHeight="1">
      <c r="A2172" s="2" t="s">
        <v>5037</v>
      </c>
      <c r="B2172" s="2" t="s">
        <v>5037</v>
      </c>
      <c r="C2172" s="2" t="s">
        <v>17</v>
      </c>
      <c r="D2172" s="2" t="s">
        <v>18</v>
      </c>
      <c r="E2172" s="5" t="s">
        <v>192</v>
      </c>
      <c r="F2172" s="3" t="s">
        <v>2713</v>
      </c>
      <c r="G2172" s="3" t="s">
        <v>21</v>
      </c>
      <c r="H2172" s="2" t="s">
        <v>22</v>
      </c>
      <c r="I2172" s="2" t="s">
        <v>5114</v>
      </c>
      <c r="J2172" s="3" t="str">
        <f>HYPERLINK("https://www.boe.es/gazeta/dias/1834/12/31/pdfs/GMD-C-1834-321.pdf#page=3","Abrir facsímil")</f>
        <v>Abrir facsímil</v>
      </c>
      <c r="K2172" s="3" t="s">
        <v>24</v>
      </c>
    </row>
    <row r="2173" spans="1:11" ht="54" customHeight="1">
      <c r="A2173" s="2" t="s">
        <v>5115</v>
      </c>
      <c r="B2173" s="2" t="s">
        <v>5115</v>
      </c>
      <c r="C2173" s="2" t="s">
        <v>17</v>
      </c>
      <c r="D2173" s="2" t="s">
        <v>18</v>
      </c>
      <c r="E2173" s="5" t="s">
        <v>426</v>
      </c>
      <c r="F2173" s="3" t="s">
        <v>694</v>
      </c>
      <c r="G2173" s="3" t="s">
        <v>176</v>
      </c>
      <c r="H2173" s="2" t="s">
        <v>22</v>
      </c>
      <c r="I2173" s="2" t="s">
        <v>5116</v>
      </c>
      <c r="J2173" s="3" t="str">
        <f>HYPERLINK("https://www.boe.es/gazeta/dias/1834/10/04/pdfs/GMD-C-1834-232.pdf#page=6","Abrir facsímil")</f>
        <v>Abrir facsímil</v>
      </c>
      <c r="K2173" s="3" t="s">
        <v>24</v>
      </c>
    </row>
    <row r="2174" spans="1:11" ht="54" customHeight="1">
      <c r="A2174" s="2" t="s">
        <v>5115</v>
      </c>
      <c r="B2174" s="2" t="s">
        <v>5115</v>
      </c>
      <c r="C2174" s="2" t="s">
        <v>17</v>
      </c>
      <c r="D2174" s="2" t="s">
        <v>18</v>
      </c>
      <c r="E2174" s="5" t="s">
        <v>1340</v>
      </c>
      <c r="F2174" s="3" t="s">
        <v>1341</v>
      </c>
      <c r="G2174" s="3" t="s">
        <v>176</v>
      </c>
      <c r="H2174" s="2" t="s">
        <v>22</v>
      </c>
      <c r="I2174" s="2" t="s">
        <v>5117</v>
      </c>
      <c r="J2174" s="3" t="str">
        <f>HYPERLINK("https://www.boe.es/gazeta/dias/1834/10/05/pdfs/GMD-C-1834-233.pdf#page=6","Abrir facsímil")</f>
        <v>Abrir facsímil</v>
      </c>
      <c r="K2174" s="3" t="s">
        <v>24</v>
      </c>
    </row>
    <row r="2175" spans="1:11" ht="54" customHeight="1">
      <c r="A2175" s="2" t="s">
        <v>5118</v>
      </c>
      <c r="B2175" s="2" t="s">
        <v>5119</v>
      </c>
      <c r="C2175" s="2" t="s">
        <v>122</v>
      </c>
      <c r="D2175" s="2" t="s">
        <v>18</v>
      </c>
      <c r="E2175" s="5" t="s">
        <v>647</v>
      </c>
      <c r="F2175" s="3" t="s">
        <v>2176</v>
      </c>
      <c r="G2175" s="3" t="s">
        <v>34</v>
      </c>
      <c r="H2175" s="2" t="s">
        <v>22</v>
      </c>
      <c r="I2175" s="2" t="s">
        <v>5120</v>
      </c>
      <c r="J2175" s="3" t="str">
        <f>HYPERLINK("https://www.boe.es/gazeta/dias/1834/10/21/pdfs/GMD-1834-249.pdf#page=1","Abrir facsímil")</f>
        <v>Abrir facsímil</v>
      </c>
      <c r="K2175" s="3" t="s">
        <v>24</v>
      </c>
    </row>
    <row r="2176" spans="1:11" ht="54" customHeight="1">
      <c r="A2176" s="2" t="s">
        <v>5121</v>
      </c>
      <c r="B2176" s="2" t="s">
        <v>5122</v>
      </c>
      <c r="C2176" s="2" t="s">
        <v>46</v>
      </c>
      <c r="D2176" s="2" t="s">
        <v>101</v>
      </c>
      <c r="E2176" s="5" t="s">
        <v>615</v>
      </c>
      <c r="F2176" s="3" t="s">
        <v>616</v>
      </c>
      <c r="G2176" s="3" t="s">
        <v>86</v>
      </c>
      <c r="H2176" s="2" t="s">
        <v>22</v>
      </c>
      <c r="I2176" s="2" t="s">
        <v>5123</v>
      </c>
      <c r="J2176" s="3" t="str">
        <f>HYPERLINK("https://www.boe.es/gazeta/dias/1834/08/19/pdfs/GMD-1834-185.pdf#page=2","Abrir facsímil")</f>
        <v>Abrir facsímil</v>
      </c>
      <c r="K2176" s="3" t="s">
        <v>24</v>
      </c>
    </row>
    <row r="2177" spans="1:11" ht="54" customHeight="1">
      <c r="A2177" s="2" t="s">
        <v>5124</v>
      </c>
      <c r="B2177" s="2" t="s">
        <v>5125</v>
      </c>
      <c r="C2177" s="2" t="s">
        <v>17</v>
      </c>
      <c r="D2177" s="2" t="s">
        <v>101</v>
      </c>
      <c r="E2177" s="5" t="s">
        <v>479</v>
      </c>
      <c r="F2177" s="3" t="s">
        <v>2258</v>
      </c>
      <c r="G2177" s="3" t="s">
        <v>86</v>
      </c>
      <c r="H2177" s="2" t="s">
        <v>22</v>
      </c>
      <c r="I2177" s="2" t="s">
        <v>5126</v>
      </c>
      <c r="J2177" s="3" t="str">
        <f>HYPERLINK("https://www.boe.es/gazeta/dias/1834/08/13/pdfs/GMD-C-1834-178.pdf#page=2","Abrir facsímil")</f>
        <v>Abrir facsímil</v>
      </c>
      <c r="K2177" s="3" t="s">
        <v>24</v>
      </c>
    </row>
    <row r="2178" spans="1:11" ht="54" customHeight="1">
      <c r="A2178" s="2" t="s">
        <v>5127</v>
      </c>
      <c r="B2178" s="2" t="s">
        <v>5128</v>
      </c>
      <c r="C2178" s="2" t="s">
        <v>17</v>
      </c>
      <c r="D2178" s="2" t="s">
        <v>55</v>
      </c>
      <c r="E2178" s="5" t="s">
        <v>209</v>
      </c>
      <c r="F2178" s="3" t="s">
        <v>210</v>
      </c>
      <c r="G2178" s="3" t="s">
        <v>21</v>
      </c>
      <c r="H2178" s="2" t="s">
        <v>35</v>
      </c>
      <c r="I2178" s="2" t="s">
        <v>5129</v>
      </c>
      <c r="J2178" s="3" t="str">
        <f>HYPERLINK("https://www.boe.es/gazeta/dias/1834/07/01/pdfs/GMD-1834-134.pdf#page=3","Abrir facsímil")</f>
        <v>Abrir facsímil</v>
      </c>
      <c r="K2178" s="3" t="s">
        <v>37</v>
      </c>
    </row>
    <row r="2179" spans="1:11" ht="54" customHeight="1">
      <c r="A2179" s="2" t="s">
        <v>5127</v>
      </c>
      <c r="B2179" s="2" t="s">
        <v>5128</v>
      </c>
      <c r="C2179" s="2" t="s">
        <v>66</v>
      </c>
      <c r="D2179" s="2" t="s">
        <v>67</v>
      </c>
      <c r="E2179" s="5" t="s">
        <v>1351</v>
      </c>
      <c r="F2179" s="3" t="s">
        <v>1352</v>
      </c>
      <c r="G2179" s="3" t="s">
        <v>75</v>
      </c>
      <c r="H2179" s="2" t="s">
        <v>35</v>
      </c>
      <c r="I2179" s="2" t="s">
        <v>5130</v>
      </c>
      <c r="J2179" s="3" t="str">
        <f>HYPERLINK("https://www.boe.es/gazeta/dias/1834/07/05/pdfs/GMD-1834-138.pdf#page=4","Abrir facsímil")</f>
        <v>Abrir facsímil</v>
      </c>
      <c r="K2179" s="3" t="s">
        <v>37</v>
      </c>
    </row>
    <row r="2180" spans="1:11" ht="54" customHeight="1">
      <c r="A2180" s="2" t="s">
        <v>5127</v>
      </c>
      <c r="B2180" s="2" t="s">
        <v>5128</v>
      </c>
      <c r="C2180" s="2" t="s">
        <v>122</v>
      </c>
      <c r="D2180" s="2" t="s">
        <v>18</v>
      </c>
      <c r="E2180" s="5" t="s">
        <v>702</v>
      </c>
      <c r="F2180" s="3" t="s">
        <v>703</v>
      </c>
      <c r="G2180" s="3" t="s">
        <v>34</v>
      </c>
      <c r="H2180" s="2" t="s">
        <v>35</v>
      </c>
      <c r="I2180" s="2" t="s">
        <v>5131</v>
      </c>
      <c r="J2180" s="3" t="str">
        <f>HYPERLINK("https://www.boe.es/gazeta/dias/1834/11/22/pdfs/GMD-C-1834-281.pdf#page=1","Abrir facsímil")</f>
        <v>Abrir facsímil</v>
      </c>
      <c r="K2180" s="3" t="s">
        <v>37</v>
      </c>
    </row>
    <row r="2181" spans="1:11" ht="54" customHeight="1">
      <c r="A2181" s="2" t="s">
        <v>5127</v>
      </c>
      <c r="B2181" s="2" t="s">
        <v>5128</v>
      </c>
      <c r="C2181" s="2" t="s">
        <v>17</v>
      </c>
      <c r="D2181" s="2" t="s">
        <v>18</v>
      </c>
      <c r="E2181" s="5" t="s">
        <v>1686</v>
      </c>
      <c r="F2181" s="3" t="s">
        <v>2311</v>
      </c>
      <c r="G2181" s="3" t="s">
        <v>34</v>
      </c>
      <c r="H2181" s="2" t="s">
        <v>35</v>
      </c>
      <c r="I2181" s="2" t="s">
        <v>5132</v>
      </c>
      <c r="J2181" s="3" t="str">
        <f>HYPERLINK("https://www.boe.es/gazeta/dias/1834/07/27/pdfs/GMD-C-1834-160.pdf#page=1","Abrir facsímil")</f>
        <v>Abrir facsímil</v>
      </c>
      <c r="K2181" s="3" t="s">
        <v>37</v>
      </c>
    </row>
    <row r="2182" spans="1:11" ht="54" customHeight="1">
      <c r="A2182" s="2" t="s">
        <v>5133</v>
      </c>
      <c r="B2182" s="2" t="s">
        <v>5134</v>
      </c>
      <c r="C2182" s="2" t="s">
        <v>17</v>
      </c>
      <c r="D2182" s="2" t="s">
        <v>55</v>
      </c>
      <c r="E2182" s="5" t="s">
        <v>209</v>
      </c>
      <c r="F2182" s="3" t="s">
        <v>210</v>
      </c>
      <c r="G2182" s="3" t="s">
        <v>21</v>
      </c>
      <c r="H2182" s="2" t="s">
        <v>22</v>
      </c>
      <c r="I2182" s="2" t="s">
        <v>5135</v>
      </c>
      <c r="J2182" s="3" t="str">
        <f>HYPERLINK("https://www.boe.es/gazeta/dias/1834/07/01/pdfs/GMD-1834-134.pdf#page=3","Abrir facsímil")</f>
        <v>Abrir facsímil</v>
      </c>
      <c r="K2182" s="3" t="s">
        <v>24</v>
      </c>
    </row>
    <row r="2183" spans="1:11" ht="54" customHeight="1">
      <c r="A2183" s="2" t="s">
        <v>5133</v>
      </c>
      <c r="B2183" s="2" t="s">
        <v>5134</v>
      </c>
      <c r="C2183" s="2" t="s">
        <v>66</v>
      </c>
      <c r="D2183" s="2" t="s">
        <v>67</v>
      </c>
      <c r="E2183" s="5" t="s">
        <v>1351</v>
      </c>
      <c r="F2183" s="3" t="s">
        <v>1352</v>
      </c>
      <c r="G2183" s="3" t="s">
        <v>75</v>
      </c>
      <c r="H2183" s="2" t="s">
        <v>22</v>
      </c>
      <c r="I2183" s="2" t="s">
        <v>5136</v>
      </c>
      <c r="J2183" s="3" t="str">
        <f>HYPERLINK("https://www.boe.es/gazeta/dias/1834/07/05/pdfs/GMD-1834-138.pdf#page=4","Abrir facsímil")</f>
        <v>Abrir facsímil</v>
      </c>
      <c r="K2183" s="3" t="s">
        <v>24</v>
      </c>
    </row>
    <row r="2184" spans="1:11" ht="54" customHeight="1">
      <c r="A2184" s="2" t="s">
        <v>5133</v>
      </c>
      <c r="B2184" s="2" t="s">
        <v>5134</v>
      </c>
      <c r="C2184" s="2" t="s">
        <v>46</v>
      </c>
      <c r="D2184" s="2" t="s">
        <v>101</v>
      </c>
      <c r="E2184" s="5" t="s">
        <v>237</v>
      </c>
      <c r="F2184" s="3" t="s">
        <v>238</v>
      </c>
      <c r="G2184" s="3" t="s">
        <v>34</v>
      </c>
      <c r="H2184" s="2" t="s">
        <v>22</v>
      </c>
      <c r="I2184" s="2" t="s">
        <v>5137</v>
      </c>
      <c r="J2184" s="3" t="str">
        <f>HYPERLINK("https://www.boe.es/gazeta/dias/1834/08/15/pdfs/GMD-C-1834-180.pdf#page=1","Abrir facsímil")</f>
        <v>Abrir facsímil</v>
      </c>
      <c r="K2184" s="3" t="s">
        <v>24</v>
      </c>
    </row>
    <row r="2185" spans="1:11" ht="54" customHeight="1">
      <c r="A2185" s="2" t="s">
        <v>5133</v>
      </c>
      <c r="B2185" s="2" t="s">
        <v>5134</v>
      </c>
      <c r="C2185" s="2" t="s">
        <v>122</v>
      </c>
      <c r="D2185" s="2" t="s">
        <v>18</v>
      </c>
      <c r="E2185" s="5" t="s">
        <v>702</v>
      </c>
      <c r="F2185" s="3" t="s">
        <v>703</v>
      </c>
      <c r="G2185" s="3" t="s">
        <v>34</v>
      </c>
      <c r="H2185" s="2" t="s">
        <v>22</v>
      </c>
      <c r="I2185" s="2" t="s">
        <v>5138</v>
      </c>
      <c r="J2185" s="3" t="str">
        <f>HYPERLINK("https://www.boe.es/gazeta/dias/1834/11/22/pdfs/GMD-C-1834-281.pdf#page=1","Abrir facsímil")</f>
        <v>Abrir facsímil</v>
      </c>
      <c r="K2185" s="3" t="s">
        <v>24</v>
      </c>
    </row>
    <row r="2186" spans="1:11" ht="54" customHeight="1">
      <c r="A2186" s="2" t="s">
        <v>5133</v>
      </c>
      <c r="B2186" s="2" t="s">
        <v>5134</v>
      </c>
      <c r="C2186" s="2" t="s">
        <v>17</v>
      </c>
      <c r="D2186" s="2" t="s">
        <v>18</v>
      </c>
      <c r="E2186" s="5" t="s">
        <v>1686</v>
      </c>
      <c r="F2186" s="3" t="s">
        <v>2311</v>
      </c>
      <c r="G2186" s="3" t="s">
        <v>34</v>
      </c>
      <c r="H2186" s="2" t="s">
        <v>22</v>
      </c>
      <c r="I2186" s="2" t="s">
        <v>5139</v>
      </c>
      <c r="J2186" s="3" t="str">
        <f>HYPERLINK("https://www.boe.es/gazeta/dias/1834/07/27/pdfs/GMD-C-1834-160.pdf#page=1","Abrir facsímil")</f>
        <v>Abrir facsímil</v>
      </c>
      <c r="K2186" s="3" t="s">
        <v>24</v>
      </c>
    </row>
    <row r="2187" spans="1:11" ht="54" customHeight="1">
      <c r="A2187" s="2" t="s">
        <v>5133</v>
      </c>
      <c r="B2187" s="2" t="s">
        <v>5134</v>
      </c>
      <c r="C2187" s="2" t="s">
        <v>17</v>
      </c>
      <c r="D2187" s="2" t="s">
        <v>18</v>
      </c>
      <c r="E2187" s="5" t="s">
        <v>1692</v>
      </c>
      <c r="F2187" s="3" t="s">
        <v>3985</v>
      </c>
      <c r="G2187" s="3" t="s">
        <v>34</v>
      </c>
      <c r="H2187" s="2" t="s">
        <v>22</v>
      </c>
      <c r="I2187" s="2" t="s">
        <v>5140</v>
      </c>
      <c r="J2187" s="3" t="str">
        <f>HYPERLINK("https://www.boe.es/gazeta/dias/1834/07/29/pdfs/GMD-C-1834-162.pdf#page=1","Abrir facsímil")</f>
        <v>Abrir facsímil</v>
      </c>
      <c r="K2187" s="3" t="s">
        <v>24</v>
      </c>
    </row>
    <row r="2188" spans="1:11" ht="54" customHeight="1">
      <c r="A2188" s="2" t="s">
        <v>5141</v>
      </c>
      <c r="B2188" s="2" t="s">
        <v>5142</v>
      </c>
      <c r="C2188" s="2" t="s">
        <v>17</v>
      </c>
      <c r="D2188" s="2" t="s">
        <v>18</v>
      </c>
      <c r="E2188" s="5" t="s">
        <v>1340</v>
      </c>
      <c r="F2188" s="3" t="s">
        <v>1341</v>
      </c>
      <c r="G2188" s="3" t="s">
        <v>75</v>
      </c>
      <c r="H2188" s="2" t="s">
        <v>22</v>
      </c>
      <c r="I2188" s="2" t="s">
        <v>5143</v>
      </c>
      <c r="J2188" s="3" t="str">
        <f>HYPERLINK("https://www.boe.es/gazeta/dias/1834/10/05/pdfs/GMD-C-1834-233.pdf#page=4","Abrir facsímil")</f>
        <v>Abrir facsímil</v>
      </c>
      <c r="K2188" s="3" t="s">
        <v>24</v>
      </c>
    </row>
    <row r="2189" spans="1:11" ht="54" customHeight="1">
      <c r="A2189" s="2" t="s">
        <v>5144</v>
      </c>
      <c r="B2189" s="2" t="s">
        <v>5145</v>
      </c>
      <c r="C2189" s="2" t="s">
        <v>17</v>
      </c>
      <c r="D2189" s="2" t="s">
        <v>18</v>
      </c>
      <c r="E2189" s="5" t="s">
        <v>339</v>
      </c>
      <c r="F2189" s="3" t="s">
        <v>340</v>
      </c>
      <c r="G2189" s="3" t="s">
        <v>34</v>
      </c>
      <c r="H2189" s="2" t="s">
        <v>22</v>
      </c>
      <c r="I2189" s="2" t="s">
        <v>5146</v>
      </c>
      <c r="J2189" s="3" t="str">
        <f>HYPERLINK("https://www.boe.es/gazeta/dias/1834/05/02/pdfs/GMD-1834-71.pdf#page=1","Abrir facsímil")</f>
        <v>Abrir facsímil</v>
      </c>
      <c r="K2189" s="3" t="s">
        <v>24</v>
      </c>
    </row>
    <row r="2190" spans="1:11" ht="54" customHeight="1">
      <c r="A2190" s="2" t="s">
        <v>5147</v>
      </c>
      <c r="B2190" s="2" t="s">
        <v>5148</v>
      </c>
      <c r="C2190" s="2" t="s">
        <v>17</v>
      </c>
      <c r="D2190" s="2" t="s">
        <v>101</v>
      </c>
      <c r="E2190" s="5" t="s">
        <v>2218</v>
      </c>
      <c r="F2190" s="3" t="s">
        <v>2219</v>
      </c>
      <c r="G2190" s="3" t="s">
        <v>21</v>
      </c>
      <c r="H2190" s="2" t="s">
        <v>22</v>
      </c>
      <c r="I2190" s="2" t="s">
        <v>5149</v>
      </c>
      <c r="J2190" s="3" t="str">
        <f>HYPERLINK("https://www.boe.es/gazeta/dias/1834/11/05/pdfs/GMD-1834-264.pdf#page=3","Abrir facsímil")</f>
        <v>Abrir facsímil</v>
      </c>
      <c r="K2190" s="3" t="s">
        <v>24</v>
      </c>
    </row>
    <row r="2191" spans="1:11" ht="54" customHeight="1">
      <c r="A2191" s="2" t="s">
        <v>5150</v>
      </c>
      <c r="B2191" s="2" t="s">
        <v>5151</v>
      </c>
      <c r="C2191" s="2" t="s">
        <v>66</v>
      </c>
      <c r="D2191" s="2" t="s">
        <v>67</v>
      </c>
      <c r="E2191" s="5" t="s">
        <v>4736</v>
      </c>
      <c r="F2191" s="3" t="s">
        <v>4737</v>
      </c>
      <c r="G2191" s="3" t="s">
        <v>21</v>
      </c>
      <c r="H2191" s="2" t="s">
        <v>22</v>
      </c>
      <c r="I2191" s="2" t="s">
        <v>5152</v>
      </c>
      <c r="J2191" s="3" t="str">
        <f>HYPERLINK("https://www.boe.es/gazeta/dias/1834/09/16/pdfs/GMD-1834-214.pdf#page=3","Abrir facsímil")</f>
        <v>Abrir facsímil</v>
      </c>
      <c r="K2191" s="3" t="s">
        <v>24</v>
      </c>
    </row>
    <row r="2192" spans="1:11" ht="54" customHeight="1">
      <c r="A2192" s="2" t="s">
        <v>5153</v>
      </c>
      <c r="B2192" s="2" t="s">
        <v>5154</v>
      </c>
      <c r="C2192" s="2" t="s">
        <v>17</v>
      </c>
      <c r="D2192" s="2" t="s">
        <v>18</v>
      </c>
      <c r="E2192" s="5" t="s">
        <v>299</v>
      </c>
      <c r="F2192" s="3" t="s">
        <v>300</v>
      </c>
      <c r="G2192" s="3" t="s">
        <v>34</v>
      </c>
      <c r="H2192" s="2" t="s">
        <v>22</v>
      </c>
      <c r="I2192" s="2" t="s">
        <v>5155</v>
      </c>
      <c r="J2192" s="3" t="str">
        <f>HYPERLINK("https://www.boe.es/gazeta/dias/1834/12/12/pdfs/GMD-1834-301.pdf#page=1","Abrir facsímil")</f>
        <v>Abrir facsímil</v>
      </c>
      <c r="K2192" s="3" t="s">
        <v>24</v>
      </c>
    </row>
    <row r="2193" spans="1:11" ht="54" customHeight="1">
      <c r="A2193" s="2" t="s">
        <v>5156</v>
      </c>
      <c r="B2193" s="2" t="s">
        <v>5157</v>
      </c>
      <c r="C2193" s="2" t="s">
        <v>66</v>
      </c>
      <c r="D2193" s="2" t="s">
        <v>18</v>
      </c>
      <c r="E2193" s="5" t="s">
        <v>32</v>
      </c>
      <c r="F2193" s="3" t="s">
        <v>33</v>
      </c>
      <c r="G2193" s="3" t="s">
        <v>34</v>
      </c>
      <c r="H2193" s="2" t="s">
        <v>22</v>
      </c>
      <c r="I2193" s="2" t="s">
        <v>5158</v>
      </c>
      <c r="J2193" s="3" t="str">
        <f>HYPERLINK("https://www.boe.es/gazeta/dias/1834/04/23/pdfs/GMD-1834-62.pdf#page=1","Abrir facsímil")</f>
        <v>Abrir facsímil</v>
      </c>
      <c r="K2193" s="3" t="s">
        <v>24</v>
      </c>
    </row>
    <row r="2194" spans="1:11" ht="54" customHeight="1">
      <c r="A2194" s="2" t="s">
        <v>5159</v>
      </c>
      <c r="B2194" s="2" t="s">
        <v>5160</v>
      </c>
      <c r="C2194" s="2" t="s">
        <v>90</v>
      </c>
      <c r="D2194" s="2" t="s">
        <v>18</v>
      </c>
      <c r="E2194" s="5" t="s">
        <v>1318</v>
      </c>
      <c r="F2194" s="3" t="s">
        <v>1319</v>
      </c>
      <c r="G2194" s="3" t="s">
        <v>75</v>
      </c>
      <c r="H2194" s="2" t="s">
        <v>22</v>
      </c>
      <c r="I2194" s="2" t="s">
        <v>5161</v>
      </c>
      <c r="J2194" s="3" t="str">
        <f>HYPERLINK("https://www.boe.es/gazeta/dias/1834/05/10/pdfs/GMD-1834-79.pdf#page=4","Abrir facsímil")</f>
        <v>Abrir facsímil</v>
      </c>
      <c r="K2194" s="3" t="s">
        <v>24</v>
      </c>
    </row>
    <row r="2195" spans="1:11" ht="54" customHeight="1">
      <c r="A2195" s="2" t="s">
        <v>5162</v>
      </c>
      <c r="B2195" s="2" t="s">
        <v>5163</v>
      </c>
      <c r="C2195" s="2" t="s">
        <v>17</v>
      </c>
      <c r="D2195" s="2" t="s">
        <v>18</v>
      </c>
      <c r="E2195" s="5" t="s">
        <v>2287</v>
      </c>
      <c r="F2195" s="3" t="s">
        <v>2288</v>
      </c>
      <c r="G2195" s="3" t="s">
        <v>75</v>
      </c>
      <c r="H2195" s="2" t="s">
        <v>22</v>
      </c>
      <c r="I2195" s="2" t="s">
        <v>5164</v>
      </c>
      <c r="J2195" s="3" t="str">
        <f>HYPERLINK("https://www.boe.es/gazeta/dias/1834/12/18/pdfs/GMD-C-1834-308.pdf#page=4","Abrir facsímil")</f>
        <v>Abrir facsímil</v>
      </c>
      <c r="K2195" s="3" t="s">
        <v>24</v>
      </c>
    </row>
    <row r="2196" spans="1:11" ht="54" customHeight="1">
      <c r="A2196" s="2" t="s">
        <v>5165</v>
      </c>
      <c r="B2196" s="2" t="s">
        <v>5166</v>
      </c>
      <c r="C2196" s="2" t="s">
        <v>17</v>
      </c>
      <c r="D2196" s="2" t="s">
        <v>18</v>
      </c>
      <c r="E2196" s="5" t="s">
        <v>1234</v>
      </c>
      <c r="F2196" s="3" t="s">
        <v>1455</v>
      </c>
      <c r="G2196" s="3" t="s">
        <v>86</v>
      </c>
      <c r="H2196" s="2" t="s">
        <v>22</v>
      </c>
      <c r="I2196" s="2" t="s">
        <v>5167</v>
      </c>
      <c r="J2196" s="3" t="str">
        <f>HYPERLINK("https://www.boe.es/gazeta/dias/1834/05/15/pdfs/GMD-1834-84.pdf#page=2","Abrir facsímil")</f>
        <v>Abrir facsímil</v>
      </c>
      <c r="K2196" s="3" t="s">
        <v>24</v>
      </c>
    </row>
    <row r="2197" spans="1:11" ht="54" customHeight="1">
      <c r="A2197" s="2" t="s">
        <v>5168</v>
      </c>
      <c r="B2197" s="2" t="s">
        <v>5168</v>
      </c>
      <c r="C2197" s="2" t="s">
        <v>46</v>
      </c>
      <c r="D2197" s="2" t="s">
        <v>18</v>
      </c>
      <c r="E2197" s="5" t="s">
        <v>258</v>
      </c>
      <c r="F2197" s="3" t="s">
        <v>259</v>
      </c>
      <c r="G2197" s="3" t="s">
        <v>28</v>
      </c>
      <c r="H2197" s="2" t="s">
        <v>22</v>
      </c>
      <c r="I2197" s="2" t="s">
        <v>5169</v>
      </c>
      <c r="J2197" s="3" t="str">
        <f>HYPERLINK("https://www.boe.es/gazeta/dias/1834/10/09/pdfs/GMD-C-1834-237.pdf#page=5","Abrir facsímil")</f>
        <v>Abrir facsímil</v>
      </c>
      <c r="K2197" s="3" t="s">
        <v>24</v>
      </c>
    </row>
    <row r="2198" spans="1:11" ht="54" customHeight="1">
      <c r="A2198" s="2" t="s">
        <v>5170</v>
      </c>
      <c r="B2198" s="2" t="s">
        <v>5170</v>
      </c>
      <c r="C2198" s="2" t="s">
        <v>17</v>
      </c>
      <c r="D2198" s="2" t="s">
        <v>18</v>
      </c>
      <c r="E2198" s="5" t="s">
        <v>1981</v>
      </c>
      <c r="F2198" s="3" t="s">
        <v>2471</v>
      </c>
      <c r="G2198" s="3" t="s">
        <v>28</v>
      </c>
      <c r="H2198" s="2" t="s">
        <v>22</v>
      </c>
      <c r="I2198" s="2" t="s">
        <v>5171</v>
      </c>
      <c r="J2198" s="3" t="str">
        <f>HYPERLINK("https://www.boe.es/gazeta/dias/1834/12/13/pdfs/GMD-C-1834-302.pdf#page=5","Abrir facsímil")</f>
        <v>Abrir facsímil</v>
      </c>
      <c r="K2198" s="3" t="s">
        <v>24</v>
      </c>
    </row>
    <row r="2199" spans="1:11" ht="54" customHeight="1">
      <c r="A2199" s="2" t="s">
        <v>5172</v>
      </c>
      <c r="B2199" s="2" t="s">
        <v>5173</v>
      </c>
      <c r="C2199" s="2" t="s">
        <v>90</v>
      </c>
      <c r="D2199" s="2" t="s">
        <v>18</v>
      </c>
      <c r="E2199" s="5" t="s">
        <v>1575</v>
      </c>
      <c r="F2199" s="3" t="s">
        <v>1576</v>
      </c>
      <c r="G2199" s="3" t="s">
        <v>34</v>
      </c>
      <c r="H2199" s="2" t="s">
        <v>22</v>
      </c>
      <c r="I2199" s="2" t="s">
        <v>5174</v>
      </c>
      <c r="J2199" s="3" t="str">
        <f>HYPERLINK("https://www.boe.es/gazeta/dias/1834/11/24/pdfs/GMD-1834-283.pdf#page=1","Abrir facsímil")</f>
        <v>Abrir facsímil</v>
      </c>
      <c r="K2199" s="3" t="s">
        <v>24</v>
      </c>
    </row>
    <row r="2200" spans="1:11" ht="54" customHeight="1">
      <c r="A2200" s="2" t="s">
        <v>5175</v>
      </c>
      <c r="B2200" s="2" t="s">
        <v>5176</v>
      </c>
      <c r="C2200" s="2" t="s">
        <v>122</v>
      </c>
      <c r="D2200" s="2" t="s">
        <v>55</v>
      </c>
      <c r="E2200" s="5" t="s">
        <v>158</v>
      </c>
      <c r="F2200" s="3" t="s">
        <v>159</v>
      </c>
      <c r="G2200" s="3" t="s">
        <v>21</v>
      </c>
      <c r="H2200" s="2" t="s">
        <v>22</v>
      </c>
      <c r="I2200" s="2" t="s">
        <v>5177</v>
      </c>
      <c r="J2200" s="3" t="str">
        <f>HYPERLINK("https://www.boe.es/gazeta/dias/1834/10/01/pdfs/GMD-1834-229.pdf#page=3","Abrir facsímil")</f>
        <v>Abrir facsímil</v>
      </c>
      <c r="K2200" s="3" t="s">
        <v>24</v>
      </c>
    </row>
    <row r="2201" spans="1:11" ht="54" customHeight="1">
      <c r="A2201" s="2" t="s">
        <v>5178</v>
      </c>
      <c r="B2201" s="2" t="s">
        <v>5179</v>
      </c>
      <c r="C2201" s="2" t="s">
        <v>17</v>
      </c>
      <c r="D2201" s="2" t="s">
        <v>18</v>
      </c>
      <c r="E2201" s="5" t="s">
        <v>762</v>
      </c>
      <c r="F2201" s="3" t="s">
        <v>2227</v>
      </c>
      <c r="G2201" s="3" t="s">
        <v>34</v>
      </c>
      <c r="H2201" s="2" t="s">
        <v>35</v>
      </c>
      <c r="I2201" s="2" t="s">
        <v>5180</v>
      </c>
      <c r="J2201" s="3" t="str">
        <f>HYPERLINK("https://www.boe.es/gazeta/dias/1834/11/07/pdfs/GMD-C-1834-266.pdf#page=1","Abrir facsímil")</f>
        <v>Abrir facsímil</v>
      </c>
      <c r="K2201" s="3" t="s">
        <v>37</v>
      </c>
    </row>
    <row r="2202" spans="1:11" ht="54" customHeight="1">
      <c r="A2202" s="2" t="s">
        <v>5181</v>
      </c>
      <c r="B2202" s="2" t="s">
        <v>5182</v>
      </c>
      <c r="C2202" s="2" t="s">
        <v>17</v>
      </c>
      <c r="D2202" s="2" t="s">
        <v>18</v>
      </c>
      <c r="E2202" s="5" t="s">
        <v>444</v>
      </c>
      <c r="F2202" s="3" t="s">
        <v>2412</v>
      </c>
      <c r="G2202" s="3" t="s">
        <v>75</v>
      </c>
      <c r="H2202" s="2" t="s">
        <v>22</v>
      </c>
      <c r="I2202" s="2" t="s">
        <v>5183</v>
      </c>
      <c r="J2202" s="3" t="str">
        <f>HYPERLINK("https://www.boe.es/gazeta/dias/1834/09/12/pdfs/GMD-1834-210.pdf#page=4","Abrir facsímil")</f>
        <v>Abrir facsímil</v>
      </c>
      <c r="K2202" s="3" t="s">
        <v>24</v>
      </c>
    </row>
    <row r="2203" spans="1:11" ht="54" customHeight="1">
      <c r="A2203" s="2" t="s">
        <v>5184</v>
      </c>
      <c r="B2203" s="2" t="s">
        <v>5185</v>
      </c>
      <c r="C2203" s="2" t="s">
        <v>90</v>
      </c>
      <c r="D2203" s="2" t="s">
        <v>18</v>
      </c>
      <c r="E2203" s="5" t="s">
        <v>73</v>
      </c>
      <c r="F2203" s="3" t="s">
        <v>74</v>
      </c>
      <c r="G2203" s="3" t="s">
        <v>75</v>
      </c>
      <c r="H2203" s="2" t="s">
        <v>35</v>
      </c>
      <c r="I2203" s="2" t="s">
        <v>5186</v>
      </c>
      <c r="J2203" s="3" t="str">
        <f>HYPERLINK("https://www.boe.es/gazeta/dias/1834/11/04/pdfs/GMD-1834-263.pdf#page=4","Abrir facsímil")</f>
        <v>Abrir facsímil</v>
      </c>
      <c r="K2203" s="3" t="s">
        <v>37</v>
      </c>
    </row>
    <row r="2204" spans="1:11" ht="54" customHeight="1">
      <c r="A2204" s="2" t="s">
        <v>5187</v>
      </c>
      <c r="B2204" s="2" t="s">
        <v>5188</v>
      </c>
      <c r="C2204" s="2" t="s">
        <v>90</v>
      </c>
      <c r="D2204" s="2" t="s">
        <v>18</v>
      </c>
      <c r="E2204" s="5" t="s">
        <v>73</v>
      </c>
      <c r="F2204" s="3" t="s">
        <v>74</v>
      </c>
      <c r="G2204" s="3" t="s">
        <v>75</v>
      </c>
      <c r="H2204" s="2" t="s">
        <v>22</v>
      </c>
      <c r="I2204" s="2" t="s">
        <v>5189</v>
      </c>
      <c r="J2204" s="3" t="str">
        <f>HYPERLINK("https://www.boe.es/gazeta/dias/1834/11/04/pdfs/GMD-1834-263.pdf#page=4","Abrir facsímil")</f>
        <v>Abrir facsímil</v>
      </c>
      <c r="K2204" s="3" t="s">
        <v>24</v>
      </c>
    </row>
    <row r="2205" spans="1:11" ht="54" customHeight="1">
      <c r="A2205" s="2" t="s">
        <v>5190</v>
      </c>
      <c r="B2205" s="2" t="s">
        <v>5191</v>
      </c>
      <c r="C2205" s="2" t="s">
        <v>17</v>
      </c>
      <c r="D2205" s="2" t="s">
        <v>18</v>
      </c>
      <c r="E2205" s="5" t="s">
        <v>102</v>
      </c>
      <c r="F2205" s="3" t="s">
        <v>103</v>
      </c>
      <c r="G2205" s="3" t="s">
        <v>75</v>
      </c>
      <c r="H2205" s="2" t="s">
        <v>35</v>
      </c>
      <c r="I2205" s="2" t="s">
        <v>5192</v>
      </c>
      <c r="J2205" s="3" t="str">
        <f>HYPERLINK("https://www.boe.es/gazeta/dias/1834/07/19/pdfs/GMD-1834-152.pdf#page=4","Abrir facsímil")</f>
        <v>Abrir facsímil</v>
      </c>
      <c r="K2205" s="3" t="s">
        <v>37</v>
      </c>
    </row>
    <row r="2206" spans="1:11" ht="54" customHeight="1">
      <c r="A2206" s="2" t="s">
        <v>5193</v>
      </c>
      <c r="B2206" s="2" t="s">
        <v>5194</v>
      </c>
      <c r="C2206" s="2" t="s">
        <v>66</v>
      </c>
      <c r="D2206" s="2" t="s">
        <v>18</v>
      </c>
      <c r="E2206" s="5" t="s">
        <v>4637</v>
      </c>
      <c r="F2206" s="3" t="s">
        <v>4638</v>
      </c>
      <c r="G2206" s="3" t="s">
        <v>34</v>
      </c>
      <c r="H2206" s="2" t="s">
        <v>22</v>
      </c>
      <c r="I2206" s="2" t="s">
        <v>5195</v>
      </c>
      <c r="J2206" s="3" t="str">
        <f>HYPERLINK("https://www.boe.es/gazeta/dias/1834/12/08/pdfs/GMD-1834-297.pdf#page=1","Abrir facsímil")</f>
        <v>Abrir facsímil</v>
      </c>
      <c r="K2206" s="3" t="s">
        <v>24</v>
      </c>
    </row>
    <row r="2207" spans="1:11" ht="54" customHeight="1">
      <c r="A2207" s="2" t="s">
        <v>5196</v>
      </c>
      <c r="B2207" s="2" t="s">
        <v>5196</v>
      </c>
      <c r="C2207" s="2" t="s">
        <v>46</v>
      </c>
      <c r="D2207" s="2" t="s">
        <v>101</v>
      </c>
      <c r="E2207" s="5" t="s">
        <v>454</v>
      </c>
      <c r="F2207" s="3" t="s">
        <v>455</v>
      </c>
      <c r="G2207" s="3" t="s">
        <v>21</v>
      </c>
      <c r="H2207" s="2" t="s">
        <v>22</v>
      </c>
      <c r="I2207" s="2" t="s">
        <v>5197</v>
      </c>
      <c r="J2207" s="3" t="str">
        <f>HYPERLINK("https://www.boe.es/gazeta/dias/1834/10/16/pdfs/GMD-C-1834-244.pdf#page=3","Abrir facsímil")</f>
        <v>Abrir facsímil</v>
      </c>
      <c r="K2207" s="3" t="s">
        <v>24</v>
      </c>
    </row>
    <row r="2208" spans="1:11" ht="54" customHeight="1">
      <c r="A2208" s="2" t="s">
        <v>5198</v>
      </c>
      <c r="B2208" s="2" t="s">
        <v>5198</v>
      </c>
      <c r="C2208" s="2" t="s">
        <v>17</v>
      </c>
      <c r="D2208" s="2" t="s">
        <v>18</v>
      </c>
      <c r="E2208" s="5" t="s">
        <v>2748</v>
      </c>
      <c r="F2208" s="3" t="s">
        <v>2749</v>
      </c>
      <c r="G2208" s="3" t="s">
        <v>75</v>
      </c>
      <c r="H2208" s="2" t="s">
        <v>22</v>
      </c>
      <c r="I2208" s="2" t="s">
        <v>5199</v>
      </c>
      <c r="J2208" s="3" t="str">
        <f>HYPERLINK("https://www.boe.es/gazeta/dias/1834/01/09/pdfs/GMD-1834-5.pdf#page=4","Abrir facsímil")</f>
        <v>Abrir facsímil</v>
      </c>
      <c r="K2208" s="3" t="s">
        <v>24</v>
      </c>
    </row>
    <row r="2209" spans="1:11" ht="54" customHeight="1">
      <c r="A2209" s="2" t="s">
        <v>5200</v>
      </c>
      <c r="B2209" s="2" t="s">
        <v>5201</v>
      </c>
      <c r="C2209" s="2" t="s">
        <v>17</v>
      </c>
      <c r="D2209" s="2" t="s">
        <v>18</v>
      </c>
      <c r="E2209" s="5" t="s">
        <v>3248</v>
      </c>
      <c r="F2209" s="3" t="s">
        <v>3249</v>
      </c>
      <c r="G2209" s="3" t="s">
        <v>34</v>
      </c>
      <c r="H2209" s="2" t="s">
        <v>22</v>
      </c>
      <c r="I2209" s="2" t="s">
        <v>5202</v>
      </c>
      <c r="J2209" s="3" t="str">
        <f>HYPERLINK("https://www.boe.es/gazeta/dias/1834/09/20/pdfs/GMD-1834-218.pdf#page=1","Abrir facsímil")</f>
        <v>Abrir facsímil</v>
      </c>
      <c r="K2209" s="3" t="s">
        <v>24</v>
      </c>
    </row>
    <row r="2210" spans="1:11" ht="54" customHeight="1">
      <c r="A2210" s="2" t="s">
        <v>5203</v>
      </c>
      <c r="B2210" s="2" t="s">
        <v>5203</v>
      </c>
      <c r="C2210" s="2" t="s">
        <v>46</v>
      </c>
      <c r="D2210" s="2" t="s">
        <v>18</v>
      </c>
      <c r="E2210" s="5" t="s">
        <v>91</v>
      </c>
      <c r="F2210" s="3" t="s">
        <v>92</v>
      </c>
      <c r="G2210" s="3" t="s">
        <v>21</v>
      </c>
      <c r="H2210" s="2" t="s">
        <v>22</v>
      </c>
      <c r="I2210" s="2" t="s">
        <v>5204</v>
      </c>
      <c r="J2210" s="3" t="str">
        <f>HYPERLINK("https://www.boe.es/gazeta/dias/1834/02/13/pdfs/GMD-1834-20.pdf#page=3","Abrir facsímil")</f>
        <v>Abrir facsímil</v>
      </c>
      <c r="K2210" s="3" t="s">
        <v>24</v>
      </c>
    </row>
    <row r="2211" spans="1:11" ht="54" customHeight="1">
      <c r="A2211" s="2" t="s">
        <v>5203</v>
      </c>
      <c r="B2211" s="2" t="s">
        <v>5203</v>
      </c>
      <c r="C2211" s="2" t="s">
        <v>17</v>
      </c>
      <c r="D2211" s="2" t="s">
        <v>18</v>
      </c>
      <c r="E2211" s="5" t="s">
        <v>1922</v>
      </c>
      <c r="F2211" s="3" t="s">
        <v>1923</v>
      </c>
      <c r="G2211" s="3" t="s">
        <v>21</v>
      </c>
      <c r="H2211" s="2" t="s">
        <v>22</v>
      </c>
      <c r="I2211" s="2" t="s">
        <v>5205</v>
      </c>
      <c r="J2211" s="3" t="str">
        <f>HYPERLINK("https://www.boe.es/gazeta/dias/1834/02/25/pdfs/GMD-1834-25.pdf#page=3","Abrir facsímil")</f>
        <v>Abrir facsímil</v>
      </c>
      <c r="K2211" s="3" t="s">
        <v>24</v>
      </c>
    </row>
    <row r="2212" spans="1:11" ht="54" customHeight="1">
      <c r="A2212" s="2" t="s">
        <v>5206</v>
      </c>
      <c r="B2212" s="2" t="s">
        <v>5206</v>
      </c>
      <c r="C2212" s="2" t="s">
        <v>17</v>
      </c>
      <c r="D2212" s="2" t="s">
        <v>18</v>
      </c>
      <c r="E2212" s="5" t="s">
        <v>1262</v>
      </c>
      <c r="F2212" s="3" t="s">
        <v>1263</v>
      </c>
      <c r="G2212" s="3" t="s">
        <v>86</v>
      </c>
      <c r="H2212" s="2" t="s">
        <v>22</v>
      </c>
      <c r="I2212" s="2" t="s">
        <v>5207</v>
      </c>
      <c r="J2212" s="3" t="str">
        <f>HYPERLINK("https://www.boe.es/gazeta/dias/1834/02/01/pdfs/GMD-1834-15.pdf#page=2","Abrir facsímil")</f>
        <v>Abrir facsímil</v>
      </c>
      <c r="K2212" s="3" t="s">
        <v>24</v>
      </c>
    </row>
    <row r="2213" spans="1:11" ht="54" customHeight="1">
      <c r="A2213" s="2" t="s">
        <v>5206</v>
      </c>
      <c r="B2213" s="2" t="s">
        <v>5206</v>
      </c>
      <c r="C2213" s="2" t="s">
        <v>17</v>
      </c>
      <c r="D2213" s="2" t="s">
        <v>18</v>
      </c>
      <c r="E2213" s="5" t="s">
        <v>1025</v>
      </c>
      <c r="F2213" s="3" t="s">
        <v>1026</v>
      </c>
      <c r="G2213" s="3" t="s">
        <v>86</v>
      </c>
      <c r="H2213" s="2" t="s">
        <v>22</v>
      </c>
      <c r="I2213" s="2" t="s">
        <v>5208</v>
      </c>
      <c r="J2213" s="3" t="str">
        <f>HYPERLINK("https://www.boe.es/gazeta/dias/1834/03/01/pdfs/GMD-1834-27.pdf#page=2","Abrir facsímil")</f>
        <v>Abrir facsímil</v>
      </c>
      <c r="K2213" s="3" t="s">
        <v>24</v>
      </c>
    </row>
    <row r="2214" spans="1:11" ht="54" customHeight="1">
      <c r="A2214" s="2" t="s">
        <v>5206</v>
      </c>
      <c r="B2214" s="2" t="s">
        <v>5206</v>
      </c>
      <c r="C2214" s="2" t="s">
        <v>90</v>
      </c>
      <c r="D2214" s="2" t="s">
        <v>18</v>
      </c>
      <c r="E2214" s="5" t="s">
        <v>1922</v>
      </c>
      <c r="F2214" s="3" t="s">
        <v>1923</v>
      </c>
      <c r="G2214" s="3" t="s">
        <v>21</v>
      </c>
      <c r="H2214" s="2" t="s">
        <v>22</v>
      </c>
      <c r="I2214" s="2" t="s">
        <v>5209</v>
      </c>
      <c r="J2214" s="3" t="str">
        <f>HYPERLINK("https://www.boe.es/gazeta/dias/1834/02/25/pdfs/GMD-1834-25.pdf#page=3","Abrir facsímil")</f>
        <v>Abrir facsímil</v>
      </c>
      <c r="K2214" s="3" t="s">
        <v>24</v>
      </c>
    </row>
    <row r="2215" spans="1:11" ht="54" customHeight="1">
      <c r="A2215" s="2" t="s">
        <v>5206</v>
      </c>
      <c r="B2215" s="2" t="s">
        <v>5206</v>
      </c>
      <c r="C2215" s="2" t="s">
        <v>17</v>
      </c>
      <c r="D2215" s="2" t="s">
        <v>18</v>
      </c>
      <c r="E2215" s="5" t="s">
        <v>1922</v>
      </c>
      <c r="F2215" s="3" t="s">
        <v>1923</v>
      </c>
      <c r="G2215" s="3" t="s">
        <v>75</v>
      </c>
      <c r="H2215" s="2" t="s">
        <v>22</v>
      </c>
      <c r="I2215" s="2" t="s">
        <v>5210</v>
      </c>
      <c r="J2215" s="3" t="str">
        <f>HYPERLINK("https://www.boe.es/gazeta/dias/1834/02/25/pdfs/GMD-1834-25.pdf#page=4","Abrir facsímil")</f>
        <v>Abrir facsímil</v>
      </c>
      <c r="K2215" s="3" t="s">
        <v>24</v>
      </c>
    </row>
    <row r="2216" spans="1:11" ht="54" customHeight="1">
      <c r="A2216" s="2" t="s">
        <v>5211</v>
      </c>
      <c r="B2216" s="2" t="s">
        <v>5212</v>
      </c>
      <c r="C2216" s="2" t="s">
        <v>17</v>
      </c>
      <c r="D2216" s="2" t="s">
        <v>18</v>
      </c>
      <c r="E2216" s="5" t="s">
        <v>2748</v>
      </c>
      <c r="F2216" s="3" t="s">
        <v>2749</v>
      </c>
      <c r="G2216" s="3" t="s">
        <v>86</v>
      </c>
      <c r="H2216" s="2" t="s">
        <v>22</v>
      </c>
      <c r="I2216" s="2" t="s">
        <v>5213</v>
      </c>
      <c r="J2216" s="3" t="str">
        <f>HYPERLINK("https://www.boe.es/gazeta/dias/1834/01/09/pdfs/GMD-1834-5.pdf#page=2","Abrir facsímil")</f>
        <v>Abrir facsímil</v>
      </c>
      <c r="K2216" s="3" t="s">
        <v>24</v>
      </c>
    </row>
    <row r="2217" spans="1:11" ht="54" customHeight="1">
      <c r="A2217" s="2" t="s">
        <v>5214</v>
      </c>
      <c r="B2217" s="2" t="s">
        <v>5214</v>
      </c>
      <c r="C2217" s="2" t="s">
        <v>46</v>
      </c>
      <c r="D2217" s="2" t="s">
        <v>101</v>
      </c>
      <c r="E2217" s="5" t="s">
        <v>647</v>
      </c>
      <c r="F2217" s="3" t="s">
        <v>2176</v>
      </c>
      <c r="G2217" s="3" t="s">
        <v>34</v>
      </c>
      <c r="H2217" s="2" t="s">
        <v>22</v>
      </c>
      <c r="I2217" s="2" t="s">
        <v>5215</v>
      </c>
      <c r="J2217" s="3" t="str">
        <f>HYPERLINK("https://www.boe.es/gazeta/dias/1834/10/21/pdfs/GMD-1834-249.pdf#page=1","Abrir facsímil")</f>
        <v>Abrir facsímil</v>
      </c>
      <c r="K2217" s="3" t="s">
        <v>24</v>
      </c>
    </row>
    <row r="2218" spans="1:11" ht="54" customHeight="1">
      <c r="A2218" s="2" t="s">
        <v>5216</v>
      </c>
      <c r="B2218" s="2" t="s">
        <v>5217</v>
      </c>
      <c r="C2218" s="2" t="s">
        <v>17</v>
      </c>
      <c r="D2218" s="2" t="s">
        <v>18</v>
      </c>
      <c r="E2218" s="5" t="s">
        <v>863</v>
      </c>
      <c r="F2218" s="3" t="s">
        <v>864</v>
      </c>
      <c r="G2218" s="3" t="s">
        <v>21</v>
      </c>
      <c r="H2218" s="2" t="s">
        <v>22</v>
      </c>
      <c r="I2218" s="2" t="s">
        <v>5218</v>
      </c>
      <c r="J2218" s="3" t="str">
        <f>HYPERLINK("https://www.boe.es/gazeta/dias/1834/09/15/pdfs/GMD-1834-213.pdf#page=3","Abrir facsímil")</f>
        <v>Abrir facsímil</v>
      </c>
      <c r="K2218" s="3" t="s">
        <v>24</v>
      </c>
    </row>
    <row r="2219" spans="1:11" ht="54" customHeight="1">
      <c r="A2219" s="2" t="s">
        <v>5219</v>
      </c>
      <c r="B2219" s="2" t="s">
        <v>5220</v>
      </c>
      <c r="C2219" s="2" t="s">
        <v>90</v>
      </c>
      <c r="D2219" s="2" t="s">
        <v>18</v>
      </c>
      <c r="E2219" s="5" t="s">
        <v>1575</v>
      </c>
      <c r="F2219" s="3" t="s">
        <v>1576</v>
      </c>
      <c r="G2219" s="3" t="s">
        <v>34</v>
      </c>
      <c r="H2219" s="2" t="s">
        <v>22</v>
      </c>
      <c r="I2219" s="2" t="s">
        <v>5221</v>
      </c>
      <c r="J2219" s="3" t="str">
        <f>HYPERLINK("https://www.boe.es/gazeta/dias/1834/11/24/pdfs/GMD-1834-283.pdf#page=1","Abrir facsímil")</f>
        <v>Abrir facsímil</v>
      </c>
      <c r="K2219" s="3" t="s">
        <v>24</v>
      </c>
    </row>
    <row r="2220" spans="1:11" ht="54" customHeight="1">
      <c r="A2220" s="2" t="s">
        <v>5222</v>
      </c>
      <c r="B2220" s="2" t="s">
        <v>5223</v>
      </c>
      <c r="C2220" s="2" t="s">
        <v>17</v>
      </c>
      <c r="D2220" s="2" t="s">
        <v>18</v>
      </c>
      <c r="E2220" s="5" t="s">
        <v>2153</v>
      </c>
      <c r="F2220" s="3" t="s">
        <v>2154</v>
      </c>
      <c r="G2220" s="3" t="s">
        <v>21</v>
      </c>
      <c r="H2220" s="2" t="s">
        <v>22</v>
      </c>
      <c r="I2220" s="2" t="s">
        <v>5224</v>
      </c>
      <c r="J2220" s="3" t="str">
        <f>HYPERLINK("https://www.boe.es/gazeta/dias/1834/01/23/pdfs/GMD-1834-11.pdf#page=3","Abrir facsímil")</f>
        <v>Abrir facsímil</v>
      </c>
      <c r="K2220" s="3" t="s">
        <v>24</v>
      </c>
    </row>
    <row r="2221" spans="1:11" ht="54" customHeight="1">
      <c r="A2221" s="2" t="s">
        <v>5225</v>
      </c>
      <c r="B2221" s="2" t="s">
        <v>5226</v>
      </c>
      <c r="C2221" s="2" t="s">
        <v>17</v>
      </c>
      <c r="D2221" s="2" t="s">
        <v>18</v>
      </c>
      <c r="E2221" s="5" t="s">
        <v>3328</v>
      </c>
      <c r="F2221" s="3" t="s">
        <v>3329</v>
      </c>
      <c r="G2221" s="3" t="s">
        <v>34</v>
      </c>
      <c r="H2221" s="2" t="s">
        <v>22</v>
      </c>
      <c r="I2221" s="2" t="s">
        <v>5227</v>
      </c>
      <c r="J2221" s="3" t="str">
        <f>HYPERLINK("https://www.boe.es/gazeta/dias/1834/06/04/pdfs/GMD-1834-106.pdf#page=1","Abrir facsímil")</f>
        <v>Abrir facsímil</v>
      </c>
      <c r="K2221" s="3" t="s">
        <v>24</v>
      </c>
    </row>
    <row r="2222" spans="1:11" ht="54" customHeight="1">
      <c r="A2222" s="2" t="s">
        <v>5228</v>
      </c>
      <c r="B2222" s="2" t="s">
        <v>5229</v>
      </c>
      <c r="C2222" s="2" t="s">
        <v>122</v>
      </c>
      <c r="D2222" s="2" t="s">
        <v>18</v>
      </c>
      <c r="E2222" s="5" t="s">
        <v>408</v>
      </c>
      <c r="F2222" s="3" t="s">
        <v>409</v>
      </c>
      <c r="G2222" s="3" t="s">
        <v>75</v>
      </c>
      <c r="H2222" s="2" t="s">
        <v>22</v>
      </c>
      <c r="I2222" s="2" t="s">
        <v>5230</v>
      </c>
      <c r="J2222" s="3" t="str">
        <f>HYPERLINK("https://www.boe.es/gazeta/dias/1834/04/28/pdfs/GMD-1834-67.pdf#page=4","Abrir facsímil")</f>
        <v>Abrir facsímil</v>
      </c>
      <c r="K2222" s="3" t="s">
        <v>24</v>
      </c>
    </row>
    <row r="2223" spans="1:11" ht="54" customHeight="1">
      <c r="A2223" s="2" t="s">
        <v>5231</v>
      </c>
      <c r="B2223" s="2" t="s">
        <v>5232</v>
      </c>
      <c r="C2223" s="2" t="s">
        <v>66</v>
      </c>
      <c r="D2223" s="2" t="s">
        <v>18</v>
      </c>
      <c r="E2223" s="5" t="s">
        <v>891</v>
      </c>
      <c r="F2223" s="3" t="s">
        <v>3608</v>
      </c>
      <c r="G2223" s="3" t="s">
        <v>75</v>
      </c>
      <c r="H2223" s="2" t="s">
        <v>35</v>
      </c>
      <c r="I2223" s="2" t="s">
        <v>5233</v>
      </c>
      <c r="J2223" s="3" t="str">
        <f>HYPERLINK("https://www.boe.es/gazeta/dias/1834/10/31/pdfs/GMD-1834-259.pdf#page=4","Abrir facsímil")</f>
        <v>Abrir facsímil</v>
      </c>
      <c r="K2223" s="3" t="s">
        <v>37</v>
      </c>
    </row>
    <row r="2224" spans="1:11" ht="54" customHeight="1">
      <c r="A2224" s="2" t="s">
        <v>5234</v>
      </c>
      <c r="B2224" s="2" t="s">
        <v>5235</v>
      </c>
      <c r="C2224" s="2" t="s">
        <v>17</v>
      </c>
      <c r="D2224" s="2" t="s">
        <v>18</v>
      </c>
      <c r="E2224" s="5" t="s">
        <v>2107</v>
      </c>
      <c r="F2224" s="3" t="s">
        <v>2108</v>
      </c>
      <c r="G2224" s="3" t="s">
        <v>75</v>
      </c>
      <c r="H2224" s="2" t="s">
        <v>22</v>
      </c>
      <c r="I2224" s="2" t="s">
        <v>5236</v>
      </c>
      <c r="J2224" s="3" t="str">
        <f>HYPERLINK("https://www.boe.es/gazeta/dias/1834/08/24/pdfs/GMD-1834-190.pdf#page=4","Abrir facsímil")</f>
        <v>Abrir facsímil</v>
      </c>
      <c r="K2224" s="3" t="s">
        <v>24</v>
      </c>
    </row>
    <row r="2225" spans="1:11" ht="54" customHeight="1">
      <c r="A2225" s="2" t="s">
        <v>5237</v>
      </c>
      <c r="B2225" s="2" t="s">
        <v>5238</v>
      </c>
      <c r="C2225" s="2" t="s">
        <v>122</v>
      </c>
      <c r="D2225" s="2" t="s">
        <v>101</v>
      </c>
      <c r="E2225" s="5" t="s">
        <v>1234</v>
      </c>
      <c r="F2225" s="3" t="s">
        <v>1455</v>
      </c>
      <c r="G2225" s="3" t="s">
        <v>21</v>
      </c>
      <c r="H2225" s="2" t="s">
        <v>22</v>
      </c>
      <c r="I2225" s="2" t="s">
        <v>5239</v>
      </c>
      <c r="J2225" s="3" t="str">
        <f>HYPERLINK("https://www.boe.es/gazeta/dias/1834/05/15/pdfs/GMD-1834-84.pdf#page=3","Abrir facsímil")</f>
        <v>Abrir facsímil</v>
      </c>
      <c r="K2225" s="3" t="s">
        <v>24</v>
      </c>
    </row>
    <row r="2226" spans="1:11" ht="54" customHeight="1">
      <c r="A2226" s="2" t="s">
        <v>5240</v>
      </c>
      <c r="B2226" s="2" t="s">
        <v>5241</v>
      </c>
      <c r="C2226" s="2" t="s">
        <v>122</v>
      </c>
      <c r="D2226" s="2" t="s">
        <v>18</v>
      </c>
      <c r="E2226" s="5" t="s">
        <v>1351</v>
      </c>
      <c r="F2226" s="3" t="s">
        <v>1352</v>
      </c>
      <c r="G2226" s="3" t="s">
        <v>75</v>
      </c>
      <c r="H2226" s="2" t="s">
        <v>35</v>
      </c>
      <c r="I2226" s="2" t="s">
        <v>5242</v>
      </c>
      <c r="J2226" s="3" t="str">
        <f>HYPERLINK("https://www.boe.es/gazeta/dias/1834/07/05/pdfs/GMD-1834-138.pdf#page=4","Abrir facsímil")</f>
        <v>Abrir facsímil</v>
      </c>
      <c r="K2226" s="3" t="s">
        <v>37</v>
      </c>
    </row>
    <row r="2227" spans="1:11" ht="54" customHeight="1">
      <c r="A2227" s="2" t="s">
        <v>5243</v>
      </c>
      <c r="B2227" s="2" t="s">
        <v>5244</v>
      </c>
      <c r="C2227" s="2" t="s">
        <v>122</v>
      </c>
      <c r="D2227" s="2" t="s">
        <v>18</v>
      </c>
      <c r="E2227" s="5" t="s">
        <v>1351</v>
      </c>
      <c r="F2227" s="3" t="s">
        <v>1352</v>
      </c>
      <c r="G2227" s="3" t="s">
        <v>75</v>
      </c>
      <c r="H2227" s="2" t="s">
        <v>22</v>
      </c>
      <c r="I2227" s="2" t="s">
        <v>5245</v>
      </c>
      <c r="J2227" s="3" t="str">
        <f>HYPERLINK("https://www.boe.es/gazeta/dias/1834/07/05/pdfs/GMD-1834-138.pdf#page=4","Abrir facsímil")</f>
        <v>Abrir facsímil</v>
      </c>
      <c r="K2227" s="3" t="s">
        <v>24</v>
      </c>
    </row>
    <row r="2228" spans="1:11" ht="54" customHeight="1">
      <c r="A2228" s="2" t="s">
        <v>5246</v>
      </c>
      <c r="B2228" s="2" t="s">
        <v>5247</v>
      </c>
      <c r="C2228" s="2" t="s">
        <v>17</v>
      </c>
      <c r="D2228" s="2" t="s">
        <v>18</v>
      </c>
      <c r="E2228" s="5" t="s">
        <v>32</v>
      </c>
      <c r="F2228" s="3" t="s">
        <v>33</v>
      </c>
      <c r="G2228" s="3" t="s">
        <v>34</v>
      </c>
      <c r="H2228" s="2" t="s">
        <v>22</v>
      </c>
      <c r="I2228" s="2" t="s">
        <v>5248</v>
      </c>
      <c r="J2228" s="3" t="str">
        <f>HYPERLINK("https://www.boe.es/gazeta/dias/1834/04/23/pdfs/GMD-1834-62.pdf#page=1","Abrir facsímil")</f>
        <v>Abrir facsímil</v>
      </c>
      <c r="K2228" s="3" t="s">
        <v>24</v>
      </c>
    </row>
    <row r="2229" spans="1:11" ht="54" customHeight="1">
      <c r="A2229" s="2" t="s">
        <v>5249</v>
      </c>
      <c r="B2229" s="2" t="s">
        <v>5249</v>
      </c>
      <c r="C2229" s="2" t="s">
        <v>66</v>
      </c>
      <c r="D2229" s="2" t="s">
        <v>18</v>
      </c>
      <c r="E2229" s="5" t="s">
        <v>535</v>
      </c>
      <c r="F2229" s="3" t="s">
        <v>536</v>
      </c>
      <c r="G2229" s="3" t="s">
        <v>34</v>
      </c>
      <c r="H2229" s="2" t="s">
        <v>22</v>
      </c>
      <c r="I2229" s="2" t="s">
        <v>5250</v>
      </c>
      <c r="J2229" s="3" t="str">
        <f>HYPERLINK("https://www.boe.es/gazeta/dias/1834/05/21/pdfs/GMD-1834-90.pdf#page=1","Abrir facsímil")</f>
        <v>Abrir facsímil</v>
      </c>
      <c r="K2229" s="3" t="s">
        <v>24</v>
      </c>
    </row>
    <row r="2230" spans="1:11" ht="54" customHeight="1">
      <c r="A2230" s="2" t="s">
        <v>5251</v>
      </c>
      <c r="B2230" s="2" t="s">
        <v>5252</v>
      </c>
      <c r="C2230" s="2" t="s">
        <v>17</v>
      </c>
      <c r="D2230" s="2" t="s">
        <v>18</v>
      </c>
      <c r="E2230" s="5" t="s">
        <v>1981</v>
      </c>
      <c r="F2230" s="3" t="s">
        <v>2471</v>
      </c>
      <c r="G2230" s="3" t="s">
        <v>21</v>
      </c>
      <c r="H2230" s="2" t="s">
        <v>22</v>
      </c>
      <c r="I2230" s="2" t="s">
        <v>5253</v>
      </c>
      <c r="J2230" s="3" t="str">
        <f>HYPERLINK("https://www.boe.es/gazeta/dias/1834/12/13/pdfs/GMD-C-1834-302.pdf#page=3","Abrir facsímil")</f>
        <v>Abrir facsímil</v>
      </c>
      <c r="K2230" s="3" t="s">
        <v>24</v>
      </c>
    </row>
    <row r="2231" spans="1:11" ht="54" customHeight="1">
      <c r="A2231" s="2" t="s">
        <v>5254</v>
      </c>
      <c r="B2231" s="2" t="s">
        <v>5255</v>
      </c>
      <c r="C2231" s="2" t="s">
        <v>90</v>
      </c>
      <c r="D2231" s="2" t="s">
        <v>67</v>
      </c>
      <c r="E2231" s="5" t="s">
        <v>389</v>
      </c>
      <c r="F2231" s="3" t="s">
        <v>390</v>
      </c>
      <c r="G2231" s="3" t="s">
        <v>21</v>
      </c>
      <c r="H2231" s="2" t="s">
        <v>22</v>
      </c>
      <c r="I2231" s="2" t="s">
        <v>5256</v>
      </c>
      <c r="J2231" s="3" t="str">
        <f>HYPERLINK("https://www.boe.es/gazeta/dias/1834/10/25/pdfs/GMD-1834-253.pdf#page=3","Abrir facsímil")</f>
        <v>Abrir facsímil</v>
      </c>
      <c r="K2231" s="3" t="s">
        <v>24</v>
      </c>
    </row>
    <row r="2232" spans="1:11" ht="54" customHeight="1">
      <c r="A2232" s="2" t="s">
        <v>5257</v>
      </c>
      <c r="B2232" s="2" t="s">
        <v>5258</v>
      </c>
      <c r="C2232" s="2" t="s">
        <v>66</v>
      </c>
      <c r="D2232" s="2" t="s">
        <v>67</v>
      </c>
      <c r="E2232" s="5" t="s">
        <v>1695</v>
      </c>
      <c r="F2232" s="3" t="s">
        <v>1696</v>
      </c>
      <c r="G2232" s="3" t="s">
        <v>21</v>
      </c>
      <c r="H2232" s="2" t="s">
        <v>22</v>
      </c>
      <c r="I2232" s="2" t="s">
        <v>5259</v>
      </c>
      <c r="J2232" s="3" t="str">
        <f>HYPERLINK("https://www.boe.es/gazeta/dias/1834/06/30/pdfs/GMD-1834-133.pdf#page=3","Abrir facsímil")</f>
        <v>Abrir facsímil</v>
      </c>
      <c r="K2232" s="3" t="s">
        <v>24</v>
      </c>
    </row>
    <row r="2233" spans="1:11" ht="54" customHeight="1">
      <c r="A2233" s="2" t="s">
        <v>5260</v>
      </c>
      <c r="B2233" s="2" t="s">
        <v>5260</v>
      </c>
      <c r="C2233" s="2" t="s">
        <v>17</v>
      </c>
      <c r="D2233" s="2" t="s">
        <v>18</v>
      </c>
      <c r="E2233" s="5" t="s">
        <v>258</v>
      </c>
      <c r="F2233" s="3" t="s">
        <v>259</v>
      </c>
      <c r="G2233" s="3" t="s">
        <v>21</v>
      </c>
      <c r="H2233" s="2" t="s">
        <v>22</v>
      </c>
      <c r="I2233" s="2" t="s">
        <v>5261</v>
      </c>
      <c r="J2233" s="3" t="str">
        <f>HYPERLINK("https://www.boe.es/gazeta/dias/1834/10/09/pdfs/GMD-C-1834-237.pdf#page=3","Abrir facsímil")</f>
        <v>Abrir facsímil</v>
      </c>
      <c r="K2233" s="3" t="s">
        <v>24</v>
      </c>
    </row>
    <row r="2234" spans="1:11" ht="54" customHeight="1">
      <c r="A2234" s="2" t="s">
        <v>5262</v>
      </c>
      <c r="B2234" s="2" t="s">
        <v>5262</v>
      </c>
      <c r="C2234" s="2" t="s">
        <v>17</v>
      </c>
      <c r="D2234" s="2" t="s">
        <v>18</v>
      </c>
      <c r="E2234" s="5" t="s">
        <v>1103</v>
      </c>
      <c r="F2234" s="3" t="s">
        <v>1104</v>
      </c>
      <c r="G2234" s="3" t="s">
        <v>34</v>
      </c>
      <c r="H2234" s="2" t="s">
        <v>22</v>
      </c>
      <c r="I2234" s="2" t="s">
        <v>5263</v>
      </c>
      <c r="J2234" s="3" t="str">
        <f>HYPERLINK("https://www.boe.es/gazeta/dias/1834/10/10/pdfs/GMD-C-1834-238.pdf#page=1","Abrir facsímil")</f>
        <v>Abrir facsímil</v>
      </c>
      <c r="K2234" s="3" t="s">
        <v>24</v>
      </c>
    </row>
    <row r="2235" spans="1:11" ht="54" customHeight="1">
      <c r="A2235" s="2" t="s">
        <v>5264</v>
      </c>
      <c r="B2235" s="2" t="s">
        <v>5264</v>
      </c>
      <c r="C2235" s="2" t="s">
        <v>17</v>
      </c>
      <c r="D2235" s="2" t="s">
        <v>18</v>
      </c>
      <c r="E2235" s="5" t="s">
        <v>672</v>
      </c>
      <c r="F2235" s="3" t="s">
        <v>1055</v>
      </c>
      <c r="G2235" s="3" t="s">
        <v>75</v>
      </c>
      <c r="H2235" s="2" t="s">
        <v>22</v>
      </c>
      <c r="I2235" s="2" t="s">
        <v>5265</v>
      </c>
      <c r="J2235" s="3" t="str">
        <f>HYPERLINK("https://www.boe.es/gazeta/dias/1834/09/19/pdfs/GMD-C-1834-217.pdf#page=4","Abrir facsímil")</f>
        <v>Abrir facsímil</v>
      </c>
      <c r="K2235" s="3" t="s">
        <v>24</v>
      </c>
    </row>
    <row r="2236" spans="1:11" ht="54" customHeight="1">
      <c r="A2236" s="2" t="s">
        <v>5266</v>
      </c>
      <c r="B2236" s="2" t="s">
        <v>5267</v>
      </c>
      <c r="C2236" s="2" t="s">
        <v>17</v>
      </c>
      <c r="D2236" s="2" t="s">
        <v>18</v>
      </c>
      <c r="E2236" s="5" t="s">
        <v>233</v>
      </c>
      <c r="F2236" s="3" t="s">
        <v>1810</v>
      </c>
      <c r="G2236" s="3" t="s">
        <v>86</v>
      </c>
      <c r="H2236" s="2" t="s">
        <v>22</v>
      </c>
      <c r="I2236" s="2" t="s">
        <v>5268</v>
      </c>
      <c r="J2236" s="3" t="str">
        <f>HYPERLINK("https://www.boe.es/gazeta/dias/1834/12/16/pdfs/GMD-C-1834-305.pdf#page=2","Abrir facsímil")</f>
        <v>Abrir facsímil</v>
      </c>
      <c r="K2236" s="3" t="s">
        <v>24</v>
      </c>
    </row>
    <row r="2237" spans="1:11" ht="54" customHeight="1">
      <c r="A2237" s="2" t="s">
        <v>5269</v>
      </c>
      <c r="B2237" s="2" t="s">
        <v>5269</v>
      </c>
      <c r="C2237" s="2" t="s">
        <v>17</v>
      </c>
      <c r="D2237" s="2" t="s">
        <v>18</v>
      </c>
      <c r="E2237" s="5" t="s">
        <v>707</v>
      </c>
      <c r="F2237" s="3" t="s">
        <v>708</v>
      </c>
      <c r="G2237" s="3" t="s">
        <v>75</v>
      </c>
      <c r="H2237" s="2" t="s">
        <v>22</v>
      </c>
      <c r="I2237" s="2" t="s">
        <v>5270</v>
      </c>
      <c r="J2237" s="3" t="str">
        <f>HYPERLINK("https://www.boe.es/gazeta/dias/1834/11/25/pdfs/GMD-C-1834-284.pdf#page=4","Abrir facsímil")</f>
        <v>Abrir facsímil</v>
      </c>
      <c r="K2237" s="3" t="s">
        <v>24</v>
      </c>
    </row>
    <row r="2238" spans="1:11" ht="54" customHeight="1">
      <c r="A2238" s="2" t="s">
        <v>5271</v>
      </c>
      <c r="B2238" s="2" t="s">
        <v>5272</v>
      </c>
      <c r="C2238" s="2" t="s">
        <v>17</v>
      </c>
      <c r="D2238" s="2" t="s">
        <v>18</v>
      </c>
      <c r="E2238" s="5" t="s">
        <v>1692</v>
      </c>
      <c r="F2238" s="3" t="s">
        <v>3985</v>
      </c>
      <c r="G2238" s="3" t="s">
        <v>34</v>
      </c>
      <c r="H2238" s="2" t="s">
        <v>35</v>
      </c>
      <c r="I2238" s="2" t="s">
        <v>5273</v>
      </c>
      <c r="J2238" s="3" t="str">
        <f>HYPERLINK("https://www.boe.es/gazeta/dias/1834/07/29/pdfs/GMD-C-1834-162.pdf#page=1","Abrir facsímil")</f>
        <v>Abrir facsímil</v>
      </c>
      <c r="K2238" s="3" t="s">
        <v>37</v>
      </c>
    </row>
    <row r="2239" spans="1:11" ht="54" customHeight="1">
      <c r="A2239" s="2" t="s">
        <v>5274</v>
      </c>
      <c r="B2239" s="2" t="s">
        <v>5275</v>
      </c>
      <c r="C2239" s="2" t="s">
        <v>66</v>
      </c>
      <c r="D2239" s="2" t="s">
        <v>67</v>
      </c>
      <c r="E2239" s="5" t="s">
        <v>133</v>
      </c>
      <c r="F2239" s="3" t="s">
        <v>134</v>
      </c>
      <c r="G2239" s="3" t="s">
        <v>34</v>
      </c>
      <c r="H2239" s="2" t="s">
        <v>22</v>
      </c>
      <c r="I2239" s="2" t="s">
        <v>5276</v>
      </c>
      <c r="J2239" s="3" t="str">
        <f>HYPERLINK("https://www.boe.es/gazeta/dias/1834/06/18/pdfs/GMD-1834-121.pdf#page=1","Abrir facsímil")</f>
        <v>Abrir facsímil</v>
      </c>
      <c r="K2239" s="3" t="s">
        <v>24</v>
      </c>
    </row>
    <row r="2240" spans="1:11" ht="54" customHeight="1">
      <c r="A2240" s="2" t="s">
        <v>5274</v>
      </c>
      <c r="B2240" s="2" t="s">
        <v>5275</v>
      </c>
      <c r="C2240" s="2" t="s">
        <v>17</v>
      </c>
      <c r="D2240" s="2" t="s">
        <v>101</v>
      </c>
      <c r="E2240" s="5" t="s">
        <v>32</v>
      </c>
      <c r="F2240" s="3" t="s">
        <v>33</v>
      </c>
      <c r="G2240" s="3" t="s">
        <v>86</v>
      </c>
      <c r="H2240" s="2" t="s">
        <v>22</v>
      </c>
      <c r="I2240" s="2" t="s">
        <v>5277</v>
      </c>
      <c r="J2240" s="3" t="str">
        <f>HYPERLINK("https://www.boe.es/gazeta/dias/1834/04/23/pdfs/GMD-1834-62.pdf#page=2","Abrir facsímil")</f>
        <v>Abrir facsímil</v>
      </c>
      <c r="K2240" s="3" t="s">
        <v>24</v>
      </c>
    </row>
    <row r="2241" spans="1:11" ht="54" customHeight="1">
      <c r="A2241" s="2" t="s">
        <v>5274</v>
      </c>
      <c r="B2241" s="2" t="s">
        <v>5275</v>
      </c>
      <c r="C2241" s="2" t="s">
        <v>46</v>
      </c>
      <c r="D2241" s="2" t="s">
        <v>18</v>
      </c>
      <c r="E2241" s="5" t="s">
        <v>2306</v>
      </c>
      <c r="F2241" s="3" t="s">
        <v>2307</v>
      </c>
      <c r="G2241" s="3" t="s">
        <v>34</v>
      </c>
      <c r="H2241" s="2" t="s">
        <v>22</v>
      </c>
      <c r="I2241" s="2" t="s">
        <v>5278</v>
      </c>
      <c r="J2241" s="3" t="str">
        <f>HYPERLINK("https://www.boe.es/gazeta/dias/1834/04/26/pdfs/GMD-1834-65.pdf#page=1","Abrir facsímil")</f>
        <v>Abrir facsímil</v>
      </c>
      <c r="K2241" s="3" t="s">
        <v>24</v>
      </c>
    </row>
    <row r="2242" spans="1:11" ht="54" customHeight="1">
      <c r="A2242" s="2" t="s">
        <v>5274</v>
      </c>
      <c r="B2242" s="2" t="s">
        <v>5275</v>
      </c>
      <c r="C2242" s="2" t="s">
        <v>17</v>
      </c>
      <c r="D2242" s="2" t="s">
        <v>18</v>
      </c>
      <c r="E2242" s="5" t="s">
        <v>1692</v>
      </c>
      <c r="F2242" s="3" t="s">
        <v>3985</v>
      </c>
      <c r="G2242" s="3" t="s">
        <v>34</v>
      </c>
      <c r="H2242" s="2" t="s">
        <v>22</v>
      </c>
      <c r="I2242" s="2" t="s">
        <v>5279</v>
      </c>
      <c r="J2242" s="3" t="str">
        <f>HYPERLINK("https://www.boe.es/gazeta/dias/1834/07/29/pdfs/GMD-C-1834-162.pdf#page=1","Abrir facsímil")</f>
        <v>Abrir facsímil</v>
      </c>
      <c r="K2242" s="3" t="s">
        <v>24</v>
      </c>
    </row>
    <row r="2243" spans="1:11" ht="54" customHeight="1">
      <c r="A2243" s="2" t="s">
        <v>5280</v>
      </c>
      <c r="B2243" s="2" t="s">
        <v>5280</v>
      </c>
      <c r="C2243" s="2" t="s">
        <v>90</v>
      </c>
      <c r="D2243" s="2" t="s">
        <v>18</v>
      </c>
      <c r="E2243" s="5" t="s">
        <v>667</v>
      </c>
      <c r="F2243" s="3" t="s">
        <v>668</v>
      </c>
      <c r="G2243" s="3" t="s">
        <v>28</v>
      </c>
      <c r="H2243" s="2" t="s">
        <v>22</v>
      </c>
      <c r="I2243" s="2" t="s">
        <v>5281</v>
      </c>
      <c r="J2243" s="3" t="str">
        <f>HYPERLINK("https://www.boe.es/gazeta/dias/1834/11/23/pdfs/GMD-C-1834-282.pdf#page=5","Abrir facsímil")</f>
        <v>Abrir facsímil</v>
      </c>
      <c r="K2243" s="3" t="s">
        <v>24</v>
      </c>
    </row>
    <row r="2244" spans="1:11" ht="54" customHeight="1">
      <c r="A2244" s="2" t="s">
        <v>5282</v>
      </c>
      <c r="B2244" s="2" t="s">
        <v>5282</v>
      </c>
      <c r="C2244" s="2" t="s">
        <v>17</v>
      </c>
      <c r="D2244" s="2" t="s">
        <v>18</v>
      </c>
      <c r="E2244" s="5" t="s">
        <v>981</v>
      </c>
      <c r="F2244" s="3" t="s">
        <v>3406</v>
      </c>
      <c r="G2244" s="3" t="s">
        <v>21</v>
      </c>
      <c r="H2244" s="2" t="s">
        <v>22</v>
      </c>
      <c r="I2244" s="2" t="s">
        <v>5283</v>
      </c>
      <c r="J2244" s="3" t="str">
        <f>HYPERLINK("https://www.boe.es/gazeta/dias/1834/09/21/pdfs/GMD-C-1834-219.pdf#page=3","Abrir facsímil")</f>
        <v>Abrir facsímil</v>
      </c>
      <c r="K2244" s="3" t="s">
        <v>24</v>
      </c>
    </row>
    <row r="2245" spans="1:11" ht="54" customHeight="1">
      <c r="A2245" s="2" t="s">
        <v>5284</v>
      </c>
      <c r="B2245" s="2" t="s">
        <v>5284</v>
      </c>
      <c r="C2245" s="2" t="s">
        <v>46</v>
      </c>
      <c r="D2245" s="2" t="s">
        <v>18</v>
      </c>
      <c r="E2245" s="5" t="s">
        <v>905</v>
      </c>
      <c r="F2245" s="3" t="s">
        <v>1651</v>
      </c>
      <c r="G2245" s="3" t="s">
        <v>86</v>
      </c>
      <c r="H2245" s="2" t="s">
        <v>22</v>
      </c>
      <c r="I2245" s="2" t="s">
        <v>5285</v>
      </c>
      <c r="J2245" s="3" t="str">
        <f>HYPERLINK("https://www.boe.es/gazeta/dias/1834/08/02/pdfs/GMD-1834-166.pdf#page=2","Abrir facsímil")</f>
        <v>Abrir facsímil</v>
      </c>
      <c r="K2245" s="3" t="s">
        <v>24</v>
      </c>
    </row>
    <row r="2246" spans="1:11" ht="54" customHeight="1">
      <c r="A2246" s="2" t="s">
        <v>5286</v>
      </c>
      <c r="B2246" s="2" t="s">
        <v>5286</v>
      </c>
      <c r="C2246" s="2" t="s">
        <v>17</v>
      </c>
      <c r="D2246" s="2" t="s">
        <v>18</v>
      </c>
      <c r="E2246" s="5" t="s">
        <v>158</v>
      </c>
      <c r="F2246" s="3" t="s">
        <v>581</v>
      </c>
      <c r="G2246" s="3" t="s">
        <v>75</v>
      </c>
      <c r="H2246" s="2" t="s">
        <v>22</v>
      </c>
      <c r="I2246" s="2" t="s">
        <v>5287</v>
      </c>
      <c r="J2246" s="3" t="str">
        <f>HYPERLINK("https://www.boe.es/gazeta/dias/1834/10/01/pdfs/GMD-C-1834-229.pdf#page=4","Abrir facsímil")</f>
        <v>Abrir facsímil</v>
      </c>
      <c r="K2246" s="3" t="s">
        <v>24</v>
      </c>
    </row>
    <row r="2247" spans="1:11" ht="54" customHeight="1">
      <c r="A2247" s="2" t="s">
        <v>5288</v>
      </c>
      <c r="B2247" s="2" t="s">
        <v>5288</v>
      </c>
      <c r="C2247" s="2" t="s">
        <v>17</v>
      </c>
      <c r="D2247" s="2" t="s">
        <v>18</v>
      </c>
      <c r="E2247" s="5" t="s">
        <v>403</v>
      </c>
      <c r="F2247" s="3" t="s">
        <v>404</v>
      </c>
      <c r="G2247" s="3" t="s">
        <v>560</v>
      </c>
      <c r="H2247" s="2" t="s">
        <v>22</v>
      </c>
      <c r="I2247" s="2" t="s">
        <v>5289</v>
      </c>
      <c r="J2247" s="3" t="str">
        <f>HYPERLINK("https://www.boe.es/gazeta/dias/1834/09/25/pdfs/GMD-C-1834-223.pdf#page=7","Abrir facsímil")</f>
        <v>Abrir facsímil</v>
      </c>
      <c r="K2247" s="3" t="s">
        <v>24</v>
      </c>
    </row>
    <row r="2248" spans="1:11" ht="54" customHeight="1">
      <c r="A2248" s="2" t="s">
        <v>5290</v>
      </c>
      <c r="B2248" s="2" t="s">
        <v>5290</v>
      </c>
      <c r="C2248" s="2" t="s">
        <v>66</v>
      </c>
      <c r="D2248" s="2" t="s">
        <v>67</v>
      </c>
      <c r="E2248" s="5" t="s">
        <v>32</v>
      </c>
      <c r="F2248" s="3" t="s">
        <v>33</v>
      </c>
      <c r="G2248" s="3" t="s">
        <v>28</v>
      </c>
      <c r="H2248" s="2" t="s">
        <v>22</v>
      </c>
      <c r="I2248" s="2" t="s">
        <v>5291</v>
      </c>
      <c r="J2248" s="3" t="str">
        <f>HYPERLINK("https://www.boe.es/gazeta/dias/1834/04/23/pdfs/GMD-1834-62.pdf#page=5","Abrir facsímil")</f>
        <v>Abrir facsímil</v>
      </c>
      <c r="K2248" s="3" t="s">
        <v>24</v>
      </c>
    </row>
    <row r="2249" spans="1:11" ht="54" customHeight="1">
      <c r="A2249" s="2" t="s">
        <v>5292</v>
      </c>
      <c r="B2249" s="2" t="s">
        <v>5292</v>
      </c>
      <c r="C2249" s="2" t="s">
        <v>17</v>
      </c>
      <c r="D2249" s="2" t="s">
        <v>18</v>
      </c>
      <c r="E2249" s="5" t="s">
        <v>777</v>
      </c>
      <c r="F2249" s="3" t="s">
        <v>2535</v>
      </c>
      <c r="G2249" s="3" t="s">
        <v>21</v>
      </c>
      <c r="H2249" s="2" t="s">
        <v>22</v>
      </c>
      <c r="I2249" s="2" t="s">
        <v>5293</v>
      </c>
      <c r="J2249" s="3" t="str">
        <f>HYPERLINK("https://www.boe.es/gazeta/dias/1834/10/29/pdfs/GMD-C-1834-257.pdf#page=3","Abrir facsímil")</f>
        <v>Abrir facsímil</v>
      </c>
      <c r="K2249" s="3" t="s">
        <v>24</v>
      </c>
    </row>
    <row r="2250" spans="1:11" ht="54" customHeight="1">
      <c r="A2250" s="2" t="s">
        <v>5294</v>
      </c>
      <c r="B2250" s="2" t="s">
        <v>5294</v>
      </c>
      <c r="C2250" s="2" t="s">
        <v>17</v>
      </c>
      <c r="D2250" s="2" t="s">
        <v>18</v>
      </c>
      <c r="E2250" s="5" t="s">
        <v>1955</v>
      </c>
      <c r="F2250" s="3" t="s">
        <v>1956</v>
      </c>
      <c r="G2250" s="3" t="s">
        <v>75</v>
      </c>
      <c r="H2250" s="2" t="s">
        <v>22</v>
      </c>
      <c r="I2250" s="2" t="s">
        <v>5295</v>
      </c>
      <c r="J2250" s="3" t="str">
        <f>HYPERLINK("https://www.boe.es/gazeta/dias/1834/05/04/pdfs/GMD-1834-73.pdf#page=4","Abrir facsímil")</f>
        <v>Abrir facsímil</v>
      </c>
      <c r="K2250" s="3" t="s">
        <v>24</v>
      </c>
    </row>
    <row r="2251" spans="1:11" ht="54" customHeight="1">
      <c r="A2251" s="2" t="s">
        <v>5296</v>
      </c>
      <c r="B2251" s="2" t="s">
        <v>5297</v>
      </c>
      <c r="C2251" s="2" t="s">
        <v>122</v>
      </c>
      <c r="D2251" s="2" t="s">
        <v>18</v>
      </c>
      <c r="E2251" s="5" t="s">
        <v>823</v>
      </c>
      <c r="F2251" s="3" t="s">
        <v>824</v>
      </c>
      <c r="G2251" s="3" t="s">
        <v>176</v>
      </c>
      <c r="H2251" s="2" t="s">
        <v>35</v>
      </c>
      <c r="I2251" s="2" t="s">
        <v>5298</v>
      </c>
      <c r="J2251" s="3" t="str">
        <f>HYPERLINK("https://www.boe.es/gazeta/dias/1834/07/23/pdfs/GMD-1834-156.pdf#page=6","Abrir facsímil")</f>
        <v>Abrir facsímil</v>
      </c>
      <c r="K2251" s="3" t="s">
        <v>37</v>
      </c>
    </row>
    <row r="2252" spans="1:11" ht="54" customHeight="1">
      <c r="A2252" s="2" t="s">
        <v>5299</v>
      </c>
      <c r="B2252" s="2" t="s">
        <v>5300</v>
      </c>
      <c r="C2252" s="2" t="s">
        <v>122</v>
      </c>
      <c r="D2252" s="2" t="s">
        <v>18</v>
      </c>
      <c r="E2252" s="5" t="s">
        <v>823</v>
      </c>
      <c r="F2252" s="3" t="s">
        <v>824</v>
      </c>
      <c r="G2252" s="3" t="s">
        <v>176</v>
      </c>
      <c r="H2252" s="2" t="s">
        <v>35</v>
      </c>
      <c r="I2252" s="2" t="s">
        <v>5301</v>
      </c>
      <c r="J2252" s="3" t="str">
        <f>HYPERLINK("https://www.boe.es/gazeta/dias/1834/07/23/pdfs/GMD-1834-156.pdf#page=6","Abrir facsímil")</f>
        <v>Abrir facsímil</v>
      </c>
      <c r="K2252" s="3" t="s">
        <v>37</v>
      </c>
    </row>
    <row r="2253" spans="1:11" ht="54" customHeight="1">
      <c r="A2253" s="2" t="s">
        <v>5302</v>
      </c>
      <c r="B2253" s="2" t="s">
        <v>5303</v>
      </c>
      <c r="C2253" s="2" t="s">
        <v>122</v>
      </c>
      <c r="D2253" s="2" t="s">
        <v>18</v>
      </c>
      <c r="E2253" s="5" t="s">
        <v>823</v>
      </c>
      <c r="F2253" s="3" t="s">
        <v>824</v>
      </c>
      <c r="G2253" s="3" t="s">
        <v>176</v>
      </c>
      <c r="H2253" s="2" t="s">
        <v>22</v>
      </c>
      <c r="I2253" s="2" t="s">
        <v>5304</v>
      </c>
      <c r="J2253" s="3" t="str">
        <f>HYPERLINK("https://www.boe.es/gazeta/dias/1834/07/23/pdfs/GMD-1834-156.pdf#page=6","Abrir facsímil")</f>
        <v>Abrir facsímil</v>
      </c>
      <c r="K2253" s="3" t="s">
        <v>24</v>
      </c>
    </row>
    <row r="2254" spans="1:11" ht="54" customHeight="1">
      <c r="A2254" s="2" t="s">
        <v>5305</v>
      </c>
      <c r="B2254" s="2" t="s">
        <v>5306</v>
      </c>
      <c r="C2254" s="2" t="s">
        <v>122</v>
      </c>
      <c r="D2254" s="2" t="s">
        <v>18</v>
      </c>
      <c r="E2254" s="5" t="s">
        <v>513</v>
      </c>
      <c r="F2254" s="3" t="s">
        <v>514</v>
      </c>
      <c r="G2254" s="3" t="s">
        <v>34</v>
      </c>
      <c r="H2254" s="2" t="s">
        <v>22</v>
      </c>
      <c r="I2254" s="2" t="s">
        <v>5307</v>
      </c>
      <c r="J2254" s="3" t="str">
        <f>HYPERLINK("https://www.boe.es/gazeta/dias/1834/04/27/pdfs/GMD-1834-66.pdf#page=1","Abrir facsímil")</f>
        <v>Abrir facsímil</v>
      </c>
      <c r="K2254" s="3" t="s">
        <v>24</v>
      </c>
    </row>
    <row r="2255" spans="1:11" ht="54" customHeight="1">
      <c r="A2255" s="2" t="s">
        <v>5308</v>
      </c>
      <c r="B2255" s="2" t="s">
        <v>5309</v>
      </c>
      <c r="C2255" s="2" t="s">
        <v>66</v>
      </c>
      <c r="D2255" s="2" t="s">
        <v>67</v>
      </c>
      <c r="E2255" s="5" t="s">
        <v>1438</v>
      </c>
      <c r="F2255" s="3" t="s">
        <v>1439</v>
      </c>
      <c r="G2255" s="3" t="s">
        <v>21</v>
      </c>
      <c r="H2255" s="2" t="s">
        <v>22</v>
      </c>
      <c r="I2255" s="2" t="s">
        <v>5310</v>
      </c>
      <c r="J2255" s="3" t="str">
        <f>HYPERLINK("https://www.boe.es/gazeta/dias/1834/05/13/pdfs/GMD-1834-82.pdf#page=3","Abrir facsímil")</f>
        <v>Abrir facsímil</v>
      </c>
      <c r="K2255" s="3" t="s">
        <v>24</v>
      </c>
    </row>
    <row r="2256" spans="1:11" ht="54" customHeight="1">
      <c r="A2256" s="2" t="s">
        <v>5311</v>
      </c>
      <c r="B2256" s="2" t="s">
        <v>5312</v>
      </c>
      <c r="C2256" s="2" t="s">
        <v>17</v>
      </c>
      <c r="D2256" s="2" t="s">
        <v>18</v>
      </c>
      <c r="E2256" s="5" t="s">
        <v>860</v>
      </c>
      <c r="F2256" s="3" t="s">
        <v>861</v>
      </c>
      <c r="G2256" s="3" t="s">
        <v>560</v>
      </c>
      <c r="H2256" s="2" t="s">
        <v>22</v>
      </c>
      <c r="I2256" s="2" t="s">
        <v>5313</v>
      </c>
      <c r="J2256" s="3" t="str">
        <f>HYPERLINK("https://www.boe.es/gazeta/dias/1834/02/08/pdfs/GMD-1834-18.pdf#page=7","Abrir facsímil")</f>
        <v>Abrir facsímil</v>
      </c>
      <c r="K2256" s="3" t="s">
        <v>24</v>
      </c>
    </row>
    <row r="2257" spans="1:11" ht="54" customHeight="1">
      <c r="A2257" s="2" t="s">
        <v>5314</v>
      </c>
      <c r="B2257" s="2" t="s">
        <v>5315</v>
      </c>
      <c r="C2257" s="2" t="s">
        <v>46</v>
      </c>
      <c r="D2257" s="2" t="s">
        <v>101</v>
      </c>
      <c r="E2257" s="5" t="s">
        <v>1135</v>
      </c>
      <c r="F2257" s="3" t="s">
        <v>1566</v>
      </c>
      <c r="G2257" s="3" t="s">
        <v>86</v>
      </c>
      <c r="H2257" s="2" t="s">
        <v>22</v>
      </c>
      <c r="I2257" s="2" t="s">
        <v>5316</v>
      </c>
      <c r="J2257" s="3" t="str">
        <f>HYPERLINK("https://www.boe.es/gazeta/dias/1834/08/26/pdfs/GMD-C-1834-192.pdf#page=2","Abrir facsímil")</f>
        <v>Abrir facsímil</v>
      </c>
      <c r="K2257" s="3" t="s">
        <v>24</v>
      </c>
    </row>
    <row r="2258" spans="1:11" ht="54" customHeight="1">
      <c r="A2258" s="2" t="s">
        <v>5317</v>
      </c>
      <c r="B2258" s="2" t="s">
        <v>5318</v>
      </c>
      <c r="C2258" s="2" t="s">
        <v>17</v>
      </c>
      <c r="D2258" s="2" t="s">
        <v>18</v>
      </c>
      <c r="E2258" s="5" t="s">
        <v>2860</v>
      </c>
      <c r="F2258" s="3" t="s">
        <v>2861</v>
      </c>
      <c r="G2258" s="3" t="s">
        <v>21</v>
      </c>
      <c r="H2258" s="2" t="s">
        <v>35</v>
      </c>
      <c r="I2258" s="2" t="s">
        <v>5319</v>
      </c>
      <c r="J2258" s="3" t="str">
        <f>HYPERLINK("https://www.boe.es/gazeta/dias/1834/07/20/pdfs/GMD-1834-153.pdf#page=3","Abrir facsímil")</f>
        <v>Abrir facsímil</v>
      </c>
      <c r="K2258" s="3" t="s">
        <v>37</v>
      </c>
    </row>
    <row r="2259" spans="1:11" ht="54" customHeight="1">
      <c r="A2259" s="2" t="s">
        <v>5320</v>
      </c>
      <c r="B2259" s="2" t="s">
        <v>5321</v>
      </c>
      <c r="C2259" s="2" t="s">
        <v>17</v>
      </c>
      <c r="D2259" s="2" t="s">
        <v>18</v>
      </c>
      <c r="E2259" s="5" t="s">
        <v>2860</v>
      </c>
      <c r="F2259" s="3" t="s">
        <v>2861</v>
      </c>
      <c r="G2259" s="3" t="s">
        <v>21</v>
      </c>
      <c r="H2259" s="2" t="s">
        <v>22</v>
      </c>
      <c r="I2259" s="2" t="s">
        <v>5322</v>
      </c>
      <c r="J2259" s="3" t="str">
        <f>HYPERLINK("https://www.boe.es/gazeta/dias/1834/07/20/pdfs/GMD-1834-153.pdf#page=3","Abrir facsímil")</f>
        <v>Abrir facsímil</v>
      </c>
      <c r="K2259" s="3" t="s">
        <v>24</v>
      </c>
    </row>
    <row r="2260" spans="1:11" ht="54" customHeight="1">
      <c r="A2260" s="2" t="s">
        <v>5323</v>
      </c>
      <c r="B2260" s="2" t="s">
        <v>5324</v>
      </c>
      <c r="C2260" s="2" t="s">
        <v>66</v>
      </c>
      <c r="D2260" s="2" t="s">
        <v>67</v>
      </c>
      <c r="E2260" s="5" t="s">
        <v>148</v>
      </c>
      <c r="F2260" s="3" t="s">
        <v>149</v>
      </c>
      <c r="G2260" s="3" t="s">
        <v>21</v>
      </c>
      <c r="H2260" s="2" t="s">
        <v>22</v>
      </c>
      <c r="I2260" s="2" t="s">
        <v>5325</v>
      </c>
      <c r="J2260" s="3" t="str">
        <f>HYPERLINK("https://www.boe.es/gazeta/dias/1834/10/20/pdfs/GMD-1834-248.pdf#page=3","Abrir facsímil")</f>
        <v>Abrir facsímil</v>
      </c>
      <c r="K2260" s="3" t="s">
        <v>24</v>
      </c>
    </row>
    <row r="2261" spans="1:11" ht="54" customHeight="1">
      <c r="A2261" s="2" t="s">
        <v>5326</v>
      </c>
      <c r="B2261" s="2" t="s">
        <v>5327</v>
      </c>
      <c r="C2261" s="2" t="s">
        <v>17</v>
      </c>
      <c r="D2261" s="2" t="s">
        <v>18</v>
      </c>
      <c r="E2261" s="5" t="s">
        <v>2142</v>
      </c>
      <c r="F2261" s="3" t="s">
        <v>2143</v>
      </c>
      <c r="G2261" s="3" t="s">
        <v>75</v>
      </c>
      <c r="H2261" s="2" t="s">
        <v>22</v>
      </c>
      <c r="I2261" s="2" t="s">
        <v>5328</v>
      </c>
      <c r="J2261" s="3" t="str">
        <f>HYPERLINK("https://www.boe.es/gazeta/dias/1834/12/27/pdfs/GMD-1834-317.pdf#page=4","Abrir facsímil")</f>
        <v>Abrir facsímil</v>
      </c>
      <c r="K2261" s="3" t="s">
        <v>24</v>
      </c>
    </row>
    <row r="2262" spans="1:11" ht="54" customHeight="1">
      <c r="A2262" s="2" t="s">
        <v>5329</v>
      </c>
      <c r="B2262" s="2" t="s">
        <v>5329</v>
      </c>
      <c r="C2262" s="2" t="s">
        <v>90</v>
      </c>
      <c r="D2262" s="2" t="s">
        <v>18</v>
      </c>
      <c r="E2262" s="5" t="s">
        <v>158</v>
      </c>
      <c r="F2262" s="3" t="s">
        <v>581</v>
      </c>
      <c r="G2262" s="3" t="s">
        <v>34</v>
      </c>
      <c r="H2262" s="2" t="s">
        <v>22</v>
      </c>
      <c r="I2262" s="2" t="s">
        <v>5330</v>
      </c>
      <c r="J2262" s="3" t="str">
        <f>HYPERLINK("https://www.boe.es/gazeta/dias/1834/10/01/pdfs/GMD-C-1834-229.pdf#page=1","Abrir facsímil")</f>
        <v>Abrir facsímil</v>
      </c>
      <c r="K2262" s="3" t="s">
        <v>24</v>
      </c>
    </row>
    <row r="2263" spans="1:11" ht="54" customHeight="1">
      <c r="A2263" s="2" t="s">
        <v>5331</v>
      </c>
      <c r="B2263" s="2" t="s">
        <v>5332</v>
      </c>
      <c r="C2263" s="2" t="s">
        <v>122</v>
      </c>
      <c r="D2263" s="2" t="s">
        <v>18</v>
      </c>
      <c r="E2263" s="5" t="s">
        <v>237</v>
      </c>
      <c r="F2263" s="3" t="s">
        <v>238</v>
      </c>
      <c r="G2263" s="3" t="s">
        <v>34</v>
      </c>
      <c r="H2263" s="2" t="s">
        <v>35</v>
      </c>
      <c r="I2263" s="2" t="s">
        <v>5333</v>
      </c>
      <c r="J2263" s="3" t="str">
        <f>HYPERLINK("https://www.boe.es/gazeta/dias/1834/08/15/pdfs/GMD-C-1834-180.pdf#page=1","Abrir facsímil")</f>
        <v>Abrir facsímil</v>
      </c>
      <c r="K2263" s="3" t="s">
        <v>37</v>
      </c>
    </row>
    <row r="2264" spans="1:11" ht="54" customHeight="1">
      <c r="A2264" s="2" t="s">
        <v>5334</v>
      </c>
      <c r="B2264" s="2" t="s">
        <v>5335</v>
      </c>
      <c r="C2264" s="2" t="s">
        <v>122</v>
      </c>
      <c r="D2264" s="2" t="s">
        <v>18</v>
      </c>
      <c r="E2264" s="5" t="s">
        <v>237</v>
      </c>
      <c r="F2264" s="3" t="s">
        <v>238</v>
      </c>
      <c r="G2264" s="3" t="s">
        <v>34</v>
      </c>
      <c r="H2264" s="2" t="s">
        <v>22</v>
      </c>
      <c r="I2264" s="2" t="s">
        <v>5336</v>
      </c>
      <c r="J2264" s="3" t="str">
        <f>HYPERLINK("https://www.boe.es/gazeta/dias/1834/08/15/pdfs/GMD-C-1834-180.pdf#page=1","Abrir facsímil")</f>
        <v>Abrir facsímil</v>
      </c>
      <c r="K2264" s="3" t="s">
        <v>24</v>
      </c>
    </row>
    <row r="2265" spans="1:11" ht="54" customHeight="1">
      <c r="A2265" s="2" t="s">
        <v>5337</v>
      </c>
      <c r="B2265" s="2" t="s">
        <v>5337</v>
      </c>
      <c r="C2265" s="2" t="s">
        <v>17</v>
      </c>
      <c r="D2265" s="2" t="s">
        <v>18</v>
      </c>
      <c r="E2265" s="5" t="s">
        <v>158</v>
      </c>
      <c r="F2265" s="3" t="s">
        <v>581</v>
      </c>
      <c r="G2265" s="3" t="s">
        <v>34</v>
      </c>
      <c r="H2265" s="2" t="s">
        <v>22</v>
      </c>
      <c r="I2265" s="2" t="s">
        <v>5338</v>
      </c>
      <c r="J2265" s="3" t="str">
        <f>HYPERLINK("https://www.boe.es/gazeta/dias/1834/10/01/pdfs/GMD-C-1834-229.pdf#page=1","Abrir facsímil")</f>
        <v>Abrir facsímil</v>
      </c>
      <c r="K2265" s="3" t="s">
        <v>24</v>
      </c>
    </row>
    <row r="2266" spans="1:11" ht="54" customHeight="1">
      <c r="A2266" s="2" t="s">
        <v>5337</v>
      </c>
      <c r="B2266" s="2" t="s">
        <v>5337</v>
      </c>
      <c r="C2266" s="2" t="s">
        <v>17</v>
      </c>
      <c r="D2266" s="2" t="s">
        <v>18</v>
      </c>
      <c r="E2266" s="5" t="s">
        <v>158</v>
      </c>
      <c r="F2266" s="3" t="s">
        <v>581</v>
      </c>
      <c r="G2266" s="3" t="s">
        <v>86</v>
      </c>
      <c r="H2266" s="2" t="s">
        <v>22</v>
      </c>
      <c r="I2266" s="2" t="s">
        <v>5339</v>
      </c>
      <c r="J2266" s="3" t="str">
        <f>HYPERLINK("https://www.boe.es/gazeta/dias/1834/10/01/pdfs/GMD-C-1834-229.pdf#page=2","Abrir facsímil")</f>
        <v>Abrir facsímil</v>
      </c>
      <c r="K2266" s="3" t="s">
        <v>24</v>
      </c>
    </row>
    <row r="2267" spans="1:11" ht="54" customHeight="1">
      <c r="A2267" s="2" t="s">
        <v>5337</v>
      </c>
      <c r="B2267" s="2" t="s">
        <v>5337</v>
      </c>
      <c r="C2267" s="2" t="s">
        <v>17</v>
      </c>
      <c r="D2267" s="2" t="s">
        <v>18</v>
      </c>
      <c r="E2267" s="5" t="s">
        <v>416</v>
      </c>
      <c r="F2267" s="3" t="s">
        <v>417</v>
      </c>
      <c r="G2267" s="3" t="s">
        <v>34</v>
      </c>
      <c r="H2267" s="2" t="s">
        <v>22</v>
      </c>
      <c r="I2267" s="2" t="s">
        <v>5340</v>
      </c>
      <c r="J2267" s="3" t="str">
        <f>HYPERLINK("https://www.boe.es/gazeta/dias/1834/10/02/pdfs/GMD-C-1834-230.pdf#page=1","Abrir facsímil")</f>
        <v>Abrir facsímil</v>
      </c>
      <c r="K2267" s="3" t="s">
        <v>24</v>
      </c>
    </row>
    <row r="2268" spans="1:11" ht="54" customHeight="1">
      <c r="A2268" s="2" t="s">
        <v>5337</v>
      </c>
      <c r="B2268" s="2" t="s">
        <v>5337</v>
      </c>
      <c r="C2268" s="2" t="s">
        <v>46</v>
      </c>
      <c r="D2268" s="2" t="s">
        <v>55</v>
      </c>
      <c r="E2268" s="5" t="s">
        <v>258</v>
      </c>
      <c r="F2268" s="3" t="s">
        <v>259</v>
      </c>
      <c r="G2268" s="3" t="s">
        <v>86</v>
      </c>
      <c r="H2268" s="2" t="s">
        <v>22</v>
      </c>
      <c r="I2268" s="2" t="s">
        <v>5341</v>
      </c>
      <c r="J2268" s="3" t="str">
        <f>HYPERLINK("https://www.boe.es/gazeta/dias/1834/10/09/pdfs/GMD-C-1834-237.pdf#page=2","Abrir facsímil")</f>
        <v>Abrir facsímil</v>
      </c>
      <c r="K2268" s="3" t="s">
        <v>24</v>
      </c>
    </row>
    <row r="2269" spans="1:11" ht="54" customHeight="1">
      <c r="A2269" s="2" t="s">
        <v>5337</v>
      </c>
      <c r="B2269" s="2" t="s">
        <v>5337</v>
      </c>
      <c r="C2269" s="2" t="s">
        <v>17</v>
      </c>
      <c r="D2269" s="2" t="s">
        <v>55</v>
      </c>
      <c r="E2269" s="5" t="s">
        <v>258</v>
      </c>
      <c r="F2269" s="3" t="s">
        <v>259</v>
      </c>
      <c r="G2269" s="3" t="s">
        <v>75</v>
      </c>
      <c r="H2269" s="2" t="s">
        <v>22</v>
      </c>
      <c r="I2269" s="2" t="s">
        <v>5342</v>
      </c>
      <c r="J2269" s="3" t="str">
        <f>HYPERLINK("https://www.boe.es/gazeta/dias/1834/10/09/pdfs/GMD-C-1834-237.pdf#page=4","Abrir facsímil")</f>
        <v>Abrir facsímil</v>
      </c>
      <c r="K2269" s="3" t="s">
        <v>24</v>
      </c>
    </row>
    <row r="2270" spans="1:11" ht="54" customHeight="1">
      <c r="A2270" s="2" t="s">
        <v>5337</v>
      </c>
      <c r="B2270" s="2" t="s">
        <v>5337</v>
      </c>
      <c r="C2270" s="2" t="s">
        <v>17</v>
      </c>
      <c r="D2270" s="2" t="s">
        <v>18</v>
      </c>
      <c r="E2270" s="5" t="s">
        <v>438</v>
      </c>
      <c r="F2270" s="3" t="s">
        <v>528</v>
      </c>
      <c r="G2270" s="3" t="s">
        <v>75</v>
      </c>
      <c r="H2270" s="2" t="s">
        <v>22</v>
      </c>
      <c r="I2270" s="2" t="s">
        <v>5343</v>
      </c>
      <c r="J2270" s="3" t="str">
        <f>HYPERLINK("https://www.boe.es/gazeta/dias/1834/11/09/pdfs/GMD-C-1834-268.pdf#page=4","Abrir facsímil")</f>
        <v>Abrir facsímil</v>
      </c>
      <c r="K2270" s="3" t="s">
        <v>24</v>
      </c>
    </row>
    <row r="2271" spans="1:11" ht="54" customHeight="1">
      <c r="A2271" s="2" t="s">
        <v>5337</v>
      </c>
      <c r="B2271" s="2" t="s">
        <v>5337</v>
      </c>
      <c r="C2271" s="2" t="s">
        <v>17</v>
      </c>
      <c r="D2271" s="2" t="s">
        <v>18</v>
      </c>
      <c r="E2271" s="5" t="s">
        <v>1981</v>
      </c>
      <c r="F2271" s="3" t="s">
        <v>2471</v>
      </c>
      <c r="G2271" s="3" t="s">
        <v>28</v>
      </c>
      <c r="H2271" s="2" t="s">
        <v>22</v>
      </c>
      <c r="I2271" s="2" t="s">
        <v>5344</v>
      </c>
      <c r="J2271" s="3" t="str">
        <f>HYPERLINK("https://www.boe.es/gazeta/dias/1834/12/13/pdfs/GMD-C-1834-302.pdf#page=5","Abrir facsímil")</f>
        <v>Abrir facsímil</v>
      </c>
      <c r="K2271" s="3" t="s">
        <v>24</v>
      </c>
    </row>
    <row r="2272" spans="1:11" ht="54" customHeight="1">
      <c r="A2272" s="2" t="s">
        <v>5337</v>
      </c>
      <c r="B2272" s="2" t="s">
        <v>5337</v>
      </c>
      <c r="C2272" s="2" t="s">
        <v>90</v>
      </c>
      <c r="D2272" s="2" t="s">
        <v>55</v>
      </c>
      <c r="E2272" s="5" t="s">
        <v>247</v>
      </c>
      <c r="F2272" s="3" t="s">
        <v>248</v>
      </c>
      <c r="G2272" s="3" t="s">
        <v>34</v>
      </c>
      <c r="H2272" s="2" t="s">
        <v>22</v>
      </c>
      <c r="I2272" s="2" t="s">
        <v>5345</v>
      </c>
      <c r="J2272" s="3" t="str">
        <f>HYPERLINK("https://www.boe.es/gazeta/dias/1834/08/23/pdfs/GMD-C-1834-189.pdf#page=1","Abrir facsímil")</f>
        <v>Abrir facsímil</v>
      </c>
      <c r="K2272" s="3" t="s">
        <v>24</v>
      </c>
    </row>
    <row r="2273" spans="1:11" ht="54" customHeight="1">
      <c r="A2273" s="2" t="s">
        <v>5337</v>
      </c>
      <c r="B2273" s="2" t="s">
        <v>5337</v>
      </c>
      <c r="C2273" s="2" t="s">
        <v>66</v>
      </c>
      <c r="D2273" s="2" t="s">
        <v>67</v>
      </c>
      <c r="E2273" s="5" t="s">
        <v>153</v>
      </c>
      <c r="F2273" s="3" t="s">
        <v>154</v>
      </c>
      <c r="G2273" s="3" t="s">
        <v>86</v>
      </c>
      <c r="H2273" s="2" t="s">
        <v>22</v>
      </c>
      <c r="I2273" s="2" t="s">
        <v>5346</v>
      </c>
      <c r="J2273" s="3" t="str">
        <f>HYPERLINK("https://www.boe.es/gazeta/dias/1834/12/30/pdfs/GMD-C-1834-320.pdf#page=2","Abrir facsímil")</f>
        <v>Abrir facsímil</v>
      </c>
      <c r="K2273" s="3" t="s">
        <v>24</v>
      </c>
    </row>
    <row r="2274" spans="1:11" ht="54" customHeight="1">
      <c r="A2274" s="2" t="s">
        <v>5347</v>
      </c>
      <c r="B2274" s="2" t="s">
        <v>5348</v>
      </c>
      <c r="C2274" s="2" t="s">
        <v>17</v>
      </c>
      <c r="D2274" s="2" t="s">
        <v>18</v>
      </c>
      <c r="E2274" s="5" t="s">
        <v>167</v>
      </c>
      <c r="F2274" s="3" t="s">
        <v>1200</v>
      </c>
      <c r="G2274" s="3" t="s">
        <v>21</v>
      </c>
      <c r="H2274" s="2" t="s">
        <v>35</v>
      </c>
      <c r="I2274" s="2" t="s">
        <v>5349</v>
      </c>
      <c r="J2274" s="3" t="str">
        <f>HYPERLINK("https://www.boe.es/gazeta/dias/1834/09/07/pdfs/GMD-C-1834-205.pdf#page=3","Abrir facsímil")</f>
        <v>Abrir facsímil</v>
      </c>
      <c r="K2274" s="3" t="s">
        <v>37</v>
      </c>
    </row>
    <row r="2275" spans="1:11" ht="54" customHeight="1">
      <c r="A2275" s="2" t="s">
        <v>5350</v>
      </c>
      <c r="B2275" s="2" t="s">
        <v>5351</v>
      </c>
      <c r="C2275" s="2" t="s">
        <v>17</v>
      </c>
      <c r="D2275" s="2" t="s">
        <v>18</v>
      </c>
      <c r="E2275" s="5" t="s">
        <v>68</v>
      </c>
      <c r="F2275" s="3" t="s">
        <v>69</v>
      </c>
      <c r="G2275" s="3" t="s">
        <v>21</v>
      </c>
      <c r="H2275" s="2" t="s">
        <v>22</v>
      </c>
      <c r="I2275" s="2" t="s">
        <v>5352</v>
      </c>
      <c r="J2275" s="3" t="str">
        <f>HYPERLINK("https://www.boe.es/gazeta/dias/1834/11/01/pdfs/GMD-1834-260.pdf#page=3","Abrir facsímil")</f>
        <v>Abrir facsímil</v>
      </c>
      <c r="K2275" s="3" t="s">
        <v>24</v>
      </c>
    </row>
    <row r="2276" spans="1:11" ht="54" customHeight="1">
      <c r="A2276" s="2" t="s">
        <v>5353</v>
      </c>
      <c r="B2276" s="2" t="s">
        <v>5354</v>
      </c>
      <c r="C2276" s="2" t="s">
        <v>17</v>
      </c>
      <c r="D2276" s="2" t="s">
        <v>18</v>
      </c>
      <c r="E2276" s="5" t="s">
        <v>416</v>
      </c>
      <c r="F2276" s="3" t="s">
        <v>417</v>
      </c>
      <c r="G2276" s="3" t="s">
        <v>34</v>
      </c>
      <c r="H2276" s="2" t="s">
        <v>22</v>
      </c>
      <c r="I2276" s="2" t="s">
        <v>5355</v>
      </c>
      <c r="J2276" s="3" t="str">
        <f>HYPERLINK("https://www.boe.es/gazeta/dias/1834/10/02/pdfs/GMD-C-1834-230.pdf#page=1","Abrir facsímil")</f>
        <v>Abrir facsímil</v>
      </c>
      <c r="K2276" s="3" t="s">
        <v>24</v>
      </c>
    </row>
    <row r="2277" spans="1:11" ht="54" customHeight="1">
      <c r="A2277" s="2" t="s">
        <v>5353</v>
      </c>
      <c r="B2277" s="2" t="s">
        <v>5354</v>
      </c>
      <c r="C2277" s="2" t="s">
        <v>17</v>
      </c>
      <c r="D2277" s="2" t="s">
        <v>18</v>
      </c>
      <c r="E2277" s="5" t="s">
        <v>167</v>
      </c>
      <c r="F2277" s="3" t="s">
        <v>1200</v>
      </c>
      <c r="G2277" s="3" t="s">
        <v>86</v>
      </c>
      <c r="H2277" s="2" t="s">
        <v>22</v>
      </c>
      <c r="I2277" s="2" t="s">
        <v>5356</v>
      </c>
      <c r="J2277" s="3" t="str">
        <f>HYPERLINK("https://www.boe.es/gazeta/dias/1834/09/07/pdfs/GMD-C-1834-205.pdf#page=2","Abrir facsímil")</f>
        <v>Abrir facsímil</v>
      </c>
      <c r="K2277" s="3" t="s">
        <v>24</v>
      </c>
    </row>
    <row r="2278" spans="1:11" ht="54" customHeight="1">
      <c r="A2278" s="2" t="s">
        <v>5353</v>
      </c>
      <c r="B2278" s="2" t="s">
        <v>5354</v>
      </c>
      <c r="C2278" s="2" t="s">
        <v>17</v>
      </c>
      <c r="D2278" s="2" t="s">
        <v>18</v>
      </c>
      <c r="E2278" s="5" t="s">
        <v>167</v>
      </c>
      <c r="F2278" s="3" t="s">
        <v>1200</v>
      </c>
      <c r="G2278" s="3" t="s">
        <v>21</v>
      </c>
      <c r="H2278" s="2" t="s">
        <v>22</v>
      </c>
      <c r="I2278" s="2" t="s">
        <v>5357</v>
      </c>
      <c r="J2278" s="3" t="str">
        <f>HYPERLINK("https://www.boe.es/gazeta/dias/1834/09/07/pdfs/GMD-C-1834-205.pdf#page=3","Abrir facsímil")</f>
        <v>Abrir facsímil</v>
      </c>
      <c r="K2278" s="3" t="s">
        <v>24</v>
      </c>
    </row>
    <row r="2279" spans="1:11" ht="54" customHeight="1">
      <c r="A2279" s="2" t="s">
        <v>5353</v>
      </c>
      <c r="B2279" s="2" t="s">
        <v>5354</v>
      </c>
      <c r="C2279" s="2" t="s">
        <v>17</v>
      </c>
      <c r="D2279" s="2" t="s">
        <v>18</v>
      </c>
      <c r="E2279" s="5" t="s">
        <v>1103</v>
      </c>
      <c r="F2279" s="3" t="s">
        <v>1104</v>
      </c>
      <c r="G2279" s="3" t="s">
        <v>34</v>
      </c>
      <c r="H2279" s="2" t="s">
        <v>22</v>
      </c>
      <c r="I2279" s="2" t="s">
        <v>5358</v>
      </c>
      <c r="J2279" s="3" t="str">
        <f>HYPERLINK("https://www.boe.es/gazeta/dias/1834/10/10/pdfs/GMD-C-1834-238.pdf#page=1","Abrir facsímil")</f>
        <v>Abrir facsímil</v>
      </c>
      <c r="K2279" s="3" t="s">
        <v>24</v>
      </c>
    </row>
    <row r="2280" spans="1:11" ht="54" customHeight="1">
      <c r="A2280" s="2" t="s">
        <v>5353</v>
      </c>
      <c r="B2280" s="2" t="s">
        <v>5354</v>
      </c>
      <c r="C2280" s="2" t="s">
        <v>17</v>
      </c>
      <c r="D2280" s="2" t="s">
        <v>18</v>
      </c>
      <c r="E2280" s="5" t="s">
        <v>187</v>
      </c>
      <c r="F2280" s="3" t="s">
        <v>1715</v>
      </c>
      <c r="G2280" s="3" t="s">
        <v>34</v>
      </c>
      <c r="H2280" s="2" t="s">
        <v>22</v>
      </c>
      <c r="I2280" s="2" t="s">
        <v>5359</v>
      </c>
      <c r="J2280" s="3" t="str">
        <f>HYPERLINK("https://www.boe.es/gazeta/dias/1834/09/30/pdfs/GMD-C-1834-228.pdf#page=1","Abrir facsímil")</f>
        <v>Abrir facsímil</v>
      </c>
      <c r="K2280" s="3" t="s">
        <v>24</v>
      </c>
    </row>
    <row r="2281" spans="1:11" ht="54" customHeight="1">
      <c r="A2281" s="2" t="s">
        <v>5360</v>
      </c>
      <c r="B2281" s="2" t="s">
        <v>5360</v>
      </c>
      <c r="C2281" s="2" t="s">
        <v>46</v>
      </c>
      <c r="D2281" s="2" t="s">
        <v>18</v>
      </c>
      <c r="E2281" s="5" t="s">
        <v>2379</v>
      </c>
      <c r="F2281" s="3" t="s">
        <v>2380</v>
      </c>
      <c r="G2281" s="3" t="s">
        <v>75</v>
      </c>
      <c r="H2281" s="2" t="s">
        <v>22</v>
      </c>
      <c r="I2281" s="2" t="s">
        <v>5361</v>
      </c>
      <c r="J2281" s="3" t="str">
        <f>HYPERLINK("https://www.boe.es/gazeta/dias/1834/04/03/pdfs/GMD-1834-42.pdf#page=4","Abrir facsímil")</f>
        <v>Abrir facsímil</v>
      </c>
      <c r="K2281" s="3" t="s">
        <v>24</v>
      </c>
    </row>
    <row r="2282" spans="1:11" ht="54" customHeight="1">
      <c r="A2282" s="2" t="s">
        <v>5362</v>
      </c>
      <c r="B2282" s="2" t="s">
        <v>5363</v>
      </c>
      <c r="C2282" s="2" t="s">
        <v>66</v>
      </c>
      <c r="D2282" s="2" t="s">
        <v>67</v>
      </c>
      <c r="E2282" s="5" t="s">
        <v>2596</v>
      </c>
      <c r="F2282" s="3" t="s">
        <v>2597</v>
      </c>
      <c r="G2282" s="3" t="s">
        <v>21</v>
      </c>
      <c r="H2282" s="2" t="s">
        <v>22</v>
      </c>
      <c r="I2282" s="2" t="s">
        <v>5364</v>
      </c>
      <c r="J2282" s="3" t="str">
        <f>HYPERLINK("https://www.boe.es/gazeta/dias/1834/10/22/pdfs/GMD-1834-250.pdf#page=3","Abrir facsímil")</f>
        <v>Abrir facsímil</v>
      </c>
      <c r="K2282" s="3" t="s">
        <v>24</v>
      </c>
    </row>
    <row r="2283" spans="1:11" ht="54" customHeight="1">
      <c r="A2283" s="2" t="s">
        <v>5365</v>
      </c>
      <c r="B2283" s="2" t="s">
        <v>5366</v>
      </c>
      <c r="C2283" s="2" t="s">
        <v>90</v>
      </c>
      <c r="D2283" s="2" t="s">
        <v>18</v>
      </c>
      <c r="E2283" s="5" t="s">
        <v>724</v>
      </c>
      <c r="F2283" s="3" t="s">
        <v>725</v>
      </c>
      <c r="G2283" s="3" t="s">
        <v>176</v>
      </c>
      <c r="H2283" s="2" t="s">
        <v>22</v>
      </c>
      <c r="I2283" s="2" t="s">
        <v>5367</v>
      </c>
      <c r="J2283" s="3" t="str">
        <f>HYPERLINK("https://www.boe.es/gazeta/dias/1834/04/25/pdfs/GMD-1834-64.pdf#page=6","Abrir facsímil")</f>
        <v>Abrir facsímil</v>
      </c>
      <c r="K2283" s="3" t="s">
        <v>24</v>
      </c>
    </row>
    <row r="2284" spans="1:11" ht="54" customHeight="1">
      <c r="A2284" s="2" t="s">
        <v>5368</v>
      </c>
      <c r="B2284" s="2" t="s">
        <v>5369</v>
      </c>
      <c r="C2284" s="2" t="s">
        <v>90</v>
      </c>
      <c r="D2284" s="2" t="s">
        <v>18</v>
      </c>
      <c r="E2284" s="5" t="s">
        <v>724</v>
      </c>
      <c r="F2284" s="3" t="s">
        <v>725</v>
      </c>
      <c r="G2284" s="3" t="s">
        <v>176</v>
      </c>
      <c r="H2284" s="2" t="s">
        <v>35</v>
      </c>
      <c r="I2284" s="2" t="s">
        <v>5370</v>
      </c>
      <c r="J2284" s="3" t="str">
        <f>HYPERLINK("https://www.boe.es/gazeta/dias/1834/04/25/pdfs/GMD-1834-64.pdf#page=6","Abrir facsímil")</f>
        <v>Abrir facsímil</v>
      </c>
      <c r="K2284" s="3" t="s">
        <v>37</v>
      </c>
    </row>
    <row r="2285" spans="1:11" ht="54" customHeight="1">
      <c r="A2285" s="2" t="s">
        <v>5371</v>
      </c>
      <c r="B2285" s="2" t="s">
        <v>5372</v>
      </c>
      <c r="C2285" s="2" t="s">
        <v>90</v>
      </c>
      <c r="D2285" s="2" t="s">
        <v>18</v>
      </c>
      <c r="E2285" s="5" t="s">
        <v>200</v>
      </c>
      <c r="F2285" s="3" t="s">
        <v>2248</v>
      </c>
      <c r="G2285" s="3" t="s">
        <v>86</v>
      </c>
      <c r="H2285" s="2" t="s">
        <v>22</v>
      </c>
      <c r="I2285" s="2" t="s">
        <v>5373</v>
      </c>
      <c r="J2285" s="3" t="str">
        <f>HYPERLINK("https://www.boe.es/gazeta/dias/1834/12/11/pdfs/GMD-C-1834-300.pdf#page=2","Abrir facsímil")</f>
        <v>Abrir facsímil</v>
      </c>
      <c r="K2285" s="3" t="s">
        <v>24</v>
      </c>
    </row>
    <row r="2286" spans="1:11" ht="54" customHeight="1">
      <c r="A2286" s="2" t="s">
        <v>5374</v>
      </c>
      <c r="B2286" s="2" t="s">
        <v>5375</v>
      </c>
      <c r="C2286" s="2" t="s">
        <v>17</v>
      </c>
      <c r="D2286" s="2" t="s">
        <v>18</v>
      </c>
      <c r="E2286" s="5" t="s">
        <v>707</v>
      </c>
      <c r="F2286" s="3" t="s">
        <v>708</v>
      </c>
      <c r="G2286" s="3" t="s">
        <v>560</v>
      </c>
      <c r="H2286" s="2" t="s">
        <v>22</v>
      </c>
      <c r="I2286" s="2" t="s">
        <v>5376</v>
      </c>
      <c r="J2286" s="3" t="str">
        <f>HYPERLINK("https://www.boe.es/gazeta/dias/1834/11/25/pdfs/GMD-C-1834-284.pdf#page=7","Abrir facsímil")</f>
        <v>Abrir facsímil</v>
      </c>
      <c r="K2286" s="3" t="s">
        <v>24</v>
      </c>
    </row>
    <row r="2287" spans="1:11" ht="54" customHeight="1">
      <c r="A2287" s="2" t="s">
        <v>5374</v>
      </c>
      <c r="B2287" s="2" t="s">
        <v>5375</v>
      </c>
      <c r="C2287" s="2" t="s">
        <v>46</v>
      </c>
      <c r="D2287" s="2" t="s">
        <v>101</v>
      </c>
      <c r="E2287" s="5" t="s">
        <v>468</v>
      </c>
      <c r="F2287" s="3" t="s">
        <v>469</v>
      </c>
      <c r="G2287" s="3" t="s">
        <v>1099</v>
      </c>
      <c r="H2287" s="2" t="s">
        <v>22</v>
      </c>
      <c r="I2287" s="2" t="s">
        <v>5377</v>
      </c>
      <c r="J2287" s="3" t="str">
        <f>HYPERLINK("https://www.boe.es/gazeta/dias/1834/12/28/pdfs/GMD-C-1834-318.pdf#page=11","Abrir facsímil")</f>
        <v>Abrir facsímil</v>
      </c>
      <c r="K2287" s="3" t="s">
        <v>24</v>
      </c>
    </row>
    <row r="2288" spans="1:11" ht="54" customHeight="1">
      <c r="A2288" s="2" t="s">
        <v>5378</v>
      </c>
      <c r="B2288" s="2" t="s">
        <v>5379</v>
      </c>
      <c r="C2288" s="2" t="s">
        <v>17</v>
      </c>
      <c r="D2288" s="2" t="s">
        <v>18</v>
      </c>
      <c r="E2288" s="5" t="s">
        <v>2278</v>
      </c>
      <c r="F2288" s="3" t="s">
        <v>2279</v>
      </c>
      <c r="G2288" s="3" t="s">
        <v>28</v>
      </c>
      <c r="H2288" s="2" t="s">
        <v>22</v>
      </c>
      <c r="I2288" s="2" t="s">
        <v>5380</v>
      </c>
      <c r="J2288" s="3" t="str">
        <f>HYPERLINK("https://www.boe.es/gazeta/dias/1834/12/17/pdfs/GMD-C-1834-306.pdf#page=5","Abrir facsímil")</f>
        <v>Abrir facsímil</v>
      </c>
      <c r="K2288" s="3" t="s">
        <v>24</v>
      </c>
    </row>
    <row r="2289" spans="1:11" ht="54" customHeight="1">
      <c r="A2289" s="2" t="s">
        <v>5381</v>
      </c>
      <c r="B2289" s="2" t="s">
        <v>5381</v>
      </c>
      <c r="C2289" s="2" t="s">
        <v>17</v>
      </c>
      <c r="D2289" s="2" t="s">
        <v>18</v>
      </c>
      <c r="E2289" s="5" t="s">
        <v>919</v>
      </c>
      <c r="F2289" s="3" t="s">
        <v>920</v>
      </c>
      <c r="G2289" s="3" t="s">
        <v>75</v>
      </c>
      <c r="H2289" s="2" t="s">
        <v>22</v>
      </c>
      <c r="I2289" s="2" t="s">
        <v>5382</v>
      </c>
      <c r="J2289" s="3" t="str">
        <f>HYPERLINK("https://www.boe.es/gazeta/dias/1834/06/24/pdfs/GMD-1834-127.pdf#page=4","Abrir facsímil")</f>
        <v>Abrir facsímil</v>
      </c>
      <c r="K2289" s="3" t="s">
        <v>24</v>
      </c>
    </row>
    <row r="2290" spans="1:11" ht="54" customHeight="1">
      <c r="A2290" s="2" t="s">
        <v>5383</v>
      </c>
      <c r="B2290" s="2" t="s">
        <v>5384</v>
      </c>
      <c r="C2290" s="2" t="s">
        <v>17</v>
      </c>
      <c r="D2290" s="2" t="s">
        <v>18</v>
      </c>
      <c r="E2290" s="5" t="s">
        <v>237</v>
      </c>
      <c r="F2290" s="3" t="s">
        <v>4609</v>
      </c>
      <c r="G2290" s="3" t="s">
        <v>34</v>
      </c>
      <c r="H2290" s="2" t="s">
        <v>22</v>
      </c>
      <c r="I2290" s="2" t="s">
        <v>5385</v>
      </c>
      <c r="J2290" s="3" t="str">
        <f>HYPERLINK("https://www.boe.es/gazeta/dias/1834/08/15/pdfs/GMD-1834-180.pdf#page=1","Abrir facsímil")</f>
        <v>Abrir facsímil</v>
      </c>
      <c r="K2290" s="3" t="s">
        <v>24</v>
      </c>
    </row>
    <row r="2291" spans="1:11" ht="54" customHeight="1">
      <c r="A2291" s="2" t="s">
        <v>5386</v>
      </c>
      <c r="B2291" s="2" t="s">
        <v>5387</v>
      </c>
      <c r="C2291" s="2" t="s">
        <v>66</v>
      </c>
      <c r="D2291" s="2" t="s">
        <v>67</v>
      </c>
      <c r="E2291" s="5" t="s">
        <v>2241</v>
      </c>
      <c r="F2291" s="3" t="s">
        <v>2242</v>
      </c>
      <c r="G2291" s="3" t="s">
        <v>21</v>
      </c>
      <c r="H2291" s="2" t="s">
        <v>22</v>
      </c>
      <c r="I2291" s="2" t="s">
        <v>5388</v>
      </c>
      <c r="J2291" s="3" t="str">
        <f>HYPERLINK("https://www.boe.es/gazeta/dias/1834/03/11/pdfs/GMD-1834-31.pdf#page=3","Abrir facsímil")</f>
        <v>Abrir facsímil</v>
      </c>
      <c r="K2291" s="3" t="s">
        <v>24</v>
      </c>
    </row>
    <row r="2292" spans="1:11" ht="54" customHeight="1">
      <c r="A2292" s="2" t="s">
        <v>5389</v>
      </c>
      <c r="B2292" s="2" t="s">
        <v>5389</v>
      </c>
      <c r="C2292" s="2" t="s">
        <v>66</v>
      </c>
      <c r="D2292" s="2" t="s">
        <v>67</v>
      </c>
      <c r="E2292" s="5" t="s">
        <v>823</v>
      </c>
      <c r="F2292" s="3" t="s">
        <v>824</v>
      </c>
      <c r="G2292" s="3" t="s">
        <v>75</v>
      </c>
      <c r="H2292" s="2" t="s">
        <v>22</v>
      </c>
      <c r="I2292" s="2" t="s">
        <v>5390</v>
      </c>
      <c r="J2292" s="3" t="str">
        <f>HYPERLINK("https://www.boe.es/gazeta/dias/1834/07/23/pdfs/GMD-1834-156.pdf#page=4","Abrir facsímil")</f>
        <v>Abrir facsímil</v>
      </c>
      <c r="K2292" s="3" t="s">
        <v>24</v>
      </c>
    </row>
    <row r="2293" spans="1:11" ht="54" customHeight="1">
      <c r="A2293" s="2" t="s">
        <v>5391</v>
      </c>
      <c r="B2293" s="2" t="s">
        <v>5392</v>
      </c>
      <c r="C2293" s="2" t="s">
        <v>90</v>
      </c>
      <c r="D2293" s="2" t="s">
        <v>18</v>
      </c>
      <c r="E2293" s="5" t="s">
        <v>606</v>
      </c>
      <c r="F2293" s="3" t="s">
        <v>607</v>
      </c>
      <c r="G2293" s="3" t="s">
        <v>75</v>
      </c>
      <c r="H2293" s="2" t="s">
        <v>35</v>
      </c>
      <c r="I2293" s="2" t="s">
        <v>5393</v>
      </c>
      <c r="J2293" s="3" t="str">
        <f>HYPERLINK("https://www.boe.es/gazeta/dias/1834/06/23/pdfs/GMD-1834-126.pdf#page=4","Abrir facsímil")</f>
        <v>Abrir facsímil</v>
      </c>
      <c r="K2293" s="3" t="s">
        <v>37</v>
      </c>
    </row>
    <row r="2294" spans="1:11" ht="54" customHeight="1">
      <c r="A2294" s="2" t="s">
        <v>5394</v>
      </c>
      <c r="B2294" s="2" t="s">
        <v>5395</v>
      </c>
      <c r="C2294" s="2" t="s">
        <v>66</v>
      </c>
      <c r="D2294" s="2" t="s">
        <v>67</v>
      </c>
      <c r="E2294" s="5" t="s">
        <v>479</v>
      </c>
      <c r="F2294" s="3" t="s">
        <v>480</v>
      </c>
      <c r="G2294" s="3" t="s">
        <v>86</v>
      </c>
      <c r="H2294" s="2" t="s">
        <v>35</v>
      </c>
      <c r="I2294" s="2" t="s">
        <v>5396</v>
      </c>
      <c r="J2294" s="3" t="str">
        <f>HYPERLINK("https://www.boe.es/gazeta/dias/1834/08/13/pdfs/GMD-1834-178.pdf#page=2","Abrir facsímil")</f>
        <v>Abrir facsímil</v>
      </c>
      <c r="K2294" s="3" t="s">
        <v>37</v>
      </c>
    </row>
    <row r="2295" spans="1:11" ht="54" customHeight="1">
      <c r="A2295" s="2" t="s">
        <v>5397</v>
      </c>
      <c r="B2295" s="2" t="s">
        <v>5398</v>
      </c>
      <c r="C2295" s="2" t="s">
        <v>66</v>
      </c>
      <c r="D2295" s="2" t="s">
        <v>67</v>
      </c>
      <c r="E2295" s="5" t="s">
        <v>479</v>
      </c>
      <c r="F2295" s="3" t="s">
        <v>480</v>
      </c>
      <c r="G2295" s="3" t="s">
        <v>86</v>
      </c>
      <c r="H2295" s="2" t="s">
        <v>22</v>
      </c>
      <c r="I2295" s="2" t="s">
        <v>5399</v>
      </c>
      <c r="J2295" s="3" t="str">
        <f>HYPERLINK("https://www.boe.es/gazeta/dias/1834/08/13/pdfs/GMD-1834-178.pdf#page=2","Abrir facsímil")</f>
        <v>Abrir facsímil</v>
      </c>
      <c r="K2295" s="3" t="s">
        <v>24</v>
      </c>
    </row>
    <row r="2296" spans="1:11" ht="54" customHeight="1">
      <c r="A2296" s="2" t="s">
        <v>5400</v>
      </c>
      <c r="B2296" s="2" t="s">
        <v>5401</v>
      </c>
      <c r="C2296" s="2" t="s">
        <v>66</v>
      </c>
      <c r="D2296" s="2" t="s">
        <v>67</v>
      </c>
      <c r="E2296" s="5" t="s">
        <v>606</v>
      </c>
      <c r="F2296" s="3" t="s">
        <v>607</v>
      </c>
      <c r="G2296" s="3" t="s">
        <v>75</v>
      </c>
      <c r="H2296" s="2" t="s">
        <v>22</v>
      </c>
      <c r="I2296" s="2" t="s">
        <v>5402</v>
      </c>
      <c r="J2296" s="3" t="str">
        <f>HYPERLINK("https://www.boe.es/gazeta/dias/1834/06/23/pdfs/GMD-1834-126.pdf#page=4","Abrir facsímil")</f>
        <v>Abrir facsímil</v>
      </c>
      <c r="K2296" s="3" t="s">
        <v>24</v>
      </c>
    </row>
    <row r="2297" spans="1:11" ht="54" customHeight="1">
      <c r="A2297" s="2" t="s">
        <v>5403</v>
      </c>
      <c r="B2297" s="2" t="s">
        <v>5404</v>
      </c>
      <c r="C2297" s="2" t="s">
        <v>17</v>
      </c>
      <c r="D2297" s="2" t="s">
        <v>18</v>
      </c>
      <c r="E2297" s="5" t="s">
        <v>1084</v>
      </c>
      <c r="F2297" s="3" t="s">
        <v>1085</v>
      </c>
      <c r="G2297" s="3" t="s">
        <v>28</v>
      </c>
      <c r="H2297" s="2" t="s">
        <v>22</v>
      </c>
      <c r="I2297" s="2" t="s">
        <v>5405</v>
      </c>
      <c r="J2297" s="3" t="str">
        <f>HYPERLINK("https://www.boe.es/gazeta/dias/1834/05/01/pdfs/GMD-1834-70.pdf#page=5","Abrir facsímil")</f>
        <v>Abrir facsímil</v>
      </c>
      <c r="K2297" s="3" t="s">
        <v>24</v>
      </c>
    </row>
    <row r="2298" spans="1:11" ht="54" customHeight="1">
      <c r="A2298" s="2" t="s">
        <v>5406</v>
      </c>
      <c r="B2298" s="2" t="s">
        <v>5407</v>
      </c>
      <c r="C2298" s="2" t="s">
        <v>17</v>
      </c>
      <c r="D2298" s="2" t="s">
        <v>18</v>
      </c>
      <c r="E2298" s="5" t="s">
        <v>1653</v>
      </c>
      <c r="F2298" s="3" t="s">
        <v>1654</v>
      </c>
      <c r="G2298" s="3" t="s">
        <v>21</v>
      </c>
      <c r="H2298" s="2" t="s">
        <v>22</v>
      </c>
      <c r="I2298" s="2" t="s">
        <v>5408</v>
      </c>
      <c r="J2298" s="3" t="str">
        <f>HYPERLINK("https://www.boe.es/gazeta/dias/1834/07/03/pdfs/GMD-1834-136.pdf#page=3","Abrir facsímil")</f>
        <v>Abrir facsímil</v>
      </c>
      <c r="K2298" s="3" t="s">
        <v>24</v>
      </c>
    </row>
    <row r="2299" spans="1:11" ht="54" customHeight="1">
      <c r="A2299" s="2" t="s">
        <v>5406</v>
      </c>
      <c r="B2299" s="2" t="s">
        <v>5407</v>
      </c>
      <c r="C2299" s="2" t="s">
        <v>66</v>
      </c>
      <c r="D2299" s="2" t="s">
        <v>67</v>
      </c>
      <c r="E2299" s="5" t="s">
        <v>167</v>
      </c>
      <c r="F2299" s="3" t="s">
        <v>1200</v>
      </c>
      <c r="G2299" s="3" t="s">
        <v>86</v>
      </c>
      <c r="H2299" s="2" t="s">
        <v>22</v>
      </c>
      <c r="I2299" s="2" t="s">
        <v>5409</v>
      </c>
      <c r="J2299" s="3" t="str">
        <f>HYPERLINK("https://www.boe.es/gazeta/dias/1834/09/07/pdfs/GMD-C-1834-205.pdf#page=2","Abrir facsímil")</f>
        <v>Abrir facsímil</v>
      </c>
      <c r="K2299" s="3" t="s">
        <v>24</v>
      </c>
    </row>
    <row r="2300" spans="1:11" ht="54" customHeight="1">
      <c r="A2300" s="2" t="s">
        <v>5410</v>
      </c>
      <c r="B2300" s="2" t="s">
        <v>5411</v>
      </c>
      <c r="C2300" s="2" t="s">
        <v>46</v>
      </c>
      <c r="D2300" s="2" t="s">
        <v>101</v>
      </c>
      <c r="E2300" s="5" t="s">
        <v>1119</v>
      </c>
      <c r="F2300" s="3" t="s">
        <v>1120</v>
      </c>
      <c r="G2300" s="3" t="s">
        <v>21</v>
      </c>
      <c r="H2300" s="2" t="s">
        <v>22</v>
      </c>
      <c r="I2300" s="2" t="s">
        <v>5412</v>
      </c>
      <c r="J2300" s="3" t="str">
        <f>HYPERLINK("https://www.boe.es/gazeta/dias/1834/07/17/pdfs/GMD-1834-150.pdf#page=3","Abrir facsímil")</f>
        <v>Abrir facsímil</v>
      </c>
      <c r="K2300" s="3" t="s">
        <v>24</v>
      </c>
    </row>
    <row r="2301" spans="1:11" ht="54" customHeight="1">
      <c r="A2301" s="2" t="s">
        <v>5413</v>
      </c>
      <c r="B2301" s="2" t="s">
        <v>5414</v>
      </c>
      <c r="C2301" s="2" t="s">
        <v>17</v>
      </c>
      <c r="D2301" s="2" t="s">
        <v>18</v>
      </c>
      <c r="E2301" s="5" t="s">
        <v>1402</v>
      </c>
      <c r="F2301" s="3" t="s">
        <v>1403</v>
      </c>
      <c r="G2301" s="3" t="s">
        <v>86</v>
      </c>
      <c r="H2301" s="2" t="s">
        <v>22</v>
      </c>
      <c r="I2301" s="2" t="s">
        <v>5415</v>
      </c>
      <c r="J2301" s="3" t="str">
        <f>HYPERLINK("https://www.boe.es/gazeta/dias/1834/05/05/pdfs/I00347-00348.pdf#page=2","Abrir facsímil")</f>
        <v>Abrir facsímil</v>
      </c>
      <c r="K2301" s="3" t="s">
        <v>24</v>
      </c>
    </row>
    <row r="2302" spans="1:11" ht="54" customHeight="1">
      <c r="A2302" s="2" t="s">
        <v>5413</v>
      </c>
      <c r="B2302" s="2" t="s">
        <v>5414</v>
      </c>
      <c r="C2302" s="2" t="s">
        <v>17</v>
      </c>
      <c r="D2302" s="2" t="s">
        <v>18</v>
      </c>
      <c r="E2302" s="5" t="s">
        <v>1402</v>
      </c>
      <c r="F2302" s="3" t="s">
        <v>1403</v>
      </c>
      <c r="G2302" s="3" t="s">
        <v>176</v>
      </c>
      <c r="H2302" s="2" t="s">
        <v>22</v>
      </c>
      <c r="I2302" s="2" t="s">
        <v>5416</v>
      </c>
      <c r="J2302" s="3" t="str">
        <f>HYPERLINK("https://www.boe.es/gazeta/dias/1834/05/05/pdfs/GMD-1834-74.pdf#page=6","Abrir facsímil")</f>
        <v>Abrir facsímil</v>
      </c>
      <c r="K2302" s="3" t="s">
        <v>24</v>
      </c>
    </row>
    <row r="2303" spans="1:11" ht="54" customHeight="1">
      <c r="A2303" s="2" t="s">
        <v>5413</v>
      </c>
      <c r="B2303" s="2" t="s">
        <v>5414</v>
      </c>
      <c r="C2303" s="2" t="s">
        <v>90</v>
      </c>
      <c r="D2303" s="2" t="s">
        <v>18</v>
      </c>
      <c r="E2303" s="5" t="s">
        <v>724</v>
      </c>
      <c r="F2303" s="3" t="s">
        <v>725</v>
      </c>
      <c r="G2303" s="3" t="s">
        <v>34</v>
      </c>
      <c r="H2303" s="2" t="s">
        <v>22</v>
      </c>
      <c r="I2303" s="2" t="s">
        <v>5417</v>
      </c>
      <c r="J2303" s="3" t="str">
        <f>HYPERLINK("https://www.boe.es/gazeta/dias/1834/04/25/pdfs/GMD-1834-64.pdf#page=1","Abrir facsímil")</f>
        <v>Abrir facsímil</v>
      </c>
      <c r="K2303" s="3" t="s">
        <v>24</v>
      </c>
    </row>
    <row r="2304" spans="1:11" ht="54" customHeight="1">
      <c r="A2304" s="2" t="s">
        <v>5418</v>
      </c>
      <c r="B2304" s="2" t="s">
        <v>5419</v>
      </c>
      <c r="C2304" s="2" t="s">
        <v>122</v>
      </c>
      <c r="D2304" s="2" t="s">
        <v>101</v>
      </c>
      <c r="E2304" s="5" t="s">
        <v>96</v>
      </c>
      <c r="F2304" s="3" t="s">
        <v>1725</v>
      </c>
      <c r="G2304" s="3" t="s">
        <v>75</v>
      </c>
      <c r="H2304" s="2" t="s">
        <v>22</v>
      </c>
      <c r="I2304" s="2" t="s">
        <v>5420</v>
      </c>
      <c r="J2304" s="3" t="str">
        <f>HYPERLINK("https://www.boe.es/gazeta/dias/1834/11/11/pdfs/GMD-1834-270.pdf#page=4","Abrir facsímil")</f>
        <v>Abrir facsímil</v>
      </c>
      <c r="K2304" s="3" t="s">
        <v>24</v>
      </c>
    </row>
    <row r="2305" spans="1:11" ht="54" customHeight="1">
      <c r="A2305" s="2" t="s">
        <v>5421</v>
      </c>
      <c r="B2305" s="2" t="s">
        <v>5422</v>
      </c>
      <c r="C2305" s="2" t="s">
        <v>46</v>
      </c>
      <c r="D2305" s="2" t="s">
        <v>55</v>
      </c>
      <c r="E2305" s="5" t="s">
        <v>2107</v>
      </c>
      <c r="F2305" s="3" t="s">
        <v>2108</v>
      </c>
      <c r="G2305" s="3" t="s">
        <v>86</v>
      </c>
      <c r="H2305" s="2" t="s">
        <v>22</v>
      </c>
      <c r="I2305" s="2" t="s">
        <v>5423</v>
      </c>
      <c r="J2305" s="3" t="str">
        <f>HYPERLINK("https://www.boe.es/gazeta/dias/1834/08/24/pdfs/GMD-1834-190.pdf#page=2","Abrir facsímil")</f>
        <v>Abrir facsímil</v>
      </c>
      <c r="K2305" s="3" t="s">
        <v>24</v>
      </c>
    </row>
    <row r="2306" spans="1:11" ht="54" customHeight="1">
      <c r="A2306" s="2" t="s">
        <v>5424</v>
      </c>
      <c r="B2306" s="2" t="s">
        <v>5425</v>
      </c>
      <c r="C2306" s="2" t="s">
        <v>17</v>
      </c>
      <c r="D2306" s="2" t="s">
        <v>18</v>
      </c>
      <c r="E2306" s="5" t="s">
        <v>506</v>
      </c>
      <c r="F2306" s="3" t="s">
        <v>507</v>
      </c>
      <c r="G2306" s="3" t="s">
        <v>75</v>
      </c>
      <c r="H2306" s="2" t="s">
        <v>22</v>
      </c>
      <c r="I2306" s="2" t="s">
        <v>5426</v>
      </c>
      <c r="J2306" s="3" t="str">
        <f>HYPERLINK("https://www.boe.es/gazeta/dias/1834/03/04/pdfs/GMD-1834-28.pdf#page=4","Abrir facsímil")</f>
        <v>Abrir facsímil</v>
      </c>
      <c r="K2306" s="3" t="s">
        <v>24</v>
      </c>
    </row>
    <row r="2307" spans="1:11" ht="54" customHeight="1">
      <c r="A2307" s="2" t="s">
        <v>5427</v>
      </c>
      <c r="B2307" s="2" t="s">
        <v>5428</v>
      </c>
      <c r="C2307" s="2" t="s">
        <v>17</v>
      </c>
      <c r="D2307" s="2" t="s">
        <v>18</v>
      </c>
      <c r="E2307" s="5" t="s">
        <v>860</v>
      </c>
      <c r="F2307" s="3" t="s">
        <v>861</v>
      </c>
      <c r="G2307" s="3" t="s">
        <v>75</v>
      </c>
      <c r="H2307" s="2" t="s">
        <v>22</v>
      </c>
      <c r="I2307" s="2" t="s">
        <v>5429</v>
      </c>
      <c r="J2307" s="3" t="str">
        <f>HYPERLINK("https://www.boe.es/gazeta/dias/1834/02/08/pdfs/GMD-1834-18.pdf#page=4","Abrir facsímil")</f>
        <v>Abrir facsímil</v>
      </c>
      <c r="K2307" s="3" t="s">
        <v>24</v>
      </c>
    </row>
    <row r="2308" spans="1:11" ht="54" customHeight="1">
      <c r="A2308" s="2" t="s">
        <v>5430</v>
      </c>
      <c r="B2308" s="2" t="s">
        <v>5431</v>
      </c>
      <c r="C2308" s="2" t="s">
        <v>17</v>
      </c>
      <c r="D2308" s="2" t="s">
        <v>18</v>
      </c>
      <c r="E2308" s="5" t="s">
        <v>1572</v>
      </c>
      <c r="F2308" s="3" t="s">
        <v>1573</v>
      </c>
      <c r="G2308" s="3" t="s">
        <v>34</v>
      </c>
      <c r="H2308" s="2" t="s">
        <v>22</v>
      </c>
      <c r="I2308" s="2" t="s">
        <v>5432</v>
      </c>
      <c r="J2308" s="3" t="str">
        <f>HYPERLINK("https://www.boe.es/gazeta/dias/1834/03/20/pdfs/GMD-1834-35.pdf#page=1","Abrir facsímil")</f>
        <v>Abrir facsímil</v>
      </c>
      <c r="K2308" s="3" t="s">
        <v>24</v>
      </c>
    </row>
    <row r="2309" spans="1:11" ht="54" customHeight="1">
      <c r="A2309" s="2" t="s">
        <v>5433</v>
      </c>
      <c r="B2309" s="2" t="s">
        <v>5434</v>
      </c>
      <c r="C2309" s="2" t="s">
        <v>17</v>
      </c>
      <c r="D2309" s="2" t="s">
        <v>55</v>
      </c>
      <c r="E2309" s="5" t="s">
        <v>5435</v>
      </c>
      <c r="F2309" s="3" t="s">
        <v>5436</v>
      </c>
      <c r="G2309" s="3" t="s">
        <v>86</v>
      </c>
      <c r="H2309" s="2" t="s">
        <v>22</v>
      </c>
      <c r="I2309" s="2" t="s">
        <v>5437</v>
      </c>
      <c r="J2309" s="3" t="str">
        <f>HYPERLINK("https://www.boe.es/gazeta/dias/1834/05/11/pdfs/GMD-1834-80.pdf#page=2","Abrir facsímil")</f>
        <v>Abrir facsímil</v>
      </c>
      <c r="K2309" s="3" t="s">
        <v>24</v>
      </c>
    </row>
    <row r="2310" spans="1:11" ht="54" customHeight="1">
      <c r="A2310" s="2" t="s">
        <v>5438</v>
      </c>
      <c r="B2310" s="2" t="s">
        <v>5439</v>
      </c>
      <c r="C2310" s="2" t="s">
        <v>46</v>
      </c>
      <c r="D2310" s="2" t="s">
        <v>18</v>
      </c>
      <c r="E2310" s="5" t="s">
        <v>438</v>
      </c>
      <c r="F2310" s="3" t="s">
        <v>439</v>
      </c>
      <c r="G2310" s="3" t="s">
        <v>21</v>
      </c>
      <c r="H2310" s="2" t="s">
        <v>22</v>
      </c>
      <c r="I2310" s="2" t="s">
        <v>5440</v>
      </c>
      <c r="J2310" s="3" t="str">
        <f>HYPERLINK("https://www.boe.es/gazeta/dias/1834/11/09/pdfs/GMD-1834-268.pdf#page=3","Abrir facsímil")</f>
        <v>Abrir facsímil</v>
      </c>
      <c r="K2310" s="3" t="s">
        <v>24</v>
      </c>
    </row>
    <row r="2311" spans="1:11" ht="54" customHeight="1">
      <c r="A2311" s="2" t="s">
        <v>5441</v>
      </c>
      <c r="B2311" s="2" t="s">
        <v>5442</v>
      </c>
      <c r="C2311" s="2" t="s">
        <v>17</v>
      </c>
      <c r="D2311" s="2" t="s">
        <v>18</v>
      </c>
      <c r="E2311" s="5" t="s">
        <v>1234</v>
      </c>
      <c r="F2311" s="3" t="s">
        <v>1235</v>
      </c>
      <c r="G2311" s="3" t="s">
        <v>34</v>
      </c>
      <c r="H2311" s="2" t="s">
        <v>22</v>
      </c>
      <c r="I2311" s="2" t="s">
        <v>5443</v>
      </c>
      <c r="J2311" s="3" t="str">
        <f>HYPERLINK("https://www.boe.es/gazeta/dias/1834/05/15/pdfs/GMD-C-1834-84.pdf#page=1","Abrir facsímil")</f>
        <v>Abrir facsímil</v>
      </c>
      <c r="K2311" s="3" t="s">
        <v>24</v>
      </c>
    </row>
    <row r="2312" spans="1:11" ht="54" customHeight="1">
      <c r="A2312" s="2" t="s">
        <v>5444</v>
      </c>
      <c r="B2312" s="2" t="s">
        <v>5445</v>
      </c>
      <c r="C2312" s="2" t="s">
        <v>17</v>
      </c>
      <c r="D2312" s="2" t="s">
        <v>55</v>
      </c>
      <c r="E2312" s="5" t="s">
        <v>535</v>
      </c>
      <c r="F2312" s="3" t="s">
        <v>536</v>
      </c>
      <c r="G2312" s="3" t="s">
        <v>21</v>
      </c>
      <c r="H2312" s="2" t="s">
        <v>22</v>
      </c>
      <c r="I2312" s="2" t="s">
        <v>5446</v>
      </c>
      <c r="J2312" s="3" t="str">
        <f>HYPERLINK("https://www.boe.es/gazeta/dias/1834/05/21/pdfs/GMD-1834-90.pdf#page=3","Abrir facsímil")</f>
        <v>Abrir facsímil</v>
      </c>
      <c r="K2312" s="3" t="s">
        <v>24</v>
      </c>
    </row>
    <row r="2313" spans="1:11" ht="54" customHeight="1">
      <c r="A2313" s="2" t="s">
        <v>5447</v>
      </c>
      <c r="B2313" s="2" t="s">
        <v>5448</v>
      </c>
      <c r="C2313" s="2" t="s">
        <v>17</v>
      </c>
      <c r="D2313" s="2" t="s">
        <v>18</v>
      </c>
      <c r="E2313" s="5" t="s">
        <v>209</v>
      </c>
      <c r="F2313" s="3" t="s">
        <v>210</v>
      </c>
      <c r="G2313" s="3" t="s">
        <v>21</v>
      </c>
      <c r="H2313" s="2" t="s">
        <v>22</v>
      </c>
      <c r="I2313" s="2" t="s">
        <v>5449</v>
      </c>
      <c r="J2313" s="3" t="str">
        <f>HYPERLINK("https://www.boe.es/gazeta/dias/1834/07/01/pdfs/GMD-1834-134.pdf#page=3","Abrir facsímil")</f>
        <v>Abrir facsímil</v>
      </c>
      <c r="K2313" s="3" t="s">
        <v>24</v>
      </c>
    </row>
    <row r="2314" spans="1:11" ht="54" customHeight="1">
      <c r="A2314" s="2" t="s">
        <v>5447</v>
      </c>
      <c r="B2314" s="2" t="s">
        <v>5448</v>
      </c>
      <c r="C2314" s="2" t="s">
        <v>17</v>
      </c>
      <c r="D2314" s="2" t="s">
        <v>18</v>
      </c>
      <c r="E2314" s="5" t="s">
        <v>2212</v>
      </c>
      <c r="F2314" s="3" t="s">
        <v>5450</v>
      </c>
      <c r="G2314" s="3" t="s">
        <v>75</v>
      </c>
      <c r="H2314" s="2" t="s">
        <v>22</v>
      </c>
      <c r="I2314" s="2" t="s">
        <v>5451</v>
      </c>
      <c r="J2314" s="3" t="str">
        <f>HYPERLINK("https://www.boe.es/gazeta/dias/1834/08/04/pdfs/GMD-1834-168.pdf#page=4","Abrir facsímil")</f>
        <v>Abrir facsímil</v>
      </c>
      <c r="K2314" s="3" t="s">
        <v>24</v>
      </c>
    </row>
    <row r="2315" spans="1:11" ht="54" customHeight="1">
      <c r="A2315" s="2" t="s">
        <v>5452</v>
      </c>
      <c r="B2315" s="2" t="s">
        <v>5452</v>
      </c>
      <c r="C2315" s="2" t="s">
        <v>122</v>
      </c>
      <c r="D2315" s="2" t="s">
        <v>18</v>
      </c>
      <c r="E2315" s="5" t="s">
        <v>785</v>
      </c>
      <c r="F2315" s="3" t="s">
        <v>786</v>
      </c>
      <c r="G2315" s="3" t="s">
        <v>75</v>
      </c>
      <c r="H2315" s="2" t="s">
        <v>22</v>
      </c>
      <c r="I2315" s="2" t="s">
        <v>5453</v>
      </c>
      <c r="J2315" s="3" t="str">
        <f>HYPERLINK("https://www.boe.es/gazeta/dias/1834/02/11/pdfs/GMD-1834-19.pdf#page=4","Abrir facsímil")</f>
        <v>Abrir facsímil</v>
      </c>
      <c r="K2315" s="3" t="s">
        <v>24</v>
      </c>
    </row>
    <row r="2316" spans="1:11" ht="54" customHeight="1">
      <c r="A2316" s="2" t="s">
        <v>5454</v>
      </c>
      <c r="B2316" s="2" t="s">
        <v>5455</v>
      </c>
      <c r="C2316" s="2" t="s">
        <v>17</v>
      </c>
      <c r="D2316" s="2" t="s">
        <v>18</v>
      </c>
      <c r="E2316" s="5" t="s">
        <v>19</v>
      </c>
      <c r="F2316" s="3" t="s">
        <v>107</v>
      </c>
      <c r="G2316" s="3" t="s">
        <v>21</v>
      </c>
      <c r="H2316" s="2" t="s">
        <v>35</v>
      </c>
      <c r="I2316" s="2" t="s">
        <v>5456</v>
      </c>
      <c r="J2316" s="3" t="str">
        <f>HYPERLINK("https://www.boe.es/gazeta/dias/1834/08/17/pdfs/GMD-1834-182.pdf#page=3","Abrir facsímil")</f>
        <v>Abrir facsímil</v>
      </c>
      <c r="K2316" s="3" t="s">
        <v>37</v>
      </c>
    </row>
    <row r="2317" spans="1:11" ht="54" customHeight="1">
      <c r="A2317" s="2" t="s">
        <v>5457</v>
      </c>
      <c r="B2317" s="2" t="s">
        <v>5458</v>
      </c>
      <c r="C2317" s="2" t="s">
        <v>17</v>
      </c>
      <c r="D2317" s="2" t="s">
        <v>18</v>
      </c>
      <c r="E2317" s="5" t="s">
        <v>1017</v>
      </c>
      <c r="F2317" s="3" t="s">
        <v>1018</v>
      </c>
      <c r="G2317" s="3" t="s">
        <v>21</v>
      </c>
      <c r="H2317" s="2" t="s">
        <v>22</v>
      </c>
      <c r="I2317" s="2" t="s">
        <v>5459</v>
      </c>
      <c r="J2317" s="3" t="str">
        <f>HYPERLINK("https://www.boe.es/gazeta/dias/1834/07/24/pdfs/GMD-1834-157.pdf#page=3","Abrir facsímil")</f>
        <v>Abrir facsímil</v>
      </c>
      <c r="K2317" s="3" t="s">
        <v>24</v>
      </c>
    </row>
    <row r="2318" spans="1:11" ht="54" customHeight="1">
      <c r="A2318" s="2" t="s">
        <v>5460</v>
      </c>
      <c r="B2318" s="2" t="s">
        <v>5461</v>
      </c>
      <c r="C2318" s="2" t="s">
        <v>17</v>
      </c>
      <c r="D2318" s="2" t="s">
        <v>18</v>
      </c>
      <c r="E2318" s="5" t="s">
        <v>19</v>
      </c>
      <c r="F2318" s="3" t="s">
        <v>107</v>
      </c>
      <c r="G2318" s="3" t="s">
        <v>21</v>
      </c>
      <c r="H2318" s="2" t="s">
        <v>22</v>
      </c>
      <c r="I2318" s="2" t="s">
        <v>5462</v>
      </c>
      <c r="J2318" s="3" t="str">
        <f>HYPERLINK("https://www.boe.es/gazeta/dias/1834/08/17/pdfs/GMD-1834-182.pdf#page=3","Abrir facsímil")</f>
        <v>Abrir facsímil</v>
      </c>
      <c r="K2318" s="3" t="s">
        <v>24</v>
      </c>
    </row>
    <row r="2319" spans="1:11" ht="54" customHeight="1">
      <c r="A2319" s="2" t="s">
        <v>5463</v>
      </c>
      <c r="B2319" s="2" t="s">
        <v>5463</v>
      </c>
      <c r="C2319" s="2" t="s">
        <v>90</v>
      </c>
      <c r="D2319" s="2" t="s">
        <v>18</v>
      </c>
      <c r="E2319" s="5" t="s">
        <v>510</v>
      </c>
      <c r="F2319" s="3" t="s">
        <v>531</v>
      </c>
      <c r="G2319" s="3" t="s">
        <v>560</v>
      </c>
      <c r="H2319" s="2" t="s">
        <v>22</v>
      </c>
      <c r="I2319" s="2" t="s">
        <v>5464</v>
      </c>
      <c r="J2319" s="3" t="str">
        <f>HYPERLINK("https://www.boe.es/gazeta/dias/1834/11/26/pdfs/GMD-C-1834-285.pdf#page=7","Abrir facsímil")</f>
        <v>Abrir facsímil</v>
      </c>
      <c r="K2319" s="3" t="s">
        <v>24</v>
      </c>
    </row>
    <row r="2320" spans="1:11" ht="54" customHeight="1">
      <c r="A2320" s="2" t="s">
        <v>5465</v>
      </c>
      <c r="B2320" s="2" t="s">
        <v>5466</v>
      </c>
      <c r="C2320" s="2" t="s">
        <v>17</v>
      </c>
      <c r="D2320" s="2" t="s">
        <v>18</v>
      </c>
      <c r="E2320" s="5" t="s">
        <v>838</v>
      </c>
      <c r="F2320" s="3" t="s">
        <v>839</v>
      </c>
      <c r="G2320" s="3" t="s">
        <v>21</v>
      </c>
      <c r="H2320" s="2" t="s">
        <v>22</v>
      </c>
      <c r="I2320" s="2" t="s">
        <v>5467</v>
      </c>
      <c r="J2320" s="3" t="str">
        <f>HYPERLINK("https://www.boe.es/gazeta/dias/1834/07/18/pdfs/GMD-1834-151.pdf#page=3","Abrir facsímil")</f>
        <v>Abrir facsímil</v>
      </c>
      <c r="K2320" s="3" t="s">
        <v>24</v>
      </c>
    </row>
    <row r="2321" spans="1:11" ht="54" customHeight="1">
      <c r="A2321" s="2" t="s">
        <v>5468</v>
      </c>
      <c r="B2321" s="2" t="s">
        <v>5468</v>
      </c>
      <c r="C2321" s="2" t="s">
        <v>122</v>
      </c>
      <c r="D2321" s="2" t="s">
        <v>101</v>
      </c>
      <c r="E2321" s="5" t="s">
        <v>426</v>
      </c>
      <c r="F2321" s="3" t="s">
        <v>427</v>
      </c>
      <c r="G2321" s="3" t="s">
        <v>86</v>
      </c>
      <c r="H2321" s="2" t="s">
        <v>22</v>
      </c>
      <c r="I2321" s="2" t="s">
        <v>5469</v>
      </c>
      <c r="J2321" s="3" t="str">
        <f>HYPERLINK("https://www.boe.es/gazeta/dias/1834/10/04/pdfs/GMD-1834-232.pdf#page=2","Abrir facsímil")</f>
        <v>Abrir facsímil</v>
      </c>
      <c r="K2321" s="3" t="s">
        <v>24</v>
      </c>
    </row>
    <row r="2322" spans="1:11" ht="54" customHeight="1">
      <c r="A2322" s="2" t="s">
        <v>5470</v>
      </c>
      <c r="B2322" s="2" t="s">
        <v>5470</v>
      </c>
      <c r="C2322" s="2" t="s">
        <v>17</v>
      </c>
      <c r="D2322" s="2" t="s">
        <v>18</v>
      </c>
      <c r="E2322" s="5" t="s">
        <v>642</v>
      </c>
      <c r="F2322" s="3" t="s">
        <v>643</v>
      </c>
      <c r="G2322" s="3" t="s">
        <v>21</v>
      </c>
      <c r="H2322" s="2" t="s">
        <v>22</v>
      </c>
      <c r="I2322" s="2" t="s">
        <v>5471</v>
      </c>
      <c r="J2322" s="3" t="str">
        <f>HYPERLINK("https://www.boe.es/gazeta/dias/1834/11/12/pdfs/GMD-C-1834-271.pdf#page=3","Abrir facsímil")</f>
        <v>Abrir facsímil</v>
      </c>
      <c r="K2322" s="3" t="s">
        <v>24</v>
      </c>
    </row>
    <row r="2323" spans="1:11" ht="54" customHeight="1">
      <c r="A2323" s="2" t="s">
        <v>5472</v>
      </c>
      <c r="B2323" s="2" t="s">
        <v>5472</v>
      </c>
      <c r="C2323" s="2" t="s">
        <v>17</v>
      </c>
      <c r="D2323" s="2" t="s">
        <v>18</v>
      </c>
      <c r="E2323" s="5" t="s">
        <v>690</v>
      </c>
      <c r="F2323" s="3" t="s">
        <v>691</v>
      </c>
      <c r="G2323" s="3" t="s">
        <v>34</v>
      </c>
      <c r="H2323" s="2" t="s">
        <v>22</v>
      </c>
      <c r="I2323" s="2" t="s">
        <v>5473</v>
      </c>
      <c r="J2323" s="3" t="str">
        <f>HYPERLINK("https://www.boe.es/gazeta/dias/1834/09/03/pdfs/GMD-C-1834-201.pdf#page=1","Abrir facsímil")</f>
        <v>Abrir facsímil</v>
      </c>
      <c r="K2323" s="3" t="s">
        <v>24</v>
      </c>
    </row>
    <row r="2324" spans="1:11" ht="54" customHeight="1">
      <c r="A2324" s="2" t="s">
        <v>5474</v>
      </c>
      <c r="B2324" s="2" t="s">
        <v>5474</v>
      </c>
      <c r="C2324" s="2" t="s">
        <v>122</v>
      </c>
      <c r="D2324" s="2" t="s">
        <v>18</v>
      </c>
      <c r="E2324" s="5" t="s">
        <v>438</v>
      </c>
      <c r="F2324" s="3" t="s">
        <v>439</v>
      </c>
      <c r="G2324" s="3" t="s">
        <v>21</v>
      </c>
      <c r="H2324" s="2" t="s">
        <v>22</v>
      </c>
      <c r="I2324" s="2" t="s">
        <v>5475</v>
      </c>
      <c r="J2324" s="3" t="str">
        <f>HYPERLINK("https://www.boe.es/gazeta/dias/1834/11/09/pdfs/GMD-1834-268.pdf#page=3","Abrir facsímil")</f>
        <v>Abrir facsímil</v>
      </c>
      <c r="K2324" s="3" t="s">
        <v>24</v>
      </c>
    </row>
    <row r="2325" spans="1:11" ht="54" customHeight="1">
      <c r="A2325" s="2" t="s">
        <v>5476</v>
      </c>
      <c r="B2325" s="2" t="s">
        <v>5477</v>
      </c>
      <c r="C2325" s="2" t="s">
        <v>122</v>
      </c>
      <c r="D2325" s="2" t="s">
        <v>40</v>
      </c>
      <c r="E2325" s="5" t="s">
        <v>1025</v>
      </c>
      <c r="F2325" s="3" t="s">
        <v>1026</v>
      </c>
      <c r="G2325" s="3" t="s">
        <v>176</v>
      </c>
      <c r="H2325" s="2" t="s">
        <v>22</v>
      </c>
      <c r="I2325" s="2" t="s">
        <v>5478</v>
      </c>
      <c r="J2325" s="3" t="str">
        <f>HYPERLINK("https://www.boe.es/gazeta/dias/1834/03/01/pdfs/GMD-1834-27.pdf#page=6","Abrir facsímil")</f>
        <v>Abrir facsímil</v>
      </c>
      <c r="K2325" s="3" t="s">
        <v>24</v>
      </c>
    </row>
    <row r="2326" spans="1:11" ht="54" customHeight="1">
      <c r="A2326" s="2" t="s">
        <v>5479</v>
      </c>
      <c r="B2326" s="2" t="s">
        <v>5479</v>
      </c>
      <c r="C2326" s="2" t="s">
        <v>46</v>
      </c>
      <c r="D2326" s="2" t="s">
        <v>101</v>
      </c>
      <c r="E2326" s="5" t="s">
        <v>2596</v>
      </c>
      <c r="F2326" s="3" t="s">
        <v>5480</v>
      </c>
      <c r="G2326" s="3" t="s">
        <v>86</v>
      </c>
      <c r="H2326" s="2" t="s">
        <v>22</v>
      </c>
      <c r="I2326" s="2" t="s">
        <v>5481</v>
      </c>
      <c r="J2326" s="3" t="str">
        <f>HYPERLINK("https://www.boe.es/gazeta/dias/1834/10/22/pdfs/GMD-C-1834-250.pdf#page=2","Abrir facsímil")</f>
        <v>Abrir facsímil</v>
      </c>
      <c r="K2326" s="3" t="s">
        <v>24</v>
      </c>
    </row>
    <row r="2327" spans="1:11" ht="54" customHeight="1">
      <c r="A2327" s="2" t="s">
        <v>5482</v>
      </c>
      <c r="B2327" s="2" t="s">
        <v>5482</v>
      </c>
      <c r="C2327" s="2" t="s">
        <v>17</v>
      </c>
      <c r="D2327" s="2" t="s">
        <v>18</v>
      </c>
      <c r="E2327" s="5" t="s">
        <v>1424</v>
      </c>
      <c r="F2327" s="3" t="s">
        <v>1425</v>
      </c>
      <c r="G2327" s="3" t="s">
        <v>176</v>
      </c>
      <c r="H2327" s="2" t="s">
        <v>22</v>
      </c>
      <c r="I2327" s="2" t="s">
        <v>5483</v>
      </c>
      <c r="J2327" s="3" t="str">
        <f>HYPERLINK("https://www.boe.es/gazeta/dias/1834/11/14/pdfs/GMD-C-1834-273.pdf#page=6","Abrir facsímil")</f>
        <v>Abrir facsímil</v>
      </c>
      <c r="K2327" s="3" t="s">
        <v>24</v>
      </c>
    </row>
    <row r="2328" spans="1:11" ht="54" customHeight="1">
      <c r="A2328" s="2" t="s">
        <v>5484</v>
      </c>
      <c r="B2328" s="2" t="s">
        <v>5485</v>
      </c>
      <c r="C2328" s="2" t="s">
        <v>17</v>
      </c>
      <c r="D2328" s="2" t="s">
        <v>18</v>
      </c>
      <c r="E2328" s="5" t="s">
        <v>454</v>
      </c>
      <c r="F2328" s="3" t="s">
        <v>2009</v>
      </c>
      <c r="G2328" s="3" t="s">
        <v>21</v>
      </c>
      <c r="H2328" s="2" t="s">
        <v>35</v>
      </c>
      <c r="I2328" s="2" t="s">
        <v>5486</v>
      </c>
      <c r="J2328" s="3" t="str">
        <f>HYPERLINK("https://www.boe.es/gazeta/dias/1834/10/16/pdfs/GMD-1834-244.pdf#page=3","Abrir facsímil")</f>
        <v>Abrir facsímil</v>
      </c>
      <c r="K2328" s="3" t="s">
        <v>37</v>
      </c>
    </row>
    <row r="2329" spans="1:11" ht="54" customHeight="1">
      <c r="A2329" s="2" t="s">
        <v>5487</v>
      </c>
      <c r="B2329" s="2" t="s">
        <v>5488</v>
      </c>
      <c r="C2329" s="2" t="s">
        <v>17</v>
      </c>
      <c r="D2329" s="2" t="s">
        <v>18</v>
      </c>
      <c r="E2329" s="5" t="s">
        <v>364</v>
      </c>
      <c r="F2329" s="3" t="s">
        <v>365</v>
      </c>
      <c r="G2329" s="3" t="s">
        <v>34</v>
      </c>
      <c r="H2329" s="2" t="s">
        <v>35</v>
      </c>
      <c r="I2329" s="2" t="s">
        <v>5489</v>
      </c>
      <c r="J2329" s="3" t="str">
        <f>HYPERLINK("https://www.boe.es/gazeta/dias/1834/09/06/pdfs/GMD-C-1834-204.pdf#page=1","Abrir facsímil")</f>
        <v>Abrir facsímil</v>
      </c>
      <c r="K2329" s="3" t="s">
        <v>37</v>
      </c>
    </row>
    <row r="2330" spans="1:11" ht="54" customHeight="1">
      <c r="A2330" s="2" t="s">
        <v>5490</v>
      </c>
      <c r="B2330" s="2" t="s">
        <v>5491</v>
      </c>
      <c r="C2330" s="2" t="s">
        <v>17</v>
      </c>
      <c r="D2330" s="2" t="s">
        <v>18</v>
      </c>
      <c r="E2330" s="5" t="s">
        <v>364</v>
      </c>
      <c r="F2330" s="3" t="s">
        <v>365</v>
      </c>
      <c r="G2330" s="3" t="s">
        <v>34</v>
      </c>
      <c r="H2330" s="2" t="s">
        <v>22</v>
      </c>
      <c r="I2330" s="2" t="s">
        <v>5492</v>
      </c>
      <c r="J2330" s="3" t="str">
        <f>HYPERLINK("https://www.boe.es/gazeta/dias/1834/09/06/pdfs/GMD-C-1834-204.pdf#page=1","Abrir facsímil")</f>
        <v>Abrir facsímil</v>
      </c>
      <c r="K2330" s="3" t="s">
        <v>24</v>
      </c>
    </row>
    <row r="2331" spans="1:11" ht="54" customHeight="1">
      <c r="A2331" s="2" t="s">
        <v>5493</v>
      </c>
      <c r="B2331" s="2" t="s">
        <v>5494</v>
      </c>
      <c r="C2331" s="2" t="s">
        <v>17</v>
      </c>
      <c r="D2331" s="2" t="s">
        <v>18</v>
      </c>
      <c r="E2331" s="5" t="s">
        <v>454</v>
      </c>
      <c r="F2331" s="3" t="s">
        <v>2009</v>
      </c>
      <c r="G2331" s="3" t="s">
        <v>21</v>
      </c>
      <c r="H2331" s="2" t="s">
        <v>22</v>
      </c>
      <c r="I2331" s="2" t="s">
        <v>5495</v>
      </c>
      <c r="J2331" s="3" t="str">
        <f>HYPERLINK("https://www.boe.es/gazeta/dias/1834/10/16/pdfs/GMD-1834-244.pdf#page=3","Abrir facsímil")</f>
        <v>Abrir facsímil</v>
      </c>
      <c r="K2331" s="3" t="s">
        <v>24</v>
      </c>
    </row>
    <row r="2332" spans="1:11" ht="54" customHeight="1">
      <c r="A2332" s="2" t="s">
        <v>5496</v>
      </c>
      <c r="B2332" s="2" t="s">
        <v>5497</v>
      </c>
      <c r="C2332" s="2" t="s">
        <v>90</v>
      </c>
      <c r="D2332" s="2" t="s">
        <v>18</v>
      </c>
      <c r="E2332" s="5" t="s">
        <v>1025</v>
      </c>
      <c r="F2332" s="3" t="s">
        <v>1026</v>
      </c>
      <c r="G2332" s="3" t="s">
        <v>176</v>
      </c>
      <c r="H2332" s="2" t="s">
        <v>22</v>
      </c>
      <c r="I2332" s="2" t="s">
        <v>5498</v>
      </c>
      <c r="J2332" s="3" t="str">
        <f>HYPERLINK("https://www.boe.es/gazeta/dias/1834/03/01/pdfs/GMD-1834-27.pdf#page=6","Abrir facsímil")</f>
        <v>Abrir facsímil</v>
      </c>
      <c r="K2332" s="3" t="s">
        <v>24</v>
      </c>
    </row>
    <row r="2333" spans="1:11" ht="54" customHeight="1">
      <c r="A2333" s="2" t="s">
        <v>5499</v>
      </c>
      <c r="B2333" s="2" t="s">
        <v>5500</v>
      </c>
      <c r="C2333" s="2" t="s">
        <v>90</v>
      </c>
      <c r="D2333" s="2" t="s">
        <v>18</v>
      </c>
      <c r="E2333" s="5" t="s">
        <v>454</v>
      </c>
      <c r="F2333" s="3" t="s">
        <v>2009</v>
      </c>
      <c r="G2333" s="3" t="s">
        <v>21</v>
      </c>
      <c r="H2333" s="2" t="s">
        <v>22</v>
      </c>
      <c r="I2333" s="2" t="s">
        <v>5501</v>
      </c>
      <c r="J2333" s="3" t="str">
        <f>HYPERLINK("https://www.boe.es/gazeta/dias/1834/10/16/pdfs/GMD-1834-244.pdf#page=3","Abrir facsímil")</f>
        <v>Abrir facsímil</v>
      </c>
      <c r="K2333" s="3" t="s">
        <v>24</v>
      </c>
    </row>
    <row r="2334" spans="1:11" ht="54" customHeight="1">
      <c r="A2334" s="2" t="s">
        <v>5502</v>
      </c>
      <c r="B2334" s="2" t="s">
        <v>5503</v>
      </c>
      <c r="C2334" s="2" t="s">
        <v>17</v>
      </c>
      <c r="D2334" s="2" t="s">
        <v>18</v>
      </c>
      <c r="E2334" s="5" t="s">
        <v>304</v>
      </c>
      <c r="F2334" s="3" t="s">
        <v>305</v>
      </c>
      <c r="G2334" s="3" t="s">
        <v>176</v>
      </c>
      <c r="H2334" s="2" t="s">
        <v>22</v>
      </c>
      <c r="I2334" s="2" t="s">
        <v>5504</v>
      </c>
      <c r="J2334" s="3" t="str">
        <f>HYPERLINK("https://www.boe.es/gazeta/dias/1834/01/21/pdfs/GMD-1834-10.pdf#page=6","Abrir facsímil")</f>
        <v>Abrir facsímil</v>
      </c>
      <c r="K2334" s="3" t="s">
        <v>24</v>
      </c>
    </row>
    <row r="2335" spans="1:11" ht="54" customHeight="1">
      <c r="A2335" s="2" t="s">
        <v>5505</v>
      </c>
      <c r="B2335" s="2" t="s">
        <v>5506</v>
      </c>
      <c r="C2335" s="2" t="s">
        <v>17</v>
      </c>
      <c r="D2335" s="2" t="s">
        <v>18</v>
      </c>
      <c r="E2335" s="5" t="s">
        <v>1653</v>
      </c>
      <c r="F2335" s="3" t="s">
        <v>1654</v>
      </c>
      <c r="G2335" s="3" t="s">
        <v>21</v>
      </c>
      <c r="H2335" s="2" t="s">
        <v>22</v>
      </c>
      <c r="I2335" s="2" t="s">
        <v>5507</v>
      </c>
      <c r="J2335" s="3" t="str">
        <f>HYPERLINK("https://www.boe.es/gazeta/dias/1834/07/03/pdfs/GMD-1834-136.pdf#page=3","Abrir facsímil")</f>
        <v>Abrir facsímil</v>
      </c>
      <c r="K2335" s="3" t="s">
        <v>24</v>
      </c>
    </row>
    <row r="2336" spans="1:11" ht="54" customHeight="1">
      <c r="A2336" s="2" t="s">
        <v>5508</v>
      </c>
      <c r="B2336" s="2" t="s">
        <v>5509</v>
      </c>
      <c r="C2336" s="2" t="s">
        <v>17</v>
      </c>
      <c r="D2336" s="2" t="s">
        <v>40</v>
      </c>
      <c r="E2336" s="5" t="s">
        <v>416</v>
      </c>
      <c r="F2336" s="3" t="s">
        <v>417</v>
      </c>
      <c r="G2336" s="3" t="s">
        <v>34</v>
      </c>
      <c r="H2336" s="2" t="s">
        <v>22</v>
      </c>
      <c r="I2336" s="2" t="s">
        <v>5510</v>
      </c>
      <c r="J2336" s="3" t="str">
        <f>HYPERLINK("https://www.boe.es/gazeta/dias/1834/10/02/pdfs/GMD-C-1834-230.pdf#page=1","Abrir facsímil")</f>
        <v>Abrir facsímil</v>
      </c>
      <c r="K2336" s="3" t="s">
        <v>24</v>
      </c>
    </row>
    <row r="2337" spans="1:11" ht="54" customHeight="1">
      <c r="A2337" s="2" t="s">
        <v>5511</v>
      </c>
      <c r="B2337" s="2" t="s">
        <v>5512</v>
      </c>
      <c r="C2337" s="2" t="s">
        <v>17</v>
      </c>
      <c r="D2337" s="2" t="s">
        <v>18</v>
      </c>
      <c r="E2337" s="5" t="s">
        <v>707</v>
      </c>
      <c r="F2337" s="3" t="s">
        <v>708</v>
      </c>
      <c r="G2337" s="3" t="s">
        <v>34</v>
      </c>
      <c r="H2337" s="2" t="s">
        <v>22</v>
      </c>
      <c r="I2337" s="2" t="s">
        <v>5513</v>
      </c>
      <c r="J2337" s="3" t="str">
        <f>HYPERLINK("https://www.boe.es/gazeta/dias/1834/11/25/pdfs/GMD-C-1834-284.pdf#page=1","Abrir facsímil")</f>
        <v>Abrir facsímil</v>
      </c>
      <c r="K2337" s="3" t="s">
        <v>24</v>
      </c>
    </row>
    <row r="2338" spans="1:11" ht="54" customHeight="1">
      <c r="A2338" s="2" t="s">
        <v>5514</v>
      </c>
      <c r="B2338" s="2" t="s">
        <v>5514</v>
      </c>
      <c r="C2338" s="2" t="s">
        <v>46</v>
      </c>
      <c r="D2338" s="2" t="s">
        <v>101</v>
      </c>
      <c r="E2338" s="5" t="s">
        <v>2203</v>
      </c>
      <c r="F2338" s="3" t="s">
        <v>2204</v>
      </c>
      <c r="G2338" s="3" t="s">
        <v>75</v>
      </c>
      <c r="H2338" s="2" t="s">
        <v>22</v>
      </c>
      <c r="I2338" s="2" t="s">
        <v>5515</v>
      </c>
      <c r="J2338" s="3" t="str">
        <f>HYPERLINK("https://www.boe.es/gazeta/dias/1834/09/10/pdfs/GMD-C-1834-208.pdf#page=4","Abrir facsímil")</f>
        <v>Abrir facsímil</v>
      </c>
      <c r="K2338" s="3" t="s">
        <v>24</v>
      </c>
    </row>
    <row r="2339" spans="1:11" ht="54" customHeight="1">
      <c r="A2339" s="2" t="s">
        <v>5514</v>
      </c>
      <c r="B2339" s="2" t="s">
        <v>5514</v>
      </c>
      <c r="C2339" s="2" t="s">
        <v>17</v>
      </c>
      <c r="D2339" s="2" t="s">
        <v>18</v>
      </c>
      <c r="E2339" s="5" t="s">
        <v>334</v>
      </c>
      <c r="F2339" s="3" t="s">
        <v>335</v>
      </c>
      <c r="G2339" s="3" t="s">
        <v>34</v>
      </c>
      <c r="H2339" s="2" t="s">
        <v>22</v>
      </c>
      <c r="I2339" s="2" t="s">
        <v>5516</v>
      </c>
      <c r="J2339" s="3" t="str">
        <f>HYPERLINK("https://www.boe.es/gazeta/dias/1834/09/11/pdfs/GMD-C-1834-209.pdf#page=1","Abrir facsímil")</f>
        <v>Abrir facsímil</v>
      </c>
      <c r="K2339" s="3" t="s">
        <v>24</v>
      </c>
    </row>
    <row r="2340" spans="1:11" ht="54" customHeight="1">
      <c r="A2340" s="2" t="s">
        <v>5514</v>
      </c>
      <c r="B2340" s="2" t="s">
        <v>5514</v>
      </c>
      <c r="C2340" s="2" t="s">
        <v>17</v>
      </c>
      <c r="D2340" s="2" t="s">
        <v>18</v>
      </c>
      <c r="E2340" s="5" t="s">
        <v>462</v>
      </c>
      <c r="F2340" s="3" t="s">
        <v>463</v>
      </c>
      <c r="G2340" s="3" t="s">
        <v>86</v>
      </c>
      <c r="H2340" s="2" t="s">
        <v>22</v>
      </c>
      <c r="I2340" s="2" t="s">
        <v>5517</v>
      </c>
      <c r="J2340" s="3" t="str">
        <f>HYPERLINK("https://www.boe.es/gazeta/dias/1834/08/27/pdfs/GMD-C-1834-193.pdf#page=2","Abrir facsímil")</f>
        <v>Abrir facsímil</v>
      </c>
      <c r="K2340" s="3" t="s">
        <v>24</v>
      </c>
    </row>
    <row r="2341" spans="1:11" ht="54" customHeight="1">
      <c r="A2341" s="2" t="s">
        <v>5514</v>
      </c>
      <c r="B2341" s="2" t="s">
        <v>5514</v>
      </c>
      <c r="C2341" s="2" t="s">
        <v>17</v>
      </c>
      <c r="D2341" s="2" t="s">
        <v>18</v>
      </c>
      <c r="E2341" s="5" t="s">
        <v>280</v>
      </c>
      <c r="F2341" s="3" t="s">
        <v>281</v>
      </c>
      <c r="G2341" s="3" t="s">
        <v>21</v>
      </c>
      <c r="H2341" s="2" t="s">
        <v>22</v>
      </c>
      <c r="I2341" s="2" t="s">
        <v>5518</v>
      </c>
      <c r="J2341" s="3" t="str">
        <f>HYPERLINK("https://www.boe.es/gazeta/dias/1834/08/29/pdfs/GMD-C-1834-195.pdf#page=3","Abrir facsímil")</f>
        <v>Abrir facsímil</v>
      </c>
      <c r="K2341" s="3" t="s">
        <v>24</v>
      </c>
    </row>
    <row r="2342" spans="1:11" ht="54" customHeight="1">
      <c r="A2342" s="2" t="s">
        <v>5519</v>
      </c>
      <c r="B2342" s="2" t="s">
        <v>5519</v>
      </c>
      <c r="C2342" s="2" t="s">
        <v>17</v>
      </c>
      <c r="D2342" s="2" t="s">
        <v>18</v>
      </c>
      <c r="E2342" s="5" t="s">
        <v>394</v>
      </c>
      <c r="F2342" s="3" t="s">
        <v>459</v>
      </c>
      <c r="G2342" s="3" t="s">
        <v>34</v>
      </c>
      <c r="H2342" s="2" t="s">
        <v>22</v>
      </c>
      <c r="I2342" s="2" t="s">
        <v>5520</v>
      </c>
      <c r="J2342" s="3" t="str">
        <f>HYPERLINK("https://www.boe.es/gazeta/dias/1834/12/23/pdfs/GMD-C-1834-313.pdf#page=1","Abrir facsímil")</f>
        <v>Abrir facsímil</v>
      </c>
      <c r="K2342" s="3" t="s">
        <v>24</v>
      </c>
    </row>
    <row r="2343" spans="1:11" ht="54" customHeight="1">
      <c r="A2343" s="2" t="s">
        <v>5521</v>
      </c>
      <c r="B2343" s="2" t="s">
        <v>5522</v>
      </c>
      <c r="C2343" s="2" t="s">
        <v>17</v>
      </c>
      <c r="D2343" s="2" t="s">
        <v>40</v>
      </c>
      <c r="E2343" s="5" t="s">
        <v>647</v>
      </c>
      <c r="F2343" s="3" t="s">
        <v>648</v>
      </c>
      <c r="G2343" s="3" t="s">
        <v>34</v>
      </c>
      <c r="H2343" s="2" t="s">
        <v>22</v>
      </c>
      <c r="I2343" s="2" t="s">
        <v>5523</v>
      </c>
      <c r="J2343" s="3" t="str">
        <f>HYPERLINK("https://www.boe.es/gazeta/dias/1834/10/21/pdfs/GMD-C-1834-249.pdf#page=1","Abrir facsímil")</f>
        <v>Abrir facsímil</v>
      </c>
      <c r="K2343" s="3" t="s">
        <v>24</v>
      </c>
    </row>
    <row r="2344" spans="1:11" ht="54" customHeight="1">
      <c r="A2344" s="2" t="s">
        <v>5524</v>
      </c>
      <c r="B2344" s="2" t="s">
        <v>5525</v>
      </c>
      <c r="C2344" s="2" t="s">
        <v>17</v>
      </c>
      <c r="D2344" s="2" t="s">
        <v>18</v>
      </c>
      <c r="E2344" s="5" t="s">
        <v>696</v>
      </c>
      <c r="F2344" s="3" t="s">
        <v>697</v>
      </c>
      <c r="G2344" s="3" t="s">
        <v>34</v>
      </c>
      <c r="H2344" s="2" t="s">
        <v>35</v>
      </c>
      <c r="I2344" s="2" t="s">
        <v>5526</v>
      </c>
      <c r="J2344" s="3" t="str">
        <f>HYPERLINK("https://www.boe.es/gazeta/dias/1834/12/06/pdfs/GMD-C-1834-295.pdf#page=1","Abrir facsímil")</f>
        <v>Abrir facsímil</v>
      </c>
      <c r="K2344" s="3" t="s">
        <v>37</v>
      </c>
    </row>
    <row r="2345" spans="1:11" ht="54" customHeight="1">
      <c r="A2345" s="2" t="s">
        <v>5524</v>
      </c>
      <c r="B2345" s="2" t="s">
        <v>5525</v>
      </c>
      <c r="C2345" s="2" t="s">
        <v>17</v>
      </c>
      <c r="D2345" s="2" t="s">
        <v>18</v>
      </c>
      <c r="E2345" s="5" t="s">
        <v>679</v>
      </c>
      <c r="F2345" s="3" t="s">
        <v>699</v>
      </c>
      <c r="G2345" s="3" t="s">
        <v>86</v>
      </c>
      <c r="H2345" s="2" t="s">
        <v>35</v>
      </c>
      <c r="I2345" s="2" t="s">
        <v>5527</v>
      </c>
      <c r="J2345" s="3" t="str">
        <f>HYPERLINK("https://www.boe.es/gazeta/dias/1834/12/10/pdfs/GMD-C-1834-299.pdf#page=2","Abrir facsímil")</f>
        <v>Abrir facsímil</v>
      </c>
      <c r="K2345" s="3" t="s">
        <v>37</v>
      </c>
    </row>
    <row r="2346" spans="1:11" ht="54" customHeight="1">
      <c r="A2346" s="2" t="s">
        <v>5528</v>
      </c>
      <c r="B2346" s="2" t="s">
        <v>5529</v>
      </c>
      <c r="C2346" s="2" t="s">
        <v>17</v>
      </c>
      <c r="D2346" s="2" t="s">
        <v>18</v>
      </c>
      <c r="E2346" s="5" t="s">
        <v>465</v>
      </c>
      <c r="F2346" s="3" t="s">
        <v>466</v>
      </c>
      <c r="G2346" s="3" t="s">
        <v>176</v>
      </c>
      <c r="H2346" s="2" t="s">
        <v>22</v>
      </c>
      <c r="I2346" s="2" t="s">
        <v>5530</v>
      </c>
      <c r="J2346" s="3" t="str">
        <f>HYPERLINK("https://www.boe.es/gazeta/dias/1834/11/27/pdfs/GMD-C-1834-286.pdf#page=6","Abrir facsímil")</f>
        <v>Abrir facsímil</v>
      </c>
      <c r="K2346" s="3" t="s">
        <v>24</v>
      </c>
    </row>
    <row r="2347" spans="1:11" ht="54" customHeight="1">
      <c r="A2347" s="2" t="s">
        <v>5531</v>
      </c>
      <c r="B2347" s="2" t="s">
        <v>5532</v>
      </c>
      <c r="C2347" s="2" t="s">
        <v>17</v>
      </c>
      <c r="D2347" s="2" t="s">
        <v>18</v>
      </c>
      <c r="E2347" s="5" t="s">
        <v>696</v>
      </c>
      <c r="F2347" s="3" t="s">
        <v>697</v>
      </c>
      <c r="G2347" s="3" t="s">
        <v>34</v>
      </c>
      <c r="H2347" s="2" t="s">
        <v>22</v>
      </c>
      <c r="I2347" s="2" t="s">
        <v>5533</v>
      </c>
      <c r="J2347" s="3" t="str">
        <f>HYPERLINK("https://www.boe.es/gazeta/dias/1834/12/06/pdfs/GMD-C-1834-295.pdf#page=1","Abrir facsímil")</f>
        <v>Abrir facsímil</v>
      </c>
      <c r="K2347" s="3" t="s">
        <v>24</v>
      </c>
    </row>
    <row r="2348" spans="1:11" ht="54" customHeight="1">
      <c r="A2348" s="2" t="s">
        <v>5531</v>
      </c>
      <c r="B2348" s="2" t="s">
        <v>5532</v>
      </c>
      <c r="C2348" s="2" t="s">
        <v>17</v>
      </c>
      <c r="D2348" s="2" t="s">
        <v>18</v>
      </c>
      <c r="E2348" s="5" t="s">
        <v>679</v>
      </c>
      <c r="F2348" s="3" t="s">
        <v>699</v>
      </c>
      <c r="G2348" s="3" t="s">
        <v>86</v>
      </c>
      <c r="H2348" s="2" t="s">
        <v>22</v>
      </c>
      <c r="I2348" s="2" t="s">
        <v>5534</v>
      </c>
      <c r="J2348" s="3" t="str">
        <f>HYPERLINK("https://www.boe.es/gazeta/dias/1834/12/10/pdfs/GMD-C-1834-299.pdf#page=2","Abrir facsímil")</f>
        <v>Abrir facsímil</v>
      </c>
      <c r="K2348" s="3" t="s">
        <v>24</v>
      </c>
    </row>
    <row r="2349" spans="1:11" ht="54" customHeight="1">
      <c r="A2349" s="2" t="s">
        <v>5535</v>
      </c>
      <c r="B2349" s="2" t="s">
        <v>5535</v>
      </c>
      <c r="C2349" s="2" t="s">
        <v>90</v>
      </c>
      <c r="D2349" s="2" t="s">
        <v>55</v>
      </c>
      <c r="E2349" s="5" t="s">
        <v>1226</v>
      </c>
      <c r="F2349" s="3" t="s">
        <v>1227</v>
      </c>
      <c r="G2349" s="3" t="s">
        <v>86</v>
      </c>
      <c r="H2349" s="2" t="s">
        <v>22</v>
      </c>
      <c r="I2349" s="2" t="s">
        <v>5536</v>
      </c>
      <c r="J2349" s="3" t="str">
        <f>HYPERLINK("https://www.boe.es/gazeta/dias/1834/07/14/pdfs/GMD-1834-147.pdf#page=2","Abrir facsímil")</f>
        <v>Abrir facsímil</v>
      </c>
      <c r="K2349" s="3" t="s">
        <v>24</v>
      </c>
    </row>
    <row r="2350" spans="1:11" ht="54" customHeight="1">
      <c r="A2350" s="2" t="s">
        <v>5535</v>
      </c>
      <c r="B2350" s="2" t="s">
        <v>5535</v>
      </c>
      <c r="C2350" s="2" t="s">
        <v>17</v>
      </c>
      <c r="D2350" s="2" t="s">
        <v>18</v>
      </c>
      <c r="E2350" s="5" t="s">
        <v>1116</v>
      </c>
      <c r="F2350" s="3" t="s">
        <v>1117</v>
      </c>
      <c r="G2350" s="3" t="s">
        <v>86</v>
      </c>
      <c r="H2350" s="2" t="s">
        <v>22</v>
      </c>
      <c r="I2350" s="2" t="s">
        <v>5537</v>
      </c>
      <c r="J2350" s="3" t="str">
        <f>HYPERLINK("https://www.boe.es/gazeta/dias/1834/05/16/pdfs/GMD-1834-85.pdf#page=2","Abrir facsímil")</f>
        <v>Abrir facsímil</v>
      </c>
      <c r="K2350" s="3" t="s">
        <v>24</v>
      </c>
    </row>
    <row r="2351" spans="1:11" ht="54" customHeight="1">
      <c r="A2351" s="2" t="s">
        <v>5535</v>
      </c>
      <c r="B2351" s="2" t="s">
        <v>5535</v>
      </c>
      <c r="C2351" s="2" t="s">
        <v>66</v>
      </c>
      <c r="D2351" s="2" t="s">
        <v>67</v>
      </c>
      <c r="E2351" s="5" t="s">
        <v>838</v>
      </c>
      <c r="F2351" s="3" t="s">
        <v>839</v>
      </c>
      <c r="G2351" s="3" t="s">
        <v>21</v>
      </c>
      <c r="H2351" s="2" t="s">
        <v>22</v>
      </c>
      <c r="I2351" s="2" t="s">
        <v>5538</v>
      </c>
      <c r="J2351" s="3" t="str">
        <f>HYPERLINK("https://www.boe.es/gazeta/dias/1834/07/18/pdfs/GMD-1834-151.pdf#page=3","Abrir facsímil")</f>
        <v>Abrir facsímil</v>
      </c>
      <c r="K2351" s="3" t="s">
        <v>24</v>
      </c>
    </row>
    <row r="2352" spans="1:11" ht="54" customHeight="1">
      <c r="A2352" s="2" t="s">
        <v>5539</v>
      </c>
      <c r="B2352" s="2" t="s">
        <v>5540</v>
      </c>
      <c r="C2352" s="2" t="s">
        <v>66</v>
      </c>
      <c r="D2352" s="2" t="s">
        <v>67</v>
      </c>
      <c r="E2352" s="5" t="s">
        <v>138</v>
      </c>
      <c r="F2352" s="3" t="s">
        <v>139</v>
      </c>
      <c r="G2352" s="3" t="s">
        <v>21</v>
      </c>
      <c r="H2352" s="2" t="s">
        <v>22</v>
      </c>
      <c r="I2352" s="2" t="s">
        <v>5541</v>
      </c>
      <c r="J2352" s="3" t="str">
        <f>HYPERLINK("https://www.boe.es/gazeta/dias/1834/05/17/pdfs/GMD-1834-86.pdf#page=3","Abrir facsímil")</f>
        <v>Abrir facsímil</v>
      </c>
      <c r="K2352" s="3" t="s">
        <v>24</v>
      </c>
    </row>
    <row r="2353" spans="1:11" ht="54" customHeight="1">
      <c r="A2353" s="2" t="s">
        <v>5542</v>
      </c>
      <c r="B2353" s="2" t="s">
        <v>5543</v>
      </c>
      <c r="C2353" s="2" t="s">
        <v>17</v>
      </c>
      <c r="D2353" s="2" t="s">
        <v>18</v>
      </c>
      <c r="E2353" s="5" t="s">
        <v>102</v>
      </c>
      <c r="F2353" s="3" t="s">
        <v>103</v>
      </c>
      <c r="G2353" s="3" t="s">
        <v>75</v>
      </c>
      <c r="H2353" s="2" t="s">
        <v>22</v>
      </c>
      <c r="I2353" s="2" t="s">
        <v>5544</v>
      </c>
      <c r="J2353" s="3" t="str">
        <f>HYPERLINK("https://www.boe.es/gazeta/dias/1834/07/19/pdfs/GMD-1834-152.pdf#page=4","Abrir facsímil")</f>
        <v>Abrir facsímil</v>
      </c>
      <c r="K2353" s="3" t="s">
        <v>24</v>
      </c>
    </row>
    <row r="2354" spans="1:11" ht="54" customHeight="1">
      <c r="A2354" s="2" t="s">
        <v>5545</v>
      </c>
      <c r="B2354" s="2" t="s">
        <v>5546</v>
      </c>
      <c r="C2354" s="2" t="s">
        <v>46</v>
      </c>
      <c r="D2354" s="2" t="s">
        <v>101</v>
      </c>
      <c r="E2354" s="5" t="s">
        <v>355</v>
      </c>
      <c r="F2354" s="3" t="s">
        <v>356</v>
      </c>
      <c r="G2354" s="3" t="s">
        <v>86</v>
      </c>
      <c r="H2354" s="2" t="s">
        <v>22</v>
      </c>
      <c r="I2354" s="2" t="s">
        <v>5547</v>
      </c>
      <c r="J2354" s="3" t="str">
        <f>HYPERLINK("https://www.boe.es/gazeta/dias/1834/07/04/pdfs/I00597-00598.pdf#page=2","Abrir facsímil")</f>
        <v>Abrir facsímil</v>
      </c>
      <c r="K2354" s="3" t="s">
        <v>24</v>
      </c>
    </row>
    <row r="2355" spans="1:11" ht="54" customHeight="1">
      <c r="A2355" s="2" t="s">
        <v>5545</v>
      </c>
      <c r="B2355" s="2" t="s">
        <v>5546</v>
      </c>
      <c r="C2355" s="2" t="s">
        <v>46</v>
      </c>
      <c r="D2355" s="2" t="s">
        <v>101</v>
      </c>
      <c r="E2355" s="5" t="s">
        <v>355</v>
      </c>
      <c r="F2355" s="3" t="s">
        <v>356</v>
      </c>
      <c r="G2355" s="3" t="s">
        <v>75</v>
      </c>
      <c r="H2355" s="2" t="s">
        <v>22</v>
      </c>
      <c r="I2355" s="2" t="s">
        <v>5548</v>
      </c>
      <c r="J2355" s="3" t="str">
        <f>HYPERLINK("https://www.boe.es/gazeta/dias/1834/07/04/pdfs/GMD-1834-137.pdf#page=4","Abrir facsímil")</f>
        <v>Abrir facsímil</v>
      </c>
      <c r="K2355" s="3" t="s">
        <v>24</v>
      </c>
    </row>
    <row r="2356" spans="1:11" ht="54" customHeight="1">
      <c r="A2356" s="2" t="s">
        <v>5545</v>
      </c>
      <c r="B2356" s="2" t="s">
        <v>5546</v>
      </c>
      <c r="C2356" s="2" t="s">
        <v>90</v>
      </c>
      <c r="D2356" s="2" t="s">
        <v>101</v>
      </c>
      <c r="E2356" s="5" t="s">
        <v>133</v>
      </c>
      <c r="F2356" s="3" t="s">
        <v>134</v>
      </c>
      <c r="G2356" s="3" t="s">
        <v>86</v>
      </c>
      <c r="H2356" s="2" t="s">
        <v>22</v>
      </c>
      <c r="I2356" s="2" t="s">
        <v>5549</v>
      </c>
      <c r="J2356" s="3" t="str">
        <f>HYPERLINK("https://www.boe.es/gazeta/dias/1834/06/18/pdfs/GMD-1834-121.pdf#page=2","Abrir facsímil")</f>
        <v>Abrir facsímil</v>
      </c>
      <c r="K2356" s="3" t="s">
        <v>24</v>
      </c>
    </row>
    <row r="2357" spans="1:11" ht="54" customHeight="1">
      <c r="A2357" s="2" t="s">
        <v>5550</v>
      </c>
      <c r="B2357" s="2" t="s">
        <v>5550</v>
      </c>
      <c r="C2357" s="2" t="s">
        <v>17</v>
      </c>
      <c r="D2357" s="2" t="s">
        <v>18</v>
      </c>
      <c r="E2357" s="5" t="s">
        <v>5435</v>
      </c>
      <c r="F2357" s="3" t="s">
        <v>5436</v>
      </c>
      <c r="G2357" s="3" t="s">
        <v>21</v>
      </c>
      <c r="H2357" s="2" t="s">
        <v>22</v>
      </c>
      <c r="I2357" s="2" t="s">
        <v>5551</v>
      </c>
      <c r="J2357" s="3" t="str">
        <f>HYPERLINK("https://www.boe.es/gazeta/dias/1834/05/11/pdfs/GMD-1834-80.pdf#page=3","Abrir facsímil")</f>
        <v>Abrir facsímil</v>
      </c>
      <c r="K2357" s="3" t="s">
        <v>24</v>
      </c>
    </row>
    <row r="2358" spans="1:11" ht="54" customHeight="1">
      <c r="A2358" s="2" t="s">
        <v>5552</v>
      </c>
      <c r="B2358" s="2" t="s">
        <v>5553</v>
      </c>
      <c r="C2358" s="2" t="s">
        <v>17</v>
      </c>
      <c r="D2358" s="2" t="s">
        <v>18</v>
      </c>
      <c r="E2358" s="5" t="s">
        <v>309</v>
      </c>
      <c r="F2358" s="3" t="s">
        <v>310</v>
      </c>
      <c r="G2358" s="3" t="s">
        <v>34</v>
      </c>
      <c r="H2358" s="2" t="s">
        <v>22</v>
      </c>
      <c r="I2358" s="2" t="s">
        <v>5554</v>
      </c>
      <c r="J2358" s="3" t="str">
        <f>HYPERLINK("https://www.boe.es/gazeta/dias/1834/05/30/pdfs/GMD-1834-99.pdf#page=1","Abrir facsímil")</f>
        <v>Abrir facsímil</v>
      </c>
      <c r="K2358" s="3" t="s">
        <v>24</v>
      </c>
    </row>
    <row r="2359" spans="1:11" ht="54" customHeight="1">
      <c r="A2359" s="2" t="s">
        <v>5555</v>
      </c>
      <c r="B2359" s="2" t="s">
        <v>5556</v>
      </c>
      <c r="C2359" s="2" t="s">
        <v>46</v>
      </c>
      <c r="D2359" s="2" t="s">
        <v>40</v>
      </c>
      <c r="E2359" s="5" t="s">
        <v>899</v>
      </c>
      <c r="F2359" s="3" t="s">
        <v>900</v>
      </c>
      <c r="G2359" s="3" t="s">
        <v>470</v>
      </c>
      <c r="H2359" s="2" t="s">
        <v>22</v>
      </c>
      <c r="I2359" s="2" t="s">
        <v>5557</v>
      </c>
      <c r="J2359" s="3" t="str">
        <f>HYPERLINK("https://www.boe.es/gazeta/dias/1834/01/30/pdfs/GMD-1834-14.pdf#page=8","Abrir facsímil")</f>
        <v>Abrir facsímil</v>
      </c>
      <c r="K2359" s="3" t="s">
        <v>24</v>
      </c>
    </row>
    <row r="2360" spans="1:11" ht="54" customHeight="1">
      <c r="A2360" s="2" t="s">
        <v>5558</v>
      </c>
      <c r="B2360" s="2" t="s">
        <v>5558</v>
      </c>
      <c r="C2360" s="2" t="s">
        <v>17</v>
      </c>
      <c r="D2360" s="2" t="s">
        <v>18</v>
      </c>
      <c r="E2360" s="5" t="s">
        <v>451</v>
      </c>
      <c r="F2360" s="3" t="s">
        <v>452</v>
      </c>
      <c r="G2360" s="3" t="s">
        <v>21</v>
      </c>
      <c r="H2360" s="2" t="s">
        <v>22</v>
      </c>
      <c r="I2360" s="2" t="s">
        <v>5559</v>
      </c>
      <c r="J2360" s="3" t="str">
        <f>HYPERLINK("https://www.boe.es/gazeta/dias/1834/10/15/pdfs/GMD-C-1834-243.pdf#page=3","Abrir facsímil")</f>
        <v>Abrir facsímil</v>
      </c>
      <c r="K2360" s="3" t="s">
        <v>24</v>
      </c>
    </row>
    <row r="2361" spans="1:11" ht="54" customHeight="1">
      <c r="A2361" s="2" t="s">
        <v>5560</v>
      </c>
      <c r="B2361" s="2" t="s">
        <v>5561</v>
      </c>
      <c r="C2361" s="2" t="s">
        <v>17</v>
      </c>
      <c r="D2361" s="2" t="s">
        <v>18</v>
      </c>
      <c r="E2361" s="5" t="s">
        <v>339</v>
      </c>
      <c r="F2361" s="3" t="s">
        <v>340</v>
      </c>
      <c r="G2361" s="3" t="s">
        <v>21</v>
      </c>
      <c r="H2361" s="2" t="s">
        <v>22</v>
      </c>
      <c r="I2361" s="2" t="s">
        <v>5562</v>
      </c>
      <c r="J2361" s="3" t="str">
        <f>HYPERLINK("https://www.boe.es/gazeta/dias/1834/05/02/pdfs/GMD-1834-71.pdf#page=3","Abrir facsímil")</f>
        <v>Abrir facsímil</v>
      </c>
      <c r="K2361" s="3" t="s">
        <v>24</v>
      </c>
    </row>
    <row r="2362" spans="1:11" ht="54" customHeight="1">
      <c r="A2362" s="2" t="s">
        <v>5563</v>
      </c>
      <c r="B2362" s="2" t="s">
        <v>5564</v>
      </c>
      <c r="C2362" s="2" t="s">
        <v>17</v>
      </c>
      <c r="D2362" s="2" t="s">
        <v>18</v>
      </c>
      <c r="E2362" s="5" t="s">
        <v>1922</v>
      </c>
      <c r="F2362" s="3" t="s">
        <v>1923</v>
      </c>
      <c r="G2362" s="3" t="s">
        <v>28</v>
      </c>
      <c r="H2362" s="2" t="s">
        <v>22</v>
      </c>
      <c r="I2362" s="2" t="s">
        <v>5565</v>
      </c>
      <c r="J2362" s="3" t="str">
        <f>HYPERLINK("https://www.boe.es/gazeta/dias/1834/02/25/pdfs/GMD-1834-25.pdf#page=5","Abrir facsímil")</f>
        <v>Abrir facsímil</v>
      </c>
      <c r="K2362" s="3" t="s">
        <v>24</v>
      </c>
    </row>
    <row r="2363" spans="1:11" ht="54" customHeight="1">
      <c r="A2363" s="2" t="s">
        <v>5566</v>
      </c>
      <c r="B2363" s="2" t="s">
        <v>5567</v>
      </c>
      <c r="C2363" s="2" t="s">
        <v>17</v>
      </c>
      <c r="D2363" s="2" t="s">
        <v>18</v>
      </c>
      <c r="E2363" s="5" t="s">
        <v>1017</v>
      </c>
      <c r="F2363" s="3" t="s">
        <v>1018</v>
      </c>
      <c r="G2363" s="3" t="s">
        <v>21</v>
      </c>
      <c r="H2363" s="2" t="s">
        <v>22</v>
      </c>
      <c r="I2363" s="2" t="s">
        <v>5568</v>
      </c>
      <c r="J2363" s="3" t="str">
        <f>HYPERLINK("https://www.boe.es/gazeta/dias/1834/07/24/pdfs/GMD-1834-157.pdf#page=3","Abrir facsímil")</f>
        <v>Abrir facsímil</v>
      </c>
      <c r="K2363" s="3" t="s">
        <v>24</v>
      </c>
    </row>
    <row r="2364" spans="1:11" ht="54" customHeight="1">
      <c r="A2364" s="2" t="s">
        <v>5569</v>
      </c>
      <c r="B2364" s="2" t="s">
        <v>5570</v>
      </c>
      <c r="C2364" s="2" t="s">
        <v>17</v>
      </c>
      <c r="D2364" s="2" t="s">
        <v>18</v>
      </c>
      <c r="E2364" s="5" t="s">
        <v>187</v>
      </c>
      <c r="F2364" s="3" t="s">
        <v>188</v>
      </c>
      <c r="G2364" s="3" t="s">
        <v>75</v>
      </c>
      <c r="H2364" s="2" t="s">
        <v>22</v>
      </c>
      <c r="I2364" s="2" t="s">
        <v>5571</v>
      </c>
      <c r="J2364" s="3" t="str">
        <f>HYPERLINK("https://www.boe.es/gazeta/dias/1834/09/30/pdfs/GMD-1834-228.pdf#page=4","Abrir facsímil")</f>
        <v>Abrir facsímil</v>
      </c>
      <c r="K2364" s="3" t="s">
        <v>24</v>
      </c>
    </row>
    <row r="2365" spans="1:11" ht="54" customHeight="1">
      <c r="A2365" s="2" t="s">
        <v>5572</v>
      </c>
      <c r="B2365" s="2" t="s">
        <v>5573</v>
      </c>
      <c r="C2365" s="2" t="s">
        <v>46</v>
      </c>
      <c r="D2365" s="2" t="s">
        <v>18</v>
      </c>
      <c r="E2365" s="5" t="s">
        <v>5574</v>
      </c>
      <c r="F2365" s="3" t="s">
        <v>5575</v>
      </c>
      <c r="G2365" s="3" t="s">
        <v>21</v>
      </c>
      <c r="H2365" s="2" t="s">
        <v>22</v>
      </c>
      <c r="I2365" s="2" t="s">
        <v>5576</v>
      </c>
      <c r="J2365" s="3" t="str">
        <f>HYPERLINK("https://www.boe.es/gazeta/dias/1834/06/16/pdfs/GMD-1834-119.pdf#page=3","Abrir facsímil")</f>
        <v>Abrir facsímil</v>
      </c>
      <c r="K2365" s="3" t="s">
        <v>24</v>
      </c>
    </row>
    <row r="2366" spans="1:11" ht="54" customHeight="1">
      <c r="A2366" s="2" t="s">
        <v>5577</v>
      </c>
      <c r="B2366" s="2" t="s">
        <v>5578</v>
      </c>
      <c r="C2366" s="2" t="s">
        <v>17</v>
      </c>
      <c r="D2366" s="2" t="s">
        <v>18</v>
      </c>
      <c r="E2366" s="5" t="s">
        <v>73</v>
      </c>
      <c r="F2366" s="3" t="s">
        <v>74</v>
      </c>
      <c r="G2366" s="3" t="s">
        <v>75</v>
      </c>
      <c r="H2366" s="2" t="s">
        <v>22</v>
      </c>
      <c r="I2366" s="2" t="s">
        <v>5579</v>
      </c>
      <c r="J2366" s="3" t="str">
        <f>HYPERLINK("https://www.boe.es/gazeta/dias/1834/11/04/pdfs/GMD-1834-263.pdf#page=4","Abrir facsímil")</f>
        <v>Abrir facsímil</v>
      </c>
      <c r="K2366" s="3" t="s">
        <v>24</v>
      </c>
    </row>
    <row r="2367" spans="1:11" ht="54" customHeight="1">
      <c r="A2367" s="2" t="s">
        <v>5580</v>
      </c>
      <c r="B2367" s="2" t="s">
        <v>5581</v>
      </c>
      <c r="C2367" s="2" t="s">
        <v>46</v>
      </c>
      <c r="D2367" s="2" t="s">
        <v>101</v>
      </c>
      <c r="E2367" s="5" t="s">
        <v>433</v>
      </c>
      <c r="F2367" s="3" t="s">
        <v>434</v>
      </c>
      <c r="G2367" s="3" t="s">
        <v>34</v>
      </c>
      <c r="H2367" s="2" t="s">
        <v>35</v>
      </c>
      <c r="I2367" s="2" t="s">
        <v>5582</v>
      </c>
      <c r="J2367" s="3" t="str">
        <f>HYPERLINK("https://www.boe.es/gazeta/dias/1834/10/07/pdfs/GMD-C-1834-235.pdf#page=1","Abrir facsímil")</f>
        <v>Abrir facsímil</v>
      </c>
      <c r="K2367" s="3" t="s">
        <v>37</v>
      </c>
    </row>
    <row r="2368" spans="1:11" ht="54" customHeight="1">
      <c r="A2368" s="2" t="s">
        <v>5583</v>
      </c>
      <c r="B2368" s="2" t="s">
        <v>5584</v>
      </c>
      <c r="C2368" s="2" t="s">
        <v>46</v>
      </c>
      <c r="D2368" s="2" t="s">
        <v>101</v>
      </c>
      <c r="E2368" s="5" t="s">
        <v>433</v>
      </c>
      <c r="F2368" s="3" t="s">
        <v>434</v>
      </c>
      <c r="G2368" s="3" t="s">
        <v>34</v>
      </c>
      <c r="H2368" s="2" t="s">
        <v>22</v>
      </c>
      <c r="I2368" s="2" t="s">
        <v>5585</v>
      </c>
      <c r="J2368" s="3" t="str">
        <f>HYPERLINK("https://www.boe.es/gazeta/dias/1834/10/07/pdfs/GMD-C-1834-235.pdf#page=1","Abrir facsímil")</f>
        <v>Abrir facsímil</v>
      </c>
      <c r="K2368" s="3" t="s">
        <v>24</v>
      </c>
    </row>
    <row r="2369" spans="1:11" ht="54" customHeight="1">
      <c r="A2369" s="2" t="s">
        <v>5586</v>
      </c>
      <c r="B2369" s="2" t="s">
        <v>5587</v>
      </c>
      <c r="C2369" s="2" t="s">
        <v>17</v>
      </c>
      <c r="D2369" s="2" t="s">
        <v>18</v>
      </c>
      <c r="E2369" s="5" t="s">
        <v>1307</v>
      </c>
      <c r="F2369" s="3" t="s">
        <v>1308</v>
      </c>
      <c r="G2369" s="3" t="s">
        <v>75</v>
      </c>
      <c r="H2369" s="2" t="s">
        <v>22</v>
      </c>
      <c r="I2369" s="2" t="s">
        <v>5588</v>
      </c>
      <c r="J2369" s="3" t="str">
        <f>HYPERLINK("https://www.boe.es/gazeta/dias/1834/08/25/pdfs/GMD-1834-191.pdf#page=4","Abrir facsímil")</f>
        <v>Abrir facsímil</v>
      </c>
      <c r="K2369" s="3" t="s">
        <v>24</v>
      </c>
    </row>
    <row r="2370" spans="1:11" ht="54" customHeight="1">
      <c r="A2370" s="2" t="s">
        <v>5589</v>
      </c>
      <c r="B2370" s="2" t="s">
        <v>5590</v>
      </c>
      <c r="C2370" s="2" t="s">
        <v>17</v>
      </c>
      <c r="D2370" s="2" t="s">
        <v>18</v>
      </c>
      <c r="E2370" s="5" t="s">
        <v>833</v>
      </c>
      <c r="F2370" s="3" t="s">
        <v>834</v>
      </c>
      <c r="G2370" s="3" t="s">
        <v>21</v>
      </c>
      <c r="H2370" s="2" t="s">
        <v>22</v>
      </c>
      <c r="I2370" s="2" t="s">
        <v>5591</v>
      </c>
      <c r="J2370" s="3" t="str">
        <f>HYPERLINK("https://www.boe.es/gazeta/dias/1834/04/24/pdfs/GMD-1834-63.pdf#page=3","Abrir facsímil")</f>
        <v>Abrir facsímil</v>
      </c>
      <c r="K2370" s="3" t="s">
        <v>24</v>
      </c>
    </row>
    <row r="2371" spans="1:11" ht="54" customHeight="1">
      <c r="A2371" s="2" t="s">
        <v>5592</v>
      </c>
      <c r="B2371" s="2" t="s">
        <v>5593</v>
      </c>
      <c r="C2371" s="2" t="s">
        <v>46</v>
      </c>
      <c r="D2371" s="2" t="s">
        <v>55</v>
      </c>
      <c r="E2371" s="5" t="s">
        <v>3499</v>
      </c>
      <c r="F2371" s="3" t="s">
        <v>3500</v>
      </c>
      <c r="G2371" s="3" t="s">
        <v>86</v>
      </c>
      <c r="H2371" s="2" t="s">
        <v>22</v>
      </c>
      <c r="I2371" s="2" t="s">
        <v>5594</v>
      </c>
      <c r="J2371" s="3" t="str">
        <f>HYPERLINK("https://www.boe.es/gazeta/dias/1834/01/28/pdfs/GMD-1834-13.pdf#page=2","Abrir facsímil")</f>
        <v>Abrir facsímil</v>
      </c>
      <c r="K2371" s="3" t="s">
        <v>24</v>
      </c>
    </row>
    <row r="2372" spans="1:11" ht="54" customHeight="1">
      <c r="A2372" s="2" t="s">
        <v>5595</v>
      </c>
      <c r="B2372" s="2" t="s">
        <v>5596</v>
      </c>
      <c r="C2372" s="2" t="s">
        <v>17</v>
      </c>
      <c r="D2372" s="2" t="s">
        <v>18</v>
      </c>
      <c r="E2372" s="5" t="s">
        <v>1017</v>
      </c>
      <c r="F2372" s="3" t="s">
        <v>1018</v>
      </c>
      <c r="G2372" s="3" t="s">
        <v>21</v>
      </c>
      <c r="H2372" s="2" t="s">
        <v>22</v>
      </c>
      <c r="I2372" s="2" t="s">
        <v>5597</v>
      </c>
      <c r="J2372" s="3" t="str">
        <f>HYPERLINK("https://www.boe.es/gazeta/dias/1834/07/24/pdfs/GMD-1834-157.pdf#page=3","Abrir facsímil")</f>
        <v>Abrir facsímil</v>
      </c>
      <c r="K2372" s="3" t="s">
        <v>24</v>
      </c>
    </row>
    <row r="2373" spans="1:11" ht="54" customHeight="1">
      <c r="A2373" s="2" t="s">
        <v>5598</v>
      </c>
      <c r="B2373" s="2" t="s">
        <v>5599</v>
      </c>
      <c r="C2373" s="2" t="s">
        <v>17</v>
      </c>
      <c r="D2373" s="2" t="s">
        <v>18</v>
      </c>
      <c r="E2373" s="5" t="s">
        <v>1766</v>
      </c>
      <c r="F2373" s="3" t="s">
        <v>5600</v>
      </c>
      <c r="G2373" s="3" t="s">
        <v>75</v>
      </c>
      <c r="H2373" s="2" t="s">
        <v>35</v>
      </c>
      <c r="I2373" s="2" t="s">
        <v>5601</v>
      </c>
      <c r="J2373" s="3" t="str">
        <f>HYPERLINK("https://www.boe.es/gazeta/dias/1834/10/26/pdfs/GMD-1834-254.pdf#page=4","Abrir facsímil")</f>
        <v>Abrir facsímil</v>
      </c>
      <c r="K2373" s="3" t="s">
        <v>37</v>
      </c>
    </row>
    <row r="2374" spans="1:11" ht="54" customHeight="1">
      <c r="A2374" s="2" t="s">
        <v>5602</v>
      </c>
      <c r="B2374" s="2" t="s">
        <v>5603</v>
      </c>
      <c r="C2374" s="2" t="s">
        <v>17</v>
      </c>
      <c r="D2374" s="2" t="s">
        <v>55</v>
      </c>
      <c r="E2374" s="5" t="s">
        <v>2048</v>
      </c>
      <c r="F2374" s="3" t="s">
        <v>2049</v>
      </c>
      <c r="G2374" s="3" t="s">
        <v>75</v>
      </c>
      <c r="H2374" s="2" t="s">
        <v>22</v>
      </c>
      <c r="I2374" s="2" t="s">
        <v>5604</v>
      </c>
      <c r="J2374" s="3" t="str">
        <f>HYPERLINK("https://www.boe.es/gazeta/dias/1834/05/12/pdfs/GMD-1834-81.pdf#page=4","Abrir facsímil")</f>
        <v>Abrir facsímil</v>
      </c>
      <c r="K2374" s="3" t="s">
        <v>24</v>
      </c>
    </row>
    <row r="2375" spans="1:11" ht="54" customHeight="1">
      <c r="A2375" s="2" t="s">
        <v>5605</v>
      </c>
      <c r="B2375" s="2" t="s">
        <v>5606</v>
      </c>
      <c r="C2375" s="2" t="s">
        <v>17</v>
      </c>
      <c r="D2375" s="2" t="s">
        <v>18</v>
      </c>
      <c r="E2375" s="5" t="s">
        <v>1402</v>
      </c>
      <c r="F2375" s="3" t="s">
        <v>1403</v>
      </c>
      <c r="G2375" s="3" t="s">
        <v>86</v>
      </c>
      <c r="H2375" s="2" t="s">
        <v>22</v>
      </c>
      <c r="I2375" s="2" t="s">
        <v>5607</v>
      </c>
      <c r="J2375" s="3" t="str">
        <f>HYPERLINK("https://www.boe.es/gazeta/dias/1834/05/05/pdfs/I00347-00348.pdf#page=2","Abrir facsímil")</f>
        <v>Abrir facsímil</v>
      </c>
      <c r="K2375" s="3" t="s">
        <v>24</v>
      </c>
    </row>
    <row r="2376" spans="1:11" ht="54" customHeight="1">
      <c r="A2376" s="2" t="s">
        <v>5605</v>
      </c>
      <c r="B2376" s="2" t="s">
        <v>5606</v>
      </c>
      <c r="C2376" s="2" t="s">
        <v>17</v>
      </c>
      <c r="D2376" s="2" t="s">
        <v>18</v>
      </c>
      <c r="E2376" s="5" t="s">
        <v>1402</v>
      </c>
      <c r="F2376" s="3" t="s">
        <v>1403</v>
      </c>
      <c r="G2376" s="3" t="s">
        <v>176</v>
      </c>
      <c r="H2376" s="2" t="s">
        <v>22</v>
      </c>
      <c r="I2376" s="2" t="s">
        <v>5608</v>
      </c>
      <c r="J2376" s="3" t="str">
        <f>HYPERLINK("https://www.boe.es/gazeta/dias/1834/05/05/pdfs/GMD-1834-74.pdf#page=6","Abrir facsímil")</f>
        <v>Abrir facsímil</v>
      </c>
      <c r="K2376" s="3" t="s">
        <v>24</v>
      </c>
    </row>
    <row r="2377" spans="1:11" ht="54" customHeight="1">
      <c r="A2377" s="2" t="s">
        <v>5605</v>
      </c>
      <c r="B2377" s="2" t="s">
        <v>5606</v>
      </c>
      <c r="C2377" s="2" t="s">
        <v>90</v>
      </c>
      <c r="D2377" s="2" t="s">
        <v>55</v>
      </c>
      <c r="E2377" s="5" t="s">
        <v>61</v>
      </c>
      <c r="F2377" s="3" t="s">
        <v>205</v>
      </c>
      <c r="G2377" s="3" t="s">
        <v>34</v>
      </c>
      <c r="H2377" s="2" t="s">
        <v>22</v>
      </c>
      <c r="I2377" s="2" t="s">
        <v>5609</v>
      </c>
      <c r="J2377" s="3" t="str">
        <f>HYPERLINK("https://www.boe.es/gazeta/dias/1834/06/08/pdfs/GMD-1834-110.pdf#page=1","Abrir facsímil")</f>
        <v>Abrir facsímil</v>
      </c>
      <c r="K2377" s="3" t="s">
        <v>24</v>
      </c>
    </row>
    <row r="2378" spans="1:11" ht="54" customHeight="1">
      <c r="A2378" s="2" t="s">
        <v>5610</v>
      </c>
      <c r="B2378" s="2" t="s">
        <v>5610</v>
      </c>
      <c r="C2378" s="2" t="s">
        <v>17</v>
      </c>
      <c r="D2378" s="2" t="s">
        <v>18</v>
      </c>
      <c r="E2378" s="5" t="s">
        <v>513</v>
      </c>
      <c r="F2378" s="3" t="s">
        <v>514</v>
      </c>
      <c r="G2378" s="3" t="s">
        <v>75</v>
      </c>
      <c r="H2378" s="2" t="s">
        <v>22</v>
      </c>
      <c r="I2378" s="2" t="s">
        <v>5611</v>
      </c>
      <c r="J2378" s="3" t="str">
        <f>HYPERLINK("https://www.boe.es/gazeta/dias/1834/04/27/pdfs/GMD-1834-66.pdf#page=4","Abrir facsímil")</f>
        <v>Abrir facsímil</v>
      </c>
      <c r="K2378" s="3" t="s">
        <v>24</v>
      </c>
    </row>
    <row r="2379" spans="1:11" ht="54" customHeight="1">
      <c r="A2379" s="2" t="s">
        <v>5612</v>
      </c>
      <c r="B2379" s="2" t="s">
        <v>5613</v>
      </c>
      <c r="C2379" s="2" t="s">
        <v>46</v>
      </c>
      <c r="D2379" s="2" t="s">
        <v>101</v>
      </c>
      <c r="E2379" s="5" t="s">
        <v>4565</v>
      </c>
      <c r="F2379" s="3" t="s">
        <v>4566</v>
      </c>
      <c r="G2379" s="3" t="s">
        <v>75</v>
      </c>
      <c r="H2379" s="2" t="s">
        <v>22</v>
      </c>
      <c r="I2379" s="2" t="s">
        <v>5614</v>
      </c>
      <c r="J2379" s="3" t="str">
        <f>HYPERLINK("https://www.boe.es/gazeta/dias/1834/07/10/pdfs/GMD-1834-143.pdf#page=4","Abrir facsímil")</f>
        <v>Abrir facsímil</v>
      </c>
      <c r="K2379" s="3" t="s">
        <v>24</v>
      </c>
    </row>
    <row r="2380" spans="1:11" ht="54" customHeight="1">
      <c r="A2380" s="2" t="s">
        <v>5615</v>
      </c>
      <c r="B2380" s="2" t="s">
        <v>5616</v>
      </c>
      <c r="C2380" s="2" t="s">
        <v>17</v>
      </c>
      <c r="D2380" s="2" t="s">
        <v>18</v>
      </c>
      <c r="E2380" s="5" t="s">
        <v>2218</v>
      </c>
      <c r="F2380" s="3" t="s">
        <v>2219</v>
      </c>
      <c r="G2380" s="3" t="s">
        <v>21</v>
      </c>
      <c r="H2380" s="2" t="s">
        <v>22</v>
      </c>
      <c r="I2380" s="2" t="s">
        <v>5617</v>
      </c>
      <c r="J2380" s="3" t="str">
        <f>HYPERLINK("https://www.boe.es/gazeta/dias/1834/11/05/pdfs/GMD-1834-264.pdf#page=3","Abrir facsímil")</f>
        <v>Abrir facsímil</v>
      </c>
      <c r="K2380" s="3" t="s">
        <v>24</v>
      </c>
    </row>
    <row r="2381" spans="1:11" ht="54" customHeight="1">
      <c r="A2381" s="2" t="s">
        <v>5618</v>
      </c>
      <c r="B2381" s="2" t="s">
        <v>5618</v>
      </c>
      <c r="C2381" s="2" t="s">
        <v>122</v>
      </c>
      <c r="D2381" s="2" t="s">
        <v>18</v>
      </c>
      <c r="E2381" s="5" t="s">
        <v>148</v>
      </c>
      <c r="F2381" s="3" t="s">
        <v>149</v>
      </c>
      <c r="G2381" s="3" t="s">
        <v>75</v>
      </c>
      <c r="H2381" s="2" t="s">
        <v>22</v>
      </c>
      <c r="I2381" s="2" t="s">
        <v>5619</v>
      </c>
      <c r="J2381" s="3" t="str">
        <f>HYPERLINK("https://www.boe.es/gazeta/dias/1834/10/20/pdfs/GMD-1834-248.pdf#page=4","Abrir facsímil")</f>
        <v>Abrir facsímil</v>
      </c>
      <c r="K2381" s="3" t="s">
        <v>24</v>
      </c>
    </row>
    <row r="2382" spans="1:11" ht="54" customHeight="1">
      <c r="A2382" s="2" t="s">
        <v>5618</v>
      </c>
      <c r="B2382" s="2" t="s">
        <v>5618</v>
      </c>
      <c r="C2382" s="2" t="s">
        <v>17</v>
      </c>
      <c r="D2382" s="2" t="s">
        <v>18</v>
      </c>
      <c r="E2382" s="5" t="s">
        <v>647</v>
      </c>
      <c r="F2382" s="3" t="s">
        <v>2176</v>
      </c>
      <c r="G2382" s="3" t="s">
        <v>21</v>
      </c>
      <c r="H2382" s="2" t="s">
        <v>22</v>
      </c>
      <c r="I2382" s="2" t="s">
        <v>5620</v>
      </c>
      <c r="J2382" s="3" t="str">
        <f>HYPERLINK("https://www.boe.es/gazeta/dias/1834/10/21/pdfs/GMD-1834-249.pdf#page=3","Abrir facsímil")</f>
        <v>Abrir facsímil</v>
      </c>
      <c r="K2382" s="3" t="s">
        <v>24</v>
      </c>
    </row>
    <row r="2383" spans="1:11" ht="54" customHeight="1">
      <c r="A2383" s="2" t="s">
        <v>5618</v>
      </c>
      <c r="B2383" s="2" t="s">
        <v>5618</v>
      </c>
      <c r="C2383" s="2" t="s">
        <v>17</v>
      </c>
      <c r="D2383" s="2" t="s">
        <v>55</v>
      </c>
      <c r="E2383" s="5" t="s">
        <v>647</v>
      </c>
      <c r="F2383" s="3" t="s">
        <v>2176</v>
      </c>
      <c r="G2383" s="3" t="s">
        <v>75</v>
      </c>
      <c r="H2383" s="2" t="s">
        <v>22</v>
      </c>
      <c r="I2383" s="2" t="s">
        <v>5621</v>
      </c>
      <c r="J2383" s="3" t="str">
        <f>HYPERLINK("https://www.boe.es/gazeta/dias/1834/10/21/pdfs/GMD-1834-249.pdf#page=4","Abrir facsímil")</f>
        <v>Abrir facsímil</v>
      </c>
      <c r="K2383" s="3" t="s">
        <v>24</v>
      </c>
    </row>
    <row r="2384" spans="1:11" ht="54" customHeight="1">
      <c r="A2384" s="2" t="s">
        <v>5622</v>
      </c>
      <c r="B2384" s="2" t="s">
        <v>5623</v>
      </c>
      <c r="C2384" s="2" t="s">
        <v>122</v>
      </c>
      <c r="D2384" s="2" t="s">
        <v>18</v>
      </c>
      <c r="E2384" s="5" t="s">
        <v>3036</v>
      </c>
      <c r="F2384" s="3" t="s">
        <v>3372</v>
      </c>
      <c r="G2384" s="3" t="s">
        <v>21</v>
      </c>
      <c r="H2384" s="2" t="s">
        <v>22</v>
      </c>
      <c r="I2384" s="2" t="s">
        <v>5624</v>
      </c>
      <c r="J2384" s="3" t="str">
        <f>HYPERLINK("https://www.boe.es/gazeta/dias/1834/11/18/pdfs/GMD-1834-277.pdf#page=3","Abrir facsímil")</f>
        <v>Abrir facsímil</v>
      </c>
      <c r="K2384" s="3" t="s">
        <v>24</v>
      </c>
    </row>
    <row r="2385" spans="1:11" ht="54" customHeight="1">
      <c r="A2385" s="2" t="s">
        <v>5625</v>
      </c>
      <c r="B2385" s="2" t="s">
        <v>5626</v>
      </c>
      <c r="C2385" s="2" t="s">
        <v>46</v>
      </c>
      <c r="D2385" s="2" t="s">
        <v>101</v>
      </c>
      <c r="E2385" s="5" t="s">
        <v>679</v>
      </c>
      <c r="F2385" s="3" t="s">
        <v>699</v>
      </c>
      <c r="G2385" s="3" t="s">
        <v>86</v>
      </c>
      <c r="H2385" s="2" t="s">
        <v>35</v>
      </c>
      <c r="I2385" s="2" t="s">
        <v>5627</v>
      </c>
      <c r="J2385" s="3" t="str">
        <f>HYPERLINK("https://www.boe.es/gazeta/dias/1834/12/10/pdfs/GMD-C-1834-299.pdf#page=2","Abrir facsímil")</f>
        <v>Abrir facsímil</v>
      </c>
      <c r="K2385" s="3" t="s">
        <v>37</v>
      </c>
    </row>
    <row r="2386" spans="1:11" ht="54" customHeight="1">
      <c r="A2386" s="2" t="s">
        <v>5628</v>
      </c>
      <c r="B2386" s="2" t="s">
        <v>5629</v>
      </c>
      <c r="C2386" s="2" t="s">
        <v>46</v>
      </c>
      <c r="D2386" s="2" t="s">
        <v>101</v>
      </c>
      <c r="E2386" s="5" t="s">
        <v>1125</v>
      </c>
      <c r="F2386" s="3" t="s">
        <v>2490</v>
      </c>
      <c r="G2386" s="3" t="s">
        <v>86</v>
      </c>
      <c r="H2386" s="2" t="s">
        <v>35</v>
      </c>
      <c r="I2386" s="2" t="s">
        <v>5630</v>
      </c>
      <c r="J2386" s="3" t="str">
        <f>HYPERLINK("https://www.boe.es/gazeta/dias/1834/04/17/pdfs/GMD-1834-56.pdf#page=2","Abrir facsímil")</f>
        <v>Abrir facsímil</v>
      </c>
      <c r="K2386" s="3" t="s">
        <v>37</v>
      </c>
    </row>
    <row r="2387" spans="1:11" ht="54" customHeight="1">
      <c r="A2387" s="2" t="s">
        <v>5628</v>
      </c>
      <c r="B2387" s="2" t="s">
        <v>5629</v>
      </c>
      <c r="C2387" s="2" t="s">
        <v>17</v>
      </c>
      <c r="D2387" s="2" t="s">
        <v>18</v>
      </c>
      <c r="E2387" s="5" t="s">
        <v>715</v>
      </c>
      <c r="F2387" s="3" t="s">
        <v>716</v>
      </c>
      <c r="G2387" s="3" t="s">
        <v>86</v>
      </c>
      <c r="H2387" s="2" t="s">
        <v>35</v>
      </c>
      <c r="I2387" s="2" t="s">
        <v>5631</v>
      </c>
      <c r="J2387" s="3" t="str">
        <f>HYPERLINK("https://www.boe.es/gazeta/dias/1834/09/17/pdfs/GMD-C-1834-215.pdf#page=2","Abrir facsímil")</f>
        <v>Abrir facsímil</v>
      </c>
      <c r="K2387" s="3" t="s">
        <v>37</v>
      </c>
    </row>
    <row r="2388" spans="1:11" ht="54" customHeight="1">
      <c r="A2388" s="2" t="s">
        <v>5628</v>
      </c>
      <c r="B2388" s="2" t="s">
        <v>5629</v>
      </c>
      <c r="C2388" s="2" t="s">
        <v>46</v>
      </c>
      <c r="D2388" s="2" t="s">
        <v>18</v>
      </c>
      <c r="E2388" s="5" t="s">
        <v>1686</v>
      </c>
      <c r="F2388" s="3" t="s">
        <v>1687</v>
      </c>
      <c r="G2388" s="3" t="s">
        <v>75</v>
      </c>
      <c r="H2388" s="2" t="s">
        <v>35</v>
      </c>
      <c r="I2388" s="2" t="s">
        <v>5632</v>
      </c>
      <c r="J2388" s="3" t="str">
        <f>HYPERLINK("https://www.boe.es/gazeta/dias/1834/07/27/pdfs/GMD-1834-160.pdf#page=4","Abrir facsímil")</f>
        <v>Abrir facsímil</v>
      </c>
      <c r="K2388" s="3" t="s">
        <v>37</v>
      </c>
    </row>
    <row r="2389" spans="1:11" ht="54" customHeight="1">
      <c r="A2389" s="2" t="s">
        <v>5633</v>
      </c>
      <c r="B2389" s="2" t="s">
        <v>5634</v>
      </c>
      <c r="C2389" s="2" t="s">
        <v>66</v>
      </c>
      <c r="D2389" s="2" t="s">
        <v>67</v>
      </c>
      <c r="E2389" s="5" t="s">
        <v>1862</v>
      </c>
      <c r="F2389" s="3" t="s">
        <v>1908</v>
      </c>
      <c r="G2389" s="3" t="s">
        <v>34</v>
      </c>
      <c r="H2389" s="2" t="s">
        <v>35</v>
      </c>
      <c r="I2389" s="2" t="s">
        <v>5635</v>
      </c>
      <c r="J2389" s="3" t="str">
        <f>HYPERLINK("https://www.boe.es/gazeta/dias/1834/02/04/pdfs/GMD-C-1834-16.pdf#page=1","Abrir facsímil")</f>
        <v>Abrir facsímil</v>
      </c>
      <c r="K2389" s="3" t="s">
        <v>37</v>
      </c>
    </row>
    <row r="2390" spans="1:11" ht="54" customHeight="1">
      <c r="A2390" s="2" t="s">
        <v>5636</v>
      </c>
      <c r="B2390" s="2" t="s">
        <v>5637</v>
      </c>
      <c r="C2390" s="2" t="s">
        <v>66</v>
      </c>
      <c r="D2390" s="2" t="s">
        <v>18</v>
      </c>
      <c r="E2390" s="5" t="s">
        <v>273</v>
      </c>
      <c r="F2390" s="3" t="s">
        <v>274</v>
      </c>
      <c r="G2390" s="3" t="s">
        <v>34</v>
      </c>
      <c r="H2390" s="2" t="s">
        <v>35</v>
      </c>
      <c r="I2390" s="2" t="s">
        <v>5638</v>
      </c>
      <c r="J2390" s="3" t="str">
        <f>HYPERLINK("https://www.boe.es/gazeta/dias/1834/08/31/pdfs/GMD-D-1834-198.pdf#page=1","Abrir facsímil")</f>
        <v>Abrir facsímil</v>
      </c>
      <c r="K2390" s="3" t="s">
        <v>37</v>
      </c>
    </row>
    <row r="2391" spans="1:11" ht="54" customHeight="1">
      <c r="A2391" s="2" t="s">
        <v>5639</v>
      </c>
      <c r="B2391" s="2" t="s">
        <v>5640</v>
      </c>
      <c r="C2391" s="2" t="s">
        <v>66</v>
      </c>
      <c r="D2391" s="2" t="s">
        <v>67</v>
      </c>
      <c r="E2391" s="5" t="s">
        <v>1862</v>
      </c>
      <c r="F2391" s="3" t="s">
        <v>1908</v>
      </c>
      <c r="G2391" s="3" t="s">
        <v>34</v>
      </c>
      <c r="H2391" s="2" t="s">
        <v>22</v>
      </c>
      <c r="I2391" s="2" t="s">
        <v>5641</v>
      </c>
      <c r="J2391" s="3" t="str">
        <f>HYPERLINK("https://www.boe.es/gazeta/dias/1834/02/04/pdfs/GMD-C-1834-16.pdf#page=1","Abrir facsímil")</f>
        <v>Abrir facsímil</v>
      </c>
      <c r="K2391" s="3" t="s">
        <v>24</v>
      </c>
    </row>
    <row r="2392" spans="1:11" ht="54" customHeight="1">
      <c r="A2392" s="2" t="s">
        <v>5642</v>
      </c>
      <c r="B2392" s="2" t="s">
        <v>5643</v>
      </c>
      <c r="C2392" s="2" t="s">
        <v>46</v>
      </c>
      <c r="D2392" s="2" t="s">
        <v>101</v>
      </c>
      <c r="E2392" s="5" t="s">
        <v>1125</v>
      </c>
      <c r="F2392" s="3" t="s">
        <v>2490</v>
      </c>
      <c r="G2392" s="3" t="s">
        <v>86</v>
      </c>
      <c r="H2392" s="2" t="s">
        <v>35</v>
      </c>
      <c r="I2392" s="2" t="s">
        <v>5644</v>
      </c>
      <c r="J2392" s="3" t="str">
        <f>HYPERLINK("https://www.boe.es/gazeta/dias/1834/04/17/pdfs/GMD-1834-56.pdf#page=2","Abrir facsímil")</f>
        <v>Abrir facsímil</v>
      </c>
      <c r="K2392" s="3" t="s">
        <v>37</v>
      </c>
    </row>
    <row r="2393" spans="1:11" ht="54" customHeight="1">
      <c r="A2393" s="2" t="s">
        <v>5642</v>
      </c>
      <c r="B2393" s="2" t="s">
        <v>5643</v>
      </c>
      <c r="C2393" s="2" t="s">
        <v>17</v>
      </c>
      <c r="D2393" s="2" t="s">
        <v>18</v>
      </c>
      <c r="E2393" s="5" t="s">
        <v>715</v>
      </c>
      <c r="F2393" s="3" t="s">
        <v>716</v>
      </c>
      <c r="G2393" s="3" t="s">
        <v>86</v>
      </c>
      <c r="H2393" s="2" t="s">
        <v>35</v>
      </c>
      <c r="I2393" s="2" t="s">
        <v>5645</v>
      </c>
      <c r="J2393" s="3" t="str">
        <f>HYPERLINK("https://www.boe.es/gazeta/dias/1834/09/17/pdfs/GMD-C-1834-215.pdf#page=2","Abrir facsímil")</f>
        <v>Abrir facsímil</v>
      </c>
      <c r="K2393" s="3" t="s">
        <v>37</v>
      </c>
    </row>
    <row r="2394" spans="1:11" ht="54" customHeight="1">
      <c r="A2394" s="2" t="s">
        <v>5646</v>
      </c>
      <c r="B2394" s="2" t="s">
        <v>5647</v>
      </c>
      <c r="C2394" s="2" t="s">
        <v>66</v>
      </c>
      <c r="D2394" s="2" t="s">
        <v>18</v>
      </c>
      <c r="E2394" s="5" t="s">
        <v>273</v>
      </c>
      <c r="F2394" s="3" t="s">
        <v>274</v>
      </c>
      <c r="G2394" s="3" t="s">
        <v>34</v>
      </c>
      <c r="H2394" s="2" t="s">
        <v>22</v>
      </c>
      <c r="I2394" s="2" t="s">
        <v>5648</v>
      </c>
      <c r="J2394" s="3" t="str">
        <f>HYPERLINK("https://www.boe.es/gazeta/dias/1834/08/31/pdfs/GMD-D-1834-198.pdf#page=1","Abrir facsímil")</f>
        <v>Abrir facsímil</v>
      </c>
      <c r="K2394" s="3" t="s">
        <v>24</v>
      </c>
    </row>
    <row r="2395" spans="1:11" ht="54" customHeight="1">
      <c r="A2395" s="2" t="s">
        <v>5649</v>
      </c>
      <c r="B2395" s="2" t="s">
        <v>5649</v>
      </c>
      <c r="C2395" s="2" t="s">
        <v>17</v>
      </c>
      <c r="D2395" s="2" t="s">
        <v>18</v>
      </c>
      <c r="E2395" s="5" t="s">
        <v>672</v>
      </c>
      <c r="F2395" s="3" t="s">
        <v>1055</v>
      </c>
      <c r="G2395" s="3" t="s">
        <v>176</v>
      </c>
      <c r="H2395" s="2" t="s">
        <v>22</v>
      </c>
      <c r="I2395" s="2" t="s">
        <v>5650</v>
      </c>
      <c r="J2395" s="3" t="str">
        <f>HYPERLINK("https://www.boe.es/gazeta/dias/1834/09/19/pdfs/GMD-C-1834-217.pdf#page=6","Abrir facsímil")</f>
        <v>Abrir facsímil</v>
      </c>
      <c r="K2395" s="3" t="s">
        <v>24</v>
      </c>
    </row>
    <row r="2396" spans="1:11" ht="54" customHeight="1">
      <c r="A2396" s="2" t="s">
        <v>5651</v>
      </c>
      <c r="B2396" s="2" t="s">
        <v>5652</v>
      </c>
      <c r="C2396" s="2" t="s">
        <v>66</v>
      </c>
      <c r="D2396" s="2" t="s">
        <v>18</v>
      </c>
      <c r="E2396" s="5" t="s">
        <v>1459</v>
      </c>
      <c r="F2396" s="3" t="s">
        <v>1460</v>
      </c>
      <c r="G2396" s="3" t="s">
        <v>34</v>
      </c>
      <c r="H2396" s="2" t="s">
        <v>22</v>
      </c>
      <c r="I2396" s="2" t="s">
        <v>5653</v>
      </c>
      <c r="J2396" s="3" t="str">
        <f>HYPERLINK("https://www.boe.es/gazeta/dias/1834/08/18/pdfs/GMD-1834-184.pdf#page=1","Abrir facsímil")</f>
        <v>Abrir facsímil</v>
      </c>
      <c r="K2396" s="3" t="s">
        <v>24</v>
      </c>
    </row>
    <row r="2397" spans="1:11" ht="54" customHeight="1">
      <c r="A2397" s="2" t="s">
        <v>5654</v>
      </c>
      <c r="B2397" s="2" t="s">
        <v>5654</v>
      </c>
      <c r="C2397" s="2" t="s">
        <v>46</v>
      </c>
      <c r="D2397" s="2" t="s">
        <v>18</v>
      </c>
      <c r="E2397" s="5" t="s">
        <v>844</v>
      </c>
      <c r="F2397" s="3" t="s">
        <v>845</v>
      </c>
      <c r="G2397" s="3" t="s">
        <v>86</v>
      </c>
      <c r="H2397" s="2" t="s">
        <v>22</v>
      </c>
      <c r="I2397" s="2" t="s">
        <v>5655</v>
      </c>
      <c r="J2397" s="3" t="str">
        <f>HYPERLINK("https://www.boe.es/gazeta/dias/1834/03/13/pdfs/GMD-1834-32.pdf#page=2","Abrir facsímil")</f>
        <v>Abrir facsímil</v>
      </c>
      <c r="K2397" s="3" t="s">
        <v>24</v>
      </c>
    </row>
    <row r="2398" spans="1:11" ht="54" customHeight="1">
      <c r="A2398" s="2" t="s">
        <v>5656</v>
      </c>
      <c r="B2398" s="2" t="s">
        <v>5656</v>
      </c>
      <c r="C2398" s="2" t="s">
        <v>66</v>
      </c>
      <c r="D2398" s="2" t="s">
        <v>67</v>
      </c>
      <c r="E2398" s="5" t="s">
        <v>594</v>
      </c>
      <c r="F2398" s="3" t="s">
        <v>595</v>
      </c>
      <c r="G2398" s="3" t="s">
        <v>86</v>
      </c>
      <c r="H2398" s="2" t="s">
        <v>22</v>
      </c>
      <c r="I2398" s="2" t="s">
        <v>5657</v>
      </c>
      <c r="J2398" s="3" t="str">
        <f>HYPERLINK("https://www.boe.es/gazeta/dias/1834/06/01/pdfs/GMD-1834-102.pdf#page=2","Abrir facsímil")</f>
        <v>Abrir facsímil</v>
      </c>
      <c r="K2398" s="3" t="s">
        <v>24</v>
      </c>
    </row>
    <row r="2399" spans="1:11" ht="54" customHeight="1">
      <c r="A2399" s="2" t="s">
        <v>5656</v>
      </c>
      <c r="B2399" s="2" t="s">
        <v>5656</v>
      </c>
      <c r="C2399" s="2" t="s">
        <v>46</v>
      </c>
      <c r="D2399" s="2" t="s">
        <v>101</v>
      </c>
      <c r="E2399" s="5" t="s">
        <v>1789</v>
      </c>
      <c r="F2399" s="3" t="s">
        <v>1790</v>
      </c>
      <c r="G2399" s="3" t="s">
        <v>86</v>
      </c>
      <c r="H2399" s="2" t="s">
        <v>22</v>
      </c>
      <c r="I2399" s="2" t="s">
        <v>5658</v>
      </c>
      <c r="J2399" s="3" t="str">
        <f>HYPERLINK("https://www.boe.es/gazeta/dias/1834/05/31/pdfs/GMD-1834-100.pdf#page=2","Abrir facsímil")</f>
        <v>Abrir facsímil</v>
      </c>
      <c r="K2399" s="3" t="s">
        <v>24</v>
      </c>
    </row>
    <row r="2400" spans="1:11" ht="54" customHeight="1">
      <c r="A2400" s="2" t="s">
        <v>5659</v>
      </c>
      <c r="B2400" s="2" t="s">
        <v>5660</v>
      </c>
      <c r="C2400" s="2" t="s">
        <v>17</v>
      </c>
      <c r="D2400" s="2" t="s">
        <v>18</v>
      </c>
      <c r="E2400" s="5" t="s">
        <v>348</v>
      </c>
      <c r="F2400" s="3" t="s">
        <v>501</v>
      </c>
      <c r="G2400" s="3" t="s">
        <v>86</v>
      </c>
      <c r="H2400" s="2" t="s">
        <v>22</v>
      </c>
      <c r="I2400" s="2" t="s">
        <v>5661</v>
      </c>
      <c r="J2400" s="3" t="str">
        <f>HYPERLINK("https://www.boe.es/gazeta/dias/1834/06/12/pdfs/GMD-1834-115.pdf#page=2","Abrir facsímil")</f>
        <v>Abrir facsímil</v>
      </c>
      <c r="K2400" s="3" t="s">
        <v>24</v>
      </c>
    </row>
    <row r="2401" spans="1:11" ht="54" customHeight="1">
      <c r="A2401" s="2" t="s">
        <v>5662</v>
      </c>
      <c r="B2401" s="2" t="s">
        <v>5662</v>
      </c>
      <c r="C2401" s="2" t="s">
        <v>17</v>
      </c>
      <c r="D2401" s="2" t="s">
        <v>55</v>
      </c>
      <c r="E2401" s="5" t="s">
        <v>462</v>
      </c>
      <c r="F2401" s="3" t="s">
        <v>2110</v>
      </c>
      <c r="G2401" s="3" t="s">
        <v>34</v>
      </c>
      <c r="H2401" s="2" t="s">
        <v>22</v>
      </c>
      <c r="I2401" s="2" t="s">
        <v>5663</v>
      </c>
      <c r="J2401" s="3" t="str">
        <f>HYPERLINK("https://www.boe.es/gazeta/dias/1834/08/27/pdfs/GMD-1834-193.pdf#page=1","Abrir facsímil")</f>
        <v>Abrir facsímil</v>
      </c>
      <c r="K2401" s="3" t="s">
        <v>24</v>
      </c>
    </row>
    <row r="2402" spans="1:11" ht="54" customHeight="1">
      <c r="A2402" s="2" t="s">
        <v>5664</v>
      </c>
      <c r="B2402" s="2" t="s">
        <v>5665</v>
      </c>
      <c r="C2402" s="2" t="s">
        <v>90</v>
      </c>
      <c r="D2402" s="2" t="s">
        <v>40</v>
      </c>
      <c r="E2402" s="5" t="s">
        <v>73</v>
      </c>
      <c r="F2402" s="3" t="s">
        <v>74</v>
      </c>
      <c r="G2402" s="3" t="s">
        <v>86</v>
      </c>
      <c r="H2402" s="2" t="s">
        <v>22</v>
      </c>
      <c r="I2402" s="2" t="s">
        <v>5666</v>
      </c>
      <c r="J2402" s="3" t="str">
        <f>HYPERLINK("https://www.boe.es/gazeta/dias/1834/11/04/pdfs/GMD-1834-263.pdf#page=2","Abrir facsímil")</f>
        <v>Abrir facsímil</v>
      </c>
      <c r="K2402" s="3" t="s">
        <v>24</v>
      </c>
    </row>
    <row r="2403" spans="1:11" ht="54" customHeight="1">
      <c r="A2403" s="2" t="s">
        <v>5667</v>
      </c>
      <c r="B2403" s="2" t="s">
        <v>5668</v>
      </c>
      <c r="C2403" s="2" t="s">
        <v>66</v>
      </c>
      <c r="D2403" s="2" t="s">
        <v>67</v>
      </c>
      <c r="E2403" s="5" t="s">
        <v>441</v>
      </c>
      <c r="F2403" s="3" t="s">
        <v>442</v>
      </c>
      <c r="G2403" s="3" t="s">
        <v>21</v>
      </c>
      <c r="H2403" s="2" t="s">
        <v>22</v>
      </c>
      <c r="I2403" s="2" t="s">
        <v>5669</v>
      </c>
      <c r="J2403" s="3" t="str">
        <f>HYPERLINK("https://www.boe.es/gazeta/dias/1834/11/10/pdfs/GMD-1834-269.pdf#page=3","Abrir facsímil")</f>
        <v>Abrir facsímil</v>
      </c>
      <c r="K2403" s="3" t="s">
        <v>24</v>
      </c>
    </row>
    <row r="2404" spans="1:11" ht="54" customHeight="1">
      <c r="A2404" s="2" t="s">
        <v>5670</v>
      </c>
      <c r="B2404" s="2" t="s">
        <v>5671</v>
      </c>
      <c r="C2404" s="2" t="s">
        <v>17</v>
      </c>
      <c r="D2404" s="2" t="s">
        <v>18</v>
      </c>
      <c r="E2404" s="5" t="s">
        <v>1234</v>
      </c>
      <c r="F2404" s="3" t="s">
        <v>1455</v>
      </c>
      <c r="G2404" s="3" t="s">
        <v>21</v>
      </c>
      <c r="H2404" s="2" t="s">
        <v>35</v>
      </c>
      <c r="I2404" s="2" t="s">
        <v>5672</v>
      </c>
      <c r="J2404" s="3" t="str">
        <f>HYPERLINK("https://www.boe.es/gazeta/dias/1834/05/15/pdfs/GMD-1834-84.pdf#page=3","Abrir facsímil")</f>
        <v>Abrir facsímil</v>
      </c>
      <c r="K2404" s="3" t="s">
        <v>37</v>
      </c>
    </row>
    <row r="2405" spans="1:11" ht="54" customHeight="1">
      <c r="A2405" s="2" t="s">
        <v>5673</v>
      </c>
      <c r="B2405" s="2" t="s">
        <v>5674</v>
      </c>
      <c r="C2405" s="2" t="s">
        <v>17</v>
      </c>
      <c r="D2405" s="2" t="s">
        <v>18</v>
      </c>
      <c r="E2405" s="5" t="s">
        <v>1234</v>
      </c>
      <c r="F2405" s="3" t="s">
        <v>1455</v>
      </c>
      <c r="G2405" s="3" t="s">
        <v>21</v>
      </c>
      <c r="H2405" s="2" t="s">
        <v>22</v>
      </c>
      <c r="I2405" s="2" t="s">
        <v>5675</v>
      </c>
      <c r="J2405" s="3" t="str">
        <f>HYPERLINK("https://www.boe.es/gazeta/dias/1834/05/15/pdfs/GMD-1834-84.pdf#page=3","Abrir facsímil")</f>
        <v>Abrir facsímil</v>
      </c>
      <c r="K2405" s="3" t="s">
        <v>24</v>
      </c>
    </row>
    <row r="2406" spans="1:11" ht="54" customHeight="1">
      <c r="A2406" s="2" t="s">
        <v>5676</v>
      </c>
      <c r="B2406" s="2" t="s">
        <v>5677</v>
      </c>
      <c r="C2406" s="2" t="s">
        <v>46</v>
      </c>
      <c r="D2406" s="2" t="s">
        <v>101</v>
      </c>
      <c r="E2406" s="5" t="s">
        <v>1981</v>
      </c>
      <c r="F2406" s="3" t="s">
        <v>1982</v>
      </c>
      <c r="G2406" s="3" t="s">
        <v>34</v>
      </c>
      <c r="H2406" s="2" t="s">
        <v>22</v>
      </c>
      <c r="I2406" s="2" t="s">
        <v>5678</v>
      </c>
      <c r="J2406" s="3" t="str">
        <f>HYPERLINK("https://www.boe.es/gazeta/dias/1834/12/13/pdfs/GMD-1834-302.pdf#page=1","Abrir facsímil")</f>
        <v>Abrir facsímil</v>
      </c>
      <c r="K2406" s="3" t="s">
        <v>24</v>
      </c>
    </row>
    <row r="2407" spans="1:11" ht="54" customHeight="1">
      <c r="A2407" s="2" t="s">
        <v>5679</v>
      </c>
      <c r="B2407" s="2" t="s">
        <v>5680</v>
      </c>
      <c r="C2407" s="2" t="s">
        <v>46</v>
      </c>
      <c r="D2407" s="2" t="s">
        <v>101</v>
      </c>
      <c r="E2407" s="5" t="s">
        <v>1981</v>
      </c>
      <c r="F2407" s="3" t="s">
        <v>1982</v>
      </c>
      <c r="G2407" s="3" t="s">
        <v>34</v>
      </c>
      <c r="H2407" s="2" t="s">
        <v>35</v>
      </c>
      <c r="I2407" s="2" t="s">
        <v>5681</v>
      </c>
      <c r="J2407" s="3" t="str">
        <f>HYPERLINK("https://www.boe.es/gazeta/dias/1834/12/13/pdfs/GMD-1834-302.pdf#page=1","Abrir facsímil")</f>
        <v>Abrir facsímil</v>
      </c>
      <c r="K2407" s="3" t="s">
        <v>37</v>
      </c>
    </row>
    <row r="2408" spans="1:11" ht="54" customHeight="1">
      <c r="A2408" s="2" t="s">
        <v>5682</v>
      </c>
      <c r="B2408" s="2" t="s">
        <v>5682</v>
      </c>
      <c r="C2408" s="2" t="s">
        <v>17</v>
      </c>
      <c r="D2408" s="2" t="s">
        <v>18</v>
      </c>
      <c r="E2408" s="5" t="s">
        <v>571</v>
      </c>
      <c r="F2408" s="3" t="s">
        <v>572</v>
      </c>
      <c r="G2408" s="3" t="s">
        <v>21</v>
      </c>
      <c r="H2408" s="2" t="s">
        <v>22</v>
      </c>
      <c r="I2408" s="2" t="s">
        <v>5683</v>
      </c>
      <c r="J2408" s="3" t="str">
        <f>HYPERLINK("https://www.boe.es/gazeta/dias/1834/09/04/pdfs/GMD-1834-202.pdf#page=3","Abrir facsímil")</f>
        <v>Abrir facsímil</v>
      </c>
      <c r="K2408" s="3" t="s">
        <v>24</v>
      </c>
    </row>
    <row r="2409" spans="1:11" ht="54" customHeight="1">
      <c r="A2409" s="2" t="s">
        <v>5684</v>
      </c>
      <c r="B2409" s="2" t="s">
        <v>5684</v>
      </c>
      <c r="C2409" s="2" t="s">
        <v>46</v>
      </c>
      <c r="D2409" s="2" t="s">
        <v>55</v>
      </c>
      <c r="E2409" s="5" t="s">
        <v>1406</v>
      </c>
      <c r="F2409" s="3" t="s">
        <v>1407</v>
      </c>
      <c r="G2409" s="3" t="s">
        <v>86</v>
      </c>
      <c r="H2409" s="2" t="s">
        <v>22</v>
      </c>
      <c r="I2409" s="2" t="s">
        <v>5685</v>
      </c>
      <c r="J2409" s="3" t="str">
        <f>HYPERLINK("https://www.boe.es/gazeta/dias/1834/11/03/pdfs/GMD-1834-262.pdf#page=2","Abrir facsímil")</f>
        <v>Abrir facsímil</v>
      </c>
      <c r="K2409" s="3" t="s">
        <v>24</v>
      </c>
    </row>
    <row r="2410" spans="1:11" ht="54" customHeight="1">
      <c r="A2410" s="2" t="s">
        <v>5686</v>
      </c>
      <c r="B2410" s="2" t="s">
        <v>5687</v>
      </c>
      <c r="C2410" s="2" t="s">
        <v>17</v>
      </c>
      <c r="D2410" s="2" t="s">
        <v>18</v>
      </c>
      <c r="E2410" s="5" t="s">
        <v>19</v>
      </c>
      <c r="F2410" s="3" t="s">
        <v>107</v>
      </c>
      <c r="G2410" s="3" t="s">
        <v>75</v>
      </c>
      <c r="H2410" s="2" t="s">
        <v>22</v>
      </c>
      <c r="I2410" s="2" t="s">
        <v>5688</v>
      </c>
      <c r="J2410" s="3" t="str">
        <f>HYPERLINK("https://www.boe.es/gazeta/dias/1834/08/17/pdfs/GMD-1834-182.pdf#page=4","Abrir facsímil")</f>
        <v>Abrir facsímil</v>
      </c>
      <c r="K2410" s="3" t="s">
        <v>24</v>
      </c>
    </row>
    <row r="2411" spans="1:11" ht="54" customHeight="1">
      <c r="A2411" s="2" t="s">
        <v>5689</v>
      </c>
      <c r="B2411" s="2" t="s">
        <v>5690</v>
      </c>
      <c r="C2411" s="2" t="s">
        <v>17</v>
      </c>
      <c r="D2411" s="2" t="s">
        <v>18</v>
      </c>
      <c r="E2411" s="5" t="s">
        <v>19</v>
      </c>
      <c r="F2411" s="3" t="s">
        <v>107</v>
      </c>
      <c r="G2411" s="3" t="s">
        <v>75</v>
      </c>
      <c r="H2411" s="2" t="s">
        <v>22</v>
      </c>
      <c r="I2411" s="2" t="s">
        <v>5691</v>
      </c>
      <c r="J2411" s="3" t="str">
        <f>HYPERLINK("https://www.boe.es/gazeta/dias/1834/08/17/pdfs/GMD-1834-182.pdf#page=4","Abrir facsímil")</f>
        <v>Abrir facsímil</v>
      </c>
      <c r="K2411" s="3" t="s">
        <v>24</v>
      </c>
    </row>
    <row r="2412" spans="1:11" ht="54" customHeight="1">
      <c r="A2412" s="2" t="s">
        <v>5692</v>
      </c>
      <c r="B2412" s="2" t="s">
        <v>5693</v>
      </c>
      <c r="C2412" s="2" t="s">
        <v>17</v>
      </c>
      <c r="D2412" s="2" t="s">
        <v>18</v>
      </c>
      <c r="E2412" s="5" t="s">
        <v>1084</v>
      </c>
      <c r="F2412" s="3" t="s">
        <v>1085</v>
      </c>
      <c r="G2412" s="3" t="s">
        <v>176</v>
      </c>
      <c r="H2412" s="2" t="s">
        <v>22</v>
      </c>
      <c r="I2412" s="2" t="s">
        <v>5694</v>
      </c>
      <c r="J2412" s="3" t="str">
        <f>HYPERLINK("https://www.boe.es/gazeta/dias/1834/05/01/pdfs/GMD-1834-70.pdf#page=6","Abrir facsímil")</f>
        <v>Abrir facsímil</v>
      </c>
      <c r="K2412" s="3" t="s">
        <v>24</v>
      </c>
    </row>
    <row r="2413" spans="1:11" ht="54" customHeight="1">
      <c r="A2413" s="2" t="s">
        <v>5695</v>
      </c>
      <c r="B2413" s="2" t="s">
        <v>5696</v>
      </c>
      <c r="C2413" s="2" t="s">
        <v>122</v>
      </c>
      <c r="D2413" s="2" t="s">
        <v>18</v>
      </c>
      <c r="E2413" s="5" t="s">
        <v>348</v>
      </c>
      <c r="F2413" s="3" t="s">
        <v>501</v>
      </c>
      <c r="G2413" s="3" t="s">
        <v>21</v>
      </c>
      <c r="H2413" s="2" t="s">
        <v>22</v>
      </c>
      <c r="I2413" s="2" t="s">
        <v>5697</v>
      </c>
      <c r="J2413" s="3" t="str">
        <f>HYPERLINK("https://www.boe.es/gazeta/dias/1834/06/12/pdfs/GMD-1834-115.pdf#page=3","Abrir facsímil")</f>
        <v>Abrir facsímil</v>
      </c>
      <c r="K2413" s="3" t="s">
        <v>24</v>
      </c>
    </row>
    <row r="2414" spans="1:11" ht="54" customHeight="1">
      <c r="A2414" s="2" t="s">
        <v>5698</v>
      </c>
      <c r="B2414" s="2" t="s">
        <v>5699</v>
      </c>
      <c r="C2414" s="2" t="s">
        <v>17</v>
      </c>
      <c r="D2414" s="2" t="s">
        <v>18</v>
      </c>
      <c r="E2414" s="5" t="s">
        <v>981</v>
      </c>
      <c r="F2414" s="3" t="s">
        <v>982</v>
      </c>
      <c r="G2414" s="3" t="s">
        <v>86</v>
      </c>
      <c r="H2414" s="2" t="s">
        <v>22</v>
      </c>
      <c r="I2414" s="2" t="s">
        <v>5700</v>
      </c>
      <c r="J2414" s="3" t="str">
        <f>HYPERLINK("https://www.boe.es/gazeta/dias/1834/09/21/pdfs/GMD-1834-219.pdf#page=2","Abrir facsímil")</f>
        <v>Abrir facsímil</v>
      </c>
      <c r="K2414" s="3" t="s">
        <v>24</v>
      </c>
    </row>
    <row r="2415" spans="1:11" ht="54" customHeight="1">
      <c r="A2415" s="2" t="s">
        <v>5701</v>
      </c>
      <c r="B2415" s="2" t="s">
        <v>5701</v>
      </c>
      <c r="C2415" s="2" t="s">
        <v>17</v>
      </c>
      <c r="D2415" s="2" t="s">
        <v>40</v>
      </c>
      <c r="E2415" s="5" t="s">
        <v>2218</v>
      </c>
      <c r="F2415" s="3" t="s">
        <v>2219</v>
      </c>
      <c r="G2415" s="3" t="s">
        <v>86</v>
      </c>
      <c r="H2415" s="2" t="s">
        <v>22</v>
      </c>
      <c r="I2415" s="2" t="s">
        <v>5702</v>
      </c>
      <c r="J2415" s="3" t="str">
        <f>HYPERLINK("https://www.boe.es/gazeta/dias/1834/11/05/pdfs/GMD-1834-264.pdf#page=2","Abrir facsímil")</f>
        <v>Abrir facsímil</v>
      </c>
      <c r="K2415" s="3" t="s">
        <v>24</v>
      </c>
    </row>
    <row r="2416" spans="1:11" ht="54" customHeight="1">
      <c r="A2416" s="2" t="s">
        <v>5703</v>
      </c>
      <c r="B2416" s="2" t="s">
        <v>5704</v>
      </c>
      <c r="C2416" s="2" t="s">
        <v>17</v>
      </c>
      <c r="D2416" s="2" t="s">
        <v>18</v>
      </c>
      <c r="E2416" s="5" t="s">
        <v>73</v>
      </c>
      <c r="F2416" s="3" t="s">
        <v>74</v>
      </c>
      <c r="G2416" s="3" t="s">
        <v>75</v>
      </c>
      <c r="H2416" s="2" t="s">
        <v>22</v>
      </c>
      <c r="I2416" s="2" t="s">
        <v>5705</v>
      </c>
      <c r="J2416" s="3" t="str">
        <f>HYPERLINK("https://www.boe.es/gazeta/dias/1834/11/04/pdfs/GMD-1834-263.pdf#page=4","Abrir facsímil")</f>
        <v>Abrir facsímil</v>
      </c>
      <c r="K2416" s="3" t="s">
        <v>24</v>
      </c>
    </row>
    <row r="2417" spans="1:11" ht="54" customHeight="1">
      <c r="A2417" s="2" t="s">
        <v>5706</v>
      </c>
      <c r="B2417" s="2" t="s">
        <v>5707</v>
      </c>
      <c r="C2417" s="2" t="s">
        <v>17</v>
      </c>
      <c r="D2417" s="2" t="s">
        <v>18</v>
      </c>
      <c r="E2417" s="5" t="s">
        <v>2302</v>
      </c>
      <c r="F2417" s="3" t="s">
        <v>2303</v>
      </c>
      <c r="G2417" s="3" t="s">
        <v>34</v>
      </c>
      <c r="H2417" s="2" t="s">
        <v>22</v>
      </c>
      <c r="I2417" s="2" t="s">
        <v>5708</v>
      </c>
      <c r="J2417" s="3" t="str">
        <f>HYPERLINK("https://www.boe.es/gazeta/dias/1834/01/25/pdfs/GMD-1834-12.pdf#page=1","Abrir facsímil")</f>
        <v>Abrir facsímil</v>
      </c>
      <c r="K2417" s="3" t="s">
        <v>24</v>
      </c>
    </row>
    <row r="2418" spans="1:11" ht="54" customHeight="1">
      <c r="A2418" s="2" t="s">
        <v>5709</v>
      </c>
      <c r="B2418" s="2" t="s">
        <v>5709</v>
      </c>
      <c r="C2418" s="2" t="s">
        <v>66</v>
      </c>
      <c r="D2418" s="2" t="s">
        <v>18</v>
      </c>
      <c r="E2418" s="5" t="s">
        <v>364</v>
      </c>
      <c r="F2418" s="3" t="s">
        <v>365</v>
      </c>
      <c r="G2418" s="3" t="s">
        <v>86</v>
      </c>
      <c r="H2418" s="2" t="s">
        <v>22</v>
      </c>
      <c r="I2418" s="2" t="s">
        <v>5710</v>
      </c>
      <c r="J2418" s="3" t="str">
        <f>HYPERLINK("https://www.boe.es/gazeta/dias/1834/09/06/pdfs/GMD-D-1834-204.pdf#page=2","Abrir facsímil")</f>
        <v>Abrir facsímil</v>
      </c>
      <c r="K2418" s="3" t="s">
        <v>24</v>
      </c>
    </row>
    <row r="2419" spans="1:11" ht="54" customHeight="1">
      <c r="A2419" s="2" t="s">
        <v>5711</v>
      </c>
      <c r="B2419" s="2" t="s">
        <v>5711</v>
      </c>
      <c r="C2419" s="2" t="s">
        <v>17</v>
      </c>
      <c r="D2419" s="2" t="s">
        <v>18</v>
      </c>
      <c r="E2419" s="5" t="s">
        <v>571</v>
      </c>
      <c r="F2419" s="3" t="s">
        <v>620</v>
      </c>
      <c r="G2419" s="3" t="s">
        <v>28</v>
      </c>
      <c r="H2419" s="2" t="s">
        <v>22</v>
      </c>
      <c r="I2419" s="2" t="s">
        <v>5712</v>
      </c>
      <c r="J2419" s="3" t="str">
        <f>HYPERLINK("https://www.boe.es/gazeta/dias/1834/09/04/pdfs/GMD-C-1834-202.pdf#page=5","Abrir facsímil")</f>
        <v>Abrir facsímil</v>
      </c>
      <c r="K2419" s="3" t="s">
        <v>24</v>
      </c>
    </row>
    <row r="2420" spans="1:11" ht="54" customHeight="1">
      <c r="A2420" s="2" t="s">
        <v>5713</v>
      </c>
      <c r="B2420" s="2" t="s">
        <v>5713</v>
      </c>
      <c r="C2420" s="2" t="s">
        <v>17</v>
      </c>
      <c r="D2420" s="2" t="s">
        <v>18</v>
      </c>
      <c r="E2420" s="5" t="s">
        <v>492</v>
      </c>
      <c r="F2420" s="3" t="s">
        <v>1672</v>
      </c>
      <c r="G2420" s="3" t="s">
        <v>34</v>
      </c>
      <c r="H2420" s="2" t="s">
        <v>22</v>
      </c>
      <c r="I2420" s="2" t="s">
        <v>5714</v>
      </c>
      <c r="J2420" s="3" t="str">
        <f>HYPERLINK("https://www.boe.es/gazeta/dias/1834/11/21/pdfs/GMD-1834-280.pdf#page=1","Abrir facsímil")</f>
        <v>Abrir facsímil</v>
      </c>
      <c r="K2420" s="3" t="s">
        <v>24</v>
      </c>
    </row>
    <row r="2421" spans="1:11" ht="54" customHeight="1">
      <c r="A2421" s="2" t="s">
        <v>5715</v>
      </c>
      <c r="B2421" s="2" t="s">
        <v>5715</v>
      </c>
      <c r="C2421" s="2" t="s">
        <v>17</v>
      </c>
      <c r="D2421" s="2" t="s">
        <v>18</v>
      </c>
      <c r="E2421" s="5" t="s">
        <v>1394</v>
      </c>
      <c r="F2421" s="3" t="s">
        <v>1395</v>
      </c>
      <c r="G2421" s="3" t="s">
        <v>75</v>
      </c>
      <c r="H2421" s="2" t="s">
        <v>22</v>
      </c>
      <c r="I2421" s="2" t="s">
        <v>5716</v>
      </c>
      <c r="J2421" s="3" t="str">
        <f>HYPERLINK("https://www.boe.es/gazeta/dias/1834/04/16/pdfs/GMD-1834-55.pdf#page=4","Abrir facsímil")</f>
        <v>Abrir facsímil</v>
      </c>
      <c r="K2421" s="3" t="s">
        <v>24</v>
      </c>
    </row>
    <row r="2422" spans="1:11" ht="54" customHeight="1">
      <c r="A2422" s="2" t="s">
        <v>5717</v>
      </c>
      <c r="B2422" s="2" t="s">
        <v>5717</v>
      </c>
      <c r="C2422" s="2" t="s">
        <v>17</v>
      </c>
      <c r="D2422" s="2" t="s">
        <v>18</v>
      </c>
      <c r="E2422" s="5" t="s">
        <v>158</v>
      </c>
      <c r="F2422" s="3" t="s">
        <v>581</v>
      </c>
      <c r="G2422" s="3" t="s">
        <v>75</v>
      </c>
      <c r="H2422" s="2" t="s">
        <v>22</v>
      </c>
      <c r="I2422" s="2" t="s">
        <v>5718</v>
      </c>
      <c r="J2422" s="3" t="str">
        <f>HYPERLINK("https://www.boe.es/gazeta/dias/1834/10/01/pdfs/GMD-C-1834-229.pdf#page=4","Abrir facsímil")</f>
        <v>Abrir facsímil</v>
      </c>
      <c r="K2422" s="3" t="s">
        <v>24</v>
      </c>
    </row>
    <row r="2423" spans="1:11" ht="54" customHeight="1">
      <c r="A2423" s="2" t="s">
        <v>5719</v>
      </c>
      <c r="B2423" s="2" t="s">
        <v>5720</v>
      </c>
      <c r="C2423" s="2" t="s">
        <v>17</v>
      </c>
      <c r="D2423" s="2" t="s">
        <v>55</v>
      </c>
      <c r="E2423" s="5" t="s">
        <v>56</v>
      </c>
      <c r="F2423" s="3" t="s">
        <v>57</v>
      </c>
      <c r="G2423" s="3" t="s">
        <v>21</v>
      </c>
      <c r="H2423" s="2" t="s">
        <v>35</v>
      </c>
      <c r="I2423" s="2" t="s">
        <v>5721</v>
      </c>
      <c r="J2423" s="3" t="str">
        <f>HYPERLINK("https://www.boe.es/gazeta/dias/1834/07/09/pdfs/GMD-1834-142.pdf#page=3","Abrir facsímil")</f>
        <v>Abrir facsímil</v>
      </c>
      <c r="K2423" s="3" t="s">
        <v>37</v>
      </c>
    </row>
    <row r="2424" spans="1:11" ht="54" customHeight="1">
      <c r="A2424" s="2" t="s">
        <v>5722</v>
      </c>
      <c r="B2424" s="2" t="s">
        <v>5723</v>
      </c>
      <c r="C2424" s="2" t="s">
        <v>17</v>
      </c>
      <c r="D2424" s="2" t="s">
        <v>55</v>
      </c>
      <c r="E2424" s="5" t="s">
        <v>56</v>
      </c>
      <c r="F2424" s="3" t="s">
        <v>57</v>
      </c>
      <c r="G2424" s="3" t="s">
        <v>21</v>
      </c>
      <c r="H2424" s="2" t="s">
        <v>22</v>
      </c>
      <c r="I2424" s="2" t="s">
        <v>5724</v>
      </c>
      <c r="J2424" s="3" t="str">
        <f>HYPERLINK("https://www.boe.es/gazeta/dias/1834/07/09/pdfs/GMD-1834-142.pdf#page=3","Abrir facsímil")</f>
        <v>Abrir facsímil</v>
      </c>
      <c r="K2424" s="3" t="s">
        <v>24</v>
      </c>
    </row>
    <row r="2425" spans="1:11" ht="54" customHeight="1">
      <c r="A2425" s="2" t="s">
        <v>5725</v>
      </c>
      <c r="B2425" s="2" t="s">
        <v>5725</v>
      </c>
      <c r="C2425" s="2" t="s">
        <v>90</v>
      </c>
      <c r="D2425" s="2" t="s">
        <v>18</v>
      </c>
      <c r="E2425" s="5" t="s">
        <v>863</v>
      </c>
      <c r="F2425" s="3" t="s">
        <v>864</v>
      </c>
      <c r="G2425" s="3" t="s">
        <v>34</v>
      </c>
      <c r="H2425" s="2" t="s">
        <v>22</v>
      </c>
      <c r="I2425" s="2" t="s">
        <v>5726</v>
      </c>
      <c r="J2425" s="3" t="str">
        <f>HYPERLINK("https://www.boe.es/gazeta/dias/1834/09/15/pdfs/GMD-1834-213.pdf#page=1","Abrir facsímil")</f>
        <v>Abrir facsímil</v>
      </c>
      <c r="K2425" s="3" t="s">
        <v>24</v>
      </c>
    </row>
    <row r="2426" spans="1:11" ht="54" customHeight="1">
      <c r="A2426" s="2" t="s">
        <v>5725</v>
      </c>
      <c r="B2426" s="2" t="s">
        <v>5725</v>
      </c>
      <c r="C2426" s="2" t="s">
        <v>17</v>
      </c>
      <c r="D2426" s="2" t="s">
        <v>18</v>
      </c>
      <c r="E2426" s="5" t="s">
        <v>1686</v>
      </c>
      <c r="F2426" s="3" t="s">
        <v>1687</v>
      </c>
      <c r="G2426" s="3" t="s">
        <v>75</v>
      </c>
      <c r="H2426" s="2" t="s">
        <v>22</v>
      </c>
      <c r="I2426" s="2" t="s">
        <v>5727</v>
      </c>
      <c r="J2426" s="3" t="str">
        <f>HYPERLINK("https://www.boe.es/gazeta/dias/1834/07/27/pdfs/GMD-1834-160.pdf#page=4","Abrir facsímil")</f>
        <v>Abrir facsímil</v>
      </c>
      <c r="K2426" s="3" t="s">
        <v>24</v>
      </c>
    </row>
    <row r="2427" spans="1:11" ht="54" customHeight="1">
      <c r="A2427" s="2" t="s">
        <v>5728</v>
      </c>
      <c r="B2427" s="2" t="s">
        <v>5729</v>
      </c>
      <c r="C2427" s="2" t="s">
        <v>17</v>
      </c>
      <c r="D2427" s="2" t="s">
        <v>18</v>
      </c>
      <c r="E2427" s="5" t="s">
        <v>1686</v>
      </c>
      <c r="F2427" s="3" t="s">
        <v>1687</v>
      </c>
      <c r="G2427" s="3" t="s">
        <v>75</v>
      </c>
      <c r="H2427" s="2" t="s">
        <v>35</v>
      </c>
      <c r="I2427" s="2" t="s">
        <v>5730</v>
      </c>
      <c r="J2427" s="3" t="str">
        <f>HYPERLINK("https://www.boe.es/gazeta/dias/1834/07/27/pdfs/GMD-1834-160.pdf#page=4","Abrir facsímil")</f>
        <v>Abrir facsímil</v>
      </c>
      <c r="K2427" s="3" t="s">
        <v>37</v>
      </c>
    </row>
    <row r="2428" spans="1:11" ht="54" customHeight="1">
      <c r="A2428" s="2" t="s">
        <v>5731</v>
      </c>
      <c r="B2428" s="2" t="s">
        <v>5731</v>
      </c>
      <c r="C2428" s="2" t="s">
        <v>66</v>
      </c>
      <c r="D2428" s="2" t="s">
        <v>67</v>
      </c>
      <c r="E2428" s="5" t="s">
        <v>2053</v>
      </c>
      <c r="F2428" s="3" t="s">
        <v>2054</v>
      </c>
      <c r="G2428" s="3" t="s">
        <v>86</v>
      </c>
      <c r="H2428" s="2" t="s">
        <v>22</v>
      </c>
      <c r="I2428" s="2" t="s">
        <v>5732</v>
      </c>
      <c r="J2428" s="3" t="str">
        <f>HYPERLINK("https://www.boe.es/gazeta/dias/1834/06/02/pdfs/GMD-1834-103.pdf#page=2","Abrir facsímil")</f>
        <v>Abrir facsímil</v>
      </c>
      <c r="K2428" s="3" t="s">
        <v>24</v>
      </c>
    </row>
    <row r="2429" spans="1:11" ht="54" customHeight="1">
      <c r="A2429" s="2" t="s">
        <v>5731</v>
      </c>
      <c r="B2429" s="2" t="s">
        <v>5731</v>
      </c>
      <c r="C2429" s="2" t="s">
        <v>17</v>
      </c>
      <c r="D2429" s="2" t="s">
        <v>101</v>
      </c>
      <c r="E2429" s="5" t="s">
        <v>479</v>
      </c>
      <c r="F2429" s="3" t="s">
        <v>2258</v>
      </c>
      <c r="G2429" s="3" t="s">
        <v>86</v>
      </c>
      <c r="H2429" s="2" t="s">
        <v>22</v>
      </c>
      <c r="I2429" s="2" t="s">
        <v>5733</v>
      </c>
      <c r="J2429" s="3" t="str">
        <f>HYPERLINK("https://www.boe.es/gazeta/dias/1834/08/13/pdfs/GMD-C-1834-178.pdf#page=2","Abrir facsímil")</f>
        <v>Abrir facsímil</v>
      </c>
      <c r="K2429" s="3" t="s">
        <v>24</v>
      </c>
    </row>
    <row r="2430" spans="1:11" ht="54" customHeight="1">
      <c r="A2430" s="2" t="s">
        <v>5731</v>
      </c>
      <c r="B2430" s="2" t="s">
        <v>5731</v>
      </c>
      <c r="C2430" s="2" t="s">
        <v>90</v>
      </c>
      <c r="D2430" s="2" t="s">
        <v>18</v>
      </c>
      <c r="E2430" s="5" t="s">
        <v>479</v>
      </c>
      <c r="F2430" s="3" t="s">
        <v>2258</v>
      </c>
      <c r="G2430" s="3" t="s">
        <v>21</v>
      </c>
      <c r="H2430" s="2" t="s">
        <v>22</v>
      </c>
      <c r="I2430" s="2" t="s">
        <v>5734</v>
      </c>
      <c r="J2430" s="3" t="str">
        <f>HYPERLINK("https://www.boe.es/gazeta/dias/1834/08/13/pdfs/GMD-C-1834-178.pdf#page=3","Abrir facsímil")</f>
        <v>Abrir facsímil</v>
      </c>
      <c r="K2430" s="3" t="s">
        <v>24</v>
      </c>
    </row>
    <row r="2431" spans="1:11" ht="54" customHeight="1">
      <c r="A2431" s="2" t="s">
        <v>5731</v>
      </c>
      <c r="B2431" s="2" t="s">
        <v>5731</v>
      </c>
      <c r="C2431" s="2" t="s">
        <v>17</v>
      </c>
      <c r="D2431" s="2" t="s">
        <v>18</v>
      </c>
      <c r="E2431" s="5" t="s">
        <v>772</v>
      </c>
      <c r="F2431" s="3" t="s">
        <v>2284</v>
      </c>
      <c r="G2431" s="3" t="s">
        <v>470</v>
      </c>
      <c r="H2431" s="2" t="s">
        <v>22</v>
      </c>
      <c r="I2431" s="2" t="s">
        <v>5735</v>
      </c>
      <c r="J2431" s="3" t="str">
        <f>HYPERLINK("https://www.boe.es/gazeta/dias/1834/09/18/pdfs/GMD-C-1834-216.pdf#page=8","Abrir facsímil")</f>
        <v>Abrir facsímil</v>
      </c>
      <c r="K2431" s="3" t="s">
        <v>24</v>
      </c>
    </row>
    <row r="2432" spans="1:11" ht="54" customHeight="1">
      <c r="A2432" s="2" t="s">
        <v>5736</v>
      </c>
      <c r="B2432" s="2" t="s">
        <v>5737</v>
      </c>
      <c r="C2432" s="2" t="s">
        <v>90</v>
      </c>
      <c r="D2432" s="2" t="s">
        <v>40</v>
      </c>
      <c r="E2432" s="5" t="s">
        <v>479</v>
      </c>
      <c r="F2432" s="3" t="s">
        <v>2258</v>
      </c>
      <c r="G2432" s="3" t="s">
        <v>86</v>
      </c>
      <c r="H2432" s="2" t="s">
        <v>35</v>
      </c>
      <c r="I2432" s="2" t="s">
        <v>5738</v>
      </c>
      <c r="J2432" s="3" t="str">
        <f>HYPERLINK("https://www.boe.es/gazeta/dias/1834/08/13/pdfs/GMD-C-1834-178.pdf#page=2","Abrir facsímil")</f>
        <v>Abrir facsímil</v>
      </c>
      <c r="K2432" s="3" t="s">
        <v>37</v>
      </c>
    </row>
    <row r="2433" spans="1:11" ht="54" customHeight="1">
      <c r="A2433" s="2" t="s">
        <v>5739</v>
      </c>
      <c r="B2433" s="2" t="s">
        <v>5740</v>
      </c>
      <c r="C2433" s="2" t="s">
        <v>90</v>
      </c>
      <c r="D2433" s="2" t="s">
        <v>40</v>
      </c>
      <c r="E2433" s="5" t="s">
        <v>479</v>
      </c>
      <c r="F2433" s="3" t="s">
        <v>2258</v>
      </c>
      <c r="G2433" s="3" t="s">
        <v>86</v>
      </c>
      <c r="H2433" s="2" t="s">
        <v>22</v>
      </c>
      <c r="I2433" s="2" t="s">
        <v>5741</v>
      </c>
      <c r="J2433" s="3" t="str">
        <f>HYPERLINK("https://www.boe.es/gazeta/dias/1834/08/13/pdfs/GMD-C-1834-178.pdf#page=2","Abrir facsímil")</f>
        <v>Abrir facsímil</v>
      </c>
      <c r="K2433" s="3" t="s">
        <v>24</v>
      </c>
    </row>
    <row r="2434" spans="1:11" ht="54" customHeight="1">
      <c r="A2434" s="2" t="s">
        <v>5742</v>
      </c>
      <c r="B2434" s="2" t="s">
        <v>5742</v>
      </c>
      <c r="C2434" s="2" t="s">
        <v>17</v>
      </c>
      <c r="D2434" s="2" t="s">
        <v>55</v>
      </c>
      <c r="E2434" s="5" t="s">
        <v>2937</v>
      </c>
      <c r="F2434" s="3" t="s">
        <v>2938</v>
      </c>
      <c r="G2434" s="3" t="s">
        <v>21</v>
      </c>
      <c r="H2434" s="2" t="s">
        <v>22</v>
      </c>
      <c r="I2434" s="2" t="s">
        <v>5743</v>
      </c>
      <c r="J2434" s="3" t="str">
        <f>HYPERLINK("https://www.boe.es/gazeta/dias/1834/06/25/pdfs/GMD-1834-128.pdf#page=3","Abrir facsímil")</f>
        <v>Abrir facsímil</v>
      </c>
      <c r="K2434" s="3" t="s">
        <v>24</v>
      </c>
    </row>
    <row r="2435" spans="1:11" ht="54" customHeight="1">
      <c r="A2435" s="2" t="s">
        <v>5744</v>
      </c>
      <c r="B2435" s="2" t="s">
        <v>5744</v>
      </c>
      <c r="C2435" s="2" t="s">
        <v>66</v>
      </c>
      <c r="D2435" s="2" t="s">
        <v>67</v>
      </c>
      <c r="E2435" s="5" t="s">
        <v>3057</v>
      </c>
      <c r="F2435" s="3" t="s">
        <v>3058</v>
      </c>
      <c r="G2435" s="3" t="s">
        <v>86</v>
      </c>
      <c r="H2435" s="2" t="s">
        <v>22</v>
      </c>
      <c r="I2435" s="2" t="s">
        <v>5745</v>
      </c>
      <c r="J2435" s="3" t="str">
        <f>HYPERLINK("https://www.boe.es/gazeta/dias/1834/06/14/pdfs/GMD-1834-117.pdf#page=2","Abrir facsímil")</f>
        <v>Abrir facsímil</v>
      </c>
      <c r="K2435" s="3" t="s">
        <v>24</v>
      </c>
    </row>
    <row r="2436" spans="1:11" ht="54" customHeight="1">
      <c r="A2436" s="2" t="s">
        <v>5746</v>
      </c>
      <c r="B2436" s="2" t="s">
        <v>5746</v>
      </c>
      <c r="C2436" s="2" t="s">
        <v>46</v>
      </c>
      <c r="D2436" s="2" t="s">
        <v>101</v>
      </c>
      <c r="E2436" s="5" t="s">
        <v>61</v>
      </c>
      <c r="F2436" s="3" t="s">
        <v>205</v>
      </c>
      <c r="G2436" s="3" t="s">
        <v>86</v>
      </c>
      <c r="H2436" s="2" t="s">
        <v>22</v>
      </c>
      <c r="I2436" s="2" t="s">
        <v>5747</v>
      </c>
      <c r="J2436" s="3" t="str">
        <f>HYPERLINK("https://www.boe.es/gazeta/dias/1834/06/08/pdfs/GMD-1834-110.pdf#page=2","Abrir facsímil")</f>
        <v>Abrir facsímil</v>
      </c>
      <c r="K2436" s="3" t="s">
        <v>24</v>
      </c>
    </row>
    <row r="2437" spans="1:11" ht="54" customHeight="1">
      <c r="A2437" s="2" t="s">
        <v>5748</v>
      </c>
      <c r="B2437" s="2" t="s">
        <v>5748</v>
      </c>
      <c r="C2437" s="2" t="s">
        <v>90</v>
      </c>
      <c r="D2437" s="2" t="s">
        <v>18</v>
      </c>
      <c r="E2437" s="5" t="s">
        <v>479</v>
      </c>
      <c r="F2437" s="3" t="s">
        <v>480</v>
      </c>
      <c r="G2437" s="3" t="s">
        <v>86</v>
      </c>
      <c r="H2437" s="2" t="s">
        <v>22</v>
      </c>
      <c r="I2437" s="2" t="s">
        <v>5749</v>
      </c>
      <c r="J2437" s="3" t="str">
        <f>HYPERLINK("https://www.boe.es/gazeta/dias/1834/08/13/pdfs/GMD-1834-178.pdf#page=2","Abrir facsímil")</f>
        <v>Abrir facsímil</v>
      </c>
      <c r="K2437" s="3" t="s">
        <v>24</v>
      </c>
    </row>
    <row r="2438" spans="1:11" ht="54" customHeight="1">
      <c r="A2438" s="2" t="s">
        <v>5750</v>
      </c>
      <c r="B2438" s="2" t="s">
        <v>5750</v>
      </c>
      <c r="C2438" s="2" t="s">
        <v>46</v>
      </c>
      <c r="D2438" s="2" t="s">
        <v>101</v>
      </c>
      <c r="E2438" s="5" t="s">
        <v>571</v>
      </c>
      <c r="F2438" s="3" t="s">
        <v>620</v>
      </c>
      <c r="G2438" s="3" t="s">
        <v>176</v>
      </c>
      <c r="H2438" s="2" t="s">
        <v>22</v>
      </c>
      <c r="I2438" s="2" t="s">
        <v>5751</v>
      </c>
      <c r="J2438" s="3" t="str">
        <f>HYPERLINK("https://www.boe.es/gazeta/dias/1834/09/04/pdfs/GMD-C-1834-202.pdf#page=6","Abrir facsímil")</f>
        <v>Abrir facsímil</v>
      </c>
      <c r="K2438" s="3" t="s">
        <v>24</v>
      </c>
    </row>
    <row r="2439" spans="1:11" ht="54" customHeight="1">
      <c r="A2439" s="2" t="s">
        <v>5752</v>
      </c>
      <c r="B2439" s="2" t="s">
        <v>5752</v>
      </c>
      <c r="C2439" s="2" t="s">
        <v>17</v>
      </c>
      <c r="D2439" s="2" t="s">
        <v>18</v>
      </c>
      <c r="E2439" s="5" t="s">
        <v>1459</v>
      </c>
      <c r="F2439" s="3" t="s">
        <v>1460</v>
      </c>
      <c r="G2439" s="3" t="s">
        <v>34</v>
      </c>
      <c r="H2439" s="2" t="s">
        <v>22</v>
      </c>
      <c r="I2439" s="2" t="s">
        <v>5753</v>
      </c>
      <c r="J2439" s="3" t="str">
        <f>HYPERLINK("https://www.boe.es/gazeta/dias/1834/08/18/pdfs/GMD-1834-184.pdf#page=1","Abrir facsímil")</f>
        <v>Abrir facsímil</v>
      </c>
      <c r="K2439" s="3" t="s">
        <v>24</v>
      </c>
    </row>
    <row r="2440" spans="1:11" ht="54" customHeight="1">
      <c r="A2440" s="2" t="s">
        <v>5754</v>
      </c>
      <c r="B2440" s="2" t="s">
        <v>5754</v>
      </c>
      <c r="C2440" s="2" t="s">
        <v>66</v>
      </c>
      <c r="D2440" s="2" t="s">
        <v>67</v>
      </c>
      <c r="E2440" s="5" t="s">
        <v>939</v>
      </c>
      <c r="F2440" s="3" t="s">
        <v>940</v>
      </c>
      <c r="G2440" s="3" t="s">
        <v>75</v>
      </c>
      <c r="H2440" s="2" t="s">
        <v>22</v>
      </c>
      <c r="I2440" s="2" t="s">
        <v>5755</v>
      </c>
      <c r="J2440" s="3" t="str">
        <f>HYPERLINK("https://www.boe.es/gazeta/dias/1834/06/10/pdfs/GMD-1834-113.pdf#page=4","Abrir facsímil")</f>
        <v>Abrir facsímil</v>
      </c>
      <c r="K2440" s="3" t="s">
        <v>24</v>
      </c>
    </row>
    <row r="2441" spans="1:11" ht="54" customHeight="1">
      <c r="A2441" s="2" t="s">
        <v>5756</v>
      </c>
      <c r="B2441" s="2" t="s">
        <v>5756</v>
      </c>
      <c r="C2441" s="2" t="s">
        <v>17</v>
      </c>
      <c r="D2441" s="2" t="s">
        <v>18</v>
      </c>
      <c r="E2441" s="5" t="s">
        <v>255</v>
      </c>
      <c r="F2441" s="3" t="s">
        <v>256</v>
      </c>
      <c r="G2441" s="3" t="s">
        <v>34</v>
      </c>
      <c r="H2441" s="2" t="s">
        <v>22</v>
      </c>
      <c r="I2441" s="2" t="s">
        <v>5757</v>
      </c>
      <c r="J2441" s="3" t="str">
        <f>HYPERLINK("https://www.boe.es/gazeta/dias/1834/09/01/pdfs/GMD-C-1834-199.pdf#page=1","Abrir facsímil")</f>
        <v>Abrir facsímil</v>
      </c>
      <c r="K2441" s="3" t="s">
        <v>24</v>
      </c>
    </row>
    <row r="2442" spans="1:11" ht="54" customHeight="1">
      <c r="A2442" s="2" t="s">
        <v>5758</v>
      </c>
      <c r="B2442" s="2" t="s">
        <v>5758</v>
      </c>
      <c r="C2442" s="2" t="s">
        <v>46</v>
      </c>
      <c r="D2442" s="2" t="s">
        <v>101</v>
      </c>
      <c r="E2442" s="5" t="s">
        <v>255</v>
      </c>
      <c r="F2442" s="3" t="s">
        <v>256</v>
      </c>
      <c r="G2442" s="3" t="s">
        <v>86</v>
      </c>
      <c r="H2442" s="2" t="s">
        <v>22</v>
      </c>
      <c r="I2442" s="2" t="s">
        <v>5759</v>
      </c>
      <c r="J2442" s="3" t="str">
        <f>HYPERLINK("https://www.boe.es/gazeta/dias/1834/09/01/pdfs/GMD-C-1834-199.pdf#page=2","Abrir facsímil")</f>
        <v>Abrir facsímil</v>
      </c>
      <c r="K2442" s="3" t="s">
        <v>24</v>
      </c>
    </row>
    <row r="2443" spans="1:11" ht="54" customHeight="1">
      <c r="A2443" s="2" t="s">
        <v>5756</v>
      </c>
      <c r="B2443" s="2" t="s">
        <v>5756</v>
      </c>
      <c r="C2443" s="2" t="s">
        <v>17</v>
      </c>
      <c r="D2443" s="2" t="s">
        <v>55</v>
      </c>
      <c r="E2443" s="5" t="s">
        <v>2053</v>
      </c>
      <c r="F2443" s="3" t="s">
        <v>2054</v>
      </c>
      <c r="G2443" s="3" t="s">
        <v>86</v>
      </c>
      <c r="H2443" s="2" t="s">
        <v>22</v>
      </c>
      <c r="I2443" s="2" t="s">
        <v>5760</v>
      </c>
      <c r="J2443" s="3" t="str">
        <f>HYPERLINK("https://www.boe.es/gazeta/dias/1834/06/02/pdfs/GMD-1834-103.pdf#page=2","Abrir facsímil")</f>
        <v>Abrir facsímil</v>
      </c>
      <c r="K2443" s="3" t="s">
        <v>24</v>
      </c>
    </row>
    <row r="2444" spans="1:11" ht="54" customHeight="1">
      <c r="A2444" s="2" t="s">
        <v>5758</v>
      </c>
      <c r="B2444" s="2" t="s">
        <v>5758</v>
      </c>
      <c r="C2444" s="2" t="s">
        <v>90</v>
      </c>
      <c r="D2444" s="2" t="s">
        <v>67</v>
      </c>
      <c r="E2444" s="5" t="s">
        <v>2053</v>
      </c>
      <c r="F2444" s="3" t="s">
        <v>2912</v>
      </c>
      <c r="G2444" s="3" t="s">
        <v>34</v>
      </c>
      <c r="H2444" s="2" t="s">
        <v>22</v>
      </c>
      <c r="I2444" s="2" t="s">
        <v>5761</v>
      </c>
      <c r="J2444" s="3" t="str">
        <f>HYPERLINK("https://www.boe.es/gazeta/dias/1834/06/02/pdfs/GMD-1834-104E.pdf#page=1","Abrir facsímil")</f>
        <v>Abrir facsímil</v>
      </c>
      <c r="K2444" s="3" t="s">
        <v>24</v>
      </c>
    </row>
    <row r="2445" spans="1:11" ht="54" customHeight="1">
      <c r="A2445" s="2" t="s">
        <v>5756</v>
      </c>
      <c r="B2445" s="2" t="s">
        <v>5756</v>
      </c>
      <c r="C2445" s="2" t="s">
        <v>46</v>
      </c>
      <c r="D2445" s="2" t="s">
        <v>18</v>
      </c>
      <c r="E2445" s="5" t="s">
        <v>2729</v>
      </c>
      <c r="F2445" s="3" t="s">
        <v>2730</v>
      </c>
      <c r="G2445" s="3" t="s">
        <v>86</v>
      </c>
      <c r="H2445" s="2" t="s">
        <v>22</v>
      </c>
      <c r="I2445" s="2" t="s">
        <v>5762</v>
      </c>
      <c r="J2445" s="3" t="str">
        <f>HYPERLINK("https://www.boe.es/gazeta/dias/1834/07/02/pdfs/GMD-1834-135.pdf#page=2","Abrir facsímil")</f>
        <v>Abrir facsímil</v>
      </c>
      <c r="K2445" s="3" t="s">
        <v>24</v>
      </c>
    </row>
    <row r="2446" spans="1:11" ht="54" customHeight="1">
      <c r="A2446" s="2" t="s">
        <v>5756</v>
      </c>
      <c r="B2446" s="2" t="s">
        <v>5756</v>
      </c>
      <c r="C2446" s="2" t="s">
        <v>46</v>
      </c>
      <c r="D2446" s="2" t="s">
        <v>18</v>
      </c>
      <c r="E2446" s="5" t="s">
        <v>1653</v>
      </c>
      <c r="F2446" s="3" t="s">
        <v>1654</v>
      </c>
      <c r="G2446" s="3" t="s">
        <v>86</v>
      </c>
      <c r="H2446" s="2" t="s">
        <v>22</v>
      </c>
      <c r="I2446" s="2" t="s">
        <v>5763</v>
      </c>
      <c r="J2446" s="3" t="str">
        <f>HYPERLINK("https://www.boe.es/gazeta/dias/1834/07/03/pdfs/GMD-1834-136.pdf#page=2","Abrir facsímil")</f>
        <v>Abrir facsímil</v>
      </c>
      <c r="K2446" s="3" t="s">
        <v>24</v>
      </c>
    </row>
    <row r="2447" spans="1:11" ht="54" customHeight="1">
      <c r="A2447" s="2" t="s">
        <v>5756</v>
      </c>
      <c r="B2447" s="2" t="s">
        <v>5756</v>
      </c>
      <c r="C2447" s="2" t="s">
        <v>66</v>
      </c>
      <c r="D2447" s="2" t="s">
        <v>67</v>
      </c>
      <c r="E2447" s="5" t="s">
        <v>3066</v>
      </c>
      <c r="F2447" s="3" t="s">
        <v>3067</v>
      </c>
      <c r="G2447" s="3" t="s">
        <v>75</v>
      </c>
      <c r="H2447" s="2" t="s">
        <v>22</v>
      </c>
      <c r="I2447" s="2" t="s">
        <v>5764</v>
      </c>
      <c r="J2447" s="3" t="str">
        <f>HYPERLINK("https://www.boe.es/gazeta/dias/1834/08/03/pdfs/GMD-C-1834-167.pdf#page=4","Abrir facsímil")</f>
        <v>Abrir facsímil</v>
      </c>
      <c r="K2447" s="3" t="s">
        <v>24</v>
      </c>
    </row>
    <row r="2448" spans="1:11" ht="54" customHeight="1">
      <c r="A2448" s="2" t="s">
        <v>5756</v>
      </c>
      <c r="B2448" s="2" t="s">
        <v>5756</v>
      </c>
      <c r="C2448" s="2" t="s">
        <v>122</v>
      </c>
      <c r="D2448" s="2" t="s">
        <v>18</v>
      </c>
      <c r="E2448" s="5" t="s">
        <v>690</v>
      </c>
      <c r="F2448" s="3" t="s">
        <v>5765</v>
      </c>
      <c r="G2448" s="3" t="s">
        <v>34</v>
      </c>
      <c r="H2448" s="2" t="s">
        <v>22</v>
      </c>
      <c r="I2448" s="2" t="s">
        <v>5766</v>
      </c>
      <c r="J2448" s="3" t="str">
        <f>HYPERLINK("https://www.boe.es/gazeta/dias/1834/09/03/pdfs/GMD-1834-201.pdf#page=1","Abrir facsímil")</f>
        <v>Abrir facsímil</v>
      </c>
      <c r="K2448" s="3" t="s">
        <v>24</v>
      </c>
    </row>
    <row r="2449" spans="1:11" ht="54" customHeight="1">
      <c r="A2449" s="2" t="s">
        <v>5758</v>
      </c>
      <c r="B2449" s="2" t="s">
        <v>5758</v>
      </c>
      <c r="C2449" s="2" t="s">
        <v>17</v>
      </c>
      <c r="D2449" s="2" t="s">
        <v>18</v>
      </c>
      <c r="E2449" s="5" t="s">
        <v>690</v>
      </c>
      <c r="F2449" s="3" t="s">
        <v>691</v>
      </c>
      <c r="G2449" s="3" t="s">
        <v>75</v>
      </c>
      <c r="H2449" s="2" t="s">
        <v>22</v>
      </c>
      <c r="I2449" s="2" t="s">
        <v>5767</v>
      </c>
      <c r="J2449" s="3" t="str">
        <f>HYPERLINK("https://www.boe.es/gazeta/dias/1834/09/03/pdfs/GMD-C-1834-201.pdf#page=4","Abrir facsímil")</f>
        <v>Abrir facsímil</v>
      </c>
      <c r="K2449" s="3" t="s">
        <v>24</v>
      </c>
    </row>
    <row r="2450" spans="1:11" ht="54" customHeight="1">
      <c r="A2450" s="2" t="s">
        <v>5758</v>
      </c>
      <c r="B2450" s="2" t="s">
        <v>5758</v>
      </c>
      <c r="C2450" s="2" t="s">
        <v>17</v>
      </c>
      <c r="D2450" s="2" t="s">
        <v>55</v>
      </c>
      <c r="E2450" s="5" t="s">
        <v>1862</v>
      </c>
      <c r="F2450" s="3" t="s">
        <v>1863</v>
      </c>
      <c r="G2450" s="3" t="s">
        <v>21</v>
      </c>
      <c r="H2450" s="2" t="s">
        <v>22</v>
      </c>
      <c r="I2450" s="2" t="s">
        <v>5768</v>
      </c>
      <c r="J2450" s="3" t="str">
        <f>HYPERLINK("https://www.boe.es/gazeta/dias/1834/02/04/pdfs/GMD-1834-16.pdf#page=3","Abrir facsímil")</f>
        <v>Abrir facsímil</v>
      </c>
      <c r="K2450" s="3" t="s">
        <v>24</v>
      </c>
    </row>
    <row r="2451" spans="1:11" ht="54" customHeight="1">
      <c r="A2451" s="2" t="s">
        <v>5756</v>
      </c>
      <c r="B2451" s="2" t="s">
        <v>5756</v>
      </c>
      <c r="C2451" s="2" t="s">
        <v>46</v>
      </c>
      <c r="D2451" s="2" t="s">
        <v>101</v>
      </c>
      <c r="E2451" s="5" t="s">
        <v>2212</v>
      </c>
      <c r="F2451" s="3" t="s">
        <v>2213</v>
      </c>
      <c r="G2451" s="3" t="s">
        <v>21</v>
      </c>
      <c r="H2451" s="2" t="s">
        <v>22</v>
      </c>
      <c r="I2451" s="2" t="s">
        <v>5769</v>
      </c>
      <c r="J2451" s="3" t="str">
        <f>HYPERLINK("https://www.boe.es/gazeta/dias/1834/08/04/pdfs/GMD-C-1834-168.pdf#page=3","Abrir facsímil")</f>
        <v>Abrir facsímil</v>
      </c>
      <c r="K2451" s="3" t="s">
        <v>24</v>
      </c>
    </row>
    <row r="2452" spans="1:11" ht="54" customHeight="1">
      <c r="A2452" s="2" t="s">
        <v>5756</v>
      </c>
      <c r="B2452" s="2" t="s">
        <v>5756</v>
      </c>
      <c r="C2452" s="2" t="s">
        <v>17</v>
      </c>
      <c r="D2452" s="2" t="s">
        <v>18</v>
      </c>
      <c r="E2452" s="5" t="s">
        <v>2212</v>
      </c>
      <c r="F2452" s="3" t="s">
        <v>2213</v>
      </c>
      <c r="G2452" s="3" t="s">
        <v>75</v>
      </c>
      <c r="H2452" s="2" t="s">
        <v>22</v>
      </c>
      <c r="I2452" s="2" t="s">
        <v>5770</v>
      </c>
      <c r="J2452" s="3" t="str">
        <f>HYPERLINK("https://www.boe.es/gazeta/dias/1834/08/04/pdfs/GMD-C-1834-168.pdf#page=4","Abrir facsímil")</f>
        <v>Abrir facsímil</v>
      </c>
      <c r="K2452" s="3" t="s">
        <v>24</v>
      </c>
    </row>
    <row r="2453" spans="1:11" ht="54" customHeight="1">
      <c r="A2453" s="2" t="s">
        <v>5756</v>
      </c>
      <c r="B2453" s="2" t="s">
        <v>5756</v>
      </c>
      <c r="C2453" s="2" t="s">
        <v>17</v>
      </c>
      <c r="D2453" s="2" t="s">
        <v>18</v>
      </c>
      <c r="E2453" s="5" t="s">
        <v>2212</v>
      </c>
      <c r="F2453" s="3" t="s">
        <v>2213</v>
      </c>
      <c r="G2453" s="3" t="s">
        <v>176</v>
      </c>
      <c r="H2453" s="2" t="s">
        <v>22</v>
      </c>
      <c r="I2453" s="2" t="s">
        <v>5771</v>
      </c>
      <c r="J2453" s="3" t="str">
        <f>HYPERLINK("https://www.boe.es/gazeta/dias/1834/08/04/pdfs/GMD-C-1834-168.pdf#page=6","Abrir facsímil")</f>
        <v>Abrir facsímil</v>
      </c>
      <c r="K2453" s="3" t="s">
        <v>24</v>
      </c>
    </row>
    <row r="2454" spans="1:11" ht="54" customHeight="1">
      <c r="A2454" s="2" t="s">
        <v>5756</v>
      </c>
      <c r="B2454" s="2" t="s">
        <v>5756</v>
      </c>
      <c r="C2454" s="2" t="s">
        <v>17</v>
      </c>
      <c r="D2454" s="2" t="s">
        <v>55</v>
      </c>
      <c r="E2454" s="5" t="s">
        <v>571</v>
      </c>
      <c r="F2454" s="3" t="s">
        <v>620</v>
      </c>
      <c r="G2454" s="3" t="s">
        <v>86</v>
      </c>
      <c r="H2454" s="2" t="s">
        <v>22</v>
      </c>
      <c r="I2454" s="2" t="s">
        <v>5772</v>
      </c>
      <c r="J2454" s="3" t="str">
        <f>HYPERLINK("https://www.boe.es/gazeta/dias/1834/09/04/pdfs/GMD-C-1834-202.pdf#page=2","Abrir facsímil")</f>
        <v>Abrir facsímil</v>
      </c>
      <c r="K2454" s="3" t="s">
        <v>24</v>
      </c>
    </row>
    <row r="2455" spans="1:11" ht="54" customHeight="1">
      <c r="A2455" s="2" t="s">
        <v>5756</v>
      </c>
      <c r="B2455" s="2" t="s">
        <v>5756</v>
      </c>
      <c r="C2455" s="2" t="s">
        <v>46</v>
      </c>
      <c r="D2455" s="2" t="s">
        <v>101</v>
      </c>
      <c r="E2455" s="5" t="s">
        <v>571</v>
      </c>
      <c r="F2455" s="3" t="s">
        <v>620</v>
      </c>
      <c r="G2455" s="3" t="s">
        <v>21</v>
      </c>
      <c r="H2455" s="2" t="s">
        <v>22</v>
      </c>
      <c r="I2455" s="2" t="s">
        <v>5773</v>
      </c>
      <c r="J2455" s="3" t="str">
        <f>HYPERLINK("https://www.boe.es/gazeta/dias/1834/09/04/pdfs/GMD-C-1834-202.pdf#page=3","Abrir facsímil")</f>
        <v>Abrir facsímil</v>
      </c>
      <c r="K2455" s="3" t="s">
        <v>24</v>
      </c>
    </row>
    <row r="2456" spans="1:11" ht="54" customHeight="1">
      <c r="A2456" s="2" t="s">
        <v>5758</v>
      </c>
      <c r="B2456" s="2" t="s">
        <v>5758</v>
      </c>
      <c r="C2456" s="2" t="s">
        <v>46</v>
      </c>
      <c r="D2456" s="2" t="s">
        <v>55</v>
      </c>
      <c r="E2456" s="5" t="s">
        <v>571</v>
      </c>
      <c r="F2456" s="3" t="s">
        <v>620</v>
      </c>
      <c r="G2456" s="3" t="s">
        <v>75</v>
      </c>
      <c r="H2456" s="2" t="s">
        <v>22</v>
      </c>
      <c r="I2456" s="2" t="s">
        <v>5774</v>
      </c>
      <c r="J2456" s="3" t="str">
        <f>HYPERLINK("https://www.boe.es/gazeta/dias/1834/09/04/pdfs/GMD-C-1834-202.pdf#page=4","Abrir facsímil")</f>
        <v>Abrir facsímil</v>
      </c>
      <c r="K2456" s="3" t="s">
        <v>24</v>
      </c>
    </row>
    <row r="2457" spans="1:11" ht="54" customHeight="1">
      <c r="A2457" s="2" t="s">
        <v>5758</v>
      </c>
      <c r="B2457" s="2" t="s">
        <v>5758</v>
      </c>
      <c r="C2457" s="2" t="s">
        <v>17</v>
      </c>
      <c r="D2457" s="2" t="s">
        <v>18</v>
      </c>
      <c r="E2457" s="5" t="s">
        <v>571</v>
      </c>
      <c r="F2457" s="3" t="s">
        <v>620</v>
      </c>
      <c r="G2457" s="3" t="s">
        <v>28</v>
      </c>
      <c r="H2457" s="2" t="s">
        <v>22</v>
      </c>
      <c r="I2457" s="2" t="s">
        <v>5775</v>
      </c>
      <c r="J2457" s="3" t="str">
        <f>HYPERLINK("https://www.boe.es/gazeta/dias/1834/09/04/pdfs/GMD-C-1834-202.pdf#page=5","Abrir facsímil")</f>
        <v>Abrir facsímil</v>
      </c>
      <c r="K2457" s="3" t="s">
        <v>24</v>
      </c>
    </row>
    <row r="2458" spans="1:11" ht="54" customHeight="1">
      <c r="A2458" s="2" t="s">
        <v>5756</v>
      </c>
      <c r="B2458" s="2" t="s">
        <v>5756</v>
      </c>
      <c r="C2458" s="2" t="s">
        <v>17</v>
      </c>
      <c r="D2458" s="2" t="s">
        <v>18</v>
      </c>
      <c r="E2458" s="5" t="s">
        <v>571</v>
      </c>
      <c r="F2458" s="3" t="s">
        <v>620</v>
      </c>
      <c r="G2458" s="3" t="s">
        <v>176</v>
      </c>
      <c r="H2458" s="2" t="s">
        <v>22</v>
      </c>
      <c r="I2458" s="2" t="s">
        <v>5776</v>
      </c>
      <c r="J2458" s="3" t="str">
        <f>HYPERLINK("https://www.boe.es/gazeta/dias/1834/09/04/pdfs/GMD-C-1834-202.pdf#page=6","Abrir facsímil")</f>
        <v>Abrir facsímil</v>
      </c>
      <c r="K2458" s="3" t="s">
        <v>24</v>
      </c>
    </row>
    <row r="2459" spans="1:11" ht="54" customHeight="1">
      <c r="A2459" s="2" t="s">
        <v>5758</v>
      </c>
      <c r="B2459" s="2" t="s">
        <v>5758</v>
      </c>
      <c r="C2459" s="2" t="s">
        <v>17</v>
      </c>
      <c r="D2459" s="2" t="s">
        <v>18</v>
      </c>
      <c r="E2459" s="5" t="s">
        <v>571</v>
      </c>
      <c r="F2459" s="3" t="s">
        <v>620</v>
      </c>
      <c r="G2459" s="3" t="s">
        <v>470</v>
      </c>
      <c r="H2459" s="2" t="s">
        <v>22</v>
      </c>
      <c r="I2459" s="2" t="s">
        <v>5777</v>
      </c>
      <c r="J2459" s="3" t="str">
        <f>HYPERLINK("https://www.boe.es/gazeta/dias/1834/09/04/pdfs/GMD-C-1834-202.pdf#page=8","Abrir facsímil")</f>
        <v>Abrir facsímil</v>
      </c>
      <c r="K2459" s="3" t="s">
        <v>24</v>
      </c>
    </row>
    <row r="2460" spans="1:11" ht="54" customHeight="1">
      <c r="A2460" s="2" t="s">
        <v>5756</v>
      </c>
      <c r="B2460" s="2" t="s">
        <v>5756</v>
      </c>
      <c r="C2460" s="2" t="s">
        <v>17</v>
      </c>
      <c r="D2460" s="2" t="s">
        <v>18</v>
      </c>
      <c r="E2460" s="5" t="s">
        <v>426</v>
      </c>
      <c r="F2460" s="3" t="s">
        <v>427</v>
      </c>
      <c r="G2460" s="3" t="s">
        <v>75</v>
      </c>
      <c r="H2460" s="2" t="s">
        <v>22</v>
      </c>
      <c r="I2460" s="2" t="s">
        <v>5778</v>
      </c>
      <c r="J2460" s="3" t="str">
        <f>HYPERLINK("https://www.boe.es/gazeta/dias/1834/10/04/pdfs/GMD-1834-232.pdf#page=4","Abrir facsímil")</f>
        <v>Abrir facsímil</v>
      </c>
      <c r="K2460" s="3" t="s">
        <v>24</v>
      </c>
    </row>
    <row r="2461" spans="1:11" ht="54" customHeight="1">
      <c r="A2461" s="2" t="s">
        <v>5758</v>
      </c>
      <c r="B2461" s="2" t="s">
        <v>5758</v>
      </c>
      <c r="C2461" s="2" t="s">
        <v>90</v>
      </c>
      <c r="D2461" s="2" t="s">
        <v>40</v>
      </c>
      <c r="E2461" s="5" t="s">
        <v>426</v>
      </c>
      <c r="F2461" s="3" t="s">
        <v>694</v>
      </c>
      <c r="G2461" s="3" t="s">
        <v>176</v>
      </c>
      <c r="H2461" s="2" t="s">
        <v>22</v>
      </c>
      <c r="I2461" s="2" t="s">
        <v>5779</v>
      </c>
      <c r="J2461" s="3" t="str">
        <f>HYPERLINK("https://www.boe.es/gazeta/dias/1834/10/04/pdfs/GMD-C-1834-232.pdf#page=6","Abrir facsímil")</f>
        <v>Abrir facsímil</v>
      </c>
      <c r="K2461" s="3" t="s">
        <v>24</v>
      </c>
    </row>
    <row r="2462" spans="1:11" ht="54" customHeight="1">
      <c r="A2462" s="2" t="s">
        <v>5756</v>
      </c>
      <c r="B2462" s="2" t="s">
        <v>5756</v>
      </c>
      <c r="C2462" s="2" t="s">
        <v>17</v>
      </c>
      <c r="D2462" s="2" t="s">
        <v>18</v>
      </c>
      <c r="E2462" s="5" t="s">
        <v>73</v>
      </c>
      <c r="F2462" s="3" t="s">
        <v>1416</v>
      </c>
      <c r="G2462" s="3" t="s">
        <v>86</v>
      </c>
      <c r="H2462" s="2" t="s">
        <v>22</v>
      </c>
      <c r="I2462" s="2" t="s">
        <v>5780</v>
      </c>
      <c r="J2462" s="3" t="str">
        <f>HYPERLINK("https://www.boe.es/gazeta/dias/1834/11/04/pdfs/GMD-C-1834-263.pdf#page=2","Abrir facsímil")</f>
        <v>Abrir facsímil</v>
      </c>
      <c r="K2462" s="3" t="s">
        <v>24</v>
      </c>
    </row>
    <row r="2463" spans="1:11" ht="54" customHeight="1">
      <c r="A2463" s="2" t="s">
        <v>5756</v>
      </c>
      <c r="B2463" s="2" t="s">
        <v>5756</v>
      </c>
      <c r="C2463" s="2" t="s">
        <v>17</v>
      </c>
      <c r="D2463" s="2" t="s">
        <v>18</v>
      </c>
      <c r="E2463" s="5" t="s">
        <v>243</v>
      </c>
      <c r="F2463" s="3" t="s">
        <v>244</v>
      </c>
      <c r="G2463" s="3" t="s">
        <v>34</v>
      </c>
      <c r="H2463" s="2" t="s">
        <v>22</v>
      </c>
      <c r="I2463" s="2" t="s">
        <v>5781</v>
      </c>
      <c r="J2463" s="3" t="str">
        <f>HYPERLINK("https://www.boe.es/gazeta/dias/1834/08/05/pdfs/GMD-C-1834-169.pdf#page=1","Abrir facsímil")</f>
        <v>Abrir facsímil</v>
      </c>
      <c r="K2463" s="3" t="s">
        <v>24</v>
      </c>
    </row>
    <row r="2464" spans="1:11" ht="54" customHeight="1">
      <c r="A2464" s="2" t="s">
        <v>5756</v>
      </c>
      <c r="B2464" s="2" t="s">
        <v>5756</v>
      </c>
      <c r="C2464" s="2" t="s">
        <v>17</v>
      </c>
      <c r="D2464" s="2" t="s">
        <v>18</v>
      </c>
      <c r="E2464" s="5" t="s">
        <v>47</v>
      </c>
      <c r="F2464" s="3" t="s">
        <v>48</v>
      </c>
      <c r="G2464" s="3" t="s">
        <v>75</v>
      </c>
      <c r="H2464" s="2" t="s">
        <v>22</v>
      </c>
      <c r="I2464" s="2" t="s">
        <v>5782</v>
      </c>
      <c r="J2464" s="3" t="str">
        <f>HYPERLINK("https://www.boe.es/gazeta/dias/1834/09/05/pdfs/GMD-C-1834-203.pdf#page=4","Abrir facsímil")</f>
        <v>Abrir facsímil</v>
      </c>
      <c r="K2464" s="3" t="s">
        <v>24</v>
      </c>
    </row>
    <row r="2465" spans="1:11" ht="54" customHeight="1">
      <c r="A2465" s="2" t="s">
        <v>5756</v>
      </c>
      <c r="B2465" s="2" t="s">
        <v>5756</v>
      </c>
      <c r="C2465" s="2" t="s">
        <v>17</v>
      </c>
      <c r="D2465" s="2" t="s">
        <v>101</v>
      </c>
      <c r="E2465" s="5" t="s">
        <v>47</v>
      </c>
      <c r="F2465" s="3" t="s">
        <v>48</v>
      </c>
      <c r="G2465" s="3" t="s">
        <v>28</v>
      </c>
      <c r="H2465" s="2" t="s">
        <v>22</v>
      </c>
      <c r="I2465" s="2" t="s">
        <v>5783</v>
      </c>
      <c r="J2465" s="3" t="str">
        <f>HYPERLINK("https://www.boe.es/gazeta/dias/1834/09/05/pdfs/GMD-C-1834-203.pdf#page=5","Abrir facsímil")</f>
        <v>Abrir facsímil</v>
      </c>
      <c r="K2465" s="3" t="s">
        <v>24</v>
      </c>
    </row>
    <row r="2466" spans="1:11" ht="54" customHeight="1">
      <c r="A2466" s="2" t="s">
        <v>5756</v>
      </c>
      <c r="B2466" s="2" t="s">
        <v>5756</v>
      </c>
      <c r="C2466" s="2" t="s">
        <v>46</v>
      </c>
      <c r="D2466" s="2" t="s">
        <v>18</v>
      </c>
      <c r="E2466" s="5" t="s">
        <v>364</v>
      </c>
      <c r="F2466" s="3" t="s">
        <v>2102</v>
      </c>
      <c r="G2466" s="3" t="s">
        <v>21</v>
      </c>
      <c r="H2466" s="2" t="s">
        <v>22</v>
      </c>
      <c r="I2466" s="2" t="s">
        <v>5784</v>
      </c>
      <c r="J2466" s="3" t="str">
        <f>HYPERLINK("https://www.boe.es/gazeta/dias/1834/09/06/pdfs/GMD-1834-204.pdf#page=3","Abrir facsímil")</f>
        <v>Abrir facsímil</v>
      </c>
      <c r="K2466" s="3" t="s">
        <v>24</v>
      </c>
    </row>
    <row r="2467" spans="1:11" ht="54" customHeight="1">
      <c r="A2467" s="2" t="s">
        <v>5756</v>
      </c>
      <c r="B2467" s="2" t="s">
        <v>5756</v>
      </c>
      <c r="C2467" s="2" t="s">
        <v>90</v>
      </c>
      <c r="D2467" s="2" t="s">
        <v>18</v>
      </c>
      <c r="E2467" s="5" t="s">
        <v>364</v>
      </c>
      <c r="F2467" s="3" t="s">
        <v>365</v>
      </c>
      <c r="G2467" s="3" t="s">
        <v>470</v>
      </c>
      <c r="H2467" s="2" t="s">
        <v>22</v>
      </c>
      <c r="I2467" s="2" t="s">
        <v>5785</v>
      </c>
      <c r="J2467" s="3" t="str">
        <f>HYPERLINK("https://www.boe.es/gazeta/dias/1834/09/06/pdfs/GMD-C-1834-204.pdf#page=8","Abrir facsímil")</f>
        <v>Abrir facsímil</v>
      </c>
      <c r="K2467" s="3" t="s">
        <v>24</v>
      </c>
    </row>
    <row r="2468" spans="1:11" ht="54" customHeight="1">
      <c r="A2468" s="2" t="s">
        <v>5756</v>
      </c>
      <c r="B2468" s="2" t="s">
        <v>5756</v>
      </c>
      <c r="C2468" s="2" t="s">
        <v>17</v>
      </c>
      <c r="D2468" s="2" t="s">
        <v>18</v>
      </c>
      <c r="E2468" s="5" t="s">
        <v>696</v>
      </c>
      <c r="F2468" s="3" t="s">
        <v>854</v>
      </c>
      <c r="G2468" s="3" t="s">
        <v>34</v>
      </c>
      <c r="H2468" s="2" t="s">
        <v>22</v>
      </c>
      <c r="I2468" s="2" t="s">
        <v>5786</v>
      </c>
      <c r="J2468" s="3" t="str">
        <f>HYPERLINK("https://www.boe.es/gazeta/dias/1834/12/06/pdfs/GMD-1834-295.pdf#page=1","Abrir facsímil")</f>
        <v>Abrir facsímil</v>
      </c>
      <c r="K2468" s="3" t="s">
        <v>24</v>
      </c>
    </row>
    <row r="2469" spans="1:11" ht="54" customHeight="1">
      <c r="A2469" s="2" t="s">
        <v>5756</v>
      </c>
      <c r="B2469" s="2" t="s">
        <v>5756</v>
      </c>
      <c r="C2469" s="2" t="s">
        <v>17</v>
      </c>
      <c r="D2469" s="2" t="s">
        <v>18</v>
      </c>
      <c r="E2469" s="5" t="s">
        <v>696</v>
      </c>
      <c r="F2469" s="3" t="s">
        <v>854</v>
      </c>
      <c r="G2469" s="3" t="s">
        <v>21</v>
      </c>
      <c r="H2469" s="2" t="s">
        <v>22</v>
      </c>
      <c r="I2469" s="2" t="s">
        <v>5787</v>
      </c>
      <c r="J2469" s="3" t="str">
        <f>HYPERLINK("https://www.boe.es/gazeta/dias/1834/12/06/pdfs/GMD-1834-295.pdf#page=3","Abrir facsímil")</f>
        <v>Abrir facsímil</v>
      </c>
      <c r="K2469" s="3" t="s">
        <v>24</v>
      </c>
    </row>
    <row r="2470" spans="1:11" ht="54" customHeight="1">
      <c r="A2470" s="2" t="s">
        <v>5756</v>
      </c>
      <c r="B2470" s="2" t="s">
        <v>5756</v>
      </c>
      <c r="C2470" s="2" t="s">
        <v>857</v>
      </c>
      <c r="D2470" s="2" t="s">
        <v>101</v>
      </c>
      <c r="E2470" s="5" t="s">
        <v>1170</v>
      </c>
      <c r="F2470" s="3" t="s">
        <v>1171</v>
      </c>
      <c r="G2470" s="3" t="s">
        <v>28</v>
      </c>
      <c r="H2470" s="2" t="s">
        <v>22</v>
      </c>
      <c r="I2470" s="2" t="s">
        <v>5788</v>
      </c>
      <c r="J2470" s="3" t="str">
        <f>HYPERLINK("https://www.boe.es/gazeta/dias/1834/01/07/pdfs/GMD-1834-4.pdf#page=5","Abrir facsímil")</f>
        <v>Abrir facsímil</v>
      </c>
      <c r="K2470" s="3" t="s">
        <v>24</v>
      </c>
    </row>
    <row r="2471" spans="1:11" ht="54" customHeight="1">
      <c r="A2471" s="2" t="s">
        <v>5756</v>
      </c>
      <c r="B2471" s="2" t="s">
        <v>5756</v>
      </c>
      <c r="C2471" s="2" t="s">
        <v>122</v>
      </c>
      <c r="D2471" s="2" t="s">
        <v>101</v>
      </c>
      <c r="E2471" s="5" t="s">
        <v>433</v>
      </c>
      <c r="F2471" s="3" t="s">
        <v>2773</v>
      </c>
      <c r="G2471" s="3" t="s">
        <v>34</v>
      </c>
      <c r="H2471" s="2" t="s">
        <v>22</v>
      </c>
      <c r="I2471" s="2" t="s">
        <v>5789</v>
      </c>
      <c r="J2471" s="3" t="str">
        <f>HYPERLINK("https://www.boe.es/gazeta/dias/1834/10/07/pdfs/I00986-00987.pdf#page=1","Abrir facsímil")</f>
        <v>Abrir facsímil</v>
      </c>
      <c r="K2471" s="3" t="s">
        <v>24</v>
      </c>
    </row>
    <row r="2472" spans="1:11" ht="54" customHeight="1">
      <c r="A2472" s="2" t="s">
        <v>5756</v>
      </c>
      <c r="B2472" s="2" t="s">
        <v>5756</v>
      </c>
      <c r="C2472" s="2" t="s">
        <v>122</v>
      </c>
      <c r="D2472" s="2" t="s">
        <v>101</v>
      </c>
      <c r="E2472" s="5" t="s">
        <v>433</v>
      </c>
      <c r="F2472" s="3" t="s">
        <v>2773</v>
      </c>
      <c r="G2472" s="3" t="s">
        <v>86</v>
      </c>
      <c r="H2472" s="2" t="s">
        <v>22</v>
      </c>
      <c r="I2472" s="2" t="s">
        <v>5789</v>
      </c>
      <c r="J2472" s="3" t="str">
        <f>HYPERLINK("https://www.boe.es/gazeta/dias/1834/10/07/pdfs/GMD-1834-235.pdf#page=2","Abrir facsímil")</f>
        <v>Abrir facsímil</v>
      </c>
      <c r="K2472" s="3" t="s">
        <v>24</v>
      </c>
    </row>
    <row r="2473" spans="1:11" ht="54" customHeight="1">
      <c r="A2473" s="2" t="s">
        <v>5756</v>
      </c>
      <c r="B2473" s="2" t="s">
        <v>5756</v>
      </c>
      <c r="C2473" s="2" t="s">
        <v>17</v>
      </c>
      <c r="D2473" s="2" t="s">
        <v>40</v>
      </c>
      <c r="E2473" s="5" t="s">
        <v>433</v>
      </c>
      <c r="F2473" s="3" t="s">
        <v>434</v>
      </c>
      <c r="G2473" s="3" t="s">
        <v>34</v>
      </c>
      <c r="H2473" s="2" t="s">
        <v>22</v>
      </c>
      <c r="I2473" s="2" t="s">
        <v>5790</v>
      </c>
      <c r="J2473" s="3" t="str">
        <f>HYPERLINK("https://www.boe.es/gazeta/dias/1834/10/07/pdfs/GMD-C-1834-235.pdf#page=1","Abrir facsímil")</f>
        <v>Abrir facsímil</v>
      </c>
      <c r="K2473" s="3" t="s">
        <v>24</v>
      </c>
    </row>
    <row r="2474" spans="1:11" ht="54" customHeight="1">
      <c r="A2474" s="2" t="s">
        <v>5756</v>
      </c>
      <c r="B2474" s="2" t="s">
        <v>5756</v>
      </c>
      <c r="C2474" s="2" t="s">
        <v>17</v>
      </c>
      <c r="D2474" s="2" t="s">
        <v>18</v>
      </c>
      <c r="E2474" s="5" t="s">
        <v>433</v>
      </c>
      <c r="F2474" s="3" t="s">
        <v>434</v>
      </c>
      <c r="G2474" s="3" t="s">
        <v>86</v>
      </c>
      <c r="H2474" s="2" t="s">
        <v>22</v>
      </c>
      <c r="I2474" s="2" t="s">
        <v>5791</v>
      </c>
      <c r="J2474" s="3" t="str">
        <f>HYPERLINK("https://www.boe.es/gazeta/dias/1834/10/07/pdfs/GMD-C-1834-235.pdf#page=2","Abrir facsímil")</f>
        <v>Abrir facsímil</v>
      </c>
      <c r="K2474" s="3" t="s">
        <v>24</v>
      </c>
    </row>
    <row r="2475" spans="1:11" ht="54" customHeight="1">
      <c r="A2475" s="2" t="s">
        <v>5756</v>
      </c>
      <c r="B2475" s="2" t="s">
        <v>5756</v>
      </c>
      <c r="C2475" s="2" t="s">
        <v>17</v>
      </c>
      <c r="D2475" s="2" t="s">
        <v>18</v>
      </c>
      <c r="E2475" s="5" t="s">
        <v>433</v>
      </c>
      <c r="F2475" s="3" t="s">
        <v>434</v>
      </c>
      <c r="G2475" s="3" t="s">
        <v>21</v>
      </c>
      <c r="H2475" s="2" t="s">
        <v>22</v>
      </c>
      <c r="I2475" s="2" t="s">
        <v>5792</v>
      </c>
      <c r="J2475" s="3" t="str">
        <f>HYPERLINK("https://www.boe.es/gazeta/dias/1834/10/07/pdfs/GMD-C-1834-235.pdf#page=3","Abrir facsímil")</f>
        <v>Abrir facsímil</v>
      </c>
      <c r="K2475" s="3" t="s">
        <v>24</v>
      </c>
    </row>
    <row r="2476" spans="1:11" ht="54" customHeight="1">
      <c r="A2476" s="2" t="s">
        <v>5756</v>
      </c>
      <c r="B2476" s="2" t="s">
        <v>5756</v>
      </c>
      <c r="C2476" s="2" t="s">
        <v>17</v>
      </c>
      <c r="D2476" s="2" t="s">
        <v>18</v>
      </c>
      <c r="E2476" s="5" t="s">
        <v>762</v>
      </c>
      <c r="F2476" s="3" t="s">
        <v>2227</v>
      </c>
      <c r="G2476" s="3" t="s">
        <v>86</v>
      </c>
      <c r="H2476" s="2" t="s">
        <v>22</v>
      </c>
      <c r="I2476" s="2" t="s">
        <v>5793</v>
      </c>
      <c r="J2476" s="3" t="str">
        <f>HYPERLINK("https://www.boe.es/gazeta/dias/1834/11/07/pdfs/GMD-C-1834-266.pdf#page=2","Abrir facsímil")</f>
        <v>Abrir facsímil</v>
      </c>
      <c r="K2476" s="3" t="s">
        <v>24</v>
      </c>
    </row>
    <row r="2477" spans="1:11" ht="54" customHeight="1">
      <c r="A2477" s="2" t="s">
        <v>5756</v>
      </c>
      <c r="B2477" s="2" t="s">
        <v>5756</v>
      </c>
      <c r="C2477" s="2" t="s">
        <v>17</v>
      </c>
      <c r="D2477" s="2" t="s">
        <v>55</v>
      </c>
      <c r="E2477" s="5" t="s">
        <v>61</v>
      </c>
      <c r="F2477" s="3" t="s">
        <v>205</v>
      </c>
      <c r="G2477" s="3" t="s">
        <v>86</v>
      </c>
      <c r="H2477" s="2" t="s">
        <v>22</v>
      </c>
      <c r="I2477" s="2" t="s">
        <v>5794</v>
      </c>
      <c r="J2477" s="3" t="str">
        <f>HYPERLINK("https://www.boe.es/gazeta/dias/1834/06/08/pdfs/GMD-1834-110.pdf#page=2","Abrir facsímil")</f>
        <v>Abrir facsímil</v>
      </c>
      <c r="K2477" s="3" t="s">
        <v>24</v>
      </c>
    </row>
    <row r="2478" spans="1:11" ht="54" customHeight="1">
      <c r="A2478" s="2" t="s">
        <v>5756</v>
      </c>
      <c r="B2478" s="2" t="s">
        <v>5756</v>
      </c>
      <c r="C2478" s="2" t="s">
        <v>46</v>
      </c>
      <c r="D2478" s="2" t="s">
        <v>18</v>
      </c>
      <c r="E2478" s="5" t="s">
        <v>61</v>
      </c>
      <c r="F2478" s="3" t="s">
        <v>62</v>
      </c>
      <c r="G2478" s="3" t="s">
        <v>34</v>
      </c>
      <c r="H2478" s="2" t="s">
        <v>22</v>
      </c>
      <c r="I2478" s="2" t="s">
        <v>5795</v>
      </c>
      <c r="J2478" s="3" t="str">
        <f>HYPERLINK("https://www.boe.es/gazeta/dias/1834/06/08/pdfs/GMD-1834-111E.pdf#page=1","Abrir facsímil")</f>
        <v>Abrir facsímil</v>
      </c>
      <c r="K2478" s="3" t="s">
        <v>24</v>
      </c>
    </row>
    <row r="2479" spans="1:11" ht="54" customHeight="1">
      <c r="A2479" s="2" t="s">
        <v>5756</v>
      </c>
      <c r="B2479" s="2" t="s">
        <v>5756</v>
      </c>
      <c r="C2479" s="2" t="s">
        <v>66</v>
      </c>
      <c r="D2479" s="2" t="s">
        <v>67</v>
      </c>
      <c r="E2479" s="5" t="s">
        <v>1265</v>
      </c>
      <c r="F2479" s="3" t="s">
        <v>1266</v>
      </c>
      <c r="G2479" s="3" t="s">
        <v>34</v>
      </c>
      <c r="H2479" s="2" t="s">
        <v>22</v>
      </c>
      <c r="I2479" s="2" t="s">
        <v>5796</v>
      </c>
      <c r="J2479" s="3" t="str">
        <f>HYPERLINK("https://www.boe.es/gazeta/dias/1834/09/08/pdfs/GMD-1834-206.pdf#page=1","Abrir facsímil")</f>
        <v>Abrir facsímil</v>
      </c>
      <c r="K2479" s="3" t="s">
        <v>24</v>
      </c>
    </row>
    <row r="2480" spans="1:11" ht="54" customHeight="1">
      <c r="A2480" s="2" t="s">
        <v>5756</v>
      </c>
      <c r="B2480" s="2" t="s">
        <v>5756</v>
      </c>
      <c r="C2480" s="2" t="s">
        <v>17</v>
      </c>
      <c r="D2480" s="2" t="s">
        <v>18</v>
      </c>
      <c r="E2480" s="5" t="s">
        <v>793</v>
      </c>
      <c r="F2480" s="3" t="s">
        <v>794</v>
      </c>
      <c r="G2480" s="3" t="s">
        <v>21</v>
      </c>
      <c r="H2480" s="2" t="s">
        <v>22</v>
      </c>
      <c r="I2480" s="2" t="s">
        <v>5797</v>
      </c>
      <c r="J2480" s="3" t="str">
        <f>HYPERLINK("https://www.boe.es/gazeta/dias/1834/10/08/pdfs/GMD-1834-236.pdf#page=3","Abrir facsímil")</f>
        <v>Abrir facsímil</v>
      </c>
      <c r="K2480" s="3" t="s">
        <v>24</v>
      </c>
    </row>
    <row r="2481" spans="1:11" ht="54" customHeight="1">
      <c r="A2481" s="2" t="s">
        <v>5758</v>
      </c>
      <c r="B2481" s="2" t="s">
        <v>5758</v>
      </c>
      <c r="C2481" s="2" t="s">
        <v>17</v>
      </c>
      <c r="D2481" s="2" t="s">
        <v>18</v>
      </c>
      <c r="E2481" s="5" t="s">
        <v>793</v>
      </c>
      <c r="F2481" s="3" t="s">
        <v>1895</v>
      </c>
      <c r="G2481" s="3" t="s">
        <v>21</v>
      </c>
      <c r="H2481" s="2" t="s">
        <v>22</v>
      </c>
      <c r="I2481" s="2" t="s">
        <v>5798</v>
      </c>
      <c r="J2481" s="3" t="str">
        <f>HYPERLINK("https://www.boe.es/gazeta/dias/1834/10/08/pdfs/GMD-C-1834-236.pdf#page=3","Abrir facsímil")</f>
        <v>Abrir facsímil</v>
      </c>
      <c r="K2481" s="3" t="s">
        <v>24</v>
      </c>
    </row>
    <row r="2482" spans="1:11" ht="54" customHeight="1">
      <c r="A2482" s="2" t="s">
        <v>5756</v>
      </c>
      <c r="B2482" s="2" t="s">
        <v>5756</v>
      </c>
      <c r="C2482" s="2" t="s">
        <v>46</v>
      </c>
      <c r="D2482" s="2" t="s">
        <v>101</v>
      </c>
      <c r="E2482" s="5" t="s">
        <v>793</v>
      </c>
      <c r="F2482" s="3" t="s">
        <v>1895</v>
      </c>
      <c r="G2482" s="3" t="s">
        <v>75</v>
      </c>
      <c r="H2482" s="2" t="s">
        <v>22</v>
      </c>
      <c r="I2482" s="2" t="s">
        <v>5799</v>
      </c>
      <c r="J2482" s="3" t="str">
        <f>HYPERLINK("https://www.boe.es/gazeta/dias/1834/10/08/pdfs/GMD-C-1834-236.pdf#page=4","Abrir facsímil")</f>
        <v>Abrir facsímil</v>
      </c>
      <c r="K2482" s="3" t="s">
        <v>24</v>
      </c>
    </row>
    <row r="2483" spans="1:11" ht="54" customHeight="1">
      <c r="A2483" s="2" t="s">
        <v>5756</v>
      </c>
      <c r="B2483" s="2" t="s">
        <v>5756</v>
      </c>
      <c r="C2483" s="2" t="s">
        <v>66</v>
      </c>
      <c r="D2483" s="2" t="s">
        <v>67</v>
      </c>
      <c r="E2483" s="5" t="s">
        <v>1008</v>
      </c>
      <c r="F2483" s="3" t="s">
        <v>2991</v>
      </c>
      <c r="G2483" s="3" t="s">
        <v>86</v>
      </c>
      <c r="H2483" s="2" t="s">
        <v>22</v>
      </c>
      <c r="I2483" s="2" t="s">
        <v>5800</v>
      </c>
      <c r="J2483" s="3" t="str">
        <f>HYPERLINK("https://www.boe.es/gazeta/dias/1834/11/08/pdfs/GMD-1834-267.pdf#page=2","Abrir facsímil")</f>
        <v>Abrir facsímil</v>
      </c>
      <c r="K2483" s="3" t="s">
        <v>24</v>
      </c>
    </row>
    <row r="2484" spans="1:11" ht="54" customHeight="1">
      <c r="A2484" s="2" t="s">
        <v>5758</v>
      </c>
      <c r="B2484" s="2" t="s">
        <v>5758</v>
      </c>
      <c r="C2484" s="2" t="s">
        <v>17</v>
      </c>
      <c r="D2484" s="2" t="s">
        <v>18</v>
      </c>
      <c r="E2484" s="5" t="s">
        <v>1008</v>
      </c>
      <c r="F2484" s="3" t="s">
        <v>1009</v>
      </c>
      <c r="G2484" s="3" t="s">
        <v>75</v>
      </c>
      <c r="H2484" s="2" t="s">
        <v>22</v>
      </c>
      <c r="I2484" s="2" t="s">
        <v>5801</v>
      </c>
      <c r="J2484" s="3" t="str">
        <f>HYPERLINK("https://www.boe.es/gazeta/dias/1834/11/08/pdfs/GMD-C-1834-267.pdf#page=4","Abrir facsímil")</f>
        <v>Abrir facsímil</v>
      </c>
      <c r="K2484" s="3" t="s">
        <v>24</v>
      </c>
    </row>
    <row r="2485" spans="1:11" ht="54" customHeight="1">
      <c r="A2485" s="2" t="s">
        <v>5756</v>
      </c>
      <c r="B2485" s="2" t="s">
        <v>5756</v>
      </c>
      <c r="C2485" s="2" t="s">
        <v>46</v>
      </c>
      <c r="D2485" s="2" t="s">
        <v>18</v>
      </c>
      <c r="E2485" s="5" t="s">
        <v>163</v>
      </c>
      <c r="F2485" s="3" t="s">
        <v>164</v>
      </c>
      <c r="G2485" s="3" t="s">
        <v>86</v>
      </c>
      <c r="H2485" s="2" t="s">
        <v>22</v>
      </c>
      <c r="I2485" s="2" t="s">
        <v>5802</v>
      </c>
      <c r="J2485" s="3" t="str">
        <f>HYPERLINK("https://www.boe.es/gazeta/dias/1834/08/09/pdfs/GMD-1834-174.pdf#page=2","Abrir facsímil")</f>
        <v>Abrir facsímil</v>
      </c>
      <c r="K2485" s="3" t="s">
        <v>24</v>
      </c>
    </row>
    <row r="2486" spans="1:11" ht="54" customHeight="1">
      <c r="A2486" s="2" t="s">
        <v>5756</v>
      </c>
      <c r="B2486" s="2" t="s">
        <v>5756</v>
      </c>
      <c r="C2486" s="2" t="s">
        <v>46</v>
      </c>
      <c r="D2486" s="2" t="s">
        <v>101</v>
      </c>
      <c r="E2486" s="5" t="s">
        <v>258</v>
      </c>
      <c r="F2486" s="3" t="s">
        <v>259</v>
      </c>
      <c r="G2486" s="3" t="s">
        <v>34</v>
      </c>
      <c r="H2486" s="2" t="s">
        <v>22</v>
      </c>
      <c r="I2486" s="2" t="s">
        <v>5803</v>
      </c>
      <c r="J2486" s="3" t="str">
        <f>HYPERLINK("https://www.boe.es/gazeta/dias/1834/10/09/pdfs/GMD-C-1834-237.pdf#page=1","Abrir facsímil")</f>
        <v>Abrir facsímil</v>
      </c>
      <c r="K2486" s="3" t="s">
        <v>24</v>
      </c>
    </row>
    <row r="2487" spans="1:11" ht="54" customHeight="1">
      <c r="A2487" s="2" t="s">
        <v>5758</v>
      </c>
      <c r="B2487" s="2" t="s">
        <v>5758</v>
      </c>
      <c r="C2487" s="2" t="s">
        <v>46</v>
      </c>
      <c r="D2487" s="2" t="s">
        <v>101</v>
      </c>
      <c r="E2487" s="5" t="s">
        <v>258</v>
      </c>
      <c r="F2487" s="3" t="s">
        <v>259</v>
      </c>
      <c r="G2487" s="3" t="s">
        <v>86</v>
      </c>
      <c r="H2487" s="2" t="s">
        <v>22</v>
      </c>
      <c r="I2487" s="2" t="s">
        <v>5804</v>
      </c>
      <c r="J2487" s="3" t="str">
        <f>HYPERLINK("https://www.boe.es/gazeta/dias/1834/10/09/pdfs/GMD-C-1834-237.pdf#page=2","Abrir facsímil")</f>
        <v>Abrir facsímil</v>
      </c>
      <c r="K2487" s="3" t="s">
        <v>24</v>
      </c>
    </row>
    <row r="2488" spans="1:11" ht="54" customHeight="1">
      <c r="A2488" s="2" t="s">
        <v>5758</v>
      </c>
      <c r="B2488" s="2" t="s">
        <v>5758</v>
      </c>
      <c r="C2488" s="2" t="s">
        <v>17</v>
      </c>
      <c r="D2488" s="2" t="s">
        <v>18</v>
      </c>
      <c r="E2488" s="5" t="s">
        <v>258</v>
      </c>
      <c r="F2488" s="3" t="s">
        <v>259</v>
      </c>
      <c r="G2488" s="3" t="s">
        <v>21</v>
      </c>
      <c r="H2488" s="2" t="s">
        <v>22</v>
      </c>
      <c r="I2488" s="2" t="s">
        <v>5805</v>
      </c>
      <c r="J2488" s="3" t="str">
        <f>HYPERLINK("https://www.boe.es/gazeta/dias/1834/10/09/pdfs/GMD-C-1834-237.pdf#page=3","Abrir facsímil")</f>
        <v>Abrir facsímil</v>
      </c>
      <c r="K2488" s="3" t="s">
        <v>24</v>
      </c>
    </row>
    <row r="2489" spans="1:11" ht="54" customHeight="1">
      <c r="A2489" s="2" t="s">
        <v>5758</v>
      </c>
      <c r="B2489" s="2" t="s">
        <v>5758</v>
      </c>
      <c r="C2489" s="2" t="s">
        <v>17</v>
      </c>
      <c r="D2489" s="2" t="s">
        <v>18</v>
      </c>
      <c r="E2489" s="5" t="s">
        <v>258</v>
      </c>
      <c r="F2489" s="3" t="s">
        <v>259</v>
      </c>
      <c r="G2489" s="3" t="s">
        <v>75</v>
      </c>
      <c r="H2489" s="2" t="s">
        <v>22</v>
      </c>
      <c r="I2489" s="2" t="s">
        <v>5806</v>
      </c>
      <c r="J2489" s="3" t="str">
        <f>HYPERLINK("https://www.boe.es/gazeta/dias/1834/10/09/pdfs/GMD-C-1834-237.pdf#page=4","Abrir facsímil")</f>
        <v>Abrir facsímil</v>
      </c>
      <c r="K2489" s="3" t="s">
        <v>24</v>
      </c>
    </row>
    <row r="2490" spans="1:11" ht="54" customHeight="1">
      <c r="A2490" s="2" t="s">
        <v>5756</v>
      </c>
      <c r="B2490" s="2" t="s">
        <v>5756</v>
      </c>
      <c r="C2490" s="2" t="s">
        <v>17</v>
      </c>
      <c r="D2490" s="2" t="s">
        <v>18</v>
      </c>
      <c r="E2490" s="5" t="s">
        <v>258</v>
      </c>
      <c r="F2490" s="3" t="s">
        <v>259</v>
      </c>
      <c r="G2490" s="3" t="s">
        <v>28</v>
      </c>
      <c r="H2490" s="2" t="s">
        <v>22</v>
      </c>
      <c r="I2490" s="2" t="s">
        <v>5807</v>
      </c>
      <c r="J2490" s="3" t="str">
        <f>HYPERLINK("https://www.boe.es/gazeta/dias/1834/10/09/pdfs/GMD-C-1834-237.pdf#page=5","Abrir facsímil")</f>
        <v>Abrir facsímil</v>
      </c>
      <c r="K2490" s="3" t="s">
        <v>24</v>
      </c>
    </row>
    <row r="2491" spans="1:11" ht="54" customHeight="1">
      <c r="A2491" s="2" t="s">
        <v>5756</v>
      </c>
      <c r="B2491" s="2" t="s">
        <v>5756</v>
      </c>
      <c r="C2491" s="2" t="s">
        <v>17</v>
      </c>
      <c r="D2491" s="2" t="s">
        <v>18</v>
      </c>
      <c r="E2491" s="5" t="s">
        <v>258</v>
      </c>
      <c r="F2491" s="3" t="s">
        <v>259</v>
      </c>
      <c r="G2491" s="3" t="s">
        <v>176</v>
      </c>
      <c r="H2491" s="2" t="s">
        <v>22</v>
      </c>
      <c r="I2491" s="2" t="s">
        <v>5808</v>
      </c>
      <c r="J2491" s="3" t="str">
        <f>HYPERLINK("https://www.boe.es/gazeta/dias/1834/10/09/pdfs/GMD-C-1834-237.pdf#page=6","Abrir facsímil")</f>
        <v>Abrir facsímil</v>
      </c>
      <c r="K2491" s="3" t="s">
        <v>24</v>
      </c>
    </row>
    <row r="2492" spans="1:11" ht="54" customHeight="1">
      <c r="A2492" s="2" t="s">
        <v>5756</v>
      </c>
      <c r="B2492" s="2" t="s">
        <v>5756</v>
      </c>
      <c r="C2492" s="2" t="s">
        <v>17</v>
      </c>
      <c r="D2492" s="2" t="s">
        <v>55</v>
      </c>
      <c r="E2492" s="5" t="s">
        <v>939</v>
      </c>
      <c r="F2492" s="3" t="s">
        <v>940</v>
      </c>
      <c r="G2492" s="3" t="s">
        <v>21</v>
      </c>
      <c r="H2492" s="2" t="s">
        <v>22</v>
      </c>
      <c r="I2492" s="2" t="s">
        <v>5809</v>
      </c>
      <c r="J2492" s="3" t="str">
        <f>HYPERLINK("https://www.boe.es/gazeta/dias/1834/06/10/pdfs/GMD-1834-113.pdf#page=3","Abrir facsímil")</f>
        <v>Abrir facsímil</v>
      </c>
      <c r="K2492" s="3" t="s">
        <v>24</v>
      </c>
    </row>
    <row r="2493" spans="1:11" ht="54" customHeight="1">
      <c r="A2493" s="2" t="s">
        <v>5758</v>
      </c>
      <c r="B2493" s="2" t="s">
        <v>5758</v>
      </c>
      <c r="C2493" s="2" t="s">
        <v>17</v>
      </c>
      <c r="D2493" s="2" t="s">
        <v>18</v>
      </c>
      <c r="E2493" s="5" t="s">
        <v>4565</v>
      </c>
      <c r="F2493" s="3" t="s">
        <v>4566</v>
      </c>
      <c r="G2493" s="3" t="s">
        <v>86</v>
      </c>
      <c r="H2493" s="2" t="s">
        <v>22</v>
      </c>
      <c r="I2493" s="2" t="s">
        <v>5810</v>
      </c>
      <c r="J2493" s="3" t="str">
        <f>HYPERLINK("https://www.boe.es/gazeta/dias/1834/07/10/pdfs/GMD-1834-143.pdf#page=2","Abrir facsímil")</f>
        <v>Abrir facsímil</v>
      </c>
      <c r="K2493" s="3" t="s">
        <v>24</v>
      </c>
    </row>
    <row r="2494" spans="1:11" ht="54" customHeight="1">
      <c r="A2494" s="2" t="s">
        <v>5758</v>
      </c>
      <c r="B2494" s="2" t="s">
        <v>5758</v>
      </c>
      <c r="C2494" s="2" t="s">
        <v>17</v>
      </c>
      <c r="D2494" s="2" t="s">
        <v>18</v>
      </c>
      <c r="E2494" s="5" t="s">
        <v>4565</v>
      </c>
      <c r="F2494" s="3" t="s">
        <v>4566</v>
      </c>
      <c r="G2494" s="3" t="s">
        <v>21</v>
      </c>
      <c r="H2494" s="2" t="s">
        <v>22</v>
      </c>
      <c r="I2494" s="2" t="s">
        <v>5811</v>
      </c>
      <c r="J2494" s="3" t="str">
        <f>HYPERLINK("https://www.boe.es/gazeta/dias/1834/07/10/pdfs/GMD-1834-143.pdf#page=3","Abrir facsímil")</f>
        <v>Abrir facsímil</v>
      </c>
      <c r="K2494" s="3" t="s">
        <v>24</v>
      </c>
    </row>
    <row r="2495" spans="1:11" ht="54" customHeight="1">
      <c r="A2495" s="2" t="s">
        <v>5756</v>
      </c>
      <c r="B2495" s="2" t="s">
        <v>5756</v>
      </c>
      <c r="C2495" s="2" t="s">
        <v>46</v>
      </c>
      <c r="D2495" s="2" t="s">
        <v>18</v>
      </c>
      <c r="E2495" s="5" t="s">
        <v>956</v>
      </c>
      <c r="F2495" s="3" t="s">
        <v>957</v>
      </c>
      <c r="G2495" s="3" t="s">
        <v>34</v>
      </c>
      <c r="H2495" s="2" t="s">
        <v>22</v>
      </c>
      <c r="I2495" s="2" t="s">
        <v>5812</v>
      </c>
      <c r="J2495" s="3" t="str">
        <f>HYPERLINK("https://www.boe.es/gazeta/dias/1834/08/10/pdfs/GMD-C-1834-175.pdf#page=1","Abrir facsímil")</f>
        <v>Abrir facsímil</v>
      </c>
      <c r="K2495" s="3" t="s">
        <v>24</v>
      </c>
    </row>
    <row r="2496" spans="1:11" ht="54" customHeight="1">
      <c r="A2496" s="2" t="s">
        <v>5756</v>
      </c>
      <c r="B2496" s="2" t="s">
        <v>5756</v>
      </c>
      <c r="C2496" s="2" t="s">
        <v>17</v>
      </c>
      <c r="D2496" s="2" t="s">
        <v>18</v>
      </c>
      <c r="E2496" s="5" t="s">
        <v>956</v>
      </c>
      <c r="F2496" s="3" t="s">
        <v>957</v>
      </c>
      <c r="G2496" s="3" t="s">
        <v>86</v>
      </c>
      <c r="H2496" s="2" t="s">
        <v>22</v>
      </c>
      <c r="I2496" s="2" t="s">
        <v>5813</v>
      </c>
      <c r="J2496" s="3" t="str">
        <f>HYPERLINK("https://www.boe.es/gazeta/dias/1834/08/10/pdfs/GMD-C-1834-175.pdf#page=2","Abrir facsímil")</f>
        <v>Abrir facsímil</v>
      </c>
      <c r="K2496" s="3" t="s">
        <v>24</v>
      </c>
    </row>
    <row r="2497" spans="1:11" ht="54" customHeight="1">
      <c r="A2497" s="2" t="s">
        <v>5756</v>
      </c>
      <c r="B2497" s="2" t="s">
        <v>5756</v>
      </c>
      <c r="C2497" s="2" t="s">
        <v>17</v>
      </c>
      <c r="D2497" s="2" t="s">
        <v>18</v>
      </c>
      <c r="E2497" s="5" t="s">
        <v>1103</v>
      </c>
      <c r="F2497" s="3" t="s">
        <v>1104</v>
      </c>
      <c r="G2497" s="3" t="s">
        <v>34</v>
      </c>
      <c r="H2497" s="2" t="s">
        <v>22</v>
      </c>
      <c r="I2497" s="2" t="s">
        <v>5814</v>
      </c>
      <c r="J2497" s="3" t="str">
        <f>HYPERLINK("https://www.boe.es/gazeta/dias/1834/10/10/pdfs/GMD-C-1834-238.pdf#page=1","Abrir facsímil")</f>
        <v>Abrir facsímil</v>
      </c>
      <c r="K2497" s="3" t="s">
        <v>24</v>
      </c>
    </row>
    <row r="2498" spans="1:11" ht="54" customHeight="1">
      <c r="A2498" s="2" t="s">
        <v>5756</v>
      </c>
      <c r="B2498" s="2" t="s">
        <v>5756</v>
      </c>
      <c r="C2498" s="2" t="s">
        <v>66</v>
      </c>
      <c r="D2498" s="2" t="s">
        <v>67</v>
      </c>
      <c r="E2498" s="5" t="s">
        <v>1103</v>
      </c>
      <c r="F2498" s="3" t="s">
        <v>1104</v>
      </c>
      <c r="G2498" s="3" t="s">
        <v>75</v>
      </c>
      <c r="H2498" s="2" t="s">
        <v>22</v>
      </c>
      <c r="I2498" s="2" t="s">
        <v>5815</v>
      </c>
      <c r="J2498" s="3" t="str">
        <f>HYPERLINK("https://www.boe.es/gazeta/dias/1834/10/10/pdfs/GMD-C-1834-238.pdf#page=4","Abrir facsímil")</f>
        <v>Abrir facsímil</v>
      </c>
      <c r="K2498" s="3" t="s">
        <v>24</v>
      </c>
    </row>
    <row r="2499" spans="1:11" ht="54" customHeight="1">
      <c r="A2499" s="2" t="s">
        <v>5756</v>
      </c>
      <c r="B2499" s="2" t="s">
        <v>5756</v>
      </c>
      <c r="C2499" s="2" t="s">
        <v>17</v>
      </c>
      <c r="D2499" s="2" t="s">
        <v>18</v>
      </c>
      <c r="E2499" s="5" t="s">
        <v>2098</v>
      </c>
      <c r="F2499" s="3" t="s">
        <v>2099</v>
      </c>
      <c r="G2499" s="3" t="s">
        <v>75</v>
      </c>
      <c r="H2499" s="2" t="s">
        <v>22</v>
      </c>
      <c r="I2499" s="2" t="s">
        <v>5816</v>
      </c>
      <c r="J2499" s="3" t="str">
        <f>HYPERLINK("https://www.boe.es/gazeta/dias/1834/08/11/pdfs/GMD-1834-176.pdf#page=4","Abrir facsímil")</f>
        <v>Abrir facsímil</v>
      </c>
      <c r="K2499" s="3" t="s">
        <v>24</v>
      </c>
    </row>
    <row r="2500" spans="1:11" ht="54" customHeight="1">
      <c r="A2500" s="2" t="s">
        <v>5756</v>
      </c>
      <c r="B2500" s="2" t="s">
        <v>5756</v>
      </c>
      <c r="C2500" s="2" t="s">
        <v>46</v>
      </c>
      <c r="D2500" s="2" t="s">
        <v>101</v>
      </c>
      <c r="E2500" s="5" t="s">
        <v>2098</v>
      </c>
      <c r="F2500" s="3" t="s">
        <v>5817</v>
      </c>
      <c r="G2500" s="3" t="s">
        <v>86</v>
      </c>
      <c r="H2500" s="2" t="s">
        <v>22</v>
      </c>
      <c r="I2500" s="2" t="s">
        <v>5818</v>
      </c>
      <c r="J2500" s="3" t="str">
        <f>HYPERLINK("https://www.boe.es/gazeta/dias/1834/08/11/pdfs/GMD-C-1834-176.pdf#page=2","Abrir facsímil")</f>
        <v>Abrir facsímil</v>
      </c>
      <c r="K2500" s="3" t="s">
        <v>24</v>
      </c>
    </row>
    <row r="2501" spans="1:11" ht="54" customHeight="1">
      <c r="A2501" s="2" t="s">
        <v>5756</v>
      </c>
      <c r="B2501" s="2" t="s">
        <v>5756</v>
      </c>
      <c r="C2501" s="2" t="s">
        <v>66</v>
      </c>
      <c r="D2501" s="2" t="s">
        <v>67</v>
      </c>
      <c r="E2501" s="5" t="s">
        <v>334</v>
      </c>
      <c r="F2501" s="3" t="s">
        <v>335</v>
      </c>
      <c r="G2501" s="3" t="s">
        <v>21</v>
      </c>
      <c r="H2501" s="2" t="s">
        <v>22</v>
      </c>
      <c r="I2501" s="2" t="s">
        <v>5819</v>
      </c>
      <c r="J2501" s="3" t="str">
        <f>HYPERLINK("https://www.boe.es/gazeta/dias/1834/09/11/pdfs/GMD-C-1834-209.pdf#page=3","Abrir facsímil")</f>
        <v>Abrir facsímil</v>
      </c>
      <c r="K2501" s="3" t="s">
        <v>24</v>
      </c>
    </row>
    <row r="2502" spans="1:11" ht="54" customHeight="1">
      <c r="A2502" s="2" t="s">
        <v>5756</v>
      </c>
      <c r="B2502" s="2" t="s">
        <v>5756</v>
      </c>
      <c r="C2502" s="2" t="s">
        <v>46</v>
      </c>
      <c r="D2502" s="2" t="s">
        <v>18</v>
      </c>
      <c r="E2502" s="5" t="s">
        <v>96</v>
      </c>
      <c r="F2502" s="3" t="s">
        <v>1725</v>
      </c>
      <c r="G2502" s="3" t="s">
        <v>86</v>
      </c>
      <c r="H2502" s="2" t="s">
        <v>22</v>
      </c>
      <c r="I2502" s="2" t="s">
        <v>5820</v>
      </c>
      <c r="J2502" s="3" t="str">
        <f>HYPERLINK("https://www.boe.es/gazeta/dias/1834/11/11/pdfs/GMD-1834-270.pdf#page=2","Abrir facsímil")</f>
        <v>Abrir facsímil</v>
      </c>
      <c r="K2502" s="3" t="s">
        <v>24</v>
      </c>
    </row>
    <row r="2503" spans="1:11" ht="54" customHeight="1">
      <c r="A2503" s="2" t="s">
        <v>5756</v>
      </c>
      <c r="B2503" s="2" t="s">
        <v>5756</v>
      </c>
      <c r="C2503" s="2" t="s">
        <v>46</v>
      </c>
      <c r="D2503" s="2" t="s">
        <v>18</v>
      </c>
      <c r="E2503" s="5" t="s">
        <v>96</v>
      </c>
      <c r="F2503" s="3" t="s">
        <v>1725</v>
      </c>
      <c r="G2503" s="3" t="s">
        <v>21</v>
      </c>
      <c r="H2503" s="2" t="s">
        <v>22</v>
      </c>
      <c r="I2503" s="2" t="s">
        <v>5821</v>
      </c>
      <c r="J2503" s="3" t="str">
        <f>HYPERLINK("https://www.boe.es/gazeta/dias/1834/11/11/pdfs/GMD-1834-270.pdf#page=3","Abrir facsímil")</f>
        <v>Abrir facsímil</v>
      </c>
      <c r="K2503" s="3" t="s">
        <v>24</v>
      </c>
    </row>
    <row r="2504" spans="1:11" ht="54" customHeight="1">
      <c r="A2504" s="2" t="s">
        <v>5756</v>
      </c>
      <c r="B2504" s="2" t="s">
        <v>5756</v>
      </c>
      <c r="C2504" s="2" t="s">
        <v>17</v>
      </c>
      <c r="D2504" s="2" t="s">
        <v>18</v>
      </c>
      <c r="E2504" s="5" t="s">
        <v>200</v>
      </c>
      <c r="F2504" s="3" t="s">
        <v>201</v>
      </c>
      <c r="G2504" s="3" t="s">
        <v>86</v>
      </c>
      <c r="H2504" s="2" t="s">
        <v>22</v>
      </c>
      <c r="I2504" s="2" t="s">
        <v>5822</v>
      </c>
      <c r="J2504" s="3" t="str">
        <f>HYPERLINK("https://www.boe.es/gazeta/dias/1834/12/11/pdfs/GMD-1834-300.pdf#page=2","Abrir facsímil")</f>
        <v>Abrir facsímil</v>
      </c>
      <c r="K2504" s="3" t="s">
        <v>24</v>
      </c>
    </row>
    <row r="2505" spans="1:11" ht="54" customHeight="1">
      <c r="A2505" s="2" t="s">
        <v>5756</v>
      </c>
      <c r="B2505" s="2" t="s">
        <v>5756</v>
      </c>
      <c r="C2505" s="2" t="s">
        <v>66</v>
      </c>
      <c r="D2505" s="2" t="s">
        <v>67</v>
      </c>
      <c r="E2505" s="5" t="s">
        <v>2048</v>
      </c>
      <c r="F2505" s="3" t="s">
        <v>2049</v>
      </c>
      <c r="G2505" s="3" t="s">
        <v>86</v>
      </c>
      <c r="H2505" s="2" t="s">
        <v>22</v>
      </c>
      <c r="I2505" s="2" t="s">
        <v>5823</v>
      </c>
      <c r="J2505" s="3" t="str">
        <f>HYPERLINK("https://www.boe.es/gazeta/dias/1834/05/12/pdfs/GMD-1834-81.pdf#page=2","Abrir facsímil")</f>
        <v>Abrir facsímil</v>
      </c>
      <c r="K2505" s="3" t="s">
        <v>24</v>
      </c>
    </row>
    <row r="2506" spans="1:11" ht="54" customHeight="1">
      <c r="A2506" s="2" t="s">
        <v>5756</v>
      </c>
      <c r="B2506" s="2" t="s">
        <v>5756</v>
      </c>
      <c r="C2506" s="2" t="s">
        <v>46</v>
      </c>
      <c r="D2506" s="2" t="s">
        <v>55</v>
      </c>
      <c r="E2506" s="5" t="s">
        <v>2048</v>
      </c>
      <c r="F2506" s="3" t="s">
        <v>2049</v>
      </c>
      <c r="G2506" s="3" t="s">
        <v>21</v>
      </c>
      <c r="H2506" s="2" t="s">
        <v>22</v>
      </c>
      <c r="I2506" s="2" t="s">
        <v>5824</v>
      </c>
      <c r="J2506" s="3" t="str">
        <f>HYPERLINK("https://www.boe.es/gazeta/dias/1834/05/12/pdfs/GMD-1834-81.pdf#page=3","Abrir facsímil")</f>
        <v>Abrir facsímil</v>
      </c>
      <c r="K2506" s="3" t="s">
        <v>24</v>
      </c>
    </row>
    <row r="2507" spans="1:11" ht="54" customHeight="1">
      <c r="A2507" s="2" t="s">
        <v>5756</v>
      </c>
      <c r="B2507" s="2" t="s">
        <v>5756</v>
      </c>
      <c r="C2507" s="2" t="s">
        <v>17</v>
      </c>
      <c r="D2507" s="2" t="s">
        <v>18</v>
      </c>
      <c r="E2507" s="5" t="s">
        <v>1839</v>
      </c>
      <c r="F2507" s="3" t="s">
        <v>3598</v>
      </c>
      <c r="G2507" s="3" t="s">
        <v>75</v>
      </c>
      <c r="H2507" s="2" t="s">
        <v>22</v>
      </c>
      <c r="I2507" s="2" t="s">
        <v>5825</v>
      </c>
      <c r="J2507" s="3" t="str">
        <f>HYPERLINK("https://www.boe.es/gazeta/dias/1834/08/12/pdfs/GMD-1834-177.pdf#page=4","Abrir facsímil")</f>
        <v>Abrir facsímil</v>
      </c>
      <c r="K2507" s="3" t="s">
        <v>24</v>
      </c>
    </row>
    <row r="2508" spans="1:11" ht="54" customHeight="1">
      <c r="A2508" s="2" t="s">
        <v>5756</v>
      </c>
      <c r="B2508" s="2" t="s">
        <v>5756</v>
      </c>
      <c r="C2508" s="2" t="s">
        <v>17</v>
      </c>
      <c r="D2508" s="2" t="s">
        <v>18</v>
      </c>
      <c r="E2508" s="5" t="s">
        <v>444</v>
      </c>
      <c r="F2508" s="3" t="s">
        <v>2412</v>
      </c>
      <c r="G2508" s="3" t="s">
        <v>75</v>
      </c>
      <c r="H2508" s="2" t="s">
        <v>22</v>
      </c>
      <c r="I2508" s="2" t="s">
        <v>5826</v>
      </c>
      <c r="J2508" s="3" t="str">
        <f>HYPERLINK("https://www.boe.es/gazeta/dias/1834/09/12/pdfs/GMD-1834-210.pdf#page=4","Abrir facsímil")</f>
        <v>Abrir facsímil</v>
      </c>
      <c r="K2508" s="3" t="s">
        <v>24</v>
      </c>
    </row>
    <row r="2509" spans="1:11" ht="54" customHeight="1">
      <c r="A2509" s="2" t="s">
        <v>5758</v>
      </c>
      <c r="B2509" s="2" t="s">
        <v>5758</v>
      </c>
      <c r="C2509" s="2" t="s">
        <v>17</v>
      </c>
      <c r="D2509" s="2" t="s">
        <v>18</v>
      </c>
      <c r="E2509" s="5" t="s">
        <v>623</v>
      </c>
      <c r="F2509" s="3" t="s">
        <v>624</v>
      </c>
      <c r="G2509" s="3" t="s">
        <v>34</v>
      </c>
      <c r="H2509" s="2" t="s">
        <v>22</v>
      </c>
      <c r="I2509" s="2" t="s">
        <v>5827</v>
      </c>
      <c r="J2509" s="3" t="str">
        <f>HYPERLINK("https://www.boe.es/gazeta/dias/1834/10/12/pdfs/GMD-C-1834-240.pdf#page=1","Abrir facsímil")</f>
        <v>Abrir facsímil</v>
      </c>
      <c r="K2509" s="3" t="s">
        <v>24</v>
      </c>
    </row>
    <row r="2510" spans="1:11" ht="54" customHeight="1">
      <c r="A2510" s="2" t="s">
        <v>5756</v>
      </c>
      <c r="B2510" s="2" t="s">
        <v>5756</v>
      </c>
      <c r="C2510" s="2" t="s">
        <v>17</v>
      </c>
      <c r="D2510" s="2" t="s">
        <v>18</v>
      </c>
      <c r="E2510" s="5" t="s">
        <v>299</v>
      </c>
      <c r="F2510" s="3" t="s">
        <v>2255</v>
      </c>
      <c r="G2510" s="3" t="s">
        <v>75</v>
      </c>
      <c r="H2510" s="2" t="s">
        <v>22</v>
      </c>
      <c r="I2510" s="2" t="s">
        <v>5828</v>
      </c>
      <c r="J2510" s="3" t="str">
        <f>HYPERLINK("https://www.boe.es/gazeta/dias/1834/12/12/pdfs/GMD-C-1834-301.pdf#page=4","Abrir facsímil")</f>
        <v>Abrir facsímil</v>
      </c>
      <c r="K2510" s="3" t="s">
        <v>24</v>
      </c>
    </row>
    <row r="2511" spans="1:11" ht="54" customHeight="1">
      <c r="A2511" s="2" t="s">
        <v>5756</v>
      </c>
      <c r="B2511" s="2" t="s">
        <v>5756</v>
      </c>
      <c r="C2511" s="2" t="s">
        <v>46</v>
      </c>
      <c r="D2511" s="2" t="s">
        <v>55</v>
      </c>
      <c r="E2511" s="5" t="s">
        <v>1094</v>
      </c>
      <c r="F2511" s="3" t="s">
        <v>1095</v>
      </c>
      <c r="G2511" s="3" t="s">
        <v>86</v>
      </c>
      <c r="H2511" s="2" t="s">
        <v>22</v>
      </c>
      <c r="I2511" s="2" t="s">
        <v>5829</v>
      </c>
      <c r="J2511" s="3" t="str">
        <f>HYPERLINK("https://www.boe.es/gazeta/dias/1834/07/13/pdfs/GMD-1834-146.pdf#page=2","Abrir facsímil")</f>
        <v>Abrir facsímil</v>
      </c>
      <c r="K2511" s="3" t="s">
        <v>24</v>
      </c>
    </row>
    <row r="2512" spans="1:11" ht="54" customHeight="1">
      <c r="A2512" s="2" t="s">
        <v>5756</v>
      </c>
      <c r="B2512" s="2" t="s">
        <v>5756</v>
      </c>
      <c r="C2512" s="2" t="s">
        <v>17</v>
      </c>
      <c r="D2512" s="2" t="s">
        <v>18</v>
      </c>
      <c r="E2512" s="5" t="s">
        <v>479</v>
      </c>
      <c r="F2512" s="3" t="s">
        <v>480</v>
      </c>
      <c r="G2512" s="3" t="s">
        <v>34</v>
      </c>
      <c r="H2512" s="2" t="s">
        <v>22</v>
      </c>
      <c r="I2512" s="2" t="s">
        <v>5830</v>
      </c>
      <c r="J2512" s="3" t="str">
        <f>HYPERLINK("https://www.boe.es/gazeta/dias/1834/08/13/pdfs/GMD-1834-178.pdf#page=1","Abrir facsímil")</f>
        <v>Abrir facsímil</v>
      </c>
      <c r="K2512" s="3" t="s">
        <v>24</v>
      </c>
    </row>
    <row r="2513" spans="1:11" ht="54" customHeight="1">
      <c r="A2513" s="2" t="s">
        <v>5756</v>
      </c>
      <c r="B2513" s="2" t="s">
        <v>5756</v>
      </c>
      <c r="C2513" s="2" t="s">
        <v>66</v>
      </c>
      <c r="D2513" s="2" t="s">
        <v>67</v>
      </c>
      <c r="E2513" s="5" t="s">
        <v>479</v>
      </c>
      <c r="F2513" s="3" t="s">
        <v>480</v>
      </c>
      <c r="G2513" s="3" t="s">
        <v>21</v>
      </c>
      <c r="H2513" s="2" t="s">
        <v>22</v>
      </c>
      <c r="I2513" s="2" t="s">
        <v>5831</v>
      </c>
      <c r="J2513" s="3" t="str">
        <f>HYPERLINK("https://www.boe.es/gazeta/dias/1834/08/13/pdfs/GMD-1834-178.pdf#page=3","Abrir facsímil")</f>
        <v>Abrir facsímil</v>
      </c>
      <c r="K2513" s="3" t="s">
        <v>24</v>
      </c>
    </row>
    <row r="2514" spans="1:11" ht="54" customHeight="1">
      <c r="A2514" s="2" t="s">
        <v>5756</v>
      </c>
      <c r="B2514" s="2" t="s">
        <v>5756</v>
      </c>
      <c r="C2514" s="2" t="s">
        <v>46</v>
      </c>
      <c r="D2514" s="2" t="s">
        <v>101</v>
      </c>
      <c r="E2514" s="5" t="s">
        <v>479</v>
      </c>
      <c r="F2514" s="3" t="s">
        <v>2258</v>
      </c>
      <c r="G2514" s="3" t="s">
        <v>86</v>
      </c>
      <c r="H2514" s="2" t="s">
        <v>22</v>
      </c>
      <c r="I2514" s="2" t="s">
        <v>5832</v>
      </c>
      <c r="J2514" s="3" t="str">
        <f>HYPERLINK("https://www.boe.es/gazeta/dias/1834/08/13/pdfs/GMD-C-1834-178.pdf#page=2","Abrir facsímil")</f>
        <v>Abrir facsímil</v>
      </c>
      <c r="K2514" s="3" t="s">
        <v>24</v>
      </c>
    </row>
    <row r="2515" spans="1:11" ht="54" customHeight="1">
      <c r="A2515" s="2" t="s">
        <v>5756</v>
      </c>
      <c r="B2515" s="2" t="s">
        <v>5756</v>
      </c>
      <c r="C2515" s="2" t="s">
        <v>46</v>
      </c>
      <c r="D2515" s="2" t="s">
        <v>101</v>
      </c>
      <c r="E2515" s="5" t="s">
        <v>479</v>
      </c>
      <c r="F2515" s="3" t="s">
        <v>2258</v>
      </c>
      <c r="G2515" s="3" t="s">
        <v>75</v>
      </c>
      <c r="H2515" s="2" t="s">
        <v>22</v>
      </c>
      <c r="I2515" s="2" t="s">
        <v>5833</v>
      </c>
      <c r="J2515" s="3" t="str">
        <f>HYPERLINK("https://www.boe.es/gazeta/dias/1834/08/13/pdfs/GMD-C-1834-178.pdf#page=4","Abrir facsímil")</f>
        <v>Abrir facsímil</v>
      </c>
      <c r="K2515" s="3" t="s">
        <v>24</v>
      </c>
    </row>
    <row r="2516" spans="1:11" ht="54" customHeight="1">
      <c r="A2516" s="2" t="s">
        <v>5756</v>
      </c>
      <c r="B2516" s="2" t="s">
        <v>5756</v>
      </c>
      <c r="C2516" s="2" t="s">
        <v>17</v>
      </c>
      <c r="D2516" s="2" t="s">
        <v>18</v>
      </c>
      <c r="E2516" s="5" t="s">
        <v>556</v>
      </c>
      <c r="F2516" s="3" t="s">
        <v>557</v>
      </c>
      <c r="G2516" s="3" t="s">
        <v>21</v>
      </c>
      <c r="H2516" s="2" t="s">
        <v>22</v>
      </c>
      <c r="I2516" s="2" t="s">
        <v>5834</v>
      </c>
      <c r="J2516" s="3" t="str">
        <f>HYPERLINK("https://www.boe.es/gazeta/dias/1834/09/13/pdfs/GMD-1834-211.pdf#page=3","Abrir facsímil")</f>
        <v>Abrir facsímil</v>
      </c>
      <c r="K2516" s="3" t="s">
        <v>24</v>
      </c>
    </row>
    <row r="2517" spans="1:11" ht="54" customHeight="1">
      <c r="A2517" s="2" t="s">
        <v>5756</v>
      </c>
      <c r="B2517" s="2" t="s">
        <v>5756</v>
      </c>
      <c r="C2517" s="2" t="s">
        <v>17</v>
      </c>
      <c r="D2517" s="2" t="s">
        <v>55</v>
      </c>
      <c r="E2517" s="5" t="s">
        <v>2260</v>
      </c>
      <c r="F2517" s="3" t="s">
        <v>2261</v>
      </c>
      <c r="G2517" s="3" t="s">
        <v>21</v>
      </c>
      <c r="H2517" s="2" t="s">
        <v>22</v>
      </c>
      <c r="I2517" s="2" t="s">
        <v>5835</v>
      </c>
      <c r="J2517" s="3" t="str">
        <f>HYPERLINK("https://www.boe.es/gazeta/dias/1834/11/13/pdfs/GMD-1834-272.pdf#page=3","Abrir facsímil")</f>
        <v>Abrir facsímil</v>
      </c>
      <c r="K2517" s="3" t="s">
        <v>24</v>
      </c>
    </row>
    <row r="2518" spans="1:11" ht="54" customHeight="1">
      <c r="A2518" s="2" t="s">
        <v>5756</v>
      </c>
      <c r="B2518" s="2" t="s">
        <v>5756</v>
      </c>
      <c r="C2518" s="2" t="s">
        <v>66</v>
      </c>
      <c r="D2518" s="2" t="s">
        <v>67</v>
      </c>
      <c r="E2518" s="5" t="s">
        <v>2260</v>
      </c>
      <c r="F2518" s="3" t="s">
        <v>2263</v>
      </c>
      <c r="G2518" s="3" t="s">
        <v>75</v>
      </c>
      <c r="H2518" s="2" t="s">
        <v>22</v>
      </c>
      <c r="I2518" s="2" t="s">
        <v>5836</v>
      </c>
      <c r="J2518" s="3" t="str">
        <f>HYPERLINK("https://www.boe.es/gazeta/dias/1834/11/13/pdfs/GMD-C-1834-272.pdf#page=4","Abrir facsímil")</f>
        <v>Abrir facsímil</v>
      </c>
      <c r="K2518" s="3" t="s">
        <v>24</v>
      </c>
    </row>
    <row r="2519" spans="1:11" ht="54" customHeight="1">
      <c r="A2519" s="2" t="s">
        <v>5756</v>
      </c>
      <c r="B2519" s="2" t="s">
        <v>5756</v>
      </c>
      <c r="C2519" s="2" t="s">
        <v>122</v>
      </c>
      <c r="D2519" s="2" t="s">
        <v>55</v>
      </c>
      <c r="E2519" s="5" t="s">
        <v>1273</v>
      </c>
      <c r="F2519" s="3" t="s">
        <v>1274</v>
      </c>
      <c r="G2519" s="3" t="s">
        <v>86</v>
      </c>
      <c r="H2519" s="2" t="s">
        <v>22</v>
      </c>
      <c r="I2519" s="2" t="s">
        <v>5837</v>
      </c>
      <c r="J2519" s="3" t="str">
        <f>HYPERLINK("https://www.boe.es/gazeta/dias/1834/05/14/pdfs/GMD-1834-83.pdf#page=2","Abrir facsímil")</f>
        <v>Abrir facsímil</v>
      </c>
      <c r="K2519" s="3" t="s">
        <v>24</v>
      </c>
    </row>
    <row r="2520" spans="1:11" ht="54" customHeight="1">
      <c r="A2520" s="2" t="s">
        <v>5756</v>
      </c>
      <c r="B2520" s="2" t="s">
        <v>5756</v>
      </c>
      <c r="C2520" s="2" t="s">
        <v>17</v>
      </c>
      <c r="D2520" s="2" t="s">
        <v>18</v>
      </c>
      <c r="E2520" s="5" t="s">
        <v>1273</v>
      </c>
      <c r="F2520" s="3" t="s">
        <v>1274</v>
      </c>
      <c r="G2520" s="3" t="s">
        <v>21</v>
      </c>
      <c r="H2520" s="2" t="s">
        <v>22</v>
      </c>
      <c r="I2520" s="2" t="s">
        <v>5838</v>
      </c>
      <c r="J2520" s="3" t="str">
        <f>HYPERLINK("https://www.boe.es/gazeta/dias/1834/05/14/pdfs/GMD-1834-83.pdf#page=3","Abrir facsímil")</f>
        <v>Abrir facsímil</v>
      </c>
      <c r="K2520" s="3" t="s">
        <v>24</v>
      </c>
    </row>
    <row r="2521" spans="1:11" ht="54" customHeight="1">
      <c r="A2521" s="2" t="s">
        <v>5756</v>
      </c>
      <c r="B2521" s="2" t="s">
        <v>5756</v>
      </c>
      <c r="C2521" s="2" t="s">
        <v>90</v>
      </c>
      <c r="D2521" s="2" t="s">
        <v>101</v>
      </c>
      <c r="E2521" s="5" t="s">
        <v>3057</v>
      </c>
      <c r="F2521" s="3" t="s">
        <v>3058</v>
      </c>
      <c r="G2521" s="3" t="s">
        <v>34</v>
      </c>
      <c r="H2521" s="2" t="s">
        <v>22</v>
      </c>
      <c r="I2521" s="2" t="s">
        <v>5839</v>
      </c>
      <c r="J2521" s="3" t="str">
        <f>HYPERLINK("https://www.boe.es/gazeta/dias/1834/06/14/pdfs/GMD-1834-117.pdf#page=1","Abrir facsímil")</f>
        <v>Abrir facsímil</v>
      </c>
      <c r="K2521" s="3" t="s">
        <v>24</v>
      </c>
    </row>
    <row r="2522" spans="1:11" ht="54" customHeight="1">
      <c r="A2522" s="2" t="s">
        <v>5756</v>
      </c>
      <c r="B2522" s="2" t="s">
        <v>5756</v>
      </c>
      <c r="C2522" s="2" t="s">
        <v>17</v>
      </c>
      <c r="D2522" s="2" t="s">
        <v>40</v>
      </c>
      <c r="E2522" s="5" t="s">
        <v>1226</v>
      </c>
      <c r="F2522" s="3" t="s">
        <v>1227</v>
      </c>
      <c r="G2522" s="3" t="s">
        <v>34</v>
      </c>
      <c r="H2522" s="2" t="s">
        <v>22</v>
      </c>
      <c r="I2522" s="2" t="s">
        <v>5840</v>
      </c>
      <c r="J2522" s="3" t="str">
        <f>HYPERLINK("https://www.boe.es/gazeta/dias/1834/07/14/pdfs/GMD-1834-147.pdf#page=1","Abrir facsímil")</f>
        <v>Abrir facsímil</v>
      </c>
      <c r="K2522" s="3" t="s">
        <v>24</v>
      </c>
    </row>
    <row r="2523" spans="1:11" ht="54" customHeight="1">
      <c r="A2523" s="2" t="s">
        <v>5756</v>
      </c>
      <c r="B2523" s="2" t="s">
        <v>5756</v>
      </c>
      <c r="C2523" s="2" t="s">
        <v>66</v>
      </c>
      <c r="D2523" s="2" t="s">
        <v>67</v>
      </c>
      <c r="E2523" s="5" t="s">
        <v>1186</v>
      </c>
      <c r="F2523" s="3" t="s">
        <v>1187</v>
      </c>
      <c r="G2523" s="3" t="s">
        <v>34</v>
      </c>
      <c r="H2523" s="2" t="s">
        <v>22</v>
      </c>
      <c r="I2523" s="2" t="s">
        <v>5841</v>
      </c>
      <c r="J2523" s="3" t="str">
        <f>HYPERLINK("https://www.boe.es/gazeta/dias/1834/08/14/pdfs/GMD-1834-179.pdf#page=1","Abrir facsímil")</f>
        <v>Abrir facsímil</v>
      </c>
      <c r="K2523" s="3" t="s">
        <v>24</v>
      </c>
    </row>
    <row r="2524" spans="1:11" ht="54" customHeight="1">
      <c r="A2524" s="2" t="s">
        <v>5758</v>
      </c>
      <c r="B2524" s="2" t="s">
        <v>5758</v>
      </c>
      <c r="C2524" s="2" t="s">
        <v>17</v>
      </c>
      <c r="D2524" s="2" t="s">
        <v>18</v>
      </c>
      <c r="E2524" s="5" t="s">
        <v>1186</v>
      </c>
      <c r="F2524" s="3" t="s">
        <v>4286</v>
      </c>
      <c r="G2524" s="3" t="s">
        <v>34</v>
      </c>
      <c r="H2524" s="2" t="s">
        <v>22</v>
      </c>
      <c r="I2524" s="2" t="s">
        <v>5842</v>
      </c>
      <c r="J2524" s="3" t="str">
        <f>HYPERLINK("https://www.boe.es/gazeta/dias/1834/08/14/pdfs/GMD-C-1834-179.pdf#page=1","Abrir facsímil")</f>
        <v>Abrir facsímil</v>
      </c>
      <c r="K2524" s="3" t="s">
        <v>24</v>
      </c>
    </row>
    <row r="2525" spans="1:11" ht="54" customHeight="1">
      <c r="A2525" s="2" t="s">
        <v>5758</v>
      </c>
      <c r="B2525" s="2" t="s">
        <v>5758</v>
      </c>
      <c r="C2525" s="2" t="s">
        <v>857</v>
      </c>
      <c r="D2525" s="2" t="s">
        <v>18</v>
      </c>
      <c r="E2525" s="5" t="s">
        <v>448</v>
      </c>
      <c r="F2525" s="3" t="s">
        <v>449</v>
      </c>
      <c r="G2525" s="3" t="s">
        <v>75</v>
      </c>
      <c r="H2525" s="2" t="s">
        <v>22</v>
      </c>
      <c r="I2525" s="2" t="s">
        <v>5843</v>
      </c>
      <c r="J2525" s="3" t="str">
        <f>HYPERLINK("https://www.boe.es/gazeta/dias/1834/10/14/pdfs/GMD-C-1834-242.pdf#page=4","Abrir facsímil")</f>
        <v>Abrir facsímil</v>
      </c>
      <c r="K2525" s="3" t="s">
        <v>24</v>
      </c>
    </row>
    <row r="2526" spans="1:11" ht="54" customHeight="1">
      <c r="A2526" s="2" t="s">
        <v>5758</v>
      </c>
      <c r="B2526" s="2" t="s">
        <v>5758</v>
      </c>
      <c r="C2526" s="2" t="s">
        <v>66</v>
      </c>
      <c r="D2526" s="2" t="s">
        <v>67</v>
      </c>
      <c r="E2526" s="5" t="s">
        <v>863</v>
      </c>
      <c r="F2526" s="3" t="s">
        <v>864</v>
      </c>
      <c r="G2526" s="3" t="s">
        <v>34</v>
      </c>
      <c r="H2526" s="2" t="s">
        <v>22</v>
      </c>
      <c r="I2526" s="2" t="s">
        <v>5844</v>
      </c>
      <c r="J2526" s="3" t="str">
        <f>HYPERLINK("https://www.boe.es/gazeta/dias/1834/09/15/pdfs/GMD-1834-213.pdf#page=1","Abrir facsímil")</f>
        <v>Abrir facsímil</v>
      </c>
      <c r="K2526" s="3" t="s">
        <v>24</v>
      </c>
    </row>
    <row r="2527" spans="1:11" ht="54" customHeight="1">
      <c r="A2527" s="2" t="s">
        <v>5758</v>
      </c>
      <c r="B2527" s="2" t="s">
        <v>5758</v>
      </c>
      <c r="C2527" s="2" t="s">
        <v>66</v>
      </c>
      <c r="D2527" s="2" t="s">
        <v>67</v>
      </c>
      <c r="E2527" s="5" t="s">
        <v>863</v>
      </c>
      <c r="F2527" s="3" t="s">
        <v>864</v>
      </c>
      <c r="G2527" s="3" t="s">
        <v>86</v>
      </c>
      <c r="H2527" s="2" t="s">
        <v>22</v>
      </c>
      <c r="I2527" s="2" t="s">
        <v>5845</v>
      </c>
      <c r="J2527" s="3" t="str">
        <f>HYPERLINK("https://www.boe.es/gazeta/dias/1834/09/15/pdfs/GMD-1834-213.pdf#page=2","Abrir facsímil")</f>
        <v>Abrir facsímil</v>
      </c>
      <c r="K2527" s="3" t="s">
        <v>24</v>
      </c>
    </row>
    <row r="2528" spans="1:11" ht="54" customHeight="1">
      <c r="A2528" s="2" t="s">
        <v>5756</v>
      </c>
      <c r="B2528" s="2" t="s">
        <v>5756</v>
      </c>
      <c r="C2528" s="2" t="s">
        <v>66</v>
      </c>
      <c r="D2528" s="2" t="s">
        <v>40</v>
      </c>
      <c r="E2528" s="5" t="s">
        <v>451</v>
      </c>
      <c r="F2528" s="3" t="s">
        <v>452</v>
      </c>
      <c r="G2528" s="3" t="s">
        <v>86</v>
      </c>
      <c r="H2528" s="2" t="s">
        <v>22</v>
      </c>
      <c r="I2528" s="2" t="s">
        <v>5846</v>
      </c>
      <c r="J2528" s="3" t="str">
        <f>HYPERLINK("https://www.boe.es/gazeta/dias/1834/10/15/pdfs/GMD-C-1834-243.pdf#page=2","Abrir facsímil")</f>
        <v>Abrir facsímil</v>
      </c>
      <c r="K2528" s="3" t="s">
        <v>24</v>
      </c>
    </row>
    <row r="2529" spans="1:11" ht="54" customHeight="1">
      <c r="A2529" s="2" t="s">
        <v>5756</v>
      </c>
      <c r="B2529" s="2" t="s">
        <v>5756</v>
      </c>
      <c r="C2529" s="2" t="s">
        <v>66</v>
      </c>
      <c r="D2529" s="2" t="s">
        <v>67</v>
      </c>
      <c r="E2529" s="5" t="s">
        <v>928</v>
      </c>
      <c r="F2529" s="3" t="s">
        <v>929</v>
      </c>
      <c r="G2529" s="3" t="s">
        <v>86</v>
      </c>
      <c r="H2529" s="2" t="s">
        <v>22</v>
      </c>
      <c r="I2529" s="2" t="s">
        <v>5847</v>
      </c>
      <c r="J2529" s="3" t="str">
        <f>HYPERLINK("https://www.boe.es/gazeta/dias/1834/11/15/pdfs/GMD-C-1834-274.pdf#page=2","Abrir facsímil")</f>
        <v>Abrir facsímil</v>
      </c>
      <c r="K2529" s="3" t="s">
        <v>24</v>
      </c>
    </row>
    <row r="2530" spans="1:11" ht="54" customHeight="1">
      <c r="A2530" s="2" t="s">
        <v>5756</v>
      </c>
      <c r="B2530" s="2" t="s">
        <v>5756</v>
      </c>
      <c r="C2530" s="2" t="s">
        <v>66</v>
      </c>
      <c r="D2530" s="2" t="s">
        <v>67</v>
      </c>
      <c r="E2530" s="5" t="s">
        <v>1116</v>
      </c>
      <c r="F2530" s="3" t="s">
        <v>1117</v>
      </c>
      <c r="G2530" s="3" t="s">
        <v>86</v>
      </c>
      <c r="H2530" s="2" t="s">
        <v>22</v>
      </c>
      <c r="I2530" s="2" t="s">
        <v>5848</v>
      </c>
      <c r="J2530" s="3" t="str">
        <f>HYPERLINK("https://www.boe.es/gazeta/dias/1834/05/16/pdfs/GMD-1834-85.pdf#page=2","Abrir facsímil")</f>
        <v>Abrir facsímil</v>
      </c>
      <c r="K2530" s="3" t="s">
        <v>24</v>
      </c>
    </row>
    <row r="2531" spans="1:11" ht="54" customHeight="1">
      <c r="A2531" s="2" t="s">
        <v>5758</v>
      </c>
      <c r="B2531" s="2" t="s">
        <v>5758</v>
      </c>
      <c r="C2531" s="2" t="s">
        <v>46</v>
      </c>
      <c r="D2531" s="2" t="s">
        <v>55</v>
      </c>
      <c r="E2531" s="5" t="s">
        <v>454</v>
      </c>
      <c r="F2531" s="3" t="s">
        <v>455</v>
      </c>
      <c r="G2531" s="3" t="s">
        <v>21</v>
      </c>
      <c r="H2531" s="2" t="s">
        <v>22</v>
      </c>
      <c r="I2531" s="2" t="s">
        <v>5849</v>
      </c>
      <c r="J2531" s="3" t="str">
        <f>HYPERLINK("https://www.boe.es/gazeta/dias/1834/10/16/pdfs/GMD-C-1834-244.pdf#page=3","Abrir facsímil")</f>
        <v>Abrir facsímil</v>
      </c>
      <c r="K2531" s="3" t="s">
        <v>24</v>
      </c>
    </row>
    <row r="2532" spans="1:11" ht="54" customHeight="1">
      <c r="A2532" s="2" t="s">
        <v>5756</v>
      </c>
      <c r="B2532" s="2" t="s">
        <v>5756</v>
      </c>
      <c r="C2532" s="2" t="s">
        <v>66</v>
      </c>
      <c r="D2532" s="2" t="s">
        <v>67</v>
      </c>
      <c r="E2532" s="5" t="s">
        <v>1125</v>
      </c>
      <c r="F2532" s="3" t="s">
        <v>1126</v>
      </c>
      <c r="G2532" s="3" t="s">
        <v>34</v>
      </c>
      <c r="H2532" s="2" t="s">
        <v>22</v>
      </c>
      <c r="I2532" s="2" t="s">
        <v>5850</v>
      </c>
      <c r="J2532" s="3" t="str">
        <f>HYPERLINK("https://www.boe.es/gazeta/dias/1834/04/17/pdfs/GMD-C-1834-56.pdf#page=1","Abrir facsímil")</f>
        <v>Abrir facsímil</v>
      </c>
      <c r="K2532" s="3" t="s">
        <v>24</v>
      </c>
    </row>
    <row r="2533" spans="1:11" ht="54" customHeight="1">
      <c r="A2533" s="2" t="s">
        <v>5756</v>
      </c>
      <c r="B2533" s="2" t="s">
        <v>5756</v>
      </c>
      <c r="C2533" s="2" t="s">
        <v>66</v>
      </c>
      <c r="D2533" s="2" t="s">
        <v>18</v>
      </c>
      <c r="E2533" s="5" t="s">
        <v>19</v>
      </c>
      <c r="F2533" s="3" t="s">
        <v>1933</v>
      </c>
      <c r="G2533" s="3" t="s">
        <v>86</v>
      </c>
      <c r="H2533" s="2" t="s">
        <v>22</v>
      </c>
      <c r="I2533" s="2" t="s">
        <v>5851</v>
      </c>
      <c r="J2533" s="3" t="str">
        <f>HYPERLINK("https://www.boe.es/gazeta/dias/1834/08/17/pdfs/GMD-1834-183E.pdf#page=2","Abrir facsímil")</f>
        <v>Abrir facsímil</v>
      </c>
      <c r="K2533" s="3" t="s">
        <v>24</v>
      </c>
    </row>
    <row r="2534" spans="1:11" ht="54" customHeight="1">
      <c r="A2534" s="2" t="s">
        <v>5756</v>
      </c>
      <c r="B2534" s="2" t="s">
        <v>5756</v>
      </c>
      <c r="C2534" s="2" t="s">
        <v>66</v>
      </c>
      <c r="D2534" s="2" t="s">
        <v>18</v>
      </c>
      <c r="E2534" s="5" t="s">
        <v>1850</v>
      </c>
      <c r="F2534" s="3" t="s">
        <v>1851</v>
      </c>
      <c r="G2534" s="3" t="s">
        <v>21</v>
      </c>
      <c r="H2534" s="2" t="s">
        <v>22</v>
      </c>
      <c r="I2534" s="2" t="s">
        <v>5852</v>
      </c>
      <c r="J2534" s="3" t="str">
        <f>HYPERLINK("https://www.boe.es/gazeta/dias/1834/02/18/pdfs/GMD-1834-22.pdf#page=3","Abrir facsímil")</f>
        <v>Abrir facsímil</v>
      </c>
      <c r="K2534" s="3" t="s">
        <v>24</v>
      </c>
    </row>
    <row r="2535" spans="1:11" ht="54" customHeight="1">
      <c r="A2535" s="2" t="s">
        <v>5756</v>
      </c>
      <c r="B2535" s="2" t="s">
        <v>5756</v>
      </c>
      <c r="C2535" s="2" t="s">
        <v>46</v>
      </c>
      <c r="D2535" s="2" t="s">
        <v>55</v>
      </c>
      <c r="E2535" s="5" t="s">
        <v>133</v>
      </c>
      <c r="F2535" s="3" t="s">
        <v>134</v>
      </c>
      <c r="G2535" s="3" t="s">
        <v>21</v>
      </c>
      <c r="H2535" s="2" t="s">
        <v>22</v>
      </c>
      <c r="I2535" s="2" t="s">
        <v>5853</v>
      </c>
      <c r="J2535" s="3" t="str">
        <f>HYPERLINK("https://www.boe.es/gazeta/dias/1834/06/18/pdfs/GMD-1834-121.pdf#page=3","Abrir facsímil")</f>
        <v>Abrir facsímil</v>
      </c>
      <c r="K2535" s="3" t="s">
        <v>24</v>
      </c>
    </row>
    <row r="2536" spans="1:11" ht="54" customHeight="1">
      <c r="A2536" s="2" t="s">
        <v>5756</v>
      </c>
      <c r="B2536" s="2" t="s">
        <v>5756</v>
      </c>
      <c r="C2536" s="2" t="s">
        <v>17</v>
      </c>
      <c r="D2536" s="2" t="s">
        <v>18</v>
      </c>
      <c r="E2536" s="5" t="s">
        <v>772</v>
      </c>
      <c r="F2536" s="3" t="s">
        <v>773</v>
      </c>
      <c r="G2536" s="3" t="s">
        <v>21</v>
      </c>
      <c r="H2536" s="2" t="s">
        <v>22</v>
      </c>
      <c r="I2536" s="2" t="s">
        <v>5854</v>
      </c>
      <c r="J2536" s="3" t="str">
        <f>HYPERLINK("https://www.boe.es/gazeta/dias/1834/09/18/pdfs/GMD-1834-216.pdf#page=3","Abrir facsímil")</f>
        <v>Abrir facsímil</v>
      </c>
      <c r="K2536" s="3" t="s">
        <v>24</v>
      </c>
    </row>
    <row r="2537" spans="1:11" ht="54" customHeight="1">
      <c r="A2537" s="2" t="s">
        <v>5758</v>
      </c>
      <c r="B2537" s="2" t="s">
        <v>5758</v>
      </c>
      <c r="C2537" s="2" t="s">
        <v>46</v>
      </c>
      <c r="D2537" s="2" t="s">
        <v>101</v>
      </c>
      <c r="E2537" s="5" t="s">
        <v>772</v>
      </c>
      <c r="F2537" s="3" t="s">
        <v>2284</v>
      </c>
      <c r="G2537" s="3" t="s">
        <v>28</v>
      </c>
      <c r="H2537" s="2" t="s">
        <v>22</v>
      </c>
      <c r="I2537" s="2" t="s">
        <v>5855</v>
      </c>
      <c r="J2537" s="3" t="str">
        <f>HYPERLINK("https://www.boe.es/gazeta/dias/1834/09/18/pdfs/GMD-C-1834-216.pdf#page=5","Abrir facsímil")</f>
        <v>Abrir facsímil</v>
      </c>
      <c r="K2537" s="3" t="s">
        <v>24</v>
      </c>
    </row>
    <row r="2538" spans="1:11" ht="54" customHeight="1">
      <c r="A2538" s="2" t="s">
        <v>5756</v>
      </c>
      <c r="B2538" s="2" t="s">
        <v>5756</v>
      </c>
      <c r="C2538" s="2" t="s">
        <v>90</v>
      </c>
      <c r="D2538" s="2" t="s">
        <v>18</v>
      </c>
      <c r="E2538" s="5" t="s">
        <v>772</v>
      </c>
      <c r="F2538" s="3" t="s">
        <v>2284</v>
      </c>
      <c r="G2538" s="3" t="s">
        <v>176</v>
      </c>
      <c r="H2538" s="2" t="s">
        <v>22</v>
      </c>
      <c r="I2538" s="2" t="s">
        <v>5856</v>
      </c>
      <c r="J2538" s="3" t="str">
        <f>HYPERLINK("https://www.boe.es/gazeta/dias/1834/09/18/pdfs/GMD-C-1834-216.pdf#page=6","Abrir facsímil")</f>
        <v>Abrir facsímil</v>
      </c>
      <c r="K2538" s="3" t="s">
        <v>24</v>
      </c>
    </row>
    <row r="2539" spans="1:11" ht="54" customHeight="1">
      <c r="A2539" s="2" t="s">
        <v>5756</v>
      </c>
      <c r="B2539" s="2" t="s">
        <v>5756</v>
      </c>
      <c r="C2539" s="2" t="s">
        <v>17</v>
      </c>
      <c r="D2539" s="2" t="s">
        <v>18</v>
      </c>
      <c r="E2539" s="5" t="s">
        <v>772</v>
      </c>
      <c r="F2539" s="3" t="s">
        <v>2284</v>
      </c>
      <c r="G2539" s="3" t="s">
        <v>470</v>
      </c>
      <c r="H2539" s="2" t="s">
        <v>22</v>
      </c>
      <c r="I2539" s="2" t="s">
        <v>5857</v>
      </c>
      <c r="J2539" s="3" t="str">
        <f>HYPERLINK("https://www.boe.es/gazeta/dias/1834/09/18/pdfs/GMD-C-1834-216.pdf#page=8","Abrir facsímil")</f>
        <v>Abrir facsímil</v>
      </c>
      <c r="K2539" s="3" t="s">
        <v>24</v>
      </c>
    </row>
    <row r="2540" spans="1:11" ht="54" customHeight="1">
      <c r="A2540" s="2" t="s">
        <v>5756</v>
      </c>
      <c r="B2540" s="2" t="s">
        <v>5756</v>
      </c>
      <c r="C2540" s="2" t="s">
        <v>17</v>
      </c>
      <c r="D2540" s="2" t="s">
        <v>18</v>
      </c>
      <c r="E2540" s="5" t="s">
        <v>563</v>
      </c>
      <c r="F2540" s="3" t="s">
        <v>5858</v>
      </c>
      <c r="G2540" s="3" t="s">
        <v>34</v>
      </c>
      <c r="H2540" s="2" t="s">
        <v>22</v>
      </c>
      <c r="I2540" s="2" t="s">
        <v>5859</v>
      </c>
      <c r="J2540" s="3" t="str">
        <f>HYPERLINK("https://www.boe.es/gazeta/dias/1834/04/19/pdfs/GMD-C-1834-58.pdf#page=1","Abrir facsímil")</f>
        <v>Abrir facsímil</v>
      </c>
      <c r="K2540" s="3" t="s">
        <v>24</v>
      </c>
    </row>
    <row r="2541" spans="1:11" ht="54" customHeight="1">
      <c r="A2541" s="2" t="s">
        <v>5756</v>
      </c>
      <c r="B2541" s="2" t="s">
        <v>5756</v>
      </c>
      <c r="C2541" s="2" t="s">
        <v>66</v>
      </c>
      <c r="D2541" s="2" t="s">
        <v>67</v>
      </c>
      <c r="E2541" s="5" t="s">
        <v>563</v>
      </c>
      <c r="F2541" s="3" t="s">
        <v>5858</v>
      </c>
      <c r="G2541" s="3" t="s">
        <v>86</v>
      </c>
      <c r="H2541" s="2" t="s">
        <v>22</v>
      </c>
      <c r="I2541" s="2" t="s">
        <v>5860</v>
      </c>
      <c r="J2541" s="3" t="str">
        <f>HYPERLINK("https://www.boe.es/gazeta/dias/1834/04/19/pdfs/GMD-C-1834-58.pdf#page=2","Abrir facsímil")</f>
        <v>Abrir facsímil</v>
      </c>
      <c r="K2541" s="3" t="s">
        <v>24</v>
      </c>
    </row>
    <row r="2542" spans="1:11" ht="54" customHeight="1">
      <c r="A2542" s="2" t="s">
        <v>5756</v>
      </c>
      <c r="B2542" s="2" t="s">
        <v>5756</v>
      </c>
      <c r="C2542" s="2" t="s">
        <v>17</v>
      </c>
      <c r="D2542" s="2" t="s">
        <v>55</v>
      </c>
      <c r="E2542" s="5" t="s">
        <v>102</v>
      </c>
      <c r="F2542" s="3" t="s">
        <v>103</v>
      </c>
      <c r="G2542" s="3" t="s">
        <v>21</v>
      </c>
      <c r="H2542" s="2" t="s">
        <v>22</v>
      </c>
      <c r="I2542" s="2" t="s">
        <v>5861</v>
      </c>
      <c r="J2542" s="3" t="str">
        <f>HYPERLINK("https://www.boe.es/gazeta/dias/1834/07/19/pdfs/GMD-1834-152.pdf#page=3","Abrir facsímil")</f>
        <v>Abrir facsímil</v>
      </c>
      <c r="K2542" s="3" t="s">
        <v>24</v>
      </c>
    </row>
    <row r="2543" spans="1:11" ht="54" customHeight="1">
      <c r="A2543" s="2" t="s">
        <v>5756</v>
      </c>
      <c r="B2543" s="2" t="s">
        <v>5756</v>
      </c>
      <c r="C2543" s="2" t="s">
        <v>17</v>
      </c>
      <c r="D2543" s="2" t="s">
        <v>18</v>
      </c>
      <c r="E2543" s="5" t="s">
        <v>615</v>
      </c>
      <c r="F2543" s="3" t="s">
        <v>1205</v>
      </c>
      <c r="G2543" s="3" t="s">
        <v>34</v>
      </c>
      <c r="H2543" s="2" t="s">
        <v>22</v>
      </c>
      <c r="I2543" s="2" t="s">
        <v>5862</v>
      </c>
      <c r="J2543" s="3" t="str">
        <f>HYPERLINK("https://www.boe.es/gazeta/dias/1834/08/19/pdfs/GMD-D-1834-185.pdf#page=1","Abrir facsímil")</f>
        <v>Abrir facsímil</v>
      </c>
      <c r="K2543" s="3" t="s">
        <v>24</v>
      </c>
    </row>
    <row r="2544" spans="1:11" ht="54" customHeight="1">
      <c r="A2544" s="2" t="s">
        <v>5758</v>
      </c>
      <c r="B2544" s="2" t="s">
        <v>5758</v>
      </c>
      <c r="C2544" s="2" t="s">
        <v>66</v>
      </c>
      <c r="D2544" s="2" t="s">
        <v>67</v>
      </c>
      <c r="E2544" s="5" t="s">
        <v>672</v>
      </c>
      <c r="F2544" s="3" t="s">
        <v>1055</v>
      </c>
      <c r="G2544" s="3" t="s">
        <v>176</v>
      </c>
      <c r="H2544" s="2" t="s">
        <v>22</v>
      </c>
      <c r="I2544" s="2" t="s">
        <v>5863</v>
      </c>
      <c r="J2544" s="3" t="str">
        <f>HYPERLINK("https://www.boe.es/gazeta/dias/1834/09/19/pdfs/GMD-C-1834-217.pdf#page=6","Abrir facsímil")</f>
        <v>Abrir facsímil</v>
      </c>
      <c r="K2544" s="3" t="s">
        <v>24</v>
      </c>
    </row>
    <row r="2545" spans="1:11" ht="54" customHeight="1">
      <c r="A2545" s="2" t="s">
        <v>5864</v>
      </c>
      <c r="B2545" s="2" t="s">
        <v>5864</v>
      </c>
      <c r="C2545" s="2" t="s">
        <v>122</v>
      </c>
      <c r="D2545" s="2" t="s">
        <v>55</v>
      </c>
      <c r="E2545" s="5" t="s">
        <v>265</v>
      </c>
      <c r="F2545" s="3" t="s">
        <v>969</v>
      </c>
      <c r="G2545" s="3" t="s">
        <v>86</v>
      </c>
      <c r="H2545" s="2" t="s">
        <v>22</v>
      </c>
      <c r="I2545" s="2" t="s">
        <v>5865</v>
      </c>
      <c r="J2545" s="3" t="str">
        <f>HYPERLINK("https://www.boe.es/gazeta/dias/1834/11/19/pdfs/GMD-1834-278.pdf#page=2","Abrir facsímil")</f>
        <v>Abrir facsímil</v>
      </c>
      <c r="K2545" s="3" t="s">
        <v>24</v>
      </c>
    </row>
    <row r="2546" spans="1:11" ht="54" customHeight="1">
      <c r="A2546" s="2" t="s">
        <v>5864</v>
      </c>
      <c r="B2546" s="2" t="s">
        <v>5864</v>
      </c>
      <c r="C2546" s="2" t="s">
        <v>90</v>
      </c>
      <c r="D2546" s="2" t="s">
        <v>18</v>
      </c>
      <c r="E2546" s="5" t="s">
        <v>265</v>
      </c>
      <c r="F2546" s="3" t="s">
        <v>266</v>
      </c>
      <c r="G2546" s="3" t="s">
        <v>34</v>
      </c>
      <c r="H2546" s="2" t="s">
        <v>22</v>
      </c>
      <c r="I2546" s="2" t="s">
        <v>5866</v>
      </c>
      <c r="J2546" s="3" t="str">
        <f>HYPERLINK("https://www.boe.es/gazeta/dias/1834/11/19/pdfs/GMD-C-1834-278.pdf#page=1","Abrir facsímil")</f>
        <v>Abrir facsímil</v>
      </c>
      <c r="K2546" s="3" t="s">
        <v>24</v>
      </c>
    </row>
    <row r="2547" spans="1:11" ht="54" customHeight="1">
      <c r="A2547" s="2" t="s">
        <v>5756</v>
      </c>
      <c r="B2547" s="2" t="s">
        <v>5756</v>
      </c>
      <c r="C2547" s="2" t="s">
        <v>17</v>
      </c>
      <c r="D2547" s="2" t="s">
        <v>18</v>
      </c>
      <c r="E2547" s="5" t="s">
        <v>265</v>
      </c>
      <c r="F2547" s="3" t="s">
        <v>266</v>
      </c>
      <c r="G2547" s="3" t="s">
        <v>75</v>
      </c>
      <c r="H2547" s="2" t="s">
        <v>22</v>
      </c>
      <c r="I2547" s="2" t="s">
        <v>5867</v>
      </c>
      <c r="J2547" s="3" t="str">
        <f>HYPERLINK("https://www.boe.es/gazeta/dias/1834/11/19/pdfs/GMD-C-1834-278.pdf#page=4","Abrir facsímil")</f>
        <v>Abrir facsímil</v>
      </c>
      <c r="K2547" s="3" t="s">
        <v>24</v>
      </c>
    </row>
    <row r="2548" spans="1:11" ht="54" customHeight="1">
      <c r="A2548" s="2" t="s">
        <v>5758</v>
      </c>
      <c r="B2548" s="2" t="s">
        <v>5758</v>
      </c>
      <c r="C2548" s="2" t="s">
        <v>66</v>
      </c>
      <c r="D2548" s="2" t="s">
        <v>67</v>
      </c>
      <c r="E2548" s="5" t="s">
        <v>1572</v>
      </c>
      <c r="F2548" s="3" t="s">
        <v>1573</v>
      </c>
      <c r="G2548" s="3" t="s">
        <v>176</v>
      </c>
      <c r="H2548" s="2" t="s">
        <v>22</v>
      </c>
      <c r="I2548" s="2" t="s">
        <v>5868</v>
      </c>
      <c r="J2548" s="3" t="str">
        <f>HYPERLINK("https://www.boe.es/gazeta/dias/1834/03/20/pdfs/GMD-1834-35.pdf#page=6","Abrir facsímil")</f>
        <v>Abrir facsímil</v>
      </c>
      <c r="K2548" s="3" t="s">
        <v>24</v>
      </c>
    </row>
    <row r="2549" spans="1:11" ht="54" customHeight="1">
      <c r="A2549" s="2" t="s">
        <v>5756</v>
      </c>
      <c r="B2549" s="2" t="s">
        <v>5756</v>
      </c>
      <c r="C2549" s="2" t="s">
        <v>17</v>
      </c>
      <c r="D2549" s="2" t="s">
        <v>18</v>
      </c>
      <c r="E2549" s="5" t="s">
        <v>217</v>
      </c>
      <c r="F2549" s="3" t="s">
        <v>218</v>
      </c>
      <c r="G2549" s="3" t="s">
        <v>21</v>
      </c>
      <c r="H2549" s="2" t="s">
        <v>22</v>
      </c>
      <c r="I2549" s="2" t="s">
        <v>5869</v>
      </c>
      <c r="J2549" s="3" t="str">
        <f>HYPERLINK("https://www.boe.es/gazeta/dias/1834/04/20/pdfs/GMD-1834-59.pdf#page=3","Abrir facsímil")</f>
        <v>Abrir facsímil</v>
      </c>
      <c r="K2549" s="3" t="s">
        <v>24</v>
      </c>
    </row>
    <row r="2550" spans="1:11" ht="54" customHeight="1">
      <c r="A2550" s="2" t="s">
        <v>5756</v>
      </c>
      <c r="B2550" s="2" t="s">
        <v>5756</v>
      </c>
      <c r="C2550" s="2" t="s">
        <v>46</v>
      </c>
      <c r="D2550" s="2" t="s">
        <v>101</v>
      </c>
      <c r="E2550" s="5" t="s">
        <v>1239</v>
      </c>
      <c r="F2550" s="3" t="s">
        <v>1240</v>
      </c>
      <c r="G2550" s="3" t="s">
        <v>86</v>
      </c>
      <c r="H2550" s="2" t="s">
        <v>22</v>
      </c>
      <c r="I2550" s="2" t="s">
        <v>5870</v>
      </c>
      <c r="J2550" s="3" t="str">
        <f>HYPERLINK("https://www.boe.es/gazeta/dias/1834/08/20/pdfs/GMD-1834-186.pdf#page=2","Abrir facsímil")</f>
        <v>Abrir facsímil</v>
      </c>
      <c r="K2550" s="3" t="s">
        <v>24</v>
      </c>
    </row>
    <row r="2551" spans="1:11" ht="54" customHeight="1">
      <c r="A2551" s="2" t="s">
        <v>5758</v>
      </c>
      <c r="B2551" s="2" t="s">
        <v>5758</v>
      </c>
      <c r="C2551" s="2" t="s">
        <v>66</v>
      </c>
      <c r="D2551" s="2" t="s">
        <v>18</v>
      </c>
      <c r="E2551" s="5" t="s">
        <v>1239</v>
      </c>
      <c r="F2551" s="3" t="s">
        <v>1240</v>
      </c>
      <c r="G2551" s="3" t="s">
        <v>21</v>
      </c>
      <c r="H2551" s="2" t="s">
        <v>22</v>
      </c>
      <c r="I2551" s="2" t="s">
        <v>5871</v>
      </c>
      <c r="J2551" s="3" t="str">
        <f>HYPERLINK("https://www.boe.es/gazeta/dias/1834/08/20/pdfs/GMD-1834-186.pdf#page=3","Abrir facsímil")</f>
        <v>Abrir facsímil</v>
      </c>
      <c r="K2551" s="3" t="s">
        <v>24</v>
      </c>
    </row>
    <row r="2552" spans="1:11" ht="54" customHeight="1">
      <c r="A2552" s="2" t="s">
        <v>5756</v>
      </c>
      <c r="B2552" s="2" t="s">
        <v>5756</v>
      </c>
      <c r="C2552" s="2" t="s">
        <v>66</v>
      </c>
      <c r="D2552" s="2" t="s">
        <v>67</v>
      </c>
      <c r="E2552" s="5" t="s">
        <v>3248</v>
      </c>
      <c r="F2552" s="3" t="s">
        <v>3249</v>
      </c>
      <c r="G2552" s="3" t="s">
        <v>21</v>
      </c>
      <c r="H2552" s="2" t="s">
        <v>22</v>
      </c>
      <c r="I2552" s="2" t="s">
        <v>5872</v>
      </c>
      <c r="J2552" s="3" t="str">
        <f>HYPERLINK("https://www.boe.es/gazeta/dias/1834/09/20/pdfs/GMD-1834-218.pdf#page=3","Abrir facsímil")</f>
        <v>Abrir facsímil</v>
      </c>
      <c r="K2552" s="3" t="s">
        <v>24</v>
      </c>
    </row>
    <row r="2553" spans="1:11" ht="54" customHeight="1">
      <c r="A2553" s="2" t="s">
        <v>5756</v>
      </c>
      <c r="B2553" s="2" t="s">
        <v>5756</v>
      </c>
      <c r="C2553" s="2" t="s">
        <v>17</v>
      </c>
      <c r="D2553" s="2" t="s">
        <v>55</v>
      </c>
      <c r="E2553" s="5" t="s">
        <v>3248</v>
      </c>
      <c r="F2553" s="3" t="s">
        <v>4798</v>
      </c>
      <c r="G2553" s="3" t="s">
        <v>28</v>
      </c>
      <c r="H2553" s="2" t="s">
        <v>22</v>
      </c>
      <c r="I2553" s="2" t="s">
        <v>5873</v>
      </c>
      <c r="J2553" s="3" t="str">
        <f>HYPERLINK("https://www.boe.es/gazeta/dias/1834/09/20/pdfs/GMD-C-1834-218.pdf#page=5","Abrir facsímil")</f>
        <v>Abrir facsímil</v>
      </c>
      <c r="K2553" s="3" t="s">
        <v>24</v>
      </c>
    </row>
    <row r="2554" spans="1:11" ht="54" customHeight="1">
      <c r="A2554" s="2" t="s">
        <v>5758</v>
      </c>
      <c r="B2554" s="2" t="s">
        <v>5758</v>
      </c>
      <c r="C2554" s="2" t="s">
        <v>46</v>
      </c>
      <c r="D2554" s="2" t="s">
        <v>101</v>
      </c>
      <c r="E2554" s="5" t="s">
        <v>3248</v>
      </c>
      <c r="F2554" s="3" t="s">
        <v>4798</v>
      </c>
      <c r="G2554" s="3" t="s">
        <v>176</v>
      </c>
      <c r="H2554" s="2" t="s">
        <v>22</v>
      </c>
      <c r="I2554" s="2" t="s">
        <v>5874</v>
      </c>
      <c r="J2554" s="3" t="str">
        <f>HYPERLINK("https://www.boe.es/gazeta/dias/1834/09/20/pdfs/GMD-C-1834-218.pdf#page=6","Abrir facsímil")</f>
        <v>Abrir facsímil</v>
      </c>
      <c r="K2554" s="3" t="s">
        <v>24</v>
      </c>
    </row>
    <row r="2555" spans="1:11" ht="54" customHeight="1">
      <c r="A2555" s="2" t="s">
        <v>5756</v>
      </c>
      <c r="B2555" s="2" t="s">
        <v>5756</v>
      </c>
      <c r="C2555" s="2" t="s">
        <v>17</v>
      </c>
      <c r="D2555" s="2" t="s">
        <v>18</v>
      </c>
      <c r="E2555" s="5" t="s">
        <v>148</v>
      </c>
      <c r="F2555" s="3" t="s">
        <v>149</v>
      </c>
      <c r="G2555" s="3" t="s">
        <v>21</v>
      </c>
      <c r="H2555" s="2" t="s">
        <v>22</v>
      </c>
      <c r="I2555" s="2" t="s">
        <v>5875</v>
      </c>
      <c r="J2555" s="3" t="str">
        <f>HYPERLINK("https://www.boe.es/gazeta/dias/1834/10/20/pdfs/GMD-1834-248.pdf#page=3","Abrir facsímil")</f>
        <v>Abrir facsímil</v>
      </c>
      <c r="K2555" s="3" t="s">
        <v>24</v>
      </c>
    </row>
    <row r="2556" spans="1:11" ht="54" customHeight="1">
      <c r="A2556" s="2" t="s">
        <v>5756</v>
      </c>
      <c r="B2556" s="2" t="s">
        <v>5756</v>
      </c>
      <c r="C2556" s="2" t="s">
        <v>17</v>
      </c>
      <c r="D2556" s="2" t="s">
        <v>55</v>
      </c>
      <c r="E2556" s="5" t="s">
        <v>1973</v>
      </c>
      <c r="F2556" s="3" t="s">
        <v>1974</v>
      </c>
      <c r="G2556" s="3" t="s">
        <v>176</v>
      </c>
      <c r="H2556" s="2" t="s">
        <v>22</v>
      </c>
      <c r="I2556" s="2" t="s">
        <v>5876</v>
      </c>
      <c r="J2556" s="3" t="str">
        <f>HYPERLINK("https://www.boe.es/gazeta/dias/1834/12/20/pdfs/GMD-C-1834-310.pdf#page=6","Abrir facsímil")</f>
        <v>Abrir facsímil</v>
      </c>
      <c r="K2556" s="3" t="s">
        <v>24</v>
      </c>
    </row>
    <row r="2557" spans="1:11" ht="54" customHeight="1">
      <c r="A2557" s="2" t="s">
        <v>5756</v>
      </c>
      <c r="B2557" s="2" t="s">
        <v>5756</v>
      </c>
      <c r="C2557" s="2" t="s">
        <v>46</v>
      </c>
      <c r="D2557" s="2" t="s">
        <v>55</v>
      </c>
      <c r="E2557" s="5" t="s">
        <v>1973</v>
      </c>
      <c r="F2557" s="3" t="s">
        <v>1974</v>
      </c>
      <c r="G2557" s="3" t="s">
        <v>560</v>
      </c>
      <c r="H2557" s="2" t="s">
        <v>22</v>
      </c>
      <c r="I2557" s="2" t="s">
        <v>5877</v>
      </c>
      <c r="J2557" s="3" t="str">
        <f>HYPERLINK("https://www.boe.es/gazeta/dias/1834/12/20/pdfs/GMD-C-1834-310.pdf#page=7","Abrir facsímil")</f>
        <v>Abrir facsímil</v>
      </c>
      <c r="K2557" s="3" t="s">
        <v>24</v>
      </c>
    </row>
    <row r="2558" spans="1:11" ht="54" customHeight="1">
      <c r="A2558" s="2" t="s">
        <v>5758</v>
      </c>
      <c r="B2558" s="2" t="s">
        <v>5758</v>
      </c>
      <c r="C2558" s="2" t="s">
        <v>17</v>
      </c>
      <c r="D2558" s="2" t="s">
        <v>18</v>
      </c>
      <c r="E2558" s="5" t="s">
        <v>981</v>
      </c>
      <c r="F2558" s="3" t="s">
        <v>3406</v>
      </c>
      <c r="G2558" s="3" t="s">
        <v>75</v>
      </c>
      <c r="H2558" s="2" t="s">
        <v>22</v>
      </c>
      <c r="I2558" s="2" t="s">
        <v>5878</v>
      </c>
      <c r="J2558" s="3" t="str">
        <f>HYPERLINK("https://www.boe.es/gazeta/dias/1834/09/21/pdfs/GMD-C-1834-219.pdf#page=4","Abrir facsímil")</f>
        <v>Abrir facsímil</v>
      </c>
      <c r="K2558" s="3" t="s">
        <v>24</v>
      </c>
    </row>
    <row r="2559" spans="1:11" ht="54" customHeight="1">
      <c r="A2559" s="2" t="s">
        <v>5758</v>
      </c>
      <c r="B2559" s="2" t="s">
        <v>5758</v>
      </c>
      <c r="C2559" s="2" t="s">
        <v>17</v>
      </c>
      <c r="D2559" s="2" t="s">
        <v>18</v>
      </c>
      <c r="E2559" s="5" t="s">
        <v>981</v>
      </c>
      <c r="F2559" s="3" t="s">
        <v>3406</v>
      </c>
      <c r="G2559" s="3" t="s">
        <v>28</v>
      </c>
      <c r="H2559" s="2" t="s">
        <v>22</v>
      </c>
      <c r="I2559" s="2" t="s">
        <v>5879</v>
      </c>
      <c r="J2559" s="3" t="str">
        <f>HYPERLINK("https://www.boe.es/gazeta/dias/1834/09/21/pdfs/GMD-C-1834-219.pdf#page=5","Abrir facsímil")</f>
        <v>Abrir facsímil</v>
      </c>
      <c r="K2559" s="3" t="s">
        <v>24</v>
      </c>
    </row>
    <row r="2560" spans="1:11" ht="54" customHeight="1">
      <c r="A2560" s="2" t="s">
        <v>5756</v>
      </c>
      <c r="B2560" s="2" t="s">
        <v>5756</v>
      </c>
      <c r="C2560" s="2" t="s">
        <v>17</v>
      </c>
      <c r="D2560" s="2" t="s">
        <v>18</v>
      </c>
      <c r="E2560" s="5" t="s">
        <v>492</v>
      </c>
      <c r="F2560" s="3" t="s">
        <v>1672</v>
      </c>
      <c r="G2560" s="3" t="s">
        <v>34</v>
      </c>
      <c r="H2560" s="2" t="s">
        <v>22</v>
      </c>
      <c r="I2560" s="2" t="s">
        <v>5880</v>
      </c>
      <c r="J2560" s="3" t="str">
        <f>HYPERLINK("https://www.boe.es/gazeta/dias/1834/11/21/pdfs/GMD-1834-280.pdf#page=1","Abrir facsímil")</f>
        <v>Abrir facsímil</v>
      </c>
      <c r="K2560" s="3" t="s">
        <v>24</v>
      </c>
    </row>
    <row r="2561" spans="1:11" ht="54" customHeight="1">
      <c r="A2561" s="2" t="s">
        <v>5756</v>
      </c>
      <c r="B2561" s="2" t="s">
        <v>5756</v>
      </c>
      <c r="C2561" s="2" t="s">
        <v>17</v>
      </c>
      <c r="D2561" s="2" t="s">
        <v>55</v>
      </c>
      <c r="E2561" s="5" t="s">
        <v>3488</v>
      </c>
      <c r="F2561" s="3" t="s">
        <v>3489</v>
      </c>
      <c r="G2561" s="3" t="s">
        <v>21</v>
      </c>
      <c r="H2561" s="2" t="s">
        <v>22</v>
      </c>
      <c r="I2561" s="2" t="s">
        <v>5881</v>
      </c>
      <c r="J2561" s="3" t="str">
        <f>HYPERLINK("https://www.boe.es/gazeta/dias/1834/06/22/pdfs/GMD-1834-125.pdf#page=3","Abrir facsímil")</f>
        <v>Abrir facsímil</v>
      </c>
      <c r="K2561" s="3" t="s">
        <v>24</v>
      </c>
    </row>
    <row r="2562" spans="1:11" ht="54" customHeight="1">
      <c r="A2562" s="2" t="s">
        <v>5756</v>
      </c>
      <c r="B2562" s="2" t="s">
        <v>5756</v>
      </c>
      <c r="C2562" s="2" t="s">
        <v>17</v>
      </c>
      <c r="D2562" s="2" t="s">
        <v>18</v>
      </c>
      <c r="E2562" s="5" t="s">
        <v>4064</v>
      </c>
      <c r="F2562" s="3" t="s">
        <v>4065</v>
      </c>
      <c r="G2562" s="3" t="s">
        <v>21</v>
      </c>
      <c r="H2562" s="2" t="s">
        <v>22</v>
      </c>
      <c r="I2562" s="2" t="s">
        <v>5882</v>
      </c>
      <c r="J2562" s="3" t="str">
        <f>HYPERLINK("https://www.boe.es/gazeta/dias/1834/07/22/pdfs/GMD-1834-155.pdf#page=3","Abrir facsímil")</f>
        <v>Abrir facsímil</v>
      </c>
      <c r="K2562" s="3" t="s">
        <v>24</v>
      </c>
    </row>
    <row r="2563" spans="1:11" ht="54" customHeight="1">
      <c r="A2563" s="2" t="s">
        <v>5756</v>
      </c>
      <c r="B2563" s="2" t="s">
        <v>5756</v>
      </c>
      <c r="C2563" s="2" t="s">
        <v>66</v>
      </c>
      <c r="D2563" s="2" t="s">
        <v>67</v>
      </c>
      <c r="E2563" s="5" t="s">
        <v>627</v>
      </c>
      <c r="F2563" s="3" t="s">
        <v>1013</v>
      </c>
      <c r="G2563" s="3" t="s">
        <v>34</v>
      </c>
      <c r="H2563" s="2" t="s">
        <v>22</v>
      </c>
      <c r="I2563" s="2" t="s">
        <v>5883</v>
      </c>
      <c r="J2563" s="3" t="str">
        <f>HYPERLINK("https://www.boe.es/gazeta/dias/1834/09/22/pdfs/GMD-1834-220.pdf#page=1","Abrir facsímil")</f>
        <v>Abrir facsímil</v>
      </c>
      <c r="K2563" s="3" t="s">
        <v>24</v>
      </c>
    </row>
    <row r="2564" spans="1:11" ht="54" customHeight="1">
      <c r="A2564" s="2" t="s">
        <v>5756</v>
      </c>
      <c r="B2564" s="2" t="s">
        <v>5756</v>
      </c>
      <c r="C2564" s="2" t="s">
        <v>17</v>
      </c>
      <c r="D2564" s="2" t="s">
        <v>55</v>
      </c>
      <c r="E2564" s="5" t="s">
        <v>2888</v>
      </c>
      <c r="F2564" s="3" t="s">
        <v>2889</v>
      </c>
      <c r="G2564" s="3" t="s">
        <v>21</v>
      </c>
      <c r="H2564" s="2" t="s">
        <v>22</v>
      </c>
      <c r="I2564" s="2" t="s">
        <v>5884</v>
      </c>
      <c r="J2564" s="3" t="str">
        <f>HYPERLINK("https://www.boe.es/gazeta/dias/1834/12/22/pdfs/GMD-1834-312.pdf#page=3","Abrir facsímil")</f>
        <v>Abrir facsímil</v>
      </c>
      <c r="K2564" s="3" t="s">
        <v>24</v>
      </c>
    </row>
    <row r="2565" spans="1:11" ht="54" customHeight="1">
      <c r="A2565" s="2" t="s">
        <v>5756</v>
      </c>
      <c r="B2565" s="2" t="s">
        <v>5756</v>
      </c>
      <c r="C2565" s="2" t="s">
        <v>17</v>
      </c>
      <c r="D2565" s="2" t="s">
        <v>18</v>
      </c>
      <c r="E2565" s="5" t="s">
        <v>5885</v>
      </c>
      <c r="F2565" s="3" t="s">
        <v>5886</v>
      </c>
      <c r="G2565" s="3" t="s">
        <v>21</v>
      </c>
      <c r="H2565" s="2" t="s">
        <v>22</v>
      </c>
      <c r="I2565" s="2" t="s">
        <v>5887</v>
      </c>
      <c r="J2565" s="3" t="str">
        <f>HYPERLINK("https://www.boe.es/gazeta/dias/1834/05/23/pdfs/GMD-1834-92.pdf#page=3","Abrir facsímil")</f>
        <v>Abrir facsímil</v>
      </c>
      <c r="K2565" s="3" t="s">
        <v>24</v>
      </c>
    </row>
    <row r="2566" spans="1:11" ht="54" customHeight="1">
      <c r="A2566" s="2" t="s">
        <v>5756</v>
      </c>
      <c r="B2566" s="2" t="s">
        <v>5756</v>
      </c>
      <c r="C2566" s="2" t="s">
        <v>122</v>
      </c>
      <c r="D2566" s="2" t="s">
        <v>18</v>
      </c>
      <c r="E2566" s="5" t="s">
        <v>576</v>
      </c>
      <c r="F2566" s="3" t="s">
        <v>5888</v>
      </c>
      <c r="G2566" s="3" t="s">
        <v>86</v>
      </c>
      <c r="H2566" s="2" t="s">
        <v>22</v>
      </c>
      <c r="I2566" s="2" t="s">
        <v>5889</v>
      </c>
      <c r="J2566" s="3" t="str">
        <f>HYPERLINK("https://www.boe.es/gazeta/dias/1834/09/23/pdfs/GMD-C-1834-221.pdf#page=2","Abrir facsímil")</f>
        <v>Abrir facsímil</v>
      </c>
      <c r="K2566" s="3" t="s">
        <v>24</v>
      </c>
    </row>
    <row r="2567" spans="1:11" ht="54" customHeight="1">
      <c r="A2567" s="2" t="s">
        <v>5756</v>
      </c>
      <c r="B2567" s="2" t="s">
        <v>5756</v>
      </c>
      <c r="C2567" s="2" t="s">
        <v>17</v>
      </c>
      <c r="D2567" s="2" t="s">
        <v>55</v>
      </c>
      <c r="E2567" s="5" t="s">
        <v>919</v>
      </c>
      <c r="F2567" s="3" t="s">
        <v>920</v>
      </c>
      <c r="G2567" s="3" t="s">
        <v>75</v>
      </c>
      <c r="H2567" s="2" t="s">
        <v>22</v>
      </c>
      <c r="I2567" s="2" t="s">
        <v>5890</v>
      </c>
      <c r="J2567" s="3" t="str">
        <f>HYPERLINK("https://www.boe.es/gazeta/dias/1834/06/24/pdfs/GMD-1834-127.pdf#page=4","Abrir facsímil")</f>
        <v>Abrir facsímil</v>
      </c>
      <c r="K2567" s="3" t="s">
        <v>24</v>
      </c>
    </row>
    <row r="2568" spans="1:11" ht="54" customHeight="1">
      <c r="A2568" s="2" t="s">
        <v>5756</v>
      </c>
      <c r="B2568" s="2" t="s">
        <v>5756</v>
      </c>
      <c r="C2568" s="2" t="s">
        <v>17</v>
      </c>
      <c r="D2568" s="2" t="s">
        <v>18</v>
      </c>
      <c r="E2568" s="5" t="s">
        <v>128</v>
      </c>
      <c r="F2568" s="3" t="s">
        <v>1068</v>
      </c>
      <c r="G2568" s="3" t="s">
        <v>86</v>
      </c>
      <c r="H2568" s="2" t="s">
        <v>22</v>
      </c>
      <c r="I2568" s="2" t="s">
        <v>5891</v>
      </c>
      <c r="J2568" s="3" t="str">
        <f>HYPERLINK("https://www.boe.es/gazeta/dias/1834/12/24/pdfs/GMD-1834-314.pdf#page=2","Abrir facsímil")</f>
        <v>Abrir facsímil</v>
      </c>
      <c r="K2568" s="3" t="s">
        <v>24</v>
      </c>
    </row>
    <row r="2569" spans="1:11" ht="54" customHeight="1">
      <c r="A2569" s="2" t="s">
        <v>5756</v>
      </c>
      <c r="B2569" s="2" t="s">
        <v>5756</v>
      </c>
      <c r="C2569" s="2" t="s">
        <v>17</v>
      </c>
      <c r="D2569" s="2" t="s">
        <v>18</v>
      </c>
      <c r="E2569" s="5" t="s">
        <v>128</v>
      </c>
      <c r="F2569" s="3" t="s">
        <v>129</v>
      </c>
      <c r="G2569" s="3" t="s">
        <v>34</v>
      </c>
      <c r="H2569" s="2" t="s">
        <v>22</v>
      </c>
      <c r="I2569" s="2" t="s">
        <v>5892</v>
      </c>
      <c r="J2569" s="3" t="str">
        <f>HYPERLINK("https://www.boe.es/gazeta/dias/1834/12/24/pdfs/GMD-C-1834-314.pdf#page=1","Abrir facsímil")</f>
        <v>Abrir facsímil</v>
      </c>
      <c r="K2569" s="3" t="s">
        <v>24</v>
      </c>
    </row>
    <row r="2570" spans="1:11" ht="54" customHeight="1">
      <c r="A2570" s="2" t="s">
        <v>5756</v>
      </c>
      <c r="B2570" s="2" t="s">
        <v>5756</v>
      </c>
      <c r="C2570" s="2" t="s">
        <v>46</v>
      </c>
      <c r="D2570" s="2" t="s">
        <v>55</v>
      </c>
      <c r="E2570" s="5" t="s">
        <v>1922</v>
      </c>
      <c r="F2570" s="3" t="s">
        <v>1923</v>
      </c>
      <c r="G2570" s="3" t="s">
        <v>86</v>
      </c>
      <c r="H2570" s="2" t="s">
        <v>22</v>
      </c>
      <c r="I2570" s="2" t="s">
        <v>5893</v>
      </c>
      <c r="J2570" s="3" t="str">
        <f>HYPERLINK("https://www.boe.es/gazeta/dias/1834/02/25/pdfs/GMD-1834-25.pdf#page=2","Abrir facsímil")</f>
        <v>Abrir facsímil</v>
      </c>
      <c r="K2570" s="3" t="s">
        <v>24</v>
      </c>
    </row>
    <row r="2571" spans="1:11" ht="54" customHeight="1">
      <c r="A2571" s="2" t="s">
        <v>5756</v>
      </c>
      <c r="B2571" s="2" t="s">
        <v>5756</v>
      </c>
      <c r="C2571" s="2" t="s">
        <v>17</v>
      </c>
      <c r="D2571" s="2" t="s">
        <v>55</v>
      </c>
      <c r="E2571" s="5" t="s">
        <v>3025</v>
      </c>
      <c r="F2571" s="3" t="s">
        <v>3026</v>
      </c>
      <c r="G2571" s="3" t="s">
        <v>75</v>
      </c>
      <c r="H2571" s="2" t="s">
        <v>22</v>
      </c>
      <c r="I2571" s="2" t="s">
        <v>5894</v>
      </c>
      <c r="J2571" s="3" t="str">
        <f>HYPERLINK("https://www.boe.es/gazeta/dias/1834/05/25/pdfs/GMD-1834-94.pdf#page=4","Abrir facsímil")</f>
        <v>Abrir facsímil</v>
      </c>
      <c r="K2571" s="3" t="s">
        <v>24</v>
      </c>
    </row>
    <row r="2572" spans="1:11" ht="54" customHeight="1">
      <c r="A2572" s="2" t="s">
        <v>5756</v>
      </c>
      <c r="B2572" s="2" t="s">
        <v>5756</v>
      </c>
      <c r="C2572" s="2" t="s">
        <v>17</v>
      </c>
      <c r="D2572" s="2" t="s">
        <v>55</v>
      </c>
      <c r="E2572" s="5" t="s">
        <v>707</v>
      </c>
      <c r="F2572" s="3" t="s">
        <v>1359</v>
      </c>
      <c r="G2572" s="3" t="s">
        <v>34</v>
      </c>
      <c r="H2572" s="2" t="s">
        <v>22</v>
      </c>
      <c r="I2572" s="2" t="s">
        <v>5895</v>
      </c>
      <c r="J2572" s="3" t="str">
        <f>HYPERLINK("https://www.boe.es/gazeta/dias/1834/11/25/pdfs/GMD-1834-284.pdf#page=1","Abrir facsímil")</f>
        <v>Abrir facsímil</v>
      </c>
      <c r="K2572" s="3" t="s">
        <v>24</v>
      </c>
    </row>
    <row r="2573" spans="1:11" ht="54" customHeight="1">
      <c r="A2573" s="2" t="s">
        <v>5756</v>
      </c>
      <c r="B2573" s="2" t="s">
        <v>5756</v>
      </c>
      <c r="C2573" s="2" t="s">
        <v>17</v>
      </c>
      <c r="D2573" s="2" t="s">
        <v>18</v>
      </c>
      <c r="E2573" s="5" t="s">
        <v>707</v>
      </c>
      <c r="F2573" s="3" t="s">
        <v>708</v>
      </c>
      <c r="G2573" s="3" t="s">
        <v>34</v>
      </c>
      <c r="H2573" s="2" t="s">
        <v>22</v>
      </c>
      <c r="I2573" s="2" t="s">
        <v>5896</v>
      </c>
      <c r="J2573" s="3" t="str">
        <f>HYPERLINK("https://www.boe.es/gazeta/dias/1834/11/25/pdfs/GMD-C-1834-284.pdf#page=1","Abrir facsímil")</f>
        <v>Abrir facsímil</v>
      </c>
      <c r="K2573" s="3" t="s">
        <v>24</v>
      </c>
    </row>
    <row r="2574" spans="1:11" ht="54" customHeight="1">
      <c r="A2574" s="2" t="s">
        <v>5756</v>
      </c>
      <c r="B2574" s="2" t="s">
        <v>5756</v>
      </c>
      <c r="C2574" s="2" t="s">
        <v>17</v>
      </c>
      <c r="D2574" s="2" t="s">
        <v>18</v>
      </c>
      <c r="E2574" s="5" t="s">
        <v>251</v>
      </c>
      <c r="F2574" s="3" t="s">
        <v>252</v>
      </c>
      <c r="G2574" s="3" t="s">
        <v>86</v>
      </c>
      <c r="H2574" s="2" t="s">
        <v>22</v>
      </c>
      <c r="I2574" s="2" t="s">
        <v>5897</v>
      </c>
      <c r="J2574" s="3" t="str">
        <f>HYPERLINK("https://www.boe.es/gazeta/dias/1834/09/26/pdfs/GMD-C-1834-224.pdf#page=2","Abrir facsímil")</f>
        <v>Abrir facsímil</v>
      </c>
      <c r="K2574" s="3" t="s">
        <v>24</v>
      </c>
    </row>
    <row r="2575" spans="1:11" ht="54" customHeight="1">
      <c r="A2575" s="2" t="s">
        <v>5756</v>
      </c>
      <c r="B2575" s="2" t="s">
        <v>5756</v>
      </c>
      <c r="C2575" s="2" t="s">
        <v>17</v>
      </c>
      <c r="D2575" s="2" t="s">
        <v>18</v>
      </c>
      <c r="E2575" s="5" t="s">
        <v>1680</v>
      </c>
      <c r="F2575" s="3" t="s">
        <v>1681</v>
      </c>
      <c r="G2575" s="3" t="s">
        <v>34</v>
      </c>
      <c r="H2575" s="2" t="s">
        <v>22</v>
      </c>
      <c r="I2575" s="2" t="s">
        <v>5898</v>
      </c>
      <c r="J2575" s="3" t="str">
        <f>HYPERLINK("https://www.boe.es/gazeta/dias/1834/02/27/pdfs/GMD-1834-26.pdf#page=1","Abrir facsímil")</f>
        <v>Abrir facsímil</v>
      </c>
      <c r="K2575" s="3" t="s">
        <v>24</v>
      </c>
    </row>
    <row r="2576" spans="1:11" ht="54" customHeight="1">
      <c r="A2576" s="2" t="s">
        <v>5756</v>
      </c>
      <c r="B2576" s="2" t="s">
        <v>5756</v>
      </c>
      <c r="C2576" s="2" t="s">
        <v>17</v>
      </c>
      <c r="D2576" s="2" t="s">
        <v>18</v>
      </c>
      <c r="E2576" s="5" t="s">
        <v>174</v>
      </c>
      <c r="F2576" s="3" t="s">
        <v>175</v>
      </c>
      <c r="G2576" s="3" t="s">
        <v>75</v>
      </c>
      <c r="H2576" s="2" t="s">
        <v>22</v>
      </c>
      <c r="I2576" s="2" t="s">
        <v>5899</v>
      </c>
      <c r="J2576" s="3" t="str">
        <f>HYPERLINK("https://www.boe.es/gazeta/dias/1834/03/27/pdfs/GMD-1834-38.pdf#page=4","Abrir facsímil")</f>
        <v>Abrir facsímil</v>
      </c>
      <c r="K2576" s="3" t="s">
        <v>24</v>
      </c>
    </row>
    <row r="2577" spans="1:11" ht="54" customHeight="1">
      <c r="A2577" s="2" t="s">
        <v>5756</v>
      </c>
      <c r="B2577" s="2" t="s">
        <v>5756</v>
      </c>
      <c r="C2577" s="2" t="s">
        <v>90</v>
      </c>
      <c r="D2577" s="2" t="s">
        <v>18</v>
      </c>
      <c r="E2577" s="5" t="s">
        <v>513</v>
      </c>
      <c r="F2577" s="3" t="s">
        <v>514</v>
      </c>
      <c r="G2577" s="3" t="s">
        <v>34</v>
      </c>
      <c r="H2577" s="2" t="s">
        <v>22</v>
      </c>
      <c r="I2577" s="2" t="s">
        <v>5900</v>
      </c>
      <c r="J2577" s="3" t="str">
        <f>HYPERLINK("https://www.boe.es/gazeta/dias/1834/04/27/pdfs/GMD-1834-66.pdf#page=1","Abrir facsímil")</f>
        <v>Abrir facsímil</v>
      </c>
      <c r="K2577" s="3" t="s">
        <v>24</v>
      </c>
    </row>
    <row r="2578" spans="1:11" ht="54" customHeight="1">
      <c r="A2578" s="2" t="s">
        <v>5756</v>
      </c>
      <c r="B2578" s="2" t="s">
        <v>5756</v>
      </c>
      <c r="C2578" s="2" t="s">
        <v>66</v>
      </c>
      <c r="D2578" s="2" t="s">
        <v>67</v>
      </c>
      <c r="E2578" s="5" t="s">
        <v>371</v>
      </c>
      <c r="F2578" s="3" t="s">
        <v>372</v>
      </c>
      <c r="G2578" s="3" t="s">
        <v>86</v>
      </c>
      <c r="H2578" s="2" t="s">
        <v>22</v>
      </c>
      <c r="I2578" s="2" t="s">
        <v>5901</v>
      </c>
      <c r="J2578" s="3" t="str">
        <f>HYPERLINK("https://www.boe.es/gazeta/dias/1834/05/27/pdfs/GMD-1834-96.pdf#page=2","Abrir facsímil")</f>
        <v>Abrir facsímil</v>
      </c>
      <c r="K2578" s="3" t="s">
        <v>24</v>
      </c>
    </row>
    <row r="2579" spans="1:11" ht="54" customHeight="1">
      <c r="A2579" s="2" t="s">
        <v>5756</v>
      </c>
      <c r="B2579" s="2" t="s">
        <v>5756</v>
      </c>
      <c r="C2579" s="2" t="s">
        <v>17</v>
      </c>
      <c r="D2579" s="2" t="s">
        <v>18</v>
      </c>
      <c r="E2579" s="5" t="s">
        <v>465</v>
      </c>
      <c r="F2579" s="3" t="s">
        <v>466</v>
      </c>
      <c r="G2579" s="3" t="s">
        <v>21</v>
      </c>
      <c r="H2579" s="2" t="s">
        <v>22</v>
      </c>
      <c r="I2579" s="2" t="s">
        <v>5902</v>
      </c>
      <c r="J2579" s="3" t="str">
        <f>HYPERLINK("https://www.boe.es/gazeta/dias/1834/11/27/pdfs/GMD-C-1834-286.pdf#page=3","Abrir facsímil")</f>
        <v>Abrir facsímil</v>
      </c>
      <c r="K2579" s="3" t="s">
        <v>24</v>
      </c>
    </row>
    <row r="2580" spans="1:11" ht="54" customHeight="1">
      <c r="A2580" s="2" t="s">
        <v>5758</v>
      </c>
      <c r="B2580" s="2" t="s">
        <v>5758</v>
      </c>
      <c r="C2580" s="2" t="s">
        <v>46</v>
      </c>
      <c r="D2580" s="2" t="s">
        <v>55</v>
      </c>
      <c r="E2580" s="5" t="s">
        <v>280</v>
      </c>
      <c r="F2580" s="3" t="s">
        <v>3217</v>
      </c>
      <c r="G2580" s="3" t="s">
        <v>21</v>
      </c>
      <c r="H2580" s="2" t="s">
        <v>22</v>
      </c>
      <c r="I2580" s="2" t="s">
        <v>5903</v>
      </c>
      <c r="J2580" s="3" t="str">
        <f>HYPERLINK("https://www.boe.es/gazeta/dias/1834/08/29/pdfs/GMD-1834-195.pdf#page=3","Abrir facsímil")</f>
        <v>Abrir facsímil</v>
      </c>
      <c r="K2580" s="3" t="s">
        <v>24</v>
      </c>
    </row>
    <row r="2581" spans="1:11" ht="54" customHeight="1">
      <c r="A2581" s="2" t="s">
        <v>5756</v>
      </c>
      <c r="B2581" s="2" t="s">
        <v>5756</v>
      </c>
      <c r="C2581" s="2" t="s">
        <v>17</v>
      </c>
      <c r="D2581" s="2" t="s">
        <v>18</v>
      </c>
      <c r="E2581" s="5" t="s">
        <v>5904</v>
      </c>
      <c r="F2581" s="3" t="s">
        <v>5905</v>
      </c>
      <c r="G2581" s="3" t="s">
        <v>75</v>
      </c>
      <c r="H2581" s="2" t="s">
        <v>22</v>
      </c>
      <c r="I2581" s="2" t="s">
        <v>5906</v>
      </c>
      <c r="J2581" s="3" t="str">
        <f>HYPERLINK("https://www.boe.es/gazeta/dias/1834/09/29/pdfs/GMD-1834-227.pdf#page=4","Abrir facsímil")</f>
        <v>Abrir facsímil</v>
      </c>
      <c r="K2581" s="3" t="s">
        <v>24</v>
      </c>
    </row>
    <row r="2582" spans="1:11" ht="54" customHeight="1">
      <c r="A2582" s="2" t="s">
        <v>5756</v>
      </c>
      <c r="B2582" s="2" t="s">
        <v>5756</v>
      </c>
      <c r="C2582" s="2" t="s">
        <v>17</v>
      </c>
      <c r="D2582" s="2" t="s">
        <v>18</v>
      </c>
      <c r="E2582" s="5" t="s">
        <v>777</v>
      </c>
      <c r="F2582" s="3" t="s">
        <v>2535</v>
      </c>
      <c r="G2582" s="3" t="s">
        <v>21</v>
      </c>
      <c r="H2582" s="2" t="s">
        <v>22</v>
      </c>
      <c r="I2582" s="2" t="s">
        <v>5907</v>
      </c>
      <c r="J2582" s="3" t="str">
        <f>HYPERLINK("https://www.boe.es/gazeta/dias/1834/10/29/pdfs/GMD-C-1834-257.pdf#page=3","Abrir facsímil")</f>
        <v>Abrir facsímil</v>
      </c>
      <c r="K2582" s="3" t="s">
        <v>24</v>
      </c>
    </row>
    <row r="2583" spans="1:11" ht="54" customHeight="1">
      <c r="A2583" s="2" t="s">
        <v>5756</v>
      </c>
      <c r="B2583" s="2" t="s">
        <v>5756</v>
      </c>
      <c r="C2583" s="2" t="s">
        <v>46</v>
      </c>
      <c r="D2583" s="2" t="s">
        <v>18</v>
      </c>
      <c r="E2583" s="5" t="s">
        <v>777</v>
      </c>
      <c r="F2583" s="3" t="s">
        <v>2535</v>
      </c>
      <c r="G2583" s="3" t="s">
        <v>75</v>
      </c>
      <c r="H2583" s="2" t="s">
        <v>22</v>
      </c>
      <c r="I2583" s="2" t="s">
        <v>5908</v>
      </c>
      <c r="J2583" s="3" t="str">
        <f>HYPERLINK("https://www.boe.es/gazeta/dias/1834/10/29/pdfs/GMD-C-1834-257.pdf#page=4","Abrir facsímil")</f>
        <v>Abrir facsímil</v>
      </c>
      <c r="K2583" s="3" t="s">
        <v>24</v>
      </c>
    </row>
    <row r="2584" spans="1:11" ht="54" customHeight="1">
      <c r="A2584" s="2" t="s">
        <v>5756</v>
      </c>
      <c r="B2584" s="2" t="s">
        <v>5756</v>
      </c>
      <c r="C2584" s="2" t="s">
        <v>17</v>
      </c>
      <c r="D2584" s="2" t="s">
        <v>18</v>
      </c>
      <c r="E2584" s="5" t="s">
        <v>777</v>
      </c>
      <c r="F2584" s="3" t="s">
        <v>2535</v>
      </c>
      <c r="G2584" s="3" t="s">
        <v>28</v>
      </c>
      <c r="H2584" s="2" t="s">
        <v>22</v>
      </c>
      <c r="I2584" s="2" t="s">
        <v>5909</v>
      </c>
      <c r="J2584" s="3" t="str">
        <f>HYPERLINK("https://www.boe.es/gazeta/dias/1834/10/29/pdfs/GMD-C-1834-257.pdf#page=5","Abrir facsímil")</f>
        <v>Abrir facsímil</v>
      </c>
      <c r="K2584" s="3" t="s">
        <v>24</v>
      </c>
    </row>
    <row r="2585" spans="1:11" ht="54" customHeight="1">
      <c r="A2585" s="2" t="s">
        <v>5756</v>
      </c>
      <c r="B2585" s="2" t="s">
        <v>5756</v>
      </c>
      <c r="C2585" s="2" t="s">
        <v>66</v>
      </c>
      <c r="D2585" s="2" t="s">
        <v>67</v>
      </c>
      <c r="E2585" s="5" t="s">
        <v>899</v>
      </c>
      <c r="F2585" s="3" t="s">
        <v>900</v>
      </c>
      <c r="G2585" s="3" t="s">
        <v>560</v>
      </c>
      <c r="H2585" s="2" t="s">
        <v>22</v>
      </c>
      <c r="I2585" s="2" t="s">
        <v>5910</v>
      </c>
      <c r="J2585" s="3" t="str">
        <f>HYPERLINK("https://www.boe.es/gazeta/dias/1834/01/30/pdfs/GMD-1834-14.pdf#page=7","Abrir facsímil")</f>
        <v>Abrir facsímil</v>
      </c>
      <c r="K2585" s="3" t="s">
        <v>24</v>
      </c>
    </row>
    <row r="2586" spans="1:11" ht="54" customHeight="1">
      <c r="A2586" s="2" t="s">
        <v>5758</v>
      </c>
      <c r="B2586" s="2" t="s">
        <v>5758</v>
      </c>
      <c r="C2586" s="2" t="s">
        <v>17</v>
      </c>
      <c r="D2586" s="2" t="s">
        <v>55</v>
      </c>
      <c r="E2586" s="5" t="s">
        <v>1789</v>
      </c>
      <c r="F2586" s="3" t="s">
        <v>1790</v>
      </c>
      <c r="G2586" s="3" t="s">
        <v>86</v>
      </c>
      <c r="H2586" s="2" t="s">
        <v>22</v>
      </c>
      <c r="I2586" s="2" t="s">
        <v>5911</v>
      </c>
      <c r="J2586" s="3" t="str">
        <f>HYPERLINK("https://www.boe.es/gazeta/dias/1834/05/31/pdfs/GMD-1834-100.pdf#page=2","Abrir facsímil")</f>
        <v>Abrir facsímil</v>
      </c>
      <c r="K2586" s="3" t="s">
        <v>24</v>
      </c>
    </row>
    <row r="2587" spans="1:11" ht="54" customHeight="1">
      <c r="A2587" s="2" t="s">
        <v>5758</v>
      </c>
      <c r="B2587" s="2" t="s">
        <v>5758</v>
      </c>
      <c r="C2587" s="2" t="s">
        <v>90</v>
      </c>
      <c r="D2587" s="2" t="s">
        <v>18</v>
      </c>
      <c r="E2587" s="5" t="s">
        <v>273</v>
      </c>
      <c r="F2587" s="3" t="s">
        <v>274</v>
      </c>
      <c r="G2587" s="3" t="s">
        <v>34</v>
      </c>
      <c r="H2587" s="2" t="s">
        <v>22</v>
      </c>
      <c r="I2587" s="2" t="s">
        <v>5912</v>
      </c>
      <c r="J2587" s="3" t="str">
        <f>HYPERLINK("https://www.boe.es/gazeta/dias/1834/08/31/pdfs/GMD-D-1834-198.pdf#page=1","Abrir facsímil")</f>
        <v>Abrir facsímil</v>
      </c>
      <c r="K2587" s="3" t="s">
        <v>24</v>
      </c>
    </row>
    <row r="2588" spans="1:11" ht="54" customHeight="1">
      <c r="A2588" s="2" t="s">
        <v>5756</v>
      </c>
      <c r="B2588" s="2" t="s">
        <v>5756</v>
      </c>
      <c r="C2588" s="2" t="s">
        <v>66</v>
      </c>
      <c r="D2588" s="2" t="s">
        <v>67</v>
      </c>
      <c r="E2588" s="5" t="s">
        <v>273</v>
      </c>
      <c r="F2588" s="3" t="s">
        <v>274</v>
      </c>
      <c r="G2588" s="3" t="s">
        <v>75</v>
      </c>
      <c r="H2588" s="2" t="s">
        <v>22</v>
      </c>
      <c r="I2588" s="2" t="s">
        <v>5913</v>
      </c>
      <c r="J2588" s="3" t="str">
        <f>HYPERLINK("https://www.boe.es/gazeta/dias/1834/08/31/pdfs/GMD-C-1834-198.pdf#page=4","Abrir facsímil")</f>
        <v>Abrir facsímil</v>
      </c>
      <c r="K2588" s="3" t="s">
        <v>24</v>
      </c>
    </row>
    <row r="2589" spans="1:11" ht="54" customHeight="1">
      <c r="A2589" s="2" t="s">
        <v>5914</v>
      </c>
      <c r="B2589" s="2" t="s">
        <v>5914</v>
      </c>
      <c r="C2589" s="2" t="s">
        <v>66</v>
      </c>
      <c r="D2589" s="2" t="s">
        <v>67</v>
      </c>
      <c r="E2589" s="5" t="s">
        <v>441</v>
      </c>
      <c r="F2589" s="3" t="s">
        <v>442</v>
      </c>
      <c r="G2589" s="3" t="s">
        <v>75</v>
      </c>
      <c r="H2589" s="2" t="s">
        <v>22</v>
      </c>
      <c r="I2589" s="2" t="s">
        <v>5915</v>
      </c>
      <c r="J2589" s="3" t="str">
        <f>HYPERLINK("https://www.boe.es/gazeta/dias/1834/11/10/pdfs/GMD-1834-269.pdf#page=4","Abrir facsímil")</f>
        <v>Abrir facsímil</v>
      </c>
      <c r="K2589" s="3" t="s">
        <v>24</v>
      </c>
    </row>
    <row r="2590" spans="1:11" ht="54" customHeight="1">
      <c r="A2590" s="2" t="s">
        <v>5916</v>
      </c>
      <c r="B2590" s="2" t="s">
        <v>5917</v>
      </c>
      <c r="C2590" s="2" t="s">
        <v>17</v>
      </c>
      <c r="D2590" s="2" t="s">
        <v>18</v>
      </c>
      <c r="E2590" s="5" t="s">
        <v>255</v>
      </c>
      <c r="F2590" s="3" t="s">
        <v>256</v>
      </c>
      <c r="G2590" s="3" t="s">
        <v>34</v>
      </c>
      <c r="H2590" s="2" t="s">
        <v>35</v>
      </c>
      <c r="I2590" s="2" t="s">
        <v>5918</v>
      </c>
      <c r="J2590" s="3" t="str">
        <f>HYPERLINK("https://www.boe.es/gazeta/dias/1834/09/01/pdfs/GMD-C-1834-199.pdf#page=1","Abrir facsímil")</f>
        <v>Abrir facsímil</v>
      </c>
      <c r="K2590" s="3" t="s">
        <v>37</v>
      </c>
    </row>
    <row r="2591" spans="1:11" ht="54" customHeight="1">
      <c r="A2591" s="2" t="s">
        <v>5916</v>
      </c>
      <c r="B2591" s="2" t="s">
        <v>5917</v>
      </c>
      <c r="C2591" s="2" t="s">
        <v>66</v>
      </c>
      <c r="D2591" s="2" t="s">
        <v>67</v>
      </c>
      <c r="E2591" s="5" t="s">
        <v>3066</v>
      </c>
      <c r="F2591" s="3" t="s">
        <v>3067</v>
      </c>
      <c r="G2591" s="3" t="s">
        <v>75</v>
      </c>
      <c r="H2591" s="2" t="s">
        <v>35</v>
      </c>
      <c r="I2591" s="2" t="s">
        <v>5919</v>
      </c>
      <c r="J2591" s="3" t="str">
        <f>HYPERLINK("https://www.boe.es/gazeta/dias/1834/08/03/pdfs/GMD-C-1834-167.pdf#page=4","Abrir facsímil")</f>
        <v>Abrir facsímil</v>
      </c>
      <c r="K2591" s="3" t="s">
        <v>37</v>
      </c>
    </row>
    <row r="2592" spans="1:11" ht="54" customHeight="1">
      <c r="A2592" s="2" t="s">
        <v>5916</v>
      </c>
      <c r="B2592" s="2" t="s">
        <v>5917</v>
      </c>
      <c r="C2592" s="2" t="s">
        <v>17</v>
      </c>
      <c r="D2592" s="2" t="s">
        <v>18</v>
      </c>
      <c r="E2592" s="5" t="s">
        <v>2212</v>
      </c>
      <c r="F2592" s="3" t="s">
        <v>2213</v>
      </c>
      <c r="G2592" s="3" t="s">
        <v>176</v>
      </c>
      <c r="H2592" s="2" t="s">
        <v>35</v>
      </c>
      <c r="I2592" s="2" t="s">
        <v>5920</v>
      </c>
      <c r="J2592" s="3" t="str">
        <f>HYPERLINK("https://www.boe.es/gazeta/dias/1834/08/04/pdfs/GMD-C-1834-168.pdf#page=6","Abrir facsímil")</f>
        <v>Abrir facsímil</v>
      </c>
      <c r="K2592" s="3" t="s">
        <v>37</v>
      </c>
    </row>
    <row r="2593" spans="1:11" ht="54" customHeight="1">
      <c r="A2593" s="2" t="s">
        <v>5916</v>
      </c>
      <c r="B2593" s="2" t="s">
        <v>5917</v>
      </c>
      <c r="C2593" s="2" t="s">
        <v>46</v>
      </c>
      <c r="D2593" s="2" t="s">
        <v>101</v>
      </c>
      <c r="E2593" s="5" t="s">
        <v>571</v>
      </c>
      <c r="F2593" s="3" t="s">
        <v>620</v>
      </c>
      <c r="G2593" s="3" t="s">
        <v>21</v>
      </c>
      <c r="H2593" s="2" t="s">
        <v>35</v>
      </c>
      <c r="I2593" s="2" t="s">
        <v>5921</v>
      </c>
      <c r="J2593" s="3" t="str">
        <f>HYPERLINK("https://www.boe.es/gazeta/dias/1834/09/04/pdfs/GMD-C-1834-202.pdf#page=3","Abrir facsímil")</f>
        <v>Abrir facsímil</v>
      </c>
      <c r="K2593" s="3" t="s">
        <v>37</v>
      </c>
    </row>
    <row r="2594" spans="1:11" ht="54" customHeight="1">
      <c r="A2594" s="2" t="s">
        <v>5922</v>
      </c>
      <c r="B2594" s="2" t="s">
        <v>5923</v>
      </c>
      <c r="C2594" s="2" t="s">
        <v>46</v>
      </c>
      <c r="D2594" s="2" t="s">
        <v>55</v>
      </c>
      <c r="E2594" s="5" t="s">
        <v>571</v>
      </c>
      <c r="F2594" s="3" t="s">
        <v>620</v>
      </c>
      <c r="G2594" s="3" t="s">
        <v>75</v>
      </c>
      <c r="H2594" s="2" t="s">
        <v>35</v>
      </c>
      <c r="I2594" s="2" t="s">
        <v>5924</v>
      </c>
      <c r="J2594" s="3" t="str">
        <f>HYPERLINK("https://www.boe.es/gazeta/dias/1834/09/04/pdfs/GMD-C-1834-202.pdf#page=4","Abrir facsímil")</f>
        <v>Abrir facsímil</v>
      </c>
      <c r="K2594" s="3" t="s">
        <v>37</v>
      </c>
    </row>
    <row r="2595" spans="1:11" ht="54" customHeight="1">
      <c r="A2595" s="2" t="s">
        <v>5922</v>
      </c>
      <c r="B2595" s="2" t="s">
        <v>5923</v>
      </c>
      <c r="C2595" s="2" t="s">
        <v>17</v>
      </c>
      <c r="D2595" s="2" t="s">
        <v>55</v>
      </c>
      <c r="E2595" s="5" t="s">
        <v>571</v>
      </c>
      <c r="F2595" s="3" t="s">
        <v>620</v>
      </c>
      <c r="G2595" s="3" t="s">
        <v>28</v>
      </c>
      <c r="H2595" s="2" t="s">
        <v>35</v>
      </c>
      <c r="I2595" s="2" t="s">
        <v>5925</v>
      </c>
      <c r="J2595" s="3" t="str">
        <f>HYPERLINK("https://www.boe.es/gazeta/dias/1834/09/04/pdfs/GMD-C-1834-202.pdf#page=5","Abrir facsímil")</f>
        <v>Abrir facsímil</v>
      </c>
      <c r="K2595" s="3" t="s">
        <v>37</v>
      </c>
    </row>
    <row r="2596" spans="1:11" ht="54" customHeight="1">
      <c r="A2596" s="2" t="s">
        <v>5916</v>
      </c>
      <c r="B2596" s="2" t="s">
        <v>5917</v>
      </c>
      <c r="C2596" s="2" t="s">
        <v>17</v>
      </c>
      <c r="D2596" s="2" t="s">
        <v>18</v>
      </c>
      <c r="E2596" s="5" t="s">
        <v>243</v>
      </c>
      <c r="F2596" s="3" t="s">
        <v>244</v>
      </c>
      <c r="G2596" s="3" t="s">
        <v>34</v>
      </c>
      <c r="H2596" s="2" t="s">
        <v>35</v>
      </c>
      <c r="I2596" s="2" t="s">
        <v>5926</v>
      </c>
      <c r="J2596" s="3" t="str">
        <f>HYPERLINK("https://www.boe.es/gazeta/dias/1834/08/05/pdfs/GMD-C-1834-169.pdf#page=1","Abrir facsímil")</f>
        <v>Abrir facsímil</v>
      </c>
      <c r="K2596" s="3" t="s">
        <v>37</v>
      </c>
    </row>
    <row r="2597" spans="1:11" ht="54" customHeight="1">
      <c r="A2597" s="2" t="s">
        <v>5916</v>
      </c>
      <c r="B2597" s="2" t="s">
        <v>5917</v>
      </c>
      <c r="C2597" s="2" t="s">
        <v>857</v>
      </c>
      <c r="D2597" s="2" t="s">
        <v>101</v>
      </c>
      <c r="E2597" s="5" t="s">
        <v>1170</v>
      </c>
      <c r="F2597" s="3" t="s">
        <v>1171</v>
      </c>
      <c r="G2597" s="3" t="s">
        <v>28</v>
      </c>
      <c r="H2597" s="2" t="s">
        <v>35</v>
      </c>
      <c r="I2597" s="2" t="s">
        <v>5927</v>
      </c>
      <c r="J2597" s="3" t="str">
        <f>HYPERLINK("https://www.boe.es/gazeta/dias/1834/01/07/pdfs/GMD-1834-4.pdf#page=5","Abrir facsímil")</f>
        <v>Abrir facsímil</v>
      </c>
      <c r="K2597" s="3" t="s">
        <v>37</v>
      </c>
    </row>
    <row r="2598" spans="1:11" ht="54" customHeight="1">
      <c r="A2598" s="2" t="s">
        <v>5922</v>
      </c>
      <c r="B2598" s="2" t="s">
        <v>5923</v>
      </c>
      <c r="C2598" s="2" t="s">
        <v>17</v>
      </c>
      <c r="D2598" s="2" t="s">
        <v>18</v>
      </c>
      <c r="E2598" s="5" t="s">
        <v>258</v>
      </c>
      <c r="F2598" s="3" t="s">
        <v>259</v>
      </c>
      <c r="G2598" s="3" t="s">
        <v>28</v>
      </c>
      <c r="H2598" s="2" t="s">
        <v>35</v>
      </c>
      <c r="I2598" s="2" t="s">
        <v>5928</v>
      </c>
      <c r="J2598" s="3" t="str">
        <f>HYPERLINK("https://www.boe.es/gazeta/dias/1834/10/09/pdfs/GMD-C-1834-237.pdf#page=5","Abrir facsímil")</f>
        <v>Abrir facsímil</v>
      </c>
      <c r="K2598" s="3" t="s">
        <v>37</v>
      </c>
    </row>
    <row r="2599" spans="1:11" ht="54" customHeight="1">
      <c r="A2599" s="2" t="s">
        <v>5916</v>
      </c>
      <c r="B2599" s="2" t="s">
        <v>5917</v>
      </c>
      <c r="C2599" s="2" t="s">
        <v>46</v>
      </c>
      <c r="D2599" s="2" t="s">
        <v>101</v>
      </c>
      <c r="E2599" s="5" t="s">
        <v>2098</v>
      </c>
      <c r="F2599" s="3" t="s">
        <v>5817</v>
      </c>
      <c r="G2599" s="3" t="s">
        <v>86</v>
      </c>
      <c r="H2599" s="2" t="s">
        <v>35</v>
      </c>
      <c r="I2599" s="2" t="s">
        <v>5929</v>
      </c>
      <c r="J2599" s="3" t="str">
        <f>HYPERLINK("https://www.boe.es/gazeta/dias/1834/08/11/pdfs/GMD-C-1834-176.pdf#page=2","Abrir facsímil")</f>
        <v>Abrir facsímil</v>
      </c>
      <c r="K2599" s="3" t="s">
        <v>37</v>
      </c>
    </row>
    <row r="2600" spans="1:11" ht="54" customHeight="1">
      <c r="A2600" s="2" t="s">
        <v>5916</v>
      </c>
      <c r="B2600" s="2" t="s">
        <v>5917</v>
      </c>
      <c r="C2600" s="2" t="s">
        <v>46</v>
      </c>
      <c r="D2600" s="2" t="s">
        <v>101</v>
      </c>
      <c r="E2600" s="5" t="s">
        <v>1839</v>
      </c>
      <c r="F2600" s="3" t="s">
        <v>3598</v>
      </c>
      <c r="G2600" s="3" t="s">
        <v>21</v>
      </c>
      <c r="H2600" s="2" t="s">
        <v>35</v>
      </c>
      <c r="I2600" s="2" t="s">
        <v>5930</v>
      </c>
      <c r="J2600" s="3" t="str">
        <f>HYPERLINK("https://www.boe.es/gazeta/dias/1834/08/12/pdfs/GMD-1834-177.pdf#page=3","Abrir facsímil")</f>
        <v>Abrir facsímil</v>
      </c>
      <c r="K2600" s="3" t="s">
        <v>37</v>
      </c>
    </row>
    <row r="2601" spans="1:11" ht="54" customHeight="1">
      <c r="A2601" s="2" t="s">
        <v>5916</v>
      </c>
      <c r="B2601" s="2" t="s">
        <v>5917</v>
      </c>
      <c r="C2601" s="2" t="s">
        <v>17</v>
      </c>
      <c r="D2601" s="2" t="s">
        <v>18</v>
      </c>
      <c r="E2601" s="5" t="s">
        <v>1839</v>
      </c>
      <c r="F2601" s="3" t="s">
        <v>3598</v>
      </c>
      <c r="G2601" s="3" t="s">
        <v>75</v>
      </c>
      <c r="H2601" s="2" t="s">
        <v>35</v>
      </c>
      <c r="I2601" s="2" t="s">
        <v>5931</v>
      </c>
      <c r="J2601" s="3" t="str">
        <f>HYPERLINK("https://www.boe.es/gazeta/dias/1834/08/12/pdfs/GMD-1834-177.pdf#page=4","Abrir facsímil")</f>
        <v>Abrir facsímil</v>
      </c>
      <c r="K2601" s="3" t="s">
        <v>37</v>
      </c>
    </row>
    <row r="2602" spans="1:11" ht="54" customHeight="1">
      <c r="A2602" s="2" t="s">
        <v>5916</v>
      </c>
      <c r="B2602" s="2" t="s">
        <v>5917</v>
      </c>
      <c r="C2602" s="2" t="s">
        <v>17</v>
      </c>
      <c r="D2602" s="2" t="s">
        <v>18</v>
      </c>
      <c r="E2602" s="5" t="s">
        <v>444</v>
      </c>
      <c r="F2602" s="3" t="s">
        <v>2412</v>
      </c>
      <c r="G2602" s="3" t="s">
        <v>75</v>
      </c>
      <c r="H2602" s="2" t="s">
        <v>35</v>
      </c>
      <c r="I2602" s="2" t="s">
        <v>5932</v>
      </c>
      <c r="J2602" s="3" t="str">
        <f>HYPERLINK("https://www.boe.es/gazeta/dias/1834/09/12/pdfs/GMD-1834-210.pdf#page=4","Abrir facsímil")</f>
        <v>Abrir facsímil</v>
      </c>
      <c r="K2602" s="3" t="s">
        <v>37</v>
      </c>
    </row>
    <row r="2603" spans="1:11" ht="54" customHeight="1">
      <c r="A2603" s="2" t="s">
        <v>5916</v>
      </c>
      <c r="B2603" s="2" t="s">
        <v>5917</v>
      </c>
      <c r="C2603" s="2" t="s">
        <v>46</v>
      </c>
      <c r="D2603" s="2" t="s">
        <v>101</v>
      </c>
      <c r="E2603" s="5" t="s">
        <v>479</v>
      </c>
      <c r="F2603" s="3" t="s">
        <v>2258</v>
      </c>
      <c r="G2603" s="3" t="s">
        <v>86</v>
      </c>
      <c r="H2603" s="2" t="s">
        <v>35</v>
      </c>
      <c r="I2603" s="2" t="s">
        <v>5933</v>
      </c>
      <c r="J2603" s="3" t="str">
        <f>HYPERLINK("https://www.boe.es/gazeta/dias/1834/08/13/pdfs/GMD-C-1834-178.pdf#page=2","Abrir facsímil")</f>
        <v>Abrir facsímil</v>
      </c>
      <c r="K2603" s="3" t="s">
        <v>37</v>
      </c>
    </row>
    <row r="2604" spans="1:11" ht="54" customHeight="1">
      <c r="A2604" s="2" t="s">
        <v>5916</v>
      </c>
      <c r="B2604" s="2" t="s">
        <v>5917</v>
      </c>
      <c r="C2604" s="2" t="s">
        <v>66</v>
      </c>
      <c r="D2604" s="2" t="s">
        <v>67</v>
      </c>
      <c r="E2604" s="5" t="s">
        <v>2260</v>
      </c>
      <c r="F2604" s="3" t="s">
        <v>2263</v>
      </c>
      <c r="G2604" s="3" t="s">
        <v>75</v>
      </c>
      <c r="H2604" s="2" t="s">
        <v>35</v>
      </c>
      <c r="I2604" s="2" t="s">
        <v>5934</v>
      </c>
      <c r="J2604" s="3" t="str">
        <f>HYPERLINK("https://www.boe.es/gazeta/dias/1834/11/13/pdfs/GMD-C-1834-272.pdf#page=4","Abrir facsímil")</f>
        <v>Abrir facsímil</v>
      </c>
      <c r="K2604" s="3" t="s">
        <v>37</v>
      </c>
    </row>
    <row r="2605" spans="1:11" ht="54" customHeight="1">
      <c r="A2605" s="2" t="s">
        <v>5916</v>
      </c>
      <c r="B2605" s="2" t="s">
        <v>5917</v>
      </c>
      <c r="C2605" s="2" t="s">
        <v>90</v>
      </c>
      <c r="D2605" s="2" t="s">
        <v>101</v>
      </c>
      <c r="E2605" s="5" t="s">
        <v>3057</v>
      </c>
      <c r="F2605" s="3" t="s">
        <v>3058</v>
      </c>
      <c r="G2605" s="3" t="s">
        <v>34</v>
      </c>
      <c r="H2605" s="2" t="s">
        <v>35</v>
      </c>
      <c r="I2605" s="2" t="s">
        <v>5935</v>
      </c>
      <c r="J2605" s="3" t="str">
        <f>HYPERLINK("https://www.boe.es/gazeta/dias/1834/06/14/pdfs/GMD-1834-117.pdf#page=1","Abrir facsímil")</f>
        <v>Abrir facsímil</v>
      </c>
      <c r="K2605" s="3" t="s">
        <v>37</v>
      </c>
    </row>
    <row r="2606" spans="1:11" ht="54" customHeight="1">
      <c r="A2606" s="2" t="s">
        <v>5922</v>
      </c>
      <c r="B2606" s="2" t="s">
        <v>5923</v>
      </c>
      <c r="C2606" s="2" t="s">
        <v>857</v>
      </c>
      <c r="D2606" s="2" t="s">
        <v>18</v>
      </c>
      <c r="E2606" s="5" t="s">
        <v>448</v>
      </c>
      <c r="F2606" s="3" t="s">
        <v>449</v>
      </c>
      <c r="G2606" s="3" t="s">
        <v>75</v>
      </c>
      <c r="H2606" s="2" t="s">
        <v>35</v>
      </c>
      <c r="I2606" s="2" t="s">
        <v>5936</v>
      </c>
      <c r="J2606" s="3" t="str">
        <f>HYPERLINK("https://www.boe.es/gazeta/dias/1834/10/14/pdfs/GMD-C-1834-242.pdf#page=4","Abrir facsímil")</f>
        <v>Abrir facsímil</v>
      </c>
      <c r="K2606" s="3" t="s">
        <v>37</v>
      </c>
    </row>
    <row r="2607" spans="1:11" ht="54" customHeight="1">
      <c r="A2607" s="2" t="s">
        <v>5916</v>
      </c>
      <c r="B2607" s="2" t="s">
        <v>5917</v>
      </c>
      <c r="C2607" s="2" t="s">
        <v>66</v>
      </c>
      <c r="D2607" s="2" t="s">
        <v>67</v>
      </c>
      <c r="E2607" s="5" t="s">
        <v>1125</v>
      </c>
      <c r="F2607" s="3" t="s">
        <v>1126</v>
      </c>
      <c r="G2607" s="3" t="s">
        <v>34</v>
      </c>
      <c r="H2607" s="2" t="s">
        <v>35</v>
      </c>
      <c r="I2607" s="2" t="s">
        <v>5937</v>
      </c>
      <c r="J2607" s="3" t="str">
        <f>HYPERLINK("https://www.boe.es/gazeta/dias/1834/04/17/pdfs/GMD-C-1834-56.pdf#page=1","Abrir facsímil")</f>
        <v>Abrir facsímil</v>
      </c>
      <c r="K2607" s="3" t="s">
        <v>37</v>
      </c>
    </row>
    <row r="2608" spans="1:11" ht="54" customHeight="1">
      <c r="A2608" s="2" t="s">
        <v>5916</v>
      </c>
      <c r="B2608" s="2" t="s">
        <v>5917</v>
      </c>
      <c r="C2608" s="2" t="s">
        <v>17</v>
      </c>
      <c r="D2608" s="2" t="s">
        <v>18</v>
      </c>
      <c r="E2608" s="5" t="s">
        <v>615</v>
      </c>
      <c r="F2608" s="3" t="s">
        <v>1205</v>
      </c>
      <c r="G2608" s="3" t="s">
        <v>34</v>
      </c>
      <c r="H2608" s="2" t="s">
        <v>35</v>
      </c>
      <c r="I2608" s="2" t="s">
        <v>5938</v>
      </c>
      <c r="J2608" s="3" t="str">
        <f>HYPERLINK("https://www.boe.es/gazeta/dias/1834/08/19/pdfs/GMD-D-1834-185.pdf#page=1","Abrir facsímil")</f>
        <v>Abrir facsímil</v>
      </c>
      <c r="K2608" s="3" t="s">
        <v>37</v>
      </c>
    </row>
    <row r="2609" spans="1:11" ht="54" customHeight="1">
      <c r="A2609" s="2" t="s">
        <v>5916</v>
      </c>
      <c r="B2609" s="2" t="s">
        <v>5917</v>
      </c>
      <c r="C2609" s="2" t="s">
        <v>17</v>
      </c>
      <c r="D2609" s="2" t="s">
        <v>18</v>
      </c>
      <c r="E2609" s="5" t="s">
        <v>5885</v>
      </c>
      <c r="F2609" s="3" t="s">
        <v>5886</v>
      </c>
      <c r="G2609" s="3" t="s">
        <v>21</v>
      </c>
      <c r="H2609" s="2" t="s">
        <v>35</v>
      </c>
      <c r="I2609" s="2" t="s">
        <v>5939</v>
      </c>
      <c r="J2609" s="3" t="str">
        <f>HYPERLINK("https://www.boe.es/gazeta/dias/1834/05/23/pdfs/GMD-1834-92.pdf#page=3","Abrir facsímil")</f>
        <v>Abrir facsímil</v>
      </c>
      <c r="K2609" s="3" t="s">
        <v>37</v>
      </c>
    </row>
    <row r="2610" spans="1:11" ht="54" customHeight="1">
      <c r="A2610" s="2" t="s">
        <v>5916</v>
      </c>
      <c r="B2610" s="2" t="s">
        <v>5917</v>
      </c>
      <c r="C2610" s="2" t="s">
        <v>122</v>
      </c>
      <c r="D2610" s="2" t="s">
        <v>18</v>
      </c>
      <c r="E2610" s="5" t="s">
        <v>576</v>
      </c>
      <c r="F2610" s="3" t="s">
        <v>5888</v>
      </c>
      <c r="G2610" s="3" t="s">
        <v>86</v>
      </c>
      <c r="H2610" s="2" t="s">
        <v>35</v>
      </c>
      <c r="I2610" s="2" t="s">
        <v>5940</v>
      </c>
      <c r="J2610" s="3" t="str">
        <f>HYPERLINK("https://www.boe.es/gazeta/dias/1834/09/23/pdfs/GMD-C-1834-221.pdf#page=2","Abrir facsímil")</f>
        <v>Abrir facsímil</v>
      </c>
      <c r="K2610" s="3" t="s">
        <v>37</v>
      </c>
    </row>
    <row r="2611" spans="1:11" ht="54" customHeight="1">
      <c r="A2611" s="2" t="s">
        <v>5916</v>
      </c>
      <c r="B2611" s="2" t="s">
        <v>5917</v>
      </c>
      <c r="C2611" s="2" t="s">
        <v>17</v>
      </c>
      <c r="D2611" s="2" t="s">
        <v>18</v>
      </c>
      <c r="E2611" s="5" t="s">
        <v>128</v>
      </c>
      <c r="F2611" s="3" t="s">
        <v>129</v>
      </c>
      <c r="G2611" s="3" t="s">
        <v>34</v>
      </c>
      <c r="H2611" s="2" t="s">
        <v>35</v>
      </c>
      <c r="I2611" s="2" t="s">
        <v>5941</v>
      </c>
      <c r="J2611" s="3" t="str">
        <f>HYPERLINK("https://www.boe.es/gazeta/dias/1834/12/24/pdfs/GMD-C-1834-314.pdf#page=1","Abrir facsímil")</f>
        <v>Abrir facsímil</v>
      </c>
      <c r="K2611" s="3" t="s">
        <v>37</v>
      </c>
    </row>
    <row r="2612" spans="1:11" ht="54" customHeight="1">
      <c r="A2612" s="2" t="s">
        <v>5916</v>
      </c>
      <c r="B2612" s="2" t="s">
        <v>5917</v>
      </c>
      <c r="C2612" s="2" t="s">
        <v>46</v>
      </c>
      <c r="D2612" s="2" t="s">
        <v>101</v>
      </c>
      <c r="E2612" s="5" t="s">
        <v>251</v>
      </c>
      <c r="F2612" s="3" t="s">
        <v>252</v>
      </c>
      <c r="G2612" s="3" t="s">
        <v>86</v>
      </c>
      <c r="H2612" s="2" t="s">
        <v>35</v>
      </c>
      <c r="I2612" s="2" t="s">
        <v>5942</v>
      </c>
      <c r="J2612" s="3" t="str">
        <f>HYPERLINK("https://www.boe.es/gazeta/dias/1834/09/26/pdfs/GMD-C-1834-224.pdf#page=2","Abrir facsímil")</f>
        <v>Abrir facsímil</v>
      </c>
      <c r="K2612" s="3" t="s">
        <v>37</v>
      </c>
    </row>
    <row r="2613" spans="1:11" ht="54" customHeight="1">
      <c r="A2613" s="2" t="s">
        <v>5916</v>
      </c>
      <c r="B2613" s="2" t="s">
        <v>5917</v>
      </c>
      <c r="C2613" s="2" t="s">
        <v>17</v>
      </c>
      <c r="D2613" s="2" t="s">
        <v>18</v>
      </c>
      <c r="E2613" s="5" t="s">
        <v>1680</v>
      </c>
      <c r="F2613" s="3" t="s">
        <v>1681</v>
      </c>
      <c r="G2613" s="3" t="s">
        <v>34</v>
      </c>
      <c r="H2613" s="2" t="s">
        <v>35</v>
      </c>
      <c r="I2613" s="2" t="s">
        <v>5943</v>
      </c>
      <c r="J2613" s="3" t="str">
        <f>HYPERLINK("https://www.boe.es/gazeta/dias/1834/02/27/pdfs/GMD-1834-26.pdf#page=1","Abrir facsímil")</f>
        <v>Abrir facsímil</v>
      </c>
      <c r="K2613" s="3" t="s">
        <v>37</v>
      </c>
    </row>
    <row r="2614" spans="1:11" ht="54" customHeight="1">
      <c r="A2614" s="2" t="s">
        <v>5916</v>
      </c>
      <c r="B2614" s="2" t="s">
        <v>5917</v>
      </c>
      <c r="C2614" s="2" t="s">
        <v>90</v>
      </c>
      <c r="D2614" s="2" t="s">
        <v>18</v>
      </c>
      <c r="E2614" s="5" t="s">
        <v>513</v>
      </c>
      <c r="F2614" s="3" t="s">
        <v>514</v>
      </c>
      <c r="G2614" s="3" t="s">
        <v>34</v>
      </c>
      <c r="H2614" s="2" t="s">
        <v>35</v>
      </c>
      <c r="I2614" s="2" t="s">
        <v>5944</v>
      </c>
      <c r="J2614" s="3" t="str">
        <f>HYPERLINK("https://www.boe.es/gazeta/dias/1834/04/27/pdfs/GMD-1834-66.pdf#page=1","Abrir facsímil")</f>
        <v>Abrir facsímil</v>
      </c>
      <c r="K2614" s="3" t="s">
        <v>37</v>
      </c>
    </row>
    <row r="2615" spans="1:11" ht="54" customHeight="1">
      <c r="A2615" s="2" t="s">
        <v>5916</v>
      </c>
      <c r="B2615" s="2" t="s">
        <v>5917</v>
      </c>
      <c r="C2615" s="2" t="s">
        <v>17</v>
      </c>
      <c r="D2615" s="2" t="s">
        <v>18</v>
      </c>
      <c r="E2615" s="5" t="s">
        <v>465</v>
      </c>
      <c r="F2615" s="3" t="s">
        <v>466</v>
      </c>
      <c r="G2615" s="3" t="s">
        <v>21</v>
      </c>
      <c r="H2615" s="2" t="s">
        <v>35</v>
      </c>
      <c r="I2615" s="2" t="s">
        <v>5945</v>
      </c>
      <c r="J2615" s="3" t="str">
        <f>HYPERLINK("https://www.boe.es/gazeta/dias/1834/11/27/pdfs/GMD-C-1834-286.pdf#page=3","Abrir facsímil")</f>
        <v>Abrir facsímil</v>
      </c>
      <c r="K2615" s="3" t="s">
        <v>37</v>
      </c>
    </row>
    <row r="2616" spans="1:11" ht="54" customHeight="1">
      <c r="A2616" s="2" t="s">
        <v>5916</v>
      </c>
      <c r="B2616" s="2" t="s">
        <v>5917</v>
      </c>
      <c r="C2616" s="2" t="s">
        <v>17</v>
      </c>
      <c r="D2616" s="2" t="s">
        <v>18</v>
      </c>
      <c r="E2616" s="5" t="s">
        <v>777</v>
      </c>
      <c r="F2616" s="3" t="s">
        <v>2535</v>
      </c>
      <c r="G2616" s="3" t="s">
        <v>21</v>
      </c>
      <c r="H2616" s="2" t="s">
        <v>35</v>
      </c>
      <c r="I2616" s="2" t="s">
        <v>5946</v>
      </c>
      <c r="J2616" s="3" t="str">
        <f>HYPERLINK("https://www.boe.es/gazeta/dias/1834/10/29/pdfs/GMD-C-1834-257.pdf#page=3","Abrir facsímil")</f>
        <v>Abrir facsímil</v>
      </c>
      <c r="K2616" s="3" t="s">
        <v>37</v>
      </c>
    </row>
    <row r="2617" spans="1:11" ht="54" customHeight="1">
      <c r="A2617" s="2" t="s">
        <v>5916</v>
      </c>
      <c r="B2617" s="2" t="s">
        <v>5917</v>
      </c>
      <c r="C2617" s="2" t="s">
        <v>17</v>
      </c>
      <c r="D2617" s="2" t="s">
        <v>18</v>
      </c>
      <c r="E2617" s="5" t="s">
        <v>777</v>
      </c>
      <c r="F2617" s="3" t="s">
        <v>2535</v>
      </c>
      <c r="G2617" s="3" t="s">
        <v>28</v>
      </c>
      <c r="H2617" s="2" t="s">
        <v>35</v>
      </c>
      <c r="I2617" s="2" t="s">
        <v>5947</v>
      </c>
      <c r="J2617" s="3" t="str">
        <f>HYPERLINK("https://www.boe.es/gazeta/dias/1834/10/29/pdfs/GMD-C-1834-257.pdf#page=5","Abrir facsímil")</f>
        <v>Abrir facsímil</v>
      </c>
      <c r="K2617" s="3" t="s">
        <v>37</v>
      </c>
    </row>
    <row r="2618" spans="1:11" ht="54" customHeight="1">
      <c r="A2618" s="2" t="s">
        <v>5916</v>
      </c>
      <c r="B2618" s="2" t="s">
        <v>5917</v>
      </c>
      <c r="C2618" s="2" t="s">
        <v>46</v>
      </c>
      <c r="D2618" s="2" t="s">
        <v>101</v>
      </c>
      <c r="E2618" s="5" t="s">
        <v>899</v>
      </c>
      <c r="F2618" s="3" t="s">
        <v>900</v>
      </c>
      <c r="G2618" s="3" t="s">
        <v>86</v>
      </c>
      <c r="H2618" s="2" t="s">
        <v>35</v>
      </c>
      <c r="I2618" s="2" t="s">
        <v>5948</v>
      </c>
      <c r="J2618" s="3" t="str">
        <f>HYPERLINK("https://www.boe.es/gazeta/dias/1834/01/30/pdfs/GMD-1834-14.pdf#page=2","Abrir facsímil")</f>
        <v>Abrir facsímil</v>
      </c>
      <c r="K2618" s="3" t="s">
        <v>37</v>
      </c>
    </row>
    <row r="2619" spans="1:11" ht="54" customHeight="1">
      <c r="A2619" s="2" t="s">
        <v>5916</v>
      </c>
      <c r="B2619" s="2" t="s">
        <v>5917</v>
      </c>
      <c r="C2619" s="2" t="s">
        <v>66</v>
      </c>
      <c r="D2619" s="2" t="s">
        <v>67</v>
      </c>
      <c r="E2619" s="5" t="s">
        <v>273</v>
      </c>
      <c r="F2619" s="3" t="s">
        <v>274</v>
      </c>
      <c r="G2619" s="3" t="s">
        <v>75</v>
      </c>
      <c r="H2619" s="2" t="s">
        <v>35</v>
      </c>
      <c r="I2619" s="2" t="s">
        <v>5949</v>
      </c>
      <c r="J2619" s="3" t="str">
        <f>HYPERLINK("https://www.boe.es/gazeta/dias/1834/08/31/pdfs/GMD-C-1834-198.pdf#page=4","Abrir facsímil")</f>
        <v>Abrir facsímil</v>
      </c>
      <c r="K2619" s="3" t="s">
        <v>37</v>
      </c>
    </row>
    <row r="2620" spans="1:11" ht="54" customHeight="1">
      <c r="A2620" s="2" t="s">
        <v>5950</v>
      </c>
      <c r="B2620" s="2" t="s">
        <v>5951</v>
      </c>
      <c r="C2620" s="2" t="s">
        <v>46</v>
      </c>
      <c r="D2620" s="2" t="s">
        <v>55</v>
      </c>
      <c r="E2620" s="5" t="s">
        <v>61</v>
      </c>
      <c r="F2620" s="3" t="s">
        <v>62</v>
      </c>
      <c r="G2620" s="3" t="s">
        <v>34</v>
      </c>
      <c r="H2620" s="2" t="s">
        <v>35</v>
      </c>
      <c r="I2620" s="2" t="s">
        <v>5952</v>
      </c>
      <c r="J2620" s="3" t="str">
        <f>HYPERLINK("https://www.boe.es/gazeta/dias/1834/06/08/pdfs/GMD-1834-111E.pdf#page=1","Abrir facsímil")</f>
        <v>Abrir facsímil</v>
      </c>
      <c r="K2620" s="3" t="s">
        <v>37</v>
      </c>
    </row>
    <row r="2621" spans="1:11" ht="54" customHeight="1">
      <c r="A2621" s="2" t="s">
        <v>5953</v>
      </c>
      <c r="B2621" s="2" t="s">
        <v>5954</v>
      </c>
      <c r="C2621" s="2" t="s">
        <v>90</v>
      </c>
      <c r="D2621" s="2" t="s">
        <v>18</v>
      </c>
      <c r="E2621" s="5" t="s">
        <v>2287</v>
      </c>
      <c r="F2621" s="3" t="s">
        <v>2288</v>
      </c>
      <c r="G2621" s="3" t="s">
        <v>21</v>
      </c>
      <c r="H2621" s="2" t="s">
        <v>35</v>
      </c>
      <c r="I2621" s="2" t="s">
        <v>5955</v>
      </c>
      <c r="J2621" s="3" t="str">
        <f>HYPERLINK("https://www.boe.es/gazeta/dias/1834/12/18/pdfs/GMD-C-1834-308.pdf#page=3","Abrir facsímil")</f>
        <v>Abrir facsímil</v>
      </c>
      <c r="K2621" s="3" t="s">
        <v>37</v>
      </c>
    </row>
    <row r="2622" spans="1:11" ht="54" customHeight="1">
      <c r="A2622" s="2" t="s">
        <v>5956</v>
      </c>
      <c r="B2622" s="2" t="s">
        <v>5957</v>
      </c>
      <c r="C2622" s="2" t="s">
        <v>90</v>
      </c>
      <c r="D2622" s="2" t="s">
        <v>67</v>
      </c>
      <c r="E2622" s="5" t="s">
        <v>2053</v>
      </c>
      <c r="F2622" s="3" t="s">
        <v>2912</v>
      </c>
      <c r="G2622" s="3" t="s">
        <v>34</v>
      </c>
      <c r="H2622" s="2" t="s">
        <v>35</v>
      </c>
      <c r="I2622" s="2" t="s">
        <v>5958</v>
      </c>
      <c r="J2622" s="3" t="str">
        <f>HYPERLINK("https://www.boe.es/gazeta/dias/1834/06/02/pdfs/GMD-1834-104E.pdf#page=1","Abrir facsímil")</f>
        <v>Abrir facsímil</v>
      </c>
      <c r="K2622" s="3" t="s">
        <v>37</v>
      </c>
    </row>
    <row r="2623" spans="1:11" ht="54" customHeight="1">
      <c r="A2623" s="2" t="s">
        <v>5959</v>
      </c>
      <c r="B2623" s="2" t="s">
        <v>5960</v>
      </c>
      <c r="C2623" s="2" t="s">
        <v>46</v>
      </c>
      <c r="D2623" s="2" t="s">
        <v>18</v>
      </c>
      <c r="E2623" s="5" t="s">
        <v>1653</v>
      </c>
      <c r="F2623" s="3" t="s">
        <v>1654</v>
      </c>
      <c r="G2623" s="3" t="s">
        <v>86</v>
      </c>
      <c r="H2623" s="2" t="s">
        <v>35</v>
      </c>
      <c r="I2623" s="2" t="s">
        <v>5961</v>
      </c>
      <c r="J2623" s="3" t="str">
        <f>HYPERLINK("https://www.boe.es/gazeta/dias/1834/07/03/pdfs/GMD-1834-136.pdf#page=2","Abrir facsímil")</f>
        <v>Abrir facsímil</v>
      </c>
      <c r="K2623" s="3" t="s">
        <v>37</v>
      </c>
    </row>
    <row r="2624" spans="1:11" ht="54" customHeight="1">
      <c r="A2624" s="2" t="s">
        <v>5959</v>
      </c>
      <c r="B2624" s="2" t="s">
        <v>5960</v>
      </c>
      <c r="C2624" s="2" t="s">
        <v>46</v>
      </c>
      <c r="D2624" s="2" t="s">
        <v>55</v>
      </c>
      <c r="E2624" s="5" t="s">
        <v>2048</v>
      </c>
      <c r="F2624" s="3" t="s">
        <v>2049</v>
      </c>
      <c r="G2624" s="3" t="s">
        <v>21</v>
      </c>
      <c r="H2624" s="2" t="s">
        <v>35</v>
      </c>
      <c r="I2624" s="2" t="s">
        <v>5962</v>
      </c>
      <c r="J2624" s="3" t="str">
        <f>HYPERLINK("https://www.boe.es/gazeta/dias/1834/05/12/pdfs/GMD-1834-81.pdf#page=3","Abrir facsímil")</f>
        <v>Abrir facsímil</v>
      </c>
      <c r="K2624" s="3" t="s">
        <v>37</v>
      </c>
    </row>
    <row r="2625" spans="1:11" ht="54" customHeight="1">
      <c r="A2625" s="2" t="s">
        <v>5959</v>
      </c>
      <c r="B2625" s="2" t="s">
        <v>5960</v>
      </c>
      <c r="C2625" s="2" t="s">
        <v>17</v>
      </c>
      <c r="D2625" s="2" t="s">
        <v>55</v>
      </c>
      <c r="E2625" s="5" t="s">
        <v>102</v>
      </c>
      <c r="F2625" s="3" t="s">
        <v>103</v>
      </c>
      <c r="G2625" s="3" t="s">
        <v>21</v>
      </c>
      <c r="H2625" s="2" t="s">
        <v>35</v>
      </c>
      <c r="I2625" s="2" t="s">
        <v>5963</v>
      </c>
      <c r="J2625" s="3" t="str">
        <f>HYPERLINK("https://www.boe.es/gazeta/dias/1834/07/19/pdfs/GMD-1834-152.pdf#page=3","Abrir facsímil")</f>
        <v>Abrir facsímil</v>
      </c>
      <c r="K2625" s="3" t="s">
        <v>37</v>
      </c>
    </row>
    <row r="2626" spans="1:11" ht="54" customHeight="1">
      <c r="A2626" s="2" t="s">
        <v>5964</v>
      </c>
      <c r="B2626" s="2" t="s">
        <v>5965</v>
      </c>
      <c r="C2626" s="2" t="s">
        <v>66</v>
      </c>
      <c r="D2626" s="2" t="s">
        <v>67</v>
      </c>
      <c r="E2626" s="5" t="s">
        <v>2048</v>
      </c>
      <c r="F2626" s="3" t="s">
        <v>2049</v>
      </c>
      <c r="G2626" s="3" t="s">
        <v>86</v>
      </c>
      <c r="H2626" s="2" t="s">
        <v>35</v>
      </c>
      <c r="I2626" s="2" t="s">
        <v>5966</v>
      </c>
      <c r="J2626" s="3" t="str">
        <f>HYPERLINK("https://www.boe.es/gazeta/dias/1834/05/12/pdfs/GMD-1834-81.pdf#page=2","Abrir facsímil")</f>
        <v>Abrir facsímil</v>
      </c>
      <c r="K2626" s="3" t="s">
        <v>37</v>
      </c>
    </row>
    <row r="2627" spans="1:11" ht="54" customHeight="1">
      <c r="A2627" s="2" t="s">
        <v>5967</v>
      </c>
      <c r="B2627" s="2" t="s">
        <v>5968</v>
      </c>
      <c r="C2627" s="2" t="s">
        <v>46</v>
      </c>
      <c r="D2627" s="2" t="s">
        <v>101</v>
      </c>
      <c r="E2627" s="5" t="s">
        <v>2098</v>
      </c>
      <c r="F2627" s="3" t="s">
        <v>5817</v>
      </c>
      <c r="G2627" s="3" t="s">
        <v>86</v>
      </c>
      <c r="H2627" s="2" t="s">
        <v>35</v>
      </c>
      <c r="I2627" s="2" t="s">
        <v>5969</v>
      </c>
      <c r="J2627" s="3" t="str">
        <f>HYPERLINK("https://www.boe.es/gazeta/dias/1834/08/11/pdfs/GMD-C-1834-176.pdf#page=2","Abrir facsímil")</f>
        <v>Abrir facsímil</v>
      </c>
      <c r="K2627" s="3" t="s">
        <v>37</v>
      </c>
    </row>
    <row r="2628" spans="1:11" ht="54" customHeight="1">
      <c r="A2628" s="2" t="s">
        <v>5967</v>
      </c>
      <c r="B2628" s="2" t="s">
        <v>5968</v>
      </c>
      <c r="C2628" s="2" t="s">
        <v>90</v>
      </c>
      <c r="D2628" s="2" t="s">
        <v>101</v>
      </c>
      <c r="E2628" s="5" t="s">
        <v>3057</v>
      </c>
      <c r="F2628" s="3" t="s">
        <v>3058</v>
      </c>
      <c r="G2628" s="3" t="s">
        <v>34</v>
      </c>
      <c r="H2628" s="2" t="s">
        <v>35</v>
      </c>
      <c r="I2628" s="2" t="s">
        <v>5970</v>
      </c>
      <c r="J2628" s="3" t="str">
        <f>HYPERLINK("https://www.boe.es/gazeta/dias/1834/06/14/pdfs/GMD-1834-117.pdf#page=1","Abrir facsímil")</f>
        <v>Abrir facsímil</v>
      </c>
      <c r="K2628" s="3" t="s">
        <v>37</v>
      </c>
    </row>
    <row r="2629" spans="1:11" ht="54" customHeight="1">
      <c r="A2629" s="2" t="s">
        <v>5971</v>
      </c>
      <c r="B2629" s="2" t="s">
        <v>5972</v>
      </c>
      <c r="C2629" s="2" t="s">
        <v>857</v>
      </c>
      <c r="D2629" s="2" t="s">
        <v>18</v>
      </c>
      <c r="E2629" s="5" t="s">
        <v>448</v>
      </c>
      <c r="F2629" s="3" t="s">
        <v>449</v>
      </c>
      <c r="G2629" s="3" t="s">
        <v>75</v>
      </c>
      <c r="H2629" s="2" t="s">
        <v>35</v>
      </c>
      <c r="I2629" s="2" t="s">
        <v>5973</v>
      </c>
      <c r="J2629" s="3" t="str">
        <f>HYPERLINK("https://www.boe.es/gazeta/dias/1834/10/14/pdfs/GMD-C-1834-242.pdf#page=4","Abrir facsímil")</f>
        <v>Abrir facsímil</v>
      </c>
      <c r="K2629" s="3" t="s">
        <v>37</v>
      </c>
    </row>
    <row r="2630" spans="1:11" ht="54" customHeight="1">
      <c r="A2630" s="2" t="s">
        <v>5967</v>
      </c>
      <c r="B2630" s="2" t="s">
        <v>5968</v>
      </c>
      <c r="C2630" s="2" t="s">
        <v>17</v>
      </c>
      <c r="D2630" s="2" t="s">
        <v>18</v>
      </c>
      <c r="E2630" s="5" t="s">
        <v>1680</v>
      </c>
      <c r="F2630" s="3" t="s">
        <v>1681</v>
      </c>
      <c r="G2630" s="3" t="s">
        <v>34</v>
      </c>
      <c r="H2630" s="2" t="s">
        <v>35</v>
      </c>
      <c r="I2630" s="2" t="s">
        <v>5974</v>
      </c>
      <c r="J2630" s="3" t="str">
        <f>HYPERLINK("https://www.boe.es/gazeta/dias/1834/02/27/pdfs/GMD-1834-26.pdf#page=1","Abrir facsímil")</f>
        <v>Abrir facsímil</v>
      </c>
      <c r="K2630" s="3" t="s">
        <v>37</v>
      </c>
    </row>
    <row r="2631" spans="1:11" ht="54" customHeight="1">
      <c r="A2631" s="2" t="s">
        <v>5967</v>
      </c>
      <c r="B2631" s="2" t="s">
        <v>5968</v>
      </c>
      <c r="C2631" s="2" t="s">
        <v>17</v>
      </c>
      <c r="D2631" s="2" t="s">
        <v>18</v>
      </c>
      <c r="E2631" s="5" t="s">
        <v>777</v>
      </c>
      <c r="F2631" s="3" t="s">
        <v>2535</v>
      </c>
      <c r="G2631" s="3" t="s">
        <v>21</v>
      </c>
      <c r="H2631" s="2" t="s">
        <v>35</v>
      </c>
      <c r="I2631" s="2" t="s">
        <v>5975</v>
      </c>
      <c r="J2631" s="3" t="str">
        <f>HYPERLINK("https://www.boe.es/gazeta/dias/1834/10/29/pdfs/GMD-C-1834-257.pdf#page=3","Abrir facsímil")</f>
        <v>Abrir facsímil</v>
      </c>
      <c r="K2631" s="3" t="s">
        <v>37</v>
      </c>
    </row>
    <row r="2632" spans="1:11" ht="54" customHeight="1">
      <c r="A2632" s="2" t="s">
        <v>5976</v>
      </c>
      <c r="B2632" s="2" t="s">
        <v>5976</v>
      </c>
      <c r="C2632" s="2" t="s">
        <v>90</v>
      </c>
      <c r="D2632" s="2" t="s">
        <v>18</v>
      </c>
      <c r="E2632" s="5" t="s">
        <v>258</v>
      </c>
      <c r="F2632" s="3" t="s">
        <v>259</v>
      </c>
      <c r="G2632" s="3" t="s">
        <v>75</v>
      </c>
      <c r="H2632" s="2" t="s">
        <v>22</v>
      </c>
      <c r="I2632" s="2" t="s">
        <v>5977</v>
      </c>
      <c r="J2632" s="3" t="str">
        <f>HYPERLINK("https://www.boe.es/gazeta/dias/1834/10/09/pdfs/GMD-C-1834-237.pdf#page=4","Abrir facsímil")</f>
        <v>Abrir facsímil</v>
      </c>
      <c r="K2632" s="3" t="s">
        <v>24</v>
      </c>
    </row>
    <row r="2633" spans="1:11" ht="54" customHeight="1">
      <c r="A2633" s="2" t="s">
        <v>5978</v>
      </c>
      <c r="B2633" s="2" t="s">
        <v>5979</v>
      </c>
      <c r="C2633" s="2" t="s">
        <v>17</v>
      </c>
      <c r="D2633" s="2" t="s">
        <v>18</v>
      </c>
      <c r="E2633" s="5" t="s">
        <v>606</v>
      </c>
      <c r="F2633" s="3" t="s">
        <v>607</v>
      </c>
      <c r="G2633" s="3" t="s">
        <v>21</v>
      </c>
      <c r="H2633" s="2" t="s">
        <v>22</v>
      </c>
      <c r="I2633" s="2" t="s">
        <v>5980</v>
      </c>
      <c r="J2633" s="3" t="str">
        <f>HYPERLINK("https://www.boe.es/gazeta/dias/1834/06/23/pdfs/GMD-1834-126.pdf#page=3","Abrir facsímil")</f>
        <v>Abrir facsímil</v>
      </c>
      <c r="K2633" s="3" t="s">
        <v>24</v>
      </c>
    </row>
    <row r="2634" spans="1:11" ht="54" customHeight="1">
      <c r="A2634" s="2" t="s">
        <v>5981</v>
      </c>
      <c r="B2634" s="2" t="s">
        <v>5982</v>
      </c>
      <c r="C2634" s="2" t="s">
        <v>17</v>
      </c>
      <c r="D2634" s="2" t="s">
        <v>18</v>
      </c>
      <c r="E2634" s="5" t="s">
        <v>1340</v>
      </c>
      <c r="F2634" s="3" t="s">
        <v>1341</v>
      </c>
      <c r="G2634" s="3" t="s">
        <v>86</v>
      </c>
      <c r="H2634" s="2" t="s">
        <v>22</v>
      </c>
      <c r="I2634" s="2" t="s">
        <v>5983</v>
      </c>
      <c r="J2634" s="3" t="str">
        <f>HYPERLINK("https://www.boe.es/gazeta/dias/1834/10/05/pdfs/GMD-C-1834-233.pdf#page=2","Abrir facsímil")</f>
        <v>Abrir facsímil</v>
      </c>
      <c r="K2634" s="3" t="s">
        <v>24</v>
      </c>
    </row>
    <row r="2635" spans="1:11" ht="54" customHeight="1">
      <c r="A2635" s="2" t="s">
        <v>5981</v>
      </c>
      <c r="B2635" s="2" t="s">
        <v>5982</v>
      </c>
      <c r="C2635" s="2" t="s">
        <v>17</v>
      </c>
      <c r="D2635" s="2" t="s">
        <v>55</v>
      </c>
      <c r="E2635" s="5" t="s">
        <v>79</v>
      </c>
      <c r="F2635" s="3" t="s">
        <v>80</v>
      </c>
      <c r="G2635" s="3" t="s">
        <v>21</v>
      </c>
      <c r="H2635" s="2" t="s">
        <v>22</v>
      </c>
      <c r="I2635" s="2" t="s">
        <v>5984</v>
      </c>
      <c r="J2635" s="3" t="str">
        <f>HYPERLINK("https://www.boe.es/gazeta/dias/1834/07/12/pdfs/GMD-1834-145.pdf#page=3","Abrir facsímil")</f>
        <v>Abrir facsímil</v>
      </c>
      <c r="K2635" s="3" t="s">
        <v>24</v>
      </c>
    </row>
    <row r="2636" spans="1:11" ht="54" customHeight="1">
      <c r="A2636" s="2" t="s">
        <v>5981</v>
      </c>
      <c r="B2636" s="2" t="s">
        <v>5982</v>
      </c>
      <c r="C2636" s="2" t="s">
        <v>46</v>
      </c>
      <c r="D2636" s="2" t="s">
        <v>18</v>
      </c>
      <c r="E2636" s="5" t="s">
        <v>3207</v>
      </c>
      <c r="F2636" s="3" t="s">
        <v>3208</v>
      </c>
      <c r="G2636" s="3" t="s">
        <v>21</v>
      </c>
      <c r="H2636" s="2" t="s">
        <v>22</v>
      </c>
      <c r="I2636" s="2" t="s">
        <v>5985</v>
      </c>
      <c r="J2636" s="3" t="str">
        <f>HYPERLINK("https://www.boe.es/gazeta/dias/1834/10/13/pdfs/GMD-1834-241.pdf#page=3","Abrir facsímil")</f>
        <v>Abrir facsímil</v>
      </c>
      <c r="K2636" s="3" t="s">
        <v>24</v>
      </c>
    </row>
    <row r="2637" spans="1:11" ht="54" customHeight="1">
      <c r="A2637" s="2" t="s">
        <v>5981</v>
      </c>
      <c r="B2637" s="2" t="s">
        <v>5982</v>
      </c>
      <c r="C2637" s="2" t="s">
        <v>17</v>
      </c>
      <c r="D2637" s="2" t="s">
        <v>18</v>
      </c>
      <c r="E2637" s="5" t="s">
        <v>448</v>
      </c>
      <c r="F2637" s="3" t="s">
        <v>449</v>
      </c>
      <c r="G2637" s="3" t="s">
        <v>34</v>
      </c>
      <c r="H2637" s="2" t="s">
        <v>22</v>
      </c>
      <c r="I2637" s="2" t="s">
        <v>5986</v>
      </c>
      <c r="J2637" s="3" t="str">
        <f>HYPERLINK("https://www.boe.es/gazeta/dias/1834/10/14/pdfs/GMD-C-1834-242.pdf#page=1","Abrir facsímil")</f>
        <v>Abrir facsímil</v>
      </c>
      <c r="K2637" s="3" t="s">
        <v>24</v>
      </c>
    </row>
    <row r="2638" spans="1:11" ht="54" customHeight="1">
      <c r="A2638" s="2" t="s">
        <v>5981</v>
      </c>
      <c r="B2638" s="2" t="s">
        <v>5982</v>
      </c>
      <c r="C2638" s="2" t="s">
        <v>17</v>
      </c>
      <c r="D2638" s="2" t="s">
        <v>18</v>
      </c>
      <c r="E2638" s="5" t="s">
        <v>451</v>
      </c>
      <c r="F2638" s="3" t="s">
        <v>452</v>
      </c>
      <c r="G2638" s="3" t="s">
        <v>34</v>
      </c>
      <c r="H2638" s="2" t="s">
        <v>22</v>
      </c>
      <c r="I2638" s="2" t="s">
        <v>5987</v>
      </c>
      <c r="J2638" s="3" t="str">
        <f>HYPERLINK("https://www.boe.es/gazeta/dias/1834/10/15/pdfs/GMD-C-1834-243.pdf#page=1","Abrir facsímil")</f>
        <v>Abrir facsímil</v>
      </c>
      <c r="K2638" s="3" t="s">
        <v>24</v>
      </c>
    </row>
    <row r="2639" spans="1:11" ht="54" customHeight="1">
      <c r="A2639" s="2" t="s">
        <v>5988</v>
      </c>
      <c r="B2639" s="2" t="s">
        <v>5989</v>
      </c>
      <c r="C2639" s="2" t="s">
        <v>17</v>
      </c>
      <c r="D2639" s="2" t="s">
        <v>18</v>
      </c>
      <c r="E2639" s="5" t="s">
        <v>1340</v>
      </c>
      <c r="F2639" s="3" t="s">
        <v>1341</v>
      </c>
      <c r="G2639" s="3" t="s">
        <v>86</v>
      </c>
      <c r="H2639" s="2" t="s">
        <v>22</v>
      </c>
      <c r="I2639" s="2" t="s">
        <v>5990</v>
      </c>
      <c r="J2639" s="3" t="str">
        <f>HYPERLINK("https://www.boe.es/gazeta/dias/1834/10/05/pdfs/GMD-C-1834-233.pdf#page=2","Abrir facsímil")</f>
        <v>Abrir facsímil</v>
      </c>
      <c r="K2639" s="3" t="s">
        <v>24</v>
      </c>
    </row>
    <row r="2640" spans="1:11" ht="54" customHeight="1">
      <c r="A2640" s="2" t="s">
        <v>5988</v>
      </c>
      <c r="B2640" s="2" t="s">
        <v>5989</v>
      </c>
      <c r="C2640" s="2" t="s">
        <v>17</v>
      </c>
      <c r="D2640" s="2" t="s">
        <v>18</v>
      </c>
      <c r="E2640" s="5" t="s">
        <v>813</v>
      </c>
      <c r="F2640" s="3" t="s">
        <v>814</v>
      </c>
      <c r="G2640" s="3" t="s">
        <v>21</v>
      </c>
      <c r="H2640" s="2" t="s">
        <v>22</v>
      </c>
      <c r="I2640" s="2" t="s">
        <v>5991</v>
      </c>
      <c r="J2640" s="3" t="str">
        <f>HYPERLINK("https://www.boe.es/gazeta/dias/1834/08/08/pdfs/GMD-1834-173.pdf#page=3","Abrir facsímil")</f>
        <v>Abrir facsímil</v>
      </c>
      <c r="K2640" s="3" t="s">
        <v>24</v>
      </c>
    </row>
    <row r="2641" spans="1:11" ht="54" customHeight="1">
      <c r="A2641" s="2" t="s">
        <v>5988</v>
      </c>
      <c r="B2641" s="2" t="s">
        <v>5989</v>
      </c>
      <c r="C2641" s="2" t="s">
        <v>17</v>
      </c>
      <c r="D2641" s="2" t="s">
        <v>55</v>
      </c>
      <c r="E2641" s="5" t="s">
        <v>79</v>
      </c>
      <c r="F2641" s="3" t="s">
        <v>80</v>
      </c>
      <c r="G2641" s="3" t="s">
        <v>21</v>
      </c>
      <c r="H2641" s="2" t="s">
        <v>22</v>
      </c>
      <c r="I2641" s="2" t="s">
        <v>5992</v>
      </c>
      <c r="J2641" s="3" t="str">
        <f>HYPERLINK("https://www.boe.es/gazeta/dias/1834/07/12/pdfs/GMD-1834-145.pdf#page=3","Abrir facsímil")</f>
        <v>Abrir facsímil</v>
      </c>
      <c r="K2641" s="3" t="s">
        <v>24</v>
      </c>
    </row>
    <row r="2642" spans="1:11" ht="54" customHeight="1">
      <c r="A2642" s="2" t="s">
        <v>5988</v>
      </c>
      <c r="B2642" s="2" t="s">
        <v>5989</v>
      </c>
      <c r="C2642" s="2" t="s">
        <v>46</v>
      </c>
      <c r="D2642" s="2" t="s">
        <v>18</v>
      </c>
      <c r="E2642" s="5" t="s">
        <v>3207</v>
      </c>
      <c r="F2642" s="3" t="s">
        <v>3208</v>
      </c>
      <c r="G2642" s="3" t="s">
        <v>21</v>
      </c>
      <c r="H2642" s="2" t="s">
        <v>22</v>
      </c>
      <c r="I2642" s="2" t="s">
        <v>5993</v>
      </c>
      <c r="J2642" s="3" t="str">
        <f>HYPERLINK("https://www.boe.es/gazeta/dias/1834/10/13/pdfs/GMD-1834-241.pdf#page=3","Abrir facsímil")</f>
        <v>Abrir facsímil</v>
      </c>
      <c r="K2642" s="3" t="s">
        <v>24</v>
      </c>
    </row>
    <row r="2643" spans="1:11" ht="54" customHeight="1">
      <c r="A2643" s="2" t="s">
        <v>5988</v>
      </c>
      <c r="B2643" s="2" t="s">
        <v>5989</v>
      </c>
      <c r="C2643" s="2" t="s">
        <v>17</v>
      </c>
      <c r="D2643" s="2" t="s">
        <v>18</v>
      </c>
      <c r="E2643" s="5" t="s">
        <v>448</v>
      </c>
      <c r="F2643" s="3" t="s">
        <v>449</v>
      </c>
      <c r="G2643" s="3" t="s">
        <v>34</v>
      </c>
      <c r="H2643" s="2" t="s">
        <v>22</v>
      </c>
      <c r="I2643" s="2" t="s">
        <v>5994</v>
      </c>
      <c r="J2643" s="3" t="str">
        <f>HYPERLINK("https://www.boe.es/gazeta/dias/1834/10/14/pdfs/GMD-C-1834-242.pdf#page=1","Abrir facsímil")</f>
        <v>Abrir facsímil</v>
      </c>
      <c r="K2643" s="3" t="s">
        <v>24</v>
      </c>
    </row>
    <row r="2644" spans="1:11" ht="54" customHeight="1">
      <c r="A2644" s="2" t="s">
        <v>5988</v>
      </c>
      <c r="B2644" s="2" t="s">
        <v>5989</v>
      </c>
      <c r="C2644" s="2" t="s">
        <v>17</v>
      </c>
      <c r="D2644" s="2" t="s">
        <v>18</v>
      </c>
      <c r="E2644" s="5" t="s">
        <v>451</v>
      </c>
      <c r="F2644" s="3" t="s">
        <v>452</v>
      </c>
      <c r="G2644" s="3" t="s">
        <v>34</v>
      </c>
      <c r="H2644" s="2" t="s">
        <v>22</v>
      </c>
      <c r="I2644" s="2" t="s">
        <v>5995</v>
      </c>
      <c r="J2644" s="3" t="str">
        <f>HYPERLINK("https://www.boe.es/gazeta/dias/1834/10/15/pdfs/GMD-C-1834-243.pdf#page=1","Abrir facsímil")</f>
        <v>Abrir facsímil</v>
      </c>
      <c r="K2644" s="3" t="s">
        <v>24</v>
      </c>
    </row>
    <row r="2645" spans="1:11" ht="54" customHeight="1">
      <c r="A2645" s="2" t="s">
        <v>5988</v>
      </c>
      <c r="B2645" s="2" t="s">
        <v>5989</v>
      </c>
      <c r="C2645" s="2" t="s">
        <v>17</v>
      </c>
      <c r="D2645" s="2" t="s">
        <v>18</v>
      </c>
      <c r="E2645" s="5" t="s">
        <v>606</v>
      </c>
      <c r="F2645" s="3" t="s">
        <v>607</v>
      </c>
      <c r="G2645" s="3" t="s">
        <v>21</v>
      </c>
      <c r="H2645" s="2" t="s">
        <v>22</v>
      </c>
      <c r="I2645" s="2" t="s">
        <v>5996</v>
      </c>
      <c r="J2645" s="3" t="str">
        <f>HYPERLINK("https://www.boe.es/gazeta/dias/1834/06/23/pdfs/GMD-1834-126.pdf#page=3","Abrir facsímil")</f>
        <v>Abrir facsímil</v>
      </c>
      <c r="K2645" s="3" t="s">
        <v>24</v>
      </c>
    </row>
    <row r="2646" spans="1:11" ht="54" customHeight="1">
      <c r="A2646" s="2" t="s">
        <v>5997</v>
      </c>
      <c r="B2646" s="2" t="s">
        <v>5998</v>
      </c>
      <c r="C2646" s="2" t="s">
        <v>17</v>
      </c>
      <c r="D2646" s="2" t="s">
        <v>18</v>
      </c>
      <c r="E2646" s="5" t="s">
        <v>627</v>
      </c>
      <c r="F2646" s="3" t="s">
        <v>628</v>
      </c>
      <c r="G2646" s="3" t="s">
        <v>560</v>
      </c>
      <c r="H2646" s="2" t="s">
        <v>22</v>
      </c>
      <c r="I2646" s="2" t="s">
        <v>5999</v>
      </c>
      <c r="J2646" s="3" t="str">
        <f>HYPERLINK("https://www.boe.es/gazeta/dias/1834/09/22/pdfs/GMD-C-1834-220.pdf#page=7","Abrir facsímil")</f>
        <v>Abrir facsímil</v>
      </c>
      <c r="K2646" s="3" t="s">
        <v>24</v>
      </c>
    </row>
    <row r="2647" spans="1:11" ht="54" customHeight="1">
      <c r="A2647" s="2" t="s">
        <v>6000</v>
      </c>
      <c r="B2647" s="2" t="s">
        <v>6000</v>
      </c>
      <c r="C2647" s="2" t="s">
        <v>17</v>
      </c>
      <c r="D2647" s="2" t="s">
        <v>40</v>
      </c>
      <c r="E2647" s="5" t="s">
        <v>153</v>
      </c>
      <c r="F2647" s="3" t="s">
        <v>1294</v>
      </c>
      <c r="G2647" s="3" t="s">
        <v>75</v>
      </c>
      <c r="H2647" s="2" t="s">
        <v>22</v>
      </c>
      <c r="I2647" s="2" t="s">
        <v>6001</v>
      </c>
      <c r="J2647" s="3" t="str">
        <f>HYPERLINK("https://www.boe.es/gazeta/dias/1834/12/30/pdfs/GMD-1834-320.pdf#page=4","Abrir facsímil")</f>
        <v>Abrir facsímil</v>
      </c>
      <c r="K2647" s="3" t="s">
        <v>24</v>
      </c>
    </row>
    <row r="2648" spans="1:11" ht="54" customHeight="1">
      <c r="A2648" s="2" t="s">
        <v>6002</v>
      </c>
      <c r="B2648" s="2" t="s">
        <v>6003</v>
      </c>
      <c r="C2648" s="2" t="s">
        <v>17</v>
      </c>
      <c r="D2648" s="2" t="s">
        <v>18</v>
      </c>
      <c r="E2648" s="5" t="s">
        <v>68</v>
      </c>
      <c r="F2648" s="3" t="s">
        <v>69</v>
      </c>
      <c r="G2648" s="3" t="s">
        <v>21</v>
      </c>
      <c r="H2648" s="2" t="s">
        <v>22</v>
      </c>
      <c r="I2648" s="2" t="s">
        <v>6004</v>
      </c>
      <c r="J2648" s="3" t="str">
        <f>HYPERLINK("https://www.boe.es/gazeta/dias/1834/11/01/pdfs/GMD-1834-260.pdf#page=3","Abrir facsímil")</f>
        <v>Abrir facsímil</v>
      </c>
      <c r="K2648" s="3" t="s">
        <v>24</v>
      </c>
    </row>
    <row r="2649" spans="1:11" ht="54" customHeight="1">
      <c r="A2649" s="2" t="s">
        <v>6005</v>
      </c>
      <c r="B2649" s="2" t="s">
        <v>6005</v>
      </c>
      <c r="C2649" s="2" t="s">
        <v>17</v>
      </c>
      <c r="D2649" s="2" t="s">
        <v>55</v>
      </c>
      <c r="E2649" s="5" t="s">
        <v>1186</v>
      </c>
      <c r="F2649" s="3" t="s">
        <v>1187</v>
      </c>
      <c r="G2649" s="3" t="s">
        <v>34</v>
      </c>
      <c r="H2649" s="2" t="s">
        <v>22</v>
      </c>
      <c r="I2649" s="2" t="s">
        <v>6006</v>
      </c>
      <c r="J2649" s="3" t="str">
        <f>HYPERLINK("https://www.boe.es/gazeta/dias/1834/08/14/pdfs/GMD-1834-179.pdf#page=1","Abrir facsímil")</f>
        <v>Abrir facsímil</v>
      </c>
      <c r="K2649" s="3" t="s">
        <v>24</v>
      </c>
    </row>
    <row r="2650" spans="1:11" ht="54" customHeight="1">
      <c r="A2650" s="2" t="s">
        <v>6007</v>
      </c>
      <c r="B2650" s="2" t="s">
        <v>6008</v>
      </c>
      <c r="C2650" s="2" t="s">
        <v>66</v>
      </c>
      <c r="D2650" s="2" t="s">
        <v>18</v>
      </c>
      <c r="E2650" s="5" t="s">
        <v>1186</v>
      </c>
      <c r="F2650" s="3" t="s">
        <v>4286</v>
      </c>
      <c r="G2650" s="3" t="s">
        <v>34</v>
      </c>
      <c r="H2650" s="2" t="s">
        <v>35</v>
      </c>
      <c r="I2650" s="2" t="s">
        <v>6009</v>
      </c>
      <c r="J2650" s="3" t="str">
        <f>HYPERLINK("https://www.boe.es/gazeta/dias/1834/08/14/pdfs/GMD-C-1834-179.pdf#page=1","Abrir facsímil")</f>
        <v>Abrir facsímil</v>
      </c>
      <c r="K2650" s="3" t="s">
        <v>37</v>
      </c>
    </row>
    <row r="2651" spans="1:11" ht="54" customHeight="1">
      <c r="A2651" s="2" t="s">
        <v>6007</v>
      </c>
      <c r="B2651" s="2" t="s">
        <v>6008</v>
      </c>
      <c r="C2651" s="2" t="s">
        <v>17</v>
      </c>
      <c r="D2651" s="2" t="s">
        <v>18</v>
      </c>
      <c r="E2651" s="5" t="s">
        <v>128</v>
      </c>
      <c r="F2651" s="3" t="s">
        <v>129</v>
      </c>
      <c r="G2651" s="3" t="s">
        <v>75</v>
      </c>
      <c r="H2651" s="2" t="s">
        <v>35</v>
      </c>
      <c r="I2651" s="2" t="s">
        <v>6010</v>
      </c>
      <c r="J2651" s="3" t="str">
        <f>HYPERLINK("https://www.boe.es/gazeta/dias/1834/12/24/pdfs/GMD-C-1834-314.pdf#page=4","Abrir facsímil")</f>
        <v>Abrir facsímil</v>
      </c>
      <c r="K2651" s="3" t="s">
        <v>37</v>
      </c>
    </row>
    <row r="2652" spans="1:11" ht="54" customHeight="1">
      <c r="A2652" s="2" t="s">
        <v>6011</v>
      </c>
      <c r="B2652" s="2" t="s">
        <v>6012</v>
      </c>
      <c r="C2652" s="2" t="s">
        <v>66</v>
      </c>
      <c r="D2652" s="2" t="s">
        <v>18</v>
      </c>
      <c r="E2652" s="5" t="s">
        <v>1186</v>
      </c>
      <c r="F2652" s="3" t="s">
        <v>4286</v>
      </c>
      <c r="G2652" s="3" t="s">
        <v>34</v>
      </c>
      <c r="H2652" s="2" t="s">
        <v>22</v>
      </c>
      <c r="I2652" s="2" t="s">
        <v>6013</v>
      </c>
      <c r="J2652" s="3" t="str">
        <f>HYPERLINK("https://www.boe.es/gazeta/dias/1834/08/14/pdfs/GMD-C-1834-179.pdf#page=1","Abrir facsímil")</f>
        <v>Abrir facsímil</v>
      </c>
      <c r="K2652" s="3" t="s">
        <v>24</v>
      </c>
    </row>
    <row r="2653" spans="1:11" ht="54" customHeight="1">
      <c r="A2653" s="2" t="s">
        <v>6011</v>
      </c>
      <c r="B2653" s="2" t="s">
        <v>6012</v>
      </c>
      <c r="C2653" s="2" t="s">
        <v>66</v>
      </c>
      <c r="D2653" s="2" t="s">
        <v>67</v>
      </c>
      <c r="E2653" s="5" t="s">
        <v>133</v>
      </c>
      <c r="F2653" s="3" t="s">
        <v>134</v>
      </c>
      <c r="G2653" s="3" t="s">
        <v>34</v>
      </c>
      <c r="H2653" s="2" t="s">
        <v>22</v>
      </c>
      <c r="I2653" s="2" t="s">
        <v>6014</v>
      </c>
      <c r="J2653" s="3" t="str">
        <f>HYPERLINK("https://www.boe.es/gazeta/dias/1834/06/18/pdfs/GMD-1834-121.pdf#page=1","Abrir facsímil")</f>
        <v>Abrir facsímil</v>
      </c>
      <c r="K2653" s="3" t="s">
        <v>24</v>
      </c>
    </row>
    <row r="2654" spans="1:11" ht="54" customHeight="1">
      <c r="A2654" s="2" t="s">
        <v>6011</v>
      </c>
      <c r="B2654" s="2" t="s">
        <v>6012</v>
      </c>
      <c r="C2654" s="2" t="s">
        <v>17</v>
      </c>
      <c r="D2654" s="2" t="s">
        <v>18</v>
      </c>
      <c r="E2654" s="5" t="s">
        <v>128</v>
      </c>
      <c r="F2654" s="3" t="s">
        <v>129</v>
      </c>
      <c r="G2654" s="3" t="s">
        <v>75</v>
      </c>
      <c r="H2654" s="2" t="s">
        <v>22</v>
      </c>
      <c r="I2654" s="2" t="s">
        <v>6015</v>
      </c>
      <c r="J2654" s="3" t="str">
        <f>HYPERLINK("https://www.boe.es/gazeta/dias/1834/12/24/pdfs/GMD-C-1834-314.pdf#page=4","Abrir facsímil")</f>
        <v>Abrir facsímil</v>
      </c>
      <c r="K2654" s="3" t="s">
        <v>24</v>
      </c>
    </row>
    <row r="2655" spans="1:11" ht="54" customHeight="1">
      <c r="A2655" s="2" t="s">
        <v>6016</v>
      </c>
      <c r="B2655" s="2" t="s">
        <v>6016</v>
      </c>
      <c r="C2655" s="2" t="s">
        <v>17</v>
      </c>
      <c r="D2655" s="2" t="s">
        <v>18</v>
      </c>
      <c r="E2655" s="5" t="s">
        <v>1789</v>
      </c>
      <c r="F2655" s="3" t="s">
        <v>1790</v>
      </c>
      <c r="G2655" s="3" t="s">
        <v>75</v>
      </c>
      <c r="H2655" s="2" t="s">
        <v>22</v>
      </c>
      <c r="I2655" s="2" t="s">
        <v>6017</v>
      </c>
      <c r="J2655" s="3" t="str">
        <f>HYPERLINK("https://www.boe.es/gazeta/dias/1834/05/31/pdfs/GMD-1834-100.pdf#page=4","Abrir facsímil")</f>
        <v>Abrir facsímil</v>
      </c>
      <c r="K2655" s="3" t="s">
        <v>24</v>
      </c>
    </row>
    <row r="2656" spans="1:11" ht="54" customHeight="1">
      <c r="A2656" s="2" t="s">
        <v>6018</v>
      </c>
      <c r="B2656" s="2" t="s">
        <v>6019</v>
      </c>
      <c r="C2656" s="2" t="s">
        <v>17</v>
      </c>
      <c r="D2656" s="2" t="s">
        <v>18</v>
      </c>
      <c r="E2656" s="5" t="s">
        <v>41</v>
      </c>
      <c r="F2656" s="3" t="s">
        <v>42</v>
      </c>
      <c r="G2656" s="3" t="s">
        <v>86</v>
      </c>
      <c r="H2656" s="2" t="s">
        <v>22</v>
      </c>
      <c r="I2656" s="2" t="s">
        <v>6020</v>
      </c>
      <c r="J2656" s="3" t="str">
        <f>HYPERLINK("https://www.boe.es/gazeta/dias/1834/06/11/pdfs/GMD-1834-114.pdf#page=2","Abrir facsímil")</f>
        <v>Abrir facsímil</v>
      </c>
      <c r="K2656" s="3" t="s">
        <v>24</v>
      </c>
    </row>
    <row r="2657" spans="1:11" ht="54" customHeight="1">
      <c r="A2657" s="2" t="s">
        <v>6021</v>
      </c>
      <c r="B2657" s="2" t="s">
        <v>6021</v>
      </c>
      <c r="C2657" s="2" t="s">
        <v>66</v>
      </c>
      <c r="D2657" s="2" t="s">
        <v>40</v>
      </c>
      <c r="E2657" s="5" t="s">
        <v>364</v>
      </c>
      <c r="F2657" s="3" t="s">
        <v>365</v>
      </c>
      <c r="G2657" s="3" t="s">
        <v>86</v>
      </c>
      <c r="H2657" s="2" t="s">
        <v>22</v>
      </c>
      <c r="I2657" s="2" t="s">
        <v>6022</v>
      </c>
      <c r="J2657" s="3" t="str">
        <f>HYPERLINK("https://www.boe.es/gazeta/dias/1834/09/06/pdfs/GMD-D-1834-204.pdf#page=2","Abrir facsímil")</f>
        <v>Abrir facsímil</v>
      </c>
      <c r="K2657" s="3" t="s">
        <v>24</v>
      </c>
    </row>
    <row r="2658" spans="1:11" ht="54" customHeight="1">
      <c r="A2658" s="2" t="s">
        <v>6023</v>
      </c>
      <c r="B2658" s="2" t="s">
        <v>6023</v>
      </c>
      <c r="C2658" s="2" t="s">
        <v>66</v>
      </c>
      <c r="D2658" s="2" t="s">
        <v>67</v>
      </c>
      <c r="E2658" s="5" t="s">
        <v>1955</v>
      </c>
      <c r="F2658" s="3" t="s">
        <v>1956</v>
      </c>
      <c r="G2658" s="3" t="s">
        <v>75</v>
      </c>
      <c r="H2658" s="2" t="s">
        <v>22</v>
      </c>
      <c r="I2658" s="2" t="s">
        <v>6024</v>
      </c>
      <c r="J2658" s="3" t="str">
        <f>HYPERLINK("https://www.boe.es/gazeta/dias/1834/05/04/pdfs/GMD-1834-73.pdf#page=4","Abrir facsímil")</f>
        <v>Abrir facsímil</v>
      </c>
      <c r="K2658" s="3" t="s">
        <v>24</v>
      </c>
    </row>
    <row r="2659" spans="1:11" ht="54" customHeight="1">
      <c r="A2659" s="2" t="s">
        <v>6025</v>
      </c>
      <c r="B2659" s="2" t="s">
        <v>6025</v>
      </c>
      <c r="C2659" s="2" t="s">
        <v>90</v>
      </c>
      <c r="D2659" s="2" t="s">
        <v>67</v>
      </c>
      <c r="E2659" s="5" t="s">
        <v>123</v>
      </c>
      <c r="F2659" s="3" t="s">
        <v>124</v>
      </c>
      <c r="G2659" s="3" t="s">
        <v>21</v>
      </c>
      <c r="H2659" s="2" t="s">
        <v>22</v>
      </c>
      <c r="I2659" s="2" t="s">
        <v>6026</v>
      </c>
      <c r="J2659" s="3" t="str">
        <f>HYPERLINK("https://www.boe.es/gazeta/dias/1834/07/11/pdfs/GMD-1834-144.pdf#page=3","Abrir facsímil")</f>
        <v>Abrir facsímil</v>
      </c>
      <c r="K2659" s="3" t="s">
        <v>24</v>
      </c>
    </row>
    <row r="2660" spans="1:11" ht="54" customHeight="1">
      <c r="A2660" s="2" t="s">
        <v>6027</v>
      </c>
      <c r="B2660" s="2" t="s">
        <v>6028</v>
      </c>
      <c r="C2660" s="2" t="s">
        <v>17</v>
      </c>
      <c r="D2660" s="2" t="s">
        <v>40</v>
      </c>
      <c r="E2660" s="5" t="s">
        <v>506</v>
      </c>
      <c r="F2660" s="3" t="s">
        <v>507</v>
      </c>
      <c r="G2660" s="3" t="s">
        <v>176</v>
      </c>
      <c r="H2660" s="2" t="s">
        <v>22</v>
      </c>
      <c r="I2660" s="2" t="s">
        <v>6029</v>
      </c>
      <c r="J2660" s="3" t="str">
        <f>HYPERLINK("https://www.boe.es/gazeta/dias/1834/03/04/pdfs/GMD-1834-28.pdf#page=6","Abrir facsímil")</f>
        <v>Abrir facsímil</v>
      </c>
      <c r="K2660" s="3" t="s">
        <v>24</v>
      </c>
    </row>
    <row r="2661" spans="1:11" ht="54" customHeight="1">
      <c r="A2661" s="2" t="s">
        <v>6030</v>
      </c>
      <c r="B2661" s="2" t="s">
        <v>6031</v>
      </c>
      <c r="C2661" s="2" t="s">
        <v>66</v>
      </c>
      <c r="D2661" s="2" t="s">
        <v>67</v>
      </c>
      <c r="E2661" s="5" t="s">
        <v>2860</v>
      </c>
      <c r="F2661" s="3" t="s">
        <v>2861</v>
      </c>
      <c r="G2661" s="3" t="s">
        <v>75</v>
      </c>
      <c r="H2661" s="2" t="s">
        <v>35</v>
      </c>
      <c r="I2661" s="2" t="s">
        <v>6032</v>
      </c>
      <c r="J2661" s="3" t="str">
        <f>HYPERLINK("https://www.boe.es/gazeta/dias/1834/07/20/pdfs/GMD-1834-153.pdf#page=4","Abrir facsímil")</f>
        <v>Abrir facsímil</v>
      </c>
      <c r="K2661" s="3" t="s">
        <v>37</v>
      </c>
    </row>
    <row r="2662" spans="1:11" ht="54" customHeight="1">
      <c r="A2662" s="2" t="s">
        <v>6033</v>
      </c>
      <c r="B2662" s="2" t="s">
        <v>6034</v>
      </c>
      <c r="C2662" s="2" t="s">
        <v>66</v>
      </c>
      <c r="D2662" s="2" t="s">
        <v>67</v>
      </c>
      <c r="E2662" s="5" t="s">
        <v>2860</v>
      </c>
      <c r="F2662" s="3" t="s">
        <v>2861</v>
      </c>
      <c r="G2662" s="3" t="s">
        <v>75</v>
      </c>
      <c r="H2662" s="2" t="s">
        <v>22</v>
      </c>
      <c r="I2662" s="2" t="s">
        <v>6035</v>
      </c>
      <c r="J2662" s="3" t="str">
        <f>HYPERLINK("https://www.boe.es/gazeta/dias/1834/07/20/pdfs/GMD-1834-153.pdf#page=4","Abrir facsímil")</f>
        <v>Abrir facsímil</v>
      </c>
      <c r="K2662" s="3" t="s">
        <v>24</v>
      </c>
    </row>
    <row r="2663" spans="1:11" ht="54" customHeight="1">
      <c r="A2663" s="2" t="s">
        <v>6036</v>
      </c>
      <c r="B2663" s="2" t="s">
        <v>6036</v>
      </c>
      <c r="C2663" s="2" t="s">
        <v>17</v>
      </c>
      <c r="D2663" s="2" t="s">
        <v>18</v>
      </c>
      <c r="E2663" s="5" t="s">
        <v>158</v>
      </c>
      <c r="F2663" s="3" t="s">
        <v>581</v>
      </c>
      <c r="G2663" s="3" t="s">
        <v>75</v>
      </c>
      <c r="H2663" s="2" t="s">
        <v>22</v>
      </c>
      <c r="I2663" s="2" t="s">
        <v>6037</v>
      </c>
      <c r="J2663" s="3" t="str">
        <f>HYPERLINK("https://www.boe.es/gazeta/dias/1834/10/01/pdfs/GMD-C-1834-229.pdf#page=4","Abrir facsímil")</f>
        <v>Abrir facsímil</v>
      </c>
      <c r="K2663" s="3" t="s">
        <v>24</v>
      </c>
    </row>
    <row r="2664" spans="1:11" ht="54" customHeight="1">
      <c r="A2664" s="2" t="s">
        <v>6036</v>
      </c>
      <c r="B2664" s="2" t="s">
        <v>6036</v>
      </c>
      <c r="C2664" s="2" t="s">
        <v>46</v>
      </c>
      <c r="D2664" s="2" t="s">
        <v>101</v>
      </c>
      <c r="E2664" s="5" t="s">
        <v>772</v>
      </c>
      <c r="F2664" s="3" t="s">
        <v>2284</v>
      </c>
      <c r="G2664" s="3" t="s">
        <v>21</v>
      </c>
      <c r="H2664" s="2" t="s">
        <v>22</v>
      </c>
      <c r="I2664" s="2" t="s">
        <v>6038</v>
      </c>
      <c r="J2664" s="3" t="str">
        <f>HYPERLINK("https://www.boe.es/gazeta/dias/1834/09/18/pdfs/GMD-C-1834-216.pdf#page=3","Abrir facsímil")</f>
        <v>Abrir facsímil</v>
      </c>
      <c r="K2664" s="3" t="s">
        <v>24</v>
      </c>
    </row>
    <row r="2665" spans="1:11" ht="54" customHeight="1">
      <c r="A2665" s="2" t="s">
        <v>6036</v>
      </c>
      <c r="B2665" s="2" t="s">
        <v>6036</v>
      </c>
      <c r="C2665" s="2" t="s">
        <v>17</v>
      </c>
      <c r="D2665" s="2" t="s">
        <v>18</v>
      </c>
      <c r="E2665" s="5" t="s">
        <v>2287</v>
      </c>
      <c r="F2665" s="3" t="s">
        <v>2288</v>
      </c>
      <c r="G2665" s="3" t="s">
        <v>176</v>
      </c>
      <c r="H2665" s="2" t="s">
        <v>22</v>
      </c>
      <c r="I2665" s="2" t="s">
        <v>6039</v>
      </c>
      <c r="J2665" s="3" t="str">
        <f>HYPERLINK("https://www.boe.es/gazeta/dias/1834/12/18/pdfs/GMD-C-1834-308.pdf#page=6","Abrir facsímil")</f>
        <v>Abrir facsímil</v>
      </c>
      <c r="K2665" s="3" t="s">
        <v>24</v>
      </c>
    </row>
    <row r="2666" spans="1:11" ht="54" customHeight="1">
      <c r="A2666" s="2" t="s">
        <v>6036</v>
      </c>
      <c r="B2666" s="2" t="s">
        <v>6036</v>
      </c>
      <c r="C2666" s="2" t="s">
        <v>66</v>
      </c>
      <c r="D2666" s="2" t="s">
        <v>101</v>
      </c>
      <c r="E2666" s="5" t="s">
        <v>3248</v>
      </c>
      <c r="F2666" s="3" t="s">
        <v>4798</v>
      </c>
      <c r="G2666" s="3" t="s">
        <v>21</v>
      </c>
      <c r="H2666" s="2" t="s">
        <v>22</v>
      </c>
      <c r="I2666" s="2" t="s">
        <v>6040</v>
      </c>
      <c r="J2666" s="3" t="str">
        <f>HYPERLINK("https://www.boe.es/gazeta/dias/1834/09/20/pdfs/GMD-C-1834-218.pdf#page=3","Abrir facsímil")</f>
        <v>Abrir facsímil</v>
      </c>
      <c r="K2666" s="3" t="s">
        <v>24</v>
      </c>
    </row>
    <row r="2667" spans="1:11" ht="54" customHeight="1">
      <c r="A2667" s="2" t="s">
        <v>6036</v>
      </c>
      <c r="B2667" s="2" t="s">
        <v>6036</v>
      </c>
      <c r="C2667" s="2" t="s">
        <v>17</v>
      </c>
      <c r="D2667" s="2" t="s">
        <v>18</v>
      </c>
      <c r="E2667" s="5" t="s">
        <v>3248</v>
      </c>
      <c r="F2667" s="3" t="s">
        <v>4798</v>
      </c>
      <c r="G2667" s="3" t="s">
        <v>176</v>
      </c>
      <c r="H2667" s="2" t="s">
        <v>22</v>
      </c>
      <c r="I2667" s="2" t="s">
        <v>6041</v>
      </c>
      <c r="J2667" s="3" t="str">
        <f>HYPERLINK("https://www.boe.es/gazeta/dias/1834/09/20/pdfs/GMD-C-1834-218.pdf#page=6","Abrir facsímil")</f>
        <v>Abrir facsímil</v>
      </c>
      <c r="K2667" s="3" t="s">
        <v>24</v>
      </c>
    </row>
    <row r="2668" spans="1:11" ht="54" customHeight="1">
      <c r="A2668" s="2" t="s">
        <v>6036</v>
      </c>
      <c r="B2668" s="2" t="s">
        <v>6036</v>
      </c>
      <c r="C2668" s="2" t="s">
        <v>17</v>
      </c>
      <c r="D2668" s="2" t="s">
        <v>18</v>
      </c>
      <c r="E2668" s="5" t="s">
        <v>627</v>
      </c>
      <c r="F2668" s="3" t="s">
        <v>628</v>
      </c>
      <c r="G2668" s="3" t="s">
        <v>34</v>
      </c>
      <c r="H2668" s="2" t="s">
        <v>22</v>
      </c>
      <c r="I2668" s="2" t="s">
        <v>6042</v>
      </c>
      <c r="J2668" s="3" t="str">
        <f>HYPERLINK("https://www.boe.es/gazeta/dias/1834/09/22/pdfs/GMD-C-1834-220.pdf#page=1","Abrir facsímil")</f>
        <v>Abrir facsímil</v>
      </c>
      <c r="K2668" s="3" t="s">
        <v>24</v>
      </c>
    </row>
    <row r="2669" spans="1:11" ht="54" customHeight="1">
      <c r="A2669" s="2" t="s">
        <v>6036</v>
      </c>
      <c r="B2669" s="2" t="s">
        <v>6036</v>
      </c>
      <c r="C2669" s="2" t="s">
        <v>17</v>
      </c>
      <c r="D2669" s="2" t="s">
        <v>18</v>
      </c>
      <c r="E2669" s="5" t="s">
        <v>403</v>
      </c>
      <c r="F2669" s="3" t="s">
        <v>404</v>
      </c>
      <c r="G2669" s="3" t="s">
        <v>560</v>
      </c>
      <c r="H2669" s="2" t="s">
        <v>22</v>
      </c>
      <c r="I2669" s="2" t="s">
        <v>6043</v>
      </c>
      <c r="J2669" s="3" t="str">
        <f>HYPERLINK("https://www.boe.es/gazeta/dias/1834/09/25/pdfs/GMD-C-1834-223.pdf#page=7","Abrir facsímil")</f>
        <v>Abrir facsímil</v>
      </c>
      <c r="K2669" s="3" t="s">
        <v>24</v>
      </c>
    </row>
    <row r="2670" spans="1:11" ht="54" customHeight="1">
      <c r="A2670" s="2" t="s">
        <v>6044</v>
      </c>
      <c r="B2670" s="2" t="s">
        <v>6045</v>
      </c>
      <c r="C2670" s="2" t="s">
        <v>66</v>
      </c>
      <c r="D2670" s="2" t="s">
        <v>67</v>
      </c>
      <c r="E2670" s="5" t="s">
        <v>1351</v>
      </c>
      <c r="F2670" s="3" t="s">
        <v>1352</v>
      </c>
      <c r="G2670" s="3" t="s">
        <v>75</v>
      </c>
      <c r="H2670" s="2" t="s">
        <v>35</v>
      </c>
      <c r="I2670" s="2" t="s">
        <v>6046</v>
      </c>
      <c r="J2670" s="3" t="str">
        <f>HYPERLINK("https://www.boe.es/gazeta/dias/1834/07/05/pdfs/GMD-1834-138.pdf#page=4","Abrir facsímil")</f>
        <v>Abrir facsímil</v>
      </c>
      <c r="K2670" s="3" t="s">
        <v>37</v>
      </c>
    </row>
    <row r="2671" spans="1:11" ht="54" customHeight="1">
      <c r="A2671" s="2" t="s">
        <v>6047</v>
      </c>
      <c r="B2671" s="2" t="s">
        <v>6048</v>
      </c>
      <c r="C2671" s="2" t="s">
        <v>90</v>
      </c>
      <c r="D2671" s="2" t="s">
        <v>18</v>
      </c>
      <c r="E2671" s="5" t="s">
        <v>73</v>
      </c>
      <c r="F2671" s="3" t="s">
        <v>74</v>
      </c>
      <c r="G2671" s="3" t="s">
        <v>86</v>
      </c>
      <c r="H2671" s="2" t="s">
        <v>35</v>
      </c>
      <c r="I2671" s="2" t="s">
        <v>6049</v>
      </c>
      <c r="J2671" s="3" t="str">
        <f>HYPERLINK("https://www.boe.es/gazeta/dias/1834/11/04/pdfs/GMD-1834-263.pdf#page=2","Abrir facsímil")</f>
        <v>Abrir facsímil</v>
      </c>
      <c r="K2671" s="3" t="s">
        <v>37</v>
      </c>
    </row>
    <row r="2672" spans="1:11" ht="54" customHeight="1">
      <c r="A2672" s="2" t="s">
        <v>6050</v>
      </c>
      <c r="B2672" s="2" t="s">
        <v>6051</v>
      </c>
      <c r="C2672" s="2" t="s">
        <v>17</v>
      </c>
      <c r="D2672" s="2" t="s">
        <v>40</v>
      </c>
      <c r="E2672" s="5" t="s">
        <v>158</v>
      </c>
      <c r="F2672" s="3" t="s">
        <v>581</v>
      </c>
      <c r="G2672" s="3" t="s">
        <v>21</v>
      </c>
      <c r="H2672" s="2" t="s">
        <v>22</v>
      </c>
      <c r="I2672" s="2" t="s">
        <v>6052</v>
      </c>
      <c r="J2672" s="3" t="str">
        <f>HYPERLINK("https://www.boe.es/gazeta/dias/1834/10/01/pdfs/GMD-C-1834-229.pdf#page=3","Abrir facsímil")</f>
        <v>Abrir facsímil</v>
      </c>
      <c r="K2672" s="3" t="s">
        <v>24</v>
      </c>
    </row>
    <row r="2673" spans="1:11" ht="54" customHeight="1">
      <c r="A2673" s="2" t="s">
        <v>6050</v>
      </c>
      <c r="B2673" s="2" t="s">
        <v>6051</v>
      </c>
      <c r="C2673" s="2" t="s">
        <v>17</v>
      </c>
      <c r="D2673" s="2" t="s">
        <v>18</v>
      </c>
      <c r="E2673" s="5" t="s">
        <v>167</v>
      </c>
      <c r="F2673" s="3" t="s">
        <v>1200</v>
      </c>
      <c r="G2673" s="3" t="s">
        <v>21</v>
      </c>
      <c r="H2673" s="2" t="s">
        <v>22</v>
      </c>
      <c r="I2673" s="2" t="s">
        <v>6053</v>
      </c>
      <c r="J2673" s="3" t="str">
        <f>HYPERLINK("https://www.boe.es/gazeta/dias/1834/09/07/pdfs/GMD-C-1834-205.pdf#page=3","Abrir facsímil")</f>
        <v>Abrir facsímil</v>
      </c>
      <c r="K2673" s="3" t="s">
        <v>24</v>
      </c>
    </row>
    <row r="2674" spans="1:11" ht="54" customHeight="1">
      <c r="A2674" s="2" t="s">
        <v>6050</v>
      </c>
      <c r="B2674" s="2" t="s">
        <v>6051</v>
      </c>
      <c r="C2674" s="2" t="s">
        <v>17</v>
      </c>
      <c r="D2674" s="2" t="s">
        <v>18</v>
      </c>
      <c r="E2674" s="5" t="s">
        <v>444</v>
      </c>
      <c r="F2674" s="3" t="s">
        <v>445</v>
      </c>
      <c r="G2674" s="3" t="s">
        <v>34</v>
      </c>
      <c r="H2674" s="2" t="s">
        <v>22</v>
      </c>
      <c r="I2674" s="2" t="s">
        <v>6054</v>
      </c>
      <c r="J2674" s="3" t="str">
        <f>HYPERLINK("https://www.boe.es/gazeta/dias/1834/09/12/pdfs/GMD-C-1834-210.pdf#page=1","Abrir facsímil")</f>
        <v>Abrir facsímil</v>
      </c>
      <c r="K2674" s="3" t="s">
        <v>24</v>
      </c>
    </row>
    <row r="2675" spans="1:11" ht="54" customHeight="1">
      <c r="A2675" s="2" t="s">
        <v>6050</v>
      </c>
      <c r="B2675" s="2" t="s">
        <v>6051</v>
      </c>
      <c r="C2675" s="2" t="s">
        <v>17</v>
      </c>
      <c r="D2675" s="2" t="s">
        <v>18</v>
      </c>
      <c r="E2675" s="5" t="s">
        <v>623</v>
      </c>
      <c r="F2675" s="3" t="s">
        <v>624</v>
      </c>
      <c r="G2675" s="3" t="s">
        <v>86</v>
      </c>
      <c r="H2675" s="2" t="s">
        <v>22</v>
      </c>
      <c r="I2675" s="2" t="s">
        <v>6055</v>
      </c>
      <c r="J2675" s="3" t="str">
        <f>HYPERLINK("https://www.boe.es/gazeta/dias/1834/10/12/pdfs/GMD-C-1834-240.pdf#page=2","Abrir facsímil")</f>
        <v>Abrir facsímil</v>
      </c>
      <c r="K2675" s="3" t="s">
        <v>24</v>
      </c>
    </row>
    <row r="2676" spans="1:11" ht="54" customHeight="1">
      <c r="A2676" s="2" t="s">
        <v>6050</v>
      </c>
      <c r="B2676" s="2" t="s">
        <v>6051</v>
      </c>
      <c r="C2676" s="2" t="s">
        <v>17</v>
      </c>
      <c r="D2676" s="2" t="s">
        <v>18</v>
      </c>
      <c r="E2676" s="5" t="s">
        <v>237</v>
      </c>
      <c r="F2676" s="3" t="s">
        <v>238</v>
      </c>
      <c r="G2676" s="3" t="s">
        <v>86</v>
      </c>
      <c r="H2676" s="2" t="s">
        <v>22</v>
      </c>
      <c r="I2676" s="2" t="s">
        <v>6056</v>
      </c>
      <c r="J2676" s="3" t="str">
        <f>HYPERLINK("https://www.boe.es/gazeta/dias/1834/08/15/pdfs/GMD-C-1834-180.pdf#page=2","Abrir facsímil")</f>
        <v>Abrir facsímil</v>
      </c>
      <c r="K2676" s="3" t="s">
        <v>24</v>
      </c>
    </row>
    <row r="2677" spans="1:11" ht="54" customHeight="1">
      <c r="A2677" s="2" t="s">
        <v>6050</v>
      </c>
      <c r="B2677" s="2" t="s">
        <v>6051</v>
      </c>
      <c r="C2677" s="2" t="s">
        <v>17</v>
      </c>
      <c r="D2677" s="2" t="s">
        <v>18</v>
      </c>
      <c r="E2677" s="5" t="s">
        <v>237</v>
      </c>
      <c r="F2677" s="3" t="s">
        <v>238</v>
      </c>
      <c r="G2677" s="3" t="s">
        <v>21</v>
      </c>
      <c r="H2677" s="2" t="s">
        <v>22</v>
      </c>
      <c r="I2677" s="2" t="s">
        <v>6057</v>
      </c>
      <c r="J2677" s="3" t="str">
        <f>HYPERLINK("https://www.boe.es/gazeta/dias/1834/08/15/pdfs/GMD-C-1834-180.pdf#page=3","Abrir facsímil")</f>
        <v>Abrir facsímil</v>
      </c>
      <c r="K2677" s="3" t="s">
        <v>24</v>
      </c>
    </row>
    <row r="2678" spans="1:11" ht="54" customHeight="1">
      <c r="A2678" s="2" t="s">
        <v>6050</v>
      </c>
      <c r="B2678" s="2" t="s">
        <v>6051</v>
      </c>
      <c r="C2678" s="2" t="s">
        <v>17</v>
      </c>
      <c r="D2678" s="2" t="s">
        <v>18</v>
      </c>
      <c r="E2678" s="5" t="s">
        <v>772</v>
      </c>
      <c r="F2678" s="3" t="s">
        <v>2284</v>
      </c>
      <c r="G2678" s="3" t="s">
        <v>86</v>
      </c>
      <c r="H2678" s="2" t="s">
        <v>22</v>
      </c>
      <c r="I2678" s="2" t="s">
        <v>6058</v>
      </c>
      <c r="J2678" s="3" t="str">
        <f>HYPERLINK("https://www.boe.es/gazeta/dias/1834/09/18/pdfs/GMD-C-1834-216.pdf#page=2","Abrir facsímil")</f>
        <v>Abrir facsímil</v>
      </c>
      <c r="K2678" s="3" t="s">
        <v>24</v>
      </c>
    </row>
    <row r="2679" spans="1:11" ht="54" customHeight="1">
      <c r="A2679" s="2" t="s">
        <v>6050</v>
      </c>
      <c r="B2679" s="2" t="s">
        <v>6051</v>
      </c>
      <c r="C2679" s="2" t="s">
        <v>17</v>
      </c>
      <c r="D2679" s="2" t="s">
        <v>18</v>
      </c>
      <c r="E2679" s="5" t="s">
        <v>3248</v>
      </c>
      <c r="F2679" s="3" t="s">
        <v>4798</v>
      </c>
      <c r="G2679" s="3" t="s">
        <v>176</v>
      </c>
      <c r="H2679" s="2" t="s">
        <v>22</v>
      </c>
      <c r="I2679" s="2" t="s">
        <v>6059</v>
      </c>
      <c r="J2679" s="3" t="str">
        <f>HYPERLINK("https://www.boe.es/gazeta/dias/1834/09/20/pdfs/GMD-C-1834-218.pdf#page=6","Abrir facsímil")</f>
        <v>Abrir facsímil</v>
      </c>
      <c r="K2679" s="3" t="s">
        <v>24</v>
      </c>
    </row>
    <row r="2680" spans="1:11" ht="54" customHeight="1">
      <c r="A2680" s="2" t="s">
        <v>6050</v>
      </c>
      <c r="B2680" s="2" t="s">
        <v>6051</v>
      </c>
      <c r="C2680" s="2" t="s">
        <v>46</v>
      </c>
      <c r="D2680" s="2" t="s">
        <v>101</v>
      </c>
      <c r="E2680" s="5" t="s">
        <v>403</v>
      </c>
      <c r="F2680" s="3" t="s">
        <v>404</v>
      </c>
      <c r="G2680" s="3" t="s">
        <v>28</v>
      </c>
      <c r="H2680" s="2" t="s">
        <v>22</v>
      </c>
      <c r="I2680" s="2" t="s">
        <v>6060</v>
      </c>
      <c r="J2680" s="3" t="str">
        <f>HYPERLINK("https://www.boe.es/gazeta/dias/1834/09/25/pdfs/GMD-C-1834-223.pdf#page=5","Abrir facsímil")</f>
        <v>Abrir facsímil</v>
      </c>
      <c r="K2680" s="3" t="s">
        <v>24</v>
      </c>
    </row>
    <row r="2681" spans="1:11" ht="54" customHeight="1">
      <c r="A2681" s="2" t="s">
        <v>6050</v>
      </c>
      <c r="B2681" s="2" t="s">
        <v>6051</v>
      </c>
      <c r="C2681" s="2" t="s">
        <v>17</v>
      </c>
      <c r="D2681" s="2" t="s">
        <v>18</v>
      </c>
      <c r="E2681" s="5" t="s">
        <v>403</v>
      </c>
      <c r="F2681" s="3" t="s">
        <v>404</v>
      </c>
      <c r="G2681" s="3" t="s">
        <v>560</v>
      </c>
      <c r="H2681" s="2" t="s">
        <v>22</v>
      </c>
      <c r="I2681" s="2" t="s">
        <v>6061</v>
      </c>
      <c r="J2681" s="3" t="str">
        <f>HYPERLINK("https://www.boe.es/gazeta/dias/1834/09/25/pdfs/GMD-C-1834-223.pdf#page=7","Abrir facsímil")</f>
        <v>Abrir facsímil</v>
      </c>
      <c r="K2681" s="3" t="s">
        <v>24</v>
      </c>
    </row>
    <row r="2682" spans="1:11" ht="54" customHeight="1">
      <c r="A2682" s="2" t="s">
        <v>6050</v>
      </c>
      <c r="B2682" s="2" t="s">
        <v>6051</v>
      </c>
      <c r="C2682" s="2" t="s">
        <v>17</v>
      </c>
      <c r="D2682" s="2" t="s">
        <v>18</v>
      </c>
      <c r="E2682" s="5" t="s">
        <v>462</v>
      </c>
      <c r="F2682" s="3" t="s">
        <v>463</v>
      </c>
      <c r="G2682" s="3" t="s">
        <v>34</v>
      </c>
      <c r="H2682" s="2" t="s">
        <v>22</v>
      </c>
      <c r="I2682" s="2" t="s">
        <v>6062</v>
      </c>
      <c r="J2682" s="3" t="str">
        <f>HYPERLINK("https://www.boe.es/gazeta/dias/1834/08/27/pdfs/GMD-C-1834-193.pdf#page=1","Abrir facsímil")</f>
        <v>Abrir facsímil</v>
      </c>
      <c r="K2682" s="3" t="s">
        <v>24</v>
      </c>
    </row>
    <row r="2683" spans="1:11" ht="54" customHeight="1">
      <c r="A2683" s="2" t="s">
        <v>6050</v>
      </c>
      <c r="B2683" s="2" t="s">
        <v>6051</v>
      </c>
      <c r="C2683" s="2" t="s">
        <v>17</v>
      </c>
      <c r="D2683" s="2" t="s">
        <v>18</v>
      </c>
      <c r="E2683" s="5" t="s">
        <v>294</v>
      </c>
      <c r="F2683" s="3" t="s">
        <v>959</v>
      </c>
      <c r="G2683" s="3" t="s">
        <v>34</v>
      </c>
      <c r="H2683" s="2" t="s">
        <v>22</v>
      </c>
      <c r="I2683" s="2" t="s">
        <v>6063</v>
      </c>
      <c r="J2683" s="3" t="str">
        <f>HYPERLINK("https://www.boe.es/gazeta/dias/1834/09/27/pdfs/GMD-C-1834-225.pdf#page=1","Abrir facsímil")</f>
        <v>Abrir facsímil</v>
      </c>
      <c r="K2683" s="3" t="s">
        <v>24</v>
      </c>
    </row>
    <row r="2684" spans="1:11" ht="54" customHeight="1">
      <c r="A2684" s="2" t="s">
        <v>6050</v>
      </c>
      <c r="B2684" s="2" t="s">
        <v>6051</v>
      </c>
      <c r="C2684" s="2" t="s">
        <v>17</v>
      </c>
      <c r="D2684" s="2" t="s">
        <v>18</v>
      </c>
      <c r="E2684" s="5" t="s">
        <v>187</v>
      </c>
      <c r="F2684" s="3" t="s">
        <v>1715</v>
      </c>
      <c r="G2684" s="3" t="s">
        <v>34</v>
      </c>
      <c r="H2684" s="2" t="s">
        <v>22</v>
      </c>
      <c r="I2684" s="2" t="s">
        <v>6064</v>
      </c>
      <c r="J2684" s="3" t="str">
        <f>HYPERLINK("https://www.boe.es/gazeta/dias/1834/09/30/pdfs/GMD-C-1834-228.pdf#page=1","Abrir facsímil")</f>
        <v>Abrir facsímil</v>
      </c>
      <c r="K2684" s="3" t="s">
        <v>24</v>
      </c>
    </row>
    <row r="2685" spans="1:11" ht="54" customHeight="1">
      <c r="A2685" s="2" t="s">
        <v>6065</v>
      </c>
      <c r="B2685" s="2" t="s">
        <v>6066</v>
      </c>
      <c r="C2685" s="2" t="s">
        <v>46</v>
      </c>
      <c r="D2685" s="2" t="s">
        <v>101</v>
      </c>
      <c r="E2685" s="5" t="s">
        <v>672</v>
      </c>
      <c r="F2685" s="3" t="s">
        <v>1055</v>
      </c>
      <c r="G2685" s="3" t="s">
        <v>2272</v>
      </c>
      <c r="H2685" s="2" t="s">
        <v>22</v>
      </c>
      <c r="I2685" s="2" t="s">
        <v>6067</v>
      </c>
      <c r="J2685" s="3" t="str">
        <f>HYPERLINK("https://www.boe.es/gazeta/dias/1834/09/19/pdfs/GMD-C-1834-217.pdf#page=12","Abrir facsímil")</f>
        <v>Abrir facsímil</v>
      </c>
      <c r="K2685" s="3" t="s">
        <v>24</v>
      </c>
    </row>
    <row r="2686" spans="1:11" ht="54" customHeight="1">
      <c r="A2686" s="2" t="s">
        <v>6068</v>
      </c>
      <c r="B2686" s="2" t="s">
        <v>6069</v>
      </c>
      <c r="C2686" s="2" t="s">
        <v>90</v>
      </c>
      <c r="D2686" s="2" t="s">
        <v>18</v>
      </c>
      <c r="E2686" s="5" t="s">
        <v>73</v>
      </c>
      <c r="F2686" s="3" t="s">
        <v>74</v>
      </c>
      <c r="G2686" s="3" t="s">
        <v>86</v>
      </c>
      <c r="H2686" s="2" t="s">
        <v>22</v>
      </c>
      <c r="I2686" s="2" t="s">
        <v>6070</v>
      </c>
      <c r="J2686" s="3" t="str">
        <f>HYPERLINK("https://www.boe.es/gazeta/dias/1834/11/04/pdfs/GMD-1834-263.pdf#page=2","Abrir facsímil")</f>
        <v>Abrir facsímil</v>
      </c>
      <c r="K2686" s="3" t="s">
        <v>24</v>
      </c>
    </row>
    <row r="2687" spans="1:11" ht="54" customHeight="1">
      <c r="A2687" s="2" t="s">
        <v>6071</v>
      </c>
      <c r="B2687" s="2" t="s">
        <v>6072</v>
      </c>
      <c r="C2687" s="2" t="s">
        <v>17</v>
      </c>
      <c r="D2687" s="2" t="s">
        <v>18</v>
      </c>
      <c r="E2687" s="5" t="s">
        <v>2287</v>
      </c>
      <c r="F2687" s="3" t="s">
        <v>2288</v>
      </c>
      <c r="G2687" s="3" t="s">
        <v>176</v>
      </c>
      <c r="H2687" s="2" t="s">
        <v>22</v>
      </c>
      <c r="I2687" s="2" t="s">
        <v>6073</v>
      </c>
      <c r="J2687" s="3" t="str">
        <f>HYPERLINK("https://www.boe.es/gazeta/dias/1834/12/18/pdfs/GMD-C-1834-308.pdf#page=6","Abrir facsímil")</f>
        <v>Abrir facsímil</v>
      </c>
      <c r="K2687" s="3" t="s">
        <v>24</v>
      </c>
    </row>
    <row r="2688" spans="1:11" ht="54" customHeight="1">
      <c r="A2688" s="2" t="s">
        <v>6074</v>
      </c>
      <c r="B2688" s="2" t="s">
        <v>6075</v>
      </c>
      <c r="C2688" s="2" t="s">
        <v>17</v>
      </c>
      <c r="D2688" s="2" t="s">
        <v>18</v>
      </c>
      <c r="E2688" s="5" t="s">
        <v>1641</v>
      </c>
      <c r="F2688" s="3" t="s">
        <v>1729</v>
      </c>
      <c r="G2688" s="3" t="s">
        <v>21</v>
      </c>
      <c r="H2688" s="2" t="s">
        <v>22</v>
      </c>
      <c r="I2688" s="2" t="s">
        <v>6076</v>
      </c>
      <c r="J2688" s="3" t="str">
        <f>HYPERLINK("https://www.boe.es/gazeta/dias/1834/09/28/pdfs/GMD-1834-226.pdf#page=3","Abrir facsímil")</f>
        <v>Abrir facsímil</v>
      </c>
      <c r="K2688" s="3" t="s">
        <v>24</v>
      </c>
    </row>
    <row r="2689" spans="1:11" ht="54" customHeight="1">
      <c r="A2689" s="2" t="s">
        <v>6077</v>
      </c>
      <c r="B2689" s="2" t="s">
        <v>6078</v>
      </c>
      <c r="C2689" s="2" t="s">
        <v>857</v>
      </c>
      <c r="D2689" s="2" t="s">
        <v>18</v>
      </c>
      <c r="E2689" s="5" t="s">
        <v>79</v>
      </c>
      <c r="F2689" s="3" t="s">
        <v>80</v>
      </c>
      <c r="G2689" s="3" t="s">
        <v>75</v>
      </c>
      <c r="H2689" s="2" t="s">
        <v>22</v>
      </c>
      <c r="I2689" s="2" t="s">
        <v>6079</v>
      </c>
      <c r="J2689" s="3" t="str">
        <f>HYPERLINK("https://www.boe.es/gazeta/dias/1834/07/12/pdfs/GMD-1834-145.pdf#page=4","Abrir facsímil")</f>
        <v>Abrir facsímil</v>
      </c>
      <c r="K2689" s="3" t="s">
        <v>24</v>
      </c>
    </row>
    <row r="2690" spans="1:11" ht="54" customHeight="1">
      <c r="A2690" s="2" t="s">
        <v>6080</v>
      </c>
      <c r="B2690" s="2" t="s">
        <v>6081</v>
      </c>
      <c r="C2690" s="2" t="s">
        <v>66</v>
      </c>
      <c r="D2690" s="2" t="s">
        <v>67</v>
      </c>
      <c r="E2690" s="5" t="s">
        <v>1351</v>
      </c>
      <c r="F2690" s="3" t="s">
        <v>1352</v>
      </c>
      <c r="G2690" s="3" t="s">
        <v>75</v>
      </c>
      <c r="H2690" s="2" t="s">
        <v>22</v>
      </c>
      <c r="I2690" s="2" t="s">
        <v>6082</v>
      </c>
      <c r="J2690" s="3" t="str">
        <f>HYPERLINK("https://www.boe.es/gazeta/dias/1834/07/05/pdfs/GMD-1834-138.pdf#page=4","Abrir facsímil")</f>
        <v>Abrir facsímil</v>
      </c>
      <c r="K2690" s="3" t="s">
        <v>24</v>
      </c>
    </row>
    <row r="2691" spans="1:11" ht="54" customHeight="1">
      <c r="A2691" s="2" t="s">
        <v>6080</v>
      </c>
      <c r="B2691" s="2" t="s">
        <v>6081</v>
      </c>
      <c r="C2691" s="2" t="s">
        <v>122</v>
      </c>
      <c r="D2691" s="2" t="s">
        <v>18</v>
      </c>
      <c r="E2691" s="5" t="s">
        <v>304</v>
      </c>
      <c r="F2691" s="3" t="s">
        <v>305</v>
      </c>
      <c r="G2691" s="3" t="s">
        <v>86</v>
      </c>
      <c r="H2691" s="2" t="s">
        <v>22</v>
      </c>
      <c r="I2691" s="2" t="s">
        <v>6083</v>
      </c>
      <c r="J2691" s="3" t="str">
        <f>HYPERLINK("https://www.boe.es/gazeta/dias/1834/01/21/pdfs/GMD-1834-10.pdf#page=2","Abrir facsímil")</f>
        <v>Abrir facsímil</v>
      </c>
      <c r="K2691" s="3" t="s">
        <v>24</v>
      </c>
    </row>
    <row r="2692" spans="1:11" ht="54" customHeight="1">
      <c r="A2692" s="2" t="s">
        <v>6084</v>
      </c>
      <c r="B2692" s="2" t="s">
        <v>6085</v>
      </c>
      <c r="C2692" s="2" t="s">
        <v>17</v>
      </c>
      <c r="D2692" s="2" t="s">
        <v>18</v>
      </c>
      <c r="E2692" s="5" t="s">
        <v>715</v>
      </c>
      <c r="F2692" s="3" t="s">
        <v>716</v>
      </c>
      <c r="G2692" s="3" t="s">
        <v>34</v>
      </c>
      <c r="H2692" s="2" t="s">
        <v>22</v>
      </c>
      <c r="I2692" s="2" t="s">
        <v>6086</v>
      </c>
      <c r="J2692" s="3" t="str">
        <f>HYPERLINK("https://www.boe.es/gazeta/dias/1834/09/17/pdfs/GMD-C-1834-215.pdf#page=1","Abrir facsímil")</f>
        <v>Abrir facsímil</v>
      </c>
      <c r="K2692" s="3" t="s">
        <v>24</v>
      </c>
    </row>
    <row r="2693" spans="1:11" ht="54" customHeight="1">
      <c r="A2693" s="2" t="s">
        <v>6087</v>
      </c>
      <c r="B2693" s="2" t="s">
        <v>6088</v>
      </c>
      <c r="C2693" s="2" t="s">
        <v>66</v>
      </c>
      <c r="D2693" s="2" t="s">
        <v>67</v>
      </c>
      <c r="E2693" s="5" t="s">
        <v>1641</v>
      </c>
      <c r="F2693" s="3" t="s">
        <v>1729</v>
      </c>
      <c r="G2693" s="3" t="s">
        <v>21</v>
      </c>
      <c r="H2693" s="2" t="s">
        <v>22</v>
      </c>
      <c r="I2693" s="2" t="s">
        <v>6089</v>
      </c>
      <c r="J2693" s="3" t="str">
        <f>HYPERLINK("https://www.boe.es/gazeta/dias/1834/09/28/pdfs/GMD-1834-226.pdf#page=3","Abrir facsímil")</f>
        <v>Abrir facsímil</v>
      </c>
      <c r="K2693" s="3" t="s">
        <v>24</v>
      </c>
    </row>
    <row r="2694" spans="1:11" ht="54" customHeight="1">
      <c r="A2694" s="2" t="s">
        <v>6090</v>
      </c>
      <c r="B2694" s="2" t="s">
        <v>6091</v>
      </c>
      <c r="C2694" s="2" t="s">
        <v>17</v>
      </c>
      <c r="D2694" s="2" t="s">
        <v>40</v>
      </c>
      <c r="E2694" s="5" t="s">
        <v>309</v>
      </c>
      <c r="F2694" s="3" t="s">
        <v>310</v>
      </c>
      <c r="G2694" s="3" t="s">
        <v>75</v>
      </c>
      <c r="H2694" s="2" t="s">
        <v>22</v>
      </c>
      <c r="I2694" s="2" t="s">
        <v>6092</v>
      </c>
      <c r="J2694" s="3" t="str">
        <f>HYPERLINK("https://www.boe.es/gazeta/dias/1834/05/30/pdfs/GMD-1834-99.pdf#page=4","Abrir facsímil")</f>
        <v>Abrir facsímil</v>
      </c>
      <c r="K2694" s="3" t="s">
        <v>24</v>
      </c>
    </row>
    <row r="2695" spans="1:11" ht="54" customHeight="1">
      <c r="A2695" s="2" t="s">
        <v>6093</v>
      </c>
      <c r="B2695" s="2" t="s">
        <v>6093</v>
      </c>
      <c r="C2695" s="2" t="s">
        <v>90</v>
      </c>
      <c r="D2695" s="2" t="s">
        <v>67</v>
      </c>
      <c r="E2695" s="5" t="s">
        <v>1234</v>
      </c>
      <c r="F2695" s="3" t="s">
        <v>1235</v>
      </c>
      <c r="G2695" s="3" t="s">
        <v>34</v>
      </c>
      <c r="H2695" s="2" t="s">
        <v>22</v>
      </c>
      <c r="I2695" s="2" t="s">
        <v>6094</v>
      </c>
      <c r="J2695" s="3" t="str">
        <f>HYPERLINK("https://www.boe.es/gazeta/dias/1834/05/15/pdfs/GMD-C-1834-84.pdf#page=1","Abrir facsímil")</f>
        <v>Abrir facsímil</v>
      </c>
      <c r="K2695" s="3" t="s">
        <v>24</v>
      </c>
    </row>
    <row r="2696" spans="1:11" ht="54" customHeight="1">
      <c r="A2696" s="2" t="s">
        <v>6095</v>
      </c>
      <c r="B2696" s="2" t="s">
        <v>6096</v>
      </c>
      <c r="C2696" s="2" t="s">
        <v>17</v>
      </c>
      <c r="D2696" s="2" t="s">
        <v>101</v>
      </c>
      <c r="E2696" s="5" t="s">
        <v>441</v>
      </c>
      <c r="F2696" s="3" t="s">
        <v>442</v>
      </c>
      <c r="G2696" s="3" t="s">
        <v>75</v>
      </c>
      <c r="H2696" s="2" t="s">
        <v>22</v>
      </c>
      <c r="I2696" s="2" t="s">
        <v>6097</v>
      </c>
      <c r="J2696" s="3" t="str">
        <f>HYPERLINK("https://www.boe.es/gazeta/dias/1834/11/10/pdfs/GMD-1834-269.pdf#page=4","Abrir facsímil")</f>
        <v>Abrir facsímil</v>
      </c>
      <c r="K2696" s="3" t="s">
        <v>24</v>
      </c>
    </row>
    <row r="2697" spans="1:11" ht="54" customHeight="1">
      <c r="A2697" s="2" t="s">
        <v>6095</v>
      </c>
      <c r="B2697" s="2" t="s">
        <v>6096</v>
      </c>
      <c r="C2697" s="2" t="s">
        <v>66</v>
      </c>
      <c r="D2697" s="2" t="s">
        <v>67</v>
      </c>
      <c r="E2697" s="5" t="s">
        <v>1234</v>
      </c>
      <c r="F2697" s="3" t="s">
        <v>1235</v>
      </c>
      <c r="G2697" s="3" t="s">
        <v>34</v>
      </c>
      <c r="H2697" s="2" t="s">
        <v>22</v>
      </c>
      <c r="I2697" s="2" t="s">
        <v>6098</v>
      </c>
      <c r="J2697" s="3" t="str">
        <f>HYPERLINK("https://www.boe.es/gazeta/dias/1834/05/15/pdfs/GMD-C-1834-84.pdf#page=1","Abrir facsímil")</f>
        <v>Abrir facsímil</v>
      </c>
      <c r="K2697" s="3" t="s">
        <v>24</v>
      </c>
    </row>
    <row r="2698" spans="1:11" ht="54" customHeight="1">
      <c r="A2698" s="2" t="s">
        <v>6099</v>
      </c>
      <c r="B2698" s="2" t="s">
        <v>6099</v>
      </c>
      <c r="C2698" s="2" t="s">
        <v>17</v>
      </c>
      <c r="D2698" s="2" t="s">
        <v>18</v>
      </c>
      <c r="E2698" s="5" t="s">
        <v>594</v>
      </c>
      <c r="F2698" s="3" t="s">
        <v>595</v>
      </c>
      <c r="G2698" s="3" t="s">
        <v>21</v>
      </c>
      <c r="H2698" s="2" t="s">
        <v>22</v>
      </c>
      <c r="I2698" s="2" t="s">
        <v>6100</v>
      </c>
      <c r="J2698" s="3" t="str">
        <f>HYPERLINK("https://www.boe.es/gazeta/dias/1834/06/01/pdfs/GMD-1834-102.pdf#page=3","Abrir facsímil")</f>
        <v>Abrir facsímil</v>
      </c>
      <c r="K2698" s="3" t="s">
        <v>24</v>
      </c>
    </row>
    <row r="2699" spans="1:11" ht="54" customHeight="1">
      <c r="A2699" s="2" t="s">
        <v>6099</v>
      </c>
      <c r="B2699" s="2" t="s">
        <v>6099</v>
      </c>
      <c r="C2699" s="2" t="s">
        <v>17</v>
      </c>
      <c r="D2699" s="2" t="s">
        <v>18</v>
      </c>
      <c r="E2699" s="5" t="s">
        <v>355</v>
      </c>
      <c r="F2699" s="3" t="s">
        <v>356</v>
      </c>
      <c r="G2699" s="3" t="s">
        <v>34</v>
      </c>
      <c r="H2699" s="2" t="s">
        <v>22</v>
      </c>
      <c r="I2699" s="2" t="s">
        <v>6101</v>
      </c>
      <c r="J2699" s="3" t="str">
        <f>HYPERLINK("https://www.boe.es/gazeta/dias/1834/07/04/pdfs/I00597-00598.pdf#page=1","Abrir facsímil")</f>
        <v>Abrir facsímil</v>
      </c>
      <c r="K2699" s="3" t="s">
        <v>24</v>
      </c>
    </row>
    <row r="2700" spans="1:11" ht="54" customHeight="1">
      <c r="A2700" s="2" t="s">
        <v>6099</v>
      </c>
      <c r="B2700" s="2" t="s">
        <v>6099</v>
      </c>
      <c r="C2700" s="2" t="s">
        <v>17</v>
      </c>
      <c r="D2700" s="2" t="s">
        <v>18</v>
      </c>
      <c r="E2700" s="5" t="s">
        <v>355</v>
      </c>
      <c r="F2700" s="3" t="s">
        <v>356</v>
      </c>
      <c r="G2700" s="3" t="s">
        <v>21</v>
      </c>
      <c r="H2700" s="2" t="s">
        <v>22</v>
      </c>
      <c r="I2700" s="2" t="s">
        <v>6101</v>
      </c>
      <c r="J2700" s="3" t="str">
        <f>HYPERLINK("https://www.boe.es/gazeta/dias/1834/07/04/pdfs/GMD-1834-137.pdf#page=3","Abrir facsímil")</f>
        <v>Abrir facsímil</v>
      </c>
      <c r="K2700" s="3" t="s">
        <v>24</v>
      </c>
    </row>
    <row r="2701" spans="1:11" ht="54" customHeight="1">
      <c r="A2701" s="2" t="s">
        <v>6099</v>
      </c>
      <c r="B2701" s="2" t="s">
        <v>6099</v>
      </c>
      <c r="C2701" s="2" t="s">
        <v>66</v>
      </c>
      <c r="D2701" s="2" t="s">
        <v>67</v>
      </c>
      <c r="E2701" s="5" t="s">
        <v>734</v>
      </c>
      <c r="F2701" s="3" t="s">
        <v>735</v>
      </c>
      <c r="G2701" s="3" t="s">
        <v>21</v>
      </c>
      <c r="H2701" s="2" t="s">
        <v>22</v>
      </c>
      <c r="I2701" s="2" t="s">
        <v>6102</v>
      </c>
      <c r="J2701" s="3" t="str">
        <f>HYPERLINK("https://www.boe.es/gazeta/dias/1834/05/06/pdfs/GMD-1834-75.pdf#page=3","Abrir facsímil")</f>
        <v>Abrir facsímil</v>
      </c>
      <c r="K2701" s="3" t="s">
        <v>24</v>
      </c>
    </row>
    <row r="2702" spans="1:11" ht="54" customHeight="1">
      <c r="A2702" s="2" t="s">
        <v>6099</v>
      </c>
      <c r="B2702" s="2" t="s">
        <v>6099</v>
      </c>
      <c r="C2702" s="2" t="s">
        <v>66</v>
      </c>
      <c r="D2702" s="2" t="s">
        <v>18</v>
      </c>
      <c r="E2702" s="5" t="s">
        <v>41</v>
      </c>
      <c r="F2702" s="3" t="s">
        <v>42</v>
      </c>
      <c r="G2702" s="3" t="s">
        <v>21</v>
      </c>
      <c r="H2702" s="2" t="s">
        <v>22</v>
      </c>
      <c r="I2702" s="2" t="s">
        <v>6103</v>
      </c>
      <c r="J2702" s="3" t="str">
        <f>HYPERLINK("https://www.boe.es/gazeta/dias/1834/06/11/pdfs/GMD-1834-114.pdf#page=3","Abrir facsímil")</f>
        <v>Abrir facsímil</v>
      </c>
      <c r="K2702" s="3" t="s">
        <v>24</v>
      </c>
    </row>
    <row r="2703" spans="1:11" ht="54" customHeight="1">
      <c r="A2703" s="2" t="s">
        <v>6099</v>
      </c>
      <c r="B2703" s="2" t="s">
        <v>6099</v>
      </c>
      <c r="C2703" s="2" t="s">
        <v>66</v>
      </c>
      <c r="D2703" s="2" t="s">
        <v>18</v>
      </c>
      <c r="E2703" s="5" t="s">
        <v>448</v>
      </c>
      <c r="F2703" s="3" t="s">
        <v>2058</v>
      </c>
      <c r="G2703" s="3" t="s">
        <v>21</v>
      </c>
      <c r="H2703" s="2" t="s">
        <v>22</v>
      </c>
      <c r="I2703" s="2" t="s">
        <v>6104</v>
      </c>
      <c r="J2703" s="3" t="str">
        <f>HYPERLINK("https://www.boe.es/gazeta/dias/1834/10/14/pdfs/GMD-1834-242.pdf#page=3","Abrir facsímil")</f>
        <v>Abrir facsímil</v>
      </c>
      <c r="K2703" s="3" t="s">
        <v>24</v>
      </c>
    </row>
    <row r="2704" spans="1:11" ht="54" customHeight="1">
      <c r="A2704" s="2" t="s">
        <v>6099</v>
      </c>
      <c r="B2704" s="2" t="s">
        <v>6099</v>
      </c>
      <c r="C2704" s="2" t="s">
        <v>17</v>
      </c>
      <c r="D2704" s="2" t="s">
        <v>18</v>
      </c>
      <c r="E2704" s="5" t="s">
        <v>448</v>
      </c>
      <c r="F2704" s="3" t="s">
        <v>2058</v>
      </c>
      <c r="G2704" s="3" t="s">
        <v>75</v>
      </c>
      <c r="H2704" s="2" t="s">
        <v>22</v>
      </c>
      <c r="I2704" s="2" t="s">
        <v>6105</v>
      </c>
      <c r="J2704" s="3" t="str">
        <f>HYPERLINK("https://www.boe.es/gazeta/dias/1834/10/14/pdfs/GMD-1834-242.pdf#page=4","Abrir facsímil")</f>
        <v>Abrir facsímil</v>
      </c>
      <c r="K2704" s="3" t="s">
        <v>24</v>
      </c>
    </row>
    <row r="2705" spans="1:11" ht="54" customHeight="1">
      <c r="A2705" s="2" t="s">
        <v>6099</v>
      </c>
      <c r="B2705" s="2" t="s">
        <v>6099</v>
      </c>
      <c r="C2705" s="2" t="s">
        <v>17</v>
      </c>
      <c r="D2705" s="2" t="s">
        <v>55</v>
      </c>
      <c r="E2705" s="5" t="s">
        <v>1125</v>
      </c>
      <c r="F2705" s="3" t="s">
        <v>1126</v>
      </c>
      <c r="G2705" s="3" t="s">
        <v>86</v>
      </c>
      <c r="H2705" s="2" t="s">
        <v>22</v>
      </c>
      <c r="I2705" s="2" t="s">
        <v>6106</v>
      </c>
      <c r="J2705" s="3" t="str">
        <f>HYPERLINK("https://www.boe.es/gazeta/dias/1834/04/17/pdfs/GMD-C-1834-56.pdf#page=2","Abrir facsímil")</f>
        <v>Abrir facsímil</v>
      </c>
      <c r="K2705" s="3" t="s">
        <v>24</v>
      </c>
    </row>
    <row r="2706" spans="1:11" ht="54" customHeight="1">
      <c r="A2706" s="2" t="s">
        <v>6099</v>
      </c>
      <c r="B2706" s="2" t="s">
        <v>6099</v>
      </c>
      <c r="C2706" s="2" t="s">
        <v>90</v>
      </c>
      <c r="D2706" s="2" t="s">
        <v>18</v>
      </c>
      <c r="E2706" s="5" t="s">
        <v>19</v>
      </c>
      <c r="F2706" s="3" t="s">
        <v>1933</v>
      </c>
      <c r="G2706" s="3" t="s">
        <v>34</v>
      </c>
      <c r="H2706" s="2" t="s">
        <v>22</v>
      </c>
      <c r="I2706" s="2" t="s">
        <v>6107</v>
      </c>
      <c r="J2706" s="3" t="str">
        <f>HYPERLINK("https://www.boe.es/gazeta/dias/1834/08/17/pdfs/GMD-1834-183E.pdf#page=1","Abrir facsímil")</f>
        <v>Abrir facsímil</v>
      </c>
      <c r="K2706" s="3" t="s">
        <v>24</v>
      </c>
    </row>
    <row r="2707" spans="1:11" ht="54" customHeight="1">
      <c r="A2707" s="2" t="s">
        <v>6099</v>
      </c>
      <c r="B2707" s="2" t="s">
        <v>6099</v>
      </c>
      <c r="C2707" s="2" t="s">
        <v>17</v>
      </c>
      <c r="D2707" s="2" t="s">
        <v>40</v>
      </c>
      <c r="E2707" s="5" t="s">
        <v>1517</v>
      </c>
      <c r="F2707" s="3" t="s">
        <v>1518</v>
      </c>
      <c r="G2707" s="3" t="s">
        <v>75</v>
      </c>
      <c r="H2707" s="2" t="s">
        <v>22</v>
      </c>
      <c r="I2707" s="2" t="s">
        <v>6108</v>
      </c>
      <c r="J2707" s="3" t="str">
        <f>HYPERLINK("https://www.boe.es/gazeta/dias/1834/05/18/pdfs/GMD-1834-87.pdf#page=4","Abrir facsímil")</f>
        <v>Abrir facsímil</v>
      </c>
      <c r="K2707" s="3" t="s">
        <v>24</v>
      </c>
    </row>
    <row r="2708" spans="1:11" ht="54" customHeight="1">
      <c r="A2708" s="2" t="s">
        <v>6099</v>
      </c>
      <c r="B2708" s="2" t="s">
        <v>6099</v>
      </c>
      <c r="C2708" s="2" t="s">
        <v>66</v>
      </c>
      <c r="D2708" s="2" t="s">
        <v>18</v>
      </c>
      <c r="E2708" s="5" t="s">
        <v>1669</v>
      </c>
      <c r="F2708" s="3" t="s">
        <v>1670</v>
      </c>
      <c r="G2708" s="3" t="s">
        <v>21</v>
      </c>
      <c r="H2708" s="2" t="s">
        <v>22</v>
      </c>
      <c r="I2708" s="2" t="s">
        <v>6109</v>
      </c>
      <c r="J2708" s="3" t="str">
        <f>HYPERLINK("https://www.boe.es/gazeta/dias/1834/06/19/pdfs/GMD-1834-122.pdf#page=3","Abrir facsímil")</f>
        <v>Abrir facsímil</v>
      </c>
      <c r="K2708" s="3" t="s">
        <v>24</v>
      </c>
    </row>
    <row r="2709" spans="1:11" ht="54" customHeight="1">
      <c r="A2709" s="2" t="s">
        <v>6099</v>
      </c>
      <c r="B2709" s="2" t="s">
        <v>6099</v>
      </c>
      <c r="C2709" s="2" t="s">
        <v>17</v>
      </c>
      <c r="D2709" s="2" t="s">
        <v>18</v>
      </c>
      <c r="E2709" s="5" t="s">
        <v>1212</v>
      </c>
      <c r="F2709" s="3" t="s">
        <v>1213</v>
      </c>
      <c r="G2709" s="3" t="s">
        <v>86</v>
      </c>
      <c r="H2709" s="2" t="s">
        <v>22</v>
      </c>
      <c r="I2709" s="2" t="s">
        <v>6110</v>
      </c>
      <c r="J2709" s="3" t="str">
        <f>HYPERLINK("https://www.boe.es/gazeta/dias/1834/05/24/pdfs/GMD-1834-93.pdf#page=2","Abrir facsímil")</f>
        <v>Abrir facsímil</v>
      </c>
      <c r="K2709" s="3" t="s">
        <v>24</v>
      </c>
    </row>
    <row r="2710" spans="1:11" ht="54" customHeight="1">
      <c r="A2710" s="2" t="s">
        <v>6099</v>
      </c>
      <c r="B2710" s="2" t="s">
        <v>6099</v>
      </c>
      <c r="C2710" s="2" t="s">
        <v>66</v>
      </c>
      <c r="D2710" s="2" t="s">
        <v>67</v>
      </c>
      <c r="E2710" s="5" t="s">
        <v>724</v>
      </c>
      <c r="F2710" s="3" t="s">
        <v>725</v>
      </c>
      <c r="G2710" s="3" t="s">
        <v>75</v>
      </c>
      <c r="H2710" s="2" t="s">
        <v>22</v>
      </c>
      <c r="I2710" s="2" t="s">
        <v>6111</v>
      </c>
      <c r="J2710" s="3" t="str">
        <f>HYPERLINK("https://www.boe.es/gazeta/dias/1834/04/25/pdfs/GMD-1834-64.pdf#page=4","Abrir facsímil")</f>
        <v>Abrir facsímil</v>
      </c>
      <c r="K2710" s="3" t="s">
        <v>24</v>
      </c>
    </row>
    <row r="2711" spans="1:11" ht="54" customHeight="1">
      <c r="A2711" s="2" t="s">
        <v>6099</v>
      </c>
      <c r="B2711" s="2" t="s">
        <v>6099</v>
      </c>
      <c r="C2711" s="2" t="s">
        <v>66</v>
      </c>
      <c r="D2711" s="2" t="s">
        <v>67</v>
      </c>
      <c r="E2711" s="5" t="s">
        <v>513</v>
      </c>
      <c r="F2711" s="3" t="s">
        <v>514</v>
      </c>
      <c r="G2711" s="3" t="s">
        <v>28</v>
      </c>
      <c r="H2711" s="2" t="s">
        <v>22</v>
      </c>
      <c r="I2711" s="2" t="s">
        <v>6112</v>
      </c>
      <c r="J2711" s="3" t="str">
        <f>HYPERLINK("https://www.boe.es/gazeta/dias/1834/04/27/pdfs/GMD-1834-66.pdf#page=5","Abrir facsímil")</f>
        <v>Abrir facsímil</v>
      </c>
      <c r="K2711" s="3" t="s">
        <v>24</v>
      </c>
    </row>
    <row r="2712" spans="1:11" ht="54" customHeight="1">
      <c r="A2712" s="2" t="s">
        <v>6099</v>
      </c>
      <c r="B2712" s="2" t="s">
        <v>6099</v>
      </c>
      <c r="C2712" s="2" t="s">
        <v>66</v>
      </c>
      <c r="D2712" s="2" t="s">
        <v>18</v>
      </c>
      <c r="E2712" s="5" t="s">
        <v>309</v>
      </c>
      <c r="F2712" s="3" t="s">
        <v>310</v>
      </c>
      <c r="G2712" s="3" t="s">
        <v>75</v>
      </c>
      <c r="H2712" s="2" t="s">
        <v>22</v>
      </c>
      <c r="I2712" s="2" t="s">
        <v>6113</v>
      </c>
      <c r="J2712" s="3" t="str">
        <f>HYPERLINK("https://www.boe.es/gazeta/dias/1834/05/30/pdfs/GMD-1834-99.pdf#page=4","Abrir facsímil")</f>
        <v>Abrir facsímil</v>
      </c>
      <c r="K2712" s="3" t="s">
        <v>24</v>
      </c>
    </row>
    <row r="2713" spans="1:11" ht="54" customHeight="1">
      <c r="A2713" s="2" t="s">
        <v>6099</v>
      </c>
      <c r="B2713" s="2" t="s">
        <v>6099</v>
      </c>
      <c r="C2713" s="2" t="s">
        <v>17</v>
      </c>
      <c r="D2713" s="2" t="s">
        <v>18</v>
      </c>
      <c r="E2713" s="5" t="s">
        <v>552</v>
      </c>
      <c r="F2713" s="3" t="s">
        <v>553</v>
      </c>
      <c r="G2713" s="3" t="s">
        <v>21</v>
      </c>
      <c r="H2713" s="2" t="s">
        <v>22</v>
      </c>
      <c r="I2713" s="2" t="s">
        <v>6114</v>
      </c>
      <c r="J2713" s="3" t="str">
        <f>HYPERLINK("https://www.boe.es/gazeta/dias/1834/07/30/pdfs/GMD-1834-163.pdf#page=3","Abrir facsímil")</f>
        <v>Abrir facsímil</v>
      </c>
      <c r="K2713" s="3" t="s">
        <v>24</v>
      </c>
    </row>
    <row r="2714" spans="1:11" ht="54" customHeight="1">
      <c r="A2714" s="2" t="s">
        <v>6115</v>
      </c>
      <c r="B2714" s="2" t="s">
        <v>6116</v>
      </c>
      <c r="C2714" s="2" t="s">
        <v>90</v>
      </c>
      <c r="D2714" s="2" t="s">
        <v>18</v>
      </c>
      <c r="E2714" s="5" t="s">
        <v>1297</v>
      </c>
      <c r="F2714" s="3" t="s">
        <v>1879</v>
      </c>
      <c r="G2714" s="3" t="s">
        <v>34</v>
      </c>
      <c r="H2714" s="2" t="s">
        <v>35</v>
      </c>
      <c r="I2714" s="2" t="s">
        <v>6117</v>
      </c>
      <c r="J2714" s="3" t="str">
        <f>HYPERLINK("https://www.boe.es/gazeta/dias/1834/08/01/pdfs/GMD-D-1834-165.pdf#page=1","Abrir facsímil")</f>
        <v>Abrir facsímil</v>
      </c>
      <c r="K2714" s="3" t="s">
        <v>37</v>
      </c>
    </row>
    <row r="2715" spans="1:11" ht="54" customHeight="1">
      <c r="A2715" s="2" t="s">
        <v>6115</v>
      </c>
      <c r="B2715" s="2" t="s">
        <v>6116</v>
      </c>
      <c r="C2715" s="2" t="s">
        <v>122</v>
      </c>
      <c r="D2715" s="2" t="s">
        <v>18</v>
      </c>
      <c r="E2715" s="5" t="s">
        <v>448</v>
      </c>
      <c r="F2715" s="3" t="s">
        <v>2058</v>
      </c>
      <c r="G2715" s="3" t="s">
        <v>21</v>
      </c>
      <c r="H2715" s="2" t="s">
        <v>35</v>
      </c>
      <c r="I2715" s="2" t="s">
        <v>6118</v>
      </c>
      <c r="J2715" s="3" t="str">
        <f>HYPERLINK("https://www.boe.es/gazeta/dias/1834/10/14/pdfs/GMD-1834-242.pdf#page=3","Abrir facsímil")</f>
        <v>Abrir facsímil</v>
      </c>
      <c r="K2715" s="3" t="s">
        <v>37</v>
      </c>
    </row>
    <row r="2716" spans="1:11" ht="54" customHeight="1">
      <c r="A2716" s="2" t="s">
        <v>6119</v>
      </c>
      <c r="B2716" s="2" t="s">
        <v>6120</v>
      </c>
      <c r="C2716" s="2" t="s">
        <v>66</v>
      </c>
      <c r="D2716" s="2" t="s">
        <v>18</v>
      </c>
      <c r="E2716" s="5" t="s">
        <v>1212</v>
      </c>
      <c r="F2716" s="3" t="s">
        <v>1213</v>
      </c>
      <c r="G2716" s="3" t="s">
        <v>86</v>
      </c>
      <c r="H2716" s="2" t="s">
        <v>35</v>
      </c>
      <c r="I2716" s="2" t="s">
        <v>6121</v>
      </c>
      <c r="J2716" s="3" t="str">
        <f>HYPERLINK("https://www.boe.es/gazeta/dias/1834/05/24/pdfs/GMD-1834-93.pdf#page=2","Abrir facsímil")</f>
        <v>Abrir facsímil</v>
      </c>
      <c r="K2716" s="3" t="s">
        <v>37</v>
      </c>
    </row>
    <row r="2717" spans="1:11" ht="54" customHeight="1">
      <c r="A2717" s="2" t="s">
        <v>6122</v>
      </c>
      <c r="B2717" s="2" t="s">
        <v>6123</v>
      </c>
      <c r="C2717" s="2" t="s">
        <v>90</v>
      </c>
      <c r="D2717" s="2" t="s">
        <v>18</v>
      </c>
      <c r="E2717" s="5" t="s">
        <v>1297</v>
      </c>
      <c r="F2717" s="3" t="s">
        <v>1879</v>
      </c>
      <c r="G2717" s="3" t="s">
        <v>34</v>
      </c>
      <c r="H2717" s="2" t="s">
        <v>22</v>
      </c>
      <c r="I2717" s="2" t="s">
        <v>6124</v>
      </c>
      <c r="J2717" s="3" t="str">
        <f>HYPERLINK("https://www.boe.es/gazeta/dias/1834/08/01/pdfs/GMD-D-1834-165.pdf#page=1","Abrir facsímil")</f>
        <v>Abrir facsímil</v>
      </c>
      <c r="K2717" s="3" t="s">
        <v>24</v>
      </c>
    </row>
    <row r="2718" spans="1:11" ht="54" customHeight="1">
      <c r="A2718" s="2" t="s">
        <v>6122</v>
      </c>
      <c r="B2718" s="2" t="s">
        <v>6123</v>
      </c>
      <c r="C2718" s="2" t="s">
        <v>122</v>
      </c>
      <c r="D2718" s="2" t="s">
        <v>18</v>
      </c>
      <c r="E2718" s="5" t="s">
        <v>448</v>
      </c>
      <c r="F2718" s="3" t="s">
        <v>2058</v>
      </c>
      <c r="G2718" s="3" t="s">
        <v>21</v>
      </c>
      <c r="H2718" s="2" t="s">
        <v>22</v>
      </c>
      <c r="I2718" s="2" t="s">
        <v>6125</v>
      </c>
      <c r="J2718" s="3" t="str">
        <f>HYPERLINK("https://www.boe.es/gazeta/dias/1834/10/14/pdfs/GMD-1834-242.pdf#page=3","Abrir facsímil")</f>
        <v>Abrir facsímil</v>
      </c>
      <c r="K2718" s="3" t="s">
        <v>24</v>
      </c>
    </row>
    <row r="2719" spans="1:11" ht="54" customHeight="1">
      <c r="A2719" s="2" t="s">
        <v>6122</v>
      </c>
      <c r="B2719" s="2" t="s">
        <v>6123</v>
      </c>
      <c r="C2719" s="2" t="s">
        <v>17</v>
      </c>
      <c r="D2719" s="2" t="s">
        <v>18</v>
      </c>
      <c r="E2719" s="5" t="s">
        <v>724</v>
      </c>
      <c r="F2719" s="3" t="s">
        <v>725</v>
      </c>
      <c r="G2719" s="3" t="s">
        <v>75</v>
      </c>
      <c r="H2719" s="2" t="s">
        <v>22</v>
      </c>
      <c r="I2719" s="2" t="s">
        <v>6126</v>
      </c>
      <c r="J2719" s="3" t="str">
        <f>HYPERLINK("https://www.boe.es/gazeta/dias/1834/04/25/pdfs/GMD-1834-64.pdf#page=4","Abrir facsímil")</f>
        <v>Abrir facsímil</v>
      </c>
      <c r="K2719" s="3" t="s">
        <v>24</v>
      </c>
    </row>
    <row r="2720" spans="1:11" ht="54" customHeight="1">
      <c r="A2720" s="2" t="s">
        <v>6127</v>
      </c>
      <c r="B2720" s="2" t="s">
        <v>6128</v>
      </c>
      <c r="C2720" s="2" t="s">
        <v>66</v>
      </c>
      <c r="D2720" s="2" t="s">
        <v>18</v>
      </c>
      <c r="E2720" s="5" t="s">
        <v>1212</v>
      </c>
      <c r="F2720" s="3" t="s">
        <v>1213</v>
      </c>
      <c r="G2720" s="3" t="s">
        <v>86</v>
      </c>
      <c r="H2720" s="2" t="s">
        <v>22</v>
      </c>
      <c r="I2720" s="2" t="s">
        <v>6129</v>
      </c>
      <c r="J2720" s="3" t="str">
        <f>HYPERLINK("https://www.boe.es/gazeta/dias/1834/05/24/pdfs/GMD-1834-93.pdf#page=2","Abrir facsímil")</f>
        <v>Abrir facsímil</v>
      </c>
      <c r="K2720" s="3" t="s">
        <v>24</v>
      </c>
    </row>
    <row r="2721" spans="1:11" ht="54" customHeight="1">
      <c r="A2721" s="2" t="s">
        <v>6130</v>
      </c>
      <c r="B2721" s="2" t="s">
        <v>6130</v>
      </c>
      <c r="C2721" s="2" t="s">
        <v>66</v>
      </c>
      <c r="D2721" s="2" t="s">
        <v>67</v>
      </c>
      <c r="E2721" s="5" t="s">
        <v>1234</v>
      </c>
      <c r="F2721" s="3" t="s">
        <v>1455</v>
      </c>
      <c r="G2721" s="3" t="s">
        <v>75</v>
      </c>
      <c r="H2721" s="2" t="s">
        <v>22</v>
      </c>
      <c r="I2721" s="2" t="s">
        <v>6131</v>
      </c>
      <c r="J2721" s="3" t="str">
        <f>HYPERLINK("https://www.boe.es/gazeta/dias/1834/05/15/pdfs/GMD-1834-84.pdf#page=4","Abrir facsímil")</f>
        <v>Abrir facsímil</v>
      </c>
      <c r="K2721" s="3" t="s">
        <v>24</v>
      </c>
    </row>
    <row r="2722" spans="1:11" ht="54" customHeight="1">
      <c r="A2722" s="2" t="s">
        <v>6132</v>
      </c>
      <c r="B2722" s="2" t="s">
        <v>6133</v>
      </c>
      <c r="C2722" s="2" t="s">
        <v>17</v>
      </c>
      <c r="D2722" s="2" t="s">
        <v>18</v>
      </c>
      <c r="E2722" s="5" t="s">
        <v>1008</v>
      </c>
      <c r="F2722" s="3" t="s">
        <v>1009</v>
      </c>
      <c r="G2722" s="3" t="s">
        <v>86</v>
      </c>
      <c r="H2722" s="2" t="s">
        <v>22</v>
      </c>
      <c r="I2722" s="2" t="s">
        <v>6134</v>
      </c>
      <c r="J2722" s="3" t="str">
        <f>HYPERLINK("https://www.boe.es/gazeta/dias/1834/11/08/pdfs/GMD-C-1834-267.pdf#page=2","Abrir facsímil")</f>
        <v>Abrir facsímil</v>
      </c>
      <c r="K2722" s="3" t="s">
        <v>24</v>
      </c>
    </row>
    <row r="2723" spans="1:11" ht="54" customHeight="1">
      <c r="A2723" s="2" t="s">
        <v>6135</v>
      </c>
      <c r="B2723" s="2" t="s">
        <v>6136</v>
      </c>
      <c r="C2723" s="2" t="s">
        <v>90</v>
      </c>
      <c r="D2723" s="2" t="s">
        <v>67</v>
      </c>
      <c r="E2723" s="5" t="s">
        <v>833</v>
      </c>
      <c r="F2723" s="3" t="s">
        <v>834</v>
      </c>
      <c r="G2723" s="3" t="s">
        <v>75</v>
      </c>
      <c r="H2723" s="2" t="s">
        <v>35</v>
      </c>
      <c r="I2723" s="2" t="s">
        <v>6137</v>
      </c>
      <c r="J2723" s="3" t="str">
        <f>HYPERLINK("https://www.boe.es/gazeta/dias/1834/04/24/pdfs/GMD-1834-63.pdf#page=4","Abrir facsímil")</f>
        <v>Abrir facsímil</v>
      </c>
      <c r="K2723" s="3" t="s">
        <v>37</v>
      </c>
    </row>
    <row r="2724" spans="1:11" ht="54" customHeight="1">
      <c r="A2724" s="2" t="s">
        <v>6138</v>
      </c>
      <c r="B2724" s="2" t="s">
        <v>6139</v>
      </c>
      <c r="C2724" s="2" t="s">
        <v>66</v>
      </c>
      <c r="D2724" s="2" t="s">
        <v>67</v>
      </c>
      <c r="E2724" s="5" t="s">
        <v>1307</v>
      </c>
      <c r="F2724" s="3" t="s">
        <v>1308</v>
      </c>
      <c r="G2724" s="3" t="s">
        <v>21</v>
      </c>
      <c r="H2724" s="2" t="s">
        <v>22</v>
      </c>
      <c r="I2724" s="2" t="s">
        <v>6140</v>
      </c>
      <c r="J2724" s="3" t="str">
        <f>HYPERLINK("https://www.boe.es/gazeta/dias/1834/08/25/pdfs/GMD-1834-191.pdf#page=3","Abrir facsímil")</f>
        <v>Abrir facsímil</v>
      </c>
      <c r="K2724" s="3" t="s">
        <v>24</v>
      </c>
    </row>
    <row r="2725" spans="1:11" ht="54" customHeight="1">
      <c r="A2725" s="2" t="s">
        <v>6141</v>
      </c>
      <c r="B2725" s="2" t="s">
        <v>6142</v>
      </c>
      <c r="C2725" s="2" t="s">
        <v>90</v>
      </c>
      <c r="D2725" s="2" t="s">
        <v>67</v>
      </c>
      <c r="E2725" s="5" t="s">
        <v>833</v>
      </c>
      <c r="F2725" s="3" t="s">
        <v>834</v>
      </c>
      <c r="G2725" s="3" t="s">
        <v>75</v>
      </c>
      <c r="H2725" s="2" t="s">
        <v>22</v>
      </c>
      <c r="I2725" s="2" t="s">
        <v>6143</v>
      </c>
      <c r="J2725" s="3" t="str">
        <f>HYPERLINK("https://www.boe.es/gazeta/dias/1834/04/24/pdfs/GMD-1834-63.pdf#page=4","Abrir facsímil")</f>
        <v>Abrir facsímil</v>
      </c>
      <c r="K2725" s="3" t="s">
        <v>24</v>
      </c>
    </row>
    <row r="2726" spans="1:11" ht="54" customHeight="1">
      <c r="A2726" s="2" t="s">
        <v>6144</v>
      </c>
      <c r="B2726" s="2" t="s">
        <v>6144</v>
      </c>
      <c r="C2726" s="2" t="s">
        <v>66</v>
      </c>
      <c r="D2726" s="2" t="s">
        <v>67</v>
      </c>
      <c r="E2726" s="5" t="s">
        <v>1862</v>
      </c>
      <c r="F2726" s="3" t="s">
        <v>1908</v>
      </c>
      <c r="G2726" s="3" t="s">
        <v>34</v>
      </c>
      <c r="H2726" s="2" t="s">
        <v>22</v>
      </c>
      <c r="I2726" s="2" t="s">
        <v>6145</v>
      </c>
      <c r="J2726" s="3" t="str">
        <f>HYPERLINK("https://www.boe.es/gazeta/dias/1834/02/04/pdfs/GMD-C-1834-16.pdf#page=1","Abrir facsímil")</f>
        <v>Abrir facsímil</v>
      </c>
      <c r="K2726" s="3" t="s">
        <v>24</v>
      </c>
    </row>
    <row r="2727" spans="1:11" ht="54" customHeight="1">
      <c r="A2727" s="2" t="s">
        <v>6144</v>
      </c>
      <c r="B2727" s="2" t="s">
        <v>6144</v>
      </c>
      <c r="C2727" s="2" t="s">
        <v>17</v>
      </c>
      <c r="D2727" s="2" t="s">
        <v>18</v>
      </c>
      <c r="E2727" s="5" t="s">
        <v>73</v>
      </c>
      <c r="F2727" s="3" t="s">
        <v>1416</v>
      </c>
      <c r="G2727" s="3" t="s">
        <v>21</v>
      </c>
      <c r="H2727" s="2" t="s">
        <v>22</v>
      </c>
      <c r="I2727" s="2" t="s">
        <v>6146</v>
      </c>
      <c r="J2727" s="3" t="str">
        <f>HYPERLINK("https://www.boe.es/gazeta/dias/1834/11/04/pdfs/GMD-C-1834-263.pdf#page=3","Abrir facsímil")</f>
        <v>Abrir facsímil</v>
      </c>
      <c r="K2727" s="3" t="s">
        <v>24</v>
      </c>
    </row>
    <row r="2728" spans="1:11" ht="54" customHeight="1">
      <c r="A2728" s="2" t="s">
        <v>6144</v>
      </c>
      <c r="B2728" s="2" t="s">
        <v>6144</v>
      </c>
      <c r="C2728" s="2" t="s">
        <v>90</v>
      </c>
      <c r="D2728" s="2" t="s">
        <v>18</v>
      </c>
      <c r="E2728" s="5" t="s">
        <v>762</v>
      </c>
      <c r="F2728" s="3" t="s">
        <v>2227</v>
      </c>
      <c r="G2728" s="3" t="s">
        <v>34</v>
      </c>
      <c r="H2728" s="2" t="s">
        <v>22</v>
      </c>
      <c r="I2728" s="2" t="s">
        <v>6147</v>
      </c>
      <c r="J2728" s="3" t="str">
        <f>HYPERLINK("https://www.boe.es/gazeta/dias/1834/11/07/pdfs/GMD-C-1834-266.pdf#page=1","Abrir facsímil")</f>
        <v>Abrir facsímil</v>
      </c>
      <c r="K2728" s="3" t="s">
        <v>24</v>
      </c>
    </row>
    <row r="2729" spans="1:11" ht="54" customHeight="1">
      <c r="A2729" s="2" t="s">
        <v>6144</v>
      </c>
      <c r="B2729" s="2" t="s">
        <v>6144</v>
      </c>
      <c r="C2729" s="2" t="s">
        <v>17</v>
      </c>
      <c r="D2729" s="2" t="s">
        <v>18</v>
      </c>
      <c r="E2729" s="5" t="s">
        <v>1008</v>
      </c>
      <c r="F2729" s="3" t="s">
        <v>1009</v>
      </c>
      <c r="G2729" s="3" t="s">
        <v>75</v>
      </c>
      <c r="H2729" s="2" t="s">
        <v>22</v>
      </c>
      <c r="I2729" s="2" t="s">
        <v>6148</v>
      </c>
      <c r="J2729" s="3" t="str">
        <f>HYPERLINK("https://www.boe.es/gazeta/dias/1834/11/08/pdfs/GMD-C-1834-267.pdf#page=4","Abrir facsímil")</f>
        <v>Abrir facsímil</v>
      </c>
      <c r="K2729" s="3" t="s">
        <v>24</v>
      </c>
    </row>
    <row r="2730" spans="1:11" ht="54" customHeight="1">
      <c r="A2730" s="2" t="s">
        <v>6144</v>
      </c>
      <c r="B2730" s="2" t="s">
        <v>6144</v>
      </c>
      <c r="C2730" s="2" t="s">
        <v>17</v>
      </c>
      <c r="D2730" s="2" t="s">
        <v>40</v>
      </c>
      <c r="E2730" s="5" t="s">
        <v>1008</v>
      </c>
      <c r="F2730" s="3" t="s">
        <v>1009</v>
      </c>
      <c r="G2730" s="3" t="s">
        <v>560</v>
      </c>
      <c r="H2730" s="2" t="s">
        <v>22</v>
      </c>
      <c r="I2730" s="2" t="s">
        <v>6149</v>
      </c>
      <c r="J2730" s="3" t="str">
        <f>HYPERLINK("https://www.boe.es/gazeta/dias/1834/11/08/pdfs/GMD-C-1834-267.pdf#page=7","Abrir facsímil")</f>
        <v>Abrir facsímil</v>
      </c>
      <c r="K2730" s="3" t="s">
        <v>24</v>
      </c>
    </row>
    <row r="2731" spans="1:11" ht="54" customHeight="1">
      <c r="A2731" s="2" t="s">
        <v>6144</v>
      </c>
      <c r="B2731" s="2" t="s">
        <v>6144</v>
      </c>
      <c r="C2731" s="2" t="s">
        <v>66</v>
      </c>
      <c r="D2731" s="2" t="s">
        <v>67</v>
      </c>
      <c r="E2731" s="5" t="s">
        <v>1103</v>
      </c>
      <c r="F2731" s="3" t="s">
        <v>1104</v>
      </c>
      <c r="G2731" s="3" t="s">
        <v>86</v>
      </c>
      <c r="H2731" s="2" t="s">
        <v>22</v>
      </c>
      <c r="I2731" s="2" t="s">
        <v>6150</v>
      </c>
      <c r="J2731" s="3" t="str">
        <f>HYPERLINK("https://www.boe.es/gazeta/dias/1834/10/10/pdfs/GMD-C-1834-238.pdf#page=2","Abrir facsímil")</f>
        <v>Abrir facsímil</v>
      </c>
      <c r="K2731" s="3" t="s">
        <v>24</v>
      </c>
    </row>
    <row r="2732" spans="1:11" ht="54" customHeight="1">
      <c r="A2732" s="2" t="s">
        <v>6144</v>
      </c>
      <c r="B2732" s="2" t="s">
        <v>6144</v>
      </c>
      <c r="C2732" s="2" t="s">
        <v>122</v>
      </c>
      <c r="D2732" s="2" t="s">
        <v>40</v>
      </c>
      <c r="E2732" s="5" t="s">
        <v>785</v>
      </c>
      <c r="F2732" s="3" t="s">
        <v>786</v>
      </c>
      <c r="G2732" s="3" t="s">
        <v>75</v>
      </c>
      <c r="H2732" s="2" t="s">
        <v>22</v>
      </c>
      <c r="I2732" s="2" t="s">
        <v>6151</v>
      </c>
      <c r="J2732" s="3" t="str">
        <f>HYPERLINK("https://www.boe.es/gazeta/dias/1834/02/11/pdfs/GMD-1834-19.pdf#page=4","Abrir facsímil")</f>
        <v>Abrir facsímil</v>
      </c>
      <c r="K2732" s="3" t="s">
        <v>24</v>
      </c>
    </row>
    <row r="2733" spans="1:11" ht="54" customHeight="1">
      <c r="A2733" s="2" t="s">
        <v>6144</v>
      </c>
      <c r="B2733" s="2" t="s">
        <v>6144</v>
      </c>
      <c r="C2733" s="2" t="s">
        <v>66</v>
      </c>
      <c r="D2733" s="2" t="s">
        <v>67</v>
      </c>
      <c r="E2733" s="5" t="s">
        <v>91</v>
      </c>
      <c r="F2733" s="3" t="s">
        <v>92</v>
      </c>
      <c r="G2733" s="3" t="s">
        <v>75</v>
      </c>
      <c r="H2733" s="2" t="s">
        <v>22</v>
      </c>
      <c r="I2733" s="2" t="s">
        <v>6152</v>
      </c>
      <c r="J2733" s="3" t="str">
        <f>HYPERLINK("https://www.boe.es/gazeta/dias/1834/02/13/pdfs/GMD-1834-20.pdf#page=4","Abrir facsímil")</f>
        <v>Abrir facsímil</v>
      </c>
      <c r="K2733" s="3" t="s">
        <v>24</v>
      </c>
    </row>
    <row r="2734" spans="1:11" ht="54" customHeight="1">
      <c r="A2734" s="2" t="s">
        <v>6144</v>
      </c>
      <c r="B2734" s="2" t="s">
        <v>6144</v>
      </c>
      <c r="C2734" s="2" t="s">
        <v>46</v>
      </c>
      <c r="D2734" s="2" t="s">
        <v>101</v>
      </c>
      <c r="E2734" s="5" t="s">
        <v>462</v>
      </c>
      <c r="F2734" s="3" t="s">
        <v>463</v>
      </c>
      <c r="G2734" s="3" t="s">
        <v>34</v>
      </c>
      <c r="H2734" s="2" t="s">
        <v>22</v>
      </c>
      <c r="I2734" s="2" t="s">
        <v>6153</v>
      </c>
      <c r="J2734" s="3" t="str">
        <f>HYPERLINK("https://www.boe.es/gazeta/dias/1834/08/27/pdfs/GMD-C-1834-193.pdf#page=1","Abrir facsímil")</f>
        <v>Abrir facsímil</v>
      </c>
      <c r="K2734" s="3" t="s">
        <v>24</v>
      </c>
    </row>
    <row r="2735" spans="1:11" ht="54" customHeight="1">
      <c r="A2735" s="2" t="s">
        <v>6144</v>
      </c>
      <c r="B2735" s="2" t="s">
        <v>6144</v>
      </c>
      <c r="C2735" s="2" t="s">
        <v>17</v>
      </c>
      <c r="D2735" s="2" t="s">
        <v>18</v>
      </c>
      <c r="E2735" s="5" t="s">
        <v>468</v>
      </c>
      <c r="F2735" s="3" t="s">
        <v>469</v>
      </c>
      <c r="G2735" s="3" t="s">
        <v>2174</v>
      </c>
      <c r="H2735" s="2" t="s">
        <v>22</v>
      </c>
      <c r="I2735" s="2" t="s">
        <v>6154</v>
      </c>
      <c r="J2735" s="3" t="str">
        <f>HYPERLINK("https://www.boe.es/gazeta/dias/1834/12/28/pdfs/GMD-C-1834-318.pdf#page=10","Abrir facsímil")</f>
        <v>Abrir facsímil</v>
      </c>
      <c r="K2735" s="3" t="s">
        <v>24</v>
      </c>
    </row>
    <row r="2736" spans="1:11" ht="54" customHeight="1">
      <c r="A2736" s="2" t="s">
        <v>6144</v>
      </c>
      <c r="B2736" s="2" t="s">
        <v>6144</v>
      </c>
      <c r="C2736" s="2" t="s">
        <v>17</v>
      </c>
      <c r="D2736" s="2" t="s">
        <v>55</v>
      </c>
      <c r="E2736" s="5" t="s">
        <v>468</v>
      </c>
      <c r="F2736" s="3" t="s">
        <v>469</v>
      </c>
      <c r="G2736" s="3" t="s">
        <v>1343</v>
      </c>
      <c r="H2736" s="2" t="s">
        <v>22</v>
      </c>
      <c r="I2736" s="2" t="s">
        <v>6155</v>
      </c>
      <c r="J2736" s="3" t="str">
        <f>HYPERLINK("https://www.boe.es/gazeta/dias/1834/12/28/pdfs/GMD-C-1834-318.pdf#page=9","Abrir facsímil")</f>
        <v>Abrir facsímil</v>
      </c>
      <c r="K2736" s="3" t="s">
        <v>24</v>
      </c>
    </row>
    <row r="2737" spans="1:11" ht="54" customHeight="1">
      <c r="A2737" s="2" t="s">
        <v>6144</v>
      </c>
      <c r="B2737" s="2" t="s">
        <v>6144</v>
      </c>
      <c r="C2737" s="2" t="s">
        <v>66</v>
      </c>
      <c r="D2737" s="2" t="s">
        <v>67</v>
      </c>
      <c r="E2737" s="5" t="s">
        <v>2526</v>
      </c>
      <c r="F2737" s="3" t="s">
        <v>2527</v>
      </c>
      <c r="G2737" s="3" t="s">
        <v>75</v>
      </c>
      <c r="H2737" s="2" t="s">
        <v>22</v>
      </c>
      <c r="I2737" s="2" t="s">
        <v>6156</v>
      </c>
      <c r="J2737" s="3" t="str">
        <f>HYPERLINK("https://www.boe.es/gazeta/dias/1834/12/29/pdfs/GMD-C-1834-319.pdf#page=4","Abrir facsímil")</f>
        <v>Abrir facsímil</v>
      </c>
      <c r="K2737" s="3" t="s">
        <v>24</v>
      </c>
    </row>
    <row r="2738" spans="1:11" ht="54" customHeight="1">
      <c r="A2738" s="2" t="s">
        <v>6144</v>
      </c>
      <c r="B2738" s="2" t="s">
        <v>6144</v>
      </c>
      <c r="C2738" s="2" t="s">
        <v>66</v>
      </c>
      <c r="D2738" s="2" t="s">
        <v>67</v>
      </c>
      <c r="E2738" s="5" t="s">
        <v>153</v>
      </c>
      <c r="F2738" s="3" t="s">
        <v>154</v>
      </c>
      <c r="G2738" s="3" t="s">
        <v>75</v>
      </c>
      <c r="H2738" s="2" t="s">
        <v>22</v>
      </c>
      <c r="I2738" s="2" t="s">
        <v>6157</v>
      </c>
      <c r="J2738" s="3" t="str">
        <f>HYPERLINK("https://www.boe.es/gazeta/dias/1834/12/30/pdfs/GMD-C-1834-320.pdf#page=4","Abrir facsímil")</f>
        <v>Abrir facsímil</v>
      </c>
      <c r="K2738" s="3" t="s">
        <v>24</v>
      </c>
    </row>
    <row r="2739" spans="1:11" ht="54" customHeight="1">
      <c r="A2739" s="2" t="s">
        <v>6144</v>
      </c>
      <c r="B2739" s="2" t="s">
        <v>6144</v>
      </c>
      <c r="C2739" s="2" t="s">
        <v>17</v>
      </c>
      <c r="D2739" s="2" t="s">
        <v>40</v>
      </c>
      <c r="E2739" s="5" t="s">
        <v>153</v>
      </c>
      <c r="F2739" s="3" t="s">
        <v>154</v>
      </c>
      <c r="G2739" s="3" t="s">
        <v>176</v>
      </c>
      <c r="H2739" s="2" t="s">
        <v>22</v>
      </c>
      <c r="I2739" s="2" t="s">
        <v>6158</v>
      </c>
      <c r="J2739" s="3" t="str">
        <f>HYPERLINK("https://www.boe.es/gazeta/dias/1834/12/30/pdfs/GMD-C-1834-320.pdf#page=6","Abrir facsímil")</f>
        <v>Abrir facsímil</v>
      </c>
      <c r="K2739" s="3" t="s">
        <v>24</v>
      </c>
    </row>
    <row r="2740" spans="1:11" ht="54" customHeight="1">
      <c r="A2740" s="2" t="s">
        <v>6159</v>
      </c>
      <c r="B2740" s="2" t="s">
        <v>6160</v>
      </c>
      <c r="C2740" s="2" t="s">
        <v>17</v>
      </c>
      <c r="D2740" s="2" t="s">
        <v>18</v>
      </c>
      <c r="E2740" s="5" t="s">
        <v>2459</v>
      </c>
      <c r="F2740" s="3" t="s">
        <v>2460</v>
      </c>
      <c r="G2740" s="3" t="s">
        <v>75</v>
      </c>
      <c r="H2740" s="2" t="s">
        <v>22</v>
      </c>
      <c r="I2740" s="2" t="s">
        <v>6161</v>
      </c>
      <c r="J2740" s="3" t="str">
        <f>HYPERLINK("https://www.boe.es/gazeta/dias/1834/04/04/pdfs/GMD-1834-43.pdf#page=4","Abrir facsímil")</f>
        <v>Abrir facsímil</v>
      </c>
      <c r="K2740" s="3" t="s">
        <v>24</v>
      </c>
    </row>
    <row r="2741" spans="1:11" ht="54" customHeight="1">
      <c r="A2741" s="2" t="s">
        <v>6162</v>
      </c>
      <c r="B2741" s="2" t="s">
        <v>6163</v>
      </c>
      <c r="C2741" s="2" t="s">
        <v>17</v>
      </c>
      <c r="D2741" s="2" t="s">
        <v>18</v>
      </c>
      <c r="E2741" s="5" t="s">
        <v>1766</v>
      </c>
      <c r="F2741" s="3" t="s">
        <v>1767</v>
      </c>
      <c r="G2741" s="3" t="s">
        <v>34</v>
      </c>
      <c r="H2741" s="2" t="s">
        <v>35</v>
      </c>
      <c r="I2741" s="2" t="s">
        <v>6164</v>
      </c>
      <c r="J2741" s="3" t="str">
        <f>HYPERLINK("https://www.boe.es/gazeta/dias/1834/10/26/pdfs/GMD-C-1834-254.pdf#page=1","Abrir facsímil")</f>
        <v>Abrir facsímil</v>
      </c>
      <c r="K2741" s="3" t="s">
        <v>37</v>
      </c>
    </row>
    <row r="2742" spans="1:11" ht="54" customHeight="1">
      <c r="A2742" s="2" t="s">
        <v>6165</v>
      </c>
      <c r="B2742" s="2" t="s">
        <v>6166</v>
      </c>
      <c r="C2742" s="2" t="s">
        <v>122</v>
      </c>
      <c r="D2742" s="2" t="s">
        <v>18</v>
      </c>
      <c r="E2742" s="5" t="s">
        <v>355</v>
      </c>
      <c r="F2742" s="3" t="s">
        <v>356</v>
      </c>
      <c r="G2742" s="3" t="s">
        <v>86</v>
      </c>
      <c r="H2742" s="2" t="s">
        <v>22</v>
      </c>
      <c r="I2742" s="2" t="s">
        <v>6167</v>
      </c>
      <c r="J2742" s="3" t="str">
        <f>HYPERLINK("https://www.boe.es/gazeta/dias/1834/07/04/pdfs/GMD-1834-137.pdf#page=2","Abrir facsímil")</f>
        <v>Abrir facsímil</v>
      </c>
      <c r="K2742" s="3" t="s">
        <v>24</v>
      </c>
    </row>
    <row r="2743" spans="1:11" ht="54" customHeight="1">
      <c r="A2743" s="2" t="s">
        <v>6168</v>
      </c>
      <c r="B2743" s="2" t="s">
        <v>6169</v>
      </c>
      <c r="C2743" s="2" t="s">
        <v>17</v>
      </c>
      <c r="D2743" s="2" t="s">
        <v>18</v>
      </c>
      <c r="E2743" s="5" t="s">
        <v>2459</v>
      </c>
      <c r="F2743" s="3" t="s">
        <v>2460</v>
      </c>
      <c r="G2743" s="3" t="s">
        <v>75</v>
      </c>
      <c r="H2743" s="2" t="s">
        <v>35</v>
      </c>
      <c r="I2743" s="2" t="s">
        <v>6170</v>
      </c>
      <c r="J2743" s="3" t="str">
        <f>HYPERLINK("https://www.boe.es/gazeta/dias/1834/04/04/pdfs/GMD-1834-43.pdf#page=4","Abrir facsímil")</f>
        <v>Abrir facsímil</v>
      </c>
      <c r="K2743" s="3" t="s">
        <v>37</v>
      </c>
    </row>
    <row r="2744" spans="1:11" ht="54" customHeight="1">
      <c r="A2744" s="2" t="s">
        <v>6171</v>
      </c>
      <c r="B2744" s="2" t="s">
        <v>6172</v>
      </c>
      <c r="C2744" s="2" t="s">
        <v>122</v>
      </c>
      <c r="D2744" s="2" t="s">
        <v>18</v>
      </c>
      <c r="E2744" s="5" t="s">
        <v>355</v>
      </c>
      <c r="F2744" s="3" t="s">
        <v>356</v>
      </c>
      <c r="G2744" s="3" t="s">
        <v>86</v>
      </c>
      <c r="H2744" s="2" t="s">
        <v>35</v>
      </c>
      <c r="I2744" s="2" t="s">
        <v>6173</v>
      </c>
      <c r="J2744" s="3" t="str">
        <f>HYPERLINK("https://www.boe.es/gazeta/dias/1834/07/04/pdfs/GMD-1834-137.pdf#page=2","Abrir facsímil")</f>
        <v>Abrir facsímil</v>
      </c>
      <c r="K2744" s="3" t="s">
        <v>37</v>
      </c>
    </row>
    <row r="2745" spans="1:11" ht="54" customHeight="1">
      <c r="A2745" s="2" t="s">
        <v>6174</v>
      </c>
      <c r="B2745" s="2" t="s">
        <v>6175</v>
      </c>
      <c r="C2745" s="2" t="s">
        <v>122</v>
      </c>
      <c r="D2745" s="2" t="s">
        <v>18</v>
      </c>
      <c r="E2745" s="5" t="s">
        <v>355</v>
      </c>
      <c r="F2745" s="3" t="s">
        <v>356</v>
      </c>
      <c r="G2745" s="3" t="s">
        <v>86</v>
      </c>
      <c r="H2745" s="2" t="s">
        <v>35</v>
      </c>
      <c r="I2745" s="2" t="s">
        <v>6176</v>
      </c>
      <c r="J2745" s="3" t="str">
        <f>HYPERLINK("https://www.boe.es/gazeta/dias/1834/07/04/pdfs/GMD-1834-137.pdf#page=2","Abrir facsímil")</f>
        <v>Abrir facsímil</v>
      </c>
      <c r="K2745" s="3" t="s">
        <v>37</v>
      </c>
    </row>
    <row r="2746" spans="1:11" ht="54" customHeight="1">
      <c r="A2746" s="2" t="s">
        <v>6177</v>
      </c>
      <c r="B2746" s="2" t="s">
        <v>6178</v>
      </c>
      <c r="C2746" s="2" t="s">
        <v>17</v>
      </c>
      <c r="D2746" s="2" t="s">
        <v>18</v>
      </c>
      <c r="E2746" s="5" t="s">
        <v>3699</v>
      </c>
      <c r="F2746" s="3" t="s">
        <v>6179</v>
      </c>
      <c r="G2746" s="3" t="s">
        <v>34</v>
      </c>
      <c r="H2746" s="2" t="s">
        <v>35</v>
      </c>
      <c r="I2746" s="2" t="s">
        <v>6180</v>
      </c>
      <c r="J2746" s="3" t="str">
        <f>HYPERLINK("https://www.boe.es/gazeta/dias/1834/02/06/pdfs/GMD-D-1834-17.pdf#page=1","Abrir facsímil")</f>
        <v>Abrir facsímil</v>
      </c>
      <c r="K2746" s="3" t="s">
        <v>37</v>
      </c>
    </row>
    <row r="2747" spans="1:11" ht="54" customHeight="1">
      <c r="A2747" s="2" t="s">
        <v>6181</v>
      </c>
      <c r="B2747" s="2" t="s">
        <v>6182</v>
      </c>
      <c r="C2747" s="2" t="s">
        <v>90</v>
      </c>
      <c r="D2747" s="2" t="s">
        <v>18</v>
      </c>
      <c r="E2747" s="5" t="s">
        <v>1351</v>
      </c>
      <c r="F2747" s="3" t="s">
        <v>1352</v>
      </c>
      <c r="G2747" s="3" t="s">
        <v>75</v>
      </c>
      <c r="H2747" s="2" t="s">
        <v>35</v>
      </c>
      <c r="I2747" s="2" t="s">
        <v>6183</v>
      </c>
      <c r="J2747" s="3" t="str">
        <f>HYPERLINK("https://www.boe.es/gazeta/dias/1834/07/05/pdfs/GMD-1834-138.pdf#page=4","Abrir facsímil")</f>
        <v>Abrir facsímil</v>
      </c>
      <c r="K2747" s="3" t="s">
        <v>37</v>
      </c>
    </row>
    <row r="2748" spans="1:11" ht="54" customHeight="1">
      <c r="A2748" s="2" t="s">
        <v>6181</v>
      </c>
      <c r="B2748" s="2" t="s">
        <v>6182</v>
      </c>
      <c r="C2748" s="2" t="s">
        <v>90</v>
      </c>
      <c r="D2748" s="2" t="s">
        <v>18</v>
      </c>
      <c r="E2748" s="5" t="s">
        <v>1410</v>
      </c>
      <c r="F2748" s="3" t="s">
        <v>2231</v>
      </c>
      <c r="G2748" s="3" t="s">
        <v>34</v>
      </c>
      <c r="H2748" s="2" t="s">
        <v>35</v>
      </c>
      <c r="I2748" s="2" t="s">
        <v>6184</v>
      </c>
      <c r="J2748" s="3" t="str">
        <f>HYPERLINK("https://www.boe.es/gazeta/dias/1834/09/09/pdfs/GMD-C-1834-207.pdf#page=1","Abrir facsímil")</f>
        <v>Abrir facsímil</v>
      </c>
      <c r="K2748" s="3" t="s">
        <v>37</v>
      </c>
    </row>
    <row r="2749" spans="1:11" ht="54" customHeight="1">
      <c r="A2749" s="2" t="s">
        <v>6185</v>
      </c>
      <c r="B2749" s="2" t="s">
        <v>6186</v>
      </c>
      <c r="C2749" s="2" t="s">
        <v>122</v>
      </c>
      <c r="D2749" s="2" t="s">
        <v>18</v>
      </c>
      <c r="E2749" s="5" t="s">
        <v>355</v>
      </c>
      <c r="F2749" s="3" t="s">
        <v>356</v>
      </c>
      <c r="G2749" s="3" t="s">
        <v>86</v>
      </c>
      <c r="H2749" s="2" t="s">
        <v>35</v>
      </c>
      <c r="I2749" s="2" t="s">
        <v>6187</v>
      </c>
      <c r="J2749" s="3" t="str">
        <f>HYPERLINK("https://www.boe.es/gazeta/dias/1834/07/04/pdfs/GMD-1834-137.pdf#page=2","Abrir facsímil")</f>
        <v>Abrir facsímil</v>
      </c>
      <c r="K2749" s="3" t="s">
        <v>37</v>
      </c>
    </row>
    <row r="2750" spans="1:11" ht="54" customHeight="1">
      <c r="A2750" s="2" t="s">
        <v>6188</v>
      </c>
      <c r="B2750" s="2" t="s">
        <v>6189</v>
      </c>
      <c r="C2750" s="2" t="s">
        <v>90</v>
      </c>
      <c r="D2750" s="2" t="s">
        <v>67</v>
      </c>
      <c r="E2750" s="5" t="s">
        <v>339</v>
      </c>
      <c r="F2750" s="3" t="s">
        <v>340</v>
      </c>
      <c r="G2750" s="3" t="s">
        <v>21</v>
      </c>
      <c r="H2750" s="2" t="s">
        <v>22</v>
      </c>
      <c r="I2750" s="2" t="s">
        <v>6190</v>
      </c>
      <c r="J2750" s="3" t="str">
        <f>HYPERLINK("https://www.boe.es/gazeta/dias/1834/05/02/pdfs/GMD-1834-71.pdf#page=3","Abrir facsímil")</f>
        <v>Abrir facsímil</v>
      </c>
      <c r="K2750" s="3" t="s">
        <v>24</v>
      </c>
    </row>
    <row r="2751" spans="1:11" ht="54" customHeight="1">
      <c r="A2751" s="2" t="s">
        <v>6191</v>
      </c>
      <c r="B2751" s="2" t="s">
        <v>6192</v>
      </c>
      <c r="C2751" s="2" t="s">
        <v>17</v>
      </c>
      <c r="D2751" s="2" t="s">
        <v>18</v>
      </c>
      <c r="E2751" s="5" t="s">
        <v>3699</v>
      </c>
      <c r="F2751" s="3" t="s">
        <v>6179</v>
      </c>
      <c r="G2751" s="3" t="s">
        <v>34</v>
      </c>
      <c r="H2751" s="2" t="s">
        <v>22</v>
      </c>
      <c r="I2751" s="2" t="s">
        <v>6193</v>
      </c>
      <c r="J2751" s="3" t="str">
        <f>HYPERLINK("https://www.boe.es/gazeta/dias/1834/02/06/pdfs/GMD-D-1834-17.pdf#page=1","Abrir facsímil")</f>
        <v>Abrir facsímil</v>
      </c>
      <c r="K2751" s="3" t="s">
        <v>24</v>
      </c>
    </row>
    <row r="2752" spans="1:11" ht="54" customHeight="1">
      <c r="A2752" s="2" t="s">
        <v>6194</v>
      </c>
      <c r="B2752" s="2" t="s">
        <v>6195</v>
      </c>
      <c r="C2752" s="2" t="s">
        <v>90</v>
      </c>
      <c r="D2752" s="2" t="s">
        <v>18</v>
      </c>
      <c r="E2752" s="5" t="s">
        <v>1351</v>
      </c>
      <c r="F2752" s="3" t="s">
        <v>1352</v>
      </c>
      <c r="G2752" s="3" t="s">
        <v>75</v>
      </c>
      <c r="H2752" s="2" t="s">
        <v>22</v>
      </c>
      <c r="I2752" s="2" t="s">
        <v>6196</v>
      </c>
      <c r="J2752" s="3" t="str">
        <f>HYPERLINK("https://www.boe.es/gazeta/dias/1834/07/05/pdfs/GMD-1834-138.pdf#page=4","Abrir facsímil")</f>
        <v>Abrir facsímil</v>
      </c>
      <c r="K2752" s="3" t="s">
        <v>24</v>
      </c>
    </row>
    <row r="2753" spans="1:11" ht="54" customHeight="1">
      <c r="A2753" s="2" t="s">
        <v>6194</v>
      </c>
      <c r="B2753" s="2" t="s">
        <v>6195</v>
      </c>
      <c r="C2753" s="2" t="s">
        <v>90</v>
      </c>
      <c r="D2753" s="2" t="s">
        <v>18</v>
      </c>
      <c r="E2753" s="5" t="s">
        <v>1410</v>
      </c>
      <c r="F2753" s="3" t="s">
        <v>2231</v>
      </c>
      <c r="G2753" s="3" t="s">
        <v>34</v>
      </c>
      <c r="H2753" s="2" t="s">
        <v>22</v>
      </c>
      <c r="I2753" s="2" t="s">
        <v>6197</v>
      </c>
      <c r="J2753" s="3" t="str">
        <f>HYPERLINK("https://www.boe.es/gazeta/dias/1834/09/09/pdfs/GMD-C-1834-207.pdf#page=1","Abrir facsímil")</f>
        <v>Abrir facsímil</v>
      </c>
      <c r="K2753" s="3" t="s">
        <v>24</v>
      </c>
    </row>
    <row r="2754" spans="1:11" ht="54" customHeight="1">
      <c r="A2754" s="2" t="s">
        <v>6198</v>
      </c>
      <c r="B2754" s="2" t="s">
        <v>6199</v>
      </c>
      <c r="C2754" s="2" t="s">
        <v>17</v>
      </c>
      <c r="D2754" s="2" t="s">
        <v>18</v>
      </c>
      <c r="E2754" s="5" t="s">
        <v>167</v>
      </c>
      <c r="F2754" s="3" t="s">
        <v>1200</v>
      </c>
      <c r="G2754" s="3" t="s">
        <v>86</v>
      </c>
      <c r="H2754" s="2" t="s">
        <v>22</v>
      </c>
      <c r="I2754" s="2" t="s">
        <v>6200</v>
      </c>
      <c r="J2754" s="3" t="str">
        <f>HYPERLINK("https://www.boe.es/gazeta/dias/1834/09/07/pdfs/GMD-C-1834-205.pdf#page=2","Abrir facsímil")</f>
        <v>Abrir facsímil</v>
      </c>
      <c r="K2754" s="3" t="s">
        <v>24</v>
      </c>
    </row>
    <row r="2755" spans="1:11" ht="54" customHeight="1">
      <c r="A2755" s="2" t="s">
        <v>6201</v>
      </c>
      <c r="B2755" s="2" t="s">
        <v>6201</v>
      </c>
      <c r="C2755" s="2" t="s">
        <v>17</v>
      </c>
      <c r="D2755" s="2" t="s">
        <v>18</v>
      </c>
      <c r="E2755" s="5" t="s">
        <v>265</v>
      </c>
      <c r="F2755" s="3" t="s">
        <v>266</v>
      </c>
      <c r="G2755" s="3" t="s">
        <v>75</v>
      </c>
      <c r="H2755" s="2" t="s">
        <v>22</v>
      </c>
      <c r="I2755" s="2" t="s">
        <v>6202</v>
      </c>
      <c r="J2755" s="3" t="str">
        <f>HYPERLINK("https://www.boe.es/gazeta/dias/1834/11/19/pdfs/GMD-C-1834-278.pdf#page=4","Abrir facsímil")</f>
        <v>Abrir facsímil</v>
      </c>
      <c r="K2755" s="3" t="s">
        <v>24</v>
      </c>
    </row>
    <row r="2756" spans="1:11" ht="54" customHeight="1">
      <c r="A2756" s="2" t="s">
        <v>6203</v>
      </c>
      <c r="B2756" s="2" t="s">
        <v>6204</v>
      </c>
      <c r="C2756" s="2" t="s">
        <v>17</v>
      </c>
      <c r="D2756" s="2" t="s">
        <v>18</v>
      </c>
      <c r="E2756" s="5" t="s">
        <v>3952</v>
      </c>
      <c r="F2756" s="3" t="s">
        <v>3953</v>
      </c>
      <c r="G2756" s="3" t="s">
        <v>34</v>
      </c>
      <c r="H2756" s="2" t="s">
        <v>22</v>
      </c>
      <c r="I2756" s="2" t="s">
        <v>6205</v>
      </c>
      <c r="J2756" s="3" t="str">
        <f>HYPERLINK("https://www.boe.es/gazeta/dias/1834/02/22/pdfs/GMD-1834-24.pdf#page=1","Abrir facsímil")</f>
        <v>Abrir facsímil</v>
      </c>
      <c r="K2756" s="3" t="s">
        <v>24</v>
      </c>
    </row>
    <row r="2757" spans="1:11" ht="54" customHeight="1">
      <c r="A2757" s="2" t="s">
        <v>6206</v>
      </c>
      <c r="B2757" s="2" t="s">
        <v>6207</v>
      </c>
      <c r="C2757" s="2" t="s">
        <v>17</v>
      </c>
      <c r="D2757" s="2" t="s">
        <v>18</v>
      </c>
      <c r="E2757" s="5" t="s">
        <v>32</v>
      </c>
      <c r="F2757" s="3" t="s">
        <v>33</v>
      </c>
      <c r="G2757" s="3" t="s">
        <v>86</v>
      </c>
      <c r="H2757" s="2" t="s">
        <v>22</v>
      </c>
      <c r="I2757" s="2" t="s">
        <v>6208</v>
      </c>
      <c r="J2757" s="3" t="str">
        <f>HYPERLINK("https://www.boe.es/gazeta/dias/1834/04/23/pdfs/GMD-1834-62.pdf#page=2","Abrir facsímil")</f>
        <v>Abrir facsímil</v>
      </c>
      <c r="K2757" s="3" t="s">
        <v>24</v>
      </c>
    </row>
    <row r="2758" spans="1:11" ht="54" customHeight="1">
      <c r="A2758" s="2" t="s">
        <v>6209</v>
      </c>
      <c r="B2758" s="2" t="s">
        <v>6210</v>
      </c>
      <c r="C2758" s="2" t="s">
        <v>17</v>
      </c>
      <c r="D2758" s="2" t="s">
        <v>18</v>
      </c>
      <c r="E2758" s="5" t="s">
        <v>1337</v>
      </c>
      <c r="F2758" s="3" t="s">
        <v>1338</v>
      </c>
      <c r="G2758" s="3" t="s">
        <v>21</v>
      </c>
      <c r="H2758" s="2" t="s">
        <v>22</v>
      </c>
      <c r="I2758" s="2" t="s">
        <v>6211</v>
      </c>
      <c r="J2758" s="3" t="str">
        <f>HYPERLINK("https://www.boe.es/gazeta/dias/1834/01/02/pdfs/GMD-1834-1.pdf#page=3","Abrir facsímil")</f>
        <v>Abrir facsímil</v>
      </c>
      <c r="K2758" s="3" t="s">
        <v>24</v>
      </c>
    </row>
    <row r="2759" spans="1:11" ht="54" customHeight="1">
      <c r="A2759" s="2" t="s">
        <v>6212</v>
      </c>
      <c r="B2759" s="2" t="s">
        <v>6212</v>
      </c>
      <c r="C2759" s="2" t="s">
        <v>46</v>
      </c>
      <c r="D2759" s="2" t="s">
        <v>55</v>
      </c>
      <c r="E2759" s="5" t="s">
        <v>163</v>
      </c>
      <c r="F2759" s="3" t="s">
        <v>164</v>
      </c>
      <c r="G2759" s="3" t="s">
        <v>86</v>
      </c>
      <c r="H2759" s="2" t="s">
        <v>22</v>
      </c>
      <c r="I2759" s="2" t="s">
        <v>6213</v>
      </c>
      <c r="J2759" s="3" t="str">
        <f>HYPERLINK("https://www.boe.es/gazeta/dias/1834/08/09/pdfs/GMD-1834-174.pdf#page=2","Abrir facsímil")</f>
        <v>Abrir facsímil</v>
      </c>
      <c r="K2759" s="3" t="s">
        <v>24</v>
      </c>
    </row>
    <row r="2760" spans="1:11" ht="54" customHeight="1">
      <c r="A2760" s="2" t="s">
        <v>6214</v>
      </c>
      <c r="B2760" s="2" t="s">
        <v>6214</v>
      </c>
      <c r="C2760" s="2" t="s">
        <v>17</v>
      </c>
      <c r="D2760" s="2" t="s">
        <v>18</v>
      </c>
      <c r="E2760" s="5" t="s">
        <v>672</v>
      </c>
      <c r="F2760" s="3" t="s">
        <v>1055</v>
      </c>
      <c r="G2760" s="3" t="s">
        <v>75</v>
      </c>
      <c r="H2760" s="2" t="s">
        <v>22</v>
      </c>
      <c r="I2760" s="2" t="s">
        <v>6215</v>
      </c>
      <c r="J2760" s="3" t="str">
        <f>HYPERLINK("https://www.boe.es/gazeta/dias/1834/09/19/pdfs/GMD-C-1834-217.pdf#page=4","Abrir facsímil")</f>
        <v>Abrir facsímil</v>
      </c>
      <c r="K2760" s="3" t="s">
        <v>24</v>
      </c>
    </row>
    <row r="2761" spans="1:11" ht="54" customHeight="1">
      <c r="A2761" s="2" t="s">
        <v>6216</v>
      </c>
      <c r="B2761" s="2" t="s">
        <v>6217</v>
      </c>
      <c r="C2761" s="2" t="s">
        <v>17</v>
      </c>
      <c r="D2761" s="2" t="s">
        <v>18</v>
      </c>
      <c r="E2761" s="5" t="s">
        <v>1186</v>
      </c>
      <c r="F2761" s="3" t="s">
        <v>4286</v>
      </c>
      <c r="G2761" s="3" t="s">
        <v>34</v>
      </c>
      <c r="H2761" s="2" t="s">
        <v>35</v>
      </c>
      <c r="I2761" s="2" t="s">
        <v>6218</v>
      </c>
      <c r="J2761" s="3" t="str">
        <f>HYPERLINK("https://www.boe.es/gazeta/dias/1834/08/14/pdfs/GMD-C-1834-179.pdf#page=1","Abrir facsímil")</f>
        <v>Abrir facsímil</v>
      </c>
      <c r="K2761" s="3" t="s">
        <v>37</v>
      </c>
    </row>
    <row r="2762" spans="1:11" ht="54" customHeight="1">
      <c r="A2762" s="2" t="s">
        <v>6219</v>
      </c>
      <c r="B2762" s="2" t="s">
        <v>6220</v>
      </c>
      <c r="C2762" s="2" t="s">
        <v>90</v>
      </c>
      <c r="D2762" s="2" t="s">
        <v>18</v>
      </c>
      <c r="E2762" s="5" t="s">
        <v>1839</v>
      </c>
      <c r="F2762" s="3" t="s">
        <v>1840</v>
      </c>
      <c r="G2762" s="3" t="s">
        <v>34</v>
      </c>
      <c r="H2762" s="2" t="s">
        <v>22</v>
      </c>
      <c r="I2762" s="2" t="s">
        <v>6221</v>
      </c>
      <c r="J2762" s="3" t="str">
        <f>HYPERLINK("https://www.boe.es/gazeta/dias/1834/08/12/pdfs/GMD-C-1834-177.pdf#page=1","Abrir facsímil")</f>
        <v>Abrir facsímil</v>
      </c>
      <c r="K2762" s="3" t="s">
        <v>24</v>
      </c>
    </row>
    <row r="2763" spans="1:11" ht="54" customHeight="1">
      <c r="A2763" s="2" t="s">
        <v>6222</v>
      </c>
      <c r="B2763" s="2" t="s">
        <v>6223</v>
      </c>
      <c r="C2763" s="2" t="s">
        <v>17</v>
      </c>
      <c r="D2763" s="2" t="s">
        <v>18</v>
      </c>
      <c r="E2763" s="5" t="s">
        <v>1839</v>
      </c>
      <c r="F2763" s="3" t="s">
        <v>1840</v>
      </c>
      <c r="G2763" s="3" t="s">
        <v>34</v>
      </c>
      <c r="H2763" s="2" t="s">
        <v>22</v>
      </c>
      <c r="I2763" s="2" t="s">
        <v>6224</v>
      </c>
      <c r="J2763" s="3" t="str">
        <f>HYPERLINK("https://www.boe.es/gazeta/dias/1834/08/12/pdfs/GMD-C-1834-177.pdf#page=1","Abrir facsímil")</f>
        <v>Abrir facsímil</v>
      </c>
      <c r="K2763" s="3" t="s">
        <v>24</v>
      </c>
    </row>
    <row r="2764" spans="1:11" ht="54" customHeight="1">
      <c r="A2764" s="2" t="s">
        <v>6225</v>
      </c>
      <c r="B2764" s="2" t="s">
        <v>6226</v>
      </c>
      <c r="C2764" s="2" t="s">
        <v>17</v>
      </c>
      <c r="D2764" s="2" t="s">
        <v>18</v>
      </c>
      <c r="E2764" s="5" t="s">
        <v>1186</v>
      </c>
      <c r="F2764" s="3" t="s">
        <v>4286</v>
      </c>
      <c r="G2764" s="3" t="s">
        <v>34</v>
      </c>
      <c r="H2764" s="2" t="s">
        <v>22</v>
      </c>
      <c r="I2764" s="2" t="s">
        <v>6227</v>
      </c>
      <c r="J2764" s="3" t="str">
        <f>HYPERLINK("https://www.boe.es/gazeta/dias/1834/08/14/pdfs/GMD-C-1834-179.pdf#page=1","Abrir facsímil")</f>
        <v>Abrir facsímil</v>
      </c>
      <c r="K2764" s="3" t="s">
        <v>24</v>
      </c>
    </row>
    <row r="2765" spans="1:11" ht="54" customHeight="1">
      <c r="A2765" s="2" t="s">
        <v>6225</v>
      </c>
      <c r="B2765" s="2" t="s">
        <v>6226</v>
      </c>
      <c r="C2765" s="2" t="s">
        <v>17</v>
      </c>
      <c r="D2765" s="2" t="s">
        <v>55</v>
      </c>
      <c r="E2765" s="5" t="s">
        <v>32</v>
      </c>
      <c r="F2765" s="3" t="s">
        <v>33</v>
      </c>
      <c r="G2765" s="3" t="s">
        <v>86</v>
      </c>
      <c r="H2765" s="2" t="s">
        <v>22</v>
      </c>
      <c r="I2765" s="2" t="s">
        <v>6228</v>
      </c>
      <c r="J2765" s="3" t="str">
        <f>HYPERLINK("https://www.boe.es/gazeta/dias/1834/04/23/pdfs/GMD-1834-62.pdf#page=2","Abrir facsímil")</f>
        <v>Abrir facsímil</v>
      </c>
      <c r="K2765" s="3" t="s">
        <v>24</v>
      </c>
    </row>
    <row r="2766" spans="1:11" ht="54" customHeight="1">
      <c r="A2766" s="2" t="s">
        <v>6222</v>
      </c>
      <c r="B2766" s="2" t="s">
        <v>6223</v>
      </c>
      <c r="C2766" s="2" t="s">
        <v>17</v>
      </c>
      <c r="D2766" s="2" t="s">
        <v>18</v>
      </c>
      <c r="E2766" s="5" t="s">
        <v>408</v>
      </c>
      <c r="F2766" s="3" t="s">
        <v>409</v>
      </c>
      <c r="G2766" s="3" t="s">
        <v>34</v>
      </c>
      <c r="H2766" s="2" t="s">
        <v>22</v>
      </c>
      <c r="I2766" s="2" t="s">
        <v>6229</v>
      </c>
      <c r="J2766" s="3" t="str">
        <f>HYPERLINK("https://www.boe.es/gazeta/dias/1834/04/28/pdfs/GMD-1834-67.pdf#page=1","Abrir facsímil")</f>
        <v>Abrir facsímil</v>
      </c>
      <c r="K2766" s="3" t="s">
        <v>24</v>
      </c>
    </row>
    <row r="2767" spans="1:11" ht="54" customHeight="1">
      <c r="A2767" s="2" t="s">
        <v>6230</v>
      </c>
      <c r="B2767" s="2" t="s">
        <v>6231</v>
      </c>
      <c r="C2767" s="2" t="s">
        <v>17</v>
      </c>
      <c r="D2767" s="2" t="s">
        <v>18</v>
      </c>
      <c r="E2767" s="5" t="s">
        <v>571</v>
      </c>
      <c r="F2767" s="3" t="s">
        <v>620</v>
      </c>
      <c r="G2767" s="3" t="s">
        <v>34</v>
      </c>
      <c r="H2767" s="2" t="s">
        <v>22</v>
      </c>
      <c r="I2767" s="2" t="s">
        <v>6232</v>
      </c>
      <c r="J2767" s="3" t="str">
        <f>HYPERLINK("https://www.boe.es/gazeta/dias/1834/09/04/pdfs/GMD-C-1834-202.pdf#page=1","Abrir facsímil")</f>
        <v>Abrir facsímil</v>
      </c>
      <c r="K2767" s="3" t="s">
        <v>24</v>
      </c>
    </row>
    <row r="2768" spans="1:11" ht="54" customHeight="1">
      <c r="A2768" s="2" t="s">
        <v>6233</v>
      </c>
      <c r="B2768" s="2" t="s">
        <v>6234</v>
      </c>
      <c r="C2768" s="2" t="s">
        <v>122</v>
      </c>
      <c r="D2768" s="2" t="s">
        <v>18</v>
      </c>
      <c r="E2768" s="5" t="s">
        <v>1170</v>
      </c>
      <c r="F2768" s="3" t="s">
        <v>1171</v>
      </c>
      <c r="G2768" s="3" t="s">
        <v>21</v>
      </c>
      <c r="H2768" s="2" t="s">
        <v>22</v>
      </c>
      <c r="I2768" s="2" t="s">
        <v>6235</v>
      </c>
      <c r="J2768" s="3" t="str">
        <f>HYPERLINK("https://www.boe.es/gazeta/dias/1834/01/07/pdfs/GMD-1834-4.pdf#page=3","Abrir facsímil")</f>
        <v>Abrir facsímil</v>
      </c>
      <c r="K2768" s="3" t="s">
        <v>24</v>
      </c>
    </row>
    <row r="2769" spans="1:11" ht="54" customHeight="1">
      <c r="A2769" s="2" t="s">
        <v>6236</v>
      </c>
      <c r="B2769" s="2" t="s">
        <v>6237</v>
      </c>
      <c r="C2769" s="2" t="s">
        <v>17</v>
      </c>
      <c r="D2769" s="2" t="s">
        <v>18</v>
      </c>
      <c r="E2769" s="5" t="s">
        <v>1017</v>
      </c>
      <c r="F2769" s="3" t="s">
        <v>1018</v>
      </c>
      <c r="G2769" s="3" t="s">
        <v>21</v>
      </c>
      <c r="H2769" s="2" t="s">
        <v>22</v>
      </c>
      <c r="I2769" s="2" t="s">
        <v>6238</v>
      </c>
      <c r="J2769" s="3" t="str">
        <f>HYPERLINK("https://www.boe.es/gazeta/dias/1834/07/24/pdfs/GMD-1834-157.pdf#page=3","Abrir facsímil")</f>
        <v>Abrir facsímil</v>
      </c>
      <c r="K2769" s="3" t="s">
        <v>24</v>
      </c>
    </row>
    <row r="2770" spans="1:11" ht="54" customHeight="1">
      <c r="A2770" s="2" t="s">
        <v>6239</v>
      </c>
      <c r="B2770" s="2" t="s">
        <v>6240</v>
      </c>
      <c r="C2770" s="2" t="s">
        <v>17</v>
      </c>
      <c r="D2770" s="2" t="s">
        <v>18</v>
      </c>
      <c r="E2770" s="5" t="s">
        <v>1017</v>
      </c>
      <c r="F2770" s="3" t="s">
        <v>1018</v>
      </c>
      <c r="G2770" s="3" t="s">
        <v>21</v>
      </c>
      <c r="H2770" s="2" t="s">
        <v>22</v>
      </c>
      <c r="I2770" s="2" t="s">
        <v>6241</v>
      </c>
      <c r="J2770" s="3" t="str">
        <f>HYPERLINK("https://www.boe.es/gazeta/dias/1834/07/24/pdfs/GMD-1834-157.pdf#page=3","Abrir facsímil")</f>
        <v>Abrir facsímil</v>
      </c>
      <c r="K2770" s="3" t="s">
        <v>24</v>
      </c>
    </row>
    <row r="2771" spans="1:11" ht="54" customHeight="1">
      <c r="A2771" s="2" t="s">
        <v>6242</v>
      </c>
      <c r="B2771" s="2" t="s">
        <v>6243</v>
      </c>
      <c r="C2771" s="2" t="s">
        <v>46</v>
      </c>
      <c r="D2771" s="2" t="s">
        <v>101</v>
      </c>
      <c r="E2771" s="5" t="s">
        <v>2153</v>
      </c>
      <c r="F2771" s="3" t="s">
        <v>2154</v>
      </c>
      <c r="G2771" s="3" t="s">
        <v>34</v>
      </c>
      <c r="H2771" s="2" t="s">
        <v>22</v>
      </c>
      <c r="I2771" s="2" t="s">
        <v>6244</v>
      </c>
      <c r="J2771" s="3" t="str">
        <f>HYPERLINK("https://www.boe.es/gazeta/dias/1834/01/23/pdfs/GMD-1834-11.pdf#page=1","Abrir facsímil")</f>
        <v>Abrir facsímil</v>
      </c>
      <c r="K2771" s="3" t="s">
        <v>24</v>
      </c>
    </row>
    <row r="2772" spans="1:11" ht="54" customHeight="1">
      <c r="A2772" s="2" t="s">
        <v>6245</v>
      </c>
      <c r="B2772" s="2" t="s">
        <v>6245</v>
      </c>
      <c r="C2772" s="2" t="s">
        <v>17</v>
      </c>
      <c r="D2772" s="2" t="s">
        <v>101</v>
      </c>
      <c r="E2772" s="5" t="s">
        <v>863</v>
      </c>
      <c r="F2772" s="3" t="s">
        <v>864</v>
      </c>
      <c r="G2772" s="3" t="s">
        <v>75</v>
      </c>
      <c r="H2772" s="2" t="s">
        <v>22</v>
      </c>
      <c r="I2772" s="2" t="s">
        <v>6246</v>
      </c>
      <c r="J2772" s="3" t="str">
        <f>HYPERLINK("https://www.boe.es/gazeta/dias/1834/09/15/pdfs/GMD-1834-213.pdf#page=4","Abrir facsímil")</f>
        <v>Abrir facsímil</v>
      </c>
      <c r="K2772" s="3" t="s">
        <v>24</v>
      </c>
    </row>
    <row r="2773" spans="1:11" ht="54" customHeight="1">
      <c r="A2773" s="2" t="s">
        <v>6247</v>
      </c>
      <c r="B2773" s="2" t="s">
        <v>6248</v>
      </c>
      <c r="C2773" s="2" t="s">
        <v>66</v>
      </c>
      <c r="D2773" s="2" t="s">
        <v>67</v>
      </c>
      <c r="E2773" s="5" t="s">
        <v>32</v>
      </c>
      <c r="F2773" s="3" t="s">
        <v>33</v>
      </c>
      <c r="G2773" s="3" t="s">
        <v>86</v>
      </c>
      <c r="H2773" s="2" t="s">
        <v>22</v>
      </c>
      <c r="I2773" s="2" t="s">
        <v>6249</v>
      </c>
      <c r="J2773" s="3" t="str">
        <f>HYPERLINK("https://www.boe.es/gazeta/dias/1834/04/23/pdfs/GMD-1834-62.pdf#page=2","Abrir facsímil")</f>
        <v>Abrir facsímil</v>
      </c>
      <c r="K2773" s="3" t="s">
        <v>24</v>
      </c>
    </row>
    <row r="2774" spans="1:11" ht="54" customHeight="1">
      <c r="A2774" s="2" t="s">
        <v>6250</v>
      </c>
      <c r="B2774" s="2" t="s">
        <v>6251</v>
      </c>
      <c r="C2774" s="2" t="s">
        <v>17</v>
      </c>
      <c r="D2774" s="2" t="s">
        <v>18</v>
      </c>
      <c r="E2774" s="5" t="s">
        <v>299</v>
      </c>
      <c r="F2774" s="3" t="s">
        <v>300</v>
      </c>
      <c r="G2774" s="3" t="s">
        <v>21</v>
      </c>
      <c r="H2774" s="2" t="s">
        <v>22</v>
      </c>
      <c r="I2774" s="2" t="s">
        <v>6252</v>
      </c>
      <c r="J2774" s="3" t="str">
        <f>HYPERLINK("https://www.boe.es/gazeta/dias/1834/12/12/pdfs/GMD-1834-301.pdf#page=3","Abrir facsímil")</f>
        <v>Abrir facsímil</v>
      </c>
      <c r="K2774" s="3" t="s">
        <v>24</v>
      </c>
    </row>
    <row r="2775" spans="1:11" ht="54" customHeight="1">
      <c r="A2775" s="2" t="s">
        <v>6253</v>
      </c>
      <c r="B2775" s="2" t="s">
        <v>6253</v>
      </c>
      <c r="C2775" s="2" t="s">
        <v>17</v>
      </c>
      <c r="D2775" s="2" t="s">
        <v>18</v>
      </c>
      <c r="E2775" s="5" t="s">
        <v>2306</v>
      </c>
      <c r="F2775" s="3" t="s">
        <v>2307</v>
      </c>
      <c r="G2775" s="3" t="s">
        <v>21</v>
      </c>
      <c r="H2775" s="2" t="s">
        <v>22</v>
      </c>
      <c r="I2775" s="2" t="s">
        <v>6254</v>
      </c>
      <c r="J2775" s="3" t="str">
        <f>HYPERLINK("https://www.boe.es/gazeta/dias/1834/04/26/pdfs/GMD-1834-65.pdf#page=3","Abrir facsímil")</f>
        <v>Abrir facsímil</v>
      </c>
      <c r="K2775" s="3" t="s">
        <v>24</v>
      </c>
    </row>
    <row r="2776" spans="1:11" ht="54" customHeight="1">
      <c r="A2776" s="2" t="s">
        <v>6255</v>
      </c>
      <c r="B2776" s="2" t="s">
        <v>6256</v>
      </c>
      <c r="C2776" s="2" t="s">
        <v>17</v>
      </c>
      <c r="D2776" s="2" t="s">
        <v>18</v>
      </c>
      <c r="E2776" s="5" t="s">
        <v>3066</v>
      </c>
      <c r="F2776" s="3" t="s">
        <v>3188</v>
      </c>
      <c r="G2776" s="3" t="s">
        <v>86</v>
      </c>
      <c r="H2776" s="2" t="s">
        <v>22</v>
      </c>
      <c r="I2776" s="2" t="s">
        <v>6257</v>
      </c>
      <c r="J2776" s="3" t="str">
        <f>HYPERLINK("https://www.boe.es/gazeta/dias/1834/08/03/pdfs/GMD-1834-167.pdf#page=2","Abrir facsímil")</f>
        <v>Abrir facsímil</v>
      </c>
      <c r="K2776" s="3" t="s">
        <v>24</v>
      </c>
    </row>
    <row r="2777" spans="1:11" ht="54" customHeight="1">
      <c r="A2777" s="2" t="s">
        <v>6255</v>
      </c>
      <c r="B2777" s="2" t="s">
        <v>6256</v>
      </c>
      <c r="C2777" s="2" t="s">
        <v>66</v>
      </c>
      <c r="D2777" s="2" t="s">
        <v>67</v>
      </c>
      <c r="E2777" s="5" t="s">
        <v>32</v>
      </c>
      <c r="F2777" s="3" t="s">
        <v>33</v>
      </c>
      <c r="G2777" s="3" t="s">
        <v>75</v>
      </c>
      <c r="H2777" s="2" t="s">
        <v>22</v>
      </c>
      <c r="I2777" s="2" t="s">
        <v>6258</v>
      </c>
      <c r="J2777" s="3" t="str">
        <f>HYPERLINK("https://www.boe.es/gazeta/dias/1834/04/23/pdfs/GMD-1834-62.pdf#page=4","Abrir facsímil")</f>
        <v>Abrir facsímil</v>
      </c>
      <c r="K2777" s="3" t="s">
        <v>24</v>
      </c>
    </row>
    <row r="2778" spans="1:11" ht="54" customHeight="1">
      <c r="A2778" s="2" t="s">
        <v>6259</v>
      </c>
      <c r="B2778" s="2" t="s">
        <v>6260</v>
      </c>
      <c r="C2778" s="2" t="s">
        <v>17</v>
      </c>
      <c r="D2778" s="2" t="s">
        <v>18</v>
      </c>
      <c r="E2778" s="5" t="s">
        <v>1402</v>
      </c>
      <c r="F2778" s="3" t="s">
        <v>1403</v>
      </c>
      <c r="G2778" s="3" t="s">
        <v>75</v>
      </c>
      <c r="H2778" s="2" t="s">
        <v>22</v>
      </c>
      <c r="I2778" s="2" t="s">
        <v>6261</v>
      </c>
      <c r="J2778" s="3" t="str">
        <f>HYPERLINK("https://www.boe.es/gazeta/dias/1834/05/05/pdfs/GMD-1834-74.pdf#page=4","Abrir facsímil")</f>
        <v>Abrir facsímil</v>
      </c>
      <c r="K2778" s="3" t="s">
        <v>24</v>
      </c>
    </row>
    <row r="2779" spans="1:11" ht="54" customHeight="1">
      <c r="A2779" s="2" t="s">
        <v>6262</v>
      </c>
      <c r="B2779" s="2" t="s">
        <v>6263</v>
      </c>
      <c r="C2779" s="2" t="s">
        <v>17</v>
      </c>
      <c r="D2779" s="2" t="s">
        <v>40</v>
      </c>
      <c r="E2779" s="5" t="s">
        <v>1273</v>
      </c>
      <c r="F2779" s="3" t="s">
        <v>1274</v>
      </c>
      <c r="G2779" s="3" t="s">
        <v>75</v>
      </c>
      <c r="H2779" s="2" t="s">
        <v>22</v>
      </c>
      <c r="I2779" s="2" t="s">
        <v>6264</v>
      </c>
      <c r="J2779" s="3" t="str">
        <f>HYPERLINK("https://www.boe.es/gazeta/dias/1834/05/14/pdfs/GMD-1834-83.pdf#page=4","Abrir facsímil")</f>
        <v>Abrir facsímil</v>
      </c>
      <c r="K2779" s="3" t="s">
        <v>24</v>
      </c>
    </row>
    <row r="2780" spans="1:11" ht="54" customHeight="1">
      <c r="A2780" s="2" t="s">
        <v>6265</v>
      </c>
      <c r="B2780" s="2" t="s">
        <v>6266</v>
      </c>
      <c r="C2780" s="2" t="s">
        <v>17</v>
      </c>
      <c r="D2780" s="2" t="s">
        <v>55</v>
      </c>
      <c r="E2780" s="5" t="s">
        <v>1708</v>
      </c>
      <c r="F2780" s="3" t="s">
        <v>1709</v>
      </c>
      <c r="G2780" s="3" t="s">
        <v>28</v>
      </c>
      <c r="H2780" s="2" t="s">
        <v>22</v>
      </c>
      <c r="I2780" s="2" t="s">
        <v>6267</v>
      </c>
      <c r="J2780" s="3" t="str">
        <f>HYPERLINK("https://www.boe.es/gazeta/dias/1834/04/12/pdfs/GMD-1834-51.pdf#page=5","Abrir facsímil")</f>
        <v>Abrir facsímil</v>
      </c>
      <c r="K2780" s="3" t="s">
        <v>24</v>
      </c>
    </row>
    <row r="2781" spans="1:11" ht="54" customHeight="1">
      <c r="A2781" s="2" t="s">
        <v>6268</v>
      </c>
      <c r="B2781" s="2" t="s">
        <v>6269</v>
      </c>
      <c r="C2781" s="2" t="s">
        <v>17</v>
      </c>
      <c r="D2781" s="2" t="s">
        <v>18</v>
      </c>
      <c r="E2781" s="5" t="s">
        <v>1351</v>
      </c>
      <c r="F2781" s="3" t="s">
        <v>1352</v>
      </c>
      <c r="G2781" s="3" t="s">
        <v>28</v>
      </c>
      <c r="H2781" s="2" t="s">
        <v>22</v>
      </c>
      <c r="I2781" s="2" t="s">
        <v>6270</v>
      </c>
      <c r="J2781" s="3" t="str">
        <f>HYPERLINK("https://www.boe.es/gazeta/dias/1834/07/05/pdfs/GMD-1834-138.pdf#page=5","Abrir facsímil")</f>
        <v>Abrir facsímil</v>
      </c>
      <c r="K2781" s="3" t="s">
        <v>24</v>
      </c>
    </row>
    <row r="2782" spans="1:11" ht="54" customHeight="1">
      <c r="A2782" s="2" t="s">
        <v>6271</v>
      </c>
      <c r="B2782" s="2" t="s">
        <v>6272</v>
      </c>
      <c r="C2782" s="2" t="s">
        <v>66</v>
      </c>
      <c r="D2782" s="2" t="s">
        <v>67</v>
      </c>
      <c r="E2782" s="5" t="s">
        <v>2860</v>
      </c>
      <c r="F2782" s="3" t="s">
        <v>2861</v>
      </c>
      <c r="G2782" s="3" t="s">
        <v>75</v>
      </c>
      <c r="H2782" s="2" t="s">
        <v>35</v>
      </c>
      <c r="I2782" s="2" t="s">
        <v>6273</v>
      </c>
      <c r="J2782" s="3" t="str">
        <f>HYPERLINK("https://www.boe.es/gazeta/dias/1834/07/20/pdfs/GMD-1834-153.pdf#page=4","Abrir facsímil")</f>
        <v>Abrir facsímil</v>
      </c>
      <c r="K2782" s="3" t="s">
        <v>37</v>
      </c>
    </row>
    <row r="2783" spans="1:11" ht="54" customHeight="1">
      <c r="A2783" s="2" t="s">
        <v>6274</v>
      </c>
      <c r="B2783" s="2" t="s">
        <v>6275</v>
      </c>
      <c r="C2783" s="2" t="s">
        <v>66</v>
      </c>
      <c r="D2783" s="2" t="s">
        <v>67</v>
      </c>
      <c r="E2783" s="5" t="s">
        <v>2860</v>
      </c>
      <c r="F2783" s="3" t="s">
        <v>2861</v>
      </c>
      <c r="G2783" s="3" t="s">
        <v>75</v>
      </c>
      <c r="H2783" s="2" t="s">
        <v>22</v>
      </c>
      <c r="I2783" s="2" t="s">
        <v>6276</v>
      </c>
      <c r="J2783" s="3" t="str">
        <f>HYPERLINK("https://www.boe.es/gazeta/dias/1834/07/20/pdfs/GMD-1834-153.pdf#page=4","Abrir facsímil")</f>
        <v>Abrir facsímil</v>
      </c>
      <c r="K2783" s="3" t="s">
        <v>24</v>
      </c>
    </row>
    <row r="2784" spans="1:11" ht="54" customHeight="1">
      <c r="A2784" s="2" t="s">
        <v>6277</v>
      </c>
      <c r="B2784" s="2" t="s">
        <v>6278</v>
      </c>
      <c r="C2784" s="2" t="s">
        <v>122</v>
      </c>
      <c r="D2784" s="2" t="s">
        <v>18</v>
      </c>
      <c r="E2784" s="5" t="s">
        <v>719</v>
      </c>
      <c r="F2784" s="3" t="s">
        <v>720</v>
      </c>
      <c r="G2784" s="3" t="s">
        <v>75</v>
      </c>
      <c r="H2784" s="2" t="s">
        <v>22</v>
      </c>
      <c r="I2784" s="2" t="s">
        <v>6279</v>
      </c>
      <c r="J2784" s="3" t="str">
        <f>HYPERLINK("https://www.boe.es/gazeta/dias/1834/04/29/pdfs/GMD-1834-68.pdf#page=4","Abrir facsímil")</f>
        <v>Abrir facsímil</v>
      </c>
      <c r="K2784" s="3" t="s">
        <v>24</v>
      </c>
    </row>
    <row r="2785" spans="1:11" ht="54" customHeight="1">
      <c r="A2785" s="2" t="s">
        <v>6280</v>
      </c>
      <c r="B2785" s="2" t="s">
        <v>6281</v>
      </c>
      <c r="C2785" s="2" t="s">
        <v>17</v>
      </c>
      <c r="D2785" s="2" t="s">
        <v>18</v>
      </c>
      <c r="E2785" s="5" t="s">
        <v>237</v>
      </c>
      <c r="F2785" s="3" t="s">
        <v>4609</v>
      </c>
      <c r="G2785" s="3" t="s">
        <v>34</v>
      </c>
      <c r="H2785" s="2" t="s">
        <v>22</v>
      </c>
      <c r="I2785" s="2" t="s">
        <v>6282</v>
      </c>
      <c r="J2785" s="3" t="str">
        <f>HYPERLINK("https://www.boe.es/gazeta/dias/1834/08/15/pdfs/GMD-1834-180.pdf#page=1","Abrir facsímil")</f>
        <v>Abrir facsímil</v>
      </c>
      <c r="K2785" s="3" t="s">
        <v>24</v>
      </c>
    </row>
    <row r="2786" spans="1:11" ht="54" customHeight="1">
      <c r="A2786" s="2" t="s">
        <v>6283</v>
      </c>
      <c r="B2786" s="2" t="s">
        <v>6284</v>
      </c>
      <c r="C2786" s="2" t="s">
        <v>46</v>
      </c>
      <c r="D2786" s="2" t="s">
        <v>101</v>
      </c>
      <c r="E2786" s="5" t="s">
        <v>541</v>
      </c>
      <c r="F2786" s="3" t="s">
        <v>542</v>
      </c>
      <c r="G2786" s="3" t="s">
        <v>34</v>
      </c>
      <c r="H2786" s="2" t="s">
        <v>22</v>
      </c>
      <c r="I2786" s="2" t="s">
        <v>6285</v>
      </c>
      <c r="J2786" s="3" t="str">
        <f>HYPERLINK("https://www.boe.es/gazeta/dias/1834/04/18/pdfs/GMD-1834-57.pdf#page=1","Abrir facsímil")</f>
        <v>Abrir facsímil</v>
      </c>
      <c r="K2786" s="3" t="s">
        <v>24</v>
      </c>
    </row>
    <row r="2787" spans="1:11" ht="54" customHeight="1">
      <c r="A2787" s="2" t="s">
        <v>6286</v>
      </c>
      <c r="B2787" s="2" t="s">
        <v>6287</v>
      </c>
      <c r="C2787" s="2" t="s">
        <v>17</v>
      </c>
      <c r="D2787" s="2" t="s">
        <v>18</v>
      </c>
      <c r="E2787" s="5" t="s">
        <v>762</v>
      </c>
      <c r="F2787" s="3" t="s">
        <v>763</v>
      </c>
      <c r="G2787" s="3" t="s">
        <v>75</v>
      </c>
      <c r="H2787" s="2" t="s">
        <v>35</v>
      </c>
      <c r="I2787" s="2" t="s">
        <v>6288</v>
      </c>
      <c r="J2787" s="3" t="str">
        <f>HYPERLINK("https://www.boe.es/gazeta/dias/1834/11/07/pdfs/GMD-1834-266.pdf#page=4","Abrir facsímil")</f>
        <v>Abrir facsímil</v>
      </c>
      <c r="K2787" s="3" t="s">
        <v>37</v>
      </c>
    </row>
    <row r="2788" spans="1:11" ht="54" customHeight="1">
      <c r="A2788" s="2" t="s">
        <v>6289</v>
      </c>
      <c r="B2788" s="2" t="s">
        <v>6290</v>
      </c>
      <c r="C2788" s="2" t="s">
        <v>17</v>
      </c>
      <c r="D2788" s="2" t="s">
        <v>18</v>
      </c>
      <c r="E2788" s="5" t="s">
        <v>762</v>
      </c>
      <c r="F2788" s="3" t="s">
        <v>763</v>
      </c>
      <c r="G2788" s="3" t="s">
        <v>75</v>
      </c>
      <c r="H2788" s="2" t="s">
        <v>22</v>
      </c>
      <c r="I2788" s="2" t="s">
        <v>6291</v>
      </c>
      <c r="J2788" s="3" t="str">
        <f>HYPERLINK("https://www.boe.es/gazeta/dias/1834/11/07/pdfs/GMD-1834-266.pdf#page=4","Abrir facsímil")</f>
        <v>Abrir facsímil</v>
      </c>
      <c r="K2788" s="3" t="s">
        <v>24</v>
      </c>
    </row>
    <row r="2789" spans="1:11" ht="54" customHeight="1">
      <c r="A2789" s="2" t="s">
        <v>6292</v>
      </c>
      <c r="B2789" s="2" t="s">
        <v>6293</v>
      </c>
      <c r="C2789" s="2" t="s">
        <v>66</v>
      </c>
      <c r="D2789" s="2" t="s">
        <v>67</v>
      </c>
      <c r="E2789" s="5" t="s">
        <v>2945</v>
      </c>
      <c r="F2789" s="3" t="s">
        <v>2946</v>
      </c>
      <c r="G2789" s="3" t="s">
        <v>75</v>
      </c>
      <c r="H2789" s="2" t="s">
        <v>35</v>
      </c>
      <c r="I2789" s="2" t="s">
        <v>6294</v>
      </c>
      <c r="J2789" s="3" t="str">
        <f>HYPERLINK("https://www.boe.es/gazeta/dias/1834/05/29/pdfs/GMD-1834-98.pdf#page=4","Abrir facsímil")</f>
        <v>Abrir facsímil</v>
      </c>
      <c r="K2789" s="3" t="s">
        <v>37</v>
      </c>
    </row>
    <row r="2790" spans="1:11" ht="54" customHeight="1">
      <c r="A2790" s="2" t="s">
        <v>6295</v>
      </c>
      <c r="B2790" s="2" t="s">
        <v>6296</v>
      </c>
      <c r="C2790" s="2" t="s">
        <v>66</v>
      </c>
      <c r="D2790" s="2" t="s">
        <v>67</v>
      </c>
      <c r="E2790" s="5" t="s">
        <v>2945</v>
      </c>
      <c r="F2790" s="3" t="s">
        <v>2946</v>
      </c>
      <c r="G2790" s="3" t="s">
        <v>75</v>
      </c>
      <c r="H2790" s="2" t="s">
        <v>22</v>
      </c>
      <c r="I2790" s="2" t="s">
        <v>6297</v>
      </c>
      <c r="J2790" s="3" t="str">
        <f>HYPERLINK("https://www.boe.es/gazeta/dias/1834/05/29/pdfs/GMD-1834-98.pdf#page=4","Abrir facsímil")</f>
        <v>Abrir facsímil</v>
      </c>
      <c r="K2790" s="3" t="s">
        <v>24</v>
      </c>
    </row>
    <row r="2791" spans="1:11" ht="54" customHeight="1">
      <c r="A2791" s="2" t="s">
        <v>6298</v>
      </c>
      <c r="B2791" s="2" t="s">
        <v>6298</v>
      </c>
      <c r="C2791" s="2" t="s">
        <v>17</v>
      </c>
      <c r="D2791" s="2" t="s">
        <v>18</v>
      </c>
      <c r="E2791" s="5" t="s">
        <v>1459</v>
      </c>
      <c r="F2791" s="3" t="s">
        <v>1460</v>
      </c>
      <c r="G2791" s="3" t="s">
        <v>86</v>
      </c>
      <c r="H2791" s="2" t="s">
        <v>22</v>
      </c>
      <c r="I2791" s="2" t="s">
        <v>6299</v>
      </c>
      <c r="J2791" s="3" t="str">
        <f>HYPERLINK("https://www.boe.es/gazeta/dias/1834/08/18/pdfs/GMD-1834-184.pdf#page=2","Abrir facsímil")</f>
        <v>Abrir facsímil</v>
      </c>
      <c r="K2791" s="3" t="s">
        <v>24</v>
      </c>
    </row>
    <row r="2792" spans="1:11" ht="54" customHeight="1">
      <c r="A2792" s="2" t="s">
        <v>6300</v>
      </c>
      <c r="B2792" s="2" t="s">
        <v>6301</v>
      </c>
      <c r="C2792" s="2" t="s">
        <v>46</v>
      </c>
      <c r="D2792" s="2" t="s">
        <v>18</v>
      </c>
      <c r="E2792" s="5" t="s">
        <v>707</v>
      </c>
      <c r="F2792" s="3" t="s">
        <v>1359</v>
      </c>
      <c r="G2792" s="3" t="s">
        <v>86</v>
      </c>
      <c r="H2792" s="2" t="s">
        <v>22</v>
      </c>
      <c r="I2792" s="2" t="s">
        <v>6302</v>
      </c>
      <c r="J2792" s="3" t="str">
        <f>HYPERLINK("https://www.boe.es/gazeta/dias/1834/11/25/pdfs/GMD-1834-284.pdf#page=2","Abrir facsímil")</f>
        <v>Abrir facsímil</v>
      </c>
      <c r="K2792" s="3" t="s">
        <v>24</v>
      </c>
    </row>
    <row r="2793" spans="1:11" ht="54" customHeight="1">
      <c r="A2793" s="2" t="s">
        <v>6303</v>
      </c>
      <c r="B2793" s="2" t="s">
        <v>6303</v>
      </c>
      <c r="C2793" s="2" t="s">
        <v>17</v>
      </c>
      <c r="D2793" s="2" t="s">
        <v>55</v>
      </c>
      <c r="E2793" s="5" t="s">
        <v>299</v>
      </c>
      <c r="F2793" s="3" t="s">
        <v>300</v>
      </c>
      <c r="G2793" s="3" t="s">
        <v>21</v>
      </c>
      <c r="H2793" s="2" t="s">
        <v>22</v>
      </c>
      <c r="I2793" s="2" t="s">
        <v>6304</v>
      </c>
      <c r="J2793" s="3" t="str">
        <f>HYPERLINK("https://www.boe.es/gazeta/dias/1834/12/12/pdfs/GMD-1834-301.pdf#page=3","Abrir facsímil")</f>
        <v>Abrir facsímil</v>
      </c>
      <c r="K2793" s="3" t="s">
        <v>24</v>
      </c>
    </row>
    <row r="2794" spans="1:11" ht="54" customHeight="1">
      <c r="A2794" s="2" t="s">
        <v>6305</v>
      </c>
      <c r="B2794" s="2" t="s">
        <v>6306</v>
      </c>
      <c r="C2794" s="2" t="s">
        <v>66</v>
      </c>
      <c r="D2794" s="2" t="s">
        <v>67</v>
      </c>
      <c r="E2794" s="5" t="s">
        <v>702</v>
      </c>
      <c r="F2794" s="3" t="s">
        <v>2427</v>
      </c>
      <c r="G2794" s="3" t="s">
        <v>75</v>
      </c>
      <c r="H2794" s="2" t="s">
        <v>22</v>
      </c>
      <c r="I2794" s="2" t="s">
        <v>6307</v>
      </c>
      <c r="J2794" s="3" t="str">
        <f>HYPERLINK("https://www.boe.es/gazeta/dias/1834/11/22/pdfs/GMD-1834-281.pdf#page=4","Abrir facsímil")</f>
        <v>Abrir facsímil</v>
      </c>
      <c r="K2794" s="3" t="s">
        <v>24</v>
      </c>
    </row>
    <row r="2795" spans="1:11" ht="54" customHeight="1">
      <c r="A2795" s="2" t="s">
        <v>6308</v>
      </c>
      <c r="B2795" s="2" t="s">
        <v>6309</v>
      </c>
      <c r="C2795" s="2" t="s">
        <v>17</v>
      </c>
      <c r="D2795" s="2" t="s">
        <v>18</v>
      </c>
      <c r="E2795" s="5" t="s">
        <v>41</v>
      </c>
      <c r="F2795" s="3" t="s">
        <v>42</v>
      </c>
      <c r="G2795" s="3" t="s">
        <v>75</v>
      </c>
      <c r="H2795" s="2" t="s">
        <v>22</v>
      </c>
      <c r="I2795" s="2" t="s">
        <v>6310</v>
      </c>
      <c r="J2795" s="3" t="str">
        <f>HYPERLINK("https://www.boe.es/gazeta/dias/1834/06/11/pdfs/GMD-1834-114.pdf#page=4","Abrir facsímil")</f>
        <v>Abrir facsímil</v>
      </c>
      <c r="K2795" s="3" t="s">
        <v>24</v>
      </c>
    </row>
    <row r="2796" spans="1:11" ht="54" customHeight="1">
      <c r="A2796" s="2" t="s">
        <v>6311</v>
      </c>
      <c r="B2796" s="2" t="s">
        <v>6312</v>
      </c>
      <c r="C2796" s="2" t="s">
        <v>17</v>
      </c>
      <c r="D2796" s="2" t="s">
        <v>55</v>
      </c>
      <c r="E2796" s="5" t="s">
        <v>102</v>
      </c>
      <c r="F2796" s="3" t="s">
        <v>103</v>
      </c>
      <c r="G2796" s="3" t="s">
        <v>21</v>
      </c>
      <c r="H2796" s="2" t="s">
        <v>22</v>
      </c>
      <c r="I2796" s="2" t="s">
        <v>6313</v>
      </c>
      <c r="J2796" s="3" t="str">
        <f>HYPERLINK("https://www.boe.es/gazeta/dias/1834/07/19/pdfs/GMD-1834-152.pdf#page=3","Abrir facsímil")</f>
        <v>Abrir facsímil</v>
      </c>
      <c r="K2796" s="3" t="s">
        <v>24</v>
      </c>
    </row>
    <row r="2797" spans="1:11" ht="54" customHeight="1">
      <c r="A2797" s="2" t="s">
        <v>6314</v>
      </c>
      <c r="B2797" s="2" t="s">
        <v>6315</v>
      </c>
      <c r="C2797" s="2" t="s">
        <v>17</v>
      </c>
      <c r="D2797" s="2" t="s">
        <v>18</v>
      </c>
      <c r="E2797" s="5" t="s">
        <v>465</v>
      </c>
      <c r="F2797" s="3" t="s">
        <v>466</v>
      </c>
      <c r="G2797" s="3" t="s">
        <v>176</v>
      </c>
      <c r="H2797" s="2" t="s">
        <v>22</v>
      </c>
      <c r="I2797" s="2" t="s">
        <v>6316</v>
      </c>
      <c r="J2797" s="3" t="str">
        <f>HYPERLINK("https://www.boe.es/gazeta/dias/1834/11/27/pdfs/GMD-C-1834-286.pdf#page=6","Abrir facsímil")</f>
        <v>Abrir facsímil</v>
      </c>
      <c r="K2797" s="3" t="s">
        <v>24</v>
      </c>
    </row>
    <row r="2798" spans="1:11" ht="54" customHeight="1">
      <c r="A2798" s="2" t="s">
        <v>6317</v>
      </c>
      <c r="B2798" s="2" t="s">
        <v>6318</v>
      </c>
      <c r="C2798" s="2" t="s">
        <v>66</v>
      </c>
      <c r="D2798" s="2" t="s">
        <v>67</v>
      </c>
      <c r="E2798" s="5" t="s">
        <v>1234</v>
      </c>
      <c r="F2798" s="3" t="s">
        <v>1235</v>
      </c>
      <c r="G2798" s="3" t="s">
        <v>34</v>
      </c>
      <c r="H2798" s="2" t="s">
        <v>22</v>
      </c>
      <c r="I2798" s="2" t="s">
        <v>6319</v>
      </c>
      <c r="J2798" s="3" t="str">
        <f>HYPERLINK("https://www.boe.es/gazeta/dias/1834/05/15/pdfs/GMD-C-1834-84.pdf#page=1","Abrir facsímil")</f>
        <v>Abrir facsímil</v>
      </c>
      <c r="K2798" s="3" t="s">
        <v>24</v>
      </c>
    </row>
    <row r="2799" spans="1:11" ht="54" customHeight="1">
      <c r="A2799" s="2" t="s">
        <v>6320</v>
      </c>
      <c r="B2799" s="2" t="s">
        <v>6321</v>
      </c>
      <c r="C2799" s="2" t="s">
        <v>17</v>
      </c>
      <c r="D2799" s="2" t="s">
        <v>18</v>
      </c>
      <c r="E2799" s="5" t="s">
        <v>96</v>
      </c>
      <c r="F2799" s="3" t="s">
        <v>97</v>
      </c>
      <c r="G2799" s="3" t="s">
        <v>34</v>
      </c>
      <c r="H2799" s="2" t="s">
        <v>22</v>
      </c>
      <c r="I2799" s="2" t="s">
        <v>6322</v>
      </c>
      <c r="J2799" s="3" t="str">
        <f>HYPERLINK("https://www.boe.es/gazeta/dias/1834/11/11/pdfs/GMD-C-1834-270.pdf#page=1","Abrir facsímil")</f>
        <v>Abrir facsímil</v>
      </c>
      <c r="K2799" s="3" t="s">
        <v>24</v>
      </c>
    </row>
    <row r="2800" spans="1:11" ht="54" customHeight="1">
      <c r="A2800" s="2" t="s">
        <v>6323</v>
      </c>
      <c r="B2800" s="2" t="s">
        <v>6324</v>
      </c>
      <c r="C2800" s="2" t="s">
        <v>90</v>
      </c>
      <c r="D2800" s="2" t="s">
        <v>67</v>
      </c>
      <c r="E2800" s="5" t="s">
        <v>1661</v>
      </c>
      <c r="F2800" s="3" t="s">
        <v>1662</v>
      </c>
      <c r="G2800" s="3" t="s">
        <v>34</v>
      </c>
      <c r="H2800" s="2" t="s">
        <v>22</v>
      </c>
      <c r="I2800" s="2" t="s">
        <v>6325</v>
      </c>
      <c r="J2800" s="3" t="str">
        <f>HYPERLINK("https://www.boe.es/gazeta/dias/1834/04/06/pdfs/GMD-1834-45.pdf#page=1","Abrir facsímil")</f>
        <v>Abrir facsímil</v>
      </c>
      <c r="K2800" s="3" t="s">
        <v>24</v>
      </c>
    </row>
    <row r="2801" spans="1:11" ht="54" customHeight="1">
      <c r="A2801" s="2" t="s">
        <v>6326</v>
      </c>
      <c r="B2801" s="2" t="s">
        <v>6327</v>
      </c>
      <c r="C2801" s="2" t="s">
        <v>17</v>
      </c>
      <c r="D2801" s="2" t="s">
        <v>18</v>
      </c>
      <c r="E2801" s="5" t="s">
        <v>375</v>
      </c>
      <c r="F2801" s="3" t="s">
        <v>376</v>
      </c>
      <c r="G2801" s="3" t="s">
        <v>34</v>
      </c>
      <c r="H2801" s="2" t="s">
        <v>22</v>
      </c>
      <c r="I2801" s="2" t="s">
        <v>6328</v>
      </c>
      <c r="J2801" s="3" t="str">
        <f>HYPERLINK("https://www.boe.es/gazeta/dias/1834/08/21/pdfs/GMD-1834-187.pdf#page=1","Abrir facsímil")</f>
        <v>Abrir facsímil</v>
      </c>
      <c r="K2801" s="3" t="s">
        <v>24</v>
      </c>
    </row>
    <row r="2802" spans="1:11" ht="54" customHeight="1">
      <c r="A2802" s="2" t="s">
        <v>6329</v>
      </c>
      <c r="B2802" s="2" t="s">
        <v>6329</v>
      </c>
      <c r="C2802" s="2" t="s">
        <v>17</v>
      </c>
      <c r="D2802" s="2" t="s">
        <v>18</v>
      </c>
      <c r="E2802" s="5" t="s">
        <v>2526</v>
      </c>
      <c r="F2802" s="3" t="s">
        <v>2527</v>
      </c>
      <c r="G2802" s="3" t="s">
        <v>21</v>
      </c>
      <c r="H2802" s="2" t="s">
        <v>22</v>
      </c>
      <c r="I2802" s="2" t="s">
        <v>6330</v>
      </c>
      <c r="J2802" s="3" t="str">
        <f>HYPERLINK("https://www.boe.es/gazeta/dias/1834/12/29/pdfs/GMD-C-1834-319.pdf#page=3","Abrir facsímil")</f>
        <v>Abrir facsímil</v>
      </c>
      <c r="K2802" s="3" t="s">
        <v>24</v>
      </c>
    </row>
    <row r="2803" spans="1:11" ht="54" customHeight="1">
      <c r="A2803" s="2" t="s">
        <v>6331</v>
      </c>
      <c r="B2803" s="2" t="s">
        <v>6332</v>
      </c>
      <c r="C2803" s="2" t="s">
        <v>66</v>
      </c>
      <c r="D2803" s="2" t="s">
        <v>67</v>
      </c>
      <c r="E2803" s="5" t="s">
        <v>1226</v>
      </c>
      <c r="F2803" s="3" t="s">
        <v>1227</v>
      </c>
      <c r="G2803" s="3" t="s">
        <v>21</v>
      </c>
      <c r="H2803" s="2" t="s">
        <v>35</v>
      </c>
      <c r="I2803" s="2" t="s">
        <v>6333</v>
      </c>
      <c r="J2803" s="3" t="str">
        <f>HYPERLINK("https://www.boe.es/gazeta/dias/1834/07/14/pdfs/GMD-1834-147.pdf#page=3","Abrir facsímil")</f>
        <v>Abrir facsímil</v>
      </c>
      <c r="K2803" s="3" t="s">
        <v>37</v>
      </c>
    </row>
    <row r="2804" spans="1:11" ht="54" customHeight="1">
      <c r="A2804" s="2" t="s">
        <v>6334</v>
      </c>
      <c r="B2804" s="2" t="s">
        <v>6335</v>
      </c>
      <c r="C2804" s="2" t="s">
        <v>66</v>
      </c>
      <c r="D2804" s="2" t="s">
        <v>67</v>
      </c>
      <c r="E2804" s="5" t="s">
        <v>1226</v>
      </c>
      <c r="F2804" s="3" t="s">
        <v>1227</v>
      </c>
      <c r="G2804" s="3" t="s">
        <v>21</v>
      </c>
      <c r="H2804" s="2" t="s">
        <v>22</v>
      </c>
      <c r="I2804" s="2" t="s">
        <v>6336</v>
      </c>
      <c r="J2804" s="3" t="str">
        <f>HYPERLINK("https://www.boe.es/gazeta/dias/1834/07/14/pdfs/GMD-1834-147.pdf#page=3","Abrir facsímil")</f>
        <v>Abrir facsímil</v>
      </c>
      <c r="K2804" s="3" t="s">
        <v>24</v>
      </c>
    </row>
    <row r="2805" spans="1:11" ht="54" customHeight="1">
      <c r="A2805" s="2" t="s">
        <v>6337</v>
      </c>
      <c r="B2805" s="2" t="s">
        <v>6338</v>
      </c>
      <c r="C2805" s="2" t="s">
        <v>17</v>
      </c>
      <c r="D2805" s="2" t="s">
        <v>18</v>
      </c>
      <c r="E2805" s="5" t="s">
        <v>367</v>
      </c>
      <c r="F2805" s="3" t="s">
        <v>368</v>
      </c>
      <c r="G2805" s="3" t="s">
        <v>75</v>
      </c>
      <c r="H2805" s="2" t="s">
        <v>22</v>
      </c>
      <c r="I2805" s="2" t="s">
        <v>6339</v>
      </c>
      <c r="J2805" s="3" t="str">
        <f>HYPERLINK("https://www.boe.es/gazeta/dias/1834/05/19/pdfs/GMD-1834-88.pdf#page=4","Abrir facsímil")</f>
        <v>Abrir facsímil</v>
      </c>
      <c r="K2805" s="3" t="s">
        <v>24</v>
      </c>
    </row>
    <row r="2806" spans="1:11" ht="54" customHeight="1">
      <c r="A2806" s="2" t="s">
        <v>6340</v>
      </c>
      <c r="B2806" s="2" t="s">
        <v>6341</v>
      </c>
      <c r="C2806" s="2" t="s">
        <v>17</v>
      </c>
      <c r="D2806" s="2" t="s">
        <v>55</v>
      </c>
      <c r="E2806" s="5" t="s">
        <v>326</v>
      </c>
      <c r="F2806" s="3" t="s">
        <v>327</v>
      </c>
      <c r="G2806" s="3" t="s">
        <v>21</v>
      </c>
      <c r="H2806" s="2" t="s">
        <v>22</v>
      </c>
      <c r="I2806" s="2" t="s">
        <v>6342</v>
      </c>
      <c r="J2806" s="3" t="str">
        <f>HYPERLINK("https://www.boe.es/gazeta/dias/1834/07/15/pdfs/GMD-1834-148.pdf#page=3","Abrir facsímil")</f>
        <v>Abrir facsímil</v>
      </c>
      <c r="K2806" s="3" t="s">
        <v>24</v>
      </c>
    </row>
    <row r="2807" spans="1:11" ht="54" customHeight="1">
      <c r="A2807" s="2" t="s">
        <v>6343</v>
      </c>
      <c r="B2807" s="2" t="s">
        <v>6344</v>
      </c>
      <c r="C2807" s="2" t="s">
        <v>17</v>
      </c>
      <c r="D2807" s="2" t="s">
        <v>18</v>
      </c>
      <c r="E2807" s="5" t="s">
        <v>1186</v>
      </c>
      <c r="F2807" s="3" t="s">
        <v>4286</v>
      </c>
      <c r="G2807" s="3" t="s">
        <v>86</v>
      </c>
      <c r="H2807" s="2" t="s">
        <v>22</v>
      </c>
      <c r="I2807" s="2" t="s">
        <v>6345</v>
      </c>
      <c r="J2807" s="3" t="str">
        <f>HYPERLINK("https://www.boe.es/gazeta/dias/1834/08/14/pdfs/GMD-C-1834-179.pdf#page=2","Abrir facsímil")</f>
        <v>Abrir facsímil</v>
      </c>
      <c r="K2807" s="3" t="s">
        <v>24</v>
      </c>
    </row>
    <row r="2808" spans="1:11" ht="54" customHeight="1">
      <c r="A2808" s="2" t="s">
        <v>6343</v>
      </c>
      <c r="B2808" s="2" t="s">
        <v>6344</v>
      </c>
      <c r="C2808" s="2" t="s">
        <v>66</v>
      </c>
      <c r="D2808" s="2" t="s">
        <v>67</v>
      </c>
      <c r="E2808" s="5" t="s">
        <v>233</v>
      </c>
      <c r="F2808" s="3" t="s">
        <v>1810</v>
      </c>
      <c r="G2808" s="3" t="s">
        <v>86</v>
      </c>
      <c r="H2808" s="2" t="s">
        <v>22</v>
      </c>
      <c r="I2808" s="2" t="s">
        <v>6346</v>
      </c>
      <c r="J2808" s="3" t="str">
        <f>HYPERLINK("https://www.boe.es/gazeta/dias/1834/12/16/pdfs/GMD-C-1834-305.pdf#page=2","Abrir facsímil")</f>
        <v>Abrir facsímil</v>
      </c>
      <c r="K2808" s="3" t="s">
        <v>24</v>
      </c>
    </row>
    <row r="2809" spans="1:11" ht="54" customHeight="1">
      <c r="A2809" s="2" t="s">
        <v>6347</v>
      </c>
      <c r="B2809" s="2" t="s">
        <v>6348</v>
      </c>
      <c r="C2809" s="2" t="s">
        <v>17</v>
      </c>
      <c r="D2809" s="2" t="s">
        <v>18</v>
      </c>
      <c r="E2809" s="5" t="s">
        <v>2278</v>
      </c>
      <c r="F2809" s="3" t="s">
        <v>2279</v>
      </c>
      <c r="G2809" s="3" t="s">
        <v>34</v>
      </c>
      <c r="H2809" s="2" t="s">
        <v>22</v>
      </c>
      <c r="I2809" s="2" t="s">
        <v>6349</v>
      </c>
      <c r="J2809" s="3" t="str">
        <f>HYPERLINK("https://www.boe.es/gazeta/dias/1834/12/17/pdfs/GMD-C-1834-306.pdf#page=1","Abrir facsímil")</f>
        <v>Abrir facsímil</v>
      </c>
      <c r="K2809" s="3" t="s">
        <v>24</v>
      </c>
    </row>
    <row r="2810" spans="1:11" ht="54" customHeight="1">
      <c r="A2810" s="2" t="s">
        <v>6343</v>
      </c>
      <c r="B2810" s="2" t="s">
        <v>6344</v>
      </c>
      <c r="C2810" s="2" t="s">
        <v>17</v>
      </c>
      <c r="D2810" s="2" t="s">
        <v>18</v>
      </c>
      <c r="E2810" s="5" t="s">
        <v>2278</v>
      </c>
      <c r="F2810" s="3" t="s">
        <v>2279</v>
      </c>
      <c r="G2810" s="3" t="s">
        <v>86</v>
      </c>
      <c r="H2810" s="2" t="s">
        <v>22</v>
      </c>
      <c r="I2810" s="2" t="s">
        <v>6350</v>
      </c>
      <c r="J2810" s="3" t="str">
        <f>HYPERLINK("https://www.boe.es/gazeta/dias/1834/12/17/pdfs/GMD-C-1834-306.pdf#page=2","Abrir facsímil")</f>
        <v>Abrir facsímil</v>
      </c>
      <c r="K2810" s="3" t="s">
        <v>24</v>
      </c>
    </row>
    <row r="2811" spans="1:11" ht="54" customHeight="1">
      <c r="A2811" s="2" t="s">
        <v>6343</v>
      </c>
      <c r="B2811" s="2" t="s">
        <v>6344</v>
      </c>
      <c r="C2811" s="2" t="s">
        <v>90</v>
      </c>
      <c r="D2811" s="2" t="s">
        <v>18</v>
      </c>
      <c r="E2811" s="5" t="s">
        <v>615</v>
      </c>
      <c r="F2811" s="3" t="s">
        <v>1205</v>
      </c>
      <c r="G2811" s="3" t="s">
        <v>86</v>
      </c>
      <c r="H2811" s="2" t="s">
        <v>22</v>
      </c>
      <c r="I2811" s="2" t="s">
        <v>6351</v>
      </c>
      <c r="J2811" s="3" t="str">
        <f>HYPERLINK("https://www.boe.es/gazeta/dias/1834/08/19/pdfs/GMD-D-1834-185.pdf#page=2","Abrir facsímil")</f>
        <v>Abrir facsímil</v>
      </c>
      <c r="K2811" s="3" t="s">
        <v>24</v>
      </c>
    </row>
    <row r="2812" spans="1:11" ht="54" customHeight="1">
      <c r="A2812" s="2" t="s">
        <v>6343</v>
      </c>
      <c r="B2812" s="2" t="s">
        <v>6344</v>
      </c>
      <c r="C2812" s="2" t="s">
        <v>17</v>
      </c>
      <c r="D2812" s="2" t="s">
        <v>18</v>
      </c>
      <c r="E2812" s="5" t="s">
        <v>1674</v>
      </c>
      <c r="F2812" s="3" t="s">
        <v>3233</v>
      </c>
      <c r="G2812" s="3" t="s">
        <v>86</v>
      </c>
      <c r="H2812" s="2" t="s">
        <v>22</v>
      </c>
      <c r="I2812" s="2" t="s">
        <v>6352</v>
      </c>
      <c r="J2812" s="3" t="str">
        <f>HYPERLINK("https://www.boe.es/gazeta/dias/1834/07/25/pdfs/GMD-C-1834-158.pdf#page=2","Abrir facsímil")</f>
        <v>Abrir facsímil</v>
      </c>
      <c r="K2812" s="3" t="s">
        <v>24</v>
      </c>
    </row>
    <row r="2813" spans="1:11" ht="54" customHeight="1">
      <c r="A2813" s="2" t="s">
        <v>6353</v>
      </c>
      <c r="B2813" s="2" t="s">
        <v>6354</v>
      </c>
      <c r="C2813" s="2" t="s">
        <v>17</v>
      </c>
      <c r="D2813" s="2" t="s">
        <v>18</v>
      </c>
      <c r="E2813" s="5" t="s">
        <v>1766</v>
      </c>
      <c r="F2813" s="3" t="s">
        <v>1767</v>
      </c>
      <c r="G2813" s="3" t="s">
        <v>34</v>
      </c>
      <c r="H2813" s="2" t="s">
        <v>22</v>
      </c>
      <c r="I2813" s="2" t="s">
        <v>6355</v>
      </c>
      <c r="J2813" s="3" t="str">
        <f>HYPERLINK("https://www.boe.es/gazeta/dias/1834/10/26/pdfs/GMD-C-1834-254.pdf#page=1","Abrir facsímil")</f>
        <v>Abrir facsímil</v>
      </c>
      <c r="K2813" s="3" t="s">
        <v>24</v>
      </c>
    </row>
    <row r="2814" spans="1:11" ht="54" customHeight="1">
      <c r="A2814" s="2" t="s">
        <v>6343</v>
      </c>
      <c r="B2814" s="2" t="s">
        <v>6344</v>
      </c>
      <c r="C2814" s="2" t="s">
        <v>17</v>
      </c>
      <c r="D2814" s="2" t="s">
        <v>18</v>
      </c>
      <c r="E2814" s="5" t="s">
        <v>468</v>
      </c>
      <c r="F2814" s="3" t="s">
        <v>469</v>
      </c>
      <c r="G2814" s="3" t="s">
        <v>34</v>
      </c>
      <c r="H2814" s="2" t="s">
        <v>22</v>
      </c>
      <c r="I2814" s="2" t="s">
        <v>6356</v>
      </c>
      <c r="J2814" s="3" t="str">
        <f>HYPERLINK("https://www.boe.es/gazeta/dias/1834/12/28/pdfs/GMD-C-1834-318.pdf#page=1","Abrir facsímil")</f>
        <v>Abrir facsímil</v>
      </c>
      <c r="K2814" s="3" t="s">
        <v>24</v>
      </c>
    </row>
    <row r="2815" spans="1:11" ht="54" customHeight="1">
      <c r="A2815" s="2" t="s">
        <v>6357</v>
      </c>
      <c r="B2815" s="2" t="s">
        <v>6358</v>
      </c>
      <c r="C2815" s="2" t="s">
        <v>17</v>
      </c>
      <c r="D2815" s="2" t="s">
        <v>18</v>
      </c>
      <c r="E2815" s="5" t="s">
        <v>237</v>
      </c>
      <c r="F2815" s="3" t="s">
        <v>4609</v>
      </c>
      <c r="G2815" s="3" t="s">
        <v>21</v>
      </c>
      <c r="H2815" s="2" t="s">
        <v>22</v>
      </c>
      <c r="I2815" s="2" t="s">
        <v>6359</v>
      </c>
      <c r="J2815" s="3" t="str">
        <f>HYPERLINK("https://www.boe.es/gazeta/dias/1834/08/15/pdfs/GMD-1834-180.pdf#page=3","Abrir facsímil")</f>
        <v>Abrir facsímil</v>
      </c>
      <c r="K2815" s="3" t="s">
        <v>24</v>
      </c>
    </row>
    <row r="2816" spans="1:11" ht="54" customHeight="1">
      <c r="A2816" s="2" t="s">
        <v>6357</v>
      </c>
      <c r="B2816" s="2" t="s">
        <v>6358</v>
      </c>
      <c r="C2816" s="2" t="s">
        <v>17</v>
      </c>
      <c r="D2816" s="2" t="s">
        <v>18</v>
      </c>
      <c r="E2816" s="5" t="s">
        <v>5574</v>
      </c>
      <c r="F2816" s="3" t="s">
        <v>5575</v>
      </c>
      <c r="G2816" s="3" t="s">
        <v>21</v>
      </c>
      <c r="H2816" s="2" t="s">
        <v>22</v>
      </c>
      <c r="I2816" s="2" t="s">
        <v>6360</v>
      </c>
      <c r="J2816" s="3" t="str">
        <f>HYPERLINK("https://www.boe.es/gazeta/dias/1834/06/16/pdfs/GMD-1834-119.pdf#page=3","Abrir facsímil")</f>
        <v>Abrir facsímil</v>
      </c>
      <c r="K2816" s="3" t="s">
        <v>24</v>
      </c>
    </row>
    <row r="2817" spans="1:11" ht="54" customHeight="1">
      <c r="A2817" s="2" t="s">
        <v>6361</v>
      </c>
      <c r="B2817" s="2" t="s">
        <v>6362</v>
      </c>
      <c r="C2817" s="2" t="s">
        <v>17</v>
      </c>
      <c r="D2817" s="2" t="s">
        <v>18</v>
      </c>
      <c r="E2817" s="5" t="s">
        <v>753</v>
      </c>
      <c r="F2817" s="3" t="s">
        <v>754</v>
      </c>
      <c r="G2817" s="3" t="s">
        <v>28</v>
      </c>
      <c r="H2817" s="2" t="s">
        <v>22</v>
      </c>
      <c r="I2817" s="2" t="s">
        <v>6363</v>
      </c>
      <c r="J2817" s="3" t="str">
        <f>HYPERLINK("https://www.boe.es/gazeta/dias/1834/04/21/pdfs/GMD-1834-60.pdf#page=5","Abrir facsímil")</f>
        <v>Abrir facsímil</v>
      </c>
      <c r="K2817" s="3" t="s">
        <v>24</v>
      </c>
    </row>
    <row r="2818" spans="1:11" ht="54" customHeight="1">
      <c r="A2818" s="2" t="s">
        <v>6364</v>
      </c>
      <c r="B2818" s="2" t="s">
        <v>6364</v>
      </c>
      <c r="C2818" s="2" t="s">
        <v>17</v>
      </c>
      <c r="D2818" s="2" t="s">
        <v>18</v>
      </c>
      <c r="E2818" s="5" t="s">
        <v>1307</v>
      </c>
      <c r="F2818" s="3" t="s">
        <v>1308</v>
      </c>
      <c r="G2818" s="3" t="s">
        <v>21</v>
      </c>
      <c r="H2818" s="2" t="s">
        <v>22</v>
      </c>
      <c r="I2818" s="2" t="s">
        <v>6365</v>
      </c>
      <c r="J2818" s="3" t="str">
        <f>HYPERLINK("https://www.boe.es/gazeta/dias/1834/08/25/pdfs/GMD-1834-191.pdf#page=3","Abrir facsímil")</f>
        <v>Abrir facsímil</v>
      </c>
      <c r="K2818" s="3" t="s">
        <v>24</v>
      </c>
    </row>
    <row r="2819" spans="1:11" ht="54" customHeight="1">
      <c r="A2819" s="2" t="s">
        <v>6366</v>
      </c>
      <c r="B2819" s="2" t="s">
        <v>6367</v>
      </c>
      <c r="C2819" s="2" t="s">
        <v>17</v>
      </c>
      <c r="D2819" s="2" t="s">
        <v>18</v>
      </c>
      <c r="E2819" s="5" t="s">
        <v>1307</v>
      </c>
      <c r="F2819" s="3" t="s">
        <v>1308</v>
      </c>
      <c r="G2819" s="3" t="s">
        <v>21</v>
      </c>
      <c r="H2819" s="2" t="s">
        <v>35</v>
      </c>
      <c r="I2819" s="2" t="s">
        <v>6368</v>
      </c>
      <c r="J2819" s="3" t="str">
        <f>HYPERLINK("https://www.boe.es/gazeta/dias/1834/08/25/pdfs/GMD-1834-191.pdf#page=3","Abrir facsímil")</f>
        <v>Abrir facsímil</v>
      </c>
      <c r="K2819" s="3" t="s">
        <v>37</v>
      </c>
    </row>
    <row r="2820" spans="1:11" ht="54" customHeight="1">
      <c r="A2820" s="2" t="s">
        <v>6369</v>
      </c>
      <c r="B2820" s="2" t="s">
        <v>6370</v>
      </c>
      <c r="C2820" s="2" t="s">
        <v>66</v>
      </c>
      <c r="D2820" s="2" t="s">
        <v>67</v>
      </c>
      <c r="E2820" s="5" t="s">
        <v>2302</v>
      </c>
      <c r="F2820" s="3" t="s">
        <v>2303</v>
      </c>
      <c r="G2820" s="3" t="s">
        <v>75</v>
      </c>
      <c r="H2820" s="2" t="s">
        <v>22</v>
      </c>
      <c r="I2820" s="2" t="s">
        <v>6371</v>
      </c>
      <c r="J2820" s="3" t="str">
        <f>HYPERLINK("https://www.boe.es/gazeta/dias/1834/01/25/pdfs/GMD-1834-12.pdf#page=4","Abrir facsímil")</f>
        <v>Abrir facsímil</v>
      </c>
      <c r="K2820" s="3" t="s">
        <v>24</v>
      </c>
    </row>
    <row r="2821" spans="1:11" ht="54" customHeight="1">
      <c r="A2821" s="2" t="s">
        <v>6369</v>
      </c>
      <c r="B2821" s="2" t="s">
        <v>6370</v>
      </c>
      <c r="C2821" s="2" t="s">
        <v>17</v>
      </c>
      <c r="D2821" s="2" t="s">
        <v>18</v>
      </c>
      <c r="E2821" s="5" t="s">
        <v>1307</v>
      </c>
      <c r="F2821" s="3" t="s">
        <v>1308</v>
      </c>
      <c r="G2821" s="3" t="s">
        <v>21</v>
      </c>
      <c r="H2821" s="2" t="s">
        <v>22</v>
      </c>
      <c r="I2821" s="2" t="s">
        <v>6372</v>
      </c>
      <c r="J2821" s="3" t="str">
        <f>HYPERLINK("https://www.boe.es/gazeta/dias/1834/08/25/pdfs/GMD-1834-191.pdf#page=3","Abrir facsímil")</f>
        <v>Abrir facsímil</v>
      </c>
      <c r="K2821" s="3" t="s">
        <v>24</v>
      </c>
    </row>
    <row r="2822" spans="1:11" ht="54" customHeight="1">
      <c r="A2822" s="2" t="s">
        <v>6373</v>
      </c>
      <c r="B2822" s="2" t="s">
        <v>6373</v>
      </c>
      <c r="C2822" s="2" t="s">
        <v>46</v>
      </c>
      <c r="D2822" s="2" t="s">
        <v>55</v>
      </c>
      <c r="E2822" s="5" t="s">
        <v>2865</v>
      </c>
      <c r="F2822" s="3" t="s">
        <v>2866</v>
      </c>
      <c r="G2822" s="3" t="s">
        <v>21</v>
      </c>
      <c r="H2822" s="2" t="s">
        <v>22</v>
      </c>
      <c r="I2822" s="2" t="s">
        <v>6374</v>
      </c>
      <c r="J2822" s="3" t="str">
        <f>HYPERLINK("https://www.boe.es/gazeta/dias/1834/07/06/pdfs/GMD-1834-139.pdf#page=3","Abrir facsímil")</f>
        <v>Abrir facsímil</v>
      </c>
      <c r="K2822" s="3" t="s">
        <v>24</v>
      </c>
    </row>
    <row r="2823" spans="1:11" ht="54" customHeight="1">
      <c r="A2823" s="2" t="s">
        <v>6375</v>
      </c>
      <c r="B2823" s="2" t="s">
        <v>6376</v>
      </c>
      <c r="C2823" s="2" t="s">
        <v>17</v>
      </c>
      <c r="D2823" s="2" t="s">
        <v>40</v>
      </c>
      <c r="E2823" s="5" t="s">
        <v>41</v>
      </c>
      <c r="F2823" s="3" t="s">
        <v>42</v>
      </c>
      <c r="G2823" s="3" t="s">
        <v>75</v>
      </c>
      <c r="H2823" s="2" t="s">
        <v>22</v>
      </c>
      <c r="I2823" s="2" t="s">
        <v>6377</v>
      </c>
      <c r="J2823" s="3" t="str">
        <f>HYPERLINK("https://www.boe.es/gazeta/dias/1834/06/11/pdfs/GMD-1834-114.pdf#page=4","Abrir facsímil")</f>
        <v>Abrir facsímil</v>
      </c>
      <c r="K2823" s="3" t="s">
        <v>24</v>
      </c>
    </row>
    <row r="2824" spans="1:11" ht="54" customHeight="1">
      <c r="A2824" s="2" t="s">
        <v>6378</v>
      </c>
      <c r="B2824" s="2" t="s">
        <v>6379</v>
      </c>
      <c r="C2824" s="2" t="s">
        <v>90</v>
      </c>
      <c r="D2824" s="2" t="s">
        <v>18</v>
      </c>
      <c r="E2824" s="5" t="s">
        <v>237</v>
      </c>
      <c r="F2824" s="3" t="s">
        <v>4609</v>
      </c>
      <c r="G2824" s="3" t="s">
        <v>34</v>
      </c>
      <c r="H2824" s="2" t="s">
        <v>22</v>
      </c>
      <c r="I2824" s="2" t="s">
        <v>6380</v>
      </c>
      <c r="J2824" s="3" t="str">
        <f>HYPERLINK("https://www.boe.es/gazeta/dias/1834/08/15/pdfs/GMD-1834-180.pdf#page=1","Abrir facsímil")</f>
        <v>Abrir facsímil</v>
      </c>
      <c r="K2824" s="3" t="s">
        <v>24</v>
      </c>
    </row>
    <row r="2825" spans="1:11" ht="54" customHeight="1">
      <c r="A2825" s="2" t="s">
        <v>6381</v>
      </c>
      <c r="B2825" s="2" t="s">
        <v>6382</v>
      </c>
      <c r="C2825" s="2" t="s">
        <v>66</v>
      </c>
      <c r="D2825" s="2" t="s">
        <v>18</v>
      </c>
      <c r="E2825" s="5" t="s">
        <v>1002</v>
      </c>
      <c r="F2825" s="3" t="s">
        <v>6383</v>
      </c>
      <c r="G2825" s="3" t="s">
        <v>34</v>
      </c>
      <c r="H2825" s="2" t="s">
        <v>22</v>
      </c>
      <c r="I2825" s="2" t="s">
        <v>6384</v>
      </c>
      <c r="J2825" s="3" t="str">
        <f>HYPERLINK("https://www.boe.es/gazeta/dias/1834/06/26/pdfs/GMD-C-1834-129.pdf#page=1","Abrir facsímil")</f>
        <v>Abrir facsímil</v>
      </c>
      <c r="K2825" s="3" t="s">
        <v>24</v>
      </c>
    </row>
    <row r="2826" spans="1:11" ht="54" customHeight="1">
      <c r="A2826" s="2" t="s">
        <v>6385</v>
      </c>
      <c r="B2826" s="2" t="s">
        <v>6386</v>
      </c>
      <c r="C2826" s="2" t="s">
        <v>17</v>
      </c>
      <c r="D2826" s="2" t="s">
        <v>40</v>
      </c>
      <c r="E2826" s="5" t="s">
        <v>594</v>
      </c>
      <c r="F2826" s="3" t="s">
        <v>595</v>
      </c>
      <c r="G2826" s="3" t="s">
        <v>75</v>
      </c>
      <c r="H2826" s="2" t="s">
        <v>22</v>
      </c>
      <c r="I2826" s="2" t="s">
        <v>6387</v>
      </c>
      <c r="J2826" s="3" t="str">
        <f>HYPERLINK("https://www.boe.es/gazeta/dias/1834/06/01/pdfs/GMD-1834-102.pdf#page=4","Abrir facsímil")</f>
        <v>Abrir facsímil</v>
      </c>
      <c r="K2826" s="3" t="s">
        <v>24</v>
      </c>
    </row>
    <row r="2827" spans="1:11" ht="54" customHeight="1">
      <c r="A2827" s="2" t="s">
        <v>6388</v>
      </c>
      <c r="B2827" s="2" t="s">
        <v>6389</v>
      </c>
      <c r="C2827" s="2" t="s">
        <v>17</v>
      </c>
      <c r="D2827" s="2" t="s">
        <v>18</v>
      </c>
      <c r="E2827" s="5" t="s">
        <v>73</v>
      </c>
      <c r="F2827" s="3" t="s">
        <v>74</v>
      </c>
      <c r="G2827" s="3" t="s">
        <v>75</v>
      </c>
      <c r="H2827" s="2" t="s">
        <v>22</v>
      </c>
      <c r="I2827" s="2" t="s">
        <v>6390</v>
      </c>
      <c r="J2827" s="3" t="str">
        <f>HYPERLINK("https://www.boe.es/gazeta/dias/1834/11/04/pdfs/GMD-1834-263.pdf#page=4","Abrir facsímil")</f>
        <v>Abrir facsímil</v>
      </c>
      <c r="K2827" s="3" t="s">
        <v>24</v>
      </c>
    </row>
    <row r="2828" spans="1:11" ht="54" customHeight="1">
      <c r="A2828" s="2" t="s">
        <v>6391</v>
      </c>
      <c r="B2828" s="2" t="s">
        <v>6392</v>
      </c>
      <c r="C2828" s="2" t="s">
        <v>66</v>
      </c>
      <c r="D2828" s="2" t="s">
        <v>67</v>
      </c>
      <c r="E2828" s="5" t="s">
        <v>251</v>
      </c>
      <c r="F2828" s="3" t="s">
        <v>1278</v>
      </c>
      <c r="G2828" s="3" t="s">
        <v>86</v>
      </c>
      <c r="H2828" s="2" t="s">
        <v>22</v>
      </c>
      <c r="I2828" s="2" t="s">
        <v>6393</v>
      </c>
      <c r="J2828" s="3" t="str">
        <f>HYPERLINK("https://www.boe.es/gazeta/dias/1834/09/26/pdfs/GMD-1834-224.pdf#page=2","Abrir facsímil")</f>
        <v>Abrir facsímil</v>
      </c>
      <c r="K2828" s="3" t="s">
        <v>24</v>
      </c>
    </row>
    <row r="2829" spans="1:11" ht="54" customHeight="1">
      <c r="A2829" s="2" t="s">
        <v>6394</v>
      </c>
      <c r="B2829" s="2" t="s">
        <v>6395</v>
      </c>
      <c r="C2829" s="2" t="s">
        <v>17</v>
      </c>
      <c r="D2829" s="2" t="s">
        <v>40</v>
      </c>
      <c r="E2829" s="5" t="s">
        <v>454</v>
      </c>
      <c r="F2829" s="3" t="s">
        <v>2009</v>
      </c>
      <c r="G2829" s="3" t="s">
        <v>86</v>
      </c>
      <c r="H2829" s="2" t="s">
        <v>22</v>
      </c>
      <c r="I2829" s="2" t="s">
        <v>6396</v>
      </c>
      <c r="J2829" s="3" t="str">
        <f>HYPERLINK("https://www.boe.es/gazeta/dias/1834/10/16/pdfs/GMD-1834-244.pdf#page=2","Abrir facsímil")</f>
        <v>Abrir facsímil</v>
      </c>
      <c r="K2829" s="3" t="s">
        <v>24</v>
      </c>
    </row>
    <row r="2830" spans="1:11" ht="54" customHeight="1">
      <c r="A2830" s="2" t="s">
        <v>6397</v>
      </c>
      <c r="B2830" s="2" t="s">
        <v>6398</v>
      </c>
      <c r="C2830" s="2" t="s">
        <v>17</v>
      </c>
      <c r="D2830" s="2" t="s">
        <v>18</v>
      </c>
      <c r="E2830" s="5" t="s">
        <v>1862</v>
      </c>
      <c r="F2830" s="3" t="s">
        <v>1863</v>
      </c>
      <c r="G2830" s="3" t="s">
        <v>75</v>
      </c>
      <c r="H2830" s="2" t="s">
        <v>22</v>
      </c>
      <c r="I2830" s="2" t="s">
        <v>6399</v>
      </c>
      <c r="J2830" s="3" t="str">
        <f>HYPERLINK("https://www.boe.es/gazeta/dias/1834/02/04/pdfs/GMD-1834-16.pdf#page=4","Abrir facsímil")</f>
        <v>Abrir facsímil</v>
      </c>
      <c r="K2830" s="3" t="s">
        <v>24</v>
      </c>
    </row>
    <row r="2831" spans="1:11" ht="54" customHeight="1">
      <c r="A2831" s="2" t="s">
        <v>6400</v>
      </c>
      <c r="B2831" s="2" t="s">
        <v>6400</v>
      </c>
      <c r="C2831" s="2" t="s">
        <v>66</v>
      </c>
      <c r="D2831" s="2" t="s">
        <v>67</v>
      </c>
      <c r="E2831" s="5" t="s">
        <v>793</v>
      </c>
      <c r="F2831" s="3" t="s">
        <v>794</v>
      </c>
      <c r="G2831" s="3" t="s">
        <v>34</v>
      </c>
      <c r="H2831" s="2" t="s">
        <v>22</v>
      </c>
      <c r="I2831" s="2" t="s">
        <v>6401</v>
      </c>
      <c r="J2831" s="3" t="str">
        <f>HYPERLINK("https://www.boe.es/gazeta/dias/1834/10/08/pdfs/GMD-1834-236.pdf#page=1","Abrir facsímil")</f>
        <v>Abrir facsímil</v>
      </c>
      <c r="K2831" s="3" t="s">
        <v>24</v>
      </c>
    </row>
    <row r="2832" spans="1:11" ht="54" customHeight="1">
      <c r="A2832" s="2" t="s">
        <v>6402</v>
      </c>
      <c r="B2832" s="2" t="s">
        <v>6403</v>
      </c>
      <c r="C2832" s="2" t="s">
        <v>17</v>
      </c>
      <c r="D2832" s="2" t="s">
        <v>18</v>
      </c>
      <c r="E2832" s="5" t="s">
        <v>1955</v>
      </c>
      <c r="F2832" s="3" t="s">
        <v>1956</v>
      </c>
      <c r="G2832" s="3" t="s">
        <v>75</v>
      </c>
      <c r="H2832" s="2" t="s">
        <v>22</v>
      </c>
      <c r="I2832" s="2" t="s">
        <v>6404</v>
      </c>
      <c r="J2832" s="3" t="str">
        <f>HYPERLINK("https://www.boe.es/gazeta/dias/1834/05/04/pdfs/GMD-1834-73.pdf#page=4","Abrir facsímil")</f>
        <v>Abrir facsímil</v>
      </c>
      <c r="K2832" s="3" t="s">
        <v>24</v>
      </c>
    </row>
    <row r="2833" spans="1:11" ht="54" customHeight="1">
      <c r="A2833" s="2" t="s">
        <v>6405</v>
      </c>
      <c r="B2833" s="2" t="s">
        <v>6406</v>
      </c>
      <c r="C2833" s="2" t="s">
        <v>66</v>
      </c>
      <c r="D2833" s="2" t="s">
        <v>67</v>
      </c>
      <c r="E2833" s="5" t="s">
        <v>448</v>
      </c>
      <c r="F2833" s="3" t="s">
        <v>2058</v>
      </c>
      <c r="G2833" s="3" t="s">
        <v>75</v>
      </c>
      <c r="H2833" s="2" t="s">
        <v>35</v>
      </c>
      <c r="I2833" s="2" t="s">
        <v>6407</v>
      </c>
      <c r="J2833" s="3" t="str">
        <f>HYPERLINK("https://www.boe.es/gazeta/dias/1834/10/14/pdfs/GMD-1834-242.pdf#page=4","Abrir facsímil")</f>
        <v>Abrir facsímil</v>
      </c>
      <c r="K2833" s="3" t="s">
        <v>37</v>
      </c>
    </row>
    <row r="2834" spans="1:11" ht="54" customHeight="1">
      <c r="A2834" s="2" t="s">
        <v>6408</v>
      </c>
      <c r="B2834" s="2" t="s">
        <v>6409</v>
      </c>
      <c r="C2834" s="2" t="s">
        <v>66</v>
      </c>
      <c r="D2834" s="2" t="s">
        <v>67</v>
      </c>
      <c r="E2834" s="5" t="s">
        <v>448</v>
      </c>
      <c r="F2834" s="3" t="s">
        <v>2058</v>
      </c>
      <c r="G2834" s="3" t="s">
        <v>75</v>
      </c>
      <c r="H2834" s="2" t="s">
        <v>22</v>
      </c>
      <c r="I2834" s="2" t="s">
        <v>6410</v>
      </c>
      <c r="J2834" s="3" t="str">
        <f>HYPERLINK("https://www.boe.es/gazeta/dias/1834/10/14/pdfs/GMD-1834-242.pdf#page=4","Abrir facsímil")</f>
        <v>Abrir facsímil</v>
      </c>
      <c r="K2834" s="3" t="s">
        <v>24</v>
      </c>
    </row>
    <row r="2835" spans="1:11" ht="54" customHeight="1">
      <c r="A2835" s="2" t="s">
        <v>6411</v>
      </c>
      <c r="B2835" s="2" t="s">
        <v>6412</v>
      </c>
      <c r="C2835" s="2" t="s">
        <v>46</v>
      </c>
      <c r="D2835" s="2" t="s">
        <v>101</v>
      </c>
      <c r="E2835" s="5" t="s">
        <v>1839</v>
      </c>
      <c r="F2835" s="3" t="s">
        <v>1840</v>
      </c>
      <c r="G2835" s="3" t="s">
        <v>34</v>
      </c>
      <c r="H2835" s="2" t="s">
        <v>22</v>
      </c>
      <c r="I2835" s="2" t="s">
        <v>6413</v>
      </c>
      <c r="J2835" s="3" t="str">
        <f>HYPERLINK("https://www.boe.es/gazeta/dias/1834/08/12/pdfs/GMD-C-1834-177.pdf#page=1","Abrir facsímil")</f>
        <v>Abrir facsímil</v>
      </c>
      <c r="K2835" s="3" t="s">
        <v>24</v>
      </c>
    </row>
    <row r="2836" spans="1:11" ht="54" customHeight="1">
      <c r="A2836" s="2" t="s">
        <v>6414</v>
      </c>
      <c r="B2836" s="2" t="s">
        <v>6414</v>
      </c>
      <c r="C2836" s="2" t="s">
        <v>17</v>
      </c>
      <c r="D2836" s="2" t="s">
        <v>18</v>
      </c>
      <c r="E2836" s="5" t="s">
        <v>433</v>
      </c>
      <c r="F2836" s="3" t="s">
        <v>434</v>
      </c>
      <c r="G2836" s="3" t="s">
        <v>21</v>
      </c>
      <c r="H2836" s="2" t="s">
        <v>22</v>
      </c>
      <c r="I2836" s="2" t="s">
        <v>6415</v>
      </c>
      <c r="J2836" s="3" t="str">
        <f>HYPERLINK("https://www.boe.es/gazeta/dias/1834/10/07/pdfs/GMD-C-1834-235.pdf#page=3","Abrir facsímil")</f>
        <v>Abrir facsímil</v>
      </c>
      <c r="K2836" s="3" t="s">
        <v>24</v>
      </c>
    </row>
    <row r="2837" spans="1:11" ht="54" customHeight="1">
      <c r="A2837" s="2" t="s">
        <v>6416</v>
      </c>
      <c r="B2837" s="2" t="s">
        <v>6417</v>
      </c>
      <c r="C2837" s="2" t="s">
        <v>17</v>
      </c>
      <c r="D2837" s="2" t="s">
        <v>101</v>
      </c>
      <c r="E2837" s="5" t="s">
        <v>1262</v>
      </c>
      <c r="F2837" s="3" t="s">
        <v>1263</v>
      </c>
      <c r="G2837" s="3" t="s">
        <v>34</v>
      </c>
      <c r="H2837" s="2" t="s">
        <v>22</v>
      </c>
      <c r="I2837" s="2" t="s">
        <v>6418</v>
      </c>
      <c r="J2837" s="3" t="str">
        <f>HYPERLINK("https://www.boe.es/gazeta/dias/1834/02/01/pdfs/GMD-1834-15.pdf#page=1","Abrir facsímil")</f>
        <v>Abrir facsímil</v>
      </c>
      <c r="K2837" s="3" t="s">
        <v>24</v>
      </c>
    </row>
    <row r="2838" spans="1:11" ht="54" customHeight="1">
      <c r="A2838" s="2" t="s">
        <v>6419</v>
      </c>
      <c r="B2838" s="2" t="s">
        <v>6419</v>
      </c>
      <c r="C2838" s="2" t="s">
        <v>17</v>
      </c>
      <c r="D2838" s="2" t="s">
        <v>18</v>
      </c>
      <c r="E2838" s="5" t="s">
        <v>2287</v>
      </c>
      <c r="F2838" s="3" t="s">
        <v>2288</v>
      </c>
      <c r="G2838" s="3" t="s">
        <v>28</v>
      </c>
      <c r="H2838" s="2" t="s">
        <v>22</v>
      </c>
      <c r="I2838" s="2" t="s">
        <v>6420</v>
      </c>
      <c r="J2838" s="3" t="str">
        <f>HYPERLINK("https://www.boe.es/gazeta/dias/1834/12/18/pdfs/GMD-C-1834-308.pdf#page=5","Abrir facsímil")</f>
        <v>Abrir facsímil</v>
      </c>
      <c r="K2838" s="3" t="s">
        <v>24</v>
      </c>
    </row>
    <row r="2839" spans="1:11" ht="54" customHeight="1">
      <c r="A2839" s="2" t="s">
        <v>6421</v>
      </c>
      <c r="B2839" s="2" t="s">
        <v>6421</v>
      </c>
      <c r="C2839" s="2" t="s">
        <v>66</v>
      </c>
      <c r="D2839" s="2" t="s">
        <v>67</v>
      </c>
      <c r="E2839" s="5" t="s">
        <v>1212</v>
      </c>
      <c r="F2839" s="3" t="s">
        <v>1213</v>
      </c>
      <c r="G2839" s="3" t="s">
        <v>21</v>
      </c>
      <c r="H2839" s="2" t="s">
        <v>22</v>
      </c>
      <c r="I2839" s="2" t="s">
        <v>6422</v>
      </c>
      <c r="J2839" s="3" t="str">
        <f>HYPERLINK("https://www.boe.es/gazeta/dias/1834/05/24/pdfs/GMD-1834-93.pdf#page=3","Abrir facsímil")</f>
        <v>Abrir facsímil</v>
      </c>
      <c r="K2839" s="3" t="s">
        <v>24</v>
      </c>
    </row>
    <row r="2840" spans="1:11" ht="54" customHeight="1">
      <c r="A2840" s="2" t="s">
        <v>6423</v>
      </c>
      <c r="B2840" s="2" t="s">
        <v>6423</v>
      </c>
      <c r="C2840" s="2" t="s">
        <v>122</v>
      </c>
      <c r="D2840" s="2" t="s">
        <v>18</v>
      </c>
      <c r="E2840" s="5" t="s">
        <v>793</v>
      </c>
      <c r="F2840" s="3" t="s">
        <v>794</v>
      </c>
      <c r="G2840" s="3" t="s">
        <v>21</v>
      </c>
      <c r="H2840" s="2" t="s">
        <v>22</v>
      </c>
      <c r="I2840" s="2" t="s">
        <v>6424</v>
      </c>
      <c r="J2840" s="3" t="str">
        <f>HYPERLINK("https://www.boe.es/gazeta/dias/1834/10/08/pdfs/GMD-1834-236.pdf#page=3","Abrir facsímil")</f>
        <v>Abrir facsímil</v>
      </c>
      <c r="K2840" s="3" t="s">
        <v>24</v>
      </c>
    </row>
    <row r="2841" spans="1:11" ht="54" customHeight="1">
      <c r="A2841" s="2" t="s">
        <v>6425</v>
      </c>
      <c r="B2841" s="2" t="s">
        <v>6425</v>
      </c>
      <c r="C2841" s="2" t="s">
        <v>46</v>
      </c>
      <c r="D2841" s="2" t="s">
        <v>18</v>
      </c>
      <c r="E2841" s="5" t="s">
        <v>41</v>
      </c>
      <c r="F2841" s="3" t="s">
        <v>42</v>
      </c>
      <c r="G2841" s="3" t="s">
        <v>86</v>
      </c>
      <c r="H2841" s="2" t="s">
        <v>22</v>
      </c>
      <c r="I2841" s="2" t="s">
        <v>6426</v>
      </c>
      <c r="J2841" s="3" t="str">
        <f>HYPERLINK("https://www.boe.es/gazeta/dias/1834/06/11/pdfs/GMD-1834-114.pdf#page=2","Abrir facsímil")</f>
        <v>Abrir facsímil</v>
      </c>
      <c r="K2841" s="3" t="s">
        <v>24</v>
      </c>
    </row>
    <row r="2842" spans="1:11" ht="54" customHeight="1">
      <c r="A2842" s="2" t="s">
        <v>6427</v>
      </c>
      <c r="B2842" s="2" t="s">
        <v>6428</v>
      </c>
      <c r="C2842" s="2" t="s">
        <v>17</v>
      </c>
      <c r="D2842" s="2" t="s">
        <v>18</v>
      </c>
      <c r="E2842" s="5" t="s">
        <v>696</v>
      </c>
      <c r="F2842" s="3" t="s">
        <v>854</v>
      </c>
      <c r="G2842" s="3" t="s">
        <v>75</v>
      </c>
      <c r="H2842" s="2" t="s">
        <v>22</v>
      </c>
      <c r="I2842" s="2" t="s">
        <v>6429</v>
      </c>
      <c r="J2842" s="3" t="str">
        <f>HYPERLINK("https://www.boe.es/gazeta/dias/1834/12/06/pdfs/GMD-1834-295.pdf#page=4","Abrir facsímil")</f>
        <v>Abrir facsímil</v>
      </c>
      <c r="K2842" s="3" t="s">
        <v>24</v>
      </c>
    </row>
    <row r="2843" spans="1:11" ht="54" customHeight="1">
      <c r="A2843" s="2" t="s">
        <v>6430</v>
      </c>
      <c r="B2843" s="2" t="s">
        <v>6430</v>
      </c>
      <c r="C2843" s="2" t="s">
        <v>17</v>
      </c>
      <c r="D2843" s="2" t="s">
        <v>18</v>
      </c>
      <c r="E2843" s="5" t="s">
        <v>1340</v>
      </c>
      <c r="F2843" s="3" t="s">
        <v>1341</v>
      </c>
      <c r="G2843" s="3" t="s">
        <v>34</v>
      </c>
      <c r="H2843" s="2" t="s">
        <v>22</v>
      </c>
      <c r="I2843" s="2" t="s">
        <v>6431</v>
      </c>
      <c r="J2843" s="3" t="str">
        <f>HYPERLINK("https://www.boe.es/gazeta/dias/1834/10/05/pdfs/GMD-C-1834-233.pdf#page=1","Abrir facsímil")</f>
        <v>Abrir facsímil</v>
      </c>
      <c r="K2843" s="3" t="s">
        <v>24</v>
      </c>
    </row>
    <row r="2844" spans="1:11" ht="54" customHeight="1">
      <c r="A2844" s="2" t="s">
        <v>6430</v>
      </c>
      <c r="B2844" s="2" t="s">
        <v>6430</v>
      </c>
      <c r="C2844" s="2" t="s">
        <v>17</v>
      </c>
      <c r="D2844" s="2" t="s">
        <v>18</v>
      </c>
      <c r="E2844" s="5" t="s">
        <v>672</v>
      </c>
      <c r="F2844" s="3" t="s">
        <v>1055</v>
      </c>
      <c r="G2844" s="3" t="s">
        <v>21</v>
      </c>
      <c r="H2844" s="2" t="s">
        <v>22</v>
      </c>
      <c r="I2844" s="2" t="s">
        <v>6432</v>
      </c>
      <c r="J2844" s="3" t="str">
        <f>HYPERLINK("https://www.boe.es/gazeta/dias/1834/09/19/pdfs/GMD-C-1834-217.pdf#page=3","Abrir facsímil")</f>
        <v>Abrir facsímil</v>
      </c>
      <c r="K2844" s="3" t="s">
        <v>24</v>
      </c>
    </row>
    <row r="2845" spans="1:11" ht="54" customHeight="1">
      <c r="A2845" s="2" t="s">
        <v>6433</v>
      </c>
      <c r="B2845" s="2" t="s">
        <v>6433</v>
      </c>
      <c r="C2845" s="2" t="s">
        <v>17</v>
      </c>
      <c r="D2845" s="2" t="s">
        <v>55</v>
      </c>
      <c r="E2845" s="5" t="s">
        <v>128</v>
      </c>
      <c r="F2845" s="3" t="s">
        <v>129</v>
      </c>
      <c r="G2845" s="3" t="s">
        <v>28</v>
      </c>
      <c r="H2845" s="2" t="s">
        <v>22</v>
      </c>
      <c r="I2845" s="2" t="s">
        <v>6434</v>
      </c>
      <c r="J2845" s="3" t="str">
        <f>HYPERLINK("https://www.boe.es/gazeta/dias/1834/12/24/pdfs/GMD-C-1834-314.pdf#page=5","Abrir facsímil")</f>
        <v>Abrir facsímil</v>
      </c>
      <c r="K2845" s="3" t="s">
        <v>24</v>
      </c>
    </row>
    <row r="2846" spans="1:11" ht="54" customHeight="1">
      <c r="A2846" s="2" t="s">
        <v>6435</v>
      </c>
      <c r="B2846" s="2" t="s">
        <v>6436</v>
      </c>
      <c r="C2846" s="2" t="s">
        <v>66</v>
      </c>
      <c r="D2846" s="2" t="s">
        <v>67</v>
      </c>
      <c r="E2846" s="5" t="s">
        <v>56</v>
      </c>
      <c r="F2846" s="3" t="s">
        <v>57</v>
      </c>
      <c r="G2846" s="3" t="s">
        <v>75</v>
      </c>
      <c r="H2846" s="2" t="s">
        <v>35</v>
      </c>
      <c r="I2846" s="2" t="s">
        <v>6437</v>
      </c>
      <c r="J2846" s="3" t="str">
        <f>HYPERLINK("https://www.boe.es/gazeta/dias/1834/07/09/pdfs/GMD-1834-142.pdf#page=4","Abrir facsímil")</f>
        <v>Abrir facsímil</v>
      </c>
      <c r="K2846" s="3" t="s">
        <v>37</v>
      </c>
    </row>
    <row r="2847" spans="1:11" ht="54" customHeight="1">
      <c r="A2847" s="2" t="s">
        <v>6438</v>
      </c>
      <c r="B2847" s="2" t="s">
        <v>6439</v>
      </c>
      <c r="C2847" s="2" t="s">
        <v>17</v>
      </c>
      <c r="D2847" s="2" t="s">
        <v>18</v>
      </c>
      <c r="E2847" s="5" t="s">
        <v>1922</v>
      </c>
      <c r="F2847" s="3" t="s">
        <v>1923</v>
      </c>
      <c r="G2847" s="3" t="s">
        <v>28</v>
      </c>
      <c r="H2847" s="2" t="s">
        <v>22</v>
      </c>
      <c r="I2847" s="2" t="s">
        <v>6440</v>
      </c>
      <c r="J2847" s="3" t="str">
        <f>HYPERLINK("https://www.boe.es/gazeta/dias/1834/02/25/pdfs/GMD-1834-25.pdf#page=5","Abrir facsímil")</f>
        <v>Abrir facsímil</v>
      </c>
      <c r="K2847" s="3" t="s">
        <v>24</v>
      </c>
    </row>
    <row r="2848" spans="1:11" ht="54" customHeight="1">
      <c r="A2848" s="2" t="s">
        <v>6441</v>
      </c>
      <c r="B2848" s="2" t="s">
        <v>6442</v>
      </c>
      <c r="C2848" s="2" t="s">
        <v>17</v>
      </c>
      <c r="D2848" s="2" t="s">
        <v>18</v>
      </c>
      <c r="E2848" s="5" t="s">
        <v>167</v>
      </c>
      <c r="F2848" s="3" t="s">
        <v>1200</v>
      </c>
      <c r="G2848" s="3" t="s">
        <v>560</v>
      </c>
      <c r="H2848" s="2" t="s">
        <v>22</v>
      </c>
      <c r="I2848" s="2" t="s">
        <v>6443</v>
      </c>
      <c r="J2848" s="3" t="str">
        <f>HYPERLINK("https://www.boe.es/gazeta/dias/1834/09/07/pdfs/GMD-C-1834-205.pdf#page=7","Abrir facsímil")</f>
        <v>Abrir facsímil</v>
      </c>
      <c r="K2848" s="3" t="s">
        <v>24</v>
      </c>
    </row>
    <row r="2849" spans="1:11" ht="54" customHeight="1">
      <c r="A2849" s="2" t="s">
        <v>6444</v>
      </c>
      <c r="B2849" s="2" t="s">
        <v>6444</v>
      </c>
      <c r="C2849" s="2" t="s">
        <v>17</v>
      </c>
      <c r="D2849" s="2" t="s">
        <v>18</v>
      </c>
      <c r="E2849" s="5" t="s">
        <v>1981</v>
      </c>
      <c r="F2849" s="3" t="s">
        <v>1982</v>
      </c>
      <c r="G2849" s="3" t="s">
        <v>86</v>
      </c>
      <c r="H2849" s="2" t="s">
        <v>22</v>
      </c>
      <c r="I2849" s="2" t="s">
        <v>6445</v>
      </c>
      <c r="J2849" s="3" t="str">
        <f>HYPERLINK("https://www.boe.es/gazeta/dias/1834/12/13/pdfs/GMD-1834-302.pdf#page=2","Abrir facsímil")</f>
        <v>Abrir facsímil</v>
      </c>
      <c r="K2849" s="3" t="s">
        <v>24</v>
      </c>
    </row>
    <row r="2850" spans="1:11" ht="54" customHeight="1">
      <c r="A2850" s="2" t="s">
        <v>6446</v>
      </c>
      <c r="B2850" s="2" t="s">
        <v>6446</v>
      </c>
      <c r="C2850" s="2" t="s">
        <v>17</v>
      </c>
      <c r="D2850" s="2" t="s">
        <v>18</v>
      </c>
      <c r="E2850" s="5" t="s">
        <v>1262</v>
      </c>
      <c r="F2850" s="3" t="s">
        <v>1263</v>
      </c>
      <c r="G2850" s="3" t="s">
        <v>86</v>
      </c>
      <c r="H2850" s="2" t="s">
        <v>22</v>
      </c>
      <c r="I2850" s="2" t="s">
        <v>6447</v>
      </c>
      <c r="J2850" s="3" t="str">
        <f>HYPERLINK("https://www.boe.es/gazeta/dias/1834/02/01/pdfs/GMD-1834-15.pdf#page=2","Abrir facsímil")</f>
        <v>Abrir facsímil</v>
      </c>
      <c r="K2850" s="3" t="s">
        <v>24</v>
      </c>
    </row>
    <row r="2851" spans="1:11" ht="54" customHeight="1">
      <c r="A2851" s="2" t="s">
        <v>6446</v>
      </c>
      <c r="B2851" s="2" t="s">
        <v>6446</v>
      </c>
      <c r="C2851" s="2" t="s">
        <v>46</v>
      </c>
      <c r="D2851" s="2" t="s">
        <v>18</v>
      </c>
      <c r="E2851" s="5" t="s">
        <v>3810</v>
      </c>
      <c r="F2851" s="3" t="s">
        <v>3811</v>
      </c>
      <c r="G2851" s="3" t="s">
        <v>86</v>
      </c>
      <c r="H2851" s="2" t="s">
        <v>22</v>
      </c>
      <c r="I2851" s="2" t="s">
        <v>6448</v>
      </c>
      <c r="J2851" s="3" t="str">
        <f>HYPERLINK("https://www.boe.es/gazeta/dias/1834/02/20/pdfs/GMD-1834-23.pdf#page=2","Abrir facsímil")</f>
        <v>Abrir facsímil</v>
      </c>
      <c r="K2851" s="3" t="s">
        <v>24</v>
      </c>
    </row>
    <row r="2852" spans="1:11" ht="54" customHeight="1">
      <c r="A2852" s="2" t="s">
        <v>6449</v>
      </c>
      <c r="B2852" s="2" t="s">
        <v>6449</v>
      </c>
      <c r="C2852" s="2" t="s">
        <v>17</v>
      </c>
      <c r="D2852" s="2" t="s">
        <v>55</v>
      </c>
      <c r="E2852" s="5" t="s">
        <v>739</v>
      </c>
      <c r="F2852" s="3" t="s">
        <v>740</v>
      </c>
      <c r="G2852" s="3" t="s">
        <v>86</v>
      </c>
      <c r="H2852" s="2" t="s">
        <v>22</v>
      </c>
      <c r="I2852" s="2" t="s">
        <v>6450</v>
      </c>
      <c r="J2852" s="3" t="str">
        <f>HYPERLINK("https://www.boe.es/gazeta/dias/1834/03/25/pdfs/GMD-1834-37.pdf#page=2","Abrir facsímil")</f>
        <v>Abrir facsímil</v>
      </c>
      <c r="K2852" s="3" t="s">
        <v>24</v>
      </c>
    </row>
    <row r="2853" spans="1:11" ht="54" customHeight="1">
      <c r="A2853" s="2" t="s">
        <v>6451</v>
      </c>
      <c r="B2853" s="2" t="s">
        <v>6451</v>
      </c>
      <c r="C2853" s="2" t="s">
        <v>17</v>
      </c>
      <c r="D2853" s="2" t="s">
        <v>18</v>
      </c>
      <c r="E2853" s="5" t="s">
        <v>1262</v>
      </c>
      <c r="F2853" s="3" t="s">
        <v>1263</v>
      </c>
      <c r="G2853" s="3" t="s">
        <v>86</v>
      </c>
      <c r="H2853" s="2" t="s">
        <v>22</v>
      </c>
      <c r="I2853" s="2" t="s">
        <v>6452</v>
      </c>
      <c r="J2853" s="3" t="str">
        <f>HYPERLINK("https://www.boe.es/gazeta/dias/1834/02/01/pdfs/GMD-1834-15.pdf#page=2","Abrir facsímil")</f>
        <v>Abrir facsímil</v>
      </c>
      <c r="K2853" s="3" t="s">
        <v>24</v>
      </c>
    </row>
    <row r="2854" spans="1:11" ht="54" customHeight="1">
      <c r="A2854" s="2" t="s">
        <v>6453</v>
      </c>
      <c r="B2854" s="2" t="s">
        <v>6454</v>
      </c>
      <c r="C2854" s="2" t="s">
        <v>17</v>
      </c>
      <c r="D2854" s="2" t="s">
        <v>18</v>
      </c>
      <c r="E2854" s="5" t="s">
        <v>3488</v>
      </c>
      <c r="F2854" s="3" t="s">
        <v>3489</v>
      </c>
      <c r="G2854" s="3" t="s">
        <v>21</v>
      </c>
      <c r="H2854" s="2" t="s">
        <v>35</v>
      </c>
      <c r="I2854" s="2" t="s">
        <v>6455</v>
      </c>
      <c r="J2854" s="3" t="str">
        <f>HYPERLINK("https://www.boe.es/gazeta/dias/1834/06/22/pdfs/GMD-1834-125.pdf#page=3","Abrir facsímil")</f>
        <v>Abrir facsímil</v>
      </c>
      <c r="K2854" s="3" t="s">
        <v>37</v>
      </c>
    </row>
    <row r="2855" spans="1:11" ht="54" customHeight="1">
      <c r="A2855" s="2" t="s">
        <v>6456</v>
      </c>
      <c r="B2855" s="2" t="s">
        <v>6456</v>
      </c>
      <c r="C2855" s="2" t="s">
        <v>17</v>
      </c>
      <c r="D2855" s="2" t="s">
        <v>101</v>
      </c>
      <c r="E2855" s="5" t="s">
        <v>1839</v>
      </c>
      <c r="F2855" s="3" t="s">
        <v>1840</v>
      </c>
      <c r="G2855" s="3" t="s">
        <v>34</v>
      </c>
      <c r="H2855" s="2" t="s">
        <v>22</v>
      </c>
      <c r="I2855" s="2" t="s">
        <v>6457</v>
      </c>
      <c r="J2855" s="3" t="str">
        <f>HYPERLINK("https://www.boe.es/gazeta/dias/1834/08/12/pdfs/GMD-C-1834-177.pdf#page=1","Abrir facsímil")</f>
        <v>Abrir facsímil</v>
      </c>
      <c r="K2855" s="3" t="s">
        <v>24</v>
      </c>
    </row>
    <row r="2856" spans="1:11" ht="54" customHeight="1">
      <c r="A2856" s="2" t="s">
        <v>6458</v>
      </c>
      <c r="B2856" s="2" t="s">
        <v>6458</v>
      </c>
      <c r="C2856" s="2" t="s">
        <v>17</v>
      </c>
      <c r="D2856" s="2" t="s">
        <v>18</v>
      </c>
      <c r="E2856" s="5" t="s">
        <v>860</v>
      </c>
      <c r="F2856" s="3" t="s">
        <v>861</v>
      </c>
      <c r="G2856" s="3" t="s">
        <v>176</v>
      </c>
      <c r="H2856" s="2" t="s">
        <v>22</v>
      </c>
      <c r="I2856" s="2" t="s">
        <v>6459</v>
      </c>
      <c r="J2856" s="3" t="str">
        <f>HYPERLINK("https://www.boe.es/gazeta/dias/1834/02/08/pdfs/GMD-1834-18.pdf#page=6","Abrir facsímil")</f>
        <v>Abrir facsímil</v>
      </c>
      <c r="K2856" s="3" t="s">
        <v>24</v>
      </c>
    </row>
    <row r="2857" spans="1:11" ht="54" customHeight="1">
      <c r="A2857" s="2" t="s">
        <v>6460</v>
      </c>
      <c r="B2857" s="2" t="s">
        <v>6460</v>
      </c>
      <c r="C2857" s="2" t="s">
        <v>17</v>
      </c>
      <c r="D2857" s="2" t="s">
        <v>18</v>
      </c>
      <c r="E2857" s="5" t="s">
        <v>707</v>
      </c>
      <c r="F2857" s="3" t="s">
        <v>708</v>
      </c>
      <c r="G2857" s="3" t="s">
        <v>34</v>
      </c>
      <c r="H2857" s="2" t="s">
        <v>22</v>
      </c>
      <c r="I2857" s="2" t="s">
        <v>6461</v>
      </c>
      <c r="J2857" s="3" t="str">
        <f>HYPERLINK("https://www.boe.es/gazeta/dias/1834/11/25/pdfs/GMD-C-1834-284.pdf#page=1","Abrir facsímil")</f>
        <v>Abrir facsímil</v>
      </c>
      <c r="K2857" s="3" t="s">
        <v>24</v>
      </c>
    </row>
    <row r="2858" spans="1:11" ht="54" customHeight="1">
      <c r="A2858" s="2" t="s">
        <v>6462</v>
      </c>
      <c r="B2858" s="2" t="s">
        <v>6462</v>
      </c>
      <c r="C2858" s="2" t="s">
        <v>90</v>
      </c>
      <c r="D2858" s="2" t="s">
        <v>18</v>
      </c>
      <c r="E2858" s="5" t="s">
        <v>237</v>
      </c>
      <c r="F2858" s="3" t="s">
        <v>238</v>
      </c>
      <c r="G2858" s="3" t="s">
        <v>34</v>
      </c>
      <c r="H2858" s="2" t="s">
        <v>22</v>
      </c>
      <c r="I2858" s="2" t="s">
        <v>6463</v>
      </c>
      <c r="J2858" s="3" t="str">
        <f>HYPERLINK("https://www.boe.es/gazeta/dias/1834/08/15/pdfs/GMD-C-1834-180.pdf#page=1","Abrir facsímil")</f>
        <v>Abrir facsímil</v>
      </c>
      <c r="K2858" s="3" t="s">
        <v>24</v>
      </c>
    </row>
    <row r="2859" spans="1:11" ht="54" customHeight="1">
      <c r="A2859" s="2" t="s">
        <v>6462</v>
      </c>
      <c r="B2859" s="2" t="s">
        <v>6462</v>
      </c>
      <c r="C2859" s="2" t="s">
        <v>66</v>
      </c>
      <c r="D2859" s="2" t="s">
        <v>67</v>
      </c>
      <c r="E2859" s="5" t="s">
        <v>1641</v>
      </c>
      <c r="F2859" s="3" t="s">
        <v>1729</v>
      </c>
      <c r="G2859" s="3" t="s">
        <v>21</v>
      </c>
      <c r="H2859" s="2" t="s">
        <v>22</v>
      </c>
      <c r="I2859" s="2" t="s">
        <v>6464</v>
      </c>
      <c r="J2859" s="3" t="str">
        <f>HYPERLINK("https://www.boe.es/gazeta/dias/1834/09/28/pdfs/GMD-1834-226.pdf#page=3","Abrir facsímil")</f>
        <v>Abrir facsímil</v>
      </c>
      <c r="K2859" s="3" t="s">
        <v>24</v>
      </c>
    </row>
    <row r="2860" spans="1:11" ht="54" customHeight="1">
      <c r="A2860" s="2" t="s">
        <v>6465</v>
      </c>
      <c r="B2860" s="2" t="s">
        <v>6465</v>
      </c>
      <c r="C2860" s="2" t="s">
        <v>90</v>
      </c>
      <c r="D2860" s="2" t="s">
        <v>67</v>
      </c>
      <c r="E2860" s="5" t="s">
        <v>1103</v>
      </c>
      <c r="F2860" s="3" t="s">
        <v>1104</v>
      </c>
      <c r="G2860" s="3" t="s">
        <v>86</v>
      </c>
      <c r="H2860" s="2" t="s">
        <v>22</v>
      </c>
      <c r="I2860" s="2" t="s">
        <v>6466</v>
      </c>
      <c r="J2860" s="3" t="str">
        <f>HYPERLINK("https://www.boe.es/gazeta/dias/1834/10/10/pdfs/GMD-C-1834-238.pdf#page=2","Abrir facsímil")</f>
        <v>Abrir facsímil</v>
      </c>
      <c r="K2860" s="3" t="s">
        <v>24</v>
      </c>
    </row>
    <row r="2861" spans="1:11" ht="54" customHeight="1">
      <c r="A2861" s="2" t="s">
        <v>6467</v>
      </c>
      <c r="B2861" s="2" t="s">
        <v>6468</v>
      </c>
      <c r="C2861" s="2" t="s">
        <v>90</v>
      </c>
      <c r="D2861" s="2" t="s">
        <v>18</v>
      </c>
      <c r="E2861" s="5" t="s">
        <v>237</v>
      </c>
      <c r="F2861" s="3" t="s">
        <v>238</v>
      </c>
      <c r="G2861" s="3" t="s">
        <v>34</v>
      </c>
      <c r="H2861" s="2" t="s">
        <v>35</v>
      </c>
      <c r="I2861" s="2" t="s">
        <v>6469</v>
      </c>
      <c r="J2861" s="3" t="str">
        <f>HYPERLINK("https://www.boe.es/gazeta/dias/1834/08/15/pdfs/GMD-C-1834-180.pdf#page=1","Abrir facsímil")</f>
        <v>Abrir facsímil</v>
      </c>
      <c r="K2861" s="3" t="s">
        <v>37</v>
      </c>
    </row>
    <row r="2862" spans="1:11" ht="54" customHeight="1">
      <c r="A2862" s="2" t="s">
        <v>6470</v>
      </c>
      <c r="B2862" s="2" t="s">
        <v>6470</v>
      </c>
      <c r="C2862" s="2" t="s">
        <v>46</v>
      </c>
      <c r="D2862" s="2" t="s">
        <v>55</v>
      </c>
      <c r="E2862" s="5" t="s">
        <v>1922</v>
      </c>
      <c r="F2862" s="3" t="s">
        <v>1923</v>
      </c>
      <c r="G2862" s="3" t="s">
        <v>21</v>
      </c>
      <c r="H2862" s="2" t="s">
        <v>22</v>
      </c>
      <c r="I2862" s="2" t="s">
        <v>6471</v>
      </c>
      <c r="J2862" s="3" t="str">
        <f>HYPERLINK("https://www.boe.es/gazeta/dias/1834/02/25/pdfs/GMD-1834-25.pdf#page=3","Abrir facsímil")</f>
        <v>Abrir facsímil</v>
      </c>
      <c r="K2862" s="3" t="s">
        <v>24</v>
      </c>
    </row>
    <row r="2863" spans="1:11" ht="54" customHeight="1">
      <c r="A2863" s="2" t="s">
        <v>6472</v>
      </c>
      <c r="B2863" s="2" t="s">
        <v>6473</v>
      </c>
      <c r="C2863" s="2" t="s">
        <v>122</v>
      </c>
      <c r="D2863" s="2" t="s">
        <v>18</v>
      </c>
      <c r="E2863" s="5" t="s">
        <v>143</v>
      </c>
      <c r="F2863" s="3" t="s">
        <v>144</v>
      </c>
      <c r="G2863" s="3" t="s">
        <v>21</v>
      </c>
      <c r="H2863" s="2" t="s">
        <v>22</v>
      </c>
      <c r="I2863" s="2" t="s">
        <v>6474</v>
      </c>
      <c r="J2863" s="3" t="str">
        <f>HYPERLINK("https://www.boe.es/gazeta/dias/1834/07/31/pdfs/GMD-1834-164.pdf#page=3","Abrir facsímil")</f>
        <v>Abrir facsímil</v>
      </c>
      <c r="K2863" s="3" t="s">
        <v>24</v>
      </c>
    </row>
    <row r="2864" spans="1:11" ht="54" customHeight="1">
      <c r="A2864" s="2" t="s">
        <v>6475</v>
      </c>
      <c r="B2864" s="2" t="s">
        <v>6476</v>
      </c>
      <c r="C2864" s="2" t="s">
        <v>66</v>
      </c>
      <c r="D2864" s="2" t="s">
        <v>67</v>
      </c>
      <c r="E2864" s="5" t="s">
        <v>653</v>
      </c>
      <c r="F2864" s="3" t="s">
        <v>654</v>
      </c>
      <c r="G2864" s="3" t="s">
        <v>21</v>
      </c>
      <c r="H2864" s="2" t="s">
        <v>22</v>
      </c>
      <c r="I2864" s="2" t="s">
        <v>6477</v>
      </c>
      <c r="J2864" s="3" t="str">
        <f>HYPERLINK("https://www.boe.es/gazeta/dias/1834/08/06/pdfs/GMD-C-1834-170.pdf#page=3","Abrir facsímil")</f>
        <v>Abrir facsímil</v>
      </c>
      <c r="K2864" s="3" t="s">
        <v>24</v>
      </c>
    </row>
    <row r="2865" spans="1:11" ht="54" customHeight="1">
      <c r="A2865" s="2" t="s">
        <v>6478</v>
      </c>
      <c r="B2865" s="2" t="s">
        <v>6478</v>
      </c>
      <c r="C2865" s="2" t="s">
        <v>17</v>
      </c>
      <c r="D2865" s="2" t="s">
        <v>18</v>
      </c>
      <c r="E2865" s="5" t="s">
        <v>576</v>
      </c>
      <c r="F2865" s="3" t="s">
        <v>5888</v>
      </c>
      <c r="G2865" s="3" t="s">
        <v>28</v>
      </c>
      <c r="H2865" s="2" t="s">
        <v>22</v>
      </c>
      <c r="I2865" s="2" t="s">
        <v>6479</v>
      </c>
      <c r="J2865" s="3" t="str">
        <f>HYPERLINK("https://www.boe.es/gazeta/dias/1834/09/23/pdfs/GMD-C-1834-221.pdf#page=5","Abrir facsímil")</f>
        <v>Abrir facsímil</v>
      </c>
      <c r="K2865" s="3" t="s">
        <v>24</v>
      </c>
    </row>
    <row r="2866" spans="1:11" ht="54" customHeight="1">
      <c r="A2866" s="2" t="s">
        <v>6480</v>
      </c>
      <c r="B2866" s="2" t="s">
        <v>6481</v>
      </c>
      <c r="C2866" s="2" t="s">
        <v>17</v>
      </c>
      <c r="D2866" s="2" t="s">
        <v>40</v>
      </c>
      <c r="E2866" s="5" t="s">
        <v>3499</v>
      </c>
      <c r="F2866" s="3" t="s">
        <v>3500</v>
      </c>
      <c r="G2866" s="3" t="s">
        <v>75</v>
      </c>
      <c r="H2866" s="2" t="s">
        <v>22</v>
      </c>
      <c r="I2866" s="2" t="s">
        <v>6482</v>
      </c>
      <c r="J2866" s="3" t="str">
        <f>HYPERLINK("https://www.boe.es/gazeta/dias/1834/01/28/pdfs/GMD-1834-13.pdf#page=4","Abrir facsímil")</f>
        <v>Abrir facsímil</v>
      </c>
      <c r="K2866" s="3" t="s">
        <v>24</v>
      </c>
    </row>
    <row r="2867" spans="1:11" ht="54" customHeight="1">
      <c r="A2867" s="2" t="s">
        <v>6483</v>
      </c>
      <c r="B2867" s="2" t="s">
        <v>6484</v>
      </c>
      <c r="C2867" s="2" t="s">
        <v>46</v>
      </c>
      <c r="D2867" s="2" t="s">
        <v>55</v>
      </c>
      <c r="E2867" s="5" t="s">
        <v>280</v>
      </c>
      <c r="F2867" s="3" t="s">
        <v>3217</v>
      </c>
      <c r="G2867" s="3" t="s">
        <v>21</v>
      </c>
      <c r="H2867" s="2" t="s">
        <v>35</v>
      </c>
      <c r="I2867" s="2" t="s">
        <v>6485</v>
      </c>
      <c r="J2867" s="3" t="str">
        <f>HYPERLINK("https://www.boe.es/gazeta/dias/1834/08/29/pdfs/GMD-1834-195.pdf#page=3","Abrir facsímil")</f>
        <v>Abrir facsímil</v>
      </c>
      <c r="K2867" s="3" t="s">
        <v>37</v>
      </c>
    </row>
    <row r="2868" spans="1:11" ht="54" customHeight="1">
      <c r="A2868" s="2" t="s">
        <v>6486</v>
      </c>
      <c r="B2868" s="2" t="s">
        <v>6487</v>
      </c>
      <c r="C2868" s="2" t="s">
        <v>46</v>
      </c>
      <c r="D2868" s="2" t="s">
        <v>55</v>
      </c>
      <c r="E2868" s="5" t="s">
        <v>280</v>
      </c>
      <c r="F2868" s="3" t="s">
        <v>3217</v>
      </c>
      <c r="G2868" s="3" t="s">
        <v>21</v>
      </c>
      <c r="H2868" s="2" t="s">
        <v>22</v>
      </c>
      <c r="I2868" s="2" t="s">
        <v>6488</v>
      </c>
      <c r="J2868" s="3" t="str">
        <f>HYPERLINK("https://www.boe.es/gazeta/dias/1834/08/29/pdfs/GMD-1834-195.pdf#page=3","Abrir facsímil")</f>
        <v>Abrir facsímil</v>
      </c>
      <c r="K2868" s="3" t="s">
        <v>24</v>
      </c>
    </row>
    <row r="2869" spans="1:11" ht="54" customHeight="1">
      <c r="A2869" s="2" t="s">
        <v>6489</v>
      </c>
      <c r="B2869" s="2" t="s">
        <v>6490</v>
      </c>
      <c r="C2869" s="2" t="s">
        <v>66</v>
      </c>
      <c r="D2869" s="2" t="s">
        <v>67</v>
      </c>
      <c r="E2869" s="5" t="s">
        <v>1119</v>
      </c>
      <c r="F2869" s="3" t="s">
        <v>1120</v>
      </c>
      <c r="G2869" s="3" t="s">
        <v>21</v>
      </c>
      <c r="H2869" s="2" t="s">
        <v>22</v>
      </c>
      <c r="I2869" s="2" t="s">
        <v>6491</v>
      </c>
      <c r="J2869" s="3" t="str">
        <f>HYPERLINK("https://www.boe.es/gazeta/dias/1834/07/17/pdfs/GMD-1834-150.pdf#page=3","Abrir facsímil")</f>
        <v>Abrir facsímil</v>
      </c>
      <c r="K2869" s="3" t="s">
        <v>24</v>
      </c>
    </row>
    <row r="2870" spans="1:11" ht="54" customHeight="1">
      <c r="A2870" s="2" t="s">
        <v>6492</v>
      </c>
      <c r="B2870" s="2" t="s">
        <v>6493</v>
      </c>
      <c r="C2870" s="2" t="s">
        <v>66</v>
      </c>
      <c r="D2870" s="2" t="s">
        <v>67</v>
      </c>
      <c r="E2870" s="5" t="s">
        <v>5435</v>
      </c>
      <c r="F2870" s="3" t="s">
        <v>5436</v>
      </c>
      <c r="G2870" s="3" t="s">
        <v>21</v>
      </c>
      <c r="H2870" s="2" t="s">
        <v>35</v>
      </c>
      <c r="I2870" s="2" t="s">
        <v>6494</v>
      </c>
      <c r="J2870" s="3" t="str">
        <f>HYPERLINK("https://www.boe.es/gazeta/dias/1834/05/11/pdfs/GMD-1834-80.pdf#page=3","Abrir facsímil")</f>
        <v>Abrir facsímil</v>
      </c>
      <c r="K2870" s="3" t="s">
        <v>37</v>
      </c>
    </row>
    <row r="2871" spans="1:11" ht="54" customHeight="1">
      <c r="A2871" s="2" t="s">
        <v>6495</v>
      </c>
      <c r="B2871" s="2" t="s">
        <v>6496</v>
      </c>
      <c r="C2871" s="2" t="s">
        <v>66</v>
      </c>
      <c r="D2871" s="2" t="s">
        <v>67</v>
      </c>
      <c r="E2871" s="5" t="s">
        <v>5435</v>
      </c>
      <c r="F2871" s="3" t="s">
        <v>5436</v>
      </c>
      <c r="G2871" s="3" t="s">
        <v>21</v>
      </c>
      <c r="H2871" s="2" t="s">
        <v>22</v>
      </c>
      <c r="I2871" s="2" t="s">
        <v>6497</v>
      </c>
      <c r="J2871" s="3" t="str">
        <f>HYPERLINK("https://www.boe.es/gazeta/dias/1834/05/11/pdfs/GMD-1834-80.pdf#page=3","Abrir facsímil")</f>
        <v>Abrir facsímil</v>
      </c>
      <c r="K2871" s="3" t="s">
        <v>24</v>
      </c>
    </row>
    <row r="2872" spans="1:11" ht="54" customHeight="1">
      <c r="A2872" s="2" t="s">
        <v>6498</v>
      </c>
      <c r="B2872" s="2" t="s">
        <v>6499</v>
      </c>
      <c r="C2872" s="2" t="s">
        <v>90</v>
      </c>
      <c r="D2872" s="2" t="s">
        <v>67</v>
      </c>
      <c r="E2872" s="5" t="s">
        <v>863</v>
      </c>
      <c r="F2872" s="3" t="s">
        <v>864</v>
      </c>
      <c r="G2872" s="3" t="s">
        <v>86</v>
      </c>
      <c r="H2872" s="2" t="s">
        <v>22</v>
      </c>
      <c r="I2872" s="2" t="s">
        <v>6500</v>
      </c>
      <c r="J2872" s="3" t="str">
        <f>HYPERLINK("https://www.boe.es/gazeta/dias/1834/09/15/pdfs/GMD-1834-213.pdf#page=2","Abrir facsímil")</f>
        <v>Abrir facsímil</v>
      </c>
      <c r="K2872" s="3" t="s">
        <v>24</v>
      </c>
    </row>
    <row r="2873" spans="1:11" ht="54" customHeight="1">
      <c r="A2873" s="2" t="s">
        <v>6501</v>
      </c>
      <c r="B2873" s="2" t="s">
        <v>6502</v>
      </c>
      <c r="C2873" s="2" t="s">
        <v>66</v>
      </c>
      <c r="D2873" s="2" t="s">
        <v>67</v>
      </c>
      <c r="E2873" s="5" t="s">
        <v>3952</v>
      </c>
      <c r="F2873" s="3" t="s">
        <v>3953</v>
      </c>
      <c r="G2873" s="3" t="s">
        <v>176</v>
      </c>
      <c r="H2873" s="2" t="s">
        <v>22</v>
      </c>
      <c r="I2873" s="2" t="s">
        <v>6503</v>
      </c>
      <c r="J2873" s="3" t="str">
        <f>HYPERLINK("https://www.boe.es/gazeta/dias/1834/02/22/pdfs/GMD-1834-24.pdf#page=6","Abrir facsímil")</f>
        <v>Abrir facsímil</v>
      </c>
      <c r="K2873" s="3" t="s">
        <v>24</v>
      </c>
    </row>
    <row r="2874" spans="1:11" ht="54" customHeight="1">
      <c r="A2874" s="2" t="s">
        <v>6504</v>
      </c>
      <c r="B2874" s="2" t="s">
        <v>6505</v>
      </c>
      <c r="C2874" s="2" t="s">
        <v>90</v>
      </c>
      <c r="D2874" s="2" t="s">
        <v>18</v>
      </c>
      <c r="E2874" s="5" t="s">
        <v>4814</v>
      </c>
      <c r="F2874" s="3" t="s">
        <v>4815</v>
      </c>
      <c r="G2874" s="3" t="s">
        <v>34</v>
      </c>
      <c r="H2874" s="2" t="s">
        <v>22</v>
      </c>
      <c r="I2874" s="2" t="s">
        <v>6506</v>
      </c>
      <c r="J2874" s="3" t="str">
        <f>HYPERLINK("https://www.boe.es/gazeta/dias/1834/06/05/pdfs/GMD-1834-107.pdf#page=1","Abrir facsímil")</f>
        <v>Abrir facsímil</v>
      </c>
      <c r="K2874" s="3" t="s">
        <v>24</v>
      </c>
    </row>
    <row r="2875" spans="1:11" ht="54" customHeight="1">
      <c r="A2875" s="2" t="s">
        <v>6507</v>
      </c>
      <c r="B2875" s="2" t="s">
        <v>6508</v>
      </c>
      <c r="C2875" s="2" t="s">
        <v>17</v>
      </c>
      <c r="D2875" s="2" t="s">
        <v>18</v>
      </c>
      <c r="E2875" s="5" t="s">
        <v>143</v>
      </c>
      <c r="F2875" s="3" t="s">
        <v>144</v>
      </c>
      <c r="G2875" s="3" t="s">
        <v>21</v>
      </c>
      <c r="H2875" s="2" t="s">
        <v>22</v>
      </c>
      <c r="I2875" s="2" t="s">
        <v>6509</v>
      </c>
      <c r="J2875" s="3" t="str">
        <f>HYPERLINK("https://www.boe.es/gazeta/dias/1834/07/31/pdfs/GMD-1834-164.pdf#page=3","Abrir facsímil")</f>
        <v>Abrir facsímil</v>
      </c>
      <c r="K2875" s="3" t="s">
        <v>24</v>
      </c>
    </row>
    <row r="2876" spans="1:11" ht="54" customHeight="1">
      <c r="A2876" s="2" t="s">
        <v>6510</v>
      </c>
      <c r="B2876" s="2" t="s">
        <v>6511</v>
      </c>
      <c r="C2876" s="2" t="s">
        <v>17</v>
      </c>
      <c r="D2876" s="2" t="s">
        <v>18</v>
      </c>
      <c r="E2876" s="5" t="s">
        <v>3328</v>
      </c>
      <c r="F2876" s="3" t="s">
        <v>3329</v>
      </c>
      <c r="G2876" s="3" t="s">
        <v>75</v>
      </c>
      <c r="H2876" s="2" t="s">
        <v>35</v>
      </c>
      <c r="I2876" s="2" t="s">
        <v>6512</v>
      </c>
      <c r="J2876" s="3" t="str">
        <f>HYPERLINK("https://www.boe.es/gazeta/dias/1834/06/04/pdfs/GMD-1834-106.pdf#page=4","Abrir facsímil")</f>
        <v>Abrir facsímil</v>
      </c>
      <c r="K2876" s="3" t="s">
        <v>37</v>
      </c>
    </row>
    <row r="2877" spans="1:11" ht="54" customHeight="1">
      <c r="A2877" s="2" t="s">
        <v>6513</v>
      </c>
      <c r="B2877" s="2" t="s">
        <v>6514</v>
      </c>
      <c r="C2877" s="2" t="s">
        <v>17</v>
      </c>
      <c r="D2877" s="2" t="s">
        <v>18</v>
      </c>
      <c r="E2877" s="5" t="s">
        <v>3328</v>
      </c>
      <c r="F2877" s="3" t="s">
        <v>3329</v>
      </c>
      <c r="G2877" s="3" t="s">
        <v>75</v>
      </c>
      <c r="H2877" s="2" t="s">
        <v>22</v>
      </c>
      <c r="I2877" s="2" t="s">
        <v>6515</v>
      </c>
      <c r="J2877" s="3" t="str">
        <f>HYPERLINK("https://www.boe.es/gazeta/dias/1834/06/04/pdfs/GMD-1834-106.pdf#page=4","Abrir facsímil")</f>
        <v>Abrir facsímil</v>
      </c>
      <c r="K2877" s="3" t="s">
        <v>24</v>
      </c>
    </row>
    <row r="2878" spans="1:11" ht="54" customHeight="1">
      <c r="A2878" s="2" t="s">
        <v>6516</v>
      </c>
      <c r="B2878" s="2" t="s">
        <v>6517</v>
      </c>
      <c r="C2878" s="2" t="s">
        <v>90</v>
      </c>
      <c r="D2878" s="2" t="s">
        <v>18</v>
      </c>
      <c r="E2878" s="5" t="s">
        <v>1575</v>
      </c>
      <c r="F2878" s="3" t="s">
        <v>1576</v>
      </c>
      <c r="G2878" s="3" t="s">
        <v>34</v>
      </c>
      <c r="H2878" s="2" t="s">
        <v>22</v>
      </c>
      <c r="I2878" s="2" t="s">
        <v>6518</v>
      </c>
      <c r="J2878" s="3" t="str">
        <f>HYPERLINK("https://www.boe.es/gazeta/dias/1834/11/24/pdfs/GMD-1834-283.pdf#page=1","Abrir facsímil")</f>
        <v>Abrir facsímil</v>
      </c>
      <c r="K2878" s="3" t="s">
        <v>24</v>
      </c>
    </row>
    <row r="2879" spans="1:11" ht="54" customHeight="1">
      <c r="A2879" s="2" t="s">
        <v>6519</v>
      </c>
      <c r="B2879" s="2" t="s">
        <v>6519</v>
      </c>
      <c r="C2879" s="2" t="s">
        <v>46</v>
      </c>
      <c r="D2879" s="2" t="s">
        <v>101</v>
      </c>
      <c r="E2879" s="5" t="s">
        <v>2212</v>
      </c>
      <c r="F2879" s="3" t="s">
        <v>5450</v>
      </c>
      <c r="G2879" s="3" t="s">
        <v>21</v>
      </c>
      <c r="H2879" s="2" t="s">
        <v>22</v>
      </c>
      <c r="I2879" s="2" t="s">
        <v>6520</v>
      </c>
      <c r="J2879" s="3" t="str">
        <f>HYPERLINK("https://www.boe.es/gazeta/dias/1834/08/04/pdfs/GMD-1834-168.pdf#page=3","Abrir facsímil")</f>
        <v>Abrir facsímil</v>
      </c>
      <c r="K2879" s="3" t="s">
        <v>24</v>
      </c>
    </row>
    <row r="2880" spans="1:11" ht="54" customHeight="1">
      <c r="A2880" s="2" t="s">
        <v>6521</v>
      </c>
      <c r="B2880" s="2" t="s">
        <v>6522</v>
      </c>
      <c r="C2880" s="2" t="s">
        <v>17</v>
      </c>
      <c r="D2880" s="2" t="s">
        <v>40</v>
      </c>
      <c r="E2880" s="5" t="s">
        <v>1002</v>
      </c>
      <c r="F2880" s="3" t="s">
        <v>1003</v>
      </c>
      <c r="G2880" s="3" t="s">
        <v>75</v>
      </c>
      <c r="H2880" s="2" t="s">
        <v>22</v>
      </c>
      <c r="I2880" s="2" t="s">
        <v>6523</v>
      </c>
      <c r="J2880" s="3" t="str">
        <f>HYPERLINK("https://www.boe.es/gazeta/dias/1834/06/26/pdfs/GMD-1834-129.pdf#page=4","Abrir facsímil")</f>
        <v>Abrir facsímil</v>
      </c>
      <c r="K2880" s="3" t="s">
        <v>24</v>
      </c>
    </row>
    <row r="2881" spans="1:11" ht="54" customHeight="1">
      <c r="A2881" s="2" t="s">
        <v>6524</v>
      </c>
      <c r="B2881" s="2" t="s">
        <v>6525</v>
      </c>
      <c r="C2881" s="2" t="s">
        <v>66</v>
      </c>
      <c r="D2881" s="2" t="s">
        <v>67</v>
      </c>
      <c r="E2881" s="5" t="s">
        <v>976</v>
      </c>
      <c r="F2881" s="3" t="s">
        <v>1061</v>
      </c>
      <c r="G2881" s="3" t="s">
        <v>86</v>
      </c>
      <c r="H2881" s="2" t="s">
        <v>22</v>
      </c>
      <c r="I2881" s="2" t="s">
        <v>6526</v>
      </c>
      <c r="J2881" s="3" t="str">
        <f>HYPERLINK("https://www.boe.es/gazeta/dias/1834/04/02/pdfs/GMD-C-1834-41.pdf#page=2","Abrir facsímil")</f>
        <v>Abrir facsímil</v>
      </c>
      <c r="K2881" s="3" t="s">
        <v>24</v>
      </c>
    </row>
    <row r="2882" spans="1:11" ht="54" customHeight="1">
      <c r="A2882" s="2" t="s">
        <v>6527</v>
      </c>
      <c r="B2882" s="2" t="s">
        <v>6528</v>
      </c>
      <c r="C2882" s="2" t="s">
        <v>17</v>
      </c>
      <c r="D2882" s="2" t="s">
        <v>18</v>
      </c>
      <c r="E2882" s="5" t="s">
        <v>844</v>
      </c>
      <c r="F2882" s="3" t="s">
        <v>845</v>
      </c>
      <c r="G2882" s="3" t="s">
        <v>75</v>
      </c>
      <c r="H2882" s="2" t="s">
        <v>22</v>
      </c>
      <c r="I2882" s="2" t="s">
        <v>6529</v>
      </c>
      <c r="J2882" s="3" t="str">
        <f>HYPERLINK("https://www.boe.es/gazeta/dias/1834/03/13/pdfs/GMD-1834-32.pdf#page=4","Abrir facsímil")</f>
        <v>Abrir facsímil</v>
      </c>
      <c r="K2882" s="3" t="s">
        <v>24</v>
      </c>
    </row>
    <row r="2883" spans="1:11" ht="54" customHeight="1">
      <c r="A2883" s="2" t="s">
        <v>6530</v>
      </c>
      <c r="B2883" s="2" t="s">
        <v>6531</v>
      </c>
      <c r="C2883" s="2" t="s">
        <v>17</v>
      </c>
      <c r="D2883" s="2" t="s">
        <v>18</v>
      </c>
      <c r="E2883" s="5" t="s">
        <v>844</v>
      </c>
      <c r="F2883" s="3" t="s">
        <v>845</v>
      </c>
      <c r="G2883" s="3" t="s">
        <v>75</v>
      </c>
      <c r="H2883" s="2" t="s">
        <v>22</v>
      </c>
      <c r="I2883" s="2" t="s">
        <v>6532</v>
      </c>
      <c r="J2883" s="3" t="str">
        <f>HYPERLINK("https://www.boe.es/gazeta/dias/1834/03/13/pdfs/GMD-1834-32.pdf#page=4","Abrir facsímil")</f>
        <v>Abrir facsímil</v>
      </c>
      <c r="K2883" s="3" t="s">
        <v>24</v>
      </c>
    </row>
    <row r="2884" spans="1:11" ht="54" customHeight="1">
      <c r="A2884" s="2" t="s">
        <v>6533</v>
      </c>
      <c r="B2884" s="2" t="s">
        <v>6534</v>
      </c>
      <c r="C2884" s="2" t="s">
        <v>17</v>
      </c>
      <c r="D2884" s="2" t="s">
        <v>18</v>
      </c>
      <c r="E2884" s="5" t="s">
        <v>571</v>
      </c>
      <c r="F2884" s="3" t="s">
        <v>620</v>
      </c>
      <c r="G2884" s="3" t="s">
        <v>21</v>
      </c>
      <c r="H2884" s="2" t="s">
        <v>22</v>
      </c>
      <c r="I2884" s="2" t="s">
        <v>6535</v>
      </c>
      <c r="J2884" s="3" t="str">
        <f>HYPERLINK("https://www.boe.es/gazeta/dias/1834/09/04/pdfs/GMD-C-1834-202.pdf#page=3","Abrir facsímil")</f>
        <v>Abrir facsímil</v>
      </c>
      <c r="K2884" s="3" t="s">
        <v>24</v>
      </c>
    </row>
    <row r="2885" spans="1:11" ht="54" customHeight="1">
      <c r="A2885" s="2" t="s">
        <v>6536</v>
      </c>
      <c r="B2885" s="2" t="s">
        <v>6537</v>
      </c>
      <c r="C2885" s="2" t="s">
        <v>90</v>
      </c>
      <c r="D2885" s="2" t="s">
        <v>18</v>
      </c>
      <c r="E2885" s="5" t="s">
        <v>777</v>
      </c>
      <c r="F2885" s="3" t="s">
        <v>778</v>
      </c>
      <c r="G2885" s="3" t="s">
        <v>75</v>
      </c>
      <c r="H2885" s="2" t="s">
        <v>22</v>
      </c>
      <c r="I2885" s="2" t="s">
        <v>6538</v>
      </c>
      <c r="J2885" s="3" t="str">
        <f>HYPERLINK("https://www.boe.es/gazeta/dias/1834/10/29/pdfs/GMD-1834-257.pdf#page=4","Abrir facsímil")</f>
        <v>Abrir facsímil</v>
      </c>
      <c r="K2885" s="3" t="s">
        <v>24</v>
      </c>
    </row>
    <row r="2886" spans="1:11" ht="54" customHeight="1">
      <c r="A2886" s="2" t="s">
        <v>6539</v>
      </c>
      <c r="B2886" s="2" t="s">
        <v>6539</v>
      </c>
      <c r="C2886" s="2" t="s">
        <v>17</v>
      </c>
      <c r="D2886" s="2" t="s">
        <v>18</v>
      </c>
      <c r="E2886" s="5" t="s">
        <v>2287</v>
      </c>
      <c r="F2886" s="3" t="s">
        <v>4741</v>
      </c>
      <c r="G2886" s="3" t="s">
        <v>75</v>
      </c>
      <c r="H2886" s="2" t="s">
        <v>22</v>
      </c>
      <c r="I2886" s="2" t="s">
        <v>6540</v>
      </c>
      <c r="J2886" s="3" t="str">
        <f>HYPERLINK("https://www.boe.es/gazeta/dias/1834/12/18/pdfs/GMD-1834-308.pdf#page=4","Abrir facsímil")</f>
        <v>Abrir facsímil</v>
      </c>
      <c r="K2886" s="3" t="s">
        <v>24</v>
      </c>
    </row>
    <row r="2887" spans="1:11" ht="54" customHeight="1">
      <c r="A2887" s="2" t="s">
        <v>6541</v>
      </c>
      <c r="B2887" s="2" t="s">
        <v>6541</v>
      </c>
      <c r="C2887" s="2" t="s">
        <v>17</v>
      </c>
      <c r="D2887" s="2" t="s">
        <v>18</v>
      </c>
      <c r="E2887" s="5" t="s">
        <v>524</v>
      </c>
      <c r="F2887" s="3" t="s">
        <v>525</v>
      </c>
      <c r="G2887" s="3" t="s">
        <v>86</v>
      </c>
      <c r="H2887" s="2" t="s">
        <v>22</v>
      </c>
      <c r="I2887" s="2" t="s">
        <v>6542</v>
      </c>
      <c r="J2887" s="3" t="str">
        <f>HYPERLINK("https://www.boe.es/gazeta/dias/1834/12/25/pdfs/GMD-C-1834-315.pdf#page=2","Abrir facsímil")</f>
        <v>Abrir facsímil</v>
      </c>
      <c r="K2887" s="3" t="s">
        <v>24</v>
      </c>
    </row>
    <row r="2888" spans="1:11" ht="54" customHeight="1">
      <c r="A2888" s="2" t="s">
        <v>6543</v>
      </c>
      <c r="B2888" s="2" t="s">
        <v>6544</v>
      </c>
      <c r="C2888" s="2" t="s">
        <v>122</v>
      </c>
      <c r="D2888" s="2" t="s">
        <v>18</v>
      </c>
      <c r="E2888" s="5" t="s">
        <v>96</v>
      </c>
      <c r="F2888" s="3" t="s">
        <v>1725</v>
      </c>
      <c r="G2888" s="3" t="s">
        <v>75</v>
      </c>
      <c r="H2888" s="2" t="s">
        <v>22</v>
      </c>
      <c r="I2888" s="2" t="s">
        <v>6545</v>
      </c>
      <c r="J2888" s="3" t="str">
        <f>HYPERLINK("https://www.boe.es/gazeta/dias/1834/11/11/pdfs/GMD-1834-270.pdf#page=4","Abrir facsímil")</f>
        <v>Abrir facsímil</v>
      </c>
      <c r="K2888" s="3" t="s">
        <v>24</v>
      </c>
    </row>
    <row r="2889" spans="1:11" ht="54" customHeight="1">
      <c r="A2889" s="2" t="s">
        <v>6546</v>
      </c>
      <c r="B2889" s="2" t="s">
        <v>6547</v>
      </c>
      <c r="C2889" s="2" t="s">
        <v>122</v>
      </c>
      <c r="D2889" s="2" t="s">
        <v>18</v>
      </c>
      <c r="E2889" s="5" t="s">
        <v>19</v>
      </c>
      <c r="F2889" s="3" t="s">
        <v>20</v>
      </c>
      <c r="G2889" s="3" t="s">
        <v>34</v>
      </c>
      <c r="H2889" s="2" t="s">
        <v>22</v>
      </c>
      <c r="I2889" s="2" t="s">
        <v>6548</v>
      </c>
      <c r="J2889" s="3" t="str">
        <f>HYPERLINK("https://www.boe.es/gazeta/dias/1834/08/17/pdfs/GMD-C-1834-182.pdf#page=1","Abrir facsímil")</f>
        <v>Abrir facsímil</v>
      </c>
      <c r="K2889" s="3" t="s">
        <v>24</v>
      </c>
    </row>
    <row r="2890" spans="1:11" ht="54" customHeight="1">
      <c r="A2890" s="2" t="s">
        <v>6549</v>
      </c>
      <c r="B2890" s="2" t="s">
        <v>6549</v>
      </c>
      <c r="C2890" s="2" t="s">
        <v>17</v>
      </c>
      <c r="D2890" s="2" t="s">
        <v>18</v>
      </c>
      <c r="E2890" s="5" t="s">
        <v>1116</v>
      </c>
      <c r="F2890" s="3" t="s">
        <v>1117</v>
      </c>
      <c r="G2890" s="3" t="s">
        <v>75</v>
      </c>
      <c r="H2890" s="2" t="s">
        <v>22</v>
      </c>
      <c r="I2890" s="2" t="s">
        <v>6550</v>
      </c>
      <c r="J2890" s="3" t="str">
        <f>HYPERLINK("https://www.boe.es/gazeta/dias/1834/05/16/pdfs/GMD-1834-85.pdf#page=4","Abrir facsímil")</f>
        <v>Abrir facsímil</v>
      </c>
      <c r="K2890" s="3" t="s">
        <v>24</v>
      </c>
    </row>
    <row r="2891" spans="1:11" ht="54" customHeight="1">
      <c r="A2891" s="2" t="s">
        <v>6551</v>
      </c>
      <c r="B2891" s="2" t="s">
        <v>6552</v>
      </c>
      <c r="C2891" s="2" t="s">
        <v>90</v>
      </c>
      <c r="D2891" s="2" t="s">
        <v>18</v>
      </c>
      <c r="E2891" s="5" t="s">
        <v>615</v>
      </c>
      <c r="F2891" s="3" t="s">
        <v>616</v>
      </c>
      <c r="G2891" s="3" t="s">
        <v>21</v>
      </c>
      <c r="H2891" s="2" t="s">
        <v>22</v>
      </c>
      <c r="I2891" s="2" t="s">
        <v>6553</v>
      </c>
      <c r="J2891" s="3" t="str">
        <f>HYPERLINK("https://www.boe.es/gazeta/dias/1834/08/19/pdfs/GMD-1834-185.pdf#page=3","Abrir facsímil")</f>
        <v>Abrir facsímil</v>
      </c>
      <c r="K2891" s="3" t="s">
        <v>24</v>
      </c>
    </row>
    <row r="2892" spans="1:11" ht="54" customHeight="1">
      <c r="A2892" s="2" t="s">
        <v>6554</v>
      </c>
      <c r="B2892" s="2" t="s">
        <v>6555</v>
      </c>
      <c r="C2892" s="2" t="s">
        <v>90</v>
      </c>
      <c r="D2892" s="2" t="s">
        <v>18</v>
      </c>
      <c r="E2892" s="5" t="s">
        <v>615</v>
      </c>
      <c r="F2892" s="3" t="s">
        <v>616</v>
      </c>
      <c r="G2892" s="3" t="s">
        <v>21</v>
      </c>
      <c r="H2892" s="2" t="s">
        <v>35</v>
      </c>
      <c r="I2892" s="2" t="s">
        <v>6556</v>
      </c>
      <c r="J2892" s="3" t="str">
        <f>HYPERLINK("https://www.boe.es/gazeta/dias/1834/08/19/pdfs/GMD-1834-185.pdf#page=3","Abrir facsímil")</f>
        <v>Abrir facsímil</v>
      </c>
      <c r="K2892" s="3" t="s">
        <v>37</v>
      </c>
    </row>
    <row r="2893" spans="1:11" ht="54" customHeight="1">
      <c r="A2893" s="2" t="s">
        <v>6557</v>
      </c>
      <c r="B2893" s="2" t="s">
        <v>6558</v>
      </c>
      <c r="C2893" s="2" t="s">
        <v>46</v>
      </c>
      <c r="D2893" s="2" t="s">
        <v>18</v>
      </c>
      <c r="E2893" s="5" t="s">
        <v>348</v>
      </c>
      <c r="F2893" s="3" t="s">
        <v>501</v>
      </c>
      <c r="G2893" s="3" t="s">
        <v>86</v>
      </c>
      <c r="H2893" s="2" t="s">
        <v>35</v>
      </c>
      <c r="I2893" s="2" t="s">
        <v>6559</v>
      </c>
      <c r="J2893" s="3" t="str">
        <f>HYPERLINK("https://www.boe.es/gazeta/dias/1834/06/12/pdfs/GMD-1834-115.pdf#page=2","Abrir facsímil")</f>
        <v>Abrir facsímil</v>
      </c>
      <c r="K2893" s="3" t="s">
        <v>37</v>
      </c>
    </row>
    <row r="2894" spans="1:11" ht="54" customHeight="1">
      <c r="A2894" s="2" t="s">
        <v>6560</v>
      </c>
      <c r="B2894" s="2" t="s">
        <v>6561</v>
      </c>
      <c r="C2894" s="2" t="s">
        <v>46</v>
      </c>
      <c r="D2894" s="2" t="s">
        <v>18</v>
      </c>
      <c r="E2894" s="5" t="s">
        <v>348</v>
      </c>
      <c r="F2894" s="3" t="s">
        <v>501</v>
      </c>
      <c r="G2894" s="3" t="s">
        <v>86</v>
      </c>
      <c r="H2894" s="2" t="s">
        <v>22</v>
      </c>
      <c r="I2894" s="2" t="s">
        <v>6562</v>
      </c>
      <c r="J2894" s="3" t="str">
        <f>HYPERLINK("https://www.boe.es/gazeta/dias/1834/06/12/pdfs/GMD-1834-115.pdf#page=2","Abrir facsímil")</f>
        <v>Abrir facsímil</v>
      </c>
      <c r="K2894" s="3" t="s">
        <v>24</v>
      </c>
    </row>
    <row r="2895" spans="1:11" ht="54" customHeight="1">
      <c r="A2895" s="2" t="s">
        <v>6563</v>
      </c>
      <c r="B2895" s="2" t="s">
        <v>6564</v>
      </c>
      <c r="C2895" s="2" t="s">
        <v>66</v>
      </c>
      <c r="D2895" s="2" t="s">
        <v>67</v>
      </c>
      <c r="E2895" s="5" t="s">
        <v>928</v>
      </c>
      <c r="F2895" s="3" t="s">
        <v>3338</v>
      </c>
      <c r="G2895" s="3" t="s">
        <v>21</v>
      </c>
      <c r="H2895" s="2" t="s">
        <v>22</v>
      </c>
      <c r="I2895" s="2" t="s">
        <v>6565</v>
      </c>
      <c r="J2895" s="3" t="str">
        <f>HYPERLINK("https://www.boe.es/gazeta/dias/1834/11/15/pdfs/GMD-1834-274.pdf#page=3","Abrir facsímil")</f>
        <v>Abrir facsímil</v>
      </c>
      <c r="K2895" s="3" t="s">
        <v>24</v>
      </c>
    </row>
    <row r="2896" spans="1:11" ht="54" customHeight="1">
      <c r="A2896" s="2" t="s">
        <v>6566</v>
      </c>
      <c r="B2896" s="2" t="s">
        <v>6567</v>
      </c>
      <c r="C2896" s="2" t="s">
        <v>17</v>
      </c>
      <c r="D2896" s="2" t="s">
        <v>101</v>
      </c>
      <c r="E2896" s="5" t="s">
        <v>2091</v>
      </c>
      <c r="F2896" s="3" t="s">
        <v>2092</v>
      </c>
      <c r="G2896" s="3" t="s">
        <v>21</v>
      </c>
      <c r="H2896" s="2" t="s">
        <v>22</v>
      </c>
      <c r="I2896" s="2" t="s">
        <v>6568</v>
      </c>
      <c r="J2896" s="3" t="str">
        <f>HYPERLINK("https://www.boe.es/gazeta/dias/1834/03/08/pdfs/GMD-1834-30.pdf#page=3","Abrir facsímil")</f>
        <v>Abrir facsímil</v>
      </c>
      <c r="K2896" s="3" t="s">
        <v>24</v>
      </c>
    </row>
    <row r="2897" spans="1:11" ht="54" customHeight="1">
      <c r="A2897" s="2" t="s">
        <v>6569</v>
      </c>
      <c r="B2897" s="2" t="s">
        <v>6570</v>
      </c>
      <c r="C2897" s="2" t="s">
        <v>122</v>
      </c>
      <c r="D2897" s="2" t="s">
        <v>18</v>
      </c>
      <c r="E2897" s="5" t="s">
        <v>408</v>
      </c>
      <c r="F2897" s="3" t="s">
        <v>409</v>
      </c>
      <c r="G2897" s="3" t="s">
        <v>75</v>
      </c>
      <c r="H2897" s="2" t="s">
        <v>22</v>
      </c>
      <c r="I2897" s="2" t="s">
        <v>6571</v>
      </c>
      <c r="J2897" s="3" t="str">
        <f>HYPERLINK("https://www.boe.es/gazeta/dias/1834/04/28/pdfs/GMD-1834-67.pdf#page=4","Abrir facsímil")</f>
        <v>Abrir facsímil</v>
      </c>
      <c r="K2897" s="3" t="s">
        <v>24</v>
      </c>
    </row>
    <row r="2898" spans="1:11" ht="54" customHeight="1">
      <c r="A2898" s="2" t="s">
        <v>6572</v>
      </c>
      <c r="B2898" s="2" t="s">
        <v>6573</v>
      </c>
      <c r="C2898" s="2" t="s">
        <v>90</v>
      </c>
      <c r="D2898" s="2" t="s">
        <v>18</v>
      </c>
      <c r="E2898" s="5" t="s">
        <v>753</v>
      </c>
      <c r="F2898" s="3" t="s">
        <v>754</v>
      </c>
      <c r="G2898" s="3" t="s">
        <v>34</v>
      </c>
      <c r="H2898" s="2" t="s">
        <v>22</v>
      </c>
      <c r="I2898" s="2" t="s">
        <v>6574</v>
      </c>
      <c r="J2898" s="3" t="str">
        <f>HYPERLINK("https://www.boe.es/gazeta/dias/1834/04/21/pdfs/GMD-1834-60.pdf#page=1","Abrir facsímil")</f>
        <v>Abrir facsímil</v>
      </c>
      <c r="K2898" s="3" t="s">
        <v>24</v>
      </c>
    </row>
    <row r="2899" spans="1:11" ht="54" customHeight="1">
      <c r="A2899" s="2" t="s">
        <v>6575</v>
      </c>
      <c r="B2899" s="2" t="s">
        <v>6575</v>
      </c>
      <c r="C2899" s="2" t="s">
        <v>17</v>
      </c>
      <c r="D2899" s="2" t="s">
        <v>18</v>
      </c>
      <c r="E2899" s="5" t="s">
        <v>258</v>
      </c>
      <c r="F2899" s="3" t="s">
        <v>259</v>
      </c>
      <c r="G2899" s="3" t="s">
        <v>21</v>
      </c>
      <c r="H2899" s="2" t="s">
        <v>22</v>
      </c>
      <c r="I2899" s="2" t="s">
        <v>6576</v>
      </c>
      <c r="J2899" s="3" t="str">
        <f>HYPERLINK("https://www.boe.es/gazeta/dias/1834/10/09/pdfs/GMD-C-1834-237.pdf#page=3","Abrir facsímil")</f>
        <v>Abrir facsímil</v>
      </c>
      <c r="K2899" s="3" t="s">
        <v>24</v>
      </c>
    </row>
    <row r="2900" spans="1:11" ht="54" customHeight="1">
      <c r="A2900" s="2" t="s">
        <v>6577</v>
      </c>
      <c r="B2900" s="2" t="s">
        <v>6577</v>
      </c>
      <c r="C2900" s="2" t="s">
        <v>17</v>
      </c>
      <c r="D2900" s="2" t="s">
        <v>18</v>
      </c>
      <c r="E2900" s="5" t="s">
        <v>1572</v>
      </c>
      <c r="F2900" s="3" t="s">
        <v>1573</v>
      </c>
      <c r="G2900" s="3" t="s">
        <v>176</v>
      </c>
      <c r="H2900" s="2" t="s">
        <v>22</v>
      </c>
      <c r="I2900" s="2" t="s">
        <v>6578</v>
      </c>
      <c r="J2900" s="3" t="str">
        <f>HYPERLINK("https://www.boe.es/gazeta/dias/1834/03/20/pdfs/GMD-1834-35.pdf#page=6","Abrir facsímil")</f>
        <v>Abrir facsímil</v>
      </c>
      <c r="K2900" s="3" t="s">
        <v>24</v>
      </c>
    </row>
    <row r="2901" spans="1:11" ht="54" customHeight="1">
      <c r="A2901" s="2" t="s">
        <v>6579</v>
      </c>
      <c r="B2901" s="2" t="s">
        <v>6580</v>
      </c>
      <c r="C2901" s="2" t="s">
        <v>122</v>
      </c>
      <c r="D2901" s="2" t="s">
        <v>18</v>
      </c>
      <c r="E2901" s="5" t="s">
        <v>73</v>
      </c>
      <c r="F2901" s="3" t="s">
        <v>74</v>
      </c>
      <c r="G2901" s="3" t="s">
        <v>75</v>
      </c>
      <c r="H2901" s="2" t="s">
        <v>22</v>
      </c>
      <c r="I2901" s="2" t="s">
        <v>6581</v>
      </c>
      <c r="J2901" s="3" t="str">
        <f>HYPERLINK("https://www.boe.es/gazeta/dias/1834/11/04/pdfs/GMD-1834-263.pdf#page=4","Abrir facsímil")</f>
        <v>Abrir facsímil</v>
      </c>
      <c r="K2901" s="3" t="s">
        <v>24</v>
      </c>
    </row>
    <row r="2902" spans="1:11" ht="54" customHeight="1">
      <c r="A2902" s="2" t="s">
        <v>6582</v>
      </c>
      <c r="B2902" s="2" t="s">
        <v>6583</v>
      </c>
      <c r="C2902" s="2" t="s">
        <v>66</v>
      </c>
      <c r="D2902" s="2" t="s">
        <v>67</v>
      </c>
      <c r="E2902" s="5" t="s">
        <v>133</v>
      </c>
      <c r="F2902" s="3" t="s">
        <v>134</v>
      </c>
      <c r="G2902" s="3" t="s">
        <v>34</v>
      </c>
      <c r="H2902" s="2" t="s">
        <v>22</v>
      </c>
      <c r="I2902" s="2" t="s">
        <v>6584</v>
      </c>
      <c r="J2902" s="3" t="str">
        <f>HYPERLINK("https://www.boe.es/gazeta/dias/1834/06/18/pdfs/GMD-1834-121.pdf#page=1","Abrir facsímil")</f>
        <v>Abrir facsímil</v>
      </c>
      <c r="K2902" s="3" t="s">
        <v>24</v>
      </c>
    </row>
    <row r="2903" spans="1:11" ht="54" customHeight="1">
      <c r="A2903" s="2" t="s">
        <v>6585</v>
      </c>
      <c r="B2903" s="2" t="s">
        <v>6585</v>
      </c>
      <c r="C2903" s="2" t="s">
        <v>122</v>
      </c>
      <c r="D2903" s="2" t="s">
        <v>18</v>
      </c>
      <c r="E2903" s="5" t="s">
        <v>883</v>
      </c>
      <c r="F2903" s="3" t="s">
        <v>884</v>
      </c>
      <c r="G2903" s="3" t="s">
        <v>34</v>
      </c>
      <c r="H2903" s="2" t="s">
        <v>22</v>
      </c>
      <c r="I2903" s="2" t="s">
        <v>6586</v>
      </c>
      <c r="J2903" s="3" t="str">
        <f>HYPERLINK("https://www.boe.es/gazeta/dias/1834/11/16/pdfs/GMD-C-1834-275.pdf#page=1","Abrir facsímil")</f>
        <v>Abrir facsímil</v>
      </c>
      <c r="K2903" s="3" t="s">
        <v>24</v>
      </c>
    </row>
    <row r="2904" spans="1:11" ht="54" customHeight="1">
      <c r="A2904" s="2" t="s">
        <v>6585</v>
      </c>
      <c r="B2904" s="2" t="s">
        <v>6585</v>
      </c>
      <c r="C2904" s="2" t="s">
        <v>46</v>
      </c>
      <c r="D2904" s="2" t="s">
        <v>101</v>
      </c>
      <c r="E2904" s="5" t="s">
        <v>1641</v>
      </c>
      <c r="F2904" s="3" t="s">
        <v>1642</v>
      </c>
      <c r="G2904" s="3" t="s">
        <v>28</v>
      </c>
      <c r="H2904" s="2" t="s">
        <v>22</v>
      </c>
      <c r="I2904" s="2" t="s">
        <v>6587</v>
      </c>
      <c r="J2904" s="3" t="str">
        <f>HYPERLINK("https://www.boe.es/gazeta/dias/1834/09/28/pdfs/GMD-C-1834-226.pdf#page=5","Abrir facsímil")</f>
        <v>Abrir facsímil</v>
      </c>
      <c r="K2904" s="3" t="s">
        <v>24</v>
      </c>
    </row>
    <row r="2905" spans="1:11" ht="54" customHeight="1">
      <c r="A2905" s="2" t="s">
        <v>6588</v>
      </c>
      <c r="B2905" s="2" t="s">
        <v>6589</v>
      </c>
      <c r="C2905" s="2" t="s">
        <v>17</v>
      </c>
      <c r="D2905" s="2" t="s">
        <v>18</v>
      </c>
      <c r="E2905" s="5" t="s">
        <v>1008</v>
      </c>
      <c r="F2905" s="3" t="s">
        <v>1009</v>
      </c>
      <c r="G2905" s="3" t="s">
        <v>470</v>
      </c>
      <c r="H2905" s="2" t="s">
        <v>22</v>
      </c>
      <c r="I2905" s="2" t="s">
        <v>6590</v>
      </c>
      <c r="J2905" s="3" t="str">
        <f>HYPERLINK("https://www.boe.es/gazeta/dias/1834/11/08/pdfs/GMD-C-1834-267.pdf#page=8","Abrir facsímil")</f>
        <v>Abrir facsímil</v>
      </c>
      <c r="K2905" s="3" t="s">
        <v>24</v>
      </c>
    </row>
    <row r="2906" spans="1:11" ht="54" customHeight="1">
      <c r="A2906" s="2" t="s">
        <v>6591</v>
      </c>
      <c r="B2906" s="2" t="s">
        <v>6592</v>
      </c>
      <c r="C2906" s="2" t="s">
        <v>17</v>
      </c>
      <c r="D2906" s="2" t="s">
        <v>18</v>
      </c>
      <c r="E2906" s="5" t="s">
        <v>2087</v>
      </c>
      <c r="F2906" s="3" t="s">
        <v>2088</v>
      </c>
      <c r="G2906" s="3" t="s">
        <v>75</v>
      </c>
      <c r="H2906" s="2" t="s">
        <v>22</v>
      </c>
      <c r="I2906" s="2" t="s">
        <v>6593</v>
      </c>
      <c r="J2906" s="3" t="str">
        <f>HYPERLINK("https://www.boe.es/gazeta/dias/1834/12/14/pdfs/GMD-1834-303.pdf#page=4","Abrir facsímil")</f>
        <v>Abrir facsímil</v>
      </c>
      <c r="K2906" s="3" t="s">
        <v>24</v>
      </c>
    </row>
    <row r="2907" spans="1:11" ht="54" customHeight="1">
      <c r="A2907" s="2" t="s">
        <v>6594</v>
      </c>
      <c r="B2907" s="2" t="s">
        <v>6594</v>
      </c>
      <c r="C2907" s="2" t="s">
        <v>17</v>
      </c>
      <c r="D2907" s="2" t="s">
        <v>18</v>
      </c>
      <c r="E2907" s="5" t="s">
        <v>928</v>
      </c>
      <c r="F2907" s="3" t="s">
        <v>929</v>
      </c>
      <c r="G2907" s="3" t="s">
        <v>75</v>
      </c>
      <c r="H2907" s="2" t="s">
        <v>22</v>
      </c>
      <c r="I2907" s="2" t="s">
        <v>6595</v>
      </c>
      <c r="J2907" s="3" t="str">
        <f>HYPERLINK("https://www.boe.es/gazeta/dias/1834/11/15/pdfs/GMD-C-1834-274.pdf#page=4","Abrir facsímil")</f>
        <v>Abrir facsímil</v>
      </c>
      <c r="K2907" s="3" t="s">
        <v>24</v>
      </c>
    </row>
    <row r="2908" spans="1:11" ht="54" customHeight="1">
      <c r="A2908" s="2" t="s">
        <v>6596</v>
      </c>
      <c r="B2908" s="2" t="s">
        <v>6596</v>
      </c>
      <c r="C2908" s="2" t="s">
        <v>17</v>
      </c>
      <c r="D2908" s="2" t="s">
        <v>18</v>
      </c>
      <c r="E2908" s="5" t="s">
        <v>1766</v>
      </c>
      <c r="F2908" s="3" t="s">
        <v>1767</v>
      </c>
      <c r="G2908" s="3" t="s">
        <v>86</v>
      </c>
      <c r="H2908" s="2" t="s">
        <v>22</v>
      </c>
      <c r="I2908" s="2" t="s">
        <v>6597</v>
      </c>
      <c r="J2908" s="3" t="str">
        <f>HYPERLINK("https://www.boe.es/gazeta/dias/1834/10/26/pdfs/GMD-C-1834-254.pdf#page=2","Abrir facsímil")</f>
        <v>Abrir facsímil</v>
      </c>
      <c r="K2908" s="3" t="s">
        <v>24</v>
      </c>
    </row>
    <row r="2909" spans="1:11" ht="54" customHeight="1">
      <c r="A2909" s="2" t="s">
        <v>6598</v>
      </c>
      <c r="B2909" s="2" t="s">
        <v>6598</v>
      </c>
      <c r="C2909" s="2" t="s">
        <v>17</v>
      </c>
      <c r="D2909" s="2" t="s">
        <v>18</v>
      </c>
      <c r="E2909" s="5" t="s">
        <v>158</v>
      </c>
      <c r="F2909" s="3" t="s">
        <v>581</v>
      </c>
      <c r="G2909" s="3" t="s">
        <v>86</v>
      </c>
      <c r="H2909" s="2" t="s">
        <v>22</v>
      </c>
      <c r="I2909" s="2" t="s">
        <v>6599</v>
      </c>
      <c r="J2909" s="3" t="str">
        <f>HYPERLINK("https://www.boe.es/gazeta/dias/1834/10/01/pdfs/GMD-C-1834-229.pdf#page=2","Abrir facsímil")</f>
        <v>Abrir facsímil</v>
      </c>
      <c r="K2909" s="3" t="s">
        <v>24</v>
      </c>
    </row>
    <row r="2910" spans="1:11" ht="54" customHeight="1">
      <c r="A2910" s="2" t="s">
        <v>6598</v>
      </c>
      <c r="B2910" s="2" t="s">
        <v>6598</v>
      </c>
      <c r="C2910" s="2" t="s">
        <v>17</v>
      </c>
      <c r="D2910" s="2" t="s">
        <v>18</v>
      </c>
      <c r="E2910" s="5" t="s">
        <v>905</v>
      </c>
      <c r="F2910" s="3" t="s">
        <v>906</v>
      </c>
      <c r="G2910" s="3" t="s">
        <v>34</v>
      </c>
      <c r="H2910" s="2" t="s">
        <v>22</v>
      </c>
      <c r="I2910" s="2" t="s">
        <v>6600</v>
      </c>
      <c r="J2910" s="3" t="str">
        <f>HYPERLINK("https://www.boe.es/gazeta/dias/1834/08/02/pdfs/GMD-C-1834-166.pdf#page=1","Abrir facsímil")</f>
        <v>Abrir facsímil</v>
      </c>
      <c r="K2910" s="3" t="s">
        <v>24</v>
      </c>
    </row>
    <row r="2911" spans="1:11" ht="54" customHeight="1">
      <c r="A2911" s="2" t="s">
        <v>6598</v>
      </c>
      <c r="B2911" s="2" t="s">
        <v>6598</v>
      </c>
      <c r="C2911" s="2" t="s">
        <v>17</v>
      </c>
      <c r="D2911" s="2" t="s">
        <v>18</v>
      </c>
      <c r="E2911" s="5" t="s">
        <v>429</v>
      </c>
      <c r="F2911" s="3" t="s">
        <v>430</v>
      </c>
      <c r="G2911" s="3" t="s">
        <v>34</v>
      </c>
      <c r="H2911" s="2" t="s">
        <v>22</v>
      </c>
      <c r="I2911" s="2" t="s">
        <v>6601</v>
      </c>
      <c r="J2911" s="3" t="str">
        <f>HYPERLINK("https://www.boe.es/gazeta/dias/1834/08/07/pdfs/GMD-C-1834-172.pdf#page=1","Abrir facsímil")</f>
        <v>Abrir facsímil</v>
      </c>
      <c r="K2911" s="3" t="s">
        <v>24</v>
      </c>
    </row>
    <row r="2912" spans="1:11" ht="54" customHeight="1">
      <c r="A2912" s="2" t="s">
        <v>6598</v>
      </c>
      <c r="B2912" s="2" t="s">
        <v>6598</v>
      </c>
      <c r="C2912" s="2" t="s">
        <v>17</v>
      </c>
      <c r="D2912" s="2" t="s">
        <v>18</v>
      </c>
      <c r="E2912" s="5" t="s">
        <v>433</v>
      </c>
      <c r="F2912" s="3" t="s">
        <v>434</v>
      </c>
      <c r="G2912" s="3" t="s">
        <v>86</v>
      </c>
      <c r="H2912" s="2" t="s">
        <v>22</v>
      </c>
      <c r="I2912" s="2" t="s">
        <v>6602</v>
      </c>
      <c r="J2912" s="3" t="str">
        <f>HYPERLINK("https://www.boe.es/gazeta/dias/1834/10/07/pdfs/GMD-C-1834-235.pdf#page=2","Abrir facsímil")</f>
        <v>Abrir facsímil</v>
      </c>
      <c r="K2912" s="3" t="s">
        <v>24</v>
      </c>
    </row>
    <row r="2913" spans="1:11" ht="54" customHeight="1">
      <c r="A2913" s="2" t="s">
        <v>6598</v>
      </c>
      <c r="B2913" s="2" t="s">
        <v>6598</v>
      </c>
      <c r="C2913" s="2" t="s">
        <v>17</v>
      </c>
      <c r="D2913" s="2" t="s">
        <v>18</v>
      </c>
      <c r="E2913" s="5" t="s">
        <v>438</v>
      </c>
      <c r="F2913" s="3" t="s">
        <v>528</v>
      </c>
      <c r="G2913" s="3" t="s">
        <v>34</v>
      </c>
      <c r="H2913" s="2" t="s">
        <v>22</v>
      </c>
      <c r="I2913" s="2" t="s">
        <v>6603</v>
      </c>
      <c r="J2913" s="3" t="str">
        <f>HYPERLINK("https://www.boe.es/gazeta/dias/1834/11/09/pdfs/GMD-C-1834-268.pdf#page=1","Abrir facsímil")</f>
        <v>Abrir facsímil</v>
      </c>
      <c r="K2913" s="3" t="s">
        <v>24</v>
      </c>
    </row>
    <row r="2914" spans="1:11" ht="54" customHeight="1">
      <c r="A2914" s="2" t="s">
        <v>6598</v>
      </c>
      <c r="B2914" s="2" t="s">
        <v>6598</v>
      </c>
      <c r="C2914" s="2" t="s">
        <v>46</v>
      </c>
      <c r="D2914" s="2" t="s">
        <v>101</v>
      </c>
      <c r="E2914" s="5" t="s">
        <v>438</v>
      </c>
      <c r="F2914" s="3" t="s">
        <v>528</v>
      </c>
      <c r="G2914" s="3" t="s">
        <v>28</v>
      </c>
      <c r="H2914" s="2" t="s">
        <v>22</v>
      </c>
      <c r="I2914" s="2" t="s">
        <v>6604</v>
      </c>
      <c r="J2914" s="3" t="str">
        <f>HYPERLINK("https://www.boe.es/gazeta/dias/1834/11/09/pdfs/GMD-C-1834-268.pdf#page=5","Abrir facsímil")</f>
        <v>Abrir facsímil</v>
      </c>
      <c r="K2914" s="3" t="s">
        <v>24</v>
      </c>
    </row>
    <row r="2915" spans="1:11" ht="54" customHeight="1">
      <c r="A2915" s="2" t="s">
        <v>6598</v>
      </c>
      <c r="B2915" s="2" t="s">
        <v>6598</v>
      </c>
      <c r="C2915" s="2" t="s">
        <v>46</v>
      </c>
      <c r="D2915" s="2" t="s">
        <v>101</v>
      </c>
      <c r="E2915" s="5" t="s">
        <v>1103</v>
      </c>
      <c r="F2915" s="3" t="s">
        <v>1104</v>
      </c>
      <c r="G2915" s="3" t="s">
        <v>34</v>
      </c>
      <c r="H2915" s="2" t="s">
        <v>22</v>
      </c>
      <c r="I2915" s="2" t="s">
        <v>6605</v>
      </c>
      <c r="J2915" s="3" t="str">
        <f>HYPERLINK("https://www.boe.es/gazeta/dias/1834/10/10/pdfs/GMD-C-1834-238.pdf#page=1","Abrir facsímil")</f>
        <v>Abrir facsímil</v>
      </c>
      <c r="K2915" s="3" t="s">
        <v>24</v>
      </c>
    </row>
    <row r="2916" spans="1:11" ht="54" customHeight="1">
      <c r="A2916" s="2" t="s">
        <v>6598</v>
      </c>
      <c r="B2916" s="2" t="s">
        <v>6598</v>
      </c>
      <c r="C2916" s="2" t="s">
        <v>17</v>
      </c>
      <c r="D2916" s="2" t="s">
        <v>18</v>
      </c>
      <c r="E2916" s="5" t="s">
        <v>96</v>
      </c>
      <c r="F2916" s="3" t="s">
        <v>97</v>
      </c>
      <c r="G2916" s="3" t="s">
        <v>34</v>
      </c>
      <c r="H2916" s="2" t="s">
        <v>22</v>
      </c>
      <c r="I2916" s="2" t="s">
        <v>6606</v>
      </c>
      <c r="J2916" s="3" t="str">
        <f>HYPERLINK("https://www.boe.es/gazeta/dias/1834/11/11/pdfs/GMD-C-1834-270.pdf#page=1","Abrir facsímil")</f>
        <v>Abrir facsímil</v>
      </c>
      <c r="K2916" s="3" t="s">
        <v>24</v>
      </c>
    </row>
    <row r="2917" spans="1:11" ht="54" customHeight="1">
      <c r="A2917" s="2" t="s">
        <v>6598</v>
      </c>
      <c r="B2917" s="2" t="s">
        <v>6598</v>
      </c>
      <c r="C2917" s="2" t="s">
        <v>17</v>
      </c>
      <c r="D2917" s="2" t="s">
        <v>18</v>
      </c>
      <c r="E2917" s="5" t="s">
        <v>1424</v>
      </c>
      <c r="F2917" s="3" t="s">
        <v>1425</v>
      </c>
      <c r="G2917" s="3" t="s">
        <v>176</v>
      </c>
      <c r="H2917" s="2" t="s">
        <v>22</v>
      </c>
      <c r="I2917" s="2" t="s">
        <v>6607</v>
      </c>
      <c r="J2917" s="3" t="str">
        <f>HYPERLINK("https://www.boe.es/gazeta/dias/1834/11/14/pdfs/GMD-C-1834-273.pdf#page=6","Abrir facsímil")</f>
        <v>Abrir facsímil</v>
      </c>
      <c r="K2917" s="3" t="s">
        <v>24</v>
      </c>
    </row>
    <row r="2918" spans="1:11" ht="54" customHeight="1">
      <c r="A2918" s="2" t="s">
        <v>6598</v>
      </c>
      <c r="B2918" s="2" t="s">
        <v>6598</v>
      </c>
      <c r="C2918" s="2" t="s">
        <v>17</v>
      </c>
      <c r="D2918" s="2" t="s">
        <v>18</v>
      </c>
      <c r="E2918" s="5" t="s">
        <v>237</v>
      </c>
      <c r="F2918" s="3" t="s">
        <v>238</v>
      </c>
      <c r="G2918" s="3" t="s">
        <v>21</v>
      </c>
      <c r="H2918" s="2" t="s">
        <v>22</v>
      </c>
      <c r="I2918" s="2" t="s">
        <v>6608</v>
      </c>
      <c r="J2918" s="3" t="str">
        <f>HYPERLINK("https://www.boe.es/gazeta/dias/1834/08/15/pdfs/GMD-C-1834-180.pdf#page=3","Abrir facsímil")</f>
        <v>Abrir facsímil</v>
      </c>
      <c r="K2918" s="3" t="s">
        <v>24</v>
      </c>
    </row>
    <row r="2919" spans="1:11" ht="54" customHeight="1">
      <c r="A2919" s="2" t="s">
        <v>6598</v>
      </c>
      <c r="B2919" s="2" t="s">
        <v>6598</v>
      </c>
      <c r="C2919" s="2" t="s">
        <v>17</v>
      </c>
      <c r="D2919" s="2" t="s">
        <v>18</v>
      </c>
      <c r="E2919" s="5" t="s">
        <v>883</v>
      </c>
      <c r="F2919" s="3" t="s">
        <v>884</v>
      </c>
      <c r="G2919" s="3" t="s">
        <v>34</v>
      </c>
      <c r="H2919" s="2" t="s">
        <v>22</v>
      </c>
      <c r="I2919" s="2" t="s">
        <v>6609</v>
      </c>
      <c r="J2919" s="3" t="str">
        <f>HYPERLINK("https://www.boe.es/gazeta/dias/1834/11/16/pdfs/GMD-C-1834-275.pdf#page=1","Abrir facsímil")</f>
        <v>Abrir facsímil</v>
      </c>
      <c r="K2919" s="3" t="s">
        <v>24</v>
      </c>
    </row>
    <row r="2920" spans="1:11" ht="54" customHeight="1">
      <c r="A2920" s="2" t="s">
        <v>6598</v>
      </c>
      <c r="B2920" s="2" t="s">
        <v>6598</v>
      </c>
      <c r="C2920" s="2" t="s">
        <v>17</v>
      </c>
      <c r="D2920" s="2" t="s">
        <v>18</v>
      </c>
      <c r="E2920" s="5" t="s">
        <v>3036</v>
      </c>
      <c r="F2920" s="3" t="s">
        <v>3037</v>
      </c>
      <c r="G2920" s="3" t="s">
        <v>21</v>
      </c>
      <c r="H2920" s="2" t="s">
        <v>22</v>
      </c>
      <c r="I2920" s="2" t="s">
        <v>6610</v>
      </c>
      <c r="J2920" s="3" t="str">
        <f>HYPERLINK("https://www.boe.es/gazeta/dias/1834/11/18/pdfs/GMD-C-1834-277.pdf#page=3","Abrir facsímil")</f>
        <v>Abrir facsímil</v>
      </c>
      <c r="K2920" s="3" t="s">
        <v>24</v>
      </c>
    </row>
    <row r="2921" spans="1:11" ht="54" customHeight="1">
      <c r="A2921" s="2" t="s">
        <v>6598</v>
      </c>
      <c r="B2921" s="2" t="s">
        <v>6598</v>
      </c>
      <c r="C2921" s="2" t="s">
        <v>17</v>
      </c>
      <c r="D2921" s="2" t="s">
        <v>55</v>
      </c>
      <c r="E2921" s="5" t="s">
        <v>268</v>
      </c>
      <c r="F2921" s="3" t="s">
        <v>269</v>
      </c>
      <c r="G2921" s="3" t="s">
        <v>28</v>
      </c>
      <c r="H2921" s="2" t="s">
        <v>22</v>
      </c>
      <c r="I2921" s="2" t="s">
        <v>6611</v>
      </c>
      <c r="J2921" s="3" t="str">
        <f>HYPERLINK("https://www.boe.es/gazeta/dias/1834/12/19/pdfs/GMD-C-1834-309.pdf#page=5","Abrir facsímil")</f>
        <v>Abrir facsímil</v>
      </c>
      <c r="K2921" s="3" t="s">
        <v>24</v>
      </c>
    </row>
    <row r="2922" spans="1:11" ht="54" customHeight="1">
      <c r="A2922" s="2" t="s">
        <v>6598</v>
      </c>
      <c r="B2922" s="2" t="s">
        <v>6598</v>
      </c>
      <c r="C2922" s="2" t="s">
        <v>17</v>
      </c>
      <c r="D2922" s="2" t="s">
        <v>18</v>
      </c>
      <c r="E2922" s="5" t="s">
        <v>1973</v>
      </c>
      <c r="F2922" s="3" t="s">
        <v>1974</v>
      </c>
      <c r="G2922" s="3" t="s">
        <v>34</v>
      </c>
      <c r="H2922" s="2" t="s">
        <v>22</v>
      </c>
      <c r="I2922" s="2" t="s">
        <v>6612</v>
      </c>
      <c r="J2922" s="3" t="str">
        <f>HYPERLINK("https://www.boe.es/gazeta/dias/1834/12/20/pdfs/GMD-C-1834-310.pdf#page=1","Abrir facsímil")</f>
        <v>Abrir facsímil</v>
      </c>
      <c r="K2922" s="3" t="s">
        <v>24</v>
      </c>
    </row>
    <row r="2923" spans="1:11" ht="54" customHeight="1">
      <c r="A2923" s="2" t="s">
        <v>6598</v>
      </c>
      <c r="B2923" s="2" t="s">
        <v>6598</v>
      </c>
      <c r="C2923" s="2" t="s">
        <v>17</v>
      </c>
      <c r="D2923" s="2" t="s">
        <v>18</v>
      </c>
      <c r="E2923" s="5" t="s">
        <v>647</v>
      </c>
      <c r="F2923" s="3" t="s">
        <v>648</v>
      </c>
      <c r="G2923" s="3" t="s">
        <v>34</v>
      </c>
      <c r="H2923" s="2" t="s">
        <v>22</v>
      </c>
      <c r="I2923" s="2" t="s">
        <v>6613</v>
      </c>
      <c r="J2923" s="3" t="str">
        <f>HYPERLINK("https://www.boe.es/gazeta/dias/1834/10/21/pdfs/GMD-C-1834-249.pdf#page=1","Abrir facsímil")</f>
        <v>Abrir facsímil</v>
      </c>
      <c r="K2923" s="3" t="s">
        <v>24</v>
      </c>
    </row>
    <row r="2924" spans="1:11" ht="54" customHeight="1">
      <c r="A2924" s="2" t="s">
        <v>6598</v>
      </c>
      <c r="B2924" s="2" t="s">
        <v>6598</v>
      </c>
      <c r="C2924" s="2" t="s">
        <v>90</v>
      </c>
      <c r="D2924" s="2" t="s">
        <v>18</v>
      </c>
      <c r="E2924" s="5" t="s">
        <v>702</v>
      </c>
      <c r="F2924" s="3" t="s">
        <v>703</v>
      </c>
      <c r="G2924" s="3" t="s">
        <v>86</v>
      </c>
      <c r="H2924" s="2" t="s">
        <v>22</v>
      </c>
      <c r="I2924" s="2" t="s">
        <v>6614</v>
      </c>
      <c r="J2924" s="3" t="str">
        <f>HYPERLINK("https://www.boe.es/gazeta/dias/1834/11/22/pdfs/GMD-C-1834-281.pdf#page=2","Abrir facsímil")</f>
        <v>Abrir facsímil</v>
      </c>
      <c r="K2924" s="3" t="s">
        <v>24</v>
      </c>
    </row>
    <row r="2925" spans="1:11" ht="54" customHeight="1">
      <c r="A2925" s="2" t="s">
        <v>6598</v>
      </c>
      <c r="B2925" s="2" t="s">
        <v>6598</v>
      </c>
      <c r="C2925" s="2" t="s">
        <v>17</v>
      </c>
      <c r="D2925" s="2" t="s">
        <v>18</v>
      </c>
      <c r="E2925" s="5" t="s">
        <v>667</v>
      </c>
      <c r="F2925" s="3" t="s">
        <v>668</v>
      </c>
      <c r="G2925" s="3" t="s">
        <v>34</v>
      </c>
      <c r="H2925" s="2" t="s">
        <v>22</v>
      </c>
      <c r="I2925" s="2" t="s">
        <v>6615</v>
      </c>
      <c r="J2925" s="3" t="str">
        <f>HYPERLINK("https://www.boe.es/gazeta/dias/1834/11/23/pdfs/GMD-C-1834-282.pdf#page=1","Abrir facsímil")</f>
        <v>Abrir facsímil</v>
      </c>
      <c r="K2925" s="3" t="s">
        <v>24</v>
      </c>
    </row>
    <row r="2926" spans="1:11" ht="54" customHeight="1">
      <c r="A2926" s="2" t="s">
        <v>6598</v>
      </c>
      <c r="B2926" s="2" t="s">
        <v>6598</v>
      </c>
      <c r="C2926" s="2" t="s">
        <v>17</v>
      </c>
      <c r="D2926" s="2" t="s">
        <v>18</v>
      </c>
      <c r="E2926" s="5" t="s">
        <v>378</v>
      </c>
      <c r="F2926" s="3" t="s">
        <v>888</v>
      </c>
      <c r="G2926" s="3" t="s">
        <v>86</v>
      </c>
      <c r="H2926" s="2" t="s">
        <v>22</v>
      </c>
      <c r="I2926" s="2" t="s">
        <v>6616</v>
      </c>
      <c r="J2926" s="3" t="str">
        <f>HYPERLINK("https://www.boe.es/gazeta/dias/1834/09/24/pdfs/GMD-C-1834-222.pdf#page=2","Abrir facsímil")</f>
        <v>Abrir facsímil</v>
      </c>
      <c r="K2926" s="3" t="s">
        <v>24</v>
      </c>
    </row>
    <row r="2927" spans="1:11" ht="54" customHeight="1">
      <c r="A2927" s="2" t="s">
        <v>6598</v>
      </c>
      <c r="B2927" s="2" t="s">
        <v>6598</v>
      </c>
      <c r="C2927" s="2" t="s">
        <v>17</v>
      </c>
      <c r="D2927" s="2" t="s">
        <v>18</v>
      </c>
      <c r="E2927" s="5" t="s">
        <v>1135</v>
      </c>
      <c r="F2927" s="3" t="s">
        <v>1566</v>
      </c>
      <c r="G2927" s="3" t="s">
        <v>34</v>
      </c>
      <c r="H2927" s="2" t="s">
        <v>22</v>
      </c>
      <c r="I2927" s="2" t="s">
        <v>6617</v>
      </c>
      <c r="J2927" s="3" t="str">
        <f>HYPERLINK("https://www.boe.es/gazeta/dias/1834/08/26/pdfs/GMD-C-1834-192.pdf#page=1","Abrir facsímil")</f>
        <v>Abrir facsímil</v>
      </c>
      <c r="K2927" s="3" t="s">
        <v>24</v>
      </c>
    </row>
    <row r="2928" spans="1:11" ht="54" customHeight="1">
      <c r="A2928" s="2" t="s">
        <v>6598</v>
      </c>
      <c r="B2928" s="2" t="s">
        <v>6598</v>
      </c>
      <c r="C2928" s="2" t="s">
        <v>17</v>
      </c>
      <c r="D2928" s="2" t="s">
        <v>18</v>
      </c>
      <c r="E2928" s="5" t="s">
        <v>1686</v>
      </c>
      <c r="F2928" s="3" t="s">
        <v>2311</v>
      </c>
      <c r="G2928" s="3" t="s">
        <v>34</v>
      </c>
      <c r="H2928" s="2" t="s">
        <v>22</v>
      </c>
      <c r="I2928" s="2" t="s">
        <v>6618</v>
      </c>
      <c r="J2928" s="3" t="str">
        <f>HYPERLINK("https://www.boe.es/gazeta/dias/1834/07/27/pdfs/GMD-C-1834-160.pdf#page=1","Abrir facsímil")</f>
        <v>Abrir facsímil</v>
      </c>
      <c r="K2928" s="3" t="s">
        <v>24</v>
      </c>
    </row>
    <row r="2929" spans="1:11" ht="54" customHeight="1">
      <c r="A2929" s="2" t="s">
        <v>6598</v>
      </c>
      <c r="B2929" s="2" t="s">
        <v>6598</v>
      </c>
      <c r="C2929" s="2" t="s">
        <v>66</v>
      </c>
      <c r="D2929" s="2" t="s">
        <v>67</v>
      </c>
      <c r="E2929" s="5" t="s">
        <v>465</v>
      </c>
      <c r="F2929" s="3" t="s">
        <v>466</v>
      </c>
      <c r="G2929" s="3" t="s">
        <v>34</v>
      </c>
      <c r="H2929" s="2" t="s">
        <v>22</v>
      </c>
      <c r="I2929" s="2" t="s">
        <v>6619</v>
      </c>
      <c r="J2929" s="3" t="str">
        <f>HYPERLINK("https://www.boe.es/gazeta/dias/1834/11/27/pdfs/GMD-C-1834-286.pdf#page=1","Abrir facsímil")</f>
        <v>Abrir facsímil</v>
      </c>
      <c r="K2929" s="3" t="s">
        <v>24</v>
      </c>
    </row>
    <row r="2930" spans="1:11" ht="54" customHeight="1">
      <c r="A2930" s="2" t="s">
        <v>6598</v>
      </c>
      <c r="B2930" s="2" t="s">
        <v>6598</v>
      </c>
      <c r="C2930" s="2" t="s">
        <v>17</v>
      </c>
      <c r="D2930" s="2" t="s">
        <v>18</v>
      </c>
      <c r="E2930" s="5" t="s">
        <v>465</v>
      </c>
      <c r="F2930" s="3" t="s">
        <v>466</v>
      </c>
      <c r="G2930" s="3" t="s">
        <v>21</v>
      </c>
      <c r="H2930" s="2" t="s">
        <v>22</v>
      </c>
      <c r="I2930" s="2" t="s">
        <v>6620</v>
      </c>
      <c r="J2930" s="3" t="str">
        <f>HYPERLINK("https://www.boe.es/gazeta/dias/1834/11/27/pdfs/GMD-C-1834-286.pdf#page=3","Abrir facsímil")</f>
        <v>Abrir facsímil</v>
      </c>
      <c r="K2930" s="3" t="s">
        <v>24</v>
      </c>
    </row>
    <row r="2931" spans="1:11" ht="54" customHeight="1">
      <c r="A2931" s="2" t="s">
        <v>6598</v>
      </c>
      <c r="B2931" s="2" t="s">
        <v>6598</v>
      </c>
      <c r="C2931" s="2" t="s">
        <v>66</v>
      </c>
      <c r="D2931" s="2" t="s">
        <v>67</v>
      </c>
      <c r="E2931" s="5" t="s">
        <v>468</v>
      </c>
      <c r="F2931" s="3" t="s">
        <v>469</v>
      </c>
      <c r="G2931" s="3" t="s">
        <v>2174</v>
      </c>
      <c r="H2931" s="2" t="s">
        <v>22</v>
      </c>
      <c r="I2931" s="2" t="s">
        <v>6621</v>
      </c>
      <c r="J2931" s="3" t="str">
        <f>HYPERLINK("https://www.boe.es/gazeta/dias/1834/12/28/pdfs/GMD-C-1834-318.pdf#page=10","Abrir facsímil")</f>
        <v>Abrir facsímil</v>
      </c>
      <c r="K2931" s="3" t="s">
        <v>24</v>
      </c>
    </row>
    <row r="2932" spans="1:11" ht="54" customHeight="1">
      <c r="A2932" s="2" t="s">
        <v>6598</v>
      </c>
      <c r="B2932" s="2" t="s">
        <v>6598</v>
      </c>
      <c r="C2932" s="2" t="s">
        <v>46</v>
      </c>
      <c r="D2932" s="2" t="s">
        <v>18</v>
      </c>
      <c r="E2932" s="5" t="s">
        <v>280</v>
      </c>
      <c r="F2932" s="3" t="s">
        <v>281</v>
      </c>
      <c r="G2932" s="3" t="s">
        <v>560</v>
      </c>
      <c r="H2932" s="2" t="s">
        <v>22</v>
      </c>
      <c r="I2932" s="2" t="s">
        <v>6622</v>
      </c>
      <c r="J2932" s="3" t="str">
        <f>HYPERLINK("https://www.boe.es/gazeta/dias/1834/08/29/pdfs/GMD-C-1834-195.pdf#page=7","Abrir facsímil")</f>
        <v>Abrir facsímil</v>
      </c>
      <c r="K2932" s="3" t="s">
        <v>24</v>
      </c>
    </row>
    <row r="2933" spans="1:11" ht="54" customHeight="1">
      <c r="A2933" s="2" t="s">
        <v>6598</v>
      </c>
      <c r="B2933" s="2" t="s">
        <v>6598</v>
      </c>
      <c r="C2933" s="2" t="s">
        <v>17</v>
      </c>
      <c r="D2933" s="2" t="s">
        <v>18</v>
      </c>
      <c r="E2933" s="5" t="s">
        <v>286</v>
      </c>
      <c r="F2933" s="3" t="s">
        <v>287</v>
      </c>
      <c r="G2933" s="3" t="s">
        <v>75</v>
      </c>
      <c r="H2933" s="2" t="s">
        <v>22</v>
      </c>
      <c r="I2933" s="2" t="s">
        <v>6623</v>
      </c>
      <c r="J2933" s="3" t="str">
        <f>HYPERLINK("https://www.boe.es/gazeta/dias/1834/08/30/pdfs/GMD-C-1834-196.pdf#page=4","Abrir facsímil")</f>
        <v>Abrir facsímil</v>
      </c>
      <c r="K2933" s="3" t="s">
        <v>24</v>
      </c>
    </row>
    <row r="2934" spans="1:11" ht="54" customHeight="1">
      <c r="A2934" s="2" t="s">
        <v>6598</v>
      </c>
      <c r="B2934" s="2" t="s">
        <v>6598</v>
      </c>
      <c r="C2934" s="2" t="s">
        <v>17</v>
      </c>
      <c r="D2934" s="2" t="s">
        <v>18</v>
      </c>
      <c r="E2934" s="5" t="s">
        <v>187</v>
      </c>
      <c r="F2934" s="3" t="s">
        <v>1715</v>
      </c>
      <c r="G2934" s="3" t="s">
        <v>34</v>
      </c>
      <c r="H2934" s="2" t="s">
        <v>22</v>
      </c>
      <c r="I2934" s="2" t="s">
        <v>6624</v>
      </c>
      <c r="J2934" s="3" t="str">
        <f>HYPERLINK("https://www.boe.es/gazeta/dias/1834/09/30/pdfs/GMD-C-1834-228.pdf#page=1","Abrir facsímil")</f>
        <v>Abrir facsímil</v>
      </c>
      <c r="K2934" s="3" t="s">
        <v>24</v>
      </c>
    </row>
    <row r="2935" spans="1:11" ht="54" customHeight="1">
      <c r="A2935" s="2" t="s">
        <v>6625</v>
      </c>
      <c r="B2935" s="2" t="s">
        <v>6626</v>
      </c>
      <c r="C2935" s="2" t="s">
        <v>17</v>
      </c>
      <c r="D2935" s="2" t="s">
        <v>18</v>
      </c>
      <c r="E2935" s="5" t="s">
        <v>793</v>
      </c>
      <c r="F2935" s="3" t="s">
        <v>1895</v>
      </c>
      <c r="G2935" s="3" t="s">
        <v>21</v>
      </c>
      <c r="H2935" s="2" t="s">
        <v>22</v>
      </c>
      <c r="I2935" s="2" t="s">
        <v>6627</v>
      </c>
      <c r="J2935" s="3" t="str">
        <f>HYPERLINK("https://www.boe.es/gazeta/dias/1834/10/08/pdfs/GMD-C-1834-236.pdf#page=3","Abrir facsímil")</f>
        <v>Abrir facsímil</v>
      </c>
      <c r="K2935" s="3" t="s">
        <v>24</v>
      </c>
    </row>
    <row r="2936" spans="1:11" ht="54" customHeight="1">
      <c r="A2936" s="2" t="s">
        <v>6625</v>
      </c>
      <c r="B2936" s="2" t="s">
        <v>6626</v>
      </c>
      <c r="C2936" s="2" t="s">
        <v>17</v>
      </c>
      <c r="D2936" s="2" t="s">
        <v>55</v>
      </c>
      <c r="E2936" s="5" t="s">
        <v>438</v>
      </c>
      <c r="F2936" s="3" t="s">
        <v>528</v>
      </c>
      <c r="G2936" s="3" t="s">
        <v>75</v>
      </c>
      <c r="H2936" s="2" t="s">
        <v>22</v>
      </c>
      <c r="I2936" s="2" t="s">
        <v>6628</v>
      </c>
      <c r="J2936" s="3" t="str">
        <f>HYPERLINK("https://www.boe.es/gazeta/dias/1834/11/09/pdfs/GMD-C-1834-268.pdf#page=4","Abrir facsímil")</f>
        <v>Abrir facsímil</v>
      </c>
      <c r="K2936" s="3" t="s">
        <v>24</v>
      </c>
    </row>
    <row r="2937" spans="1:11" ht="54" customHeight="1">
      <c r="A2937" s="2" t="s">
        <v>6625</v>
      </c>
      <c r="B2937" s="2" t="s">
        <v>6626</v>
      </c>
      <c r="C2937" s="2" t="s">
        <v>66</v>
      </c>
      <c r="D2937" s="2" t="s">
        <v>67</v>
      </c>
      <c r="E2937" s="5" t="s">
        <v>642</v>
      </c>
      <c r="F2937" s="3" t="s">
        <v>643</v>
      </c>
      <c r="G2937" s="3" t="s">
        <v>470</v>
      </c>
      <c r="H2937" s="2" t="s">
        <v>22</v>
      </c>
      <c r="I2937" s="2" t="s">
        <v>6629</v>
      </c>
      <c r="J2937" s="3" t="str">
        <f>HYPERLINK("https://www.boe.es/gazeta/dias/1834/11/12/pdfs/GMD-C-1834-271.pdf#page=8","Abrir facsímil")</f>
        <v>Abrir facsímil</v>
      </c>
      <c r="K2937" s="3" t="s">
        <v>24</v>
      </c>
    </row>
    <row r="2938" spans="1:11" ht="54" customHeight="1">
      <c r="A2938" s="2" t="s">
        <v>6625</v>
      </c>
      <c r="B2938" s="2" t="s">
        <v>6626</v>
      </c>
      <c r="C2938" s="2" t="s">
        <v>17</v>
      </c>
      <c r="D2938" s="2" t="s">
        <v>18</v>
      </c>
      <c r="E2938" s="5" t="s">
        <v>1424</v>
      </c>
      <c r="F2938" s="3" t="s">
        <v>1425</v>
      </c>
      <c r="G2938" s="3" t="s">
        <v>176</v>
      </c>
      <c r="H2938" s="2" t="s">
        <v>22</v>
      </c>
      <c r="I2938" s="2" t="s">
        <v>6630</v>
      </c>
      <c r="J2938" s="3" t="str">
        <f>HYPERLINK("https://www.boe.es/gazeta/dias/1834/11/14/pdfs/GMD-C-1834-273.pdf#page=6","Abrir facsímil")</f>
        <v>Abrir facsímil</v>
      </c>
      <c r="K2938" s="3" t="s">
        <v>24</v>
      </c>
    </row>
    <row r="2939" spans="1:11" ht="54" customHeight="1">
      <c r="A2939" s="2" t="s">
        <v>6625</v>
      </c>
      <c r="B2939" s="2" t="s">
        <v>6626</v>
      </c>
      <c r="C2939" s="2" t="s">
        <v>17</v>
      </c>
      <c r="D2939" s="2" t="s">
        <v>18</v>
      </c>
      <c r="E2939" s="5" t="s">
        <v>2087</v>
      </c>
      <c r="F2939" s="3" t="s">
        <v>2267</v>
      </c>
      <c r="G2939" s="3" t="s">
        <v>2174</v>
      </c>
      <c r="H2939" s="2" t="s">
        <v>22</v>
      </c>
      <c r="I2939" s="2" t="s">
        <v>6631</v>
      </c>
      <c r="J2939" s="3" t="str">
        <f>HYPERLINK("https://www.boe.es/gazeta/dias/1834/12/14/pdfs/GMD-C-1834-303.pdf#page=10","Abrir facsímil")</f>
        <v>Abrir facsímil</v>
      </c>
      <c r="K2939" s="3" t="s">
        <v>24</v>
      </c>
    </row>
    <row r="2940" spans="1:11" ht="54" customHeight="1">
      <c r="A2940" s="2" t="s">
        <v>6625</v>
      </c>
      <c r="B2940" s="2" t="s">
        <v>6626</v>
      </c>
      <c r="C2940" s="2" t="s">
        <v>17</v>
      </c>
      <c r="D2940" s="2" t="s">
        <v>18</v>
      </c>
      <c r="E2940" s="5" t="s">
        <v>2287</v>
      </c>
      <c r="F2940" s="3" t="s">
        <v>2288</v>
      </c>
      <c r="G2940" s="3" t="s">
        <v>176</v>
      </c>
      <c r="H2940" s="2" t="s">
        <v>22</v>
      </c>
      <c r="I2940" s="2" t="s">
        <v>6632</v>
      </c>
      <c r="J2940" s="3" t="str">
        <f>HYPERLINK("https://www.boe.es/gazeta/dias/1834/12/18/pdfs/GMD-C-1834-308.pdf#page=6","Abrir facsímil")</f>
        <v>Abrir facsímil</v>
      </c>
      <c r="K2940" s="3" t="s">
        <v>24</v>
      </c>
    </row>
    <row r="2941" spans="1:11" ht="54" customHeight="1">
      <c r="A2941" s="2" t="s">
        <v>6633</v>
      </c>
      <c r="B2941" s="2" t="s">
        <v>6634</v>
      </c>
      <c r="C2941" s="2" t="s">
        <v>17</v>
      </c>
      <c r="D2941" s="2" t="s">
        <v>18</v>
      </c>
      <c r="E2941" s="5" t="s">
        <v>679</v>
      </c>
      <c r="F2941" s="3" t="s">
        <v>699</v>
      </c>
      <c r="G2941" s="3" t="s">
        <v>470</v>
      </c>
      <c r="H2941" s="2" t="s">
        <v>22</v>
      </c>
      <c r="I2941" s="2" t="s">
        <v>6635</v>
      </c>
      <c r="J2941" s="3" t="str">
        <f>HYPERLINK("https://www.boe.es/gazeta/dias/1834/12/10/pdfs/GMD-C-1834-299.pdf#page=8","Abrir facsímil")</f>
        <v>Abrir facsímil</v>
      </c>
      <c r="K2941" s="3" t="s">
        <v>24</v>
      </c>
    </row>
    <row r="2942" spans="1:11" ht="54" customHeight="1">
      <c r="A2942" s="2" t="s">
        <v>6636</v>
      </c>
      <c r="B2942" s="2" t="s">
        <v>6637</v>
      </c>
      <c r="C2942" s="2" t="s">
        <v>66</v>
      </c>
      <c r="D2942" s="2" t="s">
        <v>67</v>
      </c>
      <c r="E2942" s="5" t="s">
        <v>1351</v>
      </c>
      <c r="F2942" s="3" t="s">
        <v>1352</v>
      </c>
      <c r="G2942" s="3" t="s">
        <v>75</v>
      </c>
      <c r="H2942" s="2" t="s">
        <v>35</v>
      </c>
      <c r="I2942" s="2" t="s">
        <v>6638</v>
      </c>
      <c r="J2942" s="3" t="str">
        <f>HYPERLINK("https://www.boe.es/gazeta/dias/1834/07/05/pdfs/GMD-1834-138.pdf#page=4","Abrir facsímil")</f>
        <v>Abrir facsímil</v>
      </c>
      <c r="K2942" s="3" t="s">
        <v>37</v>
      </c>
    </row>
    <row r="2943" spans="1:11" ht="54" customHeight="1">
      <c r="A2943" s="2" t="s">
        <v>6639</v>
      </c>
      <c r="B2943" s="2" t="s">
        <v>6640</v>
      </c>
      <c r="C2943" s="2" t="s">
        <v>66</v>
      </c>
      <c r="D2943" s="2" t="s">
        <v>67</v>
      </c>
      <c r="E2943" s="5" t="s">
        <v>84</v>
      </c>
      <c r="F2943" s="3" t="s">
        <v>1223</v>
      </c>
      <c r="G2943" s="3" t="s">
        <v>75</v>
      </c>
      <c r="H2943" s="2" t="s">
        <v>22</v>
      </c>
      <c r="I2943" s="2" t="s">
        <v>6641</v>
      </c>
      <c r="J2943" s="3" t="str">
        <f>HYPERLINK("https://www.boe.es/gazeta/dias/1834/06/07/pdfs/GMD-1834-109.pdf#page=4","Abrir facsímil")</f>
        <v>Abrir facsímil</v>
      </c>
      <c r="K2943" s="3" t="s">
        <v>24</v>
      </c>
    </row>
    <row r="2944" spans="1:11" ht="54" customHeight="1">
      <c r="A2944" s="2" t="s">
        <v>6642</v>
      </c>
      <c r="B2944" s="2" t="s">
        <v>6643</v>
      </c>
      <c r="C2944" s="2" t="s">
        <v>17</v>
      </c>
      <c r="D2944" s="2" t="s">
        <v>55</v>
      </c>
      <c r="E2944" s="5" t="s">
        <v>56</v>
      </c>
      <c r="F2944" s="3" t="s">
        <v>57</v>
      </c>
      <c r="G2944" s="3" t="s">
        <v>21</v>
      </c>
      <c r="H2944" s="2" t="s">
        <v>22</v>
      </c>
      <c r="I2944" s="2" t="s">
        <v>6644</v>
      </c>
      <c r="J2944" s="3" t="str">
        <f>HYPERLINK("https://www.boe.es/gazeta/dias/1834/07/09/pdfs/GMD-1834-142.pdf#page=3","Abrir facsímil")</f>
        <v>Abrir facsímil</v>
      </c>
      <c r="K2944" s="3" t="s">
        <v>24</v>
      </c>
    </row>
    <row r="2945" spans="1:11" ht="54" customHeight="1">
      <c r="A2945" s="2" t="s">
        <v>6645</v>
      </c>
      <c r="B2945" s="2" t="s">
        <v>6646</v>
      </c>
      <c r="C2945" s="2" t="s">
        <v>66</v>
      </c>
      <c r="D2945" s="2" t="s">
        <v>67</v>
      </c>
      <c r="E2945" s="5" t="s">
        <v>1351</v>
      </c>
      <c r="F2945" s="3" t="s">
        <v>1352</v>
      </c>
      <c r="G2945" s="3" t="s">
        <v>75</v>
      </c>
      <c r="H2945" s="2" t="s">
        <v>22</v>
      </c>
      <c r="I2945" s="2" t="s">
        <v>6647</v>
      </c>
      <c r="J2945" s="3" t="str">
        <f>HYPERLINK("https://www.boe.es/gazeta/dias/1834/07/05/pdfs/GMD-1834-138.pdf#page=4","Abrir facsímil")</f>
        <v>Abrir facsímil</v>
      </c>
      <c r="K2945" s="3" t="s">
        <v>24</v>
      </c>
    </row>
    <row r="2946" spans="1:11" ht="54" customHeight="1">
      <c r="A2946" s="2" t="s">
        <v>6648</v>
      </c>
      <c r="B2946" s="2" t="s">
        <v>6649</v>
      </c>
      <c r="C2946" s="2" t="s">
        <v>17</v>
      </c>
      <c r="D2946" s="2" t="s">
        <v>18</v>
      </c>
      <c r="E2946" s="5" t="s">
        <v>265</v>
      </c>
      <c r="F2946" s="3" t="s">
        <v>266</v>
      </c>
      <c r="G2946" s="3" t="s">
        <v>75</v>
      </c>
      <c r="H2946" s="2" t="s">
        <v>22</v>
      </c>
      <c r="I2946" s="2" t="s">
        <v>6650</v>
      </c>
      <c r="J2946" s="3" t="str">
        <f>HYPERLINK("https://www.boe.es/gazeta/dias/1834/11/19/pdfs/GMD-C-1834-278.pdf#page=4","Abrir facsímil")</f>
        <v>Abrir facsímil</v>
      </c>
      <c r="K2946" s="3" t="s">
        <v>24</v>
      </c>
    </row>
    <row r="2947" spans="1:11" ht="54" customHeight="1">
      <c r="A2947" s="2" t="s">
        <v>6651</v>
      </c>
      <c r="B2947" s="2" t="s">
        <v>6651</v>
      </c>
      <c r="C2947" s="2" t="s">
        <v>46</v>
      </c>
      <c r="D2947" s="2" t="s">
        <v>101</v>
      </c>
      <c r="E2947" s="5" t="s">
        <v>158</v>
      </c>
      <c r="F2947" s="3" t="s">
        <v>581</v>
      </c>
      <c r="G2947" s="3" t="s">
        <v>86</v>
      </c>
      <c r="H2947" s="2" t="s">
        <v>22</v>
      </c>
      <c r="I2947" s="2" t="s">
        <v>6652</v>
      </c>
      <c r="J2947" s="3" t="str">
        <f>HYPERLINK("https://www.boe.es/gazeta/dias/1834/10/01/pdfs/GMD-C-1834-229.pdf#page=2","Abrir facsímil")</f>
        <v>Abrir facsímil</v>
      </c>
      <c r="K2947" s="3" t="s">
        <v>24</v>
      </c>
    </row>
    <row r="2948" spans="1:11" ht="54" customHeight="1">
      <c r="A2948" s="2" t="s">
        <v>6653</v>
      </c>
      <c r="B2948" s="2" t="s">
        <v>6654</v>
      </c>
      <c r="C2948" s="2" t="s">
        <v>122</v>
      </c>
      <c r="D2948" s="2" t="s">
        <v>18</v>
      </c>
      <c r="E2948" s="5" t="s">
        <v>1747</v>
      </c>
      <c r="F2948" s="3" t="s">
        <v>1748</v>
      </c>
      <c r="G2948" s="3" t="s">
        <v>75</v>
      </c>
      <c r="H2948" s="2" t="s">
        <v>22</v>
      </c>
      <c r="I2948" s="2" t="s">
        <v>6655</v>
      </c>
      <c r="J2948" s="3" t="str">
        <f>HYPERLINK("https://www.boe.es/gazeta/dias/1834/06/29/pdfs/GMD-1834-132.pdf#page=4","Abrir facsímil")</f>
        <v>Abrir facsímil</v>
      </c>
      <c r="K2948" s="3" t="s">
        <v>24</v>
      </c>
    </row>
    <row r="2949" spans="1:11" ht="54" customHeight="1">
      <c r="A2949" s="2" t="s">
        <v>6656</v>
      </c>
      <c r="B2949" s="2" t="s">
        <v>6657</v>
      </c>
      <c r="C2949" s="2" t="s">
        <v>122</v>
      </c>
      <c r="D2949" s="2" t="s">
        <v>18</v>
      </c>
      <c r="E2949" s="5" t="s">
        <v>1747</v>
      </c>
      <c r="F2949" s="3" t="s">
        <v>1748</v>
      </c>
      <c r="G2949" s="3" t="s">
        <v>75</v>
      </c>
      <c r="H2949" s="2" t="s">
        <v>22</v>
      </c>
      <c r="I2949" s="2" t="s">
        <v>6658</v>
      </c>
      <c r="J2949" s="3" t="str">
        <f>HYPERLINK("https://www.boe.es/gazeta/dias/1834/06/29/pdfs/GMD-1834-132.pdf#page=4","Abrir facsímil")</f>
        <v>Abrir facsímil</v>
      </c>
      <c r="K2949" s="3" t="s">
        <v>24</v>
      </c>
    </row>
    <row r="2950" spans="1:11" ht="54" customHeight="1">
      <c r="A2950" s="2" t="s">
        <v>6659</v>
      </c>
      <c r="B2950" s="2" t="s">
        <v>6659</v>
      </c>
      <c r="C2950" s="2" t="s">
        <v>17</v>
      </c>
      <c r="D2950" s="2" t="s">
        <v>18</v>
      </c>
      <c r="E2950" s="5" t="s">
        <v>838</v>
      </c>
      <c r="F2950" s="3" t="s">
        <v>839</v>
      </c>
      <c r="G2950" s="3" t="s">
        <v>86</v>
      </c>
      <c r="H2950" s="2" t="s">
        <v>22</v>
      </c>
      <c r="I2950" s="2" t="s">
        <v>6660</v>
      </c>
      <c r="J2950" s="3" t="str">
        <f>HYPERLINK("https://www.boe.es/gazeta/dias/1834/07/18/pdfs/GMD-1834-151.pdf#page=2","Abrir facsímil")</f>
        <v>Abrir facsímil</v>
      </c>
      <c r="K2950" s="3" t="s">
        <v>24</v>
      </c>
    </row>
    <row r="2951" spans="1:11" ht="54" customHeight="1">
      <c r="A2951" s="2" t="s">
        <v>6661</v>
      </c>
      <c r="B2951" s="2" t="s">
        <v>6661</v>
      </c>
      <c r="C2951" s="2" t="s">
        <v>122</v>
      </c>
      <c r="D2951" s="2" t="s">
        <v>18</v>
      </c>
      <c r="E2951" s="5" t="s">
        <v>47</v>
      </c>
      <c r="F2951" s="3" t="s">
        <v>1466</v>
      </c>
      <c r="G2951" s="3" t="s">
        <v>86</v>
      </c>
      <c r="H2951" s="2" t="s">
        <v>22</v>
      </c>
      <c r="I2951" s="2" t="s">
        <v>6662</v>
      </c>
      <c r="J2951" s="3" t="str">
        <f>HYPERLINK("https://www.boe.es/gazeta/dias/1834/09/05/pdfs/GMD-1834-203.pdf#page=2","Abrir facsímil")</f>
        <v>Abrir facsímil</v>
      </c>
      <c r="K2951" s="3" t="s">
        <v>24</v>
      </c>
    </row>
    <row r="2952" spans="1:11" ht="54" customHeight="1">
      <c r="A2952" s="2" t="s">
        <v>6663</v>
      </c>
      <c r="B2952" s="2" t="s">
        <v>6663</v>
      </c>
      <c r="C2952" s="2" t="s">
        <v>46</v>
      </c>
      <c r="D2952" s="2" t="s">
        <v>55</v>
      </c>
      <c r="E2952" s="5" t="s">
        <v>283</v>
      </c>
      <c r="F2952" s="3" t="s">
        <v>2969</v>
      </c>
      <c r="G2952" s="3" t="s">
        <v>34</v>
      </c>
      <c r="H2952" s="2" t="s">
        <v>22</v>
      </c>
      <c r="I2952" s="2" t="s">
        <v>6664</v>
      </c>
      <c r="J2952" s="3" t="str">
        <f>HYPERLINK("https://www.boe.es/gazeta/dias/1834/11/29/pdfs/GMD-1834-288.pdf#page=1","Abrir facsímil")</f>
        <v>Abrir facsímil</v>
      </c>
      <c r="K2952" s="3" t="s">
        <v>24</v>
      </c>
    </row>
    <row r="2953" spans="1:11" ht="54" customHeight="1">
      <c r="A2953" s="2" t="s">
        <v>6665</v>
      </c>
      <c r="B2953" s="2" t="s">
        <v>6665</v>
      </c>
      <c r="C2953" s="2" t="s">
        <v>17</v>
      </c>
      <c r="D2953" s="2" t="s">
        <v>18</v>
      </c>
      <c r="E2953" s="5" t="s">
        <v>1922</v>
      </c>
      <c r="F2953" s="3" t="s">
        <v>1923</v>
      </c>
      <c r="G2953" s="3" t="s">
        <v>21</v>
      </c>
      <c r="H2953" s="2" t="s">
        <v>22</v>
      </c>
      <c r="I2953" s="2" t="s">
        <v>6666</v>
      </c>
      <c r="J2953" s="3" t="str">
        <f>HYPERLINK("https://www.boe.es/gazeta/dias/1834/02/25/pdfs/GMD-1834-25.pdf#page=3","Abrir facsímil")</f>
        <v>Abrir facsímil</v>
      </c>
      <c r="K2953" s="3" t="s">
        <v>24</v>
      </c>
    </row>
    <row r="2954" spans="1:11" ht="54" customHeight="1">
      <c r="A2954" s="2" t="s">
        <v>6667</v>
      </c>
      <c r="B2954" s="2" t="s">
        <v>6667</v>
      </c>
      <c r="C2954" s="2" t="s">
        <v>46</v>
      </c>
      <c r="D2954" s="2" t="s">
        <v>55</v>
      </c>
      <c r="E2954" s="5" t="s">
        <v>1680</v>
      </c>
      <c r="F2954" s="3" t="s">
        <v>1681</v>
      </c>
      <c r="G2954" s="3" t="s">
        <v>86</v>
      </c>
      <c r="H2954" s="2" t="s">
        <v>22</v>
      </c>
      <c r="I2954" s="2" t="s">
        <v>6668</v>
      </c>
      <c r="J2954" s="3" t="str">
        <f>HYPERLINK("https://www.boe.es/gazeta/dias/1834/02/27/pdfs/GMD-1834-26.pdf#page=2","Abrir facsímil")</f>
        <v>Abrir facsímil</v>
      </c>
      <c r="K2954" s="3" t="s">
        <v>24</v>
      </c>
    </row>
    <row r="2955" spans="1:11" ht="54" customHeight="1">
      <c r="A2955" s="2" t="s">
        <v>6669</v>
      </c>
      <c r="B2955" s="2" t="s">
        <v>6669</v>
      </c>
      <c r="C2955" s="2" t="s">
        <v>66</v>
      </c>
      <c r="D2955" s="2" t="s">
        <v>67</v>
      </c>
      <c r="E2955" s="5" t="s">
        <v>753</v>
      </c>
      <c r="F2955" s="3" t="s">
        <v>754</v>
      </c>
      <c r="G2955" s="3" t="s">
        <v>21</v>
      </c>
      <c r="H2955" s="2" t="s">
        <v>22</v>
      </c>
      <c r="I2955" s="2" t="s">
        <v>6670</v>
      </c>
      <c r="J2955" s="3" t="str">
        <f>HYPERLINK("https://www.boe.es/gazeta/dias/1834/04/21/pdfs/GMD-1834-60.pdf#page=3","Abrir facsímil")</f>
        <v>Abrir facsímil</v>
      </c>
      <c r="K2955" s="3" t="s">
        <v>24</v>
      </c>
    </row>
    <row r="2956" spans="1:11" ht="54" customHeight="1">
      <c r="A2956" s="2" t="s">
        <v>6671</v>
      </c>
      <c r="B2956" s="2" t="s">
        <v>6671</v>
      </c>
      <c r="C2956" s="2" t="s">
        <v>17</v>
      </c>
      <c r="D2956" s="2" t="s">
        <v>18</v>
      </c>
      <c r="E2956" s="5" t="s">
        <v>378</v>
      </c>
      <c r="F2956" s="3" t="s">
        <v>888</v>
      </c>
      <c r="G2956" s="3" t="s">
        <v>86</v>
      </c>
      <c r="H2956" s="2" t="s">
        <v>22</v>
      </c>
      <c r="I2956" s="2" t="s">
        <v>6672</v>
      </c>
      <c r="J2956" s="3" t="str">
        <f>HYPERLINK("https://www.boe.es/gazeta/dias/1834/09/24/pdfs/GMD-C-1834-222.pdf#page=2","Abrir facsímil")</f>
        <v>Abrir facsímil</v>
      </c>
      <c r="K2956" s="3" t="s">
        <v>24</v>
      </c>
    </row>
    <row r="2957" spans="1:11" ht="54" customHeight="1">
      <c r="A2957" s="2" t="s">
        <v>6671</v>
      </c>
      <c r="B2957" s="2" t="s">
        <v>6671</v>
      </c>
      <c r="C2957" s="2" t="s">
        <v>17</v>
      </c>
      <c r="D2957" s="2" t="s">
        <v>18</v>
      </c>
      <c r="E2957" s="5" t="s">
        <v>462</v>
      </c>
      <c r="F2957" s="3" t="s">
        <v>463</v>
      </c>
      <c r="G2957" s="3" t="s">
        <v>34</v>
      </c>
      <c r="H2957" s="2" t="s">
        <v>22</v>
      </c>
      <c r="I2957" s="2" t="s">
        <v>6673</v>
      </c>
      <c r="J2957" s="3" t="str">
        <f>HYPERLINK("https://www.boe.es/gazeta/dias/1834/08/27/pdfs/GMD-C-1834-193.pdf#page=1","Abrir facsímil")</f>
        <v>Abrir facsímil</v>
      </c>
      <c r="K2957" s="3" t="s">
        <v>24</v>
      </c>
    </row>
    <row r="2958" spans="1:11" ht="54" customHeight="1">
      <c r="A2958" s="2" t="s">
        <v>6674</v>
      </c>
      <c r="B2958" s="2" t="s">
        <v>6674</v>
      </c>
      <c r="C2958" s="2" t="s">
        <v>46</v>
      </c>
      <c r="D2958" s="2" t="s">
        <v>101</v>
      </c>
      <c r="E2958" s="5" t="s">
        <v>2203</v>
      </c>
      <c r="F2958" s="3" t="s">
        <v>2204</v>
      </c>
      <c r="G2958" s="3" t="s">
        <v>28</v>
      </c>
      <c r="H2958" s="2" t="s">
        <v>22</v>
      </c>
      <c r="I2958" s="2" t="s">
        <v>6675</v>
      </c>
      <c r="J2958" s="3" t="str">
        <f>HYPERLINK("https://www.boe.es/gazeta/dias/1834/09/10/pdfs/GMD-C-1834-208.pdf#page=5","Abrir facsímil")</f>
        <v>Abrir facsímil</v>
      </c>
      <c r="K2958" s="3" t="s">
        <v>24</v>
      </c>
    </row>
    <row r="2959" spans="1:11" ht="54" customHeight="1">
      <c r="A2959" s="2" t="s">
        <v>6676</v>
      </c>
      <c r="B2959" s="2" t="s">
        <v>6677</v>
      </c>
      <c r="C2959" s="2" t="s">
        <v>122</v>
      </c>
      <c r="D2959" s="2" t="s">
        <v>18</v>
      </c>
      <c r="E2959" s="5" t="s">
        <v>615</v>
      </c>
      <c r="F2959" s="3" t="s">
        <v>1205</v>
      </c>
      <c r="G2959" s="3" t="s">
        <v>86</v>
      </c>
      <c r="H2959" s="2" t="s">
        <v>35</v>
      </c>
      <c r="I2959" s="2" t="s">
        <v>6678</v>
      </c>
      <c r="J2959" s="3" t="str">
        <f>HYPERLINK("https://www.boe.es/gazeta/dias/1834/08/19/pdfs/GMD-D-1834-185.pdf#page=2","Abrir facsímil")</f>
        <v>Abrir facsímil</v>
      </c>
      <c r="K2959" s="3" t="s">
        <v>37</v>
      </c>
    </row>
    <row r="2960" spans="1:11" ht="54" customHeight="1">
      <c r="A2960" s="2" t="s">
        <v>6676</v>
      </c>
      <c r="B2960" s="2" t="s">
        <v>6677</v>
      </c>
      <c r="C2960" s="2" t="s">
        <v>46</v>
      </c>
      <c r="D2960" s="2" t="s">
        <v>101</v>
      </c>
      <c r="E2960" s="5" t="s">
        <v>462</v>
      </c>
      <c r="F2960" s="3" t="s">
        <v>463</v>
      </c>
      <c r="G2960" s="3" t="s">
        <v>21</v>
      </c>
      <c r="H2960" s="2" t="s">
        <v>35</v>
      </c>
      <c r="I2960" s="2" t="s">
        <v>6679</v>
      </c>
      <c r="J2960" s="3" t="str">
        <f>HYPERLINK("https://www.boe.es/gazeta/dias/1834/08/27/pdfs/GMD-C-1834-193.pdf#page=3","Abrir facsímil")</f>
        <v>Abrir facsímil</v>
      </c>
      <c r="K2960" s="3" t="s">
        <v>37</v>
      </c>
    </row>
    <row r="2961" spans="1:11" ht="54" customHeight="1">
      <c r="A2961" s="2" t="s">
        <v>6680</v>
      </c>
      <c r="B2961" s="2" t="s">
        <v>6681</v>
      </c>
      <c r="C2961" s="2" t="s">
        <v>17</v>
      </c>
      <c r="D2961" s="2" t="s">
        <v>55</v>
      </c>
      <c r="E2961" s="5" t="s">
        <v>56</v>
      </c>
      <c r="F2961" s="3" t="s">
        <v>57</v>
      </c>
      <c r="G2961" s="3" t="s">
        <v>21</v>
      </c>
      <c r="H2961" s="2" t="s">
        <v>22</v>
      </c>
      <c r="I2961" s="2" t="s">
        <v>6682</v>
      </c>
      <c r="J2961" s="3" t="str">
        <f>HYPERLINK("https://www.boe.es/gazeta/dias/1834/07/09/pdfs/GMD-1834-142.pdf#page=3","Abrir facsímil")</f>
        <v>Abrir facsímil</v>
      </c>
      <c r="K2961" s="3" t="s">
        <v>24</v>
      </c>
    </row>
    <row r="2962" spans="1:11" ht="54" customHeight="1">
      <c r="A2962" s="2" t="s">
        <v>6683</v>
      </c>
      <c r="B2962" s="2" t="s">
        <v>6684</v>
      </c>
      <c r="C2962" s="2" t="s">
        <v>17</v>
      </c>
      <c r="D2962" s="2" t="s">
        <v>18</v>
      </c>
      <c r="E2962" s="5" t="s">
        <v>158</v>
      </c>
      <c r="F2962" s="3" t="s">
        <v>581</v>
      </c>
      <c r="G2962" s="3" t="s">
        <v>75</v>
      </c>
      <c r="H2962" s="2" t="s">
        <v>22</v>
      </c>
      <c r="I2962" s="2" t="s">
        <v>6685</v>
      </c>
      <c r="J2962" s="3" t="str">
        <f>HYPERLINK("https://www.boe.es/gazeta/dias/1834/10/01/pdfs/GMD-C-1834-229.pdf#page=4","Abrir facsímil")</f>
        <v>Abrir facsímil</v>
      </c>
      <c r="K2962" s="3" t="s">
        <v>24</v>
      </c>
    </row>
    <row r="2963" spans="1:11" ht="54" customHeight="1">
      <c r="A2963" s="2" t="s">
        <v>6686</v>
      </c>
      <c r="B2963" s="2" t="s">
        <v>6687</v>
      </c>
      <c r="C2963" s="2" t="s">
        <v>17</v>
      </c>
      <c r="D2963" s="2" t="s">
        <v>18</v>
      </c>
      <c r="E2963" s="5" t="s">
        <v>696</v>
      </c>
      <c r="F2963" s="3" t="s">
        <v>697</v>
      </c>
      <c r="G2963" s="3" t="s">
        <v>34</v>
      </c>
      <c r="H2963" s="2" t="s">
        <v>22</v>
      </c>
      <c r="I2963" s="2" t="s">
        <v>6688</v>
      </c>
      <c r="J2963" s="3" t="str">
        <f>HYPERLINK("https://www.boe.es/gazeta/dias/1834/12/06/pdfs/GMD-C-1834-295.pdf#page=1","Abrir facsímil")</f>
        <v>Abrir facsímil</v>
      </c>
      <c r="K2963" s="3" t="s">
        <v>24</v>
      </c>
    </row>
    <row r="2964" spans="1:11" ht="54" customHeight="1">
      <c r="A2964" s="2" t="s">
        <v>6686</v>
      </c>
      <c r="B2964" s="2" t="s">
        <v>6687</v>
      </c>
      <c r="C2964" s="2" t="s">
        <v>46</v>
      </c>
      <c r="D2964" s="2" t="s">
        <v>18</v>
      </c>
      <c r="E2964" s="5" t="s">
        <v>928</v>
      </c>
      <c r="F2964" s="3" t="s">
        <v>929</v>
      </c>
      <c r="G2964" s="3" t="s">
        <v>21</v>
      </c>
      <c r="H2964" s="2" t="s">
        <v>22</v>
      </c>
      <c r="I2964" s="2" t="s">
        <v>6689</v>
      </c>
      <c r="J2964" s="3" t="str">
        <f>HYPERLINK("https://www.boe.es/gazeta/dias/1834/11/15/pdfs/GMD-C-1834-274.pdf#page=3","Abrir facsímil")</f>
        <v>Abrir facsímil</v>
      </c>
      <c r="K2964" s="3" t="s">
        <v>24</v>
      </c>
    </row>
    <row r="2965" spans="1:11" ht="54" customHeight="1">
      <c r="A2965" s="2" t="s">
        <v>6686</v>
      </c>
      <c r="B2965" s="2" t="s">
        <v>6687</v>
      </c>
      <c r="C2965" s="2" t="s">
        <v>17</v>
      </c>
      <c r="D2965" s="2" t="s">
        <v>18</v>
      </c>
      <c r="E2965" s="5" t="s">
        <v>2142</v>
      </c>
      <c r="F2965" s="3" t="s">
        <v>2316</v>
      </c>
      <c r="G2965" s="3" t="s">
        <v>34</v>
      </c>
      <c r="H2965" s="2" t="s">
        <v>22</v>
      </c>
      <c r="I2965" s="2" t="s">
        <v>6690</v>
      </c>
      <c r="J2965" s="3" t="str">
        <f>HYPERLINK("https://www.boe.es/gazeta/dias/1834/12/27/pdfs/GMD-C-1834-317.pdf#page=1","Abrir facsímil")</f>
        <v>Abrir facsímil</v>
      </c>
      <c r="K2965" s="3" t="s">
        <v>24</v>
      </c>
    </row>
    <row r="2966" spans="1:11" ht="54" customHeight="1">
      <c r="A2966" s="2" t="s">
        <v>6691</v>
      </c>
      <c r="B2966" s="2" t="s">
        <v>6692</v>
      </c>
      <c r="C2966" s="2" t="s">
        <v>122</v>
      </c>
      <c r="D2966" s="2" t="s">
        <v>18</v>
      </c>
      <c r="E2966" s="5" t="s">
        <v>615</v>
      </c>
      <c r="F2966" s="3" t="s">
        <v>1205</v>
      </c>
      <c r="G2966" s="3" t="s">
        <v>86</v>
      </c>
      <c r="H2966" s="2" t="s">
        <v>22</v>
      </c>
      <c r="I2966" s="2" t="s">
        <v>6693</v>
      </c>
      <c r="J2966" s="3" t="str">
        <f>HYPERLINK("https://www.boe.es/gazeta/dias/1834/08/19/pdfs/GMD-D-1834-185.pdf#page=2","Abrir facsímil")</f>
        <v>Abrir facsímil</v>
      </c>
      <c r="K2966" s="3" t="s">
        <v>24</v>
      </c>
    </row>
    <row r="2967" spans="1:11" ht="54" customHeight="1">
      <c r="A2967" s="2" t="s">
        <v>6691</v>
      </c>
      <c r="B2967" s="2" t="s">
        <v>6692</v>
      </c>
      <c r="C2967" s="2" t="s">
        <v>46</v>
      </c>
      <c r="D2967" s="2" t="s">
        <v>101</v>
      </c>
      <c r="E2967" s="5" t="s">
        <v>462</v>
      </c>
      <c r="F2967" s="3" t="s">
        <v>463</v>
      </c>
      <c r="G2967" s="3" t="s">
        <v>21</v>
      </c>
      <c r="H2967" s="2" t="s">
        <v>22</v>
      </c>
      <c r="I2967" s="2" t="s">
        <v>6694</v>
      </c>
      <c r="J2967" s="3" t="str">
        <f>HYPERLINK("https://www.boe.es/gazeta/dias/1834/08/27/pdfs/GMD-C-1834-193.pdf#page=3","Abrir facsímil")</f>
        <v>Abrir facsímil</v>
      </c>
      <c r="K2967" s="3" t="s">
        <v>24</v>
      </c>
    </row>
    <row r="2968" spans="1:11" ht="54" customHeight="1">
      <c r="A2968" s="2" t="s">
        <v>6695</v>
      </c>
      <c r="B2968" s="2" t="s">
        <v>6696</v>
      </c>
      <c r="C2968" s="2" t="s">
        <v>90</v>
      </c>
      <c r="D2968" s="2" t="s">
        <v>55</v>
      </c>
      <c r="E2968" s="5" t="s">
        <v>339</v>
      </c>
      <c r="F2968" s="3" t="s">
        <v>340</v>
      </c>
      <c r="G2968" s="3" t="s">
        <v>34</v>
      </c>
      <c r="H2968" s="2" t="s">
        <v>22</v>
      </c>
      <c r="I2968" s="2" t="s">
        <v>6697</v>
      </c>
      <c r="J2968" s="3" t="str">
        <f>HYPERLINK("https://www.boe.es/gazeta/dias/1834/05/02/pdfs/GMD-1834-71.pdf#page=1","Abrir facsímil")</f>
        <v>Abrir facsímil</v>
      </c>
      <c r="K2968" s="3" t="s">
        <v>24</v>
      </c>
    </row>
    <row r="2969" spans="1:11" ht="54" customHeight="1">
      <c r="A2969" s="2" t="s">
        <v>6698</v>
      </c>
      <c r="B2969" s="2" t="s">
        <v>6699</v>
      </c>
      <c r="C2969" s="2" t="s">
        <v>17</v>
      </c>
      <c r="D2969" s="2" t="s">
        <v>18</v>
      </c>
      <c r="E2969" s="5" t="s">
        <v>375</v>
      </c>
      <c r="F2969" s="3" t="s">
        <v>376</v>
      </c>
      <c r="G2969" s="3" t="s">
        <v>34</v>
      </c>
      <c r="H2969" s="2" t="s">
        <v>22</v>
      </c>
      <c r="I2969" s="2" t="s">
        <v>6700</v>
      </c>
      <c r="J2969" s="3" t="str">
        <f>HYPERLINK("https://www.boe.es/gazeta/dias/1834/08/21/pdfs/GMD-1834-187.pdf#page=1","Abrir facsímil")</f>
        <v>Abrir facsímil</v>
      </c>
      <c r="K2969" s="3" t="s">
        <v>24</v>
      </c>
    </row>
    <row r="2970" spans="1:11" ht="54" customHeight="1">
      <c r="A2970" s="2" t="s">
        <v>6701</v>
      </c>
      <c r="B2970" s="2" t="s">
        <v>6702</v>
      </c>
      <c r="C2970" s="2" t="s">
        <v>17</v>
      </c>
      <c r="D2970" s="2" t="s">
        <v>101</v>
      </c>
      <c r="E2970" s="5" t="s">
        <v>753</v>
      </c>
      <c r="F2970" s="3" t="s">
        <v>754</v>
      </c>
      <c r="G2970" s="3" t="s">
        <v>34</v>
      </c>
      <c r="H2970" s="2" t="s">
        <v>22</v>
      </c>
      <c r="I2970" s="2" t="s">
        <v>6703</v>
      </c>
      <c r="J2970" s="3" t="str">
        <f>HYPERLINK("https://www.boe.es/gazeta/dias/1834/04/21/pdfs/GMD-1834-60.pdf#page=1","Abrir facsímil")</f>
        <v>Abrir facsímil</v>
      </c>
      <c r="K2970" s="3" t="s">
        <v>24</v>
      </c>
    </row>
    <row r="2971" spans="1:11" ht="54" customHeight="1">
      <c r="A2971" s="2" t="s">
        <v>6704</v>
      </c>
      <c r="B2971" s="2" t="s">
        <v>6705</v>
      </c>
      <c r="C2971" s="2" t="s">
        <v>122</v>
      </c>
      <c r="D2971" s="2" t="s">
        <v>18</v>
      </c>
      <c r="E2971" s="5" t="s">
        <v>4637</v>
      </c>
      <c r="F2971" s="3" t="s">
        <v>4638</v>
      </c>
      <c r="G2971" s="3" t="s">
        <v>21</v>
      </c>
      <c r="H2971" s="2" t="s">
        <v>22</v>
      </c>
      <c r="I2971" s="2" t="s">
        <v>6706</v>
      </c>
      <c r="J2971" s="3" t="str">
        <f>HYPERLINK("https://www.boe.es/gazeta/dias/1834/12/08/pdfs/GMD-1834-297.pdf#page=3","Abrir facsímil")</f>
        <v>Abrir facsímil</v>
      </c>
      <c r="K2971" s="3" t="s">
        <v>24</v>
      </c>
    </row>
    <row r="2972" spans="1:11" ht="54" customHeight="1">
      <c r="A2972" s="2" t="s">
        <v>6707</v>
      </c>
      <c r="B2972" s="2" t="s">
        <v>6708</v>
      </c>
      <c r="C2972" s="2" t="s">
        <v>122</v>
      </c>
      <c r="D2972" s="2" t="s">
        <v>18</v>
      </c>
      <c r="E2972" s="5" t="s">
        <v>2037</v>
      </c>
      <c r="F2972" s="3" t="s">
        <v>2038</v>
      </c>
      <c r="G2972" s="3" t="s">
        <v>34</v>
      </c>
      <c r="H2972" s="2" t="s">
        <v>22</v>
      </c>
      <c r="I2972" s="2" t="s">
        <v>6709</v>
      </c>
      <c r="J2972" s="3" t="str">
        <f>HYPERLINK("https://www.boe.es/gazeta/dias/1834/12/01/pdfs/I01208-01208.pdf#page=1","Abrir facsímil")</f>
        <v>Abrir facsímil</v>
      </c>
      <c r="K2972" s="3" t="s">
        <v>24</v>
      </c>
    </row>
    <row r="2973" spans="1:11" ht="54" customHeight="1">
      <c r="A2973" s="2" t="s">
        <v>6707</v>
      </c>
      <c r="B2973" s="2" t="s">
        <v>6708</v>
      </c>
      <c r="C2973" s="2" t="s">
        <v>122</v>
      </c>
      <c r="D2973" s="2" t="s">
        <v>18</v>
      </c>
      <c r="E2973" s="5" t="s">
        <v>2037</v>
      </c>
      <c r="F2973" s="3" t="s">
        <v>2038</v>
      </c>
      <c r="G2973" s="3" t="s">
        <v>75</v>
      </c>
      <c r="H2973" s="2" t="s">
        <v>22</v>
      </c>
      <c r="I2973" s="2" t="s">
        <v>6709</v>
      </c>
      <c r="J2973" s="3" t="str">
        <f>HYPERLINK("https://www.boe.es/gazeta/dias/1834/12/01/pdfs/GMD-1834-290.pdf#page=4","Abrir facsímil")</f>
        <v>Abrir facsímil</v>
      </c>
      <c r="K2973" s="3" t="s">
        <v>24</v>
      </c>
    </row>
    <row r="2974" spans="1:11" ht="54" customHeight="1">
      <c r="A2974" s="2" t="s">
        <v>6707</v>
      </c>
      <c r="B2974" s="2" t="s">
        <v>6708</v>
      </c>
      <c r="C2974" s="2" t="s">
        <v>17</v>
      </c>
      <c r="D2974" s="2" t="s">
        <v>18</v>
      </c>
      <c r="E2974" s="5" t="s">
        <v>1351</v>
      </c>
      <c r="F2974" s="3" t="s">
        <v>1352</v>
      </c>
      <c r="G2974" s="3" t="s">
        <v>28</v>
      </c>
      <c r="H2974" s="2" t="s">
        <v>22</v>
      </c>
      <c r="I2974" s="2" t="s">
        <v>6710</v>
      </c>
      <c r="J2974" s="3" t="str">
        <f>HYPERLINK("https://www.boe.es/gazeta/dias/1834/07/05/pdfs/GMD-1834-138.pdf#page=5","Abrir facsímil")</f>
        <v>Abrir facsímil</v>
      </c>
      <c r="K2974" s="3" t="s">
        <v>24</v>
      </c>
    </row>
    <row r="2975" spans="1:11" ht="54" customHeight="1">
      <c r="A2975" s="2" t="s">
        <v>6707</v>
      </c>
      <c r="B2975" s="2" t="s">
        <v>6708</v>
      </c>
      <c r="C2975" s="2" t="s">
        <v>17</v>
      </c>
      <c r="D2975" s="2" t="s">
        <v>18</v>
      </c>
      <c r="E2975" s="5" t="s">
        <v>243</v>
      </c>
      <c r="F2975" s="3" t="s">
        <v>1109</v>
      </c>
      <c r="G2975" s="3" t="s">
        <v>21</v>
      </c>
      <c r="H2975" s="2" t="s">
        <v>22</v>
      </c>
      <c r="I2975" s="2" t="s">
        <v>6711</v>
      </c>
      <c r="J2975" s="3" t="str">
        <f>HYPERLINK("https://www.boe.es/gazeta/dias/1834/08/05/pdfs/GMD-1834-169.pdf#page=3","Abrir facsímil")</f>
        <v>Abrir facsímil</v>
      </c>
      <c r="K2975" s="3" t="s">
        <v>24</v>
      </c>
    </row>
    <row r="2976" spans="1:11" ht="54" customHeight="1">
      <c r="A2976" s="2" t="s">
        <v>6707</v>
      </c>
      <c r="B2976" s="2" t="s">
        <v>6708</v>
      </c>
      <c r="C2976" s="2" t="s">
        <v>90</v>
      </c>
      <c r="D2976" s="2" t="s">
        <v>55</v>
      </c>
      <c r="E2976" s="5" t="s">
        <v>928</v>
      </c>
      <c r="F2976" s="3" t="s">
        <v>3338</v>
      </c>
      <c r="G2976" s="3" t="s">
        <v>34</v>
      </c>
      <c r="H2976" s="2" t="s">
        <v>22</v>
      </c>
      <c r="I2976" s="2" t="s">
        <v>6712</v>
      </c>
      <c r="J2976" s="3" t="str">
        <f>HYPERLINK("https://www.boe.es/gazeta/dias/1834/11/15/pdfs/GMD-1834-274.pdf#page=1","Abrir facsímil")</f>
        <v>Abrir facsímil</v>
      </c>
      <c r="K2976" s="3" t="s">
        <v>24</v>
      </c>
    </row>
    <row r="2977" spans="1:11" ht="54" customHeight="1">
      <c r="A2977" s="2" t="s">
        <v>6713</v>
      </c>
      <c r="B2977" s="2" t="s">
        <v>6714</v>
      </c>
      <c r="C2977" s="2" t="s">
        <v>46</v>
      </c>
      <c r="D2977" s="2" t="s">
        <v>101</v>
      </c>
      <c r="E2977" s="5" t="s">
        <v>870</v>
      </c>
      <c r="F2977" s="3" t="s">
        <v>871</v>
      </c>
      <c r="G2977" s="3" t="s">
        <v>75</v>
      </c>
      <c r="H2977" s="2" t="s">
        <v>35</v>
      </c>
      <c r="I2977" s="2" t="s">
        <v>6715</v>
      </c>
      <c r="J2977" s="3" t="str">
        <f>HYPERLINK("https://www.boe.es/gazeta/dias/1834/05/28/pdfs/GMD-1834-97.pdf#page=4","Abrir facsímil")</f>
        <v>Abrir facsímil</v>
      </c>
      <c r="K2977" s="3" t="s">
        <v>37</v>
      </c>
    </row>
    <row r="2978" spans="1:11" ht="54" customHeight="1">
      <c r="A2978" s="2" t="s">
        <v>6716</v>
      </c>
      <c r="B2978" s="2" t="s">
        <v>6717</v>
      </c>
      <c r="C2978" s="2" t="s">
        <v>46</v>
      </c>
      <c r="D2978" s="2" t="s">
        <v>101</v>
      </c>
      <c r="E2978" s="5" t="s">
        <v>870</v>
      </c>
      <c r="F2978" s="3" t="s">
        <v>871</v>
      </c>
      <c r="G2978" s="3" t="s">
        <v>75</v>
      </c>
      <c r="H2978" s="2" t="s">
        <v>22</v>
      </c>
      <c r="I2978" s="2" t="s">
        <v>6718</v>
      </c>
      <c r="J2978" s="3" t="str">
        <f>HYPERLINK("https://www.boe.es/gazeta/dias/1834/05/28/pdfs/GMD-1834-97.pdf#page=4","Abrir facsímil")</f>
        <v>Abrir facsímil</v>
      </c>
      <c r="K2978" s="3" t="s">
        <v>24</v>
      </c>
    </row>
    <row r="2979" spans="1:11" ht="54" customHeight="1">
      <c r="A2979" s="2" t="s">
        <v>6719</v>
      </c>
      <c r="B2979" s="2" t="s">
        <v>6719</v>
      </c>
      <c r="C2979" s="2" t="s">
        <v>90</v>
      </c>
      <c r="D2979" s="2" t="s">
        <v>18</v>
      </c>
      <c r="E2979" s="5" t="s">
        <v>1084</v>
      </c>
      <c r="F2979" s="3" t="s">
        <v>1085</v>
      </c>
      <c r="G2979" s="3" t="s">
        <v>86</v>
      </c>
      <c r="H2979" s="2" t="s">
        <v>22</v>
      </c>
      <c r="I2979" s="2" t="s">
        <v>6720</v>
      </c>
      <c r="J2979" s="3" t="str">
        <f>HYPERLINK("https://www.boe.es/gazeta/dias/1834/05/01/pdfs/GMD-1834-70.pdf#page=2","Abrir facsímil")</f>
        <v>Abrir facsímil</v>
      </c>
      <c r="K2979" s="3" t="s">
        <v>24</v>
      </c>
    </row>
    <row r="2980" spans="1:11" ht="54" customHeight="1">
      <c r="A2980" s="2" t="s">
        <v>6721</v>
      </c>
      <c r="B2980" s="2" t="s">
        <v>6722</v>
      </c>
      <c r="C2980" s="2" t="s">
        <v>17</v>
      </c>
      <c r="D2980" s="2" t="s">
        <v>101</v>
      </c>
      <c r="E2980" s="5" t="s">
        <v>753</v>
      </c>
      <c r="F2980" s="3" t="s">
        <v>754</v>
      </c>
      <c r="G2980" s="3" t="s">
        <v>34</v>
      </c>
      <c r="H2980" s="2" t="s">
        <v>22</v>
      </c>
      <c r="I2980" s="2" t="s">
        <v>6723</v>
      </c>
      <c r="J2980" s="3" t="str">
        <f>HYPERLINK("https://www.boe.es/gazeta/dias/1834/04/21/pdfs/GMD-1834-60.pdf#page=1","Abrir facsímil")</f>
        <v>Abrir facsímil</v>
      </c>
      <c r="K2980" s="3" t="s">
        <v>24</v>
      </c>
    </row>
    <row r="2981" spans="1:11" ht="54" customHeight="1">
      <c r="A2981" s="2" t="s">
        <v>6724</v>
      </c>
      <c r="B2981" s="2" t="s">
        <v>6724</v>
      </c>
      <c r="C2981" s="2" t="s">
        <v>17</v>
      </c>
      <c r="D2981" s="2" t="s">
        <v>18</v>
      </c>
      <c r="E2981" s="5" t="s">
        <v>1704</v>
      </c>
      <c r="F2981" s="3" t="s">
        <v>1705</v>
      </c>
      <c r="G2981" s="3" t="s">
        <v>34</v>
      </c>
      <c r="H2981" s="2" t="s">
        <v>22</v>
      </c>
      <c r="I2981" s="2" t="s">
        <v>6725</v>
      </c>
      <c r="J2981" s="3" t="str">
        <f>HYPERLINK("https://www.boe.es/gazeta/dias/1834/12/02/pdfs/GMD-1834-291.pdf#page=1","Abrir facsímil")</f>
        <v>Abrir facsímil</v>
      </c>
      <c r="K2981" s="3" t="s">
        <v>24</v>
      </c>
    </row>
    <row r="2982" spans="1:11" ht="54" customHeight="1">
      <c r="A2982" s="2" t="s">
        <v>6724</v>
      </c>
      <c r="B2982" s="2" t="s">
        <v>6724</v>
      </c>
      <c r="C2982" s="2" t="s">
        <v>90</v>
      </c>
      <c r="D2982" s="2" t="s">
        <v>67</v>
      </c>
      <c r="E2982" s="5" t="s">
        <v>4169</v>
      </c>
      <c r="F2982" s="3" t="s">
        <v>4170</v>
      </c>
      <c r="G2982" s="3" t="s">
        <v>86</v>
      </c>
      <c r="H2982" s="2" t="s">
        <v>22</v>
      </c>
      <c r="I2982" s="2" t="s">
        <v>6726</v>
      </c>
      <c r="J2982" s="3" t="str">
        <f>HYPERLINK("https://www.boe.es/gazeta/dias/1834/11/20/pdfs/GMD-1834-279.pdf#page=2","Abrir facsímil")</f>
        <v>Abrir facsímil</v>
      </c>
      <c r="K2982" s="3" t="s">
        <v>24</v>
      </c>
    </row>
    <row r="2983" spans="1:11" ht="54" customHeight="1">
      <c r="A2983" s="2" t="s">
        <v>6727</v>
      </c>
      <c r="B2983" s="2" t="s">
        <v>6728</v>
      </c>
      <c r="C2983" s="2" t="s">
        <v>90</v>
      </c>
      <c r="D2983" s="2" t="s">
        <v>18</v>
      </c>
      <c r="E2983" s="5" t="s">
        <v>360</v>
      </c>
      <c r="F2983" s="3" t="s">
        <v>361</v>
      </c>
      <c r="G2983" s="3" t="s">
        <v>34</v>
      </c>
      <c r="H2983" s="2" t="s">
        <v>22</v>
      </c>
      <c r="I2983" s="2" t="s">
        <v>6729</v>
      </c>
      <c r="J2983" s="3" t="str">
        <f>HYPERLINK("https://www.boe.es/gazeta/dias/1834/04/07/pdfs/GMD-1834-46.pdf#page=1","Abrir facsímil")</f>
        <v>Abrir facsímil</v>
      </c>
      <c r="K2983" s="3" t="s">
        <v>24</v>
      </c>
    </row>
    <row r="2984" spans="1:11" ht="54" customHeight="1">
      <c r="A2984" s="2" t="s">
        <v>6730</v>
      </c>
      <c r="B2984" s="2" t="s">
        <v>6730</v>
      </c>
      <c r="C2984" s="2" t="s">
        <v>90</v>
      </c>
      <c r="D2984" s="2" t="s">
        <v>67</v>
      </c>
      <c r="E2984" s="5" t="s">
        <v>863</v>
      </c>
      <c r="F2984" s="3" t="s">
        <v>864</v>
      </c>
      <c r="G2984" s="3" t="s">
        <v>21</v>
      </c>
      <c r="H2984" s="2" t="s">
        <v>22</v>
      </c>
      <c r="I2984" s="2" t="s">
        <v>6731</v>
      </c>
      <c r="J2984" s="3" t="str">
        <f>HYPERLINK("https://www.boe.es/gazeta/dias/1834/09/15/pdfs/GMD-1834-213.pdf#page=3","Abrir facsímil")</f>
        <v>Abrir facsímil</v>
      </c>
      <c r="K2984" s="3" t="s">
        <v>24</v>
      </c>
    </row>
    <row r="2985" spans="1:11" ht="54" customHeight="1">
      <c r="A2985" s="2" t="s">
        <v>6732</v>
      </c>
      <c r="B2985" s="2" t="s">
        <v>6732</v>
      </c>
      <c r="C2985" s="2" t="s">
        <v>90</v>
      </c>
      <c r="D2985" s="2" t="s">
        <v>18</v>
      </c>
      <c r="E2985" s="5" t="s">
        <v>237</v>
      </c>
      <c r="F2985" s="3" t="s">
        <v>4609</v>
      </c>
      <c r="G2985" s="3" t="s">
        <v>34</v>
      </c>
      <c r="H2985" s="2" t="s">
        <v>22</v>
      </c>
      <c r="I2985" s="2" t="s">
        <v>6733</v>
      </c>
      <c r="J2985" s="3" t="str">
        <f>HYPERLINK("https://www.boe.es/gazeta/dias/1834/08/15/pdfs/GMD-1834-180.pdf#page=1","Abrir facsímil")</f>
        <v>Abrir facsímil</v>
      </c>
      <c r="K2985" s="3" t="s">
        <v>24</v>
      </c>
    </row>
    <row r="2986" spans="1:11" ht="54" customHeight="1">
      <c r="A2986" s="2" t="s">
        <v>6734</v>
      </c>
      <c r="B2986" s="2" t="s">
        <v>6735</v>
      </c>
      <c r="C2986" s="2" t="s">
        <v>90</v>
      </c>
      <c r="D2986" s="2" t="s">
        <v>18</v>
      </c>
      <c r="E2986" s="5" t="s">
        <v>863</v>
      </c>
      <c r="F2986" s="3" t="s">
        <v>864</v>
      </c>
      <c r="G2986" s="3" t="s">
        <v>86</v>
      </c>
      <c r="H2986" s="2" t="s">
        <v>22</v>
      </c>
      <c r="I2986" s="2" t="s">
        <v>6736</v>
      </c>
      <c r="J2986" s="3" t="str">
        <f>HYPERLINK("https://www.boe.es/gazeta/dias/1834/09/15/pdfs/GMD-1834-213.pdf#page=2","Abrir facsímil")</f>
        <v>Abrir facsímil</v>
      </c>
      <c r="K2986" s="3" t="s">
        <v>24</v>
      </c>
    </row>
    <row r="2987" spans="1:11" ht="54" customHeight="1">
      <c r="A2987" s="2" t="s">
        <v>6737</v>
      </c>
      <c r="B2987" s="2" t="s">
        <v>6738</v>
      </c>
      <c r="C2987" s="2" t="s">
        <v>17</v>
      </c>
      <c r="D2987" s="2" t="s">
        <v>18</v>
      </c>
      <c r="E2987" s="5" t="s">
        <v>441</v>
      </c>
      <c r="F2987" s="3" t="s">
        <v>442</v>
      </c>
      <c r="G2987" s="3" t="s">
        <v>21</v>
      </c>
      <c r="H2987" s="2" t="s">
        <v>22</v>
      </c>
      <c r="I2987" s="2" t="s">
        <v>6739</v>
      </c>
      <c r="J2987" s="3" t="str">
        <f>HYPERLINK("https://www.boe.es/gazeta/dias/1834/11/10/pdfs/GMD-1834-269.pdf#page=3","Abrir facsímil")</f>
        <v>Abrir facsímil</v>
      </c>
      <c r="K2987" s="3" t="s">
        <v>24</v>
      </c>
    </row>
    <row r="2988" spans="1:11" ht="54" customHeight="1">
      <c r="A2988" s="2" t="s">
        <v>6740</v>
      </c>
      <c r="B2988" s="2" t="s">
        <v>6741</v>
      </c>
      <c r="C2988" s="2" t="s">
        <v>66</v>
      </c>
      <c r="D2988" s="2" t="s">
        <v>67</v>
      </c>
      <c r="E2988" s="5" t="s">
        <v>309</v>
      </c>
      <c r="F2988" s="3" t="s">
        <v>310</v>
      </c>
      <c r="G2988" s="3" t="s">
        <v>21</v>
      </c>
      <c r="H2988" s="2" t="s">
        <v>35</v>
      </c>
      <c r="I2988" s="2" t="s">
        <v>6742</v>
      </c>
      <c r="J2988" s="3" t="str">
        <f>HYPERLINK("https://www.boe.es/gazeta/dias/1834/05/30/pdfs/GMD-1834-99.pdf#page=3","Abrir facsímil")</f>
        <v>Abrir facsímil</v>
      </c>
      <c r="K2988" s="3" t="s">
        <v>37</v>
      </c>
    </row>
    <row r="2989" spans="1:11" ht="54" customHeight="1">
      <c r="A2989" s="2" t="s">
        <v>6743</v>
      </c>
      <c r="B2989" s="2" t="s">
        <v>6744</v>
      </c>
      <c r="C2989" s="2" t="s">
        <v>17</v>
      </c>
      <c r="D2989" s="2" t="s">
        <v>55</v>
      </c>
      <c r="E2989" s="5" t="s">
        <v>2865</v>
      </c>
      <c r="F2989" s="3" t="s">
        <v>2866</v>
      </c>
      <c r="G2989" s="3" t="s">
        <v>86</v>
      </c>
      <c r="H2989" s="2" t="s">
        <v>22</v>
      </c>
      <c r="I2989" s="2" t="s">
        <v>6745</v>
      </c>
      <c r="J2989" s="3" t="str">
        <f>HYPERLINK("https://www.boe.es/gazeta/dias/1834/07/06/pdfs/GMD-1834-139.pdf#page=2","Abrir facsímil")</f>
        <v>Abrir facsímil</v>
      </c>
      <c r="K2989" s="3" t="s">
        <v>24</v>
      </c>
    </row>
    <row r="2990" spans="1:11" ht="54" customHeight="1">
      <c r="A2990" s="2" t="s">
        <v>6746</v>
      </c>
      <c r="B2990" s="2" t="s">
        <v>6747</v>
      </c>
      <c r="C2990" s="2" t="s">
        <v>66</v>
      </c>
      <c r="D2990" s="2" t="s">
        <v>67</v>
      </c>
      <c r="E2990" s="5" t="s">
        <v>309</v>
      </c>
      <c r="F2990" s="3" t="s">
        <v>310</v>
      </c>
      <c r="G2990" s="3" t="s">
        <v>21</v>
      </c>
      <c r="H2990" s="2" t="s">
        <v>22</v>
      </c>
      <c r="I2990" s="2" t="s">
        <v>6748</v>
      </c>
      <c r="J2990" s="3" t="str">
        <f>HYPERLINK("https://www.boe.es/gazeta/dias/1834/05/30/pdfs/GMD-1834-99.pdf#page=3","Abrir facsímil")</f>
        <v>Abrir facsímil</v>
      </c>
      <c r="K2990" s="3" t="s">
        <v>24</v>
      </c>
    </row>
    <row r="2991" spans="1:11" ht="54" customHeight="1">
      <c r="A2991" s="2" t="s">
        <v>6749</v>
      </c>
      <c r="B2991" s="2" t="s">
        <v>6750</v>
      </c>
      <c r="C2991" s="2" t="s">
        <v>66</v>
      </c>
      <c r="D2991" s="2" t="s">
        <v>67</v>
      </c>
      <c r="E2991" s="5" t="s">
        <v>590</v>
      </c>
      <c r="F2991" s="3" t="s">
        <v>591</v>
      </c>
      <c r="G2991" s="3" t="s">
        <v>75</v>
      </c>
      <c r="H2991" s="2" t="s">
        <v>22</v>
      </c>
      <c r="I2991" s="2" t="s">
        <v>6751</v>
      </c>
      <c r="J2991" s="3" t="str">
        <f>HYPERLINK("https://www.boe.es/gazeta/dias/1834/11/30/pdfs/GMD-1834-289.pdf#page=4","Abrir facsímil")</f>
        <v>Abrir facsímil</v>
      </c>
      <c r="K2991" s="3" t="s">
        <v>24</v>
      </c>
    </row>
    <row r="2992" spans="1:11" ht="54" customHeight="1">
      <c r="A2992" s="2" t="s">
        <v>6752</v>
      </c>
      <c r="B2992" s="2" t="s">
        <v>6753</v>
      </c>
      <c r="C2992" s="2" t="s">
        <v>17</v>
      </c>
      <c r="D2992" s="2" t="s">
        <v>18</v>
      </c>
      <c r="E2992" s="5" t="s">
        <v>68</v>
      </c>
      <c r="F2992" s="3" t="s">
        <v>69</v>
      </c>
      <c r="G2992" s="3" t="s">
        <v>21</v>
      </c>
      <c r="H2992" s="2" t="s">
        <v>35</v>
      </c>
      <c r="I2992" s="2" t="s">
        <v>6754</v>
      </c>
      <c r="J2992" s="3" t="str">
        <f>HYPERLINK("https://www.boe.es/gazeta/dias/1834/11/01/pdfs/GMD-1834-260.pdf#page=3","Abrir facsímil")</f>
        <v>Abrir facsímil</v>
      </c>
      <c r="K2992" s="3" t="s">
        <v>37</v>
      </c>
    </row>
    <row r="2993" spans="1:11" ht="54" customHeight="1">
      <c r="A2993" s="2" t="s">
        <v>6755</v>
      </c>
      <c r="B2993" s="2" t="s">
        <v>6756</v>
      </c>
      <c r="C2993" s="2" t="s">
        <v>17</v>
      </c>
      <c r="D2993" s="2" t="s">
        <v>18</v>
      </c>
      <c r="E2993" s="5" t="s">
        <v>68</v>
      </c>
      <c r="F2993" s="3" t="s">
        <v>69</v>
      </c>
      <c r="G2993" s="3" t="s">
        <v>21</v>
      </c>
      <c r="H2993" s="2" t="s">
        <v>22</v>
      </c>
      <c r="I2993" s="2" t="s">
        <v>6757</v>
      </c>
      <c r="J2993" s="3" t="str">
        <f>HYPERLINK("https://www.boe.es/gazeta/dias/1834/11/01/pdfs/GMD-1834-260.pdf#page=3","Abrir facsímil")</f>
        <v>Abrir facsímil</v>
      </c>
      <c r="K2993" s="3" t="s">
        <v>24</v>
      </c>
    </row>
    <row r="2994" spans="1:11" ht="54" customHeight="1">
      <c r="A2994" s="2" t="s">
        <v>6758</v>
      </c>
      <c r="B2994" s="2" t="s">
        <v>6759</v>
      </c>
      <c r="C2994" s="2" t="s">
        <v>17</v>
      </c>
      <c r="D2994" s="2" t="s">
        <v>18</v>
      </c>
      <c r="E2994" s="5" t="s">
        <v>642</v>
      </c>
      <c r="F2994" s="3" t="s">
        <v>1843</v>
      </c>
      <c r="G2994" s="3" t="s">
        <v>21</v>
      </c>
      <c r="H2994" s="2" t="s">
        <v>22</v>
      </c>
      <c r="I2994" s="2" t="s">
        <v>6760</v>
      </c>
      <c r="J2994" s="3" t="str">
        <f>HYPERLINK("https://www.boe.es/gazeta/dias/1834/11/12/pdfs/GMD-1834-271.pdf#page=3","Abrir facsímil")</f>
        <v>Abrir facsímil</v>
      </c>
      <c r="K2994" s="3" t="s">
        <v>24</v>
      </c>
    </row>
    <row r="2995" spans="1:11" ht="54" customHeight="1">
      <c r="A2995" s="2" t="s">
        <v>6761</v>
      </c>
      <c r="B2995" s="2" t="s">
        <v>6762</v>
      </c>
      <c r="C2995" s="2" t="s">
        <v>17</v>
      </c>
      <c r="D2995" s="2" t="s">
        <v>18</v>
      </c>
      <c r="E2995" s="5" t="s">
        <v>1839</v>
      </c>
      <c r="F2995" s="3" t="s">
        <v>1840</v>
      </c>
      <c r="G2995" s="3" t="s">
        <v>86</v>
      </c>
      <c r="H2995" s="2" t="s">
        <v>22</v>
      </c>
      <c r="I2995" s="2" t="s">
        <v>6763</v>
      </c>
      <c r="J2995" s="3" t="str">
        <f>HYPERLINK("https://www.boe.es/gazeta/dias/1834/08/12/pdfs/GMD-C-1834-177.pdf#page=2","Abrir facsímil")</f>
        <v>Abrir facsímil</v>
      </c>
      <c r="K2995" s="3" t="s">
        <v>24</v>
      </c>
    </row>
    <row r="2996" spans="1:11" ht="54" customHeight="1">
      <c r="A2996" s="2" t="s">
        <v>6764</v>
      </c>
      <c r="B2996" s="2" t="s">
        <v>6765</v>
      </c>
      <c r="C2996" s="2" t="s">
        <v>17</v>
      </c>
      <c r="D2996" s="2" t="s">
        <v>18</v>
      </c>
      <c r="E2996" s="5" t="s">
        <v>1839</v>
      </c>
      <c r="F2996" s="3" t="s">
        <v>1840</v>
      </c>
      <c r="G2996" s="3" t="s">
        <v>86</v>
      </c>
      <c r="H2996" s="2" t="s">
        <v>35</v>
      </c>
      <c r="I2996" s="2" t="s">
        <v>6766</v>
      </c>
      <c r="J2996" s="3" t="str">
        <f>HYPERLINK("https://www.boe.es/gazeta/dias/1834/08/12/pdfs/GMD-C-1834-177.pdf#page=2","Abrir facsímil")</f>
        <v>Abrir facsímil</v>
      </c>
      <c r="K2996" s="3" t="s">
        <v>37</v>
      </c>
    </row>
    <row r="2997" spans="1:11" ht="54" customHeight="1">
      <c r="A2997" s="2" t="s">
        <v>6767</v>
      </c>
      <c r="B2997" s="2" t="s">
        <v>6767</v>
      </c>
      <c r="C2997" s="2" t="s">
        <v>90</v>
      </c>
      <c r="D2997" s="2" t="s">
        <v>18</v>
      </c>
      <c r="E2997" s="5" t="s">
        <v>3054</v>
      </c>
      <c r="F2997" s="3" t="s">
        <v>3055</v>
      </c>
      <c r="G2997" s="3" t="s">
        <v>86</v>
      </c>
      <c r="H2997" s="2" t="s">
        <v>22</v>
      </c>
      <c r="I2997" s="2" t="s">
        <v>6768</v>
      </c>
      <c r="J2997" s="3" t="str">
        <f>HYPERLINK("https://www.boe.es/gazeta/dias/1834/10/06/pdfs/GMD-1834-234.pdf#page=2","Abrir facsímil")</f>
        <v>Abrir facsímil</v>
      </c>
      <c r="K2997" s="3" t="s">
        <v>24</v>
      </c>
    </row>
    <row r="2998" spans="1:11" ht="54" customHeight="1">
      <c r="A2998" s="2" t="s">
        <v>6769</v>
      </c>
      <c r="B2998" s="2" t="s">
        <v>6769</v>
      </c>
      <c r="C2998" s="2" t="s">
        <v>17</v>
      </c>
      <c r="D2998" s="2" t="s">
        <v>18</v>
      </c>
      <c r="E2998" s="5" t="s">
        <v>981</v>
      </c>
      <c r="F2998" s="3" t="s">
        <v>3406</v>
      </c>
      <c r="G2998" s="3" t="s">
        <v>176</v>
      </c>
      <c r="H2998" s="2" t="s">
        <v>22</v>
      </c>
      <c r="I2998" s="2" t="s">
        <v>6770</v>
      </c>
      <c r="J2998" s="3" t="str">
        <f>HYPERLINK("https://www.boe.es/gazeta/dias/1834/09/21/pdfs/GMD-C-1834-219.pdf#page=6","Abrir facsímil")</f>
        <v>Abrir facsímil</v>
      </c>
      <c r="K2998" s="3" t="s">
        <v>24</v>
      </c>
    </row>
    <row r="2999" spans="1:11" ht="54" customHeight="1">
      <c r="A2999" s="2" t="s">
        <v>6771</v>
      </c>
      <c r="B2999" s="2" t="s">
        <v>6771</v>
      </c>
      <c r="C2999" s="2" t="s">
        <v>17</v>
      </c>
      <c r="D2999" s="2" t="s">
        <v>18</v>
      </c>
      <c r="E2999" s="5" t="s">
        <v>981</v>
      </c>
      <c r="F2999" s="3" t="s">
        <v>3406</v>
      </c>
      <c r="G2999" s="3" t="s">
        <v>176</v>
      </c>
      <c r="H2999" s="2" t="s">
        <v>22</v>
      </c>
      <c r="I2999" s="2" t="s">
        <v>6772</v>
      </c>
      <c r="J2999" s="3" t="str">
        <f>HYPERLINK("https://www.boe.es/gazeta/dias/1834/09/21/pdfs/GMD-C-1834-219.pdf#page=6","Abrir facsímil")</f>
        <v>Abrir facsímil</v>
      </c>
      <c r="K2999" s="3" t="s">
        <v>24</v>
      </c>
    </row>
    <row r="3000" spans="1:11" ht="54" customHeight="1">
      <c r="A3000" s="2" t="s">
        <v>6773</v>
      </c>
      <c r="B3000" s="2" t="s">
        <v>6774</v>
      </c>
      <c r="C3000" s="2" t="s">
        <v>17</v>
      </c>
      <c r="D3000" s="2" t="s">
        <v>18</v>
      </c>
      <c r="E3000" s="5" t="s">
        <v>268</v>
      </c>
      <c r="F3000" s="3" t="s">
        <v>3529</v>
      </c>
      <c r="G3000" s="3" t="s">
        <v>21</v>
      </c>
      <c r="H3000" s="2" t="s">
        <v>22</v>
      </c>
      <c r="I3000" s="2" t="s">
        <v>6775</v>
      </c>
      <c r="J3000" s="3" t="str">
        <f>HYPERLINK("https://www.boe.es/gazeta/dias/1834/12/19/pdfs/GMD-1834-309.pdf#page=3","Abrir facsímil")</f>
        <v>Abrir facsímil</v>
      </c>
      <c r="K3000" s="3" t="s">
        <v>24</v>
      </c>
    </row>
    <row r="3001" spans="1:11" ht="54" customHeight="1">
      <c r="A3001" s="2" t="s">
        <v>6773</v>
      </c>
      <c r="B3001" s="2" t="s">
        <v>6774</v>
      </c>
      <c r="C3001" s="2" t="s">
        <v>46</v>
      </c>
      <c r="D3001" s="2" t="s">
        <v>18</v>
      </c>
      <c r="E3001" s="5" t="s">
        <v>3025</v>
      </c>
      <c r="F3001" s="3" t="s">
        <v>3026</v>
      </c>
      <c r="G3001" s="3" t="s">
        <v>176</v>
      </c>
      <c r="H3001" s="2" t="s">
        <v>22</v>
      </c>
      <c r="I3001" s="2" t="s">
        <v>6776</v>
      </c>
      <c r="J3001" s="3" t="str">
        <f>HYPERLINK("https://www.boe.es/gazeta/dias/1834/05/25/pdfs/GMD-1834-94.pdf#page=6","Abrir facsímil")</f>
        <v>Abrir facsímil</v>
      </c>
      <c r="K3001" s="3" t="s">
        <v>24</v>
      </c>
    </row>
    <row r="3002" spans="1:11" ht="54" customHeight="1">
      <c r="A3002" s="2" t="s">
        <v>6777</v>
      </c>
      <c r="B3002" s="2" t="s">
        <v>6778</v>
      </c>
      <c r="C3002" s="2" t="s">
        <v>46</v>
      </c>
      <c r="D3002" s="2" t="s">
        <v>55</v>
      </c>
      <c r="E3002" s="5" t="s">
        <v>251</v>
      </c>
      <c r="F3002" s="3" t="s">
        <v>1278</v>
      </c>
      <c r="G3002" s="3" t="s">
        <v>86</v>
      </c>
      <c r="H3002" s="2" t="s">
        <v>22</v>
      </c>
      <c r="I3002" s="2" t="s">
        <v>6779</v>
      </c>
      <c r="J3002" s="3" t="str">
        <f>HYPERLINK("https://www.boe.es/gazeta/dias/1834/09/26/pdfs/GMD-1834-224.pdf#page=2","Abrir facsímil")</f>
        <v>Abrir facsímil</v>
      </c>
      <c r="K3002" s="3" t="s">
        <v>24</v>
      </c>
    </row>
    <row r="3003" spans="1:11" ht="54" customHeight="1">
      <c r="A3003" s="2" t="s">
        <v>6780</v>
      </c>
      <c r="B3003" s="2" t="s">
        <v>6781</v>
      </c>
      <c r="C3003" s="2" t="s">
        <v>17</v>
      </c>
      <c r="D3003" s="2" t="s">
        <v>18</v>
      </c>
      <c r="E3003" s="5" t="s">
        <v>1850</v>
      </c>
      <c r="F3003" s="3" t="s">
        <v>1851</v>
      </c>
      <c r="G3003" s="3" t="s">
        <v>21</v>
      </c>
      <c r="H3003" s="2" t="s">
        <v>22</v>
      </c>
      <c r="I3003" s="2" t="s">
        <v>6782</v>
      </c>
      <c r="J3003" s="3" t="str">
        <f>HYPERLINK("https://www.boe.es/gazeta/dias/1834/02/18/pdfs/GMD-1834-22.pdf#page=3","Abrir facsímil")</f>
        <v>Abrir facsímil</v>
      </c>
      <c r="K3003" s="3" t="s">
        <v>24</v>
      </c>
    </row>
    <row r="3004" spans="1:11" ht="54" customHeight="1">
      <c r="A3004" s="2" t="s">
        <v>6783</v>
      </c>
      <c r="B3004" s="2" t="s">
        <v>6783</v>
      </c>
      <c r="C3004" s="2" t="s">
        <v>122</v>
      </c>
      <c r="D3004" s="2" t="s">
        <v>55</v>
      </c>
      <c r="E3004" s="5" t="s">
        <v>1575</v>
      </c>
      <c r="F3004" s="3" t="s">
        <v>1576</v>
      </c>
      <c r="G3004" s="3" t="s">
        <v>86</v>
      </c>
      <c r="H3004" s="2" t="s">
        <v>22</v>
      </c>
      <c r="I3004" s="2" t="s">
        <v>6784</v>
      </c>
      <c r="J3004" s="3" t="str">
        <f>HYPERLINK("https://www.boe.es/gazeta/dias/1834/11/24/pdfs/GMD-1834-283.pdf#page=2","Abrir facsímil")</f>
        <v>Abrir facsímil</v>
      </c>
      <c r="K3004" s="3" t="s">
        <v>24</v>
      </c>
    </row>
    <row r="3005" spans="1:11" ht="54" customHeight="1">
      <c r="A3005" s="2" t="s">
        <v>6785</v>
      </c>
      <c r="B3005" s="2" t="s">
        <v>6786</v>
      </c>
      <c r="C3005" s="2" t="s">
        <v>17</v>
      </c>
      <c r="D3005" s="2" t="s">
        <v>18</v>
      </c>
      <c r="E3005" s="5" t="s">
        <v>623</v>
      </c>
      <c r="F3005" s="3" t="s">
        <v>624</v>
      </c>
      <c r="G3005" s="3" t="s">
        <v>86</v>
      </c>
      <c r="H3005" s="2" t="s">
        <v>22</v>
      </c>
      <c r="I3005" s="2" t="s">
        <v>6787</v>
      </c>
      <c r="J3005" s="3" t="str">
        <f>HYPERLINK("https://www.boe.es/gazeta/dias/1834/10/12/pdfs/GMD-C-1834-240.pdf#page=2","Abrir facsímil")</f>
        <v>Abrir facsímil</v>
      </c>
      <c r="K3005" s="3" t="s">
        <v>24</v>
      </c>
    </row>
    <row r="3006" spans="1:11" ht="54" customHeight="1">
      <c r="A3006" s="2" t="s">
        <v>6788</v>
      </c>
      <c r="B3006" s="2" t="s">
        <v>6788</v>
      </c>
      <c r="C3006" s="2" t="s">
        <v>66</v>
      </c>
      <c r="D3006" s="2" t="s">
        <v>67</v>
      </c>
      <c r="E3006" s="5" t="s">
        <v>286</v>
      </c>
      <c r="F3006" s="3" t="s">
        <v>1928</v>
      </c>
      <c r="G3006" s="3" t="s">
        <v>34</v>
      </c>
      <c r="H3006" s="2" t="s">
        <v>22</v>
      </c>
      <c r="I3006" s="2" t="s">
        <v>6789</v>
      </c>
      <c r="J3006" s="3" t="str">
        <f>HYPERLINK("https://www.boe.es/gazeta/dias/1834/08/30/pdfs/GMD-1834-197E.pdf#page=1","Abrir facsímil")</f>
        <v>Abrir facsímil</v>
      </c>
      <c r="K3006" s="3" t="s">
        <v>24</v>
      </c>
    </row>
    <row r="3007" spans="1:11" ht="54" customHeight="1">
      <c r="A3007" s="2" t="s">
        <v>6790</v>
      </c>
      <c r="B3007" s="2" t="s">
        <v>6791</v>
      </c>
      <c r="C3007" s="2" t="s">
        <v>66</v>
      </c>
      <c r="D3007" s="2" t="s">
        <v>67</v>
      </c>
      <c r="E3007" s="5" t="s">
        <v>19</v>
      </c>
      <c r="F3007" s="3" t="s">
        <v>20</v>
      </c>
      <c r="G3007" s="3" t="s">
        <v>34</v>
      </c>
      <c r="H3007" s="2" t="s">
        <v>22</v>
      </c>
      <c r="I3007" s="2" t="s">
        <v>6792</v>
      </c>
      <c r="J3007" s="3" t="str">
        <f>HYPERLINK("https://www.boe.es/gazeta/dias/1834/08/17/pdfs/GMD-C-1834-182.pdf#page=1","Abrir facsímil")</f>
        <v>Abrir facsímil</v>
      </c>
      <c r="K3007" s="3" t="s">
        <v>24</v>
      </c>
    </row>
    <row r="3008" spans="1:11" ht="54" customHeight="1">
      <c r="A3008" s="2" t="s">
        <v>6793</v>
      </c>
      <c r="B3008" s="2" t="s">
        <v>6793</v>
      </c>
      <c r="C3008" s="2" t="s">
        <v>17</v>
      </c>
      <c r="D3008" s="2" t="s">
        <v>18</v>
      </c>
      <c r="E3008" s="5" t="s">
        <v>258</v>
      </c>
      <c r="F3008" s="3" t="s">
        <v>259</v>
      </c>
      <c r="G3008" s="3" t="s">
        <v>34</v>
      </c>
      <c r="H3008" s="2" t="s">
        <v>22</v>
      </c>
      <c r="I3008" s="2" t="s">
        <v>6794</v>
      </c>
      <c r="J3008" s="3" t="str">
        <f>HYPERLINK("https://www.boe.es/gazeta/dias/1834/10/09/pdfs/GMD-C-1834-237.pdf#page=1","Abrir facsímil")</f>
        <v>Abrir facsímil</v>
      </c>
      <c r="K3008" s="3" t="s">
        <v>24</v>
      </c>
    </row>
    <row r="3009" spans="1:11" ht="54" customHeight="1">
      <c r="A3009" s="2" t="s">
        <v>6795</v>
      </c>
      <c r="B3009" s="2" t="s">
        <v>6795</v>
      </c>
      <c r="C3009" s="2" t="s">
        <v>17</v>
      </c>
      <c r="D3009" s="2" t="s">
        <v>18</v>
      </c>
      <c r="E3009" s="5" t="s">
        <v>96</v>
      </c>
      <c r="F3009" s="3" t="s">
        <v>1725</v>
      </c>
      <c r="G3009" s="3" t="s">
        <v>21</v>
      </c>
      <c r="H3009" s="2" t="s">
        <v>22</v>
      </c>
      <c r="I3009" s="2" t="s">
        <v>6796</v>
      </c>
      <c r="J3009" s="3" t="str">
        <f>HYPERLINK("https://www.boe.es/gazeta/dias/1834/11/11/pdfs/GMD-1834-270.pdf#page=3","Abrir facsímil")</f>
        <v>Abrir facsímil</v>
      </c>
      <c r="K3009" s="3" t="s">
        <v>24</v>
      </c>
    </row>
    <row r="3010" spans="1:11" ht="54" customHeight="1">
      <c r="A3010" s="2" t="s">
        <v>6797</v>
      </c>
      <c r="B3010" s="2" t="s">
        <v>6797</v>
      </c>
      <c r="C3010" s="2" t="s">
        <v>17</v>
      </c>
      <c r="D3010" s="2" t="s">
        <v>18</v>
      </c>
      <c r="E3010" s="5" t="s">
        <v>891</v>
      </c>
      <c r="F3010" s="3" t="s">
        <v>892</v>
      </c>
      <c r="G3010" s="3" t="s">
        <v>28</v>
      </c>
      <c r="H3010" s="2" t="s">
        <v>22</v>
      </c>
      <c r="I3010" s="2" t="s">
        <v>6798</v>
      </c>
      <c r="J3010" s="3" t="str">
        <f>HYPERLINK("https://www.boe.es/gazeta/dias/1834/10/31/pdfs/GMD-C-1834-259.pdf#page=5","Abrir facsímil")</f>
        <v>Abrir facsímil</v>
      </c>
      <c r="K3010" s="3" t="s">
        <v>24</v>
      </c>
    </row>
    <row r="3011" spans="1:11" ht="54" customHeight="1">
      <c r="A3011" s="2" t="s">
        <v>6799</v>
      </c>
      <c r="B3011" s="2" t="s">
        <v>6799</v>
      </c>
      <c r="C3011" s="2" t="s">
        <v>17</v>
      </c>
      <c r="D3011" s="2" t="s">
        <v>18</v>
      </c>
      <c r="E3011" s="5" t="s">
        <v>258</v>
      </c>
      <c r="F3011" s="3" t="s">
        <v>259</v>
      </c>
      <c r="G3011" s="3" t="s">
        <v>34</v>
      </c>
      <c r="H3011" s="2" t="s">
        <v>22</v>
      </c>
      <c r="I3011" s="2" t="s">
        <v>6800</v>
      </c>
      <c r="J3011" s="3" t="str">
        <f>HYPERLINK("https://www.boe.es/gazeta/dias/1834/10/09/pdfs/GMD-C-1834-237.pdf#page=1","Abrir facsímil")</f>
        <v>Abrir facsímil</v>
      </c>
      <c r="K3011" s="3" t="s">
        <v>24</v>
      </c>
    </row>
    <row r="3012" spans="1:11" ht="54" customHeight="1">
      <c r="A3012" s="2" t="s">
        <v>6801</v>
      </c>
      <c r="B3012" s="2" t="s">
        <v>6801</v>
      </c>
      <c r="C3012" s="2" t="s">
        <v>17</v>
      </c>
      <c r="D3012" s="2" t="s">
        <v>18</v>
      </c>
      <c r="E3012" s="5" t="s">
        <v>258</v>
      </c>
      <c r="F3012" s="3" t="s">
        <v>259</v>
      </c>
      <c r="G3012" s="3" t="s">
        <v>34</v>
      </c>
      <c r="H3012" s="2" t="s">
        <v>22</v>
      </c>
      <c r="I3012" s="2" t="s">
        <v>6802</v>
      </c>
      <c r="J3012" s="3" t="str">
        <f>HYPERLINK("https://www.boe.es/gazeta/dias/1834/10/09/pdfs/GMD-C-1834-237.pdf#page=1","Abrir facsímil")</f>
        <v>Abrir facsímil</v>
      </c>
      <c r="K3012" s="3" t="s">
        <v>24</v>
      </c>
    </row>
    <row r="3013" spans="1:11" ht="54" customHeight="1">
      <c r="A3013" s="2" t="s">
        <v>6803</v>
      </c>
      <c r="B3013" s="2" t="s">
        <v>6803</v>
      </c>
      <c r="C3013" s="2" t="s">
        <v>66</v>
      </c>
      <c r="D3013" s="2" t="s">
        <v>67</v>
      </c>
      <c r="E3013" s="5" t="s">
        <v>73</v>
      </c>
      <c r="F3013" s="3" t="s">
        <v>74</v>
      </c>
      <c r="G3013" s="3" t="s">
        <v>75</v>
      </c>
      <c r="H3013" s="2" t="s">
        <v>22</v>
      </c>
      <c r="I3013" s="2" t="s">
        <v>6804</v>
      </c>
      <c r="J3013" s="3" t="str">
        <f>HYPERLINK("https://www.boe.es/gazeta/dias/1834/11/04/pdfs/GMD-1834-263.pdf#page=4","Abrir facsímil")</f>
        <v>Abrir facsímil</v>
      </c>
      <c r="K3013" s="3" t="s">
        <v>24</v>
      </c>
    </row>
    <row r="3014" spans="1:11" ht="54" customHeight="1">
      <c r="A3014" s="2" t="s">
        <v>6805</v>
      </c>
      <c r="B3014" s="2" t="s">
        <v>6806</v>
      </c>
      <c r="C3014" s="2" t="s">
        <v>122</v>
      </c>
      <c r="D3014" s="2" t="s">
        <v>18</v>
      </c>
      <c r="E3014" s="5" t="s">
        <v>1307</v>
      </c>
      <c r="F3014" s="3" t="s">
        <v>1308</v>
      </c>
      <c r="G3014" s="3" t="s">
        <v>21</v>
      </c>
      <c r="H3014" s="2" t="s">
        <v>22</v>
      </c>
      <c r="I3014" s="2" t="s">
        <v>6807</v>
      </c>
      <c r="J3014" s="3" t="str">
        <f>HYPERLINK("https://www.boe.es/gazeta/dias/1834/08/25/pdfs/GMD-1834-191.pdf#page=3","Abrir facsímil")</f>
        <v>Abrir facsímil</v>
      </c>
      <c r="K3014" s="3" t="s">
        <v>24</v>
      </c>
    </row>
    <row r="3015" spans="1:11" ht="54" customHeight="1">
      <c r="A3015" s="2" t="s">
        <v>6808</v>
      </c>
      <c r="B3015" s="2" t="s">
        <v>6809</v>
      </c>
      <c r="C3015" s="2" t="s">
        <v>17</v>
      </c>
      <c r="D3015" s="2" t="s">
        <v>18</v>
      </c>
      <c r="E3015" s="5" t="s">
        <v>41</v>
      </c>
      <c r="F3015" s="3" t="s">
        <v>42</v>
      </c>
      <c r="G3015" s="3" t="s">
        <v>21</v>
      </c>
      <c r="H3015" s="2" t="s">
        <v>35</v>
      </c>
      <c r="I3015" s="2" t="s">
        <v>6810</v>
      </c>
      <c r="J3015" s="3" t="str">
        <f>HYPERLINK("https://www.boe.es/gazeta/dias/1834/06/11/pdfs/GMD-1834-114.pdf#page=3","Abrir facsímil")</f>
        <v>Abrir facsímil</v>
      </c>
      <c r="K3015" s="3" t="s">
        <v>37</v>
      </c>
    </row>
    <row r="3016" spans="1:11" ht="54" customHeight="1">
      <c r="A3016" s="2" t="s">
        <v>6811</v>
      </c>
      <c r="B3016" s="2" t="s">
        <v>6812</v>
      </c>
      <c r="C3016" s="2" t="s">
        <v>17</v>
      </c>
      <c r="D3016" s="2" t="s">
        <v>18</v>
      </c>
      <c r="E3016" s="5" t="s">
        <v>41</v>
      </c>
      <c r="F3016" s="3" t="s">
        <v>42</v>
      </c>
      <c r="G3016" s="3" t="s">
        <v>21</v>
      </c>
      <c r="H3016" s="2" t="s">
        <v>22</v>
      </c>
      <c r="I3016" s="2" t="s">
        <v>6813</v>
      </c>
      <c r="J3016" s="3" t="str">
        <f>HYPERLINK("https://www.boe.es/gazeta/dias/1834/06/11/pdfs/GMD-1834-114.pdf#page=3","Abrir facsímil")</f>
        <v>Abrir facsímil</v>
      </c>
      <c r="K3016" s="3" t="s">
        <v>24</v>
      </c>
    </row>
    <row r="3017" spans="1:11" ht="54" customHeight="1">
      <c r="A3017" s="2" t="s">
        <v>6814</v>
      </c>
      <c r="B3017" s="2" t="s">
        <v>6814</v>
      </c>
      <c r="C3017" s="2" t="s">
        <v>17</v>
      </c>
      <c r="D3017" s="2" t="s">
        <v>40</v>
      </c>
      <c r="E3017" s="5" t="s">
        <v>4064</v>
      </c>
      <c r="F3017" s="3" t="s">
        <v>4065</v>
      </c>
      <c r="G3017" s="3" t="s">
        <v>75</v>
      </c>
      <c r="H3017" s="2" t="s">
        <v>22</v>
      </c>
      <c r="I3017" s="2" t="s">
        <v>6815</v>
      </c>
      <c r="J3017" s="3" t="str">
        <f>HYPERLINK("https://www.boe.es/gazeta/dias/1834/07/22/pdfs/GMD-1834-155.pdf#page=4","Abrir facsímil")</f>
        <v>Abrir facsímil</v>
      </c>
      <c r="K3017" s="3" t="s">
        <v>24</v>
      </c>
    </row>
    <row r="3018" spans="1:11" ht="54" customHeight="1">
      <c r="A3018" s="2" t="s">
        <v>6816</v>
      </c>
      <c r="B3018" s="2" t="s">
        <v>6817</v>
      </c>
      <c r="C3018" s="2" t="s">
        <v>66</v>
      </c>
      <c r="D3018" s="2" t="s">
        <v>67</v>
      </c>
      <c r="E3018" s="5" t="s">
        <v>1918</v>
      </c>
      <c r="F3018" s="3" t="s">
        <v>2024</v>
      </c>
      <c r="G3018" s="3" t="s">
        <v>34</v>
      </c>
      <c r="H3018" s="2" t="s">
        <v>22</v>
      </c>
      <c r="I3018" s="2" t="s">
        <v>6818</v>
      </c>
      <c r="J3018" s="3" t="str">
        <f>HYPERLINK("https://www.boe.es/gazeta/dias/1834/03/22/pdfs/GMD-C-1834-36.pdf#page=1","Abrir facsímil")</f>
        <v>Abrir facsímil</v>
      </c>
      <c r="K3018" s="3" t="s">
        <v>24</v>
      </c>
    </row>
    <row r="3019" spans="1:11" ht="54" customHeight="1">
      <c r="A3019" s="2" t="s">
        <v>6819</v>
      </c>
      <c r="B3019" s="2" t="s">
        <v>6820</v>
      </c>
      <c r="C3019" s="2" t="s">
        <v>17</v>
      </c>
      <c r="D3019" s="2" t="s">
        <v>18</v>
      </c>
      <c r="E3019" s="5" t="s">
        <v>299</v>
      </c>
      <c r="F3019" s="3" t="s">
        <v>300</v>
      </c>
      <c r="G3019" s="3" t="s">
        <v>21</v>
      </c>
      <c r="H3019" s="2" t="s">
        <v>22</v>
      </c>
      <c r="I3019" s="2" t="s">
        <v>6821</v>
      </c>
      <c r="J3019" s="3" t="str">
        <f>HYPERLINK("https://www.boe.es/gazeta/dias/1834/12/12/pdfs/GMD-1834-301.pdf#page=3","Abrir facsímil")</f>
        <v>Abrir facsímil</v>
      </c>
      <c r="K3019" s="3" t="s">
        <v>24</v>
      </c>
    </row>
    <row r="3020" spans="1:11" ht="54" customHeight="1">
      <c r="A3020" s="2" t="s">
        <v>6822</v>
      </c>
      <c r="B3020" s="2" t="s">
        <v>6822</v>
      </c>
      <c r="C3020" s="2" t="s">
        <v>122</v>
      </c>
      <c r="D3020" s="2" t="s">
        <v>18</v>
      </c>
      <c r="E3020" s="5" t="s">
        <v>19</v>
      </c>
      <c r="F3020" s="3" t="s">
        <v>20</v>
      </c>
      <c r="G3020" s="3" t="s">
        <v>21</v>
      </c>
      <c r="H3020" s="2" t="s">
        <v>22</v>
      </c>
      <c r="I3020" s="2" t="s">
        <v>6823</v>
      </c>
      <c r="J3020" s="3" t="str">
        <f>HYPERLINK("https://www.boe.es/gazeta/dias/1834/08/17/pdfs/GMD-D-1834-182.pdf#page=3","Abrir facsímil")</f>
        <v>Abrir facsímil</v>
      </c>
      <c r="K3020" s="3" t="s">
        <v>24</v>
      </c>
    </row>
    <row r="3021" spans="1:11" ht="54" customHeight="1">
      <c r="A3021" s="2" t="s">
        <v>6824</v>
      </c>
      <c r="B3021" s="2" t="s">
        <v>6825</v>
      </c>
      <c r="C3021" s="2" t="s">
        <v>66</v>
      </c>
      <c r="D3021" s="2" t="s">
        <v>18</v>
      </c>
      <c r="E3021" s="5" t="s">
        <v>187</v>
      </c>
      <c r="F3021" s="3" t="s">
        <v>188</v>
      </c>
      <c r="G3021" s="3" t="s">
        <v>21</v>
      </c>
      <c r="H3021" s="2" t="s">
        <v>35</v>
      </c>
      <c r="I3021" s="2" t="s">
        <v>6826</v>
      </c>
      <c r="J3021" s="3" t="str">
        <f>HYPERLINK("https://www.boe.es/gazeta/dias/1834/09/30/pdfs/GMD-1834-228.pdf#page=3","Abrir facsímil")</f>
        <v>Abrir facsímil</v>
      </c>
      <c r="K3021" s="3" t="s">
        <v>37</v>
      </c>
    </row>
    <row r="3022" spans="1:11" ht="54" customHeight="1">
      <c r="A3022" s="2" t="s">
        <v>6827</v>
      </c>
      <c r="B3022" s="2" t="s">
        <v>6828</v>
      </c>
      <c r="C3022" s="2" t="s">
        <v>66</v>
      </c>
      <c r="D3022" s="2" t="s">
        <v>18</v>
      </c>
      <c r="E3022" s="5" t="s">
        <v>1234</v>
      </c>
      <c r="F3022" s="3" t="s">
        <v>1455</v>
      </c>
      <c r="G3022" s="3" t="s">
        <v>21</v>
      </c>
      <c r="H3022" s="2" t="s">
        <v>22</v>
      </c>
      <c r="I3022" s="2" t="s">
        <v>6829</v>
      </c>
      <c r="J3022" s="3" t="str">
        <f>HYPERLINK("https://www.boe.es/gazeta/dias/1834/05/15/pdfs/GMD-1834-84.pdf#page=3","Abrir facsímil")</f>
        <v>Abrir facsímil</v>
      </c>
      <c r="K3022" s="3" t="s">
        <v>24</v>
      </c>
    </row>
    <row r="3023" spans="1:11" ht="54" customHeight="1">
      <c r="A3023" s="2" t="s">
        <v>6830</v>
      </c>
      <c r="B3023" s="2" t="s">
        <v>6831</v>
      </c>
      <c r="C3023" s="2" t="s">
        <v>122</v>
      </c>
      <c r="D3023" s="2" t="s">
        <v>18</v>
      </c>
      <c r="E3023" s="5" t="s">
        <v>389</v>
      </c>
      <c r="F3023" s="3" t="s">
        <v>390</v>
      </c>
      <c r="G3023" s="3" t="s">
        <v>21</v>
      </c>
      <c r="H3023" s="2" t="s">
        <v>22</v>
      </c>
      <c r="I3023" s="2" t="s">
        <v>6832</v>
      </c>
      <c r="J3023" s="3" t="str">
        <f>HYPERLINK("https://www.boe.es/gazeta/dias/1834/10/25/pdfs/GMD-1834-253.pdf#page=3","Abrir facsímil")</f>
        <v>Abrir facsímil</v>
      </c>
      <c r="K3023" s="3" t="s">
        <v>24</v>
      </c>
    </row>
    <row r="3024" spans="1:11" ht="54" customHeight="1">
      <c r="A3024" s="2" t="s">
        <v>6833</v>
      </c>
      <c r="B3024" s="2" t="s">
        <v>6834</v>
      </c>
      <c r="C3024" s="2" t="s">
        <v>17</v>
      </c>
      <c r="D3024" s="2" t="s">
        <v>18</v>
      </c>
      <c r="E3024" s="5" t="s">
        <v>1850</v>
      </c>
      <c r="F3024" s="3" t="s">
        <v>1851</v>
      </c>
      <c r="G3024" s="3" t="s">
        <v>28</v>
      </c>
      <c r="H3024" s="2" t="s">
        <v>22</v>
      </c>
      <c r="I3024" s="2" t="s">
        <v>6835</v>
      </c>
      <c r="J3024" s="3" t="str">
        <f>HYPERLINK("https://www.boe.es/gazeta/dias/1834/02/18/pdfs/GMD-1834-22.pdf#page=5","Abrir facsímil")</f>
        <v>Abrir facsímil</v>
      </c>
      <c r="K3024" s="3" t="s">
        <v>24</v>
      </c>
    </row>
    <row r="3025" spans="1:11" ht="54" customHeight="1">
      <c r="A3025" s="2" t="s">
        <v>6836</v>
      </c>
      <c r="B3025" s="2" t="s">
        <v>6836</v>
      </c>
      <c r="C3025" s="2" t="s">
        <v>90</v>
      </c>
      <c r="D3025" s="2" t="s">
        <v>67</v>
      </c>
      <c r="E3025" s="5" t="s">
        <v>1410</v>
      </c>
      <c r="F3025" s="3" t="s">
        <v>2231</v>
      </c>
      <c r="G3025" s="3" t="s">
        <v>34</v>
      </c>
      <c r="H3025" s="2" t="s">
        <v>22</v>
      </c>
      <c r="I3025" s="2" t="s">
        <v>6837</v>
      </c>
      <c r="J3025" s="3" t="str">
        <f>HYPERLINK("https://www.boe.es/gazeta/dias/1834/09/09/pdfs/GMD-C-1834-207.pdf#page=1","Abrir facsímil")</f>
        <v>Abrir facsímil</v>
      </c>
      <c r="K3025" s="3" t="s">
        <v>24</v>
      </c>
    </row>
    <row r="3026" spans="1:11" ht="54" customHeight="1">
      <c r="A3026" s="2" t="s">
        <v>6836</v>
      </c>
      <c r="B3026" s="2" t="s">
        <v>6836</v>
      </c>
      <c r="C3026" s="2" t="s">
        <v>17</v>
      </c>
      <c r="D3026" s="2" t="s">
        <v>18</v>
      </c>
      <c r="E3026" s="5" t="s">
        <v>258</v>
      </c>
      <c r="F3026" s="3" t="s">
        <v>259</v>
      </c>
      <c r="G3026" s="3" t="s">
        <v>75</v>
      </c>
      <c r="H3026" s="2" t="s">
        <v>22</v>
      </c>
      <c r="I3026" s="2" t="s">
        <v>6838</v>
      </c>
      <c r="J3026" s="3" t="str">
        <f>HYPERLINK("https://www.boe.es/gazeta/dias/1834/10/09/pdfs/GMD-C-1834-237.pdf#page=4","Abrir facsímil")</f>
        <v>Abrir facsímil</v>
      </c>
      <c r="K3026" s="3" t="s">
        <v>24</v>
      </c>
    </row>
    <row r="3027" spans="1:11" ht="54" customHeight="1">
      <c r="A3027" s="2" t="s">
        <v>6836</v>
      </c>
      <c r="B3027" s="2" t="s">
        <v>6836</v>
      </c>
      <c r="C3027" s="2" t="s">
        <v>17</v>
      </c>
      <c r="D3027" s="2" t="s">
        <v>18</v>
      </c>
      <c r="E3027" s="5" t="s">
        <v>956</v>
      </c>
      <c r="F3027" s="3" t="s">
        <v>957</v>
      </c>
      <c r="G3027" s="3" t="s">
        <v>34</v>
      </c>
      <c r="H3027" s="2" t="s">
        <v>22</v>
      </c>
      <c r="I3027" s="2" t="s">
        <v>6839</v>
      </c>
      <c r="J3027" s="3" t="str">
        <f>HYPERLINK("https://www.boe.es/gazeta/dias/1834/08/10/pdfs/GMD-C-1834-175.pdf#page=1","Abrir facsímil")</f>
        <v>Abrir facsímil</v>
      </c>
      <c r="K3027" s="3" t="s">
        <v>24</v>
      </c>
    </row>
    <row r="3028" spans="1:11" ht="54" customHeight="1">
      <c r="A3028" s="2" t="s">
        <v>6836</v>
      </c>
      <c r="B3028" s="2" t="s">
        <v>6836</v>
      </c>
      <c r="C3028" s="2" t="s">
        <v>90</v>
      </c>
      <c r="D3028" s="2" t="s">
        <v>18</v>
      </c>
      <c r="E3028" s="5" t="s">
        <v>615</v>
      </c>
      <c r="F3028" s="3" t="s">
        <v>1205</v>
      </c>
      <c r="G3028" s="3" t="s">
        <v>86</v>
      </c>
      <c r="H3028" s="2" t="s">
        <v>22</v>
      </c>
      <c r="I3028" s="2" t="s">
        <v>6840</v>
      </c>
      <c r="J3028" s="3" t="str">
        <f>HYPERLINK("https://www.boe.es/gazeta/dias/1834/08/19/pdfs/GMD-D-1834-185.pdf#page=2","Abrir facsímil")</f>
        <v>Abrir facsímil</v>
      </c>
      <c r="K3028" s="3" t="s">
        <v>24</v>
      </c>
    </row>
    <row r="3029" spans="1:11" ht="54" customHeight="1">
      <c r="A3029" s="2" t="s">
        <v>6836</v>
      </c>
      <c r="B3029" s="2" t="s">
        <v>6836</v>
      </c>
      <c r="C3029" s="2" t="s">
        <v>857</v>
      </c>
      <c r="D3029" s="2" t="s">
        <v>18</v>
      </c>
      <c r="E3029" s="5" t="s">
        <v>777</v>
      </c>
      <c r="F3029" s="3" t="s">
        <v>2535</v>
      </c>
      <c r="G3029" s="3" t="s">
        <v>21</v>
      </c>
      <c r="H3029" s="2" t="s">
        <v>22</v>
      </c>
      <c r="I3029" s="2" t="s">
        <v>6841</v>
      </c>
      <c r="J3029" s="3" t="str">
        <f>HYPERLINK("https://www.boe.es/gazeta/dias/1834/10/29/pdfs/GMD-C-1834-257.pdf#page=3","Abrir facsímil")</f>
        <v>Abrir facsímil</v>
      </c>
      <c r="K3029" s="3" t="s">
        <v>24</v>
      </c>
    </row>
    <row r="3030" spans="1:11" ht="54" customHeight="1">
      <c r="A3030" s="2" t="s">
        <v>6842</v>
      </c>
      <c r="B3030" s="2" t="s">
        <v>6842</v>
      </c>
      <c r="C3030" s="2" t="s">
        <v>66</v>
      </c>
      <c r="D3030" s="2" t="s">
        <v>18</v>
      </c>
      <c r="E3030" s="5" t="s">
        <v>1084</v>
      </c>
      <c r="F3030" s="3" t="s">
        <v>1085</v>
      </c>
      <c r="G3030" s="3" t="s">
        <v>75</v>
      </c>
      <c r="H3030" s="2" t="s">
        <v>22</v>
      </c>
      <c r="I3030" s="2" t="s">
        <v>6843</v>
      </c>
      <c r="J3030" s="3" t="str">
        <f>HYPERLINK("https://www.boe.es/gazeta/dias/1834/05/01/pdfs/GMD-1834-70.pdf#page=4","Abrir facsímil")</f>
        <v>Abrir facsímil</v>
      </c>
      <c r="K3030" s="3" t="s">
        <v>24</v>
      </c>
    </row>
    <row r="3031" spans="1:11" ht="54" customHeight="1">
      <c r="A3031" s="2" t="s">
        <v>6842</v>
      </c>
      <c r="B3031" s="2" t="s">
        <v>6842</v>
      </c>
      <c r="C3031" s="2" t="s">
        <v>66</v>
      </c>
      <c r="D3031" s="2" t="s">
        <v>67</v>
      </c>
      <c r="E3031" s="5" t="s">
        <v>2212</v>
      </c>
      <c r="F3031" s="3" t="s">
        <v>2213</v>
      </c>
      <c r="G3031" s="3" t="s">
        <v>176</v>
      </c>
      <c r="H3031" s="2" t="s">
        <v>22</v>
      </c>
      <c r="I3031" s="2" t="s">
        <v>6844</v>
      </c>
      <c r="J3031" s="3" t="str">
        <f>HYPERLINK("https://www.boe.es/gazeta/dias/1834/08/04/pdfs/GMD-C-1834-168.pdf#page=6","Abrir facsímil")</f>
        <v>Abrir facsímil</v>
      </c>
      <c r="K3031" s="3" t="s">
        <v>24</v>
      </c>
    </row>
    <row r="3032" spans="1:11" ht="54" customHeight="1">
      <c r="A3032" s="2" t="s">
        <v>6842</v>
      </c>
      <c r="B3032" s="2" t="s">
        <v>6842</v>
      </c>
      <c r="C3032" s="2" t="s">
        <v>17</v>
      </c>
      <c r="D3032" s="2" t="s">
        <v>18</v>
      </c>
      <c r="E3032" s="5" t="s">
        <v>571</v>
      </c>
      <c r="F3032" s="3" t="s">
        <v>620</v>
      </c>
      <c r="G3032" s="3" t="s">
        <v>86</v>
      </c>
      <c r="H3032" s="2" t="s">
        <v>22</v>
      </c>
      <c r="I3032" s="2" t="s">
        <v>6845</v>
      </c>
      <c r="J3032" s="3" t="str">
        <f>HYPERLINK("https://www.boe.es/gazeta/dias/1834/09/04/pdfs/GMD-C-1834-202.pdf#page=2","Abrir facsímil")</f>
        <v>Abrir facsímil</v>
      </c>
      <c r="K3032" s="3" t="s">
        <v>24</v>
      </c>
    </row>
    <row r="3033" spans="1:11" ht="54" customHeight="1">
      <c r="A3033" s="2" t="s">
        <v>6842</v>
      </c>
      <c r="B3033" s="2" t="s">
        <v>6842</v>
      </c>
      <c r="C3033" s="2" t="s">
        <v>17</v>
      </c>
      <c r="D3033" s="2" t="s">
        <v>18</v>
      </c>
      <c r="E3033" s="5" t="s">
        <v>571</v>
      </c>
      <c r="F3033" s="3" t="s">
        <v>620</v>
      </c>
      <c r="G3033" s="3" t="s">
        <v>21</v>
      </c>
      <c r="H3033" s="2" t="s">
        <v>22</v>
      </c>
      <c r="I3033" s="2" t="s">
        <v>6846</v>
      </c>
      <c r="J3033" s="3" t="str">
        <f>HYPERLINK("https://www.boe.es/gazeta/dias/1834/09/04/pdfs/GMD-C-1834-202.pdf#page=3","Abrir facsímil")</f>
        <v>Abrir facsímil</v>
      </c>
      <c r="K3033" s="3" t="s">
        <v>24</v>
      </c>
    </row>
    <row r="3034" spans="1:11" ht="54" customHeight="1">
      <c r="A3034" s="2" t="s">
        <v>6842</v>
      </c>
      <c r="B3034" s="2" t="s">
        <v>6842</v>
      </c>
      <c r="C3034" s="2" t="s">
        <v>17</v>
      </c>
      <c r="D3034" s="2" t="s">
        <v>18</v>
      </c>
      <c r="E3034" s="5" t="s">
        <v>571</v>
      </c>
      <c r="F3034" s="3" t="s">
        <v>620</v>
      </c>
      <c r="G3034" s="3" t="s">
        <v>176</v>
      </c>
      <c r="H3034" s="2" t="s">
        <v>22</v>
      </c>
      <c r="I3034" s="2" t="s">
        <v>6847</v>
      </c>
      <c r="J3034" s="3" t="str">
        <f>HYPERLINK("https://www.boe.es/gazeta/dias/1834/09/04/pdfs/GMD-C-1834-202.pdf#page=6","Abrir facsímil")</f>
        <v>Abrir facsímil</v>
      </c>
      <c r="K3034" s="3" t="s">
        <v>24</v>
      </c>
    </row>
    <row r="3035" spans="1:11" ht="54" customHeight="1">
      <c r="A3035" s="2" t="s">
        <v>6842</v>
      </c>
      <c r="B3035" s="2" t="s">
        <v>6842</v>
      </c>
      <c r="C3035" s="2" t="s">
        <v>66</v>
      </c>
      <c r="D3035" s="2" t="s">
        <v>67</v>
      </c>
      <c r="E3035" s="5" t="s">
        <v>2865</v>
      </c>
      <c r="F3035" s="3" t="s">
        <v>2866</v>
      </c>
      <c r="G3035" s="3" t="s">
        <v>86</v>
      </c>
      <c r="H3035" s="2" t="s">
        <v>22</v>
      </c>
      <c r="I3035" s="2" t="s">
        <v>6848</v>
      </c>
      <c r="J3035" s="3" t="str">
        <f>HYPERLINK("https://www.boe.es/gazeta/dias/1834/07/06/pdfs/GMD-1834-139.pdf#page=2","Abrir facsímil")</f>
        <v>Abrir facsímil</v>
      </c>
      <c r="K3035" s="3" t="s">
        <v>24</v>
      </c>
    </row>
    <row r="3036" spans="1:11" ht="54" customHeight="1">
      <c r="A3036" s="2" t="s">
        <v>6842</v>
      </c>
      <c r="B3036" s="2" t="s">
        <v>6842</v>
      </c>
      <c r="C3036" s="2" t="s">
        <v>122</v>
      </c>
      <c r="D3036" s="2" t="s">
        <v>18</v>
      </c>
      <c r="E3036" s="5" t="s">
        <v>84</v>
      </c>
      <c r="F3036" s="3" t="s">
        <v>1223</v>
      </c>
      <c r="G3036" s="3" t="s">
        <v>75</v>
      </c>
      <c r="H3036" s="2" t="s">
        <v>22</v>
      </c>
      <c r="I3036" s="2" t="s">
        <v>6849</v>
      </c>
      <c r="J3036" s="3" t="str">
        <f>HYPERLINK("https://www.boe.es/gazeta/dias/1834/06/07/pdfs/GMD-1834-109.pdf#page=4","Abrir facsímil")</f>
        <v>Abrir facsímil</v>
      </c>
      <c r="K3036" s="3" t="s">
        <v>24</v>
      </c>
    </row>
    <row r="3037" spans="1:11" ht="54" customHeight="1">
      <c r="A3037" s="2" t="s">
        <v>6842</v>
      </c>
      <c r="B3037" s="2" t="s">
        <v>6842</v>
      </c>
      <c r="C3037" s="2" t="s">
        <v>46</v>
      </c>
      <c r="D3037" s="2" t="s">
        <v>101</v>
      </c>
      <c r="E3037" s="5" t="s">
        <v>433</v>
      </c>
      <c r="F3037" s="3" t="s">
        <v>434</v>
      </c>
      <c r="G3037" s="3" t="s">
        <v>34</v>
      </c>
      <c r="H3037" s="2" t="s">
        <v>22</v>
      </c>
      <c r="I3037" s="2" t="s">
        <v>6850</v>
      </c>
      <c r="J3037" s="3" t="str">
        <f>HYPERLINK("https://www.boe.es/gazeta/dias/1834/10/07/pdfs/GMD-C-1834-235.pdf#page=1","Abrir facsímil")</f>
        <v>Abrir facsímil</v>
      </c>
      <c r="K3037" s="3" t="s">
        <v>24</v>
      </c>
    </row>
    <row r="3038" spans="1:11" ht="54" customHeight="1">
      <c r="A3038" s="2" t="s">
        <v>6842</v>
      </c>
      <c r="B3038" s="2" t="s">
        <v>6842</v>
      </c>
      <c r="C3038" s="2" t="s">
        <v>17</v>
      </c>
      <c r="D3038" s="2" t="s">
        <v>18</v>
      </c>
      <c r="E3038" s="5" t="s">
        <v>433</v>
      </c>
      <c r="F3038" s="3" t="s">
        <v>434</v>
      </c>
      <c r="G3038" s="3" t="s">
        <v>21</v>
      </c>
      <c r="H3038" s="2" t="s">
        <v>22</v>
      </c>
      <c r="I3038" s="2" t="s">
        <v>6851</v>
      </c>
      <c r="J3038" s="3" t="str">
        <f>HYPERLINK("https://www.boe.es/gazeta/dias/1834/10/07/pdfs/GMD-C-1834-235.pdf#page=3","Abrir facsímil")</f>
        <v>Abrir facsímil</v>
      </c>
      <c r="K3038" s="3" t="s">
        <v>24</v>
      </c>
    </row>
    <row r="3039" spans="1:11" ht="54" customHeight="1">
      <c r="A3039" s="2" t="s">
        <v>6842</v>
      </c>
      <c r="B3039" s="2" t="s">
        <v>6842</v>
      </c>
      <c r="C3039" s="2" t="s">
        <v>17</v>
      </c>
      <c r="D3039" s="2" t="s">
        <v>18</v>
      </c>
      <c r="E3039" s="5" t="s">
        <v>793</v>
      </c>
      <c r="F3039" s="3" t="s">
        <v>1895</v>
      </c>
      <c r="G3039" s="3" t="s">
        <v>75</v>
      </c>
      <c r="H3039" s="2" t="s">
        <v>22</v>
      </c>
      <c r="I3039" s="2" t="s">
        <v>6852</v>
      </c>
      <c r="J3039" s="3" t="str">
        <f>HYPERLINK("https://www.boe.es/gazeta/dias/1834/10/08/pdfs/GMD-C-1834-236.pdf#page=4","Abrir facsímil")</f>
        <v>Abrir facsímil</v>
      </c>
      <c r="K3039" s="3" t="s">
        <v>24</v>
      </c>
    </row>
    <row r="3040" spans="1:11" ht="54" customHeight="1">
      <c r="A3040" s="2" t="s">
        <v>6842</v>
      </c>
      <c r="B3040" s="2" t="s">
        <v>6842</v>
      </c>
      <c r="C3040" s="2" t="s">
        <v>17</v>
      </c>
      <c r="D3040" s="2" t="s">
        <v>18</v>
      </c>
      <c r="E3040" s="5" t="s">
        <v>2748</v>
      </c>
      <c r="F3040" s="3" t="s">
        <v>2749</v>
      </c>
      <c r="G3040" s="3" t="s">
        <v>21</v>
      </c>
      <c r="H3040" s="2" t="s">
        <v>22</v>
      </c>
      <c r="I3040" s="2" t="s">
        <v>6853</v>
      </c>
      <c r="J3040" s="3" t="str">
        <f>HYPERLINK("https://www.boe.es/gazeta/dias/1834/01/09/pdfs/GMD-1834-5.pdf#page=3","Abrir facsímil")</f>
        <v>Abrir facsímil</v>
      </c>
      <c r="K3040" s="3" t="s">
        <v>24</v>
      </c>
    </row>
    <row r="3041" spans="1:11" ht="54" customHeight="1">
      <c r="A3041" s="2" t="s">
        <v>6842</v>
      </c>
      <c r="B3041" s="2" t="s">
        <v>6842</v>
      </c>
      <c r="C3041" s="2" t="s">
        <v>17</v>
      </c>
      <c r="D3041" s="2" t="s">
        <v>18</v>
      </c>
      <c r="E3041" s="5" t="s">
        <v>1410</v>
      </c>
      <c r="F3041" s="3" t="s">
        <v>2231</v>
      </c>
      <c r="G3041" s="3" t="s">
        <v>34</v>
      </c>
      <c r="H3041" s="2" t="s">
        <v>22</v>
      </c>
      <c r="I3041" s="2" t="s">
        <v>6854</v>
      </c>
      <c r="J3041" s="3" t="str">
        <f>HYPERLINK("https://www.boe.es/gazeta/dias/1834/09/09/pdfs/GMD-C-1834-207.pdf#page=1","Abrir facsímil")</f>
        <v>Abrir facsímil</v>
      </c>
      <c r="K3041" s="3" t="s">
        <v>24</v>
      </c>
    </row>
    <row r="3042" spans="1:11" ht="54" customHeight="1">
      <c r="A3042" s="2" t="s">
        <v>6842</v>
      </c>
      <c r="B3042" s="2" t="s">
        <v>6842</v>
      </c>
      <c r="C3042" s="2" t="s">
        <v>17</v>
      </c>
      <c r="D3042" s="2" t="s">
        <v>18</v>
      </c>
      <c r="E3042" s="5" t="s">
        <v>258</v>
      </c>
      <c r="F3042" s="3" t="s">
        <v>259</v>
      </c>
      <c r="G3042" s="3" t="s">
        <v>34</v>
      </c>
      <c r="H3042" s="2" t="s">
        <v>22</v>
      </c>
      <c r="I3042" s="2" t="s">
        <v>6855</v>
      </c>
      <c r="J3042" s="3" t="str">
        <f>HYPERLINK("https://www.boe.es/gazeta/dias/1834/10/09/pdfs/GMD-C-1834-237.pdf#page=1","Abrir facsímil")</f>
        <v>Abrir facsímil</v>
      </c>
      <c r="K3042" s="3" t="s">
        <v>24</v>
      </c>
    </row>
    <row r="3043" spans="1:11" ht="54" customHeight="1">
      <c r="A3043" s="2" t="s">
        <v>6842</v>
      </c>
      <c r="B3043" s="2" t="s">
        <v>6842</v>
      </c>
      <c r="C3043" s="2" t="s">
        <v>66</v>
      </c>
      <c r="D3043" s="2" t="s">
        <v>67</v>
      </c>
      <c r="E3043" s="5" t="s">
        <v>258</v>
      </c>
      <c r="F3043" s="3" t="s">
        <v>259</v>
      </c>
      <c r="G3043" s="3" t="s">
        <v>176</v>
      </c>
      <c r="H3043" s="2" t="s">
        <v>22</v>
      </c>
      <c r="I3043" s="2" t="s">
        <v>6856</v>
      </c>
      <c r="J3043" s="3" t="str">
        <f>HYPERLINK("https://www.boe.es/gazeta/dias/1834/10/09/pdfs/GMD-C-1834-237.pdf#page=6","Abrir facsímil")</f>
        <v>Abrir facsímil</v>
      </c>
      <c r="K3043" s="3" t="s">
        <v>24</v>
      </c>
    </row>
    <row r="3044" spans="1:11" ht="54" customHeight="1">
      <c r="A3044" s="2" t="s">
        <v>6842</v>
      </c>
      <c r="B3044" s="2" t="s">
        <v>6842</v>
      </c>
      <c r="C3044" s="2" t="s">
        <v>90</v>
      </c>
      <c r="D3044" s="2" t="s">
        <v>18</v>
      </c>
      <c r="E3044" s="5" t="s">
        <v>444</v>
      </c>
      <c r="F3044" s="3" t="s">
        <v>445</v>
      </c>
      <c r="G3044" s="3" t="s">
        <v>34</v>
      </c>
      <c r="H3044" s="2" t="s">
        <v>22</v>
      </c>
      <c r="I3044" s="2" t="s">
        <v>6857</v>
      </c>
      <c r="J3044" s="3" t="str">
        <f>HYPERLINK("https://www.boe.es/gazeta/dias/1834/09/12/pdfs/GMD-C-1834-210.pdf#page=1","Abrir facsímil")</f>
        <v>Abrir facsímil</v>
      </c>
      <c r="K3044" s="3" t="s">
        <v>24</v>
      </c>
    </row>
    <row r="3045" spans="1:11" ht="54" customHeight="1">
      <c r="A3045" s="2" t="s">
        <v>6842</v>
      </c>
      <c r="B3045" s="2" t="s">
        <v>6842</v>
      </c>
      <c r="C3045" s="2" t="s">
        <v>17</v>
      </c>
      <c r="D3045" s="2" t="s">
        <v>40</v>
      </c>
      <c r="E3045" s="5" t="s">
        <v>299</v>
      </c>
      <c r="F3045" s="3" t="s">
        <v>2255</v>
      </c>
      <c r="G3045" s="3" t="s">
        <v>75</v>
      </c>
      <c r="H3045" s="2" t="s">
        <v>22</v>
      </c>
      <c r="I3045" s="2" t="s">
        <v>6858</v>
      </c>
      <c r="J3045" s="3" t="str">
        <f>HYPERLINK("https://www.boe.es/gazeta/dias/1834/12/12/pdfs/GMD-C-1834-301.pdf#page=4","Abrir facsímil")</f>
        <v>Abrir facsímil</v>
      </c>
      <c r="K3045" s="3" t="s">
        <v>24</v>
      </c>
    </row>
    <row r="3046" spans="1:11" ht="54" customHeight="1">
      <c r="A3046" s="2" t="s">
        <v>6842</v>
      </c>
      <c r="B3046" s="2" t="s">
        <v>6842</v>
      </c>
      <c r="C3046" s="2" t="s">
        <v>17</v>
      </c>
      <c r="D3046" s="2" t="s">
        <v>101</v>
      </c>
      <c r="E3046" s="5" t="s">
        <v>299</v>
      </c>
      <c r="F3046" s="3" t="s">
        <v>2255</v>
      </c>
      <c r="G3046" s="3" t="s">
        <v>28</v>
      </c>
      <c r="H3046" s="2" t="s">
        <v>22</v>
      </c>
      <c r="I3046" s="2" t="s">
        <v>6859</v>
      </c>
      <c r="J3046" s="3" t="str">
        <f>HYPERLINK("https://www.boe.es/gazeta/dias/1834/12/12/pdfs/GMD-C-1834-301.pdf#page=5","Abrir facsímil")</f>
        <v>Abrir facsímil</v>
      </c>
      <c r="K3046" s="3" t="s">
        <v>24</v>
      </c>
    </row>
    <row r="3047" spans="1:11" ht="54" customHeight="1">
      <c r="A3047" s="2" t="s">
        <v>6842</v>
      </c>
      <c r="B3047" s="2" t="s">
        <v>6842</v>
      </c>
      <c r="C3047" s="2" t="s">
        <v>17</v>
      </c>
      <c r="D3047" s="2" t="s">
        <v>18</v>
      </c>
      <c r="E3047" s="5" t="s">
        <v>479</v>
      </c>
      <c r="F3047" s="3" t="s">
        <v>2258</v>
      </c>
      <c r="G3047" s="3" t="s">
        <v>86</v>
      </c>
      <c r="H3047" s="2" t="s">
        <v>22</v>
      </c>
      <c r="I3047" s="2" t="s">
        <v>6860</v>
      </c>
      <c r="J3047" s="3" t="str">
        <f>HYPERLINK("https://www.boe.es/gazeta/dias/1834/08/13/pdfs/GMD-C-1834-178.pdf#page=2","Abrir facsímil")</f>
        <v>Abrir facsímil</v>
      </c>
      <c r="K3047" s="3" t="s">
        <v>24</v>
      </c>
    </row>
    <row r="3048" spans="1:11" ht="54" customHeight="1">
      <c r="A3048" s="2" t="s">
        <v>6842</v>
      </c>
      <c r="B3048" s="2" t="s">
        <v>6842</v>
      </c>
      <c r="C3048" s="2" t="s">
        <v>90</v>
      </c>
      <c r="D3048" s="2" t="s">
        <v>18</v>
      </c>
      <c r="E3048" s="5" t="s">
        <v>479</v>
      </c>
      <c r="F3048" s="3" t="s">
        <v>2258</v>
      </c>
      <c r="G3048" s="3" t="s">
        <v>21</v>
      </c>
      <c r="H3048" s="2" t="s">
        <v>22</v>
      </c>
      <c r="I3048" s="2" t="s">
        <v>6861</v>
      </c>
      <c r="J3048" s="3" t="str">
        <f>HYPERLINK("https://www.boe.es/gazeta/dias/1834/08/13/pdfs/GMD-C-1834-178.pdf#page=3","Abrir facsímil")</f>
        <v>Abrir facsímil</v>
      </c>
      <c r="K3048" s="3" t="s">
        <v>24</v>
      </c>
    </row>
    <row r="3049" spans="1:11" ht="54" customHeight="1">
      <c r="A3049" s="2" t="s">
        <v>6842</v>
      </c>
      <c r="B3049" s="2" t="s">
        <v>6842</v>
      </c>
      <c r="C3049" s="2" t="s">
        <v>66</v>
      </c>
      <c r="D3049" s="2" t="s">
        <v>67</v>
      </c>
      <c r="E3049" s="5" t="s">
        <v>556</v>
      </c>
      <c r="F3049" s="3" t="s">
        <v>557</v>
      </c>
      <c r="G3049" s="3" t="s">
        <v>21</v>
      </c>
      <c r="H3049" s="2" t="s">
        <v>22</v>
      </c>
      <c r="I3049" s="2" t="s">
        <v>6862</v>
      </c>
      <c r="J3049" s="3" t="str">
        <f>HYPERLINK("https://www.boe.es/gazeta/dias/1834/09/13/pdfs/GMD-1834-211.pdf#page=3","Abrir facsímil")</f>
        <v>Abrir facsímil</v>
      </c>
      <c r="K3049" s="3" t="s">
        <v>24</v>
      </c>
    </row>
    <row r="3050" spans="1:11" ht="54" customHeight="1">
      <c r="A3050" s="2" t="s">
        <v>6842</v>
      </c>
      <c r="B3050" s="2" t="s">
        <v>6842</v>
      </c>
      <c r="C3050" s="2" t="s">
        <v>66</v>
      </c>
      <c r="D3050" s="2" t="s">
        <v>67</v>
      </c>
      <c r="E3050" s="5" t="s">
        <v>863</v>
      </c>
      <c r="F3050" s="3" t="s">
        <v>864</v>
      </c>
      <c r="G3050" s="3" t="s">
        <v>34</v>
      </c>
      <c r="H3050" s="2" t="s">
        <v>22</v>
      </c>
      <c r="I3050" s="2" t="s">
        <v>6863</v>
      </c>
      <c r="J3050" s="3" t="str">
        <f>HYPERLINK("https://www.boe.es/gazeta/dias/1834/09/15/pdfs/GMD-1834-213.pdf#page=1","Abrir facsímil")</f>
        <v>Abrir facsímil</v>
      </c>
      <c r="K3050" s="3" t="s">
        <v>24</v>
      </c>
    </row>
    <row r="3051" spans="1:11" ht="54" customHeight="1">
      <c r="A3051" s="2" t="s">
        <v>6842</v>
      </c>
      <c r="B3051" s="2" t="s">
        <v>6842</v>
      </c>
      <c r="C3051" s="2" t="s">
        <v>66</v>
      </c>
      <c r="D3051" s="2" t="s">
        <v>67</v>
      </c>
      <c r="E3051" s="5" t="s">
        <v>863</v>
      </c>
      <c r="F3051" s="3" t="s">
        <v>864</v>
      </c>
      <c r="G3051" s="3" t="s">
        <v>21</v>
      </c>
      <c r="H3051" s="2" t="s">
        <v>22</v>
      </c>
      <c r="I3051" s="2" t="s">
        <v>6864</v>
      </c>
      <c r="J3051" s="3" t="str">
        <f>HYPERLINK("https://www.boe.es/gazeta/dias/1834/09/15/pdfs/GMD-1834-213.pdf#page=3","Abrir facsímil")</f>
        <v>Abrir facsímil</v>
      </c>
      <c r="K3051" s="3" t="s">
        <v>24</v>
      </c>
    </row>
    <row r="3052" spans="1:11" ht="54" customHeight="1">
      <c r="A3052" s="2" t="s">
        <v>6842</v>
      </c>
      <c r="B3052" s="2" t="s">
        <v>6842</v>
      </c>
      <c r="C3052" s="2" t="s">
        <v>17</v>
      </c>
      <c r="D3052" s="2" t="s">
        <v>18</v>
      </c>
      <c r="E3052" s="5" t="s">
        <v>233</v>
      </c>
      <c r="F3052" s="3" t="s">
        <v>1810</v>
      </c>
      <c r="G3052" s="3" t="s">
        <v>1343</v>
      </c>
      <c r="H3052" s="2" t="s">
        <v>22</v>
      </c>
      <c r="I3052" s="2" t="s">
        <v>6865</v>
      </c>
      <c r="J3052" s="3" t="str">
        <f>HYPERLINK("https://www.boe.es/gazeta/dias/1834/12/16/pdfs/GMD-C-1834-305.pdf#page=9","Abrir facsímil")</f>
        <v>Abrir facsímil</v>
      </c>
      <c r="K3052" s="3" t="s">
        <v>24</v>
      </c>
    </row>
    <row r="3053" spans="1:11" ht="54" customHeight="1">
      <c r="A3053" s="2" t="s">
        <v>6842</v>
      </c>
      <c r="B3053" s="2" t="s">
        <v>6842</v>
      </c>
      <c r="C3053" s="2" t="s">
        <v>66</v>
      </c>
      <c r="D3053" s="2" t="s">
        <v>67</v>
      </c>
      <c r="E3053" s="5" t="s">
        <v>772</v>
      </c>
      <c r="F3053" s="3" t="s">
        <v>773</v>
      </c>
      <c r="G3053" s="3" t="s">
        <v>86</v>
      </c>
      <c r="H3053" s="2" t="s">
        <v>22</v>
      </c>
      <c r="I3053" s="2" t="s">
        <v>6866</v>
      </c>
      <c r="J3053" s="3" t="str">
        <f>HYPERLINK("https://www.boe.es/gazeta/dias/1834/09/18/pdfs/GMD-1834-216.pdf#page=2","Abrir facsímil")</f>
        <v>Abrir facsímil</v>
      </c>
      <c r="K3053" s="3" t="s">
        <v>24</v>
      </c>
    </row>
    <row r="3054" spans="1:11" ht="54" customHeight="1">
      <c r="A3054" s="2" t="s">
        <v>6842</v>
      </c>
      <c r="B3054" s="2" t="s">
        <v>6842</v>
      </c>
      <c r="C3054" s="2" t="s">
        <v>66</v>
      </c>
      <c r="D3054" s="2" t="s">
        <v>67</v>
      </c>
      <c r="E3054" s="5" t="s">
        <v>3036</v>
      </c>
      <c r="F3054" s="3" t="s">
        <v>3372</v>
      </c>
      <c r="G3054" s="3" t="s">
        <v>21</v>
      </c>
      <c r="H3054" s="2" t="s">
        <v>22</v>
      </c>
      <c r="I3054" s="2" t="s">
        <v>6867</v>
      </c>
      <c r="J3054" s="3" t="str">
        <f>HYPERLINK("https://www.boe.es/gazeta/dias/1834/11/18/pdfs/GMD-1834-277.pdf#page=3","Abrir facsímil")</f>
        <v>Abrir facsímil</v>
      </c>
      <c r="K3054" s="3" t="s">
        <v>24</v>
      </c>
    </row>
    <row r="3055" spans="1:11" ht="54" customHeight="1">
      <c r="A3055" s="2" t="s">
        <v>6842</v>
      </c>
      <c r="B3055" s="2" t="s">
        <v>6842</v>
      </c>
      <c r="C3055" s="2" t="s">
        <v>17</v>
      </c>
      <c r="D3055" s="2" t="s">
        <v>18</v>
      </c>
      <c r="E3055" s="5" t="s">
        <v>268</v>
      </c>
      <c r="F3055" s="3" t="s">
        <v>269</v>
      </c>
      <c r="G3055" s="3" t="s">
        <v>28</v>
      </c>
      <c r="H3055" s="2" t="s">
        <v>22</v>
      </c>
      <c r="I3055" s="2" t="s">
        <v>6868</v>
      </c>
      <c r="J3055" s="3" t="str">
        <f>HYPERLINK("https://www.boe.es/gazeta/dias/1834/12/19/pdfs/GMD-C-1834-309.pdf#page=5","Abrir facsímil")</f>
        <v>Abrir facsímil</v>
      </c>
      <c r="K3055" s="3" t="s">
        <v>24</v>
      </c>
    </row>
    <row r="3056" spans="1:11" ht="54" customHeight="1">
      <c r="A3056" s="2" t="s">
        <v>6842</v>
      </c>
      <c r="B3056" s="2" t="s">
        <v>6842</v>
      </c>
      <c r="C3056" s="2" t="s">
        <v>17</v>
      </c>
      <c r="D3056" s="2" t="s">
        <v>18</v>
      </c>
      <c r="E3056" s="5" t="s">
        <v>3248</v>
      </c>
      <c r="F3056" s="3" t="s">
        <v>4798</v>
      </c>
      <c r="G3056" s="3" t="s">
        <v>86</v>
      </c>
      <c r="H3056" s="2" t="s">
        <v>22</v>
      </c>
      <c r="I3056" s="2" t="s">
        <v>6869</v>
      </c>
      <c r="J3056" s="3" t="str">
        <f>HYPERLINK("https://www.boe.es/gazeta/dias/1834/09/20/pdfs/GMD-C-1834-218.pdf#page=2","Abrir facsímil")</f>
        <v>Abrir facsímil</v>
      </c>
      <c r="K3056" s="3" t="s">
        <v>24</v>
      </c>
    </row>
    <row r="3057" spans="1:11" ht="54" customHeight="1">
      <c r="A3057" s="2" t="s">
        <v>6842</v>
      </c>
      <c r="B3057" s="2" t="s">
        <v>6842</v>
      </c>
      <c r="C3057" s="2" t="s">
        <v>17</v>
      </c>
      <c r="D3057" s="2" t="s">
        <v>18</v>
      </c>
      <c r="E3057" s="5" t="s">
        <v>304</v>
      </c>
      <c r="F3057" s="3" t="s">
        <v>305</v>
      </c>
      <c r="G3057" s="3" t="s">
        <v>176</v>
      </c>
      <c r="H3057" s="2" t="s">
        <v>22</v>
      </c>
      <c r="I3057" s="2" t="s">
        <v>6870</v>
      </c>
      <c r="J3057" s="3" t="str">
        <f>HYPERLINK("https://www.boe.es/gazeta/dias/1834/01/21/pdfs/GMD-1834-10.pdf#page=6","Abrir facsímil")</f>
        <v>Abrir facsímil</v>
      </c>
      <c r="K3057" s="3" t="s">
        <v>24</v>
      </c>
    </row>
    <row r="3058" spans="1:11" ht="54" customHeight="1">
      <c r="A3058" s="2" t="s">
        <v>6842</v>
      </c>
      <c r="B3058" s="2" t="s">
        <v>6842</v>
      </c>
      <c r="C3058" s="2" t="s">
        <v>46</v>
      </c>
      <c r="D3058" s="2" t="s">
        <v>101</v>
      </c>
      <c r="E3058" s="5" t="s">
        <v>647</v>
      </c>
      <c r="F3058" s="3" t="s">
        <v>648</v>
      </c>
      <c r="G3058" s="3" t="s">
        <v>21</v>
      </c>
      <c r="H3058" s="2" t="s">
        <v>22</v>
      </c>
      <c r="I3058" s="2" t="s">
        <v>6871</v>
      </c>
      <c r="J3058" s="3" t="str">
        <f>HYPERLINK("https://www.boe.es/gazeta/dias/1834/10/21/pdfs/GMD-C-1834-249.pdf#page=3","Abrir facsímil")</f>
        <v>Abrir facsímil</v>
      </c>
      <c r="K3058" s="3" t="s">
        <v>24</v>
      </c>
    </row>
    <row r="3059" spans="1:11" ht="54" customHeight="1">
      <c r="A3059" s="2" t="s">
        <v>6842</v>
      </c>
      <c r="B3059" s="2" t="s">
        <v>6842</v>
      </c>
      <c r="C3059" s="2" t="s">
        <v>17</v>
      </c>
      <c r="D3059" s="2" t="s">
        <v>18</v>
      </c>
      <c r="E3059" s="5" t="s">
        <v>647</v>
      </c>
      <c r="F3059" s="3" t="s">
        <v>648</v>
      </c>
      <c r="G3059" s="3" t="s">
        <v>75</v>
      </c>
      <c r="H3059" s="2" t="s">
        <v>22</v>
      </c>
      <c r="I3059" s="2" t="s">
        <v>6872</v>
      </c>
      <c r="J3059" s="3" t="str">
        <f>HYPERLINK("https://www.boe.es/gazeta/dias/1834/10/21/pdfs/GMD-C-1834-249.pdf#page=4","Abrir facsímil")</f>
        <v>Abrir facsímil</v>
      </c>
      <c r="K3059" s="3" t="s">
        <v>24</v>
      </c>
    </row>
    <row r="3060" spans="1:11" ht="54" customHeight="1">
      <c r="A3060" s="2" t="s">
        <v>6842</v>
      </c>
      <c r="B3060" s="2" t="s">
        <v>6842</v>
      </c>
      <c r="C3060" s="2" t="s">
        <v>17</v>
      </c>
      <c r="D3060" s="2" t="s">
        <v>18</v>
      </c>
      <c r="E3060" s="5" t="s">
        <v>606</v>
      </c>
      <c r="F3060" s="3" t="s">
        <v>607</v>
      </c>
      <c r="G3060" s="3" t="s">
        <v>86</v>
      </c>
      <c r="H3060" s="2" t="s">
        <v>22</v>
      </c>
      <c r="I3060" s="2" t="s">
        <v>6873</v>
      </c>
      <c r="J3060" s="3" t="str">
        <f>HYPERLINK("https://www.boe.es/gazeta/dias/1834/06/23/pdfs/GMD-1834-126.pdf#page=2","Abrir facsímil")</f>
        <v>Abrir facsímil</v>
      </c>
      <c r="K3060" s="3" t="s">
        <v>24</v>
      </c>
    </row>
    <row r="3061" spans="1:11" ht="54" customHeight="1">
      <c r="A3061" s="2" t="s">
        <v>6842</v>
      </c>
      <c r="B3061" s="2" t="s">
        <v>6842</v>
      </c>
      <c r="C3061" s="2" t="s">
        <v>122</v>
      </c>
      <c r="D3061" s="2" t="s">
        <v>18</v>
      </c>
      <c r="E3061" s="5" t="s">
        <v>919</v>
      </c>
      <c r="F3061" s="3" t="s">
        <v>920</v>
      </c>
      <c r="G3061" s="3" t="s">
        <v>86</v>
      </c>
      <c r="H3061" s="2" t="s">
        <v>22</v>
      </c>
      <c r="I3061" s="2" t="s">
        <v>6874</v>
      </c>
      <c r="J3061" s="3" t="str">
        <f>HYPERLINK("https://www.boe.es/gazeta/dias/1834/06/24/pdfs/GMD-1834-127.pdf#page=2","Abrir facsímil")</f>
        <v>Abrir facsímil</v>
      </c>
      <c r="K3061" s="3" t="s">
        <v>24</v>
      </c>
    </row>
    <row r="3062" spans="1:11" ht="54" customHeight="1">
      <c r="A3062" s="2" t="s">
        <v>6842</v>
      </c>
      <c r="B3062" s="2" t="s">
        <v>6842</v>
      </c>
      <c r="C3062" s="2" t="s">
        <v>90</v>
      </c>
      <c r="D3062" s="2" t="s">
        <v>55</v>
      </c>
      <c r="E3062" s="5" t="s">
        <v>378</v>
      </c>
      <c r="F3062" s="3" t="s">
        <v>379</v>
      </c>
      <c r="G3062" s="3" t="s">
        <v>86</v>
      </c>
      <c r="H3062" s="2" t="s">
        <v>22</v>
      </c>
      <c r="I3062" s="2" t="s">
        <v>6875</v>
      </c>
      <c r="J3062" s="3" t="str">
        <f>HYPERLINK("https://www.boe.es/gazeta/dias/1834/09/24/pdfs/GMD-1834-222.pdf#page=2","Abrir facsímil")</f>
        <v>Abrir facsímil</v>
      </c>
      <c r="K3062" s="3" t="s">
        <v>24</v>
      </c>
    </row>
    <row r="3063" spans="1:11" ht="54" customHeight="1">
      <c r="A3063" s="2" t="s">
        <v>6842</v>
      </c>
      <c r="B3063" s="2" t="s">
        <v>6842</v>
      </c>
      <c r="C3063" s="2" t="s">
        <v>90</v>
      </c>
      <c r="D3063" s="2" t="s">
        <v>101</v>
      </c>
      <c r="E3063" s="5" t="s">
        <v>403</v>
      </c>
      <c r="F3063" s="3" t="s">
        <v>404</v>
      </c>
      <c r="G3063" s="3" t="s">
        <v>34</v>
      </c>
      <c r="H3063" s="2" t="s">
        <v>22</v>
      </c>
      <c r="I3063" s="2" t="s">
        <v>6876</v>
      </c>
      <c r="J3063" s="3" t="str">
        <f>HYPERLINK("https://www.boe.es/gazeta/dias/1834/09/25/pdfs/GMD-C-1834-223.pdf#page=1","Abrir facsímil")</f>
        <v>Abrir facsímil</v>
      </c>
      <c r="K3063" s="3" t="s">
        <v>24</v>
      </c>
    </row>
    <row r="3064" spans="1:11" ht="54" customHeight="1">
      <c r="A3064" s="2" t="s">
        <v>6842</v>
      </c>
      <c r="B3064" s="2" t="s">
        <v>6842</v>
      </c>
      <c r="C3064" s="2" t="s">
        <v>17</v>
      </c>
      <c r="D3064" s="2" t="s">
        <v>18</v>
      </c>
      <c r="E3064" s="5" t="s">
        <v>403</v>
      </c>
      <c r="F3064" s="3" t="s">
        <v>404</v>
      </c>
      <c r="G3064" s="3" t="s">
        <v>75</v>
      </c>
      <c r="H3064" s="2" t="s">
        <v>22</v>
      </c>
      <c r="I3064" s="2" t="s">
        <v>6877</v>
      </c>
      <c r="J3064" s="3" t="str">
        <f>HYPERLINK("https://www.boe.es/gazeta/dias/1834/09/25/pdfs/GMD-C-1834-223.pdf#page=4","Abrir facsímil")</f>
        <v>Abrir facsímil</v>
      </c>
      <c r="K3064" s="3" t="s">
        <v>24</v>
      </c>
    </row>
    <row r="3065" spans="1:11" ht="54" customHeight="1">
      <c r="A3065" s="2" t="s">
        <v>6842</v>
      </c>
      <c r="B3065" s="2" t="s">
        <v>6842</v>
      </c>
      <c r="C3065" s="2" t="s">
        <v>17</v>
      </c>
      <c r="D3065" s="2" t="s">
        <v>40</v>
      </c>
      <c r="E3065" s="5" t="s">
        <v>510</v>
      </c>
      <c r="F3065" s="3" t="s">
        <v>531</v>
      </c>
      <c r="G3065" s="3" t="s">
        <v>75</v>
      </c>
      <c r="H3065" s="2" t="s">
        <v>22</v>
      </c>
      <c r="I3065" s="2" t="s">
        <v>6878</v>
      </c>
      <c r="J3065" s="3" t="str">
        <f>HYPERLINK("https://www.boe.es/gazeta/dias/1834/11/26/pdfs/GMD-C-1834-285.pdf#page=4","Abrir facsímil")</f>
        <v>Abrir facsímil</v>
      </c>
      <c r="K3065" s="3" t="s">
        <v>24</v>
      </c>
    </row>
    <row r="3066" spans="1:11" ht="54" customHeight="1">
      <c r="A3066" s="2" t="s">
        <v>6842</v>
      </c>
      <c r="B3066" s="2" t="s">
        <v>6842</v>
      </c>
      <c r="C3066" s="2" t="s">
        <v>66</v>
      </c>
      <c r="D3066" s="2" t="s">
        <v>67</v>
      </c>
      <c r="E3066" s="5" t="s">
        <v>174</v>
      </c>
      <c r="F3066" s="3" t="s">
        <v>175</v>
      </c>
      <c r="G3066" s="3" t="s">
        <v>75</v>
      </c>
      <c r="H3066" s="2" t="s">
        <v>22</v>
      </c>
      <c r="I3066" s="2" t="s">
        <v>6879</v>
      </c>
      <c r="J3066" s="3" t="str">
        <f>HYPERLINK("https://www.boe.es/gazeta/dias/1834/03/27/pdfs/GMD-1834-38.pdf#page=4","Abrir facsímil")</f>
        <v>Abrir facsímil</v>
      </c>
      <c r="K3066" s="3" t="s">
        <v>24</v>
      </c>
    </row>
    <row r="3067" spans="1:11" ht="54" customHeight="1">
      <c r="A3067" s="2" t="s">
        <v>6842</v>
      </c>
      <c r="B3067" s="2" t="s">
        <v>6842</v>
      </c>
      <c r="C3067" s="2" t="s">
        <v>17</v>
      </c>
      <c r="D3067" s="2" t="s">
        <v>18</v>
      </c>
      <c r="E3067" s="5" t="s">
        <v>513</v>
      </c>
      <c r="F3067" s="3" t="s">
        <v>514</v>
      </c>
      <c r="G3067" s="3" t="s">
        <v>34</v>
      </c>
      <c r="H3067" s="2" t="s">
        <v>22</v>
      </c>
      <c r="I3067" s="2" t="s">
        <v>6880</v>
      </c>
      <c r="J3067" s="3" t="str">
        <f>HYPERLINK("https://www.boe.es/gazeta/dias/1834/04/27/pdfs/GMD-1834-66.pdf#page=1","Abrir facsímil")</f>
        <v>Abrir facsímil</v>
      </c>
      <c r="K3067" s="3" t="s">
        <v>24</v>
      </c>
    </row>
    <row r="3068" spans="1:11" ht="54" customHeight="1">
      <c r="A3068" s="2" t="s">
        <v>6842</v>
      </c>
      <c r="B3068" s="2" t="s">
        <v>6842</v>
      </c>
      <c r="C3068" s="2" t="s">
        <v>46</v>
      </c>
      <c r="D3068" s="2" t="s">
        <v>55</v>
      </c>
      <c r="E3068" s="5" t="s">
        <v>371</v>
      </c>
      <c r="F3068" s="3" t="s">
        <v>372</v>
      </c>
      <c r="G3068" s="3" t="s">
        <v>86</v>
      </c>
      <c r="H3068" s="2" t="s">
        <v>22</v>
      </c>
      <c r="I3068" s="2" t="s">
        <v>6881</v>
      </c>
      <c r="J3068" s="3" t="str">
        <f>HYPERLINK("https://www.boe.es/gazeta/dias/1834/05/27/pdfs/GMD-1834-96.pdf#page=2","Abrir facsímil")</f>
        <v>Abrir facsímil</v>
      </c>
      <c r="K3068" s="3" t="s">
        <v>24</v>
      </c>
    </row>
    <row r="3069" spans="1:11" ht="54" customHeight="1">
      <c r="A3069" s="2" t="s">
        <v>6842</v>
      </c>
      <c r="B3069" s="2" t="s">
        <v>6842</v>
      </c>
      <c r="C3069" s="2" t="s">
        <v>17</v>
      </c>
      <c r="D3069" s="2" t="s">
        <v>18</v>
      </c>
      <c r="E3069" s="5" t="s">
        <v>280</v>
      </c>
      <c r="F3069" s="3" t="s">
        <v>281</v>
      </c>
      <c r="G3069" s="3" t="s">
        <v>28</v>
      </c>
      <c r="H3069" s="2" t="s">
        <v>22</v>
      </c>
      <c r="I3069" s="2" t="s">
        <v>6882</v>
      </c>
      <c r="J3069" s="3" t="str">
        <f>HYPERLINK("https://www.boe.es/gazeta/dias/1834/08/29/pdfs/GMD-C-1834-195.pdf#page=5","Abrir facsímil")</f>
        <v>Abrir facsímil</v>
      </c>
      <c r="K3069" s="3" t="s">
        <v>24</v>
      </c>
    </row>
    <row r="3070" spans="1:11" ht="54" customHeight="1">
      <c r="A3070" s="2" t="s">
        <v>6842</v>
      </c>
      <c r="B3070" s="2" t="s">
        <v>6842</v>
      </c>
      <c r="C3070" s="2" t="s">
        <v>46</v>
      </c>
      <c r="D3070" s="2" t="s">
        <v>18</v>
      </c>
      <c r="E3070" s="5" t="s">
        <v>143</v>
      </c>
      <c r="F3070" s="3" t="s">
        <v>144</v>
      </c>
      <c r="G3070" s="3" t="s">
        <v>21</v>
      </c>
      <c r="H3070" s="2" t="s">
        <v>22</v>
      </c>
      <c r="I3070" s="2" t="s">
        <v>6883</v>
      </c>
      <c r="J3070" s="3" t="str">
        <f>HYPERLINK("https://www.boe.es/gazeta/dias/1834/07/31/pdfs/GMD-1834-164.pdf#page=3","Abrir facsímil")</f>
        <v>Abrir facsímil</v>
      </c>
      <c r="K3070" s="3" t="s">
        <v>24</v>
      </c>
    </row>
    <row r="3071" spans="1:11" ht="54" customHeight="1">
      <c r="A3071" s="2" t="s">
        <v>6842</v>
      </c>
      <c r="B3071" s="2" t="s">
        <v>6842</v>
      </c>
      <c r="C3071" s="2" t="s">
        <v>66</v>
      </c>
      <c r="D3071" s="2" t="s">
        <v>67</v>
      </c>
      <c r="E3071" s="5" t="s">
        <v>192</v>
      </c>
      <c r="F3071" s="3" t="s">
        <v>2713</v>
      </c>
      <c r="G3071" s="3" t="s">
        <v>34</v>
      </c>
      <c r="H3071" s="2" t="s">
        <v>22</v>
      </c>
      <c r="I3071" s="2" t="s">
        <v>6884</v>
      </c>
      <c r="J3071" s="3" t="str">
        <f>HYPERLINK("https://www.boe.es/gazeta/dias/1834/12/31/pdfs/GMD-C-1834-321.pdf#page=1","Abrir facsímil")</f>
        <v>Abrir facsímil</v>
      </c>
      <c r="K3071" s="3" t="s">
        <v>24</v>
      </c>
    </row>
    <row r="3072" spans="1:11" ht="54" customHeight="1">
      <c r="A3072" s="2" t="s">
        <v>6885</v>
      </c>
      <c r="B3072" s="2" t="s">
        <v>6886</v>
      </c>
      <c r="C3072" s="2" t="s">
        <v>66</v>
      </c>
      <c r="D3072" s="2" t="s">
        <v>67</v>
      </c>
      <c r="E3072" s="5" t="s">
        <v>2212</v>
      </c>
      <c r="F3072" s="3" t="s">
        <v>2213</v>
      </c>
      <c r="G3072" s="3" t="s">
        <v>176</v>
      </c>
      <c r="H3072" s="2" t="s">
        <v>35</v>
      </c>
      <c r="I3072" s="2" t="s">
        <v>6887</v>
      </c>
      <c r="J3072" s="3" t="str">
        <f>HYPERLINK("https://www.boe.es/gazeta/dias/1834/08/04/pdfs/GMD-C-1834-168.pdf#page=6","Abrir facsímil")</f>
        <v>Abrir facsímil</v>
      </c>
      <c r="K3072" s="3" t="s">
        <v>37</v>
      </c>
    </row>
    <row r="3073" spans="1:11" ht="54" customHeight="1">
      <c r="A3073" s="2" t="s">
        <v>6885</v>
      </c>
      <c r="B3073" s="2" t="s">
        <v>6886</v>
      </c>
      <c r="C3073" s="2" t="s">
        <v>17</v>
      </c>
      <c r="D3073" s="2" t="s">
        <v>18</v>
      </c>
      <c r="E3073" s="5" t="s">
        <v>571</v>
      </c>
      <c r="F3073" s="3" t="s">
        <v>620</v>
      </c>
      <c r="G3073" s="3" t="s">
        <v>86</v>
      </c>
      <c r="H3073" s="2" t="s">
        <v>35</v>
      </c>
      <c r="I3073" s="2" t="s">
        <v>6888</v>
      </c>
      <c r="J3073" s="3" t="str">
        <f>HYPERLINK("https://www.boe.es/gazeta/dias/1834/09/04/pdfs/GMD-C-1834-202.pdf#page=2","Abrir facsímil")</f>
        <v>Abrir facsímil</v>
      </c>
      <c r="K3073" s="3" t="s">
        <v>37</v>
      </c>
    </row>
    <row r="3074" spans="1:11" ht="54" customHeight="1">
      <c r="A3074" s="2" t="s">
        <v>6885</v>
      </c>
      <c r="B3074" s="2" t="s">
        <v>6886</v>
      </c>
      <c r="C3074" s="2" t="s">
        <v>17</v>
      </c>
      <c r="D3074" s="2" t="s">
        <v>40</v>
      </c>
      <c r="E3074" s="5" t="s">
        <v>299</v>
      </c>
      <c r="F3074" s="3" t="s">
        <v>2255</v>
      </c>
      <c r="G3074" s="3" t="s">
        <v>75</v>
      </c>
      <c r="H3074" s="2" t="s">
        <v>35</v>
      </c>
      <c r="I3074" s="2" t="s">
        <v>6889</v>
      </c>
      <c r="J3074" s="3" t="str">
        <f>HYPERLINK("https://www.boe.es/gazeta/dias/1834/12/12/pdfs/GMD-C-1834-301.pdf#page=4","Abrir facsímil")</f>
        <v>Abrir facsímil</v>
      </c>
      <c r="K3074" s="3" t="s">
        <v>37</v>
      </c>
    </row>
    <row r="3075" spans="1:11" ht="54" customHeight="1">
      <c r="A3075" s="2" t="s">
        <v>6885</v>
      </c>
      <c r="B3075" s="2" t="s">
        <v>6886</v>
      </c>
      <c r="C3075" s="2" t="s">
        <v>17</v>
      </c>
      <c r="D3075" s="2" t="s">
        <v>18</v>
      </c>
      <c r="E3075" s="5" t="s">
        <v>304</v>
      </c>
      <c r="F3075" s="3" t="s">
        <v>305</v>
      </c>
      <c r="G3075" s="3" t="s">
        <v>176</v>
      </c>
      <c r="H3075" s="2" t="s">
        <v>35</v>
      </c>
      <c r="I3075" s="2" t="s">
        <v>6890</v>
      </c>
      <c r="J3075" s="3" t="str">
        <f>HYPERLINK("https://www.boe.es/gazeta/dias/1834/01/21/pdfs/GMD-1834-10.pdf#page=6","Abrir facsímil")</f>
        <v>Abrir facsímil</v>
      </c>
      <c r="K3075" s="3" t="s">
        <v>37</v>
      </c>
    </row>
    <row r="3076" spans="1:11" ht="54" customHeight="1">
      <c r="A3076" s="2" t="s">
        <v>6885</v>
      </c>
      <c r="B3076" s="2" t="s">
        <v>6886</v>
      </c>
      <c r="C3076" s="2" t="s">
        <v>17</v>
      </c>
      <c r="D3076" s="2" t="s">
        <v>18</v>
      </c>
      <c r="E3076" s="5" t="s">
        <v>513</v>
      </c>
      <c r="F3076" s="3" t="s">
        <v>514</v>
      </c>
      <c r="G3076" s="3" t="s">
        <v>34</v>
      </c>
      <c r="H3076" s="2" t="s">
        <v>35</v>
      </c>
      <c r="I3076" s="2" t="s">
        <v>6891</v>
      </c>
      <c r="J3076" s="3" t="str">
        <f>HYPERLINK("https://www.boe.es/gazeta/dias/1834/04/27/pdfs/GMD-1834-66.pdf#page=1","Abrir facsímil")</f>
        <v>Abrir facsímil</v>
      </c>
      <c r="K3076" s="3" t="s">
        <v>37</v>
      </c>
    </row>
    <row r="3077" spans="1:11" ht="54" customHeight="1">
      <c r="A3077" s="2" t="s">
        <v>6885</v>
      </c>
      <c r="B3077" s="2" t="s">
        <v>6886</v>
      </c>
      <c r="C3077" s="2" t="s">
        <v>17</v>
      </c>
      <c r="D3077" s="2" t="s">
        <v>18</v>
      </c>
      <c r="E3077" s="5" t="s">
        <v>280</v>
      </c>
      <c r="F3077" s="3" t="s">
        <v>281</v>
      </c>
      <c r="G3077" s="3" t="s">
        <v>28</v>
      </c>
      <c r="H3077" s="2" t="s">
        <v>35</v>
      </c>
      <c r="I3077" s="2" t="s">
        <v>6892</v>
      </c>
      <c r="J3077" s="3" t="str">
        <f>HYPERLINK("https://www.boe.es/gazeta/dias/1834/08/29/pdfs/GMD-C-1834-195.pdf#page=5","Abrir facsímil")</f>
        <v>Abrir facsímil</v>
      </c>
      <c r="K3077" s="3" t="s">
        <v>37</v>
      </c>
    </row>
    <row r="3078" spans="1:11" ht="54" customHeight="1">
      <c r="A3078" s="2" t="s">
        <v>6885</v>
      </c>
      <c r="B3078" s="2" t="s">
        <v>6886</v>
      </c>
      <c r="C3078" s="2" t="s">
        <v>66</v>
      </c>
      <c r="D3078" s="2" t="s">
        <v>67</v>
      </c>
      <c r="E3078" s="5" t="s">
        <v>192</v>
      </c>
      <c r="F3078" s="3" t="s">
        <v>2713</v>
      </c>
      <c r="G3078" s="3" t="s">
        <v>34</v>
      </c>
      <c r="H3078" s="2" t="s">
        <v>35</v>
      </c>
      <c r="I3078" s="2" t="s">
        <v>6893</v>
      </c>
      <c r="J3078" s="3" t="str">
        <f>HYPERLINK("https://www.boe.es/gazeta/dias/1834/12/31/pdfs/GMD-C-1834-321.pdf#page=1","Abrir facsímil")</f>
        <v>Abrir facsímil</v>
      </c>
      <c r="K3078" s="3" t="s">
        <v>37</v>
      </c>
    </row>
    <row r="3079" spans="1:11" ht="54" customHeight="1">
      <c r="A3079" s="2" t="s">
        <v>6894</v>
      </c>
      <c r="B3079" s="2" t="s">
        <v>6895</v>
      </c>
      <c r="C3079" s="2" t="s">
        <v>17</v>
      </c>
      <c r="D3079" s="2" t="s">
        <v>18</v>
      </c>
      <c r="E3079" s="5" t="s">
        <v>576</v>
      </c>
      <c r="F3079" s="3" t="s">
        <v>5888</v>
      </c>
      <c r="G3079" s="3" t="s">
        <v>75</v>
      </c>
      <c r="H3079" s="2" t="s">
        <v>35</v>
      </c>
      <c r="I3079" s="2" t="s">
        <v>6896</v>
      </c>
      <c r="J3079" s="3" t="str">
        <f>HYPERLINK("https://www.boe.es/gazeta/dias/1834/09/23/pdfs/GMD-C-1834-221.pdf#page=4","Abrir facsímil")</f>
        <v>Abrir facsímil</v>
      </c>
      <c r="K3079" s="3" t="s">
        <v>37</v>
      </c>
    </row>
    <row r="3080" spans="1:11" ht="54" customHeight="1">
      <c r="A3080" s="2" t="s">
        <v>6897</v>
      </c>
      <c r="B3080" s="2" t="s">
        <v>6898</v>
      </c>
      <c r="C3080" s="2" t="s">
        <v>17</v>
      </c>
      <c r="D3080" s="2" t="s">
        <v>18</v>
      </c>
      <c r="E3080" s="5" t="s">
        <v>479</v>
      </c>
      <c r="F3080" s="3" t="s">
        <v>2258</v>
      </c>
      <c r="G3080" s="3" t="s">
        <v>86</v>
      </c>
      <c r="H3080" s="2" t="s">
        <v>35</v>
      </c>
      <c r="I3080" s="2" t="s">
        <v>6899</v>
      </c>
      <c r="J3080" s="3" t="str">
        <f>HYPERLINK("https://www.boe.es/gazeta/dias/1834/08/13/pdfs/GMD-C-1834-178.pdf#page=2","Abrir facsímil")</f>
        <v>Abrir facsímil</v>
      </c>
      <c r="K3080" s="3" t="s">
        <v>37</v>
      </c>
    </row>
    <row r="3081" spans="1:11" ht="54" customHeight="1">
      <c r="A3081" s="2" t="s">
        <v>6900</v>
      </c>
      <c r="B3081" s="2" t="s">
        <v>6901</v>
      </c>
      <c r="C3081" s="2" t="s">
        <v>17</v>
      </c>
      <c r="D3081" s="2" t="s">
        <v>18</v>
      </c>
      <c r="E3081" s="5" t="s">
        <v>378</v>
      </c>
      <c r="F3081" s="3" t="s">
        <v>888</v>
      </c>
      <c r="G3081" s="3" t="s">
        <v>34</v>
      </c>
      <c r="H3081" s="2" t="s">
        <v>22</v>
      </c>
      <c r="I3081" s="2" t="s">
        <v>6902</v>
      </c>
      <c r="J3081" s="3" t="str">
        <f>HYPERLINK("https://www.boe.es/gazeta/dias/1834/09/24/pdfs/GMD-C-1834-222.pdf#page=1","Abrir facsímil")</f>
        <v>Abrir facsímil</v>
      </c>
      <c r="K3081" s="3" t="s">
        <v>24</v>
      </c>
    </row>
    <row r="3082" spans="1:11" ht="54" customHeight="1">
      <c r="A3082" s="2" t="s">
        <v>6903</v>
      </c>
      <c r="B3082" s="2" t="s">
        <v>6904</v>
      </c>
      <c r="C3082" s="2" t="s">
        <v>17</v>
      </c>
      <c r="D3082" s="2" t="s">
        <v>18</v>
      </c>
      <c r="E3082" s="5" t="s">
        <v>268</v>
      </c>
      <c r="F3082" s="3" t="s">
        <v>269</v>
      </c>
      <c r="G3082" s="3" t="s">
        <v>86</v>
      </c>
      <c r="H3082" s="2" t="s">
        <v>22</v>
      </c>
      <c r="I3082" s="2" t="s">
        <v>6905</v>
      </c>
      <c r="J3082" s="3" t="str">
        <f>HYPERLINK("https://www.boe.es/gazeta/dias/1834/12/19/pdfs/GMD-C-1834-309.pdf#page=2","Abrir facsímil")</f>
        <v>Abrir facsímil</v>
      </c>
      <c r="K3082" s="3" t="s">
        <v>24</v>
      </c>
    </row>
    <row r="3083" spans="1:11" ht="54" customHeight="1">
      <c r="A3083" s="2" t="s">
        <v>6906</v>
      </c>
      <c r="B3083" s="2" t="s">
        <v>6907</v>
      </c>
      <c r="C3083" s="2" t="s">
        <v>17</v>
      </c>
      <c r="D3083" s="2" t="s">
        <v>18</v>
      </c>
      <c r="E3083" s="5" t="s">
        <v>268</v>
      </c>
      <c r="F3083" s="3" t="s">
        <v>269</v>
      </c>
      <c r="G3083" s="3" t="s">
        <v>86</v>
      </c>
      <c r="H3083" s="2" t="s">
        <v>22</v>
      </c>
      <c r="I3083" s="2" t="s">
        <v>6908</v>
      </c>
      <c r="J3083" s="3" t="str">
        <f>HYPERLINK("https://www.boe.es/gazeta/dias/1834/12/19/pdfs/GMD-C-1834-309.pdf#page=2","Abrir facsímil")</f>
        <v>Abrir facsímil</v>
      </c>
      <c r="K3083" s="3" t="s">
        <v>24</v>
      </c>
    </row>
    <row r="3084" spans="1:11" ht="54" customHeight="1">
      <c r="A3084" s="2" t="s">
        <v>6909</v>
      </c>
      <c r="B3084" s="2" t="s">
        <v>6909</v>
      </c>
      <c r="C3084" s="2" t="s">
        <v>46</v>
      </c>
      <c r="D3084" s="2" t="s">
        <v>101</v>
      </c>
      <c r="E3084" s="5" t="s">
        <v>268</v>
      </c>
      <c r="F3084" s="3" t="s">
        <v>269</v>
      </c>
      <c r="G3084" s="3" t="s">
        <v>34</v>
      </c>
      <c r="H3084" s="2" t="s">
        <v>22</v>
      </c>
      <c r="I3084" s="2" t="s">
        <v>6910</v>
      </c>
      <c r="J3084" s="3" t="str">
        <f>HYPERLINK("https://www.boe.es/gazeta/dias/1834/12/19/pdfs/GMD-C-1834-309.pdf#page=1","Abrir facsímil")</f>
        <v>Abrir facsímil</v>
      </c>
      <c r="K3084" s="3" t="s">
        <v>24</v>
      </c>
    </row>
    <row r="3085" spans="1:11" ht="54" customHeight="1">
      <c r="A3085" s="2" t="s">
        <v>6909</v>
      </c>
      <c r="B3085" s="2" t="s">
        <v>6909</v>
      </c>
      <c r="C3085" s="2" t="s">
        <v>17</v>
      </c>
      <c r="D3085" s="2" t="s">
        <v>18</v>
      </c>
      <c r="E3085" s="5" t="s">
        <v>510</v>
      </c>
      <c r="F3085" s="3" t="s">
        <v>531</v>
      </c>
      <c r="G3085" s="3" t="s">
        <v>75</v>
      </c>
      <c r="H3085" s="2" t="s">
        <v>22</v>
      </c>
      <c r="I3085" s="2" t="s">
        <v>6911</v>
      </c>
      <c r="J3085" s="3" t="str">
        <f>HYPERLINK("https://www.boe.es/gazeta/dias/1834/11/26/pdfs/GMD-C-1834-285.pdf#page=4","Abrir facsímil")</f>
        <v>Abrir facsímil</v>
      </c>
      <c r="K3085" s="3" t="s">
        <v>24</v>
      </c>
    </row>
    <row r="3086" spans="1:11" ht="54" customHeight="1">
      <c r="A3086" s="2" t="s">
        <v>6912</v>
      </c>
      <c r="B3086" s="2" t="s">
        <v>6913</v>
      </c>
      <c r="C3086" s="2" t="s">
        <v>90</v>
      </c>
      <c r="D3086" s="2" t="s">
        <v>18</v>
      </c>
      <c r="E3086" s="5" t="s">
        <v>615</v>
      </c>
      <c r="F3086" s="3" t="s">
        <v>1205</v>
      </c>
      <c r="G3086" s="3" t="s">
        <v>86</v>
      </c>
      <c r="H3086" s="2" t="s">
        <v>35</v>
      </c>
      <c r="I3086" s="2" t="s">
        <v>6914</v>
      </c>
      <c r="J3086" s="3" t="str">
        <f>HYPERLINK("https://www.boe.es/gazeta/dias/1834/08/19/pdfs/GMD-D-1834-185.pdf#page=2","Abrir facsímil")</f>
        <v>Abrir facsímil</v>
      </c>
      <c r="K3086" s="3" t="s">
        <v>37</v>
      </c>
    </row>
    <row r="3087" spans="1:11" ht="54" customHeight="1">
      <c r="A3087" s="2" t="s">
        <v>6915</v>
      </c>
      <c r="B3087" s="2" t="s">
        <v>6916</v>
      </c>
      <c r="C3087" s="2" t="s">
        <v>17</v>
      </c>
      <c r="D3087" s="2" t="s">
        <v>18</v>
      </c>
      <c r="E3087" s="5" t="s">
        <v>167</v>
      </c>
      <c r="F3087" s="3" t="s">
        <v>1200</v>
      </c>
      <c r="G3087" s="3" t="s">
        <v>86</v>
      </c>
      <c r="H3087" s="2" t="s">
        <v>22</v>
      </c>
      <c r="I3087" s="2" t="s">
        <v>6917</v>
      </c>
      <c r="J3087" s="3" t="str">
        <f>HYPERLINK("https://www.boe.es/gazeta/dias/1834/09/07/pdfs/GMD-C-1834-205.pdf#page=2","Abrir facsímil")</f>
        <v>Abrir facsímil</v>
      </c>
      <c r="K3087" s="3" t="s">
        <v>24</v>
      </c>
    </row>
    <row r="3088" spans="1:11" ht="54" customHeight="1">
      <c r="A3088" s="2" t="s">
        <v>6915</v>
      </c>
      <c r="B3088" s="2" t="s">
        <v>6916</v>
      </c>
      <c r="C3088" s="2" t="s">
        <v>90</v>
      </c>
      <c r="D3088" s="2" t="s">
        <v>18</v>
      </c>
      <c r="E3088" s="5" t="s">
        <v>615</v>
      </c>
      <c r="F3088" s="3" t="s">
        <v>1205</v>
      </c>
      <c r="G3088" s="3" t="s">
        <v>86</v>
      </c>
      <c r="H3088" s="2" t="s">
        <v>22</v>
      </c>
      <c r="I3088" s="2" t="s">
        <v>6918</v>
      </c>
      <c r="J3088" s="3" t="str">
        <f>HYPERLINK("https://www.boe.es/gazeta/dias/1834/08/19/pdfs/GMD-D-1834-185.pdf#page=2","Abrir facsímil")</f>
        <v>Abrir facsímil</v>
      </c>
      <c r="K3088" s="3" t="s">
        <v>24</v>
      </c>
    </row>
    <row r="3089" spans="1:11" ht="54" customHeight="1">
      <c r="A3089" s="2" t="s">
        <v>6919</v>
      </c>
      <c r="B3089" s="2" t="s">
        <v>6920</v>
      </c>
      <c r="C3089" s="2" t="s">
        <v>90</v>
      </c>
      <c r="D3089" s="2" t="s">
        <v>40</v>
      </c>
      <c r="E3089" s="5" t="s">
        <v>167</v>
      </c>
      <c r="F3089" s="3" t="s">
        <v>1200</v>
      </c>
      <c r="G3089" s="3" t="s">
        <v>86</v>
      </c>
      <c r="H3089" s="2" t="s">
        <v>22</v>
      </c>
      <c r="I3089" s="2" t="s">
        <v>6921</v>
      </c>
      <c r="J3089" s="3" t="str">
        <f>HYPERLINK("https://www.boe.es/gazeta/dias/1834/09/07/pdfs/GMD-C-1834-205.pdf#page=2","Abrir facsímil")</f>
        <v>Abrir facsímil</v>
      </c>
      <c r="K3089" s="3" t="s">
        <v>24</v>
      </c>
    </row>
    <row r="3090" spans="1:11" ht="54" customHeight="1">
      <c r="A3090" s="2" t="s">
        <v>6922</v>
      </c>
      <c r="B3090" s="2" t="s">
        <v>6922</v>
      </c>
      <c r="C3090" s="2" t="s">
        <v>90</v>
      </c>
      <c r="D3090" s="2" t="s">
        <v>18</v>
      </c>
      <c r="E3090" s="5" t="s">
        <v>304</v>
      </c>
      <c r="F3090" s="3" t="s">
        <v>305</v>
      </c>
      <c r="G3090" s="3" t="s">
        <v>75</v>
      </c>
      <c r="H3090" s="2" t="s">
        <v>22</v>
      </c>
      <c r="I3090" s="2" t="s">
        <v>6923</v>
      </c>
      <c r="J3090" s="3" t="str">
        <f>HYPERLINK("https://www.boe.es/gazeta/dias/1834/01/21/pdfs/GMD-1834-10.pdf#page=4","Abrir facsímil")</f>
        <v>Abrir facsímil</v>
      </c>
      <c r="K3090" s="3" t="s">
        <v>24</v>
      </c>
    </row>
    <row r="3091" spans="1:11" ht="54" customHeight="1">
      <c r="A3091" s="2" t="s">
        <v>6924</v>
      </c>
      <c r="B3091" s="2" t="s">
        <v>6925</v>
      </c>
      <c r="C3091" s="2" t="s">
        <v>46</v>
      </c>
      <c r="D3091" s="2" t="s">
        <v>40</v>
      </c>
      <c r="E3091" s="5" t="s">
        <v>433</v>
      </c>
      <c r="F3091" s="3" t="s">
        <v>2773</v>
      </c>
      <c r="G3091" s="3" t="s">
        <v>75</v>
      </c>
      <c r="H3091" s="2" t="s">
        <v>22</v>
      </c>
      <c r="I3091" s="2" t="s">
        <v>6926</v>
      </c>
      <c r="J3091" s="3" t="str">
        <f>HYPERLINK("https://www.boe.es/gazeta/dias/1834/10/07/pdfs/GMD-1834-235.pdf#page=4","Abrir facsímil")</f>
        <v>Abrir facsímil</v>
      </c>
      <c r="K3091" s="3" t="s">
        <v>24</v>
      </c>
    </row>
    <row r="3092" spans="1:11" ht="54" customHeight="1">
      <c r="A3092" s="2" t="s">
        <v>6927</v>
      </c>
      <c r="B3092" s="2" t="s">
        <v>6928</v>
      </c>
      <c r="C3092" s="2" t="s">
        <v>17</v>
      </c>
      <c r="D3092" s="2" t="s">
        <v>18</v>
      </c>
      <c r="E3092" s="5" t="s">
        <v>1438</v>
      </c>
      <c r="F3092" s="3" t="s">
        <v>1439</v>
      </c>
      <c r="G3092" s="3" t="s">
        <v>21</v>
      </c>
      <c r="H3092" s="2" t="s">
        <v>35</v>
      </c>
      <c r="I3092" s="2" t="s">
        <v>6929</v>
      </c>
      <c r="J3092" s="3" t="str">
        <f>HYPERLINK("https://www.boe.es/gazeta/dias/1834/05/13/pdfs/GMD-1834-82.pdf#page=3","Abrir facsímil")</f>
        <v>Abrir facsímil</v>
      </c>
      <c r="K3092" s="3" t="s">
        <v>37</v>
      </c>
    </row>
    <row r="3093" spans="1:11" ht="54" customHeight="1">
      <c r="A3093" s="2" t="s">
        <v>6930</v>
      </c>
      <c r="B3093" s="2" t="s">
        <v>6931</v>
      </c>
      <c r="C3093" s="2" t="s">
        <v>46</v>
      </c>
      <c r="D3093" s="2" t="s">
        <v>101</v>
      </c>
      <c r="E3093" s="5" t="s">
        <v>4814</v>
      </c>
      <c r="F3093" s="3" t="s">
        <v>4815</v>
      </c>
      <c r="G3093" s="3" t="s">
        <v>75</v>
      </c>
      <c r="H3093" s="2" t="s">
        <v>22</v>
      </c>
      <c r="I3093" s="2" t="s">
        <v>6932</v>
      </c>
      <c r="J3093" s="3" t="str">
        <f>HYPERLINK("https://www.boe.es/gazeta/dias/1834/06/05/pdfs/GMD-1834-107.pdf#page=4","Abrir facsímil")</f>
        <v>Abrir facsímil</v>
      </c>
      <c r="K3093" s="3" t="s">
        <v>24</v>
      </c>
    </row>
    <row r="3094" spans="1:11" ht="54" customHeight="1">
      <c r="A3094" s="2" t="s">
        <v>6933</v>
      </c>
      <c r="B3094" s="2" t="s">
        <v>6934</v>
      </c>
      <c r="C3094" s="2" t="s">
        <v>17</v>
      </c>
      <c r="D3094" s="2" t="s">
        <v>18</v>
      </c>
      <c r="E3094" s="5" t="s">
        <v>1438</v>
      </c>
      <c r="F3094" s="3" t="s">
        <v>1439</v>
      </c>
      <c r="G3094" s="3" t="s">
        <v>21</v>
      </c>
      <c r="H3094" s="2" t="s">
        <v>22</v>
      </c>
      <c r="I3094" s="2" t="s">
        <v>6935</v>
      </c>
      <c r="J3094" s="3" t="str">
        <f>HYPERLINK("https://www.boe.es/gazeta/dias/1834/05/13/pdfs/GMD-1834-82.pdf#page=3","Abrir facsímil")</f>
        <v>Abrir facsímil</v>
      </c>
      <c r="K3094" s="3" t="s">
        <v>24</v>
      </c>
    </row>
    <row r="3095" spans="1:11" ht="54" customHeight="1">
      <c r="A3095" s="2" t="s">
        <v>6936</v>
      </c>
      <c r="B3095" s="2" t="s">
        <v>6937</v>
      </c>
      <c r="C3095" s="2" t="s">
        <v>66</v>
      </c>
      <c r="D3095" s="2" t="s">
        <v>67</v>
      </c>
      <c r="E3095" s="5" t="s">
        <v>1262</v>
      </c>
      <c r="F3095" s="3" t="s">
        <v>1263</v>
      </c>
      <c r="G3095" s="3" t="s">
        <v>75</v>
      </c>
      <c r="H3095" s="2" t="s">
        <v>35</v>
      </c>
      <c r="I3095" s="2" t="s">
        <v>6938</v>
      </c>
      <c r="J3095" s="3" t="str">
        <f>HYPERLINK("https://www.boe.es/gazeta/dias/1834/02/01/pdfs/GMD-1834-15.pdf#page=4","Abrir facsímil")</f>
        <v>Abrir facsímil</v>
      </c>
      <c r="K3095" s="3" t="s">
        <v>37</v>
      </c>
    </row>
    <row r="3096" spans="1:11" ht="54" customHeight="1">
      <c r="A3096" s="2" t="s">
        <v>6939</v>
      </c>
      <c r="B3096" s="2" t="s">
        <v>6940</v>
      </c>
      <c r="C3096" s="2" t="s">
        <v>17</v>
      </c>
      <c r="D3096" s="2" t="s">
        <v>18</v>
      </c>
      <c r="E3096" s="5" t="s">
        <v>222</v>
      </c>
      <c r="F3096" s="3" t="s">
        <v>223</v>
      </c>
      <c r="G3096" s="3" t="s">
        <v>75</v>
      </c>
      <c r="H3096" s="2" t="s">
        <v>22</v>
      </c>
      <c r="I3096" s="2" t="s">
        <v>6941</v>
      </c>
      <c r="J3096" s="3" t="str">
        <f>HYPERLINK("https://www.boe.es/gazeta/dias/1834/09/14/pdfs/GMD-1834-212.pdf#page=4","Abrir facsímil")</f>
        <v>Abrir facsímil</v>
      </c>
      <c r="K3096" s="3" t="s">
        <v>24</v>
      </c>
    </row>
    <row r="3097" spans="1:11" ht="54" customHeight="1">
      <c r="A3097" s="2" t="s">
        <v>6942</v>
      </c>
      <c r="B3097" s="2" t="s">
        <v>6942</v>
      </c>
      <c r="C3097" s="2" t="s">
        <v>17</v>
      </c>
      <c r="D3097" s="2" t="s">
        <v>18</v>
      </c>
      <c r="E3097" s="5" t="s">
        <v>4814</v>
      </c>
      <c r="F3097" s="3" t="s">
        <v>4815</v>
      </c>
      <c r="G3097" s="3" t="s">
        <v>86</v>
      </c>
      <c r="H3097" s="2" t="s">
        <v>22</v>
      </c>
      <c r="I3097" s="2" t="s">
        <v>6943</v>
      </c>
      <c r="J3097" s="3" t="str">
        <f>HYPERLINK("https://www.boe.es/gazeta/dias/1834/06/05/pdfs/GMD-1834-107.pdf#page=2","Abrir facsímil")</f>
        <v>Abrir facsímil</v>
      </c>
      <c r="K3097" s="3" t="s">
        <v>24</v>
      </c>
    </row>
    <row r="3098" spans="1:11" ht="54" customHeight="1">
      <c r="A3098" s="2" t="s">
        <v>6942</v>
      </c>
      <c r="B3098" s="2" t="s">
        <v>6942</v>
      </c>
      <c r="C3098" s="2" t="s">
        <v>66</v>
      </c>
      <c r="D3098" s="2" t="s">
        <v>67</v>
      </c>
      <c r="E3098" s="5" t="s">
        <v>433</v>
      </c>
      <c r="F3098" s="3" t="s">
        <v>2773</v>
      </c>
      <c r="G3098" s="3" t="s">
        <v>34</v>
      </c>
      <c r="H3098" s="2" t="s">
        <v>22</v>
      </c>
      <c r="I3098" s="2" t="s">
        <v>6944</v>
      </c>
      <c r="J3098" s="3" t="str">
        <f>HYPERLINK("https://www.boe.es/gazeta/dias/1834/10/07/pdfs/I00986-00987.pdf#page=1","Abrir facsímil")</f>
        <v>Abrir facsímil</v>
      </c>
      <c r="K3098" s="3" t="s">
        <v>24</v>
      </c>
    </row>
    <row r="3099" spans="1:11" ht="54" customHeight="1">
      <c r="A3099" s="2" t="s">
        <v>6942</v>
      </c>
      <c r="B3099" s="2" t="s">
        <v>6942</v>
      </c>
      <c r="C3099" s="2" t="s">
        <v>66</v>
      </c>
      <c r="D3099" s="2" t="s">
        <v>67</v>
      </c>
      <c r="E3099" s="5" t="s">
        <v>433</v>
      </c>
      <c r="F3099" s="3" t="s">
        <v>2773</v>
      </c>
      <c r="G3099" s="3" t="s">
        <v>86</v>
      </c>
      <c r="H3099" s="2" t="s">
        <v>22</v>
      </c>
      <c r="I3099" s="2" t="s">
        <v>6944</v>
      </c>
      <c r="J3099" s="3" t="str">
        <f>HYPERLINK("https://www.boe.es/gazeta/dias/1834/10/07/pdfs/GMD-1834-235.pdf#page=2","Abrir facsímil")</f>
        <v>Abrir facsímil</v>
      </c>
      <c r="K3099" s="3" t="s">
        <v>24</v>
      </c>
    </row>
    <row r="3100" spans="1:11" ht="54" customHeight="1">
      <c r="A3100" s="2" t="s">
        <v>6942</v>
      </c>
      <c r="B3100" s="2" t="s">
        <v>6942</v>
      </c>
      <c r="C3100" s="2" t="s">
        <v>17</v>
      </c>
      <c r="D3100" s="2" t="s">
        <v>55</v>
      </c>
      <c r="E3100" s="5" t="s">
        <v>258</v>
      </c>
      <c r="F3100" s="3" t="s">
        <v>1075</v>
      </c>
      <c r="G3100" s="3" t="s">
        <v>21</v>
      </c>
      <c r="H3100" s="2" t="s">
        <v>22</v>
      </c>
      <c r="I3100" s="2" t="s">
        <v>6945</v>
      </c>
      <c r="J3100" s="3" t="str">
        <f>HYPERLINK("https://www.boe.es/gazeta/dias/1834/10/09/pdfs/GMD-1834-237.pdf#page=3","Abrir facsímil")</f>
        <v>Abrir facsímil</v>
      </c>
      <c r="K3100" s="3" t="s">
        <v>24</v>
      </c>
    </row>
    <row r="3101" spans="1:11" ht="54" customHeight="1">
      <c r="A3101" s="2" t="s">
        <v>6942</v>
      </c>
      <c r="B3101" s="2" t="s">
        <v>6942</v>
      </c>
      <c r="C3101" s="2" t="s">
        <v>17</v>
      </c>
      <c r="D3101" s="2" t="s">
        <v>18</v>
      </c>
      <c r="E3101" s="5" t="s">
        <v>1766</v>
      </c>
      <c r="F3101" s="3" t="s">
        <v>5600</v>
      </c>
      <c r="G3101" s="3" t="s">
        <v>75</v>
      </c>
      <c r="H3101" s="2" t="s">
        <v>22</v>
      </c>
      <c r="I3101" s="2" t="s">
        <v>6946</v>
      </c>
      <c r="J3101" s="3" t="str">
        <f>HYPERLINK("https://www.boe.es/gazeta/dias/1834/10/26/pdfs/GMD-1834-254.pdf#page=4","Abrir facsímil")</f>
        <v>Abrir facsímil</v>
      </c>
      <c r="K3101" s="3" t="s">
        <v>24</v>
      </c>
    </row>
    <row r="3102" spans="1:11" ht="54" customHeight="1">
      <c r="A3102" s="2" t="s">
        <v>6942</v>
      </c>
      <c r="B3102" s="2" t="s">
        <v>6942</v>
      </c>
      <c r="C3102" s="2" t="s">
        <v>66</v>
      </c>
      <c r="D3102" s="2" t="s">
        <v>67</v>
      </c>
      <c r="E3102" s="5" t="s">
        <v>309</v>
      </c>
      <c r="F3102" s="3" t="s">
        <v>310</v>
      </c>
      <c r="G3102" s="3" t="s">
        <v>75</v>
      </c>
      <c r="H3102" s="2" t="s">
        <v>22</v>
      </c>
      <c r="I3102" s="2" t="s">
        <v>6947</v>
      </c>
      <c r="J3102" s="3" t="str">
        <f>HYPERLINK("https://www.boe.es/gazeta/dias/1834/05/30/pdfs/GMD-1834-99.pdf#page=4","Abrir facsímil")</f>
        <v>Abrir facsímil</v>
      </c>
      <c r="K3102" s="3" t="s">
        <v>24</v>
      </c>
    </row>
    <row r="3103" spans="1:11" ht="54" customHeight="1">
      <c r="A3103" s="2" t="s">
        <v>6948</v>
      </c>
      <c r="B3103" s="2" t="s">
        <v>6949</v>
      </c>
      <c r="C3103" s="2" t="s">
        <v>17</v>
      </c>
      <c r="D3103" s="2" t="s">
        <v>18</v>
      </c>
      <c r="E3103" s="5" t="s">
        <v>73</v>
      </c>
      <c r="F3103" s="3" t="s">
        <v>74</v>
      </c>
      <c r="G3103" s="3" t="s">
        <v>75</v>
      </c>
      <c r="H3103" s="2" t="s">
        <v>22</v>
      </c>
      <c r="I3103" s="2" t="s">
        <v>6950</v>
      </c>
      <c r="J3103" s="3" t="str">
        <f>HYPERLINK("https://www.boe.es/gazeta/dias/1834/11/04/pdfs/GMD-1834-263.pdf#page=4","Abrir facsímil")</f>
        <v>Abrir facsímil</v>
      </c>
      <c r="K3103" s="3" t="s">
        <v>24</v>
      </c>
    </row>
    <row r="3104" spans="1:11" ht="54" customHeight="1">
      <c r="A3104" s="2" t="s">
        <v>6951</v>
      </c>
      <c r="B3104" s="2" t="s">
        <v>6952</v>
      </c>
      <c r="C3104" s="2" t="s">
        <v>46</v>
      </c>
      <c r="D3104" s="2" t="s">
        <v>55</v>
      </c>
      <c r="E3104" s="5" t="s">
        <v>200</v>
      </c>
      <c r="F3104" s="3" t="s">
        <v>201</v>
      </c>
      <c r="G3104" s="3" t="s">
        <v>21</v>
      </c>
      <c r="H3104" s="2" t="s">
        <v>35</v>
      </c>
      <c r="I3104" s="2" t="s">
        <v>6953</v>
      </c>
      <c r="J3104" s="3" t="str">
        <f>HYPERLINK("https://www.boe.es/gazeta/dias/1834/12/11/pdfs/GMD-1834-300.pdf#page=3","Abrir facsímil")</f>
        <v>Abrir facsímil</v>
      </c>
      <c r="K3104" s="3" t="s">
        <v>37</v>
      </c>
    </row>
    <row r="3105" spans="1:11" ht="54" customHeight="1">
      <c r="A3105" s="2" t="s">
        <v>6954</v>
      </c>
      <c r="B3105" s="2" t="s">
        <v>6955</v>
      </c>
      <c r="C3105" s="2" t="s">
        <v>122</v>
      </c>
      <c r="D3105" s="2" t="s">
        <v>18</v>
      </c>
      <c r="E3105" s="5" t="s">
        <v>2937</v>
      </c>
      <c r="F3105" s="3" t="s">
        <v>2938</v>
      </c>
      <c r="G3105" s="3" t="s">
        <v>21</v>
      </c>
      <c r="H3105" s="2" t="s">
        <v>22</v>
      </c>
      <c r="I3105" s="2" t="s">
        <v>6956</v>
      </c>
      <c r="J3105" s="3" t="str">
        <f>HYPERLINK("https://www.boe.es/gazeta/dias/1834/06/25/pdfs/GMD-1834-128.pdf#page=3","Abrir facsímil")</f>
        <v>Abrir facsímil</v>
      </c>
      <c r="K3105" s="3" t="s">
        <v>24</v>
      </c>
    </row>
    <row r="3106" spans="1:11" ht="54" customHeight="1">
      <c r="A3106" s="2" t="s">
        <v>6957</v>
      </c>
      <c r="B3106" s="2" t="s">
        <v>6957</v>
      </c>
      <c r="C3106" s="2" t="s">
        <v>46</v>
      </c>
      <c r="D3106" s="2" t="s">
        <v>18</v>
      </c>
      <c r="E3106" s="5" t="s">
        <v>183</v>
      </c>
      <c r="F3106" s="3" t="s">
        <v>184</v>
      </c>
      <c r="G3106" s="3" t="s">
        <v>21</v>
      </c>
      <c r="H3106" s="2" t="s">
        <v>22</v>
      </c>
      <c r="I3106" s="2" t="s">
        <v>6958</v>
      </c>
      <c r="J3106" s="3" t="str">
        <f>HYPERLINK("https://www.boe.es/gazeta/dias/1834/03/18/pdfs/GMD-1834-34.pdf#page=3","Abrir facsímil")</f>
        <v>Abrir facsímil</v>
      </c>
      <c r="K3106" s="3" t="s">
        <v>24</v>
      </c>
    </row>
    <row r="3107" spans="1:11" ht="54" customHeight="1">
      <c r="A3107" s="2" t="s">
        <v>6959</v>
      </c>
      <c r="B3107" s="2" t="s">
        <v>6959</v>
      </c>
      <c r="C3107" s="2" t="s">
        <v>17</v>
      </c>
      <c r="D3107" s="2" t="s">
        <v>18</v>
      </c>
      <c r="E3107" s="5" t="s">
        <v>444</v>
      </c>
      <c r="F3107" s="3" t="s">
        <v>445</v>
      </c>
      <c r="G3107" s="3" t="s">
        <v>75</v>
      </c>
      <c r="H3107" s="2" t="s">
        <v>22</v>
      </c>
      <c r="I3107" s="2" t="s">
        <v>6960</v>
      </c>
      <c r="J3107" s="3" t="str">
        <f>HYPERLINK("https://www.boe.es/gazeta/dias/1834/09/12/pdfs/GMD-C-1834-210.pdf#page=4","Abrir facsímil")</f>
        <v>Abrir facsímil</v>
      </c>
      <c r="K3107" s="3" t="s">
        <v>24</v>
      </c>
    </row>
    <row r="3108" spans="1:11" ht="54" customHeight="1">
      <c r="A3108" s="2" t="s">
        <v>6961</v>
      </c>
      <c r="B3108" s="2" t="s">
        <v>6962</v>
      </c>
      <c r="C3108" s="2" t="s">
        <v>17</v>
      </c>
      <c r="D3108" s="2" t="s">
        <v>18</v>
      </c>
      <c r="E3108" s="5" t="s">
        <v>928</v>
      </c>
      <c r="F3108" s="3" t="s">
        <v>929</v>
      </c>
      <c r="G3108" s="3" t="s">
        <v>21</v>
      </c>
      <c r="H3108" s="2" t="s">
        <v>22</v>
      </c>
      <c r="I3108" s="2" t="s">
        <v>6963</v>
      </c>
      <c r="J3108" s="3" t="str">
        <f>HYPERLINK("https://www.boe.es/gazeta/dias/1834/11/15/pdfs/GMD-C-1834-274.pdf#page=3","Abrir facsímil")</f>
        <v>Abrir facsímil</v>
      </c>
      <c r="K3108" s="3" t="s">
        <v>24</v>
      </c>
    </row>
    <row r="3109" spans="1:11" ht="54" customHeight="1">
      <c r="A3109" s="2" t="s">
        <v>6964</v>
      </c>
      <c r="B3109" s="2" t="s">
        <v>6965</v>
      </c>
      <c r="C3109" s="2" t="s">
        <v>17</v>
      </c>
      <c r="D3109" s="2" t="s">
        <v>18</v>
      </c>
      <c r="E3109" s="5" t="s">
        <v>343</v>
      </c>
      <c r="F3109" s="3" t="s">
        <v>344</v>
      </c>
      <c r="G3109" s="3" t="s">
        <v>21</v>
      </c>
      <c r="H3109" s="2" t="s">
        <v>22</v>
      </c>
      <c r="I3109" s="2" t="s">
        <v>6966</v>
      </c>
      <c r="J3109" s="3" t="str">
        <f>HYPERLINK("https://www.boe.es/gazeta/dias/1834/01/14/pdfs/GMD-1834-7.pdf#page=3","Abrir facsímil")</f>
        <v>Abrir facsímil</v>
      </c>
      <c r="K3109" s="3" t="s">
        <v>24</v>
      </c>
    </row>
    <row r="3110" spans="1:11" ht="54" customHeight="1">
      <c r="A3110" s="2" t="s">
        <v>6967</v>
      </c>
      <c r="B3110" s="2" t="s">
        <v>6968</v>
      </c>
      <c r="C3110" s="2" t="s">
        <v>17</v>
      </c>
      <c r="D3110" s="2" t="s">
        <v>40</v>
      </c>
      <c r="E3110" s="5" t="s">
        <v>535</v>
      </c>
      <c r="F3110" s="3" t="s">
        <v>536</v>
      </c>
      <c r="G3110" s="3" t="s">
        <v>75</v>
      </c>
      <c r="H3110" s="2" t="s">
        <v>22</v>
      </c>
      <c r="I3110" s="2" t="s">
        <v>6969</v>
      </c>
      <c r="J3110" s="3" t="str">
        <f>HYPERLINK("https://www.boe.es/gazeta/dias/1834/05/21/pdfs/GMD-1834-90.pdf#page=4","Abrir facsímil")</f>
        <v>Abrir facsímil</v>
      </c>
      <c r="K3110" s="3" t="s">
        <v>24</v>
      </c>
    </row>
    <row r="3111" spans="1:11" ht="54" customHeight="1">
      <c r="A3111" s="2" t="s">
        <v>6970</v>
      </c>
      <c r="B3111" s="2" t="s">
        <v>6971</v>
      </c>
      <c r="C3111" s="2" t="s">
        <v>122</v>
      </c>
      <c r="D3111" s="2" t="s">
        <v>55</v>
      </c>
      <c r="E3111" s="5" t="s">
        <v>5435</v>
      </c>
      <c r="F3111" s="3" t="s">
        <v>5436</v>
      </c>
      <c r="G3111" s="3" t="s">
        <v>21</v>
      </c>
      <c r="H3111" s="2" t="s">
        <v>22</v>
      </c>
      <c r="I3111" s="2" t="s">
        <v>6972</v>
      </c>
      <c r="J3111" s="3" t="str">
        <f>HYPERLINK("https://www.boe.es/gazeta/dias/1834/05/11/pdfs/GMD-1834-80.pdf#page=3","Abrir facsímil")</f>
        <v>Abrir facsímil</v>
      </c>
      <c r="K3111" s="3" t="s">
        <v>24</v>
      </c>
    </row>
    <row r="3112" spans="1:11" ht="54" customHeight="1">
      <c r="A3112" s="2" t="s">
        <v>6973</v>
      </c>
      <c r="B3112" s="2" t="s">
        <v>6974</v>
      </c>
      <c r="C3112" s="2" t="s">
        <v>46</v>
      </c>
      <c r="D3112" s="2" t="s">
        <v>18</v>
      </c>
      <c r="E3112" s="5" t="s">
        <v>2098</v>
      </c>
      <c r="F3112" s="3" t="s">
        <v>2099</v>
      </c>
      <c r="G3112" s="3" t="s">
        <v>75</v>
      </c>
      <c r="H3112" s="2" t="s">
        <v>22</v>
      </c>
      <c r="I3112" s="2" t="s">
        <v>6975</v>
      </c>
      <c r="J3112" s="3" t="str">
        <f>HYPERLINK("https://www.boe.es/gazeta/dias/1834/08/11/pdfs/GMD-1834-176.pdf#page=4","Abrir facsímil")</f>
        <v>Abrir facsímil</v>
      </c>
      <c r="K3112" s="3" t="s">
        <v>24</v>
      </c>
    </row>
    <row r="3113" spans="1:11" ht="54" customHeight="1">
      <c r="A3113" s="2" t="s">
        <v>6976</v>
      </c>
      <c r="B3113" s="2" t="s">
        <v>6977</v>
      </c>
      <c r="C3113" s="2" t="s">
        <v>46</v>
      </c>
      <c r="D3113" s="2" t="s">
        <v>18</v>
      </c>
      <c r="E3113" s="5" t="s">
        <v>2098</v>
      </c>
      <c r="F3113" s="3" t="s">
        <v>2099</v>
      </c>
      <c r="G3113" s="3" t="s">
        <v>75</v>
      </c>
      <c r="H3113" s="2" t="s">
        <v>35</v>
      </c>
      <c r="I3113" s="2" t="s">
        <v>6978</v>
      </c>
      <c r="J3113" s="3" t="str">
        <f>HYPERLINK("https://www.boe.es/gazeta/dias/1834/08/11/pdfs/GMD-1834-176.pdf#page=4","Abrir facsímil")</f>
        <v>Abrir facsímil</v>
      </c>
      <c r="K3113" s="3" t="s">
        <v>37</v>
      </c>
    </row>
    <row r="3114" spans="1:11" ht="54" customHeight="1">
      <c r="A3114" s="2" t="s">
        <v>6979</v>
      </c>
      <c r="B3114" s="2" t="s">
        <v>6979</v>
      </c>
      <c r="C3114" s="2" t="s">
        <v>17</v>
      </c>
      <c r="D3114" s="2" t="s">
        <v>18</v>
      </c>
      <c r="E3114" s="5" t="s">
        <v>3207</v>
      </c>
      <c r="F3114" s="3" t="s">
        <v>3208</v>
      </c>
      <c r="G3114" s="3" t="s">
        <v>21</v>
      </c>
      <c r="H3114" s="2" t="s">
        <v>22</v>
      </c>
      <c r="I3114" s="2" t="s">
        <v>6980</v>
      </c>
      <c r="J3114" s="3" t="str">
        <f>HYPERLINK("https://www.boe.es/gazeta/dias/1834/10/13/pdfs/GMD-1834-241.pdf#page=3","Abrir facsímil")</f>
        <v>Abrir facsímil</v>
      </c>
      <c r="K3114" s="3" t="s">
        <v>24</v>
      </c>
    </row>
    <row r="3115" spans="1:11" ht="54" customHeight="1">
      <c r="A3115" s="2" t="s">
        <v>6981</v>
      </c>
      <c r="B3115" s="2" t="s">
        <v>6981</v>
      </c>
      <c r="C3115" s="2" t="s">
        <v>17</v>
      </c>
      <c r="D3115" s="2" t="s">
        <v>18</v>
      </c>
      <c r="E3115" s="5" t="s">
        <v>465</v>
      </c>
      <c r="F3115" s="3" t="s">
        <v>466</v>
      </c>
      <c r="G3115" s="3" t="s">
        <v>21</v>
      </c>
      <c r="H3115" s="2" t="s">
        <v>22</v>
      </c>
      <c r="I3115" s="2" t="s">
        <v>6982</v>
      </c>
      <c r="J3115" s="3" t="str">
        <f>HYPERLINK("https://www.boe.es/gazeta/dias/1834/11/27/pdfs/GMD-C-1834-286.pdf#page=3","Abrir facsímil")</f>
        <v>Abrir facsímil</v>
      </c>
      <c r="K3115" s="3" t="s">
        <v>24</v>
      </c>
    </row>
    <row r="3116" spans="1:11" ht="54" customHeight="1">
      <c r="A3116" s="2" t="s">
        <v>6983</v>
      </c>
      <c r="B3116" s="2" t="s">
        <v>6984</v>
      </c>
      <c r="C3116" s="2" t="s">
        <v>46</v>
      </c>
      <c r="D3116" s="2" t="s">
        <v>55</v>
      </c>
      <c r="E3116" s="5" t="s">
        <v>1351</v>
      </c>
      <c r="F3116" s="3" t="s">
        <v>1352</v>
      </c>
      <c r="G3116" s="3" t="s">
        <v>75</v>
      </c>
      <c r="H3116" s="2" t="s">
        <v>35</v>
      </c>
      <c r="I3116" s="2" t="s">
        <v>6985</v>
      </c>
      <c r="J3116" s="3" t="str">
        <f>HYPERLINK("https://www.boe.es/gazeta/dias/1834/07/05/pdfs/GMD-1834-138.pdf#page=4","Abrir facsímil")</f>
        <v>Abrir facsímil</v>
      </c>
      <c r="K3116" s="3" t="s">
        <v>37</v>
      </c>
    </row>
    <row r="3117" spans="1:11" ht="54" customHeight="1">
      <c r="A3117" s="2" t="s">
        <v>6986</v>
      </c>
      <c r="B3117" s="2" t="s">
        <v>6987</v>
      </c>
      <c r="C3117" s="2" t="s">
        <v>17</v>
      </c>
      <c r="D3117" s="2" t="s">
        <v>18</v>
      </c>
      <c r="E3117" s="5" t="s">
        <v>1686</v>
      </c>
      <c r="F3117" s="3" t="s">
        <v>2311</v>
      </c>
      <c r="G3117" s="3" t="s">
        <v>34</v>
      </c>
      <c r="H3117" s="2" t="s">
        <v>35</v>
      </c>
      <c r="I3117" s="2" t="s">
        <v>6988</v>
      </c>
      <c r="J3117" s="3" t="str">
        <f>HYPERLINK("https://www.boe.es/gazeta/dias/1834/07/27/pdfs/GMD-C-1834-160.pdf#page=1","Abrir facsímil")</f>
        <v>Abrir facsímil</v>
      </c>
      <c r="K3117" s="3" t="s">
        <v>37</v>
      </c>
    </row>
    <row r="3118" spans="1:11" ht="54" customHeight="1">
      <c r="A3118" s="2" t="s">
        <v>6989</v>
      </c>
      <c r="B3118" s="2" t="s">
        <v>6990</v>
      </c>
      <c r="C3118" s="2" t="s">
        <v>46</v>
      </c>
      <c r="D3118" s="2" t="s">
        <v>55</v>
      </c>
      <c r="E3118" s="5" t="s">
        <v>1351</v>
      </c>
      <c r="F3118" s="3" t="s">
        <v>1352</v>
      </c>
      <c r="G3118" s="3" t="s">
        <v>75</v>
      </c>
      <c r="H3118" s="2" t="s">
        <v>22</v>
      </c>
      <c r="I3118" s="2" t="s">
        <v>6991</v>
      </c>
      <c r="J3118" s="3" t="str">
        <f>HYPERLINK("https://www.boe.es/gazeta/dias/1834/07/05/pdfs/GMD-1834-138.pdf#page=4","Abrir facsímil")</f>
        <v>Abrir facsímil</v>
      </c>
      <c r="K3118" s="3" t="s">
        <v>24</v>
      </c>
    </row>
    <row r="3119" spans="1:11" ht="54" customHeight="1">
      <c r="A3119" s="2" t="s">
        <v>6989</v>
      </c>
      <c r="B3119" s="2" t="s">
        <v>6990</v>
      </c>
      <c r="C3119" s="2" t="s">
        <v>90</v>
      </c>
      <c r="D3119" s="2" t="s">
        <v>18</v>
      </c>
      <c r="E3119" s="5" t="s">
        <v>1186</v>
      </c>
      <c r="F3119" s="3" t="s">
        <v>4286</v>
      </c>
      <c r="G3119" s="3" t="s">
        <v>86</v>
      </c>
      <c r="H3119" s="2" t="s">
        <v>22</v>
      </c>
      <c r="I3119" s="2" t="s">
        <v>6992</v>
      </c>
      <c r="J3119" s="3" t="str">
        <f>HYPERLINK("https://www.boe.es/gazeta/dias/1834/08/14/pdfs/GMD-C-1834-179.pdf#page=2","Abrir facsímil")</f>
        <v>Abrir facsímil</v>
      </c>
      <c r="K3119" s="3" t="s">
        <v>24</v>
      </c>
    </row>
    <row r="3120" spans="1:11" ht="54" customHeight="1">
      <c r="A3120" s="2" t="s">
        <v>6993</v>
      </c>
      <c r="B3120" s="2" t="s">
        <v>6994</v>
      </c>
      <c r="C3120" s="2" t="s">
        <v>17</v>
      </c>
      <c r="D3120" s="2" t="s">
        <v>18</v>
      </c>
      <c r="E3120" s="5" t="s">
        <v>1686</v>
      </c>
      <c r="F3120" s="3" t="s">
        <v>2311</v>
      </c>
      <c r="G3120" s="3" t="s">
        <v>34</v>
      </c>
      <c r="H3120" s="2" t="s">
        <v>22</v>
      </c>
      <c r="I3120" s="2" t="s">
        <v>6995</v>
      </c>
      <c r="J3120" s="3" t="str">
        <f>HYPERLINK("https://www.boe.es/gazeta/dias/1834/07/27/pdfs/GMD-C-1834-160.pdf#page=1","Abrir facsímil")</f>
        <v>Abrir facsímil</v>
      </c>
      <c r="K3120" s="3" t="s">
        <v>24</v>
      </c>
    </row>
    <row r="3121" spans="1:11" ht="54" customHeight="1">
      <c r="A3121" s="2" t="s">
        <v>6996</v>
      </c>
      <c r="B3121" s="2" t="s">
        <v>6996</v>
      </c>
      <c r="C3121" s="2" t="s">
        <v>66</v>
      </c>
      <c r="D3121" s="2" t="s">
        <v>67</v>
      </c>
      <c r="E3121" s="5" t="s">
        <v>1862</v>
      </c>
      <c r="F3121" s="3" t="s">
        <v>1863</v>
      </c>
      <c r="G3121" s="3" t="s">
        <v>75</v>
      </c>
      <c r="H3121" s="2" t="s">
        <v>22</v>
      </c>
      <c r="I3121" s="2" t="s">
        <v>6997</v>
      </c>
      <c r="J3121" s="3" t="str">
        <f>HYPERLINK("https://www.boe.es/gazeta/dias/1834/02/04/pdfs/GMD-1834-16.pdf#page=4","Abrir facsímil")</f>
        <v>Abrir facsímil</v>
      </c>
      <c r="K3121" s="3" t="s">
        <v>24</v>
      </c>
    </row>
    <row r="3122" spans="1:11" ht="54" customHeight="1">
      <c r="A3122" s="2" t="s">
        <v>6996</v>
      </c>
      <c r="B3122" s="2" t="s">
        <v>6996</v>
      </c>
      <c r="C3122" s="2" t="s">
        <v>17</v>
      </c>
      <c r="D3122" s="2" t="s">
        <v>18</v>
      </c>
      <c r="E3122" s="5" t="s">
        <v>237</v>
      </c>
      <c r="F3122" s="3" t="s">
        <v>4609</v>
      </c>
      <c r="G3122" s="3" t="s">
        <v>34</v>
      </c>
      <c r="H3122" s="2" t="s">
        <v>22</v>
      </c>
      <c r="I3122" s="2" t="s">
        <v>6998</v>
      </c>
      <c r="J3122" s="3" t="str">
        <f>HYPERLINK("https://www.boe.es/gazeta/dias/1834/08/15/pdfs/GMD-1834-180.pdf#page=1","Abrir facsímil")</f>
        <v>Abrir facsímil</v>
      </c>
      <c r="K3122" s="3" t="s">
        <v>24</v>
      </c>
    </row>
    <row r="3123" spans="1:11" ht="54" customHeight="1">
      <c r="A3123" s="2" t="s">
        <v>6999</v>
      </c>
      <c r="B3123" s="2" t="s">
        <v>6999</v>
      </c>
      <c r="C3123" s="2" t="s">
        <v>90</v>
      </c>
      <c r="D3123" s="2" t="s">
        <v>67</v>
      </c>
      <c r="E3123" s="5" t="s">
        <v>5885</v>
      </c>
      <c r="F3123" s="3" t="s">
        <v>5886</v>
      </c>
      <c r="G3123" s="3" t="s">
        <v>86</v>
      </c>
      <c r="H3123" s="2" t="s">
        <v>22</v>
      </c>
      <c r="I3123" s="2" t="s">
        <v>7000</v>
      </c>
      <c r="J3123" s="3" t="str">
        <f>HYPERLINK("https://www.boe.es/gazeta/dias/1834/05/23/pdfs/GMD-1834-92.pdf#page=2","Abrir facsímil")</f>
        <v>Abrir facsímil</v>
      </c>
      <c r="K3123" s="3" t="s">
        <v>24</v>
      </c>
    </row>
    <row r="3124" spans="1:11" ht="54" customHeight="1">
      <c r="A3124" s="2" t="s">
        <v>7001</v>
      </c>
      <c r="B3124" s="2" t="s">
        <v>7002</v>
      </c>
      <c r="C3124" s="2" t="s">
        <v>46</v>
      </c>
      <c r="D3124" s="2" t="s">
        <v>101</v>
      </c>
      <c r="E3124" s="5" t="s">
        <v>838</v>
      </c>
      <c r="F3124" s="3" t="s">
        <v>839</v>
      </c>
      <c r="G3124" s="3" t="s">
        <v>75</v>
      </c>
      <c r="H3124" s="2" t="s">
        <v>35</v>
      </c>
      <c r="I3124" s="2" t="s">
        <v>7003</v>
      </c>
      <c r="J3124" s="3" t="str">
        <f>HYPERLINK("https://www.boe.es/gazeta/dias/1834/07/18/pdfs/GMD-1834-151.pdf#page=4","Abrir facsímil")</f>
        <v>Abrir facsímil</v>
      </c>
      <c r="K3124" s="3" t="s">
        <v>37</v>
      </c>
    </row>
    <row r="3125" spans="1:11" ht="54" customHeight="1">
      <c r="A3125" s="2" t="s">
        <v>7004</v>
      </c>
      <c r="B3125" s="2" t="s">
        <v>7005</v>
      </c>
      <c r="C3125" s="2" t="s">
        <v>46</v>
      </c>
      <c r="D3125" s="2" t="s">
        <v>101</v>
      </c>
      <c r="E3125" s="5" t="s">
        <v>838</v>
      </c>
      <c r="F3125" s="3" t="s">
        <v>839</v>
      </c>
      <c r="G3125" s="3" t="s">
        <v>75</v>
      </c>
      <c r="H3125" s="2" t="s">
        <v>22</v>
      </c>
      <c r="I3125" s="2" t="s">
        <v>7006</v>
      </c>
      <c r="J3125" s="3" t="str">
        <f>HYPERLINK("https://www.boe.es/gazeta/dias/1834/07/18/pdfs/GMD-1834-151.pdf#page=4","Abrir facsímil")</f>
        <v>Abrir facsímil</v>
      </c>
      <c r="K3125" s="3" t="s">
        <v>24</v>
      </c>
    </row>
    <row r="3126" spans="1:11" ht="54" customHeight="1">
      <c r="A3126" s="2" t="s">
        <v>7007</v>
      </c>
      <c r="B3126" s="2" t="s">
        <v>7008</v>
      </c>
      <c r="C3126" s="2" t="s">
        <v>17</v>
      </c>
      <c r="D3126" s="2" t="s">
        <v>18</v>
      </c>
      <c r="E3126" s="5" t="s">
        <v>777</v>
      </c>
      <c r="F3126" s="3" t="s">
        <v>778</v>
      </c>
      <c r="G3126" s="3" t="s">
        <v>75</v>
      </c>
      <c r="H3126" s="2" t="s">
        <v>35</v>
      </c>
      <c r="I3126" s="2" t="s">
        <v>7009</v>
      </c>
      <c r="J3126" s="3" t="str">
        <f>HYPERLINK("https://www.boe.es/gazeta/dias/1834/10/29/pdfs/GMD-1834-257.pdf#page=4","Abrir facsímil")</f>
        <v>Abrir facsímil</v>
      </c>
      <c r="K3126" s="3" t="s">
        <v>37</v>
      </c>
    </row>
    <row r="3127" spans="1:11" ht="54" customHeight="1">
      <c r="A3127" s="2" t="s">
        <v>7010</v>
      </c>
      <c r="B3127" s="2" t="s">
        <v>7011</v>
      </c>
      <c r="C3127" s="2" t="s">
        <v>122</v>
      </c>
      <c r="D3127" s="2" t="s">
        <v>101</v>
      </c>
      <c r="E3127" s="5" t="s">
        <v>262</v>
      </c>
      <c r="F3127" s="3" t="s">
        <v>7012</v>
      </c>
      <c r="G3127" s="3" t="s">
        <v>21</v>
      </c>
      <c r="H3127" s="2" t="s">
        <v>22</v>
      </c>
      <c r="I3127" s="2" t="s">
        <v>7013</v>
      </c>
      <c r="J3127" s="3" t="str">
        <f>HYPERLINK("https://www.boe.es/gazeta/dias/1834/10/18/pdfs/GMD-1834-246.pdf#page=3","Abrir facsímil")</f>
        <v>Abrir facsímil</v>
      </c>
      <c r="K3127" s="3" t="s">
        <v>24</v>
      </c>
    </row>
    <row r="3128" spans="1:11" ht="54" customHeight="1">
      <c r="A3128" s="2" t="s">
        <v>7010</v>
      </c>
      <c r="B3128" s="2" t="s">
        <v>7011</v>
      </c>
      <c r="C3128" s="2" t="s">
        <v>17</v>
      </c>
      <c r="D3128" s="2" t="s">
        <v>18</v>
      </c>
      <c r="E3128" s="5" t="s">
        <v>777</v>
      </c>
      <c r="F3128" s="3" t="s">
        <v>778</v>
      </c>
      <c r="G3128" s="3" t="s">
        <v>75</v>
      </c>
      <c r="H3128" s="2" t="s">
        <v>22</v>
      </c>
      <c r="I3128" s="2" t="s">
        <v>7014</v>
      </c>
      <c r="J3128" s="3" t="str">
        <f>HYPERLINK("https://www.boe.es/gazeta/dias/1834/10/29/pdfs/GMD-1834-257.pdf#page=4","Abrir facsímil")</f>
        <v>Abrir facsímil</v>
      </c>
      <c r="K3128" s="3" t="s">
        <v>24</v>
      </c>
    </row>
    <row r="3129" spans="1:11" ht="54" customHeight="1">
      <c r="A3129" s="2" t="s">
        <v>7015</v>
      </c>
      <c r="B3129" s="2" t="s">
        <v>7015</v>
      </c>
      <c r="C3129" s="2" t="s">
        <v>17</v>
      </c>
      <c r="D3129" s="2" t="s">
        <v>18</v>
      </c>
      <c r="E3129" s="5" t="s">
        <v>2087</v>
      </c>
      <c r="F3129" s="3" t="s">
        <v>2267</v>
      </c>
      <c r="G3129" s="3" t="s">
        <v>21</v>
      </c>
      <c r="H3129" s="2" t="s">
        <v>22</v>
      </c>
      <c r="I3129" s="2" t="s">
        <v>7016</v>
      </c>
      <c r="J3129" s="3" t="str">
        <f>HYPERLINK("https://www.boe.es/gazeta/dias/1834/12/14/pdfs/GMD-C-1834-303.pdf#page=3","Abrir facsímil")</f>
        <v>Abrir facsímil</v>
      </c>
      <c r="K3129" s="3" t="s">
        <v>24</v>
      </c>
    </row>
    <row r="3130" spans="1:11" ht="54" customHeight="1">
      <c r="A3130" s="2" t="s">
        <v>7017</v>
      </c>
      <c r="B3130" s="2" t="s">
        <v>7017</v>
      </c>
      <c r="C3130" s="2" t="s">
        <v>66</v>
      </c>
      <c r="D3130" s="2" t="s">
        <v>67</v>
      </c>
      <c r="E3130" s="5" t="s">
        <v>1955</v>
      </c>
      <c r="F3130" s="3" t="s">
        <v>1956</v>
      </c>
      <c r="G3130" s="3" t="s">
        <v>75</v>
      </c>
      <c r="H3130" s="2" t="s">
        <v>22</v>
      </c>
      <c r="I3130" s="2" t="s">
        <v>7018</v>
      </c>
      <c r="J3130" s="3" t="str">
        <f>HYPERLINK("https://www.boe.es/gazeta/dias/1834/05/04/pdfs/GMD-1834-73.pdf#page=4","Abrir facsímil")</f>
        <v>Abrir facsímil</v>
      </c>
      <c r="K3130" s="3" t="s">
        <v>24</v>
      </c>
    </row>
    <row r="3131" spans="1:11" ht="54" customHeight="1">
      <c r="A3131" s="2" t="s">
        <v>7019</v>
      </c>
      <c r="B3131" s="2" t="s">
        <v>7020</v>
      </c>
      <c r="C3131" s="2" t="s">
        <v>122</v>
      </c>
      <c r="D3131" s="2" t="s">
        <v>18</v>
      </c>
      <c r="E3131" s="5" t="s">
        <v>1297</v>
      </c>
      <c r="F3131" s="3" t="s">
        <v>1879</v>
      </c>
      <c r="G3131" s="3" t="s">
        <v>34</v>
      </c>
      <c r="H3131" s="2" t="s">
        <v>35</v>
      </c>
      <c r="I3131" s="2" t="s">
        <v>7021</v>
      </c>
      <c r="J3131" s="3" t="str">
        <f>HYPERLINK("https://www.boe.es/gazeta/dias/1834/08/01/pdfs/GMD-C-1834-165.pdf#page=1","Abrir facsímil")</f>
        <v>Abrir facsímil</v>
      </c>
      <c r="K3131" s="3" t="s">
        <v>37</v>
      </c>
    </row>
    <row r="3132" spans="1:11" ht="54" customHeight="1">
      <c r="A3132" s="2" t="s">
        <v>7022</v>
      </c>
      <c r="B3132" s="2" t="s">
        <v>7023</v>
      </c>
      <c r="C3132" s="2" t="s">
        <v>122</v>
      </c>
      <c r="D3132" s="2" t="s">
        <v>18</v>
      </c>
      <c r="E3132" s="5" t="s">
        <v>1297</v>
      </c>
      <c r="F3132" s="3" t="s">
        <v>1879</v>
      </c>
      <c r="G3132" s="3" t="s">
        <v>34</v>
      </c>
      <c r="H3132" s="2" t="s">
        <v>22</v>
      </c>
      <c r="I3132" s="2" t="s">
        <v>7024</v>
      </c>
      <c r="J3132" s="3" t="str">
        <f>HYPERLINK("https://www.boe.es/gazeta/dias/1834/08/01/pdfs/GMD-C-1834-165.pdf#page=1","Abrir facsímil")</f>
        <v>Abrir facsímil</v>
      </c>
      <c r="K3132" s="3" t="s">
        <v>24</v>
      </c>
    </row>
    <row r="3133" spans="1:11" ht="54" customHeight="1">
      <c r="A3133" s="2" t="s">
        <v>7025</v>
      </c>
      <c r="B3133" s="2" t="s">
        <v>7025</v>
      </c>
      <c r="C3133" s="2" t="s">
        <v>17</v>
      </c>
      <c r="D3133" s="2" t="s">
        <v>18</v>
      </c>
      <c r="E3133" s="5" t="s">
        <v>1297</v>
      </c>
      <c r="F3133" s="3" t="s">
        <v>1879</v>
      </c>
      <c r="G3133" s="3" t="s">
        <v>86</v>
      </c>
      <c r="H3133" s="2" t="s">
        <v>22</v>
      </c>
      <c r="I3133" s="2" t="s">
        <v>7026</v>
      </c>
      <c r="J3133" s="3" t="str">
        <f>HYPERLINK("https://www.boe.es/gazeta/dias/1834/08/01/pdfs/GMD-C-1834-165.pdf#page=2","Abrir facsímil")</f>
        <v>Abrir facsímil</v>
      </c>
      <c r="K3133" s="3" t="s">
        <v>24</v>
      </c>
    </row>
    <row r="3134" spans="1:11" ht="54" customHeight="1">
      <c r="A3134" s="2" t="s">
        <v>7025</v>
      </c>
      <c r="B3134" s="2" t="s">
        <v>7025</v>
      </c>
      <c r="C3134" s="2" t="s">
        <v>17</v>
      </c>
      <c r="D3134" s="2" t="s">
        <v>18</v>
      </c>
      <c r="E3134" s="5" t="s">
        <v>1677</v>
      </c>
      <c r="F3134" s="3" t="s">
        <v>2515</v>
      </c>
      <c r="G3134" s="3" t="s">
        <v>34</v>
      </c>
      <c r="H3134" s="2" t="s">
        <v>22</v>
      </c>
      <c r="I3134" s="2" t="s">
        <v>7027</v>
      </c>
      <c r="J3134" s="3" t="str">
        <f>HYPERLINK("https://www.boe.es/gazeta/dias/1834/07/26/pdfs/GMD-C-1834-159.pdf#page=1","Abrir facsímil")</f>
        <v>Abrir facsímil</v>
      </c>
      <c r="K3134" s="3" t="s">
        <v>24</v>
      </c>
    </row>
    <row r="3135" spans="1:11" ht="54" customHeight="1">
      <c r="A3135" s="2" t="s">
        <v>7028</v>
      </c>
      <c r="B3135" s="2" t="s">
        <v>7028</v>
      </c>
      <c r="C3135" s="2" t="s">
        <v>90</v>
      </c>
      <c r="D3135" s="2" t="s">
        <v>18</v>
      </c>
      <c r="E3135" s="5" t="s">
        <v>696</v>
      </c>
      <c r="F3135" s="3" t="s">
        <v>854</v>
      </c>
      <c r="G3135" s="3" t="s">
        <v>75</v>
      </c>
      <c r="H3135" s="2" t="s">
        <v>22</v>
      </c>
      <c r="I3135" s="2" t="s">
        <v>7029</v>
      </c>
      <c r="J3135" s="3" t="str">
        <f>HYPERLINK("https://www.boe.es/gazeta/dias/1834/12/06/pdfs/GMD-1834-295.pdf#page=4","Abrir facsímil")</f>
        <v>Abrir facsímil</v>
      </c>
      <c r="K3135" s="3" t="s">
        <v>24</v>
      </c>
    </row>
    <row r="3136" spans="1:11" ht="54" customHeight="1">
      <c r="A3136" s="2" t="s">
        <v>7028</v>
      </c>
      <c r="B3136" s="2" t="s">
        <v>7028</v>
      </c>
      <c r="C3136" s="2" t="s">
        <v>90</v>
      </c>
      <c r="D3136" s="2" t="s">
        <v>18</v>
      </c>
      <c r="E3136" s="5" t="s">
        <v>163</v>
      </c>
      <c r="F3136" s="3" t="s">
        <v>4896</v>
      </c>
      <c r="G3136" s="3" t="s">
        <v>34</v>
      </c>
      <c r="H3136" s="2" t="s">
        <v>22</v>
      </c>
      <c r="I3136" s="2" t="s">
        <v>7030</v>
      </c>
      <c r="J3136" s="3" t="str">
        <f>HYPERLINK("https://www.boe.es/gazeta/dias/1834/08/09/pdfs/GMD-C-1834-174.pdf#page=1","Abrir facsímil")</f>
        <v>Abrir facsímil</v>
      </c>
      <c r="K3136" s="3" t="s">
        <v>24</v>
      </c>
    </row>
    <row r="3137" spans="1:11" ht="54" customHeight="1">
      <c r="A3137" s="2" t="s">
        <v>7031</v>
      </c>
      <c r="B3137" s="2" t="s">
        <v>7032</v>
      </c>
      <c r="C3137" s="2" t="s">
        <v>17</v>
      </c>
      <c r="D3137" s="2" t="s">
        <v>101</v>
      </c>
      <c r="E3137" s="5" t="s">
        <v>863</v>
      </c>
      <c r="F3137" s="3" t="s">
        <v>864</v>
      </c>
      <c r="G3137" s="3" t="s">
        <v>75</v>
      </c>
      <c r="H3137" s="2" t="s">
        <v>22</v>
      </c>
      <c r="I3137" s="2" t="s">
        <v>7033</v>
      </c>
      <c r="J3137" s="3" t="str">
        <f>HYPERLINK("https://www.boe.es/gazeta/dias/1834/09/15/pdfs/GMD-1834-213.pdf#page=4","Abrir facsímil")</f>
        <v>Abrir facsímil</v>
      </c>
      <c r="K3137" s="3" t="s">
        <v>24</v>
      </c>
    </row>
    <row r="3138" spans="1:11" ht="54" customHeight="1">
      <c r="A3138" s="2" t="s">
        <v>7034</v>
      </c>
      <c r="B3138" s="2" t="s">
        <v>7035</v>
      </c>
      <c r="C3138" s="2" t="s">
        <v>17</v>
      </c>
      <c r="D3138" s="2" t="s">
        <v>18</v>
      </c>
      <c r="E3138" s="5" t="s">
        <v>1265</v>
      </c>
      <c r="F3138" s="3" t="s">
        <v>1266</v>
      </c>
      <c r="G3138" s="3" t="s">
        <v>75</v>
      </c>
      <c r="H3138" s="2" t="s">
        <v>35</v>
      </c>
      <c r="I3138" s="2" t="s">
        <v>7036</v>
      </c>
      <c r="J3138" s="3" t="str">
        <f>HYPERLINK("https://www.boe.es/gazeta/dias/1834/09/08/pdfs/GMD-1834-206.pdf#page=4","Abrir facsímil")</f>
        <v>Abrir facsímil</v>
      </c>
      <c r="K3138" s="3" t="s">
        <v>37</v>
      </c>
    </row>
    <row r="3139" spans="1:11" ht="54" customHeight="1">
      <c r="A3139" s="2" t="s">
        <v>7037</v>
      </c>
      <c r="B3139" s="2" t="s">
        <v>7038</v>
      </c>
      <c r="C3139" s="2" t="s">
        <v>17</v>
      </c>
      <c r="D3139" s="2" t="s">
        <v>18</v>
      </c>
      <c r="E3139" s="5" t="s">
        <v>1265</v>
      </c>
      <c r="F3139" s="3" t="s">
        <v>1266</v>
      </c>
      <c r="G3139" s="3" t="s">
        <v>75</v>
      </c>
      <c r="H3139" s="2" t="s">
        <v>22</v>
      </c>
      <c r="I3139" s="2" t="s">
        <v>7039</v>
      </c>
      <c r="J3139" s="3" t="str">
        <f>HYPERLINK("https://www.boe.es/gazeta/dias/1834/09/08/pdfs/GMD-1834-206.pdf#page=4","Abrir facsímil")</f>
        <v>Abrir facsímil</v>
      </c>
      <c r="K3139" s="3" t="s">
        <v>24</v>
      </c>
    </row>
    <row r="3140" spans="1:11" ht="54" customHeight="1">
      <c r="A3140" s="2" t="s">
        <v>7040</v>
      </c>
      <c r="B3140" s="2" t="s">
        <v>7041</v>
      </c>
      <c r="C3140" s="2" t="s">
        <v>90</v>
      </c>
      <c r="D3140" s="2" t="s">
        <v>18</v>
      </c>
      <c r="E3140" s="5" t="s">
        <v>696</v>
      </c>
      <c r="F3140" s="3" t="s">
        <v>854</v>
      </c>
      <c r="G3140" s="3" t="s">
        <v>75</v>
      </c>
      <c r="H3140" s="2" t="s">
        <v>22</v>
      </c>
      <c r="I3140" s="2" t="s">
        <v>7042</v>
      </c>
      <c r="J3140" s="3" t="str">
        <f>HYPERLINK("https://www.boe.es/gazeta/dias/1834/12/06/pdfs/GMD-1834-295.pdf#page=4","Abrir facsímil")</f>
        <v>Abrir facsímil</v>
      </c>
      <c r="K3140" s="3" t="s">
        <v>24</v>
      </c>
    </row>
    <row r="3141" spans="1:11" ht="54" customHeight="1">
      <c r="A3141" s="2" t="s">
        <v>7043</v>
      </c>
      <c r="B3141" s="2" t="s">
        <v>7044</v>
      </c>
      <c r="C3141" s="2" t="s">
        <v>46</v>
      </c>
      <c r="D3141" s="2" t="s">
        <v>101</v>
      </c>
      <c r="E3141" s="5" t="s">
        <v>200</v>
      </c>
      <c r="F3141" s="3" t="s">
        <v>2248</v>
      </c>
      <c r="G3141" s="3" t="s">
        <v>34</v>
      </c>
      <c r="H3141" s="2" t="s">
        <v>35</v>
      </c>
      <c r="I3141" s="2" t="s">
        <v>7045</v>
      </c>
      <c r="J3141" s="3" t="str">
        <f>HYPERLINK("https://www.boe.es/gazeta/dias/1834/12/11/pdfs/GMD-C-1834-300.pdf#page=1","Abrir facsímil")</f>
        <v>Abrir facsímil</v>
      </c>
      <c r="K3141" s="3" t="s">
        <v>37</v>
      </c>
    </row>
    <row r="3142" spans="1:11" ht="54" customHeight="1">
      <c r="A3142" s="2" t="s">
        <v>7043</v>
      </c>
      <c r="B3142" s="2" t="s">
        <v>7044</v>
      </c>
      <c r="C3142" s="2" t="s">
        <v>90</v>
      </c>
      <c r="D3142" s="2" t="s">
        <v>18</v>
      </c>
      <c r="E3142" s="5" t="s">
        <v>283</v>
      </c>
      <c r="F3142" s="3" t="s">
        <v>284</v>
      </c>
      <c r="G3142" s="3" t="s">
        <v>176</v>
      </c>
      <c r="H3142" s="2" t="s">
        <v>35</v>
      </c>
      <c r="I3142" s="2" t="s">
        <v>7046</v>
      </c>
      <c r="J3142" s="3" t="str">
        <f>HYPERLINK("https://www.boe.es/gazeta/dias/1834/11/29/pdfs/GMD-C-1834-288.pdf#page=6","Abrir facsímil")</f>
        <v>Abrir facsímil</v>
      </c>
      <c r="K3142" s="3" t="s">
        <v>37</v>
      </c>
    </row>
    <row r="3143" spans="1:11" ht="54" customHeight="1">
      <c r="A3143" s="2" t="s">
        <v>7047</v>
      </c>
      <c r="B3143" s="2" t="s">
        <v>7048</v>
      </c>
      <c r="C3143" s="2" t="s">
        <v>46</v>
      </c>
      <c r="D3143" s="2" t="s">
        <v>55</v>
      </c>
      <c r="E3143" s="5" t="s">
        <v>26</v>
      </c>
      <c r="F3143" s="3" t="s">
        <v>818</v>
      </c>
      <c r="G3143" s="3" t="s">
        <v>21</v>
      </c>
      <c r="H3143" s="2" t="s">
        <v>35</v>
      </c>
      <c r="I3143" s="2" t="s">
        <v>7049</v>
      </c>
      <c r="J3143" s="3" t="str">
        <f>HYPERLINK("https://www.boe.es/gazeta/dias/1834/10/19/pdfs/GMD-1834-247.pdf#page=3","Abrir facsímil")</f>
        <v>Abrir facsímil</v>
      </c>
      <c r="K3143" s="3" t="s">
        <v>37</v>
      </c>
    </row>
    <row r="3144" spans="1:11" ht="54" customHeight="1">
      <c r="A3144" s="2" t="s">
        <v>7050</v>
      </c>
      <c r="B3144" s="2" t="s">
        <v>7051</v>
      </c>
      <c r="C3144" s="2" t="s">
        <v>46</v>
      </c>
      <c r="D3144" s="2" t="s">
        <v>101</v>
      </c>
      <c r="E3144" s="5" t="s">
        <v>200</v>
      </c>
      <c r="F3144" s="3" t="s">
        <v>2248</v>
      </c>
      <c r="G3144" s="3" t="s">
        <v>34</v>
      </c>
      <c r="H3144" s="2" t="s">
        <v>35</v>
      </c>
      <c r="I3144" s="2" t="s">
        <v>7052</v>
      </c>
      <c r="J3144" s="3" t="str">
        <f>HYPERLINK("https://www.boe.es/gazeta/dias/1834/12/11/pdfs/GMD-C-1834-300.pdf#page=1","Abrir facsímil")</f>
        <v>Abrir facsímil</v>
      </c>
      <c r="K3144" s="3" t="s">
        <v>37</v>
      </c>
    </row>
    <row r="3145" spans="1:11" ht="54" customHeight="1">
      <c r="A3145" s="2" t="s">
        <v>7050</v>
      </c>
      <c r="B3145" s="2" t="s">
        <v>7051</v>
      </c>
      <c r="C3145" s="2" t="s">
        <v>90</v>
      </c>
      <c r="D3145" s="2" t="s">
        <v>18</v>
      </c>
      <c r="E3145" s="5" t="s">
        <v>283</v>
      </c>
      <c r="F3145" s="3" t="s">
        <v>284</v>
      </c>
      <c r="G3145" s="3" t="s">
        <v>176</v>
      </c>
      <c r="H3145" s="2" t="s">
        <v>35</v>
      </c>
      <c r="I3145" s="2" t="s">
        <v>7053</v>
      </c>
      <c r="J3145" s="3" t="str">
        <f>HYPERLINK("https://www.boe.es/gazeta/dias/1834/11/29/pdfs/GMD-C-1834-288.pdf#page=6","Abrir facsímil")</f>
        <v>Abrir facsímil</v>
      </c>
      <c r="K3145" s="3" t="s">
        <v>37</v>
      </c>
    </row>
    <row r="3146" spans="1:11" ht="54" customHeight="1">
      <c r="A3146" s="2" t="s">
        <v>7054</v>
      </c>
      <c r="B3146" s="2" t="s">
        <v>7055</v>
      </c>
      <c r="C3146" s="2" t="s">
        <v>46</v>
      </c>
      <c r="D3146" s="2" t="s">
        <v>55</v>
      </c>
      <c r="E3146" s="5" t="s">
        <v>26</v>
      </c>
      <c r="F3146" s="3" t="s">
        <v>818</v>
      </c>
      <c r="G3146" s="3" t="s">
        <v>21</v>
      </c>
      <c r="H3146" s="2" t="s">
        <v>22</v>
      </c>
      <c r="I3146" s="2" t="s">
        <v>7056</v>
      </c>
      <c r="J3146" s="3" t="str">
        <f>HYPERLINK("https://www.boe.es/gazeta/dias/1834/10/19/pdfs/GMD-1834-247.pdf#page=3","Abrir facsímil")</f>
        <v>Abrir facsímil</v>
      </c>
      <c r="K3146" s="3" t="s">
        <v>24</v>
      </c>
    </row>
    <row r="3147" spans="1:11" ht="54" customHeight="1">
      <c r="A3147" s="2" t="s">
        <v>7057</v>
      </c>
      <c r="B3147" s="2" t="s">
        <v>7058</v>
      </c>
      <c r="C3147" s="2" t="s">
        <v>17</v>
      </c>
      <c r="D3147" s="2" t="s">
        <v>18</v>
      </c>
      <c r="E3147" s="5" t="s">
        <v>976</v>
      </c>
      <c r="F3147" s="3" t="s">
        <v>977</v>
      </c>
      <c r="G3147" s="3" t="s">
        <v>21</v>
      </c>
      <c r="H3147" s="2" t="s">
        <v>22</v>
      </c>
      <c r="I3147" s="2" t="s">
        <v>7059</v>
      </c>
      <c r="J3147" s="3" t="str">
        <f>HYPERLINK("https://www.boe.es/gazeta/dias/1834/04/02/pdfs/GMD-1834-41.pdf#page=3","Abrir facsímil")</f>
        <v>Abrir facsímil</v>
      </c>
      <c r="K3147" s="3" t="s">
        <v>24</v>
      </c>
    </row>
    <row r="3148" spans="1:11" ht="54" customHeight="1">
      <c r="A3148" s="2" t="s">
        <v>7060</v>
      </c>
      <c r="B3148" s="2" t="s">
        <v>7060</v>
      </c>
      <c r="C3148" s="2" t="s">
        <v>17</v>
      </c>
      <c r="D3148" s="2" t="s">
        <v>40</v>
      </c>
      <c r="E3148" s="5" t="s">
        <v>1862</v>
      </c>
      <c r="F3148" s="3" t="s">
        <v>1863</v>
      </c>
      <c r="G3148" s="3" t="s">
        <v>75</v>
      </c>
      <c r="H3148" s="2" t="s">
        <v>22</v>
      </c>
      <c r="I3148" s="2" t="s">
        <v>7061</v>
      </c>
      <c r="J3148" s="3" t="str">
        <f>HYPERLINK("https://www.boe.es/gazeta/dias/1834/02/04/pdfs/GMD-1834-16.pdf#page=4","Abrir facsímil")</f>
        <v>Abrir facsímil</v>
      </c>
      <c r="K3148" s="3" t="s">
        <v>24</v>
      </c>
    </row>
    <row r="3149" spans="1:11" ht="54" customHeight="1">
      <c r="A3149" s="2" t="s">
        <v>7062</v>
      </c>
      <c r="B3149" s="2" t="s">
        <v>7062</v>
      </c>
      <c r="C3149" s="2" t="s">
        <v>17</v>
      </c>
      <c r="D3149" s="2" t="s">
        <v>55</v>
      </c>
      <c r="E3149" s="5" t="s">
        <v>610</v>
      </c>
      <c r="F3149" s="3" t="s">
        <v>1374</v>
      </c>
      <c r="G3149" s="3" t="s">
        <v>86</v>
      </c>
      <c r="H3149" s="2" t="s">
        <v>22</v>
      </c>
      <c r="I3149" s="2" t="s">
        <v>7063</v>
      </c>
      <c r="J3149" s="3" t="str">
        <f>HYPERLINK("https://www.boe.es/gazeta/dias/1834/12/21/pdfs/GMD-1834-311.pdf#page=2","Abrir facsímil")</f>
        <v>Abrir facsímil</v>
      </c>
      <c r="K3149" s="3" t="s">
        <v>24</v>
      </c>
    </row>
    <row r="3150" spans="1:11" ht="54" customHeight="1">
      <c r="A3150" s="2" t="s">
        <v>7064</v>
      </c>
      <c r="B3150" s="2" t="s">
        <v>7065</v>
      </c>
      <c r="C3150" s="2" t="s">
        <v>17</v>
      </c>
      <c r="D3150" s="2" t="s">
        <v>40</v>
      </c>
      <c r="E3150" s="5" t="s">
        <v>3066</v>
      </c>
      <c r="F3150" s="3" t="s">
        <v>3188</v>
      </c>
      <c r="G3150" s="3" t="s">
        <v>75</v>
      </c>
      <c r="H3150" s="2" t="s">
        <v>22</v>
      </c>
      <c r="I3150" s="2" t="s">
        <v>7066</v>
      </c>
      <c r="J3150" s="3" t="str">
        <f>HYPERLINK("https://www.boe.es/gazeta/dias/1834/08/03/pdfs/GMD-1834-167.pdf#page=4","Abrir facsímil")</f>
        <v>Abrir facsímil</v>
      </c>
      <c r="K3150" s="3" t="s">
        <v>24</v>
      </c>
    </row>
    <row r="3151" spans="1:11" ht="54" customHeight="1">
      <c r="A3151" s="2" t="s">
        <v>7067</v>
      </c>
      <c r="B3151" s="2" t="s">
        <v>7067</v>
      </c>
      <c r="C3151" s="2" t="s">
        <v>17</v>
      </c>
      <c r="D3151" s="2" t="s">
        <v>18</v>
      </c>
      <c r="E3151" s="5" t="s">
        <v>1195</v>
      </c>
      <c r="F3151" s="3" t="s">
        <v>1916</v>
      </c>
      <c r="G3151" s="3" t="s">
        <v>86</v>
      </c>
      <c r="H3151" s="2" t="s">
        <v>22</v>
      </c>
      <c r="I3151" s="2" t="s">
        <v>7068</v>
      </c>
      <c r="J3151" s="3" t="str">
        <f>HYPERLINK("https://www.boe.es/gazeta/dias/1834/10/17/pdfs/GMD-1834-245.pdf#page=2","Abrir facsímil")</f>
        <v>Abrir facsímil</v>
      </c>
      <c r="K3151" s="3" t="s">
        <v>24</v>
      </c>
    </row>
    <row r="3152" spans="1:11" ht="54" customHeight="1">
      <c r="A3152" s="2" t="s">
        <v>7069</v>
      </c>
      <c r="B3152" s="2" t="s">
        <v>7070</v>
      </c>
      <c r="C3152" s="2" t="s">
        <v>17</v>
      </c>
      <c r="D3152" s="2" t="s">
        <v>18</v>
      </c>
      <c r="E3152" s="5" t="s">
        <v>167</v>
      </c>
      <c r="F3152" s="3" t="s">
        <v>1200</v>
      </c>
      <c r="G3152" s="3" t="s">
        <v>560</v>
      </c>
      <c r="H3152" s="2" t="s">
        <v>22</v>
      </c>
      <c r="I3152" s="2" t="s">
        <v>7071</v>
      </c>
      <c r="J3152" s="3" t="str">
        <f>HYPERLINK("https://www.boe.es/gazeta/dias/1834/09/07/pdfs/GMD-C-1834-205.pdf#page=7","Abrir facsímil")</f>
        <v>Abrir facsímil</v>
      </c>
      <c r="K3152" s="3" t="s">
        <v>24</v>
      </c>
    </row>
    <row r="3153" spans="1:11" ht="54" customHeight="1">
      <c r="A3153" s="2" t="s">
        <v>7072</v>
      </c>
      <c r="B3153" s="2" t="s">
        <v>7073</v>
      </c>
      <c r="C3153" s="2" t="s">
        <v>46</v>
      </c>
      <c r="D3153" s="2" t="s">
        <v>55</v>
      </c>
      <c r="E3153" s="5" t="s">
        <v>258</v>
      </c>
      <c r="F3153" s="3" t="s">
        <v>1075</v>
      </c>
      <c r="G3153" s="3" t="s">
        <v>34</v>
      </c>
      <c r="H3153" s="2" t="s">
        <v>22</v>
      </c>
      <c r="I3153" s="2" t="s">
        <v>7074</v>
      </c>
      <c r="J3153" s="3" t="str">
        <f>HYPERLINK("https://www.boe.es/gazeta/dias/1834/10/09/pdfs/GMD-1834-237.pdf#page=1","Abrir facsímil")</f>
        <v>Abrir facsímil</v>
      </c>
      <c r="K3153" s="3" t="s">
        <v>24</v>
      </c>
    </row>
    <row r="3154" spans="1:11" ht="54" customHeight="1">
      <c r="A3154" s="2" t="s">
        <v>7075</v>
      </c>
      <c r="B3154" s="2" t="s">
        <v>7075</v>
      </c>
      <c r="C3154" s="2" t="s">
        <v>17</v>
      </c>
      <c r="D3154" s="2" t="s">
        <v>18</v>
      </c>
      <c r="E3154" s="5" t="s">
        <v>653</v>
      </c>
      <c r="F3154" s="3" t="s">
        <v>3369</v>
      </c>
      <c r="G3154" s="3" t="s">
        <v>34</v>
      </c>
      <c r="H3154" s="2" t="s">
        <v>22</v>
      </c>
      <c r="I3154" s="2" t="s">
        <v>7076</v>
      </c>
      <c r="J3154" s="3" t="str">
        <f>HYPERLINK("https://www.boe.es/gazeta/dias/1834/08/06/pdfs/GMD-1834-170.pdf#page=1","Abrir facsímil")</f>
        <v>Abrir facsímil</v>
      </c>
      <c r="K3154" s="3" t="s">
        <v>24</v>
      </c>
    </row>
    <row r="3155" spans="1:11" ht="54" customHeight="1">
      <c r="A3155" s="2" t="s">
        <v>7077</v>
      </c>
      <c r="B3155" s="2" t="s">
        <v>7078</v>
      </c>
      <c r="C3155" s="2" t="s">
        <v>66</v>
      </c>
      <c r="D3155" s="2" t="s">
        <v>67</v>
      </c>
      <c r="E3155" s="5" t="s">
        <v>138</v>
      </c>
      <c r="F3155" s="3" t="s">
        <v>139</v>
      </c>
      <c r="G3155" s="3" t="s">
        <v>21</v>
      </c>
      <c r="H3155" s="2" t="s">
        <v>22</v>
      </c>
      <c r="I3155" s="2" t="s">
        <v>7079</v>
      </c>
      <c r="J3155" s="3" t="str">
        <f>HYPERLINK("https://www.boe.es/gazeta/dias/1834/05/17/pdfs/GMD-1834-86.pdf#page=3","Abrir facsímil")</f>
        <v>Abrir facsímil</v>
      </c>
      <c r="K3155" s="3" t="s">
        <v>24</v>
      </c>
    </row>
    <row r="3156" spans="1:11" ht="54" customHeight="1">
      <c r="A3156" s="2" t="s">
        <v>7080</v>
      </c>
      <c r="B3156" s="2" t="s">
        <v>7081</v>
      </c>
      <c r="C3156" s="2" t="s">
        <v>17</v>
      </c>
      <c r="D3156" s="2" t="s">
        <v>18</v>
      </c>
      <c r="E3156" s="5" t="s">
        <v>73</v>
      </c>
      <c r="F3156" s="3" t="s">
        <v>74</v>
      </c>
      <c r="G3156" s="3" t="s">
        <v>75</v>
      </c>
      <c r="H3156" s="2" t="s">
        <v>22</v>
      </c>
      <c r="I3156" s="2" t="s">
        <v>7082</v>
      </c>
      <c r="J3156" s="3" t="str">
        <f>HYPERLINK("https://www.boe.es/gazeta/dias/1834/11/04/pdfs/GMD-1834-263.pdf#page=4","Abrir facsímil")</f>
        <v>Abrir facsímil</v>
      </c>
      <c r="K3156" s="3" t="s">
        <v>24</v>
      </c>
    </row>
    <row r="3157" spans="1:11" ht="54" customHeight="1">
      <c r="A3157" s="2" t="s">
        <v>7083</v>
      </c>
      <c r="B3157" s="2" t="s">
        <v>7084</v>
      </c>
      <c r="C3157" s="2" t="s">
        <v>17</v>
      </c>
      <c r="D3157" s="2" t="s">
        <v>18</v>
      </c>
      <c r="E3157" s="5" t="s">
        <v>1186</v>
      </c>
      <c r="F3157" s="3" t="s">
        <v>1187</v>
      </c>
      <c r="G3157" s="3" t="s">
        <v>21</v>
      </c>
      <c r="H3157" s="2" t="s">
        <v>22</v>
      </c>
      <c r="I3157" s="2" t="s">
        <v>7085</v>
      </c>
      <c r="J3157" s="3" t="str">
        <f>HYPERLINK("https://www.boe.es/gazeta/dias/1834/08/14/pdfs/GMD-1834-179.pdf#page=3","Abrir facsímil")</f>
        <v>Abrir facsímil</v>
      </c>
      <c r="K3157" s="3" t="s">
        <v>24</v>
      </c>
    </row>
    <row r="3158" spans="1:11" ht="54" customHeight="1">
      <c r="A3158" s="2" t="s">
        <v>7086</v>
      </c>
      <c r="B3158" s="2" t="s">
        <v>7087</v>
      </c>
      <c r="C3158" s="2" t="s">
        <v>66</v>
      </c>
      <c r="D3158" s="2" t="s">
        <v>67</v>
      </c>
      <c r="E3158" s="5" t="s">
        <v>138</v>
      </c>
      <c r="F3158" s="3" t="s">
        <v>139</v>
      </c>
      <c r="G3158" s="3" t="s">
        <v>21</v>
      </c>
      <c r="H3158" s="2" t="s">
        <v>22</v>
      </c>
      <c r="I3158" s="2" t="s">
        <v>7088</v>
      </c>
      <c r="J3158" s="3" t="str">
        <f>HYPERLINK("https://www.boe.es/gazeta/dias/1834/05/17/pdfs/GMD-1834-86.pdf#page=3","Abrir facsímil")</f>
        <v>Abrir facsímil</v>
      </c>
      <c r="K3158" s="3" t="s">
        <v>24</v>
      </c>
    </row>
    <row r="3159" spans="1:11" ht="54" customHeight="1">
      <c r="A3159" s="2" t="s">
        <v>7089</v>
      </c>
      <c r="B3159" s="2" t="s">
        <v>7090</v>
      </c>
      <c r="C3159" s="2" t="s">
        <v>17</v>
      </c>
      <c r="D3159" s="2" t="s">
        <v>40</v>
      </c>
      <c r="E3159" s="5" t="s">
        <v>403</v>
      </c>
      <c r="F3159" s="3" t="s">
        <v>3456</v>
      </c>
      <c r="G3159" s="3" t="s">
        <v>75</v>
      </c>
      <c r="H3159" s="2" t="s">
        <v>22</v>
      </c>
      <c r="I3159" s="2" t="s">
        <v>7091</v>
      </c>
      <c r="J3159" s="3" t="str">
        <f>HYPERLINK("https://www.boe.es/gazeta/dias/1834/09/25/pdfs/GMD-1834-223.pdf#page=4","Abrir facsímil")</f>
        <v>Abrir facsímil</v>
      </c>
      <c r="K3159" s="3" t="s">
        <v>24</v>
      </c>
    </row>
    <row r="3160" spans="1:11" ht="54" customHeight="1">
      <c r="A3160" s="2" t="s">
        <v>7092</v>
      </c>
      <c r="B3160" s="2" t="s">
        <v>7092</v>
      </c>
      <c r="C3160" s="2" t="s">
        <v>46</v>
      </c>
      <c r="D3160" s="2" t="s">
        <v>18</v>
      </c>
      <c r="E3160" s="5" t="s">
        <v>647</v>
      </c>
      <c r="F3160" s="3" t="s">
        <v>648</v>
      </c>
      <c r="G3160" s="3" t="s">
        <v>28</v>
      </c>
      <c r="H3160" s="2" t="s">
        <v>22</v>
      </c>
      <c r="I3160" s="2" t="s">
        <v>7093</v>
      </c>
      <c r="J3160" s="3" t="str">
        <f>HYPERLINK("https://www.boe.es/gazeta/dias/1834/10/21/pdfs/GMD-C-1834-249.pdf#page=5","Abrir facsímil")</f>
        <v>Abrir facsímil</v>
      </c>
      <c r="K3160" s="3" t="s">
        <v>24</v>
      </c>
    </row>
    <row r="3161" spans="1:11" ht="54" customHeight="1">
      <c r="A3161" s="2" t="s">
        <v>7094</v>
      </c>
      <c r="B3161" s="2" t="s">
        <v>7095</v>
      </c>
      <c r="C3161" s="2" t="s">
        <v>17</v>
      </c>
      <c r="D3161" s="2" t="s">
        <v>18</v>
      </c>
      <c r="E3161" s="5" t="s">
        <v>258</v>
      </c>
      <c r="F3161" s="3" t="s">
        <v>1075</v>
      </c>
      <c r="G3161" s="3" t="s">
        <v>34</v>
      </c>
      <c r="H3161" s="2" t="s">
        <v>35</v>
      </c>
      <c r="I3161" s="2" t="s">
        <v>7096</v>
      </c>
      <c r="J3161" s="3" t="str">
        <f>HYPERLINK("https://www.boe.es/gazeta/dias/1834/10/09/pdfs/GMD-1834-237.pdf#page=1","Abrir facsímil")</f>
        <v>Abrir facsímil</v>
      </c>
      <c r="K3161" s="3" t="s">
        <v>37</v>
      </c>
    </row>
    <row r="3162" spans="1:11" ht="54" customHeight="1">
      <c r="A3162" s="2" t="s">
        <v>7097</v>
      </c>
      <c r="B3162" s="2" t="s">
        <v>7098</v>
      </c>
      <c r="C3162" s="2" t="s">
        <v>66</v>
      </c>
      <c r="D3162" s="2" t="s">
        <v>67</v>
      </c>
      <c r="E3162" s="5" t="s">
        <v>658</v>
      </c>
      <c r="F3162" s="3" t="s">
        <v>659</v>
      </c>
      <c r="G3162" s="3" t="s">
        <v>75</v>
      </c>
      <c r="H3162" s="2" t="s">
        <v>22</v>
      </c>
      <c r="I3162" s="2" t="s">
        <v>7099</v>
      </c>
      <c r="J3162" s="3" t="str">
        <f>HYPERLINK("https://www.boe.es/gazeta/dias/1834/05/26/pdfs/GMD-1834-95.pdf#page=4","Abrir facsímil")</f>
        <v>Abrir facsímil</v>
      </c>
      <c r="K3162" s="3" t="s">
        <v>24</v>
      </c>
    </row>
    <row r="3163" spans="1:11" ht="54" customHeight="1">
      <c r="A3163" s="2" t="s">
        <v>7100</v>
      </c>
      <c r="B3163" s="2" t="s">
        <v>7100</v>
      </c>
      <c r="C3163" s="2" t="s">
        <v>17</v>
      </c>
      <c r="D3163" s="2" t="s">
        <v>18</v>
      </c>
      <c r="E3163" s="5" t="s">
        <v>956</v>
      </c>
      <c r="F3163" s="3" t="s">
        <v>1508</v>
      </c>
      <c r="G3163" s="3" t="s">
        <v>86</v>
      </c>
      <c r="H3163" s="2" t="s">
        <v>22</v>
      </c>
      <c r="I3163" s="2" t="s">
        <v>7101</v>
      </c>
      <c r="J3163" s="3" t="str">
        <f>HYPERLINK("https://www.boe.es/gazeta/dias/1834/08/10/pdfs/GMD-1834-175.pdf#page=2","Abrir facsímil")</f>
        <v>Abrir facsímil</v>
      </c>
      <c r="K3163" s="3" t="s">
        <v>24</v>
      </c>
    </row>
    <row r="3164" spans="1:11" ht="54" customHeight="1">
      <c r="A3164" s="2" t="s">
        <v>7102</v>
      </c>
      <c r="B3164" s="2" t="s">
        <v>7103</v>
      </c>
      <c r="C3164" s="2" t="s">
        <v>66</v>
      </c>
      <c r="D3164" s="2" t="s">
        <v>67</v>
      </c>
      <c r="E3164" s="5" t="s">
        <v>339</v>
      </c>
      <c r="F3164" s="3" t="s">
        <v>340</v>
      </c>
      <c r="G3164" s="3" t="s">
        <v>21</v>
      </c>
      <c r="H3164" s="2" t="s">
        <v>22</v>
      </c>
      <c r="I3164" s="2" t="s">
        <v>7104</v>
      </c>
      <c r="J3164" s="3" t="str">
        <f>HYPERLINK("https://www.boe.es/gazeta/dias/1834/05/02/pdfs/GMD-1834-71.pdf#page=3","Abrir facsímil")</f>
        <v>Abrir facsímil</v>
      </c>
      <c r="K3164" s="3" t="s">
        <v>24</v>
      </c>
    </row>
    <row r="3165" spans="1:11" ht="54" customHeight="1">
      <c r="A3165" s="2" t="s">
        <v>7105</v>
      </c>
      <c r="B3165" s="2" t="s">
        <v>7106</v>
      </c>
      <c r="C3165" s="2" t="s">
        <v>17</v>
      </c>
      <c r="D3165" s="2" t="s">
        <v>101</v>
      </c>
      <c r="E3165" s="5" t="s">
        <v>192</v>
      </c>
      <c r="F3165" s="3" t="s">
        <v>193</v>
      </c>
      <c r="G3165" s="3" t="s">
        <v>75</v>
      </c>
      <c r="H3165" s="2" t="s">
        <v>35</v>
      </c>
      <c r="I3165" s="2" t="s">
        <v>7107</v>
      </c>
      <c r="J3165" s="3" t="str">
        <f>HYPERLINK("https://www.boe.es/gazeta/dias/1834/12/31/pdfs/GMD-1834-321.pdf#page=4","Abrir facsímil")</f>
        <v>Abrir facsímil</v>
      </c>
      <c r="K3165" s="3" t="s">
        <v>37</v>
      </c>
    </row>
    <row r="3166" spans="1:11" ht="54" customHeight="1">
      <c r="A3166" s="2" t="s">
        <v>7108</v>
      </c>
      <c r="B3166" s="2" t="s">
        <v>7109</v>
      </c>
      <c r="C3166" s="2" t="s">
        <v>17</v>
      </c>
      <c r="D3166" s="2" t="s">
        <v>18</v>
      </c>
      <c r="E3166" s="5" t="s">
        <v>192</v>
      </c>
      <c r="F3166" s="3" t="s">
        <v>193</v>
      </c>
      <c r="G3166" s="3" t="s">
        <v>75</v>
      </c>
      <c r="H3166" s="2" t="s">
        <v>22</v>
      </c>
      <c r="I3166" s="2" t="s">
        <v>7110</v>
      </c>
      <c r="J3166" s="3" t="str">
        <f>HYPERLINK("https://www.boe.es/gazeta/dias/1834/12/31/pdfs/GMD-1834-321.pdf#page=4","Abrir facsímil")</f>
        <v>Abrir facsímil</v>
      </c>
      <c r="K3166" s="3" t="s">
        <v>24</v>
      </c>
    </row>
    <row r="3167" spans="1:11" ht="54" customHeight="1">
      <c r="A3167" s="2" t="s">
        <v>7111</v>
      </c>
      <c r="B3167" s="2" t="s">
        <v>7112</v>
      </c>
      <c r="C3167" s="2" t="s">
        <v>17</v>
      </c>
      <c r="D3167" s="2" t="s">
        <v>18</v>
      </c>
      <c r="E3167" s="5" t="s">
        <v>174</v>
      </c>
      <c r="F3167" s="3" t="s">
        <v>175</v>
      </c>
      <c r="G3167" s="3" t="s">
        <v>75</v>
      </c>
      <c r="H3167" s="2" t="s">
        <v>35</v>
      </c>
      <c r="I3167" s="2" t="s">
        <v>7113</v>
      </c>
      <c r="J3167" s="3" t="str">
        <f>HYPERLINK("https://www.boe.es/gazeta/dias/1834/03/27/pdfs/GMD-1834-38.pdf#page=4","Abrir facsímil")</f>
        <v>Abrir facsímil</v>
      </c>
      <c r="K3167" s="3" t="s">
        <v>37</v>
      </c>
    </row>
    <row r="3168" spans="1:11" ht="54" customHeight="1">
      <c r="A3168" s="2" t="s">
        <v>7114</v>
      </c>
      <c r="B3168" s="2" t="s">
        <v>7115</v>
      </c>
      <c r="C3168" s="2" t="s">
        <v>17</v>
      </c>
      <c r="D3168" s="2" t="s">
        <v>18</v>
      </c>
      <c r="E3168" s="5" t="s">
        <v>174</v>
      </c>
      <c r="F3168" s="3" t="s">
        <v>175</v>
      </c>
      <c r="G3168" s="3" t="s">
        <v>75</v>
      </c>
      <c r="H3168" s="2" t="s">
        <v>22</v>
      </c>
      <c r="I3168" s="2" t="s">
        <v>7116</v>
      </c>
      <c r="J3168" s="3" t="str">
        <f>HYPERLINK("https://www.boe.es/gazeta/dias/1834/03/27/pdfs/GMD-1834-38.pdf#page=4","Abrir facsímil")</f>
        <v>Abrir facsímil</v>
      </c>
      <c r="K3168" s="3" t="s">
        <v>24</v>
      </c>
    </row>
    <row r="3169" spans="1:11" ht="54" customHeight="1">
      <c r="A3169" s="2" t="s">
        <v>7117</v>
      </c>
      <c r="B3169" s="2" t="s">
        <v>7118</v>
      </c>
      <c r="C3169" s="2" t="s">
        <v>17</v>
      </c>
      <c r="D3169" s="2" t="s">
        <v>18</v>
      </c>
      <c r="E3169" s="5" t="s">
        <v>262</v>
      </c>
      <c r="F3169" s="3" t="s">
        <v>263</v>
      </c>
      <c r="G3169" s="3" t="s">
        <v>75</v>
      </c>
      <c r="H3169" s="2" t="s">
        <v>22</v>
      </c>
      <c r="I3169" s="2" t="s">
        <v>7119</v>
      </c>
      <c r="J3169" s="3" t="str">
        <f>HYPERLINK("https://www.boe.es/gazeta/dias/1834/10/18/pdfs/GMD-C-1834-246.pdf#page=4","Abrir facsímil")</f>
        <v>Abrir facsímil</v>
      </c>
      <c r="K3169" s="3" t="s">
        <v>24</v>
      </c>
    </row>
    <row r="3170" spans="1:11" ht="54" customHeight="1">
      <c r="A3170" s="2" t="s">
        <v>7120</v>
      </c>
      <c r="B3170" s="2" t="s">
        <v>7121</v>
      </c>
      <c r="C3170" s="2" t="s">
        <v>66</v>
      </c>
      <c r="D3170" s="2" t="s">
        <v>67</v>
      </c>
      <c r="E3170" s="5" t="s">
        <v>1572</v>
      </c>
      <c r="F3170" s="3" t="s">
        <v>1573</v>
      </c>
      <c r="G3170" s="3" t="s">
        <v>75</v>
      </c>
      <c r="H3170" s="2" t="s">
        <v>22</v>
      </c>
      <c r="I3170" s="2" t="s">
        <v>7122</v>
      </c>
      <c r="J3170" s="3" t="str">
        <f>HYPERLINK("https://www.boe.es/gazeta/dias/1834/03/20/pdfs/GMD-1834-35.pdf#page=4","Abrir facsímil")</f>
        <v>Abrir facsímil</v>
      </c>
      <c r="K3170" s="3" t="s">
        <v>24</v>
      </c>
    </row>
    <row r="3171" spans="1:11" ht="54" customHeight="1">
      <c r="A3171" s="2" t="s">
        <v>7123</v>
      </c>
      <c r="B3171" s="2" t="s">
        <v>7123</v>
      </c>
      <c r="C3171" s="2" t="s">
        <v>90</v>
      </c>
      <c r="D3171" s="2" t="s">
        <v>18</v>
      </c>
      <c r="E3171" s="5" t="s">
        <v>299</v>
      </c>
      <c r="F3171" s="3" t="s">
        <v>300</v>
      </c>
      <c r="G3171" s="3" t="s">
        <v>75</v>
      </c>
      <c r="H3171" s="2" t="s">
        <v>22</v>
      </c>
      <c r="I3171" s="2" t="s">
        <v>7124</v>
      </c>
      <c r="J3171" s="3" t="str">
        <f>HYPERLINK("https://www.boe.es/gazeta/dias/1834/12/12/pdfs/GMD-1834-301.pdf#page=4","Abrir facsímil")</f>
        <v>Abrir facsímil</v>
      </c>
      <c r="K3171" s="3" t="s">
        <v>24</v>
      </c>
    </row>
    <row r="3172" spans="1:11" ht="54" customHeight="1">
      <c r="A3172" s="2" t="s">
        <v>7125</v>
      </c>
      <c r="B3172" s="2" t="s">
        <v>7126</v>
      </c>
      <c r="C3172" s="2" t="s">
        <v>66</v>
      </c>
      <c r="D3172" s="2" t="s">
        <v>67</v>
      </c>
      <c r="E3172" s="5" t="s">
        <v>299</v>
      </c>
      <c r="F3172" s="3" t="s">
        <v>300</v>
      </c>
      <c r="G3172" s="3" t="s">
        <v>75</v>
      </c>
      <c r="H3172" s="2" t="s">
        <v>35</v>
      </c>
      <c r="I3172" s="2" t="s">
        <v>7127</v>
      </c>
      <c r="J3172" s="3" t="str">
        <f>HYPERLINK("https://www.boe.es/gazeta/dias/1834/12/12/pdfs/GMD-1834-301.pdf#page=4","Abrir facsímil")</f>
        <v>Abrir facsímil</v>
      </c>
      <c r="K3172" s="3" t="s">
        <v>37</v>
      </c>
    </row>
    <row r="3173" spans="1:11" ht="54" customHeight="1">
      <c r="A3173" s="2" t="s">
        <v>7128</v>
      </c>
      <c r="B3173" s="2" t="s">
        <v>7129</v>
      </c>
      <c r="C3173" s="2" t="s">
        <v>66</v>
      </c>
      <c r="D3173" s="2" t="s">
        <v>67</v>
      </c>
      <c r="E3173" s="5" t="s">
        <v>299</v>
      </c>
      <c r="F3173" s="3" t="s">
        <v>300</v>
      </c>
      <c r="G3173" s="3" t="s">
        <v>75</v>
      </c>
      <c r="H3173" s="2" t="s">
        <v>22</v>
      </c>
      <c r="I3173" s="2" t="s">
        <v>7130</v>
      </c>
      <c r="J3173" s="3" t="str">
        <f>HYPERLINK("https://www.boe.es/gazeta/dias/1834/12/12/pdfs/GMD-1834-301.pdf#page=4","Abrir facsímil")</f>
        <v>Abrir facsímil</v>
      </c>
      <c r="K3173" s="3" t="s">
        <v>24</v>
      </c>
    </row>
    <row r="3174" spans="1:11" ht="54" customHeight="1">
      <c r="A3174" s="2" t="s">
        <v>7131</v>
      </c>
      <c r="B3174" s="2" t="s">
        <v>7131</v>
      </c>
      <c r="C3174" s="2" t="s">
        <v>17</v>
      </c>
      <c r="D3174" s="2" t="s">
        <v>18</v>
      </c>
      <c r="E3174" s="5" t="s">
        <v>576</v>
      </c>
      <c r="F3174" s="3" t="s">
        <v>5888</v>
      </c>
      <c r="G3174" s="3" t="s">
        <v>28</v>
      </c>
      <c r="H3174" s="2" t="s">
        <v>22</v>
      </c>
      <c r="I3174" s="2" t="s">
        <v>7132</v>
      </c>
      <c r="J3174" s="3" t="str">
        <f>HYPERLINK("https://www.boe.es/gazeta/dias/1834/09/23/pdfs/GMD-C-1834-221.pdf#page=5","Abrir facsímil")</f>
        <v>Abrir facsímil</v>
      </c>
      <c r="K3174" s="3" t="s">
        <v>24</v>
      </c>
    </row>
    <row r="3175" spans="1:11" ht="54" customHeight="1">
      <c r="A3175" s="2" t="s">
        <v>7133</v>
      </c>
      <c r="B3175" s="2" t="s">
        <v>7134</v>
      </c>
      <c r="C3175" s="2" t="s">
        <v>90</v>
      </c>
      <c r="D3175" s="2" t="s">
        <v>18</v>
      </c>
      <c r="E3175" s="5" t="s">
        <v>258</v>
      </c>
      <c r="F3175" s="3" t="s">
        <v>259</v>
      </c>
      <c r="G3175" s="3" t="s">
        <v>75</v>
      </c>
      <c r="H3175" s="2" t="s">
        <v>22</v>
      </c>
      <c r="I3175" s="2" t="s">
        <v>7135</v>
      </c>
      <c r="J3175" s="3" t="str">
        <f>HYPERLINK("https://www.boe.es/gazeta/dias/1834/10/09/pdfs/GMD-C-1834-237.pdf#page=4","Abrir facsímil")</f>
        <v>Abrir facsímil</v>
      </c>
      <c r="K3175" s="3" t="s">
        <v>24</v>
      </c>
    </row>
    <row r="3176" spans="1:11" ht="54" customHeight="1">
      <c r="A3176" s="2" t="s">
        <v>7136</v>
      </c>
      <c r="B3176" s="2" t="s">
        <v>7137</v>
      </c>
      <c r="C3176" s="2" t="s">
        <v>17</v>
      </c>
      <c r="D3176" s="2" t="s">
        <v>18</v>
      </c>
      <c r="E3176" s="5" t="s">
        <v>153</v>
      </c>
      <c r="F3176" s="3" t="s">
        <v>154</v>
      </c>
      <c r="G3176" s="3" t="s">
        <v>86</v>
      </c>
      <c r="H3176" s="2" t="s">
        <v>22</v>
      </c>
      <c r="I3176" s="2" t="s">
        <v>7138</v>
      </c>
      <c r="J3176" s="3" t="str">
        <f>HYPERLINK("https://www.boe.es/gazeta/dias/1834/12/30/pdfs/GMD-C-1834-320.pdf#page=2","Abrir facsímil")</f>
        <v>Abrir facsímil</v>
      </c>
      <c r="K3176" s="3" t="s">
        <v>24</v>
      </c>
    </row>
    <row r="3177" spans="1:11" ht="54" customHeight="1">
      <c r="A3177" s="2" t="s">
        <v>7139</v>
      </c>
      <c r="B3177" s="2" t="s">
        <v>7140</v>
      </c>
      <c r="C3177" s="2" t="s">
        <v>17</v>
      </c>
      <c r="D3177" s="2" t="s">
        <v>18</v>
      </c>
      <c r="E3177" s="5" t="s">
        <v>128</v>
      </c>
      <c r="F3177" s="3" t="s">
        <v>1068</v>
      </c>
      <c r="G3177" s="3" t="s">
        <v>75</v>
      </c>
      <c r="H3177" s="2" t="s">
        <v>35</v>
      </c>
      <c r="I3177" s="2" t="s">
        <v>7141</v>
      </c>
      <c r="J3177" s="3" t="str">
        <f>HYPERLINK("https://www.boe.es/gazeta/dias/1834/12/24/pdfs/GMD-1834-314.pdf#page=4","Abrir facsímil")</f>
        <v>Abrir facsímil</v>
      </c>
      <c r="K3177" s="3" t="s">
        <v>37</v>
      </c>
    </row>
    <row r="3178" spans="1:11" ht="54" customHeight="1">
      <c r="A3178" s="2" t="s">
        <v>7142</v>
      </c>
      <c r="B3178" s="2" t="s">
        <v>7143</v>
      </c>
      <c r="C3178" s="2" t="s">
        <v>17</v>
      </c>
      <c r="D3178" s="2" t="s">
        <v>18</v>
      </c>
      <c r="E3178" s="5" t="s">
        <v>128</v>
      </c>
      <c r="F3178" s="3" t="s">
        <v>1068</v>
      </c>
      <c r="G3178" s="3" t="s">
        <v>75</v>
      </c>
      <c r="H3178" s="2" t="s">
        <v>22</v>
      </c>
      <c r="I3178" s="2" t="s">
        <v>7144</v>
      </c>
      <c r="J3178" s="3" t="str">
        <f>HYPERLINK("https://www.boe.es/gazeta/dias/1834/12/24/pdfs/GMD-1834-314.pdf#page=4","Abrir facsímil")</f>
        <v>Abrir facsímil</v>
      </c>
      <c r="K3178" s="3" t="s">
        <v>24</v>
      </c>
    </row>
    <row r="3179" spans="1:11" ht="54" customHeight="1">
      <c r="A3179" s="2" t="s">
        <v>7145</v>
      </c>
      <c r="B3179" s="2" t="s">
        <v>7146</v>
      </c>
      <c r="C3179" s="2" t="s">
        <v>17</v>
      </c>
      <c r="D3179" s="2" t="s">
        <v>18</v>
      </c>
      <c r="E3179" s="5" t="s">
        <v>339</v>
      </c>
      <c r="F3179" s="3" t="s">
        <v>340</v>
      </c>
      <c r="G3179" s="3" t="s">
        <v>86</v>
      </c>
      <c r="H3179" s="2" t="s">
        <v>35</v>
      </c>
      <c r="I3179" s="2" t="s">
        <v>7147</v>
      </c>
      <c r="J3179" s="3" t="str">
        <f>HYPERLINK("https://www.boe.es/gazeta/dias/1834/05/02/pdfs/GMD-1834-71.pdf#page=2","Abrir facsímil")</f>
        <v>Abrir facsímil</v>
      </c>
      <c r="K3179" s="3" t="s">
        <v>37</v>
      </c>
    </row>
    <row r="3180" spans="1:11" ht="54" customHeight="1">
      <c r="A3180" s="2" t="s">
        <v>7145</v>
      </c>
      <c r="B3180" s="2" t="s">
        <v>7146</v>
      </c>
      <c r="C3180" s="2" t="s">
        <v>17</v>
      </c>
      <c r="D3180" s="2" t="s">
        <v>101</v>
      </c>
      <c r="E3180" s="5" t="s">
        <v>777</v>
      </c>
      <c r="F3180" s="3" t="s">
        <v>778</v>
      </c>
      <c r="G3180" s="3" t="s">
        <v>75</v>
      </c>
      <c r="H3180" s="2" t="s">
        <v>35</v>
      </c>
      <c r="I3180" s="2" t="s">
        <v>7148</v>
      </c>
      <c r="J3180" s="3" t="str">
        <f>HYPERLINK("https://www.boe.es/gazeta/dias/1834/10/29/pdfs/GMD-1834-257.pdf#page=4","Abrir facsímil")</f>
        <v>Abrir facsímil</v>
      </c>
      <c r="K3180" s="3" t="s">
        <v>37</v>
      </c>
    </row>
    <row r="3181" spans="1:11" ht="54" customHeight="1">
      <c r="A3181" s="2" t="s">
        <v>7149</v>
      </c>
      <c r="B3181" s="2" t="s">
        <v>7150</v>
      </c>
      <c r="C3181" s="2" t="s">
        <v>17</v>
      </c>
      <c r="D3181" s="2" t="s">
        <v>18</v>
      </c>
      <c r="E3181" s="5" t="s">
        <v>339</v>
      </c>
      <c r="F3181" s="3" t="s">
        <v>340</v>
      </c>
      <c r="G3181" s="3" t="s">
        <v>86</v>
      </c>
      <c r="H3181" s="2" t="s">
        <v>22</v>
      </c>
      <c r="I3181" s="2" t="s">
        <v>7151</v>
      </c>
      <c r="J3181" s="3" t="str">
        <f>HYPERLINK("https://www.boe.es/gazeta/dias/1834/05/02/pdfs/GMD-1834-71.pdf#page=2","Abrir facsímil")</f>
        <v>Abrir facsímil</v>
      </c>
      <c r="K3181" s="3" t="s">
        <v>24</v>
      </c>
    </row>
    <row r="3182" spans="1:11" ht="54" customHeight="1">
      <c r="A3182" s="2" t="s">
        <v>7149</v>
      </c>
      <c r="B3182" s="2" t="s">
        <v>7150</v>
      </c>
      <c r="C3182" s="2" t="s">
        <v>17</v>
      </c>
      <c r="D3182" s="2" t="s">
        <v>101</v>
      </c>
      <c r="E3182" s="5" t="s">
        <v>777</v>
      </c>
      <c r="F3182" s="3" t="s">
        <v>778</v>
      </c>
      <c r="G3182" s="3" t="s">
        <v>75</v>
      </c>
      <c r="H3182" s="2" t="s">
        <v>22</v>
      </c>
      <c r="I3182" s="2" t="s">
        <v>7152</v>
      </c>
      <c r="J3182" s="3" t="str">
        <f>HYPERLINK("https://www.boe.es/gazeta/dias/1834/10/29/pdfs/GMD-1834-257.pdf#page=4","Abrir facsímil")</f>
        <v>Abrir facsímil</v>
      </c>
      <c r="K3182" s="3" t="s">
        <v>24</v>
      </c>
    </row>
    <row r="3183" spans="1:11" ht="54" customHeight="1">
      <c r="A3183" s="2" t="s">
        <v>7153</v>
      </c>
      <c r="B3183" s="2" t="s">
        <v>7153</v>
      </c>
      <c r="C3183" s="2" t="s">
        <v>17</v>
      </c>
      <c r="D3183" s="2" t="s">
        <v>18</v>
      </c>
      <c r="E3183" s="5" t="s">
        <v>1084</v>
      </c>
      <c r="F3183" s="3" t="s">
        <v>1085</v>
      </c>
      <c r="G3183" s="3" t="s">
        <v>86</v>
      </c>
      <c r="H3183" s="2" t="s">
        <v>22</v>
      </c>
      <c r="I3183" s="2" t="s">
        <v>7154</v>
      </c>
      <c r="J3183" s="3" t="str">
        <f>HYPERLINK("https://www.boe.es/gazeta/dias/1834/05/01/pdfs/GMD-1834-70.pdf#page=2","Abrir facsímil")</f>
        <v>Abrir facsímil</v>
      </c>
      <c r="K3183" s="3" t="s">
        <v>24</v>
      </c>
    </row>
    <row r="3184" spans="1:11" ht="54" customHeight="1">
      <c r="A3184" s="2" t="s">
        <v>7153</v>
      </c>
      <c r="B3184" s="2" t="s">
        <v>7153</v>
      </c>
      <c r="C3184" s="2" t="s">
        <v>17</v>
      </c>
      <c r="D3184" s="2" t="s">
        <v>55</v>
      </c>
      <c r="E3184" s="5" t="s">
        <v>3248</v>
      </c>
      <c r="F3184" s="3" t="s">
        <v>3249</v>
      </c>
      <c r="G3184" s="3" t="s">
        <v>21</v>
      </c>
      <c r="H3184" s="2" t="s">
        <v>22</v>
      </c>
      <c r="I3184" s="2" t="s">
        <v>7155</v>
      </c>
      <c r="J3184" s="3" t="str">
        <f>HYPERLINK("https://www.boe.es/gazeta/dias/1834/09/20/pdfs/GMD-1834-218.pdf#page=3","Abrir facsímil")</f>
        <v>Abrir facsímil</v>
      </c>
      <c r="K3184" s="3" t="s">
        <v>24</v>
      </c>
    </row>
    <row r="3185" spans="1:11" ht="54" customHeight="1">
      <c r="A3185" s="2" t="s">
        <v>7156</v>
      </c>
      <c r="B3185" s="2" t="s">
        <v>7156</v>
      </c>
      <c r="C3185" s="2" t="s">
        <v>122</v>
      </c>
      <c r="D3185" s="2" t="s">
        <v>18</v>
      </c>
      <c r="E3185" s="5" t="s">
        <v>535</v>
      </c>
      <c r="F3185" s="3" t="s">
        <v>536</v>
      </c>
      <c r="G3185" s="3" t="s">
        <v>86</v>
      </c>
      <c r="H3185" s="2" t="s">
        <v>22</v>
      </c>
      <c r="I3185" s="2" t="s">
        <v>7157</v>
      </c>
      <c r="J3185" s="3" t="str">
        <f>HYPERLINK("https://www.boe.es/gazeta/dias/1834/05/21/pdfs/GMD-1834-90.pdf#page=2","Abrir facsímil")</f>
        <v>Abrir facsímil</v>
      </c>
      <c r="K3185" s="3" t="s">
        <v>24</v>
      </c>
    </row>
    <row r="3186" spans="1:11" ht="54" customHeight="1">
      <c r="A3186" s="2" t="s">
        <v>7158</v>
      </c>
      <c r="B3186" s="2" t="s">
        <v>7158</v>
      </c>
      <c r="C3186" s="2" t="s">
        <v>17</v>
      </c>
      <c r="D3186" s="2" t="s">
        <v>55</v>
      </c>
      <c r="E3186" s="5" t="s">
        <v>576</v>
      </c>
      <c r="F3186" s="3" t="s">
        <v>577</v>
      </c>
      <c r="G3186" s="3" t="s">
        <v>34</v>
      </c>
      <c r="H3186" s="2" t="s">
        <v>22</v>
      </c>
      <c r="I3186" s="2" t="s">
        <v>7159</v>
      </c>
      <c r="J3186" s="3" t="str">
        <f>HYPERLINK("https://www.boe.es/gazeta/dias/1834/09/23/pdfs/GMD-1834-221.pdf#page=1","Abrir facsímil")</f>
        <v>Abrir facsímil</v>
      </c>
      <c r="K3186" s="3" t="s">
        <v>24</v>
      </c>
    </row>
    <row r="3187" spans="1:11" ht="54" customHeight="1">
      <c r="A3187" s="2" t="s">
        <v>7160</v>
      </c>
      <c r="B3187" s="2" t="s">
        <v>7160</v>
      </c>
      <c r="C3187" s="2" t="s">
        <v>17</v>
      </c>
      <c r="D3187" s="2" t="s">
        <v>18</v>
      </c>
      <c r="E3187" s="5" t="s">
        <v>1318</v>
      </c>
      <c r="F3187" s="3" t="s">
        <v>1319</v>
      </c>
      <c r="G3187" s="3" t="s">
        <v>34</v>
      </c>
      <c r="H3187" s="2" t="s">
        <v>22</v>
      </c>
      <c r="I3187" s="2" t="s">
        <v>7161</v>
      </c>
      <c r="J3187" s="3" t="str">
        <f>HYPERLINK("https://www.boe.es/gazeta/dias/1834/05/10/pdfs/GMD-1834-79.pdf#page=1","Abrir facsímil")</f>
        <v>Abrir facsímil</v>
      </c>
      <c r="K3187" s="3" t="s">
        <v>24</v>
      </c>
    </row>
    <row r="3188" spans="1:11" ht="54" customHeight="1">
      <c r="A3188" s="2" t="s">
        <v>7160</v>
      </c>
      <c r="B3188" s="2" t="s">
        <v>7160</v>
      </c>
      <c r="C3188" s="2" t="s">
        <v>17</v>
      </c>
      <c r="D3188" s="2" t="s">
        <v>18</v>
      </c>
      <c r="E3188" s="5" t="s">
        <v>1234</v>
      </c>
      <c r="F3188" s="3" t="s">
        <v>1455</v>
      </c>
      <c r="G3188" s="3" t="s">
        <v>34</v>
      </c>
      <c r="H3188" s="2" t="s">
        <v>22</v>
      </c>
      <c r="I3188" s="2" t="s">
        <v>7162</v>
      </c>
      <c r="J3188" s="3" t="str">
        <f>HYPERLINK("https://www.boe.es/gazeta/dias/1834/05/15/pdfs/GMD-1834-84.pdf#page=1","Abrir facsímil")</f>
        <v>Abrir facsímil</v>
      </c>
      <c r="K3188" s="3" t="s">
        <v>24</v>
      </c>
    </row>
    <row r="3189" spans="1:11" ht="54" customHeight="1">
      <c r="A3189" s="2" t="s">
        <v>7160</v>
      </c>
      <c r="B3189" s="2" t="s">
        <v>7160</v>
      </c>
      <c r="C3189" s="2" t="s">
        <v>17</v>
      </c>
      <c r="D3189" s="2" t="s">
        <v>40</v>
      </c>
      <c r="E3189" s="5" t="s">
        <v>1365</v>
      </c>
      <c r="F3189" s="3" t="s">
        <v>1366</v>
      </c>
      <c r="G3189" s="3" t="s">
        <v>34</v>
      </c>
      <c r="H3189" s="2" t="s">
        <v>22</v>
      </c>
      <c r="I3189" s="2" t="s">
        <v>7163</v>
      </c>
      <c r="J3189" s="3" t="str">
        <f>HYPERLINK("https://www.boe.es/gazeta/dias/1834/06/20/pdfs/GMD-1834-123.pdf#page=1","Abrir facsímil")</f>
        <v>Abrir facsímil</v>
      </c>
      <c r="K3189" s="3" t="s">
        <v>24</v>
      </c>
    </row>
    <row r="3190" spans="1:11" ht="54" customHeight="1">
      <c r="A3190" s="2" t="s">
        <v>7164</v>
      </c>
      <c r="B3190" s="2" t="s">
        <v>7165</v>
      </c>
      <c r="C3190" s="2" t="s">
        <v>122</v>
      </c>
      <c r="D3190" s="2" t="s">
        <v>18</v>
      </c>
      <c r="E3190" s="5" t="s">
        <v>2729</v>
      </c>
      <c r="F3190" s="3" t="s">
        <v>2730</v>
      </c>
      <c r="G3190" s="3" t="s">
        <v>34</v>
      </c>
      <c r="H3190" s="2" t="s">
        <v>22</v>
      </c>
      <c r="I3190" s="2" t="s">
        <v>7166</v>
      </c>
      <c r="J3190" s="3" t="str">
        <f>HYPERLINK("https://www.boe.es/gazeta/dias/1834/07/02/pdfs/GMD-1834-135.pdf#page=1","Abrir facsímil")</f>
        <v>Abrir facsímil</v>
      </c>
      <c r="K3190" s="3" t="s">
        <v>24</v>
      </c>
    </row>
    <row r="3191" spans="1:11" ht="54" customHeight="1">
      <c r="A3191" s="2" t="s">
        <v>7167</v>
      </c>
      <c r="B3191" s="2" t="s">
        <v>7168</v>
      </c>
      <c r="C3191" s="2" t="s">
        <v>66</v>
      </c>
      <c r="D3191" s="2" t="s">
        <v>67</v>
      </c>
      <c r="E3191" s="5" t="s">
        <v>61</v>
      </c>
      <c r="F3191" s="3" t="s">
        <v>205</v>
      </c>
      <c r="G3191" s="3" t="s">
        <v>21</v>
      </c>
      <c r="H3191" s="2" t="s">
        <v>22</v>
      </c>
      <c r="I3191" s="2" t="s">
        <v>7169</v>
      </c>
      <c r="J3191" s="3" t="str">
        <f>HYPERLINK("https://www.boe.es/gazeta/dias/1834/06/08/pdfs/GMD-1834-110.pdf#page=3","Abrir facsímil")</f>
        <v>Abrir facsímil</v>
      </c>
      <c r="K3191" s="3" t="s">
        <v>24</v>
      </c>
    </row>
    <row r="3192" spans="1:11" ht="54" customHeight="1">
      <c r="A3192" s="2" t="s">
        <v>7170</v>
      </c>
      <c r="B3192" s="2" t="s">
        <v>7171</v>
      </c>
      <c r="C3192" s="2" t="s">
        <v>17</v>
      </c>
      <c r="D3192" s="2" t="s">
        <v>18</v>
      </c>
      <c r="E3192" s="5" t="s">
        <v>919</v>
      </c>
      <c r="F3192" s="3" t="s">
        <v>920</v>
      </c>
      <c r="G3192" s="3" t="s">
        <v>34</v>
      </c>
      <c r="H3192" s="2" t="s">
        <v>22</v>
      </c>
      <c r="I3192" s="2" t="s">
        <v>7172</v>
      </c>
      <c r="J3192" s="3" t="str">
        <f>HYPERLINK("https://www.boe.es/gazeta/dias/1834/06/24/pdfs/GMD-1834-127.pdf#page=1","Abrir facsímil")</f>
        <v>Abrir facsímil</v>
      </c>
      <c r="K3192" s="3" t="s">
        <v>24</v>
      </c>
    </row>
    <row r="3193" spans="1:11" ht="54" customHeight="1">
      <c r="A3193" s="2" t="s">
        <v>7173</v>
      </c>
      <c r="B3193" s="2" t="s">
        <v>7174</v>
      </c>
      <c r="C3193" s="2" t="s">
        <v>17</v>
      </c>
      <c r="D3193" s="2" t="s">
        <v>18</v>
      </c>
      <c r="E3193" s="5" t="s">
        <v>2287</v>
      </c>
      <c r="F3193" s="3" t="s">
        <v>2288</v>
      </c>
      <c r="G3193" s="3" t="s">
        <v>28</v>
      </c>
      <c r="H3193" s="2" t="s">
        <v>22</v>
      </c>
      <c r="I3193" s="2" t="s">
        <v>7175</v>
      </c>
      <c r="J3193" s="3" t="str">
        <f>HYPERLINK("https://www.boe.es/gazeta/dias/1834/12/18/pdfs/GMD-C-1834-308.pdf#page=5","Abrir facsímil")</f>
        <v>Abrir facsímil</v>
      </c>
      <c r="K3193" s="3" t="s">
        <v>24</v>
      </c>
    </row>
    <row r="3194" spans="1:11" ht="54" customHeight="1">
      <c r="A3194" s="2" t="s">
        <v>7176</v>
      </c>
      <c r="B3194" s="2" t="s">
        <v>7177</v>
      </c>
      <c r="C3194" s="2" t="s">
        <v>17</v>
      </c>
      <c r="D3194" s="2" t="s">
        <v>18</v>
      </c>
      <c r="E3194" s="5" t="s">
        <v>2278</v>
      </c>
      <c r="F3194" s="3" t="s">
        <v>2279</v>
      </c>
      <c r="G3194" s="3" t="s">
        <v>21</v>
      </c>
      <c r="H3194" s="2" t="s">
        <v>22</v>
      </c>
      <c r="I3194" s="2" t="s">
        <v>7178</v>
      </c>
      <c r="J3194" s="3" t="str">
        <f>HYPERLINK("https://www.boe.es/gazeta/dias/1834/12/17/pdfs/GMD-C-1834-306.pdf#page=3","Abrir facsímil")</f>
        <v>Abrir facsímil</v>
      </c>
      <c r="K3194" s="3" t="s">
        <v>24</v>
      </c>
    </row>
    <row r="3195" spans="1:11" ht="54" customHeight="1">
      <c r="A3195" s="2" t="s">
        <v>7179</v>
      </c>
      <c r="B3195" s="2" t="s">
        <v>7180</v>
      </c>
      <c r="C3195" s="2" t="s">
        <v>17</v>
      </c>
      <c r="D3195" s="2" t="s">
        <v>18</v>
      </c>
      <c r="E3195" s="5" t="s">
        <v>707</v>
      </c>
      <c r="F3195" s="3" t="s">
        <v>708</v>
      </c>
      <c r="G3195" s="3" t="s">
        <v>176</v>
      </c>
      <c r="H3195" s="2" t="s">
        <v>22</v>
      </c>
      <c r="I3195" s="2" t="s">
        <v>7181</v>
      </c>
      <c r="J3195" s="3" t="str">
        <f>HYPERLINK("https://www.boe.es/gazeta/dias/1834/11/25/pdfs/GMD-C-1834-284.pdf#page=6","Abrir facsímil")</f>
        <v>Abrir facsímil</v>
      </c>
      <c r="K3195" s="3" t="s">
        <v>24</v>
      </c>
    </row>
    <row r="3196" spans="1:11" ht="54" customHeight="1">
      <c r="A3196" s="2" t="s">
        <v>7182</v>
      </c>
      <c r="B3196" s="2" t="s">
        <v>7183</v>
      </c>
      <c r="C3196" s="2" t="s">
        <v>17</v>
      </c>
      <c r="D3196" s="2" t="s">
        <v>18</v>
      </c>
      <c r="E3196" s="5" t="s">
        <v>2087</v>
      </c>
      <c r="F3196" s="3" t="s">
        <v>2267</v>
      </c>
      <c r="G3196" s="3" t="s">
        <v>1343</v>
      </c>
      <c r="H3196" s="2" t="s">
        <v>22</v>
      </c>
      <c r="I3196" s="2" t="s">
        <v>7184</v>
      </c>
      <c r="J3196" s="3" t="str">
        <f>HYPERLINK("https://www.boe.es/gazeta/dias/1834/12/14/pdfs/GMD-C-1834-303.pdf#page=9","Abrir facsímil")</f>
        <v>Abrir facsímil</v>
      </c>
      <c r="K3196" s="3" t="s">
        <v>24</v>
      </c>
    </row>
    <row r="3197" spans="1:11" ht="54" customHeight="1">
      <c r="A3197" s="2" t="s">
        <v>7185</v>
      </c>
      <c r="B3197" s="2" t="s">
        <v>7186</v>
      </c>
      <c r="C3197" s="2" t="s">
        <v>66</v>
      </c>
      <c r="D3197" s="2" t="s">
        <v>67</v>
      </c>
      <c r="E3197" s="5" t="s">
        <v>153</v>
      </c>
      <c r="F3197" s="3" t="s">
        <v>154</v>
      </c>
      <c r="G3197" s="3" t="s">
        <v>86</v>
      </c>
      <c r="H3197" s="2" t="s">
        <v>22</v>
      </c>
      <c r="I3197" s="2" t="s">
        <v>7187</v>
      </c>
      <c r="J3197" s="3" t="str">
        <f>HYPERLINK("https://www.boe.es/gazeta/dias/1834/12/30/pdfs/GMD-C-1834-320.pdf#page=2","Abrir facsímil")</f>
        <v>Abrir facsímil</v>
      </c>
      <c r="K3197" s="3" t="s">
        <v>24</v>
      </c>
    </row>
    <row r="3198" spans="1:11" ht="54" customHeight="1">
      <c r="A3198" s="2" t="s">
        <v>7188</v>
      </c>
      <c r="B3198" s="2" t="s">
        <v>7189</v>
      </c>
      <c r="C3198" s="2" t="s">
        <v>17</v>
      </c>
      <c r="D3198" s="2" t="s">
        <v>18</v>
      </c>
      <c r="E3198" s="5" t="s">
        <v>2278</v>
      </c>
      <c r="F3198" s="3" t="s">
        <v>2279</v>
      </c>
      <c r="G3198" s="3" t="s">
        <v>21</v>
      </c>
      <c r="H3198" s="2" t="s">
        <v>22</v>
      </c>
      <c r="I3198" s="2" t="s">
        <v>7190</v>
      </c>
      <c r="J3198" s="3" t="str">
        <f>HYPERLINK("https://www.boe.es/gazeta/dias/1834/12/17/pdfs/GMD-C-1834-306.pdf#page=3","Abrir facsímil")</f>
        <v>Abrir facsímil</v>
      </c>
      <c r="K3198" s="3" t="s">
        <v>24</v>
      </c>
    </row>
    <row r="3199" spans="1:11" ht="54" customHeight="1">
      <c r="A3199" s="2" t="s">
        <v>7191</v>
      </c>
      <c r="B3199" s="2" t="s">
        <v>7192</v>
      </c>
      <c r="C3199" s="2" t="s">
        <v>17</v>
      </c>
      <c r="D3199" s="2" t="s">
        <v>18</v>
      </c>
      <c r="E3199" s="5" t="s">
        <v>438</v>
      </c>
      <c r="F3199" s="3" t="s">
        <v>528</v>
      </c>
      <c r="G3199" s="3" t="s">
        <v>75</v>
      </c>
      <c r="H3199" s="2" t="s">
        <v>22</v>
      </c>
      <c r="I3199" s="2" t="s">
        <v>7193</v>
      </c>
      <c r="J3199" s="3" t="str">
        <f>HYPERLINK("https://www.boe.es/gazeta/dias/1834/11/09/pdfs/GMD-C-1834-268.pdf#page=4","Abrir facsímil")</f>
        <v>Abrir facsímil</v>
      </c>
      <c r="K3199" s="3" t="s">
        <v>24</v>
      </c>
    </row>
    <row r="3200" spans="1:11" ht="54" customHeight="1">
      <c r="A3200" s="2" t="s">
        <v>7191</v>
      </c>
      <c r="B3200" s="2" t="s">
        <v>7192</v>
      </c>
      <c r="C3200" s="2" t="s">
        <v>17</v>
      </c>
      <c r="D3200" s="2" t="s">
        <v>18</v>
      </c>
      <c r="E3200" s="5" t="s">
        <v>200</v>
      </c>
      <c r="F3200" s="3" t="s">
        <v>2248</v>
      </c>
      <c r="G3200" s="3" t="s">
        <v>86</v>
      </c>
      <c r="H3200" s="2" t="s">
        <v>22</v>
      </c>
      <c r="I3200" s="2" t="s">
        <v>7194</v>
      </c>
      <c r="J3200" s="3" t="str">
        <f>HYPERLINK("https://www.boe.es/gazeta/dias/1834/12/11/pdfs/GMD-C-1834-300.pdf#page=2","Abrir facsímil")</f>
        <v>Abrir facsímil</v>
      </c>
      <c r="K3200" s="3" t="s">
        <v>24</v>
      </c>
    </row>
    <row r="3201" spans="1:11" ht="54" customHeight="1">
      <c r="A3201" s="2" t="s">
        <v>7191</v>
      </c>
      <c r="B3201" s="2" t="s">
        <v>7192</v>
      </c>
      <c r="C3201" s="2" t="s">
        <v>17</v>
      </c>
      <c r="D3201" s="2" t="s">
        <v>18</v>
      </c>
      <c r="E3201" s="5" t="s">
        <v>200</v>
      </c>
      <c r="F3201" s="3" t="s">
        <v>2248</v>
      </c>
      <c r="G3201" s="3" t="s">
        <v>21</v>
      </c>
      <c r="H3201" s="2" t="s">
        <v>22</v>
      </c>
      <c r="I3201" s="2" t="s">
        <v>7195</v>
      </c>
      <c r="J3201" s="3" t="str">
        <f>HYPERLINK("https://www.boe.es/gazeta/dias/1834/12/11/pdfs/GMD-C-1834-300.pdf#page=3","Abrir facsímil")</f>
        <v>Abrir facsímil</v>
      </c>
      <c r="K3201" s="3" t="s">
        <v>24</v>
      </c>
    </row>
    <row r="3202" spans="1:11" ht="54" customHeight="1">
      <c r="A3202" s="2" t="s">
        <v>7191</v>
      </c>
      <c r="B3202" s="2" t="s">
        <v>7192</v>
      </c>
      <c r="C3202" s="2" t="s">
        <v>17</v>
      </c>
      <c r="D3202" s="2" t="s">
        <v>18</v>
      </c>
      <c r="E3202" s="5" t="s">
        <v>200</v>
      </c>
      <c r="F3202" s="3" t="s">
        <v>2248</v>
      </c>
      <c r="G3202" s="3" t="s">
        <v>75</v>
      </c>
      <c r="H3202" s="2" t="s">
        <v>22</v>
      </c>
      <c r="I3202" s="2" t="s">
        <v>7196</v>
      </c>
      <c r="J3202" s="3" t="str">
        <f>HYPERLINK("https://www.boe.es/gazeta/dias/1834/12/11/pdfs/GMD-C-1834-300.pdf#page=4","Abrir facsímil")</f>
        <v>Abrir facsímil</v>
      </c>
      <c r="K3202" s="3" t="s">
        <v>24</v>
      </c>
    </row>
    <row r="3203" spans="1:11" ht="54" customHeight="1">
      <c r="A3203" s="2" t="s">
        <v>7191</v>
      </c>
      <c r="B3203" s="2" t="s">
        <v>7192</v>
      </c>
      <c r="C3203" s="2" t="s">
        <v>17</v>
      </c>
      <c r="D3203" s="2" t="s">
        <v>18</v>
      </c>
      <c r="E3203" s="5" t="s">
        <v>299</v>
      </c>
      <c r="F3203" s="3" t="s">
        <v>2255</v>
      </c>
      <c r="G3203" s="3" t="s">
        <v>86</v>
      </c>
      <c r="H3203" s="2" t="s">
        <v>22</v>
      </c>
      <c r="I3203" s="2" t="s">
        <v>7197</v>
      </c>
      <c r="J3203" s="3" t="str">
        <f>HYPERLINK("https://www.boe.es/gazeta/dias/1834/12/12/pdfs/GMD-C-1834-301.pdf#page=2","Abrir facsímil")</f>
        <v>Abrir facsímil</v>
      </c>
      <c r="K3203" s="3" t="s">
        <v>24</v>
      </c>
    </row>
    <row r="3204" spans="1:11" ht="54" customHeight="1">
      <c r="A3204" s="2" t="s">
        <v>7191</v>
      </c>
      <c r="B3204" s="2" t="s">
        <v>7192</v>
      </c>
      <c r="C3204" s="2" t="s">
        <v>17</v>
      </c>
      <c r="D3204" s="2" t="s">
        <v>18</v>
      </c>
      <c r="E3204" s="5" t="s">
        <v>1981</v>
      </c>
      <c r="F3204" s="3" t="s">
        <v>2471</v>
      </c>
      <c r="G3204" s="3" t="s">
        <v>75</v>
      </c>
      <c r="H3204" s="2" t="s">
        <v>22</v>
      </c>
      <c r="I3204" s="2" t="s">
        <v>7198</v>
      </c>
      <c r="J3204" s="3" t="str">
        <f>HYPERLINK("https://www.boe.es/gazeta/dias/1834/12/13/pdfs/GMD-C-1834-302.pdf#page=4","Abrir facsímil")</f>
        <v>Abrir facsímil</v>
      </c>
      <c r="K3204" s="3" t="s">
        <v>24</v>
      </c>
    </row>
    <row r="3205" spans="1:11" ht="54" customHeight="1">
      <c r="A3205" s="2" t="s">
        <v>7191</v>
      </c>
      <c r="B3205" s="2" t="s">
        <v>7192</v>
      </c>
      <c r="C3205" s="2" t="s">
        <v>17</v>
      </c>
      <c r="D3205" s="2" t="s">
        <v>18</v>
      </c>
      <c r="E3205" s="5" t="s">
        <v>1981</v>
      </c>
      <c r="F3205" s="3" t="s">
        <v>2471</v>
      </c>
      <c r="G3205" s="3" t="s">
        <v>28</v>
      </c>
      <c r="H3205" s="2" t="s">
        <v>22</v>
      </c>
      <c r="I3205" s="2" t="s">
        <v>7199</v>
      </c>
      <c r="J3205" s="3" t="str">
        <f>HYPERLINK("https://www.boe.es/gazeta/dias/1834/12/13/pdfs/GMD-C-1834-302.pdf#page=5","Abrir facsímil")</f>
        <v>Abrir facsímil</v>
      </c>
      <c r="K3205" s="3" t="s">
        <v>24</v>
      </c>
    </row>
    <row r="3206" spans="1:11" ht="54" customHeight="1">
      <c r="A3206" s="2" t="s">
        <v>7191</v>
      </c>
      <c r="B3206" s="2" t="s">
        <v>7192</v>
      </c>
      <c r="C3206" s="2" t="s">
        <v>17</v>
      </c>
      <c r="D3206" s="2" t="s">
        <v>18</v>
      </c>
      <c r="E3206" s="5" t="s">
        <v>1424</v>
      </c>
      <c r="F3206" s="3" t="s">
        <v>1425</v>
      </c>
      <c r="G3206" s="3" t="s">
        <v>28</v>
      </c>
      <c r="H3206" s="2" t="s">
        <v>22</v>
      </c>
      <c r="I3206" s="2" t="s">
        <v>7200</v>
      </c>
      <c r="J3206" s="3" t="str">
        <f>HYPERLINK("https://www.boe.es/gazeta/dias/1834/11/14/pdfs/GMD-C-1834-273.pdf#page=5","Abrir facsímil")</f>
        <v>Abrir facsímil</v>
      </c>
      <c r="K3206" s="3" t="s">
        <v>24</v>
      </c>
    </row>
    <row r="3207" spans="1:11" ht="54" customHeight="1">
      <c r="A3207" s="2" t="s">
        <v>7191</v>
      </c>
      <c r="B3207" s="2" t="s">
        <v>7192</v>
      </c>
      <c r="C3207" s="2" t="s">
        <v>17</v>
      </c>
      <c r="D3207" s="2" t="s">
        <v>18</v>
      </c>
      <c r="E3207" s="5" t="s">
        <v>2278</v>
      </c>
      <c r="F3207" s="3" t="s">
        <v>2279</v>
      </c>
      <c r="G3207" s="3" t="s">
        <v>86</v>
      </c>
      <c r="H3207" s="2" t="s">
        <v>22</v>
      </c>
      <c r="I3207" s="2" t="s">
        <v>7201</v>
      </c>
      <c r="J3207" s="3" t="str">
        <f>HYPERLINK("https://www.boe.es/gazeta/dias/1834/12/17/pdfs/GMD-C-1834-306.pdf#page=2","Abrir facsímil")</f>
        <v>Abrir facsímil</v>
      </c>
      <c r="K3207" s="3" t="s">
        <v>24</v>
      </c>
    </row>
    <row r="3208" spans="1:11" ht="54" customHeight="1">
      <c r="A3208" s="2" t="s">
        <v>7191</v>
      </c>
      <c r="B3208" s="2" t="s">
        <v>7192</v>
      </c>
      <c r="C3208" s="2" t="s">
        <v>17</v>
      </c>
      <c r="D3208" s="2" t="s">
        <v>18</v>
      </c>
      <c r="E3208" s="5" t="s">
        <v>707</v>
      </c>
      <c r="F3208" s="3" t="s">
        <v>708</v>
      </c>
      <c r="G3208" s="3" t="s">
        <v>176</v>
      </c>
      <c r="H3208" s="2" t="s">
        <v>22</v>
      </c>
      <c r="I3208" s="2" t="s">
        <v>7202</v>
      </c>
      <c r="J3208" s="3" t="str">
        <f>HYPERLINK("https://www.boe.es/gazeta/dias/1834/11/25/pdfs/GMD-C-1834-284.pdf#page=6","Abrir facsímil")</f>
        <v>Abrir facsímil</v>
      </c>
      <c r="K3208" s="3" t="s">
        <v>24</v>
      </c>
    </row>
    <row r="3209" spans="1:11" ht="54" customHeight="1">
      <c r="A3209" s="2" t="s">
        <v>7191</v>
      </c>
      <c r="B3209" s="2" t="s">
        <v>7192</v>
      </c>
      <c r="C3209" s="2" t="s">
        <v>90</v>
      </c>
      <c r="D3209" s="2" t="s">
        <v>101</v>
      </c>
      <c r="E3209" s="5" t="s">
        <v>2142</v>
      </c>
      <c r="F3209" s="3" t="s">
        <v>2316</v>
      </c>
      <c r="G3209" s="3" t="s">
        <v>21</v>
      </c>
      <c r="H3209" s="2" t="s">
        <v>22</v>
      </c>
      <c r="I3209" s="2" t="s">
        <v>7203</v>
      </c>
      <c r="J3209" s="3" t="str">
        <f>HYPERLINK("https://www.boe.es/gazeta/dias/1834/12/27/pdfs/GMD-C-1834-317.pdf#page=3","Abrir facsímil")</f>
        <v>Abrir facsímil</v>
      </c>
      <c r="K3209" s="3" t="s">
        <v>24</v>
      </c>
    </row>
    <row r="3210" spans="1:11" ht="54" customHeight="1">
      <c r="A3210" s="2" t="s">
        <v>7191</v>
      </c>
      <c r="B3210" s="2" t="s">
        <v>7192</v>
      </c>
      <c r="C3210" s="2" t="s">
        <v>17</v>
      </c>
      <c r="D3210" s="2" t="s">
        <v>18</v>
      </c>
      <c r="E3210" s="5" t="s">
        <v>468</v>
      </c>
      <c r="F3210" s="3" t="s">
        <v>469</v>
      </c>
      <c r="G3210" s="3" t="s">
        <v>2174</v>
      </c>
      <c r="H3210" s="2" t="s">
        <v>22</v>
      </c>
      <c r="I3210" s="2" t="s">
        <v>7204</v>
      </c>
      <c r="J3210" s="3" t="str">
        <f>HYPERLINK("https://www.boe.es/gazeta/dias/1834/12/28/pdfs/GMD-C-1834-318.pdf#page=10","Abrir facsímil")</f>
        <v>Abrir facsímil</v>
      </c>
      <c r="K3210" s="3" t="s">
        <v>24</v>
      </c>
    </row>
    <row r="3211" spans="1:11" ht="54" customHeight="1">
      <c r="A3211" s="2" t="s">
        <v>7191</v>
      </c>
      <c r="B3211" s="2" t="s">
        <v>7192</v>
      </c>
      <c r="C3211" s="2" t="s">
        <v>17</v>
      </c>
      <c r="D3211" s="2" t="s">
        <v>18</v>
      </c>
      <c r="E3211" s="5" t="s">
        <v>2526</v>
      </c>
      <c r="F3211" s="3" t="s">
        <v>2527</v>
      </c>
      <c r="G3211" s="3" t="s">
        <v>21</v>
      </c>
      <c r="H3211" s="2" t="s">
        <v>22</v>
      </c>
      <c r="I3211" s="2" t="s">
        <v>7205</v>
      </c>
      <c r="J3211" s="3" t="str">
        <f>HYPERLINK("https://www.boe.es/gazeta/dias/1834/12/29/pdfs/GMD-C-1834-319.pdf#page=3","Abrir facsímil")</f>
        <v>Abrir facsímil</v>
      </c>
      <c r="K3211" s="3" t="s">
        <v>24</v>
      </c>
    </row>
    <row r="3212" spans="1:11" ht="54" customHeight="1">
      <c r="A3212" s="2" t="s">
        <v>7206</v>
      </c>
      <c r="B3212" s="2" t="s">
        <v>7207</v>
      </c>
      <c r="C3212" s="2" t="s">
        <v>90</v>
      </c>
      <c r="D3212" s="2" t="s">
        <v>18</v>
      </c>
      <c r="E3212" s="5" t="s">
        <v>258</v>
      </c>
      <c r="F3212" s="3" t="s">
        <v>259</v>
      </c>
      <c r="G3212" s="3" t="s">
        <v>86</v>
      </c>
      <c r="H3212" s="2" t="s">
        <v>22</v>
      </c>
      <c r="I3212" s="2" t="s">
        <v>7208</v>
      </c>
      <c r="J3212" s="3" t="str">
        <f>HYPERLINK("https://www.boe.es/gazeta/dias/1834/10/09/pdfs/GMD-C-1834-237.pdf#page=2","Abrir facsímil")</f>
        <v>Abrir facsímil</v>
      </c>
      <c r="K3212" s="3" t="s">
        <v>24</v>
      </c>
    </row>
    <row r="3213" spans="1:11" ht="54" customHeight="1">
      <c r="A3213" s="2" t="s">
        <v>7209</v>
      </c>
      <c r="B3213" s="2" t="s">
        <v>7210</v>
      </c>
      <c r="C3213" s="2" t="s">
        <v>90</v>
      </c>
      <c r="D3213" s="2" t="s">
        <v>18</v>
      </c>
      <c r="E3213" s="5" t="s">
        <v>258</v>
      </c>
      <c r="F3213" s="3" t="s">
        <v>259</v>
      </c>
      <c r="G3213" s="3" t="s">
        <v>86</v>
      </c>
      <c r="H3213" s="2" t="s">
        <v>22</v>
      </c>
      <c r="I3213" s="2" t="s">
        <v>7211</v>
      </c>
      <c r="J3213" s="3" t="str">
        <f>HYPERLINK("https://www.boe.es/gazeta/dias/1834/10/09/pdfs/GMD-C-1834-237.pdf#page=2","Abrir facsímil")</f>
        <v>Abrir facsímil</v>
      </c>
      <c r="K3213" s="3" t="s">
        <v>24</v>
      </c>
    </row>
    <row r="3214" spans="1:11" ht="54" customHeight="1">
      <c r="A3214" s="2" t="s">
        <v>7212</v>
      </c>
      <c r="B3214" s="2" t="s">
        <v>7212</v>
      </c>
      <c r="C3214" s="2" t="s">
        <v>90</v>
      </c>
      <c r="D3214" s="2" t="s">
        <v>55</v>
      </c>
      <c r="E3214" s="5" t="s">
        <v>433</v>
      </c>
      <c r="F3214" s="3" t="s">
        <v>2773</v>
      </c>
      <c r="G3214" s="3" t="s">
        <v>34</v>
      </c>
      <c r="H3214" s="2" t="s">
        <v>22</v>
      </c>
      <c r="I3214" s="2" t="s">
        <v>7213</v>
      </c>
      <c r="J3214" s="3" t="str">
        <f>HYPERLINK("https://www.boe.es/gazeta/dias/1834/10/07/pdfs/GMD-1834-235.pdf#page=1","Abrir facsímil")</f>
        <v>Abrir facsímil</v>
      </c>
      <c r="K3214" s="3" t="s">
        <v>24</v>
      </c>
    </row>
    <row r="3215" spans="1:11" ht="54" customHeight="1">
      <c r="A3215" s="2" t="s">
        <v>7214</v>
      </c>
      <c r="B3215" s="2" t="s">
        <v>7214</v>
      </c>
      <c r="C3215" s="2" t="s">
        <v>90</v>
      </c>
      <c r="D3215" s="2" t="s">
        <v>18</v>
      </c>
      <c r="E3215" s="5" t="s">
        <v>590</v>
      </c>
      <c r="F3215" s="3" t="s">
        <v>591</v>
      </c>
      <c r="G3215" s="3" t="s">
        <v>86</v>
      </c>
      <c r="H3215" s="2" t="s">
        <v>22</v>
      </c>
      <c r="I3215" s="2" t="s">
        <v>7215</v>
      </c>
      <c r="J3215" s="3" t="str">
        <f>HYPERLINK("https://www.boe.es/gazeta/dias/1834/11/30/pdfs/GMD-1834-289.pdf#page=2","Abrir facsímil")</f>
        <v>Abrir facsímil</v>
      </c>
      <c r="K3215" s="3" t="s">
        <v>24</v>
      </c>
    </row>
    <row r="3216" spans="1:11" ht="54" customHeight="1">
      <c r="A3216" s="2" t="s">
        <v>7216</v>
      </c>
      <c r="B3216" s="2" t="s">
        <v>7217</v>
      </c>
      <c r="C3216" s="2" t="s">
        <v>90</v>
      </c>
      <c r="D3216" s="2" t="s">
        <v>18</v>
      </c>
      <c r="E3216" s="5" t="s">
        <v>590</v>
      </c>
      <c r="F3216" s="3" t="s">
        <v>591</v>
      </c>
      <c r="G3216" s="3" t="s">
        <v>86</v>
      </c>
      <c r="H3216" s="2" t="s">
        <v>22</v>
      </c>
      <c r="I3216" s="2" t="s">
        <v>7218</v>
      </c>
      <c r="J3216" s="3" t="str">
        <f>HYPERLINK("https://www.boe.es/gazeta/dias/1834/11/30/pdfs/GMD-1834-289.pdf#page=2","Abrir facsímil")</f>
        <v>Abrir facsímil</v>
      </c>
      <c r="K3216" s="3" t="s">
        <v>24</v>
      </c>
    </row>
    <row r="3217" spans="1:11" ht="54" customHeight="1">
      <c r="A3217" s="2" t="s">
        <v>7219</v>
      </c>
      <c r="B3217" s="2" t="s">
        <v>7219</v>
      </c>
      <c r="C3217" s="2" t="s">
        <v>66</v>
      </c>
      <c r="D3217" s="2" t="s">
        <v>18</v>
      </c>
      <c r="E3217" s="5" t="s">
        <v>451</v>
      </c>
      <c r="F3217" s="3" t="s">
        <v>3350</v>
      </c>
      <c r="G3217" s="3" t="s">
        <v>21</v>
      </c>
      <c r="H3217" s="2" t="s">
        <v>22</v>
      </c>
      <c r="I3217" s="2" t="s">
        <v>7220</v>
      </c>
      <c r="J3217" s="3" t="str">
        <f>HYPERLINK("https://www.boe.es/gazeta/dias/1834/10/15/pdfs/GMD-1834-243.pdf#page=3","Abrir facsímil")</f>
        <v>Abrir facsímil</v>
      </c>
      <c r="K3217" s="3" t="s">
        <v>24</v>
      </c>
    </row>
    <row r="3218" spans="1:11" ht="54" customHeight="1">
      <c r="A3218" s="2" t="s">
        <v>7221</v>
      </c>
      <c r="B3218" s="2" t="s">
        <v>7222</v>
      </c>
      <c r="C3218" s="2" t="s">
        <v>90</v>
      </c>
      <c r="D3218" s="2" t="s">
        <v>18</v>
      </c>
      <c r="E3218" s="5" t="s">
        <v>3248</v>
      </c>
      <c r="F3218" s="3" t="s">
        <v>4798</v>
      </c>
      <c r="G3218" s="3" t="s">
        <v>28</v>
      </c>
      <c r="H3218" s="2" t="s">
        <v>22</v>
      </c>
      <c r="I3218" s="2" t="s">
        <v>7223</v>
      </c>
      <c r="J3218" s="3" t="str">
        <f>HYPERLINK("https://www.boe.es/gazeta/dias/1834/09/20/pdfs/GMD-C-1834-218.pdf#page=5","Abrir facsímil")</f>
        <v>Abrir facsímil</v>
      </c>
      <c r="K3218" s="3" t="s">
        <v>24</v>
      </c>
    </row>
    <row r="3219" spans="1:11" ht="54" customHeight="1">
      <c r="A3219" s="2" t="s">
        <v>7224</v>
      </c>
      <c r="B3219" s="2" t="s">
        <v>7225</v>
      </c>
      <c r="C3219" s="2" t="s">
        <v>17</v>
      </c>
      <c r="D3219" s="2" t="s">
        <v>18</v>
      </c>
      <c r="E3219" s="5" t="s">
        <v>465</v>
      </c>
      <c r="F3219" s="3" t="s">
        <v>466</v>
      </c>
      <c r="G3219" s="3" t="s">
        <v>176</v>
      </c>
      <c r="H3219" s="2" t="s">
        <v>22</v>
      </c>
      <c r="I3219" s="2" t="s">
        <v>7226</v>
      </c>
      <c r="J3219" s="3" t="str">
        <f>HYPERLINK("https://www.boe.es/gazeta/dias/1834/11/27/pdfs/GMD-C-1834-286.pdf#page=6","Abrir facsímil")</f>
        <v>Abrir facsímil</v>
      </c>
      <c r="K3219" s="3" t="s">
        <v>24</v>
      </c>
    </row>
    <row r="3220" spans="1:11" ht="54" customHeight="1">
      <c r="A3220" s="2" t="s">
        <v>7227</v>
      </c>
      <c r="B3220" s="2" t="s">
        <v>7228</v>
      </c>
      <c r="C3220" s="2" t="s">
        <v>17</v>
      </c>
      <c r="D3220" s="2" t="s">
        <v>55</v>
      </c>
      <c r="E3220" s="5" t="s">
        <v>2860</v>
      </c>
      <c r="F3220" s="3" t="s">
        <v>2861</v>
      </c>
      <c r="G3220" s="3" t="s">
        <v>21</v>
      </c>
      <c r="H3220" s="2" t="s">
        <v>22</v>
      </c>
      <c r="I3220" s="2" t="s">
        <v>7229</v>
      </c>
      <c r="J3220" s="3" t="str">
        <f>HYPERLINK("https://www.boe.es/gazeta/dias/1834/07/20/pdfs/GMD-1834-153.pdf#page=3","Abrir facsímil")</f>
        <v>Abrir facsímil</v>
      </c>
      <c r="K3220" s="3" t="s">
        <v>24</v>
      </c>
    </row>
    <row r="3221" spans="1:11" ht="54" customHeight="1">
      <c r="A3221" s="2" t="s">
        <v>7230</v>
      </c>
      <c r="B3221" s="2" t="s">
        <v>7230</v>
      </c>
      <c r="C3221" s="2" t="s">
        <v>17</v>
      </c>
      <c r="D3221" s="2" t="s">
        <v>40</v>
      </c>
      <c r="E3221" s="5" t="s">
        <v>690</v>
      </c>
      <c r="F3221" s="3" t="s">
        <v>5765</v>
      </c>
      <c r="G3221" s="3" t="s">
        <v>75</v>
      </c>
      <c r="H3221" s="2" t="s">
        <v>22</v>
      </c>
      <c r="I3221" s="2" t="s">
        <v>7231</v>
      </c>
      <c r="J3221" s="3" t="str">
        <f>HYPERLINK("https://www.boe.es/gazeta/dias/1834/09/03/pdfs/GMD-1834-201.pdf#page=4","Abrir facsímil")</f>
        <v>Abrir facsímil</v>
      </c>
      <c r="K3221" s="3" t="s">
        <v>24</v>
      </c>
    </row>
    <row r="3222" spans="1:11" ht="54" customHeight="1">
      <c r="A3222" s="2" t="s">
        <v>7232</v>
      </c>
      <c r="B3222" s="2" t="s">
        <v>7233</v>
      </c>
      <c r="C3222" s="2" t="s">
        <v>17</v>
      </c>
      <c r="D3222" s="2" t="s">
        <v>40</v>
      </c>
      <c r="E3222" s="5" t="s">
        <v>823</v>
      </c>
      <c r="F3222" s="3" t="s">
        <v>824</v>
      </c>
      <c r="G3222" s="3" t="s">
        <v>176</v>
      </c>
      <c r="H3222" s="2" t="s">
        <v>22</v>
      </c>
      <c r="I3222" s="2" t="s">
        <v>7234</v>
      </c>
      <c r="J3222" s="3" t="str">
        <f>HYPERLINK("https://www.boe.es/gazeta/dias/1834/07/23/pdfs/GMD-1834-156.pdf#page=6","Abrir facsímil")</f>
        <v>Abrir facsímil</v>
      </c>
      <c r="K3222" s="3" t="s">
        <v>24</v>
      </c>
    </row>
    <row r="3223" spans="1:11" ht="54" customHeight="1">
      <c r="A3223" s="2" t="s">
        <v>7235</v>
      </c>
      <c r="B3223" s="2" t="s">
        <v>7236</v>
      </c>
      <c r="C3223" s="2" t="s">
        <v>17</v>
      </c>
      <c r="D3223" s="2" t="s">
        <v>55</v>
      </c>
      <c r="E3223" s="5" t="s">
        <v>3471</v>
      </c>
      <c r="F3223" s="3" t="s">
        <v>3472</v>
      </c>
      <c r="G3223" s="3" t="s">
        <v>21</v>
      </c>
      <c r="H3223" s="2" t="s">
        <v>22</v>
      </c>
      <c r="I3223" s="2" t="s">
        <v>7237</v>
      </c>
      <c r="J3223" s="3" t="str">
        <f>HYPERLINK("https://www.boe.es/gazeta/dias/1834/07/07/pdfs/GMD-1834-140.pdf#page=3","Abrir facsímil")</f>
        <v>Abrir facsímil</v>
      </c>
      <c r="K3223" s="3" t="s">
        <v>24</v>
      </c>
    </row>
    <row r="3224" spans="1:11" ht="54" customHeight="1">
      <c r="A3224" s="2" t="s">
        <v>7238</v>
      </c>
      <c r="B3224" s="2" t="s">
        <v>7238</v>
      </c>
      <c r="C3224" s="2" t="s">
        <v>17</v>
      </c>
      <c r="D3224" s="2" t="s">
        <v>18</v>
      </c>
      <c r="E3224" s="5" t="s">
        <v>762</v>
      </c>
      <c r="F3224" s="3" t="s">
        <v>763</v>
      </c>
      <c r="G3224" s="3" t="s">
        <v>86</v>
      </c>
      <c r="H3224" s="2" t="s">
        <v>22</v>
      </c>
      <c r="I3224" s="2" t="s">
        <v>7239</v>
      </c>
      <c r="J3224" s="3" t="str">
        <f>HYPERLINK("https://www.boe.es/gazeta/dias/1834/11/07/pdfs/GMD-1834-266.pdf#page=2","Abrir facsímil")</f>
        <v>Abrir facsímil</v>
      </c>
      <c r="K3224" s="3" t="s">
        <v>24</v>
      </c>
    </row>
    <row r="3225" spans="1:11" ht="54" customHeight="1">
      <c r="A3225" s="2" t="s">
        <v>7240</v>
      </c>
      <c r="B3225" s="2" t="s">
        <v>7240</v>
      </c>
      <c r="C3225" s="2" t="s">
        <v>17</v>
      </c>
      <c r="D3225" s="2" t="s">
        <v>18</v>
      </c>
      <c r="E3225" s="5" t="s">
        <v>1084</v>
      </c>
      <c r="F3225" s="3" t="s">
        <v>1085</v>
      </c>
      <c r="G3225" s="3" t="s">
        <v>28</v>
      </c>
      <c r="H3225" s="2" t="s">
        <v>22</v>
      </c>
      <c r="I3225" s="2" t="s">
        <v>7241</v>
      </c>
      <c r="J3225" s="3" t="str">
        <f>HYPERLINK("https://www.boe.es/gazeta/dias/1834/05/01/pdfs/GMD-1834-70.pdf#page=5","Abrir facsímil")</f>
        <v>Abrir facsímil</v>
      </c>
      <c r="K3225" s="3" t="s">
        <v>24</v>
      </c>
    </row>
    <row r="3226" spans="1:11" ht="54" customHeight="1">
      <c r="A3226" s="2" t="s">
        <v>7240</v>
      </c>
      <c r="B3226" s="2" t="s">
        <v>7240</v>
      </c>
      <c r="C3226" s="2" t="s">
        <v>66</v>
      </c>
      <c r="D3226" s="2" t="s">
        <v>67</v>
      </c>
      <c r="E3226" s="5" t="s">
        <v>339</v>
      </c>
      <c r="F3226" s="3" t="s">
        <v>340</v>
      </c>
      <c r="G3226" s="3" t="s">
        <v>75</v>
      </c>
      <c r="H3226" s="2" t="s">
        <v>22</v>
      </c>
      <c r="I3226" s="2" t="s">
        <v>7242</v>
      </c>
      <c r="J3226" s="3" t="str">
        <f>HYPERLINK("https://www.boe.es/gazeta/dias/1834/05/02/pdfs/GMD-1834-71.pdf#page=4","Abrir facsímil")</f>
        <v>Abrir facsímil</v>
      </c>
      <c r="K3226" s="3" t="s">
        <v>24</v>
      </c>
    </row>
    <row r="3227" spans="1:11" ht="54" customHeight="1">
      <c r="A3227" s="2" t="s">
        <v>7240</v>
      </c>
      <c r="B3227" s="2" t="s">
        <v>7240</v>
      </c>
      <c r="C3227" s="2" t="s">
        <v>17</v>
      </c>
      <c r="D3227" s="2" t="s">
        <v>40</v>
      </c>
      <c r="E3227" s="5" t="s">
        <v>4814</v>
      </c>
      <c r="F3227" s="3" t="s">
        <v>4815</v>
      </c>
      <c r="G3227" s="3" t="s">
        <v>75</v>
      </c>
      <c r="H3227" s="2" t="s">
        <v>22</v>
      </c>
      <c r="I3227" s="2" t="s">
        <v>7243</v>
      </c>
      <c r="J3227" s="3" t="str">
        <f>HYPERLINK("https://www.boe.es/gazeta/dias/1834/06/05/pdfs/GMD-1834-107.pdf#page=4","Abrir facsímil")</f>
        <v>Abrir facsímil</v>
      </c>
      <c r="K3227" s="3" t="s">
        <v>24</v>
      </c>
    </row>
    <row r="3228" spans="1:11" ht="54" customHeight="1">
      <c r="A3228" s="2" t="s">
        <v>7240</v>
      </c>
      <c r="B3228" s="2" t="s">
        <v>7240</v>
      </c>
      <c r="C3228" s="2" t="s">
        <v>17</v>
      </c>
      <c r="D3228" s="2" t="s">
        <v>18</v>
      </c>
      <c r="E3228" s="5" t="s">
        <v>438</v>
      </c>
      <c r="F3228" s="3" t="s">
        <v>439</v>
      </c>
      <c r="G3228" s="3" t="s">
        <v>75</v>
      </c>
      <c r="H3228" s="2" t="s">
        <v>22</v>
      </c>
      <c r="I3228" s="2" t="s">
        <v>7244</v>
      </c>
      <c r="J3228" s="3" t="str">
        <f>HYPERLINK("https://www.boe.es/gazeta/dias/1834/11/09/pdfs/GMD-1834-268.pdf#page=4","Abrir facsímil")</f>
        <v>Abrir facsímil</v>
      </c>
      <c r="K3228" s="3" t="s">
        <v>24</v>
      </c>
    </row>
    <row r="3229" spans="1:11" ht="54" customHeight="1">
      <c r="A3229" s="2" t="s">
        <v>7240</v>
      </c>
      <c r="B3229" s="2" t="s">
        <v>7240</v>
      </c>
      <c r="C3229" s="2" t="s">
        <v>66</v>
      </c>
      <c r="D3229" s="2" t="s">
        <v>67</v>
      </c>
      <c r="E3229" s="5" t="s">
        <v>1103</v>
      </c>
      <c r="F3229" s="3" t="s">
        <v>1259</v>
      </c>
      <c r="G3229" s="3" t="s">
        <v>21</v>
      </c>
      <c r="H3229" s="2" t="s">
        <v>22</v>
      </c>
      <c r="I3229" s="2" t="s">
        <v>7245</v>
      </c>
      <c r="J3229" s="3" t="str">
        <f>HYPERLINK("https://www.boe.es/gazeta/dias/1834/10/10/pdfs/GMD-1834-238.pdf#page=3","Abrir facsímil")</f>
        <v>Abrir facsímil</v>
      </c>
      <c r="K3229" s="3" t="s">
        <v>24</v>
      </c>
    </row>
    <row r="3230" spans="1:11" ht="54" customHeight="1">
      <c r="A3230" s="2" t="s">
        <v>7240</v>
      </c>
      <c r="B3230" s="2" t="s">
        <v>7240</v>
      </c>
      <c r="C3230" s="2" t="s">
        <v>66</v>
      </c>
      <c r="D3230" s="2" t="s">
        <v>67</v>
      </c>
      <c r="E3230" s="5" t="s">
        <v>2287</v>
      </c>
      <c r="F3230" s="3" t="s">
        <v>4741</v>
      </c>
      <c r="G3230" s="3" t="s">
        <v>75</v>
      </c>
      <c r="H3230" s="2" t="s">
        <v>22</v>
      </c>
      <c r="I3230" s="2" t="s">
        <v>7246</v>
      </c>
      <c r="J3230" s="3" t="str">
        <f>HYPERLINK("https://www.boe.es/gazeta/dias/1834/12/18/pdfs/GMD-1834-308.pdf#page=4","Abrir facsímil")</f>
        <v>Abrir facsímil</v>
      </c>
      <c r="K3230" s="3" t="s">
        <v>24</v>
      </c>
    </row>
    <row r="3231" spans="1:11" ht="54" customHeight="1">
      <c r="A3231" s="2" t="s">
        <v>7240</v>
      </c>
      <c r="B3231" s="2" t="s">
        <v>7240</v>
      </c>
      <c r="C3231" s="2" t="s">
        <v>66</v>
      </c>
      <c r="D3231" s="2" t="s">
        <v>67</v>
      </c>
      <c r="E3231" s="5" t="s">
        <v>891</v>
      </c>
      <c r="F3231" s="3" t="s">
        <v>892</v>
      </c>
      <c r="G3231" s="3" t="s">
        <v>21</v>
      </c>
      <c r="H3231" s="2" t="s">
        <v>22</v>
      </c>
      <c r="I3231" s="2" t="s">
        <v>7247</v>
      </c>
      <c r="J3231" s="3" t="str">
        <f>HYPERLINK("https://www.boe.es/gazeta/dias/1834/10/31/pdfs/GMD-C-1834-259.pdf#page=3","Abrir facsímil")</f>
        <v>Abrir facsímil</v>
      </c>
      <c r="K3231" s="3" t="s">
        <v>24</v>
      </c>
    </row>
    <row r="3232" spans="1:11" ht="54" customHeight="1">
      <c r="A3232" s="2" t="s">
        <v>7248</v>
      </c>
      <c r="B3232" s="2" t="s">
        <v>7249</v>
      </c>
      <c r="C3232" s="2" t="s">
        <v>66</v>
      </c>
      <c r="D3232" s="2" t="s">
        <v>67</v>
      </c>
      <c r="E3232" s="5" t="s">
        <v>309</v>
      </c>
      <c r="F3232" s="3" t="s">
        <v>310</v>
      </c>
      <c r="G3232" s="3" t="s">
        <v>21</v>
      </c>
      <c r="H3232" s="2" t="s">
        <v>35</v>
      </c>
      <c r="I3232" s="2" t="s">
        <v>7250</v>
      </c>
      <c r="J3232" s="3" t="str">
        <f>HYPERLINK("https://www.boe.es/gazeta/dias/1834/05/30/pdfs/GMD-1834-99.pdf#page=3","Abrir facsímil")</f>
        <v>Abrir facsímil</v>
      </c>
      <c r="K3232" s="3" t="s">
        <v>37</v>
      </c>
    </row>
    <row r="3233" spans="1:11" ht="54" customHeight="1">
      <c r="A3233" s="2" t="s">
        <v>7251</v>
      </c>
      <c r="B3233" s="2" t="s">
        <v>7252</v>
      </c>
      <c r="C3233" s="2" t="s">
        <v>66</v>
      </c>
      <c r="D3233" s="2" t="s">
        <v>67</v>
      </c>
      <c r="E3233" s="5" t="s">
        <v>309</v>
      </c>
      <c r="F3233" s="3" t="s">
        <v>310</v>
      </c>
      <c r="G3233" s="3" t="s">
        <v>21</v>
      </c>
      <c r="H3233" s="2" t="s">
        <v>22</v>
      </c>
      <c r="I3233" s="2" t="s">
        <v>7253</v>
      </c>
      <c r="J3233" s="3" t="str">
        <f>HYPERLINK("https://www.boe.es/gazeta/dias/1834/05/30/pdfs/GMD-1834-99.pdf#page=3","Abrir facsímil")</f>
        <v>Abrir facsímil</v>
      </c>
      <c r="K3233" s="3" t="s">
        <v>24</v>
      </c>
    </row>
    <row r="3234" spans="1:11" ht="54" customHeight="1">
      <c r="A3234" s="2" t="s">
        <v>7254</v>
      </c>
      <c r="B3234" s="2" t="s">
        <v>7255</v>
      </c>
      <c r="C3234" s="2" t="s">
        <v>66</v>
      </c>
      <c r="D3234" s="2" t="s">
        <v>67</v>
      </c>
      <c r="E3234" s="5" t="s">
        <v>133</v>
      </c>
      <c r="F3234" s="3" t="s">
        <v>134</v>
      </c>
      <c r="G3234" s="3" t="s">
        <v>75</v>
      </c>
      <c r="H3234" s="2" t="s">
        <v>22</v>
      </c>
      <c r="I3234" s="2" t="s">
        <v>7256</v>
      </c>
      <c r="J3234" s="3" t="str">
        <f>HYPERLINK("https://www.boe.es/gazeta/dias/1834/06/18/pdfs/GMD-1834-121.pdf#page=4","Abrir facsímil")</f>
        <v>Abrir facsímil</v>
      </c>
      <c r="K3234" s="3" t="s">
        <v>24</v>
      </c>
    </row>
    <row r="3235" spans="1:11" ht="54" customHeight="1">
      <c r="A3235" s="2" t="s">
        <v>7257</v>
      </c>
      <c r="B3235" s="2" t="s">
        <v>7258</v>
      </c>
      <c r="C3235" s="2" t="s">
        <v>17</v>
      </c>
      <c r="D3235" s="2" t="s">
        <v>18</v>
      </c>
      <c r="E3235" s="5" t="s">
        <v>576</v>
      </c>
      <c r="F3235" s="3" t="s">
        <v>577</v>
      </c>
      <c r="G3235" s="3" t="s">
        <v>75</v>
      </c>
      <c r="H3235" s="2" t="s">
        <v>22</v>
      </c>
      <c r="I3235" s="2" t="s">
        <v>7259</v>
      </c>
      <c r="J3235" s="3" t="str">
        <f>HYPERLINK("https://www.boe.es/gazeta/dias/1834/09/23/pdfs/GMD-1834-221.pdf#page=4","Abrir facsímil")</f>
        <v>Abrir facsímil</v>
      </c>
      <c r="K3235" s="3" t="s">
        <v>24</v>
      </c>
    </row>
    <row r="3236" spans="1:11" ht="54" customHeight="1">
      <c r="A3236" s="2" t="s">
        <v>7260</v>
      </c>
      <c r="B3236" s="2" t="s">
        <v>7260</v>
      </c>
      <c r="C3236" s="2" t="s">
        <v>17</v>
      </c>
      <c r="D3236" s="2" t="s">
        <v>101</v>
      </c>
      <c r="E3236" s="5" t="s">
        <v>1575</v>
      </c>
      <c r="F3236" s="3" t="s">
        <v>1576</v>
      </c>
      <c r="G3236" s="3" t="s">
        <v>21</v>
      </c>
      <c r="H3236" s="2" t="s">
        <v>22</v>
      </c>
      <c r="I3236" s="2" t="s">
        <v>7261</v>
      </c>
      <c r="J3236" s="3" t="str">
        <f>HYPERLINK("https://www.boe.es/gazeta/dias/1834/11/24/pdfs/GMD-1834-283.pdf#page=3","Abrir facsímil")</f>
        <v>Abrir facsímil</v>
      </c>
      <c r="K3236" s="3" t="s">
        <v>24</v>
      </c>
    </row>
    <row r="3237" spans="1:11" ht="54" customHeight="1">
      <c r="A3237" s="2" t="s">
        <v>7262</v>
      </c>
      <c r="B3237" s="2" t="s">
        <v>7262</v>
      </c>
      <c r="C3237" s="2" t="s">
        <v>66</v>
      </c>
      <c r="D3237" s="2" t="s">
        <v>67</v>
      </c>
      <c r="E3237" s="5" t="s">
        <v>1505</v>
      </c>
      <c r="F3237" s="3" t="s">
        <v>1506</v>
      </c>
      <c r="G3237" s="3" t="s">
        <v>75</v>
      </c>
      <c r="H3237" s="2" t="s">
        <v>22</v>
      </c>
      <c r="I3237" s="2" t="s">
        <v>7263</v>
      </c>
      <c r="J3237" s="3" t="str">
        <f>HYPERLINK("https://www.boe.es/gazeta/dias/1834/05/08/pdfs/GMD-1834-77.pdf#page=4","Abrir facsímil")</f>
        <v>Abrir facsímil</v>
      </c>
      <c r="K3237" s="3" t="s">
        <v>24</v>
      </c>
    </row>
    <row r="3238" spans="1:11" ht="54" customHeight="1">
      <c r="A3238" s="2" t="s">
        <v>7262</v>
      </c>
      <c r="B3238" s="2" t="s">
        <v>7262</v>
      </c>
      <c r="C3238" s="2" t="s">
        <v>66</v>
      </c>
      <c r="D3238" s="2" t="s">
        <v>67</v>
      </c>
      <c r="E3238" s="5" t="s">
        <v>2945</v>
      </c>
      <c r="F3238" s="3" t="s">
        <v>2946</v>
      </c>
      <c r="G3238" s="3" t="s">
        <v>21</v>
      </c>
      <c r="H3238" s="2" t="s">
        <v>22</v>
      </c>
      <c r="I3238" s="2" t="s">
        <v>7264</v>
      </c>
      <c r="J3238" s="3" t="str">
        <f>HYPERLINK("https://www.boe.es/gazeta/dias/1834/05/29/pdfs/GMD-1834-98.pdf#page=3","Abrir facsímil")</f>
        <v>Abrir facsímil</v>
      </c>
      <c r="K3238" s="3" t="s">
        <v>24</v>
      </c>
    </row>
    <row r="3239" spans="1:11" ht="54" customHeight="1">
      <c r="A3239" s="2" t="s">
        <v>7265</v>
      </c>
      <c r="B3239" s="2" t="s">
        <v>7265</v>
      </c>
      <c r="C3239" s="2" t="s">
        <v>46</v>
      </c>
      <c r="D3239" s="2" t="s">
        <v>101</v>
      </c>
      <c r="E3239" s="5" t="s">
        <v>1333</v>
      </c>
      <c r="F3239" s="3" t="s">
        <v>1334</v>
      </c>
      <c r="G3239" s="3" t="s">
        <v>75</v>
      </c>
      <c r="H3239" s="2" t="s">
        <v>22</v>
      </c>
      <c r="I3239" s="2" t="s">
        <v>7266</v>
      </c>
      <c r="J3239" s="3" t="str">
        <f>HYPERLINK("https://www.boe.es/gazeta/dias/1834/04/01/pdfs/GMD-1834-40.pdf#page=4","Abrir facsímil")</f>
        <v>Abrir facsímil</v>
      </c>
      <c r="K3239" s="3" t="s">
        <v>24</v>
      </c>
    </row>
    <row r="3240" spans="1:11" ht="54" customHeight="1">
      <c r="A3240" s="2" t="s">
        <v>7265</v>
      </c>
      <c r="B3240" s="2" t="s">
        <v>7265</v>
      </c>
      <c r="C3240" s="2" t="s">
        <v>46</v>
      </c>
      <c r="D3240" s="2" t="s">
        <v>101</v>
      </c>
      <c r="E3240" s="5" t="s">
        <v>102</v>
      </c>
      <c r="F3240" s="3" t="s">
        <v>103</v>
      </c>
      <c r="G3240" s="3" t="s">
        <v>86</v>
      </c>
      <c r="H3240" s="2" t="s">
        <v>22</v>
      </c>
      <c r="I3240" s="2" t="s">
        <v>7267</v>
      </c>
      <c r="J3240" s="3" t="str">
        <f>HYPERLINK("https://www.boe.es/gazeta/dias/1834/07/19/pdfs/GMD-1834-152.pdf#page=2","Abrir facsímil")</f>
        <v>Abrir facsímil</v>
      </c>
      <c r="K3240" s="3" t="s">
        <v>24</v>
      </c>
    </row>
    <row r="3241" spans="1:11" ht="54" customHeight="1">
      <c r="A3241" s="2" t="s">
        <v>7268</v>
      </c>
      <c r="B3241" s="2" t="s">
        <v>7268</v>
      </c>
      <c r="C3241" s="2" t="s">
        <v>122</v>
      </c>
      <c r="D3241" s="2" t="s">
        <v>18</v>
      </c>
      <c r="E3241" s="5" t="s">
        <v>518</v>
      </c>
      <c r="F3241" s="3" t="s">
        <v>519</v>
      </c>
      <c r="G3241" s="3" t="s">
        <v>86</v>
      </c>
      <c r="H3241" s="2" t="s">
        <v>22</v>
      </c>
      <c r="I3241" s="2" t="s">
        <v>7269</v>
      </c>
      <c r="J3241" s="3" t="str">
        <f>HYPERLINK("https://www.boe.es/gazeta/dias/1834/03/15/pdfs/GMD-1834-33.pdf#page=2","Abrir facsímil")</f>
        <v>Abrir facsímil</v>
      </c>
      <c r="K3241" s="3" t="s">
        <v>24</v>
      </c>
    </row>
    <row r="3242" spans="1:11" ht="54" customHeight="1">
      <c r="A3242" s="2" t="s">
        <v>7270</v>
      </c>
      <c r="B3242" s="2" t="s">
        <v>7271</v>
      </c>
      <c r="C3242" s="2" t="s">
        <v>17</v>
      </c>
      <c r="D3242" s="2" t="s">
        <v>18</v>
      </c>
      <c r="E3242" s="5" t="s">
        <v>1575</v>
      </c>
      <c r="F3242" s="3" t="s">
        <v>1576</v>
      </c>
      <c r="G3242" s="3" t="s">
        <v>34</v>
      </c>
      <c r="H3242" s="2" t="s">
        <v>22</v>
      </c>
      <c r="I3242" s="2" t="s">
        <v>7272</v>
      </c>
      <c r="J3242" s="3" t="str">
        <f>HYPERLINK("https://www.boe.es/gazeta/dias/1834/11/24/pdfs/GMD-1834-283.pdf#page=1","Abrir facsímil")</f>
        <v>Abrir facsímil</v>
      </c>
      <c r="K3242" s="3" t="s">
        <v>24</v>
      </c>
    </row>
    <row r="3243" spans="1:11" ht="54" customHeight="1">
      <c r="A3243" s="2" t="s">
        <v>7273</v>
      </c>
      <c r="B3243" s="2" t="s">
        <v>7273</v>
      </c>
      <c r="C3243" s="2" t="s">
        <v>90</v>
      </c>
      <c r="D3243" s="2" t="s">
        <v>101</v>
      </c>
      <c r="E3243" s="5" t="s">
        <v>426</v>
      </c>
      <c r="F3243" s="3" t="s">
        <v>694</v>
      </c>
      <c r="G3243" s="3" t="s">
        <v>75</v>
      </c>
      <c r="H3243" s="2" t="s">
        <v>22</v>
      </c>
      <c r="I3243" s="2" t="s">
        <v>7274</v>
      </c>
      <c r="J3243" s="3" t="str">
        <f>HYPERLINK("https://www.boe.es/gazeta/dias/1834/10/04/pdfs/GMD-C-1834-232.pdf#page=4","Abrir facsímil")</f>
        <v>Abrir facsímil</v>
      </c>
      <c r="K3243" s="3" t="s">
        <v>24</v>
      </c>
    </row>
    <row r="3244" spans="1:11" ht="54" customHeight="1">
      <c r="A3244" s="2" t="s">
        <v>7273</v>
      </c>
      <c r="B3244" s="2" t="s">
        <v>7273</v>
      </c>
      <c r="C3244" s="2" t="s">
        <v>17</v>
      </c>
      <c r="D3244" s="2" t="s">
        <v>18</v>
      </c>
      <c r="E3244" s="5" t="s">
        <v>2203</v>
      </c>
      <c r="F3244" s="3" t="s">
        <v>2204</v>
      </c>
      <c r="G3244" s="3" t="s">
        <v>28</v>
      </c>
      <c r="H3244" s="2" t="s">
        <v>22</v>
      </c>
      <c r="I3244" s="2" t="s">
        <v>7275</v>
      </c>
      <c r="J3244" s="3" t="str">
        <f>HYPERLINK("https://www.boe.es/gazeta/dias/1834/09/10/pdfs/GMD-C-1834-208.pdf#page=5","Abrir facsímil")</f>
        <v>Abrir facsímil</v>
      </c>
      <c r="K3244" s="3" t="s">
        <v>24</v>
      </c>
    </row>
    <row r="3245" spans="1:11" ht="54" customHeight="1">
      <c r="A3245" s="2" t="s">
        <v>7273</v>
      </c>
      <c r="B3245" s="2" t="s">
        <v>7273</v>
      </c>
      <c r="C3245" s="2" t="s">
        <v>66</v>
      </c>
      <c r="D3245" s="2" t="s">
        <v>67</v>
      </c>
      <c r="E3245" s="5" t="s">
        <v>2241</v>
      </c>
      <c r="F3245" s="3" t="s">
        <v>2242</v>
      </c>
      <c r="G3245" s="3" t="s">
        <v>21</v>
      </c>
      <c r="H3245" s="2" t="s">
        <v>22</v>
      </c>
      <c r="I3245" s="2" t="s">
        <v>7276</v>
      </c>
      <c r="J3245" s="3" t="str">
        <f>HYPERLINK("https://www.boe.es/gazeta/dias/1834/03/11/pdfs/GMD-1834-31.pdf#page=3","Abrir facsímil")</f>
        <v>Abrir facsímil</v>
      </c>
      <c r="K3245" s="3" t="s">
        <v>24</v>
      </c>
    </row>
    <row r="3246" spans="1:11" ht="54" customHeight="1">
      <c r="A3246" s="2" t="s">
        <v>7273</v>
      </c>
      <c r="B3246" s="2" t="s">
        <v>7273</v>
      </c>
      <c r="C3246" s="2" t="s">
        <v>17</v>
      </c>
      <c r="D3246" s="2" t="s">
        <v>18</v>
      </c>
      <c r="E3246" s="5" t="s">
        <v>1510</v>
      </c>
      <c r="F3246" s="3" t="s">
        <v>1511</v>
      </c>
      <c r="G3246" s="3" t="s">
        <v>21</v>
      </c>
      <c r="H3246" s="2" t="s">
        <v>22</v>
      </c>
      <c r="I3246" s="2" t="s">
        <v>7277</v>
      </c>
      <c r="J3246" s="3" t="str">
        <f>HYPERLINK("https://www.boe.es/gazeta/dias/1834/06/13/pdfs/GMD-1834-116.pdf#page=3","Abrir facsímil")</f>
        <v>Abrir facsímil</v>
      </c>
      <c r="K3246" s="3" t="s">
        <v>24</v>
      </c>
    </row>
    <row r="3247" spans="1:11" ht="54" customHeight="1">
      <c r="A3247" s="2" t="s">
        <v>7273</v>
      </c>
      <c r="B3247" s="2" t="s">
        <v>7273</v>
      </c>
      <c r="C3247" s="2" t="s">
        <v>66</v>
      </c>
      <c r="D3247" s="2" t="s">
        <v>67</v>
      </c>
      <c r="E3247" s="5" t="s">
        <v>19</v>
      </c>
      <c r="F3247" s="3" t="s">
        <v>1933</v>
      </c>
      <c r="G3247" s="3" t="s">
        <v>86</v>
      </c>
      <c r="H3247" s="2" t="s">
        <v>22</v>
      </c>
      <c r="I3247" s="2" t="s">
        <v>7278</v>
      </c>
      <c r="J3247" s="3" t="str">
        <f>HYPERLINK("https://www.boe.es/gazeta/dias/1834/08/17/pdfs/GMD-1834-183E.pdf#page=2","Abrir facsímil")</f>
        <v>Abrir facsímil</v>
      </c>
      <c r="K3247" s="3" t="s">
        <v>24</v>
      </c>
    </row>
    <row r="3248" spans="1:11" ht="54" customHeight="1">
      <c r="A3248" s="2" t="s">
        <v>7273</v>
      </c>
      <c r="B3248" s="2" t="s">
        <v>7273</v>
      </c>
      <c r="C3248" s="2" t="s">
        <v>17</v>
      </c>
      <c r="D3248" s="2" t="s">
        <v>18</v>
      </c>
      <c r="E3248" s="5" t="s">
        <v>1850</v>
      </c>
      <c r="F3248" s="3" t="s">
        <v>1851</v>
      </c>
      <c r="G3248" s="3" t="s">
        <v>560</v>
      </c>
      <c r="H3248" s="2" t="s">
        <v>22</v>
      </c>
      <c r="I3248" s="2" t="s">
        <v>7279</v>
      </c>
      <c r="J3248" s="3" t="str">
        <f>HYPERLINK("https://www.boe.es/gazeta/dias/1834/02/18/pdfs/GMD-1834-22.pdf#page=7","Abrir facsímil")</f>
        <v>Abrir facsímil</v>
      </c>
      <c r="K3248" s="3" t="s">
        <v>24</v>
      </c>
    </row>
    <row r="3249" spans="1:11" ht="54" customHeight="1">
      <c r="A3249" s="2" t="s">
        <v>7273</v>
      </c>
      <c r="B3249" s="2" t="s">
        <v>7273</v>
      </c>
      <c r="C3249" s="2" t="s">
        <v>66</v>
      </c>
      <c r="D3249" s="2" t="s">
        <v>67</v>
      </c>
      <c r="E3249" s="5" t="s">
        <v>563</v>
      </c>
      <c r="F3249" s="3" t="s">
        <v>5858</v>
      </c>
      <c r="G3249" s="3" t="s">
        <v>86</v>
      </c>
      <c r="H3249" s="2" t="s">
        <v>22</v>
      </c>
      <c r="I3249" s="2" t="s">
        <v>7280</v>
      </c>
      <c r="J3249" s="3" t="str">
        <f>HYPERLINK("https://www.boe.es/gazeta/dias/1834/04/19/pdfs/GMD-C-1834-58.pdf#page=2","Abrir facsímil")</f>
        <v>Abrir facsímil</v>
      </c>
      <c r="K3249" s="3" t="s">
        <v>24</v>
      </c>
    </row>
    <row r="3250" spans="1:11" ht="54" customHeight="1">
      <c r="A3250" s="2" t="s">
        <v>7273</v>
      </c>
      <c r="B3250" s="2" t="s">
        <v>7273</v>
      </c>
      <c r="C3250" s="2" t="s">
        <v>46</v>
      </c>
      <c r="D3250" s="2" t="s">
        <v>101</v>
      </c>
      <c r="E3250" s="5" t="s">
        <v>1572</v>
      </c>
      <c r="F3250" s="3" t="s">
        <v>1573</v>
      </c>
      <c r="G3250" s="3" t="s">
        <v>28</v>
      </c>
      <c r="H3250" s="2" t="s">
        <v>22</v>
      </c>
      <c r="I3250" s="2" t="s">
        <v>7281</v>
      </c>
      <c r="J3250" s="3" t="str">
        <f>HYPERLINK("https://www.boe.es/gazeta/dias/1834/03/20/pdfs/GMD-1834-35.pdf#page=5","Abrir facsímil")</f>
        <v>Abrir facsímil</v>
      </c>
      <c r="K3250" s="3" t="s">
        <v>24</v>
      </c>
    </row>
    <row r="3251" spans="1:11" ht="54" customHeight="1">
      <c r="A3251" s="2" t="s">
        <v>7273</v>
      </c>
      <c r="B3251" s="2" t="s">
        <v>7273</v>
      </c>
      <c r="C3251" s="2" t="s">
        <v>17</v>
      </c>
      <c r="D3251" s="2" t="s">
        <v>101</v>
      </c>
      <c r="E3251" s="5" t="s">
        <v>753</v>
      </c>
      <c r="F3251" s="3" t="s">
        <v>754</v>
      </c>
      <c r="G3251" s="3" t="s">
        <v>75</v>
      </c>
      <c r="H3251" s="2" t="s">
        <v>22</v>
      </c>
      <c r="I3251" s="2" t="s">
        <v>7282</v>
      </c>
      <c r="J3251" s="3" t="str">
        <f>HYPERLINK("https://www.boe.es/gazeta/dias/1834/04/21/pdfs/GMD-1834-60.pdf#page=4","Abrir facsímil")</f>
        <v>Abrir facsímil</v>
      </c>
      <c r="K3251" s="3" t="s">
        <v>24</v>
      </c>
    </row>
    <row r="3252" spans="1:11" ht="54" customHeight="1">
      <c r="A3252" s="2" t="s">
        <v>7273</v>
      </c>
      <c r="B3252" s="2" t="s">
        <v>7273</v>
      </c>
      <c r="C3252" s="2" t="s">
        <v>46</v>
      </c>
      <c r="D3252" s="2" t="s">
        <v>101</v>
      </c>
      <c r="E3252" s="5" t="s">
        <v>606</v>
      </c>
      <c r="F3252" s="3" t="s">
        <v>607</v>
      </c>
      <c r="G3252" s="3" t="s">
        <v>75</v>
      </c>
      <c r="H3252" s="2" t="s">
        <v>22</v>
      </c>
      <c r="I3252" s="2" t="s">
        <v>7283</v>
      </c>
      <c r="J3252" s="3" t="str">
        <f>HYPERLINK("https://www.boe.es/gazeta/dias/1834/06/23/pdfs/GMD-1834-126.pdf#page=4","Abrir facsímil")</f>
        <v>Abrir facsímil</v>
      </c>
      <c r="K3252" s="3" t="s">
        <v>24</v>
      </c>
    </row>
    <row r="3253" spans="1:11" ht="54" customHeight="1">
      <c r="A3253" s="2" t="s">
        <v>7273</v>
      </c>
      <c r="B3253" s="2" t="s">
        <v>7273</v>
      </c>
      <c r="C3253" s="2" t="s">
        <v>17</v>
      </c>
      <c r="D3253" s="2" t="s">
        <v>18</v>
      </c>
      <c r="E3253" s="5" t="s">
        <v>739</v>
      </c>
      <c r="F3253" s="3" t="s">
        <v>740</v>
      </c>
      <c r="G3253" s="3" t="s">
        <v>75</v>
      </c>
      <c r="H3253" s="2" t="s">
        <v>22</v>
      </c>
      <c r="I3253" s="2" t="s">
        <v>7284</v>
      </c>
      <c r="J3253" s="3" t="str">
        <f>HYPERLINK("https://www.boe.es/gazeta/dias/1834/03/25/pdfs/GMD-1834-37.pdf#page=4","Abrir facsímil")</f>
        <v>Abrir facsímil</v>
      </c>
      <c r="K3253" s="3" t="s">
        <v>24</v>
      </c>
    </row>
    <row r="3254" spans="1:11" ht="54" customHeight="1">
      <c r="A3254" s="2" t="s">
        <v>7273</v>
      </c>
      <c r="B3254" s="2" t="s">
        <v>7273</v>
      </c>
      <c r="C3254" s="2" t="s">
        <v>66</v>
      </c>
      <c r="D3254" s="2" t="s">
        <v>67</v>
      </c>
      <c r="E3254" s="5" t="s">
        <v>286</v>
      </c>
      <c r="F3254" s="3" t="s">
        <v>1928</v>
      </c>
      <c r="G3254" s="3" t="s">
        <v>34</v>
      </c>
      <c r="H3254" s="2" t="s">
        <v>22</v>
      </c>
      <c r="I3254" s="2" t="s">
        <v>7285</v>
      </c>
      <c r="J3254" s="3" t="str">
        <f>HYPERLINK("https://www.boe.es/gazeta/dias/1834/08/30/pdfs/GMD-1834-197E.pdf#page=1","Abrir facsímil")</f>
        <v>Abrir facsímil</v>
      </c>
      <c r="K3254" s="3" t="s">
        <v>24</v>
      </c>
    </row>
    <row r="3255" spans="1:11" ht="54" customHeight="1">
      <c r="A3255" s="2" t="s">
        <v>7286</v>
      </c>
      <c r="B3255" s="2" t="s">
        <v>7287</v>
      </c>
      <c r="C3255" s="2" t="s">
        <v>17</v>
      </c>
      <c r="D3255" s="2" t="s">
        <v>18</v>
      </c>
      <c r="E3255" s="5" t="s">
        <v>2203</v>
      </c>
      <c r="F3255" s="3" t="s">
        <v>2204</v>
      </c>
      <c r="G3255" s="3" t="s">
        <v>28</v>
      </c>
      <c r="H3255" s="2" t="s">
        <v>22</v>
      </c>
      <c r="I3255" s="2" t="s">
        <v>7288</v>
      </c>
      <c r="J3255" s="3" t="str">
        <f>HYPERLINK("https://www.boe.es/gazeta/dias/1834/09/10/pdfs/GMD-C-1834-208.pdf#page=5","Abrir facsímil")</f>
        <v>Abrir facsímil</v>
      </c>
      <c r="K3255" s="3" t="s">
        <v>24</v>
      </c>
    </row>
    <row r="3256" spans="1:11" ht="54" customHeight="1">
      <c r="A3256" s="2" t="s">
        <v>7289</v>
      </c>
      <c r="B3256" s="2" t="s">
        <v>7290</v>
      </c>
      <c r="C3256" s="2" t="s">
        <v>17</v>
      </c>
      <c r="D3256" s="2" t="s">
        <v>55</v>
      </c>
      <c r="E3256" s="5" t="s">
        <v>1125</v>
      </c>
      <c r="F3256" s="3" t="s">
        <v>1126</v>
      </c>
      <c r="G3256" s="3" t="s">
        <v>86</v>
      </c>
      <c r="H3256" s="2" t="s">
        <v>35</v>
      </c>
      <c r="I3256" s="2" t="s">
        <v>7291</v>
      </c>
      <c r="J3256" s="3" t="str">
        <f>HYPERLINK("https://www.boe.es/gazeta/dias/1834/04/17/pdfs/GMD-C-1834-56.pdf#page=2","Abrir facsímil")</f>
        <v>Abrir facsímil</v>
      </c>
      <c r="K3256" s="3" t="s">
        <v>37</v>
      </c>
    </row>
    <row r="3257" spans="1:11" ht="54" customHeight="1">
      <c r="A3257" s="2" t="s">
        <v>7292</v>
      </c>
      <c r="B3257" s="2" t="s">
        <v>7293</v>
      </c>
      <c r="C3257" s="2" t="s">
        <v>17</v>
      </c>
      <c r="D3257" s="2" t="s">
        <v>55</v>
      </c>
      <c r="E3257" s="5" t="s">
        <v>1125</v>
      </c>
      <c r="F3257" s="3" t="s">
        <v>1126</v>
      </c>
      <c r="G3257" s="3" t="s">
        <v>86</v>
      </c>
      <c r="H3257" s="2" t="s">
        <v>22</v>
      </c>
      <c r="I3257" s="2" t="s">
        <v>7294</v>
      </c>
      <c r="J3257" s="3" t="str">
        <f>HYPERLINK("https://www.boe.es/gazeta/dias/1834/04/17/pdfs/GMD-C-1834-56.pdf#page=2","Abrir facsímil")</f>
        <v>Abrir facsímil</v>
      </c>
      <c r="K3257" s="3" t="s">
        <v>24</v>
      </c>
    </row>
    <row r="3258" spans="1:11" ht="54" customHeight="1">
      <c r="A3258" s="2" t="s">
        <v>7295</v>
      </c>
      <c r="B3258" s="2" t="s">
        <v>7296</v>
      </c>
      <c r="C3258" s="2" t="s">
        <v>17</v>
      </c>
      <c r="D3258" s="2" t="s">
        <v>18</v>
      </c>
      <c r="E3258" s="5" t="s">
        <v>707</v>
      </c>
      <c r="F3258" s="3" t="s">
        <v>708</v>
      </c>
      <c r="G3258" s="3" t="s">
        <v>176</v>
      </c>
      <c r="H3258" s="2" t="s">
        <v>22</v>
      </c>
      <c r="I3258" s="2" t="s">
        <v>7297</v>
      </c>
      <c r="J3258" s="3" t="str">
        <f>HYPERLINK("https://www.boe.es/gazeta/dias/1834/11/25/pdfs/GMD-C-1834-284.pdf#page=6","Abrir facsímil")</f>
        <v>Abrir facsímil</v>
      </c>
      <c r="K3258" s="3" t="s">
        <v>24</v>
      </c>
    </row>
    <row r="3259" spans="1:11" ht="54" customHeight="1">
      <c r="A3259" s="2" t="s">
        <v>7298</v>
      </c>
      <c r="B3259" s="2" t="s">
        <v>7299</v>
      </c>
      <c r="C3259" s="2" t="s">
        <v>46</v>
      </c>
      <c r="D3259" s="2" t="s">
        <v>18</v>
      </c>
      <c r="E3259" s="5" t="s">
        <v>939</v>
      </c>
      <c r="F3259" s="3" t="s">
        <v>940</v>
      </c>
      <c r="G3259" s="3" t="s">
        <v>21</v>
      </c>
      <c r="H3259" s="2" t="s">
        <v>22</v>
      </c>
      <c r="I3259" s="2" t="s">
        <v>7300</v>
      </c>
      <c r="J3259" s="3" t="str">
        <f>HYPERLINK("https://www.boe.es/gazeta/dias/1834/06/10/pdfs/GMD-1834-113.pdf#page=3","Abrir facsímil")</f>
        <v>Abrir facsímil</v>
      </c>
      <c r="K3259" s="3" t="s">
        <v>24</v>
      </c>
    </row>
    <row r="3260" spans="1:11" ht="54" customHeight="1">
      <c r="A3260" s="2" t="s">
        <v>7301</v>
      </c>
      <c r="B3260" s="2" t="s">
        <v>7302</v>
      </c>
      <c r="C3260" s="2" t="s">
        <v>66</v>
      </c>
      <c r="D3260" s="2" t="s">
        <v>18</v>
      </c>
      <c r="E3260" s="5" t="s">
        <v>32</v>
      </c>
      <c r="F3260" s="3" t="s">
        <v>33</v>
      </c>
      <c r="G3260" s="3" t="s">
        <v>34</v>
      </c>
      <c r="H3260" s="2" t="s">
        <v>22</v>
      </c>
      <c r="I3260" s="2" t="s">
        <v>7303</v>
      </c>
      <c r="J3260" s="3" t="str">
        <f>HYPERLINK("https://www.boe.es/gazeta/dias/1834/04/23/pdfs/GMD-1834-62.pdf#page=1","Abrir facsímil")</f>
        <v>Abrir facsímil</v>
      </c>
      <c r="K3260" s="3" t="s">
        <v>24</v>
      </c>
    </row>
    <row r="3261" spans="1:11" ht="54" customHeight="1">
      <c r="A3261" s="2" t="s">
        <v>7304</v>
      </c>
      <c r="B3261" s="2" t="s">
        <v>7304</v>
      </c>
      <c r="C3261" s="2" t="s">
        <v>17</v>
      </c>
      <c r="D3261" s="2" t="s">
        <v>18</v>
      </c>
      <c r="E3261" s="5" t="s">
        <v>343</v>
      </c>
      <c r="F3261" s="3" t="s">
        <v>344</v>
      </c>
      <c r="G3261" s="3" t="s">
        <v>75</v>
      </c>
      <c r="H3261" s="2" t="s">
        <v>22</v>
      </c>
      <c r="I3261" s="2" t="s">
        <v>7305</v>
      </c>
      <c r="J3261" s="3" t="str">
        <f>HYPERLINK("https://www.boe.es/gazeta/dias/1834/01/14/pdfs/GMD-1834-7.pdf#page=4","Abrir facsímil")</f>
        <v>Abrir facsímil</v>
      </c>
      <c r="K3261" s="3" t="s">
        <v>24</v>
      </c>
    </row>
    <row r="3262" spans="1:11" ht="54" customHeight="1">
      <c r="A3262" s="2" t="s">
        <v>7306</v>
      </c>
      <c r="B3262" s="2" t="s">
        <v>7307</v>
      </c>
      <c r="C3262" s="2" t="s">
        <v>17</v>
      </c>
      <c r="D3262" s="2" t="s">
        <v>40</v>
      </c>
      <c r="E3262" s="5" t="s">
        <v>138</v>
      </c>
      <c r="F3262" s="3" t="s">
        <v>139</v>
      </c>
      <c r="G3262" s="3" t="s">
        <v>75</v>
      </c>
      <c r="H3262" s="2" t="s">
        <v>22</v>
      </c>
      <c r="I3262" s="2" t="s">
        <v>7308</v>
      </c>
      <c r="J3262" s="3" t="str">
        <f>HYPERLINK("https://www.boe.es/gazeta/dias/1834/05/17/pdfs/GMD-1834-86.pdf#page=4","Abrir facsímil")</f>
        <v>Abrir facsímil</v>
      </c>
      <c r="K3262" s="3" t="s">
        <v>24</v>
      </c>
    </row>
    <row r="3263" spans="1:11" ht="54" customHeight="1">
      <c r="A3263" s="2" t="s">
        <v>7309</v>
      </c>
      <c r="B3263" s="2" t="s">
        <v>7310</v>
      </c>
      <c r="C3263" s="2" t="s">
        <v>17</v>
      </c>
      <c r="D3263" s="2" t="s">
        <v>18</v>
      </c>
      <c r="E3263" s="5" t="s">
        <v>174</v>
      </c>
      <c r="F3263" s="3" t="s">
        <v>175</v>
      </c>
      <c r="G3263" s="3" t="s">
        <v>21</v>
      </c>
      <c r="H3263" s="2" t="s">
        <v>22</v>
      </c>
      <c r="I3263" s="2" t="s">
        <v>7311</v>
      </c>
      <c r="J3263" s="3" t="str">
        <f>HYPERLINK("https://www.boe.es/gazeta/dias/1834/03/27/pdfs/GMD-1834-38.pdf#page=3","Abrir facsímil")</f>
        <v>Abrir facsímil</v>
      </c>
      <c r="K3263" s="3" t="s">
        <v>24</v>
      </c>
    </row>
    <row r="3264" spans="1:11" ht="54" customHeight="1">
      <c r="A3264" s="2" t="s">
        <v>7312</v>
      </c>
      <c r="B3264" s="2" t="s">
        <v>7312</v>
      </c>
      <c r="C3264" s="2" t="s">
        <v>66</v>
      </c>
      <c r="D3264" s="2" t="s">
        <v>40</v>
      </c>
      <c r="E3264" s="5" t="s">
        <v>174</v>
      </c>
      <c r="F3264" s="3" t="s">
        <v>175</v>
      </c>
      <c r="G3264" s="3" t="s">
        <v>75</v>
      </c>
      <c r="H3264" s="2" t="s">
        <v>22</v>
      </c>
      <c r="I3264" s="2" t="s">
        <v>7313</v>
      </c>
      <c r="J3264" s="3" t="str">
        <f>HYPERLINK("https://www.boe.es/gazeta/dias/1834/03/27/pdfs/GMD-1834-38.pdf#page=4","Abrir facsímil")</f>
        <v>Abrir facsímil</v>
      </c>
      <c r="K3264" s="3" t="s">
        <v>24</v>
      </c>
    </row>
    <row r="3265" spans="1:11" ht="54" customHeight="1">
      <c r="A3265" s="2" t="s">
        <v>7314</v>
      </c>
      <c r="B3265" s="2" t="s">
        <v>7315</v>
      </c>
      <c r="C3265" s="2" t="s">
        <v>90</v>
      </c>
      <c r="D3265" s="2" t="s">
        <v>18</v>
      </c>
      <c r="E3265" s="5" t="s">
        <v>563</v>
      </c>
      <c r="F3265" s="3" t="s">
        <v>564</v>
      </c>
      <c r="G3265" s="3" t="s">
        <v>34</v>
      </c>
      <c r="H3265" s="2" t="s">
        <v>22</v>
      </c>
      <c r="I3265" s="2" t="s">
        <v>7316</v>
      </c>
      <c r="J3265" s="3" t="str">
        <f>HYPERLINK("https://www.boe.es/gazeta/dias/1834/04/19/pdfs/GMD-1834-58.pdf#page=1","Abrir facsímil")</f>
        <v>Abrir facsímil</v>
      </c>
      <c r="K3265" s="3" t="s">
        <v>24</v>
      </c>
    </row>
    <row r="3266" spans="1:11" ht="54" customHeight="1">
      <c r="A3266" s="2" t="s">
        <v>7317</v>
      </c>
      <c r="B3266" s="2" t="s">
        <v>7318</v>
      </c>
      <c r="C3266" s="2" t="s">
        <v>17</v>
      </c>
      <c r="D3266" s="2" t="s">
        <v>18</v>
      </c>
      <c r="E3266" s="5" t="s">
        <v>433</v>
      </c>
      <c r="F3266" s="3" t="s">
        <v>434</v>
      </c>
      <c r="G3266" s="3" t="s">
        <v>86</v>
      </c>
      <c r="H3266" s="2" t="s">
        <v>22</v>
      </c>
      <c r="I3266" s="2" t="s">
        <v>7319</v>
      </c>
      <c r="J3266" s="3" t="str">
        <f>HYPERLINK("https://www.boe.es/gazeta/dias/1834/10/07/pdfs/GMD-C-1834-235.pdf#page=2","Abrir facsímil")</f>
        <v>Abrir facsímil</v>
      </c>
      <c r="K3266" s="3" t="s">
        <v>24</v>
      </c>
    </row>
    <row r="3267" spans="1:11" ht="54" customHeight="1">
      <c r="A3267" s="2" t="s">
        <v>7320</v>
      </c>
      <c r="B3267" s="2" t="s">
        <v>7321</v>
      </c>
      <c r="C3267" s="2" t="s">
        <v>90</v>
      </c>
      <c r="D3267" s="2" t="s">
        <v>67</v>
      </c>
      <c r="E3267" s="5" t="s">
        <v>258</v>
      </c>
      <c r="F3267" s="3" t="s">
        <v>259</v>
      </c>
      <c r="G3267" s="3" t="s">
        <v>75</v>
      </c>
      <c r="H3267" s="2" t="s">
        <v>22</v>
      </c>
      <c r="I3267" s="2" t="s">
        <v>7322</v>
      </c>
      <c r="J3267" s="3" t="str">
        <f>HYPERLINK("https://www.boe.es/gazeta/dias/1834/10/09/pdfs/GMD-C-1834-237.pdf#page=4","Abrir facsímil")</f>
        <v>Abrir facsímil</v>
      </c>
      <c r="K3267" s="3" t="s">
        <v>24</v>
      </c>
    </row>
    <row r="3268" spans="1:11" ht="54" customHeight="1">
      <c r="A3268" s="2" t="s">
        <v>7323</v>
      </c>
      <c r="B3268" s="2" t="s">
        <v>7324</v>
      </c>
      <c r="C3268" s="2" t="s">
        <v>66</v>
      </c>
      <c r="D3268" s="2" t="s">
        <v>67</v>
      </c>
      <c r="E3268" s="5" t="s">
        <v>61</v>
      </c>
      <c r="F3268" s="3" t="s">
        <v>205</v>
      </c>
      <c r="G3268" s="3" t="s">
        <v>21</v>
      </c>
      <c r="H3268" s="2" t="s">
        <v>35</v>
      </c>
      <c r="I3268" s="2" t="s">
        <v>7325</v>
      </c>
      <c r="J3268" s="3" t="str">
        <f>HYPERLINK("https://www.boe.es/gazeta/dias/1834/06/08/pdfs/GMD-1834-110.pdf#page=3","Abrir facsímil")</f>
        <v>Abrir facsímil</v>
      </c>
      <c r="K3268" s="3" t="s">
        <v>37</v>
      </c>
    </row>
    <row r="3269" spans="1:11" ht="54" customHeight="1">
      <c r="A3269" s="2" t="s">
        <v>7326</v>
      </c>
      <c r="B3269" s="2" t="s">
        <v>7327</v>
      </c>
      <c r="C3269" s="2" t="s">
        <v>17</v>
      </c>
      <c r="D3269" s="2" t="s">
        <v>18</v>
      </c>
      <c r="E3269" s="5" t="s">
        <v>286</v>
      </c>
      <c r="F3269" s="3" t="s">
        <v>287</v>
      </c>
      <c r="G3269" s="3" t="s">
        <v>75</v>
      </c>
      <c r="H3269" s="2" t="s">
        <v>22</v>
      </c>
      <c r="I3269" s="2" t="s">
        <v>7328</v>
      </c>
      <c r="J3269" s="3" t="str">
        <f>HYPERLINK("https://www.boe.es/gazeta/dias/1834/08/30/pdfs/GMD-C-1834-196.pdf#page=4","Abrir facsímil")</f>
        <v>Abrir facsímil</v>
      </c>
      <c r="K3269" s="3" t="s">
        <v>24</v>
      </c>
    </row>
    <row r="3270" spans="1:11" ht="54" customHeight="1">
      <c r="A3270" s="2" t="s">
        <v>7329</v>
      </c>
      <c r="B3270" s="2" t="s">
        <v>7330</v>
      </c>
      <c r="C3270" s="2" t="s">
        <v>17</v>
      </c>
      <c r="D3270" s="2" t="s">
        <v>40</v>
      </c>
      <c r="E3270" s="5" t="s">
        <v>454</v>
      </c>
      <c r="F3270" s="3" t="s">
        <v>2009</v>
      </c>
      <c r="G3270" s="3" t="s">
        <v>86</v>
      </c>
      <c r="H3270" s="2" t="s">
        <v>22</v>
      </c>
      <c r="I3270" s="2" t="s">
        <v>7331</v>
      </c>
      <c r="J3270" s="3" t="str">
        <f>HYPERLINK("https://www.boe.es/gazeta/dias/1834/10/16/pdfs/GMD-1834-244.pdf#page=2","Abrir facsímil")</f>
        <v>Abrir facsímil</v>
      </c>
      <c r="K3270" s="3" t="s">
        <v>24</v>
      </c>
    </row>
    <row r="3271" spans="1:11" ht="54" customHeight="1">
      <c r="A3271" s="2" t="s">
        <v>7332</v>
      </c>
      <c r="B3271" s="2" t="s">
        <v>7333</v>
      </c>
      <c r="C3271" s="2" t="s">
        <v>66</v>
      </c>
      <c r="D3271" s="2" t="s">
        <v>67</v>
      </c>
      <c r="E3271" s="5" t="s">
        <v>61</v>
      </c>
      <c r="F3271" s="3" t="s">
        <v>205</v>
      </c>
      <c r="G3271" s="3" t="s">
        <v>21</v>
      </c>
      <c r="H3271" s="2" t="s">
        <v>22</v>
      </c>
      <c r="I3271" s="2" t="s">
        <v>7334</v>
      </c>
      <c r="J3271" s="3" t="str">
        <f>HYPERLINK("https://www.boe.es/gazeta/dias/1834/06/08/pdfs/GMD-1834-110.pdf#page=3","Abrir facsímil")</f>
        <v>Abrir facsímil</v>
      </c>
      <c r="K3271" s="3" t="s">
        <v>24</v>
      </c>
    </row>
    <row r="3272" spans="1:11" ht="54" customHeight="1">
      <c r="A3272" s="2" t="s">
        <v>7335</v>
      </c>
      <c r="B3272" s="2" t="s">
        <v>7336</v>
      </c>
      <c r="C3272" s="2" t="s">
        <v>17</v>
      </c>
      <c r="D3272" s="2" t="s">
        <v>18</v>
      </c>
      <c r="E3272" s="5" t="s">
        <v>563</v>
      </c>
      <c r="F3272" s="3" t="s">
        <v>564</v>
      </c>
      <c r="G3272" s="3" t="s">
        <v>176</v>
      </c>
      <c r="H3272" s="2" t="s">
        <v>22</v>
      </c>
      <c r="I3272" s="2" t="s">
        <v>7337</v>
      </c>
      <c r="J3272" s="3" t="str">
        <f>HYPERLINK("https://www.boe.es/gazeta/dias/1834/04/19/pdfs/GMD-1834-58.pdf#page=6","Abrir facsímil")</f>
        <v>Abrir facsímil</v>
      </c>
      <c r="K3272" s="3" t="s">
        <v>24</v>
      </c>
    </row>
    <row r="3273" spans="1:11" ht="54" customHeight="1">
      <c r="A3273" s="2" t="s">
        <v>7338</v>
      </c>
      <c r="B3273" s="2" t="s">
        <v>7339</v>
      </c>
      <c r="C3273" s="2" t="s">
        <v>66</v>
      </c>
      <c r="D3273" s="2" t="s">
        <v>67</v>
      </c>
      <c r="E3273" s="5" t="s">
        <v>348</v>
      </c>
      <c r="F3273" s="3" t="s">
        <v>501</v>
      </c>
      <c r="G3273" s="3" t="s">
        <v>75</v>
      </c>
      <c r="H3273" s="2" t="s">
        <v>22</v>
      </c>
      <c r="I3273" s="2" t="s">
        <v>7340</v>
      </c>
      <c r="J3273" s="3" t="str">
        <f>HYPERLINK("https://www.boe.es/gazeta/dias/1834/06/12/pdfs/GMD-1834-115.pdf#page=4","Abrir facsímil")</f>
        <v>Abrir facsímil</v>
      </c>
      <c r="K3273" s="3" t="s">
        <v>24</v>
      </c>
    </row>
    <row r="3274" spans="1:11" ht="54" customHeight="1">
      <c r="A3274" s="2" t="s">
        <v>7341</v>
      </c>
      <c r="B3274" s="2" t="s">
        <v>7342</v>
      </c>
      <c r="C3274" s="2" t="s">
        <v>17</v>
      </c>
      <c r="D3274" s="2" t="s">
        <v>40</v>
      </c>
      <c r="E3274" s="5" t="s">
        <v>838</v>
      </c>
      <c r="F3274" s="3" t="s">
        <v>839</v>
      </c>
      <c r="G3274" s="3" t="s">
        <v>21</v>
      </c>
      <c r="H3274" s="2" t="s">
        <v>22</v>
      </c>
      <c r="I3274" s="2" t="s">
        <v>7343</v>
      </c>
      <c r="J3274" s="3" t="str">
        <f>HYPERLINK("https://www.boe.es/gazeta/dias/1834/07/18/pdfs/GMD-1834-151.pdf#page=3","Abrir facsímil")</f>
        <v>Abrir facsímil</v>
      </c>
      <c r="K3274" s="3" t="s">
        <v>24</v>
      </c>
    </row>
    <row r="3275" spans="1:11" ht="54" customHeight="1">
      <c r="A3275" s="2" t="s">
        <v>7344</v>
      </c>
      <c r="B3275" s="2" t="s">
        <v>7345</v>
      </c>
      <c r="C3275" s="2" t="s">
        <v>17</v>
      </c>
      <c r="D3275" s="2" t="s">
        <v>18</v>
      </c>
      <c r="E3275" s="5" t="s">
        <v>2004</v>
      </c>
      <c r="F3275" s="3" t="s">
        <v>2005</v>
      </c>
      <c r="G3275" s="3" t="s">
        <v>75</v>
      </c>
      <c r="H3275" s="2" t="s">
        <v>22</v>
      </c>
      <c r="I3275" s="2" t="s">
        <v>7346</v>
      </c>
      <c r="J3275" s="3" t="str">
        <f>HYPERLINK("https://www.boe.es/gazeta/dias/1834/05/09/pdfs/GMD-1834-78.pdf#page=4","Abrir facsímil")</f>
        <v>Abrir facsímil</v>
      </c>
      <c r="K3275" s="3" t="s">
        <v>24</v>
      </c>
    </row>
    <row r="3276" spans="1:11" ht="54" customHeight="1">
      <c r="A3276" s="2" t="s">
        <v>7347</v>
      </c>
      <c r="B3276" s="2" t="s">
        <v>7348</v>
      </c>
      <c r="C3276" s="2" t="s">
        <v>17</v>
      </c>
      <c r="D3276" s="2" t="s">
        <v>18</v>
      </c>
      <c r="E3276" s="5" t="s">
        <v>454</v>
      </c>
      <c r="F3276" s="3" t="s">
        <v>2009</v>
      </c>
      <c r="G3276" s="3" t="s">
        <v>21</v>
      </c>
      <c r="H3276" s="2" t="s">
        <v>22</v>
      </c>
      <c r="I3276" s="2" t="s">
        <v>7349</v>
      </c>
      <c r="J3276" s="3" t="str">
        <f>HYPERLINK("https://www.boe.es/gazeta/dias/1834/10/16/pdfs/GMD-1834-244.pdf#page=3","Abrir facsímil")</f>
        <v>Abrir facsímil</v>
      </c>
      <c r="K3276" s="3" t="s">
        <v>24</v>
      </c>
    </row>
    <row r="3277" spans="1:11" ht="54" customHeight="1">
      <c r="A3277" s="2" t="s">
        <v>7350</v>
      </c>
      <c r="B3277" s="2" t="s">
        <v>7351</v>
      </c>
      <c r="C3277" s="2" t="s">
        <v>66</v>
      </c>
      <c r="D3277" s="2" t="s">
        <v>67</v>
      </c>
      <c r="E3277" s="5" t="s">
        <v>552</v>
      </c>
      <c r="F3277" s="3" t="s">
        <v>553</v>
      </c>
      <c r="G3277" s="3" t="s">
        <v>86</v>
      </c>
      <c r="H3277" s="2" t="s">
        <v>22</v>
      </c>
      <c r="I3277" s="2" t="s">
        <v>7352</v>
      </c>
      <c r="J3277" s="3" t="str">
        <f>HYPERLINK("https://www.boe.es/gazeta/dias/1834/07/30/pdfs/GMD-1834-163.pdf#page=2","Abrir facsímil")</f>
        <v>Abrir facsímil</v>
      </c>
      <c r="K3277" s="3" t="s">
        <v>24</v>
      </c>
    </row>
    <row r="3278" spans="1:11" ht="54" customHeight="1">
      <c r="A3278" s="2" t="s">
        <v>7353</v>
      </c>
      <c r="B3278" s="2" t="s">
        <v>7354</v>
      </c>
      <c r="C3278" s="2" t="s">
        <v>17</v>
      </c>
      <c r="D3278" s="2" t="s">
        <v>40</v>
      </c>
      <c r="E3278" s="5" t="s">
        <v>1195</v>
      </c>
      <c r="F3278" s="3" t="s">
        <v>1916</v>
      </c>
      <c r="G3278" s="3" t="s">
        <v>21</v>
      </c>
      <c r="H3278" s="2" t="s">
        <v>22</v>
      </c>
      <c r="I3278" s="2" t="s">
        <v>7355</v>
      </c>
      <c r="J3278" s="3" t="str">
        <f>HYPERLINK("https://www.boe.es/gazeta/dias/1834/10/17/pdfs/GMD-1834-245.pdf#page=3","Abrir facsímil")</f>
        <v>Abrir facsímil</v>
      </c>
      <c r="K3278" s="3" t="s">
        <v>24</v>
      </c>
    </row>
    <row r="3279" spans="1:11" ht="54" customHeight="1">
      <c r="A3279" s="2" t="s">
        <v>7356</v>
      </c>
      <c r="B3279" s="2" t="s">
        <v>7357</v>
      </c>
      <c r="C3279" s="2" t="s">
        <v>17</v>
      </c>
      <c r="D3279" s="2" t="s">
        <v>18</v>
      </c>
      <c r="E3279" s="5" t="s">
        <v>454</v>
      </c>
      <c r="F3279" s="3" t="s">
        <v>455</v>
      </c>
      <c r="G3279" s="3" t="s">
        <v>21</v>
      </c>
      <c r="H3279" s="2" t="s">
        <v>22</v>
      </c>
      <c r="I3279" s="2" t="s">
        <v>7358</v>
      </c>
      <c r="J3279" s="3" t="str">
        <f>HYPERLINK("https://www.boe.es/gazeta/dias/1834/10/16/pdfs/GMD-C-1834-244.pdf#page=3","Abrir facsímil")</f>
        <v>Abrir facsímil</v>
      </c>
      <c r="K3279" s="3" t="s">
        <v>24</v>
      </c>
    </row>
    <row r="3280" spans="1:11" ht="54" customHeight="1">
      <c r="A3280" s="2" t="s">
        <v>7359</v>
      </c>
      <c r="B3280" s="2" t="s">
        <v>7360</v>
      </c>
      <c r="C3280" s="2" t="s">
        <v>17</v>
      </c>
      <c r="D3280" s="2" t="s">
        <v>18</v>
      </c>
      <c r="E3280" s="5" t="s">
        <v>777</v>
      </c>
      <c r="F3280" s="3" t="s">
        <v>2535</v>
      </c>
      <c r="G3280" s="3" t="s">
        <v>560</v>
      </c>
      <c r="H3280" s="2" t="s">
        <v>22</v>
      </c>
      <c r="I3280" s="2" t="s">
        <v>7361</v>
      </c>
      <c r="J3280" s="3" t="str">
        <f>HYPERLINK("https://www.boe.es/gazeta/dias/1834/10/29/pdfs/GMD-C-1834-257.pdf#page=7","Abrir facsímil")</f>
        <v>Abrir facsímil</v>
      </c>
      <c r="K3280" s="3" t="s">
        <v>24</v>
      </c>
    </row>
    <row r="3281" spans="1:11" ht="54" customHeight="1">
      <c r="A3281" s="2" t="s">
        <v>7362</v>
      </c>
      <c r="B3281" s="2" t="s">
        <v>7363</v>
      </c>
      <c r="C3281" s="2" t="s">
        <v>17</v>
      </c>
      <c r="D3281" s="2" t="s">
        <v>40</v>
      </c>
      <c r="E3281" s="5" t="s">
        <v>91</v>
      </c>
      <c r="F3281" s="3" t="s">
        <v>92</v>
      </c>
      <c r="G3281" s="3" t="s">
        <v>75</v>
      </c>
      <c r="H3281" s="2" t="s">
        <v>22</v>
      </c>
      <c r="I3281" s="2" t="s">
        <v>7364</v>
      </c>
      <c r="J3281" s="3" t="str">
        <f>HYPERLINK("https://www.boe.es/gazeta/dias/1834/02/13/pdfs/GMD-1834-20.pdf#page=4","Abrir facsímil")</f>
        <v>Abrir facsímil</v>
      </c>
      <c r="K3281" s="3" t="s">
        <v>24</v>
      </c>
    </row>
    <row r="3282" spans="1:11" ht="54" customHeight="1">
      <c r="A3282" s="2" t="s">
        <v>7365</v>
      </c>
      <c r="B3282" s="2" t="s">
        <v>7366</v>
      </c>
      <c r="C3282" s="2" t="s">
        <v>17</v>
      </c>
      <c r="D3282" s="2" t="s">
        <v>40</v>
      </c>
      <c r="E3282" s="5" t="s">
        <v>454</v>
      </c>
      <c r="F3282" s="3" t="s">
        <v>2009</v>
      </c>
      <c r="G3282" s="3" t="s">
        <v>86</v>
      </c>
      <c r="H3282" s="2" t="s">
        <v>22</v>
      </c>
      <c r="I3282" s="2" t="s">
        <v>7367</v>
      </c>
      <c r="J3282" s="3" t="str">
        <f>HYPERLINK("https://www.boe.es/gazeta/dias/1834/10/16/pdfs/GMD-1834-244.pdf#page=2","Abrir facsímil")</f>
        <v>Abrir facsímil</v>
      </c>
      <c r="K3282" s="3" t="s">
        <v>24</v>
      </c>
    </row>
    <row r="3283" spans="1:11" ht="54" customHeight="1">
      <c r="A3283" s="2" t="s">
        <v>7368</v>
      </c>
      <c r="B3283" s="2" t="s">
        <v>7368</v>
      </c>
      <c r="C3283" s="2" t="s">
        <v>17</v>
      </c>
      <c r="D3283" s="2" t="s">
        <v>18</v>
      </c>
      <c r="E3283" s="5" t="s">
        <v>510</v>
      </c>
      <c r="F3283" s="3" t="s">
        <v>511</v>
      </c>
      <c r="G3283" s="3" t="s">
        <v>86</v>
      </c>
      <c r="H3283" s="2" t="s">
        <v>22</v>
      </c>
      <c r="I3283" s="2" t="s">
        <v>7369</v>
      </c>
      <c r="J3283" s="3" t="str">
        <f>HYPERLINK("https://www.boe.es/gazeta/dias/1834/11/26/pdfs/GMD-1834-285.pdf#page=2","Abrir facsímil")</f>
        <v>Abrir facsímil</v>
      </c>
      <c r="K3283" s="3" t="s">
        <v>24</v>
      </c>
    </row>
    <row r="3284" spans="1:11" ht="54" customHeight="1">
      <c r="A3284" s="2" t="s">
        <v>7370</v>
      </c>
      <c r="B3284" s="2" t="s">
        <v>7371</v>
      </c>
      <c r="C3284" s="2" t="s">
        <v>122</v>
      </c>
      <c r="D3284" s="2" t="s">
        <v>18</v>
      </c>
      <c r="E3284" s="5" t="s">
        <v>552</v>
      </c>
      <c r="F3284" s="3" t="s">
        <v>1478</v>
      </c>
      <c r="G3284" s="3" t="s">
        <v>34</v>
      </c>
      <c r="H3284" s="2" t="s">
        <v>22</v>
      </c>
      <c r="I3284" s="2" t="s">
        <v>7372</v>
      </c>
      <c r="J3284" s="3" t="str">
        <f>HYPERLINK("https://www.boe.es/gazeta/dias/1834/07/30/pdfs/GMD-C-1834-163.pdf#page=1","Abrir facsímil")</f>
        <v>Abrir facsímil</v>
      </c>
      <c r="K3284" s="3" t="s">
        <v>24</v>
      </c>
    </row>
    <row r="3285" spans="1:11" ht="54" customHeight="1">
      <c r="A3285" s="2" t="s">
        <v>7373</v>
      </c>
      <c r="B3285" s="2" t="s">
        <v>7374</v>
      </c>
      <c r="C3285" s="2" t="s">
        <v>66</v>
      </c>
      <c r="D3285" s="2" t="s">
        <v>67</v>
      </c>
      <c r="E3285" s="5" t="s">
        <v>1850</v>
      </c>
      <c r="F3285" s="3" t="s">
        <v>1851</v>
      </c>
      <c r="G3285" s="3" t="s">
        <v>176</v>
      </c>
      <c r="H3285" s="2" t="s">
        <v>22</v>
      </c>
      <c r="I3285" s="2" t="s">
        <v>7375</v>
      </c>
      <c r="J3285" s="3" t="str">
        <f>HYPERLINK("https://www.boe.es/gazeta/dias/1834/02/18/pdfs/GMD-1834-22.pdf#page=6","Abrir facsímil")</f>
        <v>Abrir facsímil</v>
      </c>
      <c r="K3285" s="3" t="s">
        <v>24</v>
      </c>
    </row>
    <row r="3286" spans="1:11" ht="54" customHeight="1">
      <c r="A3286" s="2" t="s">
        <v>7376</v>
      </c>
      <c r="B3286" s="2" t="s">
        <v>7377</v>
      </c>
      <c r="C3286" s="2" t="s">
        <v>17</v>
      </c>
      <c r="D3286" s="2" t="s">
        <v>18</v>
      </c>
      <c r="E3286" s="5" t="s">
        <v>117</v>
      </c>
      <c r="F3286" s="3" t="s">
        <v>118</v>
      </c>
      <c r="G3286" s="3" t="s">
        <v>75</v>
      </c>
      <c r="H3286" s="2" t="s">
        <v>22</v>
      </c>
      <c r="I3286" s="2" t="s">
        <v>7378</v>
      </c>
      <c r="J3286" s="3" t="str">
        <f>HYPERLINK("https://www.boe.es/gazeta/dias/1834/07/21/pdfs/GMD-1834-154.pdf#page=4","Abrir facsímil")</f>
        <v>Abrir facsímil</v>
      </c>
      <c r="K3286" s="3" t="s">
        <v>24</v>
      </c>
    </row>
    <row r="3287" spans="1:11" ht="54" customHeight="1">
      <c r="A3287" s="2" t="s">
        <v>7379</v>
      </c>
      <c r="B3287" s="2" t="s">
        <v>7380</v>
      </c>
      <c r="C3287" s="2" t="s">
        <v>17</v>
      </c>
      <c r="D3287" s="2" t="s">
        <v>18</v>
      </c>
      <c r="E3287" s="5" t="s">
        <v>1410</v>
      </c>
      <c r="F3287" s="3" t="s">
        <v>2231</v>
      </c>
      <c r="G3287" s="3" t="s">
        <v>34</v>
      </c>
      <c r="H3287" s="2" t="s">
        <v>22</v>
      </c>
      <c r="I3287" s="2" t="s">
        <v>7381</v>
      </c>
      <c r="J3287" s="3" t="str">
        <f>HYPERLINK("https://www.boe.es/gazeta/dias/1834/09/09/pdfs/GMD-C-1834-207.pdf#page=1","Abrir facsímil")</f>
        <v>Abrir facsímil</v>
      </c>
      <c r="K3287" s="3" t="s">
        <v>24</v>
      </c>
    </row>
    <row r="3288" spans="1:11" ht="54" customHeight="1">
      <c r="A3288" s="2" t="s">
        <v>7382</v>
      </c>
      <c r="B3288" s="2" t="s">
        <v>7383</v>
      </c>
      <c r="C3288" s="2" t="s">
        <v>17</v>
      </c>
      <c r="D3288" s="2" t="s">
        <v>18</v>
      </c>
      <c r="E3288" s="5" t="s">
        <v>243</v>
      </c>
      <c r="F3288" s="3" t="s">
        <v>244</v>
      </c>
      <c r="G3288" s="3" t="s">
        <v>21</v>
      </c>
      <c r="H3288" s="2" t="s">
        <v>22</v>
      </c>
      <c r="I3288" s="2" t="s">
        <v>7384</v>
      </c>
      <c r="J3288" s="3" t="str">
        <f>HYPERLINK("https://www.boe.es/gazeta/dias/1834/08/05/pdfs/GMD-C-1834-169.pdf#page=3","Abrir facsímil")</f>
        <v>Abrir facsímil</v>
      </c>
      <c r="K3288" s="3" t="s">
        <v>24</v>
      </c>
    </row>
    <row r="3289" spans="1:11" ht="54" customHeight="1">
      <c r="A3289" s="2" t="s">
        <v>7385</v>
      </c>
      <c r="B3289" s="2" t="s">
        <v>7385</v>
      </c>
      <c r="C3289" s="2" t="s">
        <v>17</v>
      </c>
      <c r="D3289" s="2" t="s">
        <v>40</v>
      </c>
      <c r="E3289" s="5" t="s">
        <v>3471</v>
      </c>
      <c r="F3289" s="3" t="s">
        <v>3472</v>
      </c>
      <c r="G3289" s="3" t="s">
        <v>21</v>
      </c>
      <c r="H3289" s="2" t="s">
        <v>22</v>
      </c>
      <c r="I3289" s="2" t="s">
        <v>7386</v>
      </c>
      <c r="J3289" s="3" t="str">
        <f>HYPERLINK("https://www.boe.es/gazeta/dias/1834/07/07/pdfs/GMD-1834-140.pdf#page=3","Abrir facsímil")</f>
        <v>Abrir facsímil</v>
      </c>
      <c r="K3289" s="3" t="s">
        <v>24</v>
      </c>
    </row>
    <row r="3290" spans="1:11" ht="54" customHeight="1">
      <c r="A3290" s="2" t="s">
        <v>7385</v>
      </c>
      <c r="B3290" s="2" t="s">
        <v>7385</v>
      </c>
      <c r="C3290" s="2" t="s">
        <v>17</v>
      </c>
      <c r="D3290" s="2" t="s">
        <v>55</v>
      </c>
      <c r="E3290" s="5" t="s">
        <v>1195</v>
      </c>
      <c r="F3290" s="3" t="s">
        <v>1916</v>
      </c>
      <c r="G3290" s="3" t="s">
        <v>86</v>
      </c>
      <c r="H3290" s="2" t="s">
        <v>22</v>
      </c>
      <c r="I3290" s="2" t="s">
        <v>7387</v>
      </c>
      <c r="J3290" s="3" t="str">
        <f>HYPERLINK("https://www.boe.es/gazeta/dias/1834/10/17/pdfs/GMD-1834-245.pdf#page=2","Abrir facsímil")</f>
        <v>Abrir facsímil</v>
      </c>
      <c r="K3290" s="3" t="s">
        <v>24</v>
      </c>
    </row>
    <row r="3291" spans="1:11" ht="54" customHeight="1">
      <c r="A3291" s="2" t="s">
        <v>7385</v>
      </c>
      <c r="B3291" s="2" t="s">
        <v>7385</v>
      </c>
      <c r="C3291" s="2" t="s">
        <v>46</v>
      </c>
      <c r="D3291" s="2" t="s">
        <v>55</v>
      </c>
      <c r="E3291" s="5" t="s">
        <v>3248</v>
      </c>
      <c r="F3291" s="3" t="s">
        <v>4798</v>
      </c>
      <c r="G3291" s="3" t="s">
        <v>176</v>
      </c>
      <c r="H3291" s="2" t="s">
        <v>22</v>
      </c>
      <c r="I3291" s="2" t="s">
        <v>7388</v>
      </c>
      <c r="J3291" s="3" t="str">
        <f>HYPERLINK("https://www.boe.es/gazeta/dias/1834/09/20/pdfs/GMD-C-1834-218.pdf#page=6","Abrir facsímil")</f>
        <v>Abrir facsímil</v>
      </c>
      <c r="K3291" s="3" t="s">
        <v>24</v>
      </c>
    </row>
    <row r="3292" spans="1:11" ht="54" customHeight="1">
      <c r="A3292" s="2" t="s">
        <v>7389</v>
      </c>
      <c r="B3292" s="2" t="s">
        <v>7390</v>
      </c>
      <c r="C3292" s="2" t="s">
        <v>17</v>
      </c>
      <c r="D3292" s="2" t="s">
        <v>18</v>
      </c>
      <c r="E3292" s="5" t="s">
        <v>1918</v>
      </c>
      <c r="F3292" s="3" t="s">
        <v>2024</v>
      </c>
      <c r="G3292" s="3" t="s">
        <v>34</v>
      </c>
      <c r="H3292" s="2" t="s">
        <v>22</v>
      </c>
      <c r="I3292" s="2" t="s">
        <v>7391</v>
      </c>
      <c r="J3292" s="3" t="str">
        <f>HYPERLINK("https://www.boe.es/gazeta/dias/1834/03/22/pdfs/GMD-C-1834-36.pdf#page=1","Abrir facsímil")</f>
        <v>Abrir facsímil</v>
      </c>
      <c r="K3292" s="3" t="s">
        <v>24</v>
      </c>
    </row>
    <row r="3293" spans="1:11" ht="54" customHeight="1">
      <c r="A3293" s="2" t="s">
        <v>7392</v>
      </c>
      <c r="B3293" s="2" t="s">
        <v>7392</v>
      </c>
      <c r="C3293" s="2" t="s">
        <v>66</v>
      </c>
      <c r="D3293" s="2" t="s">
        <v>67</v>
      </c>
      <c r="E3293" s="5" t="s">
        <v>3057</v>
      </c>
      <c r="F3293" s="3" t="s">
        <v>3058</v>
      </c>
      <c r="G3293" s="3" t="s">
        <v>75</v>
      </c>
      <c r="H3293" s="2" t="s">
        <v>22</v>
      </c>
      <c r="I3293" s="2" t="s">
        <v>7393</v>
      </c>
      <c r="J3293" s="3" t="str">
        <f>HYPERLINK("https://www.boe.es/gazeta/dias/1834/06/14/pdfs/GMD-1834-117.pdf#page=4","Abrir facsímil")</f>
        <v>Abrir facsímil</v>
      </c>
      <c r="K3293" s="3" t="s">
        <v>24</v>
      </c>
    </row>
    <row r="3294" spans="1:11" ht="54" customHeight="1">
      <c r="A3294" s="2" t="s">
        <v>7394</v>
      </c>
      <c r="B3294" s="2" t="s">
        <v>7395</v>
      </c>
      <c r="C3294" s="2" t="s">
        <v>17</v>
      </c>
      <c r="D3294" s="2" t="s">
        <v>18</v>
      </c>
      <c r="E3294" s="5" t="s">
        <v>268</v>
      </c>
      <c r="F3294" s="3" t="s">
        <v>269</v>
      </c>
      <c r="G3294" s="3" t="s">
        <v>21</v>
      </c>
      <c r="H3294" s="2" t="s">
        <v>22</v>
      </c>
      <c r="I3294" s="2" t="s">
        <v>7396</v>
      </c>
      <c r="J3294" s="3" t="str">
        <f>HYPERLINK("https://www.boe.es/gazeta/dias/1834/12/19/pdfs/GMD-C-1834-309.pdf#page=3","Abrir facsímil")</f>
        <v>Abrir facsímil</v>
      </c>
      <c r="K3294" s="3" t="s">
        <v>24</v>
      </c>
    </row>
    <row r="3295" spans="1:11" ht="54" customHeight="1">
      <c r="A3295" s="2" t="s">
        <v>7397</v>
      </c>
      <c r="B3295" s="2" t="s">
        <v>7398</v>
      </c>
      <c r="C3295" s="2" t="s">
        <v>46</v>
      </c>
      <c r="D3295" s="2" t="s">
        <v>18</v>
      </c>
      <c r="E3295" s="5" t="s">
        <v>1641</v>
      </c>
      <c r="F3295" s="3" t="s">
        <v>1642</v>
      </c>
      <c r="G3295" s="3" t="s">
        <v>28</v>
      </c>
      <c r="H3295" s="2" t="s">
        <v>22</v>
      </c>
      <c r="I3295" s="2" t="s">
        <v>7399</v>
      </c>
      <c r="J3295" s="3" t="str">
        <f>HYPERLINK("https://www.boe.es/gazeta/dias/1834/09/28/pdfs/GMD-C-1834-226.pdf#page=5","Abrir facsímil")</f>
        <v>Abrir facsímil</v>
      </c>
      <c r="K3295" s="3" t="s">
        <v>24</v>
      </c>
    </row>
    <row r="3296" spans="1:11" ht="54" customHeight="1">
      <c r="A3296" s="2" t="s">
        <v>7400</v>
      </c>
      <c r="B3296" s="2" t="s">
        <v>7400</v>
      </c>
      <c r="C3296" s="2" t="s">
        <v>17</v>
      </c>
      <c r="D3296" s="2" t="s">
        <v>55</v>
      </c>
      <c r="E3296" s="5" t="s">
        <v>1234</v>
      </c>
      <c r="F3296" s="3" t="s">
        <v>1455</v>
      </c>
      <c r="G3296" s="3" t="s">
        <v>21</v>
      </c>
      <c r="H3296" s="2" t="s">
        <v>22</v>
      </c>
      <c r="I3296" s="2" t="s">
        <v>7401</v>
      </c>
      <c r="J3296" s="3" t="str">
        <f>HYPERLINK("https://www.boe.es/gazeta/dias/1834/05/15/pdfs/GMD-1834-84.pdf#page=3","Abrir facsímil")</f>
        <v>Abrir facsímil</v>
      </c>
      <c r="K3296" s="3" t="s">
        <v>24</v>
      </c>
    </row>
    <row r="3297" spans="1:11" ht="54" customHeight="1">
      <c r="A3297" s="2" t="s">
        <v>7402</v>
      </c>
      <c r="B3297" s="2" t="s">
        <v>7403</v>
      </c>
      <c r="C3297" s="2" t="s">
        <v>17</v>
      </c>
      <c r="D3297" s="2" t="s">
        <v>18</v>
      </c>
      <c r="E3297" s="5" t="s">
        <v>891</v>
      </c>
      <c r="F3297" s="3" t="s">
        <v>892</v>
      </c>
      <c r="G3297" s="3" t="s">
        <v>86</v>
      </c>
      <c r="H3297" s="2" t="s">
        <v>22</v>
      </c>
      <c r="I3297" s="2" t="s">
        <v>7404</v>
      </c>
      <c r="J3297" s="3" t="str">
        <f>HYPERLINK("https://www.boe.es/gazeta/dias/1834/10/31/pdfs/GMD-C-1834-259.pdf#page=2","Abrir facsímil")</f>
        <v>Abrir facsímil</v>
      </c>
      <c r="K3297" s="3" t="s">
        <v>24</v>
      </c>
    </row>
    <row r="3298" spans="1:11" ht="54" customHeight="1">
      <c r="A3298" s="2" t="s">
        <v>7405</v>
      </c>
      <c r="B3298" s="2" t="s">
        <v>7405</v>
      </c>
      <c r="C3298" s="2" t="s">
        <v>17</v>
      </c>
      <c r="D3298" s="2" t="s">
        <v>18</v>
      </c>
      <c r="E3298" s="5" t="s">
        <v>237</v>
      </c>
      <c r="F3298" s="3" t="s">
        <v>4609</v>
      </c>
      <c r="G3298" s="3" t="s">
        <v>86</v>
      </c>
      <c r="H3298" s="2" t="s">
        <v>22</v>
      </c>
      <c r="I3298" s="2" t="s">
        <v>7406</v>
      </c>
      <c r="J3298" s="3" t="str">
        <f>HYPERLINK("https://www.boe.es/gazeta/dias/1834/08/15/pdfs/GMD-1834-180.pdf#page=2","Abrir facsímil")</f>
        <v>Abrir facsímil</v>
      </c>
      <c r="K3298" s="3" t="s">
        <v>24</v>
      </c>
    </row>
    <row r="3299" spans="1:11" ht="54" customHeight="1">
      <c r="A3299" s="2" t="s">
        <v>7407</v>
      </c>
      <c r="B3299" s="2" t="s">
        <v>7408</v>
      </c>
      <c r="C3299" s="2" t="s">
        <v>17</v>
      </c>
      <c r="D3299" s="2" t="s">
        <v>18</v>
      </c>
      <c r="E3299" s="5" t="s">
        <v>237</v>
      </c>
      <c r="F3299" s="3" t="s">
        <v>4609</v>
      </c>
      <c r="G3299" s="3" t="s">
        <v>86</v>
      </c>
      <c r="H3299" s="2" t="s">
        <v>35</v>
      </c>
      <c r="I3299" s="2" t="s">
        <v>7409</v>
      </c>
      <c r="J3299" s="3" t="str">
        <f>HYPERLINK("https://www.boe.es/gazeta/dias/1834/08/15/pdfs/GMD-1834-180.pdf#page=2","Abrir facsímil")</f>
        <v>Abrir facsímil</v>
      </c>
      <c r="K3299" s="3" t="s">
        <v>37</v>
      </c>
    </row>
    <row r="3300" spans="1:11" ht="54" customHeight="1">
      <c r="A3300" s="2" t="s">
        <v>7410</v>
      </c>
      <c r="B3300" s="2" t="s">
        <v>7411</v>
      </c>
      <c r="C3300" s="2" t="s">
        <v>17</v>
      </c>
      <c r="D3300" s="2" t="s">
        <v>18</v>
      </c>
      <c r="E3300" s="5" t="s">
        <v>280</v>
      </c>
      <c r="F3300" s="3" t="s">
        <v>281</v>
      </c>
      <c r="G3300" s="3" t="s">
        <v>86</v>
      </c>
      <c r="H3300" s="2" t="s">
        <v>22</v>
      </c>
      <c r="I3300" s="2" t="s">
        <v>7412</v>
      </c>
      <c r="J3300" s="3" t="str">
        <f>HYPERLINK("https://www.boe.es/gazeta/dias/1834/08/29/pdfs/GMD-C-1834-195.pdf#page=2","Abrir facsímil")</f>
        <v>Abrir facsímil</v>
      </c>
      <c r="K3300" s="3" t="s">
        <v>24</v>
      </c>
    </row>
    <row r="3301" spans="1:11" ht="54" customHeight="1">
      <c r="A3301" s="2" t="s">
        <v>7413</v>
      </c>
      <c r="B3301" s="2" t="s">
        <v>7414</v>
      </c>
      <c r="C3301" s="2" t="s">
        <v>17</v>
      </c>
      <c r="D3301" s="2" t="s">
        <v>18</v>
      </c>
      <c r="E3301" s="5" t="s">
        <v>647</v>
      </c>
      <c r="F3301" s="3" t="s">
        <v>648</v>
      </c>
      <c r="G3301" s="3" t="s">
        <v>75</v>
      </c>
      <c r="H3301" s="2" t="s">
        <v>22</v>
      </c>
      <c r="I3301" s="2" t="s">
        <v>7415</v>
      </c>
      <c r="J3301" s="3" t="str">
        <f>HYPERLINK("https://www.boe.es/gazeta/dias/1834/10/21/pdfs/GMD-C-1834-249.pdf#page=4","Abrir facsímil")</f>
        <v>Abrir facsímil</v>
      </c>
      <c r="K3301" s="3" t="s">
        <v>24</v>
      </c>
    </row>
    <row r="3302" spans="1:11" ht="54" customHeight="1">
      <c r="A3302" s="2" t="s">
        <v>7416</v>
      </c>
      <c r="B3302" s="2" t="s">
        <v>7417</v>
      </c>
      <c r="C3302" s="2" t="s">
        <v>66</v>
      </c>
      <c r="D3302" s="2" t="s">
        <v>18</v>
      </c>
      <c r="E3302" s="5" t="s">
        <v>1002</v>
      </c>
      <c r="F3302" s="3" t="s">
        <v>6383</v>
      </c>
      <c r="G3302" s="3" t="s">
        <v>34</v>
      </c>
      <c r="H3302" s="2" t="s">
        <v>35</v>
      </c>
      <c r="I3302" s="2" t="s">
        <v>7418</v>
      </c>
      <c r="J3302" s="3" t="str">
        <f>HYPERLINK("https://www.boe.es/gazeta/dias/1834/06/26/pdfs/GMD-C-1834-129.pdf#page=1","Abrir facsímil")</f>
        <v>Abrir facsímil</v>
      </c>
      <c r="K3302" s="3" t="s">
        <v>37</v>
      </c>
    </row>
    <row r="3303" spans="1:11" ht="54" customHeight="1">
      <c r="A3303" s="2" t="s">
        <v>7419</v>
      </c>
      <c r="B3303" s="2" t="s">
        <v>7419</v>
      </c>
      <c r="C3303" s="2" t="s">
        <v>66</v>
      </c>
      <c r="D3303" s="2" t="s">
        <v>67</v>
      </c>
      <c r="E3303" s="5" t="s">
        <v>1178</v>
      </c>
      <c r="F3303" s="3" t="s">
        <v>1179</v>
      </c>
      <c r="G3303" s="3" t="s">
        <v>34</v>
      </c>
      <c r="H3303" s="2" t="s">
        <v>22</v>
      </c>
      <c r="I3303" s="2" t="s">
        <v>7420</v>
      </c>
      <c r="J3303" s="3" t="str">
        <f>HYPERLINK("https://www.boe.es/gazeta/dias/1834/04/10/pdfs/GMD-C-1834-49.pdf#page=1","Abrir facsímil")</f>
        <v>Abrir facsímil</v>
      </c>
      <c r="K3303" s="3" t="s">
        <v>24</v>
      </c>
    </row>
    <row r="3304" spans="1:11" ht="54" customHeight="1">
      <c r="A3304" s="2" t="s">
        <v>7419</v>
      </c>
      <c r="B3304" s="2" t="s">
        <v>7419</v>
      </c>
      <c r="C3304" s="2" t="s">
        <v>17</v>
      </c>
      <c r="D3304" s="2" t="s">
        <v>18</v>
      </c>
      <c r="E3304" s="5" t="s">
        <v>348</v>
      </c>
      <c r="F3304" s="3" t="s">
        <v>349</v>
      </c>
      <c r="G3304" s="3" t="s">
        <v>34</v>
      </c>
      <c r="H3304" s="2" t="s">
        <v>22</v>
      </c>
      <c r="I3304" s="2" t="s">
        <v>7421</v>
      </c>
      <c r="J3304" s="3" t="str">
        <f>HYPERLINK("https://www.boe.es/gazeta/dias/1834/06/12/pdfs/GMD-C-1834-115.pdf#page=1","Abrir facsímil")</f>
        <v>Abrir facsímil</v>
      </c>
      <c r="K3304" s="3" t="s">
        <v>24</v>
      </c>
    </row>
    <row r="3305" spans="1:11" ht="54" customHeight="1">
      <c r="A3305" s="2" t="s">
        <v>7419</v>
      </c>
      <c r="B3305" s="2" t="s">
        <v>7419</v>
      </c>
      <c r="C3305" s="2" t="s">
        <v>66</v>
      </c>
      <c r="D3305" s="2" t="s">
        <v>67</v>
      </c>
      <c r="E3305" s="5" t="s">
        <v>833</v>
      </c>
      <c r="F3305" s="3" t="s">
        <v>834</v>
      </c>
      <c r="G3305" s="3" t="s">
        <v>86</v>
      </c>
      <c r="H3305" s="2" t="s">
        <v>22</v>
      </c>
      <c r="I3305" s="2" t="s">
        <v>7422</v>
      </c>
      <c r="J3305" s="3" t="str">
        <f>HYPERLINK("https://www.boe.es/gazeta/dias/1834/04/24/pdfs/GMD-1834-63.pdf#page=2","Abrir facsímil")</f>
        <v>Abrir facsímil</v>
      </c>
      <c r="K3305" s="3" t="s">
        <v>24</v>
      </c>
    </row>
    <row r="3306" spans="1:11" ht="54" customHeight="1">
      <c r="A3306" s="2" t="s">
        <v>7419</v>
      </c>
      <c r="B3306" s="2" t="s">
        <v>7419</v>
      </c>
      <c r="C3306" s="2" t="s">
        <v>66</v>
      </c>
      <c r="D3306" s="2" t="s">
        <v>67</v>
      </c>
      <c r="E3306" s="5" t="s">
        <v>2306</v>
      </c>
      <c r="F3306" s="3" t="s">
        <v>2307</v>
      </c>
      <c r="G3306" s="3" t="s">
        <v>21</v>
      </c>
      <c r="H3306" s="2" t="s">
        <v>22</v>
      </c>
      <c r="I3306" s="2" t="s">
        <v>7423</v>
      </c>
      <c r="J3306" s="3" t="str">
        <f>HYPERLINK("https://www.boe.es/gazeta/dias/1834/04/26/pdfs/GMD-1834-65.pdf#page=3","Abrir facsímil")</f>
        <v>Abrir facsímil</v>
      </c>
      <c r="K3306" s="3" t="s">
        <v>24</v>
      </c>
    </row>
    <row r="3307" spans="1:11" ht="54" customHeight="1">
      <c r="A3307" s="2" t="s">
        <v>7424</v>
      </c>
      <c r="B3307" s="2" t="s">
        <v>7424</v>
      </c>
      <c r="C3307" s="2" t="s">
        <v>122</v>
      </c>
      <c r="D3307" s="2" t="s">
        <v>18</v>
      </c>
      <c r="E3307" s="5" t="s">
        <v>1170</v>
      </c>
      <c r="F3307" s="3" t="s">
        <v>1171</v>
      </c>
      <c r="G3307" s="3" t="s">
        <v>21</v>
      </c>
      <c r="H3307" s="2" t="s">
        <v>22</v>
      </c>
      <c r="I3307" s="2" t="s">
        <v>7425</v>
      </c>
      <c r="J3307" s="3" t="str">
        <f>HYPERLINK("https://www.boe.es/gazeta/dias/1834/01/07/pdfs/GMD-1834-4.pdf#page=3","Abrir facsímil")</f>
        <v>Abrir facsímil</v>
      </c>
      <c r="K3307" s="3" t="s">
        <v>24</v>
      </c>
    </row>
    <row r="3308" spans="1:11" ht="54" customHeight="1">
      <c r="A3308" s="2" t="s">
        <v>7426</v>
      </c>
      <c r="B3308" s="2" t="s">
        <v>7427</v>
      </c>
      <c r="C3308" s="2" t="s">
        <v>46</v>
      </c>
      <c r="D3308" s="2" t="s">
        <v>101</v>
      </c>
      <c r="E3308" s="5" t="s">
        <v>394</v>
      </c>
      <c r="F3308" s="3" t="s">
        <v>459</v>
      </c>
      <c r="G3308" s="3" t="s">
        <v>21</v>
      </c>
      <c r="H3308" s="2" t="s">
        <v>22</v>
      </c>
      <c r="I3308" s="2" t="s">
        <v>7428</v>
      </c>
      <c r="J3308" s="3" t="str">
        <f>HYPERLINK("https://www.boe.es/gazeta/dias/1834/12/23/pdfs/GMD-C-1834-313.pdf#page=3","Abrir facsímil")</f>
        <v>Abrir facsímil</v>
      </c>
      <c r="K3308" s="3" t="s">
        <v>24</v>
      </c>
    </row>
    <row r="3309" spans="1:11" ht="54" customHeight="1">
      <c r="A3309" s="2" t="s">
        <v>7429</v>
      </c>
      <c r="B3309" s="2" t="s">
        <v>7429</v>
      </c>
      <c r="C3309" s="2" t="s">
        <v>17</v>
      </c>
      <c r="D3309" s="2" t="s">
        <v>18</v>
      </c>
      <c r="E3309" s="5" t="s">
        <v>364</v>
      </c>
      <c r="F3309" s="3" t="s">
        <v>365</v>
      </c>
      <c r="G3309" s="3" t="s">
        <v>34</v>
      </c>
      <c r="H3309" s="2" t="s">
        <v>22</v>
      </c>
      <c r="I3309" s="2" t="s">
        <v>7430</v>
      </c>
      <c r="J3309" s="3" t="str">
        <f>HYPERLINK("https://www.boe.es/gazeta/dias/1834/09/06/pdfs/GMD-D-1834-204.pdf#page=1","Abrir facsímil")</f>
        <v>Abrir facsímil</v>
      </c>
      <c r="K3309" s="3" t="s">
        <v>24</v>
      </c>
    </row>
    <row r="3310" spans="1:11" ht="54" customHeight="1">
      <c r="A3310" s="2" t="s">
        <v>7429</v>
      </c>
      <c r="B3310" s="2" t="s">
        <v>7429</v>
      </c>
      <c r="C3310" s="2" t="s">
        <v>17</v>
      </c>
      <c r="D3310" s="2" t="s">
        <v>18</v>
      </c>
      <c r="E3310" s="5" t="s">
        <v>32</v>
      </c>
      <c r="F3310" s="3" t="s">
        <v>7431</v>
      </c>
      <c r="G3310" s="3" t="s">
        <v>34</v>
      </c>
      <c r="H3310" s="2" t="s">
        <v>22</v>
      </c>
      <c r="I3310" s="2" t="s">
        <v>7432</v>
      </c>
      <c r="J3310" s="3" t="str">
        <f>HYPERLINK("https://www.boe.es/gazeta/dias/1834/04/23/pdfs/GMD-C-1834-62.pdf#page=1","Abrir facsímil")</f>
        <v>Abrir facsímil</v>
      </c>
      <c r="K3310" s="3" t="s">
        <v>24</v>
      </c>
    </row>
    <row r="3311" spans="1:11" ht="54" customHeight="1">
      <c r="A3311" s="2" t="s">
        <v>7429</v>
      </c>
      <c r="B3311" s="2" t="s">
        <v>7429</v>
      </c>
      <c r="C3311" s="2" t="s">
        <v>17</v>
      </c>
      <c r="D3311" s="2" t="s">
        <v>40</v>
      </c>
      <c r="E3311" s="5" t="s">
        <v>1212</v>
      </c>
      <c r="F3311" s="3" t="s">
        <v>1213</v>
      </c>
      <c r="G3311" s="3" t="s">
        <v>34</v>
      </c>
      <c r="H3311" s="2" t="s">
        <v>22</v>
      </c>
      <c r="I3311" s="2" t="s">
        <v>7433</v>
      </c>
      <c r="J3311" s="3" t="str">
        <f>HYPERLINK("https://www.boe.es/gazeta/dias/1834/05/24/pdfs/GMD-1834-93.pdf#page=1","Abrir facsímil")</f>
        <v>Abrir facsímil</v>
      </c>
      <c r="K3311" s="3" t="s">
        <v>24</v>
      </c>
    </row>
    <row r="3312" spans="1:11" ht="54" customHeight="1">
      <c r="A3312" s="2" t="s">
        <v>7429</v>
      </c>
      <c r="B3312" s="2" t="s">
        <v>7429</v>
      </c>
      <c r="C3312" s="2" t="s">
        <v>46</v>
      </c>
      <c r="D3312" s="2" t="s">
        <v>55</v>
      </c>
      <c r="E3312" s="5" t="s">
        <v>1002</v>
      </c>
      <c r="F3312" s="3" t="s">
        <v>1003</v>
      </c>
      <c r="G3312" s="3" t="s">
        <v>21</v>
      </c>
      <c r="H3312" s="2" t="s">
        <v>22</v>
      </c>
      <c r="I3312" s="2" t="s">
        <v>7434</v>
      </c>
      <c r="J3312" s="3" t="str">
        <f>HYPERLINK("https://www.boe.es/gazeta/dias/1834/06/26/pdfs/GMD-1834-129.pdf#page=3","Abrir facsímil")</f>
        <v>Abrir facsímil</v>
      </c>
      <c r="K3312" s="3" t="s">
        <v>24</v>
      </c>
    </row>
    <row r="3313" spans="1:11" ht="54" customHeight="1">
      <c r="A3313" s="2" t="s">
        <v>7429</v>
      </c>
      <c r="B3313" s="2" t="s">
        <v>7429</v>
      </c>
      <c r="C3313" s="2" t="s">
        <v>90</v>
      </c>
      <c r="D3313" s="2" t="s">
        <v>67</v>
      </c>
      <c r="E3313" s="5" t="s">
        <v>1002</v>
      </c>
      <c r="F3313" s="3" t="s">
        <v>1003</v>
      </c>
      <c r="G3313" s="3" t="s">
        <v>75</v>
      </c>
      <c r="H3313" s="2" t="s">
        <v>22</v>
      </c>
      <c r="I3313" s="2" t="s">
        <v>7435</v>
      </c>
      <c r="J3313" s="3" t="str">
        <f>HYPERLINK("https://www.boe.es/gazeta/dias/1834/06/26/pdfs/GMD-1834-129.pdf#page=4","Abrir facsímil")</f>
        <v>Abrir facsímil</v>
      </c>
      <c r="K3313" s="3" t="s">
        <v>24</v>
      </c>
    </row>
    <row r="3314" spans="1:11" ht="54" customHeight="1">
      <c r="A3314" s="2" t="s">
        <v>7429</v>
      </c>
      <c r="B3314" s="2" t="s">
        <v>7429</v>
      </c>
      <c r="C3314" s="2" t="s">
        <v>66</v>
      </c>
      <c r="D3314" s="2" t="s">
        <v>67</v>
      </c>
      <c r="E3314" s="5" t="s">
        <v>1002</v>
      </c>
      <c r="F3314" s="3" t="s">
        <v>6383</v>
      </c>
      <c r="G3314" s="3" t="s">
        <v>34</v>
      </c>
      <c r="H3314" s="2" t="s">
        <v>22</v>
      </c>
      <c r="I3314" s="2" t="s">
        <v>7436</v>
      </c>
      <c r="J3314" s="3" t="str">
        <f>HYPERLINK("https://www.boe.es/gazeta/dias/1834/06/26/pdfs/GMD-C-1834-129.pdf#page=1","Abrir facsímil")</f>
        <v>Abrir facsímil</v>
      </c>
      <c r="K3314" s="3" t="s">
        <v>24</v>
      </c>
    </row>
    <row r="3315" spans="1:11" ht="54" customHeight="1">
      <c r="A3315" s="2" t="s">
        <v>7437</v>
      </c>
      <c r="B3315" s="2" t="s">
        <v>7438</v>
      </c>
      <c r="C3315" s="2" t="s">
        <v>90</v>
      </c>
      <c r="D3315" s="2" t="s">
        <v>40</v>
      </c>
      <c r="E3315" s="5" t="s">
        <v>1402</v>
      </c>
      <c r="F3315" s="3" t="s">
        <v>1403</v>
      </c>
      <c r="G3315" s="3" t="s">
        <v>86</v>
      </c>
      <c r="H3315" s="2" t="s">
        <v>22</v>
      </c>
      <c r="I3315" s="2" t="s">
        <v>7439</v>
      </c>
      <c r="J3315" s="3" t="str">
        <f>HYPERLINK("https://www.boe.es/gazeta/dias/1834/05/05/pdfs/I00347-00348.pdf#page=2","Abrir facsímil")</f>
        <v>Abrir facsímil</v>
      </c>
      <c r="K3315" s="3" t="s">
        <v>24</v>
      </c>
    </row>
    <row r="3316" spans="1:11" ht="54" customHeight="1">
      <c r="A3316" s="2" t="s">
        <v>7440</v>
      </c>
      <c r="B3316" s="2" t="s">
        <v>7441</v>
      </c>
      <c r="C3316" s="2" t="s">
        <v>17</v>
      </c>
      <c r="D3316" s="2" t="s">
        <v>40</v>
      </c>
      <c r="E3316" s="5" t="s">
        <v>1025</v>
      </c>
      <c r="F3316" s="3" t="s">
        <v>1026</v>
      </c>
      <c r="G3316" s="3" t="s">
        <v>176</v>
      </c>
      <c r="H3316" s="2" t="s">
        <v>22</v>
      </c>
      <c r="I3316" s="2" t="s">
        <v>7442</v>
      </c>
      <c r="J3316" s="3" t="str">
        <f>HYPERLINK("https://www.boe.es/gazeta/dias/1834/03/01/pdfs/GMD-1834-27.pdf#page=6","Abrir facsímil")</f>
        <v>Abrir facsímil</v>
      </c>
      <c r="K3316" s="3" t="s">
        <v>24</v>
      </c>
    </row>
    <row r="3317" spans="1:11" ht="54" customHeight="1">
      <c r="A3317" s="2" t="s">
        <v>7443</v>
      </c>
      <c r="B3317" s="2" t="s">
        <v>7444</v>
      </c>
      <c r="C3317" s="2" t="s">
        <v>17</v>
      </c>
      <c r="D3317" s="2" t="s">
        <v>40</v>
      </c>
      <c r="E3317" s="5" t="s">
        <v>729</v>
      </c>
      <c r="F3317" s="3" t="s">
        <v>730</v>
      </c>
      <c r="G3317" s="3" t="s">
        <v>75</v>
      </c>
      <c r="H3317" s="2" t="s">
        <v>22</v>
      </c>
      <c r="I3317" s="2" t="s">
        <v>7445</v>
      </c>
      <c r="J3317" s="3" t="str">
        <f>HYPERLINK("https://www.boe.es/gazeta/dias/1834/04/13/pdfs/GMD-1834-52.pdf#page=4","Abrir facsímil")</f>
        <v>Abrir facsímil</v>
      </c>
      <c r="K3317" s="3" t="s">
        <v>24</v>
      </c>
    </row>
    <row r="3318" spans="1:11" ht="54" customHeight="1">
      <c r="A3318" s="2" t="s">
        <v>7446</v>
      </c>
      <c r="B3318" s="2" t="s">
        <v>7446</v>
      </c>
      <c r="C3318" s="2" t="s">
        <v>17</v>
      </c>
      <c r="D3318" s="2" t="s">
        <v>55</v>
      </c>
      <c r="E3318" s="5" t="s">
        <v>3952</v>
      </c>
      <c r="F3318" s="3" t="s">
        <v>3953</v>
      </c>
      <c r="G3318" s="3" t="s">
        <v>86</v>
      </c>
      <c r="H3318" s="2" t="s">
        <v>22</v>
      </c>
      <c r="I3318" s="2" t="s">
        <v>7447</v>
      </c>
      <c r="J3318" s="3" t="str">
        <f>HYPERLINK("https://www.boe.es/gazeta/dias/1834/02/22/pdfs/GMD-1834-24.pdf#page=2","Abrir facsímil")</f>
        <v>Abrir facsímil</v>
      </c>
      <c r="K3318" s="3" t="s">
        <v>24</v>
      </c>
    </row>
    <row r="3319" spans="1:11" ht="54" customHeight="1">
      <c r="A3319" s="2" t="s">
        <v>7448</v>
      </c>
      <c r="B3319" s="2" t="s">
        <v>7448</v>
      </c>
      <c r="C3319" s="2" t="s">
        <v>17</v>
      </c>
      <c r="D3319" s="2" t="s">
        <v>18</v>
      </c>
      <c r="E3319" s="5" t="s">
        <v>571</v>
      </c>
      <c r="F3319" s="3" t="s">
        <v>620</v>
      </c>
      <c r="G3319" s="3" t="s">
        <v>176</v>
      </c>
      <c r="H3319" s="2" t="s">
        <v>22</v>
      </c>
      <c r="I3319" s="2" t="s">
        <v>7449</v>
      </c>
      <c r="J3319" s="3" t="str">
        <f>HYPERLINK("https://www.boe.es/gazeta/dias/1834/09/04/pdfs/GMD-C-1834-202.pdf#page=6","Abrir facsímil")</f>
        <v>Abrir facsímil</v>
      </c>
      <c r="K3319" s="3" t="s">
        <v>24</v>
      </c>
    </row>
    <row r="3320" spans="1:11" ht="54" customHeight="1">
      <c r="A3320" s="2" t="s">
        <v>7448</v>
      </c>
      <c r="B3320" s="2" t="s">
        <v>7448</v>
      </c>
      <c r="C3320" s="2" t="s">
        <v>17</v>
      </c>
      <c r="D3320" s="2" t="s">
        <v>55</v>
      </c>
      <c r="E3320" s="5" t="s">
        <v>433</v>
      </c>
      <c r="F3320" s="3" t="s">
        <v>434</v>
      </c>
      <c r="G3320" s="3" t="s">
        <v>21</v>
      </c>
      <c r="H3320" s="2" t="s">
        <v>22</v>
      </c>
      <c r="I3320" s="2" t="s">
        <v>7450</v>
      </c>
      <c r="J3320" s="3" t="str">
        <f>HYPERLINK("https://www.boe.es/gazeta/dias/1834/10/07/pdfs/GMD-C-1834-235.pdf#page=3","Abrir facsímil")</f>
        <v>Abrir facsímil</v>
      </c>
      <c r="K3320" s="3" t="s">
        <v>24</v>
      </c>
    </row>
    <row r="3321" spans="1:11" ht="54" customHeight="1">
      <c r="A3321" s="2" t="s">
        <v>7451</v>
      </c>
      <c r="B3321" s="2" t="s">
        <v>7452</v>
      </c>
      <c r="C3321" s="2" t="s">
        <v>122</v>
      </c>
      <c r="D3321" s="2" t="s">
        <v>18</v>
      </c>
      <c r="E3321" s="5" t="s">
        <v>1170</v>
      </c>
      <c r="F3321" s="3" t="s">
        <v>1171</v>
      </c>
      <c r="G3321" s="3" t="s">
        <v>21</v>
      </c>
      <c r="H3321" s="2" t="s">
        <v>22</v>
      </c>
      <c r="I3321" s="2" t="s">
        <v>7453</v>
      </c>
      <c r="J3321" s="3" t="str">
        <f>HYPERLINK("https://www.boe.es/gazeta/dias/1834/01/07/pdfs/GMD-1834-4.pdf#page=3","Abrir facsímil")</f>
        <v>Abrir facsímil</v>
      </c>
      <c r="K3321" s="3" t="s">
        <v>24</v>
      </c>
    </row>
    <row r="3322" spans="1:11" ht="54" customHeight="1">
      <c r="A3322" s="2" t="s">
        <v>7454</v>
      </c>
      <c r="B3322" s="2" t="s">
        <v>7454</v>
      </c>
      <c r="C3322" s="2" t="s">
        <v>66</v>
      </c>
      <c r="D3322" s="2" t="s">
        <v>101</v>
      </c>
      <c r="E3322" s="5" t="s">
        <v>576</v>
      </c>
      <c r="F3322" s="3" t="s">
        <v>5888</v>
      </c>
      <c r="G3322" s="3" t="s">
        <v>34</v>
      </c>
      <c r="H3322" s="2" t="s">
        <v>22</v>
      </c>
      <c r="I3322" s="2" t="s">
        <v>7455</v>
      </c>
      <c r="J3322" s="3" t="str">
        <f>HYPERLINK("https://www.boe.es/gazeta/dias/1834/09/23/pdfs/GMD-C-1834-221.pdf#page=1","Abrir facsímil")</f>
        <v>Abrir facsímil</v>
      </c>
      <c r="K3322" s="3" t="s">
        <v>24</v>
      </c>
    </row>
    <row r="3323" spans="1:11" ht="54" customHeight="1">
      <c r="A3323" s="2" t="s">
        <v>7456</v>
      </c>
      <c r="B3323" s="2" t="s">
        <v>7457</v>
      </c>
      <c r="C3323" s="2" t="s">
        <v>46</v>
      </c>
      <c r="D3323" s="2" t="s">
        <v>18</v>
      </c>
      <c r="E3323" s="5" t="s">
        <v>1686</v>
      </c>
      <c r="F3323" s="3" t="s">
        <v>1687</v>
      </c>
      <c r="G3323" s="3" t="s">
        <v>86</v>
      </c>
      <c r="H3323" s="2" t="s">
        <v>22</v>
      </c>
      <c r="I3323" s="2" t="s">
        <v>7458</v>
      </c>
      <c r="J3323" s="3" t="str">
        <f>HYPERLINK("https://www.boe.es/gazeta/dias/1834/07/27/pdfs/GMD-1834-160.pdf#page=2","Abrir facsímil")</f>
        <v>Abrir facsímil</v>
      </c>
      <c r="K3323" s="3" t="s">
        <v>24</v>
      </c>
    </row>
    <row r="3324" spans="1:11" ht="54" customHeight="1">
      <c r="A3324" s="2" t="s">
        <v>7459</v>
      </c>
      <c r="B3324" s="2" t="s">
        <v>7459</v>
      </c>
      <c r="C3324" s="2" t="s">
        <v>17</v>
      </c>
      <c r="D3324" s="2" t="s">
        <v>40</v>
      </c>
      <c r="E3324" s="5" t="s">
        <v>3499</v>
      </c>
      <c r="F3324" s="3" t="s">
        <v>3500</v>
      </c>
      <c r="G3324" s="3" t="s">
        <v>75</v>
      </c>
      <c r="H3324" s="2" t="s">
        <v>22</v>
      </c>
      <c r="I3324" s="2" t="s">
        <v>7460</v>
      </c>
      <c r="J3324" s="3" t="str">
        <f>HYPERLINK("https://www.boe.es/gazeta/dias/1834/01/28/pdfs/GMD-1834-13.pdf#page=4","Abrir facsímil")</f>
        <v>Abrir facsímil</v>
      </c>
      <c r="K3324" s="3" t="s">
        <v>24</v>
      </c>
    </row>
    <row r="3325" spans="1:11" ht="54" customHeight="1">
      <c r="A3325" s="2" t="s">
        <v>7461</v>
      </c>
      <c r="B3325" s="2" t="s">
        <v>7461</v>
      </c>
      <c r="C3325" s="2" t="s">
        <v>46</v>
      </c>
      <c r="D3325" s="2" t="s">
        <v>18</v>
      </c>
      <c r="E3325" s="5" t="s">
        <v>61</v>
      </c>
      <c r="F3325" s="3" t="s">
        <v>62</v>
      </c>
      <c r="G3325" s="3" t="s">
        <v>34</v>
      </c>
      <c r="H3325" s="2" t="s">
        <v>22</v>
      </c>
      <c r="I3325" s="2" t="s">
        <v>7462</v>
      </c>
      <c r="J3325" s="3" t="str">
        <f>HYPERLINK("https://www.boe.es/gazeta/dias/1834/06/08/pdfs/GMD-1834-111E.pdf#page=1","Abrir facsímil")</f>
        <v>Abrir facsímil</v>
      </c>
      <c r="K3325" s="3" t="s">
        <v>24</v>
      </c>
    </row>
    <row r="3326" spans="1:11" ht="54" customHeight="1">
      <c r="A3326" s="2" t="s">
        <v>7463</v>
      </c>
      <c r="B3326" s="2" t="s">
        <v>7463</v>
      </c>
      <c r="C3326" s="2" t="s">
        <v>17</v>
      </c>
      <c r="D3326" s="2" t="s">
        <v>101</v>
      </c>
      <c r="E3326" s="5" t="s">
        <v>4527</v>
      </c>
      <c r="F3326" s="3" t="s">
        <v>4528</v>
      </c>
      <c r="G3326" s="3" t="s">
        <v>34</v>
      </c>
      <c r="H3326" s="2" t="s">
        <v>22</v>
      </c>
      <c r="I3326" s="2" t="s">
        <v>7464</v>
      </c>
      <c r="J3326" s="3" t="str">
        <f>HYPERLINK("https://www.boe.es/gazeta/dias/1834/05/03/pdfs/GMD-1834-72.pdf#page=1","Abrir facsímil")</f>
        <v>Abrir facsímil</v>
      </c>
      <c r="K3326" s="3" t="s">
        <v>24</v>
      </c>
    </row>
    <row r="3327" spans="1:11" ht="54" customHeight="1">
      <c r="A3327" s="2" t="s">
        <v>7465</v>
      </c>
      <c r="B3327" s="2" t="s">
        <v>7465</v>
      </c>
      <c r="C3327" s="2" t="s">
        <v>66</v>
      </c>
      <c r="D3327" s="2" t="s">
        <v>67</v>
      </c>
      <c r="E3327" s="5" t="s">
        <v>348</v>
      </c>
      <c r="F3327" s="3" t="s">
        <v>501</v>
      </c>
      <c r="G3327" s="3" t="s">
        <v>21</v>
      </c>
      <c r="H3327" s="2" t="s">
        <v>22</v>
      </c>
      <c r="I3327" s="2" t="s">
        <v>7466</v>
      </c>
      <c r="J3327" s="3" t="str">
        <f>HYPERLINK("https://www.boe.es/gazeta/dias/1834/06/12/pdfs/GMD-1834-115.pdf#page=3","Abrir facsímil")</f>
        <v>Abrir facsímil</v>
      </c>
      <c r="K3327" s="3" t="s">
        <v>24</v>
      </c>
    </row>
    <row r="3328" spans="1:11" ht="54" customHeight="1">
      <c r="A3328" s="2" t="s">
        <v>7467</v>
      </c>
      <c r="B3328" s="2" t="s">
        <v>7468</v>
      </c>
      <c r="C3328" s="2" t="s">
        <v>17</v>
      </c>
      <c r="D3328" s="2" t="s">
        <v>18</v>
      </c>
      <c r="E3328" s="5" t="s">
        <v>1116</v>
      </c>
      <c r="F3328" s="3" t="s">
        <v>1117</v>
      </c>
      <c r="G3328" s="3" t="s">
        <v>21</v>
      </c>
      <c r="H3328" s="2" t="s">
        <v>22</v>
      </c>
      <c r="I3328" s="2" t="s">
        <v>7469</v>
      </c>
      <c r="J3328" s="3" t="str">
        <f>HYPERLINK("https://www.boe.es/gazeta/dias/1834/05/16/pdfs/GMD-1834-85.pdf#page=3","Abrir facsímil")</f>
        <v>Abrir facsímil</v>
      </c>
      <c r="K3328" s="3" t="s">
        <v>24</v>
      </c>
    </row>
    <row r="3329" spans="1:11" ht="54" customHeight="1">
      <c r="A3329" s="2" t="s">
        <v>7470</v>
      </c>
      <c r="B3329" s="2" t="s">
        <v>7470</v>
      </c>
      <c r="C3329" s="2" t="s">
        <v>90</v>
      </c>
      <c r="D3329" s="2" t="s">
        <v>101</v>
      </c>
      <c r="E3329" s="5" t="s">
        <v>844</v>
      </c>
      <c r="F3329" s="3" t="s">
        <v>845</v>
      </c>
      <c r="G3329" s="3" t="s">
        <v>34</v>
      </c>
      <c r="H3329" s="2" t="s">
        <v>22</v>
      </c>
      <c r="I3329" s="2" t="s">
        <v>7471</v>
      </c>
      <c r="J3329" s="3" t="str">
        <f>HYPERLINK("https://www.boe.es/gazeta/dias/1834/03/13/pdfs/GMD-1834-32.pdf#page=1","Abrir facsímil")</f>
        <v>Abrir facsímil</v>
      </c>
      <c r="K3329" s="3" t="s">
        <v>24</v>
      </c>
    </row>
    <row r="3330" spans="1:11" ht="54" customHeight="1">
      <c r="A3330" s="2" t="s">
        <v>7472</v>
      </c>
      <c r="B3330" s="2" t="s">
        <v>7473</v>
      </c>
      <c r="C3330" s="2" t="s">
        <v>17</v>
      </c>
      <c r="D3330" s="2" t="s">
        <v>18</v>
      </c>
      <c r="E3330" s="5" t="s">
        <v>448</v>
      </c>
      <c r="F3330" s="3" t="s">
        <v>449</v>
      </c>
      <c r="G3330" s="3" t="s">
        <v>86</v>
      </c>
      <c r="H3330" s="2" t="s">
        <v>22</v>
      </c>
      <c r="I3330" s="2" t="s">
        <v>7474</v>
      </c>
      <c r="J3330" s="3" t="str">
        <f>HYPERLINK("https://www.boe.es/gazeta/dias/1834/10/14/pdfs/GMD-C-1834-242.pdf#page=2","Abrir facsímil")</f>
        <v>Abrir facsímil</v>
      </c>
      <c r="K3330" s="3" t="s">
        <v>24</v>
      </c>
    </row>
    <row r="3331" spans="1:11" ht="54" customHeight="1">
      <c r="A3331" s="2" t="s">
        <v>7475</v>
      </c>
      <c r="B3331" s="2" t="s">
        <v>7476</v>
      </c>
      <c r="C3331" s="2" t="s">
        <v>66</v>
      </c>
      <c r="D3331" s="2" t="s">
        <v>67</v>
      </c>
      <c r="E3331" s="5" t="s">
        <v>1351</v>
      </c>
      <c r="F3331" s="3" t="s">
        <v>1352</v>
      </c>
      <c r="G3331" s="3" t="s">
        <v>28</v>
      </c>
      <c r="H3331" s="2" t="s">
        <v>35</v>
      </c>
      <c r="I3331" s="2" t="s">
        <v>7477</v>
      </c>
      <c r="J3331" s="3" t="str">
        <f>HYPERLINK("https://www.boe.es/gazeta/dias/1834/07/05/pdfs/GMD-1834-138.pdf#page=5","Abrir facsímil")</f>
        <v>Abrir facsímil</v>
      </c>
      <c r="K3331" s="3" t="s">
        <v>37</v>
      </c>
    </row>
    <row r="3332" spans="1:11" ht="54" customHeight="1">
      <c r="A3332" s="2" t="s">
        <v>7478</v>
      </c>
      <c r="B3332" s="2" t="s">
        <v>7479</v>
      </c>
      <c r="C3332" s="2" t="s">
        <v>66</v>
      </c>
      <c r="D3332" s="2" t="s">
        <v>67</v>
      </c>
      <c r="E3332" s="5" t="s">
        <v>1351</v>
      </c>
      <c r="F3332" s="3" t="s">
        <v>1352</v>
      </c>
      <c r="G3332" s="3" t="s">
        <v>28</v>
      </c>
      <c r="H3332" s="2" t="s">
        <v>22</v>
      </c>
      <c r="I3332" s="2" t="s">
        <v>7480</v>
      </c>
      <c r="J3332" s="3" t="str">
        <f>HYPERLINK("https://www.boe.es/gazeta/dias/1834/07/05/pdfs/GMD-1834-138.pdf#page=5","Abrir facsímil")</f>
        <v>Abrir facsímil</v>
      </c>
      <c r="K3332" s="3" t="s">
        <v>24</v>
      </c>
    </row>
    <row r="3333" spans="1:11" ht="54" customHeight="1">
      <c r="A3333" s="2" t="s">
        <v>7481</v>
      </c>
      <c r="B3333" s="2" t="s">
        <v>7482</v>
      </c>
      <c r="C3333" s="2" t="s">
        <v>17</v>
      </c>
      <c r="D3333" s="2" t="s">
        <v>18</v>
      </c>
      <c r="E3333" s="5" t="s">
        <v>2098</v>
      </c>
      <c r="F3333" s="3" t="s">
        <v>2099</v>
      </c>
      <c r="G3333" s="3" t="s">
        <v>75</v>
      </c>
      <c r="H3333" s="2" t="s">
        <v>22</v>
      </c>
      <c r="I3333" s="2" t="s">
        <v>7483</v>
      </c>
      <c r="J3333" s="3" t="str">
        <f>HYPERLINK("https://www.boe.es/gazeta/dias/1834/08/11/pdfs/GMD-1834-176.pdf#page=4","Abrir facsímil")</f>
        <v>Abrir facsímil</v>
      </c>
      <c r="K3333" s="3" t="s">
        <v>24</v>
      </c>
    </row>
    <row r="3334" spans="1:11" ht="54" customHeight="1">
      <c r="A3334" s="2" t="s">
        <v>7484</v>
      </c>
      <c r="B3334" s="2" t="s">
        <v>7485</v>
      </c>
      <c r="C3334" s="2" t="s">
        <v>122</v>
      </c>
      <c r="D3334" s="2" t="s">
        <v>18</v>
      </c>
      <c r="E3334" s="5" t="s">
        <v>3225</v>
      </c>
      <c r="F3334" s="3" t="s">
        <v>3226</v>
      </c>
      <c r="G3334" s="3" t="s">
        <v>75</v>
      </c>
      <c r="H3334" s="2" t="s">
        <v>22</v>
      </c>
      <c r="I3334" s="2" t="s">
        <v>7486</v>
      </c>
      <c r="J3334" s="3" t="str">
        <f>HYPERLINK("https://www.boe.es/gazeta/dias/1834/08/22/pdfs/GMD-1834-188.pdf#page=4","Abrir facsímil")</f>
        <v>Abrir facsímil</v>
      </c>
      <c r="K3334" s="3" t="s">
        <v>24</v>
      </c>
    </row>
    <row r="3335" spans="1:11" ht="54" customHeight="1">
      <c r="A3335" s="2" t="s">
        <v>7487</v>
      </c>
      <c r="B3335" s="2" t="s">
        <v>7488</v>
      </c>
      <c r="C3335" s="2" t="s">
        <v>17</v>
      </c>
      <c r="D3335" s="2" t="s">
        <v>18</v>
      </c>
      <c r="E3335" s="5" t="s">
        <v>866</v>
      </c>
      <c r="F3335" s="3" t="s">
        <v>867</v>
      </c>
      <c r="G3335" s="3" t="s">
        <v>75</v>
      </c>
      <c r="H3335" s="2" t="s">
        <v>22</v>
      </c>
      <c r="I3335" s="2" t="s">
        <v>7489</v>
      </c>
      <c r="J3335" s="3" t="str">
        <f>HYPERLINK("https://www.boe.es/gazeta/dias/1834/01/18/pdfs/GMD-1834-9.pdf#page=4","Abrir facsímil")</f>
        <v>Abrir facsímil</v>
      </c>
      <c r="K3335" s="3" t="s">
        <v>24</v>
      </c>
    </row>
    <row r="3336" spans="1:11" ht="54" customHeight="1">
      <c r="A3336" s="2" t="s">
        <v>7490</v>
      </c>
      <c r="B3336" s="2" t="s">
        <v>7490</v>
      </c>
      <c r="C3336" s="2" t="s">
        <v>90</v>
      </c>
      <c r="D3336" s="2" t="s">
        <v>101</v>
      </c>
      <c r="E3336" s="5" t="s">
        <v>506</v>
      </c>
      <c r="F3336" s="3" t="s">
        <v>507</v>
      </c>
      <c r="G3336" s="3" t="s">
        <v>28</v>
      </c>
      <c r="H3336" s="2" t="s">
        <v>22</v>
      </c>
      <c r="I3336" s="2" t="s">
        <v>7491</v>
      </c>
      <c r="J3336" s="3" t="str">
        <f>HYPERLINK("https://www.boe.es/gazeta/dias/1834/03/04/pdfs/GMD-1834-28.pdf#page=5","Abrir facsímil")</f>
        <v>Abrir facsímil</v>
      </c>
      <c r="K3336" s="3" t="s">
        <v>24</v>
      </c>
    </row>
    <row r="3337" spans="1:11" ht="54" customHeight="1">
      <c r="A3337" s="2" t="s">
        <v>7490</v>
      </c>
      <c r="B3337" s="2" t="s">
        <v>7490</v>
      </c>
      <c r="C3337" s="2" t="s">
        <v>66</v>
      </c>
      <c r="D3337" s="2" t="s">
        <v>67</v>
      </c>
      <c r="E3337" s="5" t="s">
        <v>1850</v>
      </c>
      <c r="F3337" s="3" t="s">
        <v>1851</v>
      </c>
      <c r="G3337" s="3" t="s">
        <v>176</v>
      </c>
      <c r="H3337" s="2" t="s">
        <v>22</v>
      </c>
      <c r="I3337" s="2" t="s">
        <v>7492</v>
      </c>
      <c r="J3337" s="3" t="str">
        <f>HYPERLINK("https://www.boe.es/gazeta/dias/1834/02/18/pdfs/GMD-1834-22.pdf#page=6","Abrir facsímil")</f>
        <v>Abrir facsímil</v>
      </c>
      <c r="K3337" s="3" t="s">
        <v>24</v>
      </c>
    </row>
    <row r="3338" spans="1:11" ht="54" customHeight="1">
      <c r="A3338" s="2" t="s">
        <v>7490</v>
      </c>
      <c r="B3338" s="2" t="s">
        <v>7490</v>
      </c>
      <c r="C3338" s="2" t="s">
        <v>66</v>
      </c>
      <c r="D3338" s="2" t="s">
        <v>101</v>
      </c>
      <c r="E3338" s="5" t="s">
        <v>1922</v>
      </c>
      <c r="F3338" s="3" t="s">
        <v>1923</v>
      </c>
      <c r="G3338" s="3" t="s">
        <v>28</v>
      </c>
      <c r="H3338" s="2" t="s">
        <v>22</v>
      </c>
      <c r="I3338" s="2" t="s">
        <v>7493</v>
      </c>
      <c r="J3338" s="3" t="str">
        <f>HYPERLINK("https://www.boe.es/gazeta/dias/1834/02/25/pdfs/GMD-1834-25.pdf#page=5","Abrir facsímil")</f>
        <v>Abrir facsímil</v>
      </c>
      <c r="K3338" s="3" t="s">
        <v>24</v>
      </c>
    </row>
    <row r="3339" spans="1:11" ht="54" customHeight="1">
      <c r="A3339" s="2" t="s">
        <v>7494</v>
      </c>
      <c r="B3339" s="2" t="s">
        <v>7494</v>
      </c>
      <c r="C3339" s="2" t="s">
        <v>17</v>
      </c>
      <c r="D3339" s="2" t="s">
        <v>18</v>
      </c>
      <c r="E3339" s="5" t="s">
        <v>2729</v>
      </c>
      <c r="F3339" s="3" t="s">
        <v>2730</v>
      </c>
      <c r="G3339" s="3" t="s">
        <v>21</v>
      </c>
      <c r="H3339" s="2" t="s">
        <v>22</v>
      </c>
      <c r="I3339" s="2" t="s">
        <v>7495</v>
      </c>
      <c r="J3339" s="3" t="str">
        <f>HYPERLINK("https://www.boe.es/gazeta/dias/1834/07/02/pdfs/GMD-1834-135.pdf#page=3","Abrir facsímil")</f>
        <v>Abrir facsímil</v>
      </c>
      <c r="K3339" s="3" t="s">
        <v>24</v>
      </c>
    </row>
    <row r="3340" spans="1:11" ht="54" customHeight="1">
      <c r="A3340" s="2" t="s">
        <v>7496</v>
      </c>
      <c r="B3340" s="2" t="s">
        <v>7496</v>
      </c>
      <c r="C3340" s="2" t="s">
        <v>66</v>
      </c>
      <c r="D3340" s="2" t="s">
        <v>67</v>
      </c>
      <c r="E3340" s="5" t="s">
        <v>286</v>
      </c>
      <c r="F3340" s="3" t="s">
        <v>1928</v>
      </c>
      <c r="G3340" s="3" t="s">
        <v>34</v>
      </c>
      <c r="H3340" s="2" t="s">
        <v>22</v>
      </c>
      <c r="I3340" s="2" t="s">
        <v>7497</v>
      </c>
      <c r="J3340" s="3" t="str">
        <f>HYPERLINK("https://www.boe.es/gazeta/dias/1834/08/30/pdfs/GMD-1834-197E.pdf#page=1","Abrir facsímil")</f>
        <v>Abrir facsímil</v>
      </c>
      <c r="K3340" s="3" t="s">
        <v>24</v>
      </c>
    </row>
    <row r="3341" spans="1:11" ht="54" customHeight="1">
      <c r="A3341" s="2" t="s">
        <v>7496</v>
      </c>
      <c r="B3341" s="2" t="s">
        <v>7496</v>
      </c>
      <c r="C3341" s="2" t="s">
        <v>17</v>
      </c>
      <c r="D3341" s="2" t="s">
        <v>18</v>
      </c>
      <c r="E3341" s="5" t="s">
        <v>3083</v>
      </c>
      <c r="F3341" s="3" t="s">
        <v>3084</v>
      </c>
      <c r="G3341" s="3" t="s">
        <v>21</v>
      </c>
      <c r="H3341" s="2" t="s">
        <v>22</v>
      </c>
      <c r="I3341" s="2" t="s">
        <v>7498</v>
      </c>
      <c r="J3341" s="3" t="str">
        <f>HYPERLINK("https://www.boe.es/gazeta/dias/1834/10/30/pdfs/GMD-1834-258.pdf#page=3","Abrir facsímil")</f>
        <v>Abrir facsímil</v>
      </c>
      <c r="K3341" s="3" t="s">
        <v>24</v>
      </c>
    </row>
    <row r="3342" spans="1:11" ht="54" customHeight="1">
      <c r="A3342" s="2" t="s">
        <v>7499</v>
      </c>
      <c r="B3342" s="2" t="s">
        <v>7500</v>
      </c>
      <c r="C3342" s="2" t="s">
        <v>17</v>
      </c>
      <c r="D3342" s="2" t="s">
        <v>18</v>
      </c>
      <c r="E3342" s="5" t="s">
        <v>606</v>
      </c>
      <c r="F3342" s="3" t="s">
        <v>607</v>
      </c>
      <c r="G3342" s="3" t="s">
        <v>21</v>
      </c>
      <c r="H3342" s="2" t="s">
        <v>22</v>
      </c>
      <c r="I3342" s="2" t="s">
        <v>7501</v>
      </c>
      <c r="J3342" s="3" t="str">
        <f>HYPERLINK("https://www.boe.es/gazeta/dias/1834/06/23/pdfs/GMD-1834-126.pdf#page=3","Abrir facsímil")</f>
        <v>Abrir facsímil</v>
      </c>
      <c r="K3342" s="3" t="s">
        <v>24</v>
      </c>
    </row>
    <row r="3343" spans="1:11" ht="54" customHeight="1">
      <c r="A3343" s="2" t="s">
        <v>7502</v>
      </c>
      <c r="B3343" s="2" t="s">
        <v>7503</v>
      </c>
      <c r="C3343" s="2" t="s">
        <v>17</v>
      </c>
      <c r="D3343" s="2" t="s">
        <v>18</v>
      </c>
      <c r="E3343" s="5" t="s">
        <v>416</v>
      </c>
      <c r="F3343" s="3" t="s">
        <v>1130</v>
      </c>
      <c r="G3343" s="3" t="s">
        <v>86</v>
      </c>
      <c r="H3343" s="2" t="s">
        <v>22</v>
      </c>
      <c r="I3343" s="2" t="s">
        <v>7504</v>
      </c>
      <c r="J3343" s="3" t="str">
        <f>HYPERLINK("https://www.boe.es/gazeta/dias/1834/10/02/pdfs/GMD-1834-230.pdf#page=2","Abrir facsímil")</f>
        <v>Abrir facsímil</v>
      </c>
      <c r="K3343" s="3" t="s">
        <v>24</v>
      </c>
    </row>
    <row r="3344" spans="1:11" ht="54" customHeight="1">
      <c r="A3344" s="2" t="s">
        <v>7505</v>
      </c>
      <c r="B3344" s="2" t="s">
        <v>7506</v>
      </c>
      <c r="C3344" s="2" t="s">
        <v>90</v>
      </c>
      <c r="D3344" s="2" t="s">
        <v>55</v>
      </c>
      <c r="E3344" s="5" t="s">
        <v>863</v>
      </c>
      <c r="F3344" s="3" t="s">
        <v>864</v>
      </c>
      <c r="G3344" s="3" t="s">
        <v>86</v>
      </c>
      <c r="H3344" s="2" t="s">
        <v>22</v>
      </c>
      <c r="I3344" s="2" t="s">
        <v>7507</v>
      </c>
      <c r="J3344" s="3" t="str">
        <f>HYPERLINK("https://www.boe.es/gazeta/dias/1834/09/15/pdfs/GMD-1834-213.pdf#page=2","Abrir facsímil")</f>
        <v>Abrir facsímil</v>
      </c>
      <c r="K3344" s="3" t="s">
        <v>24</v>
      </c>
    </row>
    <row r="3345" spans="1:11" ht="54" customHeight="1">
      <c r="A3345" s="2" t="s">
        <v>7508</v>
      </c>
      <c r="B3345" s="2" t="s">
        <v>7509</v>
      </c>
      <c r="C3345" s="2" t="s">
        <v>17</v>
      </c>
      <c r="D3345" s="2" t="s">
        <v>18</v>
      </c>
      <c r="E3345" s="5" t="s">
        <v>47</v>
      </c>
      <c r="F3345" s="3" t="s">
        <v>48</v>
      </c>
      <c r="G3345" s="3" t="s">
        <v>21</v>
      </c>
      <c r="H3345" s="2" t="s">
        <v>22</v>
      </c>
      <c r="I3345" s="2" t="s">
        <v>7510</v>
      </c>
      <c r="J3345" s="3" t="str">
        <f>HYPERLINK("https://www.boe.es/gazeta/dias/1834/09/05/pdfs/GMD-C-1834-203.pdf#page=3","Abrir facsímil")</f>
        <v>Abrir facsímil</v>
      </c>
      <c r="K3345" s="3" t="s">
        <v>24</v>
      </c>
    </row>
    <row r="3346" spans="1:11" ht="54" customHeight="1">
      <c r="A3346" s="2" t="s">
        <v>7511</v>
      </c>
      <c r="B3346" s="2" t="s">
        <v>7511</v>
      </c>
      <c r="C3346" s="2" t="s">
        <v>17</v>
      </c>
      <c r="D3346" s="2" t="s">
        <v>55</v>
      </c>
      <c r="E3346" s="5" t="s">
        <v>19</v>
      </c>
      <c r="F3346" s="3" t="s">
        <v>107</v>
      </c>
      <c r="G3346" s="3" t="s">
        <v>34</v>
      </c>
      <c r="H3346" s="2" t="s">
        <v>22</v>
      </c>
      <c r="I3346" s="2" t="s">
        <v>7512</v>
      </c>
      <c r="J3346" s="3" t="str">
        <f>HYPERLINK("https://www.boe.es/gazeta/dias/1834/08/17/pdfs/GMD-1834-182.pdf#page=1","Abrir facsímil")</f>
        <v>Abrir facsímil</v>
      </c>
      <c r="K3346" s="3" t="s">
        <v>24</v>
      </c>
    </row>
    <row r="3347" spans="1:11" ht="54" customHeight="1">
      <c r="A3347" s="2" t="s">
        <v>7513</v>
      </c>
      <c r="B3347" s="2" t="s">
        <v>7513</v>
      </c>
      <c r="C3347" s="2" t="s">
        <v>17</v>
      </c>
      <c r="D3347" s="2" t="s">
        <v>55</v>
      </c>
      <c r="E3347" s="5" t="s">
        <v>679</v>
      </c>
      <c r="F3347" s="3" t="s">
        <v>699</v>
      </c>
      <c r="G3347" s="3" t="s">
        <v>21</v>
      </c>
      <c r="H3347" s="2" t="s">
        <v>22</v>
      </c>
      <c r="I3347" s="2" t="s">
        <v>7514</v>
      </c>
      <c r="J3347" s="3" t="str">
        <f>HYPERLINK("https://www.boe.es/gazeta/dias/1834/12/10/pdfs/GMD-C-1834-299.pdf#page=3","Abrir facsímil")</f>
        <v>Abrir facsímil</v>
      </c>
      <c r="K3347" s="3" t="s">
        <v>24</v>
      </c>
    </row>
    <row r="3348" spans="1:11" ht="54" customHeight="1">
      <c r="A3348" s="2" t="s">
        <v>7515</v>
      </c>
      <c r="B3348" s="2" t="s">
        <v>7516</v>
      </c>
      <c r="C3348" s="2" t="s">
        <v>17</v>
      </c>
      <c r="D3348" s="2" t="s">
        <v>55</v>
      </c>
      <c r="E3348" s="5" t="s">
        <v>633</v>
      </c>
      <c r="F3348" s="3" t="s">
        <v>634</v>
      </c>
      <c r="G3348" s="3" t="s">
        <v>86</v>
      </c>
      <c r="H3348" s="2" t="s">
        <v>22</v>
      </c>
      <c r="I3348" s="2" t="s">
        <v>7517</v>
      </c>
      <c r="J3348" s="3" t="str">
        <f>HYPERLINK("https://www.boe.es/gazeta/dias/1834/10/24/pdfs/GMD-1834-252.pdf#page=2","Abrir facsímil")</f>
        <v>Abrir facsímil</v>
      </c>
      <c r="K3348" s="3" t="s">
        <v>24</v>
      </c>
    </row>
    <row r="3349" spans="1:11" ht="54" customHeight="1">
      <c r="A3349" s="2" t="s">
        <v>7518</v>
      </c>
      <c r="B3349" s="2" t="s">
        <v>7519</v>
      </c>
      <c r="C3349" s="2" t="s">
        <v>122</v>
      </c>
      <c r="D3349" s="2" t="s">
        <v>18</v>
      </c>
      <c r="E3349" s="5" t="s">
        <v>2729</v>
      </c>
      <c r="F3349" s="3" t="s">
        <v>2730</v>
      </c>
      <c r="G3349" s="3" t="s">
        <v>34</v>
      </c>
      <c r="H3349" s="2" t="s">
        <v>22</v>
      </c>
      <c r="I3349" s="2" t="s">
        <v>7520</v>
      </c>
      <c r="J3349" s="3" t="str">
        <f>HYPERLINK("https://www.boe.es/gazeta/dias/1834/07/02/pdfs/GMD-1834-135.pdf#page=1","Abrir facsímil")</f>
        <v>Abrir facsímil</v>
      </c>
      <c r="K3349" s="3" t="s">
        <v>24</v>
      </c>
    </row>
    <row r="3350" spans="1:11" ht="54" customHeight="1">
      <c r="A3350" s="2" t="s">
        <v>7521</v>
      </c>
      <c r="B3350" s="2" t="s">
        <v>7522</v>
      </c>
      <c r="C3350" s="2" t="s">
        <v>46</v>
      </c>
      <c r="D3350" s="2" t="s">
        <v>55</v>
      </c>
      <c r="E3350" s="5" t="s">
        <v>7523</v>
      </c>
      <c r="F3350" s="3" t="s">
        <v>7524</v>
      </c>
      <c r="G3350" s="3" t="s">
        <v>21</v>
      </c>
      <c r="H3350" s="2" t="s">
        <v>22</v>
      </c>
      <c r="I3350" s="2" t="s">
        <v>7525</v>
      </c>
      <c r="J3350" s="3" t="str">
        <f>HYPERLINK("https://www.boe.es/gazeta/dias/1834/12/26/pdfs/GMD-1834-316.pdf#page=3","Abrir facsímil")</f>
        <v>Abrir facsímil</v>
      </c>
      <c r="K3350" s="3" t="s">
        <v>24</v>
      </c>
    </row>
    <row r="3351" spans="1:11" ht="54" customHeight="1">
      <c r="A3351" s="2" t="s">
        <v>7526</v>
      </c>
      <c r="B3351" s="2" t="s">
        <v>7527</v>
      </c>
      <c r="C3351" s="2" t="s">
        <v>66</v>
      </c>
      <c r="D3351" s="2" t="s">
        <v>67</v>
      </c>
      <c r="E3351" s="5" t="s">
        <v>294</v>
      </c>
      <c r="F3351" s="3" t="s">
        <v>959</v>
      </c>
      <c r="G3351" s="3" t="s">
        <v>34</v>
      </c>
      <c r="H3351" s="2" t="s">
        <v>35</v>
      </c>
      <c r="I3351" s="2" t="s">
        <v>7528</v>
      </c>
      <c r="J3351" s="3" t="str">
        <f>HYPERLINK("https://www.boe.es/gazeta/dias/1834/09/27/pdfs/GMD-C-1834-225.pdf#page=1","Abrir facsímil")</f>
        <v>Abrir facsímil</v>
      </c>
      <c r="K3351" s="3" t="s">
        <v>37</v>
      </c>
    </row>
    <row r="3352" spans="1:11" ht="54" customHeight="1">
      <c r="A3352" s="2" t="s">
        <v>7529</v>
      </c>
      <c r="B3352" s="2" t="s">
        <v>7530</v>
      </c>
      <c r="C3352" s="2" t="s">
        <v>66</v>
      </c>
      <c r="D3352" s="2" t="s">
        <v>67</v>
      </c>
      <c r="E3352" s="5" t="s">
        <v>294</v>
      </c>
      <c r="F3352" s="3" t="s">
        <v>959</v>
      </c>
      <c r="G3352" s="3" t="s">
        <v>34</v>
      </c>
      <c r="H3352" s="2" t="s">
        <v>22</v>
      </c>
      <c r="I3352" s="2" t="s">
        <v>7531</v>
      </c>
      <c r="J3352" s="3" t="str">
        <f>HYPERLINK("https://www.boe.es/gazeta/dias/1834/09/27/pdfs/GMD-C-1834-225.pdf#page=1","Abrir facsímil")</f>
        <v>Abrir facsímil</v>
      </c>
      <c r="K3352" s="3" t="s">
        <v>24</v>
      </c>
    </row>
    <row r="3353" spans="1:11" ht="54" customHeight="1">
      <c r="A3353" s="2" t="s">
        <v>7532</v>
      </c>
      <c r="B3353" s="2" t="s">
        <v>7533</v>
      </c>
      <c r="C3353" s="2" t="s">
        <v>46</v>
      </c>
      <c r="D3353" s="2" t="s">
        <v>55</v>
      </c>
      <c r="E3353" s="5" t="s">
        <v>26</v>
      </c>
      <c r="F3353" s="3" t="s">
        <v>818</v>
      </c>
      <c r="G3353" s="3" t="s">
        <v>21</v>
      </c>
      <c r="H3353" s="2" t="s">
        <v>22</v>
      </c>
      <c r="I3353" s="2" t="s">
        <v>7534</v>
      </c>
      <c r="J3353" s="3" t="str">
        <f>HYPERLINK("https://www.boe.es/gazeta/dias/1834/10/19/pdfs/GMD-1834-247.pdf#page=3","Abrir facsímil")</f>
        <v>Abrir facsímil</v>
      </c>
      <c r="K3353" s="3" t="s">
        <v>24</v>
      </c>
    </row>
    <row r="3354" spans="1:11" ht="54" customHeight="1">
      <c r="A3354" s="2" t="s">
        <v>7535</v>
      </c>
      <c r="B3354" s="2" t="s">
        <v>7536</v>
      </c>
      <c r="C3354" s="2" t="s">
        <v>46</v>
      </c>
      <c r="D3354" s="2" t="s">
        <v>101</v>
      </c>
      <c r="E3354" s="5" t="s">
        <v>262</v>
      </c>
      <c r="F3354" s="3" t="s">
        <v>7012</v>
      </c>
      <c r="G3354" s="3" t="s">
        <v>21</v>
      </c>
      <c r="H3354" s="2" t="s">
        <v>22</v>
      </c>
      <c r="I3354" s="2" t="s">
        <v>7537</v>
      </c>
      <c r="J3354" s="3" t="str">
        <f>HYPERLINK("https://www.boe.es/gazeta/dias/1834/10/18/pdfs/GMD-1834-246.pdf#page=3","Abrir facsímil")</f>
        <v>Abrir facsímil</v>
      </c>
      <c r="K3354" s="3" t="s">
        <v>24</v>
      </c>
    </row>
    <row r="3355" spans="1:11" ht="54" customHeight="1">
      <c r="A3355" s="2" t="s">
        <v>7538</v>
      </c>
      <c r="B3355" s="2" t="s">
        <v>7539</v>
      </c>
      <c r="C3355" s="2" t="s">
        <v>122</v>
      </c>
      <c r="D3355" s="2" t="s">
        <v>18</v>
      </c>
      <c r="E3355" s="5" t="s">
        <v>1234</v>
      </c>
      <c r="F3355" s="3" t="s">
        <v>1455</v>
      </c>
      <c r="G3355" s="3" t="s">
        <v>21</v>
      </c>
      <c r="H3355" s="2" t="s">
        <v>35</v>
      </c>
      <c r="I3355" s="2" t="s">
        <v>7540</v>
      </c>
      <c r="J3355" s="3" t="str">
        <f>HYPERLINK("https://www.boe.es/gazeta/dias/1834/05/15/pdfs/GMD-1834-84.pdf#page=3","Abrir facsímil")</f>
        <v>Abrir facsímil</v>
      </c>
      <c r="K3355" s="3" t="s">
        <v>37</v>
      </c>
    </row>
    <row r="3356" spans="1:11" ht="54" customHeight="1">
      <c r="A3356" s="2" t="s">
        <v>7541</v>
      </c>
      <c r="B3356" s="2" t="s">
        <v>7542</v>
      </c>
      <c r="C3356" s="2" t="s">
        <v>122</v>
      </c>
      <c r="D3356" s="2" t="s">
        <v>18</v>
      </c>
      <c r="E3356" s="5" t="s">
        <v>1234</v>
      </c>
      <c r="F3356" s="3" t="s">
        <v>1455</v>
      </c>
      <c r="G3356" s="3" t="s">
        <v>21</v>
      </c>
      <c r="H3356" s="2" t="s">
        <v>22</v>
      </c>
      <c r="I3356" s="2" t="s">
        <v>7543</v>
      </c>
      <c r="J3356" s="3" t="str">
        <f>HYPERLINK("https://www.boe.es/gazeta/dias/1834/05/15/pdfs/GMD-1834-84.pdf#page=3","Abrir facsímil")</f>
        <v>Abrir facsímil</v>
      </c>
      <c r="K3356" s="3" t="s">
        <v>24</v>
      </c>
    </row>
    <row r="3357" spans="1:11" ht="54" customHeight="1">
      <c r="A3357" s="2" t="s">
        <v>7544</v>
      </c>
      <c r="B3357" s="2" t="s">
        <v>7545</v>
      </c>
      <c r="C3357" s="2" t="s">
        <v>17</v>
      </c>
      <c r="D3357" s="2" t="s">
        <v>18</v>
      </c>
      <c r="E3357" s="5" t="s">
        <v>262</v>
      </c>
      <c r="F3357" s="3" t="s">
        <v>7012</v>
      </c>
      <c r="G3357" s="3" t="s">
        <v>21</v>
      </c>
      <c r="H3357" s="2" t="s">
        <v>22</v>
      </c>
      <c r="I3357" s="2" t="s">
        <v>7546</v>
      </c>
      <c r="J3357" s="3" t="str">
        <f>HYPERLINK("https://www.boe.es/gazeta/dias/1834/10/18/pdfs/GMD-1834-246.pdf#page=3","Abrir facsímil")</f>
        <v>Abrir facsímil</v>
      </c>
      <c r="K3357" s="3" t="s">
        <v>24</v>
      </c>
    </row>
    <row r="3358" spans="1:11" ht="54" customHeight="1">
      <c r="A3358" s="2" t="s">
        <v>7544</v>
      </c>
      <c r="B3358" s="2" t="s">
        <v>7545</v>
      </c>
      <c r="C3358" s="2" t="s">
        <v>17</v>
      </c>
      <c r="D3358" s="2" t="s">
        <v>18</v>
      </c>
      <c r="E3358" s="5" t="s">
        <v>563</v>
      </c>
      <c r="F3358" s="3" t="s">
        <v>564</v>
      </c>
      <c r="G3358" s="3" t="s">
        <v>28</v>
      </c>
      <c r="H3358" s="2" t="s">
        <v>22</v>
      </c>
      <c r="I3358" s="2" t="s">
        <v>7547</v>
      </c>
      <c r="J3358" s="3" t="str">
        <f>HYPERLINK("https://www.boe.es/gazeta/dias/1834/04/19/pdfs/GMD-1834-58.pdf#page=5","Abrir facsímil")</f>
        <v>Abrir facsímil</v>
      </c>
      <c r="K3358" s="3" t="s">
        <v>24</v>
      </c>
    </row>
    <row r="3359" spans="1:11" ht="54" customHeight="1">
      <c r="A3359" s="2" t="s">
        <v>7548</v>
      </c>
      <c r="B3359" s="2" t="s">
        <v>7549</v>
      </c>
      <c r="C3359" s="2" t="s">
        <v>90</v>
      </c>
      <c r="D3359" s="2" t="s">
        <v>18</v>
      </c>
      <c r="E3359" s="5" t="s">
        <v>158</v>
      </c>
      <c r="F3359" s="3" t="s">
        <v>159</v>
      </c>
      <c r="G3359" s="3" t="s">
        <v>21</v>
      </c>
      <c r="H3359" s="2" t="s">
        <v>22</v>
      </c>
      <c r="I3359" s="2" t="s">
        <v>7550</v>
      </c>
      <c r="J3359" s="3" t="str">
        <f>HYPERLINK("https://www.boe.es/gazeta/dias/1834/10/01/pdfs/GMD-1834-229.pdf#page=3","Abrir facsímil")</f>
        <v>Abrir facsímil</v>
      </c>
      <c r="K3359" s="3" t="s">
        <v>24</v>
      </c>
    </row>
    <row r="3360" spans="1:11" ht="54" customHeight="1">
      <c r="A3360" s="2" t="s">
        <v>7551</v>
      </c>
      <c r="B3360" s="2" t="s">
        <v>7551</v>
      </c>
      <c r="C3360" s="2" t="s">
        <v>17</v>
      </c>
      <c r="D3360" s="2" t="s">
        <v>18</v>
      </c>
      <c r="E3360" s="5" t="s">
        <v>524</v>
      </c>
      <c r="F3360" s="3" t="s">
        <v>4743</v>
      </c>
      <c r="G3360" s="3" t="s">
        <v>21</v>
      </c>
      <c r="H3360" s="2" t="s">
        <v>22</v>
      </c>
      <c r="I3360" s="2" t="s">
        <v>7552</v>
      </c>
      <c r="J3360" s="3" t="str">
        <f>HYPERLINK("https://www.boe.es/gazeta/dias/1834/12/25/pdfs/GMD-1834-315.pdf#page=3","Abrir facsímil")</f>
        <v>Abrir facsímil</v>
      </c>
      <c r="K3360" s="3" t="s">
        <v>24</v>
      </c>
    </row>
    <row r="3361" spans="1:11" ht="54" customHeight="1">
      <c r="A3361" s="2" t="s">
        <v>7553</v>
      </c>
      <c r="B3361" s="2" t="s">
        <v>7553</v>
      </c>
      <c r="C3361" s="2" t="s">
        <v>857</v>
      </c>
      <c r="D3361" s="2" t="s">
        <v>18</v>
      </c>
      <c r="E3361" s="5" t="s">
        <v>2037</v>
      </c>
      <c r="F3361" s="3" t="s">
        <v>2038</v>
      </c>
      <c r="G3361" s="3" t="s">
        <v>21</v>
      </c>
      <c r="H3361" s="2" t="s">
        <v>22</v>
      </c>
      <c r="I3361" s="2" t="s">
        <v>7554</v>
      </c>
      <c r="J3361" s="3" t="str">
        <f>HYPERLINK("https://www.boe.es/gazeta/dias/1834/12/01/pdfs/GMD-1834-290.pdf#page=3","Abrir facsímil")</f>
        <v>Abrir facsímil</v>
      </c>
      <c r="K3361" s="3" t="s">
        <v>24</v>
      </c>
    </row>
    <row r="3362" spans="1:11" ht="54" customHeight="1">
      <c r="A3362" s="2" t="s">
        <v>7553</v>
      </c>
      <c r="B3362" s="2" t="s">
        <v>7553</v>
      </c>
      <c r="C3362" s="2" t="s">
        <v>17</v>
      </c>
      <c r="D3362" s="2" t="s">
        <v>18</v>
      </c>
      <c r="E3362" s="5" t="s">
        <v>1704</v>
      </c>
      <c r="F3362" s="3" t="s">
        <v>1705</v>
      </c>
      <c r="G3362" s="3" t="s">
        <v>21</v>
      </c>
      <c r="H3362" s="2" t="s">
        <v>22</v>
      </c>
      <c r="I3362" s="2" t="s">
        <v>7555</v>
      </c>
      <c r="J3362" s="3" t="str">
        <f>HYPERLINK("https://www.boe.es/gazeta/dias/1834/12/02/pdfs/GMD-1834-291.pdf#page=3","Abrir facsímil")</f>
        <v>Abrir facsímil</v>
      </c>
      <c r="K3362" s="3" t="s">
        <v>24</v>
      </c>
    </row>
    <row r="3363" spans="1:11" ht="54" customHeight="1">
      <c r="A3363" s="2" t="s">
        <v>7553</v>
      </c>
      <c r="B3363" s="2" t="s">
        <v>7553</v>
      </c>
      <c r="C3363" s="2" t="s">
        <v>66</v>
      </c>
      <c r="D3363" s="2" t="s">
        <v>18</v>
      </c>
      <c r="E3363" s="5" t="s">
        <v>426</v>
      </c>
      <c r="F3363" s="3" t="s">
        <v>427</v>
      </c>
      <c r="G3363" s="3" t="s">
        <v>21</v>
      </c>
      <c r="H3363" s="2" t="s">
        <v>22</v>
      </c>
      <c r="I3363" s="2" t="s">
        <v>7556</v>
      </c>
      <c r="J3363" s="3" t="str">
        <f>HYPERLINK("https://www.boe.es/gazeta/dias/1834/10/04/pdfs/GMD-1834-232.pdf#page=3","Abrir facsímil")</f>
        <v>Abrir facsímil</v>
      </c>
      <c r="K3363" s="3" t="s">
        <v>24</v>
      </c>
    </row>
    <row r="3364" spans="1:11" ht="54" customHeight="1">
      <c r="A3364" s="2" t="s">
        <v>7553</v>
      </c>
      <c r="B3364" s="2" t="s">
        <v>7553</v>
      </c>
      <c r="C3364" s="2" t="s">
        <v>66</v>
      </c>
      <c r="D3364" s="2" t="s">
        <v>67</v>
      </c>
      <c r="E3364" s="5" t="s">
        <v>364</v>
      </c>
      <c r="F3364" s="3" t="s">
        <v>365</v>
      </c>
      <c r="G3364" s="3" t="s">
        <v>86</v>
      </c>
      <c r="H3364" s="2" t="s">
        <v>22</v>
      </c>
      <c r="I3364" s="2" t="s">
        <v>7557</v>
      </c>
      <c r="J3364" s="3" t="str">
        <f>HYPERLINK("https://www.boe.es/gazeta/dias/1834/09/06/pdfs/GMD-D-1834-204.pdf#page=2","Abrir facsímil")</f>
        <v>Abrir facsímil</v>
      </c>
      <c r="K3364" s="3" t="s">
        <v>24</v>
      </c>
    </row>
    <row r="3365" spans="1:11" ht="54" customHeight="1">
      <c r="A3365" s="2" t="s">
        <v>7553</v>
      </c>
      <c r="B3365" s="2" t="s">
        <v>7553</v>
      </c>
      <c r="C3365" s="2" t="s">
        <v>66</v>
      </c>
      <c r="D3365" s="2" t="s">
        <v>67</v>
      </c>
      <c r="E3365" s="5" t="s">
        <v>3170</v>
      </c>
      <c r="F3365" s="3" t="s">
        <v>3171</v>
      </c>
      <c r="G3365" s="3" t="s">
        <v>21</v>
      </c>
      <c r="H3365" s="2" t="s">
        <v>22</v>
      </c>
      <c r="I3365" s="2" t="s">
        <v>7558</v>
      </c>
      <c r="J3365" s="3" t="str">
        <f>HYPERLINK("https://www.boe.es/gazeta/dias/1834/12/07/pdfs/GMD-1834-296.pdf#page=3","Abrir facsímil")</f>
        <v>Abrir facsímil</v>
      </c>
      <c r="K3365" s="3" t="s">
        <v>24</v>
      </c>
    </row>
    <row r="3366" spans="1:11" ht="54" customHeight="1">
      <c r="A3366" s="2" t="s">
        <v>7553</v>
      </c>
      <c r="B3366" s="2" t="s">
        <v>7553</v>
      </c>
      <c r="C3366" s="2" t="s">
        <v>17</v>
      </c>
      <c r="D3366" s="2" t="s">
        <v>18</v>
      </c>
      <c r="E3366" s="5" t="s">
        <v>399</v>
      </c>
      <c r="F3366" s="3" t="s">
        <v>400</v>
      </c>
      <c r="G3366" s="3" t="s">
        <v>75</v>
      </c>
      <c r="H3366" s="2" t="s">
        <v>22</v>
      </c>
      <c r="I3366" s="2" t="s">
        <v>7559</v>
      </c>
      <c r="J3366" s="3" t="str">
        <f>HYPERLINK("https://www.boe.es/gazeta/dias/1834/07/08/pdfs/GMD-1834-141.pdf#page=4","Abrir facsímil")</f>
        <v>Abrir facsímil</v>
      </c>
      <c r="K3366" s="3" t="s">
        <v>24</v>
      </c>
    </row>
    <row r="3367" spans="1:11" ht="54" customHeight="1">
      <c r="A3367" s="2" t="s">
        <v>7553</v>
      </c>
      <c r="B3367" s="2" t="s">
        <v>7553</v>
      </c>
      <c r="C3367" s="2" t="s">
        <v>66</v>
      </c>
      <c r="D3367" s="2" t="s">
        <v>18</v>
      </c>
      <c r="E3367" s="5" t="s">
        <v>438</v>
      </c>
      <c r="F3367" s="3" t="s">
        <v>439</v>
      </c>
      <c r="G3367" s="3" t="s">
        <v>75</v>
      </c>
      <c r="H3367" s="2" t="s">
        <v>22</v>
      </c>
      <c r="I3367" s="2" t="s">
        <v>7560</v>
      </c>
      <c r="J3367" s="3" t="str">
        <f>HYPERLINK("https://www.boe.es/gazeta/dias/1834/11/09/pdfs/GMD-1834-268.pdf#page=4","Abrir facsímil")</f>
        <v>Abrir facsímil</v>
      </c>
      <c r="K3367" s="3" t="s">
        <v>24</v>
      </c>
    </row>
    <row r="3368" spans="1:11" ht="54" customHeight="1">
      <c r="A3368" s="2" t="s">
        <v>7553</v>
      </c>
      <c r="B3368" s="2" t="s">
        <v>7553</v>
      </c>
      <c r="C3368" s="2" t="s">
        <v>17</v>
      </c>
      <c r="D3368" s="2" t="s">
        <v>18</v>
      </c>
      <c r="E3368" s="5" t="s">
        <v>1268</v>
      </c>
      <c r="F3368" s="3" t="s">
        <v>1269</v>
      </c>
      <c r="G3368" s="3" t="s">
        <v>75</v>
      </c>
      <c r="H3368" s="2" t="s">
        <v>22</v>
      </c>
      <c r="I3368" s="2" t="s">
        <v>7561</v>
      </c>
      <c r="J3368" s="3" t="str">
        <f>HYPERLINK("https://www.boe.es/gazeta/dias/1834/12/09/pdfs/GMD-1834-298.pdf#page=4","Abrir facsímil")</f>
        <v>Abrir facsímil</v>
      </c>
      <c r="K3368" s="3" t="s">
        <v>24</v>
      </c>
    </row>
    <row r="3369" spans="1:11" ht="54" customHeight="1">
      <c r="A3369" s="2" t="s">
        <v>7553</v>
      </c>
      <c r="B3369" s="2" t="s">
        <v>7553</v>
      </c>
      <c r="C3369" s="2" t="s">
        <v>17</v>
      </c>
      <c r="D3369" s="2" t="s">
        <v>18</v>
      </c>
      <c r="E3369" s="5" t="s">
        <v>441</v>
      </c>
      <c r="F3369" s="3" t="s">
        <v>442</v>
      </c>
      <c r="G3369" s="3" t="s">
        <v>75</v>
      </c>
      <c r="H3369" s="2" t="s">
        <v>22</v>
      </c>
      <c r="I3369" s="2" t="s">
        <v>7562</v>
      </c>
      <c r="J3369" s="3" t="str">
        <f>HYPERLINK("https://www.boe.es/gazeta/dias/1834/11/10/pdfs/GMD-1834-269.pdf#page=4","Abrir facsímil")</f>
        <v>Abrir facsímil</v>
      </c>
      <c r="K3369" s="3" t="s">
        <v>24</v>
      </c>
    </row>
    <row r="3370" spans="1:11" ht="54" customHeight="1">
      <c r="A3370" s="2" t="s">
        <v>7553</v>
      </c>
      <c r="B3370" s="2" t="s">
        <v>7553</v>
      </c>
      <c r="C3370" s="2" t="s">
        <v>17</v>
      </c>
      <c r="D3370" s="2" t="s">
        <v>18</v>
      </c>
      <c r="E3370" s="5" t="s">
        <v>642</v>
      </c>
      <c r="F3370" s="3" t="s">
        <v>1843</v>
      </c>
      <c r="G3370" s="3" t="s">
        <v>21</v>
      </c>
      <c r="H3370" s="2" t="s">
        <v>22</v>
      </c>
      <c r="I3370" s="2" t="s">
        <v>7563</v>
      </c>
      <c r="J3370" s="3" t="str">
        <f>HYPERLINK("https://www.boe.es/gazeta/dias/1834/11/12/pdfs/GMD-1834-271.pdf#page=3","Abrir facsímil")</f>
        <v>Abrir facsímil</v>
      </c>
      <c r="K3370" s="3" t="s">
        <v>24</v>
      </c>
    </row>
    <row r="3371" spans="1:11" ht="54" customHeight="1">
      <c r="A3371" s="2" t="s">
        <v>7553</v>
      </c>
      <c r="B3371" s="2" t="s">
        <v>7553</v>
      </c>
      <c r="C3371" s="2" t="s">
        <v>66</v>
      </c>
      <c r="D3371" s="2" t="s">
        <v>18</v>
      </c>
      <c r="E3371" s="5" t="s">
        <v>448</v>
      </c>
      <c r="F3371" s="3" t="s">
        <v>2058</v>
      </c>
      <c r="G3371" s="3" t="s">
        <v>86</v>
      </c>
      <c r="H3371" s="2" t="s">
        <v>22</v>
      </c>
      <c r="I3371" s="2" t="s">
        <v>7564</v>
      </c>
      <c r="J3371" s="3" t="str">
        <f>HYPERLINK("https://www.boe.es/gazeta/dias/1834/10/14/pdfs/GMD-1834-242.pdf#page=2","Abrir facsímil")</f>
        <v>Abrir facsímil</v>
      </c>
      <c r="K3371" s="3" t="s">
        <v>24</v>
      </c>
    </row>
    <row r="3372" spans="1:11" ht="54" customHeight="1">
      <c r="A3372" s="2" t="s">
        <v>7553</v>
      </c>
      <c r="B3372" s="2" t="s">
        <v>7553</v>
      </c>
      <c r="C3372" s="2" t="s">
        <v>66</v>
      </c>
      <c r="D3372" s="2" t="s">
        <v>18</v>
      </c>
      <c r="E3372" s="5" t="s">
        <v>1195</v>
      </c>
      <c r="F3372" s="3" t="s">
        <v>1916</v>
      </c>
      <c r="G3372" s="3" t="s">
        <v>21</v>
      </c>
      <c r="H3372" s="2" t="s">
        <v>22</v>
      </c>
      <c r="I3372" s="2" t="s">
        <v>7565</v>
      </c>
      <c r="J3372" s="3" t="str">
        <f>HYPERLINK("https://www.boe.es/gazeta/dias/1834/10/17/pdfs/GMD-1834-245.pdf#page=3","Abrir facsímil")</f>
        <v>Abrir facsímil</v>
      </c>
      <c r="K3372" s="3" t="s">
        <v>24</v>
      </c>
    </row>
    <row r="3373" spans="1:11" ht="54" customHeight="1">
      <c r="A3373" s="2" t="s">
        <v>7553</v>
      </c>
      <c r="B3373" s="2" t="s">
        <v>7553</v>
      </c>
      <c r="C3373" s="2" t="s">
        <v>66</v>
      </c>
      <c r="D3373" s="2" t="s">
        <v>67</v>
      </c>
      <c r="E3373" s="5" t="s">
        <v>2278</v>
      </c>
      <c r="F3373" s="3" t="s">
        <v>3687</v>
      </c>
      <c r="G3373" s="3" t="s">
        <v>34</v>
      </c>
      <c r="H3373" s="2" t="s">
        <v>22</v>
      </c>
      <c r="I3373" s="2" t="s">
        <v>7566</v>
      </c>
      <c r="J3373" s="3" t="str">
        <f>HYPERLINK("https://www.boe.es/gazeta/dias/1834/12/17/pdfs/GMD-1834-307E.pdf#page=1","Abrir facsímil")</f>
        <v>Abrir facsímil</v>
      </c>
      <c r="K3373" s="3" t="s">
        <v>24</v>
      </c>
    </row>
    <row r="3374" spans="1:11" ht="54" customHeight="1">
      <c r="A3374" s="2" t="s">
        <v>7553</v>
      </c>
      <c r="B3374" s="2" t="s">
        <v>7553</v>
      </c>
      <c r="C3374" s="2" t="s">
        <v>66</v>
      </c>
      <c r="D3374" s="2" t="s">
        <v>55</v>
      </c>
      <c r="E3374" s="5" t="s">
        <v>2287</v>
      </c>
      <c r="F3374" s="3" t="s">
        <v>4741</v>
      </c>
      <c r="G3374" s="3" t="s">
        <v>21</v>
      </c>
      <c r="H3374" s="2" t="s">
        <v>22</v>
      </c>
      <c r="I3374" s="2" t="s">
        <v>7567</v>
      </c>
      <c r="J3374" s="3" t="str">
        <f>HYPERLINK("https://www.boe.es/gazeta/dias/1834/12/18/pdfs/GMD-1834-308.pdf#page=3","Abrir facsímil")</f>
        <v>Abrir facsímil</v>
      </c>
      <c r="K3374" s="3" t="s">
        <v>24</v>
      </c>
    </row>
    <row r="3375" spans="1:11" ht="54" customHeight="1">
      <c r="A3375" s="2" t="s">
        <v>7553</v>
      </c>
      <c r="B3375" s="2" t="s">
        <v>7553</v>
      </c>
      <c r="C3375" s="2" t="s">
        <v>66</v>
      </c>
      <c r="D3375" s="2" t="s">
        <v>18</v>
      </c>
      <c r="E3375" s="5" t="s">
        <v>265</v>
      </c>
      <c r="F3375" s="3" t="s">
        <v>969</v>
      </c>
      <c r="G3375" s="3" t="s">
        <v>21</v>
      </c>
      <c r="H3375" s="2" t="s">
        <v>22</v>
      </c>
      <c r="I3375" s="2" t="s">
        <v>7568</v>
      </c>
      <c r="J3375" s="3" t="str">
        <f>HYPERLINK("https://www.boe.es/gazeta/dias/1834/11/19/pdfs/GMD-1834-278.pdf#page=3","Abrir facsímil")</f>
        <v>Abrir facsímil</v>
      </c>
      <c r="K3375" s="3" t="s">
        <v>24</v>
      </c>
    </row>
    <row r="3376" spans="1:11" ht="54" customHeight="1">
      <c r="A3376" s="2" t="s">
        <v>7553</v>
      </c>
      <c r="B3376" s="2" t="s">
        <v>7553</v>
      </c>
      <c r="C3376" s="2" t="s">
        <v>66</v>
      </c>
      <c r="D3376" s="2" t="s">
        <v>18</v>
      </c>
      <c r="E3376" s="5" t="s">
        <v>148</v>
      </c>
      <c r="F3376" s="3" t="s">
        <v>149</v>
      </c>
      <c r="G3376" s="3" t="s">
        <v>21</v>
      </c>
      <c r="H3376" s="2" t="s">
        <v>22</v>
      </c>
      <c r="I3376" s="2" t="s">
        <v>7569</v>
      </c>
      <c r="J3376" s="3" t="str">
        <f>HYPERLINK("https://www.boe.es/gazeta/dias/1834/10/20/pdfs/GMD-1834-248.pdf#page=3","Abrir facsímil")</f>
        <v>Abrir facsímil</v>
      </c>
      <c r="K3376" s="3" t="s">
        <v>24</v>
      </c>
    </row>
    <row r="3377" spans="1:11" ht="54" customHeight="1">
      <c r="A3377" s="2" t="s">
        <v>7553</v>
      </c>
      <c r="B3377" s="2" t="s">
        <v>7553</v>
      </c>
      <c r="C3377" s="2" t="s">
        <v>17</v>
      </c>
      <c r="D3377" s="2" t="s">
        <v>18</v>
      </c>
      <c r="E3377" s="5" t="s">
        <v>1973</v>
      </c>
      <c r="F3377" s="3" t="s">
        <v>4832</v>
      </c>
      <c r="G3377" s="3" t="s">
        <v>75</v>
      </c>
      <c r="H3377" s="2" t="s">
        <v>22</v>
      </c>
      <c r="I3377" s="2" t="s">
        <v>7570</v>
      </c>
      <c r="J3377" s="3" t="str">
        <f>HYPERLINK("https://www.boe.es/gazeta/dias/1834/12/20/pdfs/GMD-1834-310.pdf#page=4","Abrir facsímil")</f>
        <v>Abrir facsímil</v>
      </c>
      <c r="K3377" s="3" t="s">
        <v>24</v>
      </c>
    </row>
    <row r="3378" spans="1:11" ht="54" customHeight="1">
      <c r="A3378" s="2" t="s">
        <v>7553</v>
      </c>
      <c r="B3378" s="2" t="s">
        <v>7553</v>
      </c>
      <c r="C3378" s="2" t="s">
        <v>17</v>
      </c>
      <c r="D3378" s="2" t="s">
        <v>18</v>
      </c>
      <c r="E3378" s="5" t="s">
        <v>394</v>
      </c>
      <c r="F3378" s="3" t="s">
        <v>459</v>
      </c>
      <c r="G3378" s="3" t="s">
        <v>34</v>
      </c>
      <c r="H3378" s="2" t="s">
        <v>22</v>
      </c>
      <c r="I3378" s="2" t="s">
        <v>7571</v>
      </c>
      <c r="J3378" s="3" t="str">
        <f>HYPERLINK("https://www.boe.es/gazeta/dias/1834/12/23/pdfs/GMD-C-1834-313.pdf#page=1","Abrir facsímil")</f>
        <v>Abrir facsímil</v>
      </c>
      <c r="K3378" s="3" t="s">
        <v>24</v>
      </c>
    </row>
    <row r="3379" spans="1:11" ht="54" customHeight="1">
      <c r="A3379" s="2" t="s">
        <v>7553</v>
      </c>
      <c r="B3379" s="2" t="s">
        <v>7553</v>
      </c>
      <c r="C3379" s="2" t="s">
        <v>17</v>
      </c>
      <c r="D3379" s="2" t="s">
        <v>18</v>
      </c>
      <c r="E3379" s="5" t="s">
        <v>465</v>
      </c>
      <c r="F3379" s="3" t="s">
        <v>1361</v>
      </c>
      <c r="G3379" s="3" t="s">
        <v>75</v>
      </c>
      <c r="H3379" s="2" t="s">
        <v>22</v>
      </c>
      <c r="I3379" s="2" t="s">
        <v>7572</v>
      </c>
      <c r="J3379" s="3" t="str">
        <f>HYPERLINK("https://www.boe.es/gazeta/dias/1834/11/27/pdfs/GMD-1834-286.pdf#page=4","Abrir facsímil")</f>
        <v>Abrir facsímil</v>
      </c>
      <c r="K3379" s="3" t="s">
        <v>24</v>
      </c>
    </row>
    <row r="3380" spans="1:11" ht="54" customHeight="1">
      <c r="A3380" s="2" t="s">
        <v>7553</v>
      </c>
      <c r="B3380" s="2" t="s">
        <v>7553</v>
      </c>
      <c r="C3380" s="2" t="s">
        <v>122</v>
      </c>
      <c r="D3380" s="2" t="s">
        <v>18</v>
      </c>
      <c r="E3380" s="5" t="s">
        <v>5904</v>
      </c>
      <c r="F3380" s="3" t="s">
        <v>5905</v>
      </c>
      <c r="G3380" s="3" t="s">
        <v>21</v>
      </c>
      <c r="H3380" s="2" t="s">
        <v>22</v>
      </c>
      <c r="I3380" s="2" t="s">
        <v>7573</v>
      </c>
      <c r="J3380" s="3" t="str">
        <f>HYPERLINK("https://www.boe.es/gazeta/dias/1834/09/29/pdfs/GMD-1834-227.pdf#page=3","Abrir facsímil")</f>
        <v>Abrir facsímil</v>
      </c>
      <c r="K3380" s="3" t="s">
        <v>24</v>
      </c>
    </row>
    <row r="3381" spans="1:11" ht="54" customHeight="1">
      <c r="A3381" s="2" t="s">
        <v>7574</v>
      </c>
      <c r="B3381" s="2" t="s">
        <v>7575</v>
      </c>
      <c r="C3381" s="2" t="s">
        <v>66</v>
      </c>
      <c r="D3381" s="2" t="s">
        <v>67</v>
      </c>
      <c r="E3381" s="5" t="s">
        <v>339</v>
      </c>
      <c r="F3381" s="3" t="s">
        <v>340</v>
      </c>
      <c r="G3381" s="3" t="s">
        <v>21</v>
      </c>
      <c r="H3381" s="2" t="s">
        <v>22</v>
      </c>
      <c r="I3381" s="2" t="s">
        <v>7576</v>
      </c>
      <c r="J3381" s="3" t="str">
        <f>HYPERLINK("https://www.boe.es/gazeta/dias/1834/05/02/pdfs/GMD-1834-71.pdf#page=3","Abrir facsímil")</f>
        <v>Abrir facsímil</v>
      </c>
      <c r="K3381" s="3" t="s">
        <v>24</v>
      </c>
    </row>
    <row r="3382" spans="1:11" ht="54" customHeight="1">
      <c r="A3382" s="2" t="s">
        <v>7574</v>
      </c>
      <c r="B3382" s="2" t="s">
        <v>7575</v>
      </c>
      <c r="C3382" s="2" t="s">
        <v>17</v>
      </c>
      <c r="D3382" s="2" t="s">
        <v>18</v>
      </c>
      <c r="E3382" s="5" t="s">
        <v>61</v>
      </c>
      <c r="F3382" s="3" t="s">
        <v>205</v>
      </c>
      <c r="G3382" s="3" t="s">
        <v>21</v>
      </c>
      <c r="H3382" s="2" t="s">
        <v>22</v>
      </c>
      <c r="I3382" s="2" t="s">
        <v>7577</v>
      </c>
      <c r="J3382" s="3" t="str">
        <f>HYPERLINK("https://www.boe.es/gazeta/dias/1834/06/08/pdfs/GMD-1834-110.pdf#page=3","Abrir facsímil")</f>
        <v>Abrir facsímil</v>
      </c>
      <c r="K3382" s="3" t="s">
        <v>24</v>
      </c>
    </row>
    <row r="3383" spans="1:11" ht="54" customHeight="1">
      <c r="A3383" s="2" t="s">
        <v>7578</v>
      </c>
      <c r="B3383" s="2" t="s">
        <v>7579</v>
      </c>
      <c r="C3383" s="2" t="s">
        <v>17</v>
      </c>
      <c r="D3383" s="2" t="s">
        <v>101</v>
      </c>
      <c r="E3383" s="5" t="s">
        <v>1575</v>
      </c>
      <c r="F3383" s="3" t="s">
        <v>1576</v>
      </c>
      <c r="G3383" s="3" t="s">
        <v>34</v>
      </c>
      <c r="H3383" s="2" t="s">
        <v>22</v>
      </c>
      <c r="I3383" s="2" t="s">
        <v>7580</v>
      </c>
      <c r="J3383" s="3" t="str">
        <f>HYPERLINK("https://www.boe.es/gazeta/dias/1834/11/24/pdfs/GMD-1834-283.pdf#page=1","Abrir facsímil")</f>
        <v>Abrir facsímil</v>
      </c>
      <c r="K3383" s="3" t="s">
        <v>24</v>
      </c>
    </row>
    <row r="3384" spans="1:11" ht="54" customHeight="1">
      <c r="A3384" s="2" t="s">
        <v>7581</v>
      </c>
      <c r="B3384" s="2" t="s">
        <v>7582</v>
      </c>
      <c r="C3384" s="2" t="s">
        <v>17</v>
      </c>
      <c r="D3384" s="2" t="s">
        <v>18</v>
      </c>
      <c r="E3384" s="5" t="s">
        <v>772</v>
      </c>
      <c r="F3384" s="3" t="s">
        <v>773</v>
      </c>
      <c r="G3384" s="3" t="s">
        <v>21</v>
      </c>
      <c r="H3384" s="2" t="s">
        <v>35</v>
      </c>
      <c r="I3384" s="2" t="s">
        <v>7583</v>
      </c>
      <c r="J3384" s="3" t="str">
        <f>HYPERLINK("https://www.boe.es/gazeta/dias/1834/09/18/pdfs/GMD-1834-216.pdf#page=3","Abrir facsímil")</f>
        <v>Abrir facsímil</v>
      </c>
      <c r="K3384" s="3" t="s">
        <v>37</v>
      </c>
    </row>
    <row r="3385" spans="1:11" ht="54" customHeight="1">
      <c r="A3385" s="2" t="s">
        <v>7584</v>
      </c>
      <c r="B3385" s="2" t="s">
        <v>7585</v>
      </c>
      <c r="C3385" s="2" t="s">
        <v>17</v>
      </c>
      <c r="D3385" s="2" t="s">
        <v>101</v>
      </c>
      <c r="E3385" s="5" t="s">
        <v>506</v>
      </c>
      <c r="F3385" s="3" t="s">
        <v>507</v>
      </c>
      <c r="G3385" s="3" t="s">
        <v>34</v>
      </c>
      <c r="H3385" s="2" t="s">
        <v>22</v>
      </c>
      <c r="I3385" s="2" t="s">
        <v>7586</v>
      </c>
      <c r="J3385" s="3" t="str">
        <f>HYPERLINK("https://www.boe.es/gazeta/dias/1834/03/04/pdfs/GMD-1834-28.pdf#page=1","Abrir facsímil")</f>
        <v>Abrir facsímil</v>
      </c>
      <c r="K3385" s="3" t="s">
        <v>24</v>
      </c>
    </row>
    <row r="3386" spans="1:11" ht="54" customHeight="1">
      <c r="A3386" s="2" t="s">
        <v>7584</v>
      </c>
      <c r="B3386" s="2" t="s">
        <v>7585</v>
      </c>
      <c r="C3386" s="2" t="s">
        <v>17</v>
      </c>
      <c r="D3386" s="2" t="s">
        <v>18</v>
      </c>
      <c r="E3386" s="5" t="s">
        <v>1575</v>
      </c>
      <c r="F3386" s="3" t="s">
        <v>1576</v>
      </c>
      <c r="G3386" s="3" t="s">
        <v>34</v>
      </c>
      <c r="H3386" s="2" t="s">
        <v>22</v>
      </c>
      <c r="I3386" s="2" t="s">
        <v>7587</v>
      </c>
      <c r="J3386" s="3" t="str">
        <f>HYPERLINK("https://www.boe.es/gazeta/dias/1834/11/24/pdfs/GMD-1834-283.pdf#page=1","Abrir facsímil")</f>
        <v>Abrir facsímil</v>
      </c>
      <c r="K3386" s="3" t="s">
        <v>24</v>
      </c>
    </row>
    <row r="3387" spans="1:11" ht="54" customHeight="1">
      <c r="A3387" s="2" t="s">
        <v>7588</v>
      </c>
      <c r="B3387" s="2" t="s">
        <v>7589</v>
      </c>
      <c r="C3387" s="2" t="s">
        <v>46</v>
      </c>
      <c r="D3387" s="2" t="s">
        <v>101</v>
      </c>
      <c r="E3387" s="5" t="s">
        <v>251</v>
      </c>
      <c r="F3387" s="3" t="s">
        <v>1278</v>
      </c>
      <c r="G3387" s="3" t="s">
        <v>86</v>
      </c>
      <c r="H3387" s="2" t="s">
        <v>22</v>
      </c>
      <c r="I3387" s="2" t="s">
        <v>7590</v>
      </c>
      <c r="J3387" s="3" t="str">
        <f>HYPERLINK("https://www.boe.es/gazeta/dias/1834/09/26/pdfs/GMD-1834-224.pdf#page=2","Abrir facsímil")</f>
        <v>Abrir facsímil</v>
      </c>
      <c r="K3387" s="3" t="s">
        <v>24</v>
      </c>
    </row>
    <row r="3388" spans="1:11" ht="54" customHeight="1">
      <c r="A3388" s="2" t="s">
        <v>7591</v>
      </c>
      <c r="B3388" s="2" t="s">
        <v>7592</v>
      </c>
      <c r="C3388" s="2" t="s">
        <v>17</v>
      </c>
      <c r="D3388" s="2" t="s">
        <v>18</v>
      </c>
      <c r="E3388" s="5" t="s">
        <v>772</v>
      </c>
      <c r="F3388" s="3" t="s">
        <v>773</v>
      </c>
      <c r="G3388" s="3" t="s">
        <v>21</v>
      </c>
      <c r="H3388" s="2" t="s">
        <v>22</v>
      </c>
      <c r="I3388" s="2" t="s">
        <v>7593</v>
      </c>
      <c r="J3388" s="3" t="str">
        <f>HYPERLINK("https://www.boe.es/gazeta/dias/1834/09/18/pdfs/GMD-1834-216.pdf#page=3","Abrir facsímil")</f>
        <v>Abrir facsímil</v>
      </c>
      <c r="K3388" s="3" t="s">
        <v>24</v>
      </c>
    </row>
    <row r="3389" spans="1:11" ht="54" customHeight="1">
      <c r="A3389" s="2" t="s">
        <v>7594</v>
      </c>
      <c r="B3389" s="2" t="s">
        <v>7594</v>
      </c>
      <c r="C3389" s="2" t="s">
        <v>46</v>
      </c>
      <c r="D3389" s="2" t="s">
        <v>18</v>
      </c>
      <c r="E3389" s="5" t="s">
        <v>273</v>
      </c>
      <c r="F3389" s="3" t="s">
        <v>413</v>
      </c>
      <c r="G3389" s="3" t="s">
        <v>86</v>
      </c>
      <c r="H3389" s="2" t="s">
        <v>22</v>
      </c>
      <c r="I3389" s="2" t="s">
        <v>7595</v>
      </c>
      <c r="J3389" s="3" t="str">
        <f>HYPERLINK("https://www.boe.es/gazeta/dias/1834/08/31/pdfs/GMD-1834-198.pdf#page=2","Abrir facsímil")</f>
        <v>Abrir facsímil</v>
      </c>
      <c r="K3389" s="3" t="s">
        <v>24</v>
      </c>
    </row>
    <row r="3390" spans="1:11" ht="54" customHeight="1">
      <c r="A3390" s="2" t="s">
        <v>7596</v>
      </c>
      <c r="B3390" s="2" t="s">
        <v>7596</v>
      </c>
      <c r="C3390" s="2" t="s">
        <v>17</v>
      </c>
      <c r="D3390" s="2" t="s">
        <v>18</v>
      </c>
      <c r="E3390" s="5" t="s">
        <v>3328</v>
      </c>
      <c r="F3390" s="3" t="s">
        <v>3329</v>
      </c>
      <c r="G3390" s="3" t="s">
        <v>21</v>
      </c>
      <c r="H3390" s="2" t="s">
        <v>22</v>
      </c>
      <c r="I3390" s="2" t="s">
        <v>7597</v>
      </c>
      <c r="J3390" s="3" t="str">
        <f>HYPERLINK("https://www.boe.es/gazeta/dias/1834/06/04/pdfs/GMD-1834-106.pdf#page=3","Abrir facsímil")</f>
        <v>Abrir facsímil</v>
      </c>
      <c r="K3390" s="3" t="s">
        <v>24</v>
      </c>
    </row>
    <row r="3391" spans="1:11" ht="54" customHeight="1">
      <c r="A3391" s="2" t="s">
        <v>7598</v>
      </c>
      <c r="B3391" s="2" t="s">
        <v>7599</v>
      </c>
      <c r="C3391" s="2" t="s">
        <v>17</v>
      </c>
      <c r="D3391" s="2" t="s">
        <v>18</v>
      </c>
      <c r="E3391" s="5" t="s">
        <v>777</v>
      </c>
      <c r="F3391" s="3" t="s">
        <v>778</v>
      </c>
      <c r="G3391" s="3" t="s">
        <v>75</v>
      </c>
      <c r="H3391" s="2" t="s">
        <v>22</v>
      </c>
      <c r="I3391" s="2" t="s">
        <v>7600</v>
      </c>
      <c r="J3391" s="3" t="str">
        <f>HYPERLINK("https://www.boe.es/gazeta/dias/1834/10/29/pdfs/GMD-1834-257.pdf#page=4","Abrir facsímil")</f>
        <v>Abrir facsímil</v>
      </c>
      <c r="K3391" s="3" t="s">
        <v>24</v>
      </c>
    </row>
    <row r="3392" spans="1:11" ht="54" customHeight="1">
      <c r="A3392" s="2" t="s">
        <v>7601</v>
      </c>
      <c r="B3392" s="2" t="s">
        <v>7602</v>
      </c>
      <c r="C3392" s="2" t="s">
        <v>122</v>
      </c>
      <c r="D3392" s="2" t="s">
        <v>40</v>
      </c>
      <c r="E3392" s="5" t="s">
        <v>4565</v>
      </c>
      <c r="F3392" s="3" t="s">
        <v>4566</v>
      </c>
      <c r="G3392" s="3" t="s">
        <v>75</v>
      </c>
      <c r="H3392" s="2" t="s">
        <v>22</v>
      </c>
      <c r="I3392" s="2" t="s">
        <v>7603</v>
      </c>
      <c r="J3392" s="3" t="str">
        <f>HYPERLINK("https://www.boe.es/gazeta/dias/1834/07/10/pdfs/GMD-1834-143.pdf#page=4","Abrir facsímil")</f>
        <v>Abrir facsímil</v>
      </c>
      <c r="K3392" s="3" t="s">
        <v>24</v>
      </c>
    </row>
    <row r="3393" spans="1:11" ht="54" customHeight="1">
      <c r="A3393" s="2" t="s">
        <v>7604</v>
      </c>
      <c r="B3393" s="2" t="s">
        <v>7605</v>
      </c>
      <c r="C3393" s="2" t="s">
        <v>122</v>
      </c>
      <c r="D3393" s="2" t="s">
        <v>18</v>
      </c>
      <c r="E3393" s="5" t="s">
        <v>1002</v>
      </c>
      <c r="F3393" s="3" t="s">
        <v>1003</v>
      </c>
      <c r="G3393" s="3" t="s">
        <v>75</v>
      </c>
      <c r="H3393" s="2" t="s">
        <v>35</v>
      </c>
      <c r="I3393" s="2" t="s">
        <v>7606</v>
      </c>
      <c r="J3393" s="3" t="str">
        <f>HYPERLINK("https://www.boe.es/gazeta/dias/1834/06/26/pdfs/GMD-1834-129.pdf#page=4","Abrir facsímil")</f>
        <v>Abrir facsímil</v>
      </c>
      <c r="K3393" s="3" t="s">
        <v>37</v>
      </c>
    </row>
    <row r="3394" spans="1:11" ht="54" customHeight="1">
      <c r="A3394" s="2" t="s">
        <v>7607</v>
      </c>
      <c r="B3394" s="2" t="s">
        <v>7608</v>
      </c>
      <c r="C3394" s="2" t="s">
        <v>46</v>
      </c>
      <c r="D3394" s="2" t="s">
        <v>101</v>
      </c>
      <c r="E3394" s="5" t="s">
        <v>707</v>
      </c>
      <c r="F3394" s="3" t="s">
        <v>1359</v>
      </c>
      <c r="G3394" s="3" t="s">
        <v>86</v>
      </c>
      <c r="H3394" s="2" t="s">
        <v>22</v>
      </c>
      <c r="I3394" s="2" t="s">
        <v>7609</v>
      </c>
      <c r="J3394" s="3" t="str">
        <f>HYPERLINK("https://www.boe.es/gazeta/dias/1834/11/25/pdfs/GMD-1834-284.pdf#page=2","Abrir facsímil")</f>
        <v>Abrir facsímil</v>
      </c>
      <c r="K3394" s="3" t="s">
        <v>24</v>
      </c>
    </row>
    <row r="3395" spans="1:11" ht="54" customHeight="1">
      <c r="A3395" s="2" t="s">
        <v>7610</v>
      </c>
      <c r="B3395" s="2" t="s">
        <v>7611</v>
      </c>
      <c r="C3395" s="2" t="s">
        <v>17</v>
      </c>
      <c r="D3395" s="2" t="s">
        <v>55</v>
      </c>
      <c r="E3395" s="5" t="s">
        <v>844</v>
      </c>
      <c r="F3395" s="3" t="s">
        <v>845</v>
      </c>
      <c r="G3395" s="3" t="s">
        <v>86</v>
      </c>
      <c r="H3395" s="2" t="s">
        <v>22</v>
      </c>
      <c r="I3395" s="2" t="s">
        <v>7612</v>
      </c>
      <c r="J3395" s="3" t="str">
        <f>HYPERLINK("https://www.boe.es/gazeta/dias/1834/03/13/pdfs/GMD-1834-32.pdf#page=2","Abrir facsímil")</f>
        <v>Abrir facsímil</v>
      </c>
      <c r="K3395" s="3" t="s">
        <v>24</v>
      </c>
    </row>
    <row r="3396" spans="1:11" ht="54" customHeight="1">
      <c r="A3396" s="2" t="s">
        <v>7613</v>
      </c>
      <c r="B3396" s="2" t="s">
        <v>7613</v>
      </c>
      <c r="C3396" s="2" t="s">
        <v>17</v>
      </c>
      <c r="D3396" s="2" t="s">
        <v>18</v>
      </c>
      <c r="E3396" s="5" t="s">
        <v>416</v>
      </c>
      <c r="F3396" s="3" t="s">
        <v>417</v>
      </c>
      <c r="G3396" s="3" t="s">
        <v>34</v>
      </c>
      <c r="H3396" s="2" t="s">
        <v>22</v>
      </c>
      <c r="I3396" s="2" t="s">
        <v>7614</v>
      </c>
      <c r="J3396" s="3" t="str">
        <f>HYPERLINK("https://www.boe.es/gazeta/dias/1834/10/02/pdfs/GMD-C-1834-230.pdf#page=1","Abrir facsímil")</f>
        <v>Abrir facsímil</v>
      </c>
      <c r="K3396" s="3" t="s">
        <v>24</v>
      </c>
    </row>
    <row r="3397" spans="1:11" ht="54" customHeight="1">
      <c r="A3397" s="2" t="s">
        <v>7613</v>
      </c>
      <c r="B3397" s="2" t="s">
        <v>7613</v>
      </c>
      <c r="C3397" s="2" t="s">
        <v>66</v>
      </c>
      <c r="D3397" s="2" t="s">
        <v>67</v>
      </c>
      <c r="E3397" s="5" t="s">
        <v>61</v>
      </c>
      <c r="F3397" s="3" t="s">
        <v>205</v>
      </c>
      <c r="G3397" s="3" t="s">
        <v>75</v>
      </c>
      <c r="H3397" s="2" t="s">
        <v>22</v>
      </c>
      <c r="I3397" s="2" t="s">
        <v>7615</v>
      </c>
      <c r="J3397" s="3" t="str">
        <f>HYPERLINK("https://www.boe.es/gazeta/dias/1834/06/08/pdfs/GMD-1834-110.pdf#page=4","Abrir facsímil")</f>
        <v>Abrir facsímil</v>
      </c>
      <c r="K3397" s="3" t="s">
        <v>24</v>
      </c>
    </row>
    <row r="3398" spans="1:11" ht="54" customHeight="1">
      <c r="A3398" s="2" t="s">
        <v>7613</v>
      </c>
      <c r="B3398" s="2" t="s">
        <v>7613</v>
      </c>
      <c r="C3398" s="2" t="s">
        <v>17</v>
      </c>
      <c r="D3398" s="2" t="s">
        <v>40</v>
      </c>
      <c r="E3398" s="5" t="s">
        <v>647</v>
      </c>
      <c r="F3398" s="3" t="s">
        <v>2176</v>
      </c>
      <c r="G3398" s="3" t="s">
        <v>75</v>
      </c>
      <c r="H3398" s="2" t="s">
        <v>22</v>
      </c>
      <c r="I3398" s="2" t="s">
        <v>7616</v>
      </c>
      <c r="J3398" s="3" t="str">
        <f>HYPERLINK("https://www.boe.es/gazeta/dias/1834/10/21/pdfs/GMD-1834-249.pdf#page=4","Abrir facsímil")</f>
        <v>Abrir facsímil</v>
      </c>
      <c r="K3398" s="3" t="s">
        <v>24</v>
      </c>
    </row>
    <row r="3399" spans="1:11" ht="54" customHeight="1">
      <c r="A3399" s="2" t="s">
        <v>7617</v>
      </c>
      <c r="B3399" s="2" t="s">
        <v>7618</v>
      </c>
      <c r="C3399" s="2" t="s">
        <v>17</v>
      </c>
      <c r="D3399" s="2" t="s">
        <v>18</v>
      </c>
      <c r="E3399" s="5" t="s">
        <v>1170</v>
      </c>
      <c r="F3399" s="3" t="s">
        <v>1171</v>
      </c>
      <c r="G3399" s="3" t="s">
        <v>176</v>
      </c>
      <c r="H3399" s="2" t="s">
        <v>22</v>
      </c>
      <c r="I3399" s="2" t="s">
        <v>7619</v>
      </c>
      <c r="J3399" s="3" t="str">
        <f>HYPERLINK("https://www.boe.es/gazeta/dias/1834/01/07/pdfs/GMD-1834-4.pdf#page=6","Abrir facsímil")</f>
        <v>Abrir facsímil</v>
      </c>
      <c r="K3399" s="3" t="s">
        <v>24</v>
      </c>
    </row>
    <row r="3400" spans="1:11" ht="54" customHeight="1">
      <c r="A3400" s="2" t="s">
        <v>7617</v>
      </c>
      <c r="B3400" s="2" t="s">
        <v>7618</v>
      </c>
      <c r="C3400" s="2" t="s">
        <v>66</v>
      </c>
      <c r="D3400" s="2" t="s">
        <v>67</v>
      </c>
      <c r="E3400" s="5" t="s">
        <v>808</v>
      </c>
      <c r="F3400" s="3" t="s">
        <v>809</v>
      </c>
      <c r="G3400" s="3" t="s">
        <v>21</v>
      </c>
      <c r="H3400" s="2" t="s">
        <v>22</v>
      </c>
      <c r="I3400" s="2" t="s">
        <v>7620</v>
      </c>
      <c r="J3400" s="3" t="str">
        <f>HYPERLINK("https://www.boe.es/gazeta/dias/1834/10/11/pdfs/GMD-1834-239.pdf#page=3","Abrir facsímil")</f>
        <v>Abrir facsímil</v>
      </c>
      <c r="K3400" s="3" t="s">
        <v>24</v>
      </c>
    </row>
    <row r="3401" spans="1:11" ht="54" customHeight="1">
      <c r="A3401" s="2" t="s">
        <v>7617</v>
      </c>
      <c r="B3401" s="2" t="s">
        <v>7618</v>
      </c>
      <c r="C3401" s="2" t="s">
        <v>17</v>
      </c>
      <c r="D3401" s="2" t="s">
        <v>101</v>
      </c>
      <c r="E3401" s="5" t="s">
        <v>1850</v>
      </c>
      <c r="F3401" s="3" t="s">
        <v>1851</v>
      </c>
      <c r="G3401" s="3" t="s">
        <v>176</v>
      </c>
      <c r="H3401" s="2" t="s">
        <v>22</v>
      </c>
      <c r="I3401" s="2" t="s">
        <v>7621</v>
      </c>
      <c r="J3401" s="3" t="str">
        <f>HYPERLINK("https://www.boe.es/gazeta/dias/1834/02/18/pdfs/GMD-1834-22.pdf#page=6","Abrir facsímil")</f>
        <v>Abrir facsímil</v>
      </c>
      <c r="K3401" s="3" t="s">
        <v>24</v>
      </c>
    </row>
    <row r="3402" spans="1:11" ht="54" customHeight="1">
      <c r="A3402" s="2" t="s">
        <v>7622</v>
      </c>
      <c r="B3402" s="2" t="s">
        <v>7623</v>
      </c>
      <c r="C3402" s="2" t="s">
        <v>17</v>
      </c>
      <c r="D3402" s="2" t="s">
        <v>18</v>
      </c>
      <c r="E3402" s="5" t="s">
        <v>912</v>
      </c>
      <c r="F3402" s="3" t="s">
        <v>913</v>
      </c>
      <c r="G3402" s="3" t="s">
        <v>28</v>
      </c>
      <c r="H3402" s="2" t="s">
        <v>22</v>
      </c>
      <c r="I3402" s="2" t="s">
        <v>7624</v>
      </c>
      <c r="J3402" s="3" t="str">
        <f>HYPERLINK("https://www.boe.es/gazeta/dias/1834/02/15/pdfs/GMD-1834-21.pdf#page=5","Abrir facsímil")</f>
        <v>Abrir facsímil</v>
      </c>
      <c r="K3402" s="3" t="s">
        <v>24</v>
      </c>
    </row>
    <row r="3403" spans="1:11" ht="54" customHeight="1">
      <c r="A3403" s="2" t="s">
        <v>7625</v>
      </c>
      <c r="B3403" s="2" t="s">
        <v>7626</v>
      </c>
      <c r="C3403" s="2" t="s">
        <v>17</v>
      </c>
      <c r="D3403" s="2" t="s">
        <v>18</v>
      </c>
      <c r="E3403" s="5" t="s">
        <v>513</v>
      </c>
      <c r="F3403" s="3" t="s">
        <v>514</v>
      </c>
      <c r="G3403" s="3" t="s">
        <v>34</v>
      </c>
      <c r="H3403" s="2" t="s">
        <v>22</v>
      </c>
      <c r="I3403" s="2" t="s">
        <v>7627</v>
      </c>
      <c r="J3403" s="3" t="str">
        <f>HYPERLINK("https://www.boe.es/gazeta/dias/1834/04/27/pdfs/GMD-1834-66.pdf#page=1","Abrir facsímil")</f>
        <v>Abrir facsímil</v>
      </c>
      <c r="K3403" s="3" t="s">
        <v>24</v>
      </c>
    </row>
    <row r="3404" spans="1:11" ht="54" customHeight="1">
      <c r="A3404" s="2" t="s">
        <v>7628</v>
      </c>
      <c r="B3404" s="2" t="s">
        <v>7628</v>
      </c>
      <c r="C3404" s="2" t="s">
        <v>17</v>
      </c>
      <c r="D3404" s="2" t="s">
        <v>55</v>
      </c>
      <c r="E3404" s="5" t="s">
        <v>866</v>
      </c>
      <c r="F3404" s="3" t="s">
        <v>867</v>
      </c>
      <c r="G3404" s="3" t="s">
        <v>86</v>
      </c>
      <c r="H3404" s="2" t="s">
        <v>22</v>
      </c>
      <c r="I3404" s="2" t="s">
        <v>7629</v>
      </c>
      <c r="J3404" s="3" t="str">
        <f>HYPERLINK("https://www.boe.es/gazeta/dias/1834/01/18/pdfs/GMD-1834-9.pdf#page=2","Abrir facsímil")</f>
        <v>Abrir facsímil</v>
      </c>
      <c r="K3404" s="3" t="s">
        <v>24</v>
      </c>
    </row>
    <row r="3405" spans="1:11" ht="54" customHeight="1">
      <c r="A3405" s="2" t="s">
        <v>7630</v>
      </c>
      <c r="B3405" s="2" t="s">
        <v>7630</v>
      </c>
      <c r="C3405" s="2" t="s">
        <v>17</v>
      </c>
      <c r="D3405" s="2" t="s">
        <v>18</v>
      </c>
      <c r="E3405" s="5" t="s">
        <v>1406</v>
      </c>
      <c r="F3405" s="3" t="s">
        <v>1407</v>
      </c>
      <c r="G3405" s="3" t="s">
        <v>34</v>
      </c>
      <c r="H3405" s="2" t="s">
        <v>22</v>
      </c>
      <c r="I3405" s="2" t="s">
        <v>7631</v>
      </c>
      <c r="J3405" s="3" t="str">
        <f>HYPERLINK("https://www.boe.es/gazeta/dias/1834/11/03/pdfs/GMD-1834-262.pdf#page=1","Abrir facsímil")</f>
        <v>Abrir facsímil</v>
      </c>
      <c r="K3405" s="3" t="s">
        <v>24</v>
      </c>
    </row>
    <row r="3406" spans="1:11" ht="54" customHeight="1">
      <c r="A3406" s="2" t="s">
        <v>7632</v>
      </c>
      <c r="B3406" s="2" t="s">
        <v>7632</v>
      </c>
      <c r="C3406" s="2" t="s">
        <v>46</v>
      </c>
      <c r="D3406" s="2" t="s">
        <v>40</v>
      </c>
      <c r="E3406" s="5" t="s">
        <v>2596</v>
      </c>
      <c r="F3406" s="3" t="s">
        <v>2597</v>
      </c>
      <c r="G3406" s="3" t="s">
        <v>75</v>
      </c>
      <c r="H3406" s="2" t="s">
        <v>22</v>
      </c>
      <c r="I3406" s="2" t="s">
        <v>7633</v>
      </c>
      <c r="J3406" s="3" t="str">
        <f>HYPERLINK("https://www.boe.es/gazeta/dias/1834/10/22/pdfs/GMD-1834-250.pdf#page=4","Abrir facsímil")</f>
        <v>Abrir facsímil</v>
      </c>
      <c r="K3406" s="3" t="s">
        <v>24</v>
      </c>
    </row>
    <row r="3407" spans="1:11" ht="54" customHeight="1">
      <c r="A3407" s="2" t="s">
        <v>7634</v>
      </c>
      <c r="B3407" s="2" t="s">
        <v>7635</v>
      </c>
      <c r="C3407" s="2" t="s">
        <v>90</v>
      </c>
      <c r="D3407" s="2" t="s">
        <v>18</v>
      </c>
      <c r="E3407" s="5" t="s">
        <v>777</v>
      </c>
      <c r="F3407" s="3" t="s">
        <v>778</v>
      </c>
      <c r="G3407" s="3" t="s">
        <v>21</v>
      </c>
      <c r="H3407" s="2" t="s">
        <v>22</v>
      </c>
      <c r="I3407" s="2" t="s">
        <v>7636</v>
      </c>
      <c r="J3407" s="3" t="str">
        <f>HYPERLINK("https://www.boe.es/gazeta/dias/1834/10/29/pdfs/GMD-1834-257.pdf#page=3","Abrir facsímil")</f>
        <v>Abrir facsímil</v>
      </c>
      <c r="K3407" s="3" t="s">
        <v>24</v>
      </c>
    </row>
    <row r="3408" spans="1:11" ht="54" customHeight="1">
      <c r="A3408" s="2" t="s">
        <v>7637</v>
      </c>
      <c r="B3408" s="2" t="s">
        <v>7638</v>
      </c>
      <c r="C3408" s="2" t="s">
        <v>122</v>
      </c>
      <c r="D3408" s="2" t="s">
        <v>18</v>
      </c>
      <c r="E3408" s="5" t="s">
        <v>371</v>
      </c>
      <c r="F3408" s="3" t="s">
        <v>372</v>
      </c>
      <c r="G3408" s="3" t="s">
        <v>75</v>
      </c>
      <c r="H3408" s="2" t="s">
        <v>35</v>
      </c>
      <c r="I3408" s="2" t="s">
        <v>7639</v>
      </c>
      <c r="J3408" s="3" t="str">
        <f>HYPERLINK("https://www.boe.es/gazeta/dias/1834/05/27/pdfs/GMD-1834-96.pdf#page=4","Abrir facsímil")</f>
        <v>Abrir facsímil</v>
      </c>
      <c r="K3408" s="3" t="s">
        <v>37</v>
      </c>
    </row>
    <row r="3409" spans="1:11" ht="54" customHeight="1">
      <c r="A3409" s="2" t="s">
        <v>7637</v>
      </c>
      <c r="B3409" s="2" t="s">
        <v>7638</v>
      </c>
      <c r="C3409" s="2" t="s">
        <v>122</v>
      </c>
      <c r="D3409" s="2" t="s">
        <v>40</v>
      </c>
      <c r="E3409" s="5" t="s">
        <v>5904</v>
      </c>
      <c r="F3409" s="3" t="s">
        <v>5905</v>
      </c>
      <c r="G3409" s="3" t="s">
        <v>21</v>
      </c>
      <c r="H3409" s="2" t="s">
        <v>35</v>
      </c>
      <c r="I3409" s="2" t="s">
        <v>7640</v>
      </c>
      <c r="J3409" s="3" t="str">
        <f>HYPERLINK("https://www.boe.es/gazeta/dias/1834/09/29/pdfs/GMD-1834-227.pdf#page=3","Abrir facsímil")</f>
        <v>Abrir facsímil</v>
      </c>
      <c r="K3409" s="3" t="s">
        <v>37</v>
      </c>
    </row>
    <row r="3410" spans="1:11" ht="54" customHeight="1">
      <c r="A3410" s="2" t="s">
        <v>7641</v>
      </c>
      <c r="B3410" s="2" t="s">
        <v>7642</v>
      </c>
      <c r="C3410" s="2" t="s">
        <v>122</v>
      </c>
      <c r="D3410" s="2" t="s">
        <v>18</v>
      </c>
      <c r="E3410" s="5" t="s">
        <v>371</v>
      </c>
      <c r="F3410" s="3" t="s">
        <v>372</v>
      </c>
      <c r="G3410" s="3" t="s">
        <v>75</v>
      </c>
      <c r="H3410" s="2" t="s">
        <v>22</v>
      </c>
      <c r="I3410" s="2" t="s">
        <v>7643</v>
      </c>
      <c r="J3410" s="3" t="str">
        <f>HYPERLINK("https://www.boe.es/gazeta/dias/1834/05/27/pdfs/GMD-1834-96.pdf#page=4","Abrir facsímil")</f>
        <v>Abrir facsímil</v>
      </c>
      <c r="K3410" s="3" t="s">
        <v>24</v>
      </c>
    </row>
    <row r="3411" spans="1:11" ht="54" customHeight="1">
      <c r="A3411" s="2" t="s">
        <v>7641</v>
      </c>
      <c r="B3411" s="2" t="s">
        <v>7642</v>
      </c>
      <c r="C3411" s="2" t="s">
        <v>122</v>
      </c>
      <c r="D3411" s="2" t="s">
        <v>40</v>
      </c>
      <c r="E3411" s="5" t="s">
        <v>5904</v>
      </c>
      <c r="F3411" s="3" t="s">
        <v>5905</v>
      </c>
      <c r="G3411" s="3" t="s">
        <v>21</v>
      </c>
      <c r="H3411" s="2" t="s">
        <v>22</v>
      </c>
      <c r="I3411" s="2" t="s">
        <v>7644</v>
      </c>
      <c r="J3411" s="3" t="str">
        <f>HYPERLINK("https://www.boe.es/gazeta/dias/1834/09/29/pdfs/GMD-1834-227.pdf#page=3","Abrir facsímil")</f>
        <v>Abrir facsímil</v>
      </c>
      <c r="K3411" s="3" t="s">
        <v>24</v>
      </c>
    </row>
    <row r="3412" spans="1:11" ht="54" customHeight="1">
      <c r="A3412" s="2" t="s">
        <v>7645</v>
      </c>
      <c r="B3412" s="2" t="s">
        <v>7646</v>
      </c>
      <c r="C3412" s="2" t="s">
        <v>17</v>
      </c>
      <c r="D3412" s="2" t="s">
        <v>18</v>
      </c>
      <c r="E3412" s="5" t="s">
        <v>658</v>
      </c>
      <c r="F3412" s="3" t="s">
        <v>2167</v>
      </c>
      <c r="G3412" s="3" t="s">
        <v>34</v>
      </c>
      <c r="H3412" s="2" t="s">
        <v>22</v>
      </c>
      <c r="I3412" s="2" t="s">
        <v>7647</v>
      </c>
      <c r="J3412" s="3" t="str">
        <f>HYPERLINK("https://www.boe.es/gazeta/dias/1834/05/26/pdfs/C00001-00001.pdf#page=1","Abrir facsímil")</f>
        <v>Abrir facsímil</v>
      </c>
      <c r="K3412" s="3" t="s">
        <v>24</v>
      </c>
    </row>
    <row r="3413" spans="1:11" ht="54" customHeight="1">
      <c r="A3413" s="2" t="s">
        <v>7648</v>
      </c>
      <c r="B3413" s="2" t="s">
        <v>7649</v>
      </c>
      <c r="C3413" s="2" t="s">
        <v>122</v>
      </c>
      <c r="D3413" s="2" t="s">
        <v>18</v>
      </c>
      <c r="E3413" s="5" t="s">
        <v>448</v>
      </c>
      <c r="F3413" s="3" t="s">
        <v>2058</v>
      </c>
      <c r="G3413" s="3" t="s">
        <v>21</v>
      </c>
      <c r="H3413" s="2" t="s">
        <v>22</v>
      </c>
      <c r="I3413" s="2" t="s">
        <v>7650</v>
      </c>
      <c r="J3413" s="3" t="str">
        <f>HYPERLINK("https://www.boe.es/gazeta/dias/1834/10/14/pdfs/GMD-1834-242.pdf#page=3","Abrir facsímil")</f>
        <v>Abrir facsímil</v>
      </c>
      <c r="K3413" s="3" t="s">
        <v>24</v>
      </c>
    </row>
    <row r="3414" spans="1:11" ht="54" customHeight="1">
      <c r="A3414" s="2" t="s">
        <v>7651</v>
      </c>
      <c r="B3414" s="2" t="s">
        <v>7651</v>
      </c>
      <c r="C3414" s="2" t="s">
        <v>122</v>
      </c>
      <c r="D3414" s="2" t="s">
        <v>18</v>
      </c>
      <c r="E3414" s="5" t="s">
        <v>1742</v>
      </c>
      <c r="F3414" s="3" t="s">
        <v>1743</v>
      </c>
      <c r="G3414" s="3" t="s">
        <v>34</v>
      </c>
      <c r="H3414" s="2" t="s">
        <v>22</v>
      </c>
      <c r="I3414" s="2" t="s">
        <v>7652</v>
      </c>
      <c r="J3414" s="3" t="str">
        <f>HYPERLINK("https://www.boe.es/gazeta/dias/1834/11/06/pdfs/GMD-1834-265.pdf#page=1","Abrir facsímil")</f>
        <v>Abrir facsímil</v>
      </c>
      <c r="K3414" s="3" t="s">
        <v>24</v>
      </c>
    </row>
    <row r="3415" spans="1:11" ht="54" customHeight="1">
      <c r="A3415" s="2" t="s">
        <v>7653</v>
      </c>
      <c r="B3415" s="2" t="s">
        <v>7654</v>
      </c>
      <c r="C3415" s="2" t="s">
        <v>17</v>
      </c>
      <c r="D3415" s="2" t="s">
        <v>18</v>
      </c>
      <c r="E3415" s="5" t="s">
        <v>237</v>
      </c>
      <c r="F3415" s="3" t="s">
        <v>4609</v>
      </c>
      <c r="G3415" s="3" t="s">
        <v>34</v>
      </c>
      <c r="H3415" s="2" t="s">
        <v>22</v>
      </c>
      <c r="I3415" s="2" t="s">
        <v>7655</v>
      </c>
      <c r="J3415" s="3" t="str">
        <f>HYPERLINK("https://www.boe.es/gazeta/dias/1834/08/15/pdfs/GMD-1834-180.pdf#page=1","Abrir facsímil")</f>
        <v>Abrir facsímil</v>
      </c>
      <c r="K3415" s="3" t="s">
        <v>24</v>
      </c>
    </row>
    <row r="3416" spans="1:11" ht="54" customHeight="1">
      <c r="A3416" s="2" t="s">
        <v>7656</v>
      </c>
      <c r="B3416" s="2" t="s">
        <v>7657</v>
      </c>
      <c r="C3416" s="2" t="s">
        <v>66</v>
      </c>
      <c r="D3416" s="2" t="s">
        <v>67</v>
      </c>
      <c r="E3416" s="5" t="s">
        <v>3083</v>
      </c>
      <c r="F3416" s="3" t="s">
        <v>3084</v>
      </c>
      <c r="G3416" s="3" t="s">
        <v>21</v>
      </c>
      <c r="H3416" s="2" t="s">
        <v>22</v>
      </c>
      <c r="I3416" s="2" t="s">
        <v>7658</v>
      </c>
      <c r="J3416" s="3" t="str">
        <f>HYPERLINK("https://www.boe.es/gazeta/dias/1834/10/30/pdfs/GMD-1834-258.pdf#page=3","Abrir facsímil")</f>
        <v>Abrir facsímil</v>
      </c>
      <c r="K3416" s="3" t="s">
        <v>24</v>
      </c>
    </row>
    <row r="3417" spans="1:11" ht="54" customHeight="1">
      <c r="A3417" s="2" t="s">
        <v>7659</v>
      </c>
      <c r="B3417" s="2" t="s">
        <v>7660</v>
      </c>
      <c r="C3417" s="2" t="s">
        <v>90</v>
      </c>
      <c r="D3417" s="2" t="s">
        <v>55</v>
      </c>
      <c r="E3417" s="5" t="s">
        <v>251</v>
      </c>
      <c r="F3417" s="3" t="s">
        <v>1278</v>
      </c>
      <c r="G3417" s="3" t="s">
        <v>86</v>
      </c>
      <c r="H3417" s="2" t="s">
        <v>22</v>
      </c>
      <c r="I3417" s="2" t="s">
        <v>7661</v>
      </c>
      <c r="J3417" s="3" t="str">
        <f>HYPERLINK("https://www.boe.es/gazeta/dias/1834/09/26/pdfs/GMD-1834-224.pdf#page=2","Abrir facsímil")</f>
        <v>Abrir facsímil</v>
      </c>
      <c r="K3417" s="3" t="s">
        <v>24</v>
      </c>
    </row>
    <row r="3418" spans="1:11" ht="54" customHeight="1">
      <c r="A3418" s="2" t="s">
        <v>7662</v>
      </c>
      <c r="B3418" s="2" t="s">
        <v>7663</v>
      </c>
      <c r="C3418" s="2" t="s">
        <v>17</v>
      </c>
      <c r="D3418" s="2" t="s">
        <v>18</v>
      </c>
      <c r="E3418" s="5" t="s">
        <v>1839</v>
      </c>
      <c r="F3418" s="3" t="s">
        <v>1840</v>
      </c>
      <c r="G3418" s="3" t="s">
        <v>34</v>
      </c>
      <c r="H3418" s="2" t="s">
        <v>22</v>
      </c>
      <c r="I3418" s="2" t="s">
        <v>7664</v>
      </c>
      <c r="J3418" s="3" t="str">
        <f>HYPERLINK("https://www.boe.es/gazeta/dias/1834/08/12/pdfs/GMD-C-1834-177.pdf#page=1","Abrir facsímil")</f>
        <v>Abrir facsímil</v>
      </c>
      <c r="K3418" s="3" t="s">
        <v>24</v>
      </c>
    </row>
    <row r="3419" spans="1:11" ht="54" customHeight="1">
      <c r="A3419" s="2" t="s">
        <v>7665</v>
      </c>
      <c r="B3419" s="2" t="s">
        <v>7666</v>
      </c>
      <c r="C3419" s="2" t="s">
        <v>17</v>
      </c>
      <c r="D3419" s="2" t="s">
        <v>18</v>
      </c>
      <c r="E3419" s="5" t="s">
        <v>96</v>
      </c>
      <c r="F3419" s="3" t="s">
        <v>1725</v>
      </c>
      <c r="G3419" s="3" t="s">
        <v>75</v>
      </c>
      <c r="H3419" s="2" t="s">
        <v>22</v>
      </c>
      <c r="I3419" s="2" t="s">
        <v>7667</v>
      </c>
      <c r="J3419" s="3" t="str">
        <f>HYPERLINK("https://www.boe.es/gazeta/dias/1834/11/11/pdfs/GMD-1834-270.pdf#page=4","Abrir facsímil")</f>
        <v>Abrir facsímil</v>
      </c>
      <c r="K3419" s="3" t="s">
        <v>24</v>
      </c>
    </row>
    <row r="3420" spans="1:11" ht="54" customHeight="1">
      <c r="A3420" s="2" t="s">
        <v>7668</v>
      </c>
      <c r="B3420" s="2" t="s">
        <v>7669</v>
      </c>
      <c r="C3420" s="2" t="s">
        <v>46</v>
      </c>
      <c r="D3420" s="2" t="s">
        <v>101</v>
      </c>
      <c r="E3420" s="5" t="s">
        <v>1195</v>
      </c>
      <c r="F3420" s="3" t="s">
        <v>1196</v>
      </c>
      <c r="G3420" s="3" t="s">
        <v>28</v>
      </c>
      <c r="H3420" s="2" t="s">
        <v>22</v>
      </c>
      <c r="I3420" s="2" t="s">
        <v>7670</v>
      </c>
      <c r="J3420" s="3" t="str">
        <f>HYPERLINK("https://www.boe.es/gazeta/dias/1834/10/17/pdfs/GMD-C-1834-245.pdf#page=5","Abrir facsímil")</f>
        <v>Abrir facsímil</v>
      </c>
      <c r="K3420" s="3" t="s">
        <v>24</v>
      </c>
    </row>
    <row r="3421" spans="1:11" ht="54" customHeight="1">
      <c r="A3421" s="2" t="s">
        <v>7671</v>
      </c>
      <c r="B3421" s="2" t="s">
        <v>7672</v>
      </c>
      <c r="C3421" s="2" t="s">
        <v>90</v>
      </c>
      <c r="D3421" s="2" t="s">
        <v>101</v>
      </c>
      <c r="E3421" s="5" t="s">
        <v>299</v>
      </c>
      <c r="F3421" s="3" t="s">
        <v>2255</v>
      </c>
      <c r="G3421" s="3" t="s">
        <v>28</v>
      </c>
      <c r="H3421" s="2" t="s">
        <v>22</v>
      </c>
      <c r="I3421" s="2" t="s">
        <v>7673</v>
      </c>
      <c r="J3421" s="3" t="str">
        <f>HYPERLINK("https://www.boe.es/gazeta/dias/1834/12/12/pdfs/GMD-C-1834-301.pdf#page=5","Abrir facsímil")</f>
        <v>Abrir facsímil</v>
      </c>
      <c r="K3421" s="3" t="s">
        <v>24</v>
      </c>
    </row>
    <row r="3422" spans="1:11" ht="54" customHeight="1">
      <c r="A3422" s="2" t="s">
        <v>7674</v>
      </c>
      <c r="B3422" s="2" t="s">
        <v>7674</v>
      </c>
      <c r="C3422" s="2" t="s">
        <v>17</v>
      </c>
      <c r="D3422" s="2" t="s">
        <v>18</v>
      </c>
      <c r="E3422" s="5" t="s">
        <v>454</v>
      </c>
      <c r="F3422" s="3" t="s">
        <v>2009</v>
      </c>
      <c r="G3422" s="3" t="s">
        <v>75</v>
      </c>
      <c r="H3422" s="2" t="s">
        <v>22</v>
      </c>
      <c r="I3422" s="2" t="s">
        <v>7675</v>
      </c>
      <c r="J3422" s="3" t="str">
        <f>HYPERLINK("https://www.boe.es/gazeta/dias/1834/10/16/pdfs/GMD-1834-244.pdf#page=4","Abrir facsímil")</f>
        <v>Abrir facsímil</v>
      </c>
      <c r="K3422" s="3" t="s">
        <v>24</v>
      </c>
    </row>
    <row r="3423" spans="1:11" ht="54" customHeight="1">
      <c r="A3423" s="2" t="s">
        <v>7674</v>
      </c>
      <c r="B3423" s="2" t="s">
        <v>7674</v>
      </c>
      <c r="C3423" s="2" t="s">
        <v>17</v>
      </c>
      <c r="D3423" s="2" t="s">
        <v>18</v>
      </c>
      <c r="E3423" s="5" t="s">
        <v>702</v>
      </c>
      <c r="F3423" s="3" t="s">
        <v>2427</v>
      </c>
      <c r="G3423" s="3" t="s">
        <v>75</v>
      </c>
      <c r="H3423" s="2" t="s">
        <v>22</v>
      </c>
      <c r="I3423" s="2" t="s">
        <v>7676</v>
      </c>
      <c r="J3423" s="3" t="str">
        <f>HYPERLINK("https://www.boe.es/gazeta/dias/1834/11/22/pdfs/GMD-1834-281.pdf#page=4","Abrir facsímil")</f>
        <v>Abrir facsímil</v>
      </c>
      <c r="K3423" s="3" t="s">
        <v>24</v>
      </c>
    </row>
    <row r="3424" spans="1:11" ht="54" customHeight="1">
      <c r="A3424" s="2" t="s">
        <v>7674</v>
      </c>
      <c r="B3424" s="2" t="s">
        <v>7674</v>
      </c>
      <c r="C3424" s="2" t="s">
        <v>66</v>
      </c>
      <c r="D3424" s="2" t="s">
        <v>40</v>
      </c>
      <c r="E3424" s="5" t="s">
        <v>174</v>
      </c>
      <c r="F3424" s="3" t="s">
        <v>175</v>
      </c>
      <c r="G3424" s="3" t="s">
        <v>176</v>
      </c>
      <c r="H3424" s="2" t="s">
        <v>22</v>
      </c>
      <c r="I3424" s="2" t="s">
        <v>7677</v>
      </c>
      <c r="J3424" s="3" t="str">
        <f>HYPERLINK("https://www.boe.es/gazeta/dias/1834/03/27/pdfs/GMD-1834-38.pdf#page=6","Abrir facsímil")</f>
        <v>Abrir facsímil</v>
      </c>
      <c r="K3424" s="3" t="s">
        <v>24</v>
      </c>
    </row>
    <row r="3425" spans="1:11" ht="54" customHeight="1">
      <c r="A3425" s="2" t="s">
        <v>7678</v>
      </c>
      <c r="B3425" s="2" t="s">
        <v>7679</v>
      </c>
      <c r="C3425" s="2" t="s">
        <v>17</v>
      </c>
      <c r="D3425" s="2" t="s">
        <v>55</v>
      </c>
      <c r="E3425" s="5" t="s">
        <v>5574</v>
      </c>
      <c r="F3425" s="3" t="s">
        <v>5575</v>
      </c>
      <c r="G3425" s="3" t="s">
        <v>75</v>
      </c>
      <c r="H3425" s="2" t="s">
        <v>35</v>
      </c>
      <c r="I3425" s="2" t="s">
        <v>7680</v>
      </c>
      <c r="J3425" s="3" t="str">
        <f>HYPERLINK("https://www.boe.es/gazeta/dias/1834/06/16/pdfs/GMD-1834-119.pdf#page=4","Abrir facsímil")</f>
        <v>Abrir facsímil</v>
      </c>
      <c r="K3425" s="3" t="s">
        <v>37</v>
      </c>
    </row>
    <row r="3426" spans="1:11" ht="54" customHeight="1">
      <c r="A3426" s="2" t="s">
        <v>7681</v>
      </c>
      <c r="B3426" s="2" t="s">
        <v>7682</v>
      </c>
      <c r="C3426" s="2" t="s">
        <v>122</v>
      </c>
      <c r="D3426" s="2" t="s">
        <v>18</v>
      </c>
      <c r="E3426" s="5" t="s">
        <v>653</v>
      </c>
      <c r="F3426" s="3" t="s">
        <v>654</v>
      </c>
      <c r="G3426" s="3" t="s">
        <v>34</v>
      </c>
      <c r="H3426" s="2" t="s">
        <v>22</v>
      </c>
      <c r="I3426" s="2" t="s">
        <v>7683</v>
      </c>
      <c r="J3426" s="3" t="str">
        <f>HYPERLINK("https://www.boe.es/gazeta/dias/1834/08/06/pdfs/GMD-C-1834-170.pdf#page=1","Abrir facsímil")</f>
        <v>Abrir facsímil</v>
      </c>
      <c r="K3426" s="3" t="s">
        <v>24</v>
      </c>
    </row>
    <row r="3427" spans="1:11" ht="54" customHeight="1">
      <c r="A3427" s="2" t="s">
        <v>7684</v>
      </c>
      <c r="B3427" s="2" t="s">
        <v>7685</v>
      </c>
      <c r="C3427" s="2" t="s">
        <v>17</v>
      </c>
      <c r="D3427" s="2" t="s">
        <v>18</v>
      </c>
      <c r="E3427" s="5" t="s">
        <v>905</v>
      </c>
      <c r="F3427" s="3" t="s">
        <v>1651</v>
      </c>
      <c r="G3427" s="3" t="s">
        <v>21</v>
      </c>
      <c r="H3427" s="2" t="s">
        <v>22</v>
      </c>
      <c r="I3427" s="2" t="s">
        <v>7686</v>
      </c>
      <c r="J3427" s="3" t="str">
        <f>HYPERLINK("https://www.boe.es/gazeta/dias/1834/08/02/pdfs/GMD-1834-166.pdf#page=3","Abrir facsímil")</f>
        <v>Abrir facsímil</v>
      </c>
      <c r="K3427" s="3" t="s">
        <v>24</v>
      </c>
    </row>
    <row r="3428" spans="1:11" ht="54" customHeight="1">
      <c r="A3428" s="2" t="s">
        <v>7687</v>
      </c>
      <c r="B3428" s="2" t="s">
        <v>7688</v>
      </c>
      <c r="C3428" s="2" t="s">
        <v>17</v>
      </c>
      <c r="D3428" s="2" t="s">
        <v>55</v>
      </c>
      <c r="E3428" s="5" t="s">
        <v>5574</v>
      </c>
      <c r="F3428" s="3" t="s">
        <v>5575</v>
      </c>
      <c r="G3428" s="3" t="s">
        <v>75</v>
      </c>
      <c r="H3428" s="2" t="s">
        <v>22</v>
      </c>
      <c r="I3428" s="2" t="s">
        <v>7689</v>
      </c>
      <c r="J3428" s="3" t="str">
        <f>HYPERLINK("https://www.boe.es/gazeta/dias/1834/06/16/pdfs/GMD-1834-119.pdf#page=4","Abrir facsímil")</f>
        <v>Abrir facsímil</v>
      </c>
      <c r="K3428" s="3" t="s">
        <v>24</v>
      </c>
    </row>
    <row r="3429" spans="1:11" ht="54" customHeight="1">
      <c r="A3429" s="2" t="s">
        <v>7690</v>
      </c>
      <c r="B3429" s="2" t="s">
        <v>7691</v>
      </c>
      <c r="C3429" s="2" t="s">
        <v>46</v>
      </c>
      <c r="D3429" s="2" t="s">
        <v>55</v>
      </c>
      <c r="E3429" s="5" t="s">
        <v>251</v>
      </c>
      <c r="F3429" s="3" t="s">
        <v>1278</v>
      </c>
      <c r="G3429" s="3" t="s">
        <v>86</v>
      </c>
      <c r="H3429" s="2" t="s">
        <v>35</v>
      </c>
      <c r="I3429" s="2" t="s">
        <v>7692</v>
      </c>
      <c r="J3429" s="3" t="str">
        <f>HYPERLINK("https://www.boe.es/gazeta/dias/1834/09/26/pdfs/GMD-1834-224.pdf#page=2","Abrir facsímil")</f>
        <v>Abrir facsímil</v>
      </c>
      <c r="K3429" s="3" t="s">
        <v>37</v>
      </c>
    </row>
    <row r="3430" spans="1:11" ht="54" customHeight="1">
      <c r="A3430" s="2" t="s">
        <v>7693</v>
      </c>
      <c r="B3430" s="2" t="s">
        <v>7694</v>
      </c>
      <c r="C3430" s="2" t="s">
        <v>17</v>
      </c>
      <c r="D3430" s="2" t="s">
        <v>18</v>
      </c>
      <c r="E3430" s="5" t="s">
        <v>813</v>
      </c>
      <c r="F3430" s="3" t="s">
        <v>814</v>
      </c>
      <c r="G3430" s="3" t="s">
        <v>21</v>
      </c>
      <c r="H3430" s="2" t="s">
        <v>22</v>
      </c>
      <c r="I3430" s="2" t="s">
        <v>7695</v>
      </c>
      <c r="J3430" s="3" t="str">
        <f>HYPERLINK("https://www.boe.es/gazeta/dias/1834/08/08/pdfs/GMD-1834-173.pdf#page=3","Abrir facsímil")</f>
        <v>Abrir facsímil</v>
      </c>
      <c r="K3430" s="3" t="s">
        <v>24</v>
      </c>
    </row>
    <row r="3431" spans="1:11" ht="54" customHeight="1">
      <c r="A3431" s="2" t="s">
        <v>7696</v>
      </c>
      <c r="B3431" s="2" t="s">
        <v>7697</v>
      </c>
      <c r="C3431" s="2" t="s">
        <v>90</v>
      </c>
      <c r="D3431" s="2" t="s">
        <v>18</v>
      </c>
      <c r="E3431" s="5" t="s">
        <v>158</v>
      </c>
      <c r="F3431" s="3" t="s">
        <v>581</v>
      </c>
      <c r="G3431" s="3" t="s">
        <v>34</v>
      </c>
      <c r="H3431" s="2" t="s">
        <v>22</v>
      </c>
      <c r="I3431" s="2" t="s">
        <v>7698</v>
      </c>
      <c r="J3431" s="3" t="str">
        <f>HYPERLINK("https://www.boe.es/gazeta/dias/1834/10/01/pdfs/GMD-C-1834-229.pdf#page=1","Abrir facsímil")</f>
        <v>Abrir facsímil</v>
      </c>
      <c r="K3431" s="3" t="s">
        <v>24</v>
      </c>
    </row>
    <row r="3432" spans="1:11" ht="54" customHeight="1">
      <c r="A3432" s="2" t="s">
        <v>7696</v>
      </c>
      <c r="B3432" s="2" t="s">
        <v>7697</v>
      </c>
      <c r="C3432" s="2" t="s">
        <v>90</v>
      </c>
      <c r="D3432" s="2" t="s">
        <v>18</v>
      </c>
      <c r="E3432" s="5" t="s">
        <v>416</v>
      </c>
      <c r="F3432" s="3" t="s">
        <v>417</v>
      </c>
      <c r="G3432" s="3" t="s">
        <v>34</v>
      </c>
      <c r="H3432" s="2" t="s">
        <v>22</v>
      </c>
      <c r="I3432" s="2" t="s">
        <v>7699</v>
      </c>
      <c r="J3432" s="3" t="str">
        <f>HYPERLINK("https://www.boe.es/gazeta/dias/1834/10/02/pdfs/GMD-C-1834-230.pdf#page=1","Abrir facsímil")</f>
        <v>Abrir facsímil</v>
      </c>
      <c r="K3432" s="3" t="s">
        <v>24</v>
      </c>
    </row>
    <row r="3433" spans="1:11" ht="54" customHeight="1">
      <c r="A3433" s="2" t="s">
        <v>7696</v>
      </c>
      <c r="B3433" s="2" t="s">
        <v>7697</v>
      </c>
      <c r="C3433" s="2" t="s">
        <v>46</v>
      </c>
      <c r="D3433" s="2" t="s">
        <v>55</v>
      </c>
      <c r="E3433" s="5" t="s">
        <v>251</v>
      </c>
      <c r="F3433" s="3" t="s">
        <v>1278</v>
      </c>
      <c r="G3433" s="3" t="s">
        <v>86</v>
      </c>
      <c r="H3433" s="2" t="s">
        <v>22</v>
      </c>
      <c r="I3433" s="2" t="s">
        <v>7700</v>
      </c>
      <c r="J3433" s="3" t="str">
        <f>HYPERLINK("https://www.boe.es/gazeta/dias/1834/09/26/pdfs/GMD-1834-224.pdf#page=2","Abrir facsímil")</f>
        <v>Abrir facsímil</v>
      </c>
      <c r="K3433" s="3" t="s">
        <v>24</v>
      </c>
    </row>
    <row r="3434" spans="1:11" ht="54" customHeight="1">
      <c r="A3434" s="2" t="s">
        <v>7701</v>
      </c>
      <c r="B3434" s="2" t="s">
        <v>7701</v>
      </c>
      <c r="C3434" s="2" t="s">
        <v>17</v>
      </c>
      <c r="D3434" s="2" t="s">
        <v>40</v>
      </c>
      <c r="E3434" s="5" t="s">
        <v>1999</v>
      </c>
      <c r="F3434" s="3" t="s">
        <v>2000</v>
      </c>
      <c r="G3434" s="3" t="s">
        <v>75</v>
      </c>
      <c r="H3434" s="2" t="s">
        <v>22</v>
      </c>
      <c r="I3434" s="2" t="s">
        <v>7702</v>
      </c>
      <c r="J3434" s="3" t="str">
        <f>HYPERLINK("https://www.boe.es/gazeta/dias/1834/04/09/pdfs/GMD-1834-48.pdf#page=4","Abrir facsímil")</f>
        <v>Abrir facsímil</v>
      </c>
      <c r="K3434" s="3" t="s">
        <v>24</v>
      </c>
    </row>
    <row r="3435" spans="1:11" ht="54" customHeight="1">
      <c r="A3435" s="2" t="s">
        <v>7703</v>
      </c>
      <c r="B3435" s="2" t="s">
        <v>7703</v>
      </c>
      <c r="C3435" s="2" t="s">
        <v>17</v>
      </c>
      <c r="D3435" s="2" t="s">
        <v>40</v>
      </c>
      <c r="E3435" s="5" t="s">
        <v>1084</v>
      </c>
      <c r="F3435" s="3" t="s">
        <v>1085</v>
      </c>
      <c r="G3435" s="3" t="s">
        <v>176</v>
      </c>
      <c r="H3435" s="2" t="s">
        <v>22</v>
      </c>
      <c r="I3435" s="2" t="s">
        <v>7704</v>
      </c>
      <c r="J3435" s="3" t="str">
        <f>HYPERLINK("https://www.boe.es/gazeta/dias/1834/05/01/pdfs/GMD-1834-70.pdf#page=6","Abrir facsímil")</f>
        <v>Abrir facsímil</v>
      </c>
      <c r="K3435" s="3" t="s">
        <v>24</v>
      </c>
    </row>
    <row r="3436" spans="1:11" ht="54" customHeight="1">
      <c r="A3436" s="2" t="s">
        <v>7703</v>
      </c>
      <c r="B3436" s="2" t="s">
        <v>7703</v>
      </c>
      <c r="C3436" s="2" t="s">
        <v>17</v>
      </c>
      <c r="D3436" s="2" t="s">
        <v>18</v>
      </c>
      <c r="E3436" s="5" t="s">
        <v>2218</v>
      </c>
      <c r="F3436" s="3" t="s">
        <v>2219</v>
      </c>
      <c r="G3436" s="3" t="s">
        <v>75</v>
      </c>
      <c r="H3436" s="2" t="s">
        <v>22</v>
      </c>
      <c r="I3436" s="2" t="s">
        <v>7705</v>
      </c>
      <c r="J3436" s="3" t="str">
        <f>HYPERLINK("https://www.boe.es/gazeta/dias/1834/11/05/pdfs/GMD-1834-264.pdf#page=4","Abrir facsímil")</f>
        <v>Abrir facsímil</v>
      </c>
      <c r="K3436" s="3" t="s">
        <v>24</v>
      </c>
    </row>
    <row r="3437" spans="1:11" ht="54" customHeight="1">
      <c r="A3437" s="2" t="s">
        <v>7703</v>
      </c>
      <c r="B3437" s="2" t="s">
        <v>7703</v>
      </c>
      <c r="C3437" s="2" t="s">
        <v>66</v>
      </c>
      <c r="D3437" s="2" t="s">
        <v>67</v>
      </c>
      <c r="E3437" s="5" t="s">
        <v>762</v>
      </c>
      <c r="F3437" s="3" t="s">
        <v>763</v>
      </c>
      <c r="G3437" s="3" t="s">
        <v>75</v>
      </c>
      <c r="H3437" s="2" t="s">
        <v>22</v>
      </c>
      <c r="I3437" s="2" t="s">
        <v>7706</v>
      </c>
      <c r="J3437" s="3" t="str">
        <f>HYPERLINK("https://www.boe.es/gazeta/dias/1834/11/07/pdfs/GMD-1834-266.pdf#page=4","Abrir facsímil")</f>
        <v>Abrir facsímil</v>
      </c>
      <c r="K3437" s="3" t="s">
        <v>24</v>
      </c>
    </row>
    <row r="3438" spans="1:11" ht="54" customHeight="1">
      <c r="A3438" s="2" t="s">
        <v>7707</v>
      </c>
      <c r="B3438" s="2" t="s">
        <v>7707</v>
      </c>
      <c r="C3438" s="2" t="s">
        <v>17</v>
      </c>
      <c r="D3438" s="2" t="s">
        <v>18</v>
      </c>
      <c r="E3438" s="5" t="s">
        <v>1424</v>
      </c>
      <c r="F3438" s="3" t="s">
        <v>3445</v>
      </c>
      <c r="G3438" s="3" t="s">
        <v>75</v>
      </c>
      <c r="H3438" s="2" t="s">
        <v>22</v>
      </c>
      <c r="I3438" s="2" t="s">
        <v>7708</v>
      </c>
      <c r="J3438" s="3" t="str">
        <f>HYPERLINK("https://www.boe.es/gazeta/dias/1834/11/14/pdfs/GMD-1834-273.pdf#page=4","Abrir facsímil")</f>
        <v>Abrir facsímil</v>
      </c>
      <c r="K3438" s="3" t="s">
        <v>24</v>
      </c>
    </row>
    <row r="3439" spans="1:11" ht="54" customHeight="1">
      <c r="A3439" s="2" t="s">
        <v>7703</v>
      </c>
      <c r="B3439" s="2" t="s">
        <v>7703</v>
      </c>
      <c r="C3439" s="2" t="s">
        <v>17</v>
      </c>
      <c r="D3439" s="2" t="s">
        <v>18</v>
      </c>
      <c r="E3439" s="5" t="s">
        <v>237</v>
      </c>
      <c r="F3439" s="3" t="s">
        <v>4609</v>
      </c>
      <c r="G3439" s="3" t="s">
        <v>75</v>
      </c>
      <c r="H3439" s="2" t="s">
        <v>22</v>
      </c>
      <c r="I3439" s="2" t="s">
        <v>7709</v>
      </c>
      <c r="J3439" s="3" t="str">
        <f>HYPERLINK("https://www.boe.es/gazeta/dias/1834/08/15/pdfs/GMD-1834-180.pdf#page=4","Abrir facsímil")</f>
        <v>Abrir facsímil</v>
      </c>
      <c r="K3439" s="3" t="s">
        <v>24</v>
      </c>
    </row>
    <row r="3440" spans="1:11" ht="54" customHeight="1">
      <c r="A3440" s="2" t="s">
        <v>7710</v>
      </c>
      <c r="B3440" s="2" t="s">
        <v>7711</v>
      </c>
      <c r="C3440" s="2" t="s">
        <v>17</v>
      </c>
      <c r="D3440" s="2" t="s">
        <v>18</v>
      </c>
      <c r="E3440" s="5" t="s">
        <v>3083</v>
      </c>
      <c r="F3440" s="3" t="s">
        <v>3084</v>
      </c>
      <c r="G3440" s="3" t="s">
        <v>75</v>
      </c>
      <c r="H3440" s="2" t="s">
        <v>22</v>
      </c>
      <c r="I3440" s="2" t="s">
        <v>7712</v>
      </c>
      <c r="J3440" s="3" t="str">
        <f>HYPERLINK("https://www.boe.es/gazeta/dias/1834/10/30/pdfs/GMD-1834-258.pdf#page=4","Abrir facsímil")</f>
        <v>Abrir facsímil</v>
      </c>
      <c r="K3440" s="3" t="s">
        <v>24</v>
      </c>
    </row>
    <row r="3441" spans="1:11" ht="54" customHeight="1">
      <c r="A3441" s="2" t="s">
        <v>7713</v>
      </c>
      <c r="B3441" s="2" t="s">
        <v>7713</v>
      </c>
      <c r="C3441" s="2" t="s">
        <v>122</v>
      </c>
      <c r="D3441" s="2" t="s">
        <v>101</v>
      </c>
      <c r="E3441" s="5" t="s">
        <v>73</v>
      </c>
      <c r="F3441" s="3" t="s">
        <v>74</v>
      </c>
      <c r="G3441" s="3" t="s">
        <v>86</v>
      </c>
      <c r="H3441" s="2" t="s">
        <v>22</v>
      </c>
      <c r="I3441" s="2" t="s">
        <v>7714</v>
      </c>
      <c r="J3441" s="3" t="str">
        <f>HYPERLINK("https://www.boe.es/gazeta/dias/1834/11/04/pdfs/GMD-1834-263.pdf#page=2","Abrir facsímil")</f>
        <v>Abrir facsímil</v>
      </c>
      <c r="K3441" s="3" t="s">
        <v>24</v>
      </c>
    </row>
    <row r="3442" spans="1:11" ht="54" customHeight="1">
      <c r="A3442" s="2" t="s">
        <v>7715</v>
      </c>
      <c r="B3442" s="2" t="s">
        <v>7716</v>
      </c>
      <c r="C3442" s="2" t="s">
        <v>66</v>
      </c>
      <c r="D3442" s="2" t="s">
        <v>67</v>
      </c>
      <c r="E3442" s="5" t="s">
        <v>294</v>
      </c>
      <c r="F3442" s="3" t="s">
        <v>295</v>
      </c>
      <c r="G3442" s="3" t="s">
        <v>34</v>
      </c>
      <c r="H3442" s="2" t="s">
        <v>22</v>
      </c>
      <c r="I3442" s="2" t="s">
        <v>7717</v>
      </c>
      <c r="J3442" s="3" t="str">
        <f>HYPERLINK("https://www.boe.es/gazeta/dias/1834/09/27/pdfs/GMD-1834-225.pdf#page=1","Abrir facsímil")</f>
        <v>Abrir facsímil</v>
      </c>
      <c r="K3442" s="3" t="s">
        <v>24</v>
      </c>
    </row>
    <row r="3443" spans="1:11" ht="54" customHeight="1">
      <c r="A3443" s="2" t="s">
        <v>7718</v>
      </c>
      <c r="B3443" s="2" t="s">
        <v>7718</v>
      </c>
      <c r="C3443" s="2" t="s">
        <v>17</v>
      </c>
      <c r="D3443" s="2" t="s">
        <v>18</v>
      </c>
      <c r="E3443" s="5" t="s">
        <v>3488</v>
      </c>
      <c r="F3443" s="3" t="s">
        <v>3489</v>
      </c>
      <c r="G3443" s="3" t="s">
        <v>21</v>
      </c>
      <c r="H3443" s="2" t="s">
        <v>22</v>
      </c>
      <c r="I3443" s="2" t="s">
        <v>7719</v>
      </c>
      <c r="J3443" s="3" t="str">
        <f>HYPERLINK("https://www.boe.es/gazeta/dias/1834/06/22/pdfs/GMD-1834-125.pdf#page=3","Abrir facsímil")</f>
        <v>Abrir facsímil</v>
      </c>
      <c r="K3443" s="3" t="s">
        <v>24</v>
      </c>
    </row>
    <row r="3444" spans="1:11" ht="54" customHeight="1">
      <c r="A3444" s="2" t="s">
        <v>7720</v>
      </c>
      <c r="B3444" s="2" t="s">
        <v>7720</v>
      </c>
      <c r="C3444" s="2" t="s">
        <v>46</v>
      </c>
      <c r="D3444" s="2" t="s">
        <v>55</v>
      </c>
      <c r="E3444" s="5" t="s">
        <v>1674</v>
      </c>
      <c r="F3444" s="3" t="s">
        <v>1675</v>
      </c>
      <c r="G3444" s="3" t="s">
        <v>21</v>
      </c>
      <c r="H3444" s="2" t="s">
        <v>22</v>
      </c>
      <c r="I3444" s="2" t="s">
        <v>7721</v>
      </c>
      <c r="J3444" s="3" t="str">
        <f>HYPERLINK("https://www.boe.es/gazeta/dias/1834/07/25/pdfs/GMD-1834-158.pdf#page=3","Abrir facsímil")</f>
        <v>Abrir facsímil</v>
      </c>
      <c r="K3444" s="3" t="s">
        <v>24</v>
      </c>
    </row>
    <row r="3445" spans="1:11" ht="54" customHeight="1">
      <c r="A3445" s="2" t="s">
        <v>7722</v>
      </c>
      <c r="B3445" s="2" t="s">
        <v>7722</v>
      </c>
      <c r="C3445" s="2" t="s">
        <v>17</v>
      </c>
      <c r="D3445" s="2" t="s">
        <v>40</v>
      </c>
      <c r="E3445" s="5" t="s">
        <v>758</v>
      </c>
      <c r="F3445" s="3" t="s">
        <v>759</v>
      </c>
      <c r="G3445" s="3" t="s">
        <v>75</v>
      </c>
      <c r="H3445" s="2" t="s">
        <v>22</v>
      </c>
      <c r="I3445" s="2" t="s">
        <v>7723</v>
      </c>
      <c r="J3445" s="3" t="str">
        <f>HYPERLINK("https://www.boe.es/gazeta/dias/1834/01/04/pdfs/GMD-1834-3.pdf#page=4","Abrir facsímil")</f>
        <v>Abrir facsímil</v>
      </c>
      <c r="K3445" s="3" t="s">
        <v>24</v>
      </c>
    </row>
    <row r="3446" spans="1:11" ht="54" customHeight="1">
      <c r="A3446" s="2" t="s">
        <v>7722</v>
      </c>
      <c r="B3446" s="2" t="s">
        <v>7722</v>
      </c>
      <c r="C3446" s="2" t="s">
        <v>17</v>
      </c>
      <c r="D3446" s="2" t="s">
        <v>18</v>
      </c>
      <c r="E3446" s="5" t="s">
        <v>1340</v>
      </c>
      <c r="F3446" s="3" t="s">
        <v>1341</v>
      </c>
      <c r="G3446" s="3" t="s">
        <v>560</v>
      </c>
      <c r="H3446" s="2" t="s">
        <v>22</v>
      </c>
      <c r="I3446" s="2" t="s">
        <v>7724</v>
      </c>
      <c r="J3446" s="3" t="str">
        <f>HYPERLINK("https://www.boe.es/gazeta/dias/1834/10/05/pdfs/GMD-C-1834-233.pdf#page=7","Abrir facsímil")</f>
        <v>Abrir facsímil</v>
      </c>
      <c r="K3446" s="3" t="s">
        <v>24</v>
      </c>
    </row>
    <row r="3447" spans="1:11" ht="54" customHeight="1">
      <c r="A3447" s="2" t="s">
        <v>7722</v>
      </c>
      <c r="B3447" s="2" t="s">
        <v>7722</v>
      </c>
      <c r="C3447" s="2" t="s">
        <v>17</v>
      </c>
      <c r="D3447" s="2" t="s">
        <v>18</v>
      </c>
      <c r="E3447" s="5" t="s">
        <v>1394</v>
      </c>
      <c r="F3447" s="3" t="s">
        <v>2923</v>
      </c>
      <c r="G3447" s="3" t="s">
        <v>86</v>
      </c>
      <c r="H3447" s="2" t="s">
        <v>22</v>
      </c>
      <c r="I3447" s="2" t="s">
        <v>7725</v>
      </c>
      <c r="J3447" s="3" t="str">
        <f>HYPERLINK("https://www.boe.es/gazeta/dias/1834/04/16/pdfs/GMD-C-1834-55.pdf#page=2","Abrir facsímil")</f>
        <v>Abrir facsímil</v>
      </c>
      <c r="K3447" s="3" t="s">
        <v>24</v>
      </c>
    </row>
    <row r="3448" spans="1:11" ht="54" customHeight="1">
      <c r="A3448" s="2" t="s">
        <v>7722</v>
      </c>
      <c r="B3448" s="2" t="s">
        <v>7722</v>
      </c>
      <c r="C3448" s="2" t="s">
        <v>17</v>
      </c>
      <c r="D3448" s="2" t="s">
        <v>18</v>
      </c>
      <c r="E3448" s="5" t="s">
        <v>1195</v>
      </c>
      <c r="F3448" s="3" t="s">
        <v>1196</v>
      </c>
      <c r="G3448" s="3" t="s">
        <v>21</v>
      </c>
      <c r="H3448" s="2" t="s">
        <v>22</v>
      </c>
      <c r="I3448" s="2" t="s">
        <v>7726</v>
      </c>
      <c r="J3448" s="3" t="str">
        <f>HYPERLINK("https://www.boe.es/gazeta/dias/1834/10/17/pdfs/GMD-C-1834-245.pdf#page=3","Abrir facsímil")</f>
        <v>Abrir facsímil</v>
      </c>
      <c r="K3448" s="3" t="s">
        <v>24</v>
      </c>
    </row>
    <row r="3449" spans="1:11" ht="54" customHeight="1">
      <c r="A3449" s="2" t="s">
        <v>7722</v>
      </c>
      <c r="B3449" s="2" t="s">
        <v>7722</v>
      </c>
      <c r="C3449" s="2" t="s">
        <v>66</v>
      </c>
      <c r="D3449" s="2" t="s">
        <v>67</v>
      </c>
      <c r="E3449" s="5" t="s">
        <v>1850</v>
      </c>
      <c r="F3449" s="3" t="s">
        <v>1851</v>
      </c>
      <c r="G3449" s="3" t="s">
        <v>176</v>
      </c>
      <c r="H3449" s="2" t="s">
        <v>22</v>
      </c>
      <c r="I3449" s="2" t="s">
        <v>7727</v>
      </c>
      <c r="J3449" s="3" t="str">
        <f>HYPERLINK("https://www.boe.es/gazeta/dias/1834/02/18/pdfs/GMD-1834-22.pdf#page=6","Abrir facsímil")</f>
        <v>Abrir facsímil</v>
      </c>
      <c r="K3449" s="3" t="s">
        <v>24</v>
      </c>
    </row>
    <row r="3450" spans="1:11" ht="54" customHeight="1">
      <c r="A3450" s="2" t="s">
        <v>7722</v>
      </c>
      <c r="B3450" s="2" t="s">
        <v>7722</v>
      </c>
      <c r="C3450" s="2" t="s">
        <v>90</v>
      </c>
      <c r="D3450" s="2" t="s">
        <v>67</v>
      </c>
      <c r="E3450" s="5" t="s">
        <v>262</v>
      </c>
      <c r="F3450" s="3" t="s">
        <v>263</v>
      </c>
      <c r="G3450" s="3" t="s">
        <v>28</v>
      </c>
      <c r="H3450" s="2" t="s">
        <v>22</v>
      </c>
      <c r="I3450" s="2" t="s">
        <v>7728</v>
      </c>
      <c r="J3450" s="3" t="str">
        <f>HYPERLINK("https://www.boe.es/gazeta/dias/1834/10/18/pdfs/GMD-C-1834-246.pdf#page=5","Abrir facsímil")</f>
        <v>Abrir facsímil</v>
      </c>
      <c r="K3450" s="3" t="s">
        <v>24</v>
      </c>
    </row>
    <row r="3451" spans="1:11" ht="54" customHeight="1">
      <c r="A3451" s="2" t="s">
        <v>7722</v>
      </c>
      <c r="B3451" s="2" t="s">
        <v>7722</v>
      </c>
      <c r="C3451" s="2" t="s">
        <v>66</v>
      </c>
      <c r="D3451" s="2" t="s">
        <v>67</v>
      </c>
      <c r="E3451" s="5" t="s">
        <v>753</v>
      </c>
      <c r="F3451" s="3" t="s">
        <v>754</v>
      </c>
      <c r="G3451" s="3" t="s">
        <v>28</v>
      </c>
      <c r="H3451" s="2" t="s">
        <v>22</v>
      </c>
      <c r="I3451" s="2" t="s">
        <v>7729</v>
      </c>
      <c r="J3451" s="3" t="str">
        <f>HYPERLINK("https://www.boe.es/gazeta/dias/1834/04/21/pdfs/GMD-1834-60.pdf#page=5","Abrir facsímil")</f>
        <v>Abrir facsímil</v>
      </c>
      <c r="K3451" s="3" t="s">
        <v>24</v>
      </c>
    </row>
    <row r="3452" spans="1:11" ht="54" customHeight="1">
      <c r="A3452" s="2" t="s">
        <v>7722</v>
      </c>
      <c r="B3452" s="2" t="s">
        <v>7722</v>
      </c>
      <c r="C3452" s="2" t="s">
        <v>66</v>
      </c>
      <c r="D3452" s="2" t="s">
        <v>67</v>
      </c>
      <c r="E3452" s="5" t="s">
        <v>1680</v>
      </c>
      <c r="F3452" s="3" t="s">
        <v>1681</v>
      </c>
      <c r="G3452" s="3" t="s">
        <v>75</v>
      </c>
      <c r="H3452" s="2" t="s">
        <v>22</v>
      </c>
      <c r="I3452" s="2" t="s">
        <v>7730</v>
      </c>
      <c r="J3452" s="3" t="str">
        <f>HYPERLINK("https://www.boe.es/gazeta/dias/1834/02/27/pdfs/GMD-1834-26.pdf#page=4","Abrir facsímil")</f>
        <v>Abrir facsímil</v>
      </c>
      <c r="K3452" s="3" t="s">
        <v>24</v>
      </c>
    </row>
    <row r="3453" spans="1:11" ht="54" customHeight="1">
      <c r="A3453" s="2" t="s">
        <v>7731</v>
      </c>
      <c r="B3453" s="2" t="s">
        <v>7732</v>
      </c>
      <c r="C3453" s="2" t="s">
        <v>17</v>
      </c>
      <c r="D3453" s="2" t="s">
        <v>18</v>
      </c>
      <c r="E3453" s="5" t="s">
        <v>3699</v>
      </c>
      <c r="F3453" s="3" t="s">
        <v>6179</v>
      </c>
      <c r="G3453" s="3" t="s">
        <v>34</v>
      </c>
      <c r="H3453" s="2" t="s">
        <v>35</v>
      </c>
      <c r="I3453" s="2" t="s">
        <v>7733</v>
      </c>
      <c r="J3453" s="3" t="str">
        <f>HYPERLINK("https://www.boe.es/gazeta/dias/1834/02/06/pdfs/GMD-D-1834-17.pdf#page=1","Abrir facsímil")</f>
        <v>Abrir facsímil</v>
      </c>
      <c r="K3453" s="3" t="s">
        <v>37</v>
      </c>
    </row>
    <row r="3454" spans="1:11" ht="54" customHeight="1">
      <c r="A3454" s="2" t="s">
        <v>7731</v>
      </c>
      <c r="B3454" s="2" t="s">
        <v>7732</v>
      </c>
      <c r="C3454" s="2" t="s">
        <v>17</v>
      </c>
      <c r="D3454" s="2" t="s">
        <v>18</v>
      </c>
      <c r="E3454" s="5" t="s">
        <v>762</v>
      </c>
      <c r="F3454" s="3" t="s">
        <v>2227</v>
      </c>
      <c r="G3454" s="3" t="s">
        <v>34</v>
      </c>
      <c r="H3454" s="2" t="s">
        <v>35</v>
      </c>
      <c r="I3454" s="2" t="s">
        <v>7734</v>
      </c>
      <c r="J3454" s="3" t="str">
        <f>HYPERLINK("https://www.boe.es/gazeta/dias/1834/11/07/pdfs/GMD-C-1834-266.pdf#page=1","Abrir facsímil")</f>
        <v>Abrir facsímil</v>
      </c>
      <c r="K3454" s="3" t="s">
        <v>37</v>
      </c>
    </row>
    <row r="3455" spans="1:11" ht="54" customHeight="1">
      <c r="A3455" s="2" t="s">
        <v>7731</v>
      </c>
      <c r="B3455" s="2" t="s">
        <v>7732</v>
      </c>
      <c r="C3455" s="2" t="s">
        <v>17</v>
      </c>
      <c r="D3455" s="2" t="s">
        <v>40</v>
      </c>
      <c r="E3455" s="5" t="s">
        <v>753</v>
      </c>
      <c r="F3455" s="3" t="s">
        <v>754</v>
      </c>
      <c r="G3455" s="3" t="s">
        <v>28</v>
      </c>
      <c r="H3455" s="2" t="s">
        <v>35</v>
      </c>
      <c r="I3455" s="2" t="s">
        <v>7735</v>
      </c>
      <c r="J3455" s="3" t="str">
        <f>HYPERLINK("https://www.boe.es/gazeta/dias/1834/04/21/pdfs/GMD-1834-60.pdf#page=5","Abrir facsímil")</f>
        <v>Abrir facsímil</v>
      </c>
      <c r="K3455" s="3" t="s">
        <v>37</v>
      </c>
    </row>
    <row r="3456" spans="1:11" ht="54" customHeight="1">
      <c r="A3456" s="2" t="s">
        <v>7736</v>
      </c>
      <c r="B3456" s="2" t="s">
        <v>7737</v>
      </c>
      <c r="C3456" s="2" t="s">
        <v>17</v>
      </c>
      <c r="D3456" s="2" t="s">
        <v>18</v>
      </c>
      <c r="E3456" s="5" t="s">
        <v>1351</v>
      </c>
      <c r="F3456" s="3" t="s">
        <v>1352</v>
      </c>
      <c r="G3456" s="3" t="s">
        <v>75</v>
      </c>
      <c r="H3456" s="2" t="s">
        <v>35</v>
      </c>
      <c r="I3456" s="2" t="s">
        <v>7738</v>
      </c>
      <c r="J3456" s="3" t="str">
        <f>HYPERLINK("https://www.boe.es/gazeta/dias/1834/07/05/pdfs/GMD-1834-138.pdf#page=4","Abrir facsímil")</f>
        <v>Abrir facsímil</v>
      </c>
      <c r="K3456" s="3" t="s">
        <v>37</v>
      </c>
    </row>
    <row r="3457" spans="1:11" ht="54" customHeight="1">
      <c r="A3457" s="2" t="s">
        <v>7739</v>
      </c>
      <c r="B3457" s="2" t="s">
        <v>7740</v>
      </c>
      <c r="C3457" s="2" t="s">
        <v>90</v>
      </c>
      <c r="D3457" s="2" t="s">
        <v>67</v>
      </c>
      <c r="E3457" s="5" t="s">
        <v>1351</v>
      </c>
      <c r="F3457" s="3" t="s">
        <v>1352</v>
      </c>
      <c r="G3457" s="3" t="s">
        <v>75</v>
      </c>
      <c r="H3457" s="2" t="s">
        <v>22</v>
      </c>
      <c r="I3457" s="2" t="s">
        <v>7741</v>
      </c>
      <c r="J3457" s="3" t="str">
        <f>HYPERLINK("https://www.boe.es/gazeta/dias/1834/07/05/pdfs/GMD-1834-138.pdf#page=4","Abrir facsímil")</f>
        <v>Abrir facsímil</v>
      </c>
      <c r="K3457" s="3" t="s">
        <v>24</v>
      </c>
    </row>
    <row r="3458" spans="1:11" ht="54" customHeight="1">
      <c r="A3458" s="2" t="s">
        <v>7739</v>
      </c>
      <c r="B3458" s="2" t="s">
        <v>7740</v>
      </c>
      <c r="C3458" s="2" t="s">
        <v>46</v>
      </c>
      <c r="D3458" s="2" t="s">
        <v>101</v>
      </c>
      <c r="E3458" s="5" t="s">
        <v>3699</v>
      </c>
      <c r="F3458" s="3" t="s">
        <v>6179</v>
      </c>
      <c r="G3458" s="3" t="s">
        <v>34</v>
      </c>
      <c r="H3458" s="2" t="s">
        <v>22</v>
      </c>
      <c r="I3458" s="2" t="s">
        <v>7742</v>
      </c>
      <c r="J3458" s="3" t="str">
        <f>HYPERLINK("https://www.boe.es/gazeta/dias/1834/02/06/pdfs/GMD-D-1834-17.pdf#page=1","Abrir facsímil")</f>
        <v>Abrir facsímil</v>
      </c>
      <c r="K3458" s="3" t="s">
        <v>24</v>
      </c>
    </row>
    <row r="3459" spans="1:11" ht="54" customHeight="1">
      <c r="A3459" s="2" t="s">
        <v>7739</v>
      </c>
      <c r="B3459" s="2" t="s">
        <v>7740</v>
      </c>
      <c r="C3459" s="2" t="s">
        <v>17</v>
      </c>
      <c r="D3459" s="2" t="s">
        <v>18</v>
      </c>
      <c r="E3459" s="5" t="s">
        <v>762</v>
      </c>
      <c r="F3459" s="3" t="s">
        <v>2227</v>
      </c>
      <c r="G3459" s="3" t="s">
        <v>34</v>
      </c>
      <c r="H3459" s="2" t="s">
        <v>22</v>
      </c>
      <c r="I3459" s="2" t="s">
        <v>7743</v>
      </c>
      <c r="J3459" s="3" t="str">
        <f>HYPERLINK("https://www.boe.es/gazeta/dias/1834/11/07/pdfs/GMD-C-1834-266.pdf#page=1","Abrir facsímil")</f>
        <v>Abrir facsímil</v>
      </c>
      <c r="K3459" s="3" t="s">
        <v>24</v>
      </c>
    </row>
    <row r="3460" spans="1:11" ht="54" customHeight="1">
      <c r="A3460" s="2" t="s">
        <v>7739</v>
      </c>
      <c r="B3460" s="2" t="s">
        <v>7740</v>
      </c>
      <c r="C3460" s="2" t="s">
        <v>17</v>
      </c>
      <c r="D3460" s="2" t="s">
        <v>18</v>
      </c>
      <c r="E3460" s="5" t="s">
        <v>1125</v>
      </c>
      <c r="F3460" s="3" t="s">
        <v>1126</v>
      </c>
      <c r="G3460" s="3" t="s">
        <v>34</v>
      </c>
      <c r="H3460" s="2" t="s">
        <v>22</v>
      </c>
      <c r="I3460" s="2" t="s">
        <v>7744</v>
      </c>
      <c r="J3460" s="3" t="str">
        <f>HYPERLINK("https://www.boe.es/gazeta/dias/1834/04/17/pdfs/GMD-C-1834-56.pdf#page=1","Abrir facsímil")</f>
        <v>Abrir facsímil</v>
      </c>
      <c r="K3460" s="3" t="s">
        <v>24</v>
      </c>
    </row>
    <row r="3461" spans="1:11" ht="54" customHeight="1">
      <c r="A3461" s="2" t="s">
        <v>7739</v>
      </c>
      <c r="B3461" s="2" t="s">
        <v>7740</v>
      </c>
      <c r="C3461" s="2" t="s">
        <v>17</v>
      </c>
      <c r="D3461" s="2" t="s">
        <v>40</v>
      </c>
      <c r="E3461" s="5" t="s">
        <v>753</v>
      </c>
      <c r="F3461" s="3" t="s">
        <v>754</v>
      </c>
      <c r="G3461" s="3" t="s">
        <v>28</v>
      </c>
      <c r="H3461" s="2" t="s">
        <v>22</v>
      </c>
      <c r="I3461" s="2" t="s">
        <v>7745</v>
      </c>
      <c r="J3461" s="3" t="str">
        <f>HYPERLINK("https://www.boe.es/gazeta/dias/1834/04/21/pdfs/GMD-1834-60.pdf#page=5","Abrir facsímil")</f>
        <v>Abrir facsímil</v>
      </c>
      <c r="K3461" s="3" t="s">
        <v>24</v>
      </c>
    </row>
    <row r="3462" spans="1:11" ht="54" customHeight="1">
      <c r="A3462" s="2" t="s">
        <v>7746</v>
      </c>
      <c r="B3462" s="2" t="s">
        <v>7747</v>
      </c>
      <c r="C3462" s="2" t="s">
        <v>17</v>
      </c>
      <c r="D3462" s="2" t="s">
        <v>18</v>
      </c>
      <c r="E3462" s="5" t="s">
        <v>1351</v>
      </c>
      <c r="F3462" s="3" t="s">
        <v>1352</v>
      </c>
      <c r="G3462" s="3" t="s">
        <v>75</v>
      </c>
      <c r="H3462" s="2" t="s">
        <v>22</v>
      </c>
      <c r="I3462" s="2" t="s">
        <v>7748</v>
      </c>
      <c r="J3462" s="3" t="str">
        <f>HYPERLINK("https://www.boe.es/gazeta/dias/1834/07/05/pdfs/GMD-1834-138.pdf#page=4","Abrir facsímil")</f>
        <v>Abrir facsímil</v>
      </c>
      <c r="K3462" s="3" t="s">
        <v>24</v>
      </c>
    </row>
    <row r="3463" spans="1:11" ht="54" customHeight="1">
      <c r="A3463" s="2" t="s">
        <v>7749</v>
      </c>
      <c r="B3463" s="2" t="s">
        <v>7750</v>
      </c>
      <c r="C3463" s="2" t="s">
        <v>17</v>
      </c>
      <c r="D3463" s="2" t="s">
        <v>18</v>
      </c>
      <c r="E3463" s="5" t="s">
        <v>433</v>
      </c>
      <c r="F3463" s="3" t="s">
        <v>434</v>
      </c>
      <c r="G3463" s="3" t="s">
        <v>86</v>
      </c>
      <c r="H3463" s="2" t="s">
        <v>22</v>
      </c>
      <c r="I3463" s="2" t="s">
        <v>7751</v>
      </c>
      <c r="J3463" s="3" t="str">
        <f>HYPERLINK("https://www.boe.es/gazeta/dias/1834/10/07/pdfs/GMD-C-1834-235.pdf#page=2","Abrir facsímil")</f>
        <v>Abrir facsímil</v>
      </c>
      <c r="K3463" s="3" t="s">
        <v>24</v>
      </c>
    </row>
    <row r="3464" spans="1:11" ht="54" customHeight="1">
      <c r="A3464" s="2" t="s">
        <v>7752</v>
      </c>
      <c r="B3464" s="2" t="s">
        <v>7753</v>
      </c>
      <c r="C3464" s="2" t="s">
        <v>17</v>
      </c>
      <c r="D3464" s="2" t="s">
        <v>18</v>
      </c>
      <c r="E3464" s="5" t="s">
        <v>348</v>
      </c>
      <c r="F3464" s="3" t="s">
        <v>501</v>
      </c>
      <c r="G3464" s="3" t="s">
        <v>75</v>
      </c>
      <c r="H3464" s="2" t="s">
        <v>22</v>
      </c>
      <c r="I3464" s="2" t="s">
        <v>7754</v>
      </c>
      <c r="J3464" s="3" t="str">
        <f>HYPERLINK("https://www.boe.es/gazeta/dias/1834/06/12/pdfs/GMD-1834-115.pdf#page=4","Abrir facsímil")</f>
        <v>Abrir facsímil</v>
      </c>
      <c r="K3464" s="3" t="s">
        <v>24</v>
      </c>
    </row>
    <row r="3465" spans="1:11" ht="54" customHeight="1">
      <c r="A3465" s="2" t="s">
        <v>7755</v>
      </c>
      <c r="B3465" s="2" t="s">
        <v>7755</v>
      </c>
      <c r="C3465" s="2" t="s">
        <v>66</v>
      </c>
      <c r="D3465" s="2" t="s">
        <v>67</v>
      </c>
      <c r="E3465" s="5" t="s">
        <v>860</v>
      </c>
      <c r="F3465" s="3" t="s">
        <v>1755</v>
      </c>
      <c r="G3465" s="3" t="s">
        <v>86</v>
      </c>
      <c r="H3465" s="2" t="s">
        <v>22</v>
      </c>
      <c r="I3465" s="2" t="s">
        <v>7756</v>
      </c>
      <c r="J3465" s="3" t="str">
        <f>HYPERLINK("https://www.boe.es/gazeta/dias/1834/02/08/pdfs/GMD-C-1834-18.pdf#page=2","Abrir facsímil")</f>
        <v>Abrir facsímil</v>
      </c>
      <c r="K3465" s="3" t="s">
        <v>24</v>
      </c>
    </row>
    <row r="3466" spans="1:11" ht="54" customHeight="1">
      <c r="A3466" s="2" t="s">
        <v>7757</v>
      </c>
      <c r="B3466" s="2" t="s">
        <v>7757</v>
      </c>
      <c r="C3466" s="2" t="s">
        <v>90</v>
      </c>
      <c r="D3466" s="2" t="s">
        <v>18</v>
      </c>
      <c r="E3466" s="5" t="s">
        <v>1410</v>
      </c>
      <c r="F3466" s="3" t="s">
        <v>2231</v>
      </c>
      <c r="G3466" s="3" t="s">
        <v>34</v>
      </c>
      <c r="H3466" s="2" t="s">
        <v>22</v>
      </c>
      <c r="I3466" s="2" t="s">
        <v>7758</v>
      </c>
      <c r="J3466" s="3" t="str">
        <f>HYPERLINK("https://www.boe.es/gazeta/dias/1834/09/09/pdfs/GMD-C-1834-207.pdf#page=1","Abrir facsímil")</f>
        <v>Abrir facsímil</v>
      </c>
      <c r="K3466" s="3" t="s">
        <v>24</v>
      </c>
    </row>
    <row r="3467" spans="1:11" ht="54" customHeight="1">
      <c r="A3467" s="2" t="s">
        <v>7759</v>
      </c>
      <c r="B3467" s="2" t="s">
        <v>7760</v>
      </c>
      <c r="C3467" s="2" t="s">
        <v>66</v>
      </c>
      <c r="D3467" s="2" t="s">
        <v>67</v>
      </c>
      <c r="E3467" s="5" t="s">
        <v>753</v>
      </c>
      <c r="F3467" s="3" t="s">
        <v>754</v>
      </c>
      <c r="G3467" s="3" t="s">
        <v>34</v>
      </c>
      <c r="H3467" s="2" t="s">
        <v>22</v>
      </c>
      <c r="I3467" s="2" t="s">
        <v>7761</v>
      </c>
      <c r="J3467" s="3" t="str">
        <f>HYPERLINK("https://www.boe.es/gazeta/dias/1834/04/21/pdfs/GMD-1834-60.pdf#page=1","Abrir facsímil")</f>
        <v>Abrir facsímil</v>
      </c>
      <c r="K3467" s="3" t="s">
        <v>24</v>
      </c>
    </row>
    <row r="3468" spans="1:11" ht="54" customHeight="1">
      <c r="A3468" s="2" t="s">
        <v>7762</v>
      </c>
      <c r="B3468" s="2" t="s">
        <v>7763</v>
      </c>
      <c r="C3468" s="2" t="s">
        <v>17</v>
      </c>
      <c r="D3468" s="2" t="s">
        <v>18</v>
      </c>
      <c r="E3468" s="5" t="s">
        <v>1955</v>
      </c>
      <c r="F3468" s="3" t="s">
        <v>1956</v>
      </c>
      <c r="G3468" s="3" t="s">
        <v>86</v>
      </c>
      <c r="H3468" s="2" t="s">
        <v>22</v>
      </c>
      <c r="I3468" s="2" t="s">
        <v>7764</v>
      </c>
      <c r="J3468" s="3" t="str">
        <f>HYPERLINK("https://www.boe.es/gazeta/dias/1834/05/04/pdfs/GMD-1834-73.pdf#page=2","Abrir facsímil")</f>
        <v>Abrir facsímil</v>
      </c>
      <c r="K3468" s="3" t="s">
        <v>24</v>
      </c>
    </row>
    <row r="3469" spans="1:11" ht="54" customHeight="1">
      <c r="A3469" s="2" t="s">
        <v>7765</v>
      </c>
      <c r="B3469" s="2" t="s">
        <v>7766</v>
      </c>
      <c r="C3469" s="2" t="s">
        <v>17</v>
      </c>
      <c r="D3469" s="2" t="s">
        <v>18</v>
      </c>
      <c r="E3469" s="5" t="s">
        <v>462</v>
      </c>
      <c r="F3469" s="3" t="s">
        <v>2110</v>
      </c>
      <c r="G3469" s="3" t="s">
        <v>21</v>
      </c>
      <c r="H3469" s="2" t="s">
        <v>22</v>
      </c>
      <c r="I3469" s="2" t="s">
        <v>7767</v>
      </c>
      <c r="J3469" s="3" t="str">
        <f>HYPERLINK("https://www.boe.es/gazeta/dias/1834/08/27/pdfs/GMD-1834-193.pdf#page=3","Abrir facsímil")</f>
        <v>Abrir facsímil</v>
      </c>
      <c r="K3469" s="3" t="s">
        <v>24</v>
      </c>
    </row>
    <row r="3470" spans="1:11" ht="54" customHeight="1">
      <c r="A3470" s="2" t="s">
        <v>7768</v>
      </c>
      <c r="B3470" s="2" t="s">
        <v>7768</v>
      </c>
      <c r="C3470" s="2" t="s">
        <v>17</v>
      </c>
      <c r="D3470" s="2" t="s">
        <v>101</v>
      </c>
      <c r="E3470" s="5" t="s">
        <v>2241</v>
      </c>
      <c r="F3470" s="3" t="s">
        <v>2242</v>
      </c>
      <c r="G3470" s="3" t="s">
        <v>34</v>
      </c>
      <c r="H3470" s="2" t="s">
        <v>22</v>
      </c>
      <c r="I3470" s="2" t="s">
        <v>7769</v>
      </c>
      <c r="J3470" s="3" t="str">
        <f>HYPERLINK("https://www.boe.es/gazeta/dias/1834/03/11/pdfs/GMD-1834-31.pdf#page=1","Abrir facsímil")</f>
        <v>Abrir facsímil</v>
      </c>
      <c r="K3470" s="3" t="s">
        <v>24</v>
      </c>
    </row>
    <row r="3471" spans="1:11" ht="54" customHeight="1">
      <c r="A3471" s="2" t="s">
        <v>7770</v>
      </c>
      <c r="B3471" s="2" t="s">
        <v>7770</v>
      </c>
      <c r="C3471" s="2" t="s">
        <v>46</v>
      </c>
      <c r="D3471" s="2" t="s">
        <v>101</v>
      </c>
      <c r="E3471" s="5" t="s">
        <v>304</v>
      </c>
      <c r="F3471" s="3" t="s">
        <v>305</v>
      </c>
      <c r="G3471" s="3" t="s">
        <v>28</v>
      </c>
      <c r="H3471" s="2" t="s">
        <v>22</v>
      </c>
      <c r="I3471" s="2" t="s">
        <v>7771</v>
      </c>
      <c r="J3471" s="3" t="str">
        <f>HYPERLINK("https://www.boe.es/gazeta/dias/1834/01/21/pdfs/GMD-1834-10.pdf#page=5","Abrir facsímil")</f>
        <v>Abrir facsímil</v>
      </c>
      <c r="K3471" s="3" t="s">
        <v>24</v>
      </c>
    </row>
    <row r="3472" spans="1:11" ht="54" customHeight="1">
      <c r="A3472" s="2" t="s">
        <v>7772</v>
      </c>
      <c r="B3472" s="2" t="s">
        <v>7772</v>
      </c>
      <c r="C3472" s="2" t="s">
        <v>46</v>
      </c>
      <c r="D3472" s="2" t="s">
        <v>18</v>
      </c>
      <c r="E3472" s="5" t="s">
        <v>715</v>
      </c>
      <c r="F3472" s="3" t="s">
        <v>7773</v>
      </c>
      <c r="G3472" s="3" t="s">
        <v>86</v>
      </c>
      <c r="H3472" s="2" t="s">
        <v>22</v>
      </c>
      <c r="I3472" s="2" t="s">
        <v>7774</v>
      </c>
      <c r="J3472" s="3" t="str">
        <f>HYPERLINK("https://www.boe.es/gazeta/dias/1834/09/17/pdfs/GMD-1834-215.pdf#page=2","Abrir facsímil")</f>
        <v>Abrir facsímil</v>
      </c>
      <c r="K3472" s="3" t="s">
        <v>24</v>
      </c>
    </row>
    <row r="3473" spans="1:11" ht="54" customHeight="1">
      <c r="A3473" s="2" t="s">
        <v>7775</v>
      </c>
      <c r="B3473" s="2" t="s">
        <v>7775</v>
      </c>
      <c r="C3473" s="2" t="s">
        <v>66</v>
      </c>
      <c r="D3473" s="2" t="s">
        <v>67</v>
      </c>
      <c r="E3473" s="5" t="s">
        <v>1918</v>
      </c>
      <c r="F3473" s="3" t="s">
        <v>1919</v>
      </c>
      <c r="G3473" s="3" t="s">
        <v>21</v>
      </c>
      <c r="H3473" s="2" t="s">
        <v>22</v>
      </c>
      <c r="I3473" s="2" t="s">
        <v>7776</v>
      </c>
      <c r="J3473" s="3" t="str">
        <f>HYPERLINK("https://www.boe.es/gazeta/dias/1834/03/22/pdfs/GMD-1834-36.pdf#page=3","Abrir facsímil")</f>
        <v>Abrir facsímil</v>
      </c>
      <c r="K3473" s="3" t="s">
        <v>24</v>
      </c>
    </row>
    <row r="3474" spans="1:11" ht="54" customHeight="1">
      <c r="A3474" s="2" t="s">
        <v>7777</v>
      </c>
      <c r="B3474" s="2" t="s">
        <v>7778</v>
      </c>
      <c r="C3474" s="2" t="s">
        <v>66</v>
      </c>
      <c r="D3474" s="2" t="s">
        <v>67</v>
      </c>
      <c r="E3474" s="5" t="s">
        <v>1116</v>
      </c>
      <c r="F3474" s="3" t="s">
        <v>1117</v>
      </c>
      <c r="G3474" s="3" t="s">
        <v>75</v>
      </c>
      <c r="H3474" s="2" t="s">
        <v>22</v>
      </c>
      <c r="I3474" s="2" t="s">
        <v>7779</v>
      </c>
      <c r="J3474" s="3" t="str">
        <f>HYPERLINK("https://www.boe.es/gazeta/dias/1834/05/16/pdfs/GMD-1834-85.pdf#page=4","Abrir facsímil")</f>
        <v>Abrir facsímil</v>
      </c>
      <c r="K3474" s="3" t="s">
        <v>24</v>
      </c>
    </row>
    <row r="3475" spans="1:11" ht="54" customHeight="1">
      <c r="A3475" s="2" t="s">
        <v>7780</v>
      </c>
      <c r="B3475" s="2" t="s">
        <v>7781</v>
      </c>
      <c r="C3475" s="2" t="s">
        <v>66</v>
      </c>
      <c r="D3475" s="2" t="s">
        <v>67</v>
      </c>
      <c r="E3475" s="5" t="s">
        <v>1116</v>
      </c>
      <c r="F3475" s="3" t="s">
        <v>1117</v>
      </c>
      <c r="G3475" s="3" t="s">
        <v>75</v>
      </c>
      <c r="H3475" s="2" t="s">
        <v>35</v>
      </c>
      <c r="I3475" s="2" t="s">
        <v>7782</v>
      </c>
      <c r="J3475" s="3" t="str">
        <f>HYPERLINK("https://www.boe.es/gazeta/dias/1834/05/16/pdfs/GMD-1834-85.pdf#page=4","Abrir facsímil")</f>
        <v>Abrir facsímil</v>
      </c>
      <c r="K3475" s="3" t="s">
        <v>37</v>
      </c>
    </row>
    <row r="3476" spans="1:11" ht="54" customHeight="1">
      <c r="A3476" s="2" t="s">
        <v>7783</v>
      </c>
      <c r="B3476" s="2" t="s">
        <v>7783</v>
      </c>
      <c r="C3476" s="2" t="s">
        <v>90</v>
      </c>
      <c r="D3476" s="2" t="s">
        <v>55</v>
      </c>
      <c r="E3476" s="5" t="s">
        <v>283</v>
      </c>
      <c r="F3476" s="3" t="s">
        <v>2969</v>
      </c>
      <c r="G3476" s="3" t="s">
        <v>86</v>
      </c>
      <c r="H3476" s="2" t="s">
        <v>22</v>
      </c>
      <c r="I3476" s="2" t="s">
        <v>7784</v>
      </c>
      <c r="J3476" s="3" t="str">
        <f>HYPERLINK("https://www.boe.es/gazeta/dias/1834/11/29/pdfs/GMD-1834-288.pdf#page=2","Abrir facsímil")</f>
        <v>Abrir facsímil</v>
      </c>
      <c r="K3476" s="3" t="s">
        <v>24</v>
      </c>
    </row>
    <row r="3477" spans="1:11" ht="54" customHeight="1">
      <c r="A3477" s="2" t="s">
        <v>7785</v>
      </c>
      <c r="B3477" s="2" t="s">
        <v>7786</v>
      </c>
      <c r="C3477" s="2" t="s">
        <v>17</v>
      </c>
      <c r="D3477" s="2" t="s">
        <v>18</v>
      </c>
      <c r="E3477" s="5" t="s">
        <v>667</v>
      </c>
      <c r="F3477" s="3" t="s">
        <v>3347</v>
      </c>
      <c r="G3477" s="3" t="s">
        <v>75</v>
      </c>
      <c r="H3477" s="2" t="s">
        <v>35</v>
      </c>
      <c r="I3477" s="2" t="s">
        <v>7787</v>
      </c>
      <c r="J3477" s="3" t="str">
        <f>HYPERLINK("https://www.boe.es/gazeta/dias/1834/11/23/pdfs/GMD-1834-282.pdf#page=4","Abrir facsímil")</f>
        <v>Abrir facsímil</v>
      </c>
      <c r="K3477" s="3" t="s">
        <v>37</v>
      </c>
    </row>
    <row r="3478" spans="1:11" ht="54" customHeight="1">
      <c r="A3478" s="2" t="s">
        <v>7788</v>
      </c>
      <c r="B3478" s="2" t="s">
        <v>7788</v>
      </c>
      <c r="C3478" s="2" t="s">
        <v>17</v>
      </c>
      <c r="D3478" s="2" t="s">
        <v>18</v>
      </c>
      <c r="E3478" s="5" t="s">
        <v>462</v>
      </c>
      <c r="F3478" s="3" t="s">
        <v>2110</v>
      </c>
      <c r="G3478" s="3" t="s">
        <v>86</v>
      </c>
      <c r="H3478" s="2" t="s">
        <v>22</v>
      </c>
      <c r="I3478" s="2" t="s">
        <v>7789</v>
      </c>
      <c r="J3478" s="3" t="str">
        <f>HYPERLINK("https://www.boe.es/gazeta/dias/1834/08/27/pdfs/GMD-1834-193.pdf#page=2","Abrir facsímil")</f>
        <v>Abrir facsímil</v>
      </c>
      <c r="K3478" s="3" t="s">
        <v>24</v>
      </c>
    </row>
    <row r="3479" spans="1:11" ht="54" customHeight="1">
      <c r="A3479" s="2" t="s">
        <v>7790</v>
      </c>
      <c r="B3479" s="2" t="s">
        <v>7791</v>
      </c>
      <c r="C3479" s="2" t="s">
        <v>17</v>
      </c>
      <c r="D3479" s="2" t="s">
        <v>55</v>
      </c>
      <c r="E3479" s="5" t="s">
        <v>1084</v>
      </c>
      <c r="F3479" s="3" t="s">
        <v>1085</v>
      </c>
      <c r="G3479" s="3" t="s">
        <v>75</v>
      </c>
      <c r="H3479" s="2" t="s">
        <v>22</v>
      </c>
      <c r="I3479" s="2" t="s">
        <v>7792</v>
      </c>
      <c r="J3479" s="3" t="str">
        <f>HYPERLINK("https://www.boe.es/gazeta/dias/1834/05/01/pdfs/GMD-1834-70.pdf#page=4","Abrir facsímil")</f>
        <v>Abrir facsímil</v>
      </c>
      <c r="K3479" s="3" t="s">
        <v>24</v>
      </c>
    </row>
    <row r="3480" spans="1:11" ht="54" customHeight="1">
      <c r="A3480" s="2" t="s">
        <v>7793</v>
      </c>
      <c r="B3480" s="2" t="s">
        <v>7794</v>
      </c>
      <c r="C3480" s="2" t="s">
        <v>46</v>
      </c>
      <c r="D3480" s="2" t="s">
        <v>55</v>
      </c>
      <c r="E3480" s="5" t="s">
        <v>679</v>
      </c>
      <c r="F3480" s="3" t="s">
        <v>699</v>
      </c>
      <c r="G3480" s="3" t="s">
        <v>21</v>
      </c>
      <c r="H3480" s="2" t="s">
        <v>22</v>
      </c>
      <c r="I3480" s="2" t="s">
        <v>7795</v>
      </c>
      <c r="J3480" s="3" t="str">
        <f>HYPERLINK("https://www.boe.es/gazeta/dias/1834/12/10/pdfs/GMD-C-1834-299.pdf#page=3","Abrir facsímil")</f>
        <v>Abrir facsímil</v>
      </c>
      <c r="K3480" s="3" t="s">
        <v>24</v>
      </c>
    </row>
    <row r="3481" spans="1:11" ht="54" customHeight="1">
      <c r="A3481" s="2" t="s">
        <v>7796</v>
      </c>
      <c r="B3481" s="2" t="s">
        <v>7796</v>
      </c>
      <c r="C3481" s="2" t="s">
        <v>17</v>
      </c>
      <c r="D3481" s="2" t="s">
        <v>18</v>
      </c>
      <c r="E3481" s="5" t="s">
        <v>647</v>
      </c>
      <c r="F3481" s="3" t="s">
        <v>648</v>
      </c>
      <c r="G3481" s="3" t="s">
        <v>176</v>
      </c>
      <c r="H3481" s="2" t="s">
        <v>22</v>
      </c>
      <c r="I3481" s="2" t="s">
        <v>7797</v>
      </c>
      <c r="J3481" s="3" t="str">
        <f>HYPERLINK("https://www.boe.es/gazeta/dias/1834/10/21/pdfs/GMD-C-1834-249.pdf#page=6","Abrir facsímil")</f>
        <v>Abrir facsímil</v>
      </c>
      <c r="K3481" s="3" t="s">
        <v>24</v>
      </c>
    </row>
    <row r="3482" spans="1:11" ht="54" customHeight="1">
      <c r="A3482" s="2" t="s">
        <v>7798</v>
      </c>
      <c r="B3482" s="2" t="s">
        <v>7799</v>
      </c>
      <c r="C3482" s="2" t="s">
        <v>66</v>
      </c>
      <c r="D3482" s="2" t="s">
        <v>101</v>
      </c>
      <c r="E3482" s="5" t="s">
        <v>163</v>
      </c>
      <c r="F3482" s="3" t="s">
        <v>164</v>
      </c>
      <c r="G3482" s="3" t="s">
        <v>34</v>
      </c>
      <c r="H3482" s="2" t="s">
        <v>22</v>
      </c>
      <c r="I3482" s="2" t="s">
        <v>7800</v>
      </c>
      <c r="J3482" s="3" t="str">
        <f>HYPERLINK("https://www.boe.es/gazeta/dias/1834/08/09/pdfs/GMD-1834-174.pdf#page=1","Abrir facsímil")</f>
        <v>Abrir facsímil</v>
      </c>
      <c r="K3482" s="3" t="s">
        <v>24</v>
      </c>
    </row>
    <row r="3483" spans="1:11" ht="54" customHeight="1">
      <c r="A3483" s="2" t="s">
        <v>7801</v>
      </c>
      <c r="B3483" s="2" t="s">
        <v>7802</v>
      </c>
      <c r="C3483" s="2" t="s">
        <v>66</v>
      </c>
      <c r="D3483" s="2" t="s">
        <v>101</v>
      </c>
      <c r="E3483" s="5" t="s">
        <v>163</v>
      </c>
      <c r="F3483" s="3" t="s">
        <v>164</v>
      </c>
      <c r="G3483" s="3" t="s">
        <v>34</v>
      </c>
      <c r="H3483" s="2" t="s">
        <v>22</v>
      </c>
      <c r="I3483" s="2" t="s">
        <v>7803</v>
      </c>
      <c r="J3483" s="3" t="str">
        <f>HYPERLINK("https://www.boe.es/gazeta/dias/1834/08/09/pdfs/GMD-1834-174.pdf#page=1","Abrir facsímil")</f>
        <v>Abrir facsímil</v>
      </c>
      <c r="K3483" s="3" t="s">
        <v>24</v>
      </c>
    </row>
    <row r="3484" spans="1:11" ht="54" customHeight="1">
      <c r="A3484" s="2" t="s">
        <v>7804</v>
      </c>
      <c r="B3484" s="2" t="s">
        <v>7805</v>
      </c>
      <c r="C3484" s="2" t="s">
        <v>46</v>
      </c>
      <c r="D3484" s="2" t="s">
        <v>101</v>
      </c>
      <c r="E3484" s="5" t="s">
        <v>1234</v>
      </c>
      <c r="F3484" s="3" t="s">
        <v>1455</v>
      </c>
      <c r="G3484" s="3" t="s">
        <v>21</v>
      </c>
      <c r="H3484" s="2" t="s">
        <v>35</v>
      </c>
      <c r="I3484" s="2" t="s">
        <v>7806</v>
      </c>
      <c r="J3484" s="3" t="str">
        <f>HYPERLINK("https://www.boe.es/gazeta/dias/1834/05/15/pdfs/GMD-1834-84.pdf#page=3","Abrir facsímil")</f>
        <v>Abrir facsímil</v>
      </c>
      <c r="K3484" s="3" t="s">
        <v>37</v>
      </c>
    </row>
    <row r="3485" spans="1:11" ht="54" customHeight="1">
      <c r="A3485" s="2" t="s">
        <v>7807</v>
      </c>
      <c r="B3485" s="2" t="s">
        <v>7807</v>
      </c>
      <c r="C3485" s="2" t="s">
        <v>46</v>
      </c>
      <c r="D3485" s="2" t="s">
        <v>101</v>
      </c>
      <c r="E3485" s="5" t="s">
        <v>653</v>
      </c>
      <c r="F3485" s="3" t="s">
        <v>654</v>
      </c>
      <c r="G3485" s="3" t="s">
        <v>21</v>
      </c>
      <c r="H3485" s="2" t="s">
        <v>22</v>
      </c>
      <c r="I3485" s="2" t="s">
        <v>7808</v>
      </c>
      <c r="J3485" s="3" t="str">
        <f>HYPERLINK("https://www.boe.es/gazeta/dias/1834/08/06/pdfs/GMD-C-1834-170.pdf#page=3","Abrir facsímil")</f>
        <v>Abrir facsímil</v>
      </c>
      <c r="K3485" s="3" t="s">
        <v>24</v>
      </c>
    </row>
    <row r="3486" spans="1:11" ht="54" customHeight="1">
      <c r="A3486" s="2" t="s">
        <v>7807</v>
      </c>
      <c r="B3486" s="2" t="s">
        <v>7807</v>
      </c>
      <c r="C3486" s="2" t="s">
        <v>17</v>
      </c>
      <c r="D3486" s="2" t="s">
        <v>18</v>
      </c>
      <c r="E3486" s="5" t="s">
        <v>444</v>
      </c>
      <c r="F3486" s="3" t="s">
        <v>445</v>
      </c>
      <c r="G3486" s="3" t="s">
        <v>34</v>
      </c>
      <c r="H3486" s="2" t="s">
        <v>22</v>
      </c>
      <c r="I3486" s="2" t="s">
        <v>7809</v>
      </c>
      <c r="J3486" s="3" t="str">
        <f>HYPERLINK("https://www.boe.es/gazeta/dias/1834/09/12/pdfs/GMD-C-1834-210.pdf#page=1","Abrir facsímil")</f>
        <v>Abrir facsímil</v>
      </c>
      <c r="K3486" s="3" t="s">
        <v>24</v>
      </c>
    </row>
    <row r="3487" spans="1:11" ht="54" customHeight="1">
      <c r="A3487" s="2" t="s">
        <v>7807</v>
      </c>
      <c r="B3487" s="2" t="s">
        <v>7807</v>
      </c>
      <c r="C3487" s="2" t="s">
        <v>17</v>
      </c>
      <c r="D3487" s="2" t="s">
        <v>18</v>
      </c>
      <c r="E3487" s="5" t="s">
        <v>928</v>
      </c>
      <c r="F3487" s="3" t="s">
        <v>929</v>
      </c>
      <c r="G3487" s="3" t="s">
        <v>21</v>
      </c>
      <c r="H3487" s="2" t="s">
        <v>22</v>
      </c>
      <c r="I3487" s="2" t="s">
        <v>7810</v>
      </c>
      <c r="J3487" s="3" t="str">
        <f>HYPERLINK("https://www.boe.es/gazeta/dias/1834/11/15/pdfs/GMD-C-1834-274.pdf#page=3","Abrir facsímil")</f>
        <v>Abrir facsímil</v>
      </c>
      <c r="K3487" s="3" t="s">
        <v>24</v>
      </c>
    </row>
    <row r="3488" spans="1:11" ht="54" customHeight="1">
      <c r="A3488" s="2" t="s">
        <v>7807</v>
      </c>
      <c r="B3488" s="2" t="s">
        <v>7807</v>
      </c>
      <c r="C3488" s="2" t="s">
        <v>17</v>
      </c>
      <c r="D3488" s="2" t="s">
        <v>18</v>
      </c>
      <c r="E3488" s="5" t="s">
        <v>280</v>
      </c>
      <c r="F3488" s="3" t="s">
        <v>281</v>
      </c>
      <c r="G3488" s="3" t="s">
        <v>560</v>
      </c>
      <c r="H3488" s="2" t="s">
        <v>22</v>
      </c>
      <c r="I3488" s="2" t="s">
        <v>7811</v>
      </c>
      <c r="J3488" s="3" t="str">
        <f>HYPERLINK("https://www.boe.es/gazeta/dias/1834/08/29/pdfs/GMD-C-1834-195.pdf#page=7","Abrir facsímil")</f>
        <v>Abrir facsímil</v>
      </c>
      <c r="K3488" s="3" t="s">
        <v>24</v>
      </c>
    </row>
    <row r="3489" spans="1:11" ht="54" customHeight="1">
      <c r="A3489" s="2" t="s">
        <v>7812</v>
      </c>
      <c r="B3489" s="2" t="s">
        <v>7813</v>
      </c>
      <c r="C3489" s="2" t="s">
        <v>122</v>
      </c>
      <c r="D3489" s="2" t="s">
        <v>18</v>
      </c>
      <c r="E3489" s="5" t="s">
        <v>233</v>
      </c>
      <c r="F3489" s="3" t="s">
        <v>1810</v>
      </c>
      <c r="G3489" s="3" t="s">
        <v>2272</v>
      </c>
      <c r="H3489" s="2" t="s">
        <v>22</v>
      </c>
      <c r="I3489" s="2" t="s">
        <v>7814</v>
      </c>
      <c r="J3489" s="3" t="str">
        <f>HYPERLINK("https://www.boe.es/gazeta/dias/1834/12/16/pdfs/GMD-C-1834-305.pdf#page=12","Abrir facsímil")</f>
        <v>Abrir facsímil</v>
      </c>
      <c r="K3489" s="3" t="s">
        <v>24</v>
      </c>
    </row>
    <row r="3490" spans="1:11" ht="54" customHeight="1">
      <c r="A3490" s="2" t="s">
        <v>7815</v>
      </c>
      <c r="B3490" s="2" t="s">
        <v>7816</v>
      </c>
      <c r="C3490" s="2" t="s">
        <v>122</v>
      </c>
      <c r="D3490" s="2" t="s">
        <v>18</v>
      </c>
      <c r="E3490" s="5" t="s">
        <v>883</v>
      </c>
      <c r="F3490" s="3" t="s">
        <v>884</v>
      </c>
      <c r="G3490" s="3" t="s">
        <v>86</v>
      </c>
      <c r="H3490" s="2" t="s">
        <v>22</v>
      </c>
      <c r="I3490" s="2" t="s">
        <v>7817</v>
      </c>
      <c r="J3490" s="3" t="str">
        <f>HYPERLINK("https://www.boe.es/gazeta/dias/1834/11/16/pdfs/GMD-C-1834-275.pdf#page=2","Abrir facsímil")</f>
        <v>Abrir facsímil</v>
      </c>
      <c r="K3490" s="3" t="s">
        <v>24</v>
      </c>
    </row>
    <row r="3491" spans="1:11" ht="54" customHeight="1">
      <c r="A3491" s="2" t="s">
        <v>7818</v>
      </c>
      <c r="B3491" s="2" t="s">
        <v>7819</v>
      </c>
      <c r="C3491" s="2" t="s">
        <v>46</v>
      </c>
      <c r="D3491" s="2" t="s">
        <v>18</v>
      </c>
      <c r="E3491" s="5" t="s">
        <v>679</v>
      </c>
      <c r="F3491" s="3" t="s">
        <v>699</v>
      </c>
      <c r="G3491" s="3" t="s">
        <v>21</v>
      </c>
      <c r="H3491" s="2" t="s">
        <v>22</v>
      </c>
      <c r="I3491" s="2" t="s">
        <v>7820</v>
      </c>
      <c r="J3491" s="3" t="str">
        <f>HYPERLINK("https://www.boe.es/gazeta/dias/1834/12/10/pdfs/GMD-C-1834-299.pdf#page=3","Abrir facsímil")</f>
        <v>Abrir facsímil</v>
      </c>
      <c r="K3491" s="3" t="s">
        <v>24</v>
      </c>
    </row>
    <row r="3492" spans="1:11" ht="54" customHeight="1">
      <c r="A3492" s="2" t="s">
        <v>7821</v>
      </c>
      <c r="B3492" s="2" t="s">
        <v>7822</v>
      </c>
      <c r="C3492" s="2" t="s">
        <v>17</v>
      </c>
      <c r="D3492" s="2" t="s">
        <v>18</v>
      </c>
      <c r="E3492" s="5" t="s">
        <v>715</v>
      </c>
      <c r="F3492" s="3" t="s">
        <v>716</v>
      </c>
      <c r="G3492" s="3" t="s">
        <v>34</v>
      </c>
      <c r="H3492" s="2" t="s">
        <v>22</v>
      </c>
      <c r="I3492" s="2" t="s">
        <v>7823</v>
      </c>
      <c r="J3492" s="3" t="str">
        <f>HYPERLINK("https://www.boe.es/gazeta/dias/1834/09/17/pdfs/GMD-C-1834-215.pdf#page=1","Abrir facsímil")</f>
        <v>Abrir facsímil</v>
      </c>
      <c r="K3492" s="3" t="s">
        <v>24</v>
      </c>
    </row>
    <row r="3493" spans="1:11" ht="54" customHeight="1">
      <c r="A3493" s="2" t="s">
        <v>7824</v>
      </c>
      <c r="B3493" s="2" t="s">
        <v>7825</v>
      </c>
      <c r="C3493" s="2" t="s">
        <v>17</v>
      </c>
      <c r="D3493" s="2" t="s">
        <v>18</v>
      </c>
      <c r="E3493" s="5" t="s">
        <v>667</v>
      </c>
      <c r="F3493" s="3" t="s">
        <v>668</v>
      </c>
      <c r="G3493" s="3" t="s">
        <v>86</v>
      </c>
      <c r="H3493" s="2" t="s">
        <v>22</v>
      </c>
      <c r="I3493" s="2" t="s">
        <v>7826</v>
      </c>
      <c r="J3493" s="3" t="str">
        <f>HYPERLINK("https://www.boe.es/gazeta/dias/1834/11/23/pdfs/GMD-C-1834-282.pdf#page=2","Abrir facsímil")</f>
        <v>Abrir facsímil</v>
      </c>
      <c r="K3493" s="3" t="s">
        <v>24</v>
      </c>
    </row>
    <row r="3494" spans="1:11" ht="54" customHeight="1">
      <c r="A3494" s="2" t="s">
        <v>7827</v>
      </c>
      <c r="B3494" s="2" t="s">
        <v>7828</v>
      </c>
      <c r="C3494" s="2" t="s">
        <v>17</v>
      </c>
      <c r="D3494" s="2" t="s">
        <v>18</v>
      </c>
      <c r="E3494" s="5" t="s">
        <v>200</v>
      </c>
      <c r="F3494" s="3" t="s">
        <v>2248</v>
      </c>
      <c r="G3494" s="3" t="s">
        <v>28</v>
      </c>
      <c r="H3494" s="2" t="s">
        <v>22</v>
      </c>
      <c r="I3494" s="2" t="s">
        <v>7829</v>
      </c>
      <c r="J3494" s="3" t="str">
        <f>HYPERLINK("https://www.boe.es/gazeta/dias/1834/12/11/pdfs/GMD-C-1834-300.pdf#page=5","Abrir facsímil")</f>
        <v>Abrir facsímil</v>
      </c>
      <c r="K3494" s="3" t="s">
        <v>24</v>
      </c>
    </row>
    <row r="3495" spans="1:11" ht="54" customHeight="1">
      <c r="A3495" s="2" t="s">
        <v>7830</v>
      </c>
      <c r="B3495" s="2" t="s">
        <v>7831</v>
      </c>
      <c r="C3495" s="2" t="s">
        <v>17</v>
      </c>
      <c r="D3495" s="2" t="s">
        <v>18</v>
      </c>
      <c r="E3495" s="5" t="s">
        <v>283</v>
      </c>
      <c r="F3495" s="3" t="s">
        <v>284</v>
      </c>
      <c r="G3495" s="3" t="s">
        <v>28</v>
      </c>
      <c r="H3495" s="2" t="s">
        <v>22</v>
      </c>
      <c r="I3495" s="2" t="s">
        <v>7832</v>
      </c>
      <c r="J3495" s="3" t="str">
        <f>HYPERLINK("https://www.boe.es/gazeta/dias/1834/11/29/pdfs/GMD-C-1834-288.pdf#page=5","Abrir facsímil")</f>
        <v>Abrir facsímil</v>
      </c>
      <c r="K3495" s="3" t="s">
        <v>24</v>
      </c>
    </row>
    <row r="3496" spans="1:11" ht="54" customHeight="1">
      <c r="A3496" s="2" t="s">
        <v>7833</v>
      </c>
      <c r="B3496" s="2" t="s">
        <v>7834</v>
      </c>
      <c r="C3496" s="2" t="s">
        <v>17</v>
      </c>
      <c r="D3496" s="2" t="s">
        <v>18</v>
      </c>
      <c r="E3496" s="5" t="s">
        <v>690</v>
      </c>
      <c r="F3496" s="3" t="s">
        <v>691</v>
      </c>
      <c r="G3496" s="3" t="s">
        <v>75</v>
      </c>
      <c r="H3496" s="2" t="s">
        <v>22</v>
      </c>
      <c r="I3496" s="2" t="s">
        <v>7835</v>
      </c>
      <c r="J3496" s="3" t="str">
        <f>HYPERLINK("https://www.boe.es/gazeta/dias/1834/09/03/pdfs/GMD-C-1834-201.pdf#page=4","Abrir facsímil")</f>
        <v>Abrir facsímil</v>
      </c>
      <c r="K3496" s="3" t="s">
        <v>24</v>
      </c>
    </row>
    <row r="3497" spans="1:11" ht="54" customHeight="1">
      <c r="A3497" s="2" t="s">
        <v>7836</v>
      </c>
      <c r="B3497" s="2" t="s">
        <v>7836</v>
      </c>
      <c r="C3497" s="2" t="s">
        <v>17</v>
      </c>
      <c r="D3497" s="2" t="s">
        <v>18</v>
      </c>
      <c r="E3497" s="5" t="s">
        <v>416</v>
      </c>
      <c r="F3497" s="3" t="s">
        <v>417</v>
      </c>
      <c r="G3497" s="3" t="s">
        <v>86</v>
      </c>
      <c r="H3497" s="2" t="s">
        <v>22</v>
      </c>
      <c r="I3497" s="2" t="s">
        <v>7837</v>
      </c>
      <c r="J3497" s="3" t="str">
        <f>HYPERLINK("https://www.boe.es/gazeta/dias/1834/10/02/pdfs/GMD-C-1834-230.pdf#page=2","Abrir facsímil")</f>
        <v>Abrir facsímil</v>
      </c>
      <c r="K3497" s="3" t="s">
        <v>24</v>
      </c>
    </row>
    <row r="3498" spans="1:11" ht="54" customHeight="1">
      <c r="A3498" s="2" t="s">
        <v>7838</v>
      </c>
      <c r="B3498" s="2" t="s">
        <v>7838</v>
      </c>
      <c r="C3498" s="2" t="s">
        <v>17</v>
      </c>
      <c r="D3498" s="2" t="s">
        <v>18</v>
      </c>
      <c r="E3498" s="5" t="s">
        <v>294</v>
      </c>
      <c r="F3498" s="3" t="s">
        <v>959</v>
      </c>
      <c r="G3498" s="3" t="s">
        <v>75</v>
      </c>
      <c r="H3498" s="2" t="s">
        <v>22</v>
      </c>
      <c r="I3498" s="2" t="s">
        <v>7839</v>
      </c>
      <c r="J3498" s="3" t="str">
        <f>HYPERLINK("https://www.boe.es/gazeta/dias/1834/09/27/pdfs/GMD-C-1834-225.pdf#page=4","Abrir facsímil")</f>
        <v>Abrir facsímil</v>
      </c>
      <c r="K3498" s="3" t="s">
        <v>24</v>
      </c>
    </row>
    <row r="3499" spans="1:11" ht="54" customHeight="1">
      <c r="A3499" s="2" t="s">
        <v>7840</v>
      </c>
      <c r="B3499" s="2" t="s">
        <v>7841</v>
      </c>
      <c r="C3499" s="2" t="s">
        <v>17</v>
      </c>
      <c r="D3499" s="2" t="s">
        <v>18</v>
      </c>
      <c r="E3499" s="5" t="s">
        <v>785</v>
      </c>
      <c r="F3499" s="3" t="s">
        <v>786</v>
      </c>
      <c r="G3499" s="3" t="s">
        <v>34</v>
      </c>
      <c r="H3499" s="2" t="s">
        <v>22</v>
      </c>
      <c r="I3499" s="2" t="s">
        <v>7842</v>
      </c>
      <c r="J3499" s="3" t="str">
        <f>HYPERLINK("https://www.boe.es/gazeta/dias/1834/02/11/pdfs/GMD-1834-19.pdf#page=1","Abrir facsímil")</f>
        <v>Abrir facsímil</v>
      </c>
      <c r="K3499" s="3" t="s">
        <v>24</v>
      </c>
    </row>
    <row r="3500" spans="1:11" ht="54" customHeight="1">
      <c r="A3500" s="2" t="s">
        <v>7843</v>
      </c>
      <c r="B3500" s="2" t="s">
        <v>7844</v>
      </c>
      <c r="C3500" s="2" t="s">
        <v>122</v>
      </c>
      <c r="D3500" s="2" t="s">
        <v>55</v>
      </c>
      <c r="E3500" s="5" t="s">
        <v>102</v>
      </c>
      <c r="F3500" s="3" t="s">
        <v>103</v>
      </c>
      <c r="G3500" s="3" t="s">
        <v>21</v>
      </c>
      <c r="H3500" s="2" t="s">
        <v>35</v>
      </c>
      <c r="I3500" s="2" t="s">
        <v>7845</v>
      </c>
      <c r="J3500" s="3" t="str">
        <f>HYPERLINK("https://www.boe.es/gazeta/dias/1834/07/19/pdfs/GMD-1834-152.pdf#page=3","Abrir facsímil")</f>
        <v>Abrir facsímil</v>
      </c>
      <c r="K3500" s="3" t="s">
        <v>37</v>
      </c>
    </row>
    <row r="3501" spans="1:11" ht="54" customHeight="1">
      <c r="A3501" s="2" t="s">
        <v>7846</v>
      </c>
      <c r="B3501" s="2" t="s">
        <v>7846</v>
      </c>
      <c r="C3501" s="2" t="s">
        <v>122</v>
      </c>
      <c r="D3501" s="2" t="s">
        <v>18</v>
      </c>
      <c r="E3501" s="5" t="s">
        <v>594</v>
      </c>
      <c r="F3501" s="3" t="s">
        <v>595</v>
      </c>
      <c r="G3501" s="3" t="s">
        <v>75</v>
      </c>
      <c r="H3501" s="2" t="s">
        <v>22</v>
      </c>
      <c r="I3501" s="2" t="s">
        <v>7847</v>
      </c>
      <c r="J3501" s="3" t="str">
        <f>HYPERLINK("https://www.boe.es/gazeta/dias/1834/06/01/pdfs/GMD-1834-102.pdf#page=4","Abrir facsímil")</f>
        <v>Abrir facsímil</v>
      </c>
      <c r="K3501" s="3" t="s">
        <v>24</v>
      </c>
    </row>
    <row r="3502" spans="1:11" ht="54" customHeight="1">
      <c r="A3502" s="2" t="s">
        <v>7848</v>
      </c>
      <c r="B3502" s="2" t="s">
        <v>7849</v>
      </c>
      <c r="C3502" s="2" t="s">
        <v>17</v>
      </c>
      <c r="D3502" s="2" t="s">
        <v>18</v>
      </c>
      <c r="E3502" s="5" t="s">
        <v>2459</v>
      </c>
      <c r="F3502" s="3" t="s">
        <v>2460</v>
      </c>
      <c r="G3502" s="3" t="s">
        <v>75</v>
      </c>
      <c r="H3502" s="2" t="s">
        <v>35</v>
      </c>
      <c r="I3502" s="2" t="s">
        <v>7850</v>
      </c>
      <c r="J3502" s="3" t="str">
        <f>HYPERLINK("https://www.boe.es/gazeta/dias/1834/04/04/pdfs/GMD-1834-43.pdf#page=4","Abrir facsímil")</f>
        <v>Abrir facsímil</v>
      </c>
      <c r="K3502" s="3" t="s">
        <v>37</v>
      </c>
    </row>
    <row r="3503" spans="1:11" ht="54" customHeight="1">
      <c r="A3503" s="2" t="s">
        <v>7851</v>
      </c>
      <c r="B3503" s="2" t="s">
        <v>7852</v>
      </c>
      <c r="C3503" s="2" t="s">
        <v>17</v>
      </c>
      <c r="D3503" s="2" t="s">
        <v>18</v>
      </c>
      <c r="E3503" s="5" t="s">
        <v>32</v>
      </c>
      <c r="F3503" s="3" t="s">
        <v>33</v>
      </c>
      <c r="G3503" s="3" t="s">
        <v>75</v>
      </c>
      <c r="H3503" s="2" t="s">
        <v>35</v>
      </c>
      <c r="I3503" s="2" t="s">
        <v>7853</v>
      </c>
      <c r="J3503" s="3" t="str">
        <f>HYPERLINK("https://www.boe.es/gazeta/dias/1834/04/23/pdfs/GMD-1834-62.pdf#page=4","Abrir facsímil")</f>
        <v>Abrir facsímil</v>
      </c>
      <c r="K3503" s="3" t="s">
        <v>37</v>
      </c>
    </row>
    <row r="3504" spans="1:11" ht="54" customHeight="1">
      <c r="A3504" s="2" t="s">
        <v>7854</v>
      </c>
      <c r="B3504" s="2" t="s">
        <v>7855</v>
      </c>
      <c r="C3504" s="2" t="s">
        <v>46</v>
      </c>
      <c r="D3504" s="2" t="s">
        <v>101</v>
      </c>
      <c r="E3504" s="5" t="s">
        <v>3328</v>
      </c>
      <c r="F3504" s="3" t="s">
        <v>3329</v>
      </c>
      <c r="G3504" s="3" t="s">
        <v>75</v>
      </c>
      <c r="H3504" s="2" t="s">
        <v>35</v>
      </c>
      <c r="I3504" s="2" t="s">
        <v>7856</v>
      </c>
      <c r="J3504" s="3" t="str">
        <f>HYPERLINK("https://www.boe.es/gazeta/dias/1834/06/04/pdfs/GMD-1834-106.pdf#page=4","Abrir facsímil")</f>
        <v>Abrir facsímil</v>
      </c>
      <c r="K3504" s="3" t="s">
        <v>37</v>
      </c>
    </row>
    <row r="3505" spans="1:11" ht="54" customHeight="1">
      <c r="A3505" s="2" t="s">
        <v>7854</v>
      </c>
      <c r="B3505" s="2" t="s">
        <v>7855</v>
      </c>
      <c r="C3505" s="2" t="s">
        <v>122</v>
      </c>
      <c r="D3505" s="2" t="s">
        <v>18</v>
      </c>
      <c r="E3505" s="5" t="s">
        <v>5435</v>
      </c>
      <c r="F3505" s="3" t="s">
        <v>5436</v>
      </c>
      <c r="G3505" s="3" t="s">
        <v>21</v>
      </c>
      <c r="H3505" s="2" t="s">
        <v>35</v>
      </c>
      <c r="I3505" s="2" t="s">
        <v>7857</v>
      </c>
      <c r="J3505" s="3" t="str">
        <f>HYPERLINK("https://www.boe.es/gazeta/dias/1834/05/11/pdfs/GMD-1834-80.pdf#page=3","Abrir facsímil")</f>
        <v>Abrir facsímil</v>
      </c>
      <c r="K3505" s="3" t="s">
        <v>37</v>
      </c>
    </row>
    <row r="3506" spans="1:11" ht="54" customHeight="1">
      <c r="A3506" s="2" t="s">
        <v>7858</v>
      </c>
      <c r="B3506" s="2" t="s">
        <v>7859</v>
      </c>
      <c r="C3506" s="2" t="s">
        <v>17</v>
      </c>
      <c r="D3506" s="2" t="s">
        <v>18</v>
      </c>
      <c r="E3506" s="5" t="s">
        <v>2459</v>
      </c>
      <c r="F3506" s="3" t="s">
        <v>2460</v>
      </c>
      <c r="G3506" s="3" t="s">
        <v>75</v>
      </c>
      <c r="H3506" s="2" t="s">
        <v>22</v>
      </c>
      <c r="I3506" s="2" t="s">
        <v>7860</v>
      </c>
      <c r="J3506" s="3" t="str">
        <f>HYPERLINK("https://www.boe.es/gazeta/dias/1834/04/04/pdfs/GMD-1834-43.pdf#page=4","Abrir facsímil")</f>
        <v>Abrir facsímil</v>
      </c>
      <c r="K3506" s="3" t="s">
        <v>24</v>
      </c>
    </row>
    <row r="3507" spans="1:11" ht="54" customHeight="1">
      <c r="A3507" s="2" t="s">
        <v>7861</v>
      </c>
      <c r="B3507" s="2" t="s">
        <v>7862</v>
      </c>
      <c r="C3507" s="2" t="s">
        <v>17</v>
      </c>
      <c r="D3507" s="2" t="s">
        <v>18</v>
      </c>
      <c r="E3507" s="5" t="s">
        <v>448</v>
      </c>
      <c r="F3507" s="3" t="s">
        <v>449</v>
      </c>
      <c r="G3507" s="3" t="s">
        <v>34</v>
      </c>
      <c r="H3507" s="2" t="s">
        <v>22</v>
      </c>
      <c r="I3507" s="2" t="s">
        <v>7863</v>
      </c>
      <c r="J3507" s="3" t="str">
        <f>HYPERLINK("https://www.boe.es/gazeta/dias/1834/10/14/pdfs/GMD-C-1834-242.pdf#page=1","Abrir facsímil")</f>
        <v>Abrir facsímil</v>
      </c>
      <c r="K3507" s="3" t="s">
        <v>24</v>
      </c>
    </row>
    <row r="3508" spans="1:11" ht="54" customHeight="1">
      <c r="A3508" s="2" t="s">
        <v>7864</v>
      </c>
      <c r="B3508" s="2" t="s">
        <v>7865</v>
      </c>
      <c r="C3508" s="2" t="s">
        <v>17</v>
      </c>
      <c r="D3508" s="2" t="s">
        <v>18</v>
      </c>
      <c r="E3508" s="5" t="s">
        <v>32</v>
      </c>
      <c r="F3508" s="3" t="s">
        <v>33</v>
      </c>
      <c r="G3508" s="3" t="s">
        <v>75</v>
      </c>
      <c r="H3508" s="2" t="s">
        <v>22</v>
      </c>
      <c r="I3508" s="2" t="s">
        <v>7866</v>
      </c>
      <c r="J3508" s="3" t="str">
        <f>HYPERLINK("https://www.boe.es/gazeta/dias/1834/04/23/pdfs/GMD-1834-62.pdf#page=4","Abrir facsímil")</f>
        <v>Abrir facsímil</v>
      </c>
      <c r="K3508" s="3" t="s">
        <v>24</v>
      </c>
    </row>
    <row r="3509" spans="1:11" ht="54" customHeight="1">
      <c r="A3509" s="2" t="s">
        <v>7867</v>
      </c>
      <c r="B3509" s="2" t="s">
        <v>7868</v>
      </c>
      <c r="C3509" s="2" t="s">
        <v>46</v>
      </c>
      <c r="D3509" s="2" t="s">
        <v>101</v>
      </c>
      <c r="E3509" s="5" t="s">
        <v>3328</v>
      </c>
      <c r="F3509" s="3" t="s">
        <v>3329</v>
      </c>
      <c r="G3509" s="3" t="s">
        <v>75</v>
      </c>
      <c r="H3509" s="2" t="s">
        <v>22</v>
      </c>
      <c r="I3509" s="2" t="s">
        <v>7869</v>
      </c>
      <c r="J3509" s="3" t="str">
        <f>HYPERLINK("https://www.boe.es/gazeta/dias/1834/06/04/pdfs/GMD-1834-106.pdf#page=4","Abrir facsímil")</f>
        <v>Abrir facsímil</v>
      </c>
      <c r="K3509" s="3" t="s">
        <v>24</v>
      </c>
    </row>
    <row r="3510" spans="1:11" ht="54" customHeight="1">
      <c r="A3510" s="2" t="s">
        <v>7867</v>
      </c>
      <c r="B3510" s="2" t="s">
        <v>7868</v>
      </c>
      <c r="C3510" s="2" t="s">
        <v>17</v>
      </c>
      <c r="D3510" s="2" t="s">
        <v>18</v>
      </c>
      <c r="E3510" s="5" t="s">
        <v>61</v>
      </c>
      <c r="F3510" s="3" t="s">
        <v>205</v>
      </c>
      <c r="G3510" s="3" t="s">
        <v>75</v>
      </c>
      <c r="H3510" s="2" t="s">
        <v>22</v>
      </c>
      <c r="I3510" s="2" t="s">
        <v>7870</v>
      </c>
      <c r="J3510" s="3" t="str">
        <f>HYPERLINK("https://www.boe.es/gazeta/dias/1834/06/08/pdfs/GMD-1834-110.pdf#page=4","Abrir facsímil")</f>
        <v>Abrir facsímil</v>
      </c>
      <c r="K3510" s="3" t="s">
        <v>24</v>
      </c>
    </row>
    <row r="3511" spans="1:11" ht="54" customHeight="1">
      <c r="A3511" s="2" t="s">
        <v>7867</v>
      </c>
      <c r="B3511" s="2" t="s">
        <v>7868</v>
      </c>
      <c r="C3511" s="2" t="s">
        <v>122</v>
      </c>
      <c r="D3511" s="2" t="s">
        <v>18</v>
      </c>
      <c r="E3511" s="5" t="s">
        <v>5435</v>
      </c>
      <c r="F3511" s="3" t="s">
        <v>5436</v>
      </c>
      <c r="G3511" s="3" t="s">
        <v>21</v>
      </c>
      <c r="H3511" s="2" t="s">
        <v>22</v>
      </c>
      <c r="I3511" s="2" t="s">
        <v>7871</v>
      </c>
      <c r="J3511" s="3" t="str">
        <f>HYPERLINK("https://www.boe.es/gazeta/dias/1834/05/11/pdfs/GMD-1834-80.pdf#page=3","Abrir facsímil")</f>
        <v>Abrir facsímil</v>
      </c>
      <c r="K3511" s="3" t="s">
        <v>24</v>
      </c>
    </row>
    <row r="3512" spans="1:11" ht="54" customHeight="1">
      <c r="A3512" s="2" t="s">
        <v>7872</v>
      </c>
      <c r="B3512" s="2" t="s">
        <v>7873</v>
      </c>
      <c r="C3512" s="2" t="s">
        <v>17</v>
      </c>
      <c r="D3512" s="2" t="s">
        <v>18</v>
      </c>
      <c r="E3512" s="5" t="s">
        <v>1505</v>
      </c>
      <c r="F3512" s="3" t="s">
        <v>1506</v>
      </c>
      <c r="G3512" s="3" t="s">
        <v>75</v>
      </c>
      <c r="H3512" s="2" t="s">
        <v>22</v>
      </c>
      <c r="I3512" s="2" t="s">
        <v>7874</v>
      </c>
      <c r="J3512" s="3" t="str">
        <f>HYPERLINK("https://www.boe.es/gazeta/dias/1834/05/08/pdfs/GMD-1834-77.pdf#page=4","Abrir facsímil")</f>
        <v>Abrir facsímil</v>
      </c>
      <c r="K3512" s="3" t="s">
        <v>24</v>
      </c>
    </row>
    <row r="3513" spans="1:11" ht="54" customHeight="1">
      <c r="A3513" s="2" t="s">
        <v>7875</v>
      </c>
      <c r="B3513" s="2" t="s">
        <v>7876</v>
      </c>
      <c r="C3513" s="2" t="s">
        <v>17</v>
      </c>
      <c r="D3513" s="2" t="s">
        <v>18</v>
      </c>
      <c r="E3513" s="5" t="s">
        <v>1262</v>
      </c>
      <c r="F3513" s="3" t="s">
        <v>1263</v>
      </c>
      <c r="G3513" s="3" t="s">
        <v>75</v>
      </c>
      <c r="H3513" s="2" t="s">
        <v>22</v>
      </c>
      <c r="I3513" s="2" t="s">
        <v>7877</v>
      </c>
      <c r="J3513" s="3" t="str">
        <f>HYPERLINK("https://www.boe.es/gazeta/dias/1834/02/01/pdfs/GMD-1834-15.pdf#page=4","Abrir facsímil")</f>
        <v>Abrir facsímil</v>
      </c>
      <c r="K3513" s="3" t="s">
        <v>24</v>
      </c>
    </row>
    <row r="3514" spans="1:11" ht="54" customHeight="1">
      <c r="A3514" s="2" t="s">
        <v>7878</v>
      </c>
      <c r="B3514" s="2" t="s">
        <v>7879</v>
      </c>
      <c r="C3514" s="2" t="s">
        <v>17</v>
      </c>
      <c r="D3514" s="2" t="s">
        <v>55</v>
      </c>
      <c r="E3514" s="5" t="s">
        <v>1402</v>
      </c>
      <c r="F3514" s="3" t="s">
        <v>1403</v>
      </c>
      <c r="G3514" s="3" t="s">
        <v>75</v>
      </c>
      <c r="H3514" s="2" t="s">
        <v>22</v>
      </c>
      <c r="I3514" s="2" t="s">
        <v>7880</v>
      </c>
      <c r="J3514" s="3" t="str">
        <f>HYPERLINK("https://www.boe.es/gazeta/dias/1834/05/05/pdfs/GMD-1834-74.pdf#page=4","Abrir facsímil")</f>
        <v>Abrir facsímil</v>
      </c>
      <c r="K3514" s="3" t="s">
        <v>24</v>
      </c>
    </row>
    <row r="3515" spans="1:11" ht="54" customHeight="1">
      <c r="A3515" s="2" t="s">
        <v>7881</v>
      </c>
      <c r="B3515" s="2" t="s">
        <v>7882</v>
      </c>
      <c r="C3515" s="2" t="s">
        <v>17</v>
      </c>
      <c r="D3515" s="2" t="s">
        <v>55</v>
      </c>
      <c r="E3515" s="5" t="s">
        <v>2203</v>
      </c>
      <c r="F3515" s="3" t="s">
        <v>3917</v>
      </c>
      <c r="G3515" s="3" t="s">
        <v>75</v>
      </c>
      <c r="H3515" s="2" t="s">
        <v>22</v>
      </c>
      <c r="I3515" s="2" t="s">
        <v>7883</v>
      </c>
      <c r="J3515" s="3" t="str">
        <f>HYPERLINK("https://www.boe.es/gazeta/dias/1834/09/10/pdfs/GMD-1834-208.pdf#page=4","Abrir facsímil")</f>
        <v>Abrir facsímil</v>
      </c>
      <c r="K3515" s="3" t="s">
        <v>24</v>
      </c>
    </row>
    <row r="3516" spans="1:11" ht="54" customHeight="1">
      <c r="A3516" s="2" t="s">
        <v>7884</v>
      </c>
      <c r="B3516" s="2" t="s">
        <v>7884</v>
      </c>
      <c r="C3516" s="2" t="s">
        <v>17</v>
      </c>
      <c r="D3516" s="2" t="s">
        <v>18</v>
      </c>
      <c r="E3516" s="5" t="s">
        <v>265</v>
      </c>
      <c r="F3516" s="3" t="s">
        <v>266</v>
      </c>
      <c r="G3516" s="3" t="s">
        <v>75</v>
      </c>
      <c r="H3516" s="2" t="s">
        <v>22</v>
      </c>
      <c r="I3516" s="2" t="s">
        <v>7885</v>
      </c>
      <c r="J3516" s="3" t="str">
        <f>HYPERLINK("https://www.boe.es/gazeta/dias/1834/11/19/pdfs/GMD-C-1834-278.pdf#page=4","Abrir facsímil")</f>
        <v>Abrir facsímil</v>
      </c>
      <c r="K3516" s="3" t="s">
        <v>24</v>
      </c>
    </row>
    <row r="3517" spans="1:11" ht="54" customHeight="1">
      <c r="A3517" s="2" t="s">
        <v>7886</v>
      </c>
      <c r="B3517" s="2" t="s">
        <v>7886</v>
      </c>
      <c r="C3517" s="2" t="s">
        <v>122</v>
      </c>
      <c r="D3517" s="2" t="s">
        <v>18</v>
      </c>
      <c r="E3517" s="5" t="s">
        <v>479</v>
      </c>
      <c r="F3517" s="3" t="s">
        <v>480</v>
      </c>
      <c r="G3517" s="3" t="s">
        <v>21</v>
      </c>
      <c r="H3517" s="2" t="s">
        <v>22</v>
      </c>
      <c r="I3517" s="2" t="s">
        <v>7887</v>
      </c>
      <c r="J3517" s="3" t="str">
        <f>HYPERLINK("https://www.boe.es/gazeta/dias/1834/08/13/pdfs/GMD-1834-178.pdf#page=3","Abrir facsímil")</f>
        <v>Abrir facsímil</v>
      </c>
      <c r="K3517" s="3" t="s">
        <v>24</v>
      </c>
    </row>
    <row r="3518" spans="1:11" ht="54" customHeight="1">
      <c r="A3518" s="2" t="s">
        <v>7888</v>
      </c>
      <c r="B3518" s="2" t="s">
        <v>7889</v>
      </c>
      <c r="C3518" s="2" t="s">
        <v>17</v>
      </c>
      <c r="D3518" s="2" t="s">
        <v>18</v>
      </c>
      <c r="E3518" s="5" t="s">
        <v>2860</v>
      </c>
      <c r="F3518" s="3" t="s">
        <v>2861</v>
      </c>
      <c r="G3518" s="3" t="s">
        <v>21</v>
      </c>
      <c r="H3518" s="2" t="s">
        <v>22</v>
      </c>
      <c r="I3518" s="2" t="s">
        <v>7890</v>
      </c>
      <c r="J3518" s="3" t="str">
        <f>HYPERLINK("https://www.boe.es/gazeta/dias/1834/07/20/pdfs/GMD-1834-153.pdf#page=3","Abrir facsímil")</f>
        <v>Abrir facsímil</v>
      </c>
      <c r="K3518" s="3" t="s">
        <v>24</v>
      </c>
    </row>
    <row r="3519" spans="1:11" ht="54" customHeight="1">
      <c r="A3519" s="2" t="s">
        <v>7891</v>
      </c>
      <c r="B3519" s="2" t="s">
        <v>7891</v>
      </c>
      <c r="C3519" s="2" t="s">
        <v>17</v>
      </c>
      <c r="D3519" s="2" t="s">
        <v>18</v>
      </c>
      <c r="E3519" s="5" t="s">
        <v>426</v>
      </c>
      <c r="F3519" s="3" t="s">
        <v>694</v>
      </c>
      <c r="G3519" s="3" t="s">
        <v>176</v>
      </c>
      <c r="H3519" s="2" t="s">
        <v>22</v>
      </c>
      <c r="I3519" s="2" t="s">
        <v>7892</v>
      </c>
      <c r="J3519" s="3" t="str">
        <f>HYPERLINK("https://www.boe.es/gazeta/dias/1834/10/04/pdfs/GMD-C-1834-232.pdf#page=6","Abrir facsímil")</f>
        <v>Abrir facsímil</v>
      </c>
      <c r="K3519" s="3" t="s">
        <v>24</v>
      </c>
    </row>
    <row r="3520" spans="1:11" ht="54" customHeight="1">
      <c r="A3520" s="2" t="s">
        <v>7893</v>
      </c>
      <c r="B3520" s="2" t="s">
        <v>7894</v>
      </c>
      <c r="C3520" s="2" t="s">
        <v>17</v>
      </c>
      <c r="D3520" s="2" t="s">
        <v>40</v>
      </c>
      <c r="E3520" s="5" t="s">
        <v>541</v>
      </c>
      <c r="F3520" s="3" t="s">
        <v>542</v>
      </c>
      <c r="G3520" s="3" t="s">
        <v>75</v>
      </c>
      <c r="H3520" s="2" t="s">
        <v>22</v>
      </c>
      <c r="I3520" s="2" t="s">
        <v>7895</v>
      </c>
      <c r="J3520" s="3" t="str">
        <f>HYPERLINK("https://www.boe.es/gazeta/dias/1834/04/18/pdfs/GMD-1834-57.pdf#page=4","Abrir facsímil")</f>
        <v>Abrir facsímil</v>
      </c>
      <c r="K3520" s="3" t="s">
        <v>24</v>
      </c>
    </row>
    <row r="3521" spans="1:11" ht="54" customHeight="1">
      <c r="A3521" s="2" t="s">
        <v>7896</v>
      </c>
      <c r="B3521" s="2" t="s">
        <v>7897</v>
      </c>
      <c r="C3521" s="2" t="s">
        <v>66</v>
      </c>
      <c r="D3521" s="2" t="s">
        <v>18</v>
      </c>
      <c r="E3521" s="5" t="s">
        <v>286</v>
      </c>
      <c r="F3521" s="3" t="s">
        <v>548</v>
      </c>
      <c r="G3521" s="3" t="s">
        <v>34</v>
      </c>
      <c r="H3521" s="2" t="s">
        <v>22</v>
      </c>
      <c r="I3521" s="2" t="s">
        <v>7898</v>
      </c>
      <c r="J3521" s="3" t="str">
        <f>HYPERLINK("https://www.boe.es/gazeta/dias/1834/08/30/pdfs/GMD-1834-196.pdf#page=1","Abrir facsímil")</f>
        <v>Abrir facsímil</v>
      </c>
      <c r="K3521" s="3" t="s">
        <v>24</v>
      </c>
    </row>
    <row r="3522" spans="1:11" ht="54" customHeight="1">
      <c r="A3522" s="2" t="s">
        <v>7899</v>
      </c>
      <c r="B3522" s="2" t="s">
        <v>7900</v>
      </c>
      <c r="C3522" s="2" t="s">
        <v>46</v>
      </c>
      <c r="D3522" s="2" t="s">
        <v>18</v>
      </c>
      <c r="E3522" s="5" t="s">
        <v>2748</v>
      </c>
      <c r="F3522" s="3" t="s">
        <v>2749</v>
      </c>
      <c r="G3522" s="3" t="s">
        <v>34</v>
      </c>
      <c r="H3522" s="2" t="s">
        <v>22</v>
      </c>
      <c r="I3522" s="2" t="s">
        <v>7901</v>
      </c>
      <c r="J3522" s="3" t="str">
        <f>HYPERLINK("https://www.boe.es/gazeta/dias/1834/01/09/pdfs/GMD-1834-5.pdf#page=1","Abrir facsímil")</f>
        <v>Abrir facsímil</v>
      </c>
      <c r="K3522" s="3" t="s">
        <v>24</v>
      </c>
    </row>
    <row r="3523" spans="1:11" ht="54" customHeight="1">
      <c r="A3523" s="2" t="s">
        <v>7902</v>
      </c>
      <c r="B3523" s="2" t="s">
        <v>7903</v>
      </c>
      <c r="C3523" s="2" t="s">
        <v>46</v>
      </c>
      <c r="D3523" s="2" t="s">
        <v>18</v>
      </c>
      <c r="E3523" s="5" t="s">
        <v>2748</v>
      </c>
      <c r="F3523" s="3" t="s">
        <v>2749</v>
      </c>
      <c r="G3523" s="3" t="s">
        <v>34</v>
      </c>
      <c r="H3523" s="2" t="s">
        <v>22</v>
      </c>
      <c r="I3523" s="2" t="s">
        <v>7904</v>
      </c>
      <c r="J3523" s="3" t="str">
        <f>HYPERLINK("https://www.boe.es/gazeta/dias/1834/01/09/pdfs/GMD-1834-5.pdf#page=1","Abrir facsímil")</f>
        <v>Abrir facsímil</v>
      </c>
      <c r="K3523" s="3" t="s">
        <v>24</v>
      </c>
    </row>
    <row r="3524" spans="1:11" ht="54" customHeight="1">
      <c r="A3524" s="2" t="s">
        <v>7902</v>
      </c>
      <c r="B3524" s="2" t="s">
        <v>7903</v>
      </c>
      <c r="C3524" s="2" t="s">
        <v>17</v>
      </c>
      <c r="D3524" s="2" t="s">
        <v>40</v>
      </c>
      <c r="E3524" s="5" t="s">
        <v>2124</v>
      </c>
      <c r="F3524" s="3" t="s">
        <v>2125</v>
      </c>
      <c r="G3524" s="3" t="s">
        <v>75</v>
      </c>
      <c r="H3524" s="2" t="s">
        <v>22</v>
      </c>
      <c r="I3524" s="2" t="s">
        <v>7905</v>
      </c>
      <c r="J3524" s="3" t="str">
        <f>HYPERLINK("https://www.boe.es/gazeta/dias/1834/06/09/pdfs/GMD-1834-112.pdf#page=4","Abrir facsímil")</f>
        <v>Abrir facsímil</v>
      </c>
      <c r="K3524" s="3" t="s">
        <v>24</v>
      </c>
    </row>
    <row r="3525" spans="1:11" ht="54" customHeight="1">
      <c r="A3525" s="2" t="s">
        <v>7902</v>
      </c>
      <c r="B3525" s="2" t="s">
        <v>7903</v>
      </c>
      <c r="C3525" s="2" t="s">
        <v>46</v>
      </c>
      <c r="D3525" s="2" t="s">
        <v>101</v>
      </c>
      <c r="E3525" s="5" t="s">
        <v>1839</v>
      </c>
      <c r="F3525" s="3" t="s">
        <v>3598</v>
      </c>
      <c r="G3525" s="3" t="s">
        <v>21</v>
      </c>
      <c r="H3525" s="2" t="s">
        <v>22</v>
      </c>
      <c r="I3525" s="2" t="s">
        <v>7906</v>
      </c>
      <c r="J3525" s="3" t="str">
        <f>HYPERLINK("https://www.boe.es/gazeta/dias/1834/08/12/pdfs/GMD-1834-177.pdf#page=3","Abrir facsímil")</f>
        <v>Abrir facsímil</v>
      </c>
      <c r="K3525" s="3" t="s">
        <v>24</v>
      </c>
    </row>
    <row r="3526" spans="1:11" ht="54" customHeight="1">
      <c r="A3526" s="2" t="s">
        <v>7902</v>
      </c>
      <c r="B3526" s="2" t="s">
        <v>7903</v>
      </c>
      <c r="C3526" s="2" t="s">
        <v>17</v>
      </c>
      <c r="D3526" s="2" t="s">
        <v>18</v>
      </c>
      <c r="E3526" s="5" t="s">
        <v>1459</v>
      </c>
      <c r="F3526" s="3" t="s">
        <v>7907</v>
      </c>
      <c r="G3526" s="3" t="s">
        <v>86</v>
      </c>
      <c r="H3526" s="2" t="s">
        <v>22</v>
      </c>
      <c r="I3526" s="2" t="s">
        <v>7908</v>
      </c>
      <c r="J3526" s="3" t="str">
        <f>HYPERLINK("https://www.boe.es/gazeta/dias/1834/08/18/pdfs/GMD-C-1834-184.pdf#page=2","Abrir facsímil")</f>
        <v>Abrir facsímil</v>
      </c>
      <c r="K3526" s="3" t="s">
        <v>24</v>
      </c>
    </row>
    <row r="3527" spans="1:11" ht="54" customHeight="1">
      <c r="A3527" s="2" t="s">
        <v>7902</v>
      </c>
      <c r="B3527" s="2" t="s">
        <v>7903</v>
      </c>
      <c r="C3527" s="2" t="s">
        <v>17</v>
      </c>
      <c r="D3527" s="2" t="s">
        <v>18</v>
      </c>
      <c r="E3527" s="5" t="s">
        <v>3036</v>
      </c>
      <c r="F3527" s="3" t="s">
        <v>3372</v>
      </c>
      <c r="G3527" s="3" t="s">
        <v>34</v>
      </c>
      <c r="H3527" s="2" t="s">
        <v>22</v>
      </c>
      <c r="I3527" s="2" t="s">
        <v>7909</v>
      </c>
      <c r="J3527" s="3" t="str">
        <f>HYPERLINK("https://www.boe.es/gazeta/dias/1834/11/18/pdfs/GMD-1834-277.pdf#page=1","Abrir facsímil")</f>
        <v>Abrir facsímil</v>
      </c>
      <c r="K3527" s="3" t="s">
        <v>24</v>
      </c>
    </row>
    <row r="3528" spans="1:11" ht="54" customHeight="1">
      <c r="A3528" s="2" t="s">
        <v>7902</v>
      </c>
      <c r="B3528" s="2" t="s">
        <v>7903</v>
      </c>
      <c r="C3528" s="2" t="s">
        <v>46</v>
      </c>
      <c r="D3528" s="2" t="s">
        <v>101</v>
      </c>
      <c r="E3528" s="5" t="s">
        <v>2302</v>
      </c>
      <c r="F3528" s="3" t="s">
        <v>2303</v>
      </c>
      <c r="G3528" s="3" t="s">
        <v>21</v>
      </c>
      <c r="H3528" s="2" t="s">
        <v>22</v>
      </c>
      <c r="I3528" s="2" t="s">
        <v>7910</v>
      </c>
      <c r="J3528" s="3" t="str">
        <f>HYPERLINK("https://www.boe.es/gazeta/dias/1834/01/25/pdfs/GMD-1834-12.pdf#page=3","Abrir facsímil")</f>
        <v>Abrir facsímil</v>
      </c>
      <c r="K3528" s="3" t="s">
        <v>24</v>
      </c>
    </row>
    <row r="3529" spans="1:11" ht="54" customHeight="1">
      <c r="A3529" s="2" t="s">
        <v>7902</v>
      </c>
      <c r="B3529" s="2" t="s">
        <v>7903</v>
      </c>
      <c r="C3529" s="2" t="s">
        <v>17</v>
      </c>
      <c r="D3529" s="2" t="s">
        <v>18</v>
      </c>
      <c r="E3529" s="5" t="s">
        <v>286</v>
      </c>
      <c r="F3529" s="3" t="s">
        <v>548</v>
      </c>
      <c r="G3529" s="3" t="s">
        <v>34</v>
      </c>
      <c r="H3529" s="2" t="s">
        <v>22</v>
      </c>
      <c r="I3529" s="2" t="s">
        <v>7911</v>
      </c>
      <c r="J3529" s="3" t="str">
        <f>HYPERLINK("https://www.boe.es/gazeta/dias/1834/08/30/pdfs/GMD-1834-196.pdf#page=1","Abrir facsímil")</f>
        <v>Abrir facsímil</v>
      </c>
      <c r="K3529" s="3" t="s">
        <v>24</v>
      </c>
    </row>
    <row r="3530" spans="1:11" ht="54" customHeight="1">
      <c r="A3530" s="2" t="s">
        <v>7912</v>
      </c>
      <c r="B3530" s="2" t="s">
        <v>7913</v>
      </c>
      <c r="C3530" s="2" t="s">
        <v>17</v>
      </c>
      <c r="D3530" s="2" t="s">
        <v>18</v>
      </c>
      <c r="E3530" s="5" t="s">
        <v>899</v>
      </c>
      <c r="F3530" s="3" t="s">
        <v>900</v>
      </c>
      <c r="G3530" s="3" t="s">
        <v>28</v>
      </c>
      <c r="H3530" s="2" t="s">
        <v>22</v>
      </c>
      <c r="I3530" s="2" t="s">
        <v>7914</v>
      </c>
      <c r="J3530" s="3" t="str">
        <f>HYPERLINK("https://www.boe.es/gazeta/dias/1834/01/30/pdfs/GMD-1834-14.pdf#page=5","Abrir facsímil")</f>
        <v>Abrir facsímil</v>
      </c>
      <c r="K3530" s="3" t="s">
        <v>24</v>
      </c>
    </row>
    <row r="3531" spans="1:11" ht="54" customHeight="1">
      <c r="A3531" s="2" t="s">
        <v>7915</v>
      </c>
      <c r="B3531" s="2" t="s">
        <v>7916</v>
      </c>
      <c r="C3531" s="2" t="s">
        <v>857</v>
      </c>
      <c r="D3531" s="2" t="s">
        <v>67</v>
      </c>
      <c r="E3531" s="5" t="s">
        <v>364</v>
      </c>
      <c r="F3531" s="3" t="s">
        <v>2102</v>
      </c>
      <c r="G3531" s="3" t="s">
        <v>34</v>
      </c>
      <c r="H3531" s="2" t="s">
        <v>22</v>
      </c>
      <c r="I3531" s="2" t="s">
        <v>7917</v>
      </c>
      <c r="J3531" s="3" t="str">
        <f>HYPERLINK("https://www.boe.es/gazeta/dias/1834/09/06/pdfs/GMD-1834-204.pdf#page=1","Abrir facsímil")</f>
        <v>Abrir facsímil</v>
      </c>
      <c r="K3531" s="3" t="s">
        <v>24</v>
      </c>
    </row>
    <row r="3532" spans="1:11" ht="54" customHeight="1">
      <c r="A3532" s="2" t="s">
        <v>7918</v>
      </c>
      <c r="B3532" s="2" t="s">
        <v>7919</v>
      </c>
      <c r="C3532" s="2" t="s">
        <v>17</v>
      </c>
      <c r="D3532" s="2" t="s">
        <v>55</v>
      </c>
      <c r="E3532" s="5" t="s">
        <v>1141</v>
      </c>
      <c r="F3532" s="3" t="s">
        <v>1142</v>
      </c>
      <c r="G3532" s="3" t="s">
        <v>75</v>
      </c>
      <c r="H3532" s="2" t="s">
        <v>35</v>
      </c>
      <c r="I3532" s="2" t="s">
        <v>7920</v>
      </c>
      <c r="J3532" s="3" t="str">
        <f>HYPERLINK("https://www.boe.es/gazeta/dias/1834/04/30/pdfs/GMD-1834-69.pdf#page=4","Abrir facsímil")</f>
        <v>Abrir facsímil</v>
      </c>
      <c r="K3532" s="3" t="s">
        <v>37</v>
      </c>
    </row>
    <row r="3533" spans="1:11" ht="54" customHeight="1">
      <c r="A3533" s="2" t="s">
        <v>7921</v>
      </c>
      <c r="B3533" s="2" t="s">
        <v>7922</v>
      </c>
      <c r="C3533" s="2" t="s">
        <v>17</v>
      </c>
      <c r="D3533" s="2" t="s">
        <v>55</v>
      </c>
      <c r="E3533" s="5" t="s">
        <v>1141</v>
      </c>
      <c r="F3533" s="3" t="s">
        <v>1142</v>
      </c>
      <c r="G3533" s="3" t="s">
        <v>75</v>
      </c>
      <c r="H3533" s="2" t="s">
        <v>35</v>
      </c>
      <c r="I3533" s="2" t="s">
        <v>7923</v>
      </c>
      <c r="J3533" s="3" t="str">
        <f>HYPERLINK("https://www.boe.es/gazeta/dias/1834/04/30/pdfs/GMD-1834-69.pdf#page=4","Abrir facsímil")</f>
        <v>Abrir facsímil</v>
      </c>
      <c r="K3533" s="3" t="s">
        <v>37</v>
      </c>
    </row>
    <row r="3534" spans="1:11" ht="54" customHeight="1">
      <c r="A3534" s="2" t="s">
        <v>7924</v>
      </c>
      <c r="B3534" s="2" t="s">
        <v>7925</v>
      </c>
      <c r="C3534" s="2" t="s">
        <v>122</v>
      </c>
      <c r="D3534" s="2" t="s">
        <v>18</v>
      </c>
      <c r="E3534" s="5" t="s">
        <v>1119</v>
      </c>
      <c r="F3534" s="3" t="s">
        <v>1120</v>
      </c>
      <c r="G3534" s="3" t="s">
        <v>21</v>
      </c>
      <c r="H3534" s="2" t="s">
        <v>35</v>
      </c>
      <c r="I3534" s="2" t="s">
        <v>7926</v>
      </c>
      <c r="J3534" s="3" t="str">
        <f>HYPERLINK("https://www.boe.es/gazeta/dias/1834/07/17/pdfs/GMD-1834-150.pdf#page=3","Abrir facsímil")</f>
        <v>Abrir facsímil</v>
      </c>
      <c r="K3534" s="3" t="s">
        <v>37</v>
      </c>
    </row>
    <row r="3535" spans="1:11" ht="54" customHeight="1">
      <c r="A3535" s="2" t="s">
        <v>7927</v>
      </c>
      <c r="B3535" s="2" t="s">
        <v>7928</v>
      </c>
      <c r="C3535" s="2" t="s">
        <v>122</v>
      </c>
      <c r="D3535" s="2" t="s">
        <v>18</v>
      </c>
      <c r="E3535" s="5" t="s">
        <v>1119</v>
      </c>
      <c r="F3535" s="3" t="s">
        <v>1120</v>
      </c>
      <c r="G3535" s="3" t="s">
        <v>21</v>
      </c>
      <c r="H3535" s="2" t="s">
        <v>22</v>
      </c>
      <c r="I3535" s="2" t="s">
        <v>7929</v>
      </c>
      <c r="J3535" s="3" t="str">
        <f>HYPERLINK("https://www.boe.es/gazeta/dias/1834/07/17/pdfs/GMD-1834-150.pdf#page=3","Abrir facsímil")</f>
        <v>Abrir facsímil</v>
      </c>
      <c r="K3535" s="3" t="s">
        <v>24</v>
      </c>
    </row>
    <row r="3536" spans="1:11" ht="54" customHeight="1">
      <c r="A3536" s="2" t="s">
        <v>7930</v>
      </c>
      <c r="B3536" s="2" t="s">
        <v>7930</v>
      </c>
      <c r="C3536" s="2" t="s">
        <v>66</v>
      </c>
      <c r="D3536" s="2" t="s">
        <v>18</v>
      </c>
      <c r="E3536" s="5" t="s">
        <v>653</v>
      </c>
      <c r="F3536" s="3" t="s">
        <v>3369</v>
      </c>
      <c r="G3536" s="3" t="s">
        <v>34</v>
      </c>
      <c r="H3536" s="2" t="s">
        <v>22</v>
      </c>
      <c r="I3536" s="2" t="s">
        <v>7931</v>
      </c>
      <c r="J3536" s="3" t="str">
        <f>HYPERLINK("https://www.boe.es/gazeta/dias/1834/08/06/pdfs/GMD-1834-170.pdf#page=1","Abrir facsímil")</f>
        <v>Abrir facsímil</v>
      </c>
      <c r="K3536" s="3" t="s">
        <v>24</v>
      </c>
    </row>
    <row r="3537" spans="1:11" ht="54" customHeight="1">
      <c r="A3537" s="2" t="s">
        <v>7932</v>
      </c>
      <c r="B3537" s="2" t="s">
        <v>7932</v>
      </c>
      <c r="C3537" s="2" t="s">
        <v>17</v>
      </c>
      <c r="D3537" s="2" t="s">
        <v>18</v>
      </c>
      <c r="E3537" s="5" t="s">
        <v>1410</v>
      </c>
      <c r="F3537" s="3" t="s">
        <v>2231</v>
      </c>
      <c r="G3537" s="3" t="s">
        <v>21</v>
      </c>
      <c r="H3537" s="2" t="s">
        <v>22</v>
      </c>
      <c r="I3537" s="2" t="s">
        <v>7933</v>
      </c>
      <c r="J3537" s="3" t="str">
        <f>HYPERLINK("https://www.boe.es/gazeta/dias/1834/09/09/pdfs/GMD-C-1834-207.pdf#page=3","Abrir facsímil")</f>
        <v>Abrir facsímil</v>
      </c>
      <c r="K3537" s="3" t="s">
        <v>24</v>
      </c>
    </row>
    <row r="3538" spans="1:11" ht="54" customHeight="1">
      <c r="A3538" s="2" t="s">
        <v>7934</v>
      </c>
      <c r="B3538" s="2" t="s">
        <v>7934</v>
      </c>
      <c r="C3538" s="2" t="s">
        <v>66</v>
      </c>
      <c r="D3538" s="2" t="s">
        <v>67</v>
      </c>
      <c r="E3538" s="5" t="s">
        <v>4736</v>
      </c>
      <c r="F3538" s="3" t="s">
        <v>4737</v>
      </c>
      <c r="G3538" s="3" t="s">
        <v>21</v>
      </c>
      <c r="H3538" s="2" t="s">
        <v>22</v>
      </c>
      <c r="I3538" s="2" t="s">
        <v>7935</v>
      </c>
      <c r="J3538" s="3" t="str">
        <f>HYPERLINK("https://www.boe.es/gazeta/dias/1834/09/16/pdfs/GMD-1834-214.pdf#page=3","Abrir facsímil")</f>
        <v>Abrir facsímil</v>
      </c>
      <c r="K3538" s="3" t="s">
        <v>24</v>
      </c>
    </row>
    <row r="3539" spans="1:11" ht="54" customHeight="1">
      <c r="A3539" s="2" t="s">
        <v>7936</v>
      </c>
      <c r="B3539" s="2" t="s">
        <v>7937</v>
      </c>
      <c r="C3539" s="2" t="s">
        <v>17</v>
      </c>
      <c r="D3539" s="2" t="s">
        <v>18</v>
      </c>
      <c r="E3539" s="5" t="s">
        <v>1186</v>
      </c>
      <c r="F3539" s="3" t="s">
        <v>1187</v>
      </c>
      <c r="G3539" s="3" t="s">
        <v>21</v>
      </c>
      <c r="H3539" s="2" t="s">
        <v>22</v>
      </c>
      <c r="I3539" s="2" t="s">
        <v>7938</v>
      </c>
      <c r="J3539" s="3" t="str">
        <f>HYPERLINK("https://www.boe.es/gazeta/dias/1834/08/14/pdfs/GMD-1834-179.pdf#page=3","Abrir facsímil")</f>
        <v>Abrir facsímil</v>
      </c>
      <c r="K3539" s="3" t="s">
        <v>24</v>
      </c>
    </row>
    <row r="3540" spans="1:11" ht="54" customHeight="1">
      <c r="A3540" s="2" t="s">
        <v>7939</v>
      </c>
      <c r="B3540" s="2" t="s">
        <v>7940</v>
      </c>
      <c r="C3540" s="2" t="s">
        <v>66</v>
      </c>
      <c r="D3540" s="2" t="s">
        <v>67</v>
      </c>
      <c r="E3540" s="5" t="s">
        <v>32</v>
      </c>
      <c r="F3540" s="3" t="s">
        <v>33</v>
      </c>
      <c r="G3540" s="3" t="s">
        <v>75</v>
      </c>
      <c r="H3540" s="2" t="s">
        <v>35</v>
      </c>
      <c r="I3540" s="2" t="s">
        <v>7941</v>
      </c>
      <c r="J3540" s="3" t="str">
        <f>HYPERLINK("https://www.boe.es/gazeta/dias/1834/04/23/pdfs/GMD-1834-62.pdf#page=4","Abrir facsímil")</f>
        <v>Abrir facsímil</v>
      </c>
      <c r="K3540" s="3" t="s">
        <v>37</v>
      </c>
    </row>
    <row r="3541" spans="1:11" ht="54" customHeight="1">
      <c r="A3541" s="2" t="s">
        <v>7942</v>
      </c>
      <c r="B3541" s="2" t="s">
        <v>7943</v>
      </c>
      <c r="C3541" s="2" t="s">
        <v>17</v>
      </c>
      <c r="D3541" s="2" t="s">
        <v>18</v>
      </c>
      <c r="E3541" s="5" t="s">
        <v>2729</v>
      </c>
      <c r="F3541" s="3" t="s">
        <v>2730</v>
      </c>
      <c r="G3541" s="3" t="s">
        <v>21</v>
      </c>
      <c r="H3541" s="2" t="s">
        <v>35</v>
      </c>
      <c r="I3541" s="2" t="s">
        <v>7944</v>
      </c>
      <c r="J3541" s="3" t="str">
        <f>HYPERLINK("https://www.boe.es/gazeta/dias/1834/07/02/pdfs/GMD-1834-135.pdf#page=3","Abrir facsímil")</f>
        <v>Abrir facsímil</v>
      </c>
      <c r="K3541" s="3" t="s">
        <v>37</v>
      </c>
    </row>
    <row r="3542" spans="1:11" ht="54" customHeight="1">
      <c r="A3542" s="2" t="s">
        <v>7945</v>
      </c>
      <c r="B3542" s="2" t="s">
        <v>7946</v>
      </c>
      <c r="C3542" s="2" t="s">
        <v>17</v>
      </c>
      <c r="D3542" s="2" t="s">
        <v>18</v>
      </c>
      <c r="E3542" s="5" t="s">
        <v>200</v>
      </c>
      <c r="F3542" s="3" t="s">
        <v>201</v>
      </c>
      <c r="G3542" s="3" t="s">
        <v>75</v>
      </c>
      <c r="H3542" s="2" t="s">
        <v>22</v>
      </c>
      <c r="I3542" s="2" t="s">
        <v>7947</v>
      </c>
      <c r="J3542" s="3" t="str">
        <f>HYPERLINK("https://www.boe.es/gazeta/dias/1834/12/11/pdfs/GMD-1834-300.pdf#page=4","Abrir facsímil")</f>
        <v>Abrir facsímil</v>
      </c>
      <c r="K3542" s="3" t="s">
        <v>24</v>
      </c>
    </row>
    <row r="3543" spans="1:11" ht="54" customHeight="1">
      <c r="A3543" s="2" t="s">
        <v>7948</v>
      </c>
      <c r="B3543" s="2" t="s">
        <v>7949</v>
      </c>
      <c r="C3543" s="2" t="s">
        <v>66</v>
      </c>
      <c r="D3543" s="2" t="s">
        <v>67</v>
      </c>
      <c r="E3543" s="5" t="s">
        <v>32</v>
      </c>
      <c r="F3543" s="3" t="s">
        <v>33</v>
      </c>
      <c r="G3543" s="3" t="s">
        <v>75</v>
      </c>
      <c r="H3543" s="2" t="s">
        <v>22</v>
      </c>
      <c r="I3543" s="2" t="s">
        <v>7950</v>
      </c>
      <c r="J3543" s="3" t="str">
        <f>HYPERLINK("https://www.boe.es/gazeta/dias/1834/04/23/pdfs/GMD-1834-62.pdf#page=4","Abrir facsímil")</f>
        <v>Abrir facsímil</v>
      </c>
      <c r="K3543" s="3" t="s">
        <v>24</v>
      </c>
    </row>
    <row r="3544" spans="1:11" ht="54" customHeight="1">
      <c r="A3544" s="2" t="s">
        <v>7951</v>
      </c>
      <c r="B3544" s="2" t="s">
        <v>7952</v>
      </c>
      <c r="C3544" s="2" t="s">
        <v>17</v>
      </c>
      <c r="D3544" s="2" t="s">
        <v>18</v>
      </c>
      <c r="E3544" s="5" t="s">
        <v>2729</v>
      </c>
      <c r="F3544" s="3" t="s">
        <v>2730</v>
      </c>
      <c r="G3544" s="3" t="s">
        <v>21</v>
      </c>
      <c r="H3544" s="2" t="s">
        <v>22</v>
      </c>
      <c r="I3544" s="2" t="s">
        <v>7953</v>
      </c>
      <c r="J3544" s="3" t="str">
        <f>HYPERLINK("https://www.boe.es/gazeta/dias/1834/07/02/pdfs/GMD-1834-135.pdf#page=3","Abrir facsímil")</f>
        <v>Abrir facsímil</v>
      </c>
      <c r="K3544" s="3" t="s">
        <v>24</v>
      </c>
    </row>
    <row r="3545" spans="1:11" ht="54" customHeight="1">
      <c r="A3545" s="2" t="s">
        <v>7954</v>
      </c>
      <c r="B3545" s="2" t="s">
        <v>7955</v>
      </c>
      <c r="C3545" s="2" t="s">
        <v>17</v>
      </c>
      <c r="D3545" s="2" t="s">
        <v>18</v>
      </c>
      <c r="E3545" s="5" t="s">
        <v>1839</v>
      </c>
      <c r="F3545" s="3" t="s">
        <v>1840</v>
      </c>
      <c r="G3545" s="3" t="s">
        <v>34</v>
      </c>
      <c r="H3545" s="2" t="s">
        <v>22</v>
      </c>
      <c r="I3545" s="2" t="s">
        <v>7956</v>
      </c>
      <c r="J3545" s="3" t="str">
        <f>HYPERLINK("https://www.boe.es/gazeta/dias/1834/08/12/pdfs/GMD-C-1834-177.pdf#page=1","Abrir facsímil")</f>
        <v>Abrir facsímil</v>
      </c>
      <c r="K3545" s="3" t="s">
        <v>24</v>
      </c>
    </row>
    <row r="3546" spans="1:11" ht="54" customHeight="1">
      <c r="A3546" s="2" t="s">
        <v>7957</v>
      </c>
      <c r="B3546" s="2" t="s">
        <v>7958</v>
      </c>
      <c r="C3546" s="2" t="s">
        <v>17</v>
      </c>
      <c r="D3546" s="2" t="s">
        <v>18</v>
      </c>
      <c r="E3546" s="5" t="s">
        <v>860</v>
      </c>
      <c r="F3546" s="3" t="s">
        <v>861</v>
      </c>
      <c r="G3546" s="3" t="s">
        <v>176</v>
      </c>
      <c r="H3546" s="2" t="s">
        <v>22</v>
      </c>
      <c r="I3546" s="2" t="s">
        <v>7959</v>
      </c>
      <c r="J3546" s="3" t="str">
        <f>HYPERLINK("https://www.boe.es/gazeta/dias/1834/02/08/pdfs/GMD-1834-18.pdf#page=6","Abrir facsímil")</f>
        <v>Abrir facsímil</v>
      </c>
      <c r="K3546" s="3" t="s">
        <v>24</v>
      </c>
    </row>
    <row r="3547" spans="1:11" ht="54" customHeight="1">
      <c r="A3547" s="2" t="s">
        <v>7960</v>
      </c>
      <c r="B3547" s="2" t="s">
        <v>7961</v>
      </c>
      <c r="C3547" s="2" t="s">
        <v>17</v>
      </c>
      <c r="D3547" s="2" t="s">
        <v>18</v>
      </c>
      <c r="E3547" s="5" t="s">
        <v>1103</v>
      </c>
      <c r="F3547" s="3" t="s">
        <v>1259</v>
      </c>
      <c r="G3547" s="3" t="s">
        <v>21</v>
      </c>
      <c r="H3547" s="2" t="s">
        <v>22</v>
      </c>
      <c r="I3547" s="2" t="s">
        <v>7962</v>
      </c>
      <c r="J3547" s="3" t="str">
        <f>HYPERLINK("https://www.boe.es/gazeta/dias/1834/10/10/pdfs/GMD-1834-238.pdf#page=3","Abrir facsímil")</f>
        <v>Abrir facsímil</v>
      </c>
      <c r="K3547" s="3" t="s">
        <v>24</v>
      </c>
    </row>
    <row r="3548" spans="1:11" ht="54" customHeight="1">
      <c r="A3548" s="2" t="s">
        <v>7960</v>
      </c>
      <c r="B3548" s="2" t="s">
        <v>7961</v>
      </c>
      <c r="C3548" s="2" t="s">
        <v>17</v>
      </c>
      <c r="D3548" s="2" t="s">
        <v>18</v>
      </c>
      <c r="E3548" s="5" t="s">
        <v>283</v>
      </c>
      <c r="F3548" s="3" t="s">
        <v>2969</v>
      </c>
      <c r="G3548" s="3" t="s">
        <v>75</v>
      </c>
      <c r="H3548" s="2" t="s">
        <v>22</v>
      </c>
      <c r="I3548" s="2" t="s">
        <v>7963</v>
      </c>
      <c r="J3548" s="3" t="str">
        <f>HYPERLINK("https://www.boe.es/gazeta/dias/1834/11/29/pdfs/GMD-1834-288.pdf#page=4","Abrir facsímil")</f>
        <v>Abrir facsímil</v>
      </c>
      <c r="K3548" s="3" t="s">
        <v>24</v>
      </c>
    </row>
    <row r="3549" spans="1:11" ht="54" customHeight="1">
      <c r="A3549" s="2" t="s">
        <v>7960</v>
      </c>
      <c r="B3549" s="2" t="s">
        <v>7961</v>
      </c>
      <c r="C3549" s="2" t="s">
        <v>66</v>
      </c>
      <c r="D3549" s="2" t="s">
        <v>67</v>
      </c>
      <c r="E3549" s="5" t="s">
        <v>1695</v>
      </c>
      <c r="F3549" s="3" t="s">
        <v>1696</v>
      </c>
      <c r="G3549" s="3" t="s">
        <v>21</v>
      </c>
      <c r="H3549" s="2" t="s">
        <v>22</v>
      </c>
      <c r="I3549" s="2" t="s">
        <v>7964</v>
      </c>
      <c r="J3549" s="3" t="str">
        <f>HYPERLINK("https://www.boe.es/gazeta/dias/1834/06/30/pdfs/GMD-1834-133.pdf#page=3","Abrir facsímil")</f>
        <v>Abrir facsímil</v>
      </c>
      <c r="K3549" s="3" t="s">
        <v>24</v>
      </c>
    </row>
    <row r="3550" spans="1:11" ht="54" customHeight="1">
      <c r="A3550" s="2" t="s">
        <v>7965</v>
      </c>
      <c r="B3550" s="2" t="s">
        <v>7966</v>
      </c>
      <c r="C3550" s="2" t="s">
        <v>66</v>
      </c>
      <c r="D3550" s="2" t="s">
        <v>67</v>
      </c>
      <c r="E3550" s="5" t="s">
        <v>863</v>
      </c>
      <c r="F3550" s="3" t="s">
        <v>864</v>
      </c>
      <c r="G3550" s="3" t="s">
        <v>21</v>
      </c>
      <c r="H3550" s="2" t="s">
        <v>22</v>
      </c>
      <c r="I3550" s="2" t="s">
        <v>7967</v>
      </c>
      <c r="J3550" s="3" t="str">
        <f>HYPERLINK("https://www.boe.es/gazeta/dias/1834/09/15/pdfs/GMD-1834-213.pdf#page=3","Abrir facsímil")</f>
        <v>Abrir facsímil</v>
      </c>
      <c r="K3550" s="3" t="s">
        <v>24</v>
      </c>
    </row>
    <row r="3551" spans="1:11" ht="54" customHeight="1">
      <c r="A3551" s="2" t="s">
        <v>7968</v>
      </c>
      <c r="B3551" s="2" t="s">
        <v>7969</v>
      </c>
      <c r="C3551" s="2" t="s">
        <v>17</v>
      </c>
      <c r="D3551" s="2" t="s">
        <v>18</v>
      </c>
      <c r="E3551" s="5" t="s">
        <v>462</v>
      </c>
      <c r="F3551" s="3" t="s">
        <v>2110</v>
      </c>
      <c r="G3551" s="3" t="s">
        <v>75</v>
      </c>
      <c r="H3551" s="2" t="s">
        <v>22</v>
      </c>
      <c r="I3551" s="2" t="s">
        <v>7970</v>
      </c>
      <c r="J3551" s="3" t="str">
        <f>HYPERLINK("https://www.boe.es/gazeta/dias/1834/08/27/pdfs/GMD-1834-193.pdf#page=4","Abrir facsímil")</f>
        <v>Abrir facsímil</v>
      </c>
      <c r="K3551" s="3" t="s">
        <v>24</v>
      </c>
    </row>
    <row r="3552" spans="1:11" ht="54" customHeight="1">
      <c r="A3552" s="2" t="s">
        <v>7971</v>
      </c>
      <c r="B3552" s="2" t="s">
        <v>7972</v>
      </c>
      <c r="C3552" s="2" t="s">
        <v>17</v>
      </c>
      <c r="D3552" s="2" t="s">
        <v>18</v>
      </c>
      <c r="E3552" s="5" t="s">
        <v>343</v>
      </c>
      <c r="F3552" s="3" t="s">
        <v>344</v>
      </c>
      <c r="G3552" s="3" t="s">
        <v>21</v>
      </c>
      <c r="H3552" s="2" t="s">
        <v>22</v>
      </c>
      <c r="I3552" s="2" t="s">
        <v>7973</v>
      </c>
      <c r="J3552" s="3" t="str">
        <f>HYPERLINK("https://www.boe.es/gazeta/dias/1834/01/14/pdfs/GMD-1834-7.pdf#page=3","Abrir facsímil")</f>
        <v>Abrir facsímil</v>
      </c>
      <c r="K3552" s="3" t="s">
        <v>24</v>
      </c>
    </row>
    <row r="3553" spans="1:11" ht="54" customHeight="1">
      <c r="A3553" s="2" t="s">
        <v>7974</v>
      </c>
      <c r="B3553" s="2" t="s">
        <v>7975</v>
      </c>
      <c r="C3553" s="2" t="s">
        <v>90</v>
      </c>
      <c r="D3553" s="2" t="s">
        <v>18</v>
      </c>
      <c r="E3553" s="5" t="s">
        <v>3952</v>
      </c>
      <c r="F3553" s="3" t="s">
        <v>3953</v>
      </c>
      <c r="G3553" s="3" t="s">
        <v>176</v>
      </c>
      <c r="H3553" s="2" t="s">
        <v>22</v>
      </c>
      <c r="I3553" s="2" t="s">
        <v>7976</v>
      </c>
      <c r="J3553" s="3" t="str">
        <f>HYPERLINK("https://www.boe.es/gazeta/dias/1834/02/22/pdfs/GMD-1834-24.pdf#page=6","Abrir facsímil")</f>
        <v>Abrir facsímil</v>
      </c>
      <c r="K3553" s="3" t="s">
        <v>24</v>
      </c>
    </row>
    <row r="3554" spans="1:11" ht="54" customHeight="1">
      <c r="A3554" s="2" t="s">
        <v>7977</v>
      </c>
      <c r="B3554" s="2" t="s">
        <v>7978</v>
      </c>
      <c r="C3554" s="2" t="s">
        <v>17</v>
      </c>
      <c r="D3554" s="2" t="s">
        <v>18</v>
      </c>
      <c r="E3554" s="5" t="s">
        <v>5435</v>
      </c>
      <c r="F3554" s="3" t="s">
        <v>5436</v>
      </c>
      <c r="G3554" s="3" t="s">
        <v>75</v>
      </c>
      <c r="H3554" s="2" t="s">
        <v>22</v>
      </c>
      <c r="I3554" s="2" t="s">
        <v>7979</v>
      </c>
      <c r="J3554" s="3" t="str">
        <f>HYPERLINK("https://www.boe.es/gazeta/dias/1834/05/11/pdfs/GMD-1834-80.pdf#page=4","Abrir facsímil")</f>
        <v>Abrir facsímil</v>
      </c>
      <c r="K3554" s="3" t="s">
        <v>24</v>
      </c>
    </row>
    <row r="3555" spans="1:11" ht="54" customHeight="1">
      <c r="A3555" s="2" t="s">
        <v>7980</v>
      </c>
      <c r="B3555" s="2" t="s">
        <v>7980</v>
      </c>
      <c r="C3555" s="2" t="s">
        <v>46</v>
      </c>
      <c r="D3555" s="2" t="s">
        <v>101</v>
      </c>
      <c r="E3555" s="5" t="s">
        <v>3066</v>
      </c>
      <c r="F3555" s="3" t="s">
        <v>3067</v>
      </c>
      <c r="G3555" s="3" t="s">
        <v>21</v>
      </c>
      <c r="H3555" s="2" t="s">
        <v>22</v>
      </c>
      <c r="I3555" s="2" t="s">
        <v>7981</v>
      </c>
      <c r="J3555" s="3" t="str">
        <f>HYPERLINK("https://www.boe.es/gazeta/dias/1834/08/03/pdfs/GMD-C-1834-167.pdf#page=3","Abrir facsímil")</f>
        <v>Abrir facsímil</v>
      </c>
      <c r="K3555" s="3" t="s">
        <v>24</v>
      </c>
    </row>
    <row r="3556" spans="1:11" ht="54" customHeight="1">
      <c r="A3556" s="2" t="s">
        <v>7980</v>
      </c>
      <c r="B3556" s="2" t="s">
        <v>7980</v>
      </c>
      <c r="C3556" s="2" t="s">
        <v>46</v>
      </c>
      <c r="D3556" s="2" t="s">
        <v>101</v>
      </c>
      <c r="E3556" s="5" t="s">
        <v>3066</v>
      </c>
      <c r="F3556" s="3" t="s">
        <v>3067</v>
      </c>
      <c r="G3556" s="3" t="s">
        <v>28</v>
      </c>
      <c r="H3556" s="2" t="s">
        <v>22</v>
      </c>
      <c r="I3556" s="2" t="s">
        <v>7982</v>
      </c>
      <c r="J3556" s="3" t="str">
        <f>HYPERLINK("https://www.boe.es/gazeta/dias/1834/08/03/pdfs/GMD-C-1834-167.pdf#page=5","Abrir facsímil")</f>
        <v>Abrir facsímil</v>
      </c>
      <c r="K3556" s="3" t="s">
        <v>24</v>
      </c>
    </row>
    <row r="3557" spans="1:11" ht="54" customHeight="1">
      <c r="A3557" s="2" t="s">
        <v>7980</v>
      </c>
      <c r="B3557" s="2" t="s">
        <v>7980</v>
      </c>
      <c r="C3557" s="2" t="s">
        <v>17</v>
      </c>
      <c r="D3557" s="2" t="s">
        <v>18</v>
      </c>
      <c r="E3557" s="5" t="s">
        <v>672</v>
      </c>
      <c r="F3557" s="3" t="s">
        <v>1055</v>
      </c>
      <c r="G3557" s="3" t="s">
        <v>75</v>
      </c>
      <c r="H3557" s="2" t="s">
        <v>22</v>
      </c>
      <c r="I3557" s="2" t="s">
        <v>7983</v>
      </c>
      <c r="J3557" s="3" t="str">
        <f>HYPERLINK("https://www.boe.es/gazeta/dias/1834/09/19/pdfs/GMD-C-1834-217.pdf#page=4","Abrir facsímil")</f>
        <v>Abrir facsímil</v>
      </c>
      <c r="K3557" s="3" t="s">
        <v>24</v>
      </c>
    </row>
    <row r="3558" spans="1:11" ht="54" customHeight="1">
      <c r="A3558" s="2" t="s">
        <v>7980</v>
      </c>
      <c r="B3558" s="2" t="s">
        <v>7980</v>
      </c>
      <c r="C3558" s="2" t="s">
        <v>46</v>
      </c>
      <c r="D3558" s="2" t="s">
        <v>18</v>
      </c>
      <c r="E3558" s="5" t="s">
        <v>26</v>
      </c>
      <c r="F3558" s="3" t="s">
        <v>27</v>
      </c>
      <c r="G3558" s="3" t="s">
        <v>28</v>
      </c>
      <c r="H3558" s="2" t="s">
        <v>22</v>
      </c>
      <c r="I3558" s="2" t="s">
        <v>7984</v>
      </c>
      <c r="J3558" s="3" t="str">
        <f>HYPERLINK("https://www.boe.es/gazeta/dias/1834/10/19/pdfs/GMD-C-1834-247.pdf#page=5","Abrir facsímil")</f>
        <v>Abrir facsímil</v>
      </c>
      <c r="K3558" s="3" t="s">
        <v>24</v>
      </c>
    </row>
    <row r="3559" spans="1:11" ht="54" customHeight="1">
      <c r="A3559" s="2" t="s">
        <v>7985</v>
      </c>
      <c r="B3559" s="2" t="s">
        <v>7986</v>
      </c>
      <c r="C3559" s="2" t="s">
        <v>17</v>
      </c>
      <c r="D3559" s="2" t="s">
        <v>18</v>
      </c>
      <c r="E3559" s="5" t="s">
        <v>1839</v>
      </c>
      <c r="F3559" s="3" t="s">
        <v>1840</v>
      </c>
      <c r="G3559" s="3" t="s">
        <v>86</v>
      </c>
      <c r="H3559" s="2" t="s">
        <v>22</v>
      </c>
      <c r="I3559" s="2" t="s">
        <v>7987</v>
      </c>
      <c r="J3559" s="3" t="str">
        <f>HYPERLINK("https://www.boe.es/gazeta/dias/1834/08/12/pdfs/GMD-C-1834-177.pdf#page=2","Abrir facsímil")</f>
        <v>Abrir facsímil</v>
      </c>
      <c r="K3559" s="3" t="s">
        <v>24</v>
      </c>
    </row>
    <row r="3560" spans="1:11" ht="54" customHeight="1">
      <c r="A3560" s="2" t="s">
        <v>7988</v>
      </c>
      <c r="B3560" s="2" t="s">
        <v>7989</v>
      </c>
      <c r="C3560" s="2" t="s">
        <v>17</v>
      </c>
      <c r="D3560" s="2" t="s">
        <v>55</v>
      </c>
      <c r="E3560" s="5" t="s">
        <v>3066</v>
      </c>
      <c r="F3560" s="3" t="s">
        <v>3067</v>
      </c>
      <c r="G3560" s="3" t="s">
        <v>21</v>
      </c>
      <c r="H3560" s="2" t="s">
        <v>22</v>
      </c>
      <c r="I3560" s="2" t="s">
        <v>7990</v>
      </c>
      <c r="J3560" s="3" t="str">
        <f>HYPERLINK("https://www.boe.es/gazeta/dias/1834/08/03/pdfs/GMD-C-1834-167.pdf#page=3","Abrir facsímil")</f>
        <v>Abrir facsímil</v>
      </c>
      <c r="K3560" s="3" t="s">
        <v>24</v>
      </c>
    </row>
    <row r="3561" spans="1:11" ht="54" customHeight="1">
      <c r="A3561" s="2" t="s">
        <v>7988</v>
      </c>
      <c r="B3561" s="2" t="s">
        <v>7989</v>
      </c>
      <c r="C3561" s="2" t="s">
        <v>17</v>
      </c>
      <c r="D3561" s="2" t="s">
        <v>18</v>
      </c>
      <c r="E3561" s="5" t="s">
        <v>163</v>
      </c>
      <c r="F3561" s="3" t="s">
        <v>4896</v>
      </c>
      <c r="G3561" s="3" t="s">
        <v>34</v>
      </c>
      <c r="H3561" s="2" t="s">
        <v>22</v>
      </c>
      <c r="I3561" s="2" t="s">
        <v>7991</v>
      </c>
      <c r="J3561" s="3" t="str">
        <f>HYPERLINK("https://www.boe.es/gazeta/dias/1834/08/09/pdfs/GMD-C-1834-174.pdf#page=1","Abrir facsímil")</f>
        <v>Abrir facsímil</v>
      </c>
      <c r="K3561" s="3" t="s">
        <v>24</v>
      </c>
    </row>
    <row r="3562" spans="1:11" ht="54" customHeight="1">
      <c r="A3562" s="2" t="s">
        <v>7988</v>
      </c>
      <c r="B3562" s="2" t="s">
        <v>7989</v>
      </c>
      <c r="C3562" s="2" t="s">
        <v>17</v>
      </c>
      <c r="D3562" s="2" t="s">
        <v>18</v>
      </c>
      <c r="E3562" s="5" t="s">
        <v>679</v>
      </c>
      <c r="F3562" s="3" t="s">
        <v>699</v>
      </c>
      <c r="G3562" s="3" t="s">
        <v>34</v>
      </c>
      <c r="H3562" s="2" t="s">
        <v>22</v>
      </c>
      <c r="I3562" s="2" t="s">
        <v>7992</v>
      </c>
      <c r="J3562" s="3" t="str">
        <f>HYPERLINK("https://www.boe.es/gazeta/dias/1834/12/10/pdfs/GMD-C-1834-299.pdf#page=1","Abrir facsímil")</f>
        <v>Abrir facsímil</v>
      </c>
      <c r="K3562" s="3" t="s">
        <v>24</v>
      </c>
    </row>
    <row r="3563" spans="1:11" ht="54" customHeight="1">
      <c r="A3563" s="2" t="s">
        <v>7988</v>
      </c>
      <c r="B3563" s="2" t="s">
        <v>7989</v>
      </c>
      <c r="C3563" s="2" t="s">
        <v>17</v>
      </c>
      <c r="D3563" s="2" t="s">
        <v>18</v>
      </c>
      <c r="E3563" s="5" t="s">
        <v>26</v>
      </c>
      <c r="F3563" s="3" t="s">
        <v>27</v>
      </c>
      <c r="G3563" s="3" t="s">
        <v>28</v>
      </c>
      <c r="H3563" s="2" t="s">
        <v>22</v>
      </c>
      <c r="I3563" s="2" t="s">
        <v>7993</v>
      </c>
      <c r="J3563" s="3" t="str">
        <f>HYPERLINK("https://www.boe.es/gazeta/dias/1834/10/19/pdfs/GMD-C-1834-247.pdf#page=5","Abrir facsímil")</f>
        <v>Abrir facsímil</v>
      </c>
      <c r="K3563" s="3" t="s">
        <v>24</v>
      </c>
    </row>
    <row r="3564" spans="1:11" ht="54" customHeight="1">
      <c r="A3564" s="2" t="s">
        <v>7988</v>
      </c>
      <c r="B3564" s="2" t="s">
        <v>7989</v>
      </c>
      <c r="C3564" s="2" t="s">
        <v>46</v>
      </c>
      <c r="D3564" s="2" t="s">
        <v>101</v>
      </c>
      <c r="E3564" s="5" t="s">
        <v>26</v>
      </c>
      <c r="F3564" s="3" t="s">
        <v>27</v>
      </c>
      <c r="G3564" s="3" t="s">
        <v>176</v>
      </c>
      <c r="H3564" s="2" t="s">
        <v>22</v>
      </c>
      <c r="I3564" s="2" t="s">
        <v>7994</v>
      </c>
      <c r="J3564" s="3" t="str">
        <f>HYPERLINK("https://www.boe.es/gazeta/dias/1834/10/19/pdfs/GMD-C-1834-247.pdf#page=6","Abrir facsímil")</f>
        <v>Abrir facsímil</v>
      </c>
      <c r="K3564" s="3" t="s">
        <v>24</v>
      </c>
    </row>
    <row r="3565" spans="1:11" ht="54" customHeight="1">
      <c r="A3565" s="2" t="s">
        <v>7988</v>
      </c>
      <c r="B3565" s="2" t="s">
        <v>7989</v>
      </c>
      <c r="C3565" s="2" t="s">
        <v>17</v>
      </c>
      <c r="D3565" s="2" t="s">
        <v>18</v>
      </c>
      <c r="E3565" s="5" t="s">
        <v>26</v>
      </c>
      <c r="F3565" s="3" t="s">
        <v>27</v>
      </c>
      <c r="G3565" s="3" t="s">
        <v>560</v>
      </c>
      <c r="H3565" s="2" t="s">
        <v>22</v>
      </c>
      <c r="I3565" s="2" t="s">
        <v>7995</v>
      </c>
      <c r="J3565" s="3" t="str">
        <f>HYPERLINK("https://www.boe.es/gazeta/dias/1834/10/19/pdfs/GMD-C-1834-247.pdf#page=7","Abrir facsímil")</f>
        <v>Abrir facsímil</v>
      </c>
      <c r="K3565" s="3" t="s">
        <v>24</v>
      </c>
    </row>
    <row r="3566" spans="1:11" ht="54" customHeight="1">
      <c r="A3566" s="2" t="s">
        <v>7988</v>
      </c>
      <c r="B3566" s="2" t="s">
        <v>7989</v>
      </c>
      <c r="C3566" s="2" t="s">
        <v>17</v>
      </c>
      <c r="D3566" s="2" t="s">
        <v>18</v>
      </c>
      <c r="E3566" s="5" t="s">
        <v>707</v>
      </c>
      <c r="F3566" s="3" t="s">
        <v>708</v>
      </c>
      <c r="G3566" s="3" t="s">
        <v>75</v>
      </c>
      <c r="H3566" s="2" t="s">
        <v>22</v>
      </c>
      <c r="I3566" s="2" t="s">
        <v>7996</v>
      </c>
      <c r="J3566" s="3" t="str">
        <f>HYPERLINK("https://www.boe.es/gazeta/dias/1834/11/25/pdfs/GMD-C-1834-284.pdf#page=4","Abrir facsímil")</f>
        <v>Abrir facsímil</v>
      </c>
      <c r="K3566" s="3" t="s">
        <v>24</v>
      </c>
    </row>
    <row r="3567" spans="1:11" ht="54" customHeight="1">
      <c r="A3567" s="2" t="s">
        <v>7997</v>
      </c>
      <c r="B3567" s="2" t="s">
        <v>7998</v>
      </c>
      <c r="C3567" s="2" t="s">
        <v>17</v>
      </c>
      <c r="D3567" s="2" t="s">
        <v>18</v>
      </c>
      <c r="E3567" s="5" t="s">
        <v>905</v>
      </c>
      <c r="F3567" s="3" t="s">
        <v>1651</v>
      </c>
      <c r="G3567" s="3" t="s">
        <v>86</v>
      </c>
      <c r="H3567" s="2" t="s">
        <v>22</v>
      </c>
      <c r="I3567" s="2" t="s">
        <v>7999</v>
      </c>
      <c r="J3567" s="3" t="str">
        <f>HYPERLINK("https://www.boe.es/gazeta/dias/1834/08/02/pdfs/GMD-1834-166.pdf#page=2","Abrir facsímil")</f>
        <v>Abrir facsímil</v>
      </c>
      <c r="K3567" s="3" t="s">
        <v>24</v>
      </c>
    </row>
    <row r="3568" spans="1:11" ht="54" customHeight="1">
      <c r="A3568" s="2" t="s">
        <v>8000</v>
      </c>
      <c r="B3568" s="2" t="s">
        <v>8001</v>
      </c>
      <c r="C3568" s="2" t="s">
        <v>17</v>
      </c>
      <c r="D3568" s="2" t="s">
        <v>18</v>
      </c>
      <c r="E3568" s="5" t="s">
        <v>1922</v>
      </c>
      <c r="F3568" s="3" t="s">
        <v>1923</v>
      </c>
      <c r="G3568" s="3" t="s">
        <v>28</v>
      </c>
      <c r="H3568" s="2" t="s">
        <v>22</v>
      </c>
      <c r="I3568" s="2" t="s">
        <v>8002</v>
      </c>
      <c r="J3568" s="3" t="str">
        <f>HYPERLINK("https://www.boe.es/gazeta/dias/1834/02/25/pdfs/GMD-1834-25.pdf#page=5","Abrir facsímil")</f>
        <v>Abrir facsímil</v>
      </c>
      <c r="K3568" s="3" t="s">
        <v>24</v>
      </c>
    </row>
    <row r="3569" spans="1:11" ht="54" customHeight="1">
      <c r="A3569" s="2" t="s">
        <v>8003</v>
      </c>
      <c r="B3569" s="2" t="s">
        <v>8004</v>
      </c>
      <c r="C3569" s="2" t="s">
        <v>90</v>
      </c>
      <c r="D3569" s="2" t="s">
        <v>18</v>
      </c>
      <c r="E3569" s="5" t="s">
        <v>679</v>
      </c>
      <c r="F3569" s="3" t="s">
        <v>699</v>
      </c>
      <c r="G3569" s="3" t="s">
        <v>34</v>
      </c>
      <c r="H3569" s="2" t="s">
        <v>22</v>
      </c>
      <c r="I3569" s="2" t="s">
        <v>8005</v>
      </c>
      <c r="J3569" s="3" t="str">
        <f>HYPERLINK("https://www.boe.es/gazeta/dias/1834/12/10/pdfs/GMD-C-1834-299.pdf#page=1","Abrir facsímil")</f>
        <v>Abrir facsímil</v>
      </c>
      <c r="K3569" s="3" t="s">
        <v>24</v>
      </c>
    </row>
    <row r="3570" spans="1:11" ht="54" customHeight="1">
      <c r="A3570" s="2" t="s">
        <v>8006</v>
      </c>
      <c r="B3570" s="2" t="s">
        <v>8007</v>
      </c>
      <c r="C3570" s="2" t="s">
        <v>17</v>
      </c>
      <c r="D3570" s="2" t="s">
        <v>18</v>
      </c>
      <c r="E3570" s="5" t="s">
        <v>2596</v>
      </c>
      <c r="F3570" s="3" t="s">
        <v>2597</v>
      </c>
      <c r="G3570" s="3" t="s">
        <v>86</v>
      </c>
      <c r="H3570" s="2" t="s">
        <v>22</v>
      </c>
      <c r="I3570" s="2" t="s">
        <v>8008</v>
      </c>
      <c r="J3570" s="3" t="str">
        <f>HYPERLINK("https://www.boe.es/gazeta/dias/1834/10/22/pdfs/GMD-1834-250.pdf#page=2","Abrir facsímil")</f>
        <v>Abrir facsímil</v>
      </c>
      <c r="K3570" s="3" t="s">
        <v>24</v>
      </c>
    </row>
    <row r="3571" spans="1:11" ht="54" customHeight="1">
      <c r="A3571" s="2" t="s">
        <v>8009</v>
      </c>
      <c r="B3571" s="2" t="s">
        <v>8009</v>
      </c>
      <c r="C3571" s="2" t="s">
        <v>66</v>
      </c>
      <c r="D3571" s="2" t="s">
        <v>67</v>
      </c>
      <c r="E3571" s="5" t="s">
        <v>8010</v>
      </c>
      <c r="F3571" s="3" t="s">
        <v>8011</v>
      </c>
      <c r="G3571" s="3" t="s">
        <v>21</v>
      </c>
      <c r="H3571" s="2" t="s">
        <v>22</v>
      </c>
      <c r="I3571" s="2" t="s">
        <v>8012</v>
      </c>
      <c r="J3571" s="3" t="str">
        <f>HYPERLINK("https://www.boe.es/gazeta/dias/1834/08/28/pdfs/GMD-1834-194.pdf#page=3","Abrir facsímil")</f>
        <v>Abrir facsímil</v>
      </c>
      <c r="K3571" s="3" t="s">
        <v>24</v>
      </c>
    </row>
    <row r="3572" spans="1:11" ht="54" customHeight="1">
      <c r="A3572" s="2" t="s">
        <v>8013</v>
      </c>
      <c r="B3572" s="2" t="s">
        <v>8014</v>
      </c>
      <c r="C3572" s="2" t="s">
        <v>17</v>
      </c>
      <c r="D3572" s="2" t="s">
        <v>18</v>
      </c>
      <c r="E3572" s="5" t="s">
        <v>299</v>
      </c>
      <c r="F3572" s="3" t="s">
        <v>300</v>
      </c>
      <c r="G3572" s="3" t="s">
        <v>21</v>
      </c>
      <c r="H3572" s="2" t="s">
        <v>22</v>
      </c>
      <c r="I3572" s="2" t="s">
        <v>8015</v>
      </c>
      <c r="J3572" s="3" t="str">
        <f>HYPERLINK("https://www.boe.es/gazeta/dias/1834/12/12/pdfs/GMD-1834-301.pdf#page=3","Abrir facsímil")</f>
        <v>Abrir facsímil</v>
      </c>
      <c r="K3572" s="3" t="s">
        <v>24</v>
      </c>
    </row>
    <row r="3573" spans="1:11" ht="54" customHeight="1">
      <c r="A3573" s="2" t="s">
        <v>8016</v>
      </c>
      <c r="B3573" s="2" t="s">
        <v>8017</v>
      </c>
      <c r="C3573" s="2" t="s">
        <v>17</v>
      </c>
      <c r="D3573" s="2" t="s">
        <v>18</v>
      </c>
      <c r="E3573" s="5" t="s">
        <v>2203</v>
      </c>
      <c r="F3573" s="3" t="s">
        <v>2204</v>
      </c>
      <c r="G3573" s="3" t="s">
        <v>75</v>
      </c>
      <c r="H3573" s="2" t="s">
        <v>22</v>
      </c>
      <c r="I3573" s="2" t="s">
        <v>8018</v>
      </c>
      <c r="J3573" s="3" t="str">
        <f>HYPERLINK("https://www.boe.es/gazeta/dias/1834/09/10/pdfs/GMD-C-1834-208.pdf#page=4","Abrir facsímil")</f>
        <v>Abrir facsímil</v>
      </c>
      <c r="K3573" s="3" t="s">
        <v>24</v>
      </c>
    </row>
    <row r="3574" spans="1:11" ht="54" customHeight="1">
      <c r="A3574" s="2" t="s">
        <v>8019</v>
      </c>
      <c r="B3574" s="2" t="s">
        <v>8019</v>
      </c>
      <c r="C3574" s="2" t="s">
        <v>66</v>
      </c>
      <c r="D3574" s="2" t="s">
        <v>67</v>
      </c>
      <c r="E3574" s="5" t="s">
        <v>1084</v>
      </c>
      <c r="F3574" s="3" t="s">
        <v>1085</v>
      </c>
      <c r="G3574" s="3" t="s">
        <v>28</v>
      </c>
      <c r="H3574" s="2" t="s">
        <v>22</v>
      </c>
      <c r="I3574" s="2" t="s">
        <v>8020</v>
      </c>
      <c r="J3574" s="3" t="str">
        <f>HYPERLINK("https://www.boe.es/gazeta/dias/1834/05/01/pdfs/GMD-1834-70.pdf#page=5","Abrir facsímil")</f>
        <v>Abrir facsímil</v>
      </c>
      <c r="K3574" s="3" t="s">
        <v>24</v>
      </c>
    </row>
    <row r="3575" spans="1:11" ht="54" customHeight="1">
      <c r="A3575" s="2" t="s">
        <v>8019</v>
      </c>
      <c r="B3575" s="2" t="s">
        <v>8019</v>
      </c>
      <c r="C3575" s="2" t="s">
        <v>17</v>
      </c>
      <c r="D3575" s="2" t="s">
        <v>18</v>
      </c>
      <c r="E3575" s="5" t="s">
        <v>556</v>
      </c>
      <c r="F3575" s="3" t="s">
        <v>557</v>
      </c>
      <c r="G3575" s="3" t="s">
        <v>21</v>
      </c>
      <c r="H3575" s="2" t="s">
        <v>22</v>
      </c>
      <c r="I3575" s="2" t="s">
        <v>8021</v>
      </c>
      <c r="J3575" s="3" t="str">
        <f>HYPERLINK("https://www.boe.es/gazeta/dias/1834/09/13/pdfs/GMD-1834-211.pdf#page=3","Abrir facsímil")</f>
        <v>Abrir facsímil</v>
      </c>
      <c r="K3575" s="3" t="s">
        <v>24</v>
      </c>
    </row>
    <row r="3576" spans="1:11" ht="54" customHeight="1">
      <c r="A3576" s="2" t="s">
        <v>8019</v>
      </c>
      <c r="B3576" s="2" t="s">
        <v>8019</v>
      </c>
      <c r="C3576" s="2" t="s">
        <v>17</v>
      </c>
      <c r="D3576" s="2" t="s">
        <v>18</v>
      </c>
      <c r="E3576" s="5" t="s">
        <v>1850</v>
      </c>
      <c r="F3576" s="3" t="s">
        <v>8022</v>
      </c>
      <c r="G3576" s="3" t="s">
        <v>86</v>
      </c>
      <c r="H3576" s="2" t="s">
        <v>22</v>
      </c>
      <c r="I3576" s="2" t="s">
        <v>8023</v>
      </c>
      <c r="J3576" s="3" t="str">
        <f>HYPERLINK("https://www.boe.es/gazeta/dias/1834/02/18/pdfs/GMD-C-1834-22.pdf#page=2","Abrir facsímil")</f>
        <v>Abrir facsímil</v>
      </c>
      <c r="K3576" s="3" t="s">
        <v>24</v>
      </c>
    </row>
    <row r="3577" spans="1:11" ht="54" customHeight="1">
      <c r="A3577" s="2" t="s">
        <v>8019</v>
      </c>
      <c r="B3577" s="2" t="s">
        <v>8019</v>
      </c>
      <c r="C3577" s="2" t="s">
        <v>17</v>
      </c>
      <c r="D3577" s="2" t="s">
        <v>18</v>
      </c>
      <c r="E3577" s="5" t="s">
        <v>148</v>
      </c>
      <c r="F3577" s="3" t="s">
        <v>149</v>
      </c>
      <c r="G3577" s="3" t="s">
        <v>21</v>
      </c>
      <c r="H3577" s="2" t="s">
        <v>22</v>
      </c>
      <c r="I3577" s="2" t="s">
        <v>8024</v>
      </c>
      <c r="J3577" s="3" t="str">
        <f>HYPERLINK("https://www.boe.es/gazeta/dias/1834/10/20/pdfs/GMD-1834-248.pdf#page=3","Abrir facsímil")</f>
        <v>Abrir facsímil</v>
      </c>
      <c r="K3577" s="3" t="s">
        <v>24</v>
      </c>
    </row>
    <row r="3578" spans="1:11" ht="54" customHeight="1">
      <c r="A3578" s="2" t="s">
        <v>8019</v>
      </c>
      <c r="B3578" s="2" t="s">
        <v>8019</v>
      </c>
      <c r="C3578" s="2" t="s">
        <v>17</v>
      </c>
      <c r="D3578" s="2" t="s">
        <v>18</v>
      </c>
      <c r="E3578" s="5" t="s">
        <v>627</v>
      </c>
      <c r="F3578" s="3" t="s">
        <v>628</v>
      </c>
      <c r="G3578" s="3" t="s">
        <v>28</v>
      </c>
      <c r="H3578" s="2" t="s">
        <v>22</v>
      </c>
      <c r="I3578" s="2" t="s">
        <v>8025</v>
      </c>
      <c r="J3578" s="3" t="str">
        <f>HYPERLINK("https://www.boe.es/gazeta/dias/1834/09/22/pdfs/GMD-C-1834-220.pdf#page=5","Abrir facsímil")</f>
        <v>Abrir facsímil</v>
      </c>
      <c r="K3578" s="3" t="s">
        <v>24</v>
      </c>
    </row>
    <row r="3579" spans="1:11" ht="54" customHeight="1">
      <c r="A3579" s="2" t="s">
        <v>8019</v>
      </c>
      <c r="B3579" s="2" t="s">
        <v>8019</v>
      </c>
      <c r="C3579" s="2" t="s">
        <v>46</v>
      </c>
      <c r="D3579" s="2" t="s">
        <v>40</v>
      </c>
      <c r="E3579" s="5" t="s">
        <v>823</v>
      </c>
      <c r="F3579" s="3" t="s">
        <v>824</v>
      </c>
      <c r="G3579" s="3" t="s">
        <v>21</v>
      </c>
      <c r="H3579" s="2" t="s">
        <v>22</v>
      </c>
      <c r="I3579" s="2" t="s">
        <v>8026</v>
      </c>
      <c r="J3579" s="3" t="str">
        <f>HYPERLINK("https://www.boe.es/gazeta/dias/1834/07/23/pdfs/GMD-1834-156.pdf#page=3","Abrir facsímil")</f>
        <v>Abrir facsímil</v>
      </c>
      <c r="K3579" s="3" t="s">
        <v>24</v>
      </c>
    </row>
    <row r="3580" spans="1:11" ht="54" customHeight="1">
      <c r="A3580" s="2" t="s">
        <v>8019</v>
      </c>
      <c r="B3580" s="2" t="s">
        <v>8019</v>
      </c>
      <c r="C3580" s="2" t="s">
        <v>122</v>
      </c>
      <c r="D3580" s="2" t="s">
        <v>55</v>
      </c>
      <c r="E3580" s="5" t="s">
        <v>1766</v>
      </c>
      <c r="F3580" s="3" t="s">
        <v>5600</v>
      </c>
      <c r="G3580" s="3" t="s">
        <v>34</v>
      </c>
      <c r="H3580" s="2" t="s">
        <v>22</v>
      </c>
      <c r="I3580" s="2" t="s">
        <v>8027</v>
      </c>
      <c r="J3580" s="3" t="str">
        <f>HYPERLINK("https://www.boe.es/gazeta/dias/1834/10/26/pdfs/GMD-1834-254.pdf#page=1","Abrir facsímil")</f>
        <v>Abrir facsímil</v>
      </c>
      <c r="K3580" s="3" t="s">
        <v>24</v>
      </c>
    </row>
    <row r="3581" spans="1:11" ht="54" customHeight="1">
      <c r="A3581" s="2" t="s">
        <v>8028</v>
      </c>
      <c r="B3581" s="2" t="s">
        <v>8029</v>
      </c>
      <c r="C3581" s="2" t="s">
        <v>17</v>
      </c>
      <c r="D3581" s="2" t="s">
        <v>18</v>
      </c>
      <c r="E3581" s="5" t="s">
        <v>1394</v>
      </c>
      <c r="F3581" s="3" t="s">
        <v>2923</v>
      </c>
      <c r="G3581" s="3" t="s">
        <v>86</v>
      </c>
      <c r="H3581" s="2" t="s">
        <v>22</v>
      </c>
      <c r="I3581" s="2" t="s">
        <v>8030</v>
      </c>
      <c r="J3581" s="3" t="str">
        <f>HYPERLINK("https://www.boe.es/gazeta/dias/1834/04/16/pdfs/GMD-C-1834-55.pdf#page=2","Abrir facsímil")</f>
        <v>Abrir facsímil</v>
      </c>
      <c r="K3581" s="3" t="s">
        <v>24</v>
      </c>
    </row>
    <row r="3582" spans="1:11" ht="54" customHeight="1">
      <c r="A3582" s="2" t="s">
        <v>8031</v>
      </c>
      <c r="B3582" s="2" t="s">
        <v>8032</v>
      </c>
      <c r="C3582" s="2" t="s">
        <v>90</v>
      </c>
      <c r="D3582" s="2" t="s">
        <v>18</v>
      </c>
      <c r="E3582" s="5" t="s">
        <v>96</v>
      </c>
      <c r="F3582" s="3" t="s">
        <v>97</v>
      </c>
      <c r="G3582" s="3" t="s">
        <v>28</v>
      </c>
      <c r="H3582" s="2" t="s">
        <v>22</v>
      </c>
      <c r="I3582" s="2" t="s">
        <v>8033</v>
      </c>
      <c r="J3582" s="3" t="str">
        <f>HYPERLINK("https://www.boe.es/gazeta/dias/1834/11/11/pdfs/GMD-C-1834-270.pdf#page=5","Abrir facsímil")</f>
        <v>Abrir facsímil</v>
      </c>
      <c r="K3582" s="3" t="s">
        <v>24</v>
      </c>
    </row>
    <row r="3583" spans="1:11" ht="54" customHeight="1">
      <c r="A3583" s="2" t="s">
        <v>8031</v>
      </c>
      <c r="B3583" s="2" t="s">
        <v>8032</v>
      </c>
      <c r="C3583" s="2" t="s">
        <v>17</v>
      </c>
      <c r="D3583" s="2" t="s">
        <v>40</v>
      </c>
      <c r="E3583" s="5" t="s">
        <v>4064</v>
      </c>
      <c r="F3583" s="3" t="s">
        <v>4065</v>
      </c>
      <c r="G3583" s="3" t="s">
        <v>86</v>
      </c>
      <c r="H3583" s="2" t="s">
        <v>22</v>
      </c>
      <c r="I3583" s="2" t="s">
        <v>8034</v>
      </c>
      <c r="J3583" s="3" t="str">
        <f>HYPERLINK("https://www.boe.es/gazeta/dias/1834/07/22/pdfs/GMD-1834-155.pdf#page=2","Abrir facsímil")</f>
        <v>Abrir facsímil</v>
      </c>
      <c r="K3583" s="3" t="s">
        <v>24</v>
      </c>
    </row>
    <row r="3584" spans="1:11" ht="54" customHeight="1">
      <c r="A3584" s="2" t="s">
        <v>8031</v>
      </c>
      <c r="B3584" s="2" t="s">
        <v>8032</v>
      </c>
      <c r="C3584" s="2" t="s">
        <v>90</v>
      </c>
      <c r="D3584" s="2" t="s">
        <v>18</v>
      </c>
      <c r="E3584" s="5" t="s">
        <v>1674</v>
      </c>
      <c r="F3584" s="3" t="s">
        <v>1675</v>
      </c>
      <c r="G3584" s="3" t="s">
        <v>34</v>
      </c>
      <c r="H3584" s="2" t="s">
        <v>22</v>
      </c>
      <c r="I3584" s="2" t="s">
        <v>8035</v>
      </c>
      <c r="J3584" s="3" t="str">
        <f>HYPERLINK("https://www.boe.es/gazeta/dias/1834/07/25/pdfs/GMD-1834-158.pdf#page=1","Abrir facsímil")</f>
        <v>Abrir facsímil</v>
      </c>
      <c r="K3584" s="3" t="s">
        <v>24</v>
      </c>
    </row>
    <row r="3585" spans="1:11" ht="54" customHeight="1">
      <c r="A3585" s="2" t="s">
        <v>8036</v>
      </c>
      <c r="B3585" s="2" t="s">
        <v>8037</v>
      </c>
      <c r="C3585" s="2" t="s">
        <v>66</v>
      </c>
      <c r="D3585" s="2" t="s">
        <v>18</v>
      </c>
      <c r="E3585" s="5" t="s">
        <v>32</v>
      </c>
      <c r="F3585" s="3" t="s">
        <v>33</v>
      </c>
      <c r="G3585" s="3" t="s">
        <v>21</v>
      </c>
      <c r="H3585" s="2" t="s">
        <v>22</v>
      </c>
      <c r="I3585" s="2" t="s">
        <v>8038</v>
      </c>
      <c r="J3585" s="3" t="str">
        <f>HYPERLINK("https://www.boe.es/gazeta/dias/1834/04/23/pdfs/GMD-1834-62.pdf#page=3","Abrir facsímil")</f>
        <v>Abrir facsímil</v>
      </c>
      <c r="K3585" s="3" t="s">
        <v>24</v>
      </c>
    </row>
    <row r="3586" spans="1:11" ht="54" customHeight="1">
      <c r="A3586" s="2" t="s">
        <v>8039</v>
      </c>
      <c r="B3586" s="2" t="s">
        <v>8040</v>
      </c>
      <c r="C3586" s="2" t="s">
        <v>66</v>
      </c>
      <c r="D3586" s="2" t="s">
        <v>67</v>
      </c>
      <c r="E3586" s="5" t="s">
        <v>389</v>
      </c>
      <c r="F3586" s="3" t="s">
        <v>390</v>
      </c>
      <c r="G3586" s="3" t="s">
        <v>86</v>
      </c>
      <c r="H3586" s="2" t="s">
        <v>22</v>
      </c>
      <c r="I3586" s="2" t="s">
        <v>8041</v>
      </c>
      <c r="J3586" s="3" t="str">
        <f>HYPERLINK("https://www.boe.es/gazeta/dias/1834/10/25/pdfs/GMD-1834-253.pdf#page=2","Abrir facsímil")</f>
        <v>Abrir facsímil</v>
      </c>
      <c r="K3586" s="3" t="s">
        <v>24</v>
      </c>
    </row>
    <row r="3587" spans="1:11" ht="54" customHeight="1">
      <c r="A3587" s="2" t="s">
        <v>8042</v>
      </c>
      <c r="B3587" s="2" t="s">
        <v>8043</v>
      </c>
      <c r="C3587" s="2" t="s">
        <v>17</v>
      </c>
      <c r="D3587" s="2" t="s">
        <v>18</v>
      </c>
      <c r="E3587" s="5" t="s">
        <v>2278</v>
      </c>
      <c r="F3587" s="3" t="s">
        <v>2279</v>
      </c>
      <c r="G3587" s="3" t="s">
        <v>86</v>
      </c>
      <c r="H3587" s="2" t="s">
        <v>22</v>
      </c>
      <c r="I3587" s="2" t="s">
        <v>8044</v>
      </c>
      <c r="J3587" s="3" t="str">
        <f>HYPERLINK("https://www.boe.es/gazeta/dias/1834/12/17/pdfs/GMD-C-1834-306.pdf#page=2","Abrir facsímil")</f>
        <v>Abrir facsímil</v>
      </c>
      <c r="K3587" s="3" t="s">
        <v>24</v>
      </c>
    </row>
    <row r="3588" spans="1:11" ht="54" customHeight="1">
      <c r="A3588" s="2" t="s">
        <v>8045</v>
      </c>
      <c r="B3588" s="2" t="s">
        <v>8046</v>
      </c>
      <c r="C3588" s="2" t="s">
        <v>17</v>
      </c>
      <c r="D3588" s="2" t="s">
        <v>18</v>
      </c>
      <c r="E3588" s="5" t="s">
        <v>128</v>
      </c>
      <c r="F3588" s="3" t="s">
        <v>129</v>
      </c>
      <c r="G3588" s="3" t="s">
        <v>21</v>
      </c>
      <c r="H3588" s="2" t="s">
        <v>22</v>
      </c>
      <c r="I3588" s="2" t="s">
        <v>8047</v>
      </c>
      <c r="J3588" s="3" t="str">
        <f>HYPERLINK("https://www.boe.es/gazeta/dias/1834/12/24/pdfs/GMD-C-1834-314.pdf#page=3","Abrir facsímil")</f>
        <v>Abrir facsímil</v>
      </c>
      <c r="K3588" s="3" t="s">
        <v>24</v>
      </c>
    </row>
    <row r="3589" spans="1:11" ht="54" customHeight="1">
      <c r="A3589" s="2" t="s">
        <v>8048</v>
      </c>
      <c r="B3589" s="2" t="s">
        <v>8049</v>
      </c>
      <c r="C3589" s="2" t="s">
        <v>17</v>
      </c>
      <c r="D3589" s="2" t="s">
        <v>18</v>
      </c>
      <c r="E3589" s="5" t="s">
        <v>128</v>
      </c>
      <c r="F3589" s="3" t="s">
        <v>129</v>
      </c>
      <c r="G3589" s="3" t="s">
        <v>176</v>
      </c>
      <c r="H3589" s="2" t="s">
        <v>22</v>
      </c>
      <c r="I3589" s="2" t="s">
        <v>8050</v>
      </c>
      <c r="J3589" s="3" t="str">
        <f>HYPERLINK("https://www.boe.es/gazeta/dias/1834/12/24/pdfs/GMD-C-1834-314.pdf#page=6","Abrir facsímil")</f>
        <v>Abrir facsímil</v>
      </c>
      <c r="K3589" s="3" t="s">
        <v>24</v>
      </c>
    </row>
    <row r="3590" spans="1:11" ht="54" customHeight="1">
      <c r="A3590" s="2" t="s">
        <v>8051</v>
      </c>
      <c r="B3590" s="2" t="s">
        <v>8051</v>
      </c>
      <c r="C3590" s="2" t="s">
        <v>46</v>
      </c>
      <c r="D3590" s="2" t="s">
        <v>55</v>
      </c>
      <c r="E3590" s="5" t="s">
        <v>2302</v>
      </c>
      <c r="F3590" s="3" t="s">
        <v>2303</v>
      </c>
      <c r="G3590" s="3" t="s">
        <v>34</v>
      </c>
      <c r="H3590" s="2" t="s">
        <v>22</v>
      </c>
      <c r="I3590" s="2" t="s">
        <v>8052</v>
      </c>
      <c r="J3590" s="3" t="str">
        <f>HYPERLINK("https://www.boe.es/gazeta/dias/1834/01/25/pdfs/GMD-1834-12.pdf#page=1","Abrir facsímil")</f>
        <v>Abrir facsímil</v>
      </c>
      <c r="K3590" s="3" t="s">
        <v>24</v>
      </c>
    </row>
    <row r="3591" spans="1:11" ht="54" customHeight="1">
      <c r="A3591" s="2" t="s">
        <v>8053</v>
      </c>
      <c r="B3591" s="2" t="s">
        <v>8053</v>
      </c>
      <c r="C3591" s="2" t="s">
        <v>66</v>
      </c>
      <c r="D3591" s="2" t="s">
        <v>67</v>
      </c>
      <c r="E3591" s="5" t="s">
        <v>1178</v>
      </c>
      <c r="F3591" s="3" t="s">
        <v>1179</v>
      </c>
      <c r="G3591" s="3" t="s">
        <v>34</v>
      </c>
      <c r="H3591" s="2" t="s">
        <v>22</v>
      </c>
      <c r="I3591" s="2" t="s">
        <v>8054</v>
      </c>
      <c r="J3591" s="3" t="str">
        <f>HYPERLINK("https://www.boe.es/gazeta/dias/1834/04/10/pdfs/GMD-C-1834-49.pdf#page=1","Abrir facsímil")</f>
        <v>Abrir facsímil</v>
      </c>
      <c r="K3591" s="3" t="s">
        <v>24</v>
      </c>
    </row>
    <row r="3592" spans="1:11" ht="54" customHeight="1">
      <c r="A3592" s="2" t="s">
        <v>8053</v>
      </c>
      <c r="B3592" s="2" t="s">
        <v>8053</v>
      </c>
      <c r="C3592" s="2" t="s">
        <v>90</v>
      </c>
      <c r="D3592" s="2" t="s">
        <v>67</v>
      </c>
      <c r="E3592" s="5" t="s">
        <v>192</v>
      </c>
      <c r="F3592" s="3" t="s">
        <v>2713</v>
      </c>
      <c r="G3592" s="3" t="s">
        <v>34</v>
      </c>
      <c r="H3592" s="2" t="s">
        <v>22</v>
      </c>
      <c r="I3592" s="2" t="s">
        <v>8055</v>
      </c>
      <c r="J3592" s="3" t="str">
        <f>HYPERLINK("https://www.boe.es/gazeta/dias/1834/12/31/pdfs/GMD-D-1834-321.pdf#page=1","Abrir facsímil")</f>
        <v>Abrir facsímil</v>
      </c>
      <c r="K3592" s="3" t="s">
        <v>24</v>
      </c>
    </row>
    <row r="3593" spans="1:11" ht="54" customHeight="1">
      <c r="A3593" s="2" t="s">
        <v>8056</v>
      </c>
      <c r="B3593" s="2" t="s">
        <v>8057</v>
      </c>
      <c r="C3593" s="2" t="s">
        <v>17</v>
      </c>
      <c r="D3593" s="2" t="s">
        <v>18</v>
      </c>
      <c r="E3593" s="5" t="s">
        <v>128</v>
      </c>
      <c r="F3593" s="3" t="s">
        <v>129</v>
      </c>
      <c r="G3593" s="3" t="s">
        <v>28</v>
      </c>
      <c r="H3593" s="2" t="s">
        <v>22</v>
      </c>
      <c r="I3593" s="2" t="s">
        <v>8058</v>
      </c>
      <c r="J3593" s="3" t="str">
        <f>HYPERLINK("https://www.boe.es/gazeta/dias/1834/12/24/pdfs/GMD-C-1834-314.pdf#page=5","Abrir facsímil")</f>
        <v>Abrir facsímil</v>
      </c>
      <c r="K3593" s="3" t="s">
        <v>24</v>
      </c>
    </row>
    <row r="3594" spans="1:11" ht="54" customHeight="1">
      <c r="A3594" s="2" t="s">
        <v>8059</v>
      </c>
      <c r="B3594" s="2" t="s">
        <v>8059</v>
      </c>
      <c r="C3594" s="2" t="s">
        <v>66</v>
      </c>
      <c r="D3594" s="2" t="s">
        <v>67</v>
      </c>
      <c r="E3594" s="5" t="s">
        <v>793</v>
      </c>
      <c r="F3594" s="3" t="s">
        <v>794</v>
      </c>
      <c r="G3594" s="3" t="s">
        <v>34</v>
      </c>
      <c r="H3594" s="2" t="s">
        <v>22</v>
      </c>
      <c r="I3594" s="2" t="s">
        <v>8060</v>
      </c>
      <c r="J3594" s="3" t="str">
        <f>HYPERLINK("https://www.boe.es/gazeta/dias/1834/10/08/pdfs/GMD-1834-236.pdf#page=1","Abrir facsímil")</f>
        <v>Abrir facsímil</v>
      </c>
      <c r="K3594" s="3" t="s">
        <v>24</v>
      </c>
    </row>
    <row r="3595" spans="1:11" ht="54" customHeight="1">
      <c r="A3595" s="2" t="s">
        <v>8059</v>
      </c>
      <c r="B3595" s="2" t="s">
        <v>8059</v>
      </c>
      <c r="C3595" s="2" t="s">
        <v>66</v>
      </c>
      <c r="D3595" s="2" t="s">
        <v>67</v>
      </c>
      <c r="E3595" s="5" t="s">
        <v>883</v>
      </c>
      <c r="F3595" s="3" t="s">
        <v>3449</v>
      </c>
      <c r="G3595" s="3" t="s">
        <v>21</v>
      </c>
      <c r="H3595" s="2" t="s">
        <v>22</v>
      </c>
      <c r="I3595" s="2" t="s">
        <v>8061</v>
      </c>
      <c r="J3595" s="3" t="str">
        <f>HYPERLINK("https://www.boe.es/gazeta/dias/1834/11/16/pdfs/GMD-1834-275.pdf#page=3","Abrir facsímil")</f>
        <v>Abrir facsímil</v>
      </c>
      <c r="K3595" s="3" t="s">
        <v>24</v>
      </c>
    </row>
    <row r="3596" spans="1:11" ht="54" customHeight="1">
      <c r="A3596" s="2" t="s">
        <v>8062</v>
      </c>
      <c r="B3596" s="2" t="s">
        <v>8062</v>
      </c>
      <c r="C3596" s="2" t="s">
        <v>17</v>
      </c>
      <c r="D3596" s="2" t="s">
        <v>18</v>
      </c>
      <c r="E3596" s="5" t="s">
        <v>1410</v>
      </c>
      <c r="F3596" s="3" t="s">
        <v>2231</v>
      </c>
      <c r="G3596" s="3" t="s">
        <v>34</v>
      </c>
      <c r="H3596" s="2" t="s">
        <v>22</v>
      </c>
      <c r="I3596" s="2" t="s">
        <v>8063</v>
      </c>
      <c r="J3596" s="3" t="str">
        <f>HYPERLINK("https://www.boe.es/gazeta/dias/1834/09/09/pdfs/GMD-C-1834-207.pdf#page=1","Abrir facsímil")</f>
        <v>Abrir facsímil</v>
      </c>
      <c r="K3596" s="3" t="s">
        <v>24</v>
      </c>
    </row>
    <row r="3597" spans="1:11" ht="54" customHeight="1">
      <c r="A3597" s="2" t="s">
        <v>8064</v>
      </c>
      <c r="B3597" s="2" t="s">
        <v>8065</v>
      </c>
      <c r="C3597" s="2" t="s">
        <v>17</v>
      </c>
      <c r="D3597" s="2" t="s">
        <v>18</v>
      </c>
      <c r="E3597" s="5" t="s">
        <v>367</v>
      </c>
      <c r="F3597" s="3" t="s">
        <v>368</v>
      </c>
      <c r="G3597" s="3" t="s">
        <v>21</v>
      </c>
      <c r="H3597" s="2" t="s">
        <v>35</v>
      </c>
      <c r="I3597" s="2" t="s">
        <v>8066</v>
      </c>
      <c r="J3597" s="3" t="str">
        <f>HYPERLINK("https://www.boe.es/gazeta/dias/1834/05/19/pdfs/GMD-1834-88.pdf#page=3","Abrir facsímil")</f>
        <v>Abrir facsímil</v>
      </c>
      <c r="K3597" s="3" t="s">
        <v>37</v>
      </c>
    </row>
    <row r="3598" spans="1:11" ht="54" customHeight="1">
      <c r="A3598" s="2" t="s">
        <v>8067</v>
      </c>
      <c r="B3598" s="2" t="s">
        <v>8068</v>
      </c>
      <c r="C3598" s="2" t="s">
        <v>17</v>
      </c>
      <c r="D3598" s="2" t="s">
        <v>18</v>
      </c>
      <c r="E3598" s="5" t="s">
        <v>367</v>
      </c>
      <c r="F3598" s="3" t="s">
        <v>368</v>
      </c>
      <c r="G3598" s="3" t="s">
        <v>21</v>
      </c>
      <c r="H3598" s="2" t="s">
        <v>22</v>
      </c>
      <c r="I3598" s="2" t="s">
        <v>8069</v>
      </c>
      <c r="J3598" s="3" t="str">
        <f>HYPERLINK("https://www.boe.es/gazeta/dias/1834/05/19/pdfs/GMD-1834-88.pdf#page=3","Abrir facsímil")</f>
        <v>Abrir facsímil</v>
      </c>
      <c r="K3598" s="3" t="s">
        <v>24</v>
      </c>
    </row>
    <row r="3599" spans="1:11" ht="54" customHeight="1">
      <c r="A3599" s="2" t="s">
        <v>8070</v>
      </c>
      <c r="B3599" s="2" t="s">
        <v>8071</v>
      </c>
      <c r="C3599" s="2" t="s">
        <v>17</v>
      </c>
      <c r="D3599" s="2" t="s">
        <v>18</v>
      </c>
      <c r="E3599" s="5" t="s">
        <v>1653</v>
      </c>
      <c r="F3599" s="3" t="s">
        <v>1654</v>
      </c>
      <c r="G3599" s="3" t="s">
        <v>21</v>
      </c>
      <c r="H3599" s="2" t="s">
        <v>35</v>
      </c>
      <c r="I3599" s="2" t="s">
        <v>8072</v>
      </c>
      <c r="J3599" s="3" t="str">
        <f>HYPERLINK("https://www.boe.es/gazeta/dias/1834/07/03/pdfs/GMD-1834-136.pdf#page=3","Abrir facsímil")</f>
        <v>Abrir facsímil</v>
      </c>
      <c r="K3599" s="3" t="s">
        <v>37</v>
      </c>
    </row>
    <row r="3600" spans="1:11" ht="54" customHeight="1">
      <c r="A3600" s="2" t="s">
        <v>8073</v>
      </c>
      <c r="B3600" s="2" t="s">
        <v>8074</v>
      </c>
      <c r="C3600" s="2" t="s">
        <v>17</v>
      </c>
      <c r="D3600" s="2" t="s">
        <v>18</v>
      </c>
      <c r="E3600" s="5" t="s">
        <v>785</v>
      </c>
      <c r="F3600" s="3" t="s">
        <v>786</v>
      </c>
      <c r="G3600" s="3" t="s">
        <v>34</v>
      </c>
      <c r="H3600" s="2" t="s">
        <v>22</v>
      </c>
      <c r="I3600" s="2" t="s">
        <v>8075</v>
      </c>
      <c r="J3600" s="3" t="str">
        <f>HYPERLINK("https://www.boe.es/gazeta/dias/1834/02/11/pdfs/GMD-1834-19.pdf#page=1","Abrir facsímil")</f>
        <v>Abrir facsímil</v>
      </c>
      <c r="K3600" s="3" t="s">
        <v>24</v>
      </c>
    </row>
    <row r="3601" spans="1:11" ht="54" customHeight="1">
      <c r="A3601" s="2" t="s">
        <v>8076</v>
      </c>
      <c r="B3601" s="2" t="s">
        <v>8077</v>
      </c>
      <c r="C3601" s="2" t="s">
        <v>17</v>
      </c>
      <c r="D3601" s="2" t="s">
        <v>18</v>
      </c>
      <c r="E3601" s="5" t="s">
        <v>863</v>
      </c>
      <c r="F3601" s="3" t="s">
        <v>864</v>
      </c>
      <c r="G3601" s="3" t="s">
        <v>75</v>
      </c>
      <c r="H3601" s="2" t="s">
        <v>22</v>
      </c>
      <c r="I3601" s="2" t="s">
        <v>8078</v>
      </c>
      <c r="J3601" s="3" t="str">
        <f>HYPERLINK("https://www.boe.es/gazeta/dias/1834/09/15/pdfs/GMD-1834-213.pdf#page=4","Abrir facsímil")</f>
        <v>Abrir facsímil</v>
      </c>
      <c r="K3601" s="3" t="s">
        <v>24</v>
      </c>
    </row>
    <row r="3602" spans="1:11" ht="54" customHeight="1">
      <c r="A3602" s="2" t="s">
        <v>8079</v>
      </c>
      <c r="B3602" s="2" t="s">
        <v>8079</v>
      </c>
      <c r="C3602" s="2" t="s">
        <v>17</v>
      </c>
      <c r="D3602" s="2" t="s">
        <v>18</v>
      </c>
      <c r="E3602" s="5" t="s">
        <v>2260</v>
      </c>
      <c r="F3602" s="3" t="s">
        <v>2263</v>
      </c>
      <c r="G3602" s="3" t="s">
        <v>34</v>
      </c>
      <c r="H3602" s="2" t="s">
        <v>22</v>
      </c>
      <c r="I3602" s="2" t="s">
        <v>8080</v>
      </c>
      <c r="J3602" s="3" t="str">
        <f>HYPERLINK("https://www.boe.es/gazeta/dias/1834/11/13/pdfs/GMD-C-1834-272.pdf#page=1","Abrir facsímil")</f>
        <v>Abrir facsímil</v>
      </c>
      <c r="K3602" s="3" t="s">
        <v>24</v>
      </c>
    </row>
    <row r="3603" spans="1:11" ht="54" customHeight="1">
      <c r="A3603" s="2" t="s">
        <v>8081</v>
      </c>
      <c r="B3603" s="2" t="s">
        <v>8081</v>
      </c>
      <c r="C3603" s="2" t="s">
        <v>17</v>
      </c>
      <c r="D3603" s="2" t="s">
        <v>18</v>
      </c>
      <c r="E3603" s="5" t="s">
        <v>433</v>
      </c>
      <c r="F3603" s="3" t="s">
        <v>434</v>
      </c>
      <c r="G3603" s="3" t="s">
        <v>34</v>
      </c>
      <c r="H3603" s="2" t="s">
        <v>22</v>
      </c>
      <c r="I3603" s="2" t="s">
        <v>8082</v>
      </c>
      <c r="J3603" s="3" t="str">
        <f>HYPERLINK("https://www.boe.es/gazeta/dias/1834/10/07/pdfs/GMD-C-1834-235.pdf#page=1","Abrir facsímil")</f>
        <v>Abrir facsímil</v>
      </c>
      <c r="K3603" s="3" t="s">
        <v>24</v>
      </c>
    </row>
    <row r="3604" spans="1:11" ht="54" customHeight="1">
      <c r="A3604" s="2" t="s">
        <v>8081</v>
      </c>
      <c r="B3604" s="2" t="s">
        <v>8081</v>
      </c>
      <c r="C3604" s="2" t="s">
        <v>17</v>
      </c>
      <c r="D3604" s="2" t="s">
        <v>18</v>
      </c>
      <c r="E3604" s="5" t="s">
        <v>2260</v>
      </c>
      <c r="F3604" s="3" t="s">
        <v>2263</v>
      </c>
      <c r="G3604" s="3" t="s">
        <v>34</v>
      </c>
      <c r="H3604" s="2" t="s">
        <v>22</v>
      </c>
      <c r="I3604" s="2" t="s">
        <v>8083</v>
      </c>
      <c r="J3604" s="3" t="str">
        <f>HYPERLINK("https://www.boe.es/gazeta/dias/1834/11/13/pdfs/GMD-C-1834-272.pdf#page=1","Abrir facsímil")</f>
        <v>Abrir facsímil</v>
      </c>
      <c r="K3604" s="3" t="s">
        <v>24</v>
      </c>
    </row>
    <row r="3605" spans="1:11" ht="54" customHeight="1">
      <c r="A3605" s="2" t="s">
        <v>8081</v>
      </c>
      <c r="B3605" s="2" t="s">
        <v>8081</v>
      </c>
      <c r="C3605" s="2" t="s">
        <v>17</v>
      </c>
      <c r="D3605" s="2" t="s">
        <v>18</v>
      </c>
      <c r="E3605" s="5" t="s">
        <v>1981</v>
      </c>
      <c r="F3605" s="3" t="s">
        <v>2471</v>
      </c>
      <c r="G3605" s="3" t="s">
        <v>21</v>
      </c>
      <c r="H3605" s="2" t="s">
        <v>22</v>
      </c>
      <c r="I3605" s="2" t="s">
        <v>8084</v>
      </c>
      <c r="J3605" s="3" t="str">
        <f>HYPERLINK("https://www.boe.es/gazeta/dias/1834/12/13/pdfs/GMD-C-1834-302.pdf#page=3","Abrir facsímil")</f>
        <v>Abrir facsímil</v>
      </c>
      <c r="K3605" s="3" t="s">
        <v>24</v>
      </c>
    </row>
    <row r="3606" spans="1:11" ht="54" customHeight="1">
      <c r="A3606" s="2" t="s">
        <v>8081</v>
      </c>
      <c r="B3606" s="2" t="s">
        <v>8081</v>
      </c>
      <c r="C3606" s="2" t="s">
        <v>17</v>
      </c>
      <c r="D3606" s="2" t="s">
        <v>18</v>
      </c>
      <c r="E3606" s="5" t="s">
        <v>1981</v>
      </c>
      <c r="F3606" s="3" t="s">
        <v>2471</v>
      </c>
      <c r="G3606" s="3" t="s">
        <v>75</v>
      </c>
      <c r="H3606" s="2" t="s">
        <v>22</v>
      </c>
      <c r="I3606" s="2" t="s">
        <v>8085</v>
      </c>
      <c r="J3606" s="3" t="str">
        <f>HYPERLINK("https://www.boe.es/gazeta/dias/1834/12/13/pdfs/GMD-C-1834-302.pdf#page=4","Abrir facsímil")</f>
        <v>Abrir facsímil</v>
      </c>
      <c r="K3606" s="3" t="s">
        <v>24</v>
      </c>
    </row>
    <row r="3607" spans="1:11" ht="54" customHeight="1">
      <c r="A3607" s="2" t="s">
        <v>8081</v>
      </c>
      <c r="B3607" s="2" t="s">
        <v>8081</v>
      </c>
      <c r="C3607" s="2" t="s">
        <v>17</v>
      </c>
      <c r="D3607" s="2" t="s">
        <v>18</v>
      </c>
      <c r="E3607" s="5" t="s">
        <v>2087</v>
      </c>
      <c r="F3607" s="3" t="s">
        <v>2267</v>
      </c>
      <c r="G3607" s="3" t="s">
        <v>1343</v>
      </c>
      <c r="H3607" s="2" t="s">
        <v>22</v>
      </c>
      <c r="I3607" s="2" t="s">
        <v>8086</v>
      </c>
      <c r="J3607" s="3" t="str">
        <f>HYPERLINK("https://www.boe.es/gazeta/dias/1834/12/14/pdfs/GMD-C-1834-303.pdf#page=9","Abrir facsímil")</f>
        <v>Abrir facsímil</v>
      </c>
      <c r="K3607" s="3" t="s">
        <v>24</v>
      </c>
    </row>
    <row r="3608" spans="1:11" ht="54" customHeight="1">
      <c r="A3608" s="2" t="s">
        <v>8081</v>
      </c>
      <c r="B3608" s="2" t="s">
        <v>8081</v>
      </c>
      <c r="C3608" s="2" t="s">
        <v>17</v>
      </c>
      <c r="D3608" s="2" t="s">
        <v>18</v>
      </c>
      <c r="E3608" s="5" t="s">
        <v>1195</v>
      </c>
      <c r="F3608" s="3" t="s">
        <v>1196</v>
      </c>
      <c r="G3608" s="3" t="s">
        <v>1343</v>
      </c>
      <c r="H3608" s="2" t="s">
        <v>22</v>
      </c>
      <c r="I3608" s="2" t="s">
        <v>8087</v>
      </c>
      <c r="J3608" s="3" t="str">
        <f>HYPERLINK("https://www.boe.es/gazeta/dias/1834/10/17/pdfs/GMD-C-1834-245.pdf#page=9","Abrir facsímil")</f>
        <v>Abrir facsímil</v>
      </c>
      <c r="K3608" s="3" t="s">
        <v>24</v>
      </c>
    </row>
    <row r="3609" spans="1:11" ht="54" customHeight="1">
      <c r="A3609" s="2" t="s">
        <v>8081</v>
      </c>
      <c r="B3609" s="2" t="s">
        <v>8081</v>
      </c>
      <c r="C3609" s="2" t="s">
        <v>17</v>
      </c>
      <c r="D3609" s="2" t="s">
        <v>40</v>
      </c>
      <c r="E3609" s="5" t="s">
        <v>2278</v>
      </c>
      <c r="F3609" s="3" t="s">
        <v>2279</v>
      </c>
      <c r="G3609" s="3" t="s">
        <v>75</v>
      </c>
      <c r="H3609" s="2" t="s">
        <v>22</v>
      </c>
      <c r="I3609" s="2" t="s">
        <v>8088</v>
      </c>
      <c r="J3609" s="3" t="str">
        <f>HYPERLINK("https://www.boe.es/gazeta/dias/1834/12/17/pdfs/GMD-C-1834-306.pdf#page=4","Abrir facsímil")</f>
        <v>Abrir facsímil</v>
      </c>
      <c r="K3609" s="3" t="s">
        <v>24</v>
      </c>
    </row>
    <row r="3610" spans="1:11" ht="54" customHeight="1">
      <c r="A3610" s="2" t="s">
        <v>8081</v>
      </c>
      <c r="B3610" s="2" t="s">
        <v>8081</v>
      </c>
      <c r="C3610" s="2" t="s">
        <v>90</v>
      </c>
      <c r="D3610" s="2" t="s">
        <v>18</v>
      </c>
      <c r="E3610" s="5" t="s">
        <v>262</v>
      </c>
      <c r="F3610" s="3" t="s">
        <v>263</v>
      </c>
      <c r="G3610" s="3" t="s">
        <v>86</v>
      </c>
      <c r="H3610" s="2" t="s">
        <v>22</v>
      </c>
      <c r="I3610" s="2" t="s">
        <v>8089</v>
      </c>
      <c r="J3610" s="3" t="str">
        <f>HYPERLINK("https://www.boe.es/gazeta/dias/1834/10/18/pdfs/GMD-C-1834-246.pdf#page=2","Abrir facsímil")</f>
        <v>Abrir facsímil</v>
      </c>
      <c r="K3610" s="3" t="s">
        <v>24</v>
      </c>
    </row>
    <row r="3611" spans="1:11" ht="54" customHeight="1">
      <c r="A3611" s="2" t="s">
        <v>8081</v>
      </c>
      <c r="B3611" s="2" t="s">
        <v>8081</v>
      </c>
      <c r="C3611" s="2" t="s">
        <v>17</v>
      </c>
      <c r="D3611" s="2" t="s">
        <v>18</v>
      </c>
      <c r="E3611" s="5" t="s">
        <v>262</v>
      </c>
      <c r="F3611" s="3" t="s">
        <v>263</v>
      </c>
      <c r="G3611" s="3" t="s">
        <v>28</v>
      </c>
      <c r="H3611" s="2" t="s">
        <v>22</v>
      </c>
      <c r="I3611" s="2" t="s">
        <v>8090</v>
      </c>
      <c r="J3611" s="3" t="str">
        <f>HYPERLINK("https://www.boe.es/gazeta/dias/1834/10/18/pdfs/GMD-C-1834-246.pdf#page=5","Abrir facsímil")</f>
        <v>Abrir facsímil</v>
      </c>
      <c r="K3611" s="3" t="s">
        <v>24</v>
      </c>
    </row>
    <row r="3612" spans="1:11" ht="54" customHeight="1">
      <c r="A3612" s="2" t="s">
        <v>8081</v>
      </c>
      <c r="B3612" s="2" t="s">
        <v>8081</v>
      </c>
      <c r="C3612" s="2" t="s">
        <v>17</v>
      </c>
      <c r="D3612" s="2" t="s">
        <v>40</v>
      </c>
      <c r="E3612" s="5" t="s">
        <v>265</v>
      </c>
      <c r="F3612" s="3" t="s">
        <v>266</v>
      </c>
      <c r="G3612" s="3" t="s">
        <v>21</v>
      </c>
      <c r="H3612" s="2" t="s">
        <v>22</v>
      </c>
      <c r="I3612" s="2" t="s">
        <v>8091</v>
      </c>
      <c r="J3612" s="3" t="str">
        <f>HYPERLINK("https://www.boe.es/gazeta/dias/1834/11/19/pdfs/GMD-C-1834-278.pdf#page=3","Abrir facsímil")</f>
        <v>Abrir facsímil</v>
      </c>
      <c r="K3612" s="3" t="s">
        <v>24</v>
      </c>
    </row>
    <row r="3613" spans="1:11" ht="54" customHeight="1">
      <c r="A3613" s="2" t="s">
        <v>8081</v>
      </c>
      <c r="B3613" s="2" t="s">
        <v>8081</v>
      </c>
      <c r="C3613" s="2" t="s">
        <v>17</v>
      </c>
      <c r="D3613" s="2" t="s">
        <v>18</v>
      </c>
      <c r="E3613" s="5" t="s">
        <v>265</v>
      </c>
      <c r="F3613" s="3" t="s">
        <v>266</v>
      </c>
      <c r="G3613" s="3" t="s">
        <v>75</v>
      </c>
      <c r="H3613" s="2" t="s">
        <v>22</v>
      </c>
      <c r="I3613" s="2" t="s">
        <v>8092</v>
      </c>
      <c r="J3613" s="3" t="str">
        <f>HYPERLINK("https://www.boe.es/gazeta/dias/1834/11/19/pdfs/GMD-C-1834-278.pdf#page=4","Abrir facsímil")</f>
        <v>Abrir facsímil</v>
      </c>
      <c r="K3613" s="3" t="s">
        <v>24</v>
      </c>
    </row>
    <row r="3614" spans="1:11" ht="54" customHeight="1">
      <c r="A3614" s="2" t="s">
        <v>8081</v>
      </c>
      <c r="B3614" s="2" t="s">
        <v>8081</v>
      </c>
      <c r="C3614" s="2" t="s">
        <v>17</v>
      </c>
      <c r="D3614" s="2" t="s">
        <v>18</v>
      </c>
      <c r="E3614" s="5" t="s">
        <v>610</v>
      </c>
      <c r="F3614" s="3" t="s">
        <v>611</v>
      </c>
      <c r="G3614" s="3" t="s">
        <v>176</v>
      </c>
      <c r="H3614" s="2" t="s">
        <v>22</v>
      </c>
      <c r="I3614" s="2" t="s">
        <v>8093</v>
      </c>
      <c r="J3614" s="3" t="str">
        <f>HYPERLINK("https://www.boe.es/gazeta/dias/1834/12/21/pdfs/GMD-C-1834-311.pdf#page=6","Abrir facsímil")</f>
        <v>Abrir facsímil</v>
      </c>
      <c r="K3614" s="3" t="s">
        <v>24</v>
      </c>
    </row>
    <row r="3615" spans="1:11" ht="54" customHeight="1">
      <c r="A3615" s="2" t="s">
        <v>8081</v>
      </c>
      <c r="B3615" s="2" t="s">
        <v>8081</v>
      </c>
      <c r="C3615" s="2" t="s">
        <v>17</v>
      </c>
      <c r="D3615" s="2" t="s">
        <v>18</v>
      </c>
      <c r="E3615" s="5" t="s">
        <v>576</v>
      </c>
      <c r="F3615" s="3" t="s">
        <v>5888</v>
      </c>
      <c r="G3615" s="3" t="s">
        <v>34</v>
      </c>
      <c r="H3615" s="2" t="s">
        <v>22</v>
      </c>
      <c r="I3615" s="2" t="s">
        <v>8094</v>
      </c>
      <c r="J3615" s="3" t="str">
        <f>HYPERLINK("https://www.boe.es/gazeta/dias/1834/09/23/pdfs/GMD-C-1834-221.pdf#page=1","Abrir facsímil")</f>
        <v>Abrir facsímil</v>
      </c>
      <c r="K3615" s="3" t="s">
        <v>24</v>
      </c>
    </row>
    <row r="3616" spans="1:11" ht="54" customHeight="1">
      <c r="A3616" s="2" t="s">
        <v>8081</v>
      </c>
      <c r="B3616" s="2" t="s">
        <v>8081</v>
      </c>
      <c r="C3616" s="2" t="s">
        <v>17</v>
      </c>
      <c r="D3616" s="2" t="s">
        <v>18</v>
      </c>
      <c r="E3616" s="5" t="s">
        <v>667</v>
      </c>
      <c r="F3616" s="3" t="s">
        <v>668</v>
      </c>
      <c r="G3616" s="3" t="s">
        <v>21</v>
      </c>
      <c r="H3616" s="2" t="s">
        <v>22</v>
      </c>
      <c r="I3616" s="2" t="s">
        <v>8095</v>
      </c>
      <c r="J3616" s="3" t="str">
        <f>HYPERLINK("https://www.boe.es/gazeta/dias/1834/11/23/pdfs/GMD-C-1834-282.pdf#page=3","Abrir facsímil")</f>
        <v>Abrir facsímil</v>
      </c>
      <c r="K3616" s="3" t="s">
        <v>24</v>
      </c>
    </row>
    <row r="3617" spans="1:11" ht="54" customHeight="1">
      <c r="A3617" s="2" t="s">
        <v>8081</v>
      </c>
      <c r="B3617" s="2" t="s">
        <v>8081</v>
      </c>
      <c r="C3617" s="2" t="s">
        <v>17</v>
      </c>
      <c r="D3617" s="2" t="s">
        <v>18</v>
      </c>
      <c r="E3617" s="5" t="s">
        <v>394</v>
      </c>
      <c r="F3617" s="3" t="s">
        <v>459</v>
      </c>
      <c r="G3617" s="3" t="s">
        <v>34</v>
      </c>
      <c r="H3617" s="2" t="s">
        <v>22</v>
      </c>
      <c r="I3617" s="2" t="s">
        <v>8096</v>
      </c>
      <c r="J3617" s="3" t="str">
        <f>HYPERLINK("https://www.boe.es/gazeta/dias/1834/12/23/pdfs/GMD-C-1834-313.pdf#page=1","Abrir facsímil")</f>
        <v>Abrir facsímil</v>
      </c>
      <c r="K3617" s="3" t="s">
        <v>24</v>
      </c>
    </row>
    <row r="3618" spans="1:11" ht="54" customHeight="1">
      <c r="A3618" s="2" t="s">
        <v>8081</v>
      </c>
      <c r="B3618" s="2" t="s">
        <v>8081</v>
      </c>
      <c r="C3618" s="2" t="s">
        <v>66</v>
      </c>
      <c r="D3618" s="2" t="s">
        <v>67</v>
      </c>
      <c r="E3618" s="5" t="s">
        <v>394</v>
      </c>
      <c r="F3618" s="3" t="s">
        <v>459</v>
      </c>
      <c r="G3618" s="3" t="s">
        <v>75</v>
      </c>
      <c r="H3618" s="2" t="s">
        <v>22</v>
      </c>
      <c r="I3618" s="2" t="s">
        <v>8097</v>
      </c>
      <c r="J3618" s="3" t="str">
        <f>HYPERLINK("https://www.boe.es/gazeta/dias/1834/12/23/pdfs/GMD-C-1834-313.pdf#page=4","Abrir facsímil")</f>
        <v>Abrir facsímil</v>
      </c>
      <c r="K3618" s="3" t="s">
        <v>24</v>
      </c>
    </row>
    <row r="3619" spans="1:11" ht="54" customHeight="1">
      <c r="A3619" s="2" t="s">
        <v>8081</v>
      </c>
      <c r="B3619" s="2" t="s">
        <v>8081</v>
      </c>
      <c r="C3619" s="2" t="s">
        <v>17</v>
      </c>
      <c r="D3619" s="2" t="s">
        <v>18</v>
      </c>
      <c r="E3619" s="5" t="s">
        <v>707</v>
      </c>
      <c r="F3619" s="3" t="s">
        <v>708</v>
      </c>
      <c r="G3619" s="3" t="s">
        <v>560</v>
      </c>
      <c r="H3619" s="2" t="s">
        <v>22</v>
      </c>
      <c r="I3619" s="2" t="s">
        <v>8098</v>
      </c>
      <c r="J3619" s="3" t="str">
        <f>HYPERLINK("https://www.boe.es/gazeta/dias/1834/11/25/pdfs/GMD-C-1834-284.pdf#page=7","Abrir facsímil")</f>
        <v>Abrir facsímil</v>
      </c>
      <c r="K3619" s="3" t="s">
        <v>24</v>
      </c>
    </row>
    <row r="3620" spans="1:11" ht="54" customHeight="1">
      <c r="A3620" s="2" t="s">
        <v>8081</v>
      </c>
      <c r="B3620" s="2" t="s">
        <v>8081</v>
      </c>
      <c r="C3620" s="2" t="s">
        <v>90</v>
      </c>
      <c r="D3620" s="2" t="s">
        <v>18</v>
      </c>
      <c r="E3620" s="5" t="s">
        <v>707</v>
      </c>
      <c r="F3620" s="3" t="s">
        <v>708</v>
      </c>
      <c r="G3620" s="3" t="s">
        <v>470</v>
      </c>
      <c r="H3620" s="2" t="s">
        <v>22</v>
      </c>
      <c r="I3620" s="2" t="s">
        <v>8099</v>
      </c>
      <c r="J3620" s="3" t="str">
        <f>HYPERLINK("https://www.boe.es/gazeta/dias/1834/11/25/pdfs/GMD-C-1834-284.pdf#page=8","Abrir facsímil")</f>
        <v>Abrir facsímil</v>
      </c>
      <c r="K3620" s="3" t="s">
        <v>24</v>
      </c>
    </row>
    <row r="3621" spans="1:11" ht="54" customHeight="1">
      <c r="A3621" s="2" t="s">
        <v>8081</v>
      </c>
      <c r="B3621" s="2" t="s">
        <v>8081</v>
      </c>
      <c r="C3621" s="2" t="s">
        <v>17</v>
      </c>
      <c r="D3621" s="2" t="s">
        <v>18</v>
      </c>
      <c r="E3621" s="5" t="s">
        <v>510</v>
      </c>
      <c r="F3621" s="3" t="s">
        <v>531</v>
      </c>
      <c r="G3621" s="3" t="s">
        <v>75</v>
      </c>
      <c r="H3621" s="2" t="s">
        <v>22</v>
      </c>
      <c r="I3621" s="2" t="s">
        <v>8100</v>
      </c>
      <c r="J3621" s="3" t="str">
        <f>HYPERLINK("https://www.boe.es/gazeta/dias/1834/11/26/pdfs/GMD-C-1834-285.pdf#page=4","Abrir facsímil")</f>
        <v>Abrir facsímil</v>
      </c>
      <c r="K3621" s="3" t="s">
        <v>24</v>
      </c>
    </row>
    <row r="3622" spans="1:11" ht="54" customHeight="1">
      <c r="A3622" s="2" t="s">
        <v>8081</v>
      </c>
      <c r="B3622" s="2" t="s">
        <v>8081</v>
      </c>
      <c r="C3622" s="2" t="s">
        <v>17</v>
      </c>
      <c r="D3622" s="2" t="s">
        <v>40</v>
      </c>
      <c r="E3622" s="5" t="s">
        <v>174</v>
      </c>
      <c r="F3622" s="3" t="s">
        <v>175</v>
      </c>
      <c r="G3622" s="3" t="s">
        <v>75</v>
      </c>
      <c r="H3622" s="2" t="s">
        <v>22</v>
      </c>
      <c r="I3622" s="2" t="s">
        <v>8101</v>
      </c>
      <c r="J3622" s="3" t="str">
        <f>HYPERLINK("https://www.boe.es/gazeta/dias/1834/03/27/pdfs/GMD-1834-38.pdf#page=4","Abrir facsímil")</f>
        <v>Abrir facsímil</v>
      </c>
      <c r="K3622" s="3" t="s">
        <v>24</v>
      </c>
    </row>
    <row r="3623" spans="1:11" ht="54" customHeight="1">
      <c r="A3623" s="2" t="s">
        <v>8081</v>
      </c>
      <c r="B3623" s="2" t="s">
        <v>8081</v>
      </c>
      <c r="C3623" s="2" t="s">
        <v>17</v>
      </c>
      <c r="D3623" s="2" t="s">
        <v>18</v>
      </c>
      <c r="E3623" s="5" t="s">
        <v>465</v>
      </c>
      <c r="F3623" s="3" t="s">
        <v>466</v>
      </c>
      <c r="G3623" s="3" t="s">
        <v>34</v>
      </c>
      <c r="H3623" s="2" t="s">
        <v>22</v>
      </c>
      <c r="I3623" s="2" t="s">
        <v>8102</v>
      </c>
      <c r="J3623" s="3" t="str">
        <f>HYPERLINK("https://www.boe.es/gazeta/dias/1834/11/27/pdfs/GMD-C-1834-286.pdf#page=1","Abrir facsímil")</f>
        <v>Abrir facsímil</v>
      </c>
      <c r="K3623" s="3" t="s">
        <v>24</v>
      </c>
    </row>
    <row r="3624" spans="1:11" ht="54" customHeight="1">
      <c r="A3624" s="2" t="s">
        <v>8081</v>
      </c>
      <c r="B3624" s="2" t="s">
        <v>8081</v>
      </c>
      <c r="C3624" s="2" t="s">
        <v>17</v>
      </c>
      <c r="D3624" s="2" t="s">
        <v>18</v>
      </c>
      <c r="E3624" s="5" t="s">
        <v>283</v>
      </c>
      <c r="F3624" s="3" t="s">
        <v>284</v>
      </c>
      <c r="G3624" s="3" t="s">
        <v>21</v>
      </c>
      <c r="H3624" s="2" t="s">
        <v>22</v>
      </c>
      <c r="I3624" s="2" t="s">
        <v>8103</v>
      </c>
      <c r="J3624" s="3" t="str">
        <f>HYPERLINK("https://www.boe.es/gazeta/dias/1834/11/29/pdfs/GMD-C-1834-288.pdf#page=3","Abrir facsímil")</f>
        <v>Abrir facsímil</v>
      </c>
      <c r="K3624" s="3" t="s">
        <v>24</v>
      </c>
    </row>
    <row r="3625" spans="1:11" ht="54" customHeight="1">
      <c r="A3625" s="2" t="s">
        <v>8081</v>
      </c>
      <c r="B3625" s="2" t="s">
        <v>8081</v>
      </c>
      <c r="C3625" s="2" t="s">
        <v>17</v>
      </c>
      <c r="D3625" s="2" t="s">
        <v>18</v>
      </c>
      <c r="E3625" s="5" t="s">
        <v>2526</v>
      </c>
      <c r="F3625" s="3" t="s">
        <v>2527</v>
      </c>
      <c r="G3625" s="3" t="s">
        <v>21</v>
      </c>
      <c r="H3625" s="2" t="s">
        <v>22</v>
      </c>
      <c r="I3625" s="2" t="s">
        <v>8104</v>
      </c>
      <c r="J3625" s="3" t="str">
        <f>HYPERLINK("https://www.boe.es/gazeta/dias/1834/12/29/pdfs/GMD-C-1834-319.pdf#page=3","Abrir facsímil")</f>
        <v>Abrir facsímil</v>
      </c>
      <c r="K3625" s="3" t="s">
        <v>24</v>
      </c>
    </row>
    <row r="3626" spans="1:11" ht="54" customHeight="1">
      <c r="A3626" s="2" t="s">
        <v>8105</v>
      </c>
      <c r="B3626" s="2" t="s">
        <v>8106</v>
      </c>
      <c r="C3626" s="2" t="s">
        <v>66</v>
      </c>
      <c r="D3626" s="2" t="s">
        <v>18</v>
      </c>
      <c r="E3626" s="5" t="s">
        <v>919</v>
      </c>
      <c r="F3626" s="3" t="s">
        <v>920</v>
      </c>
      <c r="G3626" s="3" t="s">
        <v>75</v>
      </c>
      <c r="H3626" s="2" t="s">
        <v>22</v>
      </c>
      <c r="I3626" s="2" t="s">
        <v>8107</v>
      </c>
      <c r="J3626" s="3" t="str">
        <f>HYPERLINK("https://www.boe.es/gazeta/dias/1834/06/24/pdfs/GMD-1834-127.pdf#page=4","Abrir facsímil")</f>
        <v>Abrir facsímil</v>
      </c>
      <c r="K3626" s="3" t="s">
        <v>24</v>
      </c>
    </row>
    <row r="3627" spans="1:11" ht="54" customHeight="1">
      <c r="A3627" s="2" t="s">
        <v>8108</v>
      </c>
      <c r="B3627" s="2" t="s">
        <v>8109</v>
      </c>
      <c r="C3627" s="2" t="s">
        <v>17</v>
      </c>
      <c r="D3627" s="2" t="s">
        <v>40</v>
      </c>
      <c r="E3627" s="5" t="s">
        <v>981</v>
      </c>
      <c r="F3627" s="3" t="s">
        <v>3406</v>
      </c>
      <c r="G3627" s="3" t="s">
        <v>34</v>
      </c>
      <c r="H3627" s="2" t="s">
        <v>35</v>
      </c>
      <c r="I3627" s="2" t="s">
        <v>8110</v>
      </c>
      <c r="J3627" s="3" t="str">
        <f>HYPERLINK("https://www.boe.es/gazeta/dias/1834/09/21/pdfs/GMD-C-1834-219.pdf#page=1","Abrir facsímil")</f>
        <v>Abrir facsímil</v>
      </c>
      <c r="K3627" s="3" t="s">
        <v>37</v>
      </c>
    </row>
    <row r="3628" spans="1:11" ht="54" customHeight="1">
      <c r="A3628" s="2" t="s">
        <v>8108</v>
      </c>
      <c r="B3628" s="2" t="s">
        <v>8109</v>
      </c>
      <c r="C3628" s="2" t="s">
        <v>90</v>
      </c>
      <c r="D3628" s="2" t="s">
        <v>18</v>
      </c>
      <c r="E3628" s="5" t="s">
        <v>247</v>
      </c>
      <c r="F3628" s="3" t="s">
        <v>248</v>
      </c>
      <c r="G3628" s="3" t="s">
        <v>34</v>
      </c>
      <c r="H3628" s="2" t="s">
        <v>35</v>
      </c>
      <c r="I3628" s="2" t="s">
        <v>8111</v>
      </c>
      <c r="J3628" s="3" t="str">
        <f>HYPERLINK("https://www.boe.es/gazeta/dias/1834/08/23/pdfs/GMD-C-1834-189.pdf#page=1","Abrir facsímil")</f>
        <v>Abrir facsímil</v>
      </c>
      <c r="K3628" s="3" t="s">
        <v>37</v>
      </c>
    </row>
    <row r="3629" spans="1:11" ht="54" customHeight="1">
      <c r="A3629" s="2" t="s">
        <v>8108</v>
      </c>
      <c r="B3629" s="2" t="s">
        <v>8109</v>
      </c>
      <c r="C3629" s="2" t="s">
        <v>17</v>
      </c>
      <c r="D3629" s="2" t="s">
        <v>18</v>
      </c>
      <c r="E3629" s="5" t="s">
        <v>576</v>
      </c>
      <c r="F3629" s="3" t="s">
        <v>5888</v>
      </c>
      <c r="G3629" s="3" t="s">
        <v>34</v>
      </c>
      <c r="H3629" s="2" t="s">
        <v>35</v>
      </c>
      <c r="I3629" s="2" t="s">
        <v>8112</v>
      </c>
      <c r="J3629" s="3" t="str">
        <f>HYPERLINK("https://www.boe.es/gazeta/dias/1834/09/23/pdfs/GMD-C-1834-221.pdf#page=1","Abrir facsímil")</f>
        <v>Abrir facsímil</v>
      </c>
      <c r="K3629" s="3" t="s">
        <v>37</v>
      </c>
    </row>
    <row r="3630" spans="1:11" ht="54" customHeight="1">
      <c r="A3630" s="2" t="s">
        <v>8108</v>
      </c>
      <c r="B3630" s="2" t="s">
        <v>8109</v>
      </c>
      <c r="C3630" s="2" t="s">
        <v>17</v>
      </c>
      <c r="D3630" s="2" t="s">
        <v>18</v>
      </c>
      <c r="E3630" s="5" t="s">
        <v>174</v>
      </c>
      <c r="F3630" s="3" t="s">
        <v>175</v>
      </c>
      <c r="G3630" s="3" t="s">
        <v>75</v>
      </c>
      <c r="H3630" s="2" t="s">
        <v>35</v>
      </c>
      <c r="I3630" s="2" t="s">
        <v>8113</v>
      </c>
      <c r="J3630" s="3" t="str">
        <f>HYPERLINK("https://www.boe.es/gazeta/dias/1834/03/27/pdfs/GMD-1834-38.pdf#page=4","Abrir facsímil")</f>
        <v>Abrir facsímil</v>
      </c>
      <c r="K3630" s="3" t="s">
        <v>37</v>
      </c>
    </row>
    <row r="3631" spans="1:11" ht="54" customHeight="1">
      <c r="A3631" s="2" t="s">
        <v>8114</v>
      </c>
      <c r="B3631" s="2" t="s">
        <v>8115</v>
      </c>
      <c r="C3631" s="2" t="s">
        <v>66</v>
      </c>
      <c r="D3631" s="2" t="s">
        <v>67</v>
      </c>
      <c r="E3631" s="5" t="s">
        <v>552</v>
      </c>
      <c r="F3631" s="3" t="s">
        <v>553</v>
      </c>
      <c r="G3631" s="3" t="s">
        <v>21</v>
      </c>
      <c r="H3631" s="2" t="s">
        <v>22</v>
      </c>
      <c r="I3631" s="2" t="s">
        <v>8116</v>
      </c>
      <c r="J3631" s="3" t="str">
        <f>HYPERLINK("https://www.boe.es/gazeta/dias/1834/07/30/pdfs/GMD-1834-163.pdf#page=3","Abrir facsímil")</f>
        <v>Abrir facsímil</v>
      </c>
      <c r="K3631" s="3" t="s">
        <v>24</v>
      </c>
    </row>
    <row r="3632" spans="1:11" ht="54" customHeight="1">
      <c r="A3632" s="2" t="s">
        <v>8117</v>
      </c>
      <c r="B3632" s="2" t="s">
        <v>8118</v>
      </c>
      <c r="C3632" s="2" t="s">
        <v>17</v>
      </c>
      <c r="D3632" s="2" t="s">
        <v>18</v>
      </c>
      <c r="E3632" s="5" t="s">
        <v>167</v>
      </c>
      <c r="F3632" s="3" t="s">
        <v>1200</v>
      </c>
      <c r="G3632" s="3" t="s">
        <v>86</v>
      </c>
      <c r="H3632" s="2" t="s">
        <v>22</v>
      </c>
      <c r="I3632" s="2" t="s">
        <v>8119</v>
      </c>
      <c r="J3632" s="3" t="str">
        <f>HYPERLINK("https://www.boe.es/gazeta/dias/1834/09/07/pdfs/GMD-C-1834-205.pdf#page=2","Abrir facsímil")</f>
        <v>Abrir facsímil</v>
      </c>
      <c r="K3632" s="3" t="s">
        <v>24</v>
      </c>
    </row>
    <row r="3633" spans="1:11" ht="54" customHeight="1">
      <c r="A3633" s="2" t="s">
        <v>8117</v>
      </c>
      <c r="B3633" s="2" t="s">
        <v>8118</v>
      </c>
      <c r="C3633" s="2" t="s">
        <v>17</v>
      </c>
      <c r="D3633" s="2" t="s">
        <v>40</v>
      </c>
      <c r="E3633" s="5" t="s">
        <v>981</v>
      </c>
      <c r="F3633" s="3" t="s">
        <v>3406</v>
      </c>
      <c r="G3633" s="3" t="s">
        <v>34</v>
      </c>
      <c r="H3633" s="2" t="s">
        <v>22</v>
      </c>
      <c r="I3633" s="2" t="s">
        <v>8120</v>
      </c>
      <c r="J3633" s="3" t="str">
        <f>HYPERLINK("https://www.boe.es/gazeta/dias/1834/09/21/pdfs/GMD-C-1834-219.pdf#page=1","Abrir facsímil")</f>
        <v>Abrir facsímil</v>
      </c>
      <c r="K3633" s="3" t="s">
        <v>24</v>
      </c>
    </row>
    <row r="3634" spans="1:11" ht="54" customHeight="1">
      <c r="A3634" s="2" t="s">
        <v>8117</v>
      </c>
      <c r="B3634" s="2" t="s">
        <v>8118</v>
      </c>
      <c r="C3634" s="2" t="s">
        <v>90</v>
      </c>
      <c r="D3634" s="2" t="s">
        <v>18</v>
      </c>
      <c r="E3634" s="5" t="s">
        <v>247</v>
      </c>
      <c r="F3634" s="3" t="s">
        <v>248</v>
      </c>
      <c r="G3634" s="3" t="s">
        <v>34</v>
      </c>
      <c r="H3634" s="2" t="s">
        <v>22</v>
      </c>
      <c r="I3634" s="2" t="s">
        <v>8121</v>
      </c>
      <c r="J3634" s="3" t="str">
        <f>HYPERLINK("https://www.boe.es/gazeta/dias/1834/08/23/pdfs/GMD-C-1834-189.pdf#page=1","Abrir facsímil")</f>
        <v>Abrir facsímil</v>
      </c>
      <c r="K3634" s="3" t="s">
        <v>24</v>
      </c>
    </row>
    <row r="3635" spans="1:11" ht="54" customHeight="1">
      <c r="A3635" s="2" t="s">
        <v>8117</v>
      </c>
      <c r="B3635" s="2" t="s">
        <v>8118</v>
      </c>
      <c r="C3635" s="2" t="s">
        <v>17</v>
      </c>
      <c r="D3635" s="2" t="s">
        <v>18</v>
      </c>
      <c r="E3635" s="5" t="s">
        <v>576</v>
      </c>
      <c r="F3635" s="3" t="s">
        <v>5888</v>
      </c>
      <c r="G3635" s="3" t="s">
        <v>34</v>
      </c>
      <c r="H3635" s="2" t="s">
        <v>22</v>
      </c>
      <c r="I3635" s="2" t="s">
        <v>8122</v>
      </c>
      <c r="J3635" s="3" t="str">
        <f>HYPERLINK("https://www.boe.es/gazeta/dias/1834/09/23/pdfs/GMD-C-1834-221.pdf#page=1","Abrir facsímil")</f>
        <v>Abrir facsímil</v>
      </c>
      <c r="K3635" s="3" t="s">
        <v>24</v>
      </c>
    </row>
    <row r="3636" spans="1:11" ht="54" customHeight="1">
      <c r="A3636" s="2" t="s">
        <v>8117</v>
      </c>
      <c r="B3636" s="2" t="s">
        <v>8118</v>
      </c>
      <c r="C3636" s="2" t="s">
        <v>17</v>
      </c>
      <c r="D3636" s="2" t="s">
        <v>18</v>
      </c>
      <c r="E3636" s="5" t="s">
        <v>174</v>
      </c>
      <c r="F3636" s="3" t="s">
        <v>175</v>
      </c>
      <c r="G3636" s="3" t="s">
        <v>75</v>
      </c>
      <c r="H3636" s="2" t="s">
        <v>22</v>
      </c>
      <c r="I3636" s="2" t="s">
        <v>8123</v>
      </c>
      <c r="J3636" s="3" t="str">
        <f>HYPERLINK("https://www.boe.es/gazeta/dias/1834/03/27/pdfs/GMD-1834-38.pdf#page=4","Abrir facsímil")</f>
        <v>Abrir facsímil</v>
      </c>
      <c r="K3636" s="3" t="s">
        <v>24</v>
      </c>
    </row>
    <row r="3637" spans="1:11" ht="54" customHeight="1">
      <c r="A3637" s="2" t="s">
        <v>8124</v>
      </c>
      <c r="B3637" s="2" t="s">
        <v>8124</v>
      </c>
      <c r="C3637" s="2" t="s">
        <v>17</v>
      </c>
      <c r="D3637" s="2" t="s">
        <v>18</v>
      </c>
      <c r="E3637" s="5" t="s">
        <v>394</v>
      </c>
      <c r="F3637" s="3" t="s">
        <v>459</v>
      </c>
      <c r="G3637" s="3" t="s">
        <v>34</v>
      </c>
      <c r="H3637" s="2" t="s">
        <v>22</v>
      </c>
      <c r="I3637" s="2" t="s">
        <v>8125</v>
      </c>
      <c r="J3637" s="3" t="str">
        <f>HYPERLINK("https://www.boe.es/gazeta/dias/1834/12/23/pdfs/GMD-C-1834-313.pdf#page=1","Abrir facsímil")</f>
        <v>Abrir facsímil</v>
      </c>
      <c r="K3637" s="3" t="s">
        <v>24</v>
      </c>
    </row>
    <row r="3638" spans="1:11" ht="54" customHeight="1">
      <c r="A3638" s="2" t="s">
        <v>8126</v>
      </c>
      <c r="B3638" s="2" t="s">
        <v>8127</v>
      </c>
      <c r="C3638" s="2" t="s">
        <v>66</v>
      </c>
      <c r="D3638" s="2" t="s">
        <v>67</v>
      </c>
      <c r="E3638" s="5" t="s">
        <v>1239</v>
      </c>
      <c r="F3638" s="3" t="s">
        <v>1240</v>
      </c>
      <c r="G3638" s="3" t="s">
        <v>75</v>
      </c>
      <c r="H3638" s="2" t="s">
        <v>22</v>
      </c>
      <c r="I3638" s="2" t="s">
        <v>8128</v>
      </c>
      <c r="J3638" s="3" t="str">
        <f>HYPERLINK("https://www.boe.es/gazeta/dias/1834/08/20/pdfs/GMD-1834-186.pdf#page=4","Abrir facsímil")</f>
        <v>Abrir facsímil</v>
      </c>
      <c r="K3638" s="3" t="s">
        <v>24</v>
      </c>
    </row>
    <row r="3639" spans="1:11" ht="54" customHeight="1">
      <c r="A3639" s="2" t="s">
        <v>8129</v>
      </c>
      <c r="B3639" s="2" t="s">
        <v>8130</v>
      </c>
      <c r="C3639" s="2" t="s">
        <v>122</v>
      </c>
      <c r="D3639" s="2" t="s">
        <v>18</v>
      </c>
      <c r="E3639" s="5" t="s">
        <v>1239</v>
      </c>
      <c r="F3639" s="3" t="s">
        <v>1240</v>
      </c>
      <c r="G3639" s="3" t="s">
        <v>75</v>
      </c>
      <c r="H3639" s="2" t="s">
        <v>22</v>
      </c>
      <c r="I3639" s="2" t="s">
        <v>8131</v>
      </c>
      <c r="J3639" s="3" t="str">
        <f>HYPERLINK("https://www.boe.es/gazeta/dias/1834/08/20/pdfs/GMD-1834-186.pdf#page=4","Abrir facsímil")</f>
        <v>Abrir facsímil</v>
      </c>
      <c r="K3639" s="3" t="s">
        <v>24</v>
      </c>
    </row>
    <row r="3640" spans="1:11" ht="54" customHeight="1">
      <c r="A3640" s="2" t="s">
        <v>8132</v>
      </c>
      <c r="B3640" s="2" t="s">
        <v>8132</v>
      </c>
      <c r="C3640" s="2" t="s">
        <v>90</v>
      </c>
      <c r="D3640" s="2" t="s">
        <v>18</v>
      </c>
      <c r="E3640" s="5" t="s">
        <v>200</v>
      </c>
      <c r="F3640" s="3" t="s">
        <v>2248</v>
      </c>
      <c r="G3640" s="3" t="s">
        <v>34</v>
      </c>
      <c r="H3640" s="2" t="s">
        <v>22</v>
      </c>
      <c r="I3640" s="2" t="s">
        <v>8133</v>
      </c>
      <c r="J3640" s="3" t="str">
        <f>HYPERLINK("https://www.boe.es/gazeta/dias/1834/12/11/pdfs/GMD-C-1834-300.pdf#page=1","Abrir facsímil")</f>
        <v>Abrir facsímil</v>
      </c>
      <c r="K3640" s="3" t="s">
        <v>24</v>
      </c>
    </row>
    <row r="3641" spans="1:11" ht="54" customHeight="1">
      <c r="A3641" s="2" t="s">
        <v>8132</v>
      </c>
      <c r="B3641" s="2" t="s">
        <v>8132</v>
      </c>
      <c r="C3641" s="2" t="s">
        <v>90</v>
      </c>
      <c r="D3641" s="2" t="s">
        <v>18</v>
      </c>
      <c r="E3641" s="5" t="s">
        <v>454</v>
      </c>
      <c r="F3641" s="3" t="s">
        <v>455</v>
      </c>
      <c r="G3641" s="3" t="s">
        <v>75</v>
      </c>
      <c r="H3641" s="2" t="s">
        <v>22</v>
      </c>
      <c r="I3641" s="2" t="s">
        <v>8134</v>
      </c>
      <c r="J3641" s="3" t="str">
        <f>HYPERLINK("https://www.boe.es/gazeta/dias/1834/10/16/pdfs/GMD-C-1834-244.pdf#page=4","Abrir facsímil")</f>
        <v>Abrir facsímil</v>
      </c>
      <c r="K3641" s="3" t="s">
        <v>24</v>
      </c>
    </row>
    <row r="3642" spans="1:11" ht="54" customHeight="1">
      <c r="A3642" s="2" t="s">
        <v>8135</v>
      </c>
      <c r="B3642" s="2" t="s">
        <v>8136</v>
      </c>
      <c r="C3642" s="2" t="s">
        <v>90</v>
      </c>
      <c r="D3642" s="2" t="s">
        <v>67</v>
      </c>
      <c r="E3642" s="5" t="s">
        <v>1351</v>
      </c>
      <c r="F3642" s="3" t="s">
        <v>1352</v>
      </c>
      <c r="G3642" s="3" t="s">
        <v>75</v>
      </c>
      <c r="H3642" s="2" t="s">
        <v>35</v>
      </c>
      <c r="I3642" s="2" t="s">
        <v>8137</v>
      </c>
      <c r="J3642" s="3" t="str">
        <f>HYPERLINK("https://www.boe.es/gazeta/dias/1834/07/05/pdfs/GMD-1834-138.pdf#page=4","Abrir facsímil")</f>
        <v>Abrir facsímil</v>
      </c>
      <c r="K3642" s="3" t="s">
        <v>37</v>
      </c>
    </row>
    <row r="3643" spans="1:11" ht="54" customHeight="1">
      <c r="A3643" s="2" t="s">
        <v>8138</v>
      </c>
      <c r="B3643" s="2" t="s">
        <v>8139</v>
      </c>
      <c r="C3643" s="2" t="s">
        <v>90</v>
      </c>
      <c r="D3643" s="2" t="s">
        <v>67</v>
      </c>
      <c r="E3643" s="5" t="s">
        <v>1351</v>
      </c>
      <c r="F3643" s="3" t="s">
        <v>1352</v>
      </c>
      <c r="G3643" s="3" t="s">
        <v>75</v>
      </c>
      <c r="H3643" s="2" t="s">
        <v>22</v>
      </c>
      <c r="I3643" s="2" t="s">
        <v>8140</v>
      </c>
      <c r="J3643" s="3" t="str">
        <f>HYPERLINK("https://www.boe.es/gazeta/dias/1834/07/05/pdfs/GMD-1834-138.pdf#page=4","Abrir facsímil")</f>
        <v>Abrir facsímil</v>
      </c>
      <c r="K3643" s="3" t="s">
        <v>24</v>
      </c>
    </row>
    <row r="3644" spans="1:11" ht="54" customHeight="1">
      <c r="A3644" s="2" t="s">
        <v>8141</v>
      </c>
      <c r="B3644" s="2" t="s">
        <v>8142</v>
      </c>
      <c r="C3644" s="2" t="s">
        <v>17</v>
      </c>
      <c r="D3644" s="2" t="s">
        <v>18</v>
      </c>
      <c r="E3644" s="5" t="s">
        <v>976</v>
      </c>
      <c r="F3644" s="3" t="s">
        <v>977</v>
      </c>
      <c r="G3644" s="3" t="s">
        <v>21</v>
      </c>
      <c r="H3644" s="2" t="s">
        <v>22</v>
      </c>
      <c r="I3644" s="2" t="s">
        <v>8143</v>
      </c>
      <c r="J3644" s="3" t="str">
        <f>HYPERLINK("https://www.boe.es/gazeta/dias/1834/04/02/pdfs/GMD-1834-41.pdf#page=3","Abrir facsímil")</f>
        <v>Abrir facsímil</v>
      </c>
      <c r="K3644" s="3" t="s">
        <v>24</v>
      </c>
    </row>
    <row r="3645" spans="1:11" ht="54" customHeight="1">
      <c r="A3645" s="2" t="s">
        <v>8144</v>
      </c>
      <c r="B3645" s="2" t="s">
        <v>8144</v>
      </c>
      <c r="C3645" s="2" t="s">
        <v>90</v>
      </c>
      <c r="D3645" s="2" t="s">
        <v>67</v>
      </c>
      <c r="E3645" s="5" t="s">
        <v>863</v>
      </c>
      <c r="F3645" s="3" t="s">
        <v>864</v>
      </c>
      <c r="G3645" s="3" t="s">
        <v>86</v>
      </c>
      <c r="H3645" s="2" t="s">
        <v>22</v>
      </c>
      <c r="I3645" s="2" t="s">
        <v>8145</v>
      </c>
      <c r="J3645" s="3" t="str">
        <f>HYPERLINK("https://www.boe.es/gazeta/dias/1834/09/15/pdfs/GMD-1834-213.pdf#page=2","Abrir facsímil")</f>
        <v>Abrir facsímil</v>
      </c>
      <c r="K3645" s="3" t="s">
        <v>24</v>
      </c>
    </row>
    <row r="3646" spans="1:11" ht="54" customHeight="1">
      <c r="A3646" s="2" t="s">
        <v>8146</v>
      </c>
      <c r="B3646" s="2" t="s">
        <v>8146</v>
      </c>
      <c r="C3646" s="2" t="s">
        <v>17</v>
      </c>
      <c r="D3646" s="2" t="s">
        <v>18</v>
      </c>
      <c r="E3646" s="5" t="s">
        <v>1195</v>
      </c>
      <c r="F3646" s="3" t="s">
        <v>1196</v>
      </c>
      <c r="G3646" s="3" t="s">
        <v>21</v>
      </c>
      <c r="H3646" s="2" t="s">
        <v>22</v>
      </c>
      <c r="I3646" s="2" t="s">
        <v>8147</v>
      </c>
      <c r="J3646" s="3" t="str">
        <f>HYPERLINK("https://www.boe.es/gazeta/dias/1834/10/17/pdfs/GMD-C-1834-245.pdf#page=3","Abrir facsímil")</f>
        <v>Abrir facsímil</v>
      </c>
      <c r="K3646" s="3" t="s">
        <v>24</v>
      </c>
    </row>
    <row r="3647" spans="1:11" ht="54" customHeight="1">
      <c r="A3647" s="2" t="s">
        <v>8148</v>
      </c>
      <c r="B3647" s="2" t="s">
        <v>8148</v>
      </c>
      <c r="C3647" s="2" t="s">
        <v>17</v>
      </c>
      <c r="D3647" s="2" t="s">
        <v>18</v>
      </c>
      <c r="E3647" s="5" t="s">
        <v>4237</v>
      </c>
      <c r="F3647" s="3" t="s">
        <v>4238</v>
      </c>
      <c r="G3647" s="3" t="s">
        <v>21</v>
      </c>
      <c r="H3647" s="2" t="s">
        <v>22</v>
      </c>
      <c r="I3647" s="2" t="s">
        <v>8149</v>
      </c>
      <c r="J3647" s="3" t="str">
        <f>HYPERLINK("https://www.boe.es/gazeta/dias/1834/06/17/pdfs/GMD-1834-120.pdf#page=3","Abrir facsímil")</f>
        <v>Abrir facsímil</v>
      </c>
      <c r="K3647" s="3" t="s">
        <v>24</v>
      </c>
    </row>
    <row r="3648" spans="1:11" ht="54" customHeight="1">
      <c r="A3648" s="2" t="s">
        <v>8150</v>
      </c>
      <c r="B3648" s="2" t="s">
        <v>8150</v>
      </c>
      <c r="C3648" s="2" t="s">
        <v>46</v>
      </c>
      <c r="D3648" s="2" t="s">
        <v>55</v>
      </c>
      <c r="E3648" s="5" t="s">
        <v>1186</v>
      </c>
      <c r="F3648" s="3" t="s">
        <v>1187</v>
      </c>
      <c r="G3648" s="3" t="s">
        <v>34</v>
      </c>
      <c r="H3648" s="2" t="s">
        <v>22</v>
      </c>
      <c r="I3648" s="2" t="s">
        <v>8151</v>
      </c>
      <c r="J3648" s="3" t="str">
        <f>HYPERLINK("https://www.boe.es/gazeta/dias/1834/08/14/pdfs/GMD-1834-179.pdf#page=1","Abrir facsímil")</f>
        <v>Abrir facsímil</v>
      </c>
      <c r="K3648" s="3" t="s">
        <v>24</v>
      </c>
    </row>
    <row r="3649" spans="1:11" ht="54" customHeight="1">
      <c r="A3649" s="2" t="s">
        <v>8152</v>
      </c>
      <c r="B3649" s="2" t="s">
        <v>8152</v>
      </c>
      <c r="C3649" s="2" t="s">
        <v>17</v>
      </c>
      <c r="D3649" s="2" t="s">
        <v>18</v>
      </c>
      <c r="E3649" s="5" t="s">
        <v>394</v>
      </c>
      <c r="F3649" s="3" t="s">
        <v>459</v>
      </c>
      <c r="G3649" s="3" t="s">
        <v>34</v>
      </c>
      <c r="H3649" s="2" t="s">
        <v>22</v>
      </c>
      <c r="I3649" s="2" t="s">
        <v>8153</v>
      </c>
      <c r="J3649" s="3" t="str">
        <f>HYPERLINK("https://www.boe.es/gazeta/dias/1834/12/23/pdfs/GMD-C-1834-313.pdf#page=1","Abrir facsímil")</f>
        <v>Abrir facsímil</v>
      </c>
      <c r="K3649" s="3" t="s">
        <v>24</v>
      </c>
    </row>
    <row r="3650" spans="1:11" ht="54" customHeight="1">
      <c r="A3650" s="2" t="s">
        <v>8154</v>
      </c>
      <c r="B3650" s="2" t="s">
        <v>8154</v>
      </c>
      <c r="C3650" s="2" t="s">
        <v>17</v>
      </c>
      <c r="D3650" s="2" t="s">
        <v>18</v>
      </c>
      <c r="E3650" s="5" t="s">
        <v>905</v>
      </c>
      <c r="F3650" s="3" t="s">
        <v>1651</v>
      </c>
      <c r="G3650" s="3" t="s">
        <v>86</v>
      </c>
      <c r="H3650" s="2" t="s">
        <v>22</v>
      </c>
      <c r="I3650" s="2" t="s">
        <v>8155</v>
      </c>
      <c r="J3650" s="3" t="str">
        <f>HYPERLINK("https://www.boe.es/gazeta/dias/1834/08/02/pdfs/GMD-1834-166.pdf#page=2","Abrir facsímil")</f>
        <v>Abrir facsímil</v>
      </c>
      <c r="K3650" s="3" t="s">
        <v>24</v>
      </c>
    </row>
    <row r="3651" spans="1:11" ht="54" customHeight="1">
      <c r="A3651" s="2" t="s">
        <v>8156</v>
      </c>
      <c r="B3651" s="2" t="s">
        <v>8157</v>
      </c>
      <c r="C3651" s="2" t="s">
        <v>17</v>
      </c>
      <c r="D3651" s="2" t="s">
        <v>101</v>
      </c>
      <c r="E3651" s="5" t="s">
        <v>1812</v>
      </c>
      <c r="F3651" s="3" t="s">
        <v>1813</v>
      </c>
      <c r="G3651" s="3" t="s">
        <v>34</v>
      </c>
      <c r="H3651" s="2" t="s">
        <v>35</v>
      </c>
      <c r="I3651" s="2" t="s">
        <v>8158</v>
      </c>
      <c r="J3651" s="3" t="str">
        <f>HYPERLINK("https://www.boe.es/gazeta/dias/1834/10/23/pdfs/GMD-1834-251.pdf#page=1","Abrir facsímil")</f>
        <v>Abrir facsímil</v>
      </c>
      <c r="K3651" s="3" t="s">
        <v>37</v>
      </c>
    </row>
    <row r="3652" spans="1:11" ht="54" customHeight="1">
      <c r="A3652" s="2" t="s">
        <v>8159</v>
      </c>
      <c r="B3652" s="2" t="s">
        <v>8160</v>
      </c>
      <c r="C3652" s="2" t="s">
        <v>66</v>
      </c>
      <c r="D3652" s="2" t="s">
        <v>67</v>
      </c>
      <c r="E3652" s="5" t="s">
        <v>912</v>
      </c>
      <c r="F3652" s="3" t="s">
        <v>913</v>
      </c>
      <c r="G3652" s="3" t="s">
        <v>28</v>
      </c>
      <c r="H3652" s="2" t="s">
        <v>22</v>
      </c>
      <c r="I3652" s="2" t="s">
        <v>8161</v>
      </c>
      <c r="J3652" s="3" t="str">
        <f>HYPERLINK("https://www.boe.es/gazeta/dias/1834/02/15/pdfs/GMD-1834-21.pdf#page=5","Abrir facsímil")</f>
        <v>Abrir facsímil</v>
      </c>
      <c r="K3652" s="3" t="s">
        <v>24</v>
      </c>
    </row>
    <row r="3653" spans="1:11" ht="54" customHeight="1">
      <c r="A3653" s="2" t="s">
        <v>8162</v>
      </c>
      <c r="B3653" s="2" t="s">
        <v>8162</v>
      </c>
      <c r="C3653" s="2" t="s">
        <v>17</v>
      </c>
      <c r="D3653" s="2" t="s">
        <v>18</v>
      </c>
      <c r="E3653" s="5" t="s">
        <v>233</v>
      </c>
      <c r="F3653" s="3" t="s">
        <v>1810</v>
      </c>
      <c r="G3653" s="3" t="s">
        <v>86</v>
      </c>
      <c r="H3653" s="2" t="s">
        <v>22</v>
      </c>
      <c r="I3653" s="2" t="s">
        <v>8163</v>
      </c>
      <c r="J3653" s="3" t="str">
        <f>HYPERLINK("https://www.boe.es/gazeta/dias/1834/12/16/pdfs/GMD-C-1834-305.pdf#page=2","Abrir facsímil")</f>
        <v>Abrir facsímil</v>
      </c>
      <c r="K3653" s="3" t="s">
        <v>24</v>
      </c>
    </row>
    <row r="3654" spans="1:11" ht="54" customHeight="1">
      <c r="A3654" s="2" t="s">
        <v>8164</v>
      </c>
      <c r="B3654" s="2" t="s">
        <v>8165</v>
      </c>
      <c r="C3654" s="2" t="s">
        <v>90</v>
      </c>
      <c r="D3654" s="2" t="s">
        <v>18</v>
      </c>
      <c r="E3654" s="5" t="s">
        <v>2098</v>
      </c>
      <c r="F3654" s="3" t="s">
        <v>5817</v>
      </c>
      <c r="G3654" s="3" t="s">
        <v>34</v>
      </c>
      <c r="H3654" s="2" t="s">
        <v>22</v>
      </c>
      <c r="I3654" s="2" t="s">
        <v>8166</v>
      </c>
      <c r="J3654" s="3" t="str">
        <f>HYPERLINK("https://www.boe.es/gazeta/dias/1834/08/11/pdfs/GMD-C-1834-176.pdf#page=1","Abrir facsímil")</f>
        <v>Abrir facsímil</v>
      </c>
      <c r="K3654" s="3" t="s">
        <v>24</v>
      </c>
    </row>
    <row r="3655" spans="1:11" ht="54" customHeight="1">
      <c r="A3655" s="2" t="s">
        <v>8167</v>
      </c>
      <c r="B3655" s="2" t="s">
        <v>8168</v>
      </c>
      <c r="C3655" s="2" t="s">
        <v>66</v>
      </c>
      <c r="D3655" s="2" t="s">
        <v>67</v>
      </c>
      <c r="E3655" s="5" t="s">
        <v>2945</v>
      </c>
      <c r="F3655" s="3" t="s">
        <v>2946</v>
      </c>
      <c r="G3655" s="3" t="s">
        <v>21</v>
      </c>
      <c r="H3655" s="2" t="s">
        <v>22</v>
      </c>
      <c r="I3655" s="2" t="s">
        <v>8169</v>
      </c>
      <c r="J3655" s="3" t="str">
        <f>HYPERLINK("https://www.boe.es/gazeta/dias/1834/05/29/pdfs/GMD-1834-98.pdf#page=3","Abrir facsímil")</f>
        <v>Abrir facsímil</v>
      </c>
      <c r="K3655" s="3" t="s">
        <v>24</v>
      </c>
    </row>
    <row r="3656" spans="1:11" ht="54" customHeight="1">
      <c r="A3656" s="2" t="s">
        <v>8170</v>
      </c>
      <c r="B3656" s="2" t="s">
        <v>8170</v>
      </c>
      <c r="C3656" s="2" t="s">
        <v>17</v>
      </c>
      <c r="D3656" s="2" t="s">
        <v>18</v>
      </c>
      <c r="E3656" s="5" t="s">
        <v>663</v>
      </c>
      <c r="F3656" s="3" t="s">
        <v>664</v>
      </c>
      <c r="G3656" s="3" t="s">
        <v>75</v>
      </c>
      <c r="H3656" s="2" t="s">
        <v>22</v>
      </c>
      <c r="I3656" s="2" t="s">
        <v>8171</v>
      </c>
      <c r="J3656" s="3" t="str">
        <f>HYPERLINK("https://www.boe.es/gazeta/dias/1834/07/16/pdfs/GMD-1834-149.pdf#page=4","Abrir facsímil")</f>
        <v>Abrir facsímil</v>
      </c>
      <c r="K3656" s="3" t="s">
        <v>24</v>
      </c>
    </row>
    <row r="3657" spans="1:11" ht="54" customHeight="1">
      <c r="A3657" s="2" t="s">
        <v>8172</v>
      </c>
      <c r="B3657" s="2" t="s">
        <v>8173</v>
      </c>
      <c r="C3657" s="2" t="s">
        <v>46</v>
      </c>
      <c r="D3657" s="2" t="s">
        <v>101</v>
      </c>
      <c r="E3657" s="5" t="s">
        <v>571</v>
      </c>
      <c r="F3657" s="3" t="s">
        <v>620</v>
      </c>
      <c r="G3657" s="3" t="s">
        <v>176</v>
      </c>
      <c r="H3657" s="2" t="s">
        <v>22</v>
      </c>
      <c r="I3657" s="2" t="s">
        <v>8174</v>
      </c>
      <c r="J3657" s="3" t="str">
        <f>HYPERLINK("https://www.boe.es/gazeta/dias/1834/09/04/pdfs/GMD-C-1834-202.pdf#page=6","Abrir facsímil")</f>
        <v>Abrir facsímil</v>
      </c>
      <c r="K3657" s="3" t="s">
        <v>24</v>
      </c>
    </row>
    <row r="3658" spans="1:11" ht="54" customHeight="1">
      <c r="A3658" s="2" t="s">
        <v>8175</v>
      </c>
      <c r="B3658" s="2" t="s">
        <v>8175</v>
      </c>
      <c r="C3658" s="2" t="s">
        <v>46</v>
      </c>
      <c r="D3658" s="2" t="s">
        <v>101</v>
      </c>
      <c r="E3658" s="5" t="s">
        <v>833</v>
      </c>
      <c r="F3658" s="3" t="s">
        <v>834</v>
      </c>
      <c r="G3658" s="3" t="s">
        <v>75</v>
      </c>
      <c r="H3658" s="2" t="s">
        <v>22</v>
      </c>
      <c r="I3658" s="2" t="s">
        <v>8176</v>
      </c>
      <c r="J3658" s="3" t="str">
        <f>HYPERLINK("https://www.boe.es/gazeta/dias/1834/04/24/pdfs/GMD-1834-63.pdf#page=4","Abrir facsímil")</f>
        <v>Abrir facsímil</v>
      </c>
      <c r="K3658" s="3" t="s">
        <v>24</v>
      </c>
    </row>
    <row r="3659" spans="1:11" ht="54" customHeight="1">
      <c r="A3659" s="2" t="s">
        <v>8177</v>
      </c>
      <c r="B3659" s="2" t="s">
        <v>8177</v>
      </c>
      <c r="C3659" s="2" t="s">
        <v>122</v>
      </c>
      <c r="D3659" s="2" t="s">
        <v>18</v>
      </c>
      <c r="E3659" s="5" t="s">
        <v>1084</v>
      </c>
      <c r="F3659" s="3" t="s">
        <v>1085</v>
      </c>
      <c r="G3659" s="3" t="s">
        <v>176</v>
      </c>
      <c r="H3659" s="2" t="s">
        <v>22</v>
      </c>
      <c r="I3659" s="2" t="s">
        <v>8178</v>
      </c>
      <c r="J3659" s="3" t="str">
        <f>HYPERLINK("https://www.boe.es/gazeta/dias/1834/05/01/pdfs/GMD-1834-70.pdf#page=6","Abrir facsímil")</f>
        <v>Abrir facsímil</v>
      </c>
      <c r="K3659" s="3" t="s">
        <v>24</v>
      </c>
    </row>
    <row r="3660" spans="1:11" ht="54" customHeight="1">
      <c r="A3660" s="2" t="s">
        <v>8179</v>
      </c>
      <c r="B3660" s="2" t="s">
        <v>8180</v>
      </c>
      <c r="C3660" s="2" t="s">
        <v>17</v>
      </c>
      <c r="D3660" s="2" t="s">
        <v>18</v>
      </c>
      <c r="E3660" s="5" t="s">
        <v>506</v>
      </c>
      <c r="F3660" s="3" t="s">
        <v>507</v>
      </c>
      <c r="G3660" s="3" t="s">
        <v>176</v>
      </c>
      <c r="H3660" s="2" t="s">
        <v>22</v>
      </c>
      <c r="I3660" s="2" t="s">
        <v>8181</v>
      </c>
      <c r="J3660" s="3" t="str">
        <f>HYPERLINK("https://www.boe.es/gazeta/dias/1834/03/04/pdfs/GMD-1834-28.pdf#page=6","Abrir facsímil")</f>
        <v>Abrir facsímil</v>
      </c>
      <c r="K3660" s="3" t="s">
        <v>24</v>
      </c>
    </row>
    <row r="3661" spans="1:11" ht="54" customHeight="1">
      <c r="A3661" s="2" t="s">
        <v>8182</v>
      </c>
      <c r="B3661" s="2" t="s">
        <v>8182</v>
      </c>
      <c r="C3661" s="2" t="s">
        <v>46</v>
      </c>
      <c r="D3661" s="2" t="s">
        <v>40</v>
      </c>
      <c r="E3661" s="5" t="s">
        <v>3207</v>
      </c>
      <c r="F3661" s="3" t="s">
        <v>3208</v>
      </c>
      <c r="G3661" s="3" t="s">
        <v>21</v>
      </c>
      <c r="H3661" s="2" t="s">
        <v>22</v>
      </c>
      <c r="I3661" s="2" t="s">
        <v>8183</v>
      </c>
      <c r="J3661" s="3" t="str">
        <f>HYPERLINK("https://www.boe.es/gazeta/dias/1834/10/13/pdfs/GMD-1834-241.pdf#page=3","Abrir facsímil")</f>
        <v>Abrir facsímil</v>
      </c>
      <c r="K3661" s="3" t="s">
        <v>24</v>
      </c>
    </row>
    <row r="3662" spans="1:11" ht="54" customHeight="1">
      <c r="A3662" s="2" t="s">
        <v>8182</v>
      </c>
      <c r="B3662" s="2" t="s">
        <v>8182</v>
      </c>
      <c r="C3662" s="2" t="s">
        <v>17</v>
      </c>
      <c r="D3662" s="2" t="s">
        <v>18</v>
      </c>
      <c r="E3662" s="5" t="s">
        <v>32</v>
      </c>
      <c r="F3662" s="3" t="s">
        <v>33</v>
      </c>
      <c r="G3662" s="3" t="s">
        <v>21</v>
      </c>
      <c r="H3662" s="2" t="s">
        <v>22</v>
      </c>
      <c r="I3662" s="2" t="s">
        <v>8184</v>
      </c>
      <c r="J3662" s="3" t="str">
        <f>HYPERLINK("https://www.boe.es/gazeta/dias/1834/04/23/pdfs/GMD-1834-62.pdf#page=3","Abrir facsímil")</f>
        <v>Abrir facsímil</v>
      </c>
      <c r="K3662" s="3" t="s">
        <v>24</v>
      </c>
    </row>
    <row r="3663" spans="1:11" ht="54" customHeight="1">
      <c r="A3663" s="2" t="s">
        <v>8185</v>
      </c>
      <c r="B3663" s="2" t="s">
        <v>8186</v>
      </c>
      <c r="C3663" s="2" t="s">
        <v>90</v>
      </c>
      <c r="D3663" s="2" t="s">
        <v>18</v>
      </c>
      <c r="E3663" s="5" t="s">
        <v>128</v>
      </c>
      <c r="F3663" s="3" t="s">
        <v>1068</v>
      </c>
      <c r="G3663" s="3" t="s">
        <v>86</v>
      </c>
      <c r="H3663" s="2" t="s">
        <v>35</v>
      </c>
      <c r="I3663" s="2" t="s">
        <v>8187</v>
      </c>
      <c r="J3663" s="3" t="str">
        <f>HYPERLINK("https://www.boe.es/gazeta/dias/1834/12/24/pdfs/GMD-1834-314.pdf#page=2","Abrir facsímil")</f>
        <v>Abrir facsímil</v>
      </c>
      <c r="K3663" s="3" t="s">
        <v>37</v>
      </c>
    </row>
    <row r="3664" spans="1:11" ht="54" customHeight="1">
      <c r="A3664" s="2" t="s">
        <v>8188</v>
      </c>
      <c r="B3664" s="2" t="s">
        <v>8189</v>
      </c>
      <c r="C3664" s="2" t="s">
        <v>46</v>
      </c>
      <c r="D3664" s="2" t="s">
        <v>18</v>
      </c>
      <c r="E3664" s="5" t="s">
        <v>2596</v>
      </c>
      <c r="F3664" s="3" t="s">
        <v>2597</v>
      </c>
      <c r="G3664" s="3" t="s">
        <v>86</v>
      </c>
      <c r="H3664" s="2" t="s">
        <v>22</v>
      </c>
      <c r="I3664" s="2" t="s">
        <v>8190</v>
      </c>
      <c r="J3664" s="3" t="str">
        <f>HYPERLINK("https://www.boe.es/gazeta/dias/1834/10/22/pdfs/GMD-1834-250.pdf#page=2","Abrir facsímil")</f>
        <v>Abrir facsímil</v>
      </c>
      <c r="K3664" s="3" t="s">
        <v>24</v>
      </c>
    </row>
    <row r="3665" spans="1:11" ht="54" customHeight="1">
      <c r="A3665" s="2" t="s">
        <v>8191</v>
      </c>
      <c r="B3665" s="2" t="s">
        <v>8192</v>
      </c>
      <c r="C3665" s="2" t="s">
        <v>17</v>
      </c>
      <c r="D3665" s="2" t="s">
        <v>18</v>
      </c>
      <c r="E3665" s="5" t="s">
        <v>2596</v>
      </c>
      <c r="F3665" s="3" t="s">
        <v>2597</v>
      </c>
      <c r="G3665" s="3" t="s">
        <v>86</v>
      </c>
      <c r="H3665" s="2" t="s">
        <v>22</v>
      </c>
      <c r="I3665" s="2" t="s">
        <v>8193</v>
      </c>
      <c r="J3665" s="3" t="str">
        <f>HYPERLINK("https://www.boe.es/gazeta/dias/1834/10/22/pdfs/GMD-1834-250.pdf#page=2","Abrir facsímil")</f>
        <v>Abrir facsímil</v>
      </c>
      <c r="K3665" s="3" t="s">
        <v>24</v>
      </c>
    </row>
    <row r="3666" spans="1:11" ht="54" customHeight="1">
      <c r="A3666" s="2" t="s">
        <v>8194</v>
      </c>
      <c r="B3666" s="2" t="s">
        <v>8194</v>
      </c>
      <c r="C3666" s="2" t="s">
        <v>90</v>
      </c>
      <c r="D3666" s="2" t="s">
        <v>18</v>
      </c>
      <c r="E3666" s="5" t="s">
        <v>552</v>
      </c>
      <c r="F3666" s="3" t="s">
        <v>1478</v>
      </c>
      <c r="G3666" s="3" t="s">
        <v>34</v>
      </c>
      <c r="H3666" s="2" t="s">
        <v>22</v>
      </c>
      <c r="I3666" s="2" t="s">
        <v>8195</v>
      </c>
      <c r="J3666" s="3" t="str">
        <f>HYPERLINK("https://www.boe.es/gazeta/dias/1834/07/30/pdfs/GMD-C-1834-163.pdf#page=1","Abrir facsímil")</f>
        <v>Abrir facsímil</v>
      </c>
      <c r="K3666" s="3" t="s">
        <v>24</v>
      </c>
    </row>
    <row r="3667" spans="1:11" ht="54" customHeight="1">
      <c r="A3667" s="2" t="s">
        <v>8196</v>
      </c>
      <c r="B3667" s="2" t="s">
        <v>8196</v>
      </c>
      <c r="C3667" s="2" t="s">
        <v>66</v>
      </c>
      <c r="D3667" s="2" t="s">
        <v>67</v>
      </c>
      <c r="E3667" s="5" t="s">
        <v>1918</v>
      </c>
      <c r="F3667" s="3" t="s">
        <v>1919</v>
      </c>
      <c r="G3667" s="3" t="s">
        <v>21</v>
      </c>
      <c r="H3667" s="2" t="s">
        <v>22</v>
      </c>
      <c r="I3667" s="2" t="s">
        <v>8197</v>
      </c>
      <c r="J3667" s="3" t="str">
        <f>HYPERLINK("https://www.boe.es/gazeta/dias/1834/03/22/pdfs/GMD-1834-36.pdf#page=3","Abrir facsímil")</f>
        <v>Abrir facsímil</v>
      </c>
      <c r="K3667" s="3" t="s">
        <v>24</v>
      </c>
    </row>
    <row r="3668" spans="1:11" ht="54" customHeight="1">
      <c r="A3668" s="2" t="s">
        <v>8198</v>
      </c>
      <c r="B3668" s="2" t="s">
        <v>8199</v>
      </c>
      <c r="C3668" s="2" t="s">
        <v>46</v>
      </c>
      <c r="D3668" s="2" t="s">
        <v>18</v>
      </c>
      <c r="E3668" s="5" t="s">
        <v>8200</v>
      </c>
      <c r="F3668" s="3" t="s">
        <v>8201</v>
      </c>
      <c r="G3668" s="3" t="s">
        <v>34</v>
      </c>
      <c r="H3668" s="2" t="s">
        <v>22</v>
      </c>
      <c r="I3668" s="2" t="s">
        <v>8202</v>
      </c>
      <c r="J3668" s="3" t="str">
        <f>HYPERLINK("https://www.boe.es/gazeta/dias/1834/11/17/pdfs/GMD-1834-276.pdf#page=1","Abrir facsímil")</f>
        <v>Abrir facsímil</v>
      </c>
      <c r="K3668" s="3" t="s">
        <v>24</v>
      </c>
    </row>
    <row r="3669" spans="1:11" ht="54" customHeight="1">
      <c r="A3669" s="2" t="s">
        <v>8203</v>
      </c>
      <c r="B3669" s="2" t="s">
        <v>8203</v>
      </c>
      <c r="C3669" s="2" t="s">
        <v>17</v>
      </c>
      <c r="D3669" s="2" t="s">
        <v>18</v>
      </c>
      <c r="E3669" s="5" t="s">
        <v>976</v>
      </c>
      <c r="F3669" s="3" t="s">
        <v>977</v>
      </c>
      <c r="G3669" s="3" t="s">
        <v>86</v>
      </c>
      <c r="H3669" s="2" t="s">
        <v>22</v>
      </c>
      <c r="I3669" s="2" t="s">
        <v>8204</v>
      </c>
      <c r="J3669" s="3" t="str">
        <f>HYPERLINK("https://www.boe.es/gazeta/dias/1834/04/02/pdfs/GMD-1834-41.pdf#page=2","Abrir facsímil")</f>
        <v>Abrir facsímil</v>
      </c>
      <c r="K3669" s="3" t="s">
        <v>24</v>
      </c>
    </row>
    <row r="3670" spans="1:11" ht="54" customHeight="1">
      <c r="A3670" s="2" t="s">
        <v>8205</v>
      </c>
      <c r="B3670" s="2" t="s">
        <v>8206</v>
      </c>
      <c r="C3670" s="2" t="s">
        <v>90</v>
      </c>
      <c r="D3670" s="2" t="s">
        <v>18</v>
      </c>
      <c r="E3670" s="5" t="s">
        <v>5574</v>
      </c>
      <c r="F3670" s="3" t="s">
        <v>5575</v>
      </c>
      <c r="G3670" s="3" t="s">
        <v>34</v>
      </c>
      <c r="H3670" s="2" t="s">
        <v>35</v>
      </c>
      <c r="I3670" s="2" t="s">
        <v>8207</v>
      </c>
      <c r="J3670" s="3" t="str">
        <f>HYPERLINK("https://www.boe.es/gazeta/dias/1834/06/16/pdfs/GMD-1834-119.pdf#page=1","Abrir facsímil")</f>
        <v>Abrir facsímil</v>
      </c>
      <c r="K3670" s="3" t="s">
        <v>37</v>
      </c>
    </row>
    <row r="3671" spans="1:11" ht="54" customHeight="1">
      <c r="A3671" s="2" t="s">
        <v>8208</v>
      </c>
      <c r="B3671" s="2" t="s">
        <v>8209</v>
      </c>
      <c r="C3671" s="2" t="s">
        <v>17</v>
      </c>
      <c r="D3671" s="2" t="s">
        <v>18</v>
      </c>
      <c r="E3671" s="5" t="s">
        <v>1265</v>
      </c>
      <c r="F3671" s="3" t="s">
        <v>1266</v>
      </c>
      <c r="G3671" s="3" t="s">
        <v>21</v>
      </c>
      <c r="H3671" s="2" t="s">
        <v>35</v>
      </c>
      <c r="I3671" s="2" t="s">
        <v>8210</v>
      </c>
      <c r="J3671" s="3" t="str">
        <f>HYPERLINK("https://www.boe.es/gazeta/dias/1834/09/08/pdfs/GMD-1834-206.pdf#page=3","Abrir facsímil")</f>
        <v>Abrir facsímil</v>
      </c>
      <c r="K3671" s="3" t="s">
        <v>37</v>
      </c>
    </row>
    <row r="3672" spans="1:11" ht="54" customHeight="1">
      <c r="A3672" s="2" t="s">
        <v>8211</v>
      </c>
      <c r="B3672" s="2" t="s">
        <v>8212</v>
      </c>
      <c r="C3672" s="2" t="s">
        <v>66</v>
      </c>
      <c r="D3672" s="2" t="s">
        <v>67</v>
      </c>
      <c r="E3672" s="5" t="s">
        <v>360</v>
      </c>
      <c r="F3672" s="3" t="s">
        <v>361</v>
      </c>
      <c r="G3672" s="3" t="s">
        <v>34</v>
      </c>
      <c r="H3672" s="2" t="s">
        <v>35</v>
      </c>
      <c r="I3672" s="2" t="s">
        <v>8213</v>
      </c>
      <c r="J3672" s="3" t="str">
        <f>HYPERLINK("https://www.boe.es/gazeta/dias/1834/04/07/pdfs/GMD-1834-46.pdf#page=1","Abrir facsímil")</f>
        <v>Abrir facsímil</v>
      </c>
      <c r="K3672" s="3" t="s">
        <v>37</v>
      </c>
    </row>
    <row r="3673" spans="1:11" ht="54" customHeight="1">
      <c r="A3673" s="2" t="s">
        <v>8214</v>
      </c>
      <c r="B3673" s="2" t="s">
        <v>8215</v>
      </c>
      <c r="C3673" s="2" t="s">
        <v>17</v>
      </c>
      <c r="D3673" s="2" t="s">
        <v>18</v>
      </c>
      <c r="E3673" s="5" t="s">
        <v>268</v>
      </c>
      <c r="F3673" s="3" t="s">
        <v>269</v>
      </c>
      <c r="G3673" s="3" t="s">
        <v>21</v>
      </c>
      <c r="H3673" s="2" t="s">
        <v>35</v>
      </c>
      <c r="I3673" s="2" t="s">
        <v>8216</v>
      </c>
      <c r="J3673" s="3" t="str">
        <f>HYPERLINK("https://www.boe.es/gazeta/dias/1834/12/19/pdfs/GMD-C-1834-309.pdf#page=3","Abrir facsímil")</f>
        <v>Abrir facsímil</v>
      </c>
      <c r="K3673" s="3" t="s">
        <v>37</v>
      </c>
    </row>
    <row r="3674" spans="1:11" ht="54" customHeight="1">
      <c r="A3674" s="2" t="s">
        <v>8217</v>
      </c>
      <c r="B3674" s="2" t="s">
        <v>8218</v>
      </c>
      <c r="C3674" s="2" t="s">
        <v>17</v>
      </c>
      <c r="D3674" s="2" t="s">
        <v>18</v>
      </c>
      <c r="E3674" s="5" t="s">
        <v>513</v>
      </c>
      <c r="F3674" s="3" t="s">
        <v>514</v>
      </c>
      <c r="G3674" s="3" t="s">
        <v>21</v>
      </c>
      <c r="H3674" s="2" t="s">
        <v>35</v>
      </c>
      <c r="I3674" s="2" t="s">
        <v>8219</v>
      </c>
      <c r="J3674" s="3" t="str">
        <f>HYPERLINK("https://www.boe.es/gazeta/dias/1834/04/27/pdfs/GMD-1834-66.pdf#page=3","Abrir facsímil")</f>
        <v>Abrir facsímil</v>
      </c>
      <c r="K3674" s="3" t="s">
        <v>37</v>
      </c>
    </row>
    <row r="3675" spans="1:11" ht="54" customHeight="1">
      <c r="A3675" s="2" t="s">
        <v>8220</v>
      </c>
      <c r="B3675" s="2" t="s">
        <v>8221</v>
      </c>
      <c r="C3675" s="2" t="s">
        <v>17</v>
      </c>
      <c r="D3675" s="2" t="s">
        <v>18</v>
      </c>
      <c r="E3675" s="5" t="s">
        <v>343</v>
      </c>
      <c r="F3675" s="3" t="s">
        <v>344</v>
      </c>
      <c r="G3675" s="3" t="s">
        <v>75</v>
      </c>
      <c r="H3675" s="2" t="s">
        <v>35</v>
      </c>
      <c r="I3675" s="2" t="s">
        <v>8222</v>
      </c>
      <c r="J3675" s="3" t="str">
        <f>HYPERLINK("https://www.boe.es/gazeta/dias/1834/01/14/pdfs/GMD-1834-7.pdf#page=4","Abrir facsímil")</f>
        <v>Abrir facsímil</v>
      </c>
      <c r="K3675" s="3" t="s">
        <v>37</v>
      </c>
    </row>
    <row r="3676" spans="1:11" ht="54" customHeight="1">
      <c r="A3676" s="2" t="s">
        <v>8223</v>
      </c>
      <c r="B3676" s="2" t="s">
        <v>8224</v>
      </c>
      <c r="C3676" s="2" t="s">
        <v>17</v>
      </c>
      <c r="D3676" s="2" t="s">
        <v>18</v>
      </c>
      <c r="E3676" s="5" t="s">
        <v>4565</v>
      </c>
      <c r="F3676" s="3" t="s">
        <v>4566</v>
      </c>
      <c r="G3676" s="3" t="s">
        <v>75</v>
      </c>
      <c r="H3676" s="2" t="s">
        <v>35</v>
      </c>
      <c r="I3676" s="2" t="s">
        <v>8225</v>
      </c>
      <c r="J3676" s="3" t="str">
        <f>HYPERLINK("https://www.boe.es/gazeta/dias/1834/07/10/pdfs/GMD-1834-143.pdf#page=4","Abrir facsímil")</f>
        <v>Abrir facsímil</v>
      </c>
      <c r="K3676" s="3" t="s">
        <v>37</v>
      </c>
    </row>
    <row r="3677" spans="1:11" ht="54" customHeight="1">
      <c r="A3677" s="2" t="s">
        <v>8226</v>
      </c>
      <c r="B3677" s="2" t="s">
        <v>8227</v>
      </c>
      <c r="C3677" s="2" t="s">
        <v>17</v>
      </c>
      <c r="D3677" s="2" t="s">
        <v>55</v>
      </c>
      <c r="E3677" s="5" t="s">
        <v>2860</v>
      </c>
      <c r="F3677" s="3" t="s">
        <v>2861</v>
      </c>
      <c r="G3677" s="3" t="s">
        <v>21</v>
      </c>
      <c r="H3677" s="2" t="s">
        <v>35</v>
      </c>
      <c r="I3677" s="2" t="s">
        <v>8228</v>
      </c>
      <c r="J3677" s="3" t="str">
        <f>HYPERLINK("https://www.boe.es/gazeta/dias/1834/07/20/pdfs/GMD-1834-153.pdf#page=3","Abrir facsímil")</f>
        <v>Abrir facsímil</v>
      </c>
      <c r="K3677" s="3" t="s">
        <v>37</v>
      </c>
    </row>
    <row r="3678" spans="1:11" ht="54" customHeight="1">
      <c r="A3678" s="2" t="s">
        <v>8229</v>
      </c>
      <c r="B3678" s="2" t="s">
        <v>8230</v>
      </c>
      <c r="C3678" s="2" t="s">
        <v>17</v>
      </c>
      <c r="D3678" s="2" t="s">
        <v>18</v>
      </c>
      <c r="E3678" s="5" t="s">
        <v>1186</v>
      </c>
      <c r="F3678" s="3" t="s">
        <v>4286</v>
      </c>
      <c r="G3678" s="3" t="s">
        <v>34</v>
      </c>
      <c r="H3678" s="2" t="s">
        <v>35</v>
      </c>
      <c r="I3678" s="2" t="s">
        <v>8231</v>
      </c>
      <c r="J3678" s="3" t="str">
        <f>HYPERLINK("https://www.boe.es/gazeta/dias/1834/08/14/pdfs/GMD-C-1834-179.pdf#page=1","Abrir facsímil")</f>
        <v>Abrir facsímil</v>
      </c>
      <c r="K3678" s="3" t="s">
        <v>37</v>
      </c>
    </row>
    <row r="3679" spans="1:11" ht="54" customHeight="1">
      <c r="A3679" s="2" t="s">
        <v>8232</v>
      </c>
      <c r="B3679" s="2" t="s">
        <v>8233</v>
      </c>
      <c r="C3679" s="2" t="s">
        <v>17</v>
      </c>
      <c r="D3679" s="2" t="s">
        <v>18</v>
      </c>
      <c r="E3679" s="5" t="s">
        <v>3207</v>
      </c>
      <c r="F3679" s="3" t="s">
        <v>3208</v>
      </c>
      <c r="G3679" s="3" t="s">
        <v>75</v>
      </c>
      <c r="H3679" s="2" t="s">
        <v>35</v>
      </c>
      <c r="I3679" s="2" t="s">
        <v>8234</v>
      </c>
      <c r="J3679" s="3" t="str">
        <f>HYPERLINK("https://www.boe.es/gazeta/dias/1834/10/13/pdfs/GMD-1834-241.pdf#page=4","Abrir facsímil")</f>
        <v>Abrir facsímil</v>
      </c>
      <c r="K3679" s="3" t="s">
        <v>37</v>
      </c>
    </row>
    <row r="3680" spans="1:11" ht="54" customHeight="1">
      <c r="A3680" s="2" t="s">
        <v>8235</v>
      </c>
      <c r="B3680" s="2" t="s">
        <v>8235</v>
      </c>
      <c r="C3680" s="2" t="s">
        <v>17</v>
      </c>
      <c r="D3680" s="2" t="s">
        <v>18</v>
      </c>
      <c r="E3680" s="5" t="s">
        <v>2526</v>
      </c>
      <c r="F3680" s="3" t="s">
        <v>8236</v>
      </c>
      <c r="G3680" s="3" t="s">
        <v>75</v>
      </c>
      <c r="H3680" s="2" t="s">
        <v>22</v>
      </c>
      <c r="I3680" s="2" t="s">
        <v>8237</v>
      </c>
      <c r="J3680" s="3" t="str">
        <f>HYPERLINK("https://www.boe.es/gazeta/dias/1834/12/29/pdfs/GMD-1834-319.pdf#page=4","Abrir facsímil")</f>
        <v>Abrir facsímil</v>
      </c>
      <c r="K3680" s="3" t="s">
        <v>24</v>
      </c>
    </row>
    <row r="3681" spans="1:11" ht="54" customHeight="1">
      <c r="A3681" s="2" t="s">
        <v>8238</v>
      </c>
      <c r="B3681" s="2" t="s">
        <v>8239</v>
      </c>
      <c r="C3681" s="2" t="s">
        <v>17</v>
      </c>
      <c r="D3681" s="2" t="s">
        <v>18</v>
      </c>
      <c r="E3681" s="5" t="s">
        <v>1981</v>
      </c>
      <c r="F3681" s="3" t="s">
        <v>2471</v>
      </c>
      <c r="G3681" s="3" t="s">
        <v>176</v>
      </c>
      <c r="H3681" s="2" t="s">
        <v>22</v>
      </c>
      <c r="I3681" s="2" t="s">
        <v>8240</v>
      </c>
      <c r="J3681" s="3" t="str">
        <f>HYPERLINK("https://www.boe.es/gazeta/dias/1834/12/13/pdfs/GMD-C-1834-302.pdf#page=6","Abrir facsímil")</f>
        <v>Abrir facsímil</v>
      </c>
      <c r="K3681" s="3" t="s">
        <v>24</v>
      </c>
    </row>
    <row r="3682" spans="1:11" ht="54" customHeight="1">
      <c r="A3682" s="2" t="s">
        <v>8241</v>
      </c>
      <c r="B3682" s="2" t="s">
        <v>8241</v>
      </c>
      <c r="C3682" s="2" t="s">
        <v>90</v>
      </c>
      <c r="D3682" s="2" t="s">
        <v>67</v>
      </c>
      <c r="E3682" s="5" t="s">
        <v>849</v>
      </c>
      <c r="F3682" s="3" t="s">
        <v>850</v>
      </c>
      <c r="G3682" s="3" t="s">
        <v>34</v>
      </c>
      <c r="H3682" s="2" t="s">
        <v>22</v>
      </c>
      <c r="I3682" s="2" t="s">
        <v>8242</v>
      </c>
      <c r="J3682" s="3" t="str">
        <f>HYPERLINK("https://www.boe.es/gazeta/dias/1834/06/21/pdfs/GMD-1834-124.pdf#page=1","Abrir facsímil")</f>
        <v>Abrir facsímil</v>
      </c>
      <c r="K3682" s="3" t="s">
        <v>24</v>
      </c>
    </row>
    <row r="3683" spans="1:11" ht="54" customHeight="1">
      <c r="A3683" s="2" t="s">
        <v>8243</v>
      </c>
      <c r="B3683" s="2" t="s">
        <v>8243</v>
      </c>
      <c r="C3683" s="2" t="s">
        <v>17</v>
      </c>
      <c r="D3683" s="2" t="s">
        <v>40</v>
      </c>
      <c r="E3683" s="5" t="s">
        <v>672</v>
      </c>
      <c r="F3683" s="3" t="s">
        <v>1055</v>
      </c>
      <c r="G3683" s="3" t="s">
        <v>21</v>
      </c>
      <c r="H3683" s="2" t="s">
        <v>22</v>
      </c>
      <c r="I3683" s="2" t="s">
        <v>8244</v>
      </c>
      <c r="J3683" s="3" t="str">
        <f>HYPERLINK("https://www.boe.es/gazeta/dias/1834/09/19/pdfs/GMD-C-1834-217.pdf#page=3","Abrir facsímil")</f>
        <v>Abrir facsímil</v>
      </c>
      <c r="K3683" s="3" t="s">
        <v>24</v>
      </c>
    </row>
    <row r="3684" spans="1:11" ht="54" customHeight="1">
      <c r="A3684" s="2" t="s">
        <v>8245</v>
      </c>
      <c r="B3684" s="2" t="s">
        <v>8245</v>
      </c>
      <c r="C3684" s="2" t="s">
        <v>66</v>
      </c>
      <c r="D3684" s="2" t="s">
        <v>67</v>
      </c>
      <c r="E3684" s="5" t="s">
        <v>128</v>
      </c>
      <c r="F3684" s="3" t="s">
        <v>1068</v>
      </c>
      <c r="G3684" s="3" t="s">
        <v>75</v>
      </c>
      <c r="H3684" s="2" t="s">
        <v>22</v>
      </c>
      <c r="I3684" s="2" t="s">
        <v>8246</v>
      </c>
      <c r="J3684" s="3" t="str">
        <f>HYPERLINK("https://www.boe.es/gazeta/dias/1834/12/24/pdfs/GMD-1834-314.pdf#page=4","Abrir facsímil")</f>
        <v>Abrir facsímil</v>
      </c>
      <c r="K3684" s="3" t="s">
        <v>24</v>
      </c>
    </row>
    <row r="3685" spans="1:11" ht="54" customHeight="1">
      <c r="A3685" s="2" t="s">
        <v>8247</v>
      </c>
      <c r="B3685" s="2" t="s">
        <v>8248</v>
      </c>
      <c r="C3685" s="2" t="s">
        <v>17</v>
      </c>
      <c r="D3685" s="2" t="s">
        <v>18</v>
      </c>
      <c r="E3685" s="5" t="s">
        <v>1556</v>
      </c>
      <c r="F3685" s="3" t="s">
        <v>1557</v>
      </c>
      <c r="G3685" s="3" t="s">
        <v>86</v>
      </c>
      <c r="H3685" s="2" t="s">
        <v>22</v>
      </c>
      <c r="I3685" s="2" t="s">
        <v>8249</v>
      </c>
      <c r="J3685" s="3" t="str">
        <f>HYPERLINK("https://www.boe.es/gazeta/dias/1834/06/06/pdfs/GMD-1834-108.pdf#page=2","Abrir facsímil")</f>
        <v>Abrir facsímil</v>
      </c>
      <c r="K3685" s="3" t="s">
        <v>24</v>
      </c>
    </row>
    <row r="3686" spans="1:11" ht="54" customHeight="1">
      <c r="A3686" s="2" t="s">
        <v>8250</v>
      </c>
      <c r="B3686" s="2" t="s">
        <v>8251</v>
      </c>
      <c r="C3686" s="2" t="s">
        <v>46</v>
      </c>
      <c r="D3686" s="2" t="s">
        <v>101</v>
      </c>
      <c r="E3686" s="5" t="s">
        <v>3025</v>
      </c>
      <c r="F3686" s="3" t="s">
        <v>3026</v>
      </c>
      <c r="G3686" s="3" t="s">
        <v>75</v>
      </c>
      <c r="H3686" s="2" t="s">
        <v>22</v>
      </c>
      <c r="I3686" s="2" t="s">
        <v>8252</v>
      </c>
      <c r="J3686" s="3" t="str">
        <f>HYPERLINK("https://www.boe.es/gazeta/dias/1834/05/25/pdfs/GMD-1834-94.pdf#page=4","Abrir facsímil")</f>
        <v>Abrir facsímil</v>
      </c>
      <c r="K3686" s="3" t="s">
        <v>24</v>
      </c>
    </row>
    <row r="3687" spans="1:11" ht="54" customHeight="1">
      <c r="A3687" s="2" t="s">
        <v>8253</v>
      </c>
      <c r="B3687" s="2" t="s">
        <v>8254</v>
      </c>
      <c r="C3687" s="2" t="s">
        <v>46</v>
      </c>
      <c r="D3687" s="2" t="s">
        <v>18</v>
      </c>
      <c r="E3687" s="5" t="s">
        <v>56</v>
      </c>
      <c r="F3687" s="3" t="s">
        <v>57</v>
      </c>
      <c r="G3687" s="3" t="s">
        <v>21</v>
      </c>
      <c r="H3687" s="2" t="s">
        <v>22</v>
      </c>
      <c r="I3687" s="2" t="s">
        <v>8255</v>
      </c>
      <c r="J3687" s="3" t="str">
        <f>HYPERLINK("https://www.boe.es/gazeta/dias/1834/07/09/pdfs/GMD-1834-142.pdf#page=3","Abrir facsímil")</f>
        <v>Abrir facsímil</v>
      </c>
      <c r="K3687" s="3" t="s">
        <v>24</v>
      </c>
    </row>
    <row r="3688" spans="1:11" ht="54" customHeight="1">
      <c r="A3688" s="2" t="s">
        <v>8256</v>
      </c>
      <c r="B3688" s="2" t="s">
        <v>8257</v>
      </c>
      <c r="C3688" s="2" t="s">
        <v>46</v>
      </c>
      <c r="D3688" s="2" t="s">
        <v>18</v>
      </c>
      <c r="E3688" s="5" t="s">
        <v>56</v>
      </c>
      <c r="F3688" s="3" t="s">
        <v>57</v>
      </c>
      <c r="G3688" s="3" t="s">
        <v>21</v>
      </c>
      <c r="H3688" s="2" t="s">
        <v>35</v>
      </c>
      <c r="I3688" s="2" t="s">
        <v>8258</v>
      </c>
      <c r="J3688" s="3" t="str">
        <f>HYPERLINK("https://www.boe.es/gazeta/dias/1834/07/09/pdfs/GMD-1834-142.pdf#page=3","Abrir facsímil")</f>
        <v>Abrir facsímil</v>
      </c>
      <c r="K3688" s="3" t="s">
        <v>37</v>
      </c>
    </row>
    <row r="3689" spans="1:11" ht="54" customHeight="1">
      <c r="A3689" s="2" t="s">
        <v>8259</v>
      </c>
      <c r="B3689" s="2" t="s">
        <v>8260</v>
      </c>
      <c r="C3689" s="2" t="s">
        <v>46</v>
      </c>
      <c r="D3689" s="2" t="s">
        <v>101</v>
      </c>
      <c r="E3689" s="5" t="s">
        <v>1402</v>
      </c>
      <c r="F3689" s="3" t="s">
        <v>1403</v>
      </c>
      <c r="G3689" s="3" t="s">
        <v>34</v>
      </c>
      <c r="H3689" s="2" t="s">
        <v>22</v>
      </c>
      <c r="I3689" s="2" t="s">
        <v>8261</v>
      </c>
      <c r="J3689" s="3" t="str">
        <f>HYPERLINK("https://www.boe.es/gazeta/dias/1834/05/05/pdfs/I00347-00348.pdf#page=1","Abrir facsímil")</f>
        <v>Abrir facsímil</v>
      </c>
      <c r="K3689" s="3" t="s">
        <v>24</v>
      </c>
    </row>
    <row r="3690" spans="1:11" ht="54" customHeight="1">
      <c r="A3690" s="2" t="s">
        <v>8262</v>
      </c>
      <c r="B3690" s="2" t="s">
        <v>8263</v>
      </c>
      <c r="C3690" s="2" t="s">
        <v>17</v>
      </c>
      <c r="D3690" s="2" t="s">
        <v>18</v>
      </c>
      <c r="E3690" s="5" t="s">
        <v>128</v>
      </c>
      <c r="F3690" s="3" t="s">
        <v>129</v>
      </c>
      <c r="G3690" s="3" t="s">
        <v>75</v>
      </c>
      <c r="H3690" s="2" t="s">
        <v>22</v>
      </c>
      <c r="I3690" s="2" t="s">
        <v>8264</v>
      </c>
      <c r="J3690" s="3" t="str">
        <f>HYPERLINK("https://www.boe.es/gazeta/dias/1834/12/24/pdfs/GMD-C-1834-314.pdf#page=4","Abrir facsímil")</f>
        <v>Abrir facsímil</v>
      </c>
      <c r="K3690" s="3" t="s">
        <v>24</v>
      </c>
    </row>
    <row r="3691" spans="1:11" ht="54" customHeight="1">
      <c r="A3691" s="2" t="s">
        <v>8265</v>
      </c>
      <c r="B3691" s="2" t="s">
        <v>8266</v>
      </c>
      <c r="C3691" s="2" t="s">
        <v>46</v>
      </c>
      <c r="D3691" s="2" t="s">
        <v>101</v>
      </c>
      <c r="E3691" s="5" t="s">
        <v>1402</v>
      </c>
      <c r="F3691" s="3" t="s">
        <v>1403</v>
      </c>
      <c r="G3691" s="3" t="s">
        <v>28</v>
      </c>
      <c r="H3691" s="2" t="s">
        <v>22</v>
      </c>
      <c r="I3691" s="2" t="s">
        <v>8267</v>
      </c>
      <c r="J3691" s="3" t="str">
        <f>HYPERLINK("https://www.boe.es/gazeta/dias/1834/05/05/pdfs/GMD-1834-74.pdf#page=5","Abrir facsímil")</f>
        <v>Abrir facsímil</v>
      </c>
      <c r="K3691" s="3" t="s">
        <v>24</v>
      </c>
    </row>
    <row r="3692" spans="1:11" ht="54" customHeight="1">
      <c r="A3692" s="2" t="s">
        <v>8268</v>
      </c>
      <c r="B3692" s="2" t="s">
        <v>8269</v>
      </c>
      <c r="C3692" s="2" t="s">
        <v>46</v>
      </c>
      <c r="D3692" s="2" t="s">
        <v>40</v>
      </c>
      <c r="E3692" s="5" t="s">
        <v>273</v>
      </c>
      <c r="F3692" s="3" t="s">
        <v>413</v>
      </c>
      <c r="G3692" s="3" t="s">
        <v>75</v>
      </c>
      <c r="H3692" s="2" t="s">
        <v>22</v>
      </c>
      <c r="I3692" s="2" t="s">
        <v>8270</v>
      </c>
      <c r="J3692" s="3" t="str">
        <f>HYPERLINK("https://www.boe.es/gazeta/dias/1834/08/31/pdfs/GMD-1834-198.pdf#page=4","Abrir facsímil")</f>
        <v>Abrir facsímil</v>
      </c>
      <c r="K3692" s="3" t="s">
        <v>24</v>
      </c>
    </row>
    <row r="3693" spans="1:11" ht="54" customHeight="1">
      <c r="A3693" s="2" t="s">
        <v>8271</v>
      </c>
      <c r="B3693" s="2" t="s">
        <v>8272</v>
      </c>
      <c r="C3693" s="2" t="s">
        <v>17</v>
      </c>
      <c r="D3693" s="2" t="s">
        <v>18</v>
      </c>
      <c r="E3693" s="5" t="s">
        <v>233</v>
      </c>
      <c r="F3693" s="3" t="s">
        <v>1810</v>
      </c>
      <c r="G3693" s="3" t="s">
        <v>28</v>
      </c>
      <c r="H3693" s="2" t="s">
        <v>35</v>
      </c>
      <c r="I3693" s="2" t="s">
        <v>8273</v>
      </c>
      <c r="J3693" s="3" t="str">
        <f>HYPERLINK("https://www.boe.es/gazeta/dias/1834/12/16/pdfs/GMD-C-1834-305.pdf#page=5","Abrir facsímil")</f>
        <v>Abrir facsímil</v>
      </c>
      <c r="K3693" s="3" t="s">
        <v>37</v>
      </c>
    </row>
    <row r="3694" spans="1:11" ht="54" customHeight="1">
      <c r="A3694" s="2" t="s">
        <v>8274</v>
      </c>
      <c r="B3694" s="2" t="s">
        <v>8275</v>
      </c>
      <c r="C3694" s="2" t="s">
        <v>17</v>
      </c>
      <c r="D3694" s="2" t="s">
        <v>18</v>
      </c>
      <c r="E3694" s="5" t="s">
        <v>233</v>
      </c>
      <c r="F3694" s="3" t="s">
        <v>1810</v>
      </c>
      <c r="G3694" s="3" t="s">
        <v>28</v>
      </c>
      <c r="H3694" s="2" t="s">
        <v>22</v>
      </c>
      <c r="I3694" s="2" t="s">
        <v>8276</v>
      </c>
      <c r="J3694" s="3" t="str">
        <f>HYPERLINK("https://www.boe.es/gazeta/dias/1834/12/16/pdfs/GMD-C-1834-305.pdf#page=5","Abrir facsímil")</f>
        <v>Abrir facsímil</v>
      </c>
      <c r="K3694" s="3" t="s">
        <v>24</v>
      </c>
    </row>
    <row r="3695" spans="1:11" ht="54" customHeight="1">
      <c r="A3695" s="2" t="s">
        <v>8277</v>
      </c>
      <c r="B3695" s="2" t="s">
        <v>8278</v>
      </c>
      <c r="C3695" s="2" t="s">
        <v>66</v>
      </c>
      <c r="D3695" s="2" t="s">
        <v>67</v>
      </c>
      <c r="E3695" s="5" t="s">
        <v>8279</v>
      </c>
      <c r="F3695" s="3" t="s">
        <v>8280</v>
      </c>
      <c r="G3695" s="3" t="s">
        <v>21</v>
      </c>
      <c r="H3695" s="2" t="s">
        <v>22</v>
      </c>
      <c r="I3695" s="2" t="s">
        <v>8281</v>
      </c>
      <c r="J3695" s="3" t="str">
        <f>HYPERLINK("https://www.boe.es/gazeta/dias/1834/04/22/pdfs/GMD-1834-61.pdf#page=3","Abrir facsímil")</f>
        <v>Abrir facsímil</v>
      </c>
      <c r="K3695" s="3" t="s">
        <v>24</v>
      </c>
    </row>
    <row r="3696" spans="1:11" ht="54" customHeight="1">
      <c r="A3696" s="2" t="s">
        <v>8282</v>
      </c>
      <c r="B3696" s="2" t="s">
        <v>8283</v>
      </c>
      <c r="C3696" s="2" t="s">
        <v>17</v>
      </c>
      <c r="D3696" s="2" t="s">
        <v>18</v>
      </c>
      <c r="E3696" s="5" t="s">
        <v>1340</v>
      </c>
      <c r="F3696" s="3" t="s">
        <v>1341</v>
      </c>
      <c r="G3696" s="3" t="s">
        <v>176</v>
      </c>
      <c r="H3696" s="2" t="s">
        <v>22</v>
      </c>
      <c r="I3696" s="2" t="s">
        <v>8284</v>
      </c>
      <c r="J3696" s="3" t="str">
        <f>HYPERLINK("https://www.boe.es/gazeta/dias/1834/10/05/pdfs/GMD-C-1834-233.pdf#page=6","Abrir facsímil")</f>
        <v>Abrir facsímil</v>
      </c>
      <c r="K3696" s="3" t="s">
        <v>24</v>
      </c>
    </row>
    <row r="3697" spans="1:11" ht="54" customHeight="1">
      <c r="A3697" s="2" t="s">
        <v>8285</v>
      </c>
      <c r="B3697" s="2" t="s">
        <v>8286</v>
      </c>
      <c r="C3697" s="2" t="s">
        <v>90</v>
      </c>
      <c r="D3697" s="2" t="s">
        <v>18</v>
      </c>
      <c r="E3697" s="5" t="s">
        <v>167</v>
      </c>
      <c r="F3697" s="3" t="s">
        <v>1200</v>
      </c>
      <c r="G3697" s="3" t="s">
        <v>21</v>
      </c>
      <c r="H3697" s="2" t="s">
        <v>22</v>
      </c>
      <c r="I3697" s="2" t="s">
        <v>8287</v>
      </c>
      <c r="J3697" s="3" t="str">
        <f>HYPERLINK("https://www.boe.es/gazeta/dias/1834/09/07/pdfs/GMD-C-1834-205.pdf#page=3","Abrir facsímil")</f>
        <v>Abrir facsímil</v>
      </c>
      <c r="K3697" s="3" t="s">
        <v>24</v>
      </c>
    </row>
    <row r="3698" spans="1:11" ht="54" customHeight="1">
      <c r="A3698" s="2" t="s">
        <v>8288</v>
      </c>
      <c r="B3698" s="2" t="s">
        <v>8288</v>
      </c>
      <c r="C3698" s="2" t="s">
        <v>66</v>
      </c>
      <c r="D3698" s="2" t="s">
        <v>67</v>
      </c>
      <c r="E3698" s="5" t="s">
        <v>2091</v>
      </c>
      <c r="F3698" s="3" t="s">
        <v>2092</v>
      </c>
      <c r="G3698" s="3" t="s">
        <v>86</v>
      </c>
      <c r="H3698" s="2" t="s">
        <v>22</v>
      </c>
      <c r="I3698" s="2" t="s">
        <v>8289</v>
      </c>
      <c r="J3698" s="3" t="str">
        <f>HYPERLINK("https://www.boe.es/gazeta/dias/1834/03/08/pdfs/GMD-1834-30.pdf#page=2","Abrir facsímil")</f>
        <v>Abrir facsímil</v>
      </c>
      <c r="K3698" s="3" t="s">
        <v>24</v>
      </c>
    </row>
    <row r="3699" spans="1:11" ht="54" customHeight="1">
      <c r="A3699" s="2" t="s">
        <v>8290</v>
      </c>
      <c r="B3699" s="2" t="s">
        <v>8290</v>
      </c>
      <c r="C3699" s="2" t="s">
        <v>17</v>
      </c>
      <c r="D3699" s="2" t="s">
        <v>18</v>
      </c>
      <c r="E3699" s="5" t="s">
        <v>891</v>
      </c>
      <c r="F3699" s="3" t="s">
        <v>892</v>
      </c>
      <c r="G3699" s="3" t="s">
        <v>34</v>
      </c>
      <c r="H3699" s="2" t="s">
        <v>22</v>
      </c>
      <c r="I3699" s="2" t="s">
        <v>8291</v>
      </c>
      <c r="J3699" s="3" t="str">
        <f>HYPERLINK("https://www.boe.es/gazeta/dias/1834/10/31/pdfs/GMD-C-1834-259.pdf#page=1","Abrir facsímil")</f>
        <v>Abrir facsímil</v>
      </c>
      <c r="K3699" s="3" t="s">
        <v>24</v>
      </c>
    </row>
    <row r="3700" spans="1:11" ht="54" customHeight="1">
      <c r="A3700" s="2" t="s">
        <v>8292</v>
      </c>
      <c r="B3700" s="2" t="s">
        <v>8292</v>
      </c>
      <c r="C3700" s="2" t="s">
        <v>46</v>
      </c>
      <c r="D3700" s="2" t="s">
        <v>101</v>
      </c>
      <c r="E3700" s="5" t="s">
        <v>1273</v>
      </c>
      <c r="F3700" s="3" t="s">
        <v>1274</v>
      </c>
      <c r="G3700" s="3" t="s">
        <v>34</v>
      </c>
      <c r="H3700" s="2" t="s">
        <v>22</v>
      </c>
      <c r="I3700" s="2" t="s">
        <v>8293</v>
      </c>
      <c r="J3700" s="3" t="str">
        <f>HYPERLINK("https://www.boe.es/gazeta/dias/1834/05/14/pdfs/GMD-1834-83.pdf#page=1","Abrir facsímil")</f>
        <v>Abrir facsímil</v>
      </c>
      <c r="K3700" s="3" t="s">
        <v>24</v>
      </c>
    </row>
    <row r="3701" spans="1:11" ht="54" customHeight="1">
      <c r="A3701" s="2" t="s">
        <v>8294</v>
      </c>
      <c r="B3701" s="2" t="s">
        <v>8294</v>
      </c>
      <c r="C3701" s="2" t="s">
        <v>46</v>
      </c>
      <c r="D3701" s="2" t="s">
        <v>101</v>
      </c>
      <c r="E3701" s="5" t="s">
        <v>1789</v>
      </c>
      <c r="F3701" s="3" t="s">
        <v>1790</v>
      </c>
      <c r="G3701" s="3" t="s">
        <v>21</v>
      </c>
      <c r="H3701" s="2" t="s">
        <v>22</v>
      </c>
      <c r="I3701" s="2" t="s">
        <v>8295</v>
      </c>
      <c r="J3701" s="3" t="str">
        <f>HYPERLINK("https://www.boe.es/gazeta/dias/1834/05/31/pdfs/GMD-1834-100.pdf#page=3","Abrir facsímil")</f>
        <v>Abrir facsímil</v>
      </c>
      <c r="K3701" s="3" t="s">
        <v>24</v>
      </c>
    </row>
    <row r="3702" spans="1:11" ht="54" customHeight="1">
      <c r="A3702" s="2" t="s">
        <v>8296</v>
      </c>
      <c r="B3702" s="2" t="s">
        <v>8297</v>
      </c>
      <c r="C3702" s="2" t="s">
        <v>17</v>
      </c>
      <c r="D3702" s="2" t="s">
        <v>101</v>
      </c>
      <c r="E3702" s="5" t="s">
        <v>4814</v>
      </c>
      <c r="F3702" s="3" t="s">
        <v>4815</v>
      </c>
      <c r="G3702" s="3" t="s">
        <v>34</v>
      </c>
      <c r="H3702" s="2" t="s">
        <v>22</v>
      </c>
      <c r="I3702" s="2" t="s">
        <v>8298</v>
      </c>
      <c r="J3702" s="3" t="str">
        <f>HYPERLINK("https://www.boe.es/gazeta/dias/1834/06/05/pdfs/GMD-1834-107.pdf#page=1","Abrir facsímil")</f>
        <v>Abrir facsímil</v>
      </c>
      <c r="K3702" s="3" t="s">
        <v>24</v>
      </c>
    </row>
    <row r="3703" spans="1:11" ht="54" customHeight="1">
      <c r="A3703" s="2" t="s">
        <v>8299</v>
      </c>
      <c r="B3703" s="2" t="s">
        <v>8300</v>
      </c>
      <c r="C3703" s="2" t="s">
        <v>17</v>
      </c>
      <c r="D3703" s="2" t="s">
        <v>18</v>
      </c>
      <c r="E3703" s="5" t="s">
        <v>403</v>
      </c>
      <c r="F3703" s="3" t="s">
        <v>3456</v>
      </c>
      <c r="G3703" s="3" t="s">
        <v>75</v>
      </c>
      <c r="H3703" s="2" t="s">
        <v>22</v>
      </c>
      <c r="I3703" s="2" t="s">
        <v>8301</v>
      </c>
      <c r="J3703" s="3" t="str">
        <f>HYPERLINK("https://www.boe.es/gazeta/dias/1834/09/25/pdfs/GMD-1834-223.pdf#page=4","Abrir facsímil")</f>
        <v>Abrir facsímil</v>
      </c>
      <c r="K3703" s="3" t="s">
        <v>24</v>
      </c>
    </row>
    <row r="3704" spans="1:11" ht="54" customHeight="1">
      <c r="A3704" s="2" t="s">
        <v>8302</v>
      </c>
      <c r="B3704" s="2" t="s">
        <v>8303</v>
      </c>
      <c r="C3704" s="2" t="s">
        <v>17</v>
      </c>
      <c r="D3704" s="2" t="s">
        <v>55</v>
      </c>
      <c r="E3704" s="5" t="s">
        <v>364</v>
      </c>
      <c r="F3704" s="3" t="s">
        <v>2102</v>
      </c>
      <c r="G3704" s="3" t="s">
        <v>75</v>
      </c>
      <c r="H3704" s="2" t="s">
        <v>22</v>
      </c>
      <c r="I3704" s="2" t="s">
        <v>8304</v>
      </c>
      <c r="J3704" s="3" t="str">
        <f>HYPERLINK("https://www.boe.es/gazeta/dias/1834/09/06/pdfs/GMD-1834-204.pdf#page=4","Abrir facsímil")</f>
        <v>Abrir facsímil</v>
      </c>
      <c r="K3704" s="3" t="s">
        <v>24</v>
      </c>
    </row>
    <row r="3705" spans="1:11" ht="54" customHeight="1">
      <c r="A3705" s="2" t="s">
        <v>8305</v>
      </c>
      <c r="B3705" s="2" t="s">
        <v>8306</v>
      </c>
      <c r="C3705" s="2" t="s">
        <v>17</v>
      </c>
      <c r="D3705" s="2" t="s">
        <v>18</v>
      </c>
      <c r="E3705" s="5" t="s">
        <v>753</v>
      </c>
      <c r="F3705" s="3" t="s">
        <v>754</v>
      </c>
      <c r="G3705" s="3" t="s">
        <v>28</v>
      </c>
      <c r="H3705" s="2" t="s">
        <v>22</v>
      </c>
      <c r="I3705" s="2" t="s">
        <v>8307</v>
      </c>
      <c r="J3705" s="3" t="str">
        <f>HYPERLINK("https://www.boe.es/gazeta/dias/1834/04/21/pdfs/GMD-1834-60.pdf#page=5","Abrir facsímil")</f>
        <v>Abrir facsímil</v>
      </c>
      <c r="K3705" s="3" t="s">
        <v>24</v>
      </c>
    </row>
    <row r="3706" spans="1:11" ht="54" customHeight="1">
      <c r="A3706" s="2" t="s">
        <v>8308</v>
      </c>
      <c r="B3706" s="2" t="s">
        <v>8308</v>
      </c>
      <c r="C3706" s="2" t="s">
        <v>17</v>
      </c>
      <c r="D3706" s="2" t="s">
        <v>55</v>
      </c>
      <c r="E3706" s="5" t="s">
        <v>1862</v>
      </c>
      <c r="F3706" s="3" t="s">
        <v>1863</v>
      </c>
      <c r="G3706" s="3" t="s">
        <v>86</v>
      </c>
      <c r="H3706" s="2" t="s">
        <v>22</v>
      </c>
      <c r="I3706" s="2" t="s">
        <v>8309</v>
      </c>
      <c r="J3706" s="3" t="str">
        <f>HYPERLINK("https://www.boe.es/gazeta/dias/1834/02/04/pdfs/GMD-1834-16.pdf#page=2","Abrir facsímil")</f>
        <v>Abrir facsímil</v>
      </c>
      <c r="K3706" s="3" t="s">
        <v>24</v>
      </c>
    </row>
    <row r="3707" spans="1:11" ht="54" customHeight="1">
      <c r="A3707" s="2" t="s">
        <v>8310</v>
      </c>
      <c r="B3707" s="2" t="s">
        <v>8310</v>
      </c>
      <c r="C3707" s="2" t="s">
        <v>17</v>
      </c>
      <c r="D3707" s="2" t="s">
        <v>18</v>
      </c>
      <c r="E3707" s="5" t="s">
        <v>1424</v>
      </c>
      <c r="F3707" s="3" t="s">
        <v>1425</v>
      </c>
      <c r="G3707" s="3" t="s">
        <v>21</v>
      </c>
      <c r="H3707" s="2" t="s">
        <v>22</v>
      </c>
      <c r="I3707" s="2" t="s">
        <v>8311</v>
      </c>
      <c r="J3707" s="3" t="str">
        <f>HYPERLINK("https://www.boe.es/gazeta/dias/1834/11/14/pdfs/GMD-C-1834-273.pdf#page=3","Abrir facsímil")</f>
        <v>Abrir facsímil</v>
      </c>
      <c r="K3707" s="3" t="s">
        <v>24</v>
      </c>
    </row>
    <row r="3708" spans="1:11" ht="54" customHeight="1">
      <c r="A3708" s="2" t="s">
        <v>8312</v>
      </c>
      <c r="B3708" s="2" t="s">
        <v>8313</v>
      </c>
      <c r="C3708" s="2" t="s">
        <v>17</v>
      </c>
      <c r="D3708" s="2" t="s">
        <v>18</v>
      </c>
      <c r="E3708" s="5" t="s">
        <v>1424</v>
      </c>
      <c r="F3708" s="3" t="s">
        <v>1425</v>
      </c>
      <c r="G3708" s="3" t="s">
        <v>21</v>
      </c>
      <c r="H3708" s="2" t="s">
        <v>22</v>
      </c>
      <c r="I3708" s="2" t="s">
        <v>8314</v>
      </c>
      <c r="J3708" s="3" t="str">
        <f>HYPERLINK("https://www.boe.es/gazeta/dias/1834/11/14/pdfs/GMD-C-1834-273.pdf#page=3","Abrir facsímil")</f>
        <v>Abrir facsímil</v>
      </c>
      <c r="K3708" s="3" t="s">
        <v>24</v>
      </c>
    </row>
    <row r="3709" spans="1:11" ht="54" customHeight="1">
      <c r="A3709" s="2" t="s">
        <v>8315</v>
      </c>
      <c r="B3709" s="2" t="s">
        <v>8315</v>
      </c>
      <c r="C3709" s="2" t="s">
        <v>17</v>
      </c>
      <c r="D3709" s="2" t="s">
        <v>18</v>
      </c>
      <c r="E3709" s="5" t="s">
        <v>912</v>
      </c>
      <c r="F3709" s="3" t="s">
        <v>913</v>
      </c>
      <c r="G3709" s="3" t="s">
        <v>75</v>
      </c>
      <c r="H3709" s="2" t="s">
        <v>22</v>
      </c>
      <c r="I3709" s="2" t="s">
        <v>8316</v>
      </c>
      <c r="J3709" s="3" t="str">
        <f>HYPERLINK("https://www.boe.es/gazeta/dias/1834/02/15/pdfs/GMD-1834-21.pdf#page=4","Abrir facsímil")</f>
        <v>Abrir facsímil</v>
      </c>
      <c r="K3709" s="3" t="s">
        <v>24</v>
      </c>
    </row>
    <row r="3710" spans="1:11" ht="54" customHeight="1">
      <c r="A3710" s="2" t="s">
        <v>8317</v>
      </c>
      <c r="B3710" s="2" t="s">
        <v>8318</v>
      </c>
      <c r="C3710" s="2" t="s">
        <v>17</v>
      </c>
      <c r="D3710" s="2" t="s">
        <v>18</v>
      </c>
      <c r="E3710" s="5" t="s">
        <v>1766</v>
      </c>
      <c r="F3710" s="3" t="s">
        <v>1767</v>
      </c>
      <c r="G3710" s="3" t="s">
        <v>34</v>
      </c>
      <c r="H3710" s="2" t="s">
        <v>35</v>
      </c>
      <c r="I3710" s="2" t="s">
        <v>8319</v>
      </c>
      <c r="J3710" s="3" t="str">
        <f>HYPERLINK("https://www.boe.es/gazeta/dias/1834/10/26/pdfs/GMD-C-1834-254.pdf#page=1","Abrir facsímil")</f>
        <v>Abrir facsímil</v>
      </c>
      <c r="K3710" s="3" t="s">
        <v>37</v>
      </c>
    </row>
    <row r="3711" spans="1:11" ht="54" customHeight="1">
      <c r="A3711" s="2" t="s">
        <v>8320</v>
      </c>
      <c r="B3711" s="2" t="s">
        <v>8321</v>
      </c>
      <c r="C3711" s="2" t="s">
        <v>66</v>
      </c>
      <c r="D3711" s="2" t="s">
        <v>67</v>
      </c>
      <c r="E3711" s="5" t="s">
        <v>1862</v>
      </c>
      <c r="F3711" s="3" t="s">
        <v>1863</v>
      </c>
      <c r="G3711" s="3" t="s">
        <v>75</v>
      </c>
      <c r="H3711" s="2" t="s">
        <v>35</v>
      </c>
      <c r="I3711" s="2" t="s">
        <v>8322</v>
      </c>
      <c r="J3711" s="3" t="str">
        <f>HYPERLINK("https://www.boe.es/gazeta/dias/1834/02/04/pdfs/GMD-1834-16.pdf#page=4","Abrir facsímil")</f>
        <v>Abrir facsímil</v>
      </c>
      <c r="K3711" s="3" t="s">
        <v>37</v>
      </c>
    </row>
    <row r="3712" spans="1:11" ht="54" customHeight="1">
      <c r="A3712" s="2" t="s">
        <v>8323</v>
      </c>
      <c r="B3712" s="2" t="s">
        <v>8324</v>
      </c>
      <c r="C3712" s="2" t="s">
        <v>17</v>
      </c>
      <c r="D3712" s="2" t="s">
        <v>18</v>
      </c>
      <c r="E3712" s="5" t="s">
        <v>1641</v>
      </c>
      <c r="F3712" s="3" t="s">
        <v>1729</v>
      </c>
      <c r="G3712" s="3" t="s">
        <v>21</v>
      </c>
      <c r="H3712" s="2" t="s">
        <v>22</v>
      </c>
      <c r="I3712" s="2" t="s">
        <v>8325</v>
      </c>
      <c r="J3712" s="3" t="str">
        <f>HYPERLINK("https://www.boe.es/gazeta/dias/1834/09/28/pdfs/GMD-1834-226.pdf#page=3","Abrir facsímil")</f>
        <v>Abrir facsímil</v>
      </c>
      <c r="K3712" s="3" t="s">
        <v>24</v>
      </c>
    </row>
    <row r="3713" spans="1:11" ht="54" customHeight="1">
      <c r="A3713" s="2" t="s">
        <v>8326</v>
      </c>
      <c r="B3713" s="2" t="s">
        <v>8327</v>
      </c>
      <c r="C3713" s="2" t="s">
        <v>46</v>
      </c>
      <c r="D3713" s="2" t="s">
        <v>55</v>
      </c>
      <c r="E3713" s="5" t="s">
        <v>32</v>
      </c>
      <c r="F3713" s="3" t="s">
        <v>33</v>
      </c>
      <c r="G3713" s="3" t="s">
        <v>86</v>
      </c>
      <c r="H3713" s="2" t="s">
        <v>22</v>
      </c>
      <c r="I3713" s="2" t="s">
        <v>8328</v>
      </c>
      <c r="J3713" s="3" t="str">
        <f>HYPERLINK("https://www.boe.es/gazeta/dias/1834/04/23/pdfs/GMD-1834-62.pdf#page=2","Abrir facsímil")</f>
        <v>Abrir facsímil</v>
      </c>
      <c r="K3713" s="3" t="s">
        <v>24</v>
      </c>
    </row>
    <row r="3714" spans="1:11" ht="54" customHeight="1">
      <c r="A3714" s="2" t="s">
        <v>8329</v>
      </c>
      <c r="B3714" s="2" t="s">
        <v>8330</v>
      </c>
      <c r="C3714" s="2" t="s">
        <v>17</v>
      </c>
      <c r="D3714" s="2" t="s">
        <v>18</v>
      </c>
      <c r="E3714" s="5" t="s">
        <v>724</v>
      </c>
      <c r="F3714" s="3" t="s">
        <v>725</v>
      </c>
      <c r="G3714" s="3" t="s">
        <v>21</v>
      </c>
      <c r="H3714" s="2" t="s">
        <v>22</v>
      </c>
      <c r="I3714" s="2" t="s">
        <v>8331</v>
      </c>
      <c r="J3714" s="3" t="str">
        <f>HYPERLINK("https://www.boe.es/gazeta/dias/1834/04/25/pdfs/GMD-1834-64.pdf#page=3","Abrir facsímil")</f>
        <v>Abrir facsímil</v>
      </c>
      <c r="K3714" s="3" t="s">
        <v>24</v>
      </c>
    </row>
    <row r="3715" spans="1:11" ht="54" customHeight="1">
      <c r="A3715" s="2" t="s">
        <v>8332</v>
      </c>
      <c r="B3715" s="2" t="s">
        <v>8333</v>
      </c>
      <c r="C3715" s="2" t="s">
        <v>17</v>
      </c>
      <c r="D3715" s="2" t="s">
        <v>55</v>
      </c>
      <c r="E3715" s="5" t="s">
        <v>1212</v>
      </c>
      <c r="F3715" s="3" t="s">
        <v>1213</v>
      </c>
      <c r="G3715" s="3" t="s">
        <v>86</v>
      </c>
      <c r="H3715" s="2" t="s">
        <v>22</v>
      </c>
      <c r="I3715" s="2" t="s">
        <v>8334</v>
      </c>
      <c r="J3715" s="3" t="str">
        <f>HYPERLINK("https://www.boe.es/gazeta/dias/1834/05/24/pdfs/GMD-1834-93.pdf#page=2","Abrir facsímil")</f>
        <v>Abrir facsímil</v>
      </c>
      <c r="K3715" s="3" t="s">
        <v>24</v>
      </c>
    </row>
    <row r="3716" spans="1:11" ht="54" customHeight="1">
      <c r="A3716" s="2" t="s">
        <v>8335</v>
      </c>
      <c r="B3716" s="2" t="s">
        <v>8336</v>
      </c>
      <c r="C3716" s="2" t="s">
        <v>46</v>
      </c>
      <c r="D3716" s="2" t="s">
        <v>101</v>
      </c>
      <c r="E3716" s="5" t="s">
        <v>541</v>
      </c>
      <c r="F3716" s="3" t="s">
        <v>542</v>
      </c>
      <c r="G3716" s="3" t="s">
        <v>86</v>
      </c>
      <c r="H3716" s="2" t="s">
        <v>22</v>
      </c>
      <c r="I3716" s="2" t="s">
        <v>8337</v>
      </c>
      <c r="J3716" s="3" t="str">
        <f>HYPERLINK("https://www.boe.es/gazeta/dias/1834/04/18/pdfs/GMD-1834-57.pdf#page=2","Abrir facsímil")</f>
        <v>Abrir facsímil</v>
      </c>
      <c r="K3716" s="3" t="s">
        <v>24</v>
      </c>
    </row>
    <row r="3717" spans="1:11" ht="54" customHeight="1">
      <c r="A3717" s="2" t="s">
        <v>8338</v>
      </c>
      <c r="B3717" s="2" t="s">
        <v>8339</v>
      </c>
      <c r="C3717" s="2" t="s">
        <v>17</v>
      </c>
      <c r="D3717" s="2" t="s">
        <v>55</v>
      </c>
      <c r="E3717" s="5" t="s">
        <v>1116</v>
      </c>
      <c r="F3717" s="3" t="s">
        <v>1117</v>
      </c>
      <c r="G3717" s="3" t="s">
        <v>86</v>
      </c>
      <c r="H3717" s="2" t="s">
        <v>22</v>
      </c>
      <c r="I3717" s="2" t="s">
        <v>8340</v>
      </c>
      <c r="J3717" s="3" t="str">
        <f>HYPERLINK("https://www.boe.es/gazeta/dias/1834/05/16/pdfs/GMD-1834-85.pdf#page=2","Abrir facsímil")</f>
        <v>Abrir facsímil</v>
      </c>
      <c r="K3717" s="3" t="s">
        <v>24</v>
      </c>
    </row>
    <row r="3718" spans="1:11" ht="54" customHeight="1">
      <c r="A3718" s="2" t="s">
        <v>8341</v>
      </c>
      <c r="B3718" s="2" t="s">
        <v>8342</v>
      </c>
      <c r="C3718" s="2" t="s">
        <v>17</v>
      </c>
      <c r="D3718" s="2" t="s">
        <v>55</v>
      </c>
      <c r="E3718" s="5" t="s">
        <v>32</v>
      </c>
      <c r="F3718" s="3" t="s">
        <v>33</v>
      </c>
      <c r="G3718" s="3" t="s">
        <v>86</v>
      </c>
      <c r="H3718" s="2" t="s">
        <v>22</v>
      </c>
      <c r="I3718" s="2" t="s">
        <v>8343</v>
      </c>
      <c r="J3718" s="3" t="str">
        <f>HYPERLINK("https://www.boe.es/gazeta/dias/1834/04/23/pdfs/GMD-1834-62.pdf#page=2","Abrir facsímil")</f>
        <v>Abrir facsímil</v>
      </c>
      <c r="K3718" s="3" t="s">
        <v>24</v>
      </c>
    </row>
    <row r="3719" spans="1:11" ht="54" customHeight="1">
      <c r="A3719" s="2" t="s">
        <v>8344</v>
      </c>
      <c r="B3719" s="2" t="s">
        <v>8345</v>
      </c>
      <c r="C3719" s="2" t="s">
        <v>17</v>
      </c>
      <c r="D3719" s="2" t="s">
        <v>18</v>
      </c>
      <c r="E3719" s="5" t="s">
        <v>8346</v>
      </c>
      <c r="F3719" s="3" t="s">
        <v>8347</v>
      </c>
      <c r="G3719" s="3" t="s">
        <v>21</v>
      </c>
      <c r="H3719" s="2" t="s">
        <v>22</v>
      </c>
      <c r="I3719" s="2" t="s">
        <v>8348</v>
      </c>
      <c r="J3719" s="3" t="str">
        <f>HYPERLINK("https://www.boe.es/gazeta/dias/1834/12/04/pdfs/GMD-1834-293.pdf#page=3","Abrir facsímil")</f>
        <v>Abrir facsímil</v>
      </c>
      <c r="K3719" s="3" t="s">
        <v>24</v>
      </c>
    </row>
    <row r="3720" spans="1:11" ht="54" customHeight="1">
      <c r="A3720" s="2" t="s">
        <v>8349</v>
      </c>
      <c r="B3720" s="2" t="s">
        <v>8350</v>
      </c>
      <c r="C3720" s="2" t="s">
        <v>66</v>
      </c>
      <c r="D3720" s="2" t="s">
        <v>67</v>
      </c>
      <c r="E3720" s="5" t="s">
        <v>339</v>
      </c>
      <c r="F3720" s="3" t="s">
        <v>340</v>
      </c>
      <c r="G3720" s="3" t="s">
        <v>75</v>
      </c>
      <c r="H3720" s="2" t="s">
        <v>22</v>
      </c>
      <c r="I3720" s="2" t="s">
        <v>8351</v>
      </c>
      <c r="J3720" s="3" t="str">
        <f>HYPERLINK("https://www.boe.es/gazeta/dias/1834/05/02/pdfs/GMD-1834-71.pdf#page=4","Abrir facsímil")</f>
        <v>Abrir facsímil</v>
      </c>
      <c r="K3720" s="3" t="s">
        <v>24</v>
      </c>
    </row>
    <row r="3721" spans="1:11" ht="54" customHeight="1">
      <c r="A3721" s="2" t="s">
        <v>8352</v>
      </c>
      <c r="B3721" s="2" t="s">
        <v>8353</v>
      </c>
      <c r="C3721" s="2" t="s">
        <v>122</v>
      </c>
      <c r="D3721" s="2" t="s">
        <v>18</v>
      </c>
      <c r="E3721" s="5" t="s">
        <v>594</v>
      </c>
      <c r="F3721" s="3" t="s">
        <v>595</v>
      </c>
      <c r="G3721" s="3" t="s">
        <v>75</v>
      </c>
      <c r="H3721" s="2" t="s">
        <v>22</v>
      </c>
      <c r="I3721" s="2" t="s">
        <v>8354</v>
      </c>
      <c r="J3721" s="3" t="str">
        <f>HYPERLINK("https://www.boe.es/gazeta/dias/1834/06/01/pdfs/GMD-1834-102.pdf#page=4","Abrir facsímil")</f>
        <v>Abrir facsímil</v>
      </c>
      <c r="K3721" s="3" t="s">
        <v>24</v>
      </c>
    </row>
    <row r="3722" spans="1:11" ht="54" customHeight="1">
      <c r="A3722" s="2" t="s">
        <v>8355</v>
      </c>
      <c r="B3722" s="2" t="s">
        <v>8356</v>
      </c>
      <c r="C3722" s="2" t="s">
        <v>46</v>
      </c>
      <c r="D3722" s="2" t="s">
        <v>101</v>
      </c>
      <c r="E3722" s="5" t="s">
        <v>2379</v>
      </c>
      <c r="F3722" s="3" t="s">
        <v>2380</v>
      </c>
      <c r="G3722" s="3" t="s">
        <v>75</v>
      </c>
      <c r="H3722" s="2" t="s">
        <v>22</v>
      </c>
      <c r="I3722" s="2" t="s">
        <v>8357</v>
      </c>
      <c r="J3722" s="3" t="str">
        <f>HYPERLINK("https://www.boe.es/gazeta/dias/1834/04/03/pdfs/GMD-1834-42.pdf#page=4","Abrir facsímil")</f>
        <v>Abrir facsímil</v>
      </c>
      <c r="K3722" s="3" t="s">
        <v>24</v>
      </c>
    </row>
    <row r="3723" spans="1:11" ht="54" customHeight="1">
      <c r="A3723" s="2" t="s">
        <v>8358</v>
      </c>
      <c r="B3723" s="2" t="s">
        <v>8359</v>
      </c>
      <c r="C3723" s="2" t="s">
        <v>17</v>
      </c>
      <c r="D3723" s="2" t="s">
        <v>18</v>
      </c>
      <c r="E3723" s="5" t="s">
        <v>364</v>
      </c>
      <c r="F3723" s="3" t="s">
        <v>365</v>
      </c>
      <c r="G3723" s="3" t="s">
        <v>34</v>
      </c>
      <c r="H3723" s="2" t="s">
        <v>35</v>
      </c>
      <c r="I3723" s="2" t="s">
        <v>8360</v>
      </c>
      <c r="J3723" s="3" t="str">
        <f>HYPERLINK("https://www.boe.es/gazeta/dias/1834/09/06/pdfs/GMD-D-1834-204.pdf#page=1","Abrir facsímil")</f>
        <v>Abrir facsímil</v>
      </c>
      <c r="K3723" s="3" t="s">
        <v>37</v>
      </c>
    </row>
    <row r="3724" spans="1:11" ht="54" customHeight="1">
      <c r="A3724" s="2" t="s">
        <v>8361</v>
      </c>
      <c r="B3724" s="2" t="s">
        <v>8362</v>
      </c>
      <c r="C3724" s="2" t="s">
        <v>66</v>
      </c>
      <c r="D3724" s="2" t="s">
        <v>18</v>
      </c>
      <c r="E3724" s="5" t="s">
        <v>1186</v>
      </c>
      <c r="F3724" s="3" t="s">
        <v>1187</v>
      </c>
      <c r="G3724" s="3" t="s">
        <v>86</v>
      </c>
      <c r="H3724" s="2" t="s">
        <v>35</v>
      </c>
      <c r="I3724" s="2" t="s">
        <v>8363</v>
      </c>
      <c r="J3724" s="3" t="str">
        <f>HYPERLINK("https://www.boe.es/gazeta/dias/1834/08/14/pdfs/GMD-1834-179.pdf#page=2","Abrir facsímil")</f>
        <v>Abrir facsímil</v>
      </c>
      <c r="K3724" s="3" t="s">
        <v>37</v>
      </c>
    </row>
    <row r="3725" spans="1:11" ht="54" customHeight="1">
      <c r="A3725" s="2" t="s">
        <v>8364</v>
      </c>
      <c r="B3725" s="2" t="s">
        <v>8365</v>
      </c>
      <c r="C3725" s="2" t="s">
        <v>17</v>
      </c>
      <c r="D3725" s="2" t="s">
        <v>18</v>
      </c>
      <c r="E3725" s="5" t="s">
        <v>364</v>
      </c>
      <c r="F3725" s="3" t="s">
        <v>365</v>
      </c>
      <c r="G3725" s="3" t="s">
        <v>34</v>
      </c>
      <c r="H3725" s="2" t="s">
        <v>22</v>
      </c>
      <c r="I3725" s="2" t="s">
        <v>8366</v>
      </c>
      <c r="J3725" s="3" t="str">
        <f>HYPERLINK("https://www.boe.es/gazeta/dias/1834/09/06/pdfs/GMD-D-1834-204.pdf#page=1","Abrir facsímil")</f>
        <v>Abrir facsímil</v>
      </c>
      <c r="K3725" s="3" t="s">
        <v>24</v>
      </c>
    </row>
    <row r="3726" spans="1:11" ht="54" customHeight="1">
      <c r="A3726" s="2" t="s">
        <v>8367</v>
      </c>
      <c r="B3726" s="2" t="s">
        <v>8368</v>
      </c>
      <c r="C3726" s="2" t="s">
        <v>66</v>
      </c>
      <c r="D3726" s="2" t="s">
        <v>18</v>
      </c>
      <c r="E3726" s="5" t="s">
        <v>1186</v>
      </c>
      <c r="F3726" s="3" t="s">
        <v>1187</v>
      </c>
      <c r="G3726" s="3" t="s">
        <v>86</v>
      </c>
      <c r="H3726" s="2" t="s">
        <v>22</v>
      </c>
      <c r="I3726" s="2" t="s">
        <v>8369</v>
      </c>
      <c r="J3726" s="3" t="str">
        <f>HYPERLINK("https://www.boe.es/gazeta/dias/1834/08/14/pdfs/GMD-1834-179.pdf#page=2","Abrir facsímil")</f>
        <v>Abrir facsímil</v>
      </c>
      <c r="K3726" s="3" t="s">
        <v>24</v>
      </c>
    </row>
    <row r="3727" spans="1:11" ht="54" customHeight="1">
      <c r="A3727" s="2" t="s">
        <v>8370</v>
      </c>
      <c r="B3727" s="2" t="s">
        <v>8371</v>
      </c>
      <c r="C3727" s="2" t="s">
        <v>90</v>
      </c>
      <c r="D3727" s="2" t="s">
        <v>18</v>
      </c>
      <c r="E3727" s="5" t="s">
        <v>3471</v>
      </c>
      <c r="F3727" s="3" t="s">
        <v>3472</v>
      </c>
      <c r="G3727" s="3" t="s">
        <v>21</v>
      </c>
      <c r="H3727" s="2" t="s">
        <v>22</v>
      </c>
      <c r="I3727" s="2" t="s">
        <v>8372</v>
      </c>
      <c r="J3727" s="3" t="str">
        <f>HYPERLINK("https://www.boe.es/gazeta/dias/1834/07/07/pdfs/GMD-1834-140.pdf#page=3","Abrir facsímil")</f>
        <v>Abrir facsímil</v>
      </c>
      <c r="K3727" s="3" t="s">
        <v>24</v>
      </c>
    </row>
    <row r="3728" spans="1:11" ht="54" customHeight="1">
      <c r="A3728" s="2" t="s">
        <v>8373</v>
      </c>
      <c r="B3728" s="2" t="s">
        <v>8374</v>
      </c>
      <c r="C3728" s="2" t="s">
        <v>17</v>
      </c>
      <c r="D3728" s="2" t="s">
        <v>18</v>
      </c>
      <c r="E3728" s="5" t="s">
        <v>367</v>
      </c>
      <c r="F3728" s="3" t="s">
        <v>368</v>
      </c>
      <c r="G3728" s="3" t="s">
        <v>75</v>
      </c>
      <c r="H3728" s="2" t="s">
        <v>22</v>
      </c>
      <c r="I3728" s="2" t="s">
        <v>8375</v>
      </c>
      <c r="J3728" s="3" t="str">
        <f>HYPERLINK("https://www.boe.es/gazeta/dias/1834/05/19/pdfs/GMD-1834-88.pdf#page=4","Abrir facsímil")</f>
        <v>Abrir facsímil</v>
      </c>
      <c r="K3728" s="3" t="s">
        <v>24</v>
      </c>
    </row>
    <row r="3729" spans="1:11" ht="54" customHeight="1">
      <c r="A3729" s="2" t="s">
        <v>8376</v>
      </c>
      <c r="B3729" s="2" t="s">
        <v>8377</v>
      </c>
      <c r="C3729" s="2" t="s">
        <v>17</v>
      </c>
      <c r="D3729" s="2" t="s">
        <v>40</v>
      </c>
      <c r="E3729" s="5" t="s">
        <v>375</v>
      </c>
      <c r="F3729" s="3" t="s">
        <v>4983</v>
      </c>
      <c r="G3729" s="3" t="s">
        <v>86</v>
      </c>
      <c r="H3729" s="2" t="s">
        <v>22</v>
      </c>
      <c r="I3729" s="2" t="s">
        <v>8378</v>
      </c>
      <c r="J3729" s="3" t="str">
        <f>HYPERLINK("https://www.boe.es/gazeta/dias/1834/08/21/pdfs/GMD-C-1834-187.pdf#page=2","Abrir facsímil")</f>
        <v>Abrir facsímil</v>
      </c>
      <c r="K3729" s="3" t="s">
        <v>24</v>
      </c>
    </row>
    <row r="3730" spans="1:11" ht="54" customHeight="1">
      <c r="A3730" s="2" t="s">
        <v>8379</v>
      </c>
      <c r="B3730" s="2" t="s">
        <v>8380</v>
      </c>
      <c r="C3730" s="2" t="s">
        <v>90</v>
      </c>
      <c r="D3730" s="2" t="s">
        <v>101</v>
      </c>
      <c r="E3730" s="5" t="s">
        <v>1186</v>
      </c>
      <c r="F3730" s="3" t="s">
        <v>1187</v>
      </c>
      <c r="G3730" s="3" t="s">
        <v>21</v>
      </c>
      <c r="H3730" s="2" t="s">
        <v>22</v>
      </c>
      <c r="I3730" s="2" t="s">
        <v>8381</v>
      </c>
      <c r="J3730" s="3" t="str">
        <f>HYPERLINK("https://www.boe.es/gazeta/dias/1834/08/14/pdfs/GMD-1834-179.pdf#page=3","Abrir facsímil")</f>
        <v>Abrir facsímil</v>
      </c>
      <c r="K3730" s="3" t="s">
        <v>24</v>
      </c>
    </row>
    <row r="3731" spans="1:11" ht="54" customHeight="1">
      <c r="A3731" s="2" t="s">
        <v>8382</v>
      </c>
      <c r="B3731" s="2" t="s">
        <v>8383</v>
      </c>
      <c r="C3731" s="2" t="s">
        <v>90</v>
      </c>
      <c r="D3731" s="2" t="s">
        <v>18</v>
      </c>
      <c r="E3731" s="5" t="s">
        <v>844</v>
      </c>
      <c r="F3731" s="3" t="s">
        <v>845</v>
      </c>
      <c r="G3731" s="3" t="s">
        <v>86</v>
      </c>
      <c r="H3731" s="2" t="s">
        <v>22</v>
      </c>
      <c r="I3731" s="2" t="s">
        <v>8384</v>
      </c>
      <c r="J3731" s="3" t="str">
        <f>HYPERLINK("https://www.boe.es/gazeta/dias/1834/03/13/pdfs/GMD-1834-32.pdf#page=2","Abrir facsímil")</f>
        <v>Abrir facsímil</v>
      </c>
      <c r="K3731" s="3" t="s">
        <v>24</v>
      </c>
    </row>
    <row r="3732" spans="1:11" ht="54" customHeight="1">
      <c r="A3732" s="2" t="s">
        <v>8385</v>
      </c>
      <c r="B3732" s="2" t="s">
        <v>8386</v>
      </c>
      <c r="C3732" s="2" t="s">
        <v>17</v>
      </c>
      <c r="D3732" s="2" t="s">
        <v>18</v>
      </c>
      <c r="E3732" s="5" t="s">
        <v>4237</v>
      </c>
      <c r="F3732" s="3" t="s">
        <v>4238</v>
      </c>
      <c r="G3732" s="3" t="s">
        <v>34</v>
      </c>
      <c r="H3732" s="2" t="s">
        <v>22</v>
      </c>
      <c r="I3732" s="2" t="s">
        <v>8387</v>
      </c>
      <c r="J3732" s="3" t="str">
        <f>HYPERLINK("https://www.boe.es/gazeta/dias/1834/06/17/pdfs/GMD-1834-120.pdf#page=1","Abrir facsímil")</f>
        <v>Abrir facsímil</v>
      </c>
      <c r="K3732" s="3" t="s">
        <v>24</v>
      </c>
    </row>
    <row r="3733" spans="1:11" ht="54" customHeight="1">
      <c r="A3733" s="2" t="s">
        <v>8388</v>
      </c>
      <c r="B3733" s="2" t="s">
        <v>8389</v>
      </c>
      <c r="C3733" s="2" t="s">
        <v>17</v>
      </c>
      <c r="D3733" s="2" t="s">
        <v>18</v>
      </c>
      <c r="E3733" s="5" t="s">
        <v>928</v>
      </c>
      <c r="F3733" s="3" t="s">
        <v>3338</v>
      </c>
      <c r="G3733" s="3" t="s">
        <v>34</v>
      </c>
      <c r="H3733" s="2" t="s">
        <v>22</v>
      </c>
      <c r="I3733" s="2" t="s">
        <v>8390</v>
      </c>
      <c r="J3733" s="3" t="str">
        <f>HYPERLINK("https://www.boe.es/gazeta/dias/1834/11/15/pdfs/GMD-1834-274.pdf#page=1","Abrir facsímil")</f>
        <v>Abrir facsímil</v>
      </c>
      <c r="K3733" s="3" t="s">
        <v>24</v>
      </c>
    </row>
    <row r="3734" spans="1:11" ht="54" customHeight="1">
      <c r="A3734" s="2" t="s">
        <v>8391</v>
      </c>
      <c r="B3734" s="2" t="s">
        <v>8392</v>
      </c>
      <c r="C3734" s="2" t="s">
        <v>17</v>
      </c>
      <c r="D3734" s="2" t="s">
        <v>18</v>
      </c>
      <c r="E3734" s="5" t="s">
        <v>1680</v>
      </c>
      <c r="F3734" s="3" t="s">
        <v>1681</v>
      </c>
      <c r="G3734" s="3" t="s">
        <v>21</v>
      </c>
      <c r="H3734" s="2" t="s">
        <v>22</v>
      </c>
      <c r="I3734" s="2" t="s">
        <v>8393</v>
      </c>
      <c r="J3734" s="3" t="str">
        <f>HYPERLINK("https://www.boe.es/gazeta/dias/1834/02/27/pdfs/GMD-1834-26.pdf#page=3","Abrir facsímil")</f>
        <v>Abrir facsímil</v>
      </c>
      <c r="K3734" s="3" t="s">
        <v>24</v>
      </c>
    </row>
    <row r="3735" spans="1:11" ht="54" customHeight="1">
      <c r="A3735" s="2" t="s">
        <v>8394</v>
      </c>
      <c r="B3735" s="2" t="s">
        <v>8395</v>
      </c>
      <c r="C3735" s="2" t="s">
        <v>17</v>
      </c>
      <c r="D3735" s="2" t="s">
        <v>18</v>
      </c>
      <c r="E3735" s="5" t="s">
        <v>715</v>
      </c>
      <c r="F3735" s="3" t="s">
        <v>7773</v>
      </c>
      <c r="G3735" s="3" t="s">
        <v>75</v>
      </c>
      <c r="H3735" s="2" t="s">
        <v>22</v>
      </c>
      <c r="I3735" s="2" t="s">
        <v>8396</v>
      </c>
      <c r="J3735" s="3" t="str">
        <f>HYPERLINK("https://www.boe.es/gazeta/dias/1834/09/17/pdfs/GMD-1834-215.pdf#page=4","Abrir facsímil")</f>
        <v>Abrir facsímil</v>
      </c>
      <c r="K3735" s="3" t="s">
        <v>24</v>
      </c>
    </row>
    <row r="3736" spans="1:11" ht="54" customHeight="1">
      <c r="A3736" s="2" t="s">
        <v>8397</v>
      </c>
      <c r="B3736" s="2" t="s">
        <v>8398</v>
      </c>
      <c r="C3736" s="2" t="s">
        <v>46</v>
      </c>
      <c r="D3736" s="2" t="s">
        <v>55</v>
      </c>
      <c r="E3736" s="5" t="s">
        <v>1234</v>
      </c>
      <c r="F3736" s="3" t="s">
        <v>1455</v>
      </c>
      <c r="G3736" s="3" t="s">
        <v>34</v>
      </c>
      <c r="H3736" s="2" t="s">
        <v>22</v>
      </c>
      <c r="I3736" s="2" t="s">
        <v>8399</v>
      </c>
      <c r="J3736" s="3" t="str">
        <f>HYPERLINK("https://www.boe.es/gazeta/dias/1834/05/15/pdfs/GMD-1834-84.pdf#page=1","Abrir facsímil")</f>
        <v>Abrir facsímil</v>
      </c>
      <c r="K3736" s="3" t="s">
        <v>24</v>
      </c>
    </row>
    <row r="3737" spans="1:11" ht="54" customHeight="1">
      <c r="A3737" s="2" t="s">
        <v>8400</v>
      </c>
      <c r="B3737" s="2" t="s">
        <v>8401</v>
      </c>
      <c r="C3737" s="2" t="s">
        <v>46</v>
      </c>
      <c r="D3737" s="2" t="s">
        <v>101</v>
      </c>
      <c r="E3737" s="5" t="s">
        <v>1273</v>
      </c>
      <c r="F3737" s="3" t="s">
        <v>1274</v>
      </c>
      <c r="G3737" s="3" t="s">
        <v>34</v>
      </c>
      <c r="H3737" s="2" t="s">
        <v>22</v>
      </c>
      <c r="I3737" s="2" t="s">
        <v>8402</v>
      </c>
      <c r="J3737" s="3" t="str">
        <f>HYPERLINK("https://www.boe.es/gazeta/dias/1834/05/14/pdfs/GMD-1834-83.pdf#page=1","Abrir facsímil")</f>
        <v>Abrir facsímil</v>
      </c>
      <c r="K3737" s="3" t="s">
        <v>24</v>
      </c>
    </row>
    <row r="3738" spans="1:11" ht="54" customHeight="1">
      <c r="A3738" s="2" t="s">
        <v>8403</v>
      </c>
      <c r="B3738" s="2" t="s">
        <v>8404</v>
      </c>
      <c r="C3738" s="2" t="s">
        <v>66</v>
      </c>
      <c r="D3738" s="2" t="s">
        <v>67</v>
      </c>
      <c r="E3738" s="5" t="s">
        <v>2260</v>
      </c>
      <c r="F3738" s="3" t="s">
        <v>2261</v>
      </c>
      <c r="G3738" s="3" t="s">
        <v>34</v>
      </c>
      <c r="H3738" s="2" t="s">
        <v>22</v>
      </c>
      <c r="I3738" s="2" t="s">
        <v>8405</v>
      </c>
      <c r="J3738" s="3" t="str">
        <f>HYPERLINK("https://www.boe.es/gazeta/dias/1834/11/13/pdfs/GMD-1834-272.pdf#page=1","Abrir facsímil")</f>
        <v>Abrir facsímil</v>
      </c>
      <c r="K3738" s="3" t="s">
        <v>24</v>
      </c>
    </row>
    <row r="3739" spans="1:11" ht="54" customHeight="1">
      <c r="A3739" s="2" t="s">
        <v>8406</v>
      </c>
      <c r="B3739" s="2" t="s">
        <v>8407</v>
      </c>
      <c r="C3739" s="2" t="s">
        <v>17</v>
      </c>
      <c r="D3739" s="2" t="s">
        <v>18</v>
      </c>
      <c r="E3739" s="5" t="s">
        <v>258</v>
      </c>
      <c r="F3739" s="3" t="s">
        <v>1075</v>
      </c>
      <c r="G3739" s="3" t="s">
        <v>34</v>
      </c>
      <c r="H3739" s="2" t="s">
        <v>22</v>
      </c>
      <c r="I3739" s="2" t="s">
        <v>8408</v>
      </c>
      <c r="J3739" s="3" t="str">
        <f>HYPERLINK("https://www.boe.es/gazeta/dias/1834/10/09/pdfs/GMD-1834-237.pdf#page=1","Abrir facsímil")</f>
        <v>Abrir facsímil</v>
      </c>
      <c r="K3739" s="3" t="s">
        <v>24</v>
      </c>
    </row>
    <row r="3740" spans="1:11" ht="54" customHeight="1">
      <c r="A3740" s="2" t="s">
        <v>8409</v>
      </c>
      <c r="B3740" s="2" t="s">
        <v>8410</v>
      </c>
      <c r="C3740" s="2" t="s">
        <v>46</v>
      </c>
      <c r="D3740" s="2" t="s">
        <v>55</v>
      </c>
      <c r="E3740" s="5" t="s">
        <v>26</v>
      </c>
      <c r="F3740" s="3" t="s">
        <v>818</v>
      </c>
      <c r="G3740" s="3" t="s">
        <v>21</v>
      </c>
      <c r="H3740" s="2" t="s">
        <v>22</v>
      </c>
      <c r="I3740" s="2" t="s">
        <v>8411</v>
      </c>
      <c r="J3740" s="3" t="str">
        <f>HYPERLINK("https://www.boe.es/gazeta/dias/1834/10/19/pdfs/GMD-1834-247.pdf#page=3","Abrir facsímil")</f>
        <v>Abrir facsímil</v>
      </c>
      <c r="K3740" s="3" t="s">
        <v>24</v>
      </c>
    </row>
    <row r="3741" spans="1:11" ht="54" customHeight="1">
      <c r="A3741" s="2" t="s">
        <v>8412</v>
      </c>
      <c r="B3741" s="2" t="s">
        <v>8413</v>
      </c>
      <c r="C3741" s="2" t="s">
        <v>17</v>
      </c>
      <c r="D3741" s="2" t="s">
        <v>18</v>
      </c>
      <c r="E3741" s="5" t="s">
        <v>1186</v>
      </c>
      <c r="F3741" s="3" t="s">
        <v>1187</v>
      </c>
      <c r="G3741" s="3" t="s">
        <v>21</v>
      </c>
      <c r="H3741" s="2" t="s">
        <v>22</v>
      </c>
      <c r="I3741" s="2" t="s">
        <v>8414</v>
      </c>
      <c r="J3741" s="3" t="str">
        <f>HYPERLINK("https://www.boe.es/gazeta/dias/1834/08/14/pdfs/GMD-1834-179.pdf#page=3","Abrir facsímil")</f>
        <v>Abrir facsímil</v>
      </c>
      <c r="K3741" s="3" t="s">
        <v>24</v>
      </c>
    </row>
    <row r="3742" spans="1:11" ht="54" customHeight="1">
      <c r="A3742" s="2" t="s">
        <v>8415</v>
      </c>
      <c r="B3742" s="2" t="s">
        <v>8416</v>
      </c>
      <c r="C3742" s="2" t="s">
        <v>17</v>
      </c>
      <c r="D3742" s="2" t="s">
        <v>18</v>
      </c>
      <c r="E3742" s="5" t="s">
        <v>1839</v>
      </c>
      <c r="F3742" s="3" t="s">
        <v>1840</v>
      </c>
      <c r="G3742" s="3" t="s">
        <v>34</v>
      </c>
      <c r="H3742" s="2" t="s">
        <v>35</v>
      </c>
      <c r="I3742" s="2" t="s">
        <v>8417</v>
      </c>
      <c r="J3742" s="3" t="str">
        <f>HYPERLINK("https://www.boe.es/gazeta/dias/1834/08/12/pdfs/GMD-C-1834-177.pdf#page=1","Abrir facsímil")</f>
        <v>Abrir facsímil</v>
      </c>
      <c r="K3742" s="3" t="s">
        <v>37</v>
      </c>
    </row>
    <row r="3743" spans="1:11" ht="54" customHeight="1">
      <c r="A3743" s="2" t="s">
        <v>8418</v>
      </c>
      <c r="B3743" s="2" t="s">
        <v>8419</v>
      </c>
      <c r="C3743" s="2" t="s">
        <v>66</v>
      </c>
      <c r="D3743" s="2" t="s">
        <v>67</v>
      </c>
      <c r="E3743" s="5" t="s">
        <v>1262</v>
      </c>
      <c r="F3743" s="3" t="s">
        <v>1263</v>
      </c>
      <c r="G3743" s="3" t="s">
        <v>21</v>
      </c>
      <c r="H3743" s="2" t="s">
        <v>22</v>
      </c>
      <c r="I3743" s="2" t="s">
        <v>8420</v>
      </c>
      <c r="J3743" s="3" t="str">
        <f>HYPERLINK("https://www.boe.es/gazeta/dias/1834/02/01/pdfs/GMD-1834-15.pdf#page=3","Abrir facsímil")</f>
        <v>Abrir facsímil</v>
      </c>
      <c r="K3743" s="3" t="s">
        <v>24</v>
      </c>
    </row>
    <row r="3744" spans="1:11" ht="54" customHeight="1">
      <c r="A3744" s="2" t="s">
        <v>8421</v>
      </c>
      <c r="B3744" s="2" t="s">
        <v>8422</v>
      </c>
      <c r="C3744" s="2" t="s">
        <v>17</v>
      </c>
      <c r="D3744" s="2" t="s">
        <v>18</v>
      </c>
      <c r="E3744" s="5" t="s">
        <v>1839</v>
      </c>
      <c r="F3744" s="3" t="s">
        <v>1840</v>
      </c>
      <c r="G3744" s="3" t="s">
        <v>34</v>
      </c>
      <c r="H3744" s="2" t="s">
        <v>22</v>
      </c>
      <c r="I3744" s="2" t="s">
        <v>8423</v>
      </c>
      <c r="J3744" s="3" t="str">
        <f>HYPERLINK("https://www.boe.es/gazeta/dias/1834/08/12/pdfs/GMD-C-1834-177.pdf#page=1","Abrir facsímil")</f>
        <v>Abrir facsímil</v>
      </c>
      <c r="K3744" s="3" t="s">
        <v>24</v>
      </c>
    </row>
    <row r="3745" spans="1:11" ht="54" customHeight="1">
      <c r="A3745" s="2" t="s">
        <v>8424</v>
      </c>
      <c r="B3745" s="2" t="s">
        <v>8425</v>
      </c>
      <c r="C3745" s="2" t="s">
        <v>90</v>
      </c>
      <c r="D3745" s="2" t="s">
        <v>18</v>
      </c>
      <c r="E3745" s="5" t="s">
        <v>2218</v>
      </c>
      <c r="F3745" s="3" t="s">
        <v>2219</v>
      </c>
      <c r="G3745" s="3" t="s">
        <v>21</v>
      </c>
      <c r="H3745" s="2" t="s">
        <v>22</v>
      </c>
      <c r="I3745" s="2" t="s">
        <v>8426</v>
      </c>
      <c r="J3745" s="3" t="str">
        <f>HYPERLINK("https://www.boe.es/gazeta/dias/1834/11/05/pdfs/GMD-1834-264.pdf#page=3","Abrir facsímil")</f>
        <v>Abrir facsímil</v>
      </c>
      <c r="K3745" s="3" t="s">
        <v>24</v>
      </c>
    </row>
    <row r="3746" spans="1:11" ht="54" customHeight="1">
      <c r="A3746" s="2" t="s">
        <v>8427</v>
      </c>
      <c r="B3746" s="2" t="s">
        <v>8428</v>
      </c>
      <c r="C3746" s="2" t="s">
        <v>17</v>
      </c>
      <c r="D3746" s="2" t="s">
        <v>101</v>
      </c>
      <c r="E3746" s="5" t="s">
        <v>696</v>
      </c>
      <c r="F3746" s="3" t="s">
        <v>697</v>
      </c>
      <c r="G3746" s="3" t="s">
        <v>34</v>
      </c>
      <c r="H3746" s="2" t="s">
        <v>22</v>
      </c>
      <c r="I3746" s="2" t="s">
        <v>8429</v>
      </c>
      <c r="J3746" s="3" t="str">
        <f>HYPERLINK("https://www.boe.es/gazeta/dias/1834/12/06/pdfs/GMD-C-1834-295.pdf#page=1","Abrir facsímil")</f>
        <v>Abrir facsímil</v>
      </c>
      <c r="K3746" s="3" t="s">
        <v>24</v>
      </c>
    </row>
    <row r="3747" spans="1:11" ht="54" customHeight="1">
      <c r="A3747" s="2" t="s">
        <v>8430</v>
      </c>
      <c r="B3747" s="2" t="s">
        <v>8431</v>
      </c>
      <c r="C3747" s="2" t="s">
        <v>17</v>
      </c>
      <c r="D3747" s="2" t="s">
        <v>18</v>
      </c>
      <c r="E3747" s="5" t="s">
        <v>73</v>
      </c>
      <c r="F3747" s="3" t="s">
        <v>1416</v>
      </c>
      <c r="G3747" s="3" t="s">
        <v>86</v>
      </c>
      <c r="H3747" s="2" t="s">
        <v>22</v>
      </c>
      <c r="I3747" s="2" t="s">
        <v>8432</v>
      </c>
      <c r="J3747" s="3" t="str">
        <f>HYPERLINK("https://www.boe.es/gazeta/dias/1834/11/04/pdfs/GMD-C-1834-263.pdf#page=2","Abrir facsímil")</f>
        <v>Abrir facsímil</v>
      </c>
      <c r="K3747" s="3" t="s">
        <v>24</v>
      </c>
    </row>
    <row r="3748" spans="1:11" ht="54" customHeight="1">
      <c r="A3748" s="2" t="s">
        <v>8430</v>
      </c>
      <c r="B3748" s="2" t="s">
        <v>8431</v>
      </c>
      <c r="C3748" s="2" t="s">
        <v>17</v>
      </c>
      <c r="D3748" s="2" t="s">
        <v>18</v>
      </c>
      <c r="E3748" s="5" t="s">
        <v>1008</v>
      </c>
      <c r="F3748" s="3" t="s">
        <v>1009</v>
      </c>
      <c r="G3748" s="3" t="s">
        <v>176</v>
      </c>
      <c r="H3748" s="2" t="s">
        <v>22</v>
      </c>
      <c r="I3748" s="2" t="s">
        <v>8433</v>
      </c>
      <c r="J3748" s="3" t="str">
        <f>HYPERLINK("https://www.boe.es/gazeta/dias/1834/11/08/pdfs/GMD-C-1834-267.pdf#page=6","Abrir facsímil")</f>
        <v>Abrir facsímil</v>
      </c>
      <c r="K3748" s="3" t="s">
        <v>24</v>
      </c>
    </row>
    <row r="3749" spans="1:11" ht="54" customHeight="1">
      <c r="A3749" s="2" t="s">
        <v>8430</v>
      </c>
      <c r="B3749" s="2" t="s">
        <v>8431</v>
      </c>
      <c r="C3749" s="2" t="s">
        <v>17</v>
      </c>
      <c r="D3749" s="2" t="s">
        <v>18</v>
      </c>
      <c r="E3749" s="5" t="s">
        <v>1103</v>
      </c>
      <c r="F3749" s="3" t="s">
        <v>1104</v>
      </c>
      <c r="G3749" s="3" t="s">
        <v>75</v>
      </c>
      <c r="H3749" s="2" t="s">
        <v>22</v>
      </c>
      <c r="I3749" s="2" t="s">
        <v>8434</v>
      </c>
      <c r="J3749" s="3" t="str">
        <f>HYPERLINK("https://www.boe.es/gazeta/dias/1834/10/10/pdfs/GMD-C-1834-238.pdf#page=4","Abrir facsímil")</f>
        <v>Abrir facsímil</v>
      </c>
      <c r="K3749" s="3" t="s">
        <v>24</v>
      </c>
    </row>
    <row r="3750" spans="1:11" ht="54" customHeight="1">
      <c r="A3750" s="2" t="s">
        <v>8430</v>
      </c>
      <c r="B3750" s="2" t="s">
        <v>8431</v>
      </c>
      <c r="C3750" s="2" t="s">
        <v>66</v>
      </c>
      <c r="D3750" s="2" t="s">
        <v>67</v>
      </c>
      <c r="E3750" s="5" t="s">
        <v>510</v>
      </c>
      <c r="F3750" s="3" t="s">
        <v>531</v>
      </c>
      <c r="G3750" s="3" t="s">
        <v>28</v>
      </c>
      <c r="H3750" s="2" t="s">
        <v>22</v>
      </c>
      <c r="I3750" s="2" t="s">
        <v>8435</v>
      </c>
      <c r="J3750" s="3" t="str">
        <f>HYPERLINK("https://www.boe.es/gazeta/dias/1834/11/26/pdfs/GMD-C-1834-285.pdf#page=5","Abrir facsímil")</f>
        <v>Abrir facsímil</v>
      </c>
      <c r="K3750" s="3" t="s">
        <v>24</v>
      </c>
    </row>
    <row r="3751" spans="1:11" ht="54" customHeight="1">
      <c r="A3751" s="2" t="s">
        <v>8430</v>
      </c>
      <c r="B3751" s="2" t="s">
        <v>8431</v>
      </c>
      <c r="C3751" s="2" t="s">
        <v>17</v>
      </c>
      <c r="D3751" s="2" t="s">
        <v>18</v>
      </c>
      <c r="E3751" s="5" t="s">
        <v>468</v>
      </c>
      <c r="F3751" s="3" t="s">
        <v>469</v>
      </c>
      <c r="G3751" s="3" t="s">
        <v>470</v>
      </c>
      <c r="H3751" s="2" t="s">
        <v>22</v>
      </c>
      <c r="I3751" s="2" t="s">
        <v>8436</v>
      </c>
      <c r="J3751" s="3" t="str">
        <f>HYPERLINK("https://www.boe.es/gazeta/dias/1834/12/28/pdfs/GMD-C-1834-318.pdf#page=8","Abrir facsímil")</f>
        <v>Abrir facsímil</v>
      </c>
      <c r="K3751" s="3" t="s">
        <v>24</v>
      </c>
    </row>
    <row r="3752" spans="1:11" ht="54" customHeight="1">
      <c r="A3752" s="2" t="s">
        <v>8430</v>
      </c>
      <c r="B3752" s="2" t="s">
        <v>8431</v>
      </c>
      <c r="C3752" s="2" t="s">
        <v>66</v>
      </c>
      <c r="D3752" s="2" t="s">
        <v>67</v>
      </c>
      <c r="E3752" s="5" t="s">
        <v>2526</v>
      </c>
      <c r="F3752" s="3" t="s">
        <v>2527</v>
      </c>
      <c r="G3752" s="3" t="s">
        <v>21</v>
      </c>
      <c r="H3752" s="2" t="s">
        <v>22</v>
      </c>
      <c r="I3752" s="2" t="s">
        <v>8437</v>
      </c>
      <c r="J3752" s="3" t="str">
        <f>HYPERLINK("https://www.boe.es/gazeta/dias/1834/12/29/pdfs/GMD-C-1834-319.pdf#page=3","Abrir facsímil")</f>
        <v>Abrir facsímil</v>
      </c>
      <c r="K3752" s="3" t="s">
        <v>24</v>
      </c>
    </row>
    <row r="3753" spans="1:11" ht="54" customHeight="1">
      <c r="A3753" s="2" t="s">
        <v>8438</v>
      </c>
      <c r="B3753" s="2" t="s">
        <v>8439</v>
      </c>
      <c r="C3753" s="2" t="s">
        <v>90</v>
      </c>
      <c r="D3753" s="2" t="s">
        <v>18</v>
      </c>
      <c r="E3753" s="5" t="s">
        <v>1186</v>
      </c>
      <c r="F3753" s="3" t="s">
        <v>4286</v>
      </c>
      <c r="G3753" s="3" t="s">
        <v>86</v>
      </c>
      <c r="H3753" s="2" t="s">
        <v>35</v>
      </c>
      <c r="I3753" s="2" t="s">
        <v>8440</v>
      </c>
      <c r="J3753" s="3" t="str">
        <f>HYPERLINK("https://www.boe.es/gazeta/dias/1834/08/14/pdfs/GMD-C-1834-179.pdf#page=2","Abrir facsímil")</f>
        <v>Abrir facsímil</v>
      </c>
      <c r="K3753" s="3" t="s">
        <v>37</v>
      </c>
    </row>
    <row r="3754" spans="1:11" ht="54" customHeight="1">
      <c r="A3754" s="2" t="s">
        <v>8441</v>
      </c>
      <c r="B3754" s="2" t="s">
        <v>8442</v>
      </c>
      <c r="C3754" s="2" t="s">
        <v>17</v>
      </c>
      <c r="D3754" s="2" t="s">
        <v>18</v>
      </c>
      <c r="E3754" s="5" t="s">
        <v>1103</v>
      </c>
      <c r="F3754" s="3" t="s">
        <v>1104</v>
      </c>
      <c r="G3754" s="3" t="s">
        <v>75</v>
      </c>
      <c r="H3754" s="2" t="s">
        <v>22</v>
      </c>
      <c r="I3754" s="2" t="s">
        <v>8443</v>
      </c>
      <c r="J3754" s="3" t="str">
        <f>HYPERLINK("https://www.boe.es/gazeta/dias/1834/10/10/pdfs/GMD-C-1834-238.pdf#page=4","Abrir facsímil")</f>
        <v>Abrir facsímil</v>
      </c>
      <c r="K3754" s="3" t="s">
        <v>24</v>
      </c>
    </row>
    <row r="3755" spans="1:11" ht="54" customHeight="1">
      <c r="A3755" s="2" t="s">
        <v>8441</v>
      </c>
      <c r="B3755" s="2" t="s">
        <v>8442</v>
      </c>
      <c r="C3755" s="2" t="s">
        <v>66</v>
      </c>
      <c r="D3755" s="2" t="s">
        <v>67</v>
      </c>
      <c r="E3755" s="5" t="s">
        <v>2526</v>
      </c>
      <c r="F3755" s="3" t="s">
        <v>2527</v>
      </c>
      <c r="G3755" s="3" t="s">
        <v>21</v>
      </c>
      <c r="H3755" s="2" t="s">
        <v>22</v>
      </c>
      <c r="I3755" s="2" t="s">
        <v>8444</v>
      </c>
      <c r="J3755" s="3" t="str">
        <f>HYPERLINK("https://www.boe.es/gazeta/dias/1834/12/29/pdfs/GMD-C-1834-319.pdf#page=3","Abrir facsímil")</f>
        <v>Abrir facsímil</v>
      </c>
      <c r="K3755" s="3" t="s">
        <v>24</v>
      </c>
    </row>
    <row r="3756" spans="1:11" ht="54" customHeight="1">
      <c r="A3756" s="2" t="s">
        <v>8445</v>
      </c>
      <c r="B3756" s="2" t="s">
        <v>8446</v>
      </c>
      <c r="C3756" s="2" t="s">
        <v>90</v>
      </c>
      <c r="D3756" s="2" t="s">
        <v>18</v>
      </c>
      <c r="E3756" s="5" t="s">
        <v>1186</v>
      </c>
      <c r="F3756" s="3" t="s">
        <v>4286</v>
      </c>
      <c r="G3756" s="3" t="s">
        <v>86</v>
      </c>
      <c r="H3756" s="2" t="s">
        <v>22</v>
      </c>
      <c r="I3756" s="2" t="s">
        <v>8447</v>
      </c>
      <c r="J3756" s="3" t="str">
        <f>HYPERLINK("https://www.boe.es/gazeta/dias/1834/08/14/pdfs/GMD-C-1834-179.pdf#page=2","Abrir facsímil")</f>
        <v>Abrir facsímil</v>
      </c>
      <c r="K3756" s="3" t="s">
        <v>24</v>
      </c>
    </row>
    <row r="3757" spans="1:11" ht="54" customHeight="1">
      <c r="A3757" s="2" t="s">
        <v>8448</v>
      </c>
      <c r="B3757" s="2" t="s">
        <v>8449</v>
      </c>
      <c r="C3757" s="2" t="s">
        <v>17</v>
      </c>
      <c r="D3757" s="2" t="s">
        <v>18</v>
      </c>
      <c r="E3757" s="5" t="s">
        <v>19</v>
      </c>
      <c r="F3757" s="3" t="s">
        <v>20</v>
      </c>
      <c r="G3757" s="3" t="s">
        <v>21</v>
      </c>
      <c r="H3757" s="2" t="s">
        <v>35</v>
      </c>
      <c r="I3757" s="2" t="s">
        <v>8450</v>
      </c>
      <c r="J3757" s="3" t="str">
        <f>HYPERLINK("https://www.boe.es/gazeta/dias/1834/08/17/pdfs/GMD-D-1834-182.pdf#page=3","Abrir facsímil")</f>
        <v>Abrir facsímil</v>
      </c>
      <c r="K3757" s="3" t="s">
        <v>37</v>
      </c>
    </row>
    <row r="3758" spans="1:11" ht="54" customHeight="1">
      <c r="A3758" s="2" t="s">
        <v>8451</v>
      </c>
      <c r="B3758" s="2" t="s">
        <v>8452</v>
      </c>
      <c r="C3758" s="2" t="s">
        <v>122</v>
      </c>
      <c r="D3758" s="2" t="s">
        <v>55</v>
      </c>
      <c r="E3758" s="5" t="s">
        <v>158</v>
      </c>
      <c r="F3758" s="3" t="s">
        <v>159</v>
      </c>
      <c r="G3758" s="3" t="s">
        <v>21</v>
      </c>
      <c r="H3758" s="2" t="s">
        <v>35</v>
      </c>
      <c r="I3758" s="2" t="s">
        <v>8453</v>
      </c>
      <c r="J3758" s="3" t="str">
        <f>HYPERLINK("https://www.boe.es/gazeta/dias/1834/10/01/pdfs/GMD-1834-229.pdf#page=3","Abrir facsímil")</f>
        <v>Abrir facsímil</v>
      </c>
      <c r="K3758" s="3" t="s">
        <v>37</v>
      </c>
    </row>
    <row r="3759" spans="1:11" ht="54" customHeight="1">
      <c r="A3759" s="2" t="s">
        <v>8451</v>
      </c>
      <c r="B3759" s="2" t="s">
        <v>8452</v>
      </c>
      <c r="C3759" s="2" t="s">
        <v>17</v>
      </c>
      <c r="D3759" s="2" t="s">
        <v>55</v>
      </c>
      <c r="E3759" s="5" t="s">
        <v>258</v>
      </c>
      <c r="F3759" s="3" t="s">
        <v>1075</v>
      </c>
      <c r="G3759" s="3" t="s">
        <v>86</v>
      </c>
      <c r="H3759" s="2" t="s">
        <v>35</v>
      </c>
      <c r="I3759" s="2" t="s">
        <v>8454</v>
      </c>
      <c r="J3759" s="3" t="str">
        <f>HYPERLINK("https://www.boe.es/gazeta/dias/1834/10/09/pdfs/GMD-1834-237.pdf#page=2","Abrir facsímil")</f>
        <v>Abrir facsímil</v>
      </c>
      <c r="K3759" s="3" t="s">
        <v>37</v>
      </c>
    </row>
    <row r="3760" spans="1:11" ht="54" customHeight="1">
      <c r="A3760" s="2" t="s">
        <v>8455</v>
      </c>
      <c r="B3760" s="2" t="s">
        <v>8456</v>
      </c>
      <c r="C3760" s="2" t="s">
        <v>122</v>
      </c>
      <c r="D3760" s="2" t="s">
        <v>55</v>
      </c>
      <c r="E3760" s="5" t="s">
        <v>158</v>
      </c>
      <c r="F3760" s="3" t="s">
        <v>159</v>
      </c>
      <c r="G3760" s="3" t="s">
        <v>21</v>
      </c>
      <c r="H3760" s="2" t="s">
        <v>22</v>
      </c>
      <c r="I3760" s="2" t="s">
        <v>8457</v>
      </c>
      <c r="J3760" s="3" t="str">
        <f>HYPERLINK("https://www.boe.es/gazeta/dias/1834/10/01/pdfs/GMD-1834-229.pdf#page=3","Abrir facsímil")</f>
        <v>Abrir facsímil</v>
      </c>
      <c r="K3760" s="3" t="s">
        <v>24</v>
      </c>
    </row>
    <row r="3761" spans="1:11" ht="54" customHeight="1">
      <c r="A3761" s="2" t="s">
        <v>8455</v>
      </c>
      <c r="B3761" s="2" t="s">
        <v>8456</v>
      </c>
      <c r="C3761" s="2" t="s">
        <v>17</v>
      </c>
      <c r="D3761" s="2" t="s">
        <v>55</v>
      </c>
      <c r="E3761" s="5" t="s">
        <v>258</v>
      </c>
      <c r="F3761" s="3" t="s">
        <v>1075</v>
      </c>
      <c r="G3761" s="3" t="s">
        <v>86</v>
      </c>
      <c r="H3761" s="2" t="s">
        <v>22</v>
      </c>
      <c r="I3761" s="2" t="s">
        <v>8458</v>
      </c>
      <c r="J3761" s="3" t="str">
        <f>HYPERLINK("https://www.boe.es/gazeta/dias/1834/10/09/pdfs/GMD-1834-237.pdf#page=2","Abrir facsímil")</f>
        <v>Abrir facsímil</v>
      </c>
      <c r="K3761" s="3" t="s">
        <v>24</v>
      </c>
    </row>
    <row r="3762" spans="1:11" ht="54" customHeight="1">
      <c r="A3762" s="2" t="s">
        <v>8459</v>
      </c>
      <c r="B3762" s="2" t="s">
        <v>8460</v>
      </c>
      <c r="C3762" s="2" t="s">
        <v>17</v>
      </c>
      <c r="D3762" s="2" t="s">
        <v>40</v>
      </c>
      <c r="E3762" s="5" t="s">
        <v>309</v>
      </c>
      <c r="F3762" s="3" t="s">
        <v>310</v>
      </c>
      <c r="G3762" s="3" t="s">
        <v>75</v>
      </c>
      <c r="H3762" s="2" t="s">
        <v>22</v>
      </c>
      <c r="I3762" s="2" t="s">
        <v>8461</v>
      </c>
      <c r="J3762" s="3" t="str">
        <f>HYPERLINK("https://www.boe.es/gazeta/dias/1834/05/30/pdfs/GMD-1834-99.pdf#page=4","Abrir facsímil")</f>
        <v>Abrir facsímil</v>
      </c>
      <c r="K3762" s="3" t="s">
        <v>24</v>
      </c>
    </row>
    <row r="3763" spans="1:11" ht="54" customHeight="1">
      <c r="A3763" s="2" t="s">
        <v>8462</v>
      </c>
      <c r="B3763" s="2" t="s">
        <v>8463</v>
      </c>
      <c r="C3763" s="2" t="s">
        <v>17</v>
      </c>
      <c r="D3763" s="2" t="s">
        <v>40</v>
      </c>
      <c r="E3763" s="5" t="s">
        <v>91</v>
      </c>
      <c r="F3763" s="3" t="s">
        <v>92</v>
      </c>
      <c r="G3763" s="3" t="s">
        <v>75</v>
      </c>
      <c r="H3763" s="2" t="s">
        <v>22</v>
      </c>
      <c r="I3763" s="2" t="s">
        <v>8464</v>
      </c>
      <c r="J3763" s="3" t="str">
        <f>HYPERLINK("https://www.boe.es/gazeta/dias/1834/02/13/pdfs/GMD-1834-20.pdf#page=4","Abrir facsímil")</f>
        <v>Abrir facsímil</v>
      </c>
      <c r="K3763" s="3" t="s">
        <v>24</v>
      </c>
    </row>
    <row r="3764" spans="1:11" ht="54" customHeight="1">
      <c r="A3764" s="2" t="s">
        <v>8465</v>
      </c>
      <c r="B3764" s="2" t="s">
        <v>8466</v>
      </c>
      <c r="C3764" s="2" t="s">
        <v>90</v>
      </c>
      <c r="D3764" s="2" t="s">
        <v>18</v>
      </c>
      <c r="E3764" s="5" t="s">
        <v>233</v>
      </c>
      <c r="F3764" s="3" t="s">
        <v>1810</v>
      </c>
      <c r="G3764" s="3" t="s">
        <v>28</v>
      </c>
      <c r="H3764" s="2" t="s">
        <v>22</v>
      </c>
      <c r="I3764" s="2" t="s">
        <v>8467</v>
      </c>
      <c r="J3764" s="3" t="str">
        <f>HYPERLINK("https://www.boe.es/gazeta/dias/1834/12/16/pdfs/GMD-C-1834-305.pdf#page=5","Abrir facsímil")</f>
        <v>Abrir facsímil</v>
      </c>
      <c r="K3764" s="3" t="s">
        <v>24</v>
      </c>
    </row>
    <row r="3765" spans="1:11" ht="54" customHeight="1">
      <c r="A3765" s="2" t="s">
        <v>8468</v>
      </c>
      <c r="B3765" s="2" t="s">
        <v>8469</v>
      </c>
      <c r="C3765" s="2" t="s">
        <v>66</v>
      </c>
      <c r="D3765" s="2" t="s">
        <v>67</v>
      </c>
      <c r="E3765" s="5" t="s">
        <v>339</v>
      </c>
      <c r="F3765" s="3" t="s">
        <v>340</v>
      </c>
      <c r="G3765" s="3" t="s">
        <v>21</v>
      </c>
      <c r="H3765" s="2" t="s">
        <v>22</v>
      </c>
      <c r="I3765" s="2" t="s">
        <v>8470</v>
      </c>
      <c r="J3765" s="3" t="str">
        <f>HYPERLINK("https://www.boe.es/gazeta/dias/1834/05/02/pdfs/GMD-1834-71.pdf#page=3","Abrir facsímil")</f>
        <v>Abrir facsímil</v>
      </c>
      <c r="K3765" s="3" t="s">
        <v>24</v>
      </c>
    </row>
    <row r="3766" spans="1:11" ht="54" customHeight="1">
      <c r="A3766" s="2" t="s">
        <v>8471</v>
      </c>
      <c r="B3766" s="2" t="s">
        <v>8472</v>
      </c>
      <c r="C3766" s="2" t="s">
        <v>17</v>
      </c>
      <c r="D3766" s="2" t="s">
        <v>18</v>
      </c>
      <c r="E3766" s="5" t="s">
        <v>7523</v>
      </c>
      <c r="F3766" s="3" t="s">
        <v>7524</v>
      </c>
      <c r="G3766" s="3" t="s">
        <v>34</v>
      </c>
      <c r="H3766" s="2" t="s">
        <v>22</v>
      </c>
      <c r="I3766" s="2" t="s">
        <v>8473</v>
      </c>
      <c r="J3766" s="3" t="str">
        <f>HYPERLINK("https://www.boe.es/gazeta/dias/1834/12/26/pdfs/GMD-1834-316.pdf#page=1","Abrir facsímil")</f>
        <v>Abrir facsímil</v>
      </c>
      <c r="K3766" s="3" t="s">
        <v>24</v>
      </c>
    </row>
    <row r="3767" spans="1:11" ht="54" customHeight="1">
      <c r="A3767" s="2" t="s">
        <v>8474</v>
      </c>
      <c r="B3767" s="2" t="s">
        <v>8475</v>
      </c>
      <c r="C3767" s="2" t="s">
        <v>46</v>
      </c>
      <c r="D3767" s="2" t="s">
        <v>101</v>
      </c>
      <c r="E3767" s="5" t="s">
        <v>444</v>
      </c>
      <c r="F3767" s="3" t="s">
        <v>2412</v>
      </c>
      <c r="G3767" s="3" t="s">
        <v>34</v>
      </c>
      <c r="H3767" s="2" t="s">
        <v>22</v>
      </c>
      <c r="I3767" s="2" t="s">
        <v>8476</v>
      </c>
      <c r="J3767" s="3" t="str">
        <f>HYPERLINK("https://www.boe.es/gazeta/dias/1834/09/12/pdfs/GMD-1834-210.pdf#page=1","Abrir facsímil")</f>
        <v>Abrir facsímil</v>
      </c>
      <c r="K3767" s="3" t="s">
        <v>24</v>
      </c>
    </row>
    <row r="3768" spans="1:11" ht="54" customHeight="1">
      <c r="A3768" s="2" t="s">
        <v>8474</v>
      </c>
      <c r="B3768" s="2" t="s">
        <v>8475</v>
      </c>
      <c r="C3768" s="2" t="s">
        <v>17</v>
      </c>
      <c r="D3768" s="2" t="s">
        <v>18</v>
      </c>
      <c r="E3768" s="5" t="s">
        <v>1424</v>
      </c>
      <c r="F3768" s="3" t="s">
        <v>3445</v>
      </c>
      <c r="G3768" s="3" t="s">
        <v>34</v>
      </c>
      <c r="H3768" s="2" t="s">
        <v>22</v>
      </c>
      <c r="I3768" s="2" t="s">
        <v>8477</v>
      </c>
      <c r="J3768" s="3" t="str">
        <f>HYPERLINK("https://www.boe.es/gazeta/dias/1834/11/14/pdfs/GMD-1834-273.pdf#page=1","Abrir facsímil")</f>
        <v>Abrir facsímil</v>
      </c>
      <c r="K3768" s="3" t="s">
        <v>24</v>
      </c>
    </row>
    <row r="3769" spans="1:11" ht="54" customHeight="1">
      <c r="A3769" s="2" t="s">
        <v>8474</v>
      </c>
      <c r="B3769" s="2" t="s">
        <v>8475</v>
      </c>
      <c r="C3769" s="2" t="s">
        <v>17</v>
      </c>
      <c r="D3769" s="2" t="s">
        <v>18</v>
      </c>
      <c r="E3769" s="5" t="s">
        <v>928</v>
      </c>
      <c r="F3769" s="3" t="s">
        <v>3338</v>
      </c>
      <c r="G3769" s="3" t="s">
        <v>34</v>
      </c>
      <c r="H3769" s="2" t="s">
        <v>22</v>
      </c>
      <c r="I3769" s="2" t="s">
        <v>8478</v>
      </c>
      <c r="J3769" s="3" t="str">
        <f>HYPERLINK("https://www.boe.es/gazeta/dias/1834/11/15/pdfs/GMD-1834-274.pdf#page=1","Abrir facsímil")</f>
        <v>Abrir facsímil</v>
      </c>
      <c r="K3769" s="3" t="s">
        <v>24</v>
      </c>
    </row>
    <row r="3770" spans="1:11" ht="54" customHeight="1">
      <c r="A3770" s="2" t="s">
        <v>8474</v>
      </c>
      <c r="B3770" s="2" t="s">
        <v>8475</v>
      </c>
      <c r="C3770" s="2" t="s">
        <v>90</v>
      </c>
      <c r="D3770" s="2" t="s">
        <v>18</v>
      </c>
      <c r="E3770" s="5" t="s">
        <v>563</v>
      </c>
      <c r="F3770" s="3" t="s">
        <v>564</v>
      </c>
      <c r="G3770" s="3" t="s">
        <v>34</v>
      </c>
      <c r="H3770" s="2" t="s">
        <v>22</v>
      </c>
      <c r="I3770" s="2" t="s">
        <v>8479</v>
      </c>
      <c r="J3770" s="3" t="str">
        <f>HYPERLINK("https://www.boe.es/gazeta/dias/1834/04/19/pdfs/GMD-1834-58.pdf#page=1","Abrir facsímil")</f>
        <v>Abrir facsímil</v>
      </c>
      <c r="K3770" s="3" t="s">
        <v>24</v>
      </c>
    </row>
    <row r="3771" spans="1:11" ht="54" customHeight="1">
      <c r="A3771" s="2" t="s">
        <v>8474</v>
      </c>
      <c r="B3771" s="2" t="s">
        <v>8475</v>
      </c>
      <c r="C3771" s="2" t="s">
        <v>46</v>
      </c>
      <c r="D3771" s="2" t="s">
        <v>101</v>
      </c>
      <c r="E3771" s="5" t="s">
        <v>672</v>
      </c>
      <c r="F3771" s="3" t="s">
        <v>673</v>
      </c>
      <c r="G3771" s="3" t="s">
        <v>86</v>
      </c>
      <c r="H3771" s="2" t="s">
        <v>22</v>
      </c>
      <c r="I3771" s="2" t="s">
        <v>8480</v>
      </c>
      <c r="J3771" s="3" t="str">
        <f>HYPERLINK("https://www.boe.es/gazeta/dias/1834/09/19/pdfs/GMD-1834-217.pdf#page=2","Abrir facsímil")</f>
        <v>Abrir facsímil</v>
      </c>
      <c r="K3771" s="3" t="s">
        <v>24</v>
      </c>
    </row>
    <row r="3772" spans="1:11" ht="54" customHeight="1">
      <c r="A3772" s="2" t="s">
        <v>8481</v>
      </c>
      <c r="B3772" s="2" t="s">
        <v>8482</v>
      </c>
      <c r="C3772" s="2" t="s">
        <v>17</v>
      </c>
      <c r="D3772" s="2" t="s">
        <v>18</v>
      </c>
      <c r="E3772" s="5" t="s">
        <v>1641</v>
      </c>
      <c r="F3772" s="3" t="s">
        <v>1729</v>
      </c>
      <c r="G3772" s="3" t="s">
        <v>34</v>
      </c>
      <c r="H3772" s="2" t="s">
        <v>22</v>
      </c>
      <c r="I3772" s="2" t="s">
        <v>8483</v>
      </c>
      <c r="J3772" s="3" t="str">
        <f>HYPERLINK("https://www.boe.es/gazeta/dias/1834/09/28/pdfs/GMD-1834-226.pdf#page=1","Abrir facsímil")</f>
        <v>Abrir facsímil</v>
      </c>
      <c r="K3772" s="3" t="s">
        <v>24</v>
      </c>
    </row>
    <row r="3773" spans="1:11" ht="54" customHeight="1">
      <c r="A3773" s="2" t="s">
        <v>8484</v>
      </c>
      <c r="B3773" s="2" t="s">
        <v>8485</v>
      </c>
      <c r="C3773" s="2" t="s">
        <v>90</v>
      </c>
      <c r="D3773" s="2" t="s">
        <v>18</v>
      </c>
      <c r="E3773" s="5" t="s">
        <v>237</v>
      </c>
      <c r="F3773" s="3" t="s">
        <v>4609</v>
      </c>
      <c r="G3773" s="3" t="s">
        <v>34</v>
      </c>
      <c r="H3773" s="2" t="s">
        <v>22</v>
      </c>
      <c r="I3773" s="2" t="s">
        <v>8486</v>
      </c>
      <c r="J3773" s="3" t="str">
        <f>HYPERLINK("https://www.boe.es/gazeta/dias/1834/08/15/pdfs/GMD-1834-180.pdf#page=1","Abrir facsímil")</f>
        <v>Abrir facsímil</v>
      </c>
      <c r="K3773" s="3" t="s">
        <v>24</v>
      </c>
    </row>
    <row r="3774" spans="1:11" ht="54" customHeight="1">
      <c r="A3774" s="2" t="s">
        <v>8487</v>
      </c>
      <c r="B3774" s="2" t="s">
        <v>8488</v>
      </c>
      <c r="C3774" s="2" t="s">
        <v>122</v>
      </c>
      <c r="D3774" s="2" t="s">
        <v>18</v>
      </c>
      <c r="E3774" s="5" t="s">
        <v>758</v>
      </c>
      <c r="F3774" s="3" t="s">
        <v>759</v>
      </c>
      <c r="G3774" s="3" t="s">
        <v>34</v>
      </c>
      <c r="H3774" s="2" t="s">
        <v>22</v>
      </c>
      <c r="I3774" s="2" t="s">
        <v>8489</v>
      </c>
      <c r="J3774" s="3" t="str">
        <f>HYPERLINK("https://www.boe.es/gazeta/dias/1834/01/04/pdfs/GMD-1834-3.pdf#page=1","Abrir facsímil")</f>
        <v>Abrir facsímil</v>
      </c>
      <c r="K3774" s="3" t="s">
        <v>24</v>
      </c>
    </row>
    <row r="3775" spans="1:11" ht="54" customHeight="1">
      <c r="A3775" s="2" t="s">
        <v>8490</v>
      </c>
      <c r="B3775" s="2" t="s">
        <v>8491</v>
      </c>
      <c r="C3775" s="2" t="s">
        <v>17</v>
      </c>
      <c r="D3775" s="2" t="s">
        <v>18</v>
      </c>
      <c r="E3775" s="5" t="s">
        <v>653</v>
      </c>
      <c r="F3775" s="3" t="s">
        <v>3369</v>
      </c>
      <c r="G3775" s="3" t="s">
        <v>75</v>
      </c>
      <c r="H3775" s="2" t="s">
        <v>22</v>
      </c>
      <c r="I3775" s="2" t="s">
        <v>8492</v>
      </c>
      <c r="J3775" s="3" t="str">
        <f>HYPERLINK("https://www.boe.es/gazeta/dias/1834/08/06/pdfs/GMD-1834-170.pdf#page=4","Abrir facsímil")</f>
        <v>Abrir facsímil</v>
      </c>
      <c r="K3775" s="3" t="s">
        <v>24</v>
      </c>
    </row>
    <row r="3776" spans="1:11" ht="54" customHeight="1">
      <c r="A3776" s="2" t="s">
        <v>8493</v>
      </c>
      <c r="B3776" s="2" t="s">
        <v>8494</v>
      </c>
      <c r="C3776" s="2" t="s">
        <v>66</v>
      </c>
      <c r="D3776" s="2" t="s">
        <v>67</v>
      </c>
      <c r="E3776" s="5" t="s">
        <v>1708</v>
      </c>
      <c r="F3776" s="3" t="s">
        <v>1709</v>
      </c>
      <c r="G3776" s="3" t="s">
        <v>34</v>
      </c>
      <c r="H3776" s="2" t="s">
        <v>22</v>
      </c>
      <c r="I3776" s="2" t="s">
        <v>8495</v>
      </c>
      <c r="J3776" s="3" t="str">
        <f>HYPERLINK("https://www.boe.es/gazeta/dias/1834/04/12/pdfs/GMD-1834-51.pdf#page=1","Abrir facsímil")</f>
        <v>Abrir facsímil</v>
      </c>
      <c r="K3776" s="3" t="s">
        <v>24</v>
      </c>
    </row>
    <row r="3777" spans="1:11" ht="54" customHeight="1">
      <c r="A3777" s="2" t="s">
        <v>8496</v>
      </c>
      <c r="B3777" s="2" t="s">
        <v>8497</v>
      </c>
      <c r="C3777" s="2" t="s">
        <v>66</v>
      </c>
      <c r="D3777" s="2" t="s">
        <v>67</v>
      </c>
      <c r="E3777" s="5" t="s">
        <v>378</v>
      </c>
      <c r="F3777" s="3" t="s">
        <v>379</v>
      </c>
      <c r="G3777" s="3" t="s">
        <v>21</v>
      </c>
      <c r="H3777" s="2" t="s">
        <v>22</v>
      </c>
      <c r="I3777" s="2" t="s">
        <v>8498</v>
      </c>
      <c r="J3777" s="3" t="str">
        <f>HYPERLINK("https://www.boe.es/gazeta/dias/1834/09/24/pdfs/GMD-1834-222.pdf#page=3","Abrir facsímil")</f>
        <v>Abrir facsímil</v>
      </c>
      <c r="K3777" s="3" t="s">
        <v>24</v>
      </c>
    </row>
    <row r="3778" spans="1:11" ht="54" customHeight="1">
      <c r="A3778" s="2" t="s">
        <v>8499</v>
      </c>
      <c r="B3778" s="2" t="s">
        <v>8500</v>
      </c>
      <c r="C3778" s="2" t="s">
        <v>66</v>
      </c>
      <c r="D3778" s="2" t="s">
        <v>67</v>
      </c>
      <c r="E3778" s="5" t="s">
        <v>117</v>
      </c>
      <c r="F3778" s="3" t="s">
        <v>118</v>
      </c>
      <c r="G3778" s="3" t="s">
        <v>75</v>
      </c>
      <c r="H3778" s="2" t="s">
        <v>22</v>
      </c>
      <c r="I3778" s="2" t="s">
        <v>8501</v>
      </c>
      <c r="J3778" s="3" t="str">
        <f>HYPERLINK("https://www.boe.es/gazeta/dias/1834/07/21/pdfs/GMD-1834-154.pdf#page=4","Abrir facsímil")</f>
        <v>Abrir facsímil</v>
      </c>
      <c r="K3778" s="3" t="s">
        <v>24</v>
      </c>
    </row>
    <row r="3779" spans="1:11" ht="54" customHeight="1">
      <c r="A3779" s="2" t="s">
        <v>8502</v>
      </c>
      <c r="B3779" s="2" t="s">
        <v>8503</v>
      </c>
      <c r="C3779" s="2" t="s">
        <v>66</v>
      </c>
      <c r="D3779" s="2" t="s">
        <v>67</v>
      </c>
      <c r="E3779" s="5" t="s">
        <v>1505</v>
      </c>
      <c r="F3779" s="3" t="s">
        <v>1506</v>
      </c>
      <c r="G3779" s="3" t="s">
        <v>75</v>
      </c>
      <c r="H3779" s="2" t="s">
        <v>22</v>
      </c>
      <c r="I3779" s="2" t="s">
        <v>8504</v>
      </c>
      <c r="J3779" s="3" t="str">
        <f>HYPERLINK("https://www.boe.es/gazeta/dias/1834/05/08/pdfs/GMD-1834-77.pdf#page=4","Abrir facsímil")</f>
        <v>Abrir facsímil</v>
      </c>
      <c r="K3779" s="3" t="s">
        <v>24</v>
      </c>
    </row>
    <row r="3780" spans="1:11" ht="54" customHeight="1">
      <c r="A3780" s="2" t="s">
        <v>8505</v>
      </c>
      <c r="B3780" s="2" t="s">
        <v>8506</v>
      </c>
      <c r="C3780" s="2" t="s">
        <v>17</v>
      </c>
      <c r="D3780" s="2" t="s">
        <v>18</v>
      </c>
      <c r="E3780" s="5" t="s">
        <v>690</v>
      </c>
      <c r="F3780" s="3" t="s">
        <v>691</v>
      </c>
      <c r="G3780" s="3" t="s">
        <v>34</v>
      </c>
      <c r="H3780" s="2" t="s">
        <v>22</v>
      </c>
      <c r="I3780" s="2" t="s">
        <v>8507</v>
      </c>
      <c r="J3780" s="3" t="str">
        <f>HYPERLINK("https://www.boe.es/gazeta/dias/1834/09/03/pdfs/GMD-C-1834-201.pdf#page=1","Abrir facsímil")</f>
        <v>Abrir facsímil</v>
      </c>
      <c r="K3780" s="3" t="s">
        <v>24</v>
      </c>
    </row>
    <row r="3781" spans="1:11" ht="54" customHeight="1">
      <c r="A3781" s="2" t="s">
        <v>8508</v>
      </c>
      <c r="B3781" s="2" t="s">
        <v>8509</v>
      </c>
      <c r="C3781" s="2" t="s">
        <v>66</v>
      </c>
      <c r="D3781" s="2" t="s">
        <v>67</v>
      </c>
      <c r="E3781" s="5" t="s">
        <v>47</v>
      </c>
      <c r="F3781" s="3" t="s">
        <v>1466</v>
      </c>
      <c r="G3781" s="3" t="s">
        <v>86</v>
      </c>
      <c r="H3781" s="2" t="s">
        <v>22</v>
      </c>
      <c r="I3781" s="2" t="s">
        <v>8510</v>
      </c>
      <c r="J3781" s="3" t="str">
        <f>HYPERLINK("https://www.boe.es/gazeta/dias/1834/09/05/pdfs/GMD-1834-203.pdf#page=2","Abrir facsímil")</f>
        <v>Abrir facsímil</v>
      </c>
      <c r="K3781" s="3" t="s">
        <v>24</v>
      </c>
    </row>
    <row r="3782" spans="1:11" ht="54" customHeight="1">
      <c r="A3782" s="2" t="s">
        <v>8511</v>
      </c>
      <c r="B3782" s="2" t="s">
        <v>8512</v>
      </c>
      <c r="C3782" s="2" t="s">
        <v>66</v>
      </c>
      <c r="D3782" s="2" t="s">
        <v>67</v>
      </c>
      <c r="E3782" s="5" t="s">
        <v>429</v>
      </c>
      <c r="F3782" s="3" t="s">
        <v>3421</v>
      </c>
      <c r="G3782" s="3" t="s">
        <v>86</v>
      </c>
      <c r="H3782" s="2" t="s">
        <v>22</v>
      </c>
      <c r="I3782" s="2" t="s">
        <v>8513</v>
      </c>
      <c r="J3782" s="3" t="str">
        <f>HYPERLINK("https://www.boe.es/gazeta/dias/1834/08/07/pdfs/GMD-1834-172.pdf#page=2","Abrir facsímil")</f>
        <v>Abrir facsímil</v>
      </c>
      <c r="K3782" s="3" t="s">
        <v>24</v>
      </c>
    </row>
    <row r="3783" spans="1:11" ht="54" customHeight="1">
      <c r="A3783" s="2" t="s">
        <v>8514</v>
      </c>
      <c r="B3783" s="2" t="s">
        <v>8515</v>
      </c>
      <c r="C3783" s="2" t="s">
        <v>17</v>
      </c>
      <c r="D3783" s="2" t="s">
        <v>18</v>
      </c>
      <c r="E3783" s="5" t="s">
        <v>1337</v>
      </c>
      <c r="F3783" s="3" t="s">
        <v>1338</v>
      </c>
      <c r="G3783" s="3" t="s">
        <v>21</v>
      </c>
      <c r="H3783" s="2" t="s">
        <v>22</v>
      </c>
      <c r="I3783" s="2" t="s">
        <v>8516</v>
      </c>
      <c r="J3783" s="3" t="str">
        <f>HYPERLINK("https://www.boe.es/gazeta/dias/1834/01/02/pdfs/GMD-1834-1.pdf#page=3","Abrir facsímil")</f>
        <v>Abrir facsímil</v>
      </c>
      <c r="K3783" s="3" t="s">
        <v>24</v>
      </c>
    </row>
    <row r="3784" spans="1:11" ht="54" customHeight="1">
      <c r="A3784" s="2" t="s">
        <v>8517</v>
      </c>
      <c r="B3784" s="2" t="s">
        <v>8518</v>
      </c>
      <c r="C3784" s="2" t="s">
        <v>122</v>
      </c>
      <c r="D3784" s="2" t="s">
        <v>101</v>
      </c>
      <c r="E3784" s="5" t="s">
        <v>317</v>
      </c>
      <c r="F3784" s="3" t="s">
        <v>318</v>
      </c>
      <c r="G3784" s="3" t="s">
        <v>86</v>
      </c>
      <c r="H3784" s="2" t="s">
        <v>22</v>
      </c>
      <c r="I3784" s="2" t="s">
        <v>8519</v>
      </c>
      <c r="J3784" s="3" t="str">
        <f>HYPERLINK("https://www.boe.es/gazeta/dias/1834/03/06/pdfs/I00139-00140.pdf#page=2","Abrir facsímil")</f>
        <v>Abrir facsímil</v>
      </c>
      <c r="K3784" s="3" t="s">
        <v>24</v>
      </c>
    </row>
    <row r="3785" spans="1:11" ht="54" customHeight="1">
      <c r="A3785" s="2" t="s">
        <v>8517</v>
      </c>
      <c r="B3785" s="2" t="s">
        <v>8518</v>
      </c>
      <c r="C3785" s="2" t="s">
        <v>122</v>
      </c>
      <c r="D3785" s="2" t="s">
        <v>101</v>
      </c>
      <c r="E3785" s="5" t="s">
        <v>317</v>
      </c>
      <c r="F3785" s="3" t="s">
        <v>318</v>
      </c>
      <c r="G3785" s="3" t="s">
        <v>75</v>
      </c>
      <c r="H3785" s="2" t="s">
        <v>22</v>
      </c>
      <c r="I3785" s="2" t="s">
        <v>8519</v>
      </c>
      <c r="J3785" s="3" t="str">
        <f>HYPERLINK("https://www.boe.es/gazeta/dias/1834/03/06/pdfs/GMD-1834-29.pdf#page=4","Abrir facsímil")</f>
        <v>Abrir facsímil</v>
      </c>
      <c r="K3785" s="3" t="s">
        <v>24</v>
      </c>
    </row>
    <row r="3786" spans="1:11" ht="54" customHeight="1">
      <c r="A3786" s="2" t="s">
        <v>8520</v>
      </c>
      <c r="B3786" s="2" t="s">
        <v>8521</v>
      </c>
      <c r="C3786" s="2" t="s">
        <v>90</v>
      </c>
      <c r="D3786" s="2" t="s">
        <v>40</v>
      </c>
      <c r="E3786" s="5" t="s">
        <v>777</v>
      </c>
      <c r="F3786" s="3" t="s">
        <v>778</v>
      </c>
      <c r="G3786" s="3" t="s">
        <v>21</v>
      </c>
      <c r="H3786" s="2" t="s">
        <v>22</v>
      </c>
      <c r="I3786" s="2" t="s">
        <v>8522</v>
      </c>
      <c r="J3786" s="3" t="str">
        <f>HYPERLINK("https://www.boe.es/gazeta/dias/1834/10/29/pdfs/GMD-1834-257.pdf#page=3","Abrir facsímil")</f>
        <v>Abrir facsímil</v>
      </c>
      <c r="K3786" s="3" t="s">
        <v>24</v>
      </c>
    </row>
    <row r="3787" spans="1:11" ht="54" customHeight="1">
      <c r="A3787" s="2" t="s">
        <v>8523</v>
      </c>
      <c r="B3787" s="2" t="s">
        <v>8524</v>
      </c>
      <c r="C3787" s="2" t="s">
        <v>90</v>
      </c>
      <c r="D3787" s="2" t="s">
        <v>101</v>
      </c>
      <c r="E3787" s="5" t="s">
        <v>667</v>
      </c>
      <c r="F3787" s="3" t="s">
        <v>668</v>
      </c>
      <c r="G3787" s="3" t="s">
        <v>34</v>
      </c>
      <c r="H3787" s="2" t="s">
        <v>22</v>
      </c>
      <c r="I3787" s="2" t="s">
        <v>8525</v>
      </c>
      <c r="J3787" s="3" t="str">
        <f>HYPERLINK("https://www.boe.es/gazeta/dias/1834/11/23/pdfs/GMD-C-1834-282.pdf#page=1","Abrir facsímil")</f>
        <v>Abrir facsímil</v>
      </c>
      <c r="K3787" s="3" t="s">
        <v>24</v>
      </c>
    </row>
    <row r="3788" spans="1:11" ht="54" customHeight="1">
      <c r="A3788" s="2" t="s">
        <v>8526</v>
      </c>
      <c r="B3788" s="2" t="s">
        <v>8527</v>
      </c>
      <c r="C3788" s="2" t="s">
        <v>17</v>
      </c>
      <c r="D3788" s="2" t="s">
        <v>55</v>
      </c>
      <c r="E3788" s="5" t="s">
        <v>653</v>
      </c>
      <c r="F3788" s="3" t="s">
        <v>3369</v>
      </c>
      <c r="G3788" s="3" t="s">
        <v>21</v>
      </c>
      <c r="H3788" s="2" t="s">
        <v>22</v>
      </c>
      <c r="I3788" s="2" t="s">
        <v>8528</v>
      </c>
      <c r="J3788" s="3" t="str">
        <f>HYPERLINK("https://www.boe.es/gazeta/dias/1834/08/06/pdfs/GMD-1834-170.pdf#page=3","Abrir facsímil")</f>
        <v>Abrir facsímil</v>
      </c>
      <c r="K3788" s="3" t="s">
        <v>24</v>
      </c>
    </row>
    <row r="3789" spans="1:11" ht="54" customHeight="1">
      <c r="A3789" s="2" t="s">
        <v>8529</v>
      </c>
      <c r="B3789" s="2" t="s">
        <v>8530</v>
      </c>
      <c r="C3789" s="2" t="s">
        <v>66</v>
      </c>
      <c r="D3789" s="2" t="s">
        <v>67</v>
      </c>
      <c r="E3789" s="5" t="s">
        <v>375</v>
      </c>
      <c r="F3789" s="3" t="s">
        <v>376</v>
      </c>
      <c r="G3789" s="3" t="s">
        <v>75</v>
      </c>
      <c r="H3789" s="2" t="s">
        <v>22</v>
      </c>
      <c r="I3789" s="2" t="s">
        <v>8531</v>
      </c>
      <c r="J3789" s="3" t="str">
        <f>HYPERLINK("https://www.boe.es/gazeta/dias/1834/08/21/pdfs/GMD-1834-187.pdf#page=4","Abrir facsímil")</f>
        <v>Abrir facsímil</v>
      </c>
      <c r="K3789" s="3" t="s">
        <v>24</v>
      </c>
    </row>
    <row r="3790" spans="1:11" ht="54" customHeight="1">
      <c r="A3790" s="2" t="s">
        <v>8532</v>
      </c>
      <c r="B3790" s="2" t="s">
        <v>8533</v>
      </c>
      <c r="C3790" s="2" t="s">
        <v>17</v>
      </c>
      <c r="D3790" s="2" t="s">
        <v>18</v>
      </c>
      <c r="E3790" s="5" t="s">
        <v>61</v>
      </c>
      <c r="F3790" s="3" t="s">
        <v>205</v>
      </c>
      <c r="G3790" s="3" t="s">
        <v>75</v>
      </c>
      <c r="H3790" s="2" t="s">
        <v>22</v>
      </c>
      <c r="I3790" s="2" t="s">
        <v>8534</v>
      </c>
      <c r="J3790" s="3" t="str">
        <f>HYPERLINK("https://www.boe.es/gazeta/dias/1834/06/08/pdfs/GMD-1834-110.pdf#page=4","Abrir facsímil")</f>
        <v>Abrir facsímil</v>
      </c>
      <c r="K3790" s="3" t="s">
        <v>24</v>
      </c>
    </row>
    <row r="3791" spans="1:11" ht="54" customHeight="1">
      <c r="A3791" s="2" t="s">
        <v>8535</v>
      </c>
      <c r="B3791" s="2" t="s">
        <v>8536</v>
      </c>
      <c r="C3791" s="2" t="s">
        <v>17</v>
      </c>
      <c r="D3791" s="2" t="s">
        <v>18</v>
      </c>
      <c r="E3791" s="5" t="s">
        <v>844</v>
      </c>
      <c r="F3791" s="3" t="s">
        <v>845</v>
      </c>
      <c r="G3791" s="3" t="s">
        <v>86</v>
      </c>
      <c r="H3791" s="2" t="s">
        <v>22</v>
      </c>
      <c r="I3791" s="2" t="s">
        <v>8537</v>
      </c>
      <c r="J3791" s="3" t="str">
        <f>HYPERLINK("https://www.boe.es/gazeta/dias/1834/03/13/pdfs/GMD-1834-32.pdf#page=2","Abrir facsímil")</f>
        <v>Abrir facsímil</v>
      </c>
      <c r="K3791" s="3" t="s">
        <v>24</v>
      </c>
    </row>
    <row r="3792" spans="1:11" ht="54" customHeight="1">
      <c r="A3792" s="2" t="s">
        <v>8538</v>
      </c>
      <c r="B3792" s="2" t="s">
        <v>8539</v>
      </c>
      <c r="C3792" s="2" t="s">
        <v>17</v>
      </c>
      <c r="D3792" s="2" t="s">
        <v>18</v>
      </c>
      <c r="E3792" s="5" t="s">
        <v>1438</v>
      </c>
      <c r="F3792" s="3" t="s">
        <v>1439</v>
      </c>
      <c r="G3792" s="3" t="s">
        <v>34</v>
      </c>
      <c r="H3792" s="2" t="s">
        <v>22</v>
      </c>
      <c r="I3792" s="2" t="s">
        <v>8540</v>
      </c>
      <c r="J3792" s="3" t="str">
        <f>HYPERLINK("https://www.boe.es/gazeta/dias/1834/05/13/pdfs/GMD-1834-82.pdf#page=1","Abrir facsímil")</f>
        <v>Abrir facsímil</v>
      </c>
      <c r="K3792" s="3" t="s">
        <v>24</v>
      </c>
    </row>
    <row r="3793" spans="1:11" ht="54" customHeight="1">
      <c r="A3793" s="2" t="s">
        <v>8541</v>
      </c>
      <c r="B3793" s="2" t="s">
        <v>8542</v>
      </c>
      <c r="C3793" s="2" t="s">
        <v>66</v>
      </c>
      <c r="D3793" s="2" t="s">
        <v>67</v>
      </c>
      <c r="E3793" s="5" t="s">
        <v>833</v>
      </c>
      <c r="F3793" s="3" t="s">
        <v>834</v>
      </c>
      <c r="G3793" s="3" t="s">
        <v>75</v>
      </c>
      <c r="H3793" s="2" t="s">
        <v>22</v>
      </c>
      <c r="I3793" s="2" t="s">
        <v>8543</v>
      </c>
      <c r="J3793" s="3" t="str">
        <f>HYPERLINK("https://www.boe.es/gazeta/dias/1834/04/24/pdfs/GMD-1834-63.pdf#page=4","Abrir facsímil")</f>
        <v>Abrir facsímil</v>
      </c>
      <c r="K3793" s="3" t="s">
        <v>24</v>
      </c>
    </row>
    <row r="3794" spans="1:11" ht="54" customHeight="1">
      <c r="A3794" s="2" t="s">
        <v>8544</v>
      </c>
      <c r="B3794" s="2" t="s">
        <v>8545</v>
      </c>
      <c r="C3794" s="2" t="s">
        <v>46</v>
      </c>
      <c r="D3794" s="2" t="s">
        <v>101</v>
      </c>
      <c r="E3794" s="5" t="s">
        <v>163</v>
      </c>
      <c r="F3794" s="3" t="s">
        <v>164</v>
      </c>
      <c r="G3794" s="3" t="s">
        <v>86</v>
      </c>
      <c r="H3794" s="2" t="s">
        <v>22</v>
      </c>
      <c r="I3794" s="2" t="s">
        <v>8546</v>
      </c>
      <c r="J3794" s="3" t="str">
        <f>HYPERLINK("https://www.boe.es/gazeta/dias/1834/08/09/pdfs/GMD-1834-174.pdf#page=2","Abrir facsímil")</f>
        <v>Abrir facsímil</v>
      </c>
      <c r="K3794" s="3" t="s">
        <v>24</v>
      </c>
    </row>
    <row r="3795" spans="1:11" ht="54" customHeight="1">
      <c r="A3795" s="2" t="s">
        <v>8547</v>
      </c>
      <c r="B3795" s="2" t="s">
        <v>8548</v>
      </c>
      <c r="C3795" s="2" t="s">
        <v>17</v>
      </c>
      <c r="D3795" s="2" t="s">
        <v>18</v>
      </c>
      <c r="E3795" s="5" t="s">
        <v>928</v>
      </c>
      <c r="F3795" s="3" t="s">
        <v>3338</v>
      </c>
      <c r="G3795" s="3" t="s">
        <v>21</v>
      </c>
      <c r="H3795" s="2" t="s">
        <v>22</v>
      </c>
      <c r="I3795" s="2" t="s">
        <v>8549</v>
      </c>
      <c r="J3795" s="3" t="str">
        <f>HYPERLINK("https://www.boe.es/gazeta/dias/1834/11/15/pdfs/GMD-1834-274.pdf#page=3","Abrir facsímil")</f>
        <v>Abrir facsímil</v>
      </c>
      <c r="K3795" s="3" t="s">
        <v>24</v>
      </c>
    </row>
    <row r="3796" spans="1:11" ht="54" customHeight="1">
      <c r="A3796" s="2" t="s">
        <v>8550</v>
      </c>
      <c r="B3796" s="2" t="s">
        <v>8551</v>
      </c>
      <c r="C3796" s="2" t="s">
        <v>17</v>
      </c>
      <c r="D3796" s="2" t="s">
        <v>18</v>
      </c>
      <c r="E3796" s="5" t="s">
        <v>2865</v>
      </c>
      <c r="F3796" s="3" t="s">
        <v>2866</v>
      </c>
      <c r="G3796" s="3" t="s">
        <v>75</v>
      </c>
      <c r="H3796" s="2" t="s">
        <v>35</v>
      </c>
      <c r="I3796" s="2" t="s">
        <v>8552</v>
      </c>
      <c r="J3796" s="3" t="str">
        <f>HYPERLINK("https://www.boe.es/gazeta/dias/1834/07/06/pdfs/GMD-1834-139.pdf#page=4","Abrir facsímil")</f>
        <v>Abrir facsímil</v>
      </c>
      <c r="K3796" s="3" t="s">
        <v>37</v>
      </c>
    </row>
    <row r="3797" spans="1:11" ht="54" customHeight="1">
      <c r="A3797" s="2" t="s">
        <v>8553</v>
      </c>
      <c r="B3797" s="2" t="s">
        <v>8554</v>
      </c>
      <c r="C3797" s="2" t="s">
        <v>17</v>
      </c>
      <c r="D3797" s="2" t="s">
        <v>18</v>
      </c>
      <c r="E3797" s="5" t="s">
        <v>2865</v>
      </c>
      <c r="F3797" s="3" t="s">
        <v>2866</v>
      </c>
      <c r="G3797" s="3" t="s">
        <v>75</v>
      </c>
      <c r="H3797" s="2" t="s">
        <v>22</v>
      </c>
      <c r="I3797" s="2" t="s">
        <v>8555</v>
      </c>
      <c r="J3797" s="3" t="str">
        <f>HYPERLINK("https://www.boe.es/gazeta/dias/1834/07/06/pdfs/GMD-1834-139.pdf#page=4","Abrir facsímil")</f>
        <v>Abrir facsímil</v>
      </c>
      <c r="K3797" s="3" t="s">
        <v>24</v>
      </c>
    </row>
    <row r="3798" spans="1:11" ht="54" customHeight="1">
      <c r="A3798" s="2" t="s">
        <v>8556</v>
      </c>
      <c r="B3798" s="2" t="s">
        <v>8557</v>
      </c>
      <c r="C3798" s="2" t="s">
        <v>17</v>
      </c>
      <c r="D3798" s="2" t="s">
        <v>18</v>
      </c>
      <c r="E3798" s="5" t="s">
        <v>2729</v>
      </c>
      <c r="F3798" s="3" t="s">
        <v>2730</v>
      </c>
      <c r="G3798" s="3" t="s">
        <v>21</v>
      </c>
      <c r="H3798" s="2" t="s">
        <v>35</v>
      </c>
      <c r="I3798" s="2" t="s">
        <v>8558</v>
      </c>
      <c r="J3798" s="3" t="str">
        <f>HYPERLINK("https://www.boe.es/gazeta/dias/1834/07/02/pdfs/GMD-1834-135.pdf#page=3","Abrir facsímil")</f>
        <v>Abrir facsímil</v>
      </c>
      <c r="K3798" s="3" t="s">
        <v>37</v>
      </c>
    </row>
    <row r="3799" spans="1:11" ht="54" customHeight="1">
      <c r="A3799" s="2" t="s">
        <v>8556</v>
      </c>
      <c r="B3799" s="2" t="s">
        <v>8557</v>
      </c>
      <c r="C3799" s="2" t="s">
        <v>17</v>
      </c>
      <c r="D3799" s="2" t="s">
        <v>18</v>
      </c>
      <c r="E3799" s="5" t="s">
        <v>4565</v>
      </c>
      <c r="F3799" s="3" t="s">
        <v>4566</v>
      </c>
      <c r="G3799" s="3" t="s">
        <v>75</v>
      </c>
      <c r="H3799" s="2" t="s">
        <v>35</v>
      </c>
      <c r="I3799" s="2" t="s">
        <v>8559</v>
      </c>
      <c r="J3799" s="3" t="str">
        <f>HYPERLINK("https://www.boe.es/gazeta/dias/1834/07/10/pdfs/GMD-1834-143.pdf#page=4","Abrir facsímil")</f>
        <v>Abrir facsímil</v>
      </c>
      <c r="K3799" s="3" t="s">
        <v>37</v>
      </c>
    </row>
    <row r="3800" spans="1:11" ht="54" customHeight="1">
      <c r="A3800" s="2" t="s">
        <v>8560</v>
      </c>
      <c r="B3800" s="2" t="s">
        <v>8561</v>
      </c>
      <c r="C3800" s="2" t="s">
        <v>17</v>
      </c>
      <c r="D3800" s="2" t="s">
        <v>18</v>
      </c>
      <c r="E3800" s="5" t="s">
        <v>2729</v>
      </c>
      <c r="F3800" s="3" t="s">
        <v>2730</v>
      </c>
      <c r="G3800" s="3" t="s">
        <v>21</v>
      </c>
      <c r="H3800" s="2" t="s">
        <v>22</v>
      </c>
      <c r="I3800" s="2" t="s">
        <v>8562</v>
      </c>
      <c r="J3800" s="3" t="str">
        <f>HYPERLINK("https://www.boe.es/gazeta/dias/1834/07/02/pdfs/GMD-1834-135.pdf#page=3","Abrir facsímil")</f>
        <v>Abrir facsímil</v>
      </c>
      <c r="K3800" s="3" t="s">
        <v>24</v>
      </c>
    </row>
    <row r="3801" spans="1:11" ht="54" customHeight="1">
      <c r="A3801" s="2" t="s">
        <v>8560</v>
      </c>
      <c r="B3801" s="2" t="s">
        <v>8561</v>
      </c>
      <c r="C3801" s="2" t="s">
        <v>17</v>
      </c>
      <c r="D3801" s="2" t="s">
        <v>18</v>
      </c>
      <c r="E3801" s="5" t="s">
        <v>4565</v>
      </c>
      <c r="F3801" s="3" t="s">
        <v>4566</v>
      </c>
      <c r="G3801" s="3" t="s">
        <v>75</v>
      </c>
      <c r="H3801" s="2" t="s">
        <v>22</v>
      </c>
      <c r="I3801" s="2" t="s">
        <v>8563</v>
      </c>
      <c r="J3801" s="3" t="str">
        <f>HYPERLINK("https://www.boe.es/gazeta/dias/1834/07/10/pdfs/GMD-1834-143.pdf#page=4","Abrir facsímil")</f>
        <v>Abrir facsímil</v>
      </c>
      <c r="K3801" s="3" t="s">
        <v>24</v>
      </c>
    </row>
    <row r="3802" spans="1:11" ht="54" customHeight="1">
      <c r="A3802" s="2" t="s">
        <v>8564</v>
      </c>
      <c r="B3802" s="2" t="s">
        <v>8565</v>
      </c>
      <c r="C3802" s="2" t="s">
        <v>90</v>
      </c>
      <c r="D3802" s="2" t="s">
        <v>67</v>
      </c>
      <c r="E3802" s="5" t="s">
        <v>1708</v>
      </c>
      <c r="F3802" s="3" t="s">
        <v>1709</v>
      </c>
      <c r="G3802" s="3" t="s">
        <v>34</v>
      </c>
      <c r="H3802" s="2" t="s">
        <v>22</v>
      </c>
      <c r="I3802" s="2" t="s">
        <v>8566</v>
      </c>
      <c r="J3802" s="3" t="str">
        <f>HYPERLINK("https://www.boe.es/gazeta/dias/1834/04/12/pdfs/GMD-1834-51.pdf#page=1","Abrir facsímil")</f>
        <v>Abrir facsímil</v>
      </c>
      <c r="K3802" s="3" t="s">
        <v>24</v>
      </c>
    </row>
    <row r="3803" spans="1:11" ht="54" customHeight="1">
      <c r="A3803" s="2" t="s">
        <v>8567</v>
      </c>
      <c r="B3803" s="2" t="s">
        <v>8568</v>
      </c>
      <c r="C3803" s="2" t="s">
        <v>17</v>
      </c>
      <c r="D3803" s="2" t="s">
        <v>18</v>
      </c>
      <c r="E3803" s="5" t="s">
        <v>1186</v>
      </c>
      <c r="F3803" s="3" t="s">
        <v>1187</v>
      </c>
      <c r="G3803" s="3" t="s">
        <v>21</v>
      </c>
      <c r="H3803" s="2" t="s">
        <v>22</v>
      </c>
      <c r="I3803" s="2" t="s">
        <v>8569</v>
      </c>
      <c r="J3803" s="3" t="str">
        <f>HYPERLINK("https://www.boe.es/gazeta/dias/1834/08/14/pdfs/GMD-1834-179.pdf#page=3","Abrir facsímil")</f>
        <v>Abrir facsímil</v>
      </c>
      <c r="K3803" s="3" t="s">
        <v>24</v>
      </c>
    </row>
    <row r="3804" spans="1:11" ht="54" customHeight="1">
      <c r="A3804" s="2" t="s">
        <v>8570</v>
      </c>
      <c r="B3804" s="2" t="s">
        <v>8571</v>
      </c>
      <c r="C3804" s="2" t="s">
        <v>66</v>
      </c>
      <c r="D3804" s="2" t="s">
        <v>67</v>
      </c>
      <c r="E3804" s="5" t="s">
        <v>1789</v>
      </c>
      <c r="F3804" s="3" t="s">
        <v>1790</v>
      </c>
      <c r="G3804" s="3" t="s">
        <v>21</v>
      </c>
      <c r="H3804" s="2" t="s">
        <v>22</v>
      </c>
      <c r="I3804" s="2" t="s">
        <v>8572</v>
      </c>
      <c r="J3804" s="3" t="str">
        <f>HYPERLINK("https://www.boe.es/gazeta/dias/1834/05/31/pdfs/GMD-1834-100.pdf#page=3","Abrir facsímil")</f>
        <v>Abrir facsímil</v>
      </c>
      <c r="K3804" s="3" t="s">
        <v>24</v>
      </c>
    </row>
    <row r="3805" spans="1:11" ht="54" customHeight="1">
      <c r="A3805" s="2" t="s">
        <v>8573</v>
      </c>
      <c r="B3805" s="2" t="s">
        <v>8574</v>
      </c>
      <c r="C3805" s="2" t="s">
        <v>17</v>
      </c>
      <c r="D3805" s="2" t="s">
        <v>18</v>
      </c>
      <c r="E3805" s="5" t="s">
        <v>61</v>
      </c>
      <c r="F3805" s="3" t="s">
        <v>205</v>
      </c>
      <c r="G3805" s="3" t="s">
        <v>75</v>
      </c>
      <c r="H3805" s="2" t="s">
        <v>22</v>
      </c>
      <c r="I3805" s="2" t="s">
        <v>8575</v>
      </c>
      <c r="J3805" s="3" t="str">
        <f>HYPERLINK("https://www.boe.es/gazeta/dias/1834/06/08/pdfs/GMD-1834-110.pdf#page=4","Abrir facsímil")</f>
        <v>Abrir facsímil</v>
      </c>
      <c r="K3805" s="3" t="s">
        <v>24</v>
      </c>
    </row>
    <row r="3806" spans="1:11" ht="54" customHeight="1">
      <c r="A3806" s="2" t="s">
        <v>8576</v>
      </c>
      <c r="B3806" s="2" t="s">
        <v>8577</v>
      </c>
      <c r="C3806" s="2" t="s">
        <v>46</v>
      </c>
      <c r="D3806" s="2" t="s">
        <v>55</v>
      </c>
      <c r="E3806" s="5" t="s">
        <v>117</v>
      </c>
      <c r="F3806" s="3" t="s">
        <v>118</v>
      </c>
      <c r="G3806" s="3" t="s">
        <v>75</v>
      </c>
      <c r="H3806" s="2" t="s">
        <v>22</v>
      </c>
      <c r="I3806" s="2" t="s">
        <v>8578</v>
      </c>
      <c r="J3806" s="3" t="str">
        <f>HYPERLINK("https://www.boe.es/gazeta/dias/1834/07/21/pdfs/GMD-1834-154.pdf#page=4","Abrir facsímil")</f>
        <v>Abrir facsímil</v>
      </c>
      <c r="K3806" s="3" t="s">
        <v>24</v>
      </c>
    </row>
    <row r="3807" spans="1:11" ht="54" customHeight="1">
      <c r="A3807" s="2" t="s">
        <v>8579</v>
      </c>
      <c r="B3807" s="2" t="s">
        <v>8580</v>
      </c>
      <c r="C3807" s="2" t="s">
        <v>17</v>
      </c>
      <c r="D3807" s="2" t="s">
        <v>101</v>
      </c>
      <c r="E3807" s="5" t="s">
        <v>863</v>
      </c>
      <c r="F3807" s="3" t="s">
        <v>864</v>
      </c>
      <c r="G3807" s="3" t="s">
        <v>75</v>
      </c>
      <c r="H3807" s="2" t="s">
        <v>22</v>
      </c>
      <c r="I3807" s="2" t="s">
        <v>8581</v>
      </c>
      <c r="J3807" s="3" t="str">
        <f>HYPERLINK("https://www.boe.es/gazeta/dias/1834/09/15/pdfs/GMD-1834-213.pdf#page=4","Abrir facsímil")</f>
        <v>Abrir facsímil</v>
      </c>
      <c r="K3807" s="3" t="s">
        <v>24</v>
      </c>
    </row>
    <row r="3808" spans="1:11" ht="54" customHeight="1">
      <c r="A3808" s="2" t="s">
        <v>8582</v>
      </c>
      <c r="B3808" s="2" t="s">
        <v>8583</v>
      </c>
      <c r="C3808" s="2" t="s">
        <v>66</v>
      </c>
      <c r="D3808" s="2" t="s">
        <v>67</v>
      </c>
      <c r="E3808" s="5" t="s">
        <v>1981</v>
      </c>
      <c r="F3808" s="3" t="s">
        <v>1982</v>
      </c>
      <c r="G3808" s="3" t="s">
        <v>75</v>
      </c>
      <c r="H3808" s="2" t="s">
        <v>22</v>
      </c>
      <c r="I3808" s="2" t="s">
        <v>8584</v>
      </c>
      <c r="J3808" s="3" t="str">
        <f>HYPERLINK("https://www.boe.es/gazeta/dias/1834/12/13/pdfs/GMD-1834-302.pdf#page=4","Abrir facsímil")</f>
        <v>Abrir facsímil</v>
      </c>
      <c r="K3808" s="3" t="s">
        <v>24</v>
      </c>
    </row>
    <row r="3809" spans="1:11" ht="54" customHeight="1">
      <c r="A3809" s="2" t="s">
        <v>8585</v>
      </c>
      <c r="B3809" s="2" t="s">
        <v>8586</v>
      </c>
      <c r="C3809" s="2" t="s">
        <v>66</v>
      </c>
      <c r="D3809" s="2" t="s">
        <v>67</v>
      </c>
      <c r="E3809" s="5" t="s">
        <v>2260</v>
      </c>
      <c r="F3809" s="3" t="s">
        <v>2261</v>
      </c>
      <c r="G3809" s="3" t="s">
        <v>34</v>
      </c>
      <c r="H3809" s="2" t="s">
        <v>22</v>
      </c>
      <c r="I3809" s="2" t="s">
        <v>8587</v>
      </c>
      <c r="J3809" s="3" t="str">
        <f>HYPERLINK("https://www.boe.es/gazeta/dias/1834/11/13/pdfs/GMD-1834-272.pdf#page=1","Abrir facsímil")</f>
        <v>Abrir facsímil</v>
      </c>
      <c r="K3809" s="3" t="s">
        <v>24</v>
      </c>
    </row>
    <row r="3810" spans="1:11" ht="54" customHeight="1">
      <c r="A3810" s="2" t="s">
        <v>8588</v>
      </c>
      <c r="B3810" s="2" t="s">
        <v>8589</v>
      </c>
      <c r="C3810" s="2" t="s">
        <v>66</v>
      </c>
      <c r="D3810" s="2" t="s">
        <v>67</v>
      </c>
      <c r="E3810" s="5" t="s">
        <v>1234</v>
      </c>
      <c r="F3810" s="3" t="s">
        <v>1455</v>
      </c>
      <c r="G3810" s="3" t="s">
        <v>75</v>
      </c>
      <c r="H3810" s="2" t="s">
        <v>22</v>
      </c>
      <c r="I3810" s="2" t="s">
        <v>8590</v>
      </c>
      <c r="J3810" s="3" t="str">
        <f>HYPERLINK("https://www.boe.es/gazeta/dias/1834/05/15/pdfs/GMD-1834-84.pdf#page=4","Abrir facsímil")</f>
        <v>Abrir facsímil</v>
      </c>
      <c r="K3810" s="3" t="s">
        <v>24</v>
      </c>
    </row>
    <row r="3811" spans="1:11" ht="54" customHeight="1">
      <c r="A3811" s="2" t="s">
        <v>8591</v>
      </c>
      <c r="B3811" s="2" t="s">
        <v>8592</v>
      </c>
      <c r="C3811" s="2" t="s">
        <v>66</v>
      </c>
      <c r="D3811" s="2" t="s">
        <v>67</v>
      </c>
      <c r="E3811" s="5" t="s">
        <v>2098</v>
      </c>
      <c r="F3811" s="3" t="s">
        <v>2099</v>
      </c>
      <c r="G3811" s="3" t="s">
        <v>21</v>
      </c>
      <c r="H3811" s="2" t="s">
        <v>22</v>
      </c>
      <c r="I3811" s="2" t="s">
        <v>8593</v>
      </c>
      <c r="J3811" s="3" t="str">
        <f>HYPERLINK("https://www.boe.es/gazeta/dias/1834/08/11/pdfs/GMD-1834-176.pdf#page=3","Abrir facsímil")</f>
        <v>Abrir facsímil</v>
      </c>
      <c r="K3811" s="3" t="s">
        <v>24</v>
      </c>
    </row>
    <row r="3812" spans="1:11" ht="54" customHeight="1">
      <c r="A3812" s="2" t="s">
        <v>8594</v>
      </c>
      <c r="B3812" s="2" t="s">
        <v>8595</v>
      </c>
      <c r="C3812" s="2" t="s">
        <v>90</v>
      </c>
      <c r="D3812" s="2" t="s">
        <v>18</v>
      </c>
      <c r="E3812" s="5" t="s">
        <v>724</v>
      </c>
      <c r="F3812" s="3" t="s">
        <v>725</v>
      </c>
      <c r="G3812" s="3" t="s">
        <v>34</v>
      </c>
      <c r="H3812" s="2" t="s">
        <v>22</v>
      </c>
      <c r="I3812" s="2" t="s">
        <v>8596</v>
      </c>
      <c r="J3812" s="3" t="str">
        <f>HYPERLINK("https://www.boe.es/gazeta/dias/1834/04/25/pdfs/GMD-1834-64.pdf#page=1","Abrir facsímil")</f>
        <v>Abrir facsímil</v>
      </c>
      <c r="K3812" s="3" t="s">
        <v>24</v>
      </c>
    </row>
    <row r="3813" spans="1:11" ht="54" customHeight="1">
      <c r="A3813" s="2" t="s">
        <v>8597</v>
      </c>
      <c r="B3813" s="2" t="s">
        <v>8598</v>
      </c>
      <c r="C3813" s="2" t="s">
        <v>17</v>
      </c>
      <c r="D3813" s="2" t="s">
        <v>18</v>
      </c>
      <c r="E3813" s="5" t="s">
        <v>1402</v>
      </c>
      <c r="F3813" s="3" t="s">
        <v>1403</v>
      </c>
      <c r="G3813" s="3" t="s">
        <v>86</v>
      </c>
      <c r="H3813" s="2" t="s">
        <v>22</v>
      </c>
      <c r="I3813" s="2" t="s">
        <v>8599</v>
      </c>
      <c r="J3813" s="3" t="str">
        <f>HYPERLINK("https://www.boe.es/gazeta/dias/1834/05/05/pdfs/I00347-00348.pdf#page=2","Abrir facsímil")</f>
        <v>Abrir facsímil</v>
      </c>
      <c r="K3813" s="3" t="s">
        <v>24</v>
      </c>
    </row>
    <row r="3814" spans="1:11" ht="54" customHeight="1">
      <c r="A3814" s="2" t="s">
        <v>8597</v>
      </c>
      <c r="B3814" s="2" t="s">
        <v>8598</v>
      </c>
      <c r="C3814" s="2" t="s">
        <v>17</v>
      </c>
      <c r="D3814" s="2" t="s">
        <v>18</v>
      </c>
      <c r="E3814" s="5" t="s">
        <v>1402</v>
      </c>
      <c r="F3814" s="3" t="s">
        <v>1403</v>
      </c>
      <c r="G3814" s="3" t="s">
        <v>176</v>
      </c>
      <c r="H3814" s="2" t="s">
        <v>22</v>
      </c>
      <c r="I3814" s="2" t="s">
        <v>8600</v>
      </c>
      <c r="J3814" s="3" t="str">
        <f>HYPERLINK("https://www.boe.es/gazeta/dias/1834/05/05/pdfs/GMD-1834-74.pdf#page=6","Abrir facsímil")</f>
        <v>Abrir facsímil</v>
      </c>
      <c r="K3814" s="3" t="s">
        <v>24</v>
      </c>
    </row>
    <row r="3815" spans="1:11" ht="54" customHeight="1">
      <c r="A3815" s="2" t="s">
        <v>8601</v>
      </c>
      <c r="B3815" s="2" t="s">
        <v>8602</v>
      </c>
      <c r="C3815" s="2" t="s">
        <v>66</v>
      </c>
      <c r="D3815" s="2" t="s">
        <v>67</v>
      </c>
      <c r="E3815" s="5" t="s">
        <v>1862</v>
      </c>
      <c r="F3815" s="3" t="s">
        <v>1863</v>
      </c>
      <c r="G3815" s="3" t="s">
        <v>86</v>
      </c>
      <c r="H3815" s="2" t="s">
        <v>22</v>
      </c>
      <c r="I3815" s="2" t="s">
        <v>8603</v>
      </c>
      <c r="J3815" s="3" t="str">
        <f>HYPERLINK("https://www.boe.es/gazeta/dias/1834/02/04/pdfs/GMD-1834-16.pdf#page=2","Abrir facsímil")</f>
        <v>Abrir facsímil</v>
      </c>
      <c r="K3815" s="3" t="s">
        <v>24</v>
      </c>
    </row>
    <row r="3816" spans="1:11" ht="54" customHeight="1">
      <c r="A3816" s="2" t="s">
        <v>8604</v>
      </c>
      <c r="B3816" s="2" t="s">
        <v>8605</v>
      </c>
      <c r="C3816" s="2" t="s">
        <v>17</v>
      </c>
      <c r="D3816" s="2" t="s">
        <v>18</v>
      </c>
      <c r="E3816" s="5" t="s">
        <v>167</v>
      </c>
      <c r="F3816" s="3" t="s">
        <v>1200</v>
      </c>
      <c r="G3816" s="3" t="s">
        <v>86</v>
      </c>
      <c r="H3816" s="2" t="s">
        <v>35</v>
      </c>
      <c r="I3816" s="2" t="s">
        <v>8606</v>
      </c>
      <c r="J3816" s="3" t="str">
        <f>HYPERLINK("https://www.boe.es/gazeta/dias/1834/09/07/pdfs/GMD-C-1834-205.pdf#page=2","Abrir facsímil")</f>
        <v>Abrir facsímil</v>
      </c>
      <c r="K3816" s="3" t="s">
        <v>37</v>
      </c>
    </row>
    <row r="3817" spans="1:11" ht="54" customHeight="1">
      <c r="A3817" s="2" t="s">
        <v>8607</v>
      </c>
      <c r="B3817" s="2" t="s">
        <v>8608</v>
      </c>
      <c r="C3817" s="2" t="s">
        <v>17</v>
      </c>
      <c r="D3817" s="2" t="s">
        <v>18</v>
      </c>
      <c r="E3817" s="5" t="s">
        <v>167</v>
      </c>
      <c r="F3817" s="3" t="s">
        <v>1200</v>
      </c>
      <c r="G3817" s="3" t="s">
        <v>86</v>
      </c>
      <c r="H3817" s="2" t="s">
        <v>22</v>
      </c>
      <c r="I3817" s="2" t="s">
        <v>8609</v>
      </c>
      <c r="J3817" s="3" t="str">
        <f>HYPERLINK("https://www.boe.es/gazeta/dias/1834/09/07/pdfs/GMD-C-1834-205.pdf#page=2","Abrir facsímil")</f>
        <v>Abrir facsímil</v>
      </c>
      <c r="K3817" s="3" t="s">
        <v>24</v>
      </c>
    </row>
    <row r="3818" spans="1:11" ht="54" customHeight="1">
      <c r="A3818" s="2" t="s">
        <v>8610</v>
      </c>
      <c r="B3818" s="2" t="s">
        <v>8611</v>
      </c>
      <c r="C3818" s="2" t="s">
        <v>17</v>
      </c>
      <c r="D3818" s="2" t="s">
        <v>18</v>
      </c>
      <c r="E3818" s="5" t="s">
        <v>2107</v>
      </c>
      <c r="F3818" s="3" t="s">
        <v>2108</v>
      </c>
      <c r="G3818" s="3" t="s">
        <v>75</v>
      </c>
      <c r="H3818" s="2" t="s">
        <v>22</v>
      </c>
      <c r="I3818" s="2" t="s">
        <v>8612</v>
      </c>
      <c r="J3818" s="3" t="str">
        <f>HYPERLINK("https://www.boe.es/gazeta/dias/1834/08/24/pdfs/GMD-1834-190.pdf#page=4","Abrir facsímil")</f>
        <v>Abrir facsímil</v>
      </c>
      <c r="K3818" s="3" t="s">
        <v>24</v>
      </c>
    </row>
    <row r="3819" spans="1:11" ht="54" customHeight="1">
      <c r="A3819" s="2" t="s">
        <v>8613</v>
      </c>
      <c r="B3819" s="2" t="s">
        <v>8614</v>
      </c>
      <c r="C3819" s="2" t="s">
        <v>17</v>
      </c>
      <c r="D3819" s="2" t="s">
        <v>18</v>
      </c>
      <c r="E3819" s="5" t="s">
        <v>576</v>
      </c>
      <c r="F3819" s="3" t="s">
        <v>577</v>
      </c>
      <c r="G3819" s="3" t="s">
        <v>75</v>
      </c>
      <c r="H3819" s="2" t="s">
        <v>22</v>
      </c>
      <c r="I3819" s="2" t="s">
        <v>8615</v>
      </c>
      <c r="J3819" s="3" t="str">
        <f>HYPERLINK("https://www.boe.es/gazeta/dias/1834/09/23/pdfs/GMD-1834-221.pdf#page=4","Abrir facsímil")</f>
        <v>Abrir facsímil</v>
      </c>
      <c r="K3819" s="3" t="s">
        <v>24</v>
      </c>
    </row>
    <row r="3820" spans="1:11" ht="54" customHeight="1">
      <c r="A3820" s="2" t="s">
        <v>8616</v>
      </c>
      <c r="B3820" s="2" t="s">
        <v>8617</v>
      </c>
      <c r="C3820" s="2" t="s">
        <v>90</v>
      </c>
      <c r="D3820" s="2" t="s">
        <v>67</v>
      </c>
      <c r="E3820" s="5" t="s">
        <v>2087</v>
      </c>
      <c r="F3820" s="3" t="s">
        <v>2088</v>
      </c>
      <c r="G3820" s="3" t="s">
        <v>21</v>
      </c>
      <c r="H3820" s="2" t="s">
        <v>22</v>
      </c>
      <c r="I3820" s="2" t="s">
        <v>8618</v>
      </c>
      <c r="J3820" s="3" t="str">
        <f>HYPERLINK("https://www.boe.es/gazeta/dias/1834/12/14/pdfs/GMD-1834-303.pdf#page=3","Abrir facsímil")</f>
        <v>Abrir facsímil</v>
      </c>
      <c r="K3820" s="3" t="s">
        <v>24</v>
      </c>
    </row>
    <row r="3821" spans="1:11" ht="54" customHeight="1">
      <c r="A3821" s="2" t="s">
        <v>8619</v>
      </c>
      <c r="B3821" s="2" t="s">
        <v>8620</v>
      </c>
      <c r="C3821" s="2" t="s">
        <v>66</v>
      </c>
      <c r="D3821" s="2" t="s">
        <v>67</v>
      </c>
      <c r="E3821" s="5" t="s">
        <v>61</v>
      </c>
      <c r="F3821" s="3" t="s">
        <v>62</v>
      </c>
      <c r="G3821" s="3" t="s">
        <v>34</v>
      </c>
      <c r="H3821" s="2" t="s">
        <v>22</v>
      </c>
      <c r="I3821" s="2" t="s">
        <v>8621</v>
      </c>
      <c r="J3821" s="3" t="str">
        <f>HYPERLINK("https://www.boe.es/gazeta/dias/1834/06/08/pdfs/GMD-1834-111E.pdf#page=1","Abrir facsímil")</f>
        <v>Abrir facsímil</v>
      </c>
      <c r="K3821" s="3" t="s">
        <v>24</v>
      </c>
    </row>
    <row r="3822" spans="1:11" ht="54" customHeight="1">
      <c r="A3822" s="2" t="s">
        <v>8622</v>
      </c>
      <c r="B3822" s="2" t="s">
        <v>8623</v>
      </c>
      <c r="C3822" s="2" t="s">
        <v>66</v>
      </c>
      <c r="D3822" s="2" t="s">
        <v>18</v>
      </c>
      <c r="E3822" s="5" t="s">
        <v>348</v>
      </c>
      <c r="F3822" s="3" t="s">
        <v>501</v>
      </c>
      <c r="G3822" s="3" t="s">
        <v>86</v>
      </c>
      <c r="H3822" s="2" t="s">
        <v>22</v>
      </c>
      <c r="I3822" s="2" t="s">
        <v>8624</v>
      </c>
      <c r="J3822" s="3" t="str">
        <f>HYPERLINK("https://www.boe.es/gazeta/dias/1834/06/12/pdfs/GMD-1834-115.pdf#page=2","Abrir facsímil")</f>
        <v>Abrir facsímil</v>
      </c>
      <c r="K3822" s="3" t="s">
        <v>24</v>
      </c>
    </row>
    <row r="3823" spans="1:11" ht="54" customHeight="1">
      <c r="A3823" s="2" t="s">
        <v>8625</v>
      </c>
      <c r="B3823" s="2" t="s">
        <v>8626</v>
      </c>
      <c r="C3823" s="2" t="s">
        <v>17</v>
      </c>
      <c r="D3823" s="2" t="s">
        <v>18</v>
      </c>
      <c r="E3823" s="5" t="s">
        <v>1692</v>
      </c>
      <c r="F3823" s="3" t="s">
        <v>1693</v>
      </c>
      <c r="G3823" s="3" t="s">
        <v>21</v>
      </c>
      <c r="H3823" s="2" t="s">
        <v>22</v>
      </c>
      <c r="I3823" s="2" t="s">
        <v>8627</v>
      </c>
      <c r="J3823" s="3" t="str">
        <f>HYPERLINK("https://www.boe.es/gazeta/dias/1834/07/29/pdfs/GMD-1834-162.pdf#page=3","Abrir facsímil")</f>
        <v>Abrir facsímil</v>
      </c>
      <c r="K3823" s="3" t="s">
        <v>24</v>
      </c>
    </row>
    <row r="3824" spans="1:11" ht="54" customHeight="1">
      <c r="A3824" s="2" t="s">
        <v>8628</v>
      </c>
      <c r="B3824" s="2" t="s">
        <v>8629</v>
      </c>
      <c r="C3824" s="2" t="s">
        <v>66</v>
      </c>
      <c r="D3824" s="2" t="s">
        <v>67</v>
      </c>
      <c r="E3824" s="5" t="s">
        <v>919</v>
      </c>
      <c r="F3824" s="3" t="s">
        <v>920</v>
      </c>
      <c r="G3824" s="3" t="s">
        <v>86</v>
      </c>
      <c r="H3824" s="2" t="s">
        <v>22</v>
      </c>
      <c r="I3824" s="2" t="s">
        <v>8630</v>
      </c>
      <c r="J3824" s="3" t="str">
        <f>HYPERLINK("https://www.boe.es/gazeta/dias/1834/06/24/pdfs/GMD-1834-127.pdf#page=2","Abrir facsímil")</f>
        <v>Abrir facsímil</v>
      </c>
      <c r="K3824" s="3" t="s">
        <v>24</v>
      </c>
    </row>
    <row r="3825" spans="1:11" ht="54" customHeight="1">
      <c r="A3825" s="2" t="s">
        <v>8631</v>
      </c>
      <c r="B3825" s="2" t="s">
        <v>8632</v>
      </c>
      <c r="C3825" s="2" t="s">
        <v>17</v>
      </c>
      <c r="D3825" s="2" t="s">
        <v>18</v>
      </c>
      <c r="E3825" s="5" t="s">
        <v>1641</v>
      </c>
      <c r="F3825" s="3" t="s">
        <v>1729</v>
      </c>
      <c r="G3825" s="3" t="s">
        <v>75</v>
      </c>
      <c r="H3825" s="2" t="s">
        <v>22</v>
      </c>
      <c r="I3825" s="2" t="s">
        <v>8633</v>
      </c>
      <c r="J3825" s="3" t="str">
        <f>HYPERLINK("https://www.boe.es/gazeta/dias/1834/09/28/pdfs/GMD-1834-226.pdf#page=4","Abrir facsímil")</f>
        <v>Abrir facsímil</v>
      </c>
      <c r="K3825" s="3" t="s">
        <v>24</v>
      </c>
    </row>
    <row r="3826" spans="1:11" ht="54" customHeight="1">
      <c r="A3826" s="2" t="s">
        <v>8634</v>
      </c>
      <c r="B3826" s="2" t="s">
        <v>8635</v>
      </c>
      <c r="C3826" s="2" t="s">
        <v>17</v>
      </c>
      <c r="D3826" s="2" t="s">
        <v>18</v>
      </c>
      <c r="E3826" s="5" t="s">
        <v>1766</v>
      </c>
      <c r="F3826" s="3" t="s">
        <v>1767</v>
      </c>
      <c r="G3826" s="3" t="s">
        <v>34</v>
      </c>
      <c r="H3826" s="2" t="s">
        <v>22</v>
      </c>
      <c r="I3826" s="2" t="s">
        <v>8636</v>
      </c>
      <c r="J3826" s="3" t="str">
        <f>HYPERLINK("https://www.boe.es/gazeta/dias/1834/10/26/pdfs/GMD-C-1834-254.pdf#page=1","Abrir facsímil")</f>
        <v>Abrir facsímil</v>
      </c>
      <c r="K3826" s="3" t="s">
        <v>24</v>
      </c>
    </row>
    <row r="3827" spans="1:11" ht="54" customHeight="1">
      <c r="A3827" s="2" t="s">
        <v>8637</v>
      </c>
      <c r="B3827" s="2" t="s">
        <v>8638</v>
      </c>
      <c r="C3827" s="2" t="s">
        <v>46</v>
      </c>
      <c r="D3827" s="2" t="s">
        <v>101</v>
      </c>
      <c r="E3827" s="5" t="s">
        <v>690</v>
      </c>
      <c r="F3827" s="3" t="s">
        <v>5765</v>
      </c>
      <c r="G3827" s="3" t="s">
        <v>34</v>
      </c>
      <c r="H3827" s="2" t="s">
        <v>22</v>
      </c>
      <c r="I3827" s="2" t="s">
        <v>8639</v>
      </c>
      <c r="J3827" s="3" t="str">
        <f>HYPERLINK("https://www.boe.es/gazeta/dias/1834/09/03/pdfs/GMD-1834-201.pdf#page=1","Abrir facsímil")</f>
        <v>Abrir facsímil</v>
      </c>
      <c r="K3827" s="3" t="s">
        <v>24</v>
      </c>
    </row>
    <row r="3828" spans="1:11" ht="54" customHeight="1">
      <c r="A3828" s="2" t="s">
        <v>8640</v>
      </c>
      <c r="B3828" s="2" t="s">
        <v>8641</v>
      </c>
      <c r="C3828" s="2" t="s">
        <v>46</v>
      </c>
      <c r="D3828" s="2" t="s">
        <v>55</v>
      </c>
      <c r="E3828" s="5" t="s">
        <v>1922</v>
      </c>
      <c r="F3828" s="3" t="s">
        <v>1923</v>
      </c>
      <c r="G3828" s="3" t="s">
        <v>86</v>
      </c>
      <c r="H3828" s="2" t="s">
        <v>22</v>
      </c>
      <c r="I3828" s="2" t="s">
        <v>8642</v>
      </c>
      <c r="J3828" s="3" t="str">
        <f>HYPERLINK("https://www.boe.es/gazeta/dias/1834/02/25/pdfs/GMD-1834-25.pdf#page=2","Abrir facsímil")</f>
        <v>Abrir facsímil</v>
      </c>
      <c r="K3828" s="3" t="s">
        <v>24</v>
      </c>
    </row>
    <row r="3829" spans="1:11" ht="54" customHeight="1">
      <c r="A3829" s="2" t="s">
        <v>8643</v>
      </c>
      <c r="B3829" s="2" t="s">
        <v>8644</v>
      </c>
      <c r="C3829" s="2" t="s">
        <v>46</v>
      </c>
      <c r="D3829" s="2" t="s">
        <v>18</v>
      </c>
      <c r="E3829" s="5" t="s">
        <v>32</v>
      </c>
      <c r="F3829" s="3" t="s">
        <v>33</v>
      </c>
      <c r="G3829" s="3" t="s">
        <v>86</v>
      </c>
      <c r="H3829" s="2" t="s">
        <v>22</v>
      </c>
      <c r="I3829" s="2" t="s">
        <v>8645</v>
      </c>
      <c r="J3829" s="3" t="str">
        <f>HYPERLINK("https://www.boe.es/gazeta/dias/1834/04/23/pdfs/GMD-1834-62.pdf#page=2","Abrir facsímil")</f>
        <v>Abrir facsímil</v>
      </c>
      <c r="K3829" s="3" t="s">
        <v>24</v>
      </c>
    </row>
    <row r="3830" spans="1:11" ht="54" customHeight="1">
      <c r="A3830" s="2" t="s">
        <v>8646</v>
      </c>
      <c r="B3830" s="2" t="s">
        <v>8647</v>
      </c>
      <c r="C3830" s="2" t="s">
        <v>66</v>
      </c>
      <c r="D3830" s="2" t="s">
        <v>67</v>
      </c>
      <c r="E3830" s="5" t="s">
        <v>326</v>
      </c>
      <c r="F3830" s="3" t="s">
        <v>327</v>
      </c>
      <c r="G3830" s="3" t="s">
        <v>86</v>
      </c>
      <c r="H3830" s="2" t="s">
        <v>22</v>
      </c>
      <c r="I3830" s="2" t="s">
        <v>8648</v>
      </c>
      <c r="J3830" s="3" t="str">
        <f>HYPERLINK("https://www.boe.es/gazeta/dias/1834/07/15/pdfs/GMD-1834-148.pdf#page=2","Abrir facsímil")</f>
        <v>Abrir facsímil</v>
      </c>
      <c r="K3830" s="3" t="s">
        <v>24</v>
      </c>
    </row>
    <row r="3831" spans="1:11" ht="54" customHeight="1">
      <c r="A3831" s="2" t="s">
        <v>8649</v>
      </c>
      <c r="B3831" s="2" t="s">
        <v>8650</v>
      </c>
      <c r="C3831" s="2" t="s">
        <v>17</v>
      </c>
      <c r="D3831" s="2" t="s">
        <v>18</v>
      </c>
      <c r="E3831" s="5" t="s">
        <v>707</v>
      </c>
      <c r="F3831" s="3" t="s">
        <v>1359</v>
      </c>
      <c r="G3831" s="3" t="s">
        <v>75</v>
      </c>
      <c r="H3831" s="2" t="s">
        <v>22</v>
      </c>
      <c r="I3831" s="2" t="s">
        <v>8651</v>
      </c>
      <c r="J3831" s="3" t="str">
        <f>HYPERLINK("https://www.boe.es/gazeta/dias/1834/11/25/pdfs/GMD-1834-284.pdf#page=4","Abrir facsímil")</f>
        <v>Abrir facsímil</v>
      </c>
      <c r="K3831" s="3" t="s">
        <v>24</v>
      </c>
    </row>
    <row r="3832" spans="1:11" ht="54" customHeight="1">
      <c r="A3832" s="2" t="s">
        <v>8652</v>
      </c>
      <c r="B3832" s="2" t="s">
        <v>8653</v>
      </c>
      <c r="C3832" s="2" t="s">
        <v>17</v>
      </c>
      <c r="D3832" s="2" t="s">
        <v>40</v>
      </c>
      <c r="E3832" s="5" t="s">
        <v>444</v>
      </c>
      <c r="F3832" s="3" t="s">
        <v>445</v>
      </c>
      <c r="G3832" s="3" t="s">
        <v>34</v>
      </c>
      <c r="H3832" s="2" t="s">
        <v>35</v>
      </c>
      <c r="I3832" s="2" t="s">
        <v>8654</v>
      </c>
      <c r="J3832" s="3" t="str">
        <f>HYPERLINK("https://www.boe.es/gazeta/dias/1834/09/12/pdfs/GMD-C-1834-210.pdf#page=1","Abrir facsímil")</f>
        <v>Abrir facsímil</v>
      </c>
      <c r="K3832" s="3" t="s">
        <v>37</v>
      </c>
    </row>
    <row r="3833" spans="1:11" ht="54" customHeight="1">
      <c r="A3833" s="2" t="s">
        <v>8655</v>
      </c>
      <c r="B3833" s="2" t="s">
        <v>8656</v>
      </c>
      <c r="C3833" s="2" t="s">
        <v>17</v>
      </c>
      <c r="D3833" s="2" t="s">
        <v>18</v>
      </c>
      <c r="E3833" s="5" t="s">
        <v>444</v>
      </c>
      <c r="F3833" s="3" t="s">
        <v>445</v>
      </c>
      <c r="G3833" s="3" t="s">
        <v>34</v>
      </c>
      <c r="H3833" s="2" t="s">
        <v>22</v>
      </c>
      <c r="I3833" s="2" t="s">
        <v>8657</v>
      </c>
      <c r="J3833" s="3" t="str">
        <f>HYPERLINK("https://www.boe.es/gazeta/dias/1834/09/12/pdfs/GMD-C-1834-210.pdf#page=1","Abrir facsímil")</f>
        <v>Abrir facsímil</v>
      </c>
      <c r="K3833" s="3" t="s">
        <v>24</v>
      </c>
    </row>
    <row r="3834" spans="1:11" ht="54" customHeight="1">
      <c r="A3834" s="2" t="s">
        <v>8658</v>
      </c>
      <c r="B3834" s="2" t="s">
        <v>8659</v>
      </c>
      <c r="C3834" s="2" t="s">
        <v>17</v>
      </c>
      <c r="D3834" s="2" t="s">
        <v>18</v>
      </c>
      <c r="E3834" s="5" t="s">
        <v>3225</v>
      </c>
      <c r="F3834" s="3" t="s">
        <v>3226</v>
      </c>
      <c r="G3834" s="3" t="s">
        <v>75</v>
      </c>
      <c r="H3834" s="2" t="s">
        <v>35</v>
      </c>
      <c r="I3834" s="2" t="s">
        <v>8660</v>
      </c>
      <c r="J3834" s="3" t="str">
        <f>HYPERLINK("https://www.boe.es/gazeta/dias/1834/08/22/pdfs/GMD-1834-188.pdf#page=4","Abrir facsímil")</f>
        <v>Abrir facsímil</v>
      </c>
      <c r="K3834" s="3" t="s">
        <v>37</v>
      </c>
    </row>
    <row r="3835" spans="1:11" ht="54" customHeight="1">
      <c r="A3835" s="2" t="s">
        <v>8661</v>
      </c>
      <c r="B3835" s="2" t="s">
        <v>8662</v>
      </c>
      <c r="C3835" s="2" t="s">
        <v>17</v>
      </c>
      <c r="D3835" s="2" t="s">
        <v>18</v>
      </c>
      <c r="E3835" s="5" t="s">
        <v>3225</v>
      </c>
      <c r="F3835" s="3" t="s">
        <v>3226</v>
      </c>
      <c r="G3835" s="3" t="s">
        <v>75</v>
      </c>
      <c r="H3835" s="2" t="s">
        <v>22</v>
      </c>
      <c r="I3835" s="2" t="s">
        <v>8663</v>
      </c>
      <c r="J3835" s="3" t="str">
        <f>HYPERLINK("https://www.boe.es/gazeta/dias/1834/08/22/pdfs/GMD-1834-188.pdf#page=4","Abrir facsímil")</f>
        <v>Abrir facsímil</v>
      </c>
      <c r="K3835" s="3" t="s">
        <v>24</v>
      </c>
    </row>
    <row r="3836" spans="1:11" ht="54" customHeight="1">
      <c r="A3836" s="2" t="s">
        <v>8664</v>
      </c>
      <c r="B3836" s="2" t="s">
        <v>8665</v>
      </c>
      <c r="C3836" s="2" t="s">
        <v>122</v>
      </c>
      <c r="D3836" s="2" t="s">
        <v>40</v>
      </c>
      <c r="E3836" s="5" t="s">
        <v>667</v>
      </c>
      <c r="F3836" s="3" t="s">
        <v>3347</v>
      </c>
      <c r="G3836" s="3" t="s">
        <v>75</v>
      </c>
      <c r="H3836" s="2" t="s">
        <v>22</v>
      </c>
      <c r="I3836" s="2" t="s">
        <v>8666</v>
      </c>
      <c r="J3836" s="3" t="str">
        <f>HYPERLINK("https://www.boe.es/gazeta/dias/1834/11/23/pdfs/GMD-1834-282.pdf#page=4","Abrir facsímil")</f>
        <v>Abrir facsímil</v>
      </c>
      <c r="K3836" s="3" t="s">
        <v>24</v>
      </c>
    </row>
    <row r="3837" spans="1:11" ht="54" customHeight="1">
      <c r="A3837" s="2" t="s">
        <v>8667</v>
      </c>
      <c r="B3837" s="2" t="s">
        <v>8668</v>
      </c>
      <c r="C3837" s="2" t="s">
        <v>17</v>
      </c>
      <c r="D3837" s="2" t="s">
        <v>18</v>
      </c>
      <c r="E3837" s="5" t="s">
        <v>1683</v>
      </c>
      <c r="F3837" s="3" t="s">
        <v>1684</v>
      </c>
      <c r="G3837" s="3" t="s">
        <v>21</v>
      </c>
      <c r="H3837" s="2" t="s">
        <v>35</v>
      </c>
      <c r="I3837" s="2" t="s">
        <v>8669</v>
      </c>
      <c r="J3837" s="3" t="str">
        <f>HYPERLINK("https://www.boe.es/gazeta/dias/1834/06/27/pdfs/GMD-1834-130.pdf#page=3","Abrir facsímil")</f>
        <v>Abrir facsímil</v>
      </c>
      <c r="K3837" s="3" t="s">
        <v>37</v>
      </c>
    </row>
    <row r="3838" spans="1:11" ht="54" customHeight="1">
      <c r="A3838" s="2" t="s">
        <v>8670</v>
      </c>
      <c r="B3838" s="2" t="s">
        <v>8671</v>
      </c>
      <c r="C3838" s="2" t="s">
        <v>17</v>
      </c>
      <c r="D3838" s="2" t="s">
        <v>18</v>
      </c>
      <c r="E3838" s="5" t="s">
        <v>1683</v>
      </c>
      <c r="F3838" s="3" t="s">
        <v>1684</v>
      </c>
      <c r="G3838" s="3" t="s">
        <v>21</v>
      </c>
      <c r="H3838" s="2" t="s">
        <v>22</v>
      </c>
      <c r="I3838" s="2" t="s">
        <v>8672</v>
      </c>
      <c r="J3838" s="3" t="str">
        <f>HYPERLINK("https://www.boe.es/gazeta/dias/1834/06/27/pdfs/GMD-1834-130.pdf#page=3","Abrir facsímil")</f>
        <v>Abrir facsímil</v>
      </c>
      <c r="K3838" s="3" t="s">
        <v>24</v>
      </c>
    </row>
    <row r="3839" spans="1:11" ht="54" customHeight="1">
      <c r="A3839" s="2" t="s">
        <v>8673</v>
      </c>
      <c r="B3839" s="2" t="s">
        <v>8674</v>
      </c>
      <c r="C3839" s="2" t="s">
        <v>66</v>
      </c>
      <c r="D3839" s="2" t="s">
        <v>18</v>
      </c>
      <c r="E3839" s="5" t="s">
        <v>2950</v>
      </c>
      <c r="F3839" s="3" t="s">
        <v>2951</v>
      </c>
      <c r="G3839" s="3" t="s">
        <v>21</v>
      </c>
      <c r="H3839" s="2" t="s">
        <v>35</v>
      </c>
      <c r="I3839" s="2" t="s">
        <v>8675</v>
      </c>
      <c r="J3839" s="3" t="str">
        <f>HYPERLINK("https://www.boe.es/gazeta/dias/1834/05/20/pdfs/GMD-1834-89.pdf#page=3","Abrir facsímil")</f>
        <v>Abrir facsímil</v>
      </c>
      <c r="K3839" s="3" t="s">
        <v>37</v>
      </c>
    </row>
    <row r="3840" spans="1:11" ht="54" customHeight="1">
      <c r="A3840" s="2" t="s">
        <v>8676</v>
      </c>
      <c r="B3840" s="2" t="s">
        <v>8677</v>
      </c>
      <c r="C3840" s="2" t="s">
        <v>17</v>
      </c>
      <c r="D3840" s="2" t="s">
        <v>18</v>
      </c>
      <c r="E3840" s="5" t="s">
        <v>1708</v>
      </c>
      <c r="F3840" s="3" t="s">
        <v>1709</v>
      </c>
      <c r="G3840" s="3" t="s">
        <v>34</v>
      </c>
      <c r="H3840" s="2" t="s">
        <v>22</v>
      </c>
      <c r="I3840" s="2" t="s">
        <v>8678</v>
      </c>
      <c r="J3840" s="3" t="str">
        <f>HYPERLINK("https://www.boe.es/gazeta/dias/1834/04/12/pdfs/GMD-1834-51.pdf#page=1","Abrir facsímil")</f>
        <v>Abrir facsímil</v>
      </c>
      <c r="K3840" s="3" t="s">
        <v>24</v>
      </c>
    </row>
    <row r="3841" spans="1:11" ht="54" customHeight="1">
      <c r="A3841" s="2" t="s">
        <v>8679</v>
      </c>
      <c r="B3841" s="2" t="s">
        <v>8680</v>
      </c>
      <c r="C3841" s="2" t="s">
        <v>17</v>
      </c>
      <c r="D3841" s="2" t="s">
        <v>18</v>
      </c>
      <c r="E3841" s="5" t="s">
        <v>1918</v>
      </c>
      <c r="F3841" s="3" t="s">
        <v>1919</v>
      </c>
      <c r="G3841" s="3" t="s">
        <v>34</v>
      </c>
      <c r="H3841" s="2" t="s">
        <v>22</v>
      </c>
      <c r="I3841" s="2" t="s">
        <v>8681</v>
      </c>
      <c r="J3841" s="3" t="str">
        <f>HYPERLINK("https://www.boe.es/gazeta/dias/1834/03/22/pdfs/GMD-1834-36.pdf#page=1","Abrir facsímil")</f>
        <v>Abrir facsímil</v>
      </c>
      <c r="K3841" s="3" t="s">
        <v>24</v>
      </c>
    </row>
    <row r="3842" spans="1:11" ht="54" customHeight="1">
      <c r="A3842" s="2" t="s">
        <v>8682</v>
      </c>
      <c r="B3842" s="2" t="s">
        <v>8683</v>
      </c>
      <c r="C3842" s="2" t="s">
        <v>17</v>
      </c>
      <c r="D3842" s="2" t="s">
        <v>55</v>
      </c>
      <c r="E3842" s="5" t="s">
        <v>1742</v>
      </c>
      <c r="F3842" s="3" t="s">
        <v>1743</v>
      </c>
      <c r="G3842" s="3" t="s">
        <v>75</v>
      </c>
      <c r="H3842" s="2" t="s">
        <v>22</v>
      </c>
      <c r="I3842" s="2" t="s">
        <v>8684</v>
      </c>
      <c r="J3842" s="3" t="str">
        <f>HYPERLINK("https://www.boe.es/gazeta/dias/1834/11/06/pdfs/GMD-1834-265.pdf#page=4","Abrir facsímil")</f>
        <v>Abrir facsímil</v>
      </c>
      <c r="K3842" s="3" t="s">
        <v>24</v>
      </c>
    </row>
    <row r="3843" spans="1:11" ht="54" customHeight="1">
      <c r="A3843" s="2" t="s">
        <v>8685</v>
      </c>
      <c r="B3843" s="2" t="s">
        <v>8686</v>
      </c>
      <c r="C3843" s="2" t="s">
        <v>17</v>
      </c>
      <c r="D3843" s="2" t="s">
        <v>18</v>
      </c>
      <c r="E3843" s="5" t="s">
        <v>96</v>
      </c>
      <c r="F3843" s="3" t="s">
        <v>1725</v>
      </c>
      <c r="G3843" s="3" t="s">
        <v>75</v>
      </c>
      <c r="H3843" s="2" t="s">
        <v>22</v>
      </c>
      <c r="I3843" s="2" t="s">
        <v>8687</v>
      </c>
      <c r="J3843" s="3" t="str">
        <f>HYPERLINK("https://www.boe.es/gazeta/dias/1834/11/11/pdfs/GMD-1834-270.pdf#page=4","Abrir facsímil")</f>
        <v>Abrir facsímil</v>
      </c>
      <c r="K3843" s="3" t="s">
        <v>24</v>
      </c>
    </row>
    <row r="3844" spans="1:11" ht="54" customHeight="1">
      <c r="A3844" s="2" t="s">
        <v>8688</v>
      </c>
      <c r="B3844" s="2" t="s">
        <v>8689</v>
      </c>
      <c r="C3844" s="2" t="s">
        <v>90</v>
      </c>
      <c r="D3844" s="2" t="s">
        <v>18</v>
      </c>
      <c r="E3844" s="5" t="s">
        <v>167</v>
      </c>
      <c r="F3844" s="3" t="s">
        <v>168</v>
      </c>
      <c r="G3844" s="3" t="s">
        <v>21</v>
      </c>
      <c r="H3844" s="2" t="s">
        <v>22</v>
      </c>
      <c r="I3844" s="2" t="s">
        <v>8690</v>
      </c>
      <c r="J3844" s="3" t="str">
        <f>HYPERLINK("https://www.boe.es/gazeta/dias/1834/09/07/pdfs/GMD-1834-205.pdf#page=3","Abrir facsímil")</f>
        <v>Abrir facsímil</v>
      </c>
      <c r="K3844" s="3" t="s">
        <v>24</v>
      </c>
    </row>
    <row r="3845" spans="1:11" ht="54" customHeight="1">
      <c r="A3845" s="2" t="s">
        <v>8691</v>
      </c>
      <c r="B3845" s="2" t="s">
        <v>8692</v>
      </c>
      <c r="C3845" s="2" t="s">
        <v>17</v>
      </c>
      <c r="D3845" s="2" t="s">
        <v>18</v>
      </c>
      <c r="E3845" s="5" t="s">
        <v>1239</v>
      </c>
      <c r="F3845" s="3" t="s">
        <v>1240</v>
      </c>
      <c r="G3845" s="3" t="s">
        <v>75</v>
      </c>
      <c r="H3845" s="2" t="s">
        <v>22</v>
      </c>
      <c r="I3845" s="2" t="s">
        <v>8693</v>
      </c>
      <c r="J3845" s="3" t="str">
        <f>HYPERLINK("https://www.boe.es/gazeta/dias/1834/08/20/pdfs/GMD-1834-186.pdf#page=4","Abrir facsímil")</f>
        <v>Abrir facsímil</v>
      </c>
      <c r="K3845" s="3" t="s">
        <v>24</v>
      </c>
    </row>
    <row r="3846" spans="1:11" ht="54" customHeight="1">
      <c r="A3846" s="2" t="s">
        <v>8694</v>
      </c>
      <c r="B3846" s="2" t="s">
        <v>8695</v>
      </c>
      <c r="C3846" s="2" t="s">
        <v>46</v>
      </c>
      <c r="D3846" s="2" t="s">
        <v>55</v>
      </c>
      <c r="E3846" s="5" t="s">
        <v>642</v>
      </c>
      <c r="F3846" s="3" t="s">
        <v>1843</v>
      </c>
      <c r="G3846" s="3" t="s">
        <v>86</v>
      </c>
      <c r="H3846" s="2" t="s">
        <v>22</v>
      </c>
      <c r="I3846" s="2" t="s">
        <v>8696</v>
      </c>
      <c r="J3846" s="3" t="str">
        <f>HYPERLINK("https://www.boe.es/gazeta/dias/1834/11/12/pdfs/GMD-1834-271.pdf#page=2","Abrir facsímil")</f>
        <v>Abrir facsímil</v>
      </c>
      <c r="K3846" s="3" t="s">
        <v>24</v>
      </c>
    </row>
    <row r="3847" spans="1:11" ht="54" customHeight="1">
      <c r="A3847" s="2" t="s">
        <v>8697</v>
      </c>
      <c r="B3847" s="2" t="s">
        <v>8698</v>
      </c>
      <c r="C3847" s="2" t="s">
        <v>46</v>
      </c>
      <c r="D3847" s="2" t="s">
        <v>55</v>
      </c>
      <c r="E3847" s="5" t="s">
        <v>32</v>
      </c>
      <c r="F3847" s="3" t="s">
        <v>33</v>
      </c>
      <c r="G3847" s="3" t="s">
        <v>86</v>
      </c>
      <c r="H3847" s="2" t="s">
        <v>22</v>
      </c>
      <c r="I3847" s="2" t="s">
        <v>8699</v>
      </c>
      <c r="J3847" s="3" t="str">
        <f>HYPERLINK("https://www.boe.es/gazeta/dias/1834/04/23/pdfs/GMD-1834-62.pdf#page=2","Abrir facsímil")</f>
        <v>Abrir facsímil</v>
      </c>
      <c r="K3847" s="3" t="s">
        <v>24</v>
      </c>
    </row>
    <row r="3848" spans="1:11" ht="54" customHeight="1">
      <c r="A3848" s="2" t="s">
        <v>8700</v>
      </c>
      <c r="B3848" s="2" t="s">
        <v>8701</v>
      </c>
      <c r="C3848" s="2" t="s">
        <v>17</v>
      </c>
      <c r="D3848" s="2" t="s">
        <v>18</v>
      </c>
      <c r="E3848" s="5" t="s">
        <v>905</v>
      </c>
      <c r="F3848" s="3" t="s">
        <v>1651</v>
      </c>
      <c r="G3848" s="3" t="s">
        <v>21</v>
      </c>
      <c r="H3848" s="2" t="s">
        <v>22</v>
      </c>
      <c r="I3848" s="2" t="s">
        <v>8702</v>
      </c>
      <c r="J3848" s="3" t="str">
        <f>HYPERLINK("https://www.boe.es/gazeta/dias/1834/08/02/pdfs/GMD-1834-166.pdf#page=3","Abrir facsímil")</f>
        <v>Abrir facsímil</v>
      </c>
      <c r="K3848" s="3" t="s">
        <v>24</v>
      </c>
    </row>
    <row r="3849" spans="1:11" ht="54" customHeight="1">
      <c r="A3849" s="2" t="s">
        <v>8703</v>
      </c>
      <c r="B3849" s="2" t="s">
        <v>8704</v>
      </c>
      <c r="C3849" s="2" t="s">
        <v>17</v>
      </c>
      <c r="D3849" s="2" t="s">
        <v>18</v>
      </c>
      <c r="E3849" s="5" t="s">
        <v>1351</v>
      </c>
      <c r="F3849" s="3" t="s">
        <v>1352</v>
      </c>
      <c r="G3849" s="3" t="s">
        <v>75</v>
      </c>
      <c r="H3849" s="2" t="s">
        <v>35</v>
      </c>
      <c r="I3849" s="2" t="s">
        <v>8705</v>
      </c>
      <c r="J3849" s="3" t="str">
        <f>HYPERLINK("https://www.boe.es/gazeta/dias/1834/07/05/pdfs/GMD-1834-138.pdf#page=4","Abrir facsímil")</f>
        <v>Abrir facsímil</v>
      </c>
      <c r="K3849" s="3" t="s">
        <v>37</v>
      </c>
    </row>
    <row r="3850" spans="1:11" ht="54" customHeight="1">
      <c r="A3850" s="2" t="s">
        <v>8706</v>
      </c>
      <c r="B3850" s="2" t="s">
        <v>8707</v>
      </c>
      <c r="C3850" s="2" t="s">
        <v>17</v>
      </c>
      <c r="D3850" s="2" t="s">
        <v>55</v>
      </c>
      <c r="E3850" s="5" t="s">
        <v>535</v>
      </c>
      <c r="F3850" s="3" t="s">
        <v>536</v>
      </c>
      <c r="G3850" s="3" t="s">
        <v>34</v>
      </c>
      <c r="H3850" s="2" t="s">
        <v>22</v>
      </c>
      <c r="I3850" s="2" t="s">
        <v>8708</v>
      </c>
      <c r="J3850" s="3" t="str">
        <f>HYPERLINK("https://www.boe.es/gazeta/dias/1834/05/21/pdfs/GMD-1834-90.pdf#page=1","Abrir facsímil")</f>
        <v>Abrir facsímil</v>
      </c>
      <c r="K3850" s="3" t="s">
        <v>24</v>
      </c>
    </row>
    <row r="3851" spans="1:11" ht="54" customHeight="1">
      <c r="A3851" s="2" t="s">
        <v>8709</v>
      </c>
      <c r="B3851" s="2" t="s">
        <v>8710</v>
      </c>
      <c r="C3851" s="2" t="s">
        <v>90</v>
      </c>
      <c r="D3851" s="2" t="s">
        <v>18</v>
      </c>
      <c r="E3851" s="5" t="s">
        <v>4237</v>
      </c>
      <c r="F3851" s="3" t="s">
        <v>4238</v>
      </c>
      <c r="G3851" s="3" t="s">
        <v>34</v>
      </c>
      <c r="H3851" s="2" t="s">
        <v>22</v>
      </c>
      <c r="I3851" s="2" t="s">
        <v>8711</v>
      </c>
      <c r="J3851" s="3" t="str">
        <f>HYPERLINK("https://www.boe.es/gazeta/dias/1834/06/17/pdfs/GMD-1834-120.pdf#page=1","Abrir facsímil")</f>
        <v>Abrir facsímil</v>
      </c>
      <c r="K3851" s="3" t="s">
        <v>24</v>
      </c>
    </row>
    <row r="3852" spans="1:11" ht="54" customHeight="1">
      <c r="A3852" s="2" t="s">
        <v>8712</v>
      </c>
      <c r="B3852" s="2" t="s">
        <v>8713</v>
      </c>
      <c r="C3852" s="2" t="s">
        <v>17</v>
      </c>
      <c r="D3852" s="2" t="s">
        <v>18</v>
      </c>
      <c r="E3852" s="5" t="s">
        <v>1116</v>
      </c>
      <c r="F3852" s="3" t="s">
        <v>1117</v>
      </c>
      <c r="G3852" s="3" t="s">
        <v>21</v>
      </c>
      <c r="H3852" s="2" t="s">
        <v>22</v>
      </c>
      <c r="I3852" s="2" t="s">
        <v>8714</v>
      </c>
      <c r="J3852" s="3" t="str">
        <f>HYPERLINK("https://www.boe.es/gazeta/dias/1834/05/16/pdfs/GMD-1834-85.pdf#page=3","Abrir facsímil")</f>
        <v>Abrir facsímil</v>
      </c>
      <c r="K3852" s="3" t="s">
        <v>24</v>
      </c>
    </row>
    <row r="3853" spans="1:11" ht="54" customHeight="1">
      <c r="A3853" s="2" t="s">
        <v>8715</v>
      </c>
      <c r="B3853" s="2" t="s">
        <v>8716</v>
      </c>
      <c r="C3853" s="2" t="s">
        <v>17</v>
      </c>
      <c r="D3853" s="2" t="s">
        <v>18</v>
      </c>
      <c r="E3853" s="5" t="s">
        <v>1170</v>
      </c>
      <c r="F3853" s="3" t="s">
        <v>1171</v>
      </c>
      <c r="G3853" s="3" t="s">
        <v>28</v>
      </c>
      <c r="H3853" s="2" t="s">
        <v>22</v>
      </c>
      <c r="I3853" s="2" t="s">
        <v>8717</v>
      </c>
      <c r="J3853" s="3" t="str">
        <f>HYPERLINK("https://www.boe.es/gazeta/dias/1834/01/07/pdfs/GMD-1834-4.pdf#page=5","Abrir facsímil")</f>
        <v>Abrir facsímil</v>
      </c>
      <c r="K3853" s="3" t="s">
        <v>24</v>
      </c>
    </row>
    <row r="3854" spans="1:11" ht="54" customHeight="1">
      <c r="A3854" s="2" t="s">
        <v>8715</v>
      </c>
      <c r="B3854" s="2" t="s">
        <v>8716</v>
      </c>
      <c r="C3854" s="2" t="s">
        <v>17</v>
      </c>
      <c r="D3854" s="2" t="s">
        <v>18</v>
      </c>
      <c r="E3854" s="5" t="s">
        <v>1170</v>
      </c>
      <c r="F3854" s="3" t="s">
        <v>1171</v>
      </c>
      <c r="G3854" s="3" t="s">
        <v>176</v>
      </c>
      <c r="H3854" s="2" t="s">
        <v>22</v>
      </c>
      <c r="I3854" s="2" t="s">
        <v>8718</v>
      </c>
      <c r="J3854" s="3" t="str">
        <f>HYPERLINK("https://www.boe.es/gazeta/dias/1834/01/07/pdfs/GMD-1834-4.pdf#page=6","Abrir facsímil")</f>
        <v>Abrir facsímil</v>
      </c>
      <c r="K3854" s="3" t="s">
        <v>24</v>
      </c>
    </row>
    <row r="3855" spans="1:11" ht="54" customHeight="1">
      <c r="A3855" s="2" t="s">
        <v>8719</v>
      </c>
      <c r="B3855" s="2" t="s">
        <v>8720</v>
      </c>
      <c r="C3855" s="2" t="s">
        <v>90</v>
      </c>
      <c r="D3855" s="2" t="s">
        <v>18</v>
      </c>
      <c r="E3855" s="5" t="s">
        <v>863</v>
      </c>
      <c r="F3855" s="3" t="s">
        <v>864</v>
      </c>
      <c r="G3855" s="3" t="s">
        <v>75</v>
      </c>
      <c r="H3855" s="2" t="s">
        <v>22</v>
      </c>
      <c r="I3855" s="2" t="s">
        <v>8721</v>
      </c>
      <c r="J3855" s="3" t="str">
        <f>HYPERLINK("https://www.boe.es/gazeta/dias/1834/09/15/pdfs/GMD-1834-213.pdf#page=4","Abrir facsímil")</f>
        <v>Abrir facsímil</v>
      </c>
      <c r="K3855" s="3" t="s">
        <v>24</v>
      </c>
    </row>
    <row r="3856" spans="1:11" ht="54" customHeight="1">
      <c r="A3856" s="2" t="s">
        <v>8722</v>
      </c>
      <c r="B3856" s="2" t="s">
        <v>8723</v>
      </c>
      <c r="C3856" s="2" t="s">
        <v>857</v>
      </c>
      <c r="D3856" s="2" t="s">
        <v>67</v>
      </c>
      <c r="E3856" s="5" t="s">
        <v>364</v>
      </c>
      <c r="F3856" s="3" t="s">
        <v>2102</v>
      </c>
      <c r="G3856" s="3" t="s">
        <v>34</v>
      </c>
      <c r="H3856" s="2" t="s">
        <v>22</v>
      </c>
      <c r="I3856" s="2" t="s">
        <v>8724</v>
      </c>
      <c r="J3856" s="3" t="str">
        <f>HYPERLINK("https://www.boe.es/gazeta/dias/1834/09/06/pdfs/GMD-1834-204.pdf#page=1","Abrir facsímil")</f>
        <v>Abrir facsímil</v>
      </c>
      <c r="K3856" s="3" t="s">
        <v>24</v>
      </c>
    </row>
    <row r="3857" spans="1:11" ht="54" customHeight="1">
      <c r="A3857" s="2" t="s">
        <v>8725</v>
      </c>
      <c r="B3857" s="2" t="s">
        <v>8726</v>
      </c>
      <c r="C3857" s="2" t="s">
        <v>17</v>
      </c>
      <c r="D3857" s="2" t="s">
        <v>18</v>
      </c>
      <c r="E3857" s="5" t="s">
        <v>4237</v>
      </c>
      <c r="F3857" s="3" t="s">
        <v>4238</v>
      </c>
      <c r="G3857" s="3" t="s">
        <v>34</v>
      </c>
      <c r="H3857" s="2" t="s">
        <v>22</v>
      </c>
      <c r="I3857" s="2" t="s">
        <v>8727</v>
      </c>
      <c r="J3857" s="3" t="str">
        <f>HYPERLINK("https://www.boe.es/gazeta/dias/1834/06/17/pdfs/GMD-1834-120.pdf#page=1","Abrir facsímil")</f>
        <v>Abrir facsímil</v>
      </c>
      <c r="K3857" s="3" t="s">
        <v>24</v>
      </c>
    </row>
    <row r="3858" spans="1:11" ht="54" customHeight="1">
      <c r="A3858" s="2" t="s">
        <v>8728</v>
      </c>
      <c r="B3858" s="2" t="s">
        <v>8729</v>
      </c>
      <c r="C3858" s="2" t="s">
        <v>17</v>
      </c>
      <c r="D3858" s="2" t="s">
        <v>55</v>
      </c>
      <c r="E3858" s="5" t="s">
        <v>1789</v>
      </c>
      <c r="F3858" s="3" t="s">
        <v>1790</v>
      </c>
      <c r="G3858" s="3" t="s">
        <v>21</v>
      </c>
      <c r="H3858" s="2" t="s">
        <v>22</v>
      </c>
      <c r="I3858" s="2" t="s">
        <v>8730</v>
      </c>
      <c r="J3858" s="3" t="str">
        <f>HYPERLINK("https://www.boe.es/gazeta/dias/1834/05/31/pdfs/GMD-1834-100.pdf#page=3","Abrir facsímil")</f>
        <v>Abrir facsímil</v>
      </c>
      <c r="K3858" s="3" t="s">
        <v>24</v>
      </c>
    </row>
    <row r="3859" spans="1:11" ht="54" customHeight="1">
      <c r="A3859" s="2" t="s">
        <v>8731</v>
      </c>
      <c r="B3859" s="2" t="s">
        <v>8732</v>
      </c>
      <c r="C3859" s="2" t="s">
        <v>66</v>
      </c>
      <c r="D3859" s="2" t="s">
        <v>67</v>
      </c>
      <c r="E3859" s="5" t="s">
        <v>642</v>
      </c>
      <c r="F3859" s="3" t="s">
        <v>1843</v>
      </c>
      <c r="G3859" s="3" t="s">
        <v>21</v>
      </c>
      <c r="H3859" s="2" t="s">
        <v>22</v>
      </c>
      <c r="I3859" s="2" t="s">
        <v>8733</v>
      </c>
      <c r="J3859" s="3" t="str">
        <f>HYPERLINK("https://www.boe.es/gazeta/dias/1834/11/12/pdfs/GMD-1834-271.pdf#page=3","Abrir facsímil")</f>
        <v>Abrir facsímil</v>
      </c>
      <c r="K3859" s="3" t="s">
        <v>24</v>
      </c>
    </row>
    <row r="3860" spans="1:11" ht="54" customHeight="1">
      <c r="A3860" s="2" t="s">
        <v>8734</v>
      </c>
      <c r="B3860" s="2" t="s">
        <v>8735</v>
      </c>
      <c r="C3860" s="2" t="s">
        <v>17</v>
      </c>
      <c r="D3860" s="2" t="s">
        <v>40</v>
      </c>
      <c r="E3860" s="5" t="s">
        <v>1186</v>
      </c>
      <c r="F3860" s="3" t="s">
        <v>1187</v>
      </c>
      <c r="G3860" s="3" t="s">
        <v>21</v>
      </c>
      <c r="H3860" s="2" t="s">
        <v>22</v>
      </c>
      <c r="I3860" s="2" t="s">
        <v>8736</v>
      </c>
      <c r="J3860" s="3" t="str">
        <f>HYPERLINK("https://www.boe.es/gazeta/dias/1834/08/14/pdfs/GMD-1834-179.pdf#page=3","Abrir facsímil")</f>
        <v>Abrir facsímil</v>
      </c>
      <c r="K3860" s="3" t="s">
        <v>24</v>
      </c>
    </row>
    <row r="3861" spans="1:11" ht="54" customHeight="1">
      <c r="A3861" s="2" t="s">
        <v>8737</v>
      </c>
      <c r="B3861" s="2" t="s">
        <v>8738</v>
      </c>
      <c r="C3861" s="2" t="s">
        <v>17</v>
      </c>
      <c r="D3861" s="2" t="s">
        <v>18</v>
      </c>
      <c r="E3861" s="5" t="s">
        <v>506</v>
      </c>
      <c r="F3861" s="3" t="s">
        <v>507</v>
      </c>
      <c r="G3861" s="3" t="s">
        <v>28</v>
      </c>
      <c r="H3861" s="2" t="s">
        <v>35</v>
      </c>
      <c r="I3861" s="2" t="s">
        <v>8739</v>
      </c>
      <c r="J3861" s="3" t="str">
        <f>HYPERLINK("https://www.boe.es/gazeta/dias/1834/03/04/pdfs/GMD-1834-28.pdf#page=5","Abrir facsímil")</f>
        <v>Abrir facsímil</v>
      </c>
      <c r="K3861" s="3" t="s">
        <v>37</v>
      </c>
    </row>
    <row r="3862" spans="1:11" ht="54" customHeight="1">
      <c r="A3862" s="2" t="s">
        <v>8737</v>
      </c>
      <c r="B3862" s="2" t="s">
        <v>8738</v>
      </c>
      <c r="C3862" s="2" t="s">
        <v>66</v>
      </c>
      <c r="D3862" s="2" t="s">
        <v>18</v>
      </c>
      <c r="E3862" s="5" t="s">
        <v>606</v>
      </c>
      <c r="F3862" s="3" t="s">
        <v>607</v>
      </c>
      <c r="G3862" s="3" t="s">
        <v>75</v>
      </c>
      <c r="H3862" s="2" t="s">
        <v>35</v>
      </c>
      <c r="I3862" s="2" t="s">
        <v>8740</v>
      </c>
      <c r="J3862" s="3" t="str">
        <f>HYPERLINK("https://www.boe.es/gazeta/dias/1834/06/23/pdfs/GMD-1834-126.pdf#page=4","Abrir facsímil")</f>
        <v>Abrir facsímil</v>
      </c>
      <c r="K3862" s="3" t="s">
        <v>37</v>
      </c>
    </row>
    <row r="3863" spans="1:11" ht="54" customHeight="1">
      <c r="A3863" s="2" t="s">
        <v>8741</v>
      </c>
      <c r="B3863" s="2" t="s">
        <v>8742</v>
      </c>
      <c r="C3863" s="2" t="s">
        <v>90</v>
      </c>
      <c r="D3863" s="2" t="s">
        <v>18</v>
      </c>
      <c r="E3863" s="5" t="s">
        <v>4814</v>
      </c>
      <c r="F3863" s="3" t="s">
        <v>4815</v>
      </c>
      <c r="G3863" s="3" t="s">
        <v>34</v>
      </c>
      <c r="H3863" s="2" t="s">
        <v>22</v>
      </c>
      <c r="I3863" s="2" t="s">
        <v>8743</v>
      </c>
      <c r="J3863" s="3" t="str">
        <f>HYPERLINK("https://www.boe.es/gazeta/dias/1834/06/05/pdfs/GMD-1834-107.pdf#page=1","Abrir facsímil")</f>
        <v>Abrir facsímil</v>
      </c>
      <c r="K3863" s="3" t="s">
        <v>24</v>
      </c>
    </row>
    <row r="3864" spans="1:11" ht="54" customHeight="1">
      <c r="A3864" s="2" t="s">
        <v>8744</v>
      </c>
      <c r="B3864" s="2" t="s">
        <v>8745</v>
      </c>
      <c r="C3864" s="2" t="s">
        <v>90</v>
      </c>
      <c r="D3864" s="2" t="s">
        <v>18</v>
      </c>
      <c r="E3864" s="5" t="s">
        <v>200</v>
      </c>
      <c r="F3864" s="3" t="s">
        <v>201</v>
      </c>
      <c r="G3864" s="3" t="s">
        <v>75</v>
      </c>
      <c r="H3864" s="2" t="s">
        <v>22</v>
      </c>
      <c r="I3864" s="2" t="s">
        <v>8746</v>
      </c>
      <c r="J3864" s="3" t="str">
        <f>HYPERLINK("https://www.boe.es/gazeta/dias/1834/12/11/pdfs/GMD-1834-300.pdf#page=4","Abrir facsímil")</f>
        <v>Abrir facsímil</v>
      </c>
      <c r="K3864" s="3" t="s">
        <v>24</v>
      </c>
    </row>
    <row r="3865" spans="1:11" ht="54" customHeight="1">
      <c r="A3865" s="2" t="s">
        <v>8747</v>
      </c>
      <c r="B3865" s="2" t="s">
        <v>8748</v>
      </c>
      <c r="C3865" s="2" t="s">
        <v>17</v>
      </c>
      <c r="D3865" s="2" t="s">
        <v>18</v>
      </c>
      <c r="E3865" s="5" t="s">
        <v>506</v>
      </c>
      <c r="F3865" s="3" t="s">
        <v>507</v>
      </c>
      <c r="G3865" s="3" t="s">
        <v>28</v>
      </c>
      <c r="H3865" s="2" t="s">
        <v>22</v>
      </c>
      <c r="I3865" s="2" t="s">
        <v>8749</v>
      </c>
      <c r="J3865" s="3" t="str">
        <f>HYPERLINK("https://www.boe.es/gazeta/dias/1834/03/04/pdfs/GMD-1834-28.pdf#page=5","Abrir facsímil")</f>
        <v>Abrir facsímil</v>
      </c>
      <c r="K3865" s="3" t="s">
        <v>24</v>
      </c>
    </row>
    <row r="3866" spans="1:11" ht="54" customHeight="1">
      <c r="A3866" s="2" t="s">
        <v>8750</v>
      </c>
      <c r="B3866" s="2" t="s">
        <v>8751</v>
      </c>
      <c r="C3866" s="2" t="s">
        <v>17</v>
      </c>
      <c r="D3866" s="2" t="s">
        <v>18</v>
      </c>
      <c r="E3866" s="5" t="s">
        <v>1125</v>
      </c>
      <c r="F3866" s="3" t="s">
        <v>1126</v>
      </c>
      <c r="G3866" s="3" t="s">
        <v>86</v>
      </c>
      <c r="H3866" s="2" t="s">
        <v>22</v>
      </c>
      <c r="I3866" s="2" t="s">
        <v>8752</v>
      </c>
      <c r="J3866" s="3" t="str">
        <f>HYPERLINK("https://www.boe.es/gazeta/dias/1834/04/17/pdfs/GMD-C-1834-56.pdf#page=2","Abrir facsímil")</f>
        <v>Abrir facsímil</v>
      </c>
      <c r="K3866" s="3" t="s">
        <v>24</v>
      </c>
    </row>
    <row r="3867" spans="1:11" ht="54" customHeight="1">
      <c r="A3867" s="2" t="s">
        <v>8747</v>
      </c>
      <c r="B3867" s="2" t="s">
        <v>8748</v>
      </c>
      <c r="C3867" s="2" t="s">
        <v>17</v>
      </c>
      <c r="D3867" s="2" t="s">
        <v>18</v>
      </c>
      <c r="E3867" s="5" t="s">
        <v>375</v>
      </c>
      <c r="F3867" s="3" t="s">
        <v>376</v>
      </c>
      <c r="G3867" s="3" t="s">
        <v>21</v>
      </c>
      <c r="H3867" s="2" t="s">
        <v>22</v>
      </c>
      <c r="I3867" s="2" t="s">
        <v>8753</v>
      </c>
      <c r="J3867" s="3" t="str">
        <f>HYPERLINK("https://www.boe.es/gazeta/dias/1834/08/21/pdfs/GMD-1834-187.pdf#page=3","Abrir facsímil")</f>
        <v>Abrir facsímil</v>
      </c>
      <c r="K3867" s="3" t="s">
        <v>24</v>
      </c>
    </row>
    <row r="3868" spans="1:11" ht="54" customHeight="1">
      <c r="A3868" s="2" t="s">
        <v>8747</v>
      </c>
      <c r="B3868" s="2" t="s">
        <v>8748</v>
      </c>
      <c r="C3868" s="2" t="s">
        <v>66</v>
      </c>
      <c r="D3868" s="2" t="s">
        <v>18</v>
      </c>
      <c r="E3868" s="5" t="s">
        <v>606</v>
      </c>
      <c r="F3868" s="3" t="s">
        <v>607</v>
      </c>
      <c r="G3868" s="3" t="s">
        <v>75</v>
      </c>
      <c r="H3868" s="2" t="s">
        <v>22</v>
      </c>
      <c r="I3868" s="2" t="s">
        <v>8754</v>
      </c>
      <c r="J3868" s="3" t="str">
        <f>HYPERLINK("https://www.boe.es/gazeta/dias/1834/06/23/pdfs/GMD-1834-126.pdf#page=4","Abrir facsímil")</f>
        <v>Abrir facsímil</v>
      </c>
      <c r="K3868" s="3" t="s">
        <v>24</v>
      </c>
    </row>
    <row r="3869" spans="1:11" ht="54" customHeight="1">
      <c r="A3869" s="2" t="s">
        <v>8747</v>
      </c>
      <c r="B3869" s="2" t="s">
        <v>8748</v>
      </c>
      <c r="C3869" s="2" t="s">
        <v>122</v>
      </c>
      <c r="D3869" s="2" t="s">
        <v>18</v>
      </c>
      <c r="E3869" s="5" t="s">
        <v>286</v>
      </c>
      <c r="F3869" s="3" t="s">
        <v>1928</v>
      </c>
      <c r="G3869" s="3" t="s">
        <v>34</v>
      </c>
      <c r="H3869" s="2" t="s">
        <v>22</v>
      </c>
      <c r="I3869" s="2" t="s">
        <v>8755</v>
      </c>
      <c r="J3869" s="3" t="str">
        <f>HYPERLINK("https://www.boe.es/gazeta/dias/1834/08/30/pdfs/GMD-1834-197E.pdf#page=1","Abrir facsímil")</f>
        <v>Abrir facsímil</v>
      </c>
      <c r="K3869" s="3" t="s">
        <v>24</v>
      </c>
    </row>
    <row r="3870" spans="1:11" ht="54" customHeight="1">
      <c r="A3870" s="2" t="s">
        <v>8756</v>
      </c>
      <c r="B3870" s="2" t="s">
        <v>8757</v>
      </c>
      <c r="C3870" s="2" t="s">
        <v>17</v>
      </c>
      <c r="D3870" s="2" t="s">
        <v>18</v>
      </c>
      <c r="E3870" s="5" t="s">
        <v>623</v>
      </c>
      <c r="F3870" s="3" t="s">
        <v>3442</v>
      </c>
      <c r="G3870" s="3" t="s">
        <v>86</v>
      </c>
      <c r="H3870" s="2" t="s">
        <v>22</v>
      </c>
      <c r="I3870" s="2" t="s">
        <v>8758</v>
      </c>
      <c r="J3870" s="3" t="str">
        <f>HYPERLINK("https://www.boe.es/gazeta/dias/1834/10/12/pdfs/GMD-1834-240.pdf#page=2","Abrir facsímil")</f>
        <v>Abrir facsímil</v>
      </c>
      <c r="K3870" s="3" t="s">
        <v>24</v>
      </c>
    </row>
    <row r="3871" spans="1:11" ht="54" customHeight="1">
      <c r="A3871" s="2" t="s">
        <v>8759</v>
      </c>
      <c r="B3871" s="2" t="s">
        <v>8760</v>
      </c>
      <c r="C3871" s="2" t="s">
        <v>17</v>
      </c>
      <c r="D3871" s="2" t="s">
        <v>18</v>
      </c>
      <c r="E3871" s="5" t="s">
        <v>2379</v>
      </c>
      <c r="F3871" s="3" t="s">
        <v>2380</v>
      </c>
      <c r="G3871" s="3" t="s">
        <v>75</v>
      </c>
      <c r="H3871" s="2" t="s">
        <v>22</v>
      </c>
      <c r="I3871" s="2" t="s">
        <v>8761</v>
      </c>
      <c r="J3871" s="3" t="str">
        <f>HYPERLINK("https://www.boe.es/gazeta/dias/1834/04/03/pdfs/GMD-1834-42.pdf#page=4","Abrir facsímil")</f>
        <v>Abrir facsímil</v>
      </c>
      <c r="K3871" s="3" t="s">
        <v>24</v>
      </c>
    </row>
    <row r="3872" spans="1:11" ht="54" customHeight="1">
      <c r="A3872" s="2" t="s">
        <v>8762</v>
      </c>
      <c r="B3872" s="2" t="s">
        <v>8763</v>
      </c>
      <c r="C3872" s="2" t="s">
        <v>857</v>
      </c>
      <c r="D3872" s="2" t="s">
        <v>67</v>
      </c>
      <c r="E3872" s="5" t="s">
        <v>73</v>
      </c>
      <c r="F3872" s="3" t="s">
        <v>74</v>
      </c>
      <c r="G3872" s="3" t="s">
        <v>75</v>
      </c>
      <c r="H3872" s="2" t="s">
        <v>22</v>
      </c>
      <c r="I3872" s="2" t="s">
        <v>8764</v>
      </c>
      <c r="J3872" s="3" t="str">
        <f>HYPERLINK("https://www.boe.es/gazeta/dias/1834/11/04/pdfs/GMD-1834-263.pdf#page=4","Abrir facsímil")</f>
        <v>Abrir facsímil</v>
      </c>
      <c r="K3872" s="3" t="s">
        <v>24</v>
      </c>
    </row>
    <row r="3873" spans="1:11" ht="54" customHeight="1">
      <c r="A3873" s="2" t="s">
        <v>8765</v>
      </c>
      <c r="B3873" s="2" t="s">
        <v>8766</v>
      </c>
      <c r="C3873" s="2" t="s">
        <v>17</v>
      </c>
      <c r="D3873" s="2" t="s">
        <v>18</v>
      </c>
      <c r="E3873" s="5" t="s">
        <v>1234</v>
      </c>
      <c r="F3873" s="3" t="s">
        <v>1455</v>
      </c>
      <c r="G3873" s="3" t="s">
        <v>75</v>
      </c>
      <c r="H3873" s="2" t="s">
        <v>35</v>
      </c>
      <c r="I3873" s="2" t="s">
        <v>8767</v>
      </c>
      <c r="J3873" s="3" t="str">
        <f>HYPERLINK("https://www.boe.es/gazeta/dias/1834/05/15/pdfs/GMD-1834-84.pdf#page=4","Abrir facsímil")</f>
        <v>Abrir facsímil</v>
      </c>
      <c r="K3873" s="3" t="s">
        <v>37</v>
      </c>
    </row>
    <row r="3874" spans="1:11" ht="54" customHeight="1">
      <c r="A3874" s="2" t="s">
        <v>8765</v>
      </c>
      <c r="B3874" s="2" t="s">
        <v>8766</v>
      </c>
      <c r="C3874" s="2" t="s">
        <v>66</v>
      </c>
      <c r="D3874" s="2" t="s">
        <v>67</v>
      </c>
      <c r="E3874" s="5" t="s">
        <v>1212</v>
      </c>
      <c r="F3874" s="3" t="s">
        <v>1213</v>
      </c>
      <c r="G3874" s="3" t="s">
        <v>86</v>
      </c>
      <c r="H3874" s="2" t="s">
        <v>35</v>
      </c>
      <c r="I3874" s="2" t="s">
        <v>8768</v>
      </c>
      <c r="J3874" s="3" t="str">
        <f>HYPERLINK("https://www.boe.es/gazeta/dias/1834/05/24/pdfs/GMD-1834-93.pdf#page=2","Abrir facsímil")</f>
        <v>Abrir facsímil</v>
      </c>
      <c r="K3874" s="3" t="s">
        <v>37</v>
      </c>
    </row>
    <row r="3875" spans="1:11" ht="54" customHeight="1">
      <c r="A3875" s="2" t="s">
        <v>8769</v>
      </c>
      <c r="B3875" s="2" t="s">
        <v>8770</v>
      </c>
      <c r="C3875" s="2" t="s">
        <v>17</v>
      </c>
      <c r="D3875" s="2" t="s">
        <v>18</v>
      </c>
      <c r="E3875" s="5" t="s">
        <v>1234</v>
      </c>
      <c r="F3875" s="3" t="s">
        <v>1455</v>
      </c>
      <c r="G3875" s="3" t="s">
        <v>75</v>
      </c>
      <c r="H3875" s="2" t="s">
        <v>22</v>
      </c>
      <c r="I3875" s="2" t="s">
        <v>8771</v>
      </c>
      <c r="J3875" s="3" t="str">
        <f>HYPERLINK("https://www.boe.es/gazeta/dias/1834/05/15/pdfs/GMD-1834-84.pdf#page=4","Abrir facsímil")</f>
        <v>Abrir facsímil</v>
      </c>
      <c r="K3875" s="3" t="s">
        <v>24</v>
      </c>
    </row>
    <row r="3876" spans="1:11" ht="54" customHeight="1">
      <c r="A3876" s="2" t="s">
        <v>8769</v>
      </c>
      <c r="B3876" s="2" t="s">
        <v>8770</v>
      </c>
      <c r="C3876" s="2" t="s">
        <v>66</v>
      </c>
      <c r="D3876" s="2" t="s">
        <v>67</v>
      </c>
      <c r="E3876" s="5" t="s">
        <v>1212</v>
      </c>
      <c r="F3876" s="3" t="s">
        <v>1213</v>
      </c>
      <c r="G3876" s="3" t="s">
        <v>86</v>
      </c>
      <c r="H3876" s="2" t="s">
        <v>22</v>
      </c>
      <c r="I3876" s="2" t="s">
        <v>8772</v>
      </c>
      <c r="J3876" s="3" t="str">
        <f>HYPERLINK("https://www.boe.es/gazeta/dias/1834/05/24/pdfs/GMD-1834-93.pdf#page=2","Abrir facsímil")</f>
        <v>Abrir facsímil</v>
      </c>
      <c r="K3876" s="3" t="s">
        <v>24</v>
      </c>
    </row>
    <row r="3877" spans="1:11" ht="54" customHeight="1">
      <c r="A3877" s="2" t="s">
        <v>8773</v>
      </c>
      <c r="B3877" s="2" t="s">
        <v>8774</v>
      </c>
      <c r="C3877" s="2" t="s">
        <v>66</v>
      </c>
      <c r="D3877" s="2" t="s">
        <v>67</v>
      </c>
      <c r="E3877" s="5" t="s">
        <v>1239</v>
      </c>
      <c r="F3877" s="3" t="s">
        <v>1240</v>
      </c>
      <c r="G3877" s="3" t="s">
        <v>75</v>
      </c>
      <c r="H3877" s="2" t="s">
        <v>35</v>
      </c>
      <c r="I3877" s="2" t="s">
        <v>8775</v>
      </c>
      <c r="J3877" s="3" t="str">
        <f>HYPERLINK("https://www.boe.es/gazeta/dias/1834/08/20/pdfs/GMD-1834-186.pdf#page=4","Abrir facsímil")</f>
        <v>Abrir facsímil</v>
      </c>
      <c r="K3877" s="3" t="s">
        <v>37</v>
      </c>
    </row>
    <row r="3878" spans="1:11" ht="54" customHeight="1">
      <c r="A3878" s="2" t="s">
        <v>8776</v>
      </c>
      <c r="B3878" s="2" t="s">
        <v>8777</v>
      </c>
      <c r="C3878" s="2" t="s">
        <v>66</v>
      </c>
      <c r="D3878" s="2" t="s">
        <v>67</v>
      </c>
      <c r="E3878" s="5" t="s">
        <v>1239</v>
      </c>
      <c r="F3878" s="3" t="s">
        <v>1240</v>
      </c>
      <c r="G3878" s="3" t="s">
        <v>75</v>
      </c>
      <c r="H3878" s="2" t="s">
        <v>22</v>
      </c>
      <c r="I3878" s="2" t="s">
        <v>8778</v>
      </c>
      <c r="J3878" s="3" t="str">
        <f>HYPERLINK("https://www.boe.es/gazeta/dias/1834/08/20/pdfs/GMD-1834-186.pdf#page=4","Abrir facsímil")</f>
        <v>Abrir facsímil</v>
      </c>
      <c r="K3878" s="3" t="s">
        <v>24</v>
      </c>
    </row>
    <row r="3879" spans="1:11" ht="54" customHeight="1">
      <c r="A3879" s="2" t="s">
        <v>8779</v>
      </c>
      <c r="B3879" s="2" t="s">
        <v>8780</v>
      </c>
      <c r="C3879" s="2" t="s">
        <v>122</v>
      </c>
      <c r="D3879" s="2" t="s">
        <v>101</v>
      </c>
      <c r="E3879" s="5" t="s">
        <v>1239</v>
      </c>
      <c r="F3879" s="3" t="s">
        <v>1240</v>
      </c>
      <c r="G3879" s="3" t="s">
        <v>21</v>
      </c>
      <c r="H3879" s="2" t="s">
        <v>22</v>
      </c>
      <c r="I3879" s="2" t="s">
        <v>8781</v>
      </c>
      <c r="J3879" s="3" t="str">
        <f>HYPERLINK("https://www.boe.es/gazeta/dias/1834/08/20/pdfs/GMD-1834-186.pdf#page=3","Abrir facsímil")</f>
        <v>Abrir facsímil</v>
      </c>
      <c r="K3879" s="3" t="s">
        <v>24</v>
      </c>
    </row>
    <row r="3880" spans="1:11" ht="54" customHeight="1">
      <c r="A3880" s="2" t="s">
        <v>8782</v>
      </c>
      <c r="B3880" s="2" t="s">
        <v>8783</v>
      </c>
      <c r="C3880" s="2" t="s">
        <v>66</v>
      </c>
      <c r="D3880" s="2" t="s">
        <v>67</v>
      </c>
      <c r="E3880" s="5" t="s">
        <v>1094</v>
      </c>
      <c r="F3880" s="3" t="s">
        <v>1095</v>
      </c>
      <c r="G3880" s="3" t="s">
        <v>21</v>
      </c>
      <c r="H3880" s="2" t="s">
        <v>35</v>
      </c>
      <c r="I3880" s="2" t="s">
        <v>8784</v>
      </c>
      <c r="J3880" s="3" t="str">
        <f>HYPERLINK("https://www.boe.es/gazeta/dias/1834/07/13/pdfs/GMD-1834-146.pdf#page=3","Abrir facsímil")</f>
        <v>Abrir facsímil</v>
      </c>
      <c r="K3880" s="3" t="s">
        <v>37</v>
      </c>
    </row>
    <row r="3881" spans="1:11" ht="54" customHeight="1">
      <c r="A3881" s="2" t="s">
        <v>8785</v>
      </c>
      <c r="B3881" s="2" t="s">
        <v>8786</v>
      </c>
      <c r="C3881" s="2" t="s">
        <v>17</v>
      </c>
      <c r="D3881" s="2" t="s">
        <v>18</v>
      </c>
      <c r="E3881" s="5" t="s">
        <v>1094</v>
      </c>
      <c r="F3881" s="3" t="s">
        <v>1095</v>
      </c>
      <c r="G3881" s="3" t="s">
        <v>21</v>
      </c>
      <c r="H3881" s="2" t="s">
        <v>22</v>
      </c>
      <c r="I3881" s="2" t="s">
        <v>8787</v>
      </c>
      <c r="J3881" s="3" t="str">
        <f>HYPERLINK("https://www.boe.es/gazeta/dias/1834/07/13/pdfs/GMD-1834-146.pdf#page=3","Abrir facsímil")</f>
        <v>Abrir facsímil</v>
      </c>
      <c r="K3881" s="3" t="s">
        <v>24</v>
      </c>
    </row>
    <row r="3882" spans="1:11" ht="54" customHeight="1">
      <c r="A3882" s="2" t="s">
        <v>8788</v>
      </c>
      <c r="B3882" s="2" t="s">
        <v>8789</v>
      </c>
      <c r="C3882" s="2" t="s">
        <v>66</v>
      </c>
      <c r="D3882" s="2" t="s">
        <v>67</v>
      </c>
      <c r="E3882" s="5" t="s">
        <v>833</v>
      </c>
      <c r="F3882" s="3" t="s">
        <v>834</v>
      </c>
      <c r="G3882" s="3" t="s">
        <v>21</v>
      </c>
      <c r="H3882" s="2" t="s">
        <v>22</v>
      </c>
      <c r="I3882" s="2" t="s">
        <v>8790</v>
      </c>
      <c r="J3882" s="3" t="str">
        <f>HYPERLINK("https://www.boe.es/gazeta/dias/1834/04/24/pdfs/GMD-1834-63.pdf#page=3","Abrir facsímil")</f>
        <v>Abrir facsímil</v>
      </c>
      <c r="K3882" s="3" t="s">
        <v>24</v>
      </c>
    </row>
    <row r="3883" spans="1:11" ht="54" customHeight="1">
      <c r="A3883" s="2" t="s">
        <v>8791</v>
      </c>
      <c r="B3883" s="2" t="s">
        <v>8792</v>
      </c>
      <c r="C3883" s="2" t="s">
        <v>17</v>
      </c>
      <c r="D3883" s="2" t="s">
        <v>18</v>
      </c>
      <c r="E3883" s="5" t="s">
        <v>1766</v>
      </c>
      <c r="F3883" s="3" t="s">
        <v>1767</v>
      </c>
      <c r="G3883" s="3" t="s">
        <v>34</v>
      </c>
      <c r="H3883" s="2" t="s">
        <v>22</v>
      </c>
      <c r="I3883" s="2" t="s">
        <v>8793</v>
      </c>
      <c r="J3883" s="3" t="str">
        <f>HYPERLINK("https://www.boe.es/gazeta/dias/1834/10/26/pdfs/GMD-C-1834-254.pdf#page=1","Abrir facsímil")</f>
        <v>Abrir facsímil</v>
      </c>
      <c r="K3883" s="3" t="s">
        <v>24</v>
      </c>
    </row>
    <row r="3884" spans="1:11" ht="54" customHeight="1">
      <c r="A3884" s="2" t="s">
        <v>8794</v>
      </c>
      <c r="B3884" s="2" t="s">
        <v>8795</v>
      </c>
      <c r="C3884" s="2" t="s">
        <v>66</v>
      </c>
      <c r="D3884" s="2" t="s">
        <v>67</v>
      </c>
      <c r="E3884" s="5" t="s">
        <v>3036</v>
      </c>
      <c r="F3884" s="3" t="s">
        <v>3372</v>
      </c>
      <c r="G3884" s="3" t="s">
        <v>75</v>
      </c>
      <c r="H3884" s="2" t="s">
        <v>22</v>
      </c>
      <c r="I3884" s="2" t="s">
        <v>8796</v>
      </c>
      <c r="J3884" s="3" t="str">
        <f>HYPERLINK("https://www.boe.es/gazeta/dias/1834/11/18/pdfs/GMD-1834-277.pdf#page=4","Abrir facsímil")</f>
        <v>Abrir facsímil</v>
      </c>
      <c r="K3884" s="3" t="s">
        <v>24</v>
      </c>
    </row>
    <row r="3885" spans="1:11" ht="54" customHeight="1">
      <c r="A3885" s="2" t="s">
        <v>8797</v>
      </c>
      <c r="B3885" s="2" t="s">
        <v>8798</v>
      </c>
      <c r="C3885" s="2" t="s">
        <v>90</v>
      </c>
      <c r="D3885" s="2" t="s">
        <v>18</v>
      </c>
      <c r="E3885" s="5" t="s">
        <v>416</v>
      </c>
      <c r="F3885" s="3" t="s">
        <v>417</v>
      </c>
      <c r="G3885" s="3" t="s">
        <v>176</v>
      </c>
      <c r="H3885" s="2" t="s">
        <v>22</v>
      </c>
      <c r="I3885" s="2" t="s">
        <v>8799</v>
      </c>
      <c r="J3885" s="3" t="str">
        <f>HYPERLINK("https://www.boe.es/gazeta/dias/1834/10/02/pdfs/GMD-C-1834-230.pdf#page=6","Abrir facsímil")</f>
        <v>Abrir facsímil</v>
      </c>
      <c r="K3885" s="3" t="s">
        <v>24</v>
      </c>
    </row>
    <row r="3886" spans="1:11" ht="54" customHeight="1">
      <c r="A3886" s="2" t="s">
        <v>8800</v>
      </c>
      <c r="B3886" s="2" t="s">
        <v>8801</v>
      </c>
      <c r="C3886" s="2" t="s">
        <v>17</v>
      </c>
      <c r="D3886" s="2" t="s">
        <v>18</v>
      </c>
      <c r="E3886" s="5" t="s">
        <v>571</v>
      </c>
      <c r="F3886" s="3" t="s">
        <v>620</v>
      </c>
      <c r="G3886" s="3" t="s">
        <v>470</v>
      </c>
      <c r="H3886" s="2" t="s">
        <v>22</v>
      </c>
      <c r="I3886" s="2" t="s">
        <v>8802</v>
      </c>
      <c r="J3886" s="3" t="str">
        <f>HYPERLINK("https://www.boe.es/gazeta/dias/1834/09/04/pdfs/GMD-C-1834-202.pdf#page=8","Abrir facsímil")</f>
        <v>Abrir facsímil</v>
      </c>
      <c r="K3886" s="3" t="s">
        <v>24</v>
      </c>
    </row>
    <row r="3887" spans="1:11" ht="54" customHeight="1">
      <c r="A3887" s="2" t="s">
        <v>8803</v>
      </c>
      <c r="B3887" s="2" t="s">
        <v>8804</v>
      </c>
      <c r="C3887" s="2" t="s">
        <v>46</v>
      </c>
      <c r="D3887" s="2" t="s">
        <v>40</v>
      </c>
      <c r="E3887" s="5" t="s">
        <v>258</v>
      </c>
      <c r="F3887" s="3" t="s">
        <v>259</v>
      </c>
      <c r="G3887" s="3" t="s">
        <v>21</v>
      </c>
      <c r="H3887" s="2" t="s">
        <v>22</v>
      </c>
      <c r="I3887" s="2" t="s">
        <v>8805</v>
      </c>
      <c r="J3887" s="3" t="str">
        <f>HYPERLINK("https://www.boe.es/gazeta/dias/1834/10/09/pdfs/GMD-C-1834-237.pdf#page=3","Abrir facsímil")</f>
        <v>Abrir facsímil</v>
      </c>
      <c r="K3887" s="3" t="s">
        <v>24</v>
      </c>
    </row>
    <row r="3888" spans="1:11" ht="54" customHeight="1">
      <c r="A3888" s="2" t="s">
        <v>8806</v>
      </c>
      <c r="B3888" s="2" t="s">
        <v>8807</v>
      </c>
      <c r="C3888" s="2" t="s">
        <v>17</v>
      </c>
      <c r="D3888" s="2" t="s">
        <v>18</v>
      </c>
      <c r="E3888" s="5" t="s">
        <v>479</v>
      </c>
      <c r="F3888" s="3" t="s">
        <v>2258</v>
      </c>
      <c r="G3888" s="3" t="s">
        <v>21</v>
      </c>
      <c r="H3888" s="2" t="s">
        <v>22</v>
      </c>
      <c r="I3888" s="2" t="s">
        <v>8808</v>
      </c>
      <c r="J3888" s="3" t="str">
        <f>HYPERLINK("https://www.boe.es/gazeta/dias/1834/08/13/pdfs/GMD-C-1834-178.pdf#page=3","Abrir facsímil")</f>
        <v>Abrir facsímil</v>
      </c>
      <c r="K3888" s="3" t="s">
        <v>24</v>
      </c>
    </row>
    <row r="3889" spans="1:11" ht="54" customHeight="1">
      <c r="A3889" s="2" t="s">
        <v>8806</v>
      </c>
      <c r="B3889" s="2" t="s">
        <v>8807</v>
      </c>
      <c r="C3889" s="2" t="s">
        <v>17</v>
      </c>
      <c r="D3889" s="2" t="s">
        <v>18</v>
      </c>
      <c r="E3889" s="5" t="s">
        <v>479</v>
      </c>
      <c r="F3889" s="3" t="s">
        <v>2258</v>
      </c>
      <c r="G3889" s="3" t="s">
        <v>75</v>
      </c>
      <c r="H3889" s="2" t="s">
        <v>22</v>
      </c>
      <c r="I3889" s="2" t="s">
        <v>8809</v>
      </c>
      <c r="J3889" s="3" t="str">
        <f>HYPERLINK("https://www.boe.es/gazeta/dias/1834/08/13/pdfs/GMD-C-1834-178.pdf#page=4","Abrir facsímil")</f>
        <v>Abrir facsímil</v>
      </c>
      <c r="K3889" s="3" t="s">
        <v>24</v>
      </c>
    </row>
    <row r="3890" spans="1:11" ht="54" customHeight="1">
      <c r="A3890" s="2" t="s">
        <v>8810</v>
      </c>
      <c r="B3890" s="2" t="s">
        <v>8811</v>
      </c>
      <c r="C3890" s="2" t="s">
        <v>857</v>
      </c>
      <c r="D3890" s="2" t="s">
        <v>18</v>
      </c>
      <c r="E3890" s="5" t="s">
        <v>863</v>
      </c>
      <c r="F3890" s="3" t="s">
        <v>864</v>
      </c>
      <c r="G3890" s="3" t="s">
        <v>86</v>
      </c>
      <c r="H3890" s="2" t="s">
        <v>22</v>
      </c>
      <c r="I3890" s="2" t="s">
        <v>8812</v>
      </c>
      <c r="J3890" s="3" t="str">
        <f>HYPERLINK("https://www.boe.es/gazeta/dias/1834/09/15/pdfs/GMD-1834-213.pdf#page=2","Abrir facsímil")</f>
        <v>Abrir facsímil</v>
      </c>
      <c r="K3890" s="3" t="s">
        <v>24</v>
      </c>
    </row>
    <row r="3891" spans="1:11" ht="54" customHeight="1">
      <c r="A3891" s="2" t="s">
        <v>8810</v>
      </c>
      <c r="B3891" s="2" t="s">
        <v>8811</v>
      </c>
      <c r="C3891" s="2" t="s">
        <v>66</v>
      </c>
      <c r="D3891" s="2" t="s">
        <v>67</v>
      </c>
      <c r="E3891" s="5" t="s">
        <v>32</v>
      </c>
      <c r="F3891" s="3" t="s">
        <v>7431</v>
      </c>
      <c r="G3891" s="3" t="s">
        <v>34</v>
      </c>
      <c r="H3891" s="2" t="s">
        <v>22</v>
      </c>
      <c r="I3891" s="2" t="s">
        <v>8813</v>
      </c>
      <c r="J3891" s="3" t="str">
        <f>HYPERLINK("https://www.boe.es/gazeta/dias/1834/04/23/pdfs/GMD-C-1834-62.pdf#page=1","Abrir facsímil")</f>
        <v>Abrir facsímil</v>
      </c>
      <c r="K3891" s="3" t="s">
        <v>24</v>
      </c>
    </row>
    <row r="3892" spans="1:11" ht="54" customHeight="1">
      <c r="A3892" s="2" t="s">
        <v>8814</v>
      </c>
      <c r="B3892" s="2" t="s">
        <v>8815</v>
      </c>
      <c r="C3892" s="2" t="s">
        <v>17</v>
      </c>
      <c r="D3892" s="2" t="s">
        <v>40</v>
      </c>
      <c r="E3892" s="5" t="s">
        <v>258</v>
      </c>
      <c r="F3892" s="3" t="s">
        <v>259</v>
      </c>
      <c r="G3892" s="3" t="s">
        <v>21</v>
      </c>
      <c r="H3892" s="2" t="s">
        <v>22</v>
      </c>
      <c r="I3892" s="2" t="s">
        <v>8816</v>
      </c>
      <c r="J3892" s="3" t="str">
        <f>HYPERLINK("https://www.boe.es/gazeta/dias/1834/10/09/pdfs/GMD-C-1834-237.pdf#page=3","Abrir facsímil")</f>
        <v>Abrir facsímil</v>
      </c>
      <c r="K3892" s="3" t="s">
        <v>24</v>
      </c>
    </row>
    <row r="3893" spans="1:11" ht="54" customHeight="1">
      <c r="A3893" s="2" t="s">
        <v>8817</v>
      </c>
      <c r="B3893" s="2" t="s">
        <v>8818</v>
      </c>
      <c r="C3893" s="2" t="s">
        <v>46</v>
      </c>
      <c r="D3893" s="2" t="s">
        <v>101</v>
      </c>
      <c r="E3893" s="5" t="s">
        <v>255</v>
      </c>
      <c r="F3893" s="3" t="s">
        <v>256</v>
      </c>
      <c r="G3893" s="3" t="s">
        <v>34</v>
      </c>
      <c r="H3893" s="2" t="s">
        <v>22</v>
      </c>
      <c r="I3893" s="2" t="s">
        <v>8819</v>
      </c>
      <c r="J3893" s="3" t="str">
        <f>HYPERLINK("https://www.boe.es/gazeta/dias/1834/09/01/pdfs/GMD-C-1834-199.pdf#page=1","Abrir facsímil")</f>
        <v>Abrir facsímil</v>
      </c>
      <c r="K3893" s="3" t="s">
        <v>24</v>
      </c>
    </row>
    <row r="3894" spans="1:11" ht="54" customHeight="1">
      <c r="A3894" s="2" t="s">
        <v>8817</v>
      </c>
      <c r="B3894" s="2" t="s">
        <v>8818</v>
      </c>
      <c r="C3894" s="2" t="s">
        <v>17</v>
      </c>
      <c r="D3894" s="2" t="s">
        <v>18</v>
      </c>
      <c r="E3894" s="5" t="s">
        <v>255</v>
      </c>
      <c r="F3894" s="3" t="s">
        <v>256</v>
      </c>
      <c r="G3894" s="3" t="s">
        <v>86</v>
      </c>
      <c r="H3894" s="2" t="s">
        <v>22</v>
      </c>
      <c r="I3894" s="2" t="s">
        <v>8820</v>
      </c>
      <c r="J3894" s="3" t="str">
        <f>HYPERLINK("https://www.boe.es/gazeta/dias/1834/09/01/pdfs/GMD-C-1834-199.pdf#page=2","Abrir facsímil")</f>
        <v>Abrir facsímil</v>
      </c>
      <c r="K3894" s="3" t="s">
        <v>24</v>
      </c>
    </row>
    <row r="3895" spans="1:11" ht="54" customHeight="1">
      <c r="A3895" s="2" t="s">
        <v>8821</v>
      </c>
      <c r="B3895" s="2" t="s">
        <v>8822</v>
      </c>
      <c r="C3895" s="2" t="s">
        <v>17</v>
      </c>
      <c r="D3895" s="2" t="s">
        <v>18</v>
      </c>
      <c r="E3895" s="5" t="s">
        <v>73</v>
      </c>
      <c r="F3895" s="3" t="s">
        <v>1416</v>
      </c>
      <c r="G3895" s="3" t="s">
        <v>34</v>
      </c>
      <c r="H3895" s="2" t="s">
        <v>22</v>
      </c>
      <c r="I3895" s="2" t="s">
        <v>8823</v>
      </c>
      <c r="J3895" s="3" t="str">
        <f>HYPERLINK("https://www.boe.es/gazeta/dias/1834/11/04/pdfs/GMD-C-1834-263.pdf#page=1","Abrir facsímil")</f>
        <v>Abrir facsímil</v>
      </c>
      <c r="K3895" s="3" t="s">
        <v>24</v>
      </c>
    </row>
    <row r="3896" spans="1:11" ht="54" customHeight="1">
      <c r="A3896" s="2" t="s">
        <v>8824</v>
      </c>
      <c r="B3896" s="2" t="s">
        <v>8825</v>
      </c>
      <c r="C3896" s="2" t="s">
        <v>17</v>
      </c>
      <c r="D3896" s="2" t="s">
        <v>18</v>
      </c>
      <c r="E3896" s="5" t="s">
        <v>258</v>
      </c>
      <c r="F3896" s="3" t="s">
        <v>1075</v>
      </c>
      <c r="G3896" s="3" t="s">
        <v>86</v>
      </c>
      <c r="H3896" s="2" t="s">
        <v>22</v>
      </c>
      <c r="I3896" s="2" t="s">
        <v>8826</v>
      </c>
      <c r="J3896" s="3" t="str">
        <f>HYPERLINK("https://www.boe.es/gazeta/dias/1834/10/09/pdfs/GMD-1834-237.pdf#page=2","Abrir facsímil")</f>
        <v>Abrir facsímil</v>
      </c>
      <c r="K3896" s="3" t="s">
        <v>24</v>
      </c>
    </row>
    <row r="3897" spans="1:11" ht="54" customHeight="1">
      <c r="A3897" s="2" t="s">
        <v>8827</v>
      </c>
      <c r="B3897" s="2" t="s">
        <v>8828</v>
      </c>
      <c r="C3897" s="2" t="s">
        <v>17</v>
      </c>
      <c r="D3897" s="2" t="s">
        <v>55</v>
      </c>
      <c r="E3897" s="5" t="s">
        <v>433</v>
      </c>
      <c r="F3897" s="3" t="s">
        <v>434</v>
      </c>
      <c r="G3897" s="3" t="s">
        <v>86</v>
      </c>
      <c r="H3897" s="2" t="s">
        <v>22</v>
      </c>
      <c r="I3897" s="2" t="s">
        <v>8829</v>
      </c>
      <c r="J3897" s="3" t="str">
        <f>HYPERLINK("https://www.boe.es/gazeta/dias/1834/10/07/pdfs/GMD-C-1834-235.pdf#page=2","Abrir facsímil")</f>
        <v>Abrir facsímil</v>
      </c>
      <c r="K3897" s="3" t="s">
        <v>24</v>
      </c>
    </row>
    <row r="3898" spans="1:11" ht="54" customHeight="1">
      <c r="A3898" s="2" t="s">
        <v>8830</v>
      </c>
      <c r="B3898" s="2" t="s">
        <v>8831</v>
      </c>
      <c r="C3898" s="2" t="s">
        <v>46</v>
      </c>
      <c r="D3898" s="2" t="s">
        <v>101</v>
      </c>
      <c r="E3898" s="5" t="s">
        <v>479</v>
      </c>
      <c r="F3898" s="3" t="s">
        <v>2258</v>
      </c>
      <c r="G3898" s="3" t="s">
        <v>75</v>
      </c>
      <c r="H3898" s="2" t="s">
        <v>22</v>
      </c>
      <c r="I3898" s="2" t="s">
        <v>8832</v>
      </c>
      <c r="J3898" s="3" t="str">
        <f>HYPERLINK("https://www.boe.es/gazeta/dias/1834/08/13/pdfs/GMD-C-1834-178.pdf#page=4","Abrir facsímil")</f>
        <v>Abrir facsímil</v>
      </c>
      <c r="K3898" s="3" t="s">
        <v>24</v>
      </c>
    </row>
    <row r="3899" spans="1:11" ht="54" customHeight="1">
      <c r="A3899" s="2" t="s">
        <v>8833</v>
      </c>
      <c r="B3899" s="2" t="s">
        <v>8834</v>
      </c>
      <c r="C3899" s="2" t="s">
        <v>17</v>
      </c>
      <c r="D3899" s="2" t="s">
        <v>18</v>
      </c>
      <c r="E3899" s="5" t="s">
        <v>309</v>
      </c>
      <c r="F3899" s="3" t="s">
        <v>310</v>
      </c>
      <c r="G3899" s="3" t="s">
        <v>34</v>
      </c>
      <c r="H3899" s="2" t="s">
        <v>22</v>
      </c>
      <c r="I3899" s="2" t="s">
        <v>8835</v>
      </c>
      <c r="J3899" s="3" t="str">
        <f>HYPERLINK("https://www.boe.es/gazeta/dias/1834/05/30/pdfs/GMD-1834-99.pdf#page=1","Abrir facsímil")</f>
        <v>Abrir facsímil</v>
      </c>
      <c r="K3899" s="3" t="s">
        <v>24</v>
      </c>
    </row>
    <row r="3900" spans="1:11" ht="54" customHeight="1">
      <c r="A3900" s="2" t="s">
        <v>8836</v>
      </c>
      <c r="B3900" s="2" t="s">
        <v>8837</v>
      </c>
      <c r="C3900" s="2" t="s">
        <v>17</v>
      </c>
      <c r="D3900" s="2" t="s">
        <v>18</v>
      </c>
      <c r="E3900" s="5" t="s">
        <v>479</v>
      </c>
      <c r="F3900" s="3" t="s">
        <v>2258</v>
      </c>
      <c r="G3900" s="3" t="s">
        <v>75</v>
      </c>
      <c r="H3900" s="2" t="s">
        <v>35</v>
      </c>
      <c r="I3900" s="2" t="s">
        <v>8838</v>
      </c>
      <c r="J3900" s="3" t="str">
        <f>HYPERLINK("https://www.boe.es/gazeta/dias/1834/08/13/pdfs/GMD-C-1834-178.pdf#page=4","Abrir facsímil")</f>
        <v>Abrir facsímil</v>
      </c>
      <c r="K3900" s="3" t="s">
        <v>37</v>
      </c>
    </row>
    <row r="3901" spans="1:11" ht="54" customHeight="1">
      <c r="A3901" s="2" t="s">
        <v>8839</v>
      </c>
      <c r="B3901" s="2" t="s">
        <v>8840</v>
      </c>
      <c r="C3901" s="2" t="s">
        <v>66</v>
      </c>
      <c r="D3901" s="2" t="s">
        <v>67</v>
      </c>
      <c r="E3901" s="5" t="s">
        <v>32</v>
      </c>
      <c r="F3901" s="3" t="s">
        <v>7431</v>
      </c>
      <c r="G3901" s="3" t="s">
        <v>34</v>
      </c>
      <c r="H3901" s="2" t="s">
        <v>35</v>
      </c>
      <c r="I3901" s="2" t="s">
        <v>8841</v>
      </c>
      <c r="J3901" s="3" t="str">
        <f>HYPERLINK("https://www.boe.es/gazeta/dias/1834/04/23/pdfs/GMD-C-1834-62.pdf#page=1","Abrir facsímil")</f>
        <v>Abrir facsímil</v>
      </c>
      <c r="K3901" s="3" t="s">
        <v>37</v>
      </c>
    </row>
    <row r="3902" spans="1:11" ht="54" customHeight="1">
      <c r="A3902" s="2" t="s">
        <v>8842</v>
      </c>
      <c r="B3902" s="2" t="s">
        <v>8843</v>
      </c>
      <c r="C3902" s="2" t="s">
        <v>46</v>
      </c>
      <c r="D3902" s="2" t="s">
        <v>101</v>
      </c>
      <c r="E3902" s="5" t="s">
        <v>255</v>
      </c>
      <c r="F3902" s="3" t="s">
        <v>256</v>
      </c>
      <c r="G3902" s="3" t="s">
        <v>34</v>
      </c>
      <c r="H3902" s="2" t="s">
        <v>35</v>
      </c>
      <c r="I3902" s="2" t="s">
        <v>8844</v>
      </c>
      <c r="J3902" s="3" t="str">
        <f>HYPERLINK("https://www.boe.es/gazeta/dias/1834/09/01/pdfs/GMD-C-1834-199.pdf#page=1","Abrir facsímil")</f>
        <v>Abrir facsímil</v>
      </c>
      <c r="K3902" s="3" t="s">
        <v>37</v>
      </c>
    </row>
    <row r="3903" spans="1:11" ht="54" customHeight="1">
      <c r="A3903" s="2" t="s">
        <v>8845</v>
      </c>
      <c r="B3903" s="2" t="s">
        <v>8846</v>
      </c>
      <c r="C3903" s="2" t="s">
        <v>17</v>
      </c>
      <c r="D3903" s="2" t="s">
        <v>18</v>
      </c>
      <c r="E3903" s="5" t="s">
        <v>2098</v>
      </c>
      <c r="F3903" s="3" t="s">
        <v>2099</v>
      </c>
      <c r="G3903" s="3" t="s">
        <v>75</v>
      </c>
      <c r="H3903" s="2" t="s">
        <v>22</v>
      </c>
      <c r="I3903" s="2" t="s">
        <v>8847</v>
      </c>
      <c r="J3903" s="3" t="str">
        <f>HYPERLINK("https://www.boe.es/gazeta/dias/1834/08/11/pdfs/GMD-1834-176.pdf#page=4","Abrir facsímil")</f>
        <v>Abrir facsímil</v>
      </c>
      <c r="K3903" s="3" t="s">
        <v>24</v>
      </c>
    </row>
    <row r="3904" spans="1:11" ht="54" customHeight="1">
      <c r="A3904" s="2" t="s">
        <v>8848</v>
      </c>
      <c r="B3904" s="2" t="s">
        <v>8849</v>
      </c>
      <c r="C3904" s="2" t="s">
        <v>17</v>
      </c>
      <c r="D3904" s="2" t="s">
        <v>18</v>
      </c>
      <c r="E3904" s="5" t="s">
        <v>571</v>
      </c>
      <c r="F3904" s="3" t="s">
        <v>620</v>
      </c>
      <c r="G3904" s="3" t="s">
        <v>176</v>
      </c>
      <c r="H3904" s="2" t="s">
        <v>22</v>
      </c>
      <c r="I3904" s="2" t="s">
        <v>8850</v>
      </c>
      <c r="J3904" s="3" t="str">
        <f>HYPERLINK("https://www.boe.es/gazeta/dias/1834/09/04/pdfs/GMD-C-1834-202.pdf#page=6","Abrir facsímil")</f>
        <v>Abrir facsímil</v>
      </c>
      <c r="K3904" s="3" t="s">
        <v>24</v>
      </c>
    </row>
    <row r="3905" spans="1:11" ht="54" customHeight="1">
      <c r="A3905" s="2" t="s">
        <v>8848</v>
      </c>
      <c r="B3905" s="2" t="s">
        <v>8849</v>
      </c>
      <c r="C3905" s="2" t="s">
        <v>90</v>
      </c>
      <c r="D3905" s="2" t="s">
        <v>18</v>
      </c>
      <c r="E3905" s="5" t="s">
        <v>762</v>
      </c>
      <c r="F3905" s="3" t="s">
        <v>763</v>
      </c>
      <c r="G3905" s="3" t="s">
        <v>34</v>
      </c>
      <c r="H3905" s="2" t="s">
        <v>22</v>
      </c>
      <c r="I3905" s="2" t="s">
        <v>8851</v>
      </c>
      <c r="J3905" s="3" t="str">
        <f>HYPERLINK("https://www.boe.es/gazeta/dias/1834/11/07/pdfs/GMD-1834-266.pdf#page=1","Abrir facsímil")</f>
        <v>Abrir facsímil</v>
      </c>
      <c r="K3905" s="3" t="s">
        <v>24</v>
      </c>
    </row>
    <row r="3906" spans="1:11" ht="54" customHeight="1">
      <c r="A3906" s="2" t="s">
        <v>8852</v>
      </c>
      <c r="B3906" s="2" t="s">
        <v>8853</v>
      </c>
      <c r="C3906" s="2" t="s">
        <v>17</v>
      </c>
      <c r="D3906" s="2" t="s">
        <v>18</v>
      </c>
      <c r="E3906" s="5" t="s">
        <v>433</v>
      </c>
      <c r="F3906" s="3" t="s">
        <v>434</v>
      </c>
      <c r="G3906" s="3" t="s">
        <v>34</v>
      </c>
      <c r="H3906" s="2" t="s">
        <v>35</v>
      </c>
      <c r="I3906" s="2" t="s">
        <v>8854</v>
      </c>
      <c r="J3906" s="3" t="str">
        <f>HYPERLINK("https://www.boe.es/gazeta/dias/1834/10/07/pdfs/GMD-C-1834-235.pdf#page=1","Abrir facsímil")</f>
        <v>Abrir facsímil</v>
      </c>
      <c r="K3906" s="3" t="s">
        <v>37</v>
      </c>
    </row>
    <row r="3907" spans="1:11" ht="54" customHeight="1">
      <c r="A3907" s="2" t="s">
        <v>8855</v>
      </c>
      <c r="B3907" s="2" t="s">
        <v>8856</v>
      </c>
      <c r="C3907" s="2" t="s">
        <v>66</v>
      </c>
      <c r="D3907" s="2" t="s">
        <v>67</v>
      </c>
      <c r="E3907" s="5" t="s">
        <v>1572</v>
      </c>
      <c r="F3907" s="3" t="s">
        <v>1573</v>
      </c>
      <c r="G3907" s="3" t="s">
        <v>21</v>
      </c>
      <c r="H3907" s="2" t="s">
        <v>35</v>
      </c>
      <c r="I3907" s="2" t="s">
        <v>8857</v>
      </c>
      <c r="J3907" s="3" t="str">
        <f>HYPERLINK("https://www.boe.es/gazeta/dias/1834/03/20/pdfs/GMD-1834-35.pdf#page=3","Abrir facsímil")</f>
        <v>Abrir facsímil</v>
      </c>
      <c r="K3907" s="3" t="s">
        <v>37</v>
      </c>
    </row>
    <row r="3908" spans="1:11" ht="54" customHeight="1">
      <c r="A3908" s="2" t="s">
        <v>8858</v>
      </c>
      <c r="B3908" s="2" t="s">
        <v>8859</v>
      </c>
      <c r="C3908" s="2" t="s">
        <v>17</v>
      </c>
      <c r="D3908" s="2" t="s">
        <v>18</v>
      </c>
      <c r="E3908" s="5" t="s">
        <v>860</v>
      </c>
      <c r="F3908" s="3" t="s">
        <v>861</v>
      </c>
      <c r="G3908" s="3" t="s">
        <v>21</v>
      </c>
      <c r="H3908" s="2" t="s">
        <v>22</v>
      </c>
      <c r="I3908" s="2" t="s">
        <v>8860</v>
      </c>
      <c r="J3908" s="3" t="str">
        <f>HYPERLINK("https://www.boe.es/gazeta/dias/1834/02/08/pdfs/GMD-1834-18.pdf#page=3","Abrir facsímil")</f>
        <v>Abrir facsímil</v>
      </c>
      <c r="K3908" s="3" t="s">
        <v>24</v>
      </c>
    </row>
    <row r="3909" spans="1:11" ht="54" customHeight="1">
      <c r="A3909" s="2" t="s">
        <v>8858</v>
      </c>
      <c r="B3909" s="2" t="s">
        <v>8859</v>
      </c>
      <c r="C3909" s="2" t="s">
        <v>66</v>
      </c>
      <c r="D3909" s="2" t="s">
        <v>67</v>
      </c>
      <c r="E3909" s="5" t="s">
        <v>1572</v>
      </c>
      <c r="F3909" s="3" t="s">
        <v>1573</v>
      </c>
      <c r="G3909" s="3" t="s">
        <v>21</v>
      </c>
      <c r="H3909" s="2" t="s">
        <v>22</v>
      </c>
      <c r="I3909" s="2" t="s">
        <v>8861</v>
      </c>
      <c r="J3909" s="3" t="str">
        <f>HYPERLINK("https://www.boe.es/gazeta/dias/1834/03/20/pdfs/GMD-1834-35.pdf#page=3","Abrir facsímil")</f>
        <v>Abrir facsímil</v>
      </c>
      <c r="K3909" s="3" t="s">
        <v>24</v>
      </c>
    </row>
    <row r="3910" spans="1:11" ht="54" customHeight="1">
      <c r="A3910" s="2" t="s">
        <v>8862</v>
      </c>
      <c r="B3910" s="2" t="s">
        <v>8863</v>
      </c>
      <c r="C3910" s="2" t="s">
        <v>17</v>
      </c>
      <c r="D3910" s="2" t="s">
        <v>18</v>
      </c>
      <c r="E3910" s="5" t="s">
        <v>479</v>
      </c>
      <c r="F3910" s="3" t="s">
        <v>2258</v>
      </c>
      <c r="G3910" s="3" t="s">
        <v>86</v>
      </c>
      <c r="H3910" s="2" t="s">
        <v>22</v>
      </c>
      <c r="I3910" s="2" t="s">
        <v>8864</v>
      </c>
      <c r="J3910" s="3" t="str">
        <f>HYPERLINK("https://www.boe.es/gazeta/dias/1834/08/13/pdfs/GMD-C-1834-178.pdf#page=2","Abrir facsímil")</f>
        <v>Abrir facsímil</v>
      </c>
      <c r="K3910" s="3" t="s">
        <v>24</v>
      </c>
    </row>
    <row r="3911" spans="1:11" ht="54" customHeight="1">
      <c r="A3911" s="2" t="s">
        <v>8862</v>
      </c>
      <c r="B3911" s="2" t="s">
        <v>8863</v>
      </c>
      <c r="C3911" s="2" t="s">
        <v>17</v>
      </c>
      <c r="D3911" s="2" t="s">
        <v>18</v>
      </c>
      <c r="E3911" s="5" t="s">
        <v>777</v>
      </c>
      <c r="F3911" s="3" t="s">
        <v>778</v>
      </c>
      <c r="G3911" s="3" t="s">
        <v>34</v>
      </c>
      <c r="H3911" s="2" t="s">
        <v>22</v>
      </c>
      <c r="I3911" s="2" t="s">
        <v>8865</v>
      </c>
      <c r="J3911" s="3" t="str">
        <f>HYPERLINK("https://www.boe.es/gazeta/dias/1834/10/29/pdfs/GMD-1834-257.pdf#page=1","Abrir facsímil")</f>
        <v>Abrir facsímil</v>
      </c>
      <c r="K3911" s="3" t="s">
        <v>24</v>
      </c>
    </row>
    <row r="3912" spans="1:11" ht="54" customHeight="1">
      <c r="A3912" s="2" t="s">
        <v>8866</v>
      </c>
      <c r="B3912" s="2" t="s">
        <v>8867</v>
      </c>
      <c r="C3912" s="2" t="s">
        <v>17</v>
      </c>
      <c r="D3912" s="2" t="s">
        <v>18</v>
      </c>
      <c r="E3912" s="5" t="s">
        <v>479</v>
      </c>
      <c r="F3912" s="3" t="s">
        <v>2258</v>
      </c>
      <c r="G3912" s="3" t="s">
        <v>86</v>
      </c>
      <c r="H3912" s="2" t="s">
        <v>35</v>
      </c>
      <c r="I3912" s="2" t="s">
        <v>8868</v>
      </c>
      <c r="J3912" s="3" t="str">
        <f>HYPERLINK("https://www.boe.es/gazeta/dias/1834/08/13/pdfs/GMD-C-1834-178.pdf#page=2","Abrir facsímil")</f>
        <v>Abrir facsímil</v>
      </c>
      <c r="K3912" s="3" t="s">
        <v>37</v>
      </c>
    </row>
    <row r="3913" spans="1:11" ht="54" customHeight="1">
      <c r="A3913" s="2" t="s">
        <v>8869</v>
      </c>
      <c r="B3913" s="2" t="s">
        <v>8870</v>
      </c>
      <c r="C3913" s="2" t="s">
        <v>17</v>
      </c>
      <c r="D3913" s="2" t="s">
        <v>18</v>
      </c>
      <c r="E3913" s="5" t="s">
        <v>777</v>
      </c>
      <c r="F3913" s="3" t="s">
        <v>778</v>
      </c>
      <c r="G3913" s="3" t="s">
        <v>34</v>
      </c>
      <c r="H3913" s="2" t="s">
        <v>22</v>
      </c>
      <c r="I3913" s="2" t="s">
        <v>8871</v>
      </c>
      <c r="J3913" s="3" t="str">
        <f>HYPERLINK("https://www.boe.es/gazeta/dias/1834/10/29/pdfs/GMD-1834-257.pdf#page=1","Abrir facsímil")</f>
        <v>Abrir facsímil</v>
      </c>
      <c r="K3913" s="3" t="s">
        <v>24</v>
      </c>
    </row>
    <row r="3914" spans="1:11" ht="54" customHeight="1">
      <c r="A3914" s="2" t="s">
        <v>8872</v>
      </c>
      <c r="B3914" s="2" t="s">
        <v>8873</v>
      </c>
      <c r="C3914" s="2" t="s">
        <v>17</v>
      </c>
      <c r="D3914" s="2" t="s">
        <v>40</v>
      </c>
      <c r="E3914" s="5" t="s">
        <v>1683</v>
      </c>
      <c r="F3914" s="3" t="s">
        <v>1684</v>
      </c>
      <c r="G3914" s="3" t="s">
        <v>75</v>
      </c>
      <c r="H3914" s="2" t="s">
        <v>22</v>
      </c>
      <c r="I3914" s="2" t="s">
        <v>8874</v>
      </c>
      <c r="J3914" s="3" t="str">
        <f>HYPERLINK("https://www.boe.es/gazeta/dias/1834/06/27/pdfs/GMD-1834-130.pdf#page=4","Abrir facsímil")</f>
        <v>Abrir facsímil</v>
      </c>
      <c r="K3914" s="3" t="s">
        <v>24</v>
      </c>
    </row>
    <row r="3915" spans="1:11" ht="54" customHeight="1">
      <c r="A3915" s="2" t="s">
        <v>8875</v>
      </c>
      <c r="B3915" s="2" t="s">
        <v>8876</v>
      </c>
      <c r="C3915" s="2" t="s">
        <v>90</v>
      </c>
      <c r="D3915" s="2" t="s">
        <v>67</v>
      </c>
      <c r="E3915" s="5" t="s">
        <v>1025</v>
      </c>
      <c r="F3915" s="3" t="s">
        <v>1026</v>
      </c>
      <c r="G3915" s="3" t="s">
        <v>34</v>
      </c>
      <c r="H3915" s="2" t="s">
        <v>22</v>
      </c>
      <c r="I3915" s="2" t="s">
        <v>8877</v>
      </c>
      <c r="J3915" s="3" t="str">
        <f>HYPERLINK("https://www.boe.es/gazeta/dias/1834/03/01/pdfs/GMD-1834-27.pdf#page=1","Abrir facsímil")</f>
        <v>Abrir facsímil</v>
      </c>
      <c r="K3915" s="3" t="s">
        <v>24</v>
      </c>
    </row>
    <row r="3916" spans="1:11" ht="54" customHeight="1">
      <c r="A3916" s="2" t="s">
        <v>8878</v>
      </c>
      <c r="B3916" s="2" t="s">
        <v>8879</v>
      </c>
      <c r="C3916" s="2" t="s">
        <v>17</v>
      </c>
      <c r="D3916" s="2" t="s">
        <v>55</v>
      </c>
      <c r="E3916" s="5" t="s">
        <v>158</v>
      </c>
      <c r="F3916" s="3" t="s">
        <v>159</v>
      </c>
      <c r="G3916" s="3" t="s">
        <v>21</v>
      </c>
      <c r="H3916" s="2" t="s">
        <v>35</v>
      </c>
      <c r="I3916" s="2" t="s">
        <v>8880</v>
      </c>
      <c r="J3916" s="3" t="str">
        <f>HYPERLINK("https://www.boe.es/gazeta/dias/1834/10/01/pdfs/GMD-1834-229.pdf#page=3","Abrir facsímil")</f>
        <v>Abrir facsímil</v>
      </c>
      <c r="K3916" s="3" t="s">
        <v>37</v>
      </c>
    </row>
    <row r="3917" spans="1:11" ht="54" customHeight="1">
      <c r="A3917" s="2" t="s">
        <v>8881</v>
      </c>
      <c r="B3917" s="2" t="s">
        <v>8882</v>
      </c>
      <c r="C3917" s="2" t="s">
        <v>66</v>
      </c>
      <c r="D3917" s="2" t="s">
        <v>67</v>
      </c>
      <c r="E3917" s="5" t="s">
        <v>793</v>
      </c>
      <c r="F3917" s="3" t="s">
        <v>794</v>
      </c>
      <c r="G3917" s="3" t="s">
        <v>86</v>
      </c>
      <c r="H3917" s="2" t="s">
        <v>22</v>
      </c>
      <c r="I3917" s="2" t="s">
        <v>8883</v>
      </c>
      <c r="J3917" s="3" t="str">
        <f>HYPERLINK("https://www.boe.es/gazeta/dias/1834/10/08/pdfs/GMD-1834-236.pdf#page=2","Abrir facsímil")</f>
        <v>Abrir facsímil</v>
      </c>
      <c r="K3917" s="3" t="s">
        <v>24</v>
      </c>
    </row>
    <row r="3918" spans="1:11" ht="54" customHeight="1">
      <c r="A3918" s="2" t="s">
        <v>8881</v>
      </c>
      <c r="B3918" s="2" t="s">
        <v>8882</v>
      </c>
      <c r="C3918" s="2" t="s">
        <v>17</v>
      </c>
      <c r="D3918" s="2" t="s">
        <v>55</v>
      </c>
      <c r="E3918" s="5" t="s">
        <v>334</v>
      </c>
      <c r="F3918" s="3" t="s">
        <v>567</v>
      </c>
      <c r="G3918" s="3" t="s">
        <v>21</v>
      </c>
      <c r="H3918" s="2" t="s">
        <v>22</v>
      </c>
      <c r="I3918" s="2" t="s">
        <v>8884</v>
      </c>
      <c r="J3918" s="3" t="str">
        <f>HYPERLINK("https://www.boe.es/gazeta/dias/1834/09/11/pdfs/GMD-1834-209.pdf#page=3","Abrir facsímil")</f>
        <v>Abrir facsímil</v>
      </c>
      <c r="K3918" s="3" t="s">
        <v>24</v>
      </c>
    </row>
    <row r="3919" spans="1:11" ht="54" customHeight="1">
      <c r="A3919" s="2" t="s">
        <v>8881</v>
      </c>
      <c r="B3919" s="2" t="s">
        <v>8882</v>
      </c>
      <c r="C3919" s="2" t="s">
        <v>17</v>
      </c>
      <c r="D3919" s="2" t="s">
        <v>18</v>
      </c>
      <c r="E3919" s="5" t="s">
        <v>454</v>
      </c>
      <c r="F3919" s="3" t="s">
        <v>2009</v>
      </c>
      <c r="G3919" s="3" t="s">
        <v>86</v>
      </c>
      <c r="H3919" s="2" t="s">
        <v>22</v>
      </c>
      <c r="I3919" s="2" t="s">
        <v>8885</v>
      </c>
      <c r="J3919" s="3" t="str">
        <f>HYPERLINK("https://www.boe.es/gazeta/dias/1834/10/16/pdfs/GMD-1834-244.pdf#page=2","Abrir facsímil")</f>
        <v>Abrir facsímil</v>
      </c>
      <c r="K3919" s="3" t="s">
        <v>24</v>
      </c>
    </row>
    <row r="3920" spans="1:11" ht="54" customHeight="1">
      <c r="A3920" s="2" t="s">
        <v>8881</v>
      </c>
      <c r="B3920" s="2" t="s">
        <v>8882</v>
      </c>
      <c r="C3920" s="2" t="s">
        <v>17</v>
      </c>
      <c r="D3920" s="2" t="s">
        <v>18</v>
      </c>
      <c r="E3920" s="5" t="s">
        <v>1812</v>
      </c>
      <c r="F3920" s="3" t="s">
        <v>1813</v>
      </c>
      <c r="G3920" s="3" t="s">
        <v>21</v>
      </c>
      <c r="H3920" s="2" t="s">
        <v>22</v>
      </c>
      <c r="I3920" s="2" t="s">
        <v>8886</v>
      </c>
      <c r="J3920" s="3" t="str">
        <f>HYPERLINK("https://www.boe.es/gazeta/dias/1834/10/23/pdfs/GMD-1834-251.pdf#page=3","Abrir facsímil")</f>
        <v>Abrir facsímil</v>
      </c>
      <c r="K3920" s="3" t="s">
        <v>24</v>
      </c>
    </row>
    <row r="3921" spans="1:11" ht="54" customHeight="1">
      <c r="A3921" s="2" t="s">
        <v>8881</v>
      </c>
      <c r="B3921" s="2" t="s">
        <v>8882</v>
      </c>
      <c r="C3921" s="2" t="s">
        <v>17</v>
      </c>
      <c r="D3921" s="2" t="s">
        <v>18</v>
      </c>
      <c r="E3921" s="5" t="s">
        <v>633</v>
      </c>
      <c r="F3921" s="3" t="s">
        <v>634</v>
      </c>
      <c r="G3921" s="3" t="s">
        <v>86</v>
      </c>
      <c r="H3921" s="2" t="s">
        <v>22</v>
      </c>
      <c r="I3921" s="2" t="s">
        <v>8887</v>
      </c>
      <c r="J3921" s="3" t="str">
        <f>HYPERLINK("https://www.boe.es/gazeta/dias/1834/10/24/pdfs/GMD-1834-252.pdf#page=2","Abrir facsímil")</f>
        <v>Abrir facsímil</v>
      </c>
      <c r="K3921" s="3" t="s">
        <v>24</v>
      </c>
    </row>
    <row r="3922" spans="1:11" ht="54" customHeight="1">
      <c r="A3922" s="2" t="s">
        <v>8881</v>
      </c>
      <c r="B3922" s="2" t="s">
        <v>8882</v>
      </c>
      <c r="C3922" s="2" t="s">
        <v>66</v>
      </c>
      <c r="D3922" s="2" t="s">
        <v>67</v>
      </c>
      <c r="E3922" s="5" t="s">
        <v>403</v>
      </c>
      <c r="F3922" s="3" t="s">
        <v>3456</v>
      </c>
      <c r="G3922" s="3" t="s">
        <v>86</v>
      </c>
      <c r="H3922" s="2" t="s">
        <v>22</v>
      </c>
      <c r="I3922" s="2" t="s">
        <v>8888</v>
      </c>
      <c r="J3922" s="3" t="str">
        <f>HYPERLINK("https://www.boe.es/gazeta/dias/1834/09/25/pdfs/GMD-1834-223.pdf#page=2","Abrir facsímil")</f>
        <v>Abrir facsímil</v>
      </c>
      <c r="K3922" s="3" t="s">
        <v>24</v>
      </c>
    </row>
    <row r="3923" spans="1:11" ht="54" customHeight="1">
      <c r="A3923" s="2" t="s">
        <v>8889</v>
      </c>
      <c r="B3923" s="2" t="s">
        <v>8890</v>
      </c>
      <c r="C3923" s="2" t="s">
        <v>46</v>
      </c>
      <c r="D3923" s="2" t="s">
        <v>18</v>
      </c>
      <c r="E3923" s="5" t="s">
        <v>1002</v>
      </c>
      <c r="F3923" s="3" t="s">
        <v>1003</v>
      </c>
      <c r="G3923" s="3" t="s">
        <v>21</v>
      </c>
      <c r="H3923" s="2" t="s">
        <v>22</v>
      </c>
      <c r="I3923" s="2" t="s">
        <v>8891</v>
      </c>
      <c r="J3923" s="3" t="str">
        <f>HYPERLINK("https://www.boe.es/gazeta/dias/1834/06/26/pdfs/GMD-1834-129.pdf#page=3","Abrir facsímil")</f>
        <v>Abrir facsímil</v>
      </c>
      <c r="K3923" s="3" t="s">
        <v>24</v>
      </c>
    </row>
    <row r="3924" spans="1:11" ht="54" customHeight="1">
      <c r="A3924" s="2" t="s">
        <v>8892</v>
      </c>
      <c r="B3924" s="2" t="s">
        <v>8893</v>
      </c>
      <c r="C3924" s="2" t="s">
        <v>17</v>
      </c>
      <c r="D3924" s="2" t="s">
        <v>18</v>
      </c>
      <c r="E3924" s="5" t="s">
        <v>222</v>
      </c>
      <c r="F3924" s="3" t="s">
        <v>223</v>
      </c>
      <c r="G3924" s="3" t="s">
        <v>86</v>
      </c>
      <c r="H3924" s="2" t="s">
        <v>22</v>
      </c>
      <c r="I3924" s="2" t="s">
        <v>8894</v>
      </c>
      <c r="J3924" s="3" t="str">
        <f>HYPERLINK("https://www.boe.es/gazeta/dias/1834/09/14/pdfs/GMD-1834-212.pdf#page=2","Abrir facsímil")</f>
        <v>Abrir facsímil</v>
      </c>
      <c r="K3924" s="3" t="s">
        <v>24</v>
      </c>
    </row>
    <row r="3925" spans="1:11" ht="54" customHeight="1">
      <c r="A3925" s="2" t="s">
        <v>8895</v>
      </c>
      <c r="B3925" s="2" t="s">
        <v>8896</v>
      </c>
      <c r="C3925" s="2" t="s">
        <v>66</v>
      </c>
      <c r="D3925" s="2" t="s">
        <v>18</v>
      </c>
      <c r="E3925" s="5" t="s">
        <v>286</v>
      </c>
      <c r="F3925" s="3" t="s">
        <v>287</v>
      </c>
      <c r="G3925" s="3" t="s">
        <v>21</v>
      </c>
      <c r="H3925" s="2" t="s">
        <v>22</v>
      </c>
      <c r="I3925" s="2" t="s">
        <v>8897</v>
      </c>
      <c r="J3925" s="3" t="str">
        <f>HYPERLINK("https://www.boe.es/gazeta/dias/1834/08/30/pdfs/GMD-D-1834-196.pdf#page=3","Abrir facsímil")</f>
        <v>Abrir facsímil</v>
      </c>
      <c r="K3925" s="3" t="s">
        <v>24</v>
      </c>
    </row>
    <row r="3926" spans="1:11" ht="54" customHeight="1">
      <c r="A3926" s="2" t="s">
        <v>8898</v>
      </c>
      <c r="B3926" s="2" t="s">
        <v>8899</v>
      </c>
      <c r="C3926" s="2" t="s">
        <v>17</v>
      </c>
      <c r="D3926" s="2" t="s">
        <v>55</v>
      </c>
      <c r="E3926" s="5" t="s">
        <v>158</v>
      </c>
      <c r="F3926" s="3" t="s">
        <v>159</v>
      </c>
      <c r="G3926" s="3" t="s">
        <v>21</v>
      </c>
      <c r="H3926" s="2" t="s">
        <v>22</v>
      </c>
      <c r="I3926" s="2" t="s">
        <v>8900</v>
      </c>
      <c r="J3926" s="3" t="str">
        <f>HYPERLINK("https://www.boe.es/gazeta/dias/1834/10/01/pdfs/GMD-1834-229.pdf#page=3","Abrir facsímil")</f>
        <v>Abrir facsímil</v>
      </c>
      <c r="K3926" s="3" t="s">
        <v>24</v>
      </c>
    </row>
    <row r="3927" spans="1:11" ht="54" customHeight="1">
      <c r="A3927" s="2" t="s">
        <v>8898</v>
      </c>
      <c r="B3927" s="2" t="s">
        <v>8899</v>
      </c>
      <c r="C3927" s="2" t="s">
        <v>17</v>
      </c>
      <c r="D3927" s="2" t="s">
        <v>55</v>
      </c>
      <c r="E3927" s="5" t="s">
        <v>1424</v>
      </c>
      <c r="F3927" s="3" t="s">
        <v>3445</v>
      </c>
      <c r="G3927" s="3" t="s">
        <v>21</v>
      </c>
      <c r="H3927" s="2" t="s">
        <v>22</v>
      </c>
      <c r="I3927" s="2" t="s">
        <v>8901</v>
      </c>
      <c r="J3927" s="3" t="str">
        <f>HYPERLINK("https://www.boe.es/gazeta/dias/1834/11/14/pdfs/GMD-1834-273.pdf#page=3","Abrir facsímil")</f>
        <v>Abrir facsímil</v>
      </c>
      <c r="K3927" s="3" t="s">
        <v>24</v>
      </c>
    </row>
    <row r="3928" spans="1:11" ht="54" customHeight="1">
      <c r="A3928" s="2" t="s">
        <v>8902</v>
      </c>
      <c r="B3928" s="2" t="s">
        <v>8903</v>
      </c>
      <c r="C3928" s="2" t="s">
        <v>17</v>
      </c>
      <c r="D3928" s="2" t="s">
        <v>18</v>
      </c>
      <c r="E3928" s="5" t="s">
        <v>1262</v>
      </c>
      <c r="F3928" s="3" t="s">
        <v>1263</v>
      </c>
      <c r="G3928" s="3" t="s">
        <v>21</v>
      </c>
      <c r="H3928" s="2" t="s">
        <v>22</v>
      </c>
      <c r="I3928" s="2" t="s">
        <v>8904</v>
      </c>
      <c r="J3928" s="3" t="str">
        <f>HYPERLINK("https://www.boe.es/gazeta/dias/1834/02/01/pdfs/GMD-1834-15.pdf#page=3","Abrir facsímil")</f>
        <v>Abrir facsímil</v>
      </c>
      <c r="K3928" s="3" t="s">
        <v>24</v>
      </c>
    </row>
    <row r="3929" spans="1:11" ht="54" customHeight="1">
      <c r="A3929" s="2" t="s">
        <v>8905</v>
      </c>
      <c r="B3929" s="2" t="s">
        <v>8906</v>
      </c>
      <c r="C3929" s="2" t="s">
        <v>46</v>
      </c>
      <c r="D3929" s="2" t="s">
        <v>18</v>
      </c>
      <c r="E3929" s="5" t="s">
        <v>758</v>
      </c>
      <c r="F3929" s="3" t="s">
        <v>759</v>
      </c>
      <c r="G3929" s="3" t="s">
        <v>21</v>
      </c>
      <c r="H3929" s="2" t="s">
        <v>22</v>
      </c>
      <c r="I3929" s="2" t="s">
        <v>8907</v>
      </c>
      <c r="J3929" s="3" t="str">
        <f>HYPERLINK("https://www.boe.es/gazeta/dias/1834/01/04/pdfs/GMD-1834-3.pdf#page=3","Abrir facsímil")</f>
        <v>Abrir facsímil</v>
      </c>
      <c r="K3929" s="3" t="s">
        <v>24</v>
      </c>
    </row>
    <row r="3930" spans="1:11" ht="54" customHeight="1">
      <c r="A3930" s="2" t="s">
        <v>8908</v>
      </c>
      <c r="B3930" s="2" t="s">
        <v>8909</v>
      </c>
      <c r="C3930" s="2" t="s">
        <v>857</v>
      </c>
      <c r="D3930" s="2" t="s">
        <v>67</v>
      </c>
      <c r="E3930" s="5" t="s">
        <v>863</v>
      </c>
      <c r="F3930" s="3" t="s">
        <v>864</v>
      </c>
      <c r="G3930" s="3" t="s">
        <v>86</v>
      </c>
      <c r="H3930" s="2" t="s">
        <v>22</v>
      </c>
      <c r="I3930" s="2" t="s">
        <v>8910</v>
      </c>
      <c r="J3930" s="3" t="str">
        <f>HYPERLINK("https://www.boe.es/gazeta/dias/1834/09/15/pdfs/GMD-1834-213.pdf#page=2","Abrir facsímil")</f>
        <v>Abrir facsímil</v>
      </c>
      <c r="K3930" s="3" t="s">
        <v>24</v>
      </c>
    </row>
    <row r="3931" spans="1:11" ht="54" customHeight="1">
      <c r="A3931" s="2" t="s">
        <v>8911</v>
      </c>
      <c r="B3931" s="2" t="s">
        <v>8912</v>
      </c>
      <c r="C3931" s="2" t="s">
        <v>66</v>
      </c>
      <c r="D3931" s="2" t="s">
        <v>67</v>
      </c>
      <c r="E3931" s="5" t="s">
        <v>309</v>
      </c>
      <c r="F3931" s="3" t="s">
        <v>310</v>
      </c>
      <c r="G3931" s="3" t="s">
        <v>21</v>
      </c>
      <c r="H3931" s="2" t="s">
        <v>22</v>
      </c>
      <c r="I3931" s="2" t="s">
        <v>8913</v>
      </c>
      <c r="J3931" s="3" t="str">
        <f>HYPERLINK("https://www.boe.es/gazeta/dias/1834/05/30/pdfs/GMD-1834-99.pdf#page=3","Abrir facsímil")</f>
        <v>Abrir facsímil</v>
      </c>
      <c r="K3931" s="3" t="s">
        <v>24</v>
      </c>
    </row>
    <row r="3932" spans="1:11" ht="54" customHeight="1">
      <c r="A3932" s="2" t="s">
        <v>8914</v>
      </c>
      <c r="B3932" s="2" t="s">
        <v>8915</v>
      </c>
      <c r="C3932" s="2" t="s">
        <v>122</v>
      </c>
      <c r="D3932" s="2" t="s">
        <v>18</v>
      </c>
      <c r="E3932" s="5" t="s">
        <v>1351</v>
      </c>
      <c r="F3932" s="3" t="s">
        <v>1352</v>
      </c>
      <c r="G3932" s="3" t="s">
        <v>75</v>
      </c>
      <c r="H3932" s="2" t="s">
        <v>35</v>
      </c>
      <c r="I3932" s="2" t="s">
        <v>8916</v>
      </c>
      <c r="J3932" s="3" t="str">
        <f>HYPERLINK("https://www.boe.es/gazeta/dias/1834/07/05/pdfs/GMD-1834-138.pdf#page=4","Abrir facsímil")</f>
        <v>Abrir facsímil</v>
      </c>
      <c r="K3932" s="3" t="s">
        <v>37</v>
      </c>
    </row>
    <row r="3933" spans="1:11" ht="54" customHeight="1">
      <c r="A3933" s="2" t="s">
        <v>8914</v>
      </c>
      <c r="B3933" s="2" t="s">
        <v>8915</v>
      </c>
      <c r="C3933" s="2" t="s">
        <v>90</v>
      </c>
      <c r="D3933" s="2" t="s">
        <v>18</v>
      </c>
      <c r="E3933" s="5" t="s">
        <v>153</v>
      </c>
      <c r="F3933" s="3" t="s">
        <v>154</v>
      </c>
      <c r="G3933" s="3" t="s">
        <v>34</v>
      </c>
      <c r="H3933" s="2" t="s">
        <v>35</v>
      </c>
      <c r="I3933" s="2" t="s">
        <v>8917</v>
      </c>
      <c r="J3933" s="3" t="str">
        <f>HYPERLINK("https://www.boe.es/gazeta/dias/1834/12/30/pdfs/GMD-C-1834-320.pdf#page=1","Abrir facsímil")</f>
        <v>Abrir facsímil</v>
      </c>
      <c r="K3933" s="3" t="s">
        <v>37</v>
      </c>
    </row>
    <row r="3934" spans="1:11" ht="54" customHeight="1">
      <c r="A3934" s="2" t="s">
        <v>8918</v>
      </c>
      <c r="B3934" s="2" t="s">
        <v>8919</v>
      </c>
      <c r="C3934" s="2" t="s">
        <v>122</v>
      </c>
      <c r="D3934" s="2" t="s">
        <v>18</v>
      </c>
      <c r="E3934" s="5" t="s">
        <v>1351</v>
      </c>
      <c r="F3934" s="3" t="s">
        <v>1352</v>
      </c>
      <c r="G3934" s="3" t="s">
        <v>75</v>
      </c>
      <c r="H3934" s="2" t="s">
        <v>22</v>
      </c>
      <c r="I3934" s="2" t="s">
        <v>8920</v>
      </c>
      <c r="J3934" s="3" t="str">
        <f>HYPERLINK("https://www.boe.es/gazeta/dias/1834/07/05/pdfs/GMD-1834-138.pdf#page=4","Abrir facsímil")</f>
        <v>Abrir facsímil</v>
      </c>
      <c r="K3934" s="3" t="s">
        <v>24</v>
      </c>
    </row>
    <row r="3935" spans="1:11" ht="54" customHeight="1">
      <c r="A3935" s="2" t="s">
        <v>8918</v>
      </c>
      <c r="B3935" s="2" t="s">
        <v>8919</v>
      </c>
      <c r="C3935" s="2" t="s">
        <v>90</v>
      </c>
      <c r="D3935" s="2" t="s">
        <v>18</v>
      </c>
      <c r="E3935" s="5" t="s">
        <v>153</v>
      </c>
      <c r="F3935" s="3" t="s">
        <v>154</v>
      </c>
      <c r="G3935" s="3" t="s">
        <v>34</v>
      </c>
      <c r="H3935" s="2" t="s">
        <v>22</v>
      </c>
      <c r="I3935" s="2" t="s">
        <v>8921</v>
      </c>
      <c r="J3935" s="3" t="str">
        <f>HYPERLINK("https://www.boe.es/gazeta/dias/1834/12/30/pdfs/GMD-C-1834-320.pdf#page=1","Abrir facsímil")</f>
        <v>Abrir facsímil</v>
      </c>
      <c r="K3935" s="3" t="s">
        <v>24</v>
      </c>
    </row>
    <row r="3936" spans="1:11" ht="54" customHeight="1">
      <c r="A3936" s="2" t="s">
        <v>8922</v>
      </c>
      <c r="B3936" s="2" t="s">
        <v>8923</v>
      </c>
      <c r="C3936" s="2" t="s">
        <v>66</v>
      </c>
      <c r="D3936" s="2" t="s">
        <v>67</v>
      </c>
      <c r="E3936" s="5" t="s">
        <v>465</v>
      </c>
      <c r="F3936" s="3" t="s">
        <v>466</v>
      </c>
      <c r="G3936" s="3" t="s">
        <v>34</v>
      </c>
      <c r="H3936" s="2" t="s">
        <v>22</v>
      </c>
      <c r="I3936" s="2" t="s">
        <v>8924</v>
      </c>
      <c r="J3936" s="3" t="str">
        <f>HYPERLINK("https://www.boe.es/gazeta/dias/1834/11/27/pdfs/GMD-C-1834-286.pdf#page=1","Abrir facsímil")</f>
        <v>Abrir facsímil</v>
      </c>
      <c r="K3936" s="3" t="s">
        <v>24</v>
      </c>
    </row>
    <row r="3937" spans="1:11" ht="54" customHeight="1">
      <c r="A3937" s="2" t="s">
        <v>8925</v>
      </c>
      <c r="B3937" s="2" t="s">
        <v>8926</v>
      </c>
      <c r="C3937" s="2" t="s">
        <v>66</v>
      </c>
      <c r="D3937" s="2" t="s">
        <v>67</v>
      </c>
      <c r="E3937" s="5" t="s">
        <v>2526</v>
      </c>
      <c r="F3937" s="3" t="s">
        <v>8236</v>
      </c>
      <c r="G3937" s="3" t="s">
        <v>75</v>
      </c>
      <c r="H3937" s="2" t="s">
        <v>22</v>
      </c>
      <c r="I3937" s="2" t="s">
        <v>8927</v>
      </c>
      <c r="J3937" s="3" t="str">
        <f>HYPERLINK("https://www.boe.es/gazeta/dias/1834/12/29/pdfs/GMD-1834-319.pdf#page=4","Abrir facsímil")</f>
        <v>Abrir facsímil</v>
      </c>
      <c r="K3937" s="3" t="s">
        <v>24</v>
      </c>
    </row>
    <row r="3938" spans="1:11" ht="54" customHeight="1">
      <c r="A3938" s="2" t="s">
        <v>8928</v>
      </c>
      <c r="B3938" s="2" t="s">
        <v>8929</v>
      </c>
      <c r="C3938" s="2" t="s">
        <v>17</v>
      </c>
      <c r="D3938" s="2" t="s">
        <v>18</v>
      </c>
      <c r="E3938" s="5" t="s">
        <v>283</v>
      </c>
      <c r="F3938" s="3" t="s">
        <v>284</v>
      </c>
      <c r="G3938" s="3" t="s">
        <v>176</v>
      </c>
      <c r="H3938" s="2" t="s">
        <v>22</v>
      </c>
      <c r="I3938" s="2" t="s">
        <v>8930</v>
      </c>
      <c r="J3938" s="3" t="str">
        <f>HYPERLINK("https://www.boe.es/gazeta/dias/1834/11/29/pdfs/GMD-C-1834-288.pdf#page=6","Abrir facsímil")</f>
        <v>Abrir facsímil</v>
      </c>
      <c r="K3938" s="3" t="s">
        <v>24</v>
      </c>
    </row>
    <row r="3939" spans="1:11" ht="54" customHeight="1">
      <c r="A3939" s="2" t="s">
        <v>8931</v>
      </c>
      <c r="B3939" s="2" t="s">
        <v>8932</v>
      </c>
      <c r="C3939" s="2" t="s">
        <v>46</v>
      </c>
      <c r="D3939" s="2" t="s">
        <v>101</v>
      </c>
      <c r="E3939" s="5" t="s">
        <v>1680</v>
      </c>
      <c r="F3939" s="3" t="s">
        <v>1681</v>
      </c>
      <c r="G3939" s="3" t="s">
        <v>34</v>
      </c>
      <c r="H3939" s="2" t="s">
        <v>22</v>
      </c>
      <c r="I3939" s="2" t="s">
        <v>8933</v>
      </c>
      <c r="J3939" s="3" t="str">
        <f>HYPERLINK("https://www.boe.es/gazeta/dias/1834/02/27/pdfs/GMD-1834-26.pdf#page=1","Abrir facsímil")</f>
        <v>Abrir facsímil</v>
      </c>
      <c r="K3939" s="3" t="s">
        <v>24</v>
      </c>
    </row>
    <row r="3940" spans="1:11" ht="54" customHeight="1">
      <c r="A3940" s="2" t="s">
        <v>8934</v>
      </c>
      <c r="B3940" s="2" t="s">
        <v>8935</v>
      </c>
      <c r="C3940" s="2" t="s">
        <v>17</v>
      </c>
      <c r="D3940" s="2" t="s">
        <v>18</v>
      </c>
      <c r="E3940" s="5" t="s">
        <v>912</v>
      </c>
      <c r="F3940" s="3" t="s">
        <v>913</v>
      </c>
      <c r="G3940" s="3" t="s">
        <v>28</v>
      </c>
      <c r="H3940" s="2" t="s">
        <v>22</v>
      </c>
      <c r="I3940" s="2" t="s">
        <v>8936</v>
      </c>
      <c r="J3940" s="3" t="str">
        <f>HYPERLINK("https://www.boe.es/gazeta/dias/1834/02/15/pdfs/GMD-1834-21.pdf#page=5","Abrir facsímil")</f>
        <v>Abrir facsímil</v>
      </c>
      <c r="K3940" s="3" t="s">
        <v>24</v>
      </c>
    </row>
    <row r="3941" spans="1:11" ht="54" customHeight="1">
      <c r="A3941" s="2" t="s">
        <v>8937</v>
      </c>
      <c r="B3941" s="2" t="s">
        <v>8938</v>
      </c>
      <c r="C3941" s="2" t="s">
        <v>90</v>
      </c>
      <c r="D3941" s="2" t="s">
        <v>101</v>
      </c>
      <c r="E3941" s="5" t="s">
        <v>326</v>
      </c>
      <c r="F3941" s="3" t="s">
        <v>327</v>
      </c>
      <c r="G3941" s="3" t="s">
        <v>75</v>
      </c>
      <c r="H3941" s="2" t="s">
        <v>35</v>
      </c>
      <c r="I3941" s="2" t="s">
        <v>8939</v>
      </c>
      <c r="J3941" s="3" t="str">
        <f>HYPERLINK("https://www.boe.es/gazeta/dias/1834/07/15/pdfs/GMD-1834-148.pdf#page=4","Abrir facsímil")</f>
        <v>Abrir facsímil</v>
      </c>
      <c r="K3941" s="3" t="s">
        <v>37</v>
      </c>
    </row>
    <row r="3942" spans="1:11" ht="54" customHeight="1">
      <c r="A3942" s="2" t="s">
        <v>8940</v>
      </c>
      <c r="B3942" s="2" t="s">
        <v>8941</v>
      </c>
      <c r="C3942" s="2" t="s">
        <v>17</v>
      </c>
      <c r="D3942" s="2" t="s">
        <v>40</v>
      </c>
      <c r="E3942" s="5" t="s">
        <v>4105</v>
      </c>
      <c r="F3942" s="3" t="s">
        <v>8942</v>
      </c>
      <c r="G3942" s="3" t="s">
        <v>75</v>
      </c>
      <c r="H3942" s="2" t="s">
        <v>35</v>
      </c>
      <c r="I3942" s="2" t="s">
        <v>8943</v>
      </c>
      <c r="J3942" s="3" t="str">
        <f>HYPERLINK("https://www.boe.es/gazeta/dias/1834/09/02/pdfs/GMD-1834-200.pdf#page=4","Abrir facsímil")</f>
        <v>Abrir facsímil</v>
      </c>
      <c r="K3942" s="3" t="s">
        <v>37</v>
      </c>
    </row>
    <row r="3943" spans="1:11" ht="54" customHeight="1">
      <c r="A3943" s="2" t="s">
        <v>8944</v>
      </c>
      <c r="B3943" s="2" t="s">
        <v>8945</v>
      </c>
      <c r="C3943" s="2" t="s">
        <v>17</v>
      </c>
      <c r="D3943" s="2" t="s">
        <v>18</v>
      </c>
      <c r="E3943" s="5" t="s">
        <v>1186</v>
      </c>
      <c r="F3943" s="3" t="s">
        <v>4286</v>
      </c>
      <c r="G3943" s="3" t="s">
        <v>34</v>
      </c>
      <c r="H3943" s="2" t="s">
        <v>35</v>
      </c>
      <c r="I3943" s="2" t="s">
        <v>8946</v>
      </c>
      <c r="J3943" s="3" t="str">
        <f>HYPERLINK("https://www.boe.es/gazeta/dias/1834/08/14/pdfs/GMD-C-1834-179.pdf#page=1","Abrir facsímil")</f>
        <v>Abrir facsímil</v>
      </c>
      <c r="K3943" s="3" t="s">
        <v>37</v>
      </c>
    </row>
    <row r="3944" spans="1:11" ht="54" customHeight="1">
      <c r="A3944" s="2" t="s">
        <v>8947</v>
      </c>
      <c r="B3944" s="2" t="s">
        <v>8948</v>
      </c>
      <c r="C3944" s="2" t="s">
        <v>17</v>
      </c>
      <c r="D3944" s="2" t="s">
        <v>101</v>
      </c>
      <c r="E3944" s="5" t="s">
        <v>1170</v>
      </c>
      <c r="F3944" s="3" t="s">
        <v>1171</v>
      </c>
      <c r="G3944" s="3" t="s">
        <v>176</v>
      </c>
      <c r="H3944" s="2" t="s">
        <v>22</v>
      </c>
      <c r="I3944" s="2" t="s">
        <v>8949</v>
      </c>
      <c r="J3944" s="3" t="str">
        <f>HYPERLINK("https://www.boe.es/gazeta/dias/1834/01/07/pdfs/GMD-1834-4.pdf#page=6","Abrir facsímil")</f>
        <v>Abrir facsímil</v>
      </c>
      <c r="K3944" s="3" t="s">
        <v>24</v>
      </c>
    </row>
    <row r="3945" spans="1:11" ht="54" customHeight="1">
      <c r="A3945" s="2" t="s">
        <v>8947</v>
      </c>
      <c r="B3945" s="2" t="s">
        <v>8948</v>
      </c>
      <c r="C3945" s="2" t="s">
        <v>90</v>
      </c>
      <c r="D3945" s="2" t="s">
        <v>101</v>
      </c>
      <c r="E3945" s="5" t="s">
        <v>326</v>
      </c>
      <c r="F3945" s="3" t="s">
        <v>327</v>
      </c>
      <c r="G3945" s="3" t="s">
        <v>75</v>
      </c>
      <c r="H3945" s="2" t="s">
        <v>22</v>
      </c>
      <c r="I3945" s="2" t="s">
        <v>8950</v>
      </c>
      <c r="J3945" s="3" t="str">
        <f>HYPERLINK("https://www.boe.es/gazeta/dias/1834/07/15/pdfs/GMD-1834-148.pdf#page=4","Abrir facsímil")</f>
        <v>Abrir facsímil</v>
      </c>
      <c r="K3945" s="3" t="s">
        <v>24</v>
      </c>
    </row>
    <row r="3946" spans="1:11" ht="54" customHeight="1">
      <c r="A3946" s="2" t="s">
        <v>8951</v>
      </c>
      <c r="B3946" s="2" t="s">
        <v>8952</v>
      </c>
      <c r="C3946" s="2" t="s">
        <v>17</v>
      </c>
      <c r="D3946" s="2" t="s">
        <v>40</v>
      </c>
      <c r="E3946" s="5" t="s">
        <v>4105</v>
      </c>
      <c r="F3946" s="3" t="s">
        <v>8942</v>
      </c>
      <c r="G3946" s="3" t="s">
        <v>75</v>
      </c>
      <c r="H3946" s="2" t="s">
        <v>35</v>
      </c>
      <c r="I3946" s="2" t="s">
        <v>8953</v>
      </c>
      <c r="J3946" s="3" t="str">
        <f>HYPERLINK("https://www.boe.es/gazeta/dias/1834/09/02/pdfs/GMD-1834-200.pdf#page=4","Abrir facsímil")</f>
        <v>Abrir facsímil</v>
      </c>
      <c r="K3946" s="3" t="s">
        <v>37</v>
      </c>
    </row>
    <row r="3947" spans="1:11" ht="54" customHeight="1">
      <c r="A3947" s="2" t="s">
        <v>8954</v>
      </c>
      <c r="B3947" s="2" t="s">
        <v>8955</v>
      </c>
      <c r="C3947" s="2" t="s">
        <v>17</v>
      </c>
      <c r="D3947" s="2" t="s">
        <v>18</v>
      </c>
      <c r="E3947" s="5" t="s">
        <v>506</v>
      </c>
      <c r="F3947" s="3" t="s">
        <v>507</v>
      </c>
      <c r="G3947" s="3" t="s">
        <v>86</v>
      </c>
      <c r="H3947" s="2" t="s">
        <v>22</v>
      </c>
      <c r="I3947" s="2" t="s">
        <v>8956</v>
      </c>
      <c r="J3947" s="3" t="str">
        <f>HYPERLINK("https://www.boe.es/gazeta/dias/1834/03/04/pdfs/GMD-1834-28.pdf#page=2","Abrir facsímil")</f>
        <v>Abrir facsímil</v>
      </c>
      <c r="K3947" s="3" t="s">
        <v>24</v>
      </c>
    </row>
    <row r="3948" spans="1:11" ht="54" customHeight="1">
      <c r="A3948" s="2" t="s">
        <v>8954</v>
      </c>
      <c r="B3948" s="2" t="s">
        <v>8955</v>
      </c>
      <c r="C3948" s="2" t="s">
        <v>17</v>
      </c>
      <c r="D3948" s="2" t="s">
        <v>18</v>
      </c>
      <c r="E3948" s="5" t="s">
        <v>1170</v>
      </c>
      <c r="F3948" s="3" t="s">
        <v>1171</v>
      </c>
      <c r="G3948" s="3" t="s">
        <v>21</v>
      </c>
      <c r="H3948" s="2" t="s">
        <v>22</v>
      </c>
      <c r="I3948" s="2" t="s">
        <v>8957</v>
      </c>
      <c r="J3948" s="3" t="str">
        <f>HYPERLINK("https://www.boe.es/gazeta/dias/1834/01/07/pdfs/GMD-1834-4.pdf#page=3","Abrir facsímil")</f>
        <v>Abrir facsímil</v>
      </c>
      <c r="K3948" s="3" t="s">
        <v>24</v>
      </c>
    </row>
    <row r="3949" spans="1:11" ht="54" customHeight="1">
      <c r="A3949" s="2" t="s">
        <v>8954</v>
      </c>
      <c r="B3949" s="2" t="s">
        <v>8955</v>
      </c>
      <c r="C3949" s="2" t="s">
        <v>17</v>
      </c>
      <c r="D3949" s="2" t="s">
        <v>18</v>
      </c>
      <c r="E3949" s="5" t="s">
        <v>1186</v>
      </c>
      <c r="F3949" s="3" t="s">
        <v>4286</v>
      </c>
      <c r="G3949" s="3" t="s">
        <v>34</v>
      </c>
      <c r="H3949" s="2" t="s">
        <v>22</v>
      </c>
      <c r="I3949" s="2" t="s">
        <v>8958</v>
      </c>
      <c r="J3949" s="3" t="str">
        <f>HYPERLINK("https://www.boe.es/gazeta/dias/1834/08/14/pdfs/GMD-C-1834-179.pdf#page=1","Abrir facsímil")</f>
        <v>Abrir facsímil</v>
      </c>
      <c r="K3949" s="3" t="s">
        <v>24</v>
      </c>
    </row>
    <row r="3950" spans="1:11" ht="54" customHeight="1">
      <c r="A3950" s="2" t="s">
        <v>8954</v>
      </c>
      <c r="B3950" s="2" t="s">
        <v>8955</v>
      </c>
      <c r="C3950" s="2" t="s">
        <v>122</v>
      </c>
      <c r="D3950" s="2" t="s">
        <v>101</v>
      </c>
      <c r="E3950" s="5" t="s">
        <v>2398</v>
      </c>
      <c r="F3950" s="3" t="s">
        <v>2399</v>
      </c>
      <c r="G3950" s="3" t="s">
        <v>34</v>
      </c>
      <c r="H3950" s="2" t="s">
        <v>22</v>
      </c>
      <c r="I3950" s="2" t="s">
        <v>8959</v>
      </c>
      <c r="J3950" s="3" t="str">
        <f>HYPERLINK("https://www.boe.es/gazeta/dias/1834/01/16/pdfs/GMD-1834-8.pdf#page=1","Abrir facsímil")</f>
        <v>Abrir facsímil</v>
      </c>
      <c r="K3950" s="3" t="s">
        <v>24</v>
      </c>
    </row>
    <row r="3951" spans="1:11" ht="54" customHeight="1">
      <c r="A3951" s="2" t="s">
        <v>8954</v>
      </c>
      <c r="B3951" s="2" t="s">
        <v>8955</v>
      </c>
      <c r="C3951" s="2" t="s">
        <v>46</v>
      </c>
      <c r="D3951" s="2" t="s">
        <v>101</v>
      </c>
      <c r="E3951" s="5" t="s">
        <v>1850</v>
      </c>
      <c r="F3951" s="3" t="s">
        <v>1851</v>
      </c>
      <c r="G3951" s="3" t="s">
        <v>21</v>
      </c>
      <c r="H3951" s="2" t="s">
        <v>22</v>
      </c>
      <c r="I3951" s="2" t="s">
        <v>8960</v>
      </c>
      <c r="J3951" s="3" t="str">
        <f>HYPERLINK("https://www.boe.es/gazeta/dias/1834/02/18/pdfs/GMD-1834-22.pdf#page=3","Abrir facsímil")</f>
        <v>Abrir facsímil</v>
      </c>
      <c r="K3951" s="3" t="s">
        <v>24</v>
      </c>
    </row>
    <row r="3952" spans="1:11" ht="54" customHeight="1">
      <c r="A3952" s="2" t="s">
        <v>8954</v>
      </c>
      <c r="B3952" s="2" t="s">
        <v>8955</v>
      </c>
      <c r="C3952" s="2" t="s">
        <v>46</v>
      </c>
      <c r="D3952" s="2" t="s">
        <v>101</v>
      </c>
      <c r="E3952" s="5" t="s">
        <v>541</v>
      </c>
      <c r="F3952" s="3" t="s">
        <v>542</v>
      </c>
      <c r="G3952" s="3" t="s">
        <v>86</v>
      </c>
      <c r="H3952" s="2" t="s">
        <v>22</v>
      </c>
      <c r="I3952" s="2" t="s">
        <v>8961</v>
      </c>
      <c r="J3952" s="3" t="str">
        <f>HYPERLINK("https://www.boe.es/gazeta/dias/1834/04/18/pdfs/GMD-1834-57.pdf#page=2","Abrir facsímil")</f>
        <v>Abrir facsímil</v>
      </c>
      <c r="K3952" s="3" t="s">
        <v>24</v>
      </c>
    </row>
    <row r="3953" spans="1:11" ht="54" customHeight="1">
      <c r="A3953" s="2" t="s">
        <v>8954</v>
      </c>
      <c r="B3953" s="2" t="s">
        <v>8955</v>
      </c>
      <c r="C3953" s="2" t="s">
        <v>90</v>
      </c>
      <c r="D3953" s="2" t="s">
        <v>67</v>
      </c>
      <c r="E3953" s="5" t="s">
        <v>133</v>
      </c>
      <c r="F3953" s="3" t="s">
        <v>134</v>
      </c>
      <c r="G3953" s="3" t="s">
        <v>34</v>
      </c>
      <c r="H3953" s="2" t="s">
        <v>22</v>
      </c>
      <c r="I3953" s="2" t="s">
        <v>8962</v>
      </c>
      <c r="J3953" s="3" t="str">
        <f>HYPERLINK("https://www.boe.es/gazeta/dias/1834/06/18/pdfs/GMD-1834-121.pdf#page=1","Abrir facsímil")</f>
        <v>Abrir facsímil</v>
      </c>
      <c r="K3953" s="3" t="s">
        <v>24</v>
      </c>
    </row>
    <row r="3954" spans="1:11" ht="54" customHeight="1">
      <c r="A3954" s="2" t="s">
        <v>8954</v>
      </c>
      <c r="B3954" s="2" t="s">
        <v>8955</v>
      </c>
      <c r="C3954" s="2" t="s">
        <v>17</v>
      </c>
      <c r="D3954" s="2" t="s">
        <v>101</v>
      </c>
      <c r="E3954" s="5" t="s">
        <v>672</v>
      </c>
      <c r="F3954" s="3" t="s">
        <v>1055</v>
      </c>
      <c r="G3954" s="3" t="s">
        <v>560</v>
      </c>
      <c r="H3954" s="2" t="s">
        <v>22</v>
      </c>
      <c r="I3954" s="2" t="s">
        <v>8963</v>
      </c>
      <c r="J3954" s="3" t="str">
        <f>HYPERLINK("https://www.boe.es/gazeta/dias/1834/09/19/pdfs/GMD-C-1834-217.pdf#page=7","Abrir facsímil")</f>
        <v>Abrir facsímil</v>
      </c>
      <c r="K3954" s="3" t="s">
        <v>24</v>
      </c>
    </row>
    <row r="3955" spans="1:11" ht="54" customHeight="1">
      <c r="A3955" s="2" t="s">
        <v>8954</v>
      </c>
      <c r="B3955" s="2" t="s">
        <v>8955</v>
      </c>
      <c r="C3955" s="2" t="s">
        <v>66</v>
      </c>
      <c r="D3955" s="2" t="s">
        <v>67</v>
      </c>
      <c r="E3955" s="5" t="s">
        <v>1572</v>
      </c>
      <c r="F3955" s="3" t="s">
        <v>1573</v>
      </c>
      <c r="G3955" s="3" t="s">
        <v>34</v>
      </c>
      <c r="H3955" s="2" t="s">
        <v>22</v>
      </c>
      <c r="I3955" s="2" t="s">
        <v>8964</v>
      </c>
      <c r="J3955" s="3" t="str">
        <f>HYPERLINK("https://www.boe.es/gazeta/dias/1834/03/20/pdfs/GMD-1834-35.pdf#page=1","Abrir facsímil")</f>
        <v>Abrir facsímil</v>
      </c>
      <c r="K3955" s="3" t="s">
        <v>24</v>
      </c>
    </row>
    <row r="3956" spans="1:11" ht="54" customHeight="1">
      <c r="A3956" s="2" t="s">
        <v>8965</v>
      </c>
      <c r="B3956" s="2" t="s">
        <v>8966</v>
      </c>
      <c r="C3956" s="2" t="s">
        <v>17</v>
      </c>
      <c r="D3956" s="2" t="s">
        <v>18</v>
      </c>
      <c r="E3956" s="5" t="s">
        <v>803</v>
      </c>
      <c r="F3956" s="3" t="s">
        <v>804</v>
      </c>
      <c r="G3956" s="3" t="s">
        <v>34</v>
      </c>
      <c r="H3956" s="2" t="s">
        <v>22</v>
      </c>
      <c r="I3956" s="2" t="s">
        <v>8967</v>
      </c>
      <c r="J3956" s="3" t="str">
        <f>HYPERLINK("https://www.boe.es/gazeta/dias/1834/03/29/pdfs/GMD-1834-39.pdf#page=1","Abrir facsímil")</f>
        <v>Abrir facsímil</v>
      </c>
      <c r="K3956" s="3" t="s">
        <v>24</v>
      </c>
    </row>
    <row r="3957" spans="1:11" ht="54" customHeight="1">
      <c r="A3957" s="2" t="s">
        <v>8968</v>
      </c>
      <c r="B3957" s="2" t="s">
        <v>8969</v>
      </c>
      <c r="C3957" s="2" t="s">
        <v>17</v>
      </c>
      <c r="D3957" s="2" t="s">
        <v>18</v>
      </c>
      <c r="E3957" s="5" t="s">
        <v>563</v>
      </c>
      <c r="F3957" s="3" t="s">
        <v>564</v>
      </c>
      <c r="G3957" s="3" t="s">
        <v>34</v>
      </c>
      <c r="H3957" s="2" t="s">
        <v>22</v>
      </c>
      <c r="I3957" s="2" t="s">
        <v>8970</v>
      </c>
      <c r="J3957" s="3" t="str">
        <f>HYPERLINK("https://www.boe.es/gazeta/dias/1834/04/19/pdfs/GMD-1834-58.pdf#page=1","Abrir facsímil")</f>
        <v>Abrir facsímil</v>
      </c>
      <c r="K3957" s="3" t="s">
        <v>24</v>
      </c>
    </row>
    <row r="3958" spans="1:11" ht="54" customHeight="1">
      <c r="A3958" s="2" t="s">
        <v>8971</v>
      </c>
      <c r="B3958" s="2" t="s">
        <v>8972</v>
      </c>
      <c r="C3958" s="2" t="s">
        <v>90</v>
      </c>
      <c r="D3958" s="2" t="s">
        <v>55</v>
      </c>
      <c r="E3958" s="5" t="s">
        <v>1307</v>
      </c>
      <c r="F3958" s="3" t="s">
        <v>1308</v>
      </c>
      <c r="G3958" s="3" t="s">
        <v>86</v>
      </c>
      <c r="H3958" s="2" t="s">
        <v>22</v>
      </c>
      <c r="I3958" s="2" t="s">
        <v>8973</v>
      </c>
      <c r="J3958" s="3" t="str">
        <f>HYPERLINK("https://www.boe.es/gazeta/dias/1834/08/25/pdfs/GMD-1834-191.pdf#page=2","Abrir facsímil")</f>
        <v>Abrir facsímil</v>
      </c>
      <c r="K3958" s="3" t="s">
        <v>24</v>
      </c>
    </row>
    <row r="3959" spans="1:11" ht="54" customHeight="1">
      <c r="A3959" s="2" t="s">
        <v>8974</v>
      </c>
      <c r="B3959" s="2" t="s">
        <v>8975</v>
      </c>
      <c r="C3959" s="2" t="s">
        <v>17</v>
      </c>
      <c r="D3959" s="2" t="s">
        <v>18</v>
      </c>
      <c r="E3959" s="5" t="s">
        <v>348</v>
      </c>
      <c r="F3959" s="3" t="s">
        <v>349</v>
      </c>
      <c r="G3959" s="3" t="s">
        <v>34</v>
      </c>
      <c r="H3959" s="2" t="s">
        <v>22</v>
      </c>
      <c r="I3959" s="2" t="s">
        <v>8976</v>
      </c>
      <c r="J3959" s="3" t="str">
        <f>HYPERLINK("https://www.boe.es/gazeta/dias/1834/06/12/pdfs/GMD-C-1834-115.pdf#page=1","Abrir facsímil")</f>
        <v>Abrir facsímil</v>
      </c>
      <c r="K3959" s="3" t="s">
        <v>24</v>
      </c>
    </row>
    <row r="3960" spans="1:11" ht="54" customHeight="1">
      <c r="A3960" s="2" t="s">
        <v>8977</v>
      </c>
      <c r="B3960" s="2" t="s">
        <v>8978</v>
      </c>
      <c r="C3960" s="2" t="s">
        <v>66</v>
      </c>
      <c r="D3960" s="2" t="s">
        <v>67</v>
      </c>
      <c r="E3960" s="5" t="s">
        <v>19</v>
      </c>
      <c r="F3960" s="3" t="s">
        <v>1933</v>
      </c>
      <c r="G3960" s="3" t="s">
        <v>86</v>
      </c>
      <c r="H3960" s="2" t="s">
        <v>22</v>
      </c>
      <c r="I3960" s="2" t="s">
        <v>8979</v>
      </c>
      <c r="J3960" s="3" t="str">
        <f>HYPERLINK("https://www.boe.es/gazeta/dias/1834/08/17/pdfs/GMD-1834-183E.pdf#page=2","Abrir facsímil")</f>
        <v>Abrir facsímil</v>
      </c>
      <c r="K3960" s="3" t="s">
        <v>24</v>
      </c>
    </row>
    <row r="3961" spans="1:11" ht="54" customHeight="1">
      <c r="A3961" s="2" t="s">
        <v>8980</v>
      </c>
      <c r="B3961" s="2" t="s">
        <v>8981</v>
      </c>
      <c r="C3961" s="2" t="s">
        <v>17</v>
      </c>
      <c r="D3961" s="2" t="s">
        <v>18</v>
      </c>
      <c r="E3961" s="5" t="s">
        <v>1084</v>
      </c>
      <c r="F3961" s="3" t="s">
        <v>1085</v>
      </c>
      <c r="G3961" s="3" t="s">
        <v>28</v>
      </c>
      <c r="H3961" s="2" t="s">
        <v>22</v>
      </c>
      <c r="I3961" s="2" t="s">
        <v>8982</v>
      </c>
      <c r="J3961" s="3" t="str">
        <f>HYPERLINK("https://www.boe.es/gazeta/dias/1834/05/01/pdfs/GMD-1834-70.pdf#page=5","Abrir facsímil")</f>
        <v>Abrir facsímil</v>
      </c>
      <c r="K3961" s="3" t="s">
        <v>24</v>
      </c>
    </row>
    <row r="3962" spans="1:11" ht="54" customHeight="1">
      <c r="A3962" s="2" t="s">
        <v>8983</v>
      </c>
      <c r="B3962" s="2" t="s">
        <v>8984</v>
      </c>
      <c r="C3962" s="2" t="s">
        <v>17</v>
      </c>
      <c r="D3962" s="2" t="s">
        <v>18</v>
      </c>
      <c r="E3962" s="5" t="s">
        <v>1351</v>
      </c>
      <c r="F3962" s="3" t="s">
        <v>1352</v>
      </c>
      <c r="G3962" s="3" t="s">
        <v>28</v>
      </c>
      <c r="H3962" s="2" t="s">
        <v>35</v>
      </c>
      <c r="I3962" s="2" t="s">
        <v>8985</v>
      </c>
      <c r="J3962" s="3" t="str">
        <f>HYPERLINK("https://www.boe.es/gazeta/dias/1834/07/05/pdfs/GMD-1834-138.pdf#page=5","Abrir facsímil")</f>
        <v>Abrir facsímil</v>
      </c>
      <c r="K3962" s="3" t="s">
        <v>37</v>
      </c>
    </row>
    <row r="3963" spans="1:11" ht="54" customHeight="1">
      <c r="A3963" s="2" t="s">
        <v>8986</v>
      </c>
      <c r="B3963" s="2" t="s">
        <v>8987</v>
      </c>
      <c r="C3963" s="2" t="s">
        <v>66</v>
      </c>
      <c r="D3963" s="2" t="s">
        <v>67</v>
      </c>
      <c r="E3963" s="5" t="s">
        <v>47</v>
      </c>
      <c r="F3963" s="3" t="s">
        <v>1466</v>
      </c>
      <c r="G3963" s="3" t="s">
        <v>21</v>
      </c>
      <c r="H3963" s="2" t="s">
        <v>22</v>
      </c>
      <c r="I3963" s="2" t="s">
        <v>8988</v>
      </c>
      <c r="J3963" s="3" t="str">
        <f>HYPERLINK("https://www.boe.es/gazeta/dias/1834/09/05/pdfs/GMD-1834-203.pdf#page=3","Abrir facsímil")</f>
        <v>Abrir facsímil</v>
      </c>
      <c r="K3963" s="3" t="s">
        <v>24</v>
      </c>
    </row>
    <row r="3964" spans="1:11" ht="54" customHeight="1">
      <c r="A3964" s="2" t="s">
        <v>8989</v>
      </c>
      <c r="B3964" s="2" t="s">
        <v>8990</v>
      </c>
      <c r="C3964" s="2" t="s">
        <v>90</v>
      </c>
      <c r="D3964" s="2" t="s">
        <v>101</v>
      </c>
      <c r="E3964" s="5" t="s">
        <v>2278</v>
      </c>
      <c r="F3964" s="3" t="s">
        <v>3088</v>
      </c>
      <c r="G3964" s="3" t="s">
        <v>21</v>
      </c>
      <c r="H3964" s="2" t="s">
        <v>22</v>
      </c>
      <c r="I3964" s="2" t="s">
        <v>8991</v>
      </c>
      <c r="J3964" s="3" t="str">
        <f>HYPERLINK("https://www.boe.es/gazeta/dias/1834/12/17/pdfs/GMD-1834-306.pdf#page=3","Abrir facsímil")</f>
        <v>Abrir facsímil</v>
      </c>
      <c r="K3964" s="3" t="s">
        <v>24</v>
      </c>
    </row>
    <row r="3965" spans="1:11" ht="54" customHeight="1">
      <c r="A3965" s="2" t="s">
        <v>8992</v>
      </c>
      <c r="B3965" s="2" t="s">
        <v>8993</v>
      </c>
      <c r="C3965" s="2" t="s">
        <v>17</v>
      </c>
      <c r="D3965" s="2" t="s">
        <v>18</v>
      </c>
      <c r="E3965" s="5" t="s">
        <v>153</v>
      </c>
      <c r="F3965" s="3" t="s">
        <v>1294</v>
      </c>
      <c r="G3965" s="3" t="s">
        <v>75</v>
      </c>
      <c r="H3965" s="2" t="s">
        <v>35</v>
      </c>
      <c r="I3965" s="2" t="s">
        <v>8994</v>
      </c>
      <c r="J3965" s="3" t="str">
        <f>HYPERLINK("https://www.boe.es/gazeta/dias/1834/12/30/pdfs/GMD-1834-320.pdf#page=4","Abrir facsímil")</f>
        <v>Abrir facsímil</v>
      </c>
      <c r="K3965" s="3" t="s">
        <v>37</v>
      </c>
    </row>
    <row r="3966" spans="1:11" ht="54" customHeight="1">
      <c r="A3966" s="2" t="s">
        <v>8995</v>
      </c>
      <c r="B3966" s="2" t="s">
        <v>8996</v>
      </c>
      <c r="C3966" s="2" t="s">
        <v>90</v>
      </c>
      <c r="D3966" s="2" t="s">
        <v>101</v>
      </c>
      <c r="E3966" s="5" t="s">
        <v>96</v>
      </c>
      <c r="F3966" s="3" t="s">
        <v>1725</v>
      </c>
      <c r="G3966" s="3" t="s">
        <v>75</v>
      </c>
      <c r="H3966" s="2" t="s">
        <v>22</v>
      </c>
      <c r="I3966" s="2" t="s">
        <v>8997</v>
      </c>
      <c r="J3966" s="3" t="str">
        <f>HYPERLINK("https://www.boe.es/gazeta/dias/1834/11/11/pdfs/GMD-1834-270.pdf#page=4","Abrir facsímil")</f>
        <v>Abrir facsímil</v>
      </c>
      <c r="K3966" s="3" t="s">
        <v>24</v>
      </c>
    </row>
    <row r="3967" spans="1:11" ht="54" customHeight="1">
      <c r="A3967" s="2" t="s">
        <v>8998</v>
      </c>
      <c r="B3967" s="2" t="s">
        <v>8999</v>
      </c>
      <c r="C3967" s="2" t="s">
        <v>17</v>
      </c>
      <c r="D3967" s="2" t="s">
        <v>101</v>
      </c>
      <c r="E3967" s="5" t="s">
        <v>2379</v>
      </c>
      <c r="F3967" s="3" t="s">
        <v>2380</v>
      </c>
      <c r="G3967" s="3" t="s">
        <v>75</v>
      </c>
      <c r="H3967" s="2" t="s">
        <v>22</v>
      </c>
      <c r="I3967" s="2" t="s">
        <v>9000</v>
      </c>
      <c r="J3967" s="3" t="str">
        <f>HYPERLINK("https://www.boe.es/gazeta/dias/1834/04/03/pdfs/GMD-1834-42.pdf#page=4","Abrir facsímil")</f>
        <v>Abrir facsímil</v>
      </c>
      <c r="K3967" s="3" t="s">
        <v>24</v>
      </c>
    </row>
    <row r="3968" spans="1:11" ht="54" customHeight="1">
      <c r="A3968" s="2" t="s">
        <v>9001</v>
      </c>
      <c r="B3968" s="2" t="s">
        <v>9002</v>
      </c>
      <c r="C3968" s="2" t="s">
        <v>17</v>
      </c>
      <c r="D3968" s="2" t="s">
        <v>18</v>
      </c>
      <c r="E3968" s="5" t="s">
        <v>1981</v>
      </c>
      <c r="F3968" s="3" t="s">
        <v>1982</v>
      </c>
      <c r="G3968" s="3" t="s">
        <v>21</v>
      </c>
      <c r="H3968" s="2" t="s">
        <v>22</v>
      </c>
      <c r="I3968" s="2" t="s">
        <v>9003</v>
      </c>
      <c r="J3968" s="3" t="str">
        <f>HYPERLINK("https://www.boe.es/gazeta/dias/1834/12/13/pdfs/GMD-1834-302.pdf#page=3","Abrir facsímil")</f>
        <v>Abrir facsímil</v>
      </c>
      <c r="K3968" s="3" t="s">
        <v>24</v>
      </c>
    </row>
    <row r="3969" spans="1:11" ht="54" customHeight="1">
      <c r="A3969" s="2" t="s">
        <v>9004</v>
      </c>
      <c r="B3969" s="2" t="s">
        <v>9005</v>
      </c>
      <c r="C3969" s="2" t="s">
        <v>17</v>
      </c>
      <c r="D3969" s="2" t="s">
        <v>18</v>
      </c>
      <c r="E3969" s="5" t="s">
        <v>1186</v>
      </c>
      <c r="F3969" s="3" t="s">
        <v>4286</v>
      </c>
      <c r="G3969" s="3" t="s">
        <v>34</v>
      </c>
      <c r="H3969" s="2" t="s">
        <v>35</v>
      </c>
      <c r="I3969" s="2" t="s">
        <v>9006</v>
      </c>
      <c r="J3969" s="3" t="str">
        <f>HYPERLINK("https://www.boe.es/gazeta/dias/1834/08/14/pdfs/GMD-C-1834-179.pdf#page=1","Abrir facsímil")</f>
        <v>Abrir facsímil</v>
      </c>
      <c r="K3969" s="3" t="s">
        <v>37</v>
      </c>
    </row>
    <row r="3970" spans="1:11" ht="54" customHeight="1">
      <c r="A3970" s="2" t="s">
        <v>9007</v>
      </c>
      <c r="B3970" s="2" t="s">
        <v>9008</v>
      </c>
      <c r="C3970" s="2" t="s">
        <v>17</v>
      </c>
      <c r="D3970" s="2" t="s">
        <v>18</v>
      </c>
      <c r="E3970" s="5" t="s">
        <v>1186</v>
      </c>
      <c r="F3970" s="3" t="s">
        <v>4286</v>
      </c>
      <c r="G3970" s="3" t="s">
        <v>34</v>
      </c>
      <c r="H3970" s="2" t="s">
        <v>22</v>
      </c>
      <c r="I3970" s="2" t="s">
        <v>9009</v>
      </c>
      <c r="J3970" s="3" t="str">
        <f>HYPERLINK("https://www.boe.es/gazeta/dias/1834/08/14/pdfs/GMD-C-1834-179.pdf#page=1","Abrir facsímil")</f>
        <v>Abrir facsímil</v>
      </c>
      <c r="K3970" s="3" t="s">
        <v>24</v>
      </c>
    </row>
    <row r="3971" spans="1:11" ht="54" customHeight="1">
      <c r="A3971" s="2" t="s">
        <v>9010</v>
      </c>
      <c r="B3971" s="2" t="s">
        <v>9011</v>
      </c>
      <c r="C3971" s="2" t="s">
        <v>17</v>
      </c>
      <c r="D3971" s="2" t="s">
        <v>55</v>
      </c>
      <c r="E3971" s="5" t="s">
        <v>1862</v>
      </c>
      <c r="F3971" s="3" t="s">
        <v>1863</v>
      </c>
      <c r="G3971" s="3" t="s">
        <v>75</v>
      </c>
      <c r="H3971" s="2" t="s">
        <v>35</v>
      </c>
      <c r="I3971" s="2" t="s">
        <v>9012</v>
      </c>
      <c r="J3971" s="3" t="str">
        <f>HYPERLINK("https://www.boe.es/gazeta/dias/1834/02/04/pdfs/GMD-1834-16.pdf#page=4","Abrir facsímil")</f>
        <v>Abrir facsímil</v>
      </c>
      <c r="K3971" s="3" t="s">
        <v>37</v>
      </c>
    </row>
    <row r="3972" spans="1:11" ht="54" customHeight="1">
      <c r="A3972" s="2" t="s">
        <v>9013</v>
      </c>
      <c r="B3972" s="2" t="s">
        <v>9014</v>
      </c>
      <c r="C3972" s="2" t="s">
        <v>17</v>
      </c>
      <c r="D3972" s="2" t="s">
        <v>18</v>
      </c>
      <c r="E3972" s="5" t="s">
        <v>571</v>
      </c>
      <c r="F3972" s="3" t="s">
        <v>620</v>
      </c>
      <c r="G3972" s="3" t="s">
        <v>470</v>
      </c>
      <c r="H3972" s="2" t="s">
        <v>22</v>
      </c>
      <c r="I3972" s="2" t="s">
        <v>9015</v>
      </c>
      <c r="J3972" s="3" t="str">
        <f>HYPERLINK("https://www.boe.es/gazeta/dias/1834/09/04/pdfs/GMD-C-1834-202.pdf#page=8","Abrir facsímil")</f>
        <v>Abrir facsímil</v>
      </c>
      <c r="K3972" s="3" t="s">
        <v>24</v>
      </c>
    </row>
    <row r="3973" spans="1:11" ht="54" customHeight="1">
      <c r="A3973" s="2" t="s">
        <v>9016</v>
      </c>
      <c r="B3973" s="2" t="s">
        <v>9017</v>
      </c>
      <c r="C3973" s="2" t="s">
        <v>17</v>
      </c>
      <c r="D3973" s="2" t="s">
        <v>55</v>
      </c>
      <c r="E3973" s="5" t="s">
        <v>1862</v>
      </c>
      <c r="F3973" s="3" t="s">
        <v>1863</v>
      </c>
      <c r="G3973" s="3" t="s">
        <v>75</v>
      </c>
      <c r="H3973" s="2" t="s">
        <v>22</v>
      </c>
      <c r="I3973" s="2" t="s">
        <v>9018</v>
      </c>
      <c r="J3973" s="3" t="str">
        <f>HYPERLINK("https://www.boe.es/gazeta/dias/1834/02/04/pdfs/GMD-1834-16.pdf#page=4","Abrir facsímil")</f>
        <v>Abrir facsímil</v>
      </c>
      <c r="K3973" s="3" t="s">
        <v>24</v>
      </c>
    </row>
    <row r="3974" spans="1:11" ht="54" customHeight="1">
      <c r="A3974" s="2" t="s">
        <v>9019</v>
      </c>
      <c r="B3974" s="2" t="s">
        <v>9020</v>
      </c>
      <c r="C3974" s="2" t="s">
        <v>17</v>
      </c>
      <c r="D3974" s="2" t="s">
        <v>18</v>
      </c>
      <c r="E3974" s="5" t="s">
        <v>343</v>
      </c>
      <c r="F3974" s="3" t="s">
        <v>344</v>
      </c>
      <c r="G3974" s="3" t="s">
        <v>75</v>
      </c>
      <c r="H3974" s="2" t="s">
        <v>22</v>
      </c>
      <c r="I3974" s="2" t="s">
        <v>9021</v>
      </c>
      <c r="J3974" s="3" t="str">
        <f>HYPERLINK("https://www.boe.es/gazeta/dias/1834/01/14/pdfs/GMD-1834-7.pdf#page=4","Abrir facsímil")</f>
        <v>Abrir facsímil</v>
      </c>
      <c r="K3974" s="3" t="s">
        <v>24</v>
      </c>
    </row>
    <row r="3975" spans="1:11" ht="54" customHeight="1">
      <c r="A3975" s="2" t="s">
        <v>9019</v>
      </c>
      <c r="B3975" s="2" t="s">
        <v>9020</v>
      </c>
      <c r="C3975" s="2" t="s">
        <v>17</v>
      </c>
      <c r="D3975" s="2" t="s">
        <v>18</v>
      </c>
      <c r="E3975" s="5" t="s">
        <v>803</v>
      </c>
      <c r="F3975" s="3" t="s">
        <v>804</v>
      </c>
      <c r="G3975" s="3" t="s">
        <v>75</v>
      </c>
      <c r="H3975" s="2" t="s">
        <v>22</v>
      </c>
      <c r="I3975" s="2" t="s">
        <v>9022</v>
      </c>
      <c r="J3975" s="3" t="str">
        <f>HYPERLINK("https://www.boe.es/gazeta/dias/1834/03/29/pdfs/GMD-1834-39.pdf#page=4","Abrir facsímil")</f>
        <v>Abrir facsímil</v>
      </c>
      <c r="K3975" s="3" t="s">
        <v>24</v>
      </c>
    </row>
    <row r="3976" spans="1:11" ht="54" customHeight="1">
      <c r="A3976" s="2" t="s">
        <v>9023</v>
      </c>
      <c r="B3976" s="2" t="s">
        <v>9024</v>
      </c>
      <c r="C3976" s="2" t="s">
        <v>46</v>
      </c>
      <c r="D3976" s="2" t="s">
        <v>18</v>
      </c>
      <c r="E3976" s="5" t="s">
        <v>258</v>
      </c>
      <c r="F3976" s="3" t="s">
        <v>1075</v>
      </c>
      <c r="G3976" s="3" t="s">
        <v>75</v>
      </c>
      <c r="H3976" s="2" t="s">
        <v>35</v>
      </c>
      <c r="I3976" s="2" t="s">
        <v>9025</v>
      </c>
      <c r="J3976" s="3" t="str">
        <f>HYPERLINK("https://www.boe.es/gazeta/dias/1834/10/09/pdfs/GMD-1834-237.pdf#page=4","Abrir facsímil")</f>
        <v>Abrir facsímil</v>
      </c>
      <c r="K3976" s="3" t="s">
        <v>37</v>
      </c>
    </row>
    <row r="3977" spans="1:11" ht="54" customHeight="1">
      <c r="A3977" s="2" t="s">
        <v>9026</v>
      </c>
      <c r="B3977" s="2" t="s">
        <v>9027</v>
      </c>
      <c r="C3977" s="2" t="s">
        <v>46</v>
      </c>
      <c r="D3977" s="2" t="s">
        <v>18</v>
      </c>
      <c r="E3977" s="5" t="s">
        <v>258</v>
      </c>
      <c r="F3977" s="3" t="s">
        <v>1075</v>
      </c>
      <c r="G3977" s="3" t="s">
        <v>75</v>
      </c>
      <c r="H3977" s="2" t="s">
        <v>22</v>
      </c>
      <c r="I3977" s="2" t="s">
        <v>9028</v>
      </c>
      <c r="J3977" s="3" t="str">
        <f>HYPERLINK("https://www.boe.es/gazeta/dias/1834/10/09/pdfs/GMD-1834-237.pdf#page=4","Abrir facsímil")</f>
        <v>Abrir facsímil</v>
      </c>
      <c r="K3977" s="3" t="s">
        <v>24</v>
      </c>
    </row>
    <row r="3978" spans="1:11" ht="54" customHeight="1">
      <c r="A3978" s="2" t="s">
        <v>9029</v>
      </c>
      <c r="B3978" s="2" t="s">
        <v>9030</v>
      </c>
      <c r="C3978" s="2" t="s">
        <v>17</v>
      </c>
      <c r="D3978" s="2" t="s">
        <v>18</v>
      </c>
      <c r="E3978" s="5" t="s">
        <v>1323</v>
      </c>
      <c r="F3978" s="3" t="s">
        <v>1324</v>
      </c>
      <c r="G3978" s="3" t="s">
        <v>75</v>
      </c>
      <c r="H3978" s="2" t="s">
        <v>22</v>
      </c>
      <c r="I3978" s="2" t="s">
        <v>9031</v>
      </c>
      <c r="J3978" s="3" t="str">
        <f>HYPERLINK("https://www.boe.es/gazeta/dias/1834/05/22/pdfs/GMD-1834-91.pdf#page=4","Abrir facsímil")</f>
        <v>Abrir facsímil</v>
      </c>
      <c r="K3978" s="3" t="s">
        <v>24</v>
      </c>
    </row>
    <row r="3979" spans="1:11" ht="54" customHeight="1">
      <c r="A3979" s="2" t="s">
        <v>9032</v>
      </c>
      <c r="B3979" s="2" t="s">
        <v>9033</v>
      </c>
      <c r="C3979" s="2" t="s">
        <v>17</v>
      </c>
      <c r="D3979" s="2" t="s">
        <v>18</v>
      </c>
      <c r="E3979" s="5" t="s">
        <v>1922</v>
      </c>
      <c r="F3979" s="3" t="s">
        <v>1923</v>
      </c>
      <c r="G3979" s="3" t="s">
        <v>34</v>
      </c>
      <c r="H3979" s="2" t="s">
        <v>22</v>
      </c>
      <c r="I3979" s="2" t="s">
        <v>9034</v>
      </c>
      <c r="J3979" s="3" t="str">
        <f>HYPERLINK("https://www.boe.es/gazeta/dias/1834/02/25/pdfs/GMD-1834-25.pdf#page=1","Abrir facsímil")</f>
        <v>Abrir facsímil</v>
      </c>
      <c r="K3979" s="3" t="s">
        <v>24</v>
      </c>
    </row>
    <row r="3980" spans="1:11" ht="54" customHeight="1">
      <c r="A3980" s="2" t="s">
        <v>9035</v>
      </c>
      <c r="B3980" s="2" t="s">
        <v>9036</v>
      </c>
      <c r="C3980" s="2" t="s">
        <v>17</v>
      </c>
      <c r="D3980" s="2" t="s">
        <v>18</v>
      </c>
      <c r="E3980" s="5" t="s">
        <v>429</v>
      </c>
      <c r="F3980" s="3" t="s">
        <v>3421</v>
      </c>
      <c r="G3980" s="3" t="s">
        <v>75</v>
      </c>
      <c r="H3980" s="2" t="s">
        <v>22</v>
      </c>
      <c r="I3980" s="2" t="s">
        <v>9037</v>
      </c>
      <c r="J3980" s="3" t="str">
        <f>HYPERLINK("https://www.boe.es/gazeta/dias/1834/08/07/pdfs/GMD-1834-172.pdf#page=4","Abrir facsímil")</f>
        <v>Abrir facsímil</v>
      </c>
      <c r="K3980" s="3" t="s">
        <v>24</v>
      </c>
    </row>
    <row r="3981" spans="1:11" ht="54" customHeight="1">
      <c r="A3981" s="2" t="s">
        <v>9038</v>
      </c>
      <c r="B3981" s="2" t="s">
        <v>9039</v>
      </c>
      <c r="C3981" s="2" t="s">
        <v>17</v>
      </c>
      <c r="D3981" s="2" t="s">
        <v>18</v>
      </c>
      <c r="E3981" s="5" t="s">
        <v>863</v>
      </c>
      <c r="F3981" s="3" t="s">
        <v>864</v>
      </c>
      <c r="G3981" s="3" t="s">
        <v>86</v>
      </c>
      <c r="H3981" s="2" t="s">
        <v>35</v>
      </c>
      <c r="I3981" s="2" t="s">
        <v>9040</v>
      </c>
      <c r="J3981" s="3" t="str">
        <f>HYPERLINK("https://www.boe.es/gazeta/dias/1834/09/15/pdfs/GMD-1834-213.pdf#page=2","Abrir facsímil")</f>
        <v>Abrir facsímil</v>
      </c>
      <c r="K3981" s="3" t="s">
        <v>37</v>
      </c>
    </row>
    <row r="3982" spans="1:11" ht="54" customHeight="1">
      <c r="A3982" s="2" t="s">
        <v>9041</v>
      </c>
      <c r="B3982" s="2" t="s">
        <v>9042</v>
      </c>
      <c r="C3982" s="2" t="s">
        <v>17</v>
      </c>
      <c r="D3982" s="2" t="s">
        <v>18</v>
      </c>
      <c r="E3982" s="5" t="s">
        <v>863</v>
      </c>
      <c r="F3982" s="3" t="s">
        <v>864</v>
      </c>
      <c r="G3982" s="3" t="s">
        <v>86</v>
      </c>
      <c r="H3982" s="2" t="s">
        <v>22</v>
      </c>
      <c r="I3982" s="2" t="s">
        <v>9043</v>
      </c>
      <c r="J3982" s="3" t="str">
        <f>HYPERLINK("https://www.boe.es/gazeta/dias/1834/09/15/pdfs/GMD-1834-213.pdf#page=2","Abrir facsímil")</f>
        <v>Abrir facsímil</v>
      </c>
      <c r="K3982" s="3" t="s">
        <v>24</v>
      </c>
    </row>
    <row r="3983" spans="1:11" ht="54" customHeight="1">
      <c r="A3983" s="2" t="s">
        <v>9044</v>
      </c>
      <c r="B3983" s="2" t="s">
        <v>9045</v>
      </c>
      <c r="C3983" s="2" t="s">
        <v>66</v>
      </c>
      <c r="D3983" s="2" t="s">
        <v>67</v>
      </c>
      <c r="E3983" s="5" t="s">
        <v>1394</v>
      </c>
      <c r="F3983" s="3" t="s">
        <v>1395</v>
      </c>
      <c r="G3983" s="3" t="s">
        <v>75</v>
      </c>
      <c r="H3983" s="2" t="s">
        <v>22</v>
      </c>
      <c r="I3983" s="2" t="s">
        <v>9046</v>
      </c>
      <c r="J3983" s="3" t="str">
        <f>HYPERLINK("https://www.boe.es/gazeta/dias/1834/04/16/pdfs/GMD-1834-55.pdf#page=4","Abrir facsímil")</f>
        <v>Abrir facsímil</v>
      </c>
      <c r="K3983" s="3" t="s">
        <v>24</v>
      </c>
    </row>
    <row r="3984" spans="1:11" ht="54" customHeight="1">
      <c r="A3984" s="2" t="s">
        <v>9047</v>
      </c>
      <c r="B3984" s="2" t="s">
        <v>9048</v>
      </c>
      <c r="C3984" s="2" t="s">
        <v>90</v>
      </c>
      <c r="D3984" s="2" t="s">
        <v>67</v>
      </c>
      <c r="E3984" s="5" t="s">
        <v>399</v>
      </c>
      <c r="F3984" s="3" t="s">
        <v>400</v>
      </c>
      <c r="G3984" s="3" t="s">
        <v>34</v>
      </c>
      <c r="H3984" s="2" t="s">
        <v>22</v>
      </c>
      <c r="I3984" s="2" t="s">
        <v>9049</v>
      </c>
      <c r="J3984" s="3" t="str">
        <f>HYPERLINK("https://www.boe.es/gazeta/dias/1834/07/08/pdfs/GMD-1834-141.pdf#page=1","Abrir facsímil")</f>
        <v>Abrir facsímil</v>
      </c>
      <c r="K3984" s="3" t="s">
        <v>24</v>
      </c>
    </row>
    <row r="3985" spans="1:11" ht="54" customHeight="1">
      <c r="A3985" s="2" t="s">
        <v>9050</v>
      </c>
      <c r="B3985" s="2" t="s">
        <v>9051</v>
      </c>
      <c r="C3985" s="2" t="s">
        <v>122</v>
      </c>
      <c r="D3985" s="2" t="s">
        <v>55</v>
      </c>
      <c r="E3985" s="5" t="s">
        <v>309</v>
      </c>
      <c r="F3985" s="3" t="s">
        <v>310</v>
      </c>
      <c r="G3985" s="3" t="s">
        <v>34</v>
      </c>
      <c r="H3985" s="2" t="s">
        <v>22</v>
      </c>
      <c r="I3985" s="2" t="s">
        <v>9052</v>
      </c>
      <c r="J3985" s="3" t="str">
        <f>HYPERLINK("https://www.boe.es/gazeta/dias/1834/05/30/pdfs/GMD-1834-99.pdf#page=1","Abrir facsímil")</f>
        <v>Abrir facsímil</v>
      </c>
      <c r="K3985" s="3" t="s">
        <v>24</v>
      </c>
    </row>
    <row r="3986" spans="1:11" ht="54" customHeight="1">
      <c r="A3986" s="2" t="s">
        <v>9053</v>
      </c>
      <c r="B3986" s="2" t="s">
        <v>9054</v>
      </c>
      <c r="C3986" s="2" t="s">
        <v>17</v>
      </c>
      <c r="D3986" s="2" t="s">
        <v>18</v>
      </c>
      <c r="E3986" s="5" t="s">
        <v>5904</v>
      </c>
      <c r="F3986" s="3" t="s">
        <v>5905</v>
      </c>
      <c r="G3986" s="3" t="s">
        <v>21</v>
      </c>
      <c r="H3986" s="2" t="s">
        <v>22</v>
      </c>
      <c r="I3986" s="2" t="s">
        <v>9055</v>
      </c>
      <c r="J3986" s="3" t="str">
        <f>HYPERLINK("https://www.boe.es/gazeta/dias/1834/09/29/pdfs/GMD-1834-227.pdf#page=3","Abrir facsímil")</f>
        <v>Abrir facsímil</v>
      </c>
      <c r="K3986" s="3" t="s">
        <v>24</v>
      </c>
    </row>
    <row r="3987" spans="1:11" ht="54" customHeight="1">
      <c r="A3987" s="2" t="s">
        <v>9056</v>
      </c>
      <c r="B3987" s="2" t="s">
        <v>9057</v>
      </c>
      <c r="C3987" s="2" t="s">
        <v>17</v>
      </c>
      <c r="D3987" s="2" t="s">
        <v>18</v>
      </c>
      <c r="E3987" s="5" t="s">
        <v>283</v>
      </c>
      <c r="F3987" s="3" t="s">
        <v>284</v>
      </c>
      <c r="G3987" s="3" t="s">
        <v>34</v>
      </c>
      <c r="H3987" s="2" t="s">
        <v>22</v>
      </c>
      <c r="I3987" s="2" t="s">
        <v>9058</v>
      </c>
      <c r="J3987" s="3" t="str">
        <f>HYPERLINK("https://www.boe.es/gazeta/dias/1834/11/29/pdfs/GMD-C-1834-288.pdf#page=1","Abrir facsímil")</f>
        <v>Abrir facsímil</v>
      </c>
      <c r="K3987" s="3" t="s">
        <v>24</v>
      </c>
    </row>
    <row r="3988" spans="1:11" ht="54" customHeight="1">
      <c r="A3988" s="2" t="s">
        <v>9059</v>
      </c>
      <c r="B3988" s="2" t="s">
        <v>9060</v>
      </c>
      <c r="C3988" s="2" t="s">
        <v>17</v>
      </c>
      <c r="D3988" s="2" t="s">
        <v>18</v>
      </c>
      <c r="E3988" s="5" t="s">
        <v>981</v>
      </c>
      <c r="F3988" s="3" t="s">
        <v>982</v>
      </c>
      <c r="G3988" s="3" t="s">
        <v>21</v>
      </c>
      <c r="H3988" s="2" t="s">
        <v>22</v>
      </c>
      <c r="I3988" s="2" t="s">
        <v>9061</v>
      </c>
      <c r="J3988" s="3" t="str">
        <f>HYPERLINK("https://www.boe.es/gazeta/dias/1834/09/21/pdfs/GMD-1834-219.pdf#page=3","Abrir facsímil")</f>
        <v>Abrir facsímil</v>
      </c>
      <c r="K3988" s="3" t="s">
        <v>24</v>
      </c>
    </row>
    <row r="3989" spans="1:11" ht="54" customHeight="1">
      <c r="A3989" s="2" t="s">
        <v>9062</v>
      </c>
      <c r="B3989" s="2" t="s">
        <v>9063</v>
      </c>
      <c r="C3989" s="2" t="s">
        <v>17</v>
      </c>
      <c r="D3989" s="2" t="s">
        <v>18</v>
      </c>
      <c r="E3989" s="5" t="s">
        <v>408</v>
      </c>
      <c r="F3989" s="3" t="s">
        <v>409</v>
      </c>
      <c r="G3989" s="3" t="s">
        <v>75</v>
      </c>
      <c r="H3989" s="2" t="s">
        <v>22</v>
      </c>
      <c r="I3989" s="2" t="s">
        <v>9064</v>
      </c>
      <c r="J3989" s="3" t="str">
        <f>HYPERLINK("https://www.boe.es/gazeta/dias/1834/04/28/pdfs/GMD-1834-67.pdf#page=4","Abrir facsímil")</f>
        <v>Abrir facsímil</v>
      </c>
      <c r="K3989" s="3" t="s">
        <v>24</v>
      </c>
    </row>
    <row r="3990" spans="1:11" ht="54" customHeight="1">
      <c r="A3990" s="2" t="s">
        <v>9065</v>
      </c>
      <c r="B3990" s="2" t="s">
        <v>9066</v>
      </c>
      <c r="C3990" s="2" t="s">
        <v>17</v>
      </c>
      <c r="D3990" s="2" t="s">
        <v>18</v>
      </c>
      <c r="E3990" s="5" t="s">
        <v>408</v>
      </c>
      <c r="F3990" s="3" t="s">
        <v>409</v>
      </c>
      <c r="G3990" s="3" t="s">
        <v>75</v>
      </c>
      <c r="H3990" s="2" t="s">
        <v>22</v>
      </c>
      <c r="I3990" s="2" t="s">
        <v>9067</v>
      </c>
      <c r="J3990" s="3" t="str">
        <f>HYPERLINK("https://www.boe.es/gazeta/dias/1834/04/28/pdfs/GMD-1834-67.pdf#page=4","Abrir facsímil")</f>
        <v>Abrir facsímil</v>
      </c>
      <c r="K3990" s="3" t="s">
        <v>24</v>
      </c>
    </row>
    <row r="3991" spans="1:11" ht="54" customHeight="1">
      <c r="A3991" s="2" t="s">
        <v>9068</v>
      </c>
      <c r="B3991" s="2" t="s">
        <v>9069</v>
      </c>
      <c r="C3991" s="2" t="s">
        <v>17</v>
      </c>
      <c r="D3991" s="2" t="s">
        <v>18</v>
      </c>
      <c r="E3991" s="5" t="s">
        <v>454</v>
      </c>
      <c r="F3991" s="3" t="s">
        <v>2009</v>
      </c>
      <c r="G3991" s="3" t="s">
        <v>86</v>
      </c>
      <c r="H3991" s="2" t="s">
        <v>22</v>
      </c>
      <c r="I3991" s="2" t="s">
        <v>9070</v>
      </c>
      <c r="J3991" s="3" t="str">
        <f>HYPERLINK("https://www.boe.es/gazeta/dias/1834/10/16/pdfs/GMD-1834-244.pdf#page=2","Abrir facsímil")</f>
        <v>Abrir facsímil</v>
      </c>
      <c r="K3991" s="3" t="s">
        <v>24</v>
      </c>
    </row>
    <row r="3992" spans="1:11" ht="54" customHeight="1">
      <c r="A3992" s="2" t="s">
        <v>9071</v>
      </c>
      <c r="B3992" s="2" t="s">
        <v>9072</v>
      </c>
      <c r="C3992" s="2" t="s">
        <v>122</v>
      </c>
      <c r="D3992" s="2" t="s">
        <v>18</v>
      </c>
      <c r="E3992" s="5" t="s">
        <v>2526</v>
      </c>
      <c r="F3992" s="3" t="s">
        <v>2527</v>
      </c>
      <c r="G3992" s="3" t="s">
        <v>21</v>
      </c>
      <c r="H3992" s="2" t="s">
        <v>22</v>
      </c>
      <c r="I3992" s="2" t="s">
        <v>9073</v>
      </c>
      <c r="J3992" s="3" t="str">
        <f>HYPERLINK("https://www.boe.es/gazeta/dias/1834/12/29/pdfs/GMD-C-1834-319.pdf#page=3","Abrir facsímil")</f>
        <v>Abrir facsímil</v>
      </c>
      <c r="K3992" s="3" t="s">
        <v>24</v>
      </c>
    </row>
    <row r="3993" spans="1:11" ht="54" customHeight="1">
      <c r="A3993" s="2" t="s">
        <v>9074</v>
      </c>
      <c r="B3993" s="2" t="s">
        <v>9075</v>
      </c>
      <c r="C3993" s="2" t="s">
        <v>17</v>
      </c>
      <c r="D3993" s="2" t="s">
        <v>18</v>
      </c>
      <c r="E3993" s="5" t="s">
        <v>1351</v>
      </c>
      <c r="F3993" s="3" t="s">
        <v>1352</v>
      </c>
      <c r="G3993" s="3" t="s">
        <v>75</v>
      </c>
      <c r="H3993" s="2" t="s">
        <v>22</v>
      </c>
      <c r="I3993" s="2" t="s">
        <v>9076</v>
      </c>
      <c r="J3993" s="3" t="str">
        <f>HYPERLINK("https://www.boe.es/gazeta/dias/1834/07/05/pdfs/GMD-1834-138.pdf#page=4","Abrir facsímil")</f>
        <v>Abrir facsímil</v>
      </c>
      <c r="K3993" s="3" t="s">
        <v>24</v>
      </c>
    </row>
    <row r="3994" spans="1:11" ht="54" customHeight="1">
      <c r="A3994" s="2" t="s">
        <v>9077</v>
      </c>
      <c r="B3994" s="2" t="s">
        <v>9078</v>
      </c>
      <c r="C3994" s="2" t="s">
        <v>90</v>
      </c>
      <c r="D3994" s="2" t="s">
        <v>40</v>
      </c>
      <c r="E3994" s="5" t="s">
        <v>679</v>
      </c>
      <c r="F3994" s="3" t="s">
        <v>699</v>
      </c>
      <c r="G3994" s="3" t="s">
        <v>34</v>
      </c>
      <c r="H3994" s="2" t="s">
        <v>22</v>
      </c>
      <c r="I3994" s="2" t="s">
        <v>9079</v>
      </c>
      <c r="J3994" s="3" t="str">
        <f>HYPERLINK("https://www.boe.es/gazeta/dias/1834/12/10/pdfs/GMD-C-1834-299.pdf#page=1","Abrir facsímil")</f>
        <v>Abrir facsímil</v>
      </c>
      <c r="K3994" s="3" t="s">
        <v>24</v>
      </c>
    </row>
    <row r="3995" spans="1:11" ht="54" customHeight="1">
      <c r="A3995" s="2" t="s">
        <v>9080</v>
      </c>
      <c r="B3995" s="2" t="s">
        <v>9081</v>
      </c>
      <c r="C3995" s="2" t="s">
        <v>17</v>
      </c>
      <c r="D3995" s="2" t="s">
        <v>18</v>
      </c>
      <c r="E3995" s="5" t="s">
        <v>860</v>
      </c>
      <c r="F3995" s="3" t="s">
        <v>861</v>
      </c>
      <c r="G3995" s="3" t="s">
        <v>21</v>
      </c>
      <c r="H3995" s="2" t="s">
        <v>22</v>
      </c>
      <c r="I3995" s="2" t="s">
        <v>9082</v>
      </c>
      <c r="J3995" s="3" t="str">
        <f>HYPERLINK("https://www.boe.es/gazeta/dias/1834/02/08/pdfs/GMD-1834-18.pdf#page=3","Abrir facsímil")</f>
        <v>Abrir facsímil</v>
      </c>
      <c r="K3995" s="3" t="s">
        <v>24</v>
      </c>
    </row>
    <row r="3996" spans="1:11" ht="54" customHeight="1">
      <c r="A3996" s="2" t="s">
        <v>9083</v>
      </c>
      <c r="B3996" s="2" t="s">
        <v>9084</v>
      </c>
      <c r="C3996" s="2" t="s">
        <v>17</v>
      </c>
      <c r="D3996" s="2" t="s">
        <v>101</v>
      </c>
      <c r="E3996" s="5" t="s">
        <v>899</v>
      </c>
      <c r="F3996" s="3" t="s">
        <v>900</v>
      </c>
      <c r="G3996" s="3" t="s">
        <v>176</v>
      </c>
      <c r="H3996" s="2" t="s">
        <v>22</v>
      </c>
      <c r="I3996" s="2" t="s">
        <v>9085</v>
      </c>
      <c r="J3996" s="3" t="str">
        <f>HYPERLINK("https://www.boe.es/gazeta/dias/1834/01/30/pdfs/GMD-1834-14.pdf#page=6","Abrir facsímil")</f>
        <v>Abrir facsímil</v>
      </c>
      <c r="K3996" s="3" t="s">
        <v>24</v>
      </c>
    </row>
    <row r="3997" spans="1:11" ht="54" customHeight="1">
      <c r="A3997" s="2" t="s">
        <v>9086</v>
      </c>
      <c r="B3997" s="2" t="s">
        <v>9087</v>
      </c>
      <c r="C3997" s="2" t="s">
        <v>66</v>
      </c>
      <c r="D3997" s="2" t="s">
        <v>67</v>
      </c>
      <c r="E3997" s="5" t="s">
        <v>2241</v>
      </c>
      <c r="F3997" s="3" t="s">
        <v>2242</v>
      </c>
      <c r="G3997" s="3" t="s">
        <v>21</v>
      </c>
      <c r="H3997" s="2" t="s">
        <v>22</v>
      </c>
      <c r="I3997" s="2" t="s">
        <v>9088</v>
      </c>
      <c r="J3997" s="3" t="str">
        <f>HYPERLINK("https://www.boe.es/gazeta/dias/1834/03/11/pdfs/GMD-1834-31.pdf#page=3","Abrir facsímil")</f>
        <v>Abrir facsímil</v>
      </c>
      <c r="K3997" s="3" t="s">
        <v>24</v>
      </c>
    </row>
    <row r="3998" spans="1:11" ht="54" customHeight="1">
      <c r="A3998" s="2" t="s">
        <v>9089</v>
      </c>
      <c r="B3998" s="2" t="s">
        <v>9090</v>
      </c>
      <c r="C3998" s="2" t="s">
        <v>17</v>
      </c>
      <c r="D3998" s="2" t="s">
        <v>18</v>
      </c>
      <c r="E3998" s="5" t="s">
        <v>19</v>
      </c>
      <c r="F3998" s="3" t="s">
        <v>107</v>
      </c>
      <c r="G3998" s="3" t="s">
        <v>75</v>
      </c>
      <c r="H3998" s="2" t="s">
        <v>22</v>
      </c>
      <c r="I3998" s="2" t="s">
        <v>9091</v>
      </c>
      <c r="J3998" s="3" t="str">
        <f>HYPERLINK("https://www.boe.es/gazeta/dias/1834/08/17/pdfs/GMD-1834-182.pdf#page=4","Abrir facsímil")</f>
        <v>Abrir facsímil</v>
      </c>
      <c r="K3998" s="3" t="s">
        <v>24</v>
      </c>
    </row>
    <row r="3999" spans="1:11" ht="54" customHeight="1">
      <c r="A3999" s="2" t="s">
        <v>9092</v>
      </c>
      <c r="B3999" s="2" t="s">
        <v>9093</v>
      </c>
      <c r="C3999" s="2" t="s">
        <v>90</v>
      </c>
      <c r="D3999" s="2" t="s">
        <v>18</v>
      </c>
      <c r="E3999" s="5" t="s">
        <v>1340</v>
      </c>
      <c r="F3999" s="3" t="s">
        <v>1341</v>
      </c>
      <c r="G3999" s="3" t="s">
        <v>75</v>
      </c>
      <c r="H3999" s="2" t="s">
        <v>35</v>
      </c>
      <c r="I3999" s="2" t="s">
        <v>9094</v>
      </c>
      <c r="J3999" s="3" t="str">
        <f>HYPERLINK("https://www.boe.es/gazeta/dias/1834/10/05/pdfs/GMD-C-1834-233.pdf#page=4","Abrir facsímil")</f>
        <v>Abrir facsímil</v>
      </c>
      <c r="K3999" s="3" t="s">
        <v>37</v>
      </c>
    </row>
    <row r="4000" spans="1:11" ht="54" customHeight="1">
      <c r="A4000" s="2" t="s">
        <v>9095</v>
      </c>
      <c r="B4000" s="2" t="s">
        <v>9096</v>
      </c>
      <c r="C4000" s="2" t="s">
        <v>17</v>
      </c>
      <c r="D4000" s="2" t="s">
        <v>18</v>
      </c>
      <c r="E4000" s="5" t="s">
        <v>1002</v>
      </c>
      <c r="F4000" s="3" t="s">
        <v>1003</v>
      </c>
      <c r="G4000" s="3" t="s">
        <v>21</v>
      </c>
      <c r="H4000" s="2" t="s">
        <v>35</v>
      </c>
      <c r="I4000" s="2" t="s">
        <v>9097</v>
      </c>
      <c r="J4000" s="3" t="str">
        <f>HYPERLINK("https://www.boe.es/gazeta/dias/1834/06/26/pdfs/GMD-1834-129.pdf#page=3","Abrir facsímil")</f>
        <v>Abrir facsímil</v>
      </c>
      <c r="K4000" s="3" t="s">
        <v>37</v>
      </c>
    </row>
    <row r="4001" spans="1:11" ht="54" customHeight="1">
      <c r="A4001" s="2" t="s">
        <v>9098</v>
      </c>
      <c r="B4001" s="2" t="s">
        <v>9099</v>
      </c>
      <c r="C4001" s="2" t="s">
        <v>17</v>
      </c>
      <c r="D4001" s="2" t="s">
        <v>18</v>
      </c>
      <c r="E4001" s="5" t="s">
        <v>1002</v>
      </c>
      <c r="F4001" s="3" t="s">
        <v>1003</v>
      </c>
      <c r="G4001" s="3" t="s">
        <v>75</v>
      </c>
      <c r="H4001" s="2" t="s">
        <v>35</v>
      </c>
      <c r="I4001" s="2" t="s">
        <v>9100</v>
      </c>
      <c r="J4001" s="3" t="str">
        <f>HYPERLINK("https://www.boe.es/gazeta/dias/1834/06/26/pdfs/GMD-1834-129.pdf#page=4","Abrir facsímil")</f>
        <v>Abrir facsímil</v>
      </c>
      <c r="K4001" s="3" t="s">
        <v>37</v>
      </c>
    </row>
    <row r="4002" spans="1:11" ht="54" customHeight="1">
      <c r="A4002" s="2" t="s">
        <v>9101</v>
      </c>
      <c r="B4002" s="2" t="s">
        <v>9102</v>
      </c>
      <c r="C4002" s="2" t="s">
        <v>66</v>
      </c>
      <c r="D4002" s="2" t="s">
        <v>67</v>
      </c>
      <c r="E4002" s="5" t="s">
        <v>724</v>
      </c>
      <c r="F4002" s="3" t="s">
        <v>725</v>
      </c>
      <c r="G4002" s="3" t="s">
        <v>176</v>
      </c>
      <c r="H4002" s="2" t="s">
        <v>35</v>
      </c>
      <c r="I4002" s="2" t="s">
        <v>9103</v>
      </c>
      <c r="J4002" s="3" t="str">
        <f>HYPERLINK("https://www.boe.es/gazeta/dias/1834/04/25/pdfs/GMD-1834-64.pdf#page=6","Abrir facsímil")</f>
        <v>Abrir facsímil</v>
      </c>
      <c r="K4002" s="3" t="s">
        <v>37</v>
      </c>
    </row>
    <row r="4003" spans="1:11" ht="54" customHeight="1">
      <c r="A4003" s="2" t="s">
        <v>9104</v>
      </c>
      <c r="B4003" s="2" t="s">
        <v>9105</v>
      </c>
      <c r="C4003" s="2" t="s">
        <v>17</v>
      </c>
      <c r="D4003" s="2" t="s">
        <v>18</v>
      </c>
      <c r="E4003" s="5" t="s">
        <v>3066</v>
      </c>
      <c r="F4003" s="3" t="s">
        <v>3067</v>
      </c>
      <c r="G4003" s="3" t="s">
        <v>34</v>
      </c>
      <c r="H4003" s="2" t="s">
        <v>22</v>
      </c>
      <c r="I4003" s="2" t="s">
        <v>9106</v>
      </c>
      <c r="J4003" s="3" t="str">
        <f>HYPERLINK("https://www.boe.es/gazeta/dias/1834/08/03/pdfs/GMD-C-1834-167.pdf#page=1","Abrir facsímil")</f>
        <v>Abrir facsímil</v>
      </c>
      <c r="K4003" s="3" t="s">
        <v>24</v>
      </c>
    </row>
    <row r="4004" spans="1:11" ht="54" customHeight="1">
      <c r="A4004" s="2" t="s">
        <v>9107</v>
      </c>
      <c r="B4004" s="2" t="s">
        <v>9108</v>
      </c>
      <c r="C4004" s="2" t="s">
        <v>17</v>
      </c>
      <c r="D4004" s="2" t="s">
        <v>18</v>
      </c>
      <c r="E4004" s="5" t="s">
        <v>1862</v>
      </c>
      <c r="F4004" s="3" t="s">
        <v>1863</v>
      </c>
      <c r="G4004" s="3" t="s">
        <v>34</v>
      </c>
      <c r="H4004" s="2" t="s">
        <v>22</v>
      </c>
      <c r="I4004" s="2" t="s">
        <v>9109</v>
      </c>
      <c r="J4004" s="3" t="str">
        <f>HYPERLINK("https://www.boe.es/gazeta/dias/1834/02/04/pdfs/GMD-1834-16.pdf#page=1","Abrir facsímil")</f>
        <v>Abrir facsímil</v>
      </c>
      <c r="K4004" s="3" t="s">
        <v>24</v>
      </c>
    </row>
    <row r="4005" spans="1:11" ht="54" customHeight="1">
      <c r="A4005" s="2" t="s">
        <v>9104</v>
      </c>
      <c r="B4005" s="2" t="s">
        <v>9105</v>
      </c>
      <c r="C4005" s="2" t="s">
        <v>90</v>
      </c>
      <c r="D4005" s="2" t="s">
        <v>18</v>
      </c>
      <c r="E4005" s="5" t="s">
        <v>1340</v>
      </c>
      <c r="F4005" s="3" t="s">
        <v>1341</v>
      </c>
      <c r="G4005" s="3" t="s">
        <v>75</v>
      </c>
      <c r="H4005" s="2" t="s">
        <v>22</v>
      </c>
      <c r="I4005" s="2" t="s">
        <v>9110</v>
      </c>
      <c r="J4005" s="3" t="str">
        <f>HYPERLINK("https://www.boe.es/gazeta/dias/1834/10/05/pdfs/GMD-C-1834-233.pdf#page=4","Abrir facsímil")</f>
        <v>Abrir facsímil</v>
      </c>
      <c r="K4005" s="3" t="s">
        <v>24</v>
      </c>
    </row>
    <row r="4006" spans="1:11" ht="54" customHeight="1">
      <c r="A4006" s="2" t="s">
        <v>9107</v>
      </c>
      <c r="B4006" s="2" t="s">
        <v>9108</v>
      </c>
      <c r="C4006" s="2" t="s">
        <v>90</v>
      </c>
      <c r="D4006" s="2" t="s">
        <v>101</v>
      </c>
      <c r="E4006" s="5" t="s">
        <v>317</v>
      </c>
      <c r="F4006" s="3" t="s">
        <v>318</v>
      </c>
      <c r="G4006" s="3" t="s">
        <v>34</v>
      </c>
      <c r="H4006" s="2" t="s">
        <v>22</v>
      </c>
      <c r="I4006" s="2" t="s">
        <v>9111</v>
      </c>
      <c r="J4006" s="3" t="str">
        <f>HYPERLINK("https://www.boe.es/gazeta/dias/1834/03/06/pdfs/I00139-00140.pdf#page=1","Abrir facsímil")</f>
        <v>Abrir facsímil</v>
      </c>
      <c r="K4006" s="3" t="s">
        <v>24</v>
      </c>
    </row>
    <row r="4007" spans="1:11" ht="54" customHeight="1">
      <c r="A4007" s="2" t="s">
        <v>9107</v>
      </c>
      <c r="B4007" s="2" t="s">
        <v>9108</v>
      </c>
      <c r="C4007" s="2" t="s">
        <v>90</v>
      </c>
      <c r="D4007" s="2" t="s">
        <v>101</v>
      </c>
      <c r="E4007" s="5" t="s">
        <v>317</v>
      </c>
      <c r="F4007" s="3" t="s">
        <v>318</v>
      </c>
      <c r="G4007" s="3" t="s">
        <v>21</v>
      </c>
      <c r="H4007" s="2" t="s">
        <v>22</v>
      </c>
      <c r="I4007" s="2" t="s">
        <v>9111</v>
      </c>
      <c r="J4007" s="3" t="str">
        <f>HYPERLINK("https://www.boe.es/gazeta/dias/1834/03/06/pdfs/GMD-1834-29.pdf#page=3","Abrir facsímil")</f>
        <v>Abrir facsímil</v>
      </c>
      <c r="K4007" s="3" t="s">
        <v>24</v>
      </c>
    </row>
    <row r="4008" spans="1:11" ht="54" customHeight="1">
      <c r="A4008" s="2" t="s">
        <v>9107</v>
      </c>
      <c r="B4008" s="2" t="s">
        <v>9108</v>
      </c>
      <c r="C4008" s="2" t="s">
        <v>46</v>
      </c>
      <c r="D4008" s="2" t="s">
        <v>18</v>
      </c>
      <c r="E4008" s="5" t="s">
        <v>1839</v>
      </c>
      <c r="F4008" s="3" t="s">
        <v>1840</v>
      </c>
      <c r="G4008" s="3" t="s">
        <v>34</v>
      </c>
      <c r="H4008" s="2" t="s">
        <v>22</v>
      </c>
      <c r="I4008" s="2" t="s">
        <v>9112</v>
      </c>
      <c r="J4008" s="3" t="str">
        <f>HYPERLINK("https://www.boe.es/gazeta/dias/1834/08/12/pdfs/GMD-C-1834-177.pdf#page=1","Abrir facsímil")</f>
        <v>Abrir facsímil</v>
      </c>
      <c r="K4008" s="3" t="s">
        <v>24</v>
      </c>
    </row>
    <row r="4009" spans="1:11" ht="54" customHeight="1">
      <c r="A4009" s="2" t="s">
        <v>9107</v>
      </c>
      <c r="B4009" s="2" t="s">
        <v>9108</v>
      </c>
      <c r="C4009" s="2" t="s">
        <v>90</v>
      </c>
      <c r="D4009" s="2" t="s">
        <v>67</v>
      </c>
      <c r="E4009" s="5" t="s">
        <v>133</v>
      </c>
      <c r="F4009" s="3" t="s">
        <v>134</v>
      </c>
      <c r="G4009" s="3" t="s">
        <v>34</v>
      </c>
      <c r="H4009" s="2" t="s">
        <v>22</v>
      </c>
      <c r="I4009" s="2" t="s">
        <v>9113</v>
      </c>
      <c r="J4009" s="3" t="str">
        <f>HYPERLINK("https://www.boe.es/gazeta/dias/1834/06/18/pdfs/GMD-1834-121.pdf#page=1","Abrir facsímil")</f>
        <v>Abrir facsímil</v>
      </c>
      <c r="K4009" s="3" t="s">
        <v>24</v>
      </c>
    </row>
    <row r="4010" spans="1:11" ht="54" customHeight="1">
      <c r="A4010" s="2" t="s">
        <v>9107</v>
      </c>
      <c r="B4010" s="2" t="s">
        <v>9108</v>
      </c>
      <c r="C4010" s="2" t="s">
        <v>17</v>
      </c>
      <c r="D4010" s="2" t="s">
        <v>18</v>
      </c>
      <c r="E4010" s="5" t="s">
        <v>1002</v>
      </c>
      <c r="F4010" s="3" t="s">
        <v>1003</v>
      </c>
      <c r="G4010" s="3" t="s">
        <v>21</v>
      </c>
      <c r="H4010" s="2" t="s">
        <v>22</v>
      </c>
      <c r="I4010" s="2" t="s">
        <v>9114</v>
      </c>
      <c r="J4010" s="3" t="str">
        <f>HYPERLINK("https://www.boe.es/gazeta/dias/1834/06/26/pdfs/GMD-1834-129.pdf#page=3","Abrir facsímil")</f>
        <v>Abrir facsímil</v>
      </c>
      <c r="K4010" s="3" t="s">
        <v>24</v>
      </c>
    </row>
    <row r="4011" spans="1:11" ht="54" customHeight="1">
      <c r="A4011" s="2" t="s">
        <v>9115</v>
      </c>
      <c r="B4011" s="2" t="s">
        <v>9116</v>
      </c>
      <c r="C4011" s="2" t="s">
        <v>66</v>
      </c>
      <c r="D4011" s="2" t="s">
        <v>67</v>
      </c>
      <c r="E4011" s="5" t="s">
        <v>441</v>
      </c>
      <c r="F4011" s="3" t="s">
        <v>442</v>
      </c>
      <c r="G4011" s="3" t="s">
        <v>21</v>
      </c>
      <c r="H4011" s="2" t="s">
        <v>22</v>
      </c>
      <c r="I4011" s="2" t="s">
        <v>9117</v>
      </c>
      <c r="J4011" s="3" t="str">
        <f>HYPERLINK("https://www.boe.es/gazeta/dias/1834/11/10/pdfs/GMD-1834-269.pdf#page=3","Abrir facsímil")</f>
        <v>Abrir facsímil</v>
      </c>
      <c r="K4011" s="3" t="s">
        <v>24</v>
      </c>
    </row>
    <row r="4012" spans="1:11" ht="54" customHeight="1">
      <c r="A4012" s="2" t="s">
        <v>9118</v>
      </c>
      <c r="B4012" s="2" t="s">
        <v>9119</v>
      </c>
      <c r="C4012" s="2" t="s">
        <v>17</v>
      </c>
      <c r="D4012" s="2" t="s">
        <v>18</v>
      </c>
      <c r="E4012" s="5" t="s">
        <v>1002</v>
      </c>
      <c r="F4012" s="3" t="s">
        <v>1003</v>
      </c>
      <c r="G4012" s="3" t="s">
        <v>75</v>
      </c>
      <c r="H4012" s="2" t="s">
        <v>22</v>
      </c>
      <c r="I4012" s="2" t="s">
        <v>9120</v>
      </c>
      <c r="J4012" s="3" t="str">
        <f>HYPERLINK("https://www.boe.es/gazeta/dias/1834/06/26/pdfs/GMD-1834-129.pdf#page=4","Abrir facsímil")</f>
        <v>Abrir facsímil</v>
      </c>
      <c r="K4012" s="3" t="s">
        <v>24</v>
      </c>
    </row>
    <row r="4013" spans="1:11" ht="54" customHeight="1">
      <c r="A4013" s="2" t="s">
        <v>9121</v>
      </c>
      <c r="B4013" s="2" t="s">
        <v>9122</v>
      </c>
      <c r="C4013" s="2" t="s">
        <v>17</v>
      </c>
      <c r="D4013" s="2" t="s">
        <v>18</v>
      </c>
      <c r="E4013" s="5" t="s">
        <v>1017</v>
      </c>
      <c r="F4013" s="3" t="s">
        <v>1018</v>
      </c>
      <c r="G4013" s="3" t="s">
        <v>75</v>
      </c>
      <c r="H4013" s="2" t="s">
        <v>22</v>
      </c>
      <c r="I4013" s="2" t="s">
        <v>9123</v>
      </c>
      <c r="J4013" s="3" t="str">
        <f>HYPERLINK("https://www.boe.es/gazeta/dias/1834/07/24/pdfs/GMD-1834-157.pdf#page=4","Abrir facsímil")</f>
        <v>Abrir facsímil</v>
      </c>
      <c r="K4013" s="3" t="s">
        <v>24</v>
      </c>
    </row>
    <row r="4014" spans="1:11" ht="54" customHeight="1">
      <c r="A4014" s="2" t="s">
        <v>9124</v>
      </c>
      <c r="B4014" s="2" t="s">
        <v>9125</v>
      </c>
      <c r="C4014" s="2" t="s">
        <v>17</v>
      </c>
      <c r="D4014" s="2" t="s">
        <v>18</v>
      </c>
      <c r="E4014" s="5" t="s">
        <v>309</v>
      </c>
      <c r="F4014" s="3" t="s">
        <v>310</v>
      </c>
      <c r="G4014" s="3" t="s">
        <v>34</v>
      </c>
      <c r="H4014" s="2" t="s">
        <v>22</v>
      </c>
      <c r="I4014" s="2" t="s">
        <v>9126</v>
      </c>
      <c r="J4014" s="3" t="str">
        <f>HYPERLINK("https://www.boe.es/gazeta/dias/1834/05/30/pdfs/GMD-1834-99.pdf#page=1","Abrir facsímil")</f>
        <v>Abrir facsímil</v>
      </c>
      <c r="K4014" s="3" t="s">
        <v>24</v>
      </c>
    </row>
    <row r="4015" spans="1:11" ht="54" customHeight="1">
      <c r="A4015" s="2" t="s">
        <v>9127</v>
      </c>
      <c r="B4015" s="2" t="s">
        <v>9128</v>
      </c>
      <c r="C4015" s="2" t="s">
        <v>17</v>
      </c>
      <c r="D4015" s="2" t="s">
        <v>101</v>
      </c>
      <c r="E4015" s="5" t="s">
        <v>251</v>
      </c>
      <c r="F4015" s="3" t="s">
        <v>1278</v>
      </c>
      <c r="G4015" s="3" t="s">
        <v>21</v>
      </c>
      <c r="H4015" s="2" t="s">
        <v>22</v>
      </c>
      <c r="I4015" s="2" t="s">
        <v>9129</v>
      </c>
      <c r="J4015" s="3" t="str">
        <f>HYPERLINK("https://www.boe.es/gazeta/dias/1834/09/26/pdfs/GMD-1834-224.pdf#page=3","Abrir facsímil")</f>
        <v>Abrir facsímil</v>
      </c>
      <c r="K4015" s="3" t="s">
        <v>24</v>
      </c>
    </row>
    <row r="4016" spans="1:11" ht="54" customHeight="1">
      <c r="A4016" s="2" t="s">
        <v>9130</v>
      </c>
      <c r="B4016" s="2" t="s">
        <v>9131</v>
      </c>
      <c r="C4016" s="2" t="s">
        <v>46</v>
      </c>
      <c r="D4016" s="2" t="s">
        <v>18</v>
      </c>
      <c r="E4016" s="5" t="s">
        <v>268</v>
      </c>
      <c r="F4016" s="3" t="s">
        <v>269</v>
      </c>
      <c r="G4016" s="3" t="s">
        <v>34</v>
      </c>
      <c r="H4016" s="2" t="s">
        <v>22</v>
      </c>
      <c r="I4016" s="2" t="s">
        <v>9132</v>
      </c>
      <c r="J4016" s="3" t="str">
        <f>HYPERLINK("https://www.boe.es/gazeta/dias/1834/12/19/pdfs/GMD-C-1834-309.pdf#page=1","Abrir facsímil")</f>
        <v>Abrir facsímil</v>
      </c>
      <c r="K4016" s="3" t="s">
        <v>24</v>
      </c>
    </row>
    <row r="4017" spans="1:11" ht="54" customHeight="1">
      <c r="A4017" s="2" t="s">
        <v>9133</v>
      </c>
      <c r="B4017" s="2" t="s">
        <v>9134</v>
      </c>
      <c r="C4017" s="2" t="s">
        <v>66</v>
      </c>
      <c r="D4017" s="2" t="s">
        <v>67</v>
      </c>
      <c r="E4017" s="5" t="s">
        <v>724</v>
      </c>
      <c r="F4017" s="3" t="s">
        <v>725</v>
      </c>
      <c r="G4017" s="3" t="s">
        <v>176</v>
      </c>
      <c r="H4017" s="2" t="s">
        <v>22</v>
      </c>
      <c r="I4017" s="2" t="s">
        <v>9135</v>
      </c>
      <c r="J4017" s="3" t="str">
        <f>HYPERLINK("https://www.boe.es/gazeta/dias/1834/04/25/pdfs/GMD-1834-64.pdf#page=6","Abrir facsímil")</f>
        <v>Abrir facsímil</v>
      </c>
      <c r="K4017" s="3" t="s">
        <v>24</v>
      </c>
    </row>
    <row r="4018" spans="1:11" ht="54" customHeight="1">
      <c r="A4018" s="2" t="s">
        <v>9136</v>
      </c>
      <c r="B4018" s="2" t="s">
        <v>9137</v>
      </c>
      <c r="C4018" s="2" t="s">
        <v>46</v>
      </c>
      <c r="D4018" s="2" t="s">
        <v>55</v>
      </c>
      <c r="E4018" s="5" t="s">
        <v>1116</v>
      </c>
      <c r="F4018" s="3" t="s">
        <v>1117</v>
      </c>
      <c r="G4018" s="3" t="s">
        <v>86</v>
      </c>
      <c r="H4018" s="2" t="s">
        <v>22</v>
      </c>
      <c r="I4018" s="2" t="s">
        <v>9138</v>
      </c>
      <c r="J4018" s="3" t="str">
        <f>HYPERLINK("https://www.boe.es/gazeta/dias/1834/05/16/pdfs/GMD-1834-85.pdf#page=2","Abrir facsímil")</f>
        <v>Abrir facsímil</v>
      </c>
      <c r="K4018" s="3" t="s">
        <v>24</v>
      </c>
    </row>
    <row r="4019" spans="1:11" ht="54" customHeight="1">
      <c r="A4019" s="2" t="s">
        <v>9136</v>
      </c>
      <c r="B4019" s="2" t="s">
        <v>9137</v>
      </c>
      <c r="C4019" s="2" t="s">
        <v>46</v>
      </c>
      <c r="D4019" s="2" t="s">
        <v>18</v>
      </c>
      <c r="E4019" s="5" t="s">
        <v>1002</v>
      </c>
      <c r="F4019" s="3" t="s">
        <v>1003</v>
      </c>
      <c r="G4019" s="3" t="s">
        <v>21</v>
      </c>
      <c r="H4019" s="2" t="s">
        <v>22</v>
      </c>
      <c r="I4019" s="2" t="s">
        <v>9139</v>
      </c>
      <c r="J4019" s="3" t="str">
        <f>HYPERLINK("https://www.boe.es/gazeta/dias/1834/06/26/pdfs/GMD-1834-129.pdf#page=3","Abrir facsímil")</f>
        <v>Abrir facsímil</v>
      </c>
      <c r="K4019" s="3" t="s">
        <v>24</v>
      </c>
    </row>
    <row r="4020" spans="1:11" ht="54" customHeight="1">
      <c r="A4020" s="2" t="s">
        <v>9140</v>
      </c>
      <c r="B4020" s="2" t="s">
        <v>9141</v>
      </c>
      <c r="C4020" s="2" t="s">
        <v>66</v>
      </c>
      <c r="D4020" s="2" t="s">
        <v>67</v>
      </c>
      <c r="E4020" s="5" t="s">
        <v>339</v>
      </c>
      <c r="F4020" s="3" t="s">
        <v>340</v>
      </c>
      <c r="G4020" s="3" t="s">
        <v>21</v>
      </c>
      <c r="H4020" s="2" t="s">
        <v>22</v>
      </c>
      <c r="I4020" s="2" t="s">
        <v>9142</v>
      </c>
      <c r="J4020" s="3" t="str">
        <f>HYPERLINK("https://www.boe.es/gazeta/dias/1834/05/02/pdfs/GMD-1834-71.pdf#page=3","Abrir facsímil")</f>
        <v>Abrir facsímil</v>
      </c>
      <c r="K4020" s="3" t="s">
        <v>24</v>
      </c>
    </row>
    <row r="4021" spans="1:11" ht="54" customHeight="1">
      <c r="A4021" s="2" t="s">
        <v>9143</v>
      </c>
      <c r="B4021" s="2" t="s">
        <v>9144</v>
      </c>
      <c r="C4021" s="2" t="s">
        <v>17</v>
      </c>
      <c r="D4021" s="2" t="s">
        <v>18</v>
      </c>
      <c r="E4021" s="5" t="s">
        <v>2596</v>
      </c>
      <c r="F4021" s="3" t="s">
        <v>2597</v>
      </c>
      <c r="G4021" s="3" t="s">
        <v>21</v>
      </c>
      <c r="H4021" s="2" t="s">
        <v>22</v>
      </c>
      <c r="I4021" s="2" t="s">
        <v>9145</v>
      </c>
      <c r="J4021" s="3" t="str">
        <f>HYPERLINK("https://www.boe.es/gazeta/dias/1834/10/22/pdfs/GMD-1834-250.pdf#page=3","Abrir facsímil")</f>
        <v>Abrir facsímil</v>
      </c>
      <c r="K4021" s="3" t="s">
        <v>24</v>
      </c>
    </row>
    <row r="4022" spans="1:11" ht="54" customHeight="1">
      <c r="A4022" s="2" t="s">
        <v>9146</v>
      </c>
      <c r="B4022" s="2" t="s">
        <v>9147</v>
      </c>
      <c r="C4022" s="2" t="s">
        <v>66</v>
      </c>
      <c r="D4022" s="2" t="s">
        <v>67</v>
      </c>
      <c r="E4022" s="5" t="s">
        <v>506</v>
      </c>
      <c r="F4022" s="3" t="s">
        <v>507</v>
      </c>
      <c r="G4022" s="3" t="s">
        <v>34</v>
      </c>
      <c r="H4022" s="2" t="s">
        <v>22</v>
      </c>
      <c r="I4022" s="2" t="s">
        <v>9148</v>
      </c>
      <c r="J4022" s="3" t="str">
        <f>HYPERLINK("https://www.boe.es/gazeta/dias/1834/03/04/pdfs/GMD-1834-28.pdf#page=1","Abrir facsímil")</f>
        <v>Abrir facsímil</v>
      </c>
      <c r="K4022" s="3" t="s">
        <v>24</v>
      </c>
    </row>
    <row r="4023" spans="1:11" ht="54" customHeight="1">
      <c r="A4023" s="2" t="s">
        <v>9149</v>
      </c>
      <c r="B4023" s="2" t="s">
        <v>9150</v>
      </c>
      <c r="C4023" s="2" t="s">
        <v>17</v>
      </c>
      <c r="D4023" s="2" t="s">
        <v>18</v>
      </c>
      <c r="E4023" s="5" t="s">
        <v>928</v>
      </c>
      <c r="F4023" s="3" t="s">
        <v>929</v>
      </c>
      <c r="G4023" s="3" t="s">
        <v>21</v>
      </c>
      <c r="H4023" s="2" t="s">
        <v>22</v>
      </c>
      <c r="I4023" s="2" t="s">
        <v>9151</v>
      </c>
      <c r="J4023" s="3" t="str">
        <f>HYPERLINK("https://www.boe.es/gazeta/dias/1834/11/15/pdfs/GMD-C-1834-274.pdf#page=3","Abrir facsímil")</f>
        <v>Abrir facsímil</v>
      </c>
      <c r="K4023" s="3" t="s">
        <v>24</v>
      </c>
    </row>
    <row r="4024" spans="1:11" ht="54" customHeight="1">
      <c r="A4024" s="2" t="s">
        <v>9152</v>
      </c>
      <c r="B4024" s="2" t="s">
        <v>9153</v>
      </c>
      <c r="C4024" s="2" t="s">
        <v>17</v>
      </c>
      <c r="D4024" s="2" t="s">
        <v>18</v>
      </c>
      <c r="E4024" s="5" t="s">
        <v>167</v>
      </c>
      <c r="F4024" s="3" t="s">
        <v>1200</v>
      </c>
      <c r="G4024" s="3" t="s">
        <v>86</v>
      </c>
      <c r="H4024" s="2" t="s">
        <v>22</v>
      </c>
      <c r="I4024" s="2" t="s">
        <v>9154</v>
      </c>
      <c r="J4024" s="3" t="str">
        <f>HYPERLINK("https://www.boe.es/gazeta/dias/1834/09/07/pdfs/GMD-C-1834-205.pdf#page=2","Abrir facsímil")</f>
        <v>Abrir facsímil</v>
      </c>
      <c r="K4024" s="3" t="s">
        <v>24</v>
      </c>
    </row>
    <row r="4025" spans="1:11" ht="54" customHeight="1">
      <c r="A4025" s="2" t="s">
        <v>9155</v>
      </c>
      <c r="B4025" s="2" t="s">
        <v>9156</v>
      </c>
      <c r="C4025" s="2" t="s">
        <v>17</v>
      </c>
      <c r="D4025" s="2" t="s">
        <v>18</v>
      </c>
      <c r="E4025" s="5" t="s">
        <v>1239</v>
      </c>
      <c r="F4025" s="3" t="s">
        <v>1240</v>
      </c>
      <c r="G4025" s="3" t="s">
        <v>34</v>
      </c>
      <c r="H4025" s="2" t="s">
        <v>22</v>
      </c>
      <c r="I4025" s="2" t="s">
        <v>9157</v>
      </c>
      <c r="J4025" s="3" t="str">
        <f>HYPERLINK("https://www.boe.es/gazeta/dias/1834/08/20/pdfs/GMD-1834-186.pdf#page=1","Abrir facsímil")</f>
        <v>Abrir facsímil</v>
      </c>
      <c r="K4025" s="3" t="s">
        <v>24</v>
      </c>
    </row>
    <row r="4026" spans="1:11" ht="54" customHeight="1">
      <c r="A4026" s="2" t="s">
        <v>9158</v>
      </c>
      <c r="B4026" s="2" t="s">
        <v>9159</v>
      </c>
      <c r="C4026" s="2" t="s">
        <v>17</v>
      </c>
      <c r="D4026" s="2" t="s">
        <v>18</v>
      </c>
      <c r="E4026" s="5" t="s">
        <v>1195</v>
      </c>
      <c r="F4026" s="3" t="s">
        <v>1916</v>
      </c>
      <c r="G4026" s="3" t="s">
        <v>21</v>
      </c>
      <c r="H4026" s="2" t="s">
        <v>22</v>
      </c>
      <c r="I4026" s="2" t="s">
        <v>9160</v>
      </c>
      <c r="J4026" s="3" t="str">
        <f>HYPERLINK("https://www.boe.es/gazeta/dias/1834/10/17/pdfs/GMD-1834-245.pdf#page=3","Abrir facsímil")</f>
        <v>Abrir facsímil</v>
      </c>
      <c r="K4026" s="3" t="s">
        <v>24</v>
      </c>
    </row>
    <row r="4027" spans="1:11" ht="54" customHeight="1">
      <c r="A4027" s="2" t="s">
        <v>9161</v>
      </c>
      <c r="B4027" s="2" t="s">
        <v>9162</v>
      </c>
      <c r="C4027" s="2" t="s">
        <v>17</v>
      </c>
      <c r="D4027" s="2" t="s">
        <v>55</v>
      </c>
      <c r="E4027" s="5" t="s">
        <v>653</v>
      </c>
      <c r="F4027" s="3" t="s">
        <v>3369</v>
      </c>
      <c r="G4027" s="3" t="s">
        <v>21</v>
      </c>
      <c r="H4027" s="2" t="s">
        <v>22</v>
      </c>
      <c r="I4027" s="2" t="s">
        <v>9163</v>
      </c>
      <c r="J4027" s="3" t="str">
        <f>HYPERLINK("https://www.boe.es/gazeta/dias/1834/08/06/pdfs/GMD-1834-170.pdf#page=3","Abrir facsímil")</f>
        <v>Abrir facsímil</v>
      </c>
      <c r="K4027" s="3" t="s">
        <v>24</v>
      </c>
    </row>
    <row r="4028" spans="1:11" ht="54" customHeight="1">
      <c r="A4028" s="2" t="s">
        <v>9164</v>
      </c>
      <c r="B4028" s="2" t="s">
        <v>9165</v>
      </c>
      <c r="C4028" s="2" t="s">
        <v>90</v>
      </c>
      <c r="D4028" s="2" t="s">
        <v>67</v>
      </c>
      <c r="E4028" s="5" t="s">
        <v>563</v>
      </c>
      <c r="F4028" s="3" t="s">
        <v>564</v>
      </c>
      <c r="G4028" s="3" t="s">
        <v>86</v>
      </c>
      <c r="H4028" s="2" t="s">
        <v>22</v>
      </c>
      <c r="I4028" s="2" t="s">
        <v>9166</v>
      </c>
      <c r="J4028" s="3" t="str">
        <f>HYPERLINK("https://www.boe.es/gazeta/dias/1834/04/19/pdfs/GMD-1834-58.pdf#page=2","Abrir facsímil")</f>
        <v>Abrir facsímil</v>
      </c>
      <c r="K4028" s="3" t="s">
        <v>24</v>
      </c>
    </row>
    <row r="4029" spans="1:11" ht="54" customHeight="1">
      <c r="A4029" s="2" t="s">
        <v>9167</v>
      </c>
      <c r="B4029" s="2" t="s">
        <v>9168</v>
      </c>
      <c r="C4029" s="2" t="s">
        <v>66</v>
      </c>
      <c r="D4029" s="2" t="s">
        <v>18</v>
      </c>
      <c r="E4029" s="5" t="s">
        <v>61</v>
      </c>
      <c r="F4029" s="3" t="s">
        <v>205</v>
      </c>
      <c r="G4029" s="3" t="s">
        <v>34</v>
      </c>
      <c r="H4029" s="2" t="s">
        <v>22</v>
      </c>
      <c r="I4029" s="2" t="s">
        <v>9169</v>
      </c>
      <c r="J4029" s="3" t="str">
        <f>HYPERLINK("https://www.boe.es/gazeta/dias/1834/06/08/pdfs/GMD-1834-110.pdf#page=1","Abrir facsímil")</f>
        <v>Abrir facsímil</v>
      </c>
      <c r="K4029" s="3" t="s">
        <v>24</v>
      </c>
    </row>
    <row r="4030" spans="1:11" ht="54" customHeight="1">
      <c r="A4030" s="2" t="s">
        <v>9170</v>
      </c>
      <c r="B4030" s="2" t="s">
        <v>9171</v>
      </c>
      <c r="C4030" s="2" t="s">
        <v>17</v>
      </c>
      <c r="D4030" s="2" t="s">
        <v>18</v>
      </c>
      <c r="E4030" s="5" t="s">
        <v>444</v>
      </c>
      <c r="F4030" s="3" t="s">
        <v>445</v>
      </c>
      <c r="G4030" s="3" t="s">
        <v>34</v>
      </c>
      <c r="H4030" s="2" t="s">
        <v>35</v>
      </c>
      <c r="I4030" s="2" t="s">
        <v>9172</v>
      </c>
      <c r="J4030" s="3" t="str">
        <f>HYPERLINK("https://www.boe.es/gazeta/dias/1834/09/12/pdfs/GMD-C-1834-210.pdf#page=1","Abrir facsímil")</f>
        <v>Abrir facsímil</v>
      </c>
      <c r="K4030" s="3" t="s">
        <v>37</v>
      </c>
    </row>
    <row r="4031" spans="1:11" ht="54" customHeight="1">
      <c r="A4031" s="2" t="s">
        <v>9173</v>
      </c>
      <c r="B4031" s="2" t="s">
        <v>9174</v>
      </c>
      <c r="C4031" s="2" t="s">
        <v>17</v>
      </c>
      <c r="D4031" s="2" t="s">
        <v>18</v>
      </c>
      <c r="E4031" s="5" t="s">
        <v>444</v>
      </c>
      <c r="F4031" s="3" t="s">
        <v>445</v>
      </c>
      <c r="G4031" s="3" t="s">
        <v>34</v>
      </c>
      <c r="H4031" s="2" t="s">
        <v>22</v>
      </c>
      <c r="I4031" s="2" t="s">
        <v>9175</v>
      </c>
      <c r="J4031" s="3" t="str">
        <f>HYPERLINK("https://www.boe.es/gazeta/dias/1834/09/12/pdfs/GMD-C-1834-210.pdf#page=1","Abrir facsímil")</f>
        <v>Abrir facsímil</v>
      </c>
      <c r="K4031" s="3" t="s">
        <v>24</v>
      </c>
    </row>
    <row r="4032" spans="1:11" ht="54" customHeight="1">
      <c r="A4032" s="2" t="s">
        <v>9176</v>
      </c>
      <c r="B4032" s="2" t="s">
        <v>9177</v>
      </c>
      <c r="C4032" s="2" t="s">
        <v>90</v>
      </c>
      <c r="D4032" s="2" t="s">
        <v>67</v>
      </c>
      <c r="E4032" s="5" t="s">
        <v>3810</v>
      </c>
      <c r="F4032" s="3" t="s">
        <v>3811</v>
      </c>
      <c r="G4032" s="3" t="s">
        <v>21</v>
      </c>
      <c r="H4032" s="2" t="s">
        <v>22</v>
      </c>
      <c r="I4032" s="2" t="s">
        <v>9178</v>
      </c>
      <c r="J4032" s="3" t="str">
        <f>HYPERLINK("https://www.boe.es/gazeta/dias/1834/02/20/pdfs/GMD-1834-23.pdf#page=3","Abrir facsímil")</f>
        <v>Abrir facsímil</v>
      </c>
      <c r="K4032" s="3" t="s">
        <v>24</v>
      </c>
    </row>
    <row r="4033" spans="1:11" ht="54" customHeight="1">
      <c r="A4033" s="2" t="s">
        <v>9179</v>
      </c>
      <c r="B4033" s="2" t="s">
        <v>9180</v>
      </c>
      <c r="C4033" s="2" t="s">
        <v>17</v>
      </c>
      <c r="D4033" s="2" t="s">
        <v>55</v>
      </c>
      <c r="E4033" s="5" t="s">
        <v>1239</v>
      </c>
      <c r="F4033" s="3" t="s">
        <v>1240</v>
      </c>
      <c r="G4033" s="3" t="s">
        <v>34</v>
      </c>
      <c r="H4033" s="2" t="s">
        <v>22</v>
      </c>
      <c r="I4033" s="2" t="s">
        <v>9181</v>
      </c>
      <c r="J4033" s="3" t="str">
        <f>HYPERLINK("https://www.boe.es/gazeta/dias/1834/08/20/pdfs/GMD-1834-186.pdf#page=1","Abrir facsímil")</f>
        <v>Abrir facsímil</v>
      </c>
      <c r="K4033" s="3" t="s">
        <v>24</v>
      </c>
    </row>
    <row r="4034" spans="1:11" ht="54" customHeight="1">
      <c r="A4034" s="2" t="s">
        <v>9182</v>
      </c>
      <c r="B4034" s="2" t="s">
        <v>9183</v>
      </c>
      <c r="C4034" s="2" t="s">
        <v>17</v>
      </c>
      <c r="D4034" s="2" t="s">
        <v>18</v>
      </c>
      <c r="E4034" s="5" t="s">
        <v>1459</v>
      </c>
      <c r="F4034" s="3" t="s">
        <v>1460</v>
      </c>
      <c r="G4034" s="3" t="s">
        <v>21</v>
      </c>
      <c r="H4034" s="2" t="s">
        <v>22</v>
      </c>
      <c r="I4034" s="2" t="s">
        <v>9184</v>
      </c>
      <c r="J4034" s="3" t="str">
        <f>HYPERLINK("https://www.boe.es/gazeta/dias/1834/08/18/pdfs/GMD-1834-184.pdf#page=3","Abrir facsímil")</f>
        <v>Abrir facsímil</v>
      </c>
      <c r="K4034" s="3" t="s">
        <v>24</v>
      </c>
    </row>
    <row r="4035" spans="1:11" ht="54" customHeight="1">
      <c r="A4035" s="2" t="s">
        <v>9185</v>
      </c>
      <c r="B4035" s="2" t="s">
        <v>9186</v>
      </c>
      <c r="C4035" s="2" t="s">
        <v>66</v>
      </c>
      <c r="D4035" s="2" t="s">
        <v>67</v>
      </c>
      <c r="E4035" s="5" t="s">
        <v>343</v>
      </c>
      <c r="F4035" s="3" t="s">
        <v>344</v>
      </c>
      <c r="G4035" s="3" t="s">
        <v>21</v>
      </c>
      <c r="H4035" s="2" t="s">
        <v>22</v>
      </c>
      <c r="I4035" s="2" t="s">
        <v>9187</v>
      </c>
      <c r="J4035" s="3" t="str">
        <f>HYPERLINK("https://www.boe.es/gazeta/dias/1834/01/14/pdfs/GMD-1834-7.pdf#page=3","Abrir facsímil")</f>
        <v>Abrir facsímil</v>
      </c>
      <c r="K4035" s="3" t="s">
        <v>24</v>
      </c>
    </row>
    <row r="4036" spans="1:11" ht="54" customHeight="1">
      <c r="A4036" s="2" t="s">
        <v>9188</v>
      </c>
      <c r="B4036" s="2" t="s">
        <v>9189</v>
      </c>
      <c r="C4036" s="2" t="s">
        <v>46</v>
      </c>
      <c r="D4036" s="2" t="s">
        <v>101</v>
      </c>
      <c r="E4036" s="5" t="s">
        <v>251</v>
      </c>
      <c r="F4036" s="3" t="s">
        <v>252</v>
      </c>
      <c r="G4036" s="3" t="s">
        <v>34</v>
      </c>
      <c r="H4036" s="2" t="s">
        <v>22</v>
      </c>
      <c r="I4036" s="2" t="s">
        <v>9190</v>
      </c>
      <c r="J4036" s="3" t="str">
        <f>HYPERLINK("https://www.boe.es/gazeta/dias/1834/09/26/pdfs/GMD-C-1834-224.pdf#page=1","Abrir facsímil")</f>
        <v>Abrir facsímil</v>
      </c>
      <c r="K4036" s="3" t="s">
        <v>24</v>
      </c>
    </row>
    <row r="4037" spans="1:11" ht="54" customHeight="1">
      <c r="A4037" s="2" t="s">
        <v>9191</v>
      </c>
      <c r="B4037" s="2" t="s">
        <v>9192</v>
      </c>
      <c r="C4037" s="2" t="s">
        <v>17</v>
      </c>
      <c r="D4037" s="2" t="s">
        <v>55</v>
      </c>
      <c r="E4037" s="5" t="s">
        <v>518</v>
      </c>
      <c r="F4037" s="3" t="s">
        <v>519</v>
      </c>
      <c r="G4037" s="3" t="s">
        <v>75</v>
      </c>
      <c r="H4037" s="2" t="s">
        <v>22</v>
      </c>
      <c r="I4037" s="2" t="s">
        <v>9193</v>
      </c>
      <c r="J4037" s="3" t="str">
        <f>HYPERLINK("https://www.boe.es/gazeta/dias/1834/03/15/pdfs/GMD-1834-33.pdf#page=4","Abrir facsímil")</f>
        <v>Abrir facsímil</v>
      </c>
      <c r="K4037" s="3" t="s">
        <v>24</v>
      </c>
    </row>
    <row r="4038" spans="1:11" ht="54" customHeight="1">
      <c r="A4038" s="2" t="s">
        <v>9194</v>
      </c>
      <c r="B4038" s="2" t="s">
        <v>9195</v>
      </c>
      <c r="C4038" s="2" t="s">
        <v>66</v>
      </c>
      <c r="D4038" s="2" t="s">
        <v>18</v>
      </c>
      <c r="E4038" s="5" t="s">
        <v>813</v>
      </c>
      <c r="F4038" s="3" t="s">
        <v>814</v>
      </c>
      <c r="G4038" s="3" t="s">
        <v>21</v>
      </c>
      <c r="H4038" s="2" t="s">
        <v>22</v>
      </c>
      <c r="I4038" s="2" t="s">
        <v>9196</v>
      </c>
      <c r="J4038" s="3" t="str">
        <f>HYPERLINK("https://www.boe.es/gazeta/dias/1834/08/08/pdfs/GMD-1834-173.pdf#page=3","Abrir facsímil")</f>
        <v>Abrir facsímil</v>
      </c>
      <c r="K4038" s="3" t="s">
        <v>24</v>
      </c>
    </row>
    <row r="4039" spans="1:11" ht="54" customHeight="1">
      <c r="A4039" s="2" t="s">
        <v>9197</v>
      </c>
      <c r="B4039" s="2" t="s">
        <v>9198</v>
      </c>
      <c r="C4039" s="2" t="s">
        <v>17</v>
      </c>
      <c r="D4039" s="2" t="s">
        <v>18</v>
      </c>
      <c r="E4039" s="5" t="s">
        <v>375</v>
      </c>
      <c r="F4039" s="3" t="s">
        <v>376</v>
      </c>
      <c r="G4039" s="3" t="s">
        <v>75</v>
      </c>
      <c r="H4039" s="2" t="s">
        <v>22</v>
      </c>
      <c r="I4039" s="2" t="s">
        <v>9199</v>
      </c>
      <c r="J4039" s="3" t="str">
        <f>HYPERLINK("https://www.boe.es/gazeta/dias/1834/08/21/pdfs/GMD-1834-187.pdf#page=4","Abrir facsímil")</f>
        <v>Abrir facsímil</v>
      </c>
      <c r="K4039" s="3" t="s">
        <v>24</v>
      </c>
    </row>
    <row r="4040" spans="1:11" ht="54" customHeight="1">
      <c r="A4040" s="2" t="s">
        <v>9200</v>
      </c>
      <c r="B4040" s="2" t="s">
        <v>9201</v>
      </c>
      <c r="C4040" s="2" t="s">
        <v>17</v>
      </c>
      <c r="D4040" s="2" t="s">
        <v>55</v>
      </c>
      <c r="E4040" s="5" t="s">
        <v>753</v>
      </c>
      <c r="F4040" s="3" t="s">
        <v>754</v>
      </c>
      <c r="G4040" s="3" t="s">
        <v>34</v>
      </c>
      <c r="H4040" s="2" t="s">
        <v>35</v>
      </c>
      <c r="I4040" s="2" t="s">
        <v>9202</v>
      </c>
      <c r="J4040" s="3" t="str">
        <f>HYPERLINK("https://www.boe.es/gazeta/dias/1834/04/21/pdfs/GMD-1834-60.pdf#page=1","Abrir facsímil")</f>
        <v>Abrir facsímil</v>
      </c>
      <c r="K4040" s="3" t="s">
        <v>37</v>
      </c>
    </row>
    <row r="4041" spans="1:11" ht="54" customHeight="1">
      <c r="A4041" s="2" t="s">
        <v>9203</v>
      </c>
      <c r="B4041" s="2" t="s">
        <v>9204</v>
      </c>
      <c r="C4041" s="2" t="s">
        <v>17</v>
      </c>
      <c r="D4041" s="2" t="s">
        <v>18</v>
      </c>
      <c r="E4041" s="5" t="s">
        <v>3699</v>
      </c>
      <c r="F4041" s="3" t="s">
        <v>3700</v>
      </c>
      <c r="G4041" s="3" t="s">
        <v>34</v>
      </c>
      <c r="H4041" s="2" t="s">
        <v>22</v>
      </c>
      <c r="I4041" s="2" t="s">
        <v>9205</v>
      </c>
      <c r="J4041" s="3" t="str">
        <f>HYPERLINK("https://www.boe.es/gazeta/dias/1834/02/06/pdfs/GMD-1834-17.pdf#page=1","Abrir facsímil")</f>
        <v>Abrir facsímil</v>
      </c>
      <c r="K4041" s="3" t="s">
        <v>24</v>
      </c>
    </row>
    <row r="4042" spans="1:11" ht="54" customHeight="1">
      <c r="A4042" s="2" t="s">
        <v>9206</v>
      </c>
      <c r="B4042" s="2" t="s">
        <v>9207</v>
      </c>
      <c r="C4042" s="2" t="s">
        <v>46</v>
      </c>
      <c r="D4042" s="2" t="s">
        <v>55</v>
      </c>
      <c r="E4042" s="5" t="s">
        <v>479</v>
      </c>
      <c r="F4042" s="3" t="s">
        <v>2258</v>
      </c>
      <c r="G4042" s="3" t="s">
        <v>86</v>
      </c>
      <c r="H4042" s="2" t="s">
        <v>22</v>
      </c>
      <c r="I4042" s="2" t="s">
        <v>9208</v>
      </c>
      <c r="J4042" s="3" t="str">
        <f>HYPERLINK("https://www.boe.es/gazeta/dias/1834/08/13/pdfs/GMD-C-1834-178.pdf#page=2","Abrir facsímil")</f>
        <v>Abrir facsímil</v>
      </c>
      <c r="K4042" s="3" t="s">
        <v>24</v>
      </c>
    </row>
    <row r="4043" spans="1:11" ht="54" customHeight="1">
      <c r="A4043" s="2" t="s">
        <v>9209</v>
      </c>
      <c r="B4043" s="2" t="s">
        <v>9210</v>
      </c>
      <c r="C4043" s="2" t="s">
        <v>90</v>
      </c>
      <c r="D4043" s="2" t="s">
        <v>18</v>
      </c>
      <c r="E4043" s="5" t="s">
        <v>1692</v>
      </c>
      <c r="F4043" s="3" t="s">
        <v>1693</v>
      </c>
      <c r="G4043" s="3" t="s">
        <v>21</v>
      </c>
      <c r="H4043" s="2" t="s">
        <v>22</v>
      </c>
      <c r="I4043" s="2" t="s">
        <v>9211</v>
      </c>
      <c r="J4043" s="3" t="str">
        <f>HYPERLINK("https://www.boe.es/gazeta/dias/1834/07/29/pdfs/GMD-1834-162.pdf#page=3","Abrir facsímil")</f>
        <v>Abrir facsímil</v>
      </c>
      <c r="K4043" s="3" t="s">
        <v>24</v>
      </c>
    </row>
    <row r="4044" spans="1:11" ht="54" customHeight="1">
      <c r="A4044" s="2" t="s">
        <v>9212</v>
      </c>
      <c r="B4044" s="2" t="s">
        <v>9213</v>
      </c>
      <c r="C4044" s="2" t="s">
        <v>17</v>
      </c>
      <c r="D4044" s="2" t="s">
        <v>18</v>
      </c>
      <c r="E4044" s="5" t="s">
        <v>506</v>
      </c>
      <c r="F4044" s="3" t="s">
        <v>507</v>
      </c>
      <c r="G4044" s="3" t="s">
        <v>86</v>
      </c>
      <c r="H4044" s="2" t="s">
        <v>22</v>
      </c>
      <c r="I4044" s="2" t="s">
        <v>9214</v>
      </c>
      <c r="J4044" s="3" t="str">
        <f>HYPERLINK("https://www.boe.es/gazeta/dias/1834/03/04/pdfs/GMD-1834-28.pdf#page=2","Abrir facsímil")</f>
        <v>Abrir facsímil</v>
      </c>
      <c r="K4044" s="3" t="s">
        <v>24</v>
      </c>
    </row>
    <row r="4045" spans="1:11" ht="54" customHeight="1">
      <c r="A4045" s="2" t="s">
        <v>9215</v>
      </c>
      <c r="B4045" s="2" t="s">
        <v>9216</v>
      </c>
      <c r="C4045" s="2" t="s">
        <v>17</v>
      </c>
      <c r="D4045" s="2" t="s">
        <v>18</v>
      </c>
      <c r="E4045" s="5" t="s">
        <v>426</v>
      </c>
      <c r="F4045" s="3" t="s">
        <v>427</v>
      </c>
      <c r="G4045" s="3" t="s">
        <v>75</v>
      </c>
      <c r="H4045" s="2" t="s">
        <v>35</v>
      </c>
      <c r="I4045" s="2" t="s">
        <v>9217</v>
      </c>
      <c r="J4045" s="3" t="str">
        <f>HYPERLINK("https://www.boe.es/gazeta/dias/1834/10/04/pdfs/GMD-1834-232.pdf#page=4","Abrir facsímil")</f>
        <v>Abrir facsímil</v>
      </c>
      <c r="K4045" s="3" t="s">
        <v>37</v>
      </c>
    </row>
    <row r="4046" spans="1:11" ht="54" customHeight="1">
      <c r="A4046" s="2" t="s">
        <v>9215</v>
      </c>
      <c r="B4046" s="2" t="s">
        <v>9216</v>
      </c>
      <c r="C4046" s="2" t="s">
        <v>66</v>
      </c>
      <c r="D4046" s="2" t="s">
        <v>67</v>
      </c>
      <c r="E4046" s="5" t="s">
        <v>364</v>
      </c>
      <c r="F4046" s="3" t="s">
        <v>365</v>
      </c>
      <c r="G4046" s="3" t="s">
        <v>34</v>
      </c>
      <c r="H4046" s="2" t="s">
        <v>35</v>
      </c>
      <c r="I4046" s="2" t="s">
        <v>9218</v>
      </c>
      <c r="J4046" s="3" t="str">
        <f>HYPERLINK("https://www.boe.es/gazeta/dias/1834/09/06/pdfs/GMD-D-1834-204.pdf#page=1","Abrir facsímil")</f>
        <v>Abrir facsímil</v>
      </c>
      <c r="K4046" s="3" t="s">
        <v>37</v>
      </c>
    </row>
    <row r="4047" spans="1:11" ht="54" customHeight="1">
      <c r="A4047" s="2" t="s">
        <v>9215</v>
      </c>
      <c r="B4047" s="2" t="s">
        <v>9216</v>
      </c>
      <c r="C4047" s="2" t="s">
        <v>66</v>
      </c>
      <c r="D4047" s="2" t="s">
        <v>67</v>
      </c>
      <c r="E4047" s="5" t="s">
        <v>448</v>
      </c>
      <c r="F4047" s="3" t="s">
        <v>2058</v>
      </c>
      <c r="G4047" s="3" t="s">
        <v>86</v>
      </c>
      <c r="H4047" s="2" t="s">
        <v>35</v>
      </c>
      <c r="I4047" s="2" t="s">
        <v>9219</v>
      </c>
      <c r="J4047" s="3" t="str">
        <f>HYPERLINK("https://www.boe.es/gazeta/dias/1834/10/14/pdfs/GMD-1834-242.pdf#page=2","Abrir facsímil")</f>
        <v>Abrir facsímil</v>
      </c>
      <c r="K4047" s="3" t="s">
        <v>37</v>
      </c>
    </row>
    <row r="4048" spans="1:11" ht="54" customHeight="1">
      <c r="A4048" s="2" t="s">
        <v>9215</v>
      </c>
      <c r="B4048" s="2" t="s">
        <v>9216</v>
      </c>
      <c r="C4048" s="2" t="s">
        <v>66</v>
      </c>
      <c r="D4048" s="2" t="s">
        <v>67</v>
      </c>
      <c r="E4048" s="5" t="s">
        <v>268</v>
      </c>
      <c r="F4048" s="3" t="s">
        <v>3529</v>
      </c>
      <c r="G4048" s="3" t="s">
        <v>21</v>
      </c>
      <c r="H4048" s="2" t="s">
        <v>35</v>
      </c>
      <c r="I4048" s="2" t="s">
        <v>9220</v>
      </c>
      <c r="J4048" s="3" t="str">
        <f>HYPERLINK("https://www.boe.es/gazeta/dias/1834/12/19/pdfs/GMD-1834-309.pdf#page=3","Abrir facsímil")</f>
        <v>Abrir facsímil</v>
      </c>
      <c r="K4048" s="3" t="s">
        <v>37</v>
      </c>
    </row>
    <row r="4049" spans="1:11" ht="54" customHeight="1">
      <c r="A4049" s="2" t="s">
        <v>9221</v>
      </c>
      <c r="B4049" s="2" t="s">
        <v>9222</v>
      </c>
      <c r="C4049" s="2" t="s">
        <v>90</v>
      </c>
      <c r="D4049" s="2" t="s">
        <v>18</v>
      </c>
      <c r="E4049" s="5" t="s">
        <v>32</v>
      </c>
      <c r="F4049" s="3" t="s">
        <v>33</v>
      </c>
      <c r="G4049" s="3" t="s">
        <v>34</v>
      </c>
      <c r="H4049" s="2" t="s">
        <v>22</v>
      </c>
      <c r="I4049" s="2" t="s">
        <v>9223</v>
      </c>
      <c r="J4049" s="3" t="str">
        <f>HYPERLINK("https://www.boe.es/gazeta/dias/1834/04/23/pdfs/GMD-1834-62.pdf#page=1","Abrir facsímil")</f>
        <v>Abrir facsímil</v>
      </c>
      <c r="K4049" s="3" t="s">
        <v>24</v>
      </c>
    </row>
    <row r="4050" spans="1:11" ht="54" customHeight="1">
      <c r="A4050" s="2" t="s">
        <v>9224</v>
      </c>
      <c r="B4050" s="2" t="s">
        <v>9225</v>
      </c>
      <c r="C4050" s="2" t="s">
        <v>66</v>
      </c>
      <c r="D4050" s="2" t="s">
        <v>67</v>
      </c>
      <c r="E4050" s="5" t="s">
        <v>448</v>
      </c>
      <c r="F4050" s="3" t="s">
        <v>2058</v>
      </c>
      <c r="G4050" s="3" t="s">
        <v>75</v>
      </c>
      <c r="H4050" s="2" t="s">
        <v>22</v>
      </c>
      <c r="I4050" s="2" t="s">
        <v>9226</v>
      </c>
      <c r="J4050" s="3" t="str">
        <f>HYPERLINK("https://www.boe.es/gazeta/dias/1834/10/14/pdfs/GMD-1834-242.pdf#page=4","Abrir facsímil")</f>
        <v>Abrir facsímil</v>
      </c>
      <c r="K4050" s="3" t="s">
        <v>24</v>
      </c>
    </row>
    <row r="4051" spans="1:11" ht="54" customHeight="1">
      <c r="A4051" s="2" t="s">
        <v>9227</v>
      </c>
      <c r="B4051" s="2" t="s">
        <v>9228</v>
      </c>
      <c r="C4051" s="2" t="s">
        <v>66</v>
      </c>
      <c r="D4051" s="2" t="s">
        <v>101</v>
      </c>
      <c r="E4051" s="5" t="s">
        <v>32</v>
      </c>
      <c r="F4051" s="3" t="s">
        <v>33</v>
      </c>
      <c r="G4051" s="3" t="s">
        <v>34</v>
      </c>
      <c r="H4051" s="2" t="s">
        <v>22</v>
      </c>
      <c r="I4051" s="2" t="s">
        <v>9229</v>
      </c>
      <c r="J4051" s="3" t="str">
        <f>HYPERLINK("https://www.boe.es/gazeta/dias/1834/04/23/pdfs/GMD-1834-62.pdf#page=1","Abrir facsímil")</f>
        <v>Abrir facsímil</v>
      </c>
      <c r="K4051" s="3" t="s">
        <v>24</v>
      </c>
    </row>
    <row r="4052" spans="1:11" ht="54" customHeight="1">
      <c r="A4052" s="2" t="s">
        <v>9230</v>
      </c>
      <c r="B4052" s="2" t="s">
        <v>9231</v>
      </c>
      <c r="C4052" s="2" t="s">
        <v>66</v>
      </c>
      <c r="D4052" s="2" t="s">
        <v>18</v>
      </c>
      <c r="E4052" s="5" t="s">
        <v>1297</v>
      </c>
      <c r="F4052" s="3" t="s">
        <v>1879</v>
      </c>
      <c r="G4052" s="3" t="s">
        <v>34</v>
      </c>
      <c r="H4052" s="2" t="s">
        <v>22</v>
      </c>
      <c r="I4052" s="2" t="s">
        <v>9232</v>
      </c>
      <c r="J4052" s="3" t="str">
        <f>HYPERLINK("https://www.boe.es/gazeta/dias/1834/08/01/pdfs/GMD-D-1834-165.pdf#page=1","Abrir facsímil")</f>
        <v>Abrir facsímil</v>
      </c>
      <c r="K4052" s="3" t="s">
        <v>24</v>
      </c>
    </row>
    <row r="4053" spans="1:11" ht="54" customHeight="1">
      <c r="A4053" s="2" t="s">
        <v>9230</v>
      </c>
      <c r="B4053" s="2" t="s">
        <v>9231</v>
      </c>
      <c r="C4053" s="2" t="s">
        <v>17</v>
      </c>
      <c r="D4053" s="2" t="s">
        <v>18</v>
      </c>
      <c r="E4053" s="5" t="s">
        <v>426</v>
      </c>
      <c r="F4053" s="3" t="s">
        <v>427</v>
      </c>
      <c r="G4053" s="3" t="s">
        <v>75</v>
      </c>
      <c r="H4053" s="2" t="s">
        <v>22</v>
      </c>
      <c r="I4053" s="2" t="s">
        <v>9233</v>
      </c>
      <c r="J4053" s="3" t="str">
        <f>HYPERLINK("https://www.boe.es/gazeta/dias/1834/10/04/pdfs/GMD-1834-232.pdf#page=4","Abrir facsímil")</f>
        <v>Abrir facsímil</v>
      </c>
      <c r="K4053" s="3" t="s">
        <v>24</v>
      </c>
    </row>
    <row r="4054" spans="1:11" ht="54" customHeight="1">
      <c r="A4054" s="2" t="s">
        <v>9230</v>
      </c>
      <c r="B4054" s="2" t="s">
        <v>9231</v>
      </c>
      <c r="C4054" s="2" t="s">
        <v>66</v>
      </c>
      <c r="D4054" s="2" t="s">
        <v>67</v>
      </c>
      <c r="E4054" s="5" t="s">
        <v>364</v>
      </c>
      <c r="F4054" s="3" t="s">
        <v>365</v>
      </c>
      <c r="G4054" s="3" t="s">
        <v>34</v>
      </c>
      <c r="H4054" s="2" t="s">
        <v>22</v>
      </c>
      <c r="I4054" s="2" t="s">
        <v>9234</v>
      </c>
      <c r="J4054" s="3" t="str">
        <f>HYPERLINK("https://www.boe.es/gazeta/dias/1834/09/06/pdfs/GMD-D-1834-204.pdf#page=1","Abrir facsímil")</f>
        <v>Abrir facsímil</v>
      </c>
      <c r="K4054" s="3" t="s">
        <v>24</v>
      </c>
    </row>
    <row r="4055" spans="1:11" ht="54" customHeight="1">
      <c r="A4055" s="2" t="s">
        <v>9230</v>
      </c>
      <c r="B4055" s="2" t="s">
        <v>9231</v>
      </c>
      <c r="C4055" s="2" t="s">
        <v>46</v>
      </c>
      <c r="D4055" s="2" t="s">
        <v>18</v>
      </c>
      <c r="E4055" s="5" t="s">
        <v>123</v>
      </c>
      <c r="F4055" s="3" t="s">
        <v>124</v>
      </c>
      <c r="G4055" s="3" t="s">
        <v>21</v>
      </c>
      <c r="H4055" s="2" t="s">
        <v>22</v>
      </c>
      <c r="I4055" s="2" t="s">
        <v>9235</v>
      </c>
      <c r="J4055" s="3" t="str">
        <f>HYPERLINK("https://www.boe.es/gazeta/dias/1834/07/11/pdfs/GMD-1834-144.pdf#page=3","Abrir facsímil")</f>
        <v>Abrir facsímil</v>
      </c>
      <c r="K4055" s="3" t="s">
        <v>24</v>
      </c>
    </row>
    <row r="4056" spans="1:11" ht="54" customHeight="1">
      <c r="A4056" s="2" t="s">
        <v>9230</v>
      </c>
      <c r="B4056" s="2" t="s">
        <v>9231</v>
      </c>
      <c r="C4056" s="2" t="s">
        <v>17</v>
      </c>
      <c r="D4056" s="2" t="s">
        <v>18</v>
      </c>
      <c r="E4056" s="5" t="s">
        <v>479</v>
      </c>
      <c r="F4056" s="3" t="s">
        <v>2258</v>
      </c>
      <c r="G4056" s="3" t="s">
        <v>21</v>
      </c>
      <c r="H4056" s="2" t="s">
        <v>22</v>
      </c>
      <c r="I4056" s="2" t="s">
        <v>9236</v>
      </c>
      <c r="J4056" s="3" t="str">
        <f>HYPERLINK("https://www.boe.es/gazeta/dias/1834/08/13/pdfs/GMD-C-1834-178.pdf#page=3","Abrir facsímil")</f>
        <v>Abrir facsímil</v>
      </c>
      <c r="K4056" s="3" t="s">
        <v>24</v>
      </c>
    </row>
    <row r="4057" spans="1:11" ht="54" customHeight="1">
      <c r="A4057" s="2" t="s">
        <v>9230</v>
      </c>
      <c r="B4057" s="2" t="s">
        <v>9231</v>
      </c>
      <c r="C4057" s="2" t="s">
        <v>66</v>
      </c>
      <c r="D4057" s="2" t="s">
        <v>67</v>
      </c>
      <c r="E4057" s="5" t="s">
        <v>448</v>
      </c>
      <c r="F4057" s="3" t="s">
        <v>2058</v>
      </c>
      <c r="G4057" s="3" t="s">
        <v>86</v>
      </c>
      <c r="H4057" s="2" t="s">
        <v>22</v>
      </c>
      <c r="I4057" s="2" t="s">
        <v>9237</v>
      </c>
      <c r="J4057" s="3" t="str">
        <f>HYPERLINK("https://www.boe.es/gazeta/dias/1834/10/14/pdfs/GMD-1834-242.pdf#page=2","Abrir facsímil")</f>
        <v>Abrir facsímil</v>
      </c>
      <c r="K4057" s="3" t="s">
        <v>24</v>
      </c>
    </row>
    <row r="4058" spans="1:11" ht="54" customHeight="1">
      <c r="A4058" s="2" t="s">
        <v>9230</v>
      </c>
      <c r="B4058" s="2" t="s">
        <v>9231</v>
      </c>
      <c r="C4058" s="2" t="s">
        <v>66</v>
      </c>
      <c r="D4058" s="2" t="s">
        <v>67</v>
      </c>
      <c r="E4058" s="5" t="s">
        <v>268</v>
      </c>
      <c r="F4058" s="3" t="s">
        <v>3529</v>
      </c>
      <c r="G4058" s="3" t="s">
        <v>21</v>
      </c>
      <c r="H4058" s="2" t="s">
        <v>22</v>
      </c>
      <c r="I4058" s="2" t="s">
        <v>9238</v>
      </c>
      <c r="J4058" s="3" t="str">
        <f>HYPERLINK("https://www.boe.es/gazeta/dias/1834/12/19/pdfs/GMD-1834-309.pdf#page=3","Abrir facsímil")</f>
        <v>Abrir facsímil</v>
      </c>
      <c r="K4058" s="3" t="s">
        <v>24</v>
      </c>
    </row>
    <row r="4059" spans="1:11" ht="54" customHeight="1">
      <c r="A4059" s="2" t="s">
        <v>9239</v>
      </c>
      <c r="B4059" s="2" t="s">
        <v>9240</v>
      </c>
      <c r="C4059" s="2" t="s">
        <v>17</v>
      </c>
      <c r="D4059" s="2" t="s">
        <v>18</v>
      </c>
      <c r="E4059" s="5" t="s">
        <v>2260</v>
      </c>
      <c r="F4059" s="3" t="s">
        <v>2261</v>
      </c>
      <c r="G4059" s="3" t="s">
        <v>34</v>
      </c>
      <c r="H4059" s="2" t="s">
        <v>22</v>
      </c>
      <c r="I4059" s="2" t="s">
        <v>9241</v>
      </c>
      <c r="J4059" s="3" t="str">
        <f>HYPERLINK("https://www.boe.es/gazeta/dias/1834/11/13/pdfs/GMD-1834-272.pdf#page=1","Abrir facsímil")</f>
        <v>Abrir facsímil</v>
      </c>
      <c r="K4059" s="3" t="s">
        <v>24</v>
      </c>
    </row>
    <row r="4060" spans="1:11" ht="54" customHeight="1">
      <c r="A4060" s="2" t="s">
        <v>9239</v>
      </c>
      <c r="B4060" s="2" t="s">
        <v>9240</v>
      </c>
      <c r="C4060" s="2" t="s">
        <v>90</v>
      </c>
      <c r="D4060" s="2" t="s">
        <v>18</v>
      </c>
      <c r="E4060" s="5" t="s">
        <v>541</v>
      </c>
      <c r="F4060" s="3" t="s">
        <v>542</v>
      </c>
      <c r="G4060" s="3" t="s">
        <v>86</v>
      </c>
      <c r="H4060" s="2" t="s">
        <v>22</v>
      </c>
      <c r="I4060" s="2" t="s">
        <v>9242</v>
      </c>
      <c r="J4060" s="3" t="str">
        <f>HYPERLINK("https://www.boe.es/gazeta/dias/1834/04/18/pdfs/GMD-1834-57.pdf#page=2","Abrir facsímil")</f>
        <v>Abrir facsímil</v>
      </c>
      <c r="K4060" s="3" t="s">
        <v>24</v>
      </c>
    </row>
    <row r="4061" spans="1:11" ht="54" customHeight="1">
      <c r="A4061" s="2" t="s">
        <v>9239</v>
      </c>
      <c r="B4061" s="2" t="s">
        <v>9240</v>
      </c>
      <c r="C4061" s="2" t="s">
        <v>17</v>
      </c>
      <c r="D4061" s="2" t="s">
        <v>40</v>
      </c>
      <c r="E4061" s="5" t="s">
        <v>4064</v>
      </c>
      <c r="F4061" s="3" t="s">
        <v>4065</v>
      </c>
      <c r="G4061" s="3" t="s">
        <v>75</v>
      </c>
      <c r="H4061" s="2" t="s">
        <v>22</v>
      </c>
      <c r="I4061" s="2" t="s">
        <v>9243</v>
      </c>
      <c r="J4061" s="3" t="str">
        <f>HYPERLINK("https://www.boe.es/gazeta/dias/1834/07/22/pdfs/GMD-1834-155.pdf#page=4","Abrir facsímil")</f>
        <v>Abrir facsímil</v>
      </c>
      <c r="K4061" s="3" t="s">
        <v>24</v>
      </c>
    </row>
    <row r="4062" spans="1:11" ht="54" customHeight="1">
      <c r="A4062" s="2" t="s">
        <v>9244</v>
      </c>
      <c r="B4062" s="2" t="s">
        <v>9245</v>
      </c>
      <c r="C4062" s="2" t="s">
        <v>66</v>
      </c>
      <c r="D4062" s="2" t="s">
        <v>67</v>
      </c>
      <c r="E4062" s="5" t="s">
        <v>375</v>
      </c>
      <c r="F4062" s="3" t="s">
        <v>376</v>
      </c>
      <c r="G4062" s="3" t="s">
        <v>75</v>
      </c>
      <c r="H4062" s="2" t="s">
        <v>22</v>
      </c>
      <c r="I4062" s="2" t="s">
        <v>9246</v>
      </c>
      <c r="J4062" s="3" t="str">
        <f>HYPERLINK("https://www.boe.es/gazeta/dias/1834/08/21/pdfs/GMD-1834-187.pdf#page=4","Abrir facsímil")</f>
        <v>Abrir facsímil</v>
      </c>
      <c r="K4062" s="3" t="s">
        <v>24</v>
      </c>
    </row>
    <row r="4063" spans="1:11" ht="54" customHeight="1">
      <c r="A4063" s="2" t="s">
        <v>9247</v>
      </c>
      <c r="B4063" s="2" t="s">
        <v>9248</v>
      </c>
      <c r="C4063" s="2" t="s">
        <v>90</v>
      </c>
      <c r="D4063" s="2" t="s">
        <v>18</v>
      </c>
      <c r="E4063" s="5" t="s">
        <v>541</v>
      </c>
      <c r="F4063" s="3" t="s">
        <v>542</v>
      </c>
      <c r="G4063" s="3" t="s">
        <v>86</v>
      </c>
      <c r="H4063" s="2" t="s">
        <v>22</v>
      </c>
      <c r="I4063" s="2" t="s">
        <v>9249</v>
      </c>
      <c r="J4063" s="3" t="str">
        <f>HYPERLINK("https://www.boe.es/gazeta/dias/1834/04/18/pdfs/GMD-1834-57.pdf#page=2","Abrir facsímil")</f>
        <v>Abrir facsímil</v>
      </c>
      <c r="K4063" s="3" t="s">
        <v>24</v>
      </c>
    </row>
    <row r="4064" spans="1:11" ht="54" customHeight="1">
      <c r="A4064" s="2" t="s">
        <v>9250</v>
      </c>
      <c r="B4064" s="2" t="s">
        <v>9251</v>
      </c>
      <c r="C4064" s="2" t="s">
        <v>17</v>
      </c>
      <c r="D4064" s="2" t="s">
        <v>18</v>
      </c>
      <c r="E4064" s="5" t="s">
        <v>19</v>
      </c>
      <c r="F4064" s="3" t="s">
        <v>107</v>
      </c>
      <c r="G4064" s="3" t="s">
        <v>75</v>
      </c>
      <c r="H4064" s="2" t="s">
        <v>22</v>
      </c>
      <c r="I4064" s="2" t="s">
        <v>9252</v>
      </c>
      <c r="J4064" s="3" t="str">
        <f>HYPERLINK("https://www.boe.es/gazeta/dias/1834/08/17/pdfs/GMD-1834-182.pdf#page=4","Abrir facsímil")</f>
        <v>Abrir facsímil</v>
      </c>
      <c r="K4064" s="3" t="s">
        <v>24</v>
      </c>
    </row>
    <row r="4065" spans="1:11" ht="54" customHeight="1">
      <c r="A4065" s="2" t="s">
        <v>9253</v>
      </c>
      <c r="B4065" s="2" t="s">
        <v>9254</v>
      </c>
      <c r="C4065" s="2" t="s">
        <v>66</v>
      </c>
      <c r="D4065" s="2" t="s">
        <v>67</v>
      </c>
      <c r="E4065" s="5" t="s">
        <v>56</v>
      </c>
      <c r="F4065" s="3" t="s">
        <v>57</v>
      </c>
      <c r="G4065" s="3" t="s">
        <v>21</v>
      </c>
      <c r="H4065" s="2" t="s">
        <v>22</v>
      </c>
      <c r="I4065" s="2" t="s">
        <v>9255</v>
      </c>
      <c r="J4065" s="3" t="str">
        <f>HYPERLINK("https://www.boe.es/gazeta/dias/1834/07/09/pdfs/GMD-1834-142.pdf#page=3","Abrir facsímil")</f>
        <v>Abrir facsímil</v>
      </c>
      <c r="K4065" s="3" t="s">
        <v>24</v>
      </c>
    </row>
    <row r="4066" spans="1:11" ht="54" customHeight="1">
      <c r="A4066" s="2" t="s">
        <v>9256</v>
      </c>
      <c r="B4066" s="2" t="s">
        <v>9257</v>
      </c>
      <c r="C4066" s="2" t="s">
        <v>66</v>
      </c>
      <c r="D4066" s="2" t="s">
        <v>18</v>
      </c>
      <c r="E4066" s="5" t="s">
        <v>1394</v>
      </c>
      <c r="F4066" s="3" t="s">
        <v>2923</v>
      </c>
      <c r="G4066" s="3" t="s">
        <v>34</v>
      </c>
      <c r="H4066" s="2" t="s">
        <v>22</v>
      </c>
      <c r="I4066" s="2" t="s">
        <v>9258</v>
      </c>
      <c r="J4066" s="3" t="str">
        <f>HYPERLINK("https://www.boe.es/gazeta/dias/1834/04/16/pdfs/GMD-C-1834-55.pdf#page=1","Abrir facsímil")</f>
        <v>Abrir facsímil</v>
      </c>
      <c r="K4066" s="3" t="s">
        <v>24</v>
      </c>
    </row>
    <row r="4067" spans="1:11" ht="54" customHeight="1">
      <c r="A4067" s="2" t="s">
        <v>9259</v>
      </c>
      <c r="B4067" s="2" t="s">
        <v>9260</v>
      </c>
      <c r="C4067" s="2" t="s">
        <v>17</v>
      </c>
      <c r="D4067" s="2" t="s">
        <v>18</v>
      </c>
      <c r="E4067" s="5" t="s">
        <v>563</v>
      </c>
      <c r="F4067" s="3" t="s">
        <v>564</v>
      </c>
      <c r="G4067" s="3" t="s">
        <v>34</v>
      </c>
      <c r="H4067" s="2" t="s">
        <v>22</v>
      </c>
      <c r="I4067" s="2" t="s">
        <v>9261</v>
      </c>
      <c r="J4067" s="3" t="str">
        <f>HYPERLINK("https://www.boe.es/gazeta/dias/1834/04/19/pdfs/GMD-1834-58.pdf#page=1","Abrir facsímil")</f>
        <v>Abrir facsímil</v>
      </c>
      <c r="K4067" s="3" t="s">
        <v>24</v>
      </c>
    </row>
    <row r="4068" spans="1:11" ht="54" customHeight="1">
      <c r="A4068" s="2" t="s">
        <v>9262</v>
      </c>
      <c r="B4068" s="2" t="s">
        <v>9263</v>
      </c>
      <c r="C4068" s="2" t="s">
        <v>17</v>
      </c>
      <c r="D4068" s="2" t="s">
        <v>18</v>
      </c>
      <c r="E4068" s="5" t="s">
        <v>1017</v>
      </c>
      <c r="F4068" s="3" t="s">
        <v>1018</v>
      </c>
      <c r="G4068" s="3" t="s">
        <v>21</v>
      </c>
      <c r="H4068" s="2" t="s">
        <v>22</v>
      </c>
      <c r="I4068" s="2" t="s">
        <v>9264</v>
      </c>
      <c r="J4068" s="3" t="str">
        <f>HYPERLINK("https://www.boe.es/gazeta/dias/1834/07/24/pdfs/GMD-1834-157.pdf#page=3","Abrir facsímil")</f>
        <v>Abrir facsímil</v>
      </c>
      <c r="K4068" s="3" t="s">
        <v>24</v>
      </c>
    </row>
    <row r="4069" spans="1:11" ht="54" customHeight="1">
      <c r="A4069" s="2" t="s">
        <v>9265</v>
      </c>
      <c r="B4069" s="2" t="s">
        <v>9266</v>
      </c>
      <c r="C4069" s="2" t="s">
        <v>66</v>
      </c>
      <c r="D4069" s="2" t="s">
        <v>67</v>
      </c>
      <c r="E4069" s="5" t="s">
        <v>919</v>
      </c>
      <c r="F4069" s="3" t="s">
        <v>920</v>
      </c>
      <c r="G4069" s="3" t="s">
        <v>86</v>
      </c>
      <c r="H4069" s="2" t="s">
        <v>22</v>
      </c>
      <c r="I4069" s="2" t="s">
        <v>9267</v>
      </c>
      <c r="J4069" s="3" t="str">
        <f>HYPERLINK("https://www.boe.es/gazeta/dias/1834/06/24/pdfs/GMD-1834-127.pdf#page=2","Abrir facsímil")</f>
        <v>Abrir facsímil</v>
      </c>
      <c r="K4069" s="3" t="s">
        <v>24</v>
      </c>
    </row>
    <row r="4070" spans="1:11" ht="54" customHeight="1">
      <c r="A4070" s="2" t="s">
        <v>9268</v>
      </c>
      <c r="B4070" s="2" t="s">
        <v>9269</v>
      </c>
      <c r="C4070" s="2" t="s">
        <v>90</v>
      </c>
      <c r="D4070" s="2" t="s">
        <v>55</v>
      </c>
      <c r="E4070" s="5" t="s">
        <v>690</v>
      </c>
      <c r="F4070" s="3" t="s">
        <v>5765</v>
      </c>
      <c r="G4070" s="3" t="s">
        <v>86</v>
      </c>
      <c r="H4070" s="2" t="s">
        <v>22</v>
      </c>
      <c r="I4070" s="2" t="s">
        <v>9270</v>
      </c>
      <c r="J4070" s="3" t="str">
        <f>HYPERLINK("https://www.boe.es/gazeta/dias/1834/09/03/pdfs/GMD-1834-201.pdf#page=2","Abrir facsímil")</f>
        <v>Abrir facsímil</v>
      </c>
      <c r="K4070" s="3" t="s">
        <v>24</v>
      </c>
    </row>
    <row r="4071" spans="1:11" ht="54" customHeight="1">
      <c r="A4071" s="2" t="s">
        <v>9271</v>
      </c>
      <c r="B4071" s="2" t="s">
        <v>9272</v>
      </c>
      <c r="C4071" s="2" t="s">
        <v>17</v>
      </c>
      <c r="D4071" s="2" t="s">
        <v>18</v>
      </c>
      <c r="E4071" s="5" t="s">
        <v>433</v>
      </c>
      <c r="F4071" s="3" t="s">
        <v>2773</v>
      </c>
      <c r="G4071" s="3" t="s">
        <v>86</v>
      </c>
      <c r="H4071" s="2" t="s">
        <v>22</v>
      </c>
      <c r="I4071" s="2" t="s">
        <v>9273</v>
      </c>
      <c r="J4071" s="3" t="str">
        <f>HYPERLINK("https://www.boe.es/gazeta/dias/1834/10/07/pdfs/I00986-00987.pdf#page=2","Abrir facsímil")</f>
        <v>Abrir facsímil</v>
      </c>
      <c r="K4071" s="3" t="s">
        <v>24</v>
      </c>
    </row>
    <row r="4072" spans="1:11" ht="54" customHeight="1">
      <c r="A4072" s="2" t="s">
        <v>9271</v>
      </c>
      <c r="B4072" s="2" t="s">
        <v>9272</v>
      </c>
      <c r="C4072" s="2" t="s">
        <v>17</v>
      </c>
      <c r="D4072" s="2" t="s">
        <v>18</v>
      </c>
      <c r="E4072" s="5" t="s">
        <v>433</v>
      </c>
      <c r="F4072" s="3" t="s">
        <v>2773</v>
      </c>
      <c r="G4072" s="3" t="s">
        <v>21</v>
      </c>
      <c r="H4072" s="2" t="s">
        <v>22</v>
      </c>
      <c r="I4072" s="2" t="s">
        <v>9273</v>
      </c>
      <c r="J4072" s="3" t="str">
        <f>HYPERLINK("https://www.boe.es/gazeta/dias/1834/10/07/pdfs/GMD-1834-235.pdf#page=3","Abrir facsímil")</f>
        <v>Abrir facsímil</v>
      </c>
      <c r="K4072" s="3" t="s">
        <v>24</v>
      </c>
    </row>
    <row r="4073" spans="1:11" ht="54" customHeight="1">
      <c r="A4073" s="2" t="s">
        <v>9274</v>
      </c>
      <c r="B4073" s="2" t="s">
        <v>9275</v>
      </c>
      <c r="C4073" s="2" t="s">
        <v>17</v>
      </c>
      <c r="D4073" s="2" t="s">
        <v>18</v>
      </c>
      <c r="E4073" s="5" t="s">
        <v>3036</v>
      </c>
      <c r="F4073" s="3" t="s">
        <v>3037</v>
      </c>
      <c r="G4073" s="3" t="s">
        <v>28</v>
      </c>
      <c r="H4073" s="2" t="s">
        <v>22</v>
      </c>
      <c r="I4073" s="2" t="s">
        <v>9276</v>
      </c>
      <c r="J4073" s="3" t="str">
        <f>HYPERLINK("https://www.boe.es/gazeta/dias/1834/11/18/pdfs/GMD-C-1834-277.pdf#page=5","Abrir facsímil")</f>
        <v>Abrir facsímil</v>
      </c>
      <c r="K4073" s="3" t="s">
        <v>24</v>
      </c>
    </row>
    <row r="4074" spans="1:11" ht="54" customHeight="1">
      <c r="A4074" s="2" t="s">
        <v>9277</v>
      </c>
      <c r="B4074" s="2" t="s">
        <v>9278</v>
      </c>
      <c r="C4074" s="2" t="s">
        <v>17</v>
      </c>
      <c r="D4074" s="2" t="s">
        <v>18</v>
      </c>
      <c r="E4074" s="5" t="s">
        <v>905</v>
      </c>
      <c r="F4074" s="3" t="s">
        <v>1651</v>
      </c>
      <c r="G4074" s="3" t="s">
        <v>21</v>
      </c>
      <c r="H4074" s="2" t="s">
        <v>35</v>
      </c>
      <c r="I4074" s="2" t="s">
        <v>9279</v>
      </c>
      <c r="J4074" s="3" t="str">
        <f>HYPERLINK("https://www.boe.es/gazeta/dias/1834/08/02/pdfs/GMD-1834-166.pdf#page=3","Abrir facsímil")</f>
        <v>Abrir facsímil</v>
      </c>
      <c r="K4074" s="3" t="s">
        <v>37</v>
      </c>
    </row>
    <row r="4075" spans="1:11" ht="54" customHeight="1">
      <c r="A4075" s="2" t="s">
        <v>9280</v>
      </c>
      <c r="B4075" s="2" t="s">
        <v>9281</v>
      </c>
      <c r="C4075" s="2" t="s">
        <v>46</v>
      </c>
      <c r="D4075" s="2" t="s">
        <v>18</v>
      </c>
      <c r="E4075" s="5" t="s">
        <v>222</v>
      </c>
      <c r="F4075" s="3" t="s">
        <v>223</v>
      </c>
      <c r="G4075" s="3" t="s">
        <v>86</v>
      </c>
      <c r="H4075" s="2" t="s">
        <v>22</v>
      </c>
      <c r="I4075" s="2" t="s">
        <v>9282</v>
      </c>
      <c r="J4075" s="3" t="str">
        <f>HYPERLINK("https://www.boe.es/gazeta/dias/1834/09/14/pdfs/GMD-1834-212.pdf#page=2","Abrir facsímil")</f>
        <v>Abrir facsímil</v>
      </c>
      <c r="K4075" s="3" t="s">
        <v>24</v>
      </c>
    </row>
    <row r="4076" spans="1:11" ht="54" customHeight="1">
      <c r="A4076" s="2" t="s">
        <v>9283</v>
      </c>
      <c r="B4076" s="2" t="s">
        <v>9284</v>
      </c>
      <c r="C4076" s="2" t="s">
        <v>46</v>
      </c>
      <c r="D4076" s="2" t="s">
        <v>18</v>
      </c>
      <c r="E4076" s="5" t="s">
        <v>2748</v>
      </c>
      <c r="F4076" s="3" t="s">
        <v>2749</v>
      </c>
      <c r="G4076" s="3" t="s">
        <v>34</v>
      </c>
      <c r="H4076" s="2" t="s">
        <v>22</v>
      </c>
      <c r="I4076" s="2" t="s">
        <v>9285</v>
      </c>
      <c r="J4076" s="3" t="str">
        <f>HYPERLINK("https://www.boe.es/gazeta/dias/1834/01/09/pdfs/GMD-1834-5.pdf#page=1","Abrir facsímil")</f>
        <v>Abrir facsímil</v>
      </c>
      <c r="K4076" s="3" t="s">
        <v>24</v>
      </c>
    </row>
    <row r="4077" spans="1:11" ht="54" customHeight="1">
      <c r="A4077" s="2" t="s">
        <v>9286</v>
      </c>
      <c r="B4077" s="2" t="s">
        <v>9287</v>
      </c>
      <c r="C4077" s="2" t="s">
        <v>17</v>
      </c>
      <c r="D4077" s="2" t="s">
        <v>55</v>
      </c>
      <c r="E4077" s="5" t="s">
        <v>1973</v>
      </c>
      <c r="F4077" s="3" t="s">
        <v>4832</v>
      </c>
      <c r="G4077" s="3" t="s">
        <v>21</v>
      </c>
      <c r="H4077" s="2" t="s">
        <v>22</v>
      </c>
      <c r="I4077" s="2" t="s">
        <v>9288</v>
      </c>
      <c r="J4077" s="3" t="str">
        <f>HYPERLINK("https://www.boe.es/gazeta/dias/1834/12/20/pdfs/GMD-1834-310.pdf#page=3","Abrir facsímil")</f>
        <v>Abrir facsímil</v>
      </c>
      <c r="K4077" s="3" t="s">
        <v>24</v>
      </c>
    </row>
    <row r="4078" spans="1:11" ht="54" customHeight="1">
      <c r="A4078" s="2" t="s">
        <v>9289</v>
      </c>
      <c r="B4078" s="2" t="s">
        <v>9290</v>
      </c>
      <c r="C4078" s="2" t="s">
        <v>17</v>
      </c>
      <c r="D4078" s="2" t="s">
        <v>18</v>
      </c>
      <c r="E4078" s="5" t="s">
        <v>399</v>
      </c>
      <c r="F4078" s="3" t="s">
        <v>400</v>
      </c>
      <c r="G4078" s="3" t="s">
        <v>21</v>
      </c>
      <c r="H4078" s="2" t="s">
        <v>35</v>
      </c>
      <c r="I4078" s="2" t="s">
        <v>9291</v>
      </c>
      <c r="J4078" s="3" t="str">
        <f>HYPERLINK("https://www.boe.es/gazeta/dias/1834/07/08/pdfs/GMD-1834-141.pdf#page=3","Abrir facsímil")</f>
        <v>Abrir facsímil</v>
      </c>
      <c r="K4078" s="3" t="s">
        <v>37</v>
      </c>
    </row>
    <row r="4079" spans="1:11" ht="54" customHeight="1">
      <c r="A4079" s="2" t="s">
        <v>9292</v>
      </c>
      <c r="B4079" s="2" t="s">
        <v>9293</v>
      </c>
      <c r="C4079" s="2" t="s">
        <v>17</v>
      </c>
      <c r="D4079" s="2" t="s">
        <v>18</v>
      </c>
      <c r="E4079" s="5" t="s">
        <v>399</v>
      </c>
      <c r="F4079" s="3" t="s">
        <v>400</v>
      </c>
      <c r="G4079" s="3" t="s">
        <v>21</v>
      </c>
      <c r="H4079" s="2" t="s">
        <v>22</v>
      </c>
      <c r="I4079" s="2" t="s">
        <v>9294</v>
      </c>
      <c r="J4079" s="3" t="str">
        <f>HYPERLINK("https://www.boe.es/gazeta/dias/1834/07/08/pdfs/GMD-1834-141.pdf#page=3","Abrir facsímil")</f>
        <v>Abrir facsímil</v>
      </c>
      <c r="K4079" s="3" t="s">
        <v>24</v>
      </c>
    </row>
    <row r="4080" spans="1:11" ht="54" customHeight="1">
      <c r="A4080" s="2" t="s">
        <v>9295</v>
      </c>
      <c r="B4080" s="2" t="s">
        <v>9296</v>
      </c>
      <c r="C4080" s="2" t="s">
        <v>66</v>
      </c>
      <c r="D4080" s="2" t="s">
        <v>67</v>
      </c>
      <c r="E4080" s="5" t="s">
        <v>343</v>
      </c>
      <c r="F4080" s="3" t="s">
        <v>344</v>
      </c>
      <c r="G4080" s="3" t="s">
        <v>75</v>
      </c>
      <c r="H4080" s="2" t="s">
        <v>35</v>
      </c>
      <c r="I4080" s="2" t="s">
        <v>9297</v>
      </c>
      <c r="J4080" s="3" t="str">
        <f>HYPERLINK("https://www.boe.es/gazeta/dias/1834/01/14/pdfs/GMD-1834-7.pdf#page=4","Abrir facsímil")</f>
        <v>Abrir facsímil</v>
      </c>
      <c r="K4080" s="3" t="s">
        <v>37</v>
      </c>
    </row>
    <row r="4081" spans="1:11" ht="54" customHeight="1">
      <c r="A4081" s="2" t="s">
        <v>9298</v>
      </c>
      <c r="B4081" s="2" t="s">
        <v>9299</v>
      </c>
      <c r="C4081" s="2" t="s">
        <v>66</v>
      </c>
      <c r="D4081" s="2" t="s">
        <v>67</v>
      </c>
      <c r="E4081" s="5" t="s">
        <v>343</v>
      </c>
      <c r="F4081" s="3" t="s">
        <v>344</v>
      </c>
      <c r="G4081" s="3" t="s">
        <v>75</v>
      </c>
      <c r="H4081" s="2" t="s">
        <v>22</v>
      </c>
      <c r="I4081" s="2" t="s">
        <v>9300</v>
      </c>
      <c r="J4081" s="3" t="str">
        <f>HYPERLINK("https://www.boe.es/gazeta/dias/1834/01/14/pdfs/GMD-1834-7.pdf#page=4","Abrir facsímil")</f>
        <v>Abrir facsímil</v>
      </c>
      <c r="K4081" s="3" t="s">
        <v>24</v>
      </c>
    </row>
    <row r="4082" spans="1:11" ht="54" customHeight="1">
      <c r="A4082" s="2" t="s">
        <v>9301</v>
      </c>
      <c r="B4082" s="2" t="s">
        <v>9302</v>
      </c>
      <c r="C4082" s="2" t="s">
        <v>122</v>
      </c>
      <c r="D4082" s="2" t="s">
        <v>18</v>
      </c>
      <c r="E4082" s="5" t="s">
        <v>348</v>
      </c>
      <c r="F4082" s="3" t="s">
        <v>501</v>
      </c>
      <c r="G4082" s="3" t="s">
        <v>21</v>
      </c>
      <c r="H4082" s="2" t="s">
        <v>22</v>
      </c>
      <c r="I4082" s="2" t="s">
        <v>9303</v>
      </c>
      <c r="J4082" s="3" t="str">
        <f>HYPERLINK("https://www.boe.es/gazeta/dias/1834/06/12/pdfs/GMD-1834-115.pdf#page=3","Abrir facsímil")</f>
        <v>Abrir facsímil</v>
      </c>
      <c r="K4082" s="3" t="s">
        <v>24</v>
      </c>
    </row>
    <row r="4083" spans="1:11" ht="54" customHeight="1">
      <c r="A4083" s="2" t="s">
        <v>9304</v>
      </c>
      <c r="B4083" s="2" t="s">
        <v>9305</v>
      </c>
      <c r="C4083" s="2" t="s">
        <v>17</v>
      </c>
      <c r="D4083" s="2" t="s">
        <v>18</v>
      </c>
      <c r="E4083" s="5" t="s">
        <v>1708</v>
      </c>
      <c r="F4083" s="3" t="s">
        <v>1709</v>
      </c>
      <c r="G4083" s="3" t="s">
        <v>34</v>
      </c>
      <c r="H4083" s="2" t="s">
        <v>22</v>
      </c>
      <c r="I4083" s="2" t="s">
        <v>9306</v>
      </c>
      <c r="J4083" s="3" t="str">
        <f>HYPERLINK("https://www.boe.es/gazeta/dias/1834/04/12/pdfs/GMD-1834-51.pdf#page=1","Abrir facsímil")</f>
        <v>Abrir facsímil</v>
      </c>
      <c r="K4083" s="3" t="s">
        <v>24</v>
      </c>
    </row>
    <row r="4084" spans="1:11" ht="54" customHeight="1">
      <c r="A4084" s="2" t="s">
        <v>9307</v>
      </c>
      <c r="B4084" s="2" t="s">
        <v>9308</v>
      </c>
      <c r="C4084" s="2" t="s">
        <v>46</v>
      </c>
      <c r="D4084" s="2" t="s">
        <v>18</v>
      </c>
      <c r="E4084" s="5" t="s">
        <v>2459</v>
      </c>
      <c r="F4084" s="3" t="s">
        <v>2460</v>
      </c>
      <c r="G4084" s="3" t="s">
        <v>75</v>
      </c>
      <c r="H4084" s="2" t="s">
        <v>22</v>
      </c>
      <c r="I4084" s="2" t="s">
        <v>9309</v>
      </c>
      <c r="J4084" s="3" t="str">
        <f>HYPERLINK("https://www.boe.es/gazeta/dias/1834/04/04/pdfs/GMD-1834-43.pdf#page=4","Abrir facsímil")</f>
        <v>Abrir facsímil</v>
      </c>
      <c r="K4084" s="3" t="s">
        <v>24</v>
      </c>
    </row>
    <row r="4085" spans="1:11" ht="54" customHeight="1">
      <c r="A4085" s="2" t="s">
        <v>9310</v>
      </c>
      <c r="B4085" s="2" t="s">
        <v>9311</v>
      </c>
      <c r="C4085" s="2" t="s">
        <v>90</v>
      </c>
      <c r="D4085" s="2" t="s">
        <v>18</v>
      </c>
      <c r="E4085" s="5" t="s">
        <v>26</v>
      </c>
      <c r="F4085" s="3" t="s">
        <v>818</v>
      </c>
      <c r="G4085" s="3" t="s">
        <v>86</v>
      </c>
      <c r="H4085" s="2" t="s">
        <v>35</v>
      </c>
      <c r="I4085" s="2" t="s">
        <v>9312</v>
      </c>
      <c r="J4085" s="3" t="str">
        <f>HYPERLINK("https://www.boe.es/gazeta/dias/1834/10/19/pdfs/GMD-1834-247.pdf#page=2","Abrir facsímil")</f>
        <v>Abrir facsímil</v>
      </c>
      <c r="K4085" s="3" t="s">
        <v>37</v>
      </c>
    </row>
    <row r="4086" spans="1:11" ht="54" customHeight="1">
      <c r="A4086" s="2" t="s">
        <v>9313</v>
      </c>
      <c r="B4086" s="2" t="s">
        <v>9314</v>
      </c>
      <c r="C4086" s="2" t="s">
        <v>122</v>
      </c>
      <c r="D4086" s="2" t="s">
        <v>18</v>
      </c>
      <c r="E4086" s="5" t="s">
        <v>1708</v>
      </c>
      <c r="F4086" s="3" t="s">
        <v>1709</v>
      </c>
      <c r="G4086" s="3" t="s">
        <v>34</v>
      </c>
      <c r="H4086" s="2" t="s">
        <v>22</v>
      </c>
      <c r="I4086" s="2" t="s">
        <v>9315</v>
      </c>
      <c r="J4086" s="3" t="str">
        <f>HYPERLINK("https://www.boe.es/gazeta/dias/1834/04/12/pdfs/GMD-1834-51.pdf#page=1","Abrir facsímil")</f>
        <v>Abrir facsímil</v>
      </c>
      <c r="K4086" s="3" t="s">
        <v>24</v>
      </c>
    </row>
    <row r="4087" spans="1:11" ht="54" customHeight="1">
      <c r="A4087" s="2" t="s">
        <v>9316</v>
      </c>
      <c r="B4087" s="2" t="s">
        <v>9317</v>
      </c>
      <c r="C4087" s="2" t="s">
        <v>122</v>
      </c>
      <c r="D4087" s="2" t="s">
        <v>101</v>
      </c>
      <c r="E4087" s="5" t="s">
        <v>2379</v>
      </c>
      <c r="F4087" s="3" t="s">
        <v>2380</v>
      </c>
      <c r="G4087" s="3" t="s">
        <v>75</v>
      </c>
      <c r="H4087" s="2" t="s">
        <v>22</v>
      </c>
      <c r="I4087" s="2" t="s">
        <v>9318</v>
      </c>
      <c r="J4087" s="3" t="str">
        <f>HYPERLINK("https://www.boe.es/gazeta/dias/1834/04/03/pdfs/GMD-1834-42.pdf#page=4","Abrir facsímil")</f>
        <v>Abrir facsímil</v>
      </c>
      <c r="K4087" s="3" t="s">
        <v>24</v>
      </c>
    </row>
    <row r="4088" spans="1:11" ht="54" customHeight="1">
      <c r="A4088" s="2" t="s">
        <v>9319</v>
      </c>
      <c r="B4088" s="2" t="s">
        <v>9320</v>
      </c>
      <c r="C4088" s="2" t="s">
        <v>17</v>
      </c>
      <c r="D4088" s="2" t="s">
        <v>18</v>
      </c>
      <c r="E4088" s="5" t="s">
        <v>153</v>
      </c>
      <c r="F4088" s="3" t="s">
        <v>154</v>
      </c>
      <c r="G4088" s="3" t="s">
        <v>28</v>
      </c>
      <c r="H4088" s="2" t="s">
        <v>22</v>
      </c>
      <c r="I4088" s="2" t="s">
        <v>9321</v>
      </c>
      <c r="J4088" s="3" t="str">
        <f>HYPERLINK("https://www.boe.es/gazeta/dias/1834/12/30/pdfs/GMD-C-1834-320.pdf#page=5","Abrir facsímil")</f>
        <v>Abrir facsímil</v>
      </c>
      <c r="K4088" s="3" t="s">
        <v>24</v>
      </c>
    </row>
    <row r="4089" spans="1:11" ht="54" customHeight="1">
      <c r="A4089" s="2" t="s">
        <v>9322</v>
      </c>
      <c r="B4089" s="2" t="s">
        <v>9323</v>
      </c>
      <c r="C4089" s="2" t="s">
        <v>17</v>
      </c>
      <c r="D4089" s="2" t="s">
        <v>18</v>
      </c>
      <c r="E4089" s="5" t="s">
        <v>280</v>
      </c>
      <c r="F4089" s="3" t="s">
        <v>3217</v>
      </c>
      <c r="G4089" s="3" t="s">
        <v>34</v>
      </c>
      <c r="H4089" s="2" t="s">
        <v>22</v>
      </c>
      <c r="I4089" s="2" t="s">
        <v>9324</v>
      </c>
      <c r="J4089" s="3" t="str">
        <f>HYPERLINK("https://www.boe.es/gazeta/dias/1834/08/29/pdfs/GMD-1834-195.pdf#page=1","Abrir facsímil")</f>
        <v>Abrir facsímil</v>
      </c>
      <c r="K4089" s="3" t="s">
        <v>24</v>
      </c>
    </row>
    <row r="4090" spans="1:11" ht="54" customHeight="1">
      <c r="A4090" s="2" t="s">
        <v>9325</v>
      </c>
      <c r="B4090" s="2" t="s">
        <v>9326</v>
      </c>
      <c r="C4090" s="2" t="s">
        <v>17</v>
      </c>
      <c r="D4090" s="2" t="s">
        <v>18</v>
      </c>
      <c r="E4090" s="5" t="s">
        <v>777</v>
      </c>
      <c r="F4090" s="3" t="s">
        <v>778</v>
      </c>
      <c r="G4090" s="3" t="s">
        <v>34</v>
      </c>
      <c r="H4090" s="2" t="s">
        <v>22</v>
      </c>
      <c r="I4090" s="2" t="s">
        <v>9327</v>
      </c>
      <c r="J4090" s="3" t="str">
        <f>HYPERLINK("https://www.boe.es/gazeta/dias/1834/10/29/pdfs/GMD-1834-257.pdf#page=1","Abrir facsímil")</f>
        <v>Abrir facsímil</v>
      </c>
      <c r="K4090" s="3" t="s">
        <v>24</v>
      </c>
    </row>
    <row r="4091" spans="1:11" ht="54" customHeight="1">
      <c r="A4091" s="2" t="s">
        <v>9328</v>
      </c>
      <c r="B4091" s="2" t="s">
        <v>9329</v>
      </c>
      <c r="C4091" s="2" t="s">
        <v>17</v>
      </c>
      <c r="D4091" s="2" t="s">
        <v>101</v>
      </c>
      <c r="E4091" s="5" t="s">
        <v>1839</v>
      </c>
      <c r="F4091" s="3" t="s">
        <v>1840</v>
      </c>
      <c r="G4091" s="3" t="s">
        <v>34</v>
      </c>
      <c r="H4091" s="2" t="s">
        <v>22</v>
      </c>
      <c r="I4091" s="2" t="s">
        <v>9330</v>
      </c>
      <c r="J4091" s="3" t="str">
        <f>HYPERLINK("https://www.boe.es/gazeta/dias/1834/08/12/pdfs/GMD-C-1834-177.pdf#page=1","Abrir facsímil")</f>
        <v>Abrir facsímil</v>
      </c>
      <c r="K4091" s="3" t="s">
        <v>24</v>
      </c>
    </row>
    <row r="4092" spans="1:11" ht="54" customHeight="1">
      <c r="A4092" s="2" t="s">
        <v>9331</v>
      </c>
      <c r="B4092" s="2" t="s">
        <v>9332</v>
      </c>
      <c r="C4092" s="2" t="s">
        <v>17</v>
      </c>
      <c r="D4092" s="2" t="s">
        <v>18</v>
      </c>
      <c r="E4092" s="5" t="s">
        <v>280</v>
      </c>
      <c r="F4092" s="3" t="s">
        <v>281</v>
      </c>
      <c r="G4092" s="3" t="s">
        <v>560</v>
      </c>
      <c r="H4092" s="2" t="s">
        <v>22</v>
      </c>
      <c r="I4092" s="2" t="s">
        <v>9333</v>
      </c>
      <c r="J4092" s="3" t="str">
        <f>HYPERLINK("https://www.boe.es/gazeta/dias/1834/08/29/pdfs/GMD-C-1834-195.pdf#page=7","Abrir facsímil")</f>
        <v>Abrir facsímil</v>
      </c>
      <c r="K4092" s="3" t="s">
        <v>24</v>
      </c>
    </row>
    <row r="4093" spans="1:11" ht="54" customHeight="1">
      <c r="A4093" s="2" t="s">
        <v>9334</v>
      </c>
      <c r="B4093" s="2" t="s">
        <v>9335</v>
      </c>
      <c r="C4093" s="2" t="s">
        <v>17</v>
      </c>
      <c r="D4093" s="2" t="s">
        <v>18</v>
      </c>
      <c r="E4093" s="5" t="s">
        <v>1084</v>
      </c>
      <c r="F4093" s="3" t="s">
        <v>1085</v>
      </c>
      <c r="G4093" s="3" t="s">
        <v>28</v>
      </c>
      <c r="H4093" s="2" t="s">
        <v>22</v>
      </c>
      <c r="I4093" s="2" t="s">
        <v>9336</v>
      </c>
      <c r="J4093" s="3" t="str">
        <f>HYPERLINK("https://www.boe.es/gazeta/dias/1834/05/01/pdfs/GMD-1834-70.pdf#page=5","Abrir facsímil")</f>
        <v>Abrir facsímil</v>
      </c>
      <c r="K4093" s="3" t="s">
        <v>24</v>
      </c>
    </row>
    <row r="4094" spans="1:11" ht="54" customHeight="1">
      <c r="A4094" s="2" t="s">
        <v>9337</v>
      </c>
      <c r="B4094" s="2" t="s">
        <v>9338</v>
      </c>
      <c r="C4094" s="2" t="s">
        <v>90</v>
      </c>
      <c r="D4094" s="2" t="s">
        <v>18</v>
      </c>
      <c r="E4094" s="5" t="s">
        <v>1708</v>
      </c>
      <c r="F4094" s="3" t="s">
        <v>1709</v>
      </c>
      <c r="G4094" s="3" t="s">
        <v>34</v>
      </c>
      <c r="H4094" s="2" t="s">
        <v>22</v>
      </c>
      <c r="I4094" s="2" t="s">
        <v>9339</v>
      </c>
      <c r="J4094" s="3" t="str">
        <f>HYPERLINK("https://www.boe.es/gazeta/dias/1834/04/12/pdfs/GMD-1834-51.pdf#page=1","Abrir facsímil")</f>
        <v>Abrir facsímil</v>
      </c>
      <c r="K4094" s="3" t="s">
        <v>24</v>
      </c>
    </row>
    <row r="4095" spans="1:11" ht="54" customHeight="1">
      <c r="A4095" s="2" t="s">
        <v>9340</v>
      </c>
      <c r="B4095" s="2" t="s">
        <v>9341</v>
      </c>
      <c r="C4095" s="2" t="s">
        <v>17</v>
      </c>
      <c r="D4095" s="2" t="s">
        <v>101</v>
      </c>
      <c r="E4095" s="5" t="s">
        <v>844</v>
      </c>
      <c r="F4095" s="3" t="s">
        <v>845</v>
      </c>
      <c r="G4095" s="3" t="s">
        <v>86</v>
      </c>
      <c r="H4095" s="2" t="s">
        <v>22</v>
      </c>
      <c r="I4095" s="2" t="s">
        <v>9342</v>
      </c>
      <c r="J4095" s="3" t="str">
        <f>HYPERLINK("https://www.boe.es/gazeta/dias/1834/03/13/pdfs/GMD-1834-32.pdf#page=2","Abrir facsímil")</f>
        <v>Abrir facsímil</v>
      </c>
      <c r="K4095" s="3" t="s">
        <v>24</v>
      </c>
    </row>
    <row r="4096" spans="1:11" ht="54" customHeight="1">
      <c r="A4096" s="2" t="s">
        <v>9343</v>
      </c>
      <c r="B4096" s="2" t="s">
        <v>9344</v>
      </c>
      <c r="C4096" s="2" t="s">
        <v>90</v>
      </c>
      <c r="D4096" s="2" t="s">
        <v>67</v>
      </c>
      <c r="E4096" s="5" t="s">
        <v>348</v>
      </c>
      <c r="F4096" s="3" t="s">
        <v>501</v>
      </c>
      <c r="G4096" s="3" t="s">
        <v>21</v>
      </c>
      <c r="H4096" s="2" t="s">
        <v>22</v>
      </c>
      <c r="I4096" s="2" t="s">
        <v>9345</v>
      </c>
      <c r="J4096" s="3" t="str">
        <f>HYPERLINK("https://www.boe.es/gazeta/dias/1834/06/12/pdfs/GMD-1834-115.pdf#page=3","Abrir facsímil")</f>
        <v>Abrir facsímil</v>
      </c>
      <c r="K4096" s="3" t="s">
        <v>24</v>
      </c>
    </row>
    <row r="4097" spans="1:11" ht="54" customHeight="1">
      <c r="A4097" s="2" t="s">
        <v>9346</v>
      </c>
      <c r="B4097" s="2" t="s">
        <v>9347</v>
      </c>
      <c r="C4097" s="2" t="s">
        <v>17</v>
      </c>
      <c r="D4097" s="2" t="s">
        <v>18</v>
      </c>
      <c r="E4097" s="5" t="s">
        <v>26</v>
      </c>
      <c r="F4097" s="3" t="s">
        <v>27</v>
      </c>
      <c r="G4097" s="3" t="s">
        <v>176</v>
      </c>
      <c r="H4097" s="2" t="s">
        <v>22</v>
      </c>
      <c r="I4097" s="2" t="s">
        <v>9348</v>
      </c>
      <c r="J4097" s="3" t="str">
        <f>HYPERLINK("https://www.boe.es/gazeta/dias/1834/10/19/pdfs/GMD-C-1834-247.pdf#page=6","Abrir facsímil")</f>
        <v>Abrir facsímil</v>
      </c>
      <c r="K4097" s="3" t="s">
        <v>24</v>
      </c>
    </row>
    <row r="4098" spans="1:11" ht="54" customHeight="1">
      <c r="A4098" s="2" t="s">
        <v>9349</v>
      </c>
      <c r="B4098" s="2" t="s">
        <v>9350</v>
      </c>
      <c r="C4098" s="2" t="s">
        <v>17</v>
      </c>
      <c r="D4098" s="2" t="s">
        <v>18</v>
      </c>
      <c r="E4098" s="5" t="s">
        <v>860</v>
      </c>
      <c r="F4098" s="3" t="s">
        <v>861</v>
      </c>
      <c r="G4098" s="3" t="s">
        <v>21</v>
      </c>
      <c r="H4098" s="2" t="s">
        <v>22</v>
      </c>
      <c r="I4098" s="2" t="s">
        <v>9351</v>
      </c>
      <c r="J4098" s="3" t="str">
        <f>HYPERLINK("https://www.boe.es/gazeta/dias/1834/02/08/pdfs/GMD-1834-18.pdf#page=3","Abrir facsímil")</f>
        <v>Abrir facsímil</v>
      </c>
      <c r="K4098" s="3" t="s">
        <v>24</v>
      </c>
    </row>
    <row r="4099" spans="1:11" ht="54" customHeight="1">
      <c r="A4099" s="2" t="s">
        <v>9352</v>
      </c>
      <c r="B4099" s="2" t="s">
        <v>9353</v>
      </c>
      <c r="C4099" s="2" t="s">
        <v>66</v>
      </c>
      <c r="D4099" s="2" t="s">
        <v>67</v>
      </c>
      <c r="E4099" s="5" t="s">
        <v>571</v>
      </c>
      <c r="F4099" s="3" t="s">
        <v>572</v>
      </c>
      <c r="G4099" s="3" t="s">
        <v>34</v>
      </c>
      <c r="H4099" s="2" t="s">
        <v>22</v>
      </c>
      <c r="I4099" s="2" t="s">
        <v>9354</v>
      </c>
      <c r="J4099" s="3" t="str">
        <f>HYPERLINK("https://www.boe.es/gazeta/dias/1834/09/04/pdfs/GMD-1834-202.pdf#page=1","Abrir facsímil")</f>
        <v>Abrir facsímil</v>
      </c>
      <c r="K4099" s="3" t="s">
        <v>24</v>
      </c>
    </row>
    <row r="4100" spans="1:11" ht="54" customHeight="1">
      <c r="A4100" s="2" t="s">
        <v>9355</v>
      </c>
      <c r="B4100" s="2" t="s">
        <v>9356</v>
      </c>
      <c r="C4100" s="2" t="s">
        <v>17</v>
      </c>
      <c r="D4100" s="2" t="s">
        <v>18</v>
      </c>
      <c r="E4100" s="5" t="s">
        <v>1008</v>
      </c>
      <c r="F4100" s="3" t="s">
        <v>1009</v>
      </c>
      <c r="G4100" s="3" t="s">
        <v>86</v>
      </c>
      <c r="H4100" s="2" t="s">
        <v>22</v>
      </c>
      <c r="I4100" s="2" t="s">
        <v>9357</v>
      </c>
      <c r="J4100" s="3" t="str">
        <f>HYPERLINK("https://www.boe.es/gazeta/dias/1834/11/08/pdfs/GMD-C-1834-267.pdf#page=2","Abrir facsímil")</f>
        <v>Abrir facsímil</v>
      </c>
      <c r="K4100" s="3" t="s">
        <v>24</v>
      </c>
    </row>
    <row r="4101" spans="1:11" ht="54" customHeight="1">
      <c r="A4101" s="2" t="s">
        <v>9358</v>
      </c>
      <c r="B4101" s="2" t="s">
        <v>9359</v>
      </c>
      <c r="C4101" s="2" t="s">
        <v>90</v>
      </c>
      <c r="D4101" s="2" t="s">
        <v>18</v>
      </c>
      <c r="E4101" s="5" t="s">
        <v>1410</v>
      </c>
      <c r="F4101" s="3" t="s">
        <v>2231</v>
      </c>
      <c r="G4101" s="3" t="s">
        <v>34</v>
      </c>
      <c r="H4101" s="2" t="s">
        <v>22</v>
      </c>
      <c r="I4101" s="2" t="s">
        <v>9360</v>
      </c>
      <c r="J4101" s="3" t="str">
        <f>HYPERLINK("https://www.boe.es/gazeta/dias/1834/09/09/pdfs/GMD-C-1834-207.pdf#page=1","Abrir facsímil")</f>
        <v>Abrir facsímil</v>
      </c>
      <c r="K4101" s="3" t="s">
        <v>24</v>
      </c>
    </row>
    <row r="4102" spans="1:11" ht="54" customHeight="1">
      <c r="A4102" s="2" t="s">
        <v>9361</v>
      </c>
      <c r="B4102" s="2" t="s">
        <v>9362</v>
      </c>
      <c r="C4102" s="2" t="s">
        <v>17</v>
      </c>
      <c r="D4102" s="2" t="s">
        <v>55</v>
      </c>
      <c r="E4102" s="5" t="s">
        <v>2098</v>
      </c>
      <c r="F4102" s="3" t="s">
        <v>5817</v>
      </c>
      <c r="G4102" s="3" t="s">
        <v>86</v>
      </c>
      <c r="H4102" s="2" t="s">
        <v>22</v>
      </c>
      <c r="I4102" s="2" t="s">
        <v>9363</v>
      </c>
      <c r="J4102" s="3" t="str">
        <f>HYPERLINK("https://www.boe.es/gazeta/dias/1834/08/11/pdfs/GMD-C-1834-176.pdf#page=2","Abrir facsímil")</f>
        <v>Abrir facsímil</v>
      </c>
      <c r="K4102" s="3" t="s">
        <v>24</v>
      </c>
    </row>
    <row r="4103" spans="1:11" ht="54" customHeight="1">
      <c r="A4103" s="2" t="s">
        <v>9364</v>
      </c>
      <c r="B4103" s="2" t="s">
        <v>9365</v>
      </c>
      <c r="C4103" s="2" t="s">
        <v>46</v>
      </c>
      <c r="D4103" s="2" t="s">
        <v>55</v>
      </c>
      <c r="E4103" s="5" t="s">
        <v>2124</v>
      </c>
      <c r="F4103" s="3" t="s">
        <v>2125</v>
      </c>
      <c r="G4103" s="3" t="s">
        <v>21</v>
      </c>
      <c r="H4103" s="2" t="s">
        <v>22</v>
      </c>
      <c r="I4103" s="2" t="s">
        <v>9366</v>
      </c>
      <c r="J4103" s="3" t="str">
        <f>HYPERLINK("https://www.boe.es/gazeta/dias/1834/06/09/pdfs/GMD-1834-112.pdf#page=3","Abrir facsímil")</f>
        <v>Abrir facsímil</v>
      </c>
      <c r="K4103" s="3" t="s">
        <v>24</v>
      </c>
    </row>
    <row r="4104" spans="1:11" ht="54" customHeight="1">
      <c r="A4104" s="2" t="s">
        <v>9367</v>
      </c>
      <c r="B4104" s="2" t="s">
        <v>9368</v>
      </c>
      <c r="C4104" s="2" t="s">
        <v>17</v>
      </c>
      <c r="D4104" s="2" t="s">
        <v>55</v>
      </c>
      <c r="E4104" s="5" t="s">
        <v>61</v>
      </c>
      <c r="F4104" s="3" t="s">
        <v>62</v>
      </c>
      <c r="G4104" s="3" t="s">
        <v>34</v>
      </c>
      <c r="H4104" s="2" t="s">
        <v>22</v>
      </c>
      <c r="I4104" s="2" t="s">
        <v>9369</v>
      </c>
      <c r="J4104" s="3" t="str">
        <f>HYPERLINK("https://www.boe.es/gazeta/dias/1834/06/08/pdfs/GMD-1834-111E.pdf#page=1","Abrir facsímil")</f>
        <v>Abrir facsímil</v>
      </c>
      <c r="K4104" s="3" t="s">
        <v>24</v>
      </c>
    </row>
    <row r="4105" spans="1:11" ht="54" customHeight="1">
      <c r="A4105" s="2" t="s">
        <v>9370</v>
      </c>
      <c r="B4105" s="2" t="s">
        <v>9371</v>
      </c>
      <c r="C4105" s="2" t="s">
        <v>17</v>
      </c>
      <c r="D4105" s="2" t="s">
        <v>18</v>
      </c>
      <c r="E4105" s="5" t="s">
        <v>2098</v>
      </c>
      <c r="F4105" s="3" t="s">
        <v>5817</v>
      </c>
      <c r="G4105" s="3" t="s">
        <v>86</v>
      </c>
      <c r="H4105" s="2" t="s">
        <v>22</v>
      </c>
      <c r="I4105" s="2" t="s">
        <v>9372</v>
      </c>
      <c r="J4105" s="3" t="str">
        <f>HYPERLINK("https://www.boe.es/gazeta/dias/1834/08/11/pdfs/GMD-C-1834-176.pdf#page=2","Abrir facsímil")</f>
        <v>Abrir facsímil</v>
      </c>
      <c r="K4105" s="3" t="s">
        <v>24</v>
      </c>
    </row>
    <row r="4106" spans="1:11" ht="54" customHeight="1">
      <c r="A4106" s="2" t="s">
        <v>9373</v>
      </c>
      <c r="B4106" s="2" t="s">
        <v>9374</v>
      </c>
      <c r="C4106" s="2" t="s">
        <v>46</v>
      </c>
      <c r="D4106" s="2" t="s">
        <v>55</v>
      </c>
      <c r="E4106" s="5" t="s">
        <v>1239</v>
      </c>
      <c r="F4106" s="3" t="s">
        <v>1240</v>
      </c>
      <c r="G4106" s="3" t="s">
        <v>86</v>
      </c>
      <c r="H4106" s="2" t="s">
        <v>22</v>
      </c>
      <c r="I4106" s="2" t="s">
        <v>9375</v>
      </c>
      <c r="J4106" s="3" t="str">
        <f>HYPERLINK("https://www.boe.es/gazeta/dias/1834/08/20/pdfs/GMD-1834-186.pdf#page=2","Abrir facsímil")</f>
        <v>Abrir facsímil</v>
      </c>
      <c r="K4106" s="3" t="s">
        <v>24</v>
      </c>
    </row>
    <row r="4107" spans="1:11" ht="54" customHeight="1">
      <c r="A4107" s="2" t="s">
        <v>9373</v>
      </c>
      <c r="B4107" s="2" t="s">
        <v>9374</v>
      </c>
      <c r="C4107" s="2" t="s">
        <v>66</v>
      </c>
      <c r="D4107" s="2" t="s">
        <v>18</v>
      </c>
      <c r="E4107" s="5" t="s">
        <v>8010</v>
      </c>
      <c r="F4107" s="3" t="s">
        <v>8011</v>
      </c>
      <c r="G4107" s="3" t="s">
        <v>86</v>
      </c>
      <c r="H4107" s="2" t="s">
        <v>22</v>
      </c>
      <c r="I4107" s="2" t="s">
        <v>9376</v>
      </c>
      <c r="J4107" s="3" t="str">
        <f>HYPERLINK("https://www.boe.es/gazeta/dias/1834/08/28/pdfs/GMD-1834-194.pdf#page=2","Abrir facsímil")</f>
        <v>Abrir facsímil</v>
      </c>
      <c r="K4107" s="3" t="s">
        <v>24</v>
      </c>
    </row>
    <row r="4108" spans="1:11" ht="54" customHeight="1">
      <c r="A4108" s="2" t="s">
        <v>9377</v>
      </c>
      <c r="B4108" s="2" t="s">
        <v>9378</v>
      </c>
      <c r="C4108" s="2" t="s">
        <v>46</v>
      </c>
      <c r="D4108" s="2" t="s">
        <v>18</v>
      </c>
      <c r="E4108" s="5" t="s">
        <v>61</v>
      </c>
      <c r="F4108" s="3" t="s">
        <v>62</v>
      </c>
      <c r="G4108" s="3" t="s">
        <v>34</v>
      </c>
      <c r="H4108" s="2" t="s">
        <v>22</v>
      </c>
      <c r="I4108" s="2" t="s">
        <v>9379</v>
      </c>
      <c r="J4108" s="3" t="str">
        <f>HYPERLINK("https://www.boe.es/gazeta/dias/1834/06/08/pdfs/GMD-1834-111E.pdf#page=1","Abrir facsímil")</f>
        <v>Abrir facsímil</v>
      </c>
      <c r="K4108" s="3" t="s">
        <v>24</v>
      </c>
    </row>
    <row r="4109" spans="1:11" ht="54" customHeight="1">
      <c r="A4109" s="2" t="s">
        <v>9377</v>
      </c>
      <c r="B4109" s="2" t="s">
        <v>9378</v>
      </c>
      <c r="C4109" s="2" t="s">
        <v>857</v>
      </c>
      <c r="D4109" s="2" t="s">
        <v>101</v>
      </c>
      <c r="E4109" s="5" t="s">
        <v>2098</v>
      </c>
      <c r="F4109" s="3" t="s">
        <v>5817</v>
      </c>
      <c r="G4109" s="3" t="s">
        <v>86</v>
      </c>
      <c r="H4109" s="2" t="s">
        <v>22</v>
      </c>
      <c r="I4109" s="2" t="s">
        <v>9380</v>
      </c>
      <c r="J4109" s="3" t="str">
        <f>HYPERLINK("https://www.boe.es/gazeta/dias/1834/08/11/pdfs/GMD-C-1834-176.pdf#page=2","Abrir facsímil")</f>
        <v>Abrir facsímil</v>
      </c>
      <c r="K4109" s="3" t="s">
        <v>24</v>
      </c>
    </row>
    <row r="4110" spans="1:11" ht="54" customHeight="1">
      <c r="A4110" s="2" t="s">
        <v>9377</v>
      </c>
      <c r="B4110" s="2" t="s">
        <v>9378</v>
      </c>
      <c r="C4110" s="2" t="s">
        <v>17</v>
      </c>
      <c r="D4110" s="2" t="s">
        <v>18</v>
      </c>
      <c r="E4110" s="5" t="s">
        <v>389</v>
      </c>
      <c r="F4110" s="3" t="s">
        <v>390</v>
      </c>
      <c r="G4110" s="3" t="s">
        <v>34</v>
      </c>
      <c r="H4110" s="2" t="s">
        <v>22</v>
      </c>
      <c r="I4110" s="2" t="s">
        <v>9381</v>
      </c>
      <c r="J4110" s="3" t="str">
        <f>HYPERLINK("https://www.boe.es/gazeta/dias/1834/10/25/pdfs/GMD-1834-253.pdf#page=1","Abrir facsímil")</f>
        <v>Abrir facsímil</v>
      </c>
      <c r="K4110" s="3" t="s">
        <v>24</v>
      </c>
    </row>
    <row r="4111" spans="1:11" ht="54" customHeight="1">
      <c r="A4111" s="2" t="s">
        <v>9382</v>
      </c>
      <c r="B4111" s="2" t="s">
        <v>9383</v>
      </c>
      <c r="C4111" s="2" t="s">
        <v>46</v>
      </c>
      <c r="D4111" s="2" t="s">
        <v>101</v>
      </c>
      <c r="E4111" s="5" t="s">
        <v>123</v>
      </c>
      <c r="F4111" s="3" t="s">
        <v>124</v>
      </c>
      <c r="G4111" s="3" t="s">
        <v>86</v>
      </c>
      <c r="H4111" s="2" t="s">
        <v>22</v>
      </c>
      <c r="I4111" s="2" t="s">
        <v>9384</v>
      </c>
      <c r="J4111" s="3" t="str">
        <f>HYPERLINK("https://www.boe.es/gazeta/dias/1834/07/11/pdfs/GMD-1834-144.pdf#page=2","Abrir facsímil")</f>
        <v>Abrir facsímil</v>
      </c>
      <c r="K4111" s="3" t="s">
        <v>24</v>
      </c>
    </row>
    <row r="4112" spans="1:11" ht="54" customHeight="1">
      <c r="A4112" s="2" t="s">
        <v>9385</v>
      </c>
      <c r="B4112" s="2" t="s">
        <v>9386</v>
      </c>
      <c r="C4112" s="2" t="s">
        <v>46</v>
      </c>
      <c r="D4112" s="2" t="s">
        <v>101</v>
      </c>
      <c r="E4112" s="5" t="s">
        <v>838</v>
      </c>
      <c r="F4112" s="3" t="s">
        <v>839</v>
      </c>
      <c r="G4112" s="3" t="s">
        <v>34</v>
      </c>
      <c r="H4112" s="2" t="s">
        <v>22</v>
      </c>
      <c r="I4112" s="2" t="s">
        <v>9387</v>
      </c>
      <c r="J4112" s="3" t="str">
        <f>HYPERLINK("https://www.boe.es/gazeta/dias/1834/07/18/pdfs/GMD-1834-151.pdf#page=1","Abrir facsímil")</f>
        <v>Abrir facsímil</v>
      </c>
      <c r="K4112" s="3" t="s">
        <v>24</v>
      </c>
    </row>
    <row r="4113" spans="1:11" ht="54" customHeight="1">
      <c r="A4113" s="2" t="s">
        <v>9388</v>
      </c>
      <c r="B4113" s="2" t="s">
        <v>9389</v>
      </c>
      <c r="C4113" s="2" t="s">
        <v>17</v>
      </c>
      <c r="D4113" s="2" t="s">
        <v>18</v>
      </c>
      <c r="E4113" s="5" t="s">
        <v>61</v>
      </c>
      <c r="F4113" s="3" t="s">
        <v>62</v>
      </c>
      <c r="G4113" s="3" t="s">
        <v>34</v>
      </c>
      <c r="H4113" s="2" t="s">
        <v>22</v>
      </c>
      <c r="I4113" s="2" t="s">
        <v>9390</v>
      </c>
      <c r="J4113" s="3" t="str">
        <f>HYPERLINK("https://www.boe.es/gazeta/dias/1834/06/08/pdfs/GMD-1834-111E.pdf#page=1","Abrir facsímil")</f>
        <v>Abrir facsímil</v>
      </c>
      <c r="K4113" s="3" t="s">
        <v>24</v>
      </c>
    </row>
    <row r="4114" spans="1:11" ht="54" customHeight="1">
      <c r="A4114" s="2" t="s">
        <v>9391</v>
      </c>
      <c r="B4114" s="2" t="s">
        <v>9392</v>
      </c>
      <c r="C4114" s="2" t="s">
        <v>17</v>
      </c>
      <c r="D4114" s="2" t="s">
        <v>55</v>
      </c>
      <c r="E4114" s="5" t="s">
        <v>2098</v>
      </c>
      <c r="F4114" s="3" t="s">
        <v>5817</v>
      </c>
      <c r="G4114" s="3" t="s">
        <v>86</v>
      </c>
      <c r="H4114" s="2" t="s">
        <v>22</v>
      </c>
      <c r="I4114" s="2" t="s">
        <v>9393</v>
      </c>
      <c r="J4114" s="3" t="str">
        <f>HYPERLINK("https://www.boe.es/gazeta/dias/1834/08/11/pdfs/GMD-C-1834-176.pdf#page=2","Abrir facsímil")</f>
        <v>Abrir facsímil</v>
      </c>
      <c r="K4114" s="3" t="s">
        <v>24</v>
      </c>
    </row>
    <row r="4115" spans="1:11" ht="54" customHeight="1">
      <c r="A4115" s="2" t="s">
        <v>9388</v>
      </c>
      <c r="B4115" s="2" t="s">
        <v>9389</v>
      </c>
      <c r="C4115" s="2" t="s">
        <v>46</v>
      </c>
      <c r="D4115" s="2" t="s">
        <v>18</v>
      </c>
      <c r="E4115" s="5" t="s">
        <v>389</v>
      </c>
      <c r="F4115" s="3" t="s">
        <v>390</v>
      </c>
      <c r="G4115" s="3" t="s">
        <v>34</v>
      </c>
      <c r="H4115" s="2" t="s">
        <v>22</v>
      </c>
      <c r="I4115" s="2" t="s">
        <v>9394</v>
      </c>
      <c r="J4115" s="3" t="str">
        <f>HYPERLINK("https://www.boe.es/gazeta/dias/1834/10/25/pdfs/GMD-1834-253.pdf#page=1","Abrir facsímil")</f>
        <v>Abrir facsímil</v>
      </c>
      <c r="K4115" s="3" t="s">
        <v>24</v>
      </c>
    </row>
    <row r="4116" spans="1:11" ht="54" customHeight="1">
      <c r="A4116" s="2" t="s">
        <v>9395</v>
      </c>
      <c r="B4116" s="2" t="s">
        <v>9396</v>
      </c>
      <c r="C4116" s="2" t="s">
        <v>17</v>
      </c>
      <c r="D4116" s="2" t="s">
        <v>55</v>
      </c>
      <c r="E4116" s="5" t="s">
        <v>2098</v>
      </c>
      <c r="F4116" s="3" t="s">
        <v>5817</v>
      </c>
      <c r="G4116" s="3" t="s">
        <v>86</v>
      </c>
      <c r="H4116" s="2" t="s">
        <v>35</v>
      </c>
      <c r="I4116" s="2" t="s">
        <v>9397</v>
      </c>
      <c r="J4116" s="3" t="str">
        <f>HYPERLINK("https://www.boe.es/gazeta/dias/1834/08/11/pdfs/GMD-C-1834-176.pdf#page=2","Abrir facsímil")</f>
        <v>Abrir facsímil</v>
      </c>
      <c r="K4116" s="3" t="s">
        <v>37</v>
      </c>
    </row>
    <row r="4117" spans="1:11" ht="54" customHeight="1">
      <c r="A4117" s="2" t="s">
        <v>9398</v>
      </c>
      <c r="B4117" s="2" t="s">
        <v>9399</v>
      </c>
      <c r="C4117" s="2" t="s">
        <v>66</v>
      </c>
      <c r="D4117" s="2" t="s">
        <v>67</v>
      </c>
      <c r="E4117" s="5" t="s">
        <v>571</v>
      </c>
      <c r="F4117" s="3" t="s">
        <v>572</v>
      </c>
      <c r="G4117" s="3" t="s">
        <v>75</v>
      </c>
      <c r="H4117" s="2" t="s">
        <v>22</v>
      </c>
      <c r="I4117" s="2" t="s">
        <v>9400</v>
      </c>
      <c r="J4117" s="3" t="str">
        <f>HYPERLINK("https://www.boe.es/gazeta/dias/1834/09/04/pdfs/GMD-1834-202.pdf#page=4","Abrir facsímil")</f>
        <v>Abrir facsímil</v>
      </c>
      <c r="K4117" s="3" t="s">
        <v>24</v>
      </c>
    </row>
    <row r="4118" spans="1:11" ht="54" customHeight="1">
      <c r="A4118" s="2" t="s">
        <v>9401</v>
      </c>
      <c r="B4118" s="2" t="s">
        <v>9402</v>
      </c>
      <c r="C4118" s="2" t="s">
        <v>90</v>
      </c>
      <c r="D4118" s="2" t="s">
        <v>18</v>
      </c>
      <c r="E4118" s="5" t="s">
        <v>4736</v>
      </c>
      <c r="F4118" s="3" t="s">
        <v>4737</v>
      </c>
      <c r="G4118" s="3" t="s">
        <v>21</v>
      </c>
      <c r="H4118" s="2" t="s">
        <v>22</v>
      </c>
      <c r="I4118" s="2" t="s">
        <v>9403</v>
      </c>
      <c r="J4118" s="3" t="str">
        <f>HYPERLINK("https://www.boe.es/gazeta/dias/1834/09/16/pdfs/GMD-1834-214.pdf#page=3","Abrir facsímil")</f>
        <v>Abrir facsímil</v>
      </c>
      <c r="K4118" s="3" t="s">
        <v>24</v>
      </c>
    </row>
    <row r="4119" spans="1:11" ht="54" customHeight="1">
      <c r="A4119" s="2" t="s">
        <v>9404</v>
      </c>
      <c r="B4119" s="2" t="s">
        <v>9405</v>
      </c>
      <c r="C4119" s="2" t="s">
        <v>17</v>
      </c>
      <c r="D4119" s="2" t="s">
        <v>40</v>
      </c>
      <c r="E4119" s="5" t="s">
        <v>5885</v>
      </c>
      <c r="F4119" s="3" t="s">
        <v>5886</v>
      </c>
      <c r="G4119" s="3" t="s">
        <v>75</v>
      </c>
      <c r="H4119" s="2" t="s">
        <v>22</v>
      </c>
      <c r="I4119" s="2" t="s">
        <v>9406</v>
      </c>
      <c r="J4119" s="3" t="str">
        <f>HYPERLINK("https://www.boe.es/gazeta/dias/1834/05/23/pdfs/GMD-1834-92.pdf#page=4","Abrir facsímil")</f>
        <v>Abrir facsímil</v>
      </c>
      <c r="K4119" s="3" t="s">
        <v>24</v>
      </c>
    </row>
    <row r="4120" spans="1:11" ht="54" customHeight="1">
      <c r="A4120" s="2" t="s">
        <v>9407</v>
      </c>
      <c r="B4120" s="2" t="s">
        <v>9408</v>
      </c>
      <c r="C4120" s="2" t="s">
        <v>90</v>
      </c>
      <c r="D4120" s="2" t="s">
        <v>18</v>
      </c>
      <c r="E4120" s="5" t="s">
        <v>273</v>
      </c>
      <c r="F4120" s="3" t="s">
        <v>413</v>
      </c>
      <c r="G4120" s="3" t="s">
        <v>86</v>
      </c>
      <c r="H4120" s="2" t="s">
        <v>22</v>
      </c>
      <c r="I4120" s="2" t="s">
        <v>9409</v>
      </c>
      <c r="J4120" s="3" t="str">
        <f>HYPERLINK("https://www.boe.es/gazeta/dias/1834/08/31/pdfs/GMD-1834-198.pdf#page=2","Abrir facsímil")</f>
        <v>Abrir facsímil</v>
      </c>
      <c r="K4120" s="3" t="s">
        <v>24</v>
      </c>
    </row>
    <row r="4121" spans="1:11" ht="54" customHeight="1">
      <c r="A4121" s="2" t="s">
        <v>9410</v>
      </c>
      <c r="B4121" s="2" t="s">
        <v>9411</v>
      </c>
      <c r="C4121" s="2" t="s">
        <v>17</v>
      </c>
      <c r="D4121" s="2" t="s">
        <v>18</v>
      </c>
      <c r="E4121" s="5" t="s">
        <v>1394</v>
      </c>
      <c r="F4121" s="3" t="s">
        <v>2923</v>
      </c>
      <c r="G4121" s="3" t="s">
        <v>34</v>
      </c>
      <c r="H4121" s="2" t="s">
        <v>22</v>
      </c>
      <c r="I4121" s="2" t="s">
        <v>9412</v>
      </c>
      <c r="J4121" s="3" t="str">
        <f>HYPERLINK("https://www.boe.es/gazeta/dias/1834/04/16/pdfs/GMD-C-1834-55.pdf#page=1","Abrir facsímil")</f>
        <v>Abrir facsímil</v>
      </c>
      <c r="K4121" s="3" t="s">
        <v>24</v>
      </c>
    </row>
    <row r="4122" spans="1:11" ht="54" customHeight="1">
      <c r="A4122" s="2" t="s">
        <v>9413</v>
      </c>
      <c r="B4122" s="2" t="s">
        <v>9414</v>
      </c>
      <c r="C4122" s="2" t="s">
        <v>17</v>
      </c>
      <c r="D4122" s="2" t="s">
        <v>18</v>
      </c>
      <c r="E4122" s="5" t="s">
        <v>647</v>
      </c>
      <c r="F4122" s="3" t="s">
        <v>648</v>
      </c>
      <c r="G4122" s="3" t="s">
        <v>28</v>
      </c>
      <c r="H4122" s="2" t="s">
        <v>22</v>
      </c>
      <c r="I4122" s="2" t="s">
        <v>9415</v>
      </c>
      <c r="J4122" s="3" t="str">
        <f>HYPERLINK("https://www.boe.es/gazeta/dias/1834/10/21/pdfs/GMD-C-1834-249.pdf#page=5","Abrir facsímil")</f>
        <v>Abrir facsímil</v>
      </c>
      <c r="K4122" s="3" t="s">
        <v>24</v>
      </c>
    </row>
    <row r="4123" spans="1:11" ht="54" customHeight="1">
      <c r="A4123" s="2" t="s">
        <v>9416</v>
      </c>
      <c r="B4123" s="2" t="s">
        <v>9417</v>
      </c>
      <c r="C4123" s="2" t="s">
        <v>17</v>
      </c>
      <c r="D4123" s="2" t="s">
        <v>18</v>
      </c>
      <c r="E4123" s="5" t="s">
        <v>610</v>
      </c>
      <c r="F4123" s="3" t="s">
        <v>611</v>
      </c>
      <c r="G4123" s="3" t="s">
        <v>75</v>
      </c>
      <c r="H4123" s="2" t="s">
        <v>22</v>
      </c>
      <c r="I4123" s="2" t="s">
        <v>9418</v>
      </c>
      <c r="J4123" s="3" t="str">
        <f>HYPERLINK("https://www.boe.es/gazeta/dias/1834/12/21/pdfs/GMD-C-1834-311.pdf#page=4","Abrir facsímil")</f>
        <v>Abrir facsímil</v>
      </c>
      <c r="K4123" s="3" t="s">
        <v>24</v>
      </c>
    </row>
    <row r="4124" spans="1:11" ht="54" customHeight="1">
      <c r="A4124" s="2" t="s">
        <v>9419</v>
      </c>
      <c r="B4124" s="2" t="s">
        <v>9420</v>
      </c>
      <c r="C4124" s="2" t="s">
        <v>17</v>
      </c>
      <c r="D4124" s="2" t="s">
        <v>18</v>
      </c>
      <c r="E4124" s="5" t="s">
        <v>394</v>
      </c>
      <c r="F4124" s="3" t="s">
        <v>459</v>
      </c>
      <c r="G4124" s="3" t="s">
        <v>34</v>
      </c>
      <c r="H4124" s="2" t="s">
        <v>22</v>
      </c>
      <c r="I4124" s="2" t="s">
        <v>9421</v>
      </c>
      <c r="J4124" s="3" t="str">
        <f>HYPERLINK("https://www.boe.es/gazeta/dias/1834/12/23/pdfs/GMD-C-1834-313.pdf#page=1","Abrir facsímil")</f>
        <v>Abrir facsímil</v>
      </c>
      <c r="K4124" s="3" t="s">
        <v>24</v>
      </c>
    </row>
    <row r="4125" spans="1:11" ht="54" customHeight="1">
      <c r="A4125" s="2" t="s">
        <v>9422</v>
      </c>
      <c r="B4125" s="2" t="s">
        <v>9423</v>
      </c>
      <c r="C4125" s="2" t="s">
        <v>46</v>
      </c>
      <c r="D4125" s="2" t="s">
        <v>101</v>
      </c>
      <c r="E4125" s="5" t="s">
        <v>1025</v>
      </c>
      <c r="F4125" s="3" t="s">
        <v>1026</v>
      </c>
      <c r="G4125" s="3" t="s">
        <v>75</v>
      </c>
      <c r="H4125" s="2" t="s">
        <v>22</v>
      </c>
      <c r="I4125" s="2" t="s">
        <v>9424</v>
      </c>
      <c r="J4125" s="3" t="str">
        <f>HYPERLINK("https://www.boe.es/gazeta/dias/1834/03/01/pdfs/GMD-1834-27.pdf#page=4","Abrir facsímil")</f>
        <v>Abrir facsímil</v>
      </c>
      <c r="K4125" s="3" t="s">
        <v>24</v>
      </c>
    </row>
    <row r="4126" spans="1:11" ht="54" customHeight="1">
      <c r="A4126" s="2" t="s">
        <v>9425</v>
      </c>
      <c r="B4126" s="2" t="s">
        <v>9426</v>
      </c>
      <c r="C4126" s="2" t="s">
        <v>17</v>
      </c>
      <c r="D4126" s="2" t="s">
        <v>18</v>
      </c>
      <c r="E4126" s="5" t="s">
        <v>128</v>
      </c>
      <c r="F4126" s="3" t="s">
        <v>129</v>
      </c>
      <c r="G4126" s="3" t="s">
        <v>86</v>
      </c>
      <c r="H4126" s="2" t="s">
        <v>22</v>
      </c>
      <c r="I4126" s="2" t="s">
        <v>9427</v>
      </c>
      <c r="J4126" s="3" t="str">
        <f>HYPERLINK("https://www.boe.es/gazeta/dias/1834/12/24/pdfs/GMD-C-1834-314.pdf#page=2","Abrir facsímil")</f>
        <v>Abrir facsímil</v>
      </c>
      <c r="K4126" s="3" t="s">
        <v>24</v>
      </c>
    </row>
    <row r="4127" spans="1:11" ht="54" customHeight="1">
      <c r="A4127" s="2" t="s">
        <v>9428</v>
      </c>
      <c r="B4127" s="2" t="s">
        <v>9429</v>
      </c>
      <c r="C4127" s="2" t="s">
        <v>66</v>
      </c>
      <c r="D4127" s="2" t="s">
        <v>67</v>
      </c>
      <c r="E4127" s="5" t="s">
        <v>866</v>
      </c>
      <c r="F4127" s="3" t="s">
        <v>867</v>
      </c>
      <c r="G4127" s="3" t="s">
        <v>86</v>
      </c>
      <c r="H4127" s="2" t="s">
        <v>22</v>
      </c>
      <c r="I4127" s="2" t="s">
        <v>9430</v>
      </c>
      <c r="J4127" s="3" t="str">
        <f>HYPERLINK("https://www.boe.es/gazeta/dias/1834/01/18/pdfs/GMD-1834-9.pdf#page=2","Abrir facsímil")</f>
        <v>Abrir facsímil</v>
      </c>
      <c r="K4127" s="3" t="s">
        <v>24</v>
      </c>
    </row>
    <row r="4128" spans="1:11" ht="54" customHeight="1">
      <c r="A4128" s="2" t="s">
        <v>9431</v>
      </c>
      <c r="B4128" s="2" t="s">
        <v>9432</v>
      </c>
      <c r="C4128" s="2" t="s">
        <v>66</v>
      </c>
      <c r="D4128" s="2" t="s">
        <v>67</v>
      </c>
      <c r="E4128" s="5" t="s">
        <v>133</v>
      </c>
      <c r="F4128" s="3" t="s">
        <v>134</v>
      </c>
      <c r="G4128" s="3" t="s">
        <v>34</v>
      </c>
      <c r="H4128" s="2" t="s">
        <v>22</v>
      </c>
      <c r="I4128" s="2" t="s">
        <v>9433</v>
      </c>
      <c r="J4128" s="3" t="str">
        <f>HYPERLINK("https://www.boe.es/gazeta/dias/1834/06/18/pdfs/GMD-1834-121.pdf#page=1","Abrir facsímil")</f>
        <v>Abrir facsímil</v>
      </c>
      <c r="K4128" s="3" t="s">
        <v>24</v>
      </c>
    </row>
    <row r="4129" spans="1:11" ht="54" customHeight="1">
      <c r="A4129" s="2" t="s">
        <v>9434</v>
      </c>
      <c r="B4129" s="2" t="s">
        <v>9435</v>
      </c>
      <c r="C4129" s="2" t="s">
        <v>17</v>
      </c>
      <c r="D4129" s="2" t="s">
        <v>101</v>
      </c>
      <c r="E4129" s="5" t="s">
        <v>866</v>
      </c>
      <c r="F4129" s="3" t="s">
        <v>867</v>
      </c>
      <c r="G4129" s="3" t="s">
        <v>34</v>
      </c>
      <c r="H4129" s="2" t="s">
        <v>22</v>
      </c>
      <c r="I4129" s="2" t="s">
        <v>9436</v>
      </c>
      <c r="J4129" s="3" t="str">
        <f>HYPERLINK("https://www.boe.es/gazeta/dias/1834/01/18/pdfs/GMD-1834-9.pdf#page=1","Abrir facsímil")</f>
        <v>Abrir facsímil</v>
      </c>
      <c r="K4129" s="3" t="s">
        <v>24</v>
      </c>
    </row>
    <row r="4130" spans="1:11" ht="54" customHeight="1">
      <c r="A4130" s="2" t="s">
        <v>9437</v>
      </c>
      <c r="B4130" s="2" t="s">
        <v>9438</v>
      </c>
      <c r="C4130" s="2" t="s">
        <v>90</v>
      </c>
      <c r="D4130" s="2" t="s">
        <v>101</v>
      </c>
      <c r="E4130" s="5" t="s">
        <v>3225</v>
      </c>
      <c r="F4130" s="3" t="s">
        <v>3226</v>
      </c>
      <c r="G4130" s="3" t="s">
        <v>34</v>
      </c>
      <c r="H4130" s="2" t="s">
        <v>22</v>
      </c>
      <c r="I4130" s="2" t="s">
        <v>9439</v>
      </c>
      <c r="J4130" s="3" t="str">
        <f>HYPERLINK("https://www.boe.es/gazeta/dias/1834/08/22/pdfs/GMD-1834-188.pdf#page=1","Abrir facsímil")</f>
        <v>Abrir facsímil</v>
      </c>
      <c r="K4130" s="3" t="s">
        <v>24</v>
      </c>
    </row>
    <row r="4131" spans="1:11" ht="54" customHeight="1">
      <c r="A4131" s="2" t="s">
        <v>9440</v>
      </c>
      <c r="B4131" s="2" t="s">
        <v>9441</v>
      </c>
      <c r="C4131" s="2" t="s">
        <v>46</v>
      </c>
      <c r="D4131" s="2" t="s">
        <v>101</v>
      </c>
      <c r="E4131" s="5" t="s">
        <v>371</v>
      </c>
      <c r="F4131" s="3" t="s">
        <v>372</v>
      </c>
      <c r="G4131" s="3" t="s">
        <v>75</v>
      </c>
      <c r="H4131" s="2" t="s">
        <v>22</v>
      </c>
      <c r="I4131" s="2" t="s">
        <v>9442</v>
      </c>
      <c r="J4131" s="3" t="str">
        <f>HYPERLINK("https://www.boe.es/gazeta/dias/1834/05/27/pdfs/GMD-1834-96.pdf#page=4","Abrir facsímil")</f>
        <v>Abrir facsímil</v>
      </c>
      <c r="K4131" s="3" t="s">
        <v>24</v>
      </c>
    </row>
    <row r="4132" spans="1:11" ht="54" customHeight="1">
      <c r="A4132" s="2" t="s">
        <v>9443</v>
      </c>
      <c r="B4132" s="2" t="s">
        <v>9444</v>
      </c>
      <c r="C4132" s="2" t="s">
        <v>17</v>
      </c>
      <c r="D4132" s="2" t="s">
        <v>101</v>
      </c>
      <c r="E4132" s="5" t="s">
        <v>429</v>
      </c>
      <c r="F4132" s="3" t="s">
        <v>430</v>
      </c>
      <c r="G4132" s="3" t="s">
        <v>75</v>
      </c>
      <c r="H4132" s="2" t="s">
        <v>22</v>
      </c>
      <c r="I4132" s="2" t="s">
        <v>9445</v>
      </c>
      <c r="J4132" s="3" t="str">
        <f>HYPERLINK("https://www.boe.es/gazeta/dias/1834/08/07/pdfs/GMD-C-1834-172.pdf#page=4","Abrir facsímil")</f>
        <v>Abrir facsímil</v>
      </c>
      <c r="K4132" s="3" t="s">
        <v>24</v>
      </c>
    </row>
    <row r="4133" spans="1:11" ht="54" customHeight="1">
      <c r="A4133" s="2" t="s">
        <v>9443</v>
      </c>
      <c r="B4133" s="2" t="s">
        <v>9444</v>
      </c>
      <c r="C4133" s="2" t="s">
        <v>17</v>
      </c>
      <c r="D4133" s="2" t="s">
        <v>101</v>
      </c>
      <c r="E4133" s="5" t="s">
        <v>128</v>
      </c>
      <c r="F4133" s="3" t="s">
        <v>129</v>
      </c>
      <c r="G4133" s="3" t="s">
        <v>28</v>
      </c>
      <c r="H4133" s="2" t="s">
        <v>22</v>
      </c>
      <c r="I4133" s="2" t="s">
        <v>9446</v>
      </c>
      <c r="J4133" s="3" t="str">
        <f>HYPERLINK("https://www.boe.es/gazeta/dias/1834/12/24/pdfs/GMD-C-1834-314.pdf#page=5","Abrir facsímil")</f>
        <v>Abrir facsímil</v>
      </c>
      <c r="K4133" s="3" t="s">
        <v>24</v>
      </c>
    </row>
    <row r="4134" spans="1:11" ht="54" customHeight="1">
      <c r="A4134" s="2" t="s">
        <v>9447</v>
      </c>
      <c r="B4134" s="2" t="s">
        <v>9448</v>
      </c>
      <c r="C4134" s="2" t="s">
        <v>17</v>
      </c>
      <c r="D4134" s="2" t="s">
        <v>18</v>
      </c>
      <c r="E4134" s="5" t="s">
        <v>1008</v>
      </c>
      <c r="F4134" s="3" t="s">
        <v>1009</v>
      </c>
      <c r="G4134" s="3" t="s">
        <v>176</v>
      </c>
      <c r="H4134" s="2" t="s">
        <v>22</v>
      </c>
      <c r="I4134" s="2" t="s">
        <v>9449</v>
      </c>
      <c r="J4134" s="3" t="str">
        <f>HYPERLINK("https://www.boe.es/gazeta/dias/1834/11/08/pdfs/GMD-C-1834-267.pdf#page=6","Abrir facsímil")</f>
        <v>Abrir facsímil</v>
      </c>
      <c r="K4134" s="3" t="s">
        <v>24</v>
      </c>
    </row>
    <row r="4135" spans="1:11" ht="54" customHeight="1">
      <c r="A4135" s="2" t="s">
        <v>9450</v>
      </c>
      <c r="B4135" s="2" t="s">
        <v>9451</v>
      </c>
      <c r="C4135" s="2" t="s">
        <v>46</v>
      </c>
      <c r="D4135" s="2" t="s">
        <v>18</v>
      </c>
      <c r="E4135" s="5" t="s">
        <v>128</v>
      </c>
      <c r="F4135" s="3" t="s">
        <v>129</v>
      </c>
      <c r="G4135" s="3" t="s">
        <v>21</v>
      </c>
      <c r="H4135" s="2" t="s">
        <v>22</v>
      </c>
      <c r="I4135" s="2" t="s">
        <v>9452</v>
      </c>
      <c r="J4135" s="3" t="str">
        <f>HYPERLINK("https://www.boe.es/gazeta/dias/1834/12/24/pdfs/GMD-C-1834-314.pdf#page=3","Abrir facsímil")</f>
        <v>Abrir facsímil</v>
      </c>
      <c r="K4135" s="3" t="s">
        <v>24</v>
      </c>
    </row>
    <row r="4136" spans="1:11" ht="54" customHeight="1">
      <c r="A4136" s="2" t="s">
        <v>9453</v>
      </c>
      <c r="B4136" s="2" t="s">
        <v>9454</v>
      </c>
      <c r="C4136" s="2" t="s">
        <v>66</v>
      </c>
      <c r="D4136" s="2" t="s">
        <v>67</v>
      </c>
      <c r="E4136" s="5" t="s">
        <v>339</v>
      </c>
      <c r="F4136" s="3" t="s">
        <v>340</v>
      </c>
      <c r="G4136" s="3" t="s">
        <v>21</v>
      </c>
      <c r="H4136" s="2" t="s">
        <v>22</v>
      </c>
      <c r="I4136" s="2" t="s">
        <v>9455</v>
      </c>
      <c r="J4136" s="3" t="str">
        <f>HYPERLINK("https://www.boe.es/gazeta/dias/1834/05/02/pdfs/GMD-1834-71.pdf#page=3","Abrir facsímil")</f>
        <v>Abrir facsímil</v>
      </c>
      <c r="K4136" s="3" t="s">
        <v>24</v>
      </c>
    </row>
    <row r="4137" spans="1:11" ht="54" customHeight="1">
      <c r="A4137" s="2" t="s">
        <v>9456</v>
      </c>
      <c r="B4137" s="2" t="s">
        <v>9457</v>
      </c>
      <c r="C4137" s="2" t="s">
        <v>17</v>
      </c>
      <c r="D4137" s="2" t="s">
        <v>40</v>
      </c>
      <c r="E4137" s="5" t="s">
        <v>192</v>
      </c>
      <c r="F4137" s="3" t="s">
        <v>2713</v>
      </c>
      <c r="G4137" s="3" t="s">
        <v>21</v>
      </c>
      <c r="H4137" s="2" t="s">
        <v>22</v>
      </c>
      <c r="I4137" s="2" t="s">
        <v>9458</v>
      </c>
      <c r="J4137" s="3" t="str">
        <f>HYPERLINK("https://www.boe.es/gazeta/dias/1834/12/31/pdfs/GMD-C-1834-321.pdf#page=3","Abrir facsímil")</f>
        <v>Abrir facsímil</v>
      </c>
      <c r="K4137" s="3" t="s">
        <v>24</v>
      </c>
    </row>
    <row r="4138" spans="1:11" ht="54" customHeight="1">
      <c r="A4138" s="2" t="s">
        <v>9459</v>
      </c>
      <c r="B4138" s="2" t="s">
        <v>9460</v>
      </c>
      <c r="C4138" s="2" t="s">
        <v>46</v>
      </c>
      <c r="D4138" s="2" t="s">
        <v>101</v>
      </c>
      <c r="E4138" s="5" t="s">
        <v>672</v>
      </c>
      <c r="F4138" s="3" t="s">
        <v>1055</v>
      </c>
      <c r="G4138" s="3" t="s">
        <v>470</v>
      </c>
      <c r="H4138" s="2" t="s">
        <v>22</v>
      </c>
      <c r="I4138" s="2" t="s">
        <v>9461</v>
      </c>
      <c r="J4138" s="3" t="str">
        <f>HYPERLINK("https://www.boe.es/gazeta/dias/1834/09/19/pdfs/GMD-C-1834-217.pdf#page=8","Abrir facsímil")</f>
        <v>Abrir facsímil</v>
      </c>
      <c r="K4138" s="3" t="s">
        <v>24</v>
      </c>
    </row>
    <row r="4139" spans="1:11" ht="54" customHeight="1">
      <c r="A4139" s="2" t="s">
        <v>9462</v>
      </c>
      <c r="B4139" s="2" t="s">
        <v>9463</v>
      </c>
      <c r="C4139" s="2" t="s">
        <v>122</v>
      </c>
      <c r="D4139" s="2" t="s">
        <v>101</v>
      </c>
      <c r="E4139" s="5" t="s">
        <v>416</v>
      </c>
      <c r="F4139" s="3" t="s">
        <v>417</v>
      </c>
      <c r="G4139" s="3" t="s">
        <v>28</v>
      </c>
      <c r="H4139" s="2" t="s">
        <v>22</v>
      </c>
      <c r="I4139" s="2" t="s">
        <v>9464</v>
      </c>
      <c r="J4139" s="3" t="str">
        <f>HYPERLINK("https://www.boe.es/gazeta/dias/1834/10/02/pdfs/GMD-C-1834-230.pdf#page=5","Abrir facsímil")</f>
        <v>Abrir facsímil</v>
      </c>
      <c r="K4139" s="3" t="s">
        <v>24</v>
      </c>
    </row>
    <row r="4140" spans="1:11" ht="54" customHeight="1">
      <c r="A4140" s="2" t="s">
        <v>9465</v>
      </c>
      <c r="B4140" s="2" t="s">
        <v>9466</v>
      </c>
      <c r="C4140" s="2" t="s">
        <v>17</v>
      </c>
      <c r="D4140" s="2" t="s">
        <v>101</v>
      </c>
      <c r="E4140" s="5" t="s">
        <v>3225</v>
      </c>
      <c r="F4140" s="3" t="s">
        <v>3226</v>
      </c>
      <c r="G4140" s="3" t="s">
        <v>34</v>
      </c>
      <c r="H4140" s="2" t="s">
        <v>22</v>
      </c>
      <c r="I4140" s="2" t="s">
        <v>9467</v>
      </c>
      <c r="J4140" s="3" t="str">
        <f>HYPERLINK("https://www.boe.es/gazeta/dias/1834/08/22/pdfs/GMD-1834-188.pdf#page=1","Abrir facsímil")</f>
        <v>Abrir facsímil</v>
      </c>
      <c r="K4140" s="3" t="s">
        <v>24</v>
      </c>
    </row>
    <row r="4141" spans="1:11" ht="54" customHeight="1">
      <c r="A4141" s="2" t="s">
        <v>9468</v>
      </c>
      <c r="B4141" s="2" t="s">
        <v>9469</v>
      </c>
      <c r="C4141" s="2" t="s">
        <v>17</v>
      </c>
      <c r="D4141" s="2" t="s">
        <v>18</v>
      </c>
      <c r="E4141" s="5" t="s">
        <v>4736</v>
      </c>
      <c r="F4141" s="3" t="s">
        <v>9470</v>
      </c>
      <c r="G4141" s="3" t="s">
        <v>34</v>
      </c>
      <c r="H4141" s="2" t="s">
        <v>22</v>
      </c>
      <c r="I4141" s="2" t="s">
        <v>9471</v>
      </c>
      <c r="J4141" s="3" t="str">
        <f>HYPERLINK("https://www.boe.es/gazeta/dias/1834/09/16/pdfs/GMD-C-1834-214.pdf#page=1","Abrir facsímil")</f>
        <v>Abrir facsímil</v>
      </c>
      <c r="K4141" s="3" t="s">
        <v>24</v>
      </c>
    </row>
    <row r="4142" spans="1:11" ht="54" customHeight="1">
      <c r="A4142" s="2" t="s">
        <v>9472</v>
      </c>
      <c r="B4142" s="2" t="s">
        <v>9473</v>
      </c>
      <c r="C4142" s="2" t="s">
        <v>17</v>
      </c>
      <c r="D4142" s="2" t="s">
        <v>18</v>
      </c>
      <c r="E4142" s="5" t="s">
        <v>4237</v>
      </c>
      <c r="F4142" s="3" t="s">
        <v>4238</v>
      </c>
      <c r="G4142" s="3" t="s">
        <v>21</v>
      </c>
      <c r="H4142" s="2" t="s">
        <v>22</v>
      </c>
      <c r="I4142" s="2" t="s">
        <v>9474</v>
      </c>
      <c r="J4142" s="3" t="str">
        <f>HYPERLINK("https://www.boe.es/gazeta/dias/1834/06/17/pdfs/GMD-1834-120.pdf#page=3","Abrir facsímil")</f>
        <v>Abrir facsímil</v>
      </c>
      <c r="K4142" s="3" t="s">
        <v>24</v>
      </c>
    </row>
    <row r="4143" spans="1:11" ht="54" customHeight="1">
      <c r="A4143" s="2" t="s">
        <v>9475</v>
      </c>
      <c r="B4143" s="2" t="s">
        <v>9476</v>
      </c>
      <c r="C4143" s="2" t="s">
        <v>17</v>
      </c>
      <c r="D4143" s="2" t="s">
        <v>18</v>
      </c>
      <c r="E4143" s="5" t="s">
        <v>2142</v>
      </c>
      <c r="F4143" s="3" t="s">
        <v>2316</v>
      </c>
      <c r="G4143" s="3" t="s">
        <v>86</v>
      </c>
      <c r="H4143" s="2" t="s">
        <v>22</v>
      </c>
      <c r="I4143" s="2" t="s">
        <v>9477</v>
      </c>
      <c r="J4143" s="3" t="str">
        <f>HYPERLINK("https://www.boe.es/gazeta/dias/1834/12/27/pdfs/GMD-C-1834-317.pdf#page=2","Abrir facsímil")</f>
        <v>Abrir facsímil</v>
      </c>
      <c r="K4143" s="3" t="s">
        <v>24</v>
      </c>
    </row>
    <row r="4144" spans="1:11" ht="54" customHeight="1">
      <c r="A4144" s="2" t="s">
        <v>9478</v>
      </c>
      <c r="B4144" s="2" t="s">
        <v>9479</v>
      </c>
      <c r="C4144" s="2" t="s">
        <v>17</v>
      </c>
      <c r="D4144" s="2" t="s">
        <v>18</v>
      </c>
      <c r="E4144" s="5" t="s">
        <v>518</v>
      </c>
      <c r="F4144" s="3" t="s">
        <v>519</v>
      </c>
      <c r="G4144" s="3" t="s">
        <v>21</v>
      </c>
      <c r="H4144" s="2" t="s">
        <v>22</v>
      </c>
      <c r="I4144" s="2" t="s">
        <v>9480</v>
      </c>
      <c r="J4144" s="3" t="str">
        <f>HYPERLINK("https://www.boe.es/gazeta/dias/1834/03/15/pdfs/GMD-1834-33.pdf#page=3","Abrir facsímil")</f>
        <v>Abrir facsímil</v>
      </c>
      <c r="K4144" s="3" t="s">
        <v>24</v>
      </c>
    </row>
    <row r="4145" spans="1:11" ht="54" customHeight="1">
      <c r="A4145" s="2" t="s">
        <v>9481</v>
      </c>
      <c r="B4145" s="2" t="s">
        <v>9482</v>
      </c>
      <c r="C4145" s="2" t="s">
        <v>66</v>
      </c>
      <c r="D4145" s="2" t="s">
        <v>67</v>
      </c>
      <c r="E4145" s="5" t="s">
        <v>838</v>
      </c>
      <c r="F4145" s="3" t="s">
        <v>839</v>
      </c>
      <c r="G4145" s="3" t="s">
        <v>21</v>
      </c>
      <c r="H4145" s="2" t="s">
        <v>22</v>
      </c>
      <c r="I4145" s="2" t="s">
        <v>9483</v>
      </c>
      <c r="J4145" s="3" t="str">
        <f>HYPERLINK("https://www.boe.es/gazeta/dias/1834/07/18/pdfs/GMD-1834-151.pdf#page=3","Abrir facsímil")</f>
        <v>Abrir facsímil</v>
      </c>
      <c r="K4145" s="3" t="s">
        <v>24</v>
      </c>
    </row>
    <row r="4146" spans="1:11" ht="54" customHeight="1">
      <c r="A4146" s="2" t="s">
        <v>9484</v>
      </c>
      <c r="B4146" s="2" t="s">
        <v>9485</v>
      </c>
      <c r="C4146" s="2" t="s">
        <v>66</v>
      </c>
      <c r="D4146" s="2" t="s">
        <v>67</v>
      </c>
      <c r="E4146" s="5" t="s">
        <v>2091</v>
      </c>
      <c r="F4146" s="3" t="s">
        <v>2092</v>
      </c>
      <c r="G4146" s="3" t="s">
        <v>21</v>
      </c>
      <c r="H4146" s="2" t="s">
        <v>35</v>
      </c>
      <c r="I4146" s="2" t="s">
        <v>9486</v>
      </c>
      <c r="J4146" s="3" t="str">
        <f>HYPERLINK("https://www.boe.es/gazeta/dias/1834/03/08/pdfs/GMD-1834-30.pdf#page=3","Abrir facsímil")</f>
        <v>Abrir facsímil</v>
      </c>
      <c r="K4146" s="3" t="s">
        <v>37</v>
      </c>
    </row>
    <row r="4147" spans="1:11" ht="54" customHeight="1">
      <c r="A4147" s="2" t="s">
        <v>9487</v>
      </c>
      <c r="B4147" s="2" t="s">
        <v>9488</v>
      </c>
      <c r="C4147" s="2" t="s">
        <v>17</v>
      </c>
      <c r="D4147" s="2" t="s">
        <v>18</v>
      </c>
      <c r="E4147" s="5" t="s">
        <v>233</v>
      </c>
      <c r="F4147" s="3" t="s">
        <v>234</v>
      </c>
      <c r="G4147" s="3" t="s">
        <v>75</v>
      </c>
      <c r="H4147" s="2" t="s">
        <v>22</v>
      </c>
      <c r="I4147" s="2" t="s">
        <v>9489</v>
      </c>
      <c r="J4147" s="3" t="str">
        <f>HYPERLINK("https://www.boe.es/gazeta/dias/1834/12/16/pdfs/GMD-1834-305.pdf#page=4","Abrir facsímil")</f>
        <v>Abrir facsímil</v>
      </c>
      <c r="K4147" s="3" t="s">
        <v>24</v>
      </c>
    </row>
    <row r="4148" spans="1:11" ht="54" customHeight="1">
      <c r="A4148" s="2" t="s">
        <v>9490</v>
      </c>
      <c r="B4148" s="2" t="s">
        <v>9491</v>
      </c>
      <c r="C4148" s="2" t="s">
        <v>66</v>
      </c>
      <c r="D4148" s="2" t="s">
        <v>18</v>
      </c>
      <c r="E4148" s="5" t="s">
        <v>4105</v>
      </c>
      <c r="F4148" s="3" t="s">
        <v>4106</v>
      </c>
      <c r="G4148" s="3" t="s">
        <v>21</v>
      </c>
      <c r="H4148" s="2" t="s">
        <v>22</v>
      </c>
      <c r="I4148" s="2" t="s">
        <v>9492</v>
      </c>
      <c r="J4148" s="3" t="str">
        <f>HYPERLINK("https://www.boe.es/gazeta/dias/1834/09/02/pdfs/GMD-C-1834-200.pdf#page=3","Abrir facsímil")</f>
        <v>Abrir facsímil</v>
      </c>
      <c r="K4148" s="3" t="s">
        <v>24</v>
      </c>
    </row>
    <row r="4149" spans="1:11" ht="54" customHeight="1">
      <c r="A4149" s="2" t="s">
        <v>9493</v>
      </c>
      <c r="B4149" s="2" t="s">
        <v>9494</v>
      </c>
      <c r="C4149" s="2" t="s">
        <v>122</v>
      </c>
      <c r="D4149" s="2" t="s">
        <v>40</v>
      </c>
      <c r="E4149" s="5" t="s">
        <v>255</v>
      </c>
      <c r="F4149" s="3" t="s">
        <v>256</v>
      </c>
      <c r="G4149" s="3" t="s">
        <v>34</v>
      </c>
      <c r="H4149" s="2" t="s">
        <v>22</v>
      </c>
      <c r="I4149" s="2" t="s">
        <v>9495</v>
      </c>
      <c r="J4149" s="3" t="str">
        <f>HYPERLINK("https://www.boe.es/gazeta/dias/1834/09/01/pdfs/GMD-D-1834-199.pdf#page=1","Abrir facsímil")</f>
        <v>Abrir facsímil</v>
      </c>
      <c r="K4149" s="3" t="s">
        <v>24</v>
      </c>
    </row>
    <row r="4150" spans="1:11" ht="54" customHeight="1">
      <c r="A4150" s="2" t="s">
        <v>9493</v>
      </c>
      <c r="B4150" s="2" t="s">
        <v>9494</v>
      </c>
      <c r="C4150" s="2" t="s">
        <v>17</v>
      </c>
      <c r="D4150" s="2" t="s">
        <v>18</v>
      </c>
      <c r="E4150" s="5" t="s">
        <v>1226</v>
      </c>
      <c r="F4150" s="3" t="s">
        <v>1227</v>
      </c>
      <c r="G4150" s="3" t="s">
        <v>21</v>
      </c>
      <c r="H4150" s="2" t="s">
        <v>22</v>
      </c>
      <c r="I4150" s="2" t="s">
        <v>9496</v>
      </c>
      <c r="J4150" s="3" t="str">
        <f>HYPERLINK("https://www.boe.es/gazeta/dias/1834/07/14/pdfs/GMD-1834-147.pdf#page=3","Abrir facsímil")</f>
        <v>Abrir facsímil</v>
      </c>
      <c r="K4150" s="3" t="s">
        <v>24</v>
      </c>
    </row>
    <row r="4151" spans="1:11" ht="54" customHeight="1">
      <c r="A4151" s="2" t="s">
        <v>9493</v>
      </c>
      <c r="B4151" s="2" t="s">
        <v>9494</v>
      </c>
      <c r="C4151" s="2" t="s">
        <v>90</v>
      </c>
      <c r="D4151" s="2" t="s">
        <v>18</v>
      </c>
      <c r="E4151" s="5" t="s">
        <v>1195</v>
      </c>
      <c r="F4151" s="3" t="s">
        <v>1196</v>
      </c>
      <c r="G4151" s="3" t="s">
        <v>34</v>
      </c>
      <c r="H4151" s="2" t="s">
        <v>22</v>
      </c>
      <c r="I4151" s="2" t="s">
        <v>9497</v>
      </c>
      <c r="J4151" s="3" t="str">
        <f>HYPERLINK("https://www.boe.es/gazeta/dias/1834/10/17/pdfs/GMD-C-1834-245.pdf#page=1","Abrir facsímil")</f>
        <v>Abrir facsímil</v>
      </c>
      <c r="K4151" s="3" t="s">
        <v>24</v>
      </c>
    </row>
    <row r="4152" spans="1:11" ht="54" customHeight="1">
      <c r="A4152" s="2" t="s">
        <v>9493</v>
      </c>
      <c r="B4152" s="2" t="s">
        <v>9494</v>
      </c>
      <c r="C4152" s="2" t="s">
        <v>17</v>
      </c>
      <c r="D4152" s="2" t="s">
        <v>18</v>
      </c>
      <c r="E4152" s="5" t="s">
        <v>378</v>
      </c>
      <c r="F4152" s="3" t="s">
        <v>888</v>
      </c>
      <c r="G4152" s="3" t="s">
        <v>21</v>
      </c>
      <c r="H4152" s="2" t="s">
        <v>22</v>
      </c>
      <c r="I4152" s="2" t="s">
        <v>9498</v>
      </c>
      <c r="J4152" s="3" t="str">
        <f>HYPERLINK("https://www.boe.es/gazeta/dias/1834/09/24/pdfs/GMD-C-1834-222.pdf#page=3","Abrir facsímil")</f>
        <v>Abrir facsímil</v>
      </c>
      <c r="K4152" s="3" t="s">
        <v>24</v>
      </c>
    </row>
    <row r="4153" spans="1:11" ht="54" customHeight="1">
      <c r="A4153" s="2" t="s">
        <v>9499</v>
      </c>
      <c r="B4153" s="2" t="s">
        <v>9500</v>
      </c>
      <c r="C4153" s="2" t="s">
        <v>66</v>
      </c>
      <c r="D4153" s="2" t="s">
        <v>67</v>
      </c>
      <c r="E4153" s="5" t="s">
        <v>163</v>
      </c>
      <c r="F4153" s="3" t="s">
        <v>164</v>
      </c>
      <c r="G4153" s="3" t="s">
        <v>86</v>
      </c>
      <c r="H4153" s="2" t="s">
        <v>22</v>
      </c>
      <c r="I4153" s="2" t="s">
        <v>9501</v>
      </c>
      <c r="J4153" s="3" t="str">
        <f>HYPERLINK("https://www.boe.es/gazeta/dias/1834/08/09/pdfs/GMD-1834-174.pdf#page=2","Abrir facsímil")</f>
        <v>Abrir facsímil</v>
      </c>
      <c r="K4153" s="3" t="s">
        <v>24</v>
      </c>
    </row>
    <row r="4154" spans="1:11" ht="54" customHeight="1">
      <c r="A4154" s="2" t="s">
        <v>9502</v>
      </c>
      <c r="B4154" s="2" t="s">
        <v>9503</v>
      </c>
      <c r="C4154" s="2" t="s">
        <v>90</v>
      </c>
      <c r="D4154" s="2" t="s">
        <v>18</v>
      </c>
      <c r="E4154" s="5" t="s">
        <v>158</v>
      </c>
      <c r="F4154" s="3" t="s">
        <v>159</v>
      </c>
      <c r="G4154" s="3" t="s">
        <v>21</v>
      </c>
      <c r="H4154" s="2" t="s">
        <v>22</v>
      </c>
      <c r="I4154" s="2" t="s">
        <v>9504</v>
      </c>
      <c r="J4154" s="3" t="str">
        <f>HYPERLINK("https://www.boe.es/gazeta/dias/1834/10/01/pdfs/GMD-1834-229.pdf#page=3","Abrir facsímil")</f>
        <v>Abrir facsímil</v>
      </c>
      <c r="K4154" s="3" t="s">
        <v>24</v>
      </c>
    </row>
    <row r="4155" spans="1:11" ht="54" customHeight="1">
      <c r="A4155" s="2" t="s">
        <v>9505</v>
      </c>
      <c r="B4155" s="2" t="s">
        <v>9506</v>
      </c>
      <c r="C4155" s="2" t="s">
        <v>122</v>
      </c>
      <c r="D4155" s="2" t="s">
        <v>18</v>
      </c>
      <c r="E4155" s="5" t="s">
        <v>304</v>
      </c>
      <c r="F4155" s="3" t="s">
        <v>305</v>
      </c>
      <c r="G4155" s="3" t="s">
        <v>86</v>
      </c>
      <c r="H4155" s="2" t="s">
        <v>22</v>
      </c>
      <c r="I4155" s="2" t="s">
        <v>9507</v>
      </c>
      <c r="J4155" s="3" t="str">
        <f>HYPERLINK("https://www.boe.es/gazeta/dias/1834/01/21/pdfs/GMD-1834-10.pdf#page=2","Abrir facsímil")</f>
        <v>Abrir facsímil</v>
      </c>
      <c r="K4155" s="3" t="s">
        <v>24</v>
      </c>
    </row>
    <row r="4156" spans="1:11" ht="54" customHeight="1">
      <c r="A4156" s="2" t="s">
        <v>9508</v>
      </c>
      <c r="B4156" s="2" t="s">
        <v>9509</v>
      </c>
      <c r="C4156" s="2" t="s">
        <v>17</v>
      </c>
      <c r="D4156" s="2" t="s">
        <v>18</v>
      </c>
      <c r="E4156" s="5" t="s">
        <v>334</v>
      </c>
      <c r="F4156" s="3" t="s">
        <v>567</v>
      </c>
      <c r="G4156" s="3" t="s">
        <v>21</v>
      </c>
      <c r="H4156" s="2" t="s">
        <v>22</v>
      </c>
      <c r="I4156" s="2" t="s">
        <v>9510</v>
      </c>
      <c r="J4156" s="3" t="str">
        <f>HYPERLINK("https://www.boe.es/gazeta/dias/1834/09/11/pdfs/GMD-1834-209.pdf#page=3","Abrir facsímil")</f>
        <v>Abrir facsímil</v>
      </c>
      <c r="K4156" s="3" t="s">
        <v>24</v>
      </c>
    </row>
    <row r="4157" spans="1:11" ht="54" customHeight="1">
      <c r="A4157" s="2" t="s">
        <v>9511</v>
      </c>
      <c r="B4157" s="2" t="s">
        <v>9512</v>
      </c>
      <c r="C4157" s="2" t="s">
        <v>17</v>
      </c>
      <c r="D4157" s="2" t="s">
        <v>40</v>
      </c>
      <c r="E4157" s="5" t="s">
        <v>426</v>
      </c>
      <c r="F4157" s="3" t="s">
        <v>694</v>
      </c>
      <c r="G4157" s="3" t="s">
        <v>34</v>
      </c>
      <c r="H4157" s="2" t="s">
        <v>35</v>
      </c>
      <c r="I4157" s="2" t="s">
        <v>9513</v>
      </c>
      <c r="J4157" s="3" t="str">
        <f>HYPERLINK("https://www.boe.es/gazeta/dias/1834/10/04/pdfs/GMD-C-1834-232.pdf#page=1","Abrir facsímil")</f>
        <v>Abrir facsímil</v>
      </c>
      <c r="K4157" s="3" t="s">
        <v>37</v>
      </c>
    </row>
    <row r="4158" spans="1:11" ht="54" customHeight="1">
      <c r="A4158" s="2" t="s">
        <v>9514</v>
      </c>
      <c r="B4158" s="2" t="s">
        <v>9515</v>
      </c>
      <c r="C4158" s="2" t="s">
        <v>17</v>
      </c>
      <c r="D4158" s="2" t="s">
        <v>40</v>
      </c>
      <c r="E4158" s="5" t="s">
        <v>426</v>
      </c>
      <c r="F4158" s="3" t="s">
        <v>694</v>
      </c>
      <c r="G4158" s="3" t="s">
        <v>34</v>
      </c>
      <c r="H4158" s="2" t="s">
        <v>22</v>
      </c>
      <c r="I4158" s="2" t="s">
        <v>9516</v>
      </c>
      <c r="J4158" s="3" t="str">
        <f>HYPERLINK("https://www.boe.es/gazeta/dias/1834/10/04/pdfs/GMD-C-1834-232.pdf#page=1","Abrir facsímil")</f>
        <v>Abrir facsímil</v>
      </c>
      <c r="K4158" s="3" t="s">
        <v>24</v>
      </c>
    </row>
    <row r="4159" spans="1:11" ht="54" customHeight="1">
      <c r="A4159" s="2" t="s">
        <v>9517</v>
      </c>
      <c r="B4159" s="2" t="s">
        <v>9518</v>
      </c>
      <c r="C4159" s="2" t="s">
        <v>17</v>
      </c>
      <c r="D4159" s="2" t="s">
        <v>18</v>
      </c>
      <c r="E4159" s="5" t="s">
        <v>905</v>
      </c>
      <c r="F4159" s="3" t="s">
        <v>1651</v>
      </c>
      <c r="G4159" s="3" t="s">
        <v>21</v>
      </c>
      <c r="H4159" s="2" t="s">
        <v>22</v>
      </c>
      <c r="I4159" s="2" t="s">
        <v>9519</v>
      </c>
      <c r="J4159" s="3" t="str">
        <f>HYPERLINK("https://www.boe.es/gazeta/dias/1834/08/02/pdfs/GMD-1834-166.pdf#page=3","Abrir facsímil")</f>
        <v>Abrir facsímil</v>
      </c>
      <c r="K4159" s="3" t="s">
        <v>24</v>
      </c>
    </row>
    <row r="4160" spans="1:11" ht="54" customHeight="1">
      <c r="A4160" s="2" t="s">
        <v>9520</v>
      </c>
      <c r="B4160" s="2" t="s">
        <v>9521</v>
      </c>
      <c r="C4160" s="2" t="s">
        <v>90</v>
      </c>
      <c r="D4160" s="2" t="s">
        <v>55</v>
      </c>
      <c r="E4160" s="5" t="s">
        <v>928</v>
      </c>
      <c r="F4160" s="3" t="s">
        <v>3338</v>
      </c>
      <c r="G4160" s="3" t="s">
        <v>34</v>
      </c>
      <c r="H4160" s="2" t="s">
        <v>22</v>
      </c>
      <c r="I4160" s="2" t="s">
        <v>9522</v>
      </c>
      <c r="J4160" s="3" t="str">
        <f>HYPERLINK("https://www.boe.es/gazeta/dias/1834/11/15/pdfs/GMD-1834-274.pdf#page=1","Abrir facsímil")</f>
        <v>Abrir facsímil</v>
      </c>
      <c r="K4160" s="3" t="s">
        <v>24</v>
      </c>
    </row>
    <row r="4161" spans="1:11" ht="54" customHeight="1">
      <c r="A4161" s="2" t="s">
        <v>9523</v>
      </c>
      <c r="B4161" s="2" t="s">
        <v>9524</v>
      </c>
      <c r="C4161" s="2" t="s">
        <v>46</v>
      </c>
      <c r="D4161" s="2" t="s">
        <v>55</v>
      </c>
      <c r="E4161" s="5" t="s">
        <v>32</v>
      </c>
      <c r="F4161" s="3" t="s">
        <v>33</v>
      </c>
      <c r="G4161" s="3" t="s">
        <v>86</v>
      </c>
      <c r="H4161" s="2" t="s">
        <v>22</v>
      </c>
      <c r="I4161" s="2" t="s">
        <v>9525</v>
      </c>
      <c r="J4161" s="3" t="str">
        <f>HYPERLINK("https://www.boe.es/gazeta/dias/1834/04/23/pdfs/GMD-1834-62.pdf#page=2","Abrir facsímil")</f>
        <v>Abrir facsímil</v>
      </c>
      <c r="K4161" s="3" t="s">
        <v>24</v>
      </c>
    </row>
    <row r="4162" spans="1:11" ht="54" customHeight="1">
      <c r="A4162" s="2" t="s">
        <v>9526</v>
      </c>
      <c r="B4162" s="2" t="s">
        <v>9527</v>
      </c>
      <c r="C4162" s="2" t="s">
        <v>17</v>
      </c>
      <c r="D4162" s="2" t="s">
        <v>18</v>
      </c>
      <c r="E4162" s="5" t="s">
        <v>4527</v>
      </c>
      <c r="F4162" s="3" t="s">
        <v>4528</v>
      </c>
      <c r="G4162" s="3" t="s">
        <v>21</v>
      </c>
      <c r="H4162" s="2" t="s">
        <v>22</v>
      </c>
      <c r="I4162" s="2" t="s">
        <v>9528</v>
      </c>
      <c r="J4162" s="3" t="str">
        <f>HYPERLINK("https://www.boe.es/gazeta/dias/1834/05/03/pdfs/GMD-1834-72.pdf#page=3","Abrir facsímil")</f>
        <v>Abrir facsímil</v>
      </c>
      <c r="K4162" s="3" t="s">
        <v>24</v>
      </c>
    </row>
    <row r="4163" spans="1:11" ht="54" customHeight="1">
      <c r="A4163" s="2" t="s">
        <v>9529</v>
      </c>
      <c r="B4163" s="2" t="s">
        <v>9530</v>
      </c>
      <c r="C4163" s="2" t="s">
        <v>17</v>
      </c>
      <c r="D4163" s="2" t="s">
        <v>101</v>
      </c>
      <c r="E4163" s="5" t="s">
        <v>1575</v>
      </c>
      <c r="F4163" s="3" t="s">
        <v>1576</v>
      </c>
      <c r="G4163" s="3" t="s">
        <v>21</v>
      </c>
      <c r="H4163" s="2" t="s">
        <v>35</v>
      </c>
      <c r="I4163" s="2" t="s">
        <v>9531</v>
      </c>
      <c r="J4163" s="3" t="str">
        <f>HYPERLINK("https://www.boe.es/gazeta/dias/1834/11/24/pdfs/GMD-1834-283.pdf#page=3","Abrir facsímil")</f>
        <v>Abrir facsímil</v>
      </c>
      <c r="K4163" s="3" t="s">
        <v>37</v>
      </c>
    </row>
    <row r="4164" spans="1:11" ht="54" customHeight="1">
      <c r="A4164" s="2" t="s">
        <v>9532</v>
      </c>
      <c r="B4164" s="2" t="s">
        <v>9533</v>
      </c>
      <c r="C4164" s="2" t="s">
        <v>17</v>
      </c>
      <c r="D4164" s="2" t="s">
        <v>101</v>
      </c>
      <c r="E4164" s="5" t="s">
        <v>1575</v>
      </c>
      <c r="F4164" s="3" t="s">
        <v>1576</v>
      </c>
      <c r="G4164" s="3" t="s">
        <v>21</v>
      </c>
      <c r="H4164" s="2" t="s">
        <v>22</v>
      </c>
      <c r="I4164" s="2" t="s">
        <v>9534</v>
      </c>
      <c r="J4164" s="3" t="str">
        <f>HYPERLINK("https://www.boe.es/gazeta/dias/1834/11/24/pdfs/GMD-1834-283.pdf#page=3","Abrir facsímil")</f>
        <v>Abrir facsímil</v>
      </c>
      <c r="K4164" s="3" t="s">
        <v>24</v>
      </c>
    </row>
    <row r="4165" spans="1:11" ht="54" customHeight="1">
      <c r="A4165" s="2" t="s">
        <v>9535</v>
      </c>
      <c r="B4165" s="2" t="s">
        <v>9536</v>
      </c>
      <c r="C4165" s="2" t="s">
        <v>90</v>
      </c>
      <c r="D4165" s="2" t="s">
        <v>18</v>
      </c>
      <c r="E4165" s="5" t="s">
        <v>468</v>
      </c>
      <c r="F4165" s="3" t="s">
        <v>469</v>
      </c>
      <c r="G4165" s="3" t="s">
        <v>34</v>
      </c>
      <c r="H4165" s="2" t="s">
        <v>35</v>
      </c>
      <c r="I4165" s="2" t="s">
        <v>9537</v>
      </c>
      <c r="J4165" s="3" t="str">
        <f>HYPERLINK("https://www.boe.es/gazeta/dias/1834/12/28/pdfs/GMD-C-1834-318.pdf#page=1","Abrir facsímil")</f>
        <v>Abrir facsímil</v>
      </c>
      <c r="K4165" s="3" t="s">
        <v>37</v>
      </c>
    </row>
    <row r="4166" spans="1:11" ht="54" customHeight="1">
      <c r="A4166" s="2" t="s">
        <v>9535</v>
      </c>
      <c r="B4166" s="2" t="s">
        <v>9536</v>
      </c>
      <c r="C4166" s="2" t="s">
        <v>17</v>
      </c>
      <c r="D4166" s="2" t="s">
        <v>18</v>
      </c>
      <c r="E4166" s="5" t="s">
        <v>153</v>
      </c>
      <c r="F4166" s="3" t="s">
        <v>154</v>
      </c>
      <c r="G4166" s="3" t="s">
        <v>34</v>
      </c>
      <c r="H4166" s="2" t="s">
        <v>35</v>
      </c>
      <c r="I4166" s="2" t="s">
        <v>9538</v>
      </c>
      <c r="J4166" s="3" t="str">
        <f>HYPERLINK("https://www.boe.es/gazeta/dias/1834/12/30/pdfs/GMD-C-1834-320.pdf#page=1","Abrir facsímil")</f>
        <v>Abrir facsímil</v>
      </c>
      <c r="K4166" s="3" t="s">
        <v>37</v>
      </c>
    </row>
    <row r="4167" spans="1:11" ht="54" customHeight="1">
      <c r="A4167" s="2" t="s">
        <v>9539</v>
      </c>
      <c r="B4167" s="2" t="s">
        <v>9540</v>
      </c>
      <c r="C4167" s="2" t="s">
        <v>17</v>
      </c>
      <c r="D4167" s="2" t="s">
        <v>18</v>
      </c>
      <c r="E4167" s="5" t="s">
        <v>707</v>
      </c>
      <c r="F4167" s="3" t="s">
        <v>708</v>
      </c>
      <c r="G4167" s="3" t="s">
        <v>28</v>
      </c>
      <c r="H4167" s="2" t="s">
        <v>22</v>
      </c>
      <c r="I4167" s="2" t="s">
        <v>9541</v>
      </c>
      <c r="J4167" s="3" t="str">
        <f>HYPERLINK("https://www.boe.es/gazeta/dias/1834/11/25/pdfs/GMD-C-1834-284.pdf#page=5","Abrir facsímil")</f>
        <v>Abrir facsímil</v>
      </c>
      <c r="K4167" s="3" t="s">
        <v>24</v>
      </c>
    </row>
    <row r="4168" spans="1:11" ht="54" customHeight="1">
      <c r="A4168" s="2" t="s">
        <v>9539</v>
      </c>
      <c r="B4168" s="2" t="s">
        <v>9540</v>
      </c>
      <c r="C4168" s="2" t="s">
        <v>90</v>
      </c>
      <c r="D4168" s="2" t="s">
        <v>18</v>
      </c>
      <c r="E4168" s="5" t="s">
        <v>468</v>
      </c>
      <c r="F4168" s="3" t="s">
        <v>469</v>
      </c>
      <c r="G4168" s="3" t="s">
        <v>34</v>
      </c>
      <c r="H4168" s="2" t="s">
        <v>22</v>
      </c>
      <c r="I4168" s="2" t="s">
        <v>9542</v>
      </c>
      <c r="J4168" s="3" t="str">
        <f>HYPERLINK("https://www.boe.es/gazeta/dias/1834/12/28/pdfs/GMD-C-1834-318.pdf#page=1","Abrir facsímil")</f>
        <v>Abrir facsímil</v>
      </c>
      <c r="K4168" s="3" t="s">
        <v>24</v>
      </c>
    </row>
    <row r="4169" spans="1:11" ht="54" customHeight="1">
      <c r="A4169" s="2" t="s">
        <v>9539</v>
      </c>
      <c r="B4169" s="2" t="s">
        <v>9540</v>
      </c>
      <c r="C4169" s="2" t="s">
        <v>17</v>
      </c>
      <c r="D4169" s="2" t="s">
        <v>18</v>
      </c>
      <c r="E4169" s="5" t="s">
        <v>153</v>
      </c>
      <c r="F4169" s="3" t="s">
        <v>154</v>
      </c>
      <c r="G4169" s="3" t="s">
        <v>34</v>
      </c>
      <c r="H4169" s="2" t="s">
        <v>22</v>
      </c>
      <c r="I4169" s="2" t="s">
        <v>9543</v>
      </c>
      <c r="J4169" s="3" t="str">
        <f>HYPERLINK("https://www.boe.es/gazeta/dias/1834/12/30/pdfs/GMD-C-1834-320.pdf#page=1","Abrir facsímil")</f>
        <v>Abrir facsímil</v>
      </c>
      <c r="K4169" s="3" t="s">
        <v>24</v>
      </c>
    </row>
    <row r="4170" spans="1:11" ht="54" customHeight="1">
      <c r="A4170" s="2" t="s">
        <v>9544</v>
      </c>
      <c r="B4170" s="2" t="s">
        <v>9545</v>
      </c>
      <c r="C4170" s="2" t="s">
        <v>66</v>
      </c>
      <c r="D4170" s="2" t="s">
        <v>67</v>
      </c>
      <c r="E4170" s="5" t="s">
        <v>1212</v>
      </c>
      <c r="F4170" s="3" t="s">
        <v>1213</v>
      </c>
      <c r="G4170" s="3" t="s">
        <v>21</v>
      </c>
      <c r="H4170" s="2" t="s">
        <v>22</v>
      </c>
      <c r="I4170" s="2" t="s">
        <v>9546</v>
      </c>
      <c r="J4170" s="3" t="str">
        <f>HYPERLINK("https://www.boe.es/gazeta/dias/1834/05/24/pdfs/GMD-1834-93.pdf#page=3","Abrir facsímil")</f>
        <v>Abrir facsímil</v>
      </c>
      <c r="K4170" s="3" t="s">
        <v>24</v>
      </c>
    </row>
    <row r="4171" spans="1:11" ht="54" customHeight="1">
      <c r="A4171" s="2" t="s">
        <v>9547</v>
      </c>
      <c r="B4171" s="2" t="s">
        <v>9548</v>
      </c>
      <c r="C4171" s="2" t="s">
        <v>122</v>
      </c>
      <c r="D4171" s="2" t="s">
        <v>55</v>
      </c>
      <c r="E4171" s="5" t="s">
        <v>102</v>
      </c>
      <c r="F4171" s="3" t="s">
        <v>103</v>
      </c>
      <c r="G4171" s="3" t="s">
        <v>21</v>
      </c>
      <c r="H4171" s="2" t="s">
        <v>22</v>
      </c>
      <c r="I4171" s="2" t="s">
        <v>9549</v>
      </c>
      <c r="J4171" s="3" t="str">
        <f>HYPERLINK("https://www.boe.es/gazeta/dias/1834/07/19/pdfs/GMD-1834-152.pdf#page=3","Abrir facsímil")</f>
        <v>Abrir facsímil</v>
      </c>
      <c r="K4171" s="3" t="s">
        <v>24</v>
      </c>
    </row>
    <row r="4172" spans="1:11" ht="54" customHeight="1">
      <c r="A4172" s="2" t="s">
        <v>9550</v>
      </c>
      <c r="B4172" s="2" t="s">
        <v>9551</v>
      </c>
      <c r="C4172" s="2" t="s">
        <v>66</v>
      </c>
      <c r="D4172" s="2" t="s">
        <v>55</v>
      </c>
      <c r="E4172" s="5" t="s">
        <v>590</v>
      </c>
      <c r="F4172" s="3" t="s">
        <v>591</v>
      </c>
      <c r="G4172" s="3" t="s">
        <v>34</v>
      </c>
      <c r="H4172" s="2" t="s">
        <v>22</v>
      </c>
      <c r="I4172" s="2" t="s">
        <v>9552</v>
      </c>
      <c r="J4172" s="3" t="str">
        <f>HYPERLINK("https://www.boe.es/gazeta/dias/1834/11/30/pdfs/GMD-1834-289.pdf#page=1","Abrir facsímil")</f>
        <v>Abrir facsímil</v>
      </c>
      <c r="K4172" s="3" t="s">
        <v>24</v>
      </c>
    </row>
    <row r="4173" spans="1:11" ht="54" customHeight="1">
      <c r="A4173" s="2" t="s">
        <v>9553</v>
      </c>
      <c r="B4173" s="2" t="s">
        <v>9554</v>
      </c>
      <c r="C4173" s="2" t="s">
        <v>17</v>
      </c>
      <c r="D4173" s="2" t="s">
        <v>101</v>
      </c>
      <c r="E4173" s="5" t="s">
        <v>753</v>
      </c>
      <c r="F4173" s="3" t="s">
        <v>754</v>
      </c>
      <c r="G4173" s="3" t="s">
        <v>34</v>
      </c>
      <c r="H4173" s="2" t="s">
        <v>22</v>
      </c>
      <c r="I4173" s="2" t="s">
        <v>9555</v>
      </c>
      <c r="J4173" s="3" t="str">
        <f>HYPERLINK("https://www.boe.es/gazeta/dias/1834/04/21/pdfs/GMD-1834-60.pdf#page=1","Abrir facsímil")</f>
        <v>Abrir facsímil</v>
      </c>
      <c r="K4173" s="3" t="s">
        <v>24</v>
      </c>
    </row>
    <row r="4174" spans="1:11" ht="54" customHeight="1">
      <c r="A4174" s="2" t="s">
        <v>9556</v>
      </c>
      <c r="B4174" s="2" t="s">
        <v>9557</v>
      </c>
      <c r="C4174" s="2" t="s">
        <v>66</v>
      </c>
      <c r="D4174" s="2" t="s">
        <v>55</v>
      </c>
      <c r="E4174" s="5" t="s">
        <v>433</v>
      </c>
      <c r="F4174" s="3" t="s">
        <v>2773</v>
      </c>
      <c r="G4174" s="3" t="s">
        <v>34</v>
      </c>
      <c r="H4174" s="2" t="s">
        <v>22</v>
      </c>
      <c r="I4174" s="2" t="s">
        <v>9558</v>
      </c>
      <c r="J4174" s="3" t="str">
        <f>HYPERLINK("https://www.boe.es/gazeta/dias/1834/10/07/pdfs/GMD-1834-235.pdf#page=1","Abrir facsímil")</f>
        <v>Abrir facsímil</v>
      </c>
      <c r="K4174" s="3" t="s">
        <v>24</v>
      </c>
    </row>
    <row r="4175" spans="1:11" ht="54" customHeight="1">
      <c r="A4175" s="2" t="s">
        <v>9559</v>
      </c>
      <c r="B4175" s="2" t="s">
        <v>9560</v>
      </c>
      <c r="C4175" s="2" t="s">
        <v>17</v>
      </c>
      <c r="D4175" s="2" t="s">
        <v>18</v>
      </c>
      <c r="E4175" s="5" t="s">
        <v>1017</v>
      </c>
      <c r="F4175" s="3" t="s">
        <v>1018</v>
      </c>
      <c r="G4175" s="3" t="s">
        <v>21</v>
      </c>
      <c r="H4175" s="2" t="s">
        <v>22</v>
      </c>
      <c r="I4175" s="2" t="s">
        <v>9561</v>
      </c>
      <c r="J4175" s="3" t="str">
        <f>HYPERLINK("https://www.boe.es/gazeta/dias/1834/07/24/pdfs/GMD-1834-157.pdf#page=3","Abrir facsímil")</f>
        <v>Abrir facsímil</v>
      </c>
      <c r="K4175" s="3" t="s">
        <v>24</v>
      </c>
    </row>
    <row r="4176" spans="1:11" ht="54" customHeight="1">
      <c r="A4176" s="2" t="s">
        <v>9562</v>
      </c>
      <c r="B4176" s="2" t="s">
        <v>9563</v>
      </c>
      <c r="C4176" s="2" t="s">
        <v>17</v>
      </c>
      <c r="D4176" s="2" t="s">
        <v>18</v>
      </c>
      <c r="E4176" s="5" t="s">
        <v>143</v>
      </c>
      <c r="F4176" s="3" t="s">
        <v>144</v>
      </c>
      <c r="G4176" s="3" t="s">
        <v>21</v>
      </c>
      <c r="H4176" s="2" t="s">
        <v>35</v>
      </c>
      <c r="I4176" s="2" t="s">
        <v>9564</v>
      </c>
      <c r="J4176" s="3" t="str">
        <f>HYPERLINK("https://www.boe.es/gazeta/dias/1834/07/31/pdfs/GMD-1834-164.pdf#page=3","Abrir facsímil")</f>
        <v>Abrir facsímil</v>
      </c>
      <c r="K4176" s="3" t="s">
        <v>37</v>
      </c>
    </row>
    <row r="4177" spans="1:11" ht="54" customHeight="1">
      <c r="A4177" s="2" t="s">
        <v>9565</v>
      </c>
      <c r="B4177" s="2" t="s">
        <v>9566</v>
      </c>
      <c r="C4177" s="2" t="s">
        <v>17</v>
      </c>
      <c r="D4177" s="2" t="s">
        <v>18</v>
      </c>
      <c r="E4177" s="5" t="s">
        <v>1017</v>
      </c>
      <c r="F4177" s="3" t="s">
        <v>1018</v>
      </c>
      <c r="G4177" s="3" t="s">
        <v>21</v>
      </c>
      <c r="H4177" s="2" t="s">
        <v>22</v>
      </c>
      <c r="I4177" s="2" t="s">
        <v>9567</v>
      </c>
      <c r="J4177" s="3" t="str">
        <f>HYPERLINK("https://www.boe.es/gazeta/dias/1834/07/24/pdfs/GMD-1834-157.pdf#page=3","Abrir facsímil")</f>
        <v>Abrir facsímil</v>
      </c>
      <c r="K4177" s="3" t="s">
        <v>24</v>
      </c>
    </row>
    <row r="4178" spans="1:11" ht="54" customHeight="1">
      <c r="A4178" s="2" t="s">
        <v>9568</v>
      </c>
      <c r="B4178" s="2" t="s">
        <v>9569</v>
      </c>
      <c r="C4178" s="2" t="s">
        <v>17</v>
      </c>
      <c r="D4178" s="2" t="s">
        <v>18</v>
      </c>
      <c r="E4178" s="5" t="s">
        <v>663</v>
      </c>
      <c r="F4178" s="3" t="s">
        <v>664</v>
      </c>
      <c r="G4178" s="3" t="s">
        <v>21</v>
      </c>
      <c r="H4178" s="2" t="s">
        <v>22</v>
      </c>
      <c r="I4178" s="2" t="s">
        <v>9570</v>
      </c>
      <c r="J4178" s="3" t="str">
        <f>HYPERLINK("https://www.boe.es/gazeta/dias/1834/07/16/pdfs/GMD-1834-149.pdf#page=3","Abrir facsímil")</f>
        <v>Abrir facsímil</v>
      </c>
      <c r="K4178" s="3" t="s">
        <v>24</v>
      </c>
    </row>
    <row r="4179" spans="1:11" ht="54" customHeight="1">
      <c r="A4179" s="2" t="s">
        <v>9571</v>
      </c>
      <c r="B4179" s="2" t="s">
        <v>9572</v>
      </c>
      <c r="C4179" s="2" t="s">
        <v>17</v>
      </c>
      <c r="D4179" s="2" t="s">
        <v>18</v>
      </c>
      <c r="E4179" s="5" t="s">
        <v>663</v>
      </c>
      <c r="F4179" s="3" t="s">
        <v>664</v>
      </c>
      <c r="G4179" s="3" t="s">
        <v>21</v>
      </c>
      <c r="H4179" s="2" t="s">
        <v>35</v>
      </c>
      <c r="I4179" s="2" t="s">
        <v>9573</v>
      </c>
      <c r="J4179" s="3" t="str">
        <f>HYPERLINK("https://www.boe.es/gazeta/dias/1834/07/16/pdfs/GMD-1834-149.pdf#page=3","Abrir facsímil")</f>
        <v>Abrir facsímil</v>
      </c>
      <c r="K4179" s="3" t="s">
        <v>37</v>
      </c>
    </row>
    <row r="4180" spans="1:11" ht="54" customHeight="1">
      <c r="A4180" s="2" t="s">
        <v>9574</v>
      </c>
      <c r="B4180" s="2" t="s">
        <v>9575</v>
      </c>
      <c r="C4180" s="2" t="s">
        <v>66</v>
      </c>
      <c r="D4180" s="2" t="s">
        <v>67</v>
      </c>
      <c r="E4180" s="5" t="s">
        <v>838</v>
      </c>
      <c r="F4180" s="3" t="s">
        <v>839</v>
      </c>
      <c r="G4180" s="3" t="s">
        <v>21</v>
      </c>
      <c r="H4180" s="2" t="s">
        <v>35</v>
      </c>
      <c r="I4180" s="2" t="s">
        <v>9576</v>
      </c>
      <c r="J4180" s="3" t="str">
        <f>HYPERLINK("https://www.boe.es/gazeta/dias/1834/07/18/pdfs/GMD-1834-151.pdf#page=3","Abrir facsímil")</f>
        <v>Abrir facsímil</v>
      </c>
      <c r="K4180" s="3" t="s">
        <v>37</v>
      </c>
    </row>
    <row r="4181" spans="1:11" ht="54" customHeight="1">
      <c r="A4181" s="2" t="s">
        <v>9577</v>
      </c>
      <c r="B4181" s="2" t="s">
        <v>9578</v>
      </c>
      <c r="C4181" s="2" t="s">
        <v>90</v>
      </c>
      <c r="D4181" s="2" t="s">
        <v>40</v>
      </c>
      <c r="E4181" s="5" t="s">
        <v>777</v>
      </c>
      <c r="F4181" s="3" t="s">
        <v>778</v>
      </c>
      <c r="G4181" s="3" t="s">
        <v>21</v>
      </c>
      <c r="H4181" s="2" t="s">
        <v>22</v>
      </c>
      <c r="I4181" s="2" t="s">
        <v>9579</v>
      </c>
      <c r="J4181" s="3" t="str">
        <f>HYPERLINK("https://www.boe.es/gazeta/dias/1834/10/29/pdfs/GMD-1834-257.pdf#page=3","Abrir facsímil")</f>
        <v>Abrir facsímil</v>
      </c>
      <c r="K4181" s="3" t="s">
        <v>24</v>
      </c>
    </row>
    <row r="4182" spans="1:11" ht="54" customHeight="1">
      <c r="A4182" s="2" t="s">
        <v>9580</v>
      </c>
      <c r="B4182" s="2" t="s">
        <v>9581</v>
      </c>
      <c r="C4182" s="2" t="s">
        <v>46</v>
      </c>
      <c r="D4182" s="2" t="s">
        <v>18</v>
      </c>
      <c r="E4182" s="5" t="s">
        <v>571</v>
      </c>
      <c r="F4182" s="3" t="s">
        <v>572</v>
      </c>
      <c r="G4182" s="3" t="s">
        <v>34</v>
      </c>
      <c r="H4182" s="2" t="s">
        <v>22</v>
      </c>
      <c r="I4182" s="2" t="s">
        <v>9582</v>
      </c>
      <c r="J4182" s="3" t="str">
        <f>HYPERLINK("https://www.boe.es/gazeta/dias/1834/09/04/pdfs/GMD-1834-202.pdf#page=1","Abrir facsímil")</f>
        <v>Abrir facsímil</v>
      </c>
      <c r="K4182" s="3" t="s">
        <v>24</v>
      </c>
    </row>
    <row r="4183" spans="1:11" ht="54" customHeight="1">
      <c r="A4183" s="2" t="s">
        <v>9580</v>
      </c>
      <c r="B4183" s="2" t="s">
        <v>9581</v>
      </c>
      <c r="C4183" s="2" t="s">
        <v>17</v>
      </c>
      <c r="D4183" s="2" t="s">
        <v>55</v>
      </c>
      <c r="E4183" s="5" t="s">
        <v>251</v>
      </c>
      <c r="F4183" s="3" t="s">
        <v>1278</v>
      </c>
      <c r="G4183" s="3" t="s">
        <v>86</v>
      </c>
      <c r="H4183" s="2" t="s">
        <v>22</v>
      </c>
      <c r="I4183" s="2" t="s">
        <v>9583</v>
      </c>
      <c r="J4183" s="3" t="str">
        <f>HYPERLINK("https://www.boe.es/gazeta/dias/1834/09/26/pdfs/GMD-1834-224.pdf#page=2","Abrir facsímil")</f>
        <v>Abrir facsímil</v>
      </c>
      <c r="K4183" s="3" t="s">
        <v>24</v>
      </c>
    </row>
    <row r="4184" spans="1:11" ht="54" customHeight="1">
      <c r="A4184" s="2" t="s">
        <v>9584</v>
      </c>
      <c r="B4184" s="2" t="s">
        <v>9585</v>
      </c>
      <c r="C4184" s="2" t="s">
        <v>17</v>
      </c>
      <c r="D4184" s="2" t="s">
        <v>18</v>
      </c>
      <c r="E4184" s="5" t="s">
        <v>416</v>
      </c>
      <c r="F4184" s="3" t="s">
        <v>1130</v>
      </c>
      <c r="G4184" s="3" t="s">
        <v>75</v>
      </c>
      <c r="H4184" s="2" t="s">
        <v>22</v>
      </c>
      <c r="I4184" s="2" t="s">
        <v>9586</v>
      </c>
      <c r="J4184" s="3" t="str">
        <f>HYPERLINK("https://www.boe.es/gazeta/dias/1834/10/02/pdfs/GMD-1834-230.pdf#page=4","Abrir facsímil")</f>
        <v>Abrir facsímil</v>
      </c>
      <c r="K4184" s="3" t="s">
        <v>24</v>
      </c>
    </row>
    <row r="4185" spans="1:11" ht="54" customHeight="1">
      <c r="A4185" s="2" t="s">
        <v>9587</v>
      </c>
      <c r="B4185" s="2" t="s">
        <v>9588</v>
      </c>
      <c r="C4185" s="2" t="s">
        <v>17</v>
      </c>
      <c r="D4185" s="2" t="s">
        <v>40</v>
      </c>
      <c r="E4185" s="5" t="s">
        <v>243</v>
      </c>
      <c r="F4185" s="3" t="s">
        <v>1109</v>
      </c>
      <c r="G4185" s="3" t="s">
        <v>75</v>
      </c>
      <c r="H4185" s="2" t="s">
        <v>22</v>
      </c>
      <c r="I4185" s="2" t="s">
        <v>9589</v>
      </c>
      <c r="J4185" s="3" t="str">
        <f>HYPERLINK("https://www.boe.es/gazeta/dias/1834/08/05/pdfs/GMD-1834-169.pdf#page=4","Abrir facsímil")</f>
        <v>Abrir facsímil</v>
      </c>
      <c r="K4185" s="3" t="s">
        <v>24</v>
      </c>
    </row>
    <row r="4186" spans="1:11" ht="54" customHeight="1">
      <c r="A4186" s="2" t="s">
        <v>9590</v>
      </c>
      <c r="B4186" s="2" t="s">
        <v>9591</v>
      </c>
      <c r="C4186" s="2" t="s">
        <v>66</v>
      </c>
      <c r="D4186" s="2" t="s">
        <v>67</v>
      </c>
      <c r="E4186" s="5" t="s">
        <v>1708</v>
      </c>
      <c r="F4186" s="3" t="s">
        <v>1709</v>
      </c>
      <c r="G4186" s="3" t="s">
        <v>34</v>
      </c>
      <c r="H4186" s="2" t="s">
        <v>22</v>
      </c>
      <c r="I4186" s="2" t="s">
        <v>9592</v>
      </c>
      <c r="J4186" s="3" t="str">
        <f>HYPERLINK("https://www.boe.es/gazeta/dias/1834/04/12/pdfs/GMD-1834-51.pdf#page=1","Abrir facsímil")</f>
        <v>Abrir facsímil</v>
      </c>
      <c r="K4186" s="3" t="s">
        <v>24</v>
      </c>
    </row>
    <row r="4187" spans="1:11" ht="54" customHeight="1">
      <c r="A4187" s="2" t="s">
        <v>9593</v>
      </c>
      <c r="B4187" s="2" t="s">
        <v>9594</v>
      </c>
      <c r="C4187" s="2" t="s">
        <v>17</v>
      </c>
      <c r="D4187" s="2" t="s">
        <v>101</v>
      </c>
      <c r="E4187" s="5" t="s">
        <v>905</v>
      </c>
      <c r="F4187" s="3" t="s">
        <v>1651</v>
      </c>
      <c r="G4187" s="3" t="s">
        <v>21</v>
      </c>
      <c r="H4187" s="2" t="s">
        <v>22</v>
      </c>
      <c r="I4187" s="2" t="s">
        <v>9595</v>
      </c>
      <c r="J4187" s="3" t="str">
        <f>HYPERLINK("https://www.boe.es/gazeta/dias/1834/08/02/pdfs/GMD-1834-166.pdf#page=3","Abrir facsímil")</f>
        <v>Abrir facsímil</v>
      </c>
      <c r="K4187" s="3" t="s">
        <v>24</v>
      </c>
    </row>
    <row r="4188" spans="1:11" ht="54" customHeight="1">
      <c r="A4188" s="2" t="s">
        <v>9596</v>
      </c>
      <c r="B4188" s="2" t="s">
        <v>9597</v>
      </c>
      <c r="C4188" s="2" t="s">
        <v>66</v>
      </c>
      <c r="D4188" s="2" t="s">
        <v>67</v>
      </c>
      <c r="E4188" s="5" t="s">
        <v>19</v>
      </c>
      <c r="F4188" s="3" t="s">
        <v>20</v>
      </c>
      <c r="G4188" s="3" t="s">
        <v>34</v>
      </c>
      <c r="H4188" s="2" t="s">
        <v>22</v>
      </c>
      <c r="I4188" s="2" t="s">
        <v>9598</v>
      </c>
      <c r="J4188" s="3" t="str">
        <f>HYPERLINK("https://www.boe.es/gazeta/dias/1834/08/17/pdfs/GMD-C-1834-182.pdf#page=1","Abrir facsímil")</f>
        <v>Abrir facsímil</v>
      </c>
      <c r="K4188" s="3" t="s">
        <v>24</v>
      </c>
    </row>
    <row r="4189" spans="1:11" ht="54" customHeight="1">
      <c r="A4189" s="2" t="s">
        <v>9599</v>
      </c>
      <c r="B4189" s="2" t="s">
        <v>9600</v>
      </c>
      <c r="C4189" s="2" t="s">
        <v>46</v>
      </c>
      <c r="D4189" s="2" t="s">
        <v>40</v>
      </c>
      <c r="E4189" s="5" t="s">
        <v>1402</v>
      </c>
      <c r="F4189" s="3" t="s">
        <v>1403</v>
      </c>
      <c r="G4189" s="3" t="s">
        <v>86</v>
      </c>
      <c r="H4189" s="2" t="s">
        <v>22</v>
      </c>
      <c r="I4189" s="2" t="s">
        <v>9601</v>
      </c>
      <c r="J4189" s="3" t="str">
        <f>HYPERLINK("https://www.boe.es/gazeta/dias/1834/05/05/pdfs/I00347-00348.pdf#page=2","Abrir facsímil")</f>
        <v>Abrir facsímil</v>
      </c>
      <c r="K4189" s="3" t="s">
        <v>24</v>
      </c>
    </row>
    <row r="4190" spans="1:11" ht="54" customHeight="1">
      <c r="A4190" s="2" t="s">
        <v>9599</v>
      </c>
      <c r="B4190" s="2" t="s">
        <v>9600</v>
      </c>
      <c r="C4190" s="2" t="s">
        <v>46</v>
      </c>
      <c r="D4190" s="2" t="s">
        <v>40</v>
      </c>
      <c r="E4190" s="5" t="s">
        <v>1402</v>
      </c>
      <c r="F4190" s="3" t="s">
        <v>1403</v>
      </c>
      <c r="G4190" s="3" t="s">
        <v>176</v>
      </c>
      <c r="H4190" s="2" t="s">
        <v>22</v>
      </c>
      <c r="I4190" s="2" t="s">
        <v>9602</v>
      </c>
      <c r="J4190" s="3" t="str">
        <f>HYPERLINK("https://www.boe.es/gazeta/dias/1834/05/05/pdfs/GMD-1834-74.pdf#page=6","Abrir facsímil")</f>
        <v>Abrir facsímil</v>
      </c>
      <c r="K4190" s="3" t="s">
        <v>24</v>
      </c>
    </row>
    <row r="4191" spans="1:11" ht="54" customHeight="1">
      <c r="A4191" s="2" t="s">
        <v>9603</v>
      </c>
      <c r="B4191" s="2" t="s">
        <v>9604</v>
      </c>
      <c r="C4191" s="2" t="s">
        <v>66</v>
      </c>
      <c r="D4191" s="2" t="s">
        <v>67</v>
      </c>
      <c r="E4191" s="5" t="s">
        <v>378</v>
      </c>
      <c r="F4191" s="3" t="s">
        <v>379</v>
      </c>
      <c r="G4191" s="3" t="s">
        <v>21</v>
      </c>
      <c r="H4191" s="2" t="s">
        <v>35</v>
      </c>
      <c r="I4191" s="2" t="s">
        <v>9605</v>
      </c>
      <c r="J4191" s="3" t="str">
        <f>HYPERLINK("https://www.boe.es/gazeta/dias/1834/09/24/pdfs/GMD-1834-222.pdf#page=3","Abrir facsímil")</f>
        <v>Abrir facsímil</v>
      </c>
      <c r="K4191" s="3" t="s">
        <v>37</v>
      </c>
    </row>
    <row r="4192" spans="1:11" ht="54" customHeight="1">
      <c r="A4192" s="2" t="s">
        <v>9606</v>
      </c>
      <c r="B4192" s="2" t="s">
        <v>9607</v>
      </c>
      <c r="C4192" s="2" t="s">
        <v>66</v>
      </c>
      <c r="D4192" s="2" t="s">
        <v>67</v>
      </c>
      <c r="E4192" s="5" t="s">
        <v>378</v>
      </c>
      <c r="F4192" s="3" t="s">
        <v>379</v>
      </c>
      <c r="G4192" s="3" t="s">
        <v>21</v>
      </c>
      <c r="H4192" s="2" t="s">
        <v>22</v>
      </c>
      <c r="I4192" s="2" t="s">
        <v>9608</v>
      </c>
      <c r="J4192" s="3" t="str">
        <f>HYPERLINK("https://www.boe.es/gazeta/dias/1834/09/24/pdfs/GMD-1834-222.pdf#page=3","Abrir facsímil")</f>
        <v>Abrir facsímil</v>
      </c>
      <c r="K4192" s="3" t="s">
        <v>24</v>
      </c>
    </row>
    <row r="4193" spans="1:11" ht="54" customHeight="1">
      <c r="A4193" s="2" t="s">
        <v>9609</v>
      </c>
      <c r="B4193" s="2" t="s">
        <v>9610</v>
      </c>
      <c r="C4193" s="2" t="s">
        <v>857</v>
      </c>
      <c r="D4193" s="2" t="s">
        <v>18</v>
      </c>
      <c r="E4193" s="5" t="s">
        <v>19</v>
      </c>
      <c r="F4193" s="3" t="s">
        <v>20</v>
      </c>
      <c r="G4193" s="3" t="s">
        <v>34</v>
      </c>
      <c r="H4193" s="2" t="s">
        <v>22</v>
      </c>
      <c r="I4193" s="2" t="s">
        <v>9611</v>
      </c>
      <c r="J4193" s="3" t="str">
        <f>HYPERLINK("https://www.boe.es/gazeta/dias/1834/08/17/pdfs/GMD-C-1834-182.pdf#page=1","Abrir facsímil")</f>
        <v>Abrir facsímil</v>
      </c>
      <c r="K4193" s="3" t="s">
        <v>24</v>
      </c>
    </row>
    <row r="4194" spans="1:11" ht="54" customHeight="1">
      <c r="A4194" s="2" t="s">
        <v>9612</v>
      </c>
      <c r="B4194" s="2" t="s">
        <v>9613</v>
      </c>
      <c r="C4194" s="2" t="s">
        <v>90</v>
      </c>
      <c r="D4194" s="2" t="s">
        <v>67</v>
      </c>
      <c r="E4194" s="5" t="s">
        <v>563</v>
      </c>
      <c r="F4194" s="3" t="s">
        <v>564</v>
      </c>
      <c r="G4194" s="3" t="s">
        <v>86</v>
      </c>
      <c r="H4194" s="2" t="s">
        <v>22</v>
      </c>
      <c r="I4194" s="2" t="s">
        <v>9614</v>
      </c>
      <c r="J4194" s="3" t="str">
        <f>HYPERLINK("https://www.boe.es/gazeta/dias/1834/04/19/pdfs/GMD-1834-58.pdf#page=2","Abrir facsímil")</f>
        <v>Abrir facsímil</v>
      </c>
      <c r="K4194" s="3" t="s">
        <v>24</v>
      </c>
    </row>
    <row r="4195" spans="1:11" ht="54" customHeight="1">
      <c r="A4195" s="2" t="s">
        <v>9615</v>
      </c>
      <c r="B4195" s="2" t="s">
        <v>9616</v>
      </c>
      <c r="C4195" s="2" t="s">
        <v>17</v>
      </c>
      <c r="D4195" s="2" t="s">
        <v>55</v>
      </c>
      <c r="E4195" s="5" t="s">
        <v>394</v>
      </c>
      <c r="F4195" s="3" t="s">
        <v>395</v>
      </c>
      <c r="G4195" s="3" t="s">
        <v>21</v>
      </c>
      <c r="H4195" s="2" t="s">
        <v>35</v>
      </c>
      <c r="I4195" s="2" t="s">
        <v>9617</v>
      </c>
      <c r="J4195" s="3" t="str">
        <f>HYPERLINK("https://www.boe.es/gazeta/dias/1834/12/23/pdfs/GMD-1834-313.pdf#page=3","Abrir facsímil")</f>
        <v>Abrir facsímil</v>
      </c>
      <c r="K4195" s="3" t="s">
        <v>37</v>
      </c>
    </row>
    <row r="4196" spans="1:11" ht="54" customHeight="1">
      <c r="A4196" s="2" t="s">
        <v>9618</v>
      </c>
      <c r="B4196" s="2" t="s">
        <v>9619</v>
      </c>
      <c r="C4196" s="2" t="s">
        <v>17</v>
      </c>
      <c r="D4196" s="2" t="s">
        <v>55</v>
      </c>
      <c r="E4196" s="5" t="s">
        <v>394</v>
      </c>
      <c r="F4196" s="3" t="s">
        <v>395</v>
      </c>
      <c r="G4196" s="3" t="s">
        <v>21</v>
      </c>
      <c r="H4196" s="2" t="s">
        <v>22</v>
      </c>
      <c r="I4196" s="2" t="s">
        <v>9620</v>
      </c>
      <c r="J4196" s="3" t="str">
        <f>HYPERLINK("https://www.boe.es/gazeta/dias/1834/12/23/pdfs/GMD-1834-313.pdf#page=3","Abrir facsímil")</f>
        <v>Abrir facsímil</v>
      </c>
      <c r="K4196" s="3" t="s">
        <v>24</v>
      </c>
    </row>
    <row r="4197" spans="1:11" ht="54" customHeight="1">
      <c r="A4197" s="2" t="s">
        <v>9621</v>
      </c>
      <c r="B4197" s="2" t="s">
        <v>9622</v>
      </c>
      <c r="C4197" s="2" t="s">
        <v>46</v>
      </c>
      <c r="D4197" s="2" t="s">
        <v>18</v>
      </c>
      <c r="E4197" s="5" t="s">
        <v>518</v>
      </c>
      <c r="F4197" s="3" t="s">
        <v>519</v>
      </c>
      <c r="G4197" s="3" t="s">
        <v>86</v>
      </c>
      <c r="H4197" s="2" t="s">
        <v>22</v>
      </c>
      <c r="I4197" s="2" t="s">
        <v>9623</v>
      </c>
      <c r="J4197" s="3" t="str">
        <f>HYPERLINK("https://www.boe.es/gazeta/dias/1834/03/15/pdfs/GMD-1834-33.pdf#page=2","Abrir facsímil")</f>
        <v>Abrir facsímil</v>
      </c>
      <c r="K4197" s="3" t="s">
        <v>24</v>
      </c>
    </row>
    <row r="4198" spans="1:11" ht="54" customHeight="1">
      <c r="A4198" s="2" t="s">
        <v>9624</v>
      </c>
      <c r="B4198" s="2" t="s">
        <v>9625</v>
      </c>
      <c r="C4198" s="2" t="s">
        <v>17</v>
      </c>
      <c r="D4198" s="2" t="s">
        <v>18</v>
      </c>
      <c r="E4198" s="5" t="s">
        <v>838</v>
      </c>
      <c r="F4198" s="3" t="s">
        <v>839</v>
      </c>
      <c r="G4198" s="3" t="s">
        <v>21</v>
      </c>
      <c r="H4198" s="2" t="s">
        <v>22</v>
      </c>
      <c r="I4198" s="2" t="s">
        <v>9626</v>
      </c>
      <c r="J4198" s="3" t="str">
        <f>HYPERLINK("https://www.boe.es/gazeta/dias/1834/07/18/pdfs/GMD-1834-151.pdf#page=3","Abrir facsímil")</f>
        <v>Abrir facsímil</v>
      </c>
      <c r="K4198" s="3" t="s">
        <v>24</v>
      </c>
    </row>
    <row r="4199" spans="1:11" ht="54" customHeight="1">
      <c r="A4199" s="2" t="s">
        <v>9627</v>
      </c>
      <c r="B4199" s="2" t="s">
        <v>9628</v>
      </c>
      <c r="C4199" s="2" t="s">
        <v>17</v>
      </c>
      <c r="D4199" s="2" t="s">
        <v>101</v>
      </c>
      <c r="E4199" s="5" t="s">
        <v>905</v>
      </c>
      <c r="F4199" s="3" t="s">
        <v>1651</v>
      </c>
      <c r="G4199" s="3" t="s">
        <v>21</v>
      </c>
      <c r="H4199" s="2" t="s">
        <v>22</v>
      </c>
      <c r="I4199" s="2" t="s">
        <v>9629</v>
      </c>
      <c r="J4199" s="3" t="str">
        <f>HYPERLINK("https://www.boe.es/gazeta/dias/1834/08/02/pdfs/GMD-1834-166.pdf#page=3","Abrir facsímil")</f>
        <v>Abrir facsímil</v>
      </c>
      <c r="K4199" s="3" t="s">
        <v>24</v>
      </c>
    </row>
    <row r="4200" spans="1:11" ht="54" customHeight="1">
      <c r="A4200" s="2" t="s">
        <v>9630</v>
      </c>
      <c r="B4200" s="2" t="s">
        <v>9631</v>
      </c>
      <c r="C4200" s="2" t="s">
        <v>857</v>
      </c>
      <c r="D4200" s="2" t="s">
        <v>40</v>
      </c>
      <c r="E4200" s="5" t="s">
        <v>899</v>
      </c>
      <c r="F4200" s="3" t="s">
        <v>900</v>
      </c>
      <c r="G4200" s="3" t="s">
        <v>470</v>
      </c>
      <c r="H4200" s="2" t="s">
        <v>22</v>
      </c>
      <c r="I4200" s="2" t="s">
        <v>9632</v>
      </c>
      <c r="J4200" s="3" t="str">
        <f>HYPERLINK("https://www.boe.es/gazeta/dias/1834/01/30/pdfs/GMD-1834-14.pdf#page=8","Abrir facsímil")</f>
        <v>Abrir facsímil</v>
      </c>
      <c r="K4200" s="3" t="s">
        <v>24</v>
      </c>
    </row>
    <row r="4201" spans="1:11" ht="54" customHeight="1">
      <c r="A4201" s="2" t="s">
        <v>9633</v>
      </c>
      <c r="B4201" s="2" t="s">
        <v>9634</v>
      </c>
      <c r="C4201" s="2" t="s">
        <v>122</v>
      </c>
      <c r="D4201" s="2" t="s">
        <v>18</v>
      </c>
      <c r="E4201" s="5" t="s">
        <v>1234</v>
      </c>
      <c r="F4201" s="3" t="s">
        <v>1455</v>
      </c>
      <c r="G4201" s="3" t="s">
        <v>21</v>
      </c>
      <c r="H4201" s="2" t="s">
        <v>22</v>
      </c>
      <c r="I4201" s="2" t="s">
        <v>9635</v>
      </c>
      <c r="J4201" s="3" t="str">
        <f>HYPERLINK("https://www.boe.es/gazeta/dias/1834/05/15/pdfs/GMD-1834-84.pdf#page=3","Abrir facsímil")</f>
        <v>Abrir facsímil</v>
      </c>
      <c r="K4201" s="3" t="s">
        <v>24</v>
      </c>
    </row>
    <row r="4202" spans="1:11" ht="54" customHeight="1">
      <c r="A4202" s="2" t="s">
        <v>9636</v>
      </c>
      <c r="B4202" s="2" t="s">
        <v>9637</v>
      </c>
      <c r="C4202" s="2" t="s">
        <v>17</v>
      </c>
      <c r="D4202" s="2" t="s">
        <v>18</v>
      </c>
      <c r="E4202" s="5" t="s">
        <v>5435</v>
      </c>
      <c r="F4202" s="3" t="s">
        <v>5436</v>
      </c>
      <c r="G4202" s="3" t="s">
        <v>21</v>
      </c>
      <c r="H4202" s="2" t="s">
        <v>22</v>
      </c>
      <c r="I4202" s="2" t="s">
        <v>9638</v>
      </c>
      <c r="J4202" s="3" t="str">
        <f>HYPERLINK("https://www.boe.es/gazeta/dias/1834/05/11/pdfs/GMD-1834-80.pdf#page=3","Abrir facsímil")</f>
        <v>Abrir facsímil</v>
      </c>
      <c r="K4202" s="3" t="s">
        <v>24</v>
      </c>
    </row>
    <row r="4203" spans="1:11" ht="54" customHeight="1">
      <c r="A4203" s="2" t="s">
        <v>9639</v>
      </c>
      <c r="B4203" s="2" t="s">
        <v>9640</v>
      </c>
      <c r="C4203" s="2" t="s">
        <v>17</v>
      </c>
      <c r="D4203" s="2" t="s">
        <v>18</v>
      </c>
      <c r="E4203" s="5" t="s">
        <v>803</v>
      </c>
      <c r="F4203" s="3" t="s">
        <v>804</v>
      </c>
      <c r="G4203" s="3" t="s">
        <v>75</v>
      </c>
      <c r="H4203" s="2" t="s">
        <v>22</v>
      </c>
      <c r="I4203" s="2" t="s">
        <v>9641</v>
      </c>
      <c r="J4203" s="3" t="str">
        <f>HYPERLINK("https://www.boe.es/gazeta/dias/1834/03/29/pdfs/GMD-1834-39.pdf#page=4","Abrir facsímil")</f>
        <v>Abrir facsímil</v>
      </c>
      <c r="K4203" s="3" t="s">
        <v>24</v>
      </c>
    </row>
    <row r="4204" spans="1:11" ht="54" customHeight="1">
      <c r="A4204" s="2" t="s">
        <v>9642</v>
      </c>
      <c r="B4204" s="2" t="s">
        <v>9643</v>
      </c>
      <c r="C4204" s="2" t="s">
        <v>17</v>
      </c>
      <c r="D4204" s="2" t="s">
        <v>18</v>
      </c>
      <c r="E4204" s="5" t="s">
        <v>905</v>
      </c>
      <c r="F4204" s="3" t="s">
        <v>1651</v>
      </c>
      <c r="G4204" s="3" t="s">
        <v>21</v>
      </c>
      <c r="H4204" s="2" t="s">
        <v>22</v>
      </c>
      <c r="I4204" s="2" t="s">
        <v>9644</v>
      </c>
      <c r="J4204" s="3" t="str">
        <f>HYPERLINK("https://www.boe.es/gazeta/dias/1834/08/02/pdfs/GMD-1834-166.pdf#page=3","Abrir facsímil")</f>
        <v>Abrir facsímil</v>
      </c>
      <c r="K4204" s="3" t="s">
        <v>24</v>
      </c>
    </row>
    <row r="4205" spans="1:11" ht="54" customHeight="1">
      <c r="A4205" s="2" t="s">
        <v>9645</v>
      </c>
      <c r="B4205" s="2" t="s">
        <v>9646</v>
      </c>
      <c r="C4205" s="2" t="s">
        <v>122</v>
      </c>
      <c r="D4205" s="2" t="s">
        <v>18</v>
      </c>
      <c r="E4205" s="5" t="s">
        <v>1708</v>
      </c>
      <c r="F4205" s="3" t="s">
        <v>1709</v>
      </c>
      <c r="G4205" s="3" t="s">
        <v>34</v>
      </c>
      <c r="H4205" s="2" t="s">
        <v>22</v>
      </c>
      <c r="I4205" s="2" t="s">
        <v>9647</v>
      </c>
      <c r="J4205" s="3" t="str">
        <f>HYPERLINK("https://www.boe.es/gazeta/dias/1834/04/12/pdfs/GMD-1834-51.pdf#page=1","Abrir facsímil")</f>
        <v>Abrir facsímil</v>
      </c>
      <c r="K4205" s="3" t="s">
        <v>24</v>
      </c>
    </row>
    <row r="4206" spans="1:11" ht="54" customHeight="1">
      <c r="A4206" s="2" t="s">
        <v>9648</v>
      </c>
      <c r="B4206" s="2" t="s">
        <v>9649</v>
      </c>
      <c r="C4206" s="2" t="s">
        <v>90</v>
      </c>
      <c r="D4206" s="2" t="s">
        <v>101</v>
      </c>
      <c r="E4206" s="5" t="s">
        <v>1135</v>
      </c>
      <c r="F4206" s="3" t="s">
        <v>1566</v>
      </c>
      <c r="G4206" s="3" t="s">
        <v>34</v>
      </c>
      <c r="H4206" s="2" t="s">
        <v>22</v>
      </c>
      <c r="I4206" s="2" t="s">
        <v>9650</v>
      </c>
      <c r="J4206" s="3" t="str">
        <f>HYPERLINK("https://www.boe.es/gazeta/dias/1834/08/26/pdfs/GMD-C-1834-192.pdf#page=1","Abrir facsímil")</f>
        <v>Abrir facsímil</v>
      </c>
      <c r="K4206" s="3" t="s">
        <v>24</v>
      </c>
    </row>
    <row r="4207" spans="1:11" ht="54" customHeight="1">
      <c r="A4207" s="2" t="s">
        <v>9651</v>
      </c>
      <c r="B4207" s="2" t="s">
        <v>9652</v>
      </c>
      <c r="C4207" s="2" t="s">
        <v>90</v>
      </c>
      <c r="D4207" s="2" t="s">
        <v>55</v>
      </c>
      <c r="E4207" s="5" t="s">
        <v>273</v>
      </c>
      <c r="F4207" s="3" t="s">
        <v>413</v>
      </c>
      <c r="G4207" s="3" t="s">
        <v>86</v>
      </c>
      <c r="H4207" s="2" t="s">
        <v>22</v>
      </c>
      <c r="I4207" s="2" t="s">
        <v>9653</v>
      </c>
      <c r="J4207" s="3" t="str">
        <f>HYPERLINK("https://www.boe.es/gazeta/dias/1834/08/31/pdfs/GMD-1834-198.pdf#page=2","Abrir facsímil")</f>
        <v>Abrir facsímil</v>
      </c>
      <c r="K4207" s="3" t="s">
        <v>24</v>
      </c>
    </row>
    <row r="4208" spans="1:11" ht="54" customHeight="1">
      <c r="A4208" s="2" t="s">
        <v>9654</v>
      </c>
      <c r="B4208" s="2" t="s">
        <v>9655</v>
      </c>
      <c r="C4208" s="2" t="s">
        <v>90</v>
      </c>
      <c r="D4208" s="2" t="s">
        <v>67</v>
      </c>
      <c r="E4208" s="5" t="s">
        <v>849</v>
      </c>
      <c r="F4208" s="3" t="s">
        <v>850</v>
      </c>
      <c r="G4208" s="3" t="s">
        <v>34</v>
      </c>
      <c r="H4208" s="2" t="s">
        <v>22</v>
      </c>
      <c r="I4208" s="2" t="s">
        <v>9656</v>
      </c>
      <c r="J4208" s="3" t="str">
        <f>HYPERLINK("https://www.boe.es/gazeta/dias/1834/06/21/pdfs/GMD-1834-124.pdf#page=1","Abrir facsímil")</f>
        <v>Abrir facsímil</v>
      </c>
      <c r="K4208" s="3" t="s">
        <v>24</v>
      </c>
    </row>
    <row r="4209" spans="1:11" ht="54" customHeight="1">
      <c r="A4209" s="2" t="s">
        <v>9657</v>
      </c>
      <c r="B4209" s="2" t="s">
        <v>9658</v>
      </c>
      <c r="C4209" s="2" t="s">
        <v>17</v>
      </c>
      <c r="D4209" s="2" t="s">
        <v>101</v>
      </c>
      <c r="E4209" s="5" t="s">
        <v>355</v>
      </c>
      <c r="F4209" s="3" t="s">
        <v>356</v>
      </c>
      <c r="G4209" s="3" t="s">
        <v>86</v>
      </c>
      <c r="H4209" s="2" t="s">
        <v>22</v>
      </c>
      <c r="I4209" s="2" t="s">
        <v>9659</v>
      </c>
      <c r="J4209" s="3" t="str">
        <f>HYPERLINK("https://www.boe.es/gazeta/dias/1834/07/04/pdfs/I00597-00598.pdf#page=2","Abrir facsímil")</f>
        <v>Abrir facsímil</v>
      </c>
      <c r="K4209" s="3" t="s">
        <v>24</v>
      </c>
    </row>
    <row r="4210" spans="1:11" ht="54" customHeight="1">
      <c r="A4210" s="2" t="s">
        <v>9657</v>
      </c>
      <c r="B4210" s="2" t="s">
        <v>9658</v>
      </c>
      <c r="C4210" s="2" t="s">
        <v>17</v>
      </c>
      <c r="D4210" s="2" t="s">
        <v>101</v>
      </c>
      <c r="E4210" s="5" t="s">
        <v>355</v>
      </c>
      <c r="F4210" s="3" t="s">
        <v>356</v>
      </c>
      <c r="G4210" s="3" t="s">
        <v>75</v>
      </c>
      <c r="H4210" s="2" t="s">
        <v>22</v>
      </c>
      <c r="I4210" s="2" t="s">
        <v>9659</v>
      </c>
      <c r="J4210" s="3" t="str">
        <f>HYPERLINK("https://www.boe.es/gazeta/dias/1834/07/04/pdfs/GMD-1834-137.pdf#page=4","Abrir facsímil")</f>
        <v>Abrir facsímil</v>
      </c>
      <c r="K4210" s="3" t="s">
        <v>24</v>
      </c>
    </row>
    <row r="4211" spans="1:11" ht="54" customHeight="1">
      <c r="A4211" s="2" t="s">
        <v>9660</v>
      </c>
      <c r="B4211" s="2" t="s">
        <v>9661</v>
      </c>
      <c r="C4211" s="2" t="s">
        <v>66</v>
      </c>
      <c r="D4211" s="2" t="s">
        <v>67</v>
      </c>
      <c r="E4211" s="5" t="s">
        <v>2087</v>
      </c>
      <c r="F4211" s="3" t="s">
        <v>2088</v>
      </c>
      <c r="G4211" s="3" t="s">
        <v>75</v>
      </c>
      <c r="H4211" s="2" t="s">
        <v>22</v>
      </c>
      <c r="I4211" s="2" t="s">
        <v>9662</v>
      </c>
      <c r="J4211" s="3" t="str">
        <f>HYPERLINK("https://www.boe.es/gazeta/dias/1834/12/14/pdfs/GMD-1834-303.pdf#page=4","Abrir facsímil")</f>
        <v>Abrir facsímil</v>
      </c>
      <c r="K4211" s="3" t="s">
        <v>24</v>
      </c>
    </row>
    <row r="4212" spans="1:11" ht="54" customHeight="1">
      <c r="A4212" s="2" t="s">
        <v>9660</v>
      </c>
      <c r="B4212" s="2" t="s">
        <v>9661</v>
      </c>
      <c r="C4212" s="2" t="s">
        <v>122</v>
      </c>
      <c r="D4212" s="2" t="s">
        <v>18</v>
      </c>
      <c r="E4212" s="5" t="s">
        <v>1850</v>
      </c>
      <c r="F4212" s="3" t="s">
        <v>1851</v>
      </c>
      <c r="G4212" s="3" t="s">
        <v>470</v>
      </c>
      <c r="H4212" s="2" t="s">
        <v>22</v>
      </c>
      <c r="I4212" s="2" t="s">
        <v>9663</v>
      </c>
      <c r="J4212" s="3" t="str">
        <f>HYPERLINK("https://www.boe.es/gazeta/dias/1834/02/18/pdfs/GMD-1834-22.pdf#page=8","Abrir facsímil")</f>
        <v>Abrir facsímil</v>
      </c>
      <c r="K4212" s="3" t="s">
        <v>24</v>
      </c>
    </row>
    <row r="4213" spans="1:11" ht="54" customHeight="1">
      <c r="A4213" s="2" t="s">
        <v>9664</v>
      </c>
      <c r="B4213" s="2" t="s">
        <v>9665</v>
      </c>
      <c r="C4213" s="2" t="s">
        <v>46</v>
      </c>
      <c r="D4213" s="2" t="s">
        <v>101</v>
      </c>
      <c r="E4213" s="5" t="s">
        <v>672</v>
      </c>
      <c r="F4213" s="3" t="s">
        <v>1055</v>
      </c>
      <c r="G4213" s="3" t="s">
        <v>2272</v>
      </c>
      <c r="H4213" s="2" t="s">
        <v>22</v>
      </c>
      <c r="I4213" s="2" t="s">
        <v>9666</v>
      </c>
      <c r="J4213" s="3" t="str">
        <f>HYPERLINK("https://www.boe.es/gazeta/dias/1834/09/19/pdfs/GMD-C-1834-217.pdf#page=12","Abrir facsímil")</f>
        <v>Abrir facsímil</v>
      </c>
      <c r="K4213" s="3" t="s">
        <v>24</v>
      </c>
    </row>
    <row r="4214" spans="1:11" ht="54" customHeight="1">
      <c r="A4214" s="2" t="s">
        <v>9667</v>
      </c>
      <c r="B4214" s="2" t="s">
        <v>9668</v>
      </c>
      <c r="C4214" s="2" t="s">
        <v>17</v>
      </c>
      <c r="D4214" s="2" t="s">
        <v>18</v>
      </c>
      <c r="E4214" s="5" t="s">
        <v>433</v>
      </c>
      <c r="F4214" s="3" t="s">
        <v>434</v>
      </c>
      <c r="G4214" s="3" t="s">
        <v>34</v>
      </c>
      <c r="H4214" s="2" t="s">
        <v>22</v>
      </c>
      <c r="I4214" s="2" t="s">
        <v>9669</v>
      </c>
      <c r="J4214" s="3" t="str">
        <f>HYPERLINK("https://www.boe.es/gazeta/dias/1834/10/07/pdfs/GMD-C-1834-235.pdf#page=1","Abrir facsímil")</f>
        <v>Abrir facsímil</v>
      </c>
      <c r="K4214" s="3" t="s">
        <v>24</v>
      </c>
    </row>
    <row r="4215" spans="1:11" ht="54" customHeight="1">
      <c r="A4215" s="2" t="s">
        <v>9670</v>
      </c>
      <c r="B4215" s="2" t="s">
        <v>9671</v>
      </c>
      <c r="C4215" s="2" t="s">
        <v>17</v>
      </c>
      <c r="D4215" s="2" t="s">
        <v>18</v>
      </c>
      <c r="E4215" s="5" t="s">
        <v>1653</v>
      </c>
      <c r="F4215" s="3" t="s">
        <v>1654</v>
      </c>
      <c r="G4215" s="3" t="s">
        <v>21</v>
      </c>
      <c r="H4215" s="2" t="s">
        <v>22</v>
      </c>
      <c r="I4215" s="2" t="s">
        <v>9672</v>
      </c>
      <c r="J4215" s="3" t="str">
        <f>HYPERLINK("https://www.boe.es/gazeta/dias/1834/07/03/pdfs/GMD-1834-136.pdf#page=3","Abrir facsímil")</f>
        <v>Abrir facsímil</v>
      </c>
      <c r="K4215" s="3" t="s">
        <v>24</v>
      </c>
    </row>
    <row r="4216" spans="1:11" ht="54" customHeight="1">
      <c r="A4216" s="2" t="s">
        <v>9670</v>
      </c>
      <c r="B4216" s="2" t="s">
        <v>9671</v>
      </c>
      <c r="C4216" s="2" t="s">
        <v>17</v>
      </c>
      <c r="D4216" s="2" t="s">
        <v>18</v>
      </c>
      <c r="E4216" s="5" t="s">
        <v>1273</v>
      </c>
      <c r="F4216" s="3" t="s">
        <v>1274</v>
      </c>
      <c r="G4216" s="3" t="s">
        <v>75</v>
      </c>
      <c r="H4216" s="2" t="s">
        <v>22</v>
      </c>
      <c r="I4216" s="2" t="s">
        <v>9673</v>
      </c>
      <c r="J4216" s="3" t="str">
        <f>HYPERLINK("https://www.boe.es/gazeta/dias/1834/05/14/pdfs/GMD-1834-83.pdf#page=4","Abrir facsímil")</f>
        <v>Abrir facsímil</v>
      </c>
      <c r="K4216" s="3" t="s">
        <v>24</v>
      </c>
    </row>
    <row r="4217" spans="1:11" ht="54" customHeight="1">
      <c r="A4217" s="2" t="s">
        <v>9670</v>
      </c>
      <c r="B4217" s="2" t="s">
        <v>9671</v>
      </c>
      <c r="C4217" s="2" t="s">
        <v>90</v>
      </c>
      <c r="D4217" s="2" t="s">
        <v>18</v>
      </c>
      <c r="E4217" s="5" t="s">
        <v>3248</v>
      </c>
      <c r="F4217" s="3" t="s">
        <v>3249</v>
      </c>
      <c r="G4217" s="3" t="s">
        <v>34</v>
      </c>
      <c r="H4217" s="2" t="s">
        <v>22</v>
      </c>
      <c r="I4217" s="2" t="s">
        <v>9674</v>
      </c>
      <c r="J4217" s="3" t="str">
        <f>HYPERLINK("https://www.boe.es/gazeta/dias/1834/09/20/pdfs/GMD-1834-218.pdf#page=1","Abrir facsímil")</f>
        <v>Abrir facsímil</v>
      </c>
      <c r="K4217" s="3" t="s">
        <v>24</v>
      </c>
    </row>
    <row r="4218" spans="1:11" ht="54" customHeight="1">
      <c r="A4218" s="2" t="s">
        <v>9675</v>
      </c>
      <c r="B4218" s="2" t="s">
        <v>9676</v>
      </c>
      <c r="C4218" s="2" t="s">
        <v>17</v>
      </c>
      <c r="D4218" s="2" t="s">
        <v>18</v>
      </c>
      <c r="E4218" s="5" t="s">
        <v>576</v>
      </c>
      <c r="F4218" s="3" t="s">
        <v>5888</v>
      </c>
      <c r="G4218" s="3" t="s">
        <v>28</v>
      </c>
      <c r="H4218" s="2" t="s">
        <v>22</v>
      </c>
      <c r="I4218" s="2" t="s">
        <v>9677</v>
      </c>
      <c r="J4218" s="3" t="str">
        <f>HYPERLINK("https://www.boe.es/gazeta/dias/1834/09/23/pdfs/GMD-C-1834-221.pdf#page=5","Abrir facsímil")</f>
        <v>Abrir facsímil</v>
      </c>
      <c r="K4218" s="3" t="s">
        <v>24</v>
      </c>
    </row>
    <row r="4219" spans="1:11" ht="54" customHeight="1">
      <c r="A4219" s="2" t="s">
        <v>9678</v>
      </c>
      <c r="B4219" s="2" t="s">
        <v>9679</v>
      </c>
      <c r="C4219" s="2" t="s">
        <v>17</v>
      </c>
      <c r="D4219" s="2" t="s">
        <v>18</v>
      </c>
      <c r="E4219" s="5" t="s">
        <v>1641</v>
      </c>
      <c r="F4219" s="3" t="s">
        <v>1642</v>
      </c>
      <c r="G4219" s="3" t="s">
        <v>21</v>
      </c>
      <c r="H4219" s="2" t="s">
        <v>22</v>
      </c>
      <c r="I4219" s="2" t="s">
        <v>9680</v>
      </c>
      <c r="J4219" s="3" t="str">
        <f>HYPERLINK("https://www.boe.es/gazeta/dias/1834/09/28/pdfs/GMD-C-1834-226.pdf#page=3","Abrir facsímil")</f>
        <v>Abrir facsímil</v>
      </c>
      <c r="K4219" s="3" t="s">
        <v>24</v>
      </c>
    </row>
    <row r="4220" spans="1:11" ht="54" customHeight="1">
      <c r="A4220" s="2" t="s">
        <v>9681</v>
      </c>
      <c r="B4220" s="2" t="s">
        <v>9682</v>
      </c>
      <c r="C4220" s="2" t="s">
        <v>90</v>
      </c>
      <c r="D4220" s="2" t="s">
        <v>67</v>
      </c>
      <c r="E4220" s="5" t="s">
        <v>772</v>
      </c>
      <c r="F4220" s="3" t="s">
        <v>2284</v>
      </c>
      <c r="G4220" s="3" t="s">
        <v>21</v>
      </c>
      <c r="H4220" s="2" t="s">
        <v>22</v>
      </c>
      <c r="I4220" s="2" t="s">
        <v>9683</v>
      </c>
      <c r="J4220" s="3" t="str">
        <f>HYPERLINK("https://www.boe.es/gazeta/dias/1834/09/18/pdfs/GMD-C-1834-216.pdf#page=3","Abrir facsímil")</f>
        <v>Abrir facsímil</v>
      </c>
      <c r="K4220" s="3" t="s">
        <v>24</v>
      </c>
    </row>
    <row r="4221" spans="1:11" ht="54" customHeight="1">
      <c r="A4221" s="2" t="s">
        <v>9681</v>
      </c>
      <c r="B4221" s="2" t="s">
        <v>9682</v>
      </c>
      <c r="C4221" s="2" t="s">
        <v>17</v>
      </c>
      <c r="D4221" s="2" t="s">
        <v>18</v>
      </c>
      <c r="E4221" s="5" t="s">
        <v>394</v>
      </c>
      <c r="F4221" s="3" t="s">
        <v>459</v>
      </c>
      <c r="G4221" s="3" t="s">
        <v>28</v>
      </c>
      <c r="H4221" s="2" t="s">
        <v>22</v>
      </c>
      <c r="I4221" s="2" t="s">
        <v>9684</v>
      </c>
      <c r="J4221" s="3" t="str">
        <f>HYPERLINK("https://www.boe.es/gazeta/dias/1834/12/23/pdfs/GMD-C-1834-313.pdf#page=5","Abrir facsímil")</f>
        <v>Abrir facsímil</v>
      </c>
      <c r="K4221" s="3" t="s">
        <v>24</v>
      </c>
    </row>
    <row r="4222" spans="1:11" ht="54" customHeight="1">
      <c r="A4222" s="2" t="s">
        <v>9685</v>
      </c>
      <c r="B4222" s="2" t="s">
        <v>9686</v>
      </c>
      <c r="C4222" s="2" t="s">
        <v>17</v>
      </c>
      <c r="D4222" s="2" t="s">
        <v>18</v>
      </c>
      <c r="E4222" s="5" t="s">
        <v>416</v>
      </c>
      <c r="F4222" s="3" t="s">
        <v>417</v>
      </c>
      <c r="G4222" s="3" t="s">
        <v>34</v>
      </c>
      <c r="H4222" s="2" t="s">
        <v>22</v>
      </c>
      <c r="I4222" s="2" t="s">
        <v>9687</v>
      </c>
      <c r="J4222" s="3" t="str">
        <f>HYPERLINK("https://www.boe.es/gazeta/dias/1834/10/02/pdfs/GMD-C-1834-230.pdf#page=1","Abrir facsímil")</f>
        <v>Abrir facsímil</v>
      </c>
      <c r="K4222" s="3" t="s">
        <v>24</v>
      </c>
    </row>
    <row r="4223" spans="1:11" ht="54" customHeight="1">
      <c r="A4223" s="2" t="s">
        <v>9688</v>
      </c>
      <c r="B4223" s="2" t="s">
        <v>9689</v>
      </c>
      <c r="C4223" s="2" t="s">
        <v>17</v>
      </c>
      <c r="D4223" s="2" t="s">
        <v>18</v>
      </c>
      <c r="E4223" s="5" t="s">
        <v>647</v>
      </c>
      <c r="F4223" s="3" t="s">
        <v>648</v>
      </c>
      <c r="G4223" s="3" t="s">
        <v>28</v>
      </c>
      <c r="H4223" s="2" t="s">
        <v>22</v>
      </c>
      <c r="I4223" s="2" t="s">
        <v>9690</v>
      </c>
      <c r="J4223" s="3" t="str">
        <f>HYPERLINK("https://www.boe.es/gazeta/dias/1834/10/21/pdfs/GMD-C-1834-249.pdf#page=5","Abrir facsímil")</f>
        <v>Abrir facsímil</v>
      </c>
      <c r="K4223" s="3" t="s">
        <v>24</v>
      </c>
    </row>
    <row r="4224" spans="1:11" ht="54" customHeight="1">
      <c r="A4224" s="2" t="s">
        <v>9691</v>
      </c>
      <c r="B4224" s="2" t="s">
        <v>9692</v>
      </c>
      <c r="C4224" s="2" t="s">
        <v>17</v>
      </c>
      <c r="D4224" s="2" t="s">
        <v>18</v>
      </c>
      <c r="E4224" s="5" t="s">
        <v>627</v>
      </c>
      <c r="F4224" s="3" t="s">
        <v>628</v>
      </c>
      <c r="G4224" s="3" t="s">
        <v>176</v>
      </c>
      <c r="H4224" s="2" t="s">
        <v>22</v>
      </c>
      <c r="I4224" s="2" t="s">
        <v>9693</v>
      </c>
      <c r="J4224" s="3" t="str">
        <f>HYPERLINK("https://www.boe.es/gazeta/dias/1834/09/22/pdfs/GMD-C-1834-220.pdf#page=6","Abrir facsímil")</f>
        <v>Abrir facsímil</v>
      </c>
      <c r="K4224" s="3" t="s">
        <v>24</v>
      </c>
    </row>
    <row r="4225" spans="1:11" ht="54" customHeight="1">
      <c r="A4225" s="2" t="s">
        <v>9694</v>
      </c>
      <c r="B4225" s="2" t="s">
        <v>9695</v>
      </c>
      <c r="C4225" s="2" t="s">
        <v>17</v>
      </c>
      <c r="D4225" s="2" t="s">
        <v>18</v>
      </c>
      <c r="E4225" s="5" t="s">
        <v>187</v>
      </c>
      <c r="F4225" s="3" t="s">
        <v>1715</v>
      </c>
      <c r="G4225" s="3" t="s">
        <v>34</v>
      </c>
      <c r="H4225" s="2" t="s">
        <v>22</v>
      </c>
      <c r="I4225" s="2" t="s">
        <v>9696</v>
      </c>
      <c r="J4225" s="3" t="str">
        <f>HYPERLINK("https://www.boe.es/gazeta/dias/1834/09/30/pdfs/GMD-C-1834-228.pdf#page=1","Abrir facsímil")</f>
        <v>Abrir facsímil</v>
      </c>
      <c r="K4225" s="3" t="s">
        <v>24</v>
      </c>
    </row>
    <row r="4226" spans="1:11" ht="54" customHeight="1">
      <c r="A4226" s="2" t="s">
        <v>9697</v>
      </c>
      <c r="B4226" s="2" t="s">
        <v>9698</v>
      </c>
      <c r="C4226" s="2" t="s">
        <v>17</v>
      </c>
      <c r="D4226" s="2" t="s">
        <v>18</v>
      </c>
      <c r="E4226" s="5" t="s">
        <v>416</v>
      </c>
      <c r="F4226" s="3" t="s">
        <v>417</v>
      </c>
      <c r="G4226" s="3" t="s">
        <v>86</v>
      </c>
      <c r="H4226" s="2" t="s">
        <v>22</v>
      </c>
      <c r="I4226" s="2" t="s">
        <v>9699</v>
      </c>
      <c r="J4226" s="3" t="str">
        <f>HYPERLINK("https://www.boe.es/gazeta/dias/1834/10/02/pdfs/GMD-C-1834-230.pdf#page=2","Abrir facsímil")</f>
        <v>Abrir facsímil</v>
      </c>
      <c r="K4226" s="3" t="s">
        <v>24</v>
      </c>
    </row>
    <row r="4227" spans="1:11" ht="54" customHeight="1">
      <c r="A4227" s="2" t="s">
        <v>9700</v>
      </c>
      <c r="B4227" s="2" t="s">
        <v>9701</v>
      </c>
      <c r="C4227" s="2" t="s">
        <v>17</v>
      </c>
      <c r="D4227" s="2" t="s">
        <v>18</v>
      </c>
      <c r="E4227" s="5" t="s">
        <v>715</v>
      </c>
      <c r="F4227" s="3" t="s">
        <v>716</v>
      </c>
      <c r="G4227" s="3" t="s">
        <v>176</v>
      </c>
      <c r="H4227" s="2" t="s">
        <v>22</v>
      </c>
      <c r="I4227" s="2" t="s">
        <v>9702</v>
      </c>
      <c r="J4227" s="3" t="str">
        <f>HYPERLINK("https://www.boe.es/gazeta/dias/1834/09/17/pdfs/GMD-C-1834-215.pdf#page=6","Abrir facsímil")</f>
        <v>Abrir facsímil</v>
      </c>
      <c r="K4227" s="3" t="s">
        <v>24</v>
      </c>
    </row>
    <row r="4228" spans="1:11" ht="54" customHeight="1">
      <c r="A4228" s="2" t="s">
        <v>9703</v>
      </c>
      <c r="B4228" s="2" t="s">
        <v>9704</v>
      </c>
      <c r="C4228" s="2" t="s">
        <v>17</v>
      </c>
      <c r="D4228" s="2" t="s">
        <v>18</v>
      </c>
      <c r="E4228" s="5" t="s">
        <v>647</v>
      </c>
      <c r="F4228" s="3" t="s">
        <v>648</v>
      </c>
      <c r="G4228" s="3" t="s">
        <v>560</v>
      </c>
      <c r="H4228" s="2" t="s">
        <v>22</v>
      </c>
      <c r="I4228" s="2" t="s">
        <v>9705</v>
      </c>
      <c r="J4228" s="3" t="str">
        <f>HYPERLINK("https://www.boe.es/gazeta/dias/1834/10/21/pdfs/GMD-C-1834-249.pdf#page=7","Abrir facsímil")</f>
        <v>Abrir facsímil</v>
      </c>
      <c r="K4228" s="3" t="s">
        <v>24</v>
      </c>
    </row>
    <row r="4229" spans="1:11" ht="54" customHeight="1">
      <c r="A4229" s="2" t="s">
        <v>9706</v>
      </c>
      <c r="B4229" s="2" t="s">
        <v>9707</v>
      </c>
      <c r="C4229" s="2" t="s">
        <v>46</v>
      </c>
      <c r="D4229" s="2" t="s">
        <v>101</v>
      </c>
      <c r="E4229" s="5" t="s">
        <v>3225</v>
      </c>
      <c r="F4229" s="3" t="s">
        <v>3226</v>
      </c>
      <c r="G4229" s="3" t="s">
        <v>86</v>
      </c>
      <c r="H4229" s="2" t="s">
        <v>22</v>
      </c>
      <c r="I4229" s="2" t="s">
        <v>9708</v>
      </c>
      <c r="J4229" s="3" t="str">
        <f>HYPERLINK("https://www.boe.es/gazeta/dias/1834/08/22/pdfs/GMD-1834-188.pdf#page=2","Abrir facsímil")</f>
        <v>Abrir facsímil</v>
      </c>
      <c r="K4229" s="3" t="s">
        <v>24</v>
      </c>
    </row>
    <row r="4230" spans="1:11" ht="54" customHeight="1">
      <c r="A4230" s="2" t="s">
        <v>9709</v>
      </c>
      <c r="B4230" s="2" t="s">
        <v>9710</v>
      </c>
      <c r="C4230" s="2" t="s">
        <v>17</v>
      </c>
      <c r="D4230" s="2" t="s">
        <v>18</v>
      </c>
      <c r="E4230" s="5" t="s">
        <v>2287</v>
      </c>
      <c r="F4230" s="3" t="s">
        <v>2288</v>
      </c>
      <c r="G4230" s="3" t="s">
        <v>28</v>
      </c>
      <c r="H4230" s="2" t="s">
        <v>22</v>
      </c>
      <c r="I4230" s="2" t="s">
        <v>9711</v>
      </c>
      <c r="J4230" s="3" t="str">
        <f>HYPERLINK("https://www.boe.es/gazeta/dias/1834/12/18/pdfs/GMD-C-1834-308.pdf#page=5","Abrir facsímil")</f>
        <v>Abrir facsímil</v>
      </c>
      <c r="K4230" s="3" t="s">
        <v>24</v>
      </c>
    </row>
    <row r="4231" spans="1:11" ht="54" customHeight="1">
      <c r="A4231" s="2" t="s">
        <v>9712</v>
      </c>
      <c r="B4231" s="2" t="s">
        <v>9713</v>
      </c>
      <c r="C4231" s="2" t="s">
        <v>17</v>
      </c>
      <c r="D4231" s="2" t="s">
        <v>18</v>
      </c>
      <c r="E4231" s="5" t="s">
        <v>416</v>
      </c>
      <c r="F4231" s="3" t="s">
        <v>417</v>
      </c>
      <c r="G4231" s="3" t="s">
        <v>34</v>
      </c>
      <c r="H4231" s="2" t="s">
        <v>22</v>
      </c>
      <c r="I4231" s="2" t="s">
        <v>9714</v>
      </c>
      <c r="J4231" s="3" t="str">
        <f>HYPERLINK("https://www.boe.es/gazeta/dias/1834/10/02/pdfs/GMD-C-1834-230.pdf#page=1","Abrir facsímil")</f>
        <v>Abrir facsímil</v>
      </c>
      <c r="K4231" s="3" t="s">
        <v>24</v>
      </c>
    </row>
    <row r="4232" spans="1:11" ht="54" customHeight="1">
      <c r="A4232" s="2" t="s">
        <v>9715</v>
      </c>
      <c r="B4232" s="2" t="s">
        <v>9716</v>
      </c>
      <c r="C4232" s="2" t="s">
        <v>17</v>
      </c>
      <c r="D4232" s="2" t="s">
        <v>18</v>
      </c>
      <c r="E4232" s="5" t="s">
        <v>268</v>
      </c>
      <c r="F4232" s="3" t="s">
        <v>269</v>
      </c>
      <c r="G4232" s="3" t="s">
        <v>75</v>
      </c>
      <c r="H4232" s="2" t="s">
        <v>22</v>
      </c>
      <c r="I4232" s="2" t="s">
        <v>9717</v>
      </c>
      <c r="J4232" s="3" t="str">
        <f>HYPERLINK("https://www.boe.es/gazeta/dias/1834/12/19/pdfs/GMD-C-1834-309.pdf#page=4","Abrir facsímil")</f>
        <v>Abrir facsímil</v>
      </c>
      <c r="K4232" s="3" t="s">
        <v>24</v>
      </c>
    </row>
    <row r="4233" spans="1:11" ht="54" customHeight="1">
      <c r="A4233" s="2" t="s">
        <v>9718</v>
      </c>
      <c r="B4233" s="2" t="s">
        <v>9719</v>
      </c>
      <c r="C4233" s="2" t="s">
        <v>17</v>
      </c>
      <c r="D4233" s="2" t="s">
        <v>18</v>
      </c>
      <c r="E4233" s="5" t="s">
        <v>1008</v>
      </c>
      <c r="F4233" s="3" t="s">
        <v>1009</v>
      </c>
      <c r="G4233" s="3" t="s">
        <v>75</v>
      </c>
      <c r="H4233" s="2" t="s">
        <v>22</v>
      </c>
      <c r="I4233" s="2" t="s">
        <v>9720</v>
      </c>
      <c r="J4233" s="3" t="str">
        <f>HYPERLINK("https://www.boe.es/gazeta/dias/1834/11/08/pdfs/GMD-C-1834-267.pdf#page=4","Abrir facsímil")</f>
        <v>Abrir facsímil</v>
      </c>
      <c r="K4233" s="3" t="s">
        <v>24</v>
      </c>
    </row>
    <row r="4234" spans="1:11" ht="54" customHeight="1">
      <c r="A4234" s="2" t="s">
        <v>9721</v>
      </c>
      <c r="B4234" s="2" t="s">
        <v>9722</v>
      </c>
      <c r="C4234" s="2" t="s">
        <v>17</v>
      </c>
      <c r="D4234" s="2" t="s">
        <v>18</v>
      </c>
      <c r="E4234" s="5" t="s">
        <v>283</v>
      </c>
      <c r="F4234" s="3" t="s">
        <v>284</v>
      </c>
      <c r="G4234" s="3" t="s">
        <v>28</v>
      </c>
      <c r="H4234" s="2" t="s">
        <v>22</v>
      </c>
      <c r="I4234" s="2" t="s">
        <v>9723</v>
      </c>
      <c r="J4234" s="3" t="str">
        <f>HYPERLINK("https://www.boe.es/gazeta/dias/1834/11/29/pdfs/GMD-C-1834-288.pdf#page=5","Abrir facsímil")</f>
        <v>Abrir facsímil</v>
      </c>
      <c r="K4234" s="3" t="s">
        <v>24</v>
      </c>
    </row>
    <row r="4235" spans="1:11" ht="54" customHeight="1">
      <c r="A4235" s="2" t="s">
        <v>9721</v>
      </c>
      <c r="B4235" s="2" t="s">
        <v>9722</v>
      </c>
      <c r="C4235" s="2" t="s">
        <v>46</v>
      </c>
      <c r="D4235" s="2" t="s">
        <v>101</v>
      </c>
      <c r="E4235" s="5" t="s">
        <v>192</v>
      </c>
      <c r="F4235" s="3" t="s">
        <v>2713</v>
      </c>
      <c r="G4235" s="3" t="s">
        <v>34</v>
      </c>
      <c r="H4235" s="2" t="s">
        <v>22</v>
      </c>
      <c r="I4235" s="2" t="s">
        <v>9724</v>
      </c>
      <c r="J4235" s="3" t="str">
        <f>HYPERLINK("https://www.boe.es/gazeta/dias/1834/12/31/pdfs/GMD-C-1834-321.pdf#page=1","Abrir facsímil")</f>
        <v>Abrir facsímil</v>
      </c>
      <c r="K4235" s="3" t="s">
        <v>24</v>
      </c>
    </row>
    <row r="4236" spans="1:11" ht="54" customHeight="1">
      <c r="A4236" s="2" t="s">
        <v>9725</v>
      </c>
      <c r="B4236" s="2" t="s">
        <v>9726</v>
      </c>
      <c r="C4236" s="2" t="s">
        <v>17</v>
      </c>
      <c r="D4236" s="2" t="s">
        <v>18</v>
      </c>
      <c r="E4236" s="5" t="s">
        <v>416</v>
      </c>
      <c r="F4236" s="3" t="s">
        <v>417</v>
      </c>
      <c r="G4236" s="3" t="s">
        <v>75</v>
      </c>
      <c r="H4236" s="2" t="s">
        <v>22</v>
      </c>
      <c r="I4236" s="2" t="s">
        <v>9727</v>
      </c>
      <c r="J4236" s="3" t="str">
        <f>HYPERLINK("https://www.boe.es/gazeta/dias/1834/10/02/pdfs/GMD-C-1834-230.pdf#page=4","Abrir facsímil")</f>
        <v>Abrir facsímil</v>
      </c>
      <c r="K4236" s="3" t="s">
        <v>24</v>
      </c>
    </row>
    <row r="4237" spans="1:11" ht="54" customHeight="1">
      <c r="A4237" s="2" t="s">
        <v>9725</v>
      </c>
      <c r="B4237" s="2" t="s">
        <v>9726</v>
      </c>
      <c r="C4237" s="2" t="s">
        <v>17</v>
      </c>
      <c r="D4237" s="2" t="s">
        <v>18</v>
      </c>
      <c r="E4237" s="5" t="s">
        <v>73</v>
      </c>
      <c r="F4237" s="3" t="s">
        <v>1416</v>
      </c>
      <c r="G4237" s="3" t="s">
        <v>34</v>
      </c>
      <c r="H4237" s="2" t="s">
        <v>22</v>
      </c>
      <c r="I4237" s="2" t="s">
        <v>9728</v>
      </c>
      <c r="J4237" s="3" t="str">
        <f>HYPERLINK("https://www.boe.es/gazeta/dias/1834/11/04/pdfs/GMD-C-1834-263.pdf#page=1","Abrir facsímil")</f>
        <v>Abrir facsímil</v>
      </c>
      <c r="K4237" s="3" t="s">
        <v>24</v>
      </c>
    </row>
    <row r="4238" spans="1:11" ht="54" customHeight="1">
      <c r="A4238" s="2" t="s">
        <v>9725</v>
      </c>
      <c r="B4238" s="2" t="s">
        <v>9726</v>
      </c>
      <c r="C4238" s="2" t="s">
        <v>17</v>
      </c>
      <c r="D4238" s="2" t="s">
        <v>18</v>
      </c>
      <c r="E4238" s="5" t="s">
        <v>762</v>
      </c>
      <c r="F4238" s="3" t="s">
        <v>2227</v>
      </c>
      <c r="G4238" s="3" t="s">
        <v>28</v>
      </c>
      <c r="H4238" s="2" t="s">
        <v>22</v>
      </c>
      <c r="I4238" s="2" t="s">
        <v>9729</v>
      </c>
      <c r="J4238" s="3" t="str">
        <f>HYPERLINK("https://www.boe.es/gazeta/dias/1834/11/07/pdfs/GMD-C-1834-266.pdf#page=5","Abrir facsímil")</f>
        <v>Abrir facsímil</v>
      </c>
      <c r="K4238" s="3" t="s">
        <v>24</v>
      </c>
    </row>
    <row r="4239" spans="1:11" ht="54" customHeight="1">
      <c r="A4239" s="2" t="s">
        <v>9725</v>
      </c>
      <c r="B4239" s="2" t="s">
        <v>9726</v>
      </c>
      <c r="C4239" s="2" t="s">
        <v>46</v>
      </c>
      <c r="D4239" s="2" t="s">
        <v>101</v>
      </c>
      <c r="E4239" s="5" t="s">
        <v>707</v>
      </c>
      <c r="F4239" s="3" t="s">
        <v>708</v>
      </c>
      <c r="G4239" s="3" t="s">
        <v>1343</v>
      </c>
      <c r="H4239" s="2" t="s">
        <v>22</v>
      </c>
      <c r="I4239" s="2" t="s">
        <v>9730</v>
      </c>
      <c r="J4239" s="3" t="str">
        <f>HYPERLINK("https://www.boe.es/gazeta/dias/1834/11/25/pdfs/GMD-C-1834-284.pdf#page=9","Abrir facsímil")</f>
        <v>Abrir facsímil</v>
      </c>
      <c r="K4239" s="3" t="s">
        <v>24</v>
      </c>
    </row>
    <row r="4240" spans="1:11" ht="54" customHeight="1">
      <c r="A4240" s="2" t="s">
        <v>9725</v>
      </c>
      <c r="B4240" s="2" t="s">
        <v>9726</v>
      </c>
      <c r="C4240" s="2" t="s">
        <v>17</v>
      </c>
      <c r="D4240" s="2" t="s">
        <v>18</v>
      </c>
      <c r="E4240" s="5" t="s">
        <v>153</v>
      </c>
      <c r="F4240" s="3" t="s">
        <v>154</v>
      </c>
      <c r="G4240" s="3" t="s">
        <v>21</v>
      </c>
      <c r="H4240" s="2" t="s">
        <v>22</v>
      </c>
      <c r="I4240" s="2" t="s">
        <v>9731</v>
      </c>
      <c r="J4240" s="3" t="str">
        <f>HYPERLINK("https://www.boe.es/gazeta/dias/1834/12/30/pdfs/GMD-C-1834-320.pdf#page=3","Abrir facsímil")</f>
        <v>Abrir facsímil</v>
      </c>
      <c r="K4240" s="3" t="s">
        <v>24</v>
      </c>
    </row>
    <row r="4241" spans="1:11" ht="54" customHeight="1">
      <c r="A4241" s="2" t="s">
        <v>9732</v>
      </c>
      <c r="B4241" s="2" t="s">
        <v>9733</v>
      </c>
      <c r="C4241" s="2" t="s">
        <v>17</v>
      </c>
      <c r="D4241" s="2" t="s">
        <v>18</v>
      </c>
      <c r="E4241" s="5" t="s">
        <v>777</v>
      </c>
      <c r="F4241" s="3" t="s">
        <v>2535</v>
      </c>
      <c r="G4241" s="3" t="s">
        <v>86</v>
      </c>
      <c r="H4241" s="2" t="s">
        <v>22</v>
      </c>
      <c r="I4241" s="2" t="s">
        <v>9734</v>
      </c>
      <c r="J4241" s="3" t="str">
        <f>HYPERLINK("https://www.boe.es/gazeta/dias/1834/10/29/pdfs/GMD-C-1834-257.pdf#page=2","Abrir facsímil")</f>
        <v>Abrir facsímil</v>
      </c>
      <c r="K4241" s="3" t="s">
        <v>24</v>
      </c>
    </row>
    <row r="4242" spans="1:11" ht="54" customHeight="1">
      <c r="A4242" s="2" t="s">
        <v>9735</v>
      </c>
      <c r="B4242" s="2" t="s">
        <v>9736</v>
      </c>
      <c r="C4242" s="2" t="s">
        <v>17</v>
      </c>
      <c r="D4242" s="2" t="s">
        <v>18</v>
      </c>
      <c r="E4242" s="5" t="s">
        <v>265</v>
      </c>
      <c r="F4242" s="3" t="s">
        <v>266</v>
      </c>
      <c r="G4242" s="3" t="s">
        <v>21</v>
      </c>
      <c r="H4242" s="2" t="s">
        <v>22</v>
      </c>
      <c r="I4242" s="2" t="s">
        <v>9737</v>
      </c>
      <c r="J4242" s="3" t="str">
        <f>HYPERLINK("https://www.boe.es/gazeta/dias/1834/11/19/pdfs/GMD-C-1834-278.pdf#page=3","Abrir facsímil")</f>
        <v>Abrir facsímil</v>
      </c>
      <c r="K4242" s="3" t="s">
        <v>24</v>
      </c>
    </row>
    <row r="4243" spans="1:11" ht="54" customHeight="1">
      <c r="A4243" s="2" t="s">
        <v>9738</v>
      </c>
      <c r="B4243" s="2" t="s">
        <v>9739</v>
      </c>
      <c r="C4243" s="2" t="s">
        <v>46</v>
      </c>
      <c r="D4243" s="2" t="s">
        <v>101</v>
      </c>
      <c r="E4243" s="5" t="s">
        <v>715</v>
      </c>
      <c r="F4243" s="3" t="s">
        <v>716</v>
      </c>
      <c r="G4243" s="3" t="s">
        <v>34</v>
      </c>
      <c r="H4243" s="2" t="s">
        <v>22</v>
      </c>
      <c r="I4243" s="2" t="s">
        <v>9740</v>
      </c>
      <c r="J4243" s="3" t="str">
        <f>HYPERLINK("https://www.boe.es/gazeta/dias/1834/09/17/pdfs/GMD-C-1834-215.pdf#page=1","Abrir facsímil")</f>
        <v>Abrir facsímil</v>
      </c>
      <c r="K4243" s="3" t="s">
        <v>24</v>
      </c>
    </row>
    <row r="4244" spans="1:11" ht="54" customHeight="1">
      <c r="A4244" s="2" t="s">
        <v>9741</v>
      </c>
      <c r="B4244" s="2" t="s">
        <v>9742</v>
      </c>
      <c r="C4244" s="2" t="s">
        <v>17</v>
      </c>
      <c r="D4244" s="2" t="s">
        <v>18</v>
      </c>
      <c r="E4244" s="5" t="s">
        <v>707</v>
      </c>
      <c r="F4244" s="3" t="s">
        <v>708</v>
      </c>
      <c r="G4244" s="3" t="s">
        <v>470</v>
      </c>
      <c r="H4244" s="2" t="s">
        <v>22</v>
      </c>
      <c r="I4244" s="2" t="s">
        <v>9743</v>
      </c>
      <c r="J4244" s="3" t="str">
        <f>HYPERLINK("https://www.boe.es/gazeta/dias/1834/11/25/pdfs/GMD-C-1834-284.pdf#page=8","Abrir facsímil")</f>
        <v>Abrir facsímil</v>
      </c>
      <c r="K4244" s="3" t="s">
        <v>24</v>
      </c>
    </row>
    <row r="4245" spans="1:11" ht="54" customHeight="1">
      <c r="A4245" s="2" t="s">
        <v>9744</v>
      </c>
      <c r="B4245" s="2" t="s">
        <v>9745</v>
      </c>
      <c r="C4245" s="2" t="s">
        <v>90</v>
      </c>
      <c r="D4245" s="2" t="s">
        <v>18</v>
      </c>
      <c r="E4245" s="5" t="s">
        <v>265</v>
      </c>
      <c r="F4245" s="3" t="s">
        <v>266</v>
      </c>
      <c r="G4245" s="3" t="s">
        <v>86</v>
      </c>
      <c r="H4245" s="2" t="s">
        <v>22</v>
      </c>
      <c r="I4245" s="2" t="s">
        <v>9746</v>
      </c>
      <c r="J4245" s="3" t="str">
        <f>HYPERLINK("https://www.boe.es/gazeta/dias/1834/11/19/pdfs/GMD-C-1834-278.pdf#page=2","Abrir facsímil")</f>
        <v>Abrir facsímil</v>
      </c>
      <c r="K4245" s="3" t="s">
        <v>24</v>
      </c>
    </row>
    <row r="4246" spans="1:11" ht="54" customHeight="1">
      <c r="A4246" s="2" t="s">
        <v>9747</v>
      </c>
      <c r="B4246" s="2" t="s">
        <v>9748</v>
      </c>
      <c r="C4246" s="2" t="s">
        <v>46</v>
      </c>
      <c r="D4246" s="2" t="s">
        <v>101</v>
      </c>
      <c r="E4246" s="5" t="s">
        <v>233</v>
      </c>
      <c r="F4246" s="3" t="s">
        <v>1810</v>
      </c>
      <c r="G4246" s="3" t="s">
        <v>560</v>
      </c>
      <c r="H4246" s="2" t="s">
        <v>22</v>
      </c>
      <c r="I4246" s="2" t="s">
        <v>9749</v>
      </c>
      <c r="J4246" s="3" t="str">
        <f>HYPERLINK("https://www.boe.es/gazeta/dias/1834/12/16/pdfs/GMD-C-1834-305.pdf#page=7","Abrir facsímil")</f>
        <v>Abrir facsímil</v>
      </c>
      <c r="K4246" s="3" t="s">
        <v>24</v>
      </c>
    </row>
    <row r="4247" spans="1:11" ht="54" customHeight="1">
      <c r="A4247" s="2" t="s">
        <v>9750</v>
      </c>
      <c r="B4247" s="2" t="s">
        <v>9751</v>
      </c>
      <c r="C4247" s="2" t="s">
        <v>17</v>
      </c>
      <c r="D4247" s="2" t="s">
        <v>18</v>
      </c>
      <c r="E4247" s="5" t="s">
        <v>233</v>
      </c>
      <c r="F4247" s="3" t="s">
        <v>1810</v>
      </c>
      <c r="G4247" s="3" t="s">
        <v>2274</v>
      </c>
      <c r="H4247" s="2" t="s">
        <v>22</v>
      </c>
      <c r="I4247" s="2" t="s">
        <v>9752</v>
      </c>
      <c r="J4247" s="3" t="str">
        <f>HYPERLINK("https://www.boe.es/gazeta/dias/1834/12/16/pdfs/GMD-C-1834-305.pdf#page=13","Abrir facsímil")</f>
        <v>Abrir facsímil</v>
      </c>
      <c r="K4247" s="3" t="s">
        <v>24</v>
      </c>
    </row>
    <row r="4248" spans="1:11" ht="54" customHeight="1">
      <c r="A4248" s="2" t="s">
        <v>9753</v>
      </c>
      <c r="B4248" s="2" t="s">
        <v>9754</v>
      </c>
      <c r="C4248" s="2" t="s">
        <v>46</v>
      </c>
      <c r="D4248" s="2" t="s">
        <v>18</v>
      </c>
      <c r="E4248" s="5" t="s">
        <v>73</v>
      </c>
      <c r="F4248" s="3" t="s">
        <v>1416</v>
      </c>
      <c r="G4248" s="3" t="s">
        <v>21</v>
      </c>
      <c r="H4248" s="2" t="s">
        <v>22</v>
      </c>
      <c r="I4248" s="2" t="s">
        <v>9755</v>
      </c>
      <c r="J4248" s="3" t="str">
        <f>HYPERLINK("https://www.boe.es/gazeta/dias/1834/11/04/pdfs/GMD-C-1834-263.pdf#page=3","Abrir facsímil")</f>
        <v>Abrir facsímil</v>
      </c>
      <c r="K4248" s="3" t="s">
        <v>24</v>
      </c>
    </row>
    <row r="4249" spans="1:11" ht="54" customHeight="1">
      <c r="A4249" s="2" t="s">
        <v>9756</v>
      </c>
      <c r="B4249" s="2" t="s">
        <v>9757</v>
      </c>
      <c r="C4249" s="2" t="s">
        <v>17</v>
      </c>
      <c r="D4249" s="2" t="s">
        <v>18</v>
      </c>
      <c r="E4249" s="5" t="s">
        <v>468</v>
      </c>
      <c r="F4249" s="3" t="s">
        <v>469</v>
      </c>
      <c r="G4249" s="3" t="s">
        <v>1343</v>
      </c>
      <c r="H4249" s="2" t="s">
        <v>22</v>
      </c>
      <c r="I4249" s="2" t="s">
        <v>9758</v>
      </c>
      <c r="J4249" s="3" t="str">
        <f>HYPERLINK("https://www.boe.es/gazeta/dias/1834/12/28/pdfs/GMD-C-1834-318.pdf#page=9","Abrir facsímil")</f>
        <v>Abrir facsímil</v>
      </c>
      <c r="K4249" s="3" t="s">
        <v>24</v>
      </c>
    </row>
    <row r="4250" spans="1:11" ht="54" customHeight="1">
      <c r="A4250" s="2" t="s">
        <v>9759</v>
      </c>
      <c r="B4250" s="2" t="s">
        <v>9760</v>
      </c>
      <c r="C4250" s="2" t="s">
        <v>17</v>
      </c>
      <c r="D4250" s="2" t="s">
        <v>18</v>
      </c>
      <c r="E4250" s="5" t="s">
        <v>299</v>
      </c>
      <c r="F4250" s="3" t="s">
        <v>300</v>
      </c>
      <c r="G4250" s="3" t="s">
        <v>21</v>
      </c>
      <c r="H4250" s="2" t="s">
        <v>22</v>
      </c>
      <c r="I4250" s="2" t="s">
        <v>9761</v>
      </c>
      <c r="J4250" s="3" t="str">
        <f>HYPERLINK("https://www.boe.es/gazeta/dias/1834/12/12/pdfs/GMD-1834-301.pdf#page=3","Abrir facsímil")</f>
        <v>Abrir facsímil</v>
      </c>
      <c r="K4250" s="3" t="s">
        <v>24</v>
      </c>
    </row>
    <row r="4251" spans="1:11" ht="54" customHeight="1">
      <c r="A4251" s="2" t="s">
        <v>9762</v>
      </c>
      <c r="B4251" s="2" t="s">
        <v>9763</v>
      </c>
      <c r="C4251" s="2" t="s">
        <v>46</v>
      </c>
      <c r="D4251" s="2" t="s">
        <v>55</v>
      </c>
      <c r="E4251" s="5" t="s">
        <v>416</v>
      </c>
      <c r="F4251" s="3" t="s">
        <v>417</v>
      </c>
      <c r="G4251" s="3" t="s">
        <v>21</v>
      </c>
      <c r="H4251" s="2" t="s">
        <v>22</v>
      </c>
      <c r="I4251" s="2" t="s">
        <v>9764</v>
      </c>
      <c r="J4251" s="3" t="str">
        <f>HYPERLINK("https://www.boe.es/gazeta/dias/1834/10/02/pdfs/GMD-C-1834-230.pdf#page=3","Abrir facsímil")</f>
        <v>Abrir facsímil</v>
      </c>
      <c r="K4251" s="3" t="s">
        <v>24</v>
      </c>
    </row>
    <row r="4252" spans="1:11" ht="54" customHeight="1">
      <c r="A4252" s="2" t="s">
        <v>9765</v>
      </c>
      <c r="B4252" s="2" t="s">
        <v>9766</v>
      </c>
      <c r="C4252" s="2" t="s">
        <v>46</v>
      </c>
      <c r="D4252" s="2" t="s">
        <v>18</v>
      </c>
      <c r="E4252" s="5" t="s">
        <v>1008</v>
      </c>
      <c r="F4252" s="3" t="s">
        <v>2991</v>
      </c>
      <c r="G4252" s="3" t="s">
        <v>75</v>
      </c>
      <c r="H4252" s="2" t="s">
        <v>22</v>
      </c>
      <c r="I4252" s="2" t="s">
        <v>9767</v>
      </c>
      <c r="J4252" s="3" t="str">
        <f>HYPERLINK("https://www.boe.es/gazeta/dias/1834/11/08/pdfs/GMD-1834-267.pdf#page=4","Abrir facsímil")</f>
        <v>Abrir facsímil</v>
      </c>
      <c r="K4252" s="3" t="s">
        <v>24</v>
      </c>
    </row>
    <row r="4253" spans="1:11" ht="54" customHeight="1">
      <c r="A4253" s="2" t="s">
        <v>9768</v>
      </c>
      <c r="B4253" s="2" t="s">
        <v>9769</v>
      </c>
      <c r="C4253" s="2" t="s">
        <v>46</v>
      </c>
      <c r="D4253" s="2" t="s">
        <v>18</v>
      </c>
      <c r="E4253" s="5" t="s">
        <v>1008</v>
      </c>
      <c r="F4253" s="3" t="s">
        <v>2991</v>
      </c>
      <c r="G4253" s="3" t="s">
        <v>75</v>
      </c>
      <c r="H4253" s="2" t="s">
        <v>35</v>
      </c>
      <c r="I4253" s="2" t="s">
        <v>9770</v>
      </c>
      <c r="J4253" s="3" t="str">
        <f>HYPERLINK("https://www.boe.es/gazeta/dias/1834/11/08/pdfs/GMD-1834-267.pdf#page=4","Abrir facsímil")</f>
        <v>Abrir facsímil</v>
      </c>
      <c r="K4253" s="3" t="s">
        <v>37</v>
      </c>
    </row>
    <row r="4254" spans="1:11" ht="54" customHeight="1">
      <c r="A4254" s="2" t="s">
        <v>9771</v>
      </c>
      <c r="B4254" s="2" t="s">
        <v>9772</v>
      </c>
      <c r="C4254" s="2" t="s">
        <v>17</v>
      </c>
      <c r="D4254" s="2" t="s">
        <v>18</v>
      </c>
      <c r="E4254" s="5" t="s">
        <v>5435</v>
      </c>
      <c r="F4254" s="3" t="s">
        <v>5436</v>
      </c>
      <c r="G4254" s="3" t="s">
        <v>75</v>
      </c>
      <c r="H4254" s="2" t="s">
        <v>22</v>
      </c>
      <c r="I4254" s="2" t="s">
        <v>9773</v>
      </c>
      <c r="J4254" s="3" t="str">
        <f>HYPERLINK("https://www.boe.es/gazeta/dias/1834/05/11/pdfs/GMD-1834-80.pdf#page=4","Abrir facsímil")</f>
        <v>Abrir facsímil</v>
      </c>
      <c r="K4254" s="3" t="s">
        <v>24</v>
      </c>
    </row>
    <row r="4255" spans="1:11" ht="54" customHeight="1">
      <c r="A4255" s="2" t="s">
        <v>9774</v>
      </c>
      <c r="B4255" s="2" t="s">
        <v>9775</v>
      </c>
      <c r="C4255" s="2" t="s">
        <v>46</v>
      </c>
      <c r="D4255" s="2" t="s">
        <v>55</v>
      </c>
      <c r="E4255" s="5" t="s">
        <v>571</v>
      </c>
      <c r="F4255" s="3" t="s">
        <v>620</v>
      </c>
      <c r="G4255" s="3" t="s">
        <v>176</v>
      </c>
      <c r="H4255" s="2" t="s">
        <v>22</v>
      </c>
      <c r="I4255" s="2" t="s">
        <v>9776</v>
      </c>
      <c r="J4255" s="3" t="str">
        <f>HYPERLINK("https://www.boe.es/gazeta/dias/1834/09/04/pdfs/GMD-C-1834-202.pdf#page=6","Abrir facsímil")</f>
        <v>Abrir facsímil</v>
      </c>
      <c r="K4255" s="3" t="s">
        <v>24</v>
      </c>
    </row>
    <row r="4256" spans="1:11" ht="54" customHeight="1">
      <c r="A4256" s="2" t="s">
        <v>9774</v>
      </c>
      <c r="B4256" s="2" t="s">
        <v>9775</v>
      </c>
      <c r="C4256" s="2" t="s">
        <v>46</v>
      </c>
      <c r="D4256" s="2" t="s">
        <v>101</v>
      </c>
      <c r="E4256" s="5" t="s">
        <v>3025</v>
      </c>
      <c r="F4256" s="3" t="s">
        <v>3026</v>
      </c>
      <c r="G4256" s="3" t="s">
        <v>176</v>
      </c>
      <c r="H4256" s="2" t="s">
        <v>22</v>
      </c>
      <c r="I4256" s="2" t="s">
        <v>9777</v>
      </c>
      <c r="J4256" s="3" t="str">
        <f>HYPERLINK("https://www.boe.es/gazeta/dias/1834/05/25/pdfs/GMD-1834-94.pdf#page=6","Abrir facsímil")</f>
        <v>Abrir facsímil</v>
      </c>
      <c r="K4256" s="3" t="s">
        <v>24</v>
      </c>
    </row>
    <row r="4257" spans="1:11" ht="54" customHeight="1">
      <c r="A4257" s="2" t="s">
        <v>9778</v>
      </c>
      <c r="B4257" s="2" t="s">
        <v>9779</v>
      </c>
      <c r="C4257" s="2" t="s">
        <v>17</v>
      </c>
      <c r="D4257" s="2" t="s">
        <v>101</v>
      </c>
      <c r="E4257" s="5" t="s">
        <v>753</v>
      </c>
      <c r="F4257" s="3" t="s">
        <v>754</v>
      </c>
      <c r="G4257" s="3" t="s">
        <v>34</v>
      </c>
      <c r="H4257" s="2" t="s">
        <v>35</v>
      </c>
      <c r="I4257" s="2" t="s">
        <v>9780</v>
      </c>
      <c r="J4257" s="3" t="str">
        <f>HYPERLINK("https://www.boe.es/gazeta/dias/1834/04/21/pdfs/GMD-1834-60.pdf#page=1","Abrir facsímil")</f>
        <v>Abrir facsímil</v>
      </c>
      <c r="K4257" s="3" t="s">
        <v>37</v>
      </c>
    </row>
    <row r="4258" spans="1:11" ht="54" customHeight="1">
      <c r="A4258" s="2" t="s">
        <v>9781</v>
      </c>
      <c r="B4258" s="2" t="s">
        <v>9782</v>
      </c>
      <c r="C4258" s="2" t="s">
        <v>17</v>
      </c>
      <c r="D4258" s="2" t="s">
        <v>18</v>
      </c>
      <c r="E4258" s="5" t="s">
        <v>2098</v>
      </c>
      <c r="F4258" s="3" t="s">
        <v>5817</v>
      </c>
      <c r="G4258" s="3" t="s">
        <v>34</v>
      </c>
      <c r="H4258" s="2" t="s">
        <v>22</v>
      </c>
      <c r="I4258" s="2" t="s">
        <v>9783</v>
      </c>
      <c r="J4258" s="3" t="str">
        <f>HYPERLINK("https://www.boe.es/gazeta/dias/1834/08/11/pdfs/GMD-C-1834-176.pdf#page=1","Abrir facsímil")</f>
        <v>Abrir facsímil</v>
      </c>
      <c r="K4258" s="3" t="s">
        <v>24</v>
      </c>
    </row>
    <row r="4259" spans="1:11" ht="54" customHeight="1">
      <c r="A4259" s="2" t="s">
        <v>9781</v>
      </c>
      <c r="B4259" s="2" t="s">
        <v>9782</v>
      </c>
      <c r="C4259" s="2" t="s">
        <v>17</v>
      </c>
      <c r="D4259" s="2" t="s">
        <v>101</v>
      </c>
      <c r="E4259" s="5" t="s">
        <v>753</v>
      </c>
      <c r="F4259" s="3" t="s">
        <v>754</v>
      </c>
      <c r="G4259" s="3" t="s">
        <v>34</v>
      </c>
      <c r="H4259" s="2" t="s">
        <v>22</v>
      </c>
      <c r="I4259" s="2" t="s">
        <v>9784</v>
      </c>
      <c r="J4259" s="3" t="str">
        <f>HYPERLINK("https://www.boe.es/gazeta/dias/1834/04/21/pdfs/GMD-1834-60.pdf#page=1","Abrir facsímil")</f>
        <v>Abrir facsímil</v>
      </c>
      <c r="K4259" s="3" t="s">
        <v>24</v>
      </c>
    </row>
    <row r="4260" spans="1:11" ht="54" customHeight="1">
      <c r="A4260" s="2" t="s">
        <v>9781</v>
      </c>
      <c r="B4260" s="2" t="s">
        <v>9782</v>
      </c>
      <c r="C4260" s="2" t="s">
        <v>46</v>
      </c>
      <c r="D4260" s="2" t="s">
        <v>18</v>
      </c>
      <c r="E4260" s="5" t="s">
        <v>32</v>
      </c>
      <c r="F4260" s="3" t="s">
        <v>33</v>
      </c>
      <c r="G4260" s="3" t="s">
        <v>86</v>
      </c>
      <c r="H4260" s="2" t="s">
        <v>22</v>
      </c>
      <c r="I4260" s="2" t="s">
        <v>9785</v>
      </c>
      <c r="J4260" s="3" t="str">
        <f>HYPERLINK("https://www.boe.es/gazeta/dias/1834/04/23/pdfs/GMD-1834-62.pdf#page=2","Abrir facsímil")</f>
        <v>Abrir facsímil</v>
      </c>
      <c r="K4260" s="3" t="s">
        <v>24</v>
      </c>
    </row>
    <row r="4261" spans="1:11" ht="54" customHeight="1">
      <c r="A4261" s="2" t="s">
        <v>9786</v>
      </c>
      <c r="B4261" s="2" t="s">
        <v>9787</v>
      </c>
      <c r="C4261" s="2" t="s">
        <v>17</v>
      </c>
      <c r="D4261" s="2" t="s">
        <v>101</v>
      </c>
      <c r="E4261" s="5" t="s">
        <v>1708</v>
      </c>
      <c r="F4261" s="3" t="s">
        <v>1709</v>
      </c>
      <c r="G4261" s="3" t="s">
        <v>34</v>
      </c>
      <c r="H4261" s="2" t="s">
        <v>22</v>
      </c>
      <c r="I4261" s="2" t="s">
        <v>9788</v>
      </c>
      <c r="J4261" s="3" t="str">
        <f>HYPERLINK("https://www.boe.es/gazeta/dias/1834/04/12/pdfs/GMD-1834-51.pdf#page=1","Abrir facsímil")</f>
        <v>Abrir facsímil</v>
      </c>
      <c r="K4261" s="3" t="s">
        <v>24</v>
      </c>
    </row>
    <row r="4262" spans="1:11" ht="54" customHeight="1">
      <c r="A4262" s="2" t="s">
        <v>9789</v>
      </c>
      <c r="B4262" s="2" t="s">
        <v>9790</v>
      </c>
      <c r="C4262" s="2" t="s">
        <v>66</v>
      </c>
      <c r="D4262" s="2" t="s">
        <v>18</v>
      </c>
      <c r="E4262" s="5" t="s">
        <v>2950</v>
      </c>
      <c r="F4262" s="3" t="s">
        <v>2951</v>
      </c>
      <c r="G4262" s="3" t="s">
        <v>21</v>
      </c>
      <c r="H4262" s="2" t="s">
        <v>22</v>
      </c>
      <c r="I4262" s="2" t="s">
        <v>9791</v>
      </c>
      <c r="J4262" s="3" t="str">
        <f>HYPERLINK("https://www.boe.es/gazeta/dias/1834/05/20/pdfs/GMD-1834-89.pdf#page=3","Abrir facsímil")</f>
        <v>Abrir facsímil</v>
      </c>
      <c r="K4262" s="3" t="s">
        <v>24</v>
      </c>
    </row>
    <row r="4263" spans="1:11" ht="54" customHeight="1">
      <c r="A4263" s="2" t="s">
        <v>9792</v>
      </c>
      <c r="B4263" s="2" t="s">
        <v>9793</v>
      </c>
      <c r="C4263" s="2" t="s">
        <v>46</v>
      </c>
      <c r="D4263" s="2" t="s">
        <v>55</v>
      </c>
      <c r="E4263" s="5" t="s">
        <v>258</v>
      </c>
      <c r="F4263" s="3" t="s">
        <v>1075</v>
      </c>
      <c r="G4263" s="3" t="s">
        <v>34</v>
      </c>
      <c r="H4263" s="2" t="s">
        <v>22</v>
      </c>
      <c r="I4263" s="2" t="s">
        <v>9794</v>
      </c>
      <c r="J4263" s="3" t="str">
        <f>HYPERLINK("https://www.boe.es/gazeta/dias/1834/10/09/pdfs/GMD-1834-237.pdf#page=1","Abrir facsímil")</f>
        <v>Abrir facsímil</v>
      </c>
      <c r="K4263" s="3" t="s">
        <v>24</v>
      </c>
    </row>
    <row r="4264" spans="1:11" ht="54" customHeight="1">
      <c r="A4264" s="2" t="s">
        <v>9795</v>
      </c>
      <c r="B4264" s="2" t="s">
        <v>9796</v>
      </c>
      <c r="C4264" s="2" t="s">
        <v>17</v>
      </c>
      <c r="D4264" s="2" t="s">
        <v>18</v>
      </c>
      <c r="E4264" s="5" t="s">
        <v>492</v>
      </c>
      <c r="F4264" s="3" t="s">
        <v>493</v>
      </c>
      <c r="G4264" s="3" t="s">
        <v>28</v>
      </c>
      <c r="H4264" s="2" t="s">
        <v>35</v>
      </c>
      <c r="I4264" s="2" t="s">
        <v>9797</v>
      </c>
      <c r="J4264" s="3" t="str">
        <f>HYPERLINK("https://www.boe.es/gazeta/dias/1834/11/21/pdfs/GMD-C-1834-280.pdf#page=5","Abrir facsímil")</f>
        <v>Abrir facsímil</v>
      </c>
      <c r="K4264" s="3" t="s">
        <v>37</v>
      </c>
    </row>
    <row r="4265" spans="1:11" ht="54" customHeight="1">
      <c r="A4265" s="2" t="s">
        <v>9795</v>
      </c>
      <c r="B4265" s="2" t="s">
        <v>9796</v>
      </c>
      <c r="C4265" s="2" t="s">
        <v>17</v>
      </c>
      <c r="D4265" s="2" t="s">
        <v>40</v>
      </c>
      <c r="E4265" s="5" t="s">
        <v>2937</v>
      </c>
      <c r="F4265" s="3" t="s">
        <v>2938</v>
      </c>
      <c r="G4265" s="3" t="s">
        <v>75</v>
      </c>
      <c r="H4265" s="2" t="s">
        <v>35</v>
      </c>
      <c r="I4265" s="2" t="s">
        <v>9798</v>
      </c>
      <c r="J4265" s="3" t="str">
        <f>HYPERLINK("https://www.boe.es/gazeta/dias/1834/06/25/pdfs/GMD-1834-128.pdf#page=4","Abrir facsímil")</f>
        <v>Abrir facsímil</v>
      </c>
      <c r="K4265" s="3" t="s">
        <v>37</v>
      </c>
    </row>
    <row r="4266" spans="1:11" ht="54" customHeight="1">
      <c r="A4266" s="2" t="s">
        <v>9799</v>
      </c>
      <c r="B4266" s="2" t="s">
        <v>9800</v>
      </c>
      <c r="C4266" s="2" t="s">
        <v>17</v>
      </c>
      <c r="D4266" s="2" t="s">
        <v>18</v>
      </c>
      <c r="E4266" s="5" t="s">
        <v>492</v>
      </c>
      <c r="F4266" s="3" t="s">
        <v>493</v>
      </c>
      <c r="G4266" s="3" t="s">
        <v>28</v>
      </c>
      <c r="H4266" s="2" t="s">
        <v>22</v>
      </c>
      <c r="I4266" s="2" t="s">
        <v>9801</v>
      </c>
      <c r="J4266" s="3" t="str">
        <f>HYPERLINK("https://www.boe.es/gazeta/dias/1834/11/21/pdfs/GMD-C-1834-280.pdf#page=5","Abrir facsímil")</f>
        <v>Abrir facsímil</v>
      </c>
      <c r="K4266" s="3" t="s">
        <v>24</v>
      </c>
    </row>
    <row r="4267" spans="1:11" ht="54" customHeight="1">
      <c r="A4267" s="2" t="s">
        <v>9799</v>
      </c>
      <c r="B4267" s="2" t="s">
        <v>9800</v>
      </c>
      <c r="C4267" s="2" t="s">
        <v>17</v>
      </c>
      <c r="D4267" s="2" t="s">
        <v>40</v>
      </c>
      <c r="E4267" s="5" t="s">
        <v>2937</v>
      </c>
      <c r="F4267" s="3" t="s">
        <v>2938</v>
      </c>
      <c r="G4267" s="3" t="s">
        <v>75</v>
      </c>
      <c r="H4267" s="2" t="s">
        <v>22</v>
      </c>
      <c r="I4267" s="2" t="s">
        <v>9802</v>
      </c>
      <c r="J4267" s="3" t="str">
        <f>HYPERLINK("https://www.boe.es/gazeta/dias/1834/06/25/pdfs/GMD-1834-128.pdf#page=4","Abrir facsímil")</f>
        <v>Abrir facsímil</v>
      </c>
      <c r="K4267" s="3" t="s">
        <v>24</v>
      </c>
    </row>
    <row r="4268" spans="1:11" ht="54" customHeight="1">
      <c r="A4268" s="2" t="s">
        <v>9803</v>
      </c>
      <c r="B4268" s="2" t="s">
        <v>9804</v>
      </c>
      <c r="C4268" s="2" t="s">
        <v>122</v>
      </c>
      <c r="D4268" s="2" t="s">
        <v>18</v>
      </c>
      <c r="E4268" s="5" t="s">
        <v>492</v>
      </c>
      <c r="F4268" s="3" t="s">
        <v>493</v>
      </c>
      <c r="G4268" s="3" t="s">
        <v>28</v>
      </c>
      <c r="H4268" s="2" t="s">
        <v>35</v>
      </c>
      <c r="I4268" s="2" t="s">
        <v>9805</v>
      </c>
      <c r="J4268" s="3" t="str">
        <f>HYPERLINK("https://www.boe.es/gazeta/dias/1834/11/21/pdfs/GMD-C-1834-280.pdf#page=5","Abrir facsímil")</f>
        <v>Abrir facsímil</v>
      </c>
      <c r="K4268" s="3" t="s">
        <v>37</v>
      </c>
    </row>
    <row r="4269" spans="1:11" ht="54" customHeight="1">
      <c r="A4269" s="2" t="s">
        <v>9806</v>
      </c>
      <c r="B4269" s="2" t="s">
        <v>9807</v>
      </c>
      <c r="C4269" s="2" t="s">
        <v>90</v>
      </c>
      <c r="D4269" s="2" t="s">
        <v>18</v>
      </c>
      <c r="E4269" s="5" t="s">
        <v>416</v>
      </c>
      <c r="F4269" s="3" t="s">
        <v>1130</v>
      </c>
      <c r="G4269" s="3" t="s">
        <v>86</v>
      </c>
      <c r="H4269" s="2" t="s">
        <v>22</v>
      </c>
      <c r="I4269" s="2" t="s">
        <v>9808</v>
      </c>
      <c r="J4269" s="3" t="str">
        <f>HYPERLINK("https://www.boe.es/gazeta/dias/1834/10/02/pdfs/GMD-1834-230.pdf#page=2","Abrir facsímil")</f>
        <v>Abrir facsímil</v>
      </c>
      <c r="K4269" s="3" t="s">
        <v>24</v>
      </c>
    </row>
    <row r="4270" spans="1:11" ht="54" customHeight="1">
      <c r="A4270" s="2" t="s">
        <v>9809</v>
      </c>
      <c r="B4270" s="2" t="s">
        <v>9810</v>
      </c>
      <c r="C4270" s="2" t="s">
        <v>17</v>
      </c>
      <c r="D4270" s="2" t="s">
        <v>18</v>
      </c>
      <c r="E4270" s="5" t="s">
        <v>813</v>
      </c>
      <c r="F4270" s="3" t="s">
        <v>814</v>
      </c>
      <c r="G4270" s="3" t="s">
        <v>21</v>
      </c>
      <c r="H4270" s="2" t="s">
        <v>35</v>
      </c>
      <c r="I4270" s="2" t="s">
        <v>9811</v>
      </c>
      <c r="J4270" s="3" t="str">
        <f>HYPERLINK("https://www.boe.es/gazeta/dias/1834/08/08/pdfs/GMD-1834-173.pdf#page=3","Abrir facsímil")</f>
        <v>Abrir facsímil</v>
      </c>
      <c r="K4270" s="3" t="s">
        <v>37</v>
      </c>
    </row>
    <row r="4271" spans="1:11" ht="54" customHeight="1">
      <c r="A4271" s="2" t="s">
        <v>9809</v>
      </c>
      <c r="B4271" s="2" t="s">
        <v>9810</v>
      </c>
      <c r="C4271" s="2" t="s">
        <v>66</v>
      </c>
      <c r="D4271" s="2" t="s">
        <v>55</v>
      </c>
      <c r="E4271" s="5" t="s">
        <v>1135</v>
      </c>
      <c r="F4271" s="3" t="s">
        <v>1136</v>
      </c>
      <c r="G4271" s="3" t="s">
        <v>21</v>
      </c>
      <c r="H4271" s="2" t="s">
        <v>35</v>
      </c>
      <c r="I4271" s="2" t="s">
        <v>9812</v>
      </c>
      <c r="J4271" s="3" t="str">
        <f>HYPERLINK("https://www.boe.es/gazeta/dias/1834/08/26/pdfs/GMD-1834-192.pdf#page=3","Abrir facsímil")</f>
        <v>Abrir facsímil</v>
      </c>
      <c r="K4271" s="3" t="s">
        <v>37</v>
      </c>
    </row>
    <row r="4272" spans="1:11" ht="54" customHeight="1">
      <c r="A4272" s="2" t="s">
        <v>9813</v>
      </c>
      <c r="B4272" s="2" t="s">
        <v>9814</v>
      </c>
      <c r="C4272" s="2" t="s">
        <v>17</v>
      </c>
      <c r="D4272" s="2" t="s">
        <v>18</v>
      </c>
      <c r="E4272" s="5" t="s">
        <v>813</v>
      </c>
      <c r="F4272" s="3" t="s">
        <v>814</v>
      </c>
      <c r="G4272" s="3" t="s">
        <v>21</v>
      </c>
      <c r="H4272" s="2" t="s">
        <v>22</v>
      </c>
      <c r="I4272" s="2" t="s">
        <v>9815</v>
      </c>
      <c r="J4272" s="3" t="str">
        <f>HYPERLINK("https://www.boe.es/gazeta/dias/1834/08/08/pdfs/GMD-1834-173.pdf#page=3","Abrir facsímil")</f>
        <v>Abrir facsímil</v>
      </c>
      <c r="K4272" s="3" t="s">
        <v>24</v>
      </c>
    </row>
    <row r="4273" spans="1:11" ht="54" customHeight="1">
      <c r="A4273" s="2" t="s">
        <v>9813</v>
      </c>
      <c r="B4273" s="2" t="s">
        <v>9814</v>
      </c>
      <c r="C4273" s="2" t="s">
        <v>66</v>
      </c>
      <c r="D4273" s="2" t="s">
        <v>55</v>
      </c>
      <c r="E4273" s="5" t="s">
        <v>1135</v>
      </c>
      <c r="F4273" s="3" t="s">
        <v>1136</v>
      </c>
      <c r="G4273" s="3" t="s">
        <v>21</v>
      </c>
      <c r="H4273" s="2" t="s">
        <v>22</v>
      </c>
      <c r="I4273" s="2" t="s">
        <v>9816</v>
      </c>
      <c r="J4273" s="3" t="str">
        <f>HYPERLINK("https://www.boe.es/gazeta/dias/1834/08/26/pdfs/GMD-1834-192.pdf#page=3","Abrir facsímil")</f>
        <v>Abrir facsímil</v>
      </c>
      <c r="K4273" s="3" t="s">
        <v>24</v>
      </c>
    </row>
    <row r="4274" spans="1:11" ht="54" customHeight="1">
      <c r="A4274" s="2" t="s">
        <v>9817</v>
      </c>
      <c r="B4274" s="2" t="s">
        <v>9818</v>
      </c>
      <c r="C4274" s="2" t="s">
        <v>122</v>
      </c>
      <c r="D4274" s="2" t="s">
        <v>18</v>
      </c>
      <c r="E4274" s="5" t="s">
        <v>102</v>
      </c>
      <c r="F4274" s="3" t="s">
        <v>103</v>
      </c>
      <c r="G4274" s="3" t="s">
        <v>21</v>
      </c>
      <c r="H4274" s="2" t="s">
        <v>22</v>
      </c>
      <c r="I4274" s="2" t="s">
        <v>9819</v>
      </c>
      <c r="J4274" s="3" t="str">
        <f>HYPERLINK("https://www.boe.es/gazeta/dias/1834/07/19/pdfs/GMD-1834-152.pdf#page=3","Abrir facsímil")</f>
        <v>Abrir facsímil</v>
      </c>
      <c r="K4274" s="3" t="s">
        <v>24</v>
      </c>
    </row>
    <row r="4275" spans="1:11" ht="54" customHeight="1">
      <c r="A4275" s="2" t="s">
        <v>9820</v>
      </c>
      <c r="B4275" s="2" t="s">
        <v>9821</v>
      </c>
      <c r="C4275" s="2" t="s">
        <v>17</v>
      </c>
      <c r="D4275" s="2" t="s">
        <v>55</v>
      </c>
      <c r="E4275" s="5" t="s">
        <v>2037</v>
      </c>
      <c r="F4275" s="3" t="s">
        <v>2038</v>
      </c>
      <c r="G4275" s="3" t="s">
        <v>86</v>
      </c>
      <c r="H4275" s="2" t="s">
        <v>22</v>
      </c>
      <c r="I4275" s="2" t="s">
        <v>9822</v>
      </c>
      <c r="J4275" s="3" t="str">
        <f>HYPERLINK("https://www.boe.es/gazeta/dias/1834/12/01/pdfs/GMD-1834-290.pdf#page=2","Abrir facsímil")</f>
        <v>Abrir facsímil</v>
      </c>
      <c r="K4275" s="3" t="s">
        <v>24</v>
      </c>
    </row>
    <row r="4276" spans="1:11" ht="54" customHeight="1">
      <c r="A4276" s="2" t="s">
        <v>9823</v>
      </c>
      <c r="B4276" s="2" t="s">
        <v>9824</v>
      </c>
      <c r="C4276" s="2" t="s">
        <v>46</v>
      </c>
      <c r="D4276" s="2" t="s">
        <v>101</v>
      </c>
      <c r="E4276" s="5" t="s">
        <v>1862</v>
      </c>
      <c r="F4276" s="3" t="s">
        <v>1863</v>
      </c>
      <c r="G4276" s="3" t="s">
        <v>34</v>
      </c>
      <c r="H4276" s="2" t="s">
        <v>35</v>
      </c>
      <c r="I4276" s="2" t="s">
        <v>9825</v>
      </c>
      <c r="J4276" s="3" t="str">
        <f>HYPERLINK("https://www.boe.es/gazeta/dias/1834/02/04/pdfs/GMD-1834-16.pdf#page=1","Abrir facsímil")</f>
        <v>Abrir facsímil</v>
      </c>
      <c r="K4276" s="3" t="s">
        <v>37</v>
      </c>
    </row>
    <row r="4277" spans="1:11" ht="54" customHeight="1">
      <c r="A4277" s="2" t="s">
        <v>9826</v>
      </c>
      <c r="B4277" s="2" t="s">
        <v>9827</v>
      </c>
      <c r="C4277" s="2" t="s">
        <v>90</v>
      </c>
      <c r="D4277" s="2" t="s">
        <v>101</v>
      </c>
      <c r="E4277" s="5" t="s">
        <v>334</v>
      </c>
      <c r="F4277" s="3" t="s">
        <v>567</v>
      </c>
      <c r="G4277" s="3" t="s">
        <v>34</v>
      </c>
      <c r="H4277" s="2" t="s">
        <v>35</v>
      </c>
      <c r="I4277" s="2" t="s">
        <v>9828</v>
      </c>
      <c r="J4277" s="3" t="str">
        <f>HYPERLINK("https://www.boe.es/gazeta/dias/1834/09/11/pdfs/GMD-1834-209.pdf#page=1","Abrir facsímil")</f>
        <v>Abrir facsímil</v>
      </c>
      <c r="K4277" s="3" t="s">
        <v>37</v>
      </c>
    </row>
    <row r="4278" spans="1:11" ht="54" customHeight="1">
      <c r="A4278" s="2" t="s">
        <v>9829</v>
      </c>
      <c r="B4278" s="2" t="s">
        <v>9830</v>
      </c>
      <c r="C4278" s="2" t="s">
        <v>90</v>
      </c>
      <c r="D4278" s="2" t="s">
        <v>18</v>
      </c>
      <c r="E4278" s="5" t="s">
        <v>1575</v>
      </c>
      <c r="F4278" s="3" t="s">
        <v>1576</v>
      </c>
      <c r="G4278" s="3" t="s">
        <v>34</v>
      </c>
      <c r="H4278" s="2" t="s">
        <v>35</v>
      </c>
      <c r="I4278" s="2" t="s">
        <v>9831</v>
      </c>
      <c r="J4278" s="3" t="str">
        <f>HYPERLINK("https://www.boe.es/gazeta/dias/1834/11/24/pdfs/GMD-1834-283.pdf#page=1","Abrir facsímil")</f>
        <v>Abrir facsímil</v>
      </c>
      <c r="K4278" s="3" t="s">
        <v>37</v>
      </c>
    </row>
    <row r="4279" spans="1:11" ht="54" customHeight="1">
      <c r="A4279" s="2" t="s">
        <v>9832</v>
      </c>
      <c r="B4279" s="2" t="s">
        <v>9833</v>
      </c>
      <c r="C4279" s="2" t="s">
        <v>17</v>
      </c>
      <c r="D4279" s="2" t="s">
        <v>18</v>
      </c>
      <c r="E4279" s="5" t="s">
        <v>1766</v>
      </c>
      <c r="F4279" s="3" t="s">
        <v>1767</v>
      </c>
      <c r="G4279" s="3" t="s">
        <v>34</v>
      </c>
      <c r="H4279" s="2" t="s">
        <v>22</v>
      </c>
      <c r="I4279" s="2" t="s">
        <v>9834</v>
      </c>
      <c r="J4279" s="3" t="str">
        <f>HYPERLINK("https://www.boe.es/gazeta/dias/1834/10/26/pdfs/GMD-C-1834-254.pdf#page=1","Abrir facsímil")</f>
        <v>Abrir facsímil</v>
      </c>
      <c r="K4279" s="3" t="s">
        <v>24</v>
      </c>
    </row>
    <row r="4280" spans="1:11" ht="54" customHeight="1">
      <c r="A4280" s="2" t="s">
        <v>9835</v>
      </c>
      <c r="B4280" s="2" t="s">
        <v>9836</v>
      </c>
      <c r="C4280" s="2" t="s">
        <v>66</v>
      </c>
      <c r="D4280" s="2" t="s">
        <v>67</v>
      </c>
      <c r="E4280" s="5" t="s">
        <v>696</v>
      </c>
      <c r="F4280" s="3" t="s">
        <v>854</v>
      </c>
      <c r="G4280" s="3" t="s">
        <v>21</v>
      </c>
      <c r="H4280" s="2" t="s">
        <v>35</v>
      </c>
      <c r="I4280" s="2" t="s">
        <v>9837</v>
      </c>
      <c r="J4280" s="3" t="str">
        <f>HYPERLINK("https://www.boe.es/gazeta/dias/1834/12/06/pdfs/GMD-1834-295.pdf#page=3","Abrir facsímil")</f>
        <v>Abrir facsímil</v>
      </c>
      <c r="K4280" s="3" t="s">
        <v>37</v>
      </c>
    </row>
    <row r="4281" spans="1:11" ht="54" customHeight="1">
      <c r="A4281" s="2" t="s">
        <v>9838</v>
      </c>
      <c r="B4281" s="2" t="s">
        <v>9839</v>
      </c>
      <c r="C4281" s="2" t="s">
        <v>17</v>
      </c>
      <c r="D4281" s="2" t="s">
        <v>18</v>
      </c>
      <c r="E4281" s="5" t="s">
        <v>1212</v>
      </c>
      <c r="F4281" s="3" t="s">
        <v>1213</v>
      </c>
      <c r="G4281" s="3" t="s">
        <v>34</v>
      </c>
      <c r="H4281" s="2" t="s">
        <v>22</v>
      </c>
      <c r="I4281" s="2" t="s">
        <v>9840</v>
      </c>
      <c r="J4281" s="3" t="str">
        <f>HYPERLINK("https://www.boe.es/gazeta/dias/1834/05/24/pdfs/GMD-1834-93.pdf#page=1","Abrir facsímil")</f>
        <v>Abrir facsímil</v>
      </c>
      <c r="K4281" s="3" t="s">
        <v>24</v>
      </c>
    </row>
    <row r="4282" spans="1:11" ht="54" customHeight="1">
      <c r="A4282" s="2" t="s">
        <v>9841</v>
      </c>
      <c r="B4282" s="2" t="s">
        <v>9842</v>
      </c>
      <c r="C4282" s="2" t="s">
        <v>17</v>
      </c>
      <c r="D4282" s="2" t="s">
        <v>40</v>
      </c>
      <c r="E4282" s="5" t="s">
        <v>1572</v>
      </c>
      <c r="F4282" s="3" t="s">
        <v>1573</v>
      </c>
      <c r="G4282" s="3" t="s">
        <v>176</v>
      </c>
      <c r="H4282" s="2" t="s">
        <v>22</v>
      </c>
      <c r="I4282" s="2" t="s">
        <v>9843</v>
      </c>
      <c r="J4282" s="3" t="str">
        <f>HYPERLINK("https://www.boe.es/gazeta/dias/1834/03/20/pdfs/GMD-1834-35.pdf#page=6","Abrir facsímil")</f>
        <v>Abrir facsímil</v>
      </c>
      <c r="K4282" s="3" t="s">
        <v>24</v>
      </c>
    </row>
    <row r="4283" spans="1:11" ht="54" customHeight="1">
      <c r="A4283" s="2" t="s">
        <v>9844</v>
      </c>
      <c r="B4283" s="2" t="s">
        <v>9845</v>
      </c>
      <c r="C4283" s="2" t="s">
        <v>17</v>
      </c>
      <c r="D4283" s="2" t="s">
        <v>18</v>
      </c>
      <c r="E4283" s="5" t="s">
        <v>128</v>
      </c>
      <c r="F4283" s="3" t="s">
        <v>1068</v>
      </c>
      <c r="G4283" s="3" t="s">
        <v>75</v>
      </c>
      <c r="H4283" s="2" t="s">
        <v>22</v>
      </c>
      <c r="I4283" s="2" t="s">
        <v>9846</v>
      </c>
      <c r="J4283" s="3" t="str">
        <f>HYPERLINK("https://www.boe.es/gazeta/dias/1834/12/24/pdfs/GMD-1834-314.pdf#page=4","Abrir facsímil")</f>
        <v>Abrir facsímil</v>
      </c>
      <c r="K4283" s="3" t="s">
        <v>24</v>
      </c>
    </row>
    <row r="4284" spans="1:11" ht="54" customHeight="1">
      <c r="A4284" s="2" t="s">
        <v>9847</v>
      </c>
      <c r="B4284" s="2" t="s">
        <v>9848</v>
      </c>
      <c r="C4284" s="2" t="s">
        <v>17</v>
      </c>
      <c r="D4284" s="2" t="s">
        <v>18</v>
      </c>
      <c r="E4284" s="5" t="s">
        <v>905</v>
      </c>
      <c r="F4284" s="3" t="s">
        <v>1651</v>
      </c>
      <c r="G4284" s="3" t="s">
        <v>21</v>
      </c>
      <c r="H4284" s="2" t="s">
        <v>22</v>
      </c>
      <c r="I4284" s="2" t="s">
        <v>9849</v>
      </c>
      <c r="J4284" s="3" t="str">
        <f>HYPERLINK("https://www.boe.es/gazeta/dias/1834/08/02/pdfs/GMD-1834-166.pdf#page=3","Abrir facsímil")</f>
        <v>Abrir facsímil</v>
      </c>
      <c r="K4284" s="3" t="s">
        <v>24</v>
      </c>
    </row>
    <row r="4285" spans="1:11" ht="54" customHeight="1">
      <c r="A4285" s="2" t="s">
        <v>9847</v>
      </c>
      <c r="B4285" s="2" t="s">
        <v>9848</v>
      </c>
      <c r="C4285" s="2" t="s">
        <v>17</v>
      </c>
      <c r="D4285" s="2" t="s">
        <v>18</v>
      </c>
      <c r="E4285" s="5" t="s">
        <v>32</v>
      </c>
      <c r="F4285" s="3" t="s">
        <v>33</v>
      </c>
      <c r="G4285" s="3" t="s">
        <v>34</v>
      </c>
      <c r="H4285" s="2" t="s">
        <v>22</v>
      </c>
      <c r="I4285" s="2" t="s">
        <v>9850</v>
      </c>
      <c r="J4285" s="3" t="str">
        <f>HYPERLINK("https://www.boe.es/gazeta/dias/1834/04/23/pdfs/GMD-1834-62.pdf#page=1","Abrir facsímil")</f>
        <v>Abrir facsímil</v>
      </c>
      <c r="K4285" s="3" t="s">
        <v>24</v>
      </c>
    </row>
    <row r="4286" spans="1:11" ht="54" customHeight="1">
      <c r="A4286" s="2" t="s">
        <v>9851</v>
      </c>
      <c r="B4286" s="2" t="s">
        <v>9852</v>
      </c>
      <c r="C4286" s="2" t="s">
        <v>17</v>
      </c>
      <c r="D4286" s="2" t="s">
        <v>55</v>
      </c>
      <c r="E4286" s="5" t="s">
        <v>167</v>
      </c>
      <c r="F4286" s="3" t="s">
        <v>168</v>
      </c>
      <c r="G4286" s="3" t="s">
        <v>21</v>
      </c>
      <c r="H4286" s="2" t="s">
        <v>22</v>
      </c>
      <c r="I4286" s="2" t="s">
        <v>9853</v>
      </c>
      <c r="J4286" s="3" t="str">
        <f>HYPERLINK("https://www.boe.es/gazeta/dias/1834/09/07/pdfs/GMD-1834-205.pdf#page=3","Abrir facsímil")</f>
        <v>Abrir facsímil</v>
      </c>
      <c r="K4286" s="3" t="s">
        <v>24</v>
      </c>
    </row>
    <row r="4287" spans="1:11" ht="54" customHeight="1">
      <c r="A4287" s="2" t="s">
        <v>9854</v>
      </c>
      <c r="B4287" s="2" t="s">
        <v>9855</v>
      </c>
      <c r="C4287" s="2" t="s">
        <v>17</v>
      </c>
      <c r="D4287" s="2" t="s">
        <v>18</v>
      </c>
      <c r="E4287" s="5" t="s">
        <v>883</v>
      </c>
      <c r="F4287" s="3" t="s">
        <v>884</v>
      </c>
      <c r="G4287" s="3" t="s">
        <v>86</v>
      </c>
      <c r="H4287" s="2" t="s">
        <v>22</v>
      </c>
      <c r="I4287" s="2" t="s">
        <v>9856</v>
      </c>
      <c r="J4287" s="3" t="str">
        <f>HYPERLINK("https://www.boe.es/gazeta/dias/1834/11/16/pdfs/GMD-C-1834-275.pdf#page=2","Abrir facsímil")</f>
        <v>Abrir facsímil</v>
      </c>
      <c r="K4287" s="3" t="s">
        <v>24</v>
      </c>
    </row>
    <row r="4288" spans="1:11" ht="54" customHeight="1">
      <c r="A4288" s="2" t="s">
        <v>9857</v>
      </c>
      <c r="B4288" s="2" t="s">
        <v>9858</v>
      </c>
      <c r="C4288" s="2" t="s">
        <v>17</v>
      </c>
      <c r="D4288" s="2" t="s">
        <v>18</v>
      </c>
      <c r="E4288" s="5" t="s">
        <v>590</v>
      </c>
      <c r="F4288" s="3" t="s">
        <v>591</v>
      </c>
      <c r="G4288" s="3" t="s">
        <v>75</v>
      </c>
      <c r="H4288" s="2" t="s">
        <v>22</v>
      </c>
      <c r="I4288" s="2" t="s">
        <v>9859</v>
      </c>
      <c r="J4288" s="3" t="str">
        <f>HYPERLINK("https://www.boe.es/gazeta/dias/1834/11/30/pdfs/GMD-1834-289.pdf#page=4","Abrir facsímil")</f>
        <v>Abrir facsímil</v>
      </c>
      <c r="K4288" s="3" t="s">
        <v>24</v>
      </c>
    </row>
    <row r="4289" spans="1:11" ht="54" customHeight="1">
      <c r="A4289" s="2" t="s">
        <v>9860</v>
      </c>
      <c r="B4289" s="2" t="s">
        <v>9861</v>
      </c>
      <c r="C4289" s="2" t="s">
        <v>122</v>
      </c>
      <c r="D4289" s="2" t="s">
        <v>40</v>
      </c>
      <c r="E4289" s="5" t="s">
        <v>1883</v>
      </c>
      <c r="F4289" s="3" t="s">
        <v>1884</v>
      </c>
      <c r="G4289" s="3" t="s">
        <v>75</v>
      </c>
      <c r="H4289" s="2" t="s">
        <v>35</v>
      </c>
      <c r="I4289" s="2" t="s">
        <v>9862</v>
      </c>
      <c r="J4289" s="3" t="str">
        <f>HYPERLINK("https://www.boe.es/gazeta/dias/1834/01/11/pdfs/GMD-1834-6.pdf#page=4","Abrir facsímil")</f>
        <v>Abrir facsímil</v>
      </c>
      <c r="K4289" s="3" t="s">
        <v>37</v>
      </c>
    </row>
    <row r="4290" spans="1:11" ht="54" customHeight="1">
      <c r="A4290" s="2" t="s">
        <v>9863</v>
      </c>
      <c r="B4290" s="2" t="s">
        <v>9864</v>
      </c>
      <c r="C4290" s="2" t="s">
        <v>122</v>
      </c>
      <c r="D4290" s="2" t="s">
        <v>40</v>
      </c>
      <c r="E4290" s="5" t="s">
        <v>1883</v>
      </c>
      <c r="F4290" s="3" t="s">
        <v>1884</v>
      </c>
      <c r="G4290" s="3" t="s">
        <v>75</v>
      </c>
      <c r="H4290" s="2" t="s">
        <v>22</v>
      </c>
      <c r="I4290" s="2" t="s">
        <v>9865</v>
      </c>
      <c r="J4290" s="3" t="str">
        <f>HYPERLINK("https://www.boe.es/gazeta/dias/1834/01/11/pdfs/GMD-1834-6.pdf#page=4","Abrir facsímil")</f>
        <v>Abrir facsímil</v>
      </c>
      <c r="K4290" s="3" t="s">
        <v>24</v>
      </c>
    </row>
    <row r="4291" spans="1:11" ht="54" customHeight="1">
      <c r="A4291" s="2" t="s">
        <v>9866</v>
      </c>
      <c r="B4291" s="2" t="s">
        <v>9867</v>
      </c>
      <c r="C4291" s="2" t="s">
        <v>90</v>
      </c>
      <c r="D4291" s="2" t="s">
        <v>18</v>
      </c>
      <c r="E4291" s="5" t="s">
        <v>286</v>
      </c>
      <c r="F4291" s="3" t="s">
        <v>548</v>
      </c>
      <c r="G4291" s="3" t="s">
        <v>75</v>
      </c>
      <c r="H4291" s="2" t="s">
        <v>22</v>
      </c>
      <c r="I4291" s="2" t="s">
        <v>9868</v>
      </c>
      <c r="J4291" s="3" t="str">
        <f>HYPERLINK("https://www.boe.es/gazeta/dias/1834/08/30/pdfs/GMD-1834-196.pdf#page=4","Abrir facsímil")</f>
        <v>Abrir facsímil</v>
      </c>
      <c r="K4291" s="3" t="s">
        <v>24</v>
      </c>
    </row>
    <row r="4292" spans="1:11" ht="54" customHeight="1">
      <c r="A4292" s="2" t="s">
        <v>9869</v>
      </c>
      <c r="B4292" s="2" t="s">
        <v>9870</v>
      </c>
      <c r="C4292" s="2" t="s">
        <v>122</v>
      </c>
      <c r="D4292" s="2" t="s">
        <v>18</v>
      </c>
      <c r="E4292" s="5" t="s">
        <v>772</v>
      </c>
      <c r="F4292" s="3" t="s">
        <v>773</v>
      </c>
      <c r="G4292" s="3" t="s">
        <v>21</v>
      </c>
      <c r="H4292" s="2" t="s">
        <v>22</v>
      </c>
      <c r="I4292" s="2" t="s">
        <v>9871</v>
      </c>
      <c r="J4292" s="3" t="str">
        <f>HYPERLINK("https://www.boe.es/gazeta/dias/1834/09/18/pdfs/GMD-1834-216.pdf#page=3","Abrir facsímil")</f>
        <v>Abrir facsímil</v>
      </c>
      <c r="K4292" s="3" t="s">
        <v>24</v>
      </c>
    </row>
    <row r="4293" spans="1:11" ht="54" customHeight="1">
      <c r="A4293" s="2" t="s">
        <v>9872</v>
      </c>
      <c r="B4293" s="2" t="s">
        <v>9873</v>
      </c>
      <c r="C4293" s="2" t="s">
        <v>90</v>
      </c>
      <c r="D4293" s="2" t="s">
        <v>101</v>
      </c>
      <c r="E4293" s="5" t="s">
        <v>317</v>
      </c>
      <c r="F4293" s="3" t="s">
        <v>318</v>
      </c>
      <c r="G4293" s="3" t="s">
        <v>34</v>
      </c>
      <c r="H4293" s="2" t="s">
        <v>22</v>
      </c>
      <c r="I4293" s="2" t="s">
        <v>9874</v>
      </c>
      <c r="J4293" s="3" t="str">
        <f>HYPERLINK("https://www.boe.es/gazeta/dias/1834/03/06/pdfs/I00139-00140.pdf#page=1","Abrir facsímil")</f>
        <v>Abrir facsímil</v>
      </c>
      <c r="K4293" s="3" t="s">
        <v>24</v>
      </c>
    </row>
    <row r="4294" spans="1:11" ht="54" customHeight="1">
      <c r="A4294" s="2" t="s">
        <v>9872</v>
      </c>
      <c r="B4294" s="2" t="s">
        <v>9873</v>
      </c>
      <c r="C4294" s="2" t="s">
        <v>90</v>
      </c>
      <c r="D4294" s="2" t="s">
        <v>101</v>
      </c>
      <c r="E4294" s="5" t="s">
        <v>317</v>
      </c>
      <c r="F4294" s="3" t="s">
        <v>318</v>
      </c>
      <c r="G4294" s="3" t="s">
        <v>21</v>
      </c>
      <c r="H4294" s="2" t="s">
        <v>22</v>
      </c>
      <c r="I4294" s="2" t="s">
        <v>9874</v>
      </c>
      <c r="J4294" s="3" t="str">
        <f>HYPERLINK("https://www.boe.es/gazeta/dias/1834/03/06/pdfs/GMD-1834-29.pdf#page=3","Abrir facsímil")</f>
        <v>Abrir facsímil</v>
      </c>
      <c r="K4294" s="3" t="s">
        <v>24</v>
      </c>
    </row>
    <row r="4295" spans="1:11" ht="54" customHeight="1">
      <c r="A4295" s="2" t="s">
        <v>9875</v>
      </c>
      <c r="B4295" s="2" t="s">
        <v>9876</v>
      </c>
      <c r="C4295" s="2" t="s">
        <v>17</v>
      </c>
      <c r="D4295" s="2" t="s">
        <v>18</v>
      </c>
      <c r="E4295" s="5" t="s">
        <v>1226</v>
      </c>
      <c r="F4295" s="3" t="s">
        <v>1227</v>
      </c>
      <c r="G4295" s="3" t="s">
        <v>21</v>
      </c>
      <c r="H4295" s="2" t="s">
        <v>35</v>
      </c>
      <c r="I4295" s="2" t="s">
        <v>9877</v>
      </c>
      <c r="J4295" s="3" t="str">
        <f>HYPERLINK("https://www.boe.es/gazeta/dias/1834/07/14/pdfs/GMD-1834-147.pdf#page=3","Abrir facsímil")</f>
        <v>Abrir facsímil</v>
      </c>
      <c r="K4295" s="3" t="s">
        <v>37</v>
      </c>
    </row>
    <row r="4296" spans="1:11" ht="54" customHeight="1">
      <c r="A4296" s="2" t="s">
        <v>9878</v>
      </c>
      <c r="B4296" s="2" t="s">
        <v>9879</v>
      </c>
      <c r="C4296" s="2" t="s">
        <v>90</v>
      </c>
      <c r="D4296" s="2" t="s">
        <v>18</v>
      </c>
      <c r="E4296" s="5" t="s">
        <v>192</v>
      </c>
      <c r="F4296" s="3" t="s">
        <v>2713</v>
      </c>
      <c r="G4296" s="3" t="s">
        <v>28</v>
      </c>
      <c r="H4296" s="2" t="s">
        <v>22</v>
      </c>
      <c r="I4296" s="2" t="s">
        <v>9880</v>
      </c>
      <c r="J4296" s="3" t="str">
        <f>HYPERLINK("https://www.boe.es/gazeta/dias/1834/12/31/pdfs/GMD-C-1834-321.pdf#page=5","Abrir facsímil")</f>
        <v>Abrir facsímil</v>
      </c>
      <c r="K4296" s="3" t="s">
        <v>24</v>
      </c>
    </row>
    <row r="4297" spans="1:11" ht="54" customHeight="1">
      <c r="A4297" s="2" t="s">
        <v>9881</v>
      </c>
      <c r="B4297" s="2" t="s">
        <v>9882</v>
      </c>
      <c r="C4297" s="2" t="s">
        <v>66</v>
      </c>
      <c r="D4297" s="2" t="s">
        <v>67</v>
      </c>
      <c r="E4297" s="5" t="s">
        <v>2212</v>
      </c>
      <c r="F4297" s="3" t="s">
        <v>5450</v>
      </c>
      <c r="G4297" s="3" t="s">
        <v>21</v>
      </c>
      <c r="H4297" s="2" t="s">
        <v>22</v>
      </c>
      <c r="I4297" s="2" t="s">
        <v>9883</v>
      </c>
      <c r="J4297" s="3" t="str">
        <f>HYPERLINK("https://www.boe.es/gazeta/dias/1834/08/04/pdfs/GMD-1834-168.pdf#page=3","Abrir facsímil")</f>
        <v>Abrir facsímil</v>
      </c>
      <c r="K4297" s="3" t="s">
        <v>24</v>
      </c>
    </row>
    <row r="4298" spans="1:11" ht="54" customHeight="1">
      <c r="A4298" s="2" t="s">
        <v>9884</v>
      </c>
      <c r="B4298" s="2" t="s">
        <v>9885</v>
      </c>
      <c r="C4298" s="2" t="s">
        <v>17</v>
      </c>
      <c r="D4298" s="2" t="s">
        <v>101</v>
      </c>
      <c r="E4298" s="5" t="s">
        <v>1002</v>
      </c>
      <c r="F4298" s="3" t="s">
        <v>1003</v>
      </c>
      <c r="G4298" s="3" t="s">
        <v>34</v>
      </c>
      <c r="H4298" s="2" t="s">
        <v>22</v>
      </c>
      <c r="I4298" s="2" t="s">
        <v>9886</v>
      </c>
      <c r="J4298" s="3" t="str">
        <f>HYPERLINK("https://www.boe.es/gazeta/dias/1834/06/26/pdfs/GMD-1834-129.pdf#page=1","Abrir facsímil")</f>
        <v>Abrir facsímil</v>
      </c>
      <c r="K4298" s="3" t="s">
        <v>24</v>
      </c>
    </row>
    <row r="4299" spans="1:11" ht="54" customHeight="1">
      <c r="A4299" s="2" t="s">
        <v>9887</v>
      </c>
      <c r="B4299" s="2" t="s">
        <v>9888</v>
      </c>
      <c r="C4299" s="2" t="s">
        <v>66</v>
      </c>
      <c r="D4299" s="2" t="s">
        <v>67</v>
      </c>
      <c r="E4299" s="5" t="s">
        <v>719</v>
      </c>
      <c r="F4299" s="3" t="s">
        <v>720</v>
      </c>
      <c r="G4299" s="3" t="s">
        <v>75</v>
      </c>
      <c r="H4299" s="2" t="s">
        <v>35</v>
      </c>
      <c r="I4299" s="2" t="s">
        <v>9889</v>
      </c>
      <c r="J4299" s="3" t="str">
        <f>HYPERLINK("https://www.boe.es/gazeta/dias/1834/04/29/pdfs/GMD-1834-68.pdf#page=4","Abrir facsímil")</f>
        <v>Abrir facsímil</v>
      </c>
      <c r="K4299" s="3" t="s">
        <v>37</v>
      </c>
    </row>
    <row r="4300" spans="1:11" ht="54" customHeight="1">
      <c r="A4300" s="2" t="s">
        <v>9890</v>
      </c>
      <c r="B4300" s="2" t="s">
        <v>9891</v>
      </c>
      <c r="C4300" s="2" t="s">
        <v>46</v>
      </c>
      <c r="D4300" s="2" t="s">
        <v>18</v>
      </c>
      <c r="E4300" s="5" t="s">
        <v>61</v>
      </c>
      <c r="F4300" s="3" t="s">
        <v>205</v>
      </c>
      <c r="G4300" s="3" t="s">
        <v>86</v>
      </c>
      <c r="H4300" s="2" t="s">
        <v>35</v>
      </c>
      <c r="I4300" s="2" t="s">
        <v>9892</v>
      </c>
      <c r="J4300" s="3" t="str">
        <f>HYPERLINK("https://www.boe.es/gazeta/dias/1834/06/08/pdfs/GMD-1834-110.pdf#page=2","Abrir facsímil")</f>
        <v>Abrir facsímil</v>
      </c>
      <c r="K4300" s="3" t="s">
        <v>37</v>
      </c>
    </row>
    <row r="4301" spans="1:11" ht="54" customHeight="1">
      <c r="A4301" s="2" t="s">
        <v>9893</v>
      </c>
      <c r="B4301" s="2" t="s">
        <v>9894</v>
      </c>
      <c r="C4301" s="2" t="s">
        <v>46</v>
      </c>
      <c r="D4301" s="2" t="s">
        <v>18</v>
      </c>
      <c r="E4301" s="5" t="s">
        <v>61</v>
      </c>
      <c r="F4301" s="3" t="s">
        <v>205</v>
      </c>
      <c r="G4301" s="3" t="s">
        <v>86</v>
      </c>
      <c r="H4301" s="2" t="s">
        <v>22</v>
      </c>
      <c r="I4301" s="2" t="s">
        <v>9895</v>
      </c>
      <c r="J4301" s="3" t="str">
        <f>HYPERLINK("https://www.boe.es/gazeta/dias/1834/06/08/pdfs/GMD-1834-110.pdf#page=2","Abrir facsímil")</f>
        <v>Abrir facsímil</v>
      </c>
      <c r="K4301" s="3" t="s">
        <v>24</v>
      </c>
    </row>
    <row r="4302" spans="1:11" ht="54" customHeight="1">
      <c r="A4302" s="2" t="s">
        <v>9896</v>
      </c>
      <c r="B4302" s="2" t="s">
        <v>9897</v>
      </c>
      <c r="C4302" s="2" t="s">
        <v>17</v>
      </c>
      <c r="D4302" s="2" t="s">
        <v>18</v>
      </c>
      <c r="E4302" s="5" t="s">
        <v>1653</v>
      </c>
      <c r="F4302" s="3" t="s">
        <v>1654</v>
      </c>
      <c r="G4302" s="3" t="s">
        <v>34</v>
      </c>
      <c r="H4302" s="2" t="s">
        <v>22</v>
      </c>
      <c r="I4302" s="2" t="s">
        <v>9898</v>
      </c>
      <c r="J4302" s="3" t="str">
        <f>HYPERLINK("https://www.boe.es/gazeta/dias/1834/07/03/pdfs/GMD-1834-136.pdf#page=1","Abrir facsímil")</f>
        <v>Abrir facsímil</v>
      </c>
      <c r="K4302" s="3" t="s">
        <v>24</v>
      </c>
    </row>
    <row r="4303" spans="1:11" ht="54" customHeight="1">
      <c r="A4303" s="2" t="s">
        <v>9899</v>
      </c>
      <c r="B4303" s="2" t="s">
        <v>9900</v>
      </c>
      <c r="C4303" s="2" t="s">
        <v>90</v>
      </c>
      <c r="D4303" s="2" t="s">
        <v>55</v>
      </c>
      <c r="E4303" s="5" t="s">
        <v>339</v>
      </c>
      <c r="F4303" s="3" t="s">
        <v>340</v>
      </c>
      <c r="G4303" s="3" t="s">
        <v>34</v>
      </c>
      <c r="H4303" s="2" t="s">
        <v>22</v>
      </c>
      <c r="I4303" s="2" t="s">
        <v>9901</v>
      </c>
      <c r="J4303" s="3" t="str">
        <f>HYPERLINK("https://www.boe.es/gazeta/dias/1834/05/02/pdfs/GMD-1834-71.pdf#page=1","Abrir facsímil")</f>
        <v>Abrir facsímil</v>
      </c>
      <c r="K4303" s="3" t="s">
        <v>24</v>
      </c>
    </row>
    <row r="4304" spans="1:11" ht="54" customHeight="1">
      <c r="A4304" s="2" t="s">
        <v>9902</v>
      </c>
      <c r="B4304" s="2" t="s">
        <v>9903</v>
      </c>
      <c r="C4304" s="2" t="s">
        <v>90</v>
      </c>
      <c r="D4304" s="2" t="s">
        <v>67</v>
      </c>
      <c r="E4304" s="5" t="s">
        <v>389</v>
      </c>
      <c r="F4304" s="3" t="s">
        <v>390</v>
      </c>
      <c r="G4304" s="3" t="s">
        <v>21</v>
      </c>
      <c r="H4304" s="2" t="s">
        <v>22</v>
      </c>
      <c r="I4304" s="2" t="s">
        <v>9904</v>
      </c>
      <c r="J4304" s="3" t="str">
        <f>HYPERLINK("https://www.boe.es/gazeta/dias/1834/10/25/pdfs/GMD-1834-253.pdf#page=3","Abrir facsímil")</f>
        <v>Abrir facsímil</v>
      </c>
      <c r="K4304" s="3" t="s">
        <v>24</v>
      </c>
    </row>
    <row r="4305" spans="1:11" ht="54" customHeight="1">
      <c r="A4305" s="2" t="s">
        <v>9905</v>
      </c>
      <c r="B4305" s="2" t="s">
        <v>9906</v>
      </c>
      <c r="C4305" s="2" t="s">
        <v>17</v>
      </c>
      <c r="D4305" s="2" t="s">
        <v>18</v>
      </c>
      <c r="E4305" s="5" t="s">
        <v>518</v>
      </c>
      <c r="F4305" s="3" t="s">
        <v>519</v>
      </c>
      <c r="G4305" s="3" t="s">
        <v>34</v>
      </c>
      <c r="H4305" s="2" t="s">
        <v>22</v>
      </c>
      <c r="I4305" s="2" t="s">
        <v>9907</v>
      </c>
      <c r="J4305" s="3" t="str">
        <f>HYPERLINK("https://www.boe.es/gazeta/dias/1834/03/15/pdfs/GMD-1834-33.pdf#page=1","Abrir facsímil")</f>
        <v>Abrir facsímil</v>
      </c>
      <c r="K4305" s="3" t="s">
        <v>24</v>
      </c>
    </row>
    <row r="4306" spans="1:11" ht="54" customHeight="1">
      <c r="A4306" s="2" t="s">
        <v>9908</v>
      </c>
      <c r="B4306" s="2" t="s">
        <v>9909</v>
      </c>
      <c r="C4306" s="2" t="s">
        <v>122</v>
      </c>
      <c r="D4306" s="2" t="s">
        <v>18</v>
      </c>
      <c r="E4306" s="5" t="s">
        <v>1918</v>
      </c>
      <c r="F4306" s="3" t="s">
        <v>2024</v>
      </c>
      <c r="G4306" s="3" t="s">
        <v>86</v>
      </c>
      <c r="H4306" s="2" t="s">
        <v>22</v>
      </c>
      <c r="I4306" s="2" t="s">
        <v>9910</v>
      </c>
      <c r="J4306" s="3" t="str">
        <f>HYPERLINK("https://www.boe.es/gazeta/dias/1834/03/22/pdfs/GMD-C-1834-36.pdf#page=2","Abrir facsímil")</f>
        <v>Abrir facsímil</v>
      </c>
      <c r="K4306" s="3" t="s">
        <v>24</v>
      </c>
    </row>
    <row r="4307" spans="1:11" ht="54" customHeight="1">
      <c r="A4307" s="2" t="s">
        <v>9911</v>
      </c>
      <c r="B4307" s="2" t="s">
        <v>9912</v>
      </c>
      <c r="C4307" s="2" t="s">
        <v>17</v>
      </c>
      <c r="D4307" s="2" t="s">
        <v>18</v>
      </c>
      <c r="E4307" s="5" t="s">
        <v>1918</v>
      </c>
      <c r="F4307" s="3" t="s">
        <v>2024</v>
      </c>
      <c r="G4307" s="3" t="s">
        <v>86</v>
      </c>
      <c r="H4307" s="2" t="s">
        <v>22</v>
      </c>
      <c r="I4307" s="2" t="s">
        <v>9913</v>
      </c>
      <c r="J4307" s="3" t="str">
        <f>HYPERLINK("https://www.boe.es/gazeta/dias/1834/03/22/pdfs/GMD-C-1834-36.pdf#page=2","Abrir facsímil")</f>
        <v>Abrir facsímil</v>
      </c>
      <c r="K4307" s="3" t="s">
        <v>24</v>
      </c>
    </row>
    <row r="4308" spans="1:11" ht="54" customHeight="1">
      <c r="A4308" s="2" t="s">
        <v>9914</v>
      </c>
      <c r="B4308" s="2" t="s">
        <v>9915</v>
      </c>
      <c r="C4308" s="2" t="s">
        <v>66</v>
      </c>
      <c r="D4308" s="2" t="s">
        <v>18</v>
      </c>
      <c r="E4308" s="5" t="s">
        <v>1394</v>
      </c>
      <c r="F4308" s="3" t="s">
        <v>2923</v>
      </c>
      <c r="G4308" s="3" t="s">
        <v>34</v>
      </c>
      <c r="H4308" s="2" t="s">
        <v>35</v>
      </c>
      <c r="I4308" s="2" t="s">
        <v>9916</v>
      </c>
      <c r="J4308" s="3" t="str">
        <f>HYPERLINK("https://www.boe.es/gazeta/dias/1834/04/16/pdfs/GMD-C-1834-55.pdf#page=1","Abrir facsímil")</f>
        <v>Abrir facsímil</v>
      </c>
      <c r="K4308" s="3" t="s">
        <v>37</v>
      </c>
    </row>
    <row r="4309" spans="1:11" ht="54" customHeight="1">
      <c r="A4309" s="2" t="s">
        <v>9917</v>
      </c>
      <c r="B4309" s="2" t="s">
        <v>9918</v>
      </c>
      <c r="C4309" s="2" t="s">
        <v>66</v>
      </c>
      <c r="D4309" s="2" t="s">
        <v>67</v>
      </c>
      <c r="E4309" s="5" t="s">
        <v>426</v>
      </c>
      <c r="F4309" s="3" t="s">
        <v>427</v>
      </c>
      <c r="G4309" s="3" t="s">
        <v>21</v>
      </c>
      <c r="H4309" s="2" t="s">
        <v>22</v>
      </c>
      <c r="I4309" s="2" t="s">
        <v>9919</v>
      </c>
      <c r="J4309" s="3" t="str">
        <f>HYPERLINK("https://www.boe.es/gazeta/dias/1834/10/04/pdfs/GMD-1834-232.pdf#page=3","Abrir facsímil")</f>
        <v>Abrir facsímil</v>
      </c>
      <c r="K4309" s="3" t="s">
        <v>24</v>
      </c>
    </row>
    <row r="4310" spans="1:11" ht="54" customHeight="1">
      <c r="A4310" s="2" t="s">
        <v>9920</v>
      </c>
      <c r="B4310" s="2" t="s">
        <v>9921</v>
      </c>
      <c r="C4310" s="2" t="s">
        <v>17</v>
      </c>
      <c r="D4310" s="2" t="s">
        <v>18</v>
      </c>
      <c r="E4310" s="5" t="s">
        <v>364</v>
      </c>
      <c r="F4310" s="3" t="s">
        <v>365</v>
      </c>
      <c r="G4310" s="3" t="s">
        <v>34</v>
      </c>
      <c r="H4310" s="2" t="s">
        <v>22</v>
      </c>
      <c r="I4310" s="2" t="s">
        <v>9922</v>
      </c>
      <c r="J4310" s="3" t="str">
        <f>HYPERLINK("https://www.boe.es/gazeta/dias/1834/09/06/pdfs/GMD-D-1834-204.pdf#page=1","Abrir facsímil")</f>
        <v>Abrir facsímil</v>
      </c>
      <c r="K4310" s="3" t="s">
        <v>24</v>
      </c>
    </row>
    <row r="4311" spans="1:11" ht="54" customHeight="1">
      <c r="A4311" s="2" t="s">
        <v>9920</v>
      </c>
      <c r="B4311" s="2" t="s">
        <v>9921</v>
      </c>
      <c r="C4311" s="2" t="s">
        <v>66</v>
      </c>
      <c r="D4311" s="2" t="s">
        <v>18</v>
      </c>
      <c r="E4311" s="5" t="s">
        <v>1394</v>
      </c>
      <c r="F4311" s="3" t="s">
        <v>2923</v>
      </c>
      <c r="G4311" s="3" t="s">
        <v>34</v>
      </c>
      <c r="H4311" s="2" t="s">
        <v>22</v>
      </c>
      <c r="I4311" s="2" t="s">
        <v>9923</v>
      </c>
      <c r="J4311" s="3" t="str">
        <f>HYPERLINK("https://www.boe.es/gazeta/dias/1834/04/16/pdfs/GMD-C-1834-55.pdf#page=1","Abrir facsímil")</f>
        <v>Abrir facsímil</v>
      </c>
      <c r="K4311" s="3" t="s">
        <v>24</v>
      </c>
    </row>
    <row r="4312" spans="1:11" ht="54" customHeight="1">
      <c r="A4312" s="2" t="s">
        <v>9924</v>
      </c>
      <c r="B4312" s="2" t="s">
        <v>9925</v>
      </c>
      <c r="C4312" s="2" t="s">
        <v>66</v>
      </c>
      <c r="D4312" s="2" t="s">
        <v>67</v>
      </c>
      <c r="E4312" s="5" t="s">
        <v>772</v>
      </c>
      <c r="F4312" s="3" t="s">
        <v>773</v>
      </c>
      <c r="G4312" s="3" t="s">
        <v>21</v>
      </c>
      <c r="H4312" s="2" t="s">
        <v>22</v>
      </c>
      <c r="I4312" s="2" t="s">
        <v>9926</v>
      </c>
      <c r="J4312" s="3" t="str">
        <f>HYPERLINK("https://www.boe.es/gazeta/dias/1834/09/18/pdfs/GMD-1834-216.pdf#page=3","Abrir facsímil")</f>
        <v>Abrir facsímil</v>
      </c>
      <c r="K4312" s="3" t="s">
        <v>24</v>
      </c>
    </row>
    <row r="4313" spans="1:11" ht="54" customHeight="1">
      <c r="A4313" s="2" t="s">
        <v>9927</v>
      </c>
      <c r="B4313" s="2" t="s">
        <v>9928</v>
      </c>
      <c r="C4313" s="2" t="s">
        <v>17</v>
      </c>
      <c r="D4313" s="2" t="s">
        <v>55</v>
      </c>
      <c r="E4313" s="5" t="s">
        <v>8346</v>
      </c>
      <c r="F4313" s="3" t="s">
        <v>8347</v>
      </c>
      <c r="G4313" s="3" t="s">
        <v>21</v>
      </c>
      <c r="H4313" s="2" t="s">
        <v>22</v>
      </c>
      <c r="I4313" s="2" t="s">
        <v>9929</v>
      </c>
      <c r="J4313" s="3" t="str">
        <f>HYPERLINK("https://www.boe.es/gazeta/dias/1834/12/04/pdfs/GMD-1834-293.pdf#page=3","Abrir facsímil")</f>
        <v>Abrir facsímil</v>
      </c>
      <c r="K4313" s="3" t="s">
        <v>24</v>
      </c>
    </row>
    <row r="4314" spans="1:11" ht="54" customHeight="1">
      <c r="A4314" s="2" t="s">
        <v>9930</v>
      </c>
      <c r="B4314" s="2" t="s">
        <v>9931</v>
      </c>
      <c r="C4314" s="2" t="s">
        <v>17</v>
      </c>
      <c r="D4314" s="2" t="s">
        <v>18</v>
      </c>
      <c r="E4314" s="5" t="s">
        <v>1918</v>
      </c>
      <c r="F4314" s="3" t="s">
        <v>2024</v>
      </c>
      <c r="G4314" s="3" t="s">
        <v>86</v>
      </c>
      <c r="H4314" s="2" t="s">
        <v>22</v>
      </c>
      <c r="I4314" s="2" t="s">
        <v>9932</v>
      </c>
      <c r="J4314" s="3" t="str">
        <f>HYPERLINK("https://www.boe.es/gazeta/dias/1834/03/22/pdfs/GMD-C-1834-36.pdf#page=2","Abrir facsímil")</f>
        <v>Abrir facsímil</v>
      </c>
      <c r="K4314" s="3" t="s">
        <v>24</v>
      </c>
    </row>
    <row r="4315" spans="1:11" ht="54" customHeight="1">
      <c r="A4315" s="2" t="s">
        <v>9933</v>
      </c>
      <c r="B4315" s="2" t="s">
        <v>9934</v>
      </c>
      <c r="C4315" s="2" t="s">
        <v>17</v>
      </c>
      <c r="D4315" s="2" t="s">
        <v>55</v>
      </c>
      <c r="E4315" s="5" t="s">
        <v>1281</v>
      </c>
      <c r="F4315" s="3" t="s">
        <v>1282</v>
      </c>
      <c r="G4315" s="3" t="s">
        <v>86</v>
      </c>
      <c r="H4315" s="2" t="s">
        <v>22</v>
      </c>
      <c r="I4315" s="2" t="s">
        <v>9935</v>
      </c>
      <c r="J4315" s="3" t="str">
        <f>HYPERLINK("https://www.boe.es/gazeta/dias/1834/10/27/pdfs/GMD-1834-255.pdf#page=2","Abrir facsímil")</f>
        <v>Abrir facsímil</v>
      </c>
      <c r="K4315" s="3" t="s">
        <v>24</v>
      </c>
    </row>
    <row r="4316" spans="1:11" ht="54" customHeight="1">
      <c r="A4316" s="2" t="s">
        <v>9936</v>
      </c>
      <c r="B4316" s="2" t="s">
        <v>9937</v>
      </c>
      <c r="C4316" s="2" t="s">
        <v>17</v>
      </c>
      <c r="D4316" s="2" t="s">
        <v>18</v>
      </c>
      <c r="E4316" s="5" t="s">
        <v>1686</v>
      </c>
      <c r="F4316" s="3" t="s">
        <v>2311</v>
      </c>
      <c r="G4316" s="3" t="s">
        <v>34</v>
      </c>
      <c r="H4316" s="2" t="s">
        <v>22</v>
      </c>
      <c r="I4316" s="2" t="s">
        <v>9938</v>
      </c>
      <c r="J4316" s="3" t="str">
        <f>HYPERLINK("https://www.boe.es/gazeta/dias/1834/07/27/pdfs/GMD-C-1834-160.pdf#page=1","Abrir facsímil")</f>
        <v>Abrir facsímil</v>
      </c>
      <c r="K4316" s="3" t="s">
        <v>24</v>
      </c>
    </row>
    <row r="4317" spans="1:11" ht="54" customHeight="1">
      <c r="A4317" s="2" t="s">
        <v>9939</v>
      </c>
      <c r="B4317" s="2" t="s">
        <v>9940</v>
      </c>
      <c r="C4317" s="2" t="s">
        <v>17</v>
      </c>
      <c r="D4317" s="2" t="s">
        <v>18</v>
      </c>
      <c r="E4317" s="5" t="s">
        <v>426</v>
      </c>
      <c r="F4317" s="3" t="s">
        <v>427</v>
      </c>
      <c r="G4317" s="3" t="s">
        <v>75</v>
      </c>
      <c r="H4317" s="2" t="s">
        <v>22</v>
      </c>
      <c r="I4317" s="2" t="s">
        <v>9941</v>
      </c>
      <c r="J4317" s="3" t="str">
        <f>HYPERLINK("https://www.boe.es/gazeta/dias/1834/10/04/pdfs/GMD-1834-232.pdf#page=4","Abrir facsímil")</f>
        <v>Abrir facsímil</v>
      </c>
      <c r="K4317" s="3" t="s">
        <v>24</v>
      </c>
    </row>
    <row r="4318" spans="1:11" ht="54" customHeight="1">
      <c r="A4318" s="2" t="s">
        <v>9942</v>
      </c>
      <c r="B4318" s="2" t="s">
        <v>9943</v>
      </c>
      <c r="C4318" s="2" t="s">
        <v>17</v>
      </c>
      <c r="D4318" s="2" t="s">
        <v>18</v>
      </c>
      <c r="E4318" s="5" t="s">
        <v>627</v>
      </c>
      <c r="F4318" s="3" t="s">
        <v>1013</v>
      </c>
      <c r="G4318" s="3" t="s">
        <v>75</v>
      </c>
      <c r="H4318" s="2" t="s">
        <v>35</v>
      </c>
      <c r="I4318" s="2" t="s">
        <v>9944</v>
      </c>
      <c r="J4318" s="3" t="str">
        <f>HYPERLINK("https://www.boe.es/gazeta/dias/1834/09/22/pdfs/GMD-1834-220.pdf#page=4","Abrir facsímil")</f>
        <v>Abrir facsímil</v>
      </c>
      <c r="K4318" s="3" t="s">
        <v>37</v>
      </c>
    </row>
    <row r="4319" spans="1:11" ht="54" customHeight="1">
      <c r="A4319" s="2" t="s">
        <v>9945</v>
      </c>
      <c r="B4319" s="2" t="s">
        <v>9946</v>
      </c>
      <c r="C4319" s="2" t="s">
        <v>17</v>
      </c>
      <c r="D4319" s="2" t="s">
        <v>18</v>
      </c>
      <c r="E4319" s="5" t="s">
        <v>627</v>
      </c>
      <c r="F4319" s="3" t="s">
        <v>1013</v>
      </c>
      <c r="G4319" s="3" t="s">
        <v>75</v>
      </c>
      <c r="H4319" s="2" t="s">
        <v>22</v>
      </c>
      <c r="I4319" s="2" t="s">
        <v>9947</v>
      </c>
      <c r="J4319" s="3" t="str">
        <f>HYPERLINK("https://www.boe.es/gazeta/dias/1834/09/22/pdfs/GMD-1834-220.pdf#page=4","Abrir facsímil")</f>
        <v>Abrir facsímil</v>
      </c>
      <c r="K4319" s="3" t="s">
        <v>24</v>
      </c>
    </row>
    <row r="4320" spans="1:11" ht="54" customHeight="1">
      <c r="A4320" s="2" t="s">
        <v>9948</v>
      </c>
      <c r="B4320" s="2" t="s">
        <v>9949</v>
      </c>
      <c r="C4320" s="2" t="s">
        <v>17</v>
      </c>
      <c r="D4320" s="2" t="s">
        <v>18</v>
      </c>
      <c r="E4320" s="5" t="s">
        <v>8010</v>
      </c>
      <c r="F4320" s="3" t="s">
        <v>8011</v>
      </c>
      <c r="G4320" s="3" t="s">
        <v>75</v>
      </c>
      <c r="H4320" s="2" t="s">
        <v>22</v>
      </c>
      <c r="I4320" s="2" t="s">
        <v>9950</v>
      </c>
      <c r="J4320" s="3" t="str">
        <f>HYPERLINK("https://www.boe.es/gazeta/dias/1834/08/28/pdfs/GMD-1834-194.pdf#page=4","Abrir facsímil")</f>
        <v>Abrir facsímil</v>
      </c>
      <c r="K4320" s="3" t="s">
        <v>24</v>
      </c>
    </row>
    <row r="4321" spans="1:11" ht="54" customHeight="1">
      <c r="A4321" s="2" t="s">
        <v>9951</v>
      </c>
      <c r="B4321" s="2" t="s">
        <v>9952</v>
      </c>
      <c r="C4321" s="2" t="s">
        <v>46</v>
      </c>
      <c r="D4321" s="2" t="s">
        <v>55</v>
      </c>
      <c r="E4321" s="5" t="s">
        <v>364</v>
      </c>
      <c r="F4321" s="3" t="s">
        <v>2102</v>
      </c>
      <c r="G4321" s="3" t="s">
        <v>21</v>
      </c>
      <c r="H4321" s="2" t="s">
        <v>22</v>
      </c>
      <c r="I4321" s="2" t="s">
        <v>9953</v>
      </c>
      <c r="J4321" s="3" t="str">
        <f>HYPERLINK("https://www.boe.es/gazeta/dias/1834/09/06/pdfs/GMD-1834-204.pdf#page=3","Abrir facsímil")</f>
        <v>Abrir facsímil</v>
      </c>
      <c r="K4321" s="3" t="s">
        <v>24</v>
      </c>
    </row>
    <row r="4322" spans="1:11" ht="54" customHeight="1">
      <c r="A4322" s="2" t="s">
        <v>9954</v>
      </c>
      <c r="B4322" s="2" t="s">
        <v>9955</v>
      </c>
      <c r="C4322" s="2" t="s">
        <v>46</v>
      </c>
      <c r="D4322" s="2" t="s">
        <v>18</v>
      </c>
      <c r="E4322" s="5" t="s">
        <v>1459</v>
      </c>
      <c r="F4322" s="3" t="s">
        <v>1460</v>
      </c>
      <c r="G4322" s="3" t="s">
        <v>75</v>
      </c>
      <c r="H4322" s="2" t="s">
        <v>35</v>
      </c>
      <c r="I4322" s="2" t="s">
        <v>9956</v>
      </c>
      <c r="J4322" s="3" t="str">
        <f>HYPERLINK("https://www.boe.es/gazeta/dias/1834/08/18/pdfs/GMD-1834-184.pdf#page=4","Abrir facsímil")</f>
        <v>Abrir facsímil</v>
      </c>
      <c r="K4322" s="3" t="s">
        <v>37</v>
      </c>
    </row>
    <row r="4323" spans="1:11" ht="54" customHeight="1">
      <c r="A4323" s="2" t="s">
        <v>9957</v>
      </c>
      <c r="B4323" s="2" t="s">
        <v>9958</v>
      </c>
      <c r="C4323" s="2" t="s">
        <v>46</v>
      </c>
      <c r="D4323" s="2" t="s">
        <v>18</v>
      </c>
      <c r="E4323" s="5" t="s">
        <v>1459</v>
      </c>
      <c r="F4323" s="3" t="s">
        <v>1460</v>
      </c>
      <c r="G4323" s="3" t="s">
        <v>75</v>
      </c>
      <c r="H4323" s="2" t="s">
        <v>22</v>
      </c>
      <c r="I4323" s="2" t="s">
        <v>9959</v>
      </c>
      <c r="J4323" s="3" t="str">
        <f>HYPERLINK("https://www.boe.es/gazeta/dias/1834/08/18/pdfs/GMD-1834-184.pdf#page=4","Abrir facsímil")</f>
        <v>Abrir facsímil</v>
      </c>
      <c r="K4323" s="3" t="s">
        <v>24</v>
      </c>
    </row>
    <row r="4324" spans="1:11" ht="54" customHeight="1">
      <c r="A4324" s="2" t="s">
        <v>9960</v>
      </c>
      <c r="B4324" s="2" t="s">
        <v>9961</v>
      </c>
      <c r="C4324" s="2" t="s">
        <v>17</v>
      </c>
      <c r="D4324" s="2" t="s">
        <v>18</v>
      </c>
      <c r="E4324" s="5" t="s">
        <v>1459</v>
      </c>
      <c r="F4324" s="3" t="s">
        <v>1460</v>
      </c>
      <c r="G4324" s="3" t="s">
        <v>75</v>
      </c>
      <c r="H4324" s="2" t="s">
        <v>35</v>
      </c>
      <c r="I4324" s="2" t="s">
        <v>9962</v>
      </c>
      <c r="J4324" s="3" t="str">
        <f>HYPERLINK("https://www.boe.es/gazeta/dias/1834/08/18/pdfs/GMD-1834-184.pdf#page=4","Abrir facsímil")</f>
        <v>Abrir facsímil</v>
      </c>
      <c r="K4324" s="3" t="s">
        <v>37</v>
      </c>
    </row>
    <row r="4325" spans="1:11" ht="54" customHeight="1">
      <c r="A4325" s="2" t="s">
        <v>9963</v>
      </c>
      <c r="B4325" s="2" t="s">
        <v>9964</v>
      </c>
      <c r="C4325" s="2" t="s">
        <v>17</v>
      </c>
      <c r="D4325" s="2" t="s">
        <v>18</v>
      </c>
      <c r="E4325" s="5" t="s">
        <v>286</v>
      </c>
      <c r="F4325" s="3" t="s">
        <v>287</v>
      </c>
      <c r="G4325" s="3" t="s">
        <v>34</v>
      </c>
      <c r="H4325" s="2" t="s">
        <v>22</v>
      </c>
      <c r="I4325" s="2" t="s">
        <v>9965</v>
      </c>
      <c r="J4325" s="3" t="str">
        <f>HYPERLINK("https://www.boe.es/gazeta/dias/1834/08/30/pdfs/GMD-C-1834-196.pdf#page=1","Abrir facsímil")</f>
        <v>Abrir facsímil</v>
      </c>
      <c r="K4325" s="3" t="s">
        <v>24</v>
      </c>
    </row>
    <row r="4326" spans="1:11" ht="54" customHeight="1">
      <c r="A4326" s="2" t="s">
        <v>9966</v>
      </c>
      <c r="B4326" s="2" t="s">
        <v>9967</v>
      </c>
      <c r="C4326" s="2" t="s">
        <v>17</v>
      </c>
      <c r="D4326" s="2" t="s">
        <v>55</v>
      </c>
      <c r="E4326" s="5" t="s">
        <v>163</v>
      </c>
      <c r="F4326" s="3" t="s">
        <v>164</v>
      </c>
      <c r="G4326" s="3" t="s">
        <v>86</v>
      </c>
      <c r="H4326" s="2" t="s">
        <v>22</v>
      </c>
      <c r="I4326" s="2" t="s">
        <v>9968</v>
      </c>
      <c r="J4326" s="3" t="str">
        <f>HYPERLINK("https://www.boe.es/gazeta/dias/1834/08/09/pdfs/GMD-1834-174.pdf#page=2","Abrir facsímil")</f>
        <v>Abrir facsímil</v>
      </c>
      <c r="K4326" s="3" t="s">
        <v>24</v>
      </c>
    </row>
    <row r="4327" spans="1:11" ht="54" customHeight="1">
      <c r="A4327" s="2" t="s">
        <v>9969</v>
      </c>
      <c r="B4327" s="2" t="s">
        <v>9970</v>
      </c>
      <c r="C4327" s="2" t="s">
        <v>90</v>
      </c>
      <c r="D4327" s="2" t="s">
        <v>67</v>
      </c>
      <c r="E4327" s="5" t="s">
        <v>1307</v>
      </c>
      <c r="F4327" s="3" t="s">
        <v>1308</v>
      </c>
      <c r="G4327" s="3" t="s">
        <v>86</v>
      </c>
      <c r="H4327" s="2" t="s">
        <v>22</v>
      </c>
      <c r="I4327" s="2" t="s">
        <v>9971</v>
      </c>
      <c r="J4327" s="3" t="str">
        <f>HYPERLINK("https://www.boe.es/gazeta/dias/1834/08/25/pdfs/GMD-1834-191.pdf#page=2","Abrir facsímil")</f>
        <v>Abrir facsímil</v>
      </c>
      <c r="K4327" s="3" t="s">
        <v>24</v>
      </c>
    </row>
    <row r="4328" spans="1:11" ht="54" customHeight="1">
      <c r="A4328" s="2" t="s">
        <v>9972</v>
      </c>
      <c r="B4328" s="2" t="s">
        <v>9973</v>
      </c>
      <c r="C4328" s="2" t="s">
        <v>90</v>
      </c>
      <c r="D4328" s="2" t="s">
        <v>67</v>
      </c>
      <c r="E4328" s="5" t="s">
        <v>1747</v>
      </c>
      <c r="F4328" s="3" t="s">
        <v>1748</v>
      </c>
      <c r="G4328" s="3" t="s">
        <v>86</v>
      </c>
      <c r="H4328" s="2" t="s">
        <v>22</v>
      </c>
      <c r="I4328" s="2" t="s">
        <v>9974</v>
      </c>
      <c r="J4328" s="3" t="str">
        <f>HYPERLINK("https://www.boe.es/gazeta/dias/1834/06/29/pdfs/GMD-1834-132.pdf#page=2","Abrir facsímil")</f>
        <v>Abrir facsímil</v>
      </c>
      <c r="K4328" s="3" t="s">
        <v>24</v>
      </c>
    </row>
    <row r="4329" spans="1:11" ht="54" customHeight="1">
      <c r="A4329" s="2" t="s">
        <v>9975</v>
      </c>
      <c r="B4329" s="2" t="s">
        <v>9976</v>
      </c>
      <c r="C4329" s="2" t="s">
        <v>17</v>
      </c>
      <c r="D4329" s="2" t="s">
        <v>55</v>
      </c>
      <c r="E4329" s="5" t="s">
        <v>3471</v>
      </c>
      <c r="F4329" s="3" t="s">
        <v>3472</v>
      </c>
      <c r="G4329" s="3" t="s">
        <v>86</v>
      </c>
      <c r="H4329" s="2" t="s">
        <v>22</v>
      </c>
      <c r="I4329" s="2" t="s">
        <v>9977</v>
      </c>
      <c r="J4329" s="3" t="str">
        <f>HYPERLINK("https://www.boe.es/gazeta/dias/1834/07/07/pdfs/GMD-1834-140.pdf#page=2","Abrir facsímil")</f>
        <v>Abrir facsímil</v>
      </c>
      <c r="K4329" s="3" t="s">
        <v>24</v>
      </c>
    </row>
    <row r="4330" spans="1:11" ht="54" customHeight="1">
      <c r="A4330" s="2" t="s">
        <v>9978</v>
      </c>
      <c r="B4330" s="2" t="s">
        <v>9979</v>
      </c>
      <c r="C4330" s="2" t="s">
        <v>17</v>
      </c>
      <c r="D4330" s="2" t="s">
        <v>18</v>
      </c>
      <c r="E4330" s="5" t="s">
        <v>1683</v>
      </c>
      <c r="F4330" s="3" t="s">
        <v>1684</v>
      </c>
      <c r="G4330" s="3" t="s">
        <v>75</v>
      </c>
      <c r="H4330" s="2" t="s">
        <v>35</v>
      </c>
      <c r="I4330" s="2" t="s">
        <v>9980</v>
      </c>
      <c r="J4330" s="3" t="str">
        <f>HYPERLINK("https://www.boe.es/gazeta/dias/1834/06/27/pdfs/GMD-1834-130.pdf#page=4","Abrir facsímil")</f>
        <v>Abrir facsímil</v>
      </c>
      <c r="K4330" s="3" t="s">
        <v>37</v>
      </c>
    </row>
    <row r="4331" spans="1:11" ht="54" customHeight="1">
      <c r="A4331" s="2" t="s">
        <v>9981</v>
      </c>
      <c r="B4331" s="2" t="s">
        <v>9982</v>
      </c>
      <c r="C4331" s="2" t="s">
        <v>46</v>
      </c>
      <c r="D4331" s="2" t="s">
        <v>18</v>
      </c>
      <c r="E4331" s="5" t="s">
        <v>2218</v>
      </c>
      <c r="F4331" s="3" t="s">
        <v>2219</v>
      </c>
      <c r="G4331" s="3" t="s">
        <v>34</v>
      </c>
      <c r="H4331" s="2" t="s">
        <v>22</v>
      </c>
      <c r="I4331" s="2" t="s">
        <v>9983</v>
      </c>
      <c r="J4331" s="3" t="str">
        <f>HYPERLINK("https://www.boe.es/gazeta/dias/1834/11/05/pdfs/GMD-1834-264.pdf#page=1","Abrir facsímil")</f>
        <v>Abrir facsímil</v>
      </c>
      <c r="K4331" s="3" t="s">
        <v>24</v>
      </c>
    </row>
    <row r="4332" spans="1:11" ht="54" customHeight="1">
      <c r="A4332" s="2" t="s">
        <v>9984</v>
      </c>
      <c r="B4332" s="2" t="s">
        <v>9985</v>
      </c>
      <c r="C4332" s="2" t="s">
        <v>90</v>
      </c>
      <c r="D4332" s="2" t="s">
        <v>40</v>
      </c>
      <c r="E4332" s="5" t="s">
        <v>255</v>
      </c>
      <c r="F4332" s="3" t="s">
        <v>2368</v>
      </c>
      <c r="G4332" s="3" t="s">
        <v>86</v>
      </c>
      <c r="H4332" s="2" t="s">
        <v>22</v>
      </c>
      <c r="I4332" s="2" t="s">
        <v>9986</v>
      </c>
      <c r="J4332" s="3" t="str">
        <f>HYPERLINK("https://www.boe.es/gazeta/dias/1834/09/01/pdfs/I00843-00844.pdf#page=2","Abrir facsímil")</f>
        <v>Abrir facsímil</v>
      </c>
      <c r="K4332" s="3" t="s">
        <v>24</v>
      </c>
    </row>
    <row r="4333" spans="1:11" ht="54" customHeight="1">
      <c r="A4333" s="2" t="s">
        <v>9984</v>
      </c>
      <c r="B4333" s="2" t="s">
        <v>9985</v>
      </c>
      <c r="C4333" s="2" t="s">
        <v>90</v>
      </c>
      <c r="D4333" s="2" t="s">
        <v>40</v>
      </c>
      <c r="E4333" s="5" t="s">
        <v>255</v>
      </c>
      <c r="F4333" s="3" t="s">
        <v>2368</v>
      </c>
      <c r="G4333" s="3" t="s">
        <v>75</v>
      </c>
      <c r="H4333" s="2" t="s">
        <v>22</v>
      </c>
      <c r="I4333" s="2" t="s">
        <v>9986</v>
      </c>
      <c r="J4333" s="3" t="str">
        <f>HYPERLINK("https://www.boe.es/gazeta/dias/1834/09/01/pdfs/GMD-1834-199.pdf#page=4","Abrir facsímil")</f>
        <v>Abrir facsímil</v>
      </c>
      <c r="K4333" s="3" t="s">
        <v>24</v>
      </c>
    </row>
    <row r="4334" spans="1:11" ht="54" customHeight="1">
      <c r="A4334" s="2" t="s">
        <v>9987</v>
      </c>
      <c r="B4334" s="2" t="s">
        <v>9988</v>
      </c>
      <c r="C4334" s="2" t="s">
        <v>66</v>
      </c>
      <c r="D4334" s="2" t="s">
        <v>67</v>
      </c>
      <c r="E4334" s="5" t="s">
        <v>3207</v>
      </c>
      <c r="F4334" s="3" t="s">
        <v>3208</v>
      </c>
      <c r="G4334" s="3" t="s">
        <v>75</v>
      </c>
      <c r="H4334" s="2" t="s">
        <v>22</v>
      </c>
      <c r="I4334" s="2" t="s">
        <v>9989</v>
      </c>
      <c r="J4334" s="3" t="str">
        <f>HYPERLINK("https://www.boe.es/gazeta/dias/1834/10/13/pdfs/GMD-1834-241.pdf#page=4","Abrir facsímil")</f>
        <v>Abrir facsímil</v>
      </c>
      <c r="K4334" s="3" t="s">
        <v>24</v>
      </c>
    </row>
    <row r="4335" spans="1:11" ht="54" customHeight="1">
      <c r="A4335" s="2" t="s">
        <v>9990</v>
      </c>
      <c r="B4335" s="2" t="s">
        <v>9991</v>
      </c>
      <c r="C4335" s="2" t="s">
        <v>66</v>
      </c>
      <c r="D4335" s="2" t="s">
        <v>67</v>
      </c>
      <c r="E4335" s="5" t="s">
        <v>133</v>
      </c>
      <c r="F4335" s="3" t="s">
        <v>134</v>
      </c>
      <c r="G4335" s="3" t="s">
        <v>21</v>
      </c>
      <c r="H4335" s="2" t="s">
        <v>22</v>
      </c>
      <c r="I4335" s="2" t="s">
        <v>9992</v>
      </c>
      <c r="J4335" s="3" t="str">
        <f>HYPERLINK("https://www.boe.es/gazeta/dias/1834/06/18/pdfs/GMD-1834-121.pdf#page=3","Abrir facsímil")</f>
        <v>Abrir facsímil</v>
      </c>
      <c r="K4335" s="3" t="s">
        <v>24</v>
      </c>
    </row>
    <row r="4336" spans="1:11" ht="54" customHeight="1">
      <c r="A4336" s="2" t="s">
        <v>9993</v>
      </c>
      <c r="B4336" s="2" t="s">
        <v>9994</v>
      </c>
      <c r="C4336" s="2" t="s">
        <v>17</v>
      </c>
      <c r="D4336" s="2" t="s">
        <v>18</v>
      </c>
      <c r="E4336" s="5" t="s">
        <v>1025</v>
      </c>
      <c r="F4336" s="3" t="s">
        <v>1026</v>
      </c>
      <c r="G4336" s="3" t="s">
        <v>34</v>
      </c>
      <c r="H4336" s="2" t="s">
        <v>35</v>
      </c>
      <c r="I4336" s="2" t="s">
        <v>9995</v>
      </c>
      <c r="J4336" s="3" t="str">
        <f>HYPERLINK("https://www.boe.es/gazeta/dias/1834/03/01/pdfs/GMD-1834-27.pdf#page=1","Abrir facsímil")</f>
        <v>Abrir facsímil</v>
      </c>
      <c r="K4336" s="3" t="s">
        <v>37</v>
      </c>
    </row>
    <row r="4337" spans="1:11" ht="54" customHeight="1">
      <c r="A4337" s="2" t="s">
        <v>9996</v>
      </c>
      <c r="B4337" s="2" t="s">
        <v>9997</v>
      </c>
      <c r="C4337" s="2" t="s">
        <v>17</v>
      </c>
      <c r="D4337" s="2" t="s">
        <v>18</v>
      </c>
      <c r="E4337" s="5" t="s">
        <v>1025</v>
      </c>
      <c r="F4337" s="3" t="s">
        <v>1026</v>
      </c>
      <c r="G4337" s="3" t="s">
        <v>34</v>
      </c>
      <c r="H4337" s="2" t="s">
        <v>22</v>
      </c>
      <c r="I4337" s="2" t="s">
        <v>9998</v>
      </c>
      <c r="J4337" s="3" t="str">
        <f>HYPERLINK("https://www.boe.es/gazeta/dias/1834/03/01/pdfs/GMD-1834-27.pdf#page=1","Abrir facsímil")</f>
        <v>Abrir facsímil</v>
      </c>
      <c r="K4337" s="3" t="s">
        <v>24</v>
      </c>
    </row>
    <row r="4338" spans="1:11" ht="54" customHeight="1">
      <c r="A4338" s="2" t="s">
        <v>9999</v>
      </c>
      <c r="B4338" s="2" t="s">
        <v>10000</v>
      </c>
      <c r="C4338" s="2" t="s">
        <v>17</v>
      </c>
      <c r="D4338" s="2" t="s">
        <v>18</v>
      </c>
      <c r="E4338" s="5" t="s">
        <v>1234</v>
      </c>
      <c r="F4338" s="3" t="s">
        <v>1235</v>
      </c>
      <c r="G4338" s="3" t="s">
        <v>34</v>
      </c>
      <c r="H4338" s="2" t="s">
        <v>22</v>
      </c>
      <c r="I4338" s="2" t="s">
        <v>10001</v>
      </c>
      <c r="J4338" s="3" t="str">
        <f>HYPERLINK("https://www.boe.es/gazeta/dias/1834/05/15/pdfs/GMD-C-1834-84.pdf#page=1","Abrir facsímil")</f>
        <v>Abrir facsímil</v>
      </c>
      <c r="K4338" s="3" t="s">
        <v>24</v>
      </c>
    </row>
    <row r="4339" spans="1:11" ht="54" customHeight="1">
      <c r="A4339" s="2" t="s">
        <v>10002</v>
      </c>
      <c r="B4339" s="2" t="s">
        <v>10003</v>
      </c>
      <c r="C4339" s="2" t="s">
        <v>17</v>
      </c>
      <c r="D4339" s="2" t="s">
        <v>18</v>
      </c>
      <c r="E4339" s="5" t="s">
        <v>367</v>
      </c>
      <c r="F4339" s="3" t="s">
        <v>368</v>
      </c>
      <c r="G4339" s="3" t="s">
        <v>75</v>
      </c>
      <c r="H4339" s="2" t="s">
        <v>22</v>
      </c>
      <c r="I4339" s="2" t="s">
        <v>10004</v>
      </c>
      <c r="J4339" s="3" t="str">
        <f>HYPERLINK("https://www.boe.es/gazeta/dias/1834/05/19/pdfs/GMD-1834-88.pdf#page=4","Abrir facsímil")</f>
        <v>Abrir facsímil</v>
      </c>
      <c r="K4339" s="3" t="s">
        <v>24</v>
      </c>
    </row>
    <row r="4340" spans="1:11" ht="54" customHeight="1">
      <c r="A4340" s="2" t="s">
        <v>10005</v>
      </c>
      <c r="B4340" s="2" t="s">
        <v>10006</v>
      </c>
      <c r="C4340" s="2" t="s">
        <v>17</v>
      </c>
      <c r="D4340" s="2" t="s">
        <v>40</v>
      </c>
      <c r="E4340" s="5" t="s">
        <v>1597</v>
      </c>
      <c r="F4340" s="3" t="s">
        <v>1598</v>
      </c>
      <c r="G4340" s="3" t="s">
        <v>75</v>
      </c>
      <c r="H4340" s="2" t="s">
        <v>35</v>
      </c>
      <c r="I4340" s="2" t="s">
        <v>10007</v>
      </c>
      <c r="J4340" s="3" t="str">
        <f>HYPERLINK("https://www.boe.es/gazeta/dias/1834/10/03/pdfs/GMD-1834-231.pdf#page=4","Abrir facsímil")</f>
        <v>Abrir facsímil</v>
      </c>
      <c r="K4340" s="3" t="s">
        <v>37</v>
      </c>
    </row>
    <row r="4341" spans="1:11" ht="54" customHeight="1">
      <c r="A4341" s="2" t="s">
        <v>10008</v>
      </c>
      <c r="B4341" s="2" t="s">
        <v>10009</v>
      </c>
      <c r="C4341" s="2" t="s">
        <v>17</v>
      </c>
      <c r="D4341" s="2" t="s">
        <v>40</v>
      </c>
      <c r="E4341" s="5" t="s">
        <v>3499</v>
      </c>
      <c r="F4341" s="3" t="s">
        <v>3500</v>
      </c>
      <c r="G4341" s="3" t="s">
        <v>75</v>
      </c>
      <c r="H4341" s="2" t="s">
        <v>22</v>
      </c>
      <c r="I4341" s="2" t="s">
        <v>10010</v>
      </c>
      <c r="J4341" s="3" t="str">
        <f>HYPERLINK("https://www.boe.es/gazeta/dias/1834/01/28/pdfs/GMD-1834-13.pdf#page=4","Abrir facsímil")</f>
        <v>Abrir facsímil</v>
      </c>
      <c r="K4341" s="3" t="s">
        <v>24</v>
      </c>
    </row>
    <row r="4342" spans="1:11" ht="54" customHeight="1">
      <c r="A4342" s="2" t="s">
        <v>10011</v>
      </c>
      <c r="B4342" s="2" t="s">
        <v>10012</v>
      </c>
      <c r="C4342" s="2" t="s">
        <v>17</v>
      </c>
      <c r="D4342" s="2" t="s">
        <v>18</v>
      </c>
      <c r="E4342" s="5" t="s">
        <v>1084</v>
      </c>
      <c r="F4342" s="3" t="s">
        <v>1085</v>
      </c>
      <c r="G4342" s="3" t="s">
        <v>28</v>
      </c>
      <c r="H4342" s="2" t="s">
        <v>22</v>
      </c>
      <c r="I4342" s="2" t="s">
        <v>10013</v>
      </c>
      <c r="J4342" s="3" t="str">
        <f>HYPERLINK("https://www.boe.es/gazeta/dias/1834/05/01/pdfs/GMD-1834-70.pdf#page=5","Abrir facsímil")</f>
        <v>Abrir facsímil</v>
      </c>
      <c r="K4342" s="3" t="s">
        <v>24</v>
      </c>
    </row>
    <row r="4343" spans="1:11" ht="54" customHeight="1">
      <c r="A4343" s="2" t="s">
        <v>10014</v>
      </c>
      <c r="B4343" s="2" t="s">
        <v>10015</v>
      </c>
      <c r="C4343" s="2" t="s">
        <v>17</v>
      </c>
      <c r="D4343" s="2" t="s">
        <v>18</v>
      </c>
      <c r="E4343" s="5" t="s">
        <v>117</v>
      </c>
      <c r="F4343" s="3" t="s">
        <v>118</v>
      </c>
      <c r="G4343" s="3" t="s">
        <v>75</v>
      </c>
      <c r="H4343" s="2" t="s">
        <v>22</v>
      </c>
      <c r="I4343" s="2" t="s">
        <v>10016</v>
      </c>
      <c r="J4343" s="3" t="str">
        <f>HYPERLINK("https://www.boe.es/gazeta/dias/1834/07/21/pdfs/GMD-1834-154.pdf#page=4","Abrir facsímil")</f>
        <v>Abrir facsímil</v>
      </c>
      <c r="K4343" s="3" t="s">
        <v>24</v>
      </c>
    </row>
    <row r="4344" spans="1:11" ht="54" customHeight="1">
      <c r="A4344" s="2" t="s">
        <v>10017</v>
      </c>
      <c r="B4344" s="2" t="s">
        <v>10018</v>
      </c>
      <c r="C4344" s="2" t="s">
        <v>90</v>
      </c>
      <c r="D4344" s="2" t="s">
        <v>18</v>
      </c>
      <c r="E4344" s="5" t="s">
        <v>724</v>
      </c>
      <c r="F4344" s="3" t="s">
        <v>725</v>
      </c>
      <c r="G4344" s="3" t="s">
        <v>176</v>
      </c>
      <c r="H4344" s="2" t="s">
        <v>22</v>
      </c>
      <c r="I4344" s="2" t="s">
        <v>10019</v>
      </c>
      <c r="J4344" s="3" t="str">
        <f>HYPERLINK("https://www.boe.es/gazeta/dias/1834/04/25/pdfs/GMD-1834-64.pdf#page=6","Abrir facsímil")</f>
        <v>Abrir facsímil</v>
      </c>
      <c r="K4344" s="3" t="s">
        <v>24</v>
      </c>
    </row>
    <row r="4345" spans="1:11" ht="54" customHeight="1">
      <c r="A4345" s="2" t="s">
        <v>10020</v>
      </c>
      <c r="B4345" s="2" t="s">
        <v>10021</v>
      </c>
      <c r="C4345" s="2" t="s">
        <v>66</v>
      </c>
      <c r="D4345" s="2" t="s">
        <v>67</v>
      </c>
      <c r="E4345" s="5" t="s">
        <v>117</v>
      </c>
      <c r="F4345" s="3" t="s">
        <v>118</v>
      </c>
      <c r="G4345" s="3" t="s">
        <v>75</v>
      </c>
      <c r="H4345" s="2" t="s">
        <v>22</v>
      </c>
      <c r="I4345" s="2" t="s">
        <v>10022</v>
      </c>
      <c r="J4345" s="3" t="str">
        <f>HYPERLINK("https://www.boe.es/gazeta/dias/1834/07/21/pdfs/GMD-1834-154.pdf#page=4","Abrir facsímil")</f>
        <v>Abrir facsímil</v>
      </c>
      <c r="K4345" s="3" t="s">
        <v>24</v>
      </c>
    </row>
    <row r="4346" spans="1:11" ht="54" customHeight="1">
      <c r="A4346" s="2" t="s">
        <v>10023</v>
      </c>
      <c r="B4346" s="2" t="s">
        <v>10024</v>
      </c>
      <c r="C4346" s="2" t="s">
        <v>90</v>
      </c>
      <c r="D4346" s="2" t="s">
        <v>67</v>
      </c>
      <c r="E4346" s="5" t="s">
        <v>1708</v>
      </c>
      <c r="F4346" s="3" t="s">
        <v>1709</v>
      </c>
      <c r="G4346" s="3" t="s">
        <v>34</v>
      </c>
      <c r="H4346" s="2" t="s">
        <v>22</v>
      </c>
      <c r="I4346" s="2" t="s">
        <v>10025</v>
      </c>
      <c r="J4346" s="3" t="str">
        <f>HYPERLINK("https://www.boe.es/gazeta/dias/1834/04/12/pdfs/GMD-1834-51.pdf#page=1","Abrir facsímil")</f>
        <v>Abrir facsímil</v>
      </c>
      <c r="K4346" s="3" t="s">
        <v>24</v>
      </c>
    </row>
    <row r="4347" spans="1:11" ht="54" customHeight="1">
      <c r="A4347" s="2" t="s">
        <v>10026</v>
      </c>
      <c r="B4347" s="2" t="s">
        <v>10027</v>
      </c>
      <c r="C4347" s="2" t="s">
        <v>46</v>
      </c>
      <c r="D4347" s="2" t="s">
        <v>101</v>
      </c>
      <c r="E4347" s="5" t="s">
        <v>403</v>
      </c>
      <c r="F4347" s="3" t="s">
        <v>404</v>
      </c>
      <c r="G4347" s="3" t="s">
        <v>34</v>
      </c>
      <c r="H4347" s="2" t="s">
        <v>35</v>
      </c>
      <c r="I4347" s="2" t="s">
        <v>10028</v>
      </c>
      <c r="J4347" s="3" t="str">
        <f>HYPERLINK("https://www.boe.es/gazeta/dias/1834/09/25/pdfs/GMD-C-1834-223.pdf#page=1","Abrir facsímil")</f>
        <v>Abrir facsímil</v>
      </c>
      <c r="K4347" s="3" t="s">
        <v>37</v>
      </c>
    </row>
    <row r="4348" spans="1:11" ht="54" customHeight="1">
      <c r="A4348" s="2" t="s">
        <v>10029</v>
      </c>
      <c r="B4348" s="2" t="s">
        <v>10030</v>
      </c>
      <c r="C4348" s="2" t="s">
        <v>46</v>
      </c>
      <c r="D4348" s="2" t="s">
        <v>101</v>
      </c>
      <c r="E4348" s="5" t="s">
        <v>403</v>
      </c>
      <c r="F4348" s="3" t="s">
        <v>404</v>
      </c>
      <c r="G4348" s="3" t="s">
        <v>34</v>
      </c>
      <c r="H4348" s="2" t="s">
        <v>22</v>
      </c>
      <c r="I4348" s="2" t="s">
        <v>10031</v>
      </c>
      <c r="J4348" s="3" t="str">
        <f>HYPERLINK("https://www.boe.es/gazeta/dias/1834/09/25/pdfs/GMD-C-1834-223.pdf#page=1","Abrir facsímil")</f>
        <v>Abrir facsímil</v>
      </c>
      <c r="K4348" s="3" t="s">
        <v>24</v>
      </c>
    </row>
    <row r="4349" spans="1:11" ht="54" customHeight="1">
      <c r="A4349" s="2" t="s">
        <v>10032</v>
      </c>
      <c r="B4349" s="2" t="s">
        <v>10033</v>
      </c>
      <c r="C4349" s="2" t="s">
        <v>17</v>
      </c>
      <c r="D4349" s="2" t="s">
        <v>18</v>
      </c>
      <c r="E4349" s="5" t="s">
        <v>2729</v>
      </c>
      <c r="F4349" s="3" t="s">
        <v>2730</v>
      </c>
      <c r="G4349" s="3" t="s">
        <v>75</v>
      </c>
      <c r="H4349" s="2" t="s">
        <v>22</v>
      </c>
      <c r="I4349" s="2" t="s">
        <v>10034</v>
      </c>
      <c r="J4349" s="3" t="str">
        <f>HYPERLINK("https://www.boe.es/gazeta/dias/1834/07/02/pdfs/GMD-1834-135.pdf#page=4","Abrir facsímil")</f>
        <v>Abrir facsímil</v>
      </c>
      <c r="K4349" s="3" t="s">
        <v>24</v>
      </c>
    </row>
    <row r="4350" spans="1:11" ht="54" customHeight="1">
      <c r="A4350" s="2" t="s">
        <v>10032</v>
      </c>
      <c r="B4350" s="2" t="s">
        <v>10033</v>
      </c>
      <c r="C4350" s="2" t="s">
        <v>17</v>
      </c>
      <c r="D4350" s="2" t="s">
        <v>18</v>
      </c>
      <c r="E4350" s="5" t="s">
        <v>2098</v>
      </c>
      <c r="F4350" s="3" t="s">
        <v>2099</v>
      </c>
      <c r="G4350" s="3" t="s">
        <v>21</v>
      </c>
      <c r="H4350" s="2" t="s">
        <v>22</v>
      </c>
      <c r="I4350" s="2" t="s">
        <v>10035</v>
      </c>
      <c r="J4350" s="3" t="str">
        <f>HYPERLINK("https://www.boe.es/gazeta/dias/1834/08/11/pdfs/GMD-1834-176.pdf#page=3","Abrir facsímil")</f>
        <v>Abrir facsímil</v>
      </c>
      <c r="K4350" s="3" t="s">
        <v>24</v>
      </c>
    </row>
    <row r="4351" spans="1:11" ht="54" customHeight="1">
      <c r="A4351" s="2" t="s">
        <v>10036</v>
      </c>
      <c r="B4351" s="2" t="s">
        <v>10037</v>
      </c>
      <c r="C4351" s="2" t="s">
        <v>17</v>
      </c>
      <c r="D4351" s="2" t="s">
        <v>18</v>
      </c>
      <c r="E4351" s="5" t="s">
        <v>1017</v>
      </c>
      <c r="F4351" s="3" t="s">
        <v>1018</v>
      </c>
      <c r="G4351" s="3" t="s">
        <v>21</v>
      </c>
      <c r="H4351" s="2" t="s">
        <v>22</v>
      </c>
      <c r="I4351" s="2" t="s">
        <v>10038</v>
      </c>
      <c r="J4351" s="3" t="str">
        <f>HYPERLINK("https://www.boe.es/gazeta/dias/1834/07/24/pdfs/GMD-1834-157.pdf#page=3","Abrir facsímil")</f>
        <v>Abrir facsímil</v>
      </c>
      <c r="K4351" s="3" t="s">
        <v>24</v>
      </c>
    </row>
    <row r="4352" spans="1:11" ht="54" customHeight="1">
      <c r="A4352" s="2" t="s">
        <v>10039</v>
      </c>
      <c r="B4352" s="2" t="s">
        <v>10040</v>
      </c>
      <c r="C4352" s="2" t="s">
        <v>17</v>
      </c>
      <c r="D4352" s="2" t="s">
        <v>101</v>
      </c>
      <c r="E4352" s="5" t="s">
        <v>1708</v>
      </c>
      <c r="F4352" s="3" t="s">
        <v>1709</v>
      </c>
      <c r="G4352" s="3" t="s">
        <v>34</v>
      </c>
      <c r="H4352" s="2" t="s">
        <v>22</v>
      </c>
      <c r="I4352" s="2" t="s">
        <v>10041</v>
      </c>
      <c r="J4352" s="3" t="str">
        <f>HYPERLINK("https://www.boe.es/gazeta/dias/1834/04/12/pdfs/GMD-1834-51.pdf#page=1","Abrir facsímil")</f>
        <v>Abrir facsímil</v>
      </c>
      <c r="K4352" s="3" t="s">
        <v>24</v>
      </c>
    </row>
    <row r="4353" spans="1:11" ht="54" customHeight="1">
      <c r="A4353" s="2" t="s">
        <v>10042</v>
      </c>
      <c r="B4353" s="2" t="s">
        <v>10043</v>
      </c>
      <c r="C4353" s="2" t="s">
        <v>90</v>
      </c>
      <c r="D4353" s="2" t="s">
        <v>101</v>
      </c>
      <c r="E4353" s="5" t="s">
        <v>1186</v>
      </c>
      <c r="F4353" s="3" t="s">
        <v>1187</v>
      </c>
      <c r="G4353" s="3" t="s">
        <v>21</v>
      </c>
      <c r="H4353" s="2" t="s">
        <v>22</v>
      </c>
      <c r="I4353" s="2" t="s">
        <v>10044</v>
      </c>
      <c r="J4353" s="3" t="str">
        <f>HYPERLINK("https://www.boe.es/gazeta/dias/1834/08/14/pdfs/GMD-1834-179.pdf#page=3","Abrir facsímil")</f>
        <v>Abrir facsímil</v>
      </c>
      <c r="K4353" s="3" t="s">
        <v>24</v>
      </c>
    </row>
    <row r="4354" spans="1:11" ht="54" customHeight="1">
      <c r="A4354" s="2" t="s">
        <v>10045</v>
      </c>
      <c r="B4354" s="2" t="s">
        <v>10046</v>
      </c>
      <c r="C4354" s="2" t="s">
        <v>17</v>
      </c>
      <c r="D4354" s="2" t="s">
        <v>18</v>
      </c>
      <c r="E4354" s="5" t="s">
        <v>2212</v>
      </c>
      <c r="F4354" s="3" t="s">
        <v>2213</v>
      </c>
      <c r="G4354" s="3" t="s">
        <v>34</v>
      </c>
      <c r="H4354" s="2" t="s">
        <v>22</v>
      </c>
      <c r="I4354" s="2" t="s">
        <v>10047</v>
      </c>
      <c r="J4354" s="3" t="str">
        <f>HYPERLINK("https://www.boe.es/gazeta/dias/1834/08/04/pdfs/GMD-C-1834-168.pdf#page=1","Abrir facsímil")</f>
        <v>Abrir facsímil</v>
      </c>
      <c r="K4354" s="3" t="s">
        <v>24</v>
      </c>
    </row>
    <row r="4355" spans="1:11" ht="54" customHeight="1">
      <c r="A4355" s="2" t="s">
        <v>10048</v>
      </c>
      <c r="B4355" s="2" t="s">
        <v>10049</v>
      </c>
      <c r="C4355" s="2" t="s">
        <v>66</v>
      </c>
      <c r="D4355" s="2" t="s">
        <v>67</v>
      </c>
      <c r="E4355" s="5" t="s">
        <v>2004</v>
      </c>
      <c r="F4355" s="3" t="s">
        <v>2005</v>
      </c>
      <c r="G4355" s="3" t="s">
        <v>75</v>
      </c>
      <c r="H4355" s="2" t="s">
        <v>35</v>
      </c>
      <c r="I4355" s="2" t="s">
        <v>10050</v>
      </c>
      <c r="J4355" s="3" t="str">
        <f>HYPERLINK("https://www.boe.es/gazeta/dias/1834/05/09/pdfs/GMD-1834-78.pdf#page=4","Abrir facsímil")</f>
        <v>Abrir facsímil</v>
      </c>
      <c r="K4355" s="3" t="s">
        <v>37</v>
      </c>
    </row>
    <row r="4356" spans="1:11" ht="54" customHeight="1">
      <c r="A4356" s="2" t="s">
        <v>10051</v>
      </c>
      <c r="B4356" s="2" t="s">
        <v>10052</v>
      </c>
      <c r="C4356" s="2" t="s">
        <v>17</v>
      </c>
      <c r="D4356" s="2" t="s">
        <v>18</v>
      </c>
      <c r="E4356" s="5" t="s">
        <v>1850</v>
      </c>
      <c r="F4356" s="3" t="s">
        <v>1851</v>
      </c>
      <c r="G4356" s="3" t="s">
        <v>560</v>
      </c>
      <c r="H4356" s="2" t="s">
        <v>22</v>
      </c>
      <c r="I4356" s="2" t="s">
        <v>10053</v>
      </c>
      <c r="J4356" s="3" t="str">
        <f>HYPERLINK("https://www.boe.es/gazeta/dias/1834/02/18/pdfs/GMD-1834-22.pdf#page=7","Abrir facsímil")</f>
        <v>Abrir facsímil</v>
      </c>
      <c r="K4356" s="3" t="s">
        <v>24</v>
      </c>
    </row>
    <row r="4357" spans="1:11" ht="54" customHeight="1">
      <c r="A4357" s="2" t="s">
        <v>10054</v>
      </c>
      <c r="B4357" s="2" t="s">
        <v>10055</v>
      </c>
      <c r="C4357" s="2" t="s">
        <v>17</v>
      </c>
      <c r="D4357" s="2" t="s">
        <v>18</v>
      </c>
      <c r="E4357" s="5" t="s">
        <v>403</v>
      </c>
      <c r="F4357" s="3" t="s">
        <v>3456</v>
      </c>
      <c r="G4357" s="3" t="s">
        <v>86</v>
      </c>
      <c r="H4357" s="2" t="s">
        <v>22</v>
      </c>
      <c r="I4357" s="2" t="s">
        <v>10056</v>
      </c>
      <c r="J4357" s="3" t="str">
        <f>HYPERLINK("https://www.boe.es/gazeta/dias/1834/09/25/pdfs/GMD-1834-223.pdf#page=2","Abrir facsímil")</f>
        <v>Abrir facsímil</v>
      </c>
      <c r="K4357" s="3" t="s">
        <v>24</v>
      </c>
    </row>
    <row r="4358" spans="1:11" ht="54" customHeight="1">
      <c r="A4358" s="2" t="s">
        <v>10057</v>
      </c>
      <c r="B4358" s="2" t="s">
        <v>10058</v>
      </c>
      <c r="C4358" s="2" t="s">
        <v>122</v>
      </c>
      <c r="D4358" s="2" t="s">
        <v>18</v>
      </c>
      <c r="E4358" s="5" t="s">
        <v>772</v>
      </c>
      <c r="F4358" s="3" t="s">
        <v>773</v>
      </c>
      <c r="G4358" s="3" t="s">
        <v>21</v>
      </c>
      <c r="H4358" s="2" t="s">
        <v>22</v>
      </c>
      <c r="I4358" s="2" t="s">
        <v>10059</v>
      </c>
      <c r="J4358" s="3" t="str">
        <f>HYPERLINK("https://www.boe.es/gazeta/dias/1834/09/18/pdfs/GMD-1834-216.pdf#page=3","Abrir facsímil")</f>
        <v>Abrir facsímil</v>
      </c>
      <c r="K4358" s="3" t="s">
        <v>24</v>
      </c>
    </row>
    <row r="4359" spans="1:11" ht="54" customHeight="1">
      <c r="A4359" s="2" t="s">
        <v>10060</v>
      </c>
      <c r="B4359" s="2" t="s">
        <v>10061</v>
      </c>
      <c r="C4359" s="2" t="s">
        <v>122</v>
      </c>
      <c r="D4359" s="2" t="s">
        <v>18</v>
      </c>
      <c r="E4359" s="5" t="s">
        <v>1186</v>
      </c>
      <c r="F4359" s="3" t="s">
        <v>1187</v>
      </c>
      <c r="G4359" s="3" t="s">
        <v>75</v>
      </c>
      <c r="H4359" s="2" t="s">
        <v>22</v>
      </c>
      <c r="I4359" s="2" t="s">
        <v>10062</v>
      </c>
      <c r="J4359" s="3" t="str">
        <f>HYPERLINK("https://www.boe.es/gazeta/dias/1834/08/14/pdfs/GMD-1834-179.pdf#page=4","Abrir facsímil")</f>
        <v>Abrir facsímil</v>
      </c>
      <c r="K4359" s="3" t="s">
        <v>24</v>
      </c>
    </row>
    <row r="4360" spans="1:11" ht="54" customHeight="1">
      <c r="A4360" s="2" t="s">
        <v>10063</v>
      </c>
      <c r="B4360" s="2" t="s">
        <v>10064</v>
      </c>
      <c r="C4360" s="2" t="s">
        <v>66</v>
      </c>
      <c r="D4360" s="2" t="s">
        <v>18</v>
      </c>
      <c r="E4360" s="5" t="s">
        <v>777</v>
      </c>
      <c r="F4360" s="3" t="s">
        <v>778</v>
      </c>
      <c r="G4360" s="3" t="s">
        <v>34</v>
      </c>
      <c r="H4360" s="2" t="s">
        <v>22</v>
      </c>
      <c r="I4360" s="2" t="s">
        <v>10065</v>
      </c>
      <c r="J4360" s="3" t="str">
        <f>HYPERLINK("https://www.boe.es/gazeta/dias/1834/10/29/pdfs/GMD-1834-257.pdf#page=1","Abrir facsímil")</f>
        <v>Abrir facsímil</v>
      </c>
      <c r="K4360" s="3" t="s">
        <v>24</v>
      </c>
    </row>
    <row r="4361" spans="1:11" ht="54" customHeight="1">
      <c r="A4361" s="2" t="s">
        <v>10066</v>
      </c>
      <c r="B4361" s="2" t="s">
        <v>10067</v>
      </c>
      <c r="C4361" s="2" t="s">
        <v>66</v>
      </c>
      <c r="D4361" s="2" t="s">
        <v>67</v>
      </c>
      <c r="E4361" s="5" t="s">
        <v>299</v>
      </c>
      <c r="F4361" s="3" t="s">
        <v>300</v>
      </c>
      <c r="G4361" s="3" t="s">
        <v>75</v>
      </c>
      <c r="H4361" s="2" t="s">
        <v>22</v>
      </c>
      <c r="I4361" s="2" t="s">
        <v>10068</v>
      </c>
      <c r="J4361" s="3" t="str">
        <f>HYPERLINK("https://www.boe.es/gazeta/dias/1834/12/12/pdfs/GMD-1834-301.pdf#page=4","Abrir facsímil")</f>
        <v>Abrir facsímil</v>
      </c>
      <c r="K4361" s="3" t="s">
        <v>24</v>
      </c>
    </row>
    <row r="4362" spans="1:11" ht="54" customHeight="1">
      <c r="A4362" s="2" t="s">
        <v>10069</v>
      </c>
      <c r="B4362" s="2" t="s">
        <v>10070</v>
      </c>
      <c r="C4362" s="2" t="s">
        <v>66</v>
      </c>
      <c r="D4362" s="2" t="s">
        <v>67</v>
      </c>
      <c r="E4362" s="5" t="s">
        <v>294</v>
      </c>
      <c r="F4362" s="3" t="s">
        <v>295</v>
      </c>
      <c r="G4362" s="3" t="s">
        <v>86</v>
      </c>
      <c r="H4362" s="2" t="s">
        <v>22</v>
      </c>
      <c r="I4362" s="2" t="s">
        <v>10071</v>
      </c>
      <c r="J4362" s="3" t="str">
        <f>HYPERLINK("https://www.boe.es/gazeta/dias/1834/09/27/pdfs/GMD-1834-225.pdf#page=2","Abrir facsímil")</f>
        <v>Abrir facsímil</v>
      </c>
      <c r="K4362" s="3" t="s">
        <v>24</v>
      </c>
    </row>
    <row r="4363" spans="1:11" ht="54" customHeight="1">
      <c r="A4363" s="2" t="s">
        <v>10072</v>
      </c>
      <c r="B4363" s="2" t="s">
        <v>10073</v>
      </c>
      <c r="C4363" s="2" t="s">
        <v>90</v>
      </c>
      <c r="D4363" s="2" t="s">
        <v>55</v>
      </c>
      <c r="E4363" s="5" t="s">
        <v>1103</v>
      </c>
      <c r="F4363" s="3" t="s">
        <v>1259</v>
      </c>
      <c r="G4363" s="3" t="s">
        <v>34</v>
      </c>
      <c r="H4363" s="2" t="s">
        <v>22</v>
      </c>
      <c r="I4363" s="2" t="s">
        <v>10074</v>
      </c>
      <c r="J4363" s="3" t="str">
        <f>HYPERLINK("https://www.boe.es/gazeta/dias/1834/10/10/pdfs/GMD-1834-238.pdf#page=1","Abrir facsímil")</f>
        <v>Abrir facsímil</v>
      </c>
      <c r="K4363" s="3" t="s">
        <v>24</v>
      </c>
    </row>
    <row r="4364" spans="1:11" ht="54" customHeight="1">
      <c r="A4364" s="2" t="s">
        <v>10075</v>
      </c>
      <c r="B4364" s="2" t="s">
        <v>10076</v>
      </c>
      <c r="C4364" s="2" t="s">
        <v>66</v>
      </c>
      <c r="D4364" s="2" t="s">
        <v>67</v>
      </c>
      <c r="E4364" s="5" t="s">
        <v>772</v>
      </c>
      <c r="F4364" s="3" t="s">
        <v>773</v>
      </c>
      <c r="G4364" s="3" t="s">
        <v>21</v>
      </c>
      <c r="H4364" s="2" t="s">
        <v>22</v>
      </c>
      <c r="I4364" s="2" t="s">
        <v>10077</v>
      </c>
      <c r="J4364" s="3" t="str">
        <f>HYPERLINK("https://www.boe.es/gazeta/dias/1834/09/18/pdfs/GMD-1834-216.pdf#page=3","Abrir facsímil")</f>
        <v>Abrir facsímil</v>
      </c>
      <c r="K4364" s="3" t="s">
        <v>24</v>
      </c>
    </row>
    <row r="4365" spans="1:11" ht="54" customHeight="1">
      <c r="A4365" s="2" t="s">
        <v>10078</v>
      </c>
      <c r="B4365" s="2" t="s">
        <v>10079</v>
      </c>
      <c r="C4365" s="2" t="s">
        <v>17</v>
      </c>
      <c r="D4365" s="2" t="s">
        <v>101</v>
      </c>
      <c r="E4365" s="5" t="s">
        <v>2748</v>
      </c>
      <c r="F4365" s="3" t="s">
        <v>2749</v>
      </c>
      <c r="G4365" s="3" t="s">
        <v>75</v>
      </c>
      <c r="H4365" s="2" t="s">
        <v>22</v>
      </c>
      <c r="I4365" s="2" t="s">
        <v>10080</v>
      </c>
      <c r="J4365" s="3" t="str">
        <f>HYPERLINK("https://www.boe.es/gazeta/dias/1834/01/09/pdfs/GMD-1834-5.pdf#page=4","Abrir facsímil")</f>
        <v>Abrir facsímil</v>
      </c>
      <c r="K4365" s="3" t="s">
        <v>24</v>
      </c>
    </row>
    <row r="4366" spans="1:11" ht="54" customHeight="1">
      <c r="A4366" s="2" t="s">
        <v>10081</v>
      </c>
      <c r="B4366" s="2" t="s">
        <v>10082</v>
      </c>
      <c r="C4366" s="2" t="s">
        <v>17</v>
      </c>
      <c r="D4366" s="2" t="s">
        <v>18</v>
      </c>
      <c r="E4366" s="5" t="s">
        <v>339</v>
      </c>
      <c r="F4366" s="3" t="s">
        <v>340</v>
      </c>
      <c r="G4366" s="3" t="s">
        <v>34</v>
      </c>
      <c r="H4366" s="2" t="s">
        <v>22</v>
      </c>
      <c r="I4366" s="2" t="s">
        <v>10083</v>
      </c>
      <c r="J4366" s="3" t="str">
        <f>HYPERLINK("https://www.boe.es/gazeta/dias/1834/05/02/pdfs/GMD-1834-71.pdf#page=1","Abrir facsímil")</f>
        <v>Abrir facsímil</v>
      </c>
      <c r="K4366" s="3" t="s">
        <v>24</v>
      </c>
    </row>
    <row r="4367" spans="1:11" ht="54" customHeight="1">
      <c r="A4367" s="2" t="s">
        <v>10084</v>
      </c>
      <c r="B4367" s="2" t="s">
        <v>10085</v>
      </c>
      <c r="C4367" s="2" t="s">
        <v>66</v>
      </c>
      <c r="D4367" s="2" t="s">
        <v>67</v>
      </c>
      <c r="E4367" s="5" t="s">
        <v>3488</v>
      </c>
      <c r="F4367" s="3" t="s">
        <v>3489</v>
      </c>
      <c r="G4367" s="3" t="s">
        <v>86</v>
      </c>
      <c r="H4367" s="2" t="s">
        <v>22</v>
      </c>
      <c r="I4367" s="2" t="s">
        <v>10086</v>
      </c>
      <c r="J4367" s="3" t="str">
        <f>HYPERLINK("https://www.boe.es/gazeta/dias/1834/06/22/pdfs/GMD-1834-125.pdf#page=2","Abrir facsímil")</f>
        <v>Abrir facsímil</v>
      </c>
      <c r="K4367" s="3" t="s">
        <v>24</v>
      </c>
    </row>
    <row r="4368" spans="1:11" ht="54" customHeight="1">
      <c r="A4368" s="2" t="s">
        <v>10087</v>
      </c>
      <c r="B4368" s="2" t="s">
        <v>10088</v>
      </c>
      <c r="C4368" s="2" t="s">
        <v>17</v>
      </c>
      <c r="D4368" s="2" t="s">
        <v>18</v>
      </c>
      <c r="E4368" s="5" t="s">
        <v>56</v>
      </c>
      <c r="F4368" s="3" t="s">
        <v>57</v>
      </c>
      <c r="G4368" s="3" t="s">
        <v>21</v>
      </c>
      <c r="H4368" s="2" t="s">
        <v>35</v>
      </c>
      <c r="I4368" s="2" t="s">
        <v>10089</v>
      </c>
      <c r="J4368" s="3" t="str">
        <f>HYPERLINK("https://www.boe.es/gazeta/dias/1834/07/09/pdfs/GMD-1834-142.pdf#page=3","Abrir facsímil")</f>
        <v>Abrir facsímil</v>
      </c>
      <c r="K4368" s="3" t="s">
        <v>37</v>
      </c>
    </row>
    <row r="4369" spans="1:11" ht="54" customHeight="1">
      <c r="A4369" s="2" t="s">
        <v>10090</v>
      </c>
      <c r="B4369" s="2" t="s">
        <v>10091</v>
      </c>
      <c r="C4369" s="2" t="s">
        <v>17</v>
      </c>
      <c r="D4369" s="2" t="s">
        <v>18</v>
      </c>
      <c r="E4369" s="5" t="s">
        <v>56</v>
      </c>
      <c r="F4369" s="3" t="s">
        <v>57</v>
      </c>
      <c r="G4369" s="3" t="s">
        <v>21</v>
      </c>
      <c r="H4369" s="2" t="s">
        <v>22</v>
      </c>
      <c r="I4369" s="2" t="s">
        <v>10092</v>
      </c>
      <c r="J4369" s="3" t="str">
        <f>HYPERLINK("https://www.boe.es/gazeta/dias/1834/07/09/pdfs/GMD-1834-142.pdf#page=3","Abrir facsímil")</f>
        <v>Abrir facsímil</v>
      </c>
      <c r="K4369" s="3" t="s">
        <v>24</v>
      </c>
    </row>
    <row r="4370" spans="1:11" ht="54" customHeight="1">
      <c r="A4370" s="2" t="s">
        <v>10093</v>
      </c>
      <c r="B4370" s="2" t="s">
        <v>10094</v>
      </c>
      <c r="C4370" s="2" t="s">
        <v>17</v>
      </c>
      <c r="D4370" s="2" t="s">
        <v>18</v>
      </c>
      <c r="E4370" s="5" t="s">
        <v>513</v>
      </c>
      <c r="F4370" s="3" t="s">
        <v>514</v>
      </c>
      <c r="G4370" s="3" t="s">
        <v>75</v>
      </c>
      <c r="H4370" s="2" t="s">
        <v>22</v>
      </c>
      <c r="I4370" s="2" t="s">
        <v>10095</v>
      </c>
      <c r="J4370" s="3" t="str">
        <f>HYPERLINK("https://www.boe.es/gazeta/dias/1834/04/27/pdfs/GMD-1834-66.pdf#page=4","Abrir facsímil")</f>
        <v>Abrir facsímil</v>
      </c>
      <c r="K4370" s="3" t="s">
        <v>24</v>
      </c>
    </row>
    <row r="4371" spans="1:11" ht="54" customHeight="1">
      <c r="A4371" s="2" t="s">
        <v>10096</v>
      </c>
      <c r="B4371" s="2" t="s">
        <v>10097</v>
      </c>
      <c r="C4371" s="2" t="s">
        <v>17</v>
      </c>
      <c r="D4371" s="2" t="s">
        <v>18</v>
      </c>
      <c r="E4371" s="5" t="s">
        <v>237</v>
      </c>
      <c r="F4371" s="3" t="s">
        <v>238</v>
      </c>
      <c r="G4371" s="3" t="s">
        <v>34</v>
      </c>
      <c r="H4371" s="2" t="s">
        <v>22</v>
      </c>
      <c r="I4371" s="2" t="s">
        <v>10098</v>
      </c>
      <c r="J4371" s="3" t="str">
        <f>HYPERLINK("https://www.boe.es/gazeta/dias/1834/08/15/pdfs/GMD-C-1834-180.pdf#page=1","Abrir facsímil")</f>
        <v>Abrir facsímil</v>
      </c>
      <c r="K4371" s="3" t="s">
        <v>24</v>
      </c>
    </row>
    <row r="4372" spans="1:11" ht="54" customHeight="1">
      <c r="A4372" s="2" t="s">
        <v>10099</v>
      </c>
      <c r="B4372" s="2" t="s">
        <v>10100</v>
      </c>
      <c r="C4372" s="2" t="s">
        <v>17</v>
      </c>
      <c r="D4372" s="2" t="s">
        <v>18</v>
      </c>
      <c r="E4372" s="5" t="s">
        <v>454</v>
      </c>
      <c r="F4372" s="3" t="s">
        <v>2009</v>
      </c>
      <c r="G4372" s="3" t="s">
        <v>86</v>
      </c>
      <c r="H4372" s="2" t="s">
        <v>22</v>
      </c>
      <c r="I4372" s="2" t="s">
        <v>10101</v>
      </c>
      <c r="J4372" s="3" t="str">
        <f>HYPERLINK("https://www.boe.es/gazeta/dias/1834/10/16/pdfs/GMD-1834-244.pdf#page=2","Abrir facsímil")</f>
        <v>Abrir facsímil</v>
      </c>
      <c r="K4372" s="3" t="s">
        <v>24</v>
      </c>
    </row>
    <row r="4373" spans="1:11" ht="54" customHeight="1">
      <c r="A4373" s="2" t="s">
        <v>10102</v>
      </c>
      <c r="B4373" s="2" t="s">
        <v>10103</v>
      </c>
      <c r="C4373" s="2" t="s">
        <v>122</v>
      </c>
      <c r="D4373" s="2" t="s">
        <v>18</v>
      </c>
      <c r="E4373" s="5" t="s">
        <v>1747</v>
      </c>
      <c r="F4373" s="3" t="s">
        <v>1748</v>
      </c>
      <c r="G4373" s="3" t="s">
        <v>34</v>
      </c>
      <c r="H4373" s="2" t="s">
        <v>22</v>
      </c>
      <c r="I4373" s="2" t="s">
        <v>10104</v>
      </c>
      <c r="J4373" s="3" t="str">
        <f>HYPERLINK("https://www.boe.es/gazeta/dias/1834/06/29/pdfs/GMD-1834-132.pdf#page=1","Abrir facsímil")</f>
        <v>Abrir facsímil</v>
      </c>
      <c r="K4373" s="3" t="s">
        <v>24</v>
      </c>
    </row>
    <row r="4374" spans="1:11" ht="54" customHeight="1">
      <c r="A4374" s="2" t="s">
        <v>10105</v>
      </c>
      <c r="B4374" s="2" t="s">
        <v>10106</v>
      </c>
      <c r="C4374" s="2" t="s">
        <v>17</v>
      </c>
      <c r="D4374" s="2" t="s">
        <v>18</v>
      </c>
      <c r="E4374" s="5" t="s">
        <v>448</v>
      </c>
      <c r="F4374" s="3" t="s">
        <v>449</v>
      </c>
      <c r="G4374" s="3" t="s">
        <v>34</v>
      </c>
      <c r="H4374" s="2" t="s">
        <v>22</v>
      </c>
      <c r="I4374" s="2" t="s">
        <v>10107</v>
      </c>
      <c r="J4374" s="3" t="str">
        <f>HYPERLINK("https://www.boe.es/gazeta/dias/1834/10/14/pdfs/GMD-C-1834-242.pdf#page=1","Abrir facsímil")</f>
        <v>Abrir facsímil</v>
      </c>
      <c r="K4374" s="3" t="s">
        <v>24</v>
      </c>
    </row>
    <row r="4375" spans="1:11" ht="54" customHeight="1">
      <c r="A4375" s="2" t="s">
        <v>10108</v>
      </c>
      <c r="B4375" s="2" t="s">
        <v>10109</v>
      </c>
      <c r="C4375" s="2" t="s">
        <v>17</v>
      </c>
      <c r="D4375" s="2" t="s">
        <v>18</v>
      </c>
      <c r="E4375" s="5" t="s">
        <v>375</v>
      </c>
      <c r="F4375" s="3" t="s">
        <v>376</v>
      </c>
      <c r="G4375" s="3" t="s">
        <v>34</v>
      </c>
      <c r="H4375" s="2" t="s">
        <v>22</v>
      </c>
      <c r="I4375" s="2" t="s">
        <v>10110</v>
      </c>
      <c r="J4375" s="3" t="str">
        <f>HYPERLINK("https://www.boe.es/gazeta/dias/1834/08/21/pdfs/GMD-1834-187.pdf#page=1","Abrir facsímil")</f>
        <v>Abrir facsímil</v>
      </c>
      <c r="K4375" s="3" t="s">
        <v>24</v>
      </c>
    </row>
    <row r="4376" spans="1:11" ht="54" customHeight="1">
      <c r="A4376" s="2" t="s">
        <v>10111</v>
      </c>
      <c r="B4376" s="2" t="s">
        <v>10112</v>
      </c>
      <c r="C4376" s="2" t="s">
        <v>90</v>
      </c>
      <c r="D4376" s="2" t="s">
        <v>18</v>
      </c>
      <c r="E4376" s="5" t="s">
        <v>167</v>
      </c>
      <c r="F4376" s="3" t="s">
        <v>1200</v>
      </c>
      <c r="G4376" s="3" t="s">
        <v>86</v>
      </c>
      <c r="H4376" s="2" t="s">
        <v>22</v>
      </c>
      <c r="I4376" s="2" t="s">
        <v>10113</v>
      </c>
      <c r="J4376" s="3" t="str">
        <f>HYPERLINK("https://www.boe.es/gazeta/dias/1834/09/07/pdfs/GMD-C-1834-205.pdf#page=2","Abrir facsímil")</f>
        <v>Abrir facsímil</v>
      </c>
      <c r="K4376" s="3" t="s">
        <v>24</v>
      </c>
    </row>
    <row r="4377" spans="1:11" ht="54" customHeight="1">
      <c r="A4377" s="2" t="s">
        <v>10114</v>
      </c>
      <c r="B4377" s="2" t="s">
        <v>10115</v>
      </c>
      <c r="C4377" s="2" t="s">
        <v>17</v>
      </c>
      <c r="D4377" s="2" t="s">
        <v>101</v>
      </c>
      <c r="E4377" s="5" t="s">
        <v>3066</v>
      </c>
      <c r="F4377" s="3" t="s">
        <v>3188</v>
      </c>
      <c r="G4377" s="3" t="s">
        <v>86</v>
      </c>
      <c r="H4377" s="2" t="s">
        <v>22</v>
      </c>
      <c r="I4377" s="2" t="s">
        <v>10116</v>
      </c>
      <c r="J4377" s="3" t="str">
        <f>HYPERLINK("https://www.boe.es/gazeta/dias/1834/08/03/pdfs/I00721-00722.pdf#page=2","Abrir facsímil")</f>
        <v>Abrir facsímil</v>
      </c>
      <c r="K4377" s="3" t="s">
        <v>24</v>
      </c>
    </row>
    <row r="4378" spans="1:11" ht="54" customHeight="1">
      <c r="A4378" s="2" t="s">
        <v>10114</v>
      </c>
      <c r="B4378" s="2" t="s">
        <v>10115</v>
      </c>
      <c r="C4378" s="2" t="s">
        <v>17</v>
      </c>
      <c r="D4378" s="2" t="s">
        <v>101</v>
      </c>
      <c r="E4378" s="5" t="s">
        <v>3066</v>
      </c>
      <c r="F4378" s="3" t="s">
        <v>3188</v>
      </c>
      <c r="G4378" s="3" t="s">
        <v>75</v>
      </c>
      <c r="H4378" s="2" t="s">
        <v>22</v>
      </c>
      <c r="I4378" s="2" t="s">
        <v>10117</v>
      </c>
      <c r="J4378" s="3" t="str">
        <f>HYPERLINK("https://www.boe.es/gazeta/dias/1834/08/03/pdfs/GMD-1834-167.pdf#page=4","Abrir facsímil")</f>
        <v>Abrir facsímil</v>
      </c>
      <c r="K4378" s="3" t="s">
        <v>24</v>
      </c>
    </row>
    <row r="4379" spans="1:11" ht="54" customHeight="1">
      <c r="A4379" s="2" t="s">
        <v>10118</v>
      </c>
      <c r="B4379" s="2" t="s">
        <v>10119</v>
      </c>
      <c r="C4379" s="2" t="s">
        <v>17</v>
      </c>
      <c r="D4379" s="2" t="s">
        <v>18</v>
      </c>
      <c r="E4379" s="5" t="s">
        <v>465</v>
      </c>
      <c r="F4379" s="3" t="s">
        <v>466</v>
      </c>
      <c r="G4379" s="3" t="s">
        <v>176</v>
      </c>
      <c r="H4379" s="2" t="s">
        <v>22</v>
      </c>
      <c r="I4379" s="2" t="s">
        <v>10120</v>
      </c>
      <c r="J4379" s="3" t="str">
        <f>HYPERLINK("https://www.boe.es/gazeta/dias/1834/11/27/pdfs/GMD-C-1834-286.pdf#page=6","Abrir facsímil")</f>
        <v>Abrir facsímil</v>
      </c>
      <c r="K4379" s="3" t="s">
        <v>24</v>
      </c>
    </row>
    <row r="4380" spans="1:11" ht="54" customHeight="1">
      <c r="A4380" s="2" t="s">
        <v>10121</v>
      </c>
      <c r="B4380" s="2" t="s">
        <v>10122</v>
      </c>
      <c r="C4380" s="2" t="s">
        <v>17</v>
      </c>
      <c r="D4380" s="2" t="s">
        <v>40</v>
      </c>
      <c r="E4380" s="5" t="s">
        <v>2241</v>
      </c>
      <c r="F4380" s="3" t="s">
        <v>2242</v>
      </c>
      <c r="G4380" s="3" t="s">
        <v>75</v>
      </c>
      <c r="H4380" s="2" t="s">
        <v>22</v>
      </c>
      <c r="I4380" s="2" t="s">
        <v>10123</v>
      </c>
      <c r="J4380" s="3" t="str">
        <f>HYPERLINK("https://www.boe.es/gazeta/dias/1834/03/11/pdfs/GMD-1834-31.pdf#page=4","Abrir facsímil")</f>
        <v>Abrir facsímil</v>
      </c>
      <c r="K4380" s="3" t="s">
        <v>24</v>
      </c>
    </row>
    <row r="4381" spans="1:11" ht="54" customHeight="1">
      <c r="A4381" s="2" t="s">
        <v>10124</v>
      </c>
      <c r="B4381" s="2" t="s">
        <v>10125</v>
      </c>
      <c r="C4381" s="2" t="s">
        <v>90</v>
      </c>
      <c r="D4381" s="2" t="s">
        <v>18</v>
      </c>
      <c r="E4381" s="5" t="s">
        <v>1268</v>
      </c>
      <c r="F4381" s="3" t="s">
        <v>1269</v>
      </c>
      <c r="G4381" s="3" t="s">
        <v>86</v>
      </c>
      <c r="H4381" s="2" t="s">
        <v>22</v>
      </c>
      <c r="I4381" s="2" t="s">
        <v>10126</v>
      </c>
      <c r="J4381" s="3" t="str">
        <f>HYPERLINK("https://www.boe.es/gazeta/dias/1834/12/09/pdfs/GMD-1834-298.pdf#page=2","Abrir facsímil")</f>
        <v>Abrir facsímil</v>
      </c>
      <c r="K4381" s="3" t="s">
        <v>24</v>
      </c>
    </row>
    <row r="4382" spans="1:11" ht="54" customHeight="1">
      <c r="A4382" s="2" t="s">
        <v>10127</v>
      </c>
      <c r="B4382" s="2" t="s">
        <v>10128</v>
      </c>
      <c r="C4382" s="2" t="s">
        <v>66</v>
      </c>
      <c r="D4382" s="2" t="s">
        <v>67</v>
      </c>
      <c r="E4382" s="5" t="s">
        <v>753</v>
      </c>
      <c r="F4382" s="3" t="s">
        <v>754</v>
      </c>
      <c r="G4382" s="3" t="s">
        <v>34</v>
      </c>
      <c r="H4382" s="2" t="s">
        <v>22</v>
      </c>
      <c r="I4382" s="2" t="s">
        <v>10129</v>
      </c>
      <c r="J4382" s="3" t="str">
        <f>HYPERLINK("https://www.boe.es/gazeta/dias/1834/04/21/pdfs/GMD-1834-60.pdf#page=1","Abrir facsímil")</f>
        <v>Abrir facsímil</v>
      </c>
      <c r="K4382" s="3" t="s">
        <v>24</v>
      </c>
    </row>
    <row r="4383" spans="1:11" ht="54" customHeight="1">
      <c r="A4383" s="2" t="s">
        <v>10130</v>
      </c>
      <c r="B4383" s="2" t="s">
        <v>10131</v>
      </c>
      <c r="C4383" s="2" t="s">
        <v>17</v>
      </c>
      <c r="D4383" s="2" t="s">
        <v>18</v>
      </c>
      <c r="E4383" s="5" t="s">
        <v>1402</v>
      </c>
      <c r="F4383" s="3" t="s">
        <v>1403</v>
      </c>
      <c r="G4383" s="3" t="s">
        <v>75</v>
      </c>
      <c r="H4383" s="2" t="s">
        <v>22</v>
      </c>
      <c r="I4383" s="2" t="s">
        <v>10132</v>
      </c>
      <c r="J4383" s="3" t="str">
        <f>HYPERLINK("https://www.boe.es/gazeta/dias/1834/05/05/pdfs/GMD-1834-74.pdf#page=4","Abrir facsímil")</f>
        <v>Abrir facsímil</v>
      </c>
      <c r="K4383" s="3" t="s">
        <v>24</v>
      </c>
    </row>
    <row r="4384" spans="1:11" ht="54" customHeight="1">
      <c r="A4384" s="2" t="s">
        <v>10133</v>
      </c>
      <c r="B4384" s="2" t="s">
        <v>10134</v>
      </c>
      <c r="C4384" s="2" t="s">
        <v>17</v>
      </c>
      <c r="D4384" s="2" t="s">
        <v>18</v>
      </c>
      <c r="E4384" s="5" t="s">
        <v>899</v>
      </c>
      <c r="F4384" s="3" t="s">
        <v>900</v>
      </c>
      <c r="G4384" s="3" t="s">
        <v>470</v>
      </c>
      <c r="H4384" s="2" t="s">
        <v>22</v>
      </c>
      <c r="I4384" s="2" t="s">
        <v>10135</v>
      </c>
      <c r="J4384" s="3" t="str">
        <f>HYPERLINK("https://www.boe.es/gazeta/dias/1834/01/30/pdfs/GMD-1834-14.pdf#page=8","Abrir facsímil")</f>
        <v>Abrir facsímil</v>
      </c>
      <c r="K4384" s="3" t="s">
        <v>24</v>
      </c>
    </row>
    <row r="4385" spans="1:11" ht="54" customHeight="1">
      <c r="A4385" s="2" t="s">
        <v>10136</v>
      </c>
      <c r="B4385" s="2" t="s">
        <v>10137</v>
      </c>
      <c r="C4385" s="2" t="s">
        <v>17</v>
      </c>
      <c r="D4385" s="2" t="s">
        <v>40</v>
      </c>
      <c r="E4385" s="5" t="s">
        <v>2287</v>
      </c>
      <c r="F4385" s="3" t="s">
        <v>2288</v>
      </c>
      <c r="G4385" s="3" t="s">
        <v>34</v>
      </c>
      <c r="H4385" s="2" t="s">
        <v>22</v>
      </c>
      <c r="I4385" s="2" t="s">
        <v>10138</v>
      </c>
      <c r="J4385" s="3" t="str">
        <f>HYPERLINK("https://www.boe.es/gazeta/dias/1834/12/18/pdfs/GMD-C-1834-308.pdf#page=1","Abrir facsímil")</f>
        <v>Abrir facsímil</v>
      </c>
      <c r="K4385" s="3" t="s">
        <v>24</v>
      </c>
    </row>
    <row r="4386" spans="1:11" ht="54" customHeight="1">
      <c r="A4386" s="2" t="s">
        <v>10139</v>
      </c>
      <c r="B4386" s="2" t="s">
        <v>10140</v>
      </c>
      <c r="C4386" s="2" t="s">
        <v>46</v>
      </c>
      <c r="D4386" s="2" t="s">
        <v>55</v>
      </c>
      <c r="E4386" s="5" t="s">
        <v>3471</v>
      </c>
      <c r="F4386" s="3" t="s">
        <v>3472</v>
      </c>
      <c r="G4386" s="3" t="s">
        <v>86</v>
      </c>
      <c r="H4386" s="2" t="s">
        <v>22</v>
      </c>
      <c r="I4386" s="2" t="s">
        <v>10141</v>
      </c>
      <c r="J4386" s="3" t="str">
        <f>HYPERLINK("https://www.boe.es/gazeta/dias/1834/07/07/pdfs/GMD-1834-140.pdf#page=2","Abrir facsímil")</f>
        <v>Abrir facsímil</v>
      </c>
      <c r="K4386" s="3" t="s">
        <v>24</v>
      </c>
    </row>
    <row r="4387" spans="1:11" ht="54" customHeight="1">
      <c r="A4387" s="2" t="s">
        <v>10142</v>
      </c>
      <c r="B4387" s="2" t="s">
        <v>10143</v>
      </c>
      <c r="C4387" s="2" t="s">
        <v>17</v>
      </c>
      <c r="D4387" s="2" t="s">
        <v>18</v>
      </c>
      <c r="E4387" s="5" t="s">
        <v>265</v>
      </c>
      <c r="F4387" s="3" t="s">
        <v>969</v>
      </c>
      <c r="G4387" s="3" t="s">
        <v>75</v>
      </c>
      <c r="H4387" s="2" t="s">
        <v>35</v>
      </c>
      <c r="I4387" s="2" t="s">
        <v>10144</v>
      </c>
      <c r="J4387" s="3" t="str">
        <f>HYPERLINK("https://www.boe.es/gazeta/dias/1834/11/19/pdfs/GMD-1834-278.pdf#page=4","Abrir facsímil")</f>
        <v>Abrir facsímil</v>
      </c>
      <c r="K4387" s="3" t="s">
        <v>37</v>
      </c>
    </row>
    <row r="4388" spans="1:11" ht="54" customHeight="1">
      <c r="A4388" s="2" t="s">
        <v>10145</v>
      </c>
      <c r="B4388" s="2" t="s">
        <v>10146</v>
      </c>
      <c r="C4388" s="2" t="s">
        <v>17</v>
      </c>
      <c r="D4388" s="2" t="s">
        <v>18</v>
      </c>
      <c r="E4388" s="5" t="s">
        <v>265</v>
      </c>
      <c r="F4388" s="3" t="s">
        <v>969</v>
      </c>
      <c r="G4388" s="3" t="s">
        <v>75</v>
      </c>
      <c r="H4388" s="2" t="s">
        <v>22</v>
      </c>
      <c r="I4388" s="2" t="s">
        <v>10147</v>
      </c>
      <c r="J4388" s="3" t="str">
        <f>HYPERLINK("https://www.boe.es/gazeta/dias/1834/11/19/pdfs/GMD-1834-278.pdf#page=4","Abrir facsímil")</f>
        <v>Abrir facsímil</v>
      </c>
      <c r="K4388" s="3" t="s">
        <v>24</v>
      </c>
    </row>
    <row r="4389" spans="1:11" ht="54" customHeight="1">
      <c r="A4389" s="2" t="s">
        <v>10148</v>
      </c>
      <c r="B4389" s="2" t="s">
        <v>10149</v>
      </c>
      <c r="C4389" s="2" t="s">
        <v>17</v>
      </c>
      <c r="D4389" s="2" t="s">
        <v>18</v>
      </c>
      <c r="E4389" s="5" t="s">
        <v>19</v>
      </c>
      <c r="F4389" s="3" t="s">
        <v>107</v>
      </c>
      <c r="G4389" s="3" t="s">
        <v>75</v>
      </c>
      <c r="H4389" s="2" t="s">
        <v>22</v>
      </c>
      <c r="I4389" s="2" t="s">
        <v>10150</v>
      </c>
      <c r="J4389" s="3" t="str">
        <f>HYPERLINK("https://www.boe.es/gazeta/dias/1834/08/17/pdfs/GMD-1834-182.pdf#page=4","Abrir facsímil")</f>
        <v>Abrir facsímil</v>
      </c>
      <c r="K4389" s="3" t="s">
        <v>24</v>
      </c>
    </row>
    <row r="4390" spans="1:11" ht="54" customHeight="1">
      <c r="A4390" s="2" t="s">
        <v>10151</v>
      </c>
      <c r="B4390" s="2" t="s">
        <v>10152</v>
      </c>
      <c r="C4390" s="2" t="s">
        <v>857</v>
      </c>
      <c r="D4390" s="2" t="s">
        <v>67</v>
      </c>
      <c r="E4390" s="5" t="s">
        <v>73</v>
      </c>
      <c r="F4390" s="3" t="s">
        <v>74</v>
      </c>
      <c r="G4390" s="3" t="s">
        <v>75</v>
      </c>
      <c r="H4390" s="2" t="s">
        <v>22</v>
      </c>
      <c r="I4390" s="2" t="s">
        <v>10153</v>
      </c>
      <c r="J4390" s="3" t="str">
        <f>HYPERLINK("https://www.boe.es/gazeta/dias/1834/11/04/pdfs/GMD-1834-263.pdf#page=4","Abrir facsímil")</f>
        <v>Abrir facsímil</v>
      </c>
      <c r="K4390" s="3" t="s">
        <v>24</v>
      </c>
    </row>
    <row r="4391" spans="1:11" ht="54" customHeight="1">
      <c r="A4391" s="2" t="s">
        <v>10154</v>
      </c>
      <c r="B4391" s="2" t="s">
        <v>10155</v>
      </c>
      <c r="C4391" s="2" t="s">
        <v>17</v>
      </c>
      <c r="D4391" s="2" t="s">
        <v>18</v>
      </c>
      <c r="E4391" s="5" t="s">
        <v>623</v>
      </c>
      <c r="F4391" s="3" t="s">
        <v>624</v>
      </c>
      <c r="G4391" s="3" t="s">
        <v>34</v>
      </c>
      <c r="H4391" s="2" t="s">
        <v>22</v>
      </c>
      <c r="I4391" s="2" t="s">
        <v>10156</v>
      </c>
      <c r="J4391" s="3" t="str">
        <f>HYPERLINK("https://www.boe.es/gazeta/dias/1834/10/12/pdfs/GMD-D-1834-240.pdf#page=1","Abrir facsímil")</f>
        <v>Abrir facsímil</v>
      </c>
      <c r="K4391" s="3" t="s">
        <v>24</v>
      </c>
    </row>
    <row r="4392" spans="1:11" ht="54" customHeight="1">
      <c r="A4392" s="2" t="s">
        <v>10154</v>
      </c>
      <c r="B4392" s="2" t="s">
        <v>10155</v>
      </c>
      <c r="C4392" s="2" t="s">
        <v>17</v>
      </c>
      <c r="D4392" s="2" t="s">
        <v>18</v>
      </c>
      <c r="E4392" s="5" t="s">
        <v>299</v>
      </c>
      <c r="F4392" s="3" t="s">
        <v>2255</v>
      </c>
      <c r="G4392" s="3" t="s">
        <v>28</v>
      </c>
      <c r="H4392" s="2" t="s">
        <v>22</v>
      </c>
      <c r="I4392" s="2" t="s">
        <v>10157</v>
      </c>
      <c r="J4392" s="3" t="str">
        <f>HYPERLINK("https://www.boe.es/gazeta/dias/1834/12/12/pdfs/GMD-C-1834-301.pdf#page=5","Abrir facsímil")</f>
        <v>Abrir facsímil</v>
      </c>
      <c r="K4392" s="3" t="s">
        <v>24</v>
      </c>
    </row>
    <row r="4393" spans="1:11" ht="54" customHeight="1">
      <c r="A4393" s="2" t="s">
        <v>10158</v>
      </c>
      <c r="B4393" s="2" t="s">
        <v>10159</v>
      </c>
      <c r="C4393" s="2" t="s">
        <v>17</v>
      </c>
      <c r="D4393" s="2" t="s">
        <v>18</v>
      </c>
      <c r="E4393" s="5" t="s">
        <v>1708</v>
      </c>
      <c r="F4393" s="3" t="s">
        <v>1709</v>
      </c>
      <c r="G4393" s="3" t="s">
        <v>28</v>
      </c>
      <c r="H4393" s="2" t="s">
        <v>22</v>
      </c>
      <c r="I4393" s="2" t="s">
        <v>10160</v>
      </c>
      <c r="J4393" s="3" t="str">
        <f>HYPERLINK("https://www.boe.es/gazeta/dias/1834/04/12/pdfs/GMD-1834-51.pdf#page=5","Abrir facsímil")</f>
        <v>Abrir facsímil</v>
      </c>
      <c r="K4393" s="3" t="s">
        <v>24</v>
      </c>
    </row>
    <row r="4394" spans="1:11" ht="54" customHeight="1">
      <c r="A4394" s="2" t="s">
        <v>10161</v>
      </c>
      <c r="B4394" s="2" t="s">
        <v>10162</v>
      </c>
      <c r="C4394" s="2" t="s">
        <v>66</v>
      </c>
      <c r="D4394" s="2" t="s">
        <v>67</v>
      </c>
      <c r="E4394" s="5" t="s">
        <v>3952</v>
      </c>
      <c r="F4394" s="3" t="s">
        <v>3953</v>
      </c>
      <c r="G4394" s="3" t="s">
        <v>75</v>
      </c>
      <c r="H4394" s="2" t="s">
        <v>22</v>
      </c>
      <c r="I4394" s="2" t="s">
        <v>10163</v>
      </c>
      <c r="J4394" s="3" t="str">
        <f>HYPERLINK("https://www.boe.es/gazeta/dias/1834/02/22/pdfs/GMD-1834-24.pdf#page=4","Abrir facsímil")</f>
        <v>Abrir facsímil</v>
      </c>
      <c r="K4394" s="3" t="s">
        <v>24</v>
      </c>
    </row>
    <row r="4395" spans="1:11" ht="54" customHeight="1">
      <c r="A4395" s="2" t="s">
        <v>10164</v>
      </c>
      <c r="B4395" s="2" t="s">
        <v>10165</v>
      </c>
      <c r="C4395" s="2" t="s">
        <v>17</v>
      </c>
      <c r="D4395" s="2" t="s">
        <v>18</v>
      </c>
      <c r="E4395" s="5" t="s">
        <v>183</v>
      </c>
      <c r="F4395" s="3" t="s">
        <v>184</v>
      </c>
      <c r="G4395" s="3" t="s">
        <v>21</v>
      </c>
      <c r="H4395" s="2" t="s">
        <v>22</v>
      </c>
      <c r="I4395" s="2" t="s">
        <v>10166</v>
      </c>
      <c r="J4395" s="3" t="str">
        <f>HYPERLINK("https://www.boe.es/gazeta/dias/1834/03/18/pdfs/GMD-1834-34.pdf#page=3","Abrir facsímil")</f>
        <v>Abrir facsímil</v>
      </c>
      <c r="K4395" s="3" t="s">
        <v>24</v>
      </c>
    </row>
    <row r="4396" spans="1:11" ht="54" customHeight="1">
      <c r="A4396" s="2" t="s">
        <v>10167</v>
      </c>
      <c r="B4396" s="2" t="s">
        <v>10168</v>
      </c>
      <c r="C4396" s="2" t="s">
        <v>66</v>
      </c>
      <c r="D4396" s="2" t="s">
        <v>67</v>
      </c>
      <c r="E4396" s="5" t="s">
        <v>1708</v>
      </c>
      <c r="F4396" s="3" t="s">
        <v>1709</v>
      </c>
      <c r="G4396" s="3" t="s">
        <v>34</v>
      </c>
      <c r="H4396" s="2" t="s">
        <v>22</v>
      </c>
      <c r="I4396" s="2" t="s">
        <v>10169</v>
      </c>
      <c r="J4396" s="3" t="str">
        <f>HYPERLINK("https://www.boe.es/gazeta/dias/1834/04/12/pdfs/GMD-1834-51.pdf#page=1","Abrir facsímil")</f>
        <v>Abrir facsímil</v>
      </c>
      <c r="K4396" s="3" t="s">
        <v>24</v>
      </c>
    </row>
    <row r="4397" spans="1:11" ht="54" customHeight="1">
      <c r="A4397" s="2" t="s">
        <v>10170</v>
      </c>
      <c r="B4397" s="2" t="s">
        <v>10171</v>
      </c>
      <c r="C4397" s="2" t="s">
        <v>66</v>
      </c>
      <c r="D4397" s="2" t="s">
        <v>67</v>
      </c>
      <c r="E4397" s="5" t="s">
        <v>10172</v>
      </c>
      <c r="F4397" s="3" t="s">
        <v>10173</v>
      </c>
      <c r="G4397" s="3" t="s">
        <v>75</v>
      </c>
      <c r="H4397" s="2" t="s">
        <v>35</v>
      </c>
      <c r="I4397" s="2" t="s">
        <v>10174</v>
      </c>
      <c r="J4397" s="3" t="str">
        <f>HYPERLINK("https://www.boe.es/gazeta/dias/1834/06/15/pdfs/GMD-1834-118.pdf#page=4","Abrir facsímil")</f>
        <v>Abrir facsímil</v>
      </c>
      <c r="K4397" s="3" t="s">
        <v>37</v>
      </c>
    </row>
    <row r="4398" spans="1:11" ht="54" customHeight="1">
      <c r="A4398" s="2" t="s">
        <v>10175</v>
      </c>
      <c r="B4398" s="2" t="s">
        <v>10176</v>
      </c>
      <c r="C4398" s="2" t="s">
        <v>17</v>
      </c>
      <c r="D4398" s="2" t="s">
        <v>18</v>
      </c>
      <c r="E4398" s="5" t="s">
        <v>4527</v>
      </c>
      <c r="F4398" s="3" t="s">
        <v>4528</v>
      </c>
      <c r="G4398" s="3" t="s">
        <v>21</v>
      </c>
      <c r="H4398" s="2" t="s">
        <v>22</v>
      </c>
      <c r="I4398" s="2" t="s">
        <v>10177</v>
      </c>
      <c r="J4398" s="3" t="str">
        <f>HYPERLINK("https://www.boe.es/gazeta/dias/1834/05/03/pdfs/GMD-1834-72.pdf#page=3","Abrir facsímil")</f>
        <v>Abrir facsímil</v>
      </c>
      <c r="K4398" s="3" t="s">
        <v>24</v>
      </c>
    </row>
    <row r="4399" spans="1:11" ht="54" customHeight="1">
      <c r="A4399" s="2" t="s">
        <v>10178</v>
      </c>
      <c r="B4399" s="2" t="s">
        <v>10179</v>
      </c>
      <c r="C4399" s="2" t="s">
        <v>17</v>
      </c>
      <c r="D4399" s="2" t="s">
        <v>18</v>
      </c>
      <c r="E4399" s="5" t="s">
        <v>462</v>
      </c>
      <c r="F4399" s="3" t="s">
        <v>463</v>
      </c>
      <c r="G4399" s="3" t="s">
        <v>86</v>
      </c>
      <c r="H4399" s="2" t="s">
        <v>35</v>
      </c>
      <c r="I4399" s="2" t="s">
        <v>10180</v>
      </c>
      <c r="J4399" s="3" t="str">
        <f>HYPERLINK("https://www.boe.es/gazeta/dias/1834/08/27/pdfs/GMD-C-1834-193.pdf#page=2","Abrir facsímil")</f>
        <v>Abrir facsímil</v>
      </c>
      <c r="K4399" s="3" t="s">
        <v>37</v>
      </c>
    </row>
    <row r="4400" spans="1:11" ht="54" customHeight="1">
      <c r="A4400" s="2" t="s">
        <v>10181</v>
      </c>
      <c r="B4400" s="2" t="s">
        <v>10182</v>
      </c>
      <c r="C4400" s="2" t="s">
        <v>46</v>
      </c>
      <c r="D4400" s="2" t="s">
        <v>101</v>
      </c>
      <c r="E4400" s="5" t="s">
        <v>167</v>
      </c>
      <c r="F4400" s="3" t="s">
        <v>1200</v>
      </c>
      <c r="G4400" s="3" t="s">
        <v>176</v>
      </c>
      <c r="H4400" s="2" t="s">
        <v>22</v>
      </c>
      <c r="I4400" s="2" t="s">
        <v>10183</v>
      </c>
      <c r="J4400" s="3" t="str">
        <f>HYPERLINK("https://www.boe.es/gazeta/dias/1834/09/07/pdfs/GMD-C-1834-205.pdf#page=6","Abrir facsímil")</f>
        <v>Abrir facsímil</v>
      </c>
      <c r="K4400" s="3" t="s">
        <v>24</v>
      </c>
    </row>
    <row r="4401" spans="1:11" ht="54" customHeight="1">
      <c r="A4401" s="2" t="s">
        <v>10184</v>
      </c>
      <c r="B4401" s="2" t="s">
        <v>10185</v>
      </c>
      <c r="C4401" s="2" t="s">
        <v>17</v>
      </c>
      <c r="D4401" s="2" t="s">
        <v>18</v>
      </c>
      <c r="E4401" s="5" t="s">
        <v>462</v>
      </c>
      <c r="F4401" s="3" t="s">
        <v>463</v>
      </c>
      <c r="G4401" s="3" t="s">
        <v>86</v>
      </c>
      <c r="H4401" s="2" t="s">
        <v>22</v>
      </c>
      <c r="I4401" s="2" t="s">
        <v>10186</v>
      </c>
      <c r="J4401" s="3" t="str">
        <f>HYPERLINK("https://www.boe.es/gazeta/dias/1834/08/27/pdfs/GMD-C-1834-193.pdf#page=2","Abrir facsímil")</f>
        <v>Abrir facsímil</v>
      </c>
      <c r="K4401" s="3" t="s">
        <v>24</v>
      </c>
    </row>
    <row r="4402" spans="1:11" ht="54" customHeight="1">
      <c r="A4402" s="2" t="s">
        <v>10187</v>
      </c>
      <c r="B4402" s="2" t="s">
        <v>10188</v>
      </c>
      <c r="C4402" s="2" t="s">
        <v>46</v>
      </c>
      <c r="D4402" s="2" t="s">
        <v>18</v>
      </c>
      <c r="E4402" s="5" t="s">
        <v>702</v>
      </c>
      <c r="F4402" s="3" t="s">
        <v>2427</v>
      </c>
      <c r="G4402" s="3" t="s">
        <v>86</v>
      </c>
      <c r="H4402" s="2" t="s">
        <v>22</v>
      </c>
      <c r="I4402" s="2" t="s">
        <v>10189</v>
      </c>
      <c r="J4402" s="3" t="str">
        <f>HYPERLINK("https://www.boe.es/gazeta/dias/1834/11/22/pdfs/GMD-1834-281.pdf#page=2","Abrir facsímil")</f>
        <v>Abrir facsímil</v>
      </c>
      <c r="K4402" s="3" t="s">
        <v>24</v>
      </c>
    </row>
    <row r="4403" spans="1:11" ht="54" customHeight="1">
      <c r="A4403" s="2" t="s">
        <v>10190</v>
      </c>
      <c r="B4403" s="2" t="s">
        <v>10191</v>
      </c>
      <c r="C4403" s="2" t="s">
        <v>17</v>
      </c>
      <c r="D4403" s="2" t="s">
        <v>18</v>
      </c>
      <c r="E4403" s="5" t="s">
        <v>1505</v>
      </c>
      <c r="F4403" s="3" t="s">
        <v>1506</v>
      </c>
      <c r="G4403" s="3" t="s">
        <v>75</v>
      </c>
      <c r="H4403" s="2" t="s">
        <v>22</v>
      </c>
      <c r="I4403" s="2" t="s">
        <v>10192</v>
      </c>
      <c r="J4403" s="3" t="str">
        <f>HYPERLINK("https://www.boe.es/gazeta/dias/1834/05/08/pdfs/GMD-1834-77.pdf#page=4","Abrir facsímil")</f>
        <v>Abrir facsímil</v>
      </c>
      <c r="K4403" s="3" t="s">
        <v>24</v>
      </c>
    </row>
    <row r="4404" spans="1:11" ht="54" customHeight="1">
      <c r="A4404" s="2" t="s">
        <v>10193</v>
      </c>
      <c r="B4404" s="2" t="s">
        <v>10194</v>
      </c>
      <c r="C4404" s="2" t="s">
        <v>90</v>
      </c>
      <c r="D4404" s="2" t="s">
        <v>55</v>
      </c>
      <c r="E4404" s="5" t="s">
        <v>2278</v>
      </c>
      <c r="F4404" s="3" t="s">
        <v>3088</v>
      </c>
      <c r="G4404" s="3" t="s">
        <v>21</v>
      </c>
      <c r="H4404" s="2" t="s">
        <v>22</v>
      </c>
      <c r="I4404" s="2" t="s">
        <v>10195</v>
      </c>
      <c r="J4404" s="3" t="str">
        <f>HYPERLINK("https://www.boe.es/gazeta/dias/1834/12/17/pdfs/GMD-1834-306.pdf#page=3","Abrir facsímil")</f>
        <v>Abrir facsímil</v>
      </c>
      <c r="K4404" s="3" t="s">
        <v>24</v>
      </c>
    </row>
    <row r="4405" spans="1:11" ht="54" customHeight="1">
      <c r="A4405" s="2" t="s">
        <v>10196</v>
      </c>
      <c r="B4405" s="2" t="s">
        <v>10197</v>
      </c>
      <c r="C4405" s="2" t="s">
        <v>90</v>
      </c>
      <c r="D4405" s="2" t="s">
        <v>18</v>
      </c>
      <c r="E4405" s="5" t="s">
        <v>84</v>
      </c>
      <c r="F4405" s="3" t="s">
        <v>85</v>
      </c>
      <c r="G4405" s="3" t="s">
        <v>34</v>
      </c>
      <c r="H4405" s="2" t="s">
        <v>22</v>
      </c>
      <c r="I4405" s="2" t="s">
        <v>10198</v>
      </c>
      <c r="J4405" s="3" t="str">
        <f>HYPERLINK("https://www.boe.es/gazeta/dias/1834/06/07/pdfs/GMD-C-1834-109.pdf#page=1","Abrir facsímil")</f>
        <v>Abrir facsímil</v>
      </c>
      <c r="K4405" s="3" t="s">
        <v>24</v>
      </c>
    </row>
    <row r="4406" spans="1:11" ht="54" customHeight="1">
      <c r="A4406" s="2" t="s">
        <v>10199</v>
      </c>
      <c r="B4406" s="2" t="s">
        <v>10200</v>
      </c>
      <c r="C4406" s="2" t="s">
        <v>90</v>
      </c>
      <c r="D4406" s="2" t="s">
        <v>18</v>
      </c>
      <c r="E4406" s="5" t="s">
        <v>3066</v>
      </c>
      <c r="F4406" s="3" t="s">
        <v>3188</v>
      </c>
      <c r="G4406" s="3" t="s">
        <v>86</v>
      </c>
      <c r="H4406" s="2" t="s">
        <v>22</v>
      </c>
      <c r="I4406" s="2" t="s">
        <v>10201</v>
      </c>
      <c r="J4406" s="3" t="str">
        <f>HYPERLINK("https://www.boe.es/gazeta/dias/1834/08/03/pdfs/I00721-00722.pdf#page=2","Abrir facsímil")</f>
        <v>Abrir facsímil</v>
      </c>
      <c r="K4406" s="3" t="s">
        <v>24</v>
      </c>
    </row>
    <row r="4407" spans="1:11" ht="54" customHeight="1">
      <c r="A4407" s="2" t="s">
        <v>10199</v>
      </c>
      <c r="B4407" s="2" t="s">
        <v>10200</v>
      </c>
      <c r="C4407" s="2" t="s">
        <v>90</v>
      </c>
      <c r="D4407" s="2" t="s">
        <v>18</v>
      </c>
      <c r="E4407" s="5" t="s">
        <v>3066</v>
      </c>
      <c r="F4407" s="3" t="s">
        <v>3188</v>
      </c>
      <c r="G4407" s="3" t="s">
        <v>75</v>
      </c>
      <c r="H4407" s="2" t="s">
        <v>22</v>
      </c>
      <c r="I4407" s="2" t="s">
        <v>10201</v>
      </c>
      <c r="J4407" s="3" t="str">
        <f>HYPERLINK("https://www.boe.es/gazeta/dias/1834/08/03/pdfs/GMD-1834-167.pdf#page=4","Abrir facsímil")</f>
        <v>Abrir facsímil</v>
      </c>
      <c r="K4407" s="3" t="s">
        <v>24</v>
      </c>
    </row>
    <row r="4408" spans="1:11" ht="54" customHeight="1">
      <c r="A4408" s="2" t="s">
        <v>10202</v>
      </c>
      <c r="B4408" s="2" t="s">
        <v>10203</v>
      </c>
      <c r="C4408" s="2" t="s">
        <v>46</v>
      </c>
      <c r="D4408" s="2" t="s">
        <v>18</v>
      </c>
      <c r="E4408" s="5" t="s">
        <v>32</v>
      </c>
      <c r="F4408" s="3" t="s">
        <v>33</v>
      </c>
      <c r="G4408" s="3" t="s">
        <v>86</v>
      </c>
      <c r="H4408" s="2" t="s">
        <v>22</v>
      </c>
      <c r="I4408" s="2" t="s">
        <v>10204</v>
      </c>
      <c r="J4408" s="3" t="str">
        <f>HYPERLINK("https://www.boe.es/gazeta/dias/1834/04/23/pdfs/GMD-1834-62.pdf#page=2","Abrir facsímil")</f>
        <v>Abrir facsímil</v>
      </c>
      <c r="K4408" s="3" t="s">
        <v>24</v>
      </c>
    </row>
    <row r="4409" spans="1:11" ht="54" customHeight="1">
      <c r="A4409" s="2" t="s">
        <v>10205</v>
      </c>
      <c r="B4409" s="2" t="s">
        <v>10206</v>
      </c>
      <c r="C4409" s="2" t="s">
        <v>122</v>
      </c>
      <c r="D4409" s="2" t="s">
        <v>55</v>
      </c>
      <c r="E4409" s="5" t="s">
        <v>360</v>
      </c>
      <c r="F4409" s="3" t="s">
        <v>361</v>
      </c>
      <c r="G4409" s="3" t="s">
        <v>34</v>
      </c>
      <c r="H4409" s="2" t="s">
        <v>22</v>
      </c>
      <c r="I4409" s="2" t="s">
        <v>10207</v>
      </c>
      <c r="J4409" s="3" t="str">
        <f>HYPERLINK("https://www.boe.es/gazeta/dias/1834/04/07/pdfs/GMD-1834-46.pdf#page=1","Abrir facsímil")</f>
        <v>Abrir facsímil</v>
      </c>
      <c r="K4409" s="3" t="s">
        <v>24</v>
      </c>
    </row>
    <row r="4410" spans="1:11" ht="54" customHeight="1">
      <c r="A4410" s="2" t="s">
        <v>10208</v>
      </c>
      <c r="B4410" s="2" t="s">
        <v>10209</v>
      </c>
      <c r="C4410" s="2" t="s">
        <v>17</v>
      </c>
      <c r="D4410" s="2" t="s">
        <v>18</v>
      </c>
      <c r="E4410" s="5" t="s">
        <v>976</v>
      </c>
      <c r="F4410" s="3" t="s">
        <v>1061</v>
      </c>
      <c r="G4410" s="3" t="s">
        <v>34</v>
      </c>
      <c r="H4410" s="2" t="s">
        <v>22</v>
      </c>
      <c r="I4410" s="2" t="s">
        <v>10210</v>
      </c>
      <c r="J4410" s="3" t="str">
        <f>HYPERLINK("https://www.boe.es/gazeta/dias/1834/04/02/pdfs/GMD-C-1834-41.pdf#page=1","Abrir facsímil")</f>
        <v>Abrir facsímil</v>
      </c>
      <c r="K4410" s="3" t="s">
        <v>24</v>
      </c>
    </row>
    <row r="4411" spans="1:11" ht="54" customHeight="1">
      <c r="A4411" s="2" t="s">
        <v>10211</v>
      </c>
      <c r="B4411" s="2" t="s">
        <v>10212</v>
      </c>
      <c r="C4411" s="2" t="s">
        <v>17</v>
      </c>
      <c r="D4411" s="2" t="s">
        <v>18</v>
      </c>
      <c r="E4411" s="5" t="s">
        <v>1333</v>
      </c>
      <c r="F4411" s="3" t="s">
        <v>1334</v>
      </c>
      <c r="G4411" s="3" t="s">
        <v>34</v>
      </c>
      <c r="H4411" s="2" t="s">
        <v>22</v>
      </c>
      <c r="I4411" s="2" t="s">
        <v>10213</v>
      </c>
      <c r="J4411" s="3" t="str">
        <f>HYPERLINK("https://www.boe.es/gazeta/dias/1834/04/01/pdfs/GMD-1834-40.pdf#page=1","Abrir facsímil")</f>
        <v>Abrir facsímil</v>
      </c>
      <c r="K4411" s="3" t="s">
        <v>24</v>
      </c>
    </row>
    <row r="4412" spans="1:11" ht="54" customHeight="1">
      <c r="A4412" s="2" t="s">
        <v>10214</v>
      </c>
      <c r="B4412" s="2" t="s">
        <v>10215</v>
      </c>
      <c r="C4412" s="2" t="s">
        <v>17</v>
      </c>
      <c r="D4412" s="2" t="s">
        <v>18</v>
      </c>
      <c r="E4412" s="5" t="s">
        <v>2124</v>
      </c>
      <c r="F4412" s="3" t="s">
        <v>2125</v>
      </c>
      <c r="G4412" s="3" t="s">
        <v>21</v>
      </c>
      <c r="H4412" s="2" t="s">
        <v>35</v>
      </c>
      <c r="I4412" s="2" t="s">
        <v>10216</v>
      </c>
      <c r="J4412" s="3" t="str">
        <f>HYPERLINK("https://www.boe.es/gazeta/dias/1834/06/09/pdfs/GMD-1834-112.pdf#page=3","Abrir facsímil")</f>
        <v>Abrir facsímil</v>
      </c>
      <c r="K4412" s="3" t="s">
        <v>37</v>
      </c>
    </row>
    <row r="4413" spans="1:11" ht="54" customHeight="1">
      <c r="A4413" s="2" t="s">
        <v>10217</v>
      </c>
      <c r="B4413" s="2" t="s">
        <v>10218</v>
      </c>
      <c r="C4413" s="2" t="s">
        <v>46</v>
      </c>
      <c r="D4413" s="2" t="s">
        <v>18</v>
      </c>
      <c r="E4413" s="5" t="s">
        <v>258</v>
      </c>
      <c r="F4413" s="3" t="s">
        <v>259</v>
      </c>
      <c r="G4413" s="3" t="s">
        <v>75</v>
      </c>
      <c r="H4413" s="2" t="s">
        <v>22</v>
      </c>
      <c r="I4413" s="2" t="s">
        <v>10219</v>
      </c>
      <c r="J4413" s="3" t="str">
        <f>HYPERLINK("https://www.boe.es/gazeta/dias/1834/10/09/pdfs/GMD-C-1834-237.pdf#page=4","Abrir facsímil")</f>
        <v>Abrir facsímil</v>
      </c>
      <c r="K4413" s="3" t="s">
        <v>24</v>
      </c>
    </row>
    <row r="4414" spans="1:11" ht="54" customHeight="1">
      <c r="A4414" s="2" t="s">
        <v>10220</v>
      </c>
      <c r="B4414" s="2" t="s">
        <v>10221</v>
      </c>
      <c r="C4414" s="2" t="s">
        <v>17</v>
      </c>
      <c r="D4414" s="2" t="s">
        <v>55</v>
      </c>
      <c r="E4414" s="5" t="s">
        <v>1789</v>
      </c>
      <c r="F4414" s="3" t="s">
        <v>1790</v>
      </c>
      <c r="G4414" s="3" t="s">
        <v>21</v>
      </c>
      <c r="H4414" s="2" t="s">
        <v>22</v>
      </c>
      <c r="I4414" s="2" t="s">
        <v>10222</v>
      </c>
      <c r="J4414" s="3" t="str">
        <f>HYPERLINK("https://www.boe.es/gazeta/dias/1834/05/31/pdfs/GMD-1834-100.pdf#page=3","Abrir facsímil")</f>
        <v>Abrir facsímil</v>
      </c>
      <c r="K4414" s="3" t="s">
        <v>24</v>
      </c>
    </row>
    <row r="4415" spans="1:11" ht="54" customHeight="1">
      <c r="A4415" s="2" t="s">
        <v>10223</v>
      </c>
      <c r="B4415" s="2" t="s">
        <v>10224</v>
      </c>
      <c r="C4415" s="2" t="s">
        <v>17</v>
      </c>
      <c r="D4415" s="2" t="s">
        <v>55</v>
      </c>
      <c r="E4415" s="5" t="s">
        <v>133</v>
      </c>
      <c r="F4415" s="3" t="s">
        <v>134</v>
      </c>
      <c r="G4415" s="3" t="s">
        <v>86</v>
      </c>
      <c r="H4415" s="2" t="s">
        <v>22</v>
      </c>
      <c r="I4415" s="2" t="s">
        <v>10225</v>
      </c>
      <c r="J4415" s="3" t="str">
        <f>HYPERLINK("https://www.boe.es/gazeta/dias/1834/06/18/pdfs/GMD-1834-121.pdf#page=2","Abrir facsímil")</f>
        <v>Abrir facsímil</v>
      </c>
      <c r="K4415" s="3" t="s">
        <v>24</v>
      </c>
    </row>
    <row r="4416" spans="1:11" ht="54" customHeight="1">
      <c r="A4416" s="2" t="s">
        <v>10226</v>
      </c>
      <c r="B4416" s="2" t="s">
        <v>10227</v>
      </c>
      <c r="C4416" s="2" t="s">
        <v>17</v>
      </c>
      <c r="D4416" s="2" t="s">
        <v>101</v>
      </c>
      <c r="E4416" s="5" t="s">
        <v>1789</v>
      </c>
      <c r="F4416" s="3" t="s">
        <v>1790</v>
      </c>
      <c r="G4416" s="3" t="s">
        <v>34</v>
      </c>
      <c r="H4416" s="2" t="s">
        <v>22</v>
      </c>
      <c r="I4416" s="2" t="s">
        <v>10228</v>
      </c>
      <c r="J4416" s="3" t="str">
        <f>HYPERLINK("https://www.boe.es/gazeta/dias/1834/05/31/pdfs/GMD-1834-100.pdf#page=1","Abrir facsímil")</f>
        <v>Abrir facsímil</v>
      </c>
      <c r="K4416" s="3" t="s">
        <v>24</v>
      </c>
    </row>
    <row r="4417" spans="1:11" ht="54" customHeight="1">
      <c r="A4417" s="2" t="s">
        <v>10229</v>
      </c>
      <c r="B4417" s="2" t="s">
        <v>10230</v>
      </c>
      <c r="C4417" s="2" t="s">
        <v>17</v>
      </c>
      <c r="D4417" s="2" t="s">
        <v>55</v>
      </c>
      <c r="E4417" s="5" t="s">
        <v>1002</v>
      </c>
      <c r="F4417" s="3" t="s">
        <v>1003</v>
      </c>
      <c r="G4417" s="3" t="s">
        <v>21</v>
      </c>
      <c r="H4417" s="2" t="s">
        <v>22</v>
      </c>
      <c r="I4417" s="2" t="s">
        <v>10231</v>
      </c>
      <c r="J4417" s="3" t="str">
        <f>HYPERLINK("https://www.boe.es/gazeta/dias/1834/06/26/pdfs/GMD-1834-129.pdf#page=3","Abrir facsímil")</f>
        <v>Abrir facsímil</v>
      </c>
      <c r="K4417" s="3" t="s">
        <v>24</v>
      </c>
    </row>
    <row r="4418" spans="1:11" ht="54" customHeight="1">
      <c r="A4418" s="2" t="s">
        <v>10232</v>
      </c>
      <c r="B4418" s="2" t="s">
        <v>10233</v>
      </c>
      <c r="C4418" s="2" t="s">
        <v>46</v>
      </c>
      <c r="D4418" s="2" t="s">
        <v>101</v>
      </c>
      <c r="E4418" s="5" t="s">
        <v>2950</v>
      </c>
      <c r="F4418" s="3" t="s">
        <v>2951</v>
      </c>
      <c r="G4418" s="3" t="s">
        <v>34</v>
      </c>
      <c r="H4418" s="2" t="s">
        <v>22</v>
      </c>
      <c r="I4418" s="2" t="s">
        <v>10234</v>
      </c>
      <c r="J4418" s="3" t="str">
        <f>HYPERLINK("https://www.boe.es/gazeta/dias/1834/05/20/pdfs/GMD-1834-89.pdf#page=1","Abrir facsímil")</f>
        <v>Abrir facsímil</v>
      </c>
      <c r="K4418" s="3" t="s">
        <v>24</v>
      </c>
    </row>
    <row r="4419" spans="1:11" ht="54" customHeight="1">
      <c r="A4419" s="2" t="s">
        <v>10235</v>
      </c>
      <c r="B4419" s="2" t="s">
        <v>10236</v>
      </c>
      <c r="C4419" s="2" t="s">
        <v>17</v>
      </c>
      <c r="D4419" s="2" t="s">
        <v>18</v>
      </c>
      <c r="E4419" s="5" t="s">
        <v>2124</v>
      </c>
      <c r="F4419" s="3" t="s">
        <v>2125</v>
      </c>
      <c r="G4419" s="3" t="s">
        <v>21</v>
      </c>
      <c r="H4419" s="2" t="s">
        <v>22</v>
      </c>
      <c r="I4419" s="2" t="s">
        <v>10237</v>
      </c>
      <c r="J4419" s="3" t="str">
        <f>HYPERLINK("https://www.boe.es/gazeta/dias/1834/06/09/pdfs/GMD-1834-112.pdf#page=3","Abrir facsímil")</f>
        <v>Abrir facsímil</v>
      </c>
      <c r="K4419" s="3" t="s">
        <v>24</v>
      </c>
    </row>
    <row r="4420" spans="1:11" ht="54" customHeight="1">
      <c r="A4420" s="2" t="s">
        <v>10238</v>
      </c>
      <c r="B4420" s="2" t="s">
        <v>10239</v>
      </c>
      <c r="C4420" s="2" t="s">
        <v>17</v>
      </c>
      <c r="D4420" s="2" t="s">
        <v>18</v>
      </c>
      <c r="E4420" s="5" t="s">
        <v>153</v>
      </c>
      <c r="F4420" s="3" t="s">
        <v>1294</v>
      </c>
      <c r="G4420" s="3" t="s">
        <v>75</v>
      </c>
      <c r="H4420" s="2" t="s">
        <v>22</v>
      </c>
      <c r="I4420" s="2" t="s">
        <v>10240</v>
      </c>
      <c r="J4420" s="3" t="str">
        <f>HYPERLINK("https://www.boe.es/gazeta/dias/1834/12/30/pdfs/GMD-1834-320.pdf#page=4","Abrir facsímil")</f>
        <v>Abrir facsímil</v>
      </c>
      <c r="K4420" s="3" t="s">
        <v>24</v>
      </c>
    </row>
    <row r="4421" spans="1:11" ht="54" customHeight="1">
      <c r="A4421" s="2" t="s">
        <v>10241</v>
      </c>
      <c r="B4421" s="2" t="s">
        <v>10242</v>
      </c>
      <c r="C4421" s="2" t="s">
        <v>17</v>
      </c>
      <c r="D4421" s="2" t="s">
        <v>55</v>
      </c>
      <c r="E4421" s="5" t="s">
        <v>1981</v>
      </c>
      <c r="F4421" s="3" t="s">
        <v>1982</v>
      </c>
      <c r="G4421" s="3" t="s">
        <v>86</v>
      </c>
      <c r="H4421" s="2" t="s">
        <v>22</v>
      </c>
      <c r="I4421" s="2" t="s">
        <v>10243</v>
      </c>
      <c r="J4421" s="3" t="str">
        <f>HYPERLINK("https://www.boe.es/gazeta/dias/1834/12/13/pdfs/GMD-1834-302.pdf#page=2","Abrir facsímil")</f>
        <v>Abrir facsímil</v>
      </c>
      <c r="K4421" s="3" t="s">
        <v>24</v>
      </c>
    </row>
    <row r="4422" spans="1:11" ht="54" customHeight="1">
      <c r="A4422" s="2" t="s">
        <v>10244</v>
      </c>
      <c r="B4422" s="2" t="s">
        <v>10245</v>
      </c>
      <c r="C4422" s="2" t="s">
        <v>17</v>
      </c>
      <c r="D4422" s="2" t="s">
        <v>18</v>
      </c>
      <c r="E4422" s="5" t="s">
        <v>1850</v>
      </c>
      <c r="F4422" s="3" t="s">
        <v>1851</v>
      </c>
      <c r="G4422" s="3" t="s">
        <v>560</v>
      </c>
      <c r="H4422" s="2" t="s">
        <v>22</v>
      </c>
      <c r="I4422" s="2" t="s">
        <v>10246</v>
      </c>
      <c r="J4422" s="3" t="str">
        <f>HYPERLINK("https://www.boe.es/gazeta/dias/1834/02/18/pdfs/GMD-1834-22.pdf#page=7","Abrir facsímil")</f>
        <v>Abrir facsímil</v>
      </c>
      <c r="K4422" s="3" t="s">
        <v>24</v>
      </c>
    </row>
    <row r="4423" spans="1:11" ht="54" customHeight="1">
      <c r="A4423" s="2" t="s">
        <v>10247</v>
      </c>
      <c r="B4423" s="2" t="s">
        <v>10248</v>
      </c>
      <c r="C4423" s="2" t="s">
        <v>46</v>
      </c>
      <c r="D4423" s="2" t="s">
        <v>101</v>
      </c>
      <c r="E4423" s="5" t="s">
        <v>468</v>
      </c>
      <c r="F4423" s="3" t="s">
        <v>469</v>
      </c>
      <c r="G4423" s="3" t="s">
        <v>34</v>
      </c>
      <c r="H4423" s="2" t="s">
        <v>35</v>
      </c>
      <c r="I4423" s="2" t="s">
        <v>10249</v>
      </c>
      <c r="J4423" s="3" t="str">
        <f>HYPERLINK("https://www.boe.es/gazeta/dias/1834/12/28/pdfs/GMD-C-1834-318.pdf#page=1","Abrir facsímil")</f>
        <v>Abrir facsímil</v>
      </c>
      <c r="K4423" s="3" t="s">
        <v>37</v>
      </c>
    </row>
    <row r="4424" spans="1:11" ht="54" customHeight="1">
      <c r="A4424" s="2" t="s">
        <v>10250</v>
      </c>
      <c r="B4424" s="2" t="s">
        <v>10251</v>
      </c>
      <c r="C4424" s="2" t="s">
        <v>46</v>
      </c>
      <c r="D4424" s="2" t="s">
        <v>101</v>
      </c>
      <c r="E4424" s="5" t="s">
        <v>541</v>
      </c>
      <c r="F4424" s="3" t="s">
        <v>542</v>
      </c>
      <c r="G4424" s="3" t="s">
        <v>34</v>
      </c>
      <c r="H4424" s="2" t="s">
        <v>22</v>
      </c>
      <c r="I4424" s="2" t="s">
        <v>10252</v>
      </c>
      <c r="J4424" s="3" t="str">
        <f>HYPERLINK("https://www.boe.es/gazeta/dias/1834/04/18/pdfs/GMD-1834-57.pdf#page=1","Abrir facsímil")</f>
        <v>Abrir facsímil</v>
      </c>
      <c r="K4424" s="3" t="s">
        <v>24</v>
      </c>
    </row>
    <row r="4425" spans="1:11" ht="54" customHeight="1">
      <c r="A4425" s="2" t="s">
        <v>10253</v>
      </c>
      <c r="B4425" s="2" t="s">
        <v>10254</v>
      </c>
      <c r="C4425" s="2" t="s">
        <v>17</v>
      </c>
      <c r="D4425" s="2" t="s">
        <v>18</v>
      </c>
      <c r="E4425" s="5" t="s">
        <v>1394</v>
      </c>
      <c r="F4425" s="3" t="s">
        <v>2923</v>
      </c>
      <c r="G4425" s="3" t="s">
        <v>34</v>
      </c>
      <c r="H4425" s="2" t="s">
        <v>22</v>
      </c>
      <c r="I4425" s="2" t="s">
        <v>10255</v>
      </c>
      <c r="J4425" s="3" t="str">
        <f>HYPERLINK("https://www.boe.es/gazeta/dias/1834/04/16/pdfs/GMD-C-1834-55.pdf#page=1","Abrir facsímil")</f>
        <v>Abrir facsímil</v>
      </c>
      <c r="K4425" s="3" t="s">
        <v>24</v>
      </c>
    </row>
    <row r="4426" spans="1:11" ht="54" customHeight="1">
      <c r="A4426" s="2" t="s">
        <v>10256</v>
      </c>
      <c r="B4426" s="2" t="s">
        <v>10257</v>
      </c>
      <c r="C4426" s="2" t="s">
        <v>17</v>
      </c>
      <c r="D4426" s="2" t="s">
        <v>18</v>
      </c>
      <c r="E4426" s="5" t="s">
        <v>1955</v>
      </c>
      <c r="F4426" s="3" t="s">
        <v>1956</v>
      </c>
      <c r="G4426" s="3" t="s">
        <v>75</v>
      </c>
      <c r="H4426" s="2" t="s">
        <v>22</v>
      </c>
      <c r="I4426" s="2" t="s">
        <v>10258</v>
      </c>
      <c r="J4426" s="3" t="str">
        <f>HYPERLINK("https://www.boe.es/gazeta/dias/1834/05/04/pdfs/GMD-1834-73.pdf#page=4","Abrir facsímil")</f>
        <v>Abrir facsímil</v>
      </c>
      <c r="K4426" s="3" t="s">
        <v>24</v>
      </c>
    </row>
    <row r="4427" spans="1:11" ht="54" customHeight="1">
      <c r="A4427" s="2" t="s">
        <v>10259</v>
      </c>
      <c r="B4427" s="2" t="s">
        <v>10260</v>
      </c>
      <c r="C4427" s="2" t="s">
        <v>17</v>
      </c>
      <c r="D4427" s="2" t="s">
        <v>18</v>
      </c>
      <c r="E4427" s="5" t="s">
        <v>153</v>
      </c>
      <c r="F4427" s="3" t="s">
        <v>1294</v>
      </c>
      <c r="G4427" s="3" t="s">
        <v>75</v>
      </c>
      <c r="H4427" s="2" t="s">
        <v>22</v>
      </c>
      <c r="I4427" s="2" t="s">
        <v>10261</v>
      </c>
      <c r="J4427" s="3" t="str">
        <f>HYPERLINK("https://www.boe.es/gazeta/dias/1834/12/30/pdfs/GMD-1834-320.pdf#page=4","Abrir facsímil")</f>
        <v>Abrir facsímil</v>
      </c>
      <c r="K4427" s="3" t="s">
        <v>24</v>
      </c>
    </row>
    <row r="4428" spans="1:11" ht="54" customHeight="1">
      <c r="A4428" s="2" t="s">
        <v>10262</v>
      </c>
      <c r="B4428" s="2" t="s">
        <v>10263</v>
      </c>
      <c r="C4428" s="2" t="s">
        <v>66</v>
      </c>
      <c r="D4428" s="2" t="s">
        <v>67</v>
      </c>
      <c r="E4428" s="5" t="s">
        <v>860</v>
      </c>
      <c r="F4428" s="3" t="s">
        <v>1755</v>
      </c>
      <c r="G4428" s="3" t="s">
        <v>34</v>
      </c>
      <c r="H4428" s="2" t="s">
        <v>22</v>
      </c>
      <c r="I4428" s="2" t="s">
        <v>10264</v>
      </c>
      <c r="J4428" s="3" t="str">
        <f>HYPERLINK("https://www.boe.es/gazeta/dias/1834/02/08/pdfs/GMD-C-1834-18.pdf#page=1","Abrir facsímil")</f>
        <v>Abrir facsímil</v>
      </c>
      <c r="K4428" s="3" t="s">
        <v>24</v>
      </c>
    </row>
    <row r="4429" spans="1:11" ht="54" customHeight="1">
      <c r="A4429" s="2" t="s">
        <v>10265</v>
      </c>
      <c r="B4429" s="2" t="s">
        <v>10266</v>
      </c>
      <c r="C4429" s="2" t="s">
        <v>66</v>
      </c>
      <c r="D4429" s="2" t="s">
        <v>67</v>
      </c>
      <c r="E4429" s="5" t="s">
        <v>3699</v>
      </c>
      <c r="F4429" s="3" t="s">
        <v>3700</v>
      </c>
      <c r="G4429" s="3" t="s">
        <v>86</v>
      </c>
      <c r="H4429" s="2" t="s">
        <v>22</v>
      </c>
      <c r="I4429" s="2" t="s">
        <v>10267</v>
      </c>
      <c r="J4429" s="3" t="str">
        <f>HYPERLINK("https://www.boe.es/gazeta/dias/1834/02/06/pdfs/GMD-1834-17.pdf#page=2","Abrir facsímil")</f>
        <v>Abrir facsímil</v>
      </c>
      <c r="K4429" s="3" t="s">
        <v>24</v>
      </c>
    </row>
    <row r="4430" spans="1:11" ht="54" customHeight="1">
      <c r="A4430" s="2" t="s">
        <v>10268</v>
      </c>
      <c r="B4430" s="2" t="s">
        <v>10269</v>
      </c>
      <c r="C4430" s="2" t="s">
        <v>17</v>
      </c>
      <c r="D4430" s="2" t="s">
        <v>18</v>
      </c>
      <c r="E4430" s="5" t="s">
        <v>541</v>
      </c>
      <c r="F4430" s="3" t="s">
        <v>542</v>
      </c>
      <c r="G4430" s="3" t="s">
        <v>86</v>
      </c>
      <c r="H4430" s="2" t="s">
        <v>22</v>
      </c>
      <c r="I4430" s="2" t="s">
        <v>10270</v>
      </c>
      <c r="J4430" s="3" t="str">
        <f>HYPERLINK("https://www.boe.es/gazeta/dias/1834/04/18/pdfs/GMD-1834-57.pdf#page=2","Abrir facsímil")</f>
        <v>Abrir facsímil</v>
      </c>
      <c r="K4430" s="3" t="s">
        <v>24</v>
      </c>
    </row>
    <row r="4431" spans="1:11" ht="54" customHeight="1">
      <c r="A4431" s="2" t="s">
        <v>10271</v>
      </c>
      <c r="B4431" s="2" t="s">
        <v>10272</v>
      </c>
      <c r="C4431" s="2" t="s">
        <v>90</v>
      </c>
      <c r="D4431" s="2" t="s">
        <v>40</v>
      </c>
      <c r="E4431" s="5" t="s">
        <v>1186</v>
      </c>
      <c r="F4431" s="3" t="s">
        <v>1187</v>
      </c>
      <c r="G4431" s="3" t="s">
        <v>21</v>
      </c>
      <c r="H4431" s="2" t="s">
        <v>22</v>
      </c>
      <c r="I4431" s="2" t="s">
        <v>10273</v>
      </c>
      <c r="J4431" s="3" t="str">
        <f>HYPERLINK("https://www.boe.es/gazeta/dias/1834/08/14/pdfs/GMD-1834-179.pdf#page=3","Abrir facsímil")</f>
        <v>Abrir facsímil</v>
      </c>
      <c r="K4431" s="3" t="s">
        <v>24</v>
      </c>
    </row>
    <row r="4432" spans="1:11" ht="54" customHeight="1">
      <c r="A4432" s="2" t="s">
        <v>10274</v>
      </c>
      <c r="B4432" s="2" t="s">
        <v>10275</v>
      </c>
      <c r="C4432" s="2" t="s">
        <v>17</v>
      </c>
      <c r="D4432" s="2" t="s">
        <v>18</v>
      </c>
      <c r="E4432" s="5" t="s">
        <v>1459</v>
      </c>
      <c r="F4432" s="3" t="s">
        <v>1460</v>
      </c>
      <c r="G4432" s="3" t="s">
        <v>86</v>
      </c>
      <c r="H4432" s="2" t="s">
        <v>35</v>
      </c>
      <c r="I4432" s="2" t="s">
        <v>10276</v>
      </c>
      <c r="J4432" s="3" t="str">
        <f>HYPERLINK("https://www.boe.es/gazeta/dias/1834/08/18/pdfs/GMD-1834-184.pdf#page=2","Abrir facsímil")</f>
        <v>Abrir facsímil</v>
      </c>
      <c r="K4432" s="3" t="s">
        <v>37</v>
      </c>
    </row>
    <row r="4433" spans="1:11" ht="54" customHeight="1">
      <c r="A4433" s="2" t="s">
        <v>10277</v>
      </c>
      <c r="B4433" s="2" t="s">
        <v>10278</v>
      </c>
      <c r="C4433" s="2" t="s">
        <v>46</v>
      </c>
      <c r="D4433" s="2" t="s">
        <v>18</v>
      </c>
      <c r="E4433" s="5" t="s">
        <v>1284</v>
      </c>
      <c r="F4433" s="3" t="s">
        <v>1285</v>
      </c>
      <c r="G4433" s="3" t="s">
        <v>86</v>
      </c>
      <c r="H4433" s="2" t="s">
        <v>35</v>
      </c>
      <c r="I4433" s="2" t="s">
        <v>10279</v>
      </c>
      <c r="J4433" s="3" t="str">
        <f>HYPERLINK("https://www.boe.es/gazeta/dias/1834/11/28/pdfs/GMD-1834-287.pdf#page=2","Abrir facsímil")</f>
        <v>Abrir facsímil</v>
      </c>
      <c r="K4433" s="3" t="s">
        <v>37</v>
      </c>
    </row>
    <row r="4434" spans="1:11" ht="54" customHeight="1">
      <c r="A4434" s="2" t="s">
        <v>10280</v>
      </c>
      <c r="B4434" s="2" t="s">
        <v>10281</v>
      </c>
      <c r="C4434" s="2" t="s">
        <v>17</v>
      </c>
      <c r="D4434" s="2" t="s">
        <v>18</v>
      </c>
      <c r="E4434" s="5" t="s">
        <v>860</v>
      </c>
      <c r="F4434" s="3" t="s">
        <v>861</v>
      </c>
      <c r="G4434" s="3" t="s">
        <v>28</v>
      </c>
      <c r="H4434" s="2" t="s">
        <v>22</v>
      </c>
      <c r="I4434" s="2" t="s">
        <v>10282</v>
      </c>
      <c r="J4434" s="3" t="str">
        <f>HYPERLINK("https://www.boe.es/gazeta/dias/1834/02/08/pdfs/GMD-1834-18.pdf#page=5","Abrir facsímil")</f>
        <v>Abrir facsímil</v>
      </c>
      <c r="K4434" s="3" t="s">
        <v>24</v>
      </c>
    </row>
    <row r="4435" spans="1:11" ht="54" customHeight="1">
      <c r="A4435" s="2" t="s">
        <v>10283</v>
      </c>
      <c r="B4435" s="2" t="s">
        <v>10284</v>
      </c>
      <c r="C4435" s="2" t="s">
        <v>66</v>
      </c>
      <c r="D4435" s="2" t="s">
        <v>67</v>
      </c>
      <c r="E4435" s="5" t="s">
        <v>803</v>
      </c>
      <c r="F4435" s="3" t="s">
        <v>804</v>
      </c>
      <c r="G4435" s="3" t="s">
        <v>75</v>
      </c>
      <c r="H4435" s="2" t="s">
        <v>22</v>
      </c>
      <c r="I4435" s="2" t="s">
        <v>10285</v>
      </c>
      <c r="J4435" s="3" t="str">
        <f>HYPERLINK("https://www.boe.es/gazeta/dias/1834/03/29/pdfs/GMD-1834-39.pdf#page=4","Abrir facsímil")</f>
        <v>Abrir facsímil</v>
      </c>
      <c r="K4435" s="3" t="s">
        <v>24</v>
      </c>
    </row>
    <row r="4436" spans="1:11" ht="54" customHeight="1">
      <c r="A4436" s="2" t="s">
        <v>10286</v>
      </c>
      <c r="B4436" s="2" t="s">
        <v>10287</v>
      </c>
      <c r="C4436" s="2" t="s">
        <v>90</v>
      </c>
      <c r="D4436" s="2" t="s">
        <v>18</v>
      </c>
      <c r="E4436" s="5" t="s">
        <v>26</v>
      </c>
      <c r="F4436" s="3" t="s">
        <v>27</v>
      </c>
      <c r="G4436" s="3" t="s">
        <v>34</v>
      </c>
      <c r="H4436" s="2" t="s">
        <v>22</v>
      </c>
      <c r="I4436" s="2" t="s">
        <v>10288</v>
      </c>
      <c r="J4436" s="3" t="str">
        <f>HYPERLINK("https://www.boe.es/gazeta/dias/1834/10/19/pdfs/GMD-C-1834-247.pdf#page=1","Abrir facsímil")</f>
        <v>Abrir facsímil</v>
      </c>
      <c r="K4436" s="3" t="s">
        <v>24</v>
      </c>
    </row>
    <row r="4437" spans="1:11" ht="54" customHeight="1">
      <c r="A4437" s="2" t="s">
        <v>10289</v>
      </c>
      <c r="B4437" s="2" t="s">
        <v>10290</v>
      </c>
      <c r="C4437" s="2" t="s">
        <v>66</v>
      </c>
      <c r="D4437" s="2" t="s">
        <v>67</v>
      </c>
      <c r="E4437" s="5" t="s">
        <v>2203</v>
      </c>
      <c r="F4437" s="3" t="s">
        <v>2204</v>
      </c>
      <c r="G4437" s="3" t="s">
        <v>34</v>
      </c>
      <c r="H4437" s="2" t="s">
        <v>22</v>
      </c>
      <c r="I4437" s="2" t="s">
        <v>10291</v>
      </c>
      <c r="J4437" s="3" t="str">
        <f>HYPERLINK("https://www.boe.es/gazeta/dias/1834/09/10/pdfs/GMD-C-1834-208.pdf#page=1","Abrir facsímil")</f>
        <v>Abrir facsímil</v>
      </c>
      <c r="K4437" s="3" t="s">
        <v>24</v>
      </c>
    </row>
    <row r="4438" spans="1:11" ht="54" customHeight="1">
      <c r="A4438" s="2" t="s">
        <v>10289</v>
      </c>
      <c r="B4438" s="2" t="s">
        <v>10290</v>
      </c>
      <c r="C4438" s="2" t="s">
        <v>17</v>
      </c>
      <c r="D4438" s="2" t="s">
        <v>18</v>
      </c>
      <c r="E4438" s="5" t="s">
        <v>299</v>
      </c>
      <c r="F4438" s="3" t="s">
        <v>2255</v>
      </c>
      <c r="G4438" s="3" t="s">
        <v>470</v>
      </c>
      <c r="H4438" s="2" t="s">
        <v>22</v>
      </c>
      <c r="I4438" s="2" t="s">
        <v>10292</v>
      </c>
      <c r="J4438" s="3" t="str">
        <f>HYPERLINK("https://www.boe.es/gazeta/dias/1834/12/12/pdfs/GMD-C-1834-301.pdf#page=8","Abrir facsímil")</f>
        <v>Abrir facsímil</v>
      </c>
      <c r="K4438" s="3" t="s">
        <v>24</v>
      </c>
    </row>
    <row r="4439" spans="1:11" ht="54" customHeight="1">
      <c r="A4439" s="2" t="s">
        <v>10289</v>
      </c>
      <c r="B4439" s="2" t="s">
        <v>10290</v>
      </c>
      <c r="C4439" s="2" t="s">
        <v>90</v>
      </c>
      <c r="D4439" s="2" t="s">
        <v>101</v>
      </c>
      <c r="E4439" s="5" t="s">
        <v>615</v>
      </c>
      <c r="F4439" s="3" t="s">
        <v>1205</v>
      </c>
      <c r="G4439" s="3" t="s">
        <v>34</v>
      </c>
      <c r="H4439" s="2" t="s">
        <v>22</v>
      </c>
      <c r="I4439" s="2" t="s">
        <v>10293</v>
      </c>
      <c r="J4439" s="3" t="str">
        <f>HYPERLINK("https://www.boe.es/gazeta/dias/1834/08/19/pdfs/GMD-D-1834-185.pdf#page=1","Abrir facsímil")</f>
        <v>Abrir facsímil</v>
      </c>
      <c r="K4439" s="3" t="s">
        <v>24</v>
      </c>
    </row>
    <row r="4440" spans="1:11" ht="54" customHeight="1">
      <c r="A4440" s="2" t="s">
        <v>10289</v>
      </c>
      <c r="B4440" s="2" t="s">
        <v>10290</v>
      </c>
      <c r="C4440" s="2" t="s">
        <v>17</v>
      </c>
      <c r="D4440" s="2" t="s">
        <v>18</v>
      </c>
      <c r="E4440" s="5" t="s">
        <v>667</v>
      </c>
      <c r="F4440" s="3" t="s">
        <v>668</v>
      </c>
      <c r="G4440" s="3" t="s">
        <v>28</v>
      </c>
      <c r="H4440" s="2" t="s">
        <v>22</v>
      </c>
      <c r="I4440" s="2" t="s">
        <v>10294</v>
      </c>
      <c r="J4440" s="3" t="str">
        <f>HYPERLINK("https://www.boe.es/gazeta/dias/1834/11/23/pdfs/GMD-C-1834-282.pdf#page=5","Abrir facsímil")</f>
        <v>Abrir facsímil</v>
      </c>
      <c r="K4440" s="3" t="s">
        <v>24</v>
      </c>
    </row>
    <row r="4441" spans="1:11" ht="54" customHeight="1">
      <c r="A4441" s="2" t="s">
        <v>10289</v>
      </c>
      <c r="B4441" s="2" t="s">
        <v>10290</v>
      </c>
      <c r="C4441" s="2" t="s">
        <v>66</v>
      </c>
      <c r="D4441" s="2" t="s">
        <v>67</v>
      </c>
      <c r="E4441" s="5" t="s">
        <v>403</v>
      </c>
      <c r="F4441" s="3" t="s">
        <v>404</v>
      </c>
      <c r="G4441" s="3" t="s">
        <v>21</v>
      </c>
      <c r="H4441" s="2" t="s">
        <v>22</v>
      </c>
      <c r="I4441" s="2" t="s">
        <v>10295</v>
      </c>
      <c r="J4441" s="3" t="str">
        <f>HYPERLINK("https://www.boe.es/gazeta/dias/1834/09/25/pdfs/GMD-C-1834-223.pdf#page=3","Abrir facsímil")</f>
        <v>Abrir facsímil</v>
      </c>
      <c r="K4441" s="3" t="s">
        <v>24</v>
      </c>
    </row>
    <row r="4442" spans="1:11" ht="54" customHeight="1">
      <c r="A4442" s="2" t="s">
        <v>10296</v>
      </c>
      <c r="B4442" s="2" t="s">
        <v>10297</v>
      </c>
      <c r="C4442" s="2" t="s">
        <v>66</v>
      </c>
      <c r="D4442" s="2" t="s">
        <v>67</v>
      </c>
      <c r="E4442" s="5" t="s">
        <v>2241</v>
      </c>
      <c r="F4442" s="3" t="s">
        <v>2242</v>
      </c>
      <c r="G4442" s="3" t="s">
        <v>21</v>
      </c>
      <c r="H4442" s="2" t="s">
        <v>22</v>
      </c>
      <c r="I4442" s="2" t="s">
        <v>10298</v>
      </c>
      <c r="J4442" s="3" t="str">
        <f>HYPERLINK("https://www.boe.es/gazeta/dias/1834/03/11/pdfs/GMD-1834-31.pdf#page=3","Abrir facsímil")</f>
        <v>Abrir facsímil</v>
      </c>
      <c r="K4442" s="3" t="s">
        <v>24</v>
      </c>
    </row>
    <row r="4443" spans="1:11" ht="54" customHeight="1">
      <c r="A4443" s="2" t="s">
        <v>10299</v>
      </c>
      <c r="B4443" s="2" t="s">
        <v>10300</v>
      </c>
      <c r="C4443" s="2" t="s">
        <v>17</v>
      </c>
      <c r="D4443" s="2" t="s">
        <v>18</v>
      </c>
      <c r="E4443" s="5" t="s">
        <v>378</v>
      </c>
      <c r="F4443" s="3" t="s">
        <v>379</v>
      </c>
      <c r="G4443" s="3" t="s">
        <v>75</v>
      </c>
      <c r="H4443" s="2" t="s">
        <v>22</v>
      </c>
      <c r="I4443" s="2" t="s">
        <v>10301</v>
      </c>
      <c r="J4443" s="3" t="str">
        <f>HYPERLINK("https://www.boe.es/gazeta/dias/1834/09/24/pdfs/GMD-1834-222.pdf#page=4","Abrir facsímil")</f>
        <v>Abrir facsímil</v>
      </c>
      <c r="K4443" s="3" t="s">
        <v>24</v>
      </c>
    </row>
    <row r="4444" spans="1:11" ht="54" customHeight="1">
      <c r="A4444" s="2" t="s">
        <v>10302</v>
      </c>
      <c r="B4444" s="2" t="s">
        <v>10303</v>
      </c>
      <c r="C4444" s="2" t="s">
        <v>46</v>
      </c>
      <c r="D4444" s="2" t="s">
        <v>18</v>
      </c>
      <c r="E4444" s="5" t="s">
        <v>1340</v>
      </c>
      <c r="F4444" s="3" t="s">
        <v>1341</v>
      </c>
      <c r="G4444" s="3" t="s">
        <v>75</v>
      </c>
      <c r="H4444" s="2" t="s">
        <v>22</v>
      </c>
      <c r="I4444" s="2" t="s">
        <v>10304</v>
      </c>
      <c r="J4444" s="3" t="str">
        <f>HYPERLINK("https://www.boe.es/gazeta/dias/1834/10/05/pdfs/GMD-C-1834-233.pdf#page=4","Abrir facsímil")</f>
        <v>Abrir facsímil</v>
      </c>
      <c r="K4444" s="3" t="s">
        <v>24</v>
      </c>
    </row>
    <row r="4445" spans="1:11" ht="54" customHeight="1">
      <c r="A4445" s="2" t="s">
        <v>10302</v>
      </c>
      <c r="B4445" s="2" t="s">
        <v>10303</v>
      </c>
      <c r="C4445" s="2" t="s">
        <v>17</v>
      </c>
      <c r="D4445" s="2" t="s">
        <v>18</v>
      </c>
      <c r="E4445" s="5" t="s">
        <v>1186</v>
      </c>
      <c r="F4445" s="3" t="s">
        <v>4286</v>
      </c>
      <c r="G4445" s="3" t="s">
        <v>86</v>
      </c>
      <c r="H4445" s="2" t="s">
        <v>22</v>
      </c>
      <c r="I4445" s="2" t="s">
        <v>10305</v>
      </c>
      <c r="J4445" s="3" t="str">
        <f>HYPERLINK("https://www.boe.es/gazeta/dias/1834/08/14/pdfs/GMD-C-1834-179.pdf#page=2","Abrir facsímil")</f>
        <v>Abrir facsímil</v>
      </c>
      <c r="K4445" s="3" t="s">
        <v>24</v>
      </c>
    </row>
    <row r="4446" spans="1:11" ht="54" customHeight="1">
      <c r="A4446" s="2" t="s">
        <v>10302</v>
      </c>
      <c r="B4446" s="2" t="s">
        <v>10303</v>
      </c>
      <c r="C4446" s="2" t="s">
        <v>17</v>
      </c>
      <c r="D4446" s="2" t="s">
        <v>18</v>
      </c>
      <c r="E4446" s="5" t="s">
        <v>627</v>
      </c>
      <c r="F4446" s="3" t="s">
        <v>628</v>
      </c>
      <c r="G4446" s="3" t="s">
        <v>560</v>
      </c>
      <c r="H4446" s="2" t="s">
        <v>22</v>
      </c>
      <c r="I4446" s="2" t="s">
        <v>10306</v>
      </c>
      <c r="J4446" s="3" t="str">
        <f>HYPERLINK("https://www.boe.es/gazeta/dias/1834/09/22/pdfs/GMD-C-1834-220.pdf#page=7","Abrir facsímil")</f>
        <v>Abrir facsímil</v>
      </c>
      <c r="K4446" s="3" t="s">
        <v>24</v>
      </c>
    </row>
    <row r="4447" spans="1:11" ht="54" customHeight="1">
      <c r="A4447" s="2" t="s">
        <v>10302</v>
      </c>
      <c r="B4447" s="2" t="s">
        <v>10303</v>
      </c>
      <c r="C4447" s="2" t="s">
        <v>46</v>
      </c>
      <c r="D4447" s="2" t="s">
        <v>101</v>
      </c>
      <c r="E4447" s="5" t="s">
        <v>1674</v>
      </c>
      <c r="F4447" s="3" t="s">
        <v>3233</v>
      </c>
      <c r="G4447" s="3" t="s">
        <v>86</v>
      </c>
      <c r="H4447" s="2" t="s">
        <v>22</v>
      </c>
      <c r="I4447" s="2" t="s">
        <v>10307</v>
      </c>
      <c r="J4447" s="3" t="str">
        <f>HYPERLINK("https://www.boe.es/gazeta/dias/1834/07/25/pdfs/GMD-C-1834-158.pdf#page=2","Abrir facsímil")</f>
        <v>Abrir facsímil</v>
      </c>
      <c r="K4447" s="3" t="s">
        <v>24</v>
      </c>
    </row>
    <row r="4448" spans="1:11" ht="54" customHeight="1">
      <c r="A4448" s="2" t="s">
        <v>10308</v>
      </c>
      <c r="B4448" s="2" t="s">
        <v>10309</v>
      </c>
      <c r="C4448" s="2" t="s">
        <v>17</v>
      </c>
      <c r="D4448" s="2" t="s">
        <v>18</v>
      </c>
      <c r="E4448" s="5" t="s">
        <v>647</v>
      </c>
      <c r="F4448" s="3" t="s">
        <v>648</v>
      </c>
      <c r="G4448" s="3" t="s">
        <v>28</v>
      </c>
      <c r="H4448" s="2" t="s">
        <v>22</v>
      </c>
      <c r="I4448" s="2" t="s">
        <v>10310</v>
      </c>
      <c r="J4448" s="3" t="str">
        <f>HYPERLINK("https://www.boe.es/gazeta/dias/1834/10/21/pdfs/GMD-C-1834-249.pdf#page=5","Abrir facsímil")</f>
        <v>Abrir facsímil</v>
      </c>
      <c r="K4448" s="3" t="s">
        <v>24</v>
      </c>
    </row>
    <row r="4449" spans="1:11" ht="54" customHeight="1">
      <c r="A4449" s="2" t="s">
        <v>10311</v>
      </c>
      <c r="B4449" s="2" t="s">
        <v>10312</v>
      </c>
      <c r="C4449" s="2" t="s">
        <v>66</v>
      </c>
      <c r="D4449" s="2" t="s">
        <v>67</v>
      </c>
      <c r="E4449" s="5" t="s">
        <v>5885</v>
      </c>
      <c r="F4449" s="3" t="s">
        <v>5886</v>
      </c>
      <c r="G4449" s="3" t="s">
        <v>21</v>
      </c>
      <c r="H4449" s="2" t="s">
        <v>35</v>
      </c>
      <c r="I4449" s="2" t="s">
        <v>10313</v>
      </c>
      <c r="J4449" s="3" t="str">
        <f>HYPERLINK("https://www.boe.es/gazeta/dias/1834/05/23/pdfs/GMD-1834-92.pdf#page=3","Abrir facsímil")</f>
        <v>Abrir facsímil</v>
      </c>
      <c r="K4449" s="3" t="s">
        <v>37</v>
      </c>
    </row>
    <row r="4450" spans="1:11" ht="54" customHeight="1">
      <c r="A4450" s="2" t="s">
        <v>10314</v>
      </c>
      <c r="B4450" s="2" t="s">
        <v>10315</v>
      </c>
      <c r="C4450" s="2" t="s">
        <v>17</v>
      </c>
      <c r="D4450" s="2" t="s">
        <v>55</v>
      </c>
      <c r="E4450" s="5" t="s">
        <v>849</v>
      </c>
      <c r="F4450" s="3" t="s">
        <v>850</v>
      </c>
      <c r="G4450" s="3" t="s">
        <v>86</v>
      </c>
      <c r="H4450" s="2" t="s">
        <v>22</v>
      </c>
      <c r="I4450" s="2" t="s">
        <v>10316</v>
      </c>
      <c r="J4450" s="3" t="str">
        <f>HYPERLINK("https://www.boe.es/gazeta/dias/1834/06/21/pdfs/GMD-1834-124.pdf#page=2","Abrir facsímil")</f>
        <v>Abrir facsímil</v>
      </c>
      <c r="K4450" s="3" t="s">
        <v>24</v>
      </c>
    </row>
    <row r="4451" spans="1:11" ht="54" customHeight="1">
      <c r="A4451" s="2" t="s">
        <v>10317</v>
      </c>
      <c r="B4451" s="2" t="s">
        <v>10318</v>
      </c>
      <c r="C4451" s="2" t="s">
        <v>66</v>
      </c>
      <c r="D4451" s="2" t="s">
        <v>67</v>
      </c>
      <c r="E4451" s="5" t="s">
        <v>5885</v>
      </c>
      <c r="F4451" s="3" t="s">
        <v>5886</v>
      </c>
      <c r="G4451" s="3" t="s">
        <v>21</v>
      </c>
      <c r="H4451" s="2" t="s">
        <v>22</v>
      </c>
      <c r="I4451" s="2" t="s">
        <v>10319</v>
      </c>
      <c r="J4451" s="3" t="str">
        <f>HYPERLINK("https://www.boe.es/gazeta/dias/1834/05/23/pdfs/GMD-1834-92.pdf#page=3","Abrir facsímil")</f>
        <v>Abrir facsímil</v>
      </c>
      <c r="K4451" s="3" t="s">
        <v>24</v>
      </c>
    </row>
    <row r="4452" spans="1:11" ht="54" customHeight="1">
      <c r="A4452" s="2" t="s">
        <v>10320</v>
      </c>
      <c r="B4452" s="2" t="s">
        <v>10321</v>
      </c>
      <c r="C4452" s="2" t="s">
        <v>90</v>
      </c>
      <c r="D4452" s="2" t="s">
        <v>18</v>
      </c>
      <c r="E4452" s="5" t="s">
        <v>19</v>
      </c>
      <c r="F4452" s="3" t="s">
        <v>20</v>
      </c>
      <c r="G4452" s="3" t="s">
        <v>34</v>
      </c>
      <c r="H4452" s="2" t="s">
        <v>22</v>
      </c>
      <c r="I4452" s="2" t="s">
        <v>10322</v>
      </c>
      <c r="J4452" s="3" t="str">
        <f>HYPERLINK("https://www.boe.es/gazeta/dias/1834/08/17/pdfs/GMD-D-1834-182.pdf#page=1","Abrir facsímil")</f>
        <v>Abrir facsímil</v>
      </c>
      <c r="K4452" s="3" t="s">
        <v>24</v>
      </c>
    </row>
    <row r="4453" spans="1:11" ht="54" customHeight="1">
      <c r="A4453" s="2" t="s">
        <v>10323</v>
      </c>
      <c r="B4453" s="2" t="s">
        <v>10324</v>
      </c>
      <c r="C4453" s="2" t="s">
        <v>46</v>
      </c>
      <c r="D4453" s="2" t="s">
        <v>101</v>
      </c>
      <c r="E4453" s="5" t="s">
        <v>571</v>
      </c>
      <c r="F4453" s="3" t="s">
        <v>620</v>
      </c>
      <c r="G4453" s="3" t="s">
        <v>34</v>
      </c>
      <c r="H4453" s="2" t="s">
        <v>22</v>
      </c>
      <c r="I4453" s="2" t="s">
        <v>10325</v>
      </c>
      <c r="J4453" s="3" t="str">
        <f>HYPERLINK("https://www.boe.es/gazeta/dias/1834/09/04/pdfs/GMD-C-1834-202.pdf#page=1","Abrir facsímil")</f>
        <v>Abrir facsímil</v>
      </c>
      <c r="K4453" s="3" t="s">
        <v>24</v>
      </c>
    </row>
    <row r="4454" spans="1:11" ht="54" customHeight="1">
      <c r="A4454" s="2" t="s">
        <v>10323</v>
      </c>
      <c r="B4454" s="2" t="s">
        <v>10324</v>
      </c>
      <c r="C4454" s="2" t="s">
        <v>46</v>
      </c>
      <c r="D4454" s="2" t="s">
        <v>101</v>
      </c>
      <c r="E4454" s="5" t="s">
        <v>47</v>
      </c>
      <c r="F4454" s="3" t="s">
        <v>48</v>
      </c>
      <c r="G4454" s="3" t="s">
        <v>75</v>
      </c>
      <c r="H4454" s="2" t="s">
        <v>22</v>
      </c>
      <c r="I4454" s="2" t="s">
        <v>10326</v>
      </c>
      <c r="J4454" s="3" t="str">
        <f>HYPERLINK("https://www.boe.es/gazeta/dias/1834/09/05/pdfs/GMD-C-1834-203.pdf#page=4","Abrir facsímil")</f>
        <v>Abrir facsímil</v>
      </c>
      <c r="K4454" s="3" t="s">
        <v>24</v>
      </c>
    </row>
    <row r="4455" spans="1:11" ht="54" customHeight="1">
      <c r="A4455" s="2" t="s">
        <v>10323</v>
      </c>
      <c r="B4455" s="2" t="s">
        <v>10324</v>
      </c>
      <c r="C4455" s="2" t="s">
        <v>66</v>
      </c>
      <c r="D4455" s="2" t="s">
        <v>67</v>
      </c>
      <c r="E4455" s="5" t="s">
        <v>1340</v>
      </c>
      <c r="F4455" s="3" t="s">
        <v>1341</v>
      </c>
      <c r="G4455" s="3" t="s">
        <v>86</v>
      </c>
      <c r="H4455" s="2" t="s">
        <v>22</v>
      </c>
      <c r="I4455" s="2" t="s">
        <v>10327</v>
      </c>
      <c r="J4455" s="3" t="str">
        <f>HYPERLINK("https://www.boe.es/gazeta/dias/1834/10/05/pdfs/GMD-C-1834-233.pdf#page=2","Abrir facsímil")</f>
        <v>Abrir facsímil</v>
      </c>
      <c r="K4455" s="3" t="s">
        <v>24</v>
      </c>
    </row>
    <row r="4456" spans="1:11" ht="54" customHeight="1">
      <c r="A4456" s="2" t="s">
        <v>10323</v>
      </c>
      <c r="B4456" s="2" t="s">
        <v>10324</v>
      </c>
      <c r="C4456" s="2" t="s">
        <v>17</v>
      </c>
      <c r="D4456" s="2" t="s">
        <v>18</v>
      </c>
      <c r="E4456" s="5" t="s">
        <v>3471</v>
      </c>
      <c r="F4456" s="3" t="s">
        <v>3472</v>
      </c>
      <c r="G4456" s="3" t="s">
        <v>86</v>
      </c>
      <c r="H4456" s="2" t="s">
        <v>22</v>
      </c>
      <c r="I4456" s="2" t="s">
        <v>10328</v>
      </c>
      <c r="J4456" s="3" t="str">
        <f>HYPERLINK("https://www.boe.es/gazeta/dias/1834/07/07/pdfs/GMD-1834-140.pdf#page=2","Abrir facsímil")</f>
        <v>Abrir facsímil</v>
      </c>
      <c r="K4456" s="3" t="s">
        <v>24</v>
      </c>
    </row>
    <row r="4457" spans="1:11" ht="54" customHeight="1">
      <c r="A4457" s="2" t="s">
        <v>10323</v>
      </c>
      <c r="B4457" s="2" t="s">
        <v>10324</v>
      </c>
      <c r="C4457" s="2" t="s">
        <v>90</v>
      </c>
      <c r="D4457" s="2" t="s">
        <v>18</v>
      </c>
      <c r="E4457" s="5" t="s">
        <v>762</v>
      </c>
      <c r="F4457" s="3" t="s">
        <v>2227</v>
      </c>
      <c r="G4457" s="3" t="s">
        <v>34</v>
      </c>
      <c r="H4457" s="2" t="s">
        <v>22</v>
      </c>
      <c r="I4457" s="2" t="s">
        <v>10329</v>
      </c>
      <c r="J4457" s="3" t="str">
        <f>HYPERLINK("https://www.boe.es/gazeta/dias/1834/11/07/pdfs/GMD-C-1834-266.pdf#page=1","Abrir facsímil")</f>
        <v>Abrir facsímil</v>
      </c>
      <c r="K4457" s="3" t="s">
        <v>24</v>
      </c>
    </row>
    <row r="4458" spans="1:11" ht="54" customHeight="1">
      <c r="A4458" s="2" t="s">
        <v>10323</v>
      </c>
      <c r="B4458" s="2" t="s">
        <v>10324</v>
      </c>
      <c r="C4458" s="2" t="s">
        <v>17</v>
      </c>
      <c r="D4458" s="2" t="s">
        <v>40</v>
      </c>
      <c r="E4458" s="5" t="s">
        <v>679</v>
      </c>
      <c r="F4458" s="3" t="s">
        <v>699</v>
      </c>
      <c r="G4458" s="3" t="s">
        <v>21</v>
      </c>
      <c r="H4458" s="2" t="s">
        <v>22</v>
      </c>
      <c r="I4458" s="2" t="s">
        <v>10330</v>
      </c>
      <c r="J4458" s="3" t="str">
        <f>HYPERLINK("https://www.boe.es/gazeta/dias/1834/12/10/pdfs/GMD-C-1834-299.pdf#page=3","Abrir facsímil")</f>
        <v>Abrir facsímil</v>
      </c>
      <c r="K4458" s="3" t="s">
        <v>24</v>
      </c>
    </row>
    <row r="4459" spans="1:11" ht="54" customHeight="1">
      <c r="A4459" s="2" t="s">
        <v>10323</v>
      </c>
      <c r="B4459" s="2" t="s">
        <v>10324</v>
      </c>
      <c r="C4459" s="2" t="s">
        <v>17</v>
      </c>
      <c r="D4459" s="2" t="s">
        <v>18</v>
      </c>
      <c r="E4459" s="5" t="s">
        <v>679</v>
      </c>
      <c r="F4459" s="3" t="s">
        <v>699</v>
      </c>
      <c r="G4459" s="3" t="s">
        <v>75</v>
      </c>
      <c r="H4459" s="2" t="s">
        <v>22</v>
      </c>
      <c r="I4459" s="2" t="s">
        <v>10331</v>
      </c>
      <c r="J4459" s="3" t="str">
        <f>HYPERLINK("https://www.boe.es/gazeta/dias/1834/12/10/pdfs/GMD-C-1834-299.pdf#page=4","Abrir facsímil")</f>
        <v>Abrir facsímil</v>
      </c>
      <c r="K4459" s="3" t="s">
        <v>24</v>
      </c>
    </row>
    <row r="4460" spans="1:11" ht="54" customHeight="1">
      <c r="A4460" s="2" t="s">
        <v>10323</v>
      </c>
      <c r="B4460" s="2" t="s">
        <v>10324</v>
      </c>
      <c r="C4460" s="2" t="s">
        <v>46</v>
      </c>
      <c r="D4460" s="2" t="s">
        <v>55</v>
      </c>
      <c r="E4460" s="5" t="s">
        <v>479</v>
      </c>
      <c r="F4460" s="3" t="s">
        <v>2258</v>
      </c>
      <c r="G4460" s="3" t="s">
        <v>34</v>
      </c>
      <c r="H4460" s="2" t="s">
        <v>22</v>
      </c>
      <c r="I4460" s="2" t="s">
        <v>10332</v>
      </c>
      <c r="J4460" s="3" t="str">
        <f>HYPERLINK("https://www.boe.es/gazeta/dias/1834/08/13/pdfs/GMD-C-1834-178.pdf#page=1","Abrir facsímil")</f>
        <v>Abrir facsímil</v>
      </c>
      <c r="K4460" s="3" t="s">
        <v>24</v>
      </c>
    </row>
    <row r="4461" spans="1:11" ht="54" customHeight="1">
      <c r="A4461" s="2" t="s">
        <v>10323</v>
      </c>
      <c r="B4461" s="2" t="s">
        <v>10324</v>
      </c>
      <c r="C4461" s="2" t="s">
        <v>17</v>
      </c>
      <c r="D4461" s="2" t="s">
        <v>18</v>
      </c>
      <c r="E4461" s="5" t="s">
        <v>1424</v>
      </c>
      <c r="F4461" s="3" t="s">
        <v>1425</v>
      </c>
      <c r="G4461" s="3" t="s">
        <v>34</v>
      </c>
      <c r="H4461" s="2" t="s">
        <v>22</v>
      </c>
      <c r="I4461" s="2" t="s">
        <v>10333</v>
      </c>
      <c r="J4461" s="3" t="str">
        <f>HYPERLINK("https://www.boe.es/gazeta/dias/1834/11/14/pdfs/GMD-C-1834-273.pdf#page=1","Abrir facsímil")</f>
        <v>Abrir facsímil</v>
      </c>
      <c r="K4461" s="3" t="s">
        <v>24</v>
      </c>
    </row>
    <row r="4462" spans="1:11" ht="54" customHeight="1">
      <c r="A4462" s="2" t="s">
        <v>10323</v>
      </c>
      <c r="B4462" s="2" t="s">
        <v>10324</v>
      </c>
      <c r="C4462" s="2" t="s">
        <v>17</v>
      </c>
      <c r="D4462" s="2" t="s">
        <v>18</v>
      </c>
      <c r="E4462" s="5" t="s">
        <v>1424</v>
      </c>
      <c r="F4462" s="3" t="s">
        <v>1425</v>
      </c>
      <c r="G4462" s="3" t="s">
        <v>86</v>
      </c>
      <c r="H4462" s="2" t="s">
        <v>22</v>
      </c>
      <c r="I4462" s="2" t="s">
        <v>10334</v>
      </c>
      <c r="J4462" s="3" t="str">
        <f>HYPERLINK("https://www.boe.es/gazeta/dias/1834/11/14/pdfs/GMD-C-1834-273.pdf#page=2","Abrir facsímil")</f>
        <v>Abrir facsímil</v>
      </c>
      <c r="K4462" s="3" t="s">
        <v>24</v>
      </c>
    </row>
    <row r="4463" spans="1:11" ht="54" customHeight="1">
      <c r="A4463" s="2" t="s">
        <v>10323</v>
      </c>
      <c r="B4463" s="2" t="s">
        <v>10324</v>
      </c>
      <c r="C4463" s="2" t="s">
        <v>17</v>
      </c>
      <c r="D4463" s="2" t="s">
        <v>55</v>
      </c>
      <c r="E4463" s="5" t="s">
        <v>1424</v>
      </c>
      <c r="F4463" s="3" t="s">
        <v>1425</v>
      </c>
      <c r="G4463" s="3" t="s">
        <v>28</v>
      </c>
      <c r="H4463" s="2" t="s">
        <v>22</v>
      </c>
      <c r="I4463" s="2" t="s">
        <v>10335</v>
      </c>
      <c r="J4463" s="3" t="str">
        <f>HYPERLINK("https://www.boe.es/gazeta/dias/1834/11/14/pdfs/GMD-C-1834-273.pdf#page=5","Abrir facsímil")</f>
        <v>Abrir facsímil</v>
      </c>
      <c r="K4463" s="3" t="s">
        <v>24</v>
      </c>
    </row>
    <row r="4464" spans="1:11" ht="54" customHeight="1">
      <c r="A4464" s="2" t="s">
        <v>10323</v>
      </c>
      <c r="B4464" s="2" t="s">
        <v>10324</v>
      </c>
      <c r="C4464" s="2" t="s">
        <v>46</v>
      </c>
      <c r="D4464" s="2" t="s">
        <v>101</v>
      </c>
      <c r="E4464" s="5" t="s">
        <v>1116</v>
      </c>
      <c r="F4464" s="3" t="s">
        <v>1117</v>
      </c>
      <c r="G4464" s="3" t="s">
        <v>21</v>
      </c>
      <c r="H4464" s="2" t="s">
        <v>22</v>
      </c>
      <c r="I4464" s="2" t="s">
        <v>10336</v>
      </c>
      <c r="J4464" s="3" t="str">
        <f>HYPERLINK("https://www.boe.es/gazeta/dias/1834/05/16/pdfs/GMD-1834-85.pdf#page=3","Abrir facsímil")</f>
        <v>Abrir facsímil</v>
      </c>
      <c r="K4464" s="3" t="s">
        <v>24</v>
      </c>
    </row>
    <row r="4465" spans="1:11" ht="54" customHeight="1">
      <c r="A4465" s="2" t="s">
        <v>10323</v>
      </c>
      <c r="B4465" s="2" t="s">
        <v>10324</v>
      </c>
      <c r="C4465" s="2" t="s">
        <v>17</v>
      </c>
      <c r="D4465" s="2" t="s">
        <v>18</v>
      </c>
      <c r="E4465" s="5" t="s">
        <v>1195</v>
      </c>
      <c r="F4465" s="3" t="s">
        <v>1196</v>
      </c>
      <c r="G4465" s="3" t="s">
        <v>75</v>
      </c>
      <c r="H4465" s="2" t="s">
        <v>22</v>
      </c>
      <c r="I4465" s="2" t="s">
        <v>10337</v>
      </c>
      <c r="J4465" s="3" t="str">
        <f>HYPERLINK("https://www.boe.es/gazeta/dias/1834/10/17/pdfs/GMD-C-1834-245.pdf#page=4","Abrir facsímil")</f>
        <v>Abrir facsímil</v>
      </c>
      <c r="K4465" s="3" t="s">
        <v>24</v>
      </c>
    </row>
    <row r="4466" spans="1:11" ht="54" customHeight="1">
      <c r="A4466" s="2" t="s">
        <v>10323</v>
      </c>
      <c r="B4466" s="2" t="s">
        <v>10324</v>
      </c>
      <c r="C4466" s="2" t="s">
        <v>17</v>
      </c>
      <c r="D4466" s="2" t="s">
        <v>18</v>
      </c>
      <c r="E4466" s="5" t="s">
        <v>1195</v>
      </c>
      <c r="F4466" s="3" t="s">
        <v>1196</v>
      </c>
      <c r="G4466" s="3" t="s">
        <v>560</v>
      </c>
      <c r="H4466" s="2" t="s">
        <v>22</v>
      </c>
      <c r="I4466" s="2" t="s">
        <v>10338</v>
      </c>
      <c r="J4466" s="3" t="str">
        <f>HYPERLINK("https://www.boe.es/gazeta/dias/1834/10/17/pdfs/GMD-C-1834-245.pdf#page=7","Abrir facsímil")</f>
        <v>Abrir facsímil</v>
      </c>
      <c r="K4466" s="3" t="s">
        <v>24</v>
      </c>
    </row>
    <row r="4467" spans="1:11" ht="54" customHeight="1">
      <c r="A4467" s="2" t="s">
        <v>10323</v>
      </c>
      <c r="B4467" s="2" t="s">
        <v>10324</v>
      </c>
      <c r="C4467" s="2" t="s">
        <v>17</v>
      </c>
      <c r="D4467" s="2" t="s">
        <v>18</v>
      </c>
      <c r="E4467" s="5" t="s">
        <v>3036</v>
      </c>
      <c r="F4467" s="3" t="s">
        <v>3037</v>
      </c>
      <c r="G4467" s="3" t="s">
        <v>75</v>
      </c>
      <c r="H4467" s="2" t="s">
        <v>22</v>
      </c>
      <c r="I4467" s="2" t="s">
        <v>10339</v>
      </c>
      <c r="J4467" s="3" t="str">
        <f>HYPERLINK("https://www.boe.es/gazeta/dias/1834/11/18/pdfs/GMD-C-1834-277.pdf#page=4","Abrir facsímil")</f>
        <v>Abrir facsímil</v>
      </c>
      <c r="K4467" s="3" t="s">
        <v>24</v>
      </c>
    </row>
    <row r="4468" spans="1:11" ht="54" customHeight="1">
      <c r="A4468" s="2" t="s">
        <v>10323</v>
      </c>
      <c r="B4468" s="2" t="s">
        <v>10324</v>
      </c>
      <c r="C4468" s="2" t="s">
        <v>17</v>
      </c>
      <c r="D4468" s="2" t="s">
        <v>18</v>
      </c>
      <c r="E4468" s="5" t="s">
        <v>2287</v>
      </c>
      <c r="F4468" s="3" t="s">
        <v>2288</v>
      </c>
      <c r="G4468" s="3" t="s">
        <v>176</v>
      </c>
      <c r="H4468" s="2" t="s">
        <v>22</v>
      </c>
      <c r="I4468" s="2" t="s">
        <v>10340</v>
      </c>
      <c r="J4468" s="3" t="str">
        <f>HYPERLINK("https://www.boe.es/gazeta/dias/1834/12/18/pdfs/GMD-C-1834-308.pdf#page=6","Abrir facsímil")</f>
        <v>Abrir facsímil</v>
      </c>
      <c r="K4468" s="3" t="s">
        <v>24</v>
      </c>
    </row>
    <row r="4469" spans="1:11" ht="54" customHeight="1">
      <c r="A4469" s="2" t="s">
        <v>10323</v>
      </c>
      <c r="B4469" s="2" t="s">
        <v>10324</v>
      </c>
      <c r="C4469" s="2" t="s">
        <v>17</v>
      </c>
      <c r="D4469" s="2" t="s">
        <v>55</v>
      </c>
      <c r="E4469" s="5" t="s">
        <v>268</v>
      </c>
      <c r="F4469" s="3" t="s">
        <v>269</v>
      </c>
      <c r="G4469" s="3" t="s">
        <v>28</v>
      </c>
      <c r="H4469" s="2" t="s">
        <v>22</v>
      </c>
      <c r="I4469" s="2" t="s">
        <v>10341</v>
      </c>
      <c r="J4469" s="3" t="str">
        <f>HYPERLINK("https://www.boe.es/gazeta/dias/1834/12/19/pdfs/GMD-C-1834-309.pdf#page=5","Abrir facsímil")</f>
        <v>Abrir facsímil</v>
      </c>
      <c r="K4469" s="3" t="s">
        <v>24</v>
      </c>
    </row>
    <row r="4470" spans="1:11" ht="54" customHeight="1">
      <c r="A4470" s="2" t="s">
        <v>10323</v>
      </c>
      <c r="B4470" s="2" t="s">
        <v>10324</v>
      </c>
      <c r="C4470" s="2" t="s">
        <v>122</v>
      </c>
      <c r="D4470" s="2" t="s">
        <v>18</v>
      </c>
      <c r="E4470" s="5" t="s">
        <v>3248</v>
      </c>
      <c r="F4470" s="3" t="s">
        <v>4798</v>
      </c>
      <c r="G4470" s="3" t="s">
        <v>86</v>
      </c>
      <c r="H4470" s="2" t="s">
        <v>22</v>
      </c>
      <c r="I4470" s="2" t="s">
        <v>10342</v>
      </c>
      <c r="J4470" s="3" t="str">
        <f>HYPERLINK("https://www.boe.es/gazeta/dias/1834/09/20/pdfs/GMD-C-1834-218.pdf#page=2","Abrir facsímil")</f>
        <v>Abrir facsímil</v>
      </c>
      <c r="K4470" s="3" t="s">
        <v>24</v>
      </c>
    </row>
    <row r="4471" spans="1:11" ht="54" customHeight="1">
      <c r="A4471" s="2" t="s">
        <v>10323</v>
      </c>
      <c r="B4471" s="2" t="s">
        <v>10324</v>
      </c>
      <c r="C4471" s="2" t="s">
        <v>17</v>
      </c>
      <c r="D4471" s="2" t="s">
        <v>18</v>
      </c>
      <c r="E4471" s="5" t="s">
        <v>647</v>
      </c>
      <c r="F4471" s="3" t="s">
        <v>648</v>
      </c>
      <c r="G4471" s="3" t="s">
        <v>28</v>
      </c>
      <c r="H4471" s="2" t="s">
        <v>22</v>
      </c>
      <c r="I4471" s="2" t="s">
        <v>10343</v>
      </c>
      <c r="J4471" s="3" t="str">
        <f>HYPERLINK("https://www.boe.es/gazeta/dias/1834/10/21/pdfs/GMD-C-1834-249.pdf#page=5","Abrir facsímil")</f>
        <v>Abrir facsímil</v>
      </c>
      <c r="K4471" s="3" t="s">
        <v>24</v>
      </c>
    </row>
    <row r="4472" spans="1:11" ht="54" customHeight="1">
      <c r="A4472" s="2" t="s">
        <v>10323</v>
      </c>
      <c r="B4472" s="2" t="s">
        <v>10324</v>
      </c>
      <c r="C4472" s="2" t="s">
        <v>17</v>
      </c>
      <c r="D4472" s="2" t="s">
        <v>18</v>
      </c>
      <c r="E4472" s="5" t="s">
        <v>647</v>
      </c>
      <c r="F4472" s="3" t="s">
        <v>648</v>
      </c>
      <c r="G4472" s="3" t="s">
        <v>560</v>
      </c>
      <c r="H4472" s="2" t="s">
        <v>22</v>
      </c>
      <c r="I4472" s="2" t="s">
        <v>10344</v>
      </c>
      <c r="J4472" s="3" t="str">
        <f>HYPERLINK("https://www.boe.es/gazeta/dias/1834/10/21/pdfs/GMD-C-1834-249.pdf#page=7","Abrir facsímil")</f>
        <v>Abrir facsímil</v>
      </c>
      <c r="K4472" s="3" t="s">
        <v>24</v>
      </c>
    </row>
    <row r="4473" spans="1:11" ht="54" customHeight="1">
      <c r="A4473" s="2" t="s">
        <v>10323</v>
      </c>
      <c r="B4473" s="2" t="s">
        <v>10324</v>
      </c>
      <c r="C4473" s="2" t="s">
        <v>46</v>
      </c>
      <c r="D4473" s="2" t="s">
        <v>101</v>
      </c>
      <c r="E4473" s="5" t="s">
        <v>627</v>
      </c>
      <c r="F4473" s="3" t="s">
        <v>628</v>
      </c>
      <c r="G4473" s="3" t="s">
        <v>176</v>
      </c>
      <c r="H4473" s="2" t="s">
        <v>22</v>
      </c>
      <c r="I4473" s="2" t="s">
        <v>10345</v>
      </c>
      <c r="J4473" s="3" t="str">
        <f>HYPERLINK("https://www.boe.es/gazeta/dias/1834/09/22/pdfs/GMD-C-1834-220.pdf#page=6","Abrir facsímil")</f>
        <v>Abrir facsímil</v>
      </c>
      <c r="K4473" s="3" t="s">
        <v>24</v>
      </c>
    </row>
    <row r="4474" spans="1:11" ht="54" customHeight="1">
      <c r="A4474" s="2" t="s">
        <v>10323</v>
      </c>
      <c r="B4474" s="2" t="s">
        <v>10324</v>
      </c>
      <c r="C4474" s="2" t="s">
        <v>66</v>
      </c>
      <c r="D4474" s="2" t="s">
        <v>67</v>
      </c>
      <c r="E4474" s="5" t="s">
        <v>702</v>
      </c>
      <c r="F4474" s="3" t="s">
        <v>703</v>
      </c>
      <c r="G4474" s="3" t="s">
        <v>21</v>
      </c>
      <c r="H4474" s="2" t="s">
        <v>22</v>
      </c>
      <c r="I4474" s="2" t="s">
        <v>10346</v>
      </c>
      <c r="J4474" s="3" t="str">
        <f>HYPERLINK("https://www.boe.es/gazeta/dias/1834/11/22/pdfs/GMD-C-1834-281.pdf#page=3","Abrir facsímil")</f>
        <v>Abrir facsímil</v>
      </c>
      <c r="K4474" s="3" t="s">
        <v>24</v>
      </c>
    </row>
    <row r="4475" spans="1:11" ht="54" customHeight="1">
      <c r="A4475" s="2" t="s">
        <v>10347</v>
      </c>
      <c r="B4475" s="2" t="s">
        <v>10348</v>
      </c>
      <c r="C4475" s="2" t="s">
        <v>46</v>
      </c>
      <c r="D4475" s="2" t="s">
        <v>101</v>
      </c>
      <c r="E4475" s="5" t="s">
        <v>403</v>
      </c>
      <c r="F4475" s="3" t="s">
        <v>404</v>
      </c>
      <c r="G4475" s="3" t="s">
        <v>86</v>
      </c>
      <c r="H4475" s="2" t="s">
        <v>22</v>
      </c>
      <c r="I4475" s="2" t="s">
        <v>10349</v>
      </c>
      <c r="J4475" s="3" t="str">
        <f>HYPERLINK("https://www.boe.es/gazeta/dias/1834/09/25/pdfs/GMD-C-1834-223.pdf#page=2","Abrir facsímil")</f>
        <v>Abrir facsímil</v>
      </c>
      <c r="K4475" s="3" t="s">
        <v>24</v>
      </c>
    </row>
    <row r="4476" spans="1:11" ht="54" customHeight="1">
      <c r="A4476" s="2" t="s">
        <v>10323</v>
      </c>
      <c r="B4476" s="2" t="s">
        <v>10324</v>
      </c>
      <c r="C4476" s="2" t="s">
        <v>17</v>
      </c>
      <c r="D4476" s="2" t="s">
        <v>40</v>
      </c>
      <c r="E4476" s="5" t="s">
        <v>707</v>
      </c>
      <c r="F4476" s="3" t="s">
        <v>708</v>
      </c>
      <c r="G4476" s="3" t="s">
        <v>75</v>
      </c>
      <c r="H4476" s="2" t="s">
        <v>22</v>
      </c>
      <c r="I4476" s="2" t="s">
        <v>10350</v>
      </c>
      <c r="J4476" s="3" t="str">
        <f>HYPERLINK("https://www.boe.es/gazeta/dias/1834/11/25/pdfs/GMD-C-1834-284.pdf#page=4","Abrir facsímil")</f>
        <v>Abrir facsímil</v>
      </c>
      <c r="K4476" s="3" t="s">
        <v>24</v>
      </c>
    </row>
    <row r="4477" spans="1:11" ht="54" customHeight="1">
      <c r="A4477" s="2" t="s">
        <v>10323</v>
      </c>
      <c r="B4477" s="2" t="s">
        <v>10324</v>
      </c>
      <c r="C4477" s="2" t="s">
        <v>17</v>
      </c>
      <c r="D4477" s="2" t="s">
        <v>18</v>
      </c>
      <c r="E4477" s="5" t="s">
        <v>1135</v>
      </c>
      <c r="F4477" s="3" t="s">
        <v>1566</v>
      </c>
      <c r="G4477" s="3" t="s">
        <v>86</v>
      </c>
      <c r="H4477" s="2" t="s">
        <v>22</v>
      </c>
      <c r="I4477" s="2" t="s">
        <v>10351</v>
      </c>
      <c r="J4477" s="3" t="str">
        <f>HYPERLINK("https://www.boe.es/gazeta/dias/1834/08/26/pdfs/GMD-C-1834-192.pdf#page=2","Abrir facsímil")</f>
        <v>Abrir facsímil</v>
      </c>
      <c r="K4477" s="3" t="s">
        <v>24</v>
      </c>
    </row>
    <row r="4478" spans="1:11" ht="54" customHeight="1">
      <c r="A4478" s="2" t="s">
        <v>10323</v>
      </c>
      <c r="B4478" s="2" t="s">
        <v>10324</v>
      </c>
      <c r="C4478" s="2" t="s">
        <v>46</v>
      </c>
      <c r="D4478" s="2" t="s">
        <v>101</v>
      </c>
      <c r="E4478" s="5" t="s">
        <v>251</v>
      </c>
      <c r="F4478" s="3" t="s">
        <v>252</v>
      </c>
      <c r="G4478" s="3" t="s">
        <v>176</v>
      </c>
      <c r="H4478" s="2" t="s">
        <v>22</v>
      </c>
      <c r="I4478" s="2" t="s">
        <v>10352</v>
      </c>
      <c r="J4478" s="3" t="str">
        <f>HYPERLINK("https://www.boe.es/gazeta/dias/1834/09/26/pdfs/GMD-C-1834-224.pdf#page=6","Abrir facsímil")</f>
        <v>Abrir facsímil</v>
      </c>
      <c r="K4478" s="3" t="s">
        <v>24</v>
      </c>
    </row>
    <row r="4479" spans="1:11" ht="54" customHeight="1">
      <c r="A4479" s="2" t="s">
        <v>10323</v>
      </c>
      <c r="B4479" s="2" t="s">
        <v>10324</v>
      </c>
      <c r="C4479" s="2" t="s">
        <v>17</v>
      </c>
      <c r="D4479" s="2" t="s">
        <v>18</v>
      </c>
      <c r="E4479" s="5" t="s">
        <v>1686</v>
      </c>
      <c r="F4479" s="3" t="s">
        <v>2311</v>
      </c>
      <c r="G4479" s="3" t="s">
        <v>34</v>
      </c>
      <c r="H4479" s="2" t="s">
        <v>22</v>
      </c>
      <c r="I4479" s="2" t="s">
        <v>10353</v>
      </c>
      <c r="J4479" s="3" t="str">
        <f>HYPERLINK("https://www.boe.es/gazeta/dias/1834/07/27/pdfs/GMD-C-1834-160.pdf#page=1","Abrir facsímil")</f>
        <v>Abrir facsímil</v>
      </c>
      <c r="K4479" s="3" t="s">
        <v>24</v>
      </c>
    </row>
    <row r="4480" spans="1:11" ht="54" customHeight="1">
      <c r="A4480" s="2" t="s">
        <v>10323</v>
      </c>
      <c r="B4480" s="2" t="s">
        <v>10324</v>
      </c>
      <c r="C4480" s="2" t="s">
        <v>46</v>
      </c>
      <c r="D4480" s="2" t="s">
        <v>101</v>
      </c>
      <c r="E4480" s="5" t="s">
        <v>294</v>
      </c>
      <c r="F4480" s="3" t="s">
        <v>959</v>
      </c>
      <c r="G4480" s="3" t="s">
        <v>21</v>
      </c>
      <c r="H4480" s="2" t="s">
        <v>22</v>
      </c>
      <c r="I4480" s="2" t="s">
        <v>10354</v>
      </c>
      <c r="J4480" s="3" t="str">
        <f>HYPERLINK("https://www.boe.es/gazeta/dias/1834/09/27/pdfs/GMD-C-1834-225.pdf#page=3","Abrir facsímil")</f>
        <v>Abrir facsímil</v>
      </c>
      <c r="K4480" s="3" t="s">
        <v>24</v>
      </c>
    </row>
    <row r="4481" spans="1:11" ht="54" customHeight="1">
      <c r="A4481" s="2" t="s">
        <v>10323</v>
      </c>
      <c r="B4481" s="2" t="s">
        <v>10324</v>
      </c>
      <c r="C4481" s="2" t="s">
        <v>17</v>
      </c>
      <c r="D4481" s="2" t="s">
        <v>18</v>
      </c>
      <c r="E4481" s="5" t="s">
        <v>777</v>
      </c>
      <c r="F4481" s="3" t="s">
        <v>2535</v>
      </c>
      <c r="G4481" s="3" t="s">
        <v>34</v>
      </c>
      <c r="H4481" s="2" t="s">
        <v>22</v>
      </c>
      <c r="I4481" s="2" t="s">
        <v>10355</v>
      </c>
      <c r="J4481" s="3" t="str">
        <f>HYPERLINK("https://www.boe.es/gazeta/dias/1834/10/29/pdfs/GMD-C-1834-257.pdf#page=1","Abrir facsímil")</f>
        <v>Abrir facsímil</v>
      </c>
      <c r="K4481" s="3" t="s">
        <v>24</v>
      </c>
    </row>
    <row r="4482" spans="1:11" ht="54" customHeight="1">
      <c r="A4482" s="2" t="s">
        <v>10323</v>
      </c>
      <c r="B4482" s="2" t="s">
        <v>10324</v>
      </c>
      <c r="C4482" s="2" t="s">
        <v>122</v>
      </c>
      <c r="D4482" s="2" t="s">
        <v>18</v>
      </c>
      <c r="E4482" s="5" t="s">
        <v>283</v>
      </c>
      <c r="F4482" s="3" t="s">
        <v>284</v>
      </c>
      <c r="G4482" s="3" t="s">
        <v>86</v>
      </c>
      <c r="H4482" s="2" t="s">
        <v>22</v>
      </c>
      <c r="I4482" s="2" t="s">
        <v>10356</v>
      </c>
      <c r="J4482" s="3" t="str">
        <f>HYPERLINK("https://www.boe.es/gazeta/dias/1834/11/29/pdfs/GMD-C-1834-288.pdf#page=2","Abrir facsímil")</f>
        <v>Abrir facsímil</v>
      </c>
      <c r="K4482" s="3" t="s">
        <v>24</v>
      </c>
    </row>
    <row r="4483" spans="1:11" ht="54" customHeight="1">
      <c r="A4483" s="2" t="s">
        <v>10357</v>
      </c>
      <c r="B4483" s="2" t="s">
        <v>10358</v>
      </c>
      <c r="C4483" s="2" t="s">
        <v>17</v>
      </c>
      <c r="D4483" s="2" t="s">
        <v>18</v>
      </c>
      <c r="E4483" s="5" t="s">
        <v>167</v>
      </c>
      <c r="F4483" s="3" t="s">
        <v>1200</v>
      </c>
      <c r="G4483" s="3" t="s">
        <v>34</v>
      </c>
      <c r="H4483" s="2" t="s">
        <v>22</v>
      </c>
      <c r="I4483" s="2" t="s">
        <v>10359</v>
      </c>
      <c r="J4483" s="3" t="str">
        <f>HYPERLINK("https://www.boe.es/gazeta/dias/1834/09/07/pdfs/GMD-C-1834-205.pdf#page=1","Abrir facsímil")</f>
        <v>Abrir facsímil</v>
      </c>
      <c r="K4483" s="3" t="s">
        <v>24</v>
      </c>
    </row>
    <row r="4484" spans="1:11" ht="54" customHeight="1">
      <c r="A4484" s="2" t="s">
        <v>10357</v>
      </c>
      <c r="B4484" s="2" t="s">
        <v>10358</v>
      </c>
      <c r="C4484" s="2" t="s">
        <v>17</v>
      </c>
      <c r="D4484" s="2" t="s">
        <v>18</v>
      </c>
      <c r="E4484" s="5" t="s">
        <v>163</v>
      </c>
      <c r="F4484" s="3" t="s">
        <v>4896</v>
      </c>
      <c r="G4484" s="3" t="s">
        <v>34</v>
      </c>
      <c r="H4484" s="2" t="s">
        <v>22</v>
      </c>
      <c r="I4484" s="2" t="s">
        <v>10360</v>
      </c>
      <c r="J4484" s="3" t="str">
        <f>HYPERLINK("https://www.boe.es/gazeta/dias/1834/08/09/pdfs/GMD-C-1834-174.pdf#page=1","Abrir facsímil")</f>
        <v>Abrir facsímil</v>
      </c>
      <c r="K4484" s="3" t="s">
        <v>24</v>
      </c>
    </row>
    <row r="4485" spans="1:11" ht="54" customHeight="1">
      <c r="A4485" s="2" t="s">
        <v>10361</v>
      </c>
      <c r="B4485" s="2" t="s">
        <v>10362</v>
      </c>
      <c r="C4485" s="2" t="s">
        <v>17</v>
      </c>
      <c r="D4485" s="2" t="s">
        <v>18</v>
      </c>
      <c r="E4485" s="5" t="s">
        <v>1195</v>
      </c>
      <c r="F4485" s="3" t="s">
        <v>1196</v>
      </c>
      <c r="G4485" s="3" t="s">
        <v>560</v>
      </c>
      <c r="H4485" s="2" t="s">
        <v>22</v>
      </c>
      <c r="I4485" s="2" t="s">
        <v>10363</v>
      </c>
      <c r="J4485" s="3" t="str">
        <f>HYPERLINK("https://www.boe.es/gazeta/dias/1834/10/17/pdfs/GMD-C-1834-245.pdf#page=7","Abrir facsímil")</f>
        <v>Abrir facsímil</v>
      </c>
      <c r="K4485" s="3" t="s">
        <v>24</v>
      </c>
    </row>
    <row r="4486" spans="1:11" ht="54" customHeight="1">
      <c r="A4486" s="2" t="s">
        <v>10364</v>
      </c>
      <c r="B4486" s="2" t="s">
        <v>10365</v>
      </c>
      <c r="C4486" s="2" t="s">
        <v>17</v>
      </c>
      <c r="D4486" s="2" t="s">
        <v>18</v>
      </c>
      <c r="E4486" s="5" t="s">
        <v>1281</v>
      </c>
      <c r="F4486" s="3" t="s">
        <v>1282</v>
      </c>
      <c r="G4486" s="3" t="s">
        <v>75</v>
      </c>
      <c r="H4486" s="2" t="s">
        <v>35</v>
      </c>
      <c r="I4486" s="2" t="s">
        <v>10366</v>
      </c>
      <c r="J4486" s="3" t="str">
        <f>HYPERLINK("https://www.boe.es/gazeta/dias/1834/10/27/pdfs/GMD-1834-255.pdf#page=4","Abrir facsímil")</f>
        <v>Abrir facsímil</v>
      </c>
      <c r="K4486" s="3" t="s">
        <v>37</v>
      </c>
    </row>
    <row r="4487" spans="1:11" ht="54" customHeight="1">
      <c r="A4487" s="2" t="s">
        <v>10367</v>
      </c>
      <c r="B4487" s="2" t="s">
        <v>10368</v>
      </c>
      <c r="C4487" s="2" t="s">
        <v>17</v>
      </c>
      <c r="D4487" s="2" t="s">
        <v>18</v>
      </c>
      <c r="E4487" s="5" t="s">
        <v>2053</v>
      </c>
      <c r="F4487" s="3" t="s">
        <v>2054</v>
      </c>
      <c r="G4487" s="3" t="s">
        <v>75</v>
      </c>
      <c r="H4487" s="2" t="s">
        <v>22</v>
      </c>
      <c r="I4487" s="2" t="s">
        <v>10369</v>
      </c>
      <c r="J4487" s="3" t="str">
        <f>HYPERLINK("https://www.boe.es/gazeta/dias/1834/06/02/pdfs/GMD-1834-103.pdf#page=4","Abrir facsímil")</f>
        <v>Abrir facsímil</v>
      </c>
      <c r="K4487" s="3" t="s">
        <v>24</v>
      </c>
    </row>
    <row r="4488" spans="1:11" ht="54" customHeight="1">
      <c r="A4488" s="2" t="s">
        <v>10370</v>
      </c>
      <c r="B4488" s="2" t="s">
        <v>10371</v>
      </c>
      <c r="C4488" s="2" t="s">
        <v>17</v>
      </c>
      <c r="D4488" s="2" t="s">
        <v>18</v>
      </c>
      <c r="E4488" s="5" t="s">
        <v>803</v>
      </c>
      <c r="F4488" s="3" t="s">
        <v>804</v>
      </c>
      <c r="G4488" s="3" t="s">
        <v>75</v>
      </c>
      <c r="H4488" s="2" t="s">
        <v>22</v>
      </c>
      <c r="I4488" s="2" t="s">
        <v>10372</v>
      </c>
      <c r="J4488" s="3" t="str">
        <f>HYPERLINK("https://www.boe.es/gazeta/dias/1834/03/29/pdfs/GMD-1834-39.pdf#page=4","Abrir facsímil")</f>
        <v>Abrir facsímil</v>
      </c>
      <c r="K4488" s="3" t="s">
        <v>24</v>
      </c>
    </row>
    <row r="4489" spans="1:11" ht="54" customHeight="1">
      <c r="A4489" s="2" t="s">
        <v>10373</v>
      </c>
      <c r="B4489" s="2" t="s">
        <v>10374</v>
      </c>
      <c r="C4489" s="2" t="s">
        <v>17</v>
      </c>
      <c r="D4489" s="2" t="s">
        <v>18</v>
      </c>
      <c r="E4489" s="5" t="s">
        <v>777</v>
      </c>
      <c r="F4489" s="3" t="s">
        <v>778</v>
      </c>
      <c r="G4489" s="3" t="s">
        <v>21</v>
      </c>
      <c r="H4489" s="2" t="s">
        <v>22</v>
      </c>
      <c r="I4489" s="2" t="s">
        <v>10375</v>
      </c>
      <c r="J4489" s="3" t="str">
        <f>HYPERLINK("https://www.boe.es/gazeta/dias/1834/10/29/pdfs/GMD-1834-257.pdf#page=3","Abrir facsímil")</f>
        <v>Abrir facsímil</v>
      </c>
      <c r="K4489" s="3" t="s">
        <v>24</v>
      </c>
    </row>
    <row r="4490" spans="1:11" ht="54" customHeight="1">
      <c r="A4490" s="2" t="s">
        <v>10376</v>
      </c>
      <c r="B4490" s="2" t="s">
        <v>10377</v>
      </c>
      <c r="C4490" s="2" t="s">
        <v>122</v>
      </c>
      <c r="D4490" s="2" t="s">
        <v>18</v>
      </c>
      <c r="E4490" s="5" t="s">
        <v>1686</v>
      </c>
      <c r="F4490" s="3" t="s">
        <v>1687</v>
      </c>
      <c r="G4490" s="3" t="s">
        <v>21</v>
      </c>
      <c r="H4490" s="2" t="s">
        <v>22</v>
      </c>
      <c r="I4490" s="2" t="s">
        <v>10378</v>
      </c>
      <c r="J4490" s="3" t="str">
        <f>HYPERLINK("https://www.boe.es/gazeta/dias/1834/07/27/pdfs/GMD-1834-160.pdf#page=3","Abrir facsímil")</f>
        <v>Abrir facsímil</v>
      </c>
      <c r="K4490" s="3" t="s">
        <v>24</v>
      </c>
    </row>
    <row r="4491" spans="1:11" ht="54" customHeight="1">
      <c r="A4491" s="2" t="s">
        <v>10379</v>
      </c>
      <c r="B4491" s="2" t="s">
        <v>10380</v>
      </c>
      <c r="C4491" s="2" t="s">
        <v>17</v>
      </c>
      <c r="D4491" s="2" t="s">
        <v>55</v>
      </c>
      <c r="E4491" s="5" t="s">
        <v>251</v>
      </c>
      <c r="F4491" s="3" t="s">
        <v>1278</v>
      </c>
      <c r="G4491" s="3" t="s">
        <v>86</v>
      </c>
      <c r="H4491" s="2" t="s">
        <v>22</v>
      </c>
      <c r="I4491" s="2" t="s">
        <v>10381</v>
      </c>
      <c r="J4491" s="3" t="str">
        <f>HYPERLINK("https://www.boe.es/gazeta/dias/1834/09/26/pdfs/GMD-1834-224.pdf#page=2","Abrir facsímil")</f>
        <v>Abrir facsímil</v>
      </c>
      <c r="K4491" s="3" t="s">
        <v>24</v>
      </c>
    </row>
    <row r="4492" spans="1:11" ht="54" customHeight="1">
      <c r="A4492" s="2" t="s">
        <v>10382</v>
      </c>
      <c r="B4492" s="2" t="s">
        <v>10383</v>
      </c>
      <c r="C4492" s="2" t="s">
        <v>17</v>
      </c>
      <c r="D4492" s="2" t="s">
        <v>18</v>
      </c>
      <c r="E4492" s="5" t="s">
        <v>571</v>
      </c>
      <c r="F4492" s="3" t="s">
        <v>572</v>
      </c>
      <c r="G4492" s="3" t="s">
        <v>34</v>
      </c>
      <c r="H4492" s="2" t="s">
        <v>22</v>
      </c>
      <c r="I4492" s="2" t="s">
        <v>10384</v>
      </c>
      <c r="J4492" s="3" t="str">
        <f>HYPERLINK("https://www.boe.es/gazeta/dias/1834/09/04/pdfs/GMD-1834-202.pdf#page=1","Abrir facsímil")</f>
        <v>Abrir facsímil</v>
      </c>
      <c r="K4492" s="3" t="s">
        <v>24</v>
      </c>
    </row>
    <row r="4493" spans="1:11" ht="54" customHeight="1">
      <c r="A4493" s="2" t="s">
        <v>10385</v>
      </c>
      <c r="B4493" s="2" t="s">
        <v>10386</v>
      </c>
      <c r="C4493" s="2" t="s">
        <v>17</v>
      </c>
      <c r="D4493" s="2" t="s">
        <v>101</v>
      </c>
      <c r="E4493" s="5" t="s">
        <v>68</v>
      </c>
      <c r="F4493" s="3" t="s">
        <v>69</v>
      </c>
      <c r="G4493" s="3" t="s">
        <v>34</v>
      </c>
      <c r="H4493" s="2" t="s">
        <v>22</v>
      </c>
      <c r="I4493" s="2" t="s">
        <v>10387</v>
      </c>
      <c r="J4493" s="3" t="str">
        <f>HYPERLINK("https://www.boe.es/gazeta/dias/1834/11/01/pdfs/I01088-01088.pdf#page=1","Abrir facsímil")</f>
        <v>Abrir facsímil</v>
      </c>
      <c r="K4493" s="3" t="s">
        <v>24</v>
      </c>
    </row>
    <row r="4494" spans="1:11" ht="54" customHeight="1">
      <c r="A4494" s="2" t="s">
        <v>10385</v>
      </c>
      <c r="B4494" s="2" t="s">
        <v>10386</v>
      </c>
      <c r="C4494" s="2" t="s">
        <v>17</v>
      </c>
      <c r="D4494" s="2" t="s">
        <v>101</v>
      </c>
      <c r="E4494" s="5" t="s">
        <v>68</v>
      </c>
      <c r="F4494" s="3" t="s">
        <v>69</v>
      </c>
      <c r="G4494" s="3" t="s">
        <v>75</v>
      </c>
      <c r="H4494" s="2" t="s">
        <v>22</v>
      </c>
      <c r="I4494" s="2" t="s">
        <v>10388</v>
      </c>
      <c r="J4494" s="3" t="str">
        <f>HYPERLINK("https://www.boe.es/gazeta/dias/1834/11/01/pdfs/GMD-1834-260.pdf#page=4","Abrir facsímil")</f>
        <v>Abrir facsímil</v>
      </c>
      <c r="K4494" s="3" t="s">
        <v>24</v>
      </c>
    </row>
    <row r="4495" spans="1:11" ht="54" customHeight="1">
      <c r="A4495" s="2" t="s">
        <v>10389</v>
      </c>
      <c r="B4495" s="2" t="s">
        <v>10390</v>
      </c>
      <c r="C4495" s="2" t="s">
        <v>66</v>
      </c>
      <c r="D4495" s="2" t="s">
        <v>67</v>
      </c>
      <c r="E4495" s="5" t="s">
        <v>167</v>
      </c>
      <c r="F4495" s="3" t="s">
        <v>1200</v>
      </c>
      <c r="G4495" s="3" t="s">
        <v>86</v>
      </c>
      <c r="H4495" s="2" t="s">
        <v>22</v>
      </c>
      <c r="I4495" s="2" t="s">
        <v>10391</v>
      </c>
      <c r="J4495" s="3" t="str">
        <f>HYPERLINK("https://www.boe.es/gazeta/dias/1834/09/07/pdfs/GMD-C-1834-205.pdf#page=2","Abrir facsímil")</f>
        <v>Abrir facsímil</v>
      </c>
      <c r="K4495" s="3" t="s">
        <v>24</v>
      </c>
    </row>
    <row r="4496" spans="1:11" ht="54" customHeight="1">
      <c r="A4496" s="2" t="s">
        <v>10389</v>
      </c>
      <c r="B4496" s="2" t="s">
        <v>10390</v>
      </c>
      <c r="C4496" s="2" t="s">
        <v>90</v>
      </c>
      <c r="D4496" s="2" t="s">
        <v>18</v>
      </c>
      <c r="E4496" s="5" t="s">
        <v>1641</v>
      </c>
      <c r="F4496" s="3" t="s">
        <v>1642</v>
      </c>
      <c r="G4496" s="3" t="s">
        <v>34</v>
      </c>
      <c r="H4496" s="2" t="s">
        <v>22</v>
      </c>
      <c r="I4496" s="2" t="s">
        <v>10392</v>
      </c>
      <c r="J4496" s="3" t="str">
        <f>HYPERLINK("https://www.boe.es/gazeta/dias/1834/09/28/pdfs/GMD-C-1834-226.pdf#page=1","Abrir facsímil")</f>
        <v>Abrir facsímil</v>
      </c>
      <c r="K4496" s="3" t="s">
        <v>24</v>
      </c>
    </row>
    <row r="4497" spans="1:11" ht="54" customHeight="1">
      <c r="A4497" s="2" t="s">
        <v>10393</v>
      </c>
      <c r="B4497" s="2" t="s">
        <v>10394</v>
      </c>
      <c r="C4497" s="2" t="s">
        <v>90</v>
      </c>
      <c r="D4497" s="2" t="s">
        <v>18</v>
      </c>
      <c r="E4497" s="5" t="s">
        <v>3471</v>
      </c>
      <c r="F4497" s="3" t="s">
        <v>3472</v>
      </c>
      <c r="G4497" s="3" t="s">
        <v>21</v>
      </c>
      <c r="H4497" s="2" t="s">
        <v>22</v>
      </c>
      <c r="I4497" s="2" t="s">
        <v>10395</v>
      </c>
      <c r="J4497" s="3" t="str">
        <f>HYPERLINK("https://www.boe.es/gazeta/dias/1834/07/07/pdfs/GMD-1834-140.pdf#page=3","Abrir facsímil")</f>
        <v>Abrir facsímil</v>
      </c>
      <c r="K4497" s="3" t="s">
        <v>24</v>
      </c>
    </row>
    <row r="4498" spans="1:11" ht="54" customHeight="1">
      <c r="A4498" s="2" t="s">
        <v>10396</v>
      </c>
      <c r="B4498" s="2" t="s">
        <v>10397</v>
      </c>
      <c r="C4498" s="2" t="s">
        <v>17</v>
      </c>
      <c r="D4498" s="2" t="s">
        <v>18</v>
      </c>
      <c r="E4498" s="5" t="s">
        <v>4565</v>
      </c>
      <c r="F4498" s="3" t="s">
        <v>4566</v>
      </c>
      <c r="G4498" s="3" t="s">
        <v>75</v>
      </c>
      <c r="H4498" s="2" t="s">
        <v>22</v>
      </c>
      <c r="I4498" s="2" t="s">
        <v>10398</v>
      </c>
      <c r="J4498" s="3" t="str">
        <f>HYPERLINK("https://www.boe.es/gazeta/dias/1834/07/10/pdfs/GMD-1834-143.pdf#page=4","Abrir facsímil")</f>
        <v>Abrir facsímil</v>
      </c>
      <c r="K4498" s="3" t="s">
        <v>24</v>
      </c>
    </row>
    <row r="4499" spans="1:11" ht="54" customHeight="1">
      <c r="A4499" s="2" t="s">
        <v>10399</v>
      </c>
      <c r="B4499" s="2" t="s">
        <v>10400</v>
      </c>
      <c r="C4499" s="2" t="s">
        <v>17</v>
      </c>
      <c r="D4499" s="2" t="s">
        <v>18</v>
      </c>
      <c r="E4499" s="5" t="s">
        <v>416</v>
      </c>
      <c r="F4499" s="3" t="s">
        <v>417</v>
      </c>
      <c r="G4499" s="3" t="s">
        <v>86</v>
      </c>
      <c r="H4499" s="2" t="s">
        <v>22</v>
      </c>
      <c r="I4499" s="2" t="s">
        <v>10401</v>
      </c>
      <c r="J4499" s="3" t="str">
        <f>HYPERLINK("https://www.boe.es/gazeta/dias/1834/10/02/pdfs/GMD-C-1834-230.pdf#page=2","Abrir facsímil")</f>
        <v>Abrir facsímil</v>
      </c>
      <c r="K4499" s="3" t="s">
        <v>24</v>
      </c>
    </row>
    <row r="4500" spans="1:11" ht="54" customHeight="1">
      <c r="A4500" s="2" t="s">
        <v>10402</v>
      </c>
      <c r="B4500" s="2" t="s">
        <v>10403</v>
      </c>
      <c r="C4500" s="2" t="s">
        <v>90</v>
      </c>
      <c r="D4500" s="2" t="s">
        <v>18</v>
      </c>
      <c r="E4500" s="5" t="s">
        <v>73</v>
      </c>
      <c r="F4500" s="3" t="s">
        <v>74</v>
      </c>
      <c r="G4500" s="3" t="s">
        <v>75</v>
      </c>
      <c r="H4500" s="2" t="s">
        <v>22</v>
      </c>
      <c r="I4500" s="2" t="s">
        <v>10404</v>
      </c>
      <c r="J4500" s="3" t="str">
        <f>HYPERLINK("https://www.boe.es/gazeta/dias/1834/11/04/pdfs/GMD-1834-263.pdf#page=4","Abrir facsímil")</f>
        <v>Abrir facsímil</v>
      </c>
      <c r="K4500" s="3" t="s">
        <v>24</v>
      </c>
    </row>
    <row r="4501" spans="1:11" ht="54" customHeight="1">
      <c r="A4501" s="2" t="s">
        <v>10405</v>
      </c>
      <c r="B4501" s="2" t="s">
        <v>10406</v>
      </c>
      <c r="C4501" s="2" t="s">
        <v>46</v>
      </c>
      <c r="D4501" s="2" t="s">
        <v>18</v>
      </c>
      <c r="E4501" s="5" t="s">
        <v>663</v>
      </c>
      <c r="F4501" s="3" t="s">
        <v>664</v>
      </c>
      <c r="G4501" s="3" t="s">
        <v>75</v>
      </c>
      <c r="H4501" s="2" t="s">
        <v>22</v>
      </c>
      <c r="I4501" s="2" t="s">
        <v>10407</v>
      </c>
      <c r="J4501" s="3" t="str">
        <f>HYPERLINK("https://www.boe.es/gazeta/dias/1834/07/16/pdfs/GMD-1834-149.pdf#page=4","Abrir facsímil")</f>
        <v>Abrir facsímil</v>
      </c>
      <c r="K4501" s="3" t="s">
        <v>24</v>
      </c>
    </row>
    <row r="4502" spans="1:11" ht="54" customHeight="1">
      <c r="A4502" s="2" t="s">
        <v>10408</v>
      </c>
      <c r="B4502" s="2" t="s">
        <v>10409</v>
      </c>
      <c r="C4502" s="2" t="s">
        <v>66</v>
      </c>
      <c r="D4502" s="2" t="s">
        <v>67</v>
      </c>
      <c r="E4502" s="5" t="s">
        <v>541</v>
      </c>
      <c r="F4502" s="3" t="s">
        <v>542</v>
      </c>
      <c r="G4502" s="3" t="s">
        <v>75</v>
      </c>
      <c r="H4502" s="2" t="s">
        <v>22</v>
      </c>
      <c r="I4502" s="2" t="s">
        <v>10410</v>
      </c>
      <c r="J4502" s="3" t="str">
        <f>HYPERLINK("https://www.boe.es/gazeta/dias/1834/04/18/pdfs/GMD-1834-57.pdf#page=4","Abrir facsímil")</f>
        <v>Abrir facsímil</v>
      </c>
      <c r="K4502" s="3" t="s">
        <v>24</v>
      </c>
    </row>
    <row r="4503" spans="1:11" ht="54" customHeight="1">
      <c r="A4503" s="2" t="s">
        <v>10411</v>
      </c>
      <c r="B4503" s="2" t="s">
        <v>10412</v>
      </c>
      <c r="C4503" s="2" t="s">
        <v>46</v>
      </c>
      <c r="D4503" s="2" t="s">
        <v>101</v>
      </c>
      <c r="E4503" s="5" t="s">
        <v>506</v>
      </c>
      <c r="F4503" s="3" t="s">
        <v>507</v>
      </c>
      <c r="G4503" s="3" t="s">
        <v>176</v>
      </c>
      <c r="H4503" s="2" t="s">
        <v>22</v>
      </c>
      <c r="I4503" s="2" t="s">
        <v>10413</v>
      </c>
      <c r="J4503" s="3" t="str">
        <f>HYPERLINK("https://www.boe.es/gazeta/dias/1834/03/04/pdfs/GMD-1834-28.pdf#page=6","Abrir facsímil")</f>
        <v>Abrir facsímil</v>
      </c>
      <c r="K4503" s="3" t="s">
        <v>24</v>
      </c>
    </row>
    <row r="4504" spans="1:11" ht="54" customHeight="1">
      <c r="A4504" s="2" t="s">
        <v>10414</v>
      </c>
      <c r="B4504" s="2" t="s">
        <v>10415</v>
      </c>
      <c r="C4504" s="2" t="s">
        <v>66</v>
      </c>
      <c r="D4504" s="2" t="s">
        <v>40</v>
      </c>
      <c r="E4504" s="5" t="s">
        <v>883</v>
      </c>
      <c r="F4504" s="3" t="s">
        <v>3449</v>
      </c>
      <c r="G4504" s="3" t="s">
        <v>75</v>
      </c>
      <c r="H4504" s="2" t="s">
        <v>22</v>
      </c>
      <c r="I4504" s="2" t="s">
        <v>10416</v>
      </c>
      <c r="J4504" s="3" t="str">
        <f>HYPERLINK("https://www.boe.es/gazeta/dias/1834/11/16/pdfs/GMD-1834-275.pdf#page=4","Abrir facsímil")</f>
        <v>Abrir facsímil</v>
      </c>
      <c r="K4504" s="3" t="s">
        <v>24</v>
      </c>
    </row>
    <row r="4505" spans="1:11" ht="54" customHeight="1">
      <c r="A4505" s="2" t="s">
        <v>10417</v>
      </c>
      <c r="B4505" s="2" t="s">
        <v>10418</v>
      </c>
      <c r="C4505" s="2" t="s">
        <v>90</v>
      </c>
      <c r="D4505" s="2" t="s">
        <v>18</v>
      </c>
      <c r="E4505" s="5" t="s">
        <v>1119</v>
      </c>
      <c r="F4505" s="3" t="s">
        <v>1120</v>
      </c>
      <c r="G4505" s="3" t="s">
        <v>21</v>
      </c>
      <c r="H4505" s="2" t="s">
        <v>35</v>
      </c>
      <c r="I4505" s="2" t="s">
        <v>10419</v>
      </c>
      <c r="J4505" s="3" t="str">
        <f>HYPERLINK("https://www.boe.es/gazeta/dias/1834/07/17/pdfs/GMD-1834-150.pdf#page=3","Abrir facsímil")</f>
        <v>Abrir facsímil</v>
      </c>
      <c r="K4505" s="3" t="s">
        <v>37</v>
      </c>
    </row>
    <row r="4506" spans="1:11" ht="54" customHeight="1">
      <c r="A4506" s="2" t="s">
        <v>10420</v>
      </c>
      <c r="B4506" s="2" t="s">
        <v>10421</v>
      </c>
      <c r="C4506" s="2" t="s">
        <v>90</v>
      </c>
      <c r="D4506" s="2" t="s">
        <v>18</v>
      </c>
      <c r="E4506" s="5" t="s">
        <v>1119</v>
      </c>
      <c r="F4506" s="3" t="s">
        <v>1120</v>
      </c>
      <c r="G4506" s="3" t="s">
        <v>21</v>
      </c>
      <c r="H4506" s="2" t="s">
        <v>22</v>
      </c>
      <c r="I4506" s="2" t="s">
        <v>10422</v>
      </c>
      <c r="J4506" s="3" t="str">
        <f>HYPERLINK("https://www.boe.es/gazeta/dias/1834/07/17/pdfs/GMD-1834-150.pdf#page=3","Abrir facsímil")</f>
        <v>Abrir facsímil</v>
      </c>
      <c r="K4506" s="3" t="s">
        <v>24</v>
      </c>
    </row>
    <row r="4507" spans="1:11" ht="54" customHeight="1">
      <c r="A4507" s="2" t="s">
        <v>10420</v>
      </c>
      <c r="B4507" s="2" t="s">
        <v>10421</v>
      </c>
      <c r="C4507" s="2" t="s">
        <v>17</v>
      </c>
      <c r="D4507" s="2" t="s">
        <v>18</v>
      </c>
      <c r="E4507" s="5" t="s">
        <v>606</v>
      </c>
      <c r="F4507" s="3" t="s">
        <v>607</v>
      </c>
      <c r="G4507" s="3" t="s">
        <v>75</v>
      </c>
      <c r="H4507" s="2" t="s">
        <v>22</v>
      </c>
      <c r="I4507" s="2" t="s">
        <v>10423</v>
      </c>
      <c r="J4507" s="3" t="str">
        <f>HYPERLINK("https://www.boe.es/gazeta/dias/1834/06/23/pdfs/GMD-1834-126.pdf#page=4","Abrir facsímil")</f>
        <v>Abrir facsímil</v>
      </c>
      <c r="K4507" s="3" t="s">
        <v>24</v>
      </c>
    </row>
    <row r="4508" spans="1:11" ht="54" customHeight="1">
      <c r="A4508" s="2" t="s">
        <v>10424</v>
      </c>
      <c r="B4508" s="2" t="s">
        <v>10425</v>
      </c>
      <c r="C4508" s="2" t="s">
        <v>46</v>
      </c>
      <c r="D4508" s="2" t="s">
        <v>18</v>
      </c>
      <c r="E4508" s="5" t="s">
        <v>702</v>
      </c>
      <c r="F4508" s="3" t="s">
        <v>2427</v>
      </c>
      <c r="G4508" s="3" t="s">
        <v>86</v>
      </c>
      <c r="H4508" s="2" t="s">
        <v>22</v>
      </c>
      <c r="I4508" s="2" t="s">
        <v>10426</v>
      </c>
      <c r="J4508" s="3" t="str">
        <f>HYPERLINK("https://www.boe.es/gazeta/dias/1834/11/22/pdfs/GMD-1834-281.pdf#page=2","Abrir facsímil")</f>
        <v>Abrir facsímil</v>
      </c>
      <c r="K4508" s="3" t="s">
        <v>24</v>
      </c>
    </row>
    <row r="4509" spans="1:11" ht="54" customHeight="1">
      <c r="A4509" s="2" t="s">
        <v>10427</v>
      </c>
      <c r="B4509" s="2" t="s">
        <v>10428</v>
      </c>
      <c r="C4509" s="2" t="s">
        <v>90</v>
      </c>
      <c r="D4509" s="2" t="s">
        <v>18</v>
      </c>
      <c r="E4509" s="5" t="s">
        <v>2124</v>
      </c>
      <c r="F4509" s="3" t="s">
        <v>2125</v>
      </c>
      <c r="G4509" s="3" t="s">
        <v>21</v>
      </c>
      <c r="H4509" s="2" t="s">
        <v>22</v>
      </c>
      <c r="I4509" s="2" t="s">
        <v>10429</v>
      </c>
      <c r="J4509" s="3" t="str">
        <f>HYPERLINK("https://www.boe.es/gazeta/dias/1834/06/09/pdfs/GMD-1834-112.pdf#page=3","Abrir facsímil")</f>
        <v>Abrir facsímil</v>
      </c>
      <c r="K4509" s="3" t="s">
        <v>24</v>
      </c>
    </row>
    <row r="4510" spans="1:11" ht="54" customHeight="1">
      <c r="A4510" s="2" t="s">
        <v>10430</v>
      </c>
      <c r="B4510" s="2" t="s">
        <v>10431</v>
      </c>
      <c r="C4510" s="2" t="s">
        <v>66</v>
      </c>
      <c r="D4510" s="2" t="s">
        <v>67</v>
      </c>
      <c r="E4510" s="5" t="s">
        <v>2048</v>
      </c>
      <c r="F4510" s="3" t="s">
        <v>2049</v>
      </c>
      <c r="G4510" s="3" t="s">
        <v>75</v>
      </c>
      <c r="H4510" s="2" t="s">
        <v>22</v>
      </c>
      <c r="I4510" s="2" t="s">
        <v>10432</v>
      </c>
      <c r="J4510" s="3" t="str">
        <f>HYPERLINK("https://www.boe.es/gazeta/dias/1834/05/12/pdfs/GMD-1834-81.pdf#page=4","Abrir facsímil")</f>
        <v>Abrir facsímil</v>
      </c>
      <c r="K4510" s="3" t="s">
        <v>24</v>
      </c>
    </row>
    <row r="4511" spans="1:11" ht="54" customHeight="1">
      <c r="A4511" s="2" t="s">
        <v>10433</v>
      </c>
      <c r="B4511" s="2" t="s">
        <v>10434</v>
      </c>
      <c r="C4511" s="2" t="s">
        <v>17</v>
      </c>
      <c r="D4511" s="2" t="s">
        <v>55</v>
      </c>
      <c r="E4511" s="5" t="s">
        <v>237</v>
      </c>
      <c r="F4511" s="3" t="s">
        <v>4609</v>
      </c>
      <c r="G4511" s="3" t="s">
        <v>86</v>
      </c>
      <c r="H4511" s="2" t="s">
        <v>22</v>
      </c>
      <c r="I4511" s="2" t="s">
        <v>10435</v>
      </c>
      <c r="J4511" s="3" t="str">
        <f>HYPERLINK("https://www.boe.es/gazeta/dias/1834/08/15/pdfs/GMD-1834-180.pdf#page=2","Abrir facsímil")</f>
        <v>Abrir facsímil</v>
      </c>
      <c r="K4511" s="3" t="s">
        <v>24</v>
      </c>
    </row>
    <row r="4512" spans="1:11" ht="54" customHeight="1">
      <c r="A4512" s="2" t="s">
        <v>10436</v>
      </c>
      <c r="B4512" s="2" t="s">
        <v>10437</v>
      </c>
      <c r="C4512" s="2" t="s">
        <v>17</v>
      </c>
      <c r="D4512" s="2" t="s">
        <v>101</v>
      </c>
      <c r="E4512" s="5" t="s">
        <v>454</v>
      </c>
      <c r="F4512" s="3" t="s">
        <v>2009</v>
      </c>
      <c r="G4512" s="3" t="s">
        <v>21</v>
      </c>
      <c r="H4512" s="2" t="s">
        <v>22</v>
      </c>
      <c r="I4512" s="2" t="s">
        <v>10438</v>
      </c>
      <c r="J4512" s="3" t="str">
        <f>HYPERLINK("https://www.boe.es/gazeta/dias/1834/10/16/pdfs/GMD-1834-244.pdf#page=3","Abrir facsímil")</f>
        <v>Abrir facsímil</v>
      </c>
      <c r="K4512" s="3" t="s">
        <v>24</v>
      </c>
    </row>
    <row r="4513" spans="1:11" ht="54" customHeight="1">
      <c r="A4513" s="2" t="s">
        <v>10439</v>
      </c>
      <c r="B4513" s="2" t="s">
        <v>10440</v>
      </c>
      <c r="C4513" s="2" t="s">
        <v>17</v>
      </c>
      <c r="D4513" s="2" t="s">
        <v>18</v>
      </c>
      <c r="E4513" s="5" t="s">
        <v>1410</v>
      </c>
      <c r="F4513" s="3" t="s">
        <v>2231</v>
      </c>
      <c r="G4513" s="3" t="s">
        <v>34</v>
      </c>
      <c r="H4513" s="2" t="s">
        <v>22</v>
      </c>
      <c r="I4513" s="2" t="s">
        <v>10441</v>
      </c>
      <c r="J4513" s="3" t="str">
        <f>HYPERLINK("https://www.boe.es/gazeta/dias/1834/09/09/pdfs/GMD-C-1834-207.pdf#page=1","Abrir facsímil")</f>
        <v>Abrir facsímil</v>
      </c>
      <c r="K4513" s="3" t="s">
        <v>24</v>
      </c>
    </row>
    <row r="4514" spans="1:11" ht="54" customHeight="1">
      <c r="A4514" s="2" t="s">
        <v>10442</v>
      </c>
      <c r="B4514" s="2" t="s">
        <v>10443</v>
      </c>
      <c r="C4514" s="2" t="s">
        <v>122</v>
      </c>
      <c r="D4514" s="2" t="s">
        <v>18</v>
      </c>
      <c r="E4514" s="5" t="s">
        <v>838</v>
      </c>
      <c r="F4514" s="3" t="s">
        <v>839</v>
      </c>
      <c r="G4514" s="3" t="s">
        <v>75</v>
      </c>
      <c r="H4514" s="2" t="s">
        <v>35</v>
      </c>
      <c r="I4514" s="2" t="s">
        <v>10444</v>
      </c>
      <c r="J4514" s="3" t="str">
        <f>HYPERLINK("https://www.boe.es/gazeta/dias/1834/07/18/pdfs/GMD-1834-151.pdf#page=4","Abrir facsímil")</f>
        <v>Abrir facsímil</v>
      </c>
      <c r="K4514" s="3" t="s">
        <v>37</v>
      </c>
    </row>
    <row r="4515" spans="1:11" ht="54" customHeight="1">
      <c r="A4515" s="2" t="s">
        <v>10445</v>
      </c>
      <c r="B4515" s="2" t="s">
        <v>10446</v>
      </c>
      <c r="C4515" s="2" t="s">
        <v>46</v>
      </c>
      <c r="D4515" s="2" t="s">
        <v>18</v>
      </c>
      <c r="E4515" s="5" t="s">
        <v>32</v>
      </c>
      <c r="F4515" s="3" t="s">
        <v>33</v>
      </c>
      <c r="G4515" s="3" t="s">
        <v>86</v>
      </c>
      <c r="H4515" s="2" t="s">
        <v>22</v>
      </c>
      <c r="I4515" s="2" t="s">
        <v>10447</v>
      </c>
      <c r="J4515" s="3" t="str">
        <f>HYPERLINK("https://www.boe.es/gazeta/dias/1834/04/23/pdfs/GMD-1834-62.pdf#page=2","Abrir facsímil")</f>
        <v>Abrir facsímil</v>
      </c>
      <c r="K4515" s="3" t="s">
        <v>24</v>
      </c>
    </row>
    <row r="4516" spans="1:11" ht="54" customHeight="1">
      <c r="A4516" s="2" t="s">
        <v>10448</v>
      </c>
      <c r="B4516" s="2" t="s">
        <v>10449</v>
      </c>
      <c r="C4516" s="2" t="s">
        <v>17</v>
      </c>
      <c r="D4516" s="2" t="s">
        <v>18</v>
      </c>
      <c r="E4516" s="5" t="s">
        <v>167</v>
      </c>
      <c r="F4516" s="3" t="s">
        <v>1200</v>
      </c>
      <c r="G4516" s="3" t="s">
        <v>86</v>
      </c>
      <c r="H4516" s="2" t="s">
        <v>22</v>
      </c>
      <c r="I4516" s="2" t="s">
        <v>10450</v>
      </c>
      <c r="J4516" s="3" t="str">
        <f>HYPERLINK("https://www.boe.es/gazeta/dias/1834/09/07/pdfs/GMD-C-1834-205.pdf#page=2","Abrir facsímil")</f>
        <v>Abrir facsímil</v>
      </c>
      <c r="K4516" s="3" t="s">
        <v>24</v>
      </c>
    </row>
    <row r="4517" spans="1:11" ht="54" customHeight="1">
      <c r="A4517" s="2" t="s">
        <v>10451</v>
      </c>
      <c r="B4517" s="2" t="s">
        <v>10452</v>
      </c>
      <c r="C4517" s="2" t="s">
        <v>46</v>
      </c>
      <c r="D4517" s="2" t="s">
        <v>55</v>
      </c>
      <c r="E4517" s="5" t="s">
        <v>1094</v>
      </c>
      <c r="F4517" s="3" t="s">
        <v>1095</v>
      </c>
      <c r="G4517" s="3" t="s">
        <v>21</v>
      </c>
      <c r="H4517" s="2" t="s">
        <v>22</v>
      </c>
      <c r="I4517" s="2" t="s">
        <v>10453</v>
      </c>
      <c r="J4517" s="3" t="str">
        <f>HYPERLINK("https://www.boe.es/gazeta/dias/1834/07/13/pdfs/GMD-1834-146.pdf#page=3","Abrir facsímil")</f>
        <v>Abrir facsímil</v>
      </c>
      <c r="K4517" s="3" t="s">
        <v>24</v>
      </c>
    </row>
    <row r="4518" spans="1:11" ht="54" customHeight="1">
      <c r="A4518" s="2" t="s">
        <v>10454</v>
      </c>
      <c r="B4518" s="2" t="s">
        <v>10455</v>
      </c>
      <c r="C4518" s="2" t="s">
        <v>17</v>
      </c>
      <c r="D4518" s="2" t="s">
        <v>18</v>
      </c>
      <c r="E4518" s="5" t="s">
        <v>576</v>
      </c>
      <c r="F4518" s="3" t="s">
        <v>577</v>
      </c>
      <c r="G4518" s="3" t="s">
        <v>86</v>
      </c>
      <c r="H4518" s="2" t="s">
        <v>22</v>
      </c>
      <c r="I4518" s="2" t="s">
        <v>10456</v>
      </c>
      <c r="J4518" s="3" t="str">
        <f>HYPERLINK("https://www.boe.es/gazeta/dias/1834/09/23/pdfs/GMD-1834-221.pdf#page=2","Abrir facsímil")</f>
        <v>Abrir facsímil</v>
      </c>
      <c r="K4518" s="3" t="s">
        <v>24</v>
      </c>
    </row>
    <row r="4519" spans="1:11" ht="54" customHeight="1">
      <c r="A4519" s="2" t="s">
        <v>10457</v>
      </c>
      <c r="B4519" s="2" t="s">
        <v>10458</v>
      </c>
      <c r="C4519" s="2" t="s">
        <v>66</v>
      </c>
      <c r="D4519" s="2" t="s">
        <v>67</v>
      </c>
      <c r="E4519" s="5" t="s">
        <v>408</v>
      </c>
      <c r="F4519" s="3" t="s">
        <v>409</v>
      </c>
      <c r="G4519" s="3" t="s">
        <v>75</v>
      </c>
      <c r="H4519" s="2" t="s">
        <v>22</v>
      </c>
      <c r="I4519" s="2" t="s">
        <v>10459</v>
      </c>
      <c r="J4519" s="3" t="str">
        <f>HYPERLINK("https://www.boe.es/gazeta/dias/1834/04/28/pdfs/GMD-1834-67.pdf#page=4","Abrir facsímil")</f>
        <v>Abrir facsímil</v>
      </c>
      <c r="K4519" s="3" t="s">
        <v>24</v>
      </c>
    </row>
    <row r="4520" spans="1:11" ht="54" customHeight="1">
      <c r="A4520" s="2" t="s">
        <v>10460</v>
      </c>
      <c r="B4520" s="2" t="s">
        <v>10461</v>
      </c>
      <c r="C4520" s="2" t="s">
        <v>17</v>
      </c>
      <c r="D4520" s="2" t="s">
        <v>18</v>
      </c>
      <c r="E4520" s="5" t="s">
        <v>1839</v>
      </c>
      <c r="F4520" s="3" t="s">
        <v>3598</v>
      </c>
      <c r="G4520" s="3" t="s">
        <v>75</v>
      </c>
      <c r="H4520" s="2" t="s">
        <v>22</v>
      </c>
      <c r="I4520" s="2" t="s">
        <v>10462</v>
      </c>
      <c r="J4520" s="3" t="str">
        <f>HYPERLINK("https://www.boe.es/gazeta/dias/1834/08/12/pdfs/GMD-1834-177.pdf#page=4","Abrir facsímil")</f>
        <v>Abrir facsímil</v>
      </c>
      <c r="K4520" s="3" t="s">
        <v>24</v>
      </c>
    </row>
    <row r="4521" spans="1:11" ht="54" customHeight="1">
      <c r="A4521" s="2" t="s">
        <v>10463</v>
      </c>
      <c r="B4521" s="2" t="s">
        <v>10464</v>
      </c>
      <c r="C4521" s="2" t="s">
        <v>66</v>
      </c>
      <c r="D4521" s="2" t="s">
        <v>67</v>
      </c>
      <c r="E4521" s="5" t="s">
        <v>679</v>
      </c>
      <c r="F4521" s="3" t="s">
        <v>680</v>
      </c>
      <c r="G4521" s="3" t="s">
        <v>34</v>
      </c>
      <c r="H4521" s="2" t="s">
        <v>35</v>
      </c>
      <c r="I4521" s="2" t="s">
        <v>10465</v>
      </c>
      <c r="J4521" s="3" t="str">
        <f>HYPERLINK("https://www.boe.es/gazeta/dias/1834/12/10/pdfs/GMD-1834-299.pdf#page=1","Abrir facsímil")</f>
        <v>Abrir facsímil</v>
      </c>
      <c r="K4521" s="3" t="s">
        <v>37</v>
      </c>
    </row>
    <row r="4522" spans="1:11" ht="54" customHeight="1">
      <c r="A4522" s="2" t="s">
        <v>10466</v>
      </c>
      <c r="B4522" s="2" t="s">
        <v>10467</v>
      </c>
      <c r="C4522" s="2" t="s">
        <v>122</v>
      </c>
      <c r="D4522" s="2" t="s">
        <v>18</v>
      </c>
      <c r="E4522" s="5" t="s">
        <v>1556</v>
      </c>
      <c r="F4522" s="3" t="s">
        <v>1557</v>
      </c>
      <c r="G4522" s="3" t="s">
        <v>21</v>
      </c>
      <c r="H4522" s="2" t="s">
        <v>35</v>
      </c>
      <c r="I4522" s="2" t="s">
        <v>10468</v>
      </c>
      <c r="J4522" s="3" t="str">
        <f>HYPERLINK("https://www.boe.es/gazeta/dias/1834/06/06/pdfs/GMD-1834-108.pdf#page=3","Abrir facsímil")</f>
        <v>Abrir facsímil</v>
      </c>
      <c r="K4522" s="3" t="s">
        <v>37</v>
      </c>
    </row>
    <row r="4523" spans="1:11" ht="54" customHeight="1">
      <c r="A4523" s="2" t="s">
        <v>10469</v>
      </c>
      <c r="B4523" s="2" t="s">
        <v>10470</v>
      </c>
      <c r="C4523" s="2" t="s">
        <v>66</v>
      </c>
      <c r="D4523" s="2" t="s">
        <v>67</v>
      </c>
      <c r="E4523" s="5" t="s">
        <v>679</v>
      </c>
      <c r="F4523" s="3" t="s">
        <v>680</v>
      </c>
      <c r="G4523" s="3" t="s">
        <v>34</v>
      </c>
      <c r="H4523" s="2" t="s">
        <v>22</v>
      </c>
      <c r="I4523" s="2" t="s">
        <v>10471</v>
      </c>
      <c r="J4523" s="3" t="str">
        <f>HYPERLINK("https://www.boe.es/gazeta/dias/1834/12/10/pdfs/GMD-1834-299.pdf#page=1","Abrir facsímil")</f>
        <v>Abrir facsímil</v>
      </c>
      <c r="K4523" s="3" t="s">
        <v>24</v>
      </c>
    </row>
    <row r="4524" spans="1:11" ht="54" customHeight="1">
      <c r="A4524" s="2" t="s">
        <v>10472</v>
      </c>
      <c r="B4524" s="2" t="s">
        <v>10473</v>
      </c>
      <c r="C4524" s="2" t="s">
        <v>122</v>
      </c>
      <c r="D4524" s="2" t="s">
        <v>18</v>
      </c>
      <c r="E4524" s="5" t="s">
        <v>1556</v>
      </c>
      <c r="F4524" s="3" t="s">
        <v>1557</v>
      </c>
      <c r="G4524" s="3" t="s">
        <v>21</v>
      </c>
      <c r="H4524" s="2" t="s">
        <v>22</v>
      </c>
      <c r="I4524" s="2" t="s">
        <v>10474</v>
      </c>
      <c r="J4524" s="3" t="str">
        <f>HYPERLINK("https://www.boe.es/gazeta/dias/1834/06/06/pdfs/GMD-1834-108.pdf#page=3","Abrir facsímil")</f>
        <v>Abrir facsímil</v>
      </c>
      <c r="K4524" s="3" t="s">
        <v>24</v>
      </c>
    </row>
    <row r="4525" spans="1:11" ht="54" customHeight="1">
      <c r="A4525" s="2" t="s">
        <v>10475</v>
      </c>
      <c r="B4525" s="2" t="s">
        <v>10476</v>
      </c>
      <c r="C4525" s="2" t="s">
        <v>17</v>
      </c>
      <c r="D4525" s="2" t="s">
        <v>18</v>
      </c>
      <c r="E4525" s="5" t="s">
        <v>1084</v>
      </c>
      <c r="F4525" s="3" t="s">
        <v>1085</v>
      </c>
      <c r="G4525" s="3" t="s">
        <v>28</v>
      </c>
      <c r="H4525" s="2" t="s">
        <v>35</v>
      </c>
      <c r="I4525" s="2" t="s">
        <v>10477</v>
      </c>
      <c r="J4525" s="3" t="str">
        <f>HYPERLINK("https://www.boe.es/gazeta/dias/1834/05/01/pdfs/GMD-1834-70.pdf#page=5","Abrir facsímil")</f>
        <v>Abrir facsímil</v>
      </c>
      <c r="K4525" s="3" t="s">
        <v>37</v>
      </c>
    </row>
    <row r="4526" spans="1:11" ht="54" customHeight="1">
      <c r="A4526" s="2" t="s">
        <v>10478</v>
      </c>
      <c r="B4526" s="2" t="s">
        <v>10479</v>
      </c>
      <c r="C4526" s="2" t="s">
        <v>17</v>
      </c>
      <c r="D4526" s="2" t="s">
        <v>18</v>
      </c>
      <c r="E4526" s="5" t="s">
        <v>1084</v>
      </c>
      <c r="F4526" s="3" t="s">
        <v>1085</v>
      </c>
      <c r="G4526" s="3" t="s">
        <v>28</v>
      </c>
      <c r="H4526" s="2" t="s">
        <v>22</v>
      </c>
      <c r="I4526" s="2" t="s">
        <v>10480</v>
      </c>
      <c r="J4526" s="3" t="str">
        <f>HYPERLINK("https://www.boe.es/gazeta/dias/1834/05/01/pdfs/GMD-1834-70.pdf#page=5","Abrir facsímil")</f>
        <v>Abrir facsímil</v>
      </c>
      <c r="K4526" s="3" t="s">
        <v>24</v>
      </c>
    </row>
    <row r="4527" spans="1:11" ht="54" customHeight="1">
      <c r="A4527" s="2" t="s">
        <v>10481</v>
      </c>
      <c r="B4527" s="2" t="s">
        <v>10482</v>
      </c>
      <c r="C4527" s="2" t="s">
        <v>17</v>
      </c>
      <c r="D4527" s="2" t="s">
        <v>18</v>
      </c>
      <c r="E4527" s="5" t="s">
        <v>1658</v>
      </c>
      <c r="F4527" s="3" t="s">
        <v>1659</v>
      </c>
      <c r="G4527" s="3" t="s">
        <v>75</v>
      </c>
      <c r="H4527" s="2" t="s">
        <v>35</v>
      </c>
      <c r="I4527" s="2" t="s">
        <v>10483</v>
      </c>
      <c r="J4527" s="3" t="str">
        <f>HYPERLINK("https://www.boe.es/gazeta/dias/1834/04/05/pdfs/GMD-1834-44.pdf#page=4","Abrir facsímil")</f>
        <v>Abrir facsímil</v>
      </c>
      <c r="K4527" s="3" t="s">
        <v>37</v>
      </c>
    </row>
    <row r="4528" spans="1:11" ht="54" customHeight="1">
      <c r="A4528" s="2" t="s">
        <v>10481</v>
      </c>
      <c r="B4528" s="2" t="s">
        <v>10482</v>
      </c>
      <c r="C4528" s="2" t="s">
        <v>66</v>
      </c>
      <c r="D4528" s="2" t="s">
        <v>67</v>
      </c>
      <c r="E4528" s="5" t="s">
        <v>1517</v>
      </c>
      <c r="F4528" s="3" t="s">
        <v>1518</v>
      </c>
      <c r="G4528" s="3" t="s">
        <v>75</v>
      </c>
      <c r="H4528" s="2" t="s">
        <v>35</v>
      </c>
      <c r="I4528" s="2" t="s">
        <v>10484</v>
      </c>
      <c r="J4528" s="3" t="str">
        <f>HYPERLINK("https://www.boe.es/gazeta/dias/1834/05/18/pdfs/GMD-1834-87.pdf#page=4","Abrir facsímil")</f>
        <v>Abrir facsímil</v>
      </c>
      <c r="K4528" s="3" t="s">
        <v>37</v>
      </c>
    </row>
    <row r="4529" spans="1:11" ht="54" customHeight="1">
      <c r="A4529" s="2" t="s">
        <v>10481</v>
      </c>
      <c r="B4529" s="2" t="s">
        <v>10482</v>
      </c>
      <c r="C4529" s="2" t="s">
        <v>17</v>
      </c>
      <c r="D4529" s="2" t="s">
        <v>18</v>
      </c>
      <c r="E4529" s="5" t="s">
        <v>143</v>
      </c>
      <c r="F4529" s="3" t="s">
        <v>144</v>
      </c>
      <c r="G4529" s="3" t="s">
        <v>21</v>
      </c>
      <c r="H4529" s="2" t="s">
        <v>35</v>
      </c>
      <c r="I4529" s="2" t="s">
        <v>10485</v>
      </c>
      <c r="J4529" s="3" t="str">
        <f>HYPERLINK("https://www.boe.es/gazeta/dias/1834/07/31/pdfs/GMD-1834-164.pdf#page=3","Abrir facsímil")</f>
        <v>Abrir facsímil</v>
      </c>
      <c r="K4529" s="3" t="s">
        <v>37</v>
      </c>
    </row>
    <row r="4530" spans="1:11" ht="54" customHeight="1">
      <c r="A4530" s="2" t="s">
        <v>10486</v>
      </c>
      <c r="B4530" s="2" t="s">
        <v>10487</v>
      </c>
      <c r="C4530" s="2" t="s">
        <v>66</v>
      </c>
      <c r="D4530" s="2" t="s">
        <v>67</v>
      </c>
      <c r="E4530" s="5" t="s">
        <v>73</v>
      </c>
      <c r="F4530" s="3" t="s">
        <v>74</v>
      </c>
      <c r="G4530" s="3" t="s">
        <v>75</v>
      </c>
      <c r="H4530" s="2" t="s">
        <v>22</v>
      </c>
      <c r="I4530" s="2" t="s">
        <v>10488</v>
      </c>
      <c r="J4530" s="3" t="str">
        <f>HYPERLINK("https://www.boe.es/gazeta/dias/1834/11/04/pdfs/GMD-1834-263.pdf#page=4","Abrir facsímil")</f>
        <v>Abrir facsímil</v>
      </c>
      <c r="K4530" s="3" t="s">
        <v>24</v>
      </c>
    </row>
    <row r="4531" spans="1:11" ht="54" customHeight="1">
      <c r="A4531" s="2" t="s">
        <v>10489</v>
      </c>
      <c r="B4531" s="2" t="s">
        <v>10490</v>
      </c>
      <c r="C4531" s="2" t="s">
        <v>17</v>
      </c>
      <c r="D4531" s="2" t="s">
        <v>18</v>
      </c>
      <c r="E4531" s="5" t="s">
        <v>1658</v>
      </c>
      <c r="F4531" s="3" t="s">
        <v>1659</v>
      </c>
      <c r="G4531" s="3" t="s">
        <v>75</v>
      </c>
      <c r="H4531" s="2" t="s">
        <v>22</v>
      </c>
      <c r="I4531" s="2" t="s">
        <v>10491</v>
      </c>
      <c r="J4531" s="3" t="str">
        <f>HYPERLINK("https://www.boe.es/gazeta/dias/1834/04/05/pdfs/GMD-1834-44.pdf#page=4","Abrir facsímil")</f>
        <v>Abrir facsímil</v>
      </c>
      <c r="K4531" s="3" t="s">
        <v>24</v>
      </c>
    </row>
    <row r="4532" spans="1:11" ht="54" customHeight="1">
      <c r="A4532" s="2" t="s">
        <v>10489</v>
      </c>
      <c r="B4532" s="2" t="s">
        <v>10490</v>
      </c>
      <c r="C4532" s="2" t="s">
        <v>66</v>
      </c>
      <c r="D4532" s="2" t="s">
        <v>67</v>
      </c>
      <c r="E4532" s="5" t="s">
        <v>1517</v>
      </c>
      <c r="F4532" s="3" t="s">
        <v>1518</v>
      </c>
      <c r="G4532" s="3" t="s">
        <v>75</v>
      </c>
      <c r="H4532" s="2" t="s">
        <v>22</v>
      </c>
      <c r="I4532" s="2" t="s">
        <v>10492</v>
      </c>
      <c r="J4532" s="3" t="str">
        <f>HYPERLINK("https://www.boe.es/gazeta/dias/1834/05/18/pdfs/GMD-1834-87.pdf#page=4","Abrir facsímil")</f>
        <v>Abrir facsímil</v>
      </c>
      <c r="K4532" s="3" t="s">
        <v>24</v>
      </c>
    </row>
    <row r="4533" spans="1:11" ht="54" customHeight="1">
      <c r="A4533" s="2" t="s">
        <v>10489</v>
      </c>
      <c r="B4533" s="2" t="s">
        <v>10490</v>
      </c>
      <c r="C4533" s="2" t="s">
        <v>17</v>
      </c>
      <c r="D4533" s="2" t="s">
        <v>18</v>
      </c>
      <c r="E4533" s="5" t="s">
        <v>143</v>
      </c>
      <c r="F4533" s="3" t="s">
        <v>144</v>
      </c>
      <c r="G4533" s="3" t="s">
        <v>21</v>
      </c>
      <c r="H4533" s="2" t="s">
        <v>22</v>
      </c>
      <c r="I4533" s="2" t="s">
        <v>10493</v>
      </c>
      <c r="J4533" s="3" t="str">
        <f>HYPERLINK("https://www.boe.es/gazeta/dias/1834/07/31/pdfs/GMD-1834-164.pdf#page=3","Abrir facsímil")</f>
        <v>Abrir facsímil</v>
      </c>
      <c r="K4533" s="3" t="s">
        <v>24</v>
      </c>
    </row>
    <row r="4534" spans="1:11" ht="54" customHeight="1">
      <c r="A4534" s="2" t="s">
        <v>10494</v>
      </c>
      <c r="B4534" s="2" t="s">
        <v>10495</v>
      </c>
      <c r="C4534" s="2" t="s">
        <v>66</v>
      </c>
      <c r="D4534" s="2" t="s">
        <v>67</v>
      </c>
      <c r="E4534" s="5" t="s">
        <v>304</v>
      </c>
      <c r="F4534" s="3" t="s">
        <v>305</v>
      </c>
      <c r="G4534" s="3" t="s">
        <v>21</v>
      </c>
      <c r="H4534" s="2" t="s">
        <v>22</v>
      </c>
      <c r="I4534" s="2" t="s">
        <v>10496</v>
      </c>
      <c r="J4534" s="3" t="str">
        <f>HYPERLINK("https://www.boe.es/gazeta/dias/1834/01/21/pdfs/GMD-1834-10.pdf#page=3","Abrir facsímil")</f>
        <v>Abrir facsímil</v>
      </c>
      <c r="K4534" s="3" t="s">
        <v>24</v>
      </c>
    </row>
    <row r="4535" spans="1:11" ht="54" customHeight="1">
      <c r="A4535" s="2" t="s">
        <v>10497</v>
      </c>
      <c r="B4535" s="2" t="s">
        <v>10498</v>
      </c>
      <c r="C4535" s="2" t="s">
        <v>17</v>
      </c>
      <c r="D4535" s="2" t="s">
        <v>55</v>
      </c>
      <c r="E4535" s="5" t="s">
        <v>707</v>
      </c>
      <c r="F4535" s="3" t="s">
        <v>1359</v>
      </c>
      <c r="G4535" s="3" t="s">
        <v>86</v>
      </c>
      <c r="H4535" s="2" t="s">
        <v>35</v>
      </c>
      <c r="I4535" s="2" t="s">
        <v>10499</v>
      </c>
      <c r="J4535" s="3" t="str">
        <f>HYPERLINK("https://www.boe.es/gazeta/dias/1834/11/25/pdfs/GMD-1834-284.pdf#page=2","Abrir facsímil")</f>
        <v>Abrir facsímil</v>
      </c>
      <c r="K4535" s="3" t="s">
        <v>37</v>
      </c>
    </row>
    <row r="4536" spans="1:11" ht="54" customHeight="1">
      <c r="A4536" s="2" t="s">
        <v>10500</v>
      </c>
      <c r="B4536" s="2" t="s">
        <v>10501</v>
      </c>
      <c r="C4536" s="2" t="s">
        <v>17</v>
      </c>
      <c r="D4536" s="2" t="s">
        <v>55</v>
      </c>
      <c r="E4536" s="5" t="s">
        <v>928</v>
      </c>
      <c r="F4536" s="3" t="s">
        <v>3338</v>
      </c>
      <c r="G4536" s="3" t="s">
        <v>86</v>
      </c>
      <c r="H4536" s="2" t="s">
        <v>22</v>
      </c>
      <c r="I4536" s="2" t="s">
        <v>10502</v>
      </c>
      <c r="J4536" s="3" t="str">
        <f>HYPERLINK("https://www.boe.es/gazeta/dias/1834/11/15/pdfs/GMD-1834-274.pdf#page=2","Abrir facsímil")</f>
        <v>Abrir facsímil</v>
      </c>
      <c r="K4536" s="3" t="s">
        <v>24</v>
      </c>
    </row>
    <row r="4537" spans="1:11" ht="54" customHeight="1">
      <c r="A4537" s="2" t="s">
        <v>10503</v>
      </c>
      <c r="B4537" s="2" t="s">
        <v>10504</v>
      </c>
      <c r="C4537" s="2" t="s">
        <v>66</v>
      </c>
      <c r="D4537" s="2" t="s">
        <v>101</v>
      </c>
      <c r="E4537" s="5" t="s">
        <v>416</v>
      </c>
      <c r="F4537" s="3" t="s">
        <v>1130</v>
      </c>
      <c r="G4537" s="3" t="s">
        <v>34</v>
      </c>
      <c r="H4537" s="2" t="s">
        <v>22</v>
      </c>
      <c r="I4537" s="2" t="s">
        <v>10505</v>
      </c>
      <c r="J4537" s="3" t="str">
        <f>HYPERLINK("https://www.boe.es/gazeta/dias/1834/10/02/pdfs/GMD-1834-230.pdf#page=1","Abrir facsímil")</f>
        <v>Abrir facsímil</v>
      </c>
      <c r="K4537" s="3" t="s">
        <v>24</v>
      </c>
    </row>
    <row r="4538" spans="1:11" ht="54" customHeight="1">
      <c r="A4538" s="2" t="s">
        <v>10506</v>
      </c>
      <c r="B4538" s="2" t="s">
        <v>10507</v>
      </c>
      <c r="C4538" s="2" t="s">
        <v>66</v>
      </c>
      <c r="D4538" s="2" t="s">
        <v>67</v>
      </c>
      <c r="E4538" s="5" t="s">
        <v>1862</v>
      </c>
      <c r="F4538" s="3" t="s">
        <v>1863</v>
      </c>
      <c r="G4538" s="3" t="s">
        <v>75</v>
      </c>
      <c r="H4538" s="2" t="s">
        <v>22</v>
      </c>
      <c r="I4538" s="2" t="s">
        <v>10508</v>
      </c>
      <c r="J4538" s="3" t="str">
        <f>HYPERLINK("https://www.boe.es/gazeta/dias/1834/02/04/pdfs/GMD-1834-16.pdf#page=4","Abrir facsímil")</f>
        <v>Abrir facsímil</v>
      </c>
      <c r="K4538" s="3" t="s">
        <v>24</v>
      </c>
    </row>
    <row r="4539" spans="1:11" ht="54" customHeight="1">
      <c r="A4539" s="2" t="s">
        <v>10509</v>
      </c>
      <c r="B4539" s="2" t="s">
        <v>10510</v>
      </c>
      <c r="C4539" s="2" t="s">
        <v>17</v>
      </c>
      <c r="D4539" s="2" t="s">
        <v>18</v>
      </c>
      <c r="E4539" s="5" t="s">
        <v>762</v>
      </c>
      <c r="F4539" s="3" t="s">
        <v>2227</v>
      </c>
      <c r="G4539" s="3" t="s">
        <v>28</v>
      </c>
      <c r="H4539" s="2" t="s">
        <v>22</v>
      </c>
      <c r="I4539" s="2" t="s">
        <v>10511</v>
      </c>
      <c r="J4539" s="3" t="str">
        <f>HYPERLINK("https://www.boe.es/gazeta/dias/1834/11/07/pdfs/GMD-C-1834-266.pdf#page=5","Abrir facsímil")</f>
        <v>Abrir facsímil</v>
      </c>
      <c r="K4539" s="3" t="s">
        <v>24</v>
      </c>
    </row>
    <row r="4540" spans="1:11" ht="54" customHeight="1">
      <c r="A4540" s="2" t="s">
        <v>10512</v>
      </c>
      <c r="B4540" s="2" t="s">
        <v>10513</v>
      </c>
      <c r="C4540" s="2" t="s">
        <v>17</v>
      </c>
      <c r="D4540" s="2" t="s">
        <v>18</v>
      </c>
      <c r="E4540" s="5" t="s">
        <v>426</v>
      </c>
      <c r="F4540" s="3" t="s">
        <v>694</v>
      </c>
      <c r="G4540" s="3" t="s">
        <v>34</v>
      </c>
      <c r="H4540" s="2" t="s">
        <v>22</v>
      </c>
      <c r="I4540" s="2" t="s">
        <v>10514</v>
      </c>
      <c r="J4540" s="3" t="str">
        <f>HYPERLINK("https://www.boe.es/gazeta/dias/1834/10/04/pdfs/GMD-C-1834-232.pdf#page=1","Abrir facsímil")</f>
        <v>Abrir facsímil</v>
      </c>
      <c r="K4540" s="3" t="s">
        <v>24</v>
      </c>
    </row>
    <row r="4541" spans="1:11" ht="54" customHeight="1">
      <c r="A4541" s="2" t="s">
        <v>10515</v>
      </c>
      <c r="B4541" s="2" t="s">
        <v>10516</v>
      </c>
      <c r="C4541" s="2" t="s">
        <v>17</v>
      </c>
      <c r="D4541" s="2" t="s">
        <v>18</v>
      </c>
      <c r="E4541" s="5" t="s">
        <v>928</v>
      </c>
      <c r="F4541" s="3" t="s">
        <v>929</v>
      </c>
      <c r="G4541" s="3" t="s">
        <v>86</v>
      </c>
      <c r="H4541" s="2" t="s">
        <v>22</v>
      </c>
      <c r="I4541" s="2" t="s">
        <v>10517</v>
      </c>
      <c r="J4541" s="3" t="str">
        <f>HYPERLINK("https://www.boe.es/gazeta/dias/1834/11/15/pdfs/GMD-C-1834-274.pdf#page=2","Abrir facsímil")</f>
        <v>Abrir facsímil</v>
      </c>
      <c r="K4541" s="3" t="s">
        <v>24</v>
      </c>
    </row>
    <row r="4542" spans="1:11" ht="54" customHeight="1">
      <c r="A4542" s="2" t="s">
        <v>10515</v>
      </c>
      <c r="B4542" s="2" t="s">
        <v>10516</v>
      </c>
      <c r="C4542" s="2" t="s">
        <v>17</v>
      </c>
      <c r="D4542" s="2" t="s">
        <v>18</v>
      </c>
      <c r="E4542" s="5" t="s">
        <v>2278</v>
      </c>
      <c r="F4542" s="3" t="s">
        <v>2279</v>
      </c>
      <c r="G4542" s="3" t="s">
        <v>21</v>
      </c>
      <c r="H4542" s="2" t="s">
        <v>22</v>
      </c>
      <c r="I4542" s="2" t="s">
        <v>10518</v>
      </c>
      <c r="J4542" s="3" t="str">
        <f>HYPERLINK("https://www.boe.es/gazeta/dias/1834/12/17/pdfs/GMD-C-1834-306.pdf#page=3","Abrir facsímil")</f>
        <v>Abrir facsímil</v>
      </c>
      <c r="K4542" s="3" t="s">
        <v>24</v>
      </c>
    </row>
    <row r="4543" spans="1:11" ht="54" customHeight="1">
      <c r="A4543" s="2" t="s">
        <v>10515</v>
      </c>
      <c r="B4543" s="2" t="s">
        <v>10516</v>
      </c>
      <c r="C4543" s="2" t="s">
        <v>90</v>
      </c>
      <c r="D4543" s="2" t="s">
        <v>18</v>
      </c>
      <c r="E4543" s="5" t="s">
        <v>2596</v>
      </c>
      <c r="F4543" s="3" t="s">
        <v>5480</v>
      </c>
      <c r="G4543" s="3" t="s">
        <v>86</v>
      </c>
      <c r="H4543" s="2" t="s">
        <v>22</v>
      </c>
      <c r="I4543" s="2" t="s">
        <v>10519</v>
      </c>
      <c r="J4543" s="3" t="str">
        <f>HYPERLINK("https://www.boe.es/gazeta/dias/1834/10/22/pdfs/GMD-C-1834-250.pdf#page=2","Abrir facsímil")</f>
        <v>Abrir facsímil</v>
      </c>
      <c r="K4543" s="3" t="s">
        <v>24</v>
      </c>
    </row>
    <row r="4544" spans="1:11" ht="54" customHeight="1">
      <c r="A4544" s="2" t="s">
        <v>10520</v>
      </c>
      <c r="B4544" s="2" t="s">
        <v>10521</v>
      </c>
      <c r="C4544" s="2" t="s">
        <v>122</v>
      </c>
      <c r="D4544" s="2" t="s">
        <v>18</v>
      </c>
      <c r="E4544" s="5" t="s">
        <v>355</v>
      </c>
      <c r="F4544" s="3" t="s">
        <v>356</v>
      </c>
      <c r="G4544" s="3" t="s">
        <v>86</v>
      </c>
      <c r="H4544" s="2" t="s">
        <v>35</v>
      </c>
      <c r="I4544" s="2" t="s">
        <v>10522</v>
      </c>
      <c r="J4544" s="3" t="str">
        <f>HYPERLINK("https://www.boe.es/gazeta/dias/1834/07/04/pdfs/GMD-1834-137.pdf#page=2","Abrir facsímil")</f>
        <v>Abrir facsímil</v>
      </c>
      <c r="K4544" s="3" t="s">
        <v>37</v>
      </c>
    </row>
    <row r="4545" spans="1:11" ht="54" customHeight="1">
      <c r="A4545" s="2" t="s">
        <v>10523</v>
      </c>
      <c r="B4545" s="2" t="s">
        <v>10524</v>
      </c>
      <c r="C4545" s="2" t="s">
        <v>122</v>
      </c>
      <c r="D4545" s="2" t="s">
        <v>18</v>
      </c>
      <c r="E4545" s="5" t="s">
        <v>355</v>
      </c>
      <c r="F4545" s="3" t="s">
        <v>356</v>
      </c>
      <c r="G4545" s="3" t="s">
        <v>86</v>
      </c>
      <c r="H4545" s="2" t="s">
        <v>22</v>
      </c>
      <c r="I4545" s="2" t="s">
        <v>10525</v>
      </c>
      <c r="J4545" s="3" t="str">
        <f>HYPERLINK("https://www.boe.es/gazeta/dias/1834/07/04/pdfs/GMD-1834-137.pdf#page=2","Abrir facsímil")</f>
        <v>Abrir facsímil</v>
      </c>
      <c r="K4545" s="3" t="s">
        <v>24</v>
      </c>
    </row>
    <row r="4546" spans="1:11" ht="54" customHeight="1">
      <c r="A4546" s="2" t="s">
        <v>10523</v>
      </c>
      <c r="B4546" s="2" t="s">
        <v>10524</v>
      </c>
      <c r="C4546" s="2" t="s">
        <v>17</v>
      </c>
      <c r="D4546" s="2" t="s">
        <v>18</v>
      </c>
      <c r="E4546" s="5" t="s">
        <v>133</v>
      </c>
      <c r="F4546" s="3" t="s">
        <v>134</v>
      </c>
      <c r="G4546" s="3" t="s">
        <v>75</v>
      </c>
      <c r="H4546" s="2" t="s">
        <v>22</v>
      </c>
      <c r="I4546" s="2" t="s">
        <v>10526</v>
      </c>
      <c r="J4546" s="3" t="str">
        <f>HYPERLINK("https://www.boe.es/gazeta/dias/1834/06/18/pdfs/GMD-1834-121.pdf#page=4","Abrir facsímil")</f>
        <v>Abrir facsímil</v>
      </c>
      <c r="K4546" s="3" t="s">
        <v>24</v>
      </c>
    </row>
    <row r="4547" spans="1:11" ht="54" customHeight="1">
      <c r="A4547" s="2" t="s">
        <v>10523</v>
      </c>
      <c r="B4547" s="2" t="s">
        <v>10524</v>
      </c>
      <c r="C4547" s="2" t="s">
        <v>46</v>
      </c>
      <c r="D4547" s="2" t="s">
        <v>101</v>
      </c>
      <c r="E4547" s="5" t="s">
        <v>2950</v>
      </c>
      <c r="F4547" s="3" t="s">
        <v>2951</v>
      </c>
      <c r="G4547" s="3" t="s">
        <v>75</v>
      </c>
      <c r="H4547" s="2" t="s">
        <v>22</v>
      </c>
      <c r="I4547" s="2" t="s">
        <v>10527</v>
      </c>
      <c r="J4547" s="3" t="str">
        <f>HYPERLINK("https://www.boe.es/gazeta/dias/1834/05/20/pdfs/GMD-1834-89.pdf#page=4","Abrir facsímil")</f>
        <v>Abrir facsímil</v>
      </c>
      <c r="K4547" s="3" t="s">
        <v>24</v>
      </c>
    </row>
    <row r="4548" spans="1:11" ht="54" customHeight="1">
      <c r="A4548" s="2" t="s">
        <v>10528</v>
      </c>
      <c r="B4548" s="2" t="s">
        <v>10529</v>
      </c>
      <c r="C4548" s="2" t="s">
        <v>46</v>
      </c>
      <c r="D4548" s="2" t="s">
        <v>101</v>
      </c>
      <c r="E4548" s="5" t="s">
        <v>426</v>
      </c>
      <c r="F4548" s="3" t="s">
        <v>427</v>
      </c>
      <c r="G4548" s="3" t="s">
        <v>21</v>
      </c>
      <c r="H4548" s="2" t="s">
        <v>22</v>
      </c>
      <c r="I4548" s="2" t="s">
        <v>10530</v>
      </c>
      <c r="J4548" s="3" t="str">
        <f>HYPERLINK("https://www.boe.es/gazeta/dias/1834/10/04/pdfs/GMD-1834-232.pdf#page=3","Abrir facsímil")</f>
        <v>Abrir facsímil</v>
      </c>
      <c r="K4548" s="3" t="s">
        <v>24</v>
      </c>
    </row>
    <row r="4549" spans="1:11" ht="54" customHeight="1">
      <c r="A4549" s="2" t="s">
        <v>10531</v>
      </c>
      <c r="B4549" s="2" t="s">
        <v>10532</v>
      </c>
      <c r="C4549" s="2" t="s">
        <v>90</v>
      </c>
      <c r="D4549" s="2" t="s">
        <v>18</v>
      </c>
      <c r="E4549" s="5" t="s">
        <v>441</v>
      </c>
      <c r="F4549" s="3" t="s">
        <v>442</v>
      </c>
      <c r="G4549" s="3" t="s">
        <v>34</v>
      </c>
      <c r="H4549" s="2" t="s">
        <v>22</v>
      </c>
      <c r="I4549" s="2" t="s">
        <v>10533</v>
      </c>
      <c r="J4549" s="3" t="str">
        <f>HYPERLINK("https://www.boe.es/gazeta/dias/1834/11/10/pdfs/GMD-1834-269.pdf#page=1","Abrir facsímil")</f>
        <v>Abrir facsímil</v>
      </c>
      <c r="K4549" s="3" t="s">
        <v>24</v>
      </c>
    </row>
    <row r="4550" spans="1:11" ht="54" customHeight="1">
      <c r="A4550" s="2" t="s">
        <v>10534</v>
      </c>
      <c r="B4550" s="2" t="s">
        <v>10535</v>
      </c>
      <c r="C4550" s="2" t="s">
        <v>17</v>
      </c>
      <c r="D4550" s="2" t="s">
        <v>55</v>
      </c>
      <c r="E4550" s="5" t="s">
        <v>375</v>
      </c>
      <c r="F4550" s="3" t="s">
        <v>376</v>
      </c>
      <c r="G4550" s="3" t="s">
        <v>34</v>
      </c>
      <c r="H4550" s="2" t="s">
        <v>22</v>
      </c>
      <c r="I4550" s="2" t="s">
        <v>10536</v>
      </c>
      <c r="J4550" s="3" t="str">
        <f>HYPERLINK("https://www.boe.es/gazeta/dias/1834/08/21/pdfs/GMD-1834-187.pdf#page=1","Abrir facsímil")</f>
        <v>Abrir facsímil</v>
      </c>
      <c r="K4550" s="3" t="s">
        <v>24</v>
      </c>
    </row>
    <row r="4551" spans="1:11" ht="54" customHeight="1">
      <c r="A4551" s="2" t="s">
        <v>10537</v>
      </c>
      <c r="B4551" s="2" t="s">
        <v>10538</v>
      </c>
      <c r="C4551" s="2" t="s">
        <v>122</v>
      </c>
      <c r="D4551" s="2" t="s">
        <v>40</v>
      </c>
      <c r="E4551" s="5" t="s">
        <v>870</v>
      </c>
      <c r="F4551" s="3" t="s">
        <v>871</v>
      </c>
      <c r="G4551" s="3" t="s">
        <v>75</v>
      </c>
      <c r="H4551" s="2" t="s">
        <v>22</v>
      </c>
      <c r="I4551" s="2" t="s">
        <v>10539</v>
      </c>
      <c r="J4551" s="3" t="str">
        <f>HYPERLINK("https://www.boe.es/gazeta/dias/1834/05/28/pdfs/GMD-1834-97.pdf#page=4","Abrir facsímil")</f>
        <v>Abrir facsímil</v>
      </c>
      <c r="K4551" s="3" t="s">
        <v>24</v>
      </c>
    </row>
    <row r="4552" spans="1:11" ht="54" customHeight="1">
      <c r="A4552" s="2" t="s">
        <v>10540</v>
      </c>
      <c r="B4552" s="2" t="s">
        <v>10541</v>
      </c>
      <c r="C4552" s="2" t="s">
        <v>46</v>
      </c>
      <c r="D4552" s="2" t="s">
        <v>55</v>
      </c>
      <c r="E4552" s="5" t="s">
        <v>506</v>
      </c>
      <c r="F4552" s="3" t="s">
        <v>507</v>
      </c>
      <c r="G4552" s="3" t="s">
        <v>75</v>
      </c>
      <c r="H4552" s="2" t="s">
        <v>22</v>
      </c>
      <c r="I4552" s="2" t="s">
        <v>10542</v>
      </c>
      <c r="J4552" s="3" t="str">
        <f>HYPERLINK("https://www.boe.es/gazeta/dias/1834/03/04/pdfs/GMD-1834-28.pdf#page=4","Abrir facsímil")</f>
        <v>Abrir facsímil</v>
      </c>
      <c r="K4552" s="3" t="s">
        <v>24</v>
      </c>
    </row>
    <row r="4553" spans="1:11" ht="54" customHeight="1">
      <c r="A4553" s="2" t="s">
        <v>10543</v>
      </c>
      <c r="B4553" s="2" t="s">
        <v>10544</v>
      </c>
      <c r="C4553" s="2" t="s">
        <v>66</v>
      </c>
      <c r="D4553" s="2" t="s">
        <v>67</v>
      </c>
      <c r="E4553" s="5" t="s">
        <v>1850</v>
      </c>
      <c r="F4553" s="3" t="s">
        <v>1851</v>
      </c>
      <c r="G4553" s="3" t="s">
        <v>28</v>
      </c>
      <c r="H4553" s="2" t="s">
        <v>22</v>
      </c>
      <c r="I4553" s="2" t="s">
        <v>10545</v>
      </c>
      <c r="J4553" s="3" t="str">
        <f>HYPERLINK("https://www.boe.es/gazeta/dias/1834/02/18/pdfs/GMD-1834-22.pdf#page=5","Abrir facsímil")</f>
        <v>Abrir facsímil</v>
      </c>
      <c r="K4553" s="3" t="s">
        <v>24</v>
      </c>
    </row>
    <row r="4554" spans="1:11" ht="54" customHeight="1">
      <c r="A4554" s="2" t="s">
        <v>10546</v>
      </c>
      <c r="B4554" s="2" t="s">
        <v>10547</v>
      </c>
      <c r="C4554" s="2" t="s">
        <v>17</v>
      </c>
      <c r="D4554" s="2" t="s">
        <v>18</v>
      </c>
      <c r="E4554" s="5" t="s">
        <v>454</v>
      </c>
      <c r="F4554" s="3" t="s">
        <v>2009</v>
      </c>
      <c r="G4554" s="3" t="s">
        <v>21</v>
      </c>
      <c r="H4554" s="2" t="s">
        <v>22</v>
      </c>
      <c r="I4554" s="2" t="s">
        <v>10548</v>
      </c>
      <c r="J4554" s="3" t="str">
        <f>HYPERLINK("https://www.boe.es/gazeta/dias/1834/10/16/pdfs/GMD-1834-244.pdf#page=3","Abrir facsímil")</f>
        <v>Abrir facsímil</v>
      </c>
      <c r="K4554" s="3" t="s">
        <v>24</v>
      </c>
    </row>
    <row r="4555" spans="1:11" ht="54" customHeight="1">
      <c r="A4555" s="2" t="s">
        <v>10549</v>
      </c>
      <c r="B4555" s="2" t="s">
        <v>10550</v>
      </c>
      <c r="C4555" s="2" t="s">
        <v>17</v>
      </c>
      <c r="D4555" s="2" t="s">
        <v>18</v>
      </c>
      <c r="E4555" s="5" t="s">
        <v>454</v>
      </c>
      <c r="F4555" s="3" t="s">
        <v>2009</v>
      </c>
      <c r="G4555" s="3" t="s">
        <v>21</v>
      </c>
      <c r="H4555" s="2" t="s">
        <v>35</v>
      </c>
      <c r="I4555" s="2" t="s">
        <v>10551</v>
      </c>
      <c r="J4555" s="3" t="str">
        <f>HYPERLINK("https://www.boe.es/gazeta/dias/1834/10/16/pdfs/GMD-1834-244.pdf#page=3","Abrir facsímil")</f>
        <v>Abrir facsímil</v>
      </c>
      <c r="K4555" s="3" t="s">
        <v>37</v>
      </c>
    </row>
    <row r="4556" spans="1:11" ht="54" customHeight="1">
      <c r="A4556" s="2" t="s">
        <v>10552</v>
      </c>
      <c r="B4556" s="2" t="s">
        <v>10553</v>
      </c>
      <c r="C4556" s="2" t="s">
        <v>122</v>
      </c>
      <c r="D4556" s="2" t="s">
        <v>18</v>
      </c>
      <c r="E4556" s="5" t="s">
        <v>1239</v>
      </c>
      <c r="F4556" s="3" t="s">
        <v>1240</v>
      </c>
      <c r="G4556" s="3" t="s">
        <v>21</v>
      </c>
      <c r="H4556" s="2" t="s">
        <v>35</v>
      </c>
      <c r="I4556" s="2" t="s">
        <v>10554</v>
      </c>
      <c r="J4556" s="3" t="str">
        <f>HYPERLINK("https://www.boe.es/gazeta/dias/1834/08/20/pdfs/GMD-1834-186.pdf#page=3","Abrir facsímil")</f>
        <v>Abrir facsímil</v>
      </c>
      <c r="K4556" s="3" t="s">
        <v>37</v>
      </c>
    </row>
    <row r="4557" spans="1:11" ht="54" customHeight="1">
      <c r="A4557" s="2" t="s">
        <v>10555</v>
      </c>
      <c r="B4557" s="2" t="s">
        <v>10556</v>
      </c>
      <c r="C4557" s="2" t="s">
        <v>17</v>
      </c>
      <c r="D4557" s="2" t="s">
        <v>18</v>
      </c>
      <c r="E4557" s="5" t="s">
        <v>375</v>
      </c>
      <c r="F4557" s="3" t="s">
        <v>376</v>
      </c>
      <c r="G4557" s="3" t="s">
        <v>75</v>
      </c>
      <c r="H4557" s="2" t="s">
        <v>22</v>
      </c>
      <c r="I4557" s="2" t="s">
        <v>10557</v>
      </c>
      <c r="J4557" s="3" t="str">
        <f>HYPERLINK("https://www.boe.es/gazeta/dias/1834/08/21/pdfs/GMD-1834-187.pdf#page=4","Abrir facsímil")</f>
        <v>Abrir facsímil</v>
      </c>
      <c r="K4557" s="3" t="s">
        <v>24</v>
      </c>
    </row>
    <row r="4558" spans="1:11" ht="54" customHeight="1">
      <c r="A4558" s="2" t="s">
        <v>10558</v>
      </c>
      <c r="B4558" s="2" t="s">
        <v>10559</v>
      </c>
      <c r="C4558" s="2" t="s">
        <v>122</v>
      </c>
      <c r="D4558" s="2" t="s">
        <v>18</v>
      </c>
      <c r="E4558" s="5" t="s">
        <v>1239</v>
      </c>
      <c r="F4558" s="3" t="s">
        <v>1240</v>
      </c>
      <c r="G4558" s="3" t="s">
        <v>21</v>
      </c>
      <c r="H4558" s="2" t="s">
        <v>22</v>
      </c>
      <c r="I4558" s="2" t="s">
        <v>10560</v>
      </c>
      <c r="J4558" s="3" t="str">
        <f>HYPERLINK("https://www.boe.es/gazeta/dias/1834/08/20/pdfs/GMD-1834-186.pdf#page=3","Abrir facsímil")</f>
        <v>Abrir facsímil</v>
      </c>
      <c r="K4558" s="3" t="s">
        <v>24</v>
      </c>
    </row>
    <row r="4559" spans="1:11" ht="54" customHeight="1">
      <c r="A4559" s="2" t="s">
        <v>10561</v>
      </c>
      <c r="B4559" s="2" t="s">
        <v>10562</v>
      </c>
      <c r="C4559" s="2" t="s">
        <v>17</v>
      </c>
      <c r="D4559" s="2" t="s">
        <v>18</v>
      </c>
      <c r="E4559" s="5" t="s">
        <v>1351</v>
      </c>
      <c r="F4559" s="3" t="s">
        <v>1352</v>
      </c>
      <c r="G4559" s="3" t="s">
        <v>75</v>
      </c>
      <c r="H4559" s="2" t="s">
        <v>35</v>
      </c>
      <c r="I4559" s="2" t="s">
        <v>10563</v>
      </c>
      <c r="J4559" s="3" t="str">
        <f>HYPERLINK("https://www.boe.es/gazeta/dias/1834/07/05/pdfs/GMD-1834-138.pdf#page=4","Abrir facsímil")</f>
        <v>Abrir facsímil</v>
      </c>
      <c r="K4559" s="3" t="s">
        <v>37</v>
      </c>
    </row>
    <row r="4560" spans="1:11" ht="54" customHeight="1">
      <c r="A4560" s="2" t="s">
        <v>10564</v>
      </c>
      <c r="B4560" s="2" t="s">
        <v>10565</v>
      </c>
      <c r="C4560" s="2" t="s">
        <v>17</v>
      </c>
      <c r="D4560" s="2" t="s">
        <v>18</v>
      </c>
      <c r="E4560" s="5" t="s">
        <v>1351</v>
      </c>
      <c r="F4560" s="3" t="s">
        <v>1352</v>
      </c>
      <c r="G4560" s="3" t="s">
        <v>75</v>
      </c>
      <c r="H4560" s="2" t="s">
        <v>22</v>
      </c>
      <c r="I4560" s="2" t="s">
        <v>10566</v>
      </c>
      <c r="J4560" s="3" t="str">
        <f>HYPERLINK("https://www.boe.es/gazeta/dias/1834/07/05/pdfs/GMD-1834-138.pdf#page=4","Abrir facsímil")</f>
        <v>Abrir facsímil</v>
      </c>
      <c r="K4560" s="3" t="s">
        <v>24</v>
      </c>
    </row>
    <row r="4561" spans="1:11" ht="54" customHeight="1">
      <c r="A4561" s="2" t="s">
        <v>10567</v>
      </c>
      <c r="B4561" s="2" t="s">
        <v>10568</v>
      </c>
      <c r="C4561" s="2" t="s">
        <v>17</v>
      </c>
      <c r="D4561" s="2" t="s">
        <v>18</v>
      </c>
      <c r="E4561" s="5" t="s">
        <v>167</v>
      </c>
      <c r="F4561" s="3" t="s">
        <v>1200</v>
      </c>
      <c r="G4561" s="3" t="s">
        <v>86</v>
      </c>
      <c r="H4561" s="2" t="s">
        <v>22</v>
      </c>
      <c r="I4561" s="2" t="s">
        <v>10569</v>
      </c>
      <c r="J4561" s="3" t="str">
        <f>HYPERLINK("https://www.boe.es/gazeta/dias/1834/09/07/pdfs/GMD-C-1834-205.pdf#page=2","Abrir facsímil")</f>
        <v>Abrir facsímil</v>
      </c>
      <c r="K4561" s="3" t="s">
        <v>24</v>
      </c>
    </row>
    <row r="4562" spans="1:11" ht="54" customHeight="1">
      <c r="A4562" s="2" t="s">
        <v>10570</v>
      </c>
      <c r="B4562" s="2" t="s">
        <v>10571</v>
      </c>
      <c r="C4562" s="2" t="s">
        <v>17</v>
      </c>
      <c r="D4562" s="2" t="s">
        <v>18</v>
      </c>
      <c r="E4562" s="5" t="s">
        <v>1410</v>
      </c>
      <c r="F4562" s="3" t="s">
        <v>1411</v>
      </c>
      <c r="G4562" s="3" t="s">
        <v>21</v>
      </c>
      <c r="H4562" s="2" t="s">
        <v>22</v>
      </c>
      <c r="I4562" s="2" t="s">
        <v>10572</v>
      </c>
      <c r="J4562" s="3" t="str">
        <f>HYPERLINK("https://www.boe.es/gazeta/dias/1834/09/09/pdfs/GMD-1834-207.pdf#page=3","Abrir facsímil")</f>
        <v>Abrir facsímil</v>
      </c>
      <c r="K4562" s="3" t="s">
        <v>24</v>
      </c>
    </row>
    <row r="4563" spans="1:11" ht="54" customHeight="1">
      <c r="A4563" s="2" t="s">
        <v>10573</v>
      </c>
      <c r="B4563" s="2" t="s">
        <v>10574</v>
      </c>
      <c r="C4563" s="2" t="s">
        <v>857</v>
      </c>
      <c r="D4563" s="2" t="s">
        <v>18</v>
      </c>
      <c r="E4563" s="5" t="s">
        <v>633</v>
      </c>
      <c r="F4563" s="3" t="s">
        <v>634</v>
      </c>
      <c r="G4563" s="3" t="s">
        <v>34</v>
      </c>
      <c r="H4563" s="2" t="s">
        <v>22</v>
      </c>
      <c r="I4563" s="2" t="s">
        <v>10575</v>
      </c>
      <c r="J4563" s="3" t="str">
        <f>HYPERLINK("https://www.boe.es/gazeta/dias/1834/10/24/pdfs/GMD-1834-252.pdf#page=1","Abrir facsímil")</f>
        <v>Abrir facsímil</v>
      </c>
      <c r="K4563" s="3" t="s">
        <v>24</v>
      </c>
    </row>
    <row r="4564" spans="1:11" ht="54" customHeight="1">
      <c r="A4564" s="2" t="s">
        <v>10576</v>
      </c>
      <c r="B4564" s="2" t="s">
        <v>10577</v>
      </c>
      <c r="C4564" s="2" t="s">
        <v>66</v>
      </c>
      <c r="D4564" s="2" t="s">
        <v>67</v>
      </c>
      <c r="E4564" s="5" t="s">
        <v>1883</v>
      </c>
      <c r="F4564" s="3" t="s">
        <v>1884</v>
      </c>
      <c r="G4564" s="3" t="s">
        <v>21</v>
      </c>
      <c r="H4564" s="2" t="s">
        <v>22</v>
      </c>
      <c r="I4564" s="2" t="s">
        <v>10578</v>
      </c>
      <c r="J4564" s="3" t="str">
        <f>HYPERLINK("https://www.boe.es/gazeta/dias/1834/01/11/pdfs/GMD-1834-6.pdf#page=3","Abrir facsímil")</f>
        <v>Abrir facsímil</v>
      </c>
      <c r="K4564" s="3" t="s">
        <v>24</v>
      </c>
    </row>
    <row r="4565" spans="1:11" ht="54" customHeight="1">
      <c r="A4565" s="2" t="s">
        <v>10579</v>
      </c>
      <c r="B4565" s="2" t="s">
        <v>10580</v>
      </c>
      <c r="C4565" s="2" t="s">
        <v>122</v>
      </c>
      <c r="D4565" s="2" t="s">
        <v>18</v>
      </c>
      <c r="E4565" s="5" t="s">
        <v>1708</v>
      </c>
      <c r="F4565" s="3" t="s">
        <v>1709</v>
      </c>
      <c r="G4565" s="3" t="s">
        <v>34</v>
      </c>
      <c r="H4565" s="2" t="s">
        <v>22</v>
      </c>
      <c r="I4565" s="2" t="s">
        <v>10581</v>
      </c>
      <c r="J4565" s="3" t="str">
        <f>HYPERLINK("https://www.boe.es/gazeta/dias/1834/04/12/pdfs/GMD-1834-51.pdf#page=1","Abrir facsímil")</f>
        <v>Abrir facsímil</v>
      </c>
      <c r="K4565" s="3" t="s">
        <v>24</v>
      </c>
    </row>
    <row r="4566" spans="1:11" ht="54" customHeight="1">
      <c r="A4566" s="2" t="s">
        <v>10582</v>
      </c>
      <c r="B4566" s="2" t="s">
        <v>10583</v>
      </c>
      <c r="C4566" s="2" t="s">
        <v>17</v>
      </c>
      <c r="D4566" s="2" t="s">
        <v>18</v>
      </c>
      <c r="E4566" s="5" t="s">
        <v>2107</v>
      </c>
      <c r="F4566" s="3" t="s">
        <v>2108</v>
      </c>
      <c r="G4566" s="3" t="s">
        <v>75</v>
      </c>
      <c r="H4566" s="2" t="s">
        <v>22</v>
      </c>
      <c r="I4566" s="2" t="s">
        <v>10584</v>
      </c>
      <c r="J4566" s="3" t="str">
        <f>HYPERLINK("https://www.boe.es/gazeta/dias/1834/08/24/pdfs/GMD-1834-190.pdf#page=4","Abrir facsímil")</f>
        <v>Abrir facsímil</v>
      </c>
      <c r="K4566" s="3" t="s">
        <v>24</v>
      </c>
    </row>
    <row r="4567" spans="1:11" ht="54" customHeight="1">
      <c r="A4567" s="2" t="s">
        <v>10585</v>
      </c>
      <c r="B4567" s="2" t="s">
        <v>10586</v>
      </c>
      <c r="C4567" s="2" t="s">
        <v>90</v>
      </c>
      <c r="D4567" s="2" t="s">
        <v>18</v>
      </c>
      <c r="E4567" s="5" t="s">
        <v>777</v>
      </c>
      <c r="F4567" s="3" t="s">
        <v>778</v>
      </c>
      <c r="G4567" s="3" t="s">
        <v>21</v>
      </c>
      <c r="H4567" s="2" t="s">
        <v>22</v>
      </c>
      <c r="I4567" s="2" t="s">
        <v>10587</v>
      </c>
      <c r="J4567" s="3" t="str">
        <f>HYPERLINK("https://www.boe.es/gazeta/dias/1834/10/29/pdfs/GMD-1834-257.pdf#page=3","Abrir facsímil")</f>
        <v>Abrir facsímil</v>
      </c>
      <c r="K4567" s="3" t="s">
        <v>24</v>
      </c>
    </row>
    <row r="4568" spans="1:11" ht="54" customHeight="1">
      <c r="A4568" s="2" t="s">
        <v>10588</v>
      </c>
      <c r="B4568" s="2" t="s">
        <v>10589</v>
      </c>
      <c r="C4568" s="2" t="s">
        <v>122</v>
      </c>
      <c r="D4568" s="2" t="s">
        <v>40</v>
      </c>
      <c r="E4568" s="5" t="s">
        <v>541</v>
      </c>
      <c r="F4568" s="3" t="s">
        <v>542</v>
      </c>
      <c r="G4568" s="3" t="s">
        <v>75</v>
      </c>
      <c r="H4568" s="2" t="s">
        <v>22</v>
      </c>
      <c r="I4568" s="2" t="s">
        <v>10590</v>
      </c>
      <c r="J4568" s="3" t="str">
        <f>HYPERLINK("https://www.boe.es/gazeta/dias/1834/04/18/pdfs/GMD-1834-57.pdf#page=4","Abrir facsímil")</f>
        <v>Abrir facsímil</v>
      </c>
      <c r="K4568" s="3" t="s">
        <v>24</v>
      </c>
    </row>
    <row r="4569" spans="1:11" ht="54" customHeight="1">
      <c r="A4569" s="2" t="s">
        <v>10591</v>
      </c>
      <c r="B4569" s="2" t="s">
        <v>10592</v>
      </c>
      <c r="C4569" s="2" t="s">
        <v>17</v>
      </c>
      <c r="D4569" s="2" t="s">
        <v>55</v>
      </c>
      <c r="E4569" s="5" t="s">
        <v>243</v>
      </c>
      <c r="F4569" s="3" t="s">
        <v>1109</v>
      </c>
      <c r="G4569" s="3" t="s">
        <v>34</v>
      </c>
      <c r="H4569" s="2" t="s">
        <v>22</v>
      </c>
      <c r="I4569" s="2" t="s">
        <v>10593</v>
      </c>
      <c r="J4569" s="3" t="str">
        <f>HYPERLINK("https://www.boe.es/gazeta/dias/1834/08/05/pdfs/GMD-1834-169.pdf#page=1","Abrir facsímil")</f>
        <v>Abrir facsímil</v>
      </c>
      <c r="K4569" s="3" t="s">
        <v>24</v>
      </c>
    </row>
    <row r="4570" spans="1:11" ht="54" customHeight="1">
      <c r="A4570" s="2" t="s">
        <v>10594</v>
      </c>
      <c r="B4570" s="2" t="s">
        <v>10595</v>
      </c>
      <c r="C4570" s="2" t="s">
        <v>66</v>
      </c>
      <c r="D4570" s="2" t="s">
        <v>67</v>
      </c>
      <c r="E4570" s="5" t="s">
        <v>389</v>
      </c>
      <c r="F4570" s="3" t="s">
        <v>390</v>
      </c>
      <c r="G4570" s="3" t="s">
        <v>75</v>
      </c>
      <c r="H4570" s="2" t="s">
        <v>22</v>
      </c>
      <c r="I4570" s="2" t="s">
        <v>10596</v>
      </c>
      <c r="J4570" s="3" t="str">
        <f>HYPERLINK("https://www.boe.es/gazeta/dias/1834/10/25/pdfs/GMD-1834-253.pdf#page=4","Abrir facsímil")</f>
        <v>Abrir facsímil</v>
      </c>
      <c r="K4570" s="3" t="s">
        <v>24</v>
      </c>
    </row>
    <row r="4571" spans="1:11" ht="54" customHeight="1">
      <c r="A4571" s="2" t="s">
        <v>10597</v>
      </c>
      <c r="B4571" s="2" t="s">
        <v>10598</v>
      </c>
      <c r="C4571" s="2" t="s">
        <v>66</v>
      </c>
      <c r="D4571" s="2" t="s">
        <v>67</v>
      </c>
      <c r="E4571" s="5" t="s">
        <v>1402</v>
      </c>
      <c r="F4571" s="3" t="s">
        <v>1403</v>
      </c>
      <c r="G4571" s="3" t="s">
        <v>21</v>
      </c>
      <c r="H4571" s="2" t="s">
        <v>35</v>
      </c>
      <c r="I4571" s="2" t="s">
        <v>10599</v>
      </c>
      <c r="J4571" s="3" t="str">
        <f>HYPERLINK("https://www.boe.es/gazeta/dias/1834/05/05/pdfs/GMD-1834-74.pdf#page=3","Abrir facsímil")</f>
        <v>Abrir facsímil</v>
      </c>
      <c r="K4571" s="3" t="s">
        <v>37</v>
      </c>
    </row>
    <row r="4572" spans="1:11" ht="54" customHeight="1">
      <c r="A4572" s="2" t="s">
        <v>10600</v>
      </c>
      <c r="B4572" s="2" t="s">
        <v>10601</v>
      </c>
      <c r="C4572" s="2" t="s">
        <v>66</v>
      </c>
      <c r="D4572" s="2" t="s">
        <v>67</v>
      </c>
      <c r="E4572" s="5" t="s">
        <v>1402</v>
      </c>
      <c r="F4572" s="3" t="s">
        <v>1403</v>
      </c>
      <c r="G4572" s="3" t="s">
        <v>21</v>
      </c>
      <c r="H4572" s="2" t="s">
        <v>22</v>
      </c>
      <c r="I4572" s="2" t="s">
        <v>10602</v>
      </c>
      <c r="J4572" s="3" t="str">
        <f>HYPERLINK("https://www.boe.es/gazeta/dias/1834/05/05/pdfs/GMD-1834-74.pdf#page=3","Abrir facsímil")</f>
        <v>Abrir facsímil</v>
      </c>
      <c r="K4572" s="3" t="s">
        <v>24</v>
      </c>
    </row>
    <row r="4573" spans="1:11" ht="54" customHeight="1">
      <c r="A4573" s="2" t="s">
        <v>10600</v>
      </c>
      <c r="B4573" s="2" t="s">
        <v>10601</v>
      </c>
      <c r="C4573" s="2" t="s">
        <v>66</v>
      </c>
      <c r="D4573" s="2" t="s">
        <v>18</v>
      </c>
      <c r="E4573" s="5" t="s">
        <v>19</v>
      </c>
      <c r="F4573" s="3" t="s">
        <v>1933</v>
      </c>
      <c r="G4573" s="3" t="s">
        <v>34</v>
      </c>
      <c r="H4573" s="2" t="s">
        <v>22</v>
      </c>
      <c r="I4573" s="2" t="s">
        <v>10603</v>
      </c>
      <c r="J4573" s="3" t="str">
        <f>HYPERLINK("https://www.boe.es/gazeta/dias/1834/08/17/pdfs/GMD-1834-183E.pdf#page=1","Abrir facsímil")</f>
        <v>Abrir facsímil</v>
      </c>
      <c r="K4573" s="3" t="s">
        <v>24</v>
      </c>
    </row>
    <row r="4574" spans="1:11" ht="54" customHeight="1">
      <c r="A4574" s="2" t="s">
        <v>10600</v>
      </c>
      <c r="B4574" s="2" t="s">
        <v>10601</v>
      </c>
      <c r="C4574" s="2" t="s">
        <v>17</v>
      </c>
      <c r="D4574" s="2" t="s">
        <v>18</v>
      </c>
      <c r="E4574" s="5" t="s">
        <v>375</v>
      </c>
      <c r="F4574" s="3" t="s">
        <v>376</v>
      </c>
      <c r="G4574" s="3" t="s">
        <v>75</v>
      </c>
      <c r="H4574" s="2" t="s">
        <v>22</v>
      </c>
      <c r="I4574" s="2" t="s">
        <v>10604</v>
      </c>
      <c r="J4574" s="3" t="str">
        <f>HYPERLINK("https://www.boe.es/gazeta/dias/1834/08/21/pdfs/GMD-1834-187.pdf#page=4","Abrir facsímil")</f>
        <v>Abrir facsímil</v>
      </c>
      <c r="K4574" s="3" t="s">
        <v>24</v>
      </c>
    </row>
    <row r="4575" spans="1:11" ht="54" customHeight="1">
      <c r="A4575" s="2" t="s">
        <v>10605</v>
      </c>
      <c r="B4575" s="2" t="s">
        <v>10606</v>
      </c>
      <c r="C4575" s="2" t="s">
        <v>17</v>
      </c>
      <c r="D4575" s="2" t="s">
        <v>18</v>
      </c>
      <c r="E4575" s="5" t="s">
        <v>1918</v>
      </c>
      <c r="F4575" s="3" t="s">
        <v>2024</v>
      </c>
      <c r="G4575" s="3" t="s">
        <v>34</v>
      </c>
      <c r="H4575" s="2" t="s">
        <v>22</v>
      </c>
      <c r="I4575" s="2" t="s">
        <v>10607</v>
      </c>
      <c r="J4575" s="3" t="str">
        <f>HYPERLINK("https://www.boe.es/gazeta/dias/1834/03/22/pdfs/GMD-C-1834-36.pdf#page=1","Abrir facsímil")</f>
        <v>Abrir facsímil</v>
      </c>
      <c r="K4575" s="3" t="s">
        <v>24</v>
      </c>
    </row>
    <row r="4576" spans="1:11" ht="54" customHeight="1">
      <c r="A4576" s="2" t="s">
        <v>10600</v>
      </c>
      <c r="B4576" s="2" t="s">
        <v>10601</v>
      </c>
      <c r="C4576" s="2" t="s">
        <v>66</v>
      </c>
      <c r="D4576" s="2" t="s">
        <v>67</v>
      </c>
      <c r="E4576" s="5" t="s">
        <v>174</v>
      </c>
      <c r="F4576" s="3" t="s">
        <v>175</v>
      </c>
      <c r="G4576" s="3" t="s">
        <v>34</v>
      </c>
      <c r="H4576" s="2" t="s">
        <v>22</v>
      </c>
      <c r="I4576" s="2" t="s">
        <v>10608</v>
      </c>
      <c r="J4576" s="3" t="str">
        <f>HYPERLINK("https://www.boe.es/gazeta/dias/1834/03/27/pdfs/GMD-1834-38.pdf#page=1","Abrir facsímil")</f>
        <v>Abrir facsímil</v>
      </c>
      <c r="K4576" s="3" t="s">
        <v>24</v>
      </c>
    </row>
    <row r="4577" spans="1:11" ht="54" customHeight="1">
      <c r="A4577" s="2" t="s">
        <v>10609</v>
      </c>
      <c r="B4577" s="2" t="s">
        <v>10610</v>
      </c>
      <c r="C4577" s="2" t="s">
        <v>66</v>
      </c>
      <c r="D4577" s="2" t="s">
        <v>67</v>
      </c>
      <c r="E4577" s="5" t="s">
        <v>1918</v>
      </c>
      <c r="F4577" s="3" t="s">
        <v>2024</v>
      </c>
      <c r="G4577" s="3" t="s">
        <v>34</v>
      </c>
      <c r="H4577" s="2" t="s">
        <v>22</v>
      </c>
      <c r="I4577" s="2" t="s">
        <v>10611</v>
      </c>
      <c r="J4577" s="3" t="str">
        <f>HYPERLINK("https://www.boe.es/gazeta/dias/1834/03/22/pdfs/GMD-C-1834-36.pdf#page=1","Abrir facsímil")</f>
        <v>Abrir facsímil</v>
      </c>
      <c r="K4577" s="3" t="s">
        <v>24</v>
      </c>
    </row>
    <row r="4578" spans="1:11" ht="54" customHeight="1">
      <c r="A4578" s="2" t="s">
        <v>10612</v>
      </c>
      <c r="B4578" s="2" t="s">
        <v>10613</v>
      </c>
      <c r="C4578" s="2" t="s">
        <v>17</v>
      </c>
      <c r="D4578" s="2" t="s">
        <v>18</v>
      </c>
      <c r="E4578" s="5" t="s">
        <v>183</v>
      </c>
      <c r="F4578" s="3" t="s">
        <v>184</v>
      </c>
      <c r="G4578" s="3" t="s">
        <v>75</v>
      </c>
      <c r="H4578" s="2" t="s">
        <v>22</v>
      </c>
      <c r="I4578" s="2" t="s">
        <v>10614</v>
      </c>
      <c r="J4578" s="3" t="str">
        <f>HYPERLINK("https://www.boe.es/gazeta/dias/1834/03/18/pdfs/GMD-1834-34.pdf#page=4","Abrir facsímil")</f>
        <v>Abrir facsímil</v>
      </c>
      <c r="K4578" s="3" t="s">
        <v>24</v>
      </c>
    </row>
    <row r="4579" spans="1:11" ht="54" customHeight="1">
      <c r="A4579" s="2" t="s">
        <v>10615</v>
      </c>
      <c r="B4579" s="2" t="s">
        <v>10616</v>
      </c>
      <c r="C4579" s="2" t="s">
        <v>17</v>
      </c>
      <c r="D4579" s="2" t="s">
        <v>18</v>
      </c>
      <c r="E4579" s="5" t="s">
        <v>187</v>
      </c>
      <c r="F4579" s="3" t="s">
        <v>1715</v>
      </c>
      <c r="G4579" s="3" t="s">
        <v>34</v>
      </c>
      <c r="H4579" s="2" t="s">
        <v>22</v>
      </c>
      <c r="I4579" s="2" t="s">
        <v>10617</v>
      </c>
      <c r="J4579" s="3" t="str">
        <f>HYPERLINK("https://www.boe.es/gazeta/dias/1834/09/30/pdfs/GMD-C-1834-228.pdf#page=1","Abrir facsímil")</f>
        <v>Abrir facsímil</v>
      </c>
      <c r="K4579" s="3" t="s">
        <v>24</v>
      </c>
    </row>
    <row r="4580" spans="1:11" ht="54" customHeight="1">
      <c r="A4580" s="2" t="s">
        <v>10618</v>
      </c>
      <c r="B4580" s="2" t="s">
        <v>10619</v>
      </c>
      <c r="C4580" s="2" t="s">
        <v>17</v>
      </c>
      <c r="D4580" s="2" t="s">
        <v>18</v>
      </c>
      <c r="E4580" s="5" t="s">
        <v>702</v>
      </c>
      <c r="F4580" s="3" t="s">
        <v>2427</v>
      </c>
      <c r="G4580" s="3" t="s">
        <v>75</v>
      </c>
      <c r="H4580" s="2" t="s">
        <v>22</v>
      </c>
      <c r="I4580" s="2" t="s">
        <v>10620</v>
      </c>
      <c r="J4580" s="3" t="str">
        <f>HYPERLINK("https://www.boe.es/gazeta/dias/1834/11/22/pdfs/GMD-1834-281.pdf#page=4","Abrir facsímil")</f>
        <v>Abrir facsímil</v>
      </c>
      <c r="K4580" s="3" t="s">
        <v>24</v>
      </c>
    </row>
    <row r="4581" spans="1:11" ht="54" customHeight="1">
      <c r="A4581" s="2" t="s">
        <v>10621</v>
      </c>
      <c r="B4581" s="2" t="s">
        <v>10622</v>
      </c>
      <c r="C4581" s="2" t="s">
        <v>66</v>
      </c>
      <c r="D4581" s="2" t="s">
        <v>67</v>
      </c>
      <c r="E4581" s="5" t="s">
        <v>102</v>
      </c>
      <c r="F4581" s="3" t="s">
        <v>103</v>
      </c>
      <c r="G4581" s="3" t="s">
        <v>34</v>
      </c>
      <c r="H4581" s="2" t="s">
        <v>22</v>
      </c>
      <c r="I4581" s="2" t="s">
        <v>10623</v>
      </c>
      <c r="J4581" s="3" t="str">
        <f>HYPERLINK("https://www.boe.es/gazeta/dias/1834/07/19/pdfs/GMD-1834-152.pdf#page=1","Abrir facsímil")</f>
        <v>Abrir facsímil</v>
      </c>
      <c r="K4581" s="3" t="s">
        <v>24</v>
      </c>
    </row>
    <row r="4582" spans="1:11" ht="54" customHeight="1">
      <c r="A4582" s="2" t="s">
        <v>10624</v>
      </c>
      <c r="B4582" s="2" t="s">
        <v>10625</v>
      </c>
      <c r="C4582" s="2" t="s">
        <v>17</v>
      </c>
      <c r="D4582" s="2" t="s">
        <v>18</v>
      </c>
      <c r="E4582" s="5" t="s">
        <v>1641</v>
      </c>
      <c r="F4582" s="3" t="s">
        <v>1642</v>
      </c>
      <c r="G4582" s="3" t="s">
        <v>34</v>
      </c>
      <c r="H4582" s="2" t="s">
        <v>22</v>
      </c>
      <c r="I4582" s="2" t="s">
        <v>10626</v>
      </c>
      <c r="J4582" s="3" t="str">
        <f>HYPERLINK("https://www.boe.es/gazeta/dias/1834/09/28/pdfs/GMD-C-1834-226.pdf#page=1","Abrir facsímil")</f>
        <v>Abrir facsímil</v>
      </c>
      <c r="K4582" s="3" t="s">
        <v>24</v>
      </c>
    </row>
    <row r="4583" spans="1:11" ht="54" customHeight="1">
      <c r="A4583" s="2" t="s">
        <v>10627</v>
      </c>
      <c r="B4583" s="2" t="s">
        <v>10628</v>
      </c>
      <c r="C4583" s="2" t="s">
        <v>17</v>
      </c>
      <c r="D4583" s="2" t="s">
        <v>18</v>
      </c>
      <c r="E4583" s="5" t="s">
        <v>133</v>
      </c>
      <c r="F4583" s="3" t="s">
        <v>134</v>
      </c>
      <c r="G4583" s="3" t="s">
        <v>34</v>
      </c>
      <c r="H4583" s="2" t="s">
        <v>22</v>
      </c>
      <c r="I4583" s="2" t="s">
        <v>10629</v>
      </c>
      <c r="J4583" s="3" t="str">
        <f>HYPERLINK("https://www.boe.es/gazeta/dias/1834/06/18/pdfs/GMD-1834-121.pdf#page=1","Abrir facsímil")</f>
        <v>Abrir facsímil</v>
      </c>
      <c r="K4583" s="3" t="s">
        <v>24</v>
      </c>
    </row>
    <row r="4584" spans="1:11" ht="54" customHeight="1">
      <c r="A4584" s="2" t="s">
        <v>10630</v>
      </c>
      <c r="B4584" s="2" t="s">
        <v>10631</v>
      </c>
      <c r="C4584" s="2" t="s">
        <v>17</v>
      </c>
      <c r="D4584" s="2" t="s">
        <v>55</v>
      </c>
      <c r="E4584" s="5" t="s">
        <v>56</v>
      </c>
      <c r="F4584" s="3" t="s">
        <v>57</v>
      </c>
      <c r="G4584" s="3" t="s">
        <v>21</v>
      </c>
      <c r="H4584" s="2" t="s">
        <v>22</v>
      </c>
      <c r="I4584" s="2" t="s">
        <v>10632</v>
      </c>
      <c r="J4584" s="3" t="str">
        <f>HYPERLINK("https://www.boe.es/gazeta/dias/1834/07/09/pdfs/GMD-1834-142.pdf#page=3","Abrir facsímil")</f>
        <v>Abrir facsímil</v>
      </c>
      <c r="K4584" s="3" t="s">
        <v>24</v>
      </c>
    </row>
    <row r="4585" spans="1:11" ht="54" customHeight="1">
      <c r="A4585" s="2" t="s">
        <v>10633</v>
      </c>
      <c r="B4585" s="2" t="s">
        <v>10634</v>
      </c>
      <c r="C4585" s="2" t="s">
        <v>90</v>
      </c>
      <c r="D4585" s="2" t="s">
        <v>40</v>
      </c>
      <c r="E4585" s="5" t="s">
        <v>679</v>
      </c>
      <c r="F4585" s="3" t="s">
        <v>699</v>
      </c>
      <c r="G4585" s="3" t="s">
        <v>34</v>
      </c>
      <c r="H4585" s="2" t="s">
        <v>35</v>
      </c>
      <c r="I4585" s="2" t="s">
        <v>10635</v>
      </c>
      <c r="J4585" s="3" t="str">
        <f>HYPERLINK("https://www.boe.es/gazeta/dias/1834/12/10/pdfs/GMD-C-1834-299.pdf#page=1","Abrir facsímil")</f>
        <v>Abrir facsímil</v>
      </c>
      <c r="K4585" s="3" t="s">
        <v>37</v>
      </c>
    </row>
    <row r="4586" spans="1:11" ht="54" customHeight="1">
      <c r="A4586" s="2" t="s">
        <v>10633</v>
      </c>
      <c r="B4586" s="2" t="s">
        <v>10634</v>
      </c>
      <c r="C4586" s="2" t="s">
        <v>90</v>
      </c>
      <c r="D4586" s="2" t="s">
        <v>18</v>
      </c>
      <c r="E4586" s="5" t="s">
        <v>265</v>
      </c>
      <c r="F4586" s="3" t="s">
        <v>266</v>
      </c>
      <c r="G4586" s="3" t="s">
        <v>34</v>
      </c>
      <c r="H4586" s="2" t="s">
        <v>35</v>
      </c>
      <c r="I4586" s="2" t="s">
        <v>10636</v>
      </c>
      <c r="J4586" s="3" t="str">
        <f>HYPERLINK("https://www.boe.es/gazeta/dias/1834/11/19/pdfs/GMD-C-1834-278.pdf#page=1","Abrir facsímil")</f>
        <v>Abrir facsímil</v>
      </c>
      <c r="K4586" s="3" t="s">
        <v>37</v>
      </c>
    </row>
    <row r="4587" spans="1:11" ht="54" customHeight="1">
      <c r="A4587" s="2" t="s">
        <v>10637</v>
      </c>
      <c r="B4587" s="2" t="s">
        <v>10638</v>
      </c>
      <c r="C4587" s="2" t="s">
        <v>90</v>
      </c>
      <c r="D4587" s="2" t="s">
        <v>40</v>
      </c>
      <c r="E4587" s="5" t="s">
        <v>679</v>
      </c>
      <c r="F4587" s="3" t="s">
        <v>699</v>
      </c>
      <c r="G4587" s="3" t="s">
        <v>34</v>
      </c>
      <c r="H4587" s="2" t="s">
        <v>22</v>
      </c>
      <c r="I4587" s="2" t="s">
        <v>10639</v>
      </c>
      <c r="J4587" s="3" t="str">
        <f>HYPERLINK("https://www.boe.es/gazeta/dias/1834/12/10/pdfs/GMD-C-1834-299.pdf#page=1","Abrir facsímil")</f>
        <v>Abrir facsímil</v>
      </c>
      <c r="K4587" s="3" t="s">
        <v>24</v>
      </c>
    </row>
    <row r="4588" spans="1:11" ht="54" customHeight="1">
      <c r="A4588" s="2" t="s">
        <v>10637</v>
      </c>
      <c r="B4588" s="2" t="s">
        <v>10638</v>
      </c>
      <c r="C4588" s="2" t="s">
        <v>90</v>
      </c>
      <c r="D4588" s="2" t="s">
        <v>18</v>
      </c>
      <c r="E4588" s="5" t="s">
        <v>265</v>
      </c>
      <c r="F4588" s="3" t="s">
        <v>266</v>
      </c>
      <c r="G4588" s="3" t="s">
        <v>34</v>
      </c>
      <c r="H4588" s="2" t="s">
        <v>22</v>
      </c>
      <c r="I4588" s="2" t="s">
        <v>10640</v>
      </c>
      <c r="J4588" s="3" t="str">
        <f>HYPERLINK("https://www.boe.es/gazeta/dias/1834/11/19/pdfs/GMD-C-1834-278.pdf#page=1","Abrir facsímil")</f>
        <v>Abrir facsímil</v>
      </c>
      <c r="K4588" s="3" t="s">
        <v>24</v>
      </c>
    </row>
    <row r="4589" spans="1:11" ht="54" customHeight="1">
      <c r="A4589" s="2" t="s">
        <v>10641</v>
      </c>
      <c r="B4589" s="2" t="s">
        <v>10642</v>
      </c>
      <c r="C4589" s="2" t="s">
        <v>17</v>
      </c>
      <c r="D4589" s="2" t="s">
        <v>40</v>
      </c>
      <c r="E4589" s="5" t="s">
        <v>1402</v>
      </c>
      <c r="F4589" s="3" t="s">
        <v>1403</v>
      </c>
      <c r="G4589" s="3" t="s">
        <v>176</v>
      </c>
      <c r="H4589" s="2" t="s">
        <v>22</v>
      </c>
      <c r="I4589" s="2" t="s">
        <v>10643</v>
      </c>
      <c r="J4589" s="3" t="str">
        <f>HYPERLINK("https://www.boe.es/gazeta/dias/1834/05/05/pdfs/GMD-1834-74.pdf#page=6","Abrir facsímil")</f>
        <v>Abrir facsímil</v>
      </c>
      <c r="K4589" s="3" t="s">
        <v>24</v>
      </c>
    </row>
    <row r="4590" spans="1:11" ht="54" customHeight="1">
      <c r="A4590" s="2" t="s">
        <v>10641</v>
      </c>
      <c r="B4590" s="2" t="s">
        <v>10642</v>
      </c>
      <c r="C4590" s="2" t="s">
        <v>46</v>
      </c>
      <c r="D4590" s="2" t="s">
        <v>55</v>
      </c>
      <c r="E4590" s="5" t="s">
        <v>32</v>
      </c>
      <c r="F4590" s="3" t="s">
        <v>33</v>
      </c>
      <c r="G4590" s="3" t="s">
        <v>86</v>
      </c>
      <c r="H4590" s="2" t="s">
        <v>22</v>
      </c>
      <c r="I4590" s="2" t="s">
        <v>10644</v>
      </c>
      <c r="J4590" s="3" t="str">
        <f>HYPERLINK("https://www.boe.es/gazeta/dias/1834/04/23/pdfs/GMD-1834-62.pdf#page=2","Abrir facsímil")</f>
        <v>Abrir facsímil</v>
      </c>
      <c r="K4590" s="3" t="s">
        <v>24</v>
      </c>
    </row>
    <row r="4591" spans="1:11" ht="54" customHeight="1">
      <c r="A4591" s="2" t="s">
        <v>10645</v>
      </c>
      <c r="B4591" s="2" t="s">
        <v>10646</v>
      </c>
      <c r="C4591" s="2" t="s">
        <v>17</v>
      </c>
      <c r="D4591" s="2" t="s">
        <v>18</v>
      </c>
      <c r="E4591" s="5" t="s">
        <v>309</v>
      </c>
      <c r="F4591" s="3" t="s">
        <v>310</v>
      </c>
      <c r="G4591" s="3" t="s">
        <v>34</v>
      </c>
      <c r="H4591" s="2" t="s">
        <v>22</v>
      </c>
      <c r="I4591" s="2" t="s">
        <v>10647</v>
      </c>
      <c r="J4591" s="3" t="str">
        <f>HYPERLINK("https://www.boe.es/gazeta/dias/1834/05/30/pdfs/GMD-1834-99.pdf#page=1","Abrir facsímil")</f>
        <v>Abrir facsímil</v>
      </c>
      <c r="K4591" s="3" t="s">
        <v>24</v>
      </c>
    </row>
    <row r="4592" spans="1:11" ht="54" customHeight="1">
      <c r="A4592" s="2" t="s">
        <v>10648</v>
      </c>
      <c r="B4592" s="2" t="s">
        <v>10649</v>
      </c>
      <c r="C4592" s="2" t="s">
        <v>66</v>
      </c>
      <c r="D4592" s="2" t="s">
        <v>67</v>
      </c>
      <c r="E4592" s="5" t="s">
        <v>330</v>
      </c>
      <c r="F4592" s="3" t="s">
        <v>331</v>
      </c>
      <c r="G4592" s="3" t="s">
        <v>21</v>
      </c>
      <c r="H4592" s="2" t="s">
        <v>22</v>
      </c>
      <c r="I4592" s="2" t="s">
        <v>10650</v>
      </c>
      <c r="J4592" s="3" t="str">
        <f>HYPERLINK("https://www.boe.es/gazeta/dias/1834/12/03/pdfs/GMD-1834-292.pdf#page=3","Abrir facsímil")</f>
        <v>Abrir facsímil</v>
      </c>
      <c r="K4592" s="3" t="s">
        <v>24</v>
      </c>
    </row>
    <row r="4593" spans="1:11" ht="54" customHeight="1">
      <c r="A4593" s="2" t="s">
        <v>10651</v>
      </c>
      <c r="B4593" s="2" t="s">
        <v>10652</v>
      </c>
      <c r="C4593" s="2" t="s">
        <v>17</v>
      </c>
      <c r="D4593" s="2" t="s">
        <v>18</v>
      </c>
      <c r="E4593" s="5" t="s">
        <v>299</v>
      </c>
      <c r="F4593" s="3" t="s">
        <v>2255</v>
      </c>
      <c r="G4593" s="3" t="s">
        <v>28</v>
      </c>
      <c r="H4593" s="2" t="s">
        <v>22</v>
      </c>
      <c r="I4593" s="2" t="s">
        <v>10653</v>
      </c>
      <c r="J4593" s="3" t="str">
        <f>HYPERLINK("https://www.boe.es/gazeta/dias/1834/12/12/pdfs/GMD-C-1834-301.pdf#page=5","Abrir facsímil")</f>
        <v>Abrir facsímil</v>
      </c>
      <c r="K4593" s="3" t="s">
        <v>24</v>
      </c>
    </row>
    <row r="4594" spans="1:11" ht="54" customHeight="1">
      <c r="A4594" s="2" t="s">
        <v>10654</v>
      </c>
      <c r="B4594" s="2" t="s">
        <v>10655</v>
      </c>
      <c r="C4594" s="2" t="s">
        <v>17</v>
      </c>
      <c r="D4594" s="2" t="s">
        <v>18</v>
      </c>
      <c r="E4594" s="5" t="s">
        <v>1839</v>
      </c>
      <c r="F4594" s="3" t="s">
        <v>1840</v>
      </c>
      <c r="G4594" s="3" t="s">
        <v>86</v>
      </c>
      <c r="H4594" s="2" t="s">
        <v>22</v>
      </c>
      <c r="I4594" s="2" t="s">
        <v>10656</v>
      </c>
      <c r="J4594" s="3" t="str">
        <f>HYPERLINK("https://www.boe.es/gazeta/dias/1834/08/12/pdfs/GMD-C-1834-177.pdf#page=2","Abrir facsímil")</f>
        <v>Abrir facsímil</v>
      </c>
      <c r="K4594" s="3" t="s">
        <v>24</v>
      </c>
    </row>
    <row r="4595" spans="1:11" ht="54" customHeight="1">
      <c r="A4595" s="2" t="s">
        <v>10657</v>
      </c>
      <c r="B4595" s="2" t="s">
        <v>10658</v>
      </c>
      <c r="C4595" s="2" t="s">
        <v>17</v>
      </c>
      <c r="D4595" s="2" t="s">
        <v>18</v>
      </c>
      <c r="E4595" s="5" t="s">
        <v>96</v>
      </c>
      <c r="F4595" s="3" t="s">
        <v>1725</v>
      </c>
      <c r="G4595" s="3" t="s">
        <v>86</v>
      </c>
      <c r="H4595" s="2" t="s">
        <v>22</v>
      </c>
      <c r="I4595" s="2" t="s">
        <v>10659</v>
      </c>
      <c r="J4595" s="3" t="str">
        <f>HYPERLINK("https://www.boe.es/gazeta/dias/1834/11/11/pdfs/GMD-1834-270.pdf#page=2","Abrir facsímil")</f>
        <v>Abrir facsímil</v>
      </c>
      <c r="K4595" s="3" t="s">
        <v>24</v>
      </c>
    </row>
    <row r="4596" spans="1:11" ht="54" customHeight="1">
      <c r="A4596" s="2" t="s">
        <v>10660</v>
      </c>
      <c r="B4596" s="2" t="s">
        <v>10661</v>
      </c>
      <c r="C4596" s="2" t="s">
        <v>17</v>
      </c>
      <c r="D4596" s="2" t="s">
        <v>18</v>
      </c>
      <c r="E4596" s="5" t="s">
        <v>1862</v>
      </c>
      <c r="F4596" s="3" t="s">
        <v>1863</v>
      </c>
      <c r="G4596" s="3" t="s">
        <v>75</v>
      </c>
      <c r="H4596" s="2" t="s">
        <v>22</v>
      </c>
      <c r="I4596" s="2" t="s">
        <v>10662</v>
      </c>
      <c r="J4596" s="3" t="str">
        <f>HYPERLINK("https://www.boe.es/gazeta/dias/1834/02/04/pdfs/GMD-1834-16.pdf#page=4","Abrir facsímil")</f>
        <v>Abrir facsímil</v>
      </c>
      <c r="K4596" s="3" t="s">
        <v>24</v>
      </c>
    </row>
    <row r="4597" spans="1:11" ht="54" customHeight="1">
      <c r="A4597" s="2" t="s">
        <v>10660</v>
      </c>
      <c r="B4597" s="2" t="s">
        <v>10661</v>
      </c>
      <c r="C4597" s="2" t="s">
        <v>46</v>
      </c>
      <c r="D4597" s="2" t="s">
        <v>101</v>
      </c>
      <c r="E4597" s="5" t="s">
        <v>258</v>
      </c>
      <c r="F4597" s="3" t="s">
        <v>259</v>
      </c>
      <c r="G4597" s="3" t="s">
        <v>86</v>
      </c>
      <c r="H4597" s="2" t="s">
        <v>22</v>
      </c>
      <c r="I4597" s="2" t="s">
        <v>10663</v>
      </c>
      <c r="J4597" s="3" t="str">
        <f>HYPERLINK("https://www.boe.es/gazeta/dias/1834/10/09/pdfs/GMD-C-1834-237.pdf#page=2","Abrir facsímil")</f>
        <v>Abrir facsímil</v>
      </c>
      <c r="K4597" s="3" t="s">
        <v>24</v>
      </c>
    </row>
    <row r="4598" spans="1:11" ht="54" customHeight="1">
      <c r="A4598" s="9" t="s">
        <v>10660</v>
      </c>
      <c r="B4598" s="9" t="s">
        <v>10661</v>
      </c>
      <c r="C4598" s="9" t="s">
        <v>17</v>
      </c>
      <c r="D4598" s="9" t="s">
        <v>18</v>
      </c>
      <c r="E4598" s="10" t="s">
        <v>1103</v>
      </c>
      <c r="F4598" s="9" t="s">
        <v>1104</v>
      </c>
      <c r="G4598" s="10" t="s">
        <v>34</v>
      </c>
      <c r="H4598" s="9" t="s">
        <v>22</v>
      </c>
      <c r="I4598" s="9" t="s">
        <v>10664</v>
      </c>
      <c r="J4598" s="10" t="str">
        <f>HYPERLINK("https://www.boe.es/gazeta/dias/1834/10/10/pdfs/GMD-C-1834-238.pdf#page=1","Abrir facsímil")</f>
        <v>Abrir facsímil</v>
      </c>
      <c r="K4598" s="10" t="s">
        <v>24</v>
      </c>
    </row>
    <row r="4599" spans="1:11" ht="54" customHeight="1">
      <c r="A4599" s="9" t="s">
        <v>10660</v>
      </c>
      <c r="B4599" s="9" t="s">
        <v>10661</v>
      </c>
      <c r="C4599" s="9" t="s">
        <v>66</v>
      </c>
      <c r="D4599" s="9" t="s">
        <v>18</v>
      </c>
      <c r="E4599" s="10" t="s">
        <v>326</v>
      </c>
      <c r="F4599" s="9" t="s">
        <v>327</v>
      </c>
      <c r="G4599" s="10" t="s">
        <v>34</v>
      </c>
      <c r="H4599" s="9" t="s">
        <v>22</v>
      </c>
      <c r="I4599" s="9" t="s">
        <v>10665</v>
      </c>
      <c r="J4599" s="10" t="str">
        <f>HYPERLINK("https://www.boe.es/gazeta/dias/1834/07/15/pdfs/GMD-1834-148.pdf#page=1","Abrir facsímil")</f>
        <v>Abrir facsímil</v>
      </c>
      <c r="K4599" s="10" t="s">
        <v>24</v>
      </c>
    </row>
    <row r="4600" spans="1:11" ht="54" customHeight="1">
      <c r="A4600" s="9" t="s">
        <v>10660</v>
      </c>
      <c r="B4600" s="9" t="s">
        <v>10661</v>
      </c>
      <c r="C4600" s="9" t="s">
        <v>17</v>
      </c>
      <c r="D4600" s="9" t="s">
        <v>101</v>
      </c>
      <c r="E4600" s="10" t="s">
        <v>1119</v>
      </c>
      <c r="F4600" s="9" t="s">
        <v>1120</v>
      </c>
      <c r="G4600" s="10" t="s">
        <v>34</v>
      </c>
      <c r="H4600" s="9" t="s">
        <v>22</v>
      </c>
      <c r="I4600" s="9" t="s">
        <v>10666</v>
      </c>
      <c r="J4600" s="10" t="str">
        <f>HYPERLINK("https://www.boe.es/gazeta/dias/1834/07/17/pdfs/GMD-1834-150.pdf#page=1","Abrir facsímil")</f>
        <v>Abrir facsímil</v>
      </c>
      <c r="K4600" s="10" t="s">
        <v>24</v>
      </c>
    </row>
    <row r="4601" spans="1:11" ht="54" customHeight="1">
      <c r="A4601" s="9" t="s">
        <v>10660</v>
      </c>
      <c r="B4601" s="9" t="s">
        <v>10661</v>
      </c>
      <c r="C4601" s="9" t="s">
        <v>17</v>
      </c>
      <c r="D4601" s="9" t="s">
        <v>101</v>
      </c>
      <c r="E4601" s="10" t="s">
        <v>102</v>
      </c>
      <c r="F4601" s="9" t="s">
        <v>103</v>
      </c>
      <c r="G4601" s="10" t="s">
        <v>34</v>
      </c>
      <c r="H4601" s="9" t="s">
        <v>22</v>
      </c>
      <c r="I4601" s="9" t="s">
        <v>10667</v>
      </c>
      <c r="J4601" s="10" t="str">
        <f>HYPERLINK("https://www.boe.es/gazeta/dias/1834/07/19/pdfs/GMD-1834-152.pdf#page=1","Abrir facsímil")</f>
        <v>Abrir facsímil</v>
      </c>
      <c r="K4601" s="10" t="s">
        <v>24</v>
      </c>
    </row>
    <row r="4602" spans="1:11" ht="54" customHeight="1">
      <c r="A4602" s="9" t="s">
        <v>10660</v>
      </c>
      <c r="B4602" s="9" t="s">
        <v>10661</v>
      </c>
      <c r="C4602" s="9" t="s">
        <v>17</v>
      </c>
      <c r="D4602" s="9" t="s">
        <v>55</v>
      </c>
      <c r="E4602" s="10" t="s">
        <v>268</v>
      </c>
      <c r="F4602" s="9" t="s">
        <v>269</v>
      </c>
      <c r="G4602" s="10" t="s">
        <v>34</v>
      </c>
      <c r="H4602" s="9" t="s">
        <v>22</v>
      </c>
      <c r="I4602" s="9" t="s">
        <v>10668</v>
      </c>
      <c r="J4602" s="10" t="str">
        <f>HYPERLINK("https://www.boe.es/gazeta/dias/1834/12/19/pdfs/GMD-C-1834-309.pdf#page=1","Abrir facsímil")</f>
        <v>Abrir facsímil</v>
      </c>
      <c r="K4602" s="10" t="s">
        <v>24</v>
      </c>
    </row>
    <row r="4603" spans="1:11" ht="54" customHeight="1">
      <c r="A4603" s="9" t="s">
        <v>10660</v>
      </c>
      <c r="B4603" s="9" t="s">
        <v>10661</v>
      </c>
      <c r="C4603" s="9" t="s">
        <v>17</v>
      </c>
      <c r="D4603" s="9" t="s">
        <v>18</v>
      </c>
      <c r="E4603" s="10" t="s">
        <v>268</v>
      </c>
      <c r="F4603" s="9" t="s">
        <v>269</v>
      </c>
      <c r="G4603" s="10" t="s">
        <v>21</v>
      </c>
      <c r="H4603" s="9" t="s">
        <v>22</v>
      </c>
      <c r="I4603" s="9" t="s">
        <v>10669</v>
      </c>
      <c r="J4603" s="10" t="str">
        <f>HYPERLINK("https://www.boe.es/gazeta/dias/1834/12/19/pdfs/GMD-C-1834-309.pdf#page=3","Abrir facsímil")</f>
        <v>Abrir facsímil</v>
      </c>
      <c r="K4603" s="10" t="s">
        <v>24</v>
      </c>
    </row>
    <row r="4604" spans="1:11" ht="54" customHeight="1">
      <c r="A4604" s="9" t="s">
        <v>10660</v>
      </c>
      <c r="B4604" s="9" t="s">
        <v>10661</v>
      </c>
      <c r="C4604" s="9" t="s">
        <v>46</v>
      </c>
      <c r="D4604" s="9" t="s">
        <v>101</v>
      </c>
      <c r="E4604" s="10" t="s">
        <v>268</v>
      </c>
      <c r="F4604" s="9" t="s">
        <v>269</v>
      </c>
      <c r="G4604" s="10" t="s">
        <v>75</v>
      </c>
      <c r="H4604" s="9" t="s">
        <v>22</v>
      </c>
      <c r="I4604" s="9" t="s">
        <v>10670</v>
      </c>
      <c r="J4604" s="10" t="str">
        <f>HYPERLINK("https://www.boe.es/gazeta/dias/1834/12/19/pdfs/GMD-C-1834-309.pdf#page=4","Abrir facsímil")</f>
        <v>Abrir facsímil</v>
      </c>
      <c r="K4604" s="10" t="s">
        <v>24</v>
      </c>
    </row>
    <row r="4605" spans="1:11" ht="54" customHeight="1">
      <c r="A4605" s="9" t="s">
        <v>10660</v>
      </c>
      <c r="B4605" s="9" t="s">
        <v>10661</v>
      </c>
      <c r="C4605" s="9" t="s">
        <v>17</v>
      </c>
      <c r="D4605" s="9" t="s">
        <v>101</v>
      </c>
      <c r="E4605" s="10" t="s">
        <v>823</v>
      </c>
      <c r="F4605" s="9" t="s">
        <v>824</v>
      </c>
      <c r="G4605" s="10" t="s">
        <v>34</v>
      </c>
      <c r="H4605" s="9" t="s">
        <v>22</v>
      </c>
      <c r="I4605" s="9" t="s">
        <v>10671</v>
      </c>
      <c r="J4605" s="10" t="str">
        <f>HYPERLINK("https://www.boe.es/gazeta/dias/1834/07/23/pdfs/GMD-1834-156.pdf#page=1","Abrir facsímil")</f>
        <v>Abrir facsímil</v>
      </c>
      <c r="K4605" s="10" t="s">
        <v>24</v>
      </c>
    </row>
    <row r="4606" spans="1:11" ht="54" customHeight="1">
      <c r="A4606" s="9" t="s">
        <v>10660</v>
      </c>
      <c r="B4606" s="9" t="s">
        <v>10661</v>
      </c>
      <c r="C4606" s="9" t="s">
        <v>17</v>
      </c>
      <c r="D4606" s="9" t="s">
        <v>18</v>
      </c>
      <c r="E4606" s="10" t="s">
        <v>280</v>
      </c>
      <c r="F4606" s="9" t="s">
        <v>3217</v>
      </c>
      <c r="G4606" s="10" t="s">
        <v>34</v>
      </c>
      <c r="H4606" s="9" t="s">
        <v>22</v>
      </c>
      <c r="I4606" s="9" t="s">
        <v>10672</v>
      </c>
      <c r="J4606" s="10" t="str">
        <f>HYPERLINK("https://www.boe.es/gazeta/dias/1834/08/29/pdfs/GMD-1834-195.pdf#page=1","Abrir facsímil")</f>
        <v>Abrir facsímil</v>
      </c>
      <c r="K4606" s="10" t="s">
        <v>24</v>
      </c>
    </row>
    <row r="4607" spans="1:11" ht="54" customHeight="1">
      <c r="A4607" s="9" t="s">
        <v>10673</v>
      </c>
      <c r="B4607" s="9" t="s">
        <v>10674</v>
      </c>
      <c r="C4607" s="9" t="s">
        <v>17</v>
      </c>
      <c r="D4607" s="9" t="s">
        <v>18</v>
      </c>
      <c r="E4607" s="10" t="s">
        <v>1862</v>
      </c>
      <c r="F4607" s="9" t="s">
        <v>1863</v>
      </c>
      <c r="G4607" s="10" t="s">
        <v>75</v>
      </c>
      <c r="H4607" s="9" t="s">
        <v>35</v>
      </c>
      <c r="I4607" s="9" t="s">
        <v>10675</v>
      </c>
      <c r="J4607" s="10" t="str">
        <f>HYPERLINK("https://www.boe.es/gazeta/dias/1834/02/04/pdfs/GMD-1834-16.pdf#page=4","Abrir facsímil")</f>
        <v>Abrir facsímil</v>
      </c>
      <c r="K4607" s="10" t="s">
        <v>37</v>
      </c>
    </row>
    <row r="4608" spans="1:11" ht="54" customHeight="1">
      <c r="A4608" s="9" t="s">
        <v>10673</v>
      </c>
      <c r="B4608" s="9" t="s">
        <v>10674</v>
      </c>
      <c r="C4608" s="9" t="s">
        <v>46</v>
      </c>
      <c r="D4608" s="9" t="s">
        <v>101</v>
      </c>
      <c r="E4608" s="10" t="s">
        <v>258</v>
      </c>
      <c r="F4608" s="9" t="s">
        <v>259</v>
      </c>
      <c r="G4608" s="10" t="s">
        <v>86</v>
      </c>
      <c r="H4608" s="9" t="s">
        <v>35</v>
      </c>
      <c r="I4608" s="9" t="s">
        <v>10676</v>
      </c>
      <c r="J4608" s="10" t="str">
        <f>HYPERLINK("https://www.boe.es/gazeta/dias/1834/10/09/pdfs/GMD-C-1834-237.pdf#page=2","Abrir facsímil")</f>
        <v>Abrir facsímil</v>
      </c>
      <c r="K4608" s="10" t="s">
        <v>37</v>
      </c>
    </row>
    <row r="4609" spans="1:11" ht="54" customHeight="1">
      <c r="A4609" s="9" t="s">
        <v>10673</v>
      </c>
      <c r="B4609" s="9" t="s">
        <v>10674</v>
      </c>
      <c r="C4609" s="9" t="s">
        <v>66</v>
      </c>
      <c r="D4609" s="9" t="s">
        <v>18</v>
      </c>
      <c r="E4609" s="10" t="s">
        <v>326</v>
      </c>
      <c r="F4609" s="9" t="s">
        <v>327</v>
      </c>
      <c r="G4609" s="10" t="s">
        <v>34</v>
      </c>
      <c r="H4609" s="9" t="s">
        <v>35</v>
      </c>
      <c r="I4609" s="9" t="s">
        <v>10677</v>
      </c>
      <c r="J4609" s="10" t="str">
        <f>HYPERLINK("https://www.boe.es/gazeta/dias/1834/07/15/pdfs/GMD-1834-148.pdf#page=1","Abrir facsímil")</f>
        <v>Abrir facsímil</v>
      </c>
      <c r="K4609" s="10" t="s">
        <v>37</v>
      </c>
    </row>
    <row r="4610" spans="1:11" ht="54" customHeight="1">
      <c r="A4610" s="9" t="s">
        <v>10673</v>
      </c>
      <c r="B4610" s="9" t="s">
        <v>10674</v>
      </c>
      <c r="C4610" s="9" t="s">
        <v>17</v>
      </c>
      <c r="D4610" s="9" t="s">
        <v>101</v>
      </c>
      <c r="E4610" s="10" t="s">
        <v>1119</v>
      </c>
      <c r="F4610" s="9" t="s">
        <v>1120</v>
      </c>
      <c r="G4610" s="10" t="s">
        <v>34</v>
      </c>
      <c r="H4610" s="9" t="s">
        <v>35</v>
      </c>
      <c r="I4610" s="9" t="s">
        <v>10678</v>
      </c>
      <c r="J4610" s="10" t="str">
        <f>HYPERLINK("https://www.boe.es/gazeta/dias/1834/07/17/pdfs/GMD-1834-150.pdf#page=1","Abrir facsímil")</f>
        <v>Abrir facsímil</v>
      </c>
      <c r="K4610" s="10" t="s">
        <v>37</v>
      </c>
    </row>
    <row r="4611" spans="1:11" ht="54" customHeight="1">
      <c r="A4611" s="9" t="s">
        <v>10673</v>
      </c>
      <c r="B4611" s="9" t="s">
        <v>10674</v>
      </c>
      <c r="C4611" s="9" t="s">
        <v>17</v>
      </c>
      <c r="D4611" s="9" t="s">
        <v>101</v>
      </c>
      <c r="E4611" s="10" t="s">
        <v>102</v>
      </c>
      <c r="F4611" s="9" t="s">
        <v>103</v>
      </c>
      <c r="G4611" s="10" t="s">
        <v>34</v>
      </c>
      <c r="H4611" s="9" t="s">
        <v>35</v>
      </c>
      <c r="I4611" s="9" t="s">
        <v>10679</v>
      </c>
      <c r="J4611" s="10" t="str">
        <f>HYPERLINK("https://www.boe.es/gazeta/dias/1834/07/19/pdfs/GMD-1834-152.pdf#page=1","Abrir facsímil")</f>
        <v>Abrir facsímil</v>
      </c>
      <c r="K4611" s="10" t="s">
        <v>37</v>
      </c>
    </row>
    <row r="4612" spans="1:11" ht="54" customHeight="1">
      <c r="A4612" s="9" t="s">
        <v>10673</v>
      </c>
      <c r="B4612" s="9" t="s">
        <v>10674</v>
      </c>
      <c r="C4612" s="9" t="s">
        <v>17</v>
      </c>
      <c r="D4612" s="9" t="s">
        <v>18</v>
      </c>
      <c r="E4612" s="10" t="s">
        <v>268</v>
      </c>
      <c r="F4612" s="9" t="s">
        <v>269</v>
      </c>
      <c r="G4612" s="10" t="s">
        <v>21</v>
      </c>
      <c r="H4612" s="9" t="s">
        <v>35</v>
      </c>
      <c r="I4612" s="9" t="s">
        <v>10680</v>
      </c>
      <c r="J4612" s="10" t="str">
        <f>HYPERLINK("https://www.boe.es/gazeta/dias/1834/12/19/pdfs/GMD-C-1834-309.pdf#page=3","Abrir facsímil")</f>
        <v>Abrir facsímil</v>
      </c>
      <c r="K4612" s="10" t="s">
        <v>37</v>
      </c>
    </row>
    <row r="4613" spans="1:11" ht="54" customHeight="1">
      <c r="A4613" s="9" t="s">
        <v>10673</v>
      </c>
      <c r="B4613" s="9" t="s">
        <v>10674</v>
      </c>
      <c r="C4613" s="9" t="s">
        <v>17</v>
      </c>
      <c r="D4613" s="9" t="s">
        <v>101</v>
      </c>
      <c r="E4613" s="10" t="s">
        <v>823</v>
      </c>
      <c r="F4613" s="9" t="s">
        <v>824</v>
      </c>
      <c r="G4613" s="10" t="s">
        <v>34</v>
      </c>
      <c r="H4613" s="9" t="s">
        <v>35</v>
      </c>
      <c r="I4613" s="9" t="s">
        <v>10681</v>
      </c>
      <c r="J4613" s="10" t="str">
        <f>HYPERLINK("https://www.boe.es/gazeta/dias/1834/07/23/pdfs/GMD-1834-156.pdf#page=1","Abrir facsímil")</f>
        <v>Abrir facsímil</v>
      </c>
      <c r="K4613" s="10" t="s">
        <v>37</v>
      </c>
    </row>
    <row r="4614" spans="1:11" ht="54" customHeight="1">
      <c r="A4614" s="9" t="s">
        <v>10682</v>
      </c>
      <c r="B4614" s="9" t="s">
        <v>10683</v>
      </c>
      <c r="C4614" s="9" t="s">
        <v>17</v>
      </c>
      <c r="D4614" s="9" t="s">
        <v>18</v>
      </c>
      <c r="E4614" s="10" t="s">
        <v>148</v>
      </c>
      <c r="F4614" s="9" t="s">
        <v>149</v>
      </c>
      <c r="G4614" s="10" t="s">
        <v>75</v>
      </c>
      <c r="H4614" s="9" t="s">
        <v>22</v>
      </c>
      <c r="I4614" s="9" t="s">
        <v>10684</v>
      </c>
      <c r="J4614" s="10" t="str">
        <f>HYPERLINK("https://www.boe.es/gazeta/dias/1834/10/20/pdfs/GMD-1834-248.pdf#page=4","Abrir facsímil")</f>
        <v>Abrir facsímil</v>
      </c>
      <c r="K4614" s="10" t="s">
        <v>24</v>
      </c>
    </row>
    <row r="4615" spans="1:11" ht="54" customHeight="1">
      <c r="A4615" s="9" t="s">
        <v>10685</v>
      </c>
      <c r="B4615" s="9" t="s">
        <v>10686</v>
      </c>
      <c r="C4615" s="9" t="s">
        <v>17</v>
      </c>
      <c r="D4615" s="9" t="s">
        <v>18</v>
      </c>
      <c r="E4615" s="10" t="s">
        <v>148</v>
      </c>
      <c r="F4615" s="9" t="s">
        <v>149</v>
      </c>
      <c r="G4615" s="10" t="s">
        <v>75</v>
      </c>
      <c r="H4615" s="9" t="s">
        <v>35</v>
      </c>
      <c r="I4615" s="9" t="s">
        <v>10687</v>
      </c>
      <c r="J4615" s="10" t="str">
        <f>HYPERLINK("https://www.boe.es/gazeta/dias/1834/10/20/pdfs/GMD-1834-248.pdf#page=4","Abrir facsímil")</f>
        <v>Abrir facsímil</v>
      </c>
      <c r="K4615" s="10" t="s">
        <v>37</v>
      </c>
    </row>
    <row r="4616" spans="1:11" ht="54" customHeight="1">
      <c r="A4616" s="9" t="s">
        <v>10688</v>
      </c>
      <c r="B4616" s="9" t="s">
        <v>10689</v>
      </c>
      <c r="C4616" s="9" t="s">
        <v>17</v>
      </c>
      <c r="D4616" s="9" t="s">
        <v>18</v>
      </c>
      <c r="E4616" s="10" t="s">
        <v>1281</v>
      </c>
      <c r="F4616" s="9" t="s">
        <v>1282</v>
      </c>
      <c r="G4616" s="10" t="s">
        <v>75</v>
      </c>
      <c r="H4616" s="9" t="s">
        <v>22</v>
      </c>
      <c r="I4616" s="9" t="s">
        <v>10690</v>
      </c>
      <c r="J4616" s="10" t="str">
        <f>HYPERLINK("https://www.boe.es/gazeta/dias/1834/10/27/pdfs/GMD-1834-255.pdf#page=4","Abrir facsímil")</f>
        <v>Abrir facsímil</v>
      </c>
      <c r="K4616" s="10" t="s">
        <v>24</v>
      </c>
    </row>
    <row r="4617" spans="1:11" ht="54" customHeight="1">
      <c r="A4617" s="9" t="s">
        <v>10691</v>
      </c>
      <c r="B4617" s="9" t="s">
        <v>10692</v>
      </c>
      <c r="C4617" s="9" t="s">
        <v>17</v>
      </c>
      <c r="D4617" s="9" t="s">
        <v>18</v>
      </c>
      <c r="E4617" s="10" t="s">
        <v>233</v>
      </c>
      <c r="F4617" s="9" t="s">
        <v>234</v>
      </c>
      <c r="G4617" s="10" t="s">
        <v>75</v>
      </c>
      <c r="H4617" s="9" t="s">
        <v>22</v>
      </c>
      <c r="I4617" s="9" t="s">
        <v>10693</v>
      </c>
      <c r="J4617" s="10" t="str">
        <f>HYPERLINK("https://www.boe.es/gazeta/dias/1834/12/16/pdfs/GMD-1834-305.pdf#page=4","Abrir facsímil")</f>
        <v>Abrir facsímil</v>
      </c>
      <c r="K4617" s="10" t="s">
        <v>24</v>
      </c>
    </row>
    <row r="4618" spans="1:11" ht="54" customHeight="1">
      <c r="A4618" s="9" t="s">
        <v>10694</v>
      </c>
      <c r="B4618" s="9" t="s">
        <v>10695</v>
      </c>
      <c r="C4618" s="9" t="s">
        <v>66</v>
      </c>
      <c r="D4618" s="9" t="s">
        <v>67</v>
      </c>
      <c r="E4618" s="10" t="s">
        <v>61</v>
      </c>
      <c r="F4618" s="9" t="s">
        <v>205</v>
      </c>
      <c r="G4618" s="10" t="s">
        <v>21</v>
      </c>
      <c r="H4618" s="9" t="s">
        <v>22</v>
      </c>
      <c r="I4618" s="9" t="s">
        <v>10696</v>
      </c>
      <c r="J4618" s="10" t="str">
        <f>HYPERLINK("https://www.boe.es/gazeta/dias/1834/06/08/pdfs/GMD-1834-110.pdf#page=3","Abrir facsímil")</f>
        <v>Abrir facsímil</v>
      </c>
      <c r="K4618" s="10" t="s">
        <v>24</v>
      </c>
    </row>
    <row r="4619" spans="1:11" ht="54" customHeight="1">
      <c r="A4619" s="9" t="s">
        <v>10697</v>
      </c>
      <c r="B4619" s="9" t="s">
        <v>10698</v>
      </c>
      <c r="C4619" s="9" t="s">
        <v>90</v>
      </c>
      <c r="D4619" s="9" t="s">
        <v>101</v>
      </c>
      <c r="E4619" s="10" t="s">
        <v>844</v>
      </c>
      <c r="F4619" s="9" t="s">
        <v>845</v>
      </c>
      <c r="G4619" s="10" t="s">
        <v>86</v>
      </c>
      <c r="H4619" s="9" t="s">
        <v>22</v>
      </c>
      <c r="I4619" s="9" t="s">
        <v>10699</v>
      </c>
      <c r="J4619" s="10" t="str">
        <f>HYPERLINK("https://www.boe.es/gazeta/dias/1834/03/13/pdfs/GMD-1834-32.pdf#page=2","Abrir facsímil")</f>
        <v>Abrir facsímil</v>
      </c>
      <c r="K4619" s="10" t="s">
        <v>24</v>
      </c>
    </row>
    <row r="4620" spans="1:11" ht="54" customHeight="1">
      <c r="A4620" s="9" t="s">
        <v>10700</v>
      </c>
      <c r="B4620" s="9" t="s">
        <v>10701</v>
      </c>
      <c r="C4620" s="9" t="s">
        <v>90</v>
      </c>
      <c r="D4620" s="9" t="s">
        <v>18</v>
      </c>
      <c r="E4620" s="10" t="s">
        <v>222</v>
      </c>
      <c r="F4620" s="9" t="s">
        <v>4015</v>
      </c>
      <c r="G4620" s="10" t="s">
        <v>34</v>
      </c>
      <c r="H4620" s="9" t="s">
        <v>35</v>
      </c>
      <c r="I4620" s="9" t="s">
        <v>10702</v>
      </c>
      <c r="J4620" s="10" t="str">
        <f>HYPERLINK("https://www.boe.es/gazeta/dias/1834/09/14/pdfs/GMD-C-1834-212.pdf#page=1","Abrir facsímil")</f>
        <v>Abrir facsímil</v>
      </c>
      <c r="K4620" s="10" t="s">
        <v>37</v>
      </c>
    </row>
    <row r="4621" spans="1:11" ht="54" customHeight="1">
      <c r="A4621" s="9" t="s">
        <v>10703</v>
      </c>
      <c r="B4621" s="9" t="s">
        <v>10704</v>
      </c>
      <c r="C4621" s="9" t="s">
        <v>90</v>
      </c>
      <c r="D4621" s="9" t="s">
        <v>18</v>
      </c>
      <c r="E4621" s="10" t="s">
        <v>222</v>
      </c>
      <c r="F4621" s="9" t="s">
        <v>4015</v>
      </c>
      <c r="G4621" s="10" t="s">
        <v>34</v>
      </c>
      <c r="H4621" s="9" t="s">
        <v>22</v>
      </c>
      <c r="I4621" s="9" t="s">
        <v>10705</v>
      </c>
      <c r="J4621" s="10" t="str">
        <f>HYPERLINK("https://www.boe.es/gazeta/dias/1834/09/14/pdfs/GMD-C-1834-212.pdf#page=1","Abrir facsímil")</f>
        <v>Abrir facsímil</v>
      </c>
      <c r="K4621" s="10" t="s">
        <v>24</v>
      </c>
    </row>
    <row r="4622" spans="1:11" ht="54" customHeight="1">
      <c r="A4622" s="9" t="s">
        <v>10706</v>
      </c>
      <c r="B4622" s="9" t="s">
        <v>10707</v>
      </c>
      <c r="C4622" s="9" t="s">
        <v>90</v>
      </c>
      <c r="D4622" s="9" t="s">
        <v>18</v>
      </c>
      <c r="E4622" s="10" t="s">
        <v>615</v>
      </c>
      <c r="F4622" s="9" t="s">
        <v>1205</v>
      </c>
      <c r="G4622" s="10" t="s">
        <v>86</v>
      </c>
      <c r="H4622" s="9" t="s">
        <v>35</v>
      </c>
      <c r="I4622" s="9" t="s">
        <v>10708</v>
      </c>
      <c r="J4622" s="10" t="str">
        <f>HYPERLINK("https://www.boe.es/gazeta/dias/1834/08/19/pdfs/GMD-D-1834-185.pdf#page=2","Abrir facsímil")</f>
        <v>Abrir facsímil</v>
      </c>
      <c r="K4622" s="10" t="s">
        <v>37</v>
      </c>
    </row>
    <row r="4623" spans="1:11" ht="54" customHeight="1">
      <c r="A4623" s="9" t="s">
        <v>10709</v>
      </c>
      <c r="B4623" s="9" t="s">
        <v>10710</v>
      </c>
      <c r="C4623" s="9" t="s">
        <v>90</v>
      </c>
      <c r="D4623" s="9" t="s">
        <v>18</v>
      </c>
      <c r="E4623" s="10" t="s">
        <v>615</v>
      </c>
      <c r="F4623" s="9" t="s">
        <v>1205</v>
      </c>
      <c r="G4623" s="10" t="s">
        <v>86</v>
      </c>
      <c r="H4623" s="9" t="s">
        <v>22</v>
      </c>
      <c r="I4623" s="9" t="s">
        <v>10711</v>
      </c>
      <c r="J4623" s="10" t="str">
        <f>HYPERLINK("https://www.boe.es/gazeta/dias/1834/08/19/pdfs/GMD-D-1834-185.pdf#page=2","Abrir facsímil")</f>
        <v>Abrir facsímil</v>
      </c>
      <c r="K4623" s="10" t="s">
        <v>24</v>
      </c>
    </row>
    <row r="4624" spans="1:11" ht="54" customHeight="1">
      <c r="A4624" s="9" t="s">
        <v>10712</v>
      </c>
      <c r="B4624" s="9" t="s">
        <v>10713</v>
      </c>
      <c r="C4624" s="9" t="s">
        <v>17</v>
      </c>
      <c r="D4624" s="9" t="s">
        <v>40</v>
      </c>
      <c r="E4624" s="10" t="s">
        <v>1922</v>
      </c>
      <c r="F4624" s="9" t="s">
        <v>1923</v>
      </c>
      <c r="G4624" s="10" t="s">
        <v>176</v>
      </c>
      <c r="H4624" s="9" t="s">
        <v>35</v>
      </c>
      <c r="I4624" s="9" t="s">
        <v>10714</v>
      </c>
      <c r="J4624" s="10" t="str">
        <f>HYPERLINK("https://www.boe.es/gazeta/dias/1834/02/25/pdfs/GMD-1834-25.pdf#page=6","Abrir facsímil")</f>
        <v>Abrir facsímil</v>
      </c>
      <c r="K4624" s="10" t="s">
        <v>37</v>
      </c>
    </row>
    <row r="4625" spans="1:11" ht="54" customHeight="1">
      <c r="A4625" s="9" t="s">
        <v>10715</v>
      </c>
      <c r="B4625" s="9" t="s">
        <v>10716</v>
      </c>
      <c r="C4625" s="9" t="s">
        <v>17</v>
      </c>
      <c r="D4625" s="9" t="s">
        <v>40</v>
      </c>
      <c r="E4625" s="10" t="s">
        <v>1922</v>
      </c>
      <c r="F4625" s="9" t="s">
        <v>1923</v>
      </c>
      <c r="G4625" s="10" t="s">
        <v>176</v>
      </c>
      <c r="H4625" s="9" t="s">
        <v>22</v>
      </c>
      <c r="I4625" s="9" t="s">
        <v>10717</v>
      </c>
      <c r="J4625" s="10" t="str">
        <f>HYPERLINK("https://www.boe.es/gazeta/dias/1834/02/25/pdfs/GMD-1834-25.pdf#page=6","Abrir facsímil")</f>
        <v>Abrir facsímil</v>
      </c>
      <c r="K4625" s="10" t="s">
        <v>24</v>
      </c>
    </row>
    <row r="4626" spans="1:11" ht="54" customHeight="1">
      <c r="A4626" s="9" t="s">
        <v>10718</v>
      </c>
      <c r="B4626" s="9" t="s">
        <v>10719</v>
      </c>
      <c r="C4626" s="9" t="s">
        <v>17</v>
      </c>
      <c r="D4626" s="9" t="s">
        <v>18</v>
      </c>
      <c r="E4626" s="10" t="s">
        <v>61</v>
      </c>
      <c r="F4626" s="9" t="s">
        <v>205</v>
      </c>
      <c r="G4626" s="10" t="s">
        <v>21</v>
      </c>
      <c r="H4626" s="9" t="s">
        <v>22</v>
      </c>
      <c r="I4626" s="9" t="s">
        <v>10720</v>
      </c>
      <c r="J4626" s="10" t="str">
        <f>HYPERLINK("https://www.boe.es/gazeta/dias/1834/06/08/pdfs/GMD-1834-110.pdf#page=3","Abrir facsímil")</f>
        <v>Abrir facsímil</v>
      </c>
      <c r="K4626" s="10" t="s">
        <v>24</v>
      </c>
    </row>
    <row r="4627" spans="1:11" ht="54" customHeight="1">
      <c r="A4627" s="9" t="s">
        <v>10721</v>
      </c>
      <c r="B4627" s="9" t="s">
        <v>10722</v>
      </c>
      <c r="C4627" s="9" t="s">
        <v>46</v>
      </c>
      <c r="D4627" s="9" t="s">
        <v>18</v>
      </c>
      <c r="E4627" s="10" t="s">
        <v>2098</v>
      </c>
      <c r="F4627" s="9" t="s">
        <v>2099</v>
      </c>
      <c r="G4627" s="10" t="s">
        <v>75</v>
      </c>
      <c r="H4627" s="9" t="s">
        <v>22</v>
      </c>
      <c r="I4627" s="9" t="s">
        <v>10723</v>
      </c>
      <c r="J4627" s="10" t="str">
        <f>HYPERLINK("https://www.boe.es/gazeta/dias/1834/08/11/pdfs/GMD-1834-176.pdf#page=4","Abrir facsímil")</f>
        <v>Abrir facsímil</v>
      </c>
      <c r="K4627" s="10" t="s">
        <v>24</v>
      </c>
    </row>
    <row r="4628" spans="1:11" ht="54" customHeight="1">
      <c r="A4628" s="9" t="s">
        <v>10724</v>
      </c>
      <c r="B4628" s="9" t="s">
        <v>10725</v>
      </c>
      <c r="C4628" s="9" t="s">
        <v>90</v>
      </c>
      <c r="D4628" s="9" t="s">
        <v>101</v>
      </c>
      <c r="E4628" s="10" t="s">
        <v>4637</v>
      </c>
      <c r="F4628" s="9" t="s">
        <v>4638</v>
      </c>
      <c r="G4628" s="10" t="s">
        <v>34</v>
      </c>
      <c r="H4628" s="9" t="s">
        <v>22</v>
      </c>
      <c r="I4628" s="9" t="s">
        <v>10726</v>
      </c>
      <c r="J4628" s="10" t="str">
        <f>HYPERLINK("https://www.boe.es/gazeta/dias/1834/12/08/pdfs/GMD-1834-297.pdf#page=1","Abrir facsímil")</f>
        <v>Abrir facsímil</v>
      </c>
      <c r="K4628" s="10" t="s">
        <v>24</v>
      </c>
    </row>
    <row r="4629" spans="1:11" ht="54" customHeight="1">
      <c r="A4629" s="9" t="s">
        <v>10727</v>
      </c>
      <c r="B4629" s="9" t="s">
        <v>10728</v>
      </c>
      <c r="C4629" s="9" t="s">
        <v>46</v>
      </c>
      <c r="D4629" s="9" t="s">
        <v>101</v>
      </c>
      <c r="E4629" s="10" t="s">
        <v>637</v>
      </c>
      <c r="F4629" s="9" t="s">
        <v>638</v>
      </c>
      <c r="G4629" s="10" t="s">
        <v>86</v>
      </c>
      <c r="H4629" s="9" t="s">
        <v>22</v>
      </c>
      <c r="I4629" s="9" t="s">
        <v>10729</v>
      </c>
      <c r="J4629" s="10" t="str">
        <f>HYPERLINK("https://www.boe.es/gazeta/dias/1834/06/03/pdfs/I00469-00470.pdf#page=2","Abrir facsímil")</f>
        <v>Abrir facsímil</v>
      </c>
      <c r="K4629" s="10" t="s">
        <v>24</v>
      </c>
    </row>
    <row r="4630" spans="1:11" ht="54" customHeight="1">
      <c r="A4630" s="9" t="s">
        <v>10727</v>
      </c>
      <c r="B4630" s="9" t="s">
        <v>10728</v>
      </c>
      <c r="C4630" s="9" t="s">
        <v>46</v>
      </c>
      <c r="D4630" s="9" t="s">
        <v>101</v>
      </c>
      <c r="E4630" s="10" t="s">
        <v>637</v>
      </c>
      <c r="F4630" s="9" t="s">
        <v>638</v>
      </c>
      <c r="G4630" s="10" t="s">
        <v>75</v>
      </c>
      <c r="H4630" s="9" t="s">
        <v>22</v>
      </c>
      <c r="I4630" s="9" t="s">
        <v>10729</v>
      </c>
      <c r="J4630" s="10" t="str">
        <f>HYPERLINK("https://www.boe.es/gazeta/dias/1834/06/03/pdfs/GMD-1834-105.pdf#page=4","Abrir facsímil")</f>
        <v>Abrir facsímil</v>
      </c>
      <c r="K4630" s="10" t="s">
        <v>24</v>
      </c>
    </row>
    <row r="4631" spans="1:11" ht="54" customHeight="1">
      <c r="A4631" s="9" t="s">
        <v>10730</v>
      </c>
      <c r="B4631" s="9" t="s">
        <v>10731</v>
      </c>
      <c r="C4631" s="9" t="s">
        <v>17</v>
      </c>
      <c r="D4631" s="9" t="s">
        <v>55</v>
      </c>
      <c r="E4631" s="10" t="s">
        <v>658</v>
      </c>
      <c r="F4631" s="9" t="s">
        <v>659</v>
      </c>
      <c r="G4631" s="10" t="s">
        <v>86</v>
      </c>
      <c r="H4631" s="9" t="s">
        <v>22</v>
      </c>
      <c r="I4631" s="9" t="s">
        <v>10732</v>
      </c>
      <c r="J4631" s="10" t="str">
        <f>HYPERLINK("https://www.boe.es/gazeta/dias/1834/05/26/pdfs/GMD-1834-95.pdf#page=2","Abrir facsímil")</f>
        <v>Abrir facsímil</v>
      </c>
      <c r="K4631" s="10" t="s">
        <v>24</v>
      </c>
    </row>
    <row r="4632" spans="1:11" ht="54" customHeight="1">
      <c r="A4632" s="9" t="s">
        <v>10733</v>
      </c>
      <c r="B4632" s="9" t="s">
        <v>10734</v>
      </c>
      <c r="C4632" s="9" t="s">
        <v>17</v>
      </c>
      <c r="D4632" s="9" t="s">
        <v>18</v>
      </c>
      <c r="E4632" s="10" t="s">
        <v>262</v>
      </c>
      <c r="F4632" s="9" t="s">
        <v>263</v>
      </c>
      <c r="G4632" s="10" t="s">
        <v>34</v>
      </c>
      <c r="H4632" s="9" t="s">
        <v>35</v>
      </c>
      <c r="I4632" s="9" t="s">
        <v>10735</v>
      </c>
      <c r="J4632" s="10" t="str">
        <f>HYPERLINK("https://www.boe.es/gazeta/dias/1834/10/18/pdfs/GMD-C-1834-246.pdf#page=1","Abrir facsímil")</f>
        <v>Abrir facsímil</v>
      </c>
      <c r="K4632" s="10" t="s">
        <v>37</v>
      </c>
    </row>
    <row r="4633" spans="1:11" ht="54" customHeight="1">
      <c r="A4633" s="9" t="s">
        <v>10736</v>
      </c>
      <c r="B4633" s="9" t="s">
        <v>10737</v>
      </c>
      <c r="C4633" s="9" t="s">
        <v>17</v>
      </c>
      <c r="D4633" s="9" t="s">
        <v>18</v>
      </c>
      <c r="E4633" s="10" t="s">
        <v>262</v>
      </c>
      <c r="F4633" s="9" t="s">
        <v>263</v>
      </c>
      <c r="G4633" s="10" t="s">
        <v>34</v>
      </c>
      <c r="H4633" s="9" t="s">
        <v>22</v>
      </c>
      <c r="I4633" s="9" t="s">
        <v>10738</v>
      </c>
      <c r="J4633" s="10" t="str">
        <f>HYPERLINK("https://www.boe.es/gazeta/dias/1834/10/18/pdfs/GMD-C-1834-246.pdf#page=1","Abrir facsímil")</f>
        <v>Abrir facsímil</v>
      </c>
      <c r="K4633" s="10" t="s">
        <v>24</v>
      </c>
    </row>
    <row r="4634" spans="1:11" ht="54" customHeight="1">
      <c r="A4634" s="9" t="s">
        <v>10739</v>
      </c>
      <c r="B4634" s="9" t="s">
        <v>10740</v>
      </c>
      <c r="C4634" s="9" t="s">
        <v>17</v>
      </c>
      <c r="D4634" s="9" t="s">
        <v>18</v>
      </c>
      <c r="E4634" s="10" t="s">
        <v>707</v>
      </c>
      <c r="F4634" s="9" t="s">
        <v>708</v>
      </c>
      <c r="G4634" s="10" t="s">
        <v>28</v>
      </c>
      <c r="H4634" s="9" t="s">
        <v>35</v>
      </c>
      <c r="I4634" s="9" t="s">
        <v>10741</v>
      </c>
      <c r="J4634" s="10" t="str">
        <f>HYPERLINK("https://www.boe.es/gazeta/dias/1834/11/25/pdfs/GMD-C-1834-284.pdf#page=5","Abrir facsímil")</f>
        <v>Abrir facsímil</v>
      </c>
      <c r="K4634" s="10" t="s">
        <v>37</v>
      </c>
    </row>
    <row r="4635" spans="1:11" ht="54" customHeight="1">
      <c r="A4635" s="9" t="s">
        <v>10742</v>
      </c>
      <c r="B4635" s="9" t="s">
        <v>10743</v>
      </c>
      <c r="C4635" s="9" t="s">
        <v>17</v>
      </c>
      <c r="D4635" s="9" t="s">
        <v>18</v>
      </c>
      <c r="E4635" s="10" t="s">
        <v>707</v>
      </c>
      <c r="F4635" s="9" t="s">
        <v>708</v>
      </c>
      <c r="G4635" s="10" t="s">
        <v>28</v>
      </c>
      <c r="H4635" s="9" t="s">
        <v>22</v>
      </c>
      <c r="I4635" s="9" t="s">
        <v>10744</v>
      </c>
      <c r="J4635" s="10" t="str">
        <f>HYPERLINK("https://www.boe.es/gazeta/dias/1834/11/25/pdfs/GMD-C-1834-284.pdf#page=5","Abrir facsímil")</f>
        <v>Abrir facsímil</v>
      </c>
      <c r="K4635" s="10" t="s">
        <v>24</v>
      </c>
    </row>
    <row r="4636" spans="1:11" ht="54" customHeight="1">
      <c r="A4636" s="9" t="s">
        <v>10745</v>
      </c>
      <c r="B4636" s="9" t="s">
        <v>10746</v>
      </c>
      <c r="C4636" s="9" t="s">
        <v>17</v>
      </c>
      <c r="D4636" s="9" t="s">
        <v>18</v>
      </c>
      <c r="E4636" s="10" t="s">
        <v>939</v>
      </c>
      <c r="F4636" s="9" t="s">
        <v>940</v>
      </c>
      <c r="G4636" s="10" t="s">
        <v>21</v>
      </c>
      <c r="H4636" s="9" t="s">
        <v>22</v>
      </c>
      <c r="I4636" s="9" t="s">
        <v>10747</v>
      </c>
      <c r="J4636" s="10" t="str">
        <f>HYPERLINK("https://www.boe.es/gazeta/dias/1834/06/10/pdfs/GMD-1834-113.pdf#page=3","Abrir facsímil")</f>
        <v>Abrir facsímil</v>
      </c>
      <c r="K4636" s="10" t="s">
        <v>24</v>
      </c>
    </row>
    <row r="4637" spans="1:11" ht="54" customHeight="1">
      <c r="A4637" s="9" t="s">
        <v>10748</v>
      </c>
      <c r="B4637" s="9" t="s">
        <v>10749</v>
      </c>
      <c r="C4637" s="9" t="s">
        <v>46</v>
      </c>
      <c r="D4637" s="9" t="s">
        <v>101</v>
      </c>
      <c r="E4637" s="10" t="s">
        <v>251</v>
      </c>
      <c r="F4637" s="9" t="s">
        <v>252</v>
      </c>
      <c r="G4637" s="10" t="s">
        <v>34</v>
      </c>
      <c r="H4637" s="9" t="s">
        <v>22</v>
      </c>
      <c r="I4637" s="9" t="s">
        <v>10750</v>
      </c>
      <c r="J4637" s="10" t="str">
        <f>HYPERLINK("https://www.boe.es/gazeta/dias/1834/09/26/pdfs/GMD-C-1834-224.pdf#page=1","Abrir facsímil")</f>
        <v>Abrir facsímil</v>
      </c>
      <c r="K4637" s="10" t="s">
        <v>24</v>
      </c>
    </row>
    <row r="4638" spans="1:11" ht="54" customHeight="1">
      <c r="A4638" s="9" t="s">
        <v>10751</v>
      </c>
      <c r="B4638" s="9" t="s">
        <v>10752</v>
      </c>
      <c r="C4638" s="9" t="s">
        <v>17</v>
      </c>
      <c r="D4638" s="9" t="s">
        <v>55</v>
      </c>
      <c r="E4638" s="10" t="s">
        <v>571</v>
      </c>
      <c r="F4638" s="9" t="s">
        <v>620</v>
      </c>
      <c r="G4638" s="10" t="s">
        <v>21</v>
      </c>
      <c r="H4638" s="9" t="s">
        <v>35</v>
      </c>
      <c r="I4638" s="9" t="s">
        <v>10753</v>
      </c>
      <c r="J4638" s="10" t="str">
        <f>HYPERLINK("https://www.boe.es/gazeta/dias/1834/09/04/pdfs/GMD-C-1834-202.pdf#page=3","Abrir facsímil")</f>
        <v>Abrir facsímil</v>
      </c>
      <c r="K4638" s="10" t="s">
        <v>37</v>
      </c>
    </row>
    <row r="4639" spans="1:11" ht="54" customHeight="1">
      <c r="A4639" s="9" t="s">
        <v>10754</v>
      </c>
      <c r="B4639" s="9" t="s">
        <v>10755</v>
      </c>
      <c r="C4639" s="9" t="s">
        <v>66</v>
      </c>
      <c r="D4639" s="9" t="s">
        <v>67</v>
      </c>
      <c r="E4639" s="10" t="s">
        <v>3488</v>
      </c>
      <c r="F4639" s="9" t="s">
        <v>3489</v>
      </c>
      <c r="G4639" s="10" t="s">
        <v>34</v>
      </c>
      <c r="H4639" s="9" t="s">
        <v>22</v>
      </c>
      <c r="I4639" s="9" t="s">
        <v>10756</v>
      </c>
      <c r="J4639" s="10" t="str">
        <f>HYPERLINK("https://www.boe.es/gazeta/dias/1834/06/22/pdfs/GMD-1834-125.pdf#page=1","Abrir facsímil")</f>
        <v>Abrir facsímil</v>
      </c>
      <c r="K4639" s="10" t="s">
        <v>24</v>
      </c>
    </row>
    <row r="4640" spans="1:11" ht="54" customHeight="1">
      <c r="A4640" s="9" t="s">
        <v>10757</v>
      </c>
      <c r="B4640" s="9" t="s">
        <v>10758</v>
      </c>
      <c r="C4640" s="9" t="s">
        <v>17</v>
      </c>
      <c r="D4640" s="9" t="s">
        <v>55</v>
      </c>
      <c r="E4640" s="10" t="s">
        <v>571</v>
      </c>
      <c r="F4640" s="9" t="s">
        <v>620</v>
      </c>
      <c r="G4640" s="10" t="s">
        <v>21</v>
      </c>
      <c r="H4640" s="9" t="s">
        <v>22</v>
      </c>
      <c r="I4640" s="9" t="s">
        <v>10759</v>
      </c>
      <c r="J4640" s="10" t="str">
        <f>HYPERLINK("https://www.boe.es/gazeta/dias/1834/09/04/pdfs/GMD-C-1834-202.pdf#page=3","Abrir facsímil")</f>
        <v>Abrir facsímil</v>
      </c>
      <c r="K4640" s="10" t="s">
        <v>24</v>
      </c>
    </row>
    <row r="4641" spans="1:11" ht="54" customHeight="1">
      <c r="A4641" s="9" t="s">
        <v>10760</v>
      </c>
      <c r="B4641" s="9" t="s">
        <v>10761</v>
      </c>
      <c r="C4641" s="9" t="s">
        <v>17</v>
      </c>
      <c r="D4641" s="9" t="s">
        <v>55</v>
      </c>
      <c r="E4641" s="10" t="s">
        <v>2098</v>
      </c>
      <c r="F4641" s="9" t="s">
        <v>5817</v>
      </c>
      <c r="G4641" s="10" t="s">
        <v>86</v>
      </c>
      <c r="H4641" s="9" t="s">
        <v>22</v>
      </c>
      <c r="I4641" s="9" t="s">
        <v>10762</v>
      </c>
      <c r="J4641" s="10" t="str">
        <f>HYPERLINK("https://www.boe.es/gazeta/dias/1834/08/11/pdfs/GMD-C-1834-176.pdf#page=2","Abrir facsímil")</f>
        <v>Abrir facsímil</v>
      </c>
      <c r="K4641" s="10" t="s">
        <v>24</v>
      </c>
    </row>
    <row r="4642" spans="1:11" ht="54" customHeight="1">
      <c r="A4642" s="9" t="s">
        <v>10760</v>
      </c>
      <c r="B4642" s="9" t="s">
        <v>10761</v>
      </c>
      <c r="C4642" s="9" t="s">
        <v>17</v>
      </c>
      <c r="D4642" s="9" t="s">
        <v>55</v>
      </c>
      <c r="E4642" s="10" t="s">
        <v>672</v>
      </c>
      <c r="F4642" s="9" t="s">
        <v>1055</v>
      </c>
      <c r="G4642" s="10" t="s">
        <v>1099</v>
      </c>
      <c r="H4642" s="9" t="s">
        <v>22</v>
      </c>
      <c r="I4642" s="9" t="s">
        <v>10763</v>
      </c>
      <c r="J4642" s="10" t="str">
        <f>HYPERLINK("https://www.boe.es/gazeta/dias/1834/09/19/pdfs/GMD-C-1834-217.pdf#page=11","Abrir facsímil")</f>
        <v>Abrir facsímil</v>
      </c>
      <c r="K4642" s="10" t="s">
        <v>24</v>
      </c>
    </row>
    <row r="4643" spans="1:11" ht="54" customHeight="1">
      <c r="A4643" s="9" t="s">
        <v>10760</v>
      </c>
      <c r="B4643" s="9" t="s">
        <v>10761</v>
      </c>
      <c r="C4643" s="9" t="s">
        <v>17</v>
      </c>
      <c r="D4643" s="9" t="s">
        <v>55</v>
      </c>
      <c r="E4643" s="10" t="s">
        <v>3248</v>
      </c>
      <c r="F4643" s="9" t="s">
        <v>4798</v>
      </c>
      <c r="G4643" s="10" t="s">
        <v>28</v>
      </c>
      <c r="H4643" s="9" t="s">
        <v>22</v>
      </c>
      <c r="I4643" s="9" t="s">
        <v>10764</v>
      </c>
      <c r="J4643" s="10" t="str">
        <f>HYPERLINK("https://www.boe.es/gazeta/dias/1834/09/20/pdfs/GMD-C-1834-218.pdf#page=5","Abrir facsímil")</f>
        <v>Abrir facsímil</v>
      </c>
      <c r="K4643" s="10" t="s">
        <v>24</v>
      </c>
    </row>
    <row r="4644" spans="1:11" ht="54" customHeight="1">
      <c r="A4644" s="9" t="s">
        <v>10765</v>
      </c>
      <c r="B4644" s="9" t="s">
        <v>10766</v>
      </c>
      <c r="C4644" s="9" t="s">
        <v>17</v>
      </c>
      <c r="D4644" s="9" t="s">
        <v>101</v>
      </c>
      <c r="E4644" s="10" t="s">
        <v>1025</v>
      </c>
      <c r="F4644" s="9" t="s">
        <v>1026</v>
      </c>
      <c r="G4644" s="10" t="s">
        <v>34</v>
      </c>
      <c r="H4644" s="9" t="s">
        <v>35</v>
      </c>
      <c r="I4644" s="9" t="s">
        <v>10767</v>
      </c>
      <c r="J4644" s="10" t="str">
        <f>HYPERLINK("https://www.boe.es/gazeta/dias/1834/03/01/pdfs/GMD-1834-27.pdf#page=1","Abrir facsímil")</f>
        <v>Abrir facsímil</v>
      </c>
      <c r="K4644" s="10" t="s">
        <v>37</v>
      </c>
    </row>
    <row r="4645" spans="1:11" ht="54" customHeight="1">
      <c r="A4645" s="9" t="s">
        <v>10768</v>
      </c>
      <c r="B4645" s="9" t="s">
        <v>10769</v>
      </c>
      <c r="C4645" s="9" t="s">
        <v>17</v>
      </c>
      <c r="D4645" s="9" t="s">
        <v>101</v>
      </c>
      <c r="E4645" s="10" t="s">
        <v>1025</v>
      </c>
      <c r="F4645" s="9" t="s">
        <v>1026</v>
      </c>
      <c r="G4645" s="10" t="s">
        <v>34</v>
      </c>
      <c r="H4645" s="9" t="s">
        <v>22</v>
      </c>
      <c r="I4645" s="9" t="s">
        <v>10770</v>
      </c>
      <c r="J4645" s="10" t="str">
        <f>HYPERLINK("https://www.boe.es/gazeta/dias/1834/03/01/pdfs/GMD-1834-27.pdf#page=1","Abrir facsímil")</f>
        <v>Abrir facsímil</v>
      </c>
      <c r="K4645" s="10" t="s">
        <v>24</v>
      </c>
    </row>
    <row r="4646" spans="1:11" ht="54" customHeight="1">
      <c r="A4646" s="9" t="s">
        <v>10771</v>
      </c>
      <c r="B4646" s="9" t="s">
        <v>10772</v>
      </c>
      <c r="C4646" s="9" t="s">
        <v>66</v>
      </c>
      <c r="D4646" s="9" t="s">
        <v>67</v>
      </c>
      <c r="E4646" s="10" t="s">
        <v>2098</v>
      </c>
      <c r="F4646" s="9" t="s">
        <v>5817</v>
      </c>
      <c r="G4646" s="10" t="s">
        <v>86</v>
      </c>
      <c r="H4646" s="9" t="s">
        <v>22</v>
      </c>
      <c r="I4646" s="9" t="s">
        <v>10773</v>
      </c>
      <c r="J4646" s="10" t="str">
        <f>HYPERLINK("https://www.boe.es/gazeta/dias/1834/08/11/pdfs/GMD-C-1834-176.pdf#page=2","Abrir facsímil")</f>
        <v>Abrir facsímil</v>
      </c>
      <c r="K4646" s="10" t="s">
        <v>24</v>
      </c>
    </row>
    <row r="4647" spans="1:11" ht="54" customHeight="1">
      <c r="A4647" s="9" t="s">
        <v>10774</v>
      </c>
      <c r="B4647" s="9" t="s">
        <v>10775</v>
      </c>
      <c r="C4647" s="9" t="s">
        <v>17</v>
      </c>
      <c r="D4647" s="9" t="s">
        <v>40</v>
      </c>
      <c r="E4647" s="10" t="s">
        <v>1839</v>
      </c>
      <c r="F4647" s="9" t="s">
        <v>3598</v>
      </c>
      <c r="G4647" s="10" t="s">
        <v>75</v>
      </c>
      <c r="H4647" s="9" t="s">
        <v>22</v>
      </c>
      <c r="I4647" s="9" t="s">
        <v>10776</v>
      </c>
      <c r="J4647" s="10" t="str">
        <f>HYPERLINK("https://www.boe.es/gazeta/dias/1834/08/12/pdfs/GMD-1834-177.pdf#page=4","Abrir facsímil")</f>
        <v>Abrir facsímil</v>
      </c>
      <c r="K4647" s="10" t="s">
        <v>24</v>
      </c>
    </row>
    <row r="4648" spans="1:11" ht="54" customHeight="1">
      <c r="A4648" s="9" t="s">
        <v>10777</v>
      </c>
      <c r="B4648" s="9" t="s">
        <v>10778</v>
      </c>
      <c r="C4648" s="9" t="s">
        <v>17</v>
      </c>
      <c r="D4648" s="9" t="s">
        <v>18</v>
      </c>
      <c r="E4648" s="10" t="s">
        <v>1186</v>
      </c>
      <c r="F4648" s="9" t="s">
        <v>1187</v>
      </c>
      <c r="G4648" s="10" t="s">
        <v>21</v>
      </c>
      <c r="H4648" s="9" t="s">
        <v>22</v>
      </c>
      <c r="I4648" s="9" t="s">
        <v>10779</v>
      </c>
      <c r="J4648" s="10" t="str">
        <f>HYPERLINK("https://www.boe.es/gazeta/dias/1834/08/14/pdfs/GMD-1834-179.pdf#page=3","Abrir facsímil")</f>
        <v>Abrir facsímil</v>
      </c>
      <c r="K4648" s="10" t="s">
        <v>24</v>
      </c>
    </row>
    <row r="4649" spans="1:11" ht="54" customHeight="1">
      <c r="A4649" s="9" t="s">
        <v>10780</v>
      </c>
      <c r="B4649" s="9" t="s">
        <v>10781</v>
      </c>
      <c r="C4649" s="9" t="s">
        <v>17</v>
      </c>
      <c r="D4649" s="9" t="s">
        <v>18</v>
      </c>
      <c r="E4649" s="10" t="s">
        <v>19</v>
      </c>
      <c r="F4649" s="9" t="s">
        <v>1933</v>
      </c>
      <c r="G4649" s="10" t="s">
        <v>86</v>
      </c>
      <c r="H4649" s="9" t="s">
        <v>22</v>
      </c>
      <c r="I4649" s="9" t="s">
        <v>10782</v>
      </c>
      <c r="J4649" s="10" t="str">
        <f>HYPERLINK("https://www.boe.es/gazeta/dias/1834/08/17/pdfs/GMD-1834-183E.pdf#page=2","Abrir facsímil")</f>
        <v>Abrir facsímil</v>
      </c>
      <c r="K4649" s="10" t="s">
        <v>24</v>
      </c>
    </row>
    <row r="4650" spans="1:11" ht="54" customHeight="1">
      <c r="A4650" s="9" t="s">
        <v>10783</v>
      </c>
      <c r="B4650" s="9" t="s">
        <v>10784</v>
      </c>
      <c r="C4650" s="9" t="s">
        <v>17</v>
      </c>
      <c r="D4650" s="9" t="s">
        <v>18</v>
      </c>
      <c r="E4650" s="10" t="s">
        <v>552</v>
      </c>
      <c r="F4650" s="9" t="s">
        <v>553</v>
      </c>
      <c r="G4650" s="10" t="s">
        <v>34</v>
      </c>
      <c r="H4650" s="9" t="s">
        <v>22</v>
      </c>
      <c r="I4650" s="9" t="s">
        <v>10785</v>
      </c>
      <c r="J4650" s="10" t="str">
        <f>HYPERLINK("https://www.boe.es/gazeta/dias/1834/07/30/pdfs/GMD-1834-163.pdf#page=1","Abrir facsímil")</f>
        <v>Abrir facsímil</v>
      </c>
      <c r="K4650" s="10" t="s">
        <v>24</v>
      </c>
    </row>
    <row r="4651" spans="1:11" ht="54" customHeight="1">
      <c r="A4651" s="9" t="s">
        <v>10786</v>
      </c>
      <c r="B4651" s="9" t="s">
        <v>10787</v>
      </c>
      <c r="C4651" s="9" t="s">
        <v>17</v>
      </c>
      <c r="D4651" s="9" t="s">
        <v>18</v>
      </c>
      <c r="E4651" s="10" t="s">
        <v>426</v>
      </c>
      <c r="F4651" s="9" t="s">
        <v>694</v>
      </c>
      <c r="G4651" s="10" t="s">
        <v>21</v>
      </c>
      <c r="H4651" s="9" t="s">
        <v>22</v>
      </c>
      <c r="I4651" s="9" t="s">
        <v>10788</v>
      </c>
      <c r="J4651" s="10" t="str">
        <f>HYPERLINK("https://www.boe.es/gazeta/dias/1834/10/04/pdfs/GMD-C-1834-232.pdf#page=3","Abrir facsímil")</f>
        <v>Abrir facsímil</v>
      </c>
      <c r="K4651" s="10" t="s">
        <v>24</v>
      </c>
    </row>
    <row r="4652" spans="1:11" ht="54" customHeight="1">
      <c r="A4652" s="9" t="s">
        <v>10789</v>
      </c>
      <c r="B4652" s="9" t="s">
        <v>10790</v>
      </c>
      <c r="C4652" s="9" t="s">
        <v>46</v>
      </c>
      <c r="D4652" s="9" t="s">
        <v>101</v>
      </c>
      <c r="E4652" s="10" t="s">
        <v>429</v>
      </c>
      <c r="F4652" s="9" t="s">
        <v>430</v>
      </c>
      <c r="G4652" s="10" t="s">
        <v>28</v>
      </c>
      <c r="H4652" s="9" t="s">
        <v>22</v>
      </c>
      <c r="I4652" s="9" t="s">
        <v>10791</v>
      </c>
      <c r="J4652" s="10" t="str">
        <f>HYPERLINK("https://www.boe.es/gazeta/dias/1834/08/07/pdfs/GMD-C-1834-172.pdf#page=5","Abrir facsímil")</f>
        <v>Abrir facsímil</v>
      </c>
      <c r="K4652" s="10" t="s">
        <v>24</v>
      </c>
    </row>
    <row r="4653" spans="1:11" ht="54" customHeight="1">
      <c r="A4653" s="9" t="s">
        <v>10789</v>
      </c>
      <c r="B4653" s="9" t="s">
        <v>10790</v>
      </c>
      <c r="C4653" s="9" t="s">
        <v>66</v>
      </c>
      <c r="D4653" s="9" t="s">
        <v>67</v>
      </c>
      <c r="E4653" s="10" t="s">
        <v>448</v>
      </c>
      <c r="F4653" s="9" t="s">
        <v>449</v>
      </c>
      <c r="G4653" s="10" t="s">
        <v>86</v>
      </c>
      <c r="H4653" s="9" t="s">
        <v>22</v>
      </c>
      <c r="I4653" s="9" t="s">
        <v>10792</v>
      </c>
      <c r="J4653" s="10" t="str">
        <f>HYPERLINK("https://www.boe.es/gazeta/dias/1834/10/14/pdfs/GMD-C-1834-242.pdf#page=2","Abrir facsímil")</f>
        <v>Abrir facsímil</v>
      </c>
      <c r="K4653" s="10" t="s">
        <v>24</v>
      </c>
    </row>
    <row r="4654" spans="1:11" ht="54" customHeight="1">
      <c r="A4654" s="9" t="s">
        <v>10789</v>
      </c>
      <c r="B4654" s="9" t="s">
        <v>10790</v>
      </c>
      <c r="C4654" s="9" t="s">
        <v>90</v>
      </c>
      <c r="D4654" s="9" t="s">
        <v>18</v>
      </c>
      <c r="E4654" s="10" t="s">
        <v>448</v>
      </c>
      <c r="F4654" s="9" t="s">
        <v>449</v>
      </c>
      <c r="G4654" s="10" t="s">
        <v>75</v>
      </c>
      <c r="H4654" s="9" t="s">
        <v>22</v>
      </c>
      <c r="I4654" s="9" t="s">
        <v>10793</v>
      </c>
      <c r="J4654" s="10" t="str">
        <f>HYPERLINK("https://www.boe.es/gazeta/dias/1834/10/14/pdfs/GMD-C-1834-242.pdf#page=4","Abrir facsímil")</f>
        <v>Abrir facsímil</v>
      </c>
      <c r="K4654" s="10" t="s">
        <v>24</v>
      </c>
    </row>
    <row r="4655" spans="1:11" ht="54" customHeight="1">
      <c r="A4655" s="9" t="s">
        <v>10789</v>
      </c>
      <c r="B4655" s="9" t="s">
        <v>10790</v>
      </c>
      <c r="C4655" s="9" t="s">
        <v>46</v>
      </c>
      <c r="D4655" s="9" t="s">
        <v>101</v>
      </c>
      <c r="E4655" s="10" t="s">
        <v>462</v>
      </c>
      <c r="F4655" s="9" t="s">
        <v>463</v>
      </c>
      <c r="G4655" s="10" t="s">
        <v>86</v>
      </c>
      <c r="H4655" s="9" t="s">
        <v>22</v>
      </c>
      <c r="I4655" s="9" t="s">
        <v>10794</v>
      </c>
      <c r="J4655" s="10" t="str">
        <f>HYPERLINK("https://www.boe.es/gazeta/dias/1834/08/27/pdfs/GMD-C-1834-193.pdf#page=2","Abrir facsímil")</f>
        <v>Abrir facsímil</v>
      </c>
      <c r="K4655" s="10" t="s">
        <v>24</v>
      </c>
    </row>
    <row r="4656" spans="1:11" ht="54" customHeight="1">
      <c r="A4656" s="9" t="s">
        <v>10789</v>
      </c>
      <c r="B4656" s="9" t="s">
        <v>10790</v>
      </c>
      <c r="C4656" s="9" t="s">
        <v>17</v>
      </c>
      <c r="D4656" s="9" t="s">
        <v>18</v>
      </c>
      <c r="E4656" s="10" t="s">
        <v>465</v>
      </c>
      <c r="F4656" s="9" t="s">
        <v>466</v>
      </c>
      <c r="G4656" s="10" t="s">
        <v>75</v>
      </c>
      <c r="H4656" s="9" t="s">
        <v>22</v>
      </c>
      <c r="I4656" s="9" t="s">
        <v>10795</v>
      </c>
      <c r="J4656" s="10" t="str">
        <f>HYPERLINK("https://www.boe.es/gazeta/dias/1834/11/27/pdfs/GMD-C-1834-286.pdf#page=4","Abrir facsímil")</f>
        <v>Abrir facsímil</v>
      </c>
      <c r="K4656" s="10" t="s">
        <v>24</v>
      </c>
    </row>
    <row r="4657" spans="1:11" ht="54" customHeight="1">
      <c r="A4657" s="9" t="s">
        <v>10789</v>
      </c>
      <c r="B4657" s="9" t="s">
        <v>10790</v>
      </c>
      <c r="C4657" s="9" t="s">
        <v>17</v>
      </c>
      <c r="D4657" s="9" t="s">
        <v>18</v>
      </c>
      <c r="E4657" s="10" t="s">
        <v>2142</v>
      </c>
      <c r="F4657" s="9" t="s">
        <v>2316</v>
      </c>
      <c r="G4657" s="10" t="s">
        <v>21</v>
      </c>
      <c r="H4657" s="9" t="s">
        <v>22</v>
      </c>
      <c r="I4657" s="9" t="s">
        <v>10796</v>
      </c>
      <c r="J4657" s="10" t="str">
        <f>HYPERLINK("https://www.boe.es/gazeta/dias/1834/12/27/pdfs/GMD-C-1834-317.pdf#page=3","Abrir facsímil")</f>
        <v>Abrir facsímil</v>
      </c>
      <c r="K4657" s="10" t="s">
        <v>24</v>
      </c>
    </row>
    <row r="4658" spans="1:11" ht="54" customHeight="1">
      <c r="A4658" s="9" t="s">
        <v>10789</v>
      </c>
      <c r="B4658" s="9" t="s">
        <v>10790</v>
      </c>
      <c r="C4658" s="9" t="s">
        <v>17</v>
      </c>
      <c r="D4658" s="9" t="s">
        <v>18</v>
      </c>
      <c r="E4658" s="10" t="s">
        <v>283</v>
      </c>
      <c r="F4658" s="9" t="s">
        <v>284</v>
      </c>
      <c r="G4658" s="10" t="s">
        <v>86</v>
      </c>
      <c r="H4658" s="9" t="s">
        <v>22</v>
      </c>
      <c r="I4658" s="9" t="s">
        <v>10797</v>
      </c>
      <c r="J4658" s="10" t="str">
        <f>HYPERLINK("https://www.boe.es/gazeta/dias/1834/11/29/pdfs/GMD-C-1834-288.pdf#page=2","Abrir facsímil")</f>
        <v>Abrir facsímil</v>
      </c>
      <c r="K4658" s="10" t="s">
        <v>24</v>
      </c>
    </row>
    <row r="4659" spans="1:11" ht="54" customHeight="1">
      <c r="A4659" s="9" t="s">
        <v>10798</v>
      </c>
      <c r="B4659" s="9" t="s">
        <v>10799</v>
      </c>
      <c r="C4659" s="9" t="s">
        <v>17</v>
      </c>
      <c r="D4659" s="9" t="s">
        <v>18</v>
      </c>
      <c r="E4659" s="10" t="s">
        <v>2142</v>
      </c>
      <c r="F4659" s="9" t="s">
        <v>2316</v>
      </c>
      <c r="G4659" s="10" t="s">
        <v>21</v>
      </c>
      <c r="H4659" s="9" t="s">
        <v>22</v>
      </c>
      <c r="I4659" s="9" t="s">
        <v>10800</v>
      </c>
      <c r="J4659" s="10" t="str">
        <f>HYPERLINK("https://www.boe.es/gazeta/dias/1834/12/27/pdfs/GMD-C-1834-317.pdf#page=3","Abrir facsímil")</f>
        <v>Abrir facsímil</v>
      </c>
      <c r="K4659" s="10" t="s">
        <v>24</v>
      </c>
    </row>
    <row r="4660" spans="1:11" ht="54" customHeight="1">
      <c r="A4660" s="9" t="s">
        <v>10801</v>
      </c>
      <c r="B4660" s="9" t="s">
        <v>10802</v>
      </c>
      <c r="C4660" s="9" t="s">
        <v>17</v>
      </c>
      <c r="D4660" s="9" t="s">
        <v>40</v>
      </c>
      <c r="E4660" s="10" t="s">
        <v>777</v>
      </c>
      <c r="F4660" s="9" t="s">
        <v>2535</v>
      </c>
      <c r="G4660" s="10" t="s">
        <v>86</v>
      </c>
      <c r="H4660" s="9" t="s">
        <v>22</v>
      </c>
      <c r="I4660" s="9" t="s">
        <v>10803</v>
      </c>
      <c r="J4660" s="10" t="str">
        <f>HYPERLINK("https://www.boe.es/gazeta/dias/1834/10/29/pdfs/GMD-C-1834-257.pdf#page=2","Abrir facsímil")</f>
        <v>Abrir facsímil</v>
      </c>
      <c r="K4660" s="10" t="s">
        <v>24</v>
      </c>
    </row>
    <row r="4661" spans="1:11" ht="54" customHeight="1">
      <c r="A4661" s="9" t="s">
        <v>10804</v>
      </c>
      <c r="B4661" s="9" t="s">
        <v>10805</v>
      </c>
      <c r="C4661" s="9" t="s">
        <v>17</v>
      </c>
      <c r="D4661" s="9" t="s">
        <v>18</v>
      </c>
      <c r="E4661" s="10" t="s">
        <v>1340</v>
      </c>
      <c r="F4661" s="9" t="s">
        <v>1341</v>
      </c>
      <c r="G4661" s="10" t="s">
        <v>21</v>
      </c>
      <c r="H4661" s="9" t="s">
        <v>22</v>
      </c>
      <c r="I4661" s="9" t="s">
        <v>10806</v>
      </c>
      <c r="J4661" s="10" t="str">
        <f>HYPERLINK("https://www.boe.es/gazeta/dias/1834/10/05/pdfs/GMD-C-1834-233.pdf#page=3","Abrir facsímil")</f>
        <v>Abrir facsímil</v>
      </c>
      <c r="K4661" s="10" t="s">
        <v>24</v>
      </c>
    </row>
    <row r="4662" spans="1:11" ht="54" customHeight="1">
      <c r="A4662" s="9" t="s">
        <v>10807</v>
      </c>
      <c r="B4662" s="9" t="s">
        <v>10808</v>
      </c>
      <c r="C4662" s="9" t="s">
        <v>17</v>
      </c>
      <c r="D4662" s="9" t="s">
        <v>101</v>
      </c>
      <c r="E4662" s="10" t="s">
        <v>658</v>
      </c>
      <c r="F4662" s="9" t="s">
        <v>659</v>
      </c>
      <c r="G4662" s="10" t="s">
        <v>34</v>
      </c>
      <c r="H4662" s="9" t="s">
        <v>22</v>
      </c>
      <c r="I4662" s="9" t="s">
        <v>10809</v>
      </c>
      <c r="J4662" s="10" t="str">
        <f>HYPERLINK("https://www.boe.es/gazeta/dias/1834/05/26/pdfs/GMD-1834-95.pdf#page=1","Abrir facsímil")</f>
        <v>Abrir facsímil</v>
      </c>
      <c r="K4662" s="10" t="s">
        <v>24</v>
      </c>
    </row>
    <row r="4663" spans="1:11" ht="54" customHeight="1">
      <c r="A4663" s="9" t="s">
        <v>10810</v>
      </c>
      <c r="B4663" s="9" t="s">
        <v>10811</v>
      </c>
      <c r="C4663" s="9" t="s">
        <v>17</v>
      </c>
      <c r="D4663" s="9" t="s">
        <v>55</v>
      </c>
      <c r="E4663" s="10" t="s">
        <v>715</v>
      </c>
      <c r="F4663" s="9" t="s">
        <v>7773</v>
      </c>
      <c r="G4663" s="10" t="s">
        <v>21</v>
      </c>
      <c r="H4663" s="9" t="s">
        <v>22</v>
      </c>
      <c r="I4663" s="9" t="s">
        <v>10812</v>
      </c>
      <c r="J4663" s="10" t="str">
        <f>HYPERLINK("https://www.boe.es/gazeta/dias/1834/09/17/pdfs/GMD-1834-215.pdf#page=3","Abrir facsímil")</f>
        <v>Abrir facsímil</v>
      </c>
      <c r="K4663" s="10" t="s">
        <v>24</v>
      </c>
    </row>
    <row r="4664" spans="1:11" ht="54" customHeight="1">
      <c r="A4664" s="9" t="s">
        <v>10813</v>
      </c>
      <c r="B4664" s="9" t="s">
        <v>10814</v>
      </c>
      <c r="C4664" s="9" t="s">
        <v>17</v>
      </c>
      <c r="D4664" s="9" t="s">
        <v>55</v>
      </c>
      <c r="E4664" s="10" t="s">
        <v>1103</v>
      </c>
      <c r="F4664" s="9" t="s">
        <v>1259</v>
      </c>
      <c r="G4664" s="10" t="s">
        <v>34</v>
      </c>
      <c r="H4664" s="9" t="s">
        <v>22</v>
      </c>
      <c r="I4664" s="9" t="s">
        <v>10815</v>
      </c>
      <c r="J4664" s="10" t="str">
        <f>HYPERLINK("https://www.boe.es/gazeta/dias/1834/10/10/pdfs/GMD-1834-238.pdf#page=1","Abrir facsímil")</f>
        <v>Abrir facsímil</v>
      </c>
      <c r="K4664" s="10" t="s">
        <v>24</v>
      </c>
    </row>
    <row r="4665" spans="1:11" ht="54" customHeight="1">
      <c r="A4665" s="9" t="s">
        <v>10816</v>
      </c>
      <c r="B4665" s="9" t="s">
        <v>10817</v>
      </c>
      <c r="C4665" s="9" t="s">
        <v>122</v>
      </c>
      <c r="D4665" s="9" t="s">
        <v>18</v>
      </c>
      <c r="E4665" s="10" t="s">
        <v>1394</v>
      </c>
      <c r="F4665" s="9" t="s">
        <v>2923</v>
      </c>
      <c r="G4665" s="10" t="s">
        <v>34</v>
      </c>
      <c r="H4665" s="9" t="s">
        <v>22</v>
      </c>
      <c r="I4665" s="9" t="s">
        <v>10818</v>
      </c>
      <c r="J4665" s="10" t="str">
        <f>HYPERLINK("https://www.boe.es/gazeta/dias/1834/04/16/pdfs/GMD-C-1834-55.pdf#page=1","Abrir facsímil")</f>
        <v>Abrir facsímil</v>
      </c>
      <c r="K4665" s="10" t="s">
        <v>24</v>
      </c>
    </row>
    <row r="4666" spans="1:11" ht="54" customHeight="1">
      <c r="A4666" s="9" t="s">
        <v>10819</v>
      </c>
      <c r="B4666" s="9" t="s">
        <v>10820</v>
      </c>
      <c r="C4666" s="9" t="s">
        <v>17</v>
      </c>
      <c r="D4666" s="9" t="s">
        <v>18</v>
      </c>
      <c r="E4666" s="10" t="s">
        <v>56</v>
      </c>
      <c r="F4666" s="9" t="s">
        <v>57</v>
      </c>
      <c r="G4666" s="10" t="s">
        <v>21</v>
      </c>
      <c r="H4666" s="9" t="s">
        <v>35</v>
      </c>
      <c r="I4666" s="9" t="s">
        <v>10821</v>
      </c>
      <c r="J4666" s="10" t="str">
        <f>HYPERLINK("https://www.boe.es/gazeta/dias/1834/07/09/pdfs/GMD-1834-142.pdf#page=3","Abrir facsímil")</f>
        <v>Abrir facsímil</v>
      </c>
      <c r="K4666" s="10" t="s">
        <v>37</v>
      </c>
    </row>
    <row r="4667" spans="1:11" ht="54" customHeight="1">
      <c r="A4667" s="9" t="s">
        <v>10822</v>
      </c>
      <c r="B4667" s="9" t="s">
        <v>10823</v>
      </c>
      <c r="C4667" s="9" t="s">
        <v>17</v>
      </c>
      <c r="D4667" s="9" t="s">
        <v>18</v>
      </c>
      <c r="E4667" s="10" t="s">
        <v>56</v>
      </c>
      <c r="F4667" s="9" t="s">
        <v>57</v>
      </c>
      <c r="G4667" s="10" t="s">
        <v>21</v>
      </c>
      <c r="H4667" s="9" t="s">
        <v>22</v>
      </c>
      <c r="I4667" s="9" t="s">
        <v>10824</v>
      </c>
      <c r="J4667" s="10" t="str">
        <f>HYPERLINK("https://www.boe.es/gazeta/dias/1834/07/09/pdfs/GMD-1834-142.pdf#page=3","Abrir facsímil")</f>
        <v>Abrir facsímil</v>
      </c>
      <c r="K4667" s="10" t="s">
        <v>24</v>
      </c>
    </row>
    <row r="4668" spans="1:11" ht="54" customHeight="1">
      <c r="A4668" s="9" t="s">
        <v>10825</v>
      </c>
      <c r="B4668" s="9" t="s">
        <v>10826</v>
      </c>
      <c r="C4668" s="9" t="s">
        <v>46</v>
      </c>
      <c r="D4668" s="9" t="s">
        <v>18</v>
      </c>
      <c r="E4668" s="10" t="s">
        <v>167</v>
      </c>
      <c r="F4668" s="9" t="s">
        <v>1200</v>
      </c>
      <c r="G4668" s="10" t="s">
        <v>86</v>
      </c>
      <c r="H4668" s="9" t="s">
        <v>35</v>
      </c>
      <c r="I4668" s="9" t="s">
        <v>10827</v>
      </c>
      <c r="J4668" s="10" t="str">
        <f>HYPERLINK("https://www.boe.es/gazeta/dias/1834/09/07/pdfs/GMD-C-1834-205.pdf#page=2","Abrir facsímil")</f>
        <v>Abrir facsímil</v>
      </c>
      <c r="K4668" s="10" t="s">
        <v>37</v>
      </c>
    </row>
    <row r="4669" spans="1:11" ht="54" customHeight="1">
      <c r="A4669" s="9" t="s">
        <v>10828</v>
      </c>
      <c r="B4669" s="9" t="s">
        <v>10829</v>
      </c>
      <c r="C4669" s="9" t="s">
        <v>46</v>
      </c>
      <c r="D4669" s="9" t="s">
        <v>18</v>
      </c>
      <c r="E4669" s="10" t="s">
        <v>167</v>
      </c>
      <c r="F4669" s="9" t="s">
        <v>1200</v>
      </c>
      <c r="G4669" s="10" t="s">
        <v>86</v>
      </c>
      <c r="H4669" s="9" t="s">
        <v>22</v>
      </c>
      <c r="I4669" s="9" t="s">
        <v>10830</v>
      </c>
      <c r="J4669" s="10" t="str">
        <f>HYPERLINK("https://www.boe.es/gazeta/dias/1834/09/07/pdfs/GMD-C-1834-205.pdf#page=2","Abrir facsímil")</f>
        <v>Abrir facsímil</v>
      </c>
      <c r="K4669" s="10" t="s">
        <v>24</v>
      </c>
    </row>
    <row r="4670" spans="1:11" ht="54" customHeight="1">
      <c r="A4670" s="9" t="s">
        <v>10828</v>
      </c>
      <c r="B4670" s="9" t="s">
        <v>10829</v>
      </c>
      <c r="C4670" s="9" t="s">
        <v>17</v>
      </c>
      <c r="D4670" s="9" t="s">
        <v>55</v>
      </c>
      <c r="E4670" s="10" t="s">
        <v>56</v>
      </c>
      <c r="F4670" s="9" t="s">
        <v>57</v>
      </c>
      <c r="G4670" s="10" t="s">
        <v>21</v>
      </c>
      <c r="H4670" s="9" t="s">
        <v>22</v>
      </c>
      <c r="I4670" s="9" t="s">
        <v>10831</v>
      </c>
      <c r="J4670" s="10" t="str">
        <f>HYPERLINK("https://www.boe.es/gazeta/dias/1834/07/09/pdfs/GMD-1834-142.pdf#page=3","Abrir facsímil")</f>
        <v>Abrir facsímil</v>
      </c>
      <c r="K4670" s="10" t="s">
        <v>24</v>
      </c>
    </row>
    <row r="4671" spans="1:11" ht="54" customHeight="1">
      <c r="A4671" s="9" t="s">
        <v>10832</v>
      </c>
      <c r="B4671" s="9" t="s">
        <v>10833</v>
      </c>
      <c r="C4671" s="9" t="s">
        <v>66</v>
      </c>
      <c r="D4671" s="9" t="s">
        <v>67</v>
      </c>
      <c r="E4671" s="10" t="s">
        <v>899</v>
      </c>
      <c r="F4671" s="9" t="s">
        <v>900</v>
      </c>
      <c r="G4671" s="10" t="s">
        <v>75</v>
      </c>
      <c r="H4671" s="9" t="s">
        <v>22</v>
      </c>
      <c r="I4671" s="9" t="s">
        <v>10834</v>
      </c>
      <c r="J4671" s="10" t="str">
        <f>HYPERLINK("https://www.boe.es/gazeta/dias/1834/01/30/pdfs/GMD-1834-14.pdf#page=4","Abrir facsímil")</f>
        <v>Abrir facsímil</v>
      </c>
      <c r="K4671" s="10" t="s">
        <v>24</v>
      </c>
    </row>
    <row r="4672" spans="1:11" ht="54" customHeight="1">
      <c r="A4672" s="9" t="s">
        <v>10835</v>
      </c>
      <c r="B4672" s="9" t="s">
        <v>10836</v>
      </c>
      <c r="C4672" s="9" t="s">
        <v>17</v>
      </c>
      <c r="D4672" s="9" t="s">
        <v>18</v>
      </c>
      <c r="E4672" s="10" t="s">
        <v>3810</v>
      </c>
      <c r="F4672" s="9" t="s">
        <v>3811</v>
      </c>
      <c r="G4672" s="10" t="s">
        <v>21</v>
      </c>
      <c r="H4672" s="9" t="s">
        <v>35</v>
      </c>
      <c r="I4672" s="9" t="s">
        <v>10837</v>
      </c>
      <c r="J4672" s="10" t="str">
        <f>HYPERLINK("https://www.boe.es/gazeta/dias/1834/02/20/pdfs/GMD-1834-23.pdf#page=3","Abrir facsímil")</f>
        <v>Abrir facsímil</v>
      </c>
      <c r="K4672" s="10" t="s">
        <v>37</v>
      </c>
    </row>
    <row r="4673" spans="1:11" ht="54" customHeight="1">
      <c r="A4673" s="9" t="s">
        <v>10838</v>
      </c>
      <c r="B4673" s="9" t="s">
        <v>10839</v>
      </c>
      <c r="C4673" s="9" t="s">
        <v>17</v>
      </c>
      <c r="D4673" s="9" t="s">
        <v>18</v>
      </c>
      <c r="E4673" s="10" t="s">
        <v>615</v>
      </c>
      <c r="F4673" s="9" t="s">
        <v>616</v>
      </c>
      <c r="G4673" s="10" t="s">
        <v>86</v>
      </c>
      <c r="H4673" s="9" t="s">
        <v>22</v>
      </c>
      <c r="I4673" s="9" t="s">
        <v>10840</v>
      </c>
      <c r="J4673" s="10" t="str">
        <f>HYPERLINK("https://www.boe.es/gazeta/dias/1834/08/19/pdfs/GMD-1834-185.pdf#page=2","Abrir facsímil")</f>
        <v>Abrir facsímil</v>
      </c>
      <c r="K4673" s="10" t="s">
        <v>24</v>
      </c>
    </row>
    <row r="4674" spans="1:11" ht="54" customHeight="1">
      <c r="A4674" s="9" t="s">
        <v>10841</v>
      </c>
      <c r="B4674" s="9" t="s">
        <v>10842</v>
      </c>
      <c r="C4674" s="9" t="s">
        <v>66</v>
      </c>
      <c r="D4674" s="9" t="s">
        <v>67</v>
      </c>
      <c r="E4674" s="10" t="s">
        <v>506</v>
      </c>
      <c r="F4674" s="9" t="s">
        <v>507</v>
      </c>
      <c r="G4674" s="10" t="s">
        <v>28</v>
      </c>
      <c r="H4674" s="9" t="s">
        <v>22</v>
      </c>
      <c r="I4674" s="9" t="s">
        <v>10843</v>
      </c>
      <c r="J4674" s="10" t="str">
        <f>HYPERLINK("https://www.boe.es/gazeta/dias/1834/03/04/pdfs/GMD-1834-28.pdf#page=5","Abrir facsímil")</f>
        <v>Abrir facsímil</v>
      </c>
      <c r="K4674" s="10" t="s">
        <v>24</v>
      </c>
    </row>
    <row r="4675" spans="1:11" ht="54" customHeight="1">
      <c r="A4675" s="9" t="s">
        <v>10844</v>
      </c>
      <c r="B4675" s="9" t="s">
        <v>10845</v>
      </c>
      <c r="C4675" s="9" t="s">
        <v>17</v>
      </c>
      <c r="D4675" s="9" t="s">
        <v>18</v>
      </c>
      <c r="E4675" s="10" t="s">
        <v>863</v>
      </c>
      <c r="F4675" s="9" t="s">
        <v>864</v>
      </c>
      <c r="G4675" s="10" t="s">
        <v>75</v>
      </c>
      <c r="H4675" s="9" t="s">
        <v>22</v>
      </c>
      <c r="I4675" s="9" t="s">
        <v>10846</v>
      </c>
      <c r="J4675" s="10" t="str">
        <f>HYPERLINK("https://www.boe.es/gazeta/dias/1834/09/15/pdfs/GMD-1834-213.pdf#page=4","Abrir facsímil")</f>
        <v>Abrir facsímil</v>
      </c>
      <c r="K4675" s="10" t="s">
        <v>24</v>
      </c>
    </row>
    <row r="4676" spans="1:11" ht="54" customHeight="1">
      <c r="A4676" s="9" t="s">
        <v>10847</v>
      </c>
      <c r="B4676" s="9" t="s">
        <v>10848</v>
      </c>
      <c r="C4676" s="9" t="s">
        <v>17</v>
      </c>
      <c r="D4676" s="9" t="s">
        <v>18</v>
      </c>
      <c r="E4676" s="10" t="s">
        <v>3810</v>
      </c>
      <c r="F4676" s="9" t="s">
        <v>3811</v>
      </c>
      <c r="G4676" s="10" t="s">
        <v>21</v>
      </c>
      <c r="H4676" s="9" t="s">
        <v>22</v>
      </c>
      <c r="I4676" s="9" t="s">
        <v>10849</v>
      </c>
      <c r="J4676" s="10" t="str">
        <f>HYPERLINK("https://www.boe.es/gazeta/dias/1834/02/20/pdfs/GMD-1834-23.pdf#page=3","Abrir facsímil")</f>
        <v>Abrir facsímil</v>
      </c>
      <c r="K4676" s="10" t="s">
        <v>24</v>
      </c>
    </row>
    <row r="4677" spans="1:11" ht="54" customHeight="1">
      <c r="A4677" s="9" t="s">
        <v>10850</v>
      </c>
      <c r="B4677" s="9" t="s">
        <v>10851</v>
      </c>
      <c r="C4677" s="9" t="s">
        <v>90</v>
      </c>
      <c r="D4677" s="9" t="s">
        <v>18</v>
      </c>
      <c r="E4677" s="10" t="s">
        <v>615</v>
      </c>
      <c r="F4677" s="9" t="s">
        <v>616</v>
      </c>
      <c r="G4677" s="10" t="s">
        <v>21</v>
      </c>
      <c r="H4677" s="9" t="s">
        <v>22</v>
      </c>
      <c r="I4677" s="9" t="s">
        <v>10852</v>
      </c>
      <c r="J4677" s="10" t="str">
        <f>HYPERLINK("https://www.boe.es/gazeta/dias/1834/08/19/pdfs/GMD-1834-185.pdf#page=3","Abrir facsímil")</f>
        <v>Abrir facsímil</v>
      </c>
      <c r="K4677" s="10" t="s">
        <v>24</v>
      </c>
    </row>
    <row r="4678" spans="1:11" ht="54" customHeight="1">
      <c r="A4678" s="9" t="s">
        <v>10853</v>
      </c>
      <c r="B4678" s="9" t="s">
        <v>10854</v>
      </c>
      <c r="C4678" s="9" t="s">
        <v>17</v>
      </c>
      <c r="D4678" s="9" t="s">
        <v>18</v>
      </c>
      <c r="E4678" s="10" t="s">
        <v>3025</v>
      </c>
      <c r="F4678" s="9" t="s">
        <v>3026</v>
      </c>
      <c r="G4678" s="10" t="s">
        <v>176</v>
      </c>
      <c r="H4678" s="9" t="s">
        <v>22</v>
      </c>
      <c r="I4678" s="9" t="s">
        <v>10855</v>
      </c>
      <c r="J4678" s="10" t="str">
        <f>HYPERLINK("https://www.boe.es/gazeta/dias/1834/05/25/pdfs/GMD-1834-94.pdf#page=6","Abrir facsímil")</f>
        <v>Abrir facsímil</v>
      </c>
      <c r="K4678" s="10" t="s">
        <v>24</v>
      </c>
    </row>
    <row r="4679" spans="1:11" ht="54" customHeight="1">
      <c r="A4679" s="9" t="s">
        <v>10856</v>
      </c>
      <c r="B4679" s="9" t="s">
        <v>10857</v>
      </c>
      <c r="C4679" s="9" t="s">
        <v>17</v>
      </c>
      <c r="D4679" s="9" t="s">
        <v>18</v>
      </c>
      <c r="E4679" s="10" t="s">
        <v>73</v>
      </c>
      <c r="F4679" s="9" t="s">
        <v>74</v>
      </c>
      <c r="G4679" s="10" t="s">
        <v>75</v>
      </c>
      <c r="H4679" s="9" t="s">
        <v>22</v>
      </c>
      <c r="I4679" s="9" t="s">
        <v>10858</v>
      </c>
      <c r="J4679" s="10" t="str">
        <f>HYPERLINK("https://www.boe.es/gazeta/dias/1834/11/04/pdfs/GMD-1834-263.pdf#page=4","Abrir facsímil")</f>
        <v>Abrir facsímil</v>
      </c>
      <c r="K4679" s="10" t="s">
        <v>24</v>
      </c>
    </row>
    <row r="4680" spans="1:11" ht="54" customHeight="1">
      <c r="A4680" s="9" t="s">
        <v>10859</v>
      </c>
      <c r="B4680" s="9" t="s">
        <v>10860</v>
      </c>
      <c r="C4680" s="9" t="s">
        <v>17</v>
      </c>
      <c r="D4680" s="9" t="s">
        <v>18</v>
      </c>
      <c r="E4680" s="10" t="s">
        <v>299</v>
      </c>
      <c r="F4680" s="9" t="s">
        <v>300</v>
      </c>
      <c r="G4680" s="10" t="s">
        <v>21</v>
      </c>
      <c r="H4680" s="9" t="s">
        <v>22</v>
      </c>
      <c r="I4680" s="9" t="s">
        <v>10861</v>
      </c>
      <c r="J4680" s="10" t="str">
        <f>HYPERLINK("https://www.boe.es/gazeta/dias/1834/12/12/pdfs/GMD-1834-301.pdf#page=3","Abrir facsímil")</f>
        <v>Abrir facsímil</v>
      </c>
      <c r="K4680" s="10" t="s">
        <v>24</v>
      </c>
    </row>
    <row r="4681" spans="1:11" ht="54" customHeight="1">
      <c r="A4681" s="9" t="s">
        <v>10862</v>
      </c>
      <c r="B4681" s="9" t="s">
        <v>10863</v>
      </c>
      <c r="C4681" s="9" t="s">
        <v>66</v>
      </c>
      <c r="D4681" s="9" t="s">
        <v>67</v>
      </c>
      <c r="E4681" s="10" t="s">
        <v>1125</v>
      </c>
      <c r="F4681" s="9" t="s">
        <v>1126</v>
      </c>
      <c r="G4681" s="10" t="s">
        <v>34</v>
      </c>
      <c r="H4681" s="9" t="s">
        <v>22</v>
      </c>
      <c r="I4681" s="9" t="s">
        <v>10864</v>
      </c>
      <c r="J4681" s="10" t="str">
        <f>HYPERLINK("https://www.boe.es/gazeta/dias/1834/04/17/pdfs/GMD-C-1834-56.pdf#page=1","Abrir facsímil")</f>
        <v>Abrir facsímil</v>
      </c>
      <c r="K4681" s="10" t="s">
        <v>24</v>
      </c>
    </row>
    <row r="4682" spans="1:11" ht="54" customHeight="1">
      <c r="A4682" s="9" t="s">
        <v>10862</v>
      </c>
      <c r="B4682" s="9" t="s">
        <v>10863</v>
      </c>
      <c r="C4682" s="9" t="s">
        <v>17</v>
      </c>
      <c r="D4682" s="9" t="s">
        <v>18</v>
      </c>
      <c r="E4682" s="10" t="s">
        <v>535</v>
      </c>
      <c r="F4682" s="9" t="s">
        <v>536</v>
      </c>
      <c r="G4682" s="10" t="s">
        <v>21</v>
      </c>
      <c r="H4682" s="9" t="s">
        <v>22</v>
      </c>
      <c r="I4682" s="9" t="s">
        <v>10865</v>
      </c>
      <c r="J4682" s="10" t="str">
        <f>HYPERLINK("https://www.boe.es/gazeta/dias/1834/05/21/pdfs/GMD-1834-90.pdf#page=3","Abrir facsímil")</f>
        <v>Abrir facsímil</v>
      </c>
      <c r="K4682" s="10" t="s">
        <v>24</v>
      </c>
    </row>
    <row r="4683" spans="1:11" ht="54" customHeight="1">
      <c r="A4683" s="9" t="s">
        <v>10866</v>
      </c>
      <c r="B4683" s="9" t="s">
        <v>10867</v>
      </c>
      <c r="C4683" s="9" t="s">
        <v>46</v>
      </c>
      <c r="D4683" s="9" t="s">
        <v>101</v>
      </c>
      <c r="E4683" s="10" t="s">
        <v>1262</v>
      </c>
      <c r="F4683" s="9" t="s">
        <v>1263</v>
      </c>
      <c r="G4683" s="10" t="s">
        <v>21</v>
      </c>
      <c r="H4683" s="9" t="s">
        <v>22</v>
      </c>
      <c r="I4683" s="9" t="s">
        <v>10868</v>
      </c>
      <c r="J4683" s="10" t="str">
        <f>HYPERLINK("https://www.boe.es/gazeta/dias/1834/02/01/pdfs/GMD-1834-15.pdf#page=3","Abrir facsímil")</f>
        <v>Abrir facsímil</v>
      </c>
      <c r="K4683" s="10" t="s">
        <v>24</v>
      </c>
    </row>
    <row r="4684" spans="1:11" ht="54" customHeight="1">
      <c r="A4684" s="9" t="s">
        <v>10869</v>
      </c>
      <c r="B4684" s="9" t="s">
        <v>10870</v>
      </c>
      <c r="C4684" s="9" t="s">
        <v>122</v>
      </c>
      <c r="D4684" s="9" t="s">
        <v>18</v>
      </c>
      <c r="E4684" s="10" t="s">
        <v>479</v>
      </c>
      <c r="F4684" s="9" t="s">
        <v>480</v>
      </c>
      <c r="G4684" s="10" t="s">
        <v>86</v>
      </c>
      <c r="H4684" s="9" t="s">
        <v>22</v>
      </c>
      <c r="I4684" s="9" t="s">
        <v>10871</v>
      </c>
      <c r="J4684" s="10" t="str">
        <f>HYPERLINK("https://www.boe.es/gazeta/dias/1834/08/13/pdfs/GMD-1834-178.pdf#page=2","Abrir facsímil")</f>
        <v>Abrir facsímil</v>
      </c>
      <c r="K4684" s="10" t="s">
        <v>24</v>
      </c>
    </row>
    <row r="4685" spans="1:11" ht="54" customHeight="1">
      <c r="A4685" s="9" t="s">
        <v>10872</v>
      </c>
      <c r="B4685" s="9" t="s">
        <v>10873</v>
      </c>
      <c r="C4685" s="9" t="s">
        <v>66</v>
      </c>
      <c r="D4685" s="9" t="s">
        <v>67</v>
      </c>
      <c r="E4685" s="10" t="s">
        <v>601</v>
      </c>
      <c r="F4685" s="9" t="s">
        <v>602</v>
      </c>
      <c r="G4685" s="10" t="s">
        <v>75</v>
      </c>
      <c r="H4685" s="9" t="s">
        <v>22</v>
      </c>
      <c r="I4685" s="9" t="s">
        <v>10874</v>
      </c>
      <c r="J4685" s="10" t="str">
        <f>HYPERLINK("https://www.boe.es/gazeta/dias/1834/08/16/pdfs/GMD-1834-181.pdf#page=4","Abrir facsímil")</f>
        <v>Abrir facsímil</v>
      </c>
      <c r="K4685" s="10" t="s">
        <v>24</v>
      </c>
    </row>
    <row r="4686" spans="1:11" ht="54" customHeight="1">
      <c r="A4686" s="9" t="s">
        <v>10875</v>
      </c>
      <c r="B4686" s="9" t="s">
        <v>10876</v>
      </c>
      <c r="C4686" s="9" t="s">
        <v>17</v>
      </c>
      <c r="D4686" s="9" t="s">
        <v>18</v>
      </c>
      <c r="E4686" s="10" t="s">
        <v>863</v>
      </c>
      <c r="F4686" s="9" t="s">
        <v>864</v>
      </c>
      <c r="G4686" s="10" t="s">
        <v>21</v>
      </c>
      <c r="H4686" s="9" t="s">
        <v>22</v>
      </c>
      <c r="I4686" s="9" t="s">
        <v>10877</v>
      </c>
      <c r="J4686" s="10" t="str">
        <f>HYPERLINK("https://www.boe.es/gazeta/dias/1834/09/15/pdfs/GMD-1834-213.pdf#page=3","Abrir facsímil")</f>
        <v>Abrir facsímil</v>
      </c>
      <c r="K4686" s="10" t="s">
        <v>24</v>
      </c>
    </row>
    <row r="4687" spans="1:11" ht="54" customHeight="1">
      <c r="A4687" s="9" t="s">
        <v>10878</v>
      </c>
      <c r="B4687" s="9" t="s">
        <v>10879</v>
      </c>
      <c r="C4687" s="9" t="s">
        <v>17</v>
      </c>
      <c r="D4687" s="9" t="s">
        <v>18</v>
      </c>
      <c r="E4687" s="10" t="s">
        <v>237</v>
      </c>
      <c r="F4687" s="9" t="s">
        <v>4609</v>
      </c>
      <c r="G4687" s="10" t="s">
        <v>75</v>
      </c>
      <c r="H4687" s="9" t="s">
        <v>35</v>
      </c>
      <c r="I4687" s="9" t="s">
        <v>10880</v>
      </c>
      <c r="J4687" s="10" t="str">
        <f>HYPERLINK("https://www.boe.es/gazeta/dias/1834/08/15/pdfs/GMD-1834-180.pdf#page=4","Abrir facsímil")</f>
        <v>Abrir facsímil</v>
      </c>
      <c r="K4687" s="10" t="s">
        <v>37</v>
      </c>
    </row>
    <row r="4688" spans="1:11" ht="54" customHeight="1">
      <c r="A4688" s="9" t="s">
        <v>10881</v>
      </c>
      <c r="B4688" s="9" t="s">
        <v>10882</v>
      </c>
      <c r="C4688" s="9" t="s">
        <v>66</v>
      </c>
      <c r="D4688" s="9" t="s">
        <v>67</v>
      </c>
      <c r="E4688" s="10" t="s">
        <v>663</v>
      </c>
      <c r="F4688" s="9" t="s">
        <v>664</v>
      </c>
      <c r="G4688" s="10" t="s">
        <v>34</v>
      </c>
      <c r="H4688" s="9" t="s">
        <v>22</v>
      </c>
      <c r="I4688" s="9" t="s">
        <v>10883</v>
      </c>
      <c r="J4688" s="10" t="str">
        <f>HYPERLINK("https://www.boe.es/gazeta/dias/1834/07/16/pdfs/GMD-1834-149.pdf#page=1","Abrir facsímil")</f>
        <v>Abrir facsímil</v>
      </c>
      <c r="K4688" s="10" t="s">
        <v>24</v>
      </c>
    </row>
    <row r="4689" spans="1:11" ht="54" customHeight="1">
      <c r="A4689" s="9" t="s">
        <v>10884</v>
      </c>
      <c r="B4689" s="9" t="s">
        <v>10885</v>
      </c>
      <c r="C4689" s="9" t="s">
        <v>17</v>
      </c>
      <c r="D4689" s="9" t="s">
        <v>101</v>
      </c>
      <c r="E4689" s="10" t="s">
        <v>535</v>
      </c>
      <c r="F4689" s="9" t="s">
        <v>536</v>
      </c>
      <c r="G4689" s="10" t="s">
        <v>34</v>
      </c>
      <c r="H4689" s="9" t="s">
        <v>22</v>
      </c>
      <c r="I4689" s="9" t="s">
        <v>10886</v>
      </c>
      <c r="J4689" s="10" t="str">
        <f>HYPERLINK("https://www.boe.es/gazeta/dias/1834/05/21/pdfs/GMD-1834-90.pdf#page=1","Abrir facsímil")</f>
        <v>Abrir facsímil</v>
      </c>
      <c r="K4689" s="10" t="s">
        <v>24</v>
      </c>
    </row>
    <row r="4690" spans="1:11" ht="54" customHeight="1">
      <c r="A4690" s="9" t="s">
        <v>10887</v>
      </c>
      <c r="B4690" s="9" t="s">
        <v>10888</v>
      </c>
      <c r="C4690" s="9" t="s">
        <v>17</v>
      </c>
      <c r="D4690" s="9" t="s">
        <v>101</v>
      </c>
      <c r="E4690" s="10" t="s">
        <v>304</v>
      </c>
      <c r="F4690" s="9" t="s">
        <v>305</v>
      </c>
      <c r="G4690" s="10" t="s">
        <v>86</v>
      </c>
      <c r="H4690" s="9" t="s">
        <v>35</v>
      </c>
      <c r="I4690" s="9" t="s">
        <v>10889</v>
      </c>
      <c r="J4690" s="10" t="str">
        <f>HYPERLINK("https://www.boe.es/gazeta/dias/1834/01/21/pdfs/GMD-1834-10.pdf#page=2","Abrir facsímil")</f>
        <v>Abrir facsímil</v>
      </c>
      <c r="K4690" s="10" t="s">
        <v>37</v>
      </c>
    </row>
    <row r="4691" spans="1:11" ht="54" customHeight="1">
      <c r="A4691" s="9" t="s">
        <v>10890</v>
      </c>
      <c r="B4691" s="9" t="s">
        <v>10891</v>
      </c>
      <c r="C4691" s="9" t="s">
        <v>66</v>
      </c>
      <c r="D4691" s="9" t="s">
        <v>101</v>
      </c>
      <c r="E4691" s="10" t="s">
        <v>1459</v>
      </c>
      <c r="F4691" s="9" t="s">
        <v>1460</v>
      </c>
      <c r="G4691" s="10" t="s">
        <v>34</v>
      </c>
      <c r="H4691" s="9" t="s">
        <v>22</v>
      </c>
      <c r="I4691" s="9" t="s">
        <v>10892</v>
      </c>
      <c r="J4691" s="10" t="str">
        <f>HYPERLINK("https://www.boe.es/gazeta/dias/1834/08/18/pdfs/GMD-1834-184.pdf#page=1","Abrir facsímil")</f>
        <v>Abrir facsímil</v>
      </c>
      <c r="K4691" s="10" t="s">
        <v>24</v>
      </c>
    </row>
    <row r="4692" spans="1:11" ht="54" customHeight="1">
      <c r="A4692" s="9" t="s">
        <v>10893</v>
      </c>
      <c r="B4692" s="9" t="s">
        <v>10894</v>
      </c>
      <c r="C4692" s="9" t="s">
        <v>17</v>
      </c>
      <c r="D4692" s="9" t="s">
        <v>101</v>
      </c>
      <c r="E4692" s="10" t="s">
        <v>606</v>
      </c>
      <c r="F4692" s="9" t="s">
        <v>607</v>
      </c>
      <c r="G4692" s="10" t="s">
        <v>34</v>
      </c>
      <c r="H4692" s="9" t="s">
        <v>22</v>
      </c>
      <c r="I4692" s="9" t="s">
        <v>10895</v>
      </c>
      <c r="J4692" s="10" t="str">
        <f>HYPERLINK("https://www.boe.es/gazeta/dias/1834/06/23/pdfs/GMD-1834-126.pdf#page=1","Abrir facsímil")</f>
        <v>Abrir facsímil</v>
      </c>
      <c r="K4692" s="10" t="s">
        <v>24</v>
      </c>
    </row>
    <row r="4693" spans="1:11" ht="54" customHeight="1">
      <c r="A4693" s="9" t="s">
        <v>10896</v>
      </c>
      <c r="B4693" s="9" t="s">
        <v>10897</v>
      </c>
      <c r="C4693" s="9" t="s">
        <v>90</v>
      </c>
      <c r="D4693" s="9" t="s">
        <v>55</v>
      </c>
      <c r="E4693" s="10" t="s">
        <v>117</v>
      </c>
      <c r="F4693" s="9" t="s">
        <v>118</v>
      </c>
      <c r="G4693" s="10" t="s">
        <v>75</v>
      </c>
      <c r="H4693" s="9" t="s">
        <v>35</v>
      </c>
      <c r="I4693" s="9" t="s">
        <v>10898</v>
      </c>
      <c r="J4693" s="10" t="str">
        <f>HYPERLINK("https://www.boe.es/gazeta/dias/1834/07/21/pdfs/GMD-1834-154.pdf#page=4","Abrir facsímil")</f>
        <v>Abrir facsímil</v>
      </c>
      <c r="K4693" s="10" t="s">
        <v>37</v>
      </c>
    </row>
    <row r="4694" spans="1:11" ht="54" customHeight="1">
      <c r="A4694" s="9" t="s">
        <v>10899</v>
      </c>
      <c r="B4694" s="9" t="s">
        <v>10900</v>
      </c>
      <c r="C4694" s="9" t="s">
        <v>90</v>
      </c>
      <c r="D4694" s="9" t="s">
        <v>55</v>
      </c>
      <c r="E4694" s="10" t="s">
        <v>117</v>
      </c>
      <c r="F4694" s="9" t="s">
        <v>118</v>
      </c>
      <c r="G4694" s="10" t="s">
        <v>75</v>
      </c>
      <c r="H4694" s="9" t="s">
        <v>35</v>
      </c>
      <c r="I4694" s="9" t="s">
        <v>10901</v>
      </c>
      <c r="J4694" s="10" t="str">
        <f>HYPERLINK("https://www.boe.es/gazeta/dias/1834/07/21/pdfs/GMD-1834-154.pdf#page=4","Abrir facsímil")</f>
        <v>Abrir facsímil</v>
      </c>
      <c r="K4694" s="10" t="s">
        <v>37</v>
      </c>
    </row>
    <row r="4695" spans="1:11" ht="54" customHeight="1">
      <c r="A4695" s="9" t="s">
        <v>10902</v>
      </c>
      <c r="B4695" s="9" t="s">
        <v>10903</v>
      </c>
      <c r="C4695" s="9" t="s">
        <v>17</v>
      </c>
      <c r="D4695" s="9" t="s">
        <v>18</v>
      </c>
      <c r="E4695" s="10" t="s">
        <v>1883</v>
      </c>
      <c r="F4695" s="9" t="s">
        <v>1884</v>
      </c>
      <c r="G4695" s="10" t="s">
        <v>75</v>
      </c>
      <c r="H4695" s="9" t="s">
        <v>22</v>
      </c>
      <c r="I4695" s="9" t="s">
        <v>10904</v>
      </c>
      <c r="J4695" s="10" t="str">
        <f>HYPERLINK("https://www.boe.es/gazeta/dias/1834/01/11/pdfs/GMD-1834-6.pdf#page=4","Abrir facsímil")</f>
        <v>Abrir facsímil</v>
      </c>
      <c r="K4695" s="10" t="s">
        <v>24</v>
      </c>
    </row>
    <row r="4696" spans="1:11" ht="54" customHeight="1">
      <c r="A4696" s="9" t="s">
        <v>10905</v>
      </c>
      <c r="B4696" s="9" t="s">
        <v>10906</v>
      </c>
      <c r="C4696" s="9" t="s">
        <v>17</v>
      </c>
      <c r="D4696" s="9" t="s">
        <v>18</v>
      </c>
      <c r="E4696" s="10" t="s">
        <v>448</v>
      </c>
      <c r="F4696" s="9" t="s">
        <v>449</v>
      </c>
      <c r="G4696" s="10" t="s">
        <v>34</v>
      </c>
      <c r="H4696" s="9" t="s">
        <v>22</v>
      </c>
      <c r="I4696" s="9" t="s">
        <v>10907</v>
      </c>
      <c r="J4696" s="10" t="str">
        <f>HYPERLINK("https://www.boe.es/gazeta/dias/1834/10/14/pdfs/GMD-C-1834-242.pdf#page=1","Abrir facsímil")</f>
        <v>Abrir facsímil</v>
      </c>
      <c r="K4696" s="10" t="s">
        <v>24</v>
      </c>
    </row>
    <row r="4697" spans="1:11" ht="54" customHeight="1">
      <c r="A4697" s="9" t="s">
        <v>10905</v>
      </c>
      <c r="B4697" s="9" t="s">
        <v>10906</v>
      </c>
      <c r="C4697" s="9" t="s">
        <v>17</v>
      </c>
      <c r="D4697" s="9" t="s">
        <v>18</v>
      </c>
      <c r="E4697" s="10" t="s">
        <v>273</v>
      </c>
      <c r="F4697" s="9" t="s">
        <v>274</v>
      </c>
      <c r="G4697" s="10" t="s">
        <v>86</v>
      </c>
      <c r="H4697" s="9" t="s">
        <v>22</v>
      </c>
      <c r="I4697" s="9" t="s">
        <v>10908</v>
      </c>
      <c r="J4697" s="10" t="str">
        <f>HYPERLINK("https://www.boe.es/gazeta/dias/1834/08/31/pdfs/GMD-D-1834-198.pdf#page=2","Abrir facsímil")</f>
        <v>Abrir facsímil</v>
      </c>
      <c r="K4697" s="10" t="s">
        <v>24</v>
      </c>
    </row>
    <row r="4698" spans="1:11" ht="54" customHeight="1">
      <c r="A4698" s="9" t="s">
        <v>10909</v>
      </c>
      <c r="B4698" s="9" t="s">
        <v>10910</v>
      </c>
      <c r="C4698" s="9" t="s">
        <v>17</v>
      </c>
      <c r="D4698" s="9" t="s">
        <v>18</v>
      </c>
      <c r="E4698" s="10" t="s">
        <v>309</v>
      </c>
      <c r="F4698" s="9" t="s">
        <v>310</v>
      </c>
      <c r="G4698" s="10" t="s">
        <v>34</v>
      </c>
      <c r="H4698" s="9" t="s">
        <v>22</v>
      </c>
      <c r="I4698" s="9" t="s">
        <v>10911</v>
      </c>
      <c r="J4698" s="10" t="str">
        <f>HYPERLINK("https://www.boe.es/gazeta/dias/1834/05/30/pdfs/GMD-1834-99.pdf#page=1","Abrir facsímil")</f>
        <v>Abrir facsímil</v>
      </c>
      <c r="K4698" s="10" t="s">
        <v>24</v>
      </c>
    </row>
    <row r="4699" spans="1:11" ht="54" customHeight="1">
      <c r="A4699" s="9" t="s">
        <v>10912</v>
      </c>
      <c r="B4699" s="9" t="s">
        <v>10913</v>
      </c>
      <c r="C4699" s="9" t="s">
        <v>17</v>
      </c>
      <c r="D4699" s="9" t="s">
        <v>18</v>
      </c>
      <c r="E4699" s="10" t="s">
        <v>255</v>
      </c>
      <c r="F4699" s="9" t="s">
        <v>2368</v>
      </c>
      <c r="G4699" s="10" t="s">
        <v>34</v>
      </c>
      <c r="H4699" s="9" t="s">
        <v>22</v>
      </c>
      <c r="I4699" s="9" t="s">
        <v>10914</v>
      </c>
      <c r="J4699" s="10" t="str">
        <f>HYPERLINK("https://www.boe.es/gazeta/dias/1834/09/01/pdfs/I00843-00844.pdf#page=1","Abrir facsímil")</f>
        <v>Abrir facsímil</v>
      </c>
      <c r="K4699" s="10" t="s">
        <v>24</v>
      </c>
    </row>
    <row r="4700" spans="1:11" ht="54" customHeight="1">
      <c r="A4700" s="9" t="s">
        <v>10912</v>
      </c>
      <c r="B4700" s="9" t="s">
        <v>10913</v>
      </c>
      <c r="C4700" s="9" t="s">
        <v>17</v>
      </c>
      <c r="D4700" s="9" t="s">
        <v>18</v>
      </c>
      <c r="E4700" s="10" t="s">
        <v>255</v>
      </c>
      <c r="F4700" s="9" t="s">
        <v>2368</v>
      </c>
      <c r="G4700" s="10" t="s">
        <v>21</v>
      </c>
      <c r="H4700" s="9" t="s">
        <v>22</v>
      </c>
      <c r="I4700" s="9" t="s">
        <v>10914</v>
      </c>
      <c r="J4700" s="10" t="str">
        <f>HYPERLINK("https://www.boe.es/gazeta/dias/1834/09/01/pdfs/GMD-1834-199.pdf#page=3","Abrir facsímil")</f>
        <v>Abrir facsímil</v>
      </c>
      <c r="K4700" s="10" t="s">
        <v>24</v>
      </c>
    </row>
    <row r="4701" spans="1:11" ht="54" customHeight="1">
      <c r="A4701" s="9" t="s">
        <v>10915</v>
      </c>
      <c r="B4701" s="9" t="s">
        <v>10916</v>
      </c>
      <c r="C4701" s="9" t="s">
        <v>17</v>
      </c>
      <c r="D4701" s="9" t="s">
        <v>18</v>
      </c>
      <c r="E4701" s="10" t="s">
        <v>772</v>
      </c>
      <c r="F4701" s="9" t="s">
        <v>2284</v>
      </c>
      <c r="G4701" s="10" t="s">
        <v>34</v>
      </c>
      <c r="H4701" s="9" t="s">
        <v>35</v>
      </c>
      <c r="I4701" s="9" t="s">
        <v>10917</v>
      </c>
      <c r="J4701" s="10" t="str">
        <f>HYPERLINK("https://www.boe.es/gazeta/dias/1834/09/18/pdfs/GMD-C-1834-216.pdf#page=1","Abrir facsímil")</f>
        <v>Abrir facsímil</v>
      </c>
      <c r="K4701" s="10" t="s">
        <v>37</v>
      </c>
    </row>
    <row r="4702" spans="1:11" ht="54" customHeight="1">
      <c r="A4702" s="9" t="s">
        <v>10918</v>
      </c>
      <c r="B4702" s="9" t="s">
        <v>10919</v>
      </c>
      <c r="C4702" s="9" t="s">
        <v>17</v>
      </c>
      <c r="D4702" s="9" t="s">
        <v>18</v>
      </c>
      <c r="E4702" s="10" t="s">
        <v>772</v>
      </c>
      <c r="F4702" s="9" t="s">
        <v>2284</v>
      </c>
      <c r="G4702" s="10" t="s">
        <v>34</v>
      </c>
      <c r="H4702" s="9" t="s">
        <v>22</v>
      </c>
      <c r="I4702" s="9" t="s">
        <v>10920</v>
      </c>
      <c r="J4702" s="10" t="str">
        <f>HYPERLINK("https://www.boe.es/gazeta/dias/1834/09/18/pdfs/GMD-C-1834-216.pdf#page=1","Abrir facsímil")</f>
        <v>Abrir facsímil</v>
      </c>
      <c r="K4702" s="10" t="s">
        <v>24</v>
      </c>
    </row>
    <row r="4703" spans="1:11" ht="54" customHeight="1">
      <c r="A4703" s="9" t="s">
        <v>10921</v>
      </c>
      <c r="B4703" s="9" t="s">
        <v>10922</v>
      </c>
      <c r="C4703" s="9" t="s">
        <v>17</v>
      </c>
      <c r="D4703" s="9" t="s">
        <v>101</v>
      </c>
      <c r="E4703" s="10" t="s">
        <v>4565</v>
      </c>
      <c r="F4703" s="9" t="s">
        <v>4566</v>
      </c>
      <c r="G4703" s="10" t="s">
        <v>75</v>
      </c>
      <c r="H4703" s="9" t="s">
        <v>22</v>
      </c>
      <c r="I4703" s="9" t="s">
        <v>10923</v>
      </c>
      <c r="J4703" s="10" t="str">
        <f>HYPERLINK("https://www.boe.es/gazeta/dias/1834/07/10/pdfs/GMD-1834-143.pdf#page=4","Abrir facsímil")</f>
        <v>Abrir facsímil</v>
      </c>
      <c r="K4703" s="10" t="s">
        <v>24</v>
      </c>
    </row>
    <row r="4704" spans="1:11" ht="54" customHeight="1">
      <c r="A4704" s="9" t="s">
        <v>10921</v>
      </c>
      <c r="B4704" s="9" t="s">
        <v>10922</v>
      </c>
      <c r="C4704" s="9" t="s">
        <v>122</v>
      </c>
      <c r="D4704" s="9" t="s">
        <v>18</v>
      </c>
      <c r="E4704" s="10" t="s">
        <v>1839</v>
      </c>
      <c r="F4704" s="9" t="s">
        <v>3598</v>
      </c>
      <c r="G4704" s="10" t="s">
        <v>75</v>
      </c>
      <c r="H4704" s="9" t="s">
        <v>22</v>
      </c>
      <c r="I4704" s="9" t="s">
        <v>10924</v>
      </c>
      <c r="J4704" s="10" t="str">
        <f>HYPERLINK("https://www.boe.es/gazeta/dias/1834/08/12/pdfs/GMD-1834-177.pdf#page=4","Abrir facsímil")</f>
        <v>Abrir facsímil</v>
      </c>
      <c r="K4704" s="10" t="s">
        <v>24</v>
      </c>
    </row>
    <row r="4705" spans="1:11" ht="54" customHeight="1">
      <c r="A4705" s="9" t="s">
        <v>10925</v>
      </c>
      <c r="B4705" s="9" t="s">
        <v>10926</v>
      </c>
      <c r="C4705" s="9" t="s">
        <v>90</v>
      </c>
      <c r="D4705" s="9" t="s">
        <v>18</v>
      </c>
      <c r="E4705" s="10" t="s">
        <v>844</v>
      </c>
      <c r="F4705" s="9" t="s">
        <v>845</v>
      </c>
      <c r="G4705" s="10" t="s">
        <v>86</v>
      </c>
      <c r="H4705" s="9" t="s">
        <v>22</v>
      </c>
      <c r="I4705" s="9" t="s">
        <v>10927</v>
      </c>
      <c r="J4705" s="10" t="str">
        <f>HYPERLINK("https://www.boe.es/gazeta/dias/1834/03/13/pdfs/GMD-1834-32.pdf#page=2","Abrir facsímil")</f>
        <v>Abrir facsímil</v>
      </c>
      <c r="K4705" s="10" t="s">
        <v>24</v>
      </c>
    </row>
    <row r="4706" spans="1:11" ht="54" customHeight="1">
      <c r="A4706" s="9" t="s">
        <v>10928</v>
      </c>
      <c r="B4706" s="9" t="s">
        <v>10929</v>
      </c>
      <c r="C4706" s="9" t="s">
        <v>90</v>
      </c>
      <c r="D4706" s="9" t="s">
        <v>18</v>
      </c>
      <c r="E4706" s="10" t="s">
        <v>844</v>
      </c>
      <c r="F4706" s="9" t="s">
        <v>845</v>
      </c>
      <c r="G4706" s="10" t="s">
        <v>86</v>
      </c>
      <c r="H4706" s="9" t="s">
        <v>22</v>
      </c>
      <c r="I4706" s="9" t="s">
        <v>10930</v>
      </c>
      <c r="J4706" s="10" t="str">
        <f>HYPERLINK("https://www.boe.es/gazeta/dias/1834/03/13/pdfs/GMD-1834-32.pdf#page=2","Abrir facsímil")</f>
        <v>Abrir facsímil</v>
      </c>
      <c r="K4706" s="10" t="s">
        <v>24</v>
      </c>
    </row>
    <row r="4707" spans="1:11" ht="54" customHeight="1">
      <c r="A4707" s="9" t="s">
        <v>10931</v>
      </c>
      <c r="B4707" s="9" t="s">
        <v>10932</v>
      </c>
      <c r="C4707" s="9" t="s">
        <v>17</v>
      </c>
      <c r="D4707" s="9" t="s">
        <v>55</v>
      </c>
      <c r="E4707" s="10" t="s">
        <v>1839</v>
      </c>
      <c r="F4707" s="9" t="s">
        <v>3598</v>
      </c>
      <c r="G4707" s="10" t="s">
        <v>86</v>
      </c>
      <c r="H4707" s="9" t="s">
        <v>22</v>
      </c>
      <c r="I4707" s="9" t="s">
        <v>10933</v>
      </c>
      <c r="J4707" s="10" t="str">
        <f>HYPERLINK("https://www.boe.es/gazeta/dias/1834/08/12/pdfs/GMD-1834-177.pdf#page=2","Abrir facsímil")</f>
        <v>Abrir facsímil</v>
      </c>
      <c r="K4707" s="10" t="s">
        <v>24</v>
      </c>
    </row>
    <row r="4708" spans="1:11" ht="54" customHeight="1">
      <c r="A4708" s="9" t="s">
        <v>10934</v>
      </c>
      <c r="B4708" s="9" t="s">
        <v>10935</v>
      </c>
      <c r="C4708" s="9" t="s">
        <v>17</v>
      </c>
      <c r="D4708" s="9" t="s">
        <v>55</v>
      </c>
      <c r="E4708" s="10" t="s">
        <v>919</v>
      </c>
      <c r="F4708" s="9" t="s">
        <v>920</v>
      </c>
      <c r="G4708" s="10" t="s">
        <v>86</v>
      </c>
      <c r="H4708" s="9" t="s">
        <v>22</v>
      </c>
      <c r="I4708" s="9" t="s">
        <v>10936</v>
      </c>
      <c r="J4708" s="10" t="str">
        <f>HYPERLINK("https://www.boe.es/gazeta/dias/1834/06/24/pdfs/GMD-1834-127.pdf#page=2","Abrir facsímil")</f>
        <v>Abrir facsímil</v>
      </c>
      <c r="K4708" s="10" t="s">
        <v>24</v>
      </c>
    </row>
    <row r="4709" spans="1:11" ht="54" customHeight="1">
      <c r="A4709" s="9" t="s">
        <v>10937</v>
      </c>
      <c r="B4709" s="9" t="s">
        <v>10938</v>
      </c>
      <c r="C4709" s="9" t="s">
        <v>17</v>
      </c>
      <c r="D4709" s="9" t="s">
        <v>55</v>
      </c>
      <c r="E4709" s="10" t="s">
        <v>919</v>
      </c>
      <c r="F4709" s="9" t="s">
        <v>920</v>
      </c>
      <c r="G4709" s="10" t="s">
        <v>86</v>
      </c>
      <c r="H4709" s="9" t="s">
        <v>22</v>
      </c>
      <c r="I4709" s="9" t="s">
        <v>10939</v>
      </c>
      <c r="J4709" s="10" t="str">
        <f>HYPERLINK("https://www.boe.es/gazeta/dias/1834/06/24/pdfs/GMD-1834-127.pdf#page=2","Abrir facsímil")</f>
        <v>Abrir facsímil</v>
      </c>
      <c r="K4709" s="10" t="s">
        <v>24</v>
      </c>
    </row>
    <row r="4710" spans="1:11" ht="54" customHeight="1">
      <c r="A4710" s="9" t="s">
        <v>10940</v>
      </c>
      <c r="B4710" s="9" t="s">
        <v>10941</v>
      </c>
      <c r="C4710" s="9" t="s">
        <v>17</v>
      </c>
      <c r="D4710" s="9" t="s">
        <v>18</v>
      </c>
      <c r="E4710" s="10" t="s">
        <v>1410</v>
      </c>
      <c r="F4710" s="9" t="s">
        <v>2231</v>
      </c>
      <c r="G4710" s="10" t="s">
        <v>75</v>
      </c>
      <c r="H4710" s="9" t="s">
        <v>22</v>
      </c>
      <c r="I4710" s="9" t="s">
        <v>10942</v>
      </c>
      <c r="J4710" s="10" t="str">
        <f>HYPERLINK("https://www.boe.es/gazeta/dias/1834/09/09/pdfs/GMD-C-1834-207.pdf#page=4","Abrir facsímil")</f>
        <v>Abrir facsímil</v>
      </c>
      <c r="K4710" s="10" t="s">
        <v>24</v>
      </c>
    </row>
    <row r="4711" spans="1:11" ht="54" customHeight="1">
      <c r="A4711" s="9" t="s">
        <v>10943</v>
      </c>
      <c r="B4711" s="9" t="s">
        <v>10944</v>
      </c>
      <c r="C4711" s="9" t="s">
        <v>90</v>
      </c>
      <c r="D4711" s="9" t="s">
        <v>18</v>
      </c>
      <c r="E4711" s="10" t="s">
        <v>891</v>
      </c>
      <c r="F4711" s="9" t="s">
        <v>3608</v>
      </c>
      <c r="G4711" s="10" t="s">
        <v>34</v>
      </c>
      <c r="H4711" s="9" t="s">
        <v>35</v>
      </c>
      <c r="I4711" s="9" t="s">
        <v>10945</v>
      </c>
      <c r="J4711" s="10" t="str">
        <f>HYPERLINK("https://www.boe.es/gazeta/dias/1834/10/31/pdfs/GMD-1834-259.pdf#page=1","Abrir facsímil")</f>
        <v>Abrir facsímil</v>
      </c>
      <c r="K4711" s="10" t="s">
        <v>37</v>
      </c>
    </row>
    <row r="4712" spans="1:11" ht="54" customHeight="1">
      <c r="A4712" s="9" t="s">
        <v>10946</v>
      </c>
      <c r="B4712" s="9" t="s">
        <v>10947</v>
      </c>
      <c r="C4712" s="9" t="s">
        <v>90</v>
      </c>
      <c r="D4712" s="9" t="s">
        <v>18</v>
      </c>
      <c r="E4712" s="10" t="s">
        <v>153</v>
      </c>
      <c r="F4712" s="9" t="s">
        <v>1294</v>
      </c>
      <c r="G4712" s="10" t="s">
        <v>21</v>
      </c>
      <c r="H4712" s="9" t="s">
        <v>22</v>
      </c>
      <c r="I4712" s="9" t="s">
        <v>10948</v>
      </c>
      <c r="J4712" s="10" t="str">
        <f>HYPERLINK("https://www.boe.es/gazeta/dias/1834/12/30/pdfs/GMD-1834-320.pdf#page=3","Abrir facsímil")</f>
        <v>Abrir facsímil</v>
      </c>
      <c r="K4712" s="10" t="s">
        <v>24</v>
      </c>
    </row>
    <row r="4713" spans="1:11" ht="54" customHeight="1">
      <c r="A4713" s="9" t="s">
        <v>10946</v>
      </c>
      <c r="B4713" s="9" t="s">
        <v>10947</v>
      </c>
      <c r="C4713" s="9" t="s">
        <v>90</v>
      </c>
      <c r="D4713" s="9" t="s">
        <v>18</v>
      </c>
      <c r="E4713" s="10" t="s">
        <v>891</v>
      </c>
      <c r="F4713" s="9" t="s">
        <v>3608</v>
      </c>
      <c r="G4713" s="10" t="s">
        <v>34</v>
      </c>
      <c r="H4713" s="9" t="s">
        <v>22</v>
      </c>
      <c r="I4713" s="9" t="s">
        <v>10949</v>
      </c>
      <c r="J4713" s="10" t="str">
        <f>HYPERLINK("https://www.boe.es/gazeta/dias/1834/10/31/pdfs/GMD-1834-259.pdf#page=1","Abrir facsímil")</f>
        <v>Abrir facsímil</v>
      </c>
      <c r="K4713" s="10" t="s">
        <v>24</v>
      </c>
    </row>
    <row r="4714" spans="1:11" ht="54" customHeight="1">
      <c r="A4714" s="9" t="s">
        <v>10950</v>
      </c>
      <c r="B4714" s="9" t="s">
        <v>10951</v>
      </c>
      <c r="C4714" s="9" t="s">
        <v>66</v>
      </c>
      <c r="D4714" s="9" t="s">
        <v>67</v>
      </c>
      <c r="E4714" s="10" t="s">
        <v>1556</v>
      </c>
      <c r="F4714" s="9" t="s">
        <v>1557</v>
      </c>
      <c r="G4714" s="10" t="s">
        <v>21</v>
      </c>
      <c r="H4714" s="9" t="s">
        <v>22</v>
      </c>
      <c r="I4714" s="9" t="s">
        <v>10952</v>
      </c>
      <c r="J4714" s="10" t="str">
        <f>HYPERLINK("https://www.boe.es/gazeta/dias/1834/06/06/pdfs/GMD-1834-108.pdf#page=3","Abrir facsímil")</f>
        <v>Abrir facsímil</v>
      </c>
      <c r="K4714" s="10" t="s">
        <v>24</v>
      </c>
    </row>
    <row r="4715" spans="1:11" ht="54" customHeight="1">
      <c r="A4715" s="9" t="s">
        <v>10953</v>
      </c>
      <c r="B4715" s="9" t="s">
        <v>10954</v>
      </c>
      <c r="C4715" s="9" t="s">
        <v>90</v>
      </c>
      <c r="D4715" s="9" t="s">
        <v>55</v>
      </c>
      <c r="E4715" s="10" t="s">
        <v>128</v>
      </c>
      <c r="F4715" s="9" t="s">
        <v>1068</v>
      </c>
      <c r="G4715" s="10" t="s">
        <v>34</v>
      </c>
      <c r="H4715" s="9" t="s">
        <v>22</v>
      </c>
      <c r="I4715" s="9" t="s">
        <v>10955</v>
      </c>
      <c r="J4715" s="10" t="str">
        <f>HYPERLINK("https://www.boe.es/gazeta/dias/1834/12/24/pdfs/GMD-1834-314.pdf#page=1","Abrir facsímil")</f>
        <v>Abrir facsímil</v>
      </c>
      <c r="K4715" s="10" t="s">
        <v>24</v>
      </c>
    </row>
    <row r="4716" spans="1:11" ht="54" customHeight="1">
      <c r="A4716" s="9" t="s">
        <v>10956</v>
      </c>
      <c r="B4716" s="9" t="s">
        <v>10957</v>
      </c>
      <c r="C4716" s="9" t="s">
        <v>90</v>
      </c>
      <c r="D4716" s="9" t="s">
        <v>55</v>
      </c>
      <c r="E4716" s="10" t="s">
        <v>813</v>
      </c>
      <c r="F4716" s="9" t="s">
        <v>814</v>
      </c>
      <c r="G4716" s="10" t="s">
        <v>34</v>
      </c>
      <c r="H4716" s="9" t="s">
        <v>22</v>
      </c>
      <c r="I4716" s="9" t="s">
        <v>10958</v>
      </c>
      <c r="J4716" s="10" t="str">
        <f>HYPERLINK("https://www.boe.es/gazeta/dias/1834/08/08/pdfs/GMD-1834-173.pdf#page=1","Abrir facsímil")</f>
        <v>Abrir facsímil</v>
      </c>
      <c r="K4716" s="10" t="s">
        <v>24</v>
      </c>
    </row>
    <row r="4717" spans="1:11" ht="54" customHeight="1">
      <c r="A4717" s="9" t="s">
        <v>10956</v>
      </c>
      <c r="B4717" s="9" t="s">
        <v>10957</v>
      </c>
      <c r="C4717" s="9" t="s">
        <v>46</v>
      </c>
      <c r="D4717" s="9" t="s">
        <v>55</v>
      </c>
      <c r="E4717" s="10" t="s">
        <v>1883</v>
      </c>
      <c r="F4717" s="9" t="s">
        <v>1884</v>
      </c>
      <c r="G4717" s="10" t="s">
        <v>86</v>
      </c>
      <c r="H4717" s="9" t="s">
        <v>22</v>
      </c>
      <c r="I4717" s="9" t="s">
        <v>10959</v>
      </c>
      <c r="J4717" s="10" t="str">
        <f>HYPERLINK("https://www.boe.es/gazeta/dias/1834/01/11/pdfs/GMD-1834-6.pdf#page=2","Abrir facsímil")</f>
        <v>Abrir facsímil</v>
      </c>
      <c r="K4717" s="10" t="s">
        <v>24</v>
      </c>
    </row>
    <row r="4718" spans="1:11" ht="54" customHeight="1">
      <c r="A4718" s="9" t="s">
        <v>10960</v>
      </c>
      <c r="B4718" s="9" t="s">
        <v>10961</v>
      </c>
      <c r="C4718" s="9" t="s">
        <v>17</v>
      </c>
      <c r="D4718" s="9" t="s">
        <v>18</v>
      </c>
      <c r="E4718" s="10" t="s">
        <v>1572</v>
      </c>
      <c r="F4718" s="9" t="s">
        <v>1573</v>
      </c>
      <c r="G4718" s="10" t="s">
        <v>21</v>
      </c>
      <c r="H4718" s="9" t="s">
        <v>35</v>
      </c>
      <c r="I4718" s="9" t="s">
        <v>10962</v>
      </c>
      <c r="J4718" s="10" t="str">
        <f>HYPERLINK("https://www.boe.es/gazeta/dias/1834/03/20/pdfs/GMD-1834-35.pdf#page=3","Abrir facsímil")</f>
        <v>Abrir facsímil</v>
      </c>
      <c r="K4718" s="10" t="s">
        <v>37</v>
      </c>
    </row>
    <row r="4719" spans="1:11" ht="54" customHeight="1">
      <c r="A4719" s="9" t="s">
        <v>10963</v>
      </c>
      <c r="B4719" s="9" t="s">
        <v>10964</v>
      </c>
      <c r="C4719" s="9" t="s">
        <v>66</v>
      </c>
      <c r="D4719" s="9" t="s">
        <v>67</v>
      </c>
      <c r="E4719" s="10" t="s">
        <v>2153</v>
      </c>
      <c r="F4719" s="9" t="s">
        <v>2154</v>
      </c>
      <c r="G4719" s="10" t="s">
        <v>21</v>
      </c>
      <c r="H4719" s="9" t="s">
        <v>22</v>
      </c>
      <c r="I4719" s="9" t="s">
        <v>10965</v>
      </c>
      <c r="J4719" s="10" t="str">
        <f>HYPERLINK("https://www.boe.es/gazeta/dias/1834/01/23/pdfs/GMD-1834-11.pdf#page=3","Abrir facsímil")</f>
        <v>Abrir facsímil</v>
      </c>
      <c r="K4719" s="10" t="s">
        <v>24</v>
      </c>
    </row>
    <row r="4720" spans="1:11" ht="54" customHeight="1">
      <c r="A4720" s="9" t="s">
        <v>10966</v>
      </c>
      <c r="B4720" s="9" t="s">
        <v>10967</v>
      </c>
      <c r="C4720" s="9" t="s">
        <v>17</v>
      </c>
      <c r="D4720" s="9" t="s">
        <v>18</v>
      </c>
      <c r="E4720" s="10" t="s">
        <v>899</v>
      </c>
      <c r="F4720" s="9" t="s">
        <v>900</v>
      </c>
      <c r="G4720" s="10" t="s">
        <v>21</v>
      </c>
      <c r="H4720" s="9" t="s">
        <v>22</v>
      </c>
      <c r="I4720" s="9" t="s">
        <v>10968</v>
      </c>
      <c r="J4720" s="10" t="str">
        <f>HYPERLINK("https://www.boe.es/gazeta/dias/1834/01/30/pdfs/GMD-1834-14.pdf#page=3","Abrir facsímil")</f>
        <v>Abrir facsímil</v>
      </c>
      <c r="K4720" s="10" t="s">
        <v>24</v>
      </c>
    </row>
    <row r="4721" spans="1:11" ht="54" customHeight="1">
      <c r="A4721" s="9" t="s">
        <v>10969</v>
      </c>
      <c r="B4721" s="9" t="s">
        <v>10970</v>
      </c>
      <c r="C4721" s="9" t="s">
        <v>17</v>
      </c>
      <c r="D4721" s="9" t="s">
        <v>18</v>
      </c>
      <c r="E4721" s="10" t="s">
        <v>187</v>
      </c>
      <c r="F4721" s="9" t="s">
        <v>188</v>
      </c>
      <c r="G4721" s="10" t="s">
        <v>86</v>
      </c>
      <c r="H4721" s="9" t="s">
        <v>35</v>
      </c>
      <c r="I4721" s="9" t="s">
        <v>10971</v>
      </c>
      <c r="J4721" s="10" t="str">
        <f>HYPERLINK("https://www.boe.es/gazeta/dias/1834/09/30/pdfs/GMD-1834-228.pdf#page=2","Abrir facsímil")</f>
        <v>Abrir facsímil</v>
      </c>
      <c r="K4721" s="10" t="s">
        <v>37</v>
      </c>
    </row>
    <row r="4722" spans="1:11" ht="54" customHeight="1">
      <c r="A4722" s="9" t="s">
        <v>10972</v>
      </c>
      <c r="B4722" s="9" t="s">
        <v>10973</v>
      </c>
      <c r="C4722" s="9" t="s">
        <v>17</v>
      </c>
      <c r="D4722" s="9" t="s">
        <v>18</v>
      </c>
      <c r="E4722" s="10" t="s">
        <v>563</v>
      </c>
      <c r="F4722" s="9" t="s">
        <v>564</v>
      </c>
      <c r="G4722" s="10" t="s">
        <v>34</v>
      </c>
      <c r="H4722" s="9" t="s">
        <v>22</v>
      </c>
      <c r="I4722" s="9" t="s">
        <v>10974</v>
      </c>
      <c r="J4722" s="10" t="str">
        <f>HYPERLINK("https://www.boe.es/gazeta/dias/1834/04/19/pdfs/GMD-1834-58.pdf#page=1","Abrir facsímil")</f>
        <v>Abrir facsímil</v>
      </c>
      <c r="K4722" s="10" t="s">
        <v>24</v>
      </c>
    </row>
    <row r="4723" spans="1:11" ht="54" customHeight="1">
      <c r="A4723" s="9" t="s">
        <v>10975</v>
      </c>
      <c r="B4723" s="9" t="s">
        <v>10976</v>
      </c>
      <c r="C4723" s="9" t="s">
        <v>90</v>
      </c>
      <c r="D4723" s="9" t="s">
        <v>40</v>
      </c>
      <c r="E4723" s="10" t="s">
        <v>299</v>
      </c>
      <c r="F4723" s="9" t="s">
        <v>2255</v>
      </c>
      <c r="G4723" s="10" t="s">
        <v>28</v>
      </c>
      <c r="H4723" s="9" t="s">
        <v>22</v>
      </c>
      <c r="I4723" s="9" t="s">
        <v>10977</v>
      </c>
      <c r="J4723" s="10" t="str">
        <f>HYPERLINK("https://www.boe.es/gazeta/dias/1834/12/12/pdfs/GMD-C-1834-301.pdf#page=5","Abrir facsímil")</f>
        <v>Abrir facsímil</v>
      </c>
      <c r="K4723" s="10" t="s">
        <v>24</v>
      </c>
    </row>
    <row r="4724" spans="1:11" ht="54" customHeight="1">
      <c r="A4724" s="9" t="s">
        <v>10978</v>
      </c>
      <c r="B4724" s="9" t="s">
        <v>10979</v>
      </c>
      <c r="C4724" s="9" t="s">
        <v>17</v>
      </c>
      <c r="D4724" s="9" t="s">
        <v>18</v>
      </c>
      <c r="E4724" s="10" t="s">
        <v>2124</v>
      </c>
      <c r="F4724" s="9" t="s">
        <v>2125</v>
      </c>
      <c r="G4724" s="10" t="s">
        <v>34</v>
      </c>
      <c r="H4724" s="9" t="s">
        <v>22</v>
      </c>
      <c r="I4724" s="9" t="s">
        <v>10980</v>
      </c>
      <c r="J4724" s="10" t="str">
        <f>HYPERLINK("https://www.boe.es/gazeta/dias/1834/06/09/pdfs/GMD-1834-112.pdf#page=1","Abrir facsímil")</f>
        <v>Abrir facsímil</v>
      </c>
      <c r="K4724" s="10" t="s">
        <v>24</v>
      </c>
    </row>
    <row r="4725" spans="1:11" ht="54" customHeight="1">
      <c r="A4725" s="9" t="s">
        <v>10981</v>
      </c>
      <c r="B4725" s="9" t="s">
        <v>10982</v>
      </c>
      <c r="C4725" s="9" t="s">
        <v>46</v>
      </c>
      <c r="D4725" s="9" t="s">
        <v>101</v>
      </c>
      <c r="E4725" s="10" t="s">
        <v>233</v>
      </c>
      <c r="F4725" s="9" t="s">
        <v>1810</v>
      </c>
      <c r="G4725" s="10" t="s">
        <v>560</v>
      </c>
      <c r="H4725" s="9" t="s">
        <v>22</v>
      </c>
      <c r="I4725" s="9" t="s">
        <v>10983</v>
      </c>
      <c r="J4725" s="10" t="str">
        <f>HYPERLINK("https://www.boe.es/gazeta/dias/1834/12/16/pdfs/GMD-C-1834-305.pdf#page=7","Abrir facsímil")</f>
        <v>Abrir facsímil</v>
      </c>
      <c r="K4725" s="10" t="s">
        <v>24</v>
      </c>
    </row>
    <row r="4726" spans="1:11" ht="54" customHeight="1">
      <c r="A4726" s="9" t="s">
        <v>10981</v>
      </c>
      <c r="B4726" s="9" t="s">
        <v>10982</v>
      </c>
      <c r="C4726" s="9" t="s">
        <v>17</v>
      </c>
      <c r="D4726" s="9" t="s">
        <v>18</v>
      </c>
      <c r="E4726" s="10" t="s">
        <v>268</v>
      </c>
      <c r="F4726" s="9" t="s">
        <v>269</v>
      </c>
      <c r="G4726" s="10" t="s">
        <v>28</v>
      </c>
      <c r="H4726" s="9" t="s">
        <v>22</v>
      </c>
      <c r="I4726" s="9" t="s">
        <v>10984</v>
      </c>
      <c r="J4726" s="10" t="str">
        <f>HYPERLINK("https://www.boe.es/gazeta/dias/1834/12/19/pdfs/GMD-C-1834-309.pdf#page=5","Abrir facsímil")</f>
        <v>Abrir facsímil</v>
      </c>
      <c r="K4726" s="10" t="s">
        <v>24</v>
      </c>
    </row>
    <row r="4727" spans="1:11" ht="54" customHeight="1">
      <c r="A4727" s="9" t="s">
        <v>10985</v>
      </c>
      <c r="B4727" s="9" t="s">
        <v>10986</v>
      </c>
      <c r="C4727" s="9" t="s">
        <v>857</v>
      </c>
      <c r="D4727" s="9" t="s">
        <v>18</v>
      </c>
      <c r="E4727" s="10" t="s">
        <v>707</v>
      </c>
      <c r="F4727" s="9" t="s">
        <v>1359</v>
      </c>
      <c r="G4727" s="10" t="s">
        <v>75</v>
      </c>
      <c r="H4727" s="9" t="s">
        <v>35</v>
      </c>
      <c r="I4727" s="9" t="s">
        <v>10987</v>
      </c>
      <c r="J4727" s="10" t="str">
        <f>HYPERLINK("https://www.boe.es/gazeta/dias/1834/11/25/pdfs/GMD-1834-284.pdf#page=4","Abrir facsímil")</f>
        <v>Abrir facsímil</v>
      </c>
      <c r="K4727" s="10" t="s">
        <v>37</v>
      </c>
    </row>
    <row r="4728" spans="1:11" ht="54" customHeight="1">
      <c r="A4728" s="9" t="s">
        <v>10988</v>
      </c>
      <c r="B4728" s="9" t="s">
        <v>10989</v>
      </c>
      <c r="C4728" s="9" t="s">
        <v>857</v>
      </c>
      <c r="D4728" s="9" t="s">
        <v>18</v>
      </c>
      <c r="E4728" s="10" t="s">
        <v>707</v>
      </c>
      <c r="F4728" s="9" t="s">
        <v>1359</v>
      </c>
      <c r="G4728" s="10" t="s">
        <v>75</v>
      </c>
      <c r="H4728" s="9" t="s">
        <v>22</v>
      </c>
      <c r="I4728" s="9" t="s">
        <v>10990</v>
      </c>
      <c r="J4728" s="10" t="str">
        <f>HYPERLINK("https://www.boe.es/gazeta/dias/1834/11/25/pdfs/GMD-1834-284.pdf#page=4","Abrir facsímil")</f>
        <v>Abrir facsímil</v>
      </c>
      <c r="K4728" s="10" t="s">
        <v>24</v>
      </c>
    </row>
    <row r="4729" spans="1:11" ht="54" customHeight="1">
      <c r="A4729" s="9" t="s">
        <v>10991</v>
      </c>
      <c r="B4729" s="9" t="s">
        <v>10992</v>
      </c>
      <c r="C4729" s="9" t="s">
        <v>90</v>
      </c>
      <c r="D4729" s="9" t="s">
        <v>18</v>
      </c>
      <c r="E4729" s="10" t="s">
        <v>158</v>
      </c>
      <c r="F4729" s="9" t="s">
        <v>159</v>
      </c>
      <c r="G4729" s="10" t="s">
        <v>21</v>
      </c>
      <c r="H4729" s="9" t="s">
        <v>22</v>
      </c>
      <c r="I4729" s="9" t="s">
        <v>10993</v>
      </c>
      <c r="J4729" s="10" t="str">
        <f>HYPERLINK("https://www.boe.es/gazeta/dias/1834/10/01/pdfs/GMD-1834-229.pdf#page=3","Abrir facsímil")</f>
        <v>Abrir facsímil</v>
      </c>
      <c r="K4729" s="10" t="s">
        <v>24</v>
      </c>
    </row>
    <row r="4730" spans="1:11" ht="54" customHeight="1">
      <c r="A4730" s="9" t="s">
        <v>10994</v>
      </c>
      <c r="B4730" s="9" t="s">
        <v>10995</v>
      </c>
      <c r="C4730" s="9" t="s">
        <v>17</v>
      </c>
      <c r="D4730" s="9" t="s">
        <v>55</v>
      </c>
      <c r="E4730" s="10" t="s">
        <v>1686</v>
      </c>
      <c r="F4730" s="9" t="s">
        <v>1687</v>
      </c>
      <c r="G4730" s="10" t="s">
        <v>21</v>
      </c>
      <c r="H4730" s="9" t="s">
        <v>22</v>
      </c>
      <c r="I4730" s="9" t="s">
        <v>10996</v>
      </c>
      <c r="J4730" s="10" t="str">
        <f>HYPERLINK("https://www.boe.es/gazeta/dias/1834/07/27/pdfs/GMD-1834-160.pdf#page=3","Abrir facsímil")</f>
        <v>Abrir facsímil</v>
      </c>
      <c r="K4730" s="10" t="s">
        <v>24</v>
      </c>
    </row>
    <row r="4731" spans="1:11" ht="54" customHeight="1">
      <c r="A4731" s="9" t="s">
        <v>10997</v>
      </c>
      <c r="B4731" s="9" t="s">
        <v>10998</v>
      </c>
      <c r="C4731" s="9" t="s">
        <v>17</v>
      </c>
      <c r="D4731" s="9" t="s">
        <v>18</v>
      </c>
      <c r="E4731" s="10" t="s">
        <v>237</v>
      </c>
      <c r="F4731" s="9" t="s">
        <v>4609</v>
      </c>
      <c r="G4731" s="10" t="s">
        <v>75</v>
      </c>
      <c r="H4731" s="9" t="s">
        <v>22</v>
      </c>
      <c r="I4731" s="9" t="s">
        <v>10999</v>
      </c>
      <c r="J4731" s="10" t="str">
        <f>HYPERLINK("https://www.boe.es/gazeta/dias/1834/08/15/pdfs/GMD-1834-180.pdf#page=4","Abrir facsímil")</f>
        <v>Abrir facsímil</v>
      </c>
      <c r="K4731" s="10" t="s">
        <v>24</v>
      </c>
    </row>
    <row r="4732" spans="1:11" ht="54" customHeight="1">
      <c r="A4732" s="9" t="s">
        <v>10997</v>
      </c>
      <c r="B4732" s="9" t="s">
        <v>10998</v>
      </c>
      <c r="C4732" s="9" t="s">
        <v>46</v>
      </c>
      <c r="D4732" s="9" t="s">
        <v>55</v>
      </c>
      <c r="E4732" s="10" t="s">
        <v>1307</v>
      </c>
      <c r="F4732" s="9" t="s">
        <v>1308</v>
      </c>
      <c r="G4732" s="10" t="s">
        <v>75</v>
      </c>
      <c r="H4732" s="9" t="s">
        <v>22</v>
      </c>
      <c r="I4732" s="9" t="s">
        <v>11000</v>
      </c>
      <c r="J4732" s="10" t="str">
        <f>HYPERLINK("https://www.boe.es/gazeta/dias/1834/08/25/pdfs/GMD-1834-191.pdf#page=4","Abrir facsímil")</f>
        <v>Abrir facsímil</v>
      </c>
      <c r="K4732" s="10" t="s">
        <v>24</v>
      </c>
    </row>
    <row r="4733" spans="1:11" ht="54" customHeight="1">
      <c r="A4733" s="9" t="s">
        <v>10997</v>
      </c>
      <c r="B4733" s="9" t="s">
        <v>10998</v>
      </c>
      <c r="C4733" s="9" t="s">
        <v>17</v>
      </c>
      <c r="D4733" s="9" t="s">
        <v>18</v>
      </c>
      <c r="E4733" s="10" t="s">
        <v>286</v>
      </c>
      <c r="F4733" s="9" t="s">
        <v>548</v>
      </c>
      <c r="G4733" s="10" t="s">
        <v>21</v>
      </c>
      <c r="H4733" s="9" t="s">
        <v>22</v>
      </c>
      <c r="I4733" s="9" t="s">
        <v>11001</v>
      </c>
      <c r="J4733" s="10" t="str">
        <f>HYPERLINK("https://www.boe.es/gazeta/dias/1834/08/30/pdfs/GMD-1834-196.pdf#page=3","Abrir facsímil")</f>
        <v>Abrir facsímil</v>
      </c>
      <c r="K4733" s="10" t="s">
        <v>24</v>
      </c>
    </row>
    <row r="4734" spans="1:11" ht="54" customHeight="1">
      <c r="A4734" s="9" t="s">
        <v>11002</v>
      </c>
      <c r="B4734" s="9" t="s">
        <v>11003</v>
      </c>
      <c r="C4734" s="9" t="s">
        <v>66</v>
      </c>
      <c r="D4734" s="9" t="s">
        <v>67</v>
      </c>
      <c r="E4734" s="10" t="s">
        <v>8346</v>
      </c>
      <c r="F4734" s="9" t="s">
        <v>8347</v>
      </c>
      <c r="G4734" s="10" t="s">
        <v>21</v>
      </c>
      <c r="H4734" s="9" t="s">
        <v>22</v>
      </c>
      <c r="I4734" s="9" t="s">
        <v>11004</v>
      </c>
      <c r="J4734" s="10" t="str">
        <f>HYPERLINK("https://www.boe.es/gazeta/dias/1834/12/04/pdfs/GMD-1834-293.pdf#page=3","Abrir facsímil")</f>
        <v>Abrir facsímil</v>
      </c>
      <c r="K4734" s="10" t="s">
        <v>24</v>
      </c>
    </row>
    <row r="4735" spans="1:11" ht="54" customHeight="1">
      <c r="A4735" s="9" t="s">
        <v>11005</v>
      </c>
      <c r="B4735" s="9" t="s">
        <v>11006</v>
      </c>
      <c r="C4735" s="9" t="s">
        <v>17</v>
      </c>
      <c r="D4735" s="9" t="s">
        <v>18</v>
      </c>
      <c r="E4735" s="10" t="s">
        <v>309</v>
      </c>
      <c r="F4735" s="9" t="s">
        <v>310</v>
      </c>
      <c r="G4735" s="10" t="s">
        <v>34</v>
      </c>
      <c r="H4735" s="9" t="s">
        <v>22</v>
      </c>
      <c r="I4735" s="9" t="s">
        <v>11007</v>
      </c>
      <c r="J4735" s="10" t="str">
        <f>HYPERLINK("https://www.boe.es/gazeta/dias/1834/05/30/pdfs/GMD-1834-99.pdf#page=1","Abrir facsímil")</f>
        <v>Abrir facsímil</v>
      </c>
      <c r="K4735" s="10" t="s">
        <v>24</v>
      </c>
    </row>
    <row r="4736" spans="1:11" ht="54" customHeight="1">
      <c r="A4736" s="9" t="s">
        <v>11008</v>
      </c>
      <c r="B4736" s="9" t="s">
        <v>11009</v>
      </c>
      <c r="C4736" s="9" t="s">
        <v>17</v>
      </c>
      <c r="D4736" s="9" t="s">
        <v>18</v>
      </c>
      <c r="E4736" s="10" t="s">
        <v>133</v>
      </c>
      <c r="F4736" s="9" t="s">
        <v>134</v>
      </c>
      <c r="G4736" s="10" t="s">
        <v>75</v>
      </c>
      <c r="H4736" s="9" t="s">
        <v>35</v>
      </c>
      <c r="I4736" s="9" t="s">
        <v>11010</v>
      </c>
      <c r="J4736" s="10" t="str">
        <f>HYPERLINK("https://www.boe.es/gazeta/dias/1834/06/18/pdfs/GMD-1834-121.pdf#page=4","Abrir facsímil")</f>
        <v>Abrir facsímil</v>
      </c>
      <c r="K4736" s="10" t="s">
        <v>37</v>
      </c>
    </row>
    <row r="4737" spans="1:11" ht="54" customHeight="1">
      <c r="A4737" s="9" t="s">
        <v>11011</v>
      </c>
      <c r="B4737" s="9" t="s">
        <v>11012</v>
      </c>
      <c r="C4737" s="9" t="s">
        <v>857</v>
      </c>
      <c r="D4737" s="9" t="s">
        <v>101</v>
      </c>
      <c r="E4737" s="10" t="s">
        <v>304</v>
      </c>
      <c r="F4737" s="9" t="s">
        <v>305</v>
      </c>
      <c r="G4737" s="10" t="s">
        <v>176</v>
      </c>
      <c r="H4737" s="9" t="s">
        <v>22</v>
      </c>
      <c r="I4737" s="9" t="s">
        <v>11013</v>
      </c>
      <c r="J4737" s="10" t="str">
        <f>HYPERLINK("https://www.boe.es/gazeta/dias/1834/01/21/pdfs/GMD-1834-10.pdf#page=6","Abrir facsímil")</f>
        <v>Abrir facsímil</v>
      </c>
      <c r="K4737" s="10" t="s">
        <v>24</v>
      </c>
    </row>
    <row r="4738" spans="1:11" ht="54" customHeight="1">
      <c r="A4738" s="9" t="s">
        <v>11014</v>
      </c>
      <c r="B4738" s="9" t="s">
        <v>11015</v>
      </c>
      <c r="C4738" s="9" t="s">
        <v>66</v>
      </c>
      <c r="D4738" s="9" t="s">
        <v>67</v>
      </c>
      <c r="E4738" s="10" t="s">
        <v>128</v>
      </c>
      <c r="F4738" s="9" t="s">
        <v>1068</v>
      </c>
      <c r="G4738" s="10" t="s">
        <v>75</v>
      </c>
      <c r="H4738" s="9" t="s">
        <v>22</v>
      </c>
      <c r="I4738" s="9" t="s">
        <v>11016</v>
      </c>
      <c r="J4738" s="10" t="str">
        <f>HYPERLINK("https://www.boe.es/gazeta/dias/1834/12/24/pdfs/GMD-1834-314.pdf#page=4","Abrir facsímil")</f>
        <v>Abrir facsímil</v>
      </c>
      <c r="K4738" s="10" t="s">
        <v>24</v>
      </c>
    </row>
    <row r="4739" spans="1:11" ht="54" customHeight="1">
      <c r="A4739" s="9" t="s">
        <v>11017</v>
      </c>
      <c r="B4739" s="9" t="s">
        <v>11018</v>
      </c>
      <c r="C4739" s="9" t="s">
        <v>17</v>
      </c>
      <c r="D4739" s="9" t="s">
        <v>18</v>
      </c>
      <c r="E4739" s="10" t="s">
        <v>870</v>
      </c>
      <c r="F4739" s="9" t="s">
        <v>871</v>
      </c>
      <c r="G4739" s="10" t="s">
        <v>21</v>
      </c>
      <c r="H4739" s="9" t="s">
        <v>22</v>
      </c>
      <c r="I4739" s="9" t="s">
        <v>11019</v>
      </c>
      <c r="J4739" s="10" t="str">
        <f>HYPERLINK("https://www.boe.es/gazeta/dias/1834/05/28/pdfs/GMD-1834-97.pdf#page=3","Abrir facsímil")</f>
        <v>Abrir facsímil</v>
      </c>
      <c r="K4739" s="10" t="s">
        <v>24</v>
      </c>
    </row>
    <row r="4740" spans="1:11" ht="54" customHeight="1">
      <c r="A4740" s="9" t="s">
        <v>11020</v>
      </c>
      <c r="B4740" s="9" t="s">
        <v>11021</v>
      </c>
      <c r="C4740" s="9" t="s">
        <v>17</v>
      </c>
      <c r="D4740" s="9" t="s">
        <v>18</v>
      </c>
      <c r="E4740" s="10" t="s">
        <v>696</v>
      </c>
      <c r="F4740" s="9" t="s">
        <v>697</v>
      </c>
      <c r="G4740" s="10" t="s">
        <v>34</v>
      </c>
      <c r="H4740" s="9" t="s">
        <v>35</v>
      </c>
      <c r="I4740" s="9" t="s">
        <v>11022</v>
      </c>
      <c r="J4740" s="10" t="str">
        <f>HYPERLINK("https://www.boe.es/gazeta/dias/1834/12/06/pdfs/GMD-C-1834-295.pdf#page=1","Abrir facsímil")</f>
        <v>Abrir facsímil</v>
      </c>
      <c r="K4740" s="10" t="s">
        <v>37</v>
      </c>
    </row>
    <row r="4741" spans="1:11" ht="54" customHeight="1">
      <c r="A4741" s="9" t="s">
        <v>11023</v>
      </c>
      <c r="B4741" s="9" t="s">
        <v>11024</v>
      </c>
      <c r="C4741" s="9" t="s">
        <v>90</v>
      </c>
      <c r="D4741" s="9" t="s">
        <v>101</v>
      </c>
      <c r="E4741" s="10" t="s">
        <v>1273</v>
      </c>
      <c r="F4741" s="9" t="s">
        <v>1274</v>
      </c>
      <c r="G4741" s="10" t="s">
        <v>34</v>
      </c>
      <c r="H4741" s="9" t="s">
        <v>22</v>
      </c>
      <c r="I4741" s="9" t="s">
        <v>11025</v>
      </c>
      <c r="J4741" s="10" t="str">
        <f>HYPERLINK("https://www.boe.es/gazeta/dias/1834/05/14/pdfs/GMD-1834-83.pdf#page=1","Abrir facsímil")</f>
        <v>Abrir facsímil</v>
      </c>
      <c r="K4741" s="10" t="s">
        <v>24</v>
      </c>
    </row>
    <row r="4742" spans="1:11" ht="54" customHeight="1">
      <c r="A4742" s="9" t="s">
        <v>11026</v>
      </c>
      <c r="B4742" s="9" t="s">
        <v>11027</v>
      </c>
      <c r="C4742" s="9" t="s">
        <v>17</v>
      </c>
      <c r="D4742" s="9" t="s">
        <v>18</v>
      </c>
      <c r="E4742" s="10" t="s">
        <v>696</v>
      </c>
      <c r="F4742" s="9" t="s">
        <v>697</v>
      </c>
      <c r="G4742" s="10" t="s">
        <v>34</v>
      </c>
      <c r="H4742" s="9" t="s">
        <v>22</v>
      </c>
      <c r="I4742" s="9" t="s">
        <v>11028</v>
      </c>
      <c r="J4742" s="10" t="str">
        <f>HYPERLINK("https://www.boe.es/gazeta/dias/1834/12/06/pdfs/GMD-C-1834-295.pdf#page=1","Abrir facsímil")</f>
        <v>Abrir facsímil</v>
      </c>
      <c r="K4742" s="10" t="s">
        <v>24</v>
      </c>
    </row>
    <row r="4743" spans="1:11" ht="54" customHeight="1">
      <c r="A4743" s="9" t="s">
        <v>11029</v>
      </c>
      <c r="B4743" s="9" t="s">
        <v>11030</v>
      </c>
      <c r="C4743" s="9" t="s">
        <v>17</v>
      </c>
      <c r="D4743" s="9" t="s">
        <v>18</v>
      </c>
      <c r="E4743" s="10" t="s">
        <v>438</v>
      </c>
      <c r="F4743" s="9" t="s">
        <v>439</v>
      </c>
      <c r="G4743" s="10" t="s">
        <v>34</v>
      </c>
      <c r="H4743" s="9" t="s">
        <v>22</v>
      </c>
      <c r="I4743" s="9" t="s">
        <v>11031</v>
      </c>
      <c r="J4743" s="10" t="str">
        <f>HYPERLINK("https://www.boe.es/gazeta/dias/1834/11/09/pdfs/GMD-1834-268.pdf#page=1","Abrir facsímil")</f>
        <v>Abrir facsímil</v>
      </c>
      <c r="K4743" s="10" t="s">
        <v>24</v>
      </c>
    </row>
    <row r="4744" spans="1:11" ht="54" customHeight="1">
      <c r="A4744" s="9" t="s">
        <v>11029</v>
      </c>
      <c r="B4744" s="9" t="s">
        <v>11030</v>
      </c>
      <c r="C4744" s="9" t="s">
        <v>17</v>
      </c>
      <c r="D4744" s="9" t="s">
        <v>18</v>
      </c>
      <c r="E4744" s="10" t="s">
        <v>2260</v>
      </c>
      <c r="F4744" s="9" t="s">
        <v>2261</v>
      </c>
      <c r="G4744" s="10" t="s">
        <v>34</v>
      </c>
      <c r="H4744" s="9" t="s">
        <v>22</v>
      </c>
      <c r="I4744" s="9" t="s">
        <v>11032</v>
      </c>
      <c r="J4744" s="10" t="str">
        <f>HYPERLINK("https://www.boe.es/gazeta/dias/1834/11/13/pdfs/GMD-1834-272.pdf#page=1","Abrir facsímil")</f>
        <v>Abrir facsímil</v>
      </c>
      <c r="K4744" s="10" t="s">
        <v>24</v>
      </c>
    </row>
    <row r="4745" spans="1:11" ht="54" customHeight="1">
      <c r="A4745" s="9" t="s">
        <v>11029</v>
      </c>
      <c r="B4745" s="9" t="s">
        <v>11030</v>
      </c>
      <c r="C4745" s="9" t="s">
        <v>122</v>
      </c>
      <c r="D4745" s="9" t="s">
        <v>18</v>
      </c>
      <c r="E4745" s="10" t="s">
        <v>2260</v>
      </c>
      <c r="F4745" s="9" t="s">
        <v>2261</v>
      </c>
      <c r="G4745" s="10" t="s">
        <v>86</v>
      </c>
      <c r="H4745" s="9" t="s">
        <v>22</v>
      </c>
      <c r="I4745" s="9" t="s">
        <v>11033</v>
      </c>
      <c r="J4745" s="10" t="str">
        <f>HYPERLINK("https://www.boe.es/gazeta/dias/1834/11/13/pdfs/GMD-1834-272.pdf#page=2","Abrir facsímil")</f>
        <v>Abrir facsímil</v>
      </c>
      <c r="K4745" s="10" t="s">
        <v>24</v>
      </c>
    </row>
    <row r="4746" spans="1:11" ht="54" customHeight="1">
      <c r="A4746" s="9" t="s">
        <v>11034</v>
      </c>
      <c r="B4746" s="9" t="s">
        <v>11035</v>
      </c>
      <c r="C4746" s="9" t="s">
        <v>90</v>
      </c>
      <c r="D4746" s="9" t="s">
        <v>101</v>
      </c>
      <c r="E4746" s="10" t="s">
        <v>2218</v>
      </c>
      <c r="F4746" s="9" t="s">
        <v>2219</v>
      </c>
      <c r="G4746" s="10" t="s">
        <v>21</v>
      </c>
      <c r="H4746" s="9" t="s">
        <v>35</v>
      </c>
      <c r="I4746" s="9" t="s">
        <v>11036</v>
      </c>
      <c r="J4746" s="10" t="str">
        <f>HYPERLINK("https://www.boe.es/gazeta/dias/1834/11/05/pdfs/GMD-1834-264.pdf#page=3","Abrir facsímil")</f>
        <v>Abrir facsímil</v>
      </c>
      <c r="K4746" s="10" t="s">
        <v>37</v>
      </c>
    </row>
    <row r="4747" spans="1:11" ht="54" customHeight="1">
      <c r="A4747" s="9" t="s">
        <v>11037</v>
      </c>
      <c r="B4747" s="9" t="s">
        <v>11038</v>
      </c>
      <c r="C4747" s="9" t="s">
        <v>90</v>
      </c>
      <c r="D4747" s="9" t="s">
        <v>101</v>
      </c>
      <c r="E4747" s="10" t="s">
        <v>2218</v>
      </c>
      <c r="F4747" s="9" t="s">
        <v>2219</v>
      </c>
      <c r="G4747" s="10" t="s">
        <v>21</v>
      </c>
      <c r="H4747" s="9" t="s">
        <v>22</v>
      </c>
      <c r="I4747" s="9" t="s">
        <v>11039</v>
      </c>
      <c r="J4747" s="10" t="str">
        <f>HYPERLINK("https://www.boe.es/gazeta/dias/1834/11/05/pdfs/GMD-1834-264.pdf#page=3","Abrir facsímil")</f>
        <v>Abrir facsímil</v>
      </c>
      <c r="K4747" s="10" t="s">
        <v>24</v>
      </c>
    </row>
    <row r="4748" spans="1:11" ht="54" customHeight="1">
      <c r="A4748" s="9" t="s">
        <v>11040</v>
      </c>
      <c r="B4748" s="9" t="s">
        <v>11041</v>
      </c>
      <c r="C4748" s="9" t="s">
        <v>90</v>
      </c>
      <c r="D4748" s="9" t="s">
        <v>101</v>
      </c>
      <c r="E4748" s="10" t="s">
        <v>724</v>
      </c>
      <c r="F4748" s="9" t="s">
        <v>725</v>
      </c>
      <c r="G4748" s="10" t="s">
        <v>34</v>
      </c>
      <c r="H4748" s="9" t="s">
        <v>22</v>
      </c>
      <c r="I4748" s="9" t="s">
        <v>11042</v>
      </c>
      <c r="J4748" s="10" t="str">
        <f>HYPERLINK("https://www.boe.es/gazeta/dias/1834/04/25/pdfs/GMD-1834-64.pdf#page=1","Abrir facsímil")</f>
        <v>Abrir facsímil</v>
      </c>
      <c r="K4748" s="10" t="s">
        <v>24</v>
      </c>
    </row>
    <row r="4749" spans="1:11" ht="54" customHeight="1">
      <c r="A4749" s="9" t="s">
        <v>11043</v>
      </c>
      <c r="B4749" s="9" t="s">
        <v>11044</v>
      </c>
      <c r="C4749" s="9" t="s">
        <v>90</v>
      </c>
      <c r="D4749" s="9" t="s">
        <v>18</v>
      </c>
      <c r="E4749" s="10" t="s">
        <v>777</v>
      </c>
      <c r="F4749" s="9" t="s">
        <v>778</v>
      </c>
      <c r="G4749" s="10" t="s">
        <v>21</v>
      </c>
      <c r="H4749" s="9" t="s">
        <v>22</v>
      </c>
      <c r="I4749" s="9" t="s">
        <v>11045</v>
      </c>
      <c r="J4749" s="10" t="str">
        <f>HYPERLINK("https://www.boe.es/gazeta/dias/1834/10/29/pdfs/GMD-1834-257.pdf#page=3","Abrir facsímil")</f>
        <v>Abrir facsímil</v>
      </c>
      <c r="K4749" s="10" t="s">
        <v>24</v>
      </c>
    </row>
    <row r="4750" spans="1:11" ht="54" customHeight="1">
      <c r="A4750" s="9" t="s">
        <v>11046</v>
      </c>
      <c r="B4750" s="9" t="s">
        <v>11047</v>
      </c>
      <c r="C4750" s="9" t="s">
        <v>90</v>
      </c>
      <c r="D4750" s="9" t="s">
        <v>18</v>
      </c>
      <c r="E4750" s="10" t="s">
        <v>777</v>
      </c>
      <c r="F4750" s="9" t="s">
        <v>778</v>
      </c>
      <c r="G4750" s="10" t="s">
        <v>21</v>
      </c>
      <c r="H4750" s="9" t="s">
        <v>22</v>
      </c>
      <c r="I4750" s="9" t="s">
        <v>11048</v>
      </c>
      <c r="J4750" s="10" t="str">
        <f>HYPERLINK("https://www.boe.es/gazeta/dias/1834/10/29/pdfs/GMD-1834-257.pdf#page=3","Abrir facsímil")</f>
        <v>Abrir facsímil</v>
      </c>
      <c r="K4750" s="10" t="s">
        <v>24</v>
      </c>
    </row>
    <row r="4751" spans="1:11" ht="54" customHeight="1">
      <c r="A4751" s="9" t="s">
        <v>11049</v>
      </c>
      <c r="B4751" s="9" t="s">
        <v>11050</v>
      </c>
      <c r="C4751" s="9" t="s">
        <v>17</v>
      </c>
      <c r="D4751" s="9" t="s">
        <v>18</v>
      </c>
      <c r="E4751" s="10" t="s">
        <v>571</v>
      </c>
      <c r="F4751" s="9" t="s">
        <v>620</v>
      </c>
      <c r="G4751" s="10" t="s">
        <v>34</v>
      </c>
      <c r="H4751" s="9" t="s">
        <v>22</v>
      </c>
      <c r="I4751" s="9" t="s">
        <v>11051</v>
      </c>
      <c r="J4751" s="10" t="str">
        <f>HYPERLINK("https://www.boe.es/gazeta/dias/1834/09/04/pdfs/GMD-C-1834-202.pdf#page=1","Abrir facsímil")</f>
        <v>Abrir facsímil</v>
      </c>
      <c r="K4751" s="10" t="s">
        <v>24</v>
      </c>
    </row>
    <row r="4752" spans="1:11" ht="54" customHeight="1">
      <c r="A4752" s="9" t="s">
        <v>11052</v>
      </c>
      <c r="B4752" s="9" t="s">
        <v>11053</v>
      </c>
      <c r="C4752" s="9" t="s">
        <v>66</v>
      </c>
      <c r="D4752" s="9" t="s">
        <v>40</v>
      </c>
      <c r="E4752" s="10" t="s">
        <v>912</v>
      </c>
      <c r="F4752" s="9" t="s">
        <v>913</v>
      </c>
      <c r="G4752" s="10" t="s">
        <v>176</v>
      </c>
      <c r="H4752" s="9" t="s">
        <v>22</v>
      </c>
      <c r="I4752" s="9" t="s">
        <v>11054</v>
      </c>
      <c r="J4752" s="10" t="str">
        <f>HYPERLINK("https://www.boe.es/gazeta/dias/1834/02/15/pdfs/GMD-1834-21.pdf#page=6","Abrir facsímil")</f>
        <v>Abrir facsímil</v>
      </c>
      <c r="K4752" s="10" t="s">
        <v>24</v>
      </c>
    </row>
    <row r="4753" spans="1:11" ht="54" customHeight="1">
      <c r="A4753" s="9" t="s">
        <v>11055</v>
      </c>
      <c r="B4753" s="9" t="s">
        <v>11056</v>
      </c>
      <c r="C4753" s="9" t="s">
        <v>46</v>
      </c>
      <c r="D4753" s="9" t="s">
        <v>18</v>
      </c>
      <c r="E4753" s="10" t="s">
        <v>4736</v>
      </c>
      <c r="F4753" s="9" t="s">
        <v>4737</v>
      </c>
      <c r="G4753" s="10" t="s">
        <v>34</v>
      </c>
      <c r="H4753" s="9" t="s">
        <v>22</v>
      </c>
      <c r="I4753" s="9" t="s">
        <v>11057</v>
      </c>
      <c r="J4753" s="10" t="str">
        <f>HYPERLINK("https://www.boe.es/gazeta/dias/1834/09/16/pdfs/GMD-1834-214.pdf#page=1","Abrir facsímil")</f>
        <v>Abrir facsímil</v>
      </c>
      <c r="K4753" s="10" t="s">
        <v>24</v>
      </c>
    </row>
    <row r="4754" spans="1:11" ht="54" customHeight="1">
      <c r="A4754" s="9" t="s">
        <v>11058</v>
      </c>
      <c r="B4754" s="9" t="s">
        <v>11059</v>
      </c>
      <c r="C4754" s="9" t="s">
        <v>122</v>
      </c>
      <c r="D4754" s="9" t="s">
        <v>18</v>
      </c>
      <c r="E4754" s="10" t="s">
        <v>758</v>
      </c>
      <c r="F4754" s="9" t="s">
        <v>759</v>
      </c>
      <c r="G4754" s="10" t="s">
        <v>34</v>
      </c>
      <c r="H4754" s="9" t="s">
        <v>22</v>
      </c>
      <c r="I4754" s="9" t="s">
        <v>11060</v>
      </c>
      <c r="J4754" s="10" t="str">
        <f>HYPERLINK("https://www.boe.es/gazeta/dias/1834/01/04/pdfs/GMD-1834-3.pdf#page=1","Abrir facsímil")</f>
        <v>Abrir facsímil</v>
      </c>
      <c r="K4754" s="10" t="s">
        <v>24</v>
      </c>
    </row>
    <row r="4755" spans="1:11" ht="54" customHeight="1">
      <c r="A4755" s="9" t="s">
        <v>11061</v>
      </c>
      <c r="B4755" s="9" t="s">
        <v>11062</v>
      </c>
      <c r="C4755" s="9" t="s">
        <v>17</v>
      </c>
      <c r="D4755" s="9" t="s">
        <v>40</v>
      </c>
      <c r="E4755" s="10" t="s">
        <v>541</v>
      </c>
      <c r="F4755" s="9" t="s">
        <v>542</v>
      </c>
      <c r="G4755" s="10" t="s">
        <v>34</v>
      </c>
      <c r="H4755" s="9" t="s">
        <v>22</v>
      </c>
      <c r="I4755" s="9" t="s">
        <v>11063</v>
      </c>
      <c r="J4755" s="10" t="str">
        <f>HYPERLINK("https://www.boe.es/gazeta/dias/1834/04/18/pdfs/GMD-1834-57.pdf#page=1","Abrir facsímil")</f>
        <v>Abrir facsímil</v>
      </c>
      <c r="K4755" s="10" t="s">
        <v>24</v>
      </c>
    </row>
    <row r="4756" spans="1:11" ht="54" customHeight="1">
      <c r="A4756" s="9" t="s">
        <v>11064</v>
      </c>
      <c r="B4756" s="9" t="s">
        <v>11065</v>
      </c>
      <c r="C4756" s="9" t="s">
        <v>17</v>
      </c>
      <c r="D4756" s="9" t="s">
        <v>18</v>
      </c>
      <c r="E4756" s="10" t="s">
        <v>334</v>
      </c>
      <c r="F4756" s="9" t="s">
        <v>335</v>
      </c>
      <c r="G4756" s="10" t="s">
        <v>34</v>
      </c>
      <c r="H4756" s="9" t="s">
        <v>35</v>
      </c>
      <c r="I4756" s="9" t="s">
        <v>11066</v>
      </c>
      <c r="J4756" s="10" t="str">
        <f>HYPERLINK("https://www.boe.es/gazeta/dias/1834/09/11/pdfs/GMD-C-1834-209.pdf#page=1","Abrir facsímil")</f>
        <v>Abrir facsímil</v>
      </c>
      <c r="K4756" s="10" t="s">
        <v>37</v>
      </c>
    </row>
    <row r="4757" spans="1:11" ht="54" customHeight="1">
      <c r="A4757" s="9" t="s">
        <v>11067</v>
      </c>
      <c r="B4757" s="9" t="s">
        <v>11068</v>
      </c>
      <c r="C4757" s="9" t="s">
        <v>17</v>
      </c>
      <c r="D4757" s="9" t="s">
        <v>18</v>
      </c>
      <c r="E4757" s="10" t="s">
        <v>334</v>
      </c>
      <c r="F4757" s="9" t="s">
        <v>335</v>
      </c>
      <c r="G4757" s="10" t="s">
        <v>34</v>
      </c>
      <c r="H4757" s="9" t="s">
        <v>22</v>
      </c>
      <c r="I4757" s="9" t="s">
        <v>11069</v>
      </c>
      <c r="J4757" s="10" t="str">
        <f>HYPERLINK("https://www.boe.es/gazeta/dias/1834/09/11/pdfs/GMD-C-1834-209.pdf#page=1","Abrir facsímil")</f>
        <v>Abrir facsímil</v>
      </c>
      <c r="K4757" s="10" t="s">
        <v>24</v>
      </c>
    </row>
    <row r="4758" spans="1:11" ht="54" customHeight="1">
      <c r="A4758" s="9" t="s">
        <v>11070</v>
      </c>
      <c r="B4758" s="9" t="s">
        <v>11071</v>
      </c>
      <c r="C4758" s="9" t="s">
        <v>17</v>
      </c>
      <c r="D4758" s="9" t="s">
        <v>18</v>
      </c>
      <c r="E4758" s="10" t="s">
        <v>56</v>
      </c>
      <c r="F4758" s="9" t="s">
        <v>57</v>
      </c>
      <c r="G4758" s="10" t="s">
        <v>75</v>
      </c>
      <c r="H4758" s="9" t="s">
        <v>35</v>
      </c>
      <c r="I4758" s="9" t="s">
        <v>11072</v>
      </c>
      <c r="J4758" s="10" t="str">
        <f>HYPERLINK("https://www.boe.es/gazeta/dias/1834/07/09/pdfs/GMD-1834-142.pdf#page=4","Abrir facsímil")</f>
        <v>Abrir facsímil</v>
      </c>
      <c r="K4758" s="10" t="s">
        <v>37</v>
      </c>
    </row>
    <row r="4759" spans="1:11" ht="54" customHeight="1">
      <c r="A4759" s="9" t="s">
        <v>11073</v>
      </c>
      <c r="B4759" s="9" t="s">
        <v>11074</v>
      </c>
      <c r="C4759" s="9" t="s">
        <v>17</v>
      </c>
      <c r="D4759" s="9" t="s">
        <v>18</v>
      </c>
      <c r="E4759" s="10" t="s">
        <v>56</v>
      </c>
      <c r="F4759" s="9" t="s">
        <v>57</v>
      </c>
      <c r="G4759" s="10" t="s">
        <v>75</v>
      </c>
      <c r="H4759" s="9" t="s">
        <v>22</v>
      </c>
      <c r="I4759" s="9" t="s">
        <v>11075</v>
      </c>
      <c r="J4759" s="10" t="str">
        <f>HYPERLINK("https://www.boe.es/gazeta/dias/1834/07/09/pdfs/GMD-1834-142.pdf#page=4","Abrir facsímil")</f>
        <v>Abrir facsímil</v>
      </c>
      <c r="K4759" s="10" t="s">
        <v>24</v>
      </c>
    </row>
    <row r="4760" spans="1:11" ht="54" customHeight="1">
      <c r="A4760" s="9" t="s">
        <v>11076</v>
      </c>
      <c r="B4760" s="9" t="s">
        <v>11077</v>
      </c>
      <c r="C4760" s="9" t="s">
        <v>17</v>
      </c>
      <c r="D4760" s="9" t="s">
        <v>18</v>
      </c>
      <c r="E4760" s="10" t="s">
        <v>5435</v>
      </c>
      <c r="F4760" s="9" t="s">
        <v>5436</v>
      </c>
      <c r="G4760" s="10" t="s">
        <v>21</v>
      </c>
      <c r="H4760" s="9" t="s">
        <v>22</v>
      </c>
      <c r="I4760" s="9" t="s">
        <v>11078</v>
      </c>
      <c r="J4760" s="10" t="str">
        <f>HYPERLINK("https://www.boe.es/gazeta/dias/1834/05/11/pdfs/GMD-1834-80.pdf#page=3","Abrir facsímil")</f>
        <v>Abrir facsímil</v>
      </c>
      <c r="K4760" s="10" t="s">
        <v>24</v>
      </c>
    </row>
    <row r="4761" spans="1:11" ht="54" customHeight="1">
      <c r="A4761" s="9" t="s">
        <v>11076</v>
      </c>
      <c r="B4761" s="9" t="s">
        <v>11077</v>
      </c>
      <c r="C4761" s="9" t="s">
        <v>122</v>
      </c>
      <c r="D4761" s="9" t="s">
        <v>18</v>
      </c>
      <c r="E4761" s="10" t="s">
        <v>535</v>
      </c>
      <c r="F4761" s="9" t="s">
        <v>536</v>
      </c>
      <c r="G4761" s="10" t="s">
        <v>75</v>
      </c>
      <c r="H4761" s="9" t="s">
        <v>22</v>
      </c>
      <c r="I4761" s="9" t="s">
        <v>11079</v>
      </c>
      <c r="J4761" s="10" t="str">
        <f>HYPERLINK("https://www.boe.es/gazeta/dias/1834/05/21/pdfs/GMD-1834-90.pdf#page=4","Abrir facsímil")</f>
        <v>Abrir facsímil</v>
      </c>
      <c r="K4761" s="10" t="s">
        <v>24</v>
      </c>
    </row>
    <row r="4762" spans="1:11" ht="54" customHeight="1">
      <c r="A4762" s="9" t="s">
        <v>11080</v>
      </c>
      <c r="B4762" s="9" t="s">
        <v>11081</v>
      </c>
      <c r="C4762" s="9" t="s">
        <v>46</v>
      </c>
      <c r="D4762" s="9" t="s">
        <v>101</v>
      </c>
      <c r="E4762" s="10" t="s">
        <v>541</v>
      </c>
      <c r="F4762" s="9" t="s">
        <v>542</v>
      </c>
      <c r="G4762" s="10" t="s">
        <v>86</v>
      </c>
      <c r="H4762" s="9" t="s">
        <v>22</v>
      </c>
      <c r="I4762" s="9" t="s">
        <v>11082</v>
      </c>
      <c r="J4762" s="10" t="str">
        <f>HYPERLINK("https://www.boe.es/gazeta/dias/1834/04/18/pdfs/GMD-1834-57.pdf#page=2","Abrir facsímil")</f>
        <v>Abrir facsímil</v>
      </c>
      <c r="K4762" s="10" t="s">
        <v>24</v>
      </c>
    </row>
    <row r="4763" spans="1:11" ht="54" customHeight="1">
      <c r="A4763" s="9" t="s">
        <v>11083</v>
      </c>
      <c r="B4763" s="9" t="s">
        <v>11084</v>
      </c>
      <c r="C4763" s="9" t="s">
        <v>122</v>
      </c>
      <c r="D4763" s="9" t="s">
        <v>40</v>
      </c>
      <c r="E4763" s="10" t="s">
        <v>1186</v>
      </c>
      <c r="F4763" s="9" t="s">
        <v>1187</v>
      </c>
      <c r="G4763" s="10" t="s">
        <v>21</v>
      </c>
      <c r="H4763" s="9" t="s">
        <v>22</v>
      </c>
      <c r="I4763" s="9" t="s">
        <v>11085</v>
      </c>
      <c r="J4763" s="10" t="str">
        <f>HYPERLINK("https://www.boe.es/gazeta/dias/1834/08/14/pdfs/GMD-1834-179.pdf#page=3","Abrir facsímil")</f>
        <v>Abrir facsímil</v>
      </c>
      <c r="K4763" s="10" t="s">
        <v>24</v>
      </c>
    </row>
    <row r="4764" spans="1:11" ht="54" customHeight="1">
      <c r="A4764" s="9" t="s">
        <v>11086</v>
      </c>
      <c r="B4764" s="9" t="s">
        <v>11087</v>
      </c>
      <c r="C4764" s="9" t="s">
        <v>90</v>
      </c>
      <c r="D4764" s="9" t="s">
        <v>101</v>
      </c>
      <c r="E4764" s="10" t="s">
        <v>492</v>
      </c>
      <c r="F4764" s="9" t="s">
        <v>1672</v>
      </c>
      <c r="G4764" s="10" t="s">
        <v>34</v>
      </c>
      <c r="H4764" s="9" t="s">
        <v>22</v>
      </c>
      <c r="I4764" s="9" t="s">
        <v>11088</v>
      </c>
      <c r="J4764" s="10" t="str">
        <f>HYPERLINK("https://www.boe.es/gazeta/dias/1834/11/21/pdfs/GMD-1834-280.pdf#page=1","Abrir facsímil")</f>
        <v>Abrir facsímil</v>
      </c>
      <c r="K4764" s="10" t="s">
        <v>24</v>
      </c>
    </row>
    <row r="4765" spans="1:11" ht="54" customHeight="1">
      <c r="A4765" s="9" t="s">
        <v>11089</v>
      </c>
      <c r="B4765" s="9" t="s">
        <v>11090</v>
      </c>
      <c r="C4765" s="9" t="s">
        <v>17</v>
      </c>
      <c r="D4765" s="9" t="s">
        <v>18</v>
      </c>
      <c r="E4765" s="10" t="s">
        <v>1273</v>
      </c>
      <c r="F4765" s="9" t="s">
        <v>1274</v>
      </c>
      <c r="G4765" s="10" t="s">
        <v>21</v>
      </c>
      <c r="H4765" s="9" t="s">
        <v>22</v>
      </c>
      <c r="I4765" s="9" t="s">
        <v>11091</v>
      </c>
      <c r="J4765" s="10" t="str">
        <f>HYPERLINK("https://www.boe.es/gazeta/dias/1834/05/14/pdfs/GMD-1834-83.pdf#page=3","Abrir facsímil")</f>
        <v>Abrir facsímil</v>
      </c>
      <c r="K4765" s="10" t="s">
        <v>24</v>
      </c>
    </row>
    <row r="4766" spans="1:11" ht="54" customHeight="1">
      <c r="A4766" s="9" t="s">
        <v>11092</v>
      </c>
      <c r="B4766" s="9" t="s">
        <v>11093</v>
      </c>
      <c r="C4766" s="9" t="s">
        <v>46</v>
      </c>
      <c r="D4766" s="9" t="s">
        <v>18</v>
      </c>
      <c r="E4766" s="10" t="s">
        <v>403</v>
      </c>
      <c r="F4766" s="9" t="s">
        <v>3456</v>
      </c>
      <c r="G4766" s="10" t="s">
        <v>86</v>
      </c>
      <c r="H4766" s="9" t="s">
        <v>22</v>
      </c>
      <c r="I4766" s="9" t="s">
        <v>11094</v>
      </c>
      <c r="J4766" s="10" t="str">
        <f>HYPERLINK("https://www.boe.es/gazeta/dias/1834/09/25/pdfs/GMD-1834-223.pdf#page=2","Abrir facsímil")</f>
        <v>Abrir facsímil</v>
      </c>
      <c r="K4766" s="10" t="s">
        <v>24</v>
      </c>
    </row>
    <row r="4767" spans="1:11" ht="54" customHeight="1">
      <c r="A4767" s="9" t="s">
        <v>11095</v>
      </c>
      <c r="B4767" s="9" t="s">
        <v>11096</v>
      </c>
      <c r="C4767" s="9" t="s">
        <v>46</v>
      </c>
      <c r="D4767" s="9" t="s">
        <v>101</v>
      </c>
      <c r="E4767" s="10" t="s">
        <v>3471</v>
      </c>
      <c r="F4767" s="9" t="s">
        <v>3472</v>
      </c>
      <c r="G4767" s="10" t="s">
        <v>86</v>
      </c>
      <c r="H4767" s="9" t="s">
        <v>22</v>
      </c>
      <c r="I4767" s="9" t="s">
        <v>11097</v>
      </c>
      <c r="J4767" s="10" t="str">
        <f>HYPERLINK("https://www.boe.es/gazeta/dias/1834/07/07/pdfs/GMD-1834-140.pdf#page=2","Abrir facsímil")</f>
        <v>Abrir facsímil</v>
      </c>
      <c r="K4767" s="10" t="s">
        <v>24</v>
      </c>
    </row>
    <row r="4768" spans="1:11" ht="54" customHeight="1">
      <c r="A4768" s="9" t="s">
        <v>11098</v>
      </c>
      <c r="B4768" s="9" t="s">
        <v>11099</v>
      </c>
      <c r="C4768" s="9" t="s">
        <v>17</v>
      </c>
      <c r="D4768" s="9" t="s">
        <v>40</v>
      </c>
      <c r="E4768" s="10" t="s">
        <v>1789</v>
      </c>
      <c r="F4768" s="9" t="s">
        <v>1790</v>
      </c>
      <c r="G4768" s="10" t="s">
        <v>75</v>
      </c>
      <c r="H4768" s="9" t="s">
        <v>22</v>
      </c>
      <c r="I4768" s="9" t="s">
        <v>11100</v>
      </c>
      <c r="J4768" s="10" t="str">
        <f>HYPERLINK("https://www.boe.es/gazeta/dias/1834/05/31/pdfs/GMD-1834-100.pdf#page=4","Abrir facsímil")</f>
        <v>Abrir facsímil</v>
      </c>
      <c r="K4768" s="10" t="s">
        <v>24</v>
      </c>
    </row>
    <row r="4769" spans="1:11" ht="54" customHeight="1">
      <c r="A4769" s="9" t="s">
        <v>11101</v>
      </c>
      <c r="B4769" s="9" t="s">
        <v>11102</v>
      </c>
      <c r="C4769" s="9" t="s">
        <v>17</v>
      </c>
      <c r="D4769" s="9" t="s">
        <v>18</v>
      </c>
      <c r="E4769" s="10" t="s">
        <v>1424</v>
      </c>
      <c r="F4769" s="9" t="s">
        <v>1425</v>
      </c>
      <c r="G4769" s="10" t="s">
        <v>86</v>
      </c>
      <c r="H4769" s="9" t="s">
        <v>22</v>
      </c>
      <c r="I4769" s="9" t="s">
        <v>11103</v>
      </c>
      <c r="J4769" s="10" t="str">
        <f>HYPERLINK("https://www.boe.es/gazeta/dias/1834/11/14/pdfs/GMD-C-1834-273.pdf#page=2","Abrir facsímil")</f>
        <v>Abrir facsímil</v>
      </c>
      <c r="K4769" s="10" t="s">
        <v>24</v>
      </c>
    </row>
    <row r="4770" spans="1:11" ht="54" customHeight="1">
      <c r="A4770" s="9" t="s">
        <v>11104</v>
      </c>
      <c r="B4770" s="9" t="s">
        <v>11105</v>
      </c>
      <c r="C4770" s="9" t="s">
        <v>17</v>
      </c>
      <c r="D4770" s="9" t="s">
        <v>18</v>
      </c>
      <c r="E4770" s="10" t="s">
        <v>174</v>
      </c>
      <c r="F4770" s="9" t="s">
        <v>175</v>
      </c>
      <c r="G4770" s="10" t="s">
        <v>28</v>
      </c>
      <c r="H4770" s="9" t="s">
        <v>22</v>
      </c>
      <c r="I4770" s="9" t="s">
        <v>11106</v>
      </c>
      <c r="J4770" s="10" t="str">
        <f>HYPERLINK("https://www.boe.es/gazeta/dias/1834/03/27/pdfs/GMD-1834-38.pdf#page=5","Abrir facsímil")</f>
        <v>Abrir facsímil</v>
      </c>
      <c r="K4770" s="10" t="s">
        <v>24</v>
      </c>
    </row>
    <row r="4771" spans="1:11" ht="54" customHeight="1">
      <c r="A4771" s="9" t="s">
        <v>11107</v>
      </c>
      <c r="B4771" s="9" t="s">
        <v>11108</v>
      </c>
      <c r="C4771" s="9" t="s">
        <v>66</v>
      </c>
      <c r="D4771" s="9" t="s">
        <v>67</v>
      </c>
      <c r="E4771" s="10" t="s">
        <v>255</v>
      </c>
      <c r="F4771" s="9" t="s">
        <v>2368</v>
      </c>
      <c r="G4771" s="10" t="s">
        <v>34</v>
      </c>
      <c r="H4771" s="9" t="s">
        <v>22</v>
      </c>
      <c r="I4771" s="9" t="s">
        <v>11109</v>
      </c>
      <c r="J4771" s="10" t="str">
        <f>HYPERLINK("https://www.boe.es/gazeta/dias/1834/09/01/pdfs/GMD-1834-199.pdf#page=1","Abrir facsímil")</f>
        <v>Abrir facsímil</v>
      </c>
      <c r="K4771" s="10" t="s">
        <v>24</v>
      </c>
    </row>
    <row r="4772" spans="1:11" ht="54" customHeight="1">
      <c r="A4772" s="9" t="s">
        <v>11110</v>
      </c>
      <c r="B4772" s="9" t="s">
        <v>11111</v>
      </c>
      <c r="C4772" s="9" t="s">
        <v>17</v>
      </c>
      <c r="D4772" s="9" t="s">
        <v>40</v>
      </c>
      <c r="E4772" s="10" t="s">
        <v>838</v>
      </c>
      <c r="F4772" s="9" t="s">
        <v>839</v>
      </c>
      <c r="G4772" s="10" t="s">
        <v>21</v>
      </c>
      <c r="H4772" s="9" t="s">
        <v>35</v>
      </c>
      <c r="I4772" s="9" t="s">
        <v>11112</v>
      </c>
      <c r="J4772" s="10" t="str">
        <f>HYPERLINK("https://www.boe.es/gazeta/dias/1834/07/18/pdfs/GMD-1834-151.pdf#page=3","Abrir facsímil")</f>
        <v>Abrir facsímil</v>
      </c>
      <c r="K4772" s="10" t="s">
        <v>37</v>
      </c>
    </row>
    <row r="4773" spans="1:11" ht="54" customHeight="1">
      <c r="A4773" s="9" t="s">
        <v>11113</v>
      </c>
      <c r="B4773" s="9" t="s">
        <v>11114</v>
      </c>
      <c r="C4773" s="9" t="s">
        <v>17</v>
      </c>
      <c r="D4773" s="9" t="s">
        <v>18</v>
      </c>
      <c r="E4773" s="10" t="s">
        <v>813</v>
      </c>
      <c r="F4773" s="9" t="s">
        <v>814</v>
      </c>
      <c r="G4773" s="10" t="s">
        <v>21</v>
      </c>
      <c r="H4773" s="9" t="s">
        <v>22</v>
      </c>
      <c r="I4773" s="9" t="s">
        <v>11115</v>
      </c>
      <c r="J4773" s="10" t="str">
        <f>HYPERLINK("https://www.boe.es/gazeta/dias/1834/08/08/pdfs/GMD-1834-173.pdf#page=3","Abrir facsímil")</f>
        <v>Abrir facsímil</v>
      </c>
      <c r="K4773" s="10" t="s">
        <v>24</v>
      </c>
    </row>
    <row r="4774" spans="1:11" ht="54" customHeight="1">
      <c r="A4774" s="9" t="s">
        <v>11116</v>
      </c>
      <c r="B4774" s="9" t="s">
        <v>11117</v>
      </c>
      <c r="C4774" s="9" t="s">
        <v>17</v>
      </c>
      <c r="D4774" s="9" t="s">
        <v>18</v>
      </c>
      <c r="E4774" s="10" t="s">
        <v>793</v>
      </c>
      <c r="F4774" s="9" t="s">
        <v>1895</v>
      </c>
      <c r="G4774" s="10" t="s">
        <v>86</v>
      </c>
      <c r="H4774" s="9" t="s">
        <v>22</v>
      </c>
      <c r="I4774" s="9" t="s">
        <v>11118</v>
      </c>
      <c r="J4774" s="10" t="str">
        <f>HYPERLINK("https://www.boe.es/gazeta/dias/1834/10/08/pdfs/GMD-C-1834-236.pdf#page=2","Abrir facsímil")</f>
        <v>Abrir facsímil</v>
      </c>
      <c r="K4774" s="10" t="s">
        <v>24</v>
      </c>
    </row>
    <row r="4775" spans="1:11" ht="54" customHeight="1">
      <c r="A4775" s="9" t="s">
        <v>11119</v>
      </c>
      <c r="B4775" s="9" t="s">
        <v>11120</v>
      </c>
      <c r="C4775" s="9" t="s">
        <v>17</v>
      </c>
      <c r="D4775" s="9" t="s">
        <v>18</v>
      </c>
      <c r="E4775" s="10" t="s">
        <v>243</v>
      </c>
      <c r="F4775" s="9" t="s">
        <v>244</v>
      </c>
      <c r="G4775" s="10" t="s">
        <v>34</v>
      </c>
      <c r="H4775" s="9" t="s">
        <v>22</v>
      </c>
      <c r="I4775" s="9" t="s">
        <v>11121</v>
      </c>
      <c r="J4775" s="10" t="str">
        <f>HYPERLINK("https://www.boe.es/gazeta/dias/1834/08/05/pdfs/GMD-C-1834-169.pdf#page=1","Abrir facsímil")</f>
        <v>Abrir facsímil</v>
      </c>
      <c r="K4775" s="10" t="s">
        <v>24</v>
      </c>
    </row>
    <row r="4776" spans="1:11" ht="54" customHeight="1">
      <c r="A4776" s="9" t="s">
        <v>11122</v>
      </c>
      <c r="B4776" s="9" t="s">
        <v>11123</v>
      </c>
      <c r="C4776" s="9" t="s">
        <v>90</v>
      </c>
      <c r="D4776" s="9" t="s">
        <v>18</v>
      </c>
      <c r="E4776" s="10" t="s">
        <v>167</v>
      </c>
      <c r="F4776" s="9" t="s">
        <v>1200</v>
      </c>
      <c r="G4776" s="10" t="s">
        <v>86</v>
      </c>
      <c r="H4776" s="9" t="s">
        <v>22</v>
      </c>
      <c r="I4776" s="9" t="s">
        <v>11124</v>
      </c>
      <c r="J4776" s="10" t="str">
        <f>HYPERLINK("https://www.boe.es/gazeta/dias/1834/09/07/pdfs/GMD-C-1834-205.pdf#page=2","Abrir facsímil")</f>
        <v>Abrir facsímil</v>
      </c>
      <c r="K4776" s="10" t="s">
        <v>24</v>
      </c>
    </row>
    <row r="4777" spans="1:11" ht="54" customHeight="1">
      <c r="A4777" s="9" t="s">
        <v>11125</v>
      </c>
      <c r="B4777" s="9" t="s">
        <v>11126</v>
      </c>
      <c r="C4777" s="9" t="s">
        <v>17</v>
      </c>
      <c r="D4777" s="9" t="s">
        <v>18</v>
      </c>
      <c r="E4777" s="10" t="s">
        <v>19</v>
      </c>
      <c r="F4777" s="9" t="s">
        <v>20</v>
      </c>
      <c r="G4777" s="10" t="s">
        <v>21</v>
      </c>
      <c r="H4777" s="9" t="s">
        <v>22</v>
      </c>
      <c r="I4777" s="9" t="s">
        <v>11127</v>
      </c>
      <c r="J4777" s="10" t="str">
        <f>HYPERLINK("https://www.boe.es/gazeta/dias/1834/08/17/pdfs/GMD-D-1834-182.pdf#page=3","Abrir facsímil")</f>
        <v>Abrir facsímil</v>
      </c>
      <c r="K4777" s="10" t="s">
        <v>24</v>
      </c>
    </row>
    <row r="4778" spans="1:11" ht="54" customHeight="1">
      <c r="A4778" s="9" t="s">
        <v>11128</v>
      </c>
      <c r="B4778" s="9" t="s">
        <v>11129</v>
      </c>
      <c r="C4778" s="9" t="s">
        <v>17</v>
      </c>
      <c r="D4778" s="9" t="s">
        <v>18</v>
      </c>
      <c r="E4778" s="10" t="s">
        <v>552</v>
      </c>
      <c r="F4778" s="9" t="s">
        <v>1478</v>
      </c>
      <c r="G4778" s="10" t="s">
        <v>34</v>
      </c>
      <c r="H4778" s="9" t="s">
        <v>22</v>
      </c>
      <c r="I4778" s="9" t="s">
        <v>11130</v>
      </c>
      <c r="J4778" s="10" t="str">
        <f>HYPERLINK("https://www.boe.es/gazeta/dias/1834/07/30/pdfs/GMD-C-1834-163.pdf#page=1","Abrir facsímil")</f>
        <v>Abrir facsímil</v>
      </c>
      <c r="K4778" s="10" t="s">
        <v>24</v>
      </c>
    </row>
    <row r="4779" spans="1:11" ht="54" customHeight="1">
      <c r="A4779" s="9" t="s">
        <v>11131</v>
      </c>
      <c r="B4779" s="9" t="s">
        <v>11132</v>
      </c>
      <c r="C4779" s="9" t="s">
        <v>66</v>
      </c>
      <c r="D4779" s="9" t="s">
        <v>67</v>
      </c>
      <c r="E4779" s="10" t="s">
        <v>1234</v>
      </c>
      <c r="F4779" s="9" t="s">
        <v>1235</v>
      </c>
      <c r="G4779" s="10" t="s">
        <v>34</v>
      </c>
      <c r="H4779" s="9" t="s">
        <v>22</v>
      </c>
      <c r="I4779" s="9" t="s">
        <v>11133</v>
      </c>
      <c r="J4779" s="10" t="str">
        <f>HYPERLINK("https://www.boe.es/gazeta/dias/1834/05/15/pdfs/GMD-C-1834-84.pdf#page=1","Abrir facsímil")</f>
        <v>Abrir facsímil</v>
      </c>
      <c r="K4779" s="10" t="s">
        <v>24</v>
      </c>
    </row>
    <row r="4780" spans="1:11" ht="54" customHeight="1">
      <c r="A4780" s="9" t="s">
        <v>11134</v>
      </c>
      <c r="B4780" s="9" t="s">
        <v>11135</v>
      </c>
      <c r="C4780" s="9" t="s">
        <v>90</v>
      </c>
      <c r="D4780" s="9" t="s">
        <v>18</v>
      </c>
      <c r="E4780" s="10" t="s">
        <v>167</v>
      </c>
      <c r="F4780" s="9" t="s">
        <v>1200</v>
      </c>
      <c r="G4780" s="10" t="s">
        <v>86</v>
      </c>
      <c r="H4780" s="9" t="s">
        <v>35</v>
      </c>
      <c r="I4780" s="9" t="s">
        <v>11136</v>
      </c>
      <c r="J4780" s="10" t="str">
        <f>HYPERLINK("https://www.boe.es/gazeta/dias/1834/09/07/pdfs/GMD-C-1834-205.pdf#page=2","Abrir facsímil")</f>
        <v>Abrir facsímil</v>
      </c>
      <c r="K4780" s="10" t="s">
        <v>37</v>
      </c>
    </row>
    <row r="4781" spans="1:11" ht="54" customHeight="1">
      <c r="A4781" s="9" t="s">
        <v>11137</v>
      </c>
      <c r="B4781" s="9" t="s">
        <v>11138</v>
      </c>
      <c r="C4781" s="9" t="s">
        <v>17</v>
      </c>
      <c r="D4781" s="9" t="s">
        <v>18</v>
      </c>
      <c r="E4781" s="10" t="s">
        <v>19</v>
      </c>
      <c r="F4781" s="9" t="s">
        <v>20</v>
      </c>
      <c r="G4781" s="10" t="s">
        <v>21</v>
      </c>
      <c r="H4781" s="9" t="s">
        <v>35</v>
      </c>
      <c r="I4781" s="9" t="s">
        <v>11139</v>
      </c>
      <c r="J4781" s="10" t="str">
        <f>HYPERLINK("https://www.boe.es/gazeta/dias/1834/08/17/pdfs/GMD-D-1834-182.pdf#page=3","Abrir facsímil")</f>
        <v>Abrir facsímil</v>
      </c>
      <c r="K4781" s="10" t="s">
        <v>37</v>
      </c>
    </row>
    <row r="4782" spans="1:11" ht="54" customHeight="1">
      <c r="A4782" s="9" t="s">
        <v>11140</v>
      </c>
      <c r="B4782" s="9" t="s">
        <v>11141</v>
      </c>
      <c r="C4782" s="9" t="s">
        <v>122</v>
      </c>
      <c r="D4782" s="9" t="s">
        <v>18</v>
      </c>
      <c r="E4782" s="10" t="s">
        <v>123</v>
      </c>
      <c r="F4782" s="9" t="s">
        <v>124</v>
      </c>
      <c r="G4782" s="10" t="s">
        <v>21</v>
      </c>
      <c r="H4782" s="9" t="s">
        <v>22</v>
      </c>
      <c r="I4782" s="9" t="s">
        <v>11142</v>
      </c>
      <c r="J4782" s="10" t="str">
        <f>HYPERLINK("https://www.boe.es/gazeta/dias/1834/07/11/pdfs/GMD-1834-144.pdf#page=3","Abrir facsímil")</f>
        <v>Abrir facsímil</v>
      </c>
      <c r="K4782" s="10" t="s">
        <v>24</v>
      </c>
    </row>
    <row r="4783" spans="1:11" ht="54" customHeight="1">
      <c r="A4783" s="9" t="s">
        <v>11143</v>
      </c>
      <c r="B4783" s="9" t="s">
        <v>11144</v>
      </c>
      <c r="C4783" s="9" t="s">
        <v>17</v>
      </c>
      <c r="D4783" s="9" t="s">
        <v>18</v>
      </c>
      <c r="E4783" s="10" t="s">
        <v>3248</v>
      </c>
      <c r="F4783" s="9" t="s">
        <v>4798</v>
      </c>
      <c r="G4783" s="10" t="s">
        <v>34</v>
      </c>
      <c r="H4783" s="9" t="s">
        <v>22</v>
      </c>
      <c r="I4783" s="9" t="s">
        <v>11145</v>
      </c>
      <c r="J4783" s="10" t="str">
        <f>HYPERLINK("https://www.boe.es/gazeta/dias/1834/09/20/pdfs/GMD-C-1834-218.pdf#page=1","Abrir facsímil")</f>
        <v>Abrir facsímil</v>
      </c>
      <c r="K4783" s="10" t="s">
        <v>24</v>
      </c>
    </row>
    <row r="4784" spans="1:11" ht="54" customHeight="1">
      <c r="A4784" s="9" t="s">
        <v>11146</v>
      </c>
      <c r="B4784" s="9" t="s">
        <v>11147</v>
      </c>
      <c r="C4784" s="9" t="s">
        <v>17</v>
      </c>
      <c r="D4784" s="9" t="s">
        <v>40</v>
      </c>
      <c r="E4784" s="10" t="s">
        <v>739</v>
      </c>
      <c r="F4784" s="9" t="s">
        <v>740</v>
      </c>
      <c r="G4784" s="10" t="s">
        <v>75</v>
      </c>
      <c r="H4784" s="9" t="s">
        <v>22</v>
      </c>
      <c r="I4784" s="9" t="s">
        <v>11148</v>
      </c>
      <c r="J4784" s="10" t="str">
        <f>HYPERLINK("https://www.boe.es/gazeta/dias/1834/03/25/pdfs/GMD-1834-37.pdf#page=4","Abrir facsímil")</f>
        <v>Abrir facsímil</v>
      </c>
      <c r="K4784" s="10" t="s">
        <v>24</v>
      </c>
    </row>
    <row r="4785" spans="1:11" ht="54" customHeight="1">
      <c r="A4785" s="9" t="s">
        <v>11149</v>
      </c>
      <c r="B4785" s="9" t="s">
        <v>11150</v>
      </c>
      <c r="C4785" s="9" t="s">
        <v>90</v>
      </c>
      <c r="D4785" s="9" t="s">
        <v>18</v>
      </c>
      <c r="E4785" s="10" t="s">
        <v>2087</v>
      </c>
      <c r="F4785" s="9" t="s">
        <v>2088</v>
      </c>
      <c r="G4785" s="10" t="s">
        <v>21</v>
      </c>
      <c r="H4785" s="9" t="s">
        <v>22</v>
      </c>
      <c r="I4785" s="9" t="s">
        <v>11151</v>
      </c>
      <c r="J4785" s="10" t="str">
        <f>HYPERLINK("https://www.boe.es/gazeta/dias/1834/12/14/pdfs/GMD-1834-303.pdf#page=3","Abrir facsímil")</f>
        <v>Abrir facsímil</v>
      </c>
      <c r="K4785" s="10" t="s">
        <v>24</v>
      </c>
    </row>
    <row r="4786" spans="1:11" ht="54" customHeight="1">
      <c r="A4786" s="9" t="s">
        <v>11152</v>
      </c>
      <c r="B4786" s="9" t="s">
        <v>11153</v>
      </c>
      <c r="C4786" s="9" t="s">
        <v>17</v>
      </c>
      <c r="D4786" s="9" t="s">
        <v>18</v>
      </c>
      <c r="E4786" s="10" t="s">
        <v>642</v>
      </c>
      <c r="F4786" s="9" t="s">
        <v>1843</v>
      </c>
      <c r="G4786" s="10" t="s">
        <v>86</v>
      </c>
      <c r="H4786" s="9" t="s">
        <v>22</v>
      </c>
      <c r="I4786" s="9" t="s">
        <v>11154</v>
      </c>
      <c r="J4786" s="10" t="str">
        <f>HYPERLINK("https://www.boe.es/gazeta/dias/1834/11/12/pdfs/GMD-1834-271.pdf#page=2","Abrir facsímil")</f>
        <v>Abrir facsímil</v>
      </c>
      <c r="K4786" s="10" t="s">
        <v>24</v>
      </c>
    </row>
    <row r="4787" spans="1:11" ht="54" customHeight="1">
      <c r="A4787" s="9" t="s">
        <v>11155</v>
      </c>
      <c r="B4787" s="9" t="s">
        <v>11156</v>
      </c>
      <c r="C4787" s="9" t="s">
        <v>90</v>
      </c>
      <c r="D4787" s="9" t="s">
        <v>55</v>
      </c>
      <c r="E4787" s="10" t="s">
        <v>339</v>
      </c>
      <c r="F4787" s="9" t="s">
        <v>340</v>
      </c>
      <c r="G4787" s="10" t="s">
        <v>34</v>
      </c>
      <c r="H4787" s="9" t="s">
        <v>22</v>
      </c>
      <c r="I4787" s="9" t="s">
        <v>11157</v>
      </c>
      <c r="J4787" s="10" t="str">
        <f>HYPERLINK("https://www.boe.es/gazeta/dias/1834/05/02/pdfs/GMD-1834-71.pdf#page=1","Abrir facsímil")</f>
        <v>Abrir facsímil</v>
      </c>
      <c r="K4787" s="10" t="s">
        <v>24</v>
      </c>
    </row>
    <row r="4788" spans="1:11" ht="54" customHeight="1">
      <c r="A4788" s="9" t="s">
        <v>11158</v>
      </c>
      <c r="B4788" s="9" t="s">
        <v>11159</v>
      </c>
      <c r="C4788" s="9" t="s">
        <v>17</v>
      </c>
      <c r="D4788" s="9" t="s">
        <v>18</v>
      </c>
      <c r="E4788" s="10" t="s">
        <v>280</v>
      </c>
      <c r="F4788" s="9" t="s">
        <v>281</v>
      </c>
      <c r="G4788" s="10" t="s">
        <v>560</v>
      </c>
      <c r="H4788" s="9" t="s">
        <v>22</v>
      </c>
      <c r="I4788" s="9" t="s">
        <v>11160</v>
      </c>
      <c r="J4788" s="10" t="str">
        <f>HYPERLINK("https://www.boe.es/gazeta/dias/1834/08/29/pdfs/GMD-C-1834-195.pdf#page=7","Abrir facsímil")</f>
        <v>Abrir facsímil</v>
      </c>
      <c r="K4788" s="10" t="s">
        <v>24</v>
      </c>
    </row>
    <row r="4789" spans="1:11" ht="54" customHeight="1">
      <c r="A4789" s="9" t="s">
        <v>11161</v>
      </c>
      <c r="B4789" s="9" t="s">
        <v>11162</v>
      </c>
      <c r="C4789" s="9" t="s">
        <v>66</v>
      </c>
      <c r="D4789" s="9" t="s">
        <v>67</v>
      </c>
      <c r="E4789" s="10" t="s">
        <v>73</v>
      </c>
      <c r="F4789" s="9" t="s">
        <v>74</v>
      </c>
      <c r="G4789" s="10" t="s">
        <v>75</v>
      </c>
      <c r="H4789" s="9" t="s">
        <v>22</v>
      </c>
      <c r="I4789" s="9" t="s">
        <v>11163</v>
      </c>
      <c r="J4789" s="10" t="str">
        <f>HYPERLINK("https://www.boe.es/gazeta/dias/1834/11/04/pdfs/GMD-1834-263.pdf#page=4","Abrir facsímil")</f>
        <v>Abrir facsímil</v>
      </c>
      <c r="K4789" s="10" t="s">
        <v>24</v>
      </c>
    </row>
    <row r="4790" spans="1:11" ht="54" customHeight="1">
      <c r="A4790" s="9" t="s">
        <v>11164</v>
      </c>
      <c r="B4790" s="9" t="s">
        <v>11165</v>
      </c>
      <c r="C4790" s="9" t="s">
        <v>66</v>
      </c>
      <c r="D4790" s="9" t="s">
        <v>18</v>
      </c>
      <c r="E4790" s="10" t="s">
        <v>2053</v>
      </c>
      <c r="F4790" s="9" t="s">
        <v>2054</v>
      </c>
      <c r="G4790" s="10" t="s">
        <v>75</v>
      </c>
      <c r="H4790" s="9" t="s">
        <v>22</v>
      </c>
      <c r="I4790" s="9" t="s">
        <v>11166</v>
      </c>
      <c r="J4790" s="10" t="str">
        <f>HYPERLINK("https://www.boe.es/gazeta/dias/1834/06/02/pdfs/GMD-1834-103.pdf#page=4","Abrir facsímil")</f>
        <v>Abrir facsímil</v>
      </c>
      <c r="K4790" s="10" t="s">
        <v>24</v>
      </c>
    </row>
    <row r="4791" spans="1:11" ht="54" customHeight="1">
      <c r="A4791" s="9" t="s">
        <v>11167</v>
      </c>
      <c r="B4791" s="9" t="s">
        <v>11168</v>
      </c>
      <c r="C4791" s="9" t="s">
        <v>46</v>
      </c>
      <c r="D4791" s="9" t="s">
        <v>101</v>
      </c>
      <c r="E4791" s="10" t="s">
        <v>1002</v>
      </c>
      <c r="F4791" s="9" t="s">
        <v>1003</v>
      </c>
      <c r="G4791" s="10" t="s">
        <v>34</v>
      </c>
      <c r="H4791" s="9" t="s">
        <v>35</v>
      </c>
      <c r="I4791" s="9" t="s">
        <v>11169</v>
      </c>
      <c r="J4791" s="10" t="str">
        <f>HYPERLINK("https://www.boe.es/gazeta/dias/1834/06/26/pdfs/GMD-1834-129.pdf#page=1","Abrir facsímil")</f>
        <v>Abrir facsímil</v>
      </c>
      <c r="K4791" s="10" t="s">
        <v>37</v>
      </c>
    </row>
    <row r="4792" spans="1:11" ht="54" customHeight="1">
      <c r="A4792" s="9" t="s">
        <v>11170</v>
      </c>
      <c r="B4792" s="9" t="s">
        <v>11171</v>
      </c>
      <c r="C4792" s="9" t="s">
        <v>17</v>
      </c>
      <c r="D4792" s="9" t="s">
        <v>18</v>
      </c>
      <c r="E4792" s="10" t="s">
        <v>1002</v>
      </c>
      <c r="F4792" s="9" t="s">
        <v>1003</v>
      </c>
      <c r="G4792" s="10" t="s">
        <v>34</v>
      </c>
      <c r="H4792" s="9" t="s">
        <v>22</v>
      </c>
      <c r="I4792" s="9" t="s">
        <v>11172</v>
      </c>
      <c r="J4792" s="10" t="str">
        <f>HYPERLINK("https://www.boe.es/gazeta/dias/1834/06/26/pdfs/GMD-1834-129.pdf#page=1","Abrir facsímil")</f>
        <v>Abrir facsímil</v>
      </c>
      <c r="K4792" s="10" t="s">
        <v>24</v>
      </c>
    </row>
    <row r="4793" spans="1:11" ht="54" customHeight="1">
      <c r="A4793" s="9" t="s">
        <v>11173</v>
      </c>
      <c r="B4793" s="9" t="s">
        <v>11174</v>
      </c>
      <c r="C4793" s="9" t="s">
        <v>17</v>
      </c>
      <c r="D4793" s="9" t="s">
        <v>55</v>
      </c>
      <c r="E4793" s="10" t="s">
        <v>61</v>
      </c>
      <c r="F4793" s="9" t="s">
        <v>62</v>
      </c>
      <c r="G4793" s="10" t="s">
        <v>34</v>
      </c>
      <c r="H4793" s="9" t="s">
        <v>22</v>
      </c>
      <c r="I4793" s="9" t="s">
        <v>11175</v>
      </c>
      <c r="J4793" s="10" t="str">
        <f>HYPERLINK("https://www.boe.es/gazeta/dias/1834/06/08/pdfs/GMD-1834-111E.pdf#page=1","Abrir facsímil")</f>
        <v>Abrir facsímil</v>
      </c>
      <c r="K4793" s="10" t="s">
        <v>24</v>
      </c>
    </row>
    <row r="4794" spans="1:11" ht="54" customHeight="1">
      <c r="A4794" s="9" t="s">
        <v>11176</v>
      </c>
      <c r="B4794" s="9" t="s">
        <v>11177</v>
      </c>
      <c r="C4794" s="9" t="s">
        <v>17</v>
      </c>
      <c r="D4794" s="9" t="s">
        <v>55</v>
      </c>
      <c r="E4794" s="10" t="s">
        <v>61</v>
      </c>
      <c r="F4794" s="9" t="s">
        <v>62</v>
      </c>
      <c r="G4794" s="10" t="s">
        <v>34</v>
      </c>
      <c r="H4794" s="9" t="s">
        <v>22</v>
      </c>
      <c r="I4794" s="9" t="s">
        <v>11178</v>
      </c>
      <c r="J4794" s="10" t="str">
        <f>HYPERLINK("https://www.boe.es/gazeta/dias/1834/06/08/pdfs/GMD-1834-111E.pdf#page=1","Abrir facsímil")</f>
        <v>Abrir facsímil</v>
      </c>
      <c r="K4794" s="10" t="s">
        <v>24</v>
      </c>
    </row>
    <row r="4795" spans="1:11" ht="54" customHeight="1">
      <c r="A4795" s="9" t="s">
        <v>11179</v>
      </c>
      <c r="B4795" s="9" t="s">
        <v>11180</v>
      </c>
      <c r="C4795" s="9" t="s">
        <v>17</v>
      </c>
      <c r="D4795" s="9" t="s">
        <v>40</v>
      </c>
      <c r="E4795" s="10" t="s">
        <v>1212</v>
      </c>
      <c r="F4795" s="9" t="s">
        <v>1213</v>
      </c>
      <c r="G4795" s="10" t="s">
        <v>75</v>
      </c>
      <c r="H4795" s="9" t="s">
        <v>22</v>
      </c>
      <c r="I4795" s="9" t="s">
        <v>11181</v>
      </c>
      <c r="J4795" s="10" t="str">
        <f>HYPERLINK("https://www.boe.es/gazeta/dias/1834/05/24/pdfs/GMD-1834-93.pdf#page=4","Abrir facsímil")</f>
        <v>Abrir facsímil</v>
      </c>
      <c r="K4795" s="10" t="s">
        <v>24</v>
      </c>
    </row>
    <row r="4796" spans="1:11" ht="54" customHeight="1">
      <c r="A4796" s="9" t="s">
        <v>11182</v>
      </c>
      <c r="B4796" s="9" t="s">
        <v>11183</v>
      </c>
      <c r="C4796" s="9" t="s">
        <v>17</v>
      </c>
      <c r="D4796" s="9" t="s">
        <v>18</v>
      </c>
      <c r="E4796" s="10" t="s">
        <v>899</v>
      </c>
      <c r="F4796" s="9" t="s">
        <v>900</v>
      </c>
      <c r="G4796" s="10" t="s">
        <v>28</v>
      </c>
      <c r="H4796" s="9" t="s">
        <v>35</v>
      </c>
      <c r="I4796" s="9" t="s">
        <v>11184</v>
      </c>
      <c r="J4796" s="10" t="str">
        <f>HYPERLINK("https://www.boe.es/gazeta/dias/1834/01/30/pdfs/GMD-1834-14.pdf#page=5","Abrir facsímil")</f>
        <v>Abrir facsímil</v>
      </c>
      <c r="K4796" s="10" t="s">
        <v>37</v>
      </c>
    </row>
    <row r="4797" spans="1:11" ht="54" customHeight="1">
      <c r="A4797" s="9" t="s">
        <v>11185</v>
      </c>
      <c r="B4797" s="9" t="s">
        <v>11186</v>
      </c>
      <c r="C4797" s="9" t="s">
        <v>122</v>
      </c>
      <c r="D4797" s="9" t="s">
        <v>18</v>
      </c>
      <c r="E4797" s="10" t="s">
        <v>823</v>
      </c>
      <c r="F4797" s="9" t="s">
        <v>824</v>
      </c>
      <c r="G4797" s="10" t="s">
        <v>176</v>
      </c>
      <c r="H4797" s="9" t="s">
        <v>35</v>
      </c>
      <c r="I4797" s="9" t="s">
        <v>11187</v>
      </c>
      <c r="J4797" s="10" t="str">
        <f>HYPERLINK("https://www.boe.es/gazeta/dias/1834/07/23/pdfs/GMD-1834-156.pdf#page=6","Abrir facsímil")</f>
        <v>Abrir facsímil</v>
      </c>
      <c r="K4797" s="10" t="s">
        <v>37</v>
      </c>
    </row>
    <row r="4798" spans="1:11" ht="54" customHeight="1">
      <c r="A4798" s="9" t="s">
        <v>11188</v>
      </c>
      <c r="B4798" s="9" t="s">
        <v>11189</v>
      </c>
      <c r="C4798" s="9" t="s">
        <v>17</v>
      </c>
      <c r="D4798" s="9" t="s">
        <v>18</v>
      </c>
      <c r="E4798" s="10" t="s">
        <v>899</v>
      </c>
      <c r="F4798" s="9" t="s">
        <v>900</v>
      </c>
      <c r="G4798" s="10" t="s">
        <v>28</v>
      </c>
      <c r="H4798" s="9" t="s">
        <v>22</v>
      </c>
      <c r="I4798" s="9" t="s">
        <v>11190</v>
      </c>
      <c r="J4798" s="10" t="str">
        <f>HYPERLINK("https://www.boe.es/gazeta/dias/1834/01/30/pdfs/GMD-1834-14.pdf#page=5","Abrir facsímil")</f>
        <v>Abrir facsímil</v>
      </c>
      <c r="K4798" s="10" t="s">
        <v>24</v>
      </c>
    </row>
    <row r="4799" spans="1:11" ht="54" customHeight="1">
      <c r="A4799" s="9" t="s">
        <v>11191</v>
      </c>
      <c r="B4799" s="9" t="s">
        <v>11192</v>
      </c>
      <c r="C4799" s="9" t="s">
        <v>122</v>
      </c>
      <c r="D4799" s="9" t="s">
        <v>18</v>
      </c>
      <c r="E4799" s="10" t="s">
        <v>823</v>
      </c>
      <c r="F4799" s="9" t="s">
        <v>824</v>
      </c>
      <c r="G4799" s="10" t="s">
        <v>176</v>
      </c>
      <c r="H4799" s="9" t="s">
        <v>22</v>
      </c>
      <c r="I4799" s="9" t="s">
        <v>11193</v>
      </c>
      <c r="J4799" s="10" t="str">
        <f>HYPERLINK("https://www.boe.es/gazeta/dias/1834/07/23/pdfs/GMD-1834-156.pdf#page=6","Abrir facsímil")</f>
        <v>Abrir facsímil</v>
      </c>
      <c r="K4799" s="10" t="s">
        <v>24</v>
      </c>
    </row>
    <row r="4800" spans="1:11" ht="54" customHeight="1">
      <c r="A4800" s="9" t="s">
        <v>11194</v>
      </c>
      <c r="B4800" s="9" t="s">
        <v>11195</v>
      </c>
      <c r="C4800" s="9" t="s">
        <v>90</v>
      </c>
      <c r="D4800" s="9" t="s">
        <v>18</v>
      </c>
      <c r="E4800" s="10" t="s">
        <v>273</v>
      </c>
      <c r="F4800" s="9" t="s">
        <v>274</v>
      </c>
      <c r="G4800" s="10" t="s">
        <v>21</v>
      </c>
      <c r="H4800" s="9" t="s">
        <v>35</v>
      </c>
      <c r="I4800" s="9" t="s">
        <v>11196</v>
      </c>
      <c r="J4800" s="10" t="str">
        <f>HYPERLINK("https://www.boe.es/gazeta/dias/1834/08/31/pdfs/GMD-D-1834-198.pdf#page=3","Abrir facsímil")</f>
        <v>Abrir facsímil</v>
      </c>
      <c r="K4800" s="10" t="s">
        <v>37</v>
      </c>
    </row>
    <row r="4801" spans="1:11" ht="54" customHeight="1">
      <c r="A4801" s="9" t="s">
        <v>11197</v>
      </c>
      <c r="B4801" s="9" t="s">
        <v>11198</v>
      </c>
      <c r="C4801" s="9" t="s">
        <v>66</v>
      </c>
      <c r="D4801" s="9" t="s">
        <v>67</v>
      </c>
      <c r="E4801" s="10" t="s">
        <v>167</v>
      </c>
      <c r="F4801" s="9" t="s">
        <v>1200</v>
      </c>
      <c r="G4801" s="10" t="s">
        <v>86</v>
      </c>
      <c r="H4801" s="9" t="s">
        <v>22</v>
      </c>
      <c r="I4801" s="9" t="s">
        <v>11199</v>
      </c>
      <c r="J4801" s="10" t="str">
        <f>HYPERLINK("https://www.boe.es/gazeta/dias/1834/09/07/pdfs/GMD-C-1834-205.pdf#page=2","Abrir facsímil")</f>
        <v>Abrir facsímil</v>
      </c>
      <c r="K4801" s="10" t="s">
        <v>24</v>
      </c>
    </row>
    <row r="4802" spans="1:11" ht="54" customHeight="1">
      <c r="A4802" s="9" t="s">
        <v>11200</v>
      </c>
      <c r="B4802" s="9" t="s">
        <v>11201</v>
      </c>
      <c r="C4802" s="9" t="s">
        <v>90</v>
      </c>
      <c r="D4802" s="9" t="s">
        <v>18</v>
      </c>
      <c r="E4802" s="10" t="s">
        <v>273</v>
      </c>
      <c r="F4802" s="9" t="s">
        <v>274</v>
      </c>
      <c r="G4802" s="10" t="s">
        <v>21</v>
      </c>
      <c r="H4802" s="9" t="s">
        <v>22</v>
      </c>
      <c r="I4802" s="9" t="s">
        <v>11202</v>
      </c>
      <c r="J4802" s="10" t="str">
        <f>HYPERLINK("https://www.boe.es/gazeta/dias/1834/08/31/pdfs/GMD-D-1834-198.pdf#page=3","Abrir facsímil")</f>
        <v>Abrir facsímil</v>
      </c>
      <c r="K4802" s="10" t="s">
        <v>24</v>
      </c>
    </row>
    <row r="4803" spans="1:11" ht="54" customHeight="1">
      <c r="A4803" s="9" t="s">
        <v>11203</v>
      </c>
      <c r="B4803" s="9" t="s">
        <v>11204</v>
      </c>
      <c r="C4803" s="9" t="s">
        <v>90</v>
      </c>
      <c r="D4803" s="9" t="s">
        <v>18</v>
      </c>
      <c r="E4803" s="10" t="s">
        <v>158</v>
      </c>
      <c r="F4803" s="9" t="s">
        <v>581</v>
      </c>
      <c r="G4803" s="10" t="s">
        <v>28</v>
      </c>
      <c r="H4803" s="9" t="s">
        <v>22</v>
      </c>
      <c r="I4803" s="9" t="s">
        <v>11205</v>
      </c>
      <c r="J4803" s="10" t="str">
        <f>HYPERLINK("https://www.boe.es/gazeta/dias/1834/10/01/pdfs/GMD-C-1834-229.pdf#page=5","Abrir facsímil")</f>
        <v>Abrir facsímil</v>
      </c>
      <c r="K4803" s="10" t="s">
        <v>24</v>
      </c>
    </row>
    <row r="4804" spans="1:11" ht="54" customHeight="1">
      <c r="A4804" s="9" t="s">
        <v>11203</v>
      </c>
      <c r="B4804" s="9" t="s">
        <v>11204</v>
      </c>
      <c r="C4804" s="9" t="s">
        <v>17</v>
      </c>
      <c r="D4804" s="9" t="s">
        <v>18</v>
      </c>
      <c r="E4804" s="10" t="s">
        <v>416</v>
      </c>
      <c r="F4804" s="9" t="s">
        <v>417</v>
      </c>
      <c r="G4804" s="10" t="s">
        <v>34</v>
      </c>
      <c r="H4804" s="9" t="s">
        <v>22</v>
      </c>
      <c r="I4804" s="9" t="s">
        <v>11206</v>
      </c>
      <c r="J4804" s="10" t="str">
        <f>HYPERLINK("https://www.boe.es/gazeta/dias/1834/10/02/pdfs/GMD-C-1834-230.pdf#page=1","Abrir facsímil")</f>
        <v>Abrir facsímil</v>
      </c>
      <c r="K4804" s="10" t="s">
        <v>24</v>
      </c>
    </row>
    <row r="4805" spans="1:11" ht="54" customHeight="1">
      <c r="A4805" s="9" t="s">
        <v>11203</v>
      </c>
      <c r="B4805" s="9" t="s">
        <v>11204</v>
      </c>
      <c r="C4805" s="9" t="s">
        <v>17</v>
      </c>
      <c r="D4805" s="9" t="s">
        <v>18</v>
      </c>
      <c r="E4805" s="10" t="s">
        <v>416</v>
      </c>
      <c r="F4805" s="9" t="s">
        <v>417</v>
      </c>
      <c r="G4805" s="10" t="s">
        <v>86</v>
      </c>
      <c r="H4805" s="9" t="s">
        <v>22</v>
      </c>
      <c r="I4805" s="9" t="s">
        <v>11207</v>
      </c>
      <c r="J4805" s="10" t="str">
        <f>HYPERLINK("https://www.boe.es/gazeta/dias/1834/10/02/pdfs/GMD-C-1834-230.pdf#page=2","Abrir facsímil")</f>
        <v>Abrir facsímil</v>
      </c>
      <c r="K4805" s="10" t="s">
        <v>24</v>
      </c>
    </row>
    <row r="4806" spans="1:11" ht="54" customHeight="1">
      <c r="A4806" s="9" t="s">
        <v>11203</v>
      </c>
      <c r="B4806" s="9" t="s">
        <v>11204</v>
      </c>
      <c r="C4806" s="9" t="s">
        <v>17</v>
      </c>
      <c r="D4806" s="9" t="s">
        <v>18</v>
      </c>
      <c r="E4806" s="10" t="s">
        <v>416</v>
      </c>
      <c r="F4806" s="9" t="s">
        <v>417</v>
      </c>
      <c r="G4806" s="10" t="s">
        <v>75</v>
      </c>
      <c r="H4806" s="9" t="s">
        <v>22</v>
      </c>
      <c r="I4806" s="9" t="s">
        <v>11208</v>
      </c>
      <c r="J4806" s="10" t="str">
        <f>HYPERLINK("https://www.boe.es/gazeta/dias/1834/10/02/pdfs/GMD-C-1834-230.pdf#page=4","Abrir facsímil")</f>
        <v>Abrir facsímil</v>
      </c>
      <c r="K4806" s="10" t="s">
        <v>24</v>
      </c>
    </row>
    <row r="4807" spans="1:11" ht="54" customHeight="1">
      <c r="A4807" s="9" t="s">
        <v>11203</v>
      </c>
      <c r="B4807" s="9" t="s">
        <v>11204</v>
      </c>
      <c r="C4807" s="9" t="s">
        <v>17</v>
      </c>
      <c r="D4807" s="9" t="s">
        <v>18</v>
      </c>
      <c r="E4807" s="10" t="s">
        <v>492</v>
      </c>
      <c r="F4807" s="9" t="s">
        <v>493</v>
      </c>
      <c r="G4807" s="10" t="s">
        <v>28</v>
      </c>
      <c r="H4807" s="9" t="s">
        <v>22</v>
      </c>
      <c r="I4807" s="9" t="s">
        <v>11209</v>
      </c>
      <c r="J4807" s="10" t="str">
        <f>HYPERLINK("https://www.boe.es/gazeta/dias/1834/11/21/pdfs/GMD-C-1834-280.pdf#page=5","Abrir facsímil")</f>
        <v>Abrir facsímil</v>
      </c>
      <c r="K4807" s="10" t="s">
        <v>24</v>
      </c>
    </row>
    <row r="4808" spans="1:11" ht="54" customHeight="1">
      <c r="A4808" s="9" t="s">
        <v>11203</v>
      </c>
      <c r="B4808" s="9" t="s">
        <v>11204</v>
      </c>
      <c r="C4808" s="9" t="s">
        <v>46</v>
      </c>
      <c r="D4808" s="9" t="s">
        <v>18</v>
      </c>
      <c r="E4808" s="10" t="s">
        <v>576</v>
      </c>
      <c r="F4808" s="9" t="s">
        <v>5888</v>
      </c>
      <c r="G4808" s="10" t="s">
        <v>21</v>
      </c>
      <c r="H4808" s="9" t="s">
        <v>22</v>
      </c>
      <c r="I4808" s="9" t="s">
        <v>11210</v>
      </c>
      <c r="J4808" s="10" t="str">
        <f>HYPERLINK("https://www.boe.es/gazeta/dias/1834/09/23/pdfs/GMD-C-1834-221.pdf#page=3","Abrir facsímil")</f>
        <v>Abrir facsímil</v>
      </c>
      <c r="K4808" s="10" t="s">
        <v>24</v>
      </c>
    </row>
    <row r="4809" spans="1:11" ht="54" customHeight="1">
      <c r="A4809" s="9" t="s">
        <v>11203</v>
      </c>
      <c r="B4809" s="9" t="s">
        <v>11204</v>
      </c>
      <c r="C4809" s="9" t="s">
        <v>46</v>
      </c>
      <c r="D4809" s="9" t="s">
        <v>18</v>
      </c>
      <c r="E4809" s="10" t="s">
        <v>294</v>
      </c>
      <c r="F4809" s="9" t="s">
        <v>959</v>
      </c>
      <c r="G4809" s="10" t="s">
        <v>86</v>
      </c>
      <c r="H4809" s="9" t="s">
        <v>22</v>
      </c>
      <c r="I4809" s="9" t="s">
        <v>11211</v>
      </c>
      <c r="J4809" s="10" t="str">
        <f>HYPERLINK("https://www.boe.es/gazeta/dias/1834/09/27/pdfs/GMD-C-1834-225.pdf#page=2","Abrir facsímil")</f>
        <v>Abrir facsímil</v>
      </c>
      <c r="K4809" s="10" t="s">
        <v>24</v>
      </c>
    </row>
    <row r="4810" spans="1:11" ht="54" customHeight="1">
      <c r="A4810" s="9" t="s">
        <v>11203</v>
      </c>
      <c r="B4810" s="9" t="s">
        <v>11204</v>
      </c>
      <c r="C4810" s="9" t="s">
        <v>46</v>
      </c>
      <c r="D4810" s="9" t="s">
        <v>101</v>
      </c>
      <c r="E4810" s="10" t="s">
        <v>294</v>
      </c>
      <c r="F4810" s="9" t="s">
        <v>959</v>
      </c>
      <c r="G4810" s="10" t="s">
        <v>75</v>
      </c>
      <c r="H4810" s="9" t="s">
        <v>22</v>
      </c>
      <c r="I4810" s="9" t="s">
        <v>11212</v>
      </c>
      <c r="J4810" s="10" t="str">
        <f>HYPERLINK("https://www.boe.es/gazeta/dias/1834/09/27/pdfs/GMD-C-1834-225.pdf#page=4","Abrir facsímil")</f>
        <v>Abrir facsímil</v>
      </c>
      <c r="K4810" s="10" t="s">
        <v>24</v>
      </c>
    </row>
    <row r="4811" spans="1:11" ht="54" customHeight="1">
      <c r="A4811" s="9" t="s">
        <v>11213</v>
      </c>
      <c r="B4811" s="9" t="s">
        <v>11214</v>
      </c>
      <c r="C4811" s="9" t="s">
        <v>90</v>
      </c>
      <c r="D4811" s="9" t="s">
        <v>18</v>
      </c>
      <c r="E4811" s="10" t="s">
        <v>891</v>
      </c>
      <c r="F4811" s="9" t="s">
        <v>892</v>
      </c>
      <c r="G4811" s="10" t="s">
        <v>176</v>
      </c>
      <c r="H4811" s="9" t="s">
        <v>35</v>
      </c>
      <c r="I4811" s="9" t="s">
        <v>11215</v>
      </c>
      <c r="J4811" s="10" t="str">
        <f>HYPERLINK("https://www.boe.es/gazeta/dias/1834/10/31/pdfs/GMD-C-1834-259.pdf#page=6","Abrir facsímil")</f>
        <v>Abrir facsímil</v>
      </c>
      <c r="K4811" s="10" t="s">
        <v>37</v>
      </c>
    </row>
    <row r="4812" spans="1:11" ht="54" customHeight="1">
      <c r="A4812" s="9" t="s">
        <v>11216</v>
      </c>
      <c r="B4812" s="9" t="s">
        <v>11217</v>
      </c>
      <c r="C4812" s="9" t="s">
        <v>122</v>
      </c>
      <c r="D4812" s="9" t="s">
        <v>55</v>
      </c>
      <c r="E4812" s="10" t="s">
        <v>102</v>
      </c>
      <c r="F4812" s="9" t="s">
        <v>103</v>
      </c>
      <c r="G4812" s="10" t="s">
        <v>21</v>
      </c>
      <c r="H4812" s="9" t="s">
        <v>22</v>
      </c>
      <c r="I4812" s="9" t="s">
        <v>11218</v>
      </c>
      <c r="J4812" s="10" t="str">
        <f>HYPERLINK("https://www.boe.es/gazeta/dias/1834/07/19/pdfs/GMD-1834-152.pdf#page=3","Abrir facsímil")</f>
        <v>Abrir facsímil</v>
      </c>
      <c r="K4812" s="10" t="s">
        <v>24</v>
      </c>
    </row>
    <row r="4813" spans="1:11" ht="54" customHeight="1">
      <c r="A4813" s="9" t="s">
        <v>11216</v>
      </c>
      <c r="B4813" s="9" t="s">
        <v>11217</v>
      </c>
      <c r="C4813" s="9" t="s">
        <v>90</v>
      </c>
      <c r="D4813" s="9" t="s">
        <v>18</v>
      </c>
      <c r="E4813" s="10" t="s">
        <v>891</v>
      </c>
      <c r="F4813" s="9" t="s">
        <v>892</v>
      </c>
      <c r="G4813" s="10" t="s">
        <v>176</v>
      </c>
      <c r="H4813" s="9" t="s">
        <v>22</v>
      </c>
      <c r="I4813" s="9" t="s">
        <v>11219</v>
      </c>
      <c r="J4813" s="10" t="str">
        <f>HYPERLINK("https://www.boe.es/gazeta/dias/1834/10/31/pdfs/GMD-C-1834-259.pdf#page=6","Abrir facsímil")</f>
        <v>Abrir facsímil</v>
      </c>
      <c r="K4813" s="10" t="s">
        <v>24</v>
      </c>
    </row>
    <row r="4814" spans="1:11" ht="54" customHeight="1">
      <c r="A4814" s="9" t="s">
        <v>11220</v>
      </c>
      <c r="B4814" s="9" t="s">
        <v>11221</v>
      </c>
      <c r="C4814" s="9" t="s">
        <v>17</v>
      </c>
      <c r="D4814" s="9" t="s">
        <v>18</v>
      </c>
      <c r="E4814" s="10" t="s">
        <v>563</v>
      </c>
      <c r="F4814" s="9" t="s">
        <v>564</v>
      </c>
      <c r="G4814" s="10" t="s">
        <v>34</v>
      </c>
      <c r="H4814" s="9" t="s">
        <v>22</v>
      </c>
      <c r="I4814" s="9" t="s">
        <v>11222</v>
      </c>
      <c r="J4814" s="10" t="str">
        <f>HYPERLINK("https://www.boe.es/gazeta/dias/1834/04/19/pdfs/GMD-1834-58.pdf#page=1","Abrir facsímil")</f>
        <v>Abrir facsímil</v>
      </c>
      <c r="K4814" s="10" t="s">
        <v>24</v>
      </c>
    </row>
    <row r="4815" spans="1:11" ht="54" customHeight="1">
      <c r="A4815" s="9" t="s">
        <v>11223</v>
      </c>
      <c r="B4815" s="9" t="s">
        <v>11224</v>
      </c>
      <c r="C4815" s="9" t="s">
        <v>17</v>
      </c>
      <c r="D4815" s="9" t="s">
        <v>18</v>
      </c>
      <c r="E4815" s="10" t="s">
        <v>416</v>
      </c>
      <c r="F4815" s="9" t="s">
        <v>417</v>
      </c>
      <c r="G4815" s="10" t="s">
        <v>86</v>
      </c>
      <c r="H4815" s="9" t="s">
        <v>22</v>
      </c>
      <c r="I4815" s="9" t="s">
        <v>11225</v>
      </c>
      <c r="J4815" s="10" t="str">
        <f>HYPERLINK("https://www.boe.es/gazeta/dias/1834/10/02/pdfs/GMD-C-1834-230.pdf#page=2","Abrir facsímil")</f>
        <v>Abrir facsímil</v>
      </c>
      <c r="K4815" s="10" t="s">
        <v>24</v>
      </c>
    </row>
    <row r="4816" spans="1:11" ht="54" customHeight="1">
      <c r="A4816" s="9" t="s">
        <v>11226</v>
      </c>
      <c r="B4816" s="9" t="s">
        <v>11227</v>
      </c>
      <c r="C4816" s="9" t="s">
        <v>66</v>
      </c>
      <c r="D4816" s="9" t="s">
        <v>67</v>
      </c>
      <c r="E4816" s="10" t="s">
        <v>2124</v>
      </c>
      <c r="F4816" s="9" t="s">
        <v>2125</v>
      </c>
      <c r="G4816" s="10" t="s">
        <v>75</v>
      </c>
      <c r="H4816" s="9" t="s">
        <v>35</v>
      </c>
      <c r="I4816" s="9" t="s">
        <v>11228</v>
      </c>
      <c r="J4816" s="10" t="str">
        <f>HYPERLINK("https://www.boe.es/gazeta/dias/1834/06/09/pdfs/GMD-1834-112.pdf#page=4","Abrir facsímil")</f>
        <v>Abrir facsímil</v>
      </c>
      <c r="K4816" s="10" t="s">
        <v>37</v>
      </c>
    </row>
    <row r="4817" spans="1:11" ht="54" customHeight="1">
      <c r="A4817" s="9" t="s">
        <v>11229</v>
      </c>
      <c r="B4817" s="9" t="s">
        <v>11230</v>
      </c>
      <c r="C4817" s="9" t="s">
        <v>66</v>
      </c>
      <c r="D4817" s="9" t="s">
        <v>67</v>
      </c>
      <c r="E4817" s="10" t="s">
        <v>2124</v>
      </c>
      <c r="F4817" s="9" t="s">
        <v>2125</v>
      </c>
      <c r="G4817" s="10" t="s">
        <v>75</v>
      </c>
      <c r="H4817" s="9" t="s">
        <v>22</v>
      </c>
      <c r="I4817" s="9" t="s">
        <v>11231</v>
      </c>
      <c r="J4817" s="10" t="str">
        <f>HYPERLINK("https://www.boe.es/gazeta/dias/1834/06/09/pdfs/GMD-1834-112.pdf#page=4","Abrir facsímil")</f>
        <v>Abrir facsímil</v>
      </c>
      <c r="K4817" s="10" t="s">
        <v>24</v>
      </c>
    </row>
    <row r="4818" spans="1:11" ht="54" customHeight="1">
      <c r="A4818" s="9" t="s">
        <v>11232</v>
      </c>
      <c r="B4818" s="9" t="s">
        <v>11233</v>
      </c>
      <c r="C4818" s="9" t="s">
        <v>90</v>
      </c>
      <c r="D4818" s="9" t="s">
        <v>18</v>
      </c>
      <c r="E4818" s="10" t="s">
        <v>3471</v>
      </c>
      <c r="F4818" s="9" t="s">
        <v>3472</v>
      </c>
      <c r="G4818" s="10" t="s">
        <v>21</v>
      </c>
      <c r="H4818" s="9" t="s">
        <v>22</v>
      </c>
      <c r="I4818" s="9" t="s">
        <v>11234</v>
      </c>
      <c r="J4818" s="10" t="str">
        <f>HYPERLINK("https://www.boe.es/gazeta/dias/1834/07/07/pdfs/GMD-1834-140.pdf#page=3","Abrir facsímil")</f>
        <v>Abrir facsímil</v>
      </c>
      <c r="K4818" s="10" t="s">
        <v>24</v>
      </c>
    </row>
    <row r="4819" spans="1:11" ht="54" customHeight="1">
      <c r="A4819" s="9" t="s">
        <v>11235</v>
      </c>
      <c r="B4819" s="9" t="s">
        <v>11236</v>
      </c>
      <c r="C4819" s="9" t="s">
        <v>17</v>
      </c>
      <c r="D4819" s="9" t="s">
        <v>18</v>
      </c>
      <c r="E4819" s="10" t="s">
        <v>4736</v>
      </c>
      <c r="F4819" s="9" t="s">
        <v>4737</v>
      </c>
      <c r="G4819" s="10" t="s">
        <v>21</v>
      </c>
      <c r="H4819" s="9" t="s">
        <v>22</v>
      </c>
      <c r="I4819" s="9" t="s">
        <v>11237</v>
      </c>
      <c r="J4819" s="10" t="str">
        <f>HYPERLINK("https://www.boe.es/gazeta/dias/1834/09/16/pdfs/GMD-1834-214.pdf#page=3","Abrir facsímil")</f>
        <v>Abrir facsímil</v>
      </c>
      <c r="K4819" s="10" t="s">
        <v>24</v>
      </c>
    </row>
    <row r="4820" spans="1:11" ht="54" customHeight="1">
      <c r="A4820" s="9" t="s">
        <v>11238</v>
      </c>
      <c r="B4820" s="9" t="s">
        <v>11239</v>
      </c>
      <c r="C4820" s="9" t="s">
        <v>17</v>
      </c>
      <c r="D4820" s="9" t="s">
        <v>40</v>
      </c>
      <c r="E4820" s="10" t="s">
        <v>286</v>
      </c>
      <c r="F4820" s="9" t="s">
        <v>1928</v>
      </c>
      <c r="G4820" s="10" t="s">
        <v>34</v>
      </c>
      <c r="H4820" s="9" t="s">
        <v>22</v>
      </c>
      <c r="I4820" s="9" t="s">
        <v>11240</v>
      </c>
      <c r="J4820" s="10" t="str">
        <f>HYPERLINK("https://www.boe.es/gazeta/dias/1834/08/30/pdfs/GMD-1834-197E.pdf#page=1","Abrir facsímil")</f>
        <v>Abrir facsímil</v>
      </c>
      <c r="K4820" s="10" t="s">
        <v>24</v>
      </c>
    </row>
    <row r="4821" spans="1:11" ht="54" customHeight="1">
      <c r="A4821" s="9" t="s">
        <v>11241</v>
      </c>
      <c r="B4821" s="9" t="s">
        <v>11242</v>
      </c>
      <c r="C4821" s="9" t="s">
        <v>46</v>
      </c>
      <c r="D4821" s="9" t="s">
        <v>101</v>
      </c>
      <c r="E4821" s="10" t="s">
        <v>571</v>
      </c>
      <c r="F4821" s="9" t="s">
        <v>620</v>
      </c>
      <c r="G4821" s="10" t="s">
        <v>34</v>
      </c>
      <c r="H4821" s="9" t="s">
        <v>22</v>
      </c>
      <c r="I4821" s="9" t="s">
        <v>11243</v>
      </c>
      <c r="J4821" s="10" t="str">
        <f>HYPERLINK("https://www.boe.es/gazeta/dias/1834/09/04/pdfs/GMD-C-1834-202.pdf#page=1","Abrir facsímil")</f>
        <v>Abrir facsímil</v>
      </c>
      <c r="K4821" s="10" t="s">
        <v>24</v>
      </c>
    </row>
    <row r="4822" spans="1:11" ht="54" customHeight="1">
      <c r="A4822" s="9" t="s">
        <v>11241</v>
      </c>
      <c r="B4822" s="9" t="s">
        <v>11242</v>
      </c>
      <c r="C4822" s="9" t="s">
        <v>66</v>
      </c>
      <c r="D4822" s="9" t="s">
        <v>67</v>
      </c>
      <c r="E4822" s="10" t="s">
        <v>1340</v>
      </c>
      <c r="F4822" s="9" t="s">
        <v>1341</v>
      </c>
      <c r="G4822" s="10" t="s">
        <v>86</v>
      </c>
      <c r="H4822" s="9" t="s">
        <v>22</v>
      </c>
      <c r="I4822" s="9" t="s">
        <v>11244</v>
      </c>
      <c r="J4822" s="10" t="str">
        <f>HYPERLINK("https://www.boe.es/gazeta/dias/1834/10/05/pdfs/GMD-C-1834-233.pdf#page=2","Abrir facsímil")</f>
        <v>Abrir facsímil</v>
      </c>
      <c r="K4822" s="10" t="s">
        <v>24</v>
      </c>
    </row>
    <row r="4823" spans="1:11" ht="54" customHeight="1">
      <c r="A4823" s="9" t="s">
        <v>11241</v>
      </c>
      <c r="B4823" s="9" t="s">
        <v>11242</v>
      </c>
      <c r="C4823" s="9" t="s">
        <v>17</v>
      </c>
      <c r="D4823" s="9" t="s">
        <v>101</v>
      </c>
      <c r="E4823" s="10" t="s">
        <v>1839</v>
      </c>
      <c r="F4823" s="9" t="s">
        <v>1840</v>
      </c>
      <c r="G4823" s="10" t="s">
        <v>34</v>
      </c>
      <c r="H4823" s="9" t="s">
        <v>22</v>
      </c>
      <c r="I4823" s="9" t="s">
        <v>11245</v>
      </c>
      <c r="J4823" s="10" t="str">
        <f>HYPERLINK("https://www.boe.es/gazeta/dias/1834/08/12/pdfs/GMD-C-1834-177.pdf#page=1","Abrir facsímil")</f>
        <v>Abrir facsímil</v>
      </c>
      <c r="K4823" s="10" t="s">
        <v>24</v>
      </c>
    </row>
    <row r="4824" spans="1:11" ht="54" customHeight="1">
      <c r="A4824" s="9" t="s">
        <v>11241</v>
      </c>
      <c r="B4824" s="9" t="s">
        <v>11242</v>
      </c>
      <c r="C4824" s="9" t="s">
        <v>66</v>
      </c>
      <c r="D4824" s="9" t="s">
        <v>67</v>
      </c>
      <c r="E4824" s="10" t="s">
        <v>304</v>
      </c>
      <c r="F4824" s="9" t="s">
        <v>305</v>
      </c>
      <c r="G4824" s="10" t="s">
        <v>176</v>
      </c>
      <c r="H4824" s="9" t="s">
        <v>22</v>
      </c>
      <c r="I4824" s="9" t="s">
        <v>11246</v>
      </c>
      <c r="J4824" s="10" t="str">
        <f>HYPERLINK("https://www.boe.es/gazeta/dias/1834/01/21/pdfs/GMD-1834-10.pdf#page=6","Abrir facsímil")</f>
        <v>Abrir facsímil</v>
      </c>
      <c r="K4824" s="10" t="s">
        <v>24</v>
      </c>
    </row>
    <row r="4825" spans="1:11" ht="54" customHeight="1">
      <c r="A4825" s="9" t="s">
        <v>11241</v>
      </c>
      <c r="B4825" s="9" t="s">
        <v>11242</v>
      </c>
      <c r="C4825" s="9" t="s">
        <v>122</v>
      </c>
      <c r="D4825" s="9" t="s">
        <v>18</v>
      </c>
      <c r="E4825" s="10" t="s">
        <v>375</v>
      </c>
      <c r="F4825" s="9" t="s">
        <v>376</v>
      </c>
      <c r="G4825" s="10" t="s">
        <v>75</v>
      </c>
      <c r="H4825" s="9" t="s">
        <v>22</v>
      </c>
      <c r="I4825" s="9" t="s">
        <v>11247</v>
      </c>
      <c r="J4825" s="10" t="str">
        <f>HYPERLINK("https://www.boe.es/gazeta/dias/1834/08/21/pdfs/GMD-1834-187.pdf#page=4","Abrir facsímil")</f>
        <v>Abrir facsímil</v>
      </c>
      <c r="K4825" s="10" t="s">
        <v>24</v>
      </c>
    </row>
    <row r="4826" spans="1:11" ht="54" customHeight="1">
      <c r="A4826" s="9" t="s">
        <v>11241</v>
      </c>
      <c r="B4826" s="9" t="s">
        <v>11242</v>
      </c>
      <c r="C4826" s="9" t="s">
        <v>66</v>
      </c>
      <c r="D4826" s="9" t="s">
        <v>101</v>
      </c>
      <c r="E4826" s="10" t="s">
        <v>1323</v>
      </c>
      <c r="F4826" s="9" t="s">
        <v>1324</v>
      </c>
      <c r="G4826" s="10" t="s">
        <v>21</v>
      </c>
      <c r="H4826" s="9" t="s">
        <v>22</v>
      </c>
      <c r="I4826" s="9" t="s">
        <v>11248</v>
      </c>
      <c r="J4826" s="10" t="str">
        <f>HYPERLINK("https://www.boe.es/gazeta/dias/1834/05/22/pdfs/GMD-1834-91.pdf#page=3","Abrir facsímil")</f>
        <v>Abrir facsímil</v>
      </c>
      <c r="K4826" s="10" t="s">
        <v>24</v>
      </c>
    </row>
    <row r="4827" spans="1:11" ht="54" customHeight="1">
      <c r="A4827" s="9" t="s">
        <v>11241</v>
      </c>
      <c r="B4827" s="9" t="s">
        <v>11242</v>
      </c>
      <c r="C4827" s="9" t="s">
        <v>90</v>
      </c>
      <c r="D4827" s="9" t="s">
        <v>18</v>
      </c>
      <c r="E4827" s="10" t="s">
        <v>576</v>
      </c>
      <c r="F4827" s="9" t="s">
        <v>577</v>
      </c>
      <c r="G4827" s="10" t="s">
        <v>86</v>
      </c>
      <c r="H4827" s="9" t="s">
        <v>22</v>
      </c>
      <c r="I4827" s="9" t="s">
        <v>11249</v>
      </c>
      <c r="J4827" s="10" t="str">
        <f>HYPERLINK("https://www.boe.es/gazeta/dias/1834/09/23/pdfs/GMD-1834-221.pdf#page=2","Abrir facsímil")</f>
        <v>Abrir facsímil</v>
      </c>
      <c r="K4827" s="10" t="s">
        <v>24</v>
      </c>
    </row>
    <row r="4828" spans="1:11" ht="54" customHeight="1">
      <c r="A4828" s="9" t="s">
        <v>11241</v>
      </c>
      <c r="B4828" s="9" t="s">
        <v>11242</v>
      </c>
      <c r="C4828" s="9" t="s">
        <v>46</v>
      </c>
      <c r="D4828" s="9" t="s">
        <v>40</v>
      </c>
      <c r="E4828" s="10" t="s">
        <v>1307</v>
      </c>
      <c r="F4828" s="9" t="s">
        <v>1308</v>
      </c>
      <c r="G4828" s="10" t="s">
        <v>75</v>
      </c>
      <c r="H4828" s="9" t="s">
        <v>22</v>
      </c>
      <c r="I4828" s="9" t="s">
        <v>11250</v>
      </c>
      <c r="J4828" s="10" t="str">
        <f>HYPERLINK("https://www.boe.es/gazeta/dias/1834/08/25/pdfs/GMD-1834-191.pdf#page=4","Abrir facsímil")</f>
        <v>Abrir facsímil</v>
      </c>
      <c r="K4828" s="10" t="s">
        <v>24</v>
      </c>
    </row>
    <row r="4829" spans="1:11" ht="54" customHeight="1">
      <c r="A4829" s="9" t="s">
        <v>11241</v>
      </c>
      <c r="B4829" s="9" t="s">
        <v>11242</v>
      </c>
      <c r="C4829" s="9" t="s">
        <v>66</v>
      </c>
      <c r="D4829" s="9" t="s">
        <v>18</v>
      </c>
      <c r="E4829" s="10" t="s">
        <v>1002</v>
      </c>
      <c r="F4829" s="9" t="s">
        <v>6383</v>
      </c>
      <c r="G4829" s="10" t="s">
        <v>34</v>
      </c>
      <c r="H4829" s="9" t="s">
        <v>22</v>
      </c>
      <c r="I4829" s="9" t="s">
        <v>11251</v>
      </c>
      <c r="J4829" s="10" t="str">
        <f>HYPERLINK("https://www.boe.es/gazeta/dias/1834/06/26/pdfs/GMD-C-1834-129.pdf#page=1","Abrir facsímil")</f>
        <v>Abrir facsímil</v>
      </c>
      <c r="K4829" s="10" t="s">
        <v>24</v>
      </c>
    </row>
    <row r="4830" spans="1:11" ht="54" customHeight="1">
      <c r="A4830" s="9" t="s">
        <v>11241</v>
      </c>
      <c r="B4830" s="9" t="s">
        <v>11242</v>
      </c>
      <c r="C4830" s="9" t="s">
        <v>17</v>
      </c>
      <c r="D4830" s="9" t="s">
        <v>18</v>
      </c>
      <c r="E4830" s="10" t="s">
        <v>5904</v>
      </c>
      <c r="F4830" s="9" t="s">
        <v>5905</v>
      </c>
      <c r="G4830" s="10" t="s">
        <v>75</v>
      </c>
      <c r="H4830" s="9" t="s">
        <v>22</v>
      </c>
      <c r="I4830" s="9" t="s">
        <v>11252</v>
      </c>
      <c r="J4830" s="10" t="str">
        <f>HYPERLINK("https://www.boe.es/gazeta/dias/1834/09/29/pdfs/GMD-1834-227.pdf#page=4","Abrir facsímil")</f>
        <v>Abrir facsímil</v>
      </c>
      <c r="K4830" s="10" t="s">
        <v>24</v>
      </c>
    </row>
    <row r="4831" spans="1:11" ht="54" customHeight="1">
      <c r="A4831" s="9" t="s">
        <v>11241</v>
      </c>
      <c r="B4831" s="9" t="s">
        <v>11242</v>
      </c>
      <c r="C4831" s="9" t="s">
        <v>66</v>
      </c>
      <c r="D4831" s="9" t="s">
        <v>67</v>
      </c>
      <c r="E4831" s="10" t="s">
        <v>899</v>
      </c>
      <c r="F4831" s="9" t="s">
        <v>900</v>
      </c>
      <c r="G4831" s="10" t="s">
        <v>470</v>
      </c>
      <c r="H4831" s="9" t="s">
        <v>22</v>
      </c>
      <c r="I4831" s="9" t="s">
        <v>11253</v>
      </c>
      <c r="J4831" s="10" t="str">
        <f>HYPERLINK("https://www.boe.es/gazeta/dias/1834/01/30/pdfs/GMD-1834-14.pdf#page=8","Abrir facsímil")</f>
        <v>Abrir facsímil</v>
      </c>
      <c r="K4831" s="10" t="s">
        <v>24</v>
      </c>
    </row>
    <row r="4832" spans="1:11" ht="54" customHeight="1">
      <c r="A4832" s="9" t="s">
        <v>11241</v>
      </c>
      <c r="B4832" s="9" t="s">
        <v>11242</v>
      </c>
      <c r="C4832" s="9" t="s">
        <v>17</v>
      </c>
      <c r="D4832" s="9" t="s">
        <v>18</v>
      </c>
      <c r="E4832" s="10" t="s">
        <v>286</v>
      </c>
      <c r="F4832" s="9" t="s">
        <v>1928</v>
      </c>
      <c r="G4832" s="10" t="s">
        <v>86</v>
      </c>
      <c r="H4832" s="9" t="s">
        <v>22</v>
      </c>
      <c r="I4832" s="9" t="s">
        <v>11254</v>
      </c>
      <c r="J4832" s="10" t="str">
        <f>HYPERLINK("https://www.boe.es/gazeta/dias/1834/08/30/pdfs/GMD-1834-197E.pdf#page=2","Abrir facsímil")</f>
        <v>Abrir facsímil</v>
      </c>
      <c r="K4832" s="10" t="s">
        <v>24</v>
      </c>
    </row>
    <row r="4833" spans="1:11" ht="54" customHeight="1">
      <c r="A4833" s="9" t="s">
        <v>11241</v>
      </c>
      <c r="B4833" s="9" t="s">
        <v>11242</v>
      </c>
      <c r="C4833" s="9" t="s">
        <v>90</v>
      </c>
      <c r="D4833" s="9" t="s">
        <v>18</v>
      </c>
      <c r="E4833" s="10" t="s">
        <v>891</v>
      </c>
      <c r="F4833" s="9" t="s">
        <v>892</v>
      </c>
      <c r="G4833" s="10" t="s">
        <v>21</v>
      </c>
      <c r="H4833" s="9" t="s">
        <v>22</v>
      </c>
      <c r="I4833" s="9" t="s">
        <v>11255</v>
      </c>
      <c r="J4833" s="10" t="str">
        <f>HYPERLINK("https://www.boe.es/gazeta/dias/1834/10/31/pdfs/GMD-C-1834-259.pdf#page=3","Abrir facsímil")</f>
        <v>Abrir facsímil</v>
      </c>
      <c r="K4833" s="10" t="s">
        <v>24</v>
      </c>
    </row>
    <row r="4834" spans="1:11" ht="54" customHeight="1">
      <c r="A4834" s="9" t="s">
        <v>11256</v>
      </c>
      <c r="B4834" s="9" t="s">
        <v>11257</v>
      </c>
      <c r="C4834" s="9" t="s">
        <v>46</v>
      </c>
      <c r="D4834" s="9" t="s">
        <v>101</v>
      </c>
      <c r="E4834" s="10" t="s">
        <v>1653</v>
      </c>
      <c r="F4834" s="9" t="s">
        <v>1654</v>
      </c>
      <c r="G4834" s="10" t="s">
        <v>34</v>
      </c>
      <c r="H4834" s="9" t="s">
        <v>22</v>
      </c>
      <c r="I4834" s="9" t="s">
        <v>11258</v>
      </c>
      <c r="J4834" s="10" t="str">
        <f>HYPERLINK("https://www.boe.es/gazeta/dias/1834/07/03/pdfs/GMD-1834-136.pdf#page=1","Abrir facsímil")</f>
        <v>Abrir facsímil</v>
      </c>
      <c r="K4834" s="10" t="s">
        <v>24</v>
      </c>
    </row>
    <row r="4835" spans="1:11" ht="54" customHeight="1">
      <c r="A4835" s="9" t="s">
        <v>11259</v>
      </c>
      <c r="B4835" s="9" t="s">
        <v>11260</v>
      </c>
      <c r="C4835" s="9" t="s">
        <v>46</v>
      </c>
      <c r="D4835" s="9" t="s">
        <v>101</v>
      </c>
      <c r="E4835" s="10" t="s">
        <v>1653</v>
      </c>
      <c r="F4835" s="9" t="s">
        <v>1654</v>
      </c>
      <c r="G4835" s="10" t="s">
        <v>34</v>
      </c>
      <c r="H4835" s="9" t="s">
        <v>22</v>
      </c>
      <c r="I4835" s="9" t="s">
        <v>11261</v>
      </c>
      <c r="J4835" s="10" t="str">
        <f>HYPERLINK("https://www.boe.es/gazeta/dias/1834/07/03/pdfs/GMD-1834-136.pdf#page=1","Abrir facsímil")</f>
        <v>Abrir facsímil</v>
      </c>
      <c r="K4835" s="10" t="s">
        <v>24</v>
      </c>
    </row>
    <row r="4836" spans="1:11" ht="54" customHeight="1">
      <c r="A4836" s="9" t="s">
        <v>11262</v>
      </c>
      <c r="B4836" s="9" t="s">
        <v>11263</v>
      </c>
      <c r="C4836" s="9" t="s">
        <v>17</v>
      </c>
      <c r="D4836" s="9" t="s">
        <v>55</v>
      </c>
      <c r="E4836" s="10" t="s">
        <v>823</v>
      </c>
      <c r="F4836" s="9" t="s">
        <v>824</v>
      </c>
      <c r="G4836" s="10" t="s">
        <v>176</v>
      </c>
      <c r="H4836" s="9" t="s">
        <v>22</v>
      </c>
      <c r="I4836" s="9" t="s">
        <v>11264</v>
      </c>
      <c r="J4836" s="10" t="str">
        <f>HYPERLINK("https://www.boe.es/gazeta/dias/1834/07/23/pdfs/GMD-1834-156.pdf#page=6","Abrir facsímil")</f>
        <v>Abrir facsímil</v>
      </c>
      <c r="K4836" s="10" t="s">
        <v>24</v>
      </c>
    </row>
    <row r="4837" spans="1:11" ht="54" customHeight="1">
      <c r="A4837" s="9" t="s">
        <v>11265</v>
      </c>
      <c r="B4837" s="9" t="s">
        <v>11266</v>
      </c>
      <c r="C4837" s="9" t="s">
        <v>17</v>
      </c>
      <c r="D4837" s="9" t="s">
        <v>18</v>
      </c>
      <c r="E4837" s="10" t="s">
        <v>233</v>
      </c>
      <c r="F4837" s="9" t="s">
        <v>1810</v>
      </c>
      <c r="G4837" s="10" t="s">
        <v>2272</v>
      </c>
      <c r="H4837" s="9" t="s">
        <v>22</v>
      </c>
      <c r="I4837" s="9" t="s">
        <v>11267</v>
      </c>
      <c r="J4837" s="10" t="str">
        <f>HYPERLINK("https://www.boe.es/gazeta/dias/1834/12/16/pdfs/GMD-C-1834-305.pdf#page=12","Abrir facsímil")</f>
        <v>Abrir facsímil</v>
      </c>
      <c r="K4837" s="10" t="s">
        <v>24</v>
      </c>
    </row>
    <row r="4838" spans="1:11" ht="54" customHeight="1">
      <c r="A4838" s="9" t="s">
        <v>11268</v>
      </c>
      <c r="B4838" s="9" t="s">
        <v>11269</v>
      </c>
      <c r="C4838" s="9" t="s">
        <v>17</v>
      </c>
      <c r="D4838" s="9" t="s">
        <v>55</v>
      </c>
      <c r="E4838" s="10" t="s">
        <v>690</v>
      </c>
      <c r="F4838" s="9" t="s">
        <v>691</v>
      </c>
      <c r="G4838" s="10" t="s">
        <v>560</v>
      </c>
      <c r="H4838" s="9" t="s">
        <v>22</v>
      </c>
      <c r="I4838" s="9" t="s">
        <v>11270</v>
      </c>
      <c r="J4838" s="10" t="str">
        <f>HYPERLINK("https://www.boe.es/gazeta/dias/1834/09/03/pdfs/GMD-C-1834-201.pdf#page=7","Abrir facsímil")</f>
        <v>Abrir facsímil</v>
      </c>
      <c r="K4838" s="10" t="s">
        <v>24</v>
      </c>
    </row>
    <row r="4839" spans="1:11" ht="54" customHeight="1">
      <c r="A4839" s="9" t="s">
        <v>11271</v>
      </c>
      <c r="B4839" s="9" t="s">
        <v>11272</v>
      </c>
      <c r="C4839" s="9" t="s">
        <v>17</v>
      </c>
      <c r="D4839" s="9" t="s">
        <v>18</v>
      </c>
      <c r="E4839" s="10" t="s">
        <v>429</v>
      </c>
      <c r="F4839" s="9" t="s">
        <v>430</v>
      </c>
      <c r="G4839" s="10" t="s">
        <v>86</v>
      </c>
      <c r="H4839" s="9" t="s">
        <v>22</v>
      </c>
      <c r="I4839" s="9" t="s">
        <v>11273</v>
      </c>
      <c r="J4839" s="10" t="str">
        <f>HYPERLINK("https://www.boe.es/gazeta/dias/1834/08/07/pdfs/GMD-C-1834-172.pdf#page=2","Abrir facsímil")</f>
        <v>Abrir facsímil</v>
      </c>
      <c r="K4839" s="10" t="s">
        <v>24</v>
      </c>
    </row>
    <row r="4840" spans="1:11" ht="54" customHeight="1">
      <c r="A4840" s="9" t="s">
        <v>11274</v>
      </c>
      <c r="B4840" s="9" t="s">
        <v>11275</v>
      </c>
      <c r="C4840" s="9" t="s">
        <v>17</v>
      </c>
      <c r="D4840" s="9" t="s">
        <v>18</v>
      </c>
      <c r="E4840" s="10" t="s">
        <v>429</v>
      </c>
      <c r="F4840" s="9" t="s">
        <v>430</v>
      </c>
      <c r="G4840" s="10" t="s">
        <v>75</v>
      </c>
      <c r="H4840" s="9" t="s">
        <v>22</v>
      </c>
      <c r="I4840" s="9" t="s">
        <v>11276</v>
      </c>
      <c r="J4840" s="10" t="str">
        <f>HYPERLINK("https://www.boe.es/gazeta/dias/1834/08/07/pdfs/GMD-C-1834-172.pdf#page=4","Abrir facsímil")</f>
        <v>Abrir facsímil</v>
      </c>
      <c r="K4840" s="10" t="s">
        <v>24</v>
      </c>
    </row>
    <row r="4841" spans="1:11" ht="54" customHeight="1">
      <c r="A4841" s="9" t="s">
        <v>11277</v>
      </c>
      <c r="B4841" s="9" t="s">
        <v>11278</v>
      </c>
      <c r="C4841" s="9" t="s">
        <v>17</v>
      </c>
      <c r="D4841" s="9" t="s">
        <v>18</v>
      </c>
      <c r="E4841" s="10" t="s">
        <v>360</v>
      </c>
      <c r="F4841" s="9" t="s">
        <v>361</v>
      </c>
      <c r="G4841" s="10" t="s">
        <v>34</v>
      </c>
      <c r="H4841" s="9" t="s">
        <v>22</v>
      </c>
      <c r="I4841" s="9" t="s">
        <v>11279</v>
      </c>
      <c r="J4841" s="10" t="str">
        <f>HYPERLINK("https://www.boe.es/gazeta/dias/1834/04/07/pdfs/GMD-1834-46.pdf#page=1","Abrir facsímil")</f>
        <v>Abrir facsímil</v>
      </c>
      <c r="K4841" s="10" t="s">
        <v>24</v>
      </c>
    </row>
    <row r="4842" spans="1:11" ht="54" customHeight="1">
      <c r="A4842" s="9" t="s">
        <v>11280</v>
      </c>
      <c r="B4842" s="9" t="s">
        <v>11281</v>
      </c>
      <c r="C4842" s="9" t="s">
        <v>122</v>
      </c>
      <c r="D4842" s="9" t="s">
        <v>18</v>
      </c>
      <c r="E4842" s="10" t="s">
        <v>663</v>
      </c>
      <c r="F4842" s="9" t="s">
        <v>664</v>
      </c>
      <c r="G4842" s="10" t="s">
        <v>75</v>
      </c>
      <c r="H4842" s="9" t="s">
        <v>35</v>
      </c>
      <c r="I4842" s="9" t="s">
        <v>11282</v>
      </c>
      <c r="J4842" s="10" t="str">
        <f>HYPERLINK("https://www.boe.es/gazeta/dias/1834/07/16/pdfs/GMD-1834-149.pdf#page=4","Abrir facsímil")</f>
        <v>Abrir facsímil</v>
      </c>
      <c r="K4842" s="10" t="s">
        <v>37</v>
      </c>
    </row>
    <row r="4843" spans="1:11" ht="54" customHeight="1">
      <c r="A4843" s="9" t="s">
        <v>11283</v>
      </c>
      <c r="B4843" s="9" t="s">
        <v>11284</v>
      </c>
      <c r="C4843" s="9" t="s">
        <v>90</v>
      </c>
      <c r="D4843" s="9" t="s">
        <v>101</v>
      </c>
      <c r="E4843" s="10" t="s">
        <v>355</v>
      </c>
      <c r="F4843" s="9" t="s">
        <v>356</v>
      </c>
      <c r="G4843" s="10" t="s">
        <v>86</v>
      </c>
      <c r="H4843" s="9" t="s">
        <v>22</v>
      </c>
      <c r="I4843" s="9" t="s">
        <v>11285</v>
      </c>
      <c r="J4843" s="10" t="str">
        <f>HYPERLINK("https://www.boe.es/gazeta/dias/1834/07/04/pdfs/I00597-00598.pdf#page=2","Abrir facsímil")</f>
        <v>Abrir facsímil</v>
      </c>
      <c r="K4843" s="10" t="s">
        <v>24</v>
      </c>
    </row>
    <row r="4844" spans="1:11" ht="54" customHeight="1">
      <c r="A4844" s="9" t="s">
        <v>11283</v>
      </c>
      <c r="B4844" s="9" t="s">
        <v>11284</v>
      </c>
      <c r="C4844" s="9" t="s">
        <v>90</v>
      </c>
      <c r="D4844" s="9" t="s">
        <v>101</v>
      </c>
      <c r="E4844" s="10" t="s">
        <v>355</v>
      </c>
      <c r="F4844" s="9" t="s">
        <v>356</v>
      </c>
      <c r="G4844" s="10" t="s">
        <v>75</v>
      </c>
      <c r="H4844" s="9" t="s">
        <v>22</v>
      </c>
      <c r="I4844" s="9" t="s">
        <v>11285</v>
      </c>
      <c r="J4844" s="10" t="str">
        <f>HYPERLINK("https://www.boe.es/gazeta/dias/1834/07/04/pdfs/GMD-1834-137.pdf#page=4","Abrir facsímil")</f>
        <v>Abrir facsímil</v>
      </c>
      <c r="K4844" s="10" t="s">
        <v>24</v>
      </c>
    </row>
    <row r="4845" spans="1:11" ht="54" customHeight="1">
      <c r="A4845" s="9" t="s">
        <v>11283</v>
      </c>
      <c r="B4845" s="9" t="s">
        <v>11284</v>
      </c>
      <c r="C4845" s="9" t="s">
        <v>66</v>
      </c>
      <c r="D4845" s="9" t="s">
        <v>67</v>
      </c>
      <c r="E4845" s="10" t="s">
        <v>696</v>
      </c>
      <c r="F4845" s="9" t="s">
        <v>697</v>
      </c>
      <c r="G4845" s="10" t="s">
        <v>34</v>
      </c>
      <c r="H4845" s="9" t="s">
        <v>22</v>
      </c>
      <c r="I4845" s="9" t="s">
        <v>11286</v>
      </c>
      <c r="J4845" s="10" t="str">
        <f>HYPERLINK("https://www.boe.es/gazeta/dias/1834/12/06/pdfs/GMD-C-1834-295.pdf#page=1","Abrir facsímil")</f>
        <v>Abrir facsímil</v>
      </c>
      <c r="K4845" s="10" t="s">
        <v>24</v>
      </c>
    </row>
    <row r="4846" spans="1:11" ht="54" customHeight="1">
      <c r="A4846" s="9" t="s">
        <v>11287</v>
      </c>
      <c r="B4846" s="9" t="s">
        <v>11288</v>
      </c>
      <c r="C4846" s="9" t="s">
        <v>122</v>
      </c>
      <c r="D4846" s="9" t="s">
        <v>18</v>
      </c>
      <c r="E4846" s="10" t="s">
        <v>663</v>
      </c>
      <c r="F4846" s="9" t="s">
        <v>664</v>
      </c>
      <c r="G4846" s="10" t="s">
        <v>75</v>
      </c>
      <c r="H4846" s="9" t="s">
        <v>22</v>
      </c>
      <c r="I4846" s="9" t="s">
        <v>11289</v>
      </c>
      <c r="J4846" s="10" t="str">
        <f>HYPERLINK("https://www.boe.es/gazeta/dias/1834/07/16/pdfs/GMD-1834-149.pdf#page=4","Abrir facsímil")</f>
        <v>Abrir facsímil</v>
      </c>
      <c r="K4846" s="10" t="s">
        <v>24</v>
      </c>
    </row>
    <row r="4847" spans="1:11" ht="54" customHeight="1">
      <c r="A4847" s="9" t="s">
        <v>11290</v>
      </c>
      <c r="B4847" s="9" t="s">
        <v>11291</v>
      </c>
      <c r="C4847" s="9" t="s">
        <v>17</v>
      </c>
      <c r="D4847" s="9" t="s">
        <v>18</v>
      </c>
      <c r="E4847" s="10" t="s">
        <v>348</v>
      </c>
      <c r="F4847" s="9" t="s">
        <v>501</v>
      </c>
      <c r="G4847" s="10" t="s">
        <v>21</v>
      </c>
      <c r="H4847" s="9" t="s">
        <v>22</v>
      </c>
      <c r="I4847" s="9" t="s">
        <v>11292</v>
      </c>
      <c r="J4847" s="10" t="str">
        <f>HYPERLINK("https://www.boe.es/gazeta/dias/1834/06/12/pdfs/GMD-1834-115.pdf#page=3","Abrir facsímil")</f>
        <v>Abrir facsímil</v>
      </c>
      <c r="K4847" s="10" t="s">
        <v>24</v>
      </c>
    </row>
    <row r="4848" spans="1:11" ht="54" customHeight="1">
      <c r="A4848" s="9" t="s">
        <v>11293</v>
      </c>
      <c r="B4848" s="9" t="s">
        <v>11294</v>
      </c>
      <c r="C4848" s="9" t="s">
        <v>66</v>
      </c>
      <c r="D4848" s="9" t="s">
        <v>67</v>
      </c>
      <c r="E4848" s="10" t="s">
        <v>2218</v>
      </c>
      <c r="F4848" s="9" t="s">
        <v>2219</v>
      </c>
      <c r="G4848" s="10" t="s">
        <v>21</v>
      </c>
      <c r="H4848" s="9" t="s">
        <v>22</v>
      </c>
      <c r="I4848" s="9" t="s">
        <v>11295</v>
      </c>
      <c r="J4848" s="10" t="str">
        <f>HYPERLINK("https://www.boe.es/gazeta/dias/1834/11/05/pdfs/GMD-1834-264.pdf#page=3","Abrir facsímil")</f>
        <v>Abrir facsímil</v>
      </c>
      <c r="K4848" s="10" t="s">
        <v>24</v>
      </c>
    </row>
    <row r="4849" spans="1:11" ht="54" customHeight="1">
      <c r="A4849" s="9" t="s">
        <v>11296</v>
      </c>
      <c r="B4849" s="9" t="s">
        <v>11297</v>
      </c>
      <c r="C4849" s="9" t="s">
        <v>66</v>
      </c>
      <c r="D4849" s="9" t="s">
        <v>67</v>
      </c>
      <c r="E4849" s="10" t="s">
        <v>348</v>
      </c>
      <c r="F4849" s="9" t="s">
        <v>501</v>
      </c>
      <c r="G4849" s="10" t="s">
        <v>21</v>
      </c>
      <c r="H4849" s="9" t="s">
        <v>22</v>
      </c>
      <c r="I4849" s="9" t="s">
        <v>11298</v>
      </c>
      <c r="J4849" s="10" t="str">
        <f>HYPERLINK("https://www.boe.es/gazeta/dias/1834/06/12/pdfs/GMD-1834-115.pdf#page=3","Abrir facsímil")</f>
        <v>Abrir facsímil</v>
      </c>
      <c r="K4849" s="10" t="s">
        <v>24</v>
      </c>
    </row>
    <row r="4850" spans="1:11" ht="54" customHeight="1">
      <c r="A4850" s="9" t="s">
        <v>11299</v>
      </c>
      <c r="B4850" s="9" t="s">
        <v>11300</v>
      </c>
      <c r="C4850" s="9" t="s">
        <v>17</v>
      </c>
      <c r="D4850" s="9" t="s">
        <v>18</v>
      </c>
      <c r="E4850" s="10" t="s">
        <v>343</v>
      </c>
      <c r="F4850" s="9" t="s">
        <v>344</v>
      </c>
      <c r="G4850" s="10" t="s">
        <v>75</v>
      </c>
      <c r="H4850" s="9" t="s">
        <v>22</v>
      </c>
      <c r="I4850" s="9" t="s">
        <v>11301</v>
      </c>
      <c r="J4850" s="10" t="str">
        <f>HYPERLINK("https://www.boe.es/gazeta/dias/1834/01/14/pdfs/GMD-1834-7.pdf#page=4","Abrir facsímil")</f>
        <v>Abrir facsímil</v>
      </c>
      <c r="K4850" s="10" t="s">
        <v>24</v>
      </c>
    </row>
    <row r="4851" spans="1:11" ht="54" customHeight="1">
      <c r="A4851" s="9" t="s">
        <v>11302</v>
      </c>
      <c r="B4851" s="9" t="s">
        <v>11303</v>
      </c>
      <c r="C4851" s="9" t="s">
        <v>122</v>
      </c>
      <c r="D4851" s="9" t="s">
        <v>18</v>
      </c>
      <c r="E4851" s="10" t="s">
        <v>919</v>
      </c>
      <c r="F4851" s="9" t="s">
        <v>920</v>
      </c>
      <c r="G4851" s="10" t="s">
        <v>86</v>
      </c>
      <c r="H4851" s="9" t="s">
        <v>22</v>
      </c>
      <c r="I4851" s="9" t="s">
        <v>11304</v>
      </c>
      <c r="J4851" s="10" t="str">
        <f>HYPERLINK("https://www.boe.es/gazeta/dias/1834/06/24/pdfs/GMD-1834-127.pdf#page=2","Abrir facsímil")</f>
        <v>Abrir facsímil</v>
      </c>
      <c r="K4851" s="10" t="s">
        <v>24</v>
      </c>
    </row>
    <row r="4852" spans="1:11" ht="54" customHeight="1">
      <c r="A4852" s="9" t="s">
        <v>11305</v>
      </c>
      <c r="B4852" s="9" t="s">
        <v>11306</v>
      </c>
      <c r="C4852" s="9" t="s">
        <v>17</v>
      </c>
      <c r="D4852" s="9" t="s">
        <v>18</v>
      </c>
      <c r="E4852" s="10" t="s">
        <v>1333</v>
      </c>
      <c r="F4852" s="9" t="s">
        <v>1334</v>
      </c>
      <c r="G4852" s="10" t="s">
        <v>176</v>
      </c>
      <c r="H4852" s="9" t="s">
        <v>22</v>
      </c>
      <c r="I4852" s="9" t="s">
        <v>11307</v>
      </c>
      <c r="J4852" s="10" t="str">
        <f>HYPERLINK("https://www.boe.es/gazeta/dias/1834/04/01/pdfs/GMD-1834-40.pdf#page=6","Abrir facsímil")</f>
        <v>Abrir facsímil</v>
      </c>
      <c r="K4852" s="10" t="s">
        <v>24</v>
      </c>
    </row>
    <row r="4853" spans="1:11" ht="54" customHeight="1">
      <c r="A4853" s="9" t="s">
        <v>11308</v>
      </c>
      <c r="B4853" s="9" t="s">
        <v>11309</v>
      </c>
      <c r="C4853" s="9" t="s">
        <v>46</v>
      </c>
      <c r="D4853" s="9" t="s">
        <v>55</v>
      </c>
      <c r="E4853" s="10" t="s">
        <v>785</v>
      </c>
      <c r="F4853" s="9" t="s">
        <v>786</v>
      </c>
      <c r="G4853" s="10" t="s">
        <v>34</v>
      </c>
      <c r="H4853" s="9" t="s">
        <v>22</v>
      </c>
      <c r="I4853" s="9" t="s">
        <v>11310</v>
      </c>
      <c r="J4853" s="10" t="str">
        <f>HYPERLINK("https://www.boe.es/gazeta/dias/1834/02/11/pdfs/GMD-1834-19.pdf#page=1","Abrir facsímil")</f>
        <v>Abrir facsímil</v>
      </c>
      <c r="K4853" s="10" t="s">
        <v>24</v>
      </c>
    </row>
    <row r="4854" spans="1:11" ht="54" customHeight="1">
      <c r="A4854" s="9" t="s">
        <v>11311</v>
      </c>
      <c r="B4854" s="9" t="s">
        <v>11312</v>
      </c>
      <c r="C4854" s="9" t="s">
        <v>17</v>
      </c>
      <c r="D4854" s="9" t="s">
        <v>18</v>
      </c>
      <c r="E4854" s="10" t="s">
        <v>762</v>
      </c>
      <c r="F4854" s="9" t="s">
        <v>2227</v>
      </c>
      <c r="G4854" s="10" t="s">
        <v>21</v>
      </c>
      <c r="H4854" s="9" t="s">
        <v>22</v>
      </c>
      <c r="I4854" s="9" t="s">
        <v>11313</v>
      </c>
      <c r="J4854" s="10" t="str">
        <f>HYPERLINK("https://www.boe.es/gazeta/dias/1834/11/07/pdfs/GMD-C-1834-266.pdf#page=3","Abrir facsímil")</f>
        <v>Abrir facsímil</v>
      </c>
      <c r="K4854" s="10" t="s">
        <v>24</v>
      </c>
    </row>
    <row r="4855" spans="1:11" ht="54" customHeight="1">
      <c r="A4855" s="9" t="s">
        <v>11314</v>
      </c>
      <c r="B4855" s="9" t="s">
        <v>11315</v>
      </c>
      <c r="C4855" s="9" t="s">
        <v>46</v>
      </c>
      <c r="D4855" s="9" t="s">
        <v>101</v>
      </c>
      <c r="E4855" s="10" t="s">
        <v>41</v>
      </c>
      <c r="F4855" s="9" t="s">
        <v>42</v>
      </c>
      <c r="G4855" s="10" t="s">
        <v>21</v>
      </c>
      <c r="H4855" s="9" t="s">
        <v>35</v>
      </c>
      <c r="I4855" s="9" t="s">
        <v>11316</v>
      </c>
      <c r="J4855" s="10" t="str">
        <f>HYPERLINK("https://www.boe.es/gazeta/dias/1834/06/11/pdfs/GMD-1834-114.pdf#page=3","Abrir facsímil")</f>
        <v>Abrir facsímil</v>
      </c>
      <c r="K4855" s="10" t="s">
        <v>37</v>
      </c>
    </row>
    <row r="4856" spans="1:11" ht="54" customHeight="1">
      <c r="A4856" s="9" t="s">
        <v>11317</v>
      </c>
      <c r="B4856" s="9" t="s">
        <v>11318</v>
      </c>
      <c r="C4856" s="9" t="s">
        <v>46</v>
      </c>
      <c r="D4856" s="9" t="s">
        <v>101</v>
      </c>
      <c r="E4856" s="10" t="s">
        <v>41</v>
      </c>
      <c r="F4856" s="9" t="s">
        <v>42</v>
      </c>
      <c r="G4856" s="10" t="s">
        <v>21</v>
      </c>
      <c r="H4856" s="9" t="s">
        <v>22</v>
      </c>
      <c r="I4856" s="9" t="s">
        <v>11319</v>
      </c>
      <c r="J4856" s="10" t="str">
        <f>HYPERLINK("https://www.boe.es/gazeta/dias/1834/06/11/pdfs/GMD-1834-114.pdf#page=3","Abrir facsímil")</f>
        <v>Abrir facsímil</v>
      </c>
      <c r="K4856" s="10" t="s">
        <v>24</v>
      </c>
    </row>
    <row r="4857" spans="1:11" ht="54" customHeight="1">
      <c r="A4857" s="9" t="s">
        <v>11320</v>
      </c>
      <c r="B4857" s="9" t="s">
        <v>11321</v>
      </c>
      <c r="C4857" s="9" t="s">
        <v>66</v>
      </c>
      <c r="D4857" s="9" t="s">
        <v>67</v>
      </c>
      <c r="E4857" s="10" t="s">
        <v>571</v>
      </c>
      <c r="F4857" s="9" t="s">
        <v>572</v>
      </c>
      <c r="G4857" s="10" t="s">
        <v>34</v>
      </c>
      <c r="H4857" s="9" t="s">
        <v>22</v>
      </c>
      <c r="I4857" s="9" t="s">
        <v>11322</v>
      </c>
      <c r="J4857" s="10" t="str">
        <f>HYPERLINK("https://www.boe.es/gazeta/dias/1834/09/04/pdfs/GMD-1834-202.pdf#page=1","Abrir facsímil")</f>
        <v>Abrir facsímil</v>
      </c>
      <c r="K4857" s="10" t="s">
        <v>24</v>
      </c>
    </row>
    <row r="4858" spans="1:11" ht="54" customHeight="1">
      <c r="A4858" s="9" t="s">
        <v>11323</v>
      </c>
      <c r="B4858" s="9" t="s">
        <v>11324</v>
      </c>
      <c r="C4858" s="9" t="s">
        <v>17</v>
      </c>
      <c r="D4858" s="9" t="s">
        <v>18</v>
      </c>
      <c r="E4858" s="10" t="s">
        <v>1340</v>
      </c>
      <c r="F4858" s="9" t="s">
        <v>1341</v>
      </c>
      <c r="G4858" s="10" t="s">
        <v>75</v>
      </c>
      <c r="H4858" s="9" t="s">
        <v>22</v>
      </c>
      <c r="I4858" s="9" t="s">
        <v>11325</v>
      </c>
      <c r="J4858" s="10" t="str">
        <f>HYPERLINK("https://www.boe.es/gazeta/dias/1834/10/05/pdfs/GMD-C-1834-233.pdf#page=4","Abrir facsímil")</f>
        <v>Abrir facsímil</v>
      </c>
      <c r="K4858" s="10" t="s">
        <v>24</v>
      </c>
    </row>
    <row r="4859" spans="1:11" ht="54" customHeight="1">
      <c r="A4859" s="9" t="s">
        <v>11326</v>
      </c>
      <c r="B4859" s="9" t="s">
        <v>11327</v>
      </c>
      <c r="C4859" s="9" t="s">
        <v>66</v>
      </c>
      <c r="D4859" s="9" t="s">
        <v>101</v>
      </c>
      <c r="E4859" s="10" t="s">
        <v>32</v>
      </c>
      <c r="F4859" s="9" t="s">
        <v>33</v>
      </c>
      <c r="G4859" s="10" t="s">
        <v>34</v>
      </c>
      <c r="H4859" s="9" t="s">
        <v>22</v>
      </c>
      <c r="I4859" s="9" t="s">
        <v>11328</v>
      </c>
      <c r="J4859" s="10" t="str">
        <f>HYPERLINK("https://www.boe.es/gazeta/dias/1834/04/23/pdfs/GMD-1834-62.pdf#page=1","Abrir facsímil")</f>
        <v>Abrir facsímil</v>
      </c>
      <c r="K4859" s="10" t="s">
        <v>24</v>
      </c>
    </row>
    <row r="4860" spans="1:11" ht="54" customHeight="1">
      <c r="A4860" s="9" t="s">
        <v>11329</v>
      </c>
      <c r="B4860" s="9" t="s">
        <v>11330</v>
      </c>
      <c r="C4860" s="9" t="s">
        <v>17</v>
      </c>
      <c r="D4860" s="9" t="s">
        <v>18</v>
      </c>
      <c r="E4860" s="10" t="s">
        <v>416</v>
      </c>
      <c r="F4860" s="9" t="s">
        <v>417</v>
      </c>
      <c r="G4860" s="10" t="s">
        <v>34</v>
      </c>
      <c r="H4860" s="9" t="s">
        <v>22</v>
      </c>
      <c r="I4860" s="9" t="s">
        <v>11331</v>
      </c>
      <c r="J4860" s="10" t="str">
        <f>HYPERLINK("https://www.boe.es/gazeta/dias/1834/10/02/pdfs/GMD-C-1834-230.pdf#page=1","Abrir facsímil")</f>
        <v>Abrir facsímil</v>
      </c>
      <c r="K4860" s="10" t="s">
        <v>24</v>
      </c>
    </row>
    <row r="4861" spans="1:11" ht="54" customHeight="1">
      <c r="A4861" s="9" t="s">
        <v>11332</v>
      </c>
      <c r="B4861" s="9" t="s">
        <v>11333</v>
      </c>
      <c r="C4861" s="9" t="s">
        <v>46</v>
      </c>
      <c r="D4861" s="9" t="s">
        <v>18</v>
      </c>
      <c r="E4861" s="10" t="s">
        <v>2260</v>
      </c>
      <c r="F4861" s="9" t="s">
        <v>2261</v>
      </c>
      <c r="G4861" s="10" t="s">
        <v>34</v>
      </c>
      <c r="H4861" s="9" t="s">
        <v>35</v>
      </c>
      <c r="I4861" s="9" t="s">
        <v>11334</v>
      </c>
      <c r="J4861" s="10" t="str">
        <f>HYPERLINK("https://www.boe.es/gazeta/dias/1834/11/13/pdfs/GMD-1834-272.pdf#page=1","Abrir facsímil")</f>
        <v>Abrir facsímil</v>
      </c>
      <c r="K4861" s="10" t="s">
        <v>37</v>
      </c>
    </row>
    <row r="4862" spans="1:11" ht="54" customHeight="1">
      <c r="A4862" s="9" t="s">
        <v>11335</v>
      </c>
      <c r="B4862" s="9" t="s">
        <v>11336</v>
      </c>
      <c r="C4862" s="9" t="s">
        <v>46</v>
      </c>
      <c r="D4862" s="9" t="s">
        <v>18</v>
      </c>
      <c r="E4862" s="10" t="s">
        <v>2260</v>
      </c>
      <c r="F4862" s="9" t="s">
        <v>2261</v>
      </c>
      <c r="G4862" s="10" t="s">
        <v>34</v>
      </c>
      <c r="H4862" s="9" t="s">
        <v>22</v>
      </c>
      <c r="I4862" s="9" t="s">
        <v>11337</v>
      </c>
      <c r="J4862" s="10" t="str">
        <f>HYPERLINK("https://www.boe.es/gazeta/dias/1834/11/13/pdfs/GMD-1834-272.pdf#page=1","Abrir facsímil")</f>
        <v>Abrir facsímil</v>
      </c>
      <c r="K4862" s="10" t="s">
        <v>24</v>
      </c>
    </row>
    <row r="4863" spans="1:11" ht="54" customHeight="1">
      <c r="A4863" s="9" t="s">
        <v>11338</v>
      </c>
      <c r="B4863" s="9" t="s">
        <v>11339</v>
      </c>
      <c r="C4863" s="9" t="s">
        <v>17</v>
      </c>
      <c r="D4863" s="9" t="s">
        <v>40</v>
      </c>
      <c r="E4863" s="10" t="s">
        <v>860</v>
      </c>
      <c r="F4863" s="9" t="s">
        <v>861</v>
      </c>
      <c r="G4863" s="10" t="s">
        <v>470</v>
      </c>
      <c r="H4863" s="9" t="s">
        <v>22</v>
      </c>
      <c r="I4863" s="9" t="s">
        <v>11340</v>
      </c>
      <c r="J4863" s="10" t="str">
        <f>HYPERLINK("https://www.boe.es/gazeta/dias/1834/02/08/pdfs/GMD-1834-18.pdf#page=8","Abrir facsímil")</f>
        <v>Abrir facsímil</v>
      </c>
      <c r="K4863" s="10" t="s">
        <v>24</v>
      </c>
    </row>
    <row r="4864" spans="1:11" ht="54" customHeight="1">
      <c r="A4864" s="9" t="s">
        <v>11341</v>
      </c>
      <c r="B4864" s="9" t="s">
        <v>11342</v>
      </c>
      <c r="C4864" s="9" t="s">
        <v>17</v>
      </c>
      <c r="D4864" s="9" t="s">
        <v>18</v>
      </c>
      <c r="E4864" s="10" t="s">
        <v>167</v>
      </c>
      <c r="F4864" s="9" t="s">
        <v>1200</v>
      </c>
      <c r="G4864" s="10" t="s">
        <v>86</v>
      </c>
      <c r="H4864" s="9" t="s">
        <v>35</v>
      </c>
      <c r="I4864" s="9" t="s">
        <v>11343</v>
      </c>
      <c r="J4864" s="10" t="str">
        <f>HYPERLINK("https://www.boe.es/gazeta/dias/1834/09/07/pdfs/GMD-C-1834-205.pdf#page=2","Abrir facsímil")</f>
        <v>Abrir facsímil</v>
      </c>
      <c r="K4864" s="10" t="s">
        <v>37</v>
      </c>
    </row>
    <row r="4865" spans="1:11" ht="54" customHeight="1">
      <c r="A4865" s="9" t="s">
        <v>11344</v>
      </c>
      <c r="B4865" s="9" t="s">
        <v>11345</v>
      </c>
      <c r="C4865" s="9" t="s">
        <v>17</v>
      </c>
      <c r="D4865" s="9" t="s">
        <v>18</v>
      </c>
      <c r="E4865" s="10" t="s">
        <v>167</v>
      </c>
      <c r="F4865" s="9" t="s">
        <v>1200</v>
      </c>
      <c r="G4865" s="10" t="s">
        <v>86</v>
      </c>
      <c r="H4865" s="9" t="s">
        <v>22</v>
      </c>
      <c r="I4865" s="9" t="s">
        <v>11346</v>
      </c>
      <c r="J4865" s="10" t="str">
        <f>HYPERLINK("https://www.boe.es/gazeta/dias/1834/09/07/pdfs/GMD-C-1834-205.pdf#page=2","Abrir facsímil")</f>
        <v>Abrir facsímil</v>
      </c>
      <c r="K4865" s="10" t="s">
        <v>24</v>
      </c>
    </row>
    <row r="4866" spans="1:11" ht="54" customHeight="1">
      <c r="A4866" s="9" t="s">
        <v>11347</v>
      </c>
      <c r="B4866" s="9" t="s">
        <v>11348</v>
      </c>
      <c r="C4866" s="9" t="s">
        <v>90</v>
      </c>
      <c r="D4866" s="9" t="s">
        <v>18</v>
      </c>
      <c r="E4866" s="10" t="s">
        <v>905</v>
      </c>
      <c r="F4866" s="9" t="s">
        <v>906</v>
      </c>
      <c r="G4866" s="10" t="s">
        <v>34</v>
      </c>
      <c r="H4866" s="9" t="s">
        <v>35</v>
      </c>
      <c r="I4866" s="9" t="s">
        <v>11349</v>
      </c>
      <c r="J4866" s="10" t="str">
        <f>HYPERLINK("https://www.boe.es/gazeta/dias/1834/08/02/pdfs/GMD-C-1834-166.pdf#page=1","Abrir facsímil")</f>
        <v>Abrir facsímil</v>
      </c>
      <c r="K4866" s="10" t="s">
        <v>37</v>
      </c>
    </row>
    <row r="4867" spans="1:11" ht="54" customHeight="1">
      <c r="A4867" s="9" t="s">
        <v>11350</v>
      </c>
      <c r="B4867" s="9" t="s">
        <v>11351</v>
      </c>
      <c r="C4867" s="9" t="s">
        <v>17</v>
      </c>
      <c r="D4867" s="9" t="s">
        <v>18</v>
      </c>
      <c r="E4867" s="10" t="s">
        <v>222</v>
      </c>
      <c r="F4867" s="9" t="s">
        <v>223</v>
      </c>
      <c r="G4867" s="10" t="s">
        <v>75</v>
      </c>
      <c r="H4867" s="9" t="s">
        <v>35</v>
      </c>
      <c r="I4867" s="9" t="s">
        <v>11352</v>
      </c>
      <c r="J4867" s="10" t="str">
        <f>HYPERLINK("https://www.boe.es/gazeta/dias/1834/09/14/pdfs/GMD-1834-212.pdf#page=4","Abrir facsímil")</f>
        <v>Abrir facsímil</v>
      </c>
      <c r="K4867" s="10" t="s">
        <v>37</v>
      </c>
    </row>
    <row r="4868" spans="1:11" ht="54" customHeight="1">
      <c r="A4868" s="9" t="s">
        <v>11353</v>
      </c>
      <c r="B4868" s="9" t="s">
        <v>11354</v>
      </c>
      <c r="C4868" s="9" t="s">
        <v>17</v>
      </c>
      <c r="D4868" s="9" t="s">
        <v>18</v>
      </c>
      <c r="E4868" s="10" t="s">
        <v>222</v>
      </c>
      <c r="F4868" s="9" t="s">
        <v>223</v>
      </c>
      <c r="G4868" s="10" t="s">
        <v>75</v>
      </c>
      <c r="H4868" s="9" t="s">
        <v>35</v>
      </c>
      <c r="I4868" s="9" t="s">
        <v>11355</v>
      </c>
      <c r="J4868" s="10" t="str">
        <f>HYPERLINK("https://www.boe.es/gazeta/dias/1834/09/14/pdfs/GMD-1834-212.pdf#page=4","Abrir facsímil")</f>
        <v>Abrir facsímil</v>
      </c>
      <c r="K4868" s="10" t="s">
        <v>37</v>
      </c>
    </row>
    <row r="4869" spans="1:11" ht="54" customHeight="1">
      <c r="A4869" s="9" t="s">
        <v>11356</v>
      </c>
      <c r="B4869" s="9" t="s">
        <v>11357</v>
      </c>
      <c r="C4869" s="9" t="s">
        <v>17</v>
      </c>
      <c r="D4869" s="9" t="s">
        <v>101</v>
      </c>
      <c r="E4869" s="10" t="s">
        <v>355</v>
      </c>
      <c r="F4869" s="9" t="s">
        <v>356</v>
      </c>
      <c r="G4869" s="10" t="s">
        <v>86</v>
      </c>
      <c r="H4869" s="9" t="s">
        <v>22</v>
      </c>
      <c r="I4869" s="9" t="s">
        <v>11358</v>
      </c>
      <c r="J4869" s="10" t="str">
        <f>HYPERLINK("https://www.boe.es/gazeta/dias/1834/07/04/pdfs/I00597-00598.pdf#page=2","Abrir facsímil")</f>
        <v>Abrir facsímil</v>
      </c>
      <c r="K4869" s="10" t="s">
        <v>24</v>
      </c>
    </row>
    <row r="4870" spans="1:11" ht="54" customHeight="1">
      <c r="A4870" s="9" t="s">
        <v>11356</v>
      </c>
      <c r="B4870" s="9" t="s">
        <v>11357</v>
      </c>
      <c r="C4870" s="9" t="s">
        <v>17</v>
      </c>
      <c r="D4870" s="9" t="s">
        <v>101</v>
      </c>
      <c r="E4870" s="10" t="s">
        <v>355</v>
      </c>
      <c r="F4870" s="9" t="s">
        <v>356</v>
      </c>
      <c r="G4870" s="10" t="s">
        <v>75</v>
      </c>
      <c r="H4870" s="9" t="s">
        <v>22</v>
      </c>
      <c r="I4870" s="9" t="s">
        <v>11358</v>
      </c>
      <c r="J4870" s="10" t="str">
        <f>HYPERLINK("https://www.boe.es/gazeta/dias/1834/07/04/pdfs/GMD-1834-137.pdf#page=4","Abrir facsímil")</f>
        <v>Abrir facsímil</v>
      </c>
      <c r="K4870" s="10" t="s">
        <v>24</v>
      </c>
    </row>
    <row r="4871" spans="1:11" ht="54" customHeight="1">
      <c r="A4871" s="9" t="s">
        <v>11359</v>
      </c>
      <c r="B4871" s="9" t="s">
        <v>11360</v>
      </c>
      <c r="C4871" s="9" t="s">
        <v>17</v>
      </c>
      <c r="D4871" s="9" t="s">
        <v>18</v>
      </c>
      <c r="E4871" s="10" t="s">
        <v>378</v>
      </c>
      <c r="F4871" s="9" t="s">
        <v>379</v>
      </c>
      <c r="G4871" s="10" t="s">
        <v>75</v>
      </c>
      <c r="H4871" s="9" t="s">
        <v>22</v>
      </c>
      <c r="I4871" s="9" t="s">
        <v>11361</v>
      </c>
      <c r="J4871" s="10" t="str">
        <f>HYPERLINK("https://www.boe.es/gazeta/dias/1834/09/24/pdfs/GMD-1834-222.pdf#page=4","Abrir facsímil")</f>
        <v>Abrir facsímil</v>
      </c>
      <c r="K4871" s="10" t="s">
        <v>24</v>
      </c>
    </row>
    <row r="4872" spans="1:11" ht="54" customHeight="1">
      <c r="A4872" s="9" t="s">
        <v>11362</v>
      </c>
      <c r="B4872" s="9" t="s">
        <v>11363</v>
      </c>
      <c r="C4872" s="9" t="s">
        <v>46</v>
      </c>
      <c r="D4872" s="9" t="s">
        <v>101</v>
      </c>
      <c r="E4872" s="10" t="s">
        <v>348</v>
      </c>
      <c r="F4872" s="9" t="s">
        <v>501</v>
      </c>
      <c r="G4872" s="10" t="s">
        <v>86</v>
      </c>
      <c r="H4872" s="9" t="s">
        <v>22</v>
      </c>
      <c r="I4872" s="9" t="s">
        <v>11364</v>
      </c>
      <c r="J4872" s="10" t="str">
        <f>HYPERLINK("https://www.boe.es/gazeta/dias/1834/06/12/pdfs/GMD-1834-115.pdf#page=2","Abrir facsímil")</f>
        <v>Abrir facsímil</v>
      </c>
      <c r="K4872" s="10" t="s">
        <v>24</v>
      </c>
    </row>
    <row r="4873" spans="1:11" ht="54" customHeight="1">
      <c r="A4873" s="9" t="s">
        <v>11365</v>
      </c>
      <c r="B4873" s="9" t="s">
        <v>11366</v>
      </c>
      <c r="C4873" s="9" t="s">
        <v>17</v>
      </c>
      <c r="D4873" s="9" t="s">
        <v>18</v>
      </c>
      <c r="E4873" s="10" t="s">
        <v>1226</v>
      </c>
      <c r="F4873" s="9" t="s">
        <v>1227</v>
      </c>
      <c r="G4873" s="10" t="s">
        <v>21</v>
      </c>
      <c r="H4873" s="9" t="s">
        <v>22</v>
      </c>
      <c r="I4873" s="9" t="s">
        <v>11367</v>
      </c>
      <c r="J4873" s="10" t="str">
        <f>HYPERLINK("https://www.boe.es/gazeta/dias/1834/07/14/pdfs/GMD-1834-147.pdf#page=3","Abrir facsímil")</f>
        <v>Abrir facsímil</v>
      </c>
      <c r="K4873" s="10" t="s">
        <v>24</v>
      </c>
    </row>
    <row r="4874" spans="1:11" ht="54" customHeight="1">
      <c r="A4874" s="9" t="s">
        <v>11368</v>
      </c>
      <c r="B4874" s="9" t="s">
        <v>11369</v>
      </c>
      <c r="C4874" s="9" t="s">
        <v>17</v>
      </c>
      <c r="D4874" s="9" t="s">
        <v>18</v>
      </c>
      <c r="E4874" s="10" t="s">
        <v>1226</v>
      </c>
      <c r="F4874" s="9" t="s">
        <v>1227</v>
      </c>
      <c r="G4874" s="10" t="s">
        <v>21</v>
      </c>
      <c r="H4874" s="9" t="s">
        <v>35</v>
      </c>
      <c r="I4874" s="9" t="s">
        <v>11370</v>
      </c>
      <c r="J4874" s="10" t="str">
        <f>HYPERLINK("https://www.boe.es/gazeta/dias/1834/07/14/pdfs/GMD-1834-147.pdf#page=3","Abrir facsímil")</f>
        <v>Abrir facsímil</v>
      </c>
      <c r="K4874" s="10" t="s">
        <v>37</v>
      </c>
    </row>
    <row r="4875" spans="1:11" ht="54" customHeight="1">
      <c r="A4875" s="9" t="s">
        <v>11371</v>
      </c>
      <c r="B4875" s="9" t="s">
        <v>11372</v>
      </c>
      <c r="C4875" s="9" t="s">
        <v>17</v>
      </c>
      <c r="D4875" s="9" t="s">
        <v>55</v>
      </c>
      <c r="E4875" s="10" t="s">
        <v>408</v>
      </c>
      <c r="F4875" s="9" t="s">
        <v>409</v>
      </c>
      <c r="G4875" s="10" t="s">
        <v>86</v>
      </c>
      <c r="H4875" s="9" t="s">
        <v>35</v>
      </c>
      <c r="I4875" s="9" t="s">
        <v>11373</v>
      </c>
      <c r="J4875" s="10" t="str">
        <f>HYPERLINK("https://www.boe.es/gazeta/dias/1834/04/28/pdfs/GMD-1834-67.pdf#page=2","Abrir facsímil")</f>
        <v>Abrir facsímil</v>
      </c>
      <c r="K4875" s="10" t="s">
        <v>37</v>
      </c>
    </row>
    <row r="4876" spans="1:11" ht="54" customHeight="1">
      <c r="A4876" s="9" t="s">
        <v>11374</v>
      </c>
      <c r="B4876" s="9" t="s">
        <v>11375</v>
      </c>
      <c r="C4876" s="9" t="s">
        <v>17</v>
      </c>
      <c r="D4876" s="9" t="s">
        <v>18</v>
      </c>
      <c r="E4876" s="10" t="s">
        <v>679</v>
      </c>
      <c r="F4876" s="9" t="s">
        <v>699</v>
      </c>
      <c r="G4876" s="10" t="s">
        <v>34</v>
      </c>
      <c r="H4876" s="9" t="s">
        <v>35</v>
      </c>
      <c r="I4876" s="9" t="s">
        <v>11376</v>
      </c>
      <c r="J4876" s="10" t="str">
        <f>HYPERLINK("https://www.boe.es/gazeta/dias/1834/12/10/pdfs/GMD-C-1834-299.pdf#page=1","Abrir facsímil")</f>
        <v>Abrir facsímil</v>
      </c>
      <c r="K4876" s="10" t="s">
        <v>37</v>
      </c>
    </row>
    <row r="4877" spans="1:11" ht="54" customHeight="1">
      <c r="A4877" s="9" t="s">
        <v>11377</v>
      </c>
      <c r="B4877" s="9" t="s">
        <v>11378</v>
      </c>
      <c r="C4877" s="9" t="s">
        <v>17</v>
      </c>
      <c r="D4877" s="9" t="s">
        <v>18</v>
      </c>
      <c r="E4877" s="10" t="s">
        <v>679</v>
      </c>
      <c r="F4877" s="9" t="s">
        <v>699</v>
      </c>
      <c r="G4877" s="10" t="s">
        <v>34</v>
      </c>
      <c r="H4877" s="9" t="s">
        <v>35</v>
      </c>
      <c r="I4877" s="9" t="s">
        <v>11379</v>
      </c>
      <c r="J4877" s="10" t="str">
        <f>HYPERLINK("https://www.boe.es/gazeta/dias/1834/12/10/pdfs/GMD-C-1834-299.pdf#page=1","Abrir facsímil")</f>
        <v>Abrir facsímil</v>
      </c>
      <c r="K4877" s="10" t="s">
        <v>37</v>
      </c>
    </row>
    <row r="4878" spans="1:11" ht="54" customHeight="1">
      <c r="A4878" s="9" t="s">
        <v>11380</v>
      </c>
      <c r="B4878" s="9" t="s">
        <v>11381</v>
      </c>
      <c r="C4878" s="9" t="s">
        <v>17</v>
      </c>
      <c r="D4878" s="9" t="s">
        <v>18</v>
      </c>
      <c r="E4878" s="10" t="s">
        <v>32</v>
      </c>
      <c r="F4878" s="9" t="s">
        <v>33</v>
      </c>
      <c r="G4878" s="10" t="s">
        <v>34</v>
      </c>
      <c r="H4878" s="9" t="s">
        <v>35</v>
      </c>
      <c r="I4878" s="9" t="s">
        <v>11382</v>
      </c>
      <c r="J4878" s="10" t="str">
        <f>HYPERLINK("https://www.boe.es/gazeta/dias/1834/04/23/pdfs/GMD-1834-62.pdf#page=1","Abrir facsímil")</f>
        <v>Abrir facsímil</v>
      </c>
      <c r="K4878" s="10" t="s">
        <v>37</v>
      </c>
    </row>
    <row r="4879" spans="1:11" ht="54" customHeight="1">
      <c r="A4879" s="9" t="s">
        <v>11383</v>
      </c>
      <c r="B4879" s="9" t="s">
        <v>11384</v>
      </c>
      <c r="C4879" s="9" t="s">
        <v>17</v>
      </c>
      <c r="D4879" s="9" t="s">
        <v>18</v>
      </c>
      <c r="E4879" s="10" t="s">
        <v>563</v>
      </c>
      <c r="F4879" s="9" t="s">
        <v>564</v>
      </c>
      <c r="G4879" s="10" t="s">
        <v>34</v>
      </c>
      <c r="H4879" s="9" t="s">
        <v>35</v>
      </c>
      <c r="I4879" s="9" t="s">
        <v>11385</v>
      </c>
      <c r="J4879" s="10" t="str">
        <f>HYPERLINK("https://www.boe.es/gazeta/dias/1834/04/19/pdfs/GMD-1834-58.pdf#page=1","Abrir facsímil")</f>
        <v>Abrir facsímil</v>
      </c>
      <c r="K4879" s="10" t="s">
        <v>37</v>
      </c>
    </row>
    <row r="4880" spans="1:11" ht="54" customHeight="1">
      <c r="A4880" s="9" t="s">
        <v>11386</v>
      </c>
      <c r="B4880" s="9" t="s">
        <v>11387</v>
      </c>
      <c r="C4880" s="9" t="s">
        <v>17</v>
      </c>
      <c r="D4880" s="9" t="s">
        <v>18</v>
      </c>
      <c r="E4880" s="10" t="s">
        <v>1170</v>
      </c>
      <c r="F4880" s="9" t="s">
        <v>1171</v>
      </c>
      <c r="G4880" s="10" t="s">
        <v>21</v>
      </c>
      <c r="H4880" s="9" t="s">
        <v>35</v>
      </c>
      <c r="I4880" s="9" t="s">
        <v>11388</v>
      </c>
      <c r="J4880" s="10" t="str">
        <f>HYPERLINK("https://www.boe.es/gazeta/dias/1834/01/07/pdfs/GMD-1834-4.pdf#page=3","Abrir facsímil")</f>
        <v>Abrir facsímil</v>
      </c>
      <c r="K4880" s="10" t="s">
        <v>37</v>
      </c>
    </row>
    <row r="4881" spans="1:11" ht="54" customHeight="1">
      <c r="A4881" s="9" t="s">
        <v>11389</v>
      </c>
      <c r="B4881" s="9" t="s">
        <v>11390</v>
      </c>
      <c r="C4881" s="9" t="s">
        <v>17</v>
      </c>
      <c r="D4881" s="9" t="s">
        <v>18</v>
      </c>
      <c r="E4881" s="10" t="s">
        <v>426</v>
      </c>
      <c r="F4881" s="9" t="s">
        <v>694</v>
      </c>
      <c r="G4881" s="10" t="s">
        <v>34</v>
      </c>
      <c r="H4881" s="9" t="s">
        <v>22</v>
      </c>
      <c r="I4881" s="9" t="s">
        <v>11391</v>
      </c>
      <c r="J4881" s="10" t="str">
        <f>HYPERLINK("https://www.boe.es/gazeta/dias/1834/10/04/pdfs/GMD-C-1834-232.pdf#page=1","Abrir facsímil")</f>
        <v>Abrir facsímil</v>
      </c>
      <c r="K4881" s="10" t="s">
        <v>24</v>
      </c>
    </row>
    <row r="4882" spans="1:11" ht="54" customHeight="1">
      <c r="A4882" s="9" t="s">
        <v>11392</v>
      </c>
      <c r="B4882" s="9" t="s">
        <v>11393</v>
      </c>
      <c r="C4882" s="9" t="s">
        <v>122</v>
      </c>
      <c r="D4882" s="9" t="s">
        <v>101</v>
      </c>
      <c r="E4882" s="10" t="s">
        <v>247</v>
      </c>
      <c r="F4882" s="9" t="s">
        <v>248</v>
      </c>
      <c r="G4882" s="10" t="s">
        <v>34</v>
      </c>
      <c r="H4882" s="9" t="s">
        <v>35</v>
      </c>
      <c r="I4882" s="9" t="s">
        <v>11394</v>
      </c>
      <c r="J4882" s="10" t="str">
        <f>HYPERLINK("https://www.boe.es/gazeta/dias/1834/08/23/pdfs/GMD-C-1834-189.pdf#page=1","Abrir facsímil")</f>
        <v>Abrir facsímil</v>
      </c>
      <c r="K4882" s="10" t="s">
        <v>37</v>
      </c>
    </row>
    <row r="4883" spans="1:11" ht="54" customHeight="1">
      <c r="A4883" s="9" t="s">
        <v>11395</v>
      </c>
      <c r="B4883" s="9" t="s">
        <v>11396</v>
      </c>
      <c r="C4883" s="9" t="s">
        <v>122</v>
      </c>
      <c r="D4883" s="9" t="s">
        <v>101</v>
      </c>
      <c r="E4883" s="10" t="s">
        <v>247</v>
      </c>
      <c r="F4883" s="9" t="s">
        <v>248</v>
      </c>
      <c r="G4883" s="10" t="s">
        <v>34</v>
      </c>
      <c r="H4883" s="9" t="s">
        <v>22</v>
      </c>
      <c r="I4883" s="9" t="s">
        <v>11397</v>
      </c>
      <c r="J4883" s="10" t="str">
        <f>HYPERLINK("https://www.boe.es/gazeta/dias/1834/08/23/pdfs/GMD-C-1834-189.pdf#page=1","Abrir facsímil")</f>
        <v>Abrir facsímil</v>
      </c>
      <c r="K4883" s="10" t="s">
        <v>24</v>
      </c>
    </row>
    <row r="4884" spans="1:11" ht="54" customHeight="1">
      <c r="A4884" s="9" t="s">
        <v>11398</v>
      </c>
      <c r="B4884" s="9" t="s">
        <v>11399</v>
      </c>
      <c r="C4884" s="9" t="s">
        <v>17</v>
      </c>
      <c r="D4884" s="9" t="s">
        <v>18</v>
      </c>
      <c r="E4884" s="10" t="s">
        <v>47</v>
      </c>
      <c r="F4884" s="9" t="s">
        <v>1466</v>
      </c>
      <c r="G4884" s="10" t="s">
        <v>75</v>
      </c>
      <c r="H4884" s="9" t="s">
        <v>22</v>
      </c>
      <c r="I4884" s="9" t="s">
        <v>11400</v>
      </c>
      <c r="J4884" s="10" t="str">
        <f>HYPERLINK("https://www.boe.es/gazeta/dias/1834/09/05/pdfs/GMD-1834-203.pdf#page=4","Abrir facsímil")</f>
        <v>Abrir facsímil</v>
      </c>
      <c r="K4884" s="10" t="s">
        <v>24</v>
      </c>
    </row>
    <row r="4885" spans="1:11" ht="54" customHeight="1">
      <c r="A4885" s="9" t="s">
        <v>11401</v>
      </c>
      <c r="B4885" s="9" t="s">
        <v>11402</v>
      </c>
      <c r="C4885" s="9" t="s">
        <v>90</v>
      </c>
      <c r="D4885" s="9" t="s">
        <v>18</v>
      </c>
      <c r="E4885" s="10" t="s">
        <v>637</v>
      </c>
      <c r="F4885" s="9" t="s">
        <v>638</v>
      </c>
      <c r="G4885" s="10" t="s">
        <v>34</v>
      </c>
      <c r="H4885" s="9" t="s">
        <v>22</v>
      </c>
      <c r="I4885" s="9" t="s">
        <v>11403</v>
      </c>
      <c r="J4885" s="10" t="str">
        <f>HYPERLINK("https://www.boe.es/gazeta/dias/1834/06/03/pdfs/I00469-00470.pdf#page=1","Abrir facsímil")</f>
        <v>Abrir facsímil</v>
      </c>
      <c r="K4885" s="10" t="s">
        <v>24</v>
      </c>
    </row>
    <row r="4886" spans="1:11" ht="54" customHeight="1">
      <c r="A4886" s="9" t="s">
        <v>11401</v>
      </c>
      <c r="B4886" s="9" t="s">
        <v>11402</v>
      </c>
      <c r="C4886" s="9" t="s">
        <v>90</v>
      </c>
      <c r="D4886" s="9" t="s">
        <v>18</v>
      </c>
      <c r="E4886" s="10" t="s">
        <v>637</v>
      </c>
      <c r="F4886" s="9" t="s">
        <v>638</v>
      </c>
      <c r="G4886" s="10" t="s">
        <v>21</v>
      </c>
      <c r="H4886" s="9" t="s">
        <v>22</v>
      </c>
      <c r="I4886" s="9" t="s">
        <v>11404</v>
      </c>
      <c r="J4886" s="10" t="str">
        <f>HYPERLINK("https://www.boe.es/gazeta/dias/1834/06/03/pdfs/GMD-1834-105.pdf#page=3","Abrir facsímil")</f>
        <v>Abrir facsímil</v>
      </c>
      <c r="K4886" s="10" t="s">
        <v>24</v>
      </c>
    </row>
    <row r="4887" spans="1:11" ht="54" customHeight="1">
      <c r="A4887" s="9" t="s">
        <v>11405</v>
      </c>
      <c r="B4887" s="9" t="s">
        <v>11406</v>
      </c>
      <c r="C4887" s="9" t="s">
        <v>122</v>
      </c>
      <c r="D4887" s="9" t="s">
        <v>18</v>
      </c>
      <c r="E4887" s="10" t="s">
        <v>860</v>
      </c>
      <c r="F4887" s="9" t="s">
        <v>861</v>
      </c>
      <c r="G4887" s="10" t="s">
        <v>75</v>
      </c>
      <c r="H4887" s="9" t="s">
        <v>22</v>
      </c>
      <c r="I4887" s="9" t="s">
        <v>11407</v>
      </c>
      <c r="J4887" s="10" t="str">
        <f>HYPERLINK("https://www.boe.es/gazeta/dias/1834/02/08/pdfs/GMD-1834-18.pdf#page=4","Abrir facsímil")</f>
        <v>Abrir facsímil</v>
      </c>
      <c r="K4887" s="10" t="s">
        <v>24</v>
      </c>
    </row>
    <row r="4888" spans="1:11" ht="54" customHeight="1">
      <c r="A4888" s="9" t="s">
        <v>11408</v>
      </c>
      <c r="B4888" s="9" t="s">
        <v>11409</v>
      </c>
      <c r="C4888" s="9" t="s">
        <v>17</v>
      </c>
      <c r="D4888" s="9" t="s">
        <v>18</v>
      </c>
      <c r="E4888" s="10" t="s">
        <v>251</v>
      </c>
      <c r="F4888" s="9" t="s">
        <v>1278</v>
      </c>
      <c r="G4888" s="10" t="s">
        <v>75</v>
      </c>
      <c r="H4888" s="9" t="s">
        <v>22</v>
      </c>
      <c r="I4888" s="9" t="s">
        <v>11410</v>
      </c>
      <c r="J4888" s="10" t="str">
        <f>HYPERLINK("https://www.boe.es/gazeta/dias/1834/09/26/pdfs/GMD-1834-224.pdf#page=4","Abrir facsímil")</f>
        <v>Abrir facsímil</v>
      </c>
      <c r="K4888" s="10" t="s">
        <v>24</v>
      </c>
    </row>
    <row r="4889" spans="1:11" ht="54" customHeight="1">
      <c r="A4889" s="9" t="s">
        <v>11411</v>
      </c>
      <c r="B4889" s="9" t="s">
        <v>11412</v>
      </c>
      <c r="C4889" s="9" t="s">
        <v>17</v>
      </c>
      <c r="D4889" s="9" t="s">
        <v>18</v>
      </c>
      <c r="E4889" s="10" t="s">
        <v>468</v>
      </c>
      <c r="F4889" s="9" t="s">
        <v>11413</v>
      </c>
      <c r="G4889" s="10" t="s">
        <v>21</v>
      </c>
      <c r="H4889" s="9" t="s">
        <v>22</v>
      </c>
      <c r="I4889" s="9" t="s">
        <v>11414</v>
      </c>
      <c r="J4889" s="10" t="str">
        <f>HYPERLINK("https://www.boe.es/gazeta/dias/1834/12/28/pdfs/GMD-1834-318.pdf#page=3","Abrir facsímil")</f>
        <v>Abrir facsímil</v>
      </c>
      <c r="K4889" s="10" t="s">
        <v>24</v>
      </c>
    </row>
    <row r="4890" spans="1:11" ht="54" customHeight="1">
      <c r="A4890" s="9" t="s">
        <v>11415</v>
      </c>
      <c r="B4890" s="9" t="s">
        <v>11416</v>
      </c>
      <c r="C4890" s="9" t="s">
        <v>17</v>
      </c>
      <c r="D4890" s="9" t="s">
        <v>18</v>
      </c>
      <c r="E4890" s="10" t="s">
        <v>2107</v>
      </c>
      <c r="F4890" s="9" t="s">
        <v>2108</v>
      </c>
      <c r="G4890" s="10" t="s">
        <v>75</v>
      </c>
      <c r="H4890" s="9" t="s">
        <v>22</v>
      </c>
      <c r="I4890" s="9" t="s">
        <v>11417</v>
      </c>
      <c r="J4890" s="10" t="str">
        <f>HYPERLINK("https://www.boe.es/gazeta/dias/1834/08/24/pdfs/GMD-1834-190.pdf#page=4","Abrir facsímil")</f>
        <v>Abrir facsímil</v>
      </c>
      <c r="K4890" s="10" t="s">
        <v>24</v>
      </c>
    </row>
    <row r="4891" spans="1:11" ht="54" customHeight="1">
      <c r="A4891" s="9" t="s">
        <v>11418</v>
      </c>
      <c r="B4891" s="9" t="s">
        <v>11419</v>
      </c>
      <c r="C4891" s="9" t="s">
        <v>17</v>
      </c>
      <c r="D4891" s="9" t="s">
        <v>18</v>
      </c>
      <c r="E4891" s="10" t="s">
        <v>1850</v>
      </c>
      <c r="F4891" s="9" t="s">
        <v>1851</v>
      </c>
      <c r="G4891" s="10" t="s">
        <v>176</v>
      </c>
      <c r="H4891" s="9" t="s">
        <v>35</v>
      </c>
      <c r="I4891" s="9" t="s">
        <v>11420</v>
      </c>
      <c r="J4891" s="10" t="str">
        <f>HYPERLINK("https://www.boe.es/gazeta/dias/1834/02/18/pdfs/GMD-1834-22.pdf#page=6","Abrir facsímil")</f>
        <v>Abrir facsímil</v>
      </c>
      <c r="K4891" s="10" t="s">
        <v>37</v>
      </c>
    </row>
    <row r="4892" spans="1:11" ht="54" customHeight="1">
      <c r="A4892" s="9" t="s">
        <v>11421</v>
      </c>
      <c r="B4892" s="9" t="s">
        <v>11422</v>
      </c>
      <c r="C4892" s="9" t="s">
        <v>17</v>
      </c>
      <c r="D4892" s="9" t="s">
        <v>18</v>
      </c>
      <c r="E4892" s="10" t="s">
        <v>1850</v>
      </c>
      <c r="F4892" s="9" t="s">
        <v>1851</v>
      </c>
      <c r="G4892" s="10" t="s">
        <v>176</v>
      </c>
      <c r="H4892" s="9" t="s">
        <v>22</v>
      </c>
      <c r="I4892" s="9" t="s">
        <v>11423</v>
      </c>
      <c r="J4892" s="10" t="str">
        <f>HYPERLINK("https://www.boe.es/gazeta/dias/1834/02/18/pdfs/GMD-1834-22.pdf#page=6","Abrir facsímil")</f>
        <v>Abrir facsímil</v>
      </c>
      <c r="K4892" s="10" t="s">
        <v>24</v>
      </c>
    </row>
    <row r="4893" spans="1:11" ht="54" customHeight="1">
      <c r="A4893" s="9" t="s">
        <v>11424</v>
      </c>
      <c r="B4893" s="9" t="s">
        <v>11425</v>
      </c>
      <c r="C4893" s="9" t="s">
        <v>46</v>
      </c>
      <c r="D4893" s="9" t="s">
        <v>55</v>
      </c>
      <c r="E4893" s="10" t="s">
        <v>251</v>
      </c>
      <c r="F4893" s="9" t="s">
        <v>1278</v>
      </c>
      <c r="G4893" s="10" t="s">
        <v>86</v>
      </c>
      <c r="H4893" s="9" t="s">
        <v>22</v>
      </c>
      <c r="I4893" s="9" t="s">
        <v>11426</v>
      </c>
      <c r="J4893" s="10" t="str">
        <f>HYPERLINK("https://www.boe.es/gazeta/dias/1834/09/26/pdfs/GMD-1834-224.pdf#page=2","Abrir facsímil")</f>
        <v>Abrir facsímil</v>
      </c>
      <c r="K4893" s="10" t="s">
        <v>24</v>
      </c>
    </row>
    <row r="4894" spans="1:11" ht="54" customHeight="1">
      <c r="A4894" s="9" t="s">
        <v>11427</v>
      </c>
      <c r="B4894" s="9" t="s">
        <v>11428</v>
      </c>
      <c r="C4894" s="9" t="s">
        <v>17</v>
      </c>
      <c r="D4894" s="9" t="s">
        <v>18</v>
      </c>
      <c r="E4894" s="10" t="s">
        <v>849</v>
      </c>
      <c r="F4894" s="9" t="s">
        <v>850</v>
      </c>
      <c r="G4894" s="10" t="s">
        <v>75</v>
      </c>
      <c r="H4894" s="9" t="s">
        <v>22</v>
      </c>
      <c r="I4894" s="9" t="s">
        <v>11429</v>
      </c>
      <c r="J4894" s="10" t="str">
        <f>HYPERLINK("https://www.boe.es/gazeta/dias/1834/06/21/pdfs/GMD-1834-124.pdf#page=4","Abrir facsímil")</f>
        <v>Abrir facsímil</v>
      </c>
      <c r="K4894" s="10" t="s">
        <v>24</v>
      </c>
    </row>
    <row r="4895" spans="1:11" ht="54" customHeight="1">
      <c r="A4895" s="9" t="s">
        <v>11430</v>
      </c>
      <c r="B4895" s="9" t="s">
        <v>11431</v>
      </c>
      <c r="C4895" s="9" t="s">
        <v>17</v>
      </c>
      <c r="D4895" s="9" t="s">
        <v>40</v>
      </c>
      <c r="E4895" s="10" t="s">
        <v>286</v>
      </c>
      <c r="F4895" s="9" t="s">
        <v>548</v>
      </c>
      <c r="G4895" s="10" t="s">
        <v>75</v>
      </c>
      <c r="H4895" s="9" t="s">
        <v>22</v>
      </c>
      <c r="I4895" s="9" t="s">
        <v>11432</v>
      </c>
      <c r="J4895" s="10" t="str">
        <f>HYPERLINK("https://www.boe.es/gazeta/dias/1834/08/30/pdfs/GMD-1834-196.pdf#page=4","Abrir facsímil")</f>
        <v>Abrir facsímil</v>
      </c>
      <c r="K4895" s="10" t="s">
        <v>24</v>
      </c>
    </row>
    <row r="4896" spans="1:11" ht="54" customHeight="1">
      <c r="A4896" s="9" t="s">
        <v>11433</v>
      </c>
      <c r="B4896" s="9" t="s">
        <v>11434</v>
      </c>
      <c r="C4896" s="9" t="s">
        <v>17</v>
      </c>
      <c r="D4896" s="9" t="s">
        <v>18</v>
      </c>
      <c r="E4896" s="10" t="s">
        <v>158</v>
      </c>
      <c r="F4896" s="9" t="s">
        <v>581</v>
      </c>
      <c r="G4896" s="10" t="s">
        <v>176</v>
      </c>
      <c r="H4896" s="9" t="s">
        <v>22</v>
      </c>
      <c r="I4896" s="9" t="s">
        <v>11435</v>
      </c>
      <c r="J4896" s="10" t="str">
        <f>HYPERLINK("https://www.boe.es/gazeta/dias/1834/10/01/pdfs/GMD-C-1834-229.pdf#page=6","Abrir facsímil")</f>
        <v>Abrir facsímil</v>
      </c>
      <c r="K4896" s="10" t="s">
        <v>24</v>
      </c>
    </row>
    <row r="4897" spans="1:11" ht="54" customHeight="1">
      <c r="A4897" s="9" t="s">
        <v>11433</v>
      </c>
      <c r="B4897" s="9" t="s">
        <v>11434</v>
      </c>
      <c r="C4897" s="9" t="s">
        <v>17</v>
      </c>
      <c r="D4897" s="9" t="s">
        <v>18</v>
      </c>
      <c r="E4897" s="10" t="s">
        <v>777</v>
      </c>
      <c r="F4897" s="9" t="s">
        <v>2535</v>
      </c>
      <c r="G4897" s="10" t="s">
        <v>75</v>
      </c>
      <c r="H4897" s="9" t="s">
        <v>22</v>
      </c>
      <c r="I4897" s="9" t="s">
        <v>11436</v>
      </c>
      <c r="J4897" s="10" t="str">
        <f>HYPERLINK("https://www.boe.es/gazeta/dias/1834/10/29/pdfs/GMD-C-1834-257.pdf#page=4","Abrir facsímil")</f>
        <v>Abrir facsímil</v>
      </c>
      <c r="K4897" s="10" t="s">
        <v>24</v>
      </c>
    </row>
    <row r="4898" spans="1:11" ht="54" customHeight="1">
      <c r="A4898" s="9" t="s">
        <v>11437</v>
      </c>
      <c r="B4898" s="9" t="s">
        <v>11438</v>
      </c>
      <c r="C4898" s="9" t="s">
        <v>17</v>
      </c>
      <c r="D4898" s="9" t="s">
        <v>18</v>
      </c>
      <c r="E4898" s="10" t="s">
        <v>2260</v>
      </c>
      <c r="F4898" s="9" t="s">
        <v>2261</v>
      </c>
      <c r="G4898" s="10" t="s">
        <v>86</v>
      </c>
      <c r="H4898" s="9" t="s">
        <v>22</v>
      </c>
      <c r="I4898" s="9" t="s">
        <v>11439</v>
      </c>
      <c r="J4898" s="10" t="str">
        <f>HYPERLINK("https://www.boe.es/gazeta/dias/1834/11/13/pdfs/GMD-1834-272.pdf#page=2","Abrir facsímil")</f>
        <v>Abrir facsímil</v>
      </c>
      <c r="K4898" s="10" t="s">
        <v>24</v>
      </c>
    </row>
    <row r="4899" spans="1:11" ht="54" customHeight="1">
      <c r="A4899" s="9" t="s">
        <v>11440</v>
      </c>
      <c r="B4899" s="9" t="s">
        <v>11441</v>
      </c>
      <c r="C4899" s="9" t="s">
        <v>17</v>
      </c>
      <c r="D4899" s="9" t="s">
        <v>55</v>
      </c>
      <c r="E4899" s="10" t="s">
        <v>571</v>
      </c>
      <c r="F4899" s="9" t="s">
        <v>572</v>
      </c>
      <c r="G4899" s="10" t="s">
        <v>86</v>
      </c>
      <c r="H4899" s="9" t="s">
        <v>35</v>
      </c>
      <c r="I4899" s="9" t="s">
        <v>11442</v>
      </c>
      <c r="J4899" s="10" t="str">
        <f>HYPERLINK("https://www.boe.es/gazeta/dias/1834/09/04/pdfs/GMD-1834-202.pdf#page=2","Abrir facsímil")</f>
        <v>Abrir facsímil</v>
      </c>
      <c r="K4899" s="10" t="s">
        <v>37</v>
      </c>
    </row>
    <row r="4900" spans="1:11" ht="54" customHeight="1">
      <c r="A4900" s="9" t="s">
        <v>11443</v>
      </c>
      <c r="B4900" s="9" t="s">
        <v>11444</v>
      </c>
      <c r="C4900" s="9" t="s">
        <v>17</v>
      </c>
      <c r="D4900" s="9" t="s">
        <v>55</v>
      </c>
      <c r="E4900" s="10" t="s">
        <v>571</v>
      </c>
      <c r="F4900" s="9" t="s">
        <v>572</v>
      </c>
      <c r="G4900" s="10" t="s">
        <v>86</v>
      </c>
      <c r="H4900" s="9" t="s">
        <v>22</v>
      </c>
      <c r="I4900" s="9" t="s">
        <v>11445</v>
      </c>
      <c r="J4900" s="10" t="str">
        <f>HYPERLINK("https://www.boe.es/gazeta/dias/1834/09/04/pdfs/GMD-1834-202.pdf#page=2","Abrir facsímil")</f>
        <v>Abrir facsímil</v>
      </c>
      <c r="K4900" s="10" t="s">
        <v>24</v>
      </c>
    </row>
    <row r="4901" spans="1:11" ht="54" customHeight="1">
      <c r="A4901" s="9" t="s">
        <v>11446</v>
      </c>
      <c r="B4901" s="9" t="s">
        <v>11447</v>
      </c>
      <c r="C4901" s="9" t="s">
        <v>17</v>
      </c>
      <c r="D4901" s="9" t="s">
        <v>40</v>
      </c>
      <c r="E4901" s="10" t="s">
        <v>642</v>
      </c>
      <c r="F4901" s="9" t="s">
        <v>1843</v>
      </c>
      <c r="G4901" s="10" t="s">
        <v>75</v>
      </c>
      <c r="H4901" s="9" t="s">
        <v>22</v>
      </c>
      <c r="I4901" s="9" t="s">
        <v>11448</v>
      </c>
      <c r="J4901" s="10" t="str">
        <f>HYPERLINK("https://www.boe.es/gazeta/dias/1834/11/12/pdfs/GMD-1834-271.pdf#page=4","Abrir facsímil")</f>
        <v>Abrir facsímil</v>
      </c>
      <c r="K4901" s="10" t="s">
        <v>24</v>
      </c>
    </row>
    <row r="4902" spans="1:11" ht="54" customHeight="1">
      <c r="A4902" s="9" t="s">
        <v>11449</v>
      </c>
      <c r="B4902" s="9" t="s">
        <v>11450</v>
      </c>
      <c r="C4902" s="9" t="s">
        <v>17</v>
      </c>
      <c r="D4902" s="9" t="s">
        <v>18</v>
      </c>
      <c r="E4902" s="10" t="s">
        <v>863</v>
      </c>
      <c r="F4902" s="9" t="s">
        <v>864</v>
      </c>
      <c r="G4902" s="10" t="s">
        <v>86</v>
      </c>
      <c r="H4902" s="9" t="s">
        <v>35</v>
      </c>
      <c r="I4902" s="9" t="s">
        <v>11451</v>
      </c>
      <c r="J4902" s="10" t="str">
        <f>HYPERLINK("https://www.boe.es/gazeta/dias/1834/09/15/pdfs/GMD-1834-213.pdf#page=2","Abrir facsímil")</f>
        <v>Abrir facsímil</v>
      </c>
      <c r="K4902" s="10" t="s">
        <v>37</v>
      </c>
    </row>
    <row r="4903" spans="1:11" ht="54" customHeight="1">
      <c r="A4903" s="9" t="s">
        <v>11449</v>
      </c>
      <c r="B4903" s="9" t="s">
        <v>11450</v>
      </c>
      <c r="C4903" s="9" t="s">
        <v>17</v>
      </c>
      <c r="D4903" s="9" t="s">
        <v>18</v>
      </c>
      <c r="E4903" s="10" t="s">
        <v>863</v>
      </c>
      <c r="F4903" s="9" t="s">
        <v>864</v>
      </c>
      <c r="G4903" s="10" t="s">
        <v>21</v>
      </c>
      <c r="H4903" s="9" t="s">
        <v>35</v>
      </c>
      <c r="I4903" s="9" t="s">
        <v>11452</v>
      </c>
      <c r="J4903" s="10" t="str">
        <f>HYPERLINK("https://www.boe.es/gazeta/dias/1834/09/15/pdfs/GMD-1834-213.pdf#page=3","Abrir facsímil")</f>
        <v>Abrir facsímil</v>
      </c>
      <c r="K4903" s="10" t="s">
        <v>37</v>
      </c>
    </row>
    <row r="4904" spans="1:11" ht="54" customHeight="1">
      <c r="A4904" s="9" t="s">
        <v>11453</v>
      </c>
      <c r="B4904" s="9" t="s">
        <v>11454</v>
      </c>
      <c r="C4904" s="9" t="s">
        <v>66</v>
      </c>
      <c r="D4904" s="9" t="s">
        <v>18</v>
      </c>
      <c r="E4904" s="10" t="s">
        <v>222</v>
      </c>
      <c r="F4904" s="9" t="s">
        <v>223</v>
      </c>
      <c r="G4904" s="10" t="s">
        <v>21</v>
      </c>
      <c r="H4904" s="9" t="s">
        <v>22</v>
      </c>
      <c r="I4904" s="9" t="s">
        <v>11455</v>
      </c>
      <c r="J4904" s="10" t="str">
        <f>HYPERLINK("https://www.boe.es/gazeta/dias/1834/09/14/pdfs/GMD-1834-212.pdf#page=3","Abrir facsímil")</f>
        <v>Abrir facsímil</v>
      </c>
      <c r="K4904" s="10" t="s">
        <v>24</v>
      </c>
    </row>
    <row r="4905" spans="1:11" ht="54" customHeight="1">
      <c r="A4905" s="9" t="s">
        <v>11453</v>
      </c>
      <c r="B4905" s="9" t="s">
        <v>11454</v>
      </c>
      <c r="C4905" s="9" t="s">
        <v>17</v>
      </c>
      <c r="D4905" s="9" t="s">
        <v>18</v>
      </c>
      <c r="E4905" s="10" t="s">
        <v>863</v>
      </c>
      <c r="F4905" s="9" t="s">
        <v>864</v>
      </c>
      <c r="G4905" s="10" t="s">
        <v>86</v>
      </c>
      <c r="H4905" s="9" t="s">
        <v>22</v>
      </c>
      <c r="I4905" s="9" t="s">
        <v>11456</v>
      </c>
      <c r="J4905" s="10" t="str">
        <f>HYPERLINK("https://www.boe.es/gazeta/dias/1834/09/15/pdfs/GMD-1834-213.pdf#page=2","Abrir facsímil")</f>
        <v>Abrir facsímil</v>
      </c>
      <c r="K4905" s="10" t="s">
        <v>24</v>
      </c>
    </row>
    <row r="4906" spans="1:11" ht="54" customHeight="1">
      <c r="A4906" s="9" t="s">
        <v>11453</v>
      </c>
      <c r="B4906" s="9" t="s">
        <v>11454</v>
      </c>
      <c r="C4906" s="9" t="s">
        <v>17</v>
      </c>
      <c r="D4906" s="9" t="s">
        <v>18</v>
      </c>
      <c r="E4906" s="10" t="s">
        <v>863</v>
      </c>
      <c r="F4906" s="9" t="s">
        <v>864</v>
      </c>
      <c r="G4906" s="10" t="s">
        <v>21</v>
      </c>
      <c r="H4906" s="9" t="s">
        <v>22</v>
      </c>
      <c r="I4906" s="9" t="s">
        <v>11457</v>
      </c>
      <c r="J4906" s="10" t="str">
        <f>HYPERLINK("https://www.boe.es/gazeta/dias/1834/09/15/pdfs/GMD-1834-213.pdf#page=3","Abrir facsímil")</f>
        <v>Abrir facsímil</v>
      </c>
      <c r="K4906" s="10" t="s">
        <v>24</v>
      </c>
    </row>
    <row r="4907" spans="1:11" ht="54" customHeight="1">
      <c r="A4907" s="9" t="s">
        <v>11458</v>
      </c>
      <c r="B4907" s="9" t="s">
        <v>11459</v>
      </c>
      <c r="C4907" s="9" t="s">
        <v>17</v>
      </c>
      <c r="D4907" s="9" t="s">
        <v>18</v>
      </c>
      <c r="E4907" s="10" t="s">
        <v>637</v>
      </c>
      <c r="F4907" s="9" t="s">
        <v>638</v>
      </c>
      <c r="G4907" s="10" t="s">
        <v>34</v>
      </c>
      <c r="H4907" s="9" t="s">
        <v>22</v>
      </c>
      <c r="I4907" s="9" t="s">
        <v>11460</v>
      </c>
      <c r="J4907" s="10" t="str">
        <f>HYPERLINK("https://www.boe.es/gazeta/dias/1834/06/03/pdfs/I00469-00470.pdf#page=1","Abrir facsímil")</f>
        <v>Abrir facsímil</v>
      </c>
      <c r="K4907" s="10" t="s">
        <v>24</v>
      </c>
    </row>
    <row r="4908" spans="1:11" ht="54" customHeight="1">
      <c r="A4908" s="9" t="s">
        <v>11458</v>
      </c>
      <c r="B4908" s="9" t="s">
        <v>11459</v>
      </c>
      <c r="C4908" s="9" t="s">
        <v>17</v>
      </c>
      <c r="D4908" s="9" t="s">
        <v>18</v>
      </c>
      <c r="E4908" s="10" t="s">
        <v>637</v>
      </c>
      <c r="F4908" s="9" t="s">
        <v>638</v>
      </c>
      <c r="G4908" s="10" t="s">
        <v>21</v>
      </c>
      <c r="H4908" s="9" t="s">
        <v>22</v>
      </c>
      <c r="I4908" s="9" t="s">
        <v>11461</v>
      </c>
      <c r="J4908" s="10" t="str">
        <f>HYPERLINK("https://www.boe.es/gazeta/dias/1834/06/03/pdfs/GMD-1834-105.pdf#page=3","Abrir facsímil")</f>
        <v>Abrir facsímil</v>
      </c>
      <c r="K4908" s="10" t="s">
        <v>24</v>
      </c>
    </row>
    <row r="4909" spans="1:11" ht="54" customHeight="1">
      <c r="A4909" s="9" t="s">
        <v>11462</v>
      </c>
      <c r="B4909" s="9" t="s">
        <v>11463</v>
      </c>
      <c r="C4909" s="9" t="s">
        <v>66</v>
      </c>
      <c r="D4909" s="9" t="s">
        <v>67</v>
      </c>
      <c r="E4909" s="10" t="s">
        <v>2526</v>
      </c>
      <c r="F4909" s="9" t="s">
        <v>8236</v>
      </c>
      <c r="G4909" s="10" t="s">
        <v>75</v>
      </c>
      <c r="H4909" s="9" t="s">
        <v>22</v>
      </c>
      <c r="I4909" s="9" t="s">
        <v>11464</v>
      </c>
      <c r="J4909" s="10" t="str">
        <f>HYPERLINK("https://www.boe.es/gazeta/dias/1834/12/29/pdfs/GMD-1834-319.pdf#page=4","Abrir facsímil")</f>
        <v>Abrir facsímil</v>
      </c>
      <c r="K4909" s="10" t="s">
        <v>24</v>
      </c>
    </row>
    <row r="4910" spans="1:11" ht="54" customHeight="1">
      <c r="A4910" s="9" t="s">
        <v>11465</v>
      </c>
      <c r="B4910" s="9" t="s">
        <v>11466</v>
      </c>
      <c r="C4910" s="9" t="s">
        <v>17</v>
      </c>
      <c r="D4910" s="9" t="s">
        <v>18</v>
      </c>
      <c r="E4910" s="10" t="s">
        <v>1677</v>
      </c>
      <c r="F4910" s="9" t="s">
        <v>2515</v>
      </c>
      <c r="G4910" s="10" t="s">
        <v>34</v>
      </c>
      <c r="H4910" s="9" t="s">
        <v>22</v>
      </c>
      <c r="I4910" s="9" t="s">
        <v>11467</v>
      </c>
      <c r="J4910" s="10" t="str">
        <f>HYPERLINK("https://www.boe.es/gazeta/dias/1834/07/26/pdfs/GMD-C-1834-159.pdf#page=1","Abrir facsímil")</f>
        <v>Abrir facsímil</v>
      </c>
      <c r="K4910" s="10" t="s">
        <v>24</v>
      </c>
    </row>
    <row r="4911" spans="1:11" ht="54" customHeight="1">
      <c r="A4911" s="9" t="s">
        <v>11468</v>
      </c>
      <c r="B4911" s="9" t="s">
        <v>11469</v>
      </c>
      <c r="C4911" s="9" t="s">
        <v>66</v>
      </c>
      <c r="D4911" s="9" t="s">
        <v>67</v>
      </c>
      <c r="E4911" s="10" t="s">
        <v>863</v>
      </c>
      <c r="F4911" s="9" t="s">
        <v>864</v>
      </c>
      <c r="G4911" s="10" t="s">
        <v>21</v>
      </c>
      <c r="H4911" s="9" t="s">
        <v>22</v>
      </c>
      <c r="I4911" s="9" t="s">
        <v>11470</v>
      </c>
      <c r="J4911" s="10" t="str">
        <f>HYPERLINK("https://www.boe.es/gazeta/dias/1834/09/15/pdfs/GMD-1834-213.pdf#page=3","Abrir facsímil")</f>
        <v>Abrir facsímil</v>
      </c>
      <c r="K4911" s="10" t="s">
        <v>24</v>
      </c>
    </row>
    <row r="4912" spans="1:11" ht="54" customHeight="1">
      <c r="A4912" s="9" t="s">
        <v>11471</v>
      </c>
      <c r="B4912" s="9" t="s">
        <v>11472</v>
      </c>
      <c r="C4912" s="9" t="s">
        <v>17</v>
      </c>
      <c r="D4912" s="9" t="s">
        <v>40</v>
      </c>
      <c r="E4912" s="10" t="s">
        <v>3810</v>
      </c>
      <c r="F4912" s="9" t="s">
        <v>3811</v>
      </c>
      <c r="G4912" s="10" t="s">
        <v>75</v>
      </c>
      <c r="H4912" s="9" t="s">
        <v>22</v>
      </c>
      <c r="I4912" s="9" t="s">
        <v>11473</v>
      </c>
      <c r="J4912" s="10" t="str">
        <f>HYPERLINK("https://www.boe.es/gazeta/dias/1834/02/20/pdfs/GMD-1834-23.pdf#page=4","Abrir facsímil")</f>
        <v>Abrir facsímil</v>
      </c>
      <c r="K4912" s="10" t="s">
        <v>24</v>
      </c>
    </row>
    <row r="4913" spans="1:11" ht="54" customHeight="1">
      <c r="A4913" s="9" t="s">
        <v>11474</v>
      </c>
      <c r="B4913" s="9" t="s">
        <v>11475</v>
      </c>
      <c r="C4913" s="9" t="s">
        <v>46</v>
      </c>
      <c r="D4913" s="9" t="s">
        <v>101</v>
      </c>
      <c r="E4913" s="10" t="s">
        <v>1212</v>
      </c>
      <c r="F4913" s="9" t="s">
        <v>1213</v>
      </c>
      <c r="G4913" s="10" t="s">
        <v>34</v>
      </c>
      <c r="H4913" s="9" t="s">
        <v>22</v>
      </c>
      <c r="I4913" s="9" t="s">
        <v>11476</v>
      </c>
      <c r="J4913" s="10" t="str">
        <f>HYPERLINK("https://www.boe.es/gazeta/dias/1834/05/24/pdfs/GMD-1834-93.pdf#page=1","Abrir facsímil")</f>
        <v>Abrir facsímil</v>
      </c>
      <c r="K4913" s="10" t="s">
        <v>24</v>
      </c>
    </row>
    <row r="4914" spans="1:11" ht="54" customHeight="1">
      <c r="A4914" s="9" t="s">
        <v>11477</v>
      </c>
      <c r="B4914" s="9" t="s">
        <v>11478</v>
      </c>
      <c r="C4914" s="9" t="s">
        <v>17</v>
      </c>
      <c r="D4914" s="9" t="s">
        <v>18</v>
      </c>
      <c r="E4914" s="10" t="s">
        <v>1459</v>
      </c>
      <c r="F4914" s="9" t="s">
        <v>1460</v>
      </c>
      <c r="G4914" s="10" t="s">
        <v>21</v>
      </c>
      <c r="H4914" s="9" t="s">
        <v>22</v>
      </c>
      <c r="I4914" s="9" t="s">
        <v>11479</v>
      </c>
      <c r="J4914" s="10" t="str">
        <f>HYPERLINK("https://www.boe.es/gazeta/dias/1834/08/18/pdfs/GMD-1834-184.pdf#page=3","Abrir facsímil")</f>
        <v>Abrir facsímil</v>
      </c>
      <c r="K4914" s="10" t="s">
        <v>24</v>
      </c>
    </row>
    <row r="4915" spans="1:11" ht="54" customHeight="1">
      <c r="A4915" s="9" t="s">
        <v>11477</v>
      </c>
      <c r="B4915" s="9" t="s">
        <v>11478</v>
      </c>
      <c r="C4915" s="9" t="s">
        <v>17</v>
      </c>
      <c r="D4915" s="9" t="s">
        <v>18</v>
      </c>
      <c r="E4915" s="10" t="s">
        <v>615</v>
      </c>
      <c r="F4915" s="9" t="s">
        <v>616</v>
      </c>
      <c r="G4915" s="10" t="s">
        <v>86</v>
      </c>
      <c r="H4915" s="9" t="s">
        <v>22</v>
      </c>
      <c r="I4915" s="9" t="s">
        <v>11480</v>
      </c>
      <c r="J4915" s="10" t="str">
        <f>HYPERLINK("https://www.boe.es/gazeta/dias/1834/08/19/pdfs/GMD-1834-185.pdf#page=2","Abrir facsímil")</f>
        <v>Abrir facsímil</v>
      </c>
      <c r="K4915" s="10" t="s">
        <v>24</v>
      </c>
    </row>
    <row r="4916" spans="1:11" ht="54" customHeight="1">
      <c r="A4916" s="9" t="s">
        <v>11481</v>
      </c>
      <c r="B4916" s="9" t="s">
        <v>11482</v>
      </c>
      <c r="C4916" s="9" t="s">
        <v>17</v>
      </c>
      <c r="D4916" s="9" t="s">
        <v>101</v>
      </c>
      <c r="E4916" s="10" t="s">
        <v>637</v>
      </c>
      <c r="F4916" s="9" t="s">
        <v>638</v>
      </c>
      <c r="G4916" s="10" t="s">
        <v>86</v>
      </c>
      <c r="H4916" s="9" t="s">
        <v>22</v>
      </c>
      <c r="I4916" s="9" t="s">
        <v>11483</v>
      </c>
      <c r="J4916" s="10" t="str">
        <f>HYPERLINK("https://www.boe.es/gazeta/dias/1834/06/03/pdfs/I00469-00470.pdf#page=2","Abrir facsímil")</f>
        <v>Abrir facsímil</v>
      </c>
      <c r="K4916" s="10" t="s">
        <v>24</v>
      </c>
    </row>
    <row r="4917" spans="1:11" ht="54" customHeight="1">
      <c r="A4917" s="9" t="s">
        <v>11481</v>
      </c>
      <c r="B4917" s="9" t="s">
        <v>11482</v>
      </c>
      <c r="C4917" s="9" t="s">
        <v>17</v>
      </c>
      <c r="D4917" s="9" t="s">
        <v>101</v>
      </c>
      <c r="E4917" s="10" t="s">
        <v>637</v>
      </c>
      <c r="F4917" s="9" t="s">
        <v>638</v>
      </c>
      <c r="G4917" s="10" t="s">
        <v>75</v>
      </c>
      <c r="H4917" s="9" t="s">
        <v>22</v>
      </c>
      <c r="I4917" s="9" t="s">
        <v>11483</v>
      </c>
      <c r="J4917" s="10" t="str">
        <f>HYPERLINK("https://www.boe.es/gazeta/dias/1834/06/03/pdfs/GMD-1834-105.pdf#page=4","Abrir facsímil")</f>
        <v>Abrir facsímil</v>
      </c>
      <c r="K4917" s="10" t="s">
        <v>24</v>
      </c>
    </row>
    <row r="4918" spans="1:11" ht="54" customHeight="1">
      <c r="A4918" s="9" t="s">
        <v>11484</v>
      </c>
      <c r="B4918" s="9" t="s">
        <v>11485</v>
      </c>
      <c r="C4918" s="9" t="s">
        <v>17</v>
      </c>
      <c r="D4918" s="9" t="s">
        <v>18</v>
      </c>
      <c r="E4918" s="10" t="s">
        <v>905</v>
      </c>
      <c r="F4918" s="9" t="s">
        <v>1651</v>
      </c>
      <c r="G4918" s="10" t="s">
        <v>21</v>
      </c>
      <c r="H4918" s="9" t="s">
        <v>22</v>
      </c>
      <c r="I4918" s="9" t="s">
        <v>11486</v>
      </c>
      <c r="J4918" s="10" t="str">
        <f>HYPERLINK("https://www.boe.es/gazeta/dias/1834/08/02/pdfs/GMD-1834-166.pdf#page=3","Abrir facsímil")</f>
        <v>Abrir facsímil</v>
      </c>
      <c r="K4918" s="10" t="s">
        <v>24</v>
      </c>
    </row>
    <row r="4919" spans="1:11" ht="54" customHeight="1">
      <c r="A4919" s="9" t="s">
        <v>11487</v>
      </c>
      <c r="B4919" s="9" t="s">
        <v>11488</v>
      </c>
      <c r="C4919" s="9" t="s">
        <v>46</v>
      </c>
      <c r="D4919" s="9" t="s">
        <v>101</v>
      </c>
      <c r="E4919" s="10" t="s">
        <v>793</v>
      </c>
      <c r="F4919" s="9" t="s">
        <v>794</v>
      </c>
      <c r="G4919" s="10" t="s">
        <v>86</v>
      </c>
      <c r="H4919" s="9" t="s">
        <v>22</v>
      </c>
      <c r="I4919" s="9" t="s">
        <v>11489</v>
      </c>
      <c r="J4919" s="10" t="str">
        <f>HYPERLINK("https://www.boe.es/gazeta/dias/1834/10/08/pdfs/GMD-1834-236.pdf#page=2","Abrir facsímil")</f>
        <v>Abrir facsímil</v>
      </c>
      <c r="K4919" s="10" t="s">
        <v>24</v>
      </c>
    </row>
    <row r="4920" spans="1:11" ht="54" customHeight="1">
      <c r="A4920" s="9" t="s">
        <v>11490</v>
      </c>
      <c r="B4920" s="9" t="s">
        <v>11491</v>
      </c>
      <c r="C4920" s="9" t="s">
        <v>90</v>
      </c>
      <c r="D4920" s="9" t="s">
        <v>18</v>
      </c>
      <c r="E4920" s="10" t="s">
        <v>777</v>
      </c>
      <c r="F4920" s="9" t="s">
        <v>778</v>
      </c>
      <c r="G4920" s="10" t="s">
        <v>21</v>
      </c>
      <c r="H4920" s="9" t="s">
        <v>22</v>
      </c>
      <c r="I4920" s="9" t="s">
        <v>11492</v>
      </c>
      <c r="J4920" s="10" t="str">
        <f>HYPERLINK("https://www.boe.es/gazeta/dias/1834/10/29/pdfs/GMD-1834-257.pdf#page=3","Abrir facsímil")</f>
        <v>Abrir facsímil</v>
      </c>
      <c r="K4920" s="10" t="s">
        <v>24</v>
      </c>
    </row>
    <row r="4921" spans="1:11" ht="54" customHeight="1">
      <c r="A4921" s="9" t="s">
        <v>11493</v>
      </c>
      <c r="B4921" s="9" t="s">
        <v>11494</v>
      </c>
      <c r="C4921" s="9" t="s">
        <v>66</v>
      </c>
      <c r="D4921" s="9" t="s">
        <v>67</v>
      </c>
      <c r="E4921" s="10" t="s">
        <v>1839</v>
      </c>
      <c r="F4921" s="9" t="s">
        <v>3598</v>
      </c>
      <c r="G4921" s="10" t="s">
        <v>21</v>
      </c>
      <c r="H4921" s="9" t="s">
        <v>22</v>
      </c>
      <c r="I4921" s="9" t="s">
        <v>11495</v>
      </c>
      <c r="J4921" s="10" t="str">
        <f>HYPERLINK("https://www.boe.es/gazeta/dias/1834/08/12/pdfs/GMD-1834-177.pdf#page=3","Abrir facsímil")</f>
        <v>Abrir facsímil</v>
      </c>
      <c r="K4921" s="10" t="s">
        <v>24</v>
      </c>
    </row>
    <row r="4922" spans="1:11" ht="54" customHeight="1">
      <c r="A4922" s="9" t="s">
        <v>11496</v>
      </c>
      <c r="B4922" s="9" t="s">
        <v>11497</v>
      </c>
      <c r="C4922" s="9" t="s">
        <v>17</v>
      </c>
      <c r="D4922" s="9" t="s">
        <v>18</v>
      </c>
      <c r="E4922" s="10" t="s">
        <v>1424</v>
      </c>
      <c r="F4922" s="9" t="s">
        <v>1425</v>
      </c>
      <c r="G4922" s="10" t="s">
        <v>34</v>
      </c>
      <c r="H4922" s="9" t="s">
        <v>35</v>
      </c>
      <c r="I4922" s="9" t="s">
        <v>11498</v>
      </c>
      <c r="J4922" s="10" t="str">
        <f>HYPERLINK("https://www.boe.es/gazeta/dias/1834/11/14/pdfs/GMD-C-1834-273.pdf#page=1","Abrir facsímil")</f>
        <v>Abrir facsímil</v>
      </c>
      <c r="K4922" s="10" t="s">
        <v>37</v>
      </c>
    </row>
    <row r="4923" spans="1:11" ht="54" customHeight="1">
      <c r="A4923" s="9" t="s">
        <v>11499</v>
      </c>
      <c r="B4923" s="9" t="s">
        <v>11500</v>
      </c>
      <c r="C4923" s="9" t="s">
        <v>17</v>
      </c>
      <c r="D4923" s="9" t="s">
        <v>18</v>
      </c>
      <c r="E4923" s="10" t="s">
        <v>1424</v>
      </c>
      <c r="F4923" s="9" t="s">
        <v>1425</v>
      </c>
      <c r="G4923" s="10" t="s">
        <v>34</v>
      </c>
      <c r="H4923" s="9" t="s">
        <v>22</v>
      </c>
      <c r="I4923" s="9" t="s">
        <v>11501</v>
      </c>
      <c r="J4923" s="10" t="str">
        <f>HYPERLINK("https://www.boe.es/gazeta/dias/1834/11/14/pdfs/GMD-C-1834-273.pdf#page=1","Abrir facsímil")</f>
        <v>Abrir facsímil</v>
      </c>
      <c r="K4923" s="10" t="s">
        <v>24</v>
      </c>
    </row>
    <row r="4924" spans="1:11" ht="54" customHeight="1">
      <c r="A4924" s="9" t="s">
        <v>11502</v>
      </c>
      <c r="B4924" s="9" t="s">
        <v>11503</v>
      </c>
      <c r="C4924" s="9" t="s">
        <v>17</v>
      </c>
      <c r="D4924" s="9" t="s">
        <v>18</v>
      </c>
      <c r="E4924" s="10" t="s">
        <v>251</v>
      </c>
      <c r="F4924" s="9" t="s">
        <v>252</v>
      </c>
      <c r="G4924" s="10" t="s">
        <v>34</v>
      </c>
      <c r="H4924" s="9" t="s">
        <v>22</v>
      </c>
      <c r="I4924" s="9" t="s">
        <v>11504</v>
      </c>
      <c r="J4924" s="10" t="str">
        <f>HYPERLINK("https://www.boe.es/gazeta/dias/1834/09/26/pdfs/GMD-C-1834-224.pdf#page=1","Abrir facsímil")</f>
        <v>Abrir facsímil</v>
      </c>
      <c r="K4924" s="10" t="s">
        <v>24</v>
      </c>
    </row>
    <row r="4925" spans="1:11" ht="54" customHeight="1">
      <c r="A4925" s="9" t="s">
        <v>11505</v>
      </c>
      <c r="B4925" s="9" t="s">
        <v>11506</v>
      </c>
      <c r="C4925" s="9" t="s">
        <v>17</v>
      </c>
      <c r="D4925" s="9" t="s">
        <v>18</v>
      </c>
      <c r="E4925" s="10" t="s">
        <v>753</v>
      </c>
      <c r="F4925" s="9" t="s">
        <v>754</v>
      </c>
      <c r="G4925" s="10" t="s">
        <v>176</v>
      </c>
      <c r="H4925" s="9" t="s">
        <v>22</v>
      </c>
      <c r="I4925" s="9" t="s">
        <v>11507</v>
      </c>
      <c r="J4925" s="10" t="str">
        <f>HYPERLINK("https://www.boe.es/gazeta/dias/1834/04/21/pdfs/GMD-1834-60.pdf#page=6","Abrir facsímil")</f>
        <v>Abrir facsímil</v>
      </c>
      <c r="K4925" s="10" t="s">
        <v>24</v>
      </c>
    </row>
    <row r="4926" spans="1:11" ht="54" customHeight="1">
      <c r="A4926" s="9" t="s">
        <v>11508</v>
      </c>
      <c r="B4926" s="9" t="s">
        <v>11509</v>
      </c>
      <c r="C4926" s="9" t="s">
        <v>17</v>
      </c>
      <c r="D4926" s="9" t="s">
        <v>18</v>
      </c>
      <c r="E4926" s="10" t="s">
        <v>928</v>
      </c>
      <c r="F4926" s="9" t="s">
        <v>3338</v>
      </c>
      <c r="G4926" s="10" t="s">
        <v>21</v>
      </c>
      <c r="H4926" s="9" t="s">
        <v>22</v>
      </c>
      <c r="I4926" s="9" t="s">
        <v>11510</v>
      </c>
      <c r="J4926" s="10" t="str">
        <f>HYPERLINK("https://www.boe.es/gazeta/dias/1834/11/15/pdfs/GMD-1834-274.pdf#page=3","Abrir facsímil")</f>
        <v>Abrir facsímil</v>
      </c>
      <c r="K4926" s="10" t="s">
        <v>24</v>
      </c>
    </row>
    <row r="4927" spans="1:11" ht="54" customHeight="1">
      <c r="A4927" s="9" t="s">
        <v>11511</v>
      </c>
      <c r="B4927" s="9" t="s">
        <v>11512</v>
      </c>
      <c r="C4927" s="9" t="s">
        <v>17</v>
      </c>
      <c r="D4927" s="9" t="s">
        <v>18</v>
      </c>
      <c r="E4927" s="10" t="s">
        <v>454</v>
      </c>
      <c r="F4927" s="9" t="s">
        <v>2009</v>
      </c>
      <c r="G4927" s="10" t="s">
        <v>21</v>
      </c>
      <c r="H4927" s="9" t="s">
        <v>22</v>
      </c>
      <c r="I4927" s="9" t="s">
        <v>11513</v>
      </c>
      <c r="J4927" s="10" t="str">
        <f>HYPERLINK("https://www.boe.es/gazeta/dias/1834/10/16/pdfs/GMD-1834-244.pdf#page=3","Abrir facsímil")</f>
        <v>Abrir facsímil</v>
      </c>
      <c r="K4927" s="10" t="s">
        <v>24</v>
      </c>
    </row>
    <row r="4928" spans="1:11" ht="54" customHeight="1">
      <c r="A4928" s="9" t="s">
        <v>11514</v>
      </c>
      <c r="B4928" s="9" t="s">
        <v>11515</v>
      </c>
      <c r="C4928" s="9" t="s">
        <v>66</v>
      </c>
      <c r="D4928" s="9" t="s">
        <v>67</v>
      </c>
      <c r="E4928" s="10" t="s">
        <v>576</v>
      </c>
      <c r="F4928" s="9" t="s">
        <v>577</v>
      </c>
      <c r="G4928" s="10" t="s">
        <v>86</v>
      </c>
      <c r="H4928" s="9" t="s">
        <v>22</v>
      </c>
      <c r="I4928" s="9" t="s">
        <v>11516</v>
      </c>
      <c r="J4928" s="10" t="str">
        <f>HYPERLINK("https://www.boe.es/gazeta/dias/1834/09/23/pdfs/GMD-1834-221.pdf#page=2","Abrir facsímil")</f>
        <v>Abrir facsímil</v>
      </c>
      <c r="K4928" s="10" t="s">
        <v>24</v>
      </c>
    </row>
    <row r="4929" spans="1:11" ht="54" customHeight="1">
      <c r="A4929" s="9" t="s">
        <v>11517</v>
      </c>
      <c r="B4929" s="9" t="s">
        <v>11518</v>
      </c>
      <c r="C4929" s="9" t="s">
        <v>17</v>
      </c>
      <c r="D4929" s="9" t="s">
        <v>18</v>
      </c>
      <c r="E4929" s="10" t="s">
        <v>334</v>
      </c>
      <c r="F4929" s="9" t="s">
        <v>335</v>
      </c>
      <c r="G4929" s="10" t="s">
        <v>86</v>
      </c>
      <c r="H4929" s="9" t="s">
        <v>22</v>
      </c>
      <c r="I4929" s="9" t="s">
        <v>11519</v>
      </c>
      <c r="J4929" s="10" t="str">
        <f>HYPERLINK("https://www.boe.es/gazeta/dias/1834/09/11/pdfs/GMD-C-1834-209.pdf#page=2","Abrir facsímil")</f>
        <v>Abrir facsímil</v>
      </c>
      <c r="K4929" s="10" t="s">
        <v>24</v>
      </c>
    </row>
    <row r="4930" spans="1:11" ht="54" customHeight="1">
      <c r="A4930" s="9" t="s">
        <v>11520</v>
      </c>
      <c r="B4930" s="9" t="s">
        <v>11521</v>
      </c>
      <c r="C4930" s="9" t="s">
        <v>90</v>
      </c>
      <c r="D4930" s="9" t="s">
        <v>18</v>
      </c>
      <c r="E4930" s="10" t="s">
        <v>899</v>
      </c>
      <c r="F4930" s="9" t="s">
        <v>900</v>
      </c>
      <c r="G4930" s="10" t="s">
        <v>21</v>
      </c>
      <c r="H4930" s="9" t="s">
        <v>22</v>
      </c>
      <c r="I4930" s="9" t="s">
        <v>11522</v>
      </c>
      <c r="J4930" s="10" t="str">
        <f>HYPERLINK("https://www.boe.es/gazeta/dias/1834/01/30/pdfs/GMD-1834-14.pdf#page=3","Abrir facsímil")</f>
        <v>Abrir facsímil</v>
      </c>
      <c r="K4930" s="10" t="s">
        <v>24</v>
      </c>
    </row>
    <row r="4931" spans="1:11" ht="54" customHeight="1">
      <c r="A4931" s="9" t="s">
        <v>11523</v>
      </c>
      <c r="B4931" s="9" t="s">
        <v>11524</v>
      </c>
      <c r="C4931" s="9" t="s">
        <v>46</v>
      </c>
      <c r="D4931" s="9" t="s">
        <v>55</v>
      </c>
      <c r="E4931" s="10" t="s">
        <v>1686</v>
      </c>
      <c r="F4931" s="9" t="s">
        <v>1687</v>
      </c>
      <c r="G4931" s="10" t="s">
        <v>86</v>
      </c>
      <c r="H4931" s="9" t="s">
        <v>22</v>
      </c>
      <c r="I4931" s="9" t="s">
        <v>11525</v>
      </c>
      <c r="J4931" s="10" t="str">
        <f>HYPERLINK("https://www.boe.es/gazeta/dias/1834/07/27/pdfs/GMD-1834-160.pdf#page=2","Abrir facsímil")</f>
        <v>Abrir facsímil</v>
      </c>
      <c r="K4931" s="10" t="s">
        <v>24</v>
      </c>
    </row>
    <row r="4932" spans="1:11" ht="54" customHeight="1">
      <c r="A4932" s="9" t="s">
        <v>11526</v>
      </c>
      <c r="B4932" s="9" t="s">
        <v>11527</v>
      </c>
      <c r="C4932" s="9" t="s">
        <v>17</v>
      </c>
      <c r="D4932" s="9" t="s">
        <v>18</v>
      </c>
      <c r="E4932" s="10" t="s">
        <v>1658</v>
      </c>
      <c r="F4932" s="9" t="s">
        <v>1659</v>
      </c>
      <c r="G4932" s="10" t="s">
        <v>34</v>
      </c>
      <c r="H4932" s="9" t="s">
        <v>22</v>
      </c>
      <c r="I4932" s="9" t="s">
        <v>11528</v>
      </c>
      <c r="J4932" s="10" t="str">
        <f>HYPERLINK("https://www.boe.es/gazeta/dias/1834/04/05/pdfs/GMD-1834-44.pdf#page=1","Abrir facsímil")</f>
        <v>Abrir facsímil</v>
      </c>
      <c r="K4932" s="10" t="s">
        <v>24</v>
      </c>
    </row>
    <row r="4933" spans="1:11" ht="54" customHeight="1">
      <c r="A4933" s="9" t="s">
        <v>11529</v>
      </c>
      <c r="B4933" s="9" t="s">
        <v>11530</v>
      </c>
      <c r="C4933" s="9" t="s">
        <v>857</v>
      </c>
      <c r="D4933" s="9" t="s">
        <v>55</v>
      </c>
      <c r="E4933" s="10" t="s">
        <v>590</v>
      </c>
      <c r="F4933" s="9" t="s">
        <v>591</v>
      </c>
      <c r="G4933" s="10" t="s">
        <v>86</v>
      </c>
      <c r="H4933" s="9" t="s">
        <v>22</v>
      </c>
      <c r="I4933" s="9" t="s">
        <v>11531</v>
      </c>
      <c r="J4933" s="10" t="str">
        <f>HYPERLINK("https://www.boe.es/gazeta/dias/1834/11/30/pdfs/GMD-1834-289.pdf#page=2","Abrir facsímil")</f>
        <v>Abrir facsímil</v>
      </c>
      <c r="K4933" s="10" t="s">
        <v>24</v>
      </c>
    </row>
    <row r="4934" spans="1:11" ht="54" customHeight="1">
      <c r="A4934" s="9" t="s">
        <v>11532</v>
      </c>
      <c r="B4934" s="9" t="s">
        <v>11533</v>
      </c>
      <c r="C4934" s="9" t="s">
        <v>17</v>
      </c>
      <c r="D4934" s="9" t="s">
        <v>18</v>
      </c>
      <c r="E4934" s="10" t="s">
        <v>255</v>
      </c>
      <c r="F4934" s="9" t="s">
        <v>2368</v>
      </c>
      <c r="G4934" s="10" t="s">
        <v>86</v>
      </c>
      <c r="H4934" s="9" t="s">
        <v>22</v>
      </c>
      <c r="I4934" s="9" t="s">
        <v>11534</v>
      </c>
      <c r="J4934" s="10" t="str">
        <f>HYPERLINK("https://www.boe.es/gazeta/dias/1834/09/01/pdfs/GMD-1834-199.pdf#page=2","Abrir facsímil")</f>
        <v>Abrir facsímil</v>
      </c>
      <c r="K4934" s="10" t="s">
        <v>24</v>
      </c>
    </row>
    <row r="4935" spans="1:11" ht="54" customHeight="1">
      <c r="A4935" s="9" t="s">
        <v>11535</v>
      </c>
      <c r="B4935" s="9" t="s">
        <v>11536</v>
      </c>
      <c r="C4935" s="9" t="s">
        <v>46</v>
      </c>
      <c r="D4935" s="9" t="s">
        <v>101</v>
      </c>
      <c r="E4935" s="10" t="s">
        <v>1333</v>
      </c>
      <c r="F4935" s="9" t="s">
        <v>1334</v>
      </c>
      <c r="G4935" s="10" t="s">
        <v>21</v>
      </c>
      <c r="H4935" s="9" t="s">
        <v>35</v>
      </c>
      <c r="I4935" s="9" t="s">
        <v>11537</v>
      </c>
      <c r="J4935" s="10" t="str">
        <f>HYPERLINK("https://www.boe.es/gazeta/dias/1834/04/01/pdfs/GMD-1834-40.pdf#page=3","Abrir facsímil")</f>
        <v>Abrir facsímil</v>
      </c>
      <c r="K4935" s="10" t="s">
        <v>37</v>
      </c>
    </row>
    <row r="4936" spans="1:11" ht="54" customHeight="1">
      <c r="A4936" s="9" t="s">
        <v>11538</v>
      </c>
      <c r="B4936" s="9" t="s">
        <v>11539</v>
      </c>
      <c r="C4936" s="9" t="s">
        <v>17</v>
      </c>
      <c r="D4936" s="9" t="s">
        <v>18</v>
      </c>
      <c r="E4936" s="10" t="s">
        <v>243</v>
      </c>
      <c r="F4936" s="9" t="s">
        <v>1109</v>
      </c>
      <c r="G4936" s="10" t="s">
        <v>86</v>
      </c>
      <c r="H4936" s="9" t="s">
        <v>22</v>
      </c>
      <c r="I4936" s="9" t="s">
        <v>11540</v>
      </c>
      <c r="J4936" s="10" t="str">
        <f>HYPERLINK("https://www.boe.es/gazeta/dias/1834/08/05/pdfs/GMD-1834-169.pdf#page=2","Abrir facsímil")</f>
        <v>Abrir facsímil</v>
      </c>
      <c r="K4936" s="10" t="s">
        <v>24</v>
      </c>
    </row>
    <row r="4937" spans="1:11" ht="54" customHeight="1">
      <c r="A4937" s="9" t="s">
        <v>11541</v>
      </c>
      <c r="B4937" s="9" t="s">
        <v>11542</v>
      </c>
      <c r="C4937" s="9" t="s">
        <v>122</v>
      </c>
      <c r="D4937" s="9" t="s">
        <v>18</v>
      </c>
      <c r="E4937" s="10" t="s">
        <v>61</v>
      </c>
      <c r="F4937" s="9" t="s">
        <v>205</v>
      </c>
      <c r="G4937" s="10" t="s">
        <v>21</v>
      </c>
      <c r="H4937" s="9" t="s">
        <v>22</v>
      </c>
      <c r="I4937" s="9" t="s">
        <v>11543</v>
      </c>
      <c r="J4937" s="10" t="str">
        <f>HYPERLINK("https://www.boe.es/gazeta/dias/1834/06/08/pdfs/GMD-1834-110.pdf#page=3","Abrir facsímil")</f>
        <v>Abrir facsímil</v>
      </c>
      <c r="K4937" s="10" t="s">
        <v>24</v>
      </c>
    </row>
    <row r="4938" spans="1:11" ht="54" customHeight="1">
      <c r="A4938" s="9" t="s">
        <v>11544</v>
      </c>
      <c r="B4938" s="9" t="s">
        <v>11545</v>
      </c>
      <c r="C4938" s="9" t="s">
        <v>17</v>
      </c>
      <c r="D4938" s="9" t="s">
        <v>18</v>
      </c>
      <c r="E4938" s="10" t="s">
        <v>1226</v>
      </c>
      <c r="F4938" s="9" t="s">
        <v>1227</v>
      </c>
      <c r="G4938" s="10" t="s">
        <v>21</v>
      </c>
      <c r="H4938" s="9" t="s">
        <v>35</v>
      </c>
      <c r="I4938" s="9" t="s">
        <v>11546</v>
      </c>
      <c r="J4938" s="10" t="str">
        <f>HYPERLINK("https://www.boe.es/gazeta/dias/1834/07/14/pdfs/GMD-1834-147.pdf#page=3","Abrir facsímil")</f>
        <v>Abrir facsímil</v>
      </c>
      <c r="K4938" s="10" t="s">
        <v>37</v>
      </c>
    </row>
    <row r="4939" spans="1:11" ht="54" customHeight="1">
      <c r="A4939" s="9" t="s">
        <v>11547</v>
      </c>
      <c r="B4939" s="9" t="s">
        <v>11548</v>
      </c>
      <c r="C4939" s="9" t="s">
        <v>17</v>
      </c>
      <c r="D4939" s="9" t="s">
        <v>18</v>
      </c>
      <c r="E4939" s="10" t="s">
        <v>41</v>
      </c>
      <c r="F4939" s="9" t="s">
        <v>42</v>
      </c>
      <c r="G4939" s="10" t="s">
        <v>75</v>
      </c>
      <c r="H4939" s="9" t="s">
        <v>22</v>
      </c>
      <c r="I4939" s="9" t="s">
        <v>11549</v>
      </c>
      <c r="J4939" s="10" t="str">
        <f>HYPERLINK("https://www.boe.es/gazeta/dias/1834/06/11/pdfs/GMD-1834-114.pdf#page=4","Abrir facsímil")</f>
        <v>Abrir facsímil</v>
      </c>
      <c r="K4939" s="10" t="s">
        <v>24</v>
      </c>
    </row>
    <row r="4940" spans="1:11" ht="54" customHeight="1">
      <c r="A4940" s="9" t="s">
        <v>11550</v>
      </c>
      <c r="B4940" s="9" t="s">
        <v>11551</v>
      </c>
      <c r="C4940" s="9" t="s">
        <v>17</v>
      </c>
      <c r="D4940" s="9" t="s">
        <v>55</v>
      </c>
      <c r="E4940" s="10" t="s">
        <v>416</v>
      </c>
      <c r="F4940" s="9" t="s">
        <v>1130</v>
      </c>
      <c r="G4940" s="10" t="s">
        <v>75</v>
      </c>
      <c r="H4940" s="9" t="s">
        <v>22</v>
      </c>
      <c r="I4940" s="9" t="s">
        <v>11552</v>
      </c>
      <c r="J4940" s="10" t="str">
        <f>HYPERLINK("https://www.boe.es/gazeta/dias/1834/10/02/pdfs/GMD-1834-230.pdf#page=4","Abrir facsímil")</f>
        <v>Abrir facsímil</v>
      </c>
      <c r="K4940" s="10" t="s">
        <v>24</v>
      </c>
    </row>
    <row r="4941" spans="1:11" ht="54" customHeight="1">
      <c r="A4941" s="9" t="s">
        <v>11553</v>
      </c>
      <c r="B4941" s="9" t="s">
        <v>11554</v>
      </c>
      <c r="C4941" s="9" t="s">
        <v>17</v>
      </c>
      <c r="D4941" s="9" t="s">
        <v>18</v>
      </c>
      <c r="E4941" s="10" t="s">
        <v>1307</v>
      </c>
      <c r="F4941" s="9" t="s">
        <v>1308</v>
      </c>
      <c r="G4941" s="10" t="s">
        <v>21</v>
      </c>
      <c r="H4941" s="9" t="s">
        <v>22</v>
      </c>
      <c r="I4941" s="9" t="s">
        <v>11555</v>
      </c>
      <c r="J4941" s="10" t="str">
        <f>HYPERLINK("https://www.boe.es/gazeta/dias/1834/08/25/pdfs/GMD-1834-191.pdf#page=3","Abrir facsímil")</f>
        <v>Abrir facsímil</v>
      </c>
      <c r="K4941" s="10" t="s">
        <v>24</v>
      </c>
    </row>
    <row r="4942" spans="1:11" ht="54" customHeight="1">
      <c r="A4942" s="9" t="s">
        <v>11556</v>
      </c>
      <c r="B4942" s="9" t="s">
        <v>11557</v>
      </c>
      <c r="C4942" s="9" t="s">
        <v>17</v>
      </c>
      <c r="D4942" s="9" t="s">
        <v>18</v>
      </c>
      <c r="E4942" s="10" t="s">
        <v>1323</v>
      </c>
      <c r="F4942" s="9" t="s">
        <v>1324</v>
      </c>
      <c r="G4942" s="10" t="s">
        <v>75</v>
      </c>
      <c r="H4942" s="9" t="s">
        <v>35</v>
      </c>
      <c r="I4942" s="9" t="s">
        <v>11558</v>
      </c>
      <c r="J4942" s="10" t="str">
        <f>HYPERLINK("https://www.boe.es/gazeta/dias/1834/05/22/pdfs/GMD-1834-91.pdf#page=4","Abrir facsímil")</f>
        <v>Abrir facsímil</v>
      </c>
      <c r="K4942" s="10" t="s">
        <v>37</v>
      </c>
    </row>
    <row r="4943" spans="1:11" ht="54" customHeight="1">
      <c r="A4943" s="9" t="s">
        <v>11559</v>
      </c>
      <c r="B4943" s="9" t="s">
        <v>11560</v>
      </c>
      <c r="C4943" s="9" t="s">
        <v>66</v>
      </c>
      <c r="D4943" s="9" t="s">
        <v>67</v>
      </c>
      <c r="E4943" s="10" t="s">
        <v>1119</v>
      </c>
      <c r="F4943" s="9" t="s">
        <v>1120</v>
      </c>
      <c r="G4943" s="10" t="s">
        <v>21</v>
      </c>
      <c r="H4943" s="9" t="s">
        <v>22</v>
      </c>
      <c r="I4943" s="9" t="s">
        <v>11561</v>
      </c>
      <c r="J4943" s="10" t="str">
        <f>HYPERLINK("https://www.boe.es/gazeta/dias/1834/07/17/pdfs/GMD-1834-150.pdf#page=3","Abrir facsímil")</f>
        <v>Abrir facsímil</v>
      </c>
      <c r="K4943" s="10" t="s">
        <v>24</v>
      </c>
    </row>
    <row r="4944" spans="1:11" ht="54" customHeight="1">
      <c r="A4944" s="9" t="s">
        <v>11562</v>
      </c>
      <c r="B4944" s="9" t="s">
        <v>11563</v>
      </c>
      <c r="C4944" s="9" t="s">
        <v>17</v>
      </c>
      <c r="D4944" s="9" t="s">
        <v>18</v>
      </c>
      <c r="E4944" s="10" t="s">
        <v>1323</v>
      </c>
      <c r="F4944" s="9" t="s">
        <v>1324</v>
      </c>
      <c r="G4944" s="10" t="s">
        <v>75</v>
      </c>
      <c r="H4944" s="9" t="s">
        <v>22</v>
      </c>
      <c r="I4944" s="9" t="s">
        <v>11564</v>
      </c>
      <c r="J4944" s="10" t="str">
        <f>HYPERLINK("https://www.boe.es/gazeta/dias/1834/05/22/pdfs/GMD-1834-91.pdf#page=4","Abrir facsímil")</f>
        <v>Abrir facsímil</v>
      </c>
      <c r="K4944" s="10" t="s">
        <v>24</v>
      </c>
    </row>
    <row r="4945" spans="1:11" ht="54" customHeight="1">
      <c r="A4945" s="9" t="s">
        <v>11565</v>
      </c>
      <c r="B4945" s="9" t="s">
        <v>11566</v>
      </c>
      <c r="C4945" s="9" t="s">
        <v>17</v>
      </c>
      <c r="D4945" s="9" t="s">
        <v>18</v>
      </c>
      <c r="E4945" s="10" t="s">
        <v>158</v>
      </c>
      <c r="F4945" s="9" t="s">
        <v>159</v>
      </c>
      <c r="G4945" s="10" t="s">
        <v>21</v>
      </c>
      <c r="H4945" s="9" t="s">
        <v>22</v>
      </c>
      <c r="I4945" s="9" t="s">
        <v>11567</v>
      </c>
      <c r="J4945" s="10" t="str">
        <f>HYPERLINK("https://www.boe.es/gazeta/dias/1834/10/01/pdfs/GMD-1834-229.pdf#page=3","Abrir facsímil")</f>
        <v>Abrir facsímil</v>
      </c>
      <c r="K4945" s="10" t="s">
        <v>24</v>
      </c>
    </row>
    <row r="4946" spans="1:11" ht="54" customHeight="1">
      <c r="A4946" s="9" t="s">
        <v>11568</v>
      </c>
      <c r="B4946" s="9" t="s">
        <v>11569</v>
      </c>
      <c r="C4946" s="9" t="s">
        <v>17</v>
      </c>
      <c r="D4946" s="9" t="s">
        <v>18</v>
      </c>
      <c r="E4946" s="10" t="s">
        <v>1677</v>
      </c>
      <c r="F4946" s="9" t="s">
        <v>1678</v>
      </c>
      <c r="G4946" s="10" t="s">
        <v>75</v>
      </c>
      <c r="H4946" s="9" t="s">
        <v>22</v>
      </c>
      <c r="I4946" s="9" t="s">
        <v>11570</v>
      </c>
      <c r="J4946" s="10" t="str">
        <f>HYPERLINK("https://www.boe.es/gazeta/dias/1834/07/26/pdfs/GMD-1834-159.pdf#page=4","Abrir facsímil")</f>
        <v>Abrir facsímil</v>
      </c>
      <c r="K4946" s="10" t="s">
        <v>24</v>
      </c>
    </row>
    <row r="4947" spans="1:11" ht="54" customHeight="1">
      <c r="A4947" s="9" t="s">
        <v>11571</v>
      </c>
      <c r="B4947" s="9" t="s">
        <v>11572</v>
      </c>
      <c r="C4947" s="9" t="s">
        <v>17</v>
      </c>
      <c r="D4947" s="9" t="s">
        <v>55</v>
      </c>
      <c r="E4947" s="10" t="s">
        <v>571</v>
      </c>
      <c r="F4947" s="9" t="s">
        <v>572</v>
      </c>
      <c r="G4947" s="10" t="s">
        <v>86</v>
      </c>
      <c r="H4947" s="9" t="s">
        <v>22</v>
      </c>
      <c r="I4947" s="9" t="s">
        <v>11573</v>
      </c>
      <c r="J4947" s="10" t="str">
        <f>HYPERLINK("https://www.boe.es/gazeta/dias/1834/09/04/pdfs/GMD-1834-202.pdf#page=2","Abrir facsímil")</f>
        <v>Abrir facsímil</v>
      </c>
      <c r="K4947" s="10" t="s">
        <v>24</v>
      </c>
    </row>
    <row r="4948" spans="1:11" ht="54" customHeight="1">
      <c r="A4948" s="9" t="s">
        <v>11574</v>
      </c>
      <c r="B4948" s="9" t="s">
        <v>11575</v>
      </c>
      <c r="C4948" s="9" t="s">
        <v>17</v>
      </c>
      <c r="D4948" s="9" t="s">
        <v>18</v>
      </c>
      <c r="E4948" s="10" t="s">
        <v>1850</v>
      </c>
      <c r="F4948" s="9" t="s">
        <v>1851</v>
      </c>
      <c r="G4948" s="10" t="s">
        <v>21</v>
      </c>
      <c r="H4948" s="9" t="s">
        <v>22</v>
      </c>
      <c r="I4948" s="9" t="s">
        <v>11576</v>
      </c>
      <c r="J4948" s="10" t="str">
        <f>HYPERLINK("https://www.boe.es/gazeta/dias/1834/02/18/pdfs/GMD-1834-22.pdf#page=3","Abrir facsímil")</f>
        <v>Abrir facsímil</v>
      </c>
      <c r="K4948" s="10" t="s">
        <v>24</v>
      </c>
    </row>
    <row r="4949" spans="1:11" ht="54" customHeight="1">
      <c r="A4949" s="9" t="s">
        <v>11577</v>
      </c>
      <c r="B4949" s="9" t="s">
        <v>11578</v>
      </c>
      <c r="C4949" s="9" t="s">
        <v>17</v>
      </c>
      <c r="D4949" s="9" t="s">
        <v>18</v>
      </c>
      <c r="E4949" s="10" t="s">
        <v>479</v>
      </c>
      <c r="F4949" s="9" t="s">
        <v>2258</v>
      </c>
      <c r="G4949" s="10" t="s">
        <v>21</v>
      </c>
      <c r="H4949" s="9" t="s">
        <v>35</v>
      </c>
      <c r="I4949" s="9" t="s">
        <v>11579</v>
      </c>
      <c r="J4949" s="10" t="str">
        <f>HYPERLINK("https://www.boe.es/gazeta/dias/1834/08/13/pdfs/GMD-C-1834-178.pdf#page=3","Abrir facsímil")</f>
        <v>Abrir facsímil</v>
      </c>
      <c r="K4949" s="10" t="s">
        <v>37</v>
      </c>
    </row>
    <row r="4950" spans="1:11" ht="54" customHeight="1">
      <c r="A4950" s="9" t="s">
        <v>11580</v>
      </c>
      <c r="B4950" s="9" t="s">
        <v>11581</v>
      </c>
      <c r="C4950" s="9" t="s">
        <v>17</v>
      </c>
      <c r="D4950" s="9" t="s">
        <v>18</v>
      </c>
      <c r="E4950" s="10" t="s">
        <v>479</v>
      </c>
      <c r="F4950" s="9" t="s">
        <v>2258</v>
      </c>
      <c r="G4950" s="10" t="s">
        <v>21</v>
      </c>
      <c r="H4950" s="9" t="s">
        <v>22</v>
      </c>
      <c r="I4950" s="9" t="s">
        <v>11582</v>
      </c>
      <c r="J4950" s="10" t="str">
        <f>HYPERLINK("https://www.boe.es/gazeta/dias/1834/08/13/pdfs/GMD-C-1834-178.pdf#page=3","Abrir facsímil")</f>
        <v>Abrir facsímil</v>
      </c>
      <c r="K4950" s="10" t="s">
        <v>24</v>
      </c>
    </row>
    <row r="4951" spans="1:11" ht="54" customHeight="1">
      <c r="A4951" s="9" t="s">
        <v>11583</v>
      </c>
      <c r="B4951" s="9" t="s">
        <v>11584</v>
      </c>
      <c r="C4951" s="9" t="s">
        <v>17</v>
      </c>
      <c r="D4951" s="9" t="s">
        <v>55</v>
      </c>
      <c r="E4951" s="10" t="s">
        <v>1239</v>
      </c>
      <c r="F4951" s="9" t="s">
        <v>1240</v>
      </c>
      <c r="G4951" s="10" t="s">
        <v>34</v>
      </c>
      <c r="H4951" s="9" t="s">
        <v>22</v>
      </c>
      <c r="I4951" s="9" t="s">
        <v>11585</v>
      </c>
      <c r="J4951" s="10" t="str">
        <f>HYPERLINK("https://www.boe.es/gazeta/dias/1834/08/20/pdfs/GMD-1834-186.pdf#page=1","Abrir facsímil")</f>
        <v>Abrir facsímil</v>
      </c>
      <c r="K4951" s="10" t="s">
        <v>24</v>
      </c>
    </row>
    <row r="4952" spans="1:11" ht="54" customHeight="1">
      <c r="A4952" s="9" t="s">
        <v>11586</v>
      </c>
      <c r="B4952" s="9" t="s">
        <v>11587</v>
      </c>
      <c r="C4952" s="9" t="s">
        <v>17</v>
      </c>
      <c r="D4952" s="9" t="s">
        <v>18</v>
      </c>
      <c r="E4952" s="10" t="s">
        <v>1850</v>
      </c>
      <c r="F4952" s="9" t="s">
        <v>1851</v>
      </c>
      <c r="G4952" s="10" t="s">
        <v>28</v>
      </c>
      <c r="H4952" s="9" t="s">
        <v>22</v>
      </c>
      <c r="I4952" s="9" t="s">
        <v>11588</v>
      </c>
      <c r="J4952" s="10" t="str">
        <f>HYPERLINK("https://www.boe.es/gazeta/dias/1834/02/18/pdfs/GMD-1834-22.pdf#page=5","Abrir facsímil")</f>
        <v>Abrir facsímil</v>
      </c>
      <c r="K4952" s="10" t="s">
        <v>24</v>
      </c>
    </row>
    <row r="4953" spans="1:11" ht="54" customHeight="1">
      <c r="A4953" s="9" t="s">
        <v>11589</v>
      </c>
      <c r="B4953" s="9" t="s">
        <v>11590</v>
      </c>
      <c r="C4953" s="9" t="s">
        <v>46</v>
      </c>
      <c r="D4953" s="9" t="s">
        <v>18</v>
      </c>
      <c r="E4953" s="10" t="s">
        <v>1239</v>
      </c>
      <c r="F4953" s="9" t="s">
        <v>1240</v>
      </c>
      <c r="G4953" s="10" t="s">
        <v>21</v>
      </c>
      <c r="H4953" s="9" t="s">
        <v>22</v>
      </c>
      <c r="I4953" s="9" t="s">
        <v>11591</v>
      </c>
      <c r="J4953" s="10" t="str">
        <f>HYPERLINK("https://www.boe.es/gazeta/dias/1834/08/20/pdfs/GMD-1834-186.pdf#page=3","Abrir facsímil")</f>
        <v>Abrir facsímil</v>
      </c>
      <c r="K4953" s="10" t="s">
        <v>24</v>
      </c>
    </row>
    <row r="4954" spans="1:11" ht="54" customHeight="1">
      <c r="A4954" s="9" t="s">
        <v>11592</v>
      </c>
      <c r="B4954" s="9" t="s">
        <v>11593</v>
      </c>
      <c r="C4954" s="9" t="s">
        <v>17</v>
      </c>
      <c r="D4954" s="9" t="s">
        <v>18</v>
      </c>
      <c r="E4954" s="10" t="s">
        <v>1226</v>
      </c>
      <c r="F4954" s="9" t="s">
        <v>1227</v>
      </c>
      <c r="G4954" s="10" t="s">
        <v>21</v>
      </c>
      <c r="H4954" s="9" t="s">
        <v>35</v>
      </c>
      <c r="I4954" s="9" t="s">
        <v>11594</v>
      </c>
      <c r="J4954" s="10" t="str">
        <f>HYPERLINK("https://www.boe.es/gazeta/dias/1834/07/14/pdfs/GMD-1834-147.pdf#page=3","Abrir facsímil")</f>
        <v>Abrir facsímil</v>
      </c>
      <c r="K4954" s="10" t="s">
        <v>37</v>
      </c>
    </row>
    <row r="4955" spans="1:11" ht="54" customHeight="1">
      <c r="A4955" s="9" t="s">
        <v>11592</v>
      </c>
      <c r="B4955" s="9" t="s">
        <v>11593</v>
      </c>
      <c r="C4955" s="9" t="s">
        <v>17</v>
      </c>
      <c r="D4955" s="9" t="s">
        <v>18</v>
      </c>
      <c r="E4955" s="10" t="s">
        <v>19</v>
      </c>
      <c r="F4955" s="9" t="s">
        <v>107</v>
      </c>
      <c r="G4955" s="10" t="s">
        <v>21</v>
      </c>
      <c r="H4955" s="9" t="s">
        <v>35</v>
      </c>
      <c r="I4955" s="9" t="s">
        <v>11595</v>
      </c>
      <c r="J4955" s="10" t="str">
        <f>HYPERLINK("https://www.boe.es/gazeta/dias/1834/08/17/pdfs/GMD-1834-182.pdf#page=3","Abrir facsímil")</f>
        <v>Abrir facsímil</v>
      </c>
      <c r="K4955" s="10" t="s">
        <v>37</v>
      </c>
    </row>
    <row r="4956" spans="1:11" ht="54" customHeight="1">
      <c r="A4956" s="9" t="s">
        <v>11596</v>
      </c>
      <c r="B4956" s="9" t="s">
        <v>11597</v>
      </c>
      <c r="C4956" s="9" t="s">
        <v>17</v>
      </c>
      <c r="D4956" s="9" t="s">
        <v>18</v>
      </c>
      <c r="E4956" s="10" t="s">
        <v>1226</v>
      </c>
      <c r="F4956" s="9" t="s">
        <v>1227</v>
      </c>
      <c r="G4956" s="10" t="s">
        <v>21</v>
      </c>
      <c r="H4956" s="9" t="s">
        <v>22</v>
      </c>
      <c r="I4956" s="9" t="s">
        <v>11598</v>
      </c>
      <c r="J4956" s="10" t="str">
        <f>HYPERLINK("https://www.boe.es/gazeta/dias/1834/07/14/pdfs/GMD-1834-147.pdf#page=3","Abrir facsímil")</f>
        <v>Abrir facsímil</v>
      </c>
      <c r="K4956" s="10" t="s">
        <v>24</v>
      </c>
    </row>
    <row r="4957" spans="1:11" ht="54" customHeight="1">
      <c r="A4957" s="9" t="s">
        <v>11596</v>
      </c>
      <c r="B4957" s="9" t="s">
        <v>11597</v>
      </c>
      <c r="C4957" s="9" t="s">
        <v>17</v>
      </c>
      <c r="D4957" s="9" t="s">
        <v>18</v>
      </c>
      <c r="E4957" s="10" t="s">
        <v>19</v>
      </c>
      <c r="F4957" s="9" t="s">
        <v>107</v>
      </c>
      <c r="G4957" s="10" t="s">
        <v>21</v>
      </c>
      <c r="H4957" s="9" t="s">
        <v>22</v>
      </c>
      <c r="I4957" s="9" t="s">
        <v>11599</v>
      </c>
      <c r="J4957" s="10" t="str">
        <f>HYPERLINK("https://www.boe.es/gazeta/dias/1834/08/17/pdfs/GMD-1834-182.pdf#page=3","Abrir facsímil")</f>
        <v>Abrir facsímil</v>
      </c>
      <c r="K4957" s="10" t="s">
        <v>24</v>
      </c>
    </row>
    <row r="4958" spans="1:11" ht="54" customHeight="1">
      <c r="A4958" s="9" t="s">
        <v>11600</v>
      </c>
      <c r="B4958" s="9" t="s">
        <v>11601</v>
      </c>
      <c r="C4958" s="9" t="s">
        <v>17</v>
      </c>
      <c r="D4958" s="9" t="s">
        <v>40</v>
      </c>
      <c r="E4958" s="10" t="s">
        <v>2306</v>
      </c>
      <c r="F4958" s="9" t="s">
        <v>2307</v>
      </c>
      <c r="G4958" s="10" t="s">
        <v>21</v>
      </c>
      <c r="H4958" s="9" t="s">
        <v>22</v>
      </c>
      <c r="I4958" s="9" t="s">
        <v>11602</v>
      </c>
      <c r="J4958" s="10" t="str">
        <f>HYPERLINK("https://www.boe.es/gazeta/dias/1834/04/26/pdfs/GMD-1834-65.pdf#page=3","Abrir facsímil")</f>
        <v>Abrir facsímil</v>
      </c>
      <c r="K4958" s="10" t="s">
        <v>24</v>
      </c>
    </row>
    <row r="4959" spans="1:11" ht="54" customHeight="1">
      <c r="A4959" s="9" t="s">
        <v>11600</v>
      </c>
      <c r="B4959" s="9" t="s">
        <v>11601</v>
      </c>
      <c r="C4959" s="9" t="s">
        <v>66</v>
      </c>
      <c r="D4959" s="9" t="s">
        <v>67</v>
      </c>
      <c r="E4959" s="10" t="s">
        <v>513</v>
      </c>
      <c r="F4959" s="9" t="s">
        <v>514</v>
      </c>
      <c r="G4959" s="10" t="s">
        <v>176</v>
      </c>
      <c r="H4959" s="9" t="s">
        <v>22</v>
      </c>
      <c r="I4959" s="9" t="s">
        <v>11603</v>
      </c>
      <c r="J4959" s="10" t="str">
        <f>HYPERLINK("https://www.boe.es/gazeta/dias/1834/04/27/pdfs/GMD-1834-66.pdf#page=6","Abrir facsímil")</f>
        <v>Abrir facsímil</v>
      </c>
      <c r="K4959" s="10" t="s">
        <v>24</v>
      </c>
    </row>
    <row r="4960" spans="1:11" ht="54" customHeight="1">
      <c r="A4960" s="9" t="s">
        <v>11604</v>
      </c>
      <c r="B4960" s="9" t="s">
        <v>11605</v>
      </c>
      <c r="C4960" s="9" t="s">
        <v>46</v>
      </c>
      <c r="D4960" s="9" t="s">
        <v>18</v>
      </c>
      <c r="E4960" s="10" t="s">
        <v>866</v>
      </c>
      <c r="F4960" s="9" t="s">
        <v>867</v>
      </c>
      <c r="G4960" s="10" t="s">
        <v>75</v>
      </c>
      <c r="H4960" s="9" t="s">
        <v>22</v>
      </c>
      <c r="I4960" s="9" t="s">
        <v>11606</v>
      </c>
      <c r="J4960" s="10" t="str">
        <f>HYPERLINK("https://www.boe.es/gazeta/dias/1834/01/18/pdfs/GMD-1834-9.pdf#page=4","Abrir facsímil")</f>
        <v>Abrir facsímil</v>
      </c>
      <c r="K4960" s="10" t="s">
        <v>24</v>
      </c>
    </row>
    <row r="4961" spans="1:11" ht="54" customHeight="1">
      <c r="A4961" s="9" t="s">
        <v>11607</v>
      </c>
      <c r="B4961" s="9" t="s">
        <v>11608</v>
      </c>
      <c r="C4961" s="9" t="s">
        <v>17</v>
      </c>
      <c r="D4961" s="9" t="s">
        <v>18</v>
      </c>
      <c r="E4961" s="10" t="s">
        <v>1318</v>
      </c>
      <c r="F4961" s="9" t="s">
        <v>1319</v>
      </c>
      <c r="G4961" s="10" t="s">
        <v>21</v>
      </c>
      <c r="H4961" s="9" t="s">
        <v>22</v>
      </c>
      <c r="I4961" s="9" t="s">
        <v>11609</v>
      </c>
      <c r="J4961" s="10" t="str">
        <f>HYPERLINK("https://www.boe.es/gazeta/dias/1834/05/10/pdfs/GMD-1834-79.pdf#page=3","Abrir facsímil")</f>
        <v>Abrir facsímil</v>
      </c>
      <c r="K4961" s="10" t="s">
        <v>24</v>
      </c>
    </row>
    <row r="4962" spans="1:11" ht="54" customHeight="1">
      <c r="A4962" s="9" t="s">
        <v>11610</v>
      </c>
      <c r="B4962" s="9" t="s">
        <v>11611</v>
      </c>
      <c r="C4962" s="9" t="s">
        <v>66</v>
      </c>
      <c r="D4962" s="9" t="s">
        <v>67</v>
      </c>
      <c r="E4962" s="10" t="s">
        <v>667</v>
      </c>
      <c r="F4962" s="9" t="s">
        <v>3347</v>
      </c>
      <c r="G4962" s="10" t="s">
        <v>86</v>
      </c>
      <c r="H4962" s="9" t="s">
        <v>22</v>
      </c>
      <c r="I4962" s="9" t="s">
        <v>11612</v>
      </c>
      <c r="J4962" s="10" t="str">
        <f>HYPERLINK("https://www.boe.es/gazeta/dias/1834/11/23/pdfs/GMD-1834-282.pdf#page=2","Abrir facsímil")</f>
        <v>Abrir facsímil</v>
      </c>
      <c r="K4962" s="10" t="s">
        <v>24</v>
      </c>
    </row>
    <row r="4963" spans="1:11" ht="54" customHeight="1">
      <c r="A4963" s="9" t="s">
        <v>11613</v>
      </c>
      <c r="B4963" s="9" t="s">
        <v>11613</v>
      </c>
      <c r="C4963" s="9" t="s">
        <v>17</v>
      </c>
      <c r="D4963" s="9" t="s">
        <v>18</v>
      </c>
      <c r="E4963" s="10" t="s">
        <v>233</v>
      </c>
      <c r="F4963" s="9" t="s">
        <v>1810</v>
      </c>
      <c r="G4963" s="10" t="s">
        <v>2272</v>
      </c>
      <c r="H4963" s="9" t="s">
        <v>22</v>
      </c>
      <c r="I4963" s="9" t="s">
        <v>11614</v>
      </c>
      <c r="J4963" s="10" t="str">
        <f>HYPERLINK("https://www.boe.es/gazeta/dias/1834/12/16/pdfs/GMD-C-1834-305.pdf#page=12","Abrir facsímil")</f>
        <v>Abrir facsímil</v>
      </c>
      <c r="K4963" s="10" t="s">
        <v>24</v>
      </c>
    </row>
    <row r="4964" spans="1:11" ht="54" customHeight="1">
      <c r="A4964" s="9" t="s">
        <v>11615</v>
      </c>
      <c r="B4964" s="9" t="s">
        <v>11616</v>
      </c>
      <c r="C4964" s="9" t="s">
        <v>46</v>
      </c>
      <c r="D4964" s="9" t="s">
        <v>18</v>
      </c>
      <c r="E4964" s="10" t="s">
        <v>571</v>
      </c>
      <c r="F4964" s="9" t="s">
        <v>620</v>
      </c>
      <c r="G4964" s="10" t="s">
        <v>21</v>
      </c>
      <c r="H4964" s="9" t="s">
        <v>35</v>
      </c>
      <c r="I4964" s="9" t="s">
        <v>11617</v>
      </c>
      <c r="J4964" s="10" t="str">
        <f>HYPERLINK("https://www.boe.es/gazeta/dias/1834/09/04/pdfs/GMD-C-1834-202.pdf#page=3","Abrir facsímil")</f>
        <v>Abrir facsímil</v>
      </c>
      <c r="K4964" s="10" t="s">
        <v>37</v>
      </c>
    </row>
    <row r="4965" spans="1:11" ht="54" customHeight="1">
      <c r="A4965" s="9" t="s">
        <v>11618</v>
      </c>
      <c r="B4965" s="9" t="s">
        <v>11619</v>
      </c>
      <c r="C4965" s="9" t="s">
        <v>46</v>
      </c>
      <c r="D4965" s="9" t="s">
        <v>18</v>
      </c>
      <c r="E4965" s="10" t="s">
        <v>571</v>
      </c>
      <c r="F4965" s="9" t="s">
        <v>620</v>
      </c>
      <c r="G4965" s="10" t="s">
        <v>21</v>
      </c>
      <c r="H4965" s="9" t="s">
        <v>22</v>
      </c>
      <c r="I4965" s="9" t="s">
        <v>11620</v>
      </c>
      <c r="J4965" s="10" t="str">
        <f>HYPERLINK("https://www.boe.es/gazeta/dias/1834/09/04/pdfs/GMD-C-1834-202.pdf#page=3","Abrir facsímil")</f>
        <v>Abrir facsímil</v>
      </c>
      <c r="K4965" s="10" t="s">
        <v>24</v>
      </c>
    </row>
    <row r="4966" spans="1:11" ht="54" customHeight="1">
      <c r="A4966" s="9" t="s">
        <v>11621</v>
      </c>
      <c r="B4966" s="9" t="s">
        <v>11621</v>
      </c>
      <c r="C4966" s="9" t="s">
        <v>17</v>
      </c>
      <c r="D4966" s="9" t="s">
        <v>18</v>
      </c>
      <c r="E4966" s="10" t="s">
        <v>571</v>
      </c>
      <c r="F4966" s="9" t="s">
        <v>572</v>
      </c>
      <c r="G4966" s="10" t="s">
        <v>34</v>
      </c>
      <c r="H4966" s="9" t="s">
        <v>22</v>
      </c>
      <c r="I4966" s="9" t="s">
        <v>11622</v>
      </c>
      <c r="J4966" s="10" t="str">
        <f>HYPERLINK("https://www.boe.es/gazeta/dias/1834/09/04/pdfs/GMD-1834-202.pdf#page=1","Abrir facsímil")</f>
        <v>Abrir facsímil</v>
      </c>
      <c r="K4966" s="10" t="s">
        <v>24</v>
      </c>
    </row>
    <row r="4967" spans="1:11" ht="54" customHeight="1">
      <c r="A4967" s="9" t="s">
        <v>11623</v>
      </c>
      <c r="B4967" s="9" t="s">
        <v>11623</v>
      </c>
      <c r="C4967" s="9" t="s">
        <v>90</v>
      </c>
      <c r="D4967" s="9" t="s">
        <v>40</v>
      </c>
      <c r="E4967" s="10" t="s">
        <v>3207</v>
      </c>
      <c r="F4967" s="9" t="s">
        <v>3208</v>
      </c>
      <c r="G4967" s="10" t="s">
        <v>75</v>
      </c>
      <c r="H4967" s="9" t="s">
        <v>22</v>
      </c>
      <c r="I4967" s="9" t="s">
        <v>11624</v>
      </c>
      <c r="J4967" s="10" t="str">
        <f>HYPERLINK("https://www.boe.es/gazeta/dias/1834/10/13/pdfs/GMD-1834-241.pdf#page=4","Abrir facsímil")</f>
        <v>Abrir facsímil</v>
      </c>
      <c r="K4967" s="10" t="s">
        <v>24</v>
      </c>
    </row>
    <row r="4968" spans="1:11" ht="54" customHeight="1">
      <c r="A4968" s="9" t="s">
        <v>11625</v>
      </c>
      <c r="B4968" s="9" t="s">
        <v>11625</v>
      </c>
      <c r="C4968" s="9" t="s">
        <v>17</v>
      </c>
      <c r="D4968" s="9" t="s">
        <v>40</v>
      </c>
      <c r="E4968" s="10" t="s">
        <v>3066</v>
      </c>
      <c r="F4968" s="9" t="s">
        <v>3188</v>
      </c>
      <c r="G4968" s="10" t="s">
        <v>86</v>
      </c>
      <c r="H4968" s="9" t="s">
        <v>22</v>
      </c>
      <c r="I4968" s="9" t="s">
        <v>11626</v>
      </c>
      <c r="J4968" s="10" t="str">
        <f>HYPERLINK("https://www.boe.es/gazeta/dias/1834/08/03/pdfs/I00721-00722.pdf#page=2","Abrir facsímil")</f>
        <v>Abrir facsímil</v>
      </c>
      <c r="K4968" s="10" t="s">
        <v>24</v>
      </c>
    </row>
    <row r="4969" spans="1:11" ht="54" customHeight="1">
      <c r="A4969" s="9" t="s">
        <v>11625</v>
      </c>
      <c r="B4969" s="9" t="s">
        <v>11625</v>
      </c>
      <c r="C4969" s="9" t="s">
        <v>17</v>
      </c>
      <c r="D4969" s="9" t="s">
        <v>40</v>
      </c>
      <c r="E4969" s="10" t="s">
        <v>3066</v>
      </c>
      <c r="F4969" s="9" t="s">
        <v>3188</v>
      </c>
      <c r="G4969" s="10" t="s">
        <v>75</v>
      </c>
      <c r="H4969" s="9" t="s">
        <v>22</v>
      </c>
      <c r="I4969" s="9" t="s">
        <v>11626</v>
      </c>
      <c r="J4969" s="10" t="str">
        <f>HYPERLINK("https://www.boe.es/gazeta/dias/1834/08/03/pdfs/GMD-1834-167.pdf#page=4","Abrir facsímil")</f>
        <v>Abrir facsímil</v>
      </c>
      <c r="K4969" s="10" t="s">
        <v>24</v>
      </c>
    </row>
    <row r="4970" spans="1:11" ht="54" customHeight="1">
      <c r="A4970" s="9" t="s">
        <v>11625</v>
      </c>
      <c r="B4970" s="9" t="s">
        <v>11625</v>
      </c>
      <c r="C4970" s="9" t="s">
        <v>17</v>
      </c>
      <c r="D4970" s="9" t="s">
        <v>18</v>
      </c>
      <c r="E4970" s="10" t="s">
        <v>448</v>
      </c>
      <c r="F4970" s="9" t="s">
        <v>449</v>
      </c>
      <c r="G4970" s="10" t="s">
        <v>21</v>
      </c>
      <c r="H4970" s="9" t="s">
        <v>22</v>
      </c>
      <c r="I4970" s="9" t="s">
        <v>11627</v>
      </c>
      <c r="J4970" s="10" t="str">
        <f>HYPERLINK("https://www.boe.es/gazeta/dias/1834/10/14/pdfs/GMD-C-1834-242.pdf#page=3","Abrir facsímil")</f>
        <v>Abrir facsímil</v>
      </c>
      <c r="K4970" s="10" t="s">
        <v>24</v>
      </c>
    </row>
    <row r="4971" spans="1:11" ht="54" customHeight="1">
      <c r="A4971" s="9" t="s">
        <v>11628</v>
      </c>
      <c r="B4971" s="9" t="s">
        <v>11628</v>
      </c>
      <c r="C4971" s="9" t="s">
        <v>90</v>
      </c>
      <c r="D4971" s="9" t="s">
        <v>18</v>
      </c>
      <c r="E4971" s="10" t="s">
        <v>1297</v>
      </c>
      <c r="F4971" s="9" t="s">
        <v>1879</v>
      </c>
      <c r="G4971" s="10" t="s">
        <v>34</v>
      </c>
      <c r="H4971" s="9" t="s">
        <v>22</v>
      </c>
      <c r="I4971" s="9" t="s">
        <v>11629</v>
      </c>
      <c r="J4971" s="10" t="str">
        <f>HYPERLINK("https://www.boe.es/gazeta/dias/1834/08/01/pdfs/GMD-D-1834-165.pdf#page=1","Abrir facsímil")</f>
        <v>Abrir facsímil</v>
      </c>
      <c r="K4971" s="10" t="s">
        <v>24</v>
      </c>
    </row>
    <row r="4972" spans="1:11" ht="54" customHeight="1">
      <c r="A4972" s="9" t="s">
        <v>11628</v>
      </c>
      <c r="B4972" s="9" t="s">
        <v>11628</v>
      </c>
      <c r="C4972" s="9" t="s">
        <v>46</v>
      </c>
      <c r="D4972" s="9" t="s">
        <v>101</v>
      </c>
      <c r="E4972" s="10" t="s">
        <v>1234</v>
      </c>
      <c r="F4972" s="9" t="s">
        <v>1235</v>
      </c>
      <c r="G4972" s="10" t="s">
        <v>34</v>
      </c>
      <c r="H4972" s="9" t="s">
        <v>22</v>
      </c>
      <c r="I4972" s="9" t="s">
        <v>11630</v>
      </c>
      <c r="J4972" s="10" t="str">
        <f>HYPERLINK("https://www.boe.es/gazeta/dias/1834/05/15/pdfs/GMD-C-1834-84.pdf#page=1","Abrir facsímil")</f>
        <v>Abrir facsímil</v>
      </c>
      <c r="K4972" s="10" t="s">
        <v>24</v>
      </c>
    </row>
    <row r="4973" spans="1:11" ht="54" customHeight="1">
      <c r="A4973" s="9" t="s">
        <v>11631</v>
      </c>
      <c r="B4973" s="9" t="s">
        <v>11632</v>
      </c>
      <c r="C4973" s="9" t="s">
        <v>17</v>
      </c>
      <c r="D4973" s="9" t="s">
        <v>55</v>
      </c>
      <c r="E4973" s="10" t="s">
        <v>394</v>
      </c>
      <c r="F4973" s="9" t="s">
        <v>459</v>
      </c>
      <c r="G4973" s="10" t="s">
        <v>86</v>
      </c>
      <c r="H4973" s="9" t="s">
        <v>22</v>
      </c>
      <c r="I4973" s="9" t="s">
        <v>11633</v>
      </c>
      <c r="J4973" s="10" t="str">
        <f>HYPERLINK("https://www.boe.es/gazeta/dias/1834/12/23/pdfs/GMD-C-1834-313.pdf#page=2","Abrir facsímil")</f>
        <v>Abrir facsímil</v>
      </c>
      <c r="K4973" s="10" t="s">
        <v>24</v>
      </c>
    </row>
    <row r="4974" spans="1:11" ht="54" customHeight="1">
      <c r="A4974" s="9" t="s">
        <v>11634</v>
      </c>
      <c r="B4974" s="9" t="s">
        <v>11634</v>
      </c>
      <c r="C4974" s="9" t="s">
        <v>17</v>
      </c>
      <c r="D4974" s="9" t="s">
        <v>18</v>
      </c>
      <c r="E4974" s="10" t="s">
        <v>506</v>
      </c>
      <c r="F4974" s="9" t="s">
        <v>507</v>
      </c>
      <c r="G4974" s="10" t="s">
        <v>75</v>
      </c>
      <c r="H4974" s="9" t="s">
        <v>22</v>
      </c>
      <c r="I4974" s="9" t="s">
        <v>11635</v>
      </c>
      <c r="J4974" s="10" t="str">
        <f>HYPERLINK("https://www.boe.es/gazeta/dias/1834/03/04/pdfs/GMD-1834-28.pdf#page=4","Abrir facsímil")</f>
        <v>Abrir facsímil</v>
      </c>
      <c r="K4974" s="10" t="s">
        <v>24</v>
      </c>
    </row>
    <row r="4975" spans="1:11" ht="54" customHeight="1">
      <c r="A4975" s="9" t="s">
        <v>11634</v>
      </c>
      <c r="B4975" s="9" t="s">
        <v>11634</v>
      </c>
      <c r="C4975" s="9" t="s">
        <v>17</v>
      </c>
      <c r="D4975" s="9" t="s">
        <v>18</v>
      </c>
      <c r="E4975" s="10" t="s">
        <v>912</v>
      </c>
      <c r="F4975" s="9" t="s">
        <v>913</v>
      </c>
      <c r="G4975" s="10" t="s">
        <v>75</v>
      </c>
      <c r="H4975" s="9" t="s">
        <v>22</v>
      </c>
      <c r="I4975" s="9" t="s">
        <v>11636</v>
      </c>
      <c r="J4975" s="10" t="str">
        <f>HYPERLINK("https://www.boe.es/gazeta/dias/1834/02/15/pdfs/GMD-1834-21.pdf#page=4","Abrir facsímil")</f>
        <v>Abrir facsímil</v>
      </c>
      <c r="K4975" s="10" t="s">
        <v>24</v>
      </c>
    </row>
    <row r="4976" spans="1:11" ht="54" customHeight="1">
      <c r="A4976" s="9" t="s">
        <v>11634</v>
      </c>
      <c r="B4976" s="9" t="s">
        <v>11634</v>
      </c>
      <c r="C4976" s="9" t="s">
        <v>46</v>
      </c>
      <c r="D4976" s="9" t="s">
        <v>18</v>
      </c>
      <c r="E4976" s="10" t="s">
        <v>1680</v>
      </c>
      <c r="F4976" s="9" t="s">
        <v>1681</v>
      </c>
      <c r="G4976" s="10" t="s">
        <v>21</v>
      </c>
      <c r="H4976" s="9" t="s">
        <v>22</v>
      </c>
      <c r="I4976" s="9" t="s">
        <v>11637</v>
      </c>
      <c r="J4976" s="10" t="str">
        <f>HYPERLINK("https://www.boe.es/gazeta/dias/1834/02/27/pdfs/GMD-1834-26.pdf#page=3","Abrir facsímil")</f>
        <v>Abrir facsímil</v>
      </c>
      <c r="K4976" s="10" t="s">
        <v>24</v>
      </c>
    </row>
    <row r="4977" spans="1:11" ht="54" customHeight="1">
      <c r="A4977" s="9" t="s">
        <v>11638</v>
      </c>
      <c r="B4977" s="9" t="s">
        <v>11638</v>
      </c>
      <c r="C4977" s="9" t="s">
        <v>17</v>
      </c>
      <c r="D4977" s="9" t="s">
        <v>55</v>
      </c>
      <c r="E4977" s="10" t="s">
        <v>158</v>
      </c>
      <c r="F4977" s="9" t="s">
        <v>159</v>
      </c>
      <c r="G4977" s="10" t="s">
        <v>86</v>
      </c>
      <c r="H4977" s="9" t="s">
        <v>22</v>
      </c>
      <c r="I4977" s="9" t="s">
        <v>11639</v>
      </c>
      <c r="J4977" s="10" t="str">
        <f>HYPERLINK("https://www.boe.es/gazeta/dias/1834/10/01/pdfs/GMD-1834-229.pdf#page=2","Abrir facsímil")</f>
        <v>Abrir facsímil</v>
      </c>
      <c r="K4977" s="10" t="s">
        <v>24</v>
      </c>
    </row>
    <row r="4978" spans="1:11" ht="54" customHeight="1">
      <c r="A4978" s="9" t="s">
        <v>11640</v>
      </c>
      <c r="B4978" s="9" t="s">
        <v>11640</v>
      </c>
      <c r="C4978" s="9" t="s">
        <v>90</v>
      </c>
      <c r="D4978" s="9" t="s">
        <v>18</v>
      </c>
      <c r="E4978" s="10" t="s">
        <v>1119</v>
      </c>
      <c r="F4978" s="9" t="s">
        <v>1120</v>
      </c>
      <c r="G4978" s="10" t="s">
        <v>86</v>
      </c>
      <c r="H4978" s="9" t="s">
        <v>22</v>
      </c>
      <c r="I4978" s="9" t="s">
        <v>11641</v>
      </c>
      <c r="J4978" s="10" t="str">
        <f>HYPERLINK("https://www.boe.es/gazeta/dias/1834/07/17/pdfs/GMD-1834-150.pdf#page=2","Abrir facsímil")</f>
        <v>Abrir facsímil</v>
      </c>
      <c r="K4978" s="10" t="s">
        <v>24</v>
      </c>
    </row>
    <row r="4979" spans="1:11" ht="54" customHeight="1">
      <c r="A4979" s="9" t="s">
        <v>11642</v>
      </c>
      <c r="B4979" s="9" t="s">
        <v>11643</v>
      </c>
      <c r="C4979" s="9" t="s">
        <v>122</v>
      </c>
      <c r="D4979" s="9" t="s">
        <v>55</v>
      </c>
      <c r="E4979" s="10" t="s">
        <v>702</v>
      </c>
      <c r="F4979" s="9" t="s">
        <v>2427</v>
      </c>
      <c r="G4979" s="10" t="s">
        <v>86</v>
      </c>
      <c r="H4979" s="9" t="s">
        <v>22</v>
      </c>
      <c r="I4979" s="9" t="s">
        <v>11644</v>
      </c>
      <c r="J4979" s="10" t="str">
        <f>HYPERLINK("https://www.boe.es/gazeta/dias/1834/11/22/pdfs/GMD-1834-281.pdf#page=2","Abrir facsímil")</f>
        <v>Abrir facsímil</v>
      </c>
      <c r="K4979" s="10" t="s">
        <v>24</v>
      </c>
    </row>
    <row r="4980" spans="1:11" ht="54" customHeight="1">
      <c r="A4980" s="9" t="s">
        <v>11645</v>
      </c>
      <c r="B4980" s="9" t="s">
        <v>11646</v>
      </c>
      <c r="C4980" s="9" t="s">
        <v>66</v>
      </c>
      <c r="D4980" s="9" t="s">
        <v>67</v>
      </c>
      <c r="E4980" s="10" t="s">
        <v>360</v>
      </c>
      <c r="F4980" s="9" t="s">
        <v>361</v>
      </c>
      <c r="G4980" s="10" t="s">
        <v>34</v>
      </c>
      <c r="H4980" s="9" t="s">
        <v>22</v>
      </c>
      <c r="I4980" s="9" t="s">
        <v>11647</v>
      </c>
      <c r="J4980" s="10" t="str">
        <f>HYPERLINK("https://www.boe.es/gazeta/dias/1834/04/07/pdfs/GMD-1834-46.pdf#page=1","Abrir facsímil")</f>
        <v>Abrir facsímil</v>
      </c>
      <c r="K4980" s="10" t="s">
        <v>24</v>
      </c>
    </row>
    <row r="4981" spans="1:11" ht="54" customHeight="1">
      <c r="A4981" s="9" t="s">
        <v>11645</v>
      </c>
      <c r="B4981" s="9" t="s">
        <v>11646</v>
      </c>
      <c r="C4981" s="9" t="s">
        <v>90</v>
      </c>
      <c r="D4981" s="9" t="s">
        <v>18</v>
      </c>
      <c r="E4981" s="10" t="s">
        <v>1125</v>
      </c>
      <c r="F4981" s="9" t="s">
        <v>2490</v>
      </c>
      <c r="G4981" s="10" t="s">
        <v>34</v>
      </c>
      <c r="H4981" s="9" t="s">
        <v>22</v>
      </c>
      <c r="I4981" s="9" t="s">
        <v>11648</v>
      </c>
      <c r="J4981" s="10" t="str">
        <f>HYPERLINK("https://www.boe.es/gazeta/dias/1834/04/17/pdfs/GMD-1834-56.pdf#page=1","Abrir facsímil")</f>
        <v>Abrir facsímil</v>
      </c>
      <c r="K4981" s="10" t="s">
        <v>24</v>
      </c>
    </row>
    <row r="4982" spans="1:11" ht="54" customHeight="1">
      <c r="A4982" s="9" t="s">
        <v>11645</v>
      </c>
      <c r="B4982" s="9" t="s">
        <v>11646</v>
      </c>
      <c r="C4982" s="9" t="s">
        <v>66</v>
      </c>
      <c r="D4982" s="9" t="s">
        <v>67</v>
      </c>
      <c r="E4982" s="10" t="s">
        <v>849</v>
      </c>
      <c r="F4982" s="9" t="s">
        <v>850</v>
      </c>
      <c r="G4982" s="10" t="s">
        <v>34</v>
      </c>
      <c r="H4982" s="9" t="s">
        <v>22</v>
      </c>
      <c r="I4982" s="9" t="s">
        <v>11649</v>
      </c>
      <c r="J4982" s="10" t="str">
        <f>HYPERLINK("https://www.boe.es/gazeta/dias/1834/06/21/pdfs/GMD-1834-124.pdf#page=1","Abrir facsímil")</f>
        <v>Abrir facsímil</v>
      </c>
      <c r="K4982" s="10" t="s">
        <v>24</v>
      </c>
    </row>
    <row r="4983" spans="1:11" ht="54" customHeight="1">
      <c r="A4983" s="9" t="s">
        <v>11650</v>
      </c>
      <c r="B4983" s="9" t="s">
        <v>11651</v>
      </c>
      <c r="C4983" s="9" t="s">
        <v>90</v>
      </c>
      <c r="D4983" s="9" t="s">
        <v>18</v>
      </c>
      <c r="E4983" s="10" t="s">
        <v>2379</v>
      </c>
      <c r="F4983" s="9" t="s">
        <v>2380</v>
      </c>
      <c r="G4983" s="10" t="s">
        <v>86</v>
      </c>
      <c r="H4983" s="9" t="s">
        <v>22</v>
      </c>
      <c r="I4983" s="9" t="s">
        <v>11652</v>
      </c>
      <c r="J4983" s="10" t="str">
        <f>HYPERLINK("https://www.boe.es/gazeta/dias/1834/04/03/pdfs/GMD-1834-42.pdf#page=2","Abrir facsímil")</f>
        <v>Abrir facsímil</v>
      </c>
      <c r="K4983" s="10" t="s">
        <v>24</v>
      </c>
    </row>
    <row r="4984" spans="1:11" ht="54" customHeight="1">
      <c r="A4984" s="9" t="s">
        <v>11653</v>
      </c>
      <c r="B4984" s="9" t="s">
        <v>11654</v>
      </c>
      <c r="C4984" s="9" t="s">
        <v>17</v>
      </c>
      <c r="D4984" s="9" t="s">
        <v>18</v>
      </c>
      <c r="E4984" s="10" t="s">
        <v>690</v>
      </c>
      <c r="F4984" s="9" t="s">
        <v>691</v>
      </c>
      <c r="G4984" s="10" t="s">
        <v>75</v>
      </c>
      <c r="H4984" s="9" t="s">
        <v>22</v>
      </c>
      <c r="I4984" s="9" t="s">
        <v>11655</v>
      </c>
      <c r="J4984" s="10" t="str">
        <f>HYPERLINK("https://www.boe.es/gazeta/dias/1834/09/03/pdfs/GMD-C-1834-201.pdf#page=4","Abrir facsímil")</f>
        <v>Abrir facsímil</v>
      </c>
      <c r="K4984" s="10" t="s">
        <v>24</v>
      </c>
    </row>
    <row r="4985" spans="1:11" ht="54" customHeight="1">
      <c r="A4985" s="9" t="s">
        <v>11656</v>
      </c>
      <c r="B4985" s="9" t="s">
        <v>11656</v>
      </c>
      <c r="C4985" s="9" t="s">
        <v>66</v>
      </c>
      <c r="D4985" s="9" t="s">
        <v>67</v>
      </c>
      <c r="E4985" s="10" t="s">
        <v>1438</v>
      </c>
      <c r="F4985" s="9" t="s">
        <v>1439</v>
      </c>
      <c r="G4985" s="10" t="s">
        <v>86</v>
      </c>
      <c r="H4985" s="9" t="s">
        <v>22</v>
      </c>
      <c r="I4985" s="9" t="s">
        <v>11657</v>
      </c>
      <c r="J4985" s="10" t="str">
        <f>HYPERLINK("https://www.boe.es/gazeta/dias/1834/05/13/pdfs/GMD-1834-82.pdf#page=2","Abrir facsímil")</f>
        <v>Abrir facsímil</v>
      </c>
      <c r="K4985" s="10" t="s">
        <v>24</v>
      </c>
    </row>
    <row r="4986" spans="1:11" ht="54" customHeight="1">
      <c r="A4986" s="9" t="s">
        <v>11656</v>
      </c>
      <c r="B4986" s="9" t="s">
        <v>11656</v>
      </c>
      <c r="C4986" s="9" t="s">
        <v>17</v>
      </c>
      <c r="D4986" s="9" t="s">
        <v>18</v>
      </c>
      <c r="E4986" s="10" t="s">
        <v>719</v>
      </c>
      <c r="F4986" s="9" t="s">
        <v>720</v>
      </c>
      <c r="G4986" s="10" t="s">
        <v>86</v>
      </c>
      <c r="H4986" s="9" t="s">
        <v>22</v>
      </c>
      <c r="I4986" s="9" t="s">
        <v>11658</v>
      </c>
      <c r="J4986" s="10" t="str">
        <f>HYPERLINK("https://www.boe.es/gazeta/dias/1834/04/29/pdfs/GMD-1834-68.pdf#page=2","Abrir facsímil")</f>
        <v>Abrir facsímil</v>
      </c>
      <c r="K4986" s="10" t="s">
        <v>24</v>
      </c>
    </row>
    <row r="4987" spans="1:11" ht="54" customHeight="1">
      <c r="A4987" s="9" t="s">
        <v>11659</v>
      </c>
      <c r="B4987" s="9" t="s">
        <v>11660</v>
      </c>
      <c r="C4987" s="9" t="s">
        <v>17</v>
      </c>
      <c r="D4987" s="9" t="s">
        <v>40</v>
      </c>
      <c r="E4987" s="10" t="s">
        <v>601</v>
      </c>
      <c r="F4987" s="9" t="s">
        <v>602</v>
      </c>
      <c r="G4987" s="10" t="s">
        <v>75</v>
      </c>
      <c r="H4987" s="9" t="s">
        <v>22</v>
      </c>
      <c r="I4987" s="9" t="s">
        <v>11661</v>
      </c>
      <c r="J4987" s="10" t="str">
        <f>HYPERLINK("https://www.boe.es/gazeta/dias/1834/08/16/pdfs/GMD-1834-181.pdf#page=4","Abrir facsímil")</f>
        <v>Abrir facsímil</v>
      </c>
      <c r="K4987" s="10" t="s">
        <v>24</v>
      </c>
    </row>
    <row r="4988" spans="1:11" ht="54" customHeight="1">
      <c r="A4988" s="9" t="s">
        <v>11662</v>
      </c>
      <c r="B4988" s="9" t="s">
        <v>11663</v>
      </c>
      <c r="C4988" s="9" t="s">
        <v>17</v>
      </c>
      <c r="D4988" s="9" t="s">
        <v>18</v>
      </c>
      <c r="E4988" s="10" t="s">
        <v>2142</v>
      </c>
      <c r="F4988" s="9" t="s">
        <v>2316</v>
      </c>
      <c r="G4988" s="10" t="s">
        <v>21</v>
      </c>
      <c r="H4988" s="9" t="s">
        <v>22</v>
      </c>
      <c r="I4988" s="9" t="s">
        <v>11664</v>
      </c>
      <c r="J4988" s="10" t="str">
        <f>HYPERLINK("https://www.boe.es/gazeta/dias/1834/12/27/pdfs/GMD-C-1834-317.pdf#page=3","Abrir facsímil")</f>
        <v>Abrir facsímil</v>
      </c>
      <c r="K4988" s="10" t="s">
        <v>24</v>
      </c>
    </row>
    <row r="4989" spans="1:11" ht="54" customHeight="1">
      <c r="A4989" s="9" t="s">
        <v>11665</v>
      </c>
      <c r="B4989" s="9" t="s">
        <v>11666</v>
      </c>
      <c r="C4989" s="9" t="s">
        <v>17</v>
      </c>
      <c r="D4989" s="9" t="s">
        <v>55</v>
      </c>
      <c r="E4989" s="10" t="s">
        <v>1239</v>
      </c>
      <c r="F4989" s="9" t="s">
        <v>1240</v>
      </c>
      <c r="G4989" s="10" t="s">
        <v>34</v>
      </c>
      <c r="H4989" s="9" t="s">
        <v>22</v>
      </c>
      <c r="I4989" s="9" t="s">
        <v>11667</v>
      </c>
      <c r="J4989" s="10" t="str">
        <f>HYPERLINK("https://www.boe.es/gazeta/dias/1834/08/20/pdfs/GMD-1834-186.pdf#page=1","Abrir facsímil")</f>
        <v>Abrir facsímil</v>
      </c>
      <c r="K4989" s="10" t="s">
        <v>24</v>
      </c>
    </row>
    <row r="4990" spans="1:11" ht="54" customHeight="1">
      <c r="A4990" s="9" t="s">
        <v>11668</v>
      </c>
      <c r="B4990" s="9" t="s">
        <v>11669</v>
      </c>
      <c r="C4990" s="9" t="s">
        <v>17</v>
      </c>
      <c r="D4990" s="9" t="s">
        <v>18</v>
      </c>
      <c r="E4990" s="10" t="s">
        <v>563</v>
      </c>
      <c r="F4990" s="9" t="s">
        <v>5858</v>
      </c>
      <c r="G4990" s="10" t="s">
        <v>34</v>
      </c>
      <c r="H4990" s="9" t="s">
        <v>22</v>
      </c>
      <c r="I4990" s="9" t="s">
        <v>11670</v>
      </c>
      <c r="J4990" s="10" t="str">
        <f>HYPERLINK("https://www.boe.es/gazeta/dias/1834/04/19/pdfs/GMD-C-1834-58.pdf#page=1","Abrir facsímil")</f>
        <v>Abrir facsímil</v>
      </c>
      <c r="K4990" s="10" t="s">
        <v>24</v>
      </c>
    </row>
    <row r="4991" spans="1:11" ht="54" customHeight="1">
      <c r="A4991" s="9" t="s">
        <v>11668</v>
      </c>
      <c r="B4991" s="9" t="s">
        <v>11669</v>
      </c>
      <c r="C4991" s="9" t="s">
        <v>122</v>
      </c>
      <c r="D4991" s="9" t="s">
        <v>18</v>
      </c>
      <c r="E4991" s="10" t="s">
        <v>563</v>
      </c>
      <c r="F4991" s="9" t="s">
        <v>5858</v>
      </c>
      <c r="G4991" s="10" t="s">
        <v>86</v>
      </c>
      <c r="H4991" s="9" t="s">
        <v>22</v>
      </c>
      <c r="I4991" s="9" t="s">
        <v>11671</v>
      </c>
      <c r="J4991" s="10" t="str">
        <f>HYPERLINK("https://www.boe.es/gazeta/dias/1834/04/19/pdfs/GMD-C-1834-58.pdf#page=2","Abrir facsímil")</f>
        <v>Abrir facsímil</v>
      </c>
      <c r="K4991" s="10" t="s">
        <v>24</v>
      </c>
    </row>
    <row r="4992" spans="1:11" ht="54" customHeight="1">
      <c r="A4992" s="9" t="s">
        <v>11668</v>
      </c>
      <c r="B4992" s="9" t="s">
        <v>11669</v>
      </c>
      <c r="C4992" s="9" t="s">
        <v>66</v>
      </c>
      <c r="D4992" s="9" t="s">
        <v>67</v>
      </c>
      <c r="E4992" s="10" t="s">
        <v>32</v>
      </c>
      <c r="F4992" s="9" t="s">
        <v>7431</v>
      </c>
      <c r="G4992" s="10" t="s">
        <v>34</v>
      </c>
      <c r="H4992" s="9" t="s">
        <v>22</v>
      </c>
      <c r="I4992" s="9" t="s">
        <v>11672</v>
      </c>
      <c r="J4992" s="10" t="str">
        <f>HYPERLINK("https://www.boe.es/gazeta/dias/1834/04/23/pdfs/GMD-C-1834-62.pdf#page=1","Abrir facsímil")</f>
        <v>Abrir facsímil</v>
      </c>
      <c r="K4992" s="10" t="s">
        <v>24</v>
      </c>
    </row>
    <row r="4993" spans="1:11" ht="54" customHeight="1">
      <c r="A4993" s="9" t="s">
        <v>11673</v>
      </c>
      <c r="B4993" s="9" t="s">
        <v>11674</v>
      </c>
      <c r="C4993" s="9" t="s">
        <v>17</v>
      </c>
      <c r="D4993" s="9" t="s">
        <v>18</v>
      </c>
      <c r="E4993" s="10" t="s">
        <v>719</v>
      </c>
      <c r="F4993" s="9" t="s">
        <v>720</v>
      </c>
      <c r="G4993" s="10" t="s">
        <v>21</v>
      </c>
      <c r="H4993" s="9" t="s">
        <v>35</v>
      </c>
      <c r="I4993" s="9" t="s">
        <v>11675</v>
      </c>
      <c r="J4993" s="10" t="str">
        <f>HYPERLINK("https://www.boe.es/gazeta/dias/1834/04/29/pdfs/GMD-1834-68.pdf#page=3","Abrir facsímil")</f>
        <v>Abrir facsímil</v>
      </c>
      <c r="K4993" s="10" t="s">
        <v>37</v>
      </c>
    </row>
    <row r="4994" spans="1:11" ht="54" customHeight="1">
      <c r="A4994" s="9" t="s">
        <v>11676</v>
      </c>
      <c r="B4994" s="9" t="s">
        <v>11677</v>
      </c>
      <c r="C4994" s="9" t="s">
        <v>17</v>
      </c>
      <c r="D4994" s="9" t="s">
        <v>18</v>
      </c>
      <c r="E4994" s="10" t="s">
        <v>719</v>
      </c>
      <c r="F4994" s="9" t="s">
        <v>720</v>
      </c>
      <c r="G4994" s="10" t="s">
        <v>21</v>
      </c>
      <c r="H4994" s="9" t="s">
        <v>22</v>
      </c>
      <c r="I4994" s="9" t="s">
        <v>11678</v>
      </c>
      <c r="J4994" s="10" t="str">
        <f>HYPERLINK("https://www.boe.es/gazeta/dias/1834/04/29/pdfs/GMD-1834-68.pdf#page=3","Abrir facsímil")</f>
        <v>Abrir facsímil</v>
      </c>
      <c r="K4994" s="10" t="s">
        <v>24</v>
      </c>
    </row>
    <row r="4995" spans="1:11" ht="54" customHeight="1">
      <c r="A4995" s="9" t="s">
        <v>11679</v>
      </c>
      <c r="B4995" s="9" t="s">
        <v>11680</v>
      </c>
      <c r="C4995" s="9" t="s">
        <v>17</v>
      </c>
      <c r="D4995" s="9" t="s">
        <v>18</v>
      </c>
      <c r="E4995" s="10" t="s">
        <v>615</v>
      </c>
      <c r="F4995" s="9" t="s">
        <v>1205</v>
      </c>
      <c r="G4995" s="10" t="s">
        <v>86</v>
      </c>
      <c r="H4995" s="9" t="s">
        <v>22</v>
      </c>
      <c r="I4995" s="9" t="s">
        <v>11681</v>
      </c>
      <c r="J4995" s="10" t="str">
        <f>HYPERLINK("https://www.boe.es/gazeta/dias/1834/08/19/pdfs/GMD-D-1834-185.pdf#page=2","Abrir facsímil")</f>
        <v>Abrir facsímil</v>
      </c>
      <c r="K4995" s="10" t="s">
        <v>24</v>
      </c>
    </row>
    <row r="4996" spans="1:11" ht="54" customHeight="1">
      <c r="A4996" s="9" t="s">
        <v>11682</v>
      </c>
      <c r="B4996" s="9" t="s">
        <v>11683</v>
      </c>
      <c r="C4996" s="9" t="s">
        <v>17</v>
      </c>
      <c r="D4996" s="9" t="s">
        <v>18</v>
      </c>
      <c r="E4996" s="10" t="s">
        <v>615</v>
      </c>
      <c r="F4996" s="9" t="s">
        <v>1205</v>
      </c>
      <c r="G4996" s="10" t="s">
        <v>86</v>
      </c>
      <c r="H4996" s="9" t="s">
        <v>35</v>
      </c>
      <c r="I4996" s="9" t="s">
        <v>11684</v>
      </c>
      <c r="J4996" s="10" t="str">
        <f>HYPERLINK("https://www.boe.es/gazeta/dias/1834/08/19/pdfs/GMD-D-1834-185.pdf#page=2","Abrir facsímil")</f>
        <v>Abrir facsímil</v>
      </c>
      <c r="K4996" s="10" t="s">
        <v>37</v>
      </c>
    </row>
    <row r="4997" spans="1:11" ht="54" customHeight="1">
      <c r="A4997" s="9" t="s">
        <v>11685</v>
      </c>
      <c r="B4997" s="9" t="s">
        <v>11686</v>
      </c>
      <c r="C4997" s="9" t="s">
        <v>90</v>
      </c>
      <c r="D4997" s="9" t="s">
        <v>101</v>
      </c>
      <c r="E4997" s="10" t="s">
        <v>615</v>
      </c>
      <c r="F4997" s="9" t="s">
        <v>1205</v>
      </c>
      <c r="G4997" s="10" t="s">
        <v>86</v>
      </c>
      <c r="H4997" s="9" t="s">
        <v>22</v>
      </c>
      <c r="I4997" s="9" t="s">
        <v>11687</v>
      </c>
      <c r="J4997" s="10" t="str">
        <f>HYPERLINK("https://www.boe.es/gazeta/dias/1834/08/19/pdfs/GMD-D-1834-185.pdf#page=2","Abrir facsímil")</f>
        <v>Abrir facsímil</v>
      </c>
      <c r="K4997" s="10" t="s">
        <v>24</v>
      </c>
    </row>
    <row r="4998" spans="1:11" ht="54" customHeight="1">
      <c r="A4998" s="9" t="s">
        <v>11688</v>
      </c>
      <c r="B4998" s="9" t="s">
        <v>11689</v>
      </c>
      <c r="C4998" s="9" t="s">
        <v>90</v>
      </c>
      <c r="D4998" s="9" t="s">
        <v>101</v>
      </c>
      <c r="E4998" s="10" t="s">
        <v>615</v>
      </c>
      <c r="F4998" s="9" t="s">
        <v>1205</v>
      </c>
      <c r="G4998" s="10" t="s">
        <v>86</v>
      </c>
      <c r="H4998" s="9" t="s">
        <v>35</v>
      </c>
      <c r="I4998" s="9" t="s">
        <v>11690</v>
      </c>
      <c r="J4998" s="10" t="str">
        <f>HYPERLINK("https://www.boe.es/gazeta/dias/1834/08/19/pdfs/GMD-D-1834-185.pdf#page=2","Abrir facsímil")</f>
        <v>Abrir facsímil</v>
      </c>
      <c r="K4998" s="10" t="s">
        <v>37</v>
      </c>
    </row>
    <row r="4999" spans="1:11" ht="54" customHeight="1">
      <c r="A4999" s="9" t="s">
        <v>11691</v>
      </c>
      <c r="B4999" s="9" t="s">
        <v>11692</v>
      </c>
      <c r="C4999" s="9" t="s">
        <v>17</v>
      </c>
      <c r="D4999" s="9" t="s">
        <v>18</v>
      </c>
      <c r="E4999" s="10" t="s">
        <v>364</v>
      </c>
      <c r="F4999" s="9" t="s">
        <v>365</v>
      </c>
      <c r="G4999" s="10" t="s">
        <v>28</v>
      </c>
      <c r="H4999" s="9" t="s">
        <v>22</v>
      </c>
      <c r="I4999" s="9" t="s">
        <v>11693</v>
      </c>
      <c r="J4999" s="10" t="str">
        <f>HYPERLINK("https://www.boe.es/gazeta/dias/1834/09/06/pdfs/GMD-C-1834-204.pdf#page=5","Abrir facsímil")</f>
        <v>Abrir facsímil</v>
      </c>
      <c r="K4999" s="10" t="s">
        <v>24</v>
      </c>
    </row>
    <row r="5000" spans="1:11" ht="54" customHeight="1">
      <c r="A5000" s="9" t="s">
        <v>11694</v>
      </c>
      <c r="B5000" s="9" t="s">
        <v>11695</v>
      </c>
      <c r="C5000" s="9" t="s">
        <v>17</v>
      </c>
      <c r="D5000" s="9" t="s">
        <v>18</v>
      </c>
      <c r="E5000" s="10" t="s">
        <v>286</v>
      </c>
      <c r="F5000" s="9" t="s">
        <v>287</v>
      </c>
      <c r="G5000" s="10" t="s">
        <v>21</v>
      </c>
      <c r="H5000" s="9" t="s">
        <v>22</v>
      </c>
      <c r="I5000" s="9" t="s">
        <v>11696</v>
      </c>
      <c r="J5000" s="10" t="str">
        <f>HYPERLINK("https://www.boe.es/gazeta/dias/1834/08/30/pdfs/GMD-C-1834-196.pdf#page=3","Abrir facsímil")</f>
        <v>Abrir facsímil</v>
      </c>
      <c r="K5000" s="10" t="s">
        <v>24</v>
      </c>
    </row>
    <row r="5001" spans="1:11" ht="54" customHeight="1">
      <c r="A5001" s="9" t="s">
        <v>11697</v>
      </c>
      <c r="B5001" s="9" t="s">
        <v>11698</v>
      </c>
      <c r="C5001" s="9" t="s">
        <v>17</v>
      </c>
      <c r="D5001" s="9" t="s">
        <v>18</v>
      </c>
      <c r="E5001" s="10" t="s">
        <v>4105</v>
      </c>
      <c r="F5001" s="9" t="s">
        <v>4106</v>
      </c>
      <c r="G5001" s="10" t="s">
        <v>21</v>
      </c>
      <c r="H5001" s="9" t="s">
        <v>22</v>
      </c>
      <c r="I5001" s="9" t="s">
        <v>11699</v>
      </c>
      <c r="J5001" s="10" t="str">
        <f>HYPERLINK("https://www.boe.es/gazeta/dias/1834/09/02/pdfs/GMD-C-1834-200.pdf#page=3","Abrir facsímil")</f>
        <v>Abrir facsímil</v>
      </c>
      <c r="K5001" s="10" t="s">
        <v>24</v>
      </c>
    </row>
    <row r="5002" spans="1:11" ht="54" customHeight="1">
      <c r="A5002" s="9" t="s">
        <v>11697</v>
      </c>
      <c r="B5002" s="9" t="s">
        <v>11698</v>
      </c>
      <c r="C5002" s="9" t="s">
        <v>17</v>
      </c>
      <c r="D5002" s="9" t="s">
        <v>18</v>
      </c>
      <c r="E5002" s="10" t="s">
        <v>690</v>
      </c>
      <c r="F5002" s="9" t="s">
        <v>691</v>
      </c>
      <c r="G5002" s="10" t="s">
        <v>560</v>
      </c>
      <c r="H5002" s="9" t="s">
        <v>22</v>
      </c>
      <c r="I5002" s="9" t="s">
        <v>11700</v>
      </c>
      <c r="J5002" s="10" t="str">
        <f>HYPERLINK("https://www.boe.es/gazeta/dias/1834/09/03/pdfs/GMD-C-1834-201.pdf#page=7","Abrir facsímil")</f>
        <v>Abrir facsímil</v>
      </c>
      <c r="K5002" s="10" t="s">
        <v>24</v>
      </c>
    </row>
    <row r="5003" spans="1:11" ht="54" customHeight="1">
      <c r="A5003" s="9" t="s">
        <v>11697</v>
      </c>
      <c r="B5003" s="9" t="s">
        <v>11698</v>
      </c>
      <c r="C5003" s="9" t="s">
        <v>17</v>
      </c>
      <c r="D5003" s="9" t="s">
        <v>18</v>
      </c>
      <c r="E5003" s="10" t="s">
        <v>47</v>
      </c>
      <c r="F5003" s="9" t="s">
        <v>48</v>
      </c>
      <c r="G5003" s="10" t="s">
        <v>21</v>
      </c>
      <c r="H5003" s="9" t="s">
        <v>22</v>
      </c>
      <c r="I5003" s="9" t="s">
        <v>11701</v>
      </c>
      <c r="J5003" s="10" t="str">
        <f>HYPERLINK("https://www.boe.es/gazeta/dias/1834/09/05/pdfs/GMD-C-1834-203.pdf#page=3","Abrir facsímil")</f>
        <v>Abrir facsímil</v>
      </c>
      <c r="K5003" s="10" t="s">
        <v>24</v>
      </c>
    </row>
    <row r="5004" spans="1:11" ht="54" customHeight="1">
      <c r="A5004" s="9" t="s">
        <v>11697</v>
      </c>
      <c r="B5004" s="9" t="s">
        <v>11698</v>
      </c>
      <c r="C5004" s="9" t="s">
        <v>17</v>
      </c>
      <c r="D5004" s="9" t="s">
        <v>18</v>
      </c>
      <c r="E5004" s="10" t="s">
        <v>1340</v>
      </c>
      <c r="F5004" s="9" t="s">
        <v>1341</v>
      </c>
      <c r="G5004" s="10" t="s">
        <v>560</v>
      </c>
      <c r="H5004" s="9" t="s">
        <v>22</v>
      </c>
      <c r="I5004" s="9" t="s">
        <v>11702</v>
      </c>
      <c r="J5004" s="10" t="str">
        <f>HYPERLINK("https://www.boe.es/gazeta/dias/1834/10/05/pdfs/GMD-C-1834-233.pdf#page=7","Abrir facsímil")</f>
        <v>Abrir facsímil</v>
      </c>
      <c r="K5004" s="10" t="s">
        <v>24</v>
      </c>
    </row>
    <row r="5005" spans="1:11" ht="54" customHeight="1">
      <c r="A5005" s="9" t="s">
        <v>11697</v>
      </c>
      <c r="B5005" s="9" t="s">
        <v>11698</v>
      </c>
      <c r="C5005" s="9" t="s">
        <v>17</v>
      </c>
      <c r="D5005" s="9" t="s">
        <v>18</v>
      </c>
      <c r="E5005" s="10" t="s">
        <v>334</v>
      </c>
      <c r="F5005" s="9" t="s">
        <v>335</v>
      </c>
      <c r="G5005" s="10" t="s">
        <v>34</v>
      </c>
      <c r="H5005" s="9" t="s">
        <v>22</v>
      </c>
      <c r="I5005" s="9" t="s">
        <v>11703</v>
      </c>
      <c r="J5005" s="10" t="str">
        <f>HYPERLINK("https://www.boe.es/gazeta/dias/1834/09/11/pdfs/GMD-C-1834-209.pdf#page=1","Abrir facsímil")</f>
        <v>Abrir facsímil</v>
      </c>
      <c r="K5005" s="10" t="s">
        <v>24</v>
      </c>
    </row>
    <row r="5006" spans="1:11" ht="54" customHeight="1">
      <c r="A5006" s="9" t="s">
        <v>11697</v>
      </c>
      <c r="B5006" s="9" t="s">
        <v>11698</v>
      </c>
      <c r="C5006" s="9" t="s">
        <v>17</v>
      </c>
      <c r="D5006" s="9" t="s">
        <v>18</v>
      </c>
      <c r="E5006" s="10" t="s">
        <v>96</v>
      </c>
      <c r="F5006" s="9" t="s">
        <v>97</v>
      </c>
      <c r="G5006" s="10" t="s">
        <v>86</v>
      </c>
      <c r="H5006" s="9" t="s">
        <v>22</v>
      </c>
      <c r="I5006" s="9" t="s">
        <v>11704</v>
      </c>
      <c r="J5006" s="10" t="str">
        <f>HYPERLINK("https://www.boe.es/gazeta/dias/1834/11/11/pdfs/GMD-C-1834-270.pdf#page=2","Abrir facsímil")</f>
        <v>Abrir facsímil</v>
      </c>
      <c r="K5006" s="10" t="s">
        <v>24</v>
      </c>
    </row>
    <row r="5007" spans="1:11" ht="54" customHeight="1">
      <c r="A5007" s="9" t="s">
        <v>11697</v>
      </c>
      <c r="B5007" s="9" t="s">
        <v>11698</v>
      </c>
      <c r="C5007" s="9" t="s">
        <v>90</v>
      </c>
      <c r="D5007" s="9" t="s">
        <v>67</v>
      </c>
      <c r="E5007" s="10" t="s">
        <v>707</v>
      </c>
      <c r="F5007" s="9" t="s">
        <v>708</v>
      </c>
      <c r="G5007" s="10" t="s">
        <v>560</v>
      </c>
      <c r="H5007" s="9" t="s">
        <v>22</v>
      </c>
      <c r="I5007" s="9" t="s">
        <v>11705</v>
      </c>
      <c r="J5007" s="10" t="str">
        <f>HYPERLINK("https://www.boe.es/gazeta/dias/1834/11/25/pdfs/GMD-C-1834-284.pdf#page=7","Abrir facsímil")</f>
        <v>Abrir facsímil</v>
      </c>
      <c r="K5007" s="10" t="s">
        <v>24</v>
      </c>
    </row>
    <row r="5008" spans="1:11" ht="54" customHeight="1">
      <c r="A5008" s="9" t="s">
        <v>11697</v>
      </c>
      <c r="B5008" s="9" t="s">
        <v>11698</v>
      </c>
      <c r="C5008" s="9" t="s">
        <v>46</v>
      </c>
      <c r="D5008" s="9" t="s">
        <v>101</v>
      </c>
      <c r="E5008" s="10" t="s">
        <v>462</v>
      </c>
      <c r="F5008" s="9" t="s">
        <v>463</v>
      </c>
      <c r="G5008" s="10" t="s">
        <v>34</v>
      </c>
      <c r="H5008" s="9" t="s">
        <v>22</v>
      </c>
      <c r="I5008" s="9" t="s">
        <v>11706</v>
      </c>
      <c r="J5008" s="10" t="str">
        <f>HYPERLINK("https://www.boe.es/gazeta/dias/1834/08/27/pdfs/GMD-C-1834-193.pdf#page=1","Abrir facsímil")</f>
        <v>Abrir facsímil</v>
      </c>
      <c r="K5008" s="10" t="s">
        <v>24</v>
      </c>
    </row>
    <row r="5009" spans="1:11" ht="54" customHeight="1">
      <c r="A5009" s="9" t="s">
        <v>11697</v>
      </c>
      <c r="B5009" s="9" t="s">
        <v>11698</v>
      </c>
      <c r="C5009" s="9" t="s">
        <v>46</v>
      </c>
      <c r="D5009" s="9" t="s">
        <v>101</v>
      </c>
      <c r="E5009" s="10" t="s">
        <v>294</v>
      </c>
      <c r="F5009" s="9" t="s">
        <v>959</v>
      </c>
      <c r="G5009" s="10" t="s">
        <v>34</v>
      </c>
      <c r="H5009" s="9" t="s">
        <v>22</v>
      </c>
      <c r="I5009" s="9" t="s">
        <v>11707</v>
      </c>
      <c r="J5009" s="10" t="str">
        <f>HYPERLINK("https://www.boe.es/gazeta/dias/1834/09/27/pdfs/GMD-C-1834-225.pdf#page=1","Abrir facsímil")</f>
        <v>Abrir facsímil</v>
      </c>
      <c r="K5009" s="10" t="s">
        <v>24</v>
      </c>
    </row>
    <row r="5010" spans="1:11" ht="54" customHeight="1">
      <c r="A5010" s="9" t="s">
        <v>11697</v>
      </c>
      <c r="B5010" s="9" t="s">
        <v>11698</v>
      </c>
      <c r="C5010" s="9" t="s">
        <v>17</v>
      </c>
      <c r="D5010" s="9" t="s">
        <v>18</v>
      </c>
      <c r="E5010" s="10" t="s">
        <v>465</v>
      </c>
      <c r="F5010" s="9" t="s">
        <v>466</v>
      </c>
      <c r="G5010" s="10" t="s">
        <v>75</v>
      </c>
      <c r="H5010" s="9" t="s">
        <v>22</v>
      </c>
      <c r="I5010" s="9" t="s">
        <v>11708</v>
      </c>
      <c r="J5010" s="10" t="str">
        <f>HYPERLINK("https://www.boe.es/gazeta/dias/1834/11/27/pdfs/GMD-C-1834-286.pdf#page=4","Abrir facsímil")</f>
        <v>Abrir facsímil</v>
      </c>
      <c r="K5010" s="10" t="s">
        <v>24</v>
      </c>
    </row>
    <row r="5011" spans="1:11" ht="54" customHeight="1">
      <c r="A5011" s="9" t="s">
        <v>11697</v>
      </c>
      <c r="B5011" s="9" t="s">
        <v>11698</v>
      </c>
      <c r="C5011" s="9" t="s">
        <v>17</v>
      </c>
      <c r="D5011" s="9" t="s">
        <v>18</v>
      </c>
      <c r="E5011" s="10" t="s">
        <v>465</v>
      </c>
      <c r="F5011" s="9" t="s">
        <v>466</v>
      </c>
      <c r="G5011" s="10" t="s">
        <v>28</v>
      </c>
      <c r="H5011" s="9" t="s">
        <v>22</v>
      </c>
      <c r="I5011" s="9" t="s">
        <v>11709</v>
      </c>
      <c r="J5011" s="10" t="str">
        <f>HYPERLINK("https://www.boe.es/gazeta/dias/1834/11/27/pdfs/GMD-C-1834-286.pdf#page=5","Abrir facsímil")</f>
        <v>Abrir facsímil</v>
      </c>
      <c r="K5011" s="10" t="s">
        <v>24</v>
      </c>
    </row>
    <row r="5012" spans="1:11" ht="54" customHeight="1">
      <c r="A5012" s="9" t="s">
        <v>11697</v>
      </c>
      <c r="B5012" s="9" t="s">
        <v>11698</v>
      </c>
      <c r="C5012" s="9" t="s">
        <v>17</v>
      </c>
      <c r="D5012" s="9" t="s">
        <v>18</v>
      </c>
      <c r="E5012" s="10" t="s">
        <v>280</v>
      </c>
      <c r="F5012" s="9" t="s">
        <v>281</v>
      </c>
      <c r="G5012" s="10" t="s">
        <v>21</v>
      </c>
      <c r="H5012" s="9" t="s">
        <v>22</v>
      </c>
      <c r="I5012" s="9" t="s">
        <v>11710</v>
      </c>
      <c r="J5012" s="10" t="str">
        <f>HYPERLINK("https://www.boe.es/gazeta/dias/1834/08/29/pdfs/GMD-C-1834-195.pdf#page=3","Abrir facsímil")</f>
        <v>Abrir facsímil</v>
      </c>
      <c r="K5012" s="10" t="s">
        <v>24</v>
      </c>
    </row>
    <row r="5013" spans="1:11" ht="54" customHeight="1">
      <c r="A5013" s="9" t="s">
        <v>11697</v>
      </c>
      <c r="B5013" s="9" t="s">
        <v>11698</v>
      </c>
      <c r="C5013" s="9" t="s">
        <v>66</v>
      </c>
      <c r="D5013" s="9" t="s">
        <v>67</v>
      </c>
      <c r="E5013" s="10" t="s">
        <v>286</v>
      </c>
      <c r="F5013" s="9" t="s">
        <v>287</v>
      </c>
      <c r="G5013" s="10" t="s">
        <v>28</v>
      </c>
      <c r="H5013" s="9" t="s">
        <v>22</v>
      </c>
      <c r="I5013" s="9" t="s">
        <v>11711</v>
      </c>
      <c r="J5013" s="10" t="str">
        <f>HYPERLINK("https://www.boe.es/gazeta/dias/1834/08/30/pdfs/GMD-C-1834-196.pdf#page=5","Abrir facsímil")</f>
        <v>Abrir facsímil</v>
      </c>
      <c r="K5013" s="10" t="s">
        <v>24</v>
      </c>
    </row>
    <row r="5014" spans="1:11" ht="54" customHeight="1">
      <c r="A5014" s="9" t="s">
        <v>11712</v>
      </c>
      <c r="B5014" s="9" t="s">
        <v>11713</v>
      </c>
      <c r="C5014" s="9" t="s">
        <v>66</v>
      </c>
      <c r="D5014" s="9" t="s">
        <v>18</v>
      </c>
      <c r="E5014" s="10" t="s">
        <v>719</v>
      </c>
      <c r="F5014" s="9" t="s">
        <v>720</v>
      </c>
      <c r="G5014" s="10" t="s">
        <v>21</v>
      </c>
      <c r="H5014" s="9" t="s">
        <v>22</v>
      </c>
      <c r="I5014" s="9" t="s">
        <v>11714</v>
      </c>
      <c r="J5014" s="10" t="str">
        <f>HYPERLINK("https://www.boe.es/gazeta/dias/1834/04/29/pdfs/GMD-1834-68.pdf#page=3","Abrir facsímil")</f>
        <v>Abrir facsímil</v>
      </c>
      <c r="K5014" s="10" t="s">
        <v>24</v>
      </c>
    </row>
    <row r="5015" spans="1:11" ht="54" customHeight="1">
      <c r="A5015" s="9" t="s">
        <v>11715</v>
      </c>
      <c r="B5015" s="9" t="s">
        <v>11716</v>
      </c>
      <c r="C5015" s="9" t="s">
        <v>66</v>
      </c>
      <c r="D5015" s="9" t="s">
        <v>67</v>
      </c>
      <c r="E5015" s="10" t="s">
        <v>919</v>
      </c>
      <c r="F5015" s="9" t="s">
        <v>920</v>
      </c>
      <c r="G5015" s="10" t="s">
        <v>75</v>
      </c>
      <c r="H5015" s="9" t="s">
        <v>22</v>
      </c>
      <c r="I5015" s="9" t="s">
        <v>11717</v>
      </c>
      <c r="J5015" s="10" t="str">
        <f>HYPERLINK("https://www.boe.es/gazeta/dias/1834/06/24/pdfs/GMD-1834-127.pdf#page=4","Abrir facsímil")</f>
        <v>Abrir facsímil</v>
      </c>
      <c r="K5015" s="10" t="s">
        <v>24</v>
      </c>
    </row>
    <row r="5016" spans="1:11" ht="54" customHeight="1">
      <c r="A5016" s="9" t="s">
        <v>11718</v>
      </c>
      <c r="B5016" s="9" t="s">
        <v>11719</v>
      </c>
      <c r="C5016" s="9" t="s">
        <v>66</v>
      </c>
      <c r="D5016" s="9" t="s">
        <v>18</v>
      </c>
      <c r="E5016" s="10" t="s">
        <v>1323</v>
      </c>
      <c r="F5016" s="9" t="s">
        <v>1324</v>
      </c>
      <c r="G5016" s="10" t="s">
        <v>34</v>
      </c>
      <c r="H5016" s="9" t="s">
        <v>22</v>
      </c>
      <c r="I5016" s="9" t="s">
        <v>11720</v>
      </c>
      <c r="J5016" s="10" t="str">
        <f>HYPERLINK("https://www.boe.es/gazeta/dias/1834/05/22/pdfs/GMD-1834-91.pdf#page=1","Abrir facsímil")</f>
        <v>Abrir facsímil</v>
      </c>
      <c r="K5016" s="10" t="s">
        <v>24</v>
      </c>
    </row>
    <row r="5017" spans="1:11" ht="54" customHeight="1">
      <c r="A5017" s="9" t="s">
        <v>11721</v>
      </c>
      <c r="B5017" s="9" t="s">
        <v>11722</v>
      </c>
      <c r="C5017" s="9" t="s">
        <v>17</v>
      </c>
      <c r="D5017" s="9" t="s">
        <v>18</v>
      </c>
      <c r="E5017" s="10" t="s">
        <v>265</v>
      </c>
      <c r="F5017" s="9" t="s">
        <v>969</v>
      </c>
      <c r="G5017" s="10" t="s">
        <v>75</v>
      </c>
      <c r="H5017" s="9" t="s">
        <v>22</v>
      </c>
      <c r="I5017" s="9" t="s">
        <v>11723</v>
      </c>
      <c r="J5017" s="10" t="str">
        <f>HYPERLINK("https://www.boe.es/gazeta/dias/1834/11/19/pdfs/GMD-1834-278.pdf#page=4","Abrir facsímil")</f>
        <v>Abrir facsímil</v>
      </c>
      <c r="K5017" s="10" t="s">
        <v>24</v>
      </c>
    </row>
    <row r="5018" spans="1:11" ht="54" customHeight="1">
      <c r="A5018" s="9" t="s">
        <v>11724</v>
      </c>
      <c r="B5018" s="9" t="s">
        <v>11725</v>
      </c>
      <c r="C5018" s="9" t="s">
        <v>17</v>
      </c>
      <c r="D5018" s="9" t="s">
        <v>18</v>
      </c>
      <c r="E5018" s="10" t="s">
        <v>84</v>
      </c>
      <c r="F5018" s="9" t="s">
        <v>1223</v>
      </c>
      <c r="G5018" s="10" t="s">
        <v>21</v>
      </c>
      <c r="H5018" s="9" t="s">
        <v>22</v>
      </c>
      <c r="I5018" s="9" t="s">
        <v>11726</v>
      </c>
      <c r="J5018" s="10" t="str">
        <f>HYPERLINK("https://www.boe.es/gazeta/dias/1834/06/07/pdfs/GMD-1834-109.pdf#page=3","Abrir facsímil")</f>
        <v>Abrir facsímil</v>
      </c>
      <c r="K5018" s="10" t="s">
        <v>24</v>
      </c>
    </row>
    <row r="5019" spans="1:11" ht="54" customHeight="1">
      <c r="A5019" s="9" t="s">
        <v>11724</v>
      </c>
      <c r="B5019" s="9" t="s">
        <v>11725</v>
      </c>
      <c r="C5019" s="9" t="s">
        <v>17</v>
      </c>
      <c r="D5019" s="9" t="s">
        <v>18</v>
      </c>
      <c r="E5019" s="10" t="s">
        <v>84</v>
      </c>
      <c r="F5019" s="9" t="s">
        <v>1223</v>
      </c>
      <c r="G5019" s="10" t="s">
        <v>75</v>
      </c>
      <c r="H5019" s="9" t="s">
        <v>22</v>
      </c>
      <c r="I5019" s="9" t="s">
        <v>11727</v>
      </c>
      <c r="J5019" s="10" t="str">
        <f>HYPERLINK("https://www.boe.es/gazeta/dias/1834/06/07/pdfs/GMD-1834-109.pdf#page=4","Abrir facsímil")</f>
        <v>Abrir facsímil</v>
      </c>
      <c r="K5019" s="10" t="s">
        <v>24</v>
      </c>
    </row>
    <row r="5020" spans="1:11" ht="54" customHeight="1">
      <c r="A5020" s="9" t="s">
        <v>11728</v>
      </c>
      <c r="B5020" s="9" t="s">
        <v>11729</v>
      </c>
      <c r="C5020" s="9" t="s">
        <v>46</v>
      </c>
      <c r="D5020" s="9" t="s">
        <v>55</v>
      </c>
      <c r="E5020" s="10" t="s">
        <v>251</v>
      </c>
      <c r="F5020" s="9" t="s">
        <v>1278</v>
      </c>
      <c r="G5020" s="10" t="s">
        <v>86</v>
      </c>
      <c r="H5020" s="9" t="s">
        <v>22</v>
      </c>
      <c r="I5020" s="9" t="s">
        <v>11730</v>
      </c>
      <c r="J5020" s="10" t="str">
        <f>HYPERLINK("https://www.boe.es/gazeta/dias/1834/09/26/pdfs/GMD-1834-224.pdf#page=2","Abrir facsímil")</f>
        <v>Abrir facsímil</v>
      </c>
      <c r="K5020" s="10" t="s">
        <v>24</v>
      </c>
    </row>
    <row r="5021" spans="1:11" ht="54" customHeight="1">
      <c r="A5021" s="9" t="s">
        <v>11731</v>
      </c>
      <c r="B5021" s="9" t="s">
        <v>11732</v>
      </c>
      <c r="C5021" s="9" t="s">
        <v>17</v>
      </c>
      <c r="D5021" s="9" t="s">
        <v>18</v>
      </c>
      <c r="E5021" s="10" t="s">
        <v>563</v>
      </c>
      <c r="F5021" s="9" t="s">
        <v>564</v>
      </c>
      <c r="G5021" s="10" t="s">
        <v>34</v>
      </c>
      <c r="H5021" s="9" t="s">
        <v>22</v>
      </c>
      <c r="I5021" s="9" t="s">
        <v>11733</v>
      </c>
      <c r="J5021" s="10" t="str">
        <f>HYPERLINK("https://www.boe.es/gazeta/dias/1834/04/19/pdfs/GMD-1834-58.pdf#page=1","Abrir facsímil")</f>
        <v>Abrir facsímil</v>
      </c>
      <c r="K5021" s="10" t="s">
        <v>24</v>
      </c>
    </row>
    <row r="5022" spans="1:11" ht="54" customHeight="1">
      <c r="A5022" s="9" t="s">
        <v>11734</v>
      </c>
      <c r="B5022" s="9" t="s">
        <v>11735</v>
      </c>
      <c r="C5022" s="9" t="s">
        <v>17</v>
      </c>
      <c r="D5022" s="9" t="s">
        <v>18</v>
      </c>
      <c r="E5022" s="10" t="s">
        <v>11736</v>
      </c>
      <c r="F5022" s="9" t="s">
        <v>11737</v>
      </c>
      <c r="G5022" s="10" t="s">
        <v>75</v>
      </c>
      <c r="H5022" s="9" t="s">
        <v>22</v>
      </c>
      <c r="I5022" s="9" t="s">
        <v>11738</v>
      </c>
      <c r="J5022" s="10" t="str">
        <f>HYPERLINK("https://www.boe.es/gazeta/dias/1834/04/11/pdfs/GMD-1834-50.pdf#page=4","Abrir facsímil")</f>
        <v>Abrir facsímil</v>
      </c>
      <c r="K5022" s="10" t="s">
        <v>24</v>
      </c>
    </row>
    <row r="5023" spans="1:11" ht="54" customHeight="1">
      <c r="A5023" s="9" t="s">
        <v>11739</v>
      </c>
      <c r="B5023" s="9" t="s">
        <v>11740</v>
      </c>
      <c r="C5023" s="9" t="s">
        <v>17</v>
      </c>
      <c r="D5023" s="9" t="s">
        <v>18</v>
      </c>
      <c r="E5023" s="10" t="s">
        <v>11736</v>
      </c>
      <c r="F5023" s="9" t="s">
        <v>11737</v>
      </c>
      <c r="G5023" s="10" t="s">
        <v>75</v>
      </c>
      <c r="H5023" s="9" t="s">
        <v>22</v>
      </c>
      <c r="I5023" s="9" t="s">
        <v>11741</v>
      </c>
      <c r="J5023" s="10" t="str">
        <f>HYPERLINK("https://www.boe.es/gazeta/dias/1834/04/11/pdfs/GMD-1834-50.pdf#page=4","Abrir facsímil")</f>
        <v>Abrir facsímil</v>
      </c>
      <c r="K5023" s="10" t="s">
        <v>24</v>
      </c>
    </row>
    <row r="5024" spans="1:11" ht="54" customHeight="1">
      <c r="A5024" s="9" t="s">
        <v>11742</v>
      </c>
      <c r="B5024" s="9" t="s">
        <v>11743</v>
      </c>
      <c r="C5024" s="9" t="s">
        <v>17</v>
      </c>
      <c r="D5024" s="9" t="s">
        <v>18</v>
      </c>
      <c r="E5024" s="10" t="s">
        <v>11736</v>
      </c>
      <c r="F5024" s="9" t="s">
        <v>11737</v>
      </c>
      <c r="G5024" s="10" t="s">
        <v>75</v>
      </c>
      <c r="H5024" s="9" t="s">
        <v>22</v>
      </c>
      <c r="I5024" s="9" t="s">
        <v>11744</v>
      </c>
      <c r="J5024" s="10" t="str">
        <f>HYPERLINK("https://www.boe.es/gazeta/dias/1834/04/11/pdfs/GMD-1834-50.pdf#page=4","Abrir facsímil")</f>
        <v>Abrir facsímil</v>
      </c>
      <c r="K5024" s="10" t="s">
        <v>24</v>
      </c>
    </row>
    <row r="5025" spans="1:11" ht="54" customHeight="1">
      <c r="A5025" s="9" t="s">
        <v>11745</v>
      </c>
      <c r="B5025" s="9" t="s">
        <v>11746</v>
      </c>
      <c r="C5025" s="9" t="s">
        <v>17</v>
      </c>
      <c r="D5025" s="9" t="s">
        <v>18</v>
      </c>
      <c r="E5025" s="10" t="s">
        <v>1850</v>
      </c>
      <c r="F5025" s="9" t="s">
        <v>1851</v>
      </c>
      <c r="G5025" s="10" t="s">
        <v>560</v>
      </c>
      <c r="H5025" s="9" t="s">
        <v>22</v>
      </c>
      <c r="I5025" s="9" t="s">
        <v>11747</v>
      </c>
      <c r="J5025" s="10" t="str">
        <f>HYPERLINK("https://www.boe.es/gazeta/dias/1834/02/18/pdfs/GMD-1834-22.pdf#page=7","Abrir facsímil")</f>
        <v>Abrir facsímil</v>
      </c>
      <c r="K5025" s="10" t="s">
        <v>24</v>
      </c>
    </row>
    <row r="5026" spans="1:11" ht="54" customHeight="1">
      <c r="A5026" s="9" t="s">
        <v>11748</v>
      </c>
      <c r="B5026" s="9" t="s">
        <v>11749</v>
      </c>
      <c r="C5026" s="9" t="s">
        <v>17</v>
      </c>
      <c r="D5026" s="9" t="s">
        <v>18</v>
      </c>
      <c r="E5026" s="10" t="s">
        <v>1340</v>
      </c>
      <c r="F5026" s="9" t="s">
        <v>1341</v>
      </c>
      <c r="G5026" s="10" t="s">
        <v>86</v>
      </c>
      <c r="H5026" s="9" t="s">
        <v>22</v>
      </c>
      <c r="I5026" s="9" t="s">
        <v>11750</v>
      </c>
      <c r="J5026" s="10" t="str">
        <f>HYPERLINK("https://www.boe.es/gazeta/dias/1834/10/05/pdfs/GMD-C-1834-233.pdf#page=2","Abrir facsímil")</f>
        <v>Abrir facsímil</v>
      </c>
      <c r="K5026" s="10" t="s">
        <v>24</v>
      </c>
    </row>
    <row r="5027" spans="1:11" ht="54" customHeight="1">
      <c r="A5027" s="9" t="s">
        <v>11748</v>
      </c>
      <c r="B5027" s="9" t="s">
        <v>11749</v>
      </c>
      <c r="C5027" s="9" t="s">
        <v>17</v>
      </c>
      <c r="D5027" s="9" t="s">
        <v>18</v>
      </c>
      <c r="E5027" s="10" t="s">
        <v>3036</v>
      </c>
      <c r="F5027" s="9" t="s">
        <v>3037</v>
      </c>
      <c r="G5027" s="10" t="s">
        <v>75</v>
      </c>
      <c r="H5027" s="9" t="s">
        <v>22</v>
      </c>
      <c r="I5027" s="9" t="s">
        <v>11751</v>
      </c>
      <c r="J5027" s="10" t="str">
        <f>HYPERLINK("https://www.boe.es/gazeta/dias/1834/11/18/pdfs/GMD-C-1834-277.pdf#page=4","Abrir facsímil")</f>
        <v>Abrir facsímil</v>
      </c>
      <c r="K5027" s="10" t="s">
        <v>24</v>
      </c>
    </row>
    <row r="5028" spans="1:11" ht="54" customHeight="1">
      <c r="A5028" s="9" t="s">
        <v>11752</v>
      </c>
      <c r="B5028" s="9" t="s">
        <v>11753</v>
      </c>
      <c r="C5028" s="9" t="s">
        <v>17</v>
      </c>
      <c r="D5028" s="9" t="s">
        <v>18</v>
      </c>
      <c r="E5028" s="10" t="s">
        <v>715</v>
      </c>
      <c r="F5028" s="9" t="s">
        <v>716</v>
      </c>
      <c r="G5028" s="10" t="s">
        <v>86</v>
      </c>
      <c r="H5028" s="9" t="s">
        <v>22</v>
      </c>
      <c r="I5028" s="9" t="s">
        <v>11754</v>
      </c>
      <c r="J5028" s="10" t="str">
        <f>HYPERLINK("https://www.boe.es/gazeta/dias/1834/09/17/pdfs/GMD-C-1834-215.pdf#page=2","Abrir facsímil")</f>
        <v>Abrir facsímil</v>
      </c>
      <c r="K5028" s="10" t="s">
        <v>24</v>
      </c>
    </row>
    <row r="5029" spans="1:11" ht="54" customHeight="1">
      <c r="A5029" s="9" t="s">
        <v>11755</v>
      </c>
      <c r="B5029" s="9" t="s">
        <v>11756</v>
      </c>
      <c r="C5029" s="9" t="s">
        <v>17</v>
      </c>
      <c r="D5029" s="9" t="s">
        <v>18</v>
      </c>
      <c r="E5029" s="10" t="s">
        <v>679</v>
      </c>
      <c r="F5029" s="9" t="s">
        <v>699</v>
      </c>
      <c r="G5029" s="10" t="s">
        <v>21</v>
      </c>
      <c r="H5029" s="9" t="s">
        <v>22</v>
      </c>
      <c r="I5029" s="9" t="s">
        <v>11757</v>
      </c>
      <c r="J5029" s="10" t="str">
        <f>HYPERLINK("https://www.boe.es/gazeta/dias/1834/12/10/pdfs/GMD-C-1834-299.pdf#page=3","Abrir facsímil")</f>
        <v>Abrir facsímil</v>
      </c>
      <c r="K5029" s="10" t="s">
        <v>24</v>
      </c>
    </row>
    <row r="5030" spans="1:11" ht="54" customHeight="1">
      <c r="A5030" s="9" t="s">
        <v>11755</v>
      </c>
      <c r="B5030" s="9" t="s">
        <v>11756</v>
      </c>
      <c r="C5030" s="9" t="s">
        <v>122</v>
      </c>
      <c r="D5030" s="9" t="s">
        <v>18</v>
      </c>
      <c r="E5030" s="10" t="s">
        <v>1186</v>
      </c>
      <c r="F5030" s="9" t="s">
        <v>4286</v>
      </c>
      <c r="G5030" s="10" t="s">
        <v>34</v>
      </c>
      <c r="H5030" s="9" t="s">
        <v>22</v>
      </c>
      <c r="I5030" s="9" t="s">
        <v>11758</v>
      </c>
      <c r="J5030" s="10" t="str">
        <f>HYPERLINK("https://www.boe.es/gazeta/dias/1834/08/14/pdfs/GMD-C-1834-179.pdf#page=1","Abrir facsímil")</f>
        <v>Abrir facsímil</v>
      </c>
      <c r="K5030" s="10" t="s">
        <v>24</v>
      </c>
    </row>
    <row r="5031" spans="1:11" ht="54" customHeight="1">
      <c r="A5031" s="9" t="s">
        <v>11755</v>
      </c>
      <c r="B5031" s="9" t="s">
        <v>11756</v>
      </c>
      <c r="C5031" s="9" t="s">
        <v>17</v>
      </c>
      <c r="D5031" s="9" t="s">
        <v>18</v>
      </c>
      <c r="E5031" s="10" t="s">
        <v>1186</v>
      </c>
      <c r="F5031" s="9" t="s">
        <v>4286</v>
      </c>
      <c r="G5031" s="10" t="s">
        <v>86</v>
      </c>
      <c r="H5031" s="9" t="s">
        <v>22</v>
      </c>
      <c r="I5031" s="9" t="s">
        <v>11759</v>
      </c>
      <c r="J5031" s="10" t="str">
        <f>HYPERLINK("https://www.boe.es/gazeta/dias/1834/08/14/pdfs/GMD-C-1834-179.pdf#page=2","Abrir facsímil")</f>
        <v>Abrir facsímil</v>
      </c>
      <c r="K5031" s="10" t="s">
        <v>24</v>
      </c>
    </row>
    <row r="5032" spans="1:11" ht="54" customHeight="1">
      <c r="A5032" s="9" t="s">
        <v>11760</v>
      </c>
      <c r="B5032" s="9" t="s">
        <v>11761</v>
      </c>
      <c r="C5032" s="9" t="s">
        <v>46</v>
      </c>
      <c r="D5032" s="9" t="s">
        <v>101</v>
      </c>
      <c r="E5032" s="10" t="s">
        <v>1438</v>
      </c>
      <c r="F5032" s="9" t="s">
        <v>1439</v>
      </c>
      <c r="G5032" s="10" t="s">
        <v>34</v>
      </c>
      <c r="H5032" s="9" t="s">
        <v>22</v>
      </c>
      <c r="I5032" s="9" t="s">
        <v>11762</v>
      </c>
      <c r="J5032" s="10" t="str">
        <f>HYPERLINK("https://www.boe.es/gazeta/dias/1834/05/13/pdfs/GMD-1834-82.pdf#page=1","Abrir facsímil")</f>
        <v>Abrir facsímil</v>
      </c>
      <c r="K5032" s="10" t="s">
        <v>24</v>
      </c>
    </row>
    <row r="5033" spans="1:11" ht="54" customHeight="1">
      <c r="A5033" s="9" t="s">
        <v>11763</v>
      </c>
      <c r="B5033" s="9" t="s">
        <v>11764</v>
      </c>
      <c r="C5033" s="9" t="s">
        <v>17</v>
      </c>
      <c r="D5033" s="9" t="s">
        <v>18</v>
      </c>
      <c r="E5033" s="10" t="s">
        <v>724</v>
      </c>
      <c r="F5033" s="9" t="s">
        <v>725</v>
      </c>
      <c r="G5033" s="10" t="s">
        <v>34</v>
      </c>
      <c r="H5033" s="9" t="s">
        <v>22</v>
      </c>
      <c r="I5033" s="9" t="s">
        <v>11765</v>
      </c>
      <c r="J5033" s="10" t="str">
        <f>HYPERLINK("https://www.boe.es/gazeta/dias/1834/04/25/pdfs/GMD-1834-64.pdf#page=1","Abrir facsímil")</f>
        <v>Abrir facsímil</v>
      </c>
      <c r="K5033" s="10" t="s">
        <v>24</v>
      </c>
    </row>
    <row r="5034" spans="1:11" ht="54" customHeight="1">
      <c r="A5034" s="9" t="s">
        <v>11766</v>
      </c>
      <c r="B5034" s="9" t="s">
        <v>11767</v>
      </c>
      <c r="C5034" s="9" t="s">
        <v>17</v>
      </c>
      <c r="D5034" s="9" t="s">
        <v>18</v>
      </c>
      <c r="E5034" s="10" t="s">
        <v>1424</v>
      </c>
      <c r="F5034" s="9" t="s">
        <v>1425</v>
      </c>
      <c r="G5034" s="10" t="s">
        <v>28</v>
      </c>
      <c r="H5034" s="9" t="s">
        <v>22</v>
      </c>
      <c r="I5034" s="9" t="s">
        <v>11768</v>
      </c>
      <c r="J5034" s="10" t="str">
        <f>HYPERLINK("https://www.boe.es/gazeta/dias/1834/11/14/pdfs/GMD-C-1834-273.pdf#page=5","Abrir facsímil")</f>
        <v>Abrir facsímil</v>
      </c>
      <c r="K5034" s="10" t="s">
        <v>24</v>
      </c>
    </row>
    <row r="5035" spans="1:11" ht="54" customHeight="1">
      <c r="A5035" s="9" t="s">
        <v>11769</v>
      </c>
      <c r="B5035" s="9" t="s">
        <v>11770</v>
      </c>
      <c r="C5035" s="9" t="s">
        <v>17</v>
      </c>
      <c r="D5035" s="9" t="s">
        <v>18</v>
      </c>
      <c r="E5035" s="10" t="s">
        <v>1340</v>
      </c>
      <c r="F5035" s="9" t="s">
        <v>1341</v>
      </c>
      <c r="G5035" s="10" t="s">
        <v>86</v>
      </c>
      <c r="H5035" s="9" t="s">
        <v>22</v>
      </c>
      <c r="I5035" s="9" t="s">
        <v>11771</v>
      </c>
      <c r="J5035" s="10" t="str">
        <f>HYPERLINK("https://www.boe.es/gazeta/dias/1834/10/05/pdfs/GMD-C-1834-233.pdf#page=2","Abrir facsímil")</f>
        <v>Abrir facsímil</v>
      </c>
      <c r="K5035" s="10" t="s">
        <v>24</v>
      </c>
    </row>
    <row r="5036" spans="1:11" ht="54" customHeight="1">
      <c r="A5036" s="9" t="s">
        <v>11769</v>
      </c>
      <c r="B5036" s="9" t="s">
        <v>11770</v>
      </c>
      <c r="C5036" s="9" t="s">
        <v>46</v>
      </c>
      <c r="D5036" s="9" t="s">
        <v>101</v>
      </c>
      <c r="E5036" s="10" t="s">
        <v>1438</v>
      </c>
      <c r="F5036" s="9" t="s">
        <v>1439</v>
      </c>
      <c r="G5036" s="10" t="s">
        <v>34</v>
      </c>
      <c r="H5036" s="9" t="s">
        <v>22</v>
      </c>
      <c r="I5036" s="9" t="s">
        <v>11772</v>
      </c>
      <c r="J5036" s="10" t="str">
        <f>HYPERLINK("https://www.boe.es/gazeta/dias/1834/05/13/pdfs/GMD-1834-82.pdf#page=1","Abrir facsímil")</f>
        <v>Abrir facsímil</v>
      </c>
      <c r="K5036" s="10" t="s">
        <v>24</v>
      </c>
    </row>
    <row r="5037" spans="1:11" ht="54" customHeight="1">
      <c r="A5037" s="9" t="s">
        <v>11769</v>
      </c>
      <c r="B5037" s="9" t="s">
        <v>11770</v>
      </c>
      <c r="C5037" s="9" t="s">
        <v>17</v>
      </c>
      <c r="D5037" s="9" t="s">
        <v>18</v>
      </c>
      <c r="E5037" s="10" t="s">
        <v>479</v>
      </c>
      <c r="F5037" s="9" t="s">
        <v>2258</v>
      </c>
      <c r="G5037" s="10" t="s">
        <v>86</v>
      </c>
      <c r="H5037" s="9" t="s">
        <v>22</v>
      </c>
      <c r="I5037" s="9" t="s">
        <v>11773</v>
      </c>
      <c r="J5037" s="10" t="str">
        <f>HYPERLINK("https://www.boe.es/gazeta/dias/1834/08/13/pdfs/GMD-C-1834-178.pdf#page=2","Abrir facsímil")</f>
        <v>Abrir facsímil</v>
      </c>
      <c r="K5037" s="10" t="s">
        <v>24</v>
      </c>
    </row>
    <row r="5038" spans="1:11" ht="54" customHeight="1">
      <c r="A5038" s="9" t="s">
        <v>11769</v>
      </c>
      <c r="B5038" s="9" t="s">
        <v>11770</v>
      </c>
      <c r="C5038" s="9" t="s">
        <v>46</v>
      </c>
      <c r="D5038" s="9" t="s">
        <v>101</v>
      </c>
      <c r="E5038" s="10" t="s">
        <v>2287</v>
      </c>
      <c r="F5038" s="9" t="s">
        <v>4741</v>
      </c>
      <c r="G5038" s="10" t="s">
        <v>86</v>
      </c>
      <c r="H5038" s="9" t="s">
        <v>22</v>
      </c>
      <c r="I5038" s="9" t="s">
        <v>11774</v>
      </c>
      <c r="J5038" s="10" t="str">
        <f>HYPERLINK("https://www.boe.es/gazeta/dias/1834/12/18/pdfs/GMD-1834-308.pdf#page=2","Abrir facsímil")</f>
        <v>Abrir facsímil</v>
      </c>
      <c r="K5038" s="10" t="s">
        <v>24</v>
      </c>
    </row>
    <row r="5039" spans="1:11" ht="54" customHeight="1">
      <c r="A5039" s="9" t="s">
        <v>11769</v>
      </c>
      <c r="B5039" s="9" t="s">
        <v>11770</v>
      </c>
      <c r="C5039" s="9" t="s">
        <v>17</v>
      </c>
      <c r="D5039" s="9" t="s">
        <v>18</v>
      </c>
      <c r="E5039" s="10" t="s">
        <v>2287</v>
      </c>
      <c r="F5039" s="9" t="s">
        <v>2288</v>
      </c>
      <c r="G5039" s="10" t="s">
        <v>176</v>
      </c>
      <c r="H5039" s="9" t="s">
        <v>22</v>
      </c>
      <c r="I5039" s="9" t="s">
        <v>11775</v>
      </c>
      <c r="J5039" s="10" t="str">
        <f>HYPERLINK("https://www.boe.es/gazeta/dias/1834/12/18/pdfs/GMD-C-1834-308.pdf#page=6","Abrir facsímil")</f>
        <v>Abrir facsímil</v>
      </c>
      <c r="K5039" s="10" t="s">
        <v>24</v>
      </c>
    </row>
    <row r="5040" spans="1:11" ht="54" customHeight="1">
      <c r="A5040" s="9" t="s">
        <v>11769</v>
      </c>
      <c r="B5040" s="9" t="s">
        <v>11770</v>
      </c>
      <c r="C5040" s="9" t="s">
        <v>17</v>
      </c>
      <c r="D5040" s="9" t="s">
        <v>18</v>
      </c>
      <c r="E5040" s="10" t="s">
        <v>647</v>
      </c>
      <c r="F5040" s="9" t="s">
        <v>648</v>
      </c>
      <c r="G5040" s="10" t="s">
        <v>28</v>
      </c>
      <c r="H5040" s="9" t="s">
        <v>22</v>
      </c>
      <c r="I5040" s="9" t="s">
        <v>11776</v>
      </c>
      <c r="J5040" s="10" t="str">
        <f>HYPERLINK("https://www.boe.es/gazeta/dias/1834/10/21/pdfs/GMD-C-1834-249.pdf#page=5","Abrir facsímil")</f>
        <v>Abrir facsímil</v>
      </c>
      <c r="K5040" s="10" t="s">
        <v>24</v>
      </c>
    </row>
    <row r="5041" spans="1:11" ht="54" customHeight="1">
      <c r="A5041" s="9" t="s">
        <v>11769</v>
      </c>
      <c r="B5041" s="9" t="s">
        <v>11770</v>
      </c>
      <c r="C5041" s="9" t="s">
        <v>17</v>
      </c>
      <c r="D5041" s="9" t="s">
        <v>18</v>
      </c>
      <c r="E5041" s="10" t="s">
        <v>1674</v>
      </c>
      <c r="F5041" s="9" t="s">
        <v>3233</v>
      </c>
      <c r="G5041" s="10" t="s">
        <v>34</v>
      </c>
      <c r="H5041" s="9" t="s">
        <v>22</v>
      </c>
      <c r="I5041" s="9" t="s">
        <v>11777</v>
      </c>
      <c r="J5041" s="10" t="str">
        <f>HYPERLINK("https://www.boe.es/gazeta/dias/1834/07/25/pdfs/GMD-C-1834-158.pdf#page=1","Abrir facsímil")</f>
        <v>Abrir facsímil</v>
      </c>
      <c r="K5041" s="10" t="s">
        <v>24</v>
      </c>
    </row>
    <row r="5042" spans="1:11" ht="54" customHeight="1">
      <c r="A5042" s="9" t="s">
        <v>11769</v>
      </c>
      <c r="B5042" s="9" t="s">
        <v>11770</v>
      </c>
      <c r="C5042" s="9" t="s">
        <v>90</v>
      </c>
      <c r="D5042" s="9" t="s">
        <v>18</v>
      </c>
      <c r="E5042" s="10" t="s">
        <v>1692</v>
      </c>
      <c r="F5042" s="9" t="s">
        <v>3985</v>
      </c>
      <c r="G5042" s="10" t="s">
        <v>34</v>
      </c>
      <c r="H5042" s="9" t="s">
        <v>22</v>
      </c>
      <c r="I5042" s="9" t="s">
        <v>11778</v>
      </c>
      <c r="J5042" s="10" t="str">
        <f>HYPERLINK("https://www.boe.es/gazeta/dias/1834/07/29/pdfs/GMD-C-1834-162.pdf#page=1","Abrir facsímil")</f>
        <v>Abrir facsímil</v>
      </c>
      <c r="K5042" s="10" t="s">
        <v>24</v>
      </c>
    </row>
    <row r="5043" spans="1:11" ht="54" customHeight="1">
      <c r="A5043" s="9" t="s">
        <v>11779</v>
      </c>
      <c r="B5043" s="9" t="s">
        <v>11780</v>
      </c>
      <c r="C5043" s="9" t="s">
        <v>66</v>
      </c>
      <c r="D5043" s="9" t="s">
        <v>67</v>
      </c>
      <c r="E5043" s="10" t="s">
        <v>1297</v>
      </c>
      <c r="F5043" s="9" t="s">
        <v>1879</v>
      </c>
      <c r="G5043" s="10" t="s">
        <v>34</v>
      </c>
      <c r="H5043" s="9" t="s">
        <v>22</v>
      </c>
      <c r="I5043" s="9" t="s">
        <v>11781</v>
      </c>
      <c r="J5043" s="10" t="str">
        <f>HYPERLINK("https://www.boe.es/gazeta/dias/1834/08/01/pdfs/GMD-C-1834-165.pdf#page=1","Abrir facsímil")</f>
        <v>Abrir facsímil</v>
      </c>
      <c r="K5043" s="10" t="s">
        <v>24</v>
      </c>
    </row>
    <row r="5044" spans="1:11" ht="54" customHeight="1">
      <c r="A5044" s="9" t="s">
        <v>11782</v>
      </c>
      <c r="B5044" s="9" t="s">
        <v>11783</v>
      </c>
      <c r="C5044" s="9" t="s">
        <v>17</v>
      </c>
      <c r="D5044" s="9" t="s">
        <v>18</v>
      </c>
      <c r="E5044" s="10" t="s">
        <v>2107</v>
      </c>
      <c r="F5044" s="9" t="s">
        <v>2108</v>
      </c>
      <c r="G5044" s="10" t="s">
        <v>75</v>
      </c>
      <c r="H5044" s="9" t="s">
        <v>22</v>
      </c>
      <c r="I5044" s="9" t="s">
        <v>11784</v>
      </c>
      <c r="J5044" s="10" t="str">
        <f>HYPERLINK("https://www.boe.es/gazeta/dias/1834/08/24/pdfs/GMD-1834-190.pdf#page=4","Abrir facsímil")</f>
        <v>Abrir facsímil</v>
      </c>
      <c r="K5044" s="10" t="s">
        <v>24</v>
      </c>
    </row>
    <row r="5045" spans="1:11" ht="54" customHeight="1">
      <c r="A5045" s="9" t="s">
        <v>11785</v>
      </c>
      <c r="B5045" s="9" t="s">
        <v>11786</v>
      </c>
      <c r="C5045" s="9" t="s">
        <v>17</v>
      </c>
      <c r="D5045" s="9" t="s">
        <v>18</v>
      </c>
      <c r="E5045" s="10" t="s">
        <v>928</v>
      </c>
      <c r="F5045" s="9" t="s">
        <v>929</v>
      </c>
      <c r="G5045" s="10" t="s">
        <v>86</v>
      </c>
      <c r="H5045" s="9" t="s">
        <v>22</v>
      </c>
      <c r="I5045" s="9" t="s">
        <v>11787</v>
      </c>
      <c r="J5045" s="10" t="str">
        <f>HYPERLINK("https://www.boe.es/gazeta/dias/1834/11/15/pdfs/GMD-C-1834-274.pdf#page=2","Abrir facsímil")</f>
        <v>Abrir facsímil</v>
      </c>
      <c r="K5045" s="10" t="s">
        <v>24</v>
      </c>
    </row>
    <row r="5046" spans="1:11" ht="54" customHeight="1">
      <c r="A5046" s="9" t="s">
        <v>11788</v>
      </c>
      <c r="B5046" s="9" t="s">
        <v>11789</v>
      </c>
      <c r="C5046" s="9" t="s">
        <v>17</v>
      </c>
      <c r="D5046" s="9" t="s">
        <v>18</v>
      </c>
      <c r="E5046" s="10" t="s">
        <v>96</v>
      </c>
      <c r="F5046" s="9" t="s">
        <v>97</v>
      </c>
      <c r="G5046" s="10" t="s">
        <v>86</v>
      </c>
      <c r="H5046" s="9" t="s">
        <v>35</v>
      </c>
      <c r="I5046" s="9" t="s">
        <v>11790</v>
      </c>
      <c r="J5046" s="10" t="str">
        <f>HYPERLINK("https://www.boe.es/gazeta/dias/1834/11/11/pdfs/GMD-C-1834-270.pdf#page=2","Abrir facsímil")</f>
        <v>Abrir facsímil</v>
      </c>
      <c r="K5046" s="10" t="s">
        <v>37</v>
      </c>
    </row>
    <row r="5047" spans="1:11" ht="54" customHeight="1">
      <c r="A5047" s="9" t="s">
        <v>11791</v>
      </c>
      <c r="B5047" s="9" t="s">
        <v>11792</v>
      </c>
      <c r="C5047" s="9" t="s">
        <v>66</v>
      </c>
      <c r="D5047" s="9" t="s">
        <v>67</v>
      </c>
      <c r="E5047" s="10" t="s">
        <v>233</v>
      </c>
      <c r="F5047" s="9" t="s">
        <v>1810</v>
      </c>
      <c r="G5047" s="10" t="s">
        <v>86</v>
      </c>
      <c r="H5047" s="9" t="s">
        <v>22</v>
      </c>
      <c r="I5047" s="9" t="s">
        <v>11793</v>
      </c>
      <c r="J5047" s="10" t="str">
        <f>HYPERLINK("https://www.boe.es/gazeta/dias/1834/12/16/pdfs/GMD-C-1834-305.pdf#page=2","Abrir facsímil")</f>
        <v>Abrir facsímil</v>
      </c>
      <c r="K5047" s="10" t="s">
        <v>24</v>
      </c>
    </row>
    <row r="5048" spans="1:11" ht="54" customHeight="1">
      <c r="A5048" s="9" t="s">
        <v>11794</v>
      </c>
      <c r="B5048" s="9" t="s">
        <v>11795</v>
      </c>
      <c r="C5048" s="9" t="s">
        <v>66</v>
      </c>
      <c r="D5048" s="9" t="s">
        <v>67</v>
      </c>
      <c r="E5048" s="10" t="s">
        <v>1981</v>
      </c>
      <c r="F5048" s="9" t="s">
        <v>1982</v>
      </c>
      <c r="G5048" s="10" t="s">
        <v>21</v>
      </c>
      <c r="H5048" s="9" t="s">
        <v>22</v>
      </c>
      <c r="I5048" s="9" t="s">
        <v>11796</v>
      </c>
      <c r="J5048" s="10" t="str">
        <f>HYPERLINK("https://www.boe.es/gazeta/dias/1834/12/13/pdfs/GMD-1834-302.pdf#page=3","Abrir facsímil")</f>
        <v>Abrir facsímil</v>
      </c>
      <c r="K5048" s="10" t="s">
        <v>24</v>
      </c>
    </row>
    <row r="5049" spans="1:11" ht="54" customHeight="1">
      <c r="A5049" s="9" t="s">
        <v>11797</v>
      </c>
      <c r="B5049" s="9" t="s">
        <v>11798</v>
      </c>
      <c r="C5049" s="9" t="s">
        <v>17</v>
      </c>
      <c r="D5049" s="9" t="s">
        <v>18</v>
      </c>
      <c r="E5049" s="10" t="s">
        <v>19</v>
      </c>
      <c r="F5049" s="9" t="s">
        <v>20</v>
      </c>
      <c r="G5049" s="10" t="s">
        <v>34</v>
      </c>
      <c r="H5049" s="9" t="s">
        <v>22</v>
      </c>
      <c r="I5049" s="9" t="s">
        <v>11799</v>
      </c>
      <c r="J5049" s="10" t="str">
        <f>HYPERLINK("https://www.boe.es/gazeta/dias/1834/08/17/pdfs/GMD-D-1834-182.pdf#page=1","Abrir facsímil")</f>
        <v>Abrir facsímil</v>
      </c>
      <c r="K5049" s="10" t="s">
        <v>24</v>
      </c>
    </row>
    <row r="5050" spans="1:11" ht="54" customHeight="1">
      <c r="A5050" s="9" t="s">
        <v>11800</v>
      </c>
      <c r="B5050" s="9" t="s">
        <v>11801</v>
      </c>
      <c r="C5050" s="9" t="s">
        <v>17</v>
      </c>
      <c r="D5050" s="9" t="s">
        <v>18</v>
      </c>
      <c r="E5050" s="10" t="s">
        <v>375</v>
      </c>
      <c r="F5050" s="9" t="s">
        <v>4983</v>
      </c>
      <c r="G5050" s="10" t="s">
        <v>86</v>
      </c>
      <c r="H5050" s="9" t="s">
        <v>22</v>
      </c>
      <c r="I5050" s="9" t="s">
        <v>11802</v>
      </c>
      <c r="J5050" s="10" t="str">
        <f>HYPERLINK("https://www.boe.es/gazeta/dias/1834/08/21/pdfs/GMD-C-1834-187.pdf#page=2","Abrir facsímil")</f>
        <v>Abrir facsímil</v>
      </c>
      <c r="K5050" s="10" t="s">
        <v>24</v>
      </c>
    </row>
    <row r="5051" spans="1:11" ht="54" customHeight="1">
      <c r="A5051" s="9" t="s">
        <v>11803</v>
      </c>
      <c r="B5051" s="9" t="s">
        <v>11804</v>
      </c>
      <c r="C5051" s="9" t="s">
        <v>17</v>
      </c>
      <c r="D5051" s="9" t="s">
        <v>18</v>
      </c>
      <c r="E5051" s="10" t="s">
        <v>299</v>
      </c>
      <c r="F5051" s="9" t="s">
        <v>2255</v>
      </c>
      <c r="G5051" s="10" t="s">
        <v>470</v>
      </c>
      <c r="H5051" s="9" t="s">
        <v>22</v>
      </c>
      <c r="I5051" s="9" t="s">
        <v>11805</v>
      </c>
      <c r="J5051" s="10" t="str">
        <f>HYPERLINK("https://www.boe.es/gazeta/dias/1834/12/12/pdfs/GMD-C-1834-301.pdf#page=8","Abrir facsímil")</f>
        <v>Abrir facsímil</v>
      </c>
      <c r="K5051" s="10" t="s">
        <v>24</v>
      </c>
    </row>
    <row r="5052" spans="1:11" ht="54" customHeight="1">
      <c r="A5052" s="9" t="s">
        <v>11806</v>
      </c>
      <c r="B5052" s="9" t="s">
        <v>11807</v>
      </c>
      <c r="C5052" s="9" t="s">
        <v>17</v>
      </c>
      <c r="D5052" s="9" t="s">
        <v>18</v>
      </c>
      <c r="E5052" s="10" t="s">
        <v>2526</v>
      </c>
      <c r="F5052" s="9" t="s">
        <v>2527</v>
      </c>
      <c r="G5052" s="10" t="s">
        <v>21</v>
      </c>
      <c r="H5052" s="9" t="s">
        <v>22</v>
      </c>
      <c r="I5052" s="9" t="s">
        <v>11808</v>
      </c>
      <c r="J5052" s="10" t="str">
        <f>HYPERLINK("https://www.boe.es/gazeta/dias/1834/12/29/pdfs/GMD-C-1834-319.pdf#page=3","Abrir facsímil")</f>
        <v>Abrir facsímil</v>
      </c>
      <c r="K5052" s="10" t="s">
        <v>24</v>
      </c>
    </row>
    <row r="5053" spans="1:11" ht="54" customHeight="1">
      <c r="A5053" s="9" t="s">
        <v>11809</v>
      </c>
      <c r="B5053" s="9" t="s">
        <v>11810</v>
      </c>
      <c r="C5053" s="9" t="s">
        <v>46</v>
      </c>
      <c r="D5053" s="9" t="s">
        <v>101</v>
      </c>
      <c r="E5053" s="10" t="s">
        <v>793</v>
      </c>
      <c r="F5053" s="9" t="s">
        <v>1895</v>
      </c>
      <c r="G5053" s="10" t="s">
        <v>34</v>
      </c>
      <c r="H5053" s="9" t="s">
        <v>22</v>
      </c>
      <c r="I5053" s="9" t="s">
        <v>11811</v>
      </c>
      <c r="J5053" s="10" t="str">
        <f>HYPERLINK("https://www.boe.es/gazeta/dias/1834/10/08/pdfs/GMD-C-1834-236.pdf#page=1","Abrir facsímil")</f>
        <v>Abrir facsímil</v>
      </c>
      <c r="K5053" s="10" t="s">
        <v>24</v>
      </c>
    </row>
    <row r="5054" spans="1:11" ht="54" customHeight="1">
      <c r="A5054" s="9" t="s">
        <v>11812</v>
      </c>
      <c r="B5054" s="9" t="s">
        <v>11813</v>
      </c>
      <c r="C5054" s="9" t="s">
        <v>17</v>
      </c>
      <c r="D5054" s="9" t="s">
        <v>55</v>
      </c>
      <c r="E5054" s="10" t="s">
        <v>79</v>
      </c>
      <c r="F5054" s="9" t="s">
        <v>80</v>
      </c>
      <c r="G5054" s="10" t="s">
        <v>21</v>
      </c>
      <c r="H5054" s="9" t="s">
        <v>22</v>
      </c>
      <c r="I5054" s="9" t="s">
        <v>11814</v>
      </c>
      <c r="J5054" s="10" t="str">
        <f>HYPERLINK("https://www.boe.es/gazeta/dias/1834/07/12/pdfs/GMD-1834-145.pdf#page=3","Abrir facsímil")</f>
        <v>Abrir facsímil</v>
      </c>
      <c r="K5054" s="10" t="s">
        <v>24</v>
      </c>
    </row>
    <row r="5055" spans="1:11" ht="54" customHeight="1">
      <c r="A5055" s="9" t="s">
        <v>11815</v>
      </c>
      <c r="B5055" s="9" t="s">
        <v>11816</v>
      </c>
      <c r="C5055" s="9" t="s">
        <v>17</v>
      </c>
      <c r="D5055" s="9" t="s">
        <v>40</v>
      </c>
      <c r="E5055" s="10" t="s">
        <v>468</v>
      </c>
      <c r="F5055" s="9" t="s">
        <v>469</v>
      </c>
      <c r="G5055" s="10" t="s">
        <v>1343</v>
      </c>
      <c r="H5055" s="9" t="s">
        <v>22</v>
      </c>
      <c r="I5055" s="9" t="s">
        <v>11817</v>
      </c>
      <c r="J5055" s="10" t="str">
        <f>HYPERLINK("https://www.boe.es/gazeta/dias/1834/12/28/pdfs/GMD-C-1834-318.pdf#page=9","Abrir facsímil")</f>
        <v>Abrir facsímil</v>
      </c>
      <c r="K5055" s="10" t="s">
        <v>24</v>
      </c>
    </row>
    <row r="5056" spans="1:11" ht="54" customHeight="1">
      <c r="A5056" s="9" t="s">
        <v>11818</v>
      </c>
      <c r="B5056" s="9" t="s">
        <v>11819</v>
      </c>
      <c r="C5056" s="9" t="s">
        <v>17</v>
      </c>
      <c r="D5056" s="9" t="s">
        <v>18</v>
      </c>
      <c r="E5056" s="10" t="s">
        <v>3036</v>
      </c>
      <c r="F5056" s="9" t="s">
        <v>3037</v>
      </c>
      <c r="G5056" s="10" t="s">
        <v>34</v>
      </c>
      <c r="H5056" s="9" t="s">
        <v>22</v>
      </c>
      <c r="I5056" s="9" t="s">
        <v>11820</v>
      </c>
      <c r="J5056" s="10" t="str">
        <f>HYPERLINK("https://www.boe.es/gazeta/dias/1834/11/18/pdfs/GMD-C-1834-277.pdf#page=1","Abrir facsímil")</f>
        <v>Abrir facsímil</v>
      </c>
      <c r="K5056" s="10" t="s">
        <v>24</v>
      </c>
    </row>
    <row r="5057" spans="1:11" ht="54" customHeight="1">
      <c r="A5057" s="9" t="s">
        <v>11821</v>
      </c>
      <c r="B5057" s="9" t="s">
        <v>11822</v>
      </c>
      <c r="C5057" s="9" t="s">
        <v>17</v>
      </c>
      <c r="D5057" s="9" t="s">
        <v>18</v>
      </c>
      <c r="E5057" s="10" t="s">
        <v>715</v>
      </c>
      <c r="F5057" s="9" t="s">
        <v>716</v>
      </c>
      <c r="G5057" s="10" t="s">
        <v>34</v>
      </c>
      <c r="H5057" s="9" t="s">
        <v>22</v>
      </c>
      <c r="I5057" s="9" t="s">
        <v>11823</v>
      </c>
      <c r="J5057" s="10" t="str">
        <f>HYPERLINK("https://www.boe.es/gazeta/dias/1834/09/17/pdfs/GMD-C-1834-215.pdf#page=1","Abrir facsímil")</f>
        <v>Abrir facsímil</v>
      </c>
      <c r="K5057" s="10" t="s">
        <v>24</v>
      </c>
    </row>
    <row r="5058" spans="1:11" ht="54" customHeight="1">
      <c r="A5058" s="9" t="s">
        <v>11824</v>
      </c>
      <c r="B5058" s="9" t="s">
        <v>11825</v>
      </c>
      <c r="C5058" s="9" t="s">
        <v>17</v>
      </c>
      <c r="D5058" s="9" t="s">
        <v>18</v>
      </c>
      <c r="E5058" s="10" t="s">
        <v>2596</v>
      </c>
      <c r="F5058" s="9" t="s">
        <v>5480</v>
      </c>
      <c r="G5058" s="10" t="s">
        <v>34</v>
      </c>
      <c r="H5058" s="9" t="s">
        <v>22</v>
      </c>
      <c r="I5058" s="9" t="s">
        <v>11826</v>
      </c>
      <c r="J5058" s="10" t="str">
        <f>HYPERLINK("https://www.boe.es/gazeta/dias/1834/10/22/pdfs/GMD-C-1834-250.pdf#page=1","Abrir facsímil")</f>
        <v>Abrir facsímil</v>
      </c>
      <c r="K5058" s="10" t="s">
        <v>24</v>
      </c>
    </row>
    <row r="5059" spans="1:11" ht="54" customHeight="1">
      <c r="A5059" s="9" t="s">
        <v>11827</v>
      </c>
      <c r="B5059" s="9" t="s">
        <v>11828</v>
      </c>
      <c r="C5059" s="9" t="s">
        <v>17</v>
      </c>
      <c r="D5059" s="9" t="s">
        <v>18</v>
      </c>
      <c r="E5059" s="10" t="s">
        <v>416</v>
      </c>
      <c r="F5059" s="9" t="s">
        <v>417</v>
      </c>
      <c r="G5059" s="10" t="s">
        <v>34</v>
      </c>
      <c r="H5059" s="9" t="s">
        <v>22</v>
      </c>
      <c r="I5059" s="9" t="s">
        <v>11829</v>
      </c>
      <c r="J5059" s="10" t="str">
        <f>HYPERLINK("https://www.boe.es/gazeta/dias/1834/10/02/pdfs/GMD-C-1834-230.pdf#page=1","Abrir facsímil")</f>
        <v>Abrir facsímil</v>
      </c>
      <c r="K5059" s="10" t="s">
        <v>24</v>
      </c>
    </row>
    <row r="5060" spans="1:11" ht="54" customHeight="1">
      <c r="A5060" s="9" t="s">
        <v>11830</v>
      </c>
      <c r="B5060" s="9" t="s">
        <v>11831</v>
      </c>
      <c r="C5060" s="9" t="s">
        <v>17</v>
      </c>
      <c r="D5060" s="9" t="s">
        <v>18</v>
      </c>
      <c r="E5060" s="10" t="s">
        <v>128</v>
      </c>
      <c r="F5060" s="9" t="s">
        <v>129</v>
      </c>
      <c r="G5060" s="10" t="s">
        <v>176</v>
      </c>
      <c r="H5060" s="9" t="s">
        <v>22</v>
      </c>
      <c r="I5060" s="9" t="s">
        <v>11832</v>
      </c>
      <c r="J5060" s="10" t="str">
        <f>HYPERLINK("https://www.boe.es/gazeta/dias/1834/12/24/pdfs/GMD-C-1834-314.pdf#page=6","Abrir facsímil")</f>
        <v>Abrir facsímil</v>
      </c>
      <c r="K5060" s="10" t="s">
        <v>24</v>
      </c>
    </row>
    <row r="5061" spans="1:11" ht="54" customHeight="1">
      <c r="A5061" s="9" t="s">
        <v>11833</v>
      </c>
      <c r="B5061" s="9" t="s">
        <v>11834</v>
      </c>
      <c r="C5061" s="9" t="s">
        <v>66</v>
      </c>
      <c r="D5061" s="9" t="s">
        <v>67</v>
      </c>
      <c r="E5061" s="10" t="s">
        <v>658</v>
      </c>
      <c r="F5061" s="9" t="s">
        <v>2167</v>
      </c>
      <c r="G5061" s="10" t="s">
        <v>34</v>
      </c>
      <c r="H5061" s="9" t="s">
        <v>22</v>
      </c>
      <c r="I5061" s="9" t="s">
        <v>11835</v>
      </c>
      <c r="J5061" s="10" t="str">
        <f>HYPERLINK("https://www.boe.es/gazeta/dias/1834/05/26/pdfs/C00001-00001.pdf#page=1","Abrir facsímil")</f>
        <v>Abrir facsímil</v>
      </c>
      <c r="K5061" s="10" t="s">
        <v>24</v>
      </c>
    </row>
    <row r="5062" spans="1:11" ht="54" customHeight="1">
      <c r="A5062" s="9" t="s">
        <v>11836</v>
      </c>
      <c r="B5062" s="9" t="s">
        <v>11837</v>
      </c>
      <c r="C5062" s="9" t="s">
        <v>122</v>
      </c>
      <c r="D5062" s="9" t="s">
        <v>18</v>
      </c>
      <c r="E5062" s="10" t="s">
        <v>492</v>
      </c>
      <c r="F5062" s="9" t="s">
        <v>493</v>
      </c>
      <c r="G5062" s="10" t="s">
        <v>28</v>
      </c>
      <c r="H5062" s="9" t="s">
        <v>22</v>
      </c>
      <c r="I5062" s="9" t="s">
        <v>11838</v>
      </c>
      <c r="J5062" s="10" t="str">
        <f>HYPERLINK("https://www.boe.es/gazeta/dias/1834/11/21/pdfs/GMD-C-1834-280.pdf#page=5","Abrir facsímil")</f>
        <v>Abrir facsímil</v>
      </c>
      <c r="K5062" s="10" t="s">
        <v>24</v>
      </c>
    </row>
    <row r="5063" spans="1:11" ht="54" customHeight="1">
      <c r="A5063" s="9" t="s">
        <v>11839</v>
      </c>
      <c r="B5063" s="9" t="s">
        <v>11840</v>
      </c>
      <c r="C5063" s="9" t="s">
        <v>46</v>
      </c>
      <c r="D5063" s="9" t="s">
        <v>18</v>
      </c>
      <c r="E5063" s="10" t="s">
        <v>492</v>
      </c>
      <c r="F5063" s="9" t="s">
        <v>493</v>
      </c>
      <c r="G5063" s="10" t="s">
        <v>86</v>
      </c>
      <c r="H5063" s="9" t="s">
        <v>22</v>
      </c>
      <c r="I5063" s="9" t="s">
        <v>11841</v>
      </c>
      <c r="J5063" s="10" t="str">
        <f>HYPERLINK("https://www.boe.es/gazeta/dias/1834/11/21/pdfs/GMD-C-1834-280.pdf#page=2","Abrir facsímil")</f>
        <v>Abrir facsímil</v>
      </c>
      <c r="K5063" s="10" t="s">
        <v>24</v>
      </c>
    </row>
    <row r="5064" spans="1:11" ht="54" customHeight="1">
      <c r="A5064" s="9" t="s">
        <v>11842</v>
      </c>
      <c r="B5064" s="9" t="s">
        <v>11843</v>
      </c>
      <c r="C5064" s="9" t="s">
        <v>17</v>
      </c>
      <c r="D5064" s="9" t="s">
        <v>18</v>
      </c>
      <c r="E5064" s="10" t="s">
        <v>286</v>
      </c>
      <c r="F5064" s="9" t="s">
        <v>287</v>
      </c>
      <c r="G5064" s="10" t="s">
        <v>86</v>
      </c>
      <c r="H5064" s="9" t="s">
        <v>22</v>
      </c>
      <c r="I5064" s="9" t="s">
        <v>11844</v>
      </c>
      <c r="J5064" s="10" t="str">
        <f>HYPERLINK("https://www.boe.es/gazeta/dias/1834/08/30/pdfs/GMD-C-1834-196.pdf#page=2","Abrir facsímil")</f>
        <v>Abrir facsímil</v>
      </c>
      <c r="K5064" s="10" t="s">
        <v>24</v>
      </c>
    </row>
    <row r="5065" spans="1:11" ht="54" customHeight="1">
      <c r="A5065" s="9" t="s">
        <v>11845</v>
      </c>
      <c r="B5065" s="9" t="s">
        <v>11846</v>
      </c>
      <c r="C5065" s="9" t="s">
        <v>17</v>
      </c>
      <c r="D5065" s="9" t="s">
        <v>18</v>
      </c>
      <c r="E5065" s="10" t="s">
        <v>2287</v>
      </c>
      <c r="F5065" s="9" t="s">
        <v>4741</v>
      </c>
      <c r="G5065" s="10" t="s">
        <v>75</v>
      </c>
      <c r="H5065" s="9" t="s">
        <v>22</v>
      </c>
      <c r="I5065" s="9" t="s">
        <v>11847</v>
      </c>
      <c r="J5065" s="10" t="str">
        <f>HYPERLINK("https://www.boe.es/gazeta/dias/1834/12/18/pdfs/GMD-1834-308.pdf#page=4","Abrir facsímil")</f>
        <v>Abrir facsímil</v>
      </c>
      <c r="K5065" s="10" t="s">
        <v>24</v>
      </c>
    </row>
    <row r="5066" spans="1:11" ht="54" customHeight="1">
      <c r="A5066" s="9" t="s">
        <v>11848</v>
      </c>
      <c r="B5066" s="9" t="s">
        <v>11849</v>
      </c>
      <c r="C5066" s="9" t="s">
        <v>17</v>
      </c>
      <c r="D5066" s="9" t="s">
        <v>18</v>
      </c>
      <c r="E5066" s="10" t="s">
        <v>438</v>
      </c>
      <c r="F5066" s="9" t="s">
        <v>528</v>
      </c>
      <c r="G5066" s="10" t="s">
        <v>86</v>
      </c>
      <c r="H5066" s="9" t="s">
        <v>22</v>
      </c>
      <c r="I5066" s="9" t="s">
        <v>11850</v>
      </c>
      <c r="J5066" s="10" t="str">
        <f>HYPERLINK("https://www.boe.es/gazeta/dias/1834/11/09/pdfs/GMD-C-1834-268.pdf#page=2","Abrir facsímil")</f>
        <v>Abrir facsímil</v>
      </c>
      <c r="K5066" s="10" t="s">
        <v>24</v>
      </c>
    </row>
    <row r="5067" spans="1:11" ht="54" customHeight="1">
      <c r="A5067" s="9" t="s">
        <v>11851</v>
      </c>
      <c r="B5067" s="9" t="s">
        <v>11852</v>
      </c>
      <c r="C5067" s="9" t="s">
        <v>46</v>
      </c>
      <c r="D5067" s="9" t="s">
        <v>101</v>
      </c>
      <c r="E5067" s="10" t="s">
        <v>128</v>
      </c>
      <c r="F5067" s="9" t="s">
        <v>129</v>
      </c>
      <c r="G5067" s="10" t="s">
        <v>34</v>
      </c>
      <c r="H5067" s="9" t="s">
        <v>22</v>
      </c>
      <c r="I5067" s="9" t="s">
        <v>11853</v>
      </c>
      <c r="J5067" s="10" t="str">
        <f>HYPERLINK("https://www.boe.es/gazeta/dias/1834/12/24/pdfs/GMD-C-1834-314.pdf#page=1","Abrir facsímil")</f>
        <v>Abrir facsímil</v>
      </c>
      <c r="K5067" s="10" t="s">
        <v>24</v>
      </c>
    </row>
    <row r="5068" spans="1:11" ht="54" customHeight="1">
      <c r="A5068" s="9" t="s">
        <v>11854</v>
      </c>
      <c r="B5068" s="9" t="s">
        <v>11855</v>
      </c>
      <c r="C5068" s="9" t="s">
        <v>17</v>
      </c>
      <c r="D5068" s="9" t="s">
        <v>18</v>
      </c>
      <c r="E5068" s="10" t="s">
        <v>679</v>
      </c>
      <c r="F5068" s="9" t="s">
        <v>699</v>
      </c>
      <c r="G5068" s="10" t="s">
        <v>34</v>
      </c>
      <c r="H5068" s="9" t="s">
        <v>22</v>
      </c>
      <c r="I5068" s="9" t="s">
        <v>11856</v>
      </c>
      <c r="J5068" s="10" t="str">
        <f>HYPERLINK("https://www.boe.es/gazeta/dias/1834/12/10/pdfs/GMD-C-1834-299.pdf#page=1","Abrir facsímil")</f>
        <v>Abrir facsímil</v>
      </c>
      <c r="K5068" s="10" t="s">
        <v>24</v>
      </c>
    </row>
    <row r="5069" spans="1:11" ht="54" customHeight="1">
      <c r="A5069" s="9" t="s">
        <v>11857</v>
      </c>
      <c r="B5069" s="9" t="s">
        <v>11858</v>
      </c>
      <c r="C5069" s="9" t="s">
        <v>17</v>
      </c>
      <c r="D5069" s="9" t="s">
        <v>18</v>
      </c>
      <c r="E5069" s="10" t="s">
        <v>672</v>
      </c>
      <c r="F5069" s="9" t="s">
        <v>1055</v>
      </c>
      <c r="G5069" s="10" t="s">
        <v>560</v>
      </c>
      <c r="H5069" s="9" t="s">
        <v>22</v>
      </c>
      <c r="I5069" s="9" t="s">
        <v>11859</v>
      </c>
      <c r="J5069" s="10" t="str">
        <f>HYPERLINK("https://www.boe.es/gazeta/dias/1834/09/19/pdfs/GMD-C-1834-217.pdf#page=7","Abrir facsímil")</f>
        <v>Abrir facsímil</v>
      </c>
      <c r="K5069" s="10" t="s">
        <v>24</v>
      </c>
    </row>
    <row r="5070" spans="1:11" ht="54" customHeight="1">
      <c r="A5070" s="9" t="s">
        <v>11860</v>
      </c>
      <c r="B5070" s="9" t="s">
        <v>11861</v>
      </c>
      <c r="C5070" s="9" t="s">
        <v>17</v>
      </c>
      <c r="D5070" s="9" t="s">
        <v>18</v>
      </c>
      <c r="E5070" s="10" t="s">
        <v>416</v>
      </c>
      <c r="F5070" s="9" t="s">
        <v>417</v>
      </c>
      <c r="G5070" s="10" t="s">
        <v>34</v>
      </c>
      <c r="H5070" s="9" t="s">
        <v>22</v>
      </c>
      <c r="I5070" s="9" t="s">
        <v>11862</v>
      </c>
      <c r="J5070" s="10" t="str">
        <f>HYPERLINK("https://www.boe.es/gazeta/dias/1834/10/02/pdfs/GMD-C-1834-230.pdf#page=1","Abrir facsímil")</f>
        <v>Abrir facsímil</v>
      </c>
      <c r="K5070" s="10" t="s">
        <v>24</v>
      </c>
    </row>
    <row r="5071" spans="1:11" ht="54" customHeight="1">
      <c r="A5071" s="9" t="s">
        <v>11860</v>
      </c>
      <c r="B5071" s="9" t="s">
        <v>11861</v>
      </c>
      <c r="C5071" s="9" t="s">
        <v>90</v>
      </c>
      <c r="D5071" s="9" t="s">
        <v>18</v>
      </c>
      <c r="E5071" s="10" t="s">
        <v>448</v>
      </c>
      <c r="F5071" s="9" t="s">
        <v>449</v>
      </c>
      <c r="G5071" s="10" t="s">
        <v>34</v>
      </c>
      <c r="H5071" s="9" t="s">
        <v>22</v>
      </c>
      <c r="I5071" s="9" t="s">
        <v>11863</v>
      </c>
      <c r="J5071" s="10" t="str">
        <f>HYPERLINK("https://www.boe.es/gazeta/dias/1834/10/14/pdfs/GMD-C-1834-242.pdf#page=1","Abrir facsímil")</f>
        <v>Abrir facsímil</v>
      </c>
      <c r="K5071" s="10" t="s">
        <v>24</v>
      </c>
    </row>
    <row r="5072" spans="1:11" ht="54" customHeight="1">
      <c r="A5072" s="9" t="s">
        <v>11860</v>
      </c>
      <c r="B5072" s="9" t="s">
        <v>11861</v>
      </c>
      <c r="C5072" s="9" t="s">
        <v>17</v>
      </c>
      <c r="D5072" s="9" t="s">
        <v>18</v>
      </c>
      <c r="E5072" s="10" t="s">
        <v>777</v>
      </c>
      <c r="F5072" s="9" t="s">
        <v>2535</v>
      </c>
      <c r="G5072" s="10" t="s">
        <v>34</v>
      </c>
      <c r="H5072" s="9" t="s">
        <v>22</v>
      </c>
      <c r="I5072" s="9" t="s">
        <v>11864</v>
      </c>
      <c r="J5072" s="10" t="str">
        <f>HYPERLINK("https://www.boe.es/gazeta/dias/1834/10/29/pdfs/GMD-C-1834-257.pdf#page=1","Abrir facsímil")</f>
        <v>Abrir facsímil</v>
      </c>
      <c r="K5072" s="10" t="s">
        <v>24</v>
      </c>
    </row>
    <row r="5073" spans="1:11" ht="54" customHeight="1">
      <c r="A5073" s="9" t="s">
        <v>11860</v>
      </c>
      <c r="B5073" s="9" t="s">
        <v>11861</v>
      </c>
      <c r="C5073" s="9" t="s">
        <v>46</v>
      </c>
      <c r="D5073" s="9" t="s">
        <v>101</v>
      </c>
      <c r="E5073" s="10" t="s">
        <v>286</v>
      </c>
      <c r="F5073" s="9" t="s">
        <v>287</v>
      </c>
      <c r="G5073" s="10" t="s">
        <v>34</v>
      </c>
      <c r="H5073" s="9" t="s">
        <v>22</v>
      </c>
      <c r="I5073" s="9" t="s">
        <v>11865</v>
      </c>
      <c r="J5073" s="10" t="str">
        <f>HYPERLINK("https://www.boe.es/gazeta/dias/1834/08/30/pdfs/GMD-C-1834-196.pdf#page=1","Abrir facsímil")</f>
        <v>Abrir facsímil</v>
      </c>
      <c r="K5073" s="10" t="s">
        <v>24</v>
      </c>
    </row>
    <row r="5074" spans="1:11" ht="54" customHeight="1">
      <c r="A5074" s="9" t="s">
        <v>11866</v>
      </c>
      <c r="B5074" s="9" t="s">
        <v>11867</v>
      </c>
      <c r="C5074" s="9" t="s">
        <v>17</v>
      </c>
      <c r="D5074" s="9" t="s">
        <v>18</v>
      </c>
      <c r="E5074" s="10" t="s">
        <v>462</v>
      </c>
      <c r="F5074" s="9" t="s">
        <v>463</v>
      </c>
      <c r="G5074" s="10" t="s">
        <v>34</v>
      </c>
      <c r="H5074" s="9" t="s">
        <v>22</v>
      </c>
      <c r="I5074" s="9" t="s">
        <v>11868</v>
      </c>
      <c r="J5074" s="10" t="str">
        <f>HYPERLINK("https://www.boe.es/gazeta/dias/1834/08/27/pdfs/GMD-C-1834-193.pdf#page=1","Abrir facsímil")</f>
        <v>Abrir facsímil</v>
      </c>
      <c r="K5074" s="10" t="s">
        <v>24</v>
      </c>
    </row>
    <row r="5075" spans="1:11" ht="54" customHeight="1">
      <c r="A5075" s="9" t="s">
        <v>11869</v>
      </c>
      <c r="B5075" s="9" t="s">
        <v>11870</v>
      </c>
      <c r="C5075" s="9" t="s">
        <v>90</v>
      </c>
      <c r="D5075" s="9" t="s">
        <v>18</v>
      </c>
      <c r="E5075" s="10" t="s">
        <v>563</v>
      </c>
      <c r="F5075" s="9" t="s">
        <v>564</v>
      </c>
      <c r="G5075" s="10" t="s">
        <v>34</v>
      </c>
      <c r="H5075" s="9" t="s">
        <v>22</v>
      </c>
      <c r="I5075" s="9" t="s">
        <v>11871</v>
      </c>
      <c r="J5075" s="10" t="str">
        <f>HYPERLINK("https://www.boe.es/gazeta/dias/1834/04/19/pdfs/GMD-1834-58.pdf#page=1","Abrir facsímil")</f>
        <v>Abrir facsímil</v>
      </c>
      <c r="K5075" s="10" t="s">
        <v>24</v>
      </c>
    </row>
    <row r="5076" spans="1:11" ht="54" customHeight="1">
      <c r="A5076" s="9" t="s">
        <v>11872</v>
      </c>
      <c r="B5076" s="9" t="s">
        <v>11873</v>
      </c>
      <c r="C5076" s="9" t="s">
        <v>17</v>
      </c>
      <c r="D5076" s="9" t="s">
        <v>40</v>
      </c>
      <c r="E5076" s="10" t="s">
        <v>1922</v>
      </c>
      <c r="F5076" s="9" t="s">
        <v>1923</v>
      </c>
      <c r="G5076" s="10" t="s">
        <v>176</v>
      </c>
      <c r="H5076" s="9" t="s">
        <v>22</v>
      </c>
      <c r="I5076" s="9" t="s">
        <v>11874</v>
      </c>
      <c r="J5076" s="10" t="str">
        <f>HYPERLINK("https://www.boe.es/gazeta/dias/1834/02/25/pdfs/GMD-1834-25.pdf#page=6","Abrir facsímil")</f>
        <v>Abrir facsímil</v>
      </c>
      <c r="K5076" s="10" t="s">
        <v>24</v>
      </c>
    </row>
    <row r="5077" spans="1:11" ht="54" customHeight="1">
      <c r="A5077" s="9" t="s">
        <v>11875</v>
      </c>
      <c r="B5077" s="9" t="s">
        <v>11876</v>
      </c>
      <c r="C5077" s="9" t="s">
        <v>17</v>
      </c>
      <c r="D5077" s="9" t="s">
        <v>18</v>
      </c>
      <c r="E5077" s="10" t="s">
        <v>3810</v>
      </c>
      <c r="F5077" s="9" t="s">
        <v>3811</v>
      </c>
      <c r="G5077" s="10" t="s">
        <v>21</v>
      </c>
      <c r="H5077" s="9" t="s">
        <v>22</v>
      </c>
      <c r="I5077" s="9" t="s">
        <v>11877</v>
      </c>
      <c r="J5077" s="10" t="str">
        <f>HYPERLINK("https://www.boe.es/gazeta/dias/1834/02/20/pdfs/GMD-1834-23.pdf#page=3","Abrir facsímil")</f>
        <v>Abrir facsímil</v>
      </c>
      <c r="K5077" s="10" t="s">
        <v>24</v>
      </c>
    </row>
    <row r="5078" spans="1:11" ht="54" customHeight="1">
      <c r="A5078" s="9" t="s">
        <v>11878</v>
      </c>
      <c r="B5078" s="9" t="s">
        <v>11879</v>
      </c>
      <c r="C5078" s="9" t="s">
        <v>17</v>
      </c>
      <c r="D5078" s="9" t="s">
        <v>55</v>
      </c>
      <c r="E5078" s="10" t="s">
        <v>2037</v>
      </c>
      <c r="F5078" s="9" t="s">
        <v>2038</v>
      </c>
      <c r="G5078" s="10" t="s">
        <v>86</v>
      </c>
      <c r="H5078" s="9" t="s">
        <v>22</v>
      </c>
      <c r="I5078" s="9" t="s">
        <v>11880</v>
      </c>
      <c r="J5078" s="10" t="str">
        <f>HYPERLINK("https://www.boe.es/gazeta/dias/1834/12/01/pdfs/GMD-1834-290.pdf#page=2","Abrir facsímil")</f>
        <v>Abrir facsímil</v>
      </c>
      <c r="K5078" s="10" t="s">
        <v>24</v>
      </c>
    </row>
    <row r="5079" spans="1:11" ht="54" customHeight="1">
      <c r="A5079" s="9" t="s">
        <v>11881</v>
      </c>
      <c r="B5079" s="9" t="s">
        <v>11882</v>
      </c>
      <c r="C5079" s="9" t="s">
        <v>17</v>
      </c>
      <c r="D5079" s="9" t="s">
        <v>18</v>
      </c>
      <c r="E5079" s="10" t="s">
        <v>702</v>
      </c>
      <c r="F5079" s="9" t="s">
        <v>703</v>
      </c>
      <c r="G5079" s="10" t="s">
        <v>28</v>
      </c>
      <c r="H5079" s="9" t="s">
        <v>22</v>
      </c>
      <c r="I5079" s="9" t="s">
        <v>11883</v>
      </c>
      <c r="J5079" s="10" t="str">
        <f>HYPERLINK("https://www.boe.es/gazeta/dias/1834/11/22/pdfs/GMD-C-1834-281.pdf#page=5","Abrir facsímil")</f>
        <v>Abrir facsímil</v>
      </c>
      <c r="K5079" s="10" t="s">
        <v>24</v>
      </c>
    </row>
    <row r="5080" spans="1:11" ht="54" customHeight="1">
      <c r="A5080" s="9" t="s">
        <v>11884</v>
      </c>
      <c r="B5080" s="9" t="s">
        <v>11885</v>
      </c>
      <c r="C5080" s="9" t="s">
        <v>17</v>
      </c>
      <c r="D5080" s="9" t="s">
        <v>18</v>
      </c>
      <c r="E5080" s="10" t="s">
        <v>1226</v>
      </c>
      <c r="F5080" s="9" t="s">
        <v>1227</v>
      </c>
      <c r="G5080" s="10" t="s">
        <v>21</v>
      </c>
      <c r="H5080" s="9" t="s">
        <v>22</v>
      </c>
      <c r="I5080" s="9" t="s">
        <v>11886</v>
      </c>
      <c r="J5080" s="10" t="str">
        <f>HYPERLINK("https://www.boe.es/gazeta/dias/1834/07/14/pdfs/GMD-1834-147.pdf#page=3","Abrir facsímil")</f>
        <v>Abrir facsímil</v>
      </c>
      <c r="K5080" s="10" t="s">
        <v>24</v>
      </c>
    </row>
    <row r="5081" spans="1:11" ht="54" customHeight="1">
      <c r="A5081" s="9" t="s">
        <v>11887</v>
      </c>
      <c r="B5081" s="9" t="s">
        <v>11888</v>
      </c>
      <c r="C5081" s="9" t="s">
        <v>17</v>
      </c>
      <c r="D5081" s="9" t="s">
        <v>18</v>
      </c>
      <c r="E5081" s="10" t="s">
        <v>1170</v>
      </c>
      <c r="F5081" s="9" t="s">
        <v>1171</v>
      </c>
      <c r="G5081" s="10" t="s">
        <v>28</v>
      </c>
      <c r="H5081" s="9" t="s">
        <v>22</v>
      </c>
      <c r="I5081" s="9" t="s">
        <v>11889</v>
      </c>
      <c r="J5081" s="10" t="str">
        <f>HYPERLINK("https://www.boe.es/gazeta/dias/1834/01/07/pdfs/GMD-1834-4.pdf#page=5","Abrir facsímil")</f>
        <v>Abrir facsímil</v>
      </c>
      <c r="K5081" s="10" t="s">
        <v>24</v>
      </c>
    </row>
    <row r="5082" spans="1:11" ht="54" customHeight="1">
      <c r="A5082" s="9" t="s">
        <v>11890</v>
      </c>
      <c r="B5082" s="9" t="s">
        <v>11891</v>
      </c>
      <c r="C5082" s="9" t="s">
        <v>17</v>
      </c>
      <c r="D5082" s="9" t="s">
        <v>18</v>
      </c>
      <c r="E5082" s="10" t="s">
        <v>739</v>
      </c>
      <c r="F5082" s="9" t="s">
        <v>740</v>
      </c>
      <c r="G5082" s="10" t="s">
        <v>21</v>
      </c>
      <c r="H5082" s="9" t="s">
        <v>22</v>
      </c>
      <c r="I5082" s="9" t="s">
        <v>11892</v>
      </c>
      <c r="J5082" s="10" t="str">
        <f>HYPERLINK("https://www.boe.es/gazeta/dias/1834/03/25/pdfs/GMD-1834-37.pdf#page=3","Abrir facsímil")</f>
        <v>Abrir facsímil</v>
      </c>
      <c r="K5082" s="10" t="s">
        <v>24</v>
      </c>
    </row>
    <row r="5083" spans="1:11" ht="54" customHeight="1">
      <c r="A5083" s="9" t="s">
        <v>11893</v>
      </c>
      <c r="B5083" s="9" t="s">
        <v>11894</v>
      </c>
      <c r="C5083" s="9" t="s">
        <v>17</v>
      </c>
      <c r="D5083" s="9" t="s">
        <v>18</v>
      </c>
      <c r="E5083" s="10" t="s">
        <v>96</v>
      </c>
      <c r="F5083" s="9" t="s">
        <v>97</v>
      </c>
      <c r="G5083" s="10" t="s">
        <v>86</v>
      </c>
      <c r="H5083" s="9" t="s">
        <v>22</v>
      </c>
      <c r="I5083" s="9" t="s">
        <v>11895</v>
      </c>
      <c r="J5083" s="10" t="str">
        <f>HYPERLINK("https://www.boe.es/gazeta/dias/1834/11/11/pdfs/GMD-C-1834-270.pdf#page=2","Abrir facsímil")</f>
        <v>Abrir facsímil</v>
      </c>
      <c r="K5083" s="10" t="s">
        <v>24</v>
      </c>
    </row>
    <row r="5084" spans="1:11" ht="54" customHeight="1">
      <c r="A5084" s="9" t="s">
        <v>11896</v>
      </c>
      <c r="B5084" s="9" t="s">
        <v>11897</v>
      </c>
      <c r="C5084" s="9" t="s">
        <v>17</v>
      </c>
      <c r="D5084" s="9" t="s">
        <v>18</v>
      </c>
      <c r="E5084" s="10" t="s">
        <v>615</v>
      </c>
      <c r="F5084" s="9" t="s">
        <v>616</v>
      </c>
      <c r="G5084" s="10" t="s">
        <v>75</v>
      </c>
      <c r="H5084" s="9" t="s">
        <v>22</v>
      </c>
      <c r="I5084" s="9" t="s">
        <v>11898</v>
      </c>
      <c r="J5084" s="10" t="str">
        <f>HYPERLINK("https://www.boe.es/gazeta/dias/1834/08/19/pdfs/GMD-1834-185.pdf#page=4","Abrir facsímil")</f>
        <v>Abrir facsímil</v>
      </c>
      <c r="K5084" s="10" t="s">
        <v>24</v>
      </c>
    </row>
    <row r="5085" spans="1:11" ht="54" customHeight="1">
      <c r="A5085" s="9" t="s">
        <v>11899</v>
      </c>
      <c r="B5085" s="9" t="s">
        <v>11900</v>
      </c>
      <c r="C5085" s="9" t="s">
        <v>90</v>
      </c>
      <c r="D5085" s="9" t="s">
        <v>18</v>
      </c>
      <c r="E5085" s="10" t="s">
        <v>813</v>
      </c>
      <c r="F5085" s="9" t="s">
        <v>814</v>
      </c>
      <c r="G5085" s="10" t="s">
        <v>75</v>
      </c>
      <c r="H5085" s="9" t="s">
        <v>22</v>
      </c>
      <c r="I5085" s="9" t="s">
        <v>11901</v>
      </c>
      <c r="J5085" s="10" t="str">
        <f>HYPERLINK("https://www.boe.es/gazeta/dias/1834/08/08/pdfs/GMD-1834-173.pdf#page=4","Abrir facsímil")</f>
        <v>Abrir facsímil</v>
      </c>
      <c r="K5085" s="10" t="s">
        <v>24</v>
      </c>
    </row>
    <row r="5086" spans="1:11" ht="54" customHeight="1">
      <c r="A5086" s="9" t="s">
        <v>11902</v>
      </c>
      <c r="B5086" s="9" t="s">
        <v>11903</v>
      </c>
      <c r="C5086" s="9" t="s">
        <v>66</v>
      </c>
      <c r="D5086" s="9" t="s">
        <v>67</v>
      </c>
      <c r="E5086" s="10" t="s">
        <v>3248</v>
      </c>
      <c r="F5086" s="9" t="s">
        <v>3249</v>
      </c>
      <c r="G5086" s="10" t="s">
        <v>21</v>
      </c>
      <c r="H5086" s="9" t="s">
        <v>22</v>
      </c>
      <c r="I5086" s="9" t="s">
        <v>11904</v>
      </c>
      <c r="J5086" s="10" t="str">
        <f>HYPERLINK("https://www.boe.es/gazeta/dias/1834/09/20/pdfs/GMD-1834-218.pdf#page=3","Abrir facsímil")</f>
        <v>Abrir facsímil</v>
      </c>
      <c r="K5086" s="10" t="s">
        <v>24</v>
      </c>
    </row>
    <row r="5087" spans="1:11" ht="54" customHeight="1">
      <c r="A5087" s="9" t="s">
        <v>11905</v>
      </c>
      <c r="B5087" s="9" t="s">
        <v>11906</v>
      </c>
      <c r="C5087" s="9" t="s">
        <v>17</v>
      </c>
      <c r="D5087" s="9" t="s">
        <v>55</v>
      </c>
      <c r="E5087" s="10" t="s">
        <v>61</v>
      </c>
      <c r="F5087" s="9" t="s">
        <v>205</v>
      </c>
      <c r="G5087" s="10" t="s">
        <v>34</v>
      </c>
      <c r="H5087" s="9" t="s">
        <v>35</v>
      </c>
      <c r="I5087" s="9" t="s">
        <v>11907</v>
      </c>
      <c r="J5087" s="10" t="str">
        <f>HYPERLINK("https://www.boe.es/gazeta/dias/1834/06/08/pdfs/GMD-1834-110.pdf#page=1","Abrir facsímil")</f>
        <v>Abrir facsímil</v>
      </c>
      <c r="K5087" s="10" t="s">
        <v>37</v>
      </c>
    </row>
    <row r="5088" spans="1:11" ht="54" customHeight="1">
      <c r="A5088" s="9" t="s">
        <v>11908</v>
      </c>
      <c r="B5088" s="9" t="s">
        <v>11909</v>
      </c>
      <c r="C5088" s="9" t="s">
        <v>17</v>
      </c>
      <c r="D5088" s="9" t="s">
        <v>18</v>
      </c>
      <c r="E5088" s="10" t="s">
        <v>243</v>
      </c>
      <c r="F5088" s="9" t="s">
        <v>1109</v>
      </c>
      <c r="G5088" s="10" t="s">
        <v>75</v>
      </c>
      <c r="H5088" s="9" t="s">
        <v>22</v>
      </c>
      <c r="I5088" s="9" t="s">
        <v>11910</v>
      </c>
      <c r="J5088" s="10" t="str">
        <f>HYPERLINK("https://www.boe.es/gazeta/dias/1834/08/05/pdfs/GMD-1834-169.pdf#page=4","Abrir facsímil")</f>
        <v>Abrir facsímil</v>
      </c>
      <c r="K5088" s="10" t="s">
        <v>24</v>
      </c>
    </row>
    <row r="5089" spans="1:11" ht="54" customHeight="1">
      <c r="A5089" s="9" t="s">
        <v>11911</v>
      </c>
      <c r="B5089" s="9" t="s">
        <v>11912</v>
      </c>
      <c r="C5089" s="9" t="s">
        <v>17</v>
      </c>
      <c r="D5089" s="9" t="s">
        <v>18</v>
      </c>
      <c r="E5089" s="10" t="s">
        <v>91</v>
      </c>
      <c r="F5089" s="9" t="s">
        <v>92</v>
      </c>
      <c r="G5089" s="10" t="s">
        <v>75</v>
      </c>
      <c r="H5089" s="9" t="s">
        <v>22</v>
      </c>
      <c r="I5089" s="9" t="s">
        <v>11913</v>
      </c>
      <c r="J5089" s="10" t="str">
        <f>HYPERLINK("https://www.boe.es/gazeta/dias/1834/02/13/pdfs/GMD-1834-20.pdf#page=4","Abrir facsímil")</f>
        <v>Abrir facsímil</v>
      </c>
      <c r="K5089" s="10" t="s">
        <v>24</v>
      </c>
    </row>
    <row r="5090" spans="1:11" ht="54" customHeight="1">
      <c r="A5090" s="9" t="s">
        <v>11914</v>
      </c>
      <c r="B5090" s="9" t="s">
        <v>11915</v>
      </c>
      <c r="C5090" s="9" t="s">
        <v>17</v>
      </c>
      <c r="D5090" s="9" t="s">
        <v>18</v>
      </c>
      <c r="E5090" s="10" t="s">
        <v>2379</v>
      </c>
      <c r="F5090" s="9" t="s">
        <v>2380</v>
      </c>
      <c r="G5090" s="10" t="s">
        <v>75</v>
      </c>
      <c r="H5090" s="9" t="s">
        <v>22</v>
      </c>
      <c r="I5090" s="9" t="s">
        <v>11916</v>
      </c>
      <c r="J5090" s="10" t="str">
        <f>HYPERLINK("https://www.boe.es/gazeta/dias/1834/04/03/pdfs/GMD-1834-42.pdf#page=4","Abrir facsímil")</f>
        <v>Abrir facsímil</v>
      </c>
      <c r="K5090" s="10" t="s">
        <v>24</v>
      </c>
    </row>
    <row r="5091" spans="1:11" ht="54" customHeight="1">
      <c r="A5091" s="9" t="s">
        <v>11917</v>
      </c>
      <c r="B5091" s="9" t="s">
        <v>11918</v>
      </c>
      <c r="C5091" s="9" t="s">
        <v>66</v>
      </c>
      <c r="D5091" s="9" t="s">
        <v>18</v>
      </c>
      <c r="E5091" s="10" t="s">
        <v>860</v>
      </c>
      <c r="F5091" s="9" t="s">
        <v>861</v>
      </c>
      <c r="G5091" s="10" t="s">
        <v>75</v>
      </c>
      <c r="H5091" s="9" t="s">
        <v>35</v>
      </c>
      <c r="I5091" s="9" t="s">
        <v>11919</v>
      </c>
      <c r="J5091" s="10" t="str">
        <f>HYPERLINK("https://www.boe.es/gazeta/dias/1834/02/08/pdfs/GMD-1834-18.pdf#page=4","Abrir facsímil")</f>
        <v>Abrir facsímil</v>
      </c>
      <c r="K5091" s="10" t="s">
        <v>37</v>
      </c>
    </row>
    <row r="5092" spans="1:11" ht="54" customHeight="1">
      <c r="A5092" s="9" t="s">
        <v>11920</v>
      </c>
      <c r="B5092" s="9" t="s">
        <v>11921</v>
      </c>
      <c r="C5092" s="9" t="s">
        <v>46</v>
      </c>
      <c r="D5092" s="9" t="s">
        <v>18</v>
      </c>
      <c r="E5092" s="10" t="s">
        <v>860</v>
      </c>
      <c r="F5092" s="9" t="s">
        <v>861</v>
      </c>
      <c r="G5092" s="10" t="s">
        <v>75</v>
      </c>
      <c r="H5092" s="9" t="s">
        <v>22</v>
      </c>
      <c r="I5092" s="9" t="s">
        <v>11922</v>
      </c>
      <c r="J5092" s="10" t="str">
        <f>HYPERLINK("https://www.boe.es/gazeta/dias/1834/02/08/pdfs/GMD-1834-18.pdf#page=4","Abrir facsímil")</f>
        <v>Abrir facsímil</v>
      </c>
      <c r="K5092" s="10" t="s">
        <v>24</v>
      </c>
    </row>
    <row r="5093" spans="1:11" ht="54" customHeight="1">
      <c r="A5093" s="9" t="s">
        <v>11923</v>
      </c>
      <c r="B5093" s="9" t="s">
        <v>11924</v>
      </c>
      <c r="C5093" s="9" t="s">
        <v>66</v>
      </c>
      <c r="D5093" s="9" t="s">
        <v>67</v>
      </c>
      <c r="E5093" s="10" t="s">
        <v>360</v>
      </c>
      <c r="F5093" s="9" t="s">
        <v>361</v>
      </c>
      <c r="G5093" s="10" t="s">
        <v>34</v>
      </c>
      <c r="H5093" s="9" t="s">
        <v>22</v>
      </c>
      <c r="I5093" s="9" t="s">
        <v>11925</v>
      </c>
      <c r="J5093" s="10" t="str">
        <f>HYPERLINK("https://www.boe.es/gazeta/dias/1834/04/07/pdfs/GMD-1834-46.pdf#page=1","Abrir facsímil")</f>
        <v>Abrir facsímil</v>
      </c>
      <c r="K5093" s="10" t="s">
        <v>24</v>
      </c>
    </row>
    <row r="5094" spans="1:11" ht="54" customHeight="1">
      <c r="A5094" s="9" t="s">
        <v>11926</v>
      </c>
      <c r="B5094" s="9" t="s">
        <v>11927</v>
      </c>
      <c r="C5094" s="9" t="s">
        <v>17</v>
      </c>
      <c r="D5094" s="9" t="s">
        <v>101</v>
      </c>
      <c r="E5094" s="10" t="s">
        <v>317</v>
      </c>
      <c r="F5094" s="9" t="s">
        <v>318</v>
      </c>
      <c r="G5094" s="10" t="s">
        <v>86</v>
      </c>
      <c r="H5094" s="9" t="s">
        <v>22</v>
      </c>
      <c r="I5094" s="9" t="s">
        <v>11928</v>
      </c>
      <c r="J5094" s="10" t="str">
        <f>HYPERLINK("https://www.boe.es/gazeta/dias/1834/03/06/pdfs/I00139-00140.pdf#page=2","Abrir facsímil")</f>
        <v>Abrir facsímil</v>
      </c>
      <c r="K5094" s="10" t="s">
        <v>24</v>
      </c>
    </row>
    <row r="5095" spans="1:11" ht="54" customHeight="1">
      <c r="A5095" s="9" t="s">
        <v>11926</v>
      </c>
      <c r="B5095" s="9" t="s">
        <v>11927</v>
      </c>
      <c r="C5095" s="9" t="s">
        <v>17</v>
      </c>
      <c r="D5095" s="9" t="s">
        <v>101</v>
      </c>
      <c r="E5095" s="10" t="s">
        <v>317</v>
      </c>
      <c r="F5095" s="9" t="s">
        <v>318</v>
      </c>
      <c r="G5095" s="10" t="s">
        <v>75</v>
      </c>
      <c r="H5095" s="9" t="s">
        <v>22</v>
      </c>
      <c r="I5095" s="9" t="s">
        <v>11928</v>
      </c>
      <c r="J5095" s="10" t="str">
        <f>HYPERLINK("https://www.boe.es/gazeta/dias/1834/03/06/pdfs/GMD-1834-29.pdf#page=4","Abrir facsímil")</f>
        <v>Abrir facsímil</v>
      </c>
      <c r="K5095" s="10" t="s">
        <v>24</v>
      </c>
    </row>
    <row r="5096" spans="1:11" ht="54" customHeight="1">
      <c r="A5096" s="9" t="s">
        <v>11926</v>
      </c>
      <c r="B5096" s="9" t="s">
        <v>11927</v>
      </c>
      <c r="C5096" s="9" t="s">
        <v>17</v>
      </c>
      <c r="D5096" s="9" t="s">
        <v>18</v>
      </c>
      <c r="E5096" s="10" t="s">
        <v>785</v>
      </c>
      <c r="F5096" s="9" t="s">
        <v>786</v>
      </c>
      <c r="G5096" s="10" t="s">
        <v>34</v>
      </c>
      <c r="H5096" s="9" t="s">
        <v>22</v>
      </c>
      <c r="I5096" s="9" t="s">
        <v>11929</v>
      </c>
      <c r="J5096" s="10" t="str">
        <f>HYPERLINK("https://www.boe.es/gazeta/dias/1834/02/11/pdfs/GMD-1834-19.pdf#page=1","Abrir facsímil")</f>
        <v>Abrir facsímil</v>
      </c>
      <c r="K5096" s="10" t="s">
        <v>24</v>
      </c>
    </row>
    <row r="5097" spans="1:11" ht="54" customHeight="1">
      <c r="A5097" s="9" t="s">
        <v>11926</v>
      </c>
      <c r="B5097" s="9" t="s">
        <v>11927</v>
      </c>
      <c r="C5097" s="9" t="s">
        <v>90</v>
      </c>
      <c r="D5097" s="9" t="s">
        <v>101</v>
      </c>
      <c r="E5097" s="10" t="s">
        <v>32</v>
      </c>
      <c r="F5097" s="9" t="s">
        <v>33</v>
      </c>
      <c r="G5097" s="10" t="s">
        <v>34</v>
      </c>
      <c r="H5097" s="9" t="s">
        <v>22</v>
      </c>
      <c r="I5097" s="9" t="s">
        <v>11930</v>
      </c>
      <c r="J5097" s="10" t="str">
        <f>HYPERLINK("https://www.boe.es/gazeta/dias/1834/04/23/pdfs/GMD-1834-62.pdf#page=1","Abrir facsímil")</f>
        <v>Abrir facsímil</v>
      </c>
      <c r="K5097" s="10" t="s">
        <v>24</v>
      </c>
    </row>
    <row r="5098" spans="1:11" ht="54" customHeight="1">
      <c r="A5098" s="9" t="s">
        <v>11931</v>
      </c>
      <c r="B5098" s="9" t="s">
        <v>11932</v>
      </c>
      <c r="C5098" s="9" t="s">
        <v>17</v>
      </c>
      <c r="D5098" s="9" t="s">
        <v>101</v>
      </c>
      <c r="E5098" s="10" t="s">
        <v>2459</v>
      </c>
      <c r="F5098" s="9" t="s">
        <v>2460</v>
      </c>
      <c r="G5098" s="10" t="s">
        <v>75</v>
      </c>
      <c r="H5098" s="9" t="s">
        <v>22</v>
      </c>
      <c r="I5098" s="9" t="s">
        <v>11933</v>
      </c>
      <c r="J5098" s="10" t="str">
        <f>HYPERLINK("https://www.boe.es/gazeta/dias/1834/04/04/pdfs/GMD-1834-43.pdf#page=4","Abrir facsímil")</f>
        <v>Abrir facsímil</v>
      </c>
      <c r="K5098" s="10" t="s">
        <v>24</v>
      </c>
    </row>
    <row r="5099" spans="1:11" ht="54" customHeight="1">
      <c r="A5099" s="9" t="s">
        <v>11934</v>
      </c>
      <c r="B5099" s="9" t="s">
        <v>11935</v>
      </c>
      <c r="C5099" s="9" t="s">
        <v>17</v>
      </c>
      <c r="D5099" s="9" t="s">
        <v>18</v>
      </c>
      <c r="E5099" s="10" t="s">
        <v>762</v>
      </c>
      <c r="F5099" s="9" t="s">
        <v>763</v>
      </c>
      <c r="G5099" s="10" t="s">
        <v>34</v>
      </c>
      <c r="H5099" s="9" t="s">
        <v>22</v>
      </c>
      <c r="I5099" s="9" t="s">
        <v>11936</v>
      </c>
      <c r="J5099" s="10" t="str">
        <f>HYPERLINK("https://www.boe.es/gazeta/dias/1834/11/07/pdfs/GMD-1834-266.pdf#page=1","Abrir facsímil")</f>
        <v>Abrir facsímil</v>
      </c>
      <c r="K5099" s="10" t="s">
        <v>24</v>
      </c>
    </row>
    <row r="5100" spans="1:11" ht="54" customHeight="1">
      <c r="A5100" s="9" t="s">
        <v>11937</v>
      </c>
      <c r="B5100" s="9" t="s">
        <v>11938</v>
      </c>
      <c r="C5100" s="9" t="s">
        <v>17</v>
      </c>
      <c r="D5100" s="9" t="s">
        <v>55</v>
      </c>
      <c r="E5100" s="10" t="s">
        <v>513</v>
      </c>
      <c r="F5100" s="9" t="s">
        <v>514</v>
      </c>
      <c r="G5100" s="10" t="s">
        <v>176</v>
      </c>
      <c r="H5100" s="9" t="s">
        <v>35</v>
      </c>
      <c r="I5100" s="9" t="s">
        <v>11939</v>
      </c>
      <c r="J5100" s="10" t="str">
        <f>HYPERLINK("https://www.boe.es/gazeta/dias/1834/04/27/pdfs/GMD-1834-66.pdf#page=6","Abrir facsímil")</f>
        <v>Abrir facsímil</v>
      </c>
      <c r="K5100" s="10" t="s">
        <v>37</v>
      </c>
    </row>
    <row r="5101" spans="1:11" ht="54" customHeight="1">
      <c r="A5101" s="9" t="s">
        <v>11940</v>
      </c>
      <c r="B5101" s="9" t="s">
        <v>11941</v>
      </c>
      <c r="C5101" s="9" t="s">
        <v>17</v>
      </c>
      <c r="D5101" s="9" t="s">
        <v>55</v>
      </c>
      <c r="E5101" s="10" t="s">
        <v>513</v>
      </c>
      <c r="F5101" s="9" t="s">
        <v>514</v>
      </c>
      <c r="G5101" s="10" t="s">
        <v>176</v>
      </c>
      <c r="H5101" s="9" t="s">
        <v>22</v>
      </c>
      <c r="I5101" s="9" t="s">
        <v>11942</v>
      </c>
      <c r="J5101" s="10" t="str">
        <f>HYPERLINK("https://www.boe.es/gazeta/dias/1834/04/27/pdfs/GMD-1834-66.pdf#page=6","Abrir facsímil")</f>
        <v>Abrir facsímil</v>
      </c>
      <c r="K5101" s="10" t="s">
        <v>24</v>
      </c>
    </row>
    <row r="5102" spans="1:11" ht="54" customHeight="1">
      <c r="A5102" s="9" t="s">
        <v>11943</v>
      </c>
      <c r="B5102" s="9" t="s">
        <v>11944</v>
      </c>
      <c r="C5102" s="9" t="s">
        <v>90</v>
      </c>
      <c r="D5102" s="9" t="s">
        <v>18</v>
      </c>
      <c r="E5102" s="10" t="s">
        <v>905</v>
      </c>
      <c r="F5102" s="9" t="s">
        <v>906</v>
      </c>
      <c r="G5102" s="10" t="s">
        <v>86</v>
      </c>
      <c r="H5102" s="9" t="s">
        <v>22</v>
      </c>
      <c r="I5102" s="9" t="s">
        <v>11945</v>
      </c>
      <c r="J5102" s="10" t="str">
        <f>HYPERLINK("https://www.boe.es/gazeta/dias/1834/08/02/pdfs/GMD-C-1834-166.pdf#page=2","Abrir facsímil")</f>
        <v>Abrir facsímil</v>
      </c>
      <c r="K5102" s="10" t="s">
        <v>24</v>
      </c>
    </row>
    <row r="5103" spans="1:11" ht="54" customHeight="1">
      <c r="A5103" s="9" t="s">
        <v>11946</v>
      </c>
      <c r="B5103" s="9" t="s">
        <v>11947</v>
      </c>
      <c r="C5103" s="9" t="s">
        <v>46</v>
      </c>
      <c r="D5103" s="9" t="s">
        <v>101</v>
      </c>
      <c r="E5103" s="10" t="s">
        <v>32</v>
      </c>
      <c r="F5103" s="9" t="s">
        <v>33</v>
      </c>
      <c r="G5103" s="10" t="s">
        <v>34</v>
      </c>
      <c r="H5103" s="9" t="s">
        <v>22</v>
      </c>
      <c r="I5103" s="9" t="s">
        <v>11948</v>
      </c>
      <c r="J5103" s="10" t="str">
        <f>HYPERLINK("https://www.boe.es/gazeta/dias/1834/04/23/pdfs/GMD-1834-62.pdf#page=1","Abrir facsímil")</f>
        <v>Abrir facsímil</v>
      </c>
      <c r="K5103" s="10" t="s">
        <v>24</v>
      </c>
    </row>
    <row r="5104" spans="1:11" ht="54" customHeight="1">
      <c r="A5104" s="9" t="s">
        <v>11949</v>
      </c>
      <c r="B5104" s="9" t="s">
        <v>11950</v>
      </c>
      <c r="C5104" s="9" t="s">
        <v>90</v>
      </c>
      <c r="D5104" s="9" t="s">
        <v>67</v>
      </c>
      <c r="E5104" s="10" t="s">
        <v>309</v>
      </c>
      <c r="F5104" s="9" t="s">
        <v>310</v>
      </c>
      <c r="G5104" s="10" t="s">
        <v>21</v>
      </c>
      <c r="H5104" s="9" t="s">
        <v>22</v>
      </c>
      <c r="I5104" s="9" t="s">
        <v>11951</v>
      </c>
      <c r="J5104" s="10" t="str">
        <f>HYPERLINK("https://www.boe.es/gazeta/dias/1834/05/30/pdfs/GMD-1834-99.pdf#page=3","Abrir facsímil")</f>
        <v>Abrir facsímil</v>
      </c>
      <c r="K5104" s="10" t="s">
        <v>24</v>
      </c>
    </row>
    <row r="5105" spans="1:11" ht="54" customHeight="1">
      <c r="A5105" s="9" t="s">
        <v>11952</v>
      </c>
      <c r="B5105" s="9" t="s">
        <v>11953</v>
      </c>
      <c r="C5105" s="9" t="s">
        <v>90</v>
      </c>
      <c r="D5105" s="9" t="s">
        <v>18</v>
      </c>
      <c r="E5105" s="10" t="s">
        <v>1351</v>
      </c>
      <c r="F5105" s="9" t="s">
        <v>1352</v>
      </c>
      <c r="G5105" s="10" t="s">
        <v>28</v>
      </c>
      <c r="H5105" s="9" t="s">
        <v>35</v>
      </c>
      <c r="I5105" s="9" t="s">
        <v>11954</v>
      </c>
      <c r="J5105" s="10" t="str">
        <f>HYPERLINK("https://www.boe.es/gazeta/dias/1834/07/05/pdfs/GMD-1834-138.pdf#page=5","Abrir facsímil")</f>
        <v>Abrir facsímil</v>
      </c>
      <c r="K5105" s="10" t="s">
        <v>37</v>
      </c>
    </row>
    <row r="5106" spans="1:11" ht="54" customHeight="1">
      <c r="A5106" s="9" t="s">
        <v>11952</v>
      </c>
      <c r="B5106" s="9" t="s">
        <v>11953</v>
      </c>
      <c r="C5106" s="9" t="s">
        <v>17</v>
      </c>
      <c r="D5106" s="9" t="s">
        <v>18</v>
      </c>
      <c r="E5106" s="10" t="s">
        <v>247</v>
      </c>
      <c r="F5106" s="9" t="s">
        <v>248</v>
      </c>
      <c r="G5106" s="10" t="s">
        <v>34</v>
      </c>
      <c r="H5106" s="9" t="s">
        <v>35</v>
      </c>
      <c r="I5106" s="9" t="s">
        <v>11955</v>
      </c>
      <c r="J5106" s="10" t="str">
        <f>HYPERLINK("https://www.boe.es/gazeta/dias/1834/08/23/pdfs/GMD-C-1834-189.pdf#page=1","Abrir facsímil")</f>
        <v>Abrir facsímil</v>
      </c>
      <c r="K5106" s="10" t="s">
        <v>37</v>
      </c>
    </row>
    <row r="5107" spans="1:11" ht="54" customHeight="1">
      <c r="A5107" s="9" t="s">
        <v>11956</v>
      </c>
      <c r="B5107" s="9" t="s">
        <v>11957</v>
      </c>
      <c r="C5107" s="9" t="s">
        <v>66</v>
      </c>
      <c r="D5107" s="9" t="s">
        <v>67</v>
      </c>
      <c r="E5107" s="10" t="s">
        <v>96</v>
      </c>
      <c r="F5107" s="9" t="s">
        <v>97</v>
      </c>
      <c r="G5107" s="10" t="s">
        <v>34</v>
      </c>
      <c r="H5107" s="9" t="s">
        <v>35</v>
      </c>
      <c r="I5107" s="9" t="s">
        <v>11958</v>
      </c>
      <c r="J5107" s="10" t="str">
        <f>HYPERLINK("https://www.boe.es/gazeta/dias/1834/11/11/pdfs/GMD-C-1834-270.pdf#page=1","Abrir facsímil")</f>
        <v>Abrir facsímil</v>
      </c>
      <c r="K5107" s="10" t="s">
        <v>37</v>
      </c>
    </row>
    <row r="5108" spans="1:11" ht="54" customHeight="1">
      <c r="A5108" s="9" t="s">
        <v>11959</v>
      </c>
      <c r="B5108" s="9" t="s">
        <v>11960</v>
      </c>
      <c r="C5108" s="9" t="s">
        <v>90</v>
      </c>
      <c r="D5108" s="9" t="s">
        <v>18</v>
      </c>
      <c r="E5108" s="10" t="s">
        <v>1351</v>
      </c>
      <c r="F5108" s="9" t="s">
        <v>1352</v>
      </c>
      <c r="G5108" s="10" t="s">
        <v>28</v>
      </c>
      <c r="H5108" s="9" t="s">
        <v>22</v>
      </c>
      <c r="I5108" s="9" t="s">
        <v>11961</v>
      </c>
      <c r="J5108" s="10" t="str">
        <f>HYPERLINK("https://www.boe.es/gazeta/dias/1834/07/05/pdfs/GMD-1834-138.pdf#page=5","Abrir facsímil")</f>
        <v>Abrir facsímil</v>
      </c>
      <c r="K5108" s="10" t="s">
        <v>24</v>
      </c>
    </row>
    <row r="5109" spans="1:11" ht="54" customHeight="1">
      <c r="A5109" s="9" t="s">
        <v>11959</v>
      </c>
      <c r="B5109" s="9" t="s">
        <v>11960</v>
      </c>
      <c r="C5109" s="9" t="s">
        <v>17</v>
      </c>
      <c r="D5109" s="9" t="s">
        <v>18</v>
      </c>
      <c r="E5109" s="10" t="s">
        <v>167</v>
      </c>
      <c r="F5109" s="9" t="s">
        <v>1200</v>
      </c>
      <c r="G5109" s="10" t="s">
        <v>86</v>
      </c>
      <c r="H5109" s="9" t="s">
        <v>22</v>
      </c>
      <c r="I5109" s="9" t="s">
        <v>11962</v>
      </c>
      <c r="J5109" s="10" t="str">
        <f>HYPERLINK("https://www.boe.es/gazeta/dias/1834/09/07/pdfs/GMD-C-1834-205.pdf#page=2","Abrir facsímil")</f>
        <v>Abrir facsímil</v>
      </c>
      <c r="K5109" s="10" t="s">
        <v>24</v>
      </c>
    </row>
    <row r="5110" spans="1:11" ht="54" customHeight="1">
      <c r="A5110" s="9" t="s">
        <v>11959</v>
      </c>
      <c r="B5110" s="9" t="s">
        <v>11960</v>
      </c>
      <c r="C5110" s="9" t="s">
        <v>17</v>
      </c>
      <c r="D5110" s="9" t="s">
        <v>18</v>
      </c>
      <c r="E5110" s="10" t="s">
        <v>247</v>
      </c>
      <c r="F5110" s="9" t="s">
        <v>248</v>
      </c>
      <c r="G5110" s="10" t="s">
        <v>34</v>
      </c>
      <c r="H5110" s="9" t="s">
        <v>22</v>
      </c>
      <c r="I5110" s="9" t="s">
        <v>11963</v>
      </c>
      <c r="J5110" s="10" t="str">
        <f>HYPERLINK("https://www.boe.es/gazeta/dias/1834/08/23/pdfs/GMD-C-1834-189.pdf#page=1","Abrir facsímil")</f>
        <v>Abrir facsímil</v>
      </c>
      <c r="K5110" s="10" t="s">
        <v>24</v>
      </c>
    </row>
    <row r="5111" spans="1:11" ht="54" customHeight="1">
      <c r="A5111" s="9" t="s">
        <v>11964</v>
      </c>
      <c r="B5111" s="9" t="s">
        <v>11965</v>
      </c>
      <c r="C5111" s="9" t="s">
        <v>17</v>
      </c>
      <c r="D5111" s="9" t="s">
        <v>18</v>
      </c>
      <c r="E5111" s="10" t="s">
        <v>1008</v>
      </c>
      <c r="F5111" s="9" t="s">
        <v>1009</v>
      </c>
      <c r="G5111" s="10" t="s">
        <v>34</v>
      </c>
      <c r="H5111" s="9" t="s">
        <v>22</v>
      </c>
      <c r="I5111" s="9" t="s">
        <v>11966</v>
      </c>
      <c r="J5111" s="10" t="str">
        <f>HYPERLINK("https://www.boe.es/gazeta/dias/1834/11/08/pdfs/GMD-C-1834-267.pdf#page=1","Abrir facsímil")</f>
        <v>Abrir facsímil</v>
      </c>
      <c r="K5111" s="10" t="s">
        <v>24</v>
      </c>
    </row>
    <row r="5112" spans="1:11" ht="54" customHeight="1">
      <c r="A5112" s="9" t="s">
        <v>11964</v>
      </c>
      <c r="B5112" s="9" t="s">
        <v>11965</v>
      </c>
      <c r="C5112" s="9" t="s">
        <v>66</v>
      </c>
      <c r="D5112" s="9" t="s">
        <v>67</v>
      </c>
      <c r="E5112" s="10" t="s">
        <v>96</v>
      </c>
      <c r="F5112" s="9" t="s">
        <v>97</v>
      </c>
      <c r="G5112" s="10" t="s">
        <v>34</v>
      </c>
      <c r="H5112" s="9" t="s">
        <v>22</v>
      </c>
      <c r="I5112" s="9" t="s">
        <v>11967</v>
      </c>
      <c r="J5112" s="10" t="str">
        <f>HYPERLINK("https://www.boe.es/gazeta/dias/1834/11/11/pdfs/GMD-C-1834-270.pdf#page=1","Abrir facsímil")</f>
        <v>Abrir facsímil</v>
      </c>
      <c r="K5112" s="10" t="s">
        <v>24</v>
      </c>
    </row>
    <row r="5113" spans="1:11" ht="54" customHeight="1">
      <c r="A5113" s="9" t="s">
        <v>11968</v>
      </c>
      <c r="B5113" s="9" t="s">
        <v>11969</v>
      </c>
      <c r="C5113" s="9" t="s">
        <v>46</v>
      </c>
      <c r="D5113" s="9" t="s">
        <v>101</v>
      </c>
      <c r="E5113" s="10" t="s">
        <v>243</v>
      </c>
      <c r="F5113" s="9" t="s">
        <v>1109</v>
      </c>
      <c r="G5113" s="10" t="s">
        <v>21</v>
      </c>
      <c r="H5113" s="9" t="s">
        <v>22</v>
      </c>
      <c r="I5113" s="9" t="s">
        <v>11970</v>
      </c>
      <c r="J5113" s="10" t="str">
        <f>HYPERLINK("https://www.boe.es/gazeta/dias/1834/08/05/pdfs/GMD-1834-169.pdf#page=3","Abrir facsímil")</f>
        <v>Abrir facsímil</v>
      </c>
      <c r="K5113" s="10" t="s">
        <v>24</v>
      </c>
    </row>
    <row r="5114" spans="1:11" ht="54" customHeight="1">
      <c r="A5114" s="9" t="s">
        <v>11971</v>
      </c>
      <c r="B5114" s="9" t="s">
        <v>11972</v>
      </c>
      <c r="C5114" s="9" t="s">
        <v>17</v>
      </c>
      <c r="D5114" s="9" t="s">
        <v>18</v>
      </c>
      <c r="E5114" s="10" t="s">
        <v>606</v>
      </c>
      <c r="F5114" s="9" t="s">
        <v>607</v>
      </c>
      <c r="G5114" s="10" t="s">
        <v>75</v>
      </c>
      <c r="H5114" s="9" t="s">
        <v>22</v>
      </c>
      <c r="I5114" s="9" t="s">
        <v>11973</v>
      </c>
      <c r="J5114" s="10" t="str">
        <f>HYPERLINK("https://www.boe.es/gazeta/dias/1834/06/23/pdfs/GMD-1834-126.pdf#page=4","Abrir facsímil")</f>
        <v>Abrir facsímil</v>
      </c>
      <c r="K5114" s="10" t="s">
        <v>24</v>
      </c>
    </row>
    <row r="5115" spans="1:11" ht="54" customHeight="1">
      <c r="A5115" s="9" t="s">
        <v>11974</v>
      </c>
      <c r="B5115" s="9" t="s">
        <v>11975</v>
      </c>
      <c r="C5115" s="9" t="s">
        <v>122</v>
      </c>
      <c r="D5115" s="9" t="s">
        <v>18</v>
      </c>
      <c r="E5115" s="10" t="s">
        <v>696</v>
      </c>
      <c r="F5115" s="9" t="s">
        <v>854</v>
      </c>
      <c r="G5115" s="10" t="s">
        <v>86</v>
      </c>
      <c r="H5115" s="9" t="s">
        <v>22</v>
      </c>
      <c r="I5115" s="9" t="s">
        <v>11976</v>
      </c>
      <c r="J5115" s="10" t="str">
        <f>HYPERLINK("https://www.boe.es/gazeta/dias/1834/12/06/pdfs/GMD-1834-295.pdf#page=2","Abrir facsímil")</f>
        <v>Abrir facsímil</v>
      </c>
      <c r="K5115" s="10" t="s">
        <v>24</v>
      </c>
    </row>
    <row r="5116" spans="1:11" ht="54" customHeight="1">
      <c r="A5116" s="9" t="s">
        <v>11977</v>
      </c>
      <c r="B5116" s="9" t="s">
        <v>11978</v>
      </c>
      <c r="C5116" s="9" t="s">
        <v>857</v>
      </c>
      <c r="D5116" s="9" t="s">
        <v>18</v>
      </c>
      <c r="E5116" s="10" t="s">
        <v>1273</v>
      </c>
      <c r="F5116" s="9" t="s">
        <v>1274</v>
      </c>
      <c r="G5116" s="10" t="s">
        <v>75</v>
      </c>
      <c r="H5116" s="9" t="s">
        <v>22</v>
      </c>
      <c r="I5116" s="9" t="s">
        <v>11979</v>
      </c>
      <c r="J5116" s="10" t="str">
        <f>HYPERLINK("https://www.boe.es/gazeta/dias/1834/05/14/pdfs/GMD-1834-83.pdf#page=4","Abrir facsímil")</f>
        <v>Abrir facsímil</v>
      </c>
      <c r="K5116" s="10" t="s">
        <v>24</v>
      </c>
    </row>
    <row r="5117" spans="1:11" ht="54" customHeight="1">
      <c r="A5117" s="9" t="s">
        <v>11980</v>
      </c>
      <c r="B5117" s="9" t="s">
        <v>11981</v>
      </c>
      <c r="C5117" s="9" t="s">
        <v>17</v>
      </c>
      <c r="D5117" s="9" t="s">
        <v>18</v>
      </c>
      <c r="E5117" s="10" t="s">
        <v>3810</v>
      </c>
      <c r="F5117" s="9" t="s">
        <v>3811</v>
      </c>
      <c r="G5117" s="10" t="s">
        <v>75</v>
      </c>
      <c r="H5117" s="9" t="s">
        <v>22</v>
      </c>
      <c r="I5117" s="9" t="s">
        <v>11982</v>
      </c>
      <c r="J5117" s="10" t="str">
        <f>HYPERLINK("https://www.boe.es/gazeta/dias/1834/02/20/pdfs/GMD-1834-23.pdf#page=4","Abrir facsímil")</f>
        <v>Abrir facsímil</v>
      </c>
      <c r="K5117" s="10" t="s">
        <v>24</v>
      </c>
    </row>
    <row r="5118" spans="1:11" ht="54" customHeight="1">
      <c r="A5118" s="9" t="s">
        <v>11983</v>
      </c>
      <c r="B5118" s="9" t="s">
        <v>11984</v>
      </c>
      <c r="C5118" s="9" t="s">
        <v>17</v>
      </c>
      <c r="D5118" s="9" t="s">
        <v>101</v>
      </c>
      <c r="E5118" s="10" t="s">
        <v>174</v>
      </c>
      <c r="F5118" s="9" t="s">
        <v>175</v>
      </c>
      <c r="G5118" s="10" t="s">
        <v>34</v>
      </c>
      <c r="H5118" s="9" t="s">
        <v>22</v>
      </c>
      <c r="I5118" s="9" t="s">
        <v>11985</v>
      </c>
      <c r="J5118" s="10" t="str">
        <f>HYPERLINK("https://www.boe.es/gazeta/dias/1834/03/27/pdfs/GMD-1834-38.pdf#page=1","Abrir facsímil")</f>
        <v>Abrir facsímil</v>
      </c>
      <c r="K5118" s="10" t="s">
        <v>24</v>
      </c>
    </row>
    <row r="5119" spans="1:11" ht="54" customHeight="1">
      <c r="A5119" s="9" t="s">
        <v>11986</v>
      </c>
      <c r="B5119" s="9" t="s">
        <v>11987</v>
      </c>
      <c r="C5119" s="9" t="s">
        <v>17</v>
      </c>
      <c r="D5119" s="9" t="s">
        <v>18</v>
      </c>
      <c r="E5119" s="10" t="s">
        <v>465</v>
      </c>
      <c r="F5119" s="9" t="s">
        <v>466</v>
      </c>
      <c r="G5119" s="10" t="s">
        <v>75</v>
      </c>
      <c r="H5119" s="9" t="s">
        <v>22</v>
      </c>
      <c r="I5119" s="9" t="s">
        <v>11988</v>
      </c>
      <c r="J5119" s="10" t="str">
        <f>HYPERLINK("https://www.boe.es/gazeta/dias/1834/11/27/pdfs/GMD-C-1834-286.pdf#page=4","Abrir facsímil")</f>
        <v>Abrir facsímil</v>
      </c>
      <c r="K5119" s="10" t="s">
        <v>24</v>
      </c>
    </row>
    <row r="5120" spans="1:11" ht="54" customHeight="1">
      <c r="A5120" s="9" t="s">
        <v>11989</v>
      </c>
      <c r="B5120" s="9" t="s">
        <v>11990</v>
      </c>
      <c r="C5120" s="9" t="s">
        <v>17</v>
      </c>
      <c r="D5120" s="9" t="s">
        <v>18</v>
      </c>
      <c r="E5120" s="10" t="s">
        <v>11991</v>
      </c>
      <c r="F5120" s="9" t="s">
        <v>11992</v>
      </c>
      <c r="G5120" s="10" t="s">
        <v>34</v>
      </c>
      <c r="H5120" s="9" t="s">
        <v>35</v>
      </c>
      <c r="I5120" s="9" t="s">
        <v>11993</v>
      </c>
      <c r="J5120" s="10" t="str">
        <f>HYPERLINK("https://www.boe.es/gazeta/dias/1834/12/05/pdfs/GMD-C-1834-294.pdf#page=1","Abrir facsímil")</f>
        <v>Abrir facsímil</v>
      </c>
      <c r="K5120" s="10" t="s">
        <v>37</v>
      </c>
    </row>
    <row r="5121" spans="1:11" ht="54" customHeight="1">
      <c r="A5121" s="9" t="s">
        <v>11989</v>
      </c>
      <c r="B5121" s="9" t="s">
        <v>11990</v>
      </c>
      <c r="C5121" s="9" t="s">
        <v>17</v>
      </c>
      <c r="D5121" s="9" t="s">
        <v>40</v>
      </c>
      <c r="E5121" s="10" t="s">
        <v>1981</v>
      </c>
      <c r="F5121" s="9" t="s">
        <v>2471</v>
      </c>
      <c r="G5121" s="10" t="s">
        <v>34</v>
      </c>
      <c r="H5121" s="9" t="s">
        <v>35</v>
      </c>
      <c r="I5121" s="9" t="s">
        <v>11994</v>
      </c>
      <c r="J5121" s="10" t="str">
        <f>HYPERLINK("https://www.boe.es/gazeta/dias/1834/12/13/pdfs/GMD-C-1834-302.pdf#page=1","Abrir facsímil")</f>
        <v>Abrir facsímil</v>
      </c>
      <c r="K5121" s="10" t="s">
        <v>37</v>
      </c>
    </row>
    <row r="5122" spans="1:11" ht="54" customHeight="1">
      <c r="A5122" s="9" t="s">
        <v>11995</v>
      </c>
      <c r="B5122" s="9" t="s">
        <v>11996</v>
      </c>
      <c r="C5122" s="9" t="s">
        <v>17</v>
      </c>
      <c r="D5122" s="9" t="s">
        <v>18</v>
      </c>
      <c r="E5122" s="10" t="s">
        <v>11991</v>
      </c>
      <c r="F5122" s="9" t="s">
        <v>11992</v>
      </c>
      <c r="G5122" s="10" t="s">
        <v>34</v>
      </c>
      <c r="H5122" s="9" t="s">
        <v>22</v>
      </c>
      <c r="I5122" s="9" t="s">
        <v>11997</v>
      </c>
      <c r="J5122" s="10" t="str">
        <f>HYPERLINK("https://www.boe.es/gazeta/dias/1834/12/05/pdfs/GMD-C-1834-294.pdf#page=1","Abrir facsímil")</f>
        <v>Abrir facsímil</v>
      </c>
      <c r="K5122" s="10" t="s">
        <v>24</v>
      </c>
    </row>
    <row r="5123" spans="1:11" ht="54" customHeight="1">
      <c r="A5123" s="9" t="s">
        <v>11995</v>
      </c>
      <c r="B5123" s="9" t="s">
        <v>11996</v>
      </c>
      <c r="C5123" s="9" t="s">
        <v>17</v>
      </c>
      <c r="D5123" s="9" t="s">
        <v>40</v>
      </c>
      <c r="E5123" s="10" t="s">
        <v>1981</v>
      </c>
      <c r="F5123" s="9" t="s">
        <v>2471</v>
      </c>
      <c r="G5123" s="10" t="s">
        <v>34</v>
      </c>
      <c r="H5123" s="9" t="s">
        <v>22</v>
      </c>
      <c r="I5123" s="9" t="s">
        <v>11998</v>
      </c>
      <c r="J5123" s="10" t="str">
        <f>HYPERLINK("https://www.boe.es/gazeta/dias/1834/12/13/pdfs/GMD-C-1834-302.pdf#page=1","Abrir facsímil")</f>
        <v>Abrir facsímil</v>
      </c>
      <c r="K5123" s="10" t="s">
        <v>24</v>
      </c>
    </row>
    <row r="5124" spans="1:11" ht="54" customHeight="1">
      <c r="A5124" s="9" t="s">
        <v>11999</v>
      </c>
      <c r="B5124" s="9" t="s">
        <v>12000</v>
      </c>
      <c r="C5124" s="9" t="s">
        <v>17</v>
      </c>
      <c r="D5124" s="9" t="s">
        <v>18</v>
      </c>
      <c r="E5124" s="10" t="s">
        <v>2398</v>
      </c>
      <c r="F5124" s="9" t="s">
        <v>2399</v>
      </c>
      <c r="G5124" s="10" t="s">
        <v>34</v>
      </c>
      <c r="H5124" s="9" t="s">
        <v>22</v>
      </c>
      <c r="I5124" s="9" t="s">
        <v>12001</v>
      </c>
      <c r="J5124" s="10" t="str">
        <f>HYPERLINK("https://www.boe.es/gazeta/dias/1834/01/16/pdfs/GMD-1834-8.pdf#page=1","Abrir facsímil")</f>
        <v>Abrir facsímil</v>
      </c>
      <c r="K5124" s="10" t="s">
        <v>24</v>
      </c>
    </row>
    <row r="5125" spans="1:11" ht="54" customHeight="1">
      <c r="A5125" s="9" t="s">
        <v>12002</v>
      </c>
      <c r="B5125" s="9" t="s">
        <v>12003</v>
      </c>
      <c r="C5125" s="9" t="s">
        <v>46</v>
      </c>
      <c r="D5125" s="9" t="s">
        <v>101</v>
      </c>
      <c r="E5125" s="10" t="s">
        <v>265</v>
      </c>
      <c r="F5125" s="9" t="s">
        <v>266</v>
      </c>
      <c r="G5125" s="10" t="s">
        <v>34</v>
      </c>
      <c r="H5125" s="9" t="s">
        <v>22</v>
      </c>
      <c r="I5125" s="9" t="s">
        <v>12004</v>
      </c>
      <c r="J5125" s="10" t="str">
        <f>HYPERLINK("https://www.boe.es/gazeta/dias/1834/11/19/pdfs/GMD-C-1834-278.pdf#page=1","Abrir facsímil")</f>
        <v>Abrir facsímil</v>
      </c>
      <c r="K5125" s="10" t="s">
        <v>24</v>
      </c>
    </row>
    <row r="5126" spans="1:11" ht="54" customHeight="1">
      <c r="A5126" s="9" t="s">
        <v>12005</v>
      </c>
      <c r="B5126" s="9" t="s">
        <v>12006</v>
      </c>
      <c r="C5126" s="9" t="s">
        <v>66</v>
      </c>
      <c r="D5126" s="9" t="s">
        <v>67</v>
      </c>
      <c r="E5126" s="10" t="s">
        <v>360</v>
      </c>
      <c r="F5126" s="9" t="s">
        <v>361</v>
      </c>
      <c r="G5126" s="10" t="s">
        <v>34</v>
      </c>
      <c r="H5126" s="9" t="s">
        <v>22</v>
      </c>
      <c r="I5126" s="9" t="s">
        <v>12007</v>
      </c>
      <c r="J5126" s="10" t="str">
        <f>HYPERLINK("https://www.boe.es/gazeta/dias/1834/04/07/pdfs/GMD-1834-46.pdf#page=1","Abrir facsímil")</f>
        <v>Abrir facsímil</v>
      </c>
      <c r="K5126" s="10" t="s">
        <v>24</v>
      </c>
    </row>
    <row r="5127" spans="1:11" ht="54" customHeight="1">
      <c r="A5127" s="9" t="s">
        <v>12008</v>
      </c>
      <c r="B5127" s="9" t="s">
        <v>12009</v>
      </c>
      <c r="C5127" s="9" t="s">
        <v>17</v>
      </c>
      <c r="D5127" s="9" t="s">
        <v>40</v>
      </c>
      <c r="E5127" s="10" t="s">
        <v>2037</v>
      </c>
      <c r="F5127" s="9" t="s">
        <v>2038</v>
      </c>
      <c r="G5127" s="10" t="s">
        <v>34</v>
      </c>
      <c r="H5127" s="9" t="s">
        <v>22</v>
      </c>
      <c r="I5127" s="9" t="s">
        <v>12010</v>
      </c>
      <c r="J5127" s="10" t="str">
        <f>HYPERLINK("https://www.boe.es/gazeta/dias/1834/12/01/pdfs/I01208-01208.pdf#page=1","Abrir facsímil")</f>
        <v>Abrir facsímil</v>
      </c>
      <c r="K5127" s="10" t="s">
        <v>24</v>
      </c>
    </row>
    <row r="5128" spans="1:11" ht="54" customHeight="1">
      <c r="A5128" s="9" t="s">
        <v>12008</v>
      </c>
      <c r="B5128" s="9" t="s">
        <v>12009</v>
      </c>
      <c r="C5128" s="9" t="s">
        <v>17</v>
      </c>
      <c r="D5128" s="9" t="s">
        <v>40</v>
      </c>
      <c r="E5128" s="10" t="s">
        <v>2037</v>
      </c>
      <c r="F5128" s="9" t="s">
        <v>2038</v>
      </c>
      <c r="G5128" s="10" t="s">
        <v>75</v>
      </c>
      <c r="H5128" s="9" t="s">
        <v>22</v>
      </c>
      <c r="I5128" s="9" t="s">
        <v>12010</v>
      </c>
      <c r="J5128" s="10" t="str">
        <f>HYPERLINK("https://www.boe.es/gazeta/dias/1834/12/01/pdfs/GMD-1834-290.pdf#page=4","Abrir facsímil")</f>
        <v>Abrir facsímil</v>
      </c>
      <c r="K5128" s="10" t="s">
        <v>24</v>
      </c>
    </row>
    <row r="5129" spans="1:11" ht="54" customHeight="1">
      <c r="A5129" s="9" t="s">
        <v>12008</v>
      </c>
      <c r="B5129" s="9" t="s">
        <v>12009</v>
      </c>
      <c r="C5129" s="9" t="s">
        <v>17</v>
      </c>
      <c r="D5129" s="9" t="s">
        <v>101</v>
      </c>
      <c r="E5129" s="10" t="s">
        <v>506</v>
      </c>
      <c r="F5129" s="9" t="s">
        <v>507</v>
      </c>
      <c r="G5129" s="10" t="s">
        <v>34</v>
      </c>
      <c r="H5129" s="9" t="s">
        <v>22</v>
      </c>
      <c r="I5129" s="9" t="s">
        <v>12011</v>
      </c>
      <c r="J5129" s="10" t="str">
        <f>HYPERLINK("https://www.boe.es/gazeta/dias/1834/03/04/pdfs/GMD-1834-28.pdf#page=1","Abrir facsímil")</f>
        <v>Abrir facsímil</v>
      </c>
      <c r="K5129" s="10" t="s">
        <v>24</v>
      </c>
    </row>
    <row r="5130" spans="1:11" ht="54" customHeight="1">
      <c r="A5130" s="9" t="s">
        <v>12008</v>
      </c>
      <c r="B5130" s="9" t="s">
        <v>12009</v>
      </c>
      <c r="C5130" s="9" t="s">
        <v>46</v>
      </c>
      <c r="D5130" s="9" t="s">
        <v>55</v>
      </c>
      <c r="E5130" s="10" t="s">
        <v>2218</v>
      </c>
      <c r="F5130" s="9" t="s">
        <v>2219</v>
      </c>
      <c r="G5130" s="10" t="s">
        <v>34</v>
      </c>
      <c r="H5130" s="9" t="s">
        <v>22</v>
      </c>
      <c r="I5130" s="9" t="s">
        <v>12012</v>
      </c>
      <c r="J5130" s="10" t="str">
        <f>HYPERLINK("https://www.boe.es/gazeta/dias/1834/11/05/pdfs/GMD-1834-264.pdf#page=1","Abrir facsímil")</f>
        <v>Abrir facsímil</v>
      </c>
      <c r="K5130" s="10" t="s">
        <v>24</v>
      </c>
    </row>
    <row r="5131" spans="1:11" ht="54" customHeight="1">
      <c r="A5131" s="9" t="s">
        <v>12008</v>
      </c>
      <c r="B5131" s="9" t="s">
        <v>12009</v>
      </c>
      <c r="C5131" s="9" t="s">
        <v>17</v>
      </c>
      <c r="D5131" s="9" t="s">
        <v>18</v>
      </c>
      <c r="E5131" s="10" t="s">
        <v>1170</v>
      </c>
      <c r="F5131" s="9" t="s">
        <v>1171</v>
      </c>
      <c r="G5131" s="10" t="s">
        <v>34</v>
      </c>
      <c r="H5131" s="9" t="s">
        <v>22</v>
      </c>
      <c r="I5131" s="9" t="s">
        <v>12013</v>
      </c>
      <c r="J5131" s="10" t="str">
        <f>HYPERLINK("https://www.boe.es/gazeta/dias/1834/01/07/pdfs/GMD-1834-4.pdf#page=1","Abrir facsímil")</f>
        <v>Abrir facsímil</v>
      </c>
      <c r="K5131" s="10" t="s">
        <v>24</v>
      </c>
    </row>
    <row r="5132" spans="1:11" ht="54" customHeight="1">
      <c r="A5132" s="9" t="s">
        <v>12008</v>
      </c>
      <c r="B5132" s="9" t="s">
        <v>12009</v>
      </c>
      <c r="C5132" s="9" t="s">
        <v>17</v>
      </c>
      <c r="D5132" s="9" t="s">
        <v>18</v>
      </c>
      <c r="E5132" s="10" t="s">
        <v>2398</v>
      </c>
      <c r="F5132" s="9" t="s">
        <v>2399</v>
      </c>
      <c r="G5132" s="10" t="s">
        <v>34</v>
      </c>
      <c r="H5132" s="9" t="s">
        <v>22</v>
      </c>
      <c r="I5132" s="9" t="s">
        <v>12014</v>
      </c>
      <c r="J5132" s="10" t="str">
        <f>HYPERLINK("https://www.boe.es/gazeta/dias/1834/01/16/pdfs/GMD-1834-8.pdf#page=1","Abrir facsímil")</f>
        <v>Abrir facsímil</v>
      </c>
      <c r="K5132" s="10" t="s">
        <v>24</v>
      </c>
    </row>
    <row r="5133" spans="1:11" ht="54" customHeight="1">
      <c r="A5133" s="9" t="s">
        <v>12008</v>
      </c>
      <c r="B5133" s="9" t="s">
        <v>12009</v>
      </c>
      <c r="C5133" s="9" t="s">
        <v>90</v>
      </c>
      <c r="D5133" s="9" t="s">
        <v>67</v>
      </c>
      <c r="E5133" s="10" t="s">
        <v>2306</v>
      </c>
      <c r="F5133" s="9" t="s">
        <v>2307</v>
      </c>
      <c r="G5133" s="10" t="s">
        <v>34</v>
      </c>
      <c r="H5133" s="9" t="s">
        <v>22</v>
      </c>
      <c r="I5133" s="9" t="s">
        <v>12015</v>
      </c>
      <c r="J5133" s="10" t="str">
        <f>HYPERLINK("https://www.boe.es/gazeta/dias/1834/04/26/pdfs/GMD-1834-65.pdf#page=1","Abrir facsímil")</f>
        <v>Abrir facsímil</v>
      </c>
      <c r="K5133" s="10" t="s">
        <v>24</v>
      </c>
    </row>
    <row r="5134" spans="1:11" ht="54" customHeight="1">
      <c r="A5134" s="9" t="s">
        <v>12016</v>
      </c>
      <c r="B5134" s="9" t="s">
        <v>12017</v>
      </c>
      <c r="C5134" s="9" t="s">
        <v>17</v>
      </c>
      <c r="D5134" s="9" t="s">
        <v>18</v>
      </c>
      <c r="E5134" s="10" t="s">
        <v>513</v>
      </c>
      <c r="F5134" s="9" t="s">
        <v>514</v>
      </c>
      <c r="G5134" s="10" t="s">
        <v>75</v>
      </c>
      <c r="H5134" s="9" t="s">
        <v>22</v>
      </c>
      <c r="I5134" s="9" t="s">
        <v>12018</v>
      </c>
      <c r="J5134" s="10" t="str">
        <f>HYPERLINK("https://www.boe.es/gazeta/dias/1834/04/27/pdfs/GMD-1834-66.pdf#page=4","Abrir facsímil")</f>
        <v>Abrir facsímil</v>
      </c>
      <c r="K5134" s="10" t="s">
        <v>24</v>
      </c>
    </row>
    <row r="5135" spans="1:11" ht="54" customHeight="1">
      <c r="A5135" s="9" t="s">
        <v>12019</v>
      </c>
      <c r="B5135" s="9" t="s">
        <v>12020</v>
      </c>
      <c r="C5135" s="9" t="s">
        <v>90</v>
      </c>
      <c r="D5135" s="9" t="s">
        <v>101</v>
      </c>
      <c r="E5135" s="10" t="s">
        <v>912</v>
      </c>
      <c r="F5135" s="9" t="s">
        <v>913</v>
      </c>
      <c r="G5135" s="10" t="s">
        <v>34</v>
      </c>
      <c r="H5135" s="9" t="s">
        <v>22</v>
      </c>
      <c r="I5135" s="9" t="s">
        <v>12021</v>
      </c>
      <c r="J5135" s="10" t="str">
        <f>HYPERLINK("https://www.boe.es/gazeta/dias/1834/02/15/pdfs/GMD-1834-21.pdf#page=1","Abrir facsímil")</f>
        <v>Abrir facsímil</v>
      </c>
      <c r="K5135" s="10" t="s">
        <v>24</v>
      </c>
    </row>
    <row r="5136" spans="1:11" ht="54" customHeight="1">
      <c r="A5136" s="9" t="s">
        <v>12022</v>
      </c>
      <c r="B5136" s="9" t="s">
        <v>12023</v>
      </c>
      <c r="C5136" s="9" t="s">
        <v>17</v>
      </c>
      <c r="D5136" s="9" t="s">
        <v>18</v>
      </c>
      <c r="E5136" s="10" t="s">
        <v>3952</v>
      </c>
      <c r="F5136" s="9" t="s">
        <v>12024</v>
      </c>
      <c r="G5136" s="10" t="s">
        <v>34</v>
      </c>
      <c r="H5136" s="9" t="s">
        <v>22</v>
      </c>
      <c r="I5136" s="9" t="s">
        <v>12025</v>
      </c>
      <c r="J5136" s="10" t="str">
        <f>HYPERLINK("https://www.boe.es/gazeta/dias/1834/02/22/pdfs/GMD-C-1834-24.pdf#page=1","Abrir facsímil")</f>
        <v>Abrir facsímil</v>
      </c>
      <c r="K5136" s="10" t="s">
        <v>24</v>
      </c>
    </row>
    <row r="5137" spans="1:11" ht="54" customHeight="1">
      <c r="A5137" s="9" t="s">
        <v>12026</v>
      </c>
      <c r="B5137" s="9" t="s">
        <v>12027</v>
      </c>
      <c r="C5137" s="9" t="s">
        <v>46</v>
      </c>
      <c r="D5137" s="9" t="s">
        <v>101</v>
      </c>
      <c r="E5137" s="10" t="s">
        <v>265</v>
      </c>
      <c r="F5137" s="9" t="s">
        <v>266</v>
      </c>
      <c r="G5137" s="10" t="s">
        <v>34</v>
      </c>
      <c r="H5137" s="9" t="s">
        <v>35</v>
      </c>
      <c r="I5137" s="9" t="s">
        <v>12028</v>
      </c>
      <c r="J5137" s="10" t="str">
        <f>HYPERLINK("https://www.boe.es/gazeta/dias/1834/11/19/pdfs/GMD-C-1834-278.pdf#page=1","Abrir facsímil")</f>
        <v>Abrir facsímil</v>
      </c>
      <c r="K5137" s="10" t="s">
        <v>37</v>
      </c>
    </row>
    <row r="5138" spans="1:11" ht="54" customHeight="1">
      <c r="A5138" s="9" t="s">
        <v>12029</v>
      </c>
      <c r="B5138" s="9" t="s">
        <v>12030</v>
      </c>
      <c r="C5138" s="9" t="s">
        <v>66</v>
      </c>
      <c r="D5138" s="9" t="s">
        <v>67</v>
      </c>
      <c r="E5138" s="10" t="s">
        <v>1510</v>
      </c>
      <c r="F5138" s="9" t="s">
        <v>1511</v>
      </c>
      <c r="G5138" s="10" t="s">
        <v>75</v>
      </c>
      <c r="H5138" s="9" t="s">
        <v>22</v>
      </c>
      <c r="I5138" s="9" t="s">
        <v>12031</v>
      </c>
      <c r="J5138" s="10" t="str">
        <f>HYPERLINK("https://www.boe.es/gazeta/dias/1834/06/13/pdfs/GMD-1834-116.pdf#page=4","Abrir facsímil")</f>
        <v>Abrir facsímil</v>
      </c>
      <c r="K5138" s="10" t="s">
        <v>24</v>
      </c>
    </row>
    <row r="5139" spans="1:11" ht="54" customHeight="1">
      <c r="A5139" s="9" t="s">
        <v>12032</v>
      </c>
      <c r="B5139" s="9" t="s">
        <v>12033</v>
      </c>
      <c r="C5139" s="9" t="s">
        <v>17</v>
      </c>
      <c r="D5139" s="9" t="s">
        <v>55</v>
      </c>
      <c r="E5139" s="10" t="s">
        <v>1239</v>
      </c>
      <c r="F5139" s="9" t="s">
        <v>1240</v>
      </c>
      <c r="G5139" s="10" t="s">
        <v>34</v>
      </c>
      <c r="H5139" s="9" t="s">
        <v>22</v>
      </c>
      <c r="I5139" s="9" t="s">
        <v>12034</v>
      </c>
      <c r="J5139" s="10" t="str">
        <f>HYPERLINK("https://www.boe.es/gazeta/dias/1834/08/20/pdfs/GMD-1834-186.pdf#page=1","Abrir facsímil")</f>
        <v>Abrir facsímil</v>
      </c>
      <c r="K5139" s="10" t="s">
        <v>24</v>
      </c>
    </row>
    <row r="5140" spans="1:11" ht="54" customHeight="1">
      <c r="A5140" s="9" t="s">
        <v>12035</v>
      </c>
      <c r="B5140" s="9" t="s">
        <v>12036</v>
      </c>
      <c r="C5140" s="9" t="s">
        <v>17</v>
      </c>
      <c r="D5140" s="9" t="s">
        <v>18</v>
      </c>
      <c r="E5140" s="10" t="s">
        <v>785</v>
      </c>
      <c r="F5140" s="9" t="s">
        <v>786</v>
      </c>
      <c r="G5140" s="10" t="s">
        <v>34</v>
      </c>
      <c r="H5140" s="9" t="s">
        <v>22</v>
      </c>
      <c r="I5140" s="9" t="s">
        <v>12037</v>
      </c>
      <c r="J5140" s="10" t="str">
        <f>HYPERLINK("https://www.boe.es/gazeta/dias/1834/02/11/pdfs/GMD-1834-19.pdf#page=1","Abrir facsímil")</f>
        <v>Abrir facsímil</v>
      </c>
      <c r="K5140" s="10" t="s">
        <v>24</v>
      </c>
    </row>
    <row r="5141" spans="1:11" ht="54" customHeight="1">
      <c r="A5141" s="9" t="s">
        <v>12038</v>
      </c>
      <c r="B5141" s="9" t="s">
        <v>12039</v>
      </c>
      <c r="C5141" s="9" t="s">
        <v>17</v>
      </c>
      <c r="D5141" s="9" t="s">
        <v>18</v>
      </c>
      <c r="E5141" s="10" t="s">
        <v>653</v>
      </c>
      <c r="F5141" s="9" t="s">
        <v>654</v>
      </c>
      <c r="G5141" s="10" t="s">
        <v>21</v>
      </c>
      <c r="H5141" s="9" t="s">
        <v>22</v>
      </c>
      <c r="I5141" s="9" t="s">
        <v>12040</v>
      </c>
      <c r="J5141" s="10" t="str">
        <f>HYPERLINK("https://www.boe.es/gazeta/dias/1834/08/06/pdfs/GMD-C-1834-170.pdf#page=3","Abrir facsímil")</f>
        <v>Abrir facsímil</v>
      </c>
      <c r="K5141" s="10" t="s">
        <v>24</v>
      </c>
    </row>
    <row r="5142" spans="1:11" ht="54" customHeight="1">
      <c r="A5142" s="9" t="s">
        <v>12041</v>
      </c>
      <c r="B5142" s="9" t="s">
        <v>12042</v>
      </c>
      <c r="C5142" s="9" t="s">
        <v>66</v>
      </c>
      <c r="D5142" s="9" t="s">
        <v>67</v>
      </c>
      <c r="E5142" s="10" t="s">
        <v>299</v>
      </c>
      <c r="F5142" s="9" t="s">
        <v>300</v>
      </c>
      <c r="G5142" s="10" t="s">
        <v>75</v>
      </c>
      <c r="H5142" s="9" t="s">
        <v>22</v>
      </c>
      <c r="I5142" s="9" t="s">
        <v>12043</v>
      </c>
      <c r="J5142" s="10" t="str">
        <f>HYPERLINK("https://www.boe.es/gazeta/dias/1834/12/12/pdfs/GMD-1834-301.pdf#page=4","Abrir facsímil")</f>
        <v>Abrir facsímil</v>
      </c>
      <c r="K5142" s="10" t="s">
        <v>24</v>
      </c>
    </row>
    <row r="5143" spans="1:11" ht="54" customHeight="1">
      <c r="A5143" s="9" t="s">
        <v>12044</v>
      </c>
      <c r="B5143" s="9" t="s">
        <v>12045</v>
      </c>
      <c r="C5143" s="9" t="s">
        <v>17</v>
      </c>
      <c r="D5143" s="9" t="s">
        <v>18</v>
      </c>
      <c r="E5143" s="10" t="s">
        <v>1839</v>
      </c>
      <c r="F5143" s="9" t="s">
        <v>1840</v>
      </c>
      <c r="G5143" s="10" t="s">
        <v>86</v>
      </c>
      <c r="H5143" s="9" t="s">
        <v>22</v>
      </c>
      <c r="I5143" s="9" t="s">
        <v>12046</v>
      </c>
      <c r="J5143" s="10" t="str">
        <f>HYPERLINK("https://www.boe.es/gazeta/dias/1834/08/12/pdfs/GMD-C-1834-177.pdf#page=2","Abrir facsímil")</f>
        <v>Abrir facsímil</v>
      </c>
      <c r="K5143" s="10" t="s">
        <v>24</v>
      </c>
    </row>
    <row r="5144" spans="1:11" ht="54" customHeight="1">
      <c r="A5144" s="9" t="s">
        <v>12047</v>
      </c>
      <c r="B5144" s="9" t="s">
        <v>12047</v>
      </c>
      <c r="C5144" s="9" t="s">
        <v>17</v>
      </c>
      <c r="D5144" s="9" t="s">
        <v>18</v>
      </c>
      <c r="E5144" s="10" t="s">
        <v>506</v>
      </c>
      <c r="F5144" s="9" t="s">
        <v>507</v>
      </c>
      <c r="G5144" s="10" t="s">
        <v>75</v>
      </c>
      <c r="H5144" s="9" t="s">
        <v>22</v>
      </c>
      <c r="I5144" s="9" t="s">
        <v>12048</v>
      </c>
      <c r="J5144" s="10" t="str">
        <f>HYPERLINK("https://www.boe.es/gazeta/dias/1834/03/04/pdfs/GMD-1834-28.pdf#page=4","Abrir facsímil")</f>
        <v>Abrir facsímil</v>
      </c>
      <c r="K5144" s="10" t="s">
        <v>24</v>
      </c>
    </row>
    <row r="5145" spans="1:11" ht="54" customHeight="1">
      <c r="A5145" s="9" t="s">
        <v>12049</v>
      </c>
      <c r="B5145" s="9" t="s">
        <v>12050</v>
      </c>
      <c r="C5145" s="9" t="s">
        <v>66</v>
      </c>
      <c r="D5145" s="9" t="s">
        <v>67</v>
      </c>
      <c r="E5145" s="10" t="s">
        <v>138</v>
      </c>
      <c r="F5145" s="9" t="s">
        <v>139</v>
      </c>
      <c r="G5145" s="10" t="s">
        <v>86</v>
      </c>
      <c r="H5145" s="9" t="s">
        <v>22</v>
      </c>
      <c r="I5145" s="9" t="s">
        <v>12051</v>
      </c>
      <c r="J5145" s="10" t="str">
        <f>HYPERLINK("https://www.boe.es/gazeta/dias/1834/05/17/pdfs/GMD-1834-86.pdf#page=2","Abrir facsímil")</f>
        <v>Abrir facsímil</v>
      </c>
      <c r="K5145" s="10" t="s">
        <v>24</v>
      </c>
    </row>
    <row r="5146" spans="1:11" ht="54" customHeight="1">
      <c r="A5146" s="9" t="s">
        <v>12052</v>
      </c>
      <c r="B5146" s="9" t="s">
        <v>12052</v>
      </c>
      <c r="C5146" s="9" t="s">
        <v>17</v>
      </c>
      <c r="D5146" s="9" t="s">
        <v>18</v>
      </c>
      <c r="E5146" s="10" t="s">
        <v>860</v>
      </c>
      <c r="F5146" s="9" t="s">
        <v>861</v>
      </c>
      <c r="G5146" s="10" t="s">
        <v>75</v>
      </c>
      <c r="H5146" s="9" t="s">
        <v>22</v>
      </c>
      <c r="I5146" s="9" t="s">
        <v>12053</v>
      </c>
      <c r="J5146" s="10" t="str">
        <f>HYPERLINK("https://www.boe.es/gazeta/dias/1834/02/08/pdfs/GMD-1834-18.pdf#page=4","Abrir facsímil")</f>
        <v>Abrir facsímil</v>
      </c>
      <c r="K5146" s="10" t="s">
        <v>24</v>
      </c>
    </row>
    <row r="5147" spans="1:11" ht="54" customHeight="1">
      <c r="A5147" s="9" t="s">
        <v>12052</v>
      </c>
      <c r="B5147" s="9" t="s">
        <v>12052</v>
      </c>
      <c r="C5147" s="9" t="s">
        <v>66</v>
      </c>
      <c r="D5147" s="9" t="s">
        <v>67</v>
      </c>
      <c r="E5147" s="10" t="s">
        <v>729</v>
      </c>
      <c r="F5147" s="9" t="s">
        <v>730</v>
      </c>
      <c r="G5147" s="10" t="s">
        <v>86</v>
      </c>
      <c r="H5147" s="9" t="s">
        <v>22</v>
      </c>
      <c r="I5147" s="9" t="s">
        <v>12054</v>
      </c>
      <c r="J5147" s="10" t="str">
        <f>HYPERLINK("https://www.boe.es/gazeta/dias/1834/04/13/pdfs/GMD-1834-52.pdf#page=2","Abrir facsímil")</f>
        <v>Abrir facsímil</v>
      </c>
      <c r="K5147" s="10" t="s">
        <v>24</v>
      </c>
    </row>
    <row r="5148" spans="1:11" ht="54" customHeight="1">
      <c r="A5148" s="9" t="s">
        <v>12055</v>
      </c>
      <c r="B5148" s="9" t="s">
        <v>12055</v>
      </c>
      <c r="C5148" s="9" t="s">
        <v>17</v>
      </c>
      <c r="D5148" s="9" t="s">
        <v>18</v>
      </c>
      <c r="E5148" s="10" t="s">
        <v>217</v>
      </c>
      <c r="F5148" s="9" t="s">
        <v>218</v>
      </c>
      <c r="G5148" s="10" t="s">
        <v>21</v>
      </c>
      <c r="H5148" s="9" t="s">
        <v>22</v>
      </c>
      <c r="I5148" s="9" t="s">
        <v>12056</v>
      </c>
      <c r="J5148" s="10" t="str">
        <f>HYPERLINK("https://www.boe.es/gazeta/dias/1834/04/20/pdfs/GMD-1834-59.pdf#page=3","Abrir facsímil")</f>
        <v>Abrir facsímil</v>
      </c>
      <c r="K5148" s="10" t="s">
        <v>24</v>
      </c>
    </row>
    <row r="5149" spans="1:11" ht="54" customHeight="1">
      <c r="A5149" s="9" t="s">
        <v>12057</v>
      </c>
      <c r="B5149" s="9" t="s">
        <v>12058</v>
      </c>
      <c r="C5149" s="9" t="s">
        <v>90</v>
      </c>
      <c r="D5149" s="9" t="s">
        <v>40</v>
      </c>
      <c r="E5149" s="10" t="s">
        <v>506</v>
      </c>
      <c r="F5149" s="9" t="s">
        <v>507</v>
      </c>
      <c r="G5149" s="10" t="s">
        <v>28</v>
      </c>
      <c r="H5149" s="9" t="s">
        <v>35</v>
      </c>
      <c r="I5149" s="9" t="s">
        <v>12059</v>
      </c>
      <c r="J5149" s="10" t="str">
        <f>HYPERLINK("https://www.boe.es/gazeta/dias/1834/03/04/pdfs/GMD-1834-28.pdf#page=5","Abrir facsímil")</f>
        <v>Abrir facsímil</v>
      </c>
      <c r="K5149" s="10" t="s">
        <v>37</v>
      </c>
    </row>
    <row r="5150" spans="1:11" ht="54" customHeight="1">
      <c r="A5150" s="9" t="s">
        <v>12060</v>
      </c>
      <c r="B5150" s="9" t="s">
        <v>12061</v>
      </c>
      <c r="C5150" s="9" t="s">
        <v>122</v>
      </c>
      <c r="D5150" s="9" t="s">
        <v>18</v>
      </c>
      <c r="E5150" s="10" t="s">
        <v>1402</v>
      </c>
      <c r="F5150" s="9" t="s">
        <v>1403</v>
      </c>
      <c r="G5150" s="10" t="s">
        <v>34</v>
      </c>
      <c r="H5150" s="9" t="s">
        <v>22</v>
      </c>
      <c r="I5150" s="9" t="s">
        <v>12062</v>
      </c>
      <c r="J5150" s="10" t="str">
        <f>HYPERLINK("https://www.boe.es/gazeta/dias/1834/05/05/pdfs/I00347-00348.pdf#page=1","Abrir facsímil")</f>
        <v>Abrir facsímil</v>
      </c>
      <c r="K5150" s="10" t="s">
        <v>24</v>
      </c>
    </row>
    <row r="5151" spans="1:11" ht="54" customHeight="1">
      <c r="A5151" s="9" t="s">
        <v>12060</v>
      </c>
      <c r="B5151" s="9" t="s">
        <v>12061</v>
      </c>
      <c r="C5151" s="9" t="s">
        <v>122</v>
      </c>
      <c r="D5151" s="9" t="s">
        <v>18</v>
      </c>
      <c r="E5151" s="10" t="s">
        <v>1402</v>
      </c>
      <c r="F5151" s="9" t="s">
        <v>1403</v>
      </c>
      <c r="G5151" s="10" t="s">
        <v>28</v>
      </c>
      <c r="H5151" s="9" t="s">
        <v>22</v>
      </c>
      <c r="I5151" s="9" t="s">
        <v>12062</v>
      </c>
      <c r="J5151" s="10" t="str">
        <f>HYPERLINK("https://www.boe.es/gazeta/dias/1834/05/05/pdfs/GMD-1834-74.pdf#page=5","Abrir facsímil")</f>
        <v>Abrir facsímil</v>
      </c>
      <c r="K5151" s="10" t="s">
        <v>24</v>
      </c>
    </row>
    <row r="5152" spans="1:11" ht="54" customHeight="1">
      <c r="A5152" s="9" t="s">
        <v>12060</v>
      </c>
      <c r="B5152" s="9" t="s">
        <v>12061</v>
      </c>
      <c r="C5152" s="9" t="s">
        <v>17</v>
      </c>
      <c r="D5152" s="9" t="s">
        <v>18</v>
      </c>
      <c r="E5152" s="10" t="s">
        <v>762</v>
      </c>
      <c r="F5152" s="9" t="s">
        <v>763</v>
      </c>
      <c r="G5152" s="10" t="s">
        <v>34</v>
      </c>
      <c r="H5152" s="9" t="s">
        <v>22</v>
      </c>
      <c r="I5152" s="9" t="s">
        <v>12063</v>
      </c>
      <c r="J5152" s="10" t="str">
        <f>HYPERLINK("https://www.boe.es/gazeta/dias/1834/11/07/pdfs/GMD-1834-266.pdf#page=1","Abrir facsímil")</f>
        <v>Abrir facsímil</v>
      </c>
      <c r="K5152" s="10" t="s">
        <v>24</v>
      </c>
    </row>
    <row r="5153" spans="1:11" ht="54" customHeight="1">
      <c r="A5153" s="9" t="s">
        <v>12060</v>
      </c>
      <c r="B5153" s="9" t="s">
        <v>12061</v>
      </c>
      <c r="C5153" s="9" t="s">
        <v>17</v>
      </c>
      <c r="D5153" s="9" t="s">
        <v>18</v>
      </c>
      <c r="E5153" s="10" t="s">
        <v>785</v>
      </c>
      <c r="F5153" s="9" t="s">
        <v>786</v>
      </c>
      <c r="G5153" s="10" t="s">
        <v>34</v>
      </c>
      <c r="H5153" s="9" t="s">
        <v>22</v>
      </c>
      <c r="I5153" s="9" t="s">
        <v>12064</v>
      </c>
      <c r="J5153" s="10" t="str">
        <f>HYPERLINK("https://www.boe.es/gazeta/dias/1834/02/11/pdfs/GMD-1834-19.pdf#page=1","Abrir facsímil")</f>
        <v>Abrir facsímil</v>
      </c>
      <c r="K5153" s="10" t="s">
        <v>24</v>
      </c>
    </row>
    <row r="5154" spans="1:11" ht="54" customHeight="1">
      <c r="A5154" s="9" t="s">
        <v>12065</v>
      </c>
      <c r="B5154" s="9" t="s">
        <v>12066</v>
      </c>
      <c r="C5154" s="9" t="s">
        <v>66</v>
      </c>
      <c r="D5154" s="9" t="s">
        <v>67</v>
      </c>
      <c r="E5154" s="10" t="s">
        <v>1337</v>
      </c>
      <c r="F5154" s="9" t="s">
        <v>1338</v>
      </c>
      <c r="G5154" s="10" t="s">
        <v>21</v>
      </c>
      <c r="H5154" s="9" t="s">
        <v>22</v>
      </c>
      <c r="I5154" s="9" t="s">
        <v>12067</v>
      </c>
      <c r="J5154" s="10" t="str">
        <f>HYPERLINK("https://www.boe.es/gazeta/dias/1834/01/02/pdfs/GMD-1834-1.pdf#page=3","Abrir facsímil")</f>
        <v>Abrir facsímil</v>
      </c>
      <c r="K5154" s="10" t="s">
        <v>24</v>
      </c>
    </row>
    <row r="5155" spans="1:11" ht="54" customHeight="1">
      <c r="A5155" s="9" t="s">
        <v>12068</v>
      </c>
      <c r="B5155" s="9" t="s">
        <v>12069</v>
      </c>
      <c r="C5155" s="9" t="s">
        <v>122</v>
      </c>
      <c r="D5155" s="9" t="s">
        <v>18</v>
      </c>
      <c r="E5155" s="10" t="s">
        <v>255</v>
      </c>
      <c r="F5155" s="9" t="s">
        <v>2368</v>
      </c>
      <c r="G5155" s="10" t="s">
        <v>34</v>
      </c>
      <c r="H5155" s="9" t="s">
        <v>22</v>
      </c>
      <c r="I5155" s="9" t="s">
        <v>12070</v>
      </c>
      <c r="J5155" s="10" t="str">
        <f>HYPERLINK("https://www.boe.es/gazeta/dias/1834/09/01/pdfs/I00843-00844.pdf#page=1","Abrir facsímil")</f>
        <v>Abrir facsímil</v>
      </c>
      <c r="K5155" s="10" t="s">
        <v>24</v>
      </c>
    </row>
    <row r="5156" spans="1:11" ht="54" customHeight="1">
      <c r="A5156" s="9" t="s">
        <v>12068</v>
      </c>
      <c r="B5156" s="9" t="s">
        <v>12069</v>
      </c>
      <c r="C5156" s="9" t="s">
        <v>122</v>
      </c>
      <c r="D5156" s="9" t="s">
        <v>18</v>
      </c>
      <c r="E5156" s="10" t="s">
        <v>255</v>
      </c>
      <c r="F5156" s="9" t="s">
        <v>2368</v>
      </c>
      <c r="G5156" s="10" t="s">
        <v>21</v>
      </c>
      <c r="H5156" s="9" t="s">
        <v>22</v>
      </c>
      <c r="I5156" s="9" t="s">
        <v>12070</v>
      </c>
      <c r="J5156" s="10" t="str">
        <f>HYPERLINK("https://www.boe.es/gazeta/dias/1834/09/01/pdfs/GMD-1834-199.pdf#page=3","Abrir facsímil")</f>
        <v>Abrir facsímil</v>
      </c>
      <c r="K5156" s="10" t="s">
        <v>24</v>
      </c>
    </row>
    <row r="5157" spans="1:11" ht="54" customHeight="1">
      <c r="A5157" s="9" t="s">
        <v>12068</v>
      </c>
      <c r="B5157" s="9" t="s">
        <v>12069</v>
      </c>
      <c r="C5157" s="9" t="s">
        <v>90</v>
      </c>
      <c r="D5157" s="9" t="s">
        <v>40</v>
      </c>
      <c r="E5157" s="10" t="s">
        <v>506</v>
      </c>
      <c r="F5157" s="9" t="s">
        <v>507</v>
      </c>
      <c r="G5157" s="10" t="s">
        <v>28</v>
      </c>
      <c r="H5157" s="9" t="s">
        <v>22</v>
      </c>
      <c r="I5157" s="9" t="s">
        <v>12071</v>
      </c>
      <c r="J5157" s="10" t="str">
        <f>HYPERLINK("https://www.boe.es/gazeta/dias/1834/03/04/pdfs/GMD-1834-28.pdf#page=5","Abrir facsímil")</f>
        <v>Abrir facsímil</v>
      </c>
      <c r="K5157" s="10" t="s">
        <v>24</v>
      </c>
    </row>
    <row r="5158" spans="1:11" ht="54" customHeight="1">
      <c r="A5158" s="9" t="s">
        <v>12068</v>
      </c>
      <c r="B5158" s="9" t="s">
        <v>12069</v>
      </c>
      <c r="C5158" s="9" t="s">
        <v>17</v>
      </c>
      <c r="D5158" s="9" t="s">
        <v>18</v>
      </c>
      <c r="E5158" s="10" t="s">
        <v>84</v>
      </c>
      <c r="F5158" s="9" t="s">
        <v>1223</v>
      </c>
      <c r="G5158" s="10" t="s">
        <v>75</v>
      </c>
      <c r="H5158" s="9" t="s">
        <v>22</v>
      </c>
      <c r="I5158" s="9" t="s">
        <v>12072</v>
      </c>
      <c r="J5158" s="10" t="str">
        <f>HYPERLINK("https://www.boe.es/gazeta/dias/1834/06/07/pdfs/GMD-1834-109.pdf#page=4","Abrir facsímil")</f>
        <v>Abrir facsímil</v>
      </c>
      <c r="K5158" s="10" t="s">
        <v>24</v>
      </c>
    </row>
    <row r="5159" spans="1:11" ht="54" customHeight="1">
      <c r="A5159" s="9" t="s">
        <v>12068</v>
      </c>
      <c r="B5159" s="9" t="s">
        <v>12069</v>
      </c>
      <c r="C5159" s="9" t="s">
        <v>90</v>
      </c>
      <c r="D5159" s="9" t="s">
        <v>18</v>
      </c>
      <c r="E5159" s="10" t="s">
        <v>123</v>
      </c>
      <c r="F5159" s="9" t="s">
        <v>124</v>
      </c>
      <c r="G5159" s="10" t="s">
        <v>34</v>
      </c>
      <c r="H5159" s="9" t="s">
        <v>22</v>
      </c>
      <c r="I5159" s="9" t="s">
        <v>12073</v>
      </c>
      <c r="J5159" s="10" t="str">
        <f>HYPERLINK("https://www.boe.es/gazeta/dias/1834/07/11/pdfs/GMD-1834-144.pdf#page=1","Abrir facsímil")</f>
        <v>Abrir facsímil</v>
      </c>
      <c r="K5159" s="10" t="s">
        <v>24</v>
      </c>
    </row>
    <row r="5160" spans="1:11" ht="54" customHeight="1">
      <c r="A5160" s="9" t="s">
        <v>12068</v>
      </c>
      <c r="B5160" s="9" t="s">
        <v>12069</v>
      </c>
      <c r="C5160" s="9" t="s">
        <v>90</v>
      </c>
      <c r="D5160" s="9" t="s">
        <v>67</v>
      </c>
      <c r="E5160" s="10" t="s">
        <v>601</v>
      </c>
      <c r="F5160" s="9" t="s">
        <v>602</v>
      </c>
      <c r="G5160" s="10" t="s">
        <v>34</v>
      </c>
      <c r="H5160" s="9" t="s">
        <v>22</v>
      </c>
      <c r="I5160" s="9" t="s">
        <v>12074</v>
      </c>
      <c r="J5160" s="10" t="str">
        <f>HYPERLINK("https://www.boe.es/gazeta/dias/1834/08/16/pdfs/GMD-1834-181.pdf#page=1","Abrir facsímil")</f>
        <v>Abrir facsímil</v>
      </c>
      <c r="K5160" s="10" t="s">
        <v>24</v>
      </c>
    </row>
    <row r="5161" spans="1:11" ht="54" customHeight="1">
      <c r="A5161" s="9" t="s">
        <v>12068</v>
      </c>
      <c r="B5161" s="9" t="s">
        <v>12069</v>
      </c>
      <c r="C5161" s="9" t="s">
        <v>122</v>
      </c>
      <c r="D5161" s="9" t="s">
        <v>18</v>
      </c>
      <c r="E5161" s="10" t="s">
        <v>719</v>
      </c>
      <c r="F5161" s="9" t="s">
        <v>720</v>
      </c>
      <c r="G5161" s="10" t="s">
        <v>75</v>
      </c>
      <c r="H5161" s="9" t="s">
        <v>22</v>
      </c>
      <c r="I5161" s="9" t="s">
        <v>12075</v>
      </c>
      <c r="J5161" s="10" t="str">
        <f>HYPERLINK("https://www.boe.es/gazeta/dias/1834/04/29/pdfs/GMD-1834-68.pdf#page=4","Abrir facsímil")</f>
        <v>Abrir facsímil</v>
      </c>
      <c r="K5161" s="10" t="s">
        <v>24</v>
      </c>
    </row>
    <row r="5162" spans="1:11" ht="54" customHeight="1">
      <c r="A5162" s="9" t="s">
        <v>12076</v>
      </c>
      <c r="B5162" s="9" t="s">
        <v>12077</v>
      </c>
      <c r="C5162" s="9" t="s">
        <v>46</v>
      </c>
      <c r="D5162" s="9" t="s">
        <v>101</v>
      </c>
      <c r="E5162" s="10" t="s">
        <v>68</v>
      </c>
      <c r="F5162" s="9" t="s">
        <v>69</v>
      </c>
      <c r="G5162" s="10" t="s">
        <v>34</v>
      </c>
      <c r="H5162" s="9" t="s">
        <v>22</v>
      </c>
      <c r="I5162" s="9" t="s">
        <v>12078</v>
      </c>
      <c r="J5162" s="10" t="str">
        <f>HYPERLINK("https://www.boe.es/gazeta/dias/1834/11/01/pdfs/I01088-01088.pdf#page=1","Abrir facsímil")</f>
        <v>Abrir facsímil</v>
      </c>
      <c r="K5162" s="10" t="s">
        <v>24</v>
      </c>
    </row>
    <row r="5163" spans="1:11" ht="54" customHeight="1">
      <c r="A5163" s="9" t="s">
        <v>12076</v>
      </c>
      <c r="B5163" s="9" t="s">
        <v>12077</v>
      </c>
      <c r="C5163" s="9" t="s">
        <v>46</v>
      </c>
      <c r="D5163" s="9" t="s">
        <v>101</v>
      </c>
      <c r="E5163" s="10" t="s">
        <v>68</v>
      </c>
      <c r="F5163" s="9" t="s">
        <v>69</v>
      </c>
      <c r="G5163" s="10" t="s">
        <v>75</v>
      </c>
      <c r="H5163" s="9" t="s">
        <v>22</v>
      </c>
      <c r="I5163" s="9" t="s">
        <v>12079</v>
      </c>
      <c r="J5163" s="10" t="str">
        <f>HYPERLINK("https://www.boe.es/gazeta/dias/1834/11/01/pdfs/GMD-1834-260.pdf#page=4","Abrir facsímil")</f>
        <v>Abrir facsímil</v>
      </c>
      <c r="K5163" s="10" t="s">
        <v>24</v>
      </c>
    </row>
    <row r="5164" spans="1:11" ht="54" customHeight="1">
      <c r="A5164" s="9" t="s">
        <v>12080</v>
      </c>
      <c r="B5164" s="9" t="s">
        <v>12081</v>
      </c>
      <c r="C5164" s="9" t="s">
        <v>46</v>
      </c>
      <c r="D5164" s="9" t="s">
        <v>18</v>
      </c>
      <c r="E5164" s="10" t="s">
        <v>375</v>
      </c>
      <c r="F5164" s="9" t="s">
        <v>376</v>
      </c>
      <c r="G5164" s="10" t="s">
        <v>86</v>
      </c>
      <c r="H5164" s="9" t="s">
        <v>22</v>
      </c>
      <c r="I5164" s="9" t="s">
        <v>12082</v>
      </c>
      <c r="J5164" s="10" t="str">
        <f>HYPERLINK("https://www.boe.es/gazeta/dias/1834/08/21/pdfs/GMD-1834-187.pdf#page=2","Abrir facsímil")</f>
        <v>Abrir facsímil</v>
      </c>
      <c r="K5164" s="10" t="s">
        <v>24</v>
      </c>
    </row>
    <row r="5165" spans="1:11" ht="54" customHeight="1">
      <c r="A5165" s="9" t="s">
        <v>12083</v>
      </c>
      <c r="B5165" s="9" t="s">
        <v>12083</v>
      </c>
      <c r="C5165" s="9" t="s">
        <v>17</v>
      </c>
      <c r="D5165" s="9" t="s">
        <v>18</v>
      </c>
      <c r="E5165" s="10" t="s">
        <v>1333</v>
      </c>
      <c r="F5165" s="9" t="s">
        <v>1334</v>
      </c>
      <c r="G5165" s="10" t="s">
        <v>75</v>
      </c>
      <c r="H5165" s="9" t="s">
        <v>22</v>
      </c>
      <c r="I5165" s="9" t="s">
        <v>12084</v>
      </c>
      <c r="J5165" s="10" t="str">
        <f>HYPERLINK("https://www.boe.es/gazeta/dias/1834/04/01/pdfs/GMD-1834-40.pdf#page=4","Abrir facsímil")</f>
        <v>Abrir facsímil</v>
      </c>
      <c r="K5165" s="10" t="s">
        <v>24</v>
      </c>
    </row>
    <row r="5166" spans="1:11" ht="54" customHeight="1">
      <c r="A5166" s="9" t="s">
        <v>12083</v>
      </c>
      <c r="B5166" s="9" t="s">
        <v>12083</v>
      </c>
      <c r="C5166" s="9" t="s">
        <v>66</v>
      </c>
      <c r="D5166" s="9" t="s">
        <v>67</v>
      </c>
      <c r="E5166" s="10" t="s">
        <v>317</v>
      </c>
      <c r="F5166" s="9" t="s">
        <v>318</v>
      </c>
      <c r="G5166" s="10" t="s">
        <v>86</v>
      </c>
      <c r="H5166" s="9" t="s">
        <v>22</v>
      </c>
      <c r="I5166" s="9" t="s">
        <v>12085</v>
      </c>
      <c r="J5166" s="10" t="str">
        <f>HYPERLINK("https://www.boe.es/gazeta/dias/1834/03/06/pdfs/GMD-1834-29.pdf#page=2","Abrir facsímil")</f>
        <v>Abrir facsímil</v>
      </c>
      <c r="K5166" s="10" t="s">
        <v>24</v>
      </c>
    </row>
    <row r="5167" spans="1:11" ht="54" customHeight="1">
      <c r="A5167" s="9" t="s">
        <v>12086</v>
      </c>
      <c r="B5167" s="9" t="s">
        <v>12086</v>
      </c>
      <c r="C5167" s="9" t="s">
        <v>17</v>
      </c>
      <c r="D5167" s="9" t="s">
        <v>18</v>
      </c>
      <c r="E5167" s="10" t="s">
        <v>1262</v>
      </c>
      <c r="F5167" s="9" t="s">
        <v>1263</v>
      </c>
      <c r="G5167" s="10" t="s">
        <v>86</v>
      </c>
      <c r="H5167" s="9" t="s">
        <v>22</v>
      </c>
      <c r="I5167" s="9" t="s">
        <v>12087</v>
      </c>
      <c r="J5167" s="10" t="str">
        <f>HYPERLINK("https://www.boe.es/gazeta/dias/1834/02/01/pdfs/GMD-1834-15.pdf#page=2","Abrir facsímil")</f>
        <v>Abrir facsímil</v>
      </c>
      <c r="K5167" s="10" t="s">
        <v>24</v>
      </c>
    </row>
    <row r="5168" spans="1:11" ht="54" customHeight="1">
      <c r="A5168" s="9" t="s">
        <v>12086</v>
      </c>
      <c r="B5168" s="9" t="s">
        <v>12086</v>
      </c>
      <c r="C5168" s="9" t="s">
        <v>90</v>
      </c>
      <c r="D5168" s="9" t="s">
        <v>18</v>
      </c>
      <c r="E5168" s="10" t="s">
        <v>2091</v>
      </c>
      <c r="F5168" s="9" t="s">
        <v>2092</v>
      </c>
      <c r="G5168" s="10" t="s">
        <v>86</v>
      </c>
      <c r="H5168" s="9" t="s">
        <v>22</v>
      </c>
      <c r="I5168" s="9" t="s">
        <v>12088</v>
      </c>
      <c r="J5168" s="10" t="str">
        <f>HYPERLINK("https://www.boe.es/gazeta/dias/1834/03/08/pdfs/GMD-1834-30.pdf#page=2","Abrir facsímil")</f>
        <v>Abrir facsímil</v>
      </c>
      <c r="K5168" s="10" t="s">
        <v>24</v>
      </c>
    </row>
    <row r="5169" spans="1:11" ht="54" customHeight="1">
      <c r="A5169" s="9" t="s">
        <v>12086</v>
      </c>
      <c r="B5169" s="9" t="s">
        <v>12086</v>
      </c>
      <c r="C5169" s="9" t="s">
        <v>66</v>
      </c>
      <c r="D5169" s="9" t="s">
        <v>67</v>
      </c>
      <c r="E5169" s="10" t="s">
        <v>1438</v>
      </c>
      <c r="F5169" s="9" t="s">
        <v>1439</v>
      </c>
      <c r="G5169" s="10" t="s">
        <v>86</v>
      </c>
      <c r="H5169" s="9" t="s">
        <v>22</v>
      </c>
      <c r="I5169" s="9" t="s">
        <v>12089</v>
      </c>
      <c r="J5169" s="10" t="str">
        <f>HYPERLINK("https://www.boe.es/gazeta/dias/1834/05/13/pdfs/GMD-1834-82.pdf#page=2","Abrir facsímil")</f>
        <v>Abrir facsímil</v>
      </c>
      <c r="K5169" s="10" t="s">
        <v>24</v>
      </c>
    </row>
    <row r="5170" spans="1:11" ht="54" customHeight="1">
      <c r="A5170" s="9" t="s">
        <v>12086</v>
      </c>
      <c r="B5170" s="9" t="s">
        <v>12086</v>
      </c>
      <c r="C5170" s="9" t="s">
        <v>66</v>
      </c>
      <c r="D5170" s="9" t="s">
        <v>67</v>
      </c>
      <c r="E5170" s="10" t="s">
        <v>1273</v>
      </c>
      <c r="F5170" s="9" t="s">
        <v>1274</v>
      </c>
      <c r="G5170" s="10" t="s">
        <v>86</v>
      </c>
      <c r="H5170" s="9" t="s">
        <v>22</v>
      </c>
      <c r="I5170" s="9" t="s">
        <v>12090</v>
      </c>
      <c r="J5170" s="10" t="str">
        <f>HYPERLINK("https://www.boe.es/gazeta/dias/1834/05/14/pdfs/GMD-1834-83.pdf#page=2","Abrir facsímil")</f>
        <v>Abrir facsímil</v>
      </c>
      <c r="K5170" s="10" t="s">
        <v>24</v>
      </c>
    </row>
    <row r="5171" spans="1:11" ht="54" customHeight="1">
      <c r="A5171" s="9" t="s">
        <v>12091</v>
      </c>
      <c r="B5171" s="9" t="s">
        <v>12091</v>
      </c>
      <c r="C5171" s="9" t="s">
        <v>66</v>
      </c>
      <c r="D5171" s="9" t="s">
        <v>67</v>
      </c>
      <c r="E5171" s="10" t="s">
        <v>2950</v>
      </c>
      <c r="F5171" s="9" t="s">
        <v>2951</v>
      </c>
      <c r="G5171" s="10" t="s">
        <v>86</v>
      </c>
      <c r="H5171" s="9" t="s">
        <v>22</v>
      </c>
      <c r="I5171" s="9" t="s">
        <v>12092</v>
      </c>
      <c r="J5171" s="10" t="str">
        <f>HYPERLINK("https://www.boe.es/gazeta/dias/1834/05/20/pdfs/GMD-1834-89.pdf#page=2","Abrir facsímil")</f>
        <v>Abrir facsímil</v>
      </c>
      <c r="K5171" s="10" t="s">
        <v>24</v>
      </c>
    </row>
    <row r="5172" spans="1:11" ht="54" customHeight="1">
      <c r="A5172" s="9" t="s">
        <v>12093</v>
      </c>
      <c r="B5172" s="9" t="s">
        <v>12093</v>
      </c>
      <c r="C5172" s="9" t="s">
        <v>90</v>
      </c>
      <c r="D5172" s="9" t="s">
        <v>67</v>
      </c>
      <c r="E5172" s="10" t="s">
        <v>91</v>
      </c>
      <c r="F5172" s="9" t="s">
        <v>92</v>
      </c>
      <c r="G5172" s="10" t="s">
        <v>21</v>
      </c>
      <c r="H5172" s="9" t="s">
        <v>22</v>
      </c>
      <c r="I5172" s="9" t="s">
        <v>12094</v>
      </c>
      <c r="J5172" s="10" t="str">
        <f>HYPERLINK("https://www.boe.es/gazeta/dias/1834/02/13/pdfs/GMD-1834-20.pdf#page=3","Abrir facsímil")</f>
        <v>Abrir facsímil</v>
      </c>
      <c r="K5172" s="10" t="s">
        <v>24</v>
      </c>
    </row>
    <row r="5173" spans="1:11" ht="54" customHeight="1">
      <c r="A5173" s="9" t="s">
        <v>12095</v>
      </c>
      <c r="B5173" s="9" t="s">
        <v>12096</v>
      </c>
      <c r="C5173" s="9" t="s">
        <v>66</v>
      </c>
      <c r="D5173" s="9" t="s">
        <v>67</v>
      </c>
      <c r="E5173" s="10" t="s">
        <v>448</v>
      </c>
      <c r="F5173" s="9" t="s">
        <v>2058</v>
      </c>
      <c r="G5173" s="10" t="s">
        <v>21</v>
      </c>
      <c r="H5173" s="9" t="s">
        <v>22</v>
      </c>
      <c r="I5173" s="9" t="s">
        <v>12097</v>
      </c>
      <c r="J5173" s="10" t="str">
        <f>HYPERLINK("https://www.boe.es/gazeta/dias/1834/10/14/pdfs/GMD-1834-242.pdf#page=3","Abrir facsímil")</f>
        <v>Abrir facsímil</v>
      </c>
      <c r="K5173" s="10" t="s">
        <v>24</v>
      </c>
    </row>
    <row r="5174" spans="1:11" ht="54" customHeight="1">
      <c r="A5174" s="9" t="s">
        <v>12098</v>
      </c>
      <c r="B5174" s="9" t="s">
        <v>12099</v>
      </c>
      <c r="C5174" s="9" t="s">
        <v>122</v>
      </c>
      <c r="D5174" s="9" t="s">
        <v>18</v>
      </c>
      <c r="E5174" s="10" t="s">
        <v>283</v>
      </c>
      <c r="F5174" s="9" t="s">
        <v>2969</v>
      </c>
      <c r="G5174" s="10" t="s">
        <v>75</v>
      </c>
      <c r="H5174" s="9" t="s">
        <v>22</v>
      </c>
      <c r="I5174" s="9" t="s">
        <v>12100</v>
      </c>
      <c r="J5174" s="10" t="str">
        <f>HYPERLINK("https://www.boe.es/gazeta/dias/1834/11/29/pdfs/GMD-1834-288.pdf#page=4","Abrir facsímil")</f>
        <v>Abrir facsímil</v>
      </c>
      <c r="K5174" s="10" t="s">
        <v>24</v>
      </c>
    </row>
    <row r="5175" spans="1:11" ht="54" customHeight="1">
      <c r="A5175" s="9" t="s">
        <v>12101</v>
      </c>
      <c r="B5175" s="9" t="s">
        <v>12101</v>
      </c>
      <c r="C5175" s="9" t="s">
        <v>46</v>
      </c>
      <c r="D5175" s="9" t="s">
        <v>18</v>
      </c>
      <c r="E5175" s="10" t="s">
        <v>667</v>
      </c>
      <c r="F5175" s="9" t="s">
        <v>3347</v>
      </c>
      <c r="G5175" s="10" t="s">
        <v>21</v>
      </c>
      <c r="H5175" s="9" t="s">
        <v>22</v>
      </c>
      <c r="I5175" s="9" t="s">
        <v>12102</v>
      </c>
      <c r="J5175" s="10" t="str">
        <f>HYPERLINK("https://www.boe.es/gazeta/dias/1834/11/23/pdfs/GMD-1834-282.pdf#page=3","Abrir facsímil")</f>
        <v>Abrir facsímil</v>
      </c>
      <c r="K5175" s="10" t="s">
        <v>24</v>
      </c>
    </row>
    <row r="5176" spans="1:11" ht="54" customHeight="1">
      <c r="A5176" s="9" t="s">
        <v>12103</v>
      </c>
      <c r="B5176" s="9" t="s">
        <v>12103</v>
      </c>
      <c r="C5176" s="9" t="s">
        <v>17</v>
      </c>
      <c r="D5176" s="9" t="s">
        <v>18</v>
      </c>
      <c r="E5176" s="10" t="s">
        <v>1119</v>
      </c>
      <c r="F5176" s="9" t="s">
        <v>1120</v>
      </c>
      <c r="G5176" s="10" t="s">
        <v>86</v>
      </c>
      <c r="H5176" s="9" t="s">
        <v>22</v>
      </c>
      <c r="I5176" s="9" t="s">
        <v>12104</v>
      </c>
      <c r="J5176" s="10" t="str">
        <f>HYPERLINK("https://www.boe.es/gazeta/dias/1834/07/17/pdfs/GMD-1834-150.pdf#page=2","Abrir facsímil")</f>
        <v>Abrir facsímil</v>
      </c>
      <c r="K5176" s="10" t="s">
        <v>24</v>
      </c>
    </row>
    <row r="5177" spans="1:11" ht="54" customHeight="1">
      <c r="A5177" s="9" t="s">
        <v>12105</v>
      </c>
      <c r="B5177" s="9" t="s">
        <v>12105</v>
      </c>
      <c r="C5177" s="9" t="s">
        <v>46</v>
      </c>
      <c r="D5177" s="9" t="s">
        <v>18</v>
      </c>
      <c r="E5177" s="10" t="s">
        <v>1273</v>
      </c>
      <c r="F5177" s="9" t="s">
        <v>1274</v>
      </c>
      <c r="G5177" s="10" t="s">
        <v>86</v>
      </c>
      <c r="H5177" s="9" t="s">
        <v>22</v>
      </c>
      <c r="I5177" s="9" t="s">
        <v>12106</v>
      </c>
      <c r="J5177" s="10" t="str">
        <f>HYPERLINK("https://www.boe.es/gazeta/dias/1834/05/14/pdfs/GMD-1834-83.pdf#page=2","Abrir facsímil")</f>
        <v>Abrir facsímil</v>
      </c>
      <c r="K5177" s="10" t="s">
        <v>24</v>
      </c>
    </row>
    <row r="5178" spans="1:11" ht="54" customHeight="1">
      <c r="A5178" s="9" t="s">
        <v>12107</v>
      </c>
      <c r="B5178" s="9" t="s">
        <v>12107</v>
      </c>
      <c r="C5178" s="9" t="s">
        <v>17</v>
      </c>
      <c r="D5178" s="9" t="s">
        <v>18</v>
      </c>
      <c r="E5178" s="10" t="s">
        <v>19</v>
      </c>
      <c r="F5178" s="9" t="s">
        <v>1933</v>
      </c>
      <c r="G5178" s="10" t="s">
        <v>34</v>
      </c>
      <c r="H5178" s="9" t="s">
        <v>22</v>
      </c>
      <c r="I5178" s="9" t="s">
        <v>12108</v>
      </c>
      <c r="J5178" s="10" t="str">
        <f>HYPERLINK("https://www.boe.es/gazeta/dias/1834/08/17/pdfs/GMD-1834-183E.pdf#page=1","Abrir facsímil")</f>
        <v>Abrir facsímil</v>
      </c>
      <c r="K5178" s="10" t="s">
        <v>24</v>
      </c>
    </row>
    <row r="5179" spans="1:11" ht="54" customHeight="1">
      <c r="A5179" s="9" t="s">
        <v>12109</v>
      </c>
      <c r="B5179" s="9" t="s">
        <v>12109</v>
      </c>
      <c r="C5179" s="9" t="s">
        <v>17</v>
      </c>
      <c r="D5179" s="9" t="s">
        <v>40</v>
      </c>
      <c r="E5179" s="10" t="s">
        <v>594</v>
      </c>
      <c r="F5179" s="9" t="s">
        <v>595</v>
      </c>
      <c r="G5179" s="10" t="s">
        <v>75</v>
      </c>
      <c r="H5179" s="9" t="s">
        <v>22</v>
      </c>
      <c r="I5179" s="9" t="s">
        <v>12110</v>
      </c>
      <c r="J5179" s="10" t="str">
        <f>HYPERLINK("https://www.boe.es/gazeta/dias/1834/06/01/pdfs/GMD-1834-102.pdf#page=4","Abrir facsímil")</f>
        <v>Abrir facsímil</v>
      </c>
      <c r="K5179" s="10" t="s">
        <v>24</v>
      </c>
    </row>
    <row r="5180" spans="1:11" ht="54" customHeight="1">
      <c r="A5180" s="9" t="s">
        <v>12109</v>
      </c>
      <c r="B5180" s="9" t="s">
        <v>12109</v>
      </c>
      <c r="C5180" s="9" t="s">
        <v>17</v>
      </c>
      <c r="D5180" s="9" t="s">
        <v>18</v>
      </c>
      <c r="E5180" s="10" t="s">
        <v>1297</v>
      </c>
      <c r="F5180" s="9" t="s">
        <v>1298</v>
      </c>
      <c r="G5180" s="10" t="s">
        <v>75</v>
      </c>
      <c r="H5180" s="9" t="s">
        <v>22</v>
      </c>
      <c r="I5180" s="9" t="s">
        <v>12111</v>
      </c>
      <c r="J5180" s="10" t="str">
        <f>HYPERLINK("https://www.boe.es/gazeta/dias/1834/08/01/pdfs/GMD-1834-165.pdf#page=4","Abrir facsímil")</f>
        <v>Abrir facsímil</v>
      </c>
      <c r="K5180" s="10" t="s">
        <v>24</v>
      </c>
    </row>
    <row r="5181" spans="1:11" ht="54" customHeight="1">
      <c r="A5181" s="9" t="s">
        <v>12109</v>
      </c>
      <c r="B5181" s="9" t="s">
        <v>12109</v>
      </c>
      <c r="C5181" s="9" t="s">
        <v>46</v>
      </c>
      <c r="D5181" s="9" t="s">
        <v>101</v>
      </c>
      <c r="E5181" s="10" t="s">
        <v>2379</v>
      </c>
      <c r="F5181" s="9" t="s">
        <v>2380</v>
      </c>
      <c r="G5181" s="10" t="s">
        <v>75</v>
      </c>
      <c r="H5181" s="9" t="s">
        <v>22</v>
      </c>
      <c r="I5181" s="9" t="s">
        <v>12112</v>
      </c>
      <c r="J5181" s="10" t="str">
        <f>HYPERLINK("https://www.boe.es/gazeta/dias/1834/04/03/pdfs/GMD-1834-42.pdf#page=4","Abrir facsímil")</f>
        <v>Abrir facsímil</v>
      </c>
      <c r="K5181" s="10" t="s">
        <v>24</v>
      </c>
    </row>
    <row r="5182" spans="1:11" ht="54" customHeight="1">
      <c r="A5182" s="9" t="s">
        <v>12109</v>
      </c>
      <c r="B5182" s="9" t="s">
        <v>12109</v>
      </c>
      <c r="C5182" s="9" t="s">
        <v>17</v>
      </c>
      <c r="D5182" s="9" t="s">
        <v>40</v>
      </c>
      <c r="E5182" s="10" t="s">
        <v>1661</v>
      </c>
      <c r="F5182" s="9" t="s">
        <v>1662</v>
      </c>
      <c r="G5182" s="10" t="s">
        <v>75</v>
      </c>
      <c r="H5182" s="9" t="s">
        <v>22</v>
      </c>
      <c r="I5182" s="9" t="s">
        <v>12113</v>
      </c>
      <c r="J5182" s="10" t="str">
        <f>HYPERLINK("https://www.boe.es/gazeta/dias/1834/04/06/pdfs/GMD-1834-45.pdf#page=4","Abrir facsímil")</f>
        <v>Abrir facsímil</v>
      </c>
      <c r="K5182" s="10" t="s">
        <v>24</v>
      </c>
    </row>
    <row r="5183" spans="1:11" ht="54" customHeight="1">
      <c r="A5183" s="9" t="s">
        <v>12109</v>
      </c>
      <c r="B5183" s="9" t="s">
        <v>12109</v>
      </c>
      <c r="C5183" s="9" t="s">
        <v>17</v>
      </c>
      <c r="D5183" s="9" t="s">
        <v>40</v>
      </c>
      <c r="E5183" s="10" t="s">
        <v>12114</v>
      </c>
      <c r="F5183" s="9" t="s">
        <v>12115</v>
      </c>
      <c r="G5183" s="10" t="s">
        <v>176</v>
      </c>
      <c r="H5183" s="9" t="s">
        <v>22</v>
      </c>
      <c r="I5183" s="9" t="s">
        <v>12116</v>
      </c>
      <c r="J5183" s="10" t="str">
        <f>HYPERLINK("https://www.boe.es/gazeta/dias/1834/04/08/pdfs/GMD-1834-47.pdf#page=6","Abrir facsímil")</f>
        <v>Abrir facsímil</v>
      </c>
      <c r="K5183" s="10" t="s">
        <v>24</v>
      </c>
    </row>
    <row r="5184" spans="1:11" ht="54" customHeight="1">
      <c r="A5184" s="9" t="s">
        <v>12109</v>
      </c>
      <c r="B5184" s="9" t="s">
        <v>12109</v>
      </c>
      <c r="C5184" s="9" t="s">
        <v>17</v>
      </c>
      <c r="D5184" s="9" t="s">
        <v>40</v>
      </c>
      <c r="E5184" s="10" t="s">
        <v>1186</v>
      </c>
      <c r="F5184" s="9" t="s">
        <v>1187</v>
      </c>
      <c r="G5184" s="10" t="s">
        <v>75</v>
      </c>
      <c r="H5184" s="9" t="s">
        <v>22</v>
      </c>
      <c r="I5184" s="9" t="s">
        <v>12117</v>
      </c>
      <c r="J5184" s="10" t="str">
        <f>HYPERLINK("https://www.boe.es/gazeta/dias/1834/08/14/pdfs/GMD-1834-179.pdf#page=4","Abrir facsímil")</f>
        <v>Abrir facsímil</v>
      </c>
      <c r="K5184" s="10" t="s">
        <v>24</v>
      </c>
    </row>
    <row r="5185" spans="1:11" ht="54" customHeight="1">
      <c r="A5185" s="9" t="s">
        <v>12118</v>
      </c>
      <c r="B5185" s="9" t="s">
        <v>12118</v>
      </c>
      <c r="C5185" s="9" t="s">
        <v>46</v>
      </c>
      <c r="D5185" s="9" t="s">
        <v>101</v>
      </c>
      <c r="E5185" s="10" t="s">
        <v>399</v>
      </c>
      <c r="F5185" s="9" t="s">
        <v>400</v>
      </c>
      <c r="G5185" s="10" t="s">
        <v>75</v>
      </c>
      <c r="H5185" s="9" t="s">
        <v>22</v>
      </c>
      <c r="I5185" s="9" t="s">
        <v>12119</v>
      </c>
      <c r="J5185" s="10" t="str">
        <f>HYPERLINK("https://www.boe.es/gazeta/dias/1834/07/08/pdfs/GMD-1834-141.pdf#page=4","Abrir facsímil")</f>
        <v>Abrir facsímil</v>
      </c>
      <c r="K5185" s="10" t="s">
        <v>24</v>
      </c>
    </row>
    <row r="5186" spans="1:11" ht="54" customHeight="1">
      <c r="A5186" s="9" t="s">
        <v>12120</v>
      </c>
      <c r="B5186" s="9" t="s">
        <v>12120</v>
      </c>
      <c r="C5186" s="9" t="s">
        <v>17</v>
      </c>
      <c r="D5186" s="9" t="s">
        <v>55</v>
      </c>
      <c r="E5186" s="10" t="s">
        <v>426</v>
      </c>
      <c r="F5186" s="9" t="s">
        <v>427</v>
      </c>
      <c r="G5186" s="10" t="s">
        <v>34</v>
      </c>
      <c r="H5186" s="9" t="s">
        <v>22</v>
      </c>
      <c r="I5186" s="9" t="s">
        <v>12121</v>
      </c>
      <c r="J5186" s="10" t="str">
        <f>HYPERLINK("https://www.boe.es/gazeta/dias/1834/10/04/pdfs/GMD-1834-232.pdf#page=1","Abrir facsímil")</f>
        <v>Abrir facsímil</v>
      </c>
      <c r="K5186" s="10" t="s">
        <v>24</v>
      </c>
    </row>
    <row r="5187" spans="1:11" ht="54" customHeight="1">
      <c r="A5187" s="9" t="s">
        <v>12120</v>
      </c>
      <c r="B5187" s="9" t="s">
        <v>12120</v>
      </c>
      <c r="C5187" s="9" t="s">
        <v>90</v>
      </c>
      <c r="D5187" s="9" t="s">
        <v>18</v>
      </c>
      <c r="E5187" s="10" t="s">
        <v>696</v>
      </c>
      <c r="F5187" s="9" t="s">
        <v>854</v>
      </c>
      <c r="G5187" s="10" t="s">
        <v>21</v>
      </c>
      <c r="H5187" s="9" t="s">
        <v>22</v>
      </c>
      <c r="I5187" s="9" t="s">
        <v>12122</v>
      </c>
      <c r="J5187" s="10" t="str">
        <f>HYPERLINK("https://www.boe.es/gazeta/dias/1834/12/06/pdfs/GMD-1834-295.pdf#page=3","Abrir facsímil")</f>
        <v>Abrir facsímil</v>
      </c>
      <c r="K5187" s="10" t="s">
        <v>24</v>
      </c>
    </row>
    <row r="5188" spans="1:11" ht="54" customHeight="1">
      <c r="A5188" s="9" t="s">
        <v>12120</v>
      </c>
      <c r="B5188" s="9" t="s">
        <v>12120</v>
      </c>
      <c r="C5188" s="9" t="s">
        <v>90</v>
      </c>
      <c r="D5188" s="9" t="s">
        <v>101</v>
      </c>
      <c r="E5188" s="10" t="s">
        <v>8010</v>
      </c>
      <c r="F5188" s="9" t="s">
        <v>8011</v>
      </c>
      <c r="G5188" s="10" t="s">
        <v>34</v>
      </c>
      <c r="H5188" s="9" t="s">
        <v>22</v>
      </c>
      <c r="I5188" s="9" t="s">
        <v>12123</v>
      </c>
      <c r="J5188" s="10" t="str">
        <f>HYPERLINK("https://www.boe.es/gazeta/dias/1834/08/28/pdfs/GMD-1834-194.pdf#page=1","Abrir facsímil")</f>
        <v>Abrir facsímil</v>
      </c>
      <c r="K5188" s="10" t="s">
        <v>24</v>
      </c>
    </row>
    <row r="5189" spans="1:11" ht="54" customHeight="1">
      <c r="A5189" s="9" t="s">
        <v>12124</v>
      </c>
      <c r="B5189" s="9" t="s">
        <v>12125</v>
      </c>
      <c r="C5189" s="9" t="s">
        <v>66</v>
      </c>
      <c r="D5189" s="9" t="s">
        <v>67</v>
      </c>
      <c r="E5189" s="10" t="s">
        <v>1918</v>
      </c>
      <c r="F5189" s="9" t="s">
        <v>2024</v>
      </c>
      <c r="G5189" s="10" t="s">
        <v>86</v>
      </c>
      <c r="H5189" s="9" t="s">
        <v>35</v>
      </c>
      <c r="I5189" s="9" t="s">
        <v>12126</v>
      </c>
      <c r="J5189" s="10" t="str">
        <f>HYPERLINK("https://www.boe.es/gazeta/dias/1834/03/22/pdfs/GMD-C-1834-36.pdf#page=2","Abrir facsímil")</f>
        <v>Abrir facsímil</v>
      </c>
      <c r="K5189" s="10" t="s">
        <v>37</v>
      </c>
    </row>
    <row r="5190" spans="1:11" ht="54" customHeight="1">
      <c r="A5190" s="9" t="s">
        <v>12127</v>
      </c>
      <c r="B5190" s="9" t="s">
        <v>12128</v>
      </c>
      <c r="C5190" s="9" t="s">
        <v>17</v>
      </c>
      <c r="D5190" s="9" t="s">
        <v>18</v>
      </c>
      <c r="E5190" s="10" t="s">
        <v>84</v>
      </c>
      <c r="F5190" s="9" t="s">
        <v>85</v>
      </c>
      <c r="G5190" s="10" t="s">
        <v>34</v>
      </c>
      <c r="H5190" s="9" t="s">
        <v>22</v>
      </c>
      <c r="I5190" s="9" t="s">
        <v>12129</v>
      </c>
      <c r="J5190" s="10" t="str">
        <f>HYPERLINK("https://www.boe.es/gazeta/dias/1834/06/07/pdfs/GMD-C-1834-109.pdf#page=1","Abrir facsímil")</f>
        <v>Abrir facsímil</v>
      </c>
      <c r="K5190" s="10" t="s">
        <v>24</v>
      </c>
    </row>
    <row r="5191" spans="1:11" ht="54" customHeight="1">
      <c r="A5191" s="9" t="s">
        <v>12130</v>
      </c>
      <c r="B5191" s="9" t="s">
        <v>12131</v>
      </c>
      <c r="C5191" s="9" t="s">
        <v>90</v>
      </c>
      <c r="D5191" s="9" t="s">
        <v>18</v>
      </c>
      <c r="E5191" s="10" t="s">
        <v>2142</v>
      </c>
      <c r="F5191" s="9" t="s">
        <v>2316</v>
      </c>
      <c r="G5191" s="10" t="s">
        <v>34</v>
      </c>
      <c r="H5191" s="9" t="s">
        <v>22</v>
      </c>
      <c r="I5191" s="9" t="s">
        <v>12132</v>
      </c>
      <c r="J5191" s="10" t="str">
        <f>HYPERLINK("https://www.boe.es/gazeta/dias/1834/12/27/pdfs/GMD-C-1834-317.pdf#page=1","Abrir facsímil")</f>
        <v>Abrir facsímil</v>
      </c>
      <c r="K5191" s="10" t="s">
        <v>24</v>
      </c>
    </row>
    <row r="5192" spans="1:11" ht="54" customHeight="1">
      <c r="A5192" s="9" t="s">
        <v>12133</v>
      </c>
      <c r="B5192" s="9" t="s">
        <v>12134</v>
      </c>
      <c r="C5192" s="9" t="s">
        <v>66</v>
      </c>
      <c r="D5192" s="9" t="s">
        <v>67</v>
      </c>
      <c r="E5192" s="10" t="s">
        <v>1918</v>
      </c>
      <c r="F5192" s="9" t="s">
        <v>2024</v>
      </c>
      <c r="G5192" s="10" t="s">
        <v>86</v>
      </c>
      <c r="H5192" s="9" t="s">
        <v>22</v>
      </c>
      <c r="I5192" s="9" t="s">
        <v>12135</v>
      </c>
      <c r="J5192" s="10" t="str">
        <f>HYPERLINK("https://www.boe.es/gazeta/dias/1834/03/22/pdfs/GMD-C-1834-36.pdf#page=2","Abrir facsímil")</f>
        <v>Abrir facsímil</v>
      </c>
      <c r="K5192" s="10" t="s">
        <v>24</v>
      </c>
    </row>
    <row r="5193" spans="1:11" ht="54" customHeight="1">
      <c r="A5193" s="9" t="s">
        <v>12136</v>
      </c>
      <c r="B5193" s="9" t="s">
        <v>12137</v>
      </c>
      <c r="C5193" s="9" t="s">
        <v>46</v>
      </c>
      <c r="D5193" s="9" t="s">
        <v>101</v>
      </c>
      <c r="E5193" s="10" t="s">
        <v>378</v>
      </c>
      <c r="F5193" s="9" t="s">
        <v>888</v>
      </c>
      <c r="G5193" s="10" t="s">
        <v>176</v>
      </c>
      <c r="H5193" s="9" t="s">
        <v>22</v>
      </c>
      <c r="I5193" s="9" t="s">
        <v>12138</v>
      </c>
      <c r="J5193" s="10" t="str">
        <f>HYPERLINK("https://www.boe.es/gazeta/dias/1834/09/24/pdfs/GMD-C-1834-222.pdf#page=6","Abrir facsímil")</f>
        <v>Abrir facsímil</v>
      </c>
      <c r="K5193" s="10" t="s">
        <v>24</v>
      </c>
    </row>
    <row r="5194" spans="1:11" ht="54" customHeight="1">
      <c r="A5194" s="9" t="s">
        <v>12139</v>
      </c>
      <c r="B5194" s="9" t="s">
        <v>12139</v>
      </c>
      <c r="C5194" s="9" t="s">
        <v>17</v>
      </c>
      <c r="D5194" s="9" t="s">
        <v>18</v>
      </c>
      <c r="E5194" s="10" t="s">
        <v>1337</v>
      </c>
      <c r="F5194" s="9" t="s">
        <v>1906</v>
      </c>
      <c r="G5194" s="10" t="s">
        <v>86</v>
      </c>
      <c r="H5194" s="9" t="s">
        <v>22</v>
      </c>
      <c r="I5194" s="9" t="s">
        <v>12140</v>
      </c>
      <c r="J5194" s="10" t="str">
        <f>HYPERLINK("https://www.boe.es/gazeta/dias/1834/01/02/pdfs/GMD-1834-2E.pdf#page=2","Abrir facsímil")</f>
        <v>Abrir facsímil</v>
      </c>
      <c r="K5194" s="10" t="s">
        <v>24</v>
      </c>
    </row>
    <row r="5195" spans="1:11" ht="54" customHeight="1">
      <c r="A5195" s="9" t="s">
        <v>12141</v>
      </c>
      <c r="B5195" s="9" t="s">
        <v>12142</v>
      </c>
      <c r="C5195" s="9" t="s">
        <v>66</v>
      </c>
      <c r="D5195" s="9" t="s">
        <v>67</v>
      </c>
      <c r="E5195" s="10" t="s">
        <v>3066</v>
      </c>
      <c r="F5195" s="9" t="s">
        <v>3188</v>
      </c>
      <c r="G5195" s="10" t="s">
        <v>86</v>
      </c>
      <c r="H5195" s="9" t="s">
        <v>22</v>
      </c>
      <c r="I5195" s="9" t="s">
        <v>12143</v>
      </c>
      <c r="J5195" s="10" t="str">
        <f>HYPERLINK("https://www.boe.es/gazeta/dias/1834/08/03/pdfs/GMD-1834-167.pdf#page=2","Abrir facsímil")</f>
        <v>Abrir facsímil</v>
      </c>
      <c r="K5195" s="10" t="s">
        <v>24</v>
      </c>
    </row>
    <row r="5196" spans="1:11" ht="54" customHeight="1">
      <c r="A5196" s="9" t="s">
        <v>12144</v>
      </c>
      <c r="B5196" s="9" t="s">
        <v>12144</v>
      </c>
      <c r="C5196" s="9" t="s">
        <v>46</v>
      </c>
      <c r="D5196" s="9" t="s">
        <v>18</v>
      </c>
      <c r="E5196" s="10" t="s">
        <v>912</v>
      </c>
      <c r="F5196" s="9" t="s">
        <v>913</v>
      </c>
      <c r="G5196" s="10" t="s">
        <v>75</v>
      </c>
      <c r="H5196" s="9" t="s">
        <v>22</v>
      </c>
      <c r="I5196" s="9" t="s">
        <v>12145</v>
      </c>
      <c r="J5196" s="10" t="str">
        <f>HYPERLINK("https://www.boe.es/gazeta/dias/1834/02/15/pdfs/GMD-1834-21.pdf#page=4","Abrir facsímil")</f>
        <v>Abrir facsímil</v>
      </c>
      <c r="K5196" s="10" t="s">
        <v>24</v>
      </c>
    </row>
    <row r="5197" spans="1:11" ht="54" customHeight="1">
      <c r="A5197" s="9" t="s">
        <v>12146</v>
      </c>
      <c r="B5197" s="9" t="s">
        <v>12147</v>
      </c>
      <c r="C5197" s="9" t="s">
        <v>17</v>
      </c>
      <c r="D5197" s="9" t="s">
        <v>18</v>
      </c>
      <c r="E5197" s="10" t="s">
        <v>41</v>
      </c>
      <c r="F5197" s="9" t="s">
        <v>42</v>
      </c>
      <c r="G5197" s="10" t="s">
        <v>21</v>
      </c>
      <c r="H5197" s="9" t="s">
        <v>35</v>
      </c>
      <c r="I5197" s="9" t="s">
        <v>12148</v>
      </c>
      <c r="J5197" s="10" t="str">
        <f>HYPERLINK("https://www.boe.es/gazeta/dias/1834/06/11/pdfs/GMD-1834-114.pdf#page=3","Abrir facsímil")</f>
        <v>Abrir facsímil</v>
      </c>
      <c r="K5197" s="10" t="s">
        <v>37</v>
      </c>
    </row>
    <row r="5198" spans="1:11" ht="54" customHeight="1">
      <c r="A5198" s="9" t="s">
        <v>12149</v>
      </c>
      <c r="B5198" s="9" t="s">
        <v>12149</v>
      </c>
      <c r="C5198" s="9" t="s">
        <v>17</v>
      </c>
      <c r="D5198" s="9" t="s">
        <v>18</v>
      </c>
      <c r="E5198" s="10" t="s">
        <v>10172</v>
      </c>
      <c r="F5198" s="9" t="s">
        <v>10173</v>
      </c>
      <c r="G5198" s="10" t="s">
        <v>21</v>
      </c>
      <c r="H5198" s="9" t="s">
        <v>22</v>
      </c>
      <c r="I5198" s="9" t="s">
        <v>12150</v>
      </c>
      <c r="J5198" s="10" t="str">
        <f>HYPERLINK("https://www.boe.es/gazeta/dias/1834/06/15/pdfs/GMD-1834-118.pdf#page=3","Abrir facsímil")</f>
        <v>Abrir facsímil</v>
      </c>
      <c r="K5198" s="10" t="s">
        <v>24</v>
      </c>
    </row>
    <row r="5199" spans="1:11" ht="54" customHeight="1">
      <c r="A5199" s="9" t="s">
        <v>12151</v>
      </c>
      <c r="B5199" s="9" t="s">
        <v>12151</v>
      </c>
      <c r="C5199" s="9" t="s">
        <v>46</v>
      </c>
      <c r="D5199" s="9" t="s">
        <v>101</v>
      </c>
      <c r="E5199" s="10" t="s">
        <v>167</v>
      </c>
      <c r="F5199" s="9" t="s">
        <v>168</v>
      </c>
      <c r="G5199" s="10" t="s">
        <v>86</v>
      </c>
      <c r="H5199" s="9" t="s">
        <v>22</v>
      </c>
      <c r="I5199" s="9" t="s">
        <v>12152</v>
      </c>
      <c r="J5199" s="10" t="str">
        <f>HYPERLINK("https://www.boe.es/gazeta/dias/1834/09/07/pdfs/GMD-1834-205.pdf#page=2","Abrir facsímil")</f>
        <v>Abrir facsímil</v>
      </c>
      <c r="K5199" s="10" t="s">
        <v>24</v>
      </c>
    </row>
    <row r="5200" spans="1:11" ht="54" customHeight="1">
      <c r="A5200" s="9" t="s">
        <v>12153</v>
      </c>
      <c r="B5200" s="9" t="s">
        <v>12153</v>
      </c>
      <c r="C5200" s="9" t="s">
        <v>46</v>
      </c>
      <c r="D5200" s="9" t="s">
        <v>18</v>
      </c>
      <c r="E5200" s="10" t="s">
        <v>939</v>
      </c>
      <c r="F5200" s="9" t="s">
        <v>940</v>
      </c>
      <c r="G5200" s="10" t="s">
        <v>86</v>
      </c>
      <c r="H5200" s="9" t="s">
        <v>22</v>
      </c>
      <c r="I5200" s="9" t="s">
        <v>12154</v>
      </c>
      <c r="J5200" s="10" t="str">
        <f>HYPERLINK("https://www.boe.es/gazeta/dias/1834/06/10/pdfs/GMD-1834-113.pdf#page=2","Abrir facsímil")</f>
        <v>Abrir facsímil</v>
      </c>
      <c r="K5200" s="10" t="s">
        <v>24</v>
      </c>
    </row>
    <row r="5201" spans="1:11" ht="54" customHeight="1">
      <c r="A5201" s="9" t="s">
        <v>12155</v>
      </c>
      <c r="B5201" s="9" t="s">
        <v>12156</v>
      </c>
      <c r="C5201" s="9" t="s">
        <v>122</v>
      </c>
      <c r="D5201" s="9" t="s">
        <v>101</v>
      </c>
      <c r="E5201" s="10" t="s">
        <v>1234</v>
      </c>
      <c r="F5201" s="9" t="s">
        <v>1455</v>
      </c>
      <c r="G5201" s="10" t="s">
        <v>21</v>
      </c>
      <c r="H5201" s="9" t="s">
        <v>22</v>
      </c>
      <c r="I5201" s="9" t="s">
        <v>12157</v>
      </c>
      <c r="J5201" s="10" t="str">
        <f>HYPERLINK("https://www.boe.es/gazeta/dias/1834/05/15/pdfs/GMD-1834-84.pdf#page=3","Abrir facsímil")</f>
        <v>Abrir facsímil</v>
      </c>
      <c r="K5201" s="10" t="s">
        <v>24</v>
      </c>
    </row>
    <row r="5202" spans="1:11" ht="54" customHeight="1">
      <c r="A5202" s="9" t="s">
        <v>12158</v>
      </c>
      <c r="B5202" s="9" t="s">
        <v>12159</v>
      </c>
      <c r="C5202" s="9" t="s">
        <v>17</v>
      </c>
      <c r="D5202" s="9" t="s">
        <v>18</v>
      </c>
      <c r="E5202" s="10" t="s">
        <v>280</v>
      </c>
      <c r="F5202" s="9" t="s">
        <v>281</v>
      </c>
      <c r="G5202" s="10" t="s">
        <v>560</v>
      </c>
      <c r="H5202" s="9" t="s">
        <v>22</v>
      </c>
      <c r="I5202" s="9" t="s">
        <v>12160</v>
      </c>
      <c r="J5202" s="10" t="str">
        <f>HYPERLINK("https://www.boe.es/gazeta/dias/1834/08/29/pdfs/GMD-C-1834-195.pdf#page=7","Abrir facsímil")</f>
        <v>Abrir facsímil</v>
      </c>
      <c r="K5202" s="10" t="s">
        <v>24</v>
      </c>
    </row>
    <row r="5203" spans="1:11" ht="54" customHeight="1">
      <c r="A5203" s="9" t="s">
        <v>12161</v>
      </c>
      <c r="B5203" s="9" t="s">
        <v>12162</v>
      </c>
      <c r="C5203" s="9" t="s">
        <v>46</v>
      </c>
      <c r="D5203" s="9" t="s">
        <v>101</v>
      </c>
      <c r="E5203" s="10" t="s">
        <v>102</v>
      </c>
      <c r="F5203" s="9" t="s">
        <v>103</v>
      </c>
      <c r="G5203" s="10" t="s">
        <v>34</v>
      </c>
      <c r="H5203" s="9" t="s">
        <v>22</v>
      </c>
      <c r="I5203" s="9" t="s">
        <v>12163</v>
      </c>
      <c r="J5203" s="10" t="str">
        <f>HYPERLINK("https://www.boe.es/gazeta/dias/1834/07/19/pdfs/GMD-1834-152.pdf#page=1","Abrir facsímil")</f>
        <v>Abrir facsímil</v>
      </c>
      <c r="K5203" s="10" t="s">
        <v>24</v>
      </c>
    </row>
    <row r="5204" spans="1:11" ht="54" customHeight="1">
      <c r="A5204" s="9" t="s">
        <v>12164</v>
      </c>
      <c r="B5204" s="9" t="s">
        <v>12165</v>
      </c>
      <c r="C5204" s="9" t="s">
        <v>90</v>
      </c>
      <c r="D5204" s="9" t="s">
        <v>18</v>
      </c>
      <c r="E5204" s="10" t="s">
        <v>891</v>
      </c>
      <c r="F5204" s="9" t="s">
        <v>892</v>
      </c>
      <c r="G5204" s="10" t="s">
        <v>34</v>
      </c>
      <c r="H5204" s="9" t="s">
        <v>22</v>
      </c>
      <c r="I5204" s="9" t="s">
        <v>12166</v>
      </c>
      <c r="J5204" s="10" t="str">
        <f>HYPERLINK("https://www.boe.es/gazeta/dias/1834/10/31/pdfs/GMD-C-1834-259.pdf#page=1","Abrir facsímil")</f>
        <v>Abrir facsímil</v>
      </c>
      <c r="K5204" s="10" t="s">
        <v>24</v>
      </c>
    </row>
    <row r="5205" spans="1:11" ht="54" customHeight="1">
      <c r="A5205" s="9" t="s">
        <v>12167</v>
      </c>
      <c r="B5205" s="9" t="s">
        <v>12168</v>
      </c>
      <c r="C5205" s="9" t="s">
        <v>17</v>
      </c>
      <c r="D5205" s="9" t="s">
        <v>18</v>
      </c>
      <c r="E5205" s="10" t="s">
        <v>200</v>
      </c>
      <c r="F5205" s="9" t="s">
        <v>201</v>
      </c>
      <c r="G5205" s="10" t="s">
        <v>21</v>
      </c>
      <c r="H5205" s="9" t="s">
        <v>22</v>
      </c>
      <c r="I5205" s="9" t="s">
        <v>12169</v>
      </c>
      <c r="J5205" s="10" t="str">
        <f>HYPERLINK("https://www.boe.es/gazeta/dias/1834/12/11/pdfs/GMD-1834-300.pdf#page=3","Abrir facsímil")</f>
        <v>Abrir facsímil</v>
      </c>
      <c r="K5205" s="10" t="s">
        <v>24</v>
      </c>
    </row>
    <row r="5206" spans="1:11" ht="54" customHeight="1">
      <c r="A5206" s="9" t="s">
        <v>12170</v>
      </c>
      <c r="B5206" s="9" t="s">
        <v>12171</v>
      </c>
      <c r="C5206" s="9" t="s">
        <v>17</v>
      </c>
      <c r="D5206" s="9" t="s">
        <v>18</v>
      </c>
      <c r="E5206" s="10" t="s">
        <v>1084</v>
      </c>
      <c r="F5206" s="9" t="s">
        <v>1085</v>
      </c>
      <c r="G5206" s="10" t="s">
        <v>28</v>
      </c>
      <c r="H5206" s="9" t="s">
        <v>22</v>
      </c>
      <c r="I5206" s="9" t="s">
        <v>12172</v>
      </c>
      <c r="J5206" s="10" t="str">
        <f>HYPERLINK("https://www.boe.es/gazeta/dias/1834/05/01/pdfs/GMD-1834-70.pdf#page=5","Abrir facsímil")</f>
        <v>Abrir facsímil</v>
      </c>
      <c r="K5206" s="10" t="s">
        <v>24</v>
      </c>
    </row>
    <row r="5207" spans="1:11" ht="54" customHeight="1">
      <c r="A5207" s="9" t="s">
        <v>12173</v>
      </c>
      <c r="B5207" s="9" t="s">
        <v>12174</v>
      </c>
      <c r="C5207" s="9" t="s">
        <v>17</v>
      </c>
      <c r="D5207" s="9" t="s">
        <v>18</v>
      </c>
      <c r="E5207" s="10" t="s">
        <v>3170</v>
      </c>
      <c r="F5207" s="9" t="s">
        <v>3171</v>
      </c>
      <c r="G5207" s="10" t="s">
        <v>21</v>
      </c>
      <c r="H5207" s="9" t="s">
        <v>22</v>
      </c>
      <c r="I5207" s="9" t="s">
        <v>12175</v>
      </c>
      <c r="J5207" s="10" t="str">
        <f>HYPERLINK("https://www.boe.es/gazeta/dias/1834/12/07/pdfs/GMD-1834-296.pdf#page=3","Abrir facsímil")</f>
        <v>Abrir facsímil</v>
      </c>
      <c r="K5207" s="10" t="s">
        <v>24</v>
      </c>
    </row>
    <row r="5208" spans="1:11" ht="54" customHeight="1">
      <c r="A5208" s="9" t="s">
        <v>12176</v>
      </c>
      <c r="B5208" s="9" t="s">
        <v>12176</v>
      </c>
      <c r="C5208" s="9" t="s">
        <v>17</v>
      </c>
      <c r="D5208" s="9" t="s">
        <v>18</v>
      </c>
      <c r="E5208" s="10" t="s">
        <v>68</v>
      </c>
      <c r="F5208" s="9" t="s">
        <v>69</v>
      </c>
      <c r="G5208" s="10" t="s">
        <v>21</v>
      </c>
      <c r="H5208" s="9" t="s">
        <v>22</v>
      </c>
      <c r="I5208" s="9" t="s">
        <v>12177</v>
      </c>
      <c r="J5208" s="10" t="str">
        <f>HYPERLINK("https://www.boe.es/gazeta/dias/1834/11/01/pdfs/GMD-1834-260.pdf#page=3","Abrir facsímil")</f>
        <v>Abrir facsímil</v>
      </c>
      <c r="K5208" s="10" t="s">
        <v>24</v>
      </c>
    </row>
    <row r="5209" spans="1:11" ht="54" customHeight="1">
      <c r="A5209" s="9" t="s">
        <v>12176</v>
      </c>
      <c r="B5209" s="9" t="s">
        <v>12176</v>
      </c>
      <c r="C5209" s="9" t="s">
        <v>17</v>
      </c>
      <c r="D5209" s="9" t="s">
        <v>40</v>
      </c>
      <c r="E5209" s="10" t="s">
        <v>339</v>
      </c>
      <c r="F5209" s="9" t="s">
        <v>340</v>
      </c>
      <c r="G5209" s="10" t="s">
        <v>21</v>
      </c>
      <c r="H5209" s="9" t="s">
        <v>22</v>
      </c>
      <c r="I5209" s="9" t="s">
        <v>12178</v>
      </c>
      <c r="J5209" s="10" t="str">
        <f>HYPERLINK("https://www.boe.es/gazeta/dias/1834/05/02/pdfs/GMD-1834-71.pdf#page=3","Abrir facsímil")</f>
        <v>Abrir facsímil</v>
      </c>
      <c r="K5209" s="10" t="s">
        <v>24</v>
      </c>
    </row>
    <row r="5210" spans="1:11" ht="54" customHeight="1">
      <c r="A5210" s="9" t="s">
        <v>12176</v>
      </c>
      <c r="B5210" s="9" t="s">
        <v>12176</v>
      </c>
      <c r="C5210" s="9" t="s">
        <v>46</v>
      </c>
      <c r="D5210" s="9" t="s">
        <v>101</v>
      </c>
      <c r="E5210" s="10" t="s">
        <v>690</v>
      </c>
      <c r="F5210" s="9" t="s">
        <v>5765</v>
      </c>
      <c r="G5210" s="10" t="s">
        <v>86</v>
      </c>
      <c r="H5210" s="9" t="s">
        <v>22</v>
      </c>
      <c r="I5210" s="9" t="s">
        <v>12179</v>
      </c>
      <c r="J5210" s="10" t="str">
        <f>HYPERLINK("https://www.boe.es/gazeta/dias/1834/09/03/pdfs/GMD-1834-201.pdf#page=2","Abrir facsímil")</f>
        <v>Abrir facsímil</v>
      </c>
      <c r="K5210" s="10" t="s">
        <v>24</v>
      </c>
    </row>
    <row r="5211" spans="1:11" ht="54" customHeight="1">
      <c r="A5211" s="9" t="s">
        <v>12176</v>
      </c>
      <c r="B5211" s="9" t="s">
        <v>12176</v>
      </c>
      <c r="C5211" s="9" t="s">
        <v>46</v>
      </c>
      <c r="D5211" s="9" t="s">
        <v>101</v>
      </c>
      <c r="E5211" s="10" t="s">
        <v>317</v>
      </c>
      <c r="F5211" s="9" t="s">
        <v>318</v>
      </c>
      <c r="G5211" s="10" t="s">
        <v>34</v>
      </c>
      <c r="H5211" s="9" t="s">
        <v>22</v>
      </c>
      <c r="I5211" s="9" t="s">
        <v>12180</v>
      </c>
      <c r="J5211" s="10" t="str">
        <f>HYPERLINK("https://www.boe.es/gazeta/dias/1834/03/06/pdfs/I00139-00140.pdf#page=1","Abrir facsímil")</f>
        <v>Abrir facsímil</v>
      </c>
      <c r="K5211" s="10" t="s">
        <v>24</v>
      </c>
    </row>
    <row r="5212" spans="1:11" ht="54" customHeight="1">
      <c r="A5212" s="9" t="s">
        <v>12176</v>
      </c>
      <c r="B5212" s="9" t="s">
        <v>12176</v>
      </c>
      <c r="C5212" s="9" t="s">
        <v>46</v>
      </c>
      <c r="D5212" s="9" t="s">
        <v>101</v>
      </c>
      <c r="E5212" s="10" t="s">
        <v>317</v>
      </c>
      <c r="F5212" s="9" t="s">
        <v>318</v>
      </c>
      <c r="G5212" s="10" t="s">
        <v>21</v>
      </c>
      <c r="H5212" s="9" t="s">
        <v>22</v>
      </c>
      <c r="I5212" s="9" t="s">
        <v>12180</v>
      </c>
      <c r="J5212" s="10" t="str">
        <f>HYPERLINK("https://www.boe.es/gazeta/dias/1834/03/06/pdfs/GMD-1834-29.pdf#page=3","Abrir facsímil")</f>
        <v>Abrir facsímil</v>
      </c>
      <c r="K5212" s="10" t="s">
        <v>24</v>
      </c>
    </row>
    <row r="5213" spans="1:11" ht="54" customHeight="1">
      <c r="A5213" s="9" t="s">
        <v>12176</v>
      </c>
      <c r="B5213" s="9" t="s">
        <v>12176</v>
      </c>
      <c r="C5213" s="9" t="s">
        <v>66</v>
      </c>
      <c r="D5213" s="9" t="s">
        <v>67</v>
      </c>
      <c r="E5213" s="10" t="s">
        <v>696</v>
      </c>
      <c r="F5213" s="9" t="s">
        <v>854</v>
      </c>
      <c r="G5213" s="10" t="s">
        <v>21</v>
      </c>
      <c r="H5213" s="9" t="s">
        <v>22</v>
      </c>
      <c r="I5213" s="9" t="s">
        <v>12181</v>
      </c>
      <c r="J5213" s="10" t="str">
        <f>HYPERLINK("https://www.boe.es/gazeta/dias/1834/12/06/pdfs/GMD-1834-295.pdf#page=3","Abrir facsímil")</f>
        <v>Abrir facsímil</v>
      </c>
      <c r="K5213" s="10" t="s">
        <v>24</v>
      </c>
    </row>
    <row r="5214" spans="1:11" ht="54" customHeight="1">
      <c r="A5214" s="9" t="s">
        <v>12176</v>
      </c>
      <c r="B5214" s="9" t="s">
        <v>12176</v>
      </c>
      <c r="C5214" s="9" t="s">
        <v>66</v>
      </c>
      <c r="D5214" s="9" t="s">
        <v>101</v>
      </c>
      <c r="E5214" s="10" t="s">
        <v>61</v>
      </c>
      <c r="F5214" s="9" t="s">
        <v>205</v>
      </c>
      <c r="G5214" s="10" t="s">
        <v>86</v>
      </c>
      <c r="H5214" s="9" t="s">
        <v>22</v>
      </c>
      <c r="I5214" s="9" t="s">
        <v>12182</v>
      </c>
      <c r="J5214" s="10" t="str">
        <f>HYPERLINK("https://www.boe.es/gazeta/dias/1834/06/08/pdfs/GMD-1834-110.pdf#page=2","Abrir facsímil")</f>
        <v>Abrir facsímil</v>
      </c>
      <c r="K5214" s="10" t="s">
        <v>24</v>
      </c>
    </row>
    <row r="5215" spans="1:11" ht="54" customHeight="1">
      <c r="A5215" s="9" t="s">
        <v>12176</v>
      </c>
      <c r="B5215" s="9" t="s">
        <v>12176</v>
      </c>
      <c r="C5215" s="9" t="s">
        <v>17</v>
      </c>
      <c r="D5215" s="9" t="s">
        <v>18</v>
      </c>
      <c r="E5215" s="10" t="s">
        <v>2087</v>
      </c>
      <c r="F5215" s="9" t="s">
        <v>2088</v>
      </c>
      <c r="G5215" s="10" t="s">
        <v>21</v>
      </c>
      <c r="H5215" s="9" t="s">
        <v>22</v>
      </c>
      <c r="I5215" s="9" t="s">
        <v>12183</v>
      </c>
      <c r="J5215" s="10" t="str">
        <f>HYPERLINK("https://www.boe.es/gazeta/dias/1834/12/14/pdfs/GMD-1834-303.pdf#page=3","Abrir facsímil")</f>
        <v>Abrir facsímil</v>
      </c>
      <c r="K5215" s="10" t="s">
        <v>24</v>
      </c>
    </row>
    <row r="5216" spans="1:11" ht="54" customHeight="1">
      <c r="A5216" s="9" t="s">
        <v>12176</v>
      </c>
      <c r="B5216" s="9" t="s">
        <v>12176</v>
      </c>
      <c r="C5216" s="9" t="s">
        <v>66</v>
      </c>
      <c r="D5216" s="9" t="s">
        <v>67</v>
      </c>
      <c r="E5216" s="10" t="s">
        <v>1116</v>
      </c>
      <c r="F5216" s="9" t="s">
        <v>1117</v>
      </c>
      <c r="G5216" s="10" t="s">
        <v>75</v>
      </c>
      <c r="H5216" s="9" t="s">
        <v>22</v>
      </c>
      <c r="I5216" s="9" t="s">
        <v>12184</v>
      </c>
      <c r="J5216" s="10" t="str">
        <f>HYPERLINK("https://www.boe.es/gazeta/dias/1834/05/16/pdfs/GMD-1834-85.pdf#page=4","Abrir facsímil")</f>
        <v>Abrir facsímil</v>
      </c>
      <c r="K5216" s="10" t="s">
        <v>24</v>
      </c>
    </row>
    <row r="5217" spans="1:11" ht="54" customHeight="1">
      <c r="A5217" s="9" t="s">
        <v>12176</v>
      </c>
      <c r="B5217" s="9" t="s">
        <v>12176</v>
      </c>
      <c r="C5217" s="9" t="s">
        <v>46</v>
      </c>
      <c r="D5217" s="9" t="s">
        <v>101</v>
      </c>
      <c r="E5217" s="10" t="s">
        <v>1119</v>
      </c>
      <c r="F5217" s="9" t="s">
        <v>1120</v>
      </c>
      <c r="G5217" s="10" t="s">
        <v>21</v>
      </c>
      <c r="H5217" s="9" t="s">
        <v>22</v>
      </c>
      <c r="I5217" s="9" t="s">
        <v>12185</v>
      </c>
      <c r="J5217" s="10" t="str">
        <f>HYPERLINK("https://www.boe.es/gazeta/dias/1834/07/17/pdfs/GMD-1834-150.pdf#page=3","Abrir facsímil")</f>
        <v>Abrir facsímil</v>
      </c>
      <c r="K5217" s="10" t="s">
        <v>24</v>
      </c>
    </row>
    <row r="5218" spans="1:11" ht="54" customHeight="1">
      <c r="A5218" s="9" t="s">
        <v>12176</v>
      </c>
      <c r="B5218" s="9" t="s">
        <v>12176</v>
      </c>
      <c r="C5218" s="9" t="s">
        <v>66</v>
      </c>
      <c r="D5218" s="9" t="s">
        <v>67</v>
      </c>
      <c r="E5218" s="10" t="s">
        <v>19</v>
      </c>
      <c r="F5218" s="9" t="s">
        <v>1933</v>
      </c>
      <c r="G5218" s="10" t="s">
        <v>34</v>
      </c>
      <c r="H5218" s="9" t="s">
        <v>22</v>
      </c>
      <c r="I5218" s="9" t="s">
        <v>12186</v>
      </c>
      <c r="J5218" s="10" t="str">
        <f>HYPERLINK("https://www.boe.es/gazeta/dias/1834/08/17/pdfs/GMD-1834-183E.pdf#page=1","Abrir facsímil")</f>
        <v>Abrir facsímil</v>
      </c>
      <c r="K5218" s="10" t="s">
        <v>24</v>
      </c>
    </row>
    <row r="5219" spans="1:11" ht="54" customHeight="1">
      <c r="A5219" s="9" t="s">
        <v>12176</v>
      </c>
      <c r="B5219" s="9" t="s">
        <v>12176</v>
      </c>
      <c r="C5219" s="9" t="s">
        <v>66</v>
      </c>
      <c r="D5219" s="9" t="s">
        <v>67</v>
      </c>
      <c r="E5219" s="10" t="s">
        <v>1850</v>
      </c>
      <c r="F5219" s="9" t="s">
        <v>1851</v>
      </c>
      <c r="G5219" s="10" t="s">
        <v>176</v>
      </c>
      <c r="H5219" s="9" t="s">
        <v>22</v>
      </c>
      <c r="I5219" s="9" t="s">
        <v>12187</v>
      </c>
      <c r="J5219" s="10" t="str">
        <f>HYPERLINK("https://www.boe.es/gazeta/dias/1834/02/18/pdfs/GMD-1834-22.pdf#page=6","Abrir facsímil")</f>
        <v>Abrir facsímil</v>
      </c>
      <c r="K5219" s="10" t="s">
        <v>24</v>
      </c>
    </row>
    <row r="5220" spans="1:11" ht="54" customHeight="1">
      <c r="A5220" s="9" t="s">
        <v>12176</v>
      </c>
      <c r="B5220" s="9" t="s">
        <v>12176</v>
      </c>
      <c r="C5220" s="9" t="s">
        <v>122</v>
      </c>
      <c r="D5220" s="9" t="s">
        <v>18</v>
      </c>
      <c r="E5220" s="10" t="s">
        <v>367</v>
      </c>
      <c r="F5220" s="9" t="s">
        <v>368</v>
      </c>
      <c r="G5220" s="10" t="s">
        <v>21</v>
      </c>
      <c r="H5220" s="9" t="s">
        <v>22</v>
      </c>
      <c r="I5220" s="9" t="s">
        <v>12188</v>
      </c>
      <c r="J5220" s="10" t="str">
        <f>HYPERLINK("https://www.boe.es/gazeta/dias/1834/05/19/pdfs/GMD-1834-88.pdf#page=3","Abrir facsímil")</f>
        <v>Abrir facsímil</v>
      </c>
      <c r="K5220" s="10" t="s">
        <v>24</v>
      </c>
    </row>
    <row r="5221" spans="1:11" ht="54" customHeight="1">
      <c r="A5221" s="9" t="s">
        <v>12176</v>
      </c>
      <c r="B5221" s="9" t="s">
        <v>12176</v>
      </c>
      <c r="C5221" s="9" t="s">
        <v>17</v>
      </c>
      <c r="D5221" s="9" t="s">
        <v>18</v>
      </c>
      <c r="E5221" s="10" t="s">
        <v>148</v>
      </c>
      <c r="F5221" s="9" t="s">
        <v>149</v>
      </c>
      <c r="G5221" s="10" t="s">
        <v>86</v>
      </c>
      <c r="H5221" s="9" t="s">
        <v>22</v>
      </c>
      <c r="I5221" s="9" t="s">
        <v>12189</v>
      </c>
      <c r="J5221" s="10" t="str">
        <f>HYPERLINK("https://www.boe.es/gazeta/dias/1834/10/20/pdfs/GMD-1834-248.pdf#page=2","Abrir facsímil")</f>
        <v>Abrir facsímil</v>
      </c>
      <c r="K5221" s="10" t="s">
        <v>24</v>
      </c>
    </row>
    <row r="5222" spans="1:11" ht="54" customHeight="1">
      <c r="A5222" s="9" t="s">
        <v>12176</v>
      </c>
      <c r="B5222" s="9" t="s">
        <v>12176</v>
      </c>
      <c r="C5222" s="9" t="s">
        <v>17</v>
      </c>
      <c r="D5222" s="9" t="s">
        <v>55</v>
      </c>
      <c r="E5222" s="10" t="s">
        <v>1323</v>
      </c>
      <c r="F5222" s="9" t="s">
        <v>1324</v>
      </c>
      <c r="G5222" s="10" t="s">
        <v>86</v>
      </c>
      <c r="H5222" s="9" t="s">
        <v>22</v>
      </c>
      <c r="I5222" s="9" t="s">
        <v>12190</v>
      </c>
      <c r="J5222" s="10" t="str">
        <f>HYPERLINK("https://www.boe.es/gazeta/dias/1834/05/22/pdfs/GMD-1834-91.pdf#page=2","Abrir facsímil")</f>
        <v>Abrir facsímil</v>
      </c>
      <c r="K5222" s="10" t="s">
        <v>24</v>
      </c>
    </row>
    <row r="5223" spans="1:11" ht="54" customHeight="1">
      <c r="A5223" s="9" t="s">
        <v>12176</v>
      </c>
      <c r="B5223" s="9" t="s">
        <v>12176</v>
      </c>
      <c r="C5223" s="9" t="s">
        <v>66</v>
      </c>
      <c r="D5223" s="9" t="s">
        <v>67</v>
      </c>
      <c r="E5223" s="10" t="s">
        <v>1212</v>
      </c>
      <c r="F5223" s="9" t="s">
        <v>1213</v>
      </c>
      <c r="G5223" s="10" t="s">
        <v>86</v>
      </c>
      <c r="H5223" s="9" t="s">
        <v>22</v>
      </c>
      <c r="I5223" s="9" t="s">
        <v>12191</v>
      </c>
      <c r="J5223" s="10" t="str">
        <f>HYPERLINK("https://www.boe.es/gazeta/dias/1834/05/24/pdfs/GMD-1834-93.pdf#page=2","Abrir facsímil")</f>
        <v>Abrir facsímil</v>
      </c>
      <c r="K5223" s="10" t="s">
        <v>24</v>
      </c>
    </row>
    <row r="5224" spans="1:11" ht="54" customHeight="1">
      <c r="A5224" s="9" t="s">
        <v>12176</v>
      </c>
      <c r="B5224" s="9" t="s">
        <v>12176</v>
      </c>
      <c r="C5224" s="9" t="s">
        <v>66</v>
      </c>
      <c r="D5224" s="9" t="s">
        <v>67</v>
      </c>
      <c r="E5224" s="10" t="s">
        <v>919</v>
      </c>
      <c r="F5224" s="9" t="s">
        <v>920</v>
      </c>
      <c r="G5224" s="10" t="s">
        <v>86</v>
      </c>
      <c r="H5224" s="9" t="s">
        <v>22</v>
      </c>
      <c r="I5224" s="9" t="s">
        <v>12192</v>
      </c>
      <c r="J5224" s="10" t="str">
        <f>HYPERLINK("https://www.boe.es/gazeta/dias/1834/06/24/pdfs/GMD-1834-127.pdf#page=2","Abrir facsímil")</f>
        <v>Abrir facsímil</v>
      </c>
      <c r="K5224" s="10" t="s">
        <v>24</v>
      </c>
    </row>
    <row r="5225" spans="1:11" ht="54" customHeight="1">
      <c r="A5225" s="9" t="s">
        <v>12176</v>
      </c>
      <c r="B5225" s="9" t="s">
        <v>12176</v>
      </c>
      <c r="C5225" s="9" t="s">
        <v>17</v>
      </c>
      <c r="D5225" s="9" t="s">
        <v>18</v>
      </c>
      <c r="E5225" s="10" t="s">
        <v>1677</v>
      </c>
      <c r="F5225" s="9" t="s">
        <v>1678</v>
      </c>
      <c r="G5225" s="10" t="s">
        <v>86</v>
      </c>
      <c r="H5225" s="9" t="s">
        <v>22</v>
      </c>
      <c r="I5225" s="9" t="s">
        <v>12193</v>
      </c>
      <c r="J5225" s="10" t="str">
        <f>HYPERLINK("https://www.boe.es/gazeta/dias/1834/07/26/pdfs/GMD-1834-159.pdf#page=2","Abrir facsímil")</f>
        <v>Abrir facsímil</v>
      </c>
      <c r="K5225" s="10" t="s">
        <v>24</v>
      </c>
    </row>
    <row r="5226" spans="1:11" ht="54" customHeight="1">
      <c r="A5226" s="9" t="s">
        <v>12176</v>
      </c>
      <c r="B5226" s="9" t="s">
        <v>12176</v>
      </c>
      <c r="C5226" s="9" t="s">
        <v>46</v>
      </c>
      <c r="D5226" s="9" t="s">
        <v>101</v>
      </c>
      <c r="E5226" s="10" t="s">
        <v>251</v>
      </c>
      <c r="F5226" s="9" t="s">
        <v>252</v>
      </c>
      <c r="G5226" s="10" t="s">
        <v>86</v>
      </c>
      <c r="H5226" s="9" t="s">
        <v>22</v>
      </c>
      <c r="I5226" s="9" t="s">
        <v>12194</v>
      </c>
      <c r="J5226" s="10" t="str">
        <f>HYPERLINK("https://www.boe.es/gazeta/dias/1834/09/26/pdfs/GMD-C-1834-224.pdf#page=2","Abrir facsímil")</f>
        <v>Abrir facsímil</v>
      </c>
      <c r="K5226" s="10" t="s">
        <v>24</v>
      </c>
    </row>
    <row r="5227" spans="1:11" ht="54" customHeight="1">
      <c r="A5227" s="9" t="s">
        <v>12176</v>
      </c>
      <c r="B5227" s="9" t="s">
        <v>12176</v>
      </c>
      <c r="C5227" s="9" t="s">
        <v>17</v>
      </c>
      <c r="D5227" s="9" t="s">
        <v>18</v>
      </c>
      <c r="E5227" s="10" t="s">
        <v>280</v>
      </c>
      <c r="F5227" s="9" t="s">
        <v>281</v>
      </c>
      <c r="G5227" s="10" t="s">
        <v>75</v>
      </c>
      <c r="H5227" s="9" t="s">
        <v>22</v>
      </c>
      <c r="I5227" s="9" t="s">
        <v>12195</v>
      </c>
      <c r="J5227" s="10" t="str">
        <f>HYPERLINK("https://www.boe.es/gazeta/dias/1834/08/29/pdfs/GMD-C-1834-195.pdf#page=4","Abrir facsímil")</f>
        <v>Abrir facsímil</v>
      </c>
      <c r="K5227" s="10" t="s">
        <v>24</v>
      </c>
    </row>
    <row r="5228" spans="1:11" ht="54" customHeight="1">
      <c r="A5228" s="9" t="s">
        <v>12176</v>
      </c>
      <c r="B5228" s="9" t="s">
        <v>12176</v>
      </c>
      <c r="C5228" s="9" t="s">
        <v>46</v>
      </c>
      <c r="D5228" s="9" t="s">
        <v>18</v>
      </c>
      <c r="E5228" s="10" t="s">
        <v>283</v>
      </c>
      <c r="F5228" s="9" t="s">
        <v>2969</v>
      </c>
      <c r="G5228" s="10" t="s">
        <v>21</v>
      </c>
      <c r="H5228" s="9" t="s">
        <v>22</v>
      </c>
      <c r="I5228" s="9" t="s">
        <v>12196</v>
      </c>
      <c r="J5228" s="10" t="str">
        <f>HYPERLINK("https://www.boe.es/gazeta/dias/1834/11/29/pdfs/GMD-1834-288.pdf#page=3","Abrir facsímil")</f>
        <v>Abrir facsímil</v>
      </c>
      <c r="K5228" s="10" t="s">
        <v>24</v>
      </c>
    </row>
    <row r="5229" spans="1:11" ht="54" customHeight="1">
      <c r="A5229" s="9" t="s">
        <v>12197</v>
      </c>
      <c r="B5229" s="9" t="s">
        <v>12198</v>
      </c>
      <c r="C5229" s="9" t="s">
        <v>17</v>
      </c>
      <c r="D5229" s="9" t="s">
        <v>18</v>
      </c>
      <c r="E5229" s="10" t="s">
        <v>3036</v>
      </c>
      <c r="F5229" s="9" t="s">
        <v>3037</v>
      </c>
      <c r="G5229" s="10" t="s">
        <v>34</v>
      </c>
      <c r="H5229" s="9" t="s">
        <v>22</v>
      </c>
      <c r="I5229" s="9" t="s">
        <v>12199</v>
      </c>
      <c r="J5229" s="10" t="str">
        <f>HYPERLINK("https://www.boe.es/gazeta/dias/1834/11/18/pdfs/GMD-C-1834-277.pdf#page=1","Abrir facsímil")</f>
        <v>Abrir facsímil</v>
      </c>
      <c r="K5229" s="10" t="s">
        <v>24</v>
      </c>
    </row>
    <row r="5230" spans="1:11" ht="54" customHeight="1">
      <c r="A5230" s="9" t="s">
        <v>12200</v>
      </c>
      <c r="B5230" s="9" t="s">
        <v>12201</v>
      </c>
      <c r="C5230" s="9" t="s">
        <v>46</v>
      </c>
      <c r="D5230" s="9" t="s">
        <v>18</v>
      </c>
      <c r="E5230" s="10" t="s">
        <v>1641</v>
      </c>
      <c r="F5230" s="9" t="s">
        <v>1642</v>
      </c>
      <c r="G5230" s="10" t="s">
        <v>28</v>
      </c>
      <c r="H5230" s="9" t="s">
        <v>22</v>
      </c>
      <c r="I5230" s="9" t="s">
        <v>12202</v>
      </c>
      <c r="J5230" s="10" t="str">
        <f>HYPERLINK("https://www.boe.es/gazeta/dias/1834/09/28/pdfs/GMD-C-1834-226.pdf#page=5","Abrir facsímil")</f>
        <v>Abrir facsímil</v>
      </c>
      <c r="K5230" s="10" t="s">
        <v>24</v>
      </c>
    </row>
    <row r="5231" spans="1:11" ht="54" customHeight="1">
      <c r="A5231" s="9" t="s">
        <v>12203</v>
      </c>
      <c r="B5231" s="9" t="s">
        <v>12204</v>
      </c>
      <c r="C5231" s="9" t="s">
        <v>17</v>
      </c>
      <c r="D5231" s="9" t="s">
        <v>18</v>
      </c>
      <c r="E5231" s="10" t="s">
        <v>251</v>
      </c>
      <c r="F5231" s="9" t="s">
        <v>252</v>
      </c>
      <c r="G5231" s="10" t="s">
        <v>34</v>
      </c>
      <c r="H5231" s="9" t="s">
        <v>22</v>
      </c>
      <c r="I5231" s="9" t="s">
        <v>12205</v>
      </c>
      <c r="J5231" s="10" t="str">
        <f>HYPERLINK("https://www.boe.es/gazeta/dias/1834/09/26/pdfs/GMD-C-1834-224.pdf#page=1","Abrir facsímil")</f>
        <v>Abrir facsímil</v>
      </c>
      <c r="K5231" s="10" t="s">
        <v>24</v>
      </c>
    </row>
    <row r="5232" spans="1:11" ht="54" customHeight="1">
      <c r="A5232" s="9" t="s">
        <v>12206</v>
      </c>
      <c r="B5232" s="9" t="s">
        <v>12207</v>
      </c>
      <c r="C5232" s="9" t="s">
        <v>17</v>
      </c>
      <c r="D5232" s="9" t="s">
        <v>18</v>
      </c>
      <c r="E5232" s="10" t="s">
        <v>1692</v>
      </c>
      <c r="F5232" s="9" t="s">
        <v>1693</v>
      </c>
      <c r="G5232" s="10" t="s">
        <v>21</v>
      </c>
      <c r="H5232" s="9" t="s">
        <v>22</v>
      </c>
      <c r="I5232" s="9" t="s">
        <v>12208</v>
      </c>
      <c r="J5232" s="10" t="str">
        <f>HYPERLINK("https://www.boe.es/gazeta/dias/1834/07/29/pdfs/GMD-1834-162.pdf#page=3","Abrir facsímil")</f>
        <v>Abrir facsímil</v>
      </c>
      <c r="K5232" s="10" t="s">
        <v>24</v>
      </c>
    </row>
    <row r="5233" spans="1:11" ht="54" customHeight="1">
      <c r="A5233" s="9" t="s">
        <v>12209</v>
      </c>
      <c r="B5233" s="9" t="s">
        <v>12209</v>
      </c>
      <c r="C5233" s="9" t="s">
        <v>17</v>
      </c>
      <c r="D5233" s="9" t="s">
        <v>18</v>
      </c>
      <c r="E5233" s="10" t="s">
        <v>2142</v>
      </c>
      <c r="F5233" s="9" t="s">
        <v>2143</v>
      </c>
      <c r="G5233" s="10" t="s">
        <v>86</v>
      </c>
      <c r="H5233" s="9" t="s">
        <v>22</v>
      </c>
      <c r="I5233" s="9" t="s">
        <v>12210</v>
      </c>
      <c r="J5233" s="10" t="str">
        <f>HYPERLINK("https://www.boe.es/gazeta/dias/1834/12/27/pdfs/GMD-1834-317.pdf#page=2","Abrir facsímil")</f>
        <v>Abrir facsímil</v>
      </c>
      <c r="K5233" s="10" t="s">
        <v>24</v>
      </c>
    </row>
    <row r="5234" spans="1:11" ht="54" customHeight="1">
      <c r="A5234" s="9" t="s">
        <v>12211</v>
      </c>
      <c r="B5234" s="9" t="s">
        <v>12212</v>
      </c>
      <c r="C5234" s="9" t="s">
        <v>17</v>
      </c>
      <c r="D5234" s="9" t="s">
        <v>18</v>
      </c>
      <c r="E5234" s="10" t="s">
        <v>3306</v>
      </c>
      <c r="F5234" s="9" t="s">
        <v>3307</v>
      </c>
      <c r="G5234" s="10" t="s">
        <v>75</v>
      </c>
      <c r="H5234" s="9" t="s">
        <v>22</v>
      </c>
      <c r="I5234" s="9" t="s">
        <v>12213</v>
      </c>
      <c r="J5234" s="10" t="str">
        <f>HYPERLINK("https://www.boe.es/gazeta/dias/1834/05/07/pdfs/GMD-1834-76.pdf#page=4","Abrir facsímil")</f>
        <v>Abrir facsímil</v>
      </c>
      <c r="K5234" s="10" t="s">
        <v>24</v>
      </c>
    </row>
    <row r="5235" spans="1:11" ht="54" customHeight="1">
      <c r="A5235" s="9" t="s">
        <v>12211</v>
      </c>
      <c r="B5235" s="9" t="s">
        <v>12212</v>
      </c>
      <c r="C5235" s="9" t="s">
        <v>17</v>
      </c>
      <c r="D5235" s="9" t="s">
        <v>18</v>
      </c>
      <c r="E5235" s="10" t="s">
        <v>183</v>
      </c>
      <c r="F5235" s="9" t="s">
        <v>184</v>
      </c>
      <c r="G5235" s="10" t="s">
        <v>75</v>
      </c>
      <c r="H5235" s="9" t="s">
        <v>22</v>
      </c>
      <c r="I5235" s="9" t="s">
        <v>12214</v>
      </c>
      <c r="J5235" s="10" t="str">
        <f>HYPERLINK("https://www.boe.es/gazeta/dias/1834/03/18/pdfs/GMD-1834-34.pdf#page=4","Abrir facsímil")</f>
        <v>Abrir facsímil</v>
      </c>
      <c r="K5235" s="10" t="s">
        <v>24</v>
      </c>
    </row>
    <row r="5236" spans="1:11" ht="54" customHeight="1">
      <c r="A5236" s="9" t="s">
        <v>12215</v>
      </c>
      <c r="B5236" s="9" t="s">
        <v>12215</v>
      </c>
      <c r="C5236" s="9" t="s">
        <v>90</v>
      </c>
      <c r="D5236" s="9" t="s">
        <v>18</v>
      </c>
      <c r="E5236" s="10" t="s">
        <v>355</v>
      </c>
      <c r="F5236" s="9" t="s">
        <v>356</v>
      </c>
      <c r="G5236" s="10" t="s">
        <v>86</v>
      </c>
      <c r="H5236" s="9" t="s">
        <v>22</v>
      </c>
      <c r="I5236" s="9" t="s">
        <v>12216</v>
      </c>
      <c r="J5236" s="10" t="str">
        <f>HYPERLINK("https://www.boe.es/gazeta/dias/1834/07/04/pdfs/I00597-00598.pdf#page=2","Abrir facsímil")</f>
        <v>Abrir facsímil</v>
      </c>
      <c r="K5236" s="10" t="s">
        <v>24</v>
      </c>
    </row>
    <row r="5237" spans="1:11" ht="54" customHeight="1">
      <c r="A5237" s="9" t="s">
        <v>12215</v>
      </c>
      <c r="B5237" s="9" t="s">
        <v>12215</v>
      </c>
      <c r="C5237" s="9" t="s">
        <v>90</v>
      </c>
      <c r="D5237" s="9" t="s">
        <v>18</v>
      </c>
      <c r="E5237" s="10" t="s">
        <v>355</v>
      </c>
      <c r="F5237" s="9" t="s">
        <v>356</v>
      </c>
      <c r="G5237" s="10" t="s">
        <v>75</v>
      </c>
      <c r="H5237" s="9" t="s">
        <v>22</v>
      </c>
      <c r="I5237" s="9" t="s">
        <v>12216</v>
      </c>
      <c r="J5237" s="10" t="str">
        <f>HYPERLINK("https://www.boe.es/gazeta/dias/1834/07/04/pdfs/GMD-1834-137.pdf#page=4","Abrir facsímil")</f>
        <v>Abrir facsímil</v>
      </c>
      <c r="K5237" s="10" t="s">
        <v>24</v>
      </c>
    </row>
    <row r="5238" spans="1:11" ht="54" customHeight="1">
      <c r="A5238" s="9" t="s">
        <v>12217</v>
      </c>
      <c r="B5238" s="9" t="s">
        <v>12218</v>
      </c>
      <c r="C5238" s="9" t="s">
        <v>90</v>
      </c>
      <c r="D5238" s="9" t="s">
        <v>18</v>
      </c>
      <c r="E5238" s="10" t="s">
        <v>56</v>
      </c>
      <c r="F5238" s="9" t="s">
        <v>57</v>
      </c>
      <c r="G5238" s="10" t="s">
        <v>75</v>
      </c>
      <c r="H5238" s="9" t="s">
        <v>22</v>
      </c>
      <c r="I5238" s="9" t="s">
        <v>12219</v>
      </c>
      <c r="J5238" s="10" t="str">
        <f>HYPERLINK("https://www.boe.es/gazeta/dias/1834/07/09/pdfs/GMD-1834-142.pdf#page=4","Abrir facsímil")</f>
        <v>Abrir facsímil</v>
      </c>
      <c r="K5238" s="10" t="s">
        <v>24</v>
      </c>
    </row>
    <row r="5239" spans="1:11" ht="54" customHeight="1">
      <c r="A5239" s="9" t="s">
        <v>12220</v>
      </c>
      <c r="B5239" s="9" t="s">
        <v>12220</v>
      </c>
      <c r="C5239" s="9" t="s">
        <v>17</v>
      </c>
      <c r="D5239" s="9" t="s">
        <v>18</v>
      </c>
      <c r="E5239" s="10" t="s">
        <v>1981</v>
      </c>
      <c r="F5239" s="9" t="s">
        <v>1982</v>
      </c>
      <c r="G5239" s="10" t="s">
        <v>86</v>
      </c>
      <c r="H5239" s="9" t="s">
        <v>22</v>
      </c>
      <c r="I5239" s="9" t="s">
        <v>12221</v>
      </c>
      <c r="J5239" s="10" t="str">
        <f>HYPERLINK("https://www.boe.es/gazeta/dias/1834/12/13/pdfs/GMD-1834-302.pdf#page=2","Abrir facsímil")</f>
        <v>Abrir facsímil</v>
      </c>
      <c r="K5239" s="10" t="s">
        <v>24</v>
      </c>
    </row>
    <row r="5240" spans="1:11" ht="54" customHeight="1">
      <c r="A5240" s="9" t="s">
        <v>12222</v>
      </c>
      <c r="B5240" s="9" t="s">
        <v>12222</v>
      </c>
      <c r="C5240" s="9" t="s">
        <v>66</v>
      </c>
      <c r="D5240" s="9" t="s">
        <v>67</v>
      </c>
      <c r="E5240" s="10" t="s">
        <v>785</v>
      </c>
      <c r="F5240" s="9" t="s">
        <v>786</v>
      </c>
      <c r="G5240" s="10" t="s">
        <v>86</v>
      </c>
      <c r="H5240" s="9" t="s">
        <v>22</v>
      </c>
      <c r="I5240" s="9" t="s">
        <v>12223</v>
      </c>
      <c r="J5240" s="10" t="str">
        <f>HYPERLINK("https://www.boe.es/gazeta/dias/1834/02/11/pdfs/GMD-1834-19.pdf#page=2","Abrir facsímil")</f>
        <v>Abrir facsímil</v>
      </c>
      <c r="K5240" s="10" t="s">
        <v>24</v>
      </c>
    </row>
    <row r="5241" spans="1:11" ht="54" customHeight="1">
      <c r="A5241" s="9" t="s">
        <v>12222</v>
      </c>
      <c r="B5241" s="9" t="s">
        <v>12222</v>
      </c>
      <c r="C5241" s="9" t="s">
        <v>17</v>
      </c>
      <c r="D5241" s="9" t="s">
        <v>18</v>
      </c>
      <c r="E5241" s="10" t="s">
        <v>785</v>
      </c>
      <c r="F5241" s="9" t="s">
        <v>786</v>
      </c>
      <c r="G5241" s="10" t="s">
        <v>21</v>
      </c>
      <c r="H5241" s="9" t="s">
        <v>22</v>
      </c>
      <c r="I5241" s="9" t="s">
        <v>12224</v>
      </c>
      <c r="J5241" s="10" t="str">
        <f>HYPERLINK("https://www.boe.es/gazeta/dias/1834/02/11/pdfs/GMD-1834-19.pdf#page=3","Abrir facsímil")</f>
        <v>Abrir facsímil</v>
      </c>
      <c r="K5241" s="10" t="s">
        <v>24</v>
      </c>
    </row>
    <row r="5242" spans="1:11" ht="54" customHeight="1">
      <c r="A5242" s="9" t="s">
        <v>12225</v>
      </c>
      <c r="B5242" s="9" t="s">
        <v>12226</v>
      </c>
      <c r="C5242" s="9" t="s">
        <v>46</v>
      </c>
      <c r="D5242" s="9" t="s">
        <v>55</v>
      </c>
      <c r="E5242" s="10" t="s">
        <v>222</v>
      </c>
      <c r="F5242" s="9" t="s">
        <v>223</v>
      </c>
      <c r="G5242" s="10" t="s">
        <v>86</v>
      </c>
      <c r="H5242" s="9" t="s">
        <v>22</v>
      </c>
      <c r="I5242" s="9" t="s">
        <v>12227</v>
      </c>
      <c r="J5242" s="10" t="str">
        <f>HYPERLINK("https://www.boe.es/gazeta/dias/1834/09/14/pdfs/GMD-1834-212.pdf#page=2","Abrir facsímil")</f>
        <v>Abrir facsímil</v>
      </c>
      <c r="K5242" s="10" t="s">
        <v>24</v>
      </c>
    </row>
    <row r="5243" spans="1:11" ht="54" customHeight="1">
      <c r="A5243" s="9" t="s">
        <v>12228</v>
      </c>
      <c r="B5243" s="9" t="s">
        <v>12228</v>
      </c>
      <c r="C5243" s="9" t="s">
        <v>90</v>
      </c>
      <c r="D5243" s="9" t="s">
        <v>18</v>
      </c>
      <c r="E5243" s="10" t="s">
        <v>1119</v>
      </c>
      <c r="F5243" s="9" t="s">
        <v>1120</v>
      </c>
      <c r="G5243" s="10" t="s">
        <v>86</v>
      </c>
      <c r="H5243" s="9" t="s">
        <v>22</v>
      </c>
      <c r="I5243" s="9" t="s">
        <v>12229</v>
      </c>
      <c r="J5243" s="10" t="str">
        <f>HYPERLINK("https://www.boe.es/gazeta/dias/1834/07/17/pdfs/GMD-1834-150.pdf#page=2","Abrir facsímil")</f>
        <v>Abrir facsímil</v>
      </c>
      <c r="K5243" s="10" t="s">
        <v>24</v>
      </c>
    </row>
    <row r="5244" spans="1:11" ht="54" customHeight="1">
      <c r="A5244" s="9" t="s">
        <v>12230</v>
      </c>
      <c r="B5244" s="9" t="s">
        <v>12231</v>
      </c>
      <c r="C5244" s="9" t="s">
        <v>122</v>
      </c>
      <c r="D5244" s="9" t="s">
        <v>18</v>
      </c>
      <c r="E5244" s="10" t="s">
        <v>309</v>
      </c>
      <c r="F5244" s="9" t="s">
        <v>310</v>
      </c>
      <c r="G5244" s="10" t="s">
        <v>75</v>
      </c>
      <c r="H5244" s="9" t="s">
        <v>35</v>
      </c>
      <c r="I5244" s="9" t="s">
        <v>12232</v>
      </c>
      <c r="J5244" s="10" t="str">
        <f>HYPERLINK("https://www.boe.es/gazeta/dias/1834/05/30/pdfs/GMD-1834-99.pdf#page=4","Abrir facsímil")</f>
        <v>Abrir facsímil</v>
      </c>
      <c r="K5244" s="10" t="s">
        <v>37</v>
      </c>
    </row>
    <row r="5245" spans="1:11" ht="54" customHeight="1">
      <c r="A5245" s="9" t="s">
        <v>12233</v>
      </c>
      <c r="B5245" s="9" t="s">
        <v>12233</v>
      </c>
      <c r="C5245" s="9" t="s">
        <v>17</v>
      </c>
      <c r="D5245" s="9" t="s">
        <v>40</v>
      </c>
      <c r="E5245" s="10" t="s">
        <v>217</v>
      </c>
      <c r="F5245" s="9" t="s">
        <v>218</v>
      </c>
      <c r="G5245" s="10" t="s">
        <v>75</v>
      </c>
      <c r="H5245" s="9" t="s">
        <v>22</v>
      </c>
      <c r="I5245" s="9" t="s">
        <v>12234</v>
      </c>
      <c r="J5245" s="10" t="str">
        <f>HYPERLINK("https://www.boe.es/gazeta/dias/1834/04/20/pdfs/GMD-1834-59.pdf#page=4","Abrir facsímil")</f>
        <v>Abrir facsímil</v>
      </c>
      <c r="K5245" s="10" t="s">
        <v>24</v>
      </c>
    </row>
    <row r="5246" spans="1:11" ht="54" customHeight="1">
      <c r="A5246" s="9" t="s">
        <v>12235</v>
      </c>
      <c r="B5246" s="9" t="s">
        <v>12236</v>
      </c>
      <c r="C5246" s="9" t="s">
        <v>66</v>
      </c>
      <c r="D5246" s="9" t="s">
        <v>67</v>
      </c>
      <c r="E5246" s="10" t="s">
        <v>753</v>
      </c>
      <c r="F5246" s="9" t="s">
        <v>754</v>
      </c>
      <c r="G5246" s="10" t="s">
        <v>28</v>
      </c>
      <c r="H5246" s="9" t="s">
        <v>35</v>
      </c>
      <c r="I5246" s="9" t="s">
        <v>12237</v>
      </c>
      <c r="J5246" s="10" t="str">
        <f>HYPERLINK("https://www.boe.es/gazeta/dias/1834/04/21/pdfs/GMD-1834-60.pdf#page=5","Abrir facsímil")</f>
        <v>Abrir facsímil</v>
      </c>
      <c r="K5246" s="10" t="s">
        <v>37</v>
      </c>
    </row>
    <row r="5247" spans="1:11" ht="54" customHeight="1">
      <c r="A5247" s="9" t="s">
        <v>12238</v>
      </c>
      <c r="B5247" s="9" t="s">
        <v>12239</v>
      </c>
      <c r="C5247" s="9" t="s">
        <v>90</v>
      </c>
      <c r="D5247" s="9" t="s">
        <v>18</v>
      </c>
      <c r="E5247" s="10" t="s">
        <v>2142</v>
      </c>
      <c r="F5247" s="9" t="s">
        <v>2316</v>
      </c>
      <c r="G5247" s="10" t="s">
        <v>34</v>
      </c>
      <c r="H5247" s="9" t="s">
        <v>35</v>
      </c>
      <c r="I5247" s="9" t="s">
        <v>12240</v>
      </c>
      <c r="J5247" s="10" t="str">
        <f>HYPERLINK("https://www.boe.es/gazeta/dias/1834/12/27/pdfs/GMD-C-1834-317.pdf#page=1","Abrir facsímil")</f>
        <v>Abrir facsímil</v>
      </c>
      <c r="K5247" s="10" t="s">
        <v>37</v>
      </c>
    </row>
    <row r="5248" spans="1:11" ht="54" customHeight="1">
      <c r="A5248" s="9" t="s">
        <v>12241</v>
      </c>
      <c r="B5248" s="9" t="s">
        <v>12242</v>
      </c>
      <c r="C5248" s="9" t="s">
        <v>17</v>
      </c>
      <c r="D5248" s="9" t="s">
        <v>18</v>
      </c>
      <c r="E5248" s="10" t="s">
        <v>299</v>
      </c>
      <c r="F5248" s="9" t="s">
        <v>300</v>
      </c>
      <c r="G5248" s="10" t="s">
        <v>34</v>
      </c>
      <c r="H5248" s="9" t="s">
        <v>22</v>
      </c>
      <c r="I5248" s="9" t="s">
        <v>12243</v>
      </c>
      <c r="J5248" s="10" t="str">
        <f>HYPERLINK("https://www.boe.es/gazeta/dias/1834/12/12/pdfs/GMD-1834-301.pdf#page=1","Abrir facsímil")</f>
        <v>Abrir facsímil</v>
      </c>
      <c r="K5248" s="10" t="s">
        <v>24</v>
      </c>
    </row>
    <row r="5249" spans="1:11" ht="54" customHeight="1">
      <c r="A5249" s="9" t="s">
        <v>12244</v>
      </c>
      <c r="B5249" s="9" t="s">
        <v>12245</v>
      </c>
      <c r="C5249" s="9" t="s">
        <v>66</v>
      </c>
      <c r="D5249" s="9" t="s">
        <v>67</v>
      </c>
      <c r="E5249" s="10" t="s">
        <v>753</v>
      </c>
      <c r="F5249" s="9" t="s">
        <v>754</v>
      </c>
      <c r="G5249" s="10" t="s">
        <v>28</v>
      </c>
      <c r="H5249" s="9" t="s">
        <v>22</v>
      </c>
      <c r="I5249" s="9" t="s">
        <v>12246</v>
      </c>
      <c r="J5249" s="10" t="str">
        <f>HYPERLINK("https://www.boe.es/gazeta/dias/1834/04/21/pdfs/GMD-1834-60.pdf#page=5","Abrir facsímil")</f>
        <v>Abrir facsímil</v>
      </c>
      <c r="K5249" s="10" t="s">
        <v>24</v>
      </c>
    </row>
    <row r="5250" spans="1:11" ht="54" customHeight="1">
      <c r="A5250" s="9" t="s">
        <v>12247</v>
      </c>
      <c r="B5250" s="9" t="s">
        <v>12248</v>
      </c>
      <c r="C5250" s="9" t="s">
        <v>90</v>
      </c>
      <c r="D5250" s="9" t="s">
        <v>18</v>
      </c>
      <c r="E5250" s="10" t="s">
        <v>2142</v>
      </c>
      <c r="F5250" s="9" t="s">
        <v>2316</v>
      </c>
      <c r="G5250" s="10" t="s">
        <v>34</v>
      </c>
      <c r="H5250" s="9" t="s">
        <v>22</v>
      </c>
      <c r="I5250" s="9" t="s">
        <v>12249</v>
      </c>
      <c r="J5250" s="10" t="str">
        <f>HYPERLINK("https://www.boe.es/gazeta/dias/1834/12/27/pdfs/GMD-C-1834-317.pdf#page=1","Abrir facsímil")</f>
        <v>Abrir facsímil</v>
      </c>
      <c r="K5250" s="10" t="s">
        <v>24</v>
      </c>
    </row>
    <row r="5251" spans="1:11" ht="54" customHeight="1">
      <c r="A5251" s="9" t="s">
        <v>12250</v>
      </c>
      <c r="B5251" s="9" t="s">
        <v>12251</v>
      </c>
      <c r="C5251" s="9" t="s">
        <v>122</v>
      </c>
      <c r="D5251" s="9" t="s">
        <v>18</v>
      </c>
      <c r="E5251" s="10" t="s">
        <v>1850</v>
      </c>
      <c r="F5251" s="9" t="s">
        <v>1851</v>
      </c>
      <c r="G5251" s="10" t="s">
        <v>176</v>
      </c>
      <c r="H5251" s="9" t="s">
        <v>22</v>
      </c>
      <c r="I5251" s="9" t="s">
        <v>12252</v>
      </c>
      <c r="J5251" s="10" t="str">
        <f>HYPERLINK("https://www.boe.es/gazeta/dias/1834/02/18/pdfs/GMD-1834-22.pdf#page=6","Abrir facsímil")</f>
        <v>Abrir facsímil</v>
      </c>
      <c r="K5251" s="10" t="s">
        <v>24</v>
      </c>
    </row>
    <row r="5252" spans="1:11" ht="54" customHeight="1">
      <c r="A5252" s="9" t="s">
        <v>12253</v>
      </c>
      <c r="B5252" s="9" t="s">
        <v>12254</v>
      </c>
      <c r="C5252" s="9" t="s">
        <v>17</v>
      </c>
      <c r="D5252" s="9" t="s">
        <v>18</v>
      </c>
      <c r="E5252" s="10" t="s">
        <v>343</v>
      </c>
      <c r="F5252" s="9" t="s">
        <v>344</v>
      </c>
      <c r="G5252" s="10" t="s">
        <v>75</v>
      </c>
      <c r="H5252" s="9" t="s">
        <v>22</v>
      </c>
      <c r="I5252" s="9" t="s">
        <v>12255</v>
      </c>
      <c r="J5252" s="10" t="str">
        <f>HYPERLINK("https://www.boe.es/gazeta/dias/1834/01/14/pdfs/GMD-1834-7.pdf#page=4","Abrir facsímil")</f>
        <v>Abrir facsímil</v>
      </c>
      <c r="K5252" s="10" t="s">
        <v>24</v>
      </c>
    </row>
    <row r="5253" spans="1:11" ht="54" customHeight="1">
      <c r="A5253" s="9" t="s">
        <v>12256</v>
      </c>
      <c r="B5253" s="9" t="s">
        <v>12257</v>
      </c>
      <c r="C5253" s="9" t="s">
        <v>17</v>
      </c>
      <c r="D5253" s="9" t="s">
        <v>40</v>
      </c>
      <c r="E5253" s="10" t="s">
        <v>1677</v>
      </c>
      <c r="F5253" s="9" t="s">
        <v>1678</v>
      </c>
      <c r="G5253" s="10" t="s">
        <v>75</v>
      </c>
      <c r="H5253" s="9" t="s">
        <v>22</v>
      </c>
      <c r="I5253" s="9" t="s">
        <v>12258</v>
      </c>
      <c r="J5253" s="10" t="str">
        <f>HYPERLINK("https://www.boe.es/gazeta/dias/1834/07/26/pdfs/GMD-1834-159.pdf#page=4","Abrir facsímil")</f>
        <v>Abrir facsímil</v>
      </c>
      <c r="K5253" s="10" t="s">
        <v>24</v>
      </c>
    </row>
    <row r="5254" spans="1:11" ht="54" customHeight="1">
      <c r="A5254" s="9" t="s">
        <v>12259</v>
      </c>
      <c r="B5254" s="9" t="s">
        <v>12260</v>
      </c>
      <c r="C5254" s="9" t="s">
        <v>46</v>
      </c>
      <c r="D5254" s="9" t="s">
        <v>101</v>
      </c>
      <c r="E5254" s="10" t="s">
        <v>658</v>
      </c>
      <c r="F5254" s="9" t="s">
        <v>659</v>
      </c>
      <c r="G5254" s="10" t="s">
        <v>34</v>
      </c>
      <c r="H5254" s="9" t="s">
        <v>22</v>
      </c>
      <c r="I5254" s="9" t="s">
        <v>12261</v>
      </c>
      <c r="J5254" s="10" t="str">
        <f>HYPERLINK("https://www.boe.es/gazeta/dias/1834/05/26/pdfs/GMD-1834-95.pdf#page=1","Abrir facsímil")</f>
        <v>Abrir facsímil</v>
      </c>
      <c r="K5254" s="10" t="s">
        <v>24</v>
      </c>
    </row>
    <row r="5255" spans="1:11" ht="54" customHeight="1">
      <c r="A5255" s="9" t="s">
        <v>12262</v>
      </c>
      <c r="B5255" s="9" t="s">
        <v>12262</v>
      </c>
      <c r="C5255" s="9" t="s">
        <v>17</v>
      </c>
      <c r="D5255" s="9" t="s">
        <v>18</v>
      </c>
      <c r="E5255" s="10" t="s">
        <v>364</v>
      </c>
      <c r="F5255" s="9" t="s">
        <v>365</v>
      </c>
      <c r="G5255" s="10" t="s">
        <v>560</v>
      </c>
      <c r="H5255" s="9" t="s">
        <v>22</v>
      </c>
      <c r="I5255" s="9" t="s">
        <v>12263</v>
      </c>
      <c r="J5255" s="10" t="str">
        <f>HYPERLINK("https://www.boe.es/gazeta/dias/1834/09/06/pdfs/GMD-C-1834-204.pdf#page=7","Abrir facsímil")</f>
        <v>Abrir facsímil</v>
      </c>
      <c r="K5255" s="10" t="s">
        <v>24</v>
      </c>
    </row>
    <row r="5256" spans="1:11" ht="54" customHeight="1">
      <c r="A5256" s="9" t="s">
        <v>12264</v>
      </c>
      <c r="B5256" s="9" t="s">
        <v>12264</v>
      </c>
      <c r="C5256" s="9" t="s">
        <v>122</v>
      </c>
      <c r="D5256" s="9" t="s">
        <v>18</v>
      </c>
      <c r="E5256" s="10" t="s">
        <v>808</v>
      </c>
      <c r="F5256" s="9" t="s">
        <v>809</v>
      </c>
      <c r="G5256" s="10" t="s">
        <v>75</v>
      </c>
      <c r="H5256" s="9" t="s">
        <v>22</v>
      </c>
      <c r="I5256" s="9" t="s">
        <v>12265</v>
      </c>
      <c r="J5256" s="10" t="str">
        <f>HYPERLINK("https://www.boe.es/gazeta/dias/1834/10/11/pdfs/GMD-1834-239.pdf#page=4","Abrir facsímil")</f>
        <v>Abrir facsímil</v>
      </c>
      <c r="K5256" s="10" t="s">
        <v>24</v>
      </c>
    </row>
    <row r="5257" spans="1:11" ht="54" customHeight="1">
      <c r="A5257" s="9" t="s">
        <v>12266</v>
      </c>
      <c r="B5257" s="9" t="s">
        <v>12267</v>
      </c>
      <c r="C5257" s="9" t="s">
        <v>17</v>
      </c>
      <c r="D5257" s="9" t="s">
        <v>18</v>
      </c>
      <c r="E5257" s="10" t="s">
        <v>454</v>
      </c>
      <c r="F5257" s="9" t="s">
        <v>455</v>
      </c>
      <c r="G5257" s="10" t="s">
        <v>34</v>
      </c>
      <c r="H5257" s="9" t="s">
        <v>22</v>
      </c>
      <c r="I5257" s="9" t="s">
        <v>12268</v>
      </c>
      <c r="J5257" s="10" t="str">
        <f>HYPERLINK("https://www.boe.es/gazeta/dias/1834/10/16/pdfs/GMD-C-1834-244.pdf#page=1","Abrir facsímil")</f>
        <v>Abrir facsímil</v>
      </c>
      <c r="K5257" s="10" t="s">
        <v>24</v>
      </c>
    </row>
    <row r="5258" spans="1:11" ht="54" customHeight="1">
      <c r="A5258" s="9" t="s">
        <v>12269</v>
      </c>
      <c r="B5258" s="9" t="s">
        <v>12270</v>
      </c>
      <c r="C5258" s="9" t="s">
        <v>17</v>
      </c>
      <c r="D5258" s="9" t="s">
        <v>18</v>
      </c>
      <c r="E5258" s="10" t="s">
        <v>976</v>
      </c>
      <c r="F5258" s="9" t="s">
        <v>977</v>
      </c>
      <c r="G5258" s="10" t="s">
        <v>86</v>
      </c>
      <c r="H5258" s="9" t="s">
        <v>22</v>
      </c>
      <c r="I5258" s="9" t="s">
        <v>12271</v>
      </c>
      <c r="J5258" s="10" t="str">
        <f>HYPERLINK("https://www.boe.es/gazeta/dias/1834/04/02/pdfs/GMD-1834-41.pdf#page=2","Abrir facsímil")</f>
        <v>Abrir facsímil</v>
      </c>
      <c r="K5258" s="10" t="s">
        <v>24</v>
      </c>
    </row>
    <row r="5259" spans="1:11" ht="54" customHeight="1">
      <c r="A5259" s="9" t="s">
        <v>12272</v>
      </c>
      <c r="B5259" s="9" t="s">
        <v>12273</v>
      </c>
      <c r="C5259" s="9" t="s">
        <v>17</v>
      </c>
      <c r="D5259" s="9" t="s">
        <v>40</v>
      </c>
      <c r="E5259" s="10" t="s">
        <v>2459</v>
      </c>
      <c r="F5259" s="9" t="s">
        <v>2460</v>
      </c>
      <c r="G5259" s="10" t="s">
        <v>75</v>
      </c>
      <c r="H5259" s="9" t="s">
        <v>35</v>
      </c>
      <c r="I5259" s="9" t="s">
        <v>12274</v>
      </c>
      <c r="J5259" s="10" t="str">
        <f>HYPERLINK("https://www.boe.es/gazeta/dias/1834/04/04/pdfs/GMD-1834-43.pdf#page=4","Abrir facsímil")</f>
        <v>Abrir facsímil</v>
      </c>
      <c r="K5259" s="10" t="s">
        <v>37</v>
      </c>
    </row>
    <row r="5260" spans="1:11" ht="54" customHeight="1">
      <c r="A5260" s="9" t="s">
        <v>12275</v>
      </c>
      <c r="B5260" s="9" t="s">
        <v>12276</v>
      </c>
      <c r="C5260" s="9" t="s">
        <v>46</v>
      </c>
      <c r="D5260" s="9" t="s">
        <v>101</v>
      </c>
      <c r="E5260" s="10" t="s">
        <v>5574</v>
      </c>
      <c r="F5260" s="9" t="s">
        <v>5575</v>
      </c>
      <c r="G5260" s="10" t="s">
        <v>21</v>
      </c>
      <c r="H5260" s="9" t="s">
        <v>22</v>
      </c>
      <c r="I5260" s="9" t="s">
        <v>12277</v>
      </c>
      <c r="J5260" s="10" t="str">
        <f>HYPERLINK("https://www.boe.es/gazeta/dias/1834/06/16/pdfs/GMD-1834-119.pdf#page=3","Abrir facsímil")</f>
        <v>Abrir facsímil</v>
      </c>
      <c r="K5260" s="10" t="s">
        <v>24</v>
      </c>
    </row>
    <row r="5261" spans="1:11" ht="54" customHeight="1">
      <c r="A5261" s="9" t="s">
        <v>12278</v>
      </c>
      <c r="B5261" s="9" t="s">
        <v>12279</v>
      </c>
      <c r="C5261" s="9" t="s">
        <v>90</v>
      </c>
      <c r="D5261" s="9" t="s">
        <v>18</v>
      </c>
      <c r="E5261" s="10" t="s">
        <v>468</v>
      </c>
      <c r="F5261" s="9" t="s">
        <v>469</v>
      </c>
      <c r="G5261" s="10" t="s">
        <v>34</v>
      </c>
      <c r="H5261" s="9" t="s">
        <v>35</v>
      </c>
      <c r="I5261" s="9" t="s">
        <v>12280</v>
      </c>
      <c r="J5261" s="10" t="str">
        <f>HYPERLINK("https://www.boe.es/gazeta/dias/1834/12/28/pdfs/GMD-C-1834-318.pdf#page=1","Abrir facsímil")</f>
        <v>Abrir facsímil</v>
      </c>
      <c r="K5261" s="10" t="s">
        <v>37</v>
      </c>
    </row>
    <row r="5262" spans="1:11" ht="54" customHeight="1">
      <c r="A5262" s="9" t="s">
        <v>12281</v>
      </c>
      <c r="B5262" s="9" t="s">
        <v>12282</v>
      </c>
      <c r="C5262" s="9" t="s">
        <v>90</v>
      </c>
      <c r="D5262" s="9" t="s">
        <v>18</v>
      </c>
      <c r="E5262" s="10" t="s">
        <v>468</v>
      </c>
      <c r="F5262" s="9" t="s">
        <v>469</v>
      </c>
      <c r="G5262" s="10" t="s">
        <v>34</v>
      </c>
      <c r="H5262" s="9" t="s">
        <v>22</v>
      </c>
      <c r="I5262" s="9" t="s">
        <v>12283</v>
      </c>
      <c r="J5262" s="10" t="str">
        <f>HYPERLINK("https://www.boe.es/gazeta/dias/1834/12/28/pdfs/GMD-C-1834-318.pdf#page=1","Abrir facsímil")</f>
        <v>Abrir facsímil</v>
      </c>
      <c r="K5262" s="10" t="s">
        <v>24</v>
      </c>
    </row>
    <row r="5263" spans="1:11" ht="54" customHeight="1">
      <c r="A5263" s="9" t="s">
        <v>12284</v>
      </c>
      <c r="B5263" s="9" t="s">
        <v>12284</v>
      </c>
      <c r="C5263" s="9" t="s">
        <v>17</v>
      </c>
      <c r="D5263" s="9" t="s">
        <v>55</v>
      </c>
      <c r="E5263" s="10" t="s">
        <v>96</v>
      </c>
      <c r="F5263" s="9" t="s">
        <v>1725</v>
      </c>
      <c r="G5263" s="10" t="s">
        <v>34</v>
      </c>
      <c r="H5263" s="9" t="s">
        <v>22</v>
      </c>
      <c r="I5263" s="9" t="s">
        <v>12285</v>
      </c>
      <c r="J5263" s="10" t="str">
        <f>HYPERLINK("https://www.boe.es/gazeta/dias/1834/11/11/pdfs/GMD-1834-270.pdf#page=1","Abrir facsímil")</f>
        <v>Abrir facsímil</v>
      </c>
      <c r="K5263" s="10" t="s">
        <v>24</v>
      </c>
    </row>
    <row r="5264" spans="1:11" ht="54" customHeight="1">
      <c r="A5264" s="9" t="s">
        <v>12284</v>
      </c>
      <c r="B5264" s="9" t="s">
        <v>12284</v>
      </c>
      <c r="C5264" s="9" t="s">
        <v>17</v>
      </c>
      <c r="D5264" s="9" t="s">
        <v>18</v>
      </c>
      <c r="E5264" s="10" t="s">
        <v>133</v>
      </c>
      <c r="F5264" s="9" t="s">
        <v>134</v>
      </c>
      <c r="G5264" s="10" t="s">
        <v>34</v>
      </c>
      <c r="H5264" s="9" t="s">
        <v>22</v>
      </c>
      <c r="I5264" s="9" t="s">
        <v>12286</v>
      </c>
      <c r="J5264" s="10" t="str">
        <f>HYPERLINK("https://www.boe.es/gazeta/dias/1834/06/18/pdfs/GMD-1834-121.pdf#page=1","Abrir facsímil")</f>
        <v>Abrir facsímil</v>
      </c>
      <c r="K5264" s="10" t="s">
        <v>24</v>
      </c>
    </row>
    <row r="5265" spans="1:11" ht="54" customHeight="1">
      <c r="A5265" s="9" t="s">
        <v>12287</v>
      </c>
      <c r="B5265" s="9" t="s">
        <v>12288</v>
      </c>
      <c r="C5265" s="9" t="s">
        <v>17</v>
      </c>
      <c r="D5265" s="9" t="s">
        <v>55</v>
      </c>
      <c r="E5265" s="10" t="s">
        <v>96</v>
      </c>
      <c r="F5265" s="9" t="s">
        <v>1725</v>
      </c>
      <c r="G5265" s="10" t="s">
        <v>34</v>
      </c>
      <c r="H5265" s="9" t="s">
        <v>35</v>
      </c>
      <c r="I5265" s="9" t="s">
        <v>12289</v>
      </c>
      <c r="J5265" s="10" t="str">
        <f>HYPERLINK("https://www.boe.es/gazeta/dias/1834/11/11/pdfs/GMD-1834-270.pdf#page=1","Abrir facsímil")</f>
        <v>Abrir facsímil</v>
      </c>
      <c r="K5265" s="10" t="s">
        <v>37</v>
      </c>
    </row>
    <row r="5266" spans="1:11" ht="54" customHeight="1">
      <c r="A5266" s="9" t="s">
        <v>12290</v>
      </c>
      <c r="B5266" s="9" t="s">
        <v>12291</v>
      </c>
      <c r="C5266" s="9" t="s">
        <v>46</v>
      </c>
      <c r="D5266" s="9" t="s">
        <v>101</v>
      </c>
      <c r="E5266" s="10" t="s">
        <v>1186</v>
      </c>
      <c r="F5266" s="9" t="s">
        <v>1187</v>
      </c>
      <c r="G5266" s="10" t="s">
        <v>21</v>
      </c>
      <c r="H5266" s="9" t="s">
        <v>22</v>
      </c>
      <c r="I5266" s="9" t="s">
        <v>12292</v>
      </c>
      <c r="J5266" s="10" t="str">
        <f>HYPERLINK("https://www.boe.es/gazeta/dias/1834/08/14/pdfs/GMD-1834-179.pdf#page=3","Abrir facsímil")</f>
        <v>Abrir facsímil</v>
      </c>
      <c r="K5266" s="10" t="s">
        <v>24</v>
      </c>
    </row>
    <row r="5267" spans="1:11" ht="54" customHeight="1">
      <c r="A5267" s="9" t="s">
        <v>12293</v>
      </c>
      <c r="B5267" s="9" t="s">
        <v>12294</v>
      </c>
      <c r="C5267" s="9" t="s">
        <v>46</v>
      </c>
      <c r="D5267" s="9" t="s">
        <v>101</v>
      </c>
      <c r="E5267" s="10" t="s">
        <v>1135</v>
      </c>
      <c r="F5267" s="9" t="s">
        <v>1566</v>
      </c>
      <c r="G5267" s="10" t="s">
        <v>86</v>
      </c>
      <c r="H5267" s="9" t="s">
        <v>35</v>
      </c>
      <c r="I5267" s="9" t="s">
        <v>12295</v>
      </c>
      <c r="J5267" s="10" t="str">
        <f>HYPERLINK("https://www.boe.es/gazeta/dias/1834/08/26/pdfs/GMD-C-1834-192.pdf#page=2","Abrir facsímil")</f>
        <v>Abrir facsímil</v>
      </c>
      <c r="K5267" s="10" t="s">
        <v>37</v>
      </c>
    </row>
    <row r="5268" spans="1:11" ht="54" customHeight="1">
      <c r="A5268" s="9" t="s">
        <v>12296</v>
      </c>
      <c r="B5268" s="9" t="s">
        <v>12296</v>
      </c>
      <c r="C5268" s="9" t="s">
        <v>66</v>
      </c>
      <c r="D5268" s="9" t="s">
        <v>67</v>
      </c>
      <c r="E5268" s="10" t="s">
        <v>3025</v>
      </c>
      <c r="F5268" s="9" t="s">
        <v>3026</v>
      </c>
      <c r="G5268" s="10" t="s">
        <v>28</v>
      </c>
      <c r="H5268" s="9" t="s">
        <v>22</v>
      </c>
      <c r="I5268" s="9" t="s">
        <v>12297</v>
      </c>
      <c r="J5268" s="10" t="str">
        <f>HYPERLINK("https://www.boe.es/gazeta/dias/1834/05/25/pdfs/GMD-1834-94.pdf#page=5","Abrir facsímil")</f>
        <v>Abrir facsímil</v>
      </c>
      <c r="K5268" s="10" t="s">
        <v>24</v>
      </c>
    </row>
    <row r="5269" spans="1:11" ht="54" customHeight="1">
      <c r="A5269" s="9" t="s">
        <v>12298</v>
      </c>
      <c r="B5269" s="9" t="s">
        <v>12298</v>
      </c>
      <c r="C5269" s="9" t="s">
        <v>66</v>
      </c>
      <c r="D5269" s="9" t="s">
        <v>67</v>
      </c>
      <c r="E5269" s="10" t="s">
        <v>1692</v>
      </c>
      <c r="F5269" s="9" t="s">
        <v>1693</v>
      </c>
      <c r="G5269" s="10" t="s">
        <v>86</v>
      </c>
      <c r="H5269" s="9" t="s">
        <v>22</v>
      </c>
      <c r="I5269" s="9" t="s">
        <v>12299</v>
      </c>
      <c r="J5269" s="10" t="str">
        <f>HYPERLINK("https://www.boe.es/gazeta/dias/1834/07/29/pdfs/GMD-1834-162.pdf#page=2","Abrir facsímil")</f>
        <v>Abrir facsímil</v>
      </c>
      <c r="K5269" s="10" t="s">
        <v>24</v>
      </c>
    </row>
    <row r="5270" spans="1:11" ht="54" customHeight="1">
      <c r="A5270" s="9" t="s">
        <v>12300</v>
      </c>
      <c r="B5270" s="9" t="s">
        <v>12301</v>
      </c>
      <c r="C5270" s="9" t="s">
        <v>17</v>
      </c>
      <c r="D5270" s="9" t="s">
        <v>18</v>
      </c>
      <c r="E5270" s="10" t="s">
        <v>233</v>
      </c>
      <c r="F5270" s="9" t="s">
        <v>234</v>
      </c>
      <c r="G5270" s="10" t="s">
        <v>75</v>
      </c>
      <c r="H5270" s="9" t="s">
        <v>22</v>
      </c>
      <c r="I5270" s="9" t="s">
        <v>12302</v>
      </c>
      <c r="J5270" s="10" t="str">
        <f>HYPERLINK("https://www.boe.es/gazeta/dias/1834/12/16/pdfs/GMD-1834-305.pdf#page=4","Abrir facsímil")</f>
        <v>Abrir facsímil</v>
      </c>
      <c r="K5270" s="10" t="s">
        <v>24</v>
      </c>
    </row>
    <row r="5271" spans="1:11" ht="54" customHeight="1">
      <c r="A5271" s="9" t="s">
        <v>12303</v>
      </c>
      <c r="B5271" s="9" t="s">
        <v>12304</v>
      </c>
      <c r="C5271" s="9" t="s">
        <v>17</v>
      </c>
      <c r="D5271" s="9" t="s">
        <v>18</v>
      </c>
      <c r="E5271" s="10" t="s">
        <v>1351</v>
      </c>
      <c r="F5271" s="9" t="s">
        <v>1352</v>
      </c>
      <c r="G5271" s="10" t="s">
        <v>75</v>
      </c>
      <c r="H5271" s="9" t="s">
        <v>22</v>
      </c>
      <c r="I5271" s="9" t="s">
        <v>12305</v>
      </c>
      <c r="J5271" s="10" t="str">
        <f>HYPERLINK("https://www.boe.es/gazeta/dias/1834/07/05/pdfs/GMD-1834-138.pdf#page=4","Abrir facsímil")</f>
        <v>Abrir facsímil</v>
      </c>
      <c r="K5271" s="10" t="s">
        <v>24</v>
      </c>
    </row>
    <row r="5272" spans="1:11" ht="54" customHeight="1">
      <c r="A5272" s="9" t="s">
        <v>12306</v>
      </c>
      <c r="B5272" s="9" t="s">
        <v>12307</v>
      </c>
      <c r="C5272" s="9" t="s">
        <v>66</v>
      </c>
      <c r="D5272" s="9" t="s">
        <v>67</v>
      </c>
      <c r="E5272" s="10" t="s">
        <v>286</v>
      </c>
      <c r="F5272" s="9" t="s">
        <v>548</v>
      </c>
      <c r="G5272" s="10" t="s">
        <v>75</v>
      </c>
      <c r="H5272" s="9" t="s">
        <v>22</v>
      </c>
      <c r="I5272" s="9" t="s">
        <v>12308</v>
      </c>
      <c r="J5272" s="10" t="str">
        <f>HYPERLINK("https://www.boe.es/gazeta/dias/1834/08/30/pdfs/GMD-1834-196.pdf#page=4","Abrir facsímil")</f>
        <v>Abrir facsímil</v>
      </c>
      <c r="K5272" s="10" t="s">
        <v>24</v>
      </c>
    </row>
    <row r="5273" spans="1:11" ht="54" customHeight="1">
      <c r="A5273" s="9" t="s">
        <v>12309</v>
      </c>
      <c r="B5273" s="9" t="s">
        <v>12310</v>
      </c>
      <c r="C5273" s="9" t="s">
        <v>17</v>
      </c>
      <c r="D5273" s="9" t="s">
        <v>18</v>
      </c>
      <c r="E5273" s="10" t="s">
        <v>1170</v>
      </c>
      <c r="F5273" s="9" t="s">
        <v>1171</v>
      </c>
      <c r="G5273" s="10" t="s">
        <v>28</v>
      </c>
      <c r="H5273" s="9" t="s">
        <v>22</v>
      </c>
      <c r="I5273" s="9" t="s">
        <v>12311</v>
      </c>
      <c r="J5273" s="10" t="str">
        <f>HYPERLINK("https://www.boe.es/gazeta/dias/1834/01/07/pdfs/GMD-1834-4.pdf#page=5","Abrir facsímil")</f>
        <v>Abrir facsímil</v>
      </c>
      <c r="K5273" s="10" t="s">
        <v>24</v>
      </c>
    </row>
    <row r="5274" spans="1:11" ht="54" customHeight="1">
      <c r="A5274" s="9" t="s">
        <v>12312</v>
      </c>
      <c r="B5274" s="9" t="s">
        <v>12313</v>
      </c>
      <c r="C5274" s="9" t="s">
        <v>17</v>
      </c>
      <c r="D5274" s="9" t="s">
        <v>18</v>
      </c>
      <c r="E5274" s="10" t="s">
        <v>1125</v>
      </c>
      <c r="F5274" s="9" t="s">
        <v>2490</v>
      </c>
      <c r="G5274" s="10" t="s">
        <v>470</v>
      </c>
      <c r="H5274" s="9" t="s">
        <v>22</v>
      </c>
      <c r="I5274" s="9" t="s">
        <v>12314</v>
      </c>
      <c r="J5274" s="10" t="str">
        <f>HYPERLINK("https://www.boe.es/gazeta/dias/1834/04/17/pdfs/GMD-1834-56.pdf#page=8","Abrir facsímil")</f>
        <v>Abrir facsímil</v>
      </c>
      <c r="K5274" s="10" t="s">
        <v>24</v>
      </c>
    </row>
    <row r="5275" spans="1:11" ht="54" customHeight="1">
      <c r="A5275" s="9" t="s">
        <v>12315</v>
      </c>
      <c r="B5275" s="9" t="s">
        <v>12316</v>
      </c>
      <c r="C5275" s="9" t="s">
        <v>17</v>
      </c>
      <c r="D5275" s="9" t="s">
        <v>40</v>
      </c>
      <c r="E5275" s="10" t="s">
        <v>905</v>
      </c>
      <c r="F5275" s="9" t="s">
        <v>1651</v>
      </c>
      <c r="G5275" s="10" t="s">
        <v>75</v>
      </c>
      <c r="H5275" s="9" t="s">
        <v>22</v>
      </c>
      <c r="I5275" s="9" t="s">
        <v>12317</v>
      </c>
      <c r="J5275" s="10" t="str">
        <f>HYPERLINK("https://www.boe.es/gazeta/dias/1834/08/02/pdfs/GMD-1834-166.pdf#page=4","Abrir facsímil")</f>
        <v>Abrir facsímil</v>
      </c>
      <c r="K5275" s="10" t="s">
        <v>24</v>
      </c>
    </row>
    <row r="5276" spans="1:11" ht="54" customHeight="1">
      <c r="A5276" s="9" t="s">
        <v>12318</v>
      </c>
      <c r="B5276" s="9" t="s">
        <v>12319</v>
      </c>
      <c r="C5276" s="9" t="s">
        <v>17</v>
      </c>
      <c r="D5276" s="9" t="s">
        <v>18</v>
      </c>
      <c r="E5276" s="10" t="s">
        <v>838</v>
      </c>
      <c r="F5276" s="9" t="s">
        <v>839</v>
      </c>
      <c r="G5276" s="10" t="s">
        <v>75</v>
      </c>
      <c r="H5276" s="9" t="s">
        <v>22</v>
      </c>
      <c r="I5276" s="9" t="s">
        <v>12320</v>
      </c>
      <c r="J5276" s="10" t="str">
        <f>HYPERLINK("https://www.boe.es/gazeta/dias/1834/07/18/pdfs/GMD-1834-151.pdf#page=4","Abrir facsímil")</f>
        <v>Abrir facsímil</v>
      </c>
      <c r="K5276" s="10" t="s">
        <v>24</v>
      </c>
    </row>
    <row r="5277" spans="1:11" ht="54" customHeight="1">
      <c r="A5277" s="9" t="s">
        <v>12321</v>
      </c>
      <c r="B5277" s="9" t="s">
        <v>12321</v>
      </c>
      <c r="C5277" s="9" t="s">
        <v>90</v>
      </c>
      <c r="D5277" s="9" t="s">
        <v>18</v>
      </c>
      <c r="E5277" s="10" t="s">
        <v>1113</v>
      </c>
      <c r="F5277" s="9" t="s">
        <v>1114</v>
      </c>
      <c r="G5277" s="10" t="s">
        <v>21</v>
      </c>
      <c r="H5277" s="9" t="s">
        <v>22</v>
      </c>
      <c r="I5277" s="9" t="s">
        <v>12322</v>
      </c>
      <c r="J5277" s="10" t="str">
        <f>HYPERLINK("https://www.boe.es/gazeta/dias/1834/04/14/pdfs/GMD-1834-53.pdf#page=3","Abrir facsímil")</f>
        <v>Abrir facsímil</v>
      </c>
      <c r="K5277" s="10" t="s">
        <v>24</v>
      </c>
    </row>
    <row r="5278" spans="1:11" ht="54" customHeight="1">
      <c r="A5278" s="9" t="s">
        <v>12323</v>
      </c>
      <c r="B5278" s="9" t="s">
        <v>12324</v>
      </c>
      <c r="C5278" s="9" t="s">
        <v>17</v>
      </c>
      <c r="D5278" s="9" t="s">
        <v>18</v>
      </c>
      <c r="E5278" s="10" t="s">
        <v>492</v>
      </c>
      <c r="F5278" s="9" t="s">
        <v>493</v>
      </c>
      <c r="G5278" s="10" t="s">
        <v>34</v>
      </c>
      <c r="H5278" s="9" t="s">
        <v>22</v>
      </c>
      <c r="I5278" s="9" t="s">
        <v>12325</v>
      </c>
      <c r="J5278" s="10" t="str">
        <f>HYPERLINK("https://www.boe.es/gazeta/dias/1834/11/21/pdfs/GMD-C-1834-280.pdf#page=1","Abrir facsímil")</f>
        <v>Abrir facsímil</v>
      </c>
      <c r="K5278" s="10" t="s">
        <v>24</v>
      </c>
    </row>
    <row r="5279" spans="1:11" ht="54" customHeight="1">
      <c r="A5279" s="9" t="s">
        <v>12326</v>
      </c>
      <c r="B5279" s="9" t="s">
        <v>12326</v>
      </c>
      <c r="C5279" s="9" t="s">
        <v>66</v>
      </c>
      <c r="D5279" s="9" t="s">
        <v>67</v>
      </c>
      <c r="E5279" s="10" t="s">
        <v>1337</v>
      </c>
      <c r="F5279" s="9" t="s">
        <v>1906</v>
      </c>
      <c r="G5279" s="10" t="s">
        <v>34</v>
      </c>
      <c r="H5279" s="9" t="s">
        <v>22</v>
      </c>
      <c r="I5279" s="9" t="s">
        <v>12327</v>
      </c>
      <c r="J5279" s="10" t="str">
        <f>HYPERLINK("https://www.boe.es/gazeta/dias/1834/01/02/pdfs/GMD-1834-2E.pdf#page=1","Abrir facsímil")</f>
        <v>Abrir facsímil</v>
      </c>
      <c r="K5279" s="10" t="s">
        <v>24</v>
      </c>
    </row>
    <row r="5280" spans="1:11" ht="54" customHeight="1">
      <c r="A5280" s="9" t="s">
        <v>12328</v>
      </c>
      <c r="B5280" s="9" t="s">
        <v>12328</v>
      </c>
      <c r="C5280" s="9" t="s">
        <v>17</v>
      </c>
      <c r="D5280" s="9" t="s">
        <v>55</v>
      </c>
      <c r="E5280" s="10" t="s">
        <v>928</v>
      </c>
      <c r="F5280" s="9" t="s">
        <v>3338</v>
      </c>
      <c r="G5280" s="10" t="s">
        <v>86</v>
      </c>
      <c r="H5280" s="9" t="s">
        <v>22</v>
      </c>
      <c r="I5280" s="9" t="s">
        <v>12329</v>
      </c>
      <c r="J5280" s="10" t="str">
        <f>HYPERLINK("https://www.boe.es/gazeta/dias/1834/11/15/pdfs/GMD-1834-274.pdf#page=2","Abrir facsímil")</f>
        <v>Abrir facsímil</v>
      </c>
      <c r="K5280" s="10" t="s">
        <v>24</v>
      </c>
    </row>
    <row r="5281" spans="1:11" ht="54" customHeight="1">
      <c r="A5281" s="9" t="s">
        <v>12330</v>
      </c>
      <c r="B5281" s="9" t="s">
        <v>12330</v>
      </c>
      <c r="C5281" s="9" t="s">
        <v>17</v>
      </c>
      <c r="D5281" s="9" t="s">
        <v>18</v>
      </c>
      <c r="E5281" s="10" t="s">
        <v>793</v>
      </c>
      <c r="F5281" s="9" t="s">
        <v>1895</v>
      </c>
      <c r="G5281" s="10" t="s">
        <v>34</v>
      </c>
      <c r="H5281" s="9" t="s">
        <v>22</v>
      </c>
      <c r="I5281" s="9" t="s">
        <v>12331</v>
      </c>
      <c r="J5281" s="10" t="str">
        <f>HYPERLINK("https://www.boe.es/gazeta/dias/1834/10/08/pdfs/GMD-C-1834-236.pdf#page=1","Abrir facsímil")</f>
        <v>Abrir facsímil</v>
      </c>
      <c r="K5281" s="10" t="s">
        <v>24</v>
      </c>
    </row>
    <row r="5282" spans="1:11" ht="54" customHeight="1">
      <c r="A5282" s="9" t="s">
        <v>12332</v>
      </c>
      <c r="B5282" s="9" t="s">
        <v>12333</v>
      </c>
      <c r="C5282" s="9" t="s">
        <v>122</v>
      </c>
      <c r="D5282" s="9" t="s">
        <v>18</v>
      </c>
      <c r="E5282" s="10" t="s">
        <v>1318</v>
      </c>
      <c r="F5282" s="9" t="s">
        <v>1319</v>
      </c>
      <c r="G5282" s="10" t="s">
        <v>75</v>
      </c>
      <c r="H5282" s="9" t="s">
        <v>35</v>
      </c>
      <c r="I5282" s="9" t="s">
        <v>12334</v>
      </c>
      <c r="J5282" s="10" t="str">
        <f>HYPERLINK("https://www.boe.es/gazeta/dias/1834/05/10/pdfs/GMD-1834-79.pdf#page=4","Abrir facsímil")</f>
        <v>Abrir facsímil</v>
      </c>
      <c r="K5282" s="10" t="s">
        <v>37</v>
      </c>
    </row>
    <row r="5283" spans="1:11" ht="54" customHeight="1">
      <c r="A5283" s="9" t="s">
        <v>12335</v>
      </c>
      <c r="B5283" s="9" t="s">
        <v>12335</v>
      </c>
      <c r="C5283" s="9" t="s">
        <v>17</v>
      </c>
      <c r="D5283" s="9" t="s">
        <v>18</v>
      </c>
      <c r="E5283" s="10" t="s">
        <v>1337</v>
      </c>
      <c r="F5283" s="9" t="s">
        <v>1338</v>
      </c>
      <c r="G5283" s="10" t="s">
        <v>34</v>
      </c>
      <c r="H5283" s="9" t="s">
        <v>22</v>
      </c>
      <c r="I5283" s="9" t="s">
        <v>12336</v>
      </c>
      <c r="J5283" s="10" t="str">
        <f>HYPERLINK("https://www.boe.es/gazeta/dias/1834/01/02/pdfs/GMD-1834-1.pdf#page=1","Abrir facsímil")</f>
        <v>Abrir facsímil</v>
      </c>
      <c r="K5283" s="10" t="s">
        <v>24</v>
      </c>
    </row>
    <row r="5284" spans="1:11" ht="54" customHeight="1">
      <c r="A5284" s="9" t="s">
        <v>12335</v>
      </c>
      <c r="B5284" s="9" t="s">
        <v>12335</v>
      </c>
      <c r="C5284" s="9" t="s">
        <v>17</v>
      </c>
      <c r="D5284" s="9" t="s">
        <v>18</v>
      </c>
      <c r="E5284" s="10" t="s">
        <v>1195</v>
      </c>
      <c r="F5284" s="9" t="s">
        <v>1916</v>
      </c>
      <c r="G5284" s="10" t="s">
        <v>21</v>
      </c>
      <c r="H5284" s="9" t="s">
        <v>22</v>
      </c>
      <c r="I5284" s="9" t="s">
        <v>12337</v>
      </c>
      <c r="J5284" s="10" t="str">
        <f>HYPERLINK("https://www.boe.es/gazeta/dias/1834/10/17/pdfs/GMD-1834-245.pdf#page=3","Abrir facsímil")</f>
        <v>Abrir facsímil</v>
      </c>
      <c r="K5284" s="10" t="s">
        <v>24</v>
      </c>
    </row>
    <row r="5285" spans="1:11" ht="54" customHeight="1">
      <c r="A5285" s="9" t="s">
        <v>12335</v>
      </c>
      <c r="B5285" s="9" t="s">
        <v>12335</v>
      </c>
      <c r="C5285" s="9" t="s">
        <v>46</v>
      </c>
      <c r="D5285" s="9" t="s">
        <v>101</v>
      </c>
      <c r="E5285" s="10" t="s">
        <v>919</v>
      </c>
      <c r="F5285" s="9" t="s">
        <v>920</v>
      </c>
      <c r="G5285" s="10" t="s">
        <v>75</v>
      </c>
      <c r="H5285" s="9" t="s">
        <v>22</v>
      </c>
      <c r="I5285" s="9" t="s">
        <v>12338</v>
      </c>
      <c r="J5285" s="10" t="str">
        <f>HYPERLINK("https://www.boe.es/gazeta/dias/1834/06/24/pdfs/GMD-1834-127.pdf#page=4","Abrir facsímil")</f>
        <v>Abrir facsímil</v>
      </c>
      <c r="K5285" s="10" t="s">
        <v>24</v>
      </c>
    </row>
    <row r="5286" spans="1:11" ht="54" customHeight="1">
      <c r="A5286" s="9" t="s">
        <v>12339</v>
      </c>
      <c r="B5286" s="9" t="s">
        <v>12340</v>
      </c>
      <c r="C5286" s="9" t="s">
        <v>17</v>
      </c>
      <c r="D5286" s="9" t="s">
        <v>18</v>
      </c>
      <c r="E5286" s="10" t="s">
        <v>2748</v>
      </c>
      <c r="F5286" s="9" t="s">
        <v>2749</v>
      </c>
      <c r="G5286" s="10" t="s">
        <v>34</v>
      </c>
      <c r="H5286" s="9" t="s">
        <v>22</v>
      </c>
      <c r="I5286" s="9" t="s">
        <v>12341</v>
      </c>
      <c r="J5286" s="10" t="str">
        <f>HYPERLINK("https://www.boe.es/gazeta/dias/1834/01/09/pdfs/GMD-1834-5.pdf#page=1","Abrir facsímil")</f>
        <v>Abrir facsímil</v>
      </c>
      <c r="K5286" s="10" t="s">
        <v>24</v>
      </c>
    </row>
    <row r="5287" spans="1:11" ht="54" customHeight="1">
      <c r="A5287" s="9" t="s">
        <v>12342</v>
      </c>
      <c r="B5287" s="9" t="s">
        <v>12343</v>
      </c>
      <c r="C5287" s="9" t="s">
        <v>90</v>
      </c>
      <c r="D5287" s="9" t="s">
        <v>67</v>
      </c>
      <c r="E5287" s="10" t="s">
        <v>860</v>
      </c>
      <c r="F5287" s="9" t="s">
        <v>861</v>
      </c>
      <c r="G5287" s="10" t="s">
        <v>34</v>
      </c>
      <c r="H5287" s="9" t="s">
        <v>22</v>
      </c>
      <c r="I5287" s="9" t="s">
        <v>12344</v>
      </c>
      <c r="J5287" s="10" t="str">
        <f>HYPERLINK("https://www.boe.es/gazeta/dias/1834/02/08/pdfs/GMD-1834-18.pdf#page=1","Abrir facsímil")</f>
        <v>Abrir facsímil</v>
      </c>
      <c r="K5287" s="10" t="s">
        <v>24</v>
      </c>
    </row>
    <row r="5288" spans="1:11" ht="54" customHeight="1">
      <c r="A5288" s="9" t="s">
        <v>12342</v>
      </c>
      <c r="B5288" s="9" t="s">
        <v>12343</v>
      </c>
      <c r="C5288" s="9" t="s">
        <v>17</v>
      </c>
      <c r="D5288" s="9" t="s">
        <v>18</v>
      </c>
      <c r="E5288" s="10" t="s">
        <v>200</v>
      </c>
      <c r="F5288" s="9" t="s">
        <v>201</v>
      </c>
      <c r="G5288" s="10" t="s">
        <v>75</v>
      </c>
      <c r="H5288" s="9" t="s">
        <v>22</v>
      </c>
      <c r="I5288" s="9" t="s">
        <v>12345</v>
      </c>
      <c r="J5288" s="10" t="str">
        <f>HYPERLINK("https://www.boe.es/gazeta/dias/1834/12/11/pdfs/GMD-1834-300.pdf#page=4","Abrir facsímil")</f>
        <v>Abrir facsímil</v>
      </c>
      <c r="K5288" s="10" t="s">
        <v>24</v>
      </c>
    </row>
    <row r="5289" spans="1:11" ht="54" customHeight="1">
      <c r="A5289" s="9" t="s">
        <v>12342</v>
      </c>
      <c r="B5289" s="9" t="s">
        <v>12343</v>
      </c>
      <c r="C5289" s="9" t="s">
        <v>17</v>
      </c>
      <c r="D5289" s="9" t="s">
        <v>18</v>
      </c>
      <c r="E5289" s="10" t="s">
        <v>863</v>
      </c>
      <c r="F5289" s="9" t="s">
        <v>864</v>
      </c>
      <c r="G5289" s="10" t="s">
        <v>86</v>
      </c>
      <c r="H5289" s="9" t="s">
        <v>22</v>
      </c>
      <c r="I5289" s="9" t="s">
        <v>12346</v>
      </c>
      <c r="J5289" s="10" t="str">
        <f>HYPERLINK("https://www.boe.es/gazeta/dias/1834/09/15/pdfs/GMD-1834-213.pdf#page=2","Abrir facsímil")</f>
        <v>Abrir facsímil</v>
      </c>
      <c r="K5289" s="10" t="s">
        <v>24</v>
      </c>
    </row>
    <row r="5290" spans="1:11" ht="54" customHeight="1">
      <c r="A5290" s="9" t="s">
        <v>12342</v>
      </c>
      <c r="B5290" s="9" t="s">
        <v>12343</v>
      </c>
      <c r="C5290" s="9" t="s">
        <v>66</v>
      </c>
      <c r="D5290" s="9" t="s">
        <v>18</v>
      </c>
      <c r="E5290" s="10" t="s">
        <v>19</v>
      </c>
      <c r="F5290" s="9" t="s">
        <v>1933</v>
      </c>
      <c r="G5290" s="10" t="s">
        <v>34</v>
      </c>
      <c r="H5290" s="9" t="s">
        <v>22</v>
      </c>
      <c r="I5290" s="9" t="s">
        <v>12347</v>
      </c>
      <c r="J5290" s="10" t="str">
        <f>HYPERLINK("https://www.boe.es/gazeta/dias/1834/08/17/pdfs/GMD-1834-183E.pdf#page=1","Abrir facsímil")</f>
        <v>Abrir facsímil</v>
      </c>
      <c r="K5290" s="10" t="s">
        <v>24</v>
      </c>
    </row>
    <row r="5291" spans="1:11" ht="54" customHeight="1">
      <c r="A5291" s="9" t="s">
        <v>12342</v>
      </c>
      <c r="B5291" s="9" t="s">
        <v>12343</v>
      </c>
      <c r="C5291" s="9" t="s">
        <v>66</v>
      </c>
      <c r="D5291" s="9" t="s">
        <v>67</v>
      </c>
      <c r="E5291" s="10" t="s">
        <v>217</v>
      </c>
      <c r="F5291" s="9" t="s">
        <v>218</v>
      </c>
      <c r="G5291" s="10" t="s">
        <v>75</v>
      </c>
      <c r="H5291" s="9" t="s">
        <v>22</v>
      </c>
      <c r="I5291" s="9" t="s">
        <v>12348</v>
      </c>
      <c r="J5291" s="10" t="str">
        <f>HYPERLINK("https://www.boe.es/gazeta/dias/1834/04/20/pdfs/GMD-1834-59.pdf#page=4","Abrir facsímil")</f>
        <v>Abrir facsímil</v>
      </c>
      <c r="K5291" s="10" t="s">
        <v>24</v>
      </c>
    </row>
    <row r="5292" spans="1:11" ht="54" customHeight="1">
      <c r="A5292" s="9" t="s">
        <v>12342</v>
      </c>
      <c r="B5292" s="9" t="s">
        <v>12343</v>
      </c>
      <c r="C5292" s="9" t="s">
        <v>66</v>
      </c>
      <c r="D5292" s="9" t="s">
        <v>67</v>
      </c>
      <c r="E5292" s="10" t="s">
        <v>32</v>
      </c>
      <c r="F5292" s="9" t="s">
        <v>33</v>
      </c>
      <c r="G5292" s="10" t="s">
        <v>21</v>
      </c>
      <c r="H5292" s="9" t="s">
        <v>22</v>
      </c>
      <c r="I5292" s="9" t="s">
        <v>12349</v>
      </c>
      <c r="J5292" s="10" t="str">
        <f>HYPERLINK("https://www.boe.es/gazeta/dias/1834/04/23/pdfs/GMD-1834-62.pdf#page=3","Abrir facsímil")</f>
        <v>Abrir facsímil</v>
      </c>
      <c r="K5292" s="10" t="s">
        <v>24</v>
      </c>
    </row>
    <row r="5293" spans="1:11" ht="54" customHeight="1">
      <c r="A5293" s="9" t="s">
        <v>12342</v>
      </c>
      <c r="B5293" s="9" t="s">
        <v>12343</v>
      </c>
      <c r="C5293" s="9" t="s">
        <v>66</v>
      </c>
      <c r="D5293" s="9" t="s">
        <v>67</v>
      </c>
      <c r="E5293" s="10" t="s">
        <v>32</v>
      </c>
      <c r="F5293" s="9" t="s">
        <v>7431</v>
      </c>
      <c r="G5293" s="10" t="s">
        <v>86</v>
      </c>
      <c r="H5293" s="9" t="s">
        <v>22</v>
      </c>
      <c r="I5293" s="9" t="s">
        <v>12350</v>
      </c>
      <c r="J5293" s="10" t="str">
        <f>HYPERLINK("https://www.boe.es/gazeta/dias/1834/04/23/pdfs/GMD-C-1834-62.pdf#page=2","Abrir facsímil")</f>
        <v>Abrir facsímil</v>
      </c>
      <c r="K5293" s="10" t="s">
        <v>24</v>
      </c>
    </row>
    <row r="5294" spans="1:11" ht="54" customHeight="1">
      <c r="A5294" s="9" t="s">
        <v>12342</v>
      </c>
      <c r="B5294" s="9" t="s">
        <v>12343</v>
      </c>
      <c r="C5294" s="9" t="s">
        <v>17</v>
      </c>
      <c r="D5294" s="9" t="s">
        <v>18</v>
      </c>
      <c r="E5294" s="10" t="s">
        <v>1212</v>
      </c>
      <c r="F5294" s="9" t="s">
        <v>1213</v>
      </c>
      <c r="G5294" s="10" t="s">
        <v>86</v>
      </c>
      <c r="H5294" s="9" t="s">
        <v>22</v>
      </c>
      <c r="I5294" s="9" t="s">
        <v>12351</v>
      </c>
      <c r="J5294" s="10" t="str">
        <f>HYPERLINK("https://www.boe.es/gazeta/dias/1834/05/24/pdfs/GMD-1834-93.pdf#page=2","Abrir facsímil")</f>
        <v>Abrir facsímil</v>
      </c>
      <c r="K5294" s="10" t="s">
        <v>24</v>
      </c>
    </row>
    <row r="5295" spans="1:11" ht="54" customHeight="1">
      <c r="A5295" s="9" t="s">
        <v>12342</v>
      </c>
      <c r="B5295" s="9" t="s">
        <v>12343</v>
      </c>
      <c r="C5295" s="9" t="s">
        <v>17</v>
      </c>
      <c r="D5295" s="9" t="s">
        <v>18</v>
      </c>
      <c r="E5295" s="10" t="s">
        <v>294</v>
      </c>
      <c r="F5295" s="9" t="s">
        <v>295</v>
      </c>
      <c r="G5295" s="10" t="s">
        <v>86</v>
      </c>
      <c r="H5295" s="9" t="s">
        <v>22</v>
      </c>
      <c r="I5295" s="9" t="s">
        <v>12352</v>
      </c>
      <c r="J5295" s="10" t="str">
        <f>HYPERLINK("https://www.boe.es/gazeta/dias/1834/09/27/pdfs/GMD-1834-225.pdf#page=2","Abrir facsímil")</f>
        <v>Abrir facsímil</v>
      </c>
      <c r="K5295" s="10" t="s">
        <v>24</v>
      </c>
    </row>
    <row r="5296" spans="1:11" ht="54" customHeight="1">
      <c r="A5296" s="9" t="s">
        <v>12342</v>
      </c>
      <c r="B5296" s="9" t="s">
        <v>12343</v>
      </c>
      <c r="C5296" s="9" t="s">
        <v>17</v>
      </c>
      <c r="D5296" s="9" t="s">
        <v>18</v>
      </c>
      <c r="E5296" s="10" t="s">
        <v>286</v>
      </c>
      <c r="F5296" s="9" t="s">
        <v>1928</v>
      </c>
      <c r="G5296" s="10" t="s">
        <v>86</v>
      </c>
      <c r="H5296" s="9" t="s">
        <v>22</v>
      </c>
      <c r="I5296" s="9" t="s">
        <v>12353</v>
      </c>
      <c r="J5296" s="10" t="str">
        <f>HYPERLINK("https://www.boe.es/gazeta/dias/1834/08/30/pdfs/GMD-1834-197E.pdf#page=2","Abrir facsímil")</f>
        <v>Abrir facsímil</v>
      </c>
      <c r="K5296" s="10" t="s">
        <v>24</v>
      </c>
    </row>
    <row r="5297" spans="1:11" ht="54" customHeight="1">
      <c r="A5297" s="9" t="s">
        <v>12342</v>
      </c>
      <c r="B5297" s="9" t="s">
        <v>12343</v>
      </c>
      <c r="C5297" s="9" t="s">
        <v>66</v>
      </c>
      <c r="D5297" s="9" t="s">
        <v>67</v>
      </c>
      <c r="E5297" s="10" t="s">
        <v>590</v>
      </c>
      <c r="F5297" s="9" t="s">
        <v>591</v>
      </c>
      <c r="G5297" s="10" t="s">
        <v>21</v>
      </c>
      <c r="H5297" s="9" t="s">
        <v>22</v>
      </c>
      <c r="I5297" s="9" t="s">
        <v>12354</v>
      </c>
      <c r="J5297" s="10" t="str">
        <f>HYPERLINK("https://www.boe.es/gazeta/dias/1834/11/30/pdfs/GMD-1834-289.pdf#page=3","Abrir facsímil")</f>
        <v>Abrir facsímil</v>
      </c>
      <c r="K5297" s="10" t="s">
        <v>24</v>
      </c>
    </row>
    <row r="5298" spans="1:11" ht="54" customHeight="1">
      <c r="A5298" s="9" t="s">
        <v>12355</v>
      </c>
      <c r="B5298" s="9" t="s">
        <v>12356</v>
      </c>
      <c r="C5298" s="9" t="s">
        <v>17</v>
      </c>
      <c r="D5298" s="9" t="s">
        <v>18</v>
      </c>
      <c r="E5298" s="10" t="s">
        <v>739</v>
      </c>
      <c r="F5298" s="9" t="s">
        <v>740</v>
      </c>
      <c r="G5298" s="10" t="s">
        <v>75</v>
      </c>
      <c r="H5298" s="9" t="s">
        <v>22</v>
      </c>
      <c r="I5298" s="9" t="s">
        <v>12357</v>
      </c>
      <c r="J5298" s="10" t="str">
        <f>HYPERLINK("https://www.boe.es/gazeta/dias/1834/03/25/pdfs/GMD-1834-37.pdf#page=4","Abrir facsímil")</f>
        <v>Abrir facsímil</v>
      </c>
      <c r="K5298" s="10" t="s">
        <v>24</v>
      </c>
    </row>
    <row r="5299" spans="1:11" ht="54" customHeight="1">
      <c r="A5299" s="9" t="s">
        <v>12358</v>
      </c>
      <c r="B5299" s="9" t="s">
        <v>12359</v>
      </c>
      <c r="C5299" s="9" t="s">
        <v>17</v>
      </c>
      <c r="D5299" s="9" t="s">
        <v>18</v>
      </c>
      <c r="E5299" s="10" t="s">
        <v>928</v>
      </c>
      <c r="F5299" s="9" t="s">
        <v>3338</v>
      </c>
      <c r="G5299" s="10" t="s">
        <v>21</v>
      </c>
      <c r="H5299" s="9" t="s">
        <v>22</v>
      </c>
      <c r="I5299" s="9" t="s">
        <v>12360</v>
      </c>
      <c r="J5299" s="10" t="str">
        <f>HYPERLINK("https://www.boe.es/gazeta/dias/1834/11/15/pdfs/GMD-1834-274.pdf#page=3","Abrir facsímil")</f>
        <v>Abrir facsímil</v>
      </c>
      <c r="K5299" s="10" t="s">
        <v>24</v>
      </c>
    </row>
    <row r="5300" spans="1:11" ht="54" customHeight="1">
      <c r="A5300" s="9" t="s">
        <v>12361</v>
      </c>
      <c r="B5300" s="9" t="s">
        <v>12362</v>
      </c>
      <c r="C5300" s="9" t="s">
        <v>66</v>
      </c>
      <c r="D5300" s="9" t="s">
        <v>67</v>
      </c>
      <c r="E5300" s="10" t="s">
        <v>1505</v>
      </c>
      <c r="F5300" s="9" t="s">
        <v>1506</v>
      </c>
      <c r="G5300" s="10" t="s">
        <v>21</v>
      </c>
      <c r="H5300" s="9" t="s">
        <v>22</v>
      </c>
      <c r="I5300" s="9" t="s">
        <v>12363</v>
      </c>
      <c r="J5300" s="10" t="str">
        <f>HYPERLINK("https://www.boe.es/gazeta/dias/1834/05/08/pdfs/GMD-1834-77.pdf#page=3","Abrir facsímil")</f>
        <v>Abrir facsímil</v>
      </c>
      <c r="K5300" s="10" t="s">
        <v>24</v>
      </c>
    </row>
    <row r="5301" spans="1:11" ht="54" customHeight="1">
      <c r="A5301" s="9" t="s">
        <v>12364</v>
      </c>
      <c r="B5301" s="9" t="s">
        <v>12365</v>
      </c>
      <c r="C5301" s="9" t="s">
        <v>66</v>
      </c>
      <c r="D5301" s="9" t="s">
        <v>67</v>
      </c>
      <c r="E5301" s="10" t="s">
        <v>1556</v>
      </c>
      <c r="F5301" s="9" t="s">
        <v>1557</v>
      </c>
      <c r="G5301" s="10" t="s">
        <v>21</v>
      </c>
      <c r="H5301" s="9" t="s">
        <v>35</v>
      </c>
      <c r="I5301" s="9" t="s">
        <v>12366</v>
      </c>
      <c r="J5301" s="10" t="str">
        <f>HYPERLINK("https://www.boe.es/gazeta/dias/1834/06/06/pdfs/GMD-1834-108.pdf#page=3","Abrir facsímil")</f>
        <v>Abrir facsímil</v>
      </c>
      <c r="K5301" s="10" t="s">
        <v>37</v>
      </c>
    </row>
    <row r="5302" spans="1:11" ht="54" customHeight="1">
      <c r="A5302" s="9" t="s">
        <v>12367</v>
      </c>
      <c r="B5302" s="9" t="s">
        <v>12368</v>
      </c>
      <c r="C5302" s="9" t="s">
        <v>17</v>
      </c>
      <c r="D5302" s="9" t="s">
        <v>18</v>
      </c>
      <c r="E5302" s="10" t="s">
        <v>153</v>
      </c>
      <c r="F5302" s="9" t="s">
        <v>1294</v>
      </c>
      <c r="G5302" s="10" t="s">
        <v>75</v>
      </c>
      <c r="H5302" s="9" t="s">
        <v>22</v>
      </c>
      <c r="I5302" s="9" t="s">
        <v>12369</v>
      </c>
      <c r="J5302" s="10" t="str">
        <f>HYPERLINK("https://www.boe.es/gazeta/dias/1834/12/30/pdfs/GMD-1834-320.pdf#page=4","Abrir facsímil")</f>
        <v>Abrir facsímil</v>
      </c>
      <c r="K5302" s="10" t="s">
        <v>24</v>
      </c>
    </row>
    <row r="5303" spans="1:11" ht="54" customHeight="1">
      <c r="A5303" s="9" t="s">
        <v>12370</v>
      </c>
      <c r="B5303" s="9" t="s">
        <v>12371</v>
      </c>
      <c r="C5303" s="9" t="s">
        <v>17</v>
      </c>
      <c r="D5303" s="9" t="s">
        <v>18</v>
      </c>
      <c r="E5303" s="10" t="s">
        <v>1025</v>
      </c>
      <c r="F5303" s="9" t="s">
        <v>1026</v>
      </c>
      <c r="G5303" s="10" t="s">
        <v>28</v>
      </c>
      <c r="H5303" s="9" t="s">
        <v>22</v>
      </c>
      <c r="I5303" s="9" t="s">
        <v>12372</v>
      </c>
      <c r="J5303" s="10" t="str">
        <f>HYPERLINK("https://www.boe.es/gazeta/dias/1834/03/01/pdfs/GMD-1834-27.pdf#page=5","Abrir facsímil")</f>
        <v>Abrir facsímil</v>
      </c>
      <c r="K5303" s="10" t="s">
        <v>24</v>
      </c>
    </row>
    <row r="5304" spans="1:11" ht="54" customHeight="1">
      <c r="A5304" s="9" t="s">
        <v>12373</v>
      </c>
      <c r="B5304" s="9" t="s">
        <v>12373</v>
      </c>
      <c r="C5304" s="9" t="s">
        <v>66</v>
      </c>
      <c r="D5304" s="9" t="s">
        <v>67</v>
      </c>
      <c r="E5304" s="10" t="s">
        <v>1103</v>
      </c>
      <c r="F5304" s="9" t="s">
        <v>1104</v>
      </c>
      <c r="G5304" s="10" t="s">
        <v>75</v>
      </c>
      <c r="H5304" s="9" t="s">
        <v>22</v>
      </c>
      <c r="I5304" s="9" t="s">
        <v>12374</v>
      </c>
      <c r="J5304" s="10" t="str">
        <f>HYPERLINK("https://www.boe.es/gazeta/dias/1834/10/10/pdfs/GMD-C-1834-238.pdf#page=4","Abrir facsímil")</f>
        <v>Abrir facsímil</v>
      </c>
      <c r="K5304" s="10" t="s">
        <v>24</v>
      </c>
    </row>
    <row r="5305" spans="1:11" ht="54" customHeight="1">
      <c r="A5305" s="9" t="s">
        <v>12375</v>
      </c>
      <c r="B5305" s="9" t="s">
        <v>12375</v>
      </c>
      <c r="C5305" s="9" t="s">
        <v>46</v>
      </c>
      <c r="D5305" s="9" t="s">
        <v>18</v>
      </c>
      <c r="E5305" s="10" t="s">
        <v>1008</v>
      </c>
      <c r="F5305" s="9" t="s">
        <v>1009</v>
      </c>
      <c r="G5305" s="10" t="s">
        <v>176</v>
      </c>
      <c r="H5305" s="9" t="s">
        <v>22</v>
      </c>
      <c r="I5305" s="9" t="s">
        <v>12376</v>
      </c>
      <c r="J5305" s="10" t="str">
        <f>HYPERLINK("https://www.boe.es/gazeta/dias/1834/11/08/pdfs/GMD-C-1834-267.pdf#page=6","Abrir facsímil")</f>
        <v>Abrir facsímil</v>
      </c>
      <c r="K5305" s="10" t="s">
        <v>24</v>
      </c>
    </row>
    <row r="5306" spans="1:11" ht="54" customHeight="1">
      <c r="A5306" s="9" t="s">
        <v>12375</v>
      </c>
      <c r="B5306" s="9" t="s">
        <v>12375</v>
      </c>
      <c r="C5306" s="9" t="s">
        <v>46</v>
      </c>
      <c r="D5306" s="9" t="s">
        <v>18</v>
      </c>
      <c r="E5306" s="10" t="s">
        <v>299</v>
      </c>
      <c r="F5306" s="9" t="s">
        <v>2255</v>
      </c>
      <c r="G5306" s="10" t="s">
        <v>470</v>
      </c>
      <c r="H5306" s="9" t="s">
        <v>22</v>
      </c>
      <c r="I5306" s="9" t="s">
        <v>12377</v>
      </c>
      <c r="J5306" s="10" t="str">
        <f>HYPERLINK("https://www.boe.es/gazeta/dias/1834/12/12/pdfs/GMD-C-1834-301.pdf#page=8","Abrir facsímil")</f>
        <v>Abrir facsímil</v>
      </c>
      <c r="K5306" s="10" t="s">
        <v>24</v>
      </c>
    </row>
    <row r="5307" spans="1:11" ht="54" customHeight="1">
      <c r="A5307" s="9" t="s">
        <v>12375</v>
      </c>
      <c r="B5307" s="9" t="s">
        <v>12375</v>
      </c>
      <c r="C5307" s="9" t="s">
        <v>66</v>
      </c>
      <c r="D5307" s="9" t="s">
        <v>67</v>
      </c>
      <c r="E5307" s="10" t="s">
        <v>510</v>
      </c>
      <c r="F5307" s="9" t="s">
        <v>531</v>
      </c>
      <c r="G5307" s="10" t="s">
        <v>176</v>
      </c>
      <c r="H5307" s="9" t="s">
        <v>22</v>
      </c>
      <c r="I5307" s="9" t="s">
        <v>12378</v>
      </c>
      <c r="J5307" s="10" t="str">
        <f>HYPERLINK("https://www.boe.es/gazeta/dias/1834/11/26/pdfs/GMD-C-1834-285.pdf#page=6","Abrir facsímil")</f>
        <v>Abrir facsímil</v>
      </c>
      <c r="K5307" s="10" t="s">
        <v>24</v>
      </c>
    </row>
    <row r="5308" spans="1:11" ht="54" customHeight="1">
      <c r="A5308" s="9" t="s">
        <v>12375</v>
      </c>
      <c r="B5308" s="9" t="s">
        <v>12375</v>
      </c>
      <c r="C5308" s="9" t="s">
        <v>46</v>
      </c>
      <c r="D5308" s="9" t="s">
        <v>18</v>
      </c>
      <c r="E5308" s="10" t="s">
        <v>294</v>
      </c>
      <c r="F5308" s="9" t="s">
        <v>959</v>
      </c>
      <c r="G5308" s="10" t="s">
        <v>86</v>
      </c>
      <c r="H5308" s="9" t="s">
        <v>22</v>
      </c>
      <c r="I5308" s="9" t="s">
        <v>12379</v>
      </c>
      <c r="J5308" s="10" t="str">
        <f>HYPERLINK("https://www.boe.es/gazeta/dias/1834/09/27/pdfs/GMD-C-1834-225.pdf#page=2","Abrir facsímil")</f>
        <v>Abrir facsímil</v>
      </c>
      <c r="K5308" s="10" t="s">
        <v>24</v>
      </c>
    </row>
    <row r="5309" spans="1:11" ht="54" customHeight="1">
      <c r="A5309" s="9" t="s">
        <v>12375</v>
      </c>
      <c r="B5309" s="9" t="s">
        <v>12375</v>
      </c>
      <c r="C5309" s="9" t="s">
        <v>66</v>
      </c>
      <c r="D5309" s="9" t="s">
        <v>67</v>
      </c>
      <c r="E5309" s="10" t="s">
        <v>283</v>
      </c>
      <c r="F5309" s="9" t="s">
        <v>284</v>
      </c>
      <c r="G5309" s="10" t="s">
        <v>75</v>
      </c>
      <c r="H5309" s="9" t="s">
        <v>22</v>
      </c>
      <c r="I5309" s="9" t="s">
        <v>12380</v>
      </c>
      <c r="J5309" s="10" t="str">
        <f>HYPERLINK("https://www.boe.es/gazeta/dias/1834/11/29/pdfs/GMD-C-1834-288.pdf#page=4","Abrir facsímil")</f>
        <v>Abrir facsímil</v>
      </c>
      <c r="K5309" s="10" t="s">
        <v>24</v>
      </c>
    </row>
    <row r="5310" spans="1:11" ht="54" customHeight="1">
      <c r="A5310" s="9" t="s">
        <v>12375</v>
      </c>
      <c r="B5310" s="9" t="s">
        <v>12375</v>
      </c>
      <c r="C5310" s="9" t="s">
        <v>46</v>
      </c>
      <c r="D5310" s="9" t="s">
        <v>18</v>
      </c>
      <c r="E5310" s="10" t="s">
        <v>153</v>
      </c>
      <c r="F5310" s="9" t="s">
        <v>154</v>
      </c>
      <c r="G5310" s="10" t="s">
        <v>21</v>
      </c>
      <c r="H5310" s="9" t="s">
        <v>22</v>
      </c>
      <c r="I5310" s="9" t="s">
        <v>12381</v>
      </c>
      <c r="J5310" s="10" t="str">
        <f>HYPERLINK("https://www.boe.es/gazeta/dias/1834/12/30/pdfs/GMD-C-1834-320.pdf#page=3","Abrir facsímil")</f>
        <v>Abrir facsímil</v>
      </c>
      <c r="K5310" s="10" t="s">
        <v>24</v>
      </c>
    </row>
    <row r="5311" spans="1:11" ht="54" customHeight="1">
      <c r="A5311" s="9" t="s">
        <v>12382</v>
      </c>
      <c r="B5311" s="9" t="s">
        <v>12382</v>
      </c>
      <c r="C5311" s="9" t="s">
        <v>17</v>
      </c>
      <c r="D5311" s="9" t="s">
        <v>18</v>
      </c>
      <c r="E5311" s="10" t="s">
        <v>163</v>
      </c>
      <c r="F5311" s="9" t="s">
        <v>164</v>
      </c>
      <c r="G5311" s="10" t="s">
        <v>86</v>
      </c>
      <c r="H5311" s="9" t="s">
        <v>22</v>
      </c>
      <c r="I5311" s="9" t="s">
        <v>12383</v>
      </c>
      <c r="J5311" s="10" t="str">
        <f>HYPERLINK("https://www.boe.es/gazeta/dias/1834/08/09/pdfs/GMD-1834-174.pdf#page=2","Abrir facsímil")</f>
        <v>Abrir facsímil</v>
      </c>
      <c r="K5311" s="10" t="s">
        <v>24</v>
      </c>
    </row>
    <row r="5312" spans="1:11" ht="54" customHeight="1">
      <c r="A5312" s="9" t="s">
        <v>12382</v>
      </c>
      <c r="B5312" s="9" t="s">
        <v>12382</v>
      </c>
      <c r="C5312" s="9" t="s">
        <v>17</v>
      </c>
      <c r="D5312" s="9" t="s">
        <v>18</v>
      </c>
      <c r="E5312" s="10" t="s">
        <v>610</v>
      </c>
      <c r="F5312" s="9" t="s">
        <v>611</v>
      </c>
      <c r="G5312" s="10" t="s">
        <v>21</v>
      </c>
      <c r="H5312" s="9" t="s">
        <v>22</v>
      </c>
      <c r="I5312" s="9" t="s">
        <v>12384</v>
      </c>
      <c r="J5312" s="10" t="str">
        <f>HYPERLINK("https://www.boe.es/gazeta/dias/1834/12/21/pdfs/GMD-C-1834-311.pdf#page=3","Abrir facsímil")</f>
        <v>Abrir facsímil</v>
      </c>
      <c r="K5312" s="10" t="s">
        <v>24</v>
      </c>
    </row>
    <row r="5313" spans="1:11" ht="54" customHeight="1">
      <c r="A5313" s="9" t="s">
        <v>12385</v>
      </c>
      <c r="B5313" s="9" t="s">
        <v>12386</v>
      </c>
      <c r="C5313" s="9" t="s">
        <v>17</v>
      </c>
      <c r="D5313" s="9" t="s">
        <v>18</v>
      </c>
      <c r="E5313" s="10" t="s">
        <v>610</v>
      </c>
      <c r="F5313" s="9" t="s">
        <v>611</v>
      </c>
      <c r="G5313" s="10" t="s">
        <v>21</v>
      </c>
      <c r="H5313" s="9" t="s">
        <v>22</v>
      </c>
      <c r="I5313" s="9" t="s">
        <v>12387</v>
      </c>
      <c r="J5313" s="10" t="str">
        <f>HYPERLINK("https://www.boe.es/gazeta/dias/1834/12/21/pdfs/GMD-C-1834-311.pdf#page=3","Abrir facsímil")</f>
        <v>Abrir facsímil</v>
      </c>
      <c r="K5313" s="10" t="s">
        <v>24</v>
      </c>
    </row>
    <row r="5314" spans="1:11" ht="54" customHeight="1">
      <c r="A5314" s="9" t="s">
        <v>12388</v>
      </c>
      <c r="B5314" s="9" t="s">
        <v>12389</v>
      </c>
      <c r="C5314" s="9" t="s">
        <v>122</v>
      </c>
      <c r="D5314" s="9" t="s">
        <v>18</v>
      </c>
      <c r="E5314" s="10" t="s">
        <v>772</v>
      </c>
      <c r="F5314" s="9" t="s">
        <v>2284</v>
      </c>
      <c r="G5314" s="10" t="s">
        <v>176</v>
      </c>
      <c r="H5314" s="9" t="s">
        <v>22</v>
      </c>
      <c r="I5314" s="9" t="s">
        <v>12390</v>
      </c>
      <c r="J5314" s="10" t="str">
        <f>HYPERLINK("https://www.boe.es/gazeta/dias/1834/09/18/pdfs/GMD-C-1834-216.pdf#page=6","Abrir facsímil")</f>
        <v>Abrir facsímil</v>
      </c>
      <c r="K5314" s="10" t="s">
        <v>24</v>
      </c>
    </row>
    <row r="5315" spans="1:11" ht="54" customHeight="1">
      <c r="A5315" s="9" t="s">
        <v>12391</v>
      </c>
      <c r="B5315" s="9" t="s">
        <v>12392</v>
      </c>
      <c r="C5315" s="9" t="s">
        <v>66</v>
      </c>
      <c r="D5315" s="9" t="s">
        <v>18</v>
      </c>
      <c r="E5315" s="10" t="s">
        <v>158</v>
      </c>
      <c r="F5315" s="9" t="s">
        <v>159</v>
      </c>
      <c r="G5315" s="10" t="s">
        <v>34</v>
      </c>
      <c r="H5315" s="9" t="s">
        <v>22</v>
      </c>
      <c r="I5315" s="9" t="s">
        <v>12393</v>
      </c>
      <c r="J5315" s="10" t="str">
        <f>HYPERLINK("https://www.boe.es/gazeta/dias/1834/10/01/pdfs/GMD-1834-229.pdf#page=1","Abrir facsímil")</f>
        <v>Abrir facsímil</v>
      </c>
      <c r="K5315" s="10" t="s">
        <v>24</v>
      </c>
    </row>
    <row r="5316" spans="1:11" ht="54" customHeight="1">
      <c r="A5316" s="9" t="s">
        <v>12394</v>
      </c>
      <c r="B5316" s="9" t="s">
        <v>12394</v>
      </c>
      <c r="C5316" s="9" t="s">
        <v>66</v>
      </c>
      <c r="D5316" s="9" t="s">
        <v>67</v>
      </c>
      <c r="E5316" s="10" t="s">
        <v>441</v>
      </c>
      <c r="F5316" s="9" t="s">
        <v>442</v>
      </c>
      <c r="G5316" s="10" t="s">
        <v>34</v>
      </c>
      <c r="H5316" s="9" t="s">
        <v>22</v>
      </c>
      <c r="I5316" s="9" t="s">
        <v>12395</v>
      </c>
      <c r="J5316" s="10" t="str">
        <f>HYPERLINK("https://www.boe.es/gazeta/dias/1834/11/10/pdfs/GMD-1834-269.pdf#page=1","Abrir facsímil")</f>
        <v>Abrir facsímil</v>
      </c>
      <c r="K5316" s="10" t="s">
        <v>24</v>
      </c>
    </row>
    <row r="5317" spans="1:11" ht="54" customHeight="1">
      <c r="A5317" s="9" t="s">
        <v>12394</v>
      </c>
      <c r="B5317" s="9" t="s">
        <v>12394</v>
      </c>
      <c r="C5317" s="9" t="s">
        <v>46</v>
      </c>
      <c r="D5317" s="9" t="s">
        <v>101</v>
      </c>
      <c r="E5317" s="10" t="s">
        <v>672</v>
      </c>
      <c r="F5317" s="9" t="s">
        <v>1055</v>
      </c>
      <c r="G5317" s="10" t="s">
        <v>28</v>
      </c>
      <c r="H5317" s="9" t="s">
        <v>22</v>
      </c>
      <c r="I5317" s="9" t="s">
        <v>12396</v>
      </c>
      <c r="J5317" s="10" t="str">
        <f>HYPERLINK("https://www.boe.es/gazeta/dias/1834/09/19/pdfs/GMD-C-1834-217.pdf#page=5","Abrir facsímil")</f>
        <v>Abrir facsímil</v>
      </c>
      <c r="K5317" s="10" t="s">
        <v>24</v>
      </c>
    </row>
    <row r="5318" spans="1:11" ht="54" customHeight="1">
      <c r="A5318" s="9" t="s">
        <v>12397</v>
      </c>
      <c r="B5318" s="9" t="s">
        <v>12398</v>
      </c>
      <c r="C5318" s="9" t="s">
        <v>66</v>
      </c>
      <c r="D5318" s="9" t="s">
        <v>67</v>
      </c>
      <c r="E5318" s="10" t="s">
        <v>217</v>
      </c>
      <c r="F5318" s="9" t="s">
        <v>218</v>
      </c>
      <c r="G5318" s="10" t="s">
        <v>34</v>
      </c>
      <c r="H5318" s="9" t="s">
        <v>35</v>
      </c>
      <c r="I5318" s="9" t="s">
        <v>12399</v>
      </c>
      <c r="J5318" s="10" t="str">
        <f>HYPERLINK("https://www.boe.es/gazeta/dias/1834/04/20/pdfs/GMD-1834-59.pdf#page=1","Abrir facsímil")</f>
        <v>Abrir facsímil</v>
      </c>
      <c r="K5318" s="10" t="s">
        <v>37</v>
      </c>
    </row>
    <row r="5319" spans="1:11" ht="54" customHeight="1">
      <c r="A5319" s="9" t="s">
        <v>12400</v>
      </c>
      <c r="B5319" s="9" t="s">
        <v>12401</v>
      </c>
      <c r="C5319" s="9" t="s">
        <v>66</v>
      </c>
      <c r="D5319" s="9" t="s">
        <v>67</v>
      </c>
      <c r="E5319" s="10" t="s">
        <v>217</v>
      </c>
      <c r="F5319" s="9" t="s">
        <v>218</v>
      </c>
      <c r="G5319" s="10" t="s">
        <v>34</v>
      </c>
      <c r="H5319" s="9" t="s">
        <v>22</v>
      </c>
      <c r="I5319" s="9" t="s">
        <v>12402</v>
      </c>
      <c r="J5319" s="10" t="str">
        <f>HYPERLINK("https://www.boe.es/gazeta/dias/1834/04/20/pdfs/GMD-1834-59.pdf#page=1","Abrir facsímil")</f>
        <v>Abrir facsímil</v>
      </c>
      <c r="K5319" s="10" t="s">
        <v>24</v>
      </c>
    </row>
    <row r="5320" spans="1:11" ht="54" customHeight="1">
      <c r="A5320" s="9" t="s">
        <v>12403</v>
      </c>
      <c r="B5320" s="9" t="s">
        <v>12404</v>
      </c>
      <c r="C5320" s="9" t="s">
        <v>17</v>
      </c>
      <c r="D5320" s="9" t="s">
        <v>55</v>
      </c>
      <c r="E5320" s="10" t="s">
        <v>32</v>
      </c>
      <c r="F5320" s="9" t="s">
        <v>33</v>
      </c>
      <c r="G5320" s="10" t="s">
        <v>86</v>
      </c>
      <c r="H5320" s="9" t="s">
        <v>22</v>
      </c>
      <c r="I5320" s="9" t="s">
        <v>12405</v>
      </c>
      <c r="J5320" s="10" t="str">
        <f>HYPERLINK("https://www.boe.es/gazeta/dias/1834/04/23/pdfs/GMD-1834-62.pdf#page=2","Abrir facsímil")</f>
        <v>Abrir facsímil</v>
      </c>
      <c r="K5320" s="10" t="s">
        <v>24</v>
      </c>
    </row>
    <row r="5321" spans="1:11" ht="54" customHeight="1">
      <c r="A5321" s="9" t="s">
        <v>12406</v>
      </c>
      <c r="B5321" s="9" t="s">
        <v>12406</v>
      </c>
      <c r="C5321" s="9" t="s">
        <v>17</v>
      </c>
      <c r="D5321" s="9" t="s">
        <v>18</v>
      </c>
      <c r="E5321" s="10" t="s">
        <v>1410</v>
      </c>
      <c r="F5321" s="9" t="s">
        <v>2231</v>
      </c>
      <c r="G5321" s="10" t="s">
        <v>28</v>
      </c>
      <c r="H5321" s="9" t="s">
        <v>22</v>
      </c>
      <c r="I5321" s="9" t="s">
        <v>12407</v>
      </c>
      <c r="J5321" s="10" t="str">
        <f>HYPERLINK("https://www.boe.es/gazeta/dias/1834/09/09/pdfs/GMD-C-1834-207.pdf#page=5","Abrir facsímil")</f>
        <v>Abrir facsímil</v>
      </c>
      <c r="K5321" s="10" t="s">
        <v>24</v>
      </c>
    </row>
    <row r="5322" spans="1:11" ht="54" customHeight="1">
      <c r="A5322" s="9" t="s">
        <v>12408</v>
      </c>
      <c r="B5322" s="9" t="s">
        <v>12409</v>
      </c>
      <c r="C5322" s="9" t="s">
        <v>17</v>
      </c>
      <c r="D5322" s="9" t="s">
        <v>101</v>
      </c>
      <c r="E5322" s="10" t="s">
        <v>4064</v>
      </c>
      <c r="F5322" s="9" t="s">
        <v>4065</v>
      </c>
      <c r="G5322" s="10" t="s">
        <v>34</v>
      </c>
      <c r="H5322" s="9" t="s">
        <v>22</v>
      </c>
      <c r="I5322" s="9" t="s">
        <v>12410</v>
      </c>
      <c r="J5322" s="10" t="str">
        <f>HYPERLINK("https://www.boe.es/gazeta/dias/1834/07/22/pdfs/GMD-1834-155.pdf#page=1","Abrir facsímil")</f>
        <v>Abrir facsímil</v>
      </c>
      <c r="K5322" s="10" t="s">
        <v>24</v>
      </c>
    </row>
    <row r="5323" spans="1:11" ht="54" customHeight="1">
      <c r="A5323" s="9" t="s">
        <v>12411</v>
      </c>
      <c r="B5323" s="9" t="s">
        <v>12412</v>
      </c>
      <c r="C5323" s="9" t="s">
        <v>17</v>
      </c>
      <c r="D5323" s="9" t="s">
        <v>101</v>
      </c>
      <c r="E5323" s="10" t="s">
        <v>4064</v>
      </c>
      <c r="F5323" s="9" t="s">
        <v>4065</v>
      </c>
      <c r="G5323" s="10" t="s">
        <v>34</v>
      </c>
      <c r="H5323" s="9" t="s">
        <v>35</v>
      </c>
      <c r="I5323" s="9" t="s">
        <v>12413</v>
      </c>
      <c r="J5323" s="10" t="str">
        <f>HYPERLINK("https://www.boe.es/gazeta/dias/1834/07/22/pdfs/GMD-1834-155.pdf#page=1","Abrir facsímil")</f>
        <v>Abrir facsímil</v>
      </c>
      <c r="K5323" s="10" t="s">
        <v>37</v>
      </c>
    </row>
    <row r="5324" spans="1:11" ht="54" customHeight="1">
      <c r="A5324" s="9" t="s">
        <v>12414</v>
      </c>
      <c r="B5324" s="9" t="s">
        <v>12414</v>
      </c>
      <c r="C5324" s="9" t="s">
        <v>17</v>
      </c>
      <c r="D5324" s="9" t="s">
        <v>18</v>
      </c>
      <c r="E5324" s="10" t="s">
        <v>1125</v>
      </c>
      <c r="F5324" s="9" t="s">
        <v>2490</v>
      </c>
      <c r="G5324" s="10" t="s">
        <v>470</v>
      </c>
      <c r="H5324" s="9" t="s">
        <v>22</v>
      </c>
      <c r="I5324" s="9" t="s">
        <v>12415</v>
      </c>
      <c r="J5324" s="10" t="str">
        <f>HYPERLINK("https://www.boe.es/gazeta/dias/1834/04/17/pdfs/GMD-1834-56.pdf#page=8","Abrir facsímil")</f>
        <v>Abrir facsímil</v>
      </c>
      <c r="K5324" s="10" t="s">
        <v>24</v>
      </c>
    </row>
    <row r="5325" spans="1:11" ht="54" customHeight="1">
      <c r="A5325" s="9" t="s">
        <v>12416</v>
      </c>
      <c r="B5325" s="9" t="s">
        <v>12416</v>
      </c>
      <c r="C5325" s="9" t="s">
        <v>17</v>
      </c>
      <c r="D5325" s="9" t="s">
        <v>40</v>
      </c>
      <c r="E5325" s="10" t="s">
        <v>594</v>
      </c>
      <c r="F5325" s="9" t="s">
        <v>595</v>
      </c>
      <c r="G5325" s="10" t="s">
        <v>75</v>
      </c>
      <c r="H5325" s="9" t="s">
        <v>22</v>
      </c>
      <c r="I5325" s="9" t="s">
        <v>12417</v>
      </c>
      <c r="J5325" s="10" t="str">
        <f>HYPERLINK("https://www.boe.es/gazeta/dias/1834/06/01/pdfs/GMD-1834-102.pdf#page=4","Abrir facsímil")</f>
        <v>Abrir facsímil</v>
      </c>
      <c r="K5325" s="10" t="s">
        <v>24</v>
      </c>
    </row>
    <row r="5326" spans="1:11" ht="54" customHeight="1">
      <c r="A5326" s="9" t="s">
        <v>12418</v>
      </c>
      <c r="B5326" s="9" t="s">
        <v>12419</v>
      </c>
      <c r="C5326" s="9" t="s">
        <v>17</v>
      </c>
      <c r="D5326" s="9" t="s">
        <v>40</v>
      </c>
      <c r="E5326" s="10" t="s">
        <v>454</v>
      </c>
      <c r="F5326" s="9" t="s">
        <v>2009</v>
      </c>
      <c r="G5326" s="10" t="s">
        <v>86</v>
      </c>
      <c r="H5326" s="9" t="s">
        <v>22</v>
      </c>
      <c r="I5326" s="9" t="s">
        <v>12420</v>
      </c>
      <c r="J5326" s="10" t="str">
        <f>HYPERLINK("https://www.boe.es/gazeta/dias/1834/10/16/pdfs/GMD-1834-244.pdf#page=2","Abrir facsímil")</f>
        <v>Abrir facsímil</v>
      </c>
      <c r="K5326" s="10" t="s">
        <v>24</v>
      </c>
    </row>
    <row r="5327" spans="1:11" ht="54" customHeight="1">
      <c r="A5327" s="9" t="s">
        <v>12421</v>
      </c>
      <c r="B5327" s="9" t="s">
        <v>12422</v>
      </c>
      <c r="C5327" s="9" t="s">
        <v>17</v>
      </c>
      <c r="D5327" s="9" t="s">
        <v>40</v>
      </c>
      <c r="E5327" s="10" t="s">
        <v>454</v>
      </c>
      <c r="F5327" s="9" t="s">
        <v>2009</v>
      </c>
      <c r="G5327" s="10" t="s">
        <v>86</v>
      </c>
      <c r="H5327" s="9" t="s">
        <v>35</v>
      </c>
      <c r="I5327" s="9" t="s">
        <v>12423</v>
      </c>
      <c r="J5327" s="10" t="str">
        <f>HYPERLINK("https://www.boe.es/gazeta/dias/1834/10/16/pdfs/GMD-1834-244.pdf#page=2","Abrir facsímil")</f>
        <v>Abrir facsímil</v>
      </c>
      <c r="K5327" s="10" t="s">
        <v>37</v>
      </c>
    </row>
    <row r="5328" spans="1:11" ht="54" customHeight="1">
      <c r="A5328" s="9" t="s">
        <v>12424</v>
      </c>
      <c r="B5328" s="9" t="s">
        <v>12425</v>
      </c>
      <c r="C5328" s="9" t="s">
        <v>17</v>
      </c>
      <c r="D5328" s="9" t="s">
        <v>18</v>
      </c>
      <c r="E5328" s="10" t="s">
        <v>454</v>
      </c>
      <c r="F5328" s="9" t="s">
        <v>2009</v>
      </c>
      <c r="G5328" s="10" t="s">
        <v>86</v>
      </c>
      <c r="H5328" s="9" t="s">
        <v>22</v>
      </c>
      <c r="I5328" s="9" t="s">
        <v>12426</v>
      </c>
      <c r="J5328" s="10" t="str">
        <f>HYPERLINK("https://www.boe.es/gazeta/dias/1834/10/16/pdfs/GMD-1834-244.pdf#page=2","Abrir facsímil")</f>
        <v>Abrir facsímil</v>
      </c>
      <c r="K5328" s="10" t="s">
        <v>24</v>
      </c>
    </row>
    <row r="5329" spans="1:11" ht="54" customHeight="1">
      <c r="A5329" s="9" t="s">
        <v>12427</v>
      </c>
      <c r="B5329" s="9" t="s">
        <v>12428</v>
      </c>
      <c r="C5329" s="9" t="s">
        <v>17</v>
      </c>
      <c r="D5329" s="9" t="s">
        <v>18</v>
      </c>
      <c r="E5329" s="10" t="s">
        <v>299</v>
      </c>
      <c r="F5329" s="9" t="s">
        <v>300</v>
      </c>
      <c r="G5329" s="10" t="s">
        <v>75</v>
      </c>
      <c r="H5329" s="9" t="s">
        <v>22</v>
      </c>
      <c r="I5329" s="9" t="s">
        <v>12429</v>
      </c>
      <c r="J5329" s="10" t="str">
        <f>HYPERLINK("https://www.boe.es/gazeta/dias/1834/12/12/pdfs/GMD-1834-301.pdf#page=4","Abrir facsímil")</f>
        <v>Abrir facsímil</v>
      </c>
      <c r="K5329" s="10" t="s">
        <v>24</v>
      </c>
    </row>
    <row r="5330" spans="1:11" ht="54" customHeight="1">
      <c r="A5330" s="9" t="s">
        <v>12430</v>
      </c>
      <c r="B5330" s="9" t="s">
        <v>12431</v>
      </c>
      <c r="C5330" s="9" t="s">
        <v>66</v>
      </c>
      <c r="D5330" s="9" t="s">
        <v>67</v>
      </c>
      <c r="E5330" s="10" t="s">
        <v>1141</v>
      </c>
      <c r="F5330" s="9" t="s">
        <v>1142</v>
      </c>
      <c r="G5330" s="10" t="s">
        <v>86</v>
      </c>
      <c r="H5330" s="9" t="s">
        <v>22</v>
      </c>
      <c r="I5330" s="9" t="s">
        <v>12432</v>
      </c>
      <c r="J5330" s="10" t="str">
        <f>HYPERLINK("https://www.boe.es/gazeta/dias/1834/04/30/pdfs/GMD-1834-69.pdf#page=2","Abrir facsímil")</f>
        <v>Abrir facsímil</v>
      </c>
      <c r="K5330" s="10" t="s">
        <v>24</v>
      </c>
    </row>
    <row r="5331" spans="1:11" ht="54" customHeight="1">
      <c r="A5331" s="9" t="s">
        <v>12433</v>
      </c>
      <c r="B5331" s="9" t="s">
        <v>12434</v>
      </c>
      <c r="C5331" s="9" t="s">
        <v>122</v>
      </c>
      <c r="D5331" s="9" t="s">
        <v>55</v>
      </c>
      <c r="E5331" s="10" t="s">
        <v>2278</v>
      </c>
      <c r="F5331" s="9" t="s">
        <v>3088</v>
      </c>
      <c r="G5331" s="10" t="s">
        <v>75</v>
      </c>
      <c r="H5331" s="9" t="s">
        <v>22</v>
      </c>
      <c r="I5331" s="9" t="s">
        <v>12435</v>
      </c>
      <c r="J5331" s="10" t="str">
        <f>HYPERLINK("https://www.boe.es/gazeta/dias/1834/12/17/pdfs/GMD-1834-306.pdf#page=4","Abrir facsímil")</f>
        <v>Abrir facsímil</v>
      </c>
      <c r="K5331" s="10" t="s">
        <v>24</v>
      </c>
    </row>
    <row r="5332" spans="1:11" ht="54" customHeight="1">
      <c r="A5332" s="9" t="s">
        <v>12436</v>
      </c>
      <c r="B5332" s="9" t="s">
        <v>12437</v>
      </c>
      <c r="C5332" s="9" t="s">
        <v>17</v>
      </c>
      <c r="D5332" s="9" t="s">
        <v>18</v>
      </c>
      <c r="E5332" s="10" t="s">
        <v>19</v>
      </c>
      <c r="F5332" s="9" t="s">
        <v>107</v>
      </c>
      <c r="G5332" s="10" t="s">
        <v>75</v>
      </c>
      <c r="H5332" s="9" t="s">
        <v>22</v>
      </c>
      <c r="I5332" s="9" t="s">
        <v>12438</v>
      </c>
      <c r="J5332" s="10" t="str">
        <f>HYPERLINK("https://www.boe.es/gazeta/dias/1834/08/17/pdfs/GMD-1834-182.pdf#page=4","Abrir facsímil")</f>
        <v>Abrir facsímil</v>
      </c>
      <c r="K5332" s="10" t="s">
        <v>24</v>
      </c>
    </row>
    <row r="5333" spans="1:11" ht="54" customHeight="1">
      <c r="A5333" s="9" t="s">
        <v>12439</v>
      </c>
      <c r="B5333" s="9" t="s">
        <v>12440</v>
      </c>
      <c r="C5333" s="9" t="s">
        <v>46</v>
      </c>
      <c r="D5333" s="9" t="s">
        <v>40</v>
      </c>
      <c r="E5333" s="10" t="s">
        <v>715</v>
      </c>
      <c r="F5333" s="9" t="s">
        <v>7773</v>
      </c>
      <c r="G5333" s="10" t="s">
        <v>86</v>
      </c>
      <c r="H5333" s="9" t="s">
        <v>22</v>
      </c>
      <c r="I5333" s="9" t="s">
        <v>12441</v>
      </c>
      <c r="J5333" s="10" t="str">
        <f>HYPERLINK("https://www.boe.es/gazeta/dias/1834/09/17/pdfs/GMD-1834-215.pdf#page=2","Abrir facsímil")</f>
        <v>Abrir facsímil</v>
      </c>
      <c r="K5333" s="10" t="s">
        <v>24</v>
      </c>
    </row>
    <row r="5334" spans="1:11" ht="54" customHeight="1">
      <c r="A5334" s="9" t="s">
        <v>12442</v>
      </c>
      <c r="B5334" s="9" t="s">
        <v>12443</v>
      </c>
      <c r="C5334" s="9" t="s">
        <v>66</v>
      </c>
      <c r="D5334" s="9" t="s">
        <v>67</v>
      </c>
      <c r="E5334" s="10" t="s">
        <v>3025</v>
      </c>
      <c r="F5334" s="9" t="s">
        <v>3026</v>
      </c>
      <c r="G5334" s="10" t="s">
        <v>176</v>
      </c>
      <c r="H5334" s="9" t="s">
        <v>22</v>
      </c>
      <c r="I5334" s="9" t="s">
        <v>12444</v>
      </c>
      <c r="J5334" s="10" t="str">
        <f>HYPERLINK("https://www.boe.es/gazeta/dias/1834/05/25/pdfs/GMD-1834-94.pdf#page=6","Abrir facsímil")</f>
        <v>Abrir facsímil</v>
      </c>
      <c r="K5334" s="10" t="s">
        <v>24</v>
      </c>
    </row>
    <row r="5335" spans="1:11" ht="54" customHeight="1">
      <c r="A5335" s="9" t="s">
        <v>12445</v>
      </c>
      <c r="B5335" s="9" t="s">
        <v>12445</v>
      </c>
      <c r="C5335" s="9" t="s">
        <v>46</v>
      </c>
      <c r="D5335" s="9" t="s">
        <v>101</v>
      </c>
      <c r="E5335" s="10" t="s">
        <v>403</v>
      </c>
      <c r="F5335" s="9" t="s">
        <v>404</v>
      </c>
      <c r="G5335" s="10" t="s">
        <v>34</v>
      </c>
      <c r="H5335" s="9" t="s">
        <v>22</v>
      </c>
      <c r="I5335" s="9" t="s">
        <v>12446</v>
      </c>
      <c r="J5335" s="10" t="str">
        <f>HYPERLINK("https://www.boe.es/gazeta/dias/1834/09/25/pdfs/GMD-C-1834-223.pdf#page=1","Abrir facsímil")</f>
        <v>Abrir facsímil</v>
      </c>
      <c r="K5335" s="10" t="s">
        <v>24</v>
      </c>
    </row>
    <row r="5336" spans="1:11" ht="54" customHeight="1">
      <c r="A5336" s="9" t="s">
        <v>12447</v>
      </c>
      <c r="B5336" s="9" t="s">
        <v>12447</v>
      </c>
      <c r="C5336" s="9" t="s">
        <v>17</v>
      </c>
      <c r="D5336" s="9" t="s">
        <v>18</v>
      </c>
      <c r="E5336" s="10" t="s">
        <v>2379</v>
      </c>
      <c r="F5336" s="9" t="s">
        <v>2380</v>
      </c>
      <c r="G5336" s="10" t="s">
        <v>21</v>
      </c>
      <c r="H5336" s="9" t="s">
        <v>22</v>
      </c>
      <c r="I5336" s="9" t="s">
        <v>12448</v>
      </c>
      <c r="J5336" s="10" t="str">
        <f>HYPERLINK("https://www.boe.es/gazeta/dias/1834/04/03/pdfs/GMD-1834-42.pdf#page=3","Abrir facsímil")</f>
        <v>Abrir facsímil</v>
      </c>
      <c r="K5336" s="10" t="s">
        <v>24</v>
      </c>
    </row>
    <row r="5337" spans="1:11" ht="54" customHeight="1">
      <c r="A5337" s="9" t="s">
        <v>12449</v>
      </c>
      <c r="B5337" s="9" t="s">
        <v>12449</v>
      </c>
      <c r="C5337" s="9" t="s">
        <v>17</v>
      </c>
      <c r="D5337" s="9" t="s">
        <v>55</v>
      </c>
      <c r="E5337" s="10" t="s">
        <v>535</v>
      </c>
      <c r="F5337" s="9" t="s">
        <v>536</v>
      </c>
      <c r="G5337" s="10" t="s">
        <v>86</v>
      </c>
      <c r="H5337" s="9" t="s">
        <v>22</v>
      </c>
      <c r="I5337" s="9" t="s">
        <v>12450</v>
      </c>
      <c r="J5337" s="10" t="str">
        <f>HYPERLINK("https://www.boe.es/gazeta/dias/1834/05/21/pdfs/GMD-1834-90.pdf#page=2","Abrir facsímil")</f>
        <v>Abrir facsímil</v>
      </c>
      <c r="K5337" s="10" t="s">
        <v>24</v>
      </c>
    </row>
    <row r="5338" spans="1:11" ht="54" customHeight="1">
      <c r="A5338" s="9" t="s">
        <v>12451</v>
      </c>
      <c r="B5338" s="9" t="s">
        <v>12451</v>
      </c>
      <c r="C5338" s="9" t="s">
        <v>46</v>
      </c>
      <c r="D5338" s="9" t="s">
        <v>101</v>
      </c>
      <c r="E5338" s="10" t="s">
        <v>615</v>
      </c>
      <c r="F5338" s="9" t="s">
        <v>616</v>
      </c>
      <c r="G5338" s="10" t="s">
        <v>86</v>
      </c>
      <c r="H5338" s="9" t="s">
        <v>22</v>
      </c>
      <c r="I5338" s="9" t="s">
        <v>12452</v>
      </c>
      <c r="J5338" s="10" t="str">
        <f>HYPERLINK("https://www.boe.es/gazeta/dias/1834/08/19/pdfs/GMD-1834-185.pdf#page=2","Abrir facsímil")</f>
        <v>Abrir facsímil</v>
      </c>
      <c r="K5338" s="10" t="s">
        <v>24</v>
      </c>
    </row>
    <row r="5339" spans="1:11" ht="54" customHeight="1">
      <c r="A5339" s="9" t="s">
        <v>12453</v>
      </c>
      <c r="B5339" s="9" t="s">
        <v>12453</v>
      </c>
      <c r="C5339" s="9" t="s">
        <v>17</v>
      </c>
      <c r="D5339" s="9" t="s">
        <v>18</v>
      </c>
      <c r="E5339" s="10" t="s">
        <v>394</v>
      </c>
      <c r="F5339" s="9" t="s">
        <v>459</v>
      </c>
      <c r="G5339" s="10" t="s">
        <v>34</v>
      </c>
      <c r="H5339" s="9" t="s">
        <v>22</v>
      </c>
      <c r="I5339" s="9" t="s">
        <v>12454</v>
      </c>
      <c r="J5339" s="10" t="str">
        <f>HYPERLINK("https://www.boe.es/gazeta/dias/1834/12/23/pdfs/GMD-C-1834-313.pdf#page=1","Abrir facsímil")</f>
        <v>Abrir facsímil</v>
      </c>
      <c r="K5339" s="10" t="s">
        <v>24</v>
      </c>
    </row>
    <row r="5340" spans="1:11" ht="54" customHeight="1">
      <c r="A5340" s="9" t="s">
        <v>12455</v>
      </c>
      <c r="B5340" s="9" t="s">
        <v>12455</v>
      </c>
      <c r="C5340" s="9" t="s">
        <v>17</v>
      </c>
      <c r="D5340" s="9" t="s">
        <v>18</v>
      </c>
      <c r="E5340" s="10" t="s">
        <v>1862</v>
      </c>
      <c r="F5340" s="9" t="s">
        <v>1863</v>
      </c>
      <c r="G5340" s="10" t="s">
        <v>75</v>
      </c>
      <c r="H5340" s="9" t="s">
        <v>22</v>
      </c>
      <c r="I5340" s="9" t="s">
        <v>12456</v>
      </c>
      <c r="J5340" s="10" t="str">
        <f>HYPERLINK("https://www.boe.es/gazeta/dias/1834/02/04/pdfs/GMD-1834-16.pdf#page=4","Abrir facsímil")</f>
        <v>Abrir facsímil</v>
      </c>
      <c r="K5340" s="10" t="s">
        <v>24</v>
      </c>
    </row>
    <row r="5341" spans="1:11" ht="54" customHeight="1">
      <c r="A5341" s="9" t="s">
        <v>12457</v>
      </c>
      <c r="B5341" s="9" t="s">
        <v>12458</v>
      </c>
      <c r="C5341" s="9" t="s">
        <v>66</v>
      </c>
      <c r="D5341" s="9" t="s">
        <v>67</v>
      </c>
      <c r="E5341" s="10" t="s">
        <v>1195</v>
      </c>
      <c r="F5341" s="9" t="s">
        <v>1916</v>
      </c>
      <c r="G5341" s="10" t="s">
        <v>21</v>
      </c>
      <c r="H5341" s="9" t="s">
        <v>35</v>
      </c>
      <c r="I5341" s="9" t="s">
        <v>12459</v>
      </c>
      <c r="J5341" s="10" t="str">
        <f>HYPERLINK("https://www.boe.es/gazeta/dias/1834/10/17/pdfs/GMD-1834-245.pdf#page=3","Abrir facsímil")</f>
        <v>Abrir facsímil</v>
      </c>
      <c r="K5341" s="10" t="s">
        <v>37</v>
      </c>
    </row>
    <row r="5342" spans="1:11" ht="54" customHeight="1">
      <c r="A5342" s="9" t="s">
        <v>12460</v>
      </c>
      <c r="B5342" s="9" t="s">
        <v>12461</v>
      </c>
      <c r="C5342" s="9" t="s">
        <v>17</v>
      </c>
      <c r="D5342" s="9" t="s">
        <v>18</v>
      </c>
      <c r="E5342" s="10" t="s">
        <v>56</v>
      </c>
      <c r="F5342" s="9" t="s">
        <v>57</v>
      </c>
      <c r="G5342" s="10" t="s">
        <v>75</v>
      </c>
      <c r="H5342" s="9" t="s">
        <v>35</v>
      </c>
      <c r="I5342" s="9" t="s">
        <v>12462</v>
      </c>
      <c r="J5342" s="10" t="str">
        <f>HYPERLINK("https://www.boe.es/gazeta/dias/1834/07/09/pdfs/GMD-1834-142.pdf#page=4","Abrir facsímil")</f>
        <v>Abrir facsímil</v>
      </c>
      <c r="K5342" s="10" t="s">
        <v>37</v>
      </c>
    </row>
    <row r="5343" spans="1:11" ht="54" customHeight="1">
      <c r="A5343" s="9" t="s">
        <v>12463</v>
      </c>
      <c r="B5343" s="9" t="s">
        <v>12464</v>
      </c>
      <c r="C5343" s="9" t="s">
        <v>66</v>
      </c>
      <c r="D5343" s="9" t="s">
        <v>67</v>
      </c>
      <c r="E5343" s="10" t="s">
        <v>793</v>
      </c>
      <c r="F5343" s="9" t="s">
        <v>794</v>
      </c>
      <c r="G5343" s="10" t="s">
        <v>86</v>
      </c>
      <c r="H5343" s="9" t="s">
        <v>22</v>
      </c>
      <c r="I5343" s="9" t="s">
        <v>12465</v>
      </c>
      <c r="J5343" s="10" t="str">
        <f>HYPERLINK("https://www.boe.es/gazeta/dias/1834/10/08/pdfs/GMD-1834-236.pdf#page=2","Abrir facsímil")</f>
        <v>Abrir facsímil</v>
      </c>
      <c r="K5343" s="10" t="s">
        <v>24</v>
      </c>
    </row>
    <row r="5344" spans="1:11" ht="54" customHeight="1">
      <c r="A5344" s="9" t="s">
        <v>12466</v>
      </c>
      <c r="B5344" s="9" t="s">
        <v>12467</v>
      </c>
      <c r="C5344" s="9" t="s">
        <v>17</v>
      </c>
      <c r="D5344" s="9" t="s">
        <v>18</v>
      </c>
      <c r="E5344" s="10" t="s">
        <v>56</v>
      </c>
      <c r="F5344" s="9" t="s">
        <v>57</v>
      </c>
      <c r="G5344" s="10" t="s">
        <v>75</v>
      </c>
      <c r="H5344" s="9" t="s">
        <v>22</v>
      </c>
      <c r="I5344" s="9" t="s">
        <v>12468</v>
      </c>
      <c r="J5344" s="10" t="str">
        <f>HYPERLINK("https://www.boe.es/gazeta/dias/1834/07/09/pdfs/GMD-1834-142.pdf#page=4","Abrir facsímil")</f>
        <v>Abrir facsímil</v>
      </c>
      <c r="K5344" s="10" t="s">
        <v>24</v>
      </c>
    </row>
    <row r="5345" spans="1:11" ht="54" customHeight="1">
      <c r="A5345" s="9" t="s">
        <v>12469</v>
      </c>
      <c r="B5345" s="9" t="s">
        <v>12470</v>
      </c>
      <c r="C5345" s="9" t="s">
        <v>122</v>
      </c>
      <c r="D5345" s="9" t="s">
        <v>18</v>
      </c>
      <c r="E5345" s="10" t="s">
        <v>696</v>
      </c>
      <c r="F5345" s="9" t="s">
        <v>854</v>
      </c>
      <c r="G5345" s="10" t="s">
        <v>86</v>
      </c>
      <c r="H5345" s="9" t="s">
        <v>22</v>
      </c>
      <c r="I5345" s="9" t="s">
        <v>12471</v>
      </c>
      <c r="J5345" s="10" t="str">
        <f>HYPERLINK("https://www.boe.es/gazeta/dias/1834/12/06/pdfs/GMD-1834-295.pdf#page=2","Abrir facsímil")</f>
        <v>Abrir facsímil</v>
      </c>
      <c r="K5345" s="10" t="s">
        <v>24</v>
      </c>
    </row>
    <row r="5346" spans="1:11" ht="54" customHeight="1">
      <c r="A5346" s="9" t="s">
        <v>12472</v>
      </c>
      <c r="B5346" s="9" t="s">
        <v>12472</v>
      </c>
      <c r="C5346" s="9" t="s">
        <v>90</v>
      </c>
      <c r="D5346" s="9" t="s">
        <v>18</v>
      </c>
      <c r="E5346" s="10" t="s">
        <v>1340</v>
      </c>
      <c r="F5346" s="9" t="s">
        <v>1341</v>
      </c>
      <c r="G5346" s="10" t="s">
        <v>75</v>
      </c>
      <c r="H5346" s="9" t="s">
        <v>22</v>
      </c>
      <c r="I5346" s="9" t="s">
        <v>12473</v>
      </c>
      <c r="J5346" s="10" t="str">
        <f>HYPERLINK("https://www.boe.es/gazeta/dias/1834/10/05/pdfs/GMD-C-1834-233.pdf#page=4","Abrir facsímil")</f>
        <v>Abrir facsímil</v>
      </c>
      <c r="K5346" s="10" t="s">
        <v>24</v>
      </c>
    </row>
    <row r="5347" spans="1:11" ht="54" customHeight="1">
      <c r="A5347" s="9" t="s">
        <v>12472</v>
      </c>
      <c r="B5347" s="9" t="s">
        <v>12472</v>
      </c>
      <c r="C5347" s="9" t="s">
        <v>17</v>
      </c>
      <c r="D5347" s="9" t="s">
        <v>18</v>
      </c>
      <c r="E5347" s="10" t="s">
        <v>96</v>
      </c>
      <c r="F5347" s="9" t="s">
        <v>97</v>
      </c>
      <c r="G5347" s="10" t="s">
        <v>34</v>
      </c>
      <c r="H5347" s="9" t="s">
        <v>22</v>
      </c>
      <c r="I5347" s="9" t="s">
        <v>12474</v>
      </c>
      <c r="J5347" s="10" t="str">
        <f>HYPERLINK("https://www.boe.es/gazeta/dias/1834/11/11/pdfs/GMD-C-1834-270.pdf#page=1","Abrir facsímil")</f>
        <v>Abrir facsímil</v>
      </c>
      <c r="K5347" s="10" t="s">
        <v>24</v>
      </c>
    </row>
    <row r="5348" spans="1:11" ht="54" customHeight="1">
      <c r="A5348" s="9" t="s">
        <v>12472</v>
      </c>
      <c r="B5348" s="9" t="s">
        <v>12472</v>
      </c>
      <c r="C5348" s="9" t="s">
        <v>90</v>
      </c>
      <c r="D5348" s="9" t="s">
        <v>101</v>
      </c>
      <c r="E5348" s="10" t="s">
        <v>707</v>
      </c>
      <c r="F5348" s="9" t="s">
        <v>708</v>
      </c>
      <c r="G5348" s="10" t="s">
        <v>28</v>
      </c>
      <c r="H5348" s="9" t="s">
        <v>22</v>
      </c>
      <c r="I5348" s="9" t="s">
        <v>12475</v>
      </c>
      <c r="J5348" s="10" t="str">
        <f>HYPERLINK("https://www.boe.es/gazeta/dias/1834/11/25/pdfs/GMD-C-1834-284.pdf#page=5","Abrir facsímil")</f>
        <v>Abrir facsímil</v>
      </c>
      <c r="K5348" s="10" t="s">
        <v>24</v>
      </c>
    </row>
    <row r="5349" spans="1:11" ht="54" customHeight="1">
      <c r="A5349" s="9" t="s">
        <v>12472</v>
      </c>
      <c r="B5349" s="9" t="s">
        <v>12472</v>
      </c>
      <c r="C5349" s="9" t="s">
        <v>90</v>
      </c>
      <c r="D5349" s="9" t="s">
        <v>18</v>
      </c>
      <c r="E5349" s="10" t="s">
        <v>294</v>
      </c>
      <c r="F5349" s="9" t="s">
        <v>959</v>
      </c>
      <c r="G5349" s="10" t="s">
        <v>34</v>
      </c>
      <c r="H5349" s="9" t="s">
        <v>22</v>
      </c>
      <c r="I5349" s="9" t="s">
        <v>12476</v>
      </c>
      <c r="J5349" s="10" t="str">
        <f>HYPERLINK("https://www.boe.es/gazeta/dias/1834/09/27/pdfs/GMD-C-1834-225.pdf#page=1","Abrir facsímil")</f>
        <v>Abrir facsímil</v>
      </c>
      <c r="K5349" s="10" t="s">
        <v>24</v>
      </c>
    </row>
    <row r="5350" spans="1:11" ht="54" customHeight="1">
      <c r="A5350" s="9" t="s">
        <v>12477</v>
      </c>
      <c r="B5350" s="9" t="s">
        <v>12477</v>
      </c>
      <c r="C5350" s="9" t="s">
        <v>17</v>
      </c>
      <c r="D5350" s="9" t="s">
        <v>18</v>
      </c>
      <c r="E5350" s="10" t="s">
        <v>2278</v>
      </c>
      <c r="F5350" s="9" t="s">
        <v>2279</v>
      </c>
      <c r="G5350" s="10" t="s">
        <v>28</v>
      </c>
      <c r="H5350" s="9" t="s">
        <v>22</v>
      </c>
      <c r="I5350" s="9" t="s">
        <v>12478</v>
      </c>
      <c r="J5350" s="10" t="str">
        <f>HYPERLINK("https://www.boe.es/gazeta/dias/1834/12/17/pdfs/GMD-C-1834-306.pdf#page=5","Abrir facsímil")</f>
        <v>Abrir facsímil</v>
      </c>
      <c r="K5350" s="10" t="s">
        <v>24</v>
      </c>
    </row>
    <row r="5351" spans="1:11" ht="54" customHeight="1">
      <c r="A5351" s="9" t="s">
        <v>12479</v>
      </c>
      <c r="B5351" s="9" t="s">
        <v>12479</v>
      </c>
      <c r="C5351" s="9" t="s">
        <v>17</v>
      </c>
      <c r="D5351" s="9" t="s">
        <v>18</v>
      </c>
      <c r="E5351" s="10" t="s">
        <v>247</v>
      </c>
      <c r="F5351" s="9" t="s">
        <v>248</v>
      </c>
      <c r="G5351" s="10" t="s">
        <v>86</v>
      </c>
      <c r="H5351" s="9" t="s">
        <v>22</v>
      </c>
      <c r="I5351" s="9" t="s">
        <v>12480</v>
      </c>
      <c r="J5351" s="10" t="str">
        <f>HYPERLINK("https://www.boe.es/gazeta/dias/1834/08/23/pdfs/GMD-C-1834-189.pdf#page=2","Abrir facsímil")</f>
        <v>Abrir facsímil</v>
      </c>
      <c r="K5351" s="10" t="s">
        <v>24</v>
      </c>
    </row>
    <row r="5352" spans="1:11" ht="54" customHeight="1">
      <c r="A5352" s="9" t="s">
        <v>12481</v>
      </c>
      <c r="B5352" s="9" t="s">
        <v>12481</v>
      </c>
      <c r="C5352" s="9" t="s">
        <v>17</v>
      </c>
      <c r="D5352" s="9" t="s">
        <v>18</v>
      </c>
      <c r="E5352" s="10" t="s">
        <v>255</v>
      </c>
      <c r="F5352" s="9" t="s">
        <v>256</v>
      </c>
      <c r="G5352" s="10" t="s">
        <v>21</v>
      </c>
      <c r="H5352" s="9" t="s">
        <v>22</v>
      </c>
      <c r="I5352" s="9" t="s">
        <v>12482</v>
      </c>
      <c r="J5352" s="10" t="str">
        <f>HYPERLINK("https://www.boe.es/gazeta/dias/1834/09/01/pdfs/GMD-D-1834-199.pdf#page=3","Abrir facsímil")</f>
        <v>Abrir facsímil</v>
      </c>
      <c r="K5352" s="10" t="s">
        <v>24</v>
      </c>
    </row>
    <row r="5353" spans="1:11" ht="54" customHeight="1">
      <c r="A5353" s="9" t="s">
        <v>12481</v>
      </c>
      <c r="B5353" s="9" t="s">
        <v>12481</v>
      </c>
      <c r="C5353" s="9" t="s">
        <v>17</v>
      </c>
      <c r="D5353" s="9" t="s">
        <v>18</v>
      </c>
      <c r="E5353" s="10" t="s">
        <v>4105</v>
      </c>
      <c r="F5353" s="9" t="s">
        <v>4106</v>
      </c>
      <c r="G5353" s="10" t="s">
        <v>34</v>
      </c>
      <c r="H5353" s="9" t="s">
        <v>22</v>
      </c>
      <c r="I5353" s="9" t="s">
        <v>12483</v>
      </c>
      <c r="J5353" s="10" t="str">
        <f>HYPERLINK("https://www.boe.es/gazeta/dias/1834/09/02/pdfs/GMD-C-1834-200.pdf#page=1","Abrir facsímil")</f>
        <v>Abrir facsímil</v>
      </c>
      <c r="K5353" s="10" t="s">
        <v>24</v>
      </c>
    </row>
    <row r="5354" spans="1:11" ht="54" customHeight="1">
      <c r="A5354" s="9" t="s">
        <v>12481</v>
      </c>
      <c r="B5354" s="9" t="s">
        <v>12481</v>
      </c>
      <c r="C5354" s="9" t="s">
        <v>17</v>
      </c>
      <c r="D5354" s="9" t="s">
        <v>18</v>
      </c>
      <c r="E5354" s="10" t="s">
        <v>416</v>
      </c>
      <c r="F5354" s="9" t="s">
        <v>417</v>
      </c>
      <c r="G5354" s="10" t="s">
        <v>34</v>
      </c>
      <c r="H5354" s="9" t="s">
        <v>22</v>
      </c>
      <c r="I5354" s="9" t="s">
        <v>12484</v>
      </c>
      <c r="J5354" s="10" t="str">
        <f>HYPERLINK("https://www.boe.es/gazeta/dias/1834/10/02/pdfs/GMD-C-1834-230.pdf#page=1","Abrir facsímil")</f>
        <v>Abrir facsímil</v>
      </c>
      <c r="K5354" s="10" t="s">
        <v>24</v>
      </c>
    </row>
    <row r="5355" spans="1:11" ht="54" customHeight="1">
      <c r="A5355" s="9" t="s">
        <v>12481</v>
      </c>
      <c r="B5355" s="9" t="s">
        <v>12481</v>
      </c>
      <c r="C5355" s="9" t="s">
        <v>17</v>
      </c>
      <c r="D5355" s="9" t="s">
        <v>18</v>
      </c>
      <c r="E5355" s="10" t="s">
        <v>416</v>
      </c>
      <c r="F5355" s="9" t="s">
        <v>417</v>
      </c>
      <c r="G5355" s="10" t="s">
        <v>86</v>
      </c>
      <c r="H5355" s="9" t="s">
        <v>22</v>
      </c>
      <c r="I5355" s="9" t="s">
        <v>12485</v>
      </c>
      <c r="J5355" s="10" t="str">
        <f>HYPERLINK("https://www.boe.es/gazeta/dias/1834/10/02/pdfs/GMD-C-1834-230.pdf#page=2","Abrir facsímil")</f>
        <v>Abrir facsímil</v>
      </c>
      <c r="K5355" s="10" t="s">
        <v>24</v>
      </c>
    </row>
    <row r="5356" spans="1:11" ht="54" customHeight="1">
      <c r="A5356" s="9" t="s">
        <v>12481</v>
      </c>
      <c r="B5356" s="9" t="s">
        <v>12481</v>
      </c>
      <c r="C5356" s="9" t="s">
        <v>17</v>
      </c>
      <c r="D5356" s="9" t="s">
        <v>18</v>
      </c>
      <c r="E5356" s="10" t="s">
        <v>690</v>
      </c>
      <c r="F5356" s="9" t="s">
        <v>691</v>
      </c>
      <c r="G5356" s="10" t="s">
        <v>34</v>
      </c>
      <c r="H5356" s="9" t="s">
        <v>22</v>
      </c>
      <c r="I5356" s="9" t="s">
        <v>12486</v>
      </c>
      <c r="J5356" s="10" t="str">
        <f>HYPERLINK("https://www.boe.es/gazeta/dias/1834/09/03/pdfs/GMD-C-1834-201.pdf#page=1","Abrir facsímil")</f>
        <v>Abrir facsímil</v>
      </c>
      <c r="K5356" s="10" t="s">
        <v>24</v>
      </c>
    </row>
    <row r="5357" spans="1:11" ht="54" customHeight="1">
      <c r="A5357" s="9" t="s">
        <v>12481</v>
      </c>
      <c r="B5357" s="9" t="s">
        <v>12481</v>
      </c>
      <c r="C5357" s="9" t="s">
        <v>17</v>
      </c>
      <c r="D5357" s="9" t="s">
        <v>40</v>
      </c>
      <c r="E5357" s="10" t="s">
        <v>1340</v>
      </c>
      <c r="F5357" s="9" t="s">
        <v>1341</v>
      </c>
      <c r="G5357" s="10" t="s">
        <v>28</v>
      </c>
      <c r="H5357" s="9" t="s">
        <v>22</v>
      </c>
      <c r="I5357" s="9" t="s">
        <v>12487</v>
      </c>
      <c r="J5357" s="10" t="str">
        <f>HYPERLINK("https://www.boe.es/gazeta/dias/1834/10/05/pdfs/GMD-C-1834-233.pdf#page=5","Abrir facsímil")</f>
        <v>Abrir facsímil</v>
      </c>
      <c r="K5357" s="10" t="s">
        <v>24</v>
      </c>
    </row>
    <row r="5358" spans="1:11" ht="54" customHeight="1">
      <c r="A5358" s="9" t="s">
        <v>12481</v>
      </c>
      <c r="B5358" s="9" t="s">
        <v>12481</v>
      </c>
      <c r="C5358" s="9" t="s">
        <v>17</v>
      </c>
      <c r="D5358" s="9" t="s">
        <v>18</v>
      </c>
      <c r="E5358" s="10" t="s">
        <v>1340</v>
      </c>
      <c r="F5358" s="9" t="s">
        <v>1341</v>
      </c>
      <c r="G5358" s="10" t="s">
        <v>176</v>
      </c>
      <c r="H5358" s="9" t="s">
        <v>22</v>
      </c>
      <c r="I5358" s="9" t="s">
        <v>12488</v>
      </c>
      <c r="J5358" s="10" t="str">
        <f>HYPERLINK("https://www.boe.es/gazeta/dias/1834/10/05/pdfs/GMD-C-1834-233.pdf#page=6","Abrir facsímil")</f>
        <v>Abrir facsímil</v>
      </c>
      <c r="K5358" s="10" t="s">
        <v>24</v>
      </c>
    </row>
    <row r="5359" spans="1:11" ht="54" customHeight="1">
      <c r="A5359" s="9" t="s">
        <v>12481</v>
      </c>
      <c r="B5359" s="9" t="s">
        <v>12481</v>
      </c>
      <c r="C5359" s="9" t="s">
        <v>17</v>
      </c>
      <c r="D5359" s="9" t="s">
        <v>18</v>
      </c>
      <c r="E5359" s="10" t="s">
        <v>364</v>
      </c>
      <c r="F5359" s="9" t="s">
        <v>365</v>
      </c>
      <c r="G5359" s="10" t="s">
        <v>86</v>
      </c>
      <c r="H5359" s="9" t="s">
        <v>22</v>
      </c>
      <c r="I5359" s="9" t="s">
        <v>12489</v>
      </c>
      <c r="J5359" s="10" t="str">
        <f>HYPERLINK("https://www.boe.es/gazeta/dias/1834/09/06/pdfs/GMD-C-1834-204.pdf#page=2","Abrir facsímil")</f>
        <v>Abrir facsímil</v>
      </c>
      <c r="K5359" s="10" t="s">
        <v>24</v>
      </c>
    </row>
    <row r="5360" spans="1:11" ht="54" customHeight="1">
      <c r="A5360" s="9" t="s">
        <v>12481</v>
      </c>
      <c r="B5360" s="9" t="s">
        <v>12481</v>
      </c>
      <c r="C5360" s="9" t="s">
        <v>17</v>
      </c>
      <c r="D5360" s="9" t="s">
        <v>55</v>
      </c>
      <c r="E5360" s="10" t="s">
        <v>364</v>
      </c>
      <c r="F5360" s="9" t="s">
        <v>365</v>
      </c>
      <c r="G5360" s="10" t="s">
        <v>21</v>
      </c>
      <c r="H5360" s="9" t="s">
        <v>22</v>
      </c>
      <c r="I5360" s="9" t="s">
        <v>12490</v>
      </c>
      <c r="J5360" s="10" t="str">
        <f>HYPERLINK("https://www.boe.es/gazeta/dias/1834/09/06/pdfs/GMD-C-1834-204.pdf#page=3","Abrir facsímil")</f>
        <v>Abrir facsímil</v>
      </c>
      <c r="K5360" s="10" t="s">
        <v>24</v>
      </c>
    </row>
    <row r="5361" spans="1:11" ht="54" customHeight="1">
      <c r="A5361" s="9" t="s">
        <v>12481</v>
      </c>
      <c r="B5361" s="9" t="s">
        <v>12481</v>
      </c>
      <c r="C5361" s="9" t="s">
        <v>46</v>
      </c>
      <c r="D5361" s="9" t="s">
        <v>101</v>
      </c>
      <c r="E5361" s="10" t="s">
        <v>364</v>
      </c>
      <c r="F5361" s="9" t="s">
        <v>365</v>
      </c>
      <c r="G5361" s="10" t="s">
        <v>75</v>
      </c>
      <c r="H5361" s="9" t="s">
        <v>22</v>
      </c>
      <c r="I5361" s="9" t="s">
        <v>12491</v>
      </c>
      <c r="J5361" s="10" t="str">
        <f>HYPERLINK("https://www.boe.es/gazeta/dias/1834/09/06/pdfs/GMD-C-1834-204.pdf#page=4","Abrir facsímil")</f>
        <v>Abrir facsímil</v>
      </c>
      <c r="K5361" s="10" t="s">
        <v>24</v>
      </c>
    </row>
    <row r="5362" spans="1:11" ht="54" customHeight="1">
      <c r="A5362" s="9" t="s">
        <v>12481</v>
      </c>
      <c r="B5362" s="9" t="s">
        <v>12481</v>
      </c>
      <c r="C5362" s="9" t="s">
        <v>17</v>
      </c>
      <c r="D5362" s="9" t="s">
        <v>18</v>
      </c>
      <c r="E5362" s="10" t="s">
        <v>364</v>
      </c>
      <c r="F5362" s="9" t="s">
        <v>365</v>
      </c>
      <c r="G5362" s="10" t="s">
        <v>28</v>
      </c>
      <c r="H5362" s="9" t="s">
        <v>22</v>
      </c>
      <c r="I5362" s="9" t="s">
        <v>12492</v>
      </c>
      <c r="J5362" s="10" t="str">
        <f>HYPERLINK("https://www.boe.es/gazeta/dias/1834/09/06/pdfs/GMD-C-1834-204.pdf#page=5","Abrir facsímil")</f>
        <v>Abrir facsímil</v>
      </c>
      <c r="K5362" s="10" t="s">
        <v>24</v>
      </c>
    </row>
    <row r="5363" spans="1:11" ht="54" customHeight="1">
      <c r="A5363" s="9" t="s">
        <v>12481</v>
      </c>
      <c r="B5363" s="9" t="s">
        <v>12481</v>
      </c>
      <c r="C5363" s="9" t="s">
        <v>17</v>
      </c>
      <c r="D5363" s="9" t="s">
        <v>18</v>
      </c>
      <c r="E5363" s="10" t="s">
        <v>793</v>
      </c>
      <c r="F5363" s="9" t="s">
        <v>1895</v>
      </c>
      <c r="G5363" s="10" t="s">
        <v>34</v>
      </c>
      <c r="H5363" s="9" t="s">
        <v>22</v>
      </c>
      <c r="I5363" s="9" t="s">
        <v>12493</v>
      </c>
      <c r="J5363" s="10" t="str">
        <f>HYPERLINK("https://www.boe.es/gazeta/dias/1834/10/08/pdfs/GMD-C-1834-236.pdf#page=1","Abrir facsímil")</f>
        <v>Abrir facsímil</v>
      </c>
      <c r="K5363" s="10" t="s">
        <v>24</v>
      </c>
    </row>
    <row r="5364" spans="1:11" ht="54" customHeight="1">
      <c r="A5364" s="9" t="s">
        <v>12481</v>
      </c>
      <c r="B5364" s="9" t="s">
        <v>12481</v>
      </c>
      <c r="C5364" s="9" t="s">
        <v>17</v>
      </c>
      <c r="D5364" s="9" t="s">
        <v>18</v>
      </c>
      <c r="E5364" s="10" t="s">
        <v>793</v>
      </c>
      <c r="F5364" s="9" t="s">
        <v>1895</v>
      </c>
      <c r="G5364" s="10" t="s">
        <v>86</v>
      </c>
      <c r="H5364" s="9" t="s">
        <v>22</v>
      </c>
      <c r="I5364" s="9" t="s">
        <v>12494</v>
      </c>
      <c r="J5364" s="10" t="str">
        <f>HYPERLINK("https://www.boe.es/gazeta/dias/1834/10/08/pdfs/GMD-C-1834-236.pdf#page=2","Abrir facsímil")</f>
        <v>Abrir facsímil</v>
      </c>
      <c r="K5364" s="10" t="s">
        <v>24</v>
      </c>
    </row>
    <row r="5365" spans="1:11" ht="54" customHeight="1">
      <c r="A5365" s="9" t="s">
        <v>12481</v>
      </c>
      <c r="B5365" s="9" t="s">
        <v>12481</v>
      </c>
      <c r="C5365" s="9" t="s">
        <v>17</v>
      </c>
      <c r="D5365" s="9" t="s">
        <v>18</v>
      </c>
      <c r="E5365" s="10" t="s">
        <v>334</v>
      </c>
      <c r="F5365" s="9" t="s">
        <v>335</v>
      </c>
      <c r="G5365" s="10" t="s">
        <v>34</v>
      </c>
      <c r="H5365" s="9" t="s">
        <v>22</v>
      </c>
      <c r="I5365" s="9" t="s">
        <v>12495</v>
      </c>
      <c r="J5365" s="10" t="str">
        <f>HYPERLINK("https://www.boe.es/gazeta/dias/1834/09/11/pdfs/GMD-C-1834-209.pdf#page=1","Abrir facsímil")</f>
        <v>Abrir facsímil</v>
      </c>
      <c r="K5365" s="10" t="s">
        <v>24</v>
      </c>
    </row>
    <row r="5366" spans="1:11" ht="54" customHeight="1">
      <c r="A5366" s="9" t="s">
        <v>12481</v>
      </c>
      <c r="B5366" s="9" t="s">
        <v>12481</v>
      </c>
      <c r="C5366" s="9" t="s">
        <v>46</v>
      </c>
      <c r="D5366" s="9" t="s">
        <v>18</v>
      </c>
      <c r="E5366" s="10" t="s">
        <v>334</v>
      </c>
      <c r="F5366" s="9" t="s">
        <v>335</v>
      </c>
      <c r="G5366" s="10" t="s">
        <v>86</v>
      </c>
      <c r="H5366" s="9" t="s">
        <v>22</v>
      </c>
      <c r="I5366" s="9" t="s">
        <v>12496</v>
      </c>
      <c r="J5366" s="10" t="str">
        <f>HYPERLINK("https://www.boe.es/gazeta/dias/1834/09/11/pdfs/GMD-C-1834-209.pdf#page=2","Abrir facsímil")</f>
        <v>Abrir facsímil</v>
      </c>
      <c r="K5366" s="10" t="s">
        <v>24</v>
      </c>
    </row>
    <row r="5367" spans="1:11" ht="54" customHeight="1">
      <c r="A5367" s="9" t="s">
        <v>12481</v>
      </c>
      <c r="B5367" s="9" t="s">
        <v>12481</v>
      </c>
      <c r="C5367" s="9" t="s">
        <v>17</v>
      </c>
      <c r="D5367" s="9" t="s">
        <v>55</v>
      </c>
      <c r="E5367" s="10" t="s">
        <v>96</v>
      </c>
      <c r="F5367" s="9" t="s">
        <v>97</v>
      </c>
      <c r="G5367" s="10" t="s">
        <v>86</v>
      </c>
      <c r="H5367" s="9" t="s">
        <v>22</v>
      </c>
      <c r="I5367" s="9" t="s">
        <v>12497</v>
      </c>
      <c r="J5367" s="10" t="str">
        <f>HYPERLINK("https://www.boe.es/gazeta/dias/1834/11/11/pdfs/GMD-C-1834-270.pdf#page=2","Abrir facsímil")</f>
        <v>Abrir facsímil</v>
      </c>
      <c r="K5367" s="10" t="s">
        <v>24</v>
      </c>
    </row>
    <row r="5368" spans="1:11" ht="54" customHeight="1">
      <c r="A5368" s="9" t="s">
        <v>12481</v>
      </c>
      <c r="B5368" s="9" t="s">
        <v>12481</v>
      </c>
      <c r="C5368" s="9" t="s">
        <v>90</v>
      </c>
      <c r="D5368" s="9" t="s">
        <v>18</v>
      </c>
      <c r="E5368" s="10" t="s">
        <v>200</v>
      </c>
      <c r="F5368" s="9" t="s">
        <v>2248</v>
      </c>
      <c r="G5368" s="10" t="s">
        <v>34</v>
      </c>
      <c r="H5368" s="9" t="s">
        <v>22</v>
      </c>
      <c r="I5368" s="9" t="s">
        <v>12498</v>
      </c>
      <c r="J5368" s="10" t="str">
        <f>HYPERLINK("https://www.boe.es/gazeta/dias/1834/12/11/pdfs/GMD-C-1834-300.pdf#page=1","Abrir facsímil")</f>
        <v>Abrir facsímil</v>
      </c>
      <c r="K5368" s="10" t="s">
        <v>24</v>
      </c>
    </row>
    <row r="5369" spans="1:11" ht="54" customHeight="1">
      <c r="A5369" s="9" t="s">
        <v>12481</v>
      </c>
      <c r="B5369" s="9" t="s">
        <v>12481</v>
      </c>
      <c r="C5369" s="9" t="s">
        <v>17</v>
      </c>
      <c r="D5369" s="9" t="s">
        <v>18</v>
      </c>
      <c r="E5369" s="10" t="s">
        <v>623</v>
      </c>
      <c r="F5369" s="9" t="s">
        <v>624</v>
      </c>
      <c r="G5369" s="10" t="s">
        <v>34</v>
      </c>
      <c r="H5369" s="9" t="s">
        <v>22</v>
      </c>
      <c r="I5369" s="9" t="s">
        <v>12499</v>
      </c>
      <c r="J5369" s="10" t="str">
        <f>HYPERLINK("https://www.boe.es/gazeta/dias/1834/10/12/pdfs/GMD-C-1834-240.pdf#page=1","Abrir facsímil")</f>
        <v>Abrir facsímil</v>
      </c>
      <c r="K5369" s="10" t="s">
        <v>24</v>
      </c>
    </row>
    <row r="5370" spans="1:11" ht="54" customHeight="1">
      <c r="A5370" s="9" t="s">
        <v>12481</v>
      </c>
      <c r="B5370" s="9" t="s">
        <v>12481</v>
      </c>
      <c r="C5370" s="9" t="s">
        <v>46</v>
      </c>
      <c r="D5370" s="9" t="s">
        <v>18</v>
      </c>
      <c r="E5370" s="10" t="s">
        <v>299</v>
      </c>
      <c r="F5370" s="9" t="s">
        <v>2255</v>
      </c>
      <c r="G5370" s="10" t="s">
        <v>470</v>
      </c>
      <c r="H5370" s="9" t="s">
        <v>22</v>
      </c>
      <c r="I5370" s="9" t="s">
        <v>12500</v>
      </c>
      <c r="J5370" s="10" t="str">
        <f>HYPERLINK("https://www.boe.es/gazeta/dias/1834/12/12/pdfs/GMD-C-1834-301.pdf#page=8","Abrir facsímil")</f>
        <v>Abrir facsímil</v>
      </c>
      <c r="K5370" s="10" t="s">
        <v>24</v>
      </c>
    </row>
    <row r="5371" spans="1:11" ht="54" customHeight="1">
      <c r="A5371" s="9" t="s">
        <v>12481</v>
      </c>
      <c r="B5371" s="9" t="s">
        <v>12481</v>
      </c>
      <c r="C5371" s="9" t="s">
        <v>17</v>
      </c>
      <c r="D5371" s="9" t="s">
        <v>18</v>
      </c>
      <c r="E5371" s="10" t="s">
        <v>237</v>
      </c>
      <c r="F5371" s="9" t="s">
        <v>238</v>
      </c>
      <c r="G5371" s="10" t="s">
        <v>34</v>
      </c>
      <c r="H5371" s="9" t="s">
        <v>22</v>
      </c>
      <c r="I5371" s="9" t="s">
        <v>12501</v>
      </c>
      <c r="J5371" s="10" t="str">
        <f>HYPERLINK("https://www.boe.es/gazeta/dias/1834/08/15/pdfs/GMD-C-1834-180.pdf#page=1","Abrir facsímil")</f>
        <v>Abrir facsímil</v>
      </c>
      <c r="K5371" s="10" t="s">
        <v>24</v>
      </c>
    </row>
    <row r="5372" spans="1:11" ht="54" customHeight="1">
      <c r="A5372" s="9" t="s">
        <v>12481</v>
      </c>
      <c r="B5372" s="9" t="s">
        <v>12481</v>
      </c>
      <c r="C5372" s="9" t="s">
        <v>17</v>
      </c>
      <c r="D5372" s="9" t="s">
        <v>18</v>
      </c>
      <c r="E5372" s="10" t="s">
        <v>451</v>
      </c>
      <c r="F5372" s="9" t="s">
        <v>452</v>
      </c>
      <c r="G5372" s="10" t="s">
        <v>34</v>
      </c>
      <c r="H5372" s="9" t="s">
        <v>22</v>
      </c>
      <c r="I5372" s="9" t="s">
        <v>12502</v>
      </c>
      <c r="J5372" s="10" t="str">
        <f>HYPERLINK("https://www.boe.es/gazeta/dias/1834/10/15/pdfs/GMD-C-1834-243.pdf#page=1","Abrir facsímil")</f>
        <v>Abrir facsímil</v>
      </c>
      <c r="K5372" s="10" t="s">
        <v>24</v>
      </c>
    </row>
    <row r="5373" spans="1:11" ht="54" customHeight="1">
      <c r="A5373" s="9" t="s">
        <v>12481</v>
      </c>
      <c r="B5373" s="9" t="s">
        <v>12481</v>
      </c>
      <c r="C5373" s="9" t="s">
        <v>17</v>
      </c>
      <c r="D5373" s="9" t="s">
        <v>18</v>
      </c>
      <c r="E5373" s="10" t="s">
        <v>454</v>
      </c>
      <c r="F5373" s="9" t="s">
        <v>455</v>
      </c>
      <c r="G5373" s="10" t="s">
        <v>34</v>
      </c>
      <c r="H5373" s="9" t="s">
        <v>22</v>
      </c>
      <c r="I5373" s="9" t="s">
        <v>12503</v>
      </c>
      <c r="J5373" s="10" t="str">
        <f>HYPERLINK("https://www.boe.es/gazeta/dias/1834/10/16/pdfs/GMD-C-1834-244.pdf#page=1","Abrir facsímil")</f>
        <v>Abrir facsímil</v>
      </c>
      <c r="K5373" s="10" t="s">
        <v>24</v>
      </c>
    </row>
    <row r="5374" spans="1:11" ht="54" customHeight="1">
      <c r="A5374" s="9" t="s">
        <v>12481</v>
      </c>
      <c r="B5374" s="9" t="s">
        <v>12481</v>
      </c>
      <c r="C5374" s="9" t="s">
        <v>17</v>
      </c>
      <c r="D5374" s="9" t="s">
        <v>18</v>
      </c>
      <c r="E5374" s="10" t="s">
        <v>233</v>
      </c>
      <c r="F5374" s="9" t="s">
        <v>1810</v>
      </c>
      <c r="G5374" s="10" t="s">
        <v>2274</v>
      </c>
      <c r="H5374" s="9" t="s">
        <v>22</v>
      </c>
      <c r="I5374" s="9" t="s">
        <v>12504</v>
      </c>
      <c r="J5374" s="10" t="str">
        <f>HYPERLINK("https://www.boe.es/gazeta/dias/1834/12/16/pdfs/GMD-C-1834-305.pdf#page=13","Abrir facsímil")</f>
        <v>Abrir facsímil</v>
      </c>
      <c r="K5374" s="10" t="s">
        <v>24</v>
      </c>
    </row>
    <row r="5375" spans="1:11" ht="54" customHeight="1">
      <c r="A5375" s="9" t="s">
        <v>12481</v>
      </c>
      <c r="B5375" s="9" t="s">
        <v>12481</v>
      </c>
      <c r="C5375" s="9" t="s">
        <v>17</v>
      </c>
      <c r="D5375" s="9" t="s">
        <v>18</v>
      </c>
      <c r="E5375" s="10" t="s">
        <v>2278</v>
      </c>
      <c r="F5375" s="9" t="s">
        <v>2279</v>
      </c>
      <c r="G5375" s="10" t="s">
        <v>75</v>
      </c>
      <c r="H5375" s="9" t="s">
        <v>22</v>
      </c>
      <c r="I5375" s="9" t="s">
        <v>12505</v>
      </c>
      <c r="J5375" s="10" t="str">
        <f>HYPERLINK("https://www.boe.es/gazeta/dias/1834/12/17/pdfs/GMD-C-1834-306.pdf#page=4","Abrir facsímil")</f>
        <v>Abrir facsímil</v>
      </c>
      <c r="K5375" s="10" t="s">
        <v>24</v>
      </c>
    </row>
    <row r="5376" spans="1:11" ht="54" customHeight="1">
      <c r="A5376" s="9" t="s">
        <v>12481</v>
      </c>
      <c r="B5376" s="9" t="s">
        <v>12481</v>
      </c>
      <c r="C5376" s="9" t="s">
        <v>17</v>
      </c>
      <c r="D5376" s="9" t="s">
        <v>18</v>
      </c>
      <c r="E5376" s="10" t="s">
        <v>2278</v>
      </c>
      <c r="F5376" s="9" t="s">
        <v>2279</v>
      </c>
      <c r="G5376" s="10" t="s">
        <v>176</v>
      </c>
      <c r="H5376" s="9" t="s">
        <v>22</v>
      </c>
      <c r="I5376" s="9" t="s">
        <v>12506</v>
      </c>
      <c r="J5376" s="10" t="str">
        <f>HYPERLINK("https://www.boe.es/gazeta/dias/1834/12/17/pdfs/GMD-C-1834-306.pdf#page=6","Abrir facsímil")</f>
        <v>Abrir facsímil</v>
      </c>
      <c r="K5376" s="10" t="s">
        <v>24</v>
      </c>
    </row>
    <row r="5377" spans="1:11" ht="54" customHeight="1">
      <c r="A5377" s="9" t="s">
        <v>12481</v>
      </c>
      <c r="B5377" s="9" t="s">
        <v>12481</v>
      </c>
      <c r="C5377" s="9" t="s">
        <v>90</v>
      </c>
      <c r="D5377" s="9" t="s">
        <v>18</v>
      </c>
      <c r="E5377" s="10" t="s">
        <v>262</v>
      </c>
      <c r="F5377" s="9" t="s">
        <v>263</v>
      </c>
      <c r="G5377" s="10" t="s">
        <v>28</v>
      </c>
      <c r="H5377" s="9" t="s">
        <v>22</v>
      </c>
      <c r="I5377" s="9" t="s">
        <v>12507</v>
      </c>
      <c r="J5377" s="10" t="str">
        <f>HYPERLINK("https://www.boe.es/gazeta/dias/1834/10/18/pdfs/GMD-C-1834-246.pdf#page=5","Abrir facsímil")</f>
        <v>Abrir facsímil</v>
      </c>
      <c r="K5377" s="10" t="s">
        <v>24</v>
      </c>
    </row>
    <row r="5378" spans="1:11" ht="54" customHeight="1">
      <c r="A5378" s="9" t="s">
        <v>12481</v>
      </c>
      <c r="B5378" s="9" t="s">
        <v>12481</v>
      </c>
      <c r="C5378" s="9" t="s">
        <v>46</v>
      </c>
      <c r="D5378" s="9" t="s">
        <v>101</v>
      </c>
      <c r="E5378" s="10" t="s">
        <v>2287</v>
      </c>
      <c r="F5378" s="9" t="s">
        <v>2288</v>
      </c>
      <c r="G5378" s="10" t="s">
        <v>28</v>
      </c>
      <c r="H5378" s="9" t="s">
        <v>22</v>
      </c>
      <c r="I5378" s="9" t="s">
        <v>12508</v>
      </c>
      <c r="J5378" s="10" t="str">
        <f>HYPERLINK("https://www.boe.es/gazeta/dias/1834/12/18/pdfs/GMD-C-1834-308.pdf#page=5","Abrir facsímil")</f>
        <v>Abrir facsímil</v>
      </c>
      <c r="K5378" s="10" t="s">
        <v>24</v>
      </c>
    </row>
    <row r="5379" spans="1:11" ht="54" customHeight="1">
      <c r="A5379" s="9" t="s">
        <v>12481</v>
      </c>
      <c r="B5379" s="9" t="s">
        <v>12481</v>
      </c>
      <c r="C5379" s="9" t="s">
        <v>46</v>
      </c>
      <c r="D5379" s="9" t="s">
        <v>101</v>
      </c>
      <c r="E5379" s="10" t="s">
        <v>2287</v>
      </c>
      <c r="F5379" s="9" t="s">
        <v>2288</v>
      </c>
      <c r="G5379" s="10" t="s">
        <v>176</v>
      </c>
      <c r="H5379" s="9" t="s">
        <v>22</v>
      </c>
      <c r="I5379" s="9" t="s">
        <v>12509</v>
      </c>
      <c r="J5379" s="10" t="str">
        <f>HYPERLINK("https://www.boe.es/gazeta/dias/1834/12/18/pdfs/GMD-C-1834-308.pdf#page=6","Abrir facsímil")</f>
        <v>Abrir facsímil</v>
      </c>
      <c r="K5379" s="10" t="s">
        <v>24</v>
      </c>
    </row>
    <row r="5380" spans="1:11" ht="54" customHeight="1">
      <c r="A5380" s="9" t="s">
        <v>12481</v>
      </c>
      <c r="B5380" s="9" t="s">
        <v>12481</v>
      </c>
      <c r="C5380" s="9" t="s">
        <v>17</v>
      </c>
      <c r="D5380" s="9" t="s">
        <v>18</v>
      </c>
      <c r="E5380" s="10" t="s">
        <v>981</v>
      </c>
      <c r="F5380" s="9" t="s">
        <v>3406</v>
      </c>
      <c r="G5380" s="10" t="s">
        <v>28</v>
      </c>
      <c r="H5380" s="9" t="s">
        <v>22</v>
      </c>
      <c r="I5380" s="9" t="s">
        <v>12510</v>
      </c>
      <c r="J5380" s="10" t="str">
        <f>HYPERLINK("https://www.boe.es/gazeta/dias/1834/09/21/pdfs/GMD-C-1834-219.pdf#page=5","Abrir facsímil")</f>
        <v>Abrir facsímil</v>
      </c>
      <c r="K5380" s="10" t="s">
        <v>24</v>
      </c>
    </row>
    <row r="5381" spans="1:11" ht="54" customHeight="1">
      <c r="A5381" s="9" t="s">
        <v>12481</v>
      </c>
      <c r="B5381" s="9" t="s">
        <v>12481</v>
      </c>
      <c r="C5381" s="9" t="s">
        <v>46</v>
      </c>
      <c r="D5381" s="9" t="s">
        <v>101</v>
      </c>
      <c r="E5381" s="10" t="s">
        <v>981</v>
      </c>
      <c r="F5381" s="9" t="s">
        <v>3406</v>
      </c>
      <c r="G5381" s="10" t="s">
        <v>176</v>
      </c>
      <c r="H5381" s="9" t="s">
        <v>22</v>
      </c>
      <c r="I5381" s="9" t="s">
        <v>12511</v>
      </c>
      <c r="J5381" s="10" t="str">
        <f>HYPERLINK("https://www.boe.es/gazeta/dias/1834/09/21/pdfs/GMD-C-1834-219.pdf#page=6","Abrir facsímil")</f>
        <v>Abrir facsímil</v>
      </c>
      <c r="K5381" s="10" t="s">
        <v>24</v>
      </c>
    </row>
    <row r="5382" spans="1:11" ht="54" customHeight="1">
      <c r="A5382" s="9" t="s">
        <v>12481</v>
      </c>
      <c r="B5382" s="9" t="s">
        <v>12481</v>
      </c>
      <c r="C5382" s="9" t="s">
        <v>17</v>
      </c>
      <c r="D5382" s="9" t="s">
        <v>18</v>
      </c>
      <c r="E5382" s="10" t="s">
        <v>647</v>
      </c>
      <c r="F5382" s="9" t="s">
        <v>648</v>
      </c>
      <c r="G5382" s="10" t="s">
        <v>28</v>
      </c>
      <c r="H5382" s="9" t="s">
        <v>22</v>
      </c>
      <c r="I5382" s="9" t="s">
        <v>12512</v>
      </c>
      <c r="J5382" s="10" t="str">
        <f>HYPERLINK("https://www.boe.es/gazeta/dias/1834/10/21/pdfs/GMD-C-1834-249.pdf#page=5","Abrir facsímil")</f>
        <v>Abrir facsímil</v>
      </c>
      <c r="K5382" s="10" t="s">
        <v>24</v>
      </c>
    </row>
    <row r="5383" spans="1:11" ht="54" customHeight="1">
      <c r="A5383" s="9" t="s">
        <v>12481</v>
      </c>
      <c r="B5383" s="9" t="s">
        <v>12481</v>
      </c>
      <c r="C5383" s="9" t="s">
        <v>90</v>
      </c>
      <c r="D5383" s="9" t="s">
        <v>67</v>
      </c>
      <c r="E5383" s="10" t="s">
        <v>492</v>
      </c>
      <c r="F5383" s="9" t="s">
        <v>493</v>
      </c>
      <c r="G5383" s="10" t="s">
        <v>34</v>
      </c>
      <c r="H5383" s="9" t="s">
        <v>22</v>
      </c>
      <c r="I5383" s="9" t="s">
        <v>12513</v>
      </c>
      <c r="J5383" s="10" t="str">
        <f>HYPERLINK("https://www.boe.es/gazeta/dias/1834/11/21/pdfs/GMD-C-1834-280.pdf#page=1","Abrir facsímil")</f>
        <v>Abrir facsímil</v>
      </c>
      <c r="K5383" s="10" t="s">
        <v>24</v>
      </c>
    </row>
    <row r="5384" spans="1:11" ht="54" customHeight="1">
      <c r="A5384" s="9" t="s">
        <v>12481</v>
      </c>
      <c r="B5384" s="9" t="s">
        <v>12481</v>
      </c>
      <c r="C5384" s="9" t="s">
        <v>66</v>
      </c>
      <c r="D5384" s="9" t="s">
        <v>67</v>
      </c>
      <c r="E5384" s="10" t="s">
        <v>627</v>
      </c>
      <c r="F5384" s="9" t="s">
        <v>628</v>
      </c>
      <c r="G5384" s="10" t="s">
        <v>86</v>
      </c>
      <c r="H5384" s="9" t="s">
        <v>22</v>
      </c>
      <c r="I5384" s="9" t="s">
        <v>12514</v>
      </c>
      <c r="J5384" s="10" t="str">
        <f>HYPERLINK("https://www.boe.es/gazeta/dias/1834/09/22/pdfs/GMD-C-1834-220.pdf#page=2","Abrir facsímil")</f>
        <v>Abrir facsímil</v>
      </c>
      <c r="K5384" s="10" t="s">
        <v>24</v>
      </c>
    </row>
    <row r="5385" spans="1:11" ht="54" customHeight="1">
      <c r="A5385" s="9" t="s">
        <v>12481</v>
      </c>
      <c r="B5385" s="9" t="s">
        <v>12481</v>
      </c>
      <c r="C5385" s="9" t="s">
        <v>17</v>
      </c>
      <c r="D5385" s="9" t="s">
        <v>18</v>
      </c>
      <c r="E5385" s="10" t="s">
        <v>627</v>
      </c>
      <c r="F5385" s="9" t="s">
        <v>628</v>
      </c>
      <c r="G5385" s="10" t="s">
        <v>560</v>
      </c>
      <c r="H5385" s="9" t="s">
        <v>22</v>
      </c>
      <c r="I5385" s="9" t="s">
        <v>12515</v>
      </c>
      <c r="J5385" s="10" t="str">
        <f>HYPERLINK("https://www.boe.es/gazeta/dias/1834/09/22/pdfs/GMD-C-1834-220.pdf#page=7","Abrir facsímil")</f>
        <v>Abrir facsímil</v>
      </c>
      <c r="K5385" s="10" t="s">
        <v>24</v>
      </c>
    </row>
    <row r="5386" spans="1:11" ht="54" customHeight="1">
      <c r="A5386" s="9" t="s">
        <v>12481</v>
      </c>
      <c r="B5386" s="9" t="s">
        <v>12481</v>
      </c>
      <c r="C5386" s="9" t="s">
        <v>17</v>
      </c>
      <c r="D5386" s="9" t="s">
        <v>18</v>
      </c>
      <c r="E5386" s="10" t="s">
        <v>667</v>
      </c>
      <c r="F5386" s="9" t="s">
        <v>668</v>
      </c>
      <c r="G5386" s="10" t="s">
        <v>28</v>
      </c>
      <c r="H5386" s="9" t="s">
        <v>22</v>
      </c>
      <c r="I5386" s="9" t="s">
        <v>12516</v>
      </c>
      <c r="J5386" s="10" t="str">
        <f>HYPERLINK("https://www.boe.es/gazeta/dias/1834/11/23/pdfs/GMD-C-1834-282.pdf#page=5","Abrir facsímil")</f>
        <v>Abrir facsímil</v>
      </c>
      <c r="K5386" s="10" t="s">
        <v>24</v>
      </c>
    </row>
    <row r="5387" spans="1:11" ht="54" customHeight="1">
      <c r="A5387" s="9" t="s">
        <v>12481</v>
      </c>
      <c r="B5387" s="9" t="s">
        <v>12481</v>
      </c>
      <c r="C5387" s="9" t="s">
        <v>17</v>
      </c>
      <c r="D5387" s="9" t="s">
        <v>40</v>
      </c>
      <c r="E5387" s="10" t="s">
        <v>128</v>
      </c>
      <c r="F5387" s="9" t="s">
        <v>129</v>
      </c>
      <c r="G5387" s="10" t="s">
        <v>86</v>
      </c>
      <c r="H5387" s="9" t="s">
        <v>22</v>
      </c>
      <c r="I5387" s="9" t="s">
        <v>12517</v>
      </c>
      <c r="J5387" s="10" t="str">
        <f>HYPERLINK("https://www.boe.es/gazeta/dias/1834/12/24/pdfs/GMD-C-1834-314.pdf#page=2","Abrir facsímil")</f>
        <v>Abrir facsímil</v>
      </c>
      <c r="K5387" s="10" t="s">
        <v>24</v>
      </c>
    </row>
    <row r="5388" spans="1:11" ht="54" customHeight="1">
      <c r="A5388" s="9" t="s">
        <v>12518</v>
      </c>
      <c r="B5388" s="9" t="s">
        <v>12518</v>
      </c>
      <c r="C5388" s="9" t="s">
        <v>17</v>
      </c>
      <c r="D5388" s="9" t="s">
        <v>18</v>
      </c>
      <c r="E5388" s="10" t="s">
        <v>403</v>
      </c>
      <c r="F5388" s="9" t="s">
        <v>404</v>
      </c>
      <c r="G5388" s="10" t="s">
        <v>86</v>
      </c>
      <c r="H5388" s="9" t="s">
        <v>22</v>
      </c>
      <c r="I5388" s="9" t="s">
        <v>12519</v>
      </c>
      <c r="J5388" s="10" t="str">
        <f>HYPERLINK("https://www.boe.es/gazeta/dias/1834/09/25/pdfs/GMD-C-1834-223.pdf#page=2","Abrir facsímil")</f>
        <v>Abrir facsímil</v>
      </c>
      <c r="K5388" s="10" t="s">
        <v>24</v>
      </c>
    </row>
    <row r="5389" spans="1:11" ht="54" customHeight="1">
      <c r="A5389" s="9" t="s">
        <v>12481</v>
      </c>
      <c r="B5389" s="9" t="s">
        <v>12481</v>
      </c>
      <c r="C5389" s="9" t="s">
        <v>17</v>
      </c>
      <c r="D5389" s="9" t="s">
        <v>18</v>
      </c>
      <c r="E5389" s="10" t="s">
        <v>403</v>
      </c>
      <c r="F5389" s="9" t="s">
        <v>404</v>
      </c>
      <c r="G5389" s="10" t="s">
        <v>21</v>
      </c>
      <c r="H5389" s="9" t="s">
        <v>22</v>
      </c>
      <c r="I5389" s="9" t="s">
        <v>12520</v>
      </c>
      <c r="J5389" s="10" t="str">
        <f>HYPERLINK("https://www.boe.es/gazeta/dias/1834/09/25/pdfs/GMD-C-1834-223.pdf#page=3","Abrir facsímil")</f>
        <v>Abrir facsímil</v>
      </c>
      <c r="K5389" s="10" t="s">
        <v>24</v>
      </c>
    </row>
    <row r="5390" spans="1:11" ht="54" customHeight="1">
      <c r="A5390" s="9" t="s">
        <v>12481</v>
      </c>
      <c r="B5390" s="9" t="s">
        <v>12481</v>
      </c>
      <c r="C5390" s="9" t="s">
        <v>17</v>
      </c>
      <c r="D5390" s="9" t="s">
        <v>40</v>
      </c>
      <c r="E5390" s="10" t="s">
        <v>1135</v>
      </c>
      <c r="F5390" s="9" t="s">
        <v>1566</v>
      </c>
      <c r="G5390" s="10" t="s">
        <v>86</v>
      </c>
      <c r="H5390" s="9" t="s">
        <v>22</v>
      </c>
      <c r="I5390" s="9" t="s">
        <v>12521</v>
      </c>
      <c r="J5390" s="10" t="str">
        <f>HYPERLINK("https://www.boe.es/gazeta/dias/1834/08/26/pdfs/GMD-C-1834-192.pdf#page=2","Abrir facsímil")</f>
        <v>Abrir facsímil</v>
      </c>
      <c r="K5390" s="10" t="s">
        <v>24</v>
      </c>
    </row>
    <row r="5391" spans="1:11" ht="54" customHeight="1">
      <c r="A5391" s="9" t="s">
        <v>12481</v>
      </c>
      <c r="B5391" s="9" t="s">
        <v>12481</v>
      </c>
      <c r="C5391" s="9" t="s">
        <v>17</v>
      </c>
      <c r="D5391" s="9" t="s">
        <v>18</v>
      </c>
      <c r="E5391" s="10" t="s">
        <v>510</v>
      </c>
      <c r="F5391" s="9" t="s">
        <v>531</v>
      </c>
      <c r="G5391" s="10" t="s">
        <v>75</v>
      </c>
      <c r="H5391" s="9" t="s">
        <v>22</v>
      </c>
      <c r="I5391" s="9" t="s">
        <v>12522</v>
      </c>
      <c r="J5391" s="10" t="str">
        <f>HYPERLINK("https://www.boe.es/gazeta/dias/1834/11/26/pdfs/GMD-C-1834-285.pdf#page=4","Abrir facsímil")</f>
        <v>Abrir facsímil</v>
      </c>
      <c r="K5391" s="10" t="s">
        <v>24</v>
      </c>
    </row>
    <row r="5392" spans="1:11" ht="54" customHeight="1">
      <c r="A5392" s="9" t="s">
        <v>12481</v>
      </c>
      <c r="B5392" s="9" t="s">
        <v>12481</v>
      </c>
      <c r="C5392" s="9" t="s">
        <v>17</v>
      </c>
      <c r="D5392" s="9" t="s">
        <v>18</v>
      </c>
      <c r="E5392" s="10" t="s">
        <v>1641</v>
      </c>
      <c r="F5392" s="9" t="s">
        <v>1642</v>
      </c>
      <c r="G5392" s="10" t="s">
        <v>34</v>
      </c>
      <c r="H5392" s="9" t="s">
        <v>22</v>
      </c>
      <c r="I5392" s="9" t="s">
        <v>12523</v>
      </c>
      <c r="J5392" s="10" t="str">
        <f>HYPERLINK("https://www.boe.es/gazeta/dias/1834/09/28/pdfs/GMD-C-1834-226.pdf#page=1","Abrir facsímil")</f>
        <v>Abrir facsímil</v>
      </c>
      <c r="K5392" s="10" t="s">
        <v>24</v>
      </c>
    </row>
    <row r="5393" spans="1:11" ht="54" customHeight="1">
      <c r="A5393" s="9" t="s">
        <v>12481</v>
      </c>
      <c r="B5393" s="9" t="s">
        <v>12481</v>
      </c>
      <c r="C5393" s="9" t="s">
        <v>17</v>
      </c>
      <c r="D5393" s="9" t="s">
        <v>18</v>
      </c>
      <c r="E5393" s="10" t="s">
        <v>286</v>
      </c>
      <c r="F5393" s="9" t="s">
        <v>287</v>
      </c>
      <c r="G5393" s="10" t="s">
        <v>75</v>
      </c>
      <c r="H5393" s="9" t="s">
        <v>22</v>
      </c>
      <c r="I5393" s="9" t="s">
        <v>12524</v>
      </c>
      <c r="J5393" s="10" t="str">
        <f>HYPERLINK("https://www.boe.es/gazeta/dias/1834/08/30/pdfs/GMD-C-1834-196.pdf#page=4","Abrir facsímil")</f>
        <v>Abrir facsímil</v>
      </c>
      <c r="K5393" s="10" t="s">
        <v>24</v>
      </c>
    </row>
    <row r="5394" spans="1:11" ht="54" customHeight="1">
      <c r="A5394" s="9" t="s">
        <v>12481</v>
      </c>
      <c r="B5394" s="9" t="s">
        <v>12481</v>
      </c>
      <c r="C5394" s="9" t="s">
        <v>90</v>
      </c>
      <c r="D5394" s="9" t="s">
        <v>18</v>
      </c>
      <c r="E5394" s="10" t="s">
        <v>153</v>
      </c>
      <c r="F5394" s="9" t="s">
        <v>154</v>
      </c>
      <c r="G5394" s="10" t="s">
        <v>34</v>
      </c>
      <c r="H5394" s="9" t="s">
        <v>22</v>
      </c>
      <c r="I5394" s="9" t="s">
        <v>12525</v>
      </c>
      <c r="J5394" s="10" t="str">
        <f>HYPERLINK("https://www.boe.es/gazeta/dias/1834/12/30/pdfs/GMD-C-1834-320.pdf#page=1","Abrir facsímil")</f>
        <v>Abrir facsímil</v>
      </c>
      <c r="K5394" s="10" t="s">
        <v>24</v>
      </c>
    </row>
    <row r="5395" spans="1:11" ht="54" customHeight="1">
      <c r="A5395" s="9" t="s">
        <v>12481</v>
      </c>
      <c r="B5395" s="9" t="s">
        <v>12481</v>
      </c>
      <c r="C5395" s="9" t="s">
        <v>17</v>
      </c>
      <c r="D5395" s="9" t="s">
        <v>18</v>
      </c>
      <c r="E5395" s="10" t="s">
        <v>273</v>
      </c>
      <c r="F5395" s="9" t="s">
        <v>274</v>
      </c>
      <c r="G5395" s="10" t="s">
        <v>176</v>
      </c>
      <c r="H5395" s="9" t="s">
        <v>22</v>
      </c>
      <c r="I5395" s="9" t="s">
        <v>12526</v>
      </c>
      <c r="J5395" s="10" t="str">
        <f>HYPERLINK("https://www.boe.es/gazeta/dias/1834/08/31/pdfs/GMD-D-1834-198.pdf#page=6","Abrir facsímil")</f>
        <v>Abrir facsímil</v>
      </c>
      <c r="K5395" s="10" t="s">
        <v>24</v>
      </c>
    </row>
    <row r="5396" spans="1:11" ht="54" customHeight="1">
      <c r="A5396" s="9" t="s">
        <v>12481</v>
      </c>
      <c r="B5396" s="9" t="s">
        <v>12481</v>
      </c>
      <c r="C5396" s="9" t="s">
        <v>90</v>
      </c>
      <c r="D5396" s="9" t="s">
        <v>18</v>
      </c>
      <c r="E5396" s="10" t="s">
        <v>891</v>
      </c>
      <c r="F5396" s="9" t="s">
        <v>892</v>
      </c>
      <c r="G5396" s="10" t="s">
        <v>34</v>
      </c>
      <c r="H5396" s="9" t="s">
        <v>22</v>
      </c>
      <c r="I5396" s="9" t="s">
        <v>12527</v>
      </c>
      <c r="J5396" s="10" t="str">
        <f>HYPERLINK("https://www.boe.es/gazeta/dias/1834/10/31/pdfs/GMD-C-1834-259.pdf#page=1","Abrir facsímil")</f>
        <v>Abrir facsímil</v>
      </c>
      <c r="K5396" s="10" t="s">
        <v>24</v>
      </c>
    </row>
    <row r="5397" spans="1:11" ht="54" customHeight="1">
      <c r="A5397" s="9" t="s">
        <v>12528</v>
      </c>
      <c r="B5397" s="9" t="s">
        <v>12529</v>
      </c>
      <c r="C5397" s="9" t="s">
        <v>17</v>
      </c>
      <c r="D5397" s="9" t="s">
        <v>18</v>
      </c>
      <c r="E5397" s="10" t="s">
        <v>956</v>
      </c>
      <c r="F5397" s="9" t="s">
        <v>957</v>
      </c>
      <c r="G5397" s="10" t="s">
        <v>34</v>
      </c>
      <c r="H5397" s="9" t="s">
        <v>22</v>
      </c>
      <c r="I5397" s="9" t="s">
        <v>12530</v>
      </c>
      <c r="J5397" s="10" t="str">
        <f>HYPERLINK("https://www.boe.es/gazeta/dias/1834/08/10/pdfs/GMD-C-1834-175.pdf#page=1","Abrir facsímil")</f>
        <v>Abrir facsímil</v>
      </c>
      <c r="K5397" s="10" t="s">
        <v>24</v>
      </c>
    </row>
    <row r="5398" spans="1:11" ht="54" customHeight="1">
      <c r="A5398" s="9" t="s">
        <v>12531</v>
      </c>
      <c r="B5398" s="9" t="s">
        <v>12532</v>
      </c>
      <c r="C5398" s="9" t="s">
        <v>17</v>
      </c>
      <c r="D5398" s="9" t="s">
        <v>18</v>
      </c>
      <c r="E5398" s="10" t="s">
        <v>623</v>
      </c>
      <c r="F5398" s="9" t="s">
        <v>624</v>
      </c>
      <c r="G5398" s="10" t="s">
        <v>34</v>
      </c>
      <c r="H5398" s="9" t="s">
        <v>22</v>
      </c>
      <c r="I5398" s="9" t="s">
        <v>12533</v>
      </c>
      <c r="J5398" s="10" t="str">
        <f>HYPERLINK("https://www.boe.es/gazeta/dias/1834/10/12/pdfs/GMD-C-1834-240.pdf#page=1","Abrir facsímil")</f>
        <v>Abrir facsímil</v>
      </c>
      <c r="K5398" s="10" t="s">
        <v>24</v>
      </c>
    </row>
    <row r="5399" spans="1:11" ht="54" customHeight="1">
      <c r="A5399" s="9" t="s">
        <v>12534</v>
      </c>
      <c r="B5399" s="9" t="s">
        <v>12534</v>
      </c>
      <c r="C5399" s="9" t="s">
        <v>46</v>
      </c>
      <c r="D5399" s="9" t="s">
        <v>18</v>
      </c>
      <c r="E5399" s="10" t="s">
        <v>492</v>
      </c>
      <c r="F5399" s="9" t="s">
        <v>493</v>
      </c>
      <c r="G5399" s="10" t="s">
        <v>34</v>
      </c>
      <c r="H5399" s="9" t="s">
        <v>22</v>
      </c>
      <c r="I5399" s="9" t="s">
        <v>12535</v>
      </c>
      <c r="J5399" s="10" t="str">
        <f>HYPERLINK("https://www.boe.es/gazeta/dias/1834/11/21/pdfs/GMD-C-1834-280.pdf#page=1","Abrir facsímil")</f>
        <v>Abrir facsímil</v>
      </c>
      <c r="K5399" s="10" t="s">
        <v>24</v>
      </c>
    </row>
    <row r="5400" spans="1:11" ht="54" customHeight="1">
      <c r="A5400" s="9" t="s">
        <v>12536</v>
      </c>
      <c r="B5400" s="9" t="s">
        <v>12536</v>
      </c>
      <c r="C5400" s="9" t="s">
        <v>17</v>
      </c>
      <c r="D5400" s="9" t="s">
        <v>18</v>
      </c>
      <c r="E5400" s="10" t="s">
        <v>403</v>
      </c>
      <c r="F5400" s="9" t="s">
        <v>404</v>
      </c>
      <c r="G5400" s="10" t="s">
        <v>34</v>
      </c>
      <c r="H5400" s="9" t="s">
        <v>22</v>
      </c>
      <c r="I5400" s="9" t="s">
        <v>12537</v>
      </c>
      <c r="J5400" s="10" t="str">
        <f>HYPERLINK("https://www.boe.es/gazeta/dias/1834/09/25/pdfs/GMD-C-1834-223.pdf#page=1","Abrir facsímil")</f>
        <v>Abrir facsímil</v>
      </c>
      <c r="K5400" s="10" t="s">
        <v>24</v>
      </c>
    </row>
    <row r="5401" spans="1:11" ht="54" customHeight="1">
      <c r="A5401" s="9" t="s">
        <v>12538</v>
      </c>
      <c r="B5401" s="9" t="s">
        <v>12538</v>
      </c>
      <c r="C5401" s="9" t="s">
        <v>17</v>
      </c>
      <c r="D5401" s="9" t="s">
        <v>55</v>
      </c>
      <c r="E5401" s="10" t="s">
        <v>138</v>
      </c>
      <c r="F5401" s="9" t="s">
        <v>139</v>
      </c>
      <c r="G5401" s="10" t="s">
        <v>34</v>
      </c>
      <c r="H5401" s="9" t="s">
        <v>22</v>
      </c>
      <c r="I5401" s="9" t="s">
        <v>12539</v>
      </c>
      <c r="J5401" s="10" t="str">
        <f>HYPERLINK("https://www.boe.es/gazeta/dias/1834/05/17/pdfs/GMD-1834-86.pdf#page=1","Abrir facsímil")</f>
        <v>Abrir facsímil</v>
      </c>
      <c r="K5401" s="10" t="s">
        <v>24</v>
      </c>
    </row>
    <row r="5402" spans="1:11" ht="54" customHeight="1">
      <c r="A5402" s="9" t="s">
        <v>12538</v>
      </c>
      <c r="B5402" s="9" t="s">
        <v>12538</v>
      </c>
      <c r="C5402" s="9" t="s">
        <v>17</v>
      </c>
      <c r="D5402" s="9" t="s">
        <v>18</v>
      </c>
      <c r="E5402" s="10" t="s">
        <v>19</v>
      </c>
      <c r="F5402" s="9" t="s">
        <v>107</v>
      </c>
      <c r="G5402" s="10" t="s">
        <v>75</v>
      </c>
      <c r="H5402" s="9" t="s">
        <v>22</v>
      </c>
      <c r="I5402" s="9" t="s">
        <v>12540</v>
      </c>
      <c r="J5402" s="10" t="str">
        <f>HYPERLINK("https://www.boe.es/gazeta/dias/1834/08/17/pdfs/GMD-1834-182.pdf#page=4","Abrir facsímil")</f>
        <v>Abrir facsímil</v>
      </c>
      <c r="K5402" s="10" t="s">
        <v>24</v>
      </c>
    </row>
    <row r="5403" spans="1:11" ht="54" customHeight="1">
      <c r="A5403" s="9" t="s">
        <v>12541</v>
      </c>
      <c r="B5403" s="9" t="s">
        <v>12542</v>
      </c>
      <c r="C5403" s="9" t="s">
        <v>17</v>
      </c>
      <c r="D5403" s="9" t="s">
        <v>18</v>
      </c>
      <c r="E5403" s="10" t="s">
        <v>19</v>
      </c>
      <c r="F5403" s="9" t="s">
        <v>107</v>
      </c>
      <c r="G5403" s="10" t="s">
        <v>75</v>
      </c>
      <c r="H5403" s="9" t="s">
        <v>22</v>
      </c>
      <c r="I5403" s="9" t="s">
        <v>12543</v>
      </c>
      <c r="J5403" s="10" t="str">
        <f>HYPERLINK("https://www.boe.es/gazeta/dias/1834/08/17/pdfs/GMD-1834-182.pdf#page=4","Abrir facsímil")</f>
        <v>Abrir facsímil</v>
      </c>
      <c r="K5403" s="10" t="s">
        <v>24</v>
      </c>
    </row>
    <row r="5404" spans="1:11" ht="54" customHeight="1">
      <c r="A5404" s="9" t="s">
        <v>12544</v>
      </c>
      <c r="B5404" s="9" t="s">
        <v>12544</v>
      </c>
      <c r="C5404" s="9" t="s">
        <v>17</v>
      </c>
      <c r="D5404" s="9" t="s">
        <v>18</v>
      </c>
      <c r="E5404" s="10" t="s">
        <v>1195</v>
      </c>
      <c r="F5404" s="9" t="s">
        <v>1916</v>
      </c>
      <c r="G5404" s="10" t="s">
        <v>21</v>
      </c>
      <c r="H5404" s="9" t="s">
        <v>22</v>
      </c>
      <c r="I5404" s="9" t="s">
        <v>12545</v>
      </c>
      <c r="J5404" s="10" t="str">
        <f>HYPERLINK("https://www.boe.es/gazeta/dias/1834/10/17/pdfs/GMD-1834-245.pdf#page=3","Abrir facsímil")</f>
        <v>Abrir facsímil</v>
      </c>
      <c r="K5404" s="10" t="s">
        <v>24</v>
      </c>
    </row>
    <row r="5405" spans="1:11" ht="54" customHeight="1">
      <c r="A5405" s="9" t="s">
        <v>12544</v>
      </c>
      <c r="B5405" s="9" t="s">
        <v>12544</v>
      </c>
      <c r="C5405" s="9" t="s">
        <v>17</v>
      </c>
      <c r="D5405" s="9" t="s">
        <v>18</v>
      </c>
      <c r="E5405" s="10" t="s">
        <v>102</v>
      </c>
      <c r="F5405" s="9" t="s">
        <v>103</v>
      </c>
      <c r="G5405" s="10" t="s">
        <v>21</v>
      </c>
      <c r="H5405" s="9" t="s">
        <v>22</v>
      </c>
      <c r="I5405" s="9" t="s">
        <v>12546</v>
      </c>
      <c r="J5405" s="10" t="str">
        <f>HYPERLINK("https://www.boe.es/gazeta/dias/1834/07/19/pdfs/GMD-1834-152.pdf#page=3","Abrir facsímil")</f>
        <v>Abrir facsímil</v>
      </c>
      <c r="K5405" s="10" t="s">
        <v>24</v>
      </c>
    </row>
    <row r="5406" spans="1:11" ht="54" customHeight="1">
      <c r="A5406" s="9" t="s">
        <v>12544</v>
      </c>
      <c r="B5406" s="9" t="s">
        <v>12544</v>
      </c>
      <c r="C5406" s="9" t="s">
        <v>17</v>
      </c>
      <c r="D5406" s="9" t="s">
        <v>40</v>
      </c>
      <c r="E5406" s="10" t="s">
        <v>2526</v>
      </c>
      <c r="F5406" s="9" t="s">
        <v>8236</v>
      </c>
      <c r="G5406" s="10" t="s">
        <v>75</v>
      </c>
      <c r="H5406" s="9" t="s">
        <v>22</v>
      </c>
      <c r="I5406" s="9" t="s">
        <v>12547</v>
      </c>
      <c r="J5406" s="10" t="str">
        <f>HYPERLINK("https://www.boe.es/gazeta/dias/1834/12/29/pdfs/GMD-1834-319.pdf#page=4","Abrir facsímil")</f>
        <v>Abrir facsímil</v>
      </c>
      <c r="K5406" s="10" t="s">
        <v>24</v>
      </c>
    </row>
    <row r="5407" spans="1:11" ht="54" customHeight="1">
      <c r="A5407" s="9" t="s">
        <v>12548</v>
      </c>
      <c r="B5407" s="9" t="s">
        <v>12548</v>
      </c>
      <c r="C5407" s="9" t="s">
        <v>17</v>
      </c>
      <c r="D5407" s="9" t="s">
        <v>18</v>
      </c>
      <c r="E5407" s="10" t="s">
        <v>158</v>
      </c>
      <c r="F5407" s="9" t="s">
        <v>581</v>
      </c>
      <c r="G5407" s="10" t="s">
        <v>176</v>
      </c>
      <c r="H5407" s="9" t="s">
        <v>22</v>
      </c>
      <c r="I5407" s="9" t="s">
        <v>12549</v>
      </c>
      <c r="J5407" s="10" t="str">
        <f>HYPERLINK("https://www.boe.es/gazeta/dias/1834/10/01/pdfs/GMD-C-1834-229.pdf#page=6","Abrir facsímil")</f>
        <v>Abrir facsímil</v>
      </c>
      <c r="K5407" s="10" t="s">
        <v>24</v>
      </c>
    </row>
    <row r="5408" spans="1:11" ht="54" customHeight="1">
      <c r="A5408" s="9" t="s">
        <v>12548</v>
      </c>
      <c r="B5408" s="9" t="s">
        <v>12548</v>
      </c>
      <c r="C5408" s="9" t="s">
        <v>66</v>
      </c>
      <c r="D5408" s="9" t="s">
        <v>67</v>
      </c>
      <c r="E5408" s="10" t="s">
        <v>667</v>
      </c>
      <c r="F5408" s="9" t="s">
        <v>668</v>
      </c>
      <c r="G5408" s="10" t="s">
        <v>34</v>
      </c>
      <c r="H5408" s="9" t="s">
        <v>22</v>
      </c>
      <c r="I5408" s="9" t="s">
        <v>12550</v>
      </c>
      <c r="J5408" s="10" t="str">
        <f>HYPERLINK("https://www.boe.es/gazeta/dias/1834/11/23/pdfs/GMD-C-1834-282.pdf#page=1","Abrir facsímil")</f>
        <v>Abrir facsímil</v>
      </c>
      <c r="K5408" s="10" t="s">
        <v>24</v>
      </c>
    </row>
    <row r="5409" spans="1:11" ht="54" customHeight="1">
      <c r="A5409" s="9" t="s">
        <v>12548</v>
      </c>
      <c r="B5409" s="9" t="s">
        <v>12548</v>
      </c>
      <c r="C5409" s="9" t="s">
        <v>17</v>
      </c>
      <c r="D5409" s="9" t="s">
        <v>18</v>
      </c>
      <c r="E5409" s="10" t="s">
        <v>403</v>
      </c>
      <c r="F5409" s="9" t="s">
        <v>404</v>
      </c>
      <c r="G5409" s="10" t="s">
        <v>28</v>
      </c>
      <c r="H5409" s="9" t="s">
        <v>22</v>
      </c>
      <c r="I5409" s="9" t="s">
        <v>12551</v>
      </c>
      <c r="J5409" s="10" t="str">
        <f>HYPERLINK("https://www.boe.es/gazeta/dias/1834/09/25/pdfs/GMD-C-1834-223.pdf#page=5","Abrir facsímil")</f>
        <v>Abrir facsímil</v>
      </c>
      <c r="K5409" s="10" t="s">
        <v>24</v>
      </c>
    </row>
    <row r="5410" spans="1:11" ht="54" customHeight="1">
      <c r="A5410" s="9" t="s">
        <v>12548</v>
      </c>
      <c r="B5410" s="9" t="s">
        <v>12548</v>
      </c>
      <c r="C5410" s="9" t="s">
        <v>17</v>
      </c>
      <c r="D5410" s="9" t="s">
        <v>18</v>
      </c>
      <c r="E5410" s="10" t="s">
        <v>707</v>
      </c>
      <c r="F5410" s="9" t="s">
        <v>708</v>
      </c>
      <c r="G5410" s="10" t="s">
        <v>560</v>
      </c>
      <c r="H5410" s="9" t="s">
        <v>22</v>
      </c>
      <c r="I5410" s="9" t="s">
        <v>12552</v>
      </c>
      <c r="J5410" s="10" t="str">
        <f>HYPERLINK("https://www.boe.es/gazeta/dias/1834/11/25/pdfs/GMD-C-1834-284.pdf#page=7","Abrir facsímil")</f>
        <v>Abrir facsímil</v>
      </c>
      <c r="K5410" s="10" t="s">
        <v>24</v>
      </c>
    </row>
    <row r="5411" spans="1:11" ht="54" customHeight="1">
      <c r="A5411" s="9" t="s">
        <v>12553</v>
      </c>
      <c r="B5411" s="9" t="s">
        <v>12554</v>
      </c>
      <c r="C5411" s="9" t="s">
        <v>17</v>
      </c>
      <c r="D5411" s="9" t="s">
        <v>40</v>
      </c>
      <c r="E5411" s="10" t="s">
        <v>3471</v>
      </c>
      <c r="F5411" s="9" t="s">
        <v>3472</v>
      </c>
      <c r="G5411" s="10" t="s">
        <v>21</v>
      </c>
      <c r="H5411" s="9" t="s">
        <v>35</v>
      </c>
      <c r="I5411" s="9" t="s">
        <v>12555</v>
      </c>
      <c r="J5411" s="10" t="str">
        <f>HYPERLINK("https://www.boe.es/gazeta/dias/1834/07/07/pdfs/GMD-1834-140.pdf#page=3","Abrir facsímil")</f>
        <v>Abrir facsímil</v>
      </c>
      <c r="K5411" s="10" t="s">
        <v>37</v>
      </c>
    </row>
    <row r="5412" spans="1:11" ht="54" customHeight="1">
      <c r="A5412" s="9" t="s">
        <v>12553</v>
      </c>
      <c r="B5412" s="9" t="s">
        <v>12554</v>
      </c>
      <c r="C5412" s="9" t="s">
        <v>17</v>
      </c>
      <c r="D5412" s="9" t="s">
        <v>18</v>
      </c>
      <c r="E5412" s="10" t="s">
        <v>299</v>
      </c>
      <c r="F5412" s="9" t="s">
        <v>2255</v>
      </c>
      <c r="G5412" s="10" t="s">
        <v>34</v>
      </c>
      <c r="H5412" s="9" t="s">
        <v>35</v>
      </c>
      <c r="I5412" s="9" t="s">
        <v>12556</v>
      </c>
      <c r="J5412" s="10" t="str">
        <f>HYPERLINK("https://www.boe.es/gazeta/dias/1834/12/12/pdfs/GMD-C-1834-301.pdf#page=1","Abrir facsímil")</f>
        <v>Abrir facsímil</v>
      </c>
      <c r="K5412" s="10" t="s">
        <v>37</v>
      </c>
    </row>
    <row r="5413" spans="1:11" ht="54" customHeight="1">
      <c r="A5413" s="9" t="s">
        <v>12553</v>
      </c>
      <c r="B5413" s="9" t="s">
        <v>12554</v>
      </c>
      <c r="C5413" s="9" t="s">
        <v>17</v>
      </c>
      <c r="D5413" s="9" t="s">
        <v>40</v>
      </c>
      <c r="E5413" s="10" t="s">
        <v>479</v>
      </c>
      <c r="F5413" s="9" t="s">
        <v>2258</v>
      </c>
      <c r="G5413" s="10" t="s">
        <v>34</v>
      </c>
      <c r="H5413" s="9" t="s">
        <v>35</v>
      </c>
      <c r="I5413" s="9" t="s">
        <v>12557</v>
      </c>
      <c r="J5413" s="10" t="str">
        <f>HYPERLINK("https://www.boe.es/gazeta/dias/1834/08/13/pdfs/GMD-C-1834-178.pdf#page=1","Abrir facsímil")</f>
        <v>Abrir facsímil</v>
      </c>
      <c r="K5413" s="10" t="s">
        <v>37</v>
      </c>
    </row>
    <row r="5414" spans="1:11" ht="54" customHeight="1">
      <c r="A5414" s="9" t="s">
        <v>12558</v>
      </c>
      <c r="B5414" s="9" t="s">
        <v>12559</v>
      </c>
      <c r="C5414" s="9" t="s">
        <v>122</v>
      </c>
      <c r="D5414" s="9" t="s">
        <v>101</v>
      </c>
      <c r="E5414" s="10" t="s">
        <v>1234</v>
      </c>
      <c r="F5414" s="9" t="s">
        <v>1455</v>
      </c>
      <c r="G5414" s="10" t="s">
        <v>21</v>
      </c>
      <c r="H5414" s="9" t="s">
        <v>22</v>
      </c>
      <c r="I5414" s="9" t="s">
        <v>12560</v>
      </c>
      <c r="J5414" s="10" t="str">
        <f>HYPERLINK("https://www.boe.es/gazeta/dias/1834/05/15/pdfs/GMD-1834-84.pdf#page=3","Abrir facsímil")</f>
        <v>Abrir facsímil</v>
      </c>
      <c r="K5414" s="10" t="s">
        <v>24</v>
      </c>
    </row>
    <row r="5415" spans="1:11" ht="54" customHeight="1">
      <c r="A5415" s="9" t="s">
        <v>12561</v>
      </c>
      <c r="B5415" s="9" t="s">
        <v>12562</v>
      </c>
      <c r="C5415" s="9" t="s">
        <v>90</v>
      </c>
      <c r="D5415" s="9" t="s">
        <v>67</v>
      </c>
      <c r="E5415" s="10" t="s">
        <v>734</v>
      </c>
      <c r="F5415" s="9" t="s">
        <v>735</v>
      </c>
      <c r="G5415" s="10" t="s">
        <v>21</v>
      </c>
      <c r="H5415" s="9" t="s">
        <v>22</v>
      </c>
      <c r="I5415" s="9" t="s">
        <v>12563</v>
      </c>
      <c r="J5415" s="10" t="str">
        <f>HYPERLINK("https://www.boe.es/gazeta/dias/1834/05/06/pdfs/GMD-1834-75.pdf#page=3","Abrir facsímil")</f>
        <v>Abrir facsímil</v>
      </c>
      <c r="K5415" s="10" t="s">
        <v>24</v>
      </c>
    </row>
    <row r="5416" spans="1:11" ht="54" customHeight="1">
      <c r="A5416" s="9" t="s">
        <v>12564</v>
      </c>
      <c r="B5416" s="9" t="s">
        <v>12565</v>
      </c>
      <c r="C5416" s="9" t="s">
        <v>17</v>
      </c>
      <c r="D5416" s="9" t="s">
        <v>18</v>
      </c>
      <c r="E5416" s="10" t="s">
        <v>454</v>
      </c>
      <c r="F5416" s="9" t="s">
        <v>2009</v>
      </c>
      <c r="G5416" s="10" t="s">
        <v>21</v>
      </c>
      <c r="H5416" s="9" t="s">
        <v>22</v>
      </c>
      <c r="I5416" s="9" t="s">
        <v>12566</v>
      </c>
      <c r="J5416" s="10" t="str">
        <f>HYPERLINK("https://www.boe.es/gazeta/dias/1834/10/16/pdfs/GMD-1834-244.pdf#page=3","Abrir facsímil")</f>
        <v>Abrir facsímil</v>
      </c>
      <c r="K5416" s="10" t="s">
        <v>24</v>
      </c>
    </row>
    <row r="5417" spans="1:11" ht="54" customHeight="1">
      <c r="A5417" s="9" t="s">
        <v>12567</v>
      </c>
      <c r="B5417" s="9" t="s">
        <v>12568</v>
      </c>
      <c r="C5417" s="9" t="s">
        <v>17</v>
      </c>
      <c r="D5417" s="9" t="s">
        <v>18</v>
      </c>
      <c r="E5417" s="10" t="s">
        <v>1402</v>
      </c>
      <c r="F5417" s="9" t="s">
        <v>1403</v>
      </c>
      <c r="G5417" s="10" t="s">
        <v>75</v>
      </c>
      <c r="H5417" s="9" t="s">
        <v>22</v>
      </c>
      <c r="I5417" s="9" t="s">
        <v>12569</v>
      </c>
      <c r="J5417" s="10" t="str">
        <f>HYPERLINK("https://www.boe.es/gazeta/dias/1834/05/05/pdfs/GMD-1834-74.pdf#page=4","Abrir facsímil")</f>
        <v>Abrir facsímil</v>
      </c>
      <c r="K5417" s="10" t="s">
        <v>24</v>
      </c>
    </row>
    <row r="5418" spans="1:11" ht="54" customHeight="1">
      <c r="A5418" s="9" t="s">
        <v>12570</v>
      </c>
      <c r="B5418" s="9" t="s">
        <v>12571</v>
      </c>
      <c r="C5418" s="9" t="s">
        <v>17</v>
      </c>
      <c r="D5418" s="9" t="s">
        <v>40</v>
      </c>
      <c r="E5418" s="10" t="s">
        <v>3471</v>
      </c>
      <c r="F5418" s="9" t="s">
        <v>3472</v>
      </c>
      <c r="G5418" s="10" t="s">
        <v>21</v>
      </c>
      <c r="H5418" s="9" t="s">
        <v>22</v>
      </c>
      <c r="I5418" s="9" t="s">
        <v>12572</v>
      </c>
      <c r="J5418" s="10" t="str">
        <f>HYPERLINK("https://www.boe.es/gazeta/dias/1834/07/07/pdfs/GMD-1834-140.pdf#page=3","Abrir facsímil")</f>
        <v>Abrir facsímil</v>
      </c>
      <c r="K5418" s="10" t="s">
        <v>24</v>
      </c>
    </row>
    <row r="5419" spans="1:11" ht="54" customHeight="1">
      <c r="A5419" s="9" t="s">
        <v>12570</v>
      </c>
      <c r="B5419" s="9" t="s">
        <v>12571</v>
      </c>
      <c r="C5419" s="9" t="s">
        <v>17</v>
      </c>
      <c r="D5419" s="9" t="s">
        <v>18</v>
      </c>
      <c r="E5419" s="10" t="s">
        <v>299</v>
      </c>
      <c r="F5419" s="9" t="s">
        <v>2255</v>
      </c>
      <c r="G5419" s="10" t="s">
        <v>34</v>
      </c>
      <c r="H5419" s="9" t="s">
        <v>22</v>
      </c>
      <c r="I5419" s="9" t="s">
        <v>12573</v>
      </c>
      <c r="J5419" s="10" t="str">
        <f>HYPERLINK("https://www.boe.es/gazeta/dias/1834/12/12/pdfs/GMD-C-1834-301.pdf#page=1","Abrir facsímil")</f>
        <v>Abrir facsímil</v>
      </c>
      <c r="K5419" s="10" t="s">
        <v>24</v>
      </c>
    </row>
    <row r="5420" spans="1:11" ht="54" customHeight="1">
      <c r="A5420" s="9" t="s">
        <v>12570</v>
      </c>
      <c r="B5420" s="9" t="s">
        <v>12571</v>
      </c>
      <c r="C5420" s="9" t="s">
        <v>17</v>
      </c>
      <c r="D5420" s="9" t="s">
        <v>40</v>
      </c>
      <c r="E5420" s="10" t="s">
        <v>479</v>
      </c>
      <c r="F5420" s="9" t="s">
        <v>2258</v>
      </c>
      <c r="G5420" s="10" t="s">
        <v>34</v>
      </c>
      <c r="H5420" s="9" t="s">
        <v>22</v>
      </c>
      <c r="I5420" s="9" t="s">
        <v>12574</v>
      </c>
      <c r="J5420" s="10" t="str">
        <f>HYPERLINK("https://www.boe.es/gazeta/dias/1834/08/13/pdfs/GMD-C-1834-178.pdf#page=1","Abrir facsímil")</f>
        <v>Abrir facsímil</v>
      </c>
      <c r="K5420" s="10" t="s">
        <v>24</v>
      </c>
    </row>
    <row r="5421" spans="1:11" ht="54" customHeight="1">
      <c r="A5421" s="9" t="s">
        <v>12575</v>
      </c>
      <c r="B5421" s="9" t="s">
        <v>12575</v>
      </c>
      <c r="C5421" s="9" t="s">
        <v>17</v>
      </c>
      <c r="D5421" s="9" t="s">
        <v>18</v>
      </c>
      <c r="E5421" s="10" t="s">
        <v>1641</v>
      </c>
      <c r="F5421" s="9" t="s">
        <v>1642</v>
      </c>
      <c r="G5421" s="10" t="s">
        <v>34</v>
      </c>
      <c r="H5421" s="9" t="s">
        <v>22</v>
      </c>
      <c r="I5421" s="9" t="s">
        <v>12576</v>
      </c>
      <c r="J5421" s="10" t="str">
        <f>HYPERLINK("https://www.boe.es/gazeta/dias/1834/09/28/pdfs/GMD-C-1834-226.pdf#page=1","Abrir facsímil")</f>
        <v>Abrir facsímil</v>
      </c>
      <c r="K5421" s="10" t="s">
        <v>24</v>
      </c>
    </row>
    <row r="5422" spans="1:11" ht="54" customHeight="1">
      <c r="A5422" s="9" t="s">
        <v>12577</v>
      </c>
      <c r="B5422" s="9" t="s">
        <v>12577</v>
      </c>
      <c r="C5422" s="9" t="s">
        <v>17</v>
      </c>
      <c r="D5422" s="9" t="s">
        <v>18</v>
      </c>
      <c r="E5422" s="10" t="s">
        <v>803</v>
      </c>
      <c r="F5422" s="9" t="s">
        <v>804</v>
      </c>
      <c r="G5422" s="10" t="s">
        <v>75</v>
      </c>
      <c r="H5422" s="9" t="s">
        <v>22</v>
      </c>
      <c r="I5422" s="9" t="s">
        <v>12578</v>
      </c>
      <c r="J5422" s="10" t="str">
        <f>HYPERLINK("https://www.boe.es/gazeta/dias/1834/03/29/pdfs/GMD-1834-39.pdf#page=4","Abrir facsímil")</f>
        <v>Abrir facsímil</v>
      </c>
      <c r="K5422" s="10" t="s">
        <v>24</v>
      </c>
    </row>
    <row r="5423" spans="1:11" ht="54" customHeight="1">
      <c r="A5423" s="9" t="s">
        <v>12579</v>
      </c>
      <c r="B5423" s="9" t="s">
        <v>12579</v>
      </c>
      <c r="C5423" s="9" t="s">
        <v>17</v>
      </c>
      <c r="D5423" s="9" t="s">
        <v>18</v>
      </c>
      <c r="E5423" s="10" t="s">
        <v>690</v>
      </c>
      <c r="F5423" s="9" t="s">
        <v>691</v>
      </c>
      <c r="G5423" s="10" t="s">
        <v>34</v>
      </c>
      <c r="H5423" s="9" t="s">
        <v>22</v>
      </c>
      <c r="I5423" s="9" t="s">
        <v>12580</v>
      </c>
      <c r="J5423" s="10" t="str">
        <f>HYPERLINK("https://www.boe.es/gazeta/dias/1834/09/03/pdfs/GMD-C-1834-201.pdf#page=1","Abrir facsímil")</f>
        <v>Abrir facsímil</v>
      </c>
      <c r="K5423" s="10" t="s">
        <v>24</v>
      </c>
    </row>
    <row r="5424" spans="1:11" ht="54" customHeight="1">
      <c r="A5424" s="9" t="s">
        <v>12579</v>
      </c>
      <c r="B5424" s="9" t="s">
        <v>12579</v>
      </c>
      <c r="C5424" s="9" t="s">
        <v>17</v>
      </c>
      <c r="D5424" s="9" t="s">
        <v>18</v>
      </c>
      <c r="E5424" s="10" t="s">
        <v>492</v>
      </c>
      <c r="F5424" s="9" t="s">
        <v>493</v>
      </c>
      <c r="G5424" s="10" t="s">
        <v>34</v>
      </c>
      <c r="H5424" s="9" t="s">
        <v>22</v>
      </c>
      <c r="I5424" s="9" t="s">
        <v>12581</v>
      </c>
      <c r="J5424" s="10" t="str">
        <f>HYPERLINK("https://www.boe.es/gazeta/dias/1834/11/21/pdfs/GMD-C-1834-280.pdf#page=1","Abrir facsímil")</f>
        <v>Abrir facsímil</v>
      </c>
      <c r="K5424" s="10" t="s">
        <v>24</v>
      </c>
    </row>
    <row r="5425" spans="1:11" ht="54" customHeight="1">
      <c r="A5425" s="9" t="s">
        <v>12579</v>
      </c>
      <c r="B5425" s="9" t="s">
        <v>12579</v>
      </c>
      <c r="C5425" s="9" t="s">
        <v>46</v>
      </c>
      <c r="D5425" s="9" t="s">
        <v>55</v>
      </c>
      <c r="E5425" s="10" t="s">
        <v>247</v>
      </c>
      <c r="F5425" s="9" t="s">
        <v>248</v>
      </c>
      <c r="G5425" s="10" t="s">
        <v>34</v>
      </c>
      <c r="H5425" s="9" t="s">
        <v>22</v>
      </c>
      <c r="I5425" s="9" t="s">
        <v>12582</v>
      </c>
      <c r="J5425" s="10" t="str">
        <f>HYPERLINK("https://www.boe.es/gazeta/dias/1834/08/23/pdfs/GMD-C-1834-189.pdf#page=1","Abrir facsímil")</f>
        <v>Abrir facsímil</v>
      </c>
      <c r="K5425" s="10" t="s">
        <v>24</v>
      </c>
    </row>
    <row r="5426" spans="1:11" ht="54" customHeight="1">
      <c r="A5426" s="9" t="s">
        <v>12583</v>
      </c>
      <c r="B5426" s="9" t="s">
        <v>12583</v>
      </c>
      <c r="C5426" s="9" t="s">
        <v>17</v>
      </c>
      <c r="D5426" s="9" t="s">
        <v>40</v>
      </c>
      <c r="E5426" s="10" t="s">
        <v>981</v>
      </c>
      <c r="F5426" s="9" t="s">
        <v>3406</v>
      </c>
      <c r="G5426" s="10" t="s">
        <v>34</v>
      </c>
      <c r="H5426" s="9" t="s">
        <v>22</v>
      </c>
      <c r="I5426" s="9" t="s">
        <v>12584</v>
      </c>
      <c r="J5426" s="10" t="str">
        <f>HYPERLINK("https://www.boe.es/gazeta/dias/1834/09/21/pdfs/GMD-C-1834-219.pdf#page=1","Abrir facsímil")</f>
        <v>Abrir facsímil</v>
      </c>
      <c r="K5426" s="10" t="s">
        <v>24</v>
      </c>
    </row>
    <row r="5427" spans="1:11" ht="54" customHeight="1">
      <c r="A5427" s="9" t="s">
        <v>12585</v>
      </c>
      <c r="B5427" s="9" t="s">
        <v>12585</v>
      </c>
      <c r="C5427" s="9" t="s">
        <v>17</v>
      </c>
      <c r="D5427" s="9" t="s">
        <v>18</v>
      </c>
      <c r="E5427" s="10" t="s">
        <v>2287</v>
      </c>
      <c r="F5427" s="9" t="s">
        <v>2288</v>
      </c>
      <c r="G5427" s="10" t="s">
        <v>21</v>
      </c>
      <c r="H5427" s="9" t="s">
        <v>22</v>
      </c>
      <c r="I5427" s="9" t="s">
        <v>12586</v>
      </c>
      <c r="J5427" s="10" t="str">
        <f>HYPERLINK("https://www.boe.es/gazeta/dias/1834/12/18/pdfs/GMD-C-1834-308.pdf#page=3","Abrir facsímil")</f>
        <v>Abrir facsímil</v>
      </c>
      <c r="K5427" s="10" t="s">
        <v>24</v>
      </c>
    </row>
    <row r="5428" spans="1:11" ht="54" customHeight="1">
      <c r="A5428" s="9" t="s">
        <v>12587</v>
      </c>
      <c r="B5428" s="9" t="s">
        <v>12588</v>
      </c>
      <c r="C5428" s="9" t="s">
        <v>46</v>
      </c>
      <c r="D5428" s="9" t="s">
        <v>55</v>
      </c>
      <c r="E5428" s="10" t="s">
        <v>251</v>
      </c>
      <c r="F5428" s="9" t="s">
        <v>1278</v>
      </c>
      <c r="G5428" s="10" t="s">
        <v>86</v>
      </c>
      <c r="H5428" s="9" t="s">
        <v>22</v>
      </c>
      <c r="I5428" s="9" t="s">
        <v>12589</v>
      </c>
      <c r="J5428" s="10" t="str">
        <f>HYPERLINK("https://www.boe.es/gazeta/dias/1834/09/26/pdfs/GMD-1834-224.pdf#page=2","Abrir facsímil")</f>
        <v>Abrir facsímil</v>
      </c>
      <c r="K5428" s="10" t="s">
        <v>24</v>
      </c>
    </row>
    <row r="5429" spans="1:11" ht="54" customHeight="1">
      <c r="A5429" s="9" t="s">
        <v>12590</v>
      </c>
      <c r="B5429" s="9" t="s">
        <v>12591</v>
      </c>
      <c r="C5429" s="9" t="s">
        <v>90</v>
      </c>
      <c r="D5429" s="9" t="s">
        <v>18</v>
      </c>
      <c r="E5429" s="10" t="s">
        <v>26</v>
      </c>
      <c r="F5429" s="9" t="s">
        <v>27</v>
      </c>
      <c r="G5429" s="10" t="s">
        <v>34</v>
      </c>
      <c r="H5429" s="9" t="s">
        <v>22</v>
      </c>
      <c r="I5429" s="9" t="s">
        <v>12592</v>
      </c>
      <c r="J5429" s="10" t="str">
        <f>HYPERLINK("https://www.boe.es/gazeta/dias/1834/10/19/pdfs/GMD-C-1834-247.pdf#page=1","Abrir facsímil")</f>
        <v>Abrir facsímil</v>
      </c>
      <c r="K5429" s="10" t="s">
        <v>24</v>
      </c>
    </row>
    <row r="5430" spans="1:11" ht="54" customHeight="1">
      <c r="A5430" s="9" t="s">
        <v>12593</v>
      </c>
      <c r="B5430" s="9" t="s">
        <v>12594</v>
      </c>
      <c r="C5430" s="9" t="s">
        <v>66</v>
      </c>
      <c r="D5430" s="9" t="s">
        <v>67</v>
      </c>
      <c r="E5430" s="10" t="s">
        <v>571</v>
      </c>
      <c r="F5430" s="9" t="s">
        <v>572</v>
      </c>
      <c r="G5430" s="10" t="s">
        <v>86</v>
      </c>
      <c r="H5430" s="9" t="s">
        <v>22</v>
      </c>
      <c r="I5430" s="9" t="s">
        <v>12595</v>
      </c>
      <c r="J5430" s="10" t="str">
        <f>HYPERLINK("https://www.boe.es/gazeta/dias/1834/09/04/pdfs/GMD-1834-202.pdf#page=2","Abrir facsímil")</f>
        <v>Abrir facsímil</v>
      </c>
      <c r="K5430" s="10" t="s">
        <v>24</v>
      </c>
    </row>
    <row r="5431" spans="1:11" ht="54" customHeight="1">
      <c r="A5431" s="9" t="s">
        <v>12596</v>
      </c>
      <c r="B5431" s="9" t="s">
        <v>12597</v>
      </c>
      <c r="C5431" s="9" t="s">
        <v>66</v>
      </c>
      <c r="D5431" s="9" t="s">
        <v>18</v>
      </c>
      <c r="E5431" s="10" t="s">
        <v>1999</v>
      </c>
      <c r="F5431" s="9" t="s">
        <v>2000</v>
      </c>
      <c r="G5431" s="10" t="s">
        <v>75</v>
      </c>
      <c r="H5431" s="9" t="s">
        <v>22</v>
      </c>
      <c r="I5431" s="9" t="s">
        <v>12598</v>
      </c>
      <c r="J5431" s="10" t="str">
        <f>HYPERLINK("https://www.boe.es/gazeta/dias/1834/04/09/pdfs/GMD-1834-48.pdf#page=4","Abrir facsímil")</f>
        <v>Abrir facsímil</v>
      </c>
      <c r="K5431" s="10" t="s">
        <v>24</v>
      </c>
    </row>
    <row r="5432" spans="1:11" ht="54" customHeight="1">
      <c r="A5432" s="9" t="s">
        <v>12596</v>
      </c>
      <c r="B5432" s="9" t="s">
        <v>12597</v>
      </c>
      <c r="C5432" s="9" t="s">
        <v>17</v>
      </c>
      <c r="D5432" s="9" t="s">
        <v>18</v>
      </c>
      <c r="E5432" s="10" t="s">
        <v>1103</v>
      </c>
      <c r="F5432" s="9" t="s">
        <v>1104</v>
      </c>
      <c r="G5432" s="10" t="s">
        <v>34</v>
      </c>
      <c r="H5432" s="9" t="s">
        <v>22</v>
      </c>
      <c r="I5432" s="9" t="s">
        <v>12599</v>
      </c>
      <c r="J5432" s="10" t="str">
        <f>HYPERLINK("https://www.boe.es/gazeta/dias/1834/10/10/pdfs/GMD-C-1834-238.pdf#page=1","Abrir facsímil")</f>
        <v>Abrir facsímil</v>
      </c>
      <c r="K5432" s="10" t="s">
        <v>24</v>
      </c>
    </row>
    <row r="5433" spans="1:11" ht="54" customHeight="1">
      <c r="A5433" s="9" t="s">
        <v>12600</v>
      </c>
      <c r="B5433" s="9" t="s">
        <v>12601</v>
      </c>
      <c r="C5433" s="9" t="s">
        <v>66</v>
      </c>
      <c r="D5433" s="9" t="s">
        <v>67</v>
      </c>
      <c r="E5433" s="10" t="s">
        <v>2888</v>
      </c>
      <c r="F5433" s="9" t="s">
        <v>2889</v>
      </c>
      <c r="G5433" s="10" t="s">
        <v>21</v>
      </c>
      <c r="H5433" s="9" t="s">
        <v>22</v>
      </c>
      <c r="I5433" s="9" t="s">
        <v>12602</v>
      </c>
      <c r="J5433" s="10" t="str">
        <f>HYPERLINK("https://www.boe.es/gazeta/dias/1834/12/22/pdfs/GMD-1834-312.pdf#page=3","Abrir facsímil")</f>
        <v>Abrir facsímil</v>
      </c>
      <c r="K5433" s="10" t="s">
        <v>24</v>
      </c>
    </row>
    <row r="5434" spans="1:11" ht="54" customHeight="1">
      <c r="A5434" s="9" t="s">
        <v>12603</v>
      </c>
      <c r="B5434" s="9" t="s">
        <v>12604</v>
      </c>
      <c r="C5434" s="9" t="s">
        <v>17</v>
      </c>
      <c r="D5434" s="9" t="s">
        <v>18</v>
      </c>
      <c r="E5434" s="10" t="s">
        <v>1394</v>
      </c>
      <c r="F5434" s="9" t="s">
        <v>2923</v>
      </c>
      <c r="G5434" s="10" t="s">
        <v>34</v>
      </c>
      <c r="H5434" s="9" t="s">
        <v>22</v>
      </c>
      <c r="I5434" s="9" t="s">
        <v>12605</v>
      </c>
      <c r="J5434" s="10" t="str">
        <f>HYPERLINK("https://www.boe.es/gazeta/dias/1834/04/16/pdfs/GMD-C-1834-55.pdf#page=1","Abrir facsímil")</f>
        <v>Abrir facsímil</v>
      </c>
      <c r="K5434" s="10" t="s">
        <v>24</v>
      </c>
    </row>
    <row r="5435" spans="1:11" ht="54" customHeight="1">
      <c r="A5435" s="9" t="s">
        <v>12606</v>
      </c>
      <c r="B5435" s="9" t="s">
        <v>12607</v>
      </c>
      <c r="C5435" s="9" t="s">
        <v>17</v>
      </c>
      <c r="D5435" s="9" t="s">
        <v>18</v>
      </c>
      <c r="E5435" s="10" t="s">
        <v>2098</v>
      </c>
      <c r="F5435" s="9" t="s">
        <v>2099</v>
      </c>
      <c r="G5435" s="10" t="s">
        <v>21</v>
      </c>
      <c r="H5435" s="9" t="s">
        <v>22</v>
      </c>
      <c r="I5435" s="9" t="s">
        <v>12608</v>
      </c>
      <c r="J5435" s="10" t="str">
        <f>HYPERLINK("https://www.boe.es/gazeta/dias/1834/08/11/pdfs/GMD-1834-176.pdf#page=3","Abrir facsímil")</f>
        <v>Abrir facsímil</v>
      </c>
      <c r="K5435" s="10" t="s">
        <v>24</v>
      </c>
    </row>
    <row r="5436" spans="1:11" ht="54" customHeight="1">
      <c r="A5436" s="9" t="s">
        <v>12609</v>
      </c>
      <c r="B5436" s="9" t="s">
        <v>12610</v>
      </c>
      <c r="C5436" s="9" t="s">
        <v>857</v>
      </c>
      <c r="D5436" s="9" t="s">
        <v>18</v>
      </c>
      <c r="E5436" s="10" t="s">
        <v>1406</v>
      </c>
      <c r="F5436" s="9" t="s">
        <v>1407</v>
      </c>
      <c r="G5436" s="10" t="s">
        <v>75</v>
      </c>
      <c r="H5436" s="9" t="s">
        <v>22</v>
      </c>
      <c r="I5436" s="9" t="s">
        <v>12611</v>
      </c>
      <c r="J5436" s="10" t="str">
        <f>HYPERLINK("https://www.boe.es/gazeta/dias/1834/11/03/pdfs/GMD-1834-262.pdf#page=4","Abrir facsímil")</f>
        <v>Abrir facsímil</v>
      </c>
      <c r="K5436" s="10" t="s">
        <v>24</v>
      </c>
    </row>
    <row r="5437" spans="1:11" ht="54" customHeight="1">
      <c r="A5437" s="9" t="s">
        <v>12612</v>
      </c>
      <c r="B5437" s="9" t="s">
        <v>12613</v>
      </c>
      <c r="C5437" s="9" t="s">
        <v>17</v>
      </c>
      <c r="D5437" s="9" t="s">
        <v>40</v>
      </c>
      <c r="E5437" s="10" t="s">
        <v>571</v>
      </c>
      <c r="F5437" s="9" t="s">
        <v>620</v>
      </c>
      <c r="G5437" s="10" t="s">
        <v>470</v>
      </c>
      <c r="H5437" s="9" t="s">
        <v>22</v>
      </c>
      <c r="I5437" s="9" t="s">
        <v>12614</v>
      </c>
      <c r="J5437" s="10" t="str">
        <f>HYPERLINK("https://www.boe.es/gazeta/dias/1834/09/04/pdfs/GMD-C-1834-202.pdf#page=8","Abrir facsímil")</f>
        <v>Abrir facsímil</v>
      </c>
      <c r="K5437" s="10" t="s">
        <v>24</v>
      </c>
    </row>
    <row r="5438" spans="1:11" ht="54" customHeight="1">
      <c r="A5438" s="9" t="s">
        <v>12615</v>
      </c>
      <c r="B5438" s="9" t="s">
        <v>12616</v>
      </c>
      <c r="C5438" s="9" t="s">
        <v>17</v>
      </c>
      <c r="D5438" s="9" t="s">
        <v>18</v>
      </c>
      <c r="E5438" s="10" t="s">
        <v>5574</v>
      </c>
      <c r="F5438" s="9" t="s">
        <v>5575</v>
      </c>
      <c r="G5438" s="10" t="s">
        <v>86</v>
      </c>
      <c r="H5438" s="9" t="s">
        <v>22</v>
      </c>
      <c r="I5438" s="9" t="s">
        <v>12617</v>
      </c>
      <c r="J5438" s="10" t="str">
        <f>HYPERLINK("https://www.boe.es/gazeta/dias/1834/06/16/pdfs/GMD-1834-119.pdf#page=2","Abrir facsímil")</f>
        <v>Abrir facsímil</v>
      </c>
      <c r="K5438" s="10" t="s">
        <v>24</v>
      </c>
    </row>
    <row r="5439" spans="1:11" ht="54" customHeight="1">
      <c r="A5439" s="9" t="s">
        <v>12618</v>
      </c>
      <c r="B5439" s="9" t="s">
        <v>12619</v>
      </c>
      <c r="C5439" s="9" t="s">
        <v>66</v>
      </c>
      <c r="D5439" s="9" t="s">
        <v>67</v>
      </c>
      <c r="E5439" s="10" t="s">
        <v>286</v>
      </c>
      <c r="F5439" s="9" t="s">
        <v>548</v>
      </c>
      <c r="G5439" s="10" t="s">
        <v>75</v>
      </c>
      <c r="H5439" s="9" t="s">
        <v>35</v>
      </c>
      <c r="I5439" s="9" t="s">
        <v>12620</v>
      </c>
      <c r="J5439" s="10" t="str">
        <f>HYPERLINK("https://www.boe.es/gazeta/dias/1834/08/30/pdfs/GMD-1834-196.pdf#page=4","Abrir facsímil")</f>
        <v>Abrir facsímil</v>
      </c>
      <c r="K5439" s="10" t="s">
        <v>37</v>
      </c>
    </row>
    <row r="5440" spans="1:11" ht="54" customHeight="1">
      <c r="A5440" s="9" t="s">
        <v>12621</v>
      </c>
      <c r="B5440" s="9" t="s">
        <v>12622</v>
      </c>
      <c r="C5440" s="9" t="s">
        <v>17</v>
      </c>
      <c r="D5440" s="9" t="s">
        <v>18</v>
      </c>
      <c r="E5440" s="10" t="s">
        <v>2748</v>
      </c>
      <c r="F5440" s="9" t="s">
        <v>2749</v>
      </c>
      <c r="G5440" s="10" t="s">
        <v>34</v>
      </c>
      <c r="H5440" s="9" t="s">
        <v>22</v>
      </c>
      <c r="I5440" s="9" t="s">
        <v>12623</v>
      </c>
      <c r="J5440" s="10" t="str">
        <f>HYPERLINK("https://www.boe.es/gazeta/dias/1834/01/09/pdfs/GMD-1834-5.pdf#page=1","Abrir facsímil")</f>
        <v>Abrir facsímil</v>
      </c>
      <c r="K5440" s="10" t="s">
        <v>24</v>
      </c>
    </row>
    <row r="5441" spans="1:11" ht="54" customHeight="1">
      <c r="A5441" s="9" t="s">
        <v>12624</v>
      </c>
      <c r="B5441" s="9" t="s">
        <v>12624</v>
      </c>
      <c r="C5441" s="9" t="s">
        <v>90</v>
      </c>
      <c r="D5441" s="9" t="s">
        <v>18</v>
      </c>
      <c r="E5441" s="10" t="s">
        <v>956</v>
      </c>
      <c r="F5441" s="9" t="s">
        <v>957</v>
      </c>
      <c r="G5441" s="10" t="s">
        <v>34</v>
      </c>
      <c r="H5441" s="9" t="s">
        <v>22</v>
      </c>
      <c r="I5441" s="9" t="s">
        <v>12625</v>
      </c>
      <c r="J5441" s="10" t="str">
        <f>HYPERLINK("https://www.boe.es/gazeta/dias/1834/08/10/pdfs/GMD-C-1834-175.pdf#page=1","Abrir facsímil")</f>
        <v>Abrir facsímil</v>
      </c>
      <c r="K5441" s="10" t="s">
        <v>24</v>
      </c>
    </row>
    <row r="5442" spans="1:11" ht="54" customHeight="1">
      <c r="A5442" s="9" t="s">
        <v>12626</v>
      </c>
      <c r="B5442" s="9" t="s">
        <v>12627</v>
      </c>
      <c r="C5442" s="9" t="s">
        <v>857</v>
      </c>
      <c r="D5442" s="9" t="s">
        <v>18</v>
      </c>
      <c r="E5442" s="10" t="s">
        <v>251</v>
      </c>
      <c r="F5442" s="9" t="s">
        <v>1278</v>
      </c>
      <c r="G5442" s="10" t="s">
        <v>75</v>
      </c>
      <c r="H5442" s="9" t="s">
        <v>22</v>
      </c>
      <c r="I5442" s="9" t="s">
        <v>12628</v>
      </c>
      <c r="J5442" s="10" t="str">
        <f>HYPERLINK("https://www.boe.es/gazeta/dias/1834/09/26/pdfs/GMD-1834-224.pdf#page=4","Abrir facsímil")</f>
        <v>Abrir facsímil</v>
      </c>
      <c r="K5442" s="10" t="s">
        <v>24</v>
      </c>
    </row>
    <row r="5443" spans="1:11" ht="54" customHeight="1">
      <c r="A5443" s="9" t="s">
        <v>12629</v>
      </c>
      <c r="B5443" s="9" t="s">
        <v>12630</v>
      </c>
      <c r="C5443" s="9" t="s">
        <v>66</v>
      </c>
      <c r="D5443" s="9" t="s">
        <v>18</v>
      </c>
      <c r="E5443" s="10" t="s">
        <v>642</v>
      </c>
      <c r="F5443" s="9" t="s">
        <v>1843</v>
      </c>
      <c r="G5443" s="10" t="s">
        <v>34</v>
      </c>
      <c r="H5443" s="9" t="s">
        <v>22</v>
      </c>
      <c r="I5443" s="9" t="s">
        <v>12631</v>
      </c>
      <c r="J5443" s="10" t="str">
        <f>HYPERLINK("https://www.boe.es/gazeta/dias/1834/11/12/pdfs/GMD-1834-271.pdf#page=1","Abrir facsímil")</f>
        <v>Abrir facsímil</v>
      </c>
      <c r="K5443" s="10" t="s">
        <v>24</v>
      </c>
    </row>
    <row r="5444" spans="1:11" ht="54" customHeight="1">
      <c r="A5444" s="9" t="s">
        <v>12629</v>
      </c>
      <c r="B5444" s="9" t="s">
        <v>12630</v>
      </c>
      <c r="C5444" s="9" t="s">
        <v>66</v>
      </c>
      <c r="D5444" s="9" t="s">
        <v>55</v>
      </c>
      <c r="E5444" s="10" t="s">
        <v>454</v>
      </c>
      <c r="F5444" s="9" t="s">
        <v>2009</v>
      </c>
      <c r="G5444" s="10" t="s">
        <v>34</v>
      </c>
      <c r="H5444" s="9" t="s">
        <v>22</v>
      </c>
      <c r="I5444" s="9" t="s">
        <v>12632</v>
      </c>
      <c r="J5444" s="10" t="str">
        <f>HYPERLINK("https://www.boe.es/gazeta/dias/1834/10/16/pdfs/GMD-1834-244.pdf#page=1","Abrir facsímil")</f>
        <v>Abrir facsímil</v>
      </c>
      <c r="K5444" s="10" t="s">
        <v>24</v>
      </c>
    </row>
    <row r="5445" spans="1:11" ht="54" customHeight="1">
      <c r="A5445" s="9" t="s">
        <v>12633</v>
      </c>
      <c r="B5445" s="9" t="s">
        <v>12634</v>
      </c>
      <c r="C5445" s="9" t="s">
        <v>17</v>
      </c>
      <c r="D5445" s="9" t="s">
        <v>101</v>
      </c>
      <c r="E5445" s="10" t="s">
        <v>399</v>
      </c>
      <c r="F5445" s="9" t="s">
        <v>400</v>
      </c>
      <c r="G5445" s="10" t="s">
        <v>34</v>
      </c>
      <c r="H5445" s="9" t="s">
        <v>22</v>
      </c>
      <c r="I5445" s="9" t="s">
        <v>12635</v>
      </c>
      <c r="J5445" s="10" t="str">
        <f>HYPERLINK("https://www.boe.es/gazeta/dias/1834/07/08/pdfs/GMD-1834-141.pdf#page=1","Abrir facsímil")</f>
        <v>Abrir facsímil</v>
      </c>
      <c r="K5445" s="10" t="s">
        <v>24</v>
      </c>
    </row>
    <row r="5446" spans="1:11" ht="54" customHeight="1">
      <c r="A5446" s="9" t="s">
        <v>12633</v>
      </c>
      <c r="B5446" s="9" t="s">
        <v>12634</v>
      </c>
      <c r="C5446" s="9" t="s">
        <v>17</v>
      </c>
      <c r="D5446" s="9" t="s">
        <v>18</v>
      </c>
      <c r="E5446" s="10" t="s">
        <v>123</v>
      </c>
      <c r="F5446" s="9" t="s">
        <v>124</v>
      </c>
      <c r="G5446" s="10" t="s">
        <v>34</v>
      </c>
      <c r="H5446" s="9" t="s">
        <v>22</v>
      </c>
      <c r="I5446" s="9" t="s">
        <v>12636</v>
      </c>
      <c r="J5446" s="10" t="str">
        <f>HYPERLINK("https://www.boe.es/gazeta/dias/1834/07/11/pdfs/GMD-1834-144.pdf#page=1","Abrir facsímil")</f>
        <v>Abrir facsímil</v>
      </c>
      <c r="K5446" s="10" t="s">
        <v>24</v>
      </c>
    </row>
    <row r="5447" spans="1:11" ht="54" customHeight="1">
      <c r="A5447" s="9" t="s">
        <v>12633</v>
      </c>
      <c r="B5447" s="9" t="s">
        <v>12634</v>
      </c>
      <c r="C5447" s="9" t="s">
        <v>17</v>
      </c>
      <c r="D5447" s="9" t="s">
        <v>101</v>
      </c>
      <c r="E5447" s="10" t="s">
        <v>2860</v>
      </c>
      <c r="F5447" s="9" t="s">
        <v>2861</v>
      </c>
      <c r="G5447" s="10" t="s">
        <v>34</v>
      </c>
      <c r="H5447" s="9" t="s">
        <v>22</v>
      </c>
      <c r="I5447" s="9" t="s">
        <v>12637</v>
      </c>
      <c r="J5447" s="10" t="str">
        <f>HYPERLINK("https://www.boe.es/gazeta/dias/1834/07/20/pdfs/GMD-1834-153.pdf#page=1","Abrir facsímil")</f>
        <v>Abrir facsímil</v>
      </c>
      <c r="K5447" s="10" t="s">
        <v>24</v>
      </c>
    </row>
    <row r="5448" spans="1:11" ht="54" customHeight="1">
      <c r="A5448" s="9" t="s">
        <v>12633</v>
      </c>
      <c r="B5448" s="9" t="s">
        <v>12634</v>
      </c>
      <c r="C5448" s="9" t="s">
        <v>66</v>
      </c>
      <c r="D5448" s="9" t="s">
        <v>18</v>
      </c>
      <c r="E5448" s="10" t="s">
        <v>1686</v>
      </c>
      <c r="F5448" s="9" t="s">
        <v>1687</v>
      </c>
      <c r="G5448" s="10" t="s">
        <v>34</v>
      </c>
      <c r="H5448" s="9" t="s">
        <v>22</v>
      </c>
      <c r="I5448" s="9" t="s">
        <v>12638</v>
      </c>
      <c r="J5448" s="10" t="str">
        <f>HYPERLINK("https://www.boe.es/gazeta/dias/1834/07/27/pdfs/GMD-1834-160.pdf#page=1","Abrir facsímil")</f>
        <v>Abrir facsímil</v>
      </c>
      <c r="K5448" s="10" t="s">
        <v>24</v>
      </c>
    </row>
    <row r="5449" spans="1:11" ht="54" customHeight="1">
      <c r="A5449" s="9" t="s">
        <v>12639</v>
      </c>
      <c r="B5449" s="9" t="s">
        <v>12639</v>
      </c>
      <c r="C5449" s="9" t="s">
        <v>66</v>
      </c>
      <c r="D5449" s="9" t="s">
        <v>67</v>
      </c>
      <c r="E5449" s="10" t="s">
        <v>615</v>
      </c>
      <c r="F5449" s="9" t="s">
        <v>616</v>
      </c>
      <c r="G5449" s="10" t="s">
        <v>21</v>
      </c>
      <c r="H5449" s="9" t="s">
        <v>22</v>
      </c>
      <c r="I5449" s="9" t="s">
        <v>12640</v>
      </c>
      <c r="J5449" s="10" t="str">
        <f>HYPERLINK("https://www.boe.es/gazeta/dias/1834/08/19/pdfs/GMD-1834-185.pdf#page=3","Abrir facsímil")</f>
        <v>Abrir facsímil</v>
      </c>
      <c r="K5449" s="10" t="s">
        <v>24</v>
      </c>
    </row>
    <row r="5450" spans="1:11" ht="54" customHeight="1">
      <c r="A5450" s="9" t="s">
        <v>12641</v>
      </c>
      <c r="B5450" s="9" t="s">
        <v>12641</v>
      </c>
      <c r="C5450" s="9" t="s">
        <v>66</v>
      </c>
      <c r="D5450" s="9" t="s">
        <v>67</v>
      </c>
      <c r="E5450" s="10" t="s">
        <v>3225</v>
      </c>
      <c r="F5450" s="9" t="s">
        <v>3226</v>
      </c>
      <c r="G5450" s="10" t="s">
        <v>86</v>
      </c>
      <c r="H5450" s="9" t="s">
        <v>22</v>
      </c>
      <c r="I5450" s="9" t="s">
        <v>12642</v>
      </c>
      <c r="J5450" s="10" t="str">
        <f>HYPERLINK("https://www.boe.es/gazeta/dias/1834/08/22/pdfs/GMD-1834-188.pdf#page=2","Abrir facsímil")</f>
        <v>Abrir facsímil</v>
      </c>
      <c r="K5450" s="10" t="s">
        <v>24</v>
      </c>
    </row>
    <row r="5451" spans="1:11" ht="54" customHeight="1">
      <c r="A5451" s="9" t="s">
        <v>12643</v>
      </c>
      <c r="B5451" s="9" t="s">
        <v>12644</v>
      </c>
      <c r="C5451" s="9" t="s">
        <v>17</v>
      </c>
      <c r="D5451" s="9" t="s">
        <v>18</v>
      </c>
      <c r="E5451" s="10" t="s">
        <v>1883</v>
      </c>
      <c r="F5451" s="9" t="s">
        <v>1884</v>
      </c>
      <c r="G5451" s="10" t="s">
        <v>75</v>
      </c>
      <c r="H5451" s="9" t="s">
        <v>22</v>
      </c>
      <c r="I5451" s="9" t="s">
        <v>12645</v>
      </c>
      <c r="J5451" s="10" t="str">
        <f>HYPERLINK("https://www.boe.es/gazeta/dias/1834/01/11/pdfs/GMD-1834-6.pdf#page=4","Abrir facsímil")</f>
        <v>Abrir facsímil</v>
      </c>
      <c r="K5451" s="10" t="s">
        <v>24</v>
      </c>
    </row>
    <row r="5452" spans="1:11" ht="54" customHeight="1">
      <c r="A5452" s="9" t="s">
        <v>12646</v>
      </c>
      <c r="B5452" s="9" t="s">
        <v>12646</v>
      </c>
      <c r="C5452" s="9" t="s">
        <v>66</v>
      </c>
      <c r="D5452" s="9" t="s">
        <v>55</v>
      </c>
      <c r="E5452" s="10" t="s">
        <v>1661</v>
      </c>
      <c r="F5452" s="9" t="s">
        <v>1662</v>
      </c>
      <c r="G5452" s="10" t="s">
        <v>34</v>
      </c>
      <c r="H5452" s="9" t="s">
        <v>22</v>
      </c>
      <c r="I5452" s="9" t="s">
        <v>12647</v>
      </c>
      <c r="J5452" s="10" t="str">
        <f>HYPERLINK("https://www.boe.es/gazeta/dias/1834/04/06/pdfs/GMD-1834-45.pdf#page=1","Abrir facsímil")</f>
        <v>Abrir facsímil</v>
      </c>
      <c r="K5452" s="10" t="s">
        <v>24</v>
      </c>
    </row>
    <row r="5453" spans="1:11" ht="54" customHeight="1">
      <c r="A5453" s="9" t="s">
        <v>12648</v>
      </c>
      <c r="B5453" s="9" t="s">
        <v>12648</v>
      </c>
      <c r="C5453" s="9" t="s">
        <v>17</v>
      </c>
      <c r="D5453" s="9" t="s">
        <v>18</v>
      </c>
      <c r="E5453" s="10" t="s">
        <v>317</v>
      </c>
      <c r="F5453" s="9" t="s">
        <v>318</v>
      </c>
      <c r="G5453" s="10" t="s">
        <v>34</v>
      </c>
      <c r="H5453" s="9" t="s">
        <v>22</v>
      </c>
      <c r="I5453" s="9" t="s">
        <v>12649</v>
      </c>
      <c r="J5453" s="10" t="str">
        <f>HYPERLINK("https://www.boe.es/gazeta/dias/1834/03/06/pdfs/I00139-00140.pdf#page=1","Abrir facsímil")</f>
        <v>Abrir facsímil</v>
      </c>
      <c r="K5453" s="10" t="s">
        <v>24</v>
      </c>
    </row>
    <row r="5454" spans="1:11" ht="54" customHeight="1">
      <c r="A5454" s="9" t="s">
        <v>12648</v>
      </c>
      <c r="B5454" s="9" t="s">
        <v>12648</v>
      </c>
      <c r="C5454" s="9" t="s">
        <v>17</v>
      </c>
      <c r="D5454" s="9" t="s">
        <v>18</v>
      </c>
      <c r="E5454" s="10" t="s">
        <v>317</v>
      </c>
      <c r="F5454" s="9" t="s">
        <v>318</v>
      </c>
      <c r="G5454" s="10" t="s">
        <v>21</v>
      </c>
      <c r="H5454" s="9" t="s">
        <v>22</v>
      </c>
      <c r="I5454" s="9" t="s">
        <v>12649</v>
      </c>
      <c r="J5454" s="10" t="str">
        <f>HYPERLINK("https://www.boe.es/gazeta/dias/1834/03/06/pdfs/GMD-1834-29.pdf#page=3","Abrir facsímil")</f>
        <v>Abrir facsímil</v>
      </c>
      <c r="K5454" s="10" t="s">
        <v>24</v>
      </c>
    </row>
    <row r="5455" spans="1:11" ht="54" customHeight="1">
      <c r="A5455" s="9" t="s">
        <v>12650</v>
      </c>
      <c r="B5455" s="9" t="s">
        <v>12651</v>
      </c>
      <c r="C5455" s="9" t="s">
        <v>90</v>
      </c>
      <c r="D5455" s="9" t="s">
        <v>18</v>
      </c>
      <c r="E5455" s="10" t="s">
        <v>729</v>
      </c>
      <c r="F5455" s="9" t="s">
        <v>730</v>
      </c>
      <c r="G5455" s="10" t="s">
        <v>34</v>
      </c>
      <c r="H5455" s="9" t="s">
        <v>22</v>
      </c>
      <c r="I5455" s="9" t="s">
        <v>12652</v>
      </c>
      <c r="J5455" s="10" t="str">
        <f>HYPERLINK("https://www.boe.es/gazeta/dias/1834/04/13/pdfs/GMD-1834-52.pdf#page=1","Abrir facsímil")</f>
        <v>Abrir facsímil</v>
      </c>
      <c r="K5455" s="10" t="s">
        <v>24</v>
      </c>
    </row>
    <row r="5456" spans="1:11" ht="54" customHeight="1">
      <c r="A5456" s="9" t="s">
        <v>12653</v>
      </c>
      <c r="B5456" s="9" t="s">
        <v>12653</v>
      </c>
      <c r="C5456" s="9" t="s">
        <v>122</v>
      </c>
      <c r="D5456" s="9" t="s">
        <v>18</v>
      </c>
      <c r="E5456" s="10" t="s">
        <v>1981</v>
      </c>
      <c r="F5456" s="9" t="s">
        <v>2471</v>
      </c>
      <c r="G5456" s="10" t="s">
        <v>28</v>
      </c>
      <c r="H5456" s="9" t="s">
        <v>22</v>
      </c>
      <c r="I5456" s="9" t="s">
        <v>12654</v>
      </c>
      <c r="J5456" s="10" t="str">
        <f>HYPERLINK("https://www.boe.es/gazeta/dias/1834/12/13/pdfs/GMD-C-1834-302.pdf#page=5","Abrir facsímil")</f>
        <v>Abrir facsímil</v>
      </c>
      <c r="K5456" s="10" t="s">
        <v>24</v>
      </c>
    </row>
    <row r="5457" spans="1:11" ht="54" customHeight="1">
      <c r="A5457" s="9" t="s">
        <v>12655</v>
      </c>
      <c r="B5457" s="9" t="s">
        <v>12656</v>
      </c>
      <c r="C5457" s="9" t="s">
        <v>66</v>
      </c>
      <c r="D5457" s="9" t="s">
        <v>67</v>
      </c>
      <c r="E5457" s="10" t="s">
        <v>163</v>
      </c>
      <c r="F5457" s="9" t="s">
        <v>164</v>
      </c>
      <c r="G5457" s="10" t="s">
        <v>75</v>
      </c>
      <c r="H5457" s="9" t="s">
        <v>22</v>
      </c>
      <c r="I5457" s="9" t="s">
        <v>12657</v>
      </c>
      <c r="J5457" s="10" t="str">
        <f>HYPERLINK("https://www.boe.es/gazeta/dias/1834/08/09/pdfs/GMD-1834-174.pdf#page=4","Abrir facsímil")</f>
        <v>Abrir facsímil</v>
      </c>
      <c r="K5457" s="10" t="s">
        <v>24</v>
      </c>
    </row>
    <row r="5458" spans="1:11" ht="54" customHeight="1">
      <c r="A5458" s="9" t="s">
        <v>12658</v>
      </c>
      <c r="B5458" s="9" t="s">
        <v>12658</v>
      </c>
      <c r="C5458" s="9" t="s">
        <v>90</v>
      </c>
      <c r="D5458" s="9" t="s">
        <v>18</v>
      </c>
      <c r="E5458" s="10" t="s">
        <v>158</v>
      </c>
      <c r="F5458" s="9" t="s">
        <v>581</v>
      </c>
      <c r="G5458" s="10" t="s">
        <v>34</v>
      </c>
      <c r="H5458" s="9" t="s">
        <v>22</v>
      </c>
      <c r="I5458" s="9" t="s">
        <v>12659</v>
      </c>
      <c r="J5458" s="10" t="str">
        <f>HYPERLINK("https://www.boe.es/gazeta/dias/1834/10/01/pdfs/GMD-C-1834-229.pdf#page=1","Abrir facsímil")</f>
        <v>Abrir facsímil</v>
      </c>
      <c r="K5458" s="10" t="s">
        <v>24</v>
      </c>
    </row>
    <row r="5459" spans="1:11" ht="54" customHeight="1">
      <c r="A5459" s="9" t="s">
        <v>12660</v>
      </c>
      <c r="B5459" s="9" t="s">
        <v>12661</v>
      </c>
      <c r="C5459" s="9" t="s">
        <v>122</v>
      </c>
      <c r="D5459" s="9" t="s">
        <v>18</v>
      </c>
      <c r="E5459" s="10" t="s">
        <v>91</v>
      </c>
      <c r="F5459" s="9" t="s">
        <v>92</v>
      </c>
      <c r="G5459" s="10" t="s">
        <v>75</v>
      </c>
      <c r="H5459" s="9" t="s">
        <v>22</v>
      </c>
      <c r="I5459" s="9" t="s">
        <v>12662</v>
      </c>
      <c r="J5459" s="10" t="str">
        <f>HYPERLINK("https://www.boe.es/gazeta/dias/1834/02/13/pdfs/GMD-1834-20.pdf#page=4","Abrir facsímil")</f>
        <v>Abrir facsímil</v>
      </c>
      <c r="K5459" s="10" t="s">
        <v>24</v>
      </c>
    </row>
    <row r="5460" spans="1:11" ht="54" customHeight="1">
      <c r="A5460" s="9" t="s">
        <v>12663</v>
      </c>
      <c r="B5460" s="9" t="s">
        <v>12663</v>
      </c>
      <c r="C5460" s="9" t="s">
        <v>17</v>
      </c>
      <c r="D5460" s="9" t="s">
        <v>18</v>
      </c>
      <c r="E5460" s="10" t="s">
        <v>1410</v>
      </c>
      <c r="F5460" s="9" t="s">
        <v>2231</v>
      </c>
      <c r="G5460" s="10" t="s">
        <v>86</v>
      </c>
      <c r="H5460" s="9" t="s">
        <v>22</v>
      </c>
      <c r="I5460" s="9" t="s">
        <v>12664</v>
      </c>
      <c r="J5460" s="10" t="str">
        <f>HYPERLINK("https://www.boe.es/gazeta/dias/1834/09/09/pdfs/GMD-C-1834-207.pdf#page=2","Abrir facsímil")</f>
        <v>Abrir facsímil</v>
      </c>
      <c r="K5460" s="10" t="s">
        <v>24</v>
      </c>
    </row>
    <row r="5461" spans="1:11" ht="54" customHeight="1">
      <c r="A5461" s="9" t="s">
        <v>12665</v>
      </c>
      <c r="B5461" s="9" t="s">
        <v>12665</v>
      </c>
      <c r="C5461" s="9" t="s">
        <v>17</v>
      </c>
      <c r="D5461" s="9" t="s">
        <v>18</v>
      </c>
      <c r="E5461" s="10" t="s">
        <v>158</v>
      </c>
      <c r="F5461" s="9" t="s">
        <v>581</v>
      </c>
      <c r="G5461" s="10" t="s">
        <v>34</v>
      </c>
      <c r="H5461" s="9" t="s">
        <v>22</v>
      </c>
      <c r="I5461" s="9" t="s">
        <v>12666</v>
      </c>
      <c r="J5461" s="10" t="str">
        <f>HYPERLINK("https://www.boe.es/gazeta/dias/1834/10/01/pdfs/GMD-C-1834-229.pdf#page=1","Abrir facsímil")</f>
        <v>Abrir facsímil</v>
      </c>
      <c r="K5461" s="10" t="s">
        <v>24</v>
      </c>
    </row>
    <row r="5462" spans="1:11" ht="54" customHeight="1">
      <c r="A5462" s="9" t="s">
        <v>12667</v>
      </c>
      <c r="B5462" s="9" t="s">
        <v>12667</v>
      </c>
      <c r="C5462" s="9" t="s">
        <v>46</v>
      </c>
      <c r="D5462" s="9" t="s">
        <v>55</v>
      </c>
      <c r="E5462" s="10" t="s">
        <v>4637</v>
      </c>
      <c r="F5462" s="9" t="s">
        <v>4638</v>
      </c>
      <c r="G5462" s="10" t="s">
        <v>21</v>
      </c>
      <c r="H5462" s="9" t="s">
        <v>22</v>
      </c>
      <c r="I5462" s="9" t="s">
        <v>12668</v>
      </c>
      <c r="J5462" s="10" t="str">
        <f>HYPERLINK("https://www.boe.es/gazeta/dias/1834/12/08/pdfs/GMD-1834-297.pdf#page=3","Abrir facsímil")</f>
        <v>Abrir facsímil</v>
      </c>
      <c r="K5462" s="10" t="s">
        <v>24</v>
      </c>
    </row>
    <row r="5463" spans="1:11" ht="54" customHeight="1">
      <c r="A5463" s="9" t="s">
        <v>12669</v>
      </c>
      <c r="B5463" s="9" t="s">
        <v>12669</v>
      </c>
      <c r="C5463" s="9" t="s">
        <v>17</v>
      </c>
      <c r="D5463" s="9" t="s">
        <v>55</v>
      </c>
      <c r="E5463" s="10" t="s">
        <v>663</v>
      </c>
      <c r="F5463" s="9" t="s">
        <v>664</v>
      </c>
      <c r="G5463" s="10" t="s">
        <v>86</v>
      </c>
      <c r="H5463" s="9" t="s">
        <v>22</v>
      </c>
      <c r="I5463" s="9" t="s">
        <v>12670</v>
      </c>
      <c r="J5463" s="10" t="str">
        <f>HYPERLINK("https://www.boe.es/gazeta/dias/1834/07/16/pdfs/GMD-1834-149.pdf#page=2","Abrir facsímil")</f>
        <v>Abrir facsímil</v>
      </c>
      <c r="K5463" s="10" t="s">
        <v>24</v>
      </c>
    </row>
    <row r="5464" spans="1:11" ht="54" customHeight="1">
      <c r="A5464" s="9" t="s">
        <v>12671</v>
      </c>
      <c r="B5464" s="9" t="s">
        <v>12671</v>
      </c>
      <c r="C5464" s="9" t="s">
        <v>46</v>
      </c>
      <c r="D5464" s="9" t="s">
        <v>18</v>
      </c>
      <c r="E5464" s="10" t="s">
        <v>1922</v>
      </c>
      <c r="F5464" s="9" t="s">
        <v>1923</v>
      </c>
      <c r="G5464" s="10" t="s">
        <v>21</v>
      </c>
      <c r="H5464" s="9" t="s">
        <v>22</v>
      </c>
      <c r="I5464" s="9" t="s">
        <v>12672</v>
      </c>
      <c r="J5464" s="10" t="str">
        <f>HYPERLINK("https://www.boe.es/gazeta/dias/1834/02/25/pdfs/GMD-1834-25.pdf#page=3","Abrir facsímil")</f>
        <v>Abrir facsímil</v>
      </c>
      <c r="K5464" s="10" t="s">
        <v>24</v>
      </c>
    </row>
    <row r="5465" spans="1:11" ht="54" customHeight="1">
      <c r="A5465" s="9" t="s">
        <v>12673</v>
      </c>
      <c r="B5465" s="9" t="s">
        <v>12674</v>
      </c>
      <c r="C5465" s="9" t="s">
        <v>46</v>
      </c>
      <c r="D5465" s="9" t="s">
        <v>18</v>
      </c>
      <c r="E5465" s="10" t="s">
        <v>1922</v>
      </c>
      <c r="F5465" s="9" t="s">
        <v>1923</v>
      </c>
      <c r="G5465" s="10" t="s">
        <v>21</v>
      </c>
      <c r="H5465" s="9" t="s">
        <v>22</v>
      </c>
      <c r="I5465" s="9" t="s">
        <v>12675</v>
      </c>
      <c r="J5465" s="10" t="str">
        <f>HYPERLINK("https://www.boe.es/gazeta/dias/1834/02/25/pdfs/GMD-1834-25.pdf#page=3","Abrir facsímil")</f>
        <v>Abrir facsímil</v>
      </c>
      <c r="K5465" s="10" t="s">
        <v>24</v>
      </c>
    </row>
    <row r="5466" spans="1:11" ht="54" customHeight="1">
      <c r="A5466" s="9" t="s">
        <v>12676</v>
      </c>
      <c r="B5466" s="9" t="s">
        <v>12676</v>
      </c>
      <c r="C5466" s="9" t="s">
        <v>66</v>
      </c>
      <c r="D5466" s="9" t="s">
        <v>67</v>
      </c>
      <c r="E5466" s="10" t="s">
        <v>571</v>
      </c>
      <c r="F5466" s="9" t="s">
        <v>572</v>
      </c>
      <c r="G5466" s="10" t="s">
        <v>34</v>
      </c>
      <c r="H5466" s="9" t="s">
        <v>22</v>
      </c>
      <c r="I5466" s="9" t="s">
        <v>12677</v>
      </c>
      <c r="J5466" s="10" t="str">
        <f>HYPERLINK("https://www.boe.es/gazeta/dias/1834/09/04/pdfs/GMD-1834-202.pdf#page=1","Abrir facsímil")</f>
        <v>Abrir facsímil</v>
      </c>
      <c r="K5466" s="10" t="s">
        <v>24</v>
      </c>
    </row>
    <row r="5467" spans="1:11" ht="54" customHeight="1">
      <c r="A5467" s="9" t="s">
        <v>12676</v>
      </c>
      <c r="B5467" s="9" t="s">
        <v>12676</v>
      </c>
      <c r="C5467" s="9" t="s">
        <v>90</v>
      </c>
      <c r="D5467" s="9" t="s">
        <v>67</v>
      </c>
      <c r="E5467" s="10" t="s">
        <v>1307</v>
      </c>
      <c r="F5467" s="9" t="s">
        <v>1308</v>
      </c>
      <c r="G5467" s="10" t="s">
        <v>86</v>
      </c>
      <c r="H5467" s="9" t="s">
        <v>22</v>
      </c>
      <c r="I5467" s="9" t="s">
        <v>12678</v>
      </c>
      <c r="J5467" s="10" t="str">
        <f>HYPERLINK("https://www.boe.es/gazeta/dias/1834/08/25/pdfs/GMD-1834-191.pdf#page=2","Abrir facsímil")</f>
        <v>Abrir facsímil</v>
      </c>
      <c r="K5467" s="10" t="s">
        <v>24</v>
      </c>
    </row>
    <row r="5468" spans="1:11" ht="54" customHeight="1">
      <c r="A5468" s="9" t="s">
        <v>12679</v>
      </c>
      <c r="B5468" s="9" t="s">
        <v>12680</v>
      </c>
      <c r="C5468" s="9" t="s">
        <v>17</v>
      </c>
      <c r="D5468" s="9" t="s">
        <v>18</v>
      </c>
      <c r="E5468" s="10" t="s">
        <v>348</v>
      </c>
      <c r="F5468" s="9" t="s">
        <v>501</v>
      </c>
      <c r="G5468" s="10" t="s">
        <v>86</v>
      </c>
      <c r="H5468" s="9" t="s">
        <v>35</v>
      </c>
      <c r="I5468" s="9" t="s">
        <v>12681</v>
      </c>
      <c r="J5468" s="10" t="str">
        <f>HYPERLINK("https://www.boe.es/gazeta/dias/1834/06/12/pdfs/GMD-1834-115.pdf#page=2","Abrir facsímil")</f>
        <v>Abrir facsímil</v>
      </c>
      <c r="K5468" s="10" t="s">
        <v>37</v>
      </c>
    </row>
    <row r="5469" spans="1:11" ht="54" customHeight="1">
      <c r="A5469" s="9" t="s">
        <v>12682</v>
      </c>
      <c r="B5469" s="9" t="s">
        <v>12683</v>
      </c>
      <c r="C5469" s="9" t="s">
        <v>17</v>
      </c>
      <c r="D5469" s="9" t="s">
        <v>55</v>
      </c>
      <c r="E5469" s="10" t="s">
        <v>355</v>
      </c>
      <c r="F5469" s="9" t="s">
        <v>356</v>
      </c>
      <c r="G5469" s="10" t="s">
        <v>34</v>
      </c>
      <c r="H5469" s="9" t="s">
        <v>22</v>
      </c>
      <c r="I5469" s="9" t="s">
        <v>12684</v>
      </c>
      <c r="J5469" s="10" t="str">
        <f>HYPERLINK("https://www.boe.es/gazeta/dias/1834/07/04/pdfs/I00597-00598.pdf#page=1","Abrir facsímil")</f>
        <v>Abrir facsímil</v>
      </c>
      <c r="K5469" s="10" t="s">
        <v>24</v>
      </c>
    </row>
    <row r="5470" spans="1:11" ht="54" customHeight="1">
      <c r="A5470" s="9" t="s">
        <v>12682</v>
      </c>
      <c r="B5470" s="9" t="s">
        <v>12683</v>
      </c>
      <c r="C5470" s="9" t="s">
        <v>17</v>
      </c>
      <c r="D5470" s="9" t="s">
        <v>55</v>
      </c>
      <c r="E5470" s="10" t="s">
        <v>355</v>
      </c>
      <c r="F5470" s="9" t="s">
        <v>356</v>
      </c>
      <c r="G5470" s="10" t="s">
        <v>21</v>
      </c>
      <c r="H5470" s="9" t="s">
        <v>22</v>
      </c>
      <c r="I5470" s="9" t="s">
        <v>12684</v>
      </c>
      <c r="J5470" s="10" t="str">
        <f>HYPERLINK("https://www.boe.es/gazeta/dias/1834/07/04/pdfs/GMD-1834-137.pdf#page=3","Abrir facsímil")</f>
        <v>Abrir facsímil</v>
      </c>
      <c r="K5470" s="10" t="s">
        <v>24</v>
      </c>
    </row>
    <row r="5471" spans="1:11" ht="54" customHeight="1">
      <c r="A5471" s="9" t="s">
        <v>12682</v>
      </c>
      <c r="B5471" s="9" t="s">
        <v>12683</v>
      </c>
      <c r="C5471" s="9" t="s">
        <v>17</v>
      </c>
      <c r="D5471" s="9" t="s">
        <v>18</v>
      </c>
      <c r="E5471" s="10" t="s">
        <v>3471</v>
      </c>
      <c r="F5471" s="9" t="s">
        <v>3472</v>
      </c>
      <c r="G5471" s="10" t="s">
        <v>75</v>
      </c>
      <c r="H5471" s="9" t="s">
        <v>22</v>
      </c>
      <c r="I5471" s="9" t="s">
        <v>12685</v>
      </c>
      <c r="J5471" s="10" t="str">
        <f>HYPERLINK("https://www.boe.es/gazeta/dias/1834/07/07/pdfs/GMD-1834-140.pdf#page=4","Abrir facsímil")</f>
        <v>Abrir facsímil</v>
      </c>
      <c r="K5471" s="10" t="s">
        <v>24</v>
      </c>
    </row>
    <row r="5472" spans="1:11" ht="54" customHeight="1">
      <c r="A5472" s="9" t="s">
        <v>12682</v>
      </c>
      <c r="B5472" s="9" t="s">
        <v>12683</v>
      </c>
      <c r="C5472" s="9" t="s">
        <v>17</v>
      </c>
      <c r="D5472" s="9" t="s">
        <v>18</v>
      </c>
      <c r="E5472" s="10" t="s">
        <v>348</v>
      </c>
      <c r="F5472" s="9" t="s">
        <v>501</v>
      </c>
      <c r="G5472" s="10" t="s">
        <v>86</v>
      </c>
      <c r="H5472" s="9" t="s">
        <v>22</v>
      </c>
      <c r="I5472" s="9" t="s">
        <v>12686</v>
      </c>
      <c r="J5472" s="10" t="str">
        <f>HYPERLINK("https://www.boe.es/gazeta/dias/1834/06/12/pdfs/GMD-1834-115.pdf#page=2","Abrir facsímil")</f>
        <v>Abrir facsímil</v>
      </c>
      <c r="K5472" s="10" t="s">
        <v>24</v>
      </c>
    </row>
    <row r="5473" spans="1:11" ht="54" customHeight="1">
      <c r="A5473" s="9" t="s">
        <v>12682</v>
      </c>
      <c r="B5473" s="9" t="s">
        <v>12683</v>
      </c>
      <c r="C5473" s="9" t="s">
        <v>17</v>
      </c>
      <c r="D5473" s="9" t="s">
        <v>18</v>
      </c>
      <c r="E5473" s="10" t="s">
        <v>1669</v>
      </c>
      <c r="F5473" s="9" t="s">
        <v>1670</v>
      </c>
      <c r="G5473" s="10" t="s">
        <v>75</v>
      </c>
      <c r="H5473" s="9" t="s">
        <v>22</v>
      </c>
      <c r="I5473" s="9" t="s">
        <v>12687</v>
      </c>
      <c r="J5473" s="10" t="str">
        <f>HYPERLINK("https://www.boe.es/gazeta/dias/1834/06/19/pdfs/GMD-1834-122.pdf#page=4","Abrir facsímil")</f>
        <v>Abrir facsímil</v>
      </c>
      <c r="K5473" s="10" t="s">
        <v>24</v>
      </c>
    </row>
    <row r="5474" spans="1:11" ht="54" customHeight="1">
      <c r="A5474" s="9" t="s">
        <v>12688</v>
      </c>
      <c r="B5474" s="9" t="s">
        <v>12689</v>
      </c>
      <c r="C5474" s="9" t="s">
        <v>17</v>
      </c>
      <c r="D5474" s="9" t="s">
        <v>55</v>
      </c>
      <c r="E5474" s="10" t="s">
        <v>41</v>
      </c>
      <c r="F5474" s="9" t="s">
        <v>42</v>
      </c>
      <c r="G5474" s="10" t="s">
        <v>75</v>
      </c>
      <c r="H5474" s="9" t="s">
        <v>22</v>
      </c>
      <c r="I5474" s="9" t="s">
        <v>12690</v>
      </c>
      <c r="J5474" s="10" t="str">
        <f>HYPERLINK("https://www.boe.es/gazeta/dias/1834/06/11/pdfs/GMD-1834-114.pdf#page=4","Abrir facsímil")</f>
        <v>Abrir facsímil</v>
      </c>
      <c r="K5474" s="10" t="s">
        <v>24</v>
      </c>
    </row>
    <row r="5475" spans="1:11" ht="54" customHeight="1">
      <c r="A5475" s="9" t="s">
        <v>12691</v>
      </c>
      <c r="B5475" s="9" t="s">
        <v>12691</v>
      </c>
      <c r="C5475" s="9" t="s">
        <v>17</v>
      </c>
      <c r="D5475" s="9" t="s">
        <v>18</v>
      </c>
      <c r="E5475" s="10" t="s">
        <v>2212</v>
      </c>
      <c r="F5475" s="9" t="s">
        <v>5450</v>
      </c>
      <c r="G5475" s="10" t="s">
        <v>21</v>
      </c>
      <c r="H5475" s="9" t="s">
        <v>22</v>
      </c>
      <c r="I5475" s="9" t="s">
        <v>12692</v>
      </c>
      <c r="J5475" s="10" t="str">
        <f>HYPERLINK("https://www.boe.es/gazeta/dias/1834/08/04/pdfs/GMD-1834-168.pdf#page=3","Abrir facsímil")</f>
        <v>Abrir facsímil</v>
      </c>
      <c r="K5475" s="10" t="s">
        <v>24</v>
      </c>
    </row>
    <row r="5476" spans="1:11" ht="54" customHeight="1">
      <c r="A5476" s="9" t="s">
        <v>12693</v>
      </c>
      <c r="B5476" s="9" t="s">
        <v>12693</v>
      </c>
      <c r="C5476" s="9" t="s">
        <v>17</v>
      </c>
      <c r="D5476" s="9" t="s">
        <v>18</v>
      </c>
      <c r="E5476" s="10" t="s">
        <v>1402</v>
      </c>
      <c r="F5476" s="9" t="s">
        <v>1403</v>
      </c>
      <c r="G5476" s="10" t="s">
        <v>75</v>
      </c>
      <c r="H5476" s="9" t="s">
        <v>22</v>
      </c>
      <c r="I5476" s="9" t="s">
        <v>12694</v>
      </c>
      <c r="J5476" s="10" t="str">
        <f>HYPERLINK("https://www.boe.es/gazeta/dias/1834/05/05/pdfs/GMD-1834-74.pdf#page=4","Abrir facsímil")</f>
        <v>Abrir facsímil</v>
      </c>
      <c r="K5476" s="10" t="s">
        <v>24</v>
      </c>
    </row>
    <row r="5477" spans="1:11" ht="54" customHeight="1">
      <c r="A5477" s="9" t="s">
        <v>12695</v>
      </c>
      <c r="B5477" s="9" t="s">
        <v>12695</v>
      </c>
      <c r="C5477" s="9" t="s">
        <v>857</v>
      </c>
      <c r="D5477" s="9" t="s">
        <v>18</v>
      </c>
      <c r="E5477" s="10" t="s">
        <v>371</v>
      </c>
      <c r="F5477" s="9" t="s">
        <v>372</v>
      </c>
      <c r="G5477" s="10" t="s">
        <v>86</v>
      </c>
      <c r="H5477" s="9" t="s">
        <v>22</v>
      </c>
      <c r="I5477" s="9" t="s">
        <v>12696</v>
      </c>
      <c r="J5477" s="10" t="str">
        <f>HYPERLINK("https://www.boe.es/gazeta/dias/1834/05/27/pdfs/GMD-1834-96.pdf#page=2","Abrir facsímil")</f>
        <v>Abrir facsímil</v>
      </c>
      <c r="K5477" s="10" t="s">
        <v>24</v>
      </c>
    </row>
    <row r="5478" spans="1:11" ht="54" customHeight="1">
      <c r="A5478" s="9" t="s">
        <v>12697</v>
      </c>
      <c r="B5478" s="9" t="s">
        <v>12698</v>
      </c>
      <c r="C5478" s="9" t="s">
        <v>17</v>
      </c>
      <c r="D5478" s="9" t="s">
        <v>18</v>
      </c>
      <c r="E5478" s="10" t="s">
        <v>777</v>
      </c>
      <c r="F5478" s="9" t="s">
        <v>778</v>
      </c>
      <c r="G5478" s="10" t="s">
        <v>21</v>
      </c>
      <c r="H5478" s="9" t="s">
        <v>22</v>
      </c>
      <c r="I5478" s="9" t="s">
        <v>12699</v>
      </c>
      <c r="J5478" s="10" t="str">
        <f>HYPERLINK("https://www.boe.es/gazeta/dias/1834/10/29/pdfs/GMD-1834-257.pdf#page=3","Abrir facsímil")</f>
        <v>Abrir facsímil</v>
      </c>
      <c r="K5478" s="10" t="s">
        <v>24</v>
      </c>
    </row>
    <row r="5479" spans="1:11" ht="54" customHeight="1">
      <c r="A5479" s="9" t="s">
        <v>12700</v>
      </c>
      <c r="B5479" s="9" t="s">
        <v>12701</v>
      </c>
      <c r="C5479" s="9" t="s">
        <v>46</v>
      </c>
      <c r="D5479" s="9" t="s">
        <v>55</v>
      </c>
      <c r="E5479" s="10" t="s">
        <v>273</v>
      </c>
      <c r="F5479" s="9" t="s">
        <v>413</v>
      </c>
      <c r="G5479" s="10" t="s">
        <v>21</v>
      </c>
      <c r="H5479" s="9" t="s">
        <v>22</v>
      </c>
      <c r="I5479" s="9" t="s">
        <v>12702</v>
      </c>
      <c r="J5479" s="10" t="str">
        <f>HYPERLINK("https://www.boe.es/gazeta/dias/1834/08/31/pdfs/GMD-1834-198.pdf#page=3","Abrir facsímil")</f>
        <v>Abrir facsímil</v>
      </c>
      <c r="K5479" s="10" t="s">
        <v>24</v>
      </c>
    </row>
    <row r="5480" spans="1:11" ht="54" customHeight="1">
      <c r="A5480" s="9" t="s">
        <v>12703</v>
      </c>
      <c r="B5480" s="9" t="s">
        <v>12703</v>
      </c>
      <c r="C5480" s="9" t="s">
        <v>17</v>
      </c>
      <c r="D5480" s="9" t="s">
        <v>18</v>
      </c>
      <c r="E5480" s="10" t="s">
        <v>174</v>
      </c>
      <c r="F5480" s="9" t="s">
        <v>175</v>
      </c>
      <c r="G5480" s="10" t="s">
        <v>21</v>
      </c>
      <c r="H5480" s="9" t="s">
        <v>22</v>
      </c>
      <c r="I5480" s="9" t="s">
        <v>12704</v>
      </c>
      <c r="J5480" s="10" t="str">
        <f>HYPERLINK("https://www.boe.es/gazeta/dias/1834/03/27/pdfs/GMD-1834-38.pdf#page=3","Abrir facsímil")</f>
        <v>Abrir facsímil</v>
      </c>
      <c r="K5480" s="10" t="s">
        <v>24</v>
      </c>
    </row>
    <row r="5481" spans="1:11" ht="54" customHeight="1">
      <c r="A5481" s="9" t="s">
        <v>12705</v>
      </c>
      <c r="B5481" s="9" t="s">
        <v>12705</v>
      </c>
      <c r="C5481" s="9" t="s">
        <v>122</v>
      </c>
      <c r="D5481" s="9" t="s">
        <v>18</v>
      </c>
      <c r="E5481" s="10" t="s">
        <v>1262</v>
      </c>
      <c r="F5481" s="9" t="s">
        <v>1263</v>
      </c>
      <c r="G5481" s="10" t="s">
        <v>86</v>
      </c>
      <c r="H5481" s="9" t="s">
        <v>22</v>
      </c>
      <c r="I5481" s="9" t="s">
        <v>12706</v>
      </c>
      <c r="J5481" s="10" t="str">
        <f>HYPERLINK("https://www.boe.es/gazeta/dias/1834/02/01/pdfs/GMD-1834-15.pdf#page=2","Abrir facsímil")</f>
        <v>Abrir facsímil</v>
      </c>
      <c r="K5481" s="10" t="s">
        <v>24</v>
      </c>
    </row>
    <row r="5482" spans="1:11" ht="54" customHeight="1">
      <c r="A5482" s="9" t="s">
        <v>12705</v>
      </c>
      <c r="B5482" s="9" t="s">
        <v>12705</v>
      </c>
      <c r="C5482" s="9" t="s">
        <v>90</v>
      </c>
      <c r="D5482" s="9" t="s">
        <v>18</v>
      </c>
      <c r="E5482" s="10" t="s">
        <v>976</v>
      </c>
      <c r="F5482" s="9" t="s">
        <v>977</v>
      </c>
      <c r="G5482" s="10" t="s">
        <v>21</v>
      </c>
      <c r="H5482" s="9" t="s">
        <v>22</v>
      </c>
      <c r="I5482" s="9" t="s">
        <v>12707</v>
      </c>
      <c r="J5482" s="10" t="str">
        <f>HYPERLINK("https://www.boe.es/gazeta/dias/1834/04/02/pdfs/GMD-1834-41.pdf#page=3","Abrir facsímil")</f>
        <v>Abrir facsímil</v>
      </c>
      <c r="K5482" s="10" t="s">
        <v>24</v>
      </c>
    </row>
    <row r="5483" spans="1:11" ht="54" customHeight="1">
      <c r="A5483" s="9" t="s">
        <v>12705</v>
      </c>
      <c r="B5483" s="9" t="s">
        <v>12705</v>
      </c>
      <c r="C5483" s="9" t="s">
        <v>66</v>
      </c>
      <c r="D5483" s="9" t="s">
        <v>67</v>
      </c>
      <c r="E5483" s="10" t="s">
        <v>1850</v>
      </c>
      <c r="F5483" s="9" t="s">
        <v>1851</v>
      </c>
      <c r="G5483" s="10" t="s">
        <v>28</v>
      </c>
      <c r="H5483" s="9" t="s">
        <v>22</v>
      </c>
      <c r="I5483" s="9" t="s">
        <v>12708</v>
      </c>
      <c r="J5483" s="10" t="str">
        <f>HYPERLINK("https://www.boe.es/gazeta/dias/1834/02/18/pdfs/GMD-1834-22.pdf#page=5","Abrir facsímil")</f>
        <v>Abrir facsímil</v>
      </c>
      <c r="K5483" s="10" t="s">
        <v>24</v>
      </c>
    </row>
    <row r="5484" spans="1:11" ht="54" customHeight="1">
      <c r="A5484" s="9" t="s">
        <v>12705</v>
      </c>
      <c r="B5484" s="9" t="s">
        <v>12705</v>
      </c>
      <c r="C5484" s="9" t="s">
        <v>17</v>
      </c>
      <c r="D5484" s="9" t="s">
        <v>18</v>
      </c>
      <c r="E5484" s="10" t="s">
        <v>3810</v>
      </c>
      <c r="F5484" s="9" t="s">
        <v>3811</v>
      </c>
      <c r="G5484" s="10" t="s">
        <v>86</v>
      </c>
      <c r="H5484" s="9" t="s">
        <v>22</v>
      </c>
      <c r="I5484" s="9" t="s">
        <v>12709</v>
      </c>
      <c r="J5484" s="10" t="str">
        <f>HYPERLINK("https://www.boe.es/gazeta/dias/1834/02/20/pdfs/GMD-1834-23.pdf#page=2","Abrir facsímil")</f>
        <v>Abrir facsímil</v>
      </c>
      <c r="K5484" s="10" t="s">
        <v>24</v>
      </c>
    </row>
    <row r="5485" spans="1:11" ht="54" customHeight="1">
      <c r="A5485" s="9" t="s">
        <v>12710</v>
      </c>
      <c r="B5485" s="9" t="s">
        <v>12710</v>
      </c>
      <c r="C5485" s="9" t="s">
        <v>17</v>
      </c>
      <c r="D5485" s="9" t="s">
        <v>18</v>
      </c>
      <c r="E5485" s="10" t="s">
        <v>41</v>
      </c>
      <c r="F5485" s="9" t="s">
        <v>42</v>
      </c>
      <c r="G5485" s="10" t="s">
        <v>21</v>
      </c>
      <c r="H5485" s="9" t="s">
        <v>22</v>
      </c>
      <c r="I5485" s="9" t="s">
        <v>12711</v>
      </c>
      <c r="J5485" s="10" t="str">
        <f>HYPERLINK("https://www.boe.es/gazeta/dias/1834/06/11/pdfs/GMD-1834-114.pdf#page=3","Abrir facsímil")</f>
        <v>Abrir facsímil</v>
      </c>
      <c r="K5485" s="10" t="s">
        <v>24</v>
      </c>
    </row>
    <row r="5486" spans="1:11" ht="54" customHeight="1">
      <c r="A5486" s="9" t="s">
        <v>12712</v>
      </c>
      <c r="B5486" s="9" t="s">
        <v>12712</v>
      </c>
      <c r="C5486" s="9" t="s">
        <v>17</v>
      </c>
      <c r="D5486" s="9" t="s">
        <v>18</v>
      </c>
      <c r="E5486" s="10" t="s">
        <v>1510</v>
      </c>
      <c r="F5486" s="9" t="s">
        <v>1511</v>
      </c>
      <c r="G5486" s="10" t="s">
        <v>86</v>
      </c>
      <c r="H5486" s="9" t="s">
        <v>22</v>
      </c>
      <c r="I5486" s="9" t="s">
        <v>12713</v>
      </c>
      <c r="J5486" s="10" t="str">
        <f>HYPERLINK("https://www.boe.es/gazeta/dias/1834/06/13/pdfs/GMD-1834-116.pdf#page=2","Abrir facsímil")</f>
        <v>Abrir facsímil</v>
      </c>
      <c r="K5486" s="10" t="s">
        <v>24</v>
      </c>
    </row>
    <row r="5487" spans="1:11" ht="54" customHeight="1">
      <c r="A5487" s="9" t="s">
        <v>12712</v>
      </c>
      <c r="B5487" s="9" t="s">
        <v>12712</v>
      </c>
      <c r="C5487" s="9" t="s">
        <v>17</v>
      </c>
      <c r="D5487" s="9" t="s">
        <v>18</v>
      </c>
      <c r="E5487" s="10" t="s">
        <v>10172</v>
      </c>
      <c r="F5487" s="9" t="s">
        <v>10173</v>
      </c>
      <c r="G5487" s="10" t="s">
        <v>21</v>
      </c>
      <c r="H5487" s="9" t="s">
        <v>22</v>
      </c>
      <c r="I5487" s="9" t="s">
        <v>12714</v>
      </c>
      <c r="J5487" s="10" t="str">
        <f>HYPERLINK("https://www.boe.es/gazeta/dias/1834/06/15/pdfs/GMD-1834-118.pdf#page=3","Abrir facsímil")</f>
        <v>Abrir facsímil</v>
      </c>
      <c r="K5487" s="10" t="s">
        <v>24</v>
      </c>
    </row>
    <row r="5488" spans="1:11" ht="54" customHeight="1">
      <c r="A5488" s="9" t="s">
        <v>12715</v>
      </c>
      <c r="B5488" s="9" t="s">
        <v>12715</v>
      </c>
      <c r="C5488" s="9" t="s">
        <v>66</v>
      </c>
      <c r="D5488" s="9" t="s">
        <v>67</v>
      </c>
      <c r="E5488" s="10" t="s">
        <v>2241</v>
      </c>
      <c r="F5488" s="9" t="s">
        <v>2242</v>
      </c>
      <c r="G5488" s="10" t="s">
        <v>86</v>
      </c>
      <c r="H5488" s="9" t="s">
        <v>22</v>
      </c>
      <c r="I5488" s="9" t="s">
        <v>12716</v>
      </c>
      <c r="J5488" s="10" t="str">
        <f>HYPERLINK("https://www.boe.es/gazeta/dias/1834/03/11/pdfs/GMD-1834-31.pdf#page=2","Abrir facsímil")</f>
        <v>Abrir facsímil</v>
      </c>
      <c r="K5488" s="10" t="s">
        <v>24</v>
      </c>
    </row>
    <row r="5489" spans="1:11" ht="54" customHeight="1">
      <c r="A5489" s="9" t="s">
        <v>12717</v>
      </c>
      <c r="B5489" s="9" t="s">
        <v>12717</v>
      </c>
      <c r="C5489" s="9" t="s">
        <v>17</v>
      </c>
      <c r="D5489" s="9" t="s">
        <v>18</v>
      </c>
      <c r="E5489" s="10" t="s">
        <v>1262</v>
      </c>
      <c r="F5489" s="9" t="s">
        <v>1263</v>
      </c>
      <c r="G5489" s="10" t="s">
        <v>86</v>
      </c>
      <c r="H5489" s="9" t="s">
        <v>22</v>
      </c>
      <c r="I5489" s="9" t="s">
        <v>12718</v>
      </c>
      <c r="J5489" s="10" t="str">
        <f>HYPERLINK("https://www.boe.es/gazeta/dias/1834/02/01/pdfs/GMD-1834-15.pdf#page=2","Abrir facsímil")</f>
        <v>Abrir facsímil</v>
      </c>
      <c r="K5489" s="10" t="s">
        <v>24</v>
      </c>
    </row>
    <row r="5490" spans="1:11" ht="54" customHeight="1">
      <c r="A5490" s="9" t="s">
        <v>12717</v>
      </c>
      <c r="B5490" s="9" t="s">
        <v>12717</v>
      </c>
      <c r="C5490" s="9" t="s">
        <v>122</v>
      </c>
      <c r="D5490" s="9" t="s">
        <v>18</v>
      </c>
      <c r="E5490" s="10" t="s">
        <v>47</v>
      </c>
      <c r="F5490" s="9" t="s">
        <v>1466</v>
      </c>
      <c r="G5490" s="10" t="s">
        <v>86</v>
      </c>
      <c r="H5490" s="9" t="s">
        <v>22</v>
      </c>
      <c r="I5490" s="9" t="s">
        <v>12719</v>
      </c>
      <c r="J5490" s="10" t="str">
        <f>HYPERLINK("https://www.boe.es/gazeta/dias/1834/09/05/pdfs/GMD-1834-203.pdf#page=2","Abrir facsímil")</f>
        <v>Abrir facsímil</v>
      </c>
      <c r="K5490" s="10" t="s">
        <v>24</v>
      </c>
    </row>
    <row r="5491" spans="1:11" ht="54" customHeight="1">
      <c r="A5491" s="9" t="s">
        <v>12717</v>
      </c>
      <c r="B5491" s="9" t="s">
        <v>12717</v>
      </c>
      <c r="C5491" s="9" t="s">
        <v>90</v>
      </c>
      <c r="D5491" s="9" t="s">
        <v>67</v>
      </c>
      <c r="E5491" s="10" t="s">
        <v>1674</v>
      </c>
      <c r="F5491" s="9" t="s">
        <v>1675</v>
      </c>
      <c r="G5491" s="10" t="s">
        <v>21</v>
      </c>
      <c r="H5491" s="9" t="s">
        <v>22</v>
      </c>
      <c r="I5491" s="9" t="s">
        <v>12720</v>
      </c>
      <c r="J5491" s="10" t="str">
        <f>HYPERLINK("https://www.boe.es/gazeta/dias/1834/07/25/pdfs/GMD-1834-158.pdf#page=3","Abrir facsímil")</f>
        <v>Abrir facsímil</v>
      </c>
      <c r="K5491" s="10" t="s">
        <v>24</v>
      </c>
    </row>
    <row r="5492" spans="1:11" ht="54" customHeight="1">
      <c r="A5492" s="9" t="s">
        <v>12717</v>
      </c>
      <c r="B5492" s="9" t="s">
        <v>12717</v>
      </c>
      <c r="C5492" s="9" t="s">
        <v>46</v>
      </c>
      <c r="D5492" s="9" t="s">
        <v>18</v>
      </c>
      <c r="E5492" s="10" t="s">
        <v>1284</v>
      </c>
      <c r="F5492" s="9" t="s">
        <v>1285</v>
      </c>
      <c r="G5492" s="10" t="s">
        <v>34</v>
      </c>
      <c r="H5492" s="9" t="s">
        <v>22</v>
      </c>
      <c r="I5492" s="9" t="s">
        <v>12721</v>
      </c>
      <c r="J5492" s="10" t="str">
        <f>HYPERLINK("https://www.boe.es/gazeta/dias/1834/11/28/pdfs/GMD-1834-287.pdf#page=1","Abrir facsímil")</f>
        <v>Abrir facsímil</v>
      </c>
      <c r="K5492" s="10" t="s">
        <v>24</v>
      </c>
    </row>
    <row r="5493" spans="1:11" ht="54" customHeight="1">
      <c r="A5493" s="9" t="s">
        <v>12722</v>
      </c>
      <c r="B5493" s="9" t="s">
        <v>12722</v>
      </c>
      <c r="C5493" s="9" t="s">
        <v>17</v>
      </c>
      <c r="D5493" s="9" t="s">
        <v>18</v>
      </c>
      <c r="E5493" s="10" t="s">
        <v>1262</v>
      </c>
      <c r="F5493" s="9" t="s">
        <v>1263</v>
      </c>
      <c r="G5493" s="10" t="s">
        <v>86</v>
      </c>
      <c r="H5493" s="9" t="s">
        <v>22</v>
      </c>
      <c r="I5493" s="9" t="s">
        <v>12723</v>
      </c>
      <c r="J5493" s="10" t="str">
        <f>HYPERLINK("https://www.boe.es/gazeta/dias/1834/02/01/pdfs/GMD-1834-15.pdf#page=2","Abrir facsímil")</f>
        <v>Abrir facsímil</v>
      </c>
      <c r="K5493" s="10" t="s">
        <v>24</v>
      </c>
    </row>
    <row r="5494" spans="1:11" ht="54" customHeight="1">
      <c r="A5494" s="9" t="s">
        <v>12724</v>
      </c>
      <c r="B5494" s="9" t="s">
        <v>12725</v>
      </c>
      <c r="C5494" s="9" t="s">
        <v>17</v>
      </c>
      <c r="D5494" s="9" t="s">
        <v>18</v>
      </c>
      <c r="E5494" s="10" t="s">
        <v>438</v>
      </c>
      <c r="F5494" s="9" t="s">
        <v>439</v>
      </c>
      <c r="G5494" s="10" t="s">
        <v>21</v>
      </c>
      <c r="H5494" s="9" t="s">
        <v>22</v>
      </c>
      <c r="I5494" s="9" t="s">
        <v>12726</v>
      </c>
      <c r="J5494" s="10" t="str">
        <f>HYPERLINK("https://www.boe.es/gazeta/dias/1834/11/09/pdfs/GMD-1834-268.pdf#page=3","Abrir facsímil")</f>
        <v>Abrir facsímil</v>
      </c>
      <c r="K5494" s="10" t="s">
        <v>24</v>
      </c>
    </row>
    <row r="5495" spans="1:11" ht="54" customHeight="1">
      <c r="A5495" s="9" t="s">
        <v>12727</v>
      </c>
      <c r="B5495" s="9" t="s">
        <v>12727</v>
      </c>
      <c r="C5495" s="9" t="s">
        <v>17</v>
      </c>
      <c r="D5495" s="9" t="s">
        <v>18</v>
      </c>
      <c r="E5495" s="10" t="s">
        <v>601</v>
      </c>
      <c r="F5495" s="9" t="s">
        <v>602</v>
      </c>
      <c r="G5495" s="10" t="s">
        <v>21</v>
      </c>
      <c r="H5495" s="9" t="s">
        <v>22</v>
      </c>
      <c r="I5495" s="9" t="s">
        <v>12728</v>
      </c>
      <c r="J5495" s="10" t="str">
        <f>HYPERLINK("https://www.boe.es/gazeta/dias/1834/08/16/pdfs/GMD-1834-181.pdf#page=3","Abrir facsímil")</f>
        <v>Abrir facsímil</v>
      </c>
      <c r="K5495" s="10" t="s">
        <v>24</v>
      </c>
    </row>
    <row r="5496" spans="1:11" ht="54" customHeight="1">
      <c r="A5496" s="9" t="s">
        <v>12727</v>
      </c>
      <c r="B5496" s="9" t="s">
        <v>12727</v>
      </c>
      <c r="C5496" s="9" t="s">
        <v>122</v>
      </c>
      <c r="D5496" s="9" t="s">
        <v>101</v>
      </c>
      <c r="E5496" s="10" t="s">
        <v>102</v>
      </c>
      <c r="F5496" s="9" t="s">
        <v>103</v>
      </c>
      <c r="G5496" s="10" t="s">
        <v>86</v>
      </c>
      <c r="H5496" s="9" t="s">
        <v>22</v>
      </c>
      <c r="I5496" s="9" t="s">
        <v>12729</v>
      </c>
      <c r="J5496" s="10" t="str">
        <f>HYPERLINK("https://www.boe.es/gazeta/dias/1834/07/19/pdfs/GMD-1834-152.pdf#page=2","Abrir facsímil")</f>
        <v>Abrir facsímil</v>
      </c>
      <c r="K5496" s="10" t="s">
        <v>24</v>
      </c>
    </row>
    <row r="5497" spans="1:11" ht="54" customHeight="1">
      <c r="A5497" s="9" t="s">
        <v>12730</v>
      </c>
      <c r="B5497" s="9" t="s">
        <v>12730</v>
      </c>
      <c r="C5497" s="9" t="s">
        <v>17</v>
      </c>
      <c r="D5497" s="9" t="s">
        <v>18</v>
      </c>
      <c r="E5497" s="10" t="s">
        <v>1424</v>
      </c>
      <c r="F5497" s="9" t="s">
        <v>3445</v>
      </c>
      <c r="G5497" s="10" t="s">
        <v>34</v>
      </c>
      <c r="H5497" s="9" t="s">
        <v>22</v>
      </c>
      <c r="I5497" s="9" t="s">
        <v>12731</v>
      </c>
      <c r="J5497" s="10" t="str">
        <f>HYPERLINK("https://www.boe.es/gazeta/dias/1834/11/14/pdfs/GMD-1834-273.pdf#page=1","Abrir facsímil")</f>
        <v>Abrir facsímil</v>
      </c>
      <c r="K5497" s="10" t="s">
        <v>24</v>
      </c>
    </row>
    <row r="5498" spans="1:11" ht="54" customHeight="1">
      <c r="A5498" s="9" t="s">
        <v>12732</v>
      </c>
      <c r="B5498" s="9" t="s">
        <v>12732</v>
      </c>
      <c r="C5498" s="9" t="s">
        <v>122</v>
      </c>
      <c r="D5498" s="9" t="s">
        <v>18</v>
      </c>
      <c r="E5498" s="10" t="s">
        <v>1686</v>
      </c>
      <c r="F5498" s="9" t="s">
        <v>1687</v>
      </c>
      <c r="G5498" s="10" t="s">
        <v>34</v>
      </c>
      <c r="H5498" s="9" t="s">
        <v>22</v>
      </c>
      <c r="I5498" s="9" t="s">
        <v>12733</v>
      </c>
      <c r="J5498" s="10" t="str">
        <f>HYPERLINK("https://www.boe.es/gazeta/dias/1834/07/27/pdfs/GMD-1834-160.pdf#page=1","Abrir facsímil")</f>
        <v>Abrir facsímil</v>
      </c>
      <c r="K5498" s="10" t="s">
        <v>24</v>
      </c>
    </row>
    <row r="5499" spans="1:11" ht="54" customHeight="1">
      <c r="A5499" s="9" t="s">
        <v>12734</v>
      </c>
      <c r="B5499" s="9" t="s">
        <v>12735</v>
      </c>
      <c r="C5499" s="9" t="s">
        <v>17</v>
      </c>
      <c r="D5499" s="9" t="s">
        <v>18</v>
      </c>
      <c r="E5499" s="10" t="s">
        <v>4105</v>
      </c>
      <c r="F5499" s="9" t="s">
        <v>8942</v>
      </c>
      <c r="G5499" s="10" t="s">
        <v>21</v>
      </c>
      <c r="H5499" s="9" t="s">
        <v>22</v>
      </c>
      <c r="I5499" s="9" t="s">
        <v>12736</v>
      </c>
      <c r="J5499" s="10" t="str">
        <f>HYPERLINK("https://www.boe.es/gazeta/dias/1834/09/02/pdfs/GMD-1834-200.pdf#page=3","Abrir facsímil")</f>
        <v>Abrir facsímil</v>
      </c>
      <c r="K5499" s="10" t="s">
        <v>24</v>
      </c>
    </row>
    <row r="5500" spans="1:11" ht="54" customHeight="1">
      <c r="A5500" s="9" t="s">
        <v>12737</v>
      </c>
      <c r="B5500" s="9" t="s">
        <v>12737</v>
      </c>
      <c r="C5500" s="9" t="s">
        <v>66</v>
      </c>
      <c r="D5500" s="9" t="s">
        <v>18</v>
      </c>
      <c r="E5500" s="10" t="s">
        <v>2098</v>
      </c>
      <c r="F5500" s="9" t="s">
        <v>2099</v>
      </c>
      <c r="G5500" s="10" t="s">
        <v>34</v>
      </c>
      <c r="H5500" s="9" t="s">
        <v>22</v>
      </c>
      <c r="I5500" s="9" t="s">
        <v>12738</v>
      </c>
      <c r="J5500" s="10" t="str">
        <f>HYPERLINK("https://www.boe.es/gazeta/dias/1834/08/11/pdfs/GMD-1834-176.pdf#page=1","Abrir facsímil")</f>
        <v>Abrir facsímil</v>
      </c>
      <c r="K5500" s="10" t="s">
        <v>24</v>
      </c>
    </row>
    <row r="5501" spans="1:11" ht="54" customHeight="1">
      <c r="A5501" s="9" t="s">
        <v>12739</v>
      </c>
      <c r="B5501" s="9" t="s">
        <v>12740</v>
      </c>
      <c r="C5501" s="9" t="s">
        <v>90</v>
      </c>
      <c r="D5501" s="9" t="s">
        <v>67</v>
      </c>
      <c r="E5501" s="10" t="s">
        <v>183</v>
      </c>
      <c r="F5501" s="9" t="s">
        <v>184</v>
      </c>
      <c r="G5501" s="10" t="s">
        <v>21</v>
      </c>
      <c r="H5501" s="9" t="s">
        <v>22</v>
      </c>
      <c r="I5501" s="9" t="s">
        <v>12741</v>
      </c>
      <c r="J5501" s="10" t="str">
        <f>HYPERLINK("https://www.boe.es/gazeta/dias/1834/03/18/pdfs/GMD-1834-34.pdf#page=3","Abrir facsímil")</f>
        <v>Abrir facsímil</v>
      </c>
      <c r="K5501" s="10" t="s">
        <v>24</v>
      </c>
    </row>
    <row r="5502" spans="1:11" ht="54" customHeight="1">
      <c r="A5502" s="9" t="s">
        <v>12742</v>
      </c>
      <c r="B5502" s="9" t="s">
        <v>12743</v>
      </c>
      <c r="C5502" s="9" t="s">
        <v>17</v>
      </c>
      <c r="D5502" s="9" t="s">
        <v>40</v>
      </c>
      <c r="E5502" s="10" t="s">
        <v>1850</v>
      </c>
      <c r="F5502" s="9" t="s">
        <v>1851</v>
      </c>
      <c r="G5502" s="10" t="s">
        <v>28</v>
      </c>
      <c r="H5502" s="9" t="s">
        <v>22</v>
      </c>
      <c r="I5502" s="9" t="s">
        <v>12744</v>
      </c>
      <c r="J5502" s="10" t="str">
        <f>HYPERLINK("https://www.boe.es/gazeta/dias/1834/02/18/pdfs/GMD-1834-22.pdf#page=5","Abrir facsímil")</f>
        <v>Abrir facsímil</v>
      </c>
      <c r="K5502" s="10" t="s">
        <v>24</v>
      </c>
    </row>
    <row r="5503" spans="1:11" ht="54" customHeight="1">
      <c r="A5503" s="9" t="s">
        <v>12745</v>
      </c>
      <c r="B5503" s="9" t="s">
        <v>12746</v>
      </c>
      <c r="C5503" s="9" t="s">
        <v>66</v>
      </c>
      <c r="D5503" s="9" t="s">
        <v>18</v>
      </c>
      <c r="E5503" s="10" t="s">
        <v>286</v>
      </c>
      <c r="F5503" s="9" t="s">
        <v>548</v>
      </c>
      <c r="G5503" s="10" t="s">
        <v>34</v>
      </c>
      <c r="H5503" s="9" t="s">
        <v>22</v>
      </c>
      <c r="I5503" s="9" t="s">
        <v>12747</v>
      </c>
      <c r="J5503" s="10" t="str">
        <f>HYPERLINK("https://www.boe.es/gazeta/dias/1834/08/30/pdfs/GMD-1834-196.pdf#page=1","Abrir facsímil")</f>
        <v>Abrir facsímil</v>
      </c>
      <c r="K5503" s="10" t="s">
        <v>24</v>
      </c>
    </row>
    <row r="5504" spans="1:11" ht="54" customHeight="1">
      <c r="A5504" s="9" t="s">
        <v>12748</v>
      </c>
      <c r="B5504" s="9" t="s">
        <v>12749</v>
      </c>
      <c r="C5504" s="9" t="s">
        <v>66</v>
      </c>
      <c r="D5504" s="9" t="s">
        <v>18</v>
      </c>
      <c r="E5504" s="10" t="s">
        <v>286</v>
      </c>
      <c r="F5504" s="9" t="s">
        <v>548</v>
      </c>
      <c r="G5504" s="10" t="s">
        <v>34</v>
      </c>
      <c r="H5504" s="9" t="s">
        <v>22</v>
      </c>
      <c r="I5504" s="9" t="s">
        <v>12750</v>
      </c>
      <c r="J5504" s="10" t="str">
        <f>HYPERLINK("https://www.boe.es/gazeta/dias/1834/08/30/pdfs/GMD-1834-196.pdf#page=1","Abrir facsímil")</f>
        <v>Abrir facsímil</v>
      </c>
      <c r="K5504" s="10" t="s">
        <v>24</v>
      </c>
    </row>
    <row r="5505" spans="1:11" ht="54" customHeight="1">
      <c r="A5505" s="9" t="s">
        <v>12751</v>
      </c>
      <c r="B5505" s="9" t="s">
        <v>12751</v>
      </c>
      <c r="C5505" s="9" t="s">
        <v>17</v>
      </c>
      <c r="D5505" s="9" t="s">
        <v>18</v>
      </c>
      <c r="E5505" s="10" t="s">
        <v>3248</v>
      </c>
      <c r="F5505" s="9" t="s">
        <v>4798</v>
      </c>
      <c r="G5505" s="10" t="s">
        <v>28</v>
      </c>
      <c r="H5505" s="9" t="s">
        <v>22</v>
      </c>
      <c r="I5505" s="9" t="s">
        <v>12752</v>
      </c>
      <c r="J5505" s="10" t="str">
        <f>HYPERLINK("https://www.boe.es/gazeta/dias/1834/09/20/pdfs/GMD-C-1834-218.pdf#page=5","Abrir facsímil")</f>
        <v>Abrir facsímil</v>
      </c>
      <c r="K5505" s="10" t="s">
        <v>24</v>
      </c>
    </row>
    <row r="5506" spans="1:11" ht="54" customHeight="1">
      <c r="A5506" s="9" t="s">
        <v>12753</v>
      </c>
      <c r="B5506" s="9" t="s">
        <v>12753</v>
      </c>
      <c r="C5506" s="9" t="s">
        <v>90</v>
      </c>
      <c r="D5506" s="9" t="s">
        <v>18</v>
      </c>
      <c r="E5506" s="10" t="s">
        <v>1170</v>
      </c>
      <c r="F5506" s="9" t="s">
        <v>1171</v>
      </c>
      <c r="G5506" s="10" t="s">
        <v>75</v>
      </c>
      <c r="H5506" s="9" t="s">
        <v>22</v>
      </c>
      <c r="I5506" s="9" t="s">
        <v>12754</v>
      </c>
      <c r="J5506" s="10" t="str">
        <f>HYPERLINK("https://www.boe.es/gazeta/dias/1834/01/07/pdfs/GMD-1834-4.pdf#page=4","Abrir facsímil")</f>
        <v>Abrir facsímil</v>
      </c>
      <c r="K5506" s="10" t="s">
        <v>24</v>
      </c>
    </row>
    <row r="5507" spans="1:11" ht="54" customHeight="1">
      <c r="A5507" s="9" t="s">
        <v>12755</v>
      </c>
      <c r="B5507" s="9" t="s">
        <v>12755</v>
      </c>
      <c r="C5507" s="9" t="s">
        <v>17</v>
      </c>
      <c r="D5507" s="9" t="s">
        <v>18</v>
      </c>
      <c r="E5507" s="10" t="s">
        <v>899</v>
      </c>
      <c r="F5507" s="9" t="s">
        <v>900</v>
      </c>
      <c r="G5507" s="10" t="s">
        <v>75</v>
      </c>
      <c r="H5507" s="9" t="s">
        <v>22</v>
      </c>
      <c r="I5507" s="9" t="s">
        <v>12756</v>
      </c>
      <c r="J5507" s="10" t="str">
        <f>HYPERLINK("https://www.boe.es/gazeta/dias/1834/01/30/pdfs/GMD-1834-14.pdf#page=4","Abrir facsímil")</f>
        <v>Abrir facsímil</v>
      </c>
      <c r="K5507" s="10" t="s">
        <v>24</v>
      </c>
    </row>
    <row r="5508" spans="1:11" ht="54" customHeight="1">
      <c r="A5508" s="9" t="s">
        <v>12757</v>
      </c>
      <c r="B5508" s="9" t="s">
        <v>12757</v>
      </c>
      <c r="C5508" s="9" t="s">
        <v>17</v>
      </c>
      <c r="D5508" s="9" t="s">
        <v>55</v>
      </c>
      <c r="E5508" s="10" t="s">
        <v>1999</v>
      </c>
      <c r="F5508" s="9" t="s">
        <v>2000</v>
      </c>
      <c r="G5508" s="10" t="s">
        <v>34</v>
      </c>
      <c r="H5508" s="9" t="s">
        <v>22</v>
      </c>
      <c r="I5508" s="9" t="s">
        <v>12758</v>
      </c>
      <c r="J5508" s="10" t="str">
        <f>HYPERLINK("https://www.boe.es/gazeta/dias/1834/04/09/pdfs/GMD-1834-48.pdf#page=1","Abrir facsímil")</f>
        <v>Abrir facsímil</v>
      </c>
      <c r="K5508" s="10" t="s">
        <v>24</v>
      </c>
    </row>
    <row r="5509" spans="1:11" ht="54" customHeight="1">
      <c r="A5509" s="9" t="s">
        <v>12757</v>
      </c>
      <c r="B5509" s="9" t="s">
        <v>12757</v>
      </c>
      <c r="C5509" s="9" t="s">
        <v>66</v>
      </c>
      <c r="D5509" s="9" t="s">
        <v>67</v>
      </c>
      <c r="E5509" s="10" t="s">
        <v>1674</v>
      </c>
      <c r="F5509" s="9" t="s">
        <v>1675</v>
      </c>
      <c r="G5509" s="10" t="s">
        <v>21</v>
      </c>
      <c r="H5509" s="9" t="s">
        <v>22</v>
      </c>
      <c r="I5509" s="9" t="s">
        <v>12759</v>
      </c>
      <c r="J5509" s="10" t="str">
        <f>HYPERLINK("https://www.boe.es/gazeta/dias/1834/07/25/pdfs/GMD-1834-158.pdf#page=3","Abrir facsímil")</f>
        <v>Abrir facsímil</v>
      </c>
      <c r="K5509" s="10" t="s">
        <v>24</v>
      </c>
    </row>
    <row r="5510" spans="1:11" ht="54" customHeight="1">
      <c r="A5510" s="9" t="s">
        <v>12760</v>
      </c>
      <c r="B5510" s="9" t="s">
        <v>12760</v>
      </c>
      <c r="C5510" s="9" t="s">
        <v>46</v>
      </c>
      <c r="D5510" s="9" t="s">
        <v>55</v>
      </c>
      <c r="E5510" s="10" t="s">
        <v>2212</v>
      </c>
      <c r="F5510" s="9" t="s">
        <v>5450</v>
      </c>
      <c r="G5510" s="10" t="s">
        <v>21</v>
      </c>
      <c r="H5510" s="9" t="s">
        <v>22</v>
      </c>
      <c r="I5510" s="9" t="s">
        <v>12761</v>
      </c>
      <c r="J5510" s="10" t="str">
        <f>HYPERLINK("https://www.boe.es/gazeta/dias/1834/08/04/pdfs/GMD-1834-168.pdf#page=3","Abrir facsímil")</f>
        <v>Abrir facsímil</v>
      </c>
      <c r="K5510" s="10" t="s">
        <v>24</v>
      </c>
    </row>
    <row r="5511" spans="1:11" ht="54" customHeight="1">
      <c r="A5511" s="9" t="s">
        <v>12760</v>
      </c>
      <c r="B5511" s="9" t="s">
        <v>12760</v>
      </c>
      <c r="C5511" s="9" t="s">
        <v>66</v>
      </c>
      <c r="D5511" s="9" t="s">
        <v>67</v>
      </c>
      <c r="E5511" s="10" t="s">
        <v>3054</v>
      </c>
      <c r="F5511" s="9" t="s">
        <v>3055</v>
      </c>
      <c r="G5511" s="10" t="s">
        <v>86</v>
      </c>
      <c r="H5511" s="9" t="s">
        <v>22</v>
      </c>
      <c r="I5511" s="9" t="s">
        <v>12762</v>
      </c>
      <c r="J5511" s="10" t="str">
        <f>HYPERLINK("https://www.boe.es/gazeta/dias/1834/10/06/pdfs/GMD-1834-234.pdf#page=2","Abrir facsímil")</f>
        <v>Abrir facsímil</v>
      </c>
      <c r="K5511" s="10" t="s">
        <v>24</v>
      </c>
    </row>
    <row r="5512" spans="1:11" ht="54" customHeight="1">
      <c r="A5512" s="9" t="s">
        <v>12763</v>
      </c>
      <c r="B5512" s="9" t="s">
        <v>12763</v>
      </c>
      <c r="C5512" s="9" t="s">
        <v>90</v>
      </c>
      <c r="D5512" s="9" t="s">
        <v>18</v>
      </c>
      <c r="E5512" s="10" t="s">
        <v>1742</v>
      </c>
      <c r="F5512" s="9" t="s">
        <v>1743</v>
      </c>
      <c r="G5512" s="10" t="s">
        <v>86</v>
      </c>
      <c r="H5512" s="9" t="s">
        <v>22</v>
      </c>
      <c r="I5512" s="9" t="s">
        <v>12764</v>
      </c>
      <c r="J5512" s="10" t="str">
        <f>HYPERLINK("https://www.boe.es/gazeta/dias/1834/11/06/pdfs/GMD-1834-265.pdf#page=2","Abrir facsímil")</f>
        <v>Abrir facsímil</v>
      </c>
      <c r="K5512" s="10" t="s">
        <v>24</v>
      </c>
    </row>
    <row r="5513" spans="1:11" ht="54" customHeight="1">
      <c r="A5513" s="9" t="s">
        <v>12765</v>
      </c>
      <c r="B5513" s="9" t="s">
        <v>12765</v>
      </c>
      <c r="C5513" s="9" t="s">
        <v>17</v>
      </c>
      <c r="D5513" s="9" t="s">
        <v>55</v>
      </c>
      <c r="E5513" s="10" t="s">
        <v>4064</v>
      </c>
      <c r="F5513" s="9" t="s">
        <v>4065</v>
      </c>
      <c r="G5513" s="10" t="s">
        <v>21</v>
      </c>
      <c r="H5513" s="9" t="s">
        <v>22</v>
      </c>
      <c r="I5513" s="9" t="s">
        <v>12766</v>
      </c>
      <c r="J5513" s="10" t="str">
        <f>HYPERLINK("https://www.boe.es/gazeta/dias/1834/07/22/pdfs/GMD-1834-155.pdf#page=3","Abrir facsímil")</f>
        <v>Abrir facsímil</v>
      </c>
      <c r="K5513" s="10" t="s">
        <v>24</v>
      </c>
    </row>
    <row r="5514" spans="1:11" ht="54" customHeight="1">
      <c r="A5514" s="9" t="s">
        <v>12767</v>
      </c>
      <c r="B5514" s="9" t="s">
        <v>12767</v>
      </c>
      <c r="C5514" s="9" t="s">
        <v>46</v>
      </c>
      <c r="D5514" s="9" t="s">
        <v>55</v>
      </c>
      <c r="E5514" s="10" t="s">
        <v>1674</v>
      </c>
      <c r="F5514" s="9" t="s">
        <v>1675</v>
      </c>
      <c r="G5514" s="10" t="s">
        <v>21</v>
      </c>
      <c r="H5514" s="9" t="s">
        <v>22</v>
      </c>
      <c r="I5514" s="9" t="s">
        <v>12768</v>
      </c>
      <c r="J5514" s="10" t="str">
        <f>HYPERLINK("https://www.boe.es/gazeta/dias/1834/07/25/pdfs/GMD-1834-158.pdf#page=3","Abrir facsímil")</f>
        <v>Abrir facsímil</v>
      </c>
      <c r="K5514" s="10" t="s">
        <v>24</v>
      </c>
    </row>
    <row r="5515" spans="1:11" ht="54" customHeight="1">
      <c r="A5515" s="9" t="s">
        <v>12769</v>
      </c>
      <c r="B5515" s="9" t="s">
        <v>12769</v>
      </c>
      <c r="C5515" s="9" t="s">
        <v>46</v>
      </c>
      <c r="D5515" s="9" t="s">
        <v>101</v>
      </c>
      <c r="E5515" s="10" t="s">
        <v>1575</v>
      </c>
      <c r="F5515" s="9" t="s">
        <v>1576</v>
      </c>
      <c r="G5515" s="10" t="s">
        <v>86</v>
      </c>
      <c r="H5515" s="9" t="s">
        <v>22</v>
      </c>
      <c r="I5515" s="9" t="s">
        <v>12770</v>
      </c>
      <c r="J5515" s="10" t="str">
        <f>HYPERLINK("https://www.boe.es/gazeta/dias/1834/11/24/pdfs/GMD-1834-283.pdf#page=2","Abrir facsímil")</f>
        <v>Abrir facsímil</v>
      </c>
      <c r="K5515" s="10" t="s">
        <v>24</v>
      </c>
    </row>
    <row r="5516" spans="1:11" ht="54" customHeight="1">
      <c r="A5516" s="9" t="s">
        <v>12771</v>
      </c>
      <c r="B5516" s="9" t="s">
        <v>12771</v>
      </c>
      <c r="C5516" s="9" t="s">
        <v>46</v>
      </c>
      <c r="D5516" s="9" t="s">
        <v>101</v>
      </c>
      <c r="E5516" s="10" t="s">
        <v>283</v>
      </c>
      <c r="F5516" s="9" t="s">
        <v>2969</v>
      </c>
      <c r="G5516" s="10" t="s">
        <v>86</v>
      </c>
      <c r="H5516" s="9" t="s">
        <v>22</v>
      </c>
      <c r="I5516" s="9" t="s">
        <v>12772</v>
      </c>
      <c r="J5516" s="10" t="str">
        <f>HYPERLINK("https://www.boe.es/gazeta/dias/1834/11/29/pdfs/GMD-1834-288.pdf#page=2","Abrir facsímil")</f>
        <v>Abrir facsímil</v>
      </c>
      <c r="K5516" s="10" t="s">
        <v>24</v>
      </c>
    </row>
    <row r="5517" spans="1:11" ht="54" customHeight="1">
      <c r="A5517" s="9" t="s">
        <v>12773</v>
      </c>
      <c r="B5517" s="9" t="s">
        <v>12773</v>
      </c>
      <c r="C5517" s="9" t="s">
        <v>66</v>
      </c>
      <c r="D5517" s="9" t="s">
        <v>67</v>
      </c>
      <c r="E5517" s="10" t="s">
        <v>3699</v>
      </c>
      <c r="F5517" s="9" t="s">
        <v>3700</v>
      </c>
      <c r="G5517" s="10" t="s">
        <v>86</v>
      </c>
      <c r="H5517" s="9" t="s">
        <v>22</v>
      </c>
      <c r="I5517" s="9" t="s">
        <v>12774</v>
      </c>
      <c r="J5517" s="10" t="str">
        <f>HYPERLINK("https://www.boe.es/gazeta/dias/1834/02/06/pdfs/GMD-1834-17.pdf#page=2","Abrir facsímil")</f>
        <v>Abrir facsímil</v>
      </c>
      <c r="K5517" s="10" t="s">
        <v>24</v>
      </c>
    </row>
    <row r="5518" spans="1:11" ht="54" customHeight="1">
      <c r="A5518" s="9" t="s">
        <v>12773</v>
      </c>
      <c r="B5518" s="9" t="s">
        <v>12773</v>
      </c>
      <c r="C5518" s="9" t="s">
        <v>17</v>
      </c>
      <c r="D5518" s="9" t="s">
        <v>18</v>
      </c>
      <c r="E5518" s="10" t="s">
        <v>3699</v>
      </c>
      <c r="F5518" s="9" t="s">
        <v>3700</v>
      </c>
      <c r="G5518" s="10" t="s">
        <v>21</v>
      </c>
      <c r="H5518" s="9" t="s">
        <v>22</v>
      </c>
      <c r="I5518" s="9" t="s">
        <v>12775</v>
      </c>
      <c r="J5518" s="10" t="str">
        <f>HYPERLINK("https://www.boe.es/gazeta/dias/1834/02/06/pdfs/GMD-1834-17.pdf#page=3","Abrir facsímil")</f>
        <v>Abrir facsímil</v>
      </c>
      <c r="K5518" s="10" t="s">
        <v>24</v>
      </c>
    </row>
    <row r="5519" spans="1:11" ht="54" customHeight="1">
      <c r="A5519" s="9" t="s">
        <v>12773</v>
      </c>
      <c r="B5519" s="9" t="s">
        <v>12773</v>
      </c>
      <c r="C5519" s="9" t="s">
        <v>46</v>
      </c>
      <c r="D5519" s="9" t="s">
        <v>55</v>
      </c>
      <c r="E5519" s="10" t="s">
        <v>1883</v>
      </c>
      <c r="F5519" s="9" t="s">
        <v>1884</v>
      </c>
      <c r="G5519" s="10" t="s">
        <v>86</v>
      </c>
      <c r="H5519" s="9" t="s">
        <v>22</v>
      </c>
      <c r="I5519" s="9" t="s">
        <v>12776</v>
      </c>
      <c r="J5519" s="10" t="str">
        <f>HYPERLINK("https://www.boe.es/gazeta/dias/1834/01/11/pdfs/GMD-1834-6.pdf#page=2","Abrir facsímil")</f>
        <v>Abrir facsímil</v>
      </c>
      <c r="K5519" s="10" t="s">
        <v>24</v>
      </c>
    </row>
    <row r="5520" spans="1:11" ht="54" customHeight="1">
      <c r="A5520" s="9" t="s">
        <v>12777</v>
      </c>
      <c r="B5520" s="9" t="s">
        <v>12778</v>
      </c>
      <c r="C5520" s="9" t="s">
        <v>17</v>
      </c>
      <c r="D5520" s="9" t="s">
        <v>18</v>
      </c>
      <c r="E5520" s="10" t="s">
        <v>1262</v>
      </c>
      <c r="F5520" s="9" t="s">
        <v>1263</v>
      </c>
      <c r="G5520" s="10" t="s">
        <v>86</v>
      </c>
      <c r="H5520" s="9" t="s">
        <v>35</v>
      </c>
      <c r="I5520" s="9" t="s">
        <v>12779</v>
      </c>
      <c r="J5520" s="10" t="str">
        <f>HYPERLINK("https://www.boe.es/gazeta/dias/1834/02/01/pdfs/GMD-1834-15.pdf#page=2","Abrir facsímil")</f>
        <v>Abrir facsímil</v>
      </c>
      <c r="K5520" s="10" t="s">
        <v>37</v>
      </c>
    </row>
    <row r="5521" spans="1:11" ht="54" customHeight="1">
      <c r="A5521" s="9" t="s">
        <v>12777</v>
      </c>
      <c r="B5521" s="9" t="s">
        <v>12778</v>
      </c>
      <c r="C5521" s="9" t="s">
        <v>46</v>
      </c>
      <c r="D5521" s="9" t="s">
        <v>18</v>
      </c>
      <c r="E5521" s="10" t="s">
        <v>3810</v>
      </c>
      <c r="F5521" s="9" t="s">
        <v>3811</v>
      </c>
      <c r="G5521" s="10" t="s">
        <v>86</v>
      </c>
      <c r="H5521" s="9" t="s">
        <v>35</v>
      </c>
      <c r="I5521" s="9" t="s">
        <v>12780</v>
      </c>
      <c r="J5521" s="10" t="str">
        <f>HYPERLINK("https://www.boe.es/gazeta/dias/1834/02/20/pdfs/GMD-1834-23.pdf#page=2","Abrir facsímil")</f>
        <v>Abrir facsímil</v>
      </c>
      <c r="K5521" s="10" t="s">
        <v>37</v>
      </c>
    </row>
    <row r="5522" spans="1:11" ht="54" customHeight="1">
      <c r="A5522" s="9" t="s">
        <v>12781</v>
      </c>
      <c r="B5522" s="9" t="s">
        <v>12782</v>
      </c>
      <c r="C5522" s="9" t="s">
        <v>17</v>
      </c>
      <c r="D5522" s="9" t="s">
        <v>18</v>
      </c>
      <c r="E5522" s="10" t="s">
        <v>2306</v>
      </c>
      <c r="F5522" s="9" t="s">
        <v>2307</v>
      </c>
      <c r="G5522" s="10" t="s">
        <v>75</v>
      </c>
      <c r="H5522" s="9" t="s">
        <v>22</v>
      </c>
      <c r="I5522" s="9" t="s">
        <v>12783</v>
      </c>
      <c r="J5522" s="10" t="str">
        <f>HYPERLINK("https://www.boe.es/gazeta/dias/1834/04/26/pdfs/GMD-1834-65.pdf#page=4","Abrir facsímil")</f>
        <v>Abrir facsímil</v>
      </c>
      <c r="K5522" s="10" t="s">
        <v>24</v>
      </c>
    </row>
    <row r="5523" spans="1:11" ht="54" customHeight="1">
      <c r="A5523" s="9" t="s">
        <v>12784</v>
      </c>
      <c r="B5523" s="9" t="s">
        <v>12785</v>
      </c>
      <c r="C5523" s="9" t="s">
        <v>46</v>
      </c>
      <c r="D5523" s="9" t="s">
        <v>18</v>
      </c>
      <c r="E5523" s="10" t="s">
        <v>1575</v>
      </c>
      <c r="F5523" s="9" t="s">
        <v>1576</v>
      </c>
      <c r="G5523" s="10" t="s">
        <v>86</v>
      </c>
      <c r="H5523" s="9" t="s">
        <v>22</v>
      </c>
      <c r="I5523" s="9" t="s">
        <v>12786</v>
      </c>
      <c r="J5523" s="10" t="str">
        <f>HYPERLINK("https://www.boe.es/gazeta/dias/1834/11/24/pdfs/GMD-1834-283.pdf#page=2","Abrir facsímil")</f>
        <v>Abrir facsímil</v>
      </c>
      <c r="K5523" s="10" t="s">
        <v>24</v>
      </c>
    </row>
    <row r="5524" spans="1:11" ht="54" customHeight="1">
      <c r="A5524" s="9" t="s">
        <v>12784</v>
      </c>
      <c r="B5524" s="9" t="s">
        <v>12785</v>
      </c>
      <c r="C5524" s="9" t="s">
        <v>46</v>
      </c>
      <c r="D5524" s="9" t="s">
        <v>55</v>
      </c>
      <c r="E5524" s="10" t="s">
        <v>7523</v>
      </c>
      <c r="F5524" s="9" t="s">
        <v>7524</v>
      </c>
      <c r="G5524" s="10" t="s">
        <v>86</v>
      </c>
      <c r="H5524" s="9" t="s">
        <v>22</v>
      </c>
      <c r="I5524" s="9" t="s">
        <v>12787</v>
      </c>
      <c r="J5524" s="10" t="str">
        <f>HYPERLINK("https://www.boe.es/gazeta/dias/1834/12/26/pdfs/GMD-1834-316.pdf#page=2","Abrir facsímil")</f>
        <v>Abrir facsímil</v>
      </c>
      <c r="K5524" s="10" t="s">
        <v>24</v>
      </c>
    </row>
    <row r="5525" spans="1:11" ht="54" customHeight="1">
      <c r="A5525" s="9" t="s">
        <v>12788</v>
      </c>
      <c r="B5525" s="9" t="s">
        <v>12788</v>
      </c>
      <c r="C5525" s="9" t="s">
        <v>17</v>
      </c>
      <c r="D5525" s="9" t="s">
        <v>18</v>
      </c>
      <c r="E5525" s="10" t="s">
        <v>364</v>
      </c>
      <c r="F5525" s="9" t="s">
        <v>2102</v>
      </c>
      <c r="G5525" s="10" t="s">
        <v>75</v>
      </c>
      <c r="H5525" s="9" t="s">
        <v>22</v>
      </c>
      <c r="I5525" s="9" t="s">
        <v>12789</v>
      </c>
      <c r="J5525" s="10" t="str">
        <f>HYPERLINK("https://www.boe.es/gazeta/dias/1834/09/06/pdfs/GMD-1834-204.pdf#page=4","Abrir facsímil")</f>
        <v>Abrir facsímil</v>
      </c>
      <c r="K5525" s="10" t="s">
        <v>24</v>
      </c>
    </row>
    <row r="5526" spans="1:11" ht="54" customHeight="1">
      <c r="A5526" s="9" t="s">
        <v>12790</v>
      </c>
      <c r="B5526" s="9" t="s">
        <v>12790</v>
      </c>
      <c r="C5526" s="9" t="s">
        <v>90</v>
      </c>
      <c r="D5526" s="9" t="s">
        <v>18</v>
      </c>
      <c r="E5526" s="10" t="s">
        <v>3952</v>
      </c>
      <c r="F5526" s="9" t="s">
        <v>3953</v>
      </c>
      <c r="G5526" s="10" t="s">
        <v>86</v>
      </c>
      <c r="H5526" s="9" t="s">
        <v>22</v>
      </c>
      <c r="I5526" s="9" t="s">
        <v>12791</v>
      </c>
      <c r="J5526" s="10" t="str">
        <f>HYPERLINK("https://www.boe.es/gazeta/dias/1834/02/22/pdfs/GMD-1834-24.pdf#page=2","Abrir facsímil")</f>
        <v>Abrir facsímil</v>
      </c>
      <c r="K5526" s="10" t="s">
        <v>24</v>
      </c>
    </row>
    <row r="5527" spans="1:11" ht="54" customHeight="1">
      <c r="A5527" s="9" t="s">
        <v>12792</v>
      </c>
      <c r="B5527" s="9" t="s">
        <v>12792</v>
      </c>
      <c r="C5527" s="9" t="s">
        <v>17</v>
      </c>
      <c r="D5527" s="9" t="s">
        <v>55</v>
      </c>
      <c r="E5527" s="10" t="s">
        <v>506</v>
      </c>
      <c r="F5527" s="9" t="s">
        <v>507</v>
      </c>
      <c r="G5527" s="10" t="s">
        <v>75</v>
      </c>
      <c r="H5527" s="9" t="s">
        <v>22</v>
      </c>
      <c r="I5527" s="9" t="s">
        <v>12793</v>
      </c>
      <c r="J5527" s="10" t="str">
        <f>HYPERLINK("https://www.boe.es/gazeta/dias/1834/03/04/pdfs/GMD-1834-28.pdf#page=4","Abrir facsímil")</f>
        <v>Abrir facsímil</v>
      </c>
      <c r="K5527" s="10" t="s">
        <v>24</v>
      </c>
    </row>
    <row r="5528" spans="1:11" ht="54" customHeight="1">
      <c r="A5528" s="9" t="s">
        <v>12794</v>
      </c>
      <c r="B5528" s="9" t="s">
        <v>12794</v>
      </c>
      <c r="C5528" s="9" t="s">
        <v>17</v>
      </c>
      <c r="D5528" s="9" t="s">
        <v>55</v>
      </c>
      <c r="E5528" s="10" t="s">
        <v>258</v>
      </c>
      <c r="F5528" s="9" t="s">
        <v>1075</v>
      </c>
      <c r="G5528" s="10" t="s">
        <v>34</v>
      </c>
      <c r="H5528" s="9" t="s">
        <v>22</v>
      </c>
      <c r="I5528" s="9" t="s">
        <v>12795</v>
      </c>
      <c r="J5528" s="10" t="str">
        <f>HYPERLINK("https://www.boe.es/gazeta/dias/1834/10/09/pdfs/GMD-1834-237.pdf#page=1","Abrir facsímil")</f>
        <v>Abrir facsímil</v>
      </c>
      <c r="K5528" s="10" t="s">
        <v>24</v>
      </c>
    </row>
    <row r="5529" spans="1:11" ht="54" customHeight="1">
      <c r="A5529" s="9" t="s">
        <v>12796</v>
      </c>
      <c r="B5529" s="9" t="s">
        <v>12796</v>
      </c>
      <c r="C5529" s="9" t="s">
        <v>46</v>
      </c>
      <c r="D5529" s="9" t="s">
        <v>18</v>
      </c>
      <c r="E5529" s="10" t="s">
        <v>334</v>
      </c>
      <c r="F5529" s="9" t="s">
        <v>567</v>
      </c>
      <c r="G5529" s="10" t="s">
        <v>21</v>
      </c>
      <c r="H5529" s="9" t="s">
        <v>22</v>
      </c>
      <c r="I5529" s="9" t="s">
        <v>12797</v>
      </c>
      <c r="J5529" s="10" t="str">
        <f>HYPERLINK("https://www.boe.es/gazeta/dias/1834/09/11/pdfs/GMD-1834-209.pdf#page=3","Abrir facsímil")</f>
        <v>Abrir facsímil</v>
      </c>
      <c r="K5529" s="10" t="s">
        <v>24</v>
      </c>
    </row>
    <row r="5530" spans="1:11" ht="54" customHeight="1">
      <c r="A5530" s="9" t="s">
        <v>12796</v>
      </c>
      <c r="B5530" s="9" t="s">
        <v>12796</v>
      </c>
      <c r="C5530" s="9" t="s">
        <v>66</v>
      </c>
      <c r="D5530" s="9" t="s">
        <v>67</v>
      </c>
      <c r="E5530" s="10" t="s">
        <v>200</v>
      </c>
      <c r="F5530" s="9" t="s">
        <v>201</v>
      </c>
      <c r="G5530" s="10" t="s">
        <v>21</v>
      </c>
      <c r="H5530" s="9" t="s">
        <v>22</v>
      </c>
      <c r="I5530" s="9" t="s">
        <v>12798</v>
      </c>
      <c r="J5530" s="10" t="str">
        <f>HYPERLINK("https://www.boe.es/gazeta/dias/1834/12/11/pdfs/GMD-1834-300.pdf#page=3","Abrir facsímil")</f>
        <v>Abrir facsímil</v>
      </c>
      <c r="K5530" s="10" t="s">
        <v>24</v>
      </c>
    </row>
    <row r="5531" spans="1:11" ht="54" customHeight="1">
      <c r="A5531" s="9" t="s">
        <v>12799</v>
      </c>
      <c r="B5531" s="9" t="s">
        <v>12800</v>
      </c>
      <c r="C5531" s="9" t="s">
        <v>17</v>
      </c>
      <c r="D5531" s="9" t="s">
        <v>18</v>
      </c>
      <c r="E5531" s="10" t="s">
        <v>1402</v>
      </c>
      <c r="F5531" s="9" t="s">
        <v>1403</v>
      </c>
      <c r="G5531" s="10" t="s">
        <v>86</v>
      </c>
      <c r="H5531" s="9" t="s">
        <v>22</v>
      </c>
      <c r="I5531" s="9" t="s">
        <v>12801</v>
      </c>
      <c r="J5531" s="10" t="str">
        <f>HYPERLINK("https://www.boe.es/gazeta/dias/1834/05/05/pdfs/I00347-00348.pdf#page=2","Abrir facsímil")</f>
        <v>Abrir facsímil</v>
      </c>
      <c r="K5531" s="10" t="s">
        <v>24</v>
      </c>
    </row>
    <row r="5532" spans="1:11" ht="54" customHeight="1">
      <c r="A5532" s="9" t="s">
        <v>12799</v>
      </c>
      <c r="B5532" s="9" t="s">
        <v>12800</v>
      </c>
      <c r="C5532" s="9" t="s">
        <v>17</v>
      </c>
      <c r="D5532" s="9" t="s">
        <v>101</v>
      </c>
      <c r="E5532" s="10" t="s">
        <v>1402</v>
      </c>
      <c r="F5532" s="9" t="s">
        <v>1403</v>
      </c>
      <c r="G5532" s="10" t="s">
        <v>176</v>
      </c>
      <c r="H5532" s="9" t="s">
        <v>22</v>
      </c>
      <c r="I5532" s="9" t="s">
        <v>12802</v>
      </c>
      <c r="J5532" s="10" t="str">
        <f>HYPERLINK("https://www.boe.es/gazeta/dias/1834/05/05/pdfs/GMD-1834-74.pdf#page=6","Abrir facsímil")</f>
        <v>Abrir facsímil</v>
      </c>
      <c r="K5532" s="10" t="s">
        <v>24</v>
      </c>
    </row>
    <row r="5533" spans="1:11" ht="54" customHeight="1">
      <c r="A5533" s="9" t="s">
        <v>12799</v>
      </c>
      <c r="B5533" s="9" t="s">
        <v>12800</v>
      </c>
      <c r="C5533" s="9" t="s">
        <v>90</v>
      </c>
      <c r="D5533" s="9" t="s">
        <v>18</v>
      </c>
      <c r="E5533" s="10" t="s">
        <v>724</v>
      </c>
      <c r="F5533" s="9" t="s">
        <v>725</v>
      </c>
      <c r="G5533" s="10" t="s">
        <v>34</v>
      </c>
      <c r="H5533" s="9" t="s">
        <v>22</v>
      </c>
      <c r="I5533" s="9" t="s">
        <v>12803</v>
      </c>
      <c r="J5533" s="10" t="str">
        <f>HYPERLINK("https://www.boe.es/gazeta/dias/1834/04/25/pdfs/GMD-1834-64.pdf#page=1","Abrir facsímil")</f>
        <v>Abrir facsímil</v>
      </c>
      <c r="K5533" s="10" t="s">
        <v>24</v>
      </c>
    </row>
    <row r="5534" spans="1:11" ht="54" customHeight="1">
      <c r="A5534" s="9" t="s">
        <v>12804</v>
      </c>
      <c r="B5534" s="9" t="s">
        <v>12805</v>
      </c>
      <c r="C5534" s="9" t="s">
        <v>17</v>
      </c>
      <c r="D5534" s="9" t="s">
        <v>18</v>
      </c>
      <c r="E5534" s="10" t="s">
        <v>255</v>
      </c>
      <c r="F5534" s="9" t="s">
        <v>2368</v>
      </c>
      <c r="G5534" s="10" t="s">
        <v>86</v>
      </c>
      <c r="H5534" s="9" t="s">
        <v>22</v>
      </c>
      <c r="I5534" s="9" t="s">
        <v>12806</v>
      </c>
      <c r="J5534" s="10" t="str">
        <f>HYPERLINK("https://www.boe.es/gazeta/dias/1834/09/01/pdfs/I00843-00844.pdf#page=2","Abrir facsímil")</f>
        <v>Abrir facsímil</v>
      </c>
      <c r="K5534" s="10" t="s">
        <v>24</v>
      </c>
    </row>
    <row r="5535" spans="1:11" ht="54" customHeight="1">
      <c r="A5535" s="9" t="s">
        <v>12804</v>
      </c>
      <c r="B5535" s="9" t="s">
        <v>12805</v>
      </c>
      <c r="C5535" s="9" t="s">
        <v>17</v>
      </c>
      <c r="D5535" s="9" t="s">
        <v>18</v>
      </c>
      <c r="E5535" s="10" t="s">
        <v>255</v>
      </c>
      <c r="F5535" s="9" t="s">
        <v>2368</v>
      </c>
      <c r="G5535" s="10" t="s">
        <v>75</v>
      </c>
      <c r="H5535" s="9" t="s">
        <v>22</v>
      </c>
      <c r="I5535" s="9" t="s">
        <v>12806</v>
      </c>
      <c r="J5535" s="10" t="str">
        <f>HYPERLINK("https://www.boe.es/gazeta/dias/1834/09/01/pdfs/GMD-1834-199.pdf#page=4","Abrir facsímil")</f>
        <v>Abrir facsímil</v>
      </c>
      <c r="K5535" s="10" t="s">
        <v>24</v>
      </c>
    </row>
    <row r="5536" spans="1:11" ht="54" customHeight="1">
      <c r="A5536" s="9" t="s">
        <v>12807</v>
      </c>
      <c r="B5536" s="9" t="s">
        <v>12808</v>
      </c>
      <c r="C5536" s="9" t="s">
        <v>17</v>
      </c>
      <c r="D5536" s="9" t="s">
        <v>55</v>
      </c>
      <c r="E5536" s="10" t="s">
        <v>2860</v>
      </c>
      <c r="F5536" s="9" t="s">
        <v>2861</v>
      </c>
      <c r="G5536" s="10" t="s">
        <v>21</v>
      </c>
      <c r="H5536" s="9" t="s">
        <v>22</v>
      </c>
      <c r="I5536" s="9" t="s">
        <v>12809</v>
      </c>
      <c r="J5536" s="10" t="str">
        <f>HYPERLINK("https://www.boe.es/gazeta/dias/1834/07/20/pdfs/GMD-1834-153.pdf#page=3","Abrir facsímil")</f>
        <v>Abrir facsímil</v>
      </c>
      <c r="K5536" s="10" t="s">
        <v>24</v>
      </c>
    </row>
    <row r="5537" spans="1:11" ht="54" customHeight="1">
      <c r="A5537" s="9" t="s">
        <v>12810</v>
      </c>
      <c r="B5537" s="9" t="s">
        <v>12811</v>
      </c>
      <c r="C5537" s="9" t="s">
        <v>66</v>
      </c>
      <c r="D5537" s="9" t="s">
        <v>67</v>
      </c>
      <c r="E5537" s="10" t="s">
        <v>1239</v>
      </c>
      <c r="F5537" s="9" t="s">
        <v>1240</v>
      </c>
      <c r="G5537" s="10" t="s">
        <v>21</v>
      </c>
      <c r="H5537" s="9" t="s">
        <v>22</v>
      </c>
      <c r="I5537" s="9" t="s">
        <v>12812</v>
      </c>
      <c r="J5537" s="10" t="str">
        <f>HYPERLINK("https://www.boe.es/gazeta/dias/1834/08/20/pdfs/GMD-1834-186.pdf#page=3","Abrir facsímil")</f>
        <v>Abrir facsímil</v>
      </c>
      <c r="K5537" s="10" t="s">
        <v>24</v>
      </c>
    </row>
    <row r="5538" spans="1:11" ht="54" customHeight="1">
      <c r="A5538" s="9" t="s">
        <v>12813</v>
      </c>
      <c r="B5538" s="9" t="s">
        <v>12813</v>
      </c>
      <c r="C5538" s="9" t="s">
        <v>66</v>
      </c>
      <c r="D5538" s="9" t="s">
        <v>67</v>
      </c>
      <c r="E5538" s="10" t="s">
        <v>1686</v>
      </c>
      <c r="F5538" s="9" t="s">
        <v>1687</v>
      </c>
      <c r="G5538" s="10" t="s">
        <v>86</v>
      </c>
      <c r="H5538" s="9" t="s">
        <v>22</v>
      </c>
      <c r="I5538" s="9" t="s">
        <v>12814</v>
      </c>
      <c r="J5538" s="10" t="str">
        <f>HYPERLINK("https://www.boe.es/gazeta/dias/1834/07/27/pdfs/GMD-1834-160.pdf#page=2","Abrir facsímil")</f>
        <v>Abrir facsímil</v>
      </c>
      <c r="K5538" s="10" t="s">
        <v>24</v>
      </c>
    </row>
    <row r="5539" spans="1:11" ht="54" customHeight="1">
      <c r="A5539" s="9" t="s">
        <v>12815</v>
      </c>
      <c r="B5539" s="9" t="s">
        <v>12816</v>
      </c>
      <c r="C5539" s="9" t="s">
        <v>90</v>
      </c>
      <c r="D5539" s="9" t="s">
        <v>55</v>
      </c>
      <c r="E5539" s="10" t="s">
        <v>3328</v>
      </c>
      <c r="F5539" s="9" t="s">
        <v>3329</v>
      </c>
      <c r="G5539" s="10" t="s">
        <v>86</v>
      </c>
      <c r="H5539" s="9" t="s">
        <v>22</v>
      </c>
      <c r="I5539" s="9" t="s">
        <v>12817</v>
      </c>
      <c r="J5539" s="10" t="str">
        <f>HYPERLINK("https://www.boe.es/gazeta/dias/1834/06/04/pdfs/GMD-1834-106.pdf#page=2","Abrir facsímil")</f>
        <v>Abrir facsímil</v>
      </c>
      <c r="K5539" s="10" t="s">
        <v>24</v>
      </c>
    </row>
    <row r="5540" spans="1:11" ht="54" customHeight="1">
      <c r="A5540" s="9" t="s">
        <v>12818</v>
      </c>
      <c r="B5540" s="9" t="s">
        <v>12818</v>
      </c>
      <c r="C5540" s="9" t="s">
        <v>90</v>
      </c>
      <c r="D5540" s="9" t="s">
        <v>55</v>
      </c>
      <c r="E5540" s="10" t="s">
        <v>667</v>
      </c>
      <c r="F5540" s="9" t="s">
        <v>3347</v>
      </c>
      <c r="G5540" s="10" t="s">
        <v>34</v>
      </c>
      <c r="H5540" s="9" t="s">
        <v>22</v>
      </c>
      <c r="I5540" s="9" t="s">
        <v>12819</v>
      </c>
      <c r="J5540" s="10" t="str">
        <f>HYPERLINK("https://www.boe.es/gazeta/dias/1834/11/23/pdfs/GMD-1834-282.pdf#page=1","Abrir facsímil")</f>
        <v>Abrir facsímil</v>
      </c>
      <c r="K5540" s="10" t="s">
        <v>24</v>
      </c>
    </row>
    <row r="5541" spans="1:11" ht="54" customHeight="1">
      <c r="A5541" s="9" t="s">
        <v>12820</v>
      </c>
      <c r="B5541" s="9" t="s">
        <v>12820</v>
      </c>
      <c r="C5541" s="9" t="s">
        <v>46</v>
      </c>
      <c r="D5541" s="9" t="s">
        <v>18</v>
      </c>
      <c r="E5541" s="10" t="s">
        <v>355</v>
      </c>
      <c r="F5541" s="9" t="s">
        <v>356</v>
      </c>
      <c r="G5541" s="10" t="s">
        <v>34</v>
      </c>
      <c r="H5541" s="9" t="s">
        <v>22</v>
      </c>
      <c r="I5541" s="9" t="s">
        <v>12821</v>
      </c>
      <c r="J5541" s="10" t="str">
        <f>HYPERLINK("https://www.boe.es/gazeta/dias/1834/07/04/pdfs/GMD-1834-137.pdf#page=1","Abrir facsímil")</f>
        <v>Abrir facsímil</v>
      </c>
      <c r="K5541" s="10" t="s">
        <v>24</v>
      </c>
    </row>
    <row r="5542" spans="1:11" ht="54" customHeight="1">
      <c r="A5542" s="9" t="s">
        <v>12822</v>
      </c>
      <c r="B5542" s="9" t="s">
        <v>12822</v>
      </c>
      <c r="C5542" s="9" t="s">
        <v>17</v>
      </c>
      <c r="D5542" s="9" t="s">
        <v>18</v>
      </c>
      <c r="E5542" s="10" t="s">
        <v>1351</v>
      </c>
      <c r="F5542" s="9" t="s">
        <v>1352</v>
      </c>
      <c r="G5542" s="10" t="s">
        <v>21</v>
      </c>
      <c r="H5542" s="9" t="s">
        <v>22</v>
      </c>
      <c r="I5542" s="9" t="s">
        <v>12823</v>
      </c>
      <c r="J5542" s="10" t="str">
        <f>HYPERLINK("https://www.boe.es/gazeta/dias/1834/07/05/pdfs/GMD-1834-138.pdf#page=3","Abrir facsímil")</f>
        <v>Abrir facsímil</v>
      </c>
      <c r="K5542" s="10" t="s">
        <v>24</v>
      </c>
    </row>
    <row r="5543" spans="1:11" ht="54" customHeight="1">
      <c r="A5543" s="9" t="s">
        <v>12824</v>
      </c>
      <c r="B5543" s="9" t="s">
        <v>12824</v>
      </c>
      <c r="C5543" s="9" t="s">
        <v>46</v>
      </c>
      <c r="D5543" s="9" t="s">
        <v>18</v>
      </c>
      <c r="E5543" s="10" t="s">
        <v>429</v>
      </c>
      <c r="F5543" s="9" t="s">
        <v>3421</v>
      </c>
      <c r="G5543" s="10" t="s">
        <v>21</v>
      </c>
      <c r="H5543" s="9" t="s">
        <v>22</v>
      </c>
      <c r="I5543" s="9" t="s">
        <v>12825</v>
      </c>
      <c r="J5543" s="10" t="str">
        <f>HYPERLINK("https://www.boe.es/gazeta/dias/1834/08/07/pdfs/GMD-1834-172.pdf#page=3","Abrir facsímil")</f>
        <v>Abrir facsímil</v>
      </c>
      <c r="K5543" s="10" t="s">
        <v>24</v>
      </c>
    </row>
    <row r="5544" spans="1:11" ht="54" customHeight="1">
      <c r="A5544" s="9" t="s">
        <v>12824</v>
      </c>
      <c r="B5544" s="9" t="s">
        <v>12824</v>
      </c>
      <c r="C5544" s="9" t="s">
        <v>66</v>
      </c>
      <c r="D5544" s="9" t="s">
        <v>67</v>
      </c>
      <c r="E5544" s="10" t="s">
        <v>1999</v>
      </c>
      <c r="F5544" s="9" t="s">
        <v>2000</v>
      </c>
      <c r="G5544" s="10" t="s">
        <v>86</v>
      </c>
      <c r="H5544" s="9" t="s">
        <v>22</v>
      </c>
      <c r="I5544" s="9" t="s">
        <v>12826</v>
      </c>
      <c r="J5544" s="10" t="str">
        <f>HYPERLINK("https://www.boe.es/gazeta/dias/1834/04/09/pdfs/GMD-1834-48.pdf#page=2","Abrir facsímil")</f>
        <v>Abrir facsímil</v>
      </c>
      <c r="K5544" s="10" t="s">
        <v>24</v>
      </c>
    </row>
    <row r="5545" spans="1:11" ht="54" customHeight="1">
      <c r="A5545" s="9" t="s">
        <v>12824</v>
      </c>
      <c r="B5545" s="9" t="s">
        <v>12824</v>
      </c>
      <c r="C5545" s="9" t="s">
        <v>90</v>
      </c>
      <c r="D5545" s="9" t="s">
        <v>101</v>
      </c>
      <c r="E5545" s="10" t="s">
        <v>1410</v>
      </c>
      <c r="F5545" s="9" t="s">
        <v>1411</v>
      </c>
      <c r="G5545" s="10" t="s">
        <v>34</v>
      </c>
      <c r="H5545" s="9" t="s">
        <v>22</v>
      </c>
      <c r="I5545" s="9" t="s">
        <v>12827</v>
      </c>
      <c r="J5545" s="10" t="str">
        <f>HYPERLINK("https://www.boe.es/gazeta/dias/1834/09/09/pdfs/GMD-1834-207.pdf#page=1","Abrir facsímil")</f>
        <v>Abrir facsímil</v>
      </c>
      <c r="K5545" s="10" t="s">
        <v>24</v>
      </c>
    </row>
    <row r="5546" spans="1:11" ht="54" customHeight="1">
      <c r="A5546" s="9" t="s">
        <v>12824</v>
      </c>
      <c r="B5546" s="9" t="s">
        <v>12824</v>
      </c>
      <c r="C5546" s="9" t="s">
        <v>66</v>
      </c>
      <c r="D5546" s="9" t="s">
        <v>67</v>
      </c>
      <c r="E5546" s="10" t="s">
        <v>2048</v>
      </c>
      <c r="F5546" s="9" t="s">
        <v>2049</v>
      </c>
      <c r="G5546" s="10" t="s">
        <v>21</v>
      </c>
      <c r="H5546" s="9" t="s">
        <v>22</v>
      </c>
      <c r="I5546" s="9" t="s">
        <v>12828</v>
      </c>
      <c r="J5546" s="10" t="str">
        <f>HYPERLINK("https://www.boe.es/gazeta/dias/1834/05/12/pdfs/GMD-1834-81.pdf#page=3","Abrir facsímil")</f>
        <v>Abrir facsímil</v>
      </c>
      <c r="K5546" s="10" t="s">
        <v>24</v>
      </c>
    </row>
    <row r="5547" spans="1:11" ht="54" customHeight="1">
      <c r="A5547" s="9" t="s">
        <v>12824</v>
      </c>
      <c r="B5547" s="9" t="s">
        <v>12824</v>
      </c>
      <c r="C5547" s="9" t="s">
        <v>46</v>
      </c>
      <c r="D5547" s="9" t="s">
        <v>55</v>
      </c>
      <c r="E5547" s="10" t="s">
        <v>348</v>
      </c>
      <c r="F5547" s="9" t="s">
        <v>501</v>
      </c>
      <c r="G5547" s="10" t="s">
        <v>34</v>
      </c>
      <c r="H5547" s="9" t="s">
        <v>22</v>
      </c>
      <c r="I5547" s="9" t="s">
        <v>12829</v>
      </c>
      <c r="J5547" s="10" t="str">
        <f>HYPERLINK("https://www.boe.es/gazeta/dias/1834/06/12/pdfs/GMD-1834-115.pdf#page=1","Abrir facsímil")</f>
        <v>Abrir facsímil</v>
      </c>
      <c r="K5547" s="10" t="s">
        <v>24</v>
      </c>
    </row>
    <row r="5548" spans="1:11" ht="54" customHeight="1">
      <c r="A5548" s="9" t="s">
        <v>12824</v>
      </c>
      <c r="B5548" s="9" t="s">
        <v>12824</v>
      </c>
      <c r="C5548" s="9" t="s">
        <v>17</v>
      </c>
      <c r="D5548" s="9" t="s">
        <v>18</v>
      </c>
      <c r="E5548" s="10" t="s">
        <v>2260</v>
      </c>
      <c r="F5548" s="9" t="s">
        <v>2261</v>
      </c>
      <c r="G5548" s="10" t="s">
        <v>86</v>
      </c>
      <c r="H5548" s="9" t="s">
        <v>22</v>
      </c>
      <c r="I5548" s="9" t="s">
        <v>12830</v>
      </c>
      <c r="J5548" s="10" t="str">
        <f>HYPERLINK("https://www.boe.es/gazeta/dias/1834/11/13/pdfs/GMD-1834-272.pdf#page=2","Abrir facsímil")</f>
        <v>Abrir facsímil</v>
      </c>
      <c r="K5548" s="10" t="s">
        <v>24</v>
      </c>
    </row>
    <row r="5549" spans="1:11" ht="54" customHeight="1">
      <c r="A5549" s="9" t="s">
        <v>12824</v>
      </c>
      <c r="B5549" s="9" t="s">
        <v>12824</v>
      </c>
      <c r="C5549" s="9" t="s">
        <v>17</v>
      </c>
      <c r="D5549" s="9" t="s">
        <v>55</v>
      </c>
      <c r="E5549" s="10" t="s">
        <v>928</v>
      </c>
      <c r="F5549" s="9" t="s">
        <v>3338</v>
      </c>
      <c r="G5549" s="10" t="s">
        <v>34</v>
      </c>
      <c r="H5549" s="9" t="s">
        <v>22</v>
      </c>
      <c r="I5549" s="9" t="s">
        <v>12831</v>
      </c>
      <c r="J5549" s="10" t="str">
        <f>HYPERLINK("https://www.boe.es/gazeta/dias/1834/11/15/pdfs/GMD-1834-274.pdf#page=1","Abrir facsímil")</f>
        <v>Abrir facsímil</v>
      </c>
      <c r="K5549" s="10" t="s">
        <v>24</v>
      </c>
    </row>
    <row r="5550" spans="1:11" ht="54" customHeight="1">
      <c r="A5550" s="9" t="s">
        <v>12824</v>
      </c>
      <c r="B5550" s="9" t="s">
        <v>12824</v>
      </c>
      <c r="C5550" s="9" t="s">
        <v>17</v>
      </c>
      <c r="D5550" s="9" t="s">
        <v>18</v>
      </c>
      <c r="E5550" s="10" t="s">
        <v>1125</v>
      </c>
      <c r="F5550" s="9" t="s">
        <v>2490</v>
      </c>
      <c r="G5550" s="10" t="s">
        <v>28</v>
      </c>
      <c r="H5550" s="9" t="s">
        <v>22</v>
      </c>
      <c r="I5550" s="9" t="s">
        <v>12832</v>
      </c>
      <c r="J5550" s="10" t="str">
        <f>HYPERLINK("https://www.boe.es/gazeta/dias/1834/04/17/pdfs/GMD-1834-56.pdf#page=5","Abrir facsímil")</f>
        <v>Abrir facsímil</v>
      </c>
      <c r="K5550" s="10" t="s">
        <v>24</v>
      </c>
    </row>
    <row r="5551" spans="1:11" ht="54" customHeight="1">
      <c r="A5551" s="9" t="s">
        <v>12824</v>
      </c>
      <c r="B5551" s="9" t="s">
        <v>12824</v>
      </c>
      <c r="C5551" s="9" t="s">
        <v>17</v>
      </c>
      <c r="D5551" s="9" t="s">
        <v>18</v>
      </c>
      <c r="E5551" s="10" t="s">
        <v>1459</v>
      </c>
      <c r="F5551" s="9" t="s">
        <v>1460</v>
      </c>
      <c r="G5551" s="10" t="s">
        <v>34</v>
      </c>
      <c r="H5551" s="9" t="s">
        <v>22</v>
      </c>
      <c r="I5551" s="9" t="s">
        <v>12833</v>
      </c>
      <c r="J5551" s="10" t="str">
        <f>HYPERLINK("https://www.boe.es/gazeta/dias/1834/08/18/pdfs/GMD-1834-184.pdf#page=1","Abrir facsímil")</f>
        <v>Abrir facsímil</v>
      </c>
      <c r="K5551" s="10" t="s">
        <v>24</v>
      </c>
    </row>
    <row r="5552" spans="1:11" ht="54" customHeight="1">
      <c r="A5552" s="9" t="s">
        <v>12824</v>
      </c>
      <c r="B5552" s="9" t="s">
        <v>12824</v>
      </c>
      <c r="C5552" s="9" t="s">
        <v>17</v>
      </c>
      <c r="D5552" s="9" t="s">
        <v>55</v>
      </c>
      <c r="E5552" s="10" t="s">
        <v>753</v>
      </c>
      <c r="F5552" s="9" t="s">
        <v>754</v>
      </c>
      <c r="G5552" s="10" t="s">
        <v>86</v>
      </c>
      <c r="H5552" s="9" t="s">
        <v>22</v>
      </c>
      <c r="I5552" s="9" t="s">
        <v>12834</v>
      </c>
      <c r="J5552" s="10" t="str">
        <f>HYPERLINK("https://www.boe.es/gazeta/dias/1834/04/21/pdfs/GMD-1834-60.pdf#page=2","Abrir facsímil")</f>
        <v>Abrir facsímil</v>
      </c>
      <c r="K5552" s="10" t="s">
        <v>24</v>
      </c>
    </row>
    <row r="5553" spans="1:11" ht="54" customHeight="1">
      <c r="A5553" s="9" t="s">
        <v>12824</v>
      </c>
      <c r="B5553" s="9" t="s">
        <v>12824</v>
      </c>
      <c r="C5553" s="9" t="s">
        <v>17</v>
      </c>
      <c r="D5553" s="9" t="s">
        <v>18</v>
      </c>
      <c r="E5553" s="10" t="s">
        <v>702</v>
      </c>
      <c r="F5553" s="9" t="s">
        <v>2427</v>
      </c>
      <c r="G5553" s="10" t="s">
        <v>21</v>
      </c>
      <c r="H5553" s="9" t="s">
        <v>22</v>
      </c>
      <c r="I5553" s="9" t="s">
        <v>12835</v>
      </c>
      <c r="J5553" s="10" t="str">
        <f>HYPERLINK("https://www.boe.es/gazeta/dias/1834/11/22/pdfs/GMD-1834-281.pdf#page=3","Abrir facsímil")</f>
        <v>Abrir facsímil</v>
      </c>
      <c r="K5553" s="10" t="s">
        <v>24</v>
      </c>
    </row>
    <row r="5554" spans="1:11" ht="54" customHeight="1">
      <c r="A5554" s="9" t="s">
        <v>12824</v>
      </c>
      <c r="B5554" s="9" t="s">
        <v>12824</v>
      </c>
      <c r="C5554" s="9" t="s">
        <v>66</v>
      </c>
      <c r="D5554" s="9" t="s">
        <v>67</v>
      </c>
      <c r="E5554" s="10" t="s">
        <v>32</v>
      </c>
      <c r="F5554" s="9" t="s">
        <v>33</v>
      </c>
      <c r="G5554" s="10" t="s">
        <v>21</v>
      </c>
      <c r="H5554" s="9" t="s">
        <v>22</v>
      </c>
      <c r="I5554" s="9" t="s">
        <v>12836</v>
      </c>
      <c r="J5554" s="10" t="str">
        <f>HYPERLINK("https://www.boe.es/gazeta/dias/1834/04/23/pdfs/GMD-1834-62.pdf#page=3","Abrir facsímil")</f>
        <v>Abrir facsímil</v>
      </c>
      <c r="K5554" s="10" t="s">
        <v>24</v>
      </c>
    </row>
    <row r="5555" spans="1:11" ht="54" customHeight="1">
      <c r="A5555" s="9" t="s">
        <v>12824</v>
      </c>
      <c r="B5555" s="9" t="s">
        <v>12824</v>
      </c>
      <c r="C5555" s="9" t="s">
        <v>122</v>
      </c>
      <c r="D5555" s="9" t="s">
        <v>18</v>
      </c>
      <c r="E5555" s="10" t="s">
        <v>667</v>
      </c>
      <c r="F5555" s="9" t="s">
        <v>3347</v>
      </c>
      <c r="G5555" s="10" t="s">
        <v>34</v>
      </c>
      <c r="H5555" s="9" t="s">
        <v>22</v>
      </c>
      <c r="I5555" s="9" t="s">
        <v>12837</v>
      </c>
      <c r="J5555" s="10" t="str">
        <f>HYPERLINK("https://www.boe.es/gazeta/dias/1834/11/23/pdfs/GMD-1834-282.pdf#page=1","Abrir facsímil")</f>
        <v>Abrir facsímil</v>
      </c>
      <c r="K5555" s="10" t="s">
        <v>24</v>
      </c>
    </row>
    <row r="5556" spans="1:11" ht="54" customHeight="1">
      <c r="A5556" s="9" t="s">
        <v>12824</v>
      </c>
      <c r="B5556" s="9" t="s">
        <v>12824</v>
      </c>
      <c r="C5556" s="9" t="s">
        <v>17</v>
      </c>
      <c r="D5556" s="9" t="s">
        <v>55</v>
      </c>
      <c r="E5556" s="10" t="s">
        <v>1575</v>
      </c>
      <c r="F5556" s="9" t="s">
        <v>1576</v>
      </c>
      <c r="G5556" s="10" t="s">
        <v>86</v>
      </c>
      <c r="H5556" s="9" t="s">
        <v>22</v>
      </c>
      <c r="I5556" s="9" t="s">
        <v>12838</v>
      </c>
      <c r="J5556" s="10" t="str">
        <f>HYPERLINK("https://www.boe.es/gazeta/dias/1834/11/24/pdfs/GMD-1834-283.pdf#page=2","Abrir facsímil")</f>
        <v>Abrir facsímil</v>
      </c>
      <c r="K5556" s="10" t="s">
        <v>24</v>
      </c>
    </row>
    <row r="5557" spans="1:11" ht="54" customHeight="1">
      <c r="A5557" s="9" t="s">
        <v>12824</v>
      </c>
      <c r="B5557" s="9" t="s">
        <v>12824</v>
      </c>
      <c r="C5557" s="9" t="s">
        <v>46</v>
      </c>
      <c r="D5557" s="9" t="s">
        <v>55</v>
      </c>
      <c r="E5557" s="10" t="s">
        <v>724</v>
      </c>
      <c r="F5557" s="9" t="s">
        <v>725</v>
      </c>
      <c r="G5557" s="10" t="s">
        <v>86</v>
      </c>
      <c r="H5557" s="9" t="s">
        <v>22</v>
      </c>
      <c r="I5557" s="9" t="s">
        <v>12839</v>
      </c>
      <c r="J5557" s="10" t="str">
        <f>HYPERLINK("https://www.boe.es/gazeta/dias/1834/04/25/pdfs/GMD-1834-64.pdf#page=2","Abrir facsímil")</f>
        <v>Abrir facsímil</v>
      </c>
      <c r="K5557" s="10" t="s">
        <v>24</v>
      </c>
    </row>
    <row r="5558" spans="1:11" ht="54" customHeight="1">
      <c r="A5558" s="9" t="s">
        <v>12824</v>
      </c>
      <c r="B5558" s="9" t="s">
        <v>12824</v>
      </c>
      <c r="C5558" s="9" t="s">
        <v>17</v>
      </c>
      <c r="D5558" s="9" t="s">
        <v>55</v>
      </c>
      <c r="E5558" s="10" t="s">
        <v>283</v>
      </c>
      <c r="F5558" s="9" t="s">
        <v>2969</v>
      </c>
      <c r="G5558" s="10" t="s">
        <v>34</v>
      </c>
      <c r="H5558" s="9" t="s">
        <v>22</v>
      </c>
      <c r="I5558" s="9" t="s">
        <v>12840</v>
      </c>
      <c r="J5558" s="10" t="str">
        <f>HYPERLINK("https://www.boe.es/gazeta/dias/1834/11/29/pdfs/GMD-1834-288.pdf#page=1","Abrir facsímil")</f>
        <v>Abrir facsímil</v>
      </c>
      <c r="K5558" s="10" t="s">
        <v>24</v>
      </c>
    </row>
    <row r="5559" spans="1:11" ht="54" customHeight="1">
      <c r="A5559" s="9" t="s">
        <v>12824</v>
      </c>
      <c r="B5559" s="9" t="s">
        <v>12824</v>
      </c>
      <c r="C5559" s="9" t="s">
        <v>122</v>
      </c>
      <c r="D5559" s="9" t="s">
        <v>18</v>
      </c>
      <c r="E5559" s="10" t="s">
        <v>143</v>
      </c>
      <c r="F5559" s="9" t="s">
        <v>144</v>
      </c>
      <c r="G5559" s="10" t="s">
        <v>86</v>
      </c>
      <c r="H5559" s="9" t="s">
        <v>22</v>
      </c>
      <c r="I5559" s="9" t="s">
        <v>12841</v>
      </c>
      <c r="J5559" s="10" t="str">
        <f>HYPERLINK("https://www.boe.es/gazeta/dias/1834/07/31/pdfs/GMD-1834-164.pdf#page=2","Abrir facsímil")</f>
        <v>Abrir facsímil</v>
      </c>
      <c r="K5559" s="10" t="s">
        <v>24</v>
      </c>
    </row>
    <row r="5560" spans="1:11" ht="54" customHeight="1">
      <c r="A5560" s="9" t="s">
        <v>12842</v>
      </c>
      <c r="B5560" s="9" t="s">
        <v>12842</v>
      </c>
      <c r="C5560" s="9" t="s">
        <v>122</v>
      </c>
      <c r="D5560" s="9" t="s">
        <v>40</v>
      </c>
      <c r="E5560" s="10" t="s">
        <v>702</v>
      </c>
      <c r="F5560" s="9" t="s">
        <v>2427</v>
      </c>
      <c r="G5560" s="10" t="s">
        <v>86</v>
      </c>
      <c r="H5560" s="9" t="s">
        <v>22</v>
      </c>
      <c r="I5560" s="9" t="s">
        <v>12843</v>
      </c>
      <c r="J5560" s="10" t="str">
        <f>HYPERLINK("https://www.boe.es/gazeta/dias/1834/11/22/pdfs/GMD-1834-281.pdf#page=2","Abrir facsímil")</f>
        <v>Abrir facsímil</v>
      </c>
      <c r="K5560" s="10" t="s">
        <v>24</v>
      </c>
    </row>
    <row r="5561" spans="1:11" ht="54" customHeight="1">
      <c r="A5561" s="9" t="s">
        <v>12844</v>
      </c>
      <c r="B5561" s="9" t="s">
        <v>12844</v>
      </c>
      <c r="C5561" s="9" t="s">
        <v>66</v>
      </c>
      <c r="D5561" s="9" t="s">
        <v>67</v>
      </c>
      <c r="E5561" s="10" t="s">
        <v>1661</v>
      </c>
      <c r="F5561" s="9" t="s">
        <v>1662</v>
      </c>
      <c r="G5561" s="10" t="s">
        <v>86</v>
      </c>
      <c r="H5561" s="9" t="s">
        <v>22</v>
      </c>
      <c r="I5561" s="9" t="s">
        <v>12845</v>
      </c>
      <c r="J5561" s="10" t="str">
        <f>HYPERLINK("https://www.boe.es/gazeta/dias/1834/04/06/pdfs/GMD-1834-45.pdf#page=2","Abrir facsímil")</f>
        <v>Abrir facsímil</v>
      </c>
      <c r="K5561" s="10" t="s">
        <v>24</v>
      </c>
    </row>
    <row r="5562" spans="1:11" ht="54" customHeight="1">
      <c r="A5562" s="9" t="s">
        <v>12846</v>
      </c>
      <c r="B5562" s="9" t="s">
        <v>12846</v>
      </c>
      <c r="C5562" s="9" t="s">
        <v>17</v>
      </c>
      <c r="D5562" s="9" t="s">
        <v>18</v>
      </c>
      <c r="E5562" s="10" t="s">
        <v>1575</v>
      </c>
      <c r="F5562" s="9" t="s">
        <v>1576</v>
      </c>
      <c r="G5562" s="10" t="s">
        <v>86</v>
      </c>
      <c r="H5562" s="9" t="s">
        <v>22</v>
      </c>
      <c r="I5562" s="9" t="s">
        <v>12847</v>
      </c>
      <c r="J5562" s="10" t="str">
        <f>HYPERLINK("https://www.boe.es/gazeta/dias/1834/11/24/pdfs/GMD-1834-283.pdf#page=2","Abrir facsímil")</f>
        <v>Abrir facsímil</v>
      </c>
      <c r="K5562" s="10" t="s">
        <v>24</v>
      </c>
    </row>
    <row r="5563" spans="1:11" ht="54" customHeight="1">
      <c r="A5563" s="9" t="s">
        <v>12848</v>
      </c>
      <c r="B5563" s="9" t="s">
        <v>12848</v>
      </c>
      <c r="C5563" s="9" t="s">
        <v>90</v>
      </c>
      <c r="D5563" s="9" t="s">
        <v>40</v>
      </c>
      <c r="E5563" s="10" t="s">
        <v>758</v>
      </c>
      <c r="F5563" s="9" t="s">
        <v>759</v>
      </c>
      <c r="G5563" s="10" t="s">
        <v>86</v>
      </c>
      <c r="H5563" s="9" t="s">
        <v>22</v>
      </c>
      <c r="I5563" s="9" t="s">
        <v>12849</v>
      </c>
      <c r="J5563" s="10" t="str">
        <f>HYPERLINK("https://www.boe.es/gazeta/dias/1834/01/04/pdfs/GMD-1834-3.pdf#page=2","Abrir facsímil")</f>
        <v>Abrir facsímil</v>
      </c>
      <c r="K5563" s="10" t="s">
        <v>24</v>
      </c>
    </row>
    <row r="5564" spans="1:11" ht="54" customHeight="1">
      <c r="A5564" s="9" t="s">
        <v>12850</v>
      </c>
      <c r="B5564" s="9" t="s">
        <v>12851</v>
      </c>
      <c r="C5564" s="9" t="s">
        <v>17</v>
      </c>
      <c r="D5564" s="9" t="s">
        <v>18</v>
      </c>
      <c r="E5564" s="10" t="s">
        <v>286</v>
      </c>
      <c r="F5564" s="9" t="s">
        <v>548</v>
      </c>
      <c r="G5564" s="10" t="s">
        <v>75</v>
      </c>
      <c r="H5564" s="9" t="s">
        <v>22</v>
      </c>
      <c r="I5564" s="9" t="s">
        <v>12852</v>
      </c>
      <c r="J5564" s="10" t="str">
        <f>HYPERLINK("https://www.boe.es/gazeta/dias/1834/08/30/pdfs/GMD-1834-196.pdf#page=4","Abrir facsímil")</f>
        <v>Abrir facsímil</v>
      </c>
      <c r="K5564" s="10" t="s">
        <v>24</v>
      </c>
    </row>
    <row r="5565" spans="1:11" ht="54" customHeight="1">
      <c r="A5565" s="9" t="s">
        <v>12853</v>
      </c>
      <c r="B5565" s="9" t="s">
        <v>12853</v>
      </c>
      <c r="C5565" s="9" t="s">
        <v>90</v>
      </c>
      <c r="D5565" s="9" t="s">
        <v>18</v>
      </c>
      <c r="E5565" s="10" t="s">
        <v>183</v>
      </c>
      <c r="F5565" s="9" t="s">
        <v>184</v>
      </c>
      <c r="G5565" s="10" t="s">
        <v>21</v>
      </c>
      <c r="H5565" s="9" t="s">
        <v>22</v>
      </c>
      <c r="I5565" s="9" t="s">
        <v>12854</v>
      </c>
      <c r="J5565" s="10" t="str">
        <f>HYPERLINK("https://www.boe.es/gazeta/dias/1834/03/18/pdfs/GMD-1834-34.pdf#page=3","Abrir facsímil")</f>
        <v>Abrir facsímil</v>
      </c>
      <c r="K5565" s="10" t="s">
        <v>24</v>
      </c>
    </row>
    <row r="5566" spans="1:11" ht="54" customHeight="1">
      <c r="A5566" s="9" t="s">
        <v>12855</v>
      </c>
      <c r="B5566" s="9" t="s">
        <v>12855</v>
      </c>
      <c r="C5566" s="9" t="s">
        <v>17</v>
      </c>
      <c r="D5566" s="9" t="s">
        <v>18</v>
      </c>
      <c r="E5566" s="10" t="s">
        <v>174</v>
      </c>
      <c r="F5566" s="9" t="s">
        <v>175</v>
      </c>
      <c r="G5566" s="10" t="s">
        <v>21</v>
      </c>
      <c r="H5566" s="9" t="s">
        <v>22</v>
      </c>
      <c r="I5566" s="9" t="s">
        <v>12856</v>
      </c>
      <c r="J5566" s="10" t="str">
        <f>HYPERLINK("https://www.boe.es/gazeta/dias/1834/03/27/pdfs/GMD-1834-38.pdf#page=3","Abrir facsímil")</f>
        <v>Abrir facsímil</v>
      </c>
      <c r="K5566" s="10" t="s">
        <v>24</v>
      </c>
    </row>
    <row r="5567" spans="1:11" ht="54" customHeight="1">
      <c r="A5567" s="9" t="s">
        <v>12857</v>
      </c>
      <c r="B5567" s="9" t="s">
        <v>12858</v>
      </c>
      <c r="C5567" s="9" t="s">
        <v>17</v>
      </c>
      <c r="D5567" s="9" t="s">
        <v>40</v>
      </c>
      <c r="E5567" s="10" t="s">
        <v>838</v>
      </c>
      <c r="F5567" s="9" t="s">
        <v>839</v>
      </c>
      <c r="G5567" s="10" t="s">
        <v>75</v>
      </c>
      <c r="H5567" s="9" t="s">
        <v>22</v>
      </c>
      <c r="I5567" s="9" t="s">
        <v>12859</v>
      </c>
      <c r="J5567" s="10" t="str">
        <f>HYPERLINK("https://www.boe.es/gazeta/dias/1834/07/18/pdfs/GMD-1834-151.pdf#page=4","Abrir facsímil")</f>
        <v>Abrir facsímil</v>
      </c>
      <c r="K5567" s="10" t="s">
        <v>24</v>
      </c>
    </row>
    <row r="5568" spans="1:11" ht="54" customHeight="1">
      <c r="A5568" s="9" t="s">
        <v>12860</v>
      </c>
      <c r="B5568" s="9" t="s">
        <v>12860</v>
      </c>
      <c r="C5568" s="9" t="s">
        <v>66</v>
      </c>
      <c r="D5568" s="9" t="s">
        <v>67</v>
      </c>
      <c r="E5568" s="10" t="s">
        <v>1510</v>
      </c>
      <c r="F5568" s="9" t="s">
        <v>1511</v>
      </c>
      <c r="G5568" s="10" t="s">
        <v>34</v>
      </c>
      <c r="H5568" s="9" t="s">
        <v>22</v>
      </c>
      <c r="I5568" s="9" t="s">
        <v>12861</v>
      </c>
      <c r="J5568" s="10" t="str">
        <f>HYPERLINK("https://www.boe.es/gazeta/dias/1834/06/13/pdfs/GMD-1834-116.pdf#page=1","Abrir facsímil")</f>
        <v>Abrir facsímil</v>
      </c>
      <c r="K5568" s="10" t="s">
        <v>24</v>
      </c>
    </row>
    <row r="5569" spans="1:11" ht="54" customHeight="1">
      <c r="A5569" s="9" t="s">
        <v>12860</v>
      </c>
      <c r="B5569" s="9" t="s">
        <v>12860</v>
      </c>
      <c r="C5569" s="9" t="s">
        <v>17</v>
      </c>
      <c r="D5569" s="9" t="s">
        <v>18</v>
      </c>
      <c r="E5569" s="10" t="s">
        <v>1686</v>
      </c>
      <c r="F5569" s="9" t="s">
        <v>1687</v>
      </c>
      <c r="G5569" s="10" t="s">
        <v>86</v>
      </c>
      <c r="H5569" s="9" t="s">
        <v>22</v>
      </c>
      <c r="I5569" s="9" t="s">
        <v>12862</v>
      </c>
      <c r="J5569" s="10" t="str">
        <f>HYPERLINK("https://www.boe.es/gazeta/dias/1834/07/27/pdfs/GMD-1834-160.pdf#page=2","Abrir facsímil")</f>
        <v>Abrir facsímil</v>
      </c>
      <c r="K5569" s="10" t="s">
        <v>24</v>
      </c>
    </row>
    <row r="5570" spans="1:11" ht="54" customHeight="1">
      <c r="A5570" s="9" t="s">
        <v>12860</v>
      </c>
      <c r="B5570" s="9" t="s">
        <v>12860</v>
      </c>
      <c r="C5570" s="9" t="s">
        <v>66</v>
      </c>
      <c r="D5570" s="9" t="s">
        <v>67</v>
      </c>
      <c r="E5570" s="10" t="s">
        <v>590</v>
      </c>
      <c r="F5570" s="9" t="s">
        <v>591</v>
      </c>
      <c r="G5570" s="10" t="s">
        <v>34</v>
      </c>
      <c r="H5570" s="9" t="s">
        <v>22</v>
      </c>
      <c r="I5570" s="9" t="s">
        <v>12863</v>
      </c>
      <c r="J5570" s="10" t="str">
        <f>HYPERLINK("https://www.boe.es/gazeta/dias/1834/11/30/pdfs/GMD-1834-289.pdf#page=1","Abrir facsímil")</f>
        <v>Abrir facsímil</v>
      </c>
      <c r="K5570" s="10" t="s">
        <v>24</v>
      </c>
    </row>
    <row r="5571" spans="1:11" ht="54" customHeight="1">
      <c r="A5571" s="9" t="s">
        <v>12864</v>
      </c>
      <c r="B5571" s="9" t="s">
        <v>12864</v>
      </c>
      <c r="C5571" s="9" t="s">
        <v>17</v>
      </c>
      <c r="D5571" s="9" t="s">
        <v>18</v>
      </c>
      <c r="E5571" s="10" t="s">
        <v>3810</v>
      </c>
      <c r="F5571" s="9" t="s">
        <v>3811</v>
      </c>
      <c r="G5571" s="10" t="s">
        <v>86</v>
      </c>
      <c r="H5571" s="9" t="s">
        <v>22</v>
      </c>
      <c r="I5571" s="9" t="s">
        <v>12865</v>
      </c>
      <c r="J5571" s="10" t="str">
        <f>HYPERLINK("https://www.boe.es/gazeta/dias/1834/02/20/pdfs/GMD-1834-23.pdf#page=2","Abrir facsímil")</f>
        <v>Abrir facsímil</v>
      </c>
      <c r="K5571" s="10" t="s">
        <v>24</v>
      </c>
    </row>
    <row r="5572" spans="1:11" ht="54" customHeight="1">
      <c r="A5572" s="9" t="s">
        <v>12866</v>
      </c>
      <c r="B5572" s="9" t="s">
        <v>12867</v>
      </c>
      <c r="C5572" s="9" t="s">
        <v>66</v>
      </c>
      <c r="D5572" s="9" t="s">
        <v>67</v>
      </c>
      <c r="E5572" s="10" t="s">
        <v>438</v>
      </c>
      <c r="F5572" s="9" t="s">
        <v>439</v>
      </c>
      <c r="G5572" s="10" t="s">
        <v>75</v>
      </c>
      <c r="H5572" s="9" t="s">
        <v>35</v>
      </c>
      <c r="I5572" s="9" t="s">
        <v>12868</v>
      </c>
      <c r="J5572" s="10" t="str">
        <f>HYPERLINK("https://www.boe.es/gazeta/dias/1834/11/09/pdfs/GMD-1834-268.pdf#page=4","Abrir facsímil")</f>
        <v>Abrir facsímil</v>
      </c>
      <c r="K5572" s="10" t="s">
        <v>37</v>
      </c>
    </row>
    <row r="5573" spans="1:11" ht="54" customHeight="1">
      <c r="A5573" s="9" t="s">
        <v>12869</v>
      </c>
      <c r="B5573" s="9" t="s">
        <v>12870</v>
      </c>
      <c r="C5573" s="9" t="s">
        <v>66</v>
      </c>
      <c r="D5573" s="9" t="s">
        <v>67</v>
      </c>
      <c r="E5573" s="10" t="s">
        <v>438</v>
      </c>
      <c r="F5573" s="9" t="s">
        <v>439</v>
      </c>
      <c r="G5573" s="10" t="s">
        <v>75</v>
      </c>
      <c r="H5573" s="9" t="s">
        <v>22</v>
      </c>
      <c r="I5573" s="9" t="s">
        <v>12871</v>
      </c>
      <c r="J5573" s="10" t="str">
        <f>HYPERLINK("https://www.boe.es/gazeta/dias/1834/11/09/pdfs/GMD-1834-268.pdf#page=4","Abrir facsímil")</f>
        <v>Abrir facsímil</v>
      </c>
      <c r="K5573" s="10" t="s">
        <v>24</v>
      </c>
    </row>
    <row r="5574" spans="1:11" ht="54" customHeight="1">
      <c r="A5574" s="9" t="s">
        <v>12872</v>
      </c>
      <c r="B5574" s="9" t="s">
        <v>12873</v>
      </c>
      <c r="C5574" s="9" t="s">
        <v>17</v>
      </c>
      <c r="D5574" s="9" t="s">
        <v>18</v>
      </c>
      <c r="E5574" s="10" t="s">
        <v>19</v>
      </c>
      <c r="F5574" s="9" t="s">
        <v>20</v>
      </c>
      <c r="G5574" s="10" t="s">
        <v>34</v>
      </c>
      <c r="H5574" s="9" t="s">
        <v>22</v>
      </c>
      <c r="I5574" s="9" t="s">
        <v>12874</v>
      </c>
      <c r="J5574" s="10" t="str">
        <f>HYPERLINK("https://www.boe.es/gazeta/dias/1834/08/17/pdfs/GMD-D-1834-182.pdf#page=1","Abrir facsímil")</f>
        <v>Abrir facsímil</v>
      </c>
      <c r="K5574" s="10" t="s">
        <v>24</v>
      </c>
    </row>
    <row r="5575" spans="1:11" ht="54" customHeight="1">
      <c r="A5575" s="9" t="s">
        <v>12875</v>
      </c>
      <c r="B5575" s="9" t="s">
        <v>12875</v>
      </c>
      <c r="C5575" s="9" t="s">
        <v>46</v>
      </c>
      <c r="D5575" s="9" t="s">
        <v>101</v>
      </c>
      <c r="E5575" s="10" t="s">
        <v>1337</v>
      </c>
      <c r="F5575" s="9" t="s">
        <v>1338</v>
      </c>
      <c r="G5575" s="10" t="s">
        <v>34</v>
      </c>
      <c r="H5575" s="9" t="s">
        <v>22</v>
      </c>
      <c r="I5575" s="9" t="s">
        <v>12876</v>
      </c>
      <c r="J5575" s="10" t="str">
        <f>HYPERLINK("https://www.boe.es/gazeta/dias/1834/01/02/pdfs/GMD-1834-1.pdf#page=1","Abrir facsímil")</f>
        <v>Abrir facsímil</v>
      </c>
      <c r="K5575" s="10" t="s">
        <v>24</v>
      </c>
    </row>
    <row r="5576" spans="1:11" ht="54" customHeight="1">
      <c r="A5576" s="9" t="s">
        <v>12877</v>
      </c>
      <c r="B5576" s="9" t="s">
        <v>12877</v>
      </c>
      <c r="C5576" s="9" t="s">
        <v>46</v>
      </c>
      <c r="D5576" s="9" t="s">
        <v>18</v>
      </c>
      <c r="E5576" s="10" t="s">
        <v>3328</v>
      </c>
      <c r="F5576" s="9" t="s">
        <v>3329</v>
      </c>
      <c r="G5576" s="10" t="s">
        <v>34</v>
      </c>
      <c r="H5576" s="9" t="s">
        <v>22</v>
      </c>
      <c r="I5576" s="9" t="s">
        <v>12878</v>
      </c>
      <c r="J5576" s="10" t="str">
        <f>HYPERLINK("https://www.boe.es/gazeta/dias/1834/06/04/pdfs/GMD-1834-106.pdf#page=1","Abrir facsímil")</f>
        <v>Abrir facsímil</v>
      </c>
      <c r="K5576" s="10" t="s">
        <v>24</v>
      </c>
    </row>
    <row r="5577" spans="1:11" ht="54" customHeight="1">
      <c r="A5577" s="9" t="s">
        <v>12879</v>
      </c>
      <c r="B5577" s="9" t="s">
        <v>12879</v>
      </c>
      <c r="C5577" s="9" t="s">
        <v>17</v>
      </c>
      <c r="D5577" s="9" t="s">
        <v>18</v>
      </c>
      <c r="E5577" s="10" t="s">
        <v>1973</v>
      </c>
      <c r="F5577" s="9" t="s">
        <v>1974</v>
      </c>
      <c r="G5577" s="10" t="s">
        <v>34</v>
      </c>
      <c r="H5577" s="9" t="s">
        <v>22</v>
      </c>
      <c r="I5577" s="9" t="s">
        <v>12880</v>
      </c>
      <c r="J5577" s="10" t="str">
        <f>HYPERLINK("https://www.boe.es/gazeta/dias/1834/12/20/pdfs/GMD-C-1834-310.pdf#page=1","Abrir facsímil")</f>
        <v>Abrir facsímil</v>
      </c>
      <c r="K5577" s="10" t="s">
        <v>24</v>
      </c>
    </row>
    <row r="5578" spans="1:11" ht="54" customHeight="1">
      <c r="A5578" s="9" t="s">
        <v>12881</v>
      </c>
      <c r="B5578" s="9" t="s">
        <v>12882</v>
      </c>
      <c r="C5578" s="9" t="s">
        <v>66</v>
      </c>
      <c r="D5578" s="9" t="s">
        <v>18</v>
      </c>
      <c r="E5578" s="10" t="s">
        <v>339</v>
      </c>
      <c r="F5578" s="9" t="s">
        <v>340</v>
      </c>
      <c r="G5578" s="10" t="s">
        <v>21</v>
      </c>
      <c r="H5578" s="9" t="s">
        <v>22</v>
      </c>
      <c r="I5578" s="9" t="s">
        <v>12883</v>
      </c>
      <c r="J5578" s="10" t="str">
        <f>HYPERLINK("https://www.boe.es/gazeta/dias/1834/05/02/pdfs/GMD-1834-71.pdf#page=3","Abrir facsímil")</f>
        <v>Abrir facsímil</v>
      </c>
      <c r="K5578" s="10" t="s">
        <v>24</v>
      </c>
    </row>
    <row r="5579" spans="1:11" ht="54" customHeight="1">
      <c r="A5579" s="9" t="s">
        <v>12884</v>
      </c>
      <c r="B5579" s="9" t="s">
        <v>12884</v>
      </c>
      <c r="C5579" s="9" t="s">
        <v>17</v>
      </c>
      <c r="D5579" s="9" t="s">
        <v>18</v>
      </c>
      <c r="E5579" s="10" t="s">
        <v>5574</v>
      </c>
      <c r="F5579" s="9" t="s">
        <v>5575</v>
      </c>
      <c r="G5579" s="10" t="s">
        <v>86</v>
      </c>
      <c r="H5579" s="9" t="s">
        <v>22</v>
      </c>
      <c r="I5579" s="9" t="s">
        <v>12885</v>
      </c>
      <c r="J5579" s="10" t="str">
        <f>HYPERLINK("https://www.boe.es/gazeta/dias/1834/06/16/pdfs/GMD-1834-119.pdf#page=2","Abrir facsímil")</f>
        <v>Abrir facsímil</v>
      </c>
      <c r="K5579" s="10" t="s">
        <v>24</v>
      </c>
    </row>
    <row r="5580" spans="1:11" ht="54" customHeight="1">
      <c r="A5580" s="9" t="s">
        <v>12886</v>
      </c>
      <c r="B5580" s="9" t="s">
        <v>12887</v>
      </c>
      <c r="C5580" s="9" t="s">
        <v>46</v>
      </c>
      <c r="D5580" s="9" t="s">
        <v>101</v>
      </c>
      <c r="E5580" s="10" t="s">
        <v>653</v>
      </c>
      <c r="F5580" s="9" t="s">
        <v>3369</v>
      </c>
      <c r="G5580" s="10" t="s">
        <v>21</v>
      </c>
      <c r="H5580" s="9" t="s">
        <v>22</v>
      </c>
      <c r="I5580" s="9" t="s">
        <v>12888</v>
      </c>
      <c r="J5580" s="10" t="str">
        <f>HYPERLINK("https://www.boe.es/gazeta/dias/1834/08/06/pdfs/GMD-1834-170.pdf#page=3","Abrir facsímil")</f>
        <v>Abrir facsímil</v>
      </c>
      <c r="K5580" s="10" t="s">
        <v>24</v>
      </c>
    </row>
    <row r="5581" spans="1:11" ht="54" customHeight="1">
      <c r="A5581" s="9" t="s">
        <v>12889</v>
      </c>
      <c r="B5581" s="9" t="s">
        <v>12890</v>
      </c>
      <c r="C5581" s="9" t="s">
        <v>46</v>
      </c>
      <c r="D5581" s="9" t="s">
        <v>40</v>
      </c>
      <c r="E5581" s="10" t="s">
        <v>3248</v>
      </c>
      <c r="F5581" s="9" t="s">
        <v>3249</v>
      </c>
      <c r="G5581" s="10" t="s">
        <v>21</v>
      </c>
      <c r="H5581" s="9" t="s">
        <v>22</v>
      </c>
      <c r="I5581" s="9" t="s">
        <v>12891</v>
      </c>
      <c r="J5581" s="10" t="str">
        <f>HYPERLINK("https://www.boe.es/gazeta/dias/1834/09/20/pdfs/GMD-1834-218.pdf#page=3","Abrir facsímil")</f>
        <v>Abrir facsímil</v>
      </c>
      <c r="K5581" s="10" t="s">
        <v>24</v>
      </c>
    </row>
    <row r="5582" spans="1:11" ht="54" customHeight="1">
      <c r="A5582" s="9" t="s">
        <v>12892</v>
      </c>
      <c r="B5582" s="9" t="s">
        <v>12893</v>
      </c>
      <c r="C5582" s="9" t="s">
        <v>17</v>
      </c>
      <c r="D5582" s="9" t="s">
        <v>18</v>
      </c>
      <c r="E5582" s="10" t="s">
        <v>3248</v>
      </c>
      <c r="F5582" s="9" t="s">
        <v>3249</v>
      </c>
      <c r="G5582" s="10" t="s">
        <v>21</v>
      </c>
      <c r="H5582" s="9" t="s">
        <v>22</v>
      </c>
      <c r="I5582" s="9" t="s">
        <v>12894</v>
      </c>
      <c r="J5582" s="10" t="str">
        <f>HYPERLINK("https://www.boe.es/gazeta/dias/1834/09/20/pdfs/GMD-1834-218.pdf#page=3","Abrir facsímil")</f>
        <v>Abrir facsímil</v>
      </c>
      <c r="K5582" s="10" t="s">
        <v>24</v>
      </c>
    </row>
    <row r="5583" spans="1:11" ht="54" customHeight="1">
      <c r="A5583" s="9" t="s">
        <v>12895</v>
      </c>
      <c r="B5583" s="9" t="s">
        <v>12896</v>
      </c>
      <c r="C5583" s="9" t="s">
        <v>66</v>
      </c>
      <c r="D5583" s="9" t="s">
        <v>67</v>
      </c>
      <c r="E5583" s="10" t="s">
        <v>448</v>
      </c>
      <c r="F5583" s="9" t="s">
        <v>2058</v>
      </c>
      <c r="G5583" s="10" t="s">
        <v>21</v>
      </c>
      <c r="H5583" s="9" t="s">
        <v>22</v>
      </c>
      <c r="I5583" s="9" t="s">
        <v>12897</v>
      </c>
      <c r="J5583" s="10" t="str">
        <f>HYPERLINK("https://www.boe.es/gazeta/dias/1834/10/14/pdfs/GMD-1834-242.pdf#page=3","Abrir facsímil")</f>
        <v>Abrir facsímil</v>
      </c>
      <c r="K5583" s="10" t="s">
        <v>24</v>
      </c>
    </row>
    <row r="5584" spans="1:11" ht="54" customHeight="1">
      <c r="A5584" s="9" t="s">
        <v>12898</v>
      </c>
      <c r="B5584" s="9" t="s">
        <v>12899</v>
      </c>
      <c r="C5584" s="9" t="s">
        <v>66</v>
      </c>
      <c r="D5584" s="9" t="s">
        <v>67</v>
      </c>
      <c r="E5584" s="10" t="s">
        <v>448</v>
      </c>
      <c r="F5584" s="9" t="s">
        <v>2058</v>
      </c>
      <c r="G5584" s="10" t="s">
        <v>21</v>
      </c>
      <c r="H5584" s="9" t="s">
        <v>35</v>
      </c>
      <c r="I5584" s="9" t="s">
        <v>12900</v>
      </c>
      <c r="J5584" s="10" t="str">
        <f>HYPERLINK("https://www.boe.es/gazeta/dias/1834/10/14/pdfs/GMD-1834-242.pdf#page=3","Abrir facsímil")</f>
        <v>Abrir facsímil</v>
      </c>
      <c r="K5584" s="10" t="s">
        <v>37</v>
      </c>
    </row>
    <row r="5585" spans="1:11" ht="54" customHeight="1">
      <c r="A5585" s="9" t="s">
        <v>12901</v>
      </c>
      <c r="B5585" s="9" t="s">
        <v>12902</v>
      </c>
      <c r="C5585" s="9" t="s">
        <v>122</v>
      </c>
      <c r="D5585" s="9" t="s">
        <v>18</v>
      </c>
      <c r="E5585" s="10" t="s">
        <v>448</v>
      </c>
      <c r="F5585" s="9" t="s">
        <v>2058</v>
      </c>
      <c r="G5585" s="10" t="s">
        <v>75</v>
      </c>
      <c r="H5585" s="9" t="s">
        <v>22</v>
      </c>
      <c r="I5585" s="9" t="s">
        <v>12903</v>
      </c>
      <c r="J5585" s="10" t="str">
        <f>HYPERLINK("https://www.boe.es/gazeta/dias/1834/10/14/pdfs/GMD-1834-242.pdf#page=4","Abrir facsímil")</f>
        <v>Abrir facsímil</v>
      </c>
      <c r="K5585" s="10" t="s">
        <v>24</v>
      </c>
    </row>
    <row r="5586" spans="1:11" ht="54" customHeight="1">
      <c r="A5586" s="9" t="s">
        <v>12904</v>
      </c>
      <c r="B5586" s="9" t="s">
        <v>12905</v>
      </c>
      <c r="C5586" s="9" t="s">
        <v>66</v>
      </c>
      <c r="D5586" s="9" t="s">
        <v>67</v>
      </c>
      <c r="E5586" s="10" t="s">
        <v>448</v>
      </c>
      <c r="F5586" s="9" t="s">
        <v>2058</v>
      </c>
      <c r="G5586" s="10" t="s">
        <v>75</v>
      </c>
      <c r="H5586" s="9" t="s">
        <v>35</v>
      </c>
      <c r="I5586" s="9" t="s">
        <v>12906</v>
      </c>
      <c r="J5586" s="10" t="str">
        <f>HYPERLINK("https://www.boe.es/gazeta/dias/1834/10/14/pdfs/GMD-1834-242.pdf#page=4","Abrir facsímil")</f>
        <v>Abrir facsímil</v>
      </c>
      <c r="K5586" s="10" t="s">
        <v>37</v>
      </c>
    </row>
    <row r="5587" spans="1:11" ht="54" customHeight="1">
      <c r="A5587" s="9" t="s">
        <v>12907</v>
      </c>
      <c r="B5587" s="9" t="s">
        <v>12908</v>
      </c>
      <c r="C5587" s="9" t="s">
        <v>17</v>
      </c>
      <c r="D5587" s="9" t="s">
        <v>18</v>
      </c>
      <c r="E5587" s="10" t="s">
        <v>61</v>
      </c>
      <c r="F5587" s="9" t="s">
        <v>205</v>
      </c>
      <c r="G5587" s="10" t="s">
        <v>75</v>
      </c>
      <c r="H5587" s="9" t="s">
        <v>22</v>
      </c>
      <c r="I5587" s="9" t="s">
        <v>12909</v>
      </c>
      <c r="J5587" s="10" t="str">
        <f>HYPERLINK("https://www.boe.es/gazeta/dias/1834/06/08/pdfs/GMD-1834-110.pdf#page=4","Abrir facsímil")</f>
        <v>Abrir facsímil</v>
      </c>
      <c r="K5587" s="10" t="s">
        <v>24</v>
      </c>
    </row>
    <row r="5588" spans="1:11" ht="54" customHeight="1">
      <c r="A5588" s="9" t="s">
        <v>12907</v>
      </c>
      <c r="B5588" s="9" t="s">
        <v>12908</v>
      </c>
      <c r="C5588" s="9" t="s">
        <v>17</v>
      </c>
      <c r="D5588" s="9" t="s">
        <v>18</v>
      </c>
      <c r="E5588" s="10" t="s">
        <v>451</v>
      </c>
      <c r="F5588" s="9" t="s">
        <v>3350</v>
      </c>
      <c r="G5588" s="10" t="s">
        <v>75</v>
      </c>
      <c r="H5588" s="9" t="s">
        <v>22</v>
      </c>
      <c r="I5588" s="9" t="s">
        <v>12910</v>
      </c>
      <c r="J5588" s="10" t="str">
        <f>HYPERLINK("https://www.boe.es/gazeta/dias/1834/10/15/pdfs/GMD-1834-243.pdf#page=4","Abrir facsímil")</f>
        <v>Abrir facsímil</v>
      </c>
      <c r="K5588" s="10" t="s">
        <v>24</v>
      </c>
    </row>
    <row r="5589" spans="1:11" ht="54" customHeight="1">
      <c r="A5589" s="9" t="s">
        <v>12911</v>
      </c>
      <c r="B5589" s="9" t="s">
        <v>12912</v>
      </c>
      <c r="C5589" s="9" t="s">
        <v>17</v>
      </c>
      <c r="D5589" s="9" t="s">
        <v>18</v>
      </c>
      <c r="E5589" s="10" t="s">
        <v>451</v>
      </c>
      <c r="F5589" s="9" t="s">
        <v>3350</v>
      </c>
      <c r="G5589" s="10" t="s">
        <v>75</v>
      </c>
      <c r="H5589" s="9" t="s">
        <v>35</v>
      </c>
      <c r="I5589" s="9" t="s">
        <v>12913</v>
      </c>
      <c r="J5589" s="10" t="str">
        <f>HYPERLINK("https://www.boe.es/gazeta/dias/1834/10/15/pdfs/GMD-1834-243.pdf#page=4","Abrir facsímil")</f>
        <v>Abrir facsímil</v>
      </c>
      <c r="K5589" s="10" t="s">
        <v>37</v>
      </c>
    </row>
    <row r="5590" spans="1:11" ht="54" customHeight="1">
      <c r="A5590" s="9" t="s">
        <v>12914</v>
      </c>
      <c r="B5590" s="9" t="s">
        <v>12915</v>
      </c>
      <c r="C5590" s="9" t="s">
        <v>17</v>
      </c>
      <c r="D5590" s="9" t="s">
        <v>40</v>
      </c>
      <c r="E5590" s="10" t="s">
        <v>389</v>
      </c>
      <c r="F5590" s="9" t="s">
        <v>390</v>
      </c>
      <c r="G5590" s="10" t="s">
        <v>75</v>
      </c>
      <c r="H5590" s="9" t="s">
        <v>22</v>
      </c>
      <c r="I5590" s="9" t="s">
        <v>12916</v>
      </c>
      <c r="J5590" s="10" t="str">
        <f>HYPERLINK("https://www.boe.es/gazeta/dias/1834/10/25/pdfs/GMD-1834-253.pdf#page=4","Abrir facsímil")</f>
        <v>Abrir facsímil</v>
      </c>
      <c r="K5590" s="10" t="s">
        <v>24</v>
      </c>
    </row>
    <row r="5591" spans="1:11" ht="54" customHeight="1">
      <c r="A5591" s="9" t="s">
        <v>12917</v>
      </c>
      <c r="B5591" s="9" t="s">
        <v>12918</v>
      </c>
      <c r="C5591" s="9" t="s">
        <v>17</v>
      </c>
      <c r="D5591" s="9" t="s">
        <v>40</v>
      </c>
      <c r="E5591" s="10" t="s">
        <v>389</v>
      </c>
      <c r="F5591" s="9" t="s">
        <v>390</v>
      </c>
      <c r="G5591" s="10" t="s">
        <v>75</v>
      </c>
      <c r="H5591" s="9" t="s">
        <v>35</v>
      </c>
      <c r="I5591" s="9" t="s">
        <v>12919</v>
      </c>
      <c r="J5591" s="10" t="str">
        <f>HYPERLINK("https://www.boe.es/gazeta/dias/1834/10/25/pdfs/GMD-1834-253.pdf#page=4","Abrir facsímil")</f>
        <v>Abrir facsímil</v>
      </c>
      <c r="K5591" s="10" t="s">
        <v>37</v>
      </c>
    </row>
    <row r="5592" spans="1:11" ht="54" customHeight="1">
      <c r="A5592" s="9" t="s">
        <v>12920</v>
      </c>
      <c r="B5592" s="9" t="s">
        <v>12921</v>
      </c>
      <c r="C5592" s="9" t="s">
        <v>17</v>
      </c>
      <c r="D5592" s="9" t="s">
        <v>55</v>
      </c>
      <c r="E5592" s="10" t="s">
        <v>8346</v>
      </c>
      <c r="F5592" s="9" t="s">
        <v>8347</v>
      </c>
      <c r="G5592" s="10" t="s">
        <v>21</v>
      </c>
      <c r="H5592" s="9" t="s">
        <v>22</v>
      </c>
      <c r="I5592" s="9" t="s">
        <v>12922</v>
      </c>
      <c r="J5592" s="10" t="str">
        <f>HYPERLINK("https://www.boe.es/gazeta/dias/1834/12/04/pdfs/GMD-1834-293.pdf#page=3","Abrir facsímil")</f>
        <v>Abrir facsímil</v>
      </c>
      <c r="K5592" s="10" t="s">
        <v>24</v>
      </c>
    </row>
    <row r="5593" spans="1:11" ht="54" customHeight="1">
      <c r="A5593" s="9" t="s">
        <v>12923</v>
      </c>
      <c r="B5593" s="9" t="s">
        <v>12924</v>
      </c>
      <c r="C5593" s="9" t="s">
        <v>17</v>
      </c>
      <c r="D5593" s="9" t="s">
        <v>18</v>
      </c>
      <c r="E5593" s="10" t="s">
        <v>506</v>
      </c>
      <c r="F5593" s="9" t="s">
        <v>507</v>
      </c>
      <c r="G5593" s="10" t="s">
        <v>28</v>
      </c>
      <c r="H5593" s="9" t="s">
        <v>22</v>
      </c>
      <c r="I5593" s="9" t="s">
        <v>12925</v>
      </c>
      <c r="J5593" s="10" t="str">
        <f>HYPERLINK("https://www.boe.es/gazeta/dias/1834/03/04/pdfs/GMD-1834-28.pdf#page=5","Abrir facsímil")</f>
        <v>Abrir facsímil</v>
      </c>
      <c r="K5593" s="10" t="s">
        <v>24</v>
      </c>
    </row>
    <row r="5594" spans="1:11" ht="54" customHeight="1">
      <c r="A5594" s="9" t="s">
        <v>12926</v>
      </c>
      <c r="B5594" s="9" t="s">
        <v>12927</v>
      </c>
      <c r="C5594" s="9" t="s">
        <v>17</v>
      </c>
      <c r="D5594" s="9" t="s">
        <v>18</v>
      </c>
      <c r="E5594" s="10" t="s">
        <v>838</v>
      </c>
      <c r="F5594" s="9" t="s">
        <v>839</v>
      </c>
      <c r="G5594" s="10" t="s">
        <v>21</v>
      </c>
      <c r="H5594" s="9" t="s">
        <v>22</v>
      </c>
      <c r="I5594" s="9" t="s">
        <v>12928</v>
      </c>
      <c r="J5594" s="10" t="str">
        <f>HYPERLINK("https://www.boe.es/gazeta/dias/1834/07/18/pdfs/GMD-1834-151.pdf#page=3","Abrir facsímil")</f>
        <v>Abrir facsímil</v>
      </c>
      <c r="K5594" s="10" t="s">
        <v>24</v>
      </c>
    </row>
    <row r="5595" spans="1:11" ht="54" customHeight="1">
      <c r="A5595" s="9" t="s">
        <v>12929</v>
      </c>
      <c r="B5595" s="9" t="s">
        <v>12930</v>
      </c>
      <c r="C5595" s="9" t="s">
        <v>122</v>
      </c>
      <c r="D5595" s="9" t="s">
        <v>40</v>
      </c>
      <c r="E5595" s="10" t="s">
        <v>5904</v>
      </c>
      <c r="F5595" s="9" t="s">
        <v>5905</v>
      </c>
      <c r="G5595" s="10" t="s">
        <v>21</v>
      </c>
      <c r="H5595" s="9" t="s">
        <v>35</v>
      </c>
      <c r="I5595" s="9" t="s">
        <v>12931</v>
      </c>
      <c r="J5595" s="10" t="str">
        <f>HYPERLINK("https://www.boe.es/gazeta/dias/1834/09/29/pdfs/GMD-1834-227.pdf#page=3","Abrir facsímil")</f>
        <v>Abrir facsímil</v>
      </c>
      <c r="K5595" s="10" t="s">
        <v>37</v>
      </c>
    </row>
    <row r="5596" spans="1:11" ht="54" customHeight="1">
      <c r="A5596" s="9" t="s">
        <v>12932</v>
      </c>
      <c r="B5596" s="9" t="s">
        <v>12933</v>
      </c>
      <c r="C5596" s="9" t="s">
        <v>122</v>
      </c>
      <c r="D5596" s="9" t="s">
        <v>40</v>
      </c>
      <c r="E5596" s="10" t="s">
        <v>5904</v>
      </c>
      <c r="F5596" s="9" t="s">
        <v>5905</v>
      </c>
      <c r="G5596" s="10" t="s">
        <v>21</v>
      </c>
      <c r="H5596" s="9" t="s">
        <v>22</v>
      </c>
      <c r="I5596" s="9" t="s">
        <v>12934</v>
      </c>
      <c r="J5596" s="10" t="str">
        <f>HYPERLINK("https://www.boe.es/gazeta/dias/1834/09/29/pdfs/GMD-1834-227.pdf#page=3","Abrir facsímil")</f>
        <v>Abrir facsímil</v>
      </c>
      <c r="K5596" s="10" t="s">
        <v>24</v>
      </c>
    </row>
    <row r="5597" spans="1:11" ht="54" customHeight="1">
      <c r="A5597" s="9" t="s">
        <v>12935</v>
      </c>
      <c r="B5597" s="9" t="s">
        <v>12936</v>
      </c>
      <c r="C5597" s="9" t="s">
        <v>17</v>
      </c>
      <c r="D5597" s="9" t="s">
        <v>18</v>
      </c>
      <c r="E5597" s="10" t="s">
        <v>541</v>
      </c>
      <c r="F5597" s="9" t="s">
        <v>542</v>
      </c>
      <c r="G5597" s="10" t="s">
        <v>75</v>
      </c>
      <c r="H5597" s="9" t="s">
        <v>35</v>
      </c>
      <c r="I5597" s="9" t="s">
        <v>12937</v>
      </c>
      <c r="J5597" s="10" t="str">
        <f>HYPERLINK("https://www.boe.es/gazeta/dias/1834/04/18/pdfs/GMD-1834-57.pdf#page=4","Abrir facsímil")</f>
        <v>Abrir facsímil</v>
      </c>
      <c r="K5597" s="10" t="s">
        <v>37</v>
      </c>
    </row>
    <row r="5598" spans="1:11" ht="54" customHeight="1">
      <c r="A5598" s="9" t="s">
        <v>12938</v>
      </c>
      <c r="B5598" s="9" t="s">
        <v>12939</v>
      </c>
      <c r="C5598" s="9" t="s">
        <v>17</v>
      </c>
      <c r="D5598" s="9" t="s">
        <v>18</v>
      </c>
      <c r="E5598" s="10" t="s">
        <v>541</v>
      </c>
      <c r="F5598" s="9" t="s">
        <v>542</v>
      </c>
      <c r="G5598" s="10" t="s">
        <v>75</v>
      </c>
      <c r="H5598" s="9" t="s">
        <v>22</v>
      </c>
      <c r="I5598" s="9" t="s">
        <v>12940</v>
      </c>
      <c r="J5598" s="10" t="str">
        <f>HYPERLINK("https://www.boe.es/gazeta/dias/1834/04/18/pdfs/GMD-1834-57.pdf#page=4","Abrir facsímil")</f>
        <v>Abrir facsímil</v>
      </c>
      <c r="K5598" s="10" t="s">
        <v>24</v>
      </c>
    </row>
    <row r="5599" spans="1:11" ht="54" customHeight="1">
      <c r="A5599" s="9" t="s">
        <v>12941</v>
      </c>
      <c r="B5599" s="9" t="s">
        <v>12941</v>
      </c>
      <c r="C5599" s="9" t="s">
        <v>17</v>
      </c>
      <c r="D5599" s="9" t="s">
        <v>18</v>
      </c>
      <c r="E5599" s="10" t="s">
        <v>623</v>
      </c>
      <c r="F5599" s="9" t="s">
        <v>624</v>
      </c>
      <c r="G5599" s="10" t="s">
        <v>34</v>
      </c>
      <c r="H5599" s="9" t="s">
        <v>22</v>
      </c>
      <c r="I5599" s="9" t="s">
        <v>12942</v>
      </c>
      <c r="J5599" s="10" t="str">
        <f>HYPERLINK("https://www.boe.es/gazeta/dias/1834/10/12/pdfs/GMD-C-1834-240.pdf#page=1","Abrir facsímil")</f>
        <v>Abrir facsímil</v>
      </c>
      <c r="K5599" s="10" t="s">
        <v>24</v>
      </c>
    </row>
    <row r="5600" spans="1:11" ht="54" customHeight="1">
      <c r="A5600" s="9" t="s">
        <v>12941</v>
      </c>
      <c r="B5600" s="9" t="s">
        <v>12941</v>
      </c>
      <c r="C5600" s="9" t="s">
        <v>17</v>
      </c>
      <c r="D5600" s="9" t="s">
        <v>18</v>
      </c>
      <c r="E5600" s="10" t="s">
        <v>451</v>
      </c>
      <c r="F5600" s="9" t="s">
        <v>452</v>
      </c>
      <c r="G5600" s="10" t="s">
        <v>34</v>
      </c>
      <c r="H5600" s="9" t="s">
        <v>22</v>
      </c>
      <c r="I5600" s="9" t="s">
        <v>12943</v>
      </c>
      <c r="J5600" s="10" t="str">
        <f>HYPERLINK("https://www.boe.es/gazeta/dias/1834/10/15/pdfs/GMD-C-1834-243.pdf#page=1","Abrir facsímil")</f>
        <v>Abrir facsímil</v>
      </c>
      <c r="K5600" s="10" t="s">
        <v>24</v>
      </c>
    </row>
    <row r="5601" spans="1:11" ht="54" customHeight="1">
      <c r="A5601" s="9" t="s">
        <v>12941</v>
      </c>
      <c r="B5601" s="9" t="s">
        <v>12941</v>
      </c>
      <c r="C5601" s="9" t="s">
        <v>17</v>
      </c>
      <c r="D5601" s="9" t="s">
        <v>18</v>
      </c>
      <c r="E5601" s="10" t="s">
        <v>451</v>
      </c>
      <c r="F5601" s="9" t="s">
        <v>452</v>
      </c>
      <c r="G5601" s="10" t="s">
        <v>86</v>
      </c>
      <c r="H5601" s="9" t="s">
        <v>22</v>
      </c>
      <c r="I5601" s="9" t="s">
        <v>12944</v>
      </c>
      <c r="J5601" s="10" t="str">
        <f>HYPERLINK("https://www.boe.es/gazeta/dias/1834/10/15/pdfs/GMD-C-1834-243.pdf#page=2","Abrir facsímil")</f>
        <v>Abrir facsímil</v>
      </c>
      <c r="K5601" s="10" t="s">
        <v>24</v>
      </c>
    </row>
    <row r="5602" spans="1:11" ht="54" customHeight="1">
      <c r="A5602" s="9" t="s">
        <v>12945</v>
      </c>
      <c r="B5602" s="9" t="s">
        <v>12946</v>
      </c>
      <c r="C5602" s="9" t="s">
        <v>66</v>
      </c>
      <c r="D5602" s="9" t="s">
        <v>18</v>
      </c>
      <c r="E5602" s="10" t="s">
        <v>696</v>
      </c>
      <c r="F5602" s="9" t="s">
        <v>854</v>
      </c>
      <c r="G5602" s="10" t="s">
        <v>21</v>
      </c>
      <c r="H5602" s="9" t="s">
        <v>22</v>
      </c>
      <c r="I5602" s="9" t="s">
        <v>12947</v>
      </c>
      <c r="J5602" s="10" t="str">
        <f>HYPERLINK("https://www.boe.es/gazeta/dias/1834/12/06/pdfs/GMD-1834-295.pdf#page=3","Abrir facsímil")</f>
        <v>Abrir facsímil</v>
      </c>
      <c r="K5602" s="10" t="s">
        <v>24</v>
      </c>
    </row>
    <row r="5603" spans="1:11" ht="54" customHeight="1">
      <c r="A5603" s="9" t="s">
        <v>12948</v>
      </c>
      <c r="B5603" s="9" t="s">
        <v>12949</v>
      </c>
      <c r="C5603" s="9" t="s">
        <v>17</v>
      </c>
      <c r="D5603" s="9" t="s">
        <v>55</v>
      </c>
      <c r="E5603" s="10" t="s">
        <v>158</v>
      </c>
      <c r="F5603" s="9" t="s">
        <v>159</v>
      </c>
      <c r="G5603" s="10" t="s">
        <v>21</v>
      </c>
      <c r="H5603" s="9" t="s">
        <v>22</v>
      </c>
      <c r="I5603" s="9" t="s">
        <v>12950</v>
      </c>
      <c r="J5603" s="10" t="str">
        <f>HYPERLINK("https://www.boe.es/gazeta/dias/1834/10/01/pdfs/GMD-1834-229.pdf#page=3","Abrir facsímil")</f>
        <v>Abrir facsímil</v>
      </c>
      <c r="K5603" s="10" t="s">
        <v>24</v>
      </c>
    </row>
    <row r="5604" spans="1:11" ht="54" customHeight="1">
      <c r="A5604" s="9" t="s">
        <v>12951</v>
      </c>
      <c r="B5604" s="9" t="s">
        <v>12952</v>
      </c>
      <c r="C5604" s="9" t="s">
        <v>17</v>
      </c>
      <c r="D5604" s="9" t="s">
        <v>18</v>
      </c>
      <c r="E5604" s="10" t="s">
        <v>793</v>
      </c>
      <c r="F5604" s="9" t="s">
        <v>1895</v>
      </c>
      <c r="G5604" s="10" t="s">
        <v>34</v>
      </c>
      <c r="H5604" s="9" t="s">
        <v>22</v>
      </c>
      <c r="I5604" s="9" t="s">
        <v>12953</v>
      </c>
      <c r="J5604" s="10" t="str">
        <f>HYPERLINK("https://www.boe.es/gazeta/dias/1834/10/08/pdfs/GMD-C-1834-236.pdf#page=1","Abrir facsímil")</f>
        <v>Abrir facsímil</v>
      </c>
      <c r="K5604" s="10" t="s">
        <v>24</v>
      </c>
    </row>
    <row r="5605" spans="1:11" ht="54" customHeight="1">
      <c r="A5605" s="9" t="s">
        <v>12954</v>
      </c>
      <c r="B5605" s="9" t="s">
        <v>12955</v>
      </c>
      <c r="C5605" s="9" t="s">
        <v>17</v>
      </c>
      <c r="D5605" s="9" t="s">
        <v>55</v>
      </c>
      <c r="E5605" s="10" t="s">
        <v>939</v>
      </c>
      <c r="F5605" s="9" t="s">
        <v>940</v>
      </c>
      <c r="G5605" s="10" t="s">
        <v>34</v>
      </c>
      <c r="H5605" s="9" t="s">
        <v>22</v>
      </c>
      <c r="I5605" s="9" t="s">
        <v>12956</v>
      </c>
      <c r="J5605" s="10" t="str">
        <f>HYPERLINK("https://www.boe.es/gazeta/dias/1834/06/10/pdfs/GMD-1834-113.pdf#page=1","Abrir facsímil")</f>
        <v>Abrir facsímil</v>
      </c>
      <c r="K5605" s="10" t="s">
        <v>24</v>
      </c>
    </row>
    <row r="5606" spans="1:11" ht="54" customHeight="1">
      <c r="A5606" s="9" t="s">
        <v>12957</v>
      </c>
      <c r="B5606" s="9" t="s">
        <v>12957</v>
      </c>
      <c r="C5606" s="9" t="s">
        <v>17</v>
      </c>
      <c r="D5606" s="9" t="s">
        <v>18</v>
      </c>
      <c r="E5606" s="10" t="s">
        <v>1406</v>
      </c>
      <c r="F5606" s="9" t="s">
        <v>1407</v>
      </c>
      <c r="G5606" s="10" t="s">
        <v>34</v>
      </c>
      <c r="H5606" s="9" t="s">
        <v>22</v>
      </c>
      <c r="I5606" s="9" t="s">
        <v>12958</v>
      </c>
      <c r="J5606" s="10" t="str">
        <f>HYPERLINK("https://www.boe.es/gazeta/dias/1834/11/03/pdfs/GMD-1834-262.pdf#page=1","Abrir facsímil")</f>
        <v>Abrir facsímil</v>
      </c>
      <c r="K5606" s="10" t="s">
        <v>24</v>
      </c>
    </row>
    <row r="5607" spans="1:11" ht="54" customHeight="1">
      <c r="A5607" s="9" t="s">
        <v>12959</v>
      </c>
      <c r="B5607" s="9" t="s">
        <v>12959</v>
      </c>
      <c r="C5607" s="9" t="s">
        <v>46</v>
      </c>
      <c r="D5607" s="9" t="s">
        <v>101</v>
      </c>
      <c r="E5607" s="10" t="s">
        <v>7523</v>
      </c>
      <c r="F5607" s="9" t="s">
        <v>7524</v>
      </c>
      <c r="G5607" s="10" t="s">
        <v>86</v>
      </c>
      <c r="H5607" s="9" t="s">
        <v>22</v>
      </c>
      <c r="I5607" s="9" t="s">
        <v>12960</v>
      </c>
      <c r="J5607" s="10" t="str">
        <f>HYPERLINK("https://www.boe.es/gazeta/dias/1834/12/26/pdfs/GMD-1834-316.pdf#page=2","Abrir facsímil")</f>
        <v>Abrir facsímil</v>
      </c>
      <c r="K5607" s="10" t="s">
        <v>24</v>
      </c>
    </row>
    <row r="5608" spans="1:11" ht="54" customHeight="1">
      <c r="A5608" s="9" t="s">
        <v>12961</v>
      </c>
      <c r="B5608" s="9" t="s">
        <v>12961</v>
      </c>
      <c r="C5608" s="9" t="s">
        <v>17</v>
      </c>
      <c r="D5608" s="9" t="s">
        <v>18</v>
      </c>
      <c r="E5608" s="10" t="s">
        <v>12114</v>
      </c>
      <c r="F5608" s="9" t="s">
        <v>12115</v>
      </c>
      <c r="G5608" s="10" t="s">
        <v>176</v>
      </c>
      <c r="H5608" s="9" t="s">
        <v>22</v>
      </c>
      <c r="I5608" s="9" t="s">
        <v>12962</v>
      </c>
      <c r="J5608" s="10" t="str">
        <f>HYPERLINK("https://www.boe.es/gazeta/dias/1834/04/08/pdfs/GMD-1834-47.pdf#page=6","Abrir facsímil")</f>
        <v>Abrir facsímil</v>
      </c>
      <c r="K5608" s="10" t="s">
        <v>24</v>
      </c>
    </row>
    <row r="5609" spans="1:11" ht="54" customHeight="1">
      <c r="A5609" s="9" t="s">
        <v>12963</v>
      </c>
      <c r="B5609" s="9" t="s">
        <v>12963</v>
      </c>
      <c r="C5609" s="9" t="s">
        <v>66</v>
      </c>
      <c r="D5609" s="9" t="s">
        <v>67</v>
      </c>
      <c r="E5609" s="10" t="s">
        <v>148</v>
      </c>
      <c r="F5609" s="9" t="s">
        <v>149</v>
      </c>
      <c r="G5609" s="10" t="s">
        <v>34</v>
      </c>
      <c r="H5609" s="9" t="s">
        <v>22</v>
      </c>
      <c r="I5609" s="9" t="s">
        <v>12964</v>
      </c>
      <c r="J5609" s="10" t="str">
        <f>HYPERLINK("https://www.boe.es/gazeta/dias/1834/10/20/pdfs/GMD-1834-248.pdf#page=1","Abrir facsímil")</f>
        <v>Abrir facsímil</v>
      </c>
      <c r="K5609" s="10" t="s">
        <v>24</v>
      </c>
    </row>
    <row r="5610" spans="1:11" ht="54" customHeight="1">
      <c r="A5610" s="9" t="s">
        <v>12965</v>
      </c>
      <c r="B5610" s="9" t="s">
        <v>12965</v>
      </c>
      <c r="C5610" s="9" t="s">
        <v>46</v>
      </c>
      <c r="D5610" s="9" t="s">
        <v>101</v>
      </c>
      <c r="E5610" s="10" t="s">
        <v>237</v>
      </c>
      <c r="F5610" s="9" t="s">
        <v>238</v>
      </c>
      <c r="G5610" s="10" t="s">
        <v>75</v>
      </c>
      <c r="H5610" s="9" t="s">
        <v>22</v>
      </c>
      <c r="I5610" s="9" t="s">
        <v>12966</v>
      </c>
      <c r="J5610" s="10" t="str">
        <f>HYPERLINK("https://www.boe.es/gazeta/dias/1834/08/15/pdfs/GMD-C-1834-180.pdf#page=4","Abrir facsímil")</f>
        <v>Abrir facsímil</v>
      </c>
      <c r="K5610" s="10" t="s">
        <v>24</v>
      </c>
    </row>
    <row r="5611" spans="1:11" ht="54" customHeight="1">
      <c r="A5611" s="9" t="s">
        <v>12965</v>
      </c>
      <c r="B5611" s="9" t="s">
        <v>12965</v>
      </c>
      <c r="C5611" s="9" t="s">
        <v>17</v>
      </c>
      <c r="D5611" s="9" t="s">
        <v>18</v>
      </c>
      <c r="E5611" s="10" t="s">
        <v>394</v>
      </c>
      <c r="F5611" s="9" t="s">
        <v>459</v>
      </c>
      <c r="G5611" s="10" t="s">
        <v>75</v>
      </c>
      <c r="H5611" s="9" t="s">
        <v>22</v>
      </c>
      <c r="I5611" s="9" t="s">
        <v>12967</v>
      </c>
      <c r="J5611" s="10" t="str">
        <f>HYPERLINK("https://www.boe.es/gazeta/dias/1834/12/23/pdfs/GMD-C-1834-313.pdf#page=4","Abrir facsímil")</f>
        <v>Abrir facsímil</v>
      </c>
      <c r="K5611" s="10" t="s">
        <v>24</v>
      </c>
    </row>
    <row r="5612" spans="1:11" ht="54" customHeight="1">
      <c r="A5612" s="9" t="s">
        <v>12968</v>
      </c>
      <c r="B5612" s="9" t="s">
        <v>12969</v>
      </c>
      <c r="C5612" s="9" t="s">
        <v>17</v>
      </c>
      <c r="D5612" s="9" t="s">
        <v>18</v>
      </c>
      <c r="E5612" s="10" t="s">
        <v>68</v>
      </c>
      <c r="F5612" s="9" t="s">
        <v>69</v>
      </c>
      <c r="G5612" s="10" t="s">
        <v>21</v>
      </c>
      <c r="H5612" s="9" t="s">
        <v>22</v>
      </c>
      <c r="I5612" s="9" t="s">
        <v>12970</v>
      </c>
      <c r="J5612" s="10" t="str">
        <f>HYPERLINK("https://www.boe.es/gazeta/dias/1834/11/01/pdfs/GMD-1834-260.pdf#page=3","Abrir facsímil")</f>
        <v>Abrir facsímil</v>
      </c>
      <c r="K5612" s="10" t="s">
        <v>24</v>
      </c>
    </row>
    <row r="5613" spans="1:11" ht="54" customHeight="1">
      <c r="A5613" s="9" t="s">
        <v>12971</v>
      </c>
      <c r="B5613" s="9" t="s">
        <v>12971</v>
      </c>
      <c r="C5613" s="9" t="s">
        <v>17</v>
      </c>
      <c r="D5613" s="9" t="s">
        <v>18</v>
      </c>
      <c r="E5613" s="10" t="s">
        <v>642</v>
      </c>
      <c r="F5613" s="9" t="s">
        <v>1843</v>
      </c>
      <c r="G5613" s="10" t="s">
        <v>21</v>
      </c>
      <c r="H5613" s="9" t="s">
        <v>22</v>
      </c>
      <c r="I5613" s="9" t="s">
        <v>12972</v>
      </c>
      <c r="J5613" s="10" t="str">
        <f>HYPERLINK("https://www.boe.es/gazeta/dias/1834/11/12/pdfs/GMD-1834-271.pdf#page=3","Abrir facsímil")</f>
        <v>Abrir facsímil</v>
      </c>
      <c r="K5613" s="10" t="s">
        <v>24</v>
      </c>
    </row>
    <row r="5614" spans="1:11" ht="54" customHeight="1">
      <c r="A5614" s="9" t="s">
        <v>12973</v>
      </c>
      <c r="B5614" s="9" t="s">
        <v>12973</v>
      </c>
      <c r="C5614" s="9" t="s">
        <v>90</v>
      </c>
      <c r="D5614" s="9" t="s">
        <v>18</v>
      </c>
      <c r="E5614" s="10" t="s">
        <v>891</v>
      </c>
      <c r="F5614" s="9" t="s">
        <v>892</v>
      </c>
      <c r="G5614" s="10" t="s">
        <v>34</v>
      </c>
      <c r="H5614" s="9" t="s">
        <v>22</v>
      </c>
      <c r="I5614" s="9" t="s">
        <v>12974</v>
      </c>
      <c r="J5614" s="10" t="str">
        <f>HYPERLINK("https://www.boe.es/gazeta/dias/1834/10/31/pdfs/GMD-C-1834-259.pdf#page=1","Abrir facsímil")</f>
        <v>Abrir facsímil</v>
      </c>
      <c r="K5614" s="10" t="s">
        <v>24</v>
      </c>
    </row>
    <row r="5615" spans="1:11" ht="54" customHeight="1">
      <c r="A5615" s="9" t="s">
        <v>12975</v>
      </c>
      <c r="B5615" s="9" t="s">
        <v>12976</v>
      </c>
      <c r="C5615" s="9" t="s">
        <v>66</v>
      </c>
      <c r="D5615" s="9" t="s">
        <v>67</v>
      </c>
      <c r="E5615" s="10" t="s">
        <v>808</v>
      </c>
      <c r="F5615" s="9" t="s">
        <v>809</v>
      </c>
      <c r="G5615" s="10" t="s">
        <v>21</v>
      </c>
      <c r="H5615" s="9" t="s">
        <v>22</v>
      </c>
      <c r="I5615" s="9" t="s">
        <v>12977</v>
      </c>
      <c r="J5615" s="10" t="str">
        <f>HYPERLINK("https://www.boe.es/gazeta/dias/1834/10/11/pdfs/GMD-1834-239.pdf#page=3","Abrir facsímil")</f>
        <v>Abrir facsímil</v>
      </c>
      <c r="K5615" s="10" t="s">
        <v>24</v>
      </c>
    </row>
    <row r="5616" spans="1:11" ht="54" customHeight="1">
      <c r="A5616" s="9" t="s">
        <v>12978</v>
      </c>
      <c r="B5616" s="9" t="s">
        <v>12979</v>
      </c>
      <c r="C5616" s="9" t="s">
        <v>90</v>
      </c>
      <c r="D5616" s="9" t="s">
        <v>18</v>
      </c>
      <c r="E5616" s="10" t="s">
        <v>891</v>
      </c>
      <c r="F5616" s="9" t="s">
        <v>892</v>
      </c>
      <c r="G5616" s="10" t="s">
        <v>34</v>
      </c>
      <c r="H5616" s="9" t="s">
        <v>35</v>
      </c>
      <c r="I5616" s="9" t="s">
        <v>12980</v>
      </c>
      <c r="J5616" s="10" t="str">
        <f>HYPERLINK("https://www.boe.es/gazeta/dias/1834/10/31/pdfs/GMD-C-1834-259.pdf#page=1","Abrir facsímil")</f>
        <v>Abrir facsímil</v>
      </c>
      <c r="K5616" s="10" t="s">
        <v>37</v>
      </c>
    </row>
    <row r="5617" spans="1:11" ht="54" customHeight="1">
      <c r="A5617" s="9" t="s">
        <v>12981</v>
      </c>
      <c r="B5617" s="9" t="s">
        <v>12982</v>
      </c>
      <c r="C5617" s="9" t="s">
        <v>90</v>
      </c>
      <c r="D5617" s="9" t="s">
        <v>18</v>
      </c>
      <c r="E5617" s="10" t="s">
        <v>891</v>
      </c>
      <c r="F5617" s="9" t="s">
        <v>892</v>
      </c>
      <c r="G5617" s="10" t="s">
        <v>34</v>
      </c>
      <c r="H5617" s="9" t="s">
        <v>22</v>
      </c>
      <c r="I5617" s="9" t="s">
        <v>12983</v>
      </c>
      <c r="J5617" s="10" t="str">
        <f>HYPERLINK("https://www.boe.es/gazeta/dias/1834/10/31/pdfs/GMD-C-1834-259.pdf#page=1","Abrir facsímil")</f>
        <v>Abrir facsímil</v>
      </c>
      <c r="K5617" s="10" t="s">
        <v>24</v>
      </c>
    </row>
    <row r="5618" spans="1:11" ht="54" customHeight="1">
      <c r="A5618" s="9" t="s">
        <v>12984</v>
      </c>
      <c r="B5618" s="9" t="s">
        <v>12985</v>
      </c>
      <c r="C5618" s="9" t="s">
        <v>66</v>
      </c>
      <c r="D5618" s="9" t="s">
        <v>67</v>
      </c>
      <c r="E5618" s="10" t="s">
        <v>808</v>
      </c>
      <c r="F5618" s="9" t="s">
        <v>809</v>
      </c>
      <c r="G5618" s="10" t="s">
        <v>21</v>
      </c>
      <c r="H5618" s="9" t="s">
        <v>35</v>
      </c>
      <c r="I5618" s="9" t="s">
        <v>12986</v>
      </c>
      <c r="J5618" s="10" t="str">
        <f>HYPERLINK("https://www.boe.es/gazeta/dias/1834/10/11/pdfs/GMD-1834-239.pdf#page=3","Abrir facsímil")</f>
        <v>Abrir facsímil</v>
      </c>
      <c r="K5618" s="10" t="s">
        <v>37</v>
      </c>
    </row>
    <row r="5619" spans="1:11" ht="54" customHeight="1">
      <c r="A5619" s="9" t="s">
        <v>12987</v>
      </c>
      <c r="B5619" s="9" t="s">
        <v>12987</v>
      </c>
      <c r="C5619" s="9" t="s">
        <v>90</v>
      </c>
      <c r="D5619" s="9" t="s">
        <v>18</v>
      </c>
      <c r="E5619" s="10" t="s">
        <v>833</v>
      </c>
      <c r="F5619" s="9" t="s">
        <v>834</v>
      </c>
      <c r="G5619" s="10" t="s">
        <v>21</v>
      </c>
      <c r="H5619" s="9" t="s">
        <v>22</v>
      </c>
      <c r="I5619" s="9" t="s">
        <v>12988</v>
      </c>
      <c r="J5619" s="10" t="str">
        <f>HYPERLINK("https://www.boe.es/gazeta/dias/1834/04/24/pdfs/GMD-1834-63.pdf#page=3","Abrir facsímil")</f>
        <v>Abrir facsímil</v>
      </c>
      <c r="K5619" s="10" t="s">
        <v>24</v>
      </c>
    </row>
    <row r="5620" spans="1:11" ht="54" customHeight="1">
      <c r="A5620" s="9" t="s">
        <v>12989</v>
      </c>
      <c r="B5620" s="9" t="s">
        <v>12989</v>
      </c>
      <c r="C5620" s="9" t="s">
        <v>122</v>
      </c>
      <c r="D5620" s="9" t="s">
        <v>55</v>
      </c>
      <c r="E5620" s="10" t="s">
        <v>891</v>
      </c>
      <c r="F5620" s="9" t="s">
        <v>3608</v>
      </c>
      <c r="G5620" s="10" t="s">
        <v>86</v>
      </c>
      <c r="H5620" s="9" t="s">
        <v>22</v>
      </c>
      <c r="I5620" s="9" t="s">
        <v>12990</v>
      </c>
      <c r="J5620" s="10" t="str">
        <f>HYPERLINK("https://www.boe.es/gazeta/dias/1834/10/31/pdfs/GMD-1834-259.pdf#page=2","Abrir facsímil")</f>
        <v>Abrir facsímil</v>
      </c>
      <c r="K5620" s="10" t="s">
        <v>24</v>
      </c>
    </row>
    <row r="5621" spans="1:11" ht="54" customHeight="1">
      <c r="A5621" s="9" t="s">
        <v>12991</v>
      </c>
      <c r="B5621" s="9" t="s">
        <v>12991</v>
      </c>
      <c r="C5621" s="9" t="s">
        <v>122</v>
      </c>
      <c r="D5621" s="9" t="s">
        <v>18</v>
      </c>
      <c r="E5621" s="10" t="s">
        <v>734</v>
      </c>
      <c r="F5621" s="9" t="s">
        <v>735</v>
      </c>
      <c r="G5621" s="10" t="s">
        <v>34</v>
      </c>
      <c r="H5621" s="9" t="s">
        <v>22</v>
      </c>
      <c r="I5621" s="9" t="s">
        <v>12992</v>
      </c>
      <c r="J5621" s="10" t="str">
        <f>HYPERLINK("https://www.boe.es/gazeta/dias/1834/05/06/pdfs/GMD-1834-75.pdf#page=1","Abrir facsímil")</f>
        <v>Abrir facsímil</v>
      </c>
      <c r="K5621" s="10" t="s">
        <v>24</v>
      </c>
    </row>
    <row r="5622" spans="1:11" ht="54" customHeight="1">
      <c r="A5622" s="9" t="s">
        <v>12993</v>
      </c>
      <c r="B5622" s="9" t="s">
        <v>12993</v>
      </c>
      <c r="C5622" s="9" t="s">
        <v>17</v>
      </c>
      <c r="D5622" s="9" t="s">
        <v>18</v>
      </c>
      <c r="E5622" s="10" t="s">
        <v>1680</v>
      </c>
      <c r="F5622" s="9" t="s">
        <v>1681</v>
      </c>
      <c r="G5622" s="10" t="s">
        <v>75</v>
      </c>
      <c r="H5622" s="9" t="s">
        <v>22</v>
      </c>
      <c r="I5622" s="9" t="s">
        <v>12994</v>
      </c>
      <c r="J5622" s="10" t="str">
        <f>HYPERLINK("https://www.boe.es/gazeta/dias/1834/02/27/pdfs/GMD-1834-26.pdf#page=4","Abrir facsímil")</f>
        <v>Abrir facsímil</v>
      </c>
      <c r="K5622" s="10" t="s">
        <v>24</v>
      </c>
    </row>
    <row r="5623" spans="1:11" ht="54" customHeight="1">
      <c r="A5623" s="9" t="s">
        <v>12995</v>
      </c>
      <c r="B5623" s="9" t="s">
        <v>12995</v>
      </c>
      <c r="C5623" s="9" t="s">
        <v>17</v>
      </c>
      <c r="D5623" s="9" t="s">
        <v>55</v>
      </c>
      <c r="E5623" s="10" t="s">
        <v>627</v>
      </c>
      <c r="F5623" s="9" t="s">
        <v>1013</v>
      </c>
      <c r="G5623" s="10" t="s">
        <v>34</v>
      </c>
      <c r="H5623" s="9" t="s">
        <v>22</v>
      </c>
      <c r="I5623" s="9" t="s">
        <v>12996</v>
      </c>
      <c r="J5623" s="10" t="str">
        <f>HYPERLINK("https://www.boe.es/gazeta/dias/1834/09/22/pdfs/GMD-1834-220.pdf#page=1","Abrir facsímil")</f>
        <v>Abrir facsímil</v>
      </c>
      <c r="K5623" s="10" t="s">
        <v>24</v>
      </c>
    </row>
    <row r="5624" spans="1:11" ht="54" customHeight="1">
      <c r="A5624" s="9" t="s">
        <v>12997</v>
      </c>
      <c r="B5624" s="9" t="s">
        <v>12998</v>
      </c>
      <c r="C5624" s="9" t="s">
        <v>66</v>
      </c>
      <c r="D5624" s="9" t="s">
        <v>67</v>
      </c>
      <c r="E5624" s="10" t="s">
        <v>3066</v>
      </c>
      <c r="F5624" s="9" t="s">
        <v>3188</v>
      </c>
      <c r="G5624" s="10" t="s">
        <v>86</v>
      </c>
      <c r="H5624" s="9" t="s">
        <v>22</v>
      </c>
      <c r="I5624" s="9" t="s">
        <v>12999</v>
      </c>
      <c r="J5624" s="10" t="str">
        <f>HYPERLINK("https://www.boe.es/gazeta/dias/1834/08/03/pdfs/GMD-1834-167.pdf#page=2","Abrir facsímil")</f>
        <v>Abrir facsímil</v>
      </c>
      <c r="K5624" s="10" t="s">
        <v>24</v>
      </c>
    </row>
    <row r="5625" spans="1:11" ht="54" customHeight="1">
      <c r="A5625" s="9" t="s">
        <v>13000</v>
      </c>
      <c r="B5625" s="9" t="s">
        <v>13001</v>
      </c>
      <c r="C5625" s="9" t="s">
        <v>66</v>
      </c>
      <c r="D5625" s="9" t="s">
        <v>18</v>
      </c>
      <c r="E5625" s="10" t="s">
        <v>524</v>
      </c>
      <c r="F5625" s="9" t="s">
        <v>4743</v>
      </c>
      <c r="G5625" s="10" t="s">
        <v>21</v>
      </c>
      <c r="H5625" s="9" t="s">
        <v>22</v>
      </c>
      <c r="I5625" s="9" t="s">
        <v>13002</v>
      </c>
      <c r="J5625" s="10" t="str">
        <f>HYPERLINK("https://www.boe.es/gazeta/dias/1834/12/25/pdfs/GMD-1834-315.pdf#page=3","Abrir facsímil")</f>
        <v>Abrir facsímil</v>
      </c>
      <c r="K5625" s="10" t="s">
        <v>24</v>
      </c>
    </row>
    <row r="5626" spans="1:11" ht="54" customHeight="1">
      <c r="A5626" s="9" t="s">
        <v>13003</v>
      </c>
      <c r="B5626" s="9" t="s">
        <v>13004</v>
      </c>
      <c r="C5626" s="9" t="s">
        <v>17</v>
      </c>
      <c r="D5626" s="9" t="s">
        <v>18</v>
      </c>
      <c r="E5626" s="10" t="s">
        <v>3057</v>
      </c>
      <c r="F5626" s="9" t="s">
        <v>3058</v>
      </c>
      <c r="G5626" s="10" t="s">
        <v>75</v>
      </c>
      <c r="H5626" s="9" t="s">
        <v>22</v>
      </c>
      <c r="I5626" s="9" t="s">
        <v>13005</v>
      </c>
      <c r="J5626" s="10" t="str">
        <f>HYPERLINK("https://www.boe.es/gazeta/dias/1834/06/14/pdfs/GMD-1834-117.pdf#page=4","Abrir facsímil")</f>
        <v>Abrir facsímil</v>
      </c>
      <c r="K5626" s="10" t="s">
        <v>24</v>
      </c>
    </row>
    <row r="5627" spans="1:11" ht="54" customHeight="1">
      <c r="A5627" s="9" t="s">
        <v>13006</v>
      </c>
      <c r="B5627" s="9" t="s">
        <v>13007</v>
      </c>
      <c r="C5627" s="9" t="s">
        <v>46</v>
      </c>
      <c r="D5627" s="9" t="s">
        <v>101</v>
      </c>
      <c r="E5627" s="10" t="s">
        <v>1239</v>
      </c>
      <c r="F5627" s="9" t="s">
        <v>1240</v>
      </c>
      <c r="G5627" s="10" t="s">
        <v>34</v>
      </c>
      <c r="H5627" s="9" t="s">
        <v>22</v>
      </c>
      <c r="I5627" s="9" t="s">
        <v>13008</v>
      </c>
      <c r="J5627" s="10" t="str">
        <f>HYPERLINK("https://www.boe.es/gazeta/dias/1834/08/20/pdfs/GMD-1834-186.pdf#page=1","Abrir facsímil")</f>
        <v>Abrir facsímil</v>
      </c>
      <c r="K5627" s="10" t="s">
        <v>24</v>
      </c>
    </row>
    <row r="5628" spans="1:11" ht="54" customHeight="1">
      <c r="A5628" s="9" t="s">
        <v>13009</v>
      </c>
      <c r="B5628" s="9" t="s">
        <v>13010</v>
      </c>
      <c r="C5628" s="9" t="s">
        <v>46</v>
      </c>
      <c r="D5628" s="9" t="s">
        <v>101</v>
      </c>
      <c r="E5628" s="10" t="s">
        <v>1239</v>
      </c>
      <c r="F5628" s="9" t="s">
        <v>1240</v>
      </c>
      <c r="G5628" s="10" t="s">
        <v>34</v>
      </c>
      <c r="H5628" s="9" t="s">
        <v>35</v>
      </c>
      <c r="I5628" s="9" t="s">
        <v>13011</v>
      </c>
      <c r="J5628" s="10" t="str">
        <f>HYPERLINK("https://www.boe.es/gazeta/dias/1834/08/20/pdfs/GMD-1834-186.pdf#page=1","Abrir facsímil")</f>
        <v>Abrir facsímil</v>
      </c>
      <c r="K5628" s="10" t="s">
        <v>37</v>
      </c>
    </row>
    <row r="5629" spans="1:11" ht="54" customHeight="1">
      <c r="A5629" s="9" t="s">
        <v>13012</v>
      </c>
      <c r="B5629" s="9" t="s">
        <v>13013</v>
      </c>
      <c r="C5629" s="9" t="s">
        <v>46</v>
      </c>
      <c r="D5629" s="9" t="s">
        <v>101</v>
      </c>
      <c r="E5629" s="10" t="s">
        <v>524</v>
      </c>
      <c r="F5629" s="9" t="s">
        <v>525</v>
      </c>
      <c r="G5629" s="10" t="s">
        <v>86</v>
      </c>
      <c r="H5629" s="9" t="s">
        <v>22</v>
      </c>
      <c r="I5629" s="9" t="s">
        <v>13014</v>
      </c>
      <c r="J5629" s="10" t="str">
        <f>HYPERLINK("https://www.boe.es/gazeta/dias/1834/12/25/pdfs/GMD-C-1834-315.pdf#page=2","Abrir facsímil")</f>
        <v>Abrir facsímil</v>
      </c>
      <c r="K5629" s="10" t="s">
        <v>24</v>
      </c>
    </row>
    <row r="5630" spans="1:11" ht="54" customHeight="1">
      <c r="A5630" s="9" t="s">
        <v>13015</v>
      </c>
      <c r="B5630" s="9" t="s">
        <v>13016</v>
      </c>
      <c r="C5630" s="9" t="s">
        <v>66</v>
      </c>
      <c r="D5630" s="9" t="s">
        <v>67</v>
      </c>
      <c r="E5630" s="10" t="s">
        <v>563</v>
      </c>
      <c r="F5630" s="9" t="s">
        <v>5858</v>
      </c>
      <c r="G5630" s="10" t="s">
        <v>86</v>
      </c>
      <c r="H5630" s="9" t="s">
        <v>22</v>
      </c>
      <c r="I5630" s="9" t="s">
        <v>13017</v>
      </c>
      <c r="J5630" s="10" t="str">
        <f>HYPERLINK("https://www.boe.es/gazeta/dias/1834/04/19/pdfs/GMD-C-1834-58.pdf#page=2","Abrir facsímil")</f>
        <v>Abrir facsímil</v>
      </c>
      <c r="K5630" s="10" t="s">
        <v>24</v>
      </c>
    </row>
    <row r="5631" spans="1:11" ht="54" customHeight="1">
      <c r="A5631" s="9" t="s">
        <v>13018</v>
      </c>
      <c r="B5631" s="9" t="s">
        <v>13019</v>
      </c>
      <c r="C5631" s="9" t="s">
        <v>17</v>
      </c>
      <c r="D5631" s="9" t="s">
        <v>55</v>
      </c>
      <c r="E5631" s="10" t="s">
        <v>758</v>
      </c>
      <c r="F5631" s="9" t="s">
        <v>759</v>
      </c>
      <c r="G5631" s="10" t="s">
        <v>21</v>
      </c>
      <c r="H5631" s="9" t="s">
        <v>35</v>
      </c>
      <c r="I5631" s="9" t="s">
        <v>13020</v>
      </c>
      <c r="J5631" s="10" t="str">
        <f>HYPERLINK("https://www.boe.es/gazeta/dias/1834/01/04/pdfs/GMD-1834-3.pdf#page=3","Abrir facsímil")</f>
        <v>Abrir facsímil</v>
      </c>
      <c r="K5631" s="10" t="s">
        <v>37</v>
      </c>
    </row>
    <row r="5632" spans="1:11" ht="54" customHeight="1">
      <c r="A5632" s="9" t="s">
        <v>13021</v>
      </c>
      <c r="B5632" s="9" t="s">
        <v>13022</v>
      </c>
      <c r="C5632" s="9" t="s">
        <v>66</v>
      </c>
      <c r="D5632" s="9" t="s">
        <v>67</v>
      </c>
      <c r="E5632" s="10" t="s">
        <v>1850</v>
      </c>
      <c r="F5632" s="9" t="s">
        <v>1851</v>
      </c>
      <c r="G5632" s="10" t="s">
        <v>176</v>
      </c>
      <c r="H5632" s="9" t="s">
        <v>35</v>
      </c>
      <c r="I5632" s="9" t="s">
        <v>13023</v>
      </c>
      <c r="J5632" s="10" t="str">
        <f>HYPERLINK("https://www.boe.es/gazeta/dias/1834/02/18/pdfs/GMD-1834-22.pdf#page=6","Abrir facsímil")</f>
        <v>Abrir facsímil</v>
      </c>
      <c r="K5632" s="10" t="s">
        <v>37</v>
      </c>
    </row>
    <row r="5633" spans="1:11" ht="54" customHeight="1">
      <c r="A5633" s="9" t="s">
        <v>13024</v>
      </c>
      <c r="B5633" s="9" t="s">
        <v>13025</v>
      </c>
      <c r="C5633" s="9" t="s">
        <v>46</v>
      </c>
      <c r="D5633" s="9" t="s">
        <v>101</v>
      </c>
      <c r="E5633" s="10" t="s">
        <v>506</v>
      </c>
      <c r="F5633" s="9" t="s">
        <v>507</v>
      </c>
      <c r="G5633" s="10" t="s">
        <v>86</v>
      </c>
      <c r="H5633" s="9" t="s">
        <v>22</v>
      </c>
      <c r="I5633" s="9" t="s">
        <v>13026</v>
      </c>
      <c r="J5633" s="10" t="str">
        <f>HYPERLINK("https://www.boe.es/gazeta/dias/1834/03/04/pdfs/GMD-1834-28.pdf#page=2","Abrir facsímil")</f>
        <v>Abrir facsímil</v>
      </c>
      <c r="K5633" s="10" t="s">
        <v>24</v>
      </c>
    </row>
    <row r="5634" spans="1:11" ht="54" customHeight="1">
      <c r="A5634" s="9" t="s">
        <v>13027</v>
      </c>
      <c r="B5634" s="9" t="s">
        <v>13028</v>
      </c>
      <c r="C5634" s="9" t="s">
        <v>122</v>
      </c>
      <c r="D5634" s="9" t="s">
        <v>18</v>
      </c>
      <c r="E5634" s="10" t="s">
        <v>2729</v>
      </c>
      <c r="F5634" s="9" t="s">
        <v>2730</v>
      </c>
      <c r="G5634" s="10" t="s">
        <v>34</v>
      </c>
      <c r="H5634" s="9" t="s">
        <v>22</v>
      </c>
      <c r="I5634" s="9" t="s">
        <v>13029</v>
      </c>
      <c r="J5634" s="10" t="str">
        <f>HYPERLINK("https://www.boe.es/gazeta/dias/1834/07/02/pdfs/GMD-1834-135.pdf#page=1","Abrir facsímil")</f>
        <v>Abrir facsímil</v>
      </c>
      <c r="K5634" s="10" t="s">
        <v>24</v>
      </c>
    </row>
    <row r="5635" spans="1:11" ht="54" customHeight="1">
      <c r="A5635" s="9" t="s">
        <v>13030</v>
      </c>
      <c r="B5635" s="9" t="s">
        <v>13031</v>
      </c>
      <c r="C5635" s="9" t="s">
        <v>17</v>
      </c>
      <c r="D5635" s="9" t="s">
        <v>40</v>
      </c>
      <c r="E5635" s="10" t="s">
        <v>2306</v>
      </c>
      <c r="F5635" s="9" t="s">
        <v>2307</v>
      </c>
      <c r="G5635" s="10" t="s">
        <v>21</v>
      </c>
      <c r="H5635" s="9" t="s">
        <v>22</v>
      </c>
      <c r="I5635" s="9" t="s">
        <v>13032</v>
      </c>
      <c r="J5635" s="10" t="str">
        <f>HYPERLINK("https://www.boe.es/gazeta/dias/1834/04/26/pdfs/GMD-1834-65.pdf#page=3","Abrir facsímil")</f>
        <v>Abrir facsímil</v>
      </c>
      <c r="K5635" s="10" t="s">
        <v>24</v>
      </c>
    </row>
    <row r="5636" spans="1:11" ht="54" customHeight="1">
      <c r="A5636" s="9" t="s">
        <v>13033</v>
      </c>
      <c r="B5636" s="9" t="s">
        <v>13034</v>
      </c>
      <c r="C5636" s="9" t="s">
        <v>17</v>
      </c>
      <c r="D5636" s="9" t="s">
        <v>18</v>
      </c>
      <c r="E5636" s="10" t="s">
        <v>3471</v>
      </c>
      <c r="F5636" s="9" t="s">
        <v>3472</v>
      </c>
      <c r="G5636" s="10" t="s">
        <v>34</v>
      </c>
      <c r="H5636" s="9" t="s">
        <v>22</v>
      </c>
      <c r="I5636" s="9" t="s">
        <v>13035</v>
      </c>
      <c r="J5636" s="10" t="str">
        <f>HYPERLINK("https://www.boe.es/gazeta/dias/1834/07/07/pdfs/GMD-1834-140.pdf#page=1","Abrir facsímil")</f>
        <v>Abrir facsímil</v>
      </c>
      <c r="K5636" s="10" t="s">
        <v>24</v>
      </c>
    </row>
    <row r="5637" spans="1:11" ht="54" customHeight="1">
      <c r="A5637" s="9" t="s">
        <v>13036</v>
      </c>
      <c r="B5637" s="9" t="s">
        <v>13037</v>
      </c>
      <c r="C5637" s="9" t="s">
        <v>122</v>
      </c>
      <c r="D5637" s="9" t="s">
        <v>18</v>
      </c>
      <c r="E5637" s="10" t="s">
        <v>883</v>
      </c>
      <c r="F5637" s="9" t="s">
        <v>3449</v>
      </c>
      <c r="G5637" s="10" t="s">
        <v>34</v>
      </c>
      <c r="H5637" s="9" t="s">
        <v>35</v>
      </c>
      <c r="I5637" s="9" t="s">
        <v>13038</v>
      </c>
      <c r="J5637" s="10" t="str">
        <f>HYPERLINK("https://www.boe.es/gazeta/dias/1834/11/16/pdfs/GMD-1834-275.pdf#page=1","Abrir facsímil")</f>
        <v>Abrir facsímil</v>
      </c>
      <c r="K5637" s="10" t="s">
        <v>37</v>
      </c>
    </row>
    <row r="5638" spans="1:11" ht="54" customHeight="1">
      <c r="A5638" s="9" t="s">
        <v>13039</v>
      </c>
      <c r="B5638" s="9" t="s">
        <v>13040</v>
      </c>
      <c r="C5638" s="9" t="s">
        <v>66</v>
      </c>
      <c r="D5638" s="9" t="s">
        <v>67</v>
      </c>
      <c r="E5638" s="10" t="s">
        <v>1017</v>
      </c>
      <c r="F5638" s="9" t="s">
        <v>1018</v>
      </c>
      <c r="G5638" s="10" t="s">
        <v>21</v>
      </c>
      <c r="H5638" s="9" t="s">
        <v>35</v>
      </c>
      <c r="I5638" s="9" t="s">
        <v>13041</v>
      </c>
      <c r="J5638" s="10" t="str">
        <f>HYPERLINK("https://www.boe.es/gazeta/dias/1834/07/24/pdfs/GMD-1834-157.pdf#page=3","Abrir facsímil")</f>
        <v>Abrir facsímil</v>
      </c>
      <c r="K5638" s="10" t="s">
        <v>37</v>
      </c>
    </row>
    <row r="5639" spans="1:11" ht="54" customHeight="1">
      <c r="A5639" s="9" t="s">
        <v>13042</v>
      </c>
      <c r="B5639" s="9" t="s">
        <v>13043</v>
      </c>
      <c r="C5639" s="9" t="s">
        <v>17</v>
      </c>
      <c r="D5639" s="9" t="s">
        <v>18</v>
      </c>
      <c r="E5639" s="10" t="s">
        <v>3066</v>
      </c>
      <c r="F5639" s="9" t="s">
        <v>3188</v>
      </c>
      <c r="G5639" s="10" t="s">
        <v>86</v>
      </c>
      <c r="H5639" s="9" t="s">
        <v>22</v>
      </c>
      <c r="I5639" s="9" t="s">
        <v>13044</v>
      </c>
      <c r="J5639" s="10" t="str">
        <f>HYPERLINK("https://www.boe.es/gazeta/dias/1834/08/03/pdfs/GMD-1834-167.pdf#page=2","Abrir facsímil")</f>
        <v>Abrir facsímil</v>
      </c>
      <c r="K5639" s="10" t="s">
        <v>24</v>
      </c>
    </row>
    <row r="5640" spans="1:11" ht="54" customHeight="1">
      <c r="A5640" s="9" t="s">
        <v>13045</v>
      </c>
      <c r="B5640" s="9" t="s">
        <v>13046</v>
      </c>
      <c r="C5640" s="9" t="s">
        <v>90</v>
      </c>
      <c r="D5640" s="9" t="s">
        <v>55</v>
      </c>
      <c r="E5640" s="10" t="s">
        <v>3225</v>
      </c>
      <c r="F5640" s="9" t="s">
        <v>3226</v>
      </c>
      <c r="G5640" s="10" t="s">
        <v>21</v>
      </c>
      <c r="H5640" s="9" t="s">
        <v>22</v>
      </c>
      <c r="I5640" s="9" t="s">
        <v>13047</v>
      </c>
      <c r="J5640" s="10" t="str">
        <f>HYPERLINK("https://www.boe.es/gazeta/dias/1834/08/22/pdfs/GMD-1834-188.pdf#page=3","Abrir facsímil")</f>
        <v>Abrir facsímil</v>
      </c>
      <c r="K5640" s="10" t="s">
        <v>24</v>
      </c>
    </row>
    <row r="5641" spans="1:11" ht="54" customHeight="1">
      <c r="A5641" s="9" t="s">
        <v>13048</v>
      </c>
      <c r="B5641" s="9" t="s">
        <v>13049</v>
      </c>
      <c r="C5641" s="9" t="s">
        <v>17</v>
      </c>
      <c r="D5641" s="9" t="s">
        <v>18</v>
      </c>
      <c r="E5641" s="10" t="s">
        <v>375</v>
      </c>
      <c r="F5641" s="9" t="s">
        <v>376</v>
      </c>
      <c r="G5641" s="10" t="s">
        <v>34</v>
      </c>
      <c r="H5641" s="9" t="s">
        <v>22</v>
      </c>
      <c r="I5641" s="9" t="s">
        <v>13050</v>
      </c>
      <c r="J5641" s="10" t="str">
        <f>HYPERLINK("https://www.boe.es/gazeta/dias/1834/08/21/pdfs/GMD-1834-187.pdf#page=1","Abrir facsímil")</f>
        <v>Abrir facsímil</v>
      </c>
      <c r="K5641" s="10" t="s">
        <v>24</v>
      </c>
    </row>
    <row r="5642" spans="1:11" ht="54" customHeight="1">
      <c r="A5642" s="9" t="s">
        <v>13051</v>
      </c>
      <c r="B5642" s="9" t="s">
        <v>13052</v>
      </c>
      <c r="C5642" s="9" t="s">
        <v>90</v>
      </c>
      <c r="D5642" s="9" t="s">
        <v>18</v>
      </c>
      <c r="E5642" s="10" t="s">
        <v>294</v>
      </c>
      <c r="F5642" s="9" t="s">
        <v>295</v>
      </c>
      <c r="G5642" s="10" t="s">
        <v>86</v>
      </c>
      <c r="H5642" s="9" t="s">
        <v>22</v>
      </c>
      <c r="I5642" s="9" t="s">
        <v>13053</v>
      </c>
      <c r="J5642" s="10" t="str">
        <f>HYPERLINK("https://www.boe.es/gazeta/dias/1834/09/27/pdfs/GMD-1834-225.pdf#page=2","Abrir facsímil")</f>
        <v>Abrir facsímil</v>
      </c>
      <c r="K5642" s="10" t="s">
        <v>24</v>
      </c>
    </row>
    <row r="5643" spans="1:11" ht="54" customHeight="1">
      <c r="A5643" s="9" t="s">
        <v>13054</v>
      </c>
      <c r="B5643" s="9" t="s">
        <v>13055</v>
      </c>
      <c r="C5643" s="9" t="s">
        <v>46</v>
      </c>
      <c r="D5643" s="9" t="s">
        <v>55</v>
      </c>
      <c r="E5643" s="10" t="s">
        <v>283</v>
      </c>
      <c r="F5643" s="9" t="s">
        <v>2969</v>
      </c>
      <c r="G5643" s="10" t="s">
        <v>86</v>
      </c>
      <c r="H5643" s="9" t="s">
        <v>22</v>
      </c>
      <c r="I5643" s="9" t="s">
        <v>13056</v>
      </c>
      <c r="J5643" s="10" t="str">
        <f>HYPERLINK("https://www.boe.es/gazeta/dias/1834/11/29/pdfs/GMD-1834-288.pdf#page=2","Abrir facsímil")</f>
        <v>Abrir facsímil</v>
      </c>
      <c r="K5643" s="10" t="s">
        <v>24</v>
      </c>
    </row>
    <row r="5644" spans="1:11" ht="54" customHeight="1">
      <c r="A5644" s="9" t="s">
        <v>13057</v>
      </c>
      <c r="B5644" s="9" t="s">
        <v>13058</v>
      </c>
      <c r="C5644" s="9" t="s">
        <v>46</v>
      </c>
      <c r="D5644" s="9" t="s">
        <v>18</v>
      </c>
      <c r="E5644" s="10" t="s">
        <v>273</v>
      </c>
      <c r="F5644" s="9" t="s">
        <v>413</v>
      </c>
      <c r="G5644" s="10" t="s">
        <v>86</v>
      </c>
      <c r="H5644" s="9" t="s">
        <v>22</v>
      </c>
      <c r="I5644" s="9" t="s">
        <v>13059</v>
      </c>
      <c r="J5644" s="10" t="str">
        <f>HYPERLINK("https://www.boe.es/gazeta/dias/1834/08/31/pdfs/GMD-1834-198.pdf#page=2","Abrir facsímil")</f>
        <v>Abrir facsímil</v>
      </c>
      <c r="K5644" s="10" t="s">
        <v>24</v>
      </c>
    </row>
    <row r="5645" spans="1:11" ht="54" customHeight="1">
      <c r="A5645" s="9" t="s">
        <v>13060</v>
      </c>
      <c r="B5645" s="9" t="s">
        <v>13061</v>
      </c>
      <c r="C5645" s="9" t="s">
        <v>46</v>
      </c>
      <c r="D5645" s="9" t="s">
        <v>18</v>
      </c>
      <c r="E5645" s="10" t="s">
        <v>1641</v>
      </c>
      <c r="F5645" s="9" t="s">
        <v>1642</v>
      </c>
      <c r="G5645" s="10" t="s">
        <v>34</v>
      </c>
      <c r="H5645" s="9" t="s">
        <v>22</v>
      </c>
      <c r="I5645" s="9" t="s">
        <v>13062</v>
      </c>
      <c r="J5645" s="10" t="str">
        <f>HYPERLINK("https://www.boe.es/gazeta/dias/1834/09/28/pdfs/GMD-C-1834-226.pdf#page=1","Abrir facsímil")</f>
        <v>Abrir facsímil</v>
      </c>
      <c r="K5645" s="10" t="s">
        <v>24</v>
      </c>
    </row>
    <row r="5646" spans="1:11" ht="54" customHeight="1">
      <c r="A5646" s="9" t="s">
        <v>13063</v>
      </c>
      <c r="B5646" s="9" t="s">
        <v>13064</v>
      </c>
      <c r="C5646" s="9" t="s">
        <v>17</v>
      </c>
      <c r="D5646" s="9" t="s">
        <v>55</v>
      </c>
      <c r="E5646" s="10" t="s">
        <v>1351</v>
      </c>
      <c r="F5646" s="9" t="s">
        <v>1352</v>
      </c>
      <c r="G5646" s="10" t="s">
        <v>75</v>
      </c>
      <c r="H5646" s="9" t="s">
        <v>35</v>
      </c>
      <c r="I5646" s="9" t="s">
        <v>13065</v>
      </c>
      <c r="J5646" s="10" t="str">
        <f>HYPERLINK("https://www.boe.es/gazeta/dias/1834/07/05/pdfs/GMD-1834-138.pdf#page=4","Abrir facsímil")</f>
        <v>Abrir facsímil</v>
      </c>
      <c r="K5646" s="10" t="s">
        <v>37</v>
      </c>
    </row>
    <row r="5647" spans="1:11" ht="54" customHeight="1">
      <c r="A5647" s="9" t="s">
        <v>13066</v>
      </c>
      <c r="B5647" s="9" t="s">
        <v>13067</v>
      </c>
      <c r="C5647" s="9" t="s">
        <v>66</v>
      </c>
      <c r="D5647" s="9" t="s">
        <v>67</v>
      </c>
      <c r="E5647" s="10" t="s">
        <v>1135</v>
      </c>
      <c r="F5647" s="9" t="s">
        <v>1136</v>
      </c>
      <c r="G5647" s="10" t="s">
        <v>21</v>
      </c>
      <c r="H5647" s="9" t="s">
        <v>35</v>
      </c>
      <c r="I5647" s="9" t="s">
        <v>13068</v>
      </c>
      <c r="J5647" s="10" t="str">
        <f>HYPERLINK("https://www.boe.es/gazeta/dias/1834/08/26/pdfs/GMD-1834-192.pdf#page=3","Abrir facsímil")</f>
        <v>Abrir facsímil</v>
      </c>
      <c r="K5647" s="10" t="s">
        <v>37</v>
      </c>
    </row>
    <row r="5648" spans="1:11" ht="54" customHeight="1">
      <c r="A5648" s="9" t="s">
        <v>13069</v>
      </c>
      <c r="B5648" s="9" t="s">
        <v>13070</v>
      </c>
      <c r="C5648" s="9" t="s">
        <v>66</v>
      </c>
      <c r="D5648" s="9" t="s">
        <v>67</v>
      </c>
      <c r="E5648" s="10" t="s">
        <v>1119</v>
      </c>
      <c r="F5648" s="9" t="s">
        <v>1120</v>
      </c>
      <c r="G5648" s="10" t="s">
        <v>21</v>
      </c>
      <c r="H5648" s="9" t="s">
        <v>35</v>
      </c>
      <c r="I5648" s="9" t="s">
        <v>13071</v>
      </c>
      <c r="J5648" s="10" t="str">
        <f>HYPERLINK("https://www.boe.es/gazeta/dias/1834/07/17/pdfs/GMD-1834-150.pdf#page=3","Abrir facsímil")</f>
        <v>Abrir facsímil</v>
      </c>
      <c r="K5648" s="10" t="s">
        <v>37</v>
      </c>
    </row>
    <row r="5649" spans="1:11" ht="54" customHeight="1">
      <c r="A5649" s="9" t="s">
        <v>13072</v>
      </c>
      <c r="B5649" s="9" t="s">
        <v>13073</v>
      </c>
      <c r="C5649" s="9" t="s">
        <v>17</v>
      </c>
      <c r="D5649" s="9" t="s">
        <v>18</v>
      </c>
      <c r="E5649" s="10" t="s">
        <v>183</v>
      </c>
      <c r="F5649" s="9" t="s">
        <v>184</v>
      </c>
      <c r="G5649" s="10" t="s">
        <v>75</v>
      </c>
      <c r="H5649" s="9" t="s">
        <v>35</v>
      </c>
      <c r="I5649" s="9" t="s">
        <v>13074</v>
      </c>
      <c r="J5649" s="10" t="str">
        <f>HYPERLINK("https://www.boe.es/gazeta/dias/1834/03/18/pdfs/GMD-1834-34.pdf#page=4","Abrir facsímil")</f>
        <v>Abrir facsímil</v>
      </c>
      <c r="K5649" s="10" t="s">
        <v>37</v>
      </c>
    </row>
    <row r="5650" spans="1:11" ht="54" customHeight="1">
      <c r="A5650" s="9" t="s">
        <v>13075</v>
      </c>
      <c r="B5650" s="9" t="s">
        <v>13076</v>
      </c>
      <c r="C5650" s="9" t="s">
        <v>46</v>
      </c>
      <c r="D5650" s="9" t="s">
        <v>101</v>
      </c>
      <c r="E5650" s="10" t="s">
        <v>183</v>
      </c>
      <c r="F5650" s="9" t="s">
        <v>184</v>
      </c>
      <c r="G5650" s="10" t="s">
        <v>75</v>
      </c>
      <c r="H5650" s="9" t="s">
        <v>35</v>
      </c>
      <c r="I5650" s="9" t="s">
        <v>13077</v>
      </c>
      <c r="J5650" s="10" t="str">
        <f>HYPERLINK("https://www.boe.es/gazeta/dias/1834/03/18/pdfs/GMD-1834-34.pdf#page=4","Abrir facsímil")</f>
        <v>Abrir facsímil</v>
      </c>
      <c r="K5650" s="10" t="s">
        <v>37</v>
      </c>
    </row>
    <row r="5651" spans="1:11" ht="54" customHeight="1">
      <c r="A5651" s="9" t="s">
        <v>13078</v>
      </c>
      <c r="B5651" s="9" t="s">
        <v>13079</v>
      </c>
      <c r="C5651" s="9" t="s">
        <v>17</v>
      </c>
      <c r="D5651" s="9" t="s">
        <v>18</v>
      </c>
      <c r="E5651" s="10" t="s">
        <v>928</v>
      </c>
      <c r="F5651" s="9" t="s">
        <v>3338</v>
      </c>
      <c r="G5651" s="10" t="s">
        <v>86</v>
      </c>
      <c r="H5651" s="9" t="s">
        <v>35</v>
      </c>
      <c r="I5651" s="9" t="s">
        <v>13080</v>
      </c>
      <c r="J5651" s="10" t="str">
        <f>HYPERLINK("https://www.boe.es/gazeta/dias/1834/11/15/pdfs/GMD-1834-274.pdf#page=2","Abrir facsímil")</f>
        <v>Abrir facsímil</v>
      </c>
      <c r="K5651" s="10" t="s">
        <v>37</v>
      </c>
    </row>
    <row r="5652" spans="1:11" ht="54" customHeight="1">
      <c r="A5652" s="9" t="s">
        <v>13081</v>
      </c>
      <c r="B5652" s="9" t="s">
        <v>13082</v>
      </c>
      <c r="C5652" s="9" t="s">
        <v>17</v>
      </c>
      <c r="D5652" s="9" t="s">
        <v>18</v>
      </c>
      <c r="E5652" s="10" t="s">
        <v>84</v>
      </c>
      <c r="F5652" s="9" t="s">
        <v>85</v>
      </c>
      <c r="G5652" s="10" t="s">
        <v>86</v>
      </c>
      <c r="H5652" s="9" t="s">
        <v>22</v>
      </c>
      <c r="I5652" s="9" t="s">
        <v>13083</v>
      </c>
      <c r="J5652" s="10" t="str">
        <f>HYPERLINK("https://www.boe.es/gazeta/dias/1834/06/07/pdfs/GMD-C-1834-109.pdf#page=2","Abrir facsímil")</f>
        <v>Abrir facsímil</v>
      </c>
      <c r="K5652" s="10" t="s">
        <v>24</v>
      </c>
    </row>
    <row r="5653" spans="1:11" ht="54" customHeight="1">
      <c r="A5653" s="9" t="s">
        <v>13084</v>
      </c>
      <c r="B5653" s="9" t="s">
        <v>13085</v>
      </c>
      <c r="C5653" s="9" t="s">
        <v>122</v>
      </c>
      <c r="D5653" s="9" t="s">
        <v>18</v>
      </c>
      <c r="E5653" s="10" t="s">
        <v>91</v>
      </c>
      <c r="F5653" s="9" t="s">
        <v>92</v>
      </c>
      <c r="G5653" s="10" t="s">
        <v>34</v>
      </c>
      <c r="H5653" s="9" t="s">
        <v>22</v>
      </c>
      <c r="I5653" s="9" t="s">
        <v>13086</v>
      </c>
      <c r="J5653" s="10" t="str">
        <f>HYPERLINK("https://www.boe.es/gazeta/dias/1834/02/13/pdfs/GMD-1834-20.pdf#page=1","Abrir facsímil")</f>
        <v>Abrir facsímil</v>
      </c>
      <c r="K5653" s="10" t="s">
        <v>24</v>
      </c>
    </row>
    <row r="5654" spans="1:11" ht="54" customHeight="1">
      <c r="A5654" s="9" t="s">
        <v>13087</v>
      </c>
      <c r="B5654" s="9" t="s">
        <v>13088</v>
      </c>
      <c r="C5654" s="9" t="s">
        <v>17</v>
      </c>
      <c r="D5654" s="9" t="s">
        <v>18</v>
      </c>
      <c r="E5654" s="10" t="s">
        <v>1273</v>
      </c>
      <c r="F5654" s="9" t="s">
        <v>1274</v>
      </c>
      <c r="G5654" s="10" t="s">
        <v>21</v>
      </c>
      <c r="H5654" s="9" t="s">
        <v>22</v>
      </c>
      <c r="I5654" s="9" t="s">
        <v>13089</v>
      </c>
      <c r="J5654" s="10" t="str">
        <f>HYPERLINK("https://www.boe.es/gazeta/dias/1834/05/14/pdfs/GMD-1834-83.pdf#page=3","Abrir facsímil")</f>
        <v>Abrir facsímil</v>
      </c>
      <c r="K5654" s="10" t="s">
        <v>24</v>
      </c>
    </row>
    <row r="5655" spans="1:11" ht="54" customHeight="1">
      <c r="A5655" s="9" t="s">
        <v>13090</v>
      </c>
      <c r="B5655" s="9" t="s">
        <v>13091</v>
      </c>
      <c r="C5655" s="9" t="s">
        <v>90</v>
      </c>
      <c r="D5655" s="9" t="s">
        <v>18</v>
      </c>
      <c r="E5655" s="10" t="s">
        <v>627</v>
      </c>
      <c r="F5655" s="9" t="s">
        <v>628</v>
      </c>
      <c r="G5655" s="10" t="s">
        <v>34</v>
      </c>
      <c r="H5655" s="9" t="s">
        <v>22</v>
      </c>
      <c r="I5655" s="9" t="s">
        <v>13092</v>
      </c>
      <c r="J5655" s="10" t="str">
        <f>HYPERLINK("https://www.boe.es/gazeta/dias/1834/09/22/pdfs/GMD-C-1834-220.pdf#page=1","Abrir facsímil")</f>
        <v>Abrir facsímil</v>
      </c>
      <c r="K5655" s="10" t="s">
        <v>24</v>
      </c>
    </row>
    <row r="5656" spans="1:11" ht="54" customHeight="1">
      <c r="A5656" s="9" t="s">
        <v>13093</v>
      </c>
      <c r="B5656" s="9" t="s">
        <v>13094</v>
      </c>
      <c r="C5656" s="9" t="s">
        <v>66</v>
      </c>
      <c r="D5656" s="9" t="s">
        <v>67</v>
      </c>
      <c r="E5656" s="10" t="s">
        <v>1789</v>
      </c>
      <c r="F5656" s="9" t="s">
        <v>1790</v>
      </c>
      <c r="G5656" s="10" t="s">
        <v>21</v>
      </c>
      <c r="H5656" s="9" t="s">
        <v>22</v>
      </c>
      <c r="I5656" s="9" t="s">
        <v>13095</v>
      </c>
      <c r="J5656" s="10" t="str">
        <f>HYPERLINK("https://www.boe.es/gazeta/dias/1834/05/31/pdfs/GMD-1834-100.pdf#page=3","Abrir facsímil")</f>
        <v>Abrir facsímil</v>
      </c>
      <c r="K5656" s="10" t="s">
        <v>24</v>
      </c>
    </row>
    <row r="5657" spans="1:11" ht="54" customHeight="1">
      <c r="A5657" s="9" t="s">
        <v>13096</v>
      </c>
      <c r="B5657" s="9" t="s">
        <v>13097</v>
      </c>
      <c r="C5657" s="9" t="s">
        <v>17</v>
      </c>
      <c r="D5657" s="9" t="s">
        <v>18</v>
      </c>
      <c r="E5657" s="10" t="s">
        <v>556</v>
      </c>
      <c r="F5657" s="9" t="s">
        <v>557</v>
      </c>
      <c r="G5657" s="10" t="s">
        <v>86</v>
      </c>
      <c r="H5657" s="9" t="s">
        <v>22</v>
      </c>
      <c r="I5657" s="9" t="s">
        <v>13098</v>
      </c>
      <c r="J5657" s="10" t="str">
        <f>HYPERLINK("https://www.boe.es/gazeta/dias/1834/09/13/pdfs/GMD-1834-211.pdf#page=2","Abrir facsímil")</f>
        <v>Abrir facsímil</v>
      </c>
      <c r="K5657" s="10" t="s">
        <v>24</v>
      </c>
    </row>
    <row r="5658" spans="1:11" ht="54" customHeight="1">
      <c r="A5658" s="9" t="s">
        <v>13099</v>
      </c>
      <c r="B5658" s="9" t="s">
        <v>13100</v>
      </c>
      <c r="C5658" s="9" t="s">
        <v>66</v>
      </c>
      <c r="D5658" s="9" t="s">
        <v>67</v>
      </c>
      <c r="E5658" s="10" t="s">
        <v>753</v>
      </c>
      <c r="F5658" s="9" t="s">
        <v>754</v>
      </c>
      <c r="G5658" s="10" t="s">
        <v>176</v>
      </c>
      <c r="H5658" s="9" t="s">
        <v>22</v>
      </c>
      <c r="I5658" s="9" t="s">
        <v>13101</v>
      </c>
      <c r="J5658" s="10" t="str">
        <f>HYPERLINK("https://www.boe.es/gazeta/dias/1834/04/21/pdfs/GMD-1834-60.pdf#page=6","Abrir facsímil")</f>
        <v>Abrir facsímil</v>
      </c>
      <c r="K5658" s="10" t="s">
        <v>24</v>
      </c>
    </row>
    <row r="5659" spans="1:11" ht="54" customHeight="1">
      <c r="A5659" s="9" t="s">
        <v>13102</v>
      </c>
      <c r="B5659" s="9" t="s">
        <v>13103</v>
      </c>
      <c r="C5659" s="9" t="s">
        <v>17</v>
      </c>
      <c r="D5659" s="9" t="s">
        <v>18</v>
      </c>
      <c r="E5659" s="10" t="s">
        <v>217</v>
      </c>
      <c r="F5659" s="9" t="s">
        <v>218</v>
      </c>
      <c r="G5659" s="10" t="s">
        <v>75</v>
      </c>
      <c r="H5659" s="9" t="s">
        <v>22</v>
      </c>
      <c r="I5659" s="9" t="s">
        <v>13104</v>
      </c>
      <c r="J5659" s="10" t="str">
        <f>HYPERLINK("https://www.boe.es/gazeta/dias/1834/04/20/pdfs/GMD-1834-59.pdf#page=4","Abrir facsímil")</f>
        <v>Abrir facsímil</v>
      </c>
      <c r="K5659" s="10" t="s">
        <v>24</v>
      </c>
    </row>
    <row r="5660" spans="1:11" ht="54" customHeight="1">
      <c r="A5660" s="9" t="s">
        <v>13105</v>
      </c>
      <c r="B5660" s="9" t="s">
        <v>13106</v>
      </c>
      <c r="C5660" s="9" t="s">
        <v>17</v>
      </c>
      <c r="D5660" s="9" t="s">
        <v>18</v>
      </c>
      <c r="E5660" s="10" t="s">
        <v>378</v>
      </c>
      <c r="F5660" s="9" t="s">
        <v>379</v>
      </c>
      <c r="G5660" s="10" t="s">
        <v>21</v>
      </c>
      <c r="H5660" s="9" t="s">
        <v>22</v>
      </c>
      <c r="I5660" s="9" t="s">
        <v>13107</v>
      </c>
      <c r="J5660" s="10" t="str">
        <f>HYPERLINK("https://www.boe.es/gazeta/dias/1834/09/24/pdfs/GMD-1834-222.pdf#page=3","Abrir facsímil")</f>
        <v>Abrir facsímil</v>
      </c>
      <c r="K5660" s="10" t="s">
        <v>24</v>
      </c>
    </row>
    <row r="5661" spans="1:11" ht="54" customHeight="1">
      <c r="A5661" s="9" t="s">
        <v>13108</v>
      </c>
      <c r="B5661" s="9" t="s">
        <v>13109</v>
      </c>
      <c r="C5661" s="9" t="s">
        <v>17</v>
      </c>
      <c r="D5661" s="9" t="s">
        <v>18</v>
      </c>
      <c r="E5661" s="10" t="s">
        <v>399</v>
      </c>
      <c r="F5661" s="9" t="s">
        <v>400</v>
      </c>
      <c r="G5661" s="10" t="s">
        <v>21</v>
      </c>
      <c r="H5661" s="9" t="s">
        <v>22</v>
      </c>
      <c r="I5661" s="9" t="s">
        <v>13110</v>
      </c>
      <c r="J5661" s="10" t="str">
        <f>HYPERLINK("https://www.boe.es/gazeta/dias/1834/07/08/pdfs/GMD-1834-141.pdf#page=3","Abrir facsímil")</f>
        <v>Abrir facsímil</v>
      </c>
      <c r="K5661" s="10" t="s">
        <v>24</v>
      </c>
    </row>
    <row r="5662" spans="1:11" ht="54" customHeight="1">
      <c r="A5662" s="9" t="s">
        <v>13111</v>
      </c>
      <c r="B5662" s="9" t="s">
        <v>13112</v>
      </c>
      <c r="C5662" s="9" t="s">
        <v>46</v>
      </c>
      <c r="D5662" s="9" t="s">
        <v>101</v>
      </c>
      <c r="E5662" s="10" t="s">
        <v>2950</v>
      </c>
      <c r="F5662" s="9" t="s">
        <v>2951</v>
      </c>
      <c r="G5662" s="10" t="s">
        <v>34</v>
      </c>
      <c r="H5662" s="9" t="s">
        <v>22</v>
      </c>
      <c r="I5662" s="9" t="s">
        <v>13113</v>
      </c>
      <c r="J5662" s="10" t="str">
        <f>HYPERLINK("https://www.boe.es/gazeta/dias/1834/05/20/pdfs/GMD-1834-89.pdf#page=1","Abrir facsímil")</f>
        <v>Abrir facsímil</v>
      </c>
      <c r="K5662" s="10" t="s">
        <v>24</v>
      </c>
    </row>
    <row r="5663" spans="1:11" ht="54" customHeight="1">
      <c r="A5663" s="9" t="s">
        <v>13114</v>
      </c>
      <c r="B5663" s="9" t="s">
        <v>13115</v>
      </c>
      <c r="C5663" s="9" t="s">
        <v>17</v>
      </c>
      <c r="D5663" s="9" t="s">
        <v>18</v>
      </c>
      <c r="E5663" s="10" t="s">
        <v>4736</v>
      </c>
      <c r="F5663" s="9" t="s">
        <v>4737</v>
      </c>
      <c r="G5663" s="10" t="s">
        <v>21</v>
      </c>
      <c r="H5663" s="9" t="s">
        <v>22</v>
      </c>
      <c r="I5663" s="9" t="s">
        <v>13116</v>
      </c>
      <c r="J5663" s="10" t="str">
        <f>HYPERLINK("https://www.boe.es/gazeta/dias/1834/09/16/pdfs/GMD-1834-214.pdf#page=3","Abrir facsímil")</f>
        <v>Abrir facsímil</v>
      </c>
      <c r="K5663" s="10" t="s">
        <v>24</v>
      </c>
    </row>
    <row r="5664" spans="1:11" ht="54" customHeight="1">
      <c r="A5664" s="9" t="s">
        <v>13117</v>
      </c>
      <c r="B5664" s="9" t="s">
        <v>13118</v>
      </c>
      <c r="C5664" s="9" t="s">
        <v>90</v>
      </c>
      <c r="D5664" s="9" t="s">
        <v>18</v>
      </c>
      <c r="E5664" s="10" t="s">
        <v>158</v>
      </c>
      <c r="F5664" s="9" t="s">
        <v>159</v>
      </c>
      <c r="G5664" s="10" t="s">
        <v>21</v>
      </c>
      <c r="H5664" s="9" t="s">
        <v>22</v>
      </c>
      <c r="I5664" s="9" t="s">
        <v>13119</v>
      </c>
      <c r="J5664" s="10" t="str">
        <f>HYPERLINK("https://www.boe.es/gazeta/dias/1834/10/01/pdfs/GMD-1834-229.pdf#page=3","Abrir facsímil")</f>
        <v>Abrir facsímil</v>
      </c>
      <c r="K5664" s="10" t="s">
        <v>24</v>
      </c>
    </row>
    <row r="5665" spans="1:11" ht="54" customHeight="1">
      <c r="A5665" s="9" t="s">
        <v>13120</v>
      </c>
      <c r="B5665" s="9" t="s">
        <v>13121</v>
      </c>
      <c r="C5665" s="9" t="s">
        <v>122</v>
      </c>
      <c r="D5665" s="9" t="s">
        <v>18</v>
      </c>
      <c r="E5665" s="10" t="s">
        <v>2729</v>
      </c>
      <c r="F5665" s="9" t="s">
        <v>2730</v>
      </c>
      <c r="G5665" s="10" t="s">
        <v>34</v>
      </c>
      <c r="H5665" s="9" t="s">
        <v>22</v>
      </c>
      <c r="I5665" s="9" t="s">
        <v>13122</v>
      </c>
      <c r="J5665" s="10" t="str">
        <f>HYPERLINK("https://www.boe.es/gazeta/dias/1834/07/02/pdfs/GMD-1834-135.pdf#page=1","Abrir facsímil")</f>
        <v>Abrir facsímil</v>
      </c>
      <c r="K5665" s="10" t="s">
        <v>24</v>
      </c>
    </row>
    <row r="5666" spans="1:11" ht="54" customHeight="1">
      <c r="A5666" s="9" t="s">
        <v>13123</v>
      </c>
      <c r="B5666" s="9" t="s">
        <v>13124</v>
      </c>
      <c r="C5666" s="9" t="s">
        <v>66</v>
      </c>
      <c r="D5666" s="9" t="s">
        <v>67</v>
      </c>
      <c r="E5666" s="10" t="s">
        <v>1351</v>
      </c>
      <c r="F5666" s="9" t="s">
        <v>1352</v>
      </c>
      <c r="G5666" s="10" t="s">
        <v>34</v>
      </c>
      <c r="H5666" s="9" t="s">
        <v>22</v>
      </c>
      <c r="I5666" s="9" t="s">
        <v>13125</v>
      </c>
      <c r="J5666" s="10" t="str">
        <f>HYPERLINK("https://www.boe.es/gazeta/dias/1834/07/05/pdfs/GMD-1834-138.pdf#page=1","Abrir facsímil")</f>
        <v>Abrir facsímil</v>
      </c>
      <c r="K5666" s="10" t="s">
        <v>24</v>
      </c>
    </row>
    <row r="5667" spans="1:11" ht="54" customHeight="1">
      <c r="A5667" s="9" t="s">
        <v>13123</v>
      </c>
      <c r="B5667" s="9" t="s">
        <v>13124</v>
      </c>
      <c r="C5667" s="9" t="s">
        <v>46</v>
      </c>
      <c r="D5667" s="9" t="s">
        <v>55</v>
      </c>
      <c r="E5667" s="10" t="s">
        <v>1307</v>
      </c>
      <c r="F5667" s="9" t="s">
        <v>1308</v>
      </c>
      <c r="G5667" s="10" t="s">
        <v>34</v>
      </c>
      <c r="H5667" s="9" t="s">
        <v>22</v>
      </c>
      <c r="I5667" s="9" t="s">
        <v>13126</v>
      </c>
      <c r="J5667" s="10" t="str">
        <f>HYPERLINK("https://www.boe.es/gazeta/dias/1834/08/25/pdfs/GMD-1834-191.pdf#page=1","Abrir facsímil")</f>
        <v>Abrir facsímil</v>
      </c>
      <c r="K5667" s="10" t="s">
        <v>24</v>
      </c>
    </row>
    <row r="5668" spans="1:11" ht="54" customHeight="1">
      <c r="A5668" s="9" t="s">
        <v>13127</v>
      </c>
      <c r="B5668" s="9" t="s">
        <v>13128</v>
      </c>
      <c r="C5668" s="9" t="s">
        <v>17</v>
      </c>
      <c r="D5668" s="9" t="s">
        <v>18</v>
      </c>
      <c r="E5668" s="10" t="s">
        <v>860</v>
      </c>
      <c r="F5668" s="9" t="s">
        <v>861</v>
      </c>
      <c r="G5668" s="10" t="s">
        <v>75</v>
      </c>
      <c r="H5668" s="9" t="s">
        <v>22</v>
      </c>
      <c r="I5668" s="9" t="s">
        <v>13129</v>
      </c>
      <c r="J5668" s="10" t="str">
        <f>HYPERLINK("https://www.boe.es/gazeta/dias/1834/02/08/pdfs/GMD-1834-18.pdf#page=4","Abrir facsímil")</f>
        <v>Abrir facsímil</v>
      </c>
      <c r="K5668" s="10" t="s">
        <v>24</v>
      </c>
    </row>
    <row r="5669" spans="1:11" ht="54" customHeight="1">
      <c r="A5669" s="9" t="s">
        <v>13127</v>
      </c>
      <c r="B5669" s="9" t="s">
        <v>13128</v>
      </c>
      <c r="C5669" s="9" t="s">
        <v>66</v>
      </c>
      <c r="D5669" s="9" t="s">
        <v>67</v>
      </c>
      <c r="E5669" s="10" t="s">
        <v>4565</v>
      </c>
      <c r="F5669" s="9" t="s">
        <v>4566</v>
      </c>
      <c r="G5669" s="10" t="s">
        <v>75</v>
      </c>
      <c r="H5669" s="9" t="s">
        <v>22</v>
      </c>
      <c r="I5669" s="9" t="s">
        <v>13130</v>
      </c>
      <c r="J5669" s="10" t="str">
        <f>HYPERLINK("https://www.boe.es/gazeta/dias/1834/07/10/pdfs/GMD-1834-143.pdf#page=4","Abrir facsímil")</f>
        <v>Abrir facsímil</v>
      </c>
      <c r="K5669" s="10" t="s">
        <v>24</v>
      </c>
    </row>
    <row r="5670" spans="1:11" ht="54" customHeight="1">
      <c r="A5670" s="9" t="s">
        <v>13131</v>
      </c>
      <c r="B5670" s="9" t="s">
        <v>13132</v>
      </c>
      <c r="C5670" s="9" t="s">
        <v>17</v>
      </c>
      <c r="D5670" s="9" t="s">
        <v>18</v>
      </c>
      <c r="E5670" s="10" t="s">
        <v>4064</v>
      </c>
      <c r="F5670" s="9" t="s">
        <v>4065</v>
      </c>
      <c r="G5670" s="10" t="s">
        <v>21</v>
      </c>
      <c r="H5670" s="9" t="s">
        <v>22</v>
      </c>
      <c r="I5670" s="9" t="s">
        <v>13133</v>
      </c>
      <c r="J5670" s="10" t="str">
        <f>HYPERLINK("https://www.boe.es/gazeta/dias/1834/07/22/pdfs/GMD-1834-155.pdf#page=3","Abrir facsímil")</f>
        <v>Abrir facsímil</v>
      </c>
      <c r="K5670" s="10" t="s">
        <v>24</v>
      </c>
    </row>
    <row r="5671" spans="1:11" ht="54" customHeight="1">
      <c r="A5671" s="9" t="s">
        <v>13134</v>
      </c>
      <c r="B5671" s="9" t="s">
        <v>13135</v>
      </c>
      <c r="C5671" s="9" t="s">
        <v>46</v>
      </c>
      <c r="D5671" s="9" t="s">
        <v>55</v>
      </c>
      <c r="E5671" s="10" t="s">
        <v>3170</v>
      </c>
      <c r="F5671" s="9" t="s">
        <v>3171</v>
      </c>
      <c r="G5671" s="10" t="s">
        <v>86</v>
      </c>
      <c r="H5671" s="9" t="s">
        <v>22</v>
      </c>
      <c r="I5671" s="9" t="s">
        <v>13136</v>
      </c>
      <c r="J5671" s="10" t="str">
        <f>HYPERLINK("https://www.boe.es/gazeta/dias/1834/12/07/pdfs/GMD-1834-296.pdf#page=2","Abrir facsímil")</f>
        <v>Abrir facsímil</v>
      </c>
      <c r="K5671" s="10" t="s">
        <v>24</v>
      </c>
    </row>
    <row r="5672" spans="1:11" ht="54" customHeight="1">
      <c r="A5672" s="9" t="s">
        <v>13137</v>
      </c>
      <c r="B5672" s="9" t="s">
        <v>13138</v>
      </c>
      <c r="C5672" s="9" t="s">
        <v>66</v>
      </c>
      <c r="D5672" s="9" t="s">
        <v>67</v>
      </c>
      <c r="E5672" s="10" t="s">
        <v>1141</v>
      </c>
      <c r="F5672" s="9" t="s">
        <v>1142</v>
      </c>
      <c r="G5672" s="10" t="s">
        <v>75</v>
      </c>
      <c r="H5672" s="9" t="s">
        <v>22</v>
      </c>
      <c r="I5672" s="9" t="s">
        <v>13139</v>
      </c>
      <c r="J5672" s="10" t="str">
        <f>HYPERLINK("https://www.boe.es/gazeta/dias/1834/04/30/pdfs/GMD-1834-69.pdf#page=4","Abrir facsímil")</f>
        <v>Abrir facsímil</v>
      </c>
      <c r="K5672" s="10" t="s">
        <v>24</v>
      </c>
    </row>
    <row r="5673" spans="1:11" ht="54" customHeight="1">
      <c r="A5673" s="9" t="s">
        <v>13140</v>
      </c>
      <c r="B5673" s="9" t="s">
        <v>13141</v>
      </c>
      <c r="C5673" s="9" t="s">
        <v>66</v>
      </c>
      <c r="D5673" s="9" t="s">
        <v>67</v>
      </c>
      <c r="E5673" s="10" t="s">
        <v>1135</v>
      </c>
      <c r="F5673" s="9" t="s">
        <v>1136</v>
      </c>
      <c r="G5673" s="10" t="s">
        <v>21</v>
      </c>
      <c r="H5673" s="9" t="s">
        <v>22</v>
      </c>
      <c r="I5673" s="9" t="s">
        <v>13142</v>
      </c>
      <c r="J5673" s="10" t="str">
        <f>HYPERLINK("https://www.boe.es/gazeta/dias/1834/08/26/pdfs/GMD-1834-192.pdf#page=3","Abrir facsímil")</f>
        <v>Abrir facsímil</v>
      </c>
      <c r="K5673" s="10" t="s">
        <v>24</v>
      </c>
    </row>
    <row r="5674" spans="1:11" ht="54" customHeight="1">
      <c r="A5674" s="9" t="s">
        <v>13143</v>
      </c>
      <c r="B5674" s="9" t="s">
        <v>13144</v>
      </c>
      <c r="C5674" s="9" t="s">
        <v>17</v>
      </c>
      <c r="D5674" s="9" t="s">
        <v>18</v>
      </c>
      <c r="E5674" s="10" t="s">
        <v>899</v>
      </c>
      <c r="F5674" s="9" t="s">
        <v>900</v>
      </c>
      <c r="G5674" s="10" t="s">
        <v>28</v>
      </c>
      <c r="H5674" s="9" t="s">
        <v>22</v>
      </c>
      <c r="I5674" s="9" t="s">
        <v>13145</v>
      </c>
      <c r="J5674" s="10" t="str">
        <f>HYPERLINK("https://www.boe.es/gazeta/dias/1834/01/30/pdfs/GMD-1834-14.pdf#page=5","Abrir facsímil")</f>
        <v>Abrir facsímil</v>
      </c>
      <c r="K5674" s="10" t="s">
        <v>24</v>
      </c>
    </row>
    <row r="5675" spans="1:11" ht="54" customHeight="1">
      <c r="A5675" s="9" t="s">
        <v>13146</v>
      </c>
      <c r="B5675" s="9" t="s">
        <v>13147</v>
      </c>
      <c r="C5675" s="9" t="s">
        <v>17</v>
      </c>
      <c r="D5675" s="9" t="s">
        <v>18</v>
      </c>
      <c r="E5675" s="10" t="s">
        <v>552</v>
      </c>
      <c r="F5675" s="9" t="s">
        <v>553</v>
      </c>
      <c r="G5675" s="10" t="s">
        <v>21</v>
      </c>
      <c r="H5675" s="9" t="s">
        <v>22</v>
      </c>
      <c r="I5675" s="9" t="s">
        <v>13148</v>
      </c>
      <c r="J5675" s="10" t="str">
        <f>HYPERLINK("https://www.boe.es/gazeta/dias/1834/07/30/pdfs/GMD-1834-163.pdf#page=3","Abrir facsímil")</f>
        <v>Abrir facsímil</v>
      </c>
      <c r="K5675" s="10" t="s">
        <v>24</v>
      </c>
    </row>
    <row r="5676" spans="1:11" ht="54" customHeight="1">
      <c r="A5676" s="9" t="s">
        <v>13149</v>
      </c>
      <c r="B5676" s="9" t="s">
        <v>13150</v>
      </c>
      <c r="C5676" s="9" t="s">
        <v>66</v>
      </c>
      <c r="D5676" s="9" t="s">
        <v>67</v>
      </c>
      <c r="E5676" s="10" t="s">
        <v>919</v>
      </c>
      <c r="F5676" s="9" t="s">
        <v>920</v>
      </c>
      <c r="G5676" s="10" t="s">
        <v>86</v>
      </c>
      <c r="H5676" s="9" t="s">
        <v>22</v>
      </c>
      <c r="I5676" s="9" t="s">
        <v>13151</v>
      </c>
      <c r="J5676" s="10" t="str">
        <f>HYPERLINK("https://www.boe.es/gazeta/dias/1834/06/24/pdfs/GMD-1834-127.pdf#page=2","Abrir facsímil")</f>
        <v>Abrir facsímil</v>
      </c>
      <c r="K5676" s="10" t="s">
        <v>24</v>
      </c>
    </row>
    <row r="5677" spans="1:11" ht="54" customHeight="1">
      <c r="A5677" s="9" t="s">
        <v>13152</v>
      </c>
      <c r="B5677" s="9" t="s">
        <v>13153</v>
      </c>
      <c r="C5677" s="9" t="s">
        <v>17</v>
      </c>
      <c r="D5677" s="9" t="s">
        <v>18</v>
      </c>
      <c r="E5677" s="10" t="s">
        <v>2218</v>
      </c>
      <c r="F5677" s="9" t="s">
        <v>2219</v>
      </c>
      <c r="G5677" s="10" t="s">
        <v>75</v>
      </c>
      <c r="H5677" s="9" t="s">
        <v>22</v>
      </c>
      <c r="I5677" s="9" t="s">
        <v>13154</v>
      </c>
      <c r="J5677" s="10" t="str">
        <f>HYPERLINK("https://www.boe.es/gazeta/dias/1834/11/05/pdfs/GMD-1834-264.pdf#page=4","Abrir facsímil")</f>
        <v>Abrir facsímil</v>
      </c>
      <c r="K5677" s="10" t="s">
        <v>24</v>
      </c>
    </row>
    <row r="5678" spans="1:11" ht="54" customHeight="1">
      <c r="A5678" s="9" t="s">
        <v>13155</v>
      </c>
      <c r="B5678" s="9" t="s">
        <v>13156</v>
      </c>
      <c r="C5678" s="9" t="s">
        <v>17</v>
      </c>
      <c r="D5678" s="9" t="s">
        <v>18</v>
      </c>
      <c r="E5678" s="10" t="s">
        <v>299</v>
      </c>
      <c r="F5678" s="9" t="s">
        <v>300</v>
      </c>
      <c r="G5678" s="10" t="s">
        <v>21</v>
      </c>
      <c r="H5678" s="9" t="s">
        <v>22</v>
      </c>
      <c r="I5678" s="9" t="s">
        <v>13157</v>
      </c>
      <c r="J5678" s="10" t="str">
        <f>HYPERLINK("https://www.boe.es/gazeta/dias/1834/12/12/pdfs/GMD-1834-301.pdf#page=3","Abrir facsímil")</f>
        <v>Abrir facsímil</v>
      </c>
      <c r="K5678" s="10" t="s">
        <v>24</v>
      </c>
    </row>
    <row r="5679" spans="1:11" ht="54" customHeight="1">
      <c r="A5679" s="9" t="s">
        <v>13155</v>
      </c>
      <c r="B5679" s="9" t="s">
        <v>13156</v>
      </c>
      <c r="C5679" s="9" t="s">
        <v>17</v>
      </c>
      <c r="D5679" s="9" t="s">
        <v>55</v>
      </c>
      <c r="E5679" s="10" t="s">
        <v>1239</v>
      </c>
      <c r="F5679" s="9" t="s">
        <v>1240</v>
      </c>
      <c r="G5679" s="10" t="s">
        <v>34</v>
      </c>
      <c r="H5679" s="9" t="s">
        <v>22</v>
      </c>
      <c r="I5679" s="9" t="s">
        <v>13158</v>
      </c>
      <c r="J5679" s="10" t="str">
        <f>HYPERLINK("https://www.boe.es/gazeta/dias/1834/08/20/pdfs/GMD-1834-186.pdf#page=1","Abrir facsímil")</f>
        <v>Abrir facsímil</v>
      </c>
      <c r="K5679" s="10" t="s">
        <v>24</v>
      </c>
    </row>
    <row r="5680" spans="1:11" ht="54" customHeight="1">
      <c r="A5680" s="9" t="s">
        <v>13155</v>
      </c>
      <c r="B5680" s="9" t="s">
        <v>13156</v>
      </c>
      <c r="C5680" s="9" t="s">
        <v>17</v>
      </c>
      <c r="D5680" s="9" t="s">
        <v>18</v>
      </c>
      <c r="E5680" s="10" t="s">
        <v>2142</v>
      </c>
      <c r="F5680" s="9" t="s">
        <v>2143</v>
      </c>
      <c r="G5680" s="10" t="s">
        <v>21</v>
      </c>
      <c r="H5680" s="9" t="s">
        <v>22</v>
      </c>
      <c r="I5680" s="9" t="s">
        <v>13159</v>
      </c>
      <c r="J5680" s="10" t="str">
        <f>HYPERLINK("https://www.boe.es/gazeta/dias/1834/12/27/pdfs/GMD-1834-317.pdf#page=3","Abrir facsímil")</f>
        <v>Abrir facsímil</v>
      </c>
      <c r="K5680" s="10" t="s">
        <v>24</v>
      </c>
    </row>
    <row r="5681" spans="1:11" ht="54" customHeight="1">
      <c r="A5681" s="9" t="s">
        <v>13160</v>
      </c>
      <c r="B5681" s="9" t="s">
        <v>13161</v>
      </c>
      <c r="C5681" s="9" t="s">
        <v>66</v>
      </c>
      <c r="D5681" s="9" t="s">
        <v>67</v>
      </c>
      <c r="E5681" s="10" t="s">
        <v>299</v>
      </c>
      <c r="F5681" s="9" t="s">
        <v>300</v>
      </c>
      <c r="G5681" s="10" t="s">
        <v>75</v>
      </c>
      <c r="H5681" s="9" t="s">
        <v>22</v>
      </c>
      <c r="I5681" s="9" t="s">
        <v>13162</v>
      </c>
      <c r="J5681" s="10" t="str">
        <f>HYPERLINK("https://www.boe.es/gazeta/dias/1834/12/12/pdfs/GMD-1834-301.pdf#page=4","Abrir facsímil")</f>
        <v>Abrir facsímil</v>
      </c>
      <c r="K5681" s="10" t="s">
        <v>24</v>
      </c>
    </row>
    <row r="5682" spans="1:11" ht="54" customHeight="1">
      <c r="A5682" s="9" t="s">
        <v>13163</v>
      </c>
      <c r="B5682" s="9" t="s">
        <v>13164</v>
      </c>
      <c r="C5682" s="9" t="s">
        <v>46</v>
      </c>
      <c r="D5682" s="9" t="s">
        <v>101</v>
      </c>
      <c r="E5682" s="10" t="s">
        <v>615</v>
      </c>
      <c r="F5682" s="9" t="s">
        <v>616</v>
      </c>
      <c r="G5682" s="10" t="s">
        <v>34</v>
      </c>
      <c r="H5682" s="9" t="s">
        <v>22</v>
      </c>
      <c r="I5682" s="9" t="s">
        <v>13165</v>
      </c>
      <c r="J5682" s="10" t="str">
        <f>HYPERLINK("https://www.boe.es/gazeta/dias/1834/08/19/pdfs/GMD-1834-185.pdf#page=1","Abrir facsímil")</f>
        <v>Abrir facsímil</v>
      </c>
      <c r="K5682" s="10" t="s">
        <v>24</v>
      </c>
    </row>
    <row r="5683" spans="1:11" ht="54" customHeight="1">
      <c r="A5683" s="9" t="s">
        <v>13166</v>
      </c>
      <c r="B5683" s="9" t="s">
        <v>13167</v>
      </c>
      <c r="C5683" s="9" t="s">
        <v>17</v>
      </c>
      <c r="D5683" s="9" t="s">
        <v>18</v>
      </c>
      <c r="E5683" s="10" t="s">
        <v>343</v>
      </c>
      <c r="F5683" s="9" t="s">
        <v>344</v>
      </c>
      <c r="G5683" s="10" t="s">
        <v>75</v>
      </c>
      <c r="H5683" s="9" t="s">
        <v>22</v>
      </c>
      <c r="I5683" s="9" t="s">
        <v>13168</v>
      </c>
      <c r="J5683" s="10" t="str">
        <f>HYPERLINK("https://www.boe.es/gazeta/dias/1834/01/14/pdfs/GMD-1834-7.pdf#page=4","Abrir facsímil")</f>
        <v>Abrir facsímil</v>
      </c>
      <c r="K5683" s="10" t="s">
        <v>24</v>
      </c>
    </row>
    <row r="5684" spans="1:11" ht="54" customHeight="1">
      <c r="A5684" s="9" t="s">
        <v>13169</v>
      </c>
      <c r="B5684" s="9" t="s">
        <v>13170</v>
      </c>
      <c r="C5684" s="9" t="s">
        <v>66</v>
      </c>
      <c r="D5684" s="9" t="s">
        <v>67</v>
      </c>
      <c r="E5684" s="10" t="s">
        <v>343</v>
      </c>
      <c r="F5684" s="9" t="s">
        <v>344</v>
      </c>
      <c r="G5684" s="10" t="s">
        <v>75</v>
      </c>
      <c r="H5684" s="9" t="s">
        <v>22</v>
      </c>
      <c r="I5684" s="9" t="s">
        <v>13171</v>
      </c>
      <c r="J5684" s="10" t="str">
        <f>HYPERLINK("https://www.boe.es/gazeta/dias/1834/01/14/pdfs/GMD-1834-7.pdf#page=4","Abrir facsímil")</f>
        <v>Abrir facsímil</v>
      </c>
      <c r="K5684" s="10" t="s">
        <v>24</v>
      </c>
    </row>
    <row r="5685" spans="1:11" ht="54" customHeight="1">
      <c r="A5685" s="9" t="s">
        <v>13172</v>
      </c>
      <c r="B5685" s="9" t="s">
        <v>13173</v>
      </c>
      <c r="C5685" s="9" t="s">
        <v>17</v>
      </c>
      <c r="D5685" s="9" t="s">
        <v>18</v>
      </c>
      <c r="E5685" s="10" t="s">
        <v>4237</v>
      </c>
      <c r="F5685" s="9" t="s">
        <v>4238</v>
      </c>
      <c r="G5685" s="10" t="s">
        <v>21</v>
      </c>
      <c r="H5685" s="9" t="s">
        <v>22</v>
      </c>
      <c r="I5685" s="9" t="s">
        <v>13174</v>
      </c>
      <c r="J5685" s="10" t="str">
        <f>HYPERLINK("https://www.boe.es/gazeta/dias/1834/06/17/pdfs/GMD-1834-120.pdf#page=3","Abrir facsímil")</f>
        <v>Abrir facsímil</v>
      </c>
      <c r="K5685" s="10" t="s">
        <v>24</v>
      </c>
    </row>
    <row r="5686" spans="1:11" ht="54" customHeight="1">
      <c r="A5686" s="9" t="s">
        <v>13175</v>
      </c>
      <c r="B5686" s="9" t="s">
        <v>13176</v>
      </c>
      <c r="C5686" s="9" t="s">
        <v>17</v>
      </c>
      <c r="D5686" s="9" t="s">
        <v>18</v>
      </c>
      <c r="E5686" s="10" t="s">
        <v>4736</v>
      </c>
      <c r="F5686" s="9" t="s">
        <v>4737</v>
      </c>
      <c r="G5686" s="10" t="s">
        <v>86</v>
      </c>
      <c r="H5686" s="9" t="s">
        <v>22</v>
      </c>
      <c r="I5686" s="9" t="s">
        <v>13177</v>
      </c>
      <c r="J5686" s="10" t="str">
        <f>HYPERLINK("https://www.boe.es/gazeta/dias/1834/09/16/pdfs/GMD-1834-214.pdf#page=2","Abrir facsímil")</f>
        <v>Abrir facsímil</v>
      </c>
      <c r="K5686" s="10" t="s">
        <v>24</v>
      </c>
    </row>
    <row r="5687" spans="1:11" ht="54" customHeight="1">
      <c r="A5687" s="9" t="s">
        <v>13178</v>
      </c>
      <c r="B5687" s="9" t="s">
        <v>13179</v>
      </c>
      <c r="C5687" s="9" t="s">
        <v>46</v>
      </c>
      <c r="D5687" s="9" t="s">
        <v>18</v>
      </c>
      <c r="E5687" s="10" t="s">
        <v>1812</v>
      </c>
      <c r="F5687" s="9" t="s">
        <v>1813</v>
      </c>
      <c r="G5687" s="10" t="s">
        <v>21</v>
      </c>
      <c r="H5687" s="9" t="s">
        <v>22</v>
      </c>
      <c r="I5687" s="9" t="s">
        <v>13180</v>
      </c>
      <c r="J5687" s="10" t="str">
        <f>HYPERLINK("https://www.boe.es/gazeta/dias/1834/10/23/pdfs/GMD-1834-251.pdf#page=3","Abrir facsímil")</f>
        <v>Abrir facsímil</v>
      </c>
      <c r="K5687" s="10" t="s">
        <v>24</v>
      </c>
    </row>
    <row r="5688" spans="1:11" ht="54" customHeight="1">
      <c r="A5688" s="9" t="s">
        <v>13181</v>
      </c>
      <c r="B5688" s="9" t="s">
        <v>13182</v>
      </c>
      <c r="C5688" s="9" t="s">
        <v>90</v>
      </c>
      <c r="D5688" s="9" t="s">
        <v>18</v>
      </c>
      <c r="E5688" s="10" t="s">
        <v>237</v>
      </c>
      <c r="F5688" s="9" t="s">
        <v>238</v>
      </c>
      <c r="G5688" s="10" t="s">
        <v>34</v>
      </c>
      <c r="H5688" s="9" t="s">
        <v>22</v>
      </c>
      <c r="I5688" s="9" t="s">
        <v>13183</v>
      </c>
      <c r="J5688" s="10" t="str">
        <f>HYPERLINK("https://www.boe.es/gazeta/dias/1834/08/15/pdfs/GMD-C-1834-180.pdf#page=1","Abrir facsímil")</f>
        <v>Abrir facsímil</v>
      </c>
      <c r="K5688" s="10" t="s">
        <v>24</v>
      </c>
    </row>
    <row r="5689" spans="1:11" ht="54" customHeight="1">
      <c r="A5689" s="9" t="s">
        <v>13184</v>
      </c>
      <c r="B5689" s="9" t="s">
        <v>13185</v>
      </c>
      <c r="C5689" s="9" t="s">
        <v>122</v>
      </c>
      <c r="D5689" s="9" t="s">
        <v>40</v>
      </c>
      <c r="E5689" s="10" t="s">
        <v>715</v>
      </c>
      <c r="F5689" s="9" t="s">
        <v>716</v>
      </c>
      <c r="G5689" s="10" t="s">
        <v>34</v>
      </c>
      <c r="H5689" s="9" t="s">
        <v>22</v>
      </c>
      <c r="I5689" s="9" t="s">
        <v>13186</v>
      </c>
      <c r="J5689" s="10" t="str">
        <f>HYPERLINK("https://www.boe.es/gazeta/dias/1834/09/17/pdfs/GMD-C-1834-215.pdf#page=1","Abrir facsímil")</f>
        <v>Abrir facsímil</v>
      </c>
      <c r="K5689" s="10" t="s">
        <v>24</v>
      </c>
    </row>
    <row r="5690" spans="1:11" ht="54" customHeight="1">
      <c r="A5690" s="9" t="s">
        <v>13187</v>
      </c>
      <c r="B5690" s="9" t="s">
        <v>13188</v>
      </c>
      <c r="C5690" s="9" t="s">
        <v>66</v>
      </c>
      <c r="D5690" s="9" t="s">
        <v>67</v>
      </c>
      <c r="E5690" s="10" t="s">
        <v>1119</v>
      </c>
      <c r="F5690" s="9" t="s">
        <v>1120</v>
      </c>
      <c r="G5690" s="10" t="s">
        <v>21</v>
      </c>
      <c r="H5690" s="9" t="s">
        <v>22</v>
      </c>
      <c r="I5690" s="9" t="s">
        <v>13189</v>
      </c>
      <c r="J5690" s="10" t="str">
        <f>HYPERLINK("https://www.boe.es/gazeta/dias/1834/07/17/pdfs/GMD-1834-150.pdf#page=3","Abrir facsímil")</f>
        <v>Abrir facsímil</v>
      </c>
      <c r="K5690" s="10" t="s">
        <v>24</v>
      </c>
    </row>
    <row r="5691" spans="1:11" ht="54" customHeight="1">
      <c r="A5691" s="9" t="s">
        <v>13190</v>
      </c>
      <c r="B5691" s="9" t="s">
        <v>13191</v>
      </c>
      <c r="C5691" s="9" t="s">
        <v>17</v>
      </c>
      <c r="D5691" s="9" t="s">
        <v>18</v>
      </c>
      <c r="E5691" s="10" t="s">
        <v>1692</v>
      </c>
      <c r="F5691" s="9" t="s">
        <v>1693</v>
      </c>
      <c r="G5691" s="10" t="s">
        <v>34</v>
      </c>
      <c r="H5691" s="9" t="s">
        <v>22</v>
      </c>
      <c r="I5691" s="9" t="s">
        <v>13192</v>
      </c>
      <c r="J5691" s="10" t="str">
        <f>HYPERLINK("https://www.boe.es/gazeta/dias/1834/07/29/pdfs/GMD-1834-162.pdf#page=1","Abrir facsímil")</f>
        <v>Abrir facsímil</v>
      </c>
      <c r="K5691" s="10" t="s">
        <v>24</v>
      </c>
    </row>
    <row r="5692" spans="1:11" ht="54" customHeight="1">
      <c r="A5692" s="9" t="s">
        <v>13193</v>
      </c>
      <c r="B5692" s="9" t="s">
        <v>13194</v>
      </c>
      <c r="C5692" s="9" t="s">
        <v>17</v>
      </c>
      <c r="D5692" s="9" t="s">
        <v>40</v>
      </c>
      <c r="E5692" s="10" t="s">
        <v>1125</v>
      </c>
      <c r="F5692" s="9" t="s">
        <v>2490</v>
      </c>
      <c r="G5692" s="10" t="s">
        <v>470</v>
      </c>
      <c r="H5692" s="9" t="s">
        <v>22</v>
      </c>
      <c r="I5692" s="9" t="s">
        <v>13195</v>
      </c>
      <c r="J5692" s="10" t="str">
        <f>HYPERLINK("https://www.boe.es/gazeta/dias/1834/04/17/pdfs/GMD-1834-56.pdf#page=8","Abrir facsímil")</f>
        <v>Abrir facsímil</v>
      </c>
      <c r="K5692" s="10" t="s">
        <v>24</v>
      </c>
    </row>
    <row r="5693" spans="1:11" ht="54" customHeight="1">
      <c r="A5693" s="9" t="s">
        <v>13196</v>
      </c>
      <c r="B5693" s="9" t="s">
        <v>13197</v>
      </c>
      <c r="C5693" s="9" t="s">
        <v>17</v>
      </c>
      <c r="D5693" s="9" t="s">
        <v>18</v>
      </c>
      <c r="E5693" s="10" t="s">
        <v>299</v>
      </c>
      <c r="F5693" s="9" t="s">
        <v>300</v>
      </c>
      <c r="G5693" s="10" t="s">
        <v>75</v>
      </c>
      <c r="H5693" s="9" t="s">
        <v>22</v>
      </c>
      <c r="I5693" s="9" t="s">
        <v>13198</v>
      </c>
      <c r="J5693" s="10" t="str">
        <f>HYPERLINK("https://www.boe.es/gazeta/dias/1834/12/12/pdfs/GMD-1834-301.pdf#page=4","Abrir facsímil")</f>
        <v>Abrir facsímil</v>
      </c>
      <c r="K5693" s="10" t="s">
        <v>24</v>
      </c>
    </row>
    <row r="5694" spans="1:11" ht="54" customHeight="1">
      <c r="A5694" s="9" t="s">
        <v>13199</v>
      </c>
      <c r="B5694" s="9" t="s">
        <v>13200</v>
      </c>
      <c r="C5694" s="9" t="s">
        <v>90</v>
      </c>
      <c r="D5694" s="9" t="s">
        <v>18</v>
      </c>
      <c r="E5694" s="10" t="s">
        <v>19</v>
      </c>
      <c r="F5694" s="9" t="s">
        <v>1933</v>
      </c>
      <c r="G5694" s="10" t="s">
        <v>34</v>
      </c>
      <c r="H5694" s="9" t="s">
        <v>22</v>
      </c>
      <c r="I5694" s="9" t="s">
        <v>13201</v>
      </c>
      <c r="J5694" s="10" t="str">
        <f>HYPERLINK("https://www.boe.es/gazeta/dias/1834/08/17/pdfs/GMD-1834-183E.pdf#page=1","Abrir facsímil")</f>
        <v>Abrir facsímil</v>
      </c>
      <c r="K5694" s="10" t="s">
        <v>24</v>
      </c>
    </row>
    <row r="5695" spans="1:11" ht="54" customHeight="1">
      <c r="A5695" s="9" t="s">
        <v>13202</v>
      </c>
      <c r="B5695" s="9" t="s">
        <v>13203</v>
      </c>
      <c r="C5695" s="9" t="s">
        <v>17</v>
      </c>
      <c r="D5695" s="9" t="s">
        <v>18</v>
      </c>
      <c r="E5695" s="10" t="s">
        <v>183</v>
      </c>
      <c r="F5695" s="9" t="s">
        <v>184</v>
      </c>
      <c r="G5695" s="10" t="s">
        <v>75</v>
      </c>
      <c r="H5695" s="9" t="s">
        <v>22</v>
      </c>
      <c r="I5695" s="9" t="s">
        <v>13204</v>
      </c>
      <c r="J5695" s="10" t="str">
        <f>HYPERLINK("https://www.boe.es/gazeta/dias/1834/03/18/pdfs/GMD-1834-34.pdf#page=4","Abrir facsímil")</f>
        <v>Abrir facsímil</v>
      </c>
      <c r="K5695" s="10" t="s">
        <v>24</v>
      </c>
    </row>
    <row r="5696" spans="1:11" ht="54" customHeight="1">
      <c r="A5696" s="9" t="s">
        <v>13205</v>
      </c>
      <c r="B5696" s="9" t="s">
        <v>13206</v>
      </c>
      <c r="C5696" s="9" t="s">
        <v>17</v>
      </c>
      <c r="D5696" s="9" t="s">
        <v>18</v>
      </c>
      <c r="E5696" s="10" t="s">
        <v>280</v>
      </c>
      <c r="F5696" s="9" t="s">
        <v>281</v>
      </c>
      <c r="G5696" s="10" t="s">
        <v>21</v>
      </c>
      <c r="H5696" s="9" t="s">
        <v>22</v>
      </c>
      <c r="I5696" s="9" t="s">
        <v>13207</v>
      </c>
      <c r="J5696" s="10" t="str">
        <f>HYPERLINK("https://www.boe.es/gazeta/dias/1834/08/29/pdfs/GMD-C-1834-195.pdf#page=3","Abrir facsímil")</f>
        <v>Abrir facsímil</v>
      </c>
      <c r="K5696" s="10" t="s">
        <v>24</v>
      </c>
    </row>
    <row r="5697" spans="1:11" ht="54" customHeight="1">
      <c r="A5697" s="9" t="s">
        <v>13208</v>
      </c>
      <c r="B5697" s="9" t="s">
        <v>13209</v>
      </c>
      <c r="C5697" s="9" t="s">
        <v>66</v>
      </c>
      <c r="D5697" s="9" t="s">
        <v>67</v>
      </c>
      <c r="E5697" s="10" t="s">
        <v>1505</v>
      </c>
      <c r="F5697" s="9" t="s">
        <v>1506</v>
      </c>
      <c r="G5697" s="10" t="s">
        <v>75</v>
      </c>
      <c r="H5697" s="9" t="s">
        <v>22</v>
      </c>
      <c r="I5697" s="9" t="s">
        <v>13210</v>
      </c>
      <c r="J5697" s="10" t="str">
        <f>HYPERLINK("https://www.boe.es/gazeta/dias/1834/05/08/pdfs/GMD-1834-77.pdf#page=4","Abrir facsímil")</f>
        <v>Abrir facsímil</v>
      </c>
      <c r="K5697" s="10" t="s">
        <v>24</v>
      </c>
    </row>
    <row r="5698" spans="1:11" ht="54" customHeight="1">
      <c r="A5698" s="9" t="s">
        <v>13211</v>
      </c>
      <c r="B5698" s="9" t="s">
        <v>13212</v>
      </c>
      <c r="C5698" s="9" t="s">
        <v>66</v>
      </c>
      <c r="D5698" s="9" t="s">
        <v>18</v>
      </c>
      <c r="E5698" s="10" t="s">
        <v>1170</v>
      </c>
      <c r="F5698" s="9" t="s">
        <v>1171</v>
      </c>
      <c r="G5698" s="10" t="s">
        <v>28</v>
      </c>
      <c r="H5698" s="9" t="s">
        <v>22</v>
      </c>
      <c r="I5698" s="9" t="s">
        <v>13213</v>
      </c>
      <c r="J5698" s="10" t="str">
        <f>HYPERLINK("https://www.boe.es/gazeta/dias/1834/01/07/pdfs/GMD-1834-4.pdf#page=5","Abrir facsímil")</f>
        <v>Abrir facsímil</v>
      </c>
      <c r="K5698" s="10" t="s">
        <v>24</v>
      </c>
    </row>
    <row r="5699" spans="1:11" ht="54" customHeight="1">
      <c r="A5699" s="9" t="s">
        <v>13214</v>
      </c>
      <c r="B5699" s="9" t="s">
        <v>13215</v>
      </c>
      <c r="C5699" s="9" t="s">
        <v>17</v>
      </c>
      <c r="D5699" s="9" t="s">
        <v>18</v>
      </c>
      <c r="E5699" s="10" t="s">
        <v>3810</v>
      </c>
      <c r="F5699" s="9" t="s">
        <v>3811</v>
      </c>
      <c r="G5699" s="10" t="s">
        <v>86</v>
      </c>
      <c r="H5699" s="9" t="s">
        <v>22</v>
      </c>
      <c r="I5699" s="9" t="s">
        <v>13216</v>
      </c>
      <c r="J5699" s="10" t="str">
        <f>HYPERLINK("https://www.boe.es/gazeta/dias/1834/02/20/pdfs/GMD-1834-23.pdf#page=2","Abrir facsímil")</f>
        <v>Abrir facsímil</v>
      </c>
      <c r="K5699" s="10" t="s">
        <v>24</v>
      </c>
    </row>
    <row r="5700" spans="1:11" ht="54" customHeight="1">
      <c r="A5700" s="9" t="s">
        <v>13217</v>
      </c>
      <c r="B5700" s="9" t="s">
        <v>13218</v>
      </c>
      <c r="C5700" s="9" t="s">
        <v>17</v>
      </c>
      <c r="D5700" s="9" t="s">
        <v>55</v>
      </c>
      <c r="E5700" s="10" t="s">
        <v>84</v>
      </c>
      <c r="F5700" s="9" t="s">
        <v>1223</v>
      </c>
      <c r="G5700" s="10" t="s">
        <v>75</v>
      </c>
      <c r="H5700" s="9" t="s">
        <v>22</v>
      </c>
      <c r="I5700" s="9" t="s">
        <v>13219</v>
      </c>
      <c r="J5700" s="10" t="str">
        <f>HYPERLINK("https://www.boe.es/gazeta/dias/1834/06/07/pdfs/GMD-1834-109.pdf#page=4","Abrir facsímil")</f>
        <v>Abrir facsímil</v>
      </c>
      <c r="K5700" s="10" t="s">
        <v>24</v>
      </c>
    </row>
    <row r="5701" spans="1:11" ht="54" customHeight="1">
      <c r="A5701" s="9" t="s">
        <v>13220</v>
      </c>
      <c r="B5701" s="9" t="s">
        <v>13221</v>
      </c>
      <c r="C5701" s="9" t="s">
        <v>46</v>
      </c>
      <c r="D5701" s="9" t="s">
        <v>101</v>
      </c>
      <c r="E5701" s="10" t="s">
        <v>777</v>
      </c>
      <c r="F5701" s="9" t="s">
        <v>2535</v>
      </c>
      <c r="G5701" s="10" t="s">
        <v>34</v>
      </c>
      <c r="H5701" s="9" t="s">
        <v>22</v>
      </c>
      <c r="I5701" s="9" t="s">
        <v>13222</v>
      </c>
      <c r="J5701" s="10" t="str">
        <f>HYPERLINK("https://www.boe.es/gazeta/dias/1834/10/29/pdfs/GMD-C-1834-257.pdf#page=1","Abrir facsímil")</f>
        <v>Abrir facsímil</v>
      </c>
      <c r="K5701" s="10" t="s">
        <v>24</v>
      </c>
    </row>
    <row r="5702" spans="1:11" ht="54" customHeight="1">
      <c r="A5702" s="9" t="s">
        <v>13223</v>
      </c>
      <c r="B5702" s="9" t="s">
        <v>13224</v>
      </c>
      <c r="C5702" s="9" t="s">
        <v>17</v>
      </c>
      <c r="D5702" s="9" t="s">
        <v>18</v>
      </c>
      <c r="E5702" s="10" t="s">
        <v>928</v>
      </c>
      <c r="F5702" s="9" t="s">
        <v>3338</v>
      </c>
      <c r="G5702" s="10" t="s">
        <v>86</v>
      </c>
      <c r="H5702" s="9" t="s">
        <v>22</v>
      </c>
      <c r="I5702" s="9" t="s">
        <v>13225</v>
      </c>
      <c r="J5702" s="10" t="str">
        <f>HYPERLINK("https://www.boe.es/gazeta/dias/1834/11/15/pdfs/GMD-1834-274.pdf#page=2","Abrir facsímil")</f>
        <v>Abrir facsímil</v>
      </c>
      <c r="K5702" s="10" t="s">
        <v>24</v>
      </c>
    </row>
    <row r="5703" spans="1:11" ht="54" customHeight="1">
      <c r="A5703" s="9" t="s">
        <v>13226</v>
      </c>
      <c r="B5703" s="9" t="s">
        <v>13227</v>
      </c>
      <c r="C5703" s="9" t="s">
        <v>17</v>
      </c>
      <c r="D5703" s="9" t="s">
        <v>18</v>
      </c>
      <c r="E5703" s="10" t="s">
        <v>2729</v>
      </c>
      <c r="F5703" s="9" t="s">
        <v>2730</v>
      </c>
      <c r="G5703" s="10" t="s">
        <v>34</v>
      </c>
      <c r="H5703" s="9" t="s">
        <v>35</v>
      </c>
      <c r="I5703" s="9" t="s">
        <v>13228</v>
      </c>
      <c r="J5703" s="10" t="str">
        <f>HYPERLINK("https://www.boe.es/gazeta/dias/1834/07/02/pdfs/GMD-1834-135.pdf#page=1","Abrir facsímil")</f>
        <v>Abrir facsímil</v>
      </c>
      <c r="K5703" s="10" t="s">
        <v>37</v>
      </c>
    </row>
    <row r="5704" spans="1:11" ht="54" customHeight="1">
      <c r="A5704" s="9" t="s">
        <v>13229</v>
      </c>
      <c r="B5704" s="9" t="s">
        <v>13230</v>
      </c>
      <c r="C5704" s="9" t="s">
        <v>17</v>
      </c>
      <c r="D5704" s="9" t="s">
        <v>18</v>
      </c>
      <c r="E5704" s="10" t="s">
        <v>939</v>
      </c>
      <c r="F5704" s="9" t="s">
        <v>940</v>
      </c>
      <c r="G5704" s="10" t="s">
        <v>34</v>
      </c>
      <c r="H5704" s="9" t="s">
        <v>22</v>
      </c>
      <c r="I5704" s="9" t="s">
        <v>13231</v>
      </c>
      <c r="J5704" s="10" t="str">
        <f>HYPERLINK("https://www.boe.es/gazeta/dias/1834/06/10/pdfs/GMD-1834-113.pdf#page=1","Abrir facsímil")</f>
        <v>Abrir facsímil</v>
      </c>
      <c r="K5704" s="10" t="s">
        <v>24</v>
      </c>
    </row>
    <row r="5705" spans="1:11" ht="54" customHeight="1">
      <c r="A5705" s="9" t="s">
        <v>13232</v>
      </c>
      <c r="B5705" s="9" t="s">
        <v>13233</v>
      </c>
      <c r="C5705" s="9" t="s">
        <v>17</v>
      </c>
      <c r="D5705" s="9" t="s">
        <v>18</v>
      </c>
      <c r="E5705" s="10" t="s">
        <v>465</v>
      </c>
      <c r="F5705" s="9" t="s">
        <v>466</v>
      </c>
      <c r="G5705" s="10" t="s">
        <v>28</v>
      </c>
      <c r="H5705" s="9" t="s">
        <v>22</v>
      </c>
      <c r="I5705" s="9" t="s">
        <v>13234</v>
      </c>
      <c r="J5705" s="10" t="str">
        <f>HYPERLINK("https://www.boe.es/gazeta/dias/1834/11/27/pdfs/GMD-C-1834-286.pdf#page=5","Abrir facsímil")</f>
        <v>Abrir facsímil</v>
      </c>
      <c r="K5705" s="10" t="s">
        <v>24</v>
      </c>
    </row>
    <row r="5706" spans="1:11" ht="54" customHeight="1">
      <c r="A5706" s="9" t="s">
        <v>13235</v>
      </c>
      <c r="B5706" s="9" t="s">
        <v>13236</v>
      </c>
      <c r="C5706" s="9" t="s">
        <v>46</v>
      </c>
      <c r="D5706" s="9" t="s">
        <v>55</v>
      </c>
      <c r="E5706" s="10" t="s">
        <v>237</v>
      </c>
      <c r="F5706" s="9" t="s">
        <v>4609</v>
      </c>
      <c r="G5706" s="10" t="s">
        <v>34</v>
      </c>
      <c r="H5706" s="9" t="s">
        <v>22</v>
      </c>
      <c r="I5706" s="9" t="s">
        <v>13237</v>
      </c>
      <c r="J5706" s="10" t="str">
        <f>HYPERLINK("https://www.boe.es/gazeta/dias/1834/08/15/pdfs/GMD-1834-180.pdf#page=1","Abrir facsímil")</f>
        <v>Abrir facsímil</v>
      </c>
      <c r="K5706" s="10" t="s">
        <v>24</v>
      </c>
    </row>
    <row r="5707" spans="1:11" ht="54" customHeight="1">
      <c r="A5707" s="9" t="s">
        <v>13238</v>
      </c>
      <c r="B5707" s="9" t="s">
        <v>13239</v>
      </c>
      <c r="C5707" s="9" t="s">
        <v>17</v>
      </c>
      <c r="D5707" s="9" t="s">
        <v>18</v>
      </c>
      <c r="E5707" s="10" t="s">
        <v>2729</v>
      </c>
      <c r="F5707" s="9" t="s">
        <v>2730</v>
      </c>
      <c r="G5707" s="10" t="s">
        <v>34</v>
      </c>
      <c r="H5707" s="9" t="s">
        <v>22</v>
      </c>
      <c r="I5707" s="9" t="s">
        <v>13240</v>
      </c>
      <c r="J5707" s="10" t="str">
        <f>HYPERLINK("https://www.boe.es/gazeta/dias/1834/07/02/pdfs/GMD-1834-135.pdf#page=1","Abrir facsímil")</f>
        <v>Abrir facsímil</v>
      </c>
      <c r="K5707" s="10" t="s">
        <v>24</v>
      </c>
    </row>
    <row r="5708" spans="1:11" ht="54" customHeight="1">
      <c r="A5708" s="9" t="s">
        <v>13241</v>
      </c>
      <c r="B5708" s="9" t="s">
        <v>13242</v>
      </c>
      <c r="C5708" s="9" t="s">
        <v>46</v>
      </c>
      <c r="D5708" s="9" t="s">
        <v>55</v>
      </c>
      <c r="E5708" s="10" t="s">
        <v>506</v>
      </c>
      <c r="F5708" s="9" t="s">
        <v>507</v>
      </c>
      <c r="G5708" s="10" t="s">
        <v>75</v>
      </c>
      <c r="H5708" s="9" t="s">
        <v>22</v>
      </c>
      <c r="I5708" s="9" t="s">
        <v>13243</v>
      </c>
      <c r="J5708" s="10" t="str">
        <f>HYPERLINK("https://www.boe.es/gazeta/dias/1834/03/04/pdfs/GMD-1834-28.pdf#page=4","Abrir facsímil")</f>
        <v>Abrir facsímil</v>
      </c>
      <c r="K5708" s="10" t="s">
        <v>24</v>
      </c>
    </row>
    <row r="5709" spans="1:11" ht="54" customHeight="1">
      <c r="A5709" s="9" t="s">
        <v>13244</v>
      </c>
      <c r="B5709" s="9" t="s">
        <v>13245</v>
      </c>
      <c r="C5709" s="9" t="s">
        <v>17</v>
      </c>
      <c r="D5709" s="9" t="s">
        <v>18</v>
      </c>
      <c r="E5709" s="10" t="s">
        <v>343</v>
      </c>
      <c r="F5709" s="9" t="s">
        <v>344</v>
      </c>
      <c r="G5709" s="10" t="s">
        <v>75</v>
      </c>
      <c r="H5709" s="9" t="s">
        <v>22</v>
      </c>
      <c r="I5709" s="9" t="s">
        <v>13246</v>
      </c>
      <c r="J5709" s="10" t="str">
        <f>HYPERLINK("https://www.boe.es/gazeta/dias/1834/01/14/pdfs/GMD-1834-7.pdf#page=4","Abrir facsímil")</f>
        <v>Abrir facsímil</v>
      </c>
      <c r="K5709" s="10" t="s">
        <v>24</v>
      </c>
    </row>
    <row r="5710" spans="1:11" ht="54" customHeight="1">
      <c r="A5710" s="9" t="s">
        <v>13247</v>
      </c>
      <c r="B5710" s="9" t="s">
        <v>13248</v>
      </c>
      <c r="C5710" s="9" t="s">
        <v>90</v>
      </c>
      <c r="D5710" s="9" t="s">
        <v>18</v>
      </c>
      <c r="E5710" s="10" t="s">
        <v>1135</v>
      </c>
      <c r="F5710" s="9" t="s">
        <v>1136</v>
      </c>
      <c r="G5710" s="10" t="s">
        <v>21</v>
      </c>
      <c r="H5710" s="9" t="s">
        <v>22</v>
      </c>
      <c r="I5710" s="9" t="s">
        <v>13249</v>
      </c>
      <c r="J5710" s="10" t="str">
        <f>HYPERLINK("https://www.boe.es/gazeta/dias/1834/08/26/pdfs/GMD-1834-192.pdf#page=3","Abrir facsímil")</f>
        <v>Abrir facsímil</v>
      </c>
      <c r="K5710" s="10" t="s">
        <v>24</v>
      </c>
    </row>
    <row r="5711" spans="1:11" ht="54" customHeight="1">
      <c r="A5711" s="9" t="s">
        <v>13250</v>
      </c>
      <c r="B5711" s="9" t="s">
        <v>13251</v>
      </c>
      <c r="C5711" s="9" t="s">
        <v>90</v>
      </c>
      <c r="D5711" s="9" t="s">
        <v>18</v>
      </c>
      <c r="E5711" s="10" t="s">
        <v>148</v>
      </c>
      <c r="F5711" s="9" t="s">
        <v>149</v>
      </c>
      <c r="G5711" s="10" t="s">
        <v>86</v>
      </c>
      <c r="H5711" s="9" t="s">
        <v>22</v>
      </c>
      <c r="I5711" s="9" t="s">
        <v>13252</v>
      </c>
      <c r="J5711" s="10" t="str">
        <f>HYPERLINK("https://www.boe.es/gazeta/dias/1834/10/20/pdfs/GMD-1834-248.pdf#page=2","Abrir facsímil")</f>
        <v>Abrir facsímil</v>
      </c>
      <c r="K5711" s="10" t="s">
        <v>24</v>
      </c>
    </row>
    <row r="5712" spans="1:11" ht="54" customHeight="1">
      <c r="A5712" s="9" t="s">
        <v>13253</v>
      </c>
      <c r="B5712" s="9" t="s">
        <v>13254</v>
      </c>
      <c r="C5712" s="9" t="s">
        <v>17</v>
      </c>
      <c r="D5712" s="9" t="s">
        <v>55</v>
      </c>
      <c r="E5712" s="10" t="s">
        <v>167</v>
      </c>
      <c r="F5712" s="9" t="s">
        <v>1200</v>
      </c>
      <c r="G5712" s="10" t="s">
        <v>21</v>
      </c>
      <c r="H5712" s="9" t="s">
        <v>22</v>
      </c>
      <c r="I5712" s="9" t="s">
        <v>13255</v>
      </c>
      <c r="J5712" s="10" t="str">
        <f>HYPERLINK("https://www.boe.es/gazeta/dias/1834/09/07/pdfs/GMD-C-1834-205.pdf#page=3","Abrir facsímil")</f>
        <v>Abrir facsímil</v>
      </c>
      <c r="K5712" s="10" t="s">
        <v>24</v>
      </c>
    </row>
    <row r="5713" spans="1:11" ht="54" customHeight="1">
      <c r="A5713" s="9" t="s">
        <v>13256</v>
      </c>
      <c r="B5713" s="9" t="s">
        <v>13257</v>
      </c>
      <c r="C5713" s="9" t="s">
        <v>17</v>
      </c>
      <c r="D5713" s="9" t="s">
        <v>18</v>
      </c>
      <c r="E5713" s="10" t="s">
        <v>1410</v>
      </c>
      <c r="F5713" s="9" t="s">
        <v>2231</v>
      </c>
      <c r="G5713" s="10" t="s">
        <v>86</v>
      </c>
      <c r="H5713" s="9" t="s">
        <v>22</v>
      </c>
      <c r="I5713" s="9" t="s">
        <v>13258</v>
      </c>
      <c r="J5713" s="10" t="str">
        <f>HYPERLINK("https://www.boe.es/gazeta/dias/1834/09/09/pdfs/GMD-C-1834-207.pdf#page=2","Abrir facsímil")</f>
        <v>Abrir facsímil</v>
      </c>
      <c r="K5713" s="10" t="s">
        <v>24</v>
      </c>
    </row>
    <row r="5714" spans="1:11" ht="54" customHeight="1">
      <c r="A5714" s="9" t="s">
        <v>13259</v>
      </c>
      <c r="B5714" s="9" t="s">
        <v>13260</v>
      </c>
      <c r="C5714" s="9" t="s">
        <v>17</v>
      </c>
      <c r="D5714" s="9" t="s">
        <v>18</v>
      </c>
      <c r="E5714" s="10" t="s">
        <v>860</v>
      </c>
      <c r="F5714" s="9" t="s">
        <v>861</v>
      </c>
      <c r="G5714" s="10" t="s">
        <v>75</v>
      </c>
      <c r="H5714" s="9" t="s">
        <v>22</v>
      </c>
      <c r="I5714" s="9" t="s">
        <v>13261</v>
      </c>
      <c r="J5714" s="10" t="str">
        <f>HYPERLINK("https://www.boe.es/gazeta/dias/1834/02/08/pdfs/GMD-1834-18.pdf#page=4","Abrir facsímil")</f>
        <v>Abrir facsímil</v>
      </c>
      <c r="K5714" s="10" t="s">
        <v>24</v>
      </c>
    </row>
    <row r="5715" spans="1:11" ht="54" customHeight="1">
      <c r="A5715" s="9" t="s">
        <v>13262</v>
      </c>
      <c r="B5715" s="9" t="s">
        <v>13263</v>
      </c>
      <c r="C5715" s="9" t="s">
        <v>66</v>
      </c>
      <c r="D5715" s="9" t="s">
        <v>67</v>
      </c>
      <c r="E5715" s="10" t="s">
        <v>1850</v>
      </c>
      <c r="F5715" s="9" t="s">
        <v>1851</v>
      </c>
      <c r="G5715" s="10" t="s">
        <v>28</v>
      </c>
      <c r="H5715" s="9" t="s">
        <v>22</v>
      </c>
      <c r="I5715" s="9" t="s">
        <v>13264</v>
      </c>
      <c r="J5715" s="10" t="str">
        <f>HYPERLINK("https://www.boe.es/gazeta/dias/1834/02/18/pdfs/GMD-1834-22.pdf#page=5","Abrir facsímil")</f>
        <v>Abrir facsímil</v>
      </c>
      <c r="K5715" s="10" t="s">
        <v>24</v>
      </c>
    </row>
    <row r="5716" spans="1:11" ht="54" customHeight="1">
      <c r="A5716" s="9" t="s">
        <v>13265</v>
      </c>
      <c r="B5716" s="9" t="s">
        <v>13266</v>
      </c>
      <c r="C5716" s="9" t="s">
        <v>17</v>
      </c>
      <c r="D5716" s="9" t="s">
        <v>18</v>
      </c>
      <c r="E5716" s="10" t="s">
        <v>1234</v>
      </c>
      <c r="F5716" s="9" t="s">
        <v>1455</v>
      </c>
      <c r="G5716" s="10" t="s">
        <v>21</v>
      </c>
      <c r="H5716" s="9" t="s">
        <v>22</v>
      </c>
      <c r="I5716" s="9" t="s">
        <v>13267</v>
      </c>
      <c r="J5716" s="10" t="str">
        <f>HYPERLINK("https://www.boe.es/gazeta/dias/1834/05/15/pdfs/GMD-1834-84.pdf#page=3","Abrir facsímil")</f>
        <v>Abrir facsímil</v>
      </c>
      <c r="K5716" s="10" t="s">
        <v>24</v>
      </c>
    </row>
    <row r="5717" spans="1:11" ht="54" customHeight="1">
      <c r="A5717" s="9" t="s">
        <v>13268</v>
      </c>
      <c r="B5717" s="9" t="s">
        <v>13269</v>
      </c>
      <c r="C5717" s="9" t="s">
        <v>46</v>
      </c>
      <c r="D5717" s="9" t="s">
        <v>18</v>
      </c>
      <c r="E5717" s="10" t="s">
        <v>576</v>
      </c>
      <c r="F5717" s="9" t="s">
        <v>5888</v>
      </c>
      <c r="G5717" s="10" t="s">
        <v>21</v>
      </c>
      <c r="H5717" s="9" t="s">
        <v>22</v>
      </c>
      <c r="I5717" s="9" t="s">
        <v>13270</v>
      </c>
      <c r="J5717" s="10" t="str">
        <f>HYPERLINK("https://www.boe.es/gazeta/dias/1834/09/23/pdfs/GMD-C-1834-221.pdf#page=3","Abrir facsímil")</f>
        <v>Abrir facsímil</v>
      </c>
      <c r="K5717" s="10" t="s">
        <v>24</v>
      </c>
    </row>
    <row r="5718" spans="1:11" ht="54" customHeight="1">
      <c r="A5718" s="9" t="s">
        <v>13271</v>
      </c>
      <c r="B5718" s="9" t="s">
        <v>13272</v>
      </c>
      <c r="C5718" s="9" t="s">
        <v>17</v>
      </c>
      <c r="D5718" s="9" t="s">
        <v>18</v>
      </c>
      <c r="E5718" s="10" t="s">
        <v>367</v>
      </c>
      <c r="F5718" s="9" t="s">
        <v>368</v>
      </c>
      <c r="G5718" s="10" t="s">
        <v>75</v>
      </c>
      <c r="H5718" s="9" t="s">
        <v>22</v>
      </c>
      <c r="I5718" s="9" t="s">
        <v>13273</v>
      </c>
      <c r="J5718" s="10" t="str">
        <f>HYPERLINK("https://www.boe.es/gazeta/dias/1834/05/19/pdfs/GMD-1834-88.pdf#page=4","Abrir facsímil")</f>
        <v>Abrir facsímil</v>
      </c>
      <c r="K5718" s="10" t="s">
        <v>24</v>
      </c>
    </row>
    <row r="5719" spans="1:11" ht="54" customHeight="1">
      <c r="A5719" s="9" t="s">
        <v>13274</v>
      </c>
      <c r="B5719" s="9" t="s">
        <v>13275</v>
      </c>
      <c r="C5719" s="9" t="s">
        <v>122</v>
      </c>
      <c r="D5719" s="9" t="s">
        <v>18</v>
      </c>
      <c r="E5719" s="10" t="s">
        <v>785</v>
      </c>
      <c r="F5719" s="9" t="s">
        <v>786</v>
      </c>
      <c r="G5719" s="10" t="s">
        <v>21</v>
      </c>
      <c r="H5719" s="9" t="s">
        <v>22</v>
      </c>
      <c r="I5719" s="9" t="s">
        <v>13276</v>
      </c>
      <c r="J5719" s="10" t="str">
        <f>HYPERLINK("https://www.boe.es/gazeta/dias/1834/02/11/pdfs/GMD-1834-19.pdf#page=3","Abrir facsímil")</f>
        <v>Abrir facsímil</v>
      </c>
      <c r="K5719" s="10" t="s">
        <v>24</v>
      </c>
    </row>
    <row r="5720" spans="1:11" ht="54" customHeight="1">
      <c r="A5720" s="9" t="s">
        <v>13277</v>
      </c>
      <c r="B5720" s="9" t="s">
        <v>13278</v>
      </c>
      <c r="C5720" s="9" t="s">
        <v>17</v>
      </c>
      <c r="D5720" s="9" t="s">
        <v>18</v>
      </c>
      <c r="E5720" s="10" t="s">
        <v>627</v>
      </c>
      <c r="F5720" s="9" t="s">
        <v>628</v>
      </c>
      <c r="G5720" s="10" t="s">
        <v>176</v>
      </c>
      <c r="H5720" s="9" t="s">
        <v>22</v>
      </c>
      <c r="I5720" s="9" t="s">
        <v>13279</v>
      </c>
      <c r="J5720" s="10" t="str">
        <f>HYPERLINK("https://www.boe.es/gazeta/dias/1834/09/22/pdfs/GMD-C-1834-220.pdf#page=6","Abrir facsímil")</f>
        <v>Abrir facsímil</v>
      </c>
      <c r="K5720" s="10" t="s">
        <v>24</v>
      </c>
    </row>
    <row r="5721" spans="1:11" ht="54" customHeight="1">
      <c r="A5721" s="9" t="s">
        <v>13280</v>
      </c>
      <c r="B5721" s="9" t="s">
        <v>13281</v>
      </c>
      <c r="C5721" s="9" t="s">
        <v>66</v>
      </c>
      <c r="D5721" s="9" t="s">
        <v>67</v>
      </c>
      <c r="E5721" s="10" t="s">
        <v>2142</v>
      </c>
      <c r="F5721" s="9" t="s">
        <v>2143</v>
      </c>
      <c r="G5721" s="10" t="s">
        <v>21</v>
      </c>
      <c r="H5721" s="9" t="s">
        <v>22</v>
      </c>
      <c r="I5721" s="9" t="s">
        <v>13282</v>
      </c>
      <c r="J5721" s="10" t="str">
        <f>HYPERLINK("https://www.boe.es/gazeta/dias/1834/12/27/pdfs/GMD-1834-317.pdf#page=3","Abrir facsímil")</f>
        <v>Abrir facsímil</v>
      </c>
      <c r="K5721" s="10" t="s">
        <v>24</v>
      </c>
    </row>
    <row r="5722" spans="1:11" ht="54" customHeight="1">
      <c r="A5722" s="9" t="s">
        <v>13283</v>
      </c>
      <c r="B5722" s="9" t="s">
        <v>13284</v>
      </c>
      <c r="C5722" s="9" t="s">
        <v>46</v>
      </c>
      <c r="D5722" s="9" t="s">
        <v>101</v>
      </c>
      <c r="E5722" s="10" t="s">
        <v>1262</v>
      </c>
      <c r="F5722" s="9" t="s">
        <v>1263</v>
      </c>
      <c r="G5722" s="10" t="s">
        <v>86</v>
      </c>
      <c r="H5722" s="9" t="s">
        <v>22</v>
      </c>
      <c r="I5722" s="9" t="s">
        <v>13285</v>
      </c>
      <c r="J5722" s="10" t="str">
        <f>HYPERLINK("https://www.boe.es/gazeta/dias/1834/02/01/pdfs/GMD-1834-15.pdf#page=2","Abrir facsímil")</f>
        <v>Abrir facsímil</v>
      </c>
      <c r="K5722" s="10" t="s">
        <v>24</v>
      </c>
    </row>
    <row r="5723" spans="1:11" ht="54" customHeight="1">
      <c r="A5723" s="9" t="s">
        <v>13286</v>
      </c>
      <c r="B5723" s="9" t="s">
        <v>13287</v>
      </c>
      <c r="C5723" s="9" t="s">
        <v>17</v>
      </c>
      <c r="D5723" s="9" t="s">
        <v>55</v>
      </c>
      <c r="E5723" s="10" t="s">
        <v>1680</v>
      </c>
      <c r="F5723" s="9" t="s">
        <v>1681</v>
      </c>
      <c r="G5723" s="10" t="s">
        <v>75</v>
      </c>
      <c r="H5723" s="9" t="s">
        <v>22</v>
      </c>
      <c r="I5723" s="9" t="s">
        <v>13288</v>
      </c>
      <c r="J5723" s="10" t="str">
        <f>HYPERLINK("https://www.boe.es/gazeta/dias/1834/02/27/pdfs/GMD-1834-26.pdf#page=4","Abrir facsímil")</f>
        <v>Abrir facsímil</v>
      </c>
      <c r="K5723" s="10" t="s">
        <v>24</v>
      </c>
    </row>
    <row r="5724" spans="1:11" ht="54" customHeight="1">
      <c r="A5724" s="9" t="s">
        <v>13289</v>
      </c>
      <c r="B5724" s="9" t="s">
        <v>13290</v>
      </c>
      <c r="C5724" s="9" t="s">
        <v>66</v>
      </c>
      <c r="D5724" s="9" t="s">
        <v>67</v>
      </c>
      <c r="E5724" s="10" t="s">
        <v>1406</v>
      </c>
      <c r="F5724" s="9" t="s">
        <v>1407</v>
      </c>
      <c r="G5724" s="10" t="s">
        <v>86</v>
      </c>
      <c r="H5724" s="9" t="s">
        <v>22</v>
      </c>
      <c r="I5724" s="9" t="s">
        <v>13291</v>
      </c>
      <c r="J5724" s="10" t="str">
        <f>HYPERLINK("https://www.boe.es/gazeta/dias/1834/11/03/pdfs/GMD-1834-262.pdf#page=2","Abrir facsímil")</f>
        <v>Abrir facsímil</v>
      </c>
      <c r="K5724" s="10" t="s">
        <v>24</v>
      </c>
    </row>
    <row r="5725" spans="1:11" ht="54" customHeight="1">
      <c r="A5725" s="9" t="s">
        <v>13292</v>
      </c>
      <c r="B5725" s="9" t="s">
        <v>13293</v>
      </c>
      <c r="C5725" s="9" t="s">
        <v>66</v>
      </c>
      <c r="D5725" s="9" t="s">
        <v>67</v>
      </c>
      <c r="E5725" s="10" t="s">
        <v>919</v>
      </c>
      <c r="F5725" s="9" t="s">
        <v>920</v>
      </c>
      <c r="G5725" s="10" t="s">
        <v>75</v>
      </c>
      <c r="H5725" s="9" t="s">
        <v>22</v>
      </c>
      <c r="I5725" s="9" t="s">
        <v>13294</v>
      </c>
      <c r="J5725" s="10" t="str">
        <f>HYPERLINK("https://www.boe.es/gazeta/dias/1834/06/24/pdfs/GMD-1834-127.pdf#page=4","Abrir facsímil")</f>
        <v>Abrir facsímil</v>
      </c>
      <c r="K5725" s="10" t="s">
        <v>24</v>
      </c>
    </row>
    <row r="5726" spans="1:11" ht="54" customHeight="1">
      <c r="A5726" s="9" t="s">
        <v>13295</v>
      </c>
      <c r="B5726" s="9" t="s">
        <v>13296</v>
      </c>
      <c r="C5726" s="9" t="s">
        <v>17</v>
      </c>
      <c r="D5726" s="9" t="s">
        <v>18</v>
      </c>
      <c r="E5726" s="10" t="s">
        <v>73</v>
      </c>
      <c r="F5726" s="9" t="s">
        <v>74</v>
      </c>
      <c r="G5726" s="10" t="s">
        <v>34</v>
      </c>
      <c r="H5726" s="9" t="s">
        <v>22</v>
      </c>
      <c r="I5726" s="9" t="s">
        <v>13297</v>
      </c>
      <c r="J5726" s="10" t="str">
        <f>HYPERLINK("https://www.boe.es/gazeta/dias/1834/11/04/pdfs/GMD-1834-263.pdf#page=1","Abrir facsímil")</f>
        <v>Abrir facsímil</v>
      </c>
      <c r="K5726" s="10" t="s">
        <v>24</v>
      </c>
    </row>
    <row r="5727" spans="1:11" ht="54" customHeight="1">
      <c r="A5727" s="9" t="s">
        <v>13298</v>
      </c>
      <c r="B5727" s="9" t="s">
        <v>13299</v>
      </c>
      <c r="C5727" s="9" t="s">
        <v>66</v>
      </c>
      <c r="D5727" s="9" t="s">
        <v>67</v>
      </c>
      <c r="E5727" s="10" t="s">
        <v>1669</v>
      </c>
      <c r="F5727" s="9" t="s">
        <v>1670</v>
      </c>
      <c r="G5727" s="10" t="s">
        <v>21</v>
      </c>
      <c r="H5727" s="9" t="s">
        <v>35</v>
      </c>
      <c r="I5727" s="9" t="s">
        <v>13300</v>
      </c>
      <c r="J5727" s="10" t="str">
        <f>HYPERLINK("https://www.boe.es/gazeta/dias/1834/06/19/pdfs/GMD-1834-122.pdf#page=3","Abrir facsímil")</f>
        <v>Abrir facsímil</v>
      </c>
      <c r="K5727" s="10" t="s">
        <v>37</v>
      </c>
    </row>
    <row r="5728" spans="1:11" ht="54" customHeight="1">
      <c r="A5728" s="9" t="s">
        <v>13301</v>
      </c>
      <c r="B5728" s="9" t="s">
        <v>13302</v>
      </c>
      <c r="C5728" s="9" t="s">
        <v>66</v>
      </c>
      <c r="D5728" s="9" t="s">
        <v>67</v>
      </c>
      <c r="E5728" s="10" t="s">
        <v>1351</v>
      </c>
      <c r="F5728" s="9" t="s">
        <v>1352</v>
      </c>
      <c r="G5728" s="10" t="s">
        <v>75</v>
      </c>
      <c r="H5728" s="9" t="s">
        <v>22</v>
      </c>
      <c r="I5728" s="9" t="s">
        <v>13303</v>
      </c>
      <c r="J5728" s="10" t="str">
        <f>HYPERLINK("https://www.boe.es/gazeta/dias/1834/07/05/pdfs/GMD-1834-138.pdf#page=4","Abrir facsímil")</f>
        <v>Abrir facsímil</v>
      </c>
      <c r="K5728" s="10" t="s">
        <v>24</v>
      </c>
    </row>
    <row r="5729" spans="1:11" ht="54" customHeight="1">
      <c r="A5729" s="9" t="s">
        <v>13304</v>
      </c>
      <c r="B5729" s="9" t="s">
        <v>13305</v>
      </c>
      <c r="C5729" s="9" t="s">
        <v>17</v>
      </c>
      <c r="D5729" s="9" t="s">
        <v>18</v>
      </c>
      <c r="E5729" s="10" t="s">
        <v>719</v>
      </c>
      <c r="F5729" s="9" t="s">
        <v>720</v>
      </c>
      <c r="G5729" s="10" t="s">
        <v>75</v>
      </c>
      <c r="H5729" s="9" t="s">
        <v>22</v>
      </c>
      <c r="I5729" s="9" t="s">
        <v>13306</v>
      </c>
      <c r="J5729" s="10" t="str">
        <f>HYPERLINK("https://www.boe.es/gazeta/dias/1834/04/29/pdfs/GMD-1834-68.pdf#page=4","Abrir facsímil")</f>
        <v>Abrir facsímil</v>
      </c>
      <c r="K5729" s="10" t="s">
        <v>24</v>
      </c>
    </row>
    <row r="5730" spans="1:11" ht="54" customHeight="1">
      <c r="A5730" s="9" t="s">
        <v>13307</v>
      </c>
      <c r="B5730" s="9" t="s">
        <v>13307</v>
      </c>
      <c r="C5730" s="9" t="s">
        <v>46</v>
      </c>
      <c r="D5730" s="9" t="s">
        <v>18</v>
      </c>
      <c r="E5730" s="10" t="s">
        <v>1680</v>
      </c>
      <c r="F5730" s="9" t="s">
        <v>1681</v>
      </c>
      <c r="G5730" s="10" t="s">
        <v>86</v>
      </c>
      <c r="H5730" s="9" t="s">
        <v>22</v>
      </c>
      <c r="I5730" s="9" t="s">
        <v>13308</v>
      </c>
      <c r="J5730" s="10" t="str">
        <f>HYPERLINK("https://www.boe.es/gazeta/dias/1834/02/27/pdfs/GMD-1834-26.pdf#page=2","Abrir facsímil")</f>
        <v>Abrir facsímil</v>
      </c>
      <c r="K5730" s="10" t="s">
        <v>24</v>
      </c>
    </row>
    <row r="5731" spans="1:11" ht="54" customHeight="1">
      <c r="A5731" s="9" t="s">
        <v>13309</v>
      </c>
      <c r="B5731" s="9" t="s">
        <v>13309</v>
      </c>
      <c r="C5731" s="9" t="s">
        <v>17</v>
      </c>
      <c r="D5731" s="9" t="s">
        <v>18</v>
      </c>
      <c r="E5731" s="10" t="s">
        <v>1677</v>
      </c>
      <c r="F5731" s="9" t="s">
        <v>2515</v>
      </c>
      <c r="G5731" s="10" t="s">
        <v>34</v>
      </c>
      <c r="H5731" s="9" t="s">
        <v>22</v>
      </c>
      <c r="I5731" s="9" t="s">
        <v>13310</v>
      </c>
      <c r="J5731" s="10" t="str">
        <f>HYPERLINK("https://www.boe.es/gazeta/dias/1834/07/26/pdfs/GMD-C-1834-159.pdf#page=1","Abrir facsímil")</f>
        <v>Abrir facsímil</v>
      </c>
      <c r="K5731" s="10" t="s">
        <v>24</v>
      </c>
    </row>
    <row r="5732" spans="1:11" ht="54" customHeight="1">
      <c r="A5732" s="9" t="s">
        <v>13311</v>
      </c>
      <c r="B5732" s="9" t="s">
        <v>13312</v>
      </c>
      <c r="C5732" s="9" t="s">
        <v>90</v>
      </c>
      <c r="D5732" s="9" t="s">
        <v>55</v>
      </c>
      <c r="E5732" s="10" t="s">
        <v>647</v>
      </c>
      <c r="F5732" s="9" t="s">
        <v>2176</v>
      </c>
      <c r="G5732" s="10" t="s">
        <v>75</v>
      </c>
      <c r="H5732" s="9" t="s">
        <v>22</v>
      </c>
      <c r="I5732" s="9" t="s">
        <v>13313</v>
      </c>
      <c r="J5732" s="10" t="str">
        <f>HYPERLINK("https://www.boe.es/gazeta/dias/1834/10/21/pdfs/GMD-1834-249.pdf#page=4","Abrir facsímil")</f>
        <v>Abrir facsímil</v>
      </c>
      <c r="K5732" s="10" t="s">
        <v>24</v>
      </c>
    </row>
    <row r="5733" spans="1:11" ht="54" customHeight="1">
      <c r="A5733" s="9" t="s">
        <v>13314</v>
      </c>
      <c r="B5733" s="9" t="s">
        <v>13314</v>
      </c>
      <c r="C5733" s="9" t="s">
        <v>17</v>
      </c>
      <c r="D5733" s="9" t="s">
        <v>18</v>
      </c>
      <c r="E5733" s="10" t="s">
        <v>2865</v>
      </c>
      <c r="F5733" s="9" t="s">
        <v>2866</v>
      </c>
      <c r="G5733" s="10" t="s">
        <v>75</v>
      </c>
      <c r="H5733" s="9" t="s">
        <v>22</v>
      </c>
      <c r="I5733" s="9" t="s">
        <v>13315</v>
      </c>
      <c r="J5733" s="10" t="str">
        <f>HYPERLINK("https://www.boe.es/gazeta/dias/1834/07/06/pdfs/GMD-1834-139.pdf#page=4","Abrir facsímil")</f>
        <v>Abrir facsímil</v>
      </c>
      <c r="K5733" s="10" t="s">
        <v>24</v>
      </c>
    </row>
    <row r="5734" spans="1:11" ht="54" customHeight="1">
      <c r="A5734" s="9" t="s">
        <v>13316</v>
      </c>
      <c r="B5734" s="9" t="s">
        <v>13316</v>
      </c>
      <c r="C5734" s="9" t="s">
        <v>66</v>
      </c>
      <c r="D5734" s="9" t="s">
        <v>67</v>
      </c>
      <c r="E5734" s="10" t="s">
        <v>3699</v>
      </c>
      <c r="F5734" s="9" t="s">
        <v>6179</v>
      </c>
      <c r="G5734" s="10" t="s">
        <v>34</v>
      </c>
      <c r="H5734" s="9" t="s">
        <v>22</v>
      </c>
      <c r="I5734" s="9" t="s">
        <v>13317</v>
      </c>
      <c r="J5734" s="10" t="str">
        <f>HYPERLINK("https://www.boe.es/gazeta/dias/1834/02/06/pdfs/GMD-D-1834-17.pdf#page=1","Abrir facsímil")</f>
        <v>Abrir facsímil</v>
      </c>
      <c r="K5734" s="10" t="s">
        <v>24</v>
      </c>
    </row>
    <row r="5735" spans="1:11" ht="54" customHeight="1">
      <c r="A5735" s="9" t="s">
        <v>13316</v>
      </c>
      <c r="B5735" s="9" t="s">
        <v>13316</v>
      </c>
      <c r="C5735" s="9" t="s">
        <v>46</v>
      </c>
      <c r="D5735" s="9" t="s">
        <v>101</v>
      </c>
      <c r="E5735" s="10" t="s">
        <v>217</v>
      </c>
      <c r="F5735" s="9" t="s">
        <v>218</v>
      </c>
      <c r="G5735" s="10" t="s">
        <v>75</v>
      </c>
      <c r="H5735" s="9" t="s">
        <v>22</v>
      </c>
      <c r="I5735" s="9" t="s">
        <v>13318</v>
      </c>
      <c r="J5735" s="10" t="str">
        <f>HYPERLINK("https://www.boe.es/gazeta/dias/1834/04/20/pdfs/GMD-1834-59.pdf#page=4","Abrir facsímil")</f>
        <v>Abrir facsímil</v>
      </c>
      <c r="K5735" s="10" t="s">
        <v>24</v>
      </c>
    </row>
    <row r="5736" spans="1:11" ht="54" customHeight="1">
      <c r="A5736" s="9" t="s">
        <v>13316</v>
      </c>
      <c r="B5736" s="9" t="s">
        <v>13316</v>
      </c>
      <c r="C5736" s="9" t="s">
        <v>17</v>
      </c>
      <c r="D5736" s="9" t="s">
        <v>55</v>
      </c>
      <c r="E5736" s="10" t="s">
        <v>3225</v>
      </c>
      <c r="F5736" s="9" t="s">
        <v>3226</v>
      </c>
      <c r="G5736" s="10" t="s">
        <v>21</v>
      </c>
      <c r="H5736" s="9" t="s">
        <v>22</v>
      </c>
      <c r="I5736" s="9" t="s">
        <v>13319</v>
      </c>
      <c r="J5736" s="10" t="str">
        <f>HYPERLINK("https://www.boe.es/gazeta/dias/1834/08/22/pdfs/GMD-1834-188.pdf#page=3","Abrir facsímil")</f>
        <v>Abrir facsímil</v>
      </c>
      <c r="K5736" s="10" t="s">
        <v>24</v>
      </c>
    </row>
    <row r="5737" spans="1:11" ht="54" customHeight="1">
      <c r="A5737" s="9" t="s">
        <v>13316</v>
      </c>
      <c r="B5737" s="9" t="s">
        <v>13316</v>
      </c>
      <c r="C5737" s="9" t="s">
        <v>17</v>
      </c>
      <c r="D5737" s="9" t="s">
        <v>18</v>
      </c>
      <c r="E5737" s="10" t="s">
        <v>1141</v>
      </c>
      <c r="F5737" s="9" t="s">
        <v>1142</v>
      </c>
      <c r="G5737" s="10" t="s">
        <v>75</v>
      </c>
      <c r="H5737" s="9" t="s">
        <v>22</v>
      </c>
      <c r="I5737" s="9" t="s">
        <v>13320</v>
      </c>
      <c r="J5737" s="10" t="str">
        <f>HYPERLINK("https://www.boe.es/gazeta/dias/1834/04/30/pdfs/GMD-1834-69.pdf#page=4","Abrir facsímil")</f>
        <v>Abrir facsímil</v>
      </c>
      <c r="K5737" s="10" t="s">
        <v>24</v>
      </c>
    </row>
    <row r="5738" spans="1:11" ht="54" customHeight="1">
      <c r="A5738" s="9" t="s">
        <v>13321</v>
      </c>
      <c r="B5738" s="9" t="s">
        <v>13322</v>
      </c>
      <c r="C5738" s="9" t="s">
        <v>17</v>
      </c>
      <c r="D5738" s="9" t="s">
        <v>40</v>
      </c>
      <c r="E5738" s="10" t="s">
        <v>5885</v>
      </c>
      <c r="F5738" s="9" t="s">
        <v>5886</v>
      </c>
      <c r="G5738" s="10" t="s">
        <v>75</v>
      </c>
      <c r="H5738" s="9" t="s">
        <v>35</v>
      </c>
      <c r="I5738" s="9" t="s">
        <v>13323</v>
      </c>
      <c r="J5738" s="10" t="str">
        <f>HYPERLINK("https://www.boe.es/gazeta/dias/1834/05/23/pdfs/GMD-1834-92.pdf#page=4","Abrir facsímil")</f>
        <v>Abrir facsímil</v>
      </c>
      <c r="K5738" s="10" t="s">
        <v>37</v>
      </c>
    </row>
    <row r="5739" spans="1:11" ht="54" customHeight="1">
      <c r="A5739" s="9" t="s">
        <v>13324</v>
      </c>
      <c r="B5739" s="9" t="s">
        <v>13325</v>
      </c>
      <c r="C5739" s="9" t="s">
        <v>122</v>
      </c>
      <c r="D5739" s="9" t="s">
        <v>18</v>
      </c>
      <c r="E5739" s="10" t="s">
        <v>729</v>
      </c>
      <c r="F5739" s="9" t="s">
        <v>730</v>
      </c>
      <c r="G5739" s="10" t="s">
        <v>34</v>
      </c>
      <c r="H5739" s="9" t="s">
        <v>35</v>
      </c>
      <c r="I5739" s="9" t="s">
        <v>13326</v>
      </c>
      <c r="J5739" s="10" t="str">
        <f>HYPERLINK("https://www.boe.es/gazeta/dias/1834/04/13/pdfs/GMD-1834-52.pdf#page=1","Abrir facsímil")</f>
        <v>Abrir facsímil</v>
      </c>
      <c r="K5739" s="10" t="s">
        <v>37</v>
      </c>
    </row>
    <row r="5740" spans="1:11" ht="54" customHeight="1">
      <c r="A5740" s="9" t="s">
        <v>13327</v>
      </c>
      <c r="B5740" s="9" t="s">
        <v>13327</v>
      </c>
      <c r="C5740" s="9" t="s">
        <v>66</v>
      </c>
      <c r="D5740" s="9" t="s">
        <v>67</v>
      </c>
      <c r="E5740" s="10" t="s">
        <v>3699</v>
      </c>
      <c r="F5740" s="9" t="s">
        <v>3700</v>
      </c>
      <c r="G5740" s="10" t="s">
        <v>86</v>
      </c>
      <c r="H5740" s="9" t="s">
        <v>22</v>
      </c>
      <c r="I5740" s="9" t="s">
        <v>13328</v>
      </c>
      <c r="J5740" s="10" t="str">
        <f>HYPERLINK("https://www.boe.es/gazeta/dias/1834/02/06/pdfs/GMD-1834-17.pdf#page=2","Abrir facsímil")</f>
        <v>Abrir facsímil</v>
      </c>
      <c r="K5740" s="10" t="s">
        <v>24</v>
      </c>
    </row>
    <row r="5741" spans="1:11" ht="54" customHeight="1">
      <c r="A5741" s="9" t="s">
        <v>13329</v>
      </c>
      <c r="B5741" s="9" t="s">
        <v>13329</v>
      </c>
      <c r="C5741" s="9" t="s">
        <v>17</v>
      </c>
      <c r="D5741" s="9" t="s">
        <v>18</v>
      </c>
      <c r="E5741" s="10" t="s">
        <v>468</v>
      </c>
      <c r="F5741" s="9" t="s">
        <v>469</v>
      </c>
      <c r="G5741" s="10" t="s">
        <v>34</v>
      </c>
      <c r="H5741" s="9" t="s">
        <v>22</v>
      </c>
      <c r="I5741" s="9" t="s">
        <v>13330</v>
      </c>
      <c r="J5741" s="10" t="str">
        <f>HYPERLINK("https://www.boe.es/gazeta/dias/1834/12/28/pdfs/GMD-C-1834-318.pdf#page=1","Abrir facsímil")</f>
        <v>Abrir facsímil</v>
      </c>
      <c r="K5741" s="10" t="s">
        <v>24</v>
      </c>
    </row>
    <row r="5742" spans="1:11" ht="54" customHeight="1">
      <c r="A5742" s="9" t="s">
        <v>13331</v>
      </c>
      <c r="B5742" s="9" t="s">
        <v>13331</v>
      </c>
      <c r="C5742" s="9" t="s">
        <v>46</v>
      </c>
      <c r="D5742" s="9" t="s">
        <v>55</v>
      </c>
      <c r="E5742" s="10" t="s">
        <v>299</v>
      </c>
      <c r="F5742" s="9" t="s">
        <v>300</v>
      </c>
      <c r="G5742" s="10" t="s">
        <v>86</v>
      </c>
      <c r="H5742" s="9" t="s">
        <v>22</v>
      </c>
      <c r="I5742" s="9" t="s">
        <v>13332</v>
      </c>
      <c r="J5742" s="10" t="str">
        <f>HYPERLINK("https://www.boe.es/gazeta/dias/1834/12/12/pdfs/GMD-1834-301.pdf#page=2","Abrir facsímil")</f>
        <v>Abrir facsímil</v>
      </c>
      <c r="K5742" s="10" t="s">
        <v>24</v>
      </c>
    </row>
    <row r="5743" spans="1:11" ht="54" customHeight="1">
      <c r="A5743" s="9" t="s">
        <v>13333</v>
      </c>
      <c r="B5743" s="9" t="s">
        <v>13333</v>
      </c>
      <c r="C5743" s="9" t="s">
        <v>17</v>
      </c>
      <c r="D5743" s="9" t="s">
        <v>18</v>
      </c>
      <c r="E5743" s="10" t="s">
        <v>891</v>
      </c>
      <c r="F5743" s="9" t="s">
        <v>3608</v>
      </c>
      <c r="G5743" s="10" t="s">
        <v>86</v>
      </c>
      <c r="H5743" s="9" t="s">
        <v>22</v>
      </c>
      <c r="I5743" s="9" t="s">
        <v>13334</v>
      </c>
      <c r="J5743" s="10" t="str">
        <f>HYPERLINK("https://www.boe.es/gazeta/dias/1834/10/31/pdfs/GMD-1834-259.pdf#page=2","Abrir facsímil")</f>
        <v>Abrir facsímil</v>
      </c>
      <c r="K5743" s="10" t="s">
        <v>24</v>
      </c>
    </row>
    <row r="5744" spans="1:11" ht="54" customHeight="1">
      <c r="A5744" s="9" t="s">
        <v>13335</v>
      </c>
      <c r="B5744" s="9" t="s">
        <v>13335</v>
      </c>
      <c r="C5744" s="9" t="s">
        <v>46</v>
      </c>
      <c r="D5744" s="9" t="s">
        <v>18</v>
      </c>
      <c r="E5744" s="10" t="s">
        <v>739</v>
      </c>
      <c r="F5744" s="9" t="s">
        <v>740</v>
      </c>
      <c r="G5744" s="10" t="s">
        <v>86</v>
      </c>
      <c r="H5744" s="9" t="s">
        <v>22</v>
      </c>
      <c r="I5744" s="9" t="s">
        <v>13336</v>
      </c>
      <c r="J5744" s="10" t="str">
        <f>HYPERLINK("https://www.boe.es/gazeta/dias/1834/03/25/pdfs/GMD-1834-37.pdf#page=2","Abrir facsímil")</f>
        <v>Abrir facsímil</v>
      </c>
      <c r="K5744" s="10" t="s">
        <v>24</v>
      </c>
    </row>
    <row r="5745" spans="1:11" ht="54" customHeight="1">
      <c r="A5745" s="9" t="s">
        <v>13335</v>
      </c>
      <c r="B5745" s="9" t="s">
        <v>13335</v>
      </c>
      <c r="C5745" s="9" t="s">
        <v>17</v>
      </c>
      <c r="D5745" s="9" t="s">
        <v>55</v>
      </c>
      <c r="E5745" s="10" t="s">
        <v>283</v>
      </c>
      <c r="F5745" s="9" t="s">
        <v>2969</v>
      </c>
      <c r="G5745" s="10" t="s">
        <v>34</v>
      </c>
      <c r="H5745" s="9" t="s">
        <v>22</v>
      </c>
      <c r="I5745" s="9" t="s">
        <v>13337</v>
      </c>
      <c r="J5745" s="10" t="str">
        <f>HYPERLINK("https://www.boe.es/gazeta/dias/1834/11/29/pdfs/GMD-1834-288.pdf#page=1","Abrir facsímil")</f>
        <v>Abrir facsímil</v>
      </c>
      <c r="K5745" s="10" t="s">
        <v>24</v>
      </c>
    </row>
    <row r="5746" spans="1:11" ht="54" customHeight="1">
      <c r="A5746" s="9" t="s">
        <v>13338</v>
      </c>
      <c r="B5746" s="9" t="s">
        <v>13338</v>
      </c>
      <c r="C5746" s="9" t="s">
        <v>17</v>
      </c>
      <c r="D5746" s="9" t="s">
        <v>18</v>
      </c>
      <c r="E5746" s="10" t="s">
        <v>1297</v>
      </c>
      <c r="F5746" s="9" t="s">
        <v>1298</v>
      </c>
      <c r="G5746" s="10" t="s">
        <v>86</v>
      </c>
      <c r="H5746" s="9" t="s">
        <v>22</v>
      </c>
      <c r="I5746" s="9" t="s">
        <v>13339</v>
      </c>
      <c r="J5746" s="10" t="str">
        <f>HYPERLINK("https://www.boe.es/gazeta/dias/1834/08/01/pdfs/GMD-1834-165.pdf#page=2","Abrir facsímil")</f>
        <v>Abrir facsímil</v>
      </c>
      <c r="K5746" s="10" t="s">
        <v>24</v>
      </c>
    </row>
    <row r="5747" spans="1:11" ht="54" customHeight="1">
      <c r="A5747" s="9" t="s">
        <v>13340</v>
      </c>
      <c r="B5747" s="9" t="s">
        <v>13340</v>
      </c>
      <c r="C5747" s="9" t="s">
        <v>90</v>
      </c>
      <c r="D5747" s="9" t="s">
        <v>67</v>
      </c>
      <c r="E5747" s="10" t="s">
        <v>1323</v>
      </c>
      <c r="F5747" s="9" t="s">
        <v>1324</v>
      </c>
      <c r="G5747" s="10" t="s">
        <v>21</v>
      </c>
      <c r="H5747" s="9" t="s">
        <v>22</v>
      </c>
      <c r="I5747" s="9" t="s">
        <v>13341</v>
      </c>
      <c r="J5747" s="10" t="str">
        <f>HYPERLINK("https://www.boe.es/gazeta/dias/1834/05/22/pdfs/GMD-1834-91.pdf#page=3","Abrir facsímil")</f>
        <v>Abrir facsímil</v>
      </c>
      <c r="K5747" s="10" t="s">
        <v>24</v>
      </c>
    </row>
    <row r="5748" spans="1:11" ht="54" customHeight="1">
      <c r="A5748" s="9" t="s">
        <v>13342</v>
      </c>
      <c r="B5748" s="9" t="s">
        <v>13342</v>
      </c>
      <c r="C5748" s="9" t="s">
        <v>17</v>
      </c>
      <c r="D5748" s="9" t="s">
        <v>18</v>
      </c>
      <c r="E5748" s="10" t="s">
        <v>1365</v>
      </c>
      <c r="F5748" s="9" t="s">
        <v>1366</v>
      </c>
      <c r="G5748" s="10" t="s">
        <v>75</v>
      </c>
      <c r="H5748" s="9" t="s">
        <v>22</v>
      </c>
      <c r="I5748" s="9" t="s">
        <v>13343</v>
      </c>
      <c r="J5748" s="10" t="str">
        <f>HYPERLINK("https://www.boe.es/gazeta/dias/1834/06/20/pdfs/GMD-1834-123.pdf#page=4","Abrir facsímil")</f>
        <v>Abrir facsímil</v>
      </c>
      <c r="K5748" s="10" t="s">
        <v>24</v>
      </c>
    </row>
    <row r="5749" spans="1:11" ht="54" customHeight="1">
      <c r="A5749" s="9" t="s">
        <v>13344</v>
      </c>
      <c r="B5749" s="9" t="s">
        <v>13345</v>
      </c>
      <c r="C5749" s="9" t="s">
        <v>66</v>
      </c>
      <c r="D5749" s="9" t="s">
        <v>101</v>
      </c>
      <c r="E5749" s="10" t="s">
        <v>348</v>
      </c>
      <c r="F5749" s="9" t="s">
        <v>501</v>
      </c>
      <c r="G5749" s="10" t="s">
        <v>21</v>
      </c>
      <c r="H5749" s="9" t="s">
        <v>22</v>
      </c>
      <c r="I5749" s="9" t="s">
        <v>13346</v>
      </c>
      <c r="J5749" s="10" t="str">
        <f>HYPERLINK("https://www.boe.es/gazeta/dias/1834/06/12/pdfs/GMD-1834-115.pdf#page=3","Abrir facsímil")</f>
        <v>Abrir facsímil</v>
      </c>
      <c r="K5749" s="10" t="s">
        <v>24</v>
      </c>
    </row>
    <row r="5750" spans="1:11" ht="54" customHeight="1">
      <c r="A5750" s="9" t="s">
        <v>13347</v>
      </c>
      <c r="B5750" s="9" t="s">
        <v>13348</v>
      </c>
      <c r="C5750" s="9" t="s">
        <v>66</v>
      </c>
      <c r="D5750" s="9" t="s">
        <v>67</v>
      </c>
      <c r="E5750" s="10" t="s">
        <v>348</v>
      </c>
      <c r="F5750" s="9" t="s">
        <v>501</v>
      </c>
      <c r="G5750" s="10" t="s">
        <v>21</v>
      </c>
      <c r="H5750" s="9" t="s">
        <v>35</v>
      </c>
      <c r="I5750" s="9" t="s">
        <v>13349</v>
      </c>
      <c r="J5750" s="10" t="str">
        <f>HYPERLINK("https://www.boe.es/gazeta/dias/1834/06/12/pdfs/GMD-1834-115.pdf#page=3","Abrir facsímil")</f>
        <v>Abrir facsímil</v>
      </c>
      <c r="K5750" s="10" t="s">
        <v>37</v>
      </c>
    </row>
    <row r="5751" spans="1:11" ht="54" customHeight="1">
      <c r="A5751" s="9" t="s">
        <v>13350</v>
      </c>
      <c r="B5751" s="9" t="s">
        <v>13351</v>
      </c>
      <c r="C5751" s="9" t="s">
        <v>66</v>
      </c>
      <c r="D5751" s="9" t="s">
        <v>67</v>
      </c>
      <c r="E5751" s="10" t="s">
        <v>2945</v>
      </c>
      <c r="F5751" s="9" t="s">
        <v>2946</v>
      </c>
      <c r="G5751" s="10" t="s">
        <v>75</v>
      </c>
      <c r="H5751" s="9" t="s">
        <v>35</v>
      </c>
      <c r="I5751" s="9" t="s">
        <v>13352</v>
      </c>
      <c r="J5751" s="10" t="str">
        <f>HYPERLINK("https://www.boe.es/gazeta/dias/1834/05/29/pdfs/GMD-1834-98.pdf#page=4","Abrir facsímil")</f>
        <v>Abrir facsímil</v>
      </c>
      <c r="K5751" s="10" t="s">
        <v>37</v>
      </c>
    </row>
    <row r="5752" spans="1:11" ht="54" customHeight="1">
      <c r="A5752" s="9" t="s">
        <v>13353</v>
      </c>
      <c r="B5752" s="9" t="s">
        <v>13353</v>
      </c>
      <c r="C5752" s="9" t="s">
        <v>17</v>
      </c>
      <c r="D5752" s="9" t="s">
        <v>55</v>
      </c>
      <c r="E5752" s="10" t="s">
        <v>258</v>
      </c>
      <c r="F5752" s="9" t="s">
        <v>259</v>
      </c>
      <c r="G5752" s="10" t="s">
        <v>75</v>
      </c>
      <c r="H5752" s="9" t="s">
        <v>22</v>
      </c>
      <c r="I5752" s="9" t="s">
        <v>13354</v>
      </c>
      <c r="J5752" s="10" t="str">
        <f>HYPERLINK("https://www.boe.es/gazeta/dias/1834/10/09/pdfs/GMD-C-1834-237.pdf#page=4","Abrir facsímil")</f>
        <v>Abrir facsímil</v>
      </c>
      <c r="K5752" s="10" t="s">
        <v>24</v>
      </c>
    </row>
    <row r="5753" spans="1:11" ht="54" customHeight="1">
      <c r="A5753" s="9" t="s">
        <v>13355</v>
      </c>
      <c r="B5753" s="9" t="s">
        <v>13355</v>
      </c>
      <c r="C5753" s="9" t="s">
        <v>46</v>
      </c>
      <c r="D5753" s="9" t="s">
        <v>18</v>
      </c>
      <c r="E5753" s="10" t="s">
        <v>672</v>
      </c>
      <c r="F5753" s="9" t="s">
        <v>1055</v>
      </c>
      <c r="G5753" s="10" t="s">
        <v>2174</v>
      </c>
      <c r="H5753" s="9" t="s">
        <v>22</v>
      </c>
      <c r="I5753" s="9" t="s">
        <v>13356</v>
      </c>
      <c r="J5753" s="10" t="str">
        <f>HYPERLINK("https://www.boe.es/gazeta/dias/1834/09/19/pdfs/GMD-C-1834-217.pdf#page=10","Abrir facsímil")</f>
        <v>Abrir facsímil</v>
      </c>
      <c r="K5753" s="10" t="s">
        <v>24</v>
      </c>
    </row>
    <row r="5754" spans="1:11" ht="54" customHeight="1">
      <c r="A5754" s="9" t="s">
        <v>13357</v>
      </c>
      <c r="B5754" s="9" t="s">
        <v>13357</v>
      </c>
      <c r="C5754" s="9" t="s">
        <v>17</v>
      </c>
      <c r="D5754" s="9" t="s">
        <v>18</v>
      </c>
      <c r="E5754" s="10" t="s">
        <v>79</v>
      </c>
      <c r="F5754" s="9" t="s">
        <v>80</v>
      </c>
      <c r="G5754" s="10" t="s">
        <v>75</v>
      </c>
      <c r="H5754" s="9" t="s">
        <v>22</v>
      </c>
      <c r="I5754" s="9" t="s">
        <v>13358</v>
      </c>
      <c r="J5754" s="10" t="str">
        <f>HYPERLINK("https://www.boe.es/gazeta/dias/1834/07/12/pdfs/GMD-1834-145.pdf#page=4","Abrir facsímil")</f>
        <v>Abrir facsímil</v>
      </c>
      <c r="K5754" s="10" t="s">
        <v>24</v>
      </c>
    </row>
    <row r="5755" spans="1:11" ht="54" customHeight="1">
      <c r="A5755" s="9" t="s">
        <v>13359</v>
      </c>
      <c r="B5755" s="9" t="s">
        <v>13359</v>
      </c>
      <c r="C5755" s="9" t="s">
        <v>66</v>
      </c>
      <c r="D5755" s="9" t="s">
        <v>18</v>
      </c>
      <c r="E5755" s="10" t="s">
        <v>3207</v>
      </c>
      <c r="F5755" s="9" t="s">
        <v>3208</v>
      </c>
      <c r="G5755" s="10" t="s">
        <v>34</v>
      </c>
      <c r="H5755" s="9" t="s">
        <v>22</v>
      </c>
      <c r="I5755" s="9" t="s">
        <v>13360</v>
      </c>
      <c r="J5755" s="10" t="str">
        <f>HYPERLINK("https://www.boe.es/gazeta/dias/1834/10/13/pdfs/GMD-1834-241.pdf#page=1","Abrir facsímil")</f>
        <v>Abrir facsímil</v>
      </c>
      <c r="K5755" s="10" t="s">
        <v>24</v>
      </c>
    </row>
    <row r="5756" spans="1:11" ht="54" customHeight="1">
      <c r="A5756" s="9" t="s">
        <v>13361</v>
      </c>
      <c r="B5756" s="9" t="s">
        <v>13362</v>
      </c>
      <c r="C5756" s="9" t="s">
        <v>46</v>
      </c>
      <c r="D5756" s="9" t="s">
        <v>18</v>
      </c>
      <c r="E5756" s="10" t="s">
        <v>451</v>
      </c>
      <c r="F5756" s="9" t="s">
        <v>452</v>
      </c>
      <c r="G5756" s="10" t="s">
        <v>86</v>
      </c>
      <c r="H5756" s="9" t="s">
        <v>22</v>
      </c>
      <c r="I5756" s="9" t="s">
        <v>13363</v>
      </c>
      <c r="J5756" s="10" t="str">
        <f>HYPERLINK("https://www.boe.es/gazeta/dias/1834/10/15/pdfs/GMD-C-1834-243.pdf#page=2","Abrir facsímil")</f>
        <v>Abrir facsímil</v>
      </c>
      <c r="K5756" s="10" t="s">
        <v>24</v>
      </c>
    </row>
    <row r="5757" spans="1:11" ht="54" customHeight="1">
      <c r="A5757" s="9" t="s">
        <v>13364</v>
      </c>
      <c r="B5757" s="9" t="s">
        <v>13365</v>
      </c>
      <c r="C5757" s="9" t="s">
        <v>17</v>
      </c>
      <c r="D5757" s="9" t="s">
        <v>18</v>
      </c>
      <c r="E5757" s="10" t="s">
        <v>233</v>
      </c>
      <c r="F5757" s="9" t="s">
        <v>1810</v>
      </c>
      <c r="G5757" s="10" t="s">
        <v>1099</v>
      </c>
      <c r="H5757" s="9" t="s">
        <v>22</v>
      </c>
      <c r="I5757" s="9" t="s">
        <v>13366</v>
      </c>
      <c r="J5757" s="10" t="str">
        <f>HYPERLINK("https://www.boe.es/gazeta/dias/1834/12/16/pdfs/GMD-C-1834-305.pdf#page=11","Abrir facsímil")</f>
        <v>Abrir facsímil</v>
      </c>
      <c r="K5757" s="10" t="s">
        <v>24</v>
      </c>
    </row>
    <row r="5758" spans="1:11" ht="54" customHeight="1">
      <c r="A5758" s="9" t="s">
        <v>13367</v>
      </c>
      <c r="B5758" s="9" t="s">
        <v>13368</v>
      </c>
      <c r="C5758" s="9" t="s">
        <v>46</v>
      </c>
      <c r="D5758" s="9" t="s">
        <v>55</v>
      </c>
      <c r="E5758" s="10" t="s">
        <v>571</v>
      </c>
      <c r="F5758" s="9" t="s">
        <v>620</v>
      </c>
      <c r="G5758" s="10" t="s">
        <v>176</v>
      </c>
      <c r="H5758" s="9" t="s">
        <v>22</v>
      </c>
      <c r="I5758" s="9" t="s">
        <v>13369</v>
      </c>
      <c r="J5758" s="10" t="str">
        <f>HYPERLINK("https://www.boe.es/gazeta/dias/1834/09/04/pdfs/GMD-C-1834-202.pdf#page=6","Abrir facsímil")</f>
        <v>Abrir facsímil</v>
      </c>
      <c r="K5758" s="10" t="s">
        <v>24</v>
      </c>
    </row>
    <row r="5759" spans="1:11" ht="54" customHeight="1">
      <c r="A5759" s="9" t="s">
        <v>13370</v>
      </c>
      <c r="B5759" s="9" t="s">
        <v>13371</v>
      </c>
      <c r="C5759" s="9" t="s">
        <v>17</v>
      </c>
      <c r="D5759" s="9" t="s">
        <v>18</v>
      </c>
      <c r="E5759" s="10" t="s">
        <v>1862</v>
      </c>
      <c r="F5759" s="9" t="s">
        <v>1863</v>
      </c>
      <c r="G5759" s="10" t="s">
        <v>21</v>
      </c>
      <c r="H5759" s="9" t="s">
        <v>22</v>
      </c>
      <c r="I5759" s="9" t="s">
        <v>13372</v>
      </c>
      <c r="J5759" s="10" t="str">
        <f>HYPERLINK("https://www.boe.es/gazeta/dias/1834/02/04/pdfs/GMD-1834-16.pdf#page=3","Abrir facsímil")</f>
        <v>Abrir facsímil</v>
      </c>
      <c r="K5759" s="10" t="s">
        <v>24</v>
      </c>
    </row>
    <row r="5760" spans="1:11" ht="54" customHeight="1">
      <c r="A5760" s="9" t="s">
        <v>13373</v>
      </c>
      <c r="B5760" s="9" t="s">
        <v>13374</v>
      </c>
      <c r="C5760" s="9" t="s">
        <v>17</v>
      </c>
      <c r="D5760" s="9" t="s">
        <v>18</v>
      </c>
      <c r="E5760" s="10" t="s">
        <v>1008</v>
      </c>
      <c r="F5760" s="9" t="s">
        <v>1009</v>
      </c>
      <c r="G5760" s="10" t="s">
        <v>21</v>
      </c>
      <c r="H5760" s="9" t="s">
        <v>22</v>
      </c>
      <c r="I5760" s="9" t="s">
        <v>13375</v>
      </c>
      <c r="J5760" s="10" t="str">
        <f>HYPERLINK("https://www.boe.es/gazeta/dias/1834/11/08/pdfs/GMD-C-1834-267.pdf#page=3","Abrir facsímil")</f>
        <v>Abrir facsímil</v>
      </c>
      <c r="K5760" s="10" t="s">
        <v>24</v>
      </c>
    </row>
    <row r="5761" spans="1:11" ht="54" customHeight="1">
      <c r="A5761" s="9" t="s">
        <v>13376</v>
      </c>
      <c r="B5761" s="9" t="s">
        <v>13377</v>
      </c>
      <c r="C5761" s="9" t="s">
        <v>17</v>
      </c>
      <c r="D5761" s="9" t="s">
        <v>18</v>
      </c>
      <c r="E5761" s="10" t="s">
        <v>1641</v>
      </c>
      <c r="F5761" s="9" t="s">
        <v>1642</v>
      </c>
      <c r="G5761" s="10" t="s">
        <v>34</v>
      </c>
      <c r="H5761" s="9" t="s">
        <v>22</v>
      </c>
      <c r="I5761" s="9" t="s">
        <v>13378</v>
      </c>
      <c r="J5761" s="10" t="str">
        <f>HYPERLINK("https://www.boe.es/gazeta/dias/1834/09/28/pdfs/GMD-C-1834-226.pdf#page=1","Abrir facsímil")</f>
        <v>Abrir facsímil</v>
      </c>
      <c r="K5761" s="10" t="s">
        <v>24</v>
      </c>
    </row>
    <row r="5762" spans="1:11" ht="54" customHeight="1">
      <c r="A5762" s="9" t="s">
        <v>13379</v>
      </c>
      <c r="B5762" s="9" t="s">
        <v>13380</v>
      </c>
      <c r="C5762" s="9" t="s">
        <v>17</v>
      </c>
      <c r="D5762" s="9" t="s">
        <v>18</v>
      </c>
      <c r="E5762" s="10" t="s">
        <v>3066</v>
      </c>
      <c r="F5762" s="9" t="s">
        <v>3188</v>
      </c>
      <c r="G5762" s="10" t="s">
        <v>34</v>
      </c>
      <c r="H5762" s="9" t="s">
        <v>22</v>
      </c>
      <c r="I5762" s="9" t="s">
        <v>13381</v>
      </c>
      <c r="J5762" s="10" t="str">
        <f>HYPERLINK("https://www.boe.es/gazeta/dias/1834/08/03/pdfs/I00721-00722.pdf#page=1","Abrir facsímil")</f>
        <v>Abrir facsímil</v>
      </c>
      <c r="K5762" s="10" t="s">
        <v>24</v>
      </c>
    </row>
    <row r="5763" spans="1:11" ht="54" customHeight="1">
      <c r="A5763" s="9" t="s">
        <v>13379</v>
      </c>
      <c r="B5763" s="9" t="s">
        <v>13380</v>
      </c>
      <c r="C5763" s="9" t="s">
        <v>17</v>
      </c>
      <c r="D5763" s="9" t="s">
        <v>18</v>
      </c>
      <c r="E5763" s="10" t="s">
        <v>3066</v>
      </c>
      <c r="F5763" s="9" t="s">
        <v>3188</v>
      </c>
      <c r="G5763" s="10" t="s">
        <v>21</v>
      </c>
      <c r="H5763" s="9" t="s">
        <v>22</v>
      </c>
      <c r="I5763" s="9" t="s">
        <v>13382</v>
      </c>
      <c r="J5763" s="10" t="str">
        <f>HYPERLINK("https://www.boe.es/gazeta/dias/1834/08/03/pdfs/GMD-1834-167.pdf#page=3","Abrir facsímil")</f>
        <v>Abrir facsímil</v>
      </c>
      <c r="K5763" s="10" t="s">
        <v>24</v>
      </c>
    </row>
    <row r="5764" spans="1:11" ht="54" customHeight="1">
      <c r="A5764" s="9" t="s">
        <v>13383</v>
      </c>
      <c r="B5764" s="9" t="s">
        <v>13384</v>
      </c>
      <c r="C5764" s="9" t="s">
        <v>17</v>
      </c>
      <c r="D5764" s="9" t="s">
        <v>18</v>
      </c>
      <c r="E5764" s="10" t="s">
        <v>653</v>
      </c>
      <c r="F5764" s="9" t="s">
        <v>3369</v>
      </c>
      <c r="G5764" s="10" t="s">
        <v>75</v>
      </c>
      <c r="H5764" s="9" t="s">
        <v>22</v>
      </c>
      <c r="I5764" s="9" t="s">
        <v>13385</v>
      </c>
      <c r="J5764" s="10" t="str">
        <f>HYPERLINK("https://www.boe.es/gazeta/dias/1834/08/06/pdfs/GMD-1834-170.pdf#page=4","Abrir facsímil")</f>
        <v>Abrir facsímil</v>
      </c>
      <c r="K5764" s="10" t="s">
        <v>24</v>
      </c>
    </row>
    <row r="5765" spans="1:11" ht="54" customHeight="1">
      <c r="A5765" s="9" t="s">
        <v>13386</v>
      </c>
      <c r="B5765" s="9" t="s">
        <v>13387</v>
      </c>
      <c r="C5765" s="9" t="s">
        <v>46</v>
      </c>
      <c r="D5765" s="9" t="s">
        <v>55</v>
      </c>
      <c r="E5765" s="10" t="s">
        <v>571</v>
      </c>
      <c r="F5765" s="9" t="s">
        <v>620</v>
      </c>
      <c r="G5765" s="10" t="s">
        <v>176</v>
      </c>
      <c r="H5765" s="9" t="s">
        <v>35</v>
      </c>
      <c r="I5765" s="9" t="s">
        <v>13388</v>
      </c>
      <c r="J5765" s="10" t="str">
        <f>HYPERLINK("https://www.boe.es/gazeta/dias/1834/09/04/pdfs/GMD-C-1834-202.pdf#page=6","Abrir facsímil")</f>
        <v>Abrir facsímil</v>
      </c>
      <c r="K5765" s="10" t="s">
        <v>37</v>
      </c>
    </row>
    <row r="5766" spans="1:11" ht="54" customHeight="1">
      <c r="A5766" s="9" t="s">
        <v>13389</v>
      </c>
      <c r="B5766" s="9" t="s">
        <v>13390</v>
      </c>
      <c r="C5766" s="9" t="s">
        <v>17</v>
      </c>
      <c r="D5766" s="9" t="s">
        <v>18</v>
      </c>
      <c r="E5766" s="10" t="s">
        <v>462</v>
      </c>
      <c r="F5766" s="9" t="s">
        <v>463</v>
      </c>
      <c r="G5766" s="10" t="s">
        <v>86</v>
      </c>
      <c r="H5766" s="9" t="s">
        <v>35</v>
      </c>
      <c r="I5766" s="9" t="s">
        <v>13391</v>
      </c>
      <c r="J5766" s="10" t="str">
        <f>HYPERLINK("https://www.boe.es/gazeta/dias/1834/08/27/pdfs/GMD-C-1834-193.pdf#page=2","Abrir facsímil")</f>
        <v>Abrir facsímil</v>
      </c>
      <c r="K5766" s="10" t="s">
        <v>37</v>
      </c>
    </row>
    <row r="5767" spans="1:11" ht="54" customHeight="1">
      <c r="A5767" s="9" t="s">
        <v>13392</v>
      </c>
      <c r="B5767" s="9" t="s">
        <v>13393</v>
      </c>
      <c r="C5767" s="9" t="s">
        <v>17</v>
      </c>
      <c r="D5767" s="9" t="s">
        <v>18</v>
      </c>
      <c r="E5767" s="10" t="s">
        <v>183</v>
      </c>
      <c r="F5767" s="9" t="s">
        <v>184</v>
      </c>
      <c r="G5767" s="10" t="s">
        <v>75</v>
      </c>
      <c r="H5767" s="9" t="s">
        <v>35</v>
      </c>
      <c r="I5767" s="9" t="s">
        <v>13394</v>
      </c>
      <c r="J5767" s="10" t="str">
        <f>HYPERLINK("https://www.boe.es/gazeta/dias/1834/03/18/pdfs/GMD-1834-34.pdf#page=4","Abrir facsímil")</f>
        <v>Abrir facsímil</v>
      </c>
      <c r="K5767" s="10" t="s">
        <v>37</v>
      </c>
    </row>
    <row r="5768" spans="1:11" ht="54" customHeight="1">
      <c r="A5768" s="9" t="s">
        <v>13395</v>
      </c>
      <c r="B5768" s="9" t="s">
        <v>13396</v>
      </c>
      <c r="C5768" s="9" t="s">
        <v>17</v>
      </c>
      <c r="D5768" s="9" t="s">
        <v>18</v>
      </c>
      <c r="E5768" s="10" t="s">
        <v>1234</v>
      </c>
      <c r="F5768" s="9" t="s">
        <v>1455</v>
      </c>
      <c r="G5768" s="10" t="s">
        <v>75</v>
      </c>
      <c r="H5768" s="9" t="s">
        <v>35</v>
      </c>
      <c r="I5768" s="9" t="s">
        <v>13397</v>
      </c>
      <c r="J5768" s="10" t="str">
        <f>HYPERLINK("https://www.boe.es/gazeta/dias/1834/05/15/pdfs/GMD-1834-84.pdf#page=4","Abrir facsímil")</f>
        <v>Abrir facsímil</v>
      </c>
      <c r="K5768" s="10" t="s">
        <v>37</v>
      </c>
    </row>
    <row r="5769" spans="1:11" ht="54" customHeight="1">
      <c r="A5769" s="9" t="s">
        <v>13398</v>
      </c>
      <c r="B5769" s="9" t="s">
        <v>13399</v>
      </c>
      <c r="C5769" s="9" t="s">
        <v>17</v>
      </c>
      <c r="D5769" s="9" t="s">
        <v>55</v>
      </c>
      <c r="E5769" s="10" t="s">
        <v>79</v>
      </c>
      <c r="F5769" s="9" t="s">
        <v>80</v>
      </c>
      <c r="G5769" s="10" t="s">
        <v>21</v>
      </c>
      <c r="H5769" s="9" t="s">
        <v>35</v>
      </c>
      <c r="I5769" s="9" t="s">
        <v>13400</v>
      </c>
      <c r="J5769" s="10" t="str">
        <f>HYPERLINK("https://www.boe.es/gazeta/dias/1834/07/12/pdfs/GMD-1834-145.pdf#page=3","Abrir facsímil")</f>
        <v>Abrir facsímil</v>
      </c>
      <c r="K5769" s="10" t="s">
        <v>37</v>
      </c>
    </row>
    <row r="5770" spans="1:11" ht="54" customHeight="1">
      <c r="A5770" s="9" t="s">
        <v>13401</v>
      </c>
      <c r="B5770" s="9" t="s">
        <v>13402</v>
      </c>
      <c r="C5770" s="9" t="s">
        <v>17</v>
      </c>
      <c r="D5770" s="9" t="s">
        <v>101</v>
      </c>
      <c r="E5770" s="10" t="s">
        <v>8346</v>
      </c>
      <c r="F5770" s="9" t="s">
        <v>8347</v>
      </c>
      <c r="G5770" s="10" t="s">
        <v>75</v>
      </c>
      <c r="H5770" s="9" t="s">
        <v>35</v>
      </c>
      <c r="I5770" s="9" t="s">
        <v>13403</v>
      </c>
      <c r="J5770" s="10" t="str">
        <f>HYPERLINK("https://www.boe.es/gazeta/dias/1834/12/04/pdfs/GMD-1834-293.pdf#page=4","Abrir facsímil")</f>
        <v>Abrir facsímil</v>
      </c>
      <c r="K5770" s="10" t="s">
        <v>37</v>
      </c>
    </row>
    <row r="5771" spans="1:11" ht="54" customHeight="1">
      <c r="A5771" s="9" t="s">
        <v>13404</v>
      </c>
      <c r="B5771" s="9" t="s">
        <v>13405</v>
      </c>
      <c r="C5771" s="9" t="s">
        <v>17</v>
      </c>
      <c r="D5771" s="9" t="s">
        <v>18</v>
      </c>
      <c r="E5771" s="10" t="s">
        <v>73</v>
      </c>
      <c r="F5771" s="9" t="s">
        <v>1416</v>
      </c>
      <c r="G5771" s="10" t="s">
        <v>86</v>
      </c>
      <c r="H5771" s="9" t="s">
        <v>35</v>
      </c>
      <c r="I5771" s="9" t="s">
        <v>13406</v>
      </c>
      <c r="J5771" s="10" t="str">
        <f>HYPERLINK("https://www.boe.es/gazeta/dias/1834/11/04/pdfs/GMD-C-1834-263.pdf#page=2","Abrir facsímil")</f>
        <v>Abrir facsímil</v>
      </c>
      <c r="K5771" s="10" t="s">
        <v>37</v>
      </c>
    </row>
    <row r="5772" spans="1:11" ht="54" customHeight="1">
      <c r="A5772" s="9" t="s">
        <v>13407</v>
      </c>
      <c r="B5772" s="9" t="s">
        <v>13408</v>
      </c>
      <c r="C5772" s="9" t="s">
        <v>90</v>
      </c>
      <c r="D5772" s="9" t="s">
        <v>18</v>
      </c>
      <c r="E5772" s="10" t="s">
        <v>454</v>
      </c>
      <c r="F5772" s="9" t="s">
        <v>455</v>
      </c>
      <c r="G5772" s="10" t="s">
        <v>34</v>
      </c>
      <c r="H5772" s="9" t="s">
        <v>35</v>
      </c>
      <c r="I5772" s="9" t="s">
        <v>13409</v>
      </c>
      <c r="J5772" s="10" t="str">
        <f>HYPERLINK("https://www.boe.es/gazeta/dias/1834/10/16/pdfs/GMD-C-1834-244.pdf#page=1","Abrir facsímil")</f>
        <v>Abrir facsímil</v>
      </c>
      <c r="K5772" s="10" t="s">
        <v>37</v>
      </c>
    </row>
    <row r="5773" spans="1:11" ht="54" customHeight="1">
      <c r="A5773" s="9" t="s">
        <v>13410</v>
      </c>
      <c r="B5773" s="9" t="s">
        <v>13411</v>
      </c>
      <c r="C5773" s="9" t="s">
        <v>17</v>
      </c>
      <c r="D5773" s="9" t="s">
        <v>18</v>
      </c>
      <c r="E5773" s="10" t="s">
        <v>462</v>
      </c>
      <c r="F5773" s="9" t="s">
        <v>463</v>
      </c>
      <c r="G5773" s="10" t="s">
        <v>86</v>
      </c>
      <c r="H5773" s="9" t="s">
        <v>22</v>
      </c>
      <c r="I5773" s="9" t="s">
        <v>13412</v>
      </c>
      <c r="J5773" s="10" t="str">
        <f>HYPERLINK("https://www.boe.es/gazeta/dias/1834/08/27/pdfs/GMD-C-1834-193.pdf#page=2","Abrir facsímil")</f>
        <v>Abrir facsímil</v>
      </c>
      <c r="K5773" s="10" t="s">
        <v>24</v>
      </c>
    </row>
    <row r="5774" spans="1:11" ht="54" customHeight="1">
      <c r="A5774" s="9" t="s">
        <v>13413</v>
      </c>
      <c r="B5774" s="9" t="s">
        <v>13414</v>
      </c>
      <c r="C5774" s="9" t="s">
        <v>17</v>
      </c>
      <c r="D5774" s="9" t="s">
        <v>18</v>
      </c>
      <c r="E5774" s="10" t="s">
        <v>2287</v>
      </c>
      <c r="F5774" s="9" t="s">
        <v>2288</v>
      </c>
      <c r="G5774" s="10" t="s">
        <v>86</v>
      </c>
      <c r="H5774" s="9" t="s">
        <v>22</v>
      </c>
      <c r="I5774" s="9" t="s">
        <v>13415</v>
      </c>
      <c r="J5774" s="10" t="str">
        <f>HYPERLINK("https://www.boe.es/gazeta/dias/1834/12/18/pdfs/GMD-C-1834-308.pdf#page=2","Abrir facsímil")</f>
        <v>Abrir facsímil</v>
      </c>
      <c r="K5774" s="10" t="s">
        <v>24</v>
      </c>
    </row>
    <row r="5775" spans="1:11" ht="54" customHeight="1">
      <c r="A5775" s="9" t="s">
        <v>13416</v>
      </c>
      <c r="B5775" s="9" t="s">
        <v>13417</v>
      </c>
      <c r="C5775" s="9" t="s">
        <v>17</v>
      </c>
      <c r="D5775" s="9" t="s">
        <v>18</v>
      </c>
      <c r="E5775" s="10" t="s">
        <v>2098</v>
      </c>
      <c r="F5775" s="9" t="s">
        <v>2099</v>
      </c>
      <c r="G5775" s="10" t="s">
        <v>86</v>
      </c>
      <c r="H5775" s="9" t="s">
        <v>22</v>
      </c>
      <c r="I5775" s="9" t="s">
        <v>13418</v>
      </c>
      <c r="J5775" s="10" t="str">
        <f>HYPERLINK("https://www.boe.es/gazeta/dias/1834/08/11/pdfs/GMD-1834-176.pdf#page=2","Abrir facsímil")</f>
        <v>Abrir facsímil</v>
      </c>
      <c r="K5775" s="10" t="s">
        <v>24</v>
      </c>
    </row>
    <row r="5776" spans="1:11" ht="54" customHeight="1">
      <c r="A5776" s="9" t="s">
        <v>13419</v>
      </c>
      <c r="B5776" s="9" t="s">
        <v>13420</v>
      </c>
      <c r="C5776" s="9" t="s">
        <v>17</v>
      </c>
      <c r="D5776" s="9" t="s">
        <v>18</v>
      </c>
      <c r="E5776" s="10" t="s">
        <v>233</v>
      </c>
      <c r="F5776" s="9" t="s">
        <v>1810</v>
      </c>
      <c r="G5776" s="10" t="s">
        <v>86</v>
      </c>
      <c r="H5776" s="9" t="s">
        <v>22</v>
      </c>
      <c r="I5776" s="9" t="s">
        <v>13421</v>
      </c>
      <c r="J5776" s="10" t="str">
        <f>HYPERLINK("https://www.boe.es/gazeta/dias/1834/12/16/pdfs/GMD-C-1834-305.pdf#page=2","Abrir facsímil")</f>
        <v>Abrir facsímil</v>
      </c>
      <c r="K5776" s="10" t="s">
        <v>24</v>
      </c>
    </row>
    <row r="5777" spans="1:11" ht="54" customHeight="1">
      <c r="A5777" s="9" t="s">
        <v>13422</v>
      </c>
      <c r="B5777" s="9" t="s">
        <v>13423</v>
      </c>
      <c r="C5777" s="9" t="s">
        <v>90</v>
      </c>
      <c r="D5777" s="9" t="s">
        <v>18</v>
      </c>
      <c r="E5777" s="10" t="s">
        <v>4064</v>
      </c>
      <c r="F5777" s="9" t="s">
        <v>4065</v>
      </c>
      <c r="G5777" s="10" t="s">
        <v>86</v>
      </c>
      <c r="H5777" s="9" t="s">
        <v>22</v>
      </c>
      <c r="I5777" s="9" t="s">
        <v>13424</v>
      </c>
      <c r="J5777" s="10" t="str">
        <f>HYPERLINK("https://www.boe.es/gazeta/dias/1834/07/22/pdfs/GMD-1834-155.pdf#page=2","Abrir facsímil")</f>
        <v>Abrir facsímil</v>
      </c>
      <c r="K5777" s="10" t="s">
        <v>24</v>
      </c>
    </row>
    <row r="5778" spans="1:11" ht="54" customHeight="1">
      <c r="A5778" s="9" t="s">
        <v>13425</v>
      </c>
      <c r="B5778" s="9" t="s">
        <v>13426</v>
      </c>
      <c r="C5778" s="9" t="s">
        <v>17</v>
      </c>
      <c r="D5778" s="9" t="s">
        <v>18</v>
      </c>
      <c r="E5778" s="10" t="s">
        <v>2212</v>
      </c>
      <c r="F5778" s="9" t="s">
        <v>2213</v>
      </c>
      <c r="G5778" s="10" t="s">
        <v>34</v>
      </c>
      <c r="H5778" s="9" t="s">
        <v>22</v>
      </c>
      <c r="I5778" s="9" t="s">
        <v>13427</v>
      </c>
      <c r="J5778" s="10" t="str">
        <f>HYPERLINK("https://www.boe.es/gazeta/dias/1834/08/04/pdfs/GMD-C-1834-168.pdf#page=1","Abrir facsímil")</f>
        <v>Abrir facsímil</v>
      </c>
      <c r="K5778" s="10" t="s">
        <v>24</v>
      </c>
    </row>
    <row r="5779" spans="1:11" ht="54" customHeight="1">
      <c r="A5779" s="9" t="s">
        <v>13428</v>
      </c>
      <c r="B5779" s="9" t="s">
        <v>13429</v>
      </c>
      <c r="C5779" s="9" t="s">
        <v>90</v>
      </c>
      <c r="D5779" s="9" t="s">
        <v>18</v>
      </c>
      <c r="E5779" s="10" t="s">
        <v>117</v>
      </c>
      <c r="F5779" s="9" t="s">
        <v>118</v>
      </c>
      <c r="G5779" s="10" t="s">
        <v>34</v>
      </c>
      <c r="H5779" s="9" t="s">
        <v>22</v>
      </c>
      <c r="I5779" s="9" t="s">
        <v>13430</v>
      </c>
      <c r="J5779" s="10" t="str">
        <f>HYPERLINK("https://www.boe.es/gazeta/dias/1834/07/21/pdfs/GMD-1834-154.pdf#page=1","Abrir facsímil")</f>
        <v>Abrir facsímil</v>
      </c>
      <c r="K5779" s="10" t="s">
        <v>24</v>
      </c>
    </row>
    <row r="5780" spans="1:11" ht="54" customHeight="1">
      <c r="A5780" s="9" t="s">
        <v>13431</v>
      </c>
      <c r="B5780" s="9" t="s">
        <v>13432</v>
      </c>
      <c r="C5780" s="9" t="s">
        <v>17</v>
      </c>
      <c r="D5780" s="9" t="s">
        <v>18</v>
      </c>
      <c r="E5780" s="10" t="s">
        <v>2203</v>
      </c>
      <c r="F5780" s="9" t="s">
        <v>3917</v>
      </c>
      <c r="G5780" s="10" t="s">
        <v>75</v>
      </c>
      <c r="H5780" s="9" t="s">
        <v>22</v>
      </c>
      <c r="I5780" s="9" t="s">
        <v>13433</v>
      </c>
      <c r="J5780" s="10" t="str">
        <f>HYPERLINK("https://www.boe.es/gazeta/dias/1834/09/10/pdfs/GMD-1834-208.pdf#page=4","Abrir facsímil")</f>
        <v>Abrir facsímil</v>
      </c>
      <c r="K5780" s="10" t="s">
        <v>24</v>
      </c>
    </row>
    <row r="5781" spans="1:11" ht="54" customHeight="1">
      <c r="A5781" s="9" t="s">
        <v>13434</v>
      </c>
      <c r="B5781" s="9" t="s">
        <v>13435</v>
      </c>
      <c r="C5781" s="9" t="s">
        <v>17</v>
      </c>
      <c r="D5781" s="9" t="s">
        <v>18</v>
      </c>
      <c r="E5781" s="10" t="s">
        <v>3163</v>
      </c>
      <c r="F5781" s="9" t="s">
        <v>3164</v>
      </c>
      <c r="G5781" s="10" t="s">
        <v>34</v>
      </c>
      <c r="H5781" s="9" t="s">
        <v>22</v>
      </c>
      <c r="I5781" s="9" t="s">
        <v>13436</v>
      </c>
      <c r="J5781" s="10" t="str">
        <f>HYPERLINK("https://www.boe.es/gazeta/dias/1834/11/02/pdfs/GMD-1834-261.pdf#page=1","Abrir facsímil")</f>
        <v>Abrir facsímil</v>
      </c>
      <c r="K5781" s="10" t="s">
        <v>24</v>
      </c>
    </row>
    <row r="5782" spans="1:11" ht="54" customHeight="1">
      <c r="A5782" s="9" t="s">
        <v>13437</v>
      </c>
      <c r="B5782" s="9" t="s">
        <v>13438</v>
      </c>
      <c r="C5782" s="9" t="s">
        <v>46</v>
      </c>
      <c r="D5782" s="9" t="s">
        <v>101</v>
      </c>
      <c r="E5782" s="10" t="s">
        <v>734</v>
      </c>
      <c r="F5782" s="9" t="s">
        <v>735</v>
      </c>
      <c r="G5782" s="10" t="s">
        <v>34</v>
      </c>
      <c r="H5782" s="9" t="s">
        <v>22</v>
      </c>
      <c r="I5782" s="9" t="s">
        <v>13439</v>
      </c>
      <c r="J5782" s="10" t="str">
        <f>HYPERLINK("https://www.boe.es/gazeta/dias/1834/05/06/pdfs/GMD-1834-75.pdf#page=1","Abrir facsímil")</f>
        <v>Abrir facsímil</v>
      </c>
      <c r="K5782" s="10" t="s">
        <v>24</v>
      </c>
    </row>
    <row r="5783" spans="1:11" ht="54" customHeight="1">
      <c r="A5783" s="9" t="s">
        <v>13440</v>
      </c>
      <c r="B5783" s="9" t="s">
        <v>13441</v>
      </c>
      <c r="C5783" s="9" t="s">
        <v>17</v>
      </c>
      <c r="D5783" s="9" t="s">
        <v>18</v>
      </c>
      <c r="E5783" s="10" t="s">
        <v>299</v>
      </c>
      <c r="F5783" s="9" t="s">
        <v>2255</v>
      </c>
      <c r="G5783" s="10" t="s">
        <v>75</v>
      </c>
      <c r="H5783" s="9" t="s">
        <v>22</v>
      </c>
      <c r="I5783" s="9" t="s">
        <v>13442</v>
      </c>
      <c r="J5783" s="10" t="str">
        <f>HYPERLINK("https://www.boe.es/gazeta/dias/1834/12/12/pdfs/GMD-C-1834-301.pdf#page=4","Abrir facsímil")</f>
        <v>Abrir facsímil</v>
      </c>
      <c r="K5783" s="10" t="s">
        <v>24</v>
      </c>
    </row>
    <row r="5784" spans="1:11" ht="54" customHeight="1">
      <c r="A5784" s="9" t="s">
        <v>13440</v>
      </c>
      <c r="B5784" s="9" t="s">
        <v>13441</v>
      </c>
      <c r="C5784" s="9" t="s">
        <v>17</v>
      </c>
      <c r="D5784" s="9" t="s">
        <v>55</v>
      </c>
      <c r="E5784" s="10" t="s">
        <v>304</v>
      </c>
      <c r="F5784" s="9" t="s">
        <v>305</v>
      </c>
      <c r="G5784" s="10" t="s">
        <v>28</v>
      </c>
      <c r="H5784" s="9" t="s">
        <v>22</v>
      </c>
      <c r="I5784" s="9" t="s">
        <v>13443</v>
      </c>
      <c r="J5784" s="10" t="str">
        <f>HYPERLINK("https://www.boe.es/gazeta/dias/1834/01/21/pdfs/GMD-1834-10.pdf#page=5","Abrir facsímil")</f>
        <v>Abrir facsímil</v>
      </c>
      <c r="K5784" s="10" t="s">
        <v>24</v>
      </c>
    </row>
    <row r="5785" spans="1:11" ht="54" customHeight="1">
      <c r="A5785" s="9" t="s">
        <v>13440</v>
      </c>
      <c r="B5785" s="9" t="s">
        <v>13441</v>
      </c>
      <c r="C5785" s="9" t="s">
        <v>17</v>
      </c>
      <c r="D5785" s="9" t="s">
        <v>18</v>
      </c>
      <c r="E5785" s="10" t="s">
        <v>1922</v>
      </c>
      <c r="F5785" s="9" t="s">
        <v>1923</v>
      </c>
      <c r="G5785" s="10" t="s">
        <v>75</v>
      </c>
      <c r="H5785" s="9" t="s">
        <v>22</v>
      </c>
      <c r="I5785" s="9" t="s">
        <v>13444</v>
      </c>
      <c r="J5785" s="10" t="str">
        <f>HYPERLINK("https://www.boe.es/gazeta/dias/1834/02/25/pdfs/GMD-1834-25.pdf#page=4","Abrir facsímil")</f>
        <v>Abrir facsímil</v>
      </c>
      <c r="K5785" s="10" t="s">
        <v>24</v>
      </c>
    </row>
    <row r="5786" spans="1:11" ht="54" customHeight="1">
      <c r="A5786" s="9" t="s">
        <v>13445</v>
      </c>
      <c r="B5786" s="9" t="s">
        <v>13446</v>
      </c>
      <c r="C5786" s="9" t="s">
        <v>122</v>
      </c>
      <c r="D5786" s="9" t="s">
        <v>40</v>
      </c>
      <c r="E5786" s="10" t="s">
        <v>1084</v>
      </c>
      <c r="F5786" s="9" t="s">
        <v>1085</v>
      </c>
      <c r="G5786" s="10" t="s">
        <v>176</v>
      </c>
      <c r="H5786" s="9" t="s">
        <v>22</v>
      </c>
      <c r="I5786" s="9" t="s">
        <v>13447</v>
      </c>
      <c r="J5786" s="10" t="str">
        <f>HYPERLINK("https://www.boe.es/gazeta/dias/1834/05/01/pdfs/GMD-1834-70.pdf#page=6","Abrir facsímil")</f>
        <v>Abrir facsímil</v>
      </c>
      <c r="K5786" s="10" t="s">
        <v>24</v>
      </c>
    </row>
    <row r="5787" spans="1:11" ht="54" customHeight="1">
      <c r="A5787" s="9" t="s">
        <v>13448</v>
      </c>
      <c r="B5787" s="9" t="s">
        <v>13449</v>
      </c>
      <c r="C5787" s="9" t="s">
        <v>17</v>
      </c>
      <c r="D5787" s="9" t="s">
        <v>55</v>
      </c>
      <c r="E5787" s="10" t="s">
        <v>1170</v>
      </c>
      <c r="F5787" s="9" t="s">
        <v>1171</v>
      </c>
      <c r="G5787" s="10" t="s">
        <v>75</v>
      </c>
      <c r="H5787" s="9" t="s">
        <v>22</v>
      </c>
      <c r="I5787" s="9" t="s">
        <v>13450</v>
      </c>
      <c r="J5787" s="10" t="str">
        <f>HYPERLINK("https://www.boe.es/gazeta/dias/1834/01/07/pdfs/GMD-1834-4.pdf#page=4","Abrir facsímil")</f>
        <v>Abrir facsímil</v>
      </c>
      <c r="K5787" s="10" t="s">
        <v>24</v>
      </c>
    </row>
    <row r="5788" spans="1:11" ht="54" customHeight="1">
      <c r="A5788" s="9" t="s">
        <v>13451</v>
      </c>
      <c r="B5788" s="9" t="s">
        <v>13452</v>
      </c>
      <c r="C5788" s="9" t="s">
        <v>90</v>
      </c>
      <c r="D5788" s="9" t="s">
        <v>18</v>
      </c>
      <c r="E5788" s="10" t="s">
        <v>2748</v>
      </c>
      <c r="F5788" s="9" t="s">
        <v>2749</v>
      </c>
      <c r="G5788" s="10" t="s">
        <v>21</v>
      </c>
      <c r="H5788" s="9" t="s">
        <v>22</v>
      </c>
      <c r="I5788" s="9" t="s">
        <v>13453</v>
      </c>
      <c r="J5788" s="10" t="str">
        <f>HYPERLINK("https://www.boe.es/gazeta/dias/1834/01/09/pdfs/GMD-1834-5.pdf#page=3","Abrir facsímil")</f>
        <v>Abrir facsímil</v>
      </c>
      <c r="K5788" s="10" t="s">
        <v>24</v>
      </c>
    </row>
    <row r="5789" spans="1:11" ht="54" customHeight="1">
      <c r="A5789" s="9" t="s">
        <v>13454</v>
      </c>
      <c r="B5789" s="9" t="s">
        <v>13455</v>
      </c>
      <c r="C5789" s="9" t="s">
        <v>17</v>
      </c>
      <c r="D5789" s="9" t="s">
        <v>18</v>
      </c>
      <c r="E5789" s="10" t="s">
        <v>3306</v>
      </c>
      <c r="F5789" s="9" t="s">
        <v>3307</v>
      </c>
      <c r="G5789" s="10" t="s">
        <v>34</v>
      </c>
      <c r="H5789" s="9" t="s">
        <v>22</v>
      </c>
      <c r="I5789" s="9" t="s">
        <v>13456</v>
      </c>
      <c r="J5789" s="10" t="str">
        <f>HYPERLINK("https://www.boe.es/gazeta/dias/1834/05/07/pdfs/GMD-1834-76.pdf#page=1","Abrir facsímil")</f>
        <v>Abrir facsímil</v>
      </c>
      <c r="K5789" s="10" t="s">
        <v>24</v>
      </c>
    </row>
    <row r="5790" spans="1:11" ht="54" customHeight="1">
      <c r="A5790" s="9" t="s">
        <v>13457</v>
      </c>
      <c r="B5790" s="9" t="s">
        <v>13458</v>
      </c>
      <c r="C5790" s="9" t="s">
        <v>90</v>
      </c>
      <c r="D5790" s="9" t="s">
        <v>18</v>
      </c>
      <c r="E5790" s="10" t="s">
        <v>117</v>
      </c>
      <c r="F5790" s="9" t="s">
        <v>118</v>
      </c>
      <c r="G5790" s="10" t="s">
        <v>34</v>
      </c>
      <c r="H5790" s="9" t="s">
        <v>35</v>
      </c>
      <c r="I5790" s="9" t="s">
        <v>13459</v>
      </c>
      <c r="J5790" s="10" t="str">
        <f>HYPERLINK("https://www.boe.es/gazeta/dias/1834/07/21/pdfs/GMD-1834-154.pdf#page=1","Abrir facsímil")</f>
        <v>Abrir facsímil</v>
      </c>
      <c r="K5790" s="10" t="s">
        <v>37</v>
      </c>
    </row>
    <row r="5791" spans="1:11" ht="54" customHeight="1">
      <c r="A5791" s="9" t="s">
        <v>13460</v>
      </c>
      <c r="B5791" s="9" t="s">
        <v>13461</v>
      </c>
      <c r="C5791" s="9" t="s">
        <v>17</v>
      </c>
      <c r="D5791" s="9" t="s">
        <v>18</v>
      </c>
      <c r="E5791" s="10" t="s">
        <v>304</v>
      </c>
      <c r="F5791" s="9" t="s">
        <v>305</v>
      </c>
      <c r="G5791" s="10" t="s">
        <v>34</v>
      </c>
      <c r="H5791" s="9" t="s">
        <v>22</v>
      </c>
      <c r="I5791" s="9" t="s">
        <v>13462</v>
      </c>
      <c r="J5791" s="10" t="str">
        <f>HYPERLINK("https://www.boe.es/gazeta/dias/1834/01/21/pdfs/GMD-1834-10.pdf#page=1","Abrir facsímil")</f>
        <v>Abrir facsímil</v>
      </c>
      <c r="K5791" s="10" t="s">
        <v>24</v>
      </c>
    </row>
    <row r="5792" spans="1:11" ht="54" customHeight="1">
      <c r="A5792" s="9" t="s">
        <v>13463</v>
      </c>
      <c r="B5792" s="9" t="s">
        <v>13464</v>
      </c>
      <c r="C5792" s="9" t="s">
        <v>17</v>
      </c>
      <c r="D5792" s="9" t="s">
        <v>18</v>
      </c>
      <c r="E5792" s="10" t="s">
        <v>465</v>
      </c>
      <c r="F5792" s="9" t="s">
        <v>466</v>
      </c>
      <c r="G5792" s="10" t="s">
        <v>176</v>
      </c>
      <c r="H5792" s="9" t="s">
        <v>22</v>
      </c>
      <c r="I5792" s="9" t="s">
        <v>13465</v>
      </c>
      <c r="J5792" s="10" t="str">
        <f>HYPERLINK("https://www.boe.es/gazeta/dias/1834/11/27/pdfs/GMD-C-1834-286.pdf#page=6","Abrir facsímil")</f>
        <v>Abrir facsímil</v>
      </c>
      <c r="K5792" s="10" t="s">
        <v>24</v>
      </c>
    </row>
    <row r="5793" spans="1:11" ht="54" customHeight="1">
      <c r="A5793" s="9" t="s">
        <v>13466</v>
      </c>
      <c r="B5793" s="9" t="s">
        <v>13467</v>
      </c>
      <c r="C5793" s="9" t="s">
        <v>122</v>
      </c>
      <c r="D5793" s="9" t="s">
        <v>18</v>
      </c>
      <c r="E5793" s="10" t="s">
        <v>1505</v>
      </c>
      <c r="F5793" s="9" t="s">
        <v>1506</v>
      </c>
      <c r="G5793" s="10" t="s">
        <v>75</v>
      </c>
      <c r="H5793" s="9" t="s">
        <v>22</v>
      </c>
      <c r="I5793" s="9" t="s">
        <v>13468</v>
      </c>
      <c r="J5793" s="10" t="str">
        <f>HYPERLINK("https://www.boe.es/gazeta/dias/1834/05/08/pdfs/GMD-1834-77.pdf#page=4","Abrir facsímil")</f>
        <v>Abrir facsímil</v>
      </c>
      <c r="K5793" s="10" t="s">
        <v>24</v>
      </c>
    </row>
    <row r="5794" spans="1:11" ht="54" customHeight="1">
      <c r="A5794" s="9" t="s">
        <v>13469</v>
      </c>
      <c r="B5794" s="9" t="s">
        <v>13470</v>
      </c>
      <c r="C5794" s="9" t="s">
        <v>17</v>
      </c>
      <c r="D5794" s="9" t="s">
        <v>55</v>
      </c>
      <c r="E5794" s="10" t="s">
        <v>56</v>
      </c>
      <c r="F5794" s="9" t="s">
        <v>57</v>
      </c>
      <c r="G5794" s="10" t="s">
        <v>21</v>
      </c>
      <c r="H5794" s="9" t="s">
        <v>22</v>
      </c>
      <c r="I5794" s="9" t="s">
        <v>13471</v>
      </c>
      <c r="J5794" s="10" t="str">
        <f>HYPERLINK("https://www.boe.es/gazeta/dias/1834/07/09/pdfs/GMD-1834-142.pdf#page=3","Abrir facsímil")</f>
        <v>Abrir facsímil</v>
      </c>
      <c r="K5794" s="10" t="s">
        <v>24</v>
      </c>
    </row>
    <row r="5795" spans="1:11" ht="54" customHeight="1">
      <c r="A5795" s="9" t="s">
        <v>13472</v>
      </c>
      <c r="B5795" s="9" t="s">
        <v>13473</v>
      </c>
      <c r="C5795" s="9" t="s">
        <v>17</v>
      </c>
      <c r="D5795" s="9" t="s">
        <v>18</v>
      </c>
      <c r="E5795" s="10" t="s">
        <v>309</v>
      </c>
      <c r="F5795" s="9" t="s">
        <v>310</v>
      </c>
      <c r="G5795" s="10" t="s">
        <v>34</v>
      </c>
      <c r="H5795" s="9" t="s">
        <v>22</v>
      </c>
      <c r="I5795" s="9" t="s">
        <v>13474</v>
      </c>
      <c r="J5795" s="10" t="str">
        <f>HYPERLINK("https://www.boe.es/gazeta/dias/1834/05/30/pdfs/GMD-1834-99.pdf#page=1","Abrir facsímil")</f>
        <v>Abrir facsímil</v>
      </c>
      <c r="K5795" s="10" t="s">
        <v>24</v>
      </c>
    </row>
    <row r="5796" spans="1:11" ht="54" customHeight="1">
      <c r="A5796" s="9" t="s">
        <v>13475</v>
      </c>
      <c r="B5796" s="9" t="s">
        <v>13476</v>
      </c>
      <c r="C5796" s="9" t="s">
        <v>17</v>
      </c>
      <c r="D5796" s="9" t="s">
        <v>18</v>
      </c>
      <c r="E5796" s="10" t="s">
        <v>183</v>
      </c>
      <c r="F5796" s="9" t="s">
        <v>184</v>
      </c>
      <c r="G5796" s="10" t="s">
        <v>75</v>
      </c>
      <c r="H5796" s="9" t="s">
        <v>22</v>
      </c>
      <c r="I5796" s="9" t="s">
        <v>13477</v>
      </c>
      <c r="J5796" s="10" t="str">
        <f>HYPERLINK("https://www.boe.es/gazeta/dias/1834/03/18/pdfs/GMD-1834-34.pdf#page=4","Abrir facsímil")</f>
        <v>Abrir facsímil</v>
      </c>
      <c r="K5796" s="10" t="s">
        <v>24</v>
      </c>
    </row>
    <row r="5797" spans="1:11" ht="54" customHeight="1">
      <c r="A5797" s="9" t="s">
        <v>13478</v>
      </c>
      <c r="B5797" s="9" t="s">
        <v>13479</v>
      </c>
      <c r="C5797" s="9" t="s">
        <v>17</v>
      </c>
      <c r="D5797" s="9" t="s">
        <v>18</v>
      </c>
      <c r="E5797" s="10" t="s">
        <v>1424</v>
      </c>
      <c r="F5797" s="9" t="s">
        <v>3445</v>
      </c>
      <c r="G5797" s="10" t="s">
        <v>34</v>
      </c>
      <c r="H5797" s="9" t="s">
        <v>22</v>
      </c>
      <c r="I5797" s="9" t="s">
        <v>13480</v>
      </c>
      <c r="J5797" s="10" t="str">
        <f>HYPERLINK("https://www.boe.es/gazeta/dias/1834/11/14/pdfs/GMD-1834-273.pdf#page=1","Abrir facsímil")</f>
        <v>Abrir facsímil</v>
      </c>
      <c r="K5797" s="10" t="s">
        <v>24</v>
      </c>
    </row>
    <row r="5798" spans="1:11" ht="54" customHeight="1">
      <c r="A5798" s="9" t="s">
        <v>13481</v>
      </c>
      <c r="B5798" s="9" t="s">
        <v>13482</v>
      </c>
      <c r="C5798" s="9" t="s">
        <v>17</v>
      </c>
      <c r="D5798" s="9" t="s">
        <v>18</v>
      </c>
      <c r="E5798" s="10" t="s">
        <v>1234</v>
      </c>
      <c r="F5798" s="9" t="s">
        <v>1455</v>
      </c>
      <c r="G5798" s="10" t="s">
        <v>75</v>
      </c>
      <c r="H5798" s="9" t="s">
        <v>22</v>
      </c>
      <c r="I5798" s="9" t="s">
        <v>13483</v>
      </c>
      <c r="J5798" s="10" t="str">
        <f>HYPERLINK("https://www.boe.es/gazeta/dias/1834/05/15/pdfs/GMD-1834-84.pdf#page=4","Abrir facsímil")</f>
        <v>Abrir facsímil</v>
      </c>
      <c r="K5798" s="10" t="s">
        <v>24</v>
      </c>
    </row>
    <row r="5799" spans="1:11" ht="54" customHeight="1">
      <c r="A5799" s="9" t="s">
        <v>13484</v>
      </c>
      <c r="B5799" s="9" t="s">
        <v>13485</v>
      </c>
      <c r="C5799" s="9" t="s">
        <v>122</v>
      </c>
      <c r="D5799" s="9" t="s">
        <v>18</v>
      </c>
      <c r="E5799" s="10" t="s">
        <v>513</v>
      </c>
      <c r="F5799" s="9" t="s">
        <v>514</v>
      </c>
      <c r="G5799" s="10" t="s">
        <v>21</v>
      </c>
      <c r="H5799" s="9" t="s">
        <v>22</v>
      </c>
      <c r="I5799" s="9" t="s">
        <v>13486</v>
      </c>
      <c r="J5799" s="10" t="str">
        <f>HYPERLINK("https://www.boe.es/gazeta/dias/1834/04/27/pdfs/GMD-1834-66.pdf#page=3","Abrir facsímil")</f>
        <v>Abrir facsímil</v>
      </c>
      <c r="K5799" s="10" t="s">
        <v>24</v>
      </c>
    </row>
    <row r="5800" spans="1:11" ht="54" customHeight="1">
      <c r="A5800" s="9" t="s">
        <v>13487</v>
      </c>
      <c r="B5800" s="9" t="s">
        <v>13488</v>
      </c>
      <c r="C5800" s="9" t="s">
        <v>17</v>
      </c>
      <c r="D5800" s="9" t="s">
        <v>18</v>
      </c>
      <c r="E5800" s="10" t="s">
        <v>84</v>
      </c>
      <c r="F5800" s="9" t="s">
        <v>85</v>
      </c>
      <c r="G5800" s="10" t="s">
        <v>86</v>
      </c>
      <c r="H5800" s="9" t="s">
        <v>22</v>
      </c>
      <c r="I5800" s="9" t="s">
        <v>13489</v>
      </c>
      <c r="J5800" s="10" t="str">
        <f>HYPERLINK("https://www.boe.es/gazeta/dias/1834/06/07/pdfs/GMD-C-1834-109.pdf#page=2","Abrir facsímil")</f>
        <v>Abrir facsímil</v>
      </c>
      <c r="K5800" s="10" t="s">
        <v>24</v>
      </c>
    </row>
    <row r="5801" spans="1:11" ht="54" customHeight="1">
      <c r="A5801" s="9" t="s">
        <v>13490</v>
      </c>
      <c r="B5801" s="9" t="s">
        <v>13491</v>
      </c>
      <c r="C5801" s="9" t="s">
        <v>17</v>
      </c>
      <c r="D5801" s="9" t="s">
        <v>101</v>
      </c>
      <c r="E5801" s="10" t="s">
        <v>956</v>
      </c>
      <c r="F5801" s="9" t="s">
        <v>1508</v>
      </c>
      <c r="G5801" s="10" t="s">
        <v>21</v>
      </c>
      <c r="H5801" s="9" t="s">
        <v>22</v>
      </c>
      <c r="I5801" s="9" t="s">
        <v>13492</v>
      </c>
      <c r="J5801" s="10" t="str">
        <f>HYPERLINK("https://www.boe.es/gazeta/dias/1834/08/10/pdfs/GMD-1834-175.pdf#page=3","Abrir facsímil")</f>
        <v>Abrir facsímil</v>
      </c>
      <c r="K5801" s="10" t="s">
        <v>24</v>
      </c>
    </row>
    <row r="5802" spans="1:11" ht="54" customHeight="1">
      <c r="A5802" s="9" t="s">
        <v>13493</v>
      </c>
      <c r="B5802" s="9" t="s">
        <v>13494</v>
      </c>
      <c r="C5802" s="9" t="s">
        <v>17</v>
      </c>
      <c r="D5802" s="9" t="s">
        <v>55</v>
      </c>
      <c r="E5802" s="10" t="s">
        <v>79</v>
      </c>
      <c r="F5802" s="9" t="s">
        <v>80</v>
      </c>
      <c r="G5802" s="10" t="s">
        <v>21</v>
      </c>
      <c r="H5802" s="9" t="s">
        <v>22</v>
      </c>
      <c r="I5802" s="9" t="s">
        <v>13495</v>
      </c>
      <c r="J5802" s="10" t="str">
        <f>HYPERLINK("https://www.boe.es/gazeta/dias/1834/07/12/pdfs/GMD-1834-145.pdf#page=3","Abrir facsímil")</f>
        <v>Abrir facsímil</v>
      </c>
      <c r="K5802" s="10" t="s">
        <v>24</v>
      </c>
    </row>
    <row r="5803" spans="1:11" ht="54" customHeight="1">
      <c r="A5803" s="9" t="s">
        <v>13496</v>
      </c>
      <c r="B5803" s="9" t="s">
        <v>13497</v>
      </c>
      <c r="C5803" s="9" t="s">
        <v>46</v>
      </c>
      <c r="D5803" s="9" t="s">
        <v>18</v>
      </c>
      <c r="E5803" s="10" t="s">
        <v>1284</v>
      </c>
      <c r="F5803" s="9" t="s">
        <v>1285</v>
      </c>
      <c r="G5803" s="10" t="s">
        <v>86</v>
      </c>
      <c r="H5803" s="9" t="s">
        <v>22</v>
      </c>
      <c r="I5803" s="9" t="s">
        <v>13498</v>
      </c>
      <c r="J5803" s="10" t="str">
        <f>HYPERLINK("https://www.boe.es/gazeta/dias/1834/11/28/pdfs/GMD-1834-287.pdf#page=2","Abrir facsímil")</f>
        <v>Abrir facsímil</v>
      </c>
      <c r="K5803" s="10" t="s">
        <v>24</v>
      </c>
    </row>
    <row r="5804" spans="1:11" ht="54" customHeight="1">
      <c r="A5804" s="9" t="s">
        <v>13499</v>
      </c>
      <c r="B5804" s="9" t="s">
        <v>13500</v>
      </c>
      <c r="C5804" s="9" t="s">
        <v>17</v>
      </c>
      <c r="D5804" s="9" t="s">
        <v>101</v>
      </c>
      <c r="E5804" s="10" t="s">
        <v>8346</v>
      </c>
      <c r="F5804" s="9" t="s">
        <v>8347</v>
      </c>
      <c r="G5804" s="10" t="s">
        <v>75</v>
      </c>
      <c r="H5804" s="9" t="s">
        <v>22</v>
      </c>
      <c r="I5804" s="9" t="s">
        <v>13501</v>
      </c>
      <c r="J5804" s="10" t="str">
        <f>HYPERLINK("https://www.boe.es/gazeta/dias/1834/12/04/pdfs/GMD-1834-293.pdf#page=4","Abrir facsímil")</f>
        <v>Abrir facsímil</v>
      </c>
      <c r="K5804" s="10" t="s">
        <v>24</v>
      </c>
    </row>
    <row r="5805" spans="1:11" ht="54" customHeight="1">
      <c r="A5805" s="9" t="s">
        <v>13502</v>
      </c>
      <c r="B5805" s="9" t="s">
        <v>13503</v>
      </c>
      <c r="C5805" s="9" t="s">
        <v>66</v>
      </c>
      <c r="D5805" s="9" t="s">
        <v>67</v>
      </c>
      <c r="E5805" s="10" t="s">
        <v>133</v>
      </c>
      <c r="F5805" s="9" t="s">
        <v>134</v>
      </c>
      <c r="G5805" s="10" t="s">
        <v>34</v>
      </c>
      <c r="H5805" s="9" t="s">
        <v>22</v>
      </c>
      <c r="I5805" s="9" t="s">
        <v>13504</v>
      </c>
      <c r="J5805" s="10" t="str">
        <f>HYPERLINK("https://www.boe.es/gazeta/dias/1834/06/18/pdfs/GMD-1834-121.pdf#page=1","Abrir facsímil")</f>
        <v>Abrir facsímil</v>
      </c>
      <c r="K5805" s="10" t="s">
        <v>24</v>
      </c>
    </row>
    <row r="5806" spans="1:11" ht="54" customHeight="1">
      <c r="A5806" s="9" t="s">
        <v>13505</v>
      </c>
      <c r="B5806" s="9" t="s">
        <v>13506</v>
      </c>
      <c r="C5806" s="9" t="s">
        <v>17</v>
      </c>
      <c r="D5806" s="9" t="s">
        <v>18</v>
      </c>
      <c r="E5806" s="10" t="s">
        <v>73</v>
      </c>
      <c r="F5806" s="9" t="s">
        <v>1416</v>
      </c>
      <c r="G5806" s="10" t="s">
        <v>86</v>
      </c>
      <c r="H5806" s="9" t="s">
        <v>22</v>
      </c>
      <c r="I5806" s="9" t="s">
        <v>13507</v>
      </c>
      <c r="J5806" s="10" t="str">
        <f>HYPERLINK("https://www.boe.es/gazeta/dias/1834/11/04/pdfs/GMD-C-1834-263.pdf#page=2","Abrir facsímil")</f>
        <v>Abrir facsímil</v>
      </c>
      <c r="K5806" s="10" t="s">
        <v>24</v>
      </c>
    </row>
    <row r="5807" spans="1:11" ht="54" customHeight="1">
      <c r="A5807" s="9" t="s">
        <v>13508</v>
      </c>
      <c r="B5807" s="9" t="s">
        <v>13509</v>
      </c>
      <c r="C5807" s="9" t="s">
        <v>66</v>
      </c>
      <c r="D5807" s="9" t="s">
        <v>67</v>
      </c>
      <c r="E5807" s="10" t="s">
        <v>492</v>
      </c>
      <c r="F5807" s="9" t="s">
        <v>1672</v>
      </c>
      <c r="G5807" s="10" t="s">
        <v>86</v>
      </c>
      <c r="H5807" s="9" t="s">
        <v>22</v>
      </c>
      <c r="I5807" s="9" t="s">
        <v>13510</v>
      </c>
      <c r="J5807" s="10" t="str">
        <f>HYPERLINK("https://www.boe.es/gazeta/dias/1834/11/21/pdfs/GMD-1834-280.pdf#page=2","Abrir facsímil")</f>
        <v>Abrir facsímil</v>
      </c>
      <c r="K5807" s="10" t="s">
        <v>24</v>
      </c>
    </row>
    <row r="5808" spans="1:11" ht="54" customHeight="1">
      <c r="A5808" s="9" t="s">
        <v>13511</v>
      </c>
      <c r="B5808" s="9" t="s">
        <v>13512</v>
      </c>
      <c r="C5808" s="9" t="s">
        <v>17</v>
      </c>
      <c r="D5808" s="9" t="s">
        <v>18</v>
      </c>
      <c r="E5808" s="10" t="s">
        <v>1981</v>
      </c>
      <c r="F5808" s="9" t="s">
        <v>2471</v>
      </c>
      <c r="G5808" s="10" t="s">
        <v>75</v>
      </c>
      <c r="H5808" s="9" t="s">
        <v>22</v>
      </c>
      <c r="I5808" s="9" t="s">
        <v>13513</v>
      </c>
      <c r="J5808" s="10" t="str">
        <f>HYPERLINK("https://www.boe.es/gazeta/dias/1834/12/13/pdfs/GMD-C-1834-302.pdf#page=4","Abrir facsímil")</f>
        <v>Abrir facsímil</v>
      </c>
      <c r="K5808" s="10" t="s">
        <v>24</v>
      </c>
    </row>
    <row r="5809" spans="1:11" ht="54" customHeight="1">
      <c r="A5809" s="9" t="s">
        <v>13514</v>
      </c>
      <c r="B5809" s="9" t="s">
        <v>13515</v>
      </c>
      <c r="C5809" s="9" t="s">
        <v>122</v>
      </c>
      <c r="D5809" s="9" t="s">
        <v>18</v>
      </c>
      <c r="E5809" s="10" t="s">
        <v>690</v>
      </c>
      <c r="F5809" s="9" t="s">
        <v>691</v>
      </c>
      <c r="G5809" s="10" t="s">
        <v>34</v>
      </c>
      <c r="H5809" s="9" t="s">
        <v>22</v>
      </c>
      <c r="I5809" s="9" t="s">
        <v>13516</v>
      </c>
      <c r="J5809" s="10" t="str">
        <f>HYPERLINK("https://www.boe.es/gazeta/dias/1834/09/03/pdfs/GMD-C-1834-201.pdf#page=1","Abrir facsímil")</f>
        <v>Abrir facsímil</v>
      </c>
      <c r="K5809" s="10" t="s">
        <v>24</v>
      </c>
    </row>
    <row r="5810" spans="1:11" ht="54" customHeight="1">
      <c r="A5810" s="9" t="s">
        <v>13517</v>
      </c>
      <c r="B5810" s="9" t="s">
        <v>13518</v>
      </c>
      <c r="C5810" s="9" t="s">
        <v>46</v>
      </c>
      <c r="D5810" s="9" t="s">
        <v>18</v>
      </c>
      <c r="E5810" s="10" t="s">
        <v>1284</v>
      </c>
      <c r="F5810" s="9" t="s">
        <v>1285</v>
      </c>
      <c r="G5810" s="10" t="s">
        <v>86</v>
      </c>
      <c r="H5810" s="9" t="s">
        <v>22</v>
      </c>
      <c r="I5810" s="9" t="s">
        <v>13519</v>
      </c>
      <c r="J5810" s="10" t="str">
        <f>HYPERLINK("https://www.boe.es/gazeta/dias/1834/11/28/pdfs/GMD-1834-287.pdf#page=2","Abrir facsímil")</f>
        <v>Abrir facsímil</v>
      </c>
      <c r="K5810" s="10" t="s">
        <v>24</v>
      </c>
    </row>
    <row r="5811" spans="1:11" ht="54" customHeight="1">
      <c r="A5811" s="9" t="s">
        <v>13520</v>
      </c>
      <c r="B5811" s="9" t="s">
        <v>13521</v>
      </c>
      <c r="C5811" s="9" t="s">
        <v>66</v>
      </c>
      <c r="D5811" s="9" t="s">
        <v>67</v>
      </c>
      <c r="E5811" s="10" t="s">
        <v>601</v>
      </c>
      <c r="F5811" s="9" t="s">
        <v>602</v>
      </c>
      <c r="G5811" s="10" t="s">
        <v>75</v>
      </c>
      <c r="H5811" s="9" t="s">
        <v>22</v>
      </c>
      <c r="I5811" s="9" t="s">
        <v>13522</v>
      </c>
      <c r="J5811" s="10" t="str">
        <f>HYPERLINK("https://www.boe.es/gazeta/dias/1834/08/16/pdfs/GMD-1834-181.pdf#page=4","Abrir facsímil")</f>
        <v>Abrir facsímil</v>
      </c>
      <c r="K5811" s="10" t="s">
        <v>24</v>
      </c>
    </row>
    <row r="5812" spans="1:11" ht="54" customHeight="1">
      <c r="A5812" s="9" t="s">
        <v>13523</v>
      </c>
      <c r="B5812" s="9" t="s">
        <v>13524</v>
      </c>
      <c r="C5812" s="9" t="s">
        <v>17</v>
      </c>
      <c r="D5812" s="9" t="s">
        <v>18</v>
      </c>
      <c r="E5812" s="10" t="s">
        <v>408</v>
      </c>
      <c r="F5812" s="9" t="s">
        <v>409</v>
      </c>
      <c r="G5812" s="10" t="s">
        <v>34</v>
      </c>
      <c r="H5812" s="9" t="s">
        <v>22</v>
      </c>
      <c r="I5812" s="9" t="s">
        <v>13525</v>
      </c>
      <c r="J5812" s="10" t="str">
        <f>HYPERLINK("https://www.boe.es/gazeta/dias/1834/04/28/pdfs/GMD-1834-67.pdf#page=1","Abrir facsímil")</f>
        <v>Abrir facsímil</v>
      </c>
      <c r="K5812" s="10" t="s">
        <v>24</v>
      </c>
    </row>
    <row r="5813" spans="1:11" ht="54" customHeight="1">
      <c r="A5813" s="9" t="s">
        <v>13526</v>
      </c>
      <c r="B5813" s="9" t="s">
        <v>13527</v>
      </c>
      <c r="C5813" s="9" t="s">
        <v>17</v>
      </c>
      <c r="D5813" s="9" t="s">
        <v>55</v>
      </c>
      <c r="E5813" s="10" t="s">
        <v>1337</v>
      </c>
      <c r="F5813" s="9" t="s">
        <v>1338</v>
      </c>
      <c r="G5813" s="10" t="s">
        <v>86</v>
      </c>
      <c r="H5813" s="9" t="s">
        <v>22</v>
      </c>
      <c r="I5813" s="9" t="s">
        <v>13528</v>
      </c>
      <c r="J5813" s="10" t="str">
        <f>HYPERLINK("https://www.boe.es/gazeta/dias/1834/01/02/pdfs/GMD-1834-1.pdf#page=2","Abrir facsímil")</f>
        <v>Abrir facsímil</v>
      </c>
      <c r="K5813" s="10" t="s">
        <v>24</v>
      </c>
    </row>
    <row r="5814" spans="1:11" ht="54" customHeight="1">
      <c r="A5814" s="9" t="s">
        <v>13529</v>
      </c>
      <c r="B5814" s="9" t="s">
        <v>13530</v>
      </c>
      <c r="C5814" s="9" t="s">
        <v>17</v>
      </c>
      <c r="D5814" s="9" t="s">
        <v>18</v>
      </c>
      <c r="E5814" s="10" t="s">
        <v>506</v>
      </c>
      <c r="F5814" s="9" t="s">
        <v>507</v>
      </c>
      <c r="G5814" s="10" t="s">
        <v>176</v>
      </c>
      <c r="H5814" s="9" t="s">
        <v>22</v>
      </c>
      <c r="I5814" s="9" t="s">
        <v>13531</v>
      </c>
      <c r="J5814" s="10" t="str">
        <f>HYPERLINK("https://www.boe.es/gazeta/dias/1834/03/04/pdfs/GMD-1834-28.pdf#page=6","Abrir facsímil")</f>
        <v>Abrir facsímil</v>
      </c>
      <c r="K5814" s="10" t="s">
        <v>24</v>
      </c>
    </row>
    <row r="5815" spans="1:11" ht="54" customHeight="1">
      <c r="A5815" s="9" t="s">
        <v>13532</v>
      </c>
      <c r="B5815" s="9" t="s">
        <v>13533</v>
      </c>
      <c r="C5815" s="9" t="s">
        <v>17</v>
      </c>
      <c r="D5815" s="9" t="s">
        <v>18</v>
      </c>
      <c r="E5815" s="10" t="s">
        <v>268</v>
      </c>
      <c r="F5815" s="9" t="s">
        <v>269</v>
      </c>
      <c r="G5815" s="10" t="s">
        <v>86</v>
      </c>
      <c r="H5815" s="9" t="s">
        <v>22</v>
      </c>
      <c r="I5815" s="9" t="s">
        <v>13534</v>
      </c>
      <c r="J5815" s="10" t="str">
        <f>HYPERLINK("https://www.boe.es/gazeta/dias/1834/12/19/pdfs/GMD-C-1834-309.pdf#page=2","Abrir facsímil")</f>
        <v>Abrir facsímil</v>
      </c>
      <c r="K5815" s="10" t="s">
        <v>24</v>
      </c>
    </row>
    <row r="5816" spans="1:11" ht="54" customHeight="1">
      <c r="A5816" s="9" t="s">
        <v>13535</v>
      </c>
      <c r="B5816" s="9" t="s">
        <v>13536</v>
      </c>
      <c r="C5816" s="9" t="s">
        <v>90</v>
      </c>
      <c r="D5816" s="9" t="s">
        <v>18</v>
      </c>
      <c r="E5816" s="10" t="s">
        <v>454</v>
      </c>
      <c r="F5816" s="9" t="s">
        <v>455</v>
      </c>
      <c r="G5816" s="10" t="s">
        <v>34</v>
      </c>
      <c r="H5816" s="9" t="s">
        <v>22</v>
      </c>
      <c r="I5816" s="9" t="s">
        <v>13537</v>
      </c>
      <c r="J5816" s="10" t="str">
        <f>HYPERLINK("https://www.boe.es/gazeta/dias/1834/10/16/pdfs/GMD-C-1834-244.pdf#page=1","Abrir facsímil")</f>
        <v>Abrir facsímil</v>
      </c>
      <c r="K5816" s="10" t="s">
        <v>24</v>
      </c>
    </row>
    <row r="5817" spans="1:11" ht="54" customHeight="1">
      <c r="A5817" s="9" t="s">
        <v>13538</v>
      </c>
      <c r="B5817" s="9" t="s">
        <v>13539</v>
      </c>
      <c r="C5817" s="9" t="s">
        <v>66</v>
      </c>
      <c r="D5817" s="9" t="s">
        <v>67</v>
      </c>
      <c r="E5817" s="10" t="s">
        <v>1084</v>
      </c>
      <c r="F5817" s="9" t="s">
        <v>1085</v>
      </c>
      <c r="G5817" s="10" t="s">
        <v>28</v>
      </c>
      <c r="H5817" s="9" t="s">
        <v>22</v>
      </c>
      <c r="I5817" s="9" t="s">
        <v>13540</v>
      </c>
      <c r="J5817" s="10" t="str">
        <f>HYPERLINK("https://www.boe.es/gazeta/dias/1834/05/01/pdfs/GMD-1834-70.pdf#page=5","Abrir facsímil")</f>
        <v>Abrir facsímil</v>
      </c>
      <c r="K5817" s="10" t="s">
        <v>24</v>
      </c>
    </row>
    <row r="5818" spans="1:11" ht="54" customHeight="1">
      <c r="A5818" s="9" t="s">
        <v>13541</v>
      </c>
      <c r="B5818" s="9" t="s">
        <v>13542</v>
      </c>
      <c r="C5818" s="9" t="s">
        <v>66</v>
      </c>
      <c r="D5818" s="9" t="s">
        <v>67</v>
      </c>
      <c r="E5818" s="10" t="s">
        <v>1103</v>
      </c>
      <c r="F5818" s="9" t="s">
        <v>1104</v>
      </c>
      <c r="G5818" s="10" t="s">
        <v>75</v>
      </c>
      <c r="H5818" s="9" t="s">
        <v>22</v>
      </c>
      <c r="I5818" s="9" t="s">
        <v>13543</v>
      </c>
      <c r="J5818" s="10" t="str">
        <f>HYPERLINK("https://www.boe.es/gazeta/dias/1834/10/10/pdfs/GMD-C-1834-238.pdf#page=4","Abrir facsímil")</f>
        <v>Abrir facsímil</v>
      </c>
      <c r="K5818" s="10" t="s">
        <v>24</v>
      </c>
    </row>
    <row r="5819" spans="1:11" ht="54" customHeight="1">
      <c r="A5819" s="9" t="s">
        <v>13544</v>
      </c>
      <c r="B5819" s="9" t="s">
        <v>13545</v>
      </c>
      <c r="C5819" s="9" t="s">
        <v>17</v>
      </c>
      <c r="D5819" s="9" t="s">
        <v>18</v>
      </c>
      <c r="E5819" s="10" t="s">
        <v>268</v>
      </c>
      <c r="F5819" s="9" t="s">
        <v>269</v>
      </c>
      <c r="G5819" s="10" t="s">
        <v>34</v>
      </c>
      <c r="H5819" s="9" t="s">
        <v>22</v>
      </c>
      <c r="I5819" s="9" t="s">
        <v>13546</v>
      </c>
      <c r="J5819" s="10" t="str">
        <f>HYPERLINK("https://www.boe.es/gazeta/dias/1834/12/19/pdfs/GMD-C-1834-309.pdf#page=1","Abrir facsímil")</f>
        <v>Abrir facsímil</v>
      </c>
      <c r="K5819" s="10" t="s">
        <v>24</v>
      </c>
    </row>
    <row r="5820" spans="1:11" ht="54" customHeight="1">
      <c r="A5820" s="9" t="s">
        <v>13547</v>
      </c>
      <c r="B5820" s="9" t="s">
        <v>13548</v>
      </c>
      <c r="C5820" s="9" t="s">
        <v>17</v>
      </c>
      <c r="D5820" s="9" t="s">
        <v>55</v>
      </c>
      <c r="E5820" s="10" t="s">
        <v>633</v>
      </c>
      <c r="F5820" s="9" t="s">
        <v>634</v>
      </c>
      <c r="G5820" s="10" t="s">
        <v>34</v>
      </c>
      <c r="H5820" s="9" t="s">
        <v>22</v>
      </c>
      <c r="I5820" s="9" t="s">
        <v>13549</v>
      </c>
      <c r="J5820" s="10" t="str">
        <f>HYPERLINK("https://www.boe.es/gazeta/dias/1834/10/24/pdfs/GMD-1834-252.pdf#page=1","Abrir facsímil")</f>
        <v>Abrir facsímil</v>
      </c>
      <c r="K5820" s="10" t="s">
        <v>24</v>
      </c>
    </row>
    <row r="5821" spans="1:11" ht="54" customHeight="1">
      <c r="A5821" s="9" t="s">
        <v>13550</v>
      </c>
      <c r="B5821" s="9" t="s">
        <v>13551</v>
      </c>
      <c r="C5821" s="9" t="s">
        <v>17</v>
      </c>
      <c r="D5821" s="9" t="s">
        <v>18</v>
      </c>
      <c r="E5821" s="10" t="s">
        <v>2218</v>
      </c>
      <c r="F5821" s="9" t="s">
        <v>2219</v>
      </c>
      <c r="G5821" s="10" t="s">
        <v>21</v>
      </c>
      <c r="H5821" s="9" t="s">
        <v>22</v>
      </c>
      <c r="I5821" s="9" t="s">
        <v>13552</v>
      </c>
      <c r="J5821" s="10" t="str">
        <f>HYPERLINK("https://www.boe.es/gazeta/dias/1834/11/05/pdfs/GMD-1834-264.pdf#page=3","Abrir facsímil")</f>
        <v>Abrir facsímil</v>
      </c>
      <c r="K5821" s="10" t="s">
        <v>24</v>
      </c>
    </row>
    <row r="5822" spans="1:11" ht="54" customHeight="1">
      <c r="A5822" s="9" t="s">
        <v>13553</v>
      </c>
      <c r="B5822" s="9" t="s">
        <v>13554</v>
      </c>
      <c r="C5822" s="9" t="s">
        <v>17</v>
      </c>
      <c r="D5822" s="9" t="s">
        <v>18</v>
      </c>
      <c r="E5822" s="10" t="s">
        <v>26</v>
      </c>
      <c r="F5822" s="9" t="s">
        <v>818</v>
      </c>
      <c r="G5822" s="10" t="s">
        <v>86</v>
      </c>
      <c r="H5822" s="9" t="s">
        <v>22</v>
      </c>
      <c r="I5822" s="9" t="s">
        <v>13555</v>
      </c>
      <c r="J5822" s="10" t="str">
        <f>HYPERLINK("https://www.boe.es/gazeta/dias/1834/10/19/pdfs/GMD-1834-247.pdf#page=2","Abrir facsímil")</f>
        <v>Abrir facsímil</v>
      </c>
      <c r="K5822" s="10" t="s">
        <v>24</v>
      </c>
    </row>
    <row r="5823" spans="1:11" ht="54" customHeight="1">
      <c r="A5823" s="9" t="s">
        <v>13556</v>
      </c>
      <c r="B5823" s="9" t="s">
        <v>13557</v>
      </c>
      <c r="C5823" s="9" t="s">
        <v>66</v>
      </c>
      <c r="D5823" s="9" t="s">
        <v>101</v>
      </c>
      <c r="E5823" s="10" t="s">
        <v>84</v>
      </c>
      <c r="F5823" s="9" t="s">
        <v>1223</v>
      </c>
      <c r="G5823" s="10" t="s">
        <v>75</v>
      </c>
      <c r="H5823" s="9" t="s">
        <v>22</v>
      </c>
      <c r="I5823" s="9" t="s">
        <v>13558</v>
      </c>
      <c r="J5823" s="10" t="str">
        <f>HYPERLINK("https://www.boe.es/gazeta/dias/1834/06/07/pdfs/GMD-1834-109.pdf#page=4","Abrir facsímil")</f>
        <v>Abrir facsímil</v>
      </c>
      <c r="K5823" s="10" t="s">
        <v>24</v>
      </c>
    </row>
    <row r="5824" spans="1:11" ht="54" customHeight="1">
      <c r="A5824" s="9" t="s">
        <v>13559</v>
      </c>
      <c r="B5824" s="9" t="s">
        <v>13560</v>
      </c>
      <c r="C5824" s="9" t="s">
        <v>90</v>
      </c>
      <c r="D5824" s="9" t="s">
        <v>18</v>
      </c>
      <c r="E5824" s="10" t="s">
        <v>1410</v>
      </c>
      <c r="F5824" s="9" t="s">
        <v>2231</v>
      </c>
      <c r="G5824" s="10" t="s">
        <v>34</v>
      </c>
      <c r="H5824" s="9" t="s">
        <v>22</v>
      </c>
      <c r="I5824" s="9" t="s">
        <v>13561</v>
      </c>
      <c r="J5824" s="10" t="str">
        <f>HYPERLINK("https://www.boe.es/gazeta/dias/1834/09/09/pdfs/GMD-C-1834-207.pdf#page=1","Abrir facsímil")</f>
        <v>Abrir facsímil</v>
      </c>
      <c r="K5824" s="10" t="s">
        <v>24</v>
      </c>
    </row>
    <row r="5825" spans="1:11" ht="54" customHeight="1">
      <c r="A5825" s="9" t="s">
        <v>13562</v>
      </c>
      <c r="B5825" s="9" t="s">
        <v>13563</v>
      </c>
      <c r="C5825" s="9" t="s">
        <v>17</v>
      </c>
      <c r="D5825" s="9" t="s">
        <v>18</v>
      </c>
      <c r="E5825" s="10" t="s">
        <v>4527</v>
      </c>
      <c r="F5825" s="9" t="s">
        <v>4528</v>
      </c>
      <c r="G5825" s="10" t="s">
        <v>86</v>
      </c>
      <c r="H5825" s="9" t="s">
        <v>22</v>
      </c>
      <c r="I5825" s="9" t="s">
        <v>13564</v>
      </c>
      <c r="J5825" s="10" t="str">
        <f>HYPERLINK("https://www.boe.es/gazeta/dias/1834/05/03/pdfs/GMD-1834-72.pdf#page=2","Abrir facsímil")</f>
        <v>Abrir facsímil</v>
      </c>
      <c r="K5825" s="10" t="s">
        <v>24</v>
      </c>
    </row>
    <row r="5826" spans="1:11" ht="54" customHeight="1">
      <c r="A5826" s="9" t="s">
        <v>13565</v>
      </c>
      <c r="B5826" s="9" t="s">
        <v>13566</v>
      </c>
      <c r="C5826" s="9" t="s">
        <v>17</v>
      </c>
      <c r="D5826" s="9" t="s">
        <v>18</v>
      </c>
      <c r="E5826" s="10" t="s">
        <v>3282</v>
      </c>
      <c r="F5826" s="9" t="s">
        <v>3283</v>
      </c>
      <c r="G5826" s="10" t="s">
        <v>75</v>
      </c>
      <c r="H5826" s="9" t="s">
        <v>22</v>
      </c>
      <c r="I5826" s="9" t="s">
        <v>13567</v>
      </c>
      <c r="J5826" s="10" t="str">
        <f>HYPERLINK("https://www.boe.es/gazeta/dias/1834/04/15/pdfs/GMD-1834-54.pdf#page=4","Abrir facsímil")</f>
        <v>Abrir facsímil</v>
      </c>
      <c r="K5826" s="10" t="s">
        <v>24</v>
      </c>
    </row>
    <row r="5827" spans="1:11" ht="54" customHeight="1">
      <c r="A5827" s="9" t="s">
        <v>13568</v>
      </c>
      <c r="B5827" s="9" t="s">
        <v>13569</v>
      </c>
      <c r="C5827" s="9" t="s">
        <v>17</v>
      </c>
      <c r="D5827" s="9" t="s">
        <v>18</v>
      </c>
      <c r="E5827" s="10" t="s">
        <v>200</v>
      </c>
      <c r="F5827" s="9" t="s">
        <v>2248</v>
      </c>
      <c r="G5827" s="10" t="s">
        <v>86</v>
      </c>
      <c r="H5827" s="9" t="s">
        <v>22</v>
      </c>
      <c r="I5827" s="9" t="s">
        <v>13570</v>
      </c>
      <c r="J5827" s="10" t="str">
        <f>HYPERLINK("https://www.boe.es/gazeta/dias/1834/12/11/pdfs/GMD-C-1834-300.pdf#page=2","Abrir facsímil")</f>
        <v>Abrir facsímil</v>
      </c>
      <c r="K5827" s="10" t="s">
        <v>24</v>
      </c>
    </row>
    <row r="5828" spans="1:11" ht="54" customHeight="1">
      <c r="A5828" s="9" t="s">
        <v>13571</v>
      </c>
      <c r="B5828" s="9" t="s">
        <v>13572</v>
      </c>
      <c r="C5828" s="9" t="s">
        <v>46</v>
      </c>
      <c r="D5828" s="9" t="s">
        <v>40</v>
      </c>
      <c r="E5828" s="10" t="s">
        <v>378</v>
      </c>
      <c r="F5828" s="9" t="s">
        <v>379</v>
      </c>
      <c r="G5828" s="10" t="s">
        <v>21</v>
      </c>
      <c r="H5828" s="9" t="s">
        <v>22</v>
      </c>
      <c r="I5828" s="9" t="s">
        <v>13573</v>
      </c>
      <c r="J5828" s="10" t="str">
        <f>HYPERLINK("https://www.boe.es/gazeta/dias/1834/09/24/pdfs/GMD-1834-222.pdf#page=3","Abrir facsímil")</f>
        <v>Abrir facsímil</v>
      </c>
      <c r="K5828" s="10" t="s">
        <v>24</v>
      </c>
    </row>
    <row r="5829" spans="1:11" ht="54" customHeight="1">
      <c r="A5829" s="9" t="s">
        <v>13574</v>
      </c>
      <c r="B5829" s="9" t="s">
        <v>13575</v>
      </c>
      <c r="C5829" s="9" t="s">
        <v>17</v>
      </c>
      <c r="D5829" s="9" t="s">
        <v>40</v>
      </c>
      <c r="E5829" s="10" t="s">
        <v>339</v>
      </c>
      <c r="F5829" s="9" t="s">
        <v>340</v>
      </c>
      <c r="G5829" s="10" t="s">
        <v>21</v>
      </c>
      <c r="H5829" s="9" t="s">
        <v>22</v>
      </c>
      <c r="I5829" s="9" t="s">
        <v>13576</v>
      </c>
      <c r="J5829" s="10" t="str">
        <f>HYPERLINK("https://www.boe.es/gazeta/dias/1834/05/02/pdfs/GMD-1834-71.pdf#page=3","Abrir facsímil")</f>
        <v>Abrir facsímil</v>
      </c>
      <c r="K5829" s="10" t="s">
        <v>24</v>
      </c>
    </row>
    <row r="5830" spans="1:11" ht="54" customHeight="1">
      <c r="A5830" s="9" t="s">
        <v>13577</v>
      </c>
      <c r="B5830" s="9" t="s">
        <v>13578</v>
      </c>
      <c r="C5830" s="9" t="s">
        <v>17</v>
      </c>
      <c r="D5830" s="9" t="s">
        <v>18</v>
      </c>
      <c r="E5830" s="10" t="s">
        <v>123</v>
      </c>
      <c r="F5830" s="9" t="s">
        <v>124</v>
      </c>
      <c r="G5830" s="10" t="s">
        <v>75</v>
      </c>
      <c r="H5830" s="9" t="s">
        <v>35</v>
      </c>
      <c r="I5830" s="9" t="s">
        <v>13579</v>
      </c>
      <c r="J5830" s="10" t="str">
        <f>HYPERLINK("https://www.boe.es/gazeta/dias/1834/07/11/pdfs/GMD-1834-144.pdf#page=4","Abrir facsímil")</f>
        <v>Abrir facsímil</v>
      </c>
      <c r="K5830" s="10" t="s">
        <v>37</v>
      </c>
    </row>
    <row r="5831" spans="1:11" ht="54" customHeight="1">
      <c r="A5831" s="9" t="s">
        <v>13580</v>
      </c>
      <c r="B5831" s="9" t="s">
        <v>13581</v>
      </c>
      <c r="C5831" s="9" t="s">
        <v>46</v>
      </c>
      <c r="D5831" s="9" t="s">
        <v>101</v>
      </c>
      <c r="E5831" s="10" t="s">
        <v>262</v>
      </c>
      <c r="F5831" s="9" t="s">
        <v>7012</v>
      </c>
      <c r="G5831" s="10" t="s">
        <v>21</v>
      </c>
      <c r="H5831" s="9" t="s">
        <v>35</v>
      </c>
      <c r="I5831" s="9" t="s">
        <v>13582</v>
      </c>
      <c r="J5831" s="10" t="str">
        <f>HYPERLINK("https://www.boe.es/gazeta/dias/1834/10/18/pdfs/GMD-1834-246.pdf#page=3","Abrir facsímil")</f>
        <v>Abrir facsímil</v>
      </c>
      <c r="K5831" s="10" t="s">
        <v>37</v>
      </c>
    </row>
    <row r="5832" spans="1:11" ht="54" customHeight="1">
      <c r="A5832" s="9" t="s">
        <v>13583</v>
      </c>
      <c r="B5832" s="9" t="s">
        <v>13584</v>
      </c>
      <c r="C5832" s="9" t="s">
        <v>17</v>
      </c>
      <c r="D5832" s="9" t="s">
        <v>18</v>
      </c>
      <c r="E5832" s="10" t="s">
        <v>2729</v>
      </c>
      <c r="F5832" s="9" t="s">
        <v>2730</v>
      </c>
      <c r="G5832" s="10" t="s">
        <v>75</v>
      </c>
      <c r="H5832" s="9" t="s">
        <v>22</v>
      </c>
      <c r="I5832" s="9" t="s">
        <v>13585</v>
      </c>
      <c r="J5832" s="10" t="str">
        <f>HYPERLINK("https://www.boe.es/gazeta/dias/1834/07/02/pdfs/GMD-1834-135.pdf#page=4","Abrir facsímil")</f>
        <v>Abrir facsímil</v>
      </c>
      <c r="K5832" s="10" t="s">
        <v>24</v>
      </c>
    </row>
    <row r="5833" spans="1:11" ht="54" customHeight="1">
      <c r="A5833" s="9" t="s">
        <v>13586</v>
      </c>
      <c r="B5833" s="9" t="s">
        <v>13587</v>
      </c>
      <c r="C5833" s="9" t="s">
        <v>17</v>
      </c>
      <c r="D5833" s="9" t="s">
        <v>18</v>
      </c>
      <c r="E5833" s="10" t="s">
        <v>123</v>
      </c>
      <c r="F5833" s="9" t="s">
        <v>124</v>
      </c>
      <c r="G5833" s="10" t="s">
        <v>75</v>
      </c>
      <c r="H5833" s="9" t="s">
        <v>22</v>
      </c>
      <c r="I5833" s="9" t="s">
        <v>13588</v>
      </c>
      <c r="J5833" s="10" t="str">
        <f>HYPERLINK("https://www.boe.es/gazeta/dias/1834/07/11/pdfs/GMD-1834-144.pdf#page=4","Abrir facsímil")</f>
        <v>Abrir facsímil</v>
      </c>
      <c r="K5833" s="10" t="s">
        <v>24</v>
      </c>
    </row>
    <row r="5834" spans="1:11" ht="54" customHeight="1">
      <c r="A5834" s="9" t="s">
        <v>13589</v>
      </c>
      <c r="B5834" s="9" t="s">
        <v>13589</v>
      </c>
      <c r="C5834" s="9" t="s">
        <v>90</v>
      </c>
      <c r="D5834" s="9" t="s">
        <v>67</v>
      </c>
      <c r="E5834" s="10" t="s">
        <v>2945</v>
      </c>
      <c r="F5834" s="9" t="s">
        <v>2946</v>
      </c>
      <c r="G5834" s="10" t="s">
        <v>21</v>
      </c>
      <c r="H5834" s="9" t="s">
        <v>22</v>
      </c>
      <c r="I5834" s="9" t="s">
        <v>13590</v>
      </c>
      <c r="J5834" s="10" t="str">
        <f>HYPERLINK("https://www.boe.es/gazeta/dias/1834/05/29/pdfs/GMD-1834-98.pdf#page=3","Abrir facsímil")</f>
        <v>Abrir facsímil</v>
      </c>
      <c r="K5834" s="10" t="s">
        <v>24</v>
      </c>
    </row>
    <row r="5835" spans="1:11" ht="54" customHeight="1">
      <c r="A5835" s="9" t="s">
        <v>13591</v>
      </c>
      <c r="B5835" s="9" t="s">
        <v>13592</v>
      </c>
      <c r="C5835" s="9" t="s">
        <v>66</v>
      </c>
      <c r="D5835" s="9" t="s">
        <v>67</v>
      </c>
      <c r="E5835" s="10" t="s">
        <v>73</v>
      </c>
      <c r="F5835" s="9" t="s">
        <v>74</v>
      </c>
      <c r="G5835" s="10" t="s">
        <v>75</v>
      </c>
      <c r="H5835" s="9" t="s">
        <v>22</v>
      </c>
      <c r="I5835" s="9" t="s">
        <v>13593</v>
      </c>
      <c r="J5835" s="10" t="str">
        <f>HYPERLINK("https://www.boe.es/gazeta/dias/1834/11/04/pdfs/GMD-1834-263.pdf#page=4","Abrir facsímil")</f>
        <v>Abrir facsímil</v>
      </c>
      <c r="K5835" s="10" t="s">
        <v>24</v>
      </c>
    </row>
    <row r="5836" spans="1:11" ht="54" customHeight="1">
      <c r="A5836" s="9" t="s">
        <v>13594</v>
      </c>
      <c r="B5836" s="9" t="s">
        <v>13595</v>
      </c>
      <c r="C5836" s="9" t="s">
        <v>122</v>
      </c>
      <c r="D5836" s="9" t="s">
        <v>18</v>
      </c>
      <c r="E5836" s="10" t="s">
        <v>863</v>
      </c>
      <c r="F5836" s="9" t="s">
        <v>864</v>
      </c>
      <c r="G5836" s="10" t="s">
        <v>75</v>
      </c>
      <c r="H5836" s="9" t="s">
        <v>22</v>
      </c>
      <c r="I5836" s="9" t="s">
        <v>13596</v>
      </c>
      <c r="J5836" s="10" t="str">
        <f>HYPERLINK("https://www.boe.es/gazeta/dias/1834/09/15/pdfs/GMD-1834-213.pdf#page=4","Abrir facsímil")</f>
        <v>Abrir facsímil</v>
      </c>
      <c r="K5836" s="10" t="s">
        <v>24</v>
      </c>
    </row>
    <row r="5837" spans="1:11" ht="54" customHeight="1">
      <c r="A5837" s="9" t="s">
        <v>13597</v>
      </c>
      <c r="B5837" s="9" t="s">
        <v>13597</v>
      </c>
      <c r="C5837" s="9" t="s">
        <v>46</v>
      </c>
      <c r="D5837" s="9" t="s">
        <v>18</v>
      </c>
      <c r="E5837" s="10" t="s">
        <v>976</v>
      </c>
      <c r="F5837" s="9" t="s">
        <v>977</v>
      </c>
      <c r="G5837" s="10" t="s">
        <v>86</v>
      </c>
      <c r="H5837" s="9" t="s">
        <v>22</v>
      </c>
      <c r="I5837" s="9" t="s">
        <v>13598</v>
      </c>
      <c r="J5837" s="10" t="str">
        <f>HYPERLINK("https://www.boe.es/gazeta/dias/1834/04/02/pdfs/GMD-1834-41.pdf#page=2","Abrir facsímil")</f>
        <v>Abrir facsímil</v>
      </c>
      <c r="K5837" s="10" t="s">
        <v>24</v>
      </c>
    </row>
    <row r="5838" spans="1:11" ht="54" customHeight="1">
      <c r="A5838" s="9" t="s">
        <v>13599</v>
      </c>
      <c r="B5838" s="9" t="s">
        <v>13600</v>
      </c>
      <c r="C5838" s="9" t="s">
        <v>17</v>
      </c>
      <c r="D5838" s="9" t="s">
        <v>18</v>
      </c>
      <c r="E5838" s="10" t="s">
        <v>1141</v>
      </c>
      <c r="F5838" s="9" t="s">
        <v>1142</v>
      </c>
      <c r="G5838" s="10" t="s">
        <v>75</v>
      </c>
      <c r="H5838" s="9" t="s">
        <v>22</v>
      </c>
      <c r="I5838" s="9" t="s">
        <v>13601</v>
      </c>
      <c r="J5838" s="10" t="str">
        <f>HYPERLINK("https://www.boe.es/gazeta/dias/1834/04/30/pdfs/GMD-1834-69.pdf#page=4","Abrir facsímil")</f>
        <v>Abrir facsímil</v>
      </c>
      <c r="K5838" s="10" t="s">
        <v>24</v>
      </c>
    </row>
    <row r="5839" spans="1:11" ht="54" customHeight="1">
      <c r="A5839" s="9" t="s">
        <v>13602</v>
      </c>
      <c r="B5839" s="9" t="s">
        <v>13603</v>
      </c>
      <c r="C5839" s="9" t="s">
        <v>90</v>
      </c>
      <c r="D5839" s="9" t="s">
        <v>67</v>
      </c>
      <c r="E5839" s="10" t="s">
        <v>309</v>
      </c>
      <c r="F5839" s="9" t="s">
        <v>310</v>
      </c>
      <c r="G5839" s="10" t="s">
        <v>21</v>
      </c>
      <c r="H5839" s="9" t="s">
        <v>22</v>
      </c>
      <c r="I5839" s="9" t="s">
        <v>13604</v>
      </c>
      <c r="J5839" s="10" t="str">
        <f>HYPERLINK("https://www.boe.es/gazeta/dias/1834/05/30/pdfs/GMD-1834-99.pdf#page=3","Abrir facsímil")</f>
        <v>Abrir facsímil</v>
      </c>
      <c r="K5839" s="10" t="s">
        <v>24</v>
      </c>
    </row>
    <row r="5840" spans="1:11" ht="54" customHeight="1">
      <c r="A5840" s="9" t="s">
        <v>13605</v>
      </c>
      <c r="B5840" s="9" t="s">
        <v>13606</v>
      </c>
      <c r="C5840" s="9" t="s">
        <v>66</v>
      </c>
      <c r="D5840" s="9" t="s">
        <v>67</v>
      </c>
      <c r="E5840" s="10" t="s">
        <v>2860</v>
      </c>
      <c r="F5840" s="9" t="s">
        <v>2861</v>
      </c>
      <c r="G5840" s="10" t="s">
        <v>75</v>
      </c>
      <c r="H5840" s="9" t="s">
        <v>35</v>
      </c>
      <c r="I5840" s="9" t="s">
        <v>13607</v>
      </c>
      <c r="J5840" s="10" t="str">
        <f>HYPERLINK("https://www.boe.es/gazeta/dias/1834/07/20/pdfs/GMD-1834-153.pdf#page=4","Abrir facsímil")</f>
        <v>Abrir facsímil</v>
      </c>
      <c r="K5840" s="10" t="s">
        <v>37</v>
      </c>
    </row>
    <row r="5841" spans="1:11" ht="54" customHeight="1">
      <c r="A5841" s="9" t="s">
        <v>13608</v>
      </c>
      <c r="B5841" s="9" t="s">
        <v>13609</v>
      </c>
      <c r="C5841" s="9" t="s">
        <v>66</v>
      </c>
      <c r="D5841" s="9" t="s">
        <v>67</v>
      </c>
      <c r="E5841" s="10" t="s">
        <v>2860</v>
      </c>
      <c r="F5841" s="9" t="s">
        <v>2861</v>
      </c>
      <c r="G5841" s="10" t="s">
        <v>75</v>
      </c>
      <c r="H5841" s="9" t="s">
        <v>22</v>
      </c>
      <c r="I5841" s="9" t="s">
        <v>13610</v>
      </c>
      <c r="J5841" s="10" t="str">
        <f>HYPERLINK("https://www.boe.es/gazeta/dias/1834/07/20/pdfs/GMD-1834-153.pdf#page=4","Abrir facsímil")</f>
        <v>Abrir facsímil</v>
      </c>
      <c r="K5841" s="10" t="s">
        <v>24</v>
      </c>
    </row>
    <row r="5842" spans="1:11" ht="54" customHeight="1">
      <c r="A5842" s="9" t="s">
        <v>13611</v>
      </c>
      <c r="B5842" s="9" t="s">
        <v>13612</v>
      </c>
      <c r="C5842" s="9" t="s">
        <v>66</v>
      </c>
      <c r="D5842" s="9" t="s">
        <v>67</v>
      </c>
      <c r="E5842" s="10" t="s">
        <v>19</v>
      </c>
      <c r="F5842" s="9" t="s">
        <v>20</v>
      </c>
      <c r="G5842" s="10" t="s">
        <v>34</v>
      </c>
      <c r="H5842" s="9" t="s">
        <v>22</v>
      </c>
      <c r="I5842" s="9" t="s">
        <v>13613</v>
      </c>
      <c r="J5842" s="10" t="str">
        <f>HYPERLINK("https://www.boe.es/gazeta/dias/1834/08/17/pdfs/GMD-C-1834-182.pdf#page=1","Abrir facsímil")</f>
        <v>Abrir facsímil</v>
      </c>
      <c r="K5842" s="10" t="s">
        <v>24</v>
      </c>
    </row>
    <row r="5843" spans="1:11" ht="54" customHeight="1">
      <c r="A5843" s="9" t="s">
        <v>13611</v>
      </c>
      <c r="B5843" s="9" t="s">
        <v>13612</v>
      </c>
      <c r="C5843" s="9" t="s">
        <v>17</v>
      </c>
      <c r="D5843" s="9" t="s">
        <v>18</v>
      </c>
      <c r="E5843" s="10" t="s">
        <v>1850</v>
      </c>
      <c r="F5843" s="9" t="s">
        <v>1851</v>
      </c>
      <c r="G5843" s="10" t="s">
        <v>470</v>
      </c>
      <c r="H5843" s="9" t="s">
        <v>22</v>
      </c>
      <c r="I5843" s="9" t="s">
        <v>13614</v>
      </c>
      <c r="J5843" s="10" t="str">
        <f>HYPERLINK("https://www.boe.es/gazeta/dias/1834/02/18/pdfs/GMD-1834-22.pdf#page=8","Abrir facsímil")</f>
        <v>Abrir facsímil</v>
      </c>
      <c r="K5843" s="10" t="s">
        <v>24</v>
      </c>
    </row>
    <row r="5844" spans="1:11" ht="54" customHeight="1">
      <c r="A5844" s="9" t="s">
        <v>13611</v>
      </c>
      <c r="B5844" s="9" t="s">
        <v>13612</v>
      </c>
      <c r="C5844" s="9" t="s">
        <v>66</v>
      </c>
      <c r="D5844" s="9" t="s">
        <v>67</v>
      </c>
      <c r="E5844" s="10" t="s">
        <v>133</v>
      </c>
      <c r="F5844" s="9" t="s">
        <v>134</v>
      </c>
      <c r="G5844" s="10" t="s">
        <v>34</v>
      </c>
      <c r="H5844" s="9" t="s">
        <v>22</v>
      </c>
      <c r="I5844" s="9" t="s">
        <v>13615</v>
      </c>
      <c r="J5844" s="10" t="str">
        <f>HYPERLINK("https://www.boe.es/gazeta/dias/1834/06/18/pdfs/GMD-1834-121.pdf#page=1","Abrir facsímil")</f>
        <v>Abrir facsímil</v>
      </c>
      <c r="K5844" s="10" t="s">
        <v>24</v>
      </c>
    </row>
    <row r="5845" spans="1:11" ht="54" customHeight="1">
      <c r="A5845" s="9" t="s">
        <v>13616</v>
      </c>
      <c r="B5845" s="9" t="s">
        <v>13616</v>
      </c>
      <c r="C5845" s="9" t="s">
        <v>17</v>
      </c>
      <c r="D5845" s="9" t="s">
        <v>18</v>
      </c>
      <c r="E5845" s="10" t="s">
        <v>268</v>
      </c>
      <c r="F5845" s="9" t="s">
        <v>269</v>
      </c>
      <c r="G5845" s="10" t="s">
        <v>86</v>
      </c>
      <c r="H5845" s="9" t="s">
        <v>22</v>
      </c>
      <c r="I5845" s="9" t="s">
        <v>13617</v>
      </c>
      <c r="J5845" s="10" t="str">
        <f>HYPERLINK("https://www.boe.es/gazeta/dias/1834/12/19/pdfs/GMD-C-1834-309.pdf#page=2","Abrir facsímil")</f>
        <v>Abrir facsímil</v>
      </c>
      <c r="K5845" s="10" t="s">
        <v>24</v>
      </c>
    </row>
    <row r="5846" spans="1:11" ht="54" customHeight="1">
      <c r="A5846" s="9" t="s">
        <v>13618</v>
      </c>
      <c r="B5846" s="9" t="s">
        <v>13619</v>
      </c>
      <c r="C5846" s="9" t="s">
        <v>17</v>
      </c>
      <c r="D5846" s="9" t="s">
        <v>18</v>
      </c>
      <c r="E5846" s="10" t="s">
        <v>268</v>
      </c>
      <c r="F5846" s="9" t="s">
        <v>269</v>
      </c>
      <c r="G5846" s="10" t="s">
        <v>86</v>
      </c>
      <c r="H5846" s="9" t="s">
        <v>35</v>
      </c>
      <c r="I5846" s="9" t="s">
        <v>13620</v>
      </c>
      <c r="J5846" s="10" t="str">
        <f>HYPERLINK("https://www.boe.es/gazeta/dias/1834/12/19/pdfs/GMD-C-1834-309.pdf#page=2","Abrir facsímil")</f>
        <v>Abrir facsímil</v>
      </c>
      <c r="K5846" s="10" t="s">
        <v>37</v>
      </c>
    </row>
    <row r="5847" spans="1:11" ht="54" customHeight="1">
      <c r="A5847" s="9" t="s">
        <v>13621</v>
      </c>
      <c r="B5847" s="9" t="s">
        <v>13621</v>
      </c>
      <c r="C5847" s="9" t="s">
        <v>90</v>
      </c>
      <c r="D5847" s="9" t="s">
        <v>18</v>
      </c>
      <c r="E5847" s="10" t="s">
        <v>5904</v>
      </c>
      <c r="F5847" s="9" t="s">
        <v>5905</v>
      </c>
      <c r="G5847" s="10" t="s">
        <v>86</v>
      </c>
      <c r="H5847" s="9" t="s">
        <v>22</v>
      </c>
      <c r="I5847" s="9" t="s">
        <v>13622</v>
      </c>
      <c r="J5847" s="10" t="str">
        <f>HYPERLINK("https://www.boe.es/gazeta/dias/1834/09/29/pdfs/GMD-1834-227.pdf#page=2","Abrir facsímil")</f>
        <v>Abrir facsímil</v>
      </c>
      <c r="K5847" s="10" t="s">
        <v>24</v>
      </c>
    </row>
    <row r="5848" spans="1:11" ht="54" customHeight="1">
      <c r="A5848" s="9" t="s">
        <v>13623</v>
      </c>
      <c r="B5848" s="9" t="s">
        <v>13623</v>
      </c>
      <c r="C5848" s="9" t="s">
        <v>17</v>
      </c>
      <c r="D5848" s="9" t="s">
        <v>40</v>
      </c>
      <c r="E5848" s="10" t="s">
        <v>1747</v>
      </c>
      <c r="F5848" s="9" t="s">
        <v>1748</v>
      </c>
      <c r="G5848" s="10" t="s">
        <v>75</v>
      </c>
      <c r="H5848" s="9" t="s">
        <v>22</v>
      </c>
      <c r="I5848" s="9" t="s">
        <v>13624</v>
      </c>
      <c r="J5848" s="10" t="str">
        <f>HYPERLINK("https://www.boe.es/gazeta/dias/1834/06/29/pdfs/GMD-1834-132.pdf#page=4","Abrir facsímil")</f>
        <v>Abrir facsímil</v>
      </c>
      <c r="K5848" s="10" t="s">
        <v>24</v>
      </c>
    </row>
    <row r="5849" spans="1:11" ht="54" customHeight="1">
      <c r="A5849" s="9" t="s">
        <v>13625</v>
      </c>
      <c r="B5849" s="9" t="s">
        <v>13626</v>
      </c>
      <c r="C5849" s="9" t="s">
        <v>857</v>
      </c>
      <c r="D5849" s="9" t="s">
        <v>101</v>
      </c>
      <c r="E5849" s="10" t="s">
        <v>233</v>
      </c>
      <c r="F5849" s="9" t="s">
        <v>1810</v>
      </c>
      <c r="G5849" s="10" t="s">
        <v>470</v>
      </c>
      <c r="H5849" s="9" t="s">
        <v>22</v>
      </c>
      <c r="I5849" s="9" t="s">
        <v>13627</v>
      </c>
      <c r="J5849" s="10" t="str">
        <f>HYPERLINK("https://www.boe.es/gazeta/dias/1834/12/16/pdfs/GMD-C-1834-305.pdf#page=8","Abrir facsímil")</f>
        <v>Abrir facsímil</v>
      </c>
      <c r="K5849" s="10" t="s">
        <v>24</v>
      </c>
    </row>
    <row r="5850" spans="1:11" ht="54" customHeight="1">
      <c r="A5850" s="9" t="s">
        <v>13628</v>
      </c>
      <c r="B5850" s="9" t="s">
        <v>13629</v>
      </c>
      <c r="C5850" s="9" t="s">
        <v>90</v>
      </c>
      <c r="D5850" s="9" t="s">
        <v>67</v>
      </c>
      <c r="E5850" s="10" t="s">
        <v>3083</v>
      </c>
      <c r="F5850" s="9" t="s">
        <v>3084</v>
      </c>
      <c r="G5850" s="10" t="s">
        <v>86</v>
      </c>
      <c r="H5850" s="9" t="s">
        <v>22</v>
      </c>
      <c r="I5850" s="9" t="s">
        <v>13630</v>
      </c>
      <c r="J5850" s="10" t="str">
        <f>HYPERLINK("https://www.boe.es/gazeta/dias/1834/10/30/pdfs/GMD-1834-258.pdf#page=2","Abrir facsímil")</f>
        <v>Abrir facsímil</v>
      </c>
      <c r="K5850" s="10" t="s">
        <v>24</v>
      </c>
    </row>
    <row r="5851" spans="1:11" ht="54" customHeight="1">
      <c r="A5851" s="9" t="s">
        <v>13631</v>
      </c>
      <c r="B5851" s="9" t="s">
        <v>13632</v>
      </c>
      <c r="C5851" s="9" t="s">
        <v>17</v>
      </c>
      <c r="D5851" s="9" t="s">
        <v>40</v>
      </c>
      <c r="E5851" s="10" t="s">
        <v>2260</v>
      </c>
      <c r="F5851" s="9" t="s">
        <v>2263</v>
      </c>
      <c r="G5851" s="10" t="s">
        <v>34</v>
      </c>
      <c r="H5851" s="9" t="s">
        <v>22</v>
      </c>
      <c r="I5851" s="9" t="s">
        <v>13633</v>
      </c>
      <c r="J5851" s="10" t="str">
        <f>HYPERLINK("https://www.boe.es/gazeta/dias/1834/11/13/pdfs/GMD-C-1834-272.pdf#page=1","Abrir facsímil")</f>
        <v>Abrir facsímil</v>
      </c>
      <c r="K5851" s="10" t="s">
        <v>24</v>
      </c>
    </row>
    <row r="5852" spans="1:11" ht="54" customHeight="1">
      <c r="A5852" s="9" t="s">
        <v>13634</v>
      </c>
      <c r="B5852" s="9" t="s">
        <v>13635</v>
      </c>
      <c r="C5852" s="9" t="s">
        <v>17</v>
      </c>
      <c r="D5852" s="9" t="s">
        <v>18</v>
      </c>
      <c r="E5852" s="10" t="s">
        <v>1704</v>
      </c>
      <c r="F5852" s="9" t="s">
        <v>1705</v>
      </c>
      <c r="G5852" s="10" t="s">
        <v>21</v>
      </c>
      <c r="H5852" s="9" t="s">
        <v>22</v>
      </c>
      <c r="I5852" s="9" t="s">
        <v>13636</v>
      </c>
      <c r="J5852" s="10" t="str">
        <f>HYPERLINK("https://www.boe.es/gazeta/dias/1834/12/02/pdfs/GMD-1834-291.pdf#page=3","Abrir facsímil")</f>
        <v>Abrir facsímil</v>
      </c>
      <c r="K5852" s="10" t="s">
        <v>24</v>
      </c>
    </row>
    <row r="5853" spans="1:11" ht="54" customHeight="1">
      <c r="A5853" s="9" t="s">
        <v>13637</v>
      </c>
      <c r="B5853" s="9" t="s">
        <v>13638</v>
      </c>
      <c r="C5853" s="9" t="s">
        <v>17</v>
      </c>
      <c r="D5853" s="9" t="s">
        <v>18</v>
      </c>
      <c r="E5853" s="10" t="s">
        <v>1008</v>
      </c>
      <c r="F5853" s="9" t="s">
        <v>1009</v>
      </c>
      <c r="G5853" s="10" t="s">
        <v>21</v>
      </c>
      <c r="H5853" s="9" t="s">
        <v>22</v>
      </c>
      <c r="I5853" s="9" t="s">
        <v>13639</v>
      </c>
      <c r="J5853" s="10" t="str">
        <f>HYPERLINK("https://www.boe.es/gazeta/dias/1834/11/08/pdfs/GMD-C-1834-267.pdf#page=3","Abrir facsímil")</f>
        <v>Abrir facsímil</v>
      </c>
      <c r="K5853" s="10" t="s">
        <v>24</v>
      </c>
    </row>
    <row r="5854" spans="1:11" ht="54" customHeight="1">
      <c r="A5854" s="9" t="s">
        <v>13640</v>
      </c>
      <c r="B5854" s="9" t="s">
        <v>13641</v>
      </c>
      <c r="C5854" s="9" t="s">
        <v>17</v>
      </c>
      <c r="D5854" s="9" t="s">
        <v>18</v>
      </c>
      <c r="E5854" s="10" t="s">
        <v>3248</v>
      </c>
      <c r="F5854" s="9" t="s">
        <v>4798</v>
      </c>
      <c r="G5854" s="10" t="s">
        <v>86</v>
      </c>
      <c r="H5854" s="9" t="s">
        <v>22</v>
      </c>
      <c r="I5854" s="9" t="s">
        <v>13642</v>
      </c>
      <c r="J5854" s="10" t="str">
        <f>HYPERLINK("https://www.boe.es/gazeta/dias/1834/09/20/pdfs/GMD-C-1834-218.pdf#page=2","Abrir facsímil")</f>
        <v>Abrir facsímil</v>
      </c>
      <c r="K5854" s="10" t="s">
        <v>24</v>
      </c>
    </row>
    <row r="5855" spans="1:11" ht="54" customHeight="1">
      <c r="A5855" s="9" t="s">
        <v>13643</v>
      </c>
      <c r="B5855" s="9" t="s">
        <v>13643</v>
      </c>
      <c r="C5855" s="9" t="s">
        <v>17</v>
      </c>
      <c r="D5855" s="9" t="s">
        <v>18</v>
      </c>
      <c r="E5855" s="10" t="s">
        <v>1337</v>
      </c>
      <c r="F5855" s="9" t="s">
        <v>1338</v>
      </c>
      <c r="G5855" s="10" t="s">
        <v>34</v>
      </c>
      <c r="H5855" s="9" t="s">
        <v>22</v>
      </c>
      <c r="I5855" s="9" t="s">
        <v>13644</v>
      </c>
      <c r="J5855" s="10" t="str">
        <f>HYPERLINK("https://www.boe.es/gazeta/dias/1834/01/02/pdfs/GMD-1834-1.pdf#page=1","Abrir facsímil")</f>
        <v>Abrir facsímil</v>
      </c>
      <c r="K5855" s="10" t="s">
        <v>24</v>
      </c>
    </row>
    <row r="5856" spans="1:11" ht="54" customHeight="1">
      <c r="A5856" s="9" t="s">
        <v>13643</v>
      </c>
      <c r="B5856" s="9" t="s">
        <v>13643</v>
      </c>
      <c r="C5856" s="9" t="s">
        <v>122</v>
      </c>
      <c r="D5856" s="9" t="s">
        <v>18</v>
      </c>
      <c r="E5856" s="10" t="s">
        <v>1704</v>
      </c>
      <c r="F5856" s="9" t="s">
        <v>1705</v>
      </c>
      <c r="G5856" s="10" t="s">
        <v>21</v>
      </c>
      <c r="H5856" s="9" t="s">
        <v>22</v>
      </c>
      <c r="I5856" s="9" t="s">
        <v>13645</v>
      </c>
      <c r="J5856" s="10" t="str">
        <f>HYPERLINK("https://www.boe.es/gazeta/dias/1834/12/02/pdfs/GMD-1834-291.pdf#page=3","Abrir facsímil")</f>
        <v>Abrir facsímil</v>
      </c>
      <c r="K5856" s="10" t="s">
        <v>24</v>
      </c>
    </row>
    <row r="5857" spans="1:11" ht="54" customHeight="1">
      <c r="A5857" s="9" t="s">
        <v>13643</v>
      </c>
      <c r="B5857" s="9" t="s">
        <v>13643</v>
      </c>
      <c r="C5857" s="9" t="s">
        <v>17</v>
      </c>
      <c r="D5857" s="9" t="s">
        <v>18</v>
      </c>
      <c r="E5857" s="10" t="s">
        <v>243</v>
      </c>
      <c r="F5857" s="9" t="s">
        <v>1109</v>
      </c>
      <c r="G5857" s="10" t="s">
        <v>21</v>
      </c>
      <c r="H5857" s="9" t="s">
        <v>22</v>
      </c>
      <c r="I5857" s="9" t="s">
        <v>13646</v>
      </c>
      <c r="J5857" s="10" t="str">
        <f>HYPERLINK("https://www.boe.es/gazeta/dias/1834/08/05/pdfs/GMD-1834-169.pdf#page=3","Abrir facsímil")</f>
        <v>Abrir facsímil</v>
      </c>
      <c r="K5857" s="10" t="s">
        <v>24</v>
      </c>
    </row>
    <row r="5858" spans="1:11" ht="54" customHeight="1">
      <c r="A5858" s="9" t="s">
        <v>13643</v>
      </c>
      <c r="B5858" s="9" t="s">
        <v>13643</v>
      </c>
      <c r="C5858" s="9" t="s">
        <v>17</v>
      </c>
      <c r="D5858" s="9" t="s">
        <v>18</v>
      </c>
      <c r="E5858" s="10" t="s">
        <v>1556</v>
      </c>
      <c r="F5858" s="9" t="s">
        <v>1557</v>
      </c>
      <c r="G5858" s="10" t="s">
        <v>75</v>
      </c>
      <c r="H5858" s="9" t="s">
        <v>22</v>
      </c>
      <c r="I5858" s="9" t="s">
        <v>13647</v>
      </c>
      <c r="J5858" s="10" t="str">
        <f>HYPERLINK("https://www.boe.es/gazeta/dias/1834/06/06/pdfs/GMD-1834-108.pdf#page=4","Abrir facsímil")</f>
        <v>Abrir facsímil</v>
      </c>
      <c r="K5858" s="10" t="s">
        <v>24</v>
      </c>
    </row>
    <row r="5859" spans="1:11" ht="54" customHeight="1">
      <c r="A5859" s="9" t="s">
        <v>13643</v>
      </c>
      <c r="B5859" s="9" t="s">
        <v>13643</v>
      </c>
      <c r="C5859" s="9" t="s">
        <v>66</v>
      </c>
      <c r="D5859" s="9" t="s">
        <v>67</v>
      </c>
      <c r="E5859" s="10" t="s">
        <v>563</v>
      </c>
      <c r="F5859" s="9" t="s">
        <v>5858</v>
      </c>
      <c r="G5859" s="10" t="s">
        <v>34</v>
      </c>
      <c r="H5859" s="9" t="s">
        <v>22</v>
      </c>
      <c r="I5859" s="9" t="s">
        <v>13648</v>
      </c>
      <c r="J5859" s="10" t="str">
        <f>HYPERLINK("https://www.boe.es/gazeta/dias/1834/04/19/pdfs/GMD-C-1834-58.pdf#page=1","Abrir facsímil")</f>
        <v>Abrir facsímil</v>
      </c>
      <c r="K5859" s="10" t="s">
        <v>24</v>
      </c>
    </row>
    <row r="5860" spans="1:11" ht="54" customHeight="1">
      <c r="A5860" s="9" t="s">
        <v>13649</v>
      </c>
      <c r="B5860" s="9" t="s">
        <v>13650</v>
      </c>
      <c r="C5860" s="9" t="s">
        <v>66</v>
      </c>
      <c r="D5860" s="9" t="s">
        <v>67</v>
      </c>
      <c r="E5860" s="10" t="s">
        <v>563</v>
      </c>
      <c r="F5860" s="9" t="s">
        <v>5858</v>
      </c>
      <c r="G5860" s="10" t="s">
        <v>34</v>
      </c>
      <c r="H5860" s="9" t="s">
        <v>35</v>
      </c>
      <c r="I5860" s="9" t="s">
        <v>13651</v>
      </c>
      <c r="J5860" s="10" t="str">
        <f>HYPERLINK("https://www.boe.es/gazeta/dias/1834/04/19/pdfs/GMD-C-1834-58.pdf#page=1","Abrir facsímil")</f>
        <v>Abrir facsímil</v>
      </c>
      <c r="K5860" s="10" t="s">
        <v>37</v>
      </c>
    </row>
    <row r="5861" spans="1:11" ht="54" customHeight="1">
      <c r="A5861" s="9" t="s">
        <v>13652</v>
      </c>
      <c r="B5861" s="9" t="s">
        <v>13653</v>
      </c>
      <c r="C5861" s="9" t="s">
        <v>17</v>
      </c>
      <c r="D5861" s="9" t="s">
        <v>55</v>
      </c>
      <c r="E5861" s="10" t="s">
        <v>707</v>
      </c>
      <c r="F5861" s="9" t="s">
        <v>1359</v>
      </c>
      <c r="G5861" s="10" t="s">
        <v>86</v>
      </c>
      <c r="H5861" s="9" t="s">
        <v>22</v>
      </c>
      <c r="I5861" s="9" t="s">
        <v>13654</v>
      </c>
      <c r="J5861" s="10" t="str">
        <f>HYPERLINK("https://www.boe.es/gazeta/dias/1834/11/25/pdfs/GMD-1834-284.pdf#page=2","Abrir facsímil")</f>
        <v>Abrir facsímil</v>
      </c>
      <c r="K5861" s="10" t="s">
        <v>24</v>
      </c>
    </row>
    <row r="5862" spans="1:11" ht="54" customHeight="1">
      <c r="A5862" s="9" t="s">
        <v>13655</v>
      </c>
      <c r="B5862" s="9" t="s">
        <v>13656</v>
      </c>
      <c r="C5862" s="9" t="s">
        <v>66</v>
      </c>
      <c r="D5862" s="9" t="s">
        <v>67</v>
      </c>
      <c r="E5862" s="10" t="s">
        <v>702</v>
      </c>
      <c r="F5862" s="9" t="s">
        <v>2427</v>
      </c>
      <c r="G5862" s="10" t="s">
        <v>86</v>
      </c>
      <c r="H5862" s="9" t="s">
        <v>22</v>
      </c>
      <c r="I5862" s="9" t="s">
        <v>13657</v>
      </c>
      <c r="J5862" s="10" t="str">
        <f>HYPERLINK("https://www.boe.es/gazeta/dias/1834/11/22/pdfs/GMD-1834-281.pdf#page=2","Abrir facsímil")</f>
        <v>Abrir facsímil</v>
      </c>
      <c r="K5862" s="10" t="s">
        <v>24</v>
      </c>
    </row>
    <row r="5863" spans="1:11" ht="54" customHeight="1">
      <c r="A5863" s="9" t="s">
        <v>13658</v>
      </c>
      <c r="B5863" s="9" t="s">
        <v>13659</v>
      </c>
      <c r="C5863" s="9" t="s">
        <v>17</v>
      </c>
      <c r="D5863" s="9" t="s">
        <v>18</v>
      </c>
      <c r="E5863" s="10" t="s">
        <v>13660</v>
      </c>
      <c r="F5863" s="9" t="s">
        <v>13661</v>
      </c>
      <c r="G5863" s="10" t="s">
        <v>34</v>
      </c>
      <c r="H5863" s="9" t="s">
        <v>22</v>
      </c>
      <c r="I5863" s="9" t="s">
        <v>13662</v>
      </c>
      <c r="J5863" s="10" t="str">
        <f>HYPERLINK("https://www.boe.es/gazeta/dias/1834/12/15/pdfs/GMD-1834-304.pdf#page=1","Abrir facsímil")</f>
        <v>Abrir facsímil</v>
      </c>
      <c r="K5863" s="10" t="s">
        <v>24</v>
      </c>
    </row>
    <row r="5864" spans="1:11" ht="54" customHeight="1">
      <c r="A5864" s="9" t="s">
        <v>13663</v>
      </c>
      <c r="B5864" s="9" t="s">
        <v>13664</v>
      </c>
      <c r="C5864" s="9" t="s">
        <v>17</v>
      </c>
      <c r="D5864" s="9" t="s">
        <v>18</v>
      </c>
      <c r="E5864" s="10" t="s">
        <v>981</v>
      </c>
      <c r="F5864" s="9" t="s">
        <v>982</v>
      </c>
      <c r="G5864" s="10" t="s">
        <v>75</v>
      </c>
      <c r="H5864" s="9" t="s">
        <v>22</v>
      </c>
      <c r="I5864" s="9" t="s">
        <v>13665</v>
      </c>
      <c r="J5864" s="10" t="str">
        <f>HYPERLINK("https://www.boe.es/gazeta/dias/1834/09/21/pdfs/GMD-1834-219.pdf#page=4","Abrir facsímil")</f>
        <v>Abrir facsímil</v>
      </c>
      <c r="K5864" s="10" t="s">
        <v>24</v>
      </c>
    </row>
    <row r="5865" spans="1:11" ht="54" customHeight="1">
      <c r="A5865" s="9" t="s">
        <v>13666</v>
      </c>
      <c r="B5865" s="9" t="s">
        <v>13667</v>
      </c>
      <c r="C5865" s="9" t="s">
        <v>66</v>
      </c>
      <c r="D5865" s="9" t="s">
        <v>67</v>
      </c>
      <c r="E5865" s="10" t="s">
        <v>1406</v>
      </c>
      <c r="F5865" s="9" t="s">
        <v>1407</v>
      </c>
      <c r="G5865" s="10" t="s">
        <v>86</v>
      </c>
      <c r="H5865" s="9" t="s">
        <v>22</v>
      </c>
      <c r="I5865" s="9" t="s">
        <v>13668</v>
      </c>
      <c r="J5865" s="10" t="str">
        <f>HYPERLINK("https://www.boe.es/gazeta/dias/1834/11/03/pdfs/GMD-1834-262.pdf#page=2","Abrir facsímil")</f>
        <v>Abrir facsímil</v>
      </c>
      <c r="K5865" s="10" t="s">
        <v>24</v>
      </c>
    </row>
    <row r="5866" spans="1:11" ht="54" customHeight="1">
      <c r="A5866" s="9" t="s">
        <v>13669</v>
      </c>
      <c r="B5866" s="9" t="s">
        <v>13669</v>
      </c>
      <c r="C5866" s="9" t="s">
        <v>66</v>
      </c>
      <c r="D5866" s="9" t="s">
        <v>67</v>
      </c>
      <c r="E5866" s="10" t="s">
        <v>2379</v>
      </c>
      <c r="F5866" s="9" t="s">
        <v>2380</v>
      </c>
      <c r="G5866" s="10" t="s">
        <v>21</v>
      </c>
      <c r="H5866" s="9" t="s">
        <v>22</v>
      </c>
      <c r="I5866" s="9" t="s">
        <v>13670</v>
      </c>
      <c r="J5866" s="10" t="str">
        <f>HYPERLINK("https://www.boe.es/gazeta/dias/1834/04/03/pdfs/GMD-1834-42.pdf#page=3","Abrir facsímil")</f>
        <v>Abrir facsímil</v>
      </c>
      <c r="K5866" s="10" t="s">
        <v>24</v>
      </c>
    </row>
    <row r="5867" spans="1:11" ht="54" customHeight="1">
      <c r="A5867" s="9" t="s">
        <v>13671</v>
      </c>
      <c r="B5867" s="9" t="s">
        <v>13672</v>
      </c>
      <c r="C5867" s="9" t="s">
        <v>122</v>
      </c>
      <c r="D5867" s="9" t="s">
        <v>18</v>
      </c>
      <c r="E5867" s="10" t="s">
        <v>1170</v>
      </c>
      <c r="F5867" s="9" t="s">
        <v>1171</v>
      </c>
      <c r="G5867" s="10" t="s">
        <v>21</v>
      </c>
      <c r="H5867" s="9" t="s">
        <v>35</v>
      </c>
      <c r="I5867" s="9" t="s">
        <v>13673</v>
      </c>
      <c r="J5867" s="10" t="str">
        <f>HYPERLINK("https://www.boe.es/gazeta/dias/1834/01/07/pdfs/GMD-1834-4.pdf#page=3","Abrir facsímil")</f>
        <v>Abrir facsímil</v>
      </c>
      <c r="K5867" s="10" t="s">
        <v>37</v>
      </c>
    </row>
    <row r="5868" spans="1:11" ht="54" customHeight="1">
      <c r="A5868" s="9" t="s">
        <v>13674</v>
      </c>
      <c r="B5868" s="9" t="s">
        <v>13675</v>
      </c>
      <c r="C5868" s="9" t="s">
        <v>122</v>
      </c>
      <c r="D5868" s="9" t="s">
        <v>18</v>
      </c>
      <c r="E5868" s="10" t="s">
        <v>1170</v>
      </c>
      <c r="F5868" s="9" t="s">
        <v>1171</v>
      </c>
      <c r="G5868" s="10" t="s">
        <v>21</v>
      </c>
      <c r="H5868" s="9" t="s">
        <v>22</v>
      </c>
      <c r="I5868" s="9" t="s">
        <v>13676</v>
      </c>
      <c r="J5868" s="10" t="str">
        <f>HYPERLINK("https://www.boe.es/gazeta/dias/1834/01/07/pdfs/GMD-1834-4.pdf#page=3","Abrir facsímil")</f>
        <v>Abrir facsímil</v>
      </c>
      <c r="K5868" s="10" t="s">
        <v>24</v>
      </c>
    </row>
    <row r="5869" spans="1:11" ht="54" customHeight="1">
      <c r="A5869" s="9" t="s">
        <v>13677</v>
      </c>
      <c r="B5869" s="9" t="s">
        <v>13678</v>
      </c>
      <c r="C5869" s="9" t="s">
        <v>17</v>
      </c>
      <c r="D5869" s="9" t="s">
        <v>18</v>
      </c>
      <c r="E5869" s="10" t="s">
        <v>433</v>
      </c>
      <c r="F5869" s="9" t="s">
        <v>434</v>
      </c>
      <c r="G5869" s="10" t="s">
        <v>34</v>
      </c>
      <c r="H5869" s="9" t="s">
        <v>22</v>
      </c>
      <c r="I5869" s="9" t="s">
        <v>13679</v>
      </c>
      <c r="J5869" s="10" t="str">
        <f>HYPERLINK("https://www.boe.es/gazeta/dias/1834/10/07/pdfs/GMD-C-1834-235.pdf#page=1","Abrir facsímil")</f>
        <v>Abrir facsímil</v>
      </c>
      <c r="K5869" s="10" t="s">
        <v>24</v>
      </c>
    </row>
    <row r="5870" spans="1:11" ht="54" customHeight="1">
      <c r="A5870" s="9" t="s">
        <v>13680</v>
      </c>
      <c r="B5870" s="9" t="s">
        <v>13680</v>
      </c>
      <c r="C5870" s="9" t="s">
        <v>122</v>
      </c>
      <c r="D5870" s="9" t="s">
        <v>18</v>
      </c>
      <c r="E5870" s="10" t="s">
        <v>375</v>
      </c>
      <c r="F5870" s="9" t="s">
        <v>376</v>
      </c>
      <c r="G5870" s="10" t="s">
        <v>75</v>
      </c>
      <c r="H5870" s="9" t="s">
        <v>22</v>
      </c>
      <c r="I5870" s="9" t="s">
        <v>13681</v>
      </c>
      <c r="J5870" s="10" t="str">
        <f>HYPERLINK("https://www.boe.es/gazeta/dias/1834/08/21/pdfs/GMD-1834-187.pdf#page=4","Abrir facsímil")</f>
        <v>Abrir facsímil</v>
      </c>
      <c r="K5870" s="10" t="s">
        <v>24</v>
      </c>
    </row>
    <row r="5871" spans="1:11" ht="54" customHeight="1">
      <c r="A5871" s="9" t="s">
        <v>13682</v>
      </c>
      <c r="B5871" s="9" t="s">
        <v>13682</v>
      </c>
      <c r="C5871" s="9" t="s">
        <v>17</v>
      </c>
      <c r="D5871" s="9" t="s">
        <v>18</v>
      </c>
      <c r="E5871" s="10" t="s">
        <v>2142</v>
      </c>
      <c r="F5871" s="9" t="s">
        <v>2316</v>
      </c>
      <c r="G5871" s="10" t="s">
        <v>34</v>
      </c>
      <c r="H5871" s="9" t="s">
        <v>22</v>
      </c>
      <c r="I5871" s="9" t="s">
        <v>13683</v>
      </c>
      <c r="J5871" s="10" t="str">
        <f>HYPERLINK("https://www.boe.es/gazeta/dias/1834/12/27/pdfs/GMD-C-1834-317.pdf#page=1","Abrir facsímil")</f>
        <v>Abrir facsímil</v>
      </c>
      <c r="K5871" s="10" t="s">
        <v>24</v>
      </c>
    </row>
    <row r="5872" spans="1:11" ht="54" customHeight="1">
      <c r="A5872" s="9" t="s">
        <v>13684</v>
      </c>
      <c r="B5872" s="9" t="s">
        <v>13684</v>
      </c>
      <c r="C5872" s="9" t="s">
        <v>46</v>
      </c>
      <c r="D5872" s="9" t="s">
        <v>101</v>
      </c>
      <c r="E5872" s="10" t="s">
        <v>772</v>
      </c>
      <c r="F5872" s="9" t="s">
        <v>2284</v>
      </c>
      <c r="G5872" s="10" t="s">
        <v>176</v>
      </c>
      <c r="H5872" s="9" t="s">
        <v>22</v>
      </c>
      <c r="I5872" s="9" t="s">
        <v>13685</v>
      </c>
      <c r="J5872" s="10" t="str">
        <f>HYPERLINK("https://www.boe.es/gazeta/dias/1834/09/18/pdfs/GMD-C-1834-216.pdf#page=6","Abrir facsímil")</f>
        <v>Abrir facsímil</v>
      </c>
      <c r="K5872" s="10" t="s">
        <v>24</v>
      </c>
    </row>
    <row r="5873" spans="1:11" ht="54" customHeight="1">
      <c r="A5873" s="9" t="s">
        <v>13686</v>
      </c>
      <c r="B5873" s="9" t="s">
        <v>13687</v>
      </c>
      <c r="C5873" s="9" t="s">
        <v>66</v>
      </c>
      <c r="D5873" s="9" t="s">
        <v>67</v>
      </c>
      <c r="E5873" s="10" t="s">
        <v>601</v>
      </c>
      <c r="F5873" s="9" t="s">
        <v>602</v>
      </c>
      <c r="G5873" s="10" t="s">
        <v>34</v>
      </c>
      <c r="H5873" s="9" t="s">
        <v>22</v>
      </c>
      <c r="I5873" s="9" t="s">
        <v>13688</v>
      </c>
      <c r="J5873" s="10" t="str">
        <f>HYPERLINK("https://www.boe.es/gazeta/dias/1834/08/16/pdfs/GMD-1834-181.pdf#page=1","Abrir facsímil")</f>
        <v>Abrir facsímil</v>
      </c>
      <c r="K5873" s="10" t="s">
        <v>24</v>
      </c>
    </row>
    <row r="5874" spans="1:11" ht="54" customHeight="1">
      <c r="A5874" s="9" t="s">
        <v>13689</v>
      </c>
      <c r="B5874" s="9" t="s">
        <v>13690</v>
      </c>
      <c r="C5874" s="9" t="s">
        <v>66</v>
      </c>
      <c r="D5874" s="9" t="s">
        <v>67</v>
      </c>
      <c r="E5874" s="10" t="s">
        <v>808</v>
      </c>
      <c r="F5874" s="9" t="s">
        <v>809</v>
      </c>
      <c r="G5874" s="10" t="s">
        <v>75</v>
      </c>
      <c r="H5874" s="9" t="s">
        <v>22</v>
      </c>
      <c r="I5874" s="9" t="s">
        <v>13691</v>
      </c>
      <c r="J5874" s="10" t="str">
        <f>HYPERLINK("https://www.boe.es/gazeta/dias/1834/10/11/pdfs/GMD-1834-239.pdf#page=4","Abrir facsímil")</f>
        <v>Abrir facsímil</v>
      </c>
      <c r="K5874" s="10" t="s">
        <v>24</v>
      </c>
    </row>
    <row r="5875" spans="1:11" ht="54" customHeight="1">
      <c r="A5875" s="9" t="s">
        <v>13692</v>
      </c>
      <c r="B5875" s="9" t="s">
        <v>13693</v>
      </c>
      <c r="C5875" s="9" t="s">
        <v>66</v>
      </c>
      <c r="D5875" s="9" t="s">
        <v>67</v>
      </c>
      <c r="E5875" s="10" t="s">
        <v>808</v>
      </c>
      <c r="F5875" s="9" t="s">
        <v>809</v>
      </c>
      <c r="G5875" s="10" t="s">
        <v>75</v>
      </c>
      <c r="H5875" s="9" t="s">
        <v>35</v>
      </c>
      <c r="I5875" s="9" t="s">
        <v>13694</v>
      </c>
      <c r="J5875" s="10" t="str">
        <f>HYPERLINK("https://www.boe.es/gazeta/dias/1834/10/11/pdfs/GMD-1834-239.pdf#page=4","Abrir facsímil")</f>
        <v>Abrir facsímil</v>
      </c>
      <c r="K5875" s="10" t="s">
        <v>37</v>
      </c>
    </row>
    <row r="5876" spans="1:11" ht="54" customHeight="1">
      <c r="A5876" s="9" t="s">
        <v>13695</v>
      </c>
      <c r="B5876" s="9" t="s">
        <v>13696</v>
      </c>
      <c r="C5876" s="9" t="s">
        <v>17</v>
      </c>
      <c r="D5876" s="9" t="s">
        <v>18</v>
      </c>
      <c r="E5876" s="10" t="s">
        <v>299</v>
      </c>
      <c r="F5876" s="9" t="s">
        <v>300</v>
      </c>
      <c r="G5876" s="10" t="s">
        <v>75</v>
      </c>
      <c r="H5876" s="9" t="s">
        <v>22</v>
      </c>
      <c r="I5876" s="9" t="s">
        <v>13697</v>
      </c>
      <c r="J5876" s="10" t="str">
        <f>HYPERLINK("https://www.boe.es/gazeta/dias/1834/12/12/pdfs/GMD-1834-301.pdf#page=4","Abrir facsímil")</f>
        <v>Abrir facsímil</v>
      </c>
      <c r="K5876" s="10" t="s">
        <v>24</v>
      </c>
    </row>
    <row r="5877" spans="1:11" ht="54" customHeight="1">
      <c r="A5877" s="9" t="s">
        <v>13698</v>
      </c>
      <c r="B5877" s="9" t="s">
        <v>13699</v>
      </c>
      <c r="C5877" s="9" t="s">
        <v>17</v>
      </c>
      <c r="D5877" s="9" t="s">
        <v>18</v>
      </c>
      <c r="E5877" s="10" t="s">
        <v>615</v>
      </c>
      <c r="F5877" s="9" t="s">
        <v>1205</v>
      </c>
      <c r="G5877" s="10" t="s">
        <v>34</v>
      </c>
      <c r="H5877" s="9" t="s">
        <v>22</v>
      </c>
      <c r="I5877" s="9" t="s">
        <v>13700</v>
      </c>
      <c r="J5877" s="10" t="str">
        <f>HYPERLINK("https://www.boe.es/gazeta/dias/1834/08/19/pdfs/GMD-D-1834-185.pdf#page=1","Abrir facsímil")</f>
        <v>Abrir facsímil</v>
      </c>
      <c r="K5877" s="10" t="s">
        <v>24</v>
      </c>
    </row>
    <row r="5878" spans="1:11" ht="54" customHeight="1">
      <c r="A5878" s="9" t="s">
        <v>13701</v>
      </c>
      <c r="B5878" s="9" t="s">
        <v>13701</v>
      </c>
      <c r="C5878" s="9" t="s">
        <v>66</v>
      </c>
      <c r="D5878" s="9" t="s">
        <v>67</v>
      </c>
      <c r="E5878" s="10" t="s">
        <v>19</v>
      </c>
      <c r="F5878" s="9" t="s">
        <v>1933</v>
      </c>
      <c r="G5878" s="10" t="s">
        <v>34</v>
      </c>
      <c r="H5878" s="9" t="s">
        <v>22</v>
      </c>
      <c r="I5878" s="9" t="s">
        <v>13702</v>
      </c>
      <c r="J5878" s="10" t="str">
        <f>HYPERLINK("https://www.boe.es/gazeta/dias/1834/08/17/pdfs/GMD-1834-183E.pdf#page=1","Abrir facsímil")</f>
        <v>Abrir facsímil</v>
      </c>
      <c r="K5878" s="10" t="s">
        <v>24</v>
      </c>
    </row>
    <row r="5879" spans="1:11" ht="54" customHeight="1">
      <c r="A5879" s="9" t="s">
        <v>13703</v>
      </c>
      <c r="B5879" s="9" t="s">
        <v>13704</v>
      </c>
      <c r="C5879" s="9" t="s">
        <v>17</v>
      </c>
      <c r="D5879" s="9" t="s">
        <v>18</v>
      </c>
      <c r="E5879" s="10" t="s">
        <v>19</v>
      </c>
      <c r="F5879" s="9" t="s">
        <v>1933</v>
      </c>
      <c r="G5879" s="10" t="s">
        <v>34</v>
      </c>
      <c r="H5879" s="9" t="s">
        <v>22</v>
      </c>
      <c r="I5879" s="9" t="s">
        <v>13705</v>
      </c>
      <c r="J5879" s="10" t="str">
        <f>HYPERLINK("https://www.boe.es/gazeta/dias/1834/08/17/pdfs/GMD-1834-183E.pdf#page=1","Abrir facsímil")</f>
        <v>Abrir facsímil</v>
      </c>
      <c r="K5879" s="10" t="s">
        <v>24</v>
      </c>
    </row>
    <row r="5880" spans="1:11" ht="54" customHeight="1">
      <c r="A5880" s="9" t="s">
        <v>13706</v>
      </c>
      <c r="B5880" s="9" t="s">
        <v>13707</v>
      </c>
      <c r="C5880" s="9" t="s">
        <v>17</v>
      </c>
      <c r="D5880" s="9" t="s">
        <v>18</v>
      </c>
      <c r="E5880" s="10" t="s">
        <v>762</v>
      </c>
      <c r="F5880" s="9" t="s">
        <v>2227</v>
      </c>
      <c r="G5880" s="10" t="s">
        <v>21</v>
      </c>
      <c r="H5880" s="9" t="s">
        <v>22</v>
      </c>
      <c r="I5880" s="9" t="s">
        <v>13708</v>
      </c>
      <c r="J5880" s="10" t="str">
        <f>HYPERLINK("https://www.boe.es/gazeta/dias/1834/11/07/pdfs/GMD-C-1834-266.pdf#page=3","Abrir facsímil")</f>
        <v>Abrir facsímil</v>
      </c>
      <c r="K5880" s="10" t="s">
        <v>24</v>
      </c>
    </row>
    <row r="5881" spans="1:11" ht="54" customHeight="1">
      <c r="A5881" s="9" t="s">
        <v>13709</v>
      </c>
      <c r="B5881" s="9" t="s">
        <v>13710</v>
      </c>
      <c r="C5881" s="9" t="s">
        <v>17</v>
      </c>
      <c r="D5881" s="9" t="s">
        <v>18</v>
      </c>
      <c r="E5881" s="10" t="s">
        <v>96</v>
      </c>
      <c r="F5881" s="9" t="s">
        <v>1725</v>
      </c>
      <c r="G5881" s="10" t="s">
        <v>75</v>
      </c>
      <c r="H5881" s="9" t="s">
        <v>22</v>
      </c>
      <c r="I5881" s="9" t="s">
        <v>13711</v>
      </c>
      <c r="J5881" s="10" t="str">
        <f>HYPERLINK("https://www.boe.es/gazeta/dias/1834/11/11/pdfs/GMD-1834-270.pdf#page=4","Abrir facsímil")</f>
        <v>Abrir facsímil</v>
      </c>
      <c r="K5881" s="10" t="s">
        <v>24</v>
      </c>
    </row>
    <row r="5882" spans="1:11" ht="54" customHeight="1">
      <c r="A5882" s="9" t="s">
        <v>13712</v>
      </c>
      <c r="B5882" s="9" t="s">
        <v>13713</v>
      </c>
      <c r="C5882" s="9" t="s">
        <v>17</v>
      </c>
      <c r="D5882" s="9" t="s">
        <v>18</v>
      </c>
      <c r="E5882" s="10" t="s">
        <v>833</v>
      </c>
      <c r="F5882" s="9" t="s">
        <v>834</v>
      </c>
      <c r="G5882" s="10" t="s">
        <v>86</v>
      </c>
      <c r="H5882" s="9" t="s">
        <v>22</v>
      </c>
      <c r="I5882" s="9" t="s">
        <v>13714</v>
      </c>
      <c r="J5882" s="10" t="str">
        <f>HYPERLINK("https://www.boe.es/gazeta/dias/1834/04/24/pdfs/GMD-1834-63.pdf#page=2","Abrir facsímil")</f>
        <v>Abrir facsímil</v>
      </c>
      <c r="K5882" s="10" t="s">
        <v>24</v>
      </c>
    </row>
    <row r="5883" spans="1:11" ht="54" customHeight="1">
      <c r="A5883" s="9" t="s">
        <v>13715</v>
      </c>
      <c r="B5883" s="9" t="s">
        <v>13716</v>
      </c>
      <c r="C5883" s="9" t="s">
        <v>46</v>
      </c>
      <c r="D5883" s="9" t="s">
        <v>55</v>
      </c>
      <c r="E5883" s="10" t="s">
        <v>258</v>
      </c>
      <c r="F5883" s="9" t="s">
        <v>259</v>
      </c>
      <c r="G5883" s="10" t="s">
        <v>75</v>
      </c>
      <c r="H5883" s="9" t="s">
        <v>22</v>
      </c>
      <c r="I5883" s="9" t="s">
        <v>13717</v>
      </c>
      <c r="J5883" s="10" t="str">
        <f>HYPERLINK("https://www.boe.es/gazeta/dias/1834/10/09/pdfs/GMD-C-1834-237.pdf#page=4","Abrir facsímil")</f>
        <v>Abrir facsímil</v>
      </c>
      <c r="K5883" s="10" t="s">
        <v>24</v>
      </c>
    </row>
    <row r="5884" spans="1:11" ht="54" customHeight="1">
      <c r="A5884" s="9" t="s">
        <v>13718</v>
      </c>
      <c r="B5884" s="9" t="s">
        <v>13719</v>
      </c>
      <c r="C5884" s="9" t="s">
        <v>17</v>
      </c>
      <c r="D5884" s="9" t="s">
        <v>18</v>
      </c>
      <c r="E5884" s="10" t="s">
        <v>444</v>
      </c>
      <c r="F5884" s="9" t="s">
        <v>445</v>
      </c>
      <c r="G5884" s="10" t="s">
        <v>28</v>
      </c>
      <c r="H5884" s="9" t="s">
        <v>22</v>
      </c>
      <c r="I5884" s="9" t="s">
        <v>13720</v>
      </c>
      <c r="J5884" s="10" t="str">
        <f>HYPERLINK("https://www.boe.es/gazeta/dias/1834/09/12/pdfs/GMD-C-1834-210.pdf#page=5","Abrir facsímil")</f>
        <v>Abrir facsímil</v>
      </c>
      <c r="K5884" s="10" t="s">
        <v>24</v>
      </c>
    </row>
    <row r="5885" spans="1:11" ht="54" customHeight="1">
      <c r="A5885" s="9" t="s">
        <v>13721</v>
      </c>
      <c r="B5885" s="9" t="s">
        <v>13722</v>
      </c>
      <c r="C5885" s="9" t="s">
        <v>66</v>
      </c>
      <c r="D5885" s="9" t="s">
        <v>18</v>
      </c>
      <c r="E5885" s="10" t="s">
        <v>375</v>
      </c>
      <c r="F5885" s="9" t="s">
        <v>376</v>
      </c>
      <c r="G5885" s="10" t="s">
        <v>21</v>
      </c>
      <c r="H5885" s="9" t="s">
        <v>35</v>
      </c>
      <c r="I5885" s="9" t="s">
        <v>13723</v>
      </c>
      <c r="J5885" s="10" t="str">
        <f>HYPERLINK("https://www.boe.es/gazeta/dias/1834/08/21/pdfs/GMD-1834-187.pdf#page=3","Abrir facsímil")</f>
        <v>Abrir facsímil</v>
      </c>
      <c r="K5885" s="10" t="s">
        <v>37</v>
      </c>
    </row>
    <row r="5886" spans="1:11" ht="54" customHeight="1">
      <c r="A5886" s="9" t="s">
        <v>13724</v>
      </c>
      <c r="B5886" s="9" t="s">
        <v>13725</v>
      </c>
      <c r="C5886" s="9" t="s">
        <v>46</v>
      </c>
      <c r="D5886" s="9" t="s">
        <v>18</v>
      </c>
      <c r="E5886" s="10" t="s">
        <v>343</v>
      </c>
      <c r="F5886" s="9" t="s">
        <v>344</v>
      </c>
      <c r="G5886" s="10" t="s">
        <v>21</v>
      </c>
      <c r="H5886" s="9" t="s">
        <v>35</v>
      </c>
      <c r="I5886" s="9" t="s">
        <v>13726</v>
      </c>
      <c r="J5886" s="10" t="str">
        <f>HYPERLINK("https://www.boe.es/gazeta/dias/1834/01/14/pdfs/GMD-1834-7.pdf#page=3","Abrir facsímil")</f>
        <v>Abrir facsímil</v>
      </c>
      <c r="K5886" s="10" t="s">
        <v>37</v>
      </c>
    </row>
    <row r="5887" spans="1:11" ht="54" customHeight="1">
      <c r="A5887" s="9" t="s">
        <v>13727</v>
      </c>
      <c r="B5887" s="9" t="s">
        <v>13728</v>
      </c>
      <c r="C5887" s="9" t="s">
        <v>66</v>
      </c>
      <c r="D5887" s="9" t="s">
        <v>67</v>
      </c>
      <c r="E5887" s="10" t="s">
        <v>32</v>
      </c>
      <c r="F5887" s="9" t="s">
        <v>33</v>
      </c>
      <c r="G5887" s="10" t="s">
        <v>86</v>
      </c>
      <c r="H5887" s="9" t="s">
        <v>22</v>
      </c>
      <c r="I5887" s="9" t="s">
        <v>13729</v>
      </c>
      <c r="J5887" s="10" t="str">
        <f>HYPERLINK("https://www.boe.es/gazeta/dias/1834/04/23/pdfs/GMD-1834-62.pdf#page=2","Abrir facsímil")</f>
        <v>Abrir facsímil</v>
      </c>
      <c r="K5887" s="10" t="s">
        <v>24</v>
      </c>
    </row>
    <row r="5888" spans="1:11" ht="54" customHeight="1">
      <c r="A5888" s="9" t="s">
        <v>13730</v>
      </c>
      <c r="B5888" s="9" t="s">
        <v>13731</v>
      </c>
      <c r="C5888" s="9" t="s">
        <v>66</v>
      </c>
      <c r="D5888" s="9" t="s">
        <v>18</v>
      </c>
      <c r="E5888" s="10" t="s">
        <v>375</v>
      </c>
      <c r="F5888" s="9" t="s">
        <v>376</v>
      </c>
      <c r="G5888" s="10" t="s">
        <v>21</v>
      </c>
      <c r="H5888" s="9" t="s">
        <v>22</v>
      </c>
      <c r="I5888" s="9" t="s">
        <v>13732</v>
      </c>
      <c r="J5888" s="10" t="str">
        <f>HYPERLINK("https://www.boe.es/gazeta/dias/1834/08/21/pdfs/GMD-1834-187.pdf#page=3","Abrir facsímil")</f>
        <v>Abrir facsímil</v>
      </c>
      <c r="K5888" s="10" t="s">
        <v>24</v>
      </c>
    </row>
    <row r="5889" spans="1:11" ht="54" customHeight="1">
      <c r="A5889" s="9" t="s">
        <v>13733</v>
      </c>
      <c r="B5889" s="9" t="s">
        <v>13734</v>
      </c>
      <c r="C5889" s="9" t="s">
        <v>90</v>
      </c>
      <c r="D5889" s="9" t="s">
        <v>18</v>
      </c>
      <c r="E5889" s="10" t="s">
        <v>777</v>
      </c>
      <c r="F5889" s="9" t="s">
        <v>778</v>
      </c>
      <c r="G5889" s="10" t="s">
        <v>75</v>
      </c>
      <c r="H5889" s="9" t="s">
        <v>22</v>
      </c>
      <c r="I5889" s="9" t="s">
        <v>13735</v>
      </c>
      <c r="J5889" s="10" t="str">
        <f>HYPERLINK("https://www.boe.es/gazeta/dias/1834/10/29/pdfs/GMD-1834-257.pdf#page=4","Abrir facsímil")</f>
        <v>Abrir facsímil</v>
      </c>
      <c r="K5889" s="10" t="s">
        <v>24</v>
      </c>
    </row>
    <row r="5890" spans="1:11" ht="54" customHeight="1">
      <c r="A5890" s="9" t="s">
        <v>13736</v>
      </c>
      <c r="B5890" s="9" t="s">
        <v>13737</v>
      </c>
      <c r="C5890" s="9" t="s">
        <v>90</v>
      </c>
      <c r="D5890" s="9" t="s">
        <v>55</v>
      </c>
      <c r="E5890" s="10" t="s">
        <v>8200</v>
      </c>
      <c r="F5890" s="9" t="s">
        <v>8201</v>
      </c>
      <c r="G5890" s="10" t="s">
        <v>86</v>
      </c>
      <c r="H5890" s="9" t="s">
        <v>22</v>
      </c>
      <c r="I5890" s="9" t="s">
        <v>13738</v>
      </c>
      <c r="J5890" s="10" t="str">
        <f>HYPERLINK("https://www.boe.es/gazeta/dias/1834/11/17/pdfs/GMD-1834-276.pdf#page=2","Abrir facsímil")</f>
        <v>Abrir facsímil</v>
      </c>
      <c r="K5890" s="10" t="s">
        <v>24</v>
      </c>
    </row>
    <row r="5891" spans="1:11" ht="54" customHeight="1">
      <c r="A5891" s="9" t="s">
        <v>13739</v>
      </c>
      <c r="B5891" s="9" t="s">
        <v>13740</v>
      </c>
      <c r="C5891" s="9" t="s">
        <v>17</v>
      </c>
      <c r="D5891" s="9" t="s">
        <v>18</v>
      </c>
      <c r="E5891" s="10" t="s">
        <v>690</v>
      </c>
      <c r="F5891" s="9" t="s">
        <v>5765</v>
      </c>
      <c r="G5891" s="10" t="s">
        <v>75</v>
      </c>
      <c r="H5891" s="9" t="s">
        <v>22</v>
      </c>
      <c r="I5891" s="9" t="s">
        <v>13741</v>
      </c>
      <c r="J5891" s="10" t="str">
        <f>HYPERLINK("https://www.boe.es/gazeta/dias/1834/09/03/pdfs/GMD-1834-201.pdf#page=4","Abrir facsímil")</f>
        <v>Abrir facsímil</v>
      </c>
      <c r="K5891" s="10" t="s">
        <v>24</v>
      </c>
    </row>
    <row r="5892" spans="1:11" ht="54" customHeight="1">
      <c r="A5892" s="9" t="s">
        <v>13742</v>
      </c>
      <c r="B5892" s="9" t="s">
        <v>13743</v>
      </c>
      <c r="C5892" s="9" t="s">
        <v>17</v>
      </c>
      <c r="D5892" s="9" t="s">
        <v>18</v>
      </c>
      <c r="E5892" s="10" t="s">
        <v>623</v>
      </c>
      <c r="F5892" s="9" t="s">
        <v>624</v>
      </c>
      <c r="G5892" s="10" t="s">
        <v>75</v>
      </c>
      <c r="H5892" s="9" t="s">
        <v>22</v>
      </c>
      <c r="I5892" s="9" t="s">
        <v>13744</v>
      </c>
      <c r="J5892" s="10" t="str">
        <f>HYPERLINK("https://www.boe.es/gazeta/dias/1834/10/12/pdfs/GMD-D-1834-240.pdf#page=4","Abrir facsímil")</f>
        <v>Abrir facsímil</v>
      </c>
      <c r="K5892" s="10" t="s">
        <v>24</v>
      </c>
    </row>
    <row r="5893" spans="1:11" ht="54" customHeight="1">
      <c r="A5893" s="9" t="s">
        <v>13745</v>
      </c>
      <c r="B5893" s="9" t="s">
        <v>13746</v>
      </c>
      <c r="C5893" s="9" t="s">
        <v>46</v>
      </c>
      <c r="D5893" s="9" t="s">
        <v>55</v>
      </c>
      <c r="E5893" s="10" t="s">
        <v>1307</v>
      </c>
      <c r="F5893" s="9" t="s">
        <v>1308</v>
      </c>
      <c r="G5893" s="10" t="s">
        <v>75</v>
      </c>
      <c r="H5893" s="9" t="s">
        <v>22</v>
      </c>
      <c r="I5893" s="9" t="s">
        <v>13747</v>
      </c>
      <c r="J5893" s="10" t="str">
        <f>HYPERLINK("https://www.boe.es/gazeta/dias/1834/08/25/pdfs/GMD-1834-191.pdf#page=4","Abrir facsímil")</f>
        <v>Abrir facsímil</v>
      </c>
      <c r="K5893" s="10" t="s">
        <v>24</v>
      </c>
    </row>
    <row r="5894" spans="1:11" ht="54" customHeight="1">
      <c r="A5894" s="9" t="s">
        <v>13748</v>
      </c>
      <c r="B5894" s="9" t="s">
        <v>13749</v>
      </c>
      <c r="C5894" s="9" t="s">
        <v>46</v>
      </c>
      <c r="D5894" s="9" t="s">
        <v>101</v>
      </c>
      <c r="E5894" s="10" t="s">
        <v>4814</v>
      </c>
      <c r="F5894" s="9" t="s">
        <v>4815</v>
      </c>
      <c r="G5894" s="10" t="s">
        <v>75</v>
      </c>
      <c r="H5894" s="9" t="s">
        <v>22</v>
      </c>
      <c r="I5894" s="9" t="s">
        <v>13750</v>
      </c>
      <c r="J5894" s="10" t="str">
        <f>HYPERLINK("https://www.boe.es/gazeta/dias/1834/06/05/pdfs/GMD-1834-107.pdf#page=4","Abrir facsímil")</f>
        <v>Abrir facsímil</v>
      </c>
      <c r="K5894" s="10" t="s">
        <v>24</v>
      </c>
    </row>
    <row r="5895" spans="1:11" ht="54" customHeight="1">
      <c r="A5895" s="9" t="s">
        <v>13751</v>
      </c>
      <c r="B5895" s="9" t="s">
        <v>13752</v>
      </c>
      <c r="C5895" s="9" t="s">
        <v>17</v>
      </c>
      <c r="D5895" s="9" t="s">
        <v>18</v>
      </c>
      <c r="E5895" s="10" t="s">
        <v>299</v>
      </c>
      <c r="F5895" s="9" t="s">
        <v>300</v>
      </c>
      <c r="G5895" s="10" t="s">
        <v>75</v>
      </c>
      <c r="H5895" s="9" t="s">
        <v>22</v>
      </c>
      <c r="I5895" s="9" t="s">
        <v>13753</v>
      </c>
      <c r="J5895" s="10" t="str">
        <f>HYPERLINK("https://www.boe.es/gazeta/dias/1834/12/12/pdfs/GMD-1834-301.pdf#page=4","Abrir facsímil")</f>
        <v>Abrir facsímil</v>
      </c>
      <c r="K5895" s="10" t="s">
        <v>24</v>
      </c>
    </row>
    <row r="5896" spans="1:11" ht="54" customHeight="1">
      <c r="A5896" s="9" t="s">
        <v>13754</v>
      </c>
      <c r="B5896" s="9" t="s">
        <v>13755</v>
      </c>
      <c r="C5896" s="9" t="s">
        <v>17</v>
      </c>
      <c r="D5896" s="9" t="s">
        <v>18</v>
      </c>
      <c r="E5896" s="10" t="s">
        <v>715</v>
      </c>
      <c r="F5896" s="9" t="s">
        <v>716</v>
      </c>
      <c r="G5896" s="10" t="s">
        <v>34</v>
      </c>
      <c r="H5896" s="9" t="s">
        <v>22</v>
      </c>
      <c r="I5896" s="9" t="s">
        <v>13756</v>
      </c>
      <c r="J5896" s="10" t="str">
        <f>HYPERLINK("https://www.boe.es/gazeta/dias/1834/09/17/pdfs/GMD-C-1834-215.pdf#page=1","Abrir facsímil")</f>
        <v>Abrir facsímil</v>
      </c>
      <c r="K5896" s="10" t="s">
        <v>24</v>
      </c>
    </row>
    <row r="5897" spans="1:11" ht="54" customHeight="1">
      <c r="A5897" s="9" t="s">
        <v>13757</v>
      </c>
      <c r="B5897" s="9" t="s">
        <v>13758</v>
      </c>
      <c r="C5897" s="9" t="s">
        <v>46</v>
      </c>
      <c r="D5897" s="9" t="s">
        <v>18</v>
      </c>
      <c r="E5897" s="10" t="s">
        <v>343</v>
      </c>
      <c r="F5897" s="9" t="s">
        <v>344</v>
      </c>
      <c r="G5897" s="10" t="s">
        <v>21</v>
      </c>
      <c r="H5897" s="9" t="s">
        <v>22</v>
      </c>
      <c r="I5897" s="9" t="s">
        <v>13759</v>
      </c>
      <c r="J5897" s="10" t="str">
        <f>HYPERLINK("https://www.boe.es/gazeta/dias/1834/01/14/pdfs/GMD-1834-7.pdf#page=3","Abrir facsímil")</f>
        <v>Abrir facsímil</v>
      </c>
      <c r="K5897" s="10" t="s">
        <v>24</v>
      </c>
    </row>
    <row r="5898" spans="1:11" ht="54" customHeight="1">
      <c r="A5898" s="9" t="s">
        <v>13760</v>
      </c>
      <c r="B5898" s="9" t="s">
        <v>13761</v>
      </c>
      <c r="C5898" s="9" t="s">
        <v>90</v>
      </c>
      <c r="D5898" s="9" t="s">
        <v>18</v>
      </c>
      <c r="E5898" s="10" t="s">
        <v>375</v>
      </c>
      <c r="F5898" s="9" t="s">
        <v>4983</v>
      </c>
      <c r="G5898" s="10" t="s">
        <v>86</v>
      </c>
      <c r="H5898" s="9" t="s">
        <v>22</v>
      </c>
      <c r="I5898" s="9" t="s">
        <v>13762</v>
      </c>
      <c r="J5898" s="10" t="str">
        <f>HYPERLINK("https://www.boe.es/gazeta/dias/1834/08/21/pdfs/GMD-C-1834-187.pdf#page=2","Abrir facsímil")</f>
        <v>Abrir facsímil</v>
      </c>
      <c r="K5898" s="10" t="s">
        <v>24</v>
      </c>
    </row>
    <row r="5899" spans="1:11" ht="54" customHeight="1">
      <c r="A5899" s="9" t="s">
        <v>13763</v>
      </c>
      <c r="B5899" s="9" t="s">
        <v>13764</v>
      </c>
      <c r="C5899" s="9" t="s">
        <v>66</v>
      </c>
      <c r="D5899" s="9" t="s">
        <v>101</v>
      </c>
      <c r="E5899" s="10" t="s">
        <v>2203</v>
      </c>
      <c r="F5899" s="9" t="s">
        <v>2204</v>
      </c>
      <c r="G5899" s="10" t="s">
        <v>75</v>
      </c>
      <c r="H5899" s="9" t="s">
        <v>22</v>
      </c>
      <c r="I5899" s="9" t="s">
        <v>13765</v>
      </c>
      <c r="J5899" s="10" t="str">
        <f>HYPERLINK("https://www.boe.es/gazeta/dias/1834/09/10/pdfs/GMD-C-1834-208.pdf#page=4","Abrir facsímil")</f>
        <v>Abrir facsímil</v>
      </c>
      <c r="K5899" s="10" t="s">
        <v>24</v>
      </c>
    </row>
    <row r="5900" spans="1:11" ht="54" customHeight="1">
      <c r="A5900" s="9" t="s">
        <v>13766</v>
      </c>
      <c r="B5900" s="9" t="s">
        <v>13766</v>
      </c>
      <c r="C5900" s="9" t="s">
        <v>17</v>
      </c>
      <c r="D5900" s="9" t="s">
        <v>101</v>
      </c>
      <c r="E5900" s="10" t="s">
        <v>5904</v>
      </c>
      <c r="F5900" s="9" t="s">
        <v>5905</v>
      </c>
      <c r="G5900" s="10" t="s">
        <v>21</v>
      </c>
      <c r="H5900" s="9" t="s">
        <v>22</v>
      </c>
      <c r="I5900" s="9" t="s">
        <v>13767</v>
      </c>
      <c r="J5900" s="10" t="str">
        <f>HYPERLINK("https://www.boe.es/gazeta/dias/1834/09/29/pdfs/GMD-1834-227.pdf#page=3","Abrir facsímil")</f>
        <v>Abrir facsímil</v>
      </c>
      <c r="K5900" s="10" t="s">
        <v>24</v>
      </c>
    </row>
    <row r="5901" spans="1:11" ht="54" customHeight="1">
      <c r="A5901" s="9" t="s">
        <v>13768</v>
      </c>
      <c r="B5901" s="9" t="s">
        <v>13769</v>
      </c>
      <c r="C5901" s="9" t="s">
        <v>66</v>
      </c>
      <c r="D5901" s="9" t="s">
        <v>18</v>
      </c>
      <c r="E5901" s="10" t="s">
        <v>785</v>
      </c>
      <c r="F5901" s="9" t="s">
        <v>786</v>
      </c>
      <c r="G5901" s="10" t="s">
        <v>75</v>
      </c>
      <c r="H5901" s="9" t="s">
        <v>35</v>
      </c>
      <c r="I5901" s="9" t="s">
        <v>13770</v>
      </c>
      <c r="J5901" s="10" t="str">
        <f>HYPERLINK("https://www.boe.es/gazeta/dias/1834/02/11/pdfs/GMD-1834-19.pdf#page=4","Abrir facsímil")</f>
        <v>Abrir facsímil</v>
      </c>
      <c r="K5901" s="10" t="s">
        <v>37</v>
      </c>
    </row>
    <row r="5902" spans="1:11" ht="54" customHeight="1">
      <c r="A5902" s="9" t="s">
        <v>13768</v>
      </c>
      <c r="B5902" s="9" t="s">
        <v>13769</v>
      </c>
      <c r="C5902" s="9" t="s">
        <v>17</v>
      </c>
      <c r="D5902" s="9" t="s">
        <v>18</v>
      </c>
      <c r="E5902" s="10" t="s">
        <v>1575</v>
      </c>
      <c r="F5902" s="9" t="s">
        <v>1576</v>
      </c>
      <c r="G5902" s="10" t="s">
        <v>34</v>
      </c>
      <c r="H5902" s="9" t="s">
        <v>35</v>
      </c>
      <c r="I5902" s="9" t="s">
        <v>13771</v>
      </c>
      <c r="J5902" s="10" t="str">
        <f>HYPERLINK("https://www.boe.es/gazeta/dias/1834/11/24/pdfs/GMD-1834-283.pdf#page=1","Abrir facsímil")</f>
        <v>Abrir facsímil</v>
      </c>
      <c r="K5902" s="10" t="s">
        <v>37</v>
      </c>
    </row>
    <row r="5903" spans="1:11" ht="54" customHeight="1">
      <c r="A5903" s="9" t="s">
        <v>13772</v>
      </c>
      <c r="B5903" s="9" t="s">
        <v>13773</v>
      </c>
      <c r="C5903" s="9" t="s">
        <v>17</v>
      </c>
      <c r="D5903" s="9" t="s">
        <v>18</v>
      </c>
      <c r="E5903" s="10" t="s">
        <v>1125</v>
      </c>
      <c r="F5903" s="9" t="s">
        <v>2490</v>
      </c>
      <c r="G5903" s="10" t="s">
        <v>560</v>
      </c>
      <c r="H5903" s="9" t="s">
        <v>35</v>
      </c>
      <c r="I5903" s="9" t="s">
        <v>13774</v>
      </c>
      <c r="J5903" s="10" t="str">
        <f>HYPERLINK("https://www.boe.es/gazeta/dias/1834/04/17/pdfs/GMD-1834-56.pdf#page=7","Abrir facsímil")</f>
        <v>Abrir facsímil</v>
      </c>
      <c r="K5903" s="10" t="s">
        <v>37</v>
      </c>
    </row>
    <row r="5904" spans="1:11" ht="54" customHeight="1">
      <c r="A5904" s="9" t="s">
        <v>13775</v>
      </c>
      <c r="B5904" s="9" t="s">
        <v>13776</v>
      </c>
      <c r="C5904" s="9" t="s">
        <v>17</v>
      </c>
      <c r="D5904" s="9" t="s">
        <v>18</v>
      </c>
      <c r="E5904" s="10" t="s">
        <v>339</v>
      </c>
      <c r="F5904" s="9" t="s">
        <v>340</v>
      </c>
      <c r="G5904" s="10" t="s">
        <v>34</v>
      </c>
      <c r="H5904" s="9" t="s">
        <v>22</v>
      </c>
      <c r="I5904" s="9" t="s">
        <v>13777</v>
      </c>
      <c r="J5904" s="10" t="str">
        <f>HYPERLINK("https://www.boe.es/gazeta/dias/1834/05/02/pdfs/GMD-1834-71.pdf#page=1","Abrir facsímil")</f>
        <v>Abrir facsímil</v>
      </c>
      <c r="K5904" s="10" t="s">
        <v>24</v>
      </c>
    </row>
    <row r="5905" spans="1:11" ht="54" customHeight="1">
      <c r="A5905" s="9" t="s">
        <v>13775</v>
      </c>
      <c r="B5905" s="9" t="s">
        <v>13776</v>
      </c>
      <c r="C5905" s="9" t="s">
        <v>66</v>
      </c>
      <c r="D5905" s="9" t="s">
        <v>18</v>
      </c>
      <c r="E5905" s="10" t="s">
        <v>785</v>
      </c>
      <c r="F5905" s="9" t="s">
        <v>786</v>
      </c>
      <c r="G5905" s="10" t="s">
        <v>75</v>
      </c>
      <c r="H5905" s="9" t="s">
        <v>22</v>
      </c>
      <c r="I5905" s="9" t="s">
        <v>13778</v>
      </c>
      <c r="J5905" s="10" t="str">
        <f>HYPERLINK("https://www.boe.es/gazeta/dias/1834/02/11/pdfs/GMD-1834-19.pdf#page=4","Abrir facsímil")</f>
        <v>Abrir facsímil</v>
      </c>
      <c r="K5905" s="10" t="s">
        <v>24</v>
      </c>
    </row>
    <row r="5906" spans="1:11" ht="54" customHeight="1">
      <c r="A5906" s="9" t="s">
        <v>13775</v>
      </c>
      <c r="B5906" s="9" t="s">
        <v>13776</v>
      </c>
      <c r="C5906" s="9" t="s">
        <v>17</v>
      </c>
      <c r="D5906" s="9" t="s">
        <v>18</v>
      </c>
      <c r="E5906" s="10" t="s">
        <v>1575</v>
      </c>
      <c r="F5906" s="9" t="s">
        <v>1576</v>
      </c>
      <c r="G5906" s="10" t="s">
        <v>34</v>
      </c>
      <c r="H5906" s="9" t="s">
        <v>22</v>
      </c>
      <c r="I5906" s="9" t="s">
        <v>13779</v>
      </c>
      <c r="J5906" s="10" t="str">
        <f>HYPERLINK("https://www.boe.es/gazeta/dias/1834/11/24/pdfs/GMD-1834-283.pdf#page=1","Abrir facsímil")</f>
        <v>Abrir facsímil</v>
      </c>
      <c r="K5906" s="10" t="s">
        <v>24</v>
      </c>
    </row>
    <row r="5907" spans="1:11" ht="54" customHeight="1">
      <c r="A5907" s="9" t="s">
        <v>13780</v>
      </c>
      <c r="B5907" s="9" t="s">
        <v>13781</v>
      </c>
      <c r="C5907" s="9" t="s">
        <v>17</v>
      </c>
      <c r="D5907" s="9" t="s">
        <v>18</v>
      </c>
      <c r="E5907" s="10" t="s">
        <v>1125</v>
      </c>
      <c r="F5907" s="9" t="s">
        <v>2490</v>
      </c>
      <c r="G5907" s="10" t="s">
        <v>560</v>
      </c>
      <c r="H5907" s="9" t="s">
        <v>22</v>
      </c>
      <c r="I5907" s="9" t="s">
        <v>13782</v>
      </c>
      <c r="J5907" s="10" t="str">
        <f>HYPERLINK("https://www.boe.es/gazeta/dias/1834/04/17/pdfs/GMD-1834-56.pdf#page=7","Abrir facsímil")</f>
        <v>Abrir facsímil</v>
      </c>
      <c r="K5907" s="10" t="s">
        <v>24</v>
      </c>
    </row>
    <row r="5908" spans="1:11" ht="54" customHeight="1">
      <c r="A5908" s="9" t="s">
        <v>13783</v>
      </c>
      <c r="B5908" s="9" t="s">
        <v>13784</v>
      </c>
      <c r="C5908" s="9" t="s">
        <v>46</v>
      </c>
      <c r="D5908" s="9" t="s">
        <v>18</v>
      </c>
      <c r="E5908" s="10" t="s">
        <v>438</v>
      </c>
      <c r="F5908" s="9" t="s">
        <v>439</v>
      </c>
      <c r="G5908" s="10" t="s">
        <v>86</v>
      </c>
      <c r="H5908" s="9" t="s">
        <v>35</v>
      </c>
      <c r="I5908" s="9" t="s">
        <v>13785</v>
      </c>
      <c r="J5908" s="10" t="str">
        <f>HYPERLINK("https://www.boe.es/gazeta/dias/1834/11/09/pdfs/GMD-1834-268.pdf#page=2","Abrir facsímil")</f>
        <v>Abrir facsímil</v>
      </c>
      <c r="K5908" s="10" t="s">
        <v>37</v>
      </c>
    </row>
    <row r="5909" spans="1:11" ht="54" customHeight="1">
      <c r="A5909" s="9" t="s">
        <v>13786</v>
      </c>
      <c r="B5909" s="9" t="s">
        <v>13787</v>
      </c>
      <c r="C5909" s="9" t="s">
        <v>46</v>
      </c>
      <c r="D5909" s="9" t="s">
        <v>18</v>
      </c>
      <c r="E5909" s="10" t="s">
        <v>438</v>
      </c>
      <c r="F5909" s="9" t="s">
        <v>439</v>
      </c>
      <c r="G5909" s="10" t="s">
        <v>86</v>
      </c>
      <c r="H5909" s="9" t="s">
        <v>22</v>
      </c>
      <c r="I5909" s="9" t="s">
        <v>13788</v>
      </c>
      <c r="J5909" s="10" t="str">
        <f>HYPERLINK("https://www.boe.es/gazeta/dias/1834/11/09/pdfs/GMD-1834-268.pdf#page=2","Abrir facsímil")</f>
        <v>Abrir facsímil</v>
      </c>
      <c r="K5909" s="10" t="s">
        <v>24</v>
      </c>
    </row>
    <row r="5910" spans="1:11" ht="54" customHeight="1">
      <c r="A5910" s="9" t="s">
        <v>13789</v>
      </c>
      <c r="B5910" s="9" t="s">
        <v>13790</v>
      </c>
      <c r="C5910" s="9" t="s">
        <v>17</v>
      </c>
      <c r="D5910" s="9" t="s">
        <v>101</v>
      </c>
      <c r="E5910" s="10" t="s">
        <v>2037</v>
      </c>
      <c r="F5910" s="9" t="s">
        <v>2038</v>
      </c>
      <c r="G5910" s="10" t="s">
        <v>34</v>
      </c>
      <c r="H5910" s="9" t="s">
        <v>35</v>
      </c>
      <c r="I5910" s="9" t="s">
        <v>13791</v>
      </c>
      <c r="J5910" s="10" t="str">
        <f>HYPERLINK("https://www.boe.es/gazeta/dias/1834/12/01/pdfs/I01208-01208.pdf#page=1","Abrir facsímil")</f>
        <v>Abrir facsímil</v>
      </c>
      <c r="K5910" s="10" t="s">
        <v>37</v>
      </c>
    </row>
    <row r="5911" spans="1:11" ht="54" customHeight="1">
      <c r="A5911" s="9" t="s">
        <v>13789</v>
      </c>
      <c r="B5911" s="9" t="s">
        <v>13790</v>
      </c>
      <c r="C5911" s="9" t="s">
        <v>17</v>
      </c>
      <c r="D5911" s="9" t="s">
        <v>101</v>
      </c>
      <c r="E5911" s="10" t="s">
        <v>2037</v>
      </c>
      <c r="F5911" s="9" t="s">
        <v>2038</v>
      </c>
      <c r="G5911" s="10" t="s">
        <v>75</v>
      </c>
      <c r="H5911" s="9" t="s">
        <v>35</v>
      </c>
      <c r="I5911" s="9" t="s">
        <v>13791</v>
      </c>
      <c r="J5911" s="10" t="str">
        <f>HYPERLINK("https://www.boe.es/gazeta/dias/1834/12/01/pdfs/GMD-1834-290.pdf#page=4","Abrir facsímil")</f>
        <v>Abrir facsímil</v>
      </c>
      <c r="K5911" s="10" t="s">
        <v>37</v>
      </c>
    </row>
    <row r="5912" spans="1:11" ht="54" customHeight="1">
      <c r="A5912" s="9" t="s">
        <v>13789</v>
      </c>
      <c r="B5912" s="9" t="s">
        <v>13790</v>
      </c>
      <c r="C5912" s="9" t="s">
        <v>17</v>
      </c>
      <c r="D5912" s="9" t="s">
        <v>18</v>
      </c>
      <c r="E5912" s="10" t="s">
        <v>928</v>
      </c>
      <c r="F5912" s="9" t="s">
        <v>3338</v>
      </c>
      <c r="G5912" s="10" t="s">
        <v>34</v>
      </c>
      <c r="H5912" s="9" t="s">
        <v>35</v>
      </c>
      <c r="I5912" s="9" t="s">
        <v>13792</v>
      </c>
      <c r="J5912" s="10" t="str">
        <f>HYPERLINK("https://www.boe.es/gazeta/dias/1834/11/15/pdfs/GMD-1834-274.pdf#page=1","Abrir facsímil")</f>
        <v>Abrir facsímil</v>
      </c>
      <c r="K5912" s="10" t="s">
        <v>37</v>
      </c>
    </row>
    <row r="5913" spans="1:11" ht="54" customHeight="1">
      <c r="A5913" s="9" t="s">
        <v>13793</v>
      </c>
      <c r="B5913" s="9" t="s">
        <v>13794</v>
      </c>
      <c r="C5913" s="9" t="s">
        <v>66</v>
      </c>
      <c r="D5913" s="9" t="s">
        <v>67</v>
      </c>
      <c r="E5913" s="10" t="s">
        <v>2218</v>
      </c>
      <c r="F5913" s="9" t="s">
        <v>2219</v>
      </c>
      <c r="G5913" s="10" t="s">
        <v>21</v>
      </c>
      <c r="H5913" s="9" t="s">
        <v>22</v>
      </c>
      <c r="I5913" s="9" t="s">
        <v>13795</v>
      </c>
      <c r="J5913" s="10" t="str">
        <f>HYPERLINK("https://www.boe.es/gazeta/dias/1834/11/05/pdfs/GMD-1834-264.pdf#page=3","Abrir facsímil")</f>
        <v>Abrir facsímil</v>
      </c>
      <c r="K5913" s="10" t="s">
        <v>24</v>
      </c>
    </row>
    <row r="5914" spans="1:11" ht="54" customHeight="1">
      <c r="A5914" s="9" t="s">
        <v>13793</v>
      </c>
      <c r="B5914" s="9" t="s">
        <v>13794</v>
      </c>
      <c r="C5914" s="9" t="s">
        <v>17</v>
      </c>
      <c r="D5914" s="9" t="s">
        <v>18</v>
      </c>
      <c r="E5914" s="10" t="s">
        <v>1265</v>
      </c>
      <c r="F5914" s="9" t="s">
        <v>1266</v>
      </c>
      <c r="G5914" s="10" t="s">
        <v>34</v>
      </c>
      <c r="H5914" s="9" t="s">
        <v>22</v>
      </c>
      <c r="I5914" s="9" t="s">
        <v>13796</v>
      </c>
      <c r="J5914" s="10" t="str">
        <f>HYPERLINK("https://www.boe.es/gazeta/dias/1834/09/08/pdfs/GMD-1834-206.pdf#page=1","Abrir facsímil")</f>
        <v>Abrir facsímil</v>
      </c>
      <c r="K5914" s="10" t="s">
        <v>24</v>
      </c>
    </row>
    <row r="5915" spans="1:11" ht="54" customHeight="1">
      <c r="A5915" s="9" t="s">
        <v>13797</v>
      </c>
      <c r="B5915" s="9" t="s">
        <v>13798</v>
      </c>
      <c r="C5915" s="9" t="s">
        <v>17</v>
      </c>
      <c r="D5915" s="9" t="s">
        <v>101</v>
      </c>
      <c r="E5915" s="10" t="s">
        <v>2037</v>
      </c>
      <c r="F5915" s="9" t="s">
        <v>2038</v>
      </c>
      <c r="G5915" s="10" t="s">
        <v>34</v>
      </c>
      <c r="H5915" s="9" t="s">
        <v>22</v>
      </c>
      <c r="I5915" s="9" t="s">
        <v>13799</v>
      </c>
      <c r="J5915" s="10" t="str">
        <f>HYPERLINK("https://www.boe.es/gazeta/dias/1834/12/01/pdfs/I01208-01208.pdf#page=1","Abrir facsímil")</f>
        <v>Abrir facsímil</v>
      </c>
      <c r="K5915" s="10" t="s">
        <v>24</v>
      </c>
    </row>
    <row r="5916" spans="1:11" ht="54" customHeight="1">
      <c r="A5916" s="9" t="s">
        <v>13797</v>
      </c>
      <c r="B5916" s="9" t="s">
        <v>13798</v>
      </c>
      <c r="C5916" s="9" t="s">
        <v>17</v>
      </c>
      <c r="D5916" s="9" t="s">
        <v>101</v>
      </c>
      <c r="E5916" s="10" t="s">
        <v>2037</v>
      </c>
      <c r="F5916" s="9" t="s">
        <v>2038</v>
      </c>
      <c r="G5916" s="10" t="s">
        <v>75</v>
      </c>
      <c r="H5916" s="9" t="s">
        <v>22</v>
      </c>
      <c r="I5916" s="9" t="s">
        <v>13799</v>
      </c>
      <c r="J5916" s="10" t="str">
        <f>HYPERLINK("https://www.boe.es/gazeta/dias/1834/12/01/pdfs/GMD-1834-290.pdf#page=4","Abrir facsímil")</f>
        <v>Abrir facsímil</v>
      </c>
      <c r="K5916" s="10" t="s">
        <v>24</v>
      </c>
    </row>
    <row r="5917" spans="1:11" ht="54" customHeight="1">
      <c r="A5917" s="9" t="s">
        <v>13797</v>
      </c>
      <c r="B5917" s="9" t="s">
        <v>13798</v>
      </c>
      <c r="C5917" s="9" t="s">
        <v>17</v>
      </c>
      <c r="D5917" s="9" t="s">
        <v>18</v>
      </c>
      <c r="E5917" s="10" t="s">
        <v>928</v>
      </c>
      <c r="F5917" s="9" t="s">
        <v>3338</v>
      </c>
      <c r="G5917" s="10" t="s">
        <v>34</v>
      </c>
      <c r="H5917" s="9" t="s">
        <v>22</v>
      </c>
      <c r="I5917" s="9" t="s">
        <v>13800</v>
      </c>
      <c r="J5917" s="10" t="str">
        <f>HYPERLINK("https://www.boe.es/gazeta/dias/1834/11/15/pdfs/GMD-1834-274.pdf#page=1","Abrir facsímil")</f>
        <v>Abrir facsímil</v>
      </c>
      <c r="K5917" s="10" t="s">
        <v>24</v>
      </c>
    </row>
    <row r="5918" spans="1:11" ht="54" customHeight="1">
      <c r="A5918" s="9" t="s">
        <v>13801</v>
      </c>
      <c r="B5918" s="9" t="s">
        <v>13802</v>
      </c>
      <c r="C5918" s="9" t="s">
        <v>17</v>
      </c>
      <c r="D5918" s="9" t="s">
        <v>18</v>
      </c>
      <c r="E5918" s="10" t="s">
        <v>905</v>
      </c>
      <c r="F5918" s="9" t="s">
        <v>1651</v>
      </c>
      <c r="G5918" s="10" t="s">
        <v>21</v>
      </c>
      <c r="H5918" s="9" t="s">
        <v>22</v>
      </c>
      <c r="I5918" s="9" t="s">
        <v>13803</v>
      </c>
      <c r="J5918" s="10" t="str">
        <f>HYPERLINK("https://www.boe.es/gazeta/dias/1834/08/02/pdfs/GMD-1834-166.pdf#page=3","Abrir facsímil")</f>
        <v>Abrir facsímil</v>
      </c>
      <c r="K5918" s="10" t="s">
        <v>24</v>
      </c>
    </row>
    <row r="5919" spans="1:11" ht="54" customHeight="1">
      <c r="A5919" s="9" t="s">
        <v>13804</v>
      </c>
      <c r="B5919" s="9" t="s">
        <v>13804</v>
      </c>
      <c r="C5919" s="9" t="s">
        <v>17</v>
      </c>
      <c r="D5919" s="9" t="s">
        <v>18</v>
      </c>
      <c r="E5919" s="10" t="s">
        <v>2241</v>
      </c>
      <c r="F5919" s="9" t="s">
        <v>2242</v>
      </c>
      <c r="G5919" s="10" t="s">
        <v>86</v>
      </c>
      <c r="H5919" s="9" t="s">
        <v>22</v>
      </c>
      <c r="I5919" s="9" t="s">
        <v>13805</v>
      </c>
      <c r="J5919" s="10" t="str">
        <f>HYPERLINK("https://www.boe.es/gazeta/dias/1834/03/11/pdfs/GMD-1834-31.pdf#page=2","Abrir facsímil")</f>
        <v>Abrir facsímil</v>
      </c>
      <c r="K5919" s="10" t="s">
        <v>24</v>
      </c>
    </row>
    <row r="5920" spans="1:11" ht="54" customHeight="1">
      <c r="A5920" s="9" t="s">
        <v>13806</v>
      </c>
      <c r="B5920" s="9" t="s">
        <v>13807</v>
      </c>
      <c r="C5920" s="9" t="s">
        <v>66</v>
      </c>
      <c r="D5920" s="9" t="s">
        <v>67</v>
      </c>
      <c r="E5920" s="10" t="s">
        <v>808</v>
      </c>
      <c r="F5920" s="9" t="s">
        <v>809</v>
      </c>
      <c r="G5920" s="10" t="s">
        <v>21</v>
      </c>
      <c r="H5920" s="9" t="s">
        <v>22</v>
      </c>
      <c r="I5920" s="9" t="s">
        <v>13808</v>
      </c>
      <c r="J5920" s="10" t="str">
        <f>HYPERLINK("https://www.boe.es/gazeta/dias/1834/10/11/pdfs/GMD-1834-239.pdf#page=3","Abrir facsímil")</f>
        <v>Abrir facsímil</v>
      </c>
      <c r="K5920" s="10" t="s">
        <v>24</v>
      </c>
    </row>
    <row r="5921" spans="1:11" ht="54" customHeight="1">
      <c r="A5921" s="9" t="s">
        <v>13809</v>
      </c>
      <c r="B5921" s="9" t="s">
        <v>13809</v>
      </c>
      <c r="C5921" s="9" t="s">
        <v>46</v>
      </c>
      <c r="D5921" s="9" t="s">
        <v>101</v>
      </c>
      <c r="E5921" s="10" t="s">
        <v>163</v>
      </c>
      <c r="F5921" s="9" t="s">
        <v>4896</v>
      </c>
      <c r="G5921" s="10" t="s">
        <v>86</v>
      </c>
      <c r="H5921" s="9" t="s">
        <v>22</v>
      </c>
      <c r="I5921" s="9" t="s">
        <v>13810</v>
      </c>
      <c r="J5921" s="10" t="str">
        <f>HYPERLINK("https://www.boe.es/gazeta/dias/1834/08/09/pdfs/GMD-C-1834-174.pdf#page=2","Abrir facsímil")</f>
        <v>Abrir facsímil</v>
      </c>
      <c r="K5921" s="10" t="s">
        <v>24</v>
      </c>
    </row>
    <row r="5922" spans="1:11" ht="54" customHeight="1">
      <c r="A5922" s="9" t="s">
        <v>13811</v>
      </c>
      <c r="B5922" s="9" t="s">
        <v>13812</v>
      </c>
      <c r="C5922" s="9" t="s">
        <v>46</v>
      </c>
      <c r="D5922" s="9" t="s">
        <v>101</v>
      </c>
      <c r="E5922" s="10" t="s">
        <v>3066</v>
      </c>
      <c r="F5922" s="9" t="s">
        <v>3188</v>
      </c>
      <c r="G5922" s="10" t="s">
        <v>86</v>
      </c>
      <c r="H5922" s="9" t="s">
        <v>22</v>
      </c>
      <c r="I5922" s="9" t="s">
        <v>13813</v>
      </c>
      <c r="J5922" s="10" t="str">
        <f>HYPERLINK("https://www.boe.es/gazeta/dias/1834/08/03/pdfs/I00721-00722.pdf#page=2","Abrir facsímil")</f>
        <v>Abrir facsímil</v>
      </c>
      <c r="K5922" s="10" t="s">
        <v>24</v>
      </c>
    </row>
    <row r="5923" spans="1:11" ht="54" customHeight="1">
      <c r="A5923" s="9" t="s">
        <v>13811</v>
      </c>
      <c r="B5923" s="9" t="s">
        <v>13812</v>
      </c>
      <c r="C5923" s="9" t="s">
        <v>46</v>
      </c>
      <c r="D5923" s="9" t="s">
        <v>101</v>
      </c>
      <c r="E5923" s="10" t="s">
        <v>3066</v>
      </c>
      <c r="F5923" s="9" t="s">
        <v>3188</v>
      </c>
      <c r="G5923" s="10" t="s">
        <v>75</v>
      </c>
      <c r="H5923" s="9" t="s">
        <v>22</v>
      </c>
      <c r="I5923" s="9" t="s">
        <v>13813</v>
      </c>
      <c r="J5923" s="10" t="str">
        <f>HYPERLINK("https://www.boe.es/gazeta/dias/1834/08/03/pdfs/GMD-1834-167.pdf#page=4","Abrir facsímil")</f>
        <v>Abrir facsímil</v>
      </c>
      <c r="K5923" s="10" t="s">
        <v>24</v>
      </c>
    </row>
    <row r="5924" spans="1:11" ht="54" customHeight="1">
      <c r="A5924" s="9" t="s">
        <v>13814</v>
      </c>
      <c r="B5924" s="9" t="s">
        <v>13815</v>
      </c>
      <c r="C5924" s="9" t="s">
        <v>17</v>
      </c>
      <c r="D5924" s="9" t="s">
        <v>101</v>
      </c>
      <c r="E5924" s="10" t="s">
        <v>863</v>
      </c>
      <c r="F5924" s="9" t="s">
        <v>864</v>
      </c>
      <c r="G5924" s="10" t="s">
        <v>75</v>
      </c>
      <c r="H5924" s="9" t="s">
        <v>22</v>
      </c>
      <c r="I5924" s="9" t="s">
        <v>13816</v>
      </c>
      <c r="J5924" s="10" t="str">
        <f>HYPERLINK("https://www.boe.es/gazeta/dias/1834/09/15/pdfs/GMD-1834-213.pdf#page=4","Abrir facsímil")</f>
        <v>Abrir facsímil</v>
      </c>
      <c r="K5924" s="10" t="s">
        <v>24</v>
      </c>
    </row>
    <row r="5925" spans="1:11" ht="54" customHeight="1">
      <c r="A5925" s="9" t="s">
        <v>13817</v>
      </c>
      <c r="B5925" s="9" t="s">
        <v>13818</v>
      </c>
      <c r="C5925" s="9" t="s">
        <v>17</v>
      </c>
      <c r="D5925" s="9" t="s">
        <v>18</v>
      </c>
      <c r="E5925" s="10" t="s">
        <v>3952</v>
      </c>
      <c r="F5925" s="9" t="s">
        <v>3953</v>
      </c>
      <c r="G5925" s="10" t="s">
        <v>34</v>
      </c>
      <c r="H5925" s="9" t="s">
        <v>22</v>
      </c>
      <c r="I5925" s="9" t="s">
        <v>13819</v>
      </c>
      <c r="J5925" s="10" t="str">
        <f>HYPERLINK("https://www.boe.es/gazeta/dias/1834/02/22/pdfs/GMD-1834-24.pdf#page=1","Abrir facsímil")</f>
        <v>Abrir facsímil</v>
      </c>
      <c r="K5925" s="10" t="s">
        <v>24</v>
      </c>
    </row>
    <row r="5926" spans="1:11" ht="54" customHeight="1">
      <c r="A5926" s="9" t="s">
        <v>13820</v>
      </c>
      <c r="B5926" s="9" t="s">
        <v>13821</v>
      </c>
      <c r="C5926" s="9" t="s">
        <v>122</v>
      </c>
      <c r="D5926" s="9" t="s">
        <v>18</v>
      </c>
      <c r="E5926" s="10" t="s">
        <v>4637</v>
      </c>
      <c r="F5926" s="9" t="s">
        <v>4638</v>
      </c>
      <c r="G5926" s="10" t="s">
        <v>21</v>
      </c>
      <c r="H5926" s="9" t="s">
        <v>22</v>
      </c>
      <c r="I5926" s="9" t="s">
        <v>13822</v>
      </c>
      <c r="J5926" s="10" t="str">
        <f>HYPERLINK("https://www.boe.es/gazeta/dias/1834/12/08/pdfs/GMD-1834-297.pdf#page=3","Abrir facsímil")</f>
        <v>Abrir facsímil</v>
      </c>
      <c r="K5926" s="10" t="s">
        <v>24</v>
      </c>
    </row>
    <row r="5927" spans="1:11" ht="54" customHeight="1">
      <c r="A5927" s="9" t="s">
        <v>13823</v>
      </c>
      <c r="B5927" s="9" t="s">
        <v>13824</v>
      </c>
      <c r="C5927" s="9" t="s">
        <v>17</v>
      </c>
      <c r="D5927" s="9" t="s">
        <v>40</v>
      </c>
      <c r="E5927" s="10" t="s">
        <v>1918</v>
      </c>
      <c r="F5927" s="9" t="s">
        <v>2024</v>
      </c>
      <c r="G5927" s="10" t="s">
        <v>34</v>
      </c>
      <c r="H5927" s="9" t="s">
        <v>22</v>
      </c>
      <c r="I5927" s="9" t="s">
        <v>13825</v>
      </c>
      <c r="J5927" s="10" t="str">
        <f>HYPERLINK("https://www.boe.es/gazeta/dias/1834/03/22/pdfs/GMD-C-1834-36.pdf#page=1","Abrir facsímil")</f>
        <v>Abrir facsímil</v>
      </c>
      <c r="K5927" s="10" t="s">
        <v>24</v>
      </c>
    </row>
    <row r="5928" spans="1:11" ht="54" customHeight="1">
      <c r="A5928" s="9" t="s">
        <v>13826</v>
      </c>
      <c r="B5928" s="9" t="s">
        <v>13827</v>
      </c>
      <c r="C5928" s="9" t="s">
        <v>17</v>
      </c>
      <c r="D5928" s="9" t="s">
        <v>18</v>
      </c>
      <c r="E5928" s="10" t="s">
        <v>976</v>
      </c>
      <c r="F5928" s="9" t="s">
        <v>1061</v>
      </c>
      <c r="G5928" s="10" t="s">
        <v>34</v>
      </c>
      <c r="H5928" s="9" t="s">
        <v>22</v>
      </c>
      <c r="I5928" s="9" t="s">
        <v>13828</v>
      </c>
      <c r="J5928" s="10" t="str">
        <f>HYPERLINK("https://www.boe.es/gazeta/dias/1834/04/02/pdfs/GMD-C-1834-41.pdf#page=1","Abrir facsímil")</f>
        <v>Abrir facsímil</v>
      </c>
      <c r="K5928" s="10" t="s">
        <v>24</v>
      </c>
    </row>
    <row r="5929" spans="1:11" ht="54" customHeight="1">
      <c r="A5929" s="9" t="s">
        <v>13826</v>
      </c>
      <c r="B5929" s="9" t="s">
        <v>13827</v>
      </c>
      <c r="C5929" s="9" t="s">
        <v>17</v>
      </c>
      <c r="D5929" s="9" t="s">
        <v>18</v>
      </c>
      <c r="E5929" s="10" t="s">
        <v>1572</v>
      </c>
      <c r="F5929" s="9" t="s">
        <v>1573</v>
      </c>
      <c r="G5929" s="10" t="s">
        <v>34</v>
      </c>
      <c r="H5929" s="9" t="s">
        <v>22</v>
      </c>
      <c r="I5929" s="9" t="s">
        <v>13829</v>
      </c>
      <c r="J5929" s="10" t="str">
        <f>HYPERLINK("https://www.boe.es/gazeta/dias/1834/03/20/pdfs/GMD-1834-35.pdf#page=1","Abrir facsímil")</f>
        <v>Abrir facsímil</v>
      </c>
      <c r="K5929" s="10" t="s">
        <v>24</v>
      </c>
    </row>
    <row r="5930" spans="1:11" ht="54" customHeight="1">
      <c r="A5930" s="9" t="s">
        <v>13830</v>
      </c>
      <c r="B5930" s="9" t="s">
        <v>13831</v>
      </c>
      <c r="C5930" s="9" t="s">
        <v>17</v>
      </c>
      <c r="D5930" s="9" t="s">
        <v>18</v>
      </c>
      <c r="E5930" s="10" t="s">
        <v>777</v>
      </c>
      <c r="F5930" s="9" t="s">
        <v>2535</v>
      </c>
      <c r="G5930" s="10" t="s">
        <v>86</v>
      </c>
      <c r="H5930" s="9" t="s">
        <v>22</v>
      </c>
      <c r="I5930" s="9" t="s">
        <v>13832</v>
      </c>
      <c r="J5930" s="10" t="str">
        <f>HYPERLINK("https://www.boe.es/gazeta/dias/1834/10/29/pdfs/GMD-C-1834-257.pdf#page=2","Abrir facsímil")</f>
        <v>Abrir facsímil</v>
      </c>
      <c r="K5930" s="10" t="s">
        <v>24</v>
      </c>
    </row>
    <row r="5931" spans="1:11" ht="54" customHeight="1">
      <c r="A5931" s="9" t="s">
        <v>13833</v>
      </c>
      <c r="B5931" s="9" t="s">
        <v>13834</v>
      </c>
      <c r="C5931" s="9" t="s">
        <v>17</v>
      </c>
      <c r="D5931" s="9" t="s">
        <v>18</v>
      </c>
      <c r="E5931" s="10" t="s">
        <v>280</v>
      </c>
      <c r="F5931" s="9" t="s">
        <v>3217</v>
      </c>
      <c r="G5931" s="10" t="s">
        <v>34</v>
      </c>
      <c r="H5931" s="9" t="s">
        <v>22</v>
      </c>
      <c r="I5931" s="9" t="s">
        <v>13835</v>
      </c>
      <c r="J5931" s="10" t="str">
        <f>HYPERLINK("https://www.boe.es/gazeta/dias/1834/08/29/pdfs/GMD-1834-195.pdf#page=1","Abrir facsímil")</f>
        <v>Abrir facsímil</v>
      </c>
      <c r="K5931" s="10" t="s">
        <v>24</v>
      </c>
    </row>
    <row r="5932" spans="1:11" ht="54" customHeight="1">
      <c r="A5932" s="9" t="s">
        <v>13836</v>
      </c>
      <c r="B5932" s="9" t="s">
        <v>13836</v>
      </c>
      <c r="C5932" s="9" t="s">
        <v>17</v>
      </c>
      <c r="D5932" s="9" t="s">
        <v>18</v>
      </c>
      <c r="E5932" s="10" t="s">
        <v>1351</v>
      </c>
      <c r="F5932" s="9" t="s">
        <v>1352</v>
      </c>
      <c r="G5932" s="10" t="s">
        <v>176</v>
      </c>
      <c r="H5932" s="9" t="s">
        <v>22</v>
      </c>
      <c r="I5932" s="9" t="s">
        <v>13837</v>
      </c>
      <c r="J5932" s="10" t="str">
        <f>HYPERLINK("https://www.boe.es/gazeta/dias/1834/07/05/pdfs/GMD-1834-138.pdf#page=6","Abrir facsímil")</f>
        <v>Abrir facsímil</v>
      </c>
      <c r="K5932" s="10" t="s">
        <v>24</v>
      </c>
    </row>
    <row r="5933" spans="1:11" ht="54" customHeight="1">
      <c r="A5933" s="9" t="s">
        <v>13838</v>
      </c>
      <c r="B5933" s="9" t="s">
        <v>13839</v>
      </c>
      <c r="C5933" s="9" t="s">
        <v>17</v>
      </c>
      <c r="D5933" s="9" t="s">
        <v>18</v>
      </c>
      <c r="E5933" s="10" t="s">
        <v>510</v>
      </c>
      <c r="F5933" s="9" t="s">
        <v>531</v>
      </c>
      <c r="G5933" s="10" t="s">
        <v>75</v>
      </c>
      <c r="H5933" s="9" t="s">
        <v>22</v>
      </c>
      <c r="I5933" s="9" t="s">
        <v>13840</v>
      </c>
      <c r="J5933" s="10" t="str">
        <f>HYPERLINK("https://www.boe.es/gazeta/dias/1834/11/26/pdfs/GMD-C-1834-285.pdf#page=4","Abrir facsímil")</f>
        <v>Abrir facsímil</v>
      </c>
      <c r="K5933" s="10" t="s">
        <v>24</v>
      </c>
    </row>
    <row r="5934" spans="1:11" ht="54" customHeight="1">
      <c r="A5934" s="9" t="s">
        <v>13841</v>
      </c>
      <c r="B5934" s="9" t="s">
        <v>13842</v>
      </c>
      <c r="C5934" s="9" t="s">
        <v>17</v>
      </c>
      <c r="D5934" s="9" t="s">
        <v>18</v>
      </c>
      <c r="E5934" s="10" t="s">
        <v>715</v>
      </c>
      <c r="F5934" s="9" t="s">
        <v>716</v>
      </c>
      <c r="G5934" s="10" t="s">
        <v>34</v>
      </c>
      <c r="H5934" s="9" t="s">
        <v>22</v>
      </c>
      <c r="I5934" s="9" t="s">
        <v>13843</v>
      </c>
      <c r="J5934" s="10" t="str">
        <f>HYPERLINK("https://www.boe.es/gazeta/dias/1834/09/17/pdfs/GMD-C-1834-215.pdf#page=1","Abrir facsímil")</f>
        <v>Abrir facsímil</v>
      </c>
      <c r="K5934" s="10" t="s">
        <v>24</v>
      </c>
    </row>
    <row r="5935" spans="1:11" ht="54" customHeight="1">
      <c r="A5935" s="9" t="s">
        <v>13844</v>
      </c>
      <c r="B5935" s="9" t="s">
        <v>13844</v>
      </c>
      <c r="C5935" s="9" t="s">
        <v>17</v>
      </c>
      <c r="D5935" s="9" t="s">
        <v>18</v>
      </c>
      <c r="E5935" s="10" t="s">
        <v>299</v>
      </c>
      <c r="F5935" s="9" t="s">
        <v>300</v>
      </c>
      <c r="G5935" s="10" t="s">
        <v>34</v>
      </c>
      <c r="H5935" s="9" t="s">
        <v>22</v>
      </c>
      <c r="I5935" s="9" t="s">
        <v>13845</v>
      </c>
      <c r="J5935" s="10" t="str">
        <f>HYPERLINK("https://www.boe.es/gazeta/dias/1834/12/12/pdfs/GMD-1834-301.pdf#page=1","Abrir facsímil")</f>
        <v>Abrir facsímil</v>
      </c>
      <c r="K5935" s="10" t="s">
        <v>24</v>
      </c>
    </row>
    <row r="5936" spans="1:11" ht="54" customHeight="1">
      <c r="A5936" s="9" t="s">
        <v>13846</v>
      </c>
      <c r="B5936" s="9" t="s">
        <v>13847</v>
      </c>
      <c r="C5936" s="9" t="s">
        <v>17</v>
      </c>
      <c r="D5936" s="9" t="s">
        <v>18</v>
      </c>
      <c r="E5936" s="10" t="s">
        <v>1084</v>
      </c>
      <c r="F5936" s="9" t="s">
        <v>1085</v>
      </c>
      <c r="G5936" s="10" t="s">
        <v>28</v>
      </c>
      <c r="H5936" s="9" t="s">
        <v>22</v>
      </c>
      <c r="I5936" s="9" t="s">
        <v>13848</v>
      </c>
      <c r="J5936" s="10" t="str">
        <f>HYPERLINK("https://www.boe.es/gazeta/dias/1834/05/01/pdfs/GMD-1834-70.pdf#page=5","Abrir facsímil")</f>
        <v>Abrir facsímil</v>
      </c>
      <c r="K5936" s="10" t="s">
        <v>24</v>
      </c>
    </row>
    <row r="5937" spans="1:11" ht="54" customHeight="1">
      <c r="A5937" s="9" t="s">
        <v>13849</v>
      </c>
      <c r="B5937" s="9" t="s">
        <v>13849</v>
      </c>
      <c r="C5937" s="9" t="s">
        <v>46</v>
      </c>
      <c r="D5937" s="9" t="s">
        <v>18</v>
      </c>
      <c r="E5937" s="10" t="s">
        <v>2203</v>
      </c>
      <c r="F5937" s="9" t="s">
        <v>3917</v>
      </c>
      <c r="G5937" s="10" t="s">
        <v>75</v>
      </c>
      <c r="H5937" s="9" t="s">
        <v>22</v>
      </c>
      <c r="I5937" s="9" t="s">
        <v>13850</v>
      </c>
      <c r="J5937" s="10" t="str">
        <f>HYPERLINK("https://www.boe.es/gazeta/dias/1834/09/10/pdfs/GMD-1834-208.pdf#page=4","Abrir facsímil")</f>
        <v>Abrir facsímil</v>
      </c>
      <c r="K5937" s="10" t="s">
        <v>24</v>
      </c>
    </row>
    <row r="5938" spans="1:11" ht="54" customHeight="1">
      <c r="A5938" s="9" t="s">
        <v>13851</v>
      </c>
      <c r="B5938" s="9" t="s">
        <v>13852</v>
      </c>
      <c r="C5938" s="9" t="s">
        <v>90</v>
      </c>
      <c r="D5938" s="9" t="s">
        <v>67</v>
      </c>
      <c r="E5938" s="10" t="s">
        <v>637</v>
      </c>
      <c r="F5938" s="9" t="s">
        <v>638</v>
      </c>
      <c r="G5938" s="10" t="s">
        <v>34</v>
      </c>
      <c r="H5938" s="9" t="s">
        <v>22</v>
      </c>
      <c r="I5938" s="9" t="s">
        <v>13853</v>
      </c>
      <c r="J5938" s="10" t="str">
        <f>HYPERLINK("https://www.boe.es/gazeta/dias/1834/06/03/pdfs/I00469-00470.pdf#page=1","Abrir facsímil")</f>
        <v>Abrir facsímil</v>
      </c>
      <c r="K5938" s="10" t="s">
        <v>24</v>
      </c>
    </row>
    <row r="5939" spans="1:11" ht="54" customHeight="1">
      <c r="A5939" s="9" t="s">
        <v>13851</v>
      </c>
      <c r="B5939" s="9" t="s">
        <v>13852</v>
      </c>
      <c r="C5939" s="9" t="s">
        <v>90</v>
      </c>
      <c r="D5939" s="9" t="s">
        <v>67</v>
      </c>
      <c r="E5939" s="10" t="s">
        <v>637</v>
      </c>
      <c r="F5939" s="9" t="s">
        <v>638</v>
      </c>
      <c r="G5939" s="10" t="s">
        <v>21</v>
      </c>
      <c r="H5939" s="9" t="s">
        <v>22</v>
      </c>
      <c r="I5939" s="9" t="s">
        <v>13853</v>
      </c>
      <c r="J5939" s="10" t="str">
        <f>HYPERLINK("https://www.boe.es/gazeta/dias/1834/06/03/pdfs/GMD-1834-105.pdf#page=3","Abrir facsímil")</f>
        <v>Abrir facsímil</v>
      </c>
      <c r="K5939" s="10" t="s">
        <v>24</v>
      </c>
    </row>
    <row r="5940" spans="1:11" ht="54" customHeight="1">
      <c r="A5940" s="9" t="s">
        <v>13854</v>
      </c>
      <c r="B5940" s="9" t="s">
        <v>13855</v>
      </c>
      <c r="C5940" s="9" t="s">
        <v>46</v>
      </c>
      <c r="D5940" s="9" t="s">
        <v>101</v>
      </c>
      <c r="E5940" s="10" t="s">
        <v>4064</v>
      </c>
      <c r="F5940" s="9" t="s">
        <v>4065</v>
      </c>
      <c r="G5940" s="10" t="s">
        <v>21</v>
      </c>
      <c r="H5940" s="9" t="s">
        <v>22</v>
      </c>
      <c r="I5940" s="9" t="s">
        <v>13856</v>
      </c>
      <c r="J5940" s="10" t="str">
        <f>HYPERLINK("https://www.boe.es/gazeta/dias/1834/07/22/pdfs/GMD-1834-155.pdf#page=3","Abrir facsímil")</f>
        <v>Abrir facsímil</v>
      </c>
      <c r="K5940" s="10" t="s">
        <v>24</v>
      </c>
    </row>
    <row r="5941" spans="1:11" ht="54" customHeight="1">
      <c r="A5941" s="9" t="s">
        <v>13857</v>
      </c>
      <c r="B5941" s="9" t="s">
        <v>13858</v>
      </c>
      <c r="C5941" s="9" t="s">
        <v>90</v>
      </c>
      <c r="D5941" s="9" t="s">
        <v>18</v>
      </c>
      <c r="E5941" s="10" t="s">
        <v>803</v>
      </c>
      <c r="F5941" s="9" t="s">
        <v>804</v>
      </c>
      <c r="G5941" s="10" t="s">
        <v>21</v>
      </c>
      <c r="H5941" s="9" t="s">
        <v>22</v>
      </c>
      <c r="I5941" s="9" t="s">
        <v>13859</v>
      </c>
      <c r="J5941" s="10" t="str">
        <f>HYPERLINK("https://www.boe.es/gazeta/dias/1834/03/29/pdfs/GMD-1834-39.pdf#page=3","Abrir facsímil")</f>
        <v>Abrir facsímil</v>
      </c>
      <c r="K5941" s="10" t="s">
        <v>24</v>
      </c>
    </row>
    <row r="5942" spans="1:11" ht="54" customHeight="1">
      <c r="A5942" s="9" t="s">
        <v>13860</v>
      </c>
      <c r="B5942" s="9" t="s">
        <v>13861</v>
      </c>
      <c r="C5942" s="9" t="s">
        <v>46</v>
      </c>
      <c r="D5942" s="9" t="s">
        <v>101</v>
      </c>
      <c r="E5942" s="10" t="s">
        <v>330</v>
      </c>
      <c r="F5942" s="9" t="s">
        <v>331</v>
      </c>
      <c r="G5942" s="10" t="s">
        <v>21</v>
      </c>
      <c r="H5942" s="9" t="s">
        <v>22</v>
      </c>
      <c r="I5942" s="9" t="s">
        <v>13862</v>
      </c>
      <c r="J5942" s="10" t="str">
        <f>HYPERLINK("https://www.boe.es/gazeta/dias/1834/12/03/pdfs/GMD-1834-292.pdf#page=3","Abrir facsímil")</f>
        <v>Abrir facsímil</v>
      </c>
      <c r="K5942" s="10" t="s">
        <v>24</v>
      </c>
    </row>
    <row r="5943" spans="1:11" ht="54" customHeight="1">
      <c r="A5943" s="9" t="s">
        <v>13863</v>
      </c>
      <c r="B5943" s="9" t="s">
        <v>13864</v>
      </c>
      <c r="C5943" s="9" t="s">
        <v>17</v>
      </c>
      <c r="D5943" s="9" t="s">
        <v>18</v>
      </c>
      <c r="E5943" s="10" t="s">
        <v>2142</v>
      </c>
      <c r="F5943" s="9" t="s">
        <v>2316</v>
      </c>
      <c r="G5943" s="10" t="s">
        <v>86</v>
      </c>
      <c r="H5943" s="9" t="s">
        <v>22</v>
      </c>
      <c r="I5943" s="9" t="s">
        <v>13865</v>
      </c>
      <c r="J5943" s="10" t="str">
        <f>HYPERLINK("https://www.boe.es/gazeta/dias/1834/12/27/pdfs/GMD-C-1834-317.pdf#page=2","Abrir facsímil")</f>
        <v>Abrir facsímil</v>
      </c>
      <c r="K5943" s="10" t="s">
        <v>24</v>
      </c>
    </row>
    <row r="5944" spans="1:11" ht="54" customHeight="1">
      <c r="A5944" s="9" t="s">
        <v>13866</v>
      </c>
      <c r="B5944" s="9" t="s">
        <v>13866</v>
      </c>
      <c r="C5944" s="9" t="s">
        <v>17</v>
      </c>
      <c r="D5944" s="9" t="s">
        <v>18</v>
      </c>
      <c r="E5944" s="10" t="s">
        <v>1195</v>
      </c>
      <c r="F5944" s="9" t="s">
        <v>1196</v>
      </c>
      <c r="G5944" s="10" t="s">
        <v>21</v>
      </c>
      <c r="H5944" s="9" t="s">
        <v>22</v>
      </c>
      <c r="I5944" s="9" t="s">
        <v>13867</v>
      </c>
      <c r="J5944" s="10" t="str">
        <f>HYPERLINK("https://www.boe.es/gazeta/dias/1834/10/17/pdfs/GMD-C-1834-245.pdf#page=3","Abrir facsímil")</f>
        <v>Abrir facsímil</v>
      </c>
      <c r="K5944" s="10" t="s">
        <v>24</v>
      </c>
    </row>
    <row r="5945" spans="1:11" ht="54" customHeight="1">
      <c r="A5945" s="9" t="s">
        <v>13868</v>
      </c>
      <c r="B5945" s="9" t="s">
        <v>13868</v>
      </c>
      <c r="C5945" s="9" t="s">
        <v>66</v>
      </c>
      <c r="D5945" s="9" t="s">
        <v>67</v>
      </c>
      <c r="E5945" s="10" t="s">
        <v>1556</v>
      </c>
      <c r="F5945" s="9" t="s">
        <v>1557</v>
      </c>
      <c r="G5945" s="10" t="s">
        <v>21</v>
      </c>
      <c r="H5945" s="9" t="s">
        <v>22</v>
      </c>
      <c r="I5945" s="9" t="s">
        <v>13869</v>
      </c>
      <c r="J5945" s="10" t="str">
        <f>HYPERLINK("https://www.boe.es/gazeta/dias/1834/06/06/pdfs/GMD-1834-108.pdf#page=3","Abrir facsímil")</f>
        <v>Abrir facsímil</v>
      </c>
      <c r="K5945" s="10" t="s">
        <v>24</v>
      </c>
    </row>
    <row r="5946" spans="1:11" ht="54" customHeight="1">
      <c r="A5946" s="9" t="s">
        <v>13870</v>
      </c>
      <c r="B5946" s="9" t="s">
        <v>13870</v>
      </c>
      <c r="C5946" s="9" t="s">
        <v>66</v>
      </c>
      <c r="D5946" s="9" t="s">
        <v>67</v>
      </c>
      <c r="E5946" s="10" t="s">
        <v>1556</v>
      </c>
      <c r="F5946" s="9" t="s">
        <v>1557</v>
      </c>
      <c r="G5946" s="10" t="s">
        <v>75</v>
      </c>
      <c r="H5946" s="9" t="s">
        <v>22</v>
      </c>
      <c r="I5946" s="9" t="s">
        <v>13871</v>
      </c>
      <c r="J5946" s="10" t="str">
        <f>HYPERLINK("https://www.boe.es/gazeta/dias/1834/06/06/pdfs/GMD-1834-108.pdf#page=4","Abrir facsímil")</f>
        <v>Abrir facsímil</v>
      </c>
      <c r="K5946" s="10" t="s">
        <v>24</v>
      </c>
    </row>
    <row r="5947" spans="1:11" ht="54" customHeight="1">
      <c r="A5947" s="9" t="s">
        <v>13872</v>
      </c>
      <c r="B5947" s="9" t="s">
        <v>13872</v>
      </c>
      <c r="C5947" s="9" t="s">
        <v>17</v>
      </c>
      <c r="D5947" s="9" t="s">
        <v>101</v>
      </c>
      <c r="E5947" s="10" t="s">
        <v>1025</v>
      </c>
      <c r="F5947" s="9" t="s">
        <v>1026</v>
      </c>
      <c r="G5947" s="10" t="s">
        <v>28</v>
      </c>
      <c r="H5947" s="9" t="s">
        <v>22</v>
      </c>
      <c r="I5947" s="9" t="s">
        <v>13873</v>
      </c>
      <c r="J5947" s="10" t="str">
        <f>HYPERLINK("https://www.boe.es/gazeta/dias/1834/03/01/pdfs/GMD-1834-27.pdf#page=5","Abrir facsímil")</f>
        <v>Abrir facsímil</v>
      </c>
      <c r="K5947" s="10" t="s">
        <v>24</v>
      </c>
    </row>
    <row r="5948" spans="1:11" ht="54" customHeight="1">
      <c r="A5948" s="9" t="s">
        <v>13872</v>
      </c>
      <c r="B5948" s="9" t="s">
        <v>13872</v>
      </c>
      <c r="C5948" s="9" t="s">
        <v>66</v>
      </c>
      <c r="D5948" s="9" t="s">
        <v>67</v>
      </c>
      <c r="E5948" s="10" t="s">
        <v>696</v>
      </c>
      <c r="F5948" s="9" t="s">
        <v>854</v>
      </c>
      <c r="G5948" s="10" t="s">
        <v>21</v>
      </c>
      <c r="H5948" s="9" t="s">
        <v>22</v>
      </c>
      <c r="I5948" s="9" t="s">
        <v>13874</v>
      </c>
      <c r="J5948" s="10" t="str">
        <f>HYPERLINK("https://www.boe.es/gazeta/dias/1834/12/06/pdfs/GMD-1834-295.pdf#page=3","Abrir facsímil")</f>
        <v>Abrir facsímil</v>
      </c>
      <c r="K5948" s="10" t="s">
        <v>24</v>
      </c>
    </row>
    <row r="5949" spans="1:11" ht="54" customHeight="1">
      <c r="A5949" s="9" t="s">
        <v>13875</v>
      </c>
      <c r="B5949" s="9" t="s">
        <v>13875</v>
      </c>
      <c r="C5949" s="9" t="s">
        <v>17</v>
      </c>
      <c r="D5949" s="9" t="s">
        <v>18</v>
      </c>
      <c r="E5949" s="10" t="s">
        <v>2091</v>
      </c>
      <c r="F5949" s="9" t="s">
        <v>2092</v>
      </c>
      <c r="G5949" s="10" t="s">
        <v>21</v>
      </c>
      <c r="H5949" s="9" t="s">
        <v>22</v>
      </c>
      <c r="I5949" s="9" t="s">
        <v>13876</v>
      </c>
      <c r="J5949" s="10" t="str">
        <f>HYPERLINK("https://www.boe.es/gazeta/dias/1834/03/08/pdfs/GMD-1834-30.pdf#page=3","Abrir facsímil")</f>
        <v>Abrir facsímil</v>
      </c>
      <c r="K5949" s="10" t="s">
        <v>24</v>
      </c>
    </row>
    <row r="5950" spans="1:11" ht="54" customHeight="1">
      <c r="A5950" s="9" t="s">
        <v>13877</v>
      </c>
      <c r="B5950" s="9" t="s">
        <v>13878</v>
      </c>
      <c r="C5950" s="9" t="s">
        <v>66</v>
      </c>
      <c r="D5950" s="9" t="s">
        <v>18</v>
      </c>
      <c r="E5950" s="10" t="s">
        <v>389</v>
      </c>
      <c r="F5950" s="9" t="s">
        <v>390</v>
      </c>
      <c r="G5950" s="10" t="s">
        <v>75</v>
      </c>
      <c r="H5950" s="9" t="s">
        <v>22</v>
      </c>
      <c r="I5950" s="9" t="s">
        <v>13879</v>
      </c>
      <c r="J5950" s="10" t="str">
        <f>HYPERLINK("https://www.boe.es/gazeta/dias/1834/10/25/pdfs/GMD-1834-253.pdf#page=4","Abrir facsímil")</f>
        <v>Abrir facsímil</v>
      </c>
      <c r="K5950" s="10" t="s">
        <v>24</v>
      </c>
    </row>
    <row r="5951" spans="1:11" ht="54" customHeight="1">
      <c r="A5951" s="9" t="s">
        <v>13880</v>
      </c>
      <c r="B5951" s="9" t="s">
        <v>13880</v>
      </c>
      <c r="C5951" s="9" t="s">
        <v>66</v>
      </c>
      <c r="D5951" s="9" t="s">
        <v>67</v>
      </c>
      <c r="E5951" s="10" t="s">
        <v>1212</v>
      </c>
      <c r="F5951" s="9" t="s">
        <v>1213</v>
      </c>
      <c r="G5951" s="10" t="s">
        <v>86</v>
      </c>
      <c r="H5951" s="9" t="s">
        <v>22</v>
      </c>
      <c r="I5951" s="9" t="s">
        <v>13881</v>
      </c>
      <c r="J5951" s="10" t="str">
        <f>HYPERLINK("https://www.boe.es/gazeta/dias/1834/05/24/pdfs/GMD-1834-93.pdf#page=2","Abrir facsímil")</f>
        <v>Abrir facsímil</v>
      </c>
      <c r="K5951" s="10" t="s">
        <v>24</v>
      </c>
    </row>
    <row r="5952" spans="1:11" ht="54" customHeight="1">
      <c r="A5952" s="9" t="s">
        <v>13882</v>
      </c>
      <c r="B5952" s="9" t="s">
        <v>13883</v>
      </c>
      <c r="C5952" s="9" t="s">
        <v>66</v>
      </c>
      <c r="D5952" s="9" t="s">
        <v>18</v>
      </c>
      <c r="E5952" s="10" t="s">
        <v>451</v>
      </c>
      <c r="F5952" s="9" t="s">
        <v>3350</v>
      </c>
      <c r="G5952" s="10" t="s">
        <v>75</v>
      </c>
      <c r="H5952" s="9" t="s">
        <v>22</v>
      </c>
      <c r="I5952" s="9" t="s">
        <v>13884</v>
      </c>
      <c r="J5952" s="10" t="str">
        <f>HYPERLINK("https://www.boe.es/gazeta/dias/1834/10/15/pdfs/GMD-1834-243.pdf#page=4","Abrir facsímil")</f>
        <v>Abrir facsímil</v>
      </c>
      <c r="K5952" s="10" t="s">
        <v>24</v>
      </c>
    </row>
    <row r="5953" spans="1:11" ht="54" customHeight="1">
      <c r="A5953" s="9" t="s">
        <v>13885</v>
      </c>
      <c r="B5953" s="9" t="s">
        <v>13885</v>
      </c>
      <c r="C5953" s="9" t="s">
        <v>17</v>
      </c>
      <c r="D5953" s="9" t="s">
        <v>18</v>
      </c>
      <c r="E5953" s="10" t="s">
        <v>594</v>
      </c>
      <c r="F5953" s="9" t="s">
        <v>595</v>
      </c>
      <c r="G5953" s="10" t="s">
        <v>21</v>
      </c>
      <c r="H5953" s="9" t="s">
        <v>22</v>
      </c>
      <c r="I5953" s="9" t="s">
        <v>13886</v>
      </c>
      <c r="J5953" s="10" t="str">
        <f>HYPERLINK("https://www.boe.es/gazeta/dias/1834/06/01/pdfs/GMD-1834-102.pdf#page=3","Abrir facsímil")</f>
        <v>Abrir facsímil</v>
      </c>
      <c r="K5953" s="10" t="s">
        <v>24</v>
      </c>
    </row>
    <row r="5954" spans="1:11" ht="54" customHeight="1">
      <c r="A5954" s="9" t="s">
        <v>13885</v>
      </c>
      <c r="B5954" s="9" t="s">
        <v>13885</v>
      </c>
      <c r="C5954" s="9" t="s">
        <v>122</v>
      </c>
      <c r="D5954" s="9" t="s">
        <v>101</v>
      </c>
      <c r="E5954" s="10" t="s">
        <v>1597</v>
      </c>
      <c r="F5954" s="9" t="s">
        <v>1598</v>
      </c>
      <c r="G5954" s="10" t="s">
        <v>21</v>
      </c>
      <c r="H5954" s="9" t="s">
        <v>22</v>
      </c>
      <c r="I5954" s="9" t="s">
        <v>13887</v>
      </c>
      <c r="J5954" s="10" t="str">
        <f>HYPERLINK("https://www.boe.es/gazeta/dias/1834/10/03/pdfs/GMD-1834-231.pdf#page=3","Abrir facsímil")</f>
        <v>Abrir facsímil</v>
      </c>
      <c r="K5954" s="10" t="s">
        <v>24</v>
      </c>
    </row>
    <row r="5955" spans="1:11" ht="54" customHeight="1">
      <c r="A5955" s="9" t="s">
        <v>13885</v>
      </c>
      <c r="B5955" s="9" t="s">
        <v>13885</v>
      </c>
      <c r="C5955" s="9" t="s">
        <v>17</v>
      </c>
      <c r="D5955" s="9" t="s">
        <v>18</v>
      </c>
      <c r="E5955" s="10" t="s">
        <v>1406</v>
      </c>
      <c r="F5955" s="9" t="s">
        <v>1407</v>
      </c>
      <c r="G5955" s="10" t="s">
        <v>75</v>
      </c>
      <c r="H5955" s="9" t="s">
        <v>22</v>
      </c>
      <c r="I5955" s="9" t="s">
        <v>13888</v>
      </c>
      <c r="J5955" s="10" t="str">
        <f>HYPERLINK("https://www.boe.es/gazeta/dias/1834/11/03/pdfs/GMD-1834-262.pdf#page=4","Abrir facsímil")</f>
        <v>Abrir facsímil</v>
      </c>
      <c r="K5955" s="10" t="s">
        <v>24</v>
      </c>
    </row>
    <row r="5956" spans="1:11" ht="54" customHeight="1">
      <c r="A5956" s="9" t="s">
        <v>13885</v>
      </c>
      <c r="B5956" s="9" t="s">
        <v>13885</v>
      </c>
      <c r="C5956" s="9" t="s">
        <v>17</v>
      </c>
      <c r="D5956" s="9" t="s">
        <v>18</v>
      </c>
      <c r="E5956" s="10" t="s">
        <v>506</v>
      </c>
      <c r="F5956" s="9" t="s">
        <v>507</v>
      </c>
      <c r="G5956" s="10" t="s">
        <v>28</v>
      </c>
      <c r="H5956" s="9" t="s">
        <v>22</v>
      </c>
      <c r="I5956" s="9" t="s">
        <v>13889</v>
      </c>
      <c r="J5956" s="10" t="str">
        <f>HYPERLINK("https://www.boe.es/gazeta/dias/1834/03/04/pdfs/GMD-1834-28.pdf#page=5","Abrir facsímil")</f>
        <v>Abrir facsímil</v>
      </c>
      <c r="K5956" s="10" t="s">
        <v>24</v>
      </c>
    </row>
    <row r="5957" spans="1:11" ht="54" customHeight="1">
      <c r="A5957" s="9" t="s">
        <v>13885</v>
      </c>
      <c r="B5957" s="9" t="s">
        <v>13885</v>
      </c>
      <c r="C5957" s="9" t="s">
        <v>66</v>
      </c>
      <c r="D5957" s="9" t="s">
        <v>67</v>
      </c>
      <c r="E5957" s="10" t="s">
        <v>2459</v>
      </c>
      <c r="F5957" s="9" t="s">
        <v>2460</v>
      </c>
      <c r="G5957" s="10" t="s">
        <v>75</v>
      </c>
      <c r="H5957" s="9" t="s">
        <v>22</v>
      </c>
      <c r="I5957" s="9" t="s">
        <v>13890</v>
      </c>
      <c r="J5957" s="10" t="str">
        <f>HYPERLINK("https://www.boe.es/gazeta/dias/1834/04/04/pdfs/GMD-1834-43.pdf#page=4","Abrir facsímil")</f>
        <v>Abrir facsímil</v>
      </c>
      <c r="K5957" s="10" t="s">
        <v>24</v>
      </c>
    </row>
    <row r="5958" spans="1:11" ht="54" customHeight="1">
      <c r="A5958" s="9" t="s">
        <v>13885</v>
      </c>
      <c r="B5958" s="9" t="s">
        <v>13885</v>
      </c>
      <c r="C5958" s="9" t="s">
        <v>46</v>
      </c>
      <c r="D5958" s="9" t="s">
        <v>101</v>
      </c>
      <c r="E5958" s="10" t="s">
        <v>3328</v>
      </c>
      <c r="F5958" s="9" t="s">
        <v>3329</v>
      </c>
      <c r="G5958" s="10" t="s">
        <v>21</v>
      </c>
      <c r="H5958" s="9" t="s">
        <v>22</v>
      </c>
      <c r="I5958" s="9" t="s">
        <v>13891</v>
      </c>
      <c r="J5958" s="10" t="str">
        <f>HYPERLINK("https://www.boe.es/gazeta/dias/1834/06/04/pdfs/GMD-1834-106.pdf#page=3","Abrir facsímil")</f>
        <v>Abrir facsímil</v>
      </c>
      <c r="K5958" s="10" t="s">
        <v>24</v>
      </c>
    </row>
    <row r="5959" spans="1:11" ht="54" customHeight="1">
      <c r="A5959" s="9" t="s">
        <v>13885</v>
      </c>
      <c r="B5959" s="9" t="s">
        <v>13885</v>
      </c>
      <c r="C5959" s="9" t="s">
        <v>66</v>
      </c>
      <c r="D5959" s="9" t="s">
        <v>67</v>
      </c>
      <c r="E5959" s="10" t="s">
        <v>355</v>
      </c>
      <c r="F5959" s="9" t="s">
        <v>356</v>
      </c>
      <c r="G5959" s="10" t="s">
        <v>34</v>
      </c>
      <c r="H5959" s="9" t="s">
        <v>22</v>
      </c>
      <c r="I5959" s="9" t="s">
        <v>13892</v>
      </c>
      <c r="J5959" s="10" t="str">
        <f>HYPERLINK("https://www.boe.es/gazeta/dias/1834/07/04/pdfs/I00597-00598.pdf#page=1","Abrir facsímil")</f>
        <v>Abrir facsímil</v>
      </c>
      <c r="K5959" s="10" t="s">
        <v>24</v>
      </c>
    </row>
    <row r="5960" spans="1:11" ht="54" customHeight="1">
      <c r="A5960" s="9" t="s">
        <v>13885</v>
      </c>
      <c r="B5960" s="9" t="s">
        <v>13885</v>
      </c>
      <c r="C5960" s="9" t="s">
        <v>66</v>
      </c>
      <c r="D5960" s="9" t="s">
        <v>67</v>
      </c>
      <c r="E5960" s="10" t="s">
        <v>355</v>
      </c>
      <c r="F5960" s="9" t="s">
        <v>356</v>
      </c>
      <c r="G5960" s="10" t="s">
        <v>21</v>
      </c>
      <c r="H5960" s="9" t="s">
        <v>22</v>
      </c>
      <c r="I5960" s="9" t="s">
        <v>13892</v>
      </c>
      <c r="J5960" s="10" t="str">
        <f>HYPERLINK("https://www.boe.es/gazeta/dias/1834/07/04/pdfs/GMD-1834-137.pdf#page=3","Abrir facsímil")</f>
        <v>Abrir facsímil</v>
      </c>
      <c r="K5960" s="10" t="s">
        <v>24</v>
      </c>
    </row>
    <row r="5961" spans="1:11" ht="54" customHeight="1">
      <c r="A5961" s="9" t="s">
        <v>13885</v>
      </c>
      <c r="B5961" s="9" t="s">
        <v>13885</v>
      </c>
      <c r="C5961" s="9" t="s">
        <v>90</v>
      </c>
      <c r="D5961" s="9" t="s">
        <v>18</v>
      </c>
      <c r="E5961" s="10" t="s">
        <v>2218</v>
      </c>
      <c r="F5961" s="9" t="s">
        <v>2219</v>
      </c>
      <c r="G5961" s="10" t="s">
        <v>21</v>
      </c>
      <c r="H5961" s="9" t="s">
        <v>22</v>
      </c>
      <c r="I5961" s="9" t="s">
        <v>13893</v>
      </c>
      <c r="J5961" s="10" t="str">
        <f>HYPERLINK("https://www.boe.es/gazeta/dias/1834/11/05/pdfs/GMD-1834-264.pdf#page=3","Abrir facsímil")</f>
        <v>Abrir facsímil</v>
      </c>
      <c r="K5961" s="10" t="s">
        <v>24</v>
      </c>
    </row>
    <row r="5962" spans="1:11" ht="54" customHeight="1">
      <c r="A5962" s="9" t="s">
        <v>13885</v>
      </c>
      <c r="B5962" s="9" t="s">
        <v>13885</v>
      </c>
      <c r="C5962" s="9" t="s">
        <v>46</v>
      </c>
      <c r="D5962" s="9" t="s">
        <v>101</v>
      </c>
      <c r="E5962" s="10" t="s">
        <v>317</v>
      </c>
      <c r="F5962" s="9" t="s">
        <v>318</v>
      </c>
      <c r="G5962" s="10" t="s">
        <v>34</v>
      </c>
      <c r="H5962" s="9" t="s">
        <v>22</v>
      </c>
      <c r="I5962" s="9" t="s">
        <v>13894</v>
      </c>
      <c r="J5962" s="10" t="str">
        <f>HYPERLINK("https://www.boe.es/gazeta/dias/1834/03/06/pdfs/I00139-00140.pdf#page=1","Abrir facsímil")</f>
        <v>Abrir facsímil</v>
      </c>
      <c r="K5962" s="10" t="s">
        <v>24</v>
      </c>
    </row>
    <row r="5963" spans="1:11" ht="54" customHeight="1">
      <c r="A5963" s="9" t="s">
        <v>13885</v>
      </c>
      <c r="B5963" s="9" t="s">
        <v>13885</v>
      </c>
      <c r="C5963" s="9" t="s">
        <v>46</v>
      </c>
      <c r="D5963" s="9" t="s">
        <v>101</v>
      </c>
      <c r="E5963" s="10" t="s">
        <v>317</v>
      </c>
      <c r="F5963" s="9" t="s">
        <v>318</v>
      </c>
      <c r="G5963" s="10" t="s">
        <v>21</v>
      </c>
      <c r="H5963" s="9" t="s">
        <v>22</v>
      </c>
      <c r="I5963" s="9" t="s">
        <v>13894</v>
      </c>
      <c r="J5963" s="10" t="str">
        <f>HYPERLINK("https://www.boe.es/gazeta/dias/1834/03/06/pdfs/GMD-1834-29.pdf#page=3","Abrir facsímil")</f>
        <v>Abrir facsímil</v>
      </c>
      <c r="K5963" s="10" t="s">
        <v>24</v>
      </c>
    </row>
    <row r="5964" spans="1:11" ht="54" customHeight="1">
      <c r="A5964" s="9" t="s">
        <v>13885</v>
      </c>
      <c r="B5964" s="9" t="s">
        <v>13885</v>
      </c>
      <c r="C5964" s="9" t="s">
        <v>17</v>
      </c>
      <c r="D5964" s="9" t="s">
        <v>40</v>
      </c>
      <c r="E5964" s="10" t="s">
        <v>1556</v>
      </c>
      <c r="F5964" s="9" t="s">
        <v>1557</v>
      </c>
      <c r="G5964" s="10" t="s">
        <v>75</v>
      </c>
      <c r="H5964" s="9" t="s">
        <v>22</v>
      </c>
      <c r="I5964" s="9" t="s">
        <v>13895</v>
      </c>
      <c r="J5964" s="10" t="str">
        <f>HYPERLINK("https://www.boe.es/gazeta/dias/1834/06/06/pdfs/GMD-1834-108.pdf#page=4","Abrir facsímil")</f>
        <v>Abrir facsímil</v>
      </c>
      <c r="K5964" s="10" t="s">
        <v>24</v>
      </c>
    </row>
    <row r="5965" spans="1:11" ht="54" customHeight="1">
      <c r="A5965" s="9" t="s">
        <v>13885</v>
      </c>
      <c r="B5965" s="9" t="s">
        <v>13885</v>
      </c>
      <c r="C5965" s="9" t="s">
        <v>66</v>
      </c>
      <c r="D5965" s="9" t="s">
        <v>18</v>
      </c>
      <c r="E5965" s="10" t="s">
        <v>653</v>
      </c>
      <c r="F5965" s="9" t="s">
        <v>3167</v>
      </c>
      <c r="G5965" s="10" t="s">
        <v>34</v>
      </c>
      <c r="H5965" s="9" t="s">
        <v>22</v>
      </c>
      <c r="I5965" s="9" t="s">
        <v>13896</v>
      </c>
      <c r="J5965" s="10" t="str">
        <f>HYPERLINK("https://www.boe.es/gazeta/dias/1834/08/06/pdfs/GMD-1834-171E.pdf#page=1","Abrir facsímil")</f>
        <v>Abrir facsímil</v>
      </c>
      <c r="K5965" s="10" t="s">
        <v>24</v>
      </c>
    </row>
    <row r="5966" spans="1:11" ht="54" customHeight="1">
      <c r="A5966" s="9" t="s">
        <v>13885</v>
      </c>
      <c r="B5966" s="9" t="s">
        <v>13885</v>
      </c>
      <c r="C5966" s="9" t="s">
        <v>66</v>
      </c>
      <c r="D5966" s="9" t="s">
        <v>67</v>
      </c>
      <c r="E5966" s="10" t="s">
        <v>3170</v>
      </c>
      <c r="F5966" s="9" t="s">
        <v>3171</v>
      </c>
      <c r="G5966" s="10" t="s">
        <v>21</v>
      </c>
      <c r="H5966" s="9" t="s">
        <v>22</v>
      </c>
      <c r="I5966" s="9" t="s">
        <v>13897</v>
      </c>
      <c r="J5966" s="10" t="str">
        <f>HYPERLINK("https://www.boe.es/gazeta/dias/1834/12/07/pdfs/GMD-1834-296.pdf#page=3","Abrir facsímil")</f>
        <v>Abrir facsímil</v>
      </c>
      <c r="K5966" s="10" t="s">
        <v>24</v>
      </c>
    </row>
    <row r="5967" spans="1:11" ht="54" customHeight="1">
      <c r="A5967" s="9" t="s">
        <v>13885</v>
      </c>
      <c r="B5967" s="9" t="s">
        <v>13885</v>
      </c>
      <c r="C5967" s="9" t="s">
        <v>122</v>
      </c>
      <c r="D5967" s="9" t="s">
        <v>18</v>
      </c>
      <c r="E5967" s="10" t="s">
        <v>61</v>
      </c>
      <c r="F5967" s="9" t="s">
        <v>205</v>
      </c>
      <c r="G5967" s="10" t="s">
        <v>75</v>
      </c>
      <c r="H5967" s="9" t="s">
        <v>22</v>
      </c>
      <c r="I5967" s="9" t="s">
        <v>13898</v>
      </c>
      <c r="J5967" s="10" t="str">
        <f>HYPERLINK("https://www.boe.es/gazeta/dias/1834/06/08/pdfs/GMD-1834-110.pdf#page=4","Abrir facsímil")</f>
        <v>Abrir facsímil</v>
      </c>
      <c r="K5967" s="10" t="s">
        <v>24</v>
      </c>
    </row>
    <row r="5968" spans="1:11" ht="54" customHeight="1">
      <c r="A5968" s="9" t="s">
        <v>13885</v>
      </c>
      <c r="B5968" s="9" t="s">
        <v>13885</v>
      </c>
      <c r="C5968" s="9" t="s">
        <v>17</v>
      </c>
      <c r="D5968" s="9" t="s">
        <v>18</v>
      </c>
      <c r="E5968" s="10" t="s">
        <v>399</v>
      </c>
      <c r="F5968" s="9" t="s">
        <v>400</v>
      </c>
      <c r="G5968" s="10" t="s">
        <v>75</v>
      </c>
      <c r="H5968" s="9" t="s">
        <v>22</v>
      </c>
      <c r="I5968" s="9" t="s">
        <v>13899</v>
      </c>
      <c r="J5968" s="10" t="str">
        <f>HYPERLINK("https://www.boe.es/gazeta/dias/1834/07/08/pdfs/GMD-1834-141.pdf#page=4","Abrir facsímil")</f>
        <v>Abrir facsímil</v>
      </c>
      <c r="K5968" s="10" t="s">
        <v>24</v>
      </c>
    </row>
    <row r="5969" spans="1:11" ht="54" customHeight="1">
      <c r="A5969" s="9" t="s">
        <v>13885</v>
      </c>
      <c r="B5969" s="9" t="s">
        <v>13885</v>
      </c>
      <c r="C5969" s="9" t="s">
        <v>66</v>
      </c>
      <c r="D5969" s="9" t="s">
        <v>67</v>
      </c>
      <c r="E5969" s="10" t="s">
        <v>438</v>
      </c>
      <c r="F5969" s="9" t="s">
        <v>439</v>
      </c>
      <c r="G5969" s="10" t="s">
        <v>75</v>
      </c>
      <c r="H5969" s="9" t="s">
        <v>22</v>
      </c>
      <c r="I5969" s="9" t="s">
        <v>13900</v>
      </c>
      <c r="J5969" s="10" t="str">
        <f>HYPERLINK("https://www.boe.es/gazeta/dias/1834/11/09/pdfs/GMD-1834-268.pdf#page=4","Abrir facsímil")</f>
        <v>Abrir facsímil</v>
      </c>
      <c r="K5969" s="10" t="s">
        <v>24</v>
      </c>
    </row>
    <row r="5970" spans="1:11" ht="54" customHeight="1">
      <c r="A5970" s="9" t="s">
        <v>13885</v>
      </c>
      <c r="B5970" s="9" t="s">
        <v>13885</v>
      </c>
      <c r="C5970" s="9" t="s">
        <v>17</v>
      </c>
      <c r="D5970" s="9" t="s">
        <v>18</v>
      </c>
      <c r="E5970" s="10" t="s">
        <v>2203</v>
      </c>
      <c r="F5970" s="9" t="s">
        <v>3917</v>
      </c>
      <c r="G5970" s="10" t="s">
        <v>75</v>
      </c>
      <c r="H5970" s="9" t="s">
        <v>22</v>
      </c>
      <c r="I5970" s="9" t="s">
        <v>13901</v>
      </c>
      <c r="J5970" s="10" t="str">
        <f>HYPERLINK("https://www.boe.es/gazeta/dias/1834/09/10/pdfs/GMD-1834-208.pdf#page=4","Abrir facsímil")</f>
        <v>Abrir facsímil</v>
      </c>
      <c r="K5970" s="10" t="s">
        <v>24</v>
      </c>
    </row>
    <row r="5971" spans="1:11" ht="54" customHeight="1">
      <c r="A5971" s="9" t="s">
        <v>13885</v>
      </c>
      <c r="B5971" s="9" t="s">
        <v>13885</v>
      </c>
      <c r="C5971" s="9" t="s">
        <v>66</v>
      </c>
      <c r="D5971" s="9" t="s">
        <v>67</v>
      </c>
      <c r="E5971" s="10" t="s">
        <v>642</v>
      </c>
      <c r="F5971" s="9" t="s">
        <v>1843</v>
      </c>
      <c r="G5971" s="10" t="s">
        <v>21</v>
      </c>
      <c r="H5971" s="9" t="s">
        <v>22</v>
      </c>
      <c r="I5971" s="9" t="s">
        <v>13902</v>
      </c>
      <c r="J5971" s="10" t="str">
        <f>HYPERLINK("https://www.boe.es/gazeta/dias/1834/11/12/pdfs/GMD-1834-271.pdf#page=3","Abrir facsímil")</f>
        <v>Abrir facsímil</v>
      </c>
      <c r="K5971" s="10" t="s">
        <v>24</v>
      </c>
    </row>
    <row r="5972" spans="1:11" ht="54" customHeight="1">
      <c r="A5972" s="9" t="s">
        <v>13885</v>
      </c>
      <c r="B5972" s="9" t="s">
        <v>13885</v>
      </c>
      <c r="C5972" s="9" t="s">
        <v>17</v>
      </c>
      <c r="D5972" s="9" t="s">
        <v>40</v>
      </c>
      <c r="E5972" s="10" t="s">
        <v>91</v>
      </c>
      <c r="F5972" s="9" t="s">
        <v>92</v>
      </c>
      <c r="G5972" s="10" t="s">
        <v>75</v>
      </c>
      <c r="H5972" s="9" t="s">
        <v>22</v>
      </c>
      <c r="I5972" s="9" t="s">
        <v>13903</v>
      </c>
      <c r="J5972" s="10" t="str">
        <f>HYPERLINK("https://www.boe.es/gazeta/dias/1834/02/13/pdfs/GMD-1834-20.pdf#page=4","Abrir facsímil")</f>
        <v>Abrir facsímil</v>
      </c>
      <c r="K5972" s="10" t="s">
        <v>24</v>
      </c>
    </row>
    <row r="5973" spans="1:11" ht="54" customHeight="1">
      <c r="A5973" s="9" t="s">
        <v>13885</v>
      </c>
      <c r="B5973" s="9" t="s">
        <v>13885</v>
      </c>
      <c r="C5973" s="9" t="s">
        <v>66</v>
      </c>
      <c r="D5973" s="9" t="s">
        <v>67</v>
      </c>
      <c r="E5973" s="10" t="s">
        <v>1094</v>
      </c>
      <c r="F5973" s="9" t="s">
        <v>1095</v>
      </c>
      <c r="G5973" s="10" t="s">
        <v>21</v>
      </c>
      <c r="H5973" s="9" t="s">
        <v>22</v>
      </c>
      <c r="I5973" s="9" t="s">
        <v>13904</v>
      </c>
      <c r="J5973" s="10" t="str">
        <f>HYPERLINK("https://www.boe.es/gazeta/dias/1834/07/13/pdfs/GMD-1834-146.pdf#page=3","Abrir facsímil")</f>
        <v>Abrir facsímil</v>
      </c>
      <c r="K5973" s="10" t="s">
        <v>24</v>
      </c>
    </row>
    <row r="5974" spans="1:11" ht="54" customHeight="1">
      <c r="A5974" s="9" t="s">
        <v>13885</v>
      </c>
      <c r="B5974" s="9" t="s">
        <v>13885</v>
      </c>
      <c r="C5974" s="9" t="s">
        <v>66</v>
      </c>
      <c r="D5974" s="9" t="s">
        <v>67</v>
      </c>
      <c r="E5974" s="10" t="s">
        <v>1113</v>
      </c>
      <c r="F5974" s="9" t="s">
        <v>1114</v>
      </c>
      <c r="G5974" s="10" t="s">
        <v>75</v>
      </c>
      <c r="H5974" s="9" t="s">
        <v>22</v>
      </c>
      <c r="I5974" s="9" t="s">
        <v>13905</v>
      </c>
      <c r="J5974" s="10" t="str">
        <f>HYPERLINK("https://www.boe.es/gazeta/dias/1834/04/14/pdfs/GMD-1834-53.pdf#page=4","Abrir facsímil")</f>
        <v>Abrir facsímil</v>
      </c>
      <c r="K5974" s="10" t="s">
        <v>24</v>
      </c>
    </row>
    <row r="5975" spans="1:11" ht="54" customHeight="1">
      <c r="A5975" s="9" t="s">
        <v>13885</v>
      </c>
      <c r="B5975" s="9" t="s">
        <v>13885</v>
      </c>
      <c r="C5975" s="9" t="s">
        <v>17</v>
      </c>
      <c r="D5975" s="9" t="s">
        <v>18</v>
      </c>
      <c r="E5975" s="10" t="s">
        <v>1273</v>
      </c>
      <c r="F5975" s="9" t="s">
        <v>1274</v>
      </c>
      <c r="G5975" s="10" t="s">
        <v>21</v>
      </c>
      <c r="H5975" s="9" t="s">
        <v>22</v>
      </c>
      <c r="I5975" s="9" t="s">
        <v>13906</v>
      </c>
      <c r="J5975" s="10" t="str">
        <f>HYPERLINK("https://www.boe.es/gazeta/dias/1834/05/14/pdfs/GMD-1834-83.pdf#page=3","Abrir facsímil")</f>
        <v>Abrir facsímil</v>
      </c>
      <c r="K5975" s="10" t="s">
        <v>24</v>
      </c>
    </row>
    <row r="5976" spans="1:11" ht="54" customHeight="1">
      <c r="A5976" s="9" t="s">
        <v>13885</v>
      </c>
      <c r="B5976" s="9" t="s">
        <v>13885</v>
      </c>
      <c r="C5976" s="9" t="s">
        <v>17</v>
      </c>
      <c r="D5976" s="9" t="s">
        <v>18</v>
      </c>
      <c r="E5976" s="10" t="s">
        <v>863</v>
      </c>
      <c r="F5976" s="9" t="s">
        <v>864</v>
      </c>
      <c r="G5976" s="10" t="s">
        <v>21</v>
      </c>
      <c r="H5976" s="9" t="s">
        <v>22</v>
      </c>
      <c r="I5976" s="9" t="s">
        <v>13907</v>
      </c>
      <c r="J5976" s="10" t="str">
        <f>HYPERLINK("https://www.boe.es/gazeta/dias/1834/09/15/pdfs/GMD-1834-213.pdf#page=3","Abrir facsímil")</f>
        <v>Abrir facsímil</v>
      </c>
      <c r="K5976" s="10" t="s">
        <v>24</v>
      </c>
    </row>
    <row r="5977" spans="1:11" ht="54" customHeight="1">
      <c r="A5977" s="9" t="s">
        <v>13885</v>
      </c>
      <c r="B5977" s="9" t="s">
        <v>13885</v>
      </c>
      <c r="C5977" s="9" t="s">
        <v>66</v>
      </c>
      <c r="D5977" s="9" t="s">
        <v>18</v>
      </c>
      <c r="E5977" s="10" t="s">
        <v>663</v>
      </c>
      <c r="F5977" s="9" t="s">
        <v>664</v>
      </c>
      <c r="G5977" s="10" t="s">
        <v>21</v>
      </c>
      <c r="H5977" s="9" t="s">
        <v>22</v>
      </c>
      <c r="I5977" s="9" t="s">
        <v>13908</v>
      </c>
      <c r="J5977" s="10" t="str">
        <f>HYPERLINK("https://www.boe.es/gazeta/dias/1834/07/16/pdfs/GMD-1834-149.pdf#page=3","Abrir facsímil")</f>
        <v>Abrir facsímil</v>
      </c>
      <c r="K5977" s="10" t="s">
        <v>24</v>
      </c>
    </row>
    <row r="5978" spans="1:11" ht="54" customHeight="1">
      <c r="A5978" s="9" t="s">
        <v>13885</v>
      </c>
      <c r="B5978" s="9" t="s">
        <v>13885</v>
      </c>
      <c r="C5978" s="9" t="s">
        <v>17</v>
      </c>
      <c r="D5978" s="9" t="s">
        <v>18</v>
      </c>
      <c r="E5978" s="10" t="s">
        <v>19</v>
      </c>
      <c r="F5978" s="9" t="s">
        <v>1933</v>
      </c>
      <c r="G5978" s="10" t="s">
        <v>34</v>
      </c>
      <c r="H5978" s="9" t="s">
        <v>22</v>
      </c>
      <c r="I5978" s="9" t="s">
        <v>13909</v>
      </c>
      <c r="J5978" s="10" t="str">
        <f>HYPERLINK("https://www.boe.es/gazeta/dias/1834/08/17/pdfs/GMD-1834-183E.pdf#page=1","Abrir facsímil")</f>
        <v>Abrir facsímil</v>
      </c>
      <c r="K5978" s="10" t="s">
        <v>24</v>
      </c>
    </row>
    <row r="5979" spans="1:11" ht="54" customHeight="1">
      <c r="A5979" s="9" t="s">
        <v>13885</v>
      </c>
      <c r="B5979" s="9" t="s">
        <v>13885</v>
      </c>
      <c r="C5979" s="9" t="s">
        <v>90</v>
      </c>
      <c r="D5979" s="9" t="s">
        <v>18</v>
      </c>
      <c r="E5979" s="10" t="s">
        <v>715</v>
      </c>
      <c r="F5979" s="9" t="s">
        <v>7773</v>
      </c>
      <c r="G5979" s="10" t="s">
        <v>21</v>
      </c>
      <c r="H5979" s="9" t="s">
        <v>22</v>
      </c>
      <c r="I5979" s="9" t="s">
        <v>13910</v>
      </c>
      <c r="J5979" s="10" t="str">
        <f>HYPERLINK("https://www.boe.es/gazeta/dias/1834/09/17/pdfs/GMD-1834-215.pdf#page=3","Abrir facsímil")</f>
        <v>Abrir facsímil</v>
      </c>
      <c r="K5979" s="10" t="s">
        <v>24</v>
      </c>
    </row>
    <row r="5980" spans="1:11" ht="54" customHeight="1">
      <c r="A5980" s="9" t="s">
        <v>13885</v>
      </c>
      <c r="B5980" s="9" t="s">
        <v>13885</v>
      </c>
      <c r="C5980" s="9" t="s">
        <v>66</v>
      </c>
      <c r="D5980" s="9" t="s">
        <v>67</v>
      </c>
      <c r="E5980" s="10" t="s">
        <v>183</v>
      </c>
      <c r="F5980" s="9" t="s">
        <v>184</v>
      </c>
      <c r="G5980" s="10" t="s">
        <v>75</v>
      </c>
      <c r="H5980" s="9" t="s">
        <v>22</v>
      </c>
      <c r="I5980" s="9" t="s">
        <v>13911</v>
      </c>
      <c r="J5980" s="10" t="str">
        <f>HYPERLINK("https://www.boe.es/gazeta/dias/1834/03/18/pdfs/GMD-1834-34.pdf#page=4","Abrir facsímil")</f>
        <v>Abrir facsímil</v>
      </c>
      <c r="K5980" s="10" t="s">
        <v>24</v>
      </c>
    </row>
    <row r="5981" spans="1:11" ht="54" customHeight="1">
      <c r="A5981" s="9" t="s">
        <v>13885</v>
      </c>
      <c r="B5981" s="9" t="s">
        <v>13885</v>
      </c>
      <c r="C5981" s="9" t="s">
        <v>122</v>
      </c>
      <c r="D5981" s="9" t="s">
        <v>101</v>
      </c>
      <c r="E5981" s="10" t="s">
        <v>772</v>
      </c>
      <c r="F5981" s="9" t="s">
        <v>773</v>
      </c>
      <c r="G5981" s="10" t="s">
        <v>21</v>
      </c>
      <c r="H5981" s="9" t="s">
        <v>22</v>
      </c>
      <c r="I5981" s="9" t="s">
        <v>13912</v>
      </c>
      <c r="J5981" s="10" t="str">
        <f>HYPERLINK("https://www.boe.es/gazeta/dias/1834/09/18/pdfs/GMD-1834-216.pdf#page=3","Abrir facsímil")</f>
        <v>Abrir facsímil</v>
      </c>
      <c r="K5981" s="10" t="s">
        <v>24</v>
      </c>
    </row>
    <row r="5982" spans="1:11" ht="54" customHeight="1">
      <c r="A5982" s="9" t="s">
        <v>13885</v>
      </c>
      <c r="B5982" s="9" t="s">
        <v>13885</v>
      </c>
      <c r="C5982" s="9" t="s">
        <v>17</v>
      </c>
      <c r="D5982" s="9" t="s">
        <v>40</v>
      </c>
      <c r="E5982" s="10" t="s">
        <v>772</v>
      </c>
      <c r="F5982" s="9" t="s">
        <v>773</v>
      </c>
      <c r="G5982" s="10" t="s">
        <v>75</v>
      </c>
      <c r="H5982" s="9" t="s">
        <v>22</v>
      </c>
      <c r="I5982" s="9" t="s">
        <v>13913</v>
      </c>
      <c r="J5982" s="10" t="str">
        <f>HYPERLINK("https://www.boe.es/gazeta/dias/1834/09/18/pdfs/GMD-1834-216.pdf#page=4","Abrir facsímil")</f>
        <v>Abrir facsímil</v>
      </c>
      <c r="K5982" s="10" t="s">
        <v>24</v>
      </c>
    </row>
    <row r="5983" spans="1:11" ht="54" customHeight="1">
      <c r="A5983" s="9" t="s">
        <v>13885</v>
      </c>
      <c r="B5983" s="9" t="s">
        <v>13885</v>
      </c>
      <c r="C5983" s="9" t="s">
        <v>17</v>
      </c>
      <c r="D5983" s="9" t="s">
        <v>18</v>
      </c>
      <c r="E5983" s="10" t="s">
        <v>26</v>
      </c>
      <c r="F5983" s="9" t="s">
        <v>818</v>
      </c>
      <c r="G5983" s="10" t="s">
        <v>21</v>
      </c>
      <c r="H5983" s="9" t="s">
        <v>22</v>
      </c>
      <c r="I5983" s="9" t="s">
        <v>13914</v>
      </c>
      <c r="J5983" s="10" t="str">
        <f>HYPERLINK("https://www.boe.es/gazeta/dias/1834/10/19/pdfs/GMD-1834-247.pdf#page=3","Abrir facsímil")</f>
        <v>Abrir facsímil</v>
      </c>
      <c r="K5983" s="10" t="s">
        <v>24</v>
      </c>
    </row>
    <row r="5984" spans="1:11" ht="54" customHeight="1">
      <c r="A5984" s="9" t="s">
        <v>13885</v>
      </c>
      <c r="B5984" s="9" t="s">
        <v>13885</v>
      </c>
      <c r="C5984" s="9" t="s">
        <v>17</v>
      </c>
      <c r="D5984" s="9" t="s">
        <v>40</v>
      </c>
      <c r="E5984" s="10" t="s">
        <v>265</v>
      </c>
      <c r="F5984" s="9" t="s">
        <v>969</v>
      </c>
      <c r="G5984" s="10" t="s">
        <v>21</v>
      </c>
      <c r="H5984" s="9" t="s">
        <v>22</v>
      </c>
      <c r="I5984" s="9" t="s">
        <v>13915</v>
      </c>
      <c r="J5984" s="10" t="str">
        <f>HYPERLINK("https://www.boe.es/gazeta/dias/1834/11/19/pdfs/GMD-1834-278.pdf#page=3","Abrir facsímil")</f>
        <v>Abrir facsímil</v>
      </c>
      <c r="K5984" s="10" t="s">
        <v>24</v>
      </c>
    </row>
    <row r="5985" spans="1:11" ht="54" customHeight="1">
      <c r="A5985" s="9" t="s">
        <v>13885</v>
      </c>
      <c r="B5985" s="9" t="s">
        <v>13885</v>
      </c>
      <c r="C5985" s="9" t="s">
        <v>17</v>
      </c>
      <c r="D5985" s="9" t="s">
        <v>18</v>
      </c>
      <c r="E5985" s="10" t="s">
        <v>375</v>
      </c>
      <c r="F5985" s="9" t="s">
        <v>376</v>
      </c>
      <c r="G5985" s="10" t="s">
        <v>86</v>
      </c>
      <c r="H5985" s="9" t="s">
        <v>22</v>
      </c>
      <c r="I5985" s="9" t="s">
        <v>13916</v>
      </c>
      <c r="J5985" s="10" t="str">
        <f>HYPERLINK("https://www.boe.es/gazeta/dias/1834/08/21/pdfs/GMD-1834-187.pdf#page=2","Abrir facsímil")</f>
        <v>Abrir facsímil</v>
      </c>
      <c r="K5985" s="10" t="s">
        <v>24</v>
      </c>
    </row>
    <row r="5986" spans="1:11" ht="54" customHeight="1">
      <c r="A5986" s="9" t="s">
        <v>13885</v>
      </c>
      <c r="B5986" s="9" t="s">
        <v>13885</v>
      </c>
      <c r="C5986" s="9" t="s">
        <v>66</v>
      </c>
      <c r="D5986" s="9" t="s">
        <v>18</v>
      </c>
      <c r="E5986" s="10" t="s">
        <v>375</v>
      </c>
      <c r="F5986" s="9" t="s">
        <v>376</v>
      </c>
      <c r="G5986" s="10" t="s">
        <v>21</v>
      </c>
      <c r="H5986" s="9" t="s">
        <v>22</v>
      </c>
      <c r="I5986" s="9" t="s">
        <v>13917</v>
      </c>
      <c r="J5986" s="10" t="str">
        <f>HYPERLINK("https://www.boe.es/gazeta/dias/1834/08/21/pdfs/GMD-1834-187.pdf#page=3","Abrir facsímil")</f>
        <v>Abrir facsímil</v>
      </c>
      <c r="K5986" s="10" t="s">
        <v>24</v>
      </c>
    </row>
    <row r="5987" spans="1:11" ht="54" customHeight="1">
      <c r="A5987" s="9" t="s">
        <v>13885</v>
      </c>
      <c r="B5987" s="9" t="s">
        <v>13885</v>
      </c>
      <c r="C5987" s="9" t="s">
        <v>66</v>
      </c>
      <c r="D5987" s="9" t="s">
        <v>67</v>
      </c>
      <c r="E5987" s="10" t="s">
        <v>981</v>
      </c>
      <c r="F5987" s="9" t="s">
        <v>982</v>
      </c>
      <c r="G5987" s="10" t="s">
        <v>86</v>
      </c>
      <c r="H5987" s="9" t="s">
        <v>22</v>
      </c>
      <c r="I5987" s="9" t="s">
        <v>13918</v>
      </c>
      <c r="J5987" s="10" t="str">
        <f>HYPERLINK("https://www.boe.es/gazeta/dias/1834/09/21/pdfs/GMD-1834-219.pdf#page=2","Abrir facsímil")</f>
        <v>Abrir facsímil</v>
      </c>
      <c r="K5987" s="10" t="s">
        <v>24</v>
      </c>
    </row>
    <row r="5988" spans="1:11" ht="54" customHeight="1">
      <c r="A5988" s="9" t="s">
        <v>13885</v>
      </c>
      <c r="B5988" s="9" t="s">
        <v>13885</v>
      </c>
      <c r="C5988" s="9" t="s">
        <v>17</v>
      </c>
      <c r="D5988" s="9" t="s">
        <v>40</v>
      </c>
      <c r="E5988" s="10" t="s">
        <v>3952</v>
      </c>
      <c r="F5988" s="9" t="s">
        <v>3953</v>
      </c>
      <c r="G5988" s="10" t="s">
        <v>75</v>
      </c>
      <c r="H5988" s="9" t="s">
        <v>22</v>
      </c>
      <c r="I5988" s="9" t="s">
        <v>13919</v>
      </c>
      <c r="J5988" s="10" t="str">
        <f>HYPERLINK("https://www.boe.es/gazeta/dias/1834/02/22/pdfs/GMD-1834-24.pdf#page=4","Abrir facsímil")</f>
        <v>Abrir facsímil</v>
      </c>
      <c r="K5988" s="10" t="s">
        <v>24</v>
      </c>
    </row>
    <row r="5989" spans="1:11" ht="54" customHeight="1">
      <c r="A5989" s="9" t="s">
        <v>13885</v>
      </c>
      <c r="B5989" s="9" t="s">
        <v>13885</v>
      </c>
      <c r="C5989" s="9" t="s">
        <v>122</v>
      </c>
      <c r="D5989" s="9" t="s">
        <v>40</v>
      </c>
      <c r="E5989" s="10" t="s">
        <v>1918</v>
      </c>
      <c r="F5989" s="9" t="s">
        <v>1919</v>
      </c>
      <c r="G5989" s="10" t="s">
        <v>21</v>
      </c>
      <c r="H5989" s="9" t="s">
        <v>22</v>
      </c>
      <c r="I5989" s="9" t="s">
        <v>13920</v>
      </c>
      <c r="J5989" s="10" t="str">
        <f>HYPERLINK("https://www.boe.es/gazeta/dias/1834/03/22/pdfs/GMD-1834-36.pdf#page=3","Abrir facsímil")</f>
        <v>Abrir facsímil</v>
      </c>
      <c r="K5989" s="10" t="s">
        <v>24</v>
      </c>
    </row>
    <row r="5990" spans="1:11" ht="54" customHeight="1">
      <c r="A5990" s="9" t="s">
        <v>13885</v>
      </c>
      <c r="B5990" s="9" t="s">
        <v>13885</v>
      </c>
      <c r="C5990" s="9" t="s">
        <v>122</v>
      </c>
      <c r="D5990" s="9" t="s">
        <v>18</v>
      </c>
      <c r="E5990" s="10" t="s">
        <v>1918</v>
      </c>
      <c r="F5990" s="9" t="s">
        <v>2024</v>
      </c>
      <c r="G5990" s="10" t="s">
        <v>86</v>
      </c>
      <c r="H5990" s="9" t="s">
        <v>22</v>
      </c>
      <c r="I5990" s="9" t="s">
        <v>13921</v>
      </c>
      <c r="J5990" s="10" t="str">
        <f>HYPERLINK("https://www.boe.es/gazeta/dias/1834/03/22/pdfs/GMD-C-1834-36.pdf#page=2","Abrir facsímil")</f>
        <v>Abrir facsímil</v>
      </c>
      <c r="K5990" s="10" t="s">
        <v>24</v>
      </c>
    </row>
    <row r="5991" spans="1:11" ht="54" customHeight="1">
      <c r="A5991" s="9" t="s">
        <v>13885</v>
      </c>
      <c r="B5991" s="9" t="s">
        <v>13885</v>
      </c>
      <c r="C5991" s="9" t="s">
        <v>17</v>
      </c>
      <c r="D5991" s="9" t="s">
        <v>18</v>
      </c>
      <c r="E5991" s="10" t="s">
        <v>8279</v>
      </c>
      <c r="F5991" s="9" t="s">
        <v>8280</v>
      </c>
      <c r="G5991" s="10" t="s">
        <v>75</v>
      </c>
      <c r="H5991" s="9" t="s">
        <v>22</v>
      </c>
      <c r="I5991" s="9" t="s">
        <v>13922</v>
      </c>
      <c r="J5991" s="10" t="str">
        <f>HYPERLINK("https://www.boe.es/gazeta/dias/1834/04/22/pdfs/GMD-1834-61.pdf#page=4","Abrir facsímil")</f>
        <v>Abrir facsímil</v>
      </c>
      <c r="K5991" s="10" t="s">
        <v>24</v>
      </c>
    </row>
    <row r="5992" spans="1:11" ht="54" customHeight="1">
      <c r="A5992" s="9" t="s">
        <v>13885</v>
      </c>
      <c r="B5992" s="9" t="s">
        <v>13885</v>
      </c>
      <c r="C5992" s="9" t="s">
        <v>46</v>
      </c>
      <c r="D5992" s="9" t="s">
        <v>101</v>
      </c>
      <c r="E5992" s="10" t="s">
        <v>606</v>
      </c>
      <c r="F5992" s="9" t="s">
        <v>607</v>
      </c>
      <c r="G5992" s="10" t="s">
        <v>21</v>
      </c>
      <c r="H5992" s="9" t="s">
        <v>22</v>
      </c>
      <c r="I5992" s="9" t="s">
        <v>13923</v>
      </c>
      <c r="J5992" s="10" t="str">
        <f>HYPERLINK("https://www.boe.es/gazeta/dias/1834/06/23/pdfs/GMD-1834-126.pdf#page=3","Abrir facsímil")</f>
        <v>Abrir facsímil</v>
      </c>
      <c r="K5992" s="10" t="s">
        <v>24</v>
      </c>
    </row>
    <row r="5993" spans="1:11" ht="54" customHeight="1">
      <c r="A5993" s="9" t="s">
        <v>13885</v>
      </c>
      <c r="B5993" s="9" t="s">
        <v>13885</v>
      </c>
      <c r="C5993" s="9" t="s">
        <v>66</v>
      </c>
      <c r="D5993" s="9" t="s">
        <v>18</v>
      </c>
      <c r="E5993" s="10" t="s">
        <v>606</v>
      </c>
      <c r="F5993" s="9" t="s">
        <v>607</v>
      </c>
      <c r="G5993" s="10" t="s">
        <v>75</v>
      </c>
      <c r="H5993" s="9" t="s">
        <v>22</v>
      </c>
      <c r="I5993" s="9" t="s">
        <v>13924</v>
      </c>
      <c r="J5993" s="10" t="str">
        <f>HYPERLINK("https://www.boe.es/gazeta/dias/1834/06/23/pdfs/GMD-1834-126.pdf#page=4","Abrir facsímil")</f>
        <v>Abrir facsímil</v>
      </c>
      <c r="K5993" s="10" t="s">
        <v>24</v>
      </c>
    </row>
    <row r="5994" spans="1:11" ht="54" customHeight="1">
      <c r="A5994" s="9" t="s">
        <v>13885</v>
      </c>
      <c r="B5994" s="9" t="s">
        <v>13885</v>
      </c>
      <c r="C5994" s="9" t="s">
        <v>46</v>
      </c>
      <c r="D5994" s="9" t="s">
        <v>55</v>
      </c>
      <c r="E5994" s="10" t="s">
        <v>1212</v>
      </c>
      <c r="F5994" s="9" t="s">
        <v>1213</v>
      </c>
      <c r="G5994" s="10" t="s">
        <v>86</v>
      </c>
      <c r="H5994" s="9" t="s">
        <v>22</v>
      </c>
      <c r="I5994" s="9" t="s">
        <v>13925</v>
      </c>
      <c r="J5994" s="10" t="str">
        <f>HYPERLINK("https://www.boe.es/gazeta/dias/1834/05/24/pdfs/GMD-1834-93.pdf#page=2","Abrir facsímil")</f>
        <v>Abrir facsímil</v>
      </c>
      <c r="K5994" s="10" t="s">
        <v>24</v>
      </c>
    </row>
    <row r="5995" spans="1:11" ht="54" customHeight="1">
      <c r="A5995" s="9" t="s">
        <v>13885</v>
      </c>
      <c r="B5995" s="9" t="s">
        <v>13885</v>
      </c>
      <c r="C5995" s="9" t="s">
        <v>17</v>
      </c>
      <c r="D5995" s="9" t="s">
        <v>18</v>
      </c>
      <c r="E5995" s="10" t="s">
        <v>2302</v>
      </c>
      <c r="F5995" s="9" t="s">
        <v>2303</v>
      </c>
      <c r="G5995" s="10" t="s">
        <v>75</v>
      </c>
      <c r="H5995" s="9" t="s">
        <v>22</v>
      </c>
      <c r="I5995" s="9" t="s">
        <v>13926</v>
      </c>
      <c r="J5995" s="10" t="str">
        <f>HYPERLINK("https://www.boe.es/gazeta/dias/1834/01/25/pdfs/GMD-1834-12.pdf#page=4","Abrir facsímil")</f>
        <v>Abrir facsímil</v>
      </c>
      <c r="K5995" s="10" t="s">
        <v>24</v>
      </c>
    </row>
    <row r="5996" spans="1:11" ht="54" customHeight="1">
      <c r="A5996" s="9" t="s">
        <v>13885</v>
      </c>
      <c r="B5996" s="9" t="s">
        <v>13885</v>
      </c>
      <c r="C5996" s="9" t="s">
        <v>17</v>
      </c>
      <c r="D5996" s="9" t="s">
        <v>40</v>
      </c>
      <c r="E5996" s="10" t="s">
        <v>389</v>
      </c>
      <c r="F5996" s="9" t="s">
        <v>390</v>
      </c>
      <c r="G5996" s="10" t="s">
        <v>75</v>
      </c>
      <c r="H5996" s="9" t="s">
        <v>22</v>
      </c>
      <c r="I5996" s="9" t="s">
        <v>13927</v>
      </c>
      <c r="J5996" s="10" t="str">
        <f>HYPERLINK("https://www.boe.es/gazeta/dias/1834/10/25/pdfs/GMD-1834-253.pdf#page=4","Abrir facsímil")</f>
        <v>Abrir facsímil</v>
      </c>
      <c r="K5996" s="10" t="s">
        <v>24</v>
      </c>
    </row>
    <row r="5997" spans="1:11" ht="54" customHeight="1">
      <c r="A5997" s="9" t="s">
        <v>13885</v>
      </c>
      <c r="B5997" s="9" t="s">
        <v>13885</v>
      </c>
      <c r="C5997" s="9" t="s">
        <v>17</v>
      </c>
      <c r="D5997" s="9" t="s">
        <v>18</v>
      </c>
      <c r="E5997" s="10" t="s">
        <v>174</v>
      </c>
      <c r="F5997" s="9" t="s">
        <v>175</v>
      </c>
      <c r="G5997" s="10" t="s">
        <v>28</v>
      </c>
      <c r="H5997" s="9" t="s">
        <v>22</v>
      </c>
      <c r="I5997" s="9" t="s">
        <v>13928</v>
      </c>
      <c r="J5997" s="10" t="str">
        <f>HYPERLINK("https://www.boe.es/gazeta/dias/1834/03/27/pdfs/GMD-1834-38.pdf#page=5","Abrir facsímil")</f>
        <v>Abrir facsímil</v>
      </c>
      <c r="K5997" s="10" t="s">
        <v>24</v>
      </c>
    </row>
    <row r="5998" spans="1:11" ht="54" customHeight="1">
      <c r="A5998" s="9" t="s">
        <v>13885</v>
      </c>
      <c r="B5998" s="9" t="s">
        <v>13885</v>
      </c>
      <c r="C5998" s="9" t="s">
        <v>17</v>
      </c>
      <c r="D5998" s="9" t="s">
        <v>18</v>
      </c>
      <c r="E5998" s="10" t="s">
        <v>2945</v>
      </c>
      <c r="F5998" s="9" t="s">
        <v>2946</v>
      </c>
      <c r="G5998" s="10" t="s">
        <v>75</v>
      </c>
      <c r="H5998" s="9" t="s">
        <v>22</v>
      </c>
      <c r="I5998" s="9" t="s">
        <v>13929</v>
      </c>
      <c r="J5998" s="10" t="str">
        <f>HYPERLINK("https://www.boe.es/gazeta/dias/1834/05/29/pdfs/GMD-1834-98.pdf#page=4","Abrir facsímil")</f>
        <v>Abrir facsímil</v>
      </c>
      <c r="K5998" s="10" t="s">
        <v>24</v>
      </c>
    </row>
    <row r="5999" spans="1:11" ht="54" customHeight="1">
      <c r="A5999" s="9" t="s">
        <v>13885</v>
      </c>
      <c r="B5999" s="9" t="s">
        <v>13885</v>
      </c>
      <c r="C5999" s="9" t="s">
        <v>17</v>
      </c>
      <c r="D5999" s="9" t="s">
        <v>18</v>
      </c>
      <c r="E5999" s="10" t="s">
        <v>1747</v>
      </c>
      <c r="F5999" s="9" t="s">
        <v>1748</v>
      </c>
      <c r="G5999" s="10" t="s">
        <v>21</v>
      </c>
      <c r="H5999" s="9" t="s">
        <v>22</v>
      </c>
      <c r="I5999" s="9" t="s">
        <v>13930</v>
      </c>
      <c r="J5999" s="10" t="str">
        <f>HYPERLINK("https://www.boe.es/gazeta/dias/1834/06/29/pdfs/GMD-1834-132.pdf#page=3","Abrir facsímil")</f>
        <v>Abrir facsímil</v>
      </c>
      <c r="K5999" s="10" t="s">
        <v>24</v>
      </c>
    </row>
    <row r="6000" spans="1:11" ht="54" customHeight="1">
      <c r="A6000" s="9" t="s">
        <v>13885</v>
      </c>
      <c r="B6000" s="9" t="s">
        <v>13885</v>
      </c>
      <c r="C6000" s="9" t="s">
        <v>66</v>
      </c>
      <c r="D6000" s="9" t="s">
        <v>67</v>
      </c>
      <c r="E6000" s="10" t="s">
        <v>309</v>
      </c>
      <c r="F6000" s="9" t="s">
        <v>310</v>
      </c>
      <c r="G6000" s="10" t="s">
        <v>75</v>
      </c>
      <c r="H6000" s="9" t="s">
        <v>22</v>
      </c>
      <c r="I6000" s="9" t="s">
        <v>13931</v>
      </c>
      <c r="J6000" s="10" t="str">
        <f>HYPERLINK("https://www.boe.es/gazeta/dias/1834/05/30/pdfs/GMD-1834-99.pdf#page=4","Abrir facsímil")</f>
        <v>Abrir facsímil</v>
      </c>
      <c r="K6000" s="10" t="s">
        <v>24</v>
      </c>
    </row>
    <row r="6001" spans="1:11" ht="54" customHeight="1">
      <c r="A6001" s="9" t="s">
        <v>13885</v>
      </c>
      <c r="B6001" s="9" t="s">
        <v>13885</v>
      </c>
      <c r="C6001" s="9" t="s">
        <v>66</v>
      </c>
      <c r="D6001" s="9" t="s">
        <v>67</v>
      </c>
      <c r="E6001" s="10" t="s">
        <v>1695</v>
      </c>
      <c r="F6001" s="9" t="s">
        <v>1696</v>
      </c>
      <c r="G6001" s="10" t="s">
        <v>21</v>
      </c>
      <c r="H6001" s="9" t="s">
        <v>22</v>
      </c>
      <c r="I6001" s="9" t="s">
        <v>13932</v>
      </c>
      <c r="J6001" s="10" t="str">
        <f>HYPERLINK("https://www.boe.es/gazeta/dias/1834/06/30/pdfs/GMD-1834-133.pdf#page=3","Abrir facsímil")</f>
        <v>Abrir facsímil</v>
      </c>
      <c r="K6001" s="10" t="s">
        <v>24</v>
      </c>
    </row>
    <row r="6002" spans="1:11" ht="54" customHeight="1">
      <c r="A6002" s="9" t="s">
        <v>13885</v>
      </c>
      <c r="B6002" s="9" t="s">
        <v>13885</v>
      </c>
      <c r="C6002" s="9" t="s">
        <v>66</v>
      </c>
      <c r="D6002" s="9" t="s">
        <v>67</v>
      </c>
      <c r="E6002" s="10" t="s">
        <v>552</v>
      </c>
      <c r="F6002" s="9" t="s">
        <v>553</v>
      </c>
      <c r="G6002" s="10" t="s">
        <v>21</v>
      </c>
      <c r="H6002" s="9" t="s">
        <v>22</v>
      </c>
      <c r="I6002" s="9" t="s">
        <v>13933</v>
      </c>
      <c r="J6002" s="10" t="str">
        <f>HYPERLINK("https://www.boe.es/gazeta/dias/1834/07/30/pdfs/GMD-1834-163.pdf#page=3","Abrir facsímil")</f>
        <v>Abrir facsímil</v>
      </c>
      <c r="K6002" s="10" t="s">
        <v>24</v>
      </c>
    </row>
    <row r="6003" spans="1:11" ht="54" customHeight="1">
      <c r="A6003" s="9" t="s">
        <v>13885</v>
      </c>
      <c r="B6003" s="9" t="s">
        <v>13885</v>
      </c>
      <c r="C6003" s="9" t="s">
        <v>66</v>
      </c>
      <c r="D6003" s="9" t="s">
        <v>67</v>
      </c>
      <c r="E6003" s="10" t="s">
        <v>1789</v>
      </c>
      <c r="F6003" s="9" t="s">
        <v>1790</v>
      </c>
      <c r="G6003" s="10" t="s">
        <v>21</v>
      </c>
      <c r="H6003" s="9" t="s">
        <v>22</v>
      </c>
      <c r="I6003" s="9" t="s">
        <v>13934</v>
      </c>
      <c r="J6003" s="10" t="str">
        <f>HYPERLINK("https://www.boe.es/gazeta/dias/1834/05/31/pdfs/GMD-1834-100.pdf#page=3","Abrir facsímil")</f>
        <v>Abrir facsímil</v>
      </c>
      <c r="K6003" s="10" t="s">
        <v>24</v>
      </c>
    </row>
    <row r="6004" spans="1:11" ht="54" customHeight="1">
      <c r="A6004" s="9" t="s">
        <v>13885</v>
      </c>
      <c r="B6004" s="9" t="s">
        <v>13885</v>
      </c>
      <c r="C6004" s="9" t="s">
        <v>90</v>
      </c>
      <c r="D6004" s="9" t="s">
        <v>18</v>
      </c>
      <c r="E6004" s="10" t="s">
        <v>1789</v>
      </c>
      <c r="F6004" s="9" t="s">
        <v>1790</v>
      </c>
      <c r="G6004" s="10" t="s">
        <v>75</v>
      </c>
      <c r="H6004" s="9" t="s">
        <v>22</v>
      </c>
      <c r="I6004" s="9" t="s">
        <v>13935</v>
      </c>
      <c r="J6004" s="10" t="str">
        <f>HYPERLINK("https://www.boe.es/gazeta/dias/1834/05/31/pdfs/GMD-1834-100.pdf#page=4","Abrir facsímil")</f>
        <v>Abrir facsímil</v>
      </c>
      <c r="K6004" s="10" t="s">
        <v>24</v>
      </c>
    </row>
    <row r="6005" spans="1:11" ht="54" customHeight="1">
      <c r="A6005" s="9" t="s">
        <v>13936</v>
      </c>
      <c r="B6005" s="9" t="s">
        <v>13937</v>
      </c>
      <c r="C6005" s="9" t="s">
        <v>17</v>
      </c>
      <c r="D6005" s="9" t="s">
        <v>18</v>
      </c>
      <c r="E6005" s="10" t="s">
        <v>1337</v>
      </c>
      <c r="F6005" s="9" t="s">
        <v>1338</v>
      </c>
      <c r="G6005" s="10" t="s">
        <v>21</v>
      </c>
      <c r="H6005" s="9" t="s">
        <v>22</v>
      </c>
      <c r="I6005" s="9" t="s">
        <v>13938</v>
      </c>
      <c r="J6005" s="10" t="str">
        <f>HYPERLINK("https://www.boe.es/gazeta/dias/1834/01/02/pdfs/GMD-1834-1.pdf#page=3","Abrir facsímil")</f>
        <v>Abrir facsímil</v>
      </c>
      <c r="K6005" s="10" t="s">
        <v>24</v>
      </c>
    </row>
    <row r="6006" spans="1:11" ht="54" customHeight="1">
      <c r="A6006" s="9" t="s">
        <v>13936</v>
      </c>
      <c r="B6006" s="9" t="s">
        <v>13937</v>
      </c>
      <c r="C6006" s="9" t="s">
        <v>17</v>
      </c>
      <c r="D6006" s="9" t="s">
        <v>101</v>
      </c>
      <c r="E6006" s="10" t="s">
        <v>690</v>
      </c>
      <c r="F6006" s="9" t="s">
        <v>5765</v>
      </c>
      <c r="G6006" s="10" t="s">
        <v>21</v>
      </c>
      <c r="H6006" s="9" t="s">
        <v>22</v>
      </c>
      <c r="I6006" s="9" t="s">
        <v>13939</v>
      </c>
      <c r="J6006" s="10" t="str">
        <f>HYPERLINK("https://www.boe.es/gazeta/dias/1834/09/03/pdfs/GMD-1834-201.pdf#page=3","Abrir facsímil")</f>
        <v>Abrir facsímil</v>
      </c>
      <c r="K6006" s="10" t="s">
        <v>24</v>
      </c>
    </row>
    <row r="6007" spans="1:11" ht="54" customHeight="1">
      <c r="A6007" s="9" t="s">
        <v>13936</v>
      </c>
      <c r="B6007" s="9" t="s">
        <v>13937</v>
      </c>
      <c r="C6007" s="9" t="s">
        <v>46</v>
      </c>
      <c r="D6007" s="9" t="s">
        <v>101</v>
      </c>
      <c r="E6007" s="10" t="s">
        <v>2865</v>
      </c>
      <c r="F6007" s="9" t="s">
        <v>2866</v>
      </c>
      <c r="G6007" s="10" t="s">
        <v>21</v>
      </c>
      <c r="H6007" s="9" t="s">
        <v>22</v>
      </c>
      <c r="I6007" s="9" t="s">
        <v>13940</v>
      </c>
      <c r="J6007" s="10" t="str">
        <f>HYPERLINK("https://www.boe.es/gazeta/dias/1834/07/06/pdfs/GMD-1834-139.pdf#page=3","Abrir facsímil")</f>
        <v>Abrir facsímil</v>
      </c>
      <c r="K6007" s="10" t="s">
        <v>24</v>
      </c>
    </row>
    <row r="6008" spans="1:11" ht="54" customHeight="1">
      <c r="A6008" s="9" t="s">
        <v>13936</v>
      </c>
      <c r="B6008" s="9" t="s">
        <v>13937</v>
      </c>
      <c r="C6008" s="9" t="s">
        <v>17</v>
      </c>
      <c r="D6008" s="9" t="s">
        <v>18</v>
      </c>
      <c r="E6008" s="10" t="s">
        <v>364</v>
      </c>
      <c r="F6008" s="9" t="s">
        <v>365</v>
      </c>
      <c r="G6008" s="10" t="s">
        <v>34</v>
      </c>
      <c r="H6008" s="9" t="s">
        <v>22</v>
      </c>
      <c r="I6008" s="9" t="s">
        <v>13941</v>
      </c>
      <c r="J6008" s="10" t="str">
        <f>HYPERLINK("https://www.boe.es/gazeta/dias/1834/09/06/pdfs/GMD-D-1834-204.pdf#page=1","Abrir facsímil")</f>
        <v>Abrir facsímil</v>
      </c>
      <c r="K6008" s="10" t="s">
        <v>24</v>
      </c>
    </row>
    <row r="6009" spans="1:11" ht="54" customHeight="1">
      <c r="A6009" s="9" t="s">
        <v>13936</v>
      </c>
      <c r="B6009" s="9" t="s">
        <v>13937</v>
      </c>
      <c r="C6009" s="9" t="s">
        <v>17</v>
      </c>
      <c r="D6009" s="9" t="s">
        <v>18</v>
      </c>
      <c r="E6009" s="10" t="s">
        <v>2241</v>
      </c>
      <c r="F6009" s="9" t="s">
        <v>2242</v>
      </c>
      <c r="G6009" s="10" t="s">
        <v>21</v>
      </c>
      <c r="H6009" s="9" t="s">
        <v>22</v>
      </c>
      <c r="I6009" s="9" t="s">
        <v>13942</v>
      </c>
      <c r="J6009" s="10" t="str">
        <f>HYPERLINK("https://www.boe.es/gazeta/dias/1834/03/11/pdfs/GMD-1834-31.pdf#page=3","Abrir facsímil")</f>
        <v>Abrir facsímil</v>
      </c>
      <c r="K6009" s="10" t="s">
        <v>24</v>
      </c>
    </row>
    <row r="6010" spans="1:11" ht="54" customHeight="1">
      <c r="A6010" s="9" t="s">
        <v>13936</v>
      </c>
      <c r="B6010" s="9" t="s">
        <v>13937</v>
      </c>
      <c r="C6010" s="9" t="s">
        <v>66</v>
      </c>
      <c r="D6010" s="9" t="s">
        <v>18</v>
      </c>
      <c r="E6010" s="10" t="s">
        <v>19</v>
      </c>
      <c r="F6010" s="9" t="s">
        <v>1933</v>
      </c>
      <c r="G6010" s="10" t="s">
        <v>34</v>
      </c>
      <c r="H6010" s="9" t="s">
        <v>22</v>
      </c>
      <c r="I6010" s="9" t="s">
        <v>13943</v>
      </c>
      <c r="J6010" s="10" t="str">
        <f>HYPERLINK("https://www.boe.es/gazeta/dias/1834/08/17/pdfs/GMD-1834-183E.pdf#page=1","Abrir facsímil")</f>
        <v>Abrir facsímil</v>
      </c>
      <c r="K6010" s="10" t="s">
        <v>24</v>
      </c>
    </row>
    <row r="6011" spans="1:11" ht="54" customHeight="1">
      <c r="A6011" s="9" t="s">
        <v>13936</v>
      </c>
      <c r="B6011" s="9" t="s">
        <v>13937</v>
      </c>
      <c r="C6011" s="9" t="s">
        <v>17</v>
      </c>
      <c r="D6011" s="9" t="s">
        <v>18</v>
      </c>
      <c r="E6011" s="10" t="s">
        <v>265</v>
      </c>
      <c r="F6011" s="9" t="s">
        <v>969</v>
      </c>
      <c r="G6011" s="10" t="s">
        <v>21</v>
      </c>
      <c r="H6011" s="9" t="s">
        <v>22</v>
      </c>
      <c r="I6011" s="9" t="s">
        <v>13944</v>
      </c>
      <c r="J6011" s="10" t="str">
        <f>HYPERLINK("https://www.boe.es/gazeta/dias/1834/11/19/pdfs/GMD-1834-278.pdf#page=3","Abrir facsímil")</f>
        <v>Abrir facsímil</v>
      </c>
      <c r="K6011" s="10" t="s">
        <v>24</v>
      </c>
    </row>
    <row r="6012" spans="1:11" ht="54" customHeight="1">
      <c r="A6012" s="9" t="s">
        <v>13936</v>
      </c>
      <c r="B6012" s="9" t="s">
        <v>13937</v>
      </c>
      <c r="C6012" s="9" t="s">
        <v>90</v>
      </c>
      <c r="D6012" s="9" t="s">
        <v>18</v>
      </c>
      <c r="E6012" s="10" t="s">
        <v>375</v>
      </c>
      <c r="F6012" s="9" t="s">
        <v>376</v>
      </c>
      <c r="G6012" s="10" t="s">
        <v>86</v>
      </c>
      <c r="H6012" s="9" t="s">
        <v>22</v>
      </c>
      <c r="I6012" s="9" t="s">
        <v>13945</v>
      </c>
      <c r="J6012" s="10" t="str">
        <f>HYPERLINK("https://www.boe.es/gazeta/dias/1834/08/21/pdfs/GMD-1834-187.pdf#page=2","Abrir facsímil")</f>
        <v>Abrir facsímil</v>
      </c>
      <c r="K6012" s="10" t="s">
        <v>24</v>
      </c>
    </row>
    <row r="6013" spans="1:11" ht="54" customHeight="1">
      <c r="A6013" s="9" t="s">
        <v>13936</v>
      </c>
      <c r="B6013" s="9" t="s">
        <v>13937</v>
      </c>
      <c r="C6013" s="9" t="s">
        <v>46</v>
      </c>
      <c r="D6013" s="9" t="s">
        <v>101</v>
      </c>
      <c r="E6013" s="10" t="s">
        <v>32</v>
      </c>
      <c r="F6013" s="9" t="s">
        <v>33</v>
      </c>
      <c r="G6013" s="10" t="s">
        <v>21</v>
      </c>
      <c r="H6013" s="9" t="s">
        <v>22</v>
      </c>
      <c r="I6013" s="9" t="s">
        <v>13946</v>
      </c>
      <c r="J6013" s="10" t="str">
        <f>HYPERLINK("https://www.boe.es/gazeta/dias/1834/04/23/pdfs/GMD-1834-62.pdf#page=3","Abrir facsímil")</f>
        <v>Abrir facsímil</v>
      </c>
      <c r="K6013" s="10" t="s">
        <v>24</v>
      </c>
    </row>
    <row r="6014" spans="1:11" ht="54" customHeight="1">
      <c r="A6014" s="9" t="s">
        <v>13936</v>
      </c>
      <c r="B6014" s="9" t="s">
        <v>13937</v>
      </c>
      <c r="C6014" s="9" t="s">
        <v>17</v>
      </c>
      <c r="D6014" s="9" t="s">
        <v>18</v>
      </c>
      <c r="E6014" s="10" t="s">
        <v>1575</v>
      </c>
      <c r="F6014" s="9" t="s">
        <v>1576</v>
      </c>
      <c r="G6014" s="10" t="s">
        <v>21</v>
      </c>
      <c r="H6014" s="9" t="s">
        <v>22</v>
      </c>
      <c r="I6014" s="9" t="s">
        <v>13947</v>
      </c>
      <c r="J6014" s="10" t="str">
        <f>HYPERLINK("https://www.boe.es/gazeta/dias/1834/11/24/pdfs/GMD-1834-283.pdf#page=3","Abrir facsímil")</f>
        <v>Abrir facsímil</v>
      </c>
      <c r="K6014" s="10" t="s">
        <v>24</v>
      </c>
    </row>
    <row r="6015" spans="1:11" ht="54" customHeight="1">
      <c r="A6015" s="9" t="s">
        <v>13936</v>
      </c>
      <c r="B6015" s="9" t="s">
        <v>13937</v>
      </c>
      <c r="C6015" s="9" t="s">
        <v>66</v>
      </c>
      <c r="D6015" s="9" t="s">
        <v>18</v>
      </c>
      <c r="E6015" s="10" t="s">
        <v>286</v>
      </c>
      <c r="F6015" s="9" t="s">
        <v>1928</v>
      </c>
      <c r="G6015" s="10" t="s">
        <v>34</v>
      </c>
      <c r="H6015" s="9" t="s">
        <v>22</v>
      </c>
      <c r="I6015" s="9" t="s">
        <v>13948</v>
      </c>
      <c r="J6015" s="10" t="str">
        <f>HYPERLINK("https://www.boe.es/gazeta/dias/1834/08/30/pdfs/GMD-1834-197E.pdf#page=1","Abrir facsímil")</f>
        <v>Abrir facsímil</v>
      </c>
      <c r="K6015" s="10" t="s">
        <v>24</v>
      </c>
    </row>
    <row r="6016" spans="1:11" ht="54" customHeight="1">
      <c r="A6016" s="9" t="s">
        <v>13949</v>
      </c>
      <c r="B6016" s="9" t="s">
        <v>13950</v>
      </c>
      <c r="C6016" s="9" t="s">
        <v>66</v>
      </c>
      <c r="D6016" s="9" t="s">
        <v>67</v>
      </c>
      <c r="E6016" s="10" t="s">
        <v>1862</v>
      </c>
      <c r="F6016" s="9" t="s">
        <v>1863</v>
      </c>
      <c r="G6016" s="10" t="s">
        <v>75</v>
      </c>
      <c r="H6016" s="9" t="s">
        <v>22</v>
      </c>
      <c r="I6016" s="9" t="s">
        <v>13951</v>
      </c>
      <c r="J6016" s="10" t="str">
        <f>HYPERLINK("https://www.boe.es/gazeta/dias/1834/02/04/pdfs/GMD-1834-16.pdf#page=4","Abrir facsímil")</f>
        <v>Abrir facsímil</v>
      </c>
      <c r="K6016" s="10" t="s">
        <v>24</v>
      </c>
    </row>
    <row r="6017" spans="1:11" ht="54" customHeight="1">
      <c r="A6017" s="9" t="s">
        <v>13952</v>
      </c>
      <c r="B6017" s="9" t="s">
        <v>13953</v>
      </c>
      <c r="C6017" s="9" t="s">
        <v>66</v>
      </c>
      <c r="D6017" s="9" t="s">
        <v>67</v>
      </c>
      <c r="E6017" s="10" t="s">
        <v>1394</v>
      </c>
      <c r="F6017" s="9" t="s">
        <v>2923</v>
      </c>
      <c r="G6017" s="10" t="s">
        <v>86</v>
      </c>
      <c r="H6017" s="9" t="s">
        <v>22</v>
      </c>
      <c r="I6017" s="9" t="s">
        <v>13954</v>
      </c>
      <c r="J6017" s="10" t="str">
        <f>HYPERLINK("https://www.boe.es/gazeta/dias/1834/04/16/pdfs/GMD-C-1834-55.pdf#page=2","Abrir facsímil")</f>
        <v>Abrir facsímil</v>
      </c>
      <c r="K6017" s="10" t="s">
        <v>24</v>
      </c>
    </row>
    <row r="6018" spans="1:11" ht="54" customHeight="1">
      <c r="A6018" s="9" t="s">
        <v>13955</v>
      </c>
      <c r="B6018" s="9" t="s">
        <v>13956</v>
      </c>
      <c r="C6018" s="9" t="s">
        <v>46</v>
      </c>
      <c r="D6018" s="9" t="s">
        <v>101</v>
      </c>
      <c r="E6018" s="10" t="s">
        <v>976</v>
      </c>
      <c r="F6018" s="9" t="s">
        <v>1061</v>
      </c>
      <c r="G6018" s="10" t="s">
        <v>34</v>
      </c>
      <c r="H6018" s="9" t="s">
        <v>35</v>
      </c>
      <c r="I6018" s="9" t="s">
        <v>13957</v>
      </c>
      <c r="J6018" s="10" t="str">
        <f>HYPERLINK("https://www.boe.es/gazeta/dias/1834/04/02/pdfs/GMD-C-1834-41.pdf#page=1","Abrir facsímil")</f>
        <v>Abrir facsímil</v>
      </c>
      <c r="K6018" s="10" t="s">
        <v>37</v>
      </c>
    </row>
    <row r="6019" spans="1:11" ht="54" customHeight="1">
      <c r="A6019" s="9" t="s">
        <v>13955</v>
      </c>
      <c r="B6019" s="9" t="s">
        <v>13956</v>
      </c>
      <c r="C6019" s="9" t="s">
        <v>17</v>
      </c>
      <c r="D6019" s="9" t="s">
        <v>18</v>
      </c>
      <c r="E6019" s="10" t="s">
        <v>2241</v>
      </c>
      <c r="F6019" s="9" t="s">
        <v>2242</v>
      </c>
      <c r="G6019" s="10" t="s">
        <v>21</v>
      </c>
      <c r="H6019" s="9" t="s">
        <v>35</v>
      </c>
      <c r="I6019" s="9" t="s">
        <v>13958</v>
      </c>
      <c r="J6019" s="10" t="str">
        <f>HYPERLINK("https://www.boe.es/gazeta/dias/1834/03/11/pdfs/GMD-1834-31.pdf#page=3","Abrir facsímil")</f>
        <v>Abrir facsímil</v>
      </c>
      <c r="K6019" s="10" t="s">
        <v>37</v>
      </c>
    </row>
    <row r="6020" spans="1:11" ht="54" customHeight="1">
      <c r="A6020" s="9" t="s">
        <v>13955</v>
      </c>
      <c r="B6020" s="9" t="s">
        <v>13956</v>
      </c>
      <c r="C6020" s="9" t="s">
        <v>46</v>
      </c>
      <c r="D6020" s="9" t="s">
        <v>101</v>
      </c>
      <c r="E6020" s="10" t="s">
        <v>32</v>
      </c>
      <c r="F6020" s="9" t="s">
        <v>33</v>
      </c>
      <c r="G6020" s="10" t="s">
        <v>21</v>
      </c>
      <c r="H6020" s="9" t="s">
        <v>35</v>
      </c>
      <c r="I6020" s="9" t="s">
        <v>13959</v>
      </c>
      <c r="J6020" s="10" t="str">
        <f>HYPERLINK("https://www.boe.es/gazeta/dias/1834/04/23/pdfs/GMD-1834-62.pdf#page=3","Abrir facsímil")</f>
        <v>Abrir facsímil</v>
      </c>
      <c r="K6020" s="10" t="s">
        <v>37</v>
      </c>
    </row>
    <row r="6021" spans="1:11" ht="54" customHeight="1">
      <c r="A6021" s="9" t="s">
        <v>13955</v>
      </c>
      <c r="B6021" s="9" t="s">
        <v>13956</v>
      </c>
      <c r="C6021" s="9" t="s">
        <v>17</v>
      </c>
      <c r="D6021" s="9" t="s">
        <v>18</v>
      </c>
      <c r="E6021" s="10" t="s">
        <v>286</v>
      </c>
      <c r="F6021" s="9" t="s">
        <v>1928</v>
      </c>
      <c r="G6021" s="10" t="s">
        <v>34</v>
      </c>
      <c r="H6021" s="9" t="s">
        <v>35</v>
      </c>
      <c r="I6021" s="9" t="s">
        <v>13960</v>
      </c>
      <c r="J6021" s="10" t="str">
        <f>HYPERLINK("https://www.boe.es/gazeta/dias/1834/08/30/pdfs/GMD-1834-197E.pdf#page=1","Abrir facsímil")</f>
        <v>Abrir facsímil</v>
      </c>
      <c r="K6021" s="10" t="s">
        <v>37</v>
      </c>
    </row>
    <row r="6022" spans="1:11" ht="54" customHeight="1">
      <c r="A6022" s="9" t="s">
        <v>13961</v>
      </c>
      <c r="B6022" s="9" t="s">
        <v>13962</v>
      </c>
      <c r="C6022" s="9" t="s">
        <v>17</v>
      </c>
      <c r="D6022" s="9" t="s">
        <v>18</v>
      </c>
      <c r="E6022" s="10" t="s">
        <v>844</v>
      </c>
      <c r="F6022" s="9" t="s">
        <v>845</v>
      </c>
      <c r="G6022" s="10" t="s">
        <v>21</v>
      </c>
      <c r="H6022" s="9" t="s">
        <v>35</v>
      </c>
      <c r="I6022" s="9" t="s">
        <v>13963</v>
      </c>
      <c r="J6022" s="10" t="str">
        <f>HYPERLINK("https://www.boe.es/gazeta/dias/1834/03/13/pdfs/GMD-1834-32.pdf#page=3","Abrir facsímil")</f>
        <v>Abrir facsímil</v>
      </c>
      <c r="K6022" s="10" t="s">
        <v>37</v>
      </c>
    </row>
    <row r="6023" spans="1:11" ht="54" customHeight="1">
      <c r="A6023" s="9" t="s">
        <v>13964</v>
      </c>
      <c r="B6023" s="9" t="s">
        <v>13965</v>
      </c>
      <c r="C6023" s="9" t="s">
        <v>66</v>
      </c>
      <c r="D6023" s="9" t="s">
        <v>67</v>
      </c>
      <c r="E6023" s="10" t="s">
        <v>1394</v>
      </c>
      <c r="F6023" s="9" t="s">
        <v>2923</v>
      </c>
      <c r="G6023" s="10" t="s">
        <v>86</v>
      </c>
      <c r="H6023" s="9" t="s">
        <v>35</v>
      </c>
      <c r="I6023" s="9" t="s">
        <v>13966</v>
      </c>
      <c r="J6023" s="10" t="str">
        <f>HYPERLINK("https://www.boe.es/gazeta/dias/1834/04/16/pdfs/GMD-C-1834-55.pdf#page=2","Abrir facsímil")</f>
        <v>Abrir facsímil</v>
      </c>
      <c r="K6023" s="10" t="s">
        <v>37</v>
      </c>
    </row>
    <row r="6024" spans="1:11" ht="54" customHeight="1">
      <c r="A6024" s="9" t="s">
        <v>13967</v>
      </c>
      <c r="B6024" s="9" t="s">
        <v>13968</v>
      </c>
      <c r="C6024" s="9" t="s">
        <v>66</v>
      </c>
      <c r="D6024" s="9" t="s">
        <v>67</v>
      </c>
      <c r="E6024" s="10" t="s">
        <v>1862</v>
      </c>
      <c r="F6024" s="9" t="s">
        <v>1863</v>
      </c>
      <c r="G6024" s="10" t="s">
        <v>75</v>
      </c>
      <c r="H6024" s="9" t="s">
        <v>35</v>
      </c>
      <c r="I6024" s="9" t="s">
        <v>13969</v>
      </c>
      <c r="J6024" s="10" t="str">
        <f>HYPERLINK("https://www.boe.es/gazeta/dias/1834/02/04/pdfs/GMD-1834-16.pdf#page=4","Abrir facsímil")</f>
        <v>Abrir facsímil</v>
      </c>
      <c r="K6024" s="10" t="s">
        <v>37</v>
      </c>
    </row>
    <row r="6025" spans="1:11" ht="54" customHeight="1">
      <c r="A6025" s="9" t="s">
        <v>13970</v>
      </c>
      <c r="B6025" s="9" t="s">
        <v>13970</v>
      </c>
      <c r="C6025" s="9" t="s">
        <v>17</v>
      </c>
      <c r="D6025" s="9" t="s">
        <v>18</v>
      </c>
      <c r="E6025" s="10" t="s">
        <v>222</v>
      </c>
      <c r="F6025" s="9" t="s">
        <v>223</v>
      </c>
      <c r="G6025" s="10" t="s">
        <v>75</v>
      </c>
      <c r="H6025" s="9" t="s">
        <v>22</v>
      </c>
      <c r="I6025" s="9" t="s">
        <v>13971</v>
      </c>
      <c r="J6025" s="10" t="str">
        <f>HYPERLINK("https://www.boe.es/gazeta/dias/1834/09/14/pdfs/GMD-1834-212.pdf#page=4","Abrir facsímil")</f>
        <v>Abrir facsímil</v>
      </c>
      <c r="K6025" s="10" t="s">
        <v>24</v>
      </c>
    </row>
    <row r="6026" spans="1:11" ht="54" customHeight="1">
      <c r="A6026" s="9" t="s">
        <v>13972</v>
      </c>
      <c r="B6026" s="9" t="s">
        <v>13972</v>
      </c>
      <c r="C6026" s="9" t="s">
        <v>66</v>
      </c>
      <c r="D6026" s="9" t="s">
        <v>67</v>
      </c>
      <c r="E6026" s="10" t="s">
        <v>653</v>
      </c>
      <c r="F6026" s="9" t="s">
        <v>3167</v>
      </c>
      <c r="G6026" s="10" t="s">
        <v>34</v>
      </c>
      <c r="H6026" s="9" t="s">
        <v>22</v>
      </c>
      <c r="I6026" s="9" t="s">
        <v>13973</v>
      </c>
      <c r="J6026" s="10" t="str">
        <f>HYPERLINK("https://www.boe.es/gazeta/dias/1834/08/06/pdfs/GMD-1834-171E.pdf#page=1","Abrir facsímil")</f>
        <v>Abrir facsímil</v>
      </c>
      <c r="K6026" s="10" t="s">
        <v>24</v>
      </c>
    </row>
    <row r="6027" spans="1:11" ht="54" customHeight="1">
      <c r="A6027" s="9" t="s">
        <v>13974</v>
      </c>
      <c r="B6027" s="9" t="s">
        <v>13974</v>
      </c>
      <c r="C6027" s="9" t="s">
        <v>17</v>
      </c>
      <c r="D6027" s="9" t="s">
        <v>18</v>
      </c>
      <c r="E6027" s="10" t="s">
        <v>3248</v>
      </c>
      <c r="F6027" s="9" t="s">
        <v>3249</v>
      </c>
      <c r="G6027" s="10" t="s">
        <v>21</v>
      </c>
      <c r="H6027" s="9" t="s">
        <v>22</v>
      </c>
      <c r="I6027" s="9" t="s">
        <v>13975</v>
      </c>
      <c r="J6027" s="10" t="str">
        <f>HYPERLINK("https://www.boe.es/gazeta/dias/1834/09/20/pdfs/GMD-1834-218.pdf#page=3","Abrir facsímil")</f>
        <v>Abrir facsímil</v>
      </c>
      <c r="K6027" s="10" t="s">
        <v>24</v>
      </c>
    </row>
    <row r="6028" spans="1:11" ht="54" customHeight="1">
      <c r="A6028" s="9" t="s">
        <v>13976</v>
      </c>
      <c r="B6028" s="9" t="s">
        <v>13977</v>
      </c>
      <c r="C6028" s="9" t="s">
        <v>17</v>
      </c>
      <c r="D6028" s="9" t="s">
        <v>18</v>
      </c>
      <c r="E6028" s="10" t="s">
        <v>3248</v>
      </c>
      <c r="F6028" s="9" t="s">
        <v>4798</v>
      </c>
      <c r="G6028" s="10" t="s">
        <v>176</v>
      </c>
      <c r="H6028" s="9" t="s">
        <v>22</v>
      </c>
      <c r="I6028" s="9" t="s">
        <v>13978</v>
      </c>
      <c r="J6028" s="10" t="str">
        <f>HYPERLINK("https://www.boe.es/gazeta/dias/1834/09/20/pdfs/GMD-C-1834-218.pdf#page=6","Abrir facsímil")</f>
        <v>Abrir facsímil</v>
      </c>
      <c r="K6028" s="10" t="s">
        <v>24</v>
      </c>
    </row>
    <row r="6029" spans="1:11" ht="54" customHeight="1">
      <c r="A6029" s="9" t="s">
        <v>13979</v>
      </c>
      <c r="B6029" s="9" t="s">
        <v>13979</v>
      </c>
      <c r="C6029" s="9" t="s">
        <v>90</v>
      </c>
      <c r="D6029" s="9" t="s">
        <v>18</v>
      </c>
      <c r="E6029" s="10" t="s">
        <v>707</v>
      </c>
      <c r="F6029" s="9" t="s">
        <v>708</v>
      </c>
      <c r="G6029" s="10" t="s">
        <v>560</v>
      </c>
      <c r="H6029" s="9" t="s">
        <v>22</v>
      </c>
      <c r="I6029" s="9" t="s">
        <v>13980</v>
      </c>
      <c r="J6029" s="10" t="str">
        <f>HYPERLINK("https://www.boe.es/gazeta/dias/1834/11/25/pdfs/GMD-C-1834-284.pdf#page=7","Abrir facsímil")</f>
        <v>Abrir facsímil</v>
      </c>
      <c r="K6029" s="10" t="s">
        <v>24</v>
      </c>
    </row>
    <row r="6030" spans="1:11" ht="54" customHeight="1">
      <c r="A6030" s="9" t="s">
        <v>13981</v>
      </c>
      <c r="B6030" s="9" t="s">
        <v>13982</v>
      </c>
      <c r="C6030" s="9" t="s">
        <v>17</v>
      </c>
      <c r="D6030" s="9" t="s">
        <v>18</v>
      </c>
      <c r="E6030" s="10" t="s">
        <v>416</v>
      </c>
      <c r="F6030" s="9" t="s">
        <v>1130</v>
      </c>
      <c r="G6030" s="10" t="s">
        <v>75</v>
      </c>
      <c r="H6030" s="9" t="s">
        <v>22</v>
      </c>
      <c r="I6030" s="9" t="s">
        <v>13983</v>
      </c>
      <c r="J6030" s="10" t="str">
        <f>HYPERLINK("https://www.boe.es/gazeta/dias/1834/10/02/pdfs/GMD-1834-230.pdf#page=4","Abrir facsímil")</f>
        <v>Abrir facsímil</v>
      </c>
      <c r="K6030" s="10" t="s">
        <v>24</v>
      </c>
    </row>
    <row r="6031" spans="1:11" ht="54" customHeight="1">
      <c r="A6031" s="9" t="s">
        <v>13984</v>
      </c>
      <c r="B6031" s="9" t="s">
        <v>13985</v>
      </c>
      <c r="C6031" s="9" t="s">
        <v>17</v>
      </c>
      <c r="D6031" s="9" t="s">
        <v>18</v>
      </c>
      <c r="E6031" s="10" t="s">
        <v>739</v>
      </c>
      <c r="F6031" s="9" t="s">
        <v>740</v>
      </c>
      <c r="G6031" s="10" t="s">
        <v>75</v>
      </c>
      <c r="H6031" s="9" t="s">
        <v>35</v>
      </c>
      <c r="I6031" s="9" t="s">
        <v>13986</v>
      </c>
      <c r="J6031" s="10" t="str">
        <f>HYPERLINK("https://www.boe.es/gazeta/dias/1834/03/25/pdfs/GMD-1834-37.pdf#page=4","Abrir facsímil")</f>
        <v>Abrir facsímil</v>
      </c>
      <c r="K6031" s="10" t="s">
        <v>37</v>
      </c>
    </row>
    <row r="6032" spans="1:11" ht="54" customHeight="1">
      <c r="A6032" s="9" t="s">
        <v>13987</v>
      </c>
      <c r="B6032" s="9" t="s">
        <v>13988</v>
      </c>
      <c r="C6032" s="9" t="s">
        <v>17</v>
      </c>
      <c r="D6032" s="9" t="s">
        <v>18</v>
      </c>
      <c r="E6032" s="10" t="s">
        <v>739</v>
      </c>
      <c r="F6032" s="9" t="s">
        <v>740</v>
      </c>
      <c r="G6032" s="10" t="s">
        <v>75</v>
      </c>
      <c r="H6032" s="9" t="s">
        <v>22</v>
      </c>
      <c r="I6032" s="9" t="s">
        <v>13989</v>
      </c>
      <c r="J6032" s="10" t="str">
        <f>HYPERLINK("https://www.boe.es/gazeta/dias/1834/03/25/pdfs/GMD-1834-37.pdf#page=4","Abrir facsímil")</f>
        <v>Abrir facsímil</v>
      </c>
      <c r="K6032" s="10" t="s">
        <v>24</v>
      </c>
    </row>
    <row r="6033" spans="1:11" ht="54" customHeight="1">
      <c r="A6033" s="9" t="s">
        <v>13990</v>
      </c>
      <c r="B6033" s="9" t="s">
        <v>13991</v>
      </c>
      <c r="C6033" s="9" t="s">
        <v>17</v>
      </c>
      <c r="D6033" s="9" t="s">
        <v>18</v>
      </c>
      <c r="E6033" s="10" t="s">
        <v>905</v>
      </c>
      <c r="F6033" s="9" t="s">
        <v>1651</v>
      </c>
      <c r="G6033" s="10" t="s">
        <v>21</v>
      </c>
      <c r="H6033" s="9" t="s">
        <v>22</v>
      </c>
      <c r="I6033" s="9" t="s">
        <v>13992</v>
      </c>
      <c r="J6033" s="10" t="str">
        <f>HYPERLINK("https://www.boe.es/gazeta/dias/1834/08/02/pdfs/GMD-1834-166.pdf#page=3","Abrir facsímil")</f>
        <v>Abrir facsímil</v>
      </c>
      <c r="K6033" s="10" t="s">
        <v>24</v>
      </c>
    </row>
    <row r="6034" spans="1:11" ht="54" customHeight="1">
      <c r="A6034" s="9" t="s">
        <v>13990</v>
      </c>
      <c r="B6034" s="9" t="s">
        <v>13991</v>
      </c>
      <c r="C6034" s="9" t="s">
        <v>17</v>
      </c>
      <c r="D6034" s="9" t="s">
        <v>18</v>
      </c>
      <c r="E6034" s="10" t="s">
        <v>5574</v>
      </c>
      <c r="F6034" s="9" t="s">
        <v>5575</v>
      </c>
      <c r="G6034" s="10" t="s">
        <v>34</v>
      </c>
      <c r="H6034" s="9" t="s">
        <v>22</v>
      </c>
      <c r="I6034" s="9" t="s">
        <v>13993</v>
      </c>
      <c r="J6034" s="10" t="str">
        <f>HYPERLINK("https://www.boe.es/gazeta/dias/1834/06/16/pdfs/GMD-1834-119.pdf#page=1","Abrir facsímil")</f>
        <v>Abrir facsímil</v>
      </c>
      <c r="K6034" s="10" t="s">
        <v>24</v>
      </c>
    </row>
    <row r="6035" spans="1:11" ht="54" customHeight="1">
      <c r="A6035" s="9" t="s">
        <v>13994</v>
      </c>
      <c r="B6035" s="9" t="s">
        <v>13995</v>
      </c>
      <c r="C6035" s="9" t="s">
        <v>17</v>
      </c>
      <c r="D6035" s="9" t="s">
        <v>18</v>
      </c>
      <c r="E6035" s="10" t="s">
        <v>5574</v>
      </c>
      <c r="F6035" s="9" t="s">
        <v>5575</v>
      </c>
      <c r="G6035" s="10" t="s">
        <v>34</v>
      </c>
      <c r="H6035" s="9" t="s">
        <v>35</v>
      </c>
      <c r="I6035" s="9" t="s">
        <v>13996</v>
      </c>
      <c r="J6035" s="10" t="str">
        <f>HYPERLINK("https://www.boe.es/gazeta/dias/1834/06/16/pdfs/GMD-1834-119.pdf#page=1","Abrir facsímil")</f>
        <v>Abrir facsímil</v>
      </c>
      <c r="K6035" s="10" t="s">
        <v>37</v>
      </c>
    </row>
    <row r="6036" spans="1:11" ht="54" customHeight="1">
      <c r="A6036" s="9" t="s">
        <v>13997</v>
      </c>
      <c r="B6036" s="9" t="s">
        <v>13998</v>
      </c>
      <c r="C6036" s="9" t="s">
        <v>17</v>
      </c>
      <c r="D6036" s="9" t="s">
        <v>18</v>
      </c>
      <c r="E6036" s="10" t="s">
        <v>299</v>
      </c>
      <c r="F6036" s="9" t="s">
        <v>300</v>
      </c>
      <c r="G6036" s="10" t="s">
        <v>75</v>
      </c>
      <c r="H6036" s="9" t="s">
        <v>22</v>
      </c>
      <c r="I6036" s="9" t="s">
        <v>13999</v>
      </c>
      <c r="J6036" s="10" t="str">
        <f>HYPERLINK("https://www.boe.es/gazeta/dias/1834/12/12/pdfs/GMD-1834-301.pdf#page=4","Abrir facsímil")</f>
        <v>Abrir facsímil</v>
      </c>
      <c r="K6036" s="10" t="s">
        <v>24</v>
      </c>
    </row>
    <row r="6037" spans="1:11" ht="54" customHeight="1">
      <c r="A6037" s="9" t="s">
        <v>14000</v>
      </c>
      <c r="B6037" s="9" t="s">
        <v>14001</v>
      </c>
      <c r="C6037" s="9" t="s">
        <v>17</v>
      </c>
      <c r="D6037" s="9" t="s">
        <v>101</v>
      </c>
      <c r="E6037" s="10" t="s">
        <v>758</v>
      </c>
      <c r="F6037" s="9" t="s">
        <v>759</v>
      </c>
      <c r="G6037" s="10" t="s">
        <v>34</v>
      </c>
      <c r="H6037" s="9" t="s">
        <v>22</v>
      </c>
      <c r="I6037" s="9" t="s">
        <v>14002</v>
      </c>
      <c r="J6037" s="10" t="str">
        <f>HYPERLINK("https://www.boe.es/gazeta/dias/1834/01/04/pdfs/GMD-1834-3.pdf#page=1","Abrir facsímil")</f>
        <v>Abrir facsímil</v>
      </c>
      <c r="K6037" s="10" t="s">
        <v>24</v>
      </c>
    </row>
    <row r="6038" spans="1:11" ht="54" customHeight="1">
      <c r="A6038" s="9" t="s">
        <v>14003</v>
      </c>
      <c r="B6038" s="9" t="s">
        <v>14004</v>
      </c>
      <c r="C6038" s="9" t="s">
        <v>17</v>
      </c>
      <c r="D6038" s="9" t="s">
        <v>18</v>
      </c>
      <c r="E6038" s="10" t="s">
        <v>416</v>
      </c>
      <c r="F6038" s="9" t="s">
        <v>1130</v>
      </c>
      <c r="G6038" s="10" t="s">
        <v>86</v>
      </c>
      <c r="H6038" s="9" t="s">
        <v>22</v>
      </c>
      <c r="I6038" s="9" t="s">
        <v>14005</v>
      </c>
      <c r="J6038" s="10" t="str">
        <f>HYPERLINK("https://www.boe.es/gazeta/dias/1834/10/02/pdfs/GMD-1834-230.pdf#page=2","Abrir facsímil")</f>
        <v>Abrir facsímil</v>
      </c>
      <c r="K6038" s="10" t="s">
        <v>24</v>
      </c>
    </row>
    <row r="6039" spans="1:11" ht="54" customHeight="1">
      <c r="A6039" s="9" t="s">
        <v>14003</v>
      </c>
      <c r="B6039" s="9" t="s">
        <v>14004</v>
      </c>
      <c r="C6039" s="9" t="s">
        <v>857</v>
      </c>
      <c r="D6039" s="9" t="s">
        <v>67</v>
      </c>
      <c r="E6039" s="10" t="s">
        <v>1125</v>
      </c>
      <c r="F6039" s="9" t="s">
        <v>1126</v>
      </c>
      <c r="G6039" s="10" t="s">
        <v>34</v>
      </c>
      <c r="H6039" s="9" t="s">
        <v>22</v>
      </c>
      <c r="I6039" s="9" t="s">
        <v>14006</v>
      </c>
      <c r="J6039" s="10" t="str">
        <f>HYPERLINK("https://www.boe.es/gazeta/dias/1834/04/17/pdfs/GMD-C-1834-56.pdf#page=1","Abrir facsímil")</f>
        <v>Abrir facsímil</v>
      </c>
      <c r="K6039" s="10" t="s">
        <v>24</v>
      </c>
    </row>
    <row r="6040" spans="1:11" ht="54" customHeight="1">
      <c r="A6040" s="9" t="s">
        <v>14007</v>
      </c>
      <c r="B6040" s="9" t="s">
        <v>14008</v>
      </c>
      <c r="C6040" s="9" t="s">
        <v>17</v>
      </c>
      <c r="D6040" s="9" t="s">
        <v>18</v>
      </c>
      <c r="E6040" s="10" t="s">
        <v>343</v>
      </c>
      <c r="F6040" s="9" t="s">
        <v>344</v>
      </c>
      <c r="G6040" s="10" t="s">
        <v>75</v>
      </c>
      <c r="H6040" s="9" t="s">
        <v>35</v>
      </c>
      <c r="I6040" s="9" t="s">
        <v>14009</v>
      </c>
      <c r="J6040" s="10" t="str">
        <f>HYPERLINK("https://www.boe.es/gazeta/dias/1834/01/14/pdfs/GMD-1834-7.pdf#page=4","Abrir facsímil")</f>
        <v>Abrir facsímil</v>
      </c>
      <c r="K6040" s="10" t="s">
        <v>37</v>
      </c>
    </row>
    <row r="6041" spans="1:11" ht="54" customHeight="1">
      <c r="A6041" s="9" t="s">
        <v>14010</v>
      </c>
      <c r="B6041" s="9" t="s">
        <v>14010</v>
      </c>
      <c r="C6041" s="9" t="s">
        <v>46</v>
      </c>
      <c r="D6041" s="9" t="s">
        <v>18</v>
      </c>
      <c r="E6041" s="10" t="s">
        <v>268</v>
      </c>
      <c r="F6041" s="9" t="s">
        <v>269</v>
      </c>
      <c r="G6041" s="10" t="s">
        <v>21</v>
      </c>
      <c r="H6041" s="9" t="s">
        <v>22</v>
      </c>
      <c r="I6041" s="9" t="s">
        <v>14011</v>
      </c>
      <c r="J6041" s="10" t="str">
        <f>HYPERLINK("https://www.boe.es/gazeta/dias/1834/12/19/pdfs/GMD-C-1834-309.pdf#page=3","Abrir facsímil")</f>
        <v>Abrir facsímil</v>
      </c>
      <c r="K6041" s="10" t="s">
        <v>24</v>
      </c>
    </row>
    <row r="6042" spans="1:11" ht="54" customHeight="1">
      <c r="A6042" s="9" t="s">
        <v>14012</v>
      </c>
      <c r="B6042" s="9" t="s">
        <v>14012</v>
      </c>
      <c r="C6042" s="9" t="s">
        <v>17</v>
      </c>
      <c r="D6042" s="9" t="s">
        <v>18</v>
      </c>
      <c r="E6042" s="10" t="s">
        <v>268</v>
      </c>
      <c r="F6042" s="9" t="s">
        <v>269</v>
      </c>
      <c r="G6042" s="10" t="s">
        <v>21</v>
      </c>
      <c r="H6042" s="9" t="s">
        <v>22</v>
      </c>
      <c r="I6042" s="9" t="s">
        <v>14013</v>
      </c>
      <c r="J6042" s="10" t="str">
        <f>HYPERLINK("https://www.boe.es/gazeta/dias/1834/12/19/pdfs/GMD-C-1834-309.pdf#page=3","Abrir facsímil")</f>
        <v>Abrir facsímil</v>
      </c>
      <c r="K6042" s="10" t="s">
        <v>24</v>
      </c>
    </row>
    <row r="6043" spans="1:11" ht="54" customHeight="1">
      <c r="A6043" s="9" t="s">
        <v>14014</v>
      </c>
      <c r="B6043" s="9" t="s">
        <v>14015</v>
      </c>
      <c r="C6043" s="9" t="s">
        <v>66</v>
      </c>
      <c r="D6043" s="9" t="s">
        <v>67</v>
      </c>
      <c r="E6043" s="10" t="s">
        <v>793</v>
      </c>
      <c r="F6043" s="9" t="s">
        <v>794</v>
      </c>
      <c r="G6043" s="10" t="s">
        <v>86</v>
      </c>
      <c r="H6043" s="9" t="s">
        <v>35</v>
      </c>
      <c r="I6043" s="9" t="s">
        <v>14016</v>
      </c>
      <c r="J6043" s="10" t="str">
        <f>HYPERLINK("https://www.boe.es/gazeta/dias/1834/10/08/pdfs/GMD-1834-236.pdf#page=2","Abrir facsímil")</f>
        <v>Abrir facsímil</v>
      </c>
      <c r="K6043" s="10" t="s">
        <v>37</v>
      </c>
    </row>
    <row r="6044" spans="1:11" ht="54" customHeight="1">
      <c r="A6044" s="9" t="s">
        <v>14014</v>
      </c>
      <c r="B6044" s="9" t="s">
        <v>14015</v>
      </c>
      <c r="C6044" s="9" t="s">
        <v>17</v>
      </c>
      <c r="D6044" s="9" t="s">
        <v>18</v>
      </c>
      <c r="E6044" s="10" t="s">
        <v>576</v>
      </c>
      <c r="F6044" s="9" t="s">
        <v>577</v>
      </c>
      <c r="G6044" s="10" t="s">
        <v>86</v>
      </c>
      <c r="H6044" s="9" t="s">
        <v>35</v>
      </c>
      <c r="I6044" s="9" t="s">
        <v>14017</v>
      </c>
      <c r="J6044" s="10" t="str">
        <f>HYPERLINK("https://www.boe.es/gazeta/dias/1834/09/23/pdfs/GMD-1834-221.pdf#page=2","Abrir facsímil")</f>
        <v>Abrir facsímil</v>
      </c>
      <c r="K6044" s="10" t="s">
        <v>37</v>
      </c>
    </row>
    <row r="6045" spans="1:11" ht="54" customHeight="1">
      <c r="A6045" s="9" t="s">
        <v>14018</v>
      </c>
      <c r="B6045" s="9" t="s">
        <v>14019</v>
      </c>
      <c r="C6045" s="9" t="s">
        <v>66</v>
      </c>
      <c r="D6045" s="9" t="s">
        <v>67</v>
      </c>
      <c r="E6045" s="10" t="s">
        <v>793</v>
      </c>
      <c r="F6045" s="9" t="s">
        <v>794</v>
      </c>
      <c r="G6045" s="10" t="s">
        <v>86</v>
      </c>
      <c r="H6045" s="9" t="s">
        <v>22</v>
      </c>
      <c r="I6045" s="9" t="s">
        <v>14020</v>
      </c>
      <c r="J6045" s="10" t="str">
        <f>HYPERLINK("https://www.boe.es/gazeta/dias/1834/10/08/pdfs/GMD-1834-236.pdf#page=2","Abrir facsímil")</f>
        <v>Abrir facsímil</v>
      </c>
      <c r="K6045" s="10" t="s">
        <v>24</v>
      </c>
    </row>
    <row r="6046" spans="1:11" ht="54" customHeight="1">
      <c r="A6046" s="9" t="s">
        <v>14018</v>
      </c>
      <c r="B6046" s="9" t="s">
        <v>14019</v>
      </c>
      <c r="C6046" s="9" t="s">
        <v>66</v>
      </c>
      <c r="D6046" s="9" t="s">
        <v>67</v>
      </c>
      <c r="E6046" s="10" t="s">
        <v>441</v>
      </c>
      <c r="F6046" s="9" t="s">
        <v>442</v>
      </c>
      <c r="G6046" s="10" t="s">
        <v>75</v>
      </c>
      <c r="H6046" s="9" t="s">
        <v>22</v>
      </c>
      <c r="I6046" s="9" t="s">
        <v>14021</v>
      </c>
      <c r="J6046" s="10" t="str">
        <f>HYPERLINK("https://www.boe.es/gazeta/dias/1834/11/10/pdfs/GMD-1834-269.pdf#page=4","Abrir facsímil")</f>
        <v>Abrir facsímil</v>
      </c>
      <c r="K6046" s="10" t="s">
        <v>24</v>
      </c>
    </row>
    <row r="6047" spans="1:11" ht="54" customHeight="1">
      <c r="A6047" s="9" t="s">
        <v>14018</v>
      </c>
      <c r="B6047" s="9" t="s">
        <v>14019</v>
      </c>
      <c r="C6047" s="9" t="s">
        <v>17</v>
      </c>
      <c r="D6047" s="9" t="s">
        <v>18</v>
      </c>
      <c r="E6047" s="10" t="s">
        <v>576</v>
      </c>
      <c r="F6047" s="9" t="s">
        <v>577</v>
      </c>
      <c r="G6047" s="10" t="s">
        <v>86</v>
      </c>
      <c r="H6047" s="9" t="s">
        <v>22</v>
      </c>
      <c r="I6047" s="9" t="s">
        <v>14022</v>
      </c>
      <c r="J6047" s="10" t="str">
        <f>HYPERLINK("https://www.boe.es/gazeta/dias/1834/09/23/pdfs/GMD-1834-221.pdf#page=2","Abrir facsímil")</f>
        <v>Abrir facsímil</v>
      </c>
      <c r="K6047" s="10" t="s">
        <v>24</v>
      </c>
    </row>
    <row r="6048" spans="1:11" ht="54" customHeight="1">
      <c r="A6048" s="9" t="s">
        <v>14023</v>
      </c>
      <c r="B6048" s="9" t="s">
        <v>14024</v>
      </c>
      <c r="C6048" s="9" t="s">
        <v>17</v>
      </c>
      <c r="D6048" s="9" t="s">
        <v>40</v>
      </c>
      <c r="E6048" s="10" t="s">
        <v>976</v>
      </c>
      <c r="F6048" s="9" t="s">
        <v>977</v>
      </c>
      <c r="G6048" s="10" t="s">
        <v>75</v>
      </c>
      <c r="H6048" s="9" t="s">
        <v>22</v>
      </c>
      <c r="I6048" s="9" t="s">
        <v>14025</v>
      </c>
      <c r="J6048" s="10" t="str">
        <f>HYPERLINK("https://www.boe.es/gazeta/dias/1834/04/02/pdfs/GMD-1834-41.pdf#page=4","Abrir facsímil")</f>
        <v>Abrir facsímil</v>
      </c>
      <c r="K6048" s="10" t="s">
        <v>24</v>
      </c>
    </row>
    <row r="6049" spans="1:11" ht="54" customHeight="1">
      <c r="A6049" s="9" t="s">
        <v>14026</v>
      </c>
      <c r="B6049" s="9" t="s">
        <v>14026</v>
      </c>
      <c r="C6049" s="9" t="s">
        <v>66</v>
      </c>
      <c r="D6049" s="9" t="s">
        <v>67</v>
      </c>
      <c r="E6049" s="10" t="s">
        <v>41</v>
      </c>
      <c r="F6049" s="9" t="s">
        <v>42</v>
      </c>
      <c r="G6049" s="10" t="s">
        <v>34</v>
      </c>
      <c r="H6049" s="9" t="s">
        <v>22</v>
      </c>
      <c r="I6049" s="9" t="s">
        <v>14027</v>
      </c>
      <c r="J6049" s="10" t="str">
        <f>HYPERLINK("https://www.boe.es/gazeta/dias/1834/06/11/pdfs/GMD-1834-114.pdf#page=1","Abrir facsímil")</f>
        <v>Abrir facsímil</v>
      </c>
      <c r="K6049" s="10" t="s">
        <v>24</v>
      </c>
    </row>
    <row r="6050" spans="1:11" ht="54" customHeight="1">
      <c r="A6050" s="9" t="s">
        <v>14028</v>
      </c>
      <c r="B6050" s="9" t="s">
        <v>14028</v>
      </c>
      <c r="C6050" s="9" t="s">
        <v>66</v>
      </c>
      <c r="D6050" s="9" t="s">
        <v>67</v>
      </c>
      <c r="E6050" s="10" t="s">
        <v>793</v>
      </c>
      <c r="F6050" s="9" t="s">
        <v>794</v>
      </c>
      <c r="G6050" s="10" t="s">
        <v>21</v>
      </c>
      <c r="H6050" s="9" t="s">
        <v>22</v>
      </c>
      <c r="I6050" s="9" t="s">
        <v>14029</v>
      </c>
      <c r="J6050" s="10" t="str">
        <f>HYPERLINK("https://www.boe.es/gazeta/dias/1834/10/08/pdfs/GMD-1834-236.pdf#page=3","Abrir facsímil")</f>
        <v>Abrir facsímil</v>
      </c>
      <c r="K6050" s="10" t="s">
        <v>24</v>
      </c>
    </row>
    <row r="6051" spans="1:11" ht="54" customHeight="1">
      <c r="A6051" s="9" t="s">
        <v>14028</v>
      </c>
      <c r="B6051" s="9" t="s">
        <v>14028</v>
      </c>
      <c r="C6051" s="9" t="s">
        <v>17</v>
      </c>
      <c r="D6051" s="9" t="s">
        <v>18</v>
      </c>
      <c r="E6051" s="10" t="s">
        <v>438</v>
      </c>
      <c r="F6051" s="9" t="s">
        <v>528</v>
      </c>
      <c r="G6051" s="10" t="s">
        <v>34</v>
      </c>
      <c r="H6051" s="9" t="s">
        <v>22</v>
      </c>
      <c r="I6051" s="9" t="s">
        <v>14030</v>
      </c>
      <c r="J6051" s="10" t="str">
        <f>HYPERLINK("https://www.boe.es/gazeta/dias/1834/11/09/pdfs/GMD-C-1834-268.pdf#page=1","Abrir facsímil")</f>
        <v>Abrir facsímil</v>
      </c>
      <c r="K6051" s="10" t="s">
        <v>24</v>
      </c>
    </row>
    <row r="6052" spans="1:11" ht="54" customHeight="1">
      <c r="A6052" s="9" t="s">
        <v>14028</v>
      </c>
      <c r="B6052" s="9" t="s">
        <v>14028</v>
      </c>
      <c r="C6052" s="9" t="s">
        <v>17</v>
      </c>
      <c r="D6052" s="9" t="s">
        <v>55</v>
      </c>
      <c r="E6052" s="10" t="s">
        <v>326</v>
      </c>
      <c r="F6052" s="9" t="s">
        <v>327</v>
      </c>
      <c r="G6052" s="10" t="s">
        <v>21</v>
      </c>
      <c r="H6052" s="9" t="s">
        <v>22</v>
      </c>
      <c r="I6052" s="9" t="s">
        <v>14031</v>
      </c>
      <c r="J6052" s="10" t="str">
        <f>HYPERLINK("https://www.boe.es/gazeta/dias/1834/07/15/pdfs/GMD-1834-148.pdf#page=3","Abrir facsímil")</f>
        <v>Abrir facsímil</v>
      </c>
      <c r="K6052" s="10" t="s">
        <v>24</v>
      </c>
    </row>
    <row r="6053" spans="1:11" ht="54" customHeight="1">
      <c r="A6053" s="9" t="s">
        <v>14028</v>
      </c>
      <c r="B6053" s="9" t="s">
        <v>14028</v>
      </c>
      <c r="C6053" s="9" t="s">
        <v>122</v>
      </c>
      <c r="D6053" s="9" t="s">
        <v>18</v>
      </c>
      <c r="E6053" s="10" t="s">
        <v>1394</v>
      </c>
      <c r="F6053" s="9" t="s">
        <v>2923</v>
      </c>
      <c r="G6053" s="10" t="s">
        <v>34</v>
      </c>
      <c r="H6053" s="9" t="s">
        <v>22</v>
      </c>
      <c r="I6053" s="9" t="s">
        <v>14032</v>
      </c>
      <c r="J6053" s="10" t="str">
        <f>HYPERLINK("https://www.boe.es/gazeta/dias/1834/04/16/pdfs/GMD-C-1834-55.pdf#page=1","Abrir facsímil")</f>
        <v>Abrir facsímil</v>
      </c>
      <c r="K6053" s="10" t="s">
        <v>24</v>
      </c>
    </row>
    <row r="6054" spans="1:11" ht="54" customHeight="1">
      <c r="A6054" s="9" t="s">
        <v>14028</v>
      </c>
      <c r="B6054" s="9" t="s">
        <v>14028</v>
      </c>
      <c r="C6054" s="9" t="s">
        <v>17</v>
      </c>
      <c r="D6054" s="9" t="s">
        <v>18</v>
      </c>
      <c r="E6054" s="10" t="s">
        <v>367</v>
      </c>
      <c r="F6054" s="9" t="s">
        <v>368</v>
      </c>
      <c r="G6054" s="10" t="s">
        <v>21</v>
      </c>
      <c r="H6054" s="9" t="s">
        <v>22</v>
      </c>
      <c r="I6054" s="9" t="s">
        <v>14033</v>
      </c>
      <c r="J6054" s="10" t="str">
        <f>HYPERLINK("https://www.boe.es/gazeta/dias/1834/05/19/pdfs/GMD-1834-88.pdf#page=3","Abrir facsímil")</f>
        <v>Abrir facsímil</v>
      </c>
      <c r="K6054" s="10" t="s">
        <v>24</v>
      </c>
    </row>
    <row r="6055" spans="1:11" ht="54" customHeight="1">
      <c r="A6055" s="9" t="s">
        <v>14028</v>
      </c>
      <c r="B6055" s="9" t="s">
        <v>14028</v>
      </c>
      <c r="C6055" s="9" t="s">
        <v>17</v>
      </c>
      <c r="D6055" s="9" t="s">
        <v>18</v>
      </c>
      <c r="E6055" s="10" t="s">
        <v>1017</v>
      </c>
      <c r="F6055" s="9" t="s">
        <v>1018</v>
      </c>
      <c r="G6055" s="10" t="s">
        <v>21</v>
      </c>
      <c r="H6055" s="9" t="s">
        <v>22</v>
      </c>
      <c r="I6055" s="9" t="s">
        <v>14034</v>
      </c>
      <c r="J6055" s="10" t="str">
        <f>HYPERLINK("https://www.boe.es/gazeta/dias/1834/07/24/pdfs/GMD-1834-157.pdf#page=3","Abrir facsímil")</f>
        <v>Abrir facsímil</v>
      </c>
      <c r="K6055" s="10" t="s">
        <v>24</v>
      </c>
    </row>
    <row r="6056" spans="1:11" ht="54" customHeight="1">
      <c r="A6056" s="9" t="s">
        <v>14035</v>
      </c>
      <c r="B6056" s="9" t="s">
        <v>14035</v>
      </c>
      <c r="C6056" s="9" t="s">
        <v>122</v>
      </c>
      <c r="D6056" s="9" t="s">
        <v>18</v>
      </c>
      <c r="E6056" s="10" t="s">
        <v>389</v>
      </c>
      <c r="F6056" s="9" t="s">
        <v>390</v>
      </c>
      <c r="G6056" s="10" t="s">
        <v>75</v>
      </c>
      <c r="H6056" s="9" t="s">
        <v>22</v>
      </c>
      <c r="I6056" s="9" t="s">
        <v>14036</v>
      </c>
      <c r="J6056" s="10" t="str">
        <f>HYPERLINK("https://www.boe.es/gazeta/dias/1834/10/25/pdfs/GMD-1834-253.pdf#page=4","Abrir facsímil")</f>
        <v>Abrir facsímil</v>
      </c>
      <c r="K6056" s="10" t="s">
        <v>24</v>
      </c>
    </row>
    <row r="6057" spans="1:11" ht="54" customHeight="1">
      <c r="A6057" s="9" t="s">
        <v>14028</v>
      </c>
      <c r="B6057" s="9" t="s">
        <v>14028</v>
      </c>
      <c r="C6057" s="9" t="s">
        <v>66</v>
      </c>
      <c r="D6057" s="9" t="s">
        <v>67</v>
      </c>
      <c r="E6057" s="10" t="s">
        <v>462</v>
      </c>
      <c r="F6057" s="9" t="s">
        <v>2110</v>
      </c>
      <c r="G6057" s="10" t="s">
        <v>21</v>
      </c>
      <c r="H6057" s="9" t="s">
        <v>22</v>
      </c>
      <c r="I6057" s="9" t="s">
        <v>14037</v>
      </c>
      <c r="J6057" s="10" t="str">
        <f>HYPERLINK("https://www.boe.es/gazeta/dias/1834/08/27/pdfs/GMD-1834-193.pdf#page=3","Abrir facsímil")</f>
        <v>Abrir facsímil</v>
      </c>
      <c r="K6057" s="10" t="s">
        <v>24</v>
      </c>
    </row>
    <row r="6058" spans="1:11" ht="54" customHeight="1">
      <c r="A6058" s="9" t="s">
        <v>14038</v>
      </c>
      <c r="B6058" s="9" t="s">
        <v>14039</v>
      </c>
      <c r="C6058" s="9" t="s">
        <v>46</v>
      </c>
      <c r="D6058" s="9" t="s">
        <v>101</v>
      </c>
      <c r="E6058" s="10" t="s">
        <v>610</v>
      </c>
      <c r="F6058" s="9" t="s">
        <v>611</v>
      </c>
      <c r="G6058" s="10" t="s">
        <v>34</v>
      </c>
      <c r="H6058" s="9" t="s">
        <v>22</v>
      </c>
      <c r="I6058" s="9" t="s">
        <v>14040</v>
      </c>
      <c r="J6058" s="10" t="str">
        <f>HYPERLINK("https://www.boe.es/gazeta/dias/1834/12/21/pdfs/GMD-C-1834-311.pdf#page=1","Abrir facsímil")</f>
        <v>Abrir facsímil</v>
      </c>
      <c r="K6058" s="10" t="s">
        <v>24</v>
      </c>
    </row>
    <row r="6059" spans="1:11" ht="54" customHeight="1">
      <c r="A6059" s="9" t="s">
        <v>14041</v>
      </c>
      <c r="B6059" s="9" t="s">
        <v>14042</v>
      </c>
      <c r="C6059" s="9" t="s">
        <v>46</v>
      </c>
      <c r="D6059" s="9" t="s">
        <v>101</v>
      </c>
      <c r="E6059" s="10" t="s">
        <v>1862</v>
      </c>
      <c r="F6059" s="9" t="s">
        <v>1863</v>
      </c>
      <c r="G6059" s="10" t="s">
        <v>21</v>
      </c>
      <c r="H6059" s="9" t="s">
        <v>22</v>
      </c>
      <c r="I6059" s="9" t="s">
        <v>14043</v>
      </c>
      <c r="J6059" s="10" t="str">
        <f>HYPERLINK("https://www.boe.es/gazeta/dias/1834/02/04/pdfs/GMD-1834-16.pdf#page=3","Abrir facsímil")</f>
        <v>Abrir facsímil</v>
      </c>
      <c r="K6059" s="10" t="s">
        <v>24</v>
      </c>
    </row>
    <row r="6060" spans="1:11" ht="54" customHeight="1">
      <c r="A6060" s="9" t="s">
        <v>14044</v>
      </c>
      <c r="B6060" s="9" t="s">
        <v>14045</v>
      </c>
      <c r="C6060" s="9" t="s">
        <v>17</v>
      </c>
      <c r="D6060" s="9" t="s">
        <v>18</v>
      </c>
      <c r="E6060" s="10" t="s">
        <v>258</v>
      </c>
      <c r="F6060" s="9" t="s">
        <v>259</v>
      </c>
      <c r="G6060" s="10" t="s">
        <v>75</v>
      </c>
      <c r="H6060" s="9" t="s">
        <v>22</v>
      </c>
      <c r="I6060" s="9" t="s">
        <v>14046</v>
      </c>
      <c r="J6060" s="10" t="str">
        <f>HYPERLINK("https://www.boe.es/gazeta/dias/1834/10/09/pdfs/GMD-C-1834-237.pdf#page=4","Abrir facsímil")</f>
        <v>Abrir facsímil</v>
      </c>
      <c r="K6060" s="10" t="s">
        <v>24</v>
      </c>
    </row>
    <row r="6061" spans="1:11" ht="54" customHeight="1">
      <c r="A6061" s="9" t="s">
        <v>14047</v>
      </c>
      <c r="B6061" s="9" t="s">
        <v>14048</v>
      </c>
      <c r="C6061" s="9" t="s">
        <v>46</v>
      </c>
      <c r="D6061" s="9" t="s">
        <v>101</v>
      </c>
      <c r="E6061" s="10" t="s">
        <v>251</v>
      </c>
      <c r="F6061" s="9" t="s">
        <v>252</v>
      </c>
      <c r="G6061" s="10" t="s">
        <v>86</v>
      </c>
      <c r="H6061" s="9" t="s">
        <v>22</v>
      </c>
      <c r="I6061" s="9" t="s">
        <v>14049</v>
      </c>
      <c r="J6061" s="10" t="str">
        <f>HYPERLINK("https://www.boe.es/gazeta/dias/1834/09/26/pdfs/GMD-C-1834-224.pdf#page=2","Abrir facsímil")</f>
        <v>Abrir facsímil</v>
      </c>
      <c r="K6061" s="10" t="s">
        <v>24</v>
      </c>
    </row>
    <row r="6062" spans="1:11" ht="54" customHeight="1">
      <c r="A6062" s="9" t="s">
        <v>14050</v>
      </c>
      <c r="B6062" s="9" t="s">
        <v>14051</v>
      </c>
      <c r="C6062" s="9" t="s">
        <v>46</v>
      </c>
      <c r="D6062" s="9" t="s">
        <v>101</v>
      </c>
      <c r="E6062" s="10" t="s">
        <v>309</v>
      </c>
      <c r="F6062" s="9" t="s">
        <v>310</v>
      </c>
      <c r="G6062" s="10" t="s">
        <v>75</v>
      </c>
      <c r="H6062" s="9" t="s">
        <v>35</v>
      </c>
      <c r="I6062" s="9" t="s">
        <v>14052</v>
      </c>
      <c r="J6062" s="10" t="str">
        <f>HYPERLINK("https://www.boe.es/gazeta/dias/1834/05/30/pdfs/GMD-1834-99.pdf#page=4","Abrir facsímil")</f>
        <v>Abrir facsímil</v>
      </c>
      <c r="K6062" s="10" t="s">
        <v>37</v>
      </c>
    </row>
    <row r="6063" spans="1:11" ht="54" customHeight="1">
      <c r="A6063" s="9" t="s">
        <v>14053</v>
      </c>
      <c r="B6063" s="9" t="s">
        <v>14054</v>
      </c>
      <c r="C6063" s="9" t="s">
        <v>17</v>
      </c>
      <c r="D6063" s="9" t="s">
        <v>18</v>
      </c>
      <c r="E6063" s="10" t="s">
        <v>1094</v>
      </c>
      <c r="F6063" s="9" t="s">
        <v>1095</v>
      </c>
      <c r="G6063" s="10" t="s">
        <v>21</v>
      </c>
      <c r="H6063" s="9" t="s">
        <v>22</v>
      </c>
      <c r="I6063" s="9" t="s">
        <v>14055</v>
      </c>
      <c r="J6063" s="10" t="str">
        <f>HYPERLINK("https://www.boe.es/gazeta/dias/1834/07/13/pdfs/GMD-1834-146.pdf#page=3","Abrir facsímil")</f>
        <v>Abrir facsímil</v>
      </c>
      <c r="K6063" s="10" t="s">
        <v>24</v>
      </c>
    </row>
    <row r="6064" spans="1:11" ht="54" customHeight="1">
      <c r="A6064" s="9" t="s">
        <v>14056</v>
      </c>
      <c r="B6064" s="9" t="s">
        <v>14057</v>
      </c>
      <c r="C6064" s="9" t="s">
        <v>17</v>
      </c>
      <c r="D6064" s="9" t="s">
        <v>55</v>
      </c>
      <c r="E6064" s="10" t="s">
        <v>2037</v>
      </c>
      <c r="F6064" s="9" t="s">
        <v>2038</v>
      </c>
      <c r="G6064" s="10" t="s">
        <v>34</v>
      </c>
      <c r="H6064" s="9" t="s">
        <v>22</v>
      </c>
      <c r="I6064" s="9" t="s">
        <v>14058</v>
      </c>
      <c r="J6064" s="10" t="str">
        <f>HYPERLINK("https://www.boe.es/gazeta/dias/1834/12/01/pdfs/I01208-01208.pdf#page=1","Abrir facsímil")</f>
        <v>Abrir facsímil</v>
      </c>
      <c r="K6064" s="10" t="s">
        <v>24</v>
      </c>
    </row>
    <row r="6065" spans="1:11" ht="54" customHeight="1">
      <c r="A6065" s="9" t="s">
        <v>14056</v>
      </c>
      <c r="B6065" s="9" t="s">
        <v>14057</v>
      </c>
      <c r="C6065" s="9" t="s">
        <v>17</v>
      </c>
      <c r="D6065" s="9" t="s">
        <v>55</v>
      </c>
      <c r="E6065" s="10" t="s">
        <v>2037</v>
      </c>
      <c r="F6065" s="9" t="s">
        <v>2038</v>
      </c>
      <c r="G6065" s="10" t="s">
        <v>75</v>
      </c>
      <c r="H6065" s="9" t="s">
        <v>22</v>
      </c>
      <c r="I6065" s="9" t="s">
        <v>14058</v>
      </c>
      <c r="J6065" s="10" t="str">
        <f>HYPERLINK("https://www.boe.es/gazeta/dias/1834/12/01/pdfs/GMD-1834-290.pdf#page=4","Abrir facsímil")</f>
        <v>Abrir facsímil</v>
      </c>
      <c r="K6065" s="10" t="s">
        <v>24</v>
      </c>
    </row>
    <row r="6066" spans="1:11" ht="54" customHeight="1">
      <c r="A6066" s="9" t="s">
        <v>14059</v>
      </c>
      <c r="B6066" s="9" t="s">
        <v>14060</v>
      </c>
      <c r="C6066" s="9" t="s">
        <v>46</v>
      </c>
      <c r="D6066" s="9" t="s">
        <v>101</v>
      </c>
      <c r="E6066" s="10" t="s">
        <v>309</v>
      </c>
      <c r="F6066" s="9" t="s">
        <v>310</v>
      </c>
      <c r="G6066" s="10" t="s">
        <v>75</v>
      </c>
      <c r="H6066" s="9" t="s">
        <v>22</v>
      </c>
      <c r="I6066" s="9" t="s">
        <v>14061</v>
      </c>
      <c r="J6066" s="10" t="str">
        <f>HYPERLINK("https://www.boe.es/gazeta/dias/1834/05/30/pdfs/GMD-1834-99.pdf#page=4","Abrir facsímil")</f>
        <v>Abrir facsímil</v>
      </c>
      <c r="K6066" s="10" t="s">
        <v>24</v>
      </c>
    </row>
    <row r="6067" spans="1:11" ht="54" customHeight="1">
      <c r="A6067" s="9" t="s">
        <v>14062</v>
      </c>
      <c r="B6067" s="9" t="s">
        <v>14063</v>
      </c>
      <c r="C6067" s="9" t="s">
        <v>17</v>
      </c>
      <c r="D6067" s="9" t="s">
        <v>18</v>
      </c>
      <c r="E6067" s="10" t="s">
        <v>734</v>
      </c>
      <c r="F6067" s="9" t="s">
        <v>735</v>
      </c>
      <c r="G6067" s="10" t="s">
        <v>21</v>
      </c>
      <c r="H6067" s="9" t="s">
        <v>22</v>
      </c>
      <c r="I6067" s="9" t="s">
        <v>14064</v>
      </c>
      <c r="J6067" s="10" t="str">
        <f>HYPERLINK("https://www.boe.es/gazeta/dias/1834/05/06/pdfs/GMD-1834-75.pdf#page=3","Abrir facsímil")</f>
        <v>Abrir facsímil</v>
      </c>
      <c r="K6067" s="10" t="s">
        <v>24</v>
      </c>
    </row>
    <row r="6068" spans="1:11" ht="54" customHeight="1">
      <c r="A6068" s="9" t="s">
        <v>14065</v>
      </c>
      <c r="B6068" s="9" t="s">
        <v>14066</v>
      </c>
      <c r="C6068" s="9" t="s">
        <v>46</v>
      </c>
      <c r="D6068" s="9" t="s">
        <v>101</v>
      </c>
      <c r="E6068" s="10" t="s">
        <v>762</v>
      </c>
      <c r="F6068" s="9" t="s">
        <v>763</v>
      </c>
      <c r="G6068" s="10" t="s">
        <v>34</v>
      </c>
      <c r="H6068" s="9" t="s">
        <v>22</v>
      </c>
      <c r="I6068" s="9" t="s">
        <v>14067</v>
      </c>
      <c r="J6068" s="10" t="str">
        <f>HYPERLINK("https://www.boe.es/gazeta/dias/1834/11/07/pdfs/GMD-1834-266.pdf#page=1","Abrir facsímil")</f>
        <v>Abrir facsímil</v>
      </c>
      <c r="K6068" s="10" t="s">
        <v>24</v>
      </c>
    </row>
    <row r="6069" spans="1:11" ht="54" customHeight="1">
      <c r="A6069" s="9" t="s">
        <v>14068</v>
      </c>
      <c r="B6069" s="9" t="s">
        <v>14069</v>
      </c>
      <c r="C6069" s="9" t="s">
        <v>66</v>
      </c>
      <c r="D6069" s="9" t="s">
        <v>67</v>
      </c>
      <c r="E6069" s="10" t="s">
        <v>174</v>
      </c>
      <c r="F6069" s="9" t="s">
        <v>175</v>
      </c>
      <c r="G6069" s="10" t="s">
        <v>28</v>
      </c>
      <c r="H6069" s="9" t="s">
        <v>22</v>
      </c>
      <c r="I6069" s="9" t="s">
        <v>14070</v>
      </c>
      <c r="J6069" s="10" t="str">
        <f>HYPERLINK("https://www.boe.es/gazeta/dias/1834/03/27/pdfs/GMD-1834-38.pdf#page=5","Abrir facsímil")</f>
        <v>Abrir facsímil</v>
      </c>
      <c r="K6069" s="10" t="s">
        <v>24</v>
      </c>
    </row>
    <row r="6070" spans="1:11" ht="54" customHeight="1">
      <c r="A6070" s="9" t="s">
        <v>14071</v>
      </c>
      <c r="B6070" s="9" t="s">
        <v>14072</v>
      </c>
      <c r="C6070" s="9" t="s">
        <v>122</v>
      </c>
      <c r="D6070" s="9" t="s">
        <v>18</v>
      </c>
      <c r="E6070" s="10" t="s">
        <v>1394</v>
      </c>
      <c r="F6070" s="9" t="s">
        <v>2923</v>
      </c>
      <c r="G6070" s="10" t="s">
        <v>34</v>
      </c>
      <c r="H6070" s="9" t="s">
        <v>22</v>
      </c>
      <c r="I6070" s="9" t="s">
        <v>14073</v>
      </c>
      <c r="J6070" s="10" t="str">
        <f>HYPERLINK("https://www.boe.es/gazeta/dias/1834/04/16/pdfs/GMD-C-1834-55.pdf#page=1","Abrir facsímil")</f>
        <v>Abrir facsímil</v>
      </c>
      <c r="K6070" s="10" t="s">
        <v>24</v>
      </c>
    </row>
    <row r="6071" spans="1:11" ht="54" customHeight="1">
      <c r="A6071" s="9" t="s">
        <v>14074</v>
      </c>
      <c r="B6071" s="9" t="s">
        <v>14075</v>
      </c>
      <c r="C6071" s="9" t="s">
        <v>17</v>
      </c>
      <c r="D6071" s="9" t="s">
        <v>18</v>
      </c>
      <c r="E6071" s="10" t="s">
        <v>2302</v>
      </c>
      <c r="F6071" s="9" t="s">
        <v>2303</v>
      </c>
      <c r="G6071" s="10" t="s">
        <v>75</v>
      </c>
      <c r="H6071" s="9" t="s">
        <v>22</v>
      </c>
      <c r="I6071" s="9" t="s">
        <v>14076</v>
      </c>
      <c r="J6071" s="10" t="str">
        <f>HYPERLINK("https://www.boe.es/gazeta/dias/1834/01/25/pdfs/GMD-1834-12.pdf#page=4","Abrir facsímil")</f>
        <v>Abrir facsímil</v>
      </c>
      <c r="K6071" s="10" t="s">
        <v>24</v>
      </c>
    </row>
    <row r="6072" spans="1:11" ht="54" customHeight="1">
      <c r="A6072" s="9" t="s">
        <v>14077</v>
      </c>
      <c r="B6072" s="9" t="s">
        <v>14078</v>
      </c>
      <c r="C6072" s="9" t="s">
        <v>17</v>
      </c>
      <c r="D6072" s="9" t="s">
        <v>18</v>
      </c>
      <c r="E6072" s="10" t="s">
        <v>4814</v>
      </c>
      <c r="F6072" s="9" t="s">
        <v>4815</v>
      </c>
      <c r="G6072" s="10" t="s">
        <v>75</v>
      </c>
      <c r="H6072" s="9" t="s">
        <v>22</v>
      </c>
      <c r="I6072" s="9" t="s">
        <v>14079</v>
      </c>
      <c r="J6072" s="10" t="str">
        <f>HYPERLINK("https://www.boe.es/gazeta/dias/1834/06/05/pdfs/GMD-1834-107.pdf#page=4","Abrir facsímil")</f>
        <v>Abrir facsímil</v>
      </c>
      <c r="K6072" s="10" t="s">
        <v>24</v>
      </c>
    </row>
    <row r="6073" spans="1:11" ht="54" customHeight="1">
      <c r="A6073" s="9" t="s">
        <v>14080</v>
      </c>
      <c r="B6073" s="9" t="s">
        <v>14081</v>
      </c>
      <c r="C6073" s="9" t="s">
        <v>66</v>
      </c>
      <c r="D6073" s="9" t="s">
        <v>67</v>
      </c>
      <c r="E6073" s="10" t="s">
        <v>2048</v>
      </c>
      <c r="F6073" s="9" t="s">
        <v>2049</v>
      </c>
      <c r="G6073" s="10" t="s">
        <v>75</v>
      </c>
      <c r="H6073" s="9" t="s">
        <v>22</v>
      </c>
      <c r="I6073" s="9" t="s">
        <v>14082</v>
      </c>
      <c r="J6073" s="10" t="str">
        <f>HYPERLINK("https://www.boe.es/gazeta/dias/1834/05/12/pdfs/GMD-1834-81.pdf#page=4","Abrir facsímil")</f>
        <v>Abrir facsímil</v>
      </c>
      <c r="K6073" s="10" t="s">
        <v>24</v>
      </c>
    </row>
    <row r="6074" spans="1:11" ht="54" customHeight="1">
      <c r="A6074" s="9" t="s">
        <v>14083</v>
      </c>
      <c r="B6074" s="9" t="s">
        <v>14084</v>
      </c>
      <c r="C6074" s="9" t="s">
        <v>46</v>
      </c>
      <c r="D6074" s="9" t="s">
        <v>101</v>
      </c>
      <c r="E6074" s="10" t="s">
        <v>247</v>
      </c>
      <c r="F6074" s="9" t="s">
        <v>248</v>
      </c>
      <c r="G6074" s="10" t="s">
        <v>34</v>
      </c>
      <c r="H6074" s="9" t="s">
        <v>22</v>
      </c>
      <c r="I6074" s="9" t="s">
        <v>14085</v>
      </c>
      <c r="J6074" s="10" t="str">
        <f>HYPERLINK("https://www.boe.es/gazeta/dias/1834/08/23/pdfs/GMD-C-1834-189.pdf#page=1","Abrir facsímil")</f>
        <v>Abrir facsímil</v>
      </c>
      <c r="K6074" s="10" t="s">
        <v>24</v>
      </c>
    </row>
    <row r="6075" spans="1:11" ht="54" customHeight="1">
      <c r="A6075" s="9" t="s">
        <v>14086</v>
      </c>
      <c r="B6075" s="9" t="s">
        <v>14087</v>
      </c>
      <c r="C6075" s="9" t="s">
        <v>17</v>
      </c>
      <c r="D6075" s="9" t="s">
        <v>18</v>
      </c>
      <c r="E6075" s="10" t="s">
        <v>1556</v>
      </c>
      <c r="F6075" s="9" t="s">
        <v>1557</v>
      </c>
      <c r="G6075" s="10" t="s">
        <v>75</v>
      </c>
      <c r="H6075" s="9" t="s">
        <v>22</v>
      </c>
      <c r="I6075" s="9" t="s">
        <v>14088</v>
      </c>
      <c r="J6075" s="10" t="str">
        <f>HYPERLINK("https://www.boe.es/gazeta/dias/1834/06/06/pdfs/GMD-1834-108.pdf#page=4","Abrir facsímil")</f>
        <v>Abrir facsímil</v>
      </c>
      <c r="K6075" s="10" t="s">
        <v>24</v>
      </c>
    </row>
    <row r="6076" spans="1:11" ht="54" customHeight="1">
      <c r="A6076" s="9" t="s">
        <v>14089</v>
      </c>
      <c r="B6076" s="9" t="s">
        <v>14090</v>
      </c>
      <c r="C6076" s="9" t="s">
        <v>17</v>
      </c>
      <c r="D6076" s="9" t="s">
        <v>18</v>
      </c>
      <c r="E6076" s="10" t="s">
        <v>627</v>
      </c>
      <c r="F6076" s="9" t="s">
        <v>628</v>
      </c>
      <c r="G6076" s="10" t="s">
        <v>21</v>
      </c>
      <c r="H6076" s="9" t="s">
        <v>22</v>
      </c>
      <c r="I6076" s="9" t="s">
        <v>14091</v>
      </c>
      <c r="J6076" s="10" t="str">
        <f>HYPERLINK("https://www.boe.es/gazeta/dias/1834/09/22/pdfs/GMD-C-1834-220.pdf#page=3","Abrir facsímil")</f>
        <v>Abrir facsímil</v>
      </c>
      <c r="K6076" s="10" t="s">
        <v>24</v>
      </c>
    </row>
    <row r="6077" spans="1:11" ht="54" customHeight="1">
      <c r="A6077" s="9" t="s">
        <v>14092</v>
      </c>
      <c r="B6077" s="9" t="s">
        <v>14093</v>
      </c>
      <c r="C6077" s="9" t="s">
        <v>17</v>
      </c>
      <c r="D6077" s="9" t="s">
        <v>18</v>
      </c>
      <c r="E6077" s="10" t="s">
        <v>734</v>
      </c>
      <c r="F6077" s="9" t="s">
        <v>735</v>
      </c>
      <c r="G6077" s="10" t="s">
        <v>21</v>
      </c>
      <c r="H6077" s="9" t="s">
        <v>35</v>
      </c>
      <c r="I6077" s="9" t="s">
        <v>14094</v>
      </c>
      <c r="J6077" s="10" t="str">
        <f>HYPERLINK("https://www.boe.es/gazeta/dias/1834/05/06/pdfs/GMD-1834-75.pdf#page=3","Abrir facsímil")</f>
        <v>Abrir facsímil</v>
      </c>
      <c r="K6077" s="10" t="s">
        <v>37</v>
      </c>
    </row>
    <row r="6078" spans="1:11" ht="54" customHeight="1">
      <c r="A6078" s="9" t="s">
        <v>14095</v>
      </c>
      <c r="B6078" s="9" t="s">
        <v>14096</v>
      </c>
      <c r="C6078" s="9" t="s">
        <v>17</v>
      </c>
      <c r="D6078" s="9" t="s">
        <v>18</v>
      </c>
      <c r="E6078" s="10" t="s">
        <v>1281</v>
      </c>
      <c r="F6078" s="9" t="s">
        <v>1282</v>
      </c>
      <c r="G6078" s="10" t="s">
        <v>34</v>
      </c>
      <c r="H6078" s="9" t="s">
        <v>22</v>
      </c>
      <c r="I6078" s="9" t="s">
        <v>14097</v>
      </c>
      <c r="J6078" s="10" t="str">
        <f>HYPERLINK("https://www.boe.es/gazeta/dias/1834/10/27/pdfs/GMD-1834-255.pdf#page=1","Abrir facsímil")</f>
        <v>Abrir facsímil</v>
      </c>
      <c r="K6078" s="10" t="s">
        <v>24</v>
      </c>
    </row>
    <row r="6079" spans="1:11" ht="54" customHeight="1">
      <c r="A6079" s="9" t="s">
        <v>14098</v>
      </c>
      <c r="B6079" s="9" t="s">
        <v>14099</v>
      </c>
      <c r="C6079" s="9" t="s">
        <v>857</v>
      </c>
      <c r="D6079" s="9" t="s">
        <v>18</v>
      </c>
      <c r="E6079" s="10" t="s">
        <v>451</v>
      </c>
      <c r="F6079" s="9" t="s">
        <v>3350</v>
      </c>
      <c r="G6079" s="10" t="s">
        <v>75</v>
      </c>
      <c r="H6079" s="9" t="s">
        <v>22</v>
      </c>
      <c r="I6079" s="9" t="s">
        <v>14100</v>
      </c>
      <c r="J6079" s="10" t="str">
        <f>HYPERLINK("https://www.boe.es/gazeta/dias/1834/10/15/pdfs/GMD-1834-243.pdf#page=4","Abrir facsímil")</f>
        <v>Abrir facsímil</v>
      </c>
      <c r="K6079" s="10" t="s">
        <v>24</v>
      </c>
    </row>
    <row r="6080" spans="1:11" ht="54" customHeight="1">
      <c r="A6080" s="9" t="s">
        <v>14101</v>
      </c>
      <c r="B6080" s="9" t="s">
        <v>14102</v>
      </c>
      <c r="C6080" s="9" t="s">
        <v>17</v>
      </c>
      <c r="D6080" s="9" t="s">
        <v>18</v>
      </c>
      <c r="E6080" s="10" t="s">
        <v>1683</v>
      </c>
      <c r="F6080" s="9" t="s">
        <v>1684</v>
      </c>
      <c r="G6080" s="10" t="s">
        <v>34</v>
      </c>
      <c r="H6080" s="9" t="s">
        <v>22</v>
      </c>
      <c r="I6080" s="9" t="s">
        <v>14103</v>
      </c>
      <c r="J6080" s="10" t="str">
        <f>HYPERLINK("https://www.boe.es/gazeta/dias/1834/06/27/pdfs/GMD-1834-130.pdf#page=1","Abrir facsímil")</f>
        <v>Abrir facsímil</v>
      </c>
      <c r="K6080" s="10" t="s">
        <v>24</v>
      </c>
    </row>
    <row r="6081" spans="1:11" ht="54" customHeight="1">
      <c r="A6081" s="9" t="s">
        <v>14104</v>
      </c>
      <c r="B6081" s="9" t="s">
        <v>14104</v>
      </c>
      <c r="C6081" s="9" t="s">
        <v>66</v>
      </c>
      <c r="D6081" s="9" t="s">
        <v>55</v>
      </c>
      <c r="E6081" s="10" t="s">
        <v>4527</v>
      </c>
      <c r="F6081" s="9" t="s">
        <v>4528</v>
      </c>
      <c r="G6081" s="10" t="s">
        <v>34</v>
      </c>
      <c r="H6081" s="9" t="s">
        <v>22</v>
      </c>
      <c r="I6081" s="9" t="s">
        <v>14105</v>
      </c>
      <c r="J6081" s="10" t="str">
        <f>HYPERLINK("https://www.boe.es/gazeta/dias/1834/05/03/pdfs/GMD-1834-72.pdf#page=1","Abrir facsímil")</f>
        <v>Abrir facsímil</v>
      </c>
      <c r="K6081" s="10" t="s">
        <v>24</v>
      </c>
    </row>
    <row r="6082" spans="1:11" ht="54" customHeight="1">
      <c r="A6082" s="9" t="s">
        <v>14106</v>
      </c>
      <c r="B6082" s="9" t="s">
        <v>14107</v>
      </c>
      <c r="C6082" s="9" t="s">
        <v>66</v>
      </c>
      <c r="D6082" s="9" t="s">
        <v>67</v>
      </c>
      <c r="E6082" s="10" t="s">
        <v>793</v>
      </c>
      <c r="F6082" s="9" t="s">
        <v>794</v>
      </c>
      <c r="G6082" s="10" t="s">
        <v>21</v>
      </c>
      <c r="H6082" s="9" t="s">
        <v>22</v>
      </c>
      <c r="I6082" s="9" t="s">
        <v>14108</v>
      </c>
      <c r="J6082" s="10" t="str">
        <f>HYPERLINK("https://www.boe.es/gazeta/dias/1834/10/08/pdfs/GMD-1834-236.pdf#page=3","Abrir facsímil")</f>
        <v>Abrir facsímil</v>
      </c>
      <c r="K6082" s="10" t="s">
        <v>24</v>
      </c>
    </row>
    <row r="6083" spans="1:11" ht="54" customHeight="1">
      <c r="A6083" s="9" t="s">
        <v>14109</v>
      </c>
      <c r="B6083" s="9" t="s">
        <v>14110</v>
      </c>
      <c r="C6083" s="9" t="s">
        <v>17</v>
      </c>
      <c r="D6083" s="9" t="s">
        <v>40</v>
      </c>
      <c r="E6083" s="10" t="s">
        <v>1125</v>
      </c>
      <c r="F6083" s="9" t="s">
        <v>2490</v>
      </c>
      <c r="G6083" s="10" t="s">
        <v>470</v>
      </c>
      <c r="H6083" s="9" t="s">
        <v>22</v>
      </c>
      <c r="I6083" s="9" t="s">
        <v>14111</v>
      </c>
      <c r="J6083" s="10" t="str">
        <f>HYPERLINK("https://www.boe.es/gazeta/dias/1834/04/17/pdfs/GMD-1834-56.pdf#page=8","Abrir facsímil")</f>
        <v>Abrir facsímil</v>
      </c>
      <c r="K6083" s="10" t="s">
        <v>24</v>
      </c>
    </row>
    <row r="6084" spans="1:11" ht="54" customHeight="1">
      <c r="A6084" s="9" t="s">
        <v>14112</v>
      </c>
      <c r="B6084" s="9" t="s">
        <v>14112</v>
      </c>
      <c r="C6084" s="9" t="s">
        <v>17</v>
      </c>
      <c r="D6084" s="9" t="s">
        <v>40</v>
      </c>
      <c r="E6084" s="10" t="s">
        <v>371</v>
      </c>
      <c r="F6084" s="9" t="s">
        <v>372</v>
      </c>
      <c r="G6084" s="10" t="s">
        <v>34</v>
      </c>
      <c r="H6084" s="9" t="s">
        <v>22</v>
      </c>
      <c r="I6084" s="9" t="s">
        <v>14113</v>
      </c>
      <c r="J6084" s="10" t="str">
        <f>HYPERLINK("https://www.boe.es/gazeta/dias/1834/05/27/pdfs/GMD-1834-96.pdf#page=1","Abrir facsímil")</f>
        <v>Abrir facsímil</v>
      </c>
      <c r="K6084" s="10" t="s">
        <v>24</v>
      </c>
    </row>
    <row r="6085" spans="1:11" ht="54" customHeight="1">
      <c r="A6085" s="9" t="s">
        <v>14114</v>
      </c>
      <c r="B6085" s="9" t="s">
        <v>14115</v>
      </c>
      <c r="C6085" s="9" t="s">
        <v>90</v>
      </c>
      <c r="D6085" s="9" t="s">
        <v>101</v>
      </c>
      <c r="E6085" s="10" t="s">
        <v>762</v>
      </c>
      <c r="F6085" s="9" t="s">
        <v>2227</v>
      </c>
      <c r="G6085" s="10" t="s">
        <v>34</v>
      </c>
      <c r="H6085" s="9" t="s">
        <v>22</v>
      </c>
      <c r="I6085" s="9" t="s">
        <v>14116</v>
      </c>
      <c r="J6085" s="10" t="str">
        <f>HYPERLINK("https://www.boe.es/gazeta/dias/1834/11/07/pdfs/GMD-C-1834-266.pdf#page=1","Abrir facsímil")</f>
        <v>Abrir facsímil</v>
      </c>
      <c r="K6085" s="10" t="s">
        <v>24</v>
      </c>
    </row>
    <row r="6086" spans="1:11" ht="54" customHeight="1">
      <c r="A6086" s="9" t="s">
        <v>14117</v>
      </c>
      <c r="B6086" s="9" t="s">
        <v>14118</v>
      </c>
      <c r="C6086" s="9" t="s">
        <v>90</v>
      </c>
      <c r="D6086" s="9" t="s">
        <v>18</v>
      </c>
      <c r="E6086" s="10" t="s">
        <v>647</v>
      </c>
      <c r="F6086" s="9" t="s">
        <v>648</v>
      </c>
      <c r="G6086" s="10" t="s">
        <v>34</v>
      </c>
      <c r="H6086" s="9" t="s">
        <v>22</v>
      </c>
      <c r="I6086" s="9" t="s">
        <v>14119</v>
      </c>
      <c r="J6086" s="10" t="str">
        <f>HYPERLINK("https://www.boe.es/gazeta/dias/1834/10/21/pdfs/GMD-C-1834-249.pdf#page=1","Abrir facsímil")</f>
        <v>Abrir facsímil</v>
      </c>
      <c r="K6086" s="10" t="s">
        <v>24</v>
      </c>
    </row>
    <row r="6087" spans="1:11" ht="54" customHeight="1">
      <c r="A6087" s="9" t="s">
        <v>14120</v>
      </c>
      <c r="B6087" s="9" t="s">
        <v>14121</v>
      </c>
      <c r="C6087" s="9" t="s">
        <v>90</v>
      </c>
      <c r="D6087" s="9" t="s">
        <v>101</v>
      </c>
      <c r="E6087" s="10" t="s">
        <v>762</v>
      </c>
      <c r="F6087" s="9" t="s">
        <v>2227</v>
      </c>
      <c r="G6087" s="10" t="s">
        <v>34</v>
      </c>
      <c r="H6087" s="9" t="s">
        <v>35</v>
      </c>
      <c r="I6087" s="9" t="s">
        <v>14122</v>
      </c>
      <c r="J6087" s="10" t="str">
        <f>HYPERLINK("https://www.boe.es/gazeta/dias/1834/11/07/pdfs/GMD-C-1834-266.pdf#page=1","Abrir facsímil")</f>
        <v>Abrir facsímil</v>
      </c>
      <c r="K6087" s="10" t="s">
        <v>37</v>
      </c>
    </row>
    <row r="6088" spans="1:11" ht="54" customHeight="1">
      <c r="A6088" s="9" t="s">
        <v>14123</v>
      </c>
      <c r="B6088" s="9" t="s">
        <v>14124</v>
      </c>
      <c r="C6088" s="9" t="s">
        <v>17</v>
      </c>
      <c r="D6088" s="9" t="s">
        <v>40</v>
      </c>
      <c r="E6088" s="10" t="s">
        <v>11991</v>
      </c>
      <c r="F6088" s="9" t="s">
        <v>11992</v>
      </c>
      <c r="G6088" s="10" t="s">
        <v>34</v>
      </c>
      <c r="H6088" s="9" t="s">
        <v>35</v>
      </c>
      <c r="I6088" s="9" t="s">
        <v>14125</v>
      </c>
      <c r="J6088" s="10" t="str">
        <f>HYPERLINK("https://www.boe.es/gazeta/dias/1834/12/05/pdfs/GMD-C-1834-294.pdf#page=1","Abrir facsímil")</f>
        <v>Abrir facsímil</v>
      </c>
      <c r="K6088" s="10" t="s">
        <v>37</v>
      </c>
    </row>
    <row r="6089" spans="1:11" ht="54" customHeight="1">
      <c r="A6089" s="9" t="s">
        <v>14126</v>
      </c>
      <c r="B6089" s="9" t="s">
        <v>14127</v>
      </c>
      <c r="C6089" s="9" t="s">
        <v>90</v>
      </c>
      <c r="D6089" s="9" t="s">
        <v>18</v>
      </c>
      <c r="E6089" s="10" t="s">
        <v>2087</v>
      </c>
      <c r="F6089" s="9" t="s">
        <v>2267</v>
      </c>
      <c r="G6089" s="10" t="s">
        <v>75</v>
      </c>
      <c r="H6089" s="9" t="s">
        <v>22</v>
      </c>
      <c r="I6089" s="9" t="s">
        <v>14128</v>
      </c>
      <c r="J6089" s="10" t="str">
        <f>HYPERLINK("https://www.boe.es/gazeta/dias/1834/12/14/pdfs/GMD-C-1834-303.pdf#page=4","Abrir facsímil")</f>
        <v>Abrir facsímil</v>
      </c>
      <c r="K6089" s="10" t="s">
        <v>24</v>
      </c>
    </row>
    <row r="6090" spans="1:11" ht="54" customHeight="1">
      <c r="A6090" s="9" t="s">
        <v>14126</v>
      </c>
      <c r="B6090" s="9" t="s">
        <v>14127</v>
      </c>
      <c r="C6090" s="9" t="s">
        <v>90</v>
      </c>
      <c r="D6090" s="9" t="s">
        <v>18</v>
      </c>
      <c r="E6090" s="10" t="s">
        <v>4736</v>
      </c>
      <c r="F6090" s="9" t="s">
        <v>9470</v>
      </c>
      <c r="G6090" s="10" t="s">
        <v>34</v>
      </c>
      <c r="H6090" s="9" t="s">
        <v>22</v>
      </c>
      <c r="I6090" s="9" t="s">
        <v>14129</v>
      </c>
      <c r="J6090" s="10" t="str">
        <f>HYPERLINK("https://www.boe.es/gazeta/dias/1834/09/16/pdfs/GMD-C-1834-214.pdf#page=1","Abrir facsímil")</f>
        <v>Abrir facsímil</v>
      </c>
      <c r="K6090" s="10" t="s">
        <v>24</v>
      </c>
    </row>
    <row r="6091" spans="1:11" ht="54" customHeight="1">
      <c r="A6091" s="9" t="s">
        <v>14126</v>
      </c>
      <c r="B6091" s="9" t="s">
        <v>14127</v>
      </c>
      <c r="C6091" s="9" t="s">
        <v>17</v>
      </c>
      <c r="D6091" s="9" t="s">
        <v>18</v>
      </c>
      <c r="E6091" s="10" t="s">
        <v>280</v>
      </c>
      <c r="F6091" s="9" t="s">
        <v>281</v>
      </c>
      <c r="G6091" s="10" t="s">
        <v>560</v>
      </c>
      <c r="H6091" s="9" t="s">
        <v>22</v>
      </c>
      <c r="I6091" s="9" t="s">
        <v>14130</v>
      </c>
      <c r="J6091" s="10" t="str">
        <f>HYPERLINK("https://www.boe.es/gazeta/dias/1834/08/29/pdfs/GMD-C-1834-195.pdf#page=7","Abrir facsímil")</f>
        <v>Abrir facsímil</v>
      </c>
      <c r="K6091" s="10" t="s">
        <v>24</v>
      </c>
    </row>
    <row r="6092" spans="1:11" ht="54" customHeight="1">
      <c r="A6092" s="9" t="s">
        <v>14131</v>
      </c>
      <c r="B6092" s="9" t="s">
        <v>14132</v>
      </c>
      <c r="C6092" s="9" t="s">
        <v>17</v>
      </c>
      <c r="D6092" s="9" t="s">
        <v>18</v>
      </c>
      <c r="E6092" s="10" t="s">
        <v>167</v>
      </c>
      <c r="F6092" s="9" t="s">
        <v>1200</v>
      </c>
      <c r="G6092" s="10" t="s">
        <v>34</v>
      </c>
      <c r="H6092" s="9" t="s">
        <v>22</v>
      </c>
      <c r="I6092" s="9" t="s">
        <v>14133</v>
      </c>
      <c r="J6092" s="10" t="str">
        <f>HYPERLINK("https://www.boe.es/gazeta/dias/1834/09/07/pdfs/GMD-C-1834-205.pdf#page=1","Abrir facsímil")</f>
        <v>Abrir facsímil</v>
      </c>
      <c r="K6092" s="10" t="s">
        <v>24</v>
      </c>
    </row>
    <row r="6093" spans="1:11" ht="54" customHeight="1">
      <c r="A6093" s="9" t="s">
        <v>14134</v>
      </c>
      <c r="B6093" s="9" t="s">
        <v>14135</v>
      </c>
      <c r="C6093" s="9" t="s">
        <v>17</v>
      </c>
      <c r="D6093" s="9" t="s">
        <v>18</v>
      </c>
      <c r="E6093" s="10" t="s">
        <v>237</v>
      </c>
      <c r="F6093" s="9" t="s">
        <v>238</v>
      </c>
      <c r="G6093" s="10" t="s">
        <v>34</v>
      </c>
      <c r="H6093" s="9" t="s">
        <v>35</v>
      </c>
      <c r="I6093" s="9" t="s">
        <v>14136</v>
      </c>
      <c r="J6093" s="10" t="str">
        <f>HYPERLINK("https://www.boe.es/gazeta/dias/1834/08/15/pdfs/GMD-C-1834-180.pdf#page=1","Abrir facsímil")</f>
        <v>Abrir facsímil</v>
      </c>
      <c r="K6093" s="10" t="s">
        <v>37</v>
      </c>
    </row>
    <row r="6094" spans="1:11" ht="54" customHeight="1">
      <c r="A6094" s="9" t="s">
        <v>14137</v>
      </c>
      <c r="B6094" s="9" t="s">
        <v>14138</v>
      </c>
      <c r="C6094" s="9" t="s">
        <v>17</v>
      </c>
      <c r="D6094" s="9" t="s">
        <v>40</v>
      </c>
      <c r="E6094" s="10" t="s">
        <v>11991</v>
      </c>
      <c r="F6094" s="9" t="s">
        <v>11992</v>
      </c>
      <c r="G6094" s="10" t="s">
        <v>34</v>
      </c>
      <c r="H6094" s="9" t="s">
        <v>22</v>
      </c>
      <c r="I6094" s="9" t="s">
        <v>14139</v>
      </c>
      <c r="J6094" s="10" t="str">
        <f>HYPERLINK("https://www.boe.es/gazeta/dias/1834/12/05/pdfs/GMD-C-1834-294.pdf#page=1","Abrir facsímil")</f>
        <v>Abrir facsímil</v>
      </c>
      <c r="K6094" s="10" t="s">
        <v>24</v>
      </c>
    </row>
    <row r="6095" spans="1:11" ht="54" customHeight="1">
      <c r="A6095" s="9" t="s">
        <v>14140</v>
      </c>
      <c r="B6095" s="9" t="s">
        <v>14141</v>
      </c>
      <c r="C6095" s="9" t="s">
        <v>17</v>
      </c>
      <c r="D6095" s="9" t="s">
        <v>18</v>
      </c>
      <c r="E6095" s="10" t="s">
        <v>19</v>
      </c>
      <c r="F6095" s="9" t="s">
        <v>20</v>
      </c>
      <c r="G6095" s="10" t="s">
        <v>34</v>
      </c>
      <c r="H6095" s="9" t="s">
        <v>35</v>
      </c>
      <c r="I6095" s="9" t="s">
        <v>14142</v>
      </c>
      <c r="J6095" s="10" t="str">
        <f>HYPERLINK("https://www.boe.es/gazeta/dias/1834/08/17/pdfs/GMD-D-1834-182.pdf#page=1","Abrir facsímil")</f>
        <v>Abrir facsímil</v>
      </c>
      <c r="K6095" s="10" t="s">
        <v>37</v>
      </c>
    </row>
    <row r="6096" spans="1:11" ht="54" customHeight="1">
      <c r="A6096" s="9" t="s">
        <v>14143</v>
      </c>
      <c r="B6096" s="9" t="s">
        <v>14144</v>
      </c>
      <c r="C6096" s="9" t="s">
        <v>17</v>
      </c>
      <c r="D6096" s="9" t="s">
        <v>18</v>
      </c>
      <c r="E6096" s="10" t="s">
        <v>762</v>
      </c>
      <c r="F6096" s="9" t="s">
        <v>2227</v>
      </c>
      <c r="G6096" s="10" t="s">
        <v>34</v>
      </c>
      <c r="H6096" s="9" t="s">
        <v>22</v>
      </c>
      <c r="I6096" s="9" t="s">
        <v>14145</v>
      </c>
      <c r="J6096" s="10" t="str">
        <f>HYPERLINK("https://www.boe.es/gazeta/dias/1834/11/07/pdfs/GMD-C-1834-266.pdf#page=1","Abrir facsímil")</f>
        <v>Abrir facsímil</v>
      </c>
      <c r="K6096" s="10" t="s">
        <v>24</v>
      </c>
    </row>
    <row r="6097" spans="1:11" ht="54" customHeight="1">
      <c r="A6097" s="9" t="s">
        <v>14146</v>
      </c>
      <c r="B6097" s="9" t="s">
        <v>14147</v>
      </c>
      <c r="C6097" s="9" t="s">
        <v>90</v>
      </c>
      <c r="D6097" s="9" t="s">
        <v>18</v>
      </c>
      <c r="E6097" s="10" t="s">
        <v>73</v>
      </c>
      <c r="F6097" s="9" t="s">
        <v>1416</v>
      </c>
      <c r="G6097" s="10" t="s">
        <v>86</v>
      </c>
      <c r="H6097" s="9" t="s">
        <v>22</v>
      </c>
      <c r="I6097" s="9" t="s">
        <v>14148</v>
      </c>
      <c r="J6097" s="10" t="str">
        <f>HYPERLINK("https://www.boe.es/gazeta/dias/1834/11/04/pdfs/GMD-C-1834-263.pdf#page=2","Abrir facsímil")</f>
        <v>Abrir facsímil</v>
      </c>
      <c r="K6097" s="10" t="s">
        <v>24</v>
      </c>
    </row>
    <row r="6098" spans="1:11" ht="54" customHeight="1">
      <c r="A6098" s="9" t="s">
        <v>14149</v>
      </c>
      <c r="B6098" s="9" t="s">
        <v>14150</v>
      </c>
      <c r="C6098" s="9" t="s">
        <v>90</v>
      </c>
      <c r="D6098" s="9" t="s">
        <v>18</v>
      </c>
      <c r="E6098" s="10" t="s">
        <v>891</v>
      </c>
      <c r="F6098" s="9" t="s">
        <v>892</v>
      </c>
      <c r="G6098" s="10" t="s">
        <v>34</v>
      </c>
      <c r="H6098" s="9" t="s">
        <v>22</v>
      </c>
      <c r="I6098" s="9" t="s">
        <v>14151</v>
      </c>
      <c r="J6098" s="10" t="str">
        <f>HYPERLINK("https://www.boe.es/gazeta/dias/1834/10/31/pdfs/GMD-C-1834-259.pdf#page=1","Abrir facsímil")</f>
        <v>Abrir facsímil</v>
      </c>
      <c r="K6098" s="10" t="s">
        <v>24</v>
      </c>
    </row>
    <row r="6099" spans="1:11" ht="54" customHeight="1">
      <c r="A6099" s="9" t="s">
        <v>14152</v>
      </c>
      <c r="B6099" s="9" t="s">
        <v>14152</v>
      </c>
      <c r="C6099" s="9" t="s">
        <v>17</v>
      </c>
      <c r="D6099" s="9" t="s">
        <v>18</v>
      </c>
      <c r="E6099" s="10" t="s">
        <v>2203</v>
      </c>
      <c r="F6099" s="9" t="s">
        <v>2204</v>
      </c>
      <c r="G6099" s="10" t="s">
        <v>28</v>
      </c>
      <c r="H6099" s="9" t="s">
        <v>22</v>
      </c>
      <c r="I6099" s="9" t="s">
        <v>14153</v>
      </c>
      <c r="J6099" s="10" t="str">
        <f>HYPERLINK("https://www.boe.es/gazeta/dias/1834/09/10/pdfs/GMD-C-1834-208.pdf#page=5","Abrir facsímil")</f>
        <v>Abrir facsímil</v>
      </c>
      <c r="K6099" s="10" t="s">
        <v>24</v>
      </c>
    </row>
    <row r="6100" spans="1:11" ht="54" customHeight="1">
      <c r="A6100" s="9" t="s">
        <v>14154</v>
      </c>
      <c r="B6100" s="9" t="s">
        <v>14155</v>
      </c>
      <c r="C6100" s="9" t="s">
        <v>17</v>
      </c>
      <c r="D6100" s="9" t="s">
        <v>18</v>
      </c>
      <c r="E6100" s="10" t="s">
        <v>429</v>
      </c>
      <c r="F6100" s="9" t="s">
        <v>430</v>
      </c>
      <c r="G6100" s="10" t="s">
        <v>21</v>
      </c>
      <c r="H6100" s="9" t="s">
        <v>22</v>
      </c>
      <c r="I6100" s="9" t="s">
        <v>14156</v>
      </c>
      <c r="J6100" s="10" t="str">
        <f>HYPERLINK("https://www.boe.es/gazeta/dias/1834/08/07/pdfs/GMD-C-1834-172.pdf#page=3","Abrir facsímil")</f>
        <v>Abrir facsímil</v>
      </c>
      <c r="K6100" s="10" t="s">
        <v>24</v>
      </c>
    </row>
    <row r="6101" spans="1:11" ht="54" customHeight="1">
      <c r="A6101" s="9" t="s">
        <v>14154</v>
      </c>
      <c r="B6101" s="9" t="s">
        <v>14155</v>
      </c>
      <c r="C6101" s="9" t="s">
        <v>17</v>
      </c>
      <c r="D6101" s="9" t="s">
        <v>18</v>
      </c>
      <c r="E6101" s="10" t="s">
        <v>429</v>
      </c>
      <c r="F6101" s="9" t="s">
        <v>430</v>
      </c>
      <c r="G6101" s="10" t="s">
        <v>28</v>
      </c>
      <c r="H6101" s="9" t="s">
        <v>22</v>
      </c>
      <c r="I6101" s="9" t="s">
        <v>14157</v>
      </c>
      <c r="J6101" s="10" t="str">
        <f>HYPERLINK("https://www.boe.es/gazeta/dias/1834/08/07/pdfs/GMD-C-1834-172.pdf#page=5","Abrir facsímil")</f>
        <v>Abrir facsímil</v>
      </c>
      <c r="K6101" s="10" t="s">
        <v>24</v>
      </c>
    </row>
    <row r="6102" spans="1:11" ht="54" customHeight="1">
      <c r="A6102" s="9" t="s">
        <v>14158</v>
      </c>
      <c r="B6102" s="9" t="s">
        <v>14159</v>
      </c>
      <c r="C6102" s="9" t="s">
        <v>90</v>
      </c>
      <c r="D6102" s="9" t="s">
        <v>18</v>
      </c>
      <c r="E6102" s="10" t="s">
        <v>3057</v>
      </c>
      <c r="F6102" s="9" t="s">
        <v>3058</v>
      </c>
      <c r="G6102" s="10" t="s">
        <v>75</v>
      </c>
      <c r="H6102" s="9" t="s">
        <v>22</v>
      </c>
      <c r="I6102" s="9" t="s">
        <v>14160</v>
      </c>
      <c r="J6102" s="10" t="str">
        <f>HYPERLINK("https://www.boe.es/gazeta/dias/1834/06/14/pdfs/GMD-1834-117.pdf#page=4","Abrir facsímil")</f>
        <v>Abrir facsímil</v>
      </c>
      <c r="K6102" s="10" t="s">
        <v>24</v>
      </c>
    </row>
    <row r="6103" spans="1:11" ht="54" customHeight="1">
      <c r="A6103" s="9" t="s">
        <v>14161</v>
      </c>
      <c r="B6103" s="9" t="s">
        <v>14162</v>
      </c>
      <c r="C6103" s="9" t="s">
        <v>90</v>
      </c>
      <c r="D6103" s="9" t="s">
        <v>18</v>
      </c>
      <c r="E6103" s="10" t="s">
        <v>158</v>
      </c>
      <c r="F6103" s="9" t="s">
        <v>581</v>
      </c>
      <c r="G6103" s="10" t="s">
        <v>86</v>
      </c>
      <c r="H6103" s="9" t="s">
        <v>22</v>
      </c>
      <c r="I6103" s="9" t="s">
        <v>14163</v>
      </c>
      <c r="J6103" s="10" t="str">
        <f>HYPERLINK("https://www.boe.es/gazeta/dias/1834/10/01/pdfs/GMD-C-1834-229.pdf#page=2","Abrir facsímil")</f>
        <v>Abrir facsímil</v>
      </c>
      <c r="K6103" s="10" t="s">
        <v>24</v>
      </c>
    </row>
    <row r="6104" spans="1:11" ht="54" customHeight="1">
      <c r="A6104" s="9" t="s">
        <v>14164</v>
      </c>
      <c r="B6104" s="9" t="s">
        <v>14165</v>
      </c>
      <c r="C6104" s="9" t="s">
        <v>17</v>
      </c>
      <c r="D6104" s="9" t="s">
        <v>18</v>
      </c>
      <c r="E6104" s="10" t="s">
        <v>891</v>
      </c>
      <c r="F6104" s="9" t="s">
        <v>892</v>
      </c>
      <c r="G6104" s="10" t="s">
        <v>75</v>
      </c>
      <c r="H6104" s="9" t="s">
        <v>22</v>
      </c>
      <c r="I6104" s="9" t="s">
        <v>14166</v>
      </c>
      <c r="J6104" s="10" t="str">
        <f>HYPERLINK("https://www.boe.es/gazeta/dias/1834/10/31/pdfs/GMD-C-1834-259.pdf#page=4","Abrir facsímil")</f>
        <v>Abrir facsímil</v>
      </c>
      <c r="K6104" s="10" t="s">
        <v>24</v>
      </c>
    </row>
    <row r="6105" spans="1:11" ht="54" customHeight="1">
      <c r="A6105" s="9" t="s">
        <v>14167</v>
      </c>
      <c r="B6105" s="9" t="s">
        <v>14167</v>
      </c>
      <c r="C6105" s="9" t="s">
        <v>46</v>
      </c>
      <c r="D6105" s="9" t="s">
        <v>18</v>
      </c>
      <c r="E6105" s="10" t="s">
        <v>2260</v>
      </c>
      <c r="F6105" s="9" t="s">
        <v>2263</v>
      </c>
      <c r="G6105" s="10" t="s">
        <v>560</v>
      </c>
      <c r="H6105" s="9" t="s">
        <v>22</v>
      </c>
      <c r="I6105" s="9" t="s">
        <v>14168</v>
      </c>
      <c r="J6105" s="10" t="str">
        <f>HYPERLINK("https://www.boe.es/gazeta/dias/1834/11/13/pdfs/GMD-C-1834-272.pdf#page=7","Abrir facsímil")</f>
        <v>Abrir facsímil</v>
      </c>
      <c r="K6105" s="10" t="s">
        <v>24</v>
      </c>
    </row>
    <row r="6106" spans="1:11" ht="54" customHeight="1">
      <c r="A6106" s="9" t="s">
        <v>14169</v>
      </c>
      <c r="B6106" s="9" t="s">
        <v>14170</v>
      </c>
      <c r="C6106" s="9" t="s">
        <v>90</v>
      </c>
      <c r="D6106" s="9" t="s">
        <v>18</v>
      </c>
      <c r="E6106" s="10" t="s">
        <v>777</v>
      </c>
      <c r="F6106" s="9" t="s">
        <v>2535</v>
      </c>
      <c r="G6106" s="10" t="s">
        <v>560</v>
      </c>
      <c r="H6106" s="9" t="s">
        <v>22</v>
      </c>
      <c r="I6106" s="9" t="s">
        <v>14171</v>
      </c>
      <c r="J6106" s="10" t="str">
        <f>HYPERLINK("https://www.boe.es/gazeta/dias/1834/10/29/pdfs/GMD-C-1834-257.pdf#page=7","Abrir facsímil")</f>
        <v>Abrir facsímil</v>
      </c>
      <c r="K6106" s="10" t="s">
        <v>24</v>
      </c>
    </row>
    <row r="6107" spans="1:11" ht="54" customHeight="1">
      <c r="A6107" s="9" t="s">
        <v>14172</v>
      </c>
      <c r="B6107" s="9" t="s">
        <v>14173</v>
      </c>
      <c r="C6107" s="9" t="s">
        <v>17</v>
      </c>
      <c r="D6107" s="9" t="s">
        <v>18</v>
      </c>
      <c r="E6107" s="10" t="s">
        <v>343</v>
      </c>
      <c r="F6107" s="9" t="s">
        <v>344</v>
      </c>
      <c r="G6107" s="10" t="s">
        <v>21</v>
      </c>
      <c r="H6107" s="9" t="s">
        <v>22</v>
      </c>
      <c r="I6107" s="9" t="s">
        <v>14174</v>
      </c>
      <c r="J6107" s="10" t="str">
        <f>HYPERLINK("https://www.boe.es/gazeta/dias/1834/01/14/pdfs/GMD-1834-7.pdf#page=3","Abrir facsímil")</f>
        <v>Abrir facsímil</v>
      </c>
      <c r="K6107" s="10" t="s">
        <v>24</v>
      </c>
    </row>
    <row r="6108" spans="1:11" ht="54" customHeight="1">
      <c r="A6108" s="9" t="s">
        <v>14175</v>
      </c>
      <c r="B6108" s="9" t="s">
        <v>14175</v>
      </c>
      <c r="C6108" s="9" t="s">
        <v>46</v>
      </c>
      <c r="D6108" s="9" t="s">
        <v>18</v>
      </c>
      <c r="E6108" s="10" t="s">
        <v>2459</v>
      </c>
      <c r="F6108" s="9" t="s">
        <v>2460</v>
      </c>
      <c r="G6108" s="10" t="s">
        <v>75</v>
      </c>
      <c r="H6108" s="9" t="s">
        <v>22</v>
      </c>
      <c r="I6108" s="9" t="s">
        <v>14176</v>
      </c>
      <c r="J6108" s="10" t="str">
        <f>HYPERLINK("https://www.boe.es/gazeta/dias/1834/04/04/pdfs/GMD-1834-43.pdf#page=4","Abrir facsímil")</f>
        <v>Abrir facsímil</v>
      </c>
      <c r="K6108" s="10" t="s">
        <v>24</v>
      </c>
    </row>
    <row r="6109" spans="1:11" ht="54" customHeight="1">
      <c r="A6109" s="9" t="s">
        <v>14177</v>
      </c>
      <c r="B6109" s="9" t="s">
        <v>14178</v>
      </c>
      <c r="C6109" s="9" t="s">
        <v>66</v>
      </c>
      <c r="D6109" s="9" t="s">
        <v>67</v>
      </c>
      <c r="E6109" s="10" t="s">
        <v>468</v>
      </c>
      <c r="F6109" s="9" t="s">
        <v>11413</v>
      </c>
      <c r="G6109" s="10" t="s">
        <v>86</v>
      </c>
      <c r="H6109" s="9" t="s">
        <v>22</v>
      </c>
      <c r="I6109" s="9" t="s">
        <v>14179</v>
      </c>
      <c r="J6109" s="10" t="str">
        <f>HYPERLINK("https://www.boe.es/gazeta/dias/1834/12/28/pdfs/GMD-1834-318.pdf#page=2","Abrir facsímil")</f>
        <v>Abrir facsímil</v>
      </c>
      <c r="K6109" s="10" t="s">
        <v>24</v>
      </c>
    </row>
    <row r="6110" spans="1:11" ht="54" customHeight="1">
      <c r="A6110" s="9" t="s">
        <v>14180</v>
      </c>
      <c r="B6110" s="9" t="s">
        <v>14181</v>
      </c>
      <c r="C6110" s="9" t="s">
        <v>17</v>
      </c>
      <c r="D6110" s="9" t="s">
        <v>18</v>
      </c>
      <c r="E6110" s="10" t="s">
        <v>200</v>
      </c>
      <c r="F6110" s="9" t="s">
        <v>2248</v>
      </c>
      <c r="G6110" s="10" t="s">
        <v>21</v>
      </c>
      <c r="H6110" s="9" t="s">
        <v>22</v>
      </c>
      <c r="I6110" s="9" t="s">
        <v>14182</v>
      </c>
      <c r="J6110" s="10" t="str">
        <f>HYPERLINK("https://www.boe.es/gazeta/dias/1834/12/11/pdfs/GMD-C-1834-300.pdf#page=3","Abrir facsímil")</f>
        <v>Abrir facsímil</v>
      </c>
      <c r="K6110" s="10" t="s">
        <v>24</v>
      </c>
    </row>
    <row r="6111" spans="1:11" ht="54" customHeight="1">
      <c r="A6111" s="9" t="s">
        <v>14183</v>
      </c>
      <c r="B6111" s="9" t="s">
        <v>14184</v>
      </c>
      <c r="C6111" s="9" t="s">
        <v>17</v>
      </c>
      <c r="D6111" s="9" t="s">
        <v>18</v>
      </c>
      <c r="E6111" s="10" t="s">
        <v>715</v>
      </c>
      <c r="F6111" s="9" t="s">
        <v>7773</v>
      </c>
      <c r="G6111" s="10" t="s">
        <v>86</v>
      </c>
      <c r="H6111" s="9" t="s">
        <v>22</v>
      </c>
      <c r="I6111" s="9" t="s">
        <v>14185</v>
      </c>
      <c r="J6111" s="10" t="str">
        <f>HYPERLINK("https://www.boe.es/gazeta/dias/1834/09/17/pdfs/GMD-1834-215.pdf#page=2","Abrir facsímil")</f>
        <v>Abrir facsímil</v>
      </c>
      <c r="K6111" s="10" t="s">
        <v>24</v>
      </c>
    </row>
    <row r="6112" spans="1:11" ht="54" customHeight="1">
      <c r="A6112" s="9" t="s">
        <v>14186</v>
      </c>
      <c r="B6112" s="9" t="s">
        <v>14187</v>
      </c>
      <c r="C6112" s="9" t="s">
        <v>66</v>
      </c>
      <c r="D6112" s="9" t="s">
        <v>67</v>
      </c>
      <c r="E6112" s="10" t="s">
        <v>762</v>
      </c>
      <c r="F6112" s="9" t="s">
        <v>763</v>
      </c>
      <c r="G6112" s="10" t="s">
        <v>75</v>
      </c>
      <c r="H6112" s="9" t="s">
        <v>22</v>
      </c>
      <c r="I6112" s="9" t="s">
        <v>14188</v>
      </c>
      <c r="J6112" s="10" t="str">
        <f>HYPERLINK("https://www.boe.es/gazeta/dias/1834/11/07/pdfs/GMD-1834-266.pdf#page=4","Abrir facsímil")</f>
        <v>Abrir facsímil</v>
      </c>
      <c r="K6112" s="10" t="s">
        <v>24</v>
      </c>
    </row>
    <row r="6113" spans="1:11" ht="54" customHeight="1">
      <c r="A6113" s="9" t="s">
        <v>14189</v>
      </c>
      <c r="B6113" s="9" t="s">
        <v>14190</v>
      </c>
      <c r="C6113" s="9" t="s">
        <v>66</v>
      </c>
      <c r="D6113" s="9" t="s">
        <v>67</v>
      </c>
      <c r="E6113" s="10" t="s">
        <v>739</v>
      </c>
      <c r="F6113" s="9" t="s">
        <v>740</v>
      </c>
      <c r="G6113" s="10" t="s">
        <v>75</v>
      </c>
      <c r="H6113" s="9" t="s">
        <v>22</v>
      </c>
      <c r="I6113" s="9" t="s">
        <v>14191</v>
      </c>
      <c r="J6113" s="10" t="str">
        <f>HYPERLINK("https://www.boe.es/gazeta/dias/1834/03/25/pdfs/GMD-1834-37.pdf#page=4","Abrir facsímil")</f>
        <v>Abrir facsímil</v>
      </c>
      <c r="K6113" s="10" t="s">
        <v>24</v>
      </c>
    </row>
    <row r="6114" spans="1:11" ht="54" customHeight="1">
      <c r="A6114" s="9" t="s">
        <v>14192</v>
      </c>
      <c r="B6114" s="9" t="s">
        <v>14193</v>
      </c>
      <c r="C6114" s="9" t="s">
        <v>17</v>
      </c>
      <c r="D6114" s="9" t="s">
        <v>18</v>
      </c>
      <c r="E6114" s="10" t="s">
        <v>416</v>
      </c>
      <c r="F6114" s="9" t="s">
        <v>417</v>
      </c>
      <c r="G6114" s="10" t="s">
        <v>28</v>
      </c>
      <c r="H6114" s="9" t="s">
        <v>22</v>
      </c>
      <c r="I6114" s="9" t="s">
        <v>14194</v>
      </c>
      <c r="J6114" s="10" t="str">
        <f>HYPERLINK("https://www.boe.es/gazeta/dias/1834/10/02/pdfs/GMD-C-1834-230.pdf#page=5","Abrir facsímil")</f>
        <v>Abrir facsímil</v>
      </c>
      <c r="K6114" s="10" t="s">
        <v>24</v>
      </c>
    </row>
    <row r="6115" spans="1:11" ht="54" customHeight="1">
      <c r="A6115" s="9" t="s">
        <v>14195</v>
      </c>
      <c r="B6115" s="9" t="s">
        <v>14196</v>
      </c>
      <c r="C6115" s="9" t="s">
        <v>17</v>
      </c>
      <c r="D6115" s="9" t="s">
        <v>18</v>
      </c>
      <c r="E6115" s="10" t="s">
        <v>1195</v>
      </c>
      <c r="F6115" s="9" t="s">
        <v>1916</v>
      </c>
      <c r="G6115" s="10" t="s">
        <v>21</v>
      </c>
      <c r="H6115" s="9" t="s">
        <v>22</v>
      </c>
      <c r="I6115" s="9" t="s">
        <v>14197</v>
      </c>
      <c r="J6115" s="10" t="str">
        <f>HYPERLINK("https://www.boe.es/gazeta/dias/1834/10/17/pdfs/GMD-1834-245.pdf#page=3","Abrir facsímil")</f>
        <v>Abrir facsímil</v>
      </c>
      <c r="K6115" s="10" t="s">
        <v>24</v>
      </c>
    </row>
    <row r="6116" spans="1:11" ht="54" customHeight="1">
      <c r="A6116" s="9" t="s">
        <v>14198</v>
      </c>
      <c r="B6116" s="9" t="s">
        <v>14199</v>
      </c>
      <c r="C6116" s="9" t="s">
        <v>66</v>
      </c>
      <c r="D6116" s="9" t="s">
        <v>67</v>
      </c>
      <c r="E6116" s="10" t="s">
        <v>47</v>
      </c>
      <c r="F6116" s="9" t="s">
        <v>1466</v>
      </c>
      <c r="G6116" s="10" t="s">
        <v>34</v>
      </c>
      <c r="H6116" s="9" t="s">
        <v>22</v>
      </c>
      <c r="I6116" s="9" t="s">
        <v>14200</v>
      </c>
      <c r="J6116" s="10" t="str">
        <f>HYPERLINK("https://www.boe.es/gazeta/dias/1834/09/05/pdfs/GMD-1834-203.pdf#page=1","Abrir facsímil")</f>
        <v>Abrir facsímil</v>
      </c>
      <c r="K6116" s="10" t="s">
        <v>24</v>
      </c>
    </row>
    <row r="6117" spans="1:11" ht="54" customHeight="1">
      <c r="A6117" s="9" t="s">
        <v>14201</v>
      </c>
      <c r="B6117" s="9" t="s">
        <v>14202</v>
      </c>
      <c r="C6117" s="9" t="s">
        <v>17</v>
      </c>
      <c r="D6117" s="9" t="s">
        <v>18</v>
      </c>
      <c r="E6117" s="10" t="s">
        <v>84</v>
      </c>
      <c r="F6117" s="9" t="s">
        <v>1223</v>
      </c>
      <c r="G6117" s="10" t="s">
        <v>86</v>
      </c>
      <c r="H6117" s="9" t="s">
        <v>22</v>
      </c>
      <c r="I6117" s="9" t="s">
        <v>14203</v>
      </c>
      <c r="J6117" s="10" t="str">
        <f>HYPERLINK("https://www.boe.es/gazeta/dias/1834/06/07/pdfs/GMD-1834-109.pdf#page=2","Abrir facsímil")</f>
        <v>Abrir facsímil</v>
      </c>
      <c r="K6117" s="10" t="s">
        <v>24</v>
      </c>
    </row>
    <row r="6118" spans="1:11" ht="54" customHeight="1">
      <c r="A6118" s="9" t="s">
        <v>14204</v>
      </c>
      <c r="B6118" s="9" t="s">
        <v>14205</v>
      </c>
      <c r="C6118" s="9" t="s">
        <v>46</v>
      </c>
      <c r="D6118" s="9" t="s">
        <v>18</v>
      </c>
      <c r="E6118" s="10" t="s">
        <v>1438</v>
      </c>
      <c r="F6118" s="9" t="s">
        <v>1439</v>
      </c>
      <c r="G6118" s="10" t="s">
        <v>21</v>
      </c>
      <c r="H6118" s="9" t="s">
        <v>22</v>
      </c>
      <c r="I6118" s="9" t="s">
        <v>14206</v>
      </c>
      <c r="J6118" s="10" t="str">
        <f>HYPERLINK("https://www.boe.es/gazeta/dias/1834/05/13/pdfs/GMD-1834-82.pdf#page=3","Abrir facsímil")</f>
        <v>Abrir facsímil</v>
      </c>
      <c r="K6118" s="10" t="s">
        <v>24</v>
      </c>
    </row>
    <row r="6119" spans="1:11" ht="54" customHeight="1">
      <c r="A6119" s="9" t="s">
        <v>14207</v>
      </c>
      <c r="B6119" s="9" t="s">
        <v>14208</v>
      </c>
      <c r="C6119" s="9" t="s">
        <v>17</v>
      </c>
      <c r="D6119" s="9" t="s">
        <v>40</v>
      </c>
      <c r="E6119" s="10" t="s">
        <v>762</v>
      </c>
      <c r="F6119" s="9" t="s">
        <v>2227</v>
      </c>
      <c r="G6119" s="10" t="s">
        <v>34</v>
      </c>
      <c r="H6119" s="9" t="s">
        <v>22</v>
      </c>
      <c r="I6119" s="9" t="s">
        <v>14209</v>
      </c>
      <c r="J6119" s="10" t="str">
        <f>HYPERLINK("https://www.boe.es/gazeta/dias/1834/11/07/pdfs/GMD-C-1834-266.pdf#page=1","Abrir facsímil")</f>
        <v>Abrir facsímil</v>
      </c>
      <c r="K6119" s="10" t="s">
        <v>24</v>
      </c>
    </row>
    <row r="6120" spans="1:11" ht="54" customHeight="1">
      <c r="A6120" s="9" t="s">
        <v>14210</v>
      </c>
      <c r="B6120" s="9" t="s">
        <v>14211</v>
      </c>
      <c r="C6120" s="9" t="s">
        <v>17</v>
      </c>
      <c r="D6120" s="9" t="s">
        <v>18</v>
      </c>
      <c r="E6120" s="10" t="s">
        <v>808</v>
      </c>
      <c r="F6120" s="9" t="s">
        <v>809</v>
      </c>
      <c r="G6120" s="10" t="s">
        <v>75</v>
      </c>
      <c r="H6120" s="9" t="s">
        <v>35</v>
      </c>
      <c r="I6120" s="9" t="s">
        <v>14212</v>
      </c>
      <c r="J6120" s="10" t="str">
        <f>HYPERLINK("https://www.boe.es/gazeta/dias/1834/10/11/pdfs/GMD-1834-239.pdf#page=4","Abrir facsímil")</f>
        <v>Abrir facsímil</v>
      </c>
      <c r="K6120" s="10" t="s">
        <v>37</v>
      </c>
    </row>
    <row r="6121" spans="1:11" ht="54" customHeight="1">
      <c r="A6121" s="9" t="s">
        <v>14213</v>
      </c>
      <c r="B6121" s="9" t="s">
        <v>14214</v>
      </c>
      <c r="C6121" s="9" t="s">
        <v>17</v>
      </c>
      <c r="D6121" s="9" t="s">
        <v>18</v>
      </c>
      <c r="E6121" s="10" t="s">
        <v>808</v>
      </c>
      <c r="F6121" s="9" t="s">
        <v>809</v>
      </c>
      <c r="G6121" s="10" t="s">
        <v>75</v>
      </c>
      <c r="H6121" s="9" t="s">
        <v>22</v>
      </c>
      <c r="I6121" s="9" t="s">
        <v>14215</v>
      </c>
      <c r="J6121" s="10" t="str">
        <f>HYPERLINK("https://www.boe.es/gazeta/dias/1834/10/11/pdfs/GMD-1834-239.pdf#page=4","Abrir facsímil")</f>
        <v>Abrir facsímil</v>
      </c>
      <c r="K6121" s="10" t="s">
        <v>24</v>
      </c>
    </row>
    <row r="6122" spans="1:11" ht="54" customHeight="1">
      <c r="A6122" s="9" t="s">
        <v>14216</v>
      </c>
      <c r="B6122" s="9" t="s">
        <v>14217</v>
      </c>
      <c r="C6122" s="9" t="s">
        <v>66</v>
      </c>
      <c r="D6122" s="9" t="s">
        <v>67</v>
      </c>
      <c r="E6122" s="10" t="s">
        <v>426</v>
      </c>
      <c r="F6122" s="9" t="s">
        <v>427</v>
      </c>
      <c r="G6122" s="10" t="s">
        <v>75</v>
      </c>
      <c r="H6122" s="9" t="s">
        <v>35</v>
      </c>
      <c r="I6122" s="9" t="s">
        <v>14218</v>
      </c>
      <c r="J6122" s="10" t="str">
        <f>HYPERLINK("https://www.boe.es/gazeta/dias/1834/10/04/pdfs/GMD-1834-232.pdf#page=4","Abrir facsímil")</f>
        <v>Abrir facsímil</v>
      </c>
      <c r="K6122" s="10" t="s">
        <v>37</v>
      </c>
    </row>
    <row r="6123" spans="1:11" ht="54" customHeight="1">
      <c r="A6123" s="9" t="s">
        <v>14219</v>
      </c>
      <c r="B6123" s="9" t="s">
        <v>14219</v>
      </c>
      <c r="C6123" s="9" t="s">
        <v>46</v>
      </c>
      <c r="D6123" s="9" t="s">
        <v>101</v>
      </c>
      <c r="E6123" s="10" t="s">
        <v>3328</v>
      </c>
      <c r="F6123" s="9" t="s">
        <v>3329</v>
      </c>
      <c r="G6123" s="10" t="s">
        <v>34</v>
      </c>
      <c r="H6123" s="9" t="s">
        <v>22</v>
      </c>
      <c r="I6123" s="9" t="s">
        <v>14220</v>
      </c>
      <c r="J6123" s="10" t="str">
        <f>HYPERLINK("https://www.boe.es/gazeta/dias/1834/06/04/pdfs/GMD-1834-106.pdf#page=1","Abrir facsímil")</f>
        <v>Abrir facsímil</v>
      </c>
      <c r="K6123" s="10" t="s">
        <v>24</v>
      </c>
    </row>
    <row r="6124" spans="1:11" ht="54" customHeight="1">
      <c r="A6124" s="9" t="s">
        <v>14219</v>
      </c>
      <c r="B6124" s="9" t="s">
        <v>14219</v>
      </c>
      <c r="C6124" s="9" t="s">
        <v>17</v>
      </c>
      <c r="D6124" s="9" t="s">
        <v>18</v>
      </c>
      <c r="E6124" s="10" t="s">
        <v>1212</v>
      </c>
      <c r="F6124" s="9" t="s">
        <v>1213</v>
      </c>
      <c r="G6124" s="10" t="s">
        <v>21</v>
      </c>
      <c r="H6124" s="9" t="s">
        <v>22</v>
      </c>
      <c r="I6124" s="9" t="s">
        <v>14221</v>
      </c>
      <c r="J6124" s="10" t="str">
        <f>HYPERLINK("https://www.boe.es/gazeta/dias/1834/05/24/pdfs/GMD-1834-93.pdf#page=3","Abrir facsímil")</f>
        <v>Abrir facsímil</v>
      </c>
      <c r="K6124" s="10" t="s">
        <v>24</v>
      </c>
    </row>
    <row r="6125" spans="1:11" ht="54" customHeight="1">
      <c r="A6125" s="9" t="s">
        <v>14219</v>
      </c>
      <c r="B6125" s="9" t="s">
        <v>14219</v>
      </c>
      <c r="C6125" s="9" t="s">
        <v>46</v>
      </c>
      <c r="D6125" s="9" t="s">
        <v>55</v>
      </c>
      <c r="E6125" s="10" t="s">
        <v>1747</v>
      </c>
      <c r="F6125" s="9" t="s">
        <v>1748</v>
      </c>
      <c r="G6125" s="10" t="s">
        <v>86</v>
      </c>
      <c r="H6125" s="9" t="s">
        <v>22</v>
      </c>
      <c r="I6125" s="9" t="s">
        <v>14222</v>
      </c>
      <c r="J6125" s="10" t="str">
        <f>HYPERLINK("https://www.boe.es/gazeta/dias/1834/06/29/pdfs/GMD-1834-132.pdf#page=2","Abrir facsímil")</f>
        <v>Abrir facsímil</v>
      </c>
      <c r="K6125" s="10" t="s">
        <v>24</v>
      </c>
    </row>
    <row r="6126" spans="1:11" ht="54" customHeight="1">
      <c r="A6126" s="9" t="s">
        <v>14223</v>
      </c>
      <c r="B6126" s="9" t="s">
        <v>14224</v>
      </c>
      <c r="C6126" s="9" t="s">
        <v>90</v>
      </c>
      <c r="D6126" s="9" t="s">
        <v>18</v>
      </c>
      <c r="E6126" s="10" t="s">
        <v>96</v>
      </c>
      <c r="F6126" s="9" t="s">
        <v>1725</v>
      </c>
      <c r="G6126" s="10" t="s">
        <v>75</v>
      </c>
      <c r="H6126" s="9" t="s">
        <v>22</v>
      </c>
      <c r="I6126" s="9" t="s">
        <v>14225</v>
      </c>
      <c r="J6126" s="10" t="str">
        <f>HYPERLINK("https://www.boe.es/gazeta/dias/1834/11/11/pdfs/GMD-1834-270.pdf#page=4","Abrir facsímil")</f>
        <v>Abrir facsímil</v>
      </c>
      <c r="K6126" s="10" t="s">
        <v>24</v>
      </c>
    </row>
    <row r="6127" spans="1:11" ht="54" customHeight="1">
      <c r="A6127" s="9" t="s">
        <v>14226</v>
      </c>
      <c r="B6127" s="9" t="s">
        <v>14227</v>
      </c>
      <c r="C6127" s="9" t="s">
        <v>17</v>
      </c>
      <c r="D6127" s="9" t="s">
        <v>18</v>
      </c>
      <c r="E6127" s="10" t="s">
        <v>1850</v>
      </c>
      <c r="F6127" s="9" t="s">
        <v>1851</v>
      </c>
      <c r="G6127" s="10" t="s">
        <v>470</v>
      </c>
      <c r="H6127" s="9" t="s">
        <v>22</v>
      </c>
      <c r="I6127" s="9" t="s">
        <v>14228</v>
      </c>
      <c r="J6127" s="10" t="str">
        <f>HYPERLINK("https://www.boe.es/gazeta/dias/1834/02/18/pdfs/GMD-1834-22.pdf#page=8","Abrir facsímil")</f>
        <v>Abrir facsímil</v>
      </c>
      <c r="K6127" s="10" t="s">
        <v>24</v>
      </c>
    </row>
    <row r="6128" spans="1:11" ht="54" customHeight="1">
      <c r="A6128" s="9" t="s">
        <v>14229</v>
      </c>
      <c r="B6128" s="9" t="s">
        <v>14230</v>
      </c>
      <c r="C6128" s="9" t="s">
        <v>46</v>
      </c>
      <c r="D6128" s="9" t="s">
        <v>101</v>
      </c>
      <c r="E6128" s="10" t="s">
        <v>610</v>
      </c>
      <c r="F6128" s="9" t="s">
        <v>611</v>
      </c>
      <c r="G6128" s="10" t="s">
        <v>21</v>
      </c>
      <c r="H6128" s="9" t="s">
        <v>22</v>
      </c>
      <c r="I6128" s="9" t="s">
        <v>14231</v>
      </c>
      <c r="J6128" s="10" t="str">
        <f>HYPERLINK("https://www.boe.es/gazeta/dias/1834/12/21/pdfs/GMD-C-1834-311.pdf#page=3","Abrir facsímil")</f>
        <v>Abrir facsímil</v>
      </c>
      <c r="K6128" s="10" t="s">
        <v>24</v>
      </c>
    </row>
    <row r="6129" spans="1:11" ht="54" customHeight="1">
      <c r="A6129" s="9" t="s">
        <v>14232</v>
      </c>
      <c r="B6129" s="9" t="s">
        <v>14232</v>
      </c>
      <c r="C6129" s="9" t="s">
        <v>66</v>
      </c>
      <c r="D6129" s="9" t="s">
        <v>67</v>
      </c>
      <c r="E6129" s="10" t="s">
        <v>1850</v>
      </c>
      <c r="F6129" s="9" t="s">
        <v>1851</v>
      </c>
      <c r="G6129" s="10" t="s">
        <v>75</v>
      </c>
      <c r="H6129" s="9" t="s">
        <v>22</v>
      </c>
      <c r="I6129" s="9" t="s">
        <v>14233</v>
      </c>
      <c r="J6129" s="10" t="str">
        <f>HYPERLINK("https://www.boe.es/gazeta/dias/1834/02/18/pdfs/GMD-1834-22.pdf#page=4","Abrir facsímil")</f>
        <v>Abrir facsímil</v>
      </c>
      <c r="K6129" s="10" t="s">
        <v>24</v>
      </c>
    </row>
    <row r="6130" spans="1:11" ht="54" customHeight="1">
      <c r="A6130" s="9" t="s">
        <v>14232</v>
      </c>
      <c r="B6130" s="9" t="s">
        <v>14232</v>
      </c>
      <c r="C6130" s="9" t="s">
        <v>17</v>
      </c>
      <c r="D6130" s="9" t="s">
        <v>18</v>
      </c>
      <c r="E6130" s="10" t="s">
        <v>268</v>
      </c>
      <c r="F6130" s="9" t="s">
        <v>269</v>
      </c>
      <c r="G6130" s="10" t="s">
        <v>21</v>
      </c>
      <c r="H6130" s="9" t="s">
        <v>22</v>
      </c>
      <c r="I6130" s="9" t="s">
        <v>14234</v>
      </c>
      <c r="J6130" s="10" t="str">
        <f>HYPERLINK("https://www.boe.es/gazeta/dias/1834/12/19/pdfs/GMD-C-1834-309.pdf#page=3","Abrir facsímil")</f>
        <v>Abrir facsímil</v>
      </c>
      <c r="K6130" s="10" t="s">
        <v>24</v>
      </c>
    </row>
    <row r="6131" spans="1:11" ht="54" customHeight="1">
      <c r="A6131" s="9" t="s">
        <v>14235</v>
      </c>
      <c r="B6131" s="9" t="s">
        <v>14236</v>
      </c>
      <c r="C6131" s="9" t="s">
        <v>90</v>
      </c>
      <c r="D6131" s="9" t="s">
        <v>18</v>
      </c>
      <c r="E6131" s="10" t="s">
        <v>13660</v>
      </c>
      <c r="F6131" s="9" t="s">
        <v>13661</v>
      </c>
      <c r="G6131" s="10" t="s">
        <v>86</v>
      </c>
      <c r="H6131" s="9" t="s">
        <v>22</v>
      </c>
      <c r="I6131" s="9" t="s">
        <v>14237</v>
      </c>
      <c r="J6131" s="10" t="str">
        <f>HYPERLINK("https://www.boe.es/gazeta/dias/1834/12/15/pdfs/GMD-1834-304.pdf#page=2","Abrir facsímil")</f>
        <v>Abrir facsímil</v>
      </c>
      <c r="K6131" s="10" t="s">
        <v>24</v>
      </c>
    </row>
    <row r="6132" spans="1:11" ht="54" customHeight="1">
      <c r="A6132" s="9" t="s">
        <v>14238</v>
      </c>
      <c r="B6132" s="9" t="s">
        <v>14238</v>
      </c>
      <c r="C6132" s="9" t="s">
        <v>17</v>
      </c>
      <c r="D6132" s="9" t="s">
        <v>18</v>
      </c>
      <c r="E6132" s="10" t="s">
        <v>2950</v>
      </c>
      <c r="F6132" s="9" t="s">
        <v>2951</v>
      </c>
      <c r="G6132" s="10" t="s">
        <v>34</v>
      </c>
      <c r="H6132" s="9" t="s">
        <v>22</v>
      </c>
      <c r="I6132" s="9" t="s">
        <v>14239</v>
      </c>
      <c r="J6132" s="10" t="str">
        <f>HYPERLINK("https://www.boe.es/gazeta/dias/1834/05/20/pdfs/GMD-1834-89.pdf#page=1","Abrir facsímil")</f>
        <v>Abrir facsímil</v>
      </c>
      <c r="K6132" s="10" t="s">
        <v>24</v>
      </c>
    </row>
    <row r="6133" spans="1:11" ht="54" customHeight="1">
      <c r="A6133" s="9" t="s">
        <v>14238</v>
      </c>
      <c r="B6133" s="9" t="s">
        <v>14238</v>
      </c>
      <c r="C6133" s="9" t="s">
        <v>17</v>
      </c>
      <c r="D6133" s="9" t="s">
        <v>18</v>
      </c>
      <c r="E6133" s="10" t="s">
        <v>702</v>
      </c>
      <c r="F6133" s="9" t="s">
        <v>703</v>
      </c>
      <c r="G6133" s="10" t="s">
        <v>86</v>
      </c>
      <c r="H6133" s="9" t="s">
        <v>22</v>
      </c>
      <c r="I6133" s="9" t="s">
        <v>14240</v>
      </c>
      <c r="J6133" s="10" t="str">
        <f>HYPERLINK("https://www.boe.es/gazeta/dias/1834/11/22/pdfs/GMD-C-1834-281.pdf#page=2","Abrir facsímil")</f>
        <v>Abrir facsímil</v>
      </c>
      <c r="K6133" s="10" t="s">
        <v>24</v>
      </c>
    </row>
    <row r="6134" spans="1:11" ht="54" customHeight="1">
      <c r="A6134" s="9" t="s">
        <v>14241</v>
      </c>
      <c r="B6134" s="9" t="s">
        <v>14242</v>
      </c>
      <c r="C6134" s="9" t="s">
        <v>17</v>
      </c>
      <c r="D6134" s="9" t="s">
        <v>18</v>
      </c>
      <c r="E6134" s="10" t="s">
        <v>1505</v>
      </c>
      <c r="F6134" s="9" t="s">
        <v>1506</v>
      </c>
      <c r="G6134" s="10" t="s">
        <v>75</v>
      </c>
      <c r="H6134" s="9" t="s">
        <v>22</v>
      </c>
      <c r="I6134" s="9" t="s">
        <v>14243</v>
      </c>
      <c r="J6134" s="10" t="str">
        <f>HYPERLINK("https://www.boe.es/gazeta/dias/1834/05/08/pdfs/GMD-1834-77.pdf#page=4","Abrir facsímil")</f>
        <v>Abrir facsímil</v>
      </c>
      <c r="K6134" s="10" t="s">
        <v>24</v>
      </c>
    </row>
    <row r="6135" spans="1:11" ht="54" customHeight="1">
      <c r="A6135" s="9" t="s">
        <v>14244</v>
      </c>
      <c r="B6135" s="9" t="s">
        <v>14245</v>
      </c>
      <c r="C6135" s="9" t="s">
        <v>17</v>
      </c>
      <c r="D6135" s="9" t="s">
        <v>18</v>
      </c>
      <c r="E6135" s="10" t="s">
        <v>158</v>
      </c>
      <c r="F6135" s="9" t="s">
        <v>159</v>
      </c>
      <c r="G6135" s="10" t="s">
        <v>75</v>
      </c>
      <c r="H6135" s="9" t="s">
        <v>22</v>
      </c>
      <c r="I6135" s="9" t="s">
        <v>14246</v>
      </c>
      <c r="J6135" s="10" t="str">
        <f>HYPERLINK("https://www.boe.es/gazeta/dias/1834/10/01/pdfs/GMD-1834-229.pdf#page=4","Abrir facsímil")</f>
        <v>Abrir facsímil</v>
      </c>
      <c r="K6135" s="10" t="s">
        <v>24</v>
      </c>
    </row>
    <row r="6136" spans="1:11" ht="54" customHeight="1">
      <c r="A6136" s="9" t="s">
        <v>14247</v>
      </c>
      <c r="B6136" s="9" t="s">
        <v>14248</v>
      </c>
      <c r="C6136" s="9" t="s">
        <v>122</v>
      </c>
      <c r="D6136" s="9" t="s">
        <v>18</v>
      </c>
      <c r="E6136" s="10" t="s">
        <v>1297</v>
      </c>
      <c r="F6136" s="9" t="s">
        <v>1298</v>
      </c>
      <c r="G6136" s="10" t="s">
        <v>34</v>
      </c>
      <c r="H6136" s="9" t="s">
        <v>22</v>
      </c>
      <c r="I6136" s="9" t="s">
        <v>14249</v>
      </c>
      <c r="J6136" s="10" t="str">
        <f>HYPERLINK("https://www.boe.es/gazeta/dias/1834/08/01/pdfs/GMD-1834-165.pdf#page=1","Abrir facsímil")</f>
        <v>Abrir facsímil</v>
      </c>
      <c r="K6136" s="10" t="s">
        <v>24</v>
      </c>
    </row>
    <row r="6137" spans="1:11" ht="54" customHeight="1">
      <c r="A6137" s="9" t="s">
        <v>14250</v>
      </c>
      <c r="B6137" s="9" t="s">
        <v>14250</v>
      </c>
      <c r="C6137" s="9" t="s">
        <v>17</v>
      </c>
      <c r="D6137" s="9" t="s">
        <v>18</v>
      </c>
      <c r="E6137" s="10" t="s">
        <v>265</v>
      </c>
      <c r="F6137" s="9" t="s">
        <v>266</v>
      </c>
      <c r="G6137" s="10" t="s">
        <v>21</v>
      </c>
      <c r="H6137" s="9" t="s">
        <v>22</v>
      </c>
      <c r="I6137" s="9" t="s">
        <v>14251</v>
      </c>
      <c r="J6137" s="10" t="str">
        <f>HYPERLINK("https://www.boe.es/gazeta/dias/1834/11/19/pdfs/GMD-C-1834-278.pdf#page=3","Abrir facsímil")</f>
        <v>Abrir facsímil</v>
      </c>
      <c r="K6137" s="10" t="s">
        <v>24</v>
      </c>
    </row>
    <row r="6138" spans="1:11" ht="54" customHeight="1">
      <c r="A6138" s="9" t="s">
        <v>14250</v>
      </c>
      <c r="B6138" s="9" t="s">
        <v>14250</v>
      </c>
      <c r="C6138" s="9" t="s">
        <v>17</v>
      </c>
      <c r="D6138" s="9" t="s">
        <v>18</v>
      </c>
      <c r="E6138" s="10" t="s">
        <v>667</v>
      </c>
      <c r="F6138" s="9" t="s">
        <v>668</v>
      </c>
      <c r="G6138" s="10" t="s">
        <v>86</v>
      </c>
      <c r="H6138" s="9" t="s">
        <v>22</v>
      </c>
      <c r="I6138" s="9" t="s">
        <v>14252</v>
      </c>
      <c r="J6138" s="10" t="str">
        <f>HYPERLINK("https://www.boe.es/gazeta/dias/1834/11/23/pdfs/GMD-C-1834-282.pdf#page=2","Abrir facsímil")</f>
        <v>Abrir facsímil</v>
      </c>
      <c r="K6138" s="10" t="s">
        <v>24</v>
      </c>
    </row>
    <row r="6139" spans="1:11" ht="54" customHeight="1">
      <c r="A6139" s="9" t="s">
        <v>14253</v>
      </c>
      <c r="B6139" s="9" t="s">
        <v>14254</v>
      </c>
      <c r="C6139" s="9" t="s">
        <v>17</v>
      </c>
      <c r="D6139" s="9" t="s">
        <v>18</v>
      </c>
      <c r="E6139" s="10" t="s">
        <v>19</v>
      </c>
      <c r="F6139" s="9" t="s">
        <v>20</v>
      </c>
      <c r="G6139" s="10" t="s">
        <v>86</v>
      </c>
      <c r="H6139" s="9" t="s">
        <v>22</v>
      </c>
      <c r="I6139" s="9" t="s">
        <v>14255</v>
      </c>
      <c r="J6139" s="10" t="str">
        <f>HYPERLINK("https://www.boe.es/gazeta/dias/1834/08/17/pdfs/GMD-D-1834-182.pdf#page=2","Abrir facsímil")</f>
        <v>Abrir facsímil</v>
      </c>
      <c r="K6139" s="10" t="s">
        <v>24</v>
      </c>
    </row>
    <row r="6140" spans="1:11" ht="54" customHeight="1">
      <c r="A6140" s="9" t="s">
        <v>14256</v>
      </c>
      <c r="B6140" s="9" t="s">
        <v>14257</v>
      </c>
      <c r="C6140" s="9" t="s">
        <v>17</v>
      </c>
      <c r="D6140" s="9" t="s">
        <v>18</v>
      </c>
      <c r="E6140" s="10" t="s">
        <v>2260</v>
      </c>
      <c r="F6140" s="9" t="s">
        <v>2263</v>
      </c>
      <c r="G6140" s="10" t="s">
        <v>86</v>
      </c>
      <c r="H6140" s="9" t="s">
        <v>22</v>
      </c>
      <c r="I6140" s="9" t="s">
        <v>14258</v>
      </c>
      <c r="J6140" s="10" t="str">
        <f>HYPERLINK("https://www.boe.es/gazeta/dias/1834/11/13/pdfs/GMD-C-1834-272.pdf#page=2","Abrir facsímil")</f>
        <v>Abrir facsímil</v>
      </c>
      <c r="K6140" s="10" t="s">
        <v>24</v>
      </c>
    </row>
    <row r="6141" spans="1:11" ht="54" customHeight="1">
      <c r="A6141" s="9" t="s">
        <v>14259</v>
      </c>
      <c r="B6141" s="9" t="s">
        <v>14259</v>
      </c>
      <c r="C6141" s="9" t="s">
        <v>122</v>
      </c>
      <c r="D6141" s="9" t="s">
        <v>18</v>
      </c>
      <c r="E6141" s="10" t="s">
        <v>158</v>
      </c>
      <c r="F6141" s="9" t="s">
        <v>581</v>
      </c>
      <c r="G6141" s="10" t="s">
        <v>21</v>
      </c>
      <c r="H6141" s="9" t="s">
        <v>22</v>
      </c>
      <c r="I6141" s="9" t="s">
        <v>14260</v>
      </c>
      <c r="J6141" s="10" t="str">
        <f>HYPERLINK("https://www.boe.es/gazeta/dias/1834/10/01/pdfs/GMD-C-1834-229.pdf#page=3","Abrir facsímil")</f>
        <v>Abrir facsímil</v>
      </c>
      <c r="K6141" s="10" t="s">
        <v>24</v>
      </c>
    </row>
    <row r="6142" spans="1:11" ht="54" customHeight="1">
      <c r="A6142" s="9" t="s">
        <v>14261</v>
      </c>
      <c r="B6142" s="9" t="s">
        <v>14262</v>
      </c>
      <c r="C6142" s="9" t="s">
        <v>17</v>
      </c>
      <c r="D6142" s="9" t="s">
        <v>18</v>
      </c>
      <c r="E6142" s="10" t="s">
        <v>719</v>
      </c>
      <c r="F6142" s="9" t="s">
        <v>720</v>
      </c>
      <c r="G6142" s="10" t="s">
        <v>21</v>
      </c>
      <c r="H6142" s="9" t="s">
        <v>22</v>
      </c>
      <c r="I6142" s="9" t="s">
        <v>14263</v>
      </c>
      <c r="J6142" s="10" t="str">
        <f>HYPERLINK("https://www.boe.es/gazeta/dias/1834/04/29/pdfs/GMD-1834-68.pdf#page=3","Abrir facsímil")</f>
        <v>Abrir facsímil</v>
      </c>
      <c r="K6142" s="10" t="s">
        <v>24</v>
      </c>
    </row>
    <row r="6143" spans="1:11" ht="54" customHeight="1">
      <c r="A6143" s="9" t="s">
        <v>14264</v>
      </c>
      <c r="B6143" s="9" t="s">
        <v>14265</v>
      </c>
      <c r="C6143" s="9" t="s">
        <v>17</v>
      </c>
      <c r="D6143" s="9" t="s">
        <v>18</v>
      </c>
      <c r="E6143" s="10" t="s">
        <v>454</v>
      </c>
      <c r="F6143" s="9" t="s">
        <v>455</v>
      </c>
      <c r="G6143" s="10" t="s">
        <v>34</v>
      </c>
      <c r="H6143" s="9" t="s">
        <v>22</v>
      </c>
      <c r="I6143" s="9" t="s">
        <v>14266</v>
      </c>
      <c r="J6143" s="10" t="str">
        <f>HYPERLINK("https://www.boe.es/gazeta/dias/1834/10/16/pdfs/GMD-C-1834-244.pdf#page=1","Abrir facsímil")</f>
        <v>Abrir facsímil</v>
      </c>
      <c r="K6143" s="10" t="s">
        <v>24</v>
      </c>
    </row>
    <row r="6144" spans="1:11" ht="54" customHeight="1">
      <c r="A6144" s="9" t="s">
        <v>14267</v>
      </c>
      <c r="B6144" s="9" t="s">
        <v>14268</v>
      </c>
      <c r="C6144" s="9" t="s">
        <v>17</v>
      </c>
      <c r="D6144" s="9" t="s">
        <v>18</v>
      </c>
      <c r="E6144" s="10" t="s">
        <v>981</v>
      </c>
      <c r="F6144" s="9" t="s">
        <v>3406</v>
      </c>
      <c r="G6144" s="10" t="s">
        <v>560</v>
      </c>
      <c r="H6144" s="9" t="s">
        <v>22</v>
      </c>
      <c r="I6144" s="9" t="s">
        <v>14269</v>
      </c>
      <c r="J6144" s="10" t="str">
        <f>HYPERLINK("https://www.boe.es/gazeta/dias/1834/09/21/pdfs/GMD-C-1834-219.pdf#page=7","Abrir facsímil")</f>
        <v>Abrir facsímil</v>
      </c>
      <c r="K6144" s="10" t="s">
        <v>24</v>
      </c>
    </row>
    <row r="6145" spans="1:11" ht="54" customHeight="1">
      <c r="A6145" s="9" t="s">
        <v>14270</v>
      </c>
      <c r="B6145" s="9" t="s">
        <v>14271</v>
      </c>
      <c r="C6145" s="9" t="s">
        <v>17</v>
      </c>
      <c r="D6145" s="9" t="s">
        <v>55</v>
      </c>
      <c r="E6145" s="10" t="s">
        <v>610</v>
      </c>
      <c r="F6145" s="9" t="s">
        <v>611</v>
      </c>
      <c r="G6145" s="10" t="s">
        <v>86</v>
      </c>
      <c r="H6145" s="9" t="s">
        <v>22</v>
      </c>
      <c r="I6145" s="9" t="s">
        <v>14272</v>
      </c>
      <c r="J6145" s="10" t="str">
        <f>HYPERLINK("https://www.boe.es/gazeta/dias/1834/12/21/pdfs/GMD-C-1834-311.pdf#page=2","Abrir facsímil")</f>
        <v>Abrir facsímil</v>
      </c>
      <c r="K6145" s="10" t="s">
        <v>24</v>
      </c>
    </row>
    <row r="6146" spans="1:11" ht="54" customHeight="1">
      <c r="A6146" s="9" t="s">
        <v>14273</v>
      </c>
      <c r="B6146" s="9" t="s">
        <v>14274</v>
      </c>
      <c r="C6146" s="9" t="s">
        <v>46</v>
      </c>
      <c r="D6146" s="9" t="s">
        <v>55</v>
      </c>
      <c r="E6146" s="10" t="s">
        <v>3248</v>
      </c>
      <c r="F6146" s="9" t="s">
        <v>4798</v>
      </c>
      <c r="G6146" s="10" t="s">
        <v>21</v>
      </c>
      <c r="H6146" s="9" t="s">
        <v>22</v>
      </c>
      <c r="I6146" s="9" t="s">
        <v>14275</v>
      </c>
      <c r="J6146" s="10" t="str">
        <f>HYPERLINK("https://www.boe.es/gazeta/dias/1834/09/20/pdfs/GMD-C-1834-218.pdf#page=3","Abrir facsímil")</f>
        <v>Abrir facsímil</v>
      </c>
      <c r="K6146" s="10" t="s">
        <v>24</v>
      </c>
    </row>
    <row r="6147" spans="1:11" ht="54" customHeight="1">
      <c r="A6147" s="9" t="s">
        <v>14276</v>
      </c>
      <c r="B6147" s="9" t="s">
        <v>14277</v>
      </c>
      <c r="C6147" s="9" t="s">
        <v>17</v>
      </c>
      <c r="D6147" s="9" t="s">
        <v>18</v>
      </c>
      <c r="E6147" s="10" t="s">
        <v>2212</v>
      </c>
      <c r="F6147" s="9" t="s">
        <v>2213</v>
      </c>
      <c r="G6147" s="10" t="s">
        <v>86</v>
      </c>
      <c r="H6147" s="9" t="s">
        <v>22</v>
      </c>
      <c r="I6147" s="9" t="s">
        <v>14278</v>
      </c>
      <c r="J6147" s="10" t="str">
        <f>HYPERLINK("https://www.boe.es/gazeta/dias/1834/08/04/pdfs/GMD-C-1834-168.pdf#page=2","Abrir facsímil")</f>
        <v>Abrir facsímil</v>
      </c>
      <c r="K6147" s="10" t="s">
        <v>24</v>
      </c>
    </row>
    <row r="6148" spans="1:11" ht="54" customHeight="1">
      <c r="A6148" s="9" t="s">
        <v>14279</v>
      </c>
      <c r="B6148" s="9" t="s">
        <v>14280</v>
      </c>
      <c r="C6148" s="9" t="s">
        <v>90</v>
      </c>
      <c r="D6148" s="9" t="s">
        <v>18</v>
      </c>
      <c r="E6148" s="10" t="s">
        <v>73</v>
      </c>
      <c r="F6148" s="9" t="s">
        <v>1416</v>
      </c>
      <c r="G6148" s="10" t="s">
        <v>86</v>
      </c>
      <c r="H6148" s="9" t="s">
        <v>22</v>
      </c>
      <c r="I6148" s="9" t="s">
        <v>14281</v>
      </c>
      <c r="J6148" s="10" t="str">
        <f>HYPERLINK("https://www.boe.es/gazeta/dias/1834/11/04/pdfs/GMD-C-1834-263.pdf#page=2","Abrir facsímil")</f>
        <v>Abrir facsímil</v>
      </c>
      <c r="K6148" s="10" t="s">
        <v>24</v>
      </c>
    </row>
    <row r="6149" spans="1:11" ht="54" customHeight="1">
      <c r="A6149" s="9" t="s">
        <v>14282</v>
      </c>
      <c r="B6149" s="9" t="s">
        <v>14283</v>
      </c>
      <c r="C6149" s="9" t="s">
        <v>46</v>
      </c>
      <c r="D6149" s="9" t="s">
        <v>101</v>
      </c>
      <c r="E6149" s="10" t="s">
        <v>364</v>
      </c>
      <c r="F6149" s="9" t="s">
        <v>365</v>
      </c>
      <c r="G6149" s="10" t="s">
        <v>75</v>
      </c>
      <c r="H6149" s="9" t="s">
        <v>22</v>
      </c>
      <c r="I6149" s="9" t="s">
        <v>14284</v>
      </c>
      <c r="J6149" s="10" t="str">
        <f>HYPERLINK("https://www.boe.es/gazeta/dias/1834/09/06/pdfs/GMD-C-1834-204.pdf#page=4","Abrir facsímil")</f>
        <v>Abrir facsímil</v>
      </c>
      <c r="K6149" s="10" t="s">
        <v>24</v>
      </c>
    </row>
    <row r="6150" spans="1:11" ht="54" customHeight="1">
      <c r="A6150" s="9" t="s">
        <v>14285</v>
      </c>
      <c r="B6150" s="9" t="s">
        <v>14286</v>
      </c>
      <c r="C6150" s="9" t="s">
        <v>17</v>
      </c>
      <c r="D6150" s="9" t="s">
        <v>18</v>
      </c>
      <c r="E6150" s="10" t="s">
        <v>653</v>
      </c>
      <c r="F6150" s="9" t="s">
        <v>654</v>
      </c>
      <c r="G6150" s="10" t="s">
        <v>86</v>
      </c>
      <c r="H6150" s="9" t="s">
        <v>22</v>
      </c>
      <c r="I6150" s="9" t="s">
        <v>14287</v>
      </c>
      <c r="J6150" s="10" t="str">
        <f>HYPERLINK("https://www.boe.es/gazeta/dias/1834/08/06/pdfs/GMD-C-1834-170.pdf#page=2","Abrir facsímil")</f>
        <v>Abrir facsímil</v>
      </c>
      <c r="K6150" s="10" t="s">
        <v>24</v>
      </c>
    </row>
    <row r="6151" spans="1:11" ht="54" customHeight="1">
      <c r="A6151" s="9" t="s">
        <v>14285</v>
      </c>
      <c r="B6151" s="9" t="s">
        <v>14286</v>
      </c>
      <c r="C6151" s="9" t="s">
        <v>17</v>
      </c>
      <c r="D6151" s="9" t="s">
        <v>18</v>
      </c>
      <c r="E6151" s="10" t="s">
        <v>429</v>
      </c>
      <c r="F6151" s="9" t="s">
        <v>430</v>
      </c>
      <c r="G6151" s="10" t="s">
        <v>86</v>
      </c>
      <c r="H6151" s="9" t="s">
        <v>22</v>
      </c>
      <c r="I6151" s="9" t="s">
        <v>14288</v>
      </c>
      <c r="J6151" s="10" t="str">
        <f>HYPERLINK("https://www.boe.es/gazeta/dias/1834/08/07/pdfs/GMD-C-1834-172.pdf#page=2","Abrir facsímil")</f>
        <v>Abrir facsímil</v>
      </c>
      <c r="K6151" s="10" t="s">
        <v>24</v>
      </c>
    </row>
    <row r="6152" spans="1:11" ht="54" customHeight="1">
      <c r="A6152" s="9" t="s">
        <v>14285</v>
      </c>
      <c r="B6152" s="9" t="s">
        <v>14286</v>
      </c>
      <c r="C6152" s="9" t="s">
        <v>17</v>
      </c>
      <c r="D6152" s="9" t="s">
        <v>18</v>
      </c>
      <c r="E6152" s="10" t="s">
        <v>429</v>
      </c>
      <c r="F6152" s="9" t="s">
        <v>430</v>
      </c>
      <c r="G6152" s="10" t="s">
        <v>21</v>
      </c>
      <c r="H6152" s="9" t="s">
        <v>22</v>
      </c>
      <c r="I6152" s="9" t="s">
        <v>14289</v>
      </c>
      <c r="J6152" s="10" t="str">
        <f>HYPERLINK("https://www.boe.es/gazeta/dias/1834/08/07/pdfs/GMD-C-1834-172.pdf#page=3","Abrir facsímil")</f>
        <v>Abrir facsímil</v>
      </c>
      <c r="K6152" s="10" t="s">
        <v>24</v>
      </c>
    </row>
    <row r="6153" spans="1:11" ht="54" customHeight="1">
      <c r="A6153" s="9" t="s">
        <v>14285</v>
      </c>
      <c r="B6153" s="9" t="s">
        <v>14286</v>
      </c>
      <c r="C6153" s="9" t="s">
        <v>46</v>
      </c>
      <c r="D6153" s="9" t="s">
        <v>18</v>
      </c>
      <c r="E6153" s="10" t="s">
        <v>429</v>
      </c>
      <c r="F6153" s="9" t="s">
        <v>430</v>
      </c>
      <c r="G6153" s="10" t="s">
        <v>75</v>
      </c>
      <c r="H6153" s="9" t="s">
        <v>22</v>
      </c>
      <c r="I6153" s="9" t="s">
        <v>14290</v>
      </c>
      <c r="J6153" s="10" t="str">
        <f>HYPERLINK("https://www.boe.es/gazeta/dias/1834/08/07/pdfs/GMD-C-1834-172.pdf#page=4","Abrir facsímil")</f>
        <v>Abrir facsímil</v>
      </c>
      <c r="K6153" s="10" t="s">
        <v>24</v>
      </c>
    </row>
    <row r="6154" spans="1:11" ht="54" customHeight="1">
      <c r="A6154" s="9" t="s">
        <v>14285</v>
      </c>
      <c r="B6154" s="9" t="s">
        <v>14286</v>
      </c>
      <c r="C6154" s="9" t="s">
        <v>46</v>
      </c>
      <c r="D6154" s="9" t="s">
        <v>18</v>
      </c>
      <c r="E6154" s="10" t="s">
        <v>956</v>
      </c>
      <c r="F6154" s="9" t="s">
        <v>957</v>
      </c>
      <c r="G6154" s="10" t="s">
        <v>34</v>
      </c>
      <c r="H6154" s="9" t="s">
        <v>22</v>
      </c>
      <c r="I6154" s="9" t="s">
        <v>14291</v>
      </c>
      <c r="J6154" s="10" t="str">
        <f>HYPERLINK("https://www.boe.es/gazeta/dias/1834/08/10/pdfs/GMD-C-1834-175.pdf#page=1","Abrir facsímil")</f>
        <v>Abrir facsímil</v>
      </c>
      <c r="K6154" s="10" t="s">
        <v>24</v>
      </c>
    </row>
    <row r="6155" spans="1:11" ht="54" customHeight="1">
      <c r="A6155" s="9" t="s">
        <v>14285</v>
      </c>
      <c r="B6155" s="9" t="s">
        <v>14286</v>
      </c>
      <c r="C6155" s="9" t="s">
        <v>17</v>
      </c>
      <c r="D6155" s="9" t="s">
        <v>18</v>
      </c>
      <c r="E6155" s="10" t="s">
        <v>715</v>
      </c>
      <c r="F6155" s="9" t="s">
        <v>716</v>
      </c>
      <c r="G6155" s="10" t="s">
        <v>34</v>
      </c>
      <c r="H6155" s="9" t="s">
        <v>22</v>
      </c>
      <c r="I6155" s="9" t="s">
        <v>14292</v>
      </c>
      <c r="J6155" s="10" t="str">
        <f>HYPERLINK("https://www.boe.es/gazeta/dias/1834/09/17/pdfs/GMD-C-1834-215.pdf#page=1","Abrir facsímil")</f>
        <v>Abrir facsímil</v>
      </c>
      <c r="K6155" s="10" t="s">
        <v>24</v>
      </c>
    </row>
    <row r="6156" spans="1:11" ht="54" customHeight="1">
      <c r="A6156" s="9" t="s">
        <v>14285</v>
      </c>
      <c r="B6156" s="9" t="s">
        <v>14286</v>
      </c>
      <c r="C6156" s="9" t="s">
        <v>46</v>
      </c>
      <c r="D6156" s="9" t="s">
        <v>18</v>
      </c>
      <c r="E6156" s="10" t="s">
        <v>672</v>
      </c>
      <c r="F6156" s="9" t="s">
        <v>1055</v>
      </c>
      <c r="G6156" s="10" t="s">
        <v>1099</v>
      </c>
      <c r="H6156" s="9" t="s">
        <v>22</v>
      </c>
      <c r="I6156" s="9" t="s">
        <v>14293</v>
      </c>
      <c r="J6156" s="10" t="str">
        <f>HYPERLINK("https://www.boe.es/gazeta/dias/1834/09/19/pdfs/GMD-C-1834-217.pdf#page=11","Abrir facsímil")</f>
        <v>Abrir facsímil</v>
      </c>
      <c r="K6156" s="10" t="s">
        <v>24</v>
      </c>
    </row>
    <row r="6157" spans="1:11" ht="54" customHeight="1">
      <c r="A6157" s="9" t="s">
        <v>14285</v>
      </c>
      <c r="B6157" s="9" t="s">
        <v>14286</v>
      </c>
      <c r="C6157" s="9" t="s">
        <v>46</v>
      </c>
      <c r="D6157" s="9" t="s">
        <v>55</v>
      </c>
      <c r="E6157" s="10" t="s">
        <v>981</v>
      </c>
      <c r="F6157" s="9" t="s">
        <v>3406</v>
      </c>
      <c r="G6157" s="10" t="s">
        <v>28</v>
      </c>
      <c r="H6157" s="9" t="s">
        <v>22</v>
      </c>
      <c r="I6157" s="9" t="s">
        <v>14294</v>
      </c>
      <c r="J6157" s="10" t="str">
        <f>HYPERLINK("https://www.boe.es/gazeta/dias/1834/09/21/pdfs/GMD-C-1834-219.pdf#page=5","Abrir facsímil")</f>
        <v>Abrir facsímil</v>
      </c>
      <c r="K6157" s="10" t="s">
        <v>24</v>
      </c>
    </row>
    <row r="6158" spans="1:11" ht="54" customHeight="1">
      <c r="A6158" s="9" t="s">
        <v>14285</v>
      </c>
      <c r="B6158" s="9" t="s">
        <v>14286</v>
      </c>
      <c r="C6158" s="9" t="s">
        <v>46</v>
      </c>
      <c r="D6158" s="9" t="s">
        <v>18</v>
      </c>
      <c r="E6158" s="10" t="s">
        <v>981</v>
      </c>
      <c r="F6158" s="9" t="s">
        <v>3406</v>
      </c>
      <c r="G6158" s="10" t="s">
        <v>560</v>
      </c>
      <c r="H6158" s="9" t="s">
        <v>22</v>
      </c>
      <c r="I6158" s="9" t="s">
        <v>14295</v>
      </c>
      <c r="J6158" s="10" t="str">
        <f>HYPERLINK("https://www.boe.es/gazeta/dias/1834/09/21/pdfs/GMD-C-1834-219.pdf#page=7","Abrir facsímil")</f>
        <v>Abrir facsímil</v>
      </c>
      <c r="K6158" s="10" t="s">
        <v>24</v>
      </c>
    </row>
    <row r="6159" spans="1:11" ht="54" customHeight="1">
      <c r="A6159" s="9" t="s">
        <v>14285</v>
      </c>
      <c r="B6159" s="9" t="s">
        <v>14286</v>
      </c>
      <c r="C6159" s="9" t="s">
        <v>17</v>
      </c>
      <c r="D6159" s="9" t="s">
        <v>18</v>
      </c>
      <c r="E6159" s="10" t="s">
        <v>610</v>
      </c>
      <c r="F6159" s="9" t="s">
        <v>611</v>
      </c>
      <c r="G6159" s="10" t="s">
        <v>86</v>
      </c>
      <c r="H6159" s="9" t="s">
        <v>22</v>
      </c>
      <c r="I6159" s="9" t="s">
        <v>14296</v>
      </c>
      <c r="J6159" s="10" t="str">
        <f>HYPERLINK("https://www.boe.es/gazeta/dias/1834/12/21/pdfs/GMD-C-1834-311.pdf#page=2","Abrir facsímil")</f>
        <v>Abrir facsímil</v>
      </c>
      <c r="K6159" s="10" t="s">
        <v>24</v>
      </c>
    </row>
    <row r="6160" spans="1:11" ht="54" customHeight="1">
      <c r="A6160" s="9" t="s">
        <v>14285</v>
      </c>
      <c r="B6160" s="9" t="s">
        <v>14286</v>
      </c>
      <c r="C6160" s="9" t="s">
        <v>46</v>
      </c>
      <c r="D6160" s="9" t="s">
        <v>101</v>
      </c>
      <c r="E6160" s="10" t="s">
        <v>610</v>
      </c>
      <c r="F6160" s="9" t="s">
        <v>611</v>
      </c>
      <c r="G6160" s="10" t="s">
        <v>21</v>
      </c>
      <c r="H6160" s="9" t="s">
        <v>22</v>
      </c>
      <c r="I6160" s="9" t="s">
        <v>14297</v>
      </c>
      <c r="J6160" s="10" t="str">
        <f>HYPERLINK("https://www.boe.es/gazeta/dias/1834/12/21/pdfs/GMD-C-1834-311.pdf#page=3","Abrir facsímil")</f>
        <v>Abrir facsímil</v>
      </c>
      <c r="K6160" s="10" t="s">
        <v>24</v>
      </c>
    </row>
    <row r="6161" spans="1:11" ht="54" customHeight="1">
      <c r="A6161" s="9" t="s">
        <v>14285</v>
      </c>
      <c r="B6161" s="9" t="s">
        <v>14286</v>
      </c>
      <c r="C6161" s="9" t="s">
        <v>17</v>
      </c>
      <c r="D6161" s="9" t="s">
        <v>18</v>
      </c>
      <c r="E6161" s="10" t="s">
        <v>378</v>
      </c>
      <c r="F6161" s="9" t="s">
        <v>888</v>
      </c>
      <c r="G6161" s="10" t="s">
        <v>75</v>
      </c>
      <c r="H6161" s="9" t="s">
        <v>22</v>
      </c>
      <c r="I6161" s="9" t="s">
        <v>14298</v>
      </c>
      <c r="J6161" s="10" t="str">
        <f>HYPERLINK("https://www.boe.es/gazeta/dias/1834/09/24/pdfs/GMD-C-1834-222.pdf#page=4","Abrir facsímil")</f>
        <v>Abrir facsímil</v>
      </c>
      <c r="K6161" s="10" t="s">
        <v>24</v>
      </c>
    </row>
    <row r="6162" spans="1:11" ht="54" customHeight="1">
      <c r="A6162" s="9" t="s">
        <v>14299</v>
      </c>
      <c r="B6162" s="9" t="s">
        <v>14300</v>
      </c>
      <c r="C6162" s="9" t="s">
        <v>17</v>
      </c>
      <c r="D6162" s="9" t="s">
        <v>18</v>
      </c>
      <c r="E6162" s="10" t="s">
        <v>715</v>
      </c>
      <c r="F6162" s="9" t="s">
        <v>716</v>
      </c>
      <c r="G6162" s="10" t="s">
        <v>34</v>
      </c>
      <c r="H6162" s="9" t="s">
        <v>22</v>
      </c>
      <c r="I6162" s="9" t="s">
        <v>14301</v>
      </c>
      <c r="J6162" s="10" t="str">
        <f>HYPERLINK("https://www.boe.es/gazeta/dias/1834/09/17/pdfs/GMD-C-1834-215.pdf#page=1","Abrir facsímil")</f>
        <v>Abrir facsímil</v>
      </c>
      <c r="K6162" s="10" t="s">
        <v>24</v>
      </c>
    </row>
    <row r="6163" spans="1:11" ht="54" customHeight="1">
      <c r="A6163" s="9" t="s">
        <v>14302</v>
      </c>
      <c r="B6163" s="9" t="s">
        <v>14303</v>
      </c>
      <c r="C6163" s="9" t="s">
        <v>46</v>
      </c>
      <c r="D6163" s="9" t="s">
        <v>101</v>
      </c>
      <c r="E6163" s="10" t="s">
        <v>715</v>
      </c>
      <c r="F6163" s="9" t="s">
        <v>716</v>
      </c>
      <c r="G6163" s="10" t="s">
        <v>34</v>
      </c>
      <c r="H6163" s="9" t="s">
        <v>22</v>
      </c>
      <c r="I6163" s="9" t="s">
        <v>14304</v>
      </c>
      <c r="J6163" s="10" t="str">
        <f>HYPERLINK("https://www.boe.es/gazeta/dias/1834/09/17/pdfs/GMD-C-1834-215.pdf#page=1","Abrir facsímil")</f>
        <v>Abrir facsímil</v>
      </c>
      <c r="K6163" s="10" t="s">
        <v>24</v>
      </c>
    </row>
    <row r="6164" spans="1:11" ht="54" customHeight="1">
      <c r="A6164" s="9" t="s">
        <v>14305</v>
      </c>
      <c r="B6164" s="9" t="s">
        <v>14306</v>
      </c>
      <c r="C6164" s="9" t="s">
        <v>17</v>
      </c>
      <c r="D6164" s="9" t="s">
        <v>18</v>
      </c>
      <c r="E6164" s="10" t="s">
        <v>615</v>
      </c>
      <c r="F6164" s="9" t="s">
        <v>616</v>
      </c>
      <c r="G6164" s="10" t="s">
        <v>21</v>
      </c>
      <c r="H6164" s="9" t="s">
        <v>22</v>
      </c>
      <c r="I6164" s="9" t="s">
        <v>14307</v>
      </c>
      <c r="J6164" s="10" t="str">
        <f>HYPERLINK("https://www.boe.es/gazeta/dias/1834/08/19/pdfs/GMD-1834-185.pdf#page=3","Abrir facsímil")</f>
        <v>Abrir facsímil</v>
      </c>
      <c r="K6164" s="10" t="s">
        <v>24</v>
      </c>
    </row>
    <row r="6165" spans="1:11" ht="54" customHeight="1">
      <c r="A6165" s="9" t="s">
        <v>14308</v>
      </c>
      <c r="B6165" s="9" t="s">
        <v>14309</v>
      </c>
      <c r="C6165" s="9" t="s">
        <v>17</v>
      </c>
      <c r="D6165" s="9" t="s">
        <v>18</v>
      </c>
      <c r="E6165" s="10" t="s">
        <v>343</v>
      </c>
      <c r="F6165" s="9" t="s">
        <v>344</v>
      </c>
      <c r="G6165" s="10" t="s">
        <v>21</v>
      </c>
      <c r="H6165" s="9" t="s">
        <v>22</v>
      </c>
      <c r="I6165" s="9" t="s">
        <v>14310</v>
      </c>
      <c r="J6165" s="10" t="str">
        <f>HYPERLINK("https://www.boe.es/gazeta/dias/1834/01/14/pdfs/GMD-1834-7.pdf#page=3","Abrir facsímil")</f>
        <v>Abrir facsímil</v>
      </c>
      <c r="K6165" s="10" t="s">
        <v>24</v>
      </c>
    </row>
    <row r="6166" spans="1:11" ht="54" customHeight="1">
      <c r="A6166" s="9" t="s">
        <v>14311</v>
      </c>
      <c r="B6166" s="9" t="s">
        <v>14312</v>
      </c>
      <c r="C6166" s="9" t="s">
        <v>17</v>
      </c>
      <c r="D6166" s="9" t="s">
        <v>55</v>
      </c>
      <c r="E6166" s="10" t="s">
        <v>364</v>
      </c>
      <c r="F6166" s="9" t="s">
        <v>2102</v>
      </c>
      <c r="G6166" s="10" t="s">
        <v>75</v>
      </c>
      <c r="H6166" s="9" t="s">
        <v>22</v>
      </c>
      <c r="I6166" s="9" t="s">
        <v>14313</v>
      </c>
      <c r="J6166" s="10" t="str">
        <f>HYPERLINK("https://www.boe.es/gazeta/dias/1834/09/06/pdfs/GMD-1834-204.pdf#page=4","Abrir facsímil")</f>
        <v>Abrir facsímil</v>
      </c>
      <c r="K6166" s="10" t="s">
        <v>24</v>
      </c>
    </row>
    <row r="6167" spans="1:11" ht="54" customHeight="1">
      <c r="A6167" s="9" t="s">
        <v>14314</v>
      </c>
      <c r="B6167" s="9" t="s">
        <v>14314</v>
      </c>
      <c r="C6167" s="9" t="s">
        <v>46</v>
      </c>
      <c r="D6167" s="9" t="s">
        <v>55</v>
      </c>
      <c r="E6167" s="10" t="s">
        <v>3699</v>
      </c>
      <c r="F6167" s="9" t="s">
        <v>3700</v>
      </c>
      <c r="G6167" s="10" t="s">
        <v>86</v>
      </c>
      <c r="H6167" s="9" t="s">
        <v>22</v>
      </c>
      <c r="I6167" s="9" t="s">
        <v>14315</v>
      </c>
      <c r="J6167" s="10" t="str">
        <f>HYPERLINK("https://www.boe.es/gazeta/dias/1834/02/06/pdfs/GMD-1834-17.pdf#page=2","Abrir facsímil")</f>
        <v>Abrir facsímil</v>
      </c>
      <c r="K6167" s="10" t="s">
        <v>24</v>
      </c>
    </row>
    <row r="6168" spans="1:11" ht="54" customHeight="1">
      <c r="A6168" s="9" t="s">
        <v>14316</v>
      </c>
      <c r="B6168" s="9" t="s">
        <v>14317</v>
      </c>
      <c r="C6168" s="9" t="s">
        <v>46</v>
      </c>
      <c r="D6168" s="9" t="s">
        <v>55</v>
      </c>
      <c r="E6168" s="10" t="s">
        <v>3699</v>
      </c>
      <c r="F6168" s="9" t="s">
        <v>3700</v>
      </c>
      <c r="G6168" s="10" t="s">
        <v>86</v>
      </c>
      <c r="H6168" s="9" t="s">
        <v>35</v>
      </c>
      <c r="I6168" s="9" t="s">
        <v>14318</v>
      </c>
      <c r="J6168" s="10" t="str">
        <f>HYPERLINK("https://www.boe.es/gazeta/dias/1834/02/06/pdfs/GMD-1834-17.pdf#page=2","Abrir facsímil")</f>
        <v>Abrir facsímil</v>
      </c>
      <c r="K6168" s="10" t="s">
        <v>37</v>
      </c>
    </row>
    <row r="6169" spans="1:11" ht="54" customHeight="1">
      <c r="A6169" s="9" t="s">
        <v>14319</v>
      </c>
      <c r="B6169" s="9" t="s">
        <v>14319</v>
      </c>
      <c r="C6169" s="9" t="s">
        <v>46</v>
      </c>
      <c r="D6169" s="9" t="s">
        <v>55</v>
      </c>
      <c r="E6169" s="10" t="s">
        <v>192</v>
      </c>
      <c r="F6169" s="9" t="s">
        <v>193</v>
      </c>
      <c r="G6169" s="10" t="s">
        <v>86</v>
      </c>
      <c r="H6169" s="9" t="s">
        <v>22</v>
      </c>
      <c r="I6169" s="9" t="s">
        <v>14320</v>
      </c>
      <c r="J6169" s="10" t="str">
        <f>HYPERLINK("https://www.boe.es/gazeta/dias/1834/12/31/pdfs/GMD-1834-321.pdf#page=2","Abrir facsímil")</f>
        <v>Abrir facsímil</v>
      </c>
      <c r="K6169" s="10" t="s">
        <v>24</v>
      </c>
    </row>
    <row r="6170" spans="1:11" ht="54" customHeight="1">
      <c r="A6170" s="9" t="s">
        <v>14321</v>
      </c>
      <c r="B6170" s="9" t="s">
        <v>14321</v>
      </c>
      <c r="C6170" s="9" t="s">
        <v>17</v>
      </c>
      <c r="D6170" s="9" t="s">
        <v>18</v>
      </c>
      <c r="E6170" s="10" t="s">
        <v>448</v>
      </c>
      <c r="F6170" s="9" t="s">
        <v>449</v>
      </c>
      <c r="G6170" s="10" t="s">
        <v>75</v>
      </c>
      <c r="H6170" s="9" t="s">
        <v>22</v>
      </c>
      <c r="I6170" s="9" t="s">
        <v>14322</v>
      </c>
      <c r="J6170" s="10" t="str">
        <f>HYPERLINK("https://www.boe.es/gazeta/dias/1834/10/14/pdfs/GMD-C-1834-242.pdf#page=4","Abrir facsímil")</f>
        <v>Abrir facsímil</v>
      </c>
      <c r="K6170" s="10" t="s">
        <v>24</v>
      </c>
    </row>
    <row r="6171" spans="1:11" ht="54" customHeight="1">
      <c r="A6171" s="9" t="s">
        <v>14323</v>
      </c>
      <c r="B6171" s="9" t="s">
        <v>14323</v>
      </c>
      <c r="C6171" s="9" t="s">
        <v>17</v>
      </c>
      <c r="D6171" s="9" t="s">
        <v>40</v>
      </c>
      <c r="E6171" s="10" t="s">
        <v>4814</v>
      </c>
      <c r="F6171" s="9" t="s">
        <v>4815</v>
      </c>
      <c r="G6171" s="10" t="s">
        <v>86</v>
      </c>
      <c r="H6171" s="9" t="s">
        <v>22</v>
      </c>
      <c r="I6171" s="9" t="s">
        <v>14324</v>
      </c>
      <c r="J6171" s="10" t="str">
        <f>HYPERLINK("https://www.boe.es/gazeta/dias/1834/06/05/pdfs/GMD-1834-107.pdf#page=2","Abrir facsímil")</f>
        <v>Abrir facsímil</v>
      </c>
      <c r="K6171" s="10" t="s">
        <v>24</v>
      </c>
    </row>
    <row r="6172" spans="1:11" ht="54" customHeight="1">
      <c r="A6172" s="9" t="s">
        <v>14323</v>
      </c>
      <c r="B6172" s="9" t="s">
        <v>14323</v>
      </c>
      <c r="C6172" s="9" t="s">
        <v>17</v>
      </c>
      <c r="D6172" s="9" t="s">
        <v>18</v>
      </c>
      <c r="E6172" s="10" t="s">
        <v>243</v>
      </c>
      <c r="F6172" s="9" t="s">
        <v>1109</v>
      </c>
      <c r="G6172" s="10" t="s">
        <v>34</v>
      </c>
      <c r="H6172" s="9" t="s">
        <v>22</v>
      </c>
      <c r="I6172" s="9" t="s">
        <v>14325</v>
      </c>
      <c r="J6172" s="10" t="str">
        <f>HYPERLINK("https://www.boe.es/gazeta/dias/1834/08/05/pdfs/GMD-1834-169.pdf#page=1","Abrir facsímil")</f>
        <v>Abrir facsímil</v>
      </c>
      <c r="K6172" s="10" t="s">
        <v>24</v>
      </c>
    </row>
    <row r="6173" spans="1:11" ht="54" customHeight="1">
      <c r="A6173" s="9" t="s">
        <v>14323</v>
      </c>
      <c r="B6173" s="9" t="s">
        <v>14323</v>
      </c>
      <c r="C6173" s="9" t="s">
        <v>857</v>
      </c>
      <c r="D6173" s="9" t="s">
        <v>18</v>
      </c>
      <c r="E6173" s="10" t="s">
        <v>1742</v>
      </c>
      <c r="F6173" s="9" t="s">
        <v>1743</v>
      </c>
      <c r="G6173" s="10" t="s">
        <v>75</v>
      </c>
      <c r="H6173" s="9" t="s">
        <v>22</v>
      </c>
      <c r="I6173" s="9" t="s">
        <v>14326</v>
      </c>
      <c r="J6173" s="10" t="str">
        <f>HYPERLINK("https://www.boe.es/gazeta/dias/1834/11/06/pdfs/GMD-1834-265.pdf#page=4","Abrir facsímil")</f>
        <v>Abrir facsímil</v>
      </c>
      <c r="K6173" s="10" t="s">
        <v>24</v>
      </c>
    </row>
    <row r="6174" spans="1:11" ht="54" customHeight="1">
      <c r="A6174" s="9" t="s">
        <v>14323</v>
      </c>
      <c r="B6174" s="9" t="s">
        <v>14323</v>
      </c>
      <c r="C6174" s="9" t="s">
        <v>66</v>
      </c>
      <c r="D6174" s="9" t="s">
        <v>18</v>
      </c>
      <c r="E6174" s="10" t="s">
        <v>433</v>
      </c>
      <c r="F6174" s="9" t="s">
        <v>2773</v>
      </c>
      <c r="G6174" s="10" t="s">
        <v>34</v>
      </c>
      <c r="H6174" s="9" t="s">
        <v>22</v>
      </c>
      <c r="I6174" s="9" t="s">
        <v>14327</v>
      </c>
      <c r="J6174" s="10" t="str">
        <f>HYPERLINK("https://www.boe.es/gazeta/dias/1834/10/07/pdfs/GMD-1834-235.pdf#page=1","Abrir facsímil")</f>
        <v>Abrir facsímil</v>
      </c>
      <c r="K6174" s="10" t="s">
        <v>24</v>
      </c>
    </row>
    <row r="6175" spans="1:11" ht="54" customHeight="1">
      <c r="A6175" s="9" t="s">
        <v>14323</v>
      </c>
      <c r="B6175" s="9" t="s">
        <v>14323</v>
      </c>
      <c r="C6175" s="9" t="s">
        <v>66</v>
      </c>
      <c r="D6175" s="9" t="s">
        <v>67</v>
      </c>
      <c r="E6175" s="10" t="s">
        <v>724</v>
      </c>
      <c r="F6175" s="9" t="s">
        <v>725</v>
      </c>
      <c r="G6175" s="10" t="s">
        <v>21</v>
      </c>
      <c r="H6175" s="9" t="s">
        <v>22</v>
      </c>
      <c r="I6175" s="9" t="s">
        <v>14328</v>
      </c>
      <c r="J6175" s="10" t="str">
        <f>HYPERLINK("https://www.boe.es/gazeta/dias/1834/04/25/pdfs/GMD-1834-64.pdf#page=3","Abrir facsímil")</f>
        <v>Abrir facsímil</v>
      </c>
      <c r="K6175" s="10" t="s">
        <v>24</v>
      </c>
    </row>
    <row r="6176" spans="1:11" ht="54" customHeight="1">
      <c r="A6176" s="9" t="s">
        <v>14323</v>
      </c>
      <c r="B6176" s="9" t="s">
        <v>14323</v>
      </c>
      <c r="C6176" s="9" t="s">
        <v>857</v>
      </c>
      <c r="D6176" s="9" t="s">
        <v>18</v>
      </c>
      <c r="E6176" s="10" t="s">
        <v>371</v>
      </c>
      <c r="F6176" s="9" t="s">
        <v>372</v>
      </c>
      <c r="G6176" s="10" t="s">
        <v>86</v>
      </c>
      <c r="H6176" s="9" t="s">
        <v>22</v>
      </c>
      <c r="I6176" s="9" t="s">
        <v>14329</v>
      </c>
      <c r="J6176" s="10" t="str">
        <f>HYPERLINK("https://www.boe.es/gazeta/dias/1834/05/27/pdfs/GMD-1834-96.pdf#page=2","Abrir facsímil")</f>
        <v>Abrir facsímil</v>
      </c>
      <c r="K6176" s="10" t="s">
        <v>24</v>
      </c>
    </row>
    <row r="6177" spans="1:11" ht="54" customHeight="1">
      <c r="A6177" s="9" t="s">
        <v>14330</v>
      </c>
      <c r="B6177" s="9" t="s">
        <v>14330</v>
      </c>
      <c r="C6177" s="9" t="s">
        <v>17</v>
      </c>
      <c r="D6177" s="9" t="s">
        <v>18</v>
      </c>
      <c r="E6177" s="10" t="s">
        <v>444</v>
      </c>
      <c r="F6177" s="9" t="s">
        <v>2412</v>
      </c>
      <c r="G6177" s="10" t="s">
        <v>75</v>
      </c>
      <c r="H6177" s="9" t="s">
        <v>22</v>
      </c>
      <c r="I6177" s="9" t="s">
        <v>14331</v>
      </c>
      <c r="J6177" s="10" t="str">
        <f>HYPERLINK("https://www.boe.es/gazeta/dias/1834/09/12/pdfs/GMD-1834-210.pdf#page=4","Abrir facsímil")</f>
        <v>Abrir facsímil</v>
      </c>
      <c r="K6177" s="10" t="s">
        <v>24</v>
      </c>
    </row>
    <row r="6178" spans="1:11" ht="54" customHeight="1">
      <c r="A6178" s="9" t="s">
        <v>14332</v>
      </c>
      <c r="B6178" s="9" t="s">
        <v>14333</v>
      </c>
      <c r="C6178" s="9" t="s">
        <v>46</v>
      </c>
      <c r="D6178" s="9" t="s">
        <v>55</v>
      </c>
      <c r="E6178" s="10" t="s">
        <v>696</v>
      </c>
      <c r="F6178" s="9" t="s">
        <v>854</v>
      </c>
      <c r="G6178" s="10" t="s">
        <v>86</v>
      </c>
      <c r="H6178" s="9" t="s">
        <v>22</v>
      </c>
      <c r="I6178" s="9" t="s">
        <v>14334</v>
      </c>
      <c r="J6178" s="10" t="str">
        <f>HYPERLINK("https://www.boe.es/gazeta/dias/1834/12/06/pdfs/GMD-1834-295.pdf#page=2","Abrir facsímil")</f>
        <v>Abrir facsímil</v>
      </c>
      <c r="K6178" s="10" t="s">
        <v>24</v>
      </c>
    </row>
    <row r="6179" spans="1:11" ht="54" customHeight="1">
      <c r="A6179" s="9" t="s">
        <v>14335</v>
      </c>
      <c r="B6179" s="9" t="s">
        <v>14335</v>
      </c>
      <c r="C6179" s="9" t="s">
        <v>122</v>
      </c>
      <c r="D6179" s="9" t="s">
        <v>18</v>
      </c>
      <c r="E6179" s="10" t="s">
        <v>663</v>
      </c>
      <c r="F6179" s="9" t="s">
        <v>664</v>
      </c>
      <c r="G6179" s="10" t="s">
        <v>75</v>
      </c>
      <c r="H6179" s="9" t="s">
        <v>22</v>
      </c>
      <c r="I6179" s="9" t="s">
        <v>14336</v>
      </c>
      <c r="J6179" s="10" t="str">
        <f>HYPERLINK("https://www.boe.es/gazeta/dias/1834/07/16/pdfs/GMD-1834-149.pdf#page=4","Abrir facsímil")</f>
        <v>Abrir facsímil</v>
      </c>
      <c r="K6179" s="10" t="s">
        <v>24</v>
      </c>
    </row>
    <row r="6180" spans="1:11" ht="54" customHeight="1">
      <c r="A6180" s="9" t="s">
        <v>14337</v>
      </c>
      <c r="B6180" s="9" t="s">
        <v>14338</v>
      </c>
      <c r="C6180" s="9" t="s">
        <v>122</v>
      </c>
      <c r="D6180" s="9" t="s">
        <v>18</v>
      </c>
      <c r="E6180" s="10" t="s">
        <v>663</v>
      </c>
      <c r="F6180" s="9" t="s">
        <v>664</v>
      </c>
      <c r="G6180" s="10" t="s">
        <v>75</v>
      </c>
      <c r="H6180" s="9" t="s">
        <v>35</v>
      </c>
      <c r="I6180" s="9" t="s">
        <v>14339</v>
      </c>
      <c r="J6180" s="10" t="str">
        <f>HYPERLINK("https://www.boe.es/gazeta/dias/1834/07/16/pdfs/GMD-1834-149.pdf#page=4","Abrir facsímil")</f>
        <v>Abrir facsímil</v>
      </c>
      <c r="K6180" s="10" t="s">
        <v>37</v>
      </c>
    </row>
    <row r="6181" spans="1:11" ht="54" customHeight="1">
      <c r="A6181" s="9" t="s">
        <v>14340</v>
      </c>
      <c r="B6181" s="9" t="s">
        <v>14340</v>
      </c>
      <c r="C6181" s="9" t="s">
        <v>66</v>
      </c>
      <c r="D6181" s="9" t="s">
        <v>67</v>
      </c>
      <c r="E6181" s="10" t="s">
        <v>1212</v>
      </c>
      <c r="F6181" s="9" t="s">
        <v>1213</v>
      </c>
      <c r="G6181" s="10" t="s">
        <v>86</v>
      </c>
      <c r="H6181" s="9" t="s">
        <v>22</v>
      </c>
      <c r="I6181" s="9" t="s">
        <v>14341</v>
      </c>
      <c r="J6181" s="10" t="str">
        <f>HYPERLINK("https://www.boe.es/gazeta/dias/1834/05/24/pdfs/GMD-1834-93.pdf#page=2","Abrir facsímil")</f>
        <v>Abrir facsímil</v>
      </c>
      <c r="K6181" s="10" t="s">
        <v>24</v>
      </c>
    </row>
    <row r="6182" spans="1:11" ht="54" customHeight="1">
      <c r="A6182" s="9" t="s">
        <v>14342</v>
      </c>
      <c r="B6182" s="9" t="s">
        <v>14342</v>
      </c>
      <c r="C6182" s="9" t="s">
        <v>17</v>
      </c>
      <c r="D6182" s="9" t="s">
        <v>101</v>
      </c>
      <c r="E6182" s="10" t="s">
        <v>1141</v>
      </c>
      <c r="F6182" s="9" t="s">
        <v>1142</v>
      </c>
      <c r="G6182" s="10" t="s">
        <v>75</v>
      </c>
      <c r="H6182" s="9" t="s">
        <v>22</v>
      </c>
      <c r="I6182" s="9" t="s">
        <v>14343</v>
      </c>
      <c r="J6182" s="10" t="str">
        <f>HYPERLINK("https://www.boe.es/gazeta/dias/1834/04/30/pdfs/GMD-1834-69.pdf#page=4","Abrir facsímil")</f>
        <v>Abrir facsímil</v>
      </c>
      <c r="K6182" s="10" t="s">
        <v>24</v>
      </c>
    </row>
    <row r="6183" spans="1:11" ht="54" customHeight="1">
      <c r="A6183" s="9" t="s">
        <v>14344</v>
      </c>
      <c r="B6183" s="9" t="s">
        <v>14345</v>
      </c>
      <c r="C6183" s="9" t="s">
        <v>17</v>
      </c>
      <c r="D6183" s="9" t="s">
        <v>101</v>
      </c>
      <c r="E6183" s="10" t="s">
        <v>1141</v>
      </c>
      <c r="F6183" s="9" t="s">
        <v>1142</v>
      </c>
      <c r="G6183" s="10" t="s">
        <v>75</v>
      </c>
      <c r="H6183" s="9" t="s">
        <v>35</v>
      </c>
      <c r="I6183" s="9" t="s">
        <v>14346</v>
      </c>
      <c r="J6183" s="10" t="str">
        <f>HYPERLINK("https://www.boe.es/gazeta/dias/1834/04/30/pdfs/GMD-1834-69.pdf#page=4","Abrir facsímil")</f>
        <v>Abrir facsímil</v>
      </c>
      <c r="K6183" s="10" t="s">
        <v>37</v>
      </c>
    </row>
    <row r="6184" spans="1:11" ht="54" customHeight="1">
      <c r="A6184" s="9" t="s">
        <v>14347</v>
      </c>
      <c r="B6184" s="9" t="s">
        <v>14347</v>
      </c>
      <c r="C6184" s="9" t="s">
        <v>17</v>
      </c>
      <c r="D6184" s="9" t="s">
        <v>18</v>
      </c>
      <c r="E6184" s="10" t="s">
        <v>492</v>
      </c>
      <c r="F6184" s="9" t="s">
        <v>1672</v>
      </c>
      <c r="G6184" s="10" t="s">
        <v>34</v>
      </c>
      <c r="H6184" s="9" t="s">
        <v>22</v>
      </c>
      <c r="I6184" s="9" t="s">
        <v>14348</v>
      </c>
      <c r="J6184" s="10" t="str">
        <f>HYPERLINK("https://www.boe.es/gazeta/dias/1834/11/21/pdfs/GMD-1834-280.pdf#page=1","Abrir facsímil")</f>
        <v>Abrir facsímil</v>
      </c>
      <c r="K6184" s="10" t="s">
        <v>24</v>
      </c>
    </row>
    <row r="6185" spans="1:11" ht="54" customHeight="1">
      <c r="A6185" s="9" t="s">
        <v>14349</v>
      </c>
      <c r="B6185" s="9" t="s">
        <v>14349</v>
      </c>
      <c r="C6185" s="9" t="s">
        <v>122</v>
      </c>
      <c r="D6185" s="9" t="s">
        <v>101</v>
      </c>
      <c r="E6185" s="10" t="s">
        <v>174</v>
      </c>
      <c r="F6185" s="9" t="s">
        <v>175</v>
      </c>
      <c r="G6185" s="10" t="s">
        <v>21</v>
      </c>
      <c r="H6185" s="9" t="s">
        <v>22</v>
      </c>
      <c r="I6185" s="9" t="s">
        <v>14350</v>
      </c>
      <c r="J6185" s="10" t="str">
        <f>HYPERLINK("https://www.boe.es/gazeta/dias/1834/03/27/pdfs/GMD-1834-38.pdf#page=3","Abrir facsímil")</f>
        <v>Abrir facsímil</v>
      </c>
      <c r="K6185" s="10" t="s">
        <v>24</v>
      </c>
    </row>
    <row r="6186" spans="1:11" ht="54" customHeight="1">
      <c r="A6186" s="9" t="s">
        <v>14351</v>
      </c>
      <c r="B6186" s="9" t="s">
        <v>14351</v>
      </c>
      <c r="C6186" s="9" t="s">
        <v>66</v>
      </c>
      <c r="D6186" s="9" t="s">
        <v>67</v>
      </c>
      <c r="E6186" s="10" t="s">
        <v>123</v>
      </c>
      <c r="F6186" s="9" t="s">
        <v>124</v>
      </c>
      <c r="G6186" s="10" t="s">
        <v>86</v>
      </c>
      <c r="H6186" s="9" t="s">
        <v>22</v>
      </c>
      <c r="I6186" s="9" t="s">
        <v>14352</v>
      </c>
      <c r="J6186" s="10" t="str">
        <f>HYPERLINK("https://www.boe.es/gazeta/dias/1834/07/11/pdfs/GMD-1834-144.pdf#page=2","Abrir facsímil")</f>
        <v>Abrir facsímil</v>
      </c>
      <c r="K6186" s="10" t="s">
        <v>24</v>
      </c>
    </row>
    <row r="6187" spans="1:11" ht="54" customHeight="1">
      <c r="A6187" s="9" t="s">
        <v>14353</v>
      </c>
      <c r="B6187" s="9" t="s">
        <v>14353</v>
      </c>
      <c r="C6187" s="9" t="s">
        <v>17</v>
      </c>
      <c r="D6187" s="9" t="s">
        <v>18</v>
      </c>
      <c r="E6187" s="10" t="s">
        <v>4105</v>
      </c>
      <c r="F6187" s="9" t="s">
        <v>8942</v>
      </c>
      <c r="G6187" s="10" t="s">
        <v>34</v>
      </c>
      <c r="H6187" s="9" t="s">
        <v>22</v>
      </c>
      <c r="I6187" s="9" t="s">
        <v>14354</v>
      </c>
      <c r="J6187" s="10" t="str">
        <f>HYPERLINK("https://www.boe.es/gazeta/dias/1834/09/02/pdfs/GMD-1834-200.pdf#page=1","Abrir facsímil")</f>
        <v>Abrir facsímil</v>
      </c>
      <c r="K6187" s="10" t="s">
        <v>24</v>
      </c>
    </row>
    <row r="6188" spans="1:11" ht="54" customHeight="1">
      <c r="A6188" s="9" t="s">
        <v>14353</v>
      </c>
      <c r="B6188" s="9" t="s">
        <v>14353</v>
      </c>
      <c r="C6188" s="9" t="s">
        <v>66</v>
      </c>
      <c r="D6188" s="9" t="s">
        <v>67</v>
      </c>
      <c r="E6188" s="10" t="s">
        <v>1505</v>
      </c>
      <c r="F6188" s="9" t="s">
        <v>1506</v>
      </c>
      <c r="G6188" s="10" t="s">
        <v>86</v>
      </c>
      <c r="H6188" s="9" t="s">
        <v>22</v>
      </c>
      <c r="I6188" s="9" t="s">
        <v>14355</v>
      </c>
      <c r="J6188" s="10" t="str">
        <f>HYPERLINK("https://www.boe.es/gazeta/dias/1834/05/08/pdfs/GMD-1834-77.pdf#page=2","Abrir facsímil")</f>
        <v>Abrir facsímil</v>
      </c>
      <c r="K6188" s="10" t="s">
        <v>24</v>
      </c>
    </row>
    <row r="6189" spans="1:11" ht="54" customHeight="1">
      <c r="A6189" s="9" t="s">
        <v>14353</v>
      </c>
      <c r="B6189" s="9" t="s">
        <v>14353</v>
      </c>
      <c r="C6189" s="9" t="s">
        <v>17</v>
      </c>
      <c r="D6189" s="9" t="s">
        <v>40</v>
      </c>
      <c r="E6189" s="10" t="s">
        <v>518</v>
      </c>
      <c r="F6189" s="9" t="s">
        <v>519</v>
      </c>
      <c r="G6189" s="10" t="s">
        <v>86</v>
      </c>
      <c r="H6189" s="9" t="s">
        <v>22</v>
      </c>
      <c r="I6189" s="9" t="s">
        <v>14356</v>
      </c>
      <c r="J6189" s="10" t="str">
        <f>HYPERLINK("https://www.boe.es/gazeta/dias/1834/03/15/pdfs/GMD-1834-33.pdf#page=2","Abrir facsímil")</f>
        <v>Abrir facsímil</v>
      </c>
      <c r="K6189" s="10" t="s">
        <v>24</v>
      </c>
    </row>
    <row r="6190" spans="1:11" ht="54" customHeight="1">
      <c r="A6190" s="9" t="s">
        <v>14353</v>
      </c>
      <c r="B6190" s="9" t="s">
        <v>14353</v>
      </c>
      <c r="C6190" s="9" t="s">
        <v>17</v>
      </c>
      <c r="D6190" s="9" t="s">
        <v>55</v>
      </c>
      <c r="E6190" s="10" t="s">
        <v>3282</v>
      </c>
      <c r="F6190" s="9" t="s">
        <v>3283</v>
      </c>
      <c r="G6190" s="10" t="s">
        <v>34</v>
      </c>
      <c r="H6190" s="9" t="s">
        <v>22</v>
      </c>
      <c r="I6190" s="9" t="s">
        <v>14357</v>
      </c>
      <c r="J6190" s="10" t="str">
        <f>HYPERLINK("https://www.boe.es/gazeta/dias/1834/04/15/pdfs/GMD-1834-54.pdf#page=1","Abrir facsímil")</f>
        <v>Abrir facsímil</v>
      </c>
      <c r="K6190" s="10" t="s">
        <v>24</v>
      </c>
    </row>
    <row r="6191" spans="1:11" ht="54" customHeight="1">
      <c r="A6191" s="9" t="s">
        <v>14353</v>
      </c>
      <c r="B6191" s="9" t="s">
        <v>14353</v>
      </c>
      <c r="C6191" s="9" t="s">
        <v>122</v>
      </c>
      <c r="D6191" s="9" t="s">
        <v>18</v>
      </c>
      <c r="E6191" s="10" t="s">
        <v>1695</v>
      </c>
      <c r="F6191" s="9" t="s">
        <v>1696</v>
      </c>
      <c r="G6191" s="10" t="s">
        <v>86</v>
      </c>
      <c r="H6191" s="9" t="s">
        <v>22</v>
      </c>
      <c r="I6191" s="9" t="s">
        <v>14358</v>
      </c>
      <c r="J6191" s="10" t="str">
        <f>HYPERLINK("https://www.boe.es/gazeta/dias/1834/06/30/pdfs/GMD-1834-133.pdf#page=2","Abrir facsímil")</f>
        <v>Abrir facsímil</v>
      </c>
      <c r="K6191" s="10" t="s">
        <v>24</v>
      </c>
    </row>
    <row r="6192" spans="1:11" ht="54" customHeight="1">
      <c r="A6192" s="9" t="s">
        <v>14359</v>
      </c>
      <c r="B6192" s="9" t="s">
        <v>14359</v>
      </c>
      <c r="C6192" s="9" t="s">
        <v>17</v>
      </c>
      <c r="D6192" s="9" t="s">
        <v>18</v>
      </c>
      <c r="E6192" s="10" t="s">
        <v>2142</v>
      </c>
      <c r="F6192" s="9" t="s">
        <v>2316</v>
      </c>
      <c r="G6192" s="10" t="s">
        <v>21</v>
      </c>
      <c r="H6192" s="9" t="s">
        <v>22</v>
      </c>
      <c r="I6192" s="9" t="s">
        <v>14360</v>
      </c>
      <c r="J6192" s="10" t="str">
        <f>HYPERLINK("https://www.boe.es/gazeta/dias/1834/12/27/pdfs/GMD-C-1834-317.pdf#page=3","Abrir facsímil")</f>
        <v>Abrir facsímil</v>
      </c>
      <c r="K6192" s="10" t="s">
        <v>24</v>
      </c>
    </row>
    <row r="6193" spans="1:11" ht="54" customHeight="1">
      <c r="A6193" s="9" t="s">
        <v>14361</v>
      </c>
      <c r="B6193" s="9" t="s">
        <v>14361</v>
      </c>
      <c r="C6193" s="9" t="s">
        <v>17</v>
      </c>
      <c r="D6193" s="9" t="s">
        <v>55</v>
      </c>
      <c r="E6193" s="10" t="s">
        <v>1273</v>
      </c>
      <c r="F6193" s="9" t="s">
        <v>1274</v>
      </c>
      <c r="G6193" s="10" t="s">
        <v>86</v>
      </c>
      <c r="H6193" s="9" t="s">
        <v>22</v>
      </c>
      <c r="I6193" s="9" t="s">
        <v>14362</v>
      </c>
      <c r="J6193" s="10" t="str">
        <f>HYPERLINK("https://www.boe.es/gazeta/dias/1834/05/14/pdfs/GMD-1834-83.pdf#page=2","Abrir facsímil")</f>
        <v>Abrir facsímil</v>
      </c>
      <c r="K6193" s="10" t="s">
        <v>24</v>
      </c>
    </row>
    <row r="6194" spans="1:11" ht="54" customHeight="1">
      <c r="A6194" s="9" t="s">
        <v>14363</v>
      </c>
      <c r="B6194" s="9" t="s">
        <v>14364</v>
      </c>
      <c r="C6194" s="9" t="s">
        <v>90</v>
      </c>
      <c r="D6194" s="9" t="s">
        <v>18</v>
      </c>
      <c r="E6194" s="10" t="s">
        <v>1747</v>
      </c>
      <c r="F6194" s="9" t="s">
        <v>1748</v>
      </c>
      <c r="G6194" s="10" t="s">
        <v>34</v>
      </c>
      <c r="H6194" s="9" t="s">
        <v>35</v>
      </c>
      <c r="I6194" s="9" t="s">
        <v>14365</v>
      </c>
      <c r="J6194" s="10" t="str">
        <f>HYPERLINK("https://www.boe.es/gazeta/dias/1834/06/29/pdfs/GMD-1834-132.pdf#page=1","Abrir facsímil")</f>
        <v>Abrir facsímil</v>
      </c>
      <c r="K6194" s="10" t="s">
        <v>37</v>
      </c>
    </row>
    <row r="6195" spans="1:11" ht="54" customHeight="1">
      <c r="A6195" s="9" t="s">
        <v>14366</v>
      </c>
      <c r="B6195" s="9" t="s">
        <v>14366</v>
      </c>
      <c r="C6195" s="9" t="s">
        <v>17</v>
      </c>
      <c r="D6195" s="9" t="s">
        <v>18</v>
      </c>
      <c r="E6195" s="10" t="s">
        <v>905</v>
      </c>
      <c r="F6195" s="9" t="s">
        <v>1651</v>
      </c>
      <c r="G6195" s="10" t="s">
        <v>21</v>
      </c>
      <c r="H6195" s="9" t="s">
        <v>22</v>
      </c>
      <c r="I6195" s="9" t="s">
        <v>14367</v>
      </c>
      <c r="J6195" s="10" t="str">
        <f>HYPERLINK("https://www.boe.es/gazeta/dias/1834/08/02/pdfs/GMD-1834-166.pdf#page=3","Abrir facsímil")</f>
        <v>Abrir facsímil</v>
      </c>
      <c r="K6195" s="10" t="s">
        <v>24</v>
      </c>
    </row>
    <row r="6196" spans="1:11" ht="54" customHeight="1">
      <c r="A6196" s="9" t="s">
        <v>14366</v>
      </c>
      <c r="B6196" s="9" t="s">
        <v>14366</v>
      </c>
      <c r="C6196" s="9" t="s">
        <v>66</v>
      </c>
      <c r="D6196" s="9" t="s">
        <v>67</v>
      </c>
      <c r="E6196" s="10" t="s">
        <v>1556</v>
      </c>
      <c r="F6196" s="9" t="s">
        <v>1557</v>
      </c>
      <c r="G6196" s="10" t="s">
        <v>21</v>
      </c>
      <c r="H6196" s="9" t="s">
        <v>22</v>
      </c>
      <c r="I6196" s="9" t="s">
        <v>14368</v>
      </c>
      <c r="J6196" s="10" t="str">
        <f>HYPERLINK("https://www.boe.es/gazeta/dias/1834/06/06/pdfs/GMD-1834-108.pdf#page=3","Abrir facsímil")</f>
        <v>Abrir facsímil</v>
      </c>
      <c r="K6196" s="10" t="s">
        <v>24</v>
      </c>
    </row>
    <row r="6197" spans="1:11" ht="54" customHeight="1">
      <c r="A6197" s="9" t="s">
        <v>14366</v>
      </c>
      <c r="B6197" s="9" t="s">
        <v>14366</v>
      </c>
      <c r="C6197" s="9" t="s">
        <v>17</v>
      </c>
      <c r="D6197" s="9" t="s">
        <v>18</v>
      </c>
      <c r="E6197" s="10" t="s">
        <v>833</v>
      </c>
      <c r="F6197" s="9" t="s">
        <v>834</v>
      </c>
      <c r="G6197" s="10" t="s">
        <v>21</v>
      </c>
      <c r="H6197" s="9" t="s">
        <v>22</v>
      </c>
      <c r="I6197" s="9" t="s">
        <v>14369</v>
      </c>
      <c r="J6197" s="10" t="str">
        <f>HYPERLINK("https://www.boe.es/gazeta/dias/1834/04/24/pdfs/GMD-1834-63.pdf#page=3","Abrir facsímil")</f>
        <v>Abrir facsímil</v>
      </c>
      <c r="K6197" s="10" t="s">
        <v>24</v>
      </c>
    </row>
    <row r="6198" spans="1:11" ht="54" customHeight="1">
      <c r="A6198" s="9" t="s">
        <v>14370</v>
      </c>
      <c r="B6198" s="9" t="s">
        <v>14371</v>
      </c>
      <c r="C6198" s="9" t="s">
        <v>17</v>
      </c>
      <c r="D6198" s="9" t="s">
        <v>18</v>
      </c>
      <c r="E6198" s="10" t="s">
        <v>1438</v>
      </c>
      <c r="F6198" s="9" t="s">
        <v>1439</v>
      </c>
      <c r="G6198" s="10" t="s">
        <v>75</v>
      </c>
      <c r="H6198" s="9" t="s">
        <v>22</v>
      </c>
      <c r="I6198" s="9" t="s">
        <v>14372</v>
      </c>
      <c r="J6198" s="10" t="str">
        <f>HYPERLINK("https://www.boe.es/gazeta/dias/1834/05/13/pdfs/GMD-1834-82.pdf#page=4","Abrir facsímil")</f>
        <v>Abrir facsímil</v>
      </c>
      <c r="K6198" s="10" t="s">
        <v>24</v>
      </c>
    </row>
    <row r="6199" spans="1:11" ht="54" customHeight="1">
      <c r="A6199" s="9" t="s">
        <v>14373</v>
      </c>
      <c r="B6199" s="9" t="s">
        <v>14374</v>
      </c>
      <c r="C6199" s="9" t="s">
        <v>17</v>
      </c>
      <c r="D6199" s="9" t="s">
        <v>18</v>
      </c>
      <c r="E6199" s="10" t="s">
        <v>672</v>
      </c>
      <c r="F6199" s="9" t="s">
        <v>673</v>
      </c>
      <c r="G6199" s="10" t="s">
        <v>21</v>
      </c>
      <c r="H6199" s="9" t="s">
        <v>22</v>
      </c>
      <c r="I6199" s="9" t="s">
        <v>14375</v>
      </c>
      <c r="J6199" s="10" t="str">
        <f>HYPERLINK("https://www.boe.es/gazeta/dias/1834/09/19/pdfs/GMD-1834-217.pdf#page=3","Abrir facsímil")</f>
        <v>Abrir facsímil</v>
      </c>
      <c r="K6199" s="10" t="s">
        <v>24</v>
      </c>
    </row>
    <row r="6200" spans="1:11" ht="54" customHeight="1">
      <c r="A6200" s="9" t="s">
        <v>14376</v>
      </c>
      <c r="B6200" s="9" t="s">
        <v>14376</v>
      </c>
      <c r="C6200" s="9" t="s">
        <v>17</v>
      </c>
      <c r="D6200" s="9" t="s">
        <v>18</v>
      </c>
      <c r="E6200" s="10" t="s">
        <v>524</v>
      </c>
      <c r="F6200" s="9" t="s">
        <v>525</v>
      </c>
      <c r="G6200" s="10" t="s">
        <v>34</v>
      </c>
      <c r="H6200" s="9" t="s">
        <v>22</v>
      </c>
      <c r="I6200" s="9" t="s">
        <v>14377</v>
      </c>
      <c r="J6200" s="10" t="str">
        <f>HYPERLINK("https://www.boe.es/gazeta/dias/1834/12/25/pdfs/GMD-C-1834-315.pdf#page=1","Abrir facsímil")</f>
        <v>Abrir facsímil</v>
      </c>
      <c r="K6200" s="10" t="s">
        <v>24</v>
      </c>
    </row>
    <row r="6201" spans="1:11" ht="54" customHeight="1">
      <c r="A6201" s="9" t="s">
        <v>14378</v>
      </c>
      <c r="B6201" s="9" t="s">
        <v>14378</v>
      </c>
      <c r="C6201" s="9" t="s">
        <v>46</v>
      </c>
      <c r="D6201" s="9" t="s">
        <v>101</v>
      </c>
      <c r="E6201" s="10" t="s">
        <v>233</v>
      </c>
      <c r="F6201" s="9" t="s">
        <v>234</v>
      </c>
      <c r="G6201" s="10" t="s">
        <v>75</v>
      </c>
      <c r="H6201" s="9" t="s">
        <v>22</v>
      </c>
      <c r="I6201" s="9" t="s">
        <v>14379</v>
      </c>
      <c r="J6201" s="10" t="str">
        <f>HYPERLINK("https://www.boe.es/gazeta/dias/1834/12/16/pdfs/GMD-1834-305.pdf#page=4","Abrir facsímil")</f>
        <v>Abrir facsímil</v>
      </c>
      <c r="K6201" s="10" t="s">
        <v>24</v>
      </c>
    </row>
    <row r="6202" spans="1:11" ht="54" customHeight="1">
      <c r="A6202" s="9" t="s">
        <v>14380</v>
      </c>
      <c r="B6202" s="9" t="s">
        <v>14381</v>
      </c>
      <c r="C6202" s="9" t="s">
        <v>17</v>
      </c>
      <c r="D6202" s="9" t="s">
        <v>18</v>
      </c>
      <c r="E6202" s="10" t="s">
        <v>233</v>
      </c>
      <c r="F6202" s="9" t="s">
        <v>234</v>
      </c>
      <c r="G6202" s="10" t="s">
        <v>75</v>
      </c>
      <c r="H6202" s="9" t="s">
        <v>22</v>
      </c>
      <c r="I6202" s="9" t="s">
        <v>14382</v>
      </c>
      <c r="J6202" s="10" t="str">
        <f>HYPERLINK("https://www.boe.es/gazeta/dias/1834/12/16/pdfs/GMD-1834-305.pdf#page=4","Abrir facsímil")</f>
        <v>Abrir facsímil</v>
      </c>
      <c r="K6202" s="10" t="s">
        <v>24</v>
      </c>
    </row>
    <row r="6203" spans="1:11" ht="54" customHeight="1">
      <c r="A6203" s="9" t="s">
        <v>14383</v>
      </c>
      <c r="B6203" s="9" t="s">
        <v>14383</v>
      </c>
      <c r="C6203" s="9" t="s">
        <v>122</v>
      </c>
      <c r="D6203" s="9" t="s">
        <v>18</v>
      </c>
      <c r="E6203" s="10" t="s">
        <v>2278</v>
      </c>
      <c r="F6203" s="9" t="s">
        <v>2279</v>
      </c>
      <c r="G6203" s="10" t="s">
        <v>34</v>
      </c>
      <c r="H6203" s="9" t="s">
        <v>22</v>
      </c>
      <c r="I6203" s="9" t="s">
        <v>14384</v>
      </c>
      <c r="J6203" s="10" t="str">
        <f>HYPERLINK("https://www.boe.es/gazeta/dias/1834/12/17/pdfs/GMD-C-1834-306.pdf#page=1","Abrir facsímil")</f>
        <v>Abrir facsímil</v>
      </c>
      <c r="K6203" s="10" t="s">
        <v>24</v>
      </c>
    </row>
    <row r="6204" spans="1:11" ht="54" customHeight="1">
      <c r="A6204" s="9" t="s">
        <v>14385</v>
      </c>
      <c r="B6204" s="9" t="s">
        <v>14386</v>
      </c>
      <c r="C6204" s="9" t="s">
        <v>17</v>
      </c>
      <c r="D6204" s="9" t="s">
        <v>55</v>
      </c>
      <c r="E6204" s="10" t="s">
        <v>339</v>
      </c>
      <c r="F6204" s="9" t="s">
        <v>340</v>
      </c>
      <c r="G6204" s="10" t="s">
        <v>34</v>
      </c>
      <c r="H6204" s="9" t="s">
        <v>22</v>
      </c>
      <c r="I6204" s="9" t="s">
        <v>14387</v>
      </c>
      <c r="J6204" s="10" t="str">
        <f>HYPERLINK("https://www.boe.es/gazeta/dias/1834/05/02/pdfs/GMD-1834-71.pdf#page=1","Abrir facsímil")</f>
        <v>Abrir facsímil</v>
      </c>
      <c r="K6204" s="10" t="s">
        <v>24</v>
      </c>
    </row>
    <row r="6205" spans="1:11" ht="54" customHeight="1">
      <c r="A6205" s="9" t="s">
        <v>14388</v>
      </c>
      <c r="B6205" s="9" t="s">
        <v>14388</v>
      </c>
      <c r="C6205" s="9" t="s">
        <v>66</v>
      </c>
      <c r="D6205" s="9" t="s">
        <v>67</v>
      </c>
      <c r="E6205" s="10" t="s">
        <v>2306</v>
      </c>
      <c r="F6205" s="9" t="s">
        <v>2307</v>
      </c>
      <c r="G6205" s="10" t="s">
        <v>75</v>
      </c>
      <c r="H6205" s="9" t="s">
        <v>22</v>
      </c>
      <c r="I6205" s="9" t="s">
        <v>14389</v>
      </c>
      <c r="J6205" s="10" t="str">
        <f>HYPERLINK("https://www.boe.es/gazeta/dias/1834/04/26/pdfs/GMD-1834-65.pdf#page=4","Abrir facsímil")</f>
        <v>Abrir facsímil</v>
      </c>
      <c r="K6205" s="10" t="s">
        <v>24</v>
      </c>
    </row>
    <row r="6206" spans="1:11" ht="54" customHeight="1">
      <c r="A6206" s="9" t="s">
        <v>14388</v>
      </c>
      <c r="B6206" s="9" t="s">
        <v>14388</v>
      </c>
      <c r="C6206" s="9" t="s">
        <v>17</v>
      </c>
      <c r="D6206" s="9" t="s">
        <v>40</v>
      </c>
      <c r="E6206" s="10" t="s">
        <v>658</v>
      </c>
      <c r="F6206" s="9" t="s">
        <v>659</v>
      </c>
      <c r="G6206" s="10" t="s">
        <v>75</v>
      </c>
      <c r="H6206" s="9" t="s">
        <v>22</v>
      </c>
      <c r="I6206" s="9" t="s">
        <v>14390</v>
      </c>
      <c r="J6206" s="10" t="str">
        <f>HYPERLINK("https://www.boe.es/gazeta/dias/1834/05/26/pdfs/GMD-1834-95.pdf#page=4","Abrir facsímil")</f>
        <v>Abrir facsímil</v>
      </c>
      <c r="K6206" s="10" t="s">
        <v>24</v>
      </c>
    </row>
    <row r="6207" spans="1:11" ht="54" customHeight="1">
      <c r="A6207" s="9" t="s">
        <v>14391</v>
      </c>
      <c r="B6207" s="9" t="s">
        <v>14392</v>
      </c>
      <c r="C6207" s="9" t="s">
        <v>66</v>
      </c>
      <c r="D6207" s="9" t="s">
        <v>67</v>
      </c>
      <c r="E6207" s="10" t="s">
        <v>309</v>
      </c>
      <c r="F6207" s="9" t="s">
        <v>310</v>
      </c>
      <c r="G6207" s="10" t="s">
        <v>75</v>
      </c>
      <c r="H6207" s="9" t="s">
        <v>35</v>
      </c>
      <c r="I6207" s="9" t="s">
        <v>14393</v>
      </c>
      <c r="J6207" s="10" t="str">
        <f>HYPERLINK("https://www.boe.es/gazeta/dias/1834/05/30/pdfs/GMD-1834-99.pdf#page=4","Abrir facsímil")</f>
        <v>Abrir facsímil</v>
      </c>
      <c r="K6207" s="10" t="s">
        <v>37</v>
      </c>
    </row>
    <row r="6208" spans="1:11" ht="54" customHeight="1">
      <c r="A6208" s="9" t="s">
        <v>14394</v>
      </c>
      <c r="B6208" s="9" t="s">
        <v>14395</v>
      </c>
      <c r="C6208" s="9" t="s">
        <v>17</v>
      </c>
      <c r="D6208" s="9" t="s">
        <v>18</v>
      </c>
      <c r="E6208" s="10" t="s">
        <v>2004</v>
      </c>
      <c r="F6208" s="9" t="s">
        <v>2005</v>
      </c>
      <c r="G6208" s="10" t="s">
        <v>75</v>
      </c>
      <c r="H6208" s="9" t="s">
        <v>22</v>
      </c>
      <c r="I6208" s="9" t="s">
        <v>14396</v>
      </c>
      <c r="J6208" s="10" t="str">
        <f>HYPERLINK("https://www.boe.es/gazeta/dias/1834/05/09/pdfs/GMD-1834-78.pdf#page=4","Abrir facsímil")</f>
        <v>Abrir facsímil</v>
      </c>
      <c r="K6208" s="10" t="s">
        <v>24</v>
      </c>
    </row>
    <row r="6209" spans="1:11" ht="54" customHeight="1">
      <c r="A6209" s="9" t="s">
        <v>14397</v>
      </c>
      <c r="B6209" s="9" t="s">
        <v>14398</v>
      </c>
      <c r="C6209" s="9" t="s">
        <v>66</v>
      </c>
      <c r="D6209" s="9" t="s">
        <v>67</v>
      </c>
      <c r="E6209" s="10" t="s">
        <v>309</v>
      </c>
      <c r="F6209" s="9" t="s">
        <v>310</v>
      </c>
      <c r="G6209" s="10" t="s">
        <v>75</v>
      </c>
      <c r="H6209" s="9" t="s">
        <v>22</v>
      </c>
      <c r="I6209" s="9" t="s">
        <v>14399</v>
      </c>
      <c r="J6209" s="10" t="str">
        <f>HYPERLINK("https://www.boe.es/gazeta/dias/1834/05/30/pdfs/GMD-1834-99.pdf#page=4","Abrir facsímil")</f>
        <v>Abrir facsímil</v>
      </c>
      <c r="K6209" s="10" t="s">
        <v>24</v>
      </c>
    </row>
    <row r="6210" spans="1:11" ht="54" customHeight="1">
      <c r="A6210" s="9" t="s">
        <v>14400</v>
      </c>
      <c r="B6210" s="9" t="s">
        <v>14401</v>
      </c>
      <c r="C6210" s="9" t="s">
        <v>17</v>
      </c>
      <c r="D6210" s="9" t="s">
        <v>18</v>
      </c>
      <c r="E6210" s="10" t="s">
        <v>4565</v>
      </c>
      <c r="F6210" s="9" t="s">
        <v>4566</v>
      </c>
      <c r="G6210" s="10" t="s">
        <v>75</v>
      </c>
      <c r="H6210" s="9" t="s">
        <v>22</v>
      </c>
      <c r="I6210" s="9" t="s">
        <v>14402</v>
      </c>
      <c r="J6210" s="10" t="str">
        <f>HYPERLINK("https://www.boe.es/gazeta/dias/1834/07/10/pdfs/GMD-1834-143.pdf#page=4","Abrir facsímil")</f>
        <v>Abrir facsímil</v>
      </c>
      <c r="K6210" s="10" t="s">
        <v>24</v>
      </c>
    </row>
    <row r="6211" spans="1:11" ht="54" customHeight="1">
      <c r="A6211" s="9" t="s">
        <v>14403</v>
      </c>
      <c r="B6211" s="9" t="s">
        <v>14404</v>
      </c>
      <c r="C6211" s="9" t="s">
        <v>17</v>
      </c>
      <c r="D6211" s="9" t="s">
        <v>18</v>
      </c>
      <c r="E6211" s="10" t="s">
        <v>724</v>
      </c>
      <c r="F6211" s="9" t="s">
        <v>725</v>
      </c>
      <c r="G6211" s="10" t="s">
        <v>28</v>
      </c>
      <c r="H6211" s="9" t="s">
        <v>22</v>
      </c>
      <c r="I6211" s="9" t="s">
        <v>14405</v>
      </c>
      <c r="J6211" s="10" t="str">
        <f>HYPERLINK("https://www.boe.es/gazeta/dias/1834/04/25/pdfs/GMD-1834-64.pdf#page=5","Abrir facsímil")</f>
        <v>Abrir facsímil</v>
      </c>
      <c r="K6211" s="10" t="s">
        <v>24</v>
      </c>
    </row>
    <row r="6212" spans="1:11" ht="54" customHeight="1">
      <c r="A6212" s="9" t="s">
        <v>14406</v>
      </c>
      <c r="B6212" s="9" t="s">
        <v>14407</v>
      </c>
      <c r="C6212" s="9" t="s">
        <v>90</v>
      </c>
      <c r="D6212" s="9" t="s">
        <v>55</v>
      </c>
      <c r="E6212" s="10" t="s">
        <v>563</v>
      </c>
      <c r="F6212" s="9" t="s">
        <v>564</v>
      </c>
      <c r="G6212" s="10" t="s">
        <v>86</v>
      </c>
      <c r="H6212" s="9" t="s">
        <v>22</v>
      </c>
      <c r="I6212" s="9" t="s">
        <v>14408</v>
      </c>
      <c r="J6212" s="10" t="str">
        <f>HYPERLINK("https://www.boe.es/gazeta/dias/1834/04/19/pdfs/GMD-1834-58.pdf#page=2","Abrir facsímil")</f>
        <v>Abrir facsímil</v>
      </c>
      <c r="K6212" s="10" t="s">
        <v>24</v>
      </c>
    </row>
    <row r="6213" spans="1:11" ht="54" customHeight="1">
      <c r="A6213" s="9" t="s">
        <v>14409</v>
      </c>
      <c r="B6213" s="9" t="s">
        <v>14410</v>
      </c>
      <c r="C6213" s="9" t="s">
        <v>17</v>
      </c>
      <c r="D6213" s="9" t="s">
        <v>18</v>
      </c>
      <c r="E6213" s="10" t="s">
        <v>658</v>
      </c>
      <c r="F6213" s="9" t="s">
        <v>659</v>
      </c>
      <c r="G6213" s="10" t="s">
        <v>86</v>
      </c>
      <c r="H6213" s="9" t="s">
        <v>22</v>
      </c>
      <c r="I6213" s="9" t="s">
        <v>14411</v>
      </c>
      <c r="J6213" s="10" t="str">
        <f>HYPERLINK("https://www.boe.es/gazeta/dias/1834/05/26/pdfs/GMD-1834-95.pdf#page=2","Abrir facsímil")</f>
        <v>Abrir facsímil</v>
      </c>
      <c r="K6213" s="10" t="s">
        <v>24</v>
      </c>
    </row>
    <row r="6214" spans="1:11" ht="54" customHeight="1">
      <c r="A6214" s="9" t="s">
        <v>14412</v>
      </c>
      <c r="B6214" s="9" t="s">
        <v>14413</v>
      </c>
      <c r="C6214" s="9" t="s">
        <v>66</v>
      </c>
      <c r="D6214" s="9" t="s">
        <v>55</v>
      </c>
      <c r="E6214" s="10" t="s">
        <v>3282</v>
      </c>
      <c r="F6214" s="9" t="s">
        <v>3283</v>
      </c>
      <c r="G6214" s="10" t="s">
        <v>34</v>
      </c>
      <c r="H6214" s="9" t="s">
        <v>22</v>
      </c>
      <c r="I6214" s="9" t="s">
        <v>14414</v>
      </c>
      <c r="J6214" s="10" t="str">
        <f>HYPERLINK("https://www.boe.es/gazeta/dias/1834/04/15/pdfs/GMD-1834-54.pdf#page=1","Abrir facsímil")</f>
        <v>Abrir facsímil</v>
      </c>
      <c r="K6214" s="10" t="s">
        <v>24</v>
      </c>
    </row>
    <row r="6215" spans="1:11" ht="54" customHeight="1">
      <c r="A6215" s="9" t="s">
        <v>14415</v>
      </c>
      <c r="B6215" s="9" t="s">
        <v>14416</v>
      </c>
      <c r="C6215" s="9" t="s">
        <v>17</v>
      </c>
      <c r="D6215" s="9" t="s">
        <v>40</v>
      </c>
      <c r="E6215" s="10" t="s">
        <v>1170</v>
      </c>
      <c r="F6215" s="9" t="s">
        <v>1171</v>
      </c>
      <c r="G6215" s="10" t="s">
        <v>176</v>
      </c>
      <c r="H6215" s="9" t="s">
        <v>22</v>
      </c>
      <c r="I6215" s="9" t="s">
        <v>14417</v>
      </c>
      <c r="J6215" s="10" t="str">
        <f>HYPERLINK("https://www.boe.es/gazeta/dias/1834/01/07/pdfs/GMD-1834-4.pdf#page=6","Abrir facsímil")</f>
        <v>Abrir facsímil</v>
      </c>
      <c r="K6215" s="10" t="s">
        <v>24</v>
      </c>
    </row>
    <row r="6216" spans="1:11" ht="54" customHeight="1">
      <c r="A6216" s="9" t="s">
        <v>14418</v>
      </c>
      <c r="B6216" s="9" t="s">
        <v>14418</v>
      </c>
      <c r="C6216" s="9" t="s">
        <v>46</v>
      </c>
      <c r="D6216" s="9" t="s">
        <v>101</v>
      </c>
      <c r="E6216" s="10" t="s">
        <v>5435</v>
      </c>
      <c r="F6216" s="9" t="s">
        <v>5436</v>
      </c>
      <c r="G6216" s="10" t="s">
        <v>34</v>
      </c>
      <c r="H6216" s="9" t="s">
        <v>22</v>
      </c>
      <c r="I6216" s="9" t="s">
        <v>14419</v>
      </c>
      <c r="J6216" s="10" t="str">
        <f>HYPERLINK("https://www.boe.es/gazeta/dias/1834/05/11/pdfs/GMD-1834-80.pdf#page=1","Abrir facsímil")</f>
        <v>Abrir facsímil</v>
      </c>
      <c r="K6216" s="10" t="s">
        <v>24</v>
      </c>
    </row>
    <row r="6217" spans="1:11" ht="54" customHeight="1">
      <c r="A6217" s="9" t="s">
        <v>14420</v>
      </c>
      <c r="B6217" s="9" t="s">
        <v>14420</v>
      </c>
      <c r="C6217" s="9" t="s">
        <v>90</v>
      </c>
      <c r="D6217" s="9" t="s">
        <v>101</v>
      </c>
      <c r="E6217" s="10" t="s">
        <v>5435</v>
      </c>
      <c r="F6217" s="9" t="s">
        <v>5436</v>
      </c>
      <c r="G6217" s="10" t="s">
        <v>34</v>
      </c>
      <c r="H6217" s="9" t="s">
        <v>22</v>
      </c>
      <c r="I6217" s="9" t="s">
        <v>14421</v>
      </c>
      <c r="J6217" s="10" t="str">
        <f>HYPERLINK("https://www.boe.es/gazeta/dias/1834/05/11/pdfs/GMD-1834-80.pdf#page=1","Abrir facsímil")</f>
        <v>Abrir facsímil</v>
      </c>
      <c r="K6217" s="10" t="s">
        <v>24</v>
      </c>
    </row>
    <row r="6218" spans="1:11" ht="54" customHeight="1">
      <c r="A6218" s="9" t="s">
        <v>14422</v>
      </c>
      <c r="B6218" s="9" t="s">
        <v>14423</v>
      </c>
      <c r="C6218" s="9" t="s">
        <v>17</v>
      </c>
      <c r="D6218" s="9" t="s">
        <v>18</v>
      </c>
      <c r="E6218" s="10" t="s">
        <v>1141</v>
      </c>
      <c r="F6218" s="9" t="s">
        <v>1142</v>
      </c>
      <c r="G6218" s="10" t="s">
        <v>34</v>
      </c>
      <c r="H6218" s="9" t="s">
        <v>22</v>
      </c>
      <c r="I6218" s="9" t="s">
        <v>14424</v>
      </c>
      <c r="J6218" s="10" t="str">
        <f>HYPERLINK("https://www.boe.es/gazeta/dias/1834/04/30/pdfs/GMD-1834-69.pdf#page=1","Abrir facsímil")</f>
        <v>Abrir facsímil</v>
      </c>
      <c r="K6218" s="10" t="s">
        <v>24</v>
      </c>
    </row>
    <row r="6219" spans="1:11" ht="54" customHeight="1">
      <c r="A6219" s="9" t="s">
        <v>14425</v>
      </c>
      <c r="B6219" s="9" t="s">
        <v>14426</v>
      </c>
      <c r="C6219" s="9" t="s">
        <v>17</v>
      </c>
      <c r="D6219" s="9" t="s">
        <v>18</v>
      </c>
      <c r="E6219" s="10" t="s">
        <v>844</v>
      </c>
      <c r="F6219" s="9" t="s">
        <v>845</v>
      </c>
      <c r="G6219" s="10" t="s">
        <v>75</v>
      </c>
      <c r="H6219" s="9" t="s">
        <v>22</v>
      </c>
      <c r="I6219" s="9" t="s">
        <v>14427</v>
      </c>
      <c r="J6219" s="10" t="str">
        <f>HYPERLINK("https://www.boe.es/gazeta/dias/1834/03/13/pdfs/GMD-1834-32.pdf#page=4","Abrir facsímil")</f>
        <v>Abrir facsímil</v>
      </c>
      <c r="K6219" s="10" t="s">
        <v>24</v>
      </c>
    </row>
    <row r="6220" spans="1:11" ht="54" customHeight="1">
      <c r="A6220" s="9" t="s">
        <v>14428</v>
      </c>
      <c r="B6220" s="9" t="s">
        <v>14429</v>
      </c>
      <c r="C6220" s="9" t="s">
        <v>66</v>
      </c>
      <c r="D6220" s="9" t="s">
        <v>67</v>
      </c>
      <c r="E6220" s="10" t="s">
        <v>61</v>
      </c>
      <c r="F6220" s="9" t="s">
        <v>205</v>
      </c>
      <c r="G6220" s="10" t="s">
        <v>21</v>
      </c>
      <c r="H6220" s="9" t="s">
        <v>22</v>
      </c>
      <c r="I6220" s="9" t="s">
        <v>14430</v>
      </c>
      <c r="J6220" s="10" t="str">
        <f>HYPERLINK("https://www.boe.es/gazeta/dias/1834/06/08/pdfs/GMD-1834-110.pdf#page=3","Abrir facsímil")</f>
        <v>Abrir facsímil</v>
      </c>
      <c r="K6220" s="10" t="s">
        <v>24</v>
      </c>
    </row>
    <row r="6221" spans="1:11" ht="54" customHeight="1">
      <c r="A6221" s="9" t="s">
        <v>14431</v>
      </c>
      <c r="B6221" s="9" t="s">
        <v>14432</v>
      </c>
      <c r="C6221" s="9" t="s">
        <v>66</v>
      </c>
      <c r="D6221" s="9" t="s">
        <v>67</v>
      </c>
      <c r="E6221" s="10" t="s">
        <v>1103</v>
      </c>
      <c r="F6221" s="9" t="s">
        <v>1259</v>
      </c>
      <c r="G6221" s="10" t="s">
        <v>21</v>
      </c>
      <c r="H6221" s="9" t="s">
        <v>35</v>
      </c>
      <c r="I6221" s="9" t="s">
        <v>14433</v>
      </c>
      <c r="J6221" s="10" t="str">
        <f>HYPERLINK("https://www.boe.es/gazeta/dias/1834/10/10/pdfs/GMD-1834-238.pdf#page=3","Abrir facsímil")</f>
        <v>Abrir facsímil</v>
      </c>
      <c r="K6221" s="10" t="s">
        <v>37</v>
      </c>
    </row>
    <row r="6222" spans="1:11" ht="54" customHeight="1">
      <c r="A6222" s="9" t="s">
        <v>14434</v>
      </c>
      <c r="B6222" s="9" t="s">
        <v>14435</v>
      </c>
      <c r="C6222" s="9" t="s">
        <v>66</v>
      </c>
      <c r="D6222" s="9" t="s">
        <v>67</v>
      </c>
      <c r="E6222" s="10" t="s">
        <v>1103</v>
      </c>
      <c r="F6222" s="9" t="s">
        <v>1259</v>
      </c>
      <c r="G6222" s="10" t="s">
        <v>21</v>
      </c>
      <c r="H6222" s="9" t="s">
        <v>22</v>
      </c>
      <c r="I6222" s="9" t="s">
        <v>14436</v>
      </c>
      <c r="J6222" s="10" t="str">
        <f>HYPERLINK("https://www.boe.es/gazeta/dias/1834/10/10/pdfs/GMD-1834-238.pdf#page=3","Abrir facsímil")</f>
        <v>Abrir facsímil</v>
      </c>
      <c r="K6222" s="10" t="s">
        <v>24</v>
      </c>
    </row>
    <row r="6223" spans="1:11" ht="54" customHeight="1">
      <c r="A6223" s="9" t="s">
        <v>14437</v>
      </c>
      <c r="B6223" s="9" t="s">
        <v>14438</v>
      </c>
      <c r="C6223" s="9" t="s">
        <v>17</v>
      </c>
      <c r="D6223" s="9" t="s">
        <v>55</v>
      </c>
      <c r="E6223" s="10" t="s">
        <v>518</v>
      </c>
      <c r="F6223" s="9" t="s">
        <v>519</v>
      </c>
      <c r="G6223" s="10" t="s">
        <v>75</v>
      </c>
      <c r="H6223" s="9" t="s">
        <v>35</v>
      </c>
      <c r="I6223" s="9" t="s">
        <v>14439</v>
      </c>
      <c r="J6223" s="10" t="str">
        <f>HYPERLINK("https://www.boe.es/gazeta/dias/1834/03/15/pdfs/GMD-1834-33.pdf#page=4","Abrir facsímil")</f>
        <v>Abrir facsímil</v>
      </c>
      <c r="K6223" s="10" t="s">
        <v>37</v>
      </c>
    </row>
    <row r="6224" spans="1:11" ht="54" customHeight="1">
      <c r="A6224" s="9" t="s">
        <v>14440</v>
      </c>
      <c r="B6224" s="9" t="s">
        <v>14440</v>
      </c>
      <c r="C6224" s="9" t="s">
        <v>46</v>
      </c>
      <c r="D6224" s="9" t="s">
        <v>101</v>
      </c>
      <c r="E6224" s="10" t="s">
        <v>251</v>
      </c>
      <c r="F6224" s="9" t="s">
        <v>252</v>
      </c>
      <c r="G6224" s="10" t="s">
        <v>28</v>
      </c>
      <c r="H6224" s="9" t="s">
        <v>22</v>
      </c>
      <c r="I6224" s="9" t="s">
        <v>14441</v>
      </c>
      <c r="J6224" s="10" t="str">
        <f>HYPERLINK("https://www.boe.es/gazeta/dias/1834/09/26/pdfs/GMD-C-1834-224.pdf#page=5","Abrir facsímil")</f>
        <v>Abrir facsímil</v>
      </c>
      <c r="K6224" s="10" t="s">
        <v>24</v>
      </c>
    </row>
    <row r="6225" spans="1:11" ht="54" customHeight="1">
      <c r="A6225" s="9" t="s">
        <v>14442</v>
      </c>
      <c r="B6225" s="9" t="s">
        <v>14442</v>
      </c>
      <c r="C6225" s="9" t="s">
        <v>90</v>
      </c>
      <c r="D6225" s="9" t="s">
        <v>67</v>
      </c>
      <c r="E6225" s="10" t="s">
        <v>658</v>
      </c>
      <c r="F6225" s="9" t="s">
        <v>2167</v>
      </c>
      <c r="G6225" s="10" t="s">
        <v>34</v>
      </c>
      <c r="H6225" s="9" t="s">
        <v>22</v>
      </c>
      <c r="I6225" s="9" t="s">
        <v>14443</v>
      </c>
      <c r="J6225" s="10" t="str">
        <f>HYPERLINK("https://www.boe.es/gazeta/dias/1834/05/26/pdfs/C00001-00001.pdf#page=1","Abrir facsímil")</f>
        <v>Abrir facsímil</v>
      </c>
      <c r="K6225" s="10" t="s">
        <v>24</v>
      </c>
    </row>
    <row r="6226" spans="1:11" ht="54" customHeight="1">
      <c r="A6226" s="9" t="s">
        <v>14444</v>
      </c>
      <c r="B6226" s="9" t="s">
        <v>14444</v>
      </c>
      <c r="C6226" s="9" t="s">
        <v>17</v>
      </c>
      <c r="D6226" s="9" t="s">
        <v>101</v>
      </c>
      <c r="E6226" s="10" t="s">
        <v>2153</v>
      </c>
      <c r="F6226" s="9" t="s">
        <v>2154</v>
      </c>
      <c r="G6226" s="10" t="s">
        <v>34</v>
      </c>
      <c r="H6226" s="9" t="s">
        <v>22</v>
      </c>
      <c r="I6226" s="9" t="s">
        <v>14445</v>
      </c>
      <c r="J6226" s="10" t="str">
        <f>HYPERLINK("https://www.boe.es/gazeta/dias/1834/01/23/pdfs/GMD-1834-11.pdf#page=1","Abrir facsímil")</f>
        <v>Abrir facsímil</v>
      </c>
      <c r="K6226" s="10" t="s">
        <v>24</v>
      </c>
    </row>
    <row r="6227" spans="1:11" ht="54" customHeight="1">
      <c r="A6227" s="9" t="s">
        <v>14446</v>
      </c>
      <c r="B6227" s="9" t="s">
        <v>14447</v>
      </c>
      <c r="C6227" s="9" t="s">
        <v>17</v>
      </c>
      <c r="D6227" s="9" t="s">
        <v>18</v>
      </c>
      <c r="E6227" s="10" t="s">
        <v>339</v>
      </c>
      <c r="F6227" s="9" t="s">
        <v>340</v>
      </c>
      <c r="G6227" s="10" t="s">
        <v>21</v>
      </c>
      <c r="H6227" s="9" t="s">
        <v>22</v>
      </c>
      <c r="I6227" s="9" t="s">
        <v>14448</v>
      </c>
      <c r="J6227" s="10" t="str">
        <f>HYPERLINK("https://www.boe.es/gazeta/dias/1834/05/02/pdfs/GMD-1834-71.pdf#page=3","Abrir facsímil")</f>
        <v>Abrir facsímil</v>
      </c>
      <c r="K6227" s="10" t="s">
        <v>24</v>
      </c>
    </row>
    <row r="6228" spans="1:11" ht="54" customHeight="1">
      <c r="A6228" s="9" t="s">
        <v>14449</v>
      </c>
      <c r="B6228" s="9" t="s">
        <v>14450</v>
      </c>
      <c r="C6228" s="9" t="s">
        <v>122</v>
      </c>
      <c r="D6228" s="9" t="s">
        <v>18</v>
      </c>
      <c r="E6228" s="10" t="s">
        <v>823</v>
      </c>
      <c r="F6228" s="9" t="s">
        <v>824</v>
      </c>
      <c r="G6228" s="10" t="s">
        <v>28</v>
      </c>
      <c r="H6228" s="9" t="s">
        <v>22</v>
      </c>
      <c r="I6228" s="9" t="s">
        <v>14451</v>
      </c>
      <c r="J6228" s="10" t="str">
        <f>HYPERLINK("https://www.boe.es/gazeta/dias/1834/07/23/pdfs/GMD-1834-156.pdf#page=5","Abrir facsímil")</f>
        <v>Abrir facsímil</v>
      </c>
      <c r="K6228" s="10" t="s">
        <v>24</v>
      </c>
    </row>
    <row r="6229" spans="1:11" ht="54" customHeight="1">
      <c r="A6229" s="9" t="s">
        <v>14452</v>
      </c>
      <c r="B6229" s="9" t="s">
        <v>14452</v>
      </c>
      <c r="C6229" s="9" t="s">
        <v>17</v>
      </c>
      <c r="D6229" s="9" t="s">
        <v>18</v>
      </c>
      <c r="E6229" s="10" t="s">
        <v>273</v>
      </c>
      <c r="F6229" s="9" t="s">
        <v>413</v>
      </c>
      <c r="G6229" s="10" t="s">
        <v>86</v>
      </c>
      <c r="H6229" s="9" t="s">
        <v>22</v>
      </c>
      <c r="I6229" s="9" t="s">
        <v>14453</v>
      </c>
      <c r="J6229" s="10" t="str">
        <f>HYPERLINK("https://www.boe.es/gazeta/dias/1834/08/31/pdfs/GMD-1834-198.pdf#page=2","Abrir facsímil")</f>
        <v>Abrir facsímil</v>
      </c>
      <c r="K6229" s="10" t="s">
        <v>24</v>
      </c>
    </row>
    <row r="6230" spans="1:11" ht="54" customHeight="1">
      <c r="A6230" s="9" t="s">
        <v>14454</v>
      </c>
      <c r="B6230" s="9" t="s">
        <v>14455</v>
      </c>
      <c r="C6230" s="9" t="s">
        <v>122</v>
      </c>
      <c r="D6230" s="9" t="s">
        <v>18</v>
      </c>
      <c r="E6230" s="10" t="s">
        <v>844</v>
      </c>
      <c r="F6230" s="9" t="s">
        <v>845</v>
      </c>
      <c r="G6230" s="10" t="s">
        <v>75</v>
      </c>
      <c r="H6230" s="9" t="s">
        <v>22</v>
      </c>
      <c r="I6230" s="9" t="s">
        <v>14456</v>
      </c>
      <c r="J6230" s="10" t="str">
        <f>HYPERLINK("https://www.boe.es/gazeta/dias/1834/03/13/pdfs/GMD-1834-32.pdf#page=4","Abrir facsímil")</f>
        <v>Abrir facsímil</v>
      </c>
      <c r="K6230" s="10" t="s">
        <v>24</v>
      </c>
    </row>
    <row r="6231" spans="1:11" ht="54" customHeight="1">
      <c r="A6231" s="9" t="s">
        <v>14457</v>
      </c>
      <c r="B6231" s="9" t="s">
        <v>14457</v>
      </c>
      <c r="C6231" s="9" t="s">
        <v>17</v>
      </c>
      <c r="D6231" s="9" t="s">
        <v>18</v>
      </c>
      <c r="E6231" s="10" t="s">
        <v>5435</v>
      </c>
      <c r="F6231" s="9" t="s">
        <v>5436</v>
      </c>
      <c r="G6231" s="10" t="s">
        <v>75</v>
      </c>
      <c r="H6231" s="9" t="s">
        <v>22</v>
      </c>
      <c r="I6231" s="9" t="s">
        <v>14458</v>
      </c>
      <c r="J6231" s="10" t="str">
        <f>HYPERLINK("https://www.boe.es/gazeta/dias/1834/05/11/pdfs/GMD-1834-80.pdf#page=4","Abrir facsímil")</f>
        <v>Abrir facsímil</v>
      </c>
      <c r="K6231" s="10" t="s">
        <v>24</v>
      </c>
    </row>
    <row r="6232" spans="1:11" ht="54" customHeight="1">
      <c r="A6232" s="9" t="s">
        <v>14459</v>
      </c>
      <c r="B6232" s="9" t="s">
        <v>14459</v>
      </c>
      <c r="C6232" s="9" t="s">
        <v>17</v>
      </c>
      <c r="D6232" s="9" t="s">
        <v>18</v>
      </c>
      <c r="E6232" s="10" t="s">
        <v>4105</v>
      </c>
      <c r="F6232" s="9" t="s">
        <v>8942</v>
      </c>
      <c r="G6232" s="10" t="s">
        <v>86</v>
      </c>
      <c r="H6232" s="9" t="s">
        <v>22</v>
      </c>
      <c r="I6232" s="9" t="s">
        <v>14460</v>
      </c>
      <c r="J6232" s="10" t="str">
        <f>HYPERLINK("https://www.boe.es/gazeta/dias/1834/09/02/pdfs/GMD-1834-200.pdf#page=2","Abrir facsímil")</f>
        <v>Abrir facsímil</v>
      </c>
      <c r="K6232" s="10" t="s">
        <v>24</v>
      </c>
    </row>
    <row r="6233" spans="1:11" ht="54" customHeight="1">
      <c r="A6233" s="9" t="s">
        <v>14461</v>
      </c>
      <c r="B6233" s="9" t="s">
        <v>14462</v>
      </c>
      <c r="C6233" s="9" t="s">
        <v>17</v>
      </c>
      <c r="D6233" s="9" t="s">
        <v>40</v>
      </c>
      <c r="E6233" s="10" t="s">
        <v>1658</v>
      </c>
      <c r="F6233" s="9" t="s">
        <v>1659</v>
      </c>
      <c r="G6233" s="10" t="s">
        <v>75</v>
      </c>
      <c r="H6233" s="9" t="s">
        <v>22</v>
      </c>
      <c r="I6233" s="9" t="s">
        <v>14463</v>
      </c>
      <c r="J6233" s="10" t="str">
        <f>HYPERLINK("https://www.boe.es/gazeta/dias/1834/04/05/pdfs/GMD-1834-44.pdf#page=4","Abrir facsímil")</f>
        <v>Abrir facsímil</v>
      </c>
      <c r="K6233" s="10" t="s">
        <v>24</v>
      </c>
    </row>
    <row r="6234" spans="1:11" ht="54" customHeight="1">
      <c r="A6234" s="9" t="s">
        <v>14464</v>
      </c>
      <c r="B6234" s="9" t="s">
        <v>14464</v>
      </c>
      <c r="C6234" s="9" t="s">
        <v>46</v>
      </c>
      <c r="D6234" s="9" t="s">
        <v>101</v>
      </c>
      <c r="E6234" s="10" t="s">
        <v>4105</v>
      </c>
      <c r="F6234" s="9" t="s">
        <v>4106</v>
      </c>
      <c r="G6234" s="10" t="s">
        <v>75</v>
      </c>
      <c r="H6234" s="9" t="s">
        <v>22</v>
      </c>
      <c r="I6234" s="9" t="s">
        <v>14465</v>
      </c>
      <c r="J6234" s="10" t="str">
        <f>HYPERLINK("https://www.boe.es/gazeta/dias/1834/09/02/pdfs/GMD-C-1834-200.pdf#page=4","Abrir facsímil")</f>
        <v>Abrir facsímil</v>
      </c>
      <c r="K6234" s="10" t="s">
        <v>24</v>
      </c>
    </row>
    <row r="6235" spans="1:11" ht="54" customHeight="1">
      <c r="A6235" s="9" t="s">
        <v>14464</v>
      </c>
      <c r="B6235" s="9" t="s">
        <v>14464</v>
      </c>
      <c r="C6235" s="9" t="s">
        <v>17</v>
      </c>
      <c r="D6235" s="9" t="s">
        <v>40</v>
      </c>
      <c r="E6235" s="10" t="s">
        <v>364</v>
      </c>
      <c r="F6235" s="9" t="s">
        <v>365</v>
      </c>
      <c r="G6235" s="10" t="s">
        <v>28</v>
      </c>
      <c r="H6235" s="9" t="s">
        <v>22</v>
      </c>
      <c r="I6235" s="9" t="s">
        <v>14466</v>
      </c>
      <c r="J6235" s="10" t="str">
        <f>HYPERLINK("https://www.boe.es/gazeta/dias/1834/09/06/pdfs/GMD-C-1834-204.pdf#page=5","Abrir facsímil")</f>
        <v>Abrir facsímil</v>
      </c>
      <c r="K6235" s="10" t="s">
        <v>24</v>
      </c>
    </row>
    <row r="6236" spans="1:11" ht="54" customHeight="1">
      <c r="A6236" s="9" t="s">
        <v>14464</v>
      </c>
      <c r="B6236" s="9" t="s">
        <v>14464</v>
      </c>
      <c r="C6236" s="9" t="s">
        <v>17</v>
      </c>
      <c r="D6236" s="9" t="s">
        <v>18</v>
      </c>
      <c r="E6236" s="10" t="s">
        <v>1410</v>
      </c>
      <c r="F6236" s="9" t="s">
        <v>2231</v>
      </c>
      <c r="G6236" s="10" t="s">
        <v>34</v>
      </c>
      <c r="H6236" s="9" t="s">
        <v>22</v>
      </c>
      <c r="I6236" s="9" t="s">
        <v>14467</v>
      </c>
      <c r="J6236" s="10" t="str">
        <f>HYPERLINK("https://www.boe.es/gazeta/dias/1834/09/09/pdfs/GMD-C-1834-207.pdf#page=1","Abrir facsímil")</f>
        <v>Abrir facsímil</v>
      </c>
      <c r="K6236" s="10" t="s">
        <v>24</v>
      </c>
    </row>
    <row r="6237" spans="1:11" ht="54" customHeight="1">
      <c r="A6237" s="9" t="s">
        <v>14464</v>
      </c>
      <c r="B6237" s="9" t="s">
        <v>14464</v>
      </c>
      <c r="C6237" s="9" t="s">
        <v>17</v>
      </c>
      <c r="D6237" s="9" t="s">
        <v>18</v>
      </c>
      <c r="E6237" s="10" t="s">
        <v>1195</v>
      </c>
      <c r="F6237" s="9" t="s">
        <v>1196</v>
      </c>
      <c r="G6237" s="10" t="s">
        <v>86</v>
      </c>
      <c r="H6237" s="9" t="s">
        <v>22</v>
      </c>
      <c r="I6237" s="9" t="s">
        <v>14468</v>
      </c>
      <c r="J6237" s="10" t="str">
        <f>HYPERLINK("https://www.boe.es/gazeta/dias/1834/10/17/pdfs/GMD-C-1834-245.pdf#page=2","Abrir facsímil")</f>
        <v>Abrir facsímil</v>
      </c>
      <c r="K6237" s="10" t="s">
        <v>24</v>
      </c>
    </row>
    <row r="6238" spans="1:11" ht="54" customHeight="1">
      <c r="A6238" s="9" t="s">
        <v>14464</v>
      </c>
      <c r="B6238" s="9" t="s">
        <v>14464</v>
      </c>
      <c r="C6238" s="9" t="s">
        <v>17</v>
      </c>
      <c r="D6238" s="9" t="s">
        <v>18</v>
      </c>
      <c r="E6238" s="10" t="s">
        <v>262</v>
      </c>
      <c r="F6238" s="9" t="s">
        <v>263</v>
      </c>
      <c r="G6238" s="10" t="s">
        <v>28</v>
      </c>
      <c r="H6238" s="9" t="s">
        <v>22</v>
      </c>
      <c r="I6238" s="9" t="s">
        <v>14469</v>
      </c>
      <c r="J6238" s="10" t="str">
        <f>HYPERLINK("https://www.boe.es/gazeta/dias/1834/10/18/pdfs/GMD-C-1834-246.pdf#page=5","Abrir facsímil")</f>
        <v>Abrir facsímil</v>
      </c>
      <c r="K6238" s="10" t="s">
        <v>24</v>
      </c>
    </row>
    <row r="6239" spans="1:11" ht="54" customHeight="1">
      <c r="A6239" s="9" t="s">
        <v>14464</v>
      </c>
      <c r="B6239" s="9" t="s">
        <v>14464</v>
      </c>
      <c r="C6239" s="9" t="s">
        <v>17</v>
      </c>
      <c r="D6239" s="9" t="s">
        <v>18</v>
      </c>
      <c r="E6239" s="10" t="s">
        <v>265</v>
      </c>
      <c r="F6239" s="9" t="s">
        <v>266</v>
      </c>
      <c r="G6239" s="10" t="s">
        <v>86</v>
      </c>
      <c r="H6239" s="9" t="s">
        <v>22</v>
      </c>
      <c r="I6239" s="9" t="s">
        <v>14470</v>
      </c>
      <c r="J6239" s="10" t="str">
        <f>HYPERLINK("https://www.boe.es/gazeta/dias/1834/11/19/pdfs/GMD-C-1834-278.pdf#page=2","Abrir facsímil")</f>
        <v>Abrir facsímil</v>
      </c>
      <c r="K6239" s="10" t="s">
        <v>24</v>
      </c>
    </row>
    <row r="6240" spans="1:11" ht="54" customHeight="1">
      <c r="A6240" s="9" t="s">
        <v>14464</v>
      </c>
      <c r="B6240" s="9" t="s">
        <v>14464</v>
      </c>
      <c r="C6240" s="9" t="s">
        <v>17</v>
      </c>
      <c r="D6240" s="9" t="s">
        <v>18</v>
      </c>
      <c r="E6240" s="10" t="s">
        <v>378</v>
      </c>
      <c r="F6240" s="9" t="s">
        <v>888</v>
      </c>
      <c r="G6240" s="10" t="s">
        <v>28</v>
      </c>
      <c r="H6240" s="9" t="s">
        <v>22</v>
      </c>
      <c r="I6240" s="9" t="s">
        <v>14471</v>
      </c>
      <c r="J6240" s="10" t="str">
        <f>HYPERLINK("https://www.boe.es/gazeta/dias/1834/09/24/pdfs/GMD-C-1834-222.pdf#page=5","Abrir facsímil")</f>
        <v>Abrir facsímil</v>
      </c>
      <c r="K6240" s="10" t="s">
        <v>24</v>
      </c>
    </row>
    <row r="6241" spans="1:11" ht="54" customHeight="1">
      <c r="A6241" s="9" t="s">
        <v>14464</v>
      </c>
      <c r="B6241" s="9" t="s">
        <v>14464</v>
      </c>
      <c r="C6241" s="9" t="s">
        <v>17</v>
      </c>
      <c r="D6241" s="9" t="s">
        <v>18</v>
      </c>
      <c r="E6241" s="10" t="s">
        <v>707</v>
      </c>
      <c r="F6241" s="9" t="s">
        <v>708</v>
      </c>
      <c r="G6241" s="10" t="s">
        <v>470</v>
      </c>
      <c r="H6241" s="9" t="s">
        <v>22</v>
      </c>
      <c r="I6241" s="9" t="s">
        <v>14472</v>
      </c>
      <c r="J6241" s="10" t="str">
        <f>HYPERLINK("https://www.boe.es/gazeta/dias/1834/11/25/pdfs/GMD-C-1834-284.pdf#page=8","Abrir facsímil")</f>
        <v>Abrir facsímil</v>
      </c>
      <c r="K6241" s="10" t="s">
        <v>24</v>
      </c>
    </row>
    <row r="6242" spans="1:11" ht="54" customHeight="1">
      <c r="A6242" s="9" t="s">
        <v>14464</v>
      </c>
      <c r="B6242" s="9" t="s">
        <v>14464</v>
      </c>
      <c r="C6242" s="9" t="s">
        <v>17</v>
      </c>
      <c r="D6242" s="9" t="s">
        <v>18</v>
      </c>
      <c r="E6242" s="10" t="s">
        <v>465</v>
      </c>
      <c r="F6242" s="9" t="s">
        <v>466</v>
      </c>
      <c r="G6242" s="10" t="s">
        <v>21</v>
      </c>
      <c r="H6242" s="9" t="s">
        <v>22</v>
      </c>
      <c r="I6242" s="9" t="s">
        <v>14473</v>
      </c>
      <c r="J6242" s="10" t="str">
        <f>HYPERLINK("https://www.boe.es/gazeta/dias/1834/11/27/pdfs/GMD-C-1834-286.pdf#page=3","Abrir facsímil")</f>
        <v>Abrir facsímil</v>
      </c>
      <c r="K6242" s="10" t="s">
        <v>24</v>
      </c>
    </row>
    <row r="6243" spans="1:11" ht="54" customHeight="1">
      <c r="A6243" s="9" t="s">
        <v>14464</v>
      </c>
      <c r="B6243" s="9" t="s">
        <v>14464</v>
      </c>
      <c r="C6243" s="9" t="s">
        <v>17</v>
      </c>
      <c r="D6243" s="9" t="s">
        <v>18</v>
      </c>
      <c r="E6243" s="10" t="s">
        <v>280</v>
      </c>
      <c r="F6243" s="9" t="s">
        <v>281</v>
      </c>
      <c r="G6243" s="10" t="s">
        <v>75</v>
      </c>
      <c r="H6243" s="9" t="s">
        <v>22</v>
      </c>
      <c r="I6243" s="9" t="s">
        <v>14474</v>
      </c>
      <c r="J6243" s="10" t="str">
        <f>HYPERLINK("https://www.boe.es/gazeta/dias/1834/08/29/pdfs/GMD-C-1834-195.pdf#page=4","Abrir facsímil")</f>
        <v>Abrir facsímil</v>
      </c>
      <c r="K6243" s="10" t="s">
        <v>24</v>
      </c>
    </row>
    <row r="6244" spans="1:11" ht="54" customHeight="1">
      <c r="A6244" s="9" t="s">
        <v>14464</v>
      </c>
      <c r="B6244" s="9" t="s">
        <v>14464</v>
      </c>
      <c r="C6244" s="9" t="s">
        <v>17</v>
      </c>
      <c r="D6244" s="9" t="s">
        <v>18</v>
      </c>
      <c r="E6244" s="10" t="s">
        <v>273</v>
      </c>
      <c r="F6244" s="9" t="s">
        <v>274</v>
      </c>
      <c r="G6244" s="10" t="s">
        <v>176</v>
      </c>
      <c r="H6244" s="9" t="s">
        <v>22</v>
      </c>
      <c r="I6244" s="9" t="s">
        <v>14475</v>
      </c>
      <c r="J6244" s="10" t="str">
        <f>HYPERLINK("https://www.boe.es/gazeta/dias/1834/08/31/pdfs/GMD-D-1834-198.pdf#page=6","Abrir facsímil")</f>
        <v>Abrir facsímil</v>
      </c>
      <c r="K6244" s="10" t="s">
        <v>24</v>
      </c>
    </row>
    <row r="6245" spans="1:11" ht="54" customHeight="1">
      <c r="A6245" s="9" t="s">
        <v>14476</v>
      </c>
      <c r="B6245" s="9" t="s">
        <v>14477</v>
      </c>
      <c r="C6245" s="9" t="s">
        <v>90</v>
      </c>
      <c r="D6245" s="9" t="s">
        <v>18</v>
      </c>
      <c r="E6245" s="10" t="s">
        <v>729</v>
      </c>
      <c r="F6245" s="9" t="s">
        <v>730</v>
      </c>
      <c r="G6245" s="10" t="s">
        <v>34</v>
      </c>
      <c r="H6245" s="9" t="s">
        <v>22</v>
      </c>
      <c r="I6245" s="9" t="s">
        <v>14478</v>
      </c>
      <c r="J6245" s="10" t="str">
        <f>HYPERLINK("https://www.boe.es/gazeta/dias/1834/04/13/pdfs/GMD-1834-52.pdf#page=1","Abrir facsímil")</f>
        <v>Abrir facsímil</v>
      </c>
      <c r="K6245" s="10" t="s">
        <v>24</v>
      </c>
    </row>
    <row r="6246" spans="1:11" ht="54" customHeight="1">
      <c r="A6246" s="9" t="s">
        <v>14479</v>
      </c>
      <c r="B6246" s="9" t="s">
        <v>14480</v>
      </c>
      <c r="C6246" s="9" t="s">
        <v>66</v>
      </c>
      <c r="D6246" s="9" t="s">
        <v>67</v>
      </c>
      <c r="E6246" s="10" t="s">
        <v>2306</v>
      </c>
      <c r="F6246" s="9" t="s">
        <v>2307</v>
      </c>
      <c r="G6246" s="10" t="s">
        <v>21</v>
      </c>
      <c r="H6246" s="9" t="s">
        <v>22</v>
      </c>
      <c r="I6246" s="9" t="s">
        <v>14481</v>
      </c>
      <c r="J6246" s="10" t="str">
        <f>HYPERLINK("https://www.boe.es/gazeta/dias/1834/04/26/pdfs/GMD-1834-65.pdf#page=3","Abrir facsímil")</f>
        <v>Abrir facsímil</v>
      </c>
      <c r="K6246" s="10" t="s">
        <v>24</v>
      </c>
    </row>
    <row r="6247" spans="1:11" ht="54" customHeight="1">
      <c r="A6247" s="9" t="s">
        <v>14482</v>
      </c>
      <c r="B6247" s="9" t="s">
        <v>14483</v>
      </c>
      <c r="C6247" s="9" t="s">
        <v>66</v>
      </c>
      <c r="D6247" s="9" t="s">
        <v>67</v>
      </c>
      <c r="E6247" s="10" t="s">
        <v>2306</v>
      </c>
      <c r="F6247" s="9" t="s">
        <v>2307</v>
      </c>
      <c r="G6247" s="10" t="s">
        <v>21</v>
      </c>
      <c r="H6247" s="9" t="s">
        <v>35</v>
      </c>
      <c r="I6247" s="9" t="s">
        <v>14484</v>
      </c>
      <c r="J6247" s="10" t="str">
        <f>HYPERLINK("https://www.boe.es/gazeta/dias/1834/04/26/pdfs/GMD-1834-65.pdf#page=3","Abrir facsímil")</f>
        <v>Abrir facsímil</v>
      </c>
      <c r="K6247" s="10" t="s">
        <v>37</v>
      </c>
    </row>
    <row r="6248" spans="1:11" ht="54" customHeight="1">
      <c r="A6248" s="9" t="s">
        <v>14485</v>
      </c>
      <c r="B6248" s="9" t="s">
        <v>14486</v>
      </c>
      <c r="C6248" s="9" t="s">
        <v>66</v>
      </c>
      <c r="D6248" s="9" t="s">
        <v>101</v>
      </c>
      <c r="E6248" s="10" t="s">
        <v>658</v>
      </c>
      <c r="F6248" s="9" t="s">
        <v>659</v>
      </c>
      <c r="G6248" s="10" t="s">
        <v>34</v>
      </c>
      <c r="H6248" s="9" t="s">
        <v>22</v>
      </c>
      <c r="I6248" s="9" t="s">
        <v>14487</v>
      </c>
      <c r="J6248" s="10" t="str">
        <f>HYPERLINK("https://www.boe.es/gazeta/dias/1834/05/26/pdfs/GMD-1834-95.pdf#page=1","Abrir facsímil")</f>
        <v>Abrir facsímil</v>
      </c>
      <c r="K6248" s="10" t="s">
        <v>24</v>
      </c>
    </row>
    <row r="6249" spans="1:11" ht="54" customHeight="1">
      <c r="A6249" s="9" t="s">
        <v>14488</v>
      </c>
      <c r="B6249" s="9" t="s">
        <v>14489</v>
      </c>
      <c r="C6249" s="9" t="s">
        <v>17</v>
      </c>
      <c r="D6249" s="9" t="s">
        <v>18</v>
      </c>
      <c r="E6249" s="10" t="s">
        <v>1084</v>
      </c>
      <c r="F6249" s="9" t="s">
        <v>1085</v>
      </c>
      <c r="G6249" s="10" t="s">
        <v>28</v>
      </c>
      <c r="H6249" s="9" t="s">
        <v>35</v>
      </c>
      <c r="I6249" s="9" t="s">
        <v>14490</v>
      </c>
      <c r="J6249" s="10" t="str">
        <f>HYPERLINK("https://www.boe.es/gazeta/dias/1834/05/01/pdfs/GMD-1834-70.pdf#page=5","Abrir facsímil")</f>
        <v>Abrir facsímil</v>
      </c>
      <c r="K6249" s="10" t="s">
        <v>37</v>
      </c>
    </row>
    <row r="6250" spans="1:11" ht="54" customHeight="1">
      <c r="A6250" s="9" t="s">
        <v>14491</v>
      </c>
      <c r="B6250" s="9" t="s">
        <v>14492</v>
      </c>
      <c r="C6250" s="9" t="s">
        <v>17</v>
      </c>
      <c r="D6250" s="9" t="s">
        <v>18</v>
      </c>
      <c r="E6250" s="10" t="s">
        <v>1084</v>
      </c>
      <c r="F6250" s="9" t="s">
        <v>1085</v>
      </c>
      <c r="G6250" s="10" t="s">
        <v>28</v>
      </c>
      <c r="H6250" s="9" t="s">
        <v>22</v>
      </c>
      <c r="I6250" s="9" t="s">
        <v>14493</v>
      </c>
      <c r="J6250" s="10" t="str">
        <f>HYPERLINK("https://www.boe.es/gazeta/dias/1834/05/01/pdfs/GMD-1834-70.pdf#page=5","Abrir facsímil")</f>
        <v>Abrir facsímil</v>
      </c>
      <c r="K6250" s="10" t="s">
        <v>24</v>
      </c>
    </row>
    <row r="6251" spans="1:11" ht="54" customHeight="1">
      <c r="A6251" s="9" t="s">
        <v>14494</v>
      </c>
      <c r="B6251" s="9" t="s">
        <v>14495</v>
      </c>
      <c r="C6251" s="9" t="s">
        <v>17</v>
      </c>
      <c r="D6251" s="9" t="s">
        <v>18</v>
      </c>
      <c r="E6251" s="10" t="s">
        <v>672</v>
      </c>
      <c r="F6251" s="9" t="s">
        <v>673</v>
      </c>
      <c r="G6251" s="10" t="s">
        <v>21</v>
      </c>
      <c r="H6251" s="9" t="s">
        <v>22</v>
      </c>
      <c r="I6251" s="9" t="s">
        <v>14496</v>
      </c>
      <c r="J6251" s="10" t="str">
        <f>HYPERLINK("https://www.boe.es/gazeta/dias/1834/09/19/pdfs/GMD-1834-217.pdf#page=3","Abrir facsímil")</f>
        <v>Abrir facsímil</v>
      </c>
      <c r="K6251" s="10" t="s">
        <v>24</v>
      </c>
    </row>
    <row r="6252" spans="1:11" ht="54" customHeight="1">
      <c r="A6252" s="9" t="s">
        <v>14497</v>
      </c>
      <c r="B6252" s="9" t="s">
        <v>14497</v>
      </c>
      <c r="C6252" s="9" t="s">
        <v>17</v>
      </c>
      <c r="D6252" s="9" t="s">
        <v>18</v>
      </c>
      <c r="E6252" s="10" t="s">
        <v>378</v>
      </c>
      <c r="F6252" s="9" t="s">
        <v>379</v>
      </c>
      <c r="G6252" s="10" t="s">
        <v>75</v>
      </c>
      <c r="H6252" s="9" t="s">
        <v>22</v>
      </c>
      <c r="I6252" s="9" t="s">
        <v>14498</v>
      </c>
      <c r="J6252" s="10" t="str">
        <f>HYPERLINK("https://www.boe.es/gazeta/dias/1834/09/24/pdfs/GMD-1834-222.pdf#page=4","Abrir facsímil")</f>
        <v>Abrir facsímil</v>
      </c>
      <c r="K6252" s="10" t="s">
        <v>24</v>
      </c>
    </row>
    <row r="6253" spans="1:11" ht="54" customHeight="1">
      <c r="A6253" s="9" t="s">
        <v>14499</v>
      </c>
      <c r="B6253" s="9" t="s">
        <v>14500</v>
      </c>
      <c r="C6253" s="9" t="s">
        <v>66</v>
      </c>
      <c r="D6253" s="9" t="s">
        <v>67</v>
      </c>
      <c r="E6253" s="10" t="s">
        <v>1234</v>
      </c>
      <c r="F6253" s="9" t="s">
        <v>1235</v>
      </c>
      <c r="G6253" s="10" t="s">
        <v>34</v>
      </c>
      <c r="H6253" s="9" t="s">
        <v>22</v>
      </c>
      <c r="I6253" s="9" t="s">
        <v>14501</v>
      </c>
      <c r="J6253" s="10" t="str">
        <f>HYPERLINK("https://www.boe.es/gazeta/dias/1834/05/15/pdfs/GMD-C-1834-84.pdf#page=1","Abrir facsímil")</f>
        <v>Abrir facsímil</v>
      </c>
      <c r="K6253" s="10" t="s">
        <v>24</v>
      </c>
    </row>
    <row r="6254" spans="1:11" ht="54" customHeight="1">
      <c r="A6254" s="9" t="s">
        <v>14502</v>
      </c>
      <c r="B6254" s="9" t="s">
        <v>14503</v>
      </c>
      <c r="C6254" s="9" t="s">
        <v>66</v>
      </c>
      <c r="D6254" s="9" t="s">
        <v>67</v>
      </c>
      <c r="E6254" s="10" t="s">
        <v>1234</v>
      </c>
      <c r="F6254" s="9" t="s">
        <v>1235</v>
      </c>
      <c r="G6254" s="10" t="s">
        <v>34</v>
      </c>
      <c r="H6254" s="9" t="s">
        <v>35</v>
      </c>
      <c r="I6254" s="9" t="s">
        <v>14504</v>
      </c>
      <c r="J6254" s="10" t="str">
        <f>HYPERLINK("https://www.boe.es/gazeta/dias/1834/05/15/pdfs/GMD-C-1834-84.pdf#page=1","Abrir facsímil")</f>
        <v>Abrir facsímil</v>
      </c>
      <c r="K6254" s="10" t="s">
        <v>37</v>
      </c>
    </row>
    <row r="6255" spans="1:11" ht="54" customHeight="1">
      <c r="A6255" s="9" t="s">
        <v>14505</v>
      </c>
      <c r="B6255" s="9" t="s">
        <v>14506</v>
      </c>
      <c r="C6255" s="9" t="s">
        <v>17</v>
      </c>
      <c r="D6255" s="9" t="s">
        <v>40</v>
      </c>
      <c r="E6255" s="10" t="s">
        <v>2053</v>
      </c>
      <c r="F6255" s="9" t="s">
        <v>2054</v>
      </c>
      <c r="G6255" s="10" t="s">
        <v>75</v>
      </c>
      <c r="H6255" s="9" t="s">
        <v>22</v>
      </c>
      <c r="I6255" s="9" t="s">
        <v>14507</v>
      </c>
      <c r="J6255" s="10" t="str">
        <f>HYPERLINK("https://www.boe.es/gazeta/dias/1834/06/02/pdfs/GMD-1834-103.pdf#page=4","Abrir facsímil")</f>
        <v>Abrir facsímil</v>
      </c>
      <c r="K6255" s="10" t="s">
        <v>24</v>
      </c>
    </row>
    <row r="6256" spans="1:11" ht="54" customHeight="1">
      <c r="A6256" s="9" t="s">
        <v>14508</v>
      </c>
      <c r="B6256" s="9" t="s">
        <v>14508</v>
      </c>
      <c r="C6256" s="9" t="s">
        <v>17</v>
      </c>
      <c r="D6256" s="9" t="s">
        <v>40</v>
      </c>
      <c r="E6256" s="10" t="s">
        <v>5574</v>
      </c>
      <c r="F6256" s="9" t="s">
        <v>5575</v>
      </c>
      <c r="G6256" s="10" t="s">
        <v>86</v>
      </c>
      <c r="H6256" s="9" t="s">
        <v>22</v>
      </c>
      <c r="I6256" s="9" t="s">
        <v>14509</v>
      </c>
      <c r="J6256" s="10" t="str">
        <f>HYPERLINK("https://www.boe.es/gazeta/dias/1834/06/16/pdfs/GMD-1834-119.pdf#page=2","Abrir facsímil")</f>
        <v>Abrir facsímil</v>
      </c>
      <c r="K6256" s="10" t="s">
        <v>24</v>
      </c>
    </row>
    <row r="6257" spans="1:11" ht="54" customHeight="1">
      <c r="A6257" s="9" t="s">
        <v>14510</v>
      </c>
      <c r="B6257" s="9" t="s">
        <v>14510</v>
      </c>
      <c r="C6257" s="9" t="s">
        <v>17</v>
      </c>
      <c r="D6257" s="9" t="s">
        <v>18</v>
      </c>
      <c r="E6257" s="10" t="s">
        <v>4736</v>
      </c>
      <c r="F6257" s="9" t="s">
        <v>4737</v>
      </c>
      <c r="G6257" s="10" t="s">
        <v>86</v>
      </c>
      <c r="H6257" s="9" t="s">
        <v>22</v>
      </c>
      <c r="I6257" s="9" t="s">
        <v>14511</v>
      </c>
      <c r="J6257" s="10" t="str">
        <f>HYPERLINK("https://www.boe.es/gazeta/dias/1834/09/16/pdfs/GMD-1834-214.pdf#page=2","Abrir facsímil")</f>
        <v>Abrir facsímil</v>
      </c>
      <c r="K6257" s="10" t="s">
        <v>24</v>
      </c>
    </row>
    <row r="6258" spans="1:11" ht="54" customHeight="1">
      <c r="A6258" s="9" t="s">
        <v>14512</v>
      </c>
      <c r="B6258" s="9" t="s">
        <v>14512</v>
      </c>
      <c r="C6258" s="9" t="s">
        <v>66</v>
      </c>
      <c r="D6258" s="9" t="s">
        <v>67</v>
      </c>
      <c r="E6258" s="10" t="s">
        <v>4736</v>
      </c>
      <c r="F6258" s="9" t="s">
        <v>4737</v>
      </c>
      <c r="G6258" s="10" t="s">
        <v>86</v>
      </c>
      <c r="H6258" s="9" t="s">
        <v>22</v>
      </c>
      <c r="I6258" s="9" t="s">
        <v>14513</v>
      </c>
      <c r="J6258" s="10" t="str">
        <f>HYPERLINK("https://www.boe.es/gazeta/dias/1834/09/16/pdfs/GMD-1834-214.pdf#page=2","Abrir facsímil")</f>
        <v>Abrir facsímil</v>
      </c>
      <c r="K6258" s="10" t="s">
        <v>24</v>
      </c>
    </row>
    <row r="6259" spans="1:11" ht="54" customHeight="1">
      <c r="A6259" s="9" t="s">
        <v>14514</v>
      </c>
      <c r="B6259" s="9" t="s">
        <v>14515</v>
      </c>
      <c r="C6259" s="9" t="s">
        <v>17</v>
      </c>
      <c r="D6259" s="9" t="s">
        <v>18</v>
      </c>
      <c r="E6259" s="10" t="s">
        <v>416</v>
      </c>
      <c r="F6259" s="9" t="s">
        <v>1130</v>
      </c>
      <c r="G6259" s="10" t="s">
        <v>86</v>
      </c>
      <c r="H6259" s="9" t="s">
        <v>22</v>
      </c>
      <c r="I6259" s="9" t="s">
        <v>14516</v>
      </c>
      <c r="J6259" s="10" t="str">
        <f>HYPERLINK("https://www.boe.es/gazeta/dias/1834/10/02/pdfs/GMD-1834-230.pdf#page=2","Abrir facsímil")</f>
        <v>Abrir facsímil</v>
      </c>
      <c r="K6259" s="10" t="s">
        <v>24</v>
      </c>
    </row>
    <row r="6260" spans="1:11" ht="54" customHeight="1">
      <c r="A6260" s="9" t="s">
        <v>14517</v>
      </c>
      <c r="B6260" s="9" t="s">
        <v>14518</v>
      </c>
      <c r="C6260" s="9" t="s">
        <v>46</v>
      </c>
      <c r="D6260" s="9" t="s">
        <v>101</v>
      </c>
      <c r="E6260" s="10" t="s">
        <v>394</v>
      </c>
      <c r="F6260" s="9" t="s">
        <v>395</v>
      </c>
      <c r="G6260" s="10" t="s">
        <v>21</v>
      </c>
      <c r="H6260" s="9" t="s">
        <v>35</v>
      </c>
      <c r="I6260" s="9" t="s">
        <v>14519</v>
      </c>
      <c r="J6260" s="10" t="str">
        <f>HYPERLINK("https://www.boe.es/gazeta/dias/1834/12/23/pdfs/GMD-1834-313.pdf#page=3","Abrir facsímil")</f>
        <v>Abrir facsímil</v>
      </c>
      <c r="K6260" s="10" t="s">
        <v>37</v>
      </c>
    </row>
    <row r="6261" spans="1:11" ht="54" customHeight="1">
      <c r="A6261" s="9" t="s">
        <v>14520</v>
      </c>
      <c r="B6261" s="9" t="s">
        <v>14521</v>
      </c>
      <c r="C6261" s="9" t="s">
        <v>46</v>
      </c>
      <c r="D6261" s="9" t="s">
        <v>101</v>
      </c>
      <c r="E6261" s="10" t="s">
        <v>394</v>
      </c>
      <c r="F6261" s="9" t="s">
        <v>395</v>
      </c>
      <c r="G6261" s="10" t="s">
        <v>21</v>
      </c>
      <c r="H6261" s="9" t="s">
        <v>22</v>
      </c>
      <c r="I6261" s="9" t="s">
        <v>14522</v>
      </c>
      <c r="J6261" s="10" t="str">
        <f>HYPERLINK("https://www.boe.es/gazeta/dias/1834/12/23/pdfs/GMD-1834-313.pdf#page=3","Abrir facsímil")</f>
        <v>Abrir facsímil</v>
      </c>
      <c r="K6261" s="10" t="s">
        <v>24</v>
      </c>
    </row>
    <row r="6262" spans="1:11" ht="54" customHeight="1">
      <c r="A6262" s="9" t="s">
        <v>14523</v>
      </c>
      <c r="B6262" s="9" t="s">
        <v>14523</v>
      </c>
      <c r="C6262" s="9" t="s">
        <v>46</v>
      </c>
      <c r="D6262" s="9" t="s">
        <v>18</v>
      </c>
      <c r="E6262" s="10" t="s">
        <v>506</v>
      </c>
      <c r="F6262" s="9" t="s">
        <v>507</v>
      </c>
      <c r="G6262" s="10" t="s">
        <v>75</v>
      </c>
      <c r="H6262" s="9" t="s">
        <v>22</v>
      </c>
      <c r="I6262" s="9" t="s">
        <v>14524</v>
      </c>
      <c r="J6262" s="10" t="str">
        <f>HYPERLINK("https://www.boe.es/gazeta/dias/1834/03/04/pdfs/GMD-1834-28.pdf#page=4","Abrir facsímil")</f>
        <v>Abrir facsímil</v>
      </c>
      <c r="K6262" s="10" t="s">
        <v>24</v>
      </c>
    </row>
    <row r="6263" spans="1:11" ht="54" customHeight="1">
      <c r="A6263" s="9" t="s">
        <v>14525</v>
      </c>
      <c r="B6263" s="9" t="s">
        <v>14525</v>
      </c>
      <c r="C6263" s="9" t="s">
        <v>90</v>
      </c>
      <c r="D6263" s="9" t="s">
        <v>67</v>
      </c>
      <c r="E6263" s="10" t="s">
        <v>183</v>
      </c>
      <c r="F6263" s="9" t="s">
        <v>184</v>
      </c>
      <c r="G6263" s="10" t="s">
        <v>21</v>
      </c>
      <c r="H6263" s="9" t="s">
        <v>22</v>
      </c>
      <c r="I6263" s="9" t="s">
        <v>14526</v>
      </c>
      <c r="J6263" s="10" t="str">
        <f>HYPERLINK("https://www.boe.es/gazeta/dias/1834/03/18/pdfs/GMD-1834-34.pdf#page=3","Abrir facsímil")</f>
        <v>Abrir facsímil</v>
      </c>
      <c r="K6263" s="10" t="s">
        <v>24</v>
      </c>
    </row>
    <row r="6264" spans="1:11" ht="54" customHeight="1">
      <c r="A6264" s="9" t="s">
        <v>14527</v>
      </c>
      <c r="B6264" s="9" t="s">
        <v>14527</v>
      </c>
      <c r="C6264" s="9" t="s">
        <v>46</v>
      </c>
      <c r="D6264" s="9" t="s">
        <v>55</v>
      </c>
      <c r="E6264" s="10" t="s">
        <v>2729</v>
      </c>
      <c r="F6264" s="9" t="s">
        <v>2730</v>
      </c>
      <c r="G6264" s="10" t="s">
        <v>86</v>
      </c>
      <c r="H6264" s="9" t="s">
        <v>22</v>
      </c>
      <c r="I6264" s="9" t="s">
        <v>14528</v>
      </c>
      <c r="J6264" s="10" t="str">
        <f>HYPERLINK("https://www.boe.es/gazeta/dias/1834/07/02/pdfs/GMD-1834-135.pdf#page=2","Abrir facsímil")</f>
        <v>Abrir facsímil</v>
      </c>
      <c r="K6264" s="10" t="s">
        <v>24</v>
      </c>
    </row>
    <row r="6265" spans="1:11" ht="54" customHeight="1">
      <c r="A6265" s="9" t="s">
        <v>14529</v>
      </c>
      <c r="B6265" s="9" t="s">
        <v>14529</v>
      </c>
      <c r="C6265" s="9" t="s">
        <v>17</v>
      </c>
      <c r="D6265" s="9" t="s">
        <v>18</v>
      </c>
      <c r="E6265" s="10" t="s">
        <v>777</v>
      </c>
      <c r="F6265" s="9" t="s">
        <v>2535</v>
      </c>
      <c r="G6265" s="10" t="s">
        <v>34</v>
      </c>
      <c r="H6265" s="9" t="s">
        <v>22</v>
      </c>
      <c r="I6265" s="9" t="s">
        <v>14530</v>
      </c>
      <c r="J6265" s="10" t="str">
        <f>HYPERLINK("https://www.boe.es/gazeta/dias/1834/10/29/pdfs/GMD-C-1834-257.pdf#page=1","Abrir facsímil")</f>
        <v>Abrir facsímil</v>
      </c>
      <c r="K6265" s="10" t="s">
        <v>24</v>
      </c>
    </row>
    <row r="6266" spans="1:11" ht="54" customHeight="1">
      <c r="A6266" s="9" t="s">
        <v>14531</v>
      </c>
      <c r="B6266" s="9" t="s">
        <v>14532</v>
      </c>
      <c r="C6266" s="9" t="s">
        <v>46</v>
      </c>
      <c r="D6266" s="9" t="s">
        <v>101</v>
      </c>
      <c r="E6266" s="10" t="s">
        <v>777</v>
      </c>
      <c r="F6266" s="9" t="s">
        <v>2535</v>
      </c>
      <c r="G6266" s="10" t="s">
        <v>34</v>
      </c>
      <c r="H6266" s="9" t="s">
        <v>35</v>
      </c>
      <c r="I6266" s="9" t="s">
        <v>14533</v>
      </c>
      <c r="J6266" s="10" t="str">
        <f>HYPERLINK("https://www.boe.es/gazeta/dias/1834/10/29/pdfs/GMD-C-1834-257.pdf#page=1","Abrir facsímil")</f>
        <v>Abrir facsímil</v>
      </c>
      <c r="K6266" s="10" t="s">
        <v>37</v>
      </c>
    </row>
    <row r="6267" spans="1:11" ht="54" customHeight="1">
      <c r="A6267" s="9" t="s">
        <v>14534</v>
      </c>
      <c r="B6267" s="9" t="s">
        <v>14535</v>
      </c>
      <c r="C6267" s="9" t="s">
        <v>17</v>
      </c>
      <c r="D6267" s="9" t="s">
        <v>18</v>
      </c>
      <c r="E6267" s="10" t="s">
        <v>299</v>
      </c>
      <c r="F6267" s="9" t="s">
        <v>2255</v>
      </c>
      <c r="G6267" s="10" t="s">
        <v>34</v>
      </c>
      <c r="H6267" s="9" t="s">
        <v>35</v>
      </c>
      <c r="I6267" s="9" t="s">
        <v>14536</v>
      </c>
      <c r="J6267" s="10" t="str">
        <f>HYPERLINK("https://www.boe.es/gazeta/dias/1834/12/12/pdfs/GMD-C-1834-301.pdf#page=1","Abrir facsímil")</f>
        <v>Abrir facsímil</v>
      </c>
      <c r="K6267" s="10" t="s">
        <v>37</v>
      </c>
    </row>
    <row r="6268" spans="1:11" ht="54" customHeight="1">
      <c r="A6268" s="9" t="s">
        <v>14537</v>
      </c>
      <c r="B6268" s="9" t="s">
        <v>14537</v>
      </c>
      <c r="C6268" s="9" t="s">
        <v>66</v>
      </c>
      <c r="D6268" s="9" t="s">
        <v>67</v>
      </c>
      <c r="E6268" s="10" t="s">
        <v>1170</v>
      </c>
      <c r="F6268" s="9" t="s">
        <v>1171</v>
      </c>
      <c r="G6268" s="10" t="s">
        <v>176</v>
      </c>
      <c r="H6268" s="9" t="s">
        <v>22</v>
      </c>
      <c r="I6268" s="9" t="s">
        <v>14538</v>
      </c>
      <c r="J6268" s="10" t="str">
        <f>HYPERLINK("https://www.boe.es/gazeta/dias/1834/01/07/pdfs/GMD-1834-4.pdf#page=6","Abrir facsímil")</f>
        <v>Abrir facsímil</v>
      </c>
      <c r="K6268" s="10" t="s">
        <v>24</v>
      </c>
    </row>
    <row r="6269" spans="1:11" ht="54" customHeight="1">
      <c r="A6269" s="9" t="s">
        <v>14539</v>
      </c>
      <c r="B6269" s="9" t="s">
        <v>14539</v>
      </c>
      <c r="C6269" s="9" t="s">
        <v>66</v>
      </c>
      <c r="D6269" s="9" t="s">
        <v>67</v>
      </c>
      <c r="E6269" s="10" t="s">
        <v>510</v>
      </c>
      <c r="F6269" s="9" t="s">
        <v>531</v>
      </c>
      <c r="G6269" s="10" t="s">
        <v>176</v>
      </c>
      <c r="H6269" s="9" t="s">
        <v>22</v>
      </c>
      <c r="I6269" s="9" t="s">
        <v>14540</v>
      </c>
      <c r="J6269" s="10" t="str">
        <f>HYPERLINK("https://www.boe.es/gazeta/dias/1834/11/26/pdfs/GMD-C-1834-285.pdf#page=6","Abrir facsímil")</f>
        <v>Abrir facsímil</v>
      </c>
      <c r="K6269" s="10" t="s">
        <v>24</v>
      </c>
    </row>
    <row r="6270" spans="1:11" ht="54" customHeight="1">
      <c r="A6270" s="9" t="s">
        <v>14541</v>
      </c>
      <c r="B6270" s="9" t="s">
        <v>14541</v>
      </c>
      <c r="C6270" s="9" t="s">
        <v>17</v>
      </c>
      <c r="D6270" s="9" t="s">
        <v>55</v>
      </c>
      <c r="E6270" s="10" t="s">
        <v>1674</v>
      </c>
      <c r="F6270" s="9" t="s">
        <v>1675</v>
      </c>
      <c r="G6270" s="10" t="s">
        <v>75</v>
      </c>
      <c r="H6270" s="9" t="s">
        <v>22</v>
      </c>
      <c r="I6270" s="9" t="s">
        <v>14542</v>
      </c>
      <c r="J6270" s="10" t="str">
        <f>HYPERLINK("https://www.boe.es/gazeta/dias/1834/07/25/pdfs/GMD-1834-158.pdf#page=4","Abrir facsímil")</f>
        <v>Abrir facsímil</v>
      </c>
      <c r="K6270" s="10" t="s">
        <v>24</v>
      </c>
    </row>
    <row r="6271" spans="1:11" ht="54" customHeight="1">
      <c r="A6271" s="9" t="s">
        <v>14543</v>
      </c>
      <c r="B6271" s="9" t="s">
        <v>14543</v>
      </c>
      <c r="C6271" s="9" t="s">
        <v>17</v>
      </c>
      <c r="D6271" s="9" t="s">
        <v>18</v>
      </c>
      <c r="E6271" s="10" t="s">
        <v>623</v>
      </c>
      <c r="F6271" s="9" t="s">
        <v>3442</v>
      </c>
      <c r="G6271" s="10" t="s">
        <v>21</v>
      </c>
      <c r="H6271" s="9" t="s">
        <v>22</v>
      </c>
      <c r="I6271" s="9" t="s">
        <v>14544</v>
      </c>
      <c r="J6271" s="10" t="str">
        <f>HYPERLINK("https://www.boe.es/gazeta/dias/1834/10/12/pdfs/GMD-1834-240.pdf#page=3","Abrir facsímil")</f>
        <v>Abrir facsímil</v>
      </c>
      <c r="K6271" s="10" t="s">
        <v>24</v>
      </c>
    </row>
    <row r="6272" spans="1:11" ht="54" customHeight="1">
      <c r="A6272" s="9" t="s">
        <v>14545</v>
      </c>
      <c r="B6272" s="9" t="s">
        <v>14546</v>
      </c>
      <c r="C6272" s="9" t="s">
        <v>17</v>
      </c>
      <c r="D6272" s="9" t="s">
        <v>18</v>
      </c>
      <c r="E6272" s="10" t="s">
        <v>777</v>
      </c>
      <c r="F6272" s="9" t="s">
        <v>2535</v>
      </c>
      <c r="G6272" s="10" t="s">
        <v>86</v>
      </c>
      <c r="H6272" s="9" t="s">
        <v>35</v>
      </c>
      <c r="I6272" s="9" t="s">
        <v>14547</v>
      </c>
      <c r="J6272" s="10" t="str">
        <f>HYPERLINK("https://www.boe.es/gazeta/dias/1834/10/29/pdfs/GMD-C-1834-257.pdf#page=2","Abrir facsímil")</f>
        <v>Abrir facsímil</v>
      </c>
      <c r="K6272" s="10" t="s">
        <v>37</v>
      </c>
    </row>
    <row r="6273" spans="1:11" ht="54" customHeight="1">
      <c r="A6273" s="9" t="s">
        <v>14548</v>
      </c>
      <c r="B6273" s="9" t="s">
        <v>14549</v>
      </c>
      <c r="C6273" s="9" t="s">
        <v>17</v>
      </c>
      <c r="D6273" s="9" t="s">
        <v>18</v>
      </c>
      <c r="E6273" s="10" t="s">
        <v>777</v>
      </c>
      <c r="F6273" s="9" t="s">
        <v>2535</v>
      </c>
      <c r="G6273" s="10" t="s">
        <v>86</v>
      </c>
      <c r="H6273" s="9" t="s">
        <v>22</v>
      </c>
      <c r="I6273" s="9" t="s">
        <v>14550</v>
      </c>
      <c r="J6273" s="10" t="str">
        <f>HYPERLINK("https://www.boe.es/gazeta/dias/1834/10/29/pdfs/GMD-C-1834-257.pdf#page=2","Abrir facsímil")</f>
        <v>Abrir facsímil</v>
      </c>
      <c r="K6273" s="10" t="s">
        <v>24</v>
      </c>
    </row>
    <row r="6274" spans="1:11" ht="54" customHeight="1">
      <c r="A6274" s="9" t="s">
        <v>14551</v>
      </c>
      <c r="B6274" s="9" t="s">
        <v>14552</v>
      </c>
      <c r="C6274" s="9" t="s">
        <v>17</v>
      </c>
      <c r="D6274" s="9" t="s">
        <v>101</v>
      </c>
      <c r="E6274" s="10" t="s">
        <v>3810</v>
      </c>
      <c r="F6274" s="9" t="s">
        <v>3811</v>
      </c>
      <c r="G6274" s="10" t="s">
        <v>34</v>
      </c>
      <c r="H6274" s="9" t="s">
        <v>35</v>
      </c>
      <c r="I6274" s="9" t="s">
        <v>14553</v>
      </c>
      <c r="J6274" s="10" t="str">
        <f>HYPERLINK("https://www.boe.es/gazeta/dias/1834/02/20/pdfs/GMD-1834-23.pdf#page=1","Abrir facsímil")</f>
        <v>Abrir facsímil</v>
      </c>
      <c r="K6274" s="10" t="s">
        <v>37</v>
      </c>
    </row>
    <row r="6275" spans="1:11" ht="54" customHeight="1">
      <c r="A6275" s="9" t="s">
        <v>14554</v>
      </c>
      <c r="B6275" s="9" t="s">
        <v>14554</v>
      </c>
      <c r="C6275" s="9" t="s">
        <v>17</v>
      </c>
      <c r="D6275" s="9" t="s">
        <v>18</v>
      </c>
      <c r="E6275" s="10" t="s">
        <v>981</v>
      </c>
      <c r="F6275" s="9" t="s">
        <v>3406</v>
      </c>
      <c r="G6275" s="10" t="s">
        <v>28</v>
      </c>
      <c r="H6275" s="9" t="s">
        <v>22</v>
      </c>
      <c r="I6275" s="9" t="s">
        <v>14555</v>
      </c>
      <c r="J6275" s="10" t="str">
        <f>HYPERLINK("https://www.boe.es/gazeta/dias/1834/09/21/pdfs/GMD-C-1834-219.pdf#page=5","Abrir facsímil")</f>
        <v>Abrir facsímil</v>
      </c>
      <c r="K6275" s="10" t="s">
        <v>24</v>
      </c>
    </row>
    <row r="6276" spans="1:11" ht="54" customHeight="1">
      <c r="A6276" s="9" t="s">
        <v>14556</v>
      </c>
      <c r="B6276" s="9" t="s">
        <v>14556</v>
      </c>
      <c r="C6276" s="9" t="s">
        <v>122</v>
      </c>
      <c r="D6276" s="9" t="s">
        <v>18</v>
      </c>
      <c r="E6276" s="10" t="s">
        <v>1742</v>
      </c>
      <c r="F6276" s="9" t="s">
        <v>1743</v>
      </c>
      <c r="G6276" s="10" t="s">
        <v>34</v>
      </c>
      <c r="H6276" s="9" t="s">
        <v>22</v>
      </c>
      <c r="I6276" s="9" t="s">
        <v>14557</v>
      </c>
      <c r="J6276" s="10" t="str">
        <f>HYPERLINK("https://www.boe.es/gazeta/dias/1834/11/06/pdfs/GMD-1834-265.pdf#page=1","Abrir facsímil")</f>
        <v>Abrir facsímil</v>
      </c>
      <c r="K6276" s="10" t="s">
        <v>24</v>
      </c>
    </row>
    <row r="6277" spans="1:11" ht="54" customHeight="1">
      <c r="A6277" s="9" t="s">
        <v>14556</v>
      </c>
      <c r="B6277" s="9" t="s">
        <v>14556</v>
      </c>
      <c r="C6277" s="9" t="s">
        <v>17</v>
      </c>
      <c r="D6277" s="9" t="s">
        <v>18</v>
      </c>
      <c r="E6277" s="10" t="s">
        <v>12114</v>
      </c>
      <c r="F6277" s="9" t="s">
        <v>12115</v>
      </c>
      <c r="G6277" s="10" t="s">
        <v>176</v>
      </c>
      <c r="H6277" s="9" t="s">
        <v>22</v>
      </c>
      <c r="I6277" s="9" t="s">
        <v>14558</v>
      </c>
      <c r="J6277" s="10" t="str">
        <f>HYPERLINK("https://www.boe.es/gazeta/dias/1834/04/08/pdfs/GMD-1834-47.pdf#page=6","Abrir facsímil")</f>
        <v>Abrir facsímil</v>
      </c>
      <c r="K6277" s="10" t="s">
        <v>24</v>
      </c>
    </row>
    <row r="6278" spans="1:11" ht="54" customHeight="1">
      <c r="A6278" s="9" t="s">
        <v>14556</v>
      </c>
      <c r="B6278" s="9" t="s">
        <v>14556</v>
      </c>
      <c r="C6278" s="9" t="s">
        <v>46</v>
      </c>
      <c r="D6278" s="9" t="s">
        <v>55</v>
      </c>
      <c r="E6278" s="10" t="s">
        <v>4637</v>
      </c>
      <c r="F6278" s="9" t="s">
        <v>4638</v>
      </c>
      <c r="G6278" s="10" t="s">
        <v>34</v>
      </c>
      <c r="H6278" s="9" t="s">
        <v>22</v>
      </c>
      <c r="I6278" s="9" t="s">
        <v>14559</v>
      </c>
      <c r="J6278" s="10" t="str">
        <f>HYPERLINK("https://www.boe.es/gazeta/dias/1834/12/08/pdfs/GMD-1834-297.pdf#page=1","Abrir facsímil")</f>
        <v>Abrir facsímil</v>
      </c>
      <c r="K6278" s="10" t="s">
        <v>24</v>
      </c>
    </row>
    <row r="6279" spans="1:11" ht="54" customHeight="1">
      <c r="A6279" s="9" t="s">
        <v>14556</v>
      </c>
      <c r="B6279" s="9" t="s">
        <v>14556</v>
      </c>
      <c r="C6279" s="9" t="s">
        <v>17</v>
      </c>
      <c r="D6279" s="9" t="s">
        <v>18</v>
      </c>
      <c r="E6279" s="10" t="s">
        <v>367</v>
      </c>
      <c r="F6279" s="9" t="s">
        <v>368</v>
      </c>
      <c r="G6279" s="10" t="s">
        <v>21</v>
      </c>
      <c r="H6279" s="9" t="s">
        <v>22</v>
      </c>
      <c r="I6279" s="9" t="s">
        <v>14560</v>
      </c>
      <c r="J6279" s="10" t="str">
        <f>HYPERLINK("https://www.boe.es/gazeta/dias/1834/05/19/pdfs/GMD-1834-88.pdf#page=3","Abrir facsímil")</f>
        <v>Abrir facsímil</v>
      </c>
      <c r="K6279" s="10" t="s">
        <v>24</v>
      </c>
    </row>
    <row r="6280" spans="1:11" ht="54" customHeight="1">
      <c r="A6280" s="9" t="s">
        <v>14556</v>
      </c>
      <c r="B6280" s="9" t="s">
        <v>14556</v>
      </c>
      <c r="C6280" s="9" t="s">
        <v>46</v>
      </c>
      <c r="D6280" s="9" t="s">
        <v>101</v>
      </c>
      <c r="E6280" s="10" t="s">
        <v>26</v>
      </c>
      <c r="F6280" s="9" t="s">
        <v>818</v>
      </c>
      <c r="G6280" s="10" t="s">
        <v>86</v>
      </c>
      <c r="H6280" s="9" t="s">
        <v>22</v>
      </c>
      <c r="I6280" s="9" t="s">
        <v>14561</v>
      </c>
      <c r="J6280" s="10" t="str">
        <f>HYPERLINK("https://www.boe.es/gazeta/dias/1834/10/19/pdfs/GMD-1834-247.pdf#page=2","Abrir facsímil")</f>
        <v>Abrir facsímil</v>
      </c>
      <c r="K6280" s="10" t="s">
        <v>24</v>
      </c>
    </row>
    <row r="6281" spans="1:11" ht="54" customHeight="1">
      <c r="A6281" s="9" t="s">
        <v>14556</v>
      </c>
      <c r="B6281" s="9" t="s">
        <v>14556</v>
      </c>
      <c r="C6281" s="9" t="s">
        <v>46</v>
      </c>
      <c r="D6281" s="9" t="s">
        <v>55</v>
      </c>
      <c r="E6281" s="10" t="s">
        <v>1017</v>
      </c>
      <c r="F6281" s="9" t="s">
        <v>1018</v>
      </c>
      <c r="G6281" s="10" t="s">
        <v>86</v>
      </c>
      <c r="H6281" s="9" t="s">
        <v>22</v>
      </c>
      <c r="I6281" s="9" t="s">
        <v>14562</v>
      </c>
      <c r="J6281" s="10" t="str">
        <f>HYPERLINK("https://www.boe.es/gazeta/dias/1834/07/24/pdfs/GMD-1834-157.pdf#page=2","Abrir facsímil")</f>
        <v>Abrir facsímil</v>
      </c>
      <c r="K6281" s="10" t="s">
        <v>24</v>
      </c>
    </row>
    <row r="6282" spans="1:11" ht="54" customHeight="1">
      <c r="A6282" s="9" t="s">
        <v>14563</v>
      </c>
      <c r="B6282" s="9" t="s">
        <v>14563</v>
      </c>
      <c r="C6282" s="9" t="s">
        <v>17</v>
      </c>
      <c r="D6282" s="9" t="s">
        <v>18</v>
      </c>
      <c r="E6282" s="10" t="s">
        <v>3488</v>
      </c>
      <c r="F6282" s="9" t="s">
        <v>3489</v>
      </c>
      <c r="G6282" s="10" t="s">
        <v>21</v>
      </c>
      <c r="H6282" s="9" t="s">
        <v>22</v>
      </c>
      <c r="I6282" s="9" t="s">
        <v>14564</v>
      </c>
      <c r="J6282" s="10" t="str">
        <f>HYPERLINK("https://www.boe.es/gazeta/dias/1834/06/22/pdfs/GMD-1834-125.pdf#page=3","Abrir facsímil")</f>
        <v>Abrir facsímil</v>
      </c>
      <c r="K6282" s="10" t="s">
        <v>24</v>
      </c>
    </row>
    <row r="6283" spans="1:11" ht="54" customHeight="1">
      <c r="A6283" s="9" t="s">
        <v>14565</v>
      </c>
      <c r="B6283" s="9" t="s">
        <v>14566</v>
      </c>
      <c r="C6283" s="9" t="s">
        <v>17</v>
      </c>
      <c r="D6283" s="9" t="s">
        <v>40</v>
      </c>
      <c r="E6283" s="10" t="s">
        <v>615</v>
      </c>
      <c r="F6283" s="9" t="s">
        <v>616</v>
      </c>
      <c r="G6283" s="10" t="s">
        <v>86</v>
      </c>
      <c r="H6283" s="9" t="s">
        <v>35</v>
      </c>
      <c r="I6283" s="9" t="s">
        <v>14567</v>
      </c>
      <c r="J6283" s="10" t="str">
        <f>HYPERLINK("https://www.boe.es/gazeta/dias/1834/08/19/pdfs/GMD-1834-185.pdf#page=2","Abrir facsímil")</f>
        <v>Abrir facsímil</v>
      </c>
      <c r="K6283" s="10" t="s">
        <v>37</v>
      </c>
    </row>
    <row r="6284" spans="1:11" ht="54" customHeight="1">
      <c r="A6284" s="9" t="s">
        <v>14568</v>
      </c>
      <c r="B6284" s="9" t="s">
        <v>14569</v>
      </c>
      <c r="C6284" s="9" t="s">
        <v>46</v>
      </c>
      <c r="D6284" s="9" t="s">
        <v>18</v>
      </c>
      <c r="E6284" s="10" t="s">
        <v>433</v>
      </c>
      <c r="F6284" s="9" t="s">
        <v>2773</v>
      </c>
      <c r="G6284" s="10" t="s">
        <v>75</v>
      </c>
      <c r="H6284" s="9" t="s">
        <v>22</v>
      </c>
      <c r="I6284" s="9" t="s">
        <v>14570</v>
      </c>
      <c r="J6284" s="10" t="str">
        <f>HYPERLINK("https://www.boe.es/gazeta/dias/1834/10/07/pdfs/GMD-1834-235.pdf#page=4","Abrir facsímil")</f>
        <v>Abrir facsímil</v>
      </c>
      <c r="K6284" s="10" t="s">
        <v>24</v>
      </c>
    </row>
    <row r="6285" spans="1:11" ht="54" customHeight="1">
      <c r="A6285" s="9" t="s">
        <v>14571</v>
      </c>
      <c r="B6285" s="9" t="s">
        <v>14571</v>
      </c>
      <c r="C6285" s="9" t="s">
        <v>17</v>
      </c>
      <c r="D6285" s="9" t="s">
        <v>18</v>
      </c>
      <c r="E6285" s="10" t="s">
        <v>623</v>
      </c>
      <c r="F6285" s="9" t="s">
        <v>3442</v>
      </c>
      <c r="G6285" s="10" t="s">
        <v>75</v>
      </c>
      <c r="H6285" s="9" t="s">
        <v>22</v>
      </c>
      <c r="I6285" s="9" t="s">
        <v>14572</v>
      </c>
      <c r="J6285" s="10" t="str">
        <f>HYPERLINK("https://www.boe.es/gazeta/dias/1834/10/12/pdfs/GMD-1834-240.pdf#page=4","Abrir facsímil")</f>
        <v>Abrir facsímil</v>
      </c>
      <c r="K6285" s="10" t="s">
        <v>24</v>
      </c>
    </row>
    <row r="6286" spans="1:11" ht="54" customHeight="1">
      <c r="A6286" s="9" t="s">
        <v>14573</v>
      </c>
      <c r="B6286" s="9" t="s">
        <v>14573</v>
      </c>
      <c r="C6286" s="9" t="s">
        <v>17</v>
      </c>
      <c r="D6286" s="9" t="s">
        <v>18</v>
      </c>
      <c r="E6286" s="10" t="s">
        <v>2398</v>
      </c>
      <c r="F6286" s="9" t="s">
        <v>2399</v>
      </c>
      <c r="G6286" s="10" t="s">
        <v>21</v>
      </c>
      <c r="H6286" s="9" t="s">
        <v>22</v>
      </c>
      <c r="I6286" s="9" t="s">
        <v>14574</v>
      </c>
      <c r="J6286" s="10" t="str">
        <f>HYPERLINK("https://www.boe.es/gazeta/dias/1834/01/16/pdfs/GMD-1834-8.pdf#page=3","Abrir facsímil")</f>
        <v>Abrir facsímil</v>
      </c>
      <c r="K6286" s="10" t="s">
        <v>24</v>
      </c>
    </row>
    <row r="6287" spans="1:11" ht="54" customHeight="1">
      <c r="A6287" s="9" t="s">
        <v>14575</v>
      </c>
      <c r="B6287" s="9" t="s">
        <v>14575</v>
      </c>
      <c r="C6287" s="9" t="s">
        <v>17</v>
      </c>
      <c r="D6287" s="9" t="s">
        <v>18</v>
      </c>
      <c r="E6287" s="10" t="s">
        <v>1862</v>
      </c>
      <c r="F6287" s="9" t="s">
        <v>1863</v>
      </c>
      <c r="G6287" s="10" t="s">
        <v>75</v>
      </c>
      <c r="H6287" s="9" t="s">
        <v>22</v>
      </c>
      <c r="I6287" s="9" t="s">
        <v>14576</v>
      </c>
      <c r="J6287" s="10" t="str">
        <f>HYPERLINK("https://www.boe.es/gazeta/dias/1834/02/04/pdfs/GMD-1834-16.pdf#page=4","Abrir facsímil")</f>
        <v>Abrir facsímil</v>
      </c>
      <c r="K6287" s="10" t="s">
        <v>24</v>
      </c>
    </row>
    <row r="6288" spans="1:11" ht="54" customHeight="1">
      <c r="A6288" s="9" t="s">
        <v>14575</v>
      </c>
      <c r="B6288" s="9" t="s">
        <v>14575</v>
      </c>
      <c r="C6288" s="9" t="s">
        <v>17</v>
      </c>
      <c r="D6288" s="9" t="s">
        <v>18</v>
      </c>
      <c r="E6288" s="10" t="s">
        <v>823</v>
      </c>
      <c r="F6288" s="9" t="s">
        <v>824</v>
      </c>
      <c r="G6288" s="10" t="s">
        <v>28</v>
      </c>
      <c r="H6288" s="9" t="s">
        <v>22</v>
      </c>
      <c r="I6288" s="9" t="s">
        <v>14577</v>
      </c>
      <c r="J6288" s="10" t="str">
        <f>HYPERLINK("https://www.boe.es/gazeta/dias/1834/07/23/pdfs/GMD-1834-156.pdf#page=5","Abrir facsímil")</f>
        <v>Abrir facsímil</v>
      </c>
      <c r="K6288" s="10" t="s">
        <v>24</v>
      </c>
    </row>
    <row r="6289" spans="1:11" ht="54" customHeight="1">
      <c r="A6289" s="9" t="s">
        <v>14578</v>
      </c>
      <c r="B6289" s="9" t="s">
        <v>14578</v>
      </c>
      <c r="C6289" s="9" t="s">
        <v>46</v>
      </c>
      <c r="D6289" s="9" t="s">
        <v>101</v>
      </c>
      <c r="E6289" s="10" t="s">
        <v>255</v>
      </c>
      <c r="F6289" s="9" t="s">
        <v>256</v>
      </c>
      <c r="G6289" s="10" t="s">
        <v>86</v>
      </c>
      <c r="H6289" s="9" t="s">
        <v>22</v>
      </c>
      <c r="I6289" s="9" t="s">
        <v>14579</v>
      </c>
      <c r="J6289" s="10" t="str">
        <f>HYPERLINK("https://www.boe.es/gazeta/dias/1834/09/01/pdfs/GMD-C-1834-199.pdf#page=2","Abrir facsímil")</f>
        <v>Abrir facsímil</v>
      </c>
      <c r="K6289" s="10" t="s">
        <v>24</v>
      </c>
    </row>
    <row r="6290" spans="1:11" ht="54" customHeight="1">
      <c r="A6290" s="9" t="s">
        <v>14578</v>
      </c>
      <c r="B6290" s="9" t="s">
        <v>14578</v>
      </c>
      <c r="C6290" s="9" t="s">
        <v>17</v>
      </c>
      <c r="D6290" s="9" t="s">
        <v>55</v>
      </c>
      <c r="E6290" s="10" t="s">
        <v>3163</v>
      </c>
      <c r="F6290" s="9" t="s">
        <v>3164</v>
      </c>
      <c r="G6290" s="10" t="s">
        <v>21</v>
      </c>
      <c r="H6290" s="9" t="s">
        <v>22</v>
      </c>
      <c r="I6290" s="9" t="s">
        <v>14580</v>
      </c>
      <c r="J6290" s="10" t="str">
        <f>HYPERLINK("https://www.boe.es/gazeta/dias/1834/11/02/pdfs/GMD-1834-261.pdf#page=3","Abrir facsímil")</f>
        <v>Abrir facsímil</v>
      </c>
      <c r="K6290" s="10" t="s">
        <v>24</v>
      </c>
    </row>
    <row r="6291" spans="1:11" ht="54" customHeight="1">
      <c r="A6291" s="9" t="s">
        <v>14578</v>
      </c>
      <c r="B6291" s="9" t="s">
        <v>14578</v>
      </c>
      <c r="C6291" s="9" t="s">
        <v>46</v>
      </c>
      <c r="D6291" s="9" t="s">
        <v>101</v>
      </c>
      <c r="E6291" s="10" t="s">
        <v>637</v>
      </c>
      <c r="F6291" s="9" t="s">
        <v>638</v>
      </c>
      <c r="G6291" s="10" t="s">
        <v>86</v>
      </c>
      <c r="H6291" s="9" t="s">
        <v>22</v>
      </c>
      <c r="I6291" s="9" t="s">
        <v>14581</v>
      </c>
      <c r="J6291" s="10" t="str">
        <f>HYPERLINK("https://www.boe.es/gazeta/dias/1834/06/03/pdfs/I00469-00470.pdf#page=2","Abrir facsímil")</f>
        <v>Abrir facsímil</v>
      </c>
      <c r="K6291" s="10" t="s">
        <v>24</v>
      </c>
    </row>
    <row r="6292" spans="1:11" ht="54" customHeight="1">
      <c r="A6292" s="9" t="s">
        <v>14578</v>
      </c>
      <c r="B6292" s="9" t="s">
        <v>14578</v>
      </c>
      <c r="C6292" s="9" t="s">
        <v>46</v>
      </c>
      <c r="D6292" s="9" t="s">
        <v>101</v>
      </c>
      <c r="E6292" s="10" t="s">
        <v>637</v>
      </c>
      <c r="F6292" s="9" t="s">
        <v>638</v>
      </c>
      <c r="G6292" s="10" t="s">
        <v>75</v>
      </c>
      <c r="H6292" s="9" t="s">
        <v>22</v>
      </c>
      <c r="I6292" s="9" t="s">
        <v>14581</v>
      </c>
      <c r="J6292" s="10" t="str">
        <f>HYPERLINK("https://www.boe.es/gazeta/dias/1834/06/03/pdfs/GMD-1834-105.pdf#page=4","Abrir facsímil")</f>
        <v>Abrir facsímil</v>
      </c>
      <c r="K6292" s="10" t="s">
        <v>24</v>
      </c>
    </row>
    <row r="6293" spans="1:11" ht="54" customHeight="1">
      <c r="A6293" s="9" t="s">
        <v>14578</v>
      </c>
      <c r="B6293" s="9" t="s">
        <v>14578</v>
      </c>
      <c r="C6293" s="9" t="s">
        <v>17</v>
      </c>
      <c r="D6293" s="9" t="s">
        <v>40</v>
      </c>
      <c r="E6293" s="10" t="s">
        <v>1955</v>
      </c>
      <c r="F6293" s="9" t="s">
        <v>1956</v>
      </c>
      <c r="G6293" s="10" t="s">
        <v>75</v>
      </c>
      <c r="H6293" s="9" t="s">
        <v>22</v>
      </c>
      <c r="I6293" s="9" t="s">
        <v>14582</v>
      </c>
      <c r="J6293" s="10" t="str">
        <f>HYPERLINK("https://www.boe.es/gazeta/dias/1834/05/04/pdfs/GMD-1834-73.pdf#page=4","Abrir facsímil")</f>
        <v>Abrir facsímil</v>
      </c>
      <c r="K6293" s="10" t="s">
        <v>24</v>
      </c>
    </row>
    <row r="6294" spans="1:11" ht="54" customHeight="1">
      <c r="A6294" s="9" t="s">
        <v>14578</v>
      </c>
      <c r="B6294" s="9" t="s">
        <v>14578</v>
      </c>
      <c r="C6294" s="9" t="s">
        <v>17</v>
      </c>
      <c r="D6294" s="9" t="s">
        <v>18</v>
      </c>
      <c r="E6294" s="10" t="s">
        <v>47</v>
      </c>
      <c r="F6294" s="9" t="s">
        <v>48</v>
      </c>
      <c r="G6294" s="10" t="s">
        <v>75</v>
      </c>
      <c r="H6294" s="9" t="s">
        <v>22</v>
      </c>
      <c r="I6294" s="9" t="s">
        <v>14583</v>
      </c>
      <c r="J6294" s="10" t="str">
        <f>HYPERLINK("https://www.boe.es/gazeta/dias/1834/09/05/pdfs/GMD-C-1834-203.pdf#page=4","Abrir facsímil")</f>
        <v>Abrir facsímil</v>
      </c>
      <c r="K6294" s="10" t="s">
        <v>24</v>
      </c>
    </row>
    <row r="6295" spans="1:11" ht="54" customHeight="1">
      <c r="A6295" s="9" t="s">
        <v>14578</v>
      </c>
      <c r="B6295" s="9" t="s">
        <v>14578</v>
      </c>
      <c r="C6295" s="9" t="s">
        <v>17</v>
      </c>
      <c r="D6295" s="9" t="s">
        <v>18</v>
      </c>
      <c r="E6295" s="10" t="s">
        <v>299</v>
      </c>
      <c r="F6295" s="9" t="s">
        <v>2255</v>
      </c>
      <c r="G6295" s="10" t="s">
        <v>75</v>
      </c>
      <c r="H6295" s="9" t="s">
        <v>22</v>
      </c>
      <c r="I6295" s="9" t="s">
        <v>14584</v>
      </c>
      <c r="J6295" s="10" t="str">
        <f>HYPERLINK("https://www.boe.es/gazeta/dias/1834/12/12/pdfs/GMD-C-1834-301.pdf#page=4","Abrir facsímil")</f>
        <v>Abrir facsímil</v>
      </c>
      <c r="K6295" s="10" t="s">
        <v>24</v>
      </c>
    </row>
    <row r="6296" spans="1:11" ht="54" customHeight="1">
      <c r="A6296" s="9" t="s">
        <v>14578</v>
      </c>
      <c r="B6296" s="9" t="s">
        <v>14578</v>
      </c>
      <c r="C6296" s="9" t="s">
        <v>17</v>
      </c>
      <c r="D6296" s="9" t="s">
        <v>18</v>
      </c>
      <c r="E6296" s="10" t="s">
        <v>601</v>
      </c>
      <c r="F6296" s="9" t="s">
        <v>14585</v>
      </c>
      <c r="G6296" s="10" t="s">
        <v>34</v>
      </c>
      <c r="H6296" s="9" t="s">
        <v>22</v>
      </c>
      <c r="I6296" s="9" t="s">
        <v>14586</v>
      </c>
      <c r="J6296" s="10" t="str">
        <f>HYPERLINK("https://www.boe.es/gazeta/dias/1834/08/16/pdfs/GMD-C-1834-181.pdf#page=1","Abrir facsímil")</f>
        <v>Abrir facsímil</v>
      </c>
      <c r="K6296" s="10" t="s">
        <v>24</v>
      </c>
    </row>
    <row r="6297" spans="1:11" ht="54" customHeight="1">
      <c r="A6297" s="9" t="s">
        <v>14578</v>
      </c>
      <c r="B6297" s="9" t="s">
        <v>14578</v>
      </c>
      <c r="C6297" s="9" t="s">
        <v>17</v>
      </c>
      <c r="D6297" s="9" t="s">
        <v>18</v>
      </c>
      <c r="E6297" s="10" t="s">
        <v>233</v>
      </c>
      <c r="F6297" s="9" t="s">
        <v>1810</v>
      </c>
      <c r="G6297" s="10" t="s">
        <v>75</v>
      </c>
      <c r="H6297" s="9" t="s">
        <v>22</v>
      </c>
      <c r="I6297" s="9" t="s">
        <v>14587</v>
      </c>
      <c r="J6297" s="10" t="str">
        <f>HYPERLINK("https://www.boe.es/gazeta/dias/1834/12/16/pdfs/GMD-C-1834-305.pdf#page=4","Abrir facsímil")</f>
        <v>Abrir facsímil</v>
      </c>
      <c r="K6297" s="10" t="s">
        <v>24</v>
      </c>
    </row>
    <row r="6298" spans="1:11" ht="54" customHeight="1">
      <c r="A6298" s="9" t="s">
        <v>14578</v>
      </c>
      <c r="B6298" s="9" t="s">
        <v>14578</v>
      </c>
      <c r="C6298" s="9" t="s">
        <v>17</v>
      </c>
      <c r="D6298" s="9" t="s">
        <v>18</v>
      </c>
      <c r="E6298" s="10" t="s">
        <v>389</v>
      </c>
      <c r="F6298" s="9" t="s">
        <v>390</v>
      </c>
      <c r="G6298" s="10" t="s">
        <v>75</v>
      </c>
      <c r="H6298" s="9" t="s">
        <v>22</v>
      </c>
      <c r="I6298" s="9" t="s">
        <v>14588</v>
      </c>
      <c r="J6298" s="10" t="str">
        <f>HYPERLINK("https://www.boe.es/gazeta/dias/1834/10/25/pdfs/GMD-1834-253.pdf#page=4","Abrir facsímil")</f>
        <v>Abrir facsímil</v>
      </c>
      <c r="K6298" s="10" t="s">
        <v>24</v>
      </c>
    </row>
    <row r="6299" spans="1:11" ht="54" customHeight="1">
      <c r="A6299" s="9" t="s">
        <v>14578</v>
      </c>
      <c r="B6299" s="9" t="s">
        <v>14578</v>
      </c>
      <c r="C6299" s="9" t="s">
        <v>66</v>
      </c>
      <c r="D6299" s="9" t="s">
        <v>67</v>
      </c>
      <c r="E6299" s="10" t="s">
        <v>1677</v>
      </c>
      <c r="F6299" s="9" t="s">
        <v>1678</v>
      </c>
      <c r="G6299" s="10" t="s">
        <v>75</v>
      </c>
      <c r="H6299" s="9" t="s">
        <v>22</v>
      </c>
      <c r="I6299" s="9" t="s">
        <v>14589</v>
      </c>
      <c r="J6299" s="10" t="str">
        <f>HYPERLINK("https://www.boe.es/gazeta/dias/1834/07/26/pdfs/GMD-1834-159.pdf#page=4","Abrir facsímil")</f>
        <v>Abrir facsímil</v>
      </c>
      <c r="K6299" s="10" t="s">
        <v>24</v>
      </c>
    </row>
    <row r="6300" spans="1:11" ht="54" customHeight="1">
      <c r="A6300" s="9" t="s">
        <v>14578</v>
      </c>
      <c r="B6300" s="9" t="s">
        <v>14578</v>
      </c>
      <c r="C6300" s="9" t="s">
        <v>17</v>
      </c>
      <c r="D6300" s="9" t="s">
        <v>18</v>
      </c>
      <c r="E6300" s="10" t="s">
        <v>465</v>
      </c>
      <c r="F6300" s="9" t="s">
        <v>466</v>
      </c>
      <c r="G6300" s="10" t="s">
        <v>21</v>
      </c>
      <c r="H6300" s="9" t="s">
        <v>22</v>
      </c>
      <c r="I6300" s="9" t="s">
        <v>14590</v>
      </c>
      <c r="J6300" s="10" t="str">
        <f>HYPERLINK("https://www.boe.es/gazeta/dias/1834/11/27/pdfs/GMD-C-1834-286.pdf#page=3","Abrir facsímil")</f>
        <v>Abrir facsímil</v>
      </c>
      <c r="K6300" s="10" t="s">
        <v>24</v>
      </c>
    </row>
    <row r="6301" spans="1:11" ht="54" customHeight="1">
      <c r="A6301" s="9" t="s">
        <v>14591</v>
      </c>
      <c r="B6301" s="9" t="s">
        <v>14592</v>
      </c>
      <c r="C6301" s="9" t="s">
        <v>46</v>
      </c>
      <c r="D6301" s="9" t="s">
        <v>101</v>
      </c>
      <c r="E6301" s="10" t="s">
        <v>255</v>
      </c>
      <c r="F6301" s="9" t="s">
        <v>256</v>
      </c>
      <c r="G6301" s="10" t="s">
        <v>86</v>
      </c>
      <c r="H6301" s="9" t="s">
        <v>35</v>
      </c>
      <c r="I6301" s="9" t="s">
        <v>14593</v>
      </c>
      <c r="J6301" s="10" t="str">
        <f>HYPERLINK("https://www.boe.es/gazeta/dias/1834/09/01/pdfs/GMD-C-1834-199.pdf#page=2","Abrir facsímil")</f>
        <v>Abrir facsímil</v>
      </c>
      <c r="K6301" s="10" t="s">
        <v>37</v>
      </c>
    </row>
    <row r="6302" spans="1:11" ht="54" customHeight="1">
      <c r="A6302" s="9" t="s">
        <v>14591</v>
      </c>
      <c r="B6302" s="9" t="s">
        <v>14592</v>
      </c>
      <c r="C6302" s="9" t="s">
        <v>17</v>
      </c>
      <c r="D6302" s="9" t="s">
        <v>18</v>
      </c>
      <c r="E6302" s="10" t="s">
        <v>299</v>
      </c>
      <c r="F6302" s="9" t="s">
        <v>2255</v>
      </c>
      <c r="G6302" s="10" t="s">
        <v>75</v>
      </c>
      <c r="H6302" s="9" t="s">
        <v>35</v>
      </c>
      <c r="I6302" s="9" t="s">
        <v>14594</v>
      </c>
      <c r="J6302" s="10" t="str">
        <f>HYPERLINK("https://www.boe.es/gazeta/dias/1834/12/12/pdfs/GMD-C-1834-301.pdf#page=4","Abrir facsímil")</f>
        <v>Abrir facsímil</v>
      </c>
      <c r="K6302" s="10" t="s">
        <v>37</v>
      </c>
    </row>
    <row r="6303" spans="1:11" ht="54" customHeight="1">
      <c r="A6303" s="9" t="s">
        <v>14591</v>
      </c>
      <c r="B6303" s="9" t="s">
        <v>14592</v>
      </c>
      <c r="C6303" s="9" t="s">
        <v>17</v>
      </c>
      <c r="D6303" s="9" t="s">
        <v>18</v>
      </c>
      <c r="E6303" s="10" t="s">
        <v>233</v>
      </c>
      <c r="F6303" s="9" t="s">
        <v>1810</v>
      </c>
      <c r="G6303" s="10" t="s">
        <v>75</v>
      </c>
      <c r="H6303" s="9" t="s">
        <v>35</v>
      </c>
      <c r="I6303" s="9" t="s">
        <v>14595</v>
      </c>
      <c r="J6303" s="10" t="str">
        <f>HYPERLINK("https://www.boe.es/gazeta/dias/1834/12/16/pdfs/GMD-C-1834-305.pdf#page=4","Abrir facsímil")</f>
        <v>Abrir facsímil</v>
      </c>
      <c r="K6303" s="10" t="s">
        <v>37</v>
      </c>
    </row>
    <row r="6304" spans="1:11" ht="54" customHeight="1">
      <c r="A6304" s="9" t="s">
        <v>14591</v>
      </c>
      <c r="B6304" s="9" t="s">
        <v>14592</v>
      </c>
      <c r="C6304" s="9" t="s">
        <v>66</v>
      </c>
      <c r="D6304" s="9" t="s">
        <v>67</v>
      </c>
      <c r="E6304" s="10" t="s">
        <v>1677</v>
      </c>
      <c r="F6304" s="9" t="s">
        <v>1678</v>
      </c>
      <c r="G6304" s="10" t="s">
        <v>75</v>
      </c>
      <c r="H6304" s="9" t="s">
        <v>35</v>
      </c>
      <c r="I6304" s="9" t="s">
        <v>14596</v>
      </c>
      <c r="J6304" s="10" t="str">
        <f>HYPERLINK("https://www.boe.es/gazeta/dias/1834/07/26/pdfs/GMD-1834-159.pdf#page=4","Abrir facsímil")</f>
        <v>Abrir facsímil</v>
      </c>
      <c r="K6304" s="10" t="s">
        <v>37</v>
      </c>
    </row>
    <row r="6305" spans="1:11" ht="54" customHeight="1">
      <c r="A6305" s="9" t="s">
        <v>14597</v>
      </c>
      <c r="B6305" s="9" t="s">
        <v>14598</v>
      </c>
      <c r="C6305" s="9" t="s">
        <v>17</v>
      </c>
      <c r="D6305" s="9" t="s">
        <v>18</v>
      </c>
      <c r="E6305" s="10" t="s">
        <v>330</v>
      </c>
      <c r="F6305" s="9" t="s">
        <v>331</v>
      </c>
      <c r="G6305" s="10" t="s">
        <v>86</v>
      </c>
      <c r="H6305" s="9" t="s">
        <v>22</v>
      </c>
      <c r="I6305" s="9" t="s">
        <v>14599</v>
      </c>
      <c r="J6305" s="10" t="str">
        <f>HYPERLINK("https://www.boe.es/gazeta/dias/1834/12/03/pdfs/GMD-1834-292.pdf#page=2","Abrir facsímil")</f>
        <v>Abrir facsímil</v>
      </c>
      <c r="K6305" s="10" t="s">
        <v>24</v>
      </c>
    </row>
    <row r="6306" spans="1:11" ht="54" customHeight="1">
      <c r="A6306" s="9" t="s">
        <v>14597</v>
      </c>
      <c r="B6306" s="9" t="s">
        <v>14598</v>
      </c>
      <c r="C6306" s="9" t="s">
        <v>17</v>
      </c>
      <c r="D6306" s="9" t="s">
        <v>18</v>
      </c>
      <c r="E6306" s="10" t="s">
        <v>556</v>
      </c>
      <c r="F6306" s="9" t="s">
        <v>557</v>
      </c>
      <c r="G6306" s="10" t="s">
        <v>21</v>
      </c>
      <c r="H6306" s="9" t="s">
        <v>22</v>
      </c>
      <c r="I6306" s="9" t="s">
        <v>14600</v>
      </c>
      <c r="J6306" s="10" t="str">
        <f>HYPERLINK("https://www.boe.es/gazeta/dias/1834/09/13/pdfs/GMD-1834-211.pdf#page=3","Abrir facsímil")</f>
        <v>Abrir facsímil</v>
      </c>
      <c r="K6306" s="10" t="s">
        <v>24</v>
      </c>
    </row>
    <row r="6307" spans="1:11" ht="54" customHeight="1">
      <c r="A6307" s="9" t="s">
        <v>14597</v>
      </c>
      <c r="B6307" s="9" t="s">
        <v>14598</v>
      </c>
      <c r="C6307" s="9" t="s">
        <v>122</v>
      </c>
      <c r="D6307" s="9" t="s">
        <v>18</v>
      </c>
      <c r="E6307" s="10" t="s">
        <v>563</v>
      </c>
      <c r="F6307" s="9" t="s">
        <v>564</v>
      </c>
      <c r="G6307" s="10" t="s">
        <v>75</v>
      </c>
      <c r="H6307" s="9" t="s">
        <v>22</v>
      </c>
      <c r="I6307" s="9" t="s">
        <v>14601</v>
      </c>
      <c r="J6307" s="10" t="str">
        <f>HYPERLINK("https://www.boe.es/gazeta/dias/1834/04/19/pdfs/GMD-1834-58.pdf#page=4","Abrir facsímil")</f>
        <v>Abrir facsímil</v>
      </c>
      <c r="K6307" s="10" t="s">
        <v>24</v>
      </c>
    </row>
    <row r="6308" spans="1:11" ht="54" customHeight="1">
      <c r="A6308" s="9" t="s">
        <v>14597</v>
      </c>
      <c r="B6308" s="9" t="s">
        <v>14598</v>
      </c>
      <c r="C6308" s="9" t="s">
        <v>90</v>
      </c>
      <c r="D6308" s="9" t="s">
        <v>18</v>
      </c>
      <c r="E6308" s="10" t="s">
        <v>2153</v>
      </c>
      <c r="F6308" s="9" t="s">
        <v>2154</v>
      </c>
      <c r="G6308" s="10" t="s">
        <v>86</v>
      </c>
      <c r="H6308" s="9" t="s">
        <v>22</v>
      </c>
      <c r="I6308" s="9" t="s">
        <v>14602</v>
      </c>
      <c r="J6308" s="10" t="str">
        <f>HYPERLINK("https://www.boe.es/gazeta/dias/1834/01/23/pdfs/GMD-1834-11.pdf#page=2","Abrir facsímil")</f>
        <v>Abrir facsímil</v>
      </c>
      <c r="K6308" s="10" t="s">
        <v>24</v>
      </c>
    </row>
    <row r="6309" spans="1:11" ht="54" customHeight="1">
      <c r="A6309" s="9" t="s">
        <v>14603</v>
      </c>
      <c r="B6309" s="9" t="s">
        <v>14604</v>
      </c>
      <c r="C6309" s="9" t="s">
        <v>66</v>
      </c>
      <c r="D6309" s="9" t="s">
        <v>67</v>
      </c>
      <c r="E6309" s="10" t="s">
        <v>1677</v>
      </c>
      <c r="F6309" s="9" t="s">
        <v>1678</v>
      </c>
      <c r="G6309" s="10" t="s">
        <v>75</v>
      </c>
      <c r="H6309" s="9" t="s">
        <v>35</v>
      </c>
      <c r="I6309" s="9" t="s">
        <v>14605</v>
      </c>
      <c r="J6309" s="10" t="str">
        <f>HYPERLINK("https://www.boe.es/gazeta/dias/1834/07/26/pdfs/GMD-1834-159.pdf#page=4","Abrir facsímil")</f>
        <v>Abrir facsímil</v>
      </c>
      <c r="K6309" s="10" t="s">
        <v>37</v>
      </c>
    </row>
    <row r="6310" spans="1:11" ht="54" customHeight="1">
      <c r="A6310" s="9" t="s">
        <v>14606</v>
      </c>
      <c r="B6310" s="9" t="s">
        <v>14606</v>
      </c>
      <c r="C6310" s="9" t="s">
        <v>66</v>
      </c>
      <c r="D6310" s="9" t="s">
        <v>67</v>
      </c>
      <c r="E6310" s="10" t="s">
        <v>1556</v>
      </c>
      <c r="F6310" s="9" t="s">
        <v>1557</v>
      </c>
      <c r="G6310" s="10" t="s">
        <v>75</v>
      </c>
      <c r="H6310" s="9" t="s">
        <v>22</v>
      </c>
      <c r="I6310" s="9" t="s">
        <v>14607</v>
      </c>
      <c r="J6310" s="10" t="str">
        <f>HYPERLINK("https://www.boe.es/gazeta/dias/1834/06/06/pdfs/GMD-1834-108.pdf#page=4","Abrir facsímil")</f>
        <v>Abrir facsímil</v>
      </c>
      <c r="K6310" s="10" t="s">
        <v>24</v>
      </c>
    </row>
    <row r="6311" spans="1:11" ht="54" customHeight="1">
      <c r="A6311" s="9" t="s">
        <v>14608</v>
      </c>
      <c r="B6311" s="9" t="s">
        <v>14608</v>
      </c>
      <c r="C6311" s="9" t="s">
        <v>17</v>
      </c>
      <c r="D6311" s="9" t="s">
        <v>18</v>
      </c>
      <c r="E6311" s="10" t="s">
        <v>1337</v>
      </c>
      <c r="F6311" s="9" t="s">
        <v>1338</v>
      </c>
      <c r="G6311" s="10" t="s">
        <v>21</v>
      </c>
      <c r="H6311" s="9" t="s">
        <v>22</v>
      </c>
      <c r="I6311" s="9" t="s">
        <v>14609</v>
      </c>
      <c r="J6311" s="10" t="str">
        <f>HYPERLINK("https://www.boe.es/gazeta/dias/1834/01/02/pdfs/GMD-1834-1.pdf#page=3","Abrir facsímil")</f>
        <v>Abrir facsímil</v>
      </c>
      <c r="K6311" s="10" t="s">
        <v>24</v>
      </c>
    </row>
    <row r="6312" spans="1:11" ht="54" customHeight="1">
      <c r="A6312" s="9" t="s">
        <v>14608</v>
      </c>
      <c r="B6312" s="9" t="s">
        <v>14608</v>
      </c>
      <c r="C6312" s="9" t="s">
        <v>66</v>
      </c>
      <c r="D6312" s="9" t="s">
        <v>18</v>
      </c>
      <c r="E6312" s="10" t="s">
        <v>451</v>
      </c>
      <c r="F6312" s="9" t="s">
        <v>3350</v>
      </c>
      <c r="G6312" s="10" t="s">
        <v>21</v>
      </c>
      <c r="H6312" s="9" t="s">
        <v>22</v>
      </c>
      <c r="I6312" s="9" t="s">
        <v>14610</v>
      </c>
      <c r="J6312" s="10" t="str">
        <f>HYPERLINK("https://www.boe.es/gazeta/dias/1834/10/15/pdfs/GMD-1834-243.pdf#page=3","Abrir facsímil")</f>
        <v>Abrir facsímil</v>
      </c>
      <c r="K6312" s="10" t="s">
        <v>24</v>
      </c>
    </row>
    <row r="6313" spans="1:11" ht="54" customHeight="1">
      <c r="A6313" s="9" t="s">
        <v>14608</v>
      </c>
      <c r="B6313" s="9" t="s">
        <v>14608</v>
      </c>
      <c r="C6313" s="9" t="s">
        <v>66</v>
      </c>
      <c r="D6313" s="9" t="s">
        <v>18</v>
      </c>
      <c r="E6313" s="10" t="s">
        <v>719</v>
      </c>
      <c r="F6313" s="9" t="s">
        <v>720</v>
      </c>
      <c r="G6313" s="10" t="s">
        <v>21</v>
      </c>
      <c r="H6313" s="9" t="s">
        <v>22</v>
      </c>
      <c r="I6313" s="9" t="s">
        <v>14611</v>
      </c>
      <c r="J6313" s="10" t="str">
        <f>HYPERLINK("https://www.boe.es/gazeta/dias/1834/04/29/pdfs/GMD-1834-68.pdf#page=3","Abrir facsímil")</f>
        <v>Abrir facsímil</v>
      </c>
      <c r="K6313" s="10" t="s">
        <v>24</v>
      </c>
    </row>
    <row r="6314" spans="1:11" ht="54" customHeight="1">
      <c r="A6314" s="9" t="s">
        <v>14608</v>
      </c>
      <c r="B6314" s="9" t="s">
        <v>14608</v>
      </c>
      <c r="C6314" s="9" t="s">
        <v>17</v>
      </c>
      <c r="D6314" s="9" t="s">
        <v>18</v>
      </c>
      <c r="E6314" s="10" t="s">
        <v>280</v>
      </c>
      <c r="F6314" s="9" t="s">
        <v>3217</v>
      </c>
      <c r="G6314" s="10" t="s">
        <v>34</v>
      </c>
      <c r="H6314" s="9" t="s">
        <v>22</v>
      </c>
      <c r="I6314" s="9" t="s">
        <v>14612</v>
      </c>
      <c r="J6314" s="10" t="str">
        <f>HYPERLINK("https://www.boe.es/gazeta/dias/1834/08/29/pdfs/GMD-1834-195.pdf#page=1","Abrir facsímil")</f>
        <v>Abrir facsímil</v>
      </c>
      <c r="K6314" s="10" t="s">
        <v>24</v>
      </c>
    </row>
    <row r="6315" spans="1:11" ht="54" customHeight="1">
      <c r="A6315" s="9" t="s">
        <v>14613</v>
      </c>
      <c r="B6315" s="9" t="s">
        <v>14614</v>
      </c>
      <c r="C6315" s="9" t="s">
        <v>66</v>
      </c>
      <c r="D6315" s="9" t="s">
        <v>18</v>
      </c>
      <c r="E6315" s="10" t="s">
        <v>451</v>
      </c>
      <c r="F6315" s="9" t="s">
        <v>3350</v>
      </c>
      <c r="G6315" s="10" t="s">
        <v>21</v>
      </c>
      <c r="H6315" s="9" t="s">
        <v>35</v>
      </c>
      <c r="I6315" s="9" t="s">
        <v>14615</v>
      </c>
      <c r="J6315" s="10" t="str">
        <f>HYPERLINK("https://www.boe.es/gazeta/dias/1834/10/15/pdfs/GMD-1834-243.pdf#page=3","Abrir facsímil")</f>
        <v>Abrir facsímil</v>
      </c>
      <c r="K6315" s="10" t="s">
        <v>37</v>
      </c>
    </row>
    <row r="6316" spans="1:11" ht="54" customHeight="1">
      <c r="A6316" s="9" t="s">
        <v>14616</v>
      </c>
      <c r="B6316" s="9" t="s">
        <v>14617</v>
      </c>
      <c r="C6316" s="9" t="s">
        <v>17</v>
      </c>
      <c r="D6316" s="9" t="s">
        <v>18</v>
      </c>
      <c r="E6316" s="10" t="s">
        <v>299</v>
      </c>
      <c r="F6316" s="9" t="s">
        <v>300</v>
      </c>
      <c r="G6316" s="10" t="s">
        <v>75</v>
      </c>
      <c r="H6316" s="9" t="s">
        <v>22</v>
      </c>
      <c r="I6316" s="9" t="s">
        <v>14618</v>
      </c>
      <c r="J6316" s="10" t="str">
        <f>HYPERLINK("https://www.boe.es/gazeta/dias/1834/12/12/pdfs/GMD-1834-301.pdf#page=4","Abrir facsímil")</f>
        <v>Abrir facsímil</v>
      </c>
      <c r="K6316" s="10" t="s">
        <v>24</v>
      </c>
    </row>
    <row r="6317" spans="1:11" ht="54" customHeight="1">
      <c r="A6317" s="9" t="s">
        <v>14619</v>
      </c>
      <c r="B6317" s="9" t="s">
        <v>14619</v>
      </c>
      <c r="C6317" s="9" t="s">
        <v>17</v>
      </c>
      <c r="D6317" s="9" t="s">
        <v>18</v>
      </c>
      <c r="E6317" s="10" t="s">
        <v>1862</v>
      </c>
      <c r="F6317" s="9" t="s">
        <v>1863</v>
      </c>
      <c r="G6317" s="10" t="s">
        <v>75</v>
      </c>
      <c r="H6317" s="9" t="s">
        <v>22</v>
      </c>
      <c r="I6317" s="9" t="s">
        <v>14620</v>
      </c>
      <c r="J6317" s="10" t="str">
        <f>HYPERLINK("https://www.boe.es/gazeta/dias/1834/02/04/pdfs/GMD-1834-16.pdf#page=4","Abrir facsímil")</f>
        <v>Abrir facsímil</v>
      </c>
      <c r="K6317" s="10" t="s">
        <v>24</v>
      </c>
    </row>
    <row r="6318" spans="1:11" ht="54" customHeight="1">
      <c r="A6318" s="9" t="s">
        <v>14619</v>
      </c>
      <c r="B6318" s="9" t="s">
        <v>14619</v>
      </c>
      <c r="C6318" s="9" t="s">
        <v>17</v>
      </c>
      <c r="D6318" s="9" t="s">
        <v>18</v>
      </c>
      <c r="E6318" s="10" t="s">
        <v>2278</v>
      </c>
      <c r="F6318" s="9" t="s">
        <v>2279</v>
      </c>
      <c r="G6318" s="10" t="s">
        <v>75</v>
      </c>
      <c r="H6318" s="9" t="s">
        <v>22</v>
      </c>
      <c r="I6318" s="9" t="s">
        <v>14621</v>
      </c>
      <c r="J6318" s="10" t="str">
        <f>HYPERLINK("https://www.boe.es/gazeta/dias/1834/12/17/pdfs/GMD-C-1834-306.pdf#page=4","Abrir facsímil")</f>
        <v>Abrir facsímil</v>
      </c>
      <c r="K6318" s="10" t="s">
        <v>24</v>
      </c>
    </row>
    <row r="6319" spans="1:11" ht="54" customHeight="1">
      <c r="A6319" s="9" t="s">
        <v>14622</v>
      </c>
      <c r="B6319" s="9" t="s">
        <v>14623</v>
      </c>
      <c r="C6319" s="9" t="s">
        <v>17</v>
      </c>
      <c r="D6319" s="9" t="s">
        <v>18</v>
      </c>
      <c r="E6319" s="10" t="s">
        <v>2278</v>
      </c>
      <c r="F6319" s="9" t="s">
        <v>2279</v>
      </c>
      <c r="G6319" s="10" t="s">
        <v>75</v>
      </c>
      <c r="H6319" s="9" t="s">
        <v>35</v>
      </c>
      <c r="I6319" s="9" t="s">
        <v>14624</v>
      </c>
      <c r="J6319" s="10" t="str">
        <f>HYPERLINK("https://www.boe.es/gazeta/dias/1834/12/17/pdfs/GMD-C-1834-306.pdf#page=4","Abrir facsímil")</f>
        <v>Abrir facsímil</v>
      </c>
      <c r="K6319" s="10" t="s">
        <v>37</v>
      </c>
    </row>
    <row r="6320" spans="1:11" ht="54" customHeight="1">
      <c r="A6320" s="9" t="s">
        <v>14625</v>
      </c>
      <c r="B6320" s="9" t="s">
        <v>14626</v>
      </c>
      <c r="C6320" s="9" t="s">
        <v>46</v>
      </c>
      <c r="D6320" s="9" t="s">
        <v>55</v>
      </c>
      <c r="E6320" s="10" t="s">
        <v>233</v>
      </c>
      <c r="F6320" s="9" t="s">
        <v>1810</v>
      </c>
      <c r="G6320" s="10" t="s">
        <v>560</v>
      </c>
      <c r="H6320" s="9" t="s">
        <v>35</v>
      </c>
      <c r="I6320" s="9" t="s">
        <v>14627</v>
      </c>
      <c r="J6320" s="10" t="str">
        <f>HYPERLINK("https://www.boe.es/gazeta/dias/1834/12/16/pdfs/GMD-C-1834-305.pdf#page=7","Abrir facsímil")</f>
        <v>Abrir facsímil</v>
      </c>
      <c r="K6320" s="10" t="s">
        <v>37</v>
      </c>
    </row>
    <row r="6321" spans="1:11" ht="54" customHeight="1">
      <c r="A6321" s="9" t="s">
        <v>14628</v>
      </c>
      <c r="B6321" s="9" t="s">
        <v>14628</v>
      </c>
      <c r="C6321" s="9" t="s">
        <v>17</v>
      </c>
      <c r="D6321" s="9" t="s">
        <v>101</v>
      </c>
      <c r="E6321" s="10" t="s">
        <v>1025</v>
      </c>
      <c r="F6321" s="9" t="s">
        <v>1026</v>
      </c>
      <c r="G6321" s="10" t="s">
        <v>34</v>
      </c>
      <c r="H6321" s="9" t="s">
        <v>22</v>
      </c>
      <c r="I6321" s="9" t="s">
        <v>14629</v>
      </c>
      <c r="J6321" s="10" t="str">
        <f>HYPERLINK("https://www.boe.es/gazeta/dias/1834/03/01/pdfs/GMD-1834-27.pdf#page=1","Abrir facsímil")</f>
        <v>Abrir facsímil</v>
      </c>
      <c r="K6321" s="10" t="s">
        <v>24</v>
      </c>
    </row>
    <row r="6322" spans="1:11" ht="54" customHeight="1">
      <c r="A6322" s="9" t="s">
        <v>14628</v>
      </c>
      <c r="B6322" s="9" t="s">
        <v>14628</v>
      </c>
      <c r="C6322" s="9" t="s">
        <v>857</v>
      </c>
      <c r="D6322" s="9" t="s">
        <v>18</v>
      </c>
      <c r="E6322" s="10" t="s">
        <v>1337</v>
      </c>
      <c r="F6322" s="9" t="s">
        <v>1338</v>
      </c>
      <c r="G6322" s="10" t="s">
        <v>21</v>
      </c>
      <c r="H6322" s="9" t="s">
        <v>22</v>
      </c>
      <c r="I6322" s="9" t="s">
        <v>14630</v>
      </c>
      <c r="J6322" s="10" t="str">
        <f>HYPERLINK("https://www.boe.es/gazeta/dias/1834/01/02/pdfs/GMD-1834-1.pdf#page=3","Abrir facsímil")</f>
        <v>Abrir facsímil</v>
      </c>
      <c r="K6322" s="10" t="s">
        <v>24</v>
      </c>
    </row>
    <row r="6323" spans="1:11" ht="54" customHeight="1">
      <c r="A6323" s="9" t="s">
        <v>14628</v>
      </c>
      <c r="B6323" s="9" t="s">
        <v>14628</v>
      </c>
      <c r="C6323" s="9" t="s">
        <v>66</v>
      </c>
      <c r="D6323" s="9" t="s">
        <v>18</v>
      </c>
      <c r="E6323" s="10" t="s">
        <v>12114</v>
      </c>
      <c r="F6323" s="9" t="s">
        <v>12115</v>
      </c>
      <c r="G6323" s="10" t="s">
        <v>34</v>
      </c>
      <c r="H6323" s="9" t="s">
        <v>22</v>
      </c>
      <c r="I6323" s="9" t="s">
        <v>14631</v>
      </c>
      <c r="J6323" s="10" t="str">
        <f>HYPERLINK("https://www.boe.es/gazeta/dias/1834/04/08/pdfs/GMD-1834-47.pdf#page=1","Abrir facsímil")</f>
        <v>Abrir facsímil</v>
      </c>
      <c r="K6323" s="10" t="s">
        <v>24</v>
      </c>
    </row>
    <row r="6324" spans="1:11" ht="54" customHeight="1">
      <c r="A6324" s="9" t="s">
        <v>14628</v>
      </c>
      <c r="B6324" s="9" t="s">
        <v>14628</v>
      </c>
      <c r="C6324" s="9" t="s">
        <v>17</v>
      </c>
      <c r="D6324" s="9" t="s">
        <v>18</v>
      </c>
      <c r="E6324" s="10" t="s">
        <v>258</v>
      </c>
      <c r="F6324" s="9" t="s">
        <v>259</v>
      </c>
      <c r="G6324" s="10" t="s">
        <v>34</v>
      </c>
      <c r="H6324" s="9" t="s">
        <v>22</v>
      </c>
      <c r="I6324" s="9" t="s">
        <v>14632</v>
      </c>
      <c r="J6324" s="10" t="str">
        <f>HYPERLINK("https://www.boe.es/gazeta/dias/1834/10/09/pdfs/GMD-C-1834-237.pdf#page=1","Abrir facsímil")</f>
        <v>Abrir facsímil</v>
      </c>
      <c r="K6324" s="10" t="s">
        <v>24</v>
      </c>
    </row>
    <row r="6325" spans="1:11" ht="54" customHeight="1">
      <c r="A6325" s="9" t="s">
        <v>14628</v>
      </c>
      <c r="B6325" s="9" t="s">
        <v>14628</v>
      </c>
      <c r="C6325" s="9" t="s">
        <v>17</v>
      </c>
      <c r="D6325" s="9" t="s">
        <v>18</v>
      </c>
      <c r="E6325" s="10" t="s">
        <v>1883</v>
      </c>
      <c r="F6325" s="9" t="s">
        <v>1884</v>
      </c>
      <c r="G6325" s="10" t="s">
        <v>34</v>
      </c>
      <c r="H6325" s="9" t="s">
        <v>22</v>
      </c>
      <c r="I6325" s="9" t="s">
        <v>14633</v>
      </c>
      <c r="J6325" s="10" t="str">
        <f>HYPERLINK("https://www.boe.es/gazeta/dias/1834/01/11/pdfs/GMD-1834-6.pdf#page=1","Abrir facsímil")</f>
        <v>Abrir facsímil</v>
      </c>
      <c r="K6325" s="10" t="s">
        <v>24</v>
      </c>
    </row>
    <row r="6326" spans="1:11" ht="54" customHeight="1">
      <c r="A6326" s="9" t="s">
        <v>14628</v>
      </c>
      <c r="B6326" s="9" t="s">
        <v>14628</v>
      </c>
      <c r="C6326" s="9" t="s">
        <v>66</v>
      </c>
      <c r="D6326" s="9" t="s">
        <v>67</v>
      </c>
      <c r="E6326" s="10" t="s">
        <v>2087</v>
      </c>
      <c r="F6326" s="9" t="s">
        <v>2088</v>
      </c>
      <c r="G6326" s="10" t="s">
        <v>21</v>
      </c>
      <c r="H6326" s="9" t="s">
        <v>22</v>
      </c>
      <c r="I6326" s="9" t="s">
        <v>14634</v>
      </c>
      <c r="J6326" s="10" t="str">
        <f>HYPERLINK("https://www.boe.es/gazeta/dias/1834/12/14/pdfs/GMD-1834-303.pdf#page=3","Abrir facsímil")</f>
        <v>Abrir facsímil</v>
      </c>
      <c r="K6326" s="10" t="s">
        <v>24</v>
      </c>
    </row>
    <row r="6327" spans="1:11" ht="54" customHeight="1">
      <c r="A6327" s="9" t="s">
        <v>14628</v>
      </c>
      <c r="B6327" s="9" t="s">
        <v>14628</v>
      </c>
      <c r="C6327" s="9" t="s">
        <v>66</v>
      </c>
      <c r="D6327" s="9" t="s">
        <v>18</v>
      </c>
      <c r="E6327" s="10" t="s">
        <v>233</v>
      </c>
      <c r="F6327" s="9" t="s">
        <v>1810</v>
      </c>
      <c r="G6327" s="10" t="s">
        <v>560</v>
      </c>
      <c r="H6327" s="9" t="s">
        <v>22</v>
      </c>
      <c r="I6327" s="9" t="s">
        <v>14635</v>
      </c>
      <c r="J6327" s="10" t="str">
        <f>HYPERLINK("https://www.boe.es/gazeta/dias/1834/12/16/pdfs/GMD-C-1834-305.pdf#page=7","Abrir facsímil")</f>
        <v>Abrir facsímil</v>
      </c>
      <c r="K6327" s="10" t="s">
        <v>24</v>
      </c>
    </row>
    <row r="6328" spans="1:11" ht="54" customHeight="1">
      <c r="A6328" s="9" t="s">
        <v>14628</v>
      </c>
      <c r="B6328" s="9" t="s">
        <v>14628</v>
      </c>
      <c r="C6328" s="9" t="s">
        <v>17</v>
      </c>
      <c r="D6328" s="9" t="s">
        <v>55</v>
      </c>
      <c r="E6328" s="10" t="s">
        <v>304</v>
      </c>
      <c r="F6328" s="9" t="s">
        <v>305</v>
      </c>
      <c r="G6328" s="10" t="s">
        <v>21</v>
      </c>
      <c r="H6328" s="9" t="s">
        <v>22</v>
      </c>
      <c r="I6328" s="9" t="s">
        <v>14636</v>
      </c>
      <c r="J6328" s="10" t="str">
        <f>HYPERLINK("https://www.boe.es/gazeta/dias/1834/01/21/pdfs/GMD-1834-10.pdf#page=3","Abrir facsímil")</f>
        <v>Abrir facsímil</v>
      </c>
      <c r="K6328" s="10" t="s">
        <v>24</v>
      </c>
    </row>
    <row r="6329" spans="1:11" ht="54" customHeight="1">
      <c r="A6329" s="9" t="s">
        <v>14628</v>
      </c>
      <c r="B6329" s="9" t="s">
        <v>14628</v>
      </c>
      <c r="C6329" s="9" t="s">
        <v>122</v>
      </c>
      <c r="D6329" s="9" t="s">
        <v>18</v>
      </c>
      <c r="E6329" s="10" t="s">
        <v>389</v>
      </c>
      <c r="F6329" s="9" t="s">
        <v>390</v>
      </c>
      <c r="G6329" s="10" t="s">
        <v>21</v>
      </c>
      <c r="H6329" s="9" t="s">
        <v>22</v>
      </c>
      <c r="I6329" s="9" t="s">
        <v>14637</v>
      </c>
      <c r="J6329" s="10" t="str">
        <f>HYPERLINK("https://www.boe.es/gazeta/dias/1834/10/25/pdfs/GMD-1834-253.pdf#page=3","Abrir facsímil")</f>
        <v>Abrir facsímil</v>
      </c>
      <c r="K6329" s="10" t="s">
        <v>24</v>
      </c>
    </row>
    <row r="6330" spans="1:11" ht="54" customHeight="1">
      <c r="A6330" s="9" t="s">
        <v>14628</v>
      </c>
      <c r="B6330" s="9" t="s">
        <v>14628</v>
      </c>
      <c r="C6330" s="9" t="s">
        <v>17</v>
      </c>
      <c r="D6330" s="9" t="s">
        <v>18</v>
      </c>
      <c r="E6330" s="10" t="s">
        <v>251</v>
      </c>
      <c r="F6330" s="9" t="s">
        <v>252</v>
      </c>
      <c r="G6330" s="10" t="s">
        <v>34</v>
      </c>
      <c r="H6330" s="9" t="s">
        <v>22</v>
      </c>
      <c r="I6330" s="9" t="s">
        <v>14638</v>
      </c>
      <c r="J6330" s="10" t="str">
        <f>HYPERLINK("https://www.boe.es/gazeta/dias/1834/09/26/pdfs/GMD-C-1834-224.pdf#page=1","Abrir facsímil")</f>
        <v>Abrir facsímil</v>
      </c>
      <c r="K6330" s="10" t="s">
        <v>24</v>
      </c>
    </row>
    <row r="6331" spans="1:11" ht="54" customHeight="1">
      <c r="A6331" s="9" t="s">
        <v>14628</v>
      </c>
      <c r="B6331" s="9" t="s">
        <v>14628</v>
      </c>
      <c r="C6331" s="9" t="s">
        <v>122</v>
      </c>
      <c r="D6331" s="9" t="s">
        <v>101</v>
      </c>
      <c r="E6331" s="10" t="s">
        <v>803</v>
      </c>
      <c r="F6331" s="9" t="s">
        <v>804</v>
      </c>
      <c r="G6331" s="10" t="s">
        <v>34</v>
      </c>
      <c r="H6331" s="9" t="s">
        <v>22</v>
      </c>
      <c r="I6331" s="9" t="s">
        <v>14639</v>
      </c>
      <c r="J6331" s="10" t="str">
        <f>HYPERLINK("https://www.boe.es/gazeta/dias/1834/03/29/pdfs/GMD-1834-39.pdf#page=1","Abrir facsímil")</f>
        <v>Abrir facsímil</v>
      </c>
      <c r="K6331" s="10" t="s">
        <v>24</v>
      </c>
    </row>
    <row r="6332" spans="1:11" ht="54" customHeight="1">
      <c r="A6332" s="9" t="s">
        <v>14628</v>
      </c>
      <c r="B6332" s="9" t="s">
        <v>14628</v>
      </c>
      <c r="C6332" s="9" t="s">
        <v>857</v>
      </c>
      <c r="D6332" s="9" t="s">
        <v>18</v>
      </c>
      <c r="E6332" s="10" t="s">
        <v>899</v>
      </c>
      <c r="F6332" s="9" t="s">
        <v>900</v>
      </c>
      <c r="G6332" s="10" t="s">
        <v>176</v>
      </c>
      <c r="H6332" s="9" t="s">
        <v>22</v>
      </c>
      <c r="I6332" s="9" t="s">
        <v>14640</v>
      </c>
      <c r="J6332" s="10" t="str">
        <f>HYPERLINK("https://www.boe.es/gazeta/dias/1834/01/30/pdfs/GMD-1834-14.pdf#page=6","Abrir facsímil")</f>
        <v>Abrir facsímil</v>
      </c>
      <c r="K6332" s="10" t="s">
        <v>24</v>
      </c>
    </row>
    <row r="6333" spans="1:11" ht="54" customHeight="1">
      <c r="A6333" s="9" t="s">
        <v>14641</v>
      </c>
      <c r="B6333" s="9" t="s">
        <v>14642</v>
      </c>
      <c r="C6333" s="9" t="s">
        <v>17</v>
      </c>
      <c r="D6333" s="9" t="s">
        <v>101</v>
      </c>
      <c r="E6333" s="10" t="s">
        <v>1025</v>
      </c>
      <c r="F6333" s="9" t="s">
        <v>1026</v>
      </c>
      <c r="G6333" s="10" t="s">
        <v>34</v>
      </c>
      <c r="H6333" s="9" t="s">
        <v>35</v>
      </c>
      <c r="I6333" s="9" t="s">
        <v>14643</v>
      </c>
      <c r="J6333" s="10" t="str">
        <f>HYPERLINK("https://www.boe.es/gazeta/dias/1834/03/01/pdfs/GMD-1834-27.pdf#page=1","Abrir facsímil")</f>
        <v>Abrir facsímil</v>
      </c>
      <c r="K6333" s="10" t="s">
        <v>37</v>
      </c>
    </row>
    <row r="6334" spans="1:11" ht="54" customHeight="1">
      <c r="A6334" s="9" t="s">
        <v>14641</v>
      </c>
      <c r="B6334" s="9" t="s">
        <v>14642</v>
      </c>
      <c r="C6334" s="9" t="s">
        <v>857</v>
      </c>
      <c r="D6334" s="9" t="s">
        <v>18</v>
      </c>
      <c r="E6334" s="10" t="s">
        <v>1337</v>
      </c>
      <c r="F6334" s="9" t="s">
        <v>1338</v>
      </c>
      <c r="G6334" s="10" t="s">
        <v>21</v>
      </c>
      <c r="H6334" s="9" t="s">
        <v>35</v>
      </c>
      <c r="I6334" s="9" t="s">
        <v>14644</v>
      </c>
      <c r="J6334" s="10" t="str">
        <f>HYPERLINK("https://www.boe.es/gazeta/dias/1834/01/02/pdfs/GMD-1834-1.pdf#page=3","Abrir facsímil")</f>
        <v>Abrir facsímil</v>
      </c>
      <c r="K6334" s="10" t="s">
        <v>37</v>
      </c>
    </row>
    <row r="6335" spans="1:11" ht="54" customHeight="1">
      <c r="A6335" s="9" t="s">
        <v>14641</v>
      </c>
      <c r="B6335" s="9" t="s">
        <v>14642</v>
      </c>
      <c r="C6335" s="9" t="s">
        <v>66</v>
      </c>
      <c r="D6335" s="9" t="s">
        <v>18</v>
      </c>
      <c r="E6335" s="10" t="s">
        <v>12114</v>
      </c>
      <c r="F6335" s="9" t="s">
        <v>12115</v>
      </c>
      <c r="G6335" s="10" t="s">
        <v>34</v>
      </c>
      <c r="H6335" s="9" t="s">
        <v>35</v>
      </c>
      <c r="I6335" s="9" t="s">
        <v>14631</v>
      </c>
      <c r="J6335" s="10" t="str">
        <f>HYPERLINK("https://www.boe.es/gazeta/dias/1834/04/08/pdfs/GMD-1834-47.pdf#page=1","Abrir facsímil")</f>
        <v>Abrir facsímil</v>
      </c>
      <c r="K6335" s="10" t="s">
        <v>37</v>
      </c>
    </row>
    <row r="6336" spans="1:11" ht="54" customHeight="1">
      <c r="A6336" s="9" t="s">
        <v>14641</v>
      </c>
      <c r="B6336" s="9" t="s">
        <v>14642</v>
      </c>
      <c r="C6336" s="9" t="s">
        <v>17</v>
      </c>
      <c r="D6336" s="9" t="s">
        <v>18</v>
      </c>
      <c r="E6336" s="10" t="s">
        <v>258</v>
      </c>
      <c r="F6336" s="9" t="s">
        <v>259</v>
      </c>
      <c r="G6336" s="10" t="s">
        <v>34</v>
      </c>
      <c r="H6336" s="9" t="s">
        <v>35</v>
      </c>
      <c r="I6336" s="9" t="s">
        <v>14645</v>
      </c>
      <c r="J6336" s="10" t="str">
        <f>HYPERLINK("https://www.boe.es/gazeta/dias/1834/10/09/pdfs/GMD-C-1834-237.pdf#page=1","Abrir facsímil")</f>
        <v>Abrir facsímil</v>
      </c>
      <c r="K6336" s="10" t="s">
        <v>37</v>
      </c>
    </row>
    <row r="6337" spans="1:11" ht="54" customHeight="1">
      <c r="A6337" s="9" t="s">
        <v>14641</v>
      </c>
      <c r="B6337" s="9" t="s">
        <v>14642</v>
      </c>
      <c r="C6337" s="9" t="s">
        <v>66</v>
      </c>
      <c r="D6337" s="9" t="s">
        <v>67</v>
      </c>
      <c r="E6337" s="10" t="s">
        <v>2087</v>
      </c>
      <c r="F6337" s="9" t="s">
        <v>2088</v>
      </c>
      <c r="G6337" s="10" t="s">
        <v>21</v>
      </c>
      <c r="H6337" s="9" t="s">
        <v>35</v>
      </c>
      <c r="I6337" s="9" t="s">
        <v>14646</v>
      </c>
      <c r="J6337" s="10" t="str">
        <f>HYPERLINK("https://www.boe.es/gazeta/dias/1834/12/14/pdfs/GMD-1834-303.pdf#page=3","Abrir facsímil")</f>
        <v>Abrir facsímil</v>
      </c>
      <c r="K6337" s="10" t="s">
        <v>37</v>
      </c>
    </row>
    <row r="6338" spans="1:11" ht="54" customHeight="1">
      <c r="A6338" s="9" t="s">
        <v>14641</v>
      </c>
      <c r="B6338" s="9" t="s">
        <v>14642</v>
      </c>
      <c r="C6338" s="9" t="s">
        <v>17</v>
      </c>
      <c r="D6338" s="9" t="s">
        <v>55</v>
      </c>
      <c r="E6338" s="10" t="s">
        <v>304</v>
      </c>
      <c r="F6338" s="9" t="s">
        <v>305</v>
      </c>
      <c r="G6338" s="10" t="s">
        <v>21</v>
      </c>
      <c r="H6338" s="9" t="s">
        <v>35</v>
      </c>
      <c r="I6338" s="9" t="s">
        <v>14647</v>
      </c>
      <c r="J6338" s="10" t="str">
        <f>HYPERLINK("https://www.boe.es/gazeta/dias/1834/01/21/pdfs/GMD-1834-10.pdf#page=3","Abrir facsímil")</f>
        <v>Abrir facsímil</v>
      </c>
      <c r="K6338" s="10" t="s">
        <v>37</v>
      </c>
    </row>
    <row r="6339" spans="1:11" ht="54" customHeight="1">
      <c r="A6339" s="9" t="s">
        <v>14641</v>
      </c>
      <c r="B6339" s="9" t="s">
        <v>14642</v>
      </c>
      <c r="C6339" s="9" t="s">
        <v>122</v>
      </c>
      <c r="D6339" s="9" t="s">
        <v>18</v>
      </c>
      <c r="E6339" s="10" t="s">
        <v>389</v>
      </c>
      <c r="F6339" s="9" t="s">
        <v>390</v>
      </c>
      <c r="G6339" s="10" t="s">
        <v>21</v>
      </c>
      <c r="H6339" s="9" t="s">
        <v>35</v>
      </c>
      <c r="I6339" s="9" t="s">
        <v>14648</v>
      </c>
      <c r="J6339" s="10" t="str">
        <f>HYPERLINK("https://www.boe.es/gazeta/dias/1834/10/25/pdfs/GMD-1834-253.pdf#page=3","Abrir facsímil")</f>
        <v>Abrir facsímil</v>
      </c>
      <c r="K6339" s="10" t="s">
        <v>37</v>
      </c>
    </row>
    <row r="6340" spans="1:11" ht="54" customHeight="1">
      <c r="A6340" s="9" t="s">
        <v>14641</v>
      </c>
      <c r="B6340" s="9" t="s">
        <v>14642</v>
      </c>
      <c r="C6340" s="9" t="s">
        <v>122</v>
      </c>
      <c r="D6340" s="9" t="s">
        <v>101</v>
      </c>
      <c r="E6340" s="10" t="s">
        <v>803</v>
      </c>
      <c r="F6340" s="9" t="s">
        <v>804</v>
      </c>
      <c r="G6340" s="10" t="s">
        <v>34</v>
      </c>
      <c r="H6340" s="9" t="s">
        <v>35</v>
      </c>
      <c r="I6340" s="9" t="s">
        <v>14649</v>
      </c>
      <c r="J6340" s="10" t="str">
        <f>HYPERLINK("https://www.boe.es/gazeta/dias/1834/03/29/pdfs/GMD-1834-39.pdf#page=1","Abrir facsímil")</f>
        <v>Abrir facsímil</v>
      </c>
      <c r="K6340" s="10" t="s">
        <v>37</v>
      </c>
    </row>
    <row r="6341" spans="1:11" ht="54" customHeight="1">
      <c r="A6341" s="9" t="s">
        <v>14650</v>
      </c>
      <c r="B6341" s="9" t="s">
        <v>14651</v>
      </c>
      <c r="C6341" s="9" t="s">
        <v>17</v>
      </c>
      <c r="D6341" s="9" t="s">
        <v>101</v>
      </c>
      <c r="E6341" s="10" t="s">
        <v>1025</v>
      </c>
      <c r="F6341" s="9" t="s">
        <v>1026</v>
      </c>
      <c r="G6341" s="10" t="s">
        <v>34</v>
      </c>
      <c r="H6341" s="9" t="s">
        <v>35</v>
      </c>
      <c r="I6341" s="9" t="s">
        <v>14652</v>
      </c>
      <c r="J6341" s="10" t="str">
        <f>HYPERLINK("https://www.boe.es/gazeta/dias/1834/03/01/pdfs/GMD-1834-27.pdf#page=1","Abrir facsímil")</f>
        <v>Abrir facsímil</v>
      </c>
      <c r="K6341" s="10" t="s">
        <v>37</v>
      </c>
    </row>
    <row r="6342" spans="1:11" ht="54" customHeight="1">
      <c r="A6342" s="9" t="s">
        <v>14650</v>
      </c>
      <c r="B6342" s="9" t="s">
        <v>14651</v>
      </c>
      <c r="C6342" s="9" t="s">
        <v>66</v>
      </c>
      <c r="D6342" s="9" t="s">
        <v>67</v>
      </c>
      <c r="E6342" s="10" t="s">
        <v>2087</v>
      </c>
      <c r="F6342" s="9" t="s">
        <v>2088</v>
      </c>
      <c r="G6342" s="10" t="s">
        <v>21</v>
      </c>
      <c r="H6342" s="9" t="s">
        <v>35</v>
      </c>
      <c r="I6342" s="9" t="s">
        <v>14653</v>
      </c>
      <c r="J6342" s="10" t="str">
        <f>HYPERLINK("https://www.boe.es/gazeta/dias/1834/12/14/pdfs/GMD-1834-303.pdf#page=3","Abrir facsímil")</f>
        <v>Abrir facsímil</v>
      </c>
      <c r="K6342" s="10" t="s">
        <v>37</v>
      </c>
    </row>
    <row r="6343" spans="1:11" ht="54" customHeight="1">
      <c r="A6343" s="9" t="s">
        <v>14654</v>
      </c>
      <c r="B6343" s="9" t="s">
        <v>14654</v>
      </c>
      <c r="C6343" s="9" t="s">
        <v>17</v>
      </c>
      <c r="D6343" s="9" t="s">
        <v>18</v>
      </c>
      <c r="E6343" s="10" t="s">
        <v>571</v>
      </c>
      <c r="F6343" s="9" t="s">
        <v>620</v>
      </c>
      <c r="G6343" s="10" t="s">
        <v>86</v>
      </c>
      <c r="H6343" s="9" t="s">
        <v>22</v>
      </c>
      <c r="I6343" s="9" t="s">
        <v>14655</v>
      </c>
      <c r="J6343" s="10" t="str">
        <f>HYPERLINK("https://www.boe.es/gazeta/dias/1834/09/04/pdfs/GMD-C-1834-202.pdf#page=2","Abrir facsímil")</f>
        <v>Abrir facsímil</v>
      </c>
      <c r="K6343" s="10" t="s">
        <v>24</v>
      </c>
    </row>
    <row r="6344" spans="1:11" ht="54" customHeight="1">
      <c r="A6344" s="9" t="s">
        <v>14656</v>
      </c>
      <c r="B6344" s="9" t="s">
        <v>14657</v>
      </c>
      <c r="C6344" s="9" t="s">
        <v>66</v>
      </c>
      <c r="D6344" s="9" t="s">
        <v>67</v>
      </c>
      <c r="E6344" s="10" t="s">
        <v>1084</v>
      </c>
      <c r="F6344" s="9" t="s">
        <v>1085</v>
      </c>
      <c r="G6344" s="10" t="s">
        <v>176</v>
      </c>
      <c r="H6344" s="9" t="s">
        <v>22</v>
      </c>
      <c r="I6344" s="9" t="s">
        <v>14658</v>
      </c>
      <c r="J6344" s="10" t="str">
        <f>HYPERLINK("https://www.boe.es/gazeta/dias/1834/05/01/pdfs/GMD-1834-70.pdf#page=6","Abrir facsímil")</f>
        <v>Abrir facsímil</v>
      </c>
      <c r="K6344" s="10" t="s">
        <v>24</v>
      </c>
    </row>
    <row r="6345" spans="1:11" ht="54" customHeight="1">
      <c r="A6345" s="9" t="s">
        <v>14659</v>
      </c>
      <c r="B6345" s="9" t="s">
        <v>14660</v>
      </c>
      <c r="C6345" s="9" t="s">
        <v>17</v>
      </c>
      <c r="D6345" s="9" t="s">
        <v>18</v>
      </c>
      <c r="E6345" s="10" t="s">
        <v>68</v>
      </c>
      <c r="F6345" s="9" t="s">
        <v>69</v>
      </c>
      <c r="G6345" s="10" t="s">
        <v>21</v>
      </c>
      <c r="H6345" s="9" t="s">
        <v>35</v>
      </c>
      <c r="I6345" s="9" t="s">
        <v>14661</v>
      </c>
      <c r="J6345" s="10" t="str">
        <f>HYPERLINK("https://www.boe.es/gazeta/dias/1834/11/01/pdfs/GMD-1834-260.pdf#page=3","Abrir facsímil")</f>
        <v>Abrir facsímil</v>
      </c>
      <c r="K6345" s="10" t="s">
        <v>37</v>
      </c>
    </row>
    <row r="6346" spans="1:11" ht="54" customHeight="1">
      <c r="A6346" s="9" t="s">
        <v>14659</v>
      </c>
      <c r="B6346" s="9" t="s">
        <v>14660</v>
      </c>
      <c r="C6346" s="9" t="s">
        <v>46</v>
      </c>
      <c r="D6346" s="9" t="s">
        <v>55</v>
      </c>
      <c r="E6346" s="10" t="s">
        <v>571</v>
      </c>
      <c r="F6346" s="9" t="s">
        <v>620</v>
      </c>
      <c r="G6346" s="10" t="s">
        <v>75</v>
      </c>
      <c r="H6346" s="9" t="s">
        <v>35</v>
      </c>
      <c r="I6346" s="9" t="s">
        <v>14662</v>
      </c>
      <c r="J6346" s="10" t="str">
        <f>HYPERLINK("https://www.boe.es/gazeta/dias/1834/09/04/pdfs/GMD-C-1834-202.pdf#page=4","Abrir facsímil")</f>
        <v>Abrir facsímil</v>
      </c>
      <c r="K6346" s="10" t="s">
        <v>37</v>
      </c>
    </row>
    <row r="6347" spans="1:11" ht="54" customHeight="1">
      <c r="A6347" s="9" t="s">
        <v>14659</v>
      </c>
      <c r="B6347" s="9" t="s">
        <v>14660</v>
      </c>
      <c r="C6347" s="9" t="s">
        <v>90</v>
      </c>
      <c r="D6347" s="9" t="s">
        <v>101</v>
      </c>
      <c r="E6347" s="10" t="s">
        <v>1170</v>
      </c>
      <c r="F6347" s="9" t="s">
        <v>1171</v>
      </c>
      <c r="G6347" s="10" t="s">
        <v>21</v>
      </c>
      <c r="H6347" s="9" t="s">
        <v>35</v>
      </c>
      <c r="I6347" s="9" t="s">
        <v>14663</v>
      </c>
      <c r="J6347" s="10" t="str">
        <f>HYPERLINK("https://www.boe.es/gazeta/dias/1834/01/07/pdfs/GMD-1834-4.pdf#page=3","Abrir facsímil")</f>
        <v>Abrir facsímil</v>
      </c>
      <c r="K6347" s="10" t="s">
        <v>37</v>
      </c>
    </row>
    <row r="6348" spans="1:11" ht="54" customHeight="1">
      <c r="A6348" s="9" t="s">
        <v>14659</v>
      </c>
      <c r="B6348" s="9" t="s">
        <v>14660</v>
      </c>
      <c r="C6348" s="9" t="s">
        <v>46</v>
      </c>
      <c r="D6348" s="9" t="s">
        <v>18</v>
      </c>
      <c r="E6348" s="10" t="s">
        <v>12114</v>
      </c>
      <c r="F6348" s="9" t="s">
        <v>12115</v>
      </c>
      <c r="G6348" s="10" t="s">
        <v>34</v>
      </c>
      <c r="H6348" s="9" t="s">
        <v>35</v>
      </c>
      <c r="I6348" s="9" t="s">
        <v>14664</v>
      </c>
      <c r="J6348" s="10" t="str">
        <f>HYPERLINK("https://www.boe.es/gazeta/dias/1834/04/08/pdfs/GMD-1834-47.pdf#page=1","Abrir facsímil")</f>
        <v>Abrir facsímil</v>
      </c>
      <c r="K6348" s="10" t="s">
        <v>37</v>
      </c>
    </row>
    <row r="6349" spans="1:11" ht="54" customHeight="1">
      <c r="A6349" s="9" t="s">
        <v>14659</v>
      </c>
      <c r="B6349" s="9" t="s">
        <v>14660</v>
      </c>
      <c r="C6349" s="9" t="s">
        <v>17</v>
      </c>
      <c r="D6349" s="9" t="s">
        <v>18</v>
      </c>
      <c r="E6349" s="10" t="s">
        <v>1008</v>
      </c>
      <c r="F6349" s="9" t="s">
        <v>1009</v>
      </c>
      <c r="G6349" s="10" t="s">
        <v>21</v>
      </c>
      <c r="H6349" s="9" t="s">
        <v>35</v>
      </c>
      <c r="I6349" s="9" t="s">
        <v>14665</v>
      </c>
      <c r="J6349" s="10" t="str">
        <f>HYPERLINK("https://www.boe.es/gazeta/dias/1834/11/08/pdfs/GMD-C-1834-267.pdf#page=3","Abrir facsímil")</f>
        <v>Abrir facsímil</v>
      </c>
      <c r="K6349" s="10" t="s">
        <v>37</v>
      </c>
    </row>
    <row r="6350" spans="1:11" ht="54" customHeight="1">
      <c r="A6350" s="9" t="s">
        <v>14659</v>
      </c>
      <c r="B6350" s="9" t="s">
        <v>14660</v>
      </c>
      <c r="C6350" s="9" t="s">
        <v>17</v>
      </c>
      <c r="D6350" s="9" t="s">
        <v>18</v>
      </c>
      <c r="E6350" s="10" t="s">
        <v>2748</v>
      </c>
      <c r="F6350" s="9" t="s">
        <v>2749</v>
      </c>
      <c r="G6350" s="10" t="s">
        <v>86</v>
      </c>
      <c r="H6350" s="9" t="s">
        <v>35</v>
      </c>
      <c r="I6350" s="9" t="s">
        <v>14666</v>
      </c>
      <c r="J6350" s="10" t="str">
        <f>HYPERLINK("https://www.boe.es/gazeta/dias/1834/01/09/pdfs/GMD-1834-5.pdf#page=2","Abrir facsímil")</f>
        <v>Abrir facsímil</v>
      </c>
      <c r="K6350" s="10" t="s">
        <v>37</v>
      </c>
    </row>
    <row r="6351" spans="1:11" ht="54" customHeight="1">
      <c r="A6351" s="9" t="s">
        <v>14659</v>
      </c>
      <c r="B6351" s="9" t="s">
        <v>14660</v>
      </c>
      <c r="C6351" s="9" t="s">
        <v>17</v>
      </c>
      <c r="D6351" s="9" t="s">
        <v>18</v>
      </c>
      <c r="E6351" s="10" t="s">
        <v>785</v>
      </c>
      <c r="F6351" s="9" t="s">
        <v>786</v>
      </c>
      <c r="G6351" s="10" t="s">
        <v>75</v>
      </c>
      <c r="H6351" s="9" t="s">
        <v>35</v>
      </c>
      <c r="I6351" s="9" t="s">
        <v>14667</v>
      </c>
      <c r="J6351" s="10" t="str">
        <f>HYPERLINK("https://www.boe.es/gazeta/dias/1834/02/11/pdfs/GMD-1834-19.pdf#page=4","Abrir facsímil")</f>
        <v>Abrir facsímil</v>
      </c>
      <c r="K6351" s="10" t="s">
        <v>37</v>
      </c>
    </row>
    <row r="6352" spans="1:11" ht="54" customHeight="1">
      <c r="A6352" s="9" t="s">
        <v>14659</v>
      </c>
      <c r="B6352" s="9" t="s">
        <v>14660</v>
      </c>
      <c r="C6352" s="9" t="s">
        <v>46</v>
      </c>
      <c r="D6352" s="9" t="s">
        <v>101</v>
      </c>
      <c r="E6352" s="10" t="s">
        <v>739</v>
      </c>
      <c r="F6352" s="9" t="s">
        <v>740</v>
      </c>
      <c r="G6352" s="10" t="s">
        <v>86</v>
      </c>
      <c r="H6352" s="9" t="s">
        <v>35</v>
      </c>
      <c r="I6352" s="9" t="s">
        <v>14668</v>
      </c>
      <c r="J6352" s="10" t="str">
        <f>HYPERLINK("https://www.boe.es/gazeta/dias/1834/03/25/pdfs/GMD-1834-37.pdf#page=2","Abrir facsímil")</f>
        <v>Abrir facsímil</v>
      </c>
      <c r="K6352" s="10" t="s">
        <v>37</v>
      </c>
    </row>
    <row r="6353" spans="1:11" ht="54" customHeight="1">
      <c r="A6353" s="9" t="s">
        <v>14669</v>
      </c>
      <c r="B6353" s="9" t="s">
        <v>14670</v>
      </c>
      <c r="C6353" s="9" t="s">
        <v>17</v>
      </c>
      <c r="D6353" s="9" t="s">
        <v>18</v>
      </c>
      <c r="E6353" s="10" t="s">
        <v>838</v>
      </c>
      <c r="F6353" s="9" t="s">
        <v>839</v>
      </c>
      <c r="G6353" s="10" t="s">
        <v>75</v>
      </c>
      <c r="H6353" s="9" t="s">
        <v>22</v>
      </c>
      <c r="I6353" s="9" t="s">
        <v>14671</v>
      </c>
      <c r="J6353" s="10" t="str">
        <f>HYPERLINK("https://www.boe.es/gazeta/dias/1834/07/18/pdfs/GMD-1834-151.pdf#page=4","Abrir facsímil")</f>
        <v>Abrir facsímil</v>
      </c>
      <c r="K6353" s="10" t="s">
        <v>24</v>
      </c>
    </row>
    <row r="6354" spans="1:11" ht="54" customHeight="1">
      <c r="A6354" s="9" t="s">
        <v>14672</v>
      </c>
      <c r="B6354" s="9" t="s">
        <v>14673</v>
      </c>
      <c r="C6354" s="9" t="s">
        <v>17</v>
      </c>
      <c r="D6354" s="9" t="s">
        <v>18</v>
      </c>
      <c r="E6354" s="10" t="s">
        <v>304</v>
      </c>
      <c r="F6354" s="9" t="s">
        <v>305</v>
      </c>
      <c r="G6354" s="10" t="s">
        <v>28</v>
      </c>
      <c r="H6354" s="9" t="s">
        <v>22</v>
      </c>
      <c r="I6354" s="9" t="s">
        <v>14674</v>
      </c>
      <c r="J6354" s="10" t="str">
        <f>HYPERLINK("https://www.boe.es/gazeta/dias/1834/01/21/pdfs/GMD-1834-10.pdf#page=5","Abrir facsímil")</f>
        <v>Abrir facsímil</v>
      </c>
      <c r="K6354" s="10" t="s">
        <v>24</v>
      </c>
    </row>
    <row r="6355" spans="1:11" ht="54" customHeight="1">
      <c r="A6355" s="9" t="s">
        <v>14675</v>
      </c>
      <c r="B6355" s="9" t="s">
        <v>14676</v>
      </c>
      <c r="C6355" s="9" t="s">
        <v>17</v>
      </c>
      <c r="D6355" s="9" t="s">
        <v>18</v>
      </c>
      <c r="E6355" s="10" t="s">
        <v>209</v>
      </c>
      <c r="F6355" s="9" t="s">
        <v>210</v>
      </c>
      <c r="G6355" s="10" t="s">
        <v>34</v>
      </c>
      <c r="H6355" s="9" t="s">
        <v>22</v>
      </c>
      <c r="I6355" s="9" t="s">
        <v>14677</v>
      </c>
      <c r="J6355" s="10" t="str">
        <f>HYPERLINK("https://www.boe.es/gazeta/dias/1834/07/01/pdfs/GMD-1834-134.pdf#page=1","Abrir facsímil")</f>
        <v>Abrir facsímil</v>
      </c>
      <c r="K6355" s="10" t="s">
        <v>24</v>
      </c>
    </row>
    <row r="6356" spans="1:11" ht="54" customHeight="1">
      <c r="A6356" s="9" t="s">
        <v>14678</v>
      </c>
      <c r="B6356" s="9" t="s">
        <v>14679</v>
      </c>
      <c r="C6356" s="9" t="s">
        <v>90</v>
      </c>
      <c r="D6356" s="9" t="s">
        <v>18</v>
      </c>
      <c r="E6356" s="10" t="s">
        <v>299</v>
      </c>
      <c r="F6356" s="9" t="s">
        <v>300</v>
      </c>
      <c r="G6356" s="10" t="s">
        <v>21</v>
      </c>
      <c r="H6356" s="9" t="s">
        <v>22</v>
      </c>
      <c r="I6356" s="9" t="s">
        <v>14680</v>
      </c>
      <c r="J6356" s="10" t="str">
        <f>HYPERLINK("https://www.boe.es/gazeta/dias/1834/12/12/pdfs/GMD-1834-301.pdf#page=3","Abrir facsímil")</f>
        <v>Abrir facsímil</v>
      </c>
      <c r="K6356" s="10" t="s">
        <v>24</v>
      </c>
    </row>
    <row r="6357" spans="1:11" ht="54" customHeight="1">
      <c r="A6357" s="9" t="s">
        <v>14678</v>
      </c>
      <c r="B6357" s="9" t="s">
        <v>14679</v>
      </c>
      <c r="C6357" s="9" t="s">
        <v>17</v>
      </c>
      <c r="D6357" s="9" t="s">
        <v>18</v>
      </c>
      <c r="E6357" s="10" t="s">
        <v>576</v>
      </c>
      <c r="F6357" s="9" t="s">
        <v>577</v>
      </c>
      <c r="G6357" s="10" t="s">
        <v>21</v>
      </c>
      <c r="H6357" s="9" t="s">
        <v>22</v>
      </c>
      <c r="I6357" s="9" t="s">
        <v>14681</v>
      </c>
      <c r="J6357" s="10" t="str">
        <f>HYPERLINK("https://www.boe.es/gazeta/dias/1834/09/23/pdfs/GMD-1834-221.pdf#page=3","Abrir facsímil")</f>
        <v>Abrir facsímil</v>
      </c>
      <c r="K6357" s="10" t="s">
        <v>24</v>
      </c>
    </row>
    <row r="6358" spans="1:11" ht="54" customHeight="1">
      <c r="A6358" s="9" t="s">
        <v>14682</v>
      </c>
      <c r="B6358" s="9" t="s">
        <v>14683</v>
      </c>
      <c r="C6358" s="9" t="s">
        <v>17</v>
      </c>
      <c r="D6358" s="9" t="s">
        <v>18</v>
      </c>
      <c r="E6358" s="10" t="s">
        <v>209</v>
      </c>
      <c r="F6358" s="9" t="s">
        <v>210</v>
      </c>
      <c r="G6358" s="10" t="s">
        <v>34</v>
      </c>
      <c r="H6358" s="9" t="s">
        <v>22</v>
      </c>
      <c r="I6358" s="9" t="s">
        <v>14684</v>
      </c>
      <c r="J6358" s="10" t="str">
        <f>HYPERLINK("https://www.boe.es/gazeta/dias/1834/07/01/pdfs/GMD-1834-134.pdf#page=1","Abrir facsímil")</f>
        <v>Abrir facsímil</v>
      </c>
      <c r="K6358" s="10" t="s">
        <v>24</v>
      </c>
    </row>
    <row r="6359" spans="1:11" ht="54" customHeight="1">
      <c r="A6359" s="9" t="s">
        <v>14685</v>
      </c>
      <c r="B6359" s="9" t="s">
        <v>14686</v>
      </c>
      <c r="C6359" s="9" t="s">
        <v>66</v>
      </c>
      <c r="D6359" s="9" t="s">
        <v>67</v>
      </c>
      <c r="E6359" s="10" t="s">
        <v>133</v>
      </c>
      <c r="F6359" s="9" t="s">
        <v>134</v>
      </c>
      <c r="G6359" s="10" t="s">
        <v>34</v>
      </c>
      <c r="H6359" s="9" t="s">
        <v>22</v>
      </c>
      <c r="I6359" s="9" t="s">
        <v>14687</v>
      </c>
      <c r="J6359" s="10" t="str">
        <f>HYPERLINK("https://www.boe.es/gazeta/dias/1834/06/18/pdfs/GMD-1834-121.pdf#page=1","Abrir facsímil")</f>
        <v>Abrir facsímil</v>
      </c>
      <c r="K6359" s="10" t="s">
        <v>24</v>
      </c>
    </row>
    <row r="6360" spans="1:11" ht="54" customHeight="1">
      <c r="A6360" s="9" t="s">
        <v>14688</v>
      </c>
      <c r="B6360" s="9" t="s">
        <v>14689</v>
      </c>
      <c r="C6360" s="9" t="s">
        <v>17</v>
      </c>
      <c r="D6360" s="9" t="s">
        <v>18</v>
      </c>
      <c r="E6360" s="10" t="s">
        <v>2748</v>
      </c>
      <c r="F6360" s="9" t="s">
        <v>2749</v>
      </c>
      <c r="G6360" s="10" t="s">
        <v>86</v>
      </c>
      <c r="H6360" s="9" t="s">
        <v>35</v>
      </c>
      <c r="I6360" s="9" t="s">
        <v>14690</v>
      </c>
      <c r="J6360" s="10" t="str">
        <f>HYPERLINK("https://www.boe.es/gazeta/dias/1834/01/09/pdfs/GMD-1834-5.pdf#page=2","Abrir facsímil")</f>
        <v>Abrir facsímil</v>
      </c>
      <c r="K6360" s="10" t="s">
        <v>37</v>
      </c>
    </row>
    <row r="6361" spans="1:11" ht="54" customHeight="1">
      <c r="A6361" s="9" t="s">
        <v>14688</v>
      </c>
      <c r="B6361" s="9" t="s">
        <v>14689</v>
      </c>
      <c r="C6361" s="9" t="s">
        <v>46</v>
      </c>
      <c r="D6361" s="9" t="s">
        <v>101</v>
      </c>
      <c r="E6361" s="10" t="s">
        <v>739</v>
      </c>
      <c r="F6361" s="9" t="s">
        <v>740</v>
      </c>
      <c r="G6361" s="10" t="s">
        <v>86</v>
      </c>
      <c r="H6361" s="9" t="s">
        <v>35</v>
      </c>
      <c r="I6361" s="9" t="s">
        <v>14691</v>
      </c>
      <c r="J6361" s="10" t="str">
        <f>HYPERLINK("https://www.boe.es/gazeta/dias/1834/03/25/pdfs/GMD-1834-37.pdf#page=2","Abrir facsímil")</f>
        <v>Abrir facsímil</v>
      </c>
      <c r="K6361" s="10" t="s">
        <v>37</v>
      </c>
    </row>
    <row r="6362" spans="1:11" ht="54" customHeight="1">
      <c r="A6362" s="9" t="s">
        <v>14692</v>
      </c>
      <c r="B6362" s="9" t="s">
        <v>14692</v>
      </c>
      <c r="C6362" s="9" t="s">
        <v>66</v>
      </c>
      <c r="D6362" s="9" t="s">
        <v>67</v>
      </c>
      <c r="E6362" s="10" t="s">
        <v>808</v>
      </c>
      <c r="F6362" s="9" t="s">
        <v>809</v>
      </c>
      <c r="G6362" s="10" t="s">
        <v>75</v>
      </c>
      <c r="H6362" s="9" t="s">
        <v>22</v>
      </c>
      <c r="I6362" s="9" t="s">
        <v>14693</v>
      </c>
      <c r="J6362" s="10" t="str">
        <f>HYPERLINK("https://www.boe.es/gazeta/dias/1834/10/11/pdfs/GMD-1834-239.pdf#page=4","Abrir facsímil")</f>
        <v>Abrir facsímil</v>
      </c>
      <c r="K6362" s="10" t="s">
        <v>24</v>
      </c>
    </row>
    <row r="6363" spans="1:11" ht="54" customHeight="1">
      <c r="A6363" s="9" t="s">
        <v>14694</v>
      </c>
      <c r="B6363" s="9" t="s">
        <v>14694</v>
      </c>
      <c r="C6363" s="9" t="s">
        <v>46</v>
      </c>
      <c r="D6363" s="9" t="s">
        <v>101</v>
      </c>
      <c r="E6363" s="10" t="s">
        <v>524</v>
      </c>
      <c r="F6363" s="9" t="s">
        <v>525</v>
      </c>
      <c r="G6363" s="10" t="s">
        <v>86</v>
      </c>
      <c r="H6363" s="9" t="s">
        <v>22</v>
      </c>
      <c r="I6363" s="9" t="s">
        <v>14695</v>
      </c>
      <c r="J6363" s="10" t="str">
        <f>HYPERLINK("https://www.boe.es/gazeta/dias/1834/12/25/pdfs/GMD-C-1834-315.pdf#page=2","Abrir facsímil")</f>
        <v>Abrir facsímil</v>
      </c>
      <c r="K6363" s="10" t="s">
        <v>24</v>
      </c>
    </row>
    <row r="6364" spans="1:11" ht="54" customHeight="1">
      <c r="A6364" s="9" t="s">
        <v>14696</v>
      </c>
      <c r="B6364" s="9" t="s">
        <v>14696</v>
      </c>
      <c r="C6364" s="9" t="s">
        <v>46</v>
      </c>
      <c r="D6364" s="9" t="s">
        <v>18</v>
      </c>
      <c r="E6364" s="10" t="s">
        <v>2459</v>
      </c>
      <c r="F6364" s="9" t="s">
        <v>2460</v>
      </c>
      <c r="G6364" s="10" t="s">
        <v>75</v>
      </c>
      <c r="H6364" s="9" t="s">
        <v>22</v>
      </c>
      <c r="I6364" s="9" t="s">
        <v>14697</v>
      </c>
      <c r="J6364" s="10" t="str">
        <f>HYPERLINK("https://www.boe.es/gazeta/dias/1834/04/04/pdfs/GMD-1834-43.pdf#page=4","Abrir facsímil")</f>
        <v>Abrir facsímil</v>
      </c>
      <c r="K6364" s="10" t="s">
        <v>24</v>
      </c>
    </row>
    <row r="6365" spans="1:11" ht="54" customHeight="1">
      <c r="A6365" s="9" t="s">
        <v>14696</v>
      </c>
      <c r="B6365" s="9" t="s">
        <v>14696</v>
      </c>
      <c r="C6365" s="9" t="s">
        <v>46</v>
      </c>
      <c r="D6365" s="9" t="s">
        <v>55</v>
      </c>
      <c r="E6365" s="10" t="s">
        <v>41</v>
      </c>
      <c r="F6365" s="9" t="s">
        <v>42</v>
      </c>
      <c r="G6365" s="10" t="s">
        <v>21</v>
      </c>
      <c r="H6365" s="9" t="s">
        <v>22</v>
      </c>
      <c r="I6365" s="9" t="s">
        <v>14698</v>
      </c>
      <c r="J6365" s="10" t="str">
        <f>HYPERLINK("https://www.boe.es/gazeta/dias/1834/06/11/pdfs/GMD-1834-114.pdf#page=3","Abrir facsímil")</f>
        <v>Abrir facsímil</v>
      </c>
      <c r="K6365" s="10" t="s">
        <v>24</v>
      </c>
    </row>
    <row r="6366" spans="1:11" ht="54" customHeight="1">
      <c r="A6366" s="9" t="s">
        <v>14696</v>
      </c>
      <c r="B6366" s="9" t="s">
        <v>14696</v>
      </c>
      <c r="C6366" s="9" t="s">
        <v>122</v>
      </c>
      <c r="D6366" s="9" t="s">
        <v>18</v>
      </c>
      <c r="E6366" s="10" t="s">
        <v>1575</v>
      </c>
      <c r="F6366" s="9" t="s">
        <v>1576</v>
      </c>
      <c r="G6366" s="10" t="s">
        <v>75</v>
      </c>
      <c r="H6366" s="9" t="s">
        <v>22</v>
      </c>
      <c r="I6366" s="9" t="s">
        <v>14699</v>
      </c>
      <c r="J6366" s="10" t="str">
        <f>HYPERLINK("https://www.boe.es/gazeta/dias/1834/11/24/pdfs/GMD-1834-283.pdf#page=4","Abrir facsímil")</f>
        <v>Abrir facsímil</v>
      </c>
      <c r="K6366" s="10" t="s">
        <v>24</v>
      </c>
    </row>
    <row r="6367" spans="1:11" ht="54" customHeight="1">
      <c r="A6367" s="9" t="s">
        <v>14696</v>
      </c>
      <c r="B6367" s="9" t="s">
        <v>14696</v>
      </c>
      <c r="C6367" s="9" t="s">
        <v>66</v>
      </c>
      <c r="D6367" s="9" t="s">
        <v>67</v>
      </c>
      <c r="E6367" s="10" t="s">
        <v>590</v>
      </c>
      <c r="F6367" s="9" t="s">
        <v>591</v>
      </c>
      <c r="G6367" s="10" t="s">
        <v>21</v>
      </c>
      <c r="H6367" s="9" t="s">
        <v>22</v>
      </c>
      <c r="I6367" s="9" t="s">
        <v>14700</v>
      </c>
      <c r="J6367" s="10" t="str">
        <f>HYPERLINK("https://www.boe.es/gazeta/dias/1834/11/30/pdfs/GMD-1834-289.pdf#page=3","Abrir facsímil")</f>
        <v>Abrir facsímil</v>
      </c>
      <c r="K6367" s="10" t="s">
        <v>24</v>
      </c>
    </row>
    <row r="6368" spans="1:11" ht="54" customHeight="1">
      <c r="A6368" s="9" t="s">
        <v>14701</v>
      </c>
      <c r="B6368" s="9" t="s">
        <v>14702</v>
      </c>
      <c r="C6368" s="9" t="s">
        <v>46</v>
      </c>
      <c r="D6368" s="9" t="s">
        <v>55</v>
      </c>
      <c r="E6368" s="10" t="s">
        <v>41</v>
      </c>
      <c r="F6368" s="9" t="s">
        <v>42</v>
      </c>
      <c r="G6368" s="10" t="s">
        <v>21</v>
      </c>
      <c r="H6368" s="9" t="s">
        <v>35</v>
      </c>
      <c r="I6368" s="9" t="s">
        <v>14703</v>
      </c>
      <c r="J6368" s="10" t="str">
        <f>HYPERLINK("https://www.boe.es/gazeta/dias/1834/06/11/pdfs/GMD-1834-114.pdf#page=3","Abrir facsímil")</f>
        <v>Abrir facsímil</v>
      </c>
      <c r="K6368" s="10" t="s">
        <v>37</v>
      </c>
    </row>
    <row r="6369" spans="1:11" ht="54" customHeight="1">
      <c r="A6369" s="9" t="s">
        <v>14701</v>
      </c>
      <c r="B6369" s="9" t="s">
        <v>14702</v>
      </c>
      <c r="C6369" s="9" t="s">
        <v>122</v>
      </c>
      <c r="D6369" s="9" t="s">
        <v>18</v>
      </c>
      <c r="E6369" s="10" t="s">
        <v>1575</v>
      </c>
      <c r="F6369" s="9" t="s">
        <v>1576</v>
      </c>
      <c r="G6369" s="10" t="s">
        <v>75</v>
      </c>
      <c r="H6369" s="9" t="s">
        <v>35</v>
      </c>
      <c r="I6369" s="9" t="s">
        <v>14704</v>
      </c>
      <c r="J6369" s="10" t="str">
        <f>HYPERLINK("https://www.boe.es/gazeta/dias/1834/11/24/pdfs/GMD-1834-283.pdf#page=4","Abrir facsímil")</f>
        <v>Abrir facsímil</v>
      </c>
      <c r="K6369" s="10" t="s">
        <v>37</v>
      </c>
    </row>
    <row r="6370" spans="1:11" ht="54" customHeight="1">
      <c r="A6370" s="9" t="s">
        <v>14705</v>
      </c>
      <c r="B6370" s="9" t="s">
        <v>14706</v>
      </c>
      <c r="C6370" s="9" t="s">
        <v>17</v>
      </c>
      <c r="D6370" s="9" t="s">
        <v>40</v>
      </c>
      <c r="E6370" s="10" t="s">
        <v>8279</v>
      </c>
      <c r="F6370" s="9" t="s">
        <v>8280</v>
      </c>
      <c r="G6370" s="10" t="s">
        <v>75</v>
      </c>
      <c r="H6370" s="9" t="s">
        <v>22</v>
      </c>
      <c r="I6370" s="9" t="s">
        <v>14707</v>
      </c>
      <c r="J6370" s="10" t="str">
        <f>HYPERLINK("https://www.boe.es/gazeta/dias/1834/04/22/pdfs/GMD-1834-61.pdf#page=4","Abrir facsímil")</f>
        <v>Abrir facsímil</v>
      </c>
      <c r="K6370" s="10" t="s">
        <v>24</v>
      </c>
    </row>
    <row r="6371" spans="1:11" ht="54" customHeight="1">
      <c r="A6371" s="9" t="s">
        <v>14708</v>
      </c>
      <c r="B6371" s="9" t="s">
        <v>14708</v>
      </c>
      <c r="C6371" s="9" t="s">
        <v>46</v>
      </c>
      <c r="D6371" s="9" t="s">
        <v>55</v>
      </c>
      <c r="E6371" s="10" t="s">
        <v>258</v>
      </c>
      <c r="F6371" s="9" t="s">
        <v>259</v>
      </c>
      <c r="G6371" s="10" t="s">
        <v>86</v>
      </c>
      <c r="H6371" s="9" t="s">
        <v>22</v>
      </c>
      <c r="I6371" s="9" t="s">
        <v>14709</v>
      </c>
      <c r="J6371" s="10" t="str">
        <f>HYPERLINK("https://www.boe.es/gazeta/dias/1834/10/09/pdfs/GMD-C-1834-237.pdf#page=2","Abrir facsímil")</f>
        <v>Abrir facsímil</v>
      </c>
      <c r="K6371" s="10" t="s">
        <v>24</v>
      </c>
    </row>
    <row r="6372" spans="1:11" ht="54" customHeight="1">
      <c r="A6372" s="9" t="s">
        <v>14708</v>
      </c>
      <c r="B6372" s="9" t="s">
        <v>14708</v>
      </c>
      <c r="C6372" s="9" t="s">
        <v>17</v>
      </c>
      <c r="D6372" s="9" t="s">
        <v>18</v>
      </c>
      <c r="E6372" s="10" t="s">
        <v>2048</v>
      </c>
      <c r="F6372" s="9" t="s">
        <v>2049</v>
      </c>
      <c r="G6372" s="10" t="s">
        <v>75</v>
      </c>
      <c r="H6372" s="9" t="s">
        <v>22</v>
      </c>
      <c r="I6372" s="9" t="s">
        <v>14710</v>
      </c>
      <c r="J6372" s="10" t="str">
        <f>HYPERLINK("https://www.boe.es/gazeta/dias/1834/05/12/pdfs/GMD-1834-81.pdf#page=4","Abrir facsímil")</f>
        <v>Abrir facsímil</v>
      </c>
      <c r="K6372" s="10" t="s">
        <v>24</v>
      </c>
    </row>
    <row r="6373" spans="1:11" ht="54" customHeight="1">
      <c r="A6373" s="9" t="s">
        <v>14708</v>
      </c>
      <c r="B6373" s="9" t="s">
        <v>14708</v>
      </c>
      <c r="C6373" s="9" t="s">
        <v>17</v>
      </c>
      <c r="D6373" s="9" t="s">
        <v>18</v>
      </c>
      <c r="E6373" s="10" t="s">
        <v>299</v>
      </c>
      <c r="F6373" s="9" t="s">
        <v>2255</v>
      </c>
      <c r="G6373" s="10" t="s">
        <v>75</v>
      </c>
      <c r="H6373" s="9" t="s">
        <v>22</v>
      </c>
      <c r="I6373" s="9" t="s">
        <v>14711</v>
      </c>
      <c r="J6373" s="10" t="str">
        <f>HYPERLINK("https://www.boe.es/gazeta/dias/1834/12/12/pdfs/GMD-C-1834-301.pdf#page=4","Abrir facsímil")</f>
        <v>Abrir facsímil</v>
      </c>
      <c r="K6373" s="10" t="s">
        <v>24</v>
      </c>
    </row>
    <row r="6374" spans="1:11" ht="54" customHeight="1">
      <c r="A6374" s="9" t="s">
        <v>14708</v>
      </c>
      <c r="B6374" s="9" t="s">
        <v>14708</v>
      </c>
      <c r="C6374" s="9" t="s">
        <v>17</v>
      </c>
      <c r="D6374" s="9" t="s">
        <v>18</v>
      </c>
      <c r="E6374" s="10" t="s">
        <v>772</v>
      </c>
      <c r="F6374" s="9" t="s">
        <v>2284</v>
      </c>
      <c r="G6374" s="10" t="s">
        <v>560</v>
      </c>
      <c r="H6374" s="9" t="s">
        <v>22</v>
      </c>
      <c r="I6374" s="9" t="s">
        <v>14712</v>
      </c>
      <c r="J6374" s="10" t="str">
        <f>HYPERLINK("https://www.boe.es/gazeta/dias/1834/09/18/pdfs/GMD-C-1834-216.pdf#page=7","Abrir facsímil")</f>
        <v>Abrir facsímil</v>
      </c>
      <c r="K6374" s="10" t="s">
        <v>24</v>
      </c>
    </row>
    <row r="6375" spans="1:11" ht="54" customHeight="1">
      <c r="A6375" s="9" t="s">
        <v>14708</v>
      </c>
      <c r="B6375" s="9" t="s">
        <v>14708</v>
      </c>
      <c r="C6375" s="9" t="s">
        <v>90</v>
      </c>
      <c r="D6375" s="9" t="s">
        <v>67</v>
      </c>
      <c r="E6375" s="10" t="s">
        <v>273</v>
      </c>
      <c r="F6375" s="9" t="s">
        <v>274</v>
      </c>
      <c r="G6375" s="10" t="s">
        <v>28</v>
      </c>
      <c r="H6375" s="9" t="s">
        <v>22</v>
      </c>
      <c r="I6375" s="9" t="s">
        <v>14713</v>
      </c>
      <c r="J6375" s="10" t="str">
        <f>HYPERLINK("https://www.boe.es/gazeta/dias/1834/08/31/pdfs/GMD-C-1834-198.pdf#page=5","Abrir facsímil")</f>
        <v>Abrir facsímil</v>
      </c>
      <c r="K6375" s="10" t="s">
        <v>24</v>
      </c>
    </row>
    <row r="6376" spans="1:11" ht="54" customHeight="1">
      <c r="A6376" s="9" t="s">
        <v>14714</v>
      </c>
      <c r="B6376" s="9" t="s">
        <v>14715</v>
      </c>
      <c r="C6376" s="9" t="s">
        <v>17</v>
      </c>
      <c r="D6376" s="9" t="s">
        <v>18</v>
      </c>
      <c r="E6376" s="10" t="s">
        <v>258</v>
      </c>
      <c r="F6376" s="9" t="s">
        <v>1075</v>
      </c>
      <c r="G6376" s="10" t="s">
        <v>86</v>
      </c>
      <c r="H6376" s="9" t="s">
        <v>22</v>
      </c>
      <c r="I6376" s="9" t="s">
        <v>14716</v>
      </c>
      <c r="J6376" s="10" t="str">
        <f>HYPERLINK("https://www.boe.es/gazeta/dias/1834/10/09/pdfs/GMD-1834-237.pdf#page=2","Abrir facsímil")</f>
        <v>Abrir facsímil</v>
      </c>
      <c r="K6376" s="10" t="s">
        <v>24</v>
      </c>
    </row>
    <row r="6377" spans="1:11" ht="54" customHeight="1">
      <c r="A6377" s="9" t="s">
        <v>14717</v>
      </c>
      <c r="B6377" s="9" t="s">
        <v>14718</v>
      </c>
      <c r="C6377" s="9" t="s">
        <v>17</v>
      </c>
      <c r="D6377" s="9" t="s">
        <v>18</v>
      </c>
      <c r="E6377" s="10" t="s">
        <v>299</v>
      </c>
      <c r="F6377" s="9" t="s">
        <v>2255</v>
      </c>
      <c r="G6377" s="10" t="s">
        <v>75</v>
      </c>
      <c r="H6377" s="9" t="s">
        <v>35</v>
      </c>
      <c r="I6377" s="9" t="s">
        <v>14719</v>
      </c>
      <c r="J6377" s="10" t="str">
        <f>HYPERLINK("https://www.boe.es/gazeta/dias/1834/12/12/pdfs/GMD-C-1834-301.pdf#page=4","Abrir facsímil")</f>
        <v>Abrir facsímil</v>
      </c>
      <c r="K6377" s="10" t="s">
        <v>37</v>
      </c>
    </row>
    <row r="6378" spans="1:11" ht="54" customHeight="1">
      <c r="A6378" s="9" t="s">
        <v>14717</v>
      </c>
      <c r="B6378" s="9" t="s">
        <v>14718</v>
      </c>
      <c r="C6378" s="9" t="s">
        <v>17</v>
      </c>
      <c r="D6378" s="9" t="s">
        <v>18</v>
      </c>
      <c r="E6378" s="10" t="s">
        <v>772</v>
      </c>
      <c r="F6378" s="9" t="s">
        <v>2284</v>
      </c>
      <c r="G6378" s="10" t="s">
        <v>560</v>
      </c>
      <c r="H6378" s="9" t="s">
        <v>35</v>
      </c>
      <c r="I6378" s="9" t="s">
        <v>14720</v>
      </c>
      <c r="J6378" s="10" t="str">
        <f>HYPERLINK("https://www.boe.es/gazeta/dias/1834/09/18/pdfs/GMD-C-1834-216.pdf#page=7","Abrir facsímil")</f>
        <v>Abrir facsímil</v>
      </c>
      <c r="K6378" s="10" t="s">
        <v>37</v>
      </c>
    </row>
    <row r="6379" spans="1:11" ht="54" customHeight="1">
      <c r="A6379" s="9" t="s">
        <v>14717</v>
      </c>
      <c r="B6379" s="9" t="s">
        <v>14718</v>
      </c>
      <c r="C6379" s="9" t="s">
        <v>90</v>
      </c>
      <c r="D6379" s="9" t="s">
        <v>67</v>
      </c>
      <c r="E6379" s="10" t="s">
        <v>273</v>
      </c>
      <c r="F6379" s="9" t="s">
        <v>274</v>
      </c>
      <c r="G6379" s="10" t="s">
        <v>28</v>
      </c>
      <c r="H6379" s="9" t="s">
        <v>35</v>
      </c>
      <c r="I6379" s="9" t="s">
        <v>14721</v>
      </c>
      <c r="J6379" s="10" t="str">
        <f>HYPERLINK("https://www.boe.es/gazeta/dias/1834/08/31/pdfs/GMD-C-1834-198.pdf#page=5","Abrir facsímil")</f>
        <v>Abrir facsímil</v>
      </c>
      <c r="K6379" s="10" t="s">
        <v>37</v>
      </c>
    </row>
    <row r="6380" spans="1:11" ht="54" customHeight="1">
      <c r="A6380" s="9" t="s">
        <v>14722</v>
      </c>
      <c r="B6380" s="9" t="s">
        <v>14722</v>
      </c>
      <c r="C6380" s="9" t="s">
        <v>66</v>
      </c>
      <c r="D6380" s="9" t="s">
        <v>67</v>
      </c>
      <c r="E6380" s="10" t="s">
        <v>61</v>
      </c>
      <c r="F6380" s="9" t="s">
        <v>205</v>
      </c>
      <c r="G6380" s="10" t="s">
        <v>21</v>
      </c>
      <c r="H6380" s="9" t="s">
        <v>22</v>
      </c>
      <c r="I6380" s="9" t="s">
        <v>14723</v>
      </c>
      <c r="J6380" s="10" t="str">
        <f>HYPERLINK("https://www.boe.es/gazeta/dias/1834/06/08/pdfs/GMD-1834-110.pdf#page=3","Abrir facsímil")</f>
        <v>Abrir facsímil</v>
      </c>
      <c r="K6380" s="10" t="s">
        <v>24</v>
      </c>
    </row>
    <row r="6381" spans="1:11" ht="54" customHeight="1">
      <c r="A6381" s="9" t="s">
        <v>14722</v>
      </c>
      <c r="B6381" s="9" t="s">
        <v>14722</v>
      </c>
      <c r="C6381" s="9" t="s">
        <v>66</v>
      </c>
      <c r="D6381" s="9" t="s">
        <v>67</v>
      </c>
      <c r="E6381" s="10" t="s">
        <v>2153</v>
      </c>
      <c r="F6381" s="9" t="s">
        <v>2154</v>
      </c>
      <c r="G6381" s="10" t="s">
        <v>86</v>
      </c>
      <c r="H6381" s="9" t="s">
        <v>22</v>
      </c>
      <c r="I6381" s="9" t="s">
        <v>14724</v>
      </c>
      <c r="J6381" s="10" t="str">
        <f>HYPERLINK("https://www.boe.es/gazeta/dias/1834/01/23/pdfs/GMD-1834-11.pdf#page=2","Abrir facsímil")</f>
        <v>Abrir facsímil</v>
      </c>
      <c r="K6381" s="10" t="s">
        <v>24</v>
      </c>
    </row>
    <row r="6382" spans="1:11" ht="54" customHeight="1">
      <c r="A6382" s="9" t="s">
        <v>14725</v>
      </c>
      <c r="B6382" s="9" t="s">
        <v>14726</v>
      </c>
      <c r="C6382" s="9" t="s">
        <v>66</v>
      </c>
      <c r="D6382" s="9" t="s">
        <v>67</v>
      </c>
      <c r="E6382" s="10" t="s">
        <v>2153</v>
      </c>
      <c r="F6382" s="9" t="s">
        <v>2154</v>
      </c>
      <c r="G6382" s="10" t="s">
        <v>86</v>
      </c>
      <c r="H6382" s="9" t="s">
        <v>35</v>
      </c>
      <c r="I6382" s="9" t="s">
        <v>14727</v>
      </c>
      <c r="J6382" s="10" t="str">
        <f>HYPERLINK("https://www.boe.es/gazeta/dias/1834/01/23/pdfs/GMD-1834-11.pdf#page=2","Abrir facsímil")</f>
        <v>Abrir facsímil</v>
      </c>
      <c r="K6382" s="10" t="s">
        <v>37</v>
      </c>
    </row>
    <row r="6383" spans="1:11" ht="54" customHeight="1">
      <c r="A6383" s="9" t="s">
        <v>14728</v>
      </c>
      <c r="B6383" s="9" t="s">
        <v>14729</v>
      </c>
      <c r="C6383" s="9" t="s">
        <v>17</v>
      </c>
      <c r="D6383" s="9" t="s">
        <v>101</v>
      </c>
      <c r="E6383" s="10" t="s">
        <v>299</v>
      </c>
      <c r="F6383" s="9" t="s">
        <v>300</v>
      </c>
      <c r="G6383" s="10" t="s">
        <v>34</v>
      </c>
      <c r="H6383" s="9" t="s">
        <v>22</v>
      </c>
      <c r="I6383" s="9" t="s">
        <v>14730</v>
      </c>
      <c r="J6383" s="10" t="str">
        <f>HYPERLINK("https://www.boe.es/gazeta/dias/1834/12/12/pdfs/GMD-1834-301.pdf#page=1","Abrir facsímil")</f>
        <v>Abrir facsímil</v>
      </c>
      <c r="K6383" s="10" t="s">
        <v>24</v>
      </c>
    </row>
    <row r="6384" spans="1:11" ht="54" customHeight="1">
      <c r="A6384" s="9" t="s">
        <v>14731</v>
      </c>
      <c r="B6384" s="9" t="s">
        <v>14732</v>
      </c>
      <c r="C6384" s="9" t="s">
        <v>17</v>
      </c>
      <c r="D6384" s="9" t="s">
        <v>18</v>
      </c>
      <c r="E6384" s="10" t="s">
        <v>13660</v>
      </c>
      <c r="F6384" s="9" t="s">
        <v>13661</v>
      </c>
      <c r="G6384" s="10" t="s">
        <v>75</v>
      </c>
      <c r="H6384" s="9" t="s">
        <v>22</v>
      </c>
      <c r="I6384" s="9" t="s">
        <v>14733</v>
      </c>
      <c r="J6384" s="10" t="str">
        <f>HYPERLINK("https://www.boe.es/gazeta/dias/1834/12/15/pdfs/GMD-1834-304.pdf#page=4","Abrir facsímil")</f>
        <v>Abrir facsímil</v>
      </c>
      <c r="K6384" s="10" t="s">
        <v>24</v>
      </c>
    </row>
    <row r="6385" spans="1:11" ht="54" customHeight="1">
      <c r="A6385" s="9" t="s">
        <v>14734</v>
      </c>
      <c r="B6385" s="9" t="s">
        <v>14735</v>
      </c>
      <c r="C6385" s="9" t="s">
        <v>122</v>
      </c>
      <c r="D6385" s="9" t="s">
        <v>18</v>
      </c>
      <c r="E6385" s="10" t="s">
        <v>286</v>
      </c>
      <c r="F6385" s="9" t="s">
        <v>548</v>
      </c>
      <c r="G6385" s="10" t="s">
        <v>34</v>
      </c>
      <c r="H6385" s="9" t="s">
        <v>22</v>
      </c>
      <c r="I6385" s="9" t="s">
        <v>14736</v>
      </c>
      <c r="J6385" s="10" t="str">
        <f>HYPERLINK("https://www.boe.es/gazeta/dias/1834/08/30/pdfs/GMD-1834-196.pdf#page=1","Abrir facsímil")</f>
        <v>Abrir facsímil</v>
      </c>
      <c r="K6385" s="10" t="s">
        <v>24</v>
      </c>
    </row>
    <row r="6386" spans="1:11" ht="54" customHeight="1">
      <c r="A6386" s="9" t="s">
        <v>14737</v>
      </c>
      <c r="B6386" s="9" t="s">
        <v>14738</v>
      </c>
      <c r="C6386" s="9" t="s">
        <v>17</v>
      </c>
      <c r="D6386" s="9" t="s">
        <v>101</v>
      </c>
      <c r="E6386" s="10" t="s">
        <v>299</v>
      </c>
      <c r="F6386" s="9" t="s">
        <v>300</v>
      </c>
      <c r="G6386" s="10" t="s">
        <v>34</v>
      </c>
      <c r="H6386" s="9" t="s">
        <v>22</v>
      </c>
      <c r="I6386" s="9" t="s">
        <v>14739</v>
      </c>
      <c r="J6386" s="10" t="str">
        <f>HYPERLINK("https://www.boe.es/gazeta/dias/1834/12/12/pdfs/GMD-1834-301.pdf#page=1","Abrir facsímil")</f>
        <v>Abrir facsímil</v>
      </c>
      <c r="K6386" s="10" t="s">
        <v>24</v>
      </c>
    </row>
    <row r="6387" spans="1:11" ht="54" customHeight="1">
      <c r="A6387" s="9" t="s">
        <v>14737</v>
      </c>
      <c r="B6387" s="9" t="s">
        <v>14738</v>
      </c>
      <c r="C6387" s="9" t="s">
        <v>17</v>
      </c>
      <c r="D6387" s="9" t="s">
        <v>18</v>
      </c>
      <c r="E6387" s="10" t="s">
        <v>233</v>
      </c>
      <c r="F6387" s="9" t="s">
        <v>1810</v>
      </c>
      <c r="G6387" s="10" t="s">
        <v>176</v>
      </c>
      <c r="H6387" s="9" t="s">
        <v>22</v>
      </c>
      <c r="I6387" s="9" t="s">
        <v>14740</v>
      </c>
      <c r="J6387" s="10" t="str">
        <f>HYPERLINK("https://www.boe.es/gazeta/dias/1834/12/16/pdfs/GMD-C-1834-305.pdf#page=6","Abrir facsímil")</f>
        <v>Abrir facsímil</v>
      </c>
      <c r="K6387" s="10" t="s">
        <v>24</v>
      </c>
    </row>
    <row r="6388" spans="1:11" ht="54" customHeight="1">
      <c r="A6388" s="9" t="s">
        <v>14737</v>
      </c>
      <c r="B6388" s="9" t="s">
        <v>14738</v>
      </c>
      <c r="C6388" s="9" t="s">
        <v>66</v>
      </c>
      <c r="D6388" s="9" t="s">
        <v>18</v>
      </c>
      <c r="E6388" s="10" t="s">
        <v>273</v>
      </c>
      <c r="F6388" s="9" t="s">
        <v>413</v>
      </c>
      <c r="G6388" s="10" t="s">
        <v>34</v>
      </c>
      <c r="H6388" s="9" t="s">
        <v>22</v>
      </c>
      <c r="I6388" s="9" t="s">
        <v>14741</v>
      </c>
      <c r="J6388" s="10" t="str">
        <f>HYPERLINK("https://www.boe.es/gazeta/dias/1834/08/31/pdfs/GMD-1834-198.pdf#page=1","Abrir facsímil")</f>
        <v>Abrir facsímil</v>
      </c>
      <c r="K6388" s="10" t="s">
        <v>24</v>
      </c>
    </row>
    <row r="6389" spans="1:11" ht="54" customHeight="1">
      <c r="A6389" s="9" t="s">
        <v>14742</v>
      </c>
      <c r="B6389" s="9" t="s">
        <v>14743</v>
      </c>
      <c r="C6389" s="9" t="s">
        <v>46</v>
      </c>
      <c r="D6389" s="9" t="s">
        <v>18</v>
      </c>
      <c r="E6389" s="10" t="s">
        <v>2888</v>
      </c>
      <c r="F6389" s="9" t="s">
        <v>2889</v>
      </c>
      <c r="G6389" s="10" t="s">
        <v>21</v>
      </c>
      <c r="H6389" s="9" t="s">
        <v>22</v>
      </c>
      <c r="I6389" s="9" t="s">
        <v>14744</v>
      </c>
      <c r="J6389" s="10" t="str">
        <f>HYPERLINK("https://www.boe.es/gazeta/dias/1834/12/22/pdfs/GMD-1834-312.pdf#page=3","Abrir facsímil")</f>
        <v>Abrir facsímil</v>
      </c>
      <c r="K6389" s="10" t="s">
        <v>24</v>
      </c>
    </row>
    <row r="6390" spans="1:11" ht="54" customHeight="1">
      <c r="A6390" s="9" t="s">
        <v>14745</v>
      </c>
      <c r="B6390" s="9" t="s">
        <v>14746</v>
      </c>
      <c r="C6390" s="9" t="s">
        <v>17</v>
      </c>
      <c r="D6390" s="9" t="s">
        <v>18</v>
      </c>
      <c r="E6390" s="10" t="s">
        <v>13660</v>
      </c>
      <c r="F6390" s="9" t="s">
        <v>13661</v>
      </c>
      <c r="G6390" s="10" t="s">
        <v>75</v>
      </c>
      <c r="H6390" s="9" t="s">
        <v>22</v>
      </c>
      <c r="I6390" s="9" t="s">
        <v>14747</v>
      </c>
      <c r="J6390" s="10" t="str">
        <f>HYPERLINK("https://www.boe.es/gazeta/dias/1834/12/15/pdfs/GMD-1834-304.pdf#page=4","Abrir facsímil")</f>
        <v>Abrir facsímil</v>
      </c>
      <c r="K6390" s="10" t="s">
        <v>24</v>
      </c>
    </row>
    <row r="6391" spans="1:11" ht="54" customHeight="1">
      <c r="A6391" s="9" t="s">
        <v>14748</v>
      </c>
      <c r="B6391" s="9" t="s">
        <v>14749</v>
      </c>
      <c r="C6391" s="9" t="s">
        <v>122</v>
      </c>
      <c r="D6391" s="9" t="s">
        <v>18</v>
      </c>
      <c r="E6391" s="10" t="s">
        <v>286</v>
      </c>
      <c r="F6391" s="9" t="s">
        <v>548</v>
      </c>
      <c r="G6391" s="10" t="s">
        <v>34</v>
      </c>
      <c r="H6391" s="9" t="s">
        <v>22</v>
      </c>
      <c r="I6391" s="9" t="s">
        <v>14750</v>
      </c>
      <c r="J6391" s="10" t="str">
        <f>HYPERLINK("https://www.boe.es/gazeta/dias/1834/08/30/pdfs/GMD-1834-196.pdf#page=1","Abrir facsímil")</f>
        <v>Abrir facsímil</v>
      </c>
      <c r="K6391" s="10" t="s">
        <v>24</v>
      </c>
    </row>
    <row r="6392" spans="1:11" ht="54" customHeight="1">
      <c r="A6392" s="9" t="s">
        <v>14751</v>
      </c>
      <c r="B6392" s="9" t="s">
        <v>14751</v>
      </c>
      <c r="C6392" s="9" t="s">
        <v>17</v>
      </c>
      <c r="D6392" s="9" t="s">
        <v>18</v>
      </c>
      <c r="E6392" s="10" t="s">
        <v>905</v>
      </c>
      <c r="F6392" s="9" t="s">
        <v>1651</v>
      </c>
      <c r="G6392" s="10" t="s">
        <v>75</v>
      </c>
      <c r="H6392" s="9" t="s">
        <v>22</v>
      </c>
      <c r="I6392" s="9" t="s">
        <v>14752</v>
      </c>
      <c r="J6392" s="10" t="str">
        <f>HYPERLINK("https://www.boe.es/gazeta/dias/1834/08/02/pdfs/GMD-1834-166.pdf#page=4","Abrir facsímil")</f>
        <v>Abrir facsímil</v>
      </c>
      <c r="K6392" s="10" t="s">
        <v>24</v>
      </c>
    </row>
    <row r="6393" spans="1:11" ht="54" customHeight="1">
      <c r="A6393" s="9" t="s">
        <v>14753</v>
      </c>
      <c r="B6393" s="9" t="s">
        <v>14754</v>
      </c>
      <c r="C6393" s="9" t="s">
        <v>66</v>
      </c>
      <c r="D6393" s="9" t="s">
        <v>18</v>
      </c>
      <c r="E6393" s="10" t="s">
        <v>454</v>
      </c>
      <c r="F6393" s="9" t="s">
        <v>2009</v>
      </c>
      <c r="G6393" s="10" t="s">
        <v>75</v>
      </c>
      <c r="H6393" s="9" t="s">
        <v>22</v>
      </c>
      <c r="I6393" s="9" t="s">
        <v>14755</v>
      </c>
      <c r="J6393" s="10" t="str">
        <f>HYPERLINK("https://www.boe.es/gazeta/dias/1834/10/16/pdfs/GMD-1834-244.pdf#page=4","Abrir facsímil")</f>
        <v>Abrir facsímil</v>
      </c>
      <c r="K6393" s="10" t="s">
        <v>24</v>
      </c>
    </row>
    <row r="6394" spans="1:11" ht="54" customHeight="1">
      <c r="A6394" s="9" t="s">
        <v>14756</v>
      </c>
      <c r="B6394" s="9" t="s">
        <v>14757</v>
      </c>
      <c r="C6394" s="9" t="s">
        <v>46</v>
      </c>
      <c r="D6394" s="9" t="s">
        <v>101</v>
      </c>
      <c r="E6394" s="10" t="s">
        <v>233</v>
      </c>
      <c r="F6394" s="9" t="s">
        <v>234</v>
      </c>
      <c r="G6394" s="10" t="s">
        <v>75</v>
      </c>
      <c r="H6394" s="9" t="s">
        <v>22</v>
      </c>
      <c r="I6394" s="9" t="s">
        <v>14758</v>
      </c>
      <c r="J6394" s="10" t="str">
        <f>HYPERLINK("https://www.boe.es/gazeta/dias/1834/12/16/pdfs/GMD-1834-305.pdf#page=4","Abrir facsímil")</f>
        <v>Abrir facsímil</v>
      </c>
      <c r="K6394" s="10" t="s">
        <v>24</v>
      </c>
    </row>
    <row r="6395" spans="1:11" ht="54" customHeight="1">
      <c r="A6395" s="9" t="s">
        <v>14759</v>
      </c>
      <c r="B6395" s="9" t="s">
        <v>14760</v>
      </c>
      <c r="C6395" s="9" t="s">
        <v>17</v>
      </c>
      <c r="D6395" s="9" t="s">
        <v>18</v>
      </c>
      <c r="E6395" s="10" t="s">
        <v>981</v>
      </c>
      <c r="F6395" s="9" t="s">
        <v>982</v>
      </c>
      <c r="G6395" s="10" t="s">
        <v>86</v>
      </c>
      <c r="H6395" s="9" t="s">
        <v>22</v>
      </c>
      <c r="I6395" s="9" t="s">
        <v>14761</v>
      </c>
      <c r="J6395" s="10" t="str">
        <f>HYPERLINK("https://www.boe.es/gazeta/dias/1834/09/21/pdfs/GMD-1834-219.pdf#page=2","Abrir facsímil")</f>
        <v>Abrir facsímil</v>
      </c>
      <c r="K6395" s="10" t="s">
        <v>24</v>
      </c>
    </row>
    <row r="6396" spans="1:11" ht="54" customHeight="1">
      <c r="A6396" s="9" t="s">
        <v>14762</v>
      </c>
      <c r="B6396" s="9" t="s">
        <v>14763</v>
      </c>
      <c r="C6396" s="9" t="s">
        <v>17</v>
      </c>
      <c r="D6396" s="9" t="s">
        <v>55</v>
      </c>
      <c r="E6396" s="10" t="s">
        <v>2860</v>
      </c>
      <c r="F6396" s="9" t="s">
        <v>2861</v>
      </c>
      <c r="G6396" s="10" t="s">
        <v>21</v>
      </c>
      <c r="H6396" s="9" t="s">
        <v>22</v>
      </c>
      <c r="I6396" s="9" t="s">
        <v>14764</v>
      </c>
      <c r="J6396" s="10" t="str">
        <f>HYPERLINK("https://www.boe.es/gazeta/dias/1834/07/20/pdfs/GMD-1834-153.pdf#page=3","Abrir facsímil")</f>
        <v>Abrir facsímil</v>
      </c>
      <c r="K6396" s="10" t="s">
        <v>24</v>
      </c>
    </row>
    <row r="6397" spans="1:11" ht="54" customHeight="1">
      <c r="A6397" s="9" t="s">
        <v>14765</v>
      </c>
      <c r="B6397" s="9" t="s">
        <v>14766</v>
      </c>
      <c r="C6397" s="9" t="s">
        <v>66</v>
      </c>
      <c r="D6397" s="9" t="s">
        <v>67</v>
      </c>
      <c r="E6397" s="10" t="s">
        <v>1973</v>
      </c>
      <c r="F6397" s="9" t="s">
        <v>4832</v>
      </c>
      <c r="G6397" s="10" t="s">
        <v>75</v>
      </c>
      <c r="H6397" s="9" t="s">
        <v>35</v>
      </c>
      <c r="I6397" s="9" t="s">
        <v>14767</v>
      </c>
      <c r="J6397" s="10" t="str">
        <f>HYPERLINK("https://www.boe.es/gazeta/dias/1834/12/20/pdfs/GMD-1834-310.pdf#page=4","Abrir facsímil")</f>
        <v>Abrir facsímil</v>
      </c>
      <c r="K6397" s="10" t="s">
        <v>37</v>
      </c>
    </row>
    <row r="6398" spans="1:11" ht="54" customHeight="1">
      <c r="A6398" s="9" t="s">
        <v>14768</v>
      </c>
      <c r="B6398" s="9" t="s">
        <v>14769</v>
      </c>
      <c r="C6398" s="9" t="s">
        <v>66</v>
      </c>
      <c r="D6398" s="9" t="s">
        <v>67</v>
      </c>
      <c r="E6398" s="10" t="s">
        <v>448</v>
      </c>
      <c r="F6398" s="9" t="s">
        <v>2058</v>
      </c>
      <c r="G6398" s="10" t="s">
        <v>86</v>
      </c>
      <c r="H6398" s="9" t="s">
        <v>35</v>
      </c>
      <c r="I6398" s="9" t="s">
        <v>14770</v>
      </c>
      <c r="J6398" s="10" t="str">
        <f>HYPERLINK("https://www.boe.es/gazeta/dias/1834/10/14/pdfs/GMD-1834-242.pdf#page=2","Abrir facsímil")</f>
        <v>Abrir facsímil</v>
      </c>
      <c r="K6398" s="10" t="s">
        <v>37</v>
      </c>
    </row>
    <row r="6399" spans="1:11" ht="54" customHeight="1">
      <c r="A6399" s="9" t="s">
        <v>14771</v>
      </c>
      <c r="B6399" s="9" t="s">
        <v>14772</v>
      </c>
      <c r="C6399" s="9" t="s">
        <v>17</v>
      </c>
      <c r="D6399" s="9" t="s">
        <v>18</v>
      </c>
      <c r="E6399" s="10" t="s">
        <v>1862</v>
      </c>
      <c r="F6399" s="9" t="s">
        <v>1863</v>
      </c>
      <c r="G6399" s="10" t="s">
        <v>34</v>
      </c>
      <c r="H6399" s="9" t="s">
        <v>22</v>
      </c>
      <c r="I6399" s="9" t="s">
        <v>14773</v>
      </c>
      <c r="J6399" s="10" t="str">
        <f>HYPERLINK("https://www.boe.es/gazeta/dias/1834/02/04/pdfs/GMD-1834-16.pdf#page=1","Abrir facsímil")</f>
        <v>Abrir facsímil</v>
      </c>
      <c r="K6399" s="10" t="s">
        <v>24</v>
      </c>
    </row>
    <row r="6400" spans="1:11" ht="54" customHeight="1">
      <c r="A6400" s="9" t="s">
        <v>14774</v>
      </c>
      <c r="B6400" s="9" t="s">
        <v>14775</v>
      </c>
      <c r="C6400" s="9" t="s">
        <v>17</v>
      </c>
      <c r="D6400" s="9" t="s">
        <v>18</v>
      </c>
      <c r="E6400" s="10" t="s">
        <v>454</v>
      </c>
      <c r="F6400" s="9" t="s">
        <v>2009</v>
      </c>
      <c r="G6400" s="10" t="s">
        <v>21</v>
      </c>
      <c r="H6400" s="9" t="s">
        <v>22</v>
      </c>
      <c r="I6400" s="9" t="s">
        <v>14776</v>
      </c>
      <c r="J6400" s="10" t="str">
        <f>HYPERLINK("https://www.boe.es/gazeta/dias/1834/10/16/pdfs/GMD-1834-244.pdf#page=3","Abrir facsímil")</f>
        <v>Abrir facsímil</v>
      </c>
      <c r="K6400" s="10" t="s">
        <v>24</v>
      </c>
    </row>
    <row r="6401" spans="1:11" ht="54" customHeight="1">
      <c r="A6401" s="9" t="s">
        <v>14777</v>
      </c>
      <c r="B6401" s="9" t="s">
        <v>14778</v>
      </c>
      <c r="C6401" s="9" t="s">
        <v>17</v>
      </c>
      <c r="D6401" s="9" t="s">
        <v>18</v>
      </c>
      <c r="E6401" s="10" t="s">
        <v>3083</v>
      </c>
      <c r="F6401" s="9" t="s">
        <v>3084</v>
      </c>
      <c r="G6401" s="10" t="s">
        <v>21</v>
      </c>
      <c r="H6401" s="9" t="s">
        <v>22</v>
      </c>
      <c r="I6401" s="9" t="s">
        <v>14779</v>
      </c>
      <c r="J6401" s="10" t="str">
        <f>HYPERLINK("https://www.boe.es/gazeta/dias/1834/10/30/pdfs/GMD-1834-258.pdf#page=3","Abrir facsímil")</f>
        <v>Abrir facsímil</v>
      </c>
      <c r="K6401" s="10" t="s">
        <v>24</v>
      </c>
    </row>
    <row r="6402" spans="1:11" ht="54" customHeight="1">
      <c r="A6402" s="9" t="s">
        <v>14780</v>
      </c>
      <c r="B6402" s="9" t="s">
        <v>14781</v>
      </c>
      <c r="C6402" s="9" t="s">
        <v>17</v>
      </c>
      <c r="D6402" s="9" t="s">
        <v>18</v>
      </c>
      <c r="E6402" s="10" t="s">
        <v>2087</v>
      </c>
      <c r="F6402" s="9" t="s">
        <v>2088</v>
      </c>
      <c r="G6402" s="10" t="s">
        <v>75</v>
      </c>
      <c r="H6402" s="9" t="s">
        <v>22</v>
      </c>
      <c r="I6402" s="9" t="s">
        <v>14782</v>
      </c>
      <c r="J6402" s="10" t="str">
        <f>HYPERLINK("https://www.boe.es/gazeta/dias/1834/12/14/pdfs/GMD-1834-303.pdf#page=4","Abrir facsímil")</f>
        <v>Abrir facsímil</v>
      </c>
      <c r="K6402" s="10" t="s">
        <v>24</v>
      </c>
    </row>
    <row r="6403" spans="1:11" ht="54" customHeight="1">
      <c r="A6403" s="9" t="s">
        <v>14780</v>
      </c>
      <c r="B6403" s="9" t="s">
        <v>14781</v>
      </c>
      <c r="C6403" s="9" t="s">
        <v>17</v>
      </c>
      <c r="D6403" s="9" t="s">
        <v>40</v>
      </c>
      <c r="E6403" s="10" t="s">
        <v>247</v>
      </c>
      <c r="F6403" s="9" t="s">
        <v>2805</v>
      </c>
      <c r="G6403" s="10" t="s">
        <v>75</v>
      </c>
      <c r="H6403" s="9" t="s">
        <v>22</v>
      </c>
      <c r="I6403" s="9" t="s">
        <v>14783</v>
      </c>
      <c r="J6403" s="10" t="str">
        <f>HYPERLINK("https://www.boe.es/gazeta/dias/1834/08/23/pdfs/GMD-1834-189.pdf#page=4","Abrir facsímil")</f>
        <v>Abrir facsímil</v>
      </c>
      <c r="K6403" s="10" t="s">
        <v>24</v>
      </c>
    </row>
    <row r="6404" spans="1:11" ht="54" customHeight="1">
      <c r="A6404" s="9" t="s">
        <v>14784</v>
      </c>
      <c r="B6404" s="9" t="s">
        <v>14785</v>
      </c>
      <c r="C6404" s="9" t="s">
        <v>17</v>
      </c>
      <c r="D6404" s="9" t="s">
        <v>18</v>
      </c>
      <c r="E6404" s="10" t="s">
        <v>2107</v>
      </c>
      <c r="F6404" s="9" t="s">
        <v>2108</v>
      </c>
      <c r="G6404" s="10" t="s">
        <v>75</v>
      </c>
      <c r="H6404" s="9" t="s">
        <v>22</v>
      </c>
      <c r="I6404" s="9" t="s">
        <v>14786</v>
      </c>
      <c r="J6404" s="10" t="str">
        <f>HYPERLINK("https://www.boe.es/gazeta/dias/1834/08/24/pdfs/GMD-1834-190.pdf#page=4","Abrir facsímil")</f>
        <v>Abrir facsímil</v>
      </c>
      <c r="K6404" s="10" t="s">
        <v>24</v>
      </c>
    </row>
    <row r="6405" spans="1:11" ht="54" customHeight="1">
      <c r="A6405" s="9" t="s">
        <v>14787</v>
      </c>
      <c r="B6405" s="9" t="s">
        <v>14788</v>
      </c>
      <c r="C6405" s="9" t="s">
        <v>17</v>
      </c>
      <c r="D6405" s="9" t="s">
        <v>18</v>
      </c>
      <c r="E6405" s="10" t="s">
        <v>2153</v>
      </c>
      <c r="F6405" s="9" t="s">
        <v>2154</v>
      </c>
      <c r="G6405" s="10" t="s">
        <v>75</v>
      </c>
      <c r="H6405" s="9" t="s">
        <v>22</v>
      </c>
      <c r="I6405" s="9" t="s">
        <v>14789</v>
      </c>
      <c r="J6405" s="10" t="str">
        <f>HYPERLINK("https://www.boe.es/gazeta/dias/1834/01/23/pdfs/GMD-1834-11.pdf#page=4","Abrir facsímil")</f>
        <v>Abrir facsímil</v>
      </c>
      <c r="K6405" s="10" t="s">
        <v>24</v>
      </c>
    </row>
    <row r="6406" spans="1:11" ht="54" customHeight="1">
      <c r="A6406" s="9" t="s">
        <v>14790</v>
      </c>
      <c r="B6406" s="9" t="s">
        <v>14791</v>
      </c>
      <c r="C6406" s="9" t="s">
        <v>46</v>
      </c>
      <c r="D6406" s="9" t="s">
        <v>18</v>
      </c>
      <c r="E6406" s="10" t="s">
        <v>1084</v>
      </c>
      <c r="F6406" s="9" t="s">
        <v>1085</v>
      </c>
      <c r="G6406" s="10" t="s">
        <v>176</v>
      </c>
      <c r="H6406" s="9" t="s">
        <v>22</v>
      </c>
      <c r="I6406" s="9" t="s">
        <v>14792</v>
      </c>
      <c r="J6406" s="10" t="str">
        <f>HYPERLINK("https://www.boe.es/gazeta/dias/1834/05/01/pdfs/GMD-1834-70.pdf#page=6","Abrir facsímil")</f>
        <v>Abrir facsímil</v>
      </c>
      <c r="K6406" s="10" t="s">
        <v>24</v>
      </c>
    </row>
    <row r="6407" spans="1:11" ht="54" customHeight="1">
      <c r="A6407" s="9" t="s">
        <v>14790</v>
      </c>
      <c r="B6407" s="9" t="s">
        <v>14791</v>
      </c>
      <c r="C6407" s="9" t="s">
        <v>17</v>
      </c>
      <c r="D6407" s="9" t="s">
        <v>18</v>
      </c>
      <c r="E6407" s="10" t="s">
        <v>3248</v>
      </c>
      <c r="F6407" s="9" t="s">
        <v>3249</v>
      </c>
      <c r="G6407" s="10" t="s">
        <v>21</v>
      </c>
      <c r="H6407" s="9" t="s">
        <v>22</v>
      </c>
      <c r="I6407" s="9" t="s">
        <v>14793</v>
      </c>
      <c r="J6407" s="10" t="str">
        <f>HYPERLINK("https://www.boe.es/gazeta/dias/1834/09/20/pdfs/GMD-1834-218.pdf#page=3","Abrir facsímil")</f>
        <v>Abrir facsímil</v>
      </c>
      <c r="K6407" s="10" t="s">
        <v>24</v>
      </c>
    </row>
    <row r="6408" spans="1:11" ht="54" customHeight="1">
      <c r="A6408" s="9" t="s">
        <v>14794</v>
      </c>
      <c r="B6408" s="9" t="s">
        <v>14795</v>
      </c>
      <c r="C6408" s="9" t="s">
        <v>66</v>
      </c>
      <c r="D6408" s="9" t="s">
        <v>67</v>
      </c>
      <c r="E6408" s="10" t="s">
        <v>1973</v>
      </c>
      <c r="F6408" s="9" t="s">
        <v>4832</v>
      </c>
      <c r="G6408" s="10" t="s">
        <v>75</v>
      </c>
      <c r="H6408" s="9" t="s">
        <v>22</v>
      </c>
      <c r="I6408" s="9" t="s">
        <v>14796</v>
      </c>
      <c r="J6408" s="10" t="str">
        <f>HYPERLINK("https://www.boe.es/gazeta/dias/1834/12/20/pdfs/GMD-1834-310.pdf#page=4","Abrir facsímil")</f>
        <v>Abrir facsímil</v>
      </c>
      <c r="K6408" s="10" t="s">
        <v>24</v>
      </c>
    </row>
    <row r="6409" spans="1:11" ht="54" customHeight="1">
      <c r="A6409" s="9" t="s">
        <v>14797</v>
      </c>
      <c r="B6409" s="9" t="s">
        <v>14798</v>
      </c>
      <c r="C6409" s="9" t="s">
        <v>17</v>
      </c>
      <c r="D6409" s="9" t="s">
        <v>18</v>
      </c>
      <c r="E6409" s="10" t="s">
        <v>1402</v>
      </c>
      <c r="F6409" s="9" t="s">
        <v>1403</v>
      </c>
      <c r="G6409" s="10" t="s">
        <v>75</v>
      </c>
      <c r="H6409" s="9" t="s">
        <v>22</v>
      </c>
      <c r="I6409" s="9" t="s">
        <v>14799</v>
      </c>
      <c r="J6409" s="10" t="str">
        <f>HYPERLINK("https://www.boe.es/gazeta/dias/1834/05/05/pdfs/GMD-1834-74.pdf#page=4","Abrir facsímil")</f>
        <v>Abrir facsímil</v>
      </c>
      <c r="K6409" s="10" t="s">
        <v>24</v>
      </c>
    </row>
    <row r="6410" spans="1:11" ht="54" customHeight="1">
      <c r="A6410" s="9" t="s">
        <v>14800</v>
      </c>
      <c r="B6410" s="9" t="s">
        <v>14801</v>
      </c>
      <c r="C6410" s="9" t="s">
        <v>17</v>
      </c>
      <c r="D6410" s="9" t="s">
        <v>18</v>
      </c>
      <c r="E6410" s="10" t="s">
        <v>334</v>
      </c>
      <c r="F6410" s="9" t="s">
        <v>335</v>
      </c>
      <c r="G6410" s="10" t="s">
        <v>75</v>
      </c>
      <c r="H6410" s="9" t="s">
        <v>22</v>
      </c>
      <c r="I6410" s="9" t="s">
        <v>14802</v>
      </c>
      <c r="J6410" s="10" t="str">
        <f>HYPERLINK("https://www.boe.es/gazeta/dias/1834/09/11/pdfs/GMD-C-1834-209.pdf#page=4","Abrir facsímil")</f>
        <v>Abrir facsímil</v>
      </c>
      <c r="K6410" s="10" t="s">
        <v>24</v>
      </c>
    </row>
    <row r="6411" spans="1:11" ht="54" customHeight="1">
      <c r="A6411" s="9" t="s">
        <v>14803</v>
      </c>
      <c r="B6411" s="9" t="s">
        <v>14804</v>
      </c>
      <c r="C6411" s="9" t="s">
        <v>66</v>
      </c>
      <c r="D6411" s="9" t="s">
        <v>18</v>
      </c>
      <c r="E6411" s="10" t="s">
        <v>1674</v>
      </c>
      <c r="F6411" s="9" t="s">
        <v>3233</v>
      </c>
      <c r="G6411" s="10" t="s">
        <v>86</v>
      </c>
      <c r="H6411" s="9" t="s">
        <v>22</v>
      </c>
      <c r="I6411" s="9" t="s">
        <v>14805</v>
      </c>
      <c r="J6411" s="10" t="str">
        <f>HYPERLINK("https://www.boe.es/gazeta/dias/1834/07/25/pdfs/GMD-C-1834-158.pdf#page=2","Abrir facsímil")</f>
        <v>Abrir facsímil</v>
      </c>
      <c r="K6411" s="10" t="s">
        <v>24</v>
      </c>
    </row>
    <row r="6412" spans="1:11" ht="54" customHeight="1">
      <c r="A6412" s="9" t="s">
        <v>14806</v>
      </c>
      <c r="B6412" s="9" t="s">
        <v>14807</v>
      </c>
      <c r="C6412" s="9" t="s">
        <v>17</v>
      </c>
      <c r="D6412" s="9" t="s">
        <v>18</v>
      </c>
      <c r="E6412" s="10" t="s">
        <v>863</v>
      </c>
      <c r="F6412" s="9" t="s">
        <v>864</v>
      </c>
      <c r="G6412" s="10" t="s">
        <v>75</v>
      </c>
      <c r="H6412" s="9" t="s">
        <v>22</v>
      </c>
      <c r="I6412" s="9" t="s">
        <v>14808</v>
      </c>
      <c r="J6412" s="10" t="str">
        <f>HYPERLINK("https://www.boe.es/gazeta/dias/1834/09/15/pdfs/GMD-1834-213.pdf#page=4","Abrir facsímil")</f>
        <v>Abrir facsímil</v>
      </c>
      <c r="K6412" s="10" t="s">
        <v>24</v>
      </c>
    </row>
    <row r="6413" spans="1:11" ht="54" customHeight="1">
      <c r="A6413" s="9" t="s">
        <v>14809</v>
      </c>
      <c r="B6413" s="9" t="s">
        <v>14810</v>
      </c>
      <c r="C6413" s="9" t="s">
        <v>17</v>
      </c>
      <c r="D6413" s="9" t="s">
        <v>18</v>
      </c>
      <c r="E6413" s="10" t="s">
        <v>663</v>
      </c>
      <c r="F6413" s="9" t="s">
        <v>664</v>
      </c>
      <c r="G6413" s="10" t="s">
        <v>75</v>
      </c>
      <c r="H6413" s="9" t="s">
        <v>22</v>
      </c>
      <c r="I6413" s="9" t="s">
        <v>14811</v>
      </c>
      <c r="J6413" s="10" t="str">
        <f>HYPERLINK("https://www.boe.es/gazeta/dias/1834/07/16/pdfs/GMD-1834-149.pdf#page=4","Abrir facsímil")</f>
        <v>Abrir facsímil</v>
      </c>
      <c r="K6413" s="10" t="s">
        <v>24</v>
      </c>
    </row>
    <row r="6414" spans="1:11" ht="54" customHeight="1">
      <c r="A6414" s="9" t="s">
        <v>14812</v>
      </c>
      <c r="B6414" s="9" t="s">
        <v>14813</v>
      </c>
      <c r="C6414" s="9" t="s">
        <v>66</v>
      </c>
      <c r="D6414" s="9" t="s">
        <v>67</v>
      </c>
      <c r="E6414" s="10" t="s">
        <v>541</v>
      </c>
      <c r="F6414" s="9" t="s">
        <v>542</v>
      </c>
      <c r="G6414" s="10" t="s">
        <v>75</v>
      </c>
      <c r="H6414" s="9" t="s">
        <v>22</v>
      </c>
      <c r="I6414" s="9" t="s">
        <v>14814</v>
      </c>
      <c r="J6414" s="10" t="str">
        <f>HYPERLINK("https://www.boe.es/gazeta/dias/1834/04/18/pdfs/GMD-1834-57.pdf#page=4","Abrir facsímil")</f>
        <v>Abrir facsímil</v>
      </c>
      <c r="K6414" s="10" t="s">
        <v>24</v>
      </c>
    </row>
    <row r="6415" spans="1:11" ht="54" customHeight="1">
      <c r="A6415" s="9" t="s">
        <v>14815</v>
      </c>
      <c r="B6415" s="9" t="s">
        <v>14816</v>
      </c>
      <c r="C6415" s="9" t="s">
        <v>17</v>
      </c>
      <c r="D6415" s="9" t="s">
        <v>18</v>
      </c>
      <c r="E6415" s="10" t="s">
        <v>1686</v>
      </c>
      <c r="F6415" s="9" t="s">
        <v>1687</v>
      </c>
      <c r="G6415" s="10" t="s">
        <v>21</v>
      </c>
      <c r="H6415" s="9" t="s">
        <v>22</v>
      </c>
      <c r="I6415" s="9" t="s">
        <v>14817</v>
      </c>
      <c r="J6415" s="10" t="str">
        <f>HYPERLINK("https://www.boe.es/gazeta/dias/1834/07/27/pdfs/GMD-1834-160.pdf#page=3","Abrir facsímil")</f>
        <v>Abrir facsímil</v>
      </c>
      <c r="K6415" s="10" t="s">
        <v>24</v>
      </c>
    </row>
    <row r="6416" spans="1:11" ht="54" customHeight="1">
      <c r="A6416" s="9" t="s">
        <v>14818</v>
      </c>
      <c r="B6416" s="9" t="s">
        <v>14818</v>
      </c>
      <c r="C6416" s="9" t="s">
        <v>46</v>
      </c>
      <c r="D6416" s="9" t="s">
        <v>101</v>
      </c>
      <c r="E6416" s="10" t="s">
        <v>1262</v>
      </c>
      <c r="F6416" s="9" t="s">
        <v>1263</v>
      </c>
      <c r="G6416" s="10" t="s">
        <v>34</v>
      </c>
      <c r="H6416" s="9" t="s">
        <v>22</v>
      </c>
      <c r="I6416" s="9" t="s">
        <v>14819</v>
      </c>
      <c r="J6416" s="10" t="str">
        <f>HYPERLINK("https://www.boe.es/gazeta/dias/1834/02/01/pdfs/GMD-1834-15.pdf#page=1","Abrir facsímil")</f>
        <v>Abrir facsímil</v>
      </c>
      <c r="K6416" s="10" t="s">
        <v>24</v>
      </c>
    </row>
    <row r="6417" spans="1:11" ht="54" customHeight="1">
      <c r="A6417" s="9" t="s">
        <v>14818</v>
      </c>
      <c r="B6417" s="9" t="s">
        <v>14818</v>
      </c>
      <c r="C6417" s="9" t="s">
        <v>857</v>
      </c>
      <c r="D6417" s="9" t="s">
        <v>18</v>
      </c>
      <c r="E6417" s="10" t="s">
        <v>1262</v>
      </c>
      <c r="F6417" s="9" t="s">
        <v>1263</v>
      </c>
      <c r="G6417" s="10" t="s">
        <v>21</v>
      </c>
      <c r="H6417" s="9" t="s">
        <v>22</v>
      </c>
      <c r="I6417" s="9" t="s">
        <v>14820</v>
      </c>
      <c r="J6417" s="10" t="str">
        <f>HYPERLINK("https://www.boe.es/gazeta/dias/1834/02/01/pdfs/GMD-1834-15.pdf#page=3","Abrir facsímil")</f>
        <v>Abrir facsímil</v>
      </c>
      <c r="K6417" s="10" t="s">
        <v>24</v>
      </c>
    </row>
    <row r="6418" spans="1:11" ht="54" customHeight="1">
      <c r="A6418" s="9" t="s">
        <v>14818</v>
      </c>
      <c r="B6418" s="9" t="s">
        <v>14818</v>
      </c>
      <c r="C6418" s="9" t="s">
        <v>46</v>
      </c>
      <c r="D6418" s="9" t="s">
        <v>40</v>
      </c>
      <c r="E6418" s="10" t="s">
        <v>1025</v>
      </c>
      <c r="F6418" s="9" t="s">
        <v>1026</v>
      </c>
      <c r="G6418" s="10" t="s">
        <v>176</v>
      </c>
      <c r="H6418" s="9" t="s">
        <v>22</v>
      </c>
      <c r="I6418" s="9" t="s">
        <v>14821</v>
      </c>
      <c r="J6418" s="10" t="str">
        <f>HYPERLINK("https://www.boe.es/gazeta/dias/1834/03/01/pdfs/GMD-1834-27.pdf#page=6","Abrir facsímil")</f>
        <v>Abrir facsímil</v>
      </c>
      <c r="K6418" s="10" t="s">
        <v>24</v>
      </c>
    </row>
    <row r="6419" spans="1:11" ht="54" customHeight="1">
      <c r="A6419" s="9" t="s">
        <v>14818</v>
      </c>
      <c r="B6419" s="9" t="s">
        <v>14818</v>
      </c>
      <c r="C6419" s="9" t="s">
        <v>17</v>
      </c>
      <c r="D6419" s="9" t="s">
        <v>18</v>
      </c>
      <c r="E6419" s="10" t="s">
        <v>1337</v>
      </c>
      <c r="F6419" s="9" t="s">
        <v>1338</v>
      </c>
      <c r="G6419" s="10" t="s">
        <v>34</v>
      </c>
      <c r="H6419" s="9" t="s">
        <v>22</v>
      </c>
      <c r="I6419" s="9" t="s">
        <v>14822</v>
      </c>
      <c r="J6419" s="10" t="str">
        <f>HYPERLINK("https://www.boe.es/gazeta/dias/1834/01/02/pdfs/GMD-1834-1.pdf#page=1","Abrir facsímil")</f>
        <v>Abrir facsímil</v>
      </c>
      <c r="K6419" s="10" t="s">
        <v>24</v>
      </c>
    </row>
    <row r="6420" spans="1:11" ht="54" customHeight="1">
      <c r="A6420" s="9" t="s">
        <v>14818</v>
      </c>
      <c r="B6420" s="9" t="s">
        <v>14818</v>
      </c>
      <c r="C6420" s="9" t="s">
        <v>46</v>
      </c>
      <c r="D6420" s="9" t="s">
        <v>101</v>
      </c>
      <c r="E6420" s="10" t="s">
        <v>1337</v>
      </c>
      <c r="F6420" s="9" t="s">
        <v>1338</v>
      </c>
      <c r="G6420" s="10" t="s">
        <v>21</v>
      </c>
      <c r="H6420" s="9" t="s">
        <v>22</v>
      </c>
      <c r="I6420" s="9" t="s">
        <v>14823</v>
      </c>
      <c r="J6420" s="10" t="str">
        <f>HYPERLINK("https://www.boe.es/gazeta/dias/1834/01/02/pdfs/GMD-1834-1.pdf#page=3","Abrir facsímil")</f>
        <v>Abrir facsímil</v>
      </c>
      <c r="K6420" s="10" t="s">
        <v>24</v>
      </c>
    </row>
    <row r="6421" spans="1:11" ht="54" customHeight="1">
      <c r="A6421" s="9" t="s">
        <v>14818</v>
      </c>
      <c r="B6421" s="9" t="s">
        <v>14818</v>
      </c>
      <c r="C6421" s="9" t="s">
        <v>17</v>
      </c>
      <c r="D6421" s="9" t="s">
        <v>18</v>
      </c>
      <c r="E6421" s="10" t="s">
        <v>690</v>
      </c>
      <c r="F6421" s="9" t="s">
        <v>5765</v>
      </c>
      <c r="G6421" s="10" t="s">
        <v>21</v>
      </c>
      <c r="H6421" s="9" t="s">
        <v>22</v>
      </c>
      <c r="I6421" s="9" t="s">
        <v>14824</v>
      </c>
      <c r="J6421" s="10" t="str">
        <f>HYPERLINK("https://www.boe.es/gazeta/dias/1834/09/03/pdfs/GMD-1834-201.pdf#page=3","Abrir facsímil")</f>
        <v>Abrir facsímil</v>
      </c>
      <c r="K6421" s="10" t="s">
        <v>24</v>
      </c>
    </row>
    <row r="6422" spans="1:11" ht="54" customHeight="1">
      <c r="A6422" s="9" t="s">
        <v>14818</v>
      </c>
      <c r="B6422" s="9" t="s">
        <v>14818</v>
      </c>
      <c r="C6422" s="9" t="s">
        <v>46</v>
      </c>
      <c r="D6422" s="9" t="s">
        <v>55</v>
      </c>
      <c r="E6422" s="10" t="s">
        <v>758</v>
      </c>
      <c r="F6422" s="9" t="s">
        <v>759</v>
      </c>
      <c r="G6422" s="10" t="s">
        <v>86</v>
      </c>
      <c r="H6422" s="9" t="s">
        <v>22</v>
      </c>
      <c r="I6422" s="9" t="s">
        <v>14825</v>
      </c>
      <c r="J6422" s="10" t="str">
        <f>HYPERLINK("https://www.boe.es/gazeta/dias/1834/01/04/pdfs/GMD-1834-3.pdf#page=2","Abrir facsímil")</f>
        <v>Abrir facsímil</v>
      </c>
      <c r="K6422" s="10" t="s">
        <v>24</v>
      </c>
    </row>
    <row r="6423" spans="1:11" ht="54" customHeight="1">
      <c r="A6423" s="9" t="s">
        <v>14818</v>
      </c>
      <c r="B6423" s="9" t="s">
        <v>14818</v>
      </c>
      <c r="C6423" s="9" t="s">
        <v>17</v>
      </c>
      <c r="D6423" s="9" t="s">
        <v>18</v>
      </c>
      <c r="E6423" s="10" t="s">
        <v>1862</v>
      </c>
      <c r="F6423" s="9" t="s">
        <v>1863</v>
      </c>
      <c r="G6423" s="10" t="s">
        <v>75</v>
      </c>
      <c r="H6423" s="9" t="s">
        <v>22</v>
      </c>
      <c r="I6423" s="9" t="s">
        <v>14826</v>
      </c>
      <c r="J6423" s="10" t="str">
        <f>HYPERLINK("https://www.boe.es/gazeta/dias/1834/02/04/pdfs/GMD-1834-16.pdf#page=4","Abrir facsímil")</f>
        <v>Abrir facsímil</v>
      </c>
      <c r="K6423" s="10" t="s">
        <v>24</v>
      </c>
    </row>
    <row r="6424" spans="1:11" ht="54" customHeight="1">
      <c r="A6424" s="9" t="s">
        <v>14818</v>
      </c>
      <c r="B6424" s="9" t="s">
        <v>14818</v>
      </c>
      <c r="C6424" s="9" t="s">
        <v>857</v>
      </c>
      <c r="D6424" s="9" t="s">
        <v>18</v>
      </c>
      <c r="E6424" s="10" t="s">
        <v>571</v>
      </c>
      <c r="F6424" s="9" t="s">
        <v>572</v>
      </c>
      <c r="G6424" s="10" t="s">
        <v>21</v>
      </c>
      <c r="H6424" s="9" t="s">
        <v>22</v>
      </c>
      <c r="I6424" s="9" t="s">
        <v>14827</v>
      </c>
      <c r="J6424" s="10" t="str">
        <f>HYPERLINK("https://www.boe.es/gazeta/dias/1834/09/04/pdfs/GMD-1834-202.pdf#page=3","Abrir facsímil")</f>
        <v>Abrir facsímil</v>
      </c>
      <c r="K6424" s="10" t="s">
        <v>24</v>
      </c>
    </row>
    <row r="6425" spans="1:11" ht="54" customHeight="1">
      <c r="A6425" s="9" t="s">
        <v>14818</v>
      </c>
      <c r="B6425" s="9" t="s">
        <v>14818</v>
      </c>
      <c r="C6425" s="9" t="s">
        <v>17</v>
      </c>
      <c r="D6425" s="9" t="s">
        <v>18</v>
      </c>
      <c r="E6425" s="10" t="s">
        <v>571</v>
      </c>
      <c r="F6425" s="9" t="s">
        <v>620</v>
      </c>
      <c r="G6425" s="10" t="s">
        <v>86</v>
      </c>
      <c r="H6425" s="9" t="s">
        <v>22</v>
      </c>
      <c r="I6425" s="9" t="s">
        <v>14828</v>
      </c>
      <c r="J6425" s="10" t="str">
        <f>HYPERLINK("https://www.boe.es/gazeta/dias/1834/09/04/pdfs/GMD-C-1834-202.pdf#page=2","Abrir facsímil")</f>
        <v>Abrir facsímil</v>
      </c>
      <c r="K6425" s="10" t="s">
        <v>24</v>
      </c>
    </row>
    <row r="6426" spans="1:11" ht="54" customHeight="1">
      <c r="A6426" s="9" t="s">
        <v>14818</v>
      </c>
      <c r="B6426" s="9" t="s">
        <v>14818</v>
      </c>
      <c r="C6426" s="9" t="s">
        <v>17</v>
      </c>
      <c r="D6426" s="9" t="s">
        <v>18</v>
      </c>
      <c r="E6426" s="10" t="s">
        <v>571</v>
      </c>
      <c r="F6426" s="9" t="s">
        <v>620</v>
      </c>
      <c r="G6426" s="10" t="s">
        <v>21</v>
      </c>
      <c r="H6426" s="9" t="s">
        <v>22</v>
      </c>
      <c r="I6426" s="9" t="s">
        <v>14829</v>
      </c>
      <c r="J6426" s="10" t="str">
        <f>HYPERLINK("https://www.boe.es/gazeta/dias/1834/09/04/pdfs/GMD-C-1834-202.pdf#page=3","Abrir facsímil")</f>
        <v>Abrir facsímil</v>
      </c>
      <c r="K6426" s="10" t="s">
        <v>24</v>
      </c>
    </row>
    <row r="6427" spans="1:11" ht="54" customHeight="1">
      <c r="A6427" s="9" t="s">
        <v>14818</v>
      </c>
      <c r="B6427" s="9" t="s">
        <v>14818</v>
      </c>
      <c r="C6427" s="9" t="s">
        <v>46</v>
      </c>
      <c r="D6427" s="9" t="s">
        <v>18</v>
      </c>
      <c r="E6427" s="10" t="s">
        <v>571</v>
      </c>
      <c r="F6427" s="9" t="s">
        <v>620</v>
      </c>
      <c r="G6427" s="10" t="s">
        <v>75</v>
      </c>
      <c r="H6427" s="9" t="s">
        <v>22</v>
      </c>
      <c r="I6427" s="9" t="s">
        <v>14830</v>
      </c>
      <c r="J6427" s="10" t="str">
        <f>HYPERLINK("https://www.boe.es/gazeta/dias/1834/09/04/pdfs/GMD-C-1834-202.pdf#page=4","Abrir facsímil")</f>
        <v>Abrir facsímil</v>
      </c>
      <c r="K6427" s="10" t="s">
        <v>24</v>
      </c>
    </row>
    <row r="6428" spans="1:11" ht="54" customHeight="1">
      <c r="A6428" s="9" t="s">
        <v>14818</v>
      </c>
      <c r="B6428" s="9" t="s">
        <v>14818</v>
      </c>
      <c r="C6428" s="9" t="s">
        <v>17</v>
      </c>
      <c r="D6428" s="9" t="s">
        <v>18</v>
      </c>
      <c r="E6428" s="10" t="s">
        <v>571</v>
      </c>
      <c r="F6428" s="9" t="s">
        <v>620</v>
      </c>
      <c r="G6428" s="10" t="s">
        <v>176</v>
      </c>
      <c r="H6428" s="9" t="s">
        <v>22</v>
      </c>
      <c r="I6428" s="9" t="s">
        <v>14831</v>
      </c>
      <c r="J6428" s="10" t="str">
        <f>HYPERLINK("https://www.boe.es/gazeta/dias/1834/09/04/pdfs/GMD-C-1834-202.pdf#page=6","Abrir facsímil")</f>
        <v>Abrir facsímil</v>
      </c>
      <c r="K6428" s="10" t="s">
        <v>24</v>
      </c>
    </row>
    <row r="6429" spans="1:11" ht="54" customHeight="1">
      <c r="A6429" s="9" t="s">
        <v>14818</v>
      </c>
      <c r="B6429" s="9" t="s">
        <v>14818</v>
      </c>
      <c r="C6429" s="9" t="s">
        <v>17</v>
      </c>
      <c r="D6429" s="9" t="s">
        <v>101</v>
      </c>
      <c r="E6429" s="10" t="s">
        <v>8346</v>
      </c>
      <c r="F6429" s="9" t="s">
        <v>8347</v>
      </c>
      <c r="G6429" s="10" t="s">
        <v>75</v>
      </c>
      <c r="H6429" s="9" t="s">
        <v>22</v>
      </c>
      <c r="I6429" s="9" t="s">
        <v>14832</v>
      </c>
      <c r="J6429" s="10" t="str">
        <f>HYPERLINK("https://www.boe.es/gazeta/dias/1834/12/04/pdfs/GMD-1834-293.pdf#page=4","Abrir facsímil")</f>
        <v>Abrir facsímil</v>
      </c>
      <c r="K6429" s="10" t="s">
        <v>24</v>
      </c>
    </row>
    <row r="6430" spans="1:11" ht="54" customHeight="1">
      <c r="A6430" s="9" t="s">
        <v>14818</v>
      </c>
      <c r="B6430" s="9" t="s">
        <v>14818</v>
      </c>
      <c r="C6430" s="9" t="s">
        <v>90</v>
      </c>
      <c r="D6430" s="9" t="s">
        <v>18</v>
      </c>
      <c r="E6430" s="10" t="s">
        <v>1402</v>
      </c>
      <c r="F6430" s="9" t="s">
        <v>1403</v>
      </c>
      <c r="G6430" s="10" t="s">
        <v>34</v>
      </c>
      <c r="H6430" s="9" t="s">
        <v>22</v>
      </c>
      <c r="I6430" s="9" t="s">
        <v>14833</v>
      </c>
      <c r="J6430" s="10" t="str">
        <f>HYPERLINK("https://www.boe.es/gazeta/dias/1834/05/05/pdfs/I00347-00348.pdf#page=1","Abrir facsímil")</f>
        <v>Abrir facsímil</v>
      </c>
      <c r="K6430" s="10" t="s">
        <v>24</v>
      </c>
    </row>
    <row r="6431" spans="1:11" ht="54" customHeight="1">
      <c r="A6431" s="9" t="s">
        <v>14818</v>
      </c>
      <c r="B6431" s="9" t="s">
        <v>14818</v>
      </c>
      <c r="C6431" s="9" t="s">
        <v>90</v>
      </c>
      <c r="D6431" s="9" t="s">
        <v>18</v>
      </c>
      <c r="E6431" s="10" t="s">
        <v>1402</v>
      </c>
      <c r="F6431" s="9" t="s">
        <v>1403</v>
      </c>
      <c r="G6431" s="10" t="s">
        <v>28</v>
      </c>
      <c r="H6431" s="9" t="s">
        <v>22</v>
      </c>
      <c r="I6431" s="9" t="s">
        <v>14834</v>
      </c>
      <c r="J6431" s="10" t="str">
        <f>HYPERLINK("https://www.boe.es/gazeta/dias/1834/05/05/pdfs/GMD-1834-74.pdf#page=5","Abrir facsímil")</f>
        <v>Abrir facsímil</v>
      </c>
      <c r="K6431" s="10" t="s">
        <v>24</v>
      </c>
    </row>
    <row r="6432" spans="1:11" ht="54" customHeight="1">
      <c r="A6432" s="9" t="s">
        <v>14818</v>
      </c>
      <c r="B6432" s="9" t="s">
        <v>14818</v>
      </c>
      <c r="C6432" s="9" t="s">
        <v>17</v>
      </c>
      <c r="D6432" s="9" t="s">
        <v>18</v>
      </c>
      <c r="E6432" s="10" t="s">
        <v>243</v>
      </c>
      <c r="F6432" s="9" t="s">
        <v>244</v>
      </c>
      <c r="G6432" s="10" t="s">
        <v>34</v>
      </c>
      <c r="H6432" s="9" t="s">
        <v>22</v>
      </c>
      <c r="I6432" s="9" t="s">
        <v>14835</v>
      </c>
      <c r="J6432" s="10" t="str">
        <f>HYPERLINK("https://www.boe.es/gazeta/dias/1834/08/05/pdfs/GMD-C-1834-169.pdf#page=1","Abrir facsímil")</f>
        <v>Abrir facsímil</v>
      </c>
      <c r="K6432" s="10" t="s">
        <v>24</v>
      </c>
    </row>
    <row r="6433" spans="1:11" ht="54" customHeight="1">
      <c r="A6433" s="9" t="s">
        <v>14818</v>
      </c>
      <c r="B6433" s="9" t="s">
        <v>14818</v>
      </c>
      <c r="C6433" s="9" t="s">
        <v>17</v>
      </c>
      <c r="D6433" s="9" t="s">
        <v>18</v>
      </c>
      <c r="E6433" s="10" t="s">
        <v>11991</v>
      </c>
      <c r="F6433" s="9" t="s">
        <v>11992</v>
      </c>
      <c r="G6433" s="10" t="s">
        <v>34</v>
      </c>
      <c r="H6433" s="9" t="s">
        <v>22</v>
      </c>
      <c r="I6433" s="9" t="s">
        <v>14836</v>
      </c>
      <c r="J6433" s="10" t="str">
        <f>HYPERLINK("https://www.boe.es/gazeta/dias/1834/12/05/pdfs/GMD-C-1834-294.pdf#page=1","Abrir facsímil")</f>
        <v>Abrir facsímil</v>
      </c>
      <c r="K6433" s="10" t="s">
        <v>24</v>
      </c>
    </row>
    <row r="6434" spans="1:11" ht="54" customHeight="1">
      <c r="A6434" s="9" t="s">
        <v>14818</v>
      </c>
      <c r="B6434" s="9" t="s">
        <v>14818</v>
      </c>
      <c r="C6434" s="9" t="s">
        <v>17</v>
      </c>
      <c r="D6434" s="9" t="s">
        <v>18</v>
      </c>
      <c r="E6434" s="10" t="s">
        <v>364</v>
      </c>
      <c r="F6434" s="9" t="s">
        <v>365</v>
      </c>
      <c r="G6434" s="10" t="s">
        <v>560</v>
      </c>
      <c r="H6434" s="9" t="s">
        <v>22</v>
      </c>
      <c r="I6434" s="9" t="s">
        <v>14837</v>
      </c>
      <c r="J6434" s="10" t="str">
        <f>HYPERLINK("https://www.boe.es/gazeta/dias/1834/09/06/pdfs/GMD-C-1834-204.pdf#page=7","Abrir facsímil")</f>
        <v>Abrir facsímil</v>
      </c>
      <c r="K6434" s="10" t="s">
        <v>24</v>
      </c>
    </row>
    <row r="6435" spans="1:11" ht="54" customHeight="1">
      <c r="A6435" s="9" t="s">
        <v>14818</v>
      </c>
      <c r="B6435" s="9" t="s">
        <v>14818</v>
      </c>
      <c r="C6435" s="9" t="s">
        <v>122</v>
      </c>
      <c r="D6435" s="9" t="s">
        <v>18</v>
      </c>
      <c r="E6435" s="10" t="s">
        <v>696</v>
      </c>
      <c r="F6435" s="9" t="s">
        <v>854</v>
      </c>
      <c r="G6435" s="10" t="s">
        <v>75</v>
      </c>
      <c r="H6435" s="9" t="s">
        <v>22</v>
      </c>
      <c r="I6435" s="9" t="s">
        <v>14838</v>
      </c>
      <c r="J6435" s="10" t="str">
        <f>HYPERLINK("https://www.boe.es/gazeta/dias/1834/12/06/pdfs/GMD-1834-295.pdf#page=4","Abrir facsímil")</f>
        <v>Abrir facsímil</v>
      </c>
      <c r="K6435" s="10" t="s">
        <v>24</v>
      </c>
    </row>
    <row r="6436" spans="1:11" ht="54" customHeight="1">
      <c r="A6436" s="9" t="s">
        <v>14818</v>
      </c>
      <c r="B6436" s="9" t="s">
        <v>14818</v>
      </c>
      <c r="C6436" s="9" t="s">
        <v>46</v>
      </c>
      <c r="D6436" s="9" t="s">
        <v>18</v>
      </c>
      <c r="E6436" s="10" t="s">
        <v>433</v>
      </c>
      <c r="F6436" s="9" t="s">
        <v>2773</v>
      </c>
      <c r="G6436" s="10" t="s">
        <v>86</v>
      </c>
      <c r="H6436" s="9" t="s">
        <v>22</v>
      </c>
      <c r="I6436" s="9" t="s">
        <v>14839</v>
      </c>
      <c r="J6436" s="10" t="str">
        <f>HYPERLINK("https://www.boe.es/gazeta/dias/1834/10/07/pdfs/I00986-00987.pdf#page=2","Abrir facsímil")</f>
        <v>Abrir facsímil</v>
      </c>
      <c r="K6436" s="10" t="s">
        <v>24</v>
      </c>
    </row>
    <row r="6437" spans="1:11" ht="54" customHeight="1">
      <c r="A6437" s="9" t="s">
        <v>14818</v>
      </c>
      <c r="B6437" s="9" t="s">
        <v>14818</v>
      </c>
      <c r="C6437" s="9" t="s">
        <v>46</v>
      </c>
      <c r="D6437" s="9" t="s">
        <v>18</v>
      </c>
      <c r="E6437" s="10" t="s">
        <v>433</v>
      </c>
      <c r="F6437" s="9" t="s">
        <v>2773</v>
      </c>
      <c r="G6437" s="10" t="s">
        <v>21</v>
      </c>
      <c r="H6437" s="9" t="s">
        <v>22</v>
      </c>
      <c r="I6437" s="9" t="s">
        <v>14839</v>
      </c>
      <c r="J6437" s="10" t="str">
        <f>HYPERLINK("https://www.boe.es/gazeta/dias/1834/10/07/pdfs/GMD-1834-235.pdf#page=3","Abrir facsímil")</f>
        <v>Abrir facsímil</v>
      </c>
      <c r="K6437" s="10" t="s">
        <v>24</v>
      </c>
    </row>
    <row r="6438" spans="1:11" ht="54" customHeight="1">
      <c r="A6438" s="9" t="s">
        <v>14818</v>
      </c>
      <c r="B6438" s="9" t="s">
        <v>14818</v>
      </c>
      <c r="C6438" s="9" t="s">
        <v>17</v>
      </c>
      <c r="D6438" s="9" t="s">
        <v>18</v>
      </c>
      <c r="E6438" s="10" t="s">
        <v>433</v>
      </c>
      <c r="F6438" s="9" t="s">
        <v>434</v>
      </c>
      <c r="G6438" s="10" t="s">
        <v>34</v>
      </c>
      <c r="H6438" s="9" t="s">
        <v>22</v>
      </c>
      <c r="I6438" s="9" t="s">
        <v>14840</v>
      </c>
      <c r="J6438" s="10" t="str">
        <f>HYPERLINK("https://www.boe.es/gazeta/dias/1834/10/07/pdfs/GMD-C-1834-235.pdf#page=1","Abrir facsímil")</f>
        <v>Abrir facsímil</v>
      </c>
      <c r="K6438" s="10" t="s">
        <v>24</v>
      </c>
    </row>
    <row r="6439" spans="1:11" ht="54" customHeight="1">
      <c r="A6439" s="9" t="s">
        <v>14818</v>
      </c>
      <c r="B6439" s="9" t="s">
        <v>14818</v>
      </c>
      <c r="C6439" s="9" t="s">
        <v>17</v>
      </c>
      <c r="D6439" s="9" t="s">
        <v>18</v>
      </c>
      <c r="E6439" s="10" t="s">
        <v>433</v>
      </c>
      <c r="F6439" s="9" t="s">
        <v>434</v>
      </c>
      <c r="G6439" s="10" t="s">
        <v>75</v>
      </c>
      <c r="H6439" s="9" t="s">
        <v>22</v>
      </c>
      <c r="I6439" s="9" t="s">
        <v>14841</v>
      </c>
      <c r="J6439" s="10" t="str">
        <f>HYPERLINK("https://www.boe.es/gazeta/dias/1834/10/07/pdfs/GMD-C-1834-235.pdf#page=4","Abrir facsímil")</f>
        <v>Abrir facsímil</v>
      </c>
      <c r="K6439" s="10" t="s">
        <v>24</v>
      </c>
    </row>
    <row r="6440" spans="1:11" ht="54" customHeight="1">
      <c r="A6440" s="9" t="s">
        <v>14818</v>
      </c>
      <c r="B6440" s="9" t="s">
        <v>14818</v>
      </c>
      <c r="C6440" s="9" t="s">
        <v>17</v>
      </c>
      <c r="D6440" s="9" t="s">
        <v>18</v>
      </c>
      <c r="E6440" s="10" t="s">
        <v>762</v>
      </c>
      <c r="F6440" s="9" t="s">
        <v>2227</v>
      </c>
      <c r="G6440" s="10" t="s">
        <v>86</v>
      </c>
      <c r="H6440" s="9" t="s">
        <v>22</v>
      </c>
      <c r="I6440" s="9" t="s">
        <v>14842</v>
      </c>
      <c r="J6440" s="10" t="str">
        <f>HYPERLINK("https://www.boe.es/gazeta/dias/1834/11/07/pdfs/GMD-C-1834-266.pdf#page=2","Abrir facsímil")</f>
        <v>Abrir facsímil</v>
      </c>
      <c r="K6440" s="10" t="s">
        <v>24</v>
      </c>
    </row>
    <row r="6441" spans="1:11" ht="54" customHeight="1">
      <c r="A6441" s="9" t="s">
        <v>14818</v>
      </c>
      <c r="B6441" s="9" t="s">
        <v>14818</v>
      </c>
      <c r="C6441" s="9" t="s">
        <v>17</v>
      </c>
      <c r="D6441" s="9" t="s">
        <v>18</v>
      </c>
      <c r="E6441" s="10" t="s">
        <v>762</v>
      </c>
      <c r="F6441" s="9" t="s">
        <v>2227</v>
      </c>
      <c r="G6441" s="10" t="s">
        <v>75</v>
      </c>
      <c r="H6441" s="9" t="s">
        <v>22</v>
      </c>
      <c r="I6441" s="9" t="s">
        <v>14843</v>
      </c>
      <c r="J6441" s="10" t="str">
        <f>HYPERLINK("https://www.boe.es/gazeta/dias/1834/11/07/pdfs/GMD-C-1834-266.pdf#page=4","Abrir facsímil")</f>
        <v>Abrir facsímil</v>
      </c>
      <c r="K6441" s="10" t="s">
        <v>24</v>
      </c>
    </row>
    <row r="6442" spans="1:11" ht="54" customHeight="1">
      <c r="A6442" s="9" t="s">
        <v>14818</v>
      </c>
      <c r="B6442" s="9" t="s">
        <v>14818</v>
      </c>
      <c r="C6442" s="9" t="s">
        <v>46</v>
      </c>
      <c r="D6442" s="9" t="s">
        <v>18</v>
      </c>
      <c r="E6442" s="10" t="s">
        <v>762</v>
      </c>
      <c r="F6442" s="9" t="s">
        <v>2227</v>
      </c>
      <c r="G6442" s="10" t="s">
        <v>28</v>
      </c>
      <c r="H6442" s="9" t="s">
        <v>22</v>
      </c>
      <c r="I6442" s="9" t="s">
        <v>14844</v>
      </c>
      <c r="J6442" s="10" t="str">
        <f>HYPERLINK("https://www.boe.es/gazeta/dias/1834/11/07/pdfs/GMD-C-1834-266.pdf#page=5","Abrir facsímil")</f>
        <v>Abrir facsímil</v>
      </c>
      <c r="K6442" s="10" t="s">
        <v>24</v>
      </c>
    </row>
    <row r="6443" spans="1:11" ht="54" customHeight="1">
      <c r="A6443" s="9" t="s">
        <v>14818</v>
      </c>
      <c r="B6443" s="9" t="s">
        <v>14818</v>
      </c>
      <c r="C6443" s="9" t="s">
        <v>17</v>
      </c>
      <c r="D6443" s="9" t="s">
        <v>18</v>
      </c>
      <c r="E6443" s="10" t="s">
        <v>860</v>
      </c>
      <c r="F6443" s="9" t="s">
        <v>861</v>
      </c>
      <c r="G6443" s="10" t="s">
        <v>21</v>
      </c>
      <c r="H6443" s="9" t="s">
        <v>22</v>
      </c>
      <c r="I6443" s="9" t="s">
        <v>14845</v>
      </c>
      <c r="J6443" s="10" t="str">
        <f>HYPERLINK("https://www.boe.es/gazeta/dias/1834/02/08/pdfs/GMD-1834-18.pdf#page=3","Abrir facsímil")</f>
        <v>Abrir facsímil</v>
      </c>
      <c r="K6443" s="10" t="s">
        <v>24</v>
      </c>
    </row>
    <row r="6444" spans="1:11" ht="54" customHeight="1">
      <c r="A6444" s="9" t="s">
        <v>14818</v>
      </c>
      <c r="B6444" s="9" t="s">
        <v>14818</v>
      </c>
      <c r="C6444" s="9" t="s">
        <v>857</v>
      </c>
      <c r="D6444" s="9" t="s">
        <v>18</v>
      </c>
      <c r="E6444" s="10" t="s">
        <v>860</v>
      </c>
      <c r="F6444" s="9" t="s">
        <v>861</v>
      </c>
      <c r="G6444" s="10" t="s">
        <v>28</v>
      </c>
      <c r="H6444" s="9" t="s">
        <v>22</v>
      </c>
      <c r="I6444" s="9" t="s">
        <v>14846</v>
      </c>
      <c r="J6444" s="10" t="str">
        <f>HYPERLINK("https://www.boe.es/gazeta/dias/1834/02/08/pdfs/GMD-1834-18.pdf#page=5","Abrir facsímil")</f>
        <v>Abrir facsímil</v>
      </c>
      <c r="K6444" s="10" t="s">
        <v>24</v>
      </c>
    </row>
    <row r="6445" spans="1:11" ht="54" customHeight="1">
      <c r="A6445" s="9" t="s">
        <v>14818</v>
      </c>
      <c r="B6445" s="9" t="s">
        <v>14818</v>
      </c>
      <c r="C6445" s="9" t="s">
        <v>857</v>
      </c>
      <c r="D6445" s="9" t="s">
        <v>18</v>
      </c>
      <c r="E6445" s="10" t="s">
        <v>2748</v>
      </c>
      <c r="F6445" s="9" t="s">
        <v>2749</v>
      </c>
      <c r="G6445" s="10" t="s">
        <v>34</v>
      </c>
      <c r="H6445" s="9" t="s">
        <v>22</v>
      </c>
      <c r="I6445" s="9" t="s">
        <v>14847</v>
      </c>
      <c r="J6445" s="10" t="str">
        <f>HYPERLINK("https://www.boe.es/gazeta/dias/1834/01/09/pdfs/GMD-1834-5.pdf#page=1","Abrir facsímil")</f>
        <v>Abrir facsímil</v>
      </c>
      <c r="K6445" s="10" t="s">
        <v>24</v>
      </c>
    </row>
    <row r="6446" spans="1:11" ht="54" customHeight="1">
      <c r="A6446" s="9" t="s">
        <v>14818</v>
      </c>
      <c r="B6446" s="9" t="s">
        <v>14818</v>
      </c>
      <c r="C6446" s="9" t="s">
        <v>66</v>
      </c>
      <c r="D6446" s="9" t="s">
        <v>67</v>
      </c>
      <c r="E6446" s="10" t="s">
        <v>2748</v>
      </c>
      <c r="F6446" s="9" t="s">
        <v>2749</v>
      </c>
      <c r="G6446" s="10" t="s">
        <v>86</v>
      </c>
      <c r="H6446" s="9" t="s">
        <v>22</v>
      </c>
      <c r="I6446" s="9" t="s">
        <v>14848</v>
      </c>
      <c r="J6446" s="10" t="str">
        <f>HYPERLINK("https://www.boe.es/gazeta/dias/1834/01/09/pdfs/GMD-1834-5.pdf#page=2","Abrir facsímil")</f>
        <v>Abrir facsímil</v>
      </c>
      <c r="K6446" s="10" t="s">
        <v>24</v>
      </c>
    </row>
    <row r="6447" spans="1:11" ht="54" customHeight="1">
      <c r="A6447" s="9" t="s">
        <v>14818</v>
      </c>
      <c r="B6447" s="9" t="s">
        <v>14818</v>
      </c>
      <c r="C6447" s="9" t="s">
        <v>17</v>
      </c>
      <c r="D6447" s="9" t="s">
        <v>40</v>
      </c>
      <c r="E6447" s="10" t="s">
        <v>2748</v>
      </c>
      <c r="F6447" s="9" t="s">
        <v>2749</v>
      </c>
      <c r="G6447" s="10" t="s">
        <v>75</v>
      </c>
      <c r="H6447" s="9" t="s">
        <v>22</v>
      </c>
      <c r="I6447" s="9" t="s">
        <v>14849</v>
      </c>
      <c r="J6447" s="10" t="str">
        <f>HYPERLINK("https://www.boe.es/gazeta/dias/1834/01/09/pdfs/GMD-1834-5.pdf#page=4","Abrir facsímil")</f>
        <v>Abrir facsímil</v>
      </c>
      <c r="K6447" s="10" t="s">
        <v>24</v>
      </c>
    </row>
    <row r="6448" spans="1:11" ht="54" customHeight="1">
      <c r="A6448" s="9" t="s">
        <v>14818</v>
      </c>
      <c r="B6448" s="9" t="s">
        <v>14818</v>
      </c>
      <c r="C6448" s="9" t="s">
        <v>122</v>
      </c>
      <c r="D6448" s="9" t="s">
        <v>101</v>
      </c>
      <c r="E6448" s="10" t="s">
        <v>2004</v>
      </c>
      <c r="F6448" s="9" t="s">
        <v>2005</v>
      </c>
      <c r="G6448" s="10" t="s">
        <v>34</v>
      </c>
      <c r="H6448" s="9" t="s">
        <v>22</v>
      </c>
      <c r="I6448" s="9" t="s">
        <v>14850</v>
      </c>
      <c r="J6448" s="10" t="str">
        <f>HYPERLINK("https://www.boe.es/gazeta/dias/1834/05/09/pdfs/GMD-1834-78.pdf#page=1","Abrir facsímil")</f>
        <v>Abrir facsímil</v>
      </c>
      <c r="K6448" s="10" t="s">
        <v>24</v>
      </c>
    </row>
    <row r="6449" spans="1:11" ht="54" customHeight="1">
      <c r="A6449" s="9" t="s">
        <v>14818</v>
      </c>
      <c r="B6449" s="9" t="s">
        <v>14818</v>
      </c>
      <c r="C6449" s="9" t="s">
        <v>46</v>
      </c>
      <c r="D6449" s="9" t="s">
        <v>55</v>
      </c>
      <c r="E6449" s="10" t="s">
        <v>258</v>
      </c>
      <c r="F6449" s="9" t="s">
        <v>259</v>
      </c>
      <c r="G6449" s="10" t="s">
        <v>86</v>
      </c>
      <c r="H6449" s="9" t="s">
        <v>22</v>
      </c>
      <c r="I6449" s="9" t="s">
        <v>14851</v>
      </c>
      <c r="J6449" s="10" t="str">
        <f>HYPERLINK("https://www.boe.es/gazeta/dias/1834/10/09/pdfs/GMD-C-1834-237.pdf#page=2","Abrir facsímil")</f>
        <v>Abrir facsímil</v>
      </c>
      <c r="K6449" s="10" t="s">
        <v>24</v>
      </c>
    </row>
    <row r="6450" spans="1:11" ht="54" customHeight="1">
      <c r="A6450" s="9" t="s">
        <v>14818</v>
      </c>
      <c r="B6450" s="9" t="s">
        <v>14818</v>
      </c>
      <c r="C6450" s="9" t="s">
        <v>90</v>
      </c>
      <c r="D6450" s="9" t="s">
        <v>55</v>
      </c>
      <c r="E6450" s="10" t="s">
        <v>438</v>
      </c>
      <c r="F6450" s="9" t="s">
        <v>528</v>
      </c>
      <c r="G6450" s="10" t="s">
        <v>21</v>
      </c>
      <c r="H6450" s="9" t="s">
        <v>22</v>
      </c>
      <c r="I6450" s="9" t="s">
        <v>14852</v>
      </c>
      <c r="J6450" s="10" t="str">
        <f>HYPERLINK("https://www.boe.es/gazeta/dias/1834/11/09/pdfs/GMD-C-1834-268.pdf#page=3","Abrir facsímil")</f>
        <v>Abrir facsímil</v>
      </c>
      <c r="K6450" s="10" t="s">
        <v>24</v>
      </c>
    </row>
    <row r="6451" spans="1:11" ht="54" customHeight="1">
      <c r="A6451" s="9" t="s">
        <v>14818</v>
      </c>
      <c r="B6451" s="9" t="s">
        <v>14818</v>
      </c>
      <c r="C6451" s="9" t="s">
        <v>17</v>
      </c>
      <c r="D6451" s="9" t="s">
        <v>101</v>
      </c>
      <c r="E6451" s="10" t="s">
        <v>1178</v>
      </c>
      <c r="F6451" s="9" t="s">
        <v>14853</v>
      </c>
      <c r="G6451" s="10" t="s">
        <v>34</v>
      </c>
      <c r="H6451" s="9" t="s">
        <v>22</v>
      </c>
      <c r="I6451" s="9" t="s">
        <v>14854</v>
      </c>
      <c r="J6451" s="10" t="str">
        <f>HYPERLINK("https://www.boe.es/gazeta/dias/1834/04/10/pdfs/GMD-1834-49.pdf#page=1","Abrir facsímil")</f>
        <v>Abrir facsímil</v>
      </c>
      <c r="K6451" s="10" t="s">
        <v>24</v>
      </c>
    </row>
    <row r="6452" spans="1:11" ht="54" customHeight="1">
      <c r="A6452" s="9" t="s">
        <v>14818</v>
      </c>
      <c r="B6452" s="9" t="s">
        <v>14818</v>
      </c>
      <c r="C6452" s="9" t="s">
        <v>90</v>
      </c>
      <c r="D6452" s="9" t="s">
        <v>18</v>
      </c>
      <c r="E6452" s="10" t="s">
        <v>956</v>
      </c>
      <c r="F6452" s="9" t="s">
        <v>957</v>
      </c>
      <c r="G6452" s="10" t="s">
        <v>34</v>
      </c>
      <c r="H6452" s="9" t="s">
        <v>22</v>
      </c>
      <c r="I6452" s="9" t="s">
        <v>14855</v>
      </c>
      <c r="J6452" s="10" t="str">
        <f>HYPERLINK("https://www.boe.es/gazeta/dias/1834/08/10/pdfs/GMD-C-1834-175.pdf#page=1","Abrir facsímil")</f>
        <v>Abrir facsímil</v>
      </c>
      <c r="K6452" s="10" t="s">
        <v>24</v>
      </c>
    </row>
    <row r="6453" spans="1:11" ht="54" customHeight="1">
      <c r="A6453" s="9" t="s">
        <v>14818</v>
      </c>
      <c r="B6453" s="9" t="s">
        <v>14818</v>
      </c>
      <c r="C6453" s="9" t="s">
        <v>66</v>
      </c>
      <c r="D6453" s="9" t="s">
        <v>67</v>
      </c>
      <c r="E6453" s="10" t="s">
        <v>956</v>
      </c>
      <c r="F6453" s="9" t="s">
        <v>957</v>
      </c>
      <c r="G6453" s="10" t="s">
        <v>86</v>
      </c>
      <c r="H6453" s="9" t="s">
        <v>22</v>
      </c>
      <c r="I6453" s="9" t="s">
        <v>14856</v>
      </c>
      <c r="J6453" s="10" t="str">
        <f>HYPERLINK("https://www.boe.es/gazeta/dias/1834/08/10/pdfs/GMD-C-1834-175.pdf#page=2","Abrir facsímil")</f>
        <v>Abrir facsímil</v>
      </c>
      <c r="K6453" s="10" t="s">
        <v>24</v>
      </c>
    </row>
    <row r="6454" spans="1:11" ht="54" customHeight="1">
      <c r="A6454" s="9" t="s">
        <v>14818</v>
      </c>
      <c r="B6454" s="9" t="s">
        <v>14818</v>
      </c>
      <c r="C6454" s="9" t="s">
        <v>122</v>
      </c>
      <c r="D6454" s="9" t="s">
        <v>18</v>
      </c>
      <c r="E6454" s="10" t="s">
        <v>2203</v>
      </c>
      <c r="F6454" s="9" t="s">
        <v>3917</v>
      </c>
      <c r="G6454" s="10" t="s">
        <v>34</v>
      </c>
      <c r="H6454" s="9" t="s">
        <v>22</v>
      </c>
      <c r="I6454" s="9" t="s">
        <v>14857</v>
      </c>
      <c r="J6454" s="10" t="str">
        <f>HYPERLINK("https://www.boe.es/gazeta/dias/1834/09/10/pdfs/GMD-1834-208.pdf#page=1","Abrir facsímil")</f>
        <v>Abrir facsímil</v>
      </c>
      <c r="K6454" s="10" t="s">
        <v>24</v>
      </c>
    </row>
    <row r="6455" spans="1:11" ht="54" customHeight="1">
      <c r="A6455" s="9" t="s">
        <v>14818</v>
      </c>
      <c r="B6455" s="9" t="s">
        <v>14818</v>
      </c>
      <c r="C6455" s="9" t="s">
        <v>66</v>
      </c>
      <c r="D6455" s="9" t="s">
        <v>67</v>
      </c>
      <c r="E6455" s="10" t="s">
        <v>1103</v>
      </c>
      <c r="F6455" s="9" t="s">
        <v>1259</v>
      </c>
      <c r="G6455" s="10" t="s">
        <v>21</v>
      </c>
      <c r="H6455" s="9" t="s">
        <v>22</v>
      </c>
      <c r="I6455" s="9" t="s">
        <v>14858</v>
      </c>
      <c r="J6455" s="10" t="str">
        <f>HYPERLINK("https://www.boe.es/gazeta/dias/1834/10/10/pdfs/GMD-1834-238.pdf#page=3","Abrir facsímil")</f>
        <v>Abrir facsímil</v>
      </c>
      <c r="K6455" s="10" t="s">
        <v>24</v>
      </c>
    </row>
    <row r="6456" spans="1:11" ht="54" customHeight="1">
      <c r="A6456" s="9" t="s">
        <v>14818</v>
      </c>
      <c r="B6456" s="9" t="s">
        <v>14818</v>
      </c>
      <c r="C6456" s="9" t="s">
        <v>17</v>
      </c>
      <c r="D6456" s="9" t="s">
        <v>18</v>
      </c>
      <c r="E6456" s="10" t="s">
        <v>1103</v>
      </c>
      <c r="F6456" s="9" t="s">
        <v>1104</v>
      </c>
      <c r="G6456" s="10" t="s">
        <v>34</v>
      </c>
      <c r="H6456" s="9" t="s">
        <v>22</v>
      </c>
      <c r="I6456" s="9" t="s">
        <v>14859</v>
      </c>
      <c r="J6456" s="10" t="str">
        <f>HYPERLINK("https://www.boe.es/gazeta/dias/1834/10/10/pdfs/GMD-C-1834-238.pdf#page=1","Abrir facsímil")</f>
        <v>Abrir facsímil</v>
      </c>
      <c r="K6456" s="10" t="s">
        <v>24</v>
      </c>
    </row>
    <row r="6457" spans="1:11" ht="54" customHeight="1">
      <c r="A6457" s="9" t="s">
        <v>14818</v>
      </c>
      <c r="B6457" s="9" t="s">
        <v>14818</v>
      </c>
      <c r="C6457" s="9" t="s">
        <v>17</v>
      </c>
      <c r="D6457" s="9" t="s">
        <v>18</v>
      </c>
      <c r="E6457" s="10" t="s">
        <v>41</v>
      </c>
      <c r="F6457" s="9" t="s">
        <v>42</v>
      </c>
      <c r="G6457" s="10" t="s">
        <v>75</v>
      </c>
      <c r="H6457" s="9" t="s">
        <v>22</v>
      </c>
      <c r="I6457" s="9" t="s">
        <v>14860</v>
      </c>
      <c r="J6457" s="10" t="str">
        <f>HYPERLINK("https://www.boe.es/gazeta/dias/1834/06/11/pdfs/GMD-1834-114.pdf#page=4","Abrir facsímil")</f>
        <v>Abrir facsímil</v>
      </c>
      <c r="K6457" s="10" t="s">
        <v>24</v>
      </c>
    </row>
    <row r="6458" spans="1:11" ht="54" customHeight="1">
      <c r="A6458" s="9" t="s">
        <v>14818</v>
      </c>
      <c r="B6458" s="9" t="s">
        <v>14818</v>
      </c>
      <c r="C6458" s="9" t="s">
        <v>46</v>
      </c>
      <c r="D6458" s="9" t="s">
        <v>18</v>
      </c>
      <c r="E6458" s="10" t="s">
        <v>2098</v>
      </c>
      <c r="F6458" s="9" t="s">
        <v>2099</v>
      </c>
      <c r="G6458" s="10" t="s">
        <v>75</v>
      </c>
      <c r="H6458" s="9" t="s">
        <v>22</v>
      </c>
      <c r="I6458" s="9" t="s">
        <v>14861</v>
      </c>
      <c r="J6458" s="10" t="str">
        <f>HYPERLINK("https://www.boe.es/gazeta/dias/1834/08/11/pdfs/GMD-1834-176.pdf#page=4","Abrir facsímil")</f>
        <v>Abrir facsímil</v>
      </c>
      <c r="K6458" s="10" t="s">
        <v>24</v>
      </c>
    </row>
    <row r="6459" spans="1:11" ht="54" customHeight="1">
      <c r="A6459" s="9" t="s">
        <v>14818</v>
      </c>
      <c r="B6459" s="9" t="s">
        <v>14818</v>
      </c>
      <c r="C6459" s="9" t="s">
        <v>857</v>
      </c>
      <c r="D6459" s="9" t="s">
        <v>101</v>
      </c>
      <c r="E6459" s="10" t="s">
        <v>2098</v>
      </c>
      <c r="F6459" s="9" t="s">
        <v>5817</v>
      </c>
      <c r="G6459" s="10" t="s">
        <v>86</v>
      </c>
      <c r="H6459" s="9" t="s">
        <v>22</v>
      </c>
      <c r="I6459" s="9" t="s">
        <v>14862</v>
      </c>
      <c r="J6459" s="10" t="str">
        <f>HYPERLINK("https://www.boe.es/gazeta/dias/1834/08/11/pdfs/GMD-C-1834-176.pdf#page=2","Abrir facsímil")</f>
        <v>Abrir facsímil</v>
      </c>
      <c r="K6459" s="10" t="s">
        <v>24</v>
      </c>
    </row>
    <row r="6460" spans="1:11" ht="54" customHeight="1">
      <c r="A6460" s="9" t="s">
        <v>14818</v>
      </c>
      <c r="B6460" s="9" t="s">
        <v>14818</v>
      </c>
      <c r="C6460" s="9" t="s">
        <v>46</v>
      </c>
      <c r="D6460" s="9" t="s">
        <v>55</v>
      </c>
      <c r="E6460" s="10" t="s">
        <v>2098</v>
      </c>
      <c r="F6460" s="9" t="s">
        <v>5817</v>
      </c>
      <c r="G6460" s="10" t="s">
        <v>21</v>
      </c>
      <c r="H6460" s="9" t="s">
        <v>22</v>
      </c>
      <c r="I6460" s="9" t="s">
        <v>14863</v>
      </c>
      <c r="J6460" s="10" t="str">
        <f>HYPERLINK("https://www.boe.es/gazeta/dias/1834/08/11/pdfs/GMD-C-1834-176.pdf#page=3","Abrir facsímil")</f>
        <v>Abrir facsímil</v>
      </c>
      <c r="K6460" s="10" t="s">
        <v>24</v>
      </c>
    </row>
    <row r="6461" spans="1:11" ht="54" customHeight="1">
      <c r="A6461" s="9" t="s">
        <v>14818</v>
      </c>
      <c r="B6461" s="9" t="s">
        <v>14818</v>
      </c>
      <c r="C6461" s="9" t="s">
        <v>90</v>
      </c>
      <c r="D6461" s="9" t="s">
        <v>101</v>
      </c>
      <c r="E6461" s="10" t="s">
        <v>808</v>
      </c>
      <c r="F6461" s="9" t="s">
        <v>809</v>
      </c>
      <c r="G6461" s="10" t="s">
        <v>34</v>
      </c>
      <c r="H6461" s="9" t="s">
        <v>22</v>
      </c>
      <c r="I6461" s="9" t="s">
        <v>14864</v>
      </c>
      <c r="J6461" s="10" t="str">
        <f>HYPERLINK("https://www.boe.es/gazeta/dias/1834/10/11/pdfs/GMD-1834-239.pdf#page=1","Abrir facsímil")</f>
        <v>Abrir facsímil</v>
      </c>
      <c r="K6461" s="10" t="s">
        <v>24</v>
      </c>
    </row>
    <row r="6462" spans="1:11" ht="54" customHeight="1">
      <c r="A6462" s="9" t="s">
        <v>14818</v>
      </c>
      <c r="B6462" s="9" t="s">
        <v>14818</v>
      </c>
      <c r="C6462" s="9" t="s">
        <v>17</v>
      </c>
      <c r="D6462" s="9" t="s">
        <v>18</v>
      </c>
      <c r="E6462" s="10" t="s">
        <v>1708</v>
      </c>
      <c r="F6462" s="9" t="s">
        <v>1709</v>
      </c>
      <c r="G6462" s="10" t="s">
        <v>28</v>
      </c>
      <c r="H6462" s="9" t="s">
        <v>22</v>
      </c>
      <c r="I6462" s="9" t="s">
        <v>14865</v>
      </c>
      <c r="J6462" s="10" t="str">
        <f>HYPERLINK("https://www.boe.es/gazeta/dias/1834/04/12/pdfs/GMD-1834-51.pdf#page=5","Abrir facsímil")</f>
        <v>Abrir facsímil</v>
      </c>
      <c r="K6462" s="10" t="s">
        <v>24</v>
      </c>
    </row>
    <row r="6463" spans="1:11" ht="54" customHeight="1">
      <c r="A6463" s="9" t="s">
        <v>14818</v>
      </c>
      <c r="B6463" s="9" t="s">
        <v>14818</v>
      </c>
      <c r="C6463" s="9" t="s">
        <v>17</v>
      </c>
      <c r="D6463" s="9" t="s">
        <v>18</v>
      </c>
      <c r="E6463" s="10" t="s">
        <v>1839</v>
      </c>
      <c r="F6463" s="9" t="s">
        <v>3598</v>
      </c>
      <c r="G6463" s="10" t="s">
        <v>75</v>
      </c>
      <c r="H6463" s="9" t="s">
        <v>22</v>
      </c>
      <c r="I6463" s="9" t="s">
        <v>14866</v>
      </c>
      <c r="J6463" s="10" t="str">
        <f>HYPERLINK("https://www.boe.es/gazeta/dias/1834/08/12/pdfs/GMD-1834-177.pdf#page=4","Abrir facsímil")</f>
        <v>Abrir facsímil</v>
      </c>
      <c r="K6463" s="10" t="s">
        <v>24</v>
      </c>
    </row>
    <row r="6464" spans="1:11" ht="54" customHeight="1">
      <c r="A6464" s="9" t="s">
        <v>14818</v>
      </c>
      <c r="B6464" s="9" t="s">
        <v>14818</v>
      </c>
      <c r="C6464" s="9" t="s">
        <v>17</v>
      </c>
      <c r="D6464" s="9" t="s">
        <v>18</v>
      </c>
      <c r="E6464" s="10" t="s">
        <v>299</v>
      </c>
      <c r="F6464" s="9" t="s">
        <v>2255</v>
      </c>
      <c r="G6464" s="10" t="s">
        <v>34</v>
      </c>
      <c r="H6464" s="9" t="s">
        <v>22</v>
      </c>
      <c r="I6464" s="9" t="s">
        <v>14867</v>
      </c>
      <c r="J6464" s="10" t="str">
        <f>HYPERLINK("https://www.boe.es/gazeta/dias/1834/12/12/pdfs/GMD-C-1834-301.pdf#page=1","Abrir facsímil")</f>
        <v>Abrir facsímil</v>
      </c>
      <c r="K6464" s="10" t="s">
        <v>24</v>
      </c>
    </row>
    <row r="6465" spans="1:11" ht="54" customHeight="1">
      <c r="A6465" s="9" t="s">
        <v>14818</v>
      </c>
      <c r="B6465" s="9" t="s">
        <v>14818</v>
      </c>
      <c r="C6465" s="9" t="s">
        <v>17</v>
      </c>
      <c r="D6465" s="9" t="s">
        <v>18</v>
      </c>
      <c r="E6465" s="10" t="s">
        <v>299</v>
      </c>
      <c r="F6465" s="9" t="s">
        <v>2255</v>
      </c>
      <c r="G6465" s="10" t="s">
        <v>28</v>
      </c>
      <c r="H6465" s="9" t="s">
        <v>22</v>
      </c>
      <c r="I6465" s="9" t="s">
        <v>14868</v>
      </c>
      <c r="J6465" s="10" t="str">
        <f>HYPERLINK("https://www.boe.es/gazeta/dias/1834/12/12/pdfs/GMD-C-1834-301.pdf#page=5","Abrir facsímil")</f>
        <v>Abrir facsímil</v>
      </c>
      <c r="K6465" s="10" t="s">
        <v>24</v>
      </c>
    </row>
    <row r="6466" spans="1:11" ht="54" customHeight="1">
      <c r="A6466" s="9" t="s">
        <v>14818</v>
      </c>
      <c r="B6466" s="9" t="s">
        <v>14818</v>
      </c>
      <c r="C6466" s="9" t="s">
        <v>17</v>
      </c>
      <c r="D6466" s="9" t="s">
        <v>18</v>
      </c>
      <c r="E6466" s="10" t="s">
        <v>844</v>
      </c>
      <c r="F6466" s="9" t="s">
        <v>845</v>
      </c>
      <c r="G6466" s="10" t="s">
        <v>34</v>
      </c>
      <c r="H6466" s="9" t="s">
        <v>22</v>
      </c>
      <c r="I6466" s="9" t="s">
        <v>14869</v>
      </c>
      <c r="J6466" s="10" t="str">
        <f>HYPERLINK("https://www.boe.es/gazeta/dias/1834/03/13/pdfs/GMD-1834-32.pdf#page=1","Abrir facsímil")</f>
        <v>Abrir facsímil</v>
      </c>
      <c r="K6466" s="10" t="s">
        <v>24</v>
      </c>
    </row>
    <row r="6467" spans="1:11" ht="54" customHeight="1">
      <c r="A6467" s="9" t="s">
        <v>14818</v>
      </c>
      <c r="B6467" s="9" t="s">
        <v>14818</v>
      </c>
      <c r="C6467" s="9" t="s">
        <v>90</v>
      </c>
      <c r="D6467" s="9" t="s">
        <v>18</v>
      </c>
      <c r="E6467" s="10" t="s">
        <v>1438</v>
      </c>
      <c r="F6467" s="9" t="s">
        <v>1439</v>
      </c>
      <c r="G6467" s="10" t="s">
        <v>75</v>
      </c>
      <c r="H6467" s="9" t="s">
        <v>22</v>
      </c>
      <c r="I6467" s="9" t="s">
        <v>14870</v>
      </c>
      <c r="J6467" s="10" t="str">
        <f>HYPERLINK("https://www.boe.es/gazeta/dias/1834/05/13/pdfs/GMD-1834-82.pdf#page=4","Abrir facsímil")</f>
        <v>Abrir facsímil</v>
      </c>
      <c r="K6467" s="10" t="s">
        <v>24</v>
      </c>
    </row>
    <row r="6468" spans="1:11" ht="54" customHeight="1">
      <c r="A6468" s="9" t="s">
        <v>14818</v>
      </c>
      <c r="B6468" s="9" t="s">
        <v>14818</v>
      </c>
      <c r="C6468" s="9" t="s">
        <v>17</v>
      </c>
      <c r="D6468" s="9" t="s">
        <v>18</v>
      </c>
      <c r="E6468" s="10" t="s">
        <v>2260</v>
      </c>
      <c r="F6468" s="9" t="s">
        <v>2263</v>
      </c>
      <c r="G6468" s="10" t="s">
        <v>176</v>
      </c>
      <c r="H6468" s="9" t="s">
        <v>22</v>
      </c>
      <c r="I6468" s="9" t="s">
        <v>14871</v>
      </c>
      <c r="J6468" s="10" t="str">
        <f>HYPERLINK("https://www.boe.es/gazeta/dias/1834/11/13/pdfs/GMD-C-1834-272.pdf#page=6","Abrir facsímil")</f>
        <v>Abrir facsímil</v>
      </c>
      <c r="K6468" s="10" t="s">
        <v>24</v>
      </c>
    </row>
    <row r="6469" spans="1:11" ht="54" customHeight="1">
      <c r="A6469" s="9" t="s">
        <v>14818</v>
      </c>
      <c r="B6469" s="9" t="s">
        <v>14818</v>
      </c>
      <c r="C6469" s="9" t="s">
        <v>17</v>
      </c>
      <c r="D6469" s="9" t="s">
        <v>18</v>
      </c>
      <c r="E6469" s="10" t="s">
        <v>343</v>
      </c>
      <c r="F6469" s="9" t="s">
        <v>344</v>
      </c>
      <c r="G6469" s="10" t="s">
        <v>21</v>
      </c>
      <c r="H6469" s="9" t="s">
        <v>22</v>
      </c>
      <c r="I6469" s="9" t="s">
        <v>14872</v>
      </c>
      <c r="J6469" s="10" t="str">
        <f>HYPERLINK("https://www.boe.es/gazeta/dias/1834/01/14/pdfs/GMD-1834-7.pdf#page=3","Abrir facsímil")</f>
        <v>Abrir facsímil</v>
      </c>
      <c r="K6469" s="10" t="s">
        <v>24</v>
      </c>
    </row>
    <row r="6470" spans="1:11" ht="54" customHeight="1">
      <c r="A6470" s="9" t="s">
        <v>14818</v>
      </c>
      <c r="B6470" s="9" t="s">
        <v>14818</v>
      </c>
      <c r="C6470" s="9" t="s">
        <v>17</v>
      </c>
      <c r="D6470" s="9" t="s">
        <v>18</v>
      </c>
      <c r="E6470" s="10" t="s">
        <v>448</v>
      </c>
      <c r="F6470" s="9" t="s">
        <v>449</v>
      </c>
      <c r="G6470" s="10" t="s">
        <v>21</v>
      </c>
      <c r="H6470" s="9" t="s">
        <v>22</v>
      </c>
      <c r="I6470" s="9" t="s">
        <v>14873</v>
      </c>
      <c r="J6470" s="10" t="str">
        <f>HYPERLINK("https://www.boe.es/gazeta/dias/1834/10/14/pdfs/GMD-C-1834-242.pdf#page=3","Abrir facsímil")</f>
        <v>Abrir facsímil</v>
      </c>
      <c r="K6470" s="10" t="s">
        <v>24</v>
      </c>
    </row>
    <row r="6471" spans="1:11" ht="54" customHeight="1">
      <c r="A6471" s="9" t="s">
        <v>14818</v>
      </c>
      <c r="B6471" s="9" t="s">
        <v>14818</v>
      </c>
      <c r="C6471" s="9" t="s">
        <v>122</v>
      </c>
      <c r="D6471" s="9" t="s">
        <v>18</v>
      </c>
      <c r="E6471" s="10" t="s">
        <v>2087</v>
      </c>
      <c r="F6471" s="9" t="s">
        <v>2267</v>
      </c>
      <c r="G6471" s="10" t="s">
        <v>28</v>
      </c>
      <c r="H6471" s="9" t="s">
        <v>22</v>
      </c>
      <c r="I6471" s="9" t="s">
        <v>14874</v>
      </c>
      <c r="J6471" s="10" t="str">
        <f>HYPERLINK("https://www.boe.es/gazeta/dias/1834/12/14/pdfs/GMD-C-1834-303.pdf#page=5","Abrir facsímil")</f>
        <v>Abrir facsímil</v>
      </c>
      <c r="K6471" s="10" t="s">
        <v>24</v>
      </c>
    </row>
    <row r="6472" spans="1:11" ht="54" customHeight="1">
      <c r="A6472" s="9" t="s">
        <v>14818</v>
      </c>
      <c r="B6472" s="9" t="s">
        <v>14818</v>
      </c>
      <c r="C6472" s="9" t="s">
        <v>17</v>
      </c>
      <c r="D6472" s="9" t="s">
        <v>18</v>
      </c>
      <c r="E6472" s="10" t="s">
        <v>2087</v>
      </c>
      <c r="F6472" s="9" t="s">
        <v>2267</v>
      </c>
      <c r="G6472" s="10" t="s">
        <v>1343</v>
      </c>
      <c r="H6472" s="9" t="s">
        <v>22</v>
      </c>
      <c r="I6472" s="9" t="s">
        <v>14875</v>
      </c>
      <c r="J6472" s="10" t="str">
        <f>HYPERLINK("https://www.boe.es/gazeta/dias/1834/12/14/pdfs/GMD-C-1834-303.pdf#page=9","Abrir facsímil")</f>
        <v>Abrir facsímil</v>
      </c>
      <c r="K6472" s="10" t="s">
        <v>24</v>
      </c>
    </row>
    <row r="6473" spans="1:11" ht="54" customHeight="1">
      <c r="A6473" s="9" t="s">
        <v>14818</v>
      </c>
      <c r="B6473" s="9" t="s">
        <v>14818</v>
      </c>
      <c r="C6473" s="9" t="s">
        <v>17</v>
      </c>
      <c r="D6473" s="9" t="s">
        <v>18</v>
      </c>
      <c r="E6473" s="10" t="s">
        <v>912</v>
      </c>
      <c r="F6473" s="9" t="s">
        <v>913</v>
      </c>
      <c r="G6473" s="10" t="s">
        <v>28</v>
      </c>
      <c r="H6473" s="9" t="s">
        <v>22</v>
      </c>
      <c r="I6473" s="9" t="s">
        <v>14876</v>
      </c>
      <c r="J6473" s="10" t="str">
        <f>HYPERLINK("https://www.boe.es/gazeta/dias/1834/02/15/pdfs/GMD-1834-21.pdf#page=5","Abrir facsímil")</f>
        <v>Abrir facsímil</v>
      </c>
      <c r="K6473" s="10" t="s">
        <v>24</v>
      </c>
    </row>
    <row r="6474" spans="1:11" ht="54" customHeight="1">
      <c r="A6474" s="9" t="s">
        <v>14818</v>
      </c>
      <c r="B6474" s="9" t="s">
        <v>14818</v>
      </c>
      <c r="C6474" s="9" t="s">
        <v>17</v>
      </c>
      <c r="D6474" s="9" t="s">
        <v>18</v>
      </c>
      <c r="E6474" s="10" t="s">
        <v>863</v>
      </c>
      <c r="F6474" s="9" t="s">
        <v>864</v>
      </c>
      <c r="G6474" s="10" t="s">
        <v>75</v>
      </c>
      <c r="H6474" s="9" t="s">
        <v>22</v>
      </c>
      <c r="I6474" s="9" t="s">
        <v>14877</v>
      </c>
      <c r="J6474" s="10" t="str">
        <f>HYPERLINK("https://www.boe.es/gazeta/dias/1834/09/15/pdfs/GMD-1834-213.pdf#page=4","Abrir facsímil")</f>
        <v>Abrir facsímil</v>
      </c>
      <c r="K6474" s="10" t="s">
        <v>24</v>
      </c>
    </row>
    <row r="6475" spans="1:11" ht="54" customHeight="1">
      <c r="A6475" s="9" t="s">
        <v>14818</v>
      </c>
      <c r="B6475" s="9" t="s">
        <v>14818</v>
      </c>
      <c r="C6475" s="9" t="s">
        <v>17</v>
      </c>
      <c r="D6475" s="9" t="s">
        <v>18</v>
      </c>
      <c r="E6475" s="10" t="s">
        <v>2398</v>
      </c>
      <c r="F6475" s="9" t="s">
        <v>2399</v>
      </c>
      <c r="G6475" s="10" t="s">
        <v>86</v>
      </c>
      <c r="H6475" s="9" t="s">
        <v>22</v>
      </c>
      <c r="I6475" s="9" t="s">
        <v>14878</v>
      </c>
      <c r="J6475" s="10" t="str">
        <f>HYPERLINK("https://www.boe.es/gazeta/dias/1834/01/16/pdfs/GMD-1834-8.pdf#page=2","Abrir facsímil")</f>
        <v>Abrir facsímil</v>
      </c>
      <c r="K6475" s="10" t="s">
        <v>24</v>
      </c>
    </row>
    <row r="6476" spans="1:11" ht="54" customHeight="1">
      <c r="A6476" s="9" t="s">
        <v>14818</v>
      </c>
      <c r="B6476" s="9" t="s">
        <v>14818</v>
      </c>
      <c r="C6476" s="9" t="s">
        <v>857</v>
      </c>
      <c r="D6476" s="9" t="s">
        <v>101</v>
      </c>
      <c r="E6476" s="10" t="s">
        <v>454</v>
      </c>
      <c r="F6476" s="9" t="s">
        <v>455</v>
      </c>
      <c r="G6476" s="10" t="s">
        <v>21</v>
      </c>
      <c r="H6476" s="9" t="s">
        <v>22</v>
      </c>
      <c r="I6476" s="9" t="s">
        <v>14879</v>
      </c>
      <c r="J6476" s="10" t="str">
        <f>HYPERLINK("https://www.boe.es/gazeta/dias/1834/10/16/pdfs/GMD-C-1834-244.pdf#page=3","Abrir facsímil")</f>
        <v>Abrir facsímil</v>
      </c>
      <c r="K6476" s="10" t="s">
        <v>24</v>
      </c>
    </row>
    <row r="6477" spans="1:11" ht="54" customHeight="1">
      <c r="A6477" s="9" t="s">
        <v>14818</v>
      </c>
      <c r="B6477" s="9" t="s">
        <v>14818</v>
      </c>
      <c r="C6477" s="9" t="s">
        <v>17</v>
      </c>
      <c r="D6477" s="9" t="s">
        <v>18</v>
      </c>
      <c r="E6477" s="10" t="s">
        <v>233</v>
      </c>
      <c r="F6477" s="9" t="s">
        <v>1810</v>
      </c>
      <c r="G6477" s="10" t="s">
        <v>28</v>
      </c>
      <c r="H6477" s="9" t="s">
        <v>22</v>
      </c>
      <c r="I6477" s="9" t="s">
        <v>14880</v>
      </c>
      <c r="J6477" s="10" t="str">
        <f>HYPERLINK("https://www.boe.es/gazeta/dias/1834/12/16/pdfs/GMD-C-1834-305.pdf#page=5","Abrir facsímil")</f>
        <v>Abrir facsímil</v>
      </c>
      <c r="K6477" s="10" t="s">
        <v>24</v>
      </c>
    </row>
    <row r="6478" spans="1:11" ht="54" customHeight="1">
      <c r="A6478" s="9" t="s">
        <v>14818</v>
      </c>
      <c r="B6478" s="9" t="s">
        <v>14818</v>
      </c>
      <c r="C6478" s="9" t="s">
        <v>857</v>
      </c>
      <c r="D6478" s="9" t="s">
        <v>101</v>
      </c>
      <c r="E6478" s="10" t="s">
        <v>233</v>
      </c>
      <c r="F6478" s="9" t="s">
        <v>1810</v>
      </c>
      <c r="G6478" s="10" t="s">
        <v>470</v>
      </c>
      <c r="H6478" s="9" t="s">
        <v>22</v>
      </c>
      <c r="I6478" s="9" t="s">
        <v>14881</v>
      </c>
      <c r="J6478" s="10" t="str">
        <f>HYPERLINK("https://www.boe.es/gazeta/dias/1834/12/16/pdfs/GMD-C-1834-305.pdf#page=8","Abrir facsímil")</f>
        <v>Abrir facsímil</v>
      </c>
      <c r="K6478" s="10" t="s">
        <v>24</v>
      </c>
    </row>
    <row r="6479" spans="1:11" ht="54" customHeight="1">
      <c r="A6479" s="9" t="s">
        <v>14818</v>
      </c>
      <c r="B6479" s="9" t="s">
        <v>14818</v>
      </c>
      <c r="C6479" s="9" t="s">
        <v>17</v>
      </c>
      <c r="D6479" s="9" t="s">
        <v>55</v>
      </c>
      <c r="E6479" s="10" t="s">
        <v>1125</v>
      </c>
      <c r="F6479" s="9" t="s">
        <v>2490</v>
      </c>
      <c r="G6479" s="10" t="s">
        <v>86</v>
      </c>
      <c r="H6479" s="9" t="s">
        <v>22</v>
      </c>
      <c r="I6479" s="9" t="s">
        <v>14882</v>
      </c>
      <c r="J6479" s="10" t="str">
        <f>HYPERLINK("https://www.boe.es/gazeta/dias/1834/04/17/pdfs/GMD-1834-56.pdf#page=2","Abrir facsímil")</f>
        <v>Abrir facsímil</v>
      </c>
      <c r="K6479" s="10" t="s">
        <v>24</v>
      </c>
    </row>
    <row r="6480" spans="1:11" ht="54" customHeight="1">
      <c r="A6480" s="9" t="s">
        <v>14818</v>
      </c>
      <c r="B6480" s="9" t="s">
        <v>14818</v>
      </c>
      <c r="C6480" s="9" t="s">
        <v>17</v>
      </c>
      <c r="D6480" s="9" t="s">
        <v>18</v>
      </c>
      <c r="E6480" s="10" t="s">
        <v>715</v>
      </c>
      <c r="F6480" s="9" t="s">
        <v>716</v>
      </c>
      <c r="G6480" s="10" t="s">
        <v>28</v>
      </c>
      <c r="H6480" s="9" t="s">
        <v>22</v>
      </c>
      <c r="I6480" s="9" t="s">
        <v>14883</v>
      </c>
      <c r="J6480" s="10" t="str">
        <f>HYPERLINK("https://www.boe.es/gazeta/dias/1834/09/17/pdfs/GMD-C-1834-215.pdf#page=5","Abrir facsímil")</f>
        <v>Abrir facsímil</v>
      </c>
      <c r="K6480" s="10" t="s">
        <v>24</v>
      </c>
    </row>
    <row r="6481" spans="1:11" ht="54" customHeight="1">
      <c r="A6481" s="9" t="s">
        <v>14818</v>
      </c>
      <c r="B6481" s="9" t="s">
        <v>14818</v>
      </c>
      <c r="C6481" s="9" t="s">
        <v>17</v>
      </c>
      <c r="D6481" s="9" t="s">
        <v>18</v>
      </c>
      <c r="E6481" s="10" t="s">
        <v>1195</v>
      </c>
      <c r="F6481" s="9" t="s">
        <v>1196</v>
      </c>
      <c r="G6481" s="10" t="s">
        <v>86</v>
      </c>
      <c r="H6481" s="9" t="s">
        <v>22</v>
      </c>
      <c r="I6481" s="9" t="s">
        <v>14884</v>
      </c>
      <c r="J6481" s="10" t="str">
        <f>HYPERLINK("https://www.boe.es/gazeta/dias/1834/10/17/pdfs/GMD-C-1834-245.pdf#page=2","Abrir facsímil")</f>
        <v>Abrir facsímil</v>
      </c>
      <c r="K6481" s="10" t="s">
        <v>24</v>
      </c>
    </row>
    <row r="6482" spans="1:11" ht="54" customHeight="1">
      <c r="A6482" s="9" t="s">
        <v>14818</v>
      </c>
      <c r="B6482" s="9" t="s">
        <v>14818</v>
      </c>
      <c r="C6482" s="9" t="s">
        <v>17</v>
      </c>
      <c r="D6482" s="9" t="s">
        <v>18</v>
      </c>
      <c r="E6482" s="10" t="s">
        <v>1195</v>
      </c>
      <c r="F6482" s="9" t="s">
        <v>1196</v>
      </c>
      <c r="G6482" s="10" t="s">
        <v>21</v>
      </c>
      <c r="H6482" s="9" t="s">
        <v>22</v>
      </c>
      <c r="I6482" s="9" t="s">
        <v>14885</v>
      </c>
      <c r="J6482" s="10" t="str">
        <f>HYPERLINK("https://www.boe.es/gazeta/dias/1834/10/17/pdfs/GMD-C-1834-245.pdf#page=3","Abrir facsímil")</f>
        <v>Abrir facsímil</v>
      </c>
      <c r="K6482" s="10" t="s">
        <v>24</v>
      </c>
    </row>
    <row r="6483" spans="1:11" ht="54" customHeight="1">
      <c r="A6483" s="9" t="s">
        <v>14818</v>
      </c>
      <c r="B6483" s="9" t="s">
        <v>14818</v>
      </c>
      <c r="C6483" s="9" t="s">
        <v>66</v>
      </c>
      <c r="D6483" s="9" t="s">
        <v>18</v>
      </c>
      <c r="E6483" s="10" t="s">
        <v>1850</v>
      </c>
      <c r="F6483" s="9" t="s">
        <v>1851</v>
      </c>
      <c r="G6483" s="10" t="s">
        <v>21</v>
      </c>
      <c r="H6483" s="9" t="s">
        <v>22</v>
      </c>
      <c r="I6483" s="9" t="s">
        <v>14886</v>
      </c>
      <c r="J6483" s="10" t="str">
        <f>HYPERLINK("https://www.boe.es/gazeta/dias/1834/02/18/pdfs/GMD-1834-22.pdf#page=3","Abrir facsímil")</f>
        <v>Abrir facsímil</v>
      </c>
      <c r="K6483" s="10" t="s">
        <v>24</v>
      </c>
    </row>
    <row r="6484" spans="1:11" ht="54" customHeight="1">
      <c r="A6484" s="9" t="s">
        <v>14818</v>
      </c>
      <c r="B6484" s="9" t="s">
        <v>14818</v>
      </c>
      <c r="C6484" s="9" t="s">
        <v>17</v>
      </c>
      <c r="D6484" s="9" t="s">
        <v>18</v>
      </c>
      <c r="E6484" s="10" t="s">
        <v>541</v>
      </c>
      <c r="F6484" s="9" t="s">
        <v>542</v>
      </c>
      <c r="G6484" s="10" t="s">
        <v>75</v>
      </c>
      <c r="H6484" s="9" t="s">
        <v>22</v>
      </c>
      <c r="I6484" s="9" t="s">
        <v>14887</v>
      </c>
      <c r="J6484" s="10" t="str">
        <f>HYPERLINK("https://www.boe.es/gazeta/dias/1834/04/18/pdfs/GMD-1834-57.pdf#page=4","Abrir facsímil")</f>
        <v>Abrir facsímil</v>
      </c>
      <c r="K6484" s="10" t="s">
        <v>24</v>
      </c>
    </row>
    <row r="6485" spans="1:11" ht="54" customHeight="1">
      <c r="A6485" s="9" t="s">
        <v>14818</v>
      </c>
      <c r="B6485" s="9" t="s">
        <v>14818</v>
      </c>
      <c r="C6485" s="9" t="s">
        <v>17</v>
      </c>
      <c r="D6485" s="9" t="s">
        <v>55</v>
      </c>
      <c r="E6485" s="10" t="s">
        <v>772</v>
      </c>
      <c r="F6485" s="9" t="s">
        <v>2284</v>
      </c>
      <c r="G6485" s="10" t="s">
        <v>28</v>
      </c>
      <c r="H6485" s="9" t="s">
        <v>22</v>
      </c>
      <c r="I6485" s="9" t="s">
        <v>14888</v>
      </c>
      <c r="J6485" s="10" t="str">
        <f>HYPERLINK("https://www.boe.es/gazeta/dias/1834/09/18/pdfs/GMD-C-1834-216.pdf#page=5","Abrir facsímil")</f>
        <v>Abrir facsímil</v>
      </c>
      <c r="K6485" s="10" t="s">
        <v>24</v>
      </c>
    </row>
    <row r="6486" spans="1:11" ht="54" customHeight="1">
      <c r="A6486" s="9" t="s">
        <v>14818</v>
      </c>
      <c r="B6486" s="9" t="s">
        <v>14818</v>
      </c>
      <c r="C6486" s="9" t="s">
        <v>90</v>
      </c>
      <c r="D6486" s="9" t="s">
        <v>67</v>
      </c>
      <c r="E6486" s="10" t="s">
        <v>262</v>
      </c>
      <c r="F6486" s="9" t="s">
        <v>263</v>
      </c>
      <c r="G6486" s="10" t="s">
        <v>86</v>
      </c>
      <c r="H6486" s="9" t="s">
        <v>22</v>
      </c>
      <c r="I6486" s="9" t="s">
        <v>14889</v>
      </c>
      <c r="J6486" s="10" t="str">
        <f>HYPERLINK("https://www.boe.es/gazeta/dias/1834/10/18/pdfs/GMD-C-1834-246.pdf#page=2","Abrir facsímil")</f>
        <v>Abrir facsímil</v>
      </c>
      <c r="K6486" s="10" t="s">
        <v>24</v>
      </c>
    </row>
    <row r="6487" spans="1:11" ht="54" customHeight="1">
      <c r="A6487" s="9" t="s">
        <v>14818</v>
      </c>
      <c r="B6487" s="9" t="s">
        <v>14818</v>
      </c>
      <c r="C6487" s="9" t="s">
        <v>17</v>
      </c>
      <c r="D6487" s="9" t="s">
        <v>18</v>
      </c>
      <c r="E6487" s="10" t="s">
        <v>615</v>
      </c>
      <c r="F6487" s="9" t="s">
        <v>1205</v>
      </c>
      <c r="G6487" s="10" t="s">
        <v>34</v>
      </c>
      <c r="H6487" s="9" t="s">
        <v>22</v>
      </c>
      <c r="I6487" s="9" t="s">
        <v>14890</v>
      </c>
      <c r="J6487" s="10" t="str">
        <f>HYPERLINK("https://www.boe.es/gazeta/dias/1834/08/19/pdfs/GMD-C-1834-185.pdf#page=1","Abrir facsímil")</f>
        <v>Abrir facsímil</v>
      </c>
      <c r="K6487" s="10" t="s">
        <v>24</v>
      </c>
    </row>
    <row r="6488" spans="1:11" ht="54" customHeight="1">
      <c r="A6488" s="9" t="s">
        <v>14818</v>
      </c>
      <c r="B6488" s="9" t="s">
        <v>14818</v>
      </c>
      <c r="C6488" s="9" t="s">
        <v>46</v>
      </c>
      <c r="D6488" s="9" t="s">
        <v>101</v>
      </c>
      <c r="E6488" s="10" t="s">
        <v>615</v>
      </c>
      <c r="F6488" s="9" t="s">
        <v>1205</v>
      </c>
      <c r="G6488" s="10" t="s">
        <v>86</v>
      </c>
      <c r="H6488" s="9" t="s">
        <v>22</v>
      </c>
      <c r="I6488" s="9" t="s">
        <v>14891</v>
      </c>
      <c r="J6488" s="10" t="str">
        <f>HYPERLINK("https://www.boe.es/gazeta/dias/1834/08/19/pdfs/GMD-C-1834-185.pdf#page=2","Abrir facsímil")</f>
        <v>Abrir facsímil</v>
      </c>
      <c r="K6488" s="10" t="s">
        <v>24</v>
      </c>
    </row>
    <row r="6489" spans="1:11" ht="54" customHeight="1">
      <c r="A6489" s="9" t="s">
        <v>14818</v>
      </c>
      <c r="B6489" s="9" t="s">
        <v>14818</v>
      </c>
      <c r="C6489" s="9" t="s">
        <v>17</v>
      </c>
      <c r="D6489" s="9" t="s">
        <v>18</v>
      </c>
      <c r="E6489" s="10" t="s">
        <v>672</v>
      </c>
      <c r="F6489" s="9" t="s">
        <v>1055</v>
      </c>
      <c r="G6489" s="10" t="s">
        <v>560</v>
      </c>
      <c r="H6489" s="9" t="s">
        <v>22</v>
      </c>
      <c r="I6489" s="9" t="s">
        <v>14892</v>
      </c>
      <c r="J6489" s="10" t="str">
        <f>HYPERLINK("https://www.boe.es/gazeta/dias/1834/09/19/pdfs/GMD-C-1834-217.pdf#page=7","Abrir facsímil")</f>
        <v>Abrir facsímil</v>
      </c>
      <c r="K6489" s="10" t="s">
        <v>24</v>
      </c>
    </row>
    <row r="6490" spans="1:11" ht="54" customHeight="1">
      <c r="A6490" s="9" t="s">
        <v>14818</v>
      </c>
      <c r="B6490" s="9" t="s">
        <v>14818</v>
      </c>
      <c r="C6490" s="9" t="s">
        <v>46</v>
      </c>
      <c r="D6490" s="9" t="s">
        <v>101</v>
      </c>
      <c r="E6490" s="10" t="s">
        <v>672</v>
      </c>
      <c r="F6490" s="9" t="s">
        <v>1055</v>
      </c>
      <c r="G6490" s="10" t="s">
        <v>1343</v>
      </c>
      <c r="H6490" s="9" t="s">
        <v>22</v>
      </c>
      <c r="I6490" s="9" t="s">
        <v>14893</v>
      </c>
      <c r="J6490" s="10" t="str">
        <f>HYPERLINK("https://www.boe.es/gazeta/dias/1834/09/19/pdfs/GMD-C-1834-217.pdf#page=9","Abrir facsímil")</f>
        <v>Abrir facsímil</v>
      </c>
      <c r="K6490" s="10" t="s">
        <v>24</v>
      </c>
    </row>
    <row r="6491" spans="1:11" ht="54" customHeight="1">
      <c r="A6491" s="9" t="s">
        <v>14818</v>
      </c>
      <c r="B6491" s="9" t="s">
        <v>14818</v>
      </c>
      <c r="C6491" s="9" t="s">
        <v>46</v>
      </c>
      <c r="D6491" s="9" t="s">
        <v>101</v>
      </c>
      <c r="E6491" s="10" t="s">
        <v>26</v>
      </c>
      <c r="F6491" s="9" t="s">
        <v>27</v>
      </c>
      <c r="G6491" s="10" t="s">
        <v>28</v>
      </c>
      <c r="H6491" s="9" t="s">
        <v>22</v>
      </c>
      <c r="I6491" s="9" t="s">
        <v>14894</v>
      </c>
      <c r="J6491" s="10" t="str">
        <f>HYPERLINK("https://www.boe.es/gazeta/dias/1834/10/19/pdfs/GMD-C-1834-247.pdf#page=5","Abrir facsímil")</f>
        <v>Abrir facsímil</v>
      </c>
      <c r="K6491" s="10" t="s">
        <v>24</v>
      </c>
    </row>
    <row r="6492" spans="1:11" ht="54" customHeight="1">
      <c r="A6492" s="9" t="s">
        <v>14818</v>
      </c>
      <c r="B6492" s="9" t="s">
        <v>14818</v>
      </c>
      <c r="C6492" s="9" t="s">
        <v>17</v>
      </c>
      <c r="D6492" s="9" t="s">
        <v>18</v>
      </c>
      <c r="E6492" s="10" t="s">
        <v>268</v>
      </c>
      <c r="F6492" s="9" t="s">
        <v>269</v>
      </c>
      <c r="G6492" s="10" t="s">
        <v>34</v>
      </c>
      <c r="H6492" s="9" t="s">
        <v>22</v>
      </c>
      <c r="I6492" s="9" t="s">
        <v>14895</v>
      </c>
      <c r="J6492" s="10" t="str">
        <f>HYPERLINK("https://www.boe.es/gazeta/dias/1834/12/19/pdfs/GMD-C-1834-309.pdf#page=1","Abrir facsímil")</f>
        <v>Abrir facsímil</v>
      </c>
      <c r="K6492" s="10" t="s">
        <v>24</v>
      </c>
    </row>
    <row r="6493" spans="1:11" ht="54" customHeight="1">
      <c r="A6493" s="9" t="s">
        <v>14818</v>
      </c>
      <c r="B6493" s="9" t="s">
        <v>14818</v>
      </c>
      <c r="C6493" s="9" t="s">
        <v>17</v>
      </c>
      <c r="D6493" s="9" t="s">
        <v>18</v>
      </c>
      <c r="E6493" s="10" t="s">
        <v>268</v>
      </c>
      <c r="F6493" s="9" t="s">
        <v>269</v>
      </c>
      <c r="G6493" s="10" t="s">
        <v>86</v>
      </c>
      <c r="H6493" s="9" t="s">
        <v>22</v>
      </c>
      <c r="I6493" s="9" t="s">
        <v>14896</v>
      </c>
      <c r="J6493" s="10" t="str">
        <f>HYPERLINK("https://www.boe.es/gazeta/dias/1834/12/19/pdfs/GMD-C-1834-309.pdf#page=2","Abrir facsímil")</f>
        <v>Abrir facsímil</v>
      </c>
      <c r="K6493" s="10" t="s">
        <v>24</v>
      </c>
    </row>
    <row r="6494" spans="1:11" ht="54" customHeight="1">
      <c r="A6494" s="9" t="s">
        <v>14818</v>
      </c>
      <c r="B6494" s="9" t="s">
        <v>14818</v>
      </c>
      <c r="C6494" s="9" t="s">
        <v>17</v>
      </c>
      <c r="D6494" s="9" t="s">
        <v>18</v>
      </c>
      <c r="E6494" s="10" t="s">
        <v>268</v>
      </c>
      <c r="F6494" s="9" t="s">
        <v>269</v>
      </c>
      <c r="G6494" s="10" t="s">
        <v>21</v>
      </c>
      <c r="H6494" s="9" t="s">
        <v>22</v>
      </c>
      <c r="I6494" s="9" t="s">
        <v>14897</v>
      </c>
      <c r="J6494" s="10" t="str">
        <f>HYPERLINK("https://www.boe.es/gazeta/dias/1834/12/19/pdfs/GMD-C-1834-309.pdf#page=3","Abrir facsímil")</f>
        <v>Abrir facsímil</v>
      </c>
      <c r="K6494" s="10" t="s">
        <v>24</v>
      </c>
    </row>
    <row r="6495" spans="1:11" ht="54" customHeight="1">
      <c r="A6495" s="9" t="s">
        <v>14818</v>
      </c>
      <c r="B6495" s="9" t="s">
        <v>14818</v>
      </c>
      <c r="C6495" s="9" t="s">
        <v>122</v>
      </c>
      <c r="D6495" s="9" t="s">
        <v>18</v>
      </c>
      <c r="E6495" s="10" t="s">
        <v>268</v>
      </c>
      <c r="F6495" s="9" t="s">
        <v>269</v>
      </c>
      <c r="G6495" s="10" t="s">
        <v>75</v>
      </c>
      <c r="H6495" s="9" t="s">
        <v>22</v>
      </c>
      <c r="I6495" s="9" t="s">
        <v>14898</v>
      </c>
      <c r="J6495" s="10" t="str">
        <f>HYPERLINK("https://www.boe.es/gazeta/dias/1834/12/19/pdfs/GMD-C-1834-309.pdf#page=4","Abrir facsímil")</f>
        <v>Abrir facsímil</v>
      </c>
      <c r="K6495" s="10" t="s">
        <v>24</v>
      </c>
    </row>
    <row r="6496" spans="1:11" ht="54" customHeight="1">
      <c r="A6496" s="9" t="s">
        <v>14818</v>
      </c>
      <c r="B6496" s="9" t="s">
        <v>14818</v>
      </c>
      <c r="C6496" s="9" t="s">
        <v>17</v>
      </c>
      <c r="D6496" s="9" t="s">
        <v>18</v>
      </c>
      <c r="E6496" s="10" t="s">
        <v>268</v>
      </c>
      <c r="F6496" s="9" t="s">
        <v>269</v>
      </c>
      <c r="G6496" s="10" t="s">
        <v>28</v>
      </c>
      <c r="H6496" s="9" t="s">
        <v>22</v>
      </c>
      <c r="I6496" s="9" t="s">
        <v>14899</v>
      </c>
      <c r="J6496" s="10" t="str">
        <f>HYPERLINK("https://www.boe.es/gazeta/dias/1834/12/19/pdfs/GMD-C-1834-309.pdf#page=5","Abrir facsímil")</f>
        <v>Abrir facsímil</v>
      </c>
      <c r="K6496" s="10" t="s">
        <v>24</v>
      </c>
    </row>
    <row r="6497" spans="1:11" ht="54" customHeight="1">
      <c r="A6497" s="9" t="s">
        <v>14818</v>
      </c>
      <c r="B6497" s="9" t="s">
        <v>14818</v>
      </c>
      <c r="C6497" s="9" t="s">
        <v>46</v>
      </c>
      <c r="D6497" s="9" t="s">
        <v>18</v>
      </c>
      <c r="E6497" s="10" t="s">
        <v>1572</v>
      </c>
      <c r="F6497" s="9" t="s">
        <v>1573</v>
      </c>
      <c r="G6497" s="10" t="s">
        <v>21</v>
      </c>
      <c r="H6497" s="9" t="s">
        <v>22</v>
      </c>
      <c r="I6497" s="9" t="s">
        <v>14900</v>
      </c>
      <c r="J6497" s="10" t="str">
        <f>HYPERLINK("https://www.boe.es/gazeta/dias/1834/03/20/pdfs/GMD-1834-35.pdf#page=3","Abrir facsímil")</f>
        <v>Abrir facsímil</v>
      </c>
      <c r="K6497" s="10" t="s">
        <v>24</v>
      </c>
    </row>
    <row r="6498" spans="1:11" ht="54" customHeight="1">
      <c r="A6498" s="9" t="s">
        <v>14818</v>
      </c>
      <c r="B6498" s="9" t="s">
        <v>14818</v>
      </c>
      <c r="C6498" s="9" t="s">
        <v>122</v>
      </c>
      <c r="D6498" s="9" t="s">
        <v>40</v>
      </c>
      <c r="E6498" s="10" t="s">
        <v>217</v>
      </c>
      <c r="F6498" s="9" t="s">
        <v>218</v>
      </c>
      <c r="G6498" s="10" t="s">
        <v>75</v>
      </c>
      <c r="H6498" s="9" t="s">
        <v>22</v>
      </c>
      <c r="I6498" s="9" t="s">
        <v>14901</v>
      </c>
      <c r="J6498" s="10" t="str">
        <f>HYPERLINK("https://www.boe.es/gazeta/dias/1834/04/20/pdfs/GMD-1834-59.pdf#page=4","Abrir facsímil")</f>
        <v>Abrir facsímil</v>
      </c>
      <c r="K6498" s="10" t="s">
        <v>24</v>
      </c>
    </row>
    <row r="6499" spans="1:11" ht="54" customHeight="1">
      <c r="A6499" s="9" t="s">
        <v>14818</v>
      </c>
      <c r="B6499" s="9" t="s">
        <v>14818</v>
      </c>
      <c r="C6499" s="9" t="s">
        <v>46</v>
      </c>
      <c r="D6499" s="9" t="s">
        <v>101</v>
      </c>
      <c r="E6499" s="10" t="s">
        <v>3248</v>
      </c>
      <c r="F6499" s="9" t="s">
        <v>4798</v>
      </c>
      <c r="G6499" s="10" t="s">
        <v>28</v>
      </c>
      <c r="H6499" s="9" t="s">
        <v>22</v>
      </c>
      <c r="I6499" s="9" t="s">
        <v>14902</v>
      </c>
      <c r="J6499" s="10" t="str">
        <f>HYPERLINK("https://www.boe.es/gazeta/dias/1834/09/20/pdfs/GMD-C-1834-218.pdf#page=5","Abrir facsímil")</f>
        <v>Abrir facsímil</v>
      </c>
      <c r="K6499" s="10" t="s">
        <v>24</v>
      </c>
    </row>
    <row r="6500" spans="1:11" ht="54" customHeight="1">
      <c r="A6500" s="9" t="s">
        <v>14818</v>
      </c>
      <c r="B6500" s="9" t="s">
        <v>14818</v>
      </c>
      <c r="C6500" s="9" t="s">
        <v>46</v>
      </c>
      <c r="D6500" s="9" t="s">
        <v>55</v>
      </c>
      <c r="E6500" s="10" t="s">
        <v>3248</v>
      </c>
      <c r="F6500" s="9" t="s">
        <v>4798</v>
      </c>
      <c r="G6500" s="10" t="s">
        <v>176</v>
      </c>
      <c r="H6500" s="9" t="s">
        <v>22</v>
      </c>
      <c r="I6500" s="9" t="s">
        <v>14903</v>
      </c>
      <c r="J6500" s="10" t="str">
        <f>HYPERLINK("https://www.boe.es/gazeta/dias/1834/09/20/pdfs/GMD-C-1834-218.pdf#page=6","Abrir facsímil")</f>
        <v>Abrir facsímil</v>
      </c>
      <c r="K6500" s="10" t="s">
        <v>24</v>
      </c>
    </row>
    <row r="6501" spans="1:11" ht="54" customHeight="1">
      <c r="A6501" s="9" t="s">
        <v>14818</v>
      </c>
      <c r="B6501" s="9" t="s">
        <v>14818</v>
      </c>
      <c r="C6501" s="9" t="s">
        <v>17</v>
      </c>
      <c r="D6501" s="9" t="s">
        <v>18</v>
      </c>
      <c r="E6501" s="10" t="s">
        <v>4169</v>
      </c>
      <c r="F6501" s="9" t="s">
        <v>4170</v>
      </c>
      <c r="G6501" s="10" t="s">
        <v>75</v>
      </c>
      <c r="H6501" s="9" t="s">
        <v>22</v>
      </c>
      <c r="I6501" s="9" t="s">
        <v>14904</v>
      </c>
      <c r="J6501" s="10" t="str">
        <f>HYPERLINK("https://www.boe.es/gazeta/dias/1834/11/20/pdfs/GMD-1834-279.pdf#page=4","Abrir facsímil")</f>
        <v>Abrir facsímil</v>
      </c>
      <c r="K6501" s="10" t="s">
        <v>24</v>
      </c>
    </row>
    <row r="6502" spans="1:11" ht="54" customHeight="1">
      <c r="A6502" s="9" t="s">
        <v>14818</v>
      </c>
      <c r="B6502" s="9" t="s">
        <v>14818</v>
      </c>
      <c r="C6502" s="9" t="s">
        <v>17</v>
      </c>
      <c r="D6502" s="9" t="s">
        <v>101</v>
      </c>
      <c r="E6502" s="10" t="s">
        <v>1973</v>
      </c>
      <c r="F6502" s="9" t="s">
        <v>1974</v>
      </c>
      <c r="G6502" s="10" t="s">
        <v>21</v>
      </c>
      <c r="H6502" s="9" t="s">
        <v>22</v>
      </c>
      <c r="I6502" s="9" t="s">
        <v>14905</v>
      </c>
      <c r="J6502" s="10" t="str">
        <f>HYPERLINK("https://www.boe.es/gazeta/dias/1834/12/20/pdfs/GMD-C-1834-310.pdf#page=3","Abrir facsímil")</f>
        <v>Abrir facsímil</v>
      </c>
      <c r="K6502" s="10" t="s">
        <v>24</v>
      </c>
    </row>
    <row r="6503" spans="1:11" ht="54" customHeight="1">
      <c r="A6503" s="9" t="s">
        <v>14818</v>
      </c>
      <c r="B6503" s="9" t="s">
        <v>14818</v>
      </c>
      <c r="C6503" s="9" t="s">
        <v>17</v>
      </c>
      <c r="D6503" s="9" t="s">
        <v>40</v>
      </c>
      <c r="E6503" s="10" t="s">
        <v>304</v>
      </c>
      <c r="F6503" s="9" t="s">
        <v>305</v>
      </c>
      <c r="G6503" s="10" t="s">
        <v>86</v>
      </c>
      <c r="H6503" s="9" t="s">
        <v>22</v>
      </c>
      <c r="I6503" s="9" t="s">
        <v>14906</v>
      </c>
      <c r="J6503" s="10" t="str">
        <f>HYPERLINK("https://www.boe.es/gazeta/dias/1834/01/21/pdfs/GMD-1834-10.pdf#page=2","Abrir facsímil")</f>
        <v>Abrir facsímil</v>
      </c>
      <c r="K6503" s="10" t="s">
        <v>24</v>
      </c>
    </row>
    <row r="6504" spans="1:11" ht="54" customHeight="1">
      <c r="A6504" s="9" t="s">
        <v>14818</v>
      </c>
      <c r="B6504" s="9" t="s">
        <v>14818</v>
      </c>
      <c r="C6504" s="9" t="s">
        <v>17</v>
      </c>
      <c r="D6504" s="9" t="s">
        <v>55</v>
      </c>
      <c r="E6504" s="10" t="s">
        <v>304</v>
      </c>
      <c r="F6504" s="9" t="s">
        <v>305</v>
      </c>
      <c r="G6504" s="10" t="s">
        <v>21</v>
      </c>
      <c r="H6504" s="9" t="s">
        <v>22</v>
      </c>
      <c r="I6504" s="9" t="s">
        <v>14907</v>
      </c>
      <c r="J6504" s="10" t="str">
        <f>HYPERLINK("https://www.boe.es/gazeta/dias/1834/01/21/pdfs/GMD-1834-10.pdf#page=3","Abrir facsímil")</f>
        <v>Abrir facsímil</v>
      </c>
      <c r="K6504" s="10" t="s">
        <v>24</v>
      </c>
    </row>
    <row r="6505" spans="1:11" ht="54" customHeight="1">
      <c r="A6505" s="9" t="s">
        <v>14818</v>
      </c>
      <c r="B6505" s="9" t="s">
        <v>14818</v>
      </c>
      <c r="C6505" s="9" t="s">
        <v>17</v>
      </c>
      <c r="D6505" s="9" t="s">
        <v>18</v>
      </c>
      <c r="E6505" s="10" t="s">
        <v>981</v>
      </c>
      <c r="F6505" s="9" t="s">
        <v>3406</v>
      </c>
      <c r="G6505" s="10" t="s">
        <v>86</v>
      </c>
      <c r="H6505" s="9" t="s">
        <v>22</v>
      </c>
      <c r="I6505" s="9" t="s">
        <v>14908</v>
      </c>
      <c r="J6505" s="10" t="str">
        <f>HYPERLINK("https://www.boe.es/gazeta/dias/1834/09/21/pdfs/GMD-C-1834-219.pdf#page=2","Abrir facsímil")</f>
        <v>Abrir facsímil</v>
      </c>
      <c r="K6505" s="10" t="s">
        <v>24</v>
      </c>
    </row>
    <row r="6506" spans="1:11" ht="54" customHeight="1">
      <c r="A6506" s="9" t="s">
        <v>14818</v>
      </c>
      <c r="B6506" s="9" t="s">
        <v>14818</v>
      </c>
      <c r="C6506" s="9" t="s">
        <v>17</v>
      </c>
      <c r="D6506" s="9" t="s">
        <v>18</v>
      </c>
      <c r="E6506" s="10" t="s">
        <v>981</v>
      </c>
      <c r="F6506" s="9" t="s">
        <v>3406</v>
      </c>
      <c r="G6506" s="10" t="s">
        <v>28</v>
      </c>
      <c r="H6506" s="9" t="s">
        <v>22</v>
      </c>
      <c r="I6506" s="9" t="s">
        <v>14909</v>
      </c>
      <c r="J6506" s="10" t="str">
        <f>HYPERLINK("https://www.boe.es/gazeta/dias/1834/09/21/pdfs/GMD-C-1834-219.pdf#page=5","Abrir facsímil")</f>
        <v>Abrir facsímil</v>
      </c>
      <c r="K6506" s="10" t="s">
        <v>24</v>
      </c>
    </row>
    <row r="6507" spans="1:11" ht="54" customHeight="1">
      <c r="A6507" s="9" t="s">
        <v>14818</v>
      </c>
      <c r="B6507" s="9" t="s">
        <v>14818</v>
      </c>
      <c r="C6507" s="9" t="s">
        <v>46</v>
      </c>
      <c r="D6507" s="9" t="s">
        <v>55</v>
      </c>
      <c r="E6507" s="10" t="s">
        <v>647</v>
      </c>
      <c r="F6507" s="9" t="s">
        <v>648</v>
      </c>
      <c r="G6507" s="10" t="s">
        <v>176</v>
      </c>
      <c r="H6507" s="9" t="s">
        <v>22</v>
      </c>
      <c r="I6507" s="9" t="s">
        <v>14910</v>
      </c>
      <c r="J6507" s="10" t="str">
        <f>HYPERLINK("https://www.boe.es/gazeta/dias/1834/10/21/pdfs/GMD-C-1834-249.pdf#page=6","Abrir facsímil")</f>
        <v>Abrir facsímil</v>
      </c>
      <c r="K6507" s="10" t="s">
        <v>24</v>
      </c>
    </row>
    <row r="6508" spans="1:11" ht="54" customHeight="1">
      <c r="A6508" s="9" t="s">
        <v>14818</v>
      </c>
      <c r="B6508" s="9" t="s">
        <v>14818</v>
      </c>
      <c r="C6508" s="9" t="s">
        <v>17</v>
      </c>
      <c r="D6508" s="9" t="s">
        <v>101</v>
      </c>
      <c r="E6508" s="10" t="s">
        <v>1323</v>
      </c>
      <c r="F6508" s="9" t="s">
        <v>1324</v>
      </c>
      <c r="G6508" s="10" t="s">
        <v>34</v>
      </c>
      <c r="H6508" s="9" t="s">
        <v>22</v>
      </c>
      <c r="I6508" s="9" t="s">
        <v>14911</v>
      </c>
      <c r="J6508" s="10" t="str">
        <f>HYPERLINK("https://www.boe.es/gazeta/dias/1834/05/22/pdfs/GMD-1834-91.pdf#page=1","Abrir facsímil")</f>
        <v>Abrir facsímil</v>
      </c>
      <c r="K6508" s="10" t="s">
        <v>24</v>
      </c>
    </row>
    <row r="6509" spans="1:11" ht="54" customHeight="1">
      <c r="A6509" s="9" t="s">
        <v>14818</v>
      </c>
      <c r="B6509" s="9" t="s">
        <v>14818</v>
      </c>
      <c r="C6509" s="9" t="s">
        <v>122</v>
      </c>
      <c r="D6509" s="9" t="s">
        <v>18</v>
      </c>
      <c r="E6509" s="10" t="s">
        <v>3488</v>
      </c>
      <c r="F6509" s="9" t="s">
        <v>3489</v>
      </c>
      <c r="G6509" s="10" t="s">
        <v>75</v>
      </c>
      <c r="H6509" s="9" t="s">
        <v>22</v>
      </c>
      <c r="I6509" s="9" t="s">
        <v>14912</v>
      </c>
      <c r="J6509" s="10" t="str">
        <f>HYPERLINK("https://www.boe.es/gazeta/dias/1834/06/22/pdfs/GMD-1834-125.pdf#page=4","Abrir facsímil")</f>
        <v>Abrir facsímil</v>
      </c>
      <c r="K6509" s="10" t="s">
        <v>24</v>
      </c>
    </row>
    <row r="6510" spans="1:11" ht="54" customHeight="1">
      <c r="A6510" s="9" t="s">
        <v>14818</v>
      </c>
      <c r="B6510" s="9" t="s">
        <v>14818</v>
      </c>
      <c r="C6510" s="9" t="s">
        <v>46</v>
      </c>
      <c r="D6510" s="9" t="s">
        <v>18</v>
      </c>
      <c r="E6510" s="10" t="s">
        <v>627</v>
      </c>
      <c r="F6510" s="9" t="s">
        <v>628</v>
      </c>
      <c r="G6510" s="10" t="s">
        <v>21</v>
      </c>
      <c r="H6510" s="9" t="s">
        <v>22</v>
      </c>
      <c r="I6510" s="9" t="s">
        <v>14913</v>
      </c>
      <c r="J6510" s="10" t="str">
        <f>HYPERLINK("https://www.boe.es/gazeta/dias/1834/09/22/pdfs/GMD-C-1834-220.pdf#page=3","Abrir facsímil")</f>
        <v>Abrir facsímil</v>
      </c>
      <c r="K6510" s="10" t="s">
        <v>24</v>
      </c>
    </row>
    <row r="6511" spans="1:11" ht="54" customHeight="1">
      <c r="A6511" s="9" t="s">
        <v>14818</v>
      </c>
      <c r="B6511" s="9" t="s">
        <v>14818</v>
      </c>
      <c r="C6511" s="9" t="s">
        <v>17</v>
      </c>
      <c r="D6511" s="9" t="s">
        <v>18</v>
      </c>
      <c r="E6511" s="10" t="s">
        <v>128</v>
      </c>
      <c r="F6511" s="9" t="s">
        <v>129</v>
      </c>
      <c r="G6511" s="10" t="s">
        <v>75</v>
      </c>
      <c r="H6511" s="9" t="s">
        <v>22</v>
      </c>
      <c r="I6511" s="9" t="s">
        <v>14914</v>
      </c>
      <c r="J6511" s="10" t="str">
        <f>HYPERLINK("https://www.boe.es/gazeta/dias/1834/12/24/pdfs/GMD-C-1834-314.pdf#page=4","Abrir facsímil")</f>
        <v>Abrir facsímil</v>
      </c>
      <c r="K6511" s="10" t="s">
        <v>24</v>
      </c>
    </row>
    <row r="6512" spans="1:11" ht="54" customHeight="1">
      <c r="A6512" s="9" t="s">
        <v>14818</v>
      </c>
      <c r="B6512" s="9" t="s">
        <v>14818</v>
      </c>
      <c r="C6512" s="9" t="s">
        <v>46</v>
      </c>
      <c r="D6512" s="9" t="s">
        <v>18</v>
      </c>
      <c r="E6512" s="10" t="s">
        <v>2302</v>
      </c>
      <c r="F6512" s="9" t="s">
        <v>2303</v>
      </c>
      <c r="G6512" s="10" t="s">
        <v>34</v>
      </c>
      <c r="H6512" s="9" t="s">
        <v>22</v>
      </c>
      <c r="I6512" s="9" t="s">
        <v>14915</v>
      </c>
      <c r="J6512" s="10" t="str">
        <f>HYPERLINK("https://www.boe.es/gazeta/dias/1834/01/25/pdfs/GMD-1834-12.pdf#page=1","Abrir facsímil")</f>
        <v>Abrir facsímil</v>
      </c>
      <c r="K6512" s="10" t="s">
        <v>24</v>
      </c>
    </row>
    <row r="6513" spans="1:11" ht="54" customHeight="1">
      <c r="A6513" s="9" t="s">
        <v>14818</v>
      </c>
      <c r="B6513" s="9" t="s">
        <v>14818</v>
      </c>
      <c r="C6513" s="9" t="s">
        <v>17</v>
      </c>
      <c r="D6513" s="9" t="s">
        <v>18</v>
      </c>
      <c r="E6513" s="10" t="s">
        <v>2302</v>
      </c>
      <c r="F6513" s="9" t="s">
        <v>2303</v>
      </c>
      <c r="G6513" s="10" t="s">
        <v>21</v>
      </c>
      <c r="H6513" s="9" t="s">
        <v>22</v>
      </c>
      <c r="I6513" s="9" t="s">
        <v>14916</v>
      </c>
      <c r="J6513" s="10" t="str">
        <f>HYPERLINK("https://www.boe.es/gazeta/dias/1834/01/25/pdfs/GMD-1834-12.pdf#page=3","Abrir facsímil")</f>
        <v>Abrir facsímil</v>
      </c>
      <c r="K6513" s="10" t="s">
        <v>24</v>
      </c>
    </row>
    <row r="6514" spans="1:11" ht="54" customHeight="1">
      <c r="A6514" s="9" t="s">
        <v>14818</v>
      </c>
      <c r="B6514" s="9" t="s">
        <v>14818</v>
      </c>
      <c r="C6514" s="9" t="s">
        <v>90</v>
      </c>
      <c r="D6514" s="9" t="s">
        <v>18</v>
      </c>
      <c r="E6514" s="10" t="s">
        <v>1922</v>
      </c>
      <c r="F6514" s="9" t="s">
        <v>1923</v>
      </c>
      <c r="G6514" s="10" t="s">
        <v>34</v>
      </c>
      <c r="H6514" s="9" t="s">
        <v>22</v>
      </c>
      <c r="I6514" s="9" t="s">
        <v>14917</v>
      </c>
      <c r="J6514" s="10" t="str">
        <f>HYPERLINK("https://www.boe.es/gazeta/dias/1834/02/25/pdfs/GMD-1834-25.pdf#page=1","Abrir facsímil")</f>
        <v>Abrir facsímil</v>
      </c>
      <c r="K6514" s="10" t="s">
        <v>24</v>
      </c>
    </row>
    <row r="6515" spans="1:11" ht="54" customHeight="1">
      <c r="A6515" s="9" t="s">
        <v>14818</v>
      </c>
      <c r="B6515" s="9" t="s">
        <v>14818</v>
      </c>
      <c r="C6515" s="9" t="s">
        <v>66</v>
      </c>
      <c r="D6515" s="9" t="s">
        <v>67</v>
      </c>
      <c r="E6515" s="10" t="s">
        <v>739</v>
      </c>
      <c r="F6515" s="9" t="s">
        <v>740</v>
      </c>
      <c r="G6515" s="10" t="s">
        <v>34</v>
      </c>
      <c r="H6515" s="9" t="s">
        <v>22</v>
      </c>
      <c r="I6515" s="9" t="s">
        <v>14918</v>
      </c>
      <c r="J6515" s="10" t="str">
        <f>HYPERLINK("https://www.boe.es/gazeta/dias/1834/03/25/pdfs/GMD-1834-37.pdf#page=1","Abrir facsímil")</f>
        <v>Abrir facsímil</v>
      </c>
      <c r="K6515" s="10" t="s">
        <v>24</v>
      </c>
    </row>
    <row r="6516" spans="1:11" ht="54" customHeight="1">
      <c r="A6516" s="9" t="s">
        <v>14818</v>
      </c>
      <c r="B6516" s="9" t="s">
        <v>14818</v>
      </c>
      <c r="C6516" s="9" t="s">
        <v>17</v>
      </c>
      <c r="D6516" s="9" t="s">
        <v>18</v>
      </c>
      <c r="E6516" s="10" t="s">
        <v>724</v>
      </c>
      <c r="F6516" s="9" t="s">
        <v>725</v>
      </c>
      <c r="G6516" s="10" t="s">
        <v>176</v>
      </c>
      <c r="H6516" s="9" t="s">
        <v>22</v>
      </c>
      <c r="I6516" s="9" t="s">
        <v>14919</v>
      </c>
      <c r="J6516" s="10" t="str">
        <f>HYPERLINK("https://www.boe.es/gazeta/dias/1834/04/25/pdfs/GMD-1834-64.pdf#page=6","Abrir facsímil")</f>
        <v>Abrir facsímil</v>
      </c>
      <c r="K6516" s="10" t="s">
        <v>24</v>
      </c>
    </row>
    <row r="6517" spans="1:11" ht="54" customHeight="1">
      <c r="A6517" s="9" t="s">
        <v>14818</v>
      </c>
      <c r="B6517" s="9" t="s">
        <v>14818</v>
      </c>
      <c r="C6517" s="9" t="s">
        <v>46</v>
      </c>
      <c r="D6517" s="9" t="s">
        <v>101</v>
      </c>
      <c r="E6517" s="10" t="s">
        <v>3025</v>
      </c>
      <c r="F6517" s="9" t="s">
        <v>3026</v>
      </c>
      <c r="G6517" s="10" t="s">
        <v>176</v>
      </c>
      <c r="H6517" s="9" t="s">
        <v>22</v>
      </c>
      <c r="I6517" s="9" t="s">
        <v>14920</v>
      </c>
      <c r="J6517" s="10" t="str">
        <f>HYPERLINK("https://www.boe.es/gazeta/dias/1834/05/25/pdfs/GMD-1834-94.pdf#page=6","Abrir facsímil")</f>
        <v>Abrir facsímil</v>
      </c>
      <c r="K6517" s="10" t="s">
        <v>24</v>
      </c>
    </row>
    <row r="6518" spans="1:11" ht="54" customHeight="1">
      <c r="A6518" s="9" t="s">
        <v>14818</v>
      </c>
      <c r="B6518" s="9" t="s">
        <v>14818</v>
      </c>
      <c r="C6518" s="9" t="s">
        <v>46</v>
      </c>
      <c r="D6518" s="9" t="s">
        <v>55</v>
      </c>
      <c r="E6518" s="10" t="s">
        <v>403</v>
      </c>
      <c r="F6518" s="9" t="s">
        <v>404</v>
      </c>
      <c r="G6518" s="10" t="s">
        <v>75</v>
      </c>
      <c r="H6518" s="9" t="s">
        <v>22</v>
      </c>
      <c r="I6518" s="9" t="s">
        <v>14921</v>
      </c>
      <c r="J6518" s="10" t="str">
        <f>HYPERLINK("https://www.boe.es/gazeta/dias/1834/09/25/pdfs/GMD-C-1834-223.pdf#page=4","Abrir facsímil")</f>
        <v>Abrir facsímil</v>
      </c>
      <c r="K6518" s="10" t="s">
        <v>24</v>
      </c>
    </row>
    <row r="6519" spans="1:11" ht="54" customHeight="1">
      <c r="A6519" s="9" t="s">
        <v>14818</v>
      </c>
      <c r="B6519" s="9" t="s">
        <v>14818</v>
      </c>
      <c r="C6519" s="9" t="s">
        <v>17</v>
      </c>
      <c r="D6519" s="9" t="s">
        <v>18</v>
      </c>
      <c r="E6519" s="10" t="s">
        <v>389</v>
      </c>
      <c r="F6519" s="9" t="s">
        <v>390</v>
      </c>
      <c r="G6519" s="10" t="s">
        <v>21</v>
      </c>
      <c r="H6519" s="9" t="s">
        <v>22</v>
      </c>
      <c r="I6519" s="9" t="s">
        <v>14922</v>
      </c>
      <c r="J6519" s="10" t="str">
        <f>HYPERLINK("https://www.boe.es/gazeta/dias/1834/10/25/pdfs/GMD-1834-253.pdf#page=3","Abrir facsímil")</f>
        <v>Abrir facsímil</v>
      </c>
      <c r="K6519" s="10" t="s">
        <v>24</v>
      </c>
    </row>
    <row r="6520" spans="1:11" ht="54" customHeight="1">
      <c r="A6520" s="9" t="s">
        <v>14818</v>
      </c>
      <c r="B6520" s="9" t="s">
        <v>14818</v>
      </c>
      <c r="C6520" s="9" t="s">
        <v>17</v>
      </c>
      <c r="D6520" s="9" t="s">
        <v>18</v>
      </c>
      <c r="E6520" s="10" t="s">
        <v>251</v>
      </c>
      <c r="F6520" s="9" t="s">
        <v>1278</v>
      </c>
      <c r="G6520" s="10" t="s">
        <v>21</v>
      </c>
      <c r="H6520" s="9" t="s">
        <v>22</v>
      </c>
      <c r="I6520" s="9" t="s">
        <v>14923</v>
      </c>
      <c r="J6520" s="10" t="str">
        <f>HYPERLINK("https://www.boe.es/gazeta/dias/1834/09/26/pdfs/GMD-1834-224.pdf#page=3","Abrir facsímil")</f>
        <v>Abrir facsímil</v>
      </c>
      <c r="K6520" s="10" t="s">
        <v>24</v>
      </c>
    </row>
    <row r="6521" spans="1:11" ht="54" customHeight="1">
      <c r="A6521" s="9" t="s">
        <v>14818</v>
      </c>
      <c r="B6521" s="9" t="s">
        <v>14818</v>
      </c>
      <c r="C6521" s="9" t="s">
        <v>46</v>
      </c>
      <c r="D6521" s="9" t="s">
        <v>18</v>
      </c>
      <c r="E6521" s="10" t="s">
        <v>251</v>
      </c>
      <c r="F6521" s="9" t="s">
        <v>252</v>
      </c>
      <c r="G6521" s="10" t="s">
        <v>34</v>
      </c>
      <c r="H6521" s="9" t="s">
        <v>22</v>
      </c>
      <c r="I6521" s="9" t="s">
        <v>14924</v>
      </c>
      <c r="J6521" s="10" t="str">
        <f>HYPERLINK("https://www.boe.es/gazeta/dias/1834/09/26/pdfs/GMD-C-1834-224.pdf#page=1","Abrir facsímil")</f>
        <v>Abrir facsímil</v>
      </c>
      <c r="K6521" s="10" t="s">
        <v>24</v>
      </c>
    </row>
    <row r="6522" spans="1:11" ht="54" customHeight="1">
      <c r="A6522" s="9" t="s">
        <v>14818</v>
      </c>
      <c r="B6522" s="9" t="s">
        <v>14818</v>
      </c>
      <c r="C6522" s="9" t="s">
        <v>46</v>
      </c>
      <c r="D6522" s="9" t="s">
        <v>101</v>
      </c>
      <c r="E6522" s="10" t="s">
        <v>251</v>
      </c>
      <c r="F6522" s="9" t="s">
        <v>252</v>
      </c>
      <c r="G6522" s="10" t="s">
        <v>86</v>
      </c>
      <c r="H6522" s="9" t="s">
        <v>22</v>
      </c>
      <c r="I6522" s="9" t="s">
        <v>14925</v>
      </c>
      <c r="J6522" s="10" t="str">
        <f>HYPERLINK("https://www.boe.es/gazeta/dias/1834/09/26/pdfs/GMD-C-1834-224.pdf#page=2","Abrir facsímil")</f>
        <v>Abrir facsímil</v>
      </c>
      <c r="K6522" s="10" t="s">
        <v>24</v>
      </c>
    </row>
    <row r="6523" spans="1:11" ht="54" customHeight="1">
      <c r="A6523" s="9" t="s">
        <v>14818</v>
      </c>
      <c r="B6523" s="9" t="s">
        <v>14818</v>
      </c>
      <c r="C6523" s="9" t="s">
        <v>17</v>
      </c>
      <c r="D6523" s="9" t="s">
        <v>18</v>
      </c>
      <c r="E6523" s="10" t="s">
        <v>251</v>
      </c>
      <c r="F6523" s="9" t="s">
        <v>252</v>
      </c>
      <c r="G6523" s="10" t="s">
        <v>21</v>
      </c>
      <c r="H6523" s="9" t="s">
        <v>22</v>
      </c>
      <c r="I6523" s="9" t="s">
        <v>14926</v>
      </c>
      <c r="J6523" s="10" t="str">
        <f>HYPERLINK("https://www.boe.es/gazeta/dias/1834/09/26/pdfs/GMD-C-1834-224.pdf#page=3","Abrir facsímil")</f>
        <v>Abrir facsímil</v>
      </c>
      <c r="K6523" s="10" t="s">
        <v>24</v>
      </c>
    </row>
    <row r="6524" spans="1:11" ht="54" customHeight="1">
      <c r="A6524" s="9" t="s">
        <v>14818</v>
      </c>
      <c r="B6524" s="9" t="s">
        <v>14818</v>
      </c>
      <c r="C6524" s="9" t="s">
        <v>46</v>
      </c>
      <c r="D6524" s="9" t="s">
        <v>101</v>
      </c>
      <c r="E6524" s="10" t="s">
        <v>251</v>
      </c>
      <c r="F6524" s="9" t="s">
        <v>252</v>
      </c>
      <c r="G6524" s="10" t="s">
        <v>75</v>
      </c>
      <c r="H6524" s="9" t="s">
        <v>22</v>
      </c>
      <c r="I6524" s="9" t="s">
        <v>14927</v>
      </c>
      <c r="J6524" s="10" t="str">
        <f>HYPERLINK("https://www.boe.es/gazeta/dias/1834/09/26/pdfs/GMD-C-1834-224.pdf#page=4","Abrir facsímil")</f>
        <v>Abrir facsímil</v>
      </c>
      <c r="K6524" s="10" t="s">
        <v>24</v>
      </c>
    </row>
    <row r="6525" spans="1:11" ht="54" customHeight="1">
      <c r="A6525" s="9" t="s">
        <v>14818</v>
      </c>
      <c r="B6525" s="9" t="s">
        <v>14818</v>
      </c>
      <c r="C6525" s="9" t="s">
        <v>17</v>
      </c>
      <c r="D6525" s="9" t="s">
        <v>18</v>
      </c>
      <c r="E6525" s="10" t="s">
        <v>251</v>
      </c>
      <c r="F6525" s="9" t="s">
        <v>252</v>
      </c>
      <c r="G6525" s="10" t="s">
        <v>28</v>
      </c>
      <c r="H6525" s="9" t="s">
        <v>22</v>
      </c>
      <c r="I6525" s="9" t="s">
        <v>14928</v>
      </c>
      <c r="J6525" s="10" t="str">
        <f>HYPERLINK("https://www.boe.es/gazeta/dias/1834/09/26/pdfs/GMD-C-1834-224.pdf#page=5","Abrir facsímil")</f>
        <v>Abrir facsímil</v>
      </c>
      <c r="K6525" s="10" t="s">
        <v>24</v>
      </c>
    </row>
    <row r="6526" spans="1:11" ht="54" customHeight="1">
      <c r="A6526" s="9" t="s">
        <v>14818</v>
      </c>
      <c r="B6526" s="9" t="s">
        <v>14818</v>
      </c>
      <c r="C6526" s="9" t="s">
        <v>17</v>
      </c>
      <c r="D6526" s="9" t="s">
        <v>18</v>
      </c>
      <c r="E6526" s="10" t="s">
        <v>510</v>
      </c>
      <c r="F6526" s="9" t="s">
        <v>531</v>
      </c>
      <c r="G6526" s="10" t="s">
        <v>28</v>
      </c>
      <c r="H6526" s="9" t="s">
        <v>22</v>
      </c>
      <c r="I6526" s="9" t="s">
        <v>14929</v>
      </c>
      <c r="J6526" s="10" t="str">
        <f>HYPERLINK("https://www.boe.es/gazeta/dias/1834/11/26/pdfs/GMD-C-1834-285.pdf#page=5","Abrir facsímil")</f>
        <v>Abrir facsímil</v>
      </c>
      <c r="K6526" s="10" t="s">
        <v>24</v>
      </c>
    </row>
    <row r="6527" spans="1:11" ht="54" customHeight="1">
      <c r="A6527" s="9" t="s">
        <v>14818</v>
      </c>
      <c r="B6527" s="9" t="s">
        <v>14818</v>
      </c>
      <c r="C6527" s="9" t="s">
        <v>90</v>
      </c>
      <c r="D6527" s="9" t="s">
        <v>18</v>
      </c>
      <c r="E6527" s="10" t="s">
        <v>513</v>
      </c>
      <c r="F6527" s="9" t="s">
        <v>514</v>
      </c>
      <c r="G6527" s="10" t="s">
        <v>34</v>
      </c>
      <c r="H6527" s="9" t="s">
        <v>22</v>
      </c>
      <c r="I6527" s="9" t="s">
        <v>14930</v>
      </c>
      <c r="J6527" s="10" t="str">
        <f>HYPERLINK("https://www.boe.es/gazeta/dias/1834/04/27/pdfs/GMD-1834-66.pdf#page=1","Abrir facsímil")</f>
        <v>Abrir facsímil</v>
      </c>
      <c r="K6527" s="10" t="s">
        <v>24</v>
      </c>
    </row>
    <row r="6528" spans="1:11" ht="54" customHeight="1">
      <c r="A6528" s="9" t="s">
        <v>14818</v>
      </c>
      <c r="B6528" s="9" t="s">
        <v>14818</v>
      </c>
      <c r="C6528" s="9" t="s">
        <v>17</v>
      </c>
      <c r="D6528" s="9" t="s">
        <v>18</v>
      </c>
      <c r="E6528" s="10" t="s">
        <v>1683</v>
      </c>
      <c r="F6528" s="9" t="s">
        <v>1684</v>
      </c>
      <c r="G6528" s="10" t="s">
        <v>75</v>
      </c>
      <c r="H6528" s="9" t="s">
        <v>22</v>
      </c>
      <c r="I6528" s="9" t="s">
        <v>14931</v>
      </c>
      <c r="J6528" s="10" t="str">
        <f>HYPERLINK("https://www.boe.es/gazeta/dias/1834/06/27/pdfs/GMD-1834-130.pdf#page=4","Abrir facsímil")</f>
        <v>Abrir facsímil</v>
      </c>
      <c r="K6528" s="10" t="s">
        <v>24</v>
      </c>
    </row>
    <row r="6529" spans="1:11" ht="54" customHeight="1">
      <c r="A6529" s="9" t="s">
        <v>14818</v>
      </c>
      <c r="B6529" s="9" t="s">
        <v>14818</v>
      </c>
      <c r="C6529" s="9" t="s">
        <v>17</v>
      </c>
      <c r="D6529" s="9" t="s">
        <v>18</v>
      </c>
      <c r="E6529" s="10" t="s">
        <v>294</v>
      </c>
      <c r="F6529" s="9" t="s">
        <v>959</v>
      </c>
      <c r="G6529" s="10" t="s">
        <v>34</v>
      </c>
      <c r="H6529" s="9" t="s">
        <v>22</v>
      </c>
      <c r="I6529" s="9" t="s">
        <v>14932</v>
      </c>
      <c r="J6529" s="10" t="str">
        <f>HYPERLINK("https://www.boe.es/gazeta/dias/1834/09/27/pdfs/GMD-C-1834-225.pdf#page=1","Abrir facsímil")</f>
        <v>Abrir facsímil</v>
      </c>
      <c r="K6529" s="10" t="s">
        <v>24</v>
      </c>
    </row>
    <row r="6530" spans="1:11" ht="54" customHeight="1">
      <c r="A6530" s="9" t="s">
        <v>14818</v>
      </c>
      <c r="B6530" s="9" t="s">
        <v>14818</v>
      </c>
      <c r="C6530" s="9" t="s">
        <v>17</v>
      </c>
      <c r="D6530" s="9" t="s">
        <v>18</v>
      </c>
      <c r="E6530" s="10" t="s">
        <v>294</v>
      </c>
      <c r="F6530" s="9" t="s">
        <v>959</v>
      </c>
      <c r="G6530" s="10" t="s">
        <v>86</v>
      </c>
      <c r="H6530" s="9" t="s">
        <v>22</v>
      </c>
      <c r="I6530" s="9" t="s">
        <v>14933</v>
      </c>
      <c r="J6530" s="10" t="str">
        <f>HYPERLINK("https://www.boe.es/gazeta/dias/1834/09/27/pdfs/GMD-C-1834-225.pdf#page=2","Abrir facsímil")</f>
        <v>Abrir facsímil</v>
      </c>
      <c r="K6530" s="10" t="s">
        <v>24</v>
      </c>
    </row>
    <row r="6531" spans="1:11" ht="54" customHeight="1">
      <c r="A6531" s="9" t="s">
        <v>14818</v>
      </c>
      <c r="B6531" s="9" t="s">
        <v>14818</v>
      </c>
      <c r="C6531" s="9" t="s">
        <v>17</v>
      </c>
      <c r="D6531" s="9" t="s">
        <v>18</v>
      </c>
      <c r="E6531" s="10" t="s">
        <v>408</v>
      </c>
      <c r="F6531" s="9" t="s">
        <v>409</v>
      </c>
      <c r="G6531" s="10" t="s">
        <v>21</v>
      </c>
      <c r="H6531" s="9" t="s">
        <v>22</v>
      </c>
      <c r="I6531" s="9" t="s">
        <v>14934</v>
      </c>
      <c r="J6531" s="10" t="str">
        <f>HYPERLINK("https://www.boe.es/gazeta/dias/1834/04/28/pdfs/GMD-1834-67.pdf#page=3","Abrir facsímil")</f>
        <v>Abrir facsímil</v>
      </c>
      <c r="K6531" s="10" t="s">
        <v>24</v>
      </c>
    </row>
    <row r="6532" spans="1:11" ht="54" customHeight="1">
      <c r="A6532" s="9" t="s">
        <v>14818</v>
      </c>
      <c r="B6532" s="9" t="s">
        <v>14818</v>
      </c>
      <c r="C6532" s="9" t="s">
        <v>66</v>
      </c>
      <c r="D6532" s="9" t="s">
        <v>67</v>
      </c>
      <c r="E6532" s="10" t="s">
        <v>8010</v>
      </c>
      <c r="F6532" s="9" t="s">
        <v>8011</v>
      </c>
      <c r="G6532" s="10" t="s">
        <v>86</v>
      </c>
      <c r="H6532" s="9" t="s">
        <v>22</v>
      </c>
      <c r="I6532" s="9" t="s">
        <v>14935</v>
      </c>
      <c r="J6532" s="10" t="str">
        <f>HYPERLINK("https://www.boe.es/gazeta/dias/1834/08/28/pdfs/GMD-1834-194.pdf#page=2","Abrir facsímil")</f>
        <v>Abrir facsímil</v>
      </c>
      <c r="K6532" s="10" t="s">
        <v>24</v>
      </c>
    </row>
    <row r="6533" spans="1:11" ht="54" customHeight="1">
      <c r="A6533" s="9" t="s">
        <v>14818</v>
      </c>
      <c r="B6533" s="9" t="s">
        <v>14818</v>
      </c>
      <c r="C6533" s="9" t="s">
        <v>17</v>
      </c>
      <c r="D6533" s="9" t="s">
        <v>18</v>
      </c>
      <c r="E6533" s="10" t="s">
        <v>2526</v>
      </c>
      <c r="F6533" s="9" t="s">
        <v>2527</v>
      </c>
      <c r="G6533" s="10" t="s">
        <v>75</v>
      </c>
      <c r="H6533" s="9" t="s">
        <v>22</v>
      </c>
      <c r="I6533" s="9" t="s">
        <v>14936</v>
      </c>
      <c r="J6533" s="10" t="str">
        <f>HYPERLINK("https://www.boe.es/gazeta/dias/1834/12/29/pdfs/GMD-C-1834-319.pdf#page=4","Abrir facsímil")</f>
        <v>Abrir facsímil</v>
      </c>
      <c r="K6533" s="10" t="s">
        <v>24</v>
      </c>
    </row>
    <row r="6534" spans="1:11" ht="54" customHeight="1">
      <c r="A6534" s="9" t="s">
        <v>14818</v>
      </c>
      <c r="B6534" s="9" t="s">
        <v>14818</v>
      </c>
      <c r="C6534" s="9" t="s">
        <v>46</v>
      </c>
      <c r="D6534" s="9" t="s">
        <v>18</v>
      </c>
      <c r="E6534" s="10" t="s">
        <v>899</v>
      </c>
      <c r="F6534" s="9" t="s">
        <v>900</v>
      </c>
      <c r="G6534" s="10" t="s">
        <v>21</v>
      </c>
      <c r="H6534" s="9" t="s">
        <v>22</v>
      </c>
      <c r="I6534" s="9" t="s">
        <v>14937</v>
      </c>
      <c r="J6534" s="10" t="str">
        <f>HYPERLINK("https://www.boe.es/gazeta/dias/1834/01/30/pdfs/GMD-1834-14.pdf#page=3","Abrir facsímil")</f>
        <v>Abrir facsímil</v>
      </c>
      <c r="K6534" s="10" t="s">
        <v>24</v>
      </c>
    </row>
    <row r="6535" spans="1:11" ht="54" customHeight="1">
      <c r="A6535" s="9" t="s">
        <v>14818</v>
      </c>
      <c r="B6535" s="9" t="s">
        <v>14818</v>
      </c>
      <c r="C6535" s="9" t="s">
        <v>17</v>
      </c>
      <c r="D6535" s="9" t="s">
        <v>18</v>
      </c>
      <c r="E6535" s="10" t="s">
        <v>899</v>
      </c>
      <c r="F6535" s="9" t="s">
        <v>900</v>
      </c>
      <c r="G6535" s="10" t="s">
        <v>176</v>
      </c>
      <c r="H6535" s="9" t="s">
        <v>22</v>
      </c>
      <c r="I6535" s="9" t="s">
        <v>14938</v>
      </c>
      <c r="J6535" s="10" t="str">
        <f>HYPERLINK("https://www.boe.es/gazeta/dias/1834/01/30/pdfs/GMD-1834-14.pdf#page=6","Abrir facsímil")</f>
        <v>Abrir facsímil</v>
      </c>
      <c r="K6535" s="10" t="s">
        <v>24</v>
      </c>
    </row>
    <row r="6536" spans="1:11" ht="54" customHeight="1">
      <c r="A6536" s="9" t="s">
        <v>14818</v>
      </c>
      <c r="B6536" s="9" t="s">
        <v>14818</v>
      </c>
      <c r="C6536" s="9" t="s">
        <v>90</v>
      </c>
      <c r="D6536" s="9" t="s">
        <v>18</v>
      </c>
      <c r="E6536" s="10" t="s">
        <v>286</v>
      </c>
      <c r="F6536" s="9" t="s">
        <v>548</v>
      </c>
      <c r="G6536" s="10" t="s">
        <v>75</v>
      </c>
      <c r="H6536" s="9" t="s">
        <v>22</v>
      </c>
      <c r="I6536" s="9" t="s">
        <v>14939</v>
      </c>
      <c r="J6536" s="10" t="str">
        <f>HYPERLINK("https://www.boe.es/gazeta/dias/1834/08/30/pdfs/GMD-1834-196.pdf#page=4","Abrir facsímil")</f>
        <v>Abrir facsímil</v>
      </c>
      <c r="K6536" s="10" t="s">
        <v>24</v>
      </c>
    </row>
    <row r="6537" spans="1:11" ht="54" customHeight="1">
      <c r="A6537" s="9" t="s">
        <v>14818</v>
      </c>
      <c r="B6537" s="9" t="s">
        <v>14818</v>
      </c>
      <c r="C6537" s="9" t="s">
        <v>17</v>
      </c>
      <c r="D6537" s="9" t="s">
        <v>18</v>
      </c>
      <c r="E6537" s="10" t="s">
        <v>286</v>
      </c>
      <c r="F6537" s="9" t="s">
        <v>287</v>
      </c>
      <c r="G6537" s="10" t="s">
        <v>34</v>
      </c>
      <c r="H6537" s="9" t="s">
        <v>22</v>
      </c>
      <c r="I6537" s="9" t="s">
        <v>14940</v>
      </c>
      <c r="J6537" s="10" t="str">
        <f>HYPERLINK("https://www.boe.es/gazeta/dias/1834/08/30/pdfs/GMD-D-1834-196.pdf#page=1","Abrir facsímil")</f>
        <v>Abrir facsímil</v>
      </c>
      <c r="K6537" s="10" t="s">
        <v>24</v>
      </c>
    </row>
    <row r="6538" spans="1:11" ht="54" customHeight="1">
      <c r="A6538" s="9" t="s">
        <v>14818</v>
      </c>
      <c r="B6538" s="9" t="s">
        <v>14818</v>
      </c>
      <c r="C6538" s="9" t="s">
        <v>17</v>
      </c>
      <c r="D6538" s="9" t="s">
        <v>18</v>
      </c>
      <c r="E6538" s="10" t="s">
        <v>273</v>
      </c>
      <c r="F6538" s="9" t="s">
        <v>274</v>
      </c>
      <c r="G6538" s="10" t="s">
        <v>21</v>
      </c>
      <c r="H6538" s="9" t="s">
        <v>22</v>
      </c>
      <c r="I6538" s="9" t="s">
        <v>14941</v>
      </c>
      <c r="J6538" s="10" t="str">
        <f>HYPERLINK("https://www.boe.es/gazeta/dias/1834/08/31/pdfs/GMD-D-1834-198.pdf#page=3","Abrir facsímil")</f>
        <v>Abrir facsímil</v>
      </c>
      <c r="K6538" s="10" t="s">
        <v>24</v>
      </c>
    </row>
    <row r="6539" spans="1:11" ht="54" customHeight="1">
      <c r="A6539" s="9" t="s">
        <v>14818</v>
      </c>
      <c r="B6539" s="9" t="s">
        <v>14818</v>
      </c>
      <c r="C6539" s="9" t="s">
        <v>17</v>
      </c>
      <c r="D6539" s="9" t="s">
        <v>18</v>
      </c>
      <c r="E6539" s="10" t="s">
        <v>273</v>
      </c>
      <c r="F6539" s="9" t="s">
        <v>274</v>
      </c>
      <c r="G6539" s="10" t="s">
        <v>28</v>
      </c>
      <c r="H6539" s="9" t="s">
        <v>22</v>
      </c>
      <c r="I6539" s="9" t="s">
        <v>14942</v>
      </c>
      <c r="J6539" s="10" t="str">
        <f>HYPERLINK("https://www.boe.es/gazeta/dias/1834/08/31/pdfs/GMD-C-1834-198.pdf#page=5","Abrir facsímil")</f>
        <v>Abrir facsímil</v>
      </c>
      <c r="K6539" s="10" t="s">
        <v>24</v>
      </c>
    </row>
    <row r="6540" spans="1:11" ht="54" customHeight="1">
      <c r="A6540" s="9" t="s">
        <v>14818</v>
      </c>
      <c r="B6540" s="9" t="s">
        <v>14818</v>
      </c>
      <c r="C6540" s="9" t="s">
        <v>17</v>
      </c>
      <c r="D6540" s="9" t="s">
        <v>101</v>
      </c>
      <c r="E6540" s="10" t="s">
        <v>891</v>
      </c>
      <c r="F6540" s="9" t="s">
        <v>892</v>
      </c>
      <c r="G6540" s="10" t="s">
        <v>75</v>
      </c>
      <c r="H6540" s="9" t="s">
        <v>22</v>
      </c>
      <c r="I6540" s="9" t="s">
        <v>14943</v>
      </c>
      <c r="J6540" s="10" t="str">
        <f>HYPERLINK("https://www.boe.es/gazeta/dias/1834/10/31/pdfs/GMD-C-1834-259.pdf#page=4","Abrir facsímil")</f>
        <v>Abrir facsímil</v>
      </c>
      <c r="K6540" s="10" t="s">
        <v>24</v>
      </c>
    </row>
    <row r="6541" spans="1:11" ht="54" customHeight="1">
      <c r="A6541" s="9" t="s">
        <v>14818</v>
      </c>
      <c r="B6541" s="9" t="s">
        <v>14818</v>
      </c>
      <c r="C6541" s="9" t="s">
        <v>17</v>
      </c>
      <c r="D6541" s="9" t="s">
        <v>18</v>
      </c>
      <c r="E6541" s="10" t="s">
        <v>891</v>
      </c>
      <c r="F6541" s="9" t="s">
        <v>892</v>
      </c>
      <c r="G6541" s="10" t="s">
        <v>176</v>
      </c>
      <c r="H6541" s="9" t="s">
        <v>22</v>
      </c>
      <c r="I6541" s="9" t="s">
        <v>14944</v>
      </c>
      <c r="J6541" s="10" t="str">
        <f>HYPERLINK("https://www.boe.es/gazeta/dias/1834/10/31/pdfs/GMD-C-1834-259.pdf#page=6","Abrir facsímil")</f>
        <v>Abrir facsímil</v>
      </c>
      <c r="K6541" s="10" t="s">
        <v>24</v>
      </c>
    </row>
    <row r="6542" spans="1:11" ht="54" customHeight="1">
      <c r="A6542" s="9" t="s">
        <v>14818</v>
      </c>
      <c r="B6542" s="9" t="s">
        <v>14818</v>
      </c>
      <c r="C6542" s="9" t="s">
        <v>122</v>
      </c>
      <c r="D6542" s="9" t="s">
        <v>55</v>
      </c>
      <c r="E6542" s="10" t="s">
        <v>192</v>
      </c>
      <c r="F6542" s="9" t="s">
        <v>2713</v>
      </c>
      <c r="G6542" s="10" t="s">
        <v>86</v>
      </c>
      <c r="H6542" s="9" t="s">
        <v>22</v>
      </c>
      <c r="I6542" s="9" t="s">
        <v>14945</v>
      </c>
      <c r="J6542" s="10" t="str">
        <f>HYPERLINK("https://www.boe.es/gazeta/dias/1834/12/31/pdfs/GMD-C-1834-321.pdf#page=2","Abrir facsímil")</f>
        <v>Abrir facsímil</v>
      </c>
      <c r="K6542" s="10" t="s">
        <v>24</v>
      </c>
    </row>
    <row r="6543" spans="1:11" ht="54" customHeight="1">
      <c r="A6543" s="9" t="s">
        <v>14946</v>
      </c>
      <c r="B6543" s="9" t="s">
        <v>14947</v>
      </c>
      <c r="C6543" s="9" t="s">
        <v>46</v>
      </c>
      <c r="D6543" s="9" t="s">
        <v>101</v>
      </c>
      <c r="E6543" s="10" t="s">
        <v>1262</v>
      </c>
      <c r="F6543" s="9" t="s">
        <v>1263</v>
      </c>
      <c r="G6543" s="10" t="s">
        <v>34</v>
      </c>
      <c r="H6543" s="9" t="s">
        <v>35</v>
      </c>
      <c r="I6543" s="9" t="s">
        <v>14948</v>
      </c>
      <c r="J6543" s="10" t="str">
        <f>HYPERLINK("https://www.boe.es/gazeta/dias/1834/02/01/pdfs/GMD-1834-15.pdf#page=1","Abrir facsímil")</f>
        <v>Abrir facsímil</v>
      </c>
      <c r="K6543" s="10" t="s">
        <v>37</v>
      </c>
    </row>
    <row r="6544" spans="1:11" ht="54" customHeight="1">
      <c r="A6544" s="9" t="s">
        <v>14946</v>
      </c>
      <c r="B6544" s="9" t="s">
        <v>14947</v>
      </c>
      <c r="C6544" s="9" t="s">
        <v>857</v>
      </c>
      <c r="D6544" s="9" t="s">
        <v>18</v>
      </c>
      <c r="E6544" s="10" t="s">
        <v>1262</v>
      </c>
      <c r="F6544" s="9" t="s">
        <v>1263</v>
      </c>
      <c r="G6544" s="10" t="s">
        <v>21</v>
      </c>
      <c r="H6544" s="9" t="s">
        <v>35</v>
      </c>
      <c r="I6544" s="9" t="s">
        <v>14949</v>
      </c>
      <c r="J6544" s="10" t="str">
        <f>HYPERLINK("https://www.boe.es/gazeta/dias/1834/02/01/pdfs/GMD-1834-15.pdf#page=3","Abrir facsímil")</f>
        <v>Abrir facsímil</v>
      </c>
      <c r="K6544" s="10" t="s">
        <v>37</v>
      </c>
    </row>
    <row r="6545" spans="1:11" ht="54" customHeight="1">
      <c r="A6545" s="9" t="s">
        <v>14946</v>
      </c>
      <c r="B6545" s="9" t="s">
        <v>14947</v>
      </c>
      <c r="C6545" s="9" t="s">
        <v>46</v>
      </c>
      <c r="D6545" s="9" t="s">
        <v>40</v>
      </c>
      <c r="E6545" s="10" t="s">
        <v>1025</v>
      </c>
      <c r="F6545" s="9" t="s">
        <v>1026</v>
      </c>
      <c r="G6545" s="10" t="s">
        <v>176</v>
      </c>
      <c r="H6545" s="9" t="s">
        <v>35</v>
      </c>
      <c r="I6545" s="9" t="s">
        <v>14950</v>
      </c>
      <c r="J6545" s="10" t="str">
        <f>HYPERLINK("https://www.boe.es/gazeta/dias/1834/03/01/pdfs/GMD-1834-27.pdf#page=6","Abrir facsímil")</f>
        <v>Abrir facsímil</v>
      </c>
      <c r="K6545" s="10" t="s">
        <v>37</v>
      </c>
    </row>
    <row r="6546" spans="1:11" ht="54" customHeight="1">
      <c r="A6546" s="9" t="s">
        <v>14946</v>
      </c>
      <c r="B6546" s="9" t="s">
        <v>14947</v>
      </c>
      <c r="C6546" s="9" t="s">
        <v>17</v>
      </c>
      <c r="D6546" s="9" t="s">
        <v>18</v>
      </c>
      <c r="E6546" s="10" t="s">
        <v>1337</v>
      </c>
      <c r="F6546" s="9" t="s">
        <v>1338</v>
      </c>
      <c r="G6546" s="10" t="s">
        <v>34</v>
      </c>
      <c r="H6546" s="9" t="s">
        <v>35</v>
      </c>
      <c r="I6546" s="9" t="s">
        <v>14951</v>
      </c>
      <c r="J6546" s="10" t="str">
        <f>HYPERLINK("https://www.boe.es/gazeta/dias/1834/01/02/pdfs/GMD-1834-1.pdf#page=1","Abrir facsímil")</f>
        <v>Abrir facsímil</v>
      </c>
      <c r="K6546" s="10" t="s">
        <v>37</v>
      </c>
    </row>
    <row r="6547" spans="1:11" ht="54" customHeight="1">
      <c r="A6547" s="9" t="s">
        <v>14946</v>
      </c>
      <c r="B6547" s="9" t="s">
        <v>14947</v>
      </c>
      <c r="C6547" s="9" t="s">
        <v>46</v>
      </c>
      <c r="D6547" s="9" t="s">
        <v>101</v>
      </c>
      <c r="E6547" s="10" t="s">
        <v>1337</v>
      </c>
      <c r="F6547" s="9" t="s">
        <v>1338</v>
      </c>
      <c r="G6547" s="10" t="s">
        <v>21</v>
      </c>
      <c r="H6547" s="9" t="s">
        <v>35</v>
      </c>
      <c r="I6547" s="9" t="s">
        <v>14952</v>
      </c>
      <c r="J6547" s="10" t="str">
        <f>HYPERLINK("https://www.boe.es/gazeta/dias/1834/01/02/pdfs/GMD-1834-1.pdf#page=3","Abrir facsímil")</f>
        <v>Abrir facsímil</v>
      </c>
      <c r="K6547" s="10" t="s">
        <v>37</v>
      </c>
    </row>
    <row r="6548" spans="1:11" ht="54" customHeight="1">
      <c r="A6548" s="9" t="s">
        <v>14946</v>
      </c>
      <c r="B6548" s="9" t="s">
        <v>14947</v>
      </c>
      <c r="C6548" s="9" t="s">
        <v>17</v>
      </c>
      <c r="D6548" s="9" t="s">
        <v>18</v>
      </c>
      <c r="E6548" s="10" t="s">
        <v>690</v>
      </c>
      <c r="F6548" s="9" t="s">
        <v>5765</v>
      </c>
      <c r="G6548" s="10" t="s">
        <v>21</v>
      </c>
      <c r="H6548" s="9" t="s">
        <v>35</v>
      </c>
      <c r="I6548" s="9" t="s">
        <v>14953</v>
      </c>
      <c r="J6548" s="10" t="str">
        <f>HYPERLINK("https://www.boe.es/gazeta/dias/1834/09/03/pdfs/GMD-1834-201.pdf#page=3","Abrir facsímil")</f>
        <v>Abrir facsímil</v>
      </c>
      <c r="K6548" s="10" t="s">
        <v>37</v>
      </c>
    </row>
    <row r="6549" spans="1:11" ht="54" customHeight="1">
      <c r="A6549" s="9" t="s">
        <v>14946</v>
      </c>
      <c r="B6549" s="9" t="s">
        <v>14947</v>
      </c>
      <c r="C6549" s="9" t="s">
        <v>17</v>
      </c>
      <c r="D6549" s="9" t="s">
        <v>18</v>
      </c>
      <c r="E6549" s="10" t="s">
        <v>1862</v>
      </c>
      <c r="F6549" s="9" t="s">
        <v>1863</v>
      </c>
      <c r="G6549" s="10" t="s">
        <v>75</v>
      </c>
      <c r="H6549" s="9" t="s">
        <v>35</v>
      </c>
      <c r="I6549" s="9" t="s">
        <v>14954</v>
      </c>
      <c r="J6549" s="10" t="str">
        <f>HYPERLINK("https://www.boe.es/gazeta/dias/1834/02/04/pdfs/GMD-1834-16.pdf#page=4","Abrir facsímil")</f>
        <v>Abrir facsímil</v>
      </c>
      <c r="K6549" s="10" t="s">
        <v>37</v>
      </c>
    </row>
    <row r="6550" spans="1:11" ht="54" customHeight="1">
      <c r="A6550" s="9" t="s">
        <v>14946</v>
      </c>
      <c r="B6550" s="9" t="s">
        <v>14947</v>
      </c>
      <c r="C6550" s="9" t="s">
        <v>857</v>
      </c>
      <c r="D6550" s="9" t="s">
        <v>18</v>
      </c>
      <c r="E6550" s="10" t="s">
        <v>571</v>
      </c>
      <c r="F6550" s="9" t="s">
        <v>572</v>
      </c>
      <c r="G6550" s="10" t="s">
        <v>21</v>
      </c>
      <c r="H6550" s="9" t="s">
        <v>35</v>
      </c>
      <c r="I6550" s="9" t="s">
        <v>14955</v>
      </c>
      <c r="J6550" s="10" t="str">
        <f>HYPERLINK("https://www.boe.es/gazeta/dias/1834/09/04/pdfs/GMD-1834-202.pdf#page=3","Abrir facsímil")</f>
        <v>Abrir facsímil</v>
      </c>
      <c r="K6550" s="10" t="s">
        <v>37</v>
      </c>
    </row>
    <row r="6551" spans="1:11" ht="54" customHeight="1">
      <c r="A6551" s="9" t="s">
        <v>14946</v>
      </c>
      <c r="B6551" s="9" t="s">
        <v>14947</v>
      </c>
      <c r="C6551" s="9" t="s">
        <v>17</v>
      </c>
      <c r="D6551" s="9" t="s">
        <v>18</v>
      </c>
      <c r="E6551" s="10" t="s">
        <v>571</v>
      </c>
      <c r="F6551" s="9" t="s">
        <v>620</v>
      </c>
      <c r="G6551" s="10" t="s">
        <v>86</v>
      </c>
      <c r="H6551" s="9" t="s">
        <v>35</v>
      </c>
      <c r="I6551" s="9" t="s">
        <v>14956</v>
      </c>
      <c r="J6551" s="10" t="str">
        <f>HYPERLINK("https://www.boe.es/gazeta/dias/1834/09/04/pdfs/GMD-C-1834-202.pdf#page=2","Abrir facsímil")</f>
        <v>Abrir facsímil</v>
      </c>
      <c r="K6551" s="10" t="s">
        <v>37</v>
      </c>
    </row>
    <row r="6552" spans="1:11" ht="54" customHeight="1">
      <c r="A6552" s="9" t="s">
        <v>14946</v>
      </c>
      <c r="B6552" s="9" t="s">
        <v>14947</v>
      </c>
      <c r="C6552" s="9" t="s">
        <v>46</v>
      </c>
      <c r="D6552" s="9" t="s">
        <v>18</v>
      </c>
      <c r="E6552" s="10" t="s">
        <v>571</v>
      </c>
      <c r="F6552" s="9" t="s">
        <v>620</v>
      </c>
      <c r="G6552" s="10" t="s">
        <v>75</v>
      </c>
      <c r="H6552" s="9" t="s">
        <v>35</v>
      </c>
      <c r="I6552" s="9" t="s">
        <v>14957</v>
      </c>
      <c r="J6552" s="10" t="str">
        <f>HYPERLINK("https://www.boe.es/gazeta/dias/1834/09/04/pdfs/GMD-C-1834-202.pdf#page=4","Abrir facsímil")</f>
        <v>Abrir facsímil</v>
      </c>
      <c r="K6552" s="10" t="s">
        <v>37</v>
      </c>
    </row>
    <row r="6553" spans="1:11" ht="54" customHeight="1">
      <c r="A6553" s="9" t="s">
        <v>14946</v>
      </c>
      <c r="B6553" s="9" t="s">
        <v>14947</v>
      </c>
      <c r="C6553" s="9" t="s">
        <v>17</v>
      </c>
      <c r="D6553" s="9" t="s">
        <v>101</v>
      </c>
      <c r="E6553" s="10" t="s">
        <v>8346</v>
      </c>
      <c r="F6553" s="9" t="s">
        <v>8347</v>
      </c>
      <c r="G6553" s="10" t="s">
        <v>75</v>
      </c>
      <c r="H6553" s="9" t="s">
        <v>35</v>
      </c>
      <c r="I6553" s="9" t="s">
        <v>14958</v>
      </c>
      <c r="J6553" s="10" t="str">
        <f>HYPERLINK("https://www.boe.es/gazeta/dias/1834/12/04/pdfs/GMD-1834-293.pdf#page=4","Abrir facsímil")</f>
        <v>Abrir facsímil</v>
      </c>
      <c r="K6553" s="10" t="s">
        <v>37</v>
      </c>
    </row>
    <row r="6554" spans="1:11" ht="54" customHeight="1">
      <c r="A6554" s="9" t="s">
        <v>14946</v>
      </c>
      <c r="B6554" s="9" t="s">
        <v>14947</v>
      </c>
      <c r="C6554" s="9" t="s">
        <v>90</v>
      </c>
      <c r="D6554" s="9" t="s">
        <v>18</v>
      </c>
      <c r="E6554" s="10" t="s">
        <v>1402</v>
      </c>
      <c r="F6554" s="9" t="s">
        <v>1403</v>
      </c>
      <c r="G6554" s="10" t="s">
        <v>34</v>
      </c>
      <c r="H6554" s="9" t="s">
        <v>35</v>
      </c>
      <c r="I6554" s="9" t="s">
        <v>14959</v>
      </c>
      <c r="J6554" s="10" t="str">
        <f>HYPERLINK("https://www.boe.es/gazeta/dias/1834/05/05/pdfs/I00347-00348.pdf#page=1","Abrir facsímil")</f>
        <v>Abrir facsímil</v>
      </c>
      <c r="K6554" s="10" t="s">
        <v>37</v>
      </c>
    </row>
    <row r="6555" spans="1:11" ht="54" customHeight="1">
      <c r="A6555" s="9" t="s">
        <v>14946</v>
      </c>
      <c r="B6555" s="9" t="s">
        <v>14947</v>
      </c>
      <c r="C6555" s="9" t="s">
        <v>90</v>
      </c>
      <c r="D6555" s="9" t="s">
        <v>18</v>
      </c>
      <c r="E6555" s="10" t="s">
        <v>1402</v>
      </c>
      <c r="F6555" s="9" t="s">
        <v>1403</v>
      </c>
      <c r="G6555" s="10" t="s">
        <v>28</v>
      </c>
      <c r="H6555" s="9" t="s">
        <v>35</v>
      </c>
      <c r="I6555" s="9" t="s">
        <v>14960</v>
      </c>
      <c r="J6555" s="10" t="str">
        <f>HYPERLINK("https://www.boe.es/gazeta/dias/1834/05/05/pdfs/GMD-1834-74.pdf#page=5","Abrir facsímil")</f>
        <v>Abrir facsímil</v>
      </c>
      <c r="K6555" s="10" t="s">
        <v>37</v>
      </c>
    </row>
    <row r="6556" spans="1:11" ht="54" customHeight="1">
      <c r="A6556" s="9" t="s">
        <v>14946</v>
      </c>
      <c r="B6556" s="9" t="s">
        <v>14947</v>
      </c>
      <c r="C6556" s="9" t="s">
        <v>17</v>
      </c>
      <c r="D6556" s="9" t="s">
        <v>18</v>
      </c>
      <c r="E6556" s="10" t="s">
        <v>243</v>
      </c>
      <c r="F6556" s="9" t="s">
        <v>244</v>
      </c>
      <c r="G6556" s="10" t="s">
        <v>34</v>
      </c>
      <c r="H6556" s="9" t="s">
        <v>35</v>
      </c>
      <c r="I6556" s="9" t="s">
        <v>14961</v>
      </c>
      <c r="J6556" s="10" t="str">
        <f>HYPERLINK("https://www.boe.es/gazeta/dias/1834/08/05/pdfs/GMD-C-1834-169.pdf#page=1","Abrir facsímil")</f>
        <v>Abrir facsímil</v>
      </c>
      <c r="K6556" s="10" t="s">
        <v>37</v>
      </c>
    </row>
    <row r="6557" spans="1:11" ht="54" customHeight="1">
      <c r="A6557" s="9" t="s">
        <v>14946</v>
      </c>
      <c r="B6557" s="9" t="s">
        <v>14947</v>
      </c>
      <c r="C6557" s="9" t="s">
        <v>17</v>
      </c>
      <c r="D6557" s="9" t="s">
        <v>18</v>
      </c>
      <c r="E6557" s="10" t="s">
        <v>11991</v>
      </c>
      <c r="F6557" s="9" t="s">
        <v>11992</v>
      </c>
      <c r="G6557" s="10" t="s">
        <v>34</v>
      </c>
      <c r="H6557" s="9" t="s">
        <v>35</v>
      </c>
      <c r="I6557" s="9" t="s">
        <v>14962</v>
      </c>
      <c r="J6557" s="10" t="str">
        <f>HYPERLINK("https://www.boe.es/gazeta/dias/1834/12/05/pdfs/GMD-C-1834-294.pdf#page=1","Abrir facsímil")</f>
        <v>Abrir facsímil</v>
      </c>
      <c r="K6557" s="10" t="s">
        <v>37</v>
      </c>
    </row>
    <row r="6558" spans="1:11" ht="54" customHeight="1">
      <c r="A6558" s="9" t="s">
        <v>14946</v>
      </c>
      <c r="B6558" s="9" t="s">
        <v>14947</v>
      </c>
      <c r="C6558" s="9" t="s">
        <v>17</v>
      </c>
      <c r="D6558" s="9" t="s">
        <v>18</v>
      </c>
      <c r="E6558" s="10" t="s">
        <v>364</v>
      </c>
      <c r="F6558" s="9" t="s">
        <v>365</v>
      </c>
      <c r="G6558" s="10" t="s">
        <v>560</v>
      </c>
      <c r="H6558" s="9" t="s">
        <v>35</v>
      </c>
      <c r="I6558" s="9" t="s">
        <v>14963</v>
      </c>
      <c r="J6558" s="10" t="str">
        <f>HYPERLINK("https://www.boe.es/gazeta/dias/1834/09/06/pdfs/GMD-C-1834-204.pdf#page=7","Abrir facsímil")</f>
        <v>Abrir facsímil</v>
      </c>
      <c r="K6558" s="10" t="s">
        <v>37</v>
      </c>
    </row>
    <row r="6559" spans="1:11" ht="54" customHeight="1">
      <c r="A6559" s="9" t="s">
        <v>14946</v>
      </c>
      <c r="B6559" s="9" t="s">
        <v>14947</v>
      </c>
      <c r="C6559" s="9" t="s">
        <v>90</v>
      </c>
      <c r="D6559" s="9" t="s">
        <v>18</v>
      </c>
      <c r="E6559" s="10" t="s">
        <v>1170</v>
      </c>
      <c r="F6559" s="9" t="s">
        <v>1171</v>
      </c>
      <c r="G6559" s="10" t="s">
        <v>34</v>
      </c>
      <c r="H6559" s="9" t="s">
        <v>35</v>
      </c>
      <c r="I6559" s="9" t="s">
        <v>14964</v>
      </c>
      <c r="J6559" s="10" t="str">
        <f>HYPERLINK("https://www.boe.es/gazeta/dias/1834/01/07/pdfs/GMD-1834-4.pdf#page=1","Abrir facsímil")</f>
        <v>Abrir facsímil</v>
      </c>
      <c r="K6559" s="10" t="s">
        <v>37</v>
      </c>
    </row>
    <row r="6560" spans="1:11" ht="54" customHeight="1">
      <c r="A6560" s="9" t="s">
        <v>14946</v>
      </c>
      <c r="B6560" s="9" t="s">
        <v>14947</v>
      </c>
      <c r="C6560" s="9" t="s">
        <v>46</v>
      </c>
      <c r="D6560" s="9" t="s">
        <v>18</v>
      </c>
      <c r="E6560" s="10" t="s">
        <v>433</v>
      </c>
      <c r="F6560" s="9" t="s">
        <v>2773</v>
      </c>
      <c r="G6560" s="10" t="s">
        <v>86</v>
      </c>
      <c r="H6560" s="9" t="s">
        <v>35</v>
      </c>
      <c r="I6560" s="9" t="s">
        <v>14965</v>
      </c>
      <c r="J6560" s="10" t="str">
        <f>HYPERLINK("https://www.boe.es/gazeta/dias/1834/10/07/pdfs/I00986-00987.pdf#page=2","Abrir facsímil")</f>
        <v>Abrir facsímil</v>
      </c>
      <c r="K6560" s="10" t="s">
        <v>37</v>
      </c>
    </row>
    <row r="6561" spans="1:11" ht="54" customHeight="1">
      <c r="A6561" s="9" t="s">
        <v>14946</v>
      </c>
      <c r="B6561" s="9" t="s">
        <v>14947</v>
      </c>
      <c r="C6561" s="9" t="s">
        <v>46</v>
      </c>
      <c r="D6561" s="9" t="s">
        <v>18</v>
      </c>
      <c r="E6561" s="10" t="s">
        <v>433</v>
      </c>
      <c r="F6561" s="9" t="s">
        <v>2773</v>
      </c>
      <c r="G6561" s="10" t="s">
        <v>21</v>
      </c>
      <c r="H6561" s="9" t="s">
        <v>35</v>
      </c>
      <c r="I6561" s="9" t="s">
        <v>14965</v>
      </c>
      <c r="J6561" s="10" t="str">
        <f>HYPERLINK("https://www.boe.es/gazeta/dias/1834/10/07/pdfs/GMD-1834-235.pdf#page=3","Abrir facsímil")</f>
        <v>Abrir facsímil</v>
      </c>
      <c r="K6561" s="10" t="s">
        <v>37</v>
      </c>
    </row>
    <row r="6562" spans="1:11" ht="54" customHeight="1">
      <c r="A6562" s="9" t="s">
        <v>14946</v>
      </c>
      <c r="B6562" s="9" t="s">
        <v>14947</v>
      </c>
      <c r="C6562" s="9" t="s">
        <v>17</v>
      </c>
      <c r="D6562" s="9" t="s">
        <v>18</v>
      </c>
      <c r="E6562" s="10" t="s">
        <v>433</v>
      </c>
      <c r="F6562" s="9" t="s">
        <v>434</v>
      </c>
      <c r="G6562" s="10" t="s">
        <v>34</v>
      </c>
      <c r="H6562" s="9" t="s">
        <v>35</v>
      </c>
      <c r="I6562" s="9" t="s">
        <v>14966</v>
      </c>
      <c r="J6562" s="10" t="str">
        <f>HYPERLINK("https://www.boe.es/gazeta/dias/1834/10/07/pdfs/GMD-C-1834-235.pdf#page=1","Abrir facsímil")</f>
        <v>Abrir facsímil</v>
      </c>
      <c r="K6562" s="10" t="s">
        <v>37</v>
      </c>
    </row>
    <row r="6563" spans="1:11" ht="54" customHeight="1">
      <c r="A6563" s="9" t="s">
        <v>14946</v>
      </c>
      <c r="B6563" s="9" t="s">
        <v>14947</v>
      </c>
      <c r="C6563" s="9" t="s">
        <v>17</v>
      </c>
      <c r="D6563" s="9" t="s">
        <v>18</v>
      </c>
      <c r="E6563" s="10" t="s">
        <v>762</v>
      </c>
      <c r="F6563" s="9" t="s">
        <v>2227</v>
      </c>
      <c r="G6563" s="10" t="s">
        <v>34</v>
      </c>
      <c r="H6563" s="9" t="s">
        <v>35</v>
      </c>
      <c r="I6563" s="9" t="s">
        <v>14967</v>
      </c>
      <c r="J6563" s="10" t="str">
        <f>HYPERLINK("https://www.boe.es/gazeta/dias/1834/11/07/pdfs/GMD-C-1834-266.pdf#page=1","Abrir facsímil")</f>
        <v>Abrir facsímil</v>
      </c>
      <c r="K6563" s="10" t="s">
        <v>37</v>
      </c>
    </row>
    <row r="6564" spans="1:11" ht="54" customHeight="1">
      <c r="A6564" s="9" t="s">
        <v>14946</v>
      </c>
      <c r="B6564" s="9" t="s">
        <v>14947</v>
      </c>
      <c r="C6564" s="9" t="s">
        <v>17</v>
      </c>
      <c r="D6564" s="9" t="s">
        <v>18</v>
      </c>
      <c r="E6564" s="10" t="s">
        <v>762</v>
      </c>
      <c r="F6564" s="9" t="s">
        <v>2227</v>
      </c>
      <c r="G6564" s="10" t="s">
        <v>75</v>
      </c>
      <c r="H6564" s="9" t="s">
        <v>35</v>
      </c>
      <c r="I6564" s="9" t="s">
        <v>14968</v>
      </c>
      <c r="J6564" s="10" t="str">
        <f>HYPERLINK("https://www.boe.es/gazeta/dias/1834/11/07/pdfs/GMD-C-1834-266.pdf#page=4","Abrir facsímil")</f>
        <v>Abrir facsímil</v>
      </c>
      <c r="K6564" s="10" t="s">
        <v>37</v>
      </c>
    </row>
    <row r="6565" spans="1:11" ht="54" customHeight="1">
      <c r="A6565" s="9" t="s">
        <v>14946</v>
      </c>
      <c r="B6565" s="9" t="s">
        <v>14947</v>
      </c>
      <c r="C6565" s="9" t="s">
        <v>46</v>
      </c>
      <c r="D6565" s="9" t="s">
        <v>101</v>
      </c>
      <c r="E6565" s="10" t="s">
        <v>762</v>
      </c>
      <c r="F6565" s="9" t="s">
        <v>2227</v>
      </c>
      <c r="G6565" s="10" t="s">
        <v>28</v>
      </c>
      <c r="H6565" s="9" t="s">
        <v>35</v>
      </c>
      <c r="I6565" s="9" t="s">
        <v>14969</v>
      </c>
      <c r="J6565" s="10" t="str">
        <f>HYPERLINK("https://www.boe.es/gazeta/dias/1834/11/07/pdfs/GMD-C-1834-266.pdf#page=5","Abrir facsímil")</f>
        <v>Abrir facsímil</v>
      </c>
      <c r="K6565" s="10" t="s">
        <v>37</v>
      </c>
    </row>
    <row r="6566" spans="1:11" ht="54" customHeight="1">
      <c r="A6566" s="9" t="s">
        <v>14946</v>
      </c>
      <c r="B6566" s="9" t="s">
        <v>14947</v>
      </c>
      <c r="C6566" s="9" t="s">
        <v>17</v>
      </c>
      <c r="D6566" s="9" t="s">
        <v>18</v>
      </c>
      <c r="E6566" s="10" t="s">
        <v>860</v>
      </c>
      <c r="F6566" s="9" t="s">
        <v>861</v>
      </c>
      <c r="G6566" s="10" t="s">
        <v>21</v>
      </c>
      <c r="H6566" s="9" t="s">
        <v>35</v>
      </c>
      <c r="I6566" s="9" t="s">
        <v>14970</v>
      </c>
      <c r="J6566" s="10" t="str">
        <f>HYPERLINK("https://www.boe.es/gazeta/dias/1834/02/08/pdfs/GMD-1834-18.pdf#page=3","Abrir facsímil")</f>
        <v>Abrir facsímil</v>
      </c>
      <c r="K6566" s="10" t="s">
        <v>37</v>
      </c>
    </row>
    <row r="6567" spans="1:11" ht="54" customHeight="1">
      <c r="A6567" s="9" t="s">
        <v>14946</v>
      </c>
      <c r="B6567" s="9" t="s">
        <v>14947</v>
      </c>
      <c r="C6567" s="9" t="s">
        <v>857</v>
      </c>
      <c r="D6567" s="9" t="s">
        <v>18</v>
      </c>
      <c r="E6567" s="10" t="s">
        <v>2748</v>
      </c>
      <c r="F6567" s="9" t="s">
        <v>2749</v>
      </c>
      <c r="G6567" s="10" t="s">
        <v>34</v>
      </c>
      <c r="H6567" s="9" t="s">
        <v>35</v>
      </c>
      <c r="I6567" s="9" t="s">
        <v>14971</v>
      </c>
      <c r="J6567" s="10" t="str">
        <f>HYPERLINK("https://www.boe.es/gazeta/dias/1834/01/09/pdfs/GMD-1834-5.pdf#page=1","Abrir facsímil")</f>
        <v>Abrir facsímil</v>
      </c>
      <c r="K6567" s="10" t="s">
        <v>37</v>
      </c>
    </row>
    <row r="6568" spans="1:11" ht="54" customHeight="1">
      <c r="A6568" s="9" t="s">
        <v>14946</v>
      </c>
      <c r="B6568" s="9" t="s">
        <v>14947</v>
      </c>
      <c r="C6568" s="9" t="s">
        <v>17</v>
      </c>
      <c r="D6568" s="9" t="s">
        <v>18</v>
      </c>
      <c r="E6568" s="10" t="s">
        <v>2748</v>
      </c>
      <c r="F6568" s="9" t="s">
        <v>2749</v>
      </c>
      <c r="G6568" s="10" t="s">
        <v>86</v>
      </c>
      <c r="H6568" s="9" t="s">
        <v>35</v>
      </c>
      <c r="I6568" s="9" t="s">
        <v>14972</v>
      </c>
      <c r="J6568" s="10" t="str">
        <f>HYPERLINK("https://www.boe.es/gazeta/dias/1834/01/09/pdfs/GMD-1834-5.pdf#page=2","Abrir facsímil")</f>
        <v>Abrir facsímil</v>
      </c>
      <c r="K6568" s="10" t="s">
        <v>37</v>
      </c>
    </row>
    <row r="6569" spans="1:11" ht="54" customHeight="1">
      <c r="A6569" s="9" t="s">
        <v>14946</v>
      </c>
      <c r="B6569" s="9" t="s">
        <v>14947</v>
      </c>
      <c r="C6569" s="9" t="s">
        <v>66</v>
      </c>
      <c r="D6569" s="9" t="s">
        <v>67</v>
      </c>
      <c r="E6569" s="10" t="s">
        <v>2748</v>
      </c>
      <c r="F6569" s="9" t="s">
        <v>2749</v>
      </c>
      <c r="G6569" s="10" t="s">
        <v>21</v>
      </c>
      <c r="H6569" s="9" t="s">
        <v>35</v>
      </c>
      <c r="I6569" s="9" t="s">
        <v>14973</v>
      </c>
      <c r="J6569" s="10" t="str">
        <f>HYPERLINK("https://www.boe.es/gazeta/dias/1834/01/09/pdfs/GMD-1834-5.pdf#page=3","Abrir facsímil")</f>
        <v>Abrir facsímil</v>
      </c>
      <c r="K6569" s="10" t="s">
        <v>37</v>
      </c>
    </row>
    <row r="6570" spans="1:11" ht="54" customHeight="1">
      <c r="A6570" s="9" t="s">
        <v>14946</v>
      </c>
      <c r="B6570" s="9" t="s">
        <v>14947</v>
      </c>
      <c r="C6570" s="9" t="s">
        <v>17</v>
      </c>
      <c r="D6570" s="9" t="s">
        <v>40</v>
      </c>
      <c r="E6570" s="10" t="s">
        <v>2748</v>
      </c>
      <c r="F6570" s="9" t="s">
        <v>2749</v>
      </c>
      <c r="G6570" s="10" t="s">
        <v>75</v>
      </c>
      <c r="H6570" s="9" t="s">
        <v>35</v>
      </c>
      <c r="I6570" s="9" t="s">
        <v>14974</v>
      </c>
      <c r="J6570" s="10" t="str">
        <f>HYPERLINK("https://www.boe.es/gazeta/dias/1834/01/09/pdfs/GMD-1834-5.pdf#page=4","Abrir facsímil")</f>
        <v>Abrir facsímil</v>
      </c>
      <c r="K6570" s="10" t="s">
        <v>37</v>
      </c>
    </row>
    <row r="6571" spans="1:11" ht="54" customHeight="1">
      <c r="A6571" s="9" t="s">
        <v>14946</v>
      </c>
      <c r="B6571" s="9" t="s">
        <v>14947</v>
      </c>
      <c r="C6571" s="9" t="s">
        <v>122</v>
      </c>
      <c r="D6571" s="9" t="s">
        <v>101</v>
      </c>
      <c r="E6571" s="10" t="s">
        <v>2004</v>
      </c>
      <c r="F6571" s="9" t="s">
        <v>2005</v>
      </c>
      <c r="G6571" s="10" t="s">
        <v>34</v>
      </c>
      <c r="H6571" s="9" t="s">
        <v>35</v>
      </c>
      <c r="I6571" s="9" t="s">
        <v>14975</v>
      </c>
      <c r="J6571" s="10" t="str">
        <f>HYPERLINK("https://www.boe.es/gazeta/dias/1834/05/09/pdfs/GMD-1834-78.pdf#page=1","Abrir facsímil")</f>
        <v>Abrir facsímil</v>
      </c>
      <c r="K6571" s="10" t="s">
        <v>37</v>
      </c>
    </row>
    <row r="6572" spans="1:11" ht="54" customHeight="1">
      <c r="A6572" s="9" t="s">
        <v>14946</v>
      </c>
      <c r="B6572" s="9" t="s">
        <v>14947</v>
      </c>
      <c r="C6572" s="9" t="s">
        <v>90</v>
      </c>
      <c r="D6572" s="9" t="s">
        <v>55</v>
      </c>
      <c r="E6572" s="10" t="s">
        <v>438</v>
      </c>
      <c r="F6572" s="9" t="s">
        <v>528</v>
      </c>
      <c r="G6572" s="10" t="s">
        <v>21</v>
      </c>
      <c r="H6572" s="9" t="s">
        <v>35</v>
      </c>
      <c r="I6572" s="9" t="s">
        <v>14976</v>
      </c>
      <c r="J6572" s="10" t="str">
        <f>HYPERLINK("https://www.boe.es/gazeta/dias/1834/11/09/pdfs/GMD-C-1834-268.pdf#page=3","Abrir facsímil")</f>
        <v>Abrir facsímil</v>
      </c>
      <c r="K6572" s="10" t="s">
        <v>37</v>
      </c>
    </row>
    <row r="6573" spans="1:11" ht="54" customHeight="1">
      <c r="A6573" s="9" t="s">
        <v>14946</v>
      </c>
      <c r="B6573" s="9" t="s">
        <v>14947</v>
      </c>
      <c r="C6573" s="9" t="s">
        <v>17</v>
      </c>
      <c r="D6573" s="9" t="s">
        <v>101</v>
      </c>
      <c r="E6573" s="10" t="s">
        <v>1178</v>
      </c>
      <c r="F6573" s="9" t="s">
        <v>14853</v>
      </c>
      <c r="G6573" s="10" t="s">
        <v>34</v>
      </c>
      <c r="H6573" s="9" t="s">
        <v>35</v>
      </c>
      <c r="I6573" s="9" t="s">
        <v>14977</v>
      </c>
      <c r="J6573" s="10" t="str">
        <f>HYPERLINK("https://www.boe.es/gazeta/dias/1834/04/10/pdfs/GMD-1834-49.pdf#page=1","Abrir facsímil")</f>
        <v>Abrir facsímil</v>
      </c>
      <c r="K6573" s="10" t="s">
        <v>37</v>
      </c>
    </row>
    <row r="6574" spans="1:11" ht="54" customHeight="1">
      <c r="A6574" s="9" t="s">
        <v>14946</v>
      </c>
      <c r="B6574" s="9" t="s">
        <v>14947</v>
      </c>
      <c r="C6574" s="9" t="s">
        <v>46</v>
      </c>
      <c r="D6574" s="9" t="s">
        <v>101</v>
      </c>
      <c r="E6574" s="10" t="s">
        <v>956</v>
      </c>
      <c r="F6574" s="9" t="s">
        <v>957</v>
      </c>
      <c r="G6574" s="10" t="s">
        <v>86</v>
      </c>
      <c r="H6574" s="9" t="s">
        <v>35</v>
      </c>
      <c r="I6574" s="9" t="s">
        <v>14978</v>
      </c>
      <c r="J6574" s="10" t="str">
        <f>HYPERLINK("https://www.boe.es/gazeta/dias/1834/08/10/pdfs/GMD-C-1834-175.pdf#page=2","Abrir facsímil")</f>
        <v>Abrir facsímil</v>
      </c>
      <c r="K6574" s="10" t="s">
        <v>37</v>
      </c>
    </row>
    <row r="6575" spans="1:11" ht="54" customHeight="1">
      <c r="A6575" s="9" t="s">
        <v>14946</v>
      </c>
      <c r="B6575" s="9" t="s">
        <v>14947</v>
      </c>
      <c r="C6575" s="9" t="s">
        <v>122</v>
      </c>
      <c r="D6575" s="9" t="s">
        <v>18</v>
      </c>
      <c r="E6575" s="10" t="s">
        <v>2203</v>
      </c>
      <c r="F6575" s="9" t="s">
        <v>3917</v>
      </c>
      <c r="G6575" s="10" t="s">
        <v>34</v>
      </c>
      <c r="H6575" s="9" t="s">
        <v>35</v>
      </c>
      <c r="I6575" s="9" t="s">
        <v>14979</v>
      </c>
      <c r="J6575" s="10" t="str">
        <f>HYPERLINK("https://www.boe.es/gazeta/dias/1834/09/10/pdfs/GMD-1834-208.pdf#page=1","Abrir facsímil")</f>
        <v>Abrir facsímil</v>
      </c>
      <c r="K6575" s="10" t="s">
        <v>37</v>
      </c>
    </row>
    <row r="6576" spans="1:11" ht="54" customHeight="1">
      <c r="A6576" s="9" t="s">
        <v>14946</v>
      </c>
      <c r="B6576" s="9" t="s">
        <v>14947</v>
      </c>
      <c r="C6576" s="9" t="s">
        <v>17</v>
      </c>
      <c r="D6576" s="9" t="s">
        <v>18</v>
      </c>
      <c r="E6576" s="10" t="s">
        <v>1103</v>
      </c>
      <c r="F6576" s="9" t="s">
        <v>1104</v>
      </c>
      <c r="G6576" s="10" t="s">
        <v>34</v>
      </c>
      <c r="H6576" s="9" t="s">
        <v>35</v>
      </c>
      <c r="I6576" s="9" t="s">
        <v>14980</v>
      </c>
      <c r="J6576" s="10" t="str">
        <f>HYPERLINK("https://www.boe.es/gazeta/dias/1834/10/10/pdfs/GMD-C-1834-238.pdf#page=1","Abrir facsímil")</f>
        <v>Abrir facsímil</v>
      </c>
      <c r="K6576" s="10" t="s">
        <v>37</v>
      </c>
    </row>
    <row r="6577" spans="1:11" ht="54" customHeight="1">
      <c r="A6577" s="9" t="s">
        <v>14946</v>
      </c>
      <c r="B6577" s="9" t="s">
        <v>14947</v>
      </c>
      <c r="C6577" s="9" t="s">
        <v>17</v>
      </c>
      <c r="D6577" s="9" t="s">
        <v>18</v>
      </c>
      <c r="E6577" s="10" t="s">
        <v>41</v>
      </c>
      <c r="F6577" s="9" t="s">
        <v>42</v>
      </c>
      <c r="G6577" s="10" t="s">
        <v>75</v>
      </c>
      <c r="H6577" s="9" t="s">
        <v>35</v>
      </c>
      <c r="I6577" s="9" t="s">
        <v>14981</v>
      </c>
      <c r="J6577" s="10" t="str">
        <f>HYPERLINK("https://www.boe.es/gazeta/dias/1834/06/11/pdfs/GMD-1834-114.pdf#page=4","Abrir facsímil")</f>
        <v>Abrir facsímil</v>
      </c>
      <c r="K6577" s="10" t="s">
        <v>37</v>
      </c>
    </row>
    <row r="6578" spans="1:11" ht="54" customHeight="1">
      <c r="A6578" s="9" t="s">
        <v>14946</v>
      </c>
      <c r="B6578" s="9" t="s">
        <v>14947</v>
      </c>
      <c r="C6578" s="9" t="s">
        <v>66</v>
      </c>
      <c r="D6578" s="9" t="s">
        <v>67</v>
      </c>
      <c r="E6578" s="10" t="s">
        <v>2098</v>
      </c>
      <c r="F6578" s="9" t="s">
        <v>5817</v>
      </c>
      <c r="G6578" s="10" t="s">
        <v>86</v>
      </c>
      <c r="H6578" s="9" t="s">
        <v>35</v>
      </c>
      <c r="I6578" s="9" t="s">
        <v>14982</v>
      </c>
      <c r="J6578" s="10" t="str">
        <f>HYPERLINK("https://www.boe.es/gazeta/dias/1834/08/11/pdfs/GMD-C-1834-176.pdf#page=2","Abrir facsímil")</f>
        <v>Abrir facsímil</v>
      </c>
      <c r="K6578" s="10" t="s">
        <v>37</v>
      </c>
    </row>
    <row r="6579" spans="1:11" ht="54" customHeight="1">
      <c r="A6579" s="9" t="s">
        <v>14946</v>
      </c>
      <c r="B6579" s="9" t="s">
        <v>14947</v>
      </c>
      <c r="C6579" s="9" t="s">
        <v>46</v>
      </c>
      <c r="D6579" s="9" t="s">
        <v>55</v>
      </c>
      <c r="E6579" s="10" t="s">
        <v>2098</v>
      </c>
      <c r="F6579" s="9" t="s">
        <v>5817</v>
      </c>
      <c r="G6579" s="10" t="s">
        <v>21</v>
      </c>
      <c r="H6579" s="9" t="s">
        <v>35</v>
      </c>
      <c r="I6579" s="9" t="s">
        <v>14983</v>
      </c>
      <c r="J6579" s="10" t="str">
        <f>HYPERLINK("https://www.boe.es/gazeta/dias/1834/08/11/pdfs/GMD-C-1834-176.pdf#page=3","Abrir facsímil")</f>
        <v>Abrir facsímil</v>
      </c>
      <c r="K6579" s="10" t="s">
        <v>37</v>
      </c>
    </row>
    <row r="6580" spans="1:11" ht="54" customHeight="1">
      <c r="A6580" s="9" t="s">
        <v>14946</v>
      </c>
      <c r="B6580" s="9" t="s">
        <v>14947</v>
      </c>
      <c r="C6580" s="9" t="s">
        <v>90</v>
      </c>
      <c r="D6580" s="9" t="s">
        <v>101</v>
      </c>
      <c r="E6580" s="10" t="s">
        <v>808</v>
      </c>
      <c r="F6580" s="9" t="s">
        <v>809</v>
      </c>
      <c r="G6580" s="10" t="s">
        <v>34</v>
      </c>
      <c r="H6580" s="9" t="s">
        <v>35</v>
      </c>
      <c r="I6580" s="9" t="s">
        <v>14984</v>
      </c>
      <c r="J6580" s="10" t="str">
        <f>HYPERLINK("https://www.boe.es/gazeta/dias/1834/10/11/pdfs/GMD-1834-239.pdf#page=1","Abrir facsímil")</f>
        <v>Abrir facsímil</v>
      </c>
      <c r="K6580" s="10" t="s">
        <v>37</v>
      </c>
    </row>
    <row r="6581" spans="1:11" ht="54" customHeight="1">
      <c r="A6581" s="9" t="s">
        <v>14946</v>
      </c>
      <c r="B6581" s="9" t="s">
        <v>14947</v>
      </c>
      <c r="C6581" s="9" t="s">
        <v>17</v>
      </c>
      <c r="D6581" s="9" t="s">
        <v>18</v>
      </c>
      <c r="E6581" s="10" t="s">
        <v>299</v>
      </c>
      <c r="F6581" s="9" t="s">
        <v>2255</v>
      </c>
      <c r="G6581" s="10" t="s">
        <v>28</v>
      </c>
      <c r="H6581" s="9" t="s">
        <v>35</v>
      </c>
      <c r="I6581" s="9" t="s">
        <v>14985</v>
      </c>
      <c r="J6581" s="10" t="str">
        <f>HYPERLINK("https://www.boe.es/gazeta/dias/1834/12/12/pdfs/GMD-C-1834-301.pdf#page=5","Abrir facsímil")</f>
        <v>Abrir facsímil</v>
      </c>
      <c r="K6581" s="10" t="s">
        <v>37</v>
      </c>
    </row>
    <row r="6582" spans="1:11" ht="54" customHeight="1">
      <c r="A6582" s="9" t="s">
        <v>14946</v>
      </c>
      <c r="B6582" s="9" t="s">
        <v>14947</v>
      </c>
      <c r="C6582" s="9" t="s">
        <v>17</v>
      </c>
      <c r="D6582" s="9" t="s">
        <v>18</v>
      </c>
      <c r="E6582" s="10" t="s">
        <v>844</v>
      </c>
      <c r="F6582" s="9" t="s">
        <v>845</v>
      </c>
      <c r="G6582" s="10" t="s">
        <v>34</v>
      </c>
      <c r="H6582" s="9" t="s">
        <v>35</v>
      </c>
      <c r="I6582" s="9" t="s">
        <v>14986</v>
      </c>
      <c r="J6582" s="10" t="str">
        <f>HYPERLINK("https://www.boe.es/gazeta/dias/1834/03/13/pdfs/GMD-1834-32.pdf#page=1","Abrir facsímil")</f>
        <v>Abrir facsímil</v>
      </c>
      <c r="K6582" s="10" t="s">
        <v>37</v>
      </c>
    </row>
    <row r="6583" spans="1:11" ht="54" customHeight="1">
      <c r="A6583" s="9" t="s">
        <v>14946</v>
      </c>
      <c r="B6583" s="9" t="s">
        <v>14947</v>
      </c>
      <c r="C6583" s="9" t="s">
        <v>90</v>
      </c>
      <c r="D6583" s="9" t="s">
        <v>18</v>
      </c>
      <c r="E6583" s="10" t="s">
        <v>1438</v>
      </c>
      <c r="F6583" s="9" t="s">
        <v>1439</v>
      </c>
      <c r="G6583" s="10" t="s">
        <v>75</v>
      </c>
      <c r="H6583" s="9" t="s">
        <v>35</v>
      </c>
      <c r="I6583" s="9" t="s">
        <v>14870</v>
      </c>
      <c r="J6583" s="10" t="str">
        <f>HYPERLINK("https://www.boe.es/gazeta/dias/1834/05/13/pdfs/GMD-1834-82.pdf#page=4","Abrir facsímil")</f>
        <v>Abrir facsímil</v>
      </c>
      <c r="K6583" s="10" t="s">
        <v>37</v>
      </c>
    </row>
    <row r="6584" spans="1:11" ht="54" customHeight="1">
      <c r="A6584" s="9" t="s">
        <v>14946</v>
      </c>
      <c r="B6584" s="9" t="s">
        <v>14947</v>
      </c>
      <c r="C6584" s="9" t="s">
        <v>17</v>
      </c>
      <c r="D6584" s="9" t="s">
        <v>18</v>
      </c>
      <c r="E6584" s="10" t="s">
        <v>2260</v>
      </c>
      <c r="F6584" s="9" t="s">
        <v>2263</v>
      </c>
      <c r="G6584" s="10" t="s">
        <v>176</v>
      </c>
      <c r="H6584" s="9" t="s">
        <v>35</v>
      </c>
      <c r="I6584" s="9" t="s">
        <v>14987</v>
      </c>
      <c r="J6584" s="10" t="str">
        <f>HYPERLINK("https://www.boe.es/gazeta/dias/1834/11/13/pdfs/GMD-C-1834-272.pdf#page=6","Abrir facsímil")</f>
        <v>Abrir facsímil</v>
      </c>
      <c r="K6584" s="10" t="s">
        <v>37</v>
      </c>
    </row>
    <row r="6585" spans="1:11" ht="54" customHeight="1">
      <c r="A6585" s="9" t="s">
        <v>14946</v>
      </c>
      <c r="B6585" s="9" t="s">
        <v>14947</v>
      </c>
      <c r="C6585" s="9" t="s">
        <v>17</v>
      </c>
      <c r="D6585" s="9" t="s">
        <v>18</v>
      </c>
      <c r="E6585" s="10" t="s">
        <v>343</v>
      </c>
      <c r="F6585" s="9" t="s">
        <v>344</v>
      </c>
      <c r="G6585" s="10" t="s">
        <v>21</v>
      </c>
      <c r="H6585" s="9" t="s">
        <v>35</v>
      </c>
      <c r="I6585" s="9" t="s">
        <v>14988</v>
      </c>
      <c r="J6585" s="10" t="str">
        <f>HYPERLINK("https://www.boe.es/gazeta/dias/1834/01/14/pdfs/GMD-1834-7.pdf#page=3","Abrir facsímil")</f>
        <v>Abrir facsímil</v>
      </c>
      <c r="K6585" s="10" t="s">
        <v>37</v>
      </c>
    </row>
    <row r="6586" spans="1:11" ht="54" customHeight="1">
      <c r="A6586" s="9" t="s">
        <v>14946</v>
      </c>
      <c r="B6586" s="9" t="s">
        <v>14947</v>
      </c>
      <c r="C6586" s="9" t="s">
        <v>122</v>
      </c>
      <c r="D6586" s="9" t="s">
        <v>18</v>
      </c>
      <c r="E6586" s="10" t="s">
        <v>2087</v>
      </c>
      <c r="F6586" s="9" t="s">
        <v>2267</v>
      </c>
      <c r="G6586" s="10" t="s">
        <v>28</v>
      </c>
      <c r="H6586" s="9" t="s">
        <v>35</v>
      </c>
      <c r="I6586" s="9" t="s">
        <v>14989</v>
      </c>
      <c r="J6586" s="10" t="str">
        <f>HYPERLINK("https://www.boe.es/gazeta/dias/1834/12/14/pdfs/GMD-C-1834-303.pdf#page=5","Abrir facsímil")</f>
        <v>Abrir facsímil</v>
      </c>
      <c r="K6586" s="10" t="s">
        <v>37</v>
      </c>
    </row>
    <row r="6587" spans="1:11" ht="54" customHeight="1">
      <c r="A6587" s="9" t="s">
        <v>14946</v>
      </c>
      <c r="B6587" s="9" t="s">
        <v>14947</v>
      </c>
      <c r="C6587" s="9" t="s">
        <v>17</v>
      </c>
      <c r="D6587" s="9" t="s">
        <v>18</v>
      </c>
      <c r="E6587" s="10" t="s">
        <v>2087</v>
      </c>
      <c r="F6587" s="9" t="s">
        <v>2267</v>
      </c>
      <c r="G6587" s="10" t="s">
        <v>1343</v>
      </c>
      <c r="H6587" s="9" t="s">
        <v>35</v>
      </c>
      <c r="I6587" s="9" t="s">
        <v>14990</v>
      </c>
      <c r="J6587" s="10" t="str">
        <f>HYPERLINK("https://www.boe.es/gazeta/dias/1834/12/14/pdfs/GMD-C-1834-303.pdf#page=9","Abrir facsímil")</f>
        <v>Abrir facsímil</v>
      </c>
      <c r="K6587" s="10" t="s">
        <v>37</v>
      </c>
    </row>
    <row r="6588" spans="1:11" ht="54" customHeight="1">
      <c r="A6588" s="9" t="s">
        <v>14946</v>
      </c>
      <c r="B6588" s="9" t="s">
        <v>14947</v>
      </c>
      <c r="C6588" s="9" t="s">
        <v>17</v>
      </c>
      <c r="D6588" s="9" t="s">
        <v>18</v>
      </c>
      <c r="E6588" s="10" t="s">
        <v>912</v>
      </c>
      <c r="F6588" s="9" t="s">
        <v>913</v>
      </c>
      <c r="G6588" s="10" t="s">
        <v>28</v>
      </c>
      <c r="H6588" s="9" t="s">
        <v>35</v>
      </c>
      <c r="I6588" s="9" t="s">
        <v>14991</v>
      </c>
      <c r="J6588" s="10" t="str">
        <f>HYPERLINK("https://www.boe.es/gazeta/dias/1834/02/15/pdfs/GMD-1834-21.pdf#page=5","Abrir facsímil")</f>
        <v>Abrir facsímil</v>
      </c>
      <c r="K6588" s="10" t="s">
        <v>37</v>
      </c>
    </row>
    <row r="6589" spans="1:11" ht="54" customHeight="1">
      <c r="A6589" s="9" t="s">
        <v>14946</v>
      </c>
      <c r="B6589" s="9" t="s">
        <v>14947</v>
      </c>
      <c r="C6589" s="9" t="s">
        <v>17</v>
      </c>
      <c r="D6589" s="9" t="s">
        <v>18</v>
      </c>
      <c r="E6589" s="10" t="s">
        <v>863</v>
      </c>
      <c r="F6589" s="9" t="s">
        <v>864</v>
      </c>
      <c r="G6589" s="10" t="s">
        <v>75</v>
      </c>
      <c r="H6589" s="9" t="s">
        <v>35</v>
      </c>
      <c r="I6589" s="9" t="s">
        <v>14992</v>
      </c>
      <c r="J6589" s="10" t="str">
        <f>HYPERLINK("https://www.boe.es/gazeta/dias/1834/09/15/pdfs/GMD-1834-213.pdf#page=4","Abrir facsímil")</f>
        <v>Abrir facsímil</v>
      </c>
      <c r="K6589" s="10" t="s">
        <v>37</v>
      </c>
    </row>
    <row r="6590" spans="1:11" ht="54" customHeight="1">
      <c r="A6590" s="9" t="s">
        <v>14946</v>
      </c>
      <c r="B6590" s="9" t="s">
        <v>14947</v>
      </c>
      <c r="C6590" s="9" t="s">
        <v>90</v>
      </c>
      <c r="D6590" s="9" t="s">
        <v>18</v>
      </c>
      <c r="E6590" s="10" t="s">
        <v>454</v>
      </c>
      <c r="F6590" s="9" t="s">
        <v>455</v>
      </c>
      <c r="G6590" s="10" t="s">
        <v>21</v>
      </c>
      <c r="H6590" s="9" t="s">
        <v>35</v>
      </c>
      <c r="I6590" s="9" t="s">
        <v>14993</v>
      </c>
      <c r="J6590" s="10" t="str">
        <f>HYPERLINK("https://www.boe.es/gazeta/dias/1834/10/16/pdfs/GMD-C-1834-244.pdf#page=3","Abrir facsímil")</f>
        <v>Abrir facsímil</v>
      </c>
      <c r="K6590" s="10" t="s">
        <v>37</v>
      </c>
    </row>
    <row r="6591" spans="1:11" ht="54" customHeight="1">
      <c r="A6591" s="9" t="s">
        <v>14946</v>
      </c>
      <c r="B6591" s="9" t="s">
        <v>14947</v>
      </c>
      <c r="C6591" s="9" t="s">
        <v>17</v>
      </c>
      <c r="D6591" s="9" t="s">
        <v>18</v>
      </c>
      <c r="E6591" s="10" t="s">
        <v>233</v>
      </c>
      <c r="F6591" s="9" t="s">
        <v>1810</v>
      </c>
      <c r="G6591" s="10" t="s">
        <v>28</v>
      </c>
      <c r="H6591" s="9" t="s">
        <v>35</v>
      </c>
      <c r="I6591" s="9" t="s">
        <v>14994</v>
      </c>
      <c r="J6591" s="10" t="str">
        <f>HYPERLINK("https://www.boe.es/gazeta/dias/1834/12/16/pdfs/GMD-C-1834-305.pdf#page=5","Abrir facsímil")</f>
        <v>Abrir facsímil</v>
      </c>
      <c r="K6591" s="10" t="s">
        <v>37</v>
      </c>
    </row>
    <row r="6592" spans="1:11" ht="54" customHeight="1">
      <c r="A6592" s="9" t="s">
        <v>14946</v>
      </c>
      <c r="B6592" s="9" t="s">
        <v>14947</v>
      </c>
      <c r="C6592" s="9" t="s">
        <v>17</v>
      </c>
      <c r="D6592" s="9" t="s">
        <v>55</v>
      </c>
      <c r="E6592" s="10" t="s">
        <v>1125</v>
      </c>
      <c r="F6592" s="9" t="s">
        <v>2490</v>
      </c>
      <c r="G6592" s="10" t="s">
        <v>86</v>
      </c>
      <c r="H6592" s="9" t="s">
        <v>35</v>
      </c>
      <c r="I6592" s="9" t="s">
        <v>14995</v>
      </c>
      <c r="J6592" s="10" t="str">
        <f>HYPERLINK("https://www.boe.es/gazeta/dias/1834/04/17/pdfs/GMD-1834-56.pdf#page=2","Abrir facsímil")</f>
        <v>Abrir facsímil</v>
      </c>
      <c r="K6592" s="10" t="s">
        <v>37</v>
      </c>
    </row>
    <row r="6593" spans="1:11" ht="54" customHeight="1">
      <c r="A6593" s="9" t="s">
        <v>14946</v>
      </c>
      <c r="B6593" s="9" t="s">
        <v>14947</v>
      </c>
      <c r="C6593" s="9" t="s">
        <v>17</v>
      </c>
      <c r="D6593" s="9" t="s">
        <v>18</v>
      </c>
      <c r="E6593" s="10" t="s">
        <v>715</v>
      </c>
      <c r="F6593" s="9" t="s">
        <v>716</v>
      </c>
      <c r="G6593" s="10" t="s">
        <v>28</v>
      </c>
      <c r="H6593" s="9" t="s">
        <v>35</v>
      </c>
      <c r="I6593" s="9" t="s">
        <v>14996</v>
      </c>
      <c r="J6593" s="10" t="str">
        <f>HYPERLINK("https://www.boe.es/gazeta/dias/1834/09/17/pdfs/GMD-C-1834-215.pdf#page=5","Abrir facsímil")</f>
        <v>Abrir facsímil</v>
      </c>
      <c r="K6593" s="10" t="s">
        <v>37</v>
      </c>
    </row>
    <row r="6594" spans="1:11" ht="54" customHeight="1">
      <c r="A6594" s="9" t="s">
        <v>14946</v>
      </c>
      <c r="B6594" s="9" t="s">
        <v>14947</v>
      </c>
      <c r="C6594" s="9" t="s">
        <v>17</v>
      </c>
      <c r="D6594" s="9" t="s">
        <v>18</v>
      </c>
      <c r="E6594" s="10" t="s">
        <v>1195</v>
      </c>
      <c r="F6594" s="9" t="s">
        <v>1196</v>
      </c>
      <c r="G6594" s="10" t="s">
        <v>21</v>
      </c>
      <c r="H6594" s="9" t="s">
        <v>35</v>
      </c>
      <c r="I6594" s="9" t="s">
        <v>14997</v>
      </c>
      <c r="J6594" s="10" t="str">
        <f>HYPERLINK("https://www.boe.es/gazeta/dias/1834/10/17/pdfs/GMD-C-1834-245.pdf#page=3","Abrir facsímil")</f>
        <v>Abrir facsímil</v>
      </c>
      <c r="K6594" s="10" t="s">
        <v>37</v>
      </c>
    </row>
    <row r="6595" spans="1:11" ht="54" customHeight="1">
      <c r="A6595" s="9" t="s">
        <v>14946</v>
      </c>
      <c r="B6595" s="9" t="s">
        <v>14947</v>
      </c>
      <c r="C6595" s="9" t="s">
        <v>17</v>
      </c>
      <c r="D6595" s="9" t="s">
        <v>18</v>
      </c>
      <c r="E6595" s="10" t="s">
        <v>541</v>
      </c>
      <c r="F6595" s="9" t="s">
        <v>542</v>
      </c>
      <c r="G6595" s="10" t="s">
        <v>75</v>
      </c>
      <c r="H6595" s="9" t="s">
        <v>35</v>
      </c>
      <c r="I6595" s="9" t="s">
        <v>14998</v>
      </c>
      <c r="J6595" s="10" t="str">
        <f>HYPERLINK("https://www.boe.es/gazeta/dias/1834/04/18/pdfs/GMD-1834-57.pdf#page=4","Abrir facsímil")</f>
        <v>Abrir facsímil</v>
      </c>
      <c r="K6595" s="10" t="s">
        <v>37</v>
      </c>
    </row>
    <row r="6596" spans="1:11" ht="54" customHeight="1">
      <c r="A6596" s="9" t="s">
        <v>14946</v>
      </c>
      <c r="B6596" s="9" t="s">
        <v>14947</v>
      </c>
      <c r="C6596" s="9" t="s">
        <v>17</v>
      </c>
      <c r="D6596" s="9" t="s">
        <v>18</v>
      </c>
      <c r="E6596" s="10" t="s">
        <v>772</v>
      </c>
      <c r="F6596" s="9" t="s">
        <v>2284</v>
      </c>
      <c r="G6596" s="10" t="s">
        <v>28</v>
      </c>
      <c r="H6596" s="9" t="s">
        <v>35</v>
      </c>
      <c r="I6596" s="9" t="s">
        <v>14999</v>
      </c>
      <c r="J6596" s="10" t="str">
        <f>HYPERLINK("https://www.boe.es/gazeta/dias/1834/09/18/pdfs/GMD-C-1834-216.pdf#page=5","Abrir facsímil")</f>
        <v>Abrir facsímil</v>
      </c>
      <c r="K6596" s="10" t="s">
        <v>37</v>
      </c>
    </row>
    <row r="6597" spans="1:11" ht="54" customHeight="1">
      <c r="A6597" s="9" t="s">
        <v>14946</v>
      </c>
      <c r="B6597" s="9" t="s">
        <v>14947</v>
      </c>
      <c r="C6597" s="9" t="s">
        <v>17</v>
      </c>
      <c r="D6597" s="9" t="s">
        <v>18</v>
      </c>
      <c r="E6597" s="10" t="s">
        <v>772</v>
      </c>
      <c r="F6597" s="9" t="s">
        <v>2284</v>
      </c>
      <c r="G6597" s="10" t="s">
        <v>470</v>
      </c>
      <c r="H6597" s="9" t="s">
        <v>35</v>
      </c>
      <c r="I6597" s="9" t="s">
        <v>15000</v>
      </c>
      <c r="J6597" s="10" t="str">
        <f>HYPERLINK("https://www.boe.es/gazeta/dias/1834/09/18/pdfs/GMD-C-1834-216.pdf#page=8","Abrir facsímil")</f>
        <v>Abrir facsímil</v>
      </c>
      <c r="K6597" s="10" t="s">
        <v>37</v>
      </c>
    </row>
    <row r="6598" spans="1:11" ht="54" customHeight="1">
      <c r="A6598" s="9" t="s">
        <v>14946</v>
      </c>
      <c r="B6598" s="9" t="s">
        <v>14947</v>
      </c>
      <c r="C6598" s="9" t="s">
        <v>17</v>
      </c>
      <c r="D6598" s="9" t="s">
        <v>18</v>
      </c>
      <c r="E6598" s="10" t="s">
        <v>615</v>
      </c>
      <c r="F6598" s="9" t="s">
        <v>1205</v>
      </c>
      <c r="G6598" s="10" t="s">
        <v>34</v>
      </c>
      <c r="H6598" s="9" t="s">
        <v>35</v>
      </c>
      <c r="I6598" s="9" t="s">
        <v>15001</v>
      </c>
      <c r="J6598" s="10" t="str">
        <f>HYPERLINK("https://www.boe.es/gazeta/dias/1834/08/19/pdfs/GMD-C-1834-185.pdf#page=1","Abrir facsímil")</f>
        <v>Abrir facsímil</v>
      </c>
      <c r="K6598" s="10" t="s">
        <v>37</v>
      </c>
    </row>
    <row r="6599" spans="1:11" ht="54" customHeight="1">
      <c r="A6599" s="9" t="s">
        <v>14946</v>
      </c>
      <c r="B6599" s="9" t="s">
        <v>14947</v>
      </c>
      <c r="C6599" s="9" t="s">
        <v>46</v>
      </c>
      <c r="D6599" s="9" t="s">
        <v>101</v>
      </c>
      <c r="E6599" s="10" t="s">
        <v>615</v>
      </c>
      <c r="F6599" s="9" t="s">
        <v>1205</v>
      </c>
      <c r="G6599" s="10" t="s">
        <v>86</v>
      </c>
      <c r="H6599" s="9" t="s">
        <v>35</v>
      </c>
      <c r="I6599" s="9" t="s">
        <v>15002</v>
      </c>
      <c r="J6599" s="10" t="str">
        <f>HYPERLINK("https://www.boe.es/gazeta/dias/1834/08/19/pdfs/GMD-C-1834-185.pdf#page=2","Abrir facsímil")</f>
        <v>Abrir facsímil</v>
      </c>
      <c r="K6599" s="10" t="s">
        <v>37</v>
      </c>
    </row>
    <row r="6600" spans="1:11" ht="54" customHeight="1">
      <c r="A6600" s="9" t="s">
        <v>14946</v>
      </c>
      <c r="B6600" s="9" t="s">
        <v>14947</v>
      </c>
      <c r="C6600" s="9" t="s">
        <v>17</v>
      </c>
      <c r="D6600" s="9" t="s">
        <v>18</v>
      </c>
      <c r="E6600" s="10" t="s">
        <v>268</v>
      </c>
      <c r="F6600" s="9" t="s">
        <v>269</v>
      </c>
      <c r="G6600" s="10" t="s">
        <v>34</v>
      </c>
      <c r="H6600" s="9" t="s">
        <v>35</v>
      </c>
      <c r="I6600" s="9" t="s">
        <v>15003</v>
      </c>
      <c r="J6600" s="10" t="str">
        <f>HYPERLINK("https://www.boe.es/gazeta/dias/1834/12/19/pdfs/GMD-C-1834-309.pdf#page=1","Abrir facsímil")</f>
        <v>Abrir facsímil</v>
      </c>
      <c r="K6600" s="10" t="s">
        <v>37</v>
      </c>
    </row>
    <row r="6601" spans="1:11" ht="54" customHeight="1">
      <c r="A6601" s="9" t="s">
        <v>14946</v>
      </c>
      <c r="B6601" s="9" t="s">
        <v>14947</v>
      </c>
      <c r="C6601" s="9" t="s">
        <v>17</v>
      </c>
      <c r="D6601" s="9" t="s">
        <v>18</v>
      </c>
      <c r="E6601" s="10" t="s">
        <v>268</v>
      </c>
      <c r="F6601" s="9" t="s">
        <v>269</v>
      </c>
      <c r="G6601" s="10" t="s">
        <v>86</v>
      </c>
      <c r="H6601" s="9" t="s">
        <v>35</v>
      </c>
      <c r="I6601" s="9" t="s">
        <v>15004</v>
      </c>
      <c r="J6601" s="10" t="str">
        <f>HYPERLINK("https://www.boe.es/gazeta/dias/1834/12/19/pdfs/GMD-C-1834-309.pdf#page=2","Abrir facsímil")</f>
        <v>Abrir facsímil</v>
      </c>
      <c r="K6601" s="10" t="s">
        <v>37</v>
      </c>
    </row>
    <row r="6602" spans="1:11" ht="54" customHeight="1">
      <c r="A6602" s="9" t="s">
        <v>14946</v>
      </c>
      <c r="B6602" s="9" t="s">
        <v>14947</v>
      </c>
      <c r="C6602" s="9" t="s">
        <v>17</v>
      </c>
      <c r="D6602" s="9" t="s">
        <v>18</v>
      </c>
      <c r="E6602" s="10" t="s">
        <v>268</v>
      </c>
      <c r="F6602" s="9" t="s">
        <v>269</v>
      </c>
      <c r="G6602" s="10" t="s">
        <v>21</v>
      </c>
      <c r="H6602" s="9" t="s">
        <v>35</v>
      </c>
      <c r="I6602" s="9" t="s">
        <v>15005</v>
      </c>
      <c r="J6602" s="10" t="str">
        <f>HYPERLINK("https://www.boe.es/gazeta/dias/1834/12/19/pdfs/GMD-C-1834-309.pdf#page=3","Abrir facsímil")</f>
        <v>Abrir facsímil</v>
      </c>
      <c r="K6602" s="10" t="s">
        <v>37</v>
      </c>
    </row>
    <row r="6603" spans="1:11" ht="54" customHeight="1">
      <c r="A6603" s="9" t="s">
        <v>14946</v>
      </c>
      <c r="B6603" s="9" t="s">
        <v>14947</v>
      </c>
      <c r="C6603" s="9" t="s">
        <v>46</v>
      </c>
      <c r="D6603" s="9" t="s">
        <v>18</v>
      </c>
      <c r="E6603" s="10" t="s">
        <v>1572</v>
      </c>
      <c r="F6603" s="9" t="s">
        <v>1573</v>
      </c>
      <c r="G6603" s="10" t="s">
        <v>21</v>
      </c>
      <c r="H6603" s="9" t="s">
        <v>35</v>
      </c>
      <c r="I6603" s="9" t="s">
        <v>15006</v>
      </c>
      <c r="J6603" s="10" t="str">
        <f>HYPERLINK("https://www.boe.es/gazeta/dias/1834/03/20/pdfs/GMD-1834-35.pdf#page=3","Abrir facsímil")</f>
        <v>Abrir facsímil</v>
      </c>
      <c r="K6603" s="10" t="s">
        <v>37</v>
      </c>
    </row>
    <row r="6604" spans="1:11" ht="54" customHeight="1">
      <c r="A6604" s="9" t="s">
        <v>14946</v>
      </c>
      <c r="B6604" s="9" t="s">
        <v>14947</v>
      </c>
      <c r="C6604" s="9" t="s">
        <v>46</v>
      </c>
      <c r="D6604" s="9" t="s">
        <v>101</v>
      </c>
      <c r="E6604" s="10" t="s">
        <v>3248</v>
      </c>
      <c r="F6604" s="9" t="s">
        <v>4798</v>
      </c>
      <c r="G6604" s="10" t="s">
        <v>28</v>
      </c>
      <c r="H6604" s="9" t="s">
        <v>35</v>
      </c>
      <c r="I6604" s="9" t="s">
        <v>15007</v>
      </c>
      <c r="J6604" s="10" t="str">
        <f>HYPERLINK("https://www.boe.es/gazeta/dias/1834/09/20/pdfs/GMD-C-1834-218.pdf#page=5","Abrir facsímil")</f>
        <v>Abrir facsímil</v>
      </c>
      <c r="K6604" s="10" t="s">
        <v>37</v>
      </c>
    </row>
    <row r="6605" spans="1:11" ht="54" customHeight="1">
      <c r="A6605" s="9" t="s">
        <v>14946</v>
      </c>
      <c r="B6605" s="9" t="s">
        <v>14947</v>
      </c>
      <c r="C6605" s="9" t="s">
        <v>17</v>
      </c>
      <c r="D6605" s="9" t="s">
        <v>18</v>
      </c>
      <c r="E6605" s="10" t="s">
        <v>3248</v>
      </c>
      <c r="F6605" s="9" t="s">
        <v>4798</v>
      </c>
      <c r="G6605" s="10" t="s">
        <v>176</v>
      </c>
      <c r="H6605" s="9" t="s">
        <v>35</v>
      </c>
      <c r="I6605" s="9" t="s">
        <v>15008</v>
      </c>
      <c r="J6605" s="10" t="str">
        <f>HYPERLINK("https://www.boe.es/gazeta/dias/1834/09/20/pdfs/GMD-C-1834-218.pdf#page=6","Abrir facsímil")</f>
        <v>Abrir facsímil</v>
      </c>
      <c r="K6605" s="10" t="s">
        <v>37</v>
      </c>
    </row>
    <row r="6606" spans="1:11" ht="54" customHeight="1">
      <c r="A6606" s="9" t="s">
        <v>14946</v>
      </c>
      <c r="B6606" s="9" t="s">
        <v>14947</v>
      </c>
      <c r="C6606" s="9" t="s">
        <v>17</v>
      </c>
      <c r="D6606" s="9" t="s">
        <v>101</v>
      </c>
      <c r="E6606" s="10" t="s">
        <v>1973</v>
      </c>
      <c r="F6606" s="9" t="s">
        <v>1974</v>
      </c>
      <c r="G6606" s="10" t="s">
        <v>21</v>
      </c>
      <c r="H6606" s="9" t="s">
        <v>35</v>
      </c>
      <c r="I6606" s="9" t="s">
        <v>15009</v>
      </c>
      <c r="J6606" s="10" t="str">
        <f>HYPERLINK("https://www.boe.es/gazeta/dias/1834/12/20/pdfs/GMD-C-1834-310.pdf#page=3","Abrir facsímil")</f>
        <v>Abrir facsímil</v>
      </c>
      <c r="K6606" s="10" t="s">
        <v>37</v>
      </c>
    </row>
    <row r="6607" spans="1:11" ht="54" customHeight="1">
      <c r="A6607" s="9" t="s">
        <v>14946</v>
      </c>
      <c r="B6607" s="9" t="s">
        <v>14947</v>
      </c>
      <c r="C6607" s="9" t="s">
        <v>17</v>
      </c>
      <c r="D6607" s="9" t="s">
        <v>40</v>
      </c>
      <c r="E6607" s="10" t="s">
        <v>304</v>
      </c>
      <c r="F6607" s="9" t="s">
        <v>305</v>
      </c>
      <c r="G6607" s="10" t="s">
        <v>86</v>
      </c>
      <c r="H6607" s="9" t="s">
        <v>35</v>
      </c>
      <c r="I6607" s="9" t="s">
        <v>15010</v>
      </c>
      <c r="J6607" s="10" t="str">
        <f>HYPERLINK("https://www.boe.es/gazeta/dias/1834/01/21/pdfs/GMD-1834-10.pdf#page=2","Abrir facsímil")</f>
        <v>Abrir facsímil</v>
      </c>
      <c r="K6607" s="10" t="s">
        <v>37</v>
      </c>
    </row>
    <row r="6608" spans="1:11" ht="54" customHeight="1">
      <c r="A6608" s="9" t="s">
        <v>14946</v>
      </c>
      <c r="B6608" s="9" t="s">
        <v>14947</v>
      </c>
      <c r="C6608" s="9" t="s">
        <v>17</v>
      </c>
      <c r="D6608" s="9" t="s">
        <v>18</v>
      </c>
      <c r="E6608" s="10" t="s">
        <v>981</v>
      </c>
      <c r="F6608" s="9" t="s">
        <v>3406</v>
      </c>
      <c r="G6608" s="10" t="s">
        <v>28</v>
      </c>
      <c r="H6608" s="9" t="s">
        <v>35</v>
      </c>
      <c r="I6608" s="9" t="s">
        <v>14909</v>
      </c>
      <c r="J6608" s="10" t="str">
        <f>HYPERLINK("https://www.boe.es/gazeta/dias/1834/09/21/pdfs/GMD-C-1834-219.pdf#page=5","Abrir facsímil")</f>
        <v>Abrir facsímil</v>
      </c>
      <c r="K6608" s="10" t="s">
        <v>37</v>
      </c>
    </row>
    <row r="6609" spans="1:11" ht="54" customHeight="1">
      <c r="A6609" s="9" t="s">
        <v>14946</v>
      </c>
      <c r="B6609" s="9" t="s">
        <v>14947</v>
      </c>
      <c r="C6609" s="9" t="s">
        <v>46</v>
      </c>
      <c r="D6609" s="9" t="s">
        <v>55</v>
      </c>
      <c r="E6609" s="10" t="s">
        <v>647</v>
      </c>
      <c r="F6609" s="9" t="s">
        <v>648</v>
      </c>
      <c r="G6609" s="10" t="s">
        <v>176</v>
      </c>
      <c r="H6609" s="9" t="s">
        <v>35</v>
      </c>
      <c r="I6609" s="9" t="s">
        <v>15011</v>
      </c>
      <c r="J6609" s="10" t="str">
        <f>HYPERLINK("https://www.boe.es/gazeta/dias/1834/10/21/pdfs/GMD-C-1834-249.pdf#page=6","Abrir facsímil")</f>
        <v>Abrir facsímil</v>
      </c>
      <c r="K6609" s="10" t="s">
        <v>37</v>
      </c>
    </row>
    <row r="6610" spans="1:11" ht="54" customHeight="1">
      <c r="A6610" s="9" t="s">
        <v>14946</v>
      </c>
      <c r="B6610" s="9" t="s">
        <v>14947</v>
      </c>
      <c r="C6610" s="9" t="s">
        <v>17</v>
      </c>
      <c r="D6610" s="9" t="s">
        <v>101</v>
      </c>
      <c r="E6610" s="10" t="s">
        <v>1323</v>
      </c>
      <c r="F6610" s="9" t="s">
        <v>1324</v>
      </c>
      <c r="G6610" s="10" t="s">
        <v>34</v>
      </c>
      <c r="H6610" s="9" t="s">
        <v>35</v>
      </c>
      <c r="I6610" s="9" t="s">
        <v>15012</v>
      </c>
      <c r="J6610" s="10" t="str">
        <f>HYPERLINK("https://www.boe.es/gazeta/dias/1834/05/22/pdfs/GMD-1834-91.pdf#page=1","Abrir facsímil")</f>
        <v>Abrir facsímil</v>
      </c>
      <c r="K6610" s="10" t="s">
        <v>37</v>
      </c>
    </row>
    <row r="6611" spans="1:11" ht="54" customHeight="1">
      <c r="A6611" s="9" t="s">
        <v>14946</v>
      </c>
      <c r="B6611" s="9" t="s">
        <v>14947</v>
      </c>
      <c r="C6611" s="9" t="s">
        <v>122</v>
      </c>
      <c r="D6611" s="9" t="s">
        <v>18</v>
      </c>
      <c r="E6611" s="10" t="s">
        <v>3488</v>
      </c>
      <c r="F6611" s="9" t="s">
        <v>3489</v>
      </c>
      <c r="G6611" s="10" t="s">
        <v>75</v>
      </c>
      <c r="H6611" s="9" t="s">
        <v>35</v>
      </c>
      <c r="I6611" s="9" t="s">
        <v>15013</v>
      </c>
      <c r="J6611" s="10" t="str">
        <f>HYPERLINK("https://www.boe.es/gazeta/dias/1834/06/22/pdfs/GMD-1834-125.pdf#page=4","Abrir facsímil")</f>
        <v>Abrir facsímil</v>
      </c>
      <c r="K6611" s="10" t="s">
        <v>37</v>
      </c>
    </row>
    <row r="6612" spans="1:11" ht="54" customHeight="1">
      <c r="A6612" s="9" t="s">
        <v>14946</v>
      </c>
      <c r="B6612" s="9" t="s">
        <v>14947</v>
      </c>
      <c r="C6612" s="9" t="s">
        <v>17</v>
      </c>
      <c r="D6612" s="9" t="s">
        <v>18</v>
      </c>
      <c r="E6612" s="10" t="s">
        <v>128</v>
      </c>
      <c r="F6612" s="9" t="s">
        <v>129</v>
      </c>
      <c r="G6612" s="10" t="s">
        <v>75</v>
      </c>
      <c r="H6612" s="9" t="s">
        <v>35</v>
      </c>
      <c r="I6612" s="9" t="s">
        <v>15014</v>
      </c>
      <c r="J6612" s="10" t="str">
        <f>HYPERLINK("https://www.boe.es/gazeta/dias/1834/12/24/pdfs/GMD-C-1834-314.pdf#page=4","Abrir facsímil")</f>
        <v>Abrir facsímil</v>
      </c>
      <c r="K6612" s="10" t="s">
        <v>37</v>
      </c>
    </row>
    <row r="6613" spans="1:11" ht="54" customHeight="1">
      <c r="A6613" s="9" t="s">
        <v>14946</v>
      </c>
      <c r="B6613" s="9" t="s">
        <v>14947</v>
      </c>
      <c r="C6613" s="9" t="s">
        <v>46</v>
      </c>
      <c r="D6613" s="9" t="s">
        <v>18</v>
      </c>
      <c r="E6613" s="10" t="s">
        <v>2302</v>
      </c>
      <c r="F6613" s="9" t="s">
        <v>2303</v>
      </c>
      <c r="G6613" s="10" t="s">
        <v>34</v>
      </c>
      <c r="H6613" s="9" t="s">
        <v>35</v>
      </c>
      <c r="I6613" s="9" t="s">
        <v>15015</v>
      </c>
      <c r="J6613" s="10" t="str">
        <f>HYPERLINK("https://www.boe.es/gazeta/dias/1834/01/25/pdfs/GMD-1834-12.pdf#page=1","Abrir facsímil")</f>
        <v>Abrir facsímil</v>
      </c>
      <c r="K6613" s="10" t="s">
        <v>37</v>
      </c>
    </row>
    <row r="6614" spans="1:11" ht="54" customHeight="1">
      <c r="A6614" s="9" t="s">
        <v>14946</v>
      </c>
      <c r="B6614" s="9" t="s">
        <v>14947</v>
      </c>
      <c r="C6614" s="9" t="s">
        <v>17</v>
      </c>
      <c r="D6614" s="9" t="s">
        <v>18</v>
      </c>
      <c r="E6614" s="10" t="s">
        <v>2302</v>
      </c>
      <c r="F6614" s="9" t="s">
        <v>2303</v>
      </c>
      <c r="G6614" s="10" t="s">
        <v>21</v>
      </c>
      <c r="H6614" s="9" t="s">
        <v>35</v>
      </c>
      <c r="I6614" s="9" t="s">
        <v>15016</v>
      </c>
      <c r="J6614" s="10" t="str">
        <f>HYPERLINK("https://www.boe.es/gazeta/dias/1834/01/25/pdfs/GMD-1834-12.pdf#page=3","Abrir facsímil")</f>
        <v>Abrir facsímil</v>
      </c>
      <c r="K6614" s="10" t="s">
        <v>37</v>
      </c>
    </row>
    <row r="6615" spans="1:11" ht="54" customHeight="1">
      <c r="A6615" s="9" t="s">
        <v>14946</v>
      </c>
      <c r="B6615" s="9" t="s">
        <v>14947</v>
      </c>
      <c r="C6615" s="9" t="s">
        <v>90</v>
      </c>
      <c r="D6615" s="9" t="s">
        <v>18</v>
      </c>
      <c r="E6615" s="10" t="s">
        <v>1922</v>
      </c>
      <c r="F6615" s="9" t="s">
        <v>1923</v>
      </c>
      <c r="G6615" s="10" t="s">
        <v>34</v>
      </c>
      <c r="H6615" s="9" t="s">
        <v>35</v>
      </c>
      <c r="I6615" s="9" t="s">
        <v>15017</v>
      </c>
      <c r="J6615" s="10" t="str">
        <f>HYPERLINK("https://www.boe.es/gazeta/dias/1834/02/25/pdfs/GMD-1834-25.pdf#page=1","Abrir facsímil")</f>
        <v>Abrir facsímil</v>
      </c>
      <c r="K6615" s="10" t="s">
        <v>37</v>
      </c>
    </row>
    <row r="6616" spans="1:11" ht="54" customHeight="1">
      <c r="A6616" s="9" t="s">
        <v>14946</v>
      </c>
      <c r="B6616" s="9" t="s">
        <v>14947</v>
      </c>
      <c r="C6616" s="9" t="s">
        <v>46</v>
      </c>
      <c r="D6616" s="9" t="s">
        <v>55</v>
      </c>
      <c r="E6616" s="10" t="s">
        <v>403</v>
      </c>
      <c r="F6616" s="9" t="s">
        <v>404</v>
      </c>
      <c r="G6616" s="10" t="s">
        <v>75</v>
      </c>
      <c r="H6616" s="9" t="s">
        <v>35</v>
      </c>
      <c r="I6616" s="9" t="s">
        <v>15018</v>
      </c>
      <c r="J6616" s="10" t="str">
        <f>HYPERLINK("https://www.boe.es/gazeta/dias/1834/09/25/pdfs/GMD-C-1834-223.pdf#page=4","Abrir facsímil")</f>
        <v>Abrir facsímil</v>
      </c>
      <c r="K6616" s="10" t="s">
        <v>37</v>
      </c>
    </row>
    <row r="6617" spans="1:11" ht="54" customHeight="1">
      <c r="A6617" s="9" t="s">
        <v>14946</v>
      </c>
      <c r="B6617" s="9" t="s">
        <v>14947</v>
      </c>
      <c r="C6617" s="9" t="s">
        <v>17</v>
      </c>
      <c r="D6617" s="9" t="s">
        <v>18</v>
      </c>
      <c r="E6617" s="10" t="s">
        <v>251</v>
      </c>
      <c r="F6617" s="9" t="s">
        <v>1278</v>
      </c>
      <c r="G6617" s="10" t="s">
        <v>21</v>
      </c>
      <c r="H6617" s="9" t="s">
        <v>35</v>
      </c>
      <c r="I6617" s="9" t="s">
        <v>15019</v>
      </c>
      <c r="J6617" s="10" t="str">
        <f>HYPERLINK("https://www.boe.es/gazeta/dias/1834/09/26/pdfs/GMD-1834-224.pdf#page=3","Abrir facsímil")</f>
        <v>Abrir facsímil</v>
      </c>
      <c r="K6617" s="10" t="s">
        <v>37</v>
      </c>
    </row>
    <row r="6618" spans="1:11" ht="54" customHeight="1">
      <c r="A6618" s="9" t="s">
        <v>14946</v>
      </c>
      <c r="B6618" s="9" t="s">
        <v>14947</v>
      </c>
      <c r="C6618" s="9" t="s">
        <v>46</v>
      </c>
      <c r="D6618" s="9" t="s">
        <v>18</v>
      </c>
      <c r="E6618" s="10" t="s">
        <v>251</v>
      </c>
      <c r="F6618" s="9" t="s">
        <v>252</v>
      </c>
      <c r="G6618" s="10" t="s">
        <v>34</v>
      </c>
      <c r="H6618" s="9" t="s">
        <v>35</v>
      </c>
      <c r="I6618" s="9" t="s">
        <v>15020</v>
      </c>
      <c r="J6618" s="10" t="str">
        <f>HYPERLINK("https://www.boe.es/gazeta/dias/1834/09/26/pdfs/GMD-C-1834-224.pdf#page=1","Abrir facsímil")</f>
        <v>Abrir facsímil</v>
      </c>
      <c r="K6618" s="10" t="s">
        <v>37</v>
      </c>
    </row>
    <row r="6619" spans="1:11" ht="54" customHeight="1">
      <c r="A6619" s="9" t="s">
        <v>14946</v>
      </c>
      <c r="B6619" s="9" t="s">
        <v>14947</v>
      </c>
      <c r="C6619" s="9" t="s">
        <v>17</v>
      </c>
      <c r="D6619" s="9" t="s">
        <v>18</v>
      </c>
      <c r="E6619" s="10" t="s">
        <v>251</v>
      </c>
      <c r="F6619" s="9" t="s">
        <v>252</v>
      </c>
      <c r="G6619" s="10" t="s">
        <v>21</v>
      </c>
      <c r="H6619" s="9" t="s">
        <v>35</v>
      </c>
      <c r="I6619" s="9" t="s">
        <v>15021</v>
      </c>
      <c r="J6619" s="10" t="str">
        <f>HYPERLINK("https://www.boe.es/gazeta/dias/1834/09/26/pdfs/GMD-C-1834-224.pdf#page=3","Abrir facsímil")</f>
        <v>Abrir facsímil</v>
      </c>
      <c r="K6619" s="10" t="s">
        <v>37</v>
      </c>
    </row>
    <row r="6620" spans="1:11" ht="54" customHeight="1">
      <c r="A6620" s="9" t="s">
        <v>14946</v>
      </c>
      <c r="B6620" s="9" t="s">
        <v>14947</v>
      </c>
      <c r="C6620" s="9" t="s">
        <v>17</v>
      </c>
      <c r="D6620" s="9" t="s">
        <v>18</v>
      </c>
      <c r="E6620" s="10" t="s">
        <v>251</v>
      </c>
      <c r="F6620" s="9" t="s">
        <v>252</v>
      </c>
      <c r="G6620" s="10" t="s">
        <v>28</v>
      </c>
      <c r="H6620" s="9" t="s">
        <v>35</v>
      </c>
      <c r="I6620" s="9" t="s">
        <v>15022</v>
      </c>
      <c r="J6620" s="10" t="str">
        <f>HYPERLINK("https://www.boe.es/gazeta/dias/1834/09/26/pdfs/GMD-C-1834-224.pdf#page=5","Abrir facsímil")</f>
        <v>Abrir facsímil</v>
      </c>
      <c r="K6620" s="10" t="s">
        <v>37</v>
      </c>
    </row>
    <row r="6621" spans="1:11" ht="54" customHeight="1">
      <c r="A6621" s="9" t="s">
        <v>14946</v>
      </c>
      <c r="B6621" s="9" t="s">
        <v>14947</v>
      </c>
      <c r="C6621" s="9" t="s">
        <v>17</v>
      </c>
      <c r="D6621" s="9" t="s">
        <v>18</v>
      </c>
      <c r="E6621" s="10" t="s">
        <v>510</v>
      </c>
      <c r="F6621" s="9" t="s">
        <v>531</v>
      </c>
      <c r="G6621" s="10" t="s">
        <v>28</v>
      </c>
      <c r="H6621" s="9" t="s">
        <v>35</v>
      </c>
      <c r="I6621" s="9" t="s">
        <v>15023</v>
      </c>
      <c r="J6621" s="10" t="str">
        <f>HYPERLINK("https://www.boe.es/gazeta/dias/1834/11/26/pdfs/GMD-C-1834-285.pdf#page=5","Abrir facsímil")</f>
        <v>Abrir facsímil</v>
      </c>
      <c r="K6621" s="10" t="s">
        <v>37</v>
      </c>
    </row>
    <row r="6622" spans="1:11" ht="54" customHeight="1">
      <c r="A6622" s="9" t="s">
        <v>14946</v>
      </c>
      <c r="B6622" s="9" t="s">
        <v>14947</v>
      </c>
      <c r="C6622" s="9" t="s">
        <v>90</v>
      </c>
      <c r="D6622" s="9" t="s">
        <v>18</v>
      </c>
      <c r="E6622" s="10" t="s">
        <v>513</v>
      </c>
      <c r="F6622" s="9" t="s">
        <v>514</v>
      </c>
      <c r="G6622" s="10" t="s">
        <v>34</v>
      </c>
      <c r="H6622" s="9" t="s">
        <v>35</v>
      </c>
      <c r="I6622" s="9" t="s">
        <v>15024</v>
      </c>
      <c r="J6622" s="10" t="str">
        <f>HYPERLINK("https://www.boe.es/gazeta/dias/1834/04/27/pdfs/GMD-1834-66.pdf#page=1","Abrir facsímil")</f>
        <v>Abrir facsímil</v>
      </c>
      <c r="K6622" s="10" t="s">
        <v>37</v>
      </c>
    </row>
    <row r="6623" spans="1:11" ht="54" customHeight="1">
      <c r="A6623" s="9" t="s">
        <v>14946</v>
      </c>
      <c r="B6623" s="9" t="s">
        <v>14947</v>
      </c>
      <c r="C6623" s="9" t="s">
        <v>17</v>
      </c>
      <c r="D6623" s="9" t="s">
        <v>18</v>
      </c>
      <c r="E6623" s="10" t="s">
        <v>1683</v>
      </c>
      <c r="F6623" s="9" t="s">
        <v>1684</v>
      </c>
      <c r="G6623" s="10" t="s">
        <v>75</v>
      </c>
      <c r="H6623" s="9" t="s">
        <v>35</v>
      </c>
      <c r="I6623" s="9" t="s">
        <v>15025</v>
      </c>
      <c r="J6623" s="10" t="str">
        <f>HYPERLINK("https://www.boe.es/gazeta/dias/1834/06/27/pdfs/GMD-1834-130.pdf#page=4","Abrir facsímil")</f>
        <v>Abrir facsímil</v>
      </c>
      <c r="K6623" s="10" t="s">
        <v>37</v>
      </c>
    </row>
    <row r="6624" spans="1:11" ht="54" customHeight="1">
      <c r="A6624" s="9" t="s">
        <v>14946</v>
      </c>
      <c r="B6624" s="9" t="s">
        <v>14947</v>
      </c>
      <c r="C6624" s="9" t="s">
        <v>17</v>
      </c>
      <c r="D6624" s="9" t="s">
        <v>18</v>
      </c>
      <c r="E6624" s="10" t="s">
        <v>294</v>
      </c>
      <c r="F6624" s="9" t="s">
        <v>959</v>
      </c>
      <c r="G6624" s="10" t="s">
        <v>34</v>
      </c>
      <c r="H6624" s="9" t="s">
        <v>35</v>
      </c>
      <c r="I6624" s="9" t="s">
        <v>15026</v>
      </c>
      <c r="J6624" s="10" t="str">
        <f>HYPERLINK("https://www.boe.es/gazeta/dias/1834/09/27/pdfs/GMD-C-1834-225.pdf#page=1","Abrir facsímil")</f>
        <v>Abrir facsímil</v>
      </c>
      <c r="K6624" s="10" t="s">
        <v>37</v>
      </c>
    </row>
    <row r="6625" spans="1:11" ht="54" customHeight="1">
      <c r="A6625" s="9" t="s">
        <v>14946</v>
      </c>
      <c r="B6625" s="9" t="s">
        <v>14947</v>
      </c>
      <c r="C6625" s="9" t="s">
        <v>17</v>
      </c>
      <c r="D6625" s="9" t="s">
        <v>18</v>
      </c>
      <c r="E6625" s="10" t="s">
        <v>294</v>
      </c>
      <c r="F6625" s="9" t="s">
        <v>959</v>
      </c>
      <c r="G6625" s="10" t="s">
        <v>86</v>
      </c>
      <c r="H6625" s="9" t="s">
        <v>35</v>
      </c>
      <c r="I6625" s="9" t="s">
        <v>15027</v>
      </c>
      <c r="J6625" s="10" t="str">
        <f>HYPERLINK("https://www.boe.es/gazeta/dias/1834/09/27/pdfs/GMD-C-1834-225.pdf#page=2","Abrir facsímil")</f>
        <v>Abrir facsímil</v>
      </c>
      <c r="K6625" s="10" t="s">
        <v>37</v>
      </c>
    </row>
    <row r="6626" spans="1:11" ht="54" customHeight="1">
      <c r="A6626" s="9" t="s">
        <v>14946</v>
      </c>
      <c r="B6626" s="9" t="s">
        <v>14947</v>
      </c>
      <c r="C6626" s="9" t="s">
        <v>17</v>
      </c>
      <c r="D6626" s="9" t="s">
        <v>18</v>
      </c>
      <c r="E6626" s="10" t="s">
        <v>408</v>
      </c>
      <c r="F6626" s="9" t="s">
        <v>409</v>
      </c>
      <c r="G6626" s="10" t="s">
        <v>21</v>
      </c>
      <c r="H6626" s="9" t="s">
        <v>35</v>
      </c>
      <c r="I6626" s="9" t="s">
        <v>15028</v>
      </c>
      <c r="J6626" s="10" t="str">
        <f>HYPERLINK("https://www.boe.es/gazeta/dias/1834/04/28/pdfs/GMD-1834-67.pdf#page=3","Abrir facsímil")</f>
        <v>Abrir facsímil</v>
      </c>
      <c r="K6626" s="10" t="s">
        <v>37</v>
      </c>
    </row>
    <row r="6627" spans="1:11" ht="54" customHeight="1">
      <c r="A6627" s="9" t="s">
        <v>14946</v>
      </c>
      <c r="B6627" s="9" t="s">
        <v>14947</v>
      </c>
      <c r="C6627" s="9" t="s">
        <v>66</v>
      </c>
      <c r="D6627" s="9" t="s">
        <v>67</v>
      </c>
      <c r="E6627" s="10" t="s">
        <v>8010</v>
      </c>
      <c r="F6627" s="9" t="s">
        <v>8011</v>
      </c>
      <c r="G6627" s="10" t="s">
        <v>86</v>
      </c>
      <c r="H6627" s="9" t="s">
        <v>35</v>
      </c>
      <c r="I6627" s="9" t="s">
        <v>15029</v>
      </c>
      <c r="J6627" s="10" t="str">
        <f>HYPERLINK("https://www.boe.es/gazeta/dias/1834/08/28/pdfs/GMD-1834-194.pdf#page=2","Abrir facsímil")</f>
        <v>Abrir facsímil</v>
      </c>
      <c r="K6627" s="10" t="s">
        <v>37</v>
      </c>
    </row>
    <row r="6628" spans="1:11" ht="54" customHeight="1">
      <c r="A6628" s="9" t="s">
        <v>14946</v>
      </c>
      <c r="B6628" s="9" t="s">
        <v>14947</v>
      </c>
      <c r="C6628" s="9" t="s">
        <v>17</v>
      </c>
      <c r="D6628" s="9" t="s">
        <v>18</v>
      </c>
      <c r="E6628" s="10" t="s">
        <v>2526</v>
      </c>
      <c r="F6628" s="9" t="s">
        <v>2527</v>
      </c>
      <c r="G6628" s="10" t="s">
        <v>75</v>
      </c>
      <c r="H6628" s="9" t="s">
        <v>35</v>
      </c>
      <c r="I6628" s="9" t="s">
        <v>15030</v>
      </c>
      <c r="J6628" s="10" t="str">
        <f>HYPERLINK("https://www.boe.es/gazeta/dias/1834/12/29/pdfs/GMD-C-1834-319.pdf#page=4","Abrir facsímil")</f>
        <v>Abrir facsímil</v>
      </c>
      <c r="K6628" s="10" t="s">
        <v>37</v>
      </c>
    </row>
    <row r="6629" spans="1:11" ht="54" customHeight="1">
      <c r="A6629" s="9" t="s">
        <v>14946</v>
      </c>
      <c r="B6629" s="9" t="s">
        <v>14947</v>
      </c>
      <c r="C6629" s="9" t="s">
        <v>46</v>
      </c>
      <c r="D6629" s="9" t="s">
        <v>18</v>
      </c>
      <c r="E6629" s="10" t="s">
        <v>899</v>
      </c>
      <c r="F6629" s="9" t="s">
        <v>900</v>
      </c>
      <c r="G6629" s="10" t="s">
        <v>21</v>
      </c>
      <c r="H6629" s="9" t="s">
        <v>35</v>
      </c>
      <c r="I6629" s="9" t="s">
        <v>15031</v>
      </c>
      <c r="J6629" s="10" t="str">
        <f>HYPERLINK("https://www.boe.es/gazeta/dias/1834/01/30/pdfs/GMD-1834-14.pdf#page=3","Abrir facsímil")</f>
        <v>Abrir facsímil</v>
      </c>
      <c r="K6629" s="10" t="s">
        <v>37</v>
      </c>
    </row>
    <row r="6630" spans="1:11" ht="54" customHeight="1">
      <c r="A6630" s="9" t="s">
        <v>14946</v>
      </c>
      <c r="B6630" s="9" t="s">
        <v>14947</v>
      </c>
      <c r="C6630" s="9" t="s">
        <v>90</v>
      </c>
      <c r="D6630" s="9" t="s">
        <v>18</v>
      </c>
      <c r="E6630" s="10" t="s">
        <v>286</v>
      </c>
      <c r="F6630" s="9" t="s">
        <v>548</v>
      </c>
      <c r="G6630" s="10" t="s">
        <v>75</v>
      </c>
      <c r="H6630" s="9" t="s">
        <v>35</v>
      </c>
      <c r="I6630" s="9" t="s">
        <v>15032</v>
      </c>
      <c r="J6630" s="10" t="str">
        <f>HYPERLINK("https://www.boe.es/gazeta/dias/1834/08/30/pdfs/GMD-1834-196.pdf#page=4","Abrir facsímil")</f>
        <v>Abrir facsímil</v>
      </c>
      <c r="K6630" s="10" t="s">
        <v>37</v>
      </c>
    </row>
    <row r="6631" spans="1:11" ht="54" customHeight="1">
      <c r="A6631" s="9" t="s">
        <v>14946</v>
      </c>
      <c r="B6631" s="9" t="s">
        <v>14947</v>
      </c>
      <c r="C6631" s="9" t="s">
        <v>17</v>
      </c>
      <c r="D6631" s="9" t="s">
        <v>18</v>
      </c>
      <c r="E6631" s="10" t="s">
        <v>286</v>
      </c>
      <c r="F6631" s="9" t="s">
        <v>287</v>
      </c>
      <c r="G6631" s="10" t="s">
        <v>34</v>
      </c>
      <c r="H6631" s="9" t="s">
        <v>35</v>
      </c>
      <c r="I6631" s="9" t="s">
        <v>15033</v>
      </c>
      <c r="J6631" s="10" t="str">
        <f>HYPERLINK("https://www.boe.es/gazeta/dias/1834/08/30/pdfs/GMD-D-1834-196.pdf#page=1","Abrir facsímil")</f>
        <v>Abrir facsímil</v>
      </c>
      <c r="K6631" s="10" t="s">
        <v>37</v>
      </c>
    </row>
    <row r="6632" spans="1:11" ht="54" customHeight="1">
      <c r="A6632" s="9" t="s">
        <v>14946</v>
      </c>
      <c r="B6632" s="9" t="s">
        <v>14947</v>
      </c>
      <c r="C6632" s="9" t="s">
        <v>17</v>
      </c>
      <c r="D6632" s="9" t="s">
        <v>18</v>
      </c>
      <c r="E6632" s="10" t="s">
        <v>273</v>
      </c>
      <c r="F6632" s="9" t="s">
        <v>274</v>
      </c>
      <c r="G6632" s="10" t="s">
        <v>21</v>
      </c>
      <c r="H6632" s="9" t="s">
        <v>35</v>
      </c>
      <c r="I6632" s="9" t="s">
        <v>15034</v>
      </c>
      <c r="J6632" s="10" t="str">
        <f>HYPERLINK("https://www.boe.es/gazeta/dias/1834/08/31/pdfs/GMD-D-1834-198.pdf#page=3","Abrir facsímil")</f>
        <v>Abrir facsímil</v>
      </c>
      <c r="K6632" s="10" t="s">
        <v>37</v>
      </c>
    </row>
    <row r="6633" spans="1:11" ht="54" customHeight="1">
      <c r="A6633" s="9" t="s">
        <v>14946</v>
      </c>
      <c r="B6633" s="9" t="s">
        <v>14947</v>
      </c>
      <c r="C6633" s="9" t="s">
        <v>17</v>
      </c>
      <c r="D6633" s="9" t="s">
        <v>18</v>
      </c>
      <c r="E6633" s="10" t="s">
        <v>273</v>
      </c>
      <c r="F6633" s="9" t="s">
        <v>274</v>
      </c>
      <c r="G6633" s="10" t="s">
        <v>28</v>
      </c>
      <c r="H6633" s="9" t="s">
        <v>35</v>
      </c>
      <c r="I6633" s="9" t="s">
        <v>15035</v>
      </c>
      <c r="J6633" s="10" t="str">
        <f>HYPERLINK("https://www.boe.es/gazeta/dias/1834/08/31/pdfs/GMD-C-1834-198.pdf#page=5","Abrir facsímil")</f>
        <v>Abrir facsímil</v>
      </c>
      <c r="K6633" s="10" t="s">
        <v>37</v>
      </c>
    </row>
    <row r="6634" spans="1:11" ht="54" customHeight="1">
      <c r="A6634" s="9" t="s">
        <v>14946</v>
      </c>
      <c r="B6634" s="9" t="s">
        <v>14947</v>
      </c>
      <c r="C6634" s="9" t="s">
        <v>17</v>
      </c>
      <c r="D6634" s="9" t="s">
        <v>18</v>
      </c>
      <c r="E6634" s="10" t="s">
        <v>891</v>
      </c>
      <c r="F6634" s="9" t="s">
        <v>892</v>
      </c>
      <c r="G6634" s="10" t="s">
        <v>176</v>
      </c>
      <c r="H6634" s="9" t="s">
        <v>35</v>
      </c>
      <c r="I6634" s="9" t="s">
        <v>15036</v>
      </c>
      <c r="J6634" s="10" t="str">
        <f>HYPERLINK("https://www.boe.es/gazeta/dias/1834/10/31/pdfs/GMD-C-1834-259.pdf#page=6","Abrir facsímil")</f>
        <v>Abrir facsímil</v>
      </c>
      <c r="K6634" s="10" t="s">
        <v>37</v>
      </c>
    </row>
    <row r="6635" spans="1:11" ht="54" customHeight="1">
      <c r="A6635" s="9" t="s">
        <v>15037</v>
      </c>
      <c r="B6635" s="9" t="s">
        <v>15038</v>
      </c>
      <c r="C6635" s="9" t="s">
        <v>17</v>
      </c>
      <c r="D6635" s="9" t="s">
        <v>18</v>
      </c>
      <c r="E6635" s="10" t="s">
        <v>73</v>
      </c>
      <c r="F6635" s="9" t="s">
        <v>1416</v>
      </c>
      <c r="G6635" s="10" t="s">
        <v>86</v>
      </c>
      <c r="H6635" s="9" t="s">
        <v>35</v>
      </c>
      <c r="I6635" s="9" t="s">
        <v>15039</v>
      </c>
      <c r="J6635" s="10" t="str">
        <f>HYPERLINK("https://www.boe.es/gazeta/dias/1834/11/04/pdfs/GMD-C-1834-263.pdf#page=2","Abrir facsímil")</f>
        <v>Abrir facsímil</v>
      </c>
      <c r="K6635" s="10" t="s">
        <v>37</v>
      </c>
    </row>
    <row r="6636" spans="1:11" ht="54" customHeight="1">
      <c r="A6636" s="9" t="s">
        <v>15040</v>
      </c>
      <c r="B6636" s="9" t="s">
        <v>15041</v>
      </c>
      <c r="C6636" s="9" t="s">
        <v>17</v>
      </c>
      <c r="D6636" s="9" t="s">
        <v>101</v>
      </c>
      <c r="E6636" s="10" t="s">
        <v>2287</v>
      </c>
      <c r="F6636" s="9" t="s">
        <v>2288</v>
      </c>
      <c r="G6636" s="10" t="s">
        <v>75</v>
      </c>
      <c r="H6636" s="9" t="s">
        <v>22</v>
      </c>
      <c r="I6636" s="9" t="s">
        <v>15042</v>
      </c>
      <c r="J6636" s="10" t="str">
        <f>HYPERLINK("https://www.boe.es/gazeta/dias/1834/12/18/pdfs/GMD-C-1834-308.pdf#page=4","Abrir facsímil")</f>
        <v>Abrir facsímil</v>
      </c>
      <c r="K6636" s="10" t="s">
        <v>24</v>
      </c>
    </row>
    <row r="6637" spans="1:11" ht="54" customHeight="1">
      <c r="A6637" s="9" t="s">
        <v>15043</v>
      </c>
      <c r="B6637" s="9" t="s">
        <v>15044</v>
      </c>
      <c r="C6637" s="9" t="s">
        <v>46</v>
      </c>
      <c r="D6637" s="9" t="s">
        <v>18</v>
      </c>
      <c r="E6637" s="10" t="s">
        <v>956</v>
      </c>
      <c r="F6637" s="9" t="s">
        <v>957</v>
      </c>
      <c r="G6637" s="10" t="s">
        <v>34</v>
      </c>
      <c r="H6637" s="9" t="s">
        <v>35</v>
      </c>
      <c r="I6637" s="9" t="s">
        <v>15045</v>
      </c>
      <c r="J6637" s="10" t="str">
        <f>HYPERLINK("https://www.boe.es/gazeta/dias/1834/08/10/pdfs/GMD-C-1834-175.pdf#page=1","Abrir facsímil")</f>
        <v>Abrir facsímil</v>
      </c>
      <c r="K6637" s="10" t="s">
        <v>37</v>
      </c>
    </row>
    <row r="6638" spans="1:11" ht="54" customHeight="1">
      <c r="A6638" s="9" t="s">
        <v>15046</v>
      </c>
      <c r="B6638" s="9" t="s">
        <v>15047</v>
      </c>
      <c r="C6638" s="9" t="s">
        <v>17</v>
      </c>
      <c r="D6638" s="9" t="s">
        <v>18</v>
      </c>
      <c r="E6638" s="10" t="s">
        <v>251</v>
      </c>
      <c r="F6638" s="9" t="s">
        <v>252</v>
      </c>
      <c r="G6638" s="10" t="s">
        <v>75</v>
      </c>
      <c r="H6638" s="9" t="s">
        <v>22</v>
      </c>
      <c r="I6638" s="9" t="s">
        <v>15048</v>
      </c>
      <c r="J6638" s="10" t="str">
        <f>HYPERLINK("https://www.boe.es/gazeta/dias/1834/09/26/pdfs/GMD-C-1834-224.pdf#page=4","Abrir facsímil")</f>
        <v>Abrir facsímil</v>
      </c>
      <c r="K6638" s="10" t="s">
        <v>24</v>
      </c>
    </row>
    <row r="6639" spans="1:11" ht="54" customHeight="1">
      <c r="A6639" s="9" t="s">
        <v>15049</v>
      </c>
      <c r="B6639" s="9" t="s">
        <v>15050</v>
      </c>
      <c r="C6639" s="9" t="s">
        <v>66</v>
      </c>
      <c r="D6639" s="9" t="s">
        <v>67</v>
      </c>
      <c r="E6639" s="10" t="s">
        <v>1337</v>
      </c>
      <c r="F6639" s="9" t="s">
        <v>1338</v>
      </c>
      <c r="G6639" s="10" t="s">
        <v>21</v>
      </c>
      <c r="H6639" s="9" t="s">
        <v>22</v>
      </c>
      <c r="I6639" s="9" t="s">
        <v>15051</v>
      </c>
      <c r="J6639" s="10" t="str">
        <f>HYPERLINK("https://www.boe.es/gazeta/dias/1834/01/02/pdfs/GMD-1834-1.pdf#page=3","Abrir facsímil")</f>
        <v>Abrir facsímil</v>
      </c>
      <c r="K6639" s="10" t="s">
        <v>24</v>
      </c>
    </row>
    <row r="6640" spans="1:11" ht="54" customHeight="1">
      <c r="A6640" s="9" t="s">
        <v>15049</v>
      </c>
      <c r="B6640" s="9" t="s">
        <v>15050</v>
      </c>
      <c r="C6640" s="9" t="s">
        <v>17</v>
      </c>
      <c r="D6640" s="9" t="s">
        <v>18</v>
      </c>
      <c r="E6640" s="10" t="s">
        <v>2748</v>
      </c>
      <c r="F6640" s="9" t="s">
        <v>2749</v>
      </c>
      <c r="G6640" s="10" t="s">
        <v>86</v>
      </c>
      <c r="H6640" s="9" t="s">
        <v>22</v>
      </c>
      <c r="I6640" s="9" t="s">
        <v>15052</v>
      </c>
      <c r="J6640" s="10" t="str">
        <f>HYPERLINK("https://www.boe.es/gazeta/dias/1834/01/09/pdfs/GMD-1834-5.pdf#page=2","Abrir facsímil")</f>
        <v>Abrir facsímil</v>
      </c>
      <c r="K6640" s="10" t="s">
        <v>24</v>
      </c>
    </row>
    <row r="6641" spans="1:11" ht="54" customHeight="1">
      <c r="A6641" s="9" t="s">
        <v>15053</v>
      </c>
      <c r="B6641" s="9" t="s">
        <v>15054</v>
      </c>
      <c r="C6641" s="9" t="s">
        <v>46</v>
      </c>
      <c r="D6641" s="9" t="s">
        <v>18</v>
      </c>
      <c r="E6641" s="10" t="s">
        <v>364</v>
      </c>
      <c r="F6641" s="9" t="s">
        <v>365</v>
      </c>
      <c r="G6641" s="10" t="s">
        <v>560</v>
      </c>
      <c r="H6641" s="9" t="s">
        <v>35</v>
      </c>
      <c r="I6641" s="9" t="s">
        <v>15055</v>
      </c>
      <c r="J6641" s="10" t="str">
        <f>HYPERLINK("https://www.boe.es/gazeta/dias/1834/09/06/pdfs/GMD-C-1834-204.pdf#page=7","Abrir facsímil")</f>
        <v>Abrir facsímil</v>
      </c>
      <c r="K6641" s="10" t="s">
        <v>37</v>
      </c>
    </row>
    <row r="6642" spans="1:11" ht="54" customHeight="1">
      <c r="A6642" s="9" t="s">
        <v>15056</v>
      </c>
      <c r="B6642" s="9" t="s">
        <v>15057</v>
      </c>
      <c r="C6642" s="9" t="s">
        <v>17</v>
      </c>
      <c r="D6642" s="9" t="s">
        <v>40</v>
      </c>
      <c r="E6642" s="10" t="s">
        <v>2748</v>
      </c>
      <c r="F6642" s="9" t="s">
        <v>2749</v>
      </c>
      <c r="G6642" s="10" t="s">
        <v>75</v>
      </c>
      <c r="H6642" s="9" t="s">
        <v>35</v>
      </c>
      <c r="I6642" s="9" t="s">
        <v>15058</v>
      </c>
      <c r="J6642" s="10" t="str">
        <f>HYPERLINK("https://www.boe.es/gazeta/dias/1834/01/09/pdfs/GMD-1834-5.pdf#page=4","Abrir facsímil")</f>
        <v>Abrir facsímil</v>
      </c>
      <c r="K6642" s="10" t="s">
        <v>37</v>
      </c>
    </row>
    <row r="6643" spans="1:11" ht="54" customHeight="1">
      <c r="A6643" s="9" t="s">
        <v>15059</v>
      </c>
      <c r="B6643" s="9" t="s">
        <v>15060</v>
      </c>
      <c r="C6643" s="9" t="s">
        <v>17</v>
      </c>
      <c r="D6643" s="9" t="s">
        <v>40</v>
      </c>
      <c r="E6643" s="10" t="s">
        <v>4105</v>
      </c>
      <c r="F6643" s="9" t="s">
        <v>8942</v>
      </c>
      <c r="G6643" s="10" t="s">
        <v>75</v>
      </c>
      <c r="H6643" s="9" t="s">
        <v>35</v>
      </c>
      <c r="I6643" s="9" t="s">
        <v>15061</v>
      </c>
      <c r="J6643" s="10" t="str">
        <f>HYPERLINK("https://www.boe.es/gazeta/dias/1834/09/02/pdfs/GMD-1834-200.pdf#page=4","Abrir facsímil")</f>
        <v>Abrir facsímil</v>
      </c>
      <c r="K6643" s="10" t="s">
        <v>37</v>
      </c>
    </row>
    <row r="6644" spans="1:11" ht="54" customHeight="1">
      <c r="A6644" s="9" t="s">
        <v>15062</v>
      </c>
      <c r="B6644" s="9" t="s">
        <v>15063</v>
      </c>
      <c r="C6644" s="9" t="s">
        <v>66</v>
      </c>
      <c r="D6644" s="9" t="s">
        <v>67</v>
      </c>
      <c r="E6644" s="10" t="s">
        <v>47</v>
      </c>
      <c r="F6644" s="9" t="s">
        <v>48</v>
      </c>
      <c r="G6644" s="10" t="s">
        <v>34</v>
      </c>
      <c r="H6644" s="9" t="s">
        <v>22</v>
      </c>
      <c r="I6644" s="9" t="s">
        <v>15064</v>
      </c>
      <c r="J6644" s="10" t="str">
        <f>HYPERLINK("https://www.boe.es/gazeta/dias/1834/09/05/pdfs/GMD-C-1834-203.pdf#page=1","Abrir facsímil")</f>
        <v>Abrir facsímil</v>
      </c>
      <c r="K6644" s="10" t="s">
        <v>24</v>
      </c>
    </row>
    <row r="6645" spans="1:11" ht="54" customHeight="1">
      <c r="A6645" s="9" t="s">
        <v>15065</v>
      </c>
      <c r="B6645" s="9" t="s">
        <v>15066</v>
      </c>
      <c r="C6645" s="9" t="s">
        <v>17</v>
      </c>
      <c r="D6645" s="9" t="s">
        <v>18</v>
      </c>
      <c r="E6645" s="10" t="s">
        <v>1862</v>
      </c>
      <c r="F6645" s="9" t="s">
        <v>1863</v>
      </c>
      <c r="G6645" s="10" t="s">
        <v>75</v>
      </c>
      <c r="H6645" s="9" t="s">
        <v>35</v>
      </c>
      <c r="I6645" s="9" t="s">
        <v>15067</v>
      </c>
      <c r="J6645" s="10" t="str">
        <f>HYPERLINK("https://www.boe.es/gazeta/dias/1834/02/04/pdfs/GMD-1834-16.pdf#page=4","Abrir facsímil")</f>
        <v>Abrir facsímil</v>
      </c>
      <c r="K6645" s="10" t="s">
        <v>37</v>
      </c>
    </row>
    <row r="6646" spans="1:11" ht="54" customHeight="1">
      <c r="A6646" s="9" t="s">
        <v>15065</v>
      </c>
      <c r="B6646" s="9" t="s">
        <v>15066</v>
      </c>
      <c r="C6646" s="9" t="s">
        <v>857</v>
      </c>
      <c r="D6646" s="9" t="s">
        <v>18</v>
      </c>
      <c r="E6646" s="10" t="s">
        <v>571</v>
      </c>
      <c r="F6646" s="9" t="s">
        <v>572</v>
      </c>
      <c r="G6646" s="10" t="s">
        <v>21</v>
      </c>
      <c r="H6646" s="9" t="s">
        <v>35</v>
      </c>
      <c r="I6646" s="9" t="s">
        <v>15068</v>
      </c>
      <c r="J6646" s="10" t="str">
        <f>HYPERLINK("https://www.boe.es/gazeta/dias/1834/09/04/pdfs/GMD-1834-202.pdf#page=3","Abrir facsímil")</f>
        <v>Abrir facsímil</v>
      </c>
      <c r="K6646" s="10" t="s">
        <v>37</v>
      </c>
    </row>
    <row r="6647" spans="1:11" ht="54" customHeight="1">
      <c r="A6647" s="9" t="s">
        <v>15065</v>
      </c>
      <c r="B6647" s="9" t="s">
        <v>15066</v>
      </c>
      <c r="C6647" s="9" t="s">
        <v>17</v>
      </c>
      <c r="D6647" s="9" t="s">
        <v>101</v>
      </c>
      <c r="E6647" s="10" t="s">
        <v>1178</v>
      </c>
      <c r="F6647" s="9" t="s">
        <v>14853</v>
      </c>
      <c r="G6647" s="10" t="s">
        <v>34</v>
      </c>
      <c r="H6647" s="9" t="s">
        <v>35</v>
      </c>
      <c r="I6647" s="9" t="s">
        <v>15069</v>
      </c>
      <c r="J6647" s="10" t="str">
        <f>HYPERLINK("https://www.boe.es/gazeta/dias/1834/04/10/pdfs/GMD-1834-49.pdf#page=1","Abrir facsímil")</f>
        <v>Abrir facsímil</v>
      </c>
      <c r="K6647" s="10" t="s">
        <v>37</v>
      </c>
    </row>
    <row r="6648" spans="1:11" ht="54" customHeight="1">
      <c r="A6648" s="9" t="s">
        <v>15065</v>
      </c>
      <c r="B6648" s="9" t="s">
        <v>15066</v>
      </c>
      <c r="C6648" s="9" t="s">
        <v>17</v>
      </c>
      <c r="D6648" s="9" t="s">
        <v>18</v>
      </c>
      <c r="E6648" s="10" t="s">
        <v>2087</v>
      </c>
      <c r="F6648" s="9" t="s">
        <v>2267</v>
      </c>
      <c r="G6648" s="10" t="s">
        <v>1343</v>
      </c>
      <c r="H6648" s="9" t="s">
        <v>35</v>
      </c>
      <c r="I6648" s="9" t="s">
        <v>15070</v>
      </c>
      <c r="J6648" s="10" t="str">
        <f>HYPERLINK("https://www.boe.es/gazeta/dias/1834/12/14/pdfs/GMD-C-1834-303.pdf#page=9","Abrir facsímil")</f>
        <v>Abrir facsímil</v>
      </c>
      <c r="K6648" s="10" t="s">
        <v>37</v>
      </c>
    </row>
    <row r="6649" spans="1:11" ht="54" customHeight="1">
      <c r="A6649" s="9" t="s">
        <v>15065</v>
      </c>
      <c r="B6649" s="9" t="s">
        <v>15066</v>
      </c>
      <c r="C6649" s="9" t="s">
        <v>17</v>
      </c>
      <c r="D6649" s="9" t="s">
        <v>18</v>
      </c>
      <c r="E6649" s="10" t="s">
        <v>268</v>
      </c>
      <c r="F6649" s="9" t="s">
        <v>269</v>
      </c>
      <c r="G6649" s="10" t="s">
        <v>21</v>
      </c>
      <c r="H6649" s="9" t="s">
        <v>35</v>
      </c>
      <c r="I6649" s="9" t="s">
        <v>15071</v>
      </c>
      <c r="J6649" s="10" t="str">
        <f>HYPERLINK("https://www.boe.es/gazeta/dias/1834/12/19/pdfs/GMD-C-1834-309.pdf#page=3","Abrir facsímil")</f>
        <v>Abrir facsímil</v>
      </c>
      <c r="K6649" s="10" t="s">
        <v>37</v>
      </c>
    </row>
    <row r="6650" spans="1:11" ht="54" customHeight="1">
      <c r="A6650" s="9" t="s">
        <v>15065</v>
      </c>
      <c r="B6650" s="9" t="s">
        <v>15066</v>
      </c>
      <c r="C6650" s="9" t="s">
        <v>17</v>
      </c>
      <c r="D6650" s="9" t="s">
        <v>101</v>
      </c>
      <c r="E6650" s="10" t="s">
        <v>1323</v>
      </c>
      <c r="F6650" s="9" t="s">
        <v>1324</v>
      </c>
      <c r="G6650" s="10" t="s">
        <v>34</v>
      </c>
      <c r="H6650" s="9" t="s">
        <v>35</v>
      </c>
      <c r="I6650" s="9" t="s">
        <v>15072</v>
      </c>
      <c r="J6650" s="10" t="str">
        <f>HYPERLINK("https://www.boe.es/gazeta/dias/1834/05/22/pdfs/GMD-1834-91.pdf#page=1","Abrir facsímil")</f>
        <v>Abrir facsímil</v>
      </c>
      <c r="K6650" s="10" t="s">
        <v>37</v>
      </c>
    </row>
    <row r="6651" spans="1:11" ht="54" customHeight="1">
      <c r="A6651" s="9" t="s">
        <v>15065</v>
      </c>
      <c r="B6651" s="9" t="s">
        <v>15066</v>
      </c>
      <c r="C6651" s="9" t="s">
        <v>17</v>
      </c>
      <c r="D6651" s="9" t="s">
        <v>18</v>
      </c>
      <c r="E6651" s="10" t="s">
        <v>294</v>
      </c>
      <c r="F6651" s="9" t="s">
        <v>959</v>
      </c>
      <c r="G6651" s="10" t="s">
        <v>86</v>
      </c>
      <c r="H6651" s="9" t="s">
        <v>35</v>
      </c>
      <c r="I6651" s="9" t="s">
        <v>15073</v>
      </c>
      <c r="J6651" s="10" t="str">
        <f>HYPERLINK("https://www.boe.es/gazeta/dias/1834/09/27/pdfs/GMD-C-1834-225.pdf#page=2","Abrir facsímil")</f>
        <v>Abrir facsímil</v>
      </c>
      <c r="K6651" s="10" t="s">
        <v>37</v>
      </c>
    </row>
    <row r="6652" spans="1:11" ht="54" customHeight="1">
      <c r="A6652" s="9" t="s">
        <v>15065</v>
      </c>
      <c r="B6652" s="9" t="s">
        <v>15066</v>
      </c>
      <c r="C6652" s="9" t="s">
        <v>46</v>
      </c>
      <c r="D6652" s="9" t="s">
        <v>18</v>
      </c>
      <c r="E6652" s="10" t="s">
        <v>899</v>
      </c>
      <c r="F6652" s="9" t="s">
        <v>900</v>
      </c>
      <c r="G6652" s="10" t="s">
        <v>21</v>
      </c>
      <c r="H6652" s="9" t="s">
        <v>35</v>
      </c>
      <c r="I6652" s="9" t="s">
        <v>15074</v>
      </c>
      <c r="J6652" s="10" t="str">
        <f>HYPERLINK("https://www.boe.es/gazeta/dias/1834/01/30/pdfs/GMD-1834-14.pdf#page=3","Abrir facsímil")</f>
        <v>Abrir facsímil</v>
      </c>
      <c r="K6652" s="10" t="s">
        <v>37</v>
      </c>
    </row>
    <row r="6653" spans="1:11" ht="54" customHeight="1">
      <c r="A6653" s="9" t="s">
        <v>15065</v>
      </c>
      <c r="B6653" s="9" t="s">
        <v>15066</v>
      </c>
      <c r="C6653" s="9" t="s">
        <v>90</v>
      </c>
      <c r="D6653" s="9" t="s">
        <v>18</v>
      </c>
      <c r="E6653" s="10" t="s">
        <v>286</v>
      </c>
      <c r="F6653" s="9" t="s">
        <v>548</v>
      </c>
      <c r="G6653" s="10" t="s">
        <v>75</v>
      </c>
      <c r="H6653" s="9" t="s">
        <v>35</v>
      </c>
      <c r="I6653" s="9" t="s">
        <v>15075</v>
      </c>
      <c r="J6653" s="10" t="str">
        <f>HYPERLINK("https://www.boe.es/gazeta/dias/1834/08/30/pdfs/GMD-1834-196.pdf#page=4","Abrir facsímil")</f>
        <v>Abrir facsímil</v>
      </c>
      <c r="K6653" s="10" t="s">
        <v>37</v>
      </c>
    </row>
    <row r="6654" spans="1:11" ht="54" customHeight="1">
      <c r="A6654" s="9" t="s">
        <v>15065</v>
      </c>
      <c r="B6654" s="9" t="s">
        <v>15066</v>
      </c>
      <c r="C6654" s="9" t="s">
        <v>17</v>
      </c>
      <c r="D6654" s="9" t="s">
        <v>18</v>
      </c>
      <c r="E6654" s="10" t="s">
        <v>273</v>
      </c>
      <c r="F6654" s="9" t="s">
        <v>274</v>
      </c>
      <c r="G6654" s="10" t="s">
        <v>21</v>
      </c>
      <c r="H6654" s="9" t="s">
        <v>35</v>
      </c>
      <c r="I6654" s="9" t="s">
        <v>15076</v>
      </c>
      <c r="J6654" s="10" t="str">
        <f>HYPERLINK("https://www.boe.es/gazeta/dias/1834/08/31/pdfs/GMD-D-1834-198.pdf#page=3","Abrir facsímil")</f>
        <v>Abrir facsímil</v>
      </c>
      <c r="K6654" s="10" t="s">
        <v>37</v>
      </c>
    </row>
    <row r="6655" spans="1:11" ht="54" customHeight="1">
      <c r="A6655" s="9" t="s">
        <v>15065</v>
      </c>
      <c r="B6655" s="9" t="s">
        <v>15066</v>
      </c>
      <c r="C6655" s="9" t="s">
        <v>17</v>
      </c>
      <c r="D6655" s="9" t="s">
        <v>18</v>
      </c>
      <c r="E6655" s="10" t="s">
        <v>891</v>
      </c>
      <c r="F6655" s="9" t="s">
        <v>892</v>
      </c>
      <c r="G6655" s="10" t="s">
        <v>176</v>
      </c>
      <c r="H6655" s="9" t="s">
        <v>35</v>
      </c>
      <c r="I6655" s="9" t="s">
        <v>15077</v>
      </c>
      <c r="J6655" s="10" t="str">
        <f>HYPERLINK("https://www.boe.es/gazeta/dias/1834/10/31/pdfs/GMD-C-1834-259.pdf#page=6","Abrir facsímil")</f>
        <v>Abrir facsímil</v>
      </c>
      <c r="K6655" s="10" t="s">
        <v>37</v>
      </c>
    </row>
    <row r="6656" spans="1:11" ht="54" customHeight="1">
      <c r="A6656" s="9" t="s">
        <v>15078</v>
      </c>
      <c r="B6656" s="9" t="s">
        <v>15079</v>
      </c>
      <c r="C6656" s="9" t="s">
        <v>17</v>
      </c>
      <c r="D6656" s="9" t="s">
        <v>18</v>
      </c>
      <c r="E6656" s="10" t="s">
        <v>433</v>
      </c>
      <c r="F6656" s="9" t="s">
        <v>434</v>
      </c>
      <c r="G6656" s="10" t="s">
        <v>21</v>
      </c>
      <c r="H6656" s="9" t="s">
        <v>35</v>
      </c>
      <c r="I6656" s="9" t="s">
        <v>15080</v>
      </c>
      <c r="J6656" s="10" t="str">
        <f>HYPERLINK("https://www.boe.es/gazeta/dias/1834/10/07/pdfs/GMD-C-1834-235.pdf#page=3","Abrir facsímil")</f>
        <v>Abrir facsímil</v>
      </c>
      <c r="K6656" s="10" t="s">
        <v>37</v>
      </c>
    </row>
    <row r="6657" spans="1:11" ht="54" customHeight="1">
      <c r="A6657" s="9" t="s">
        <v>15081</v>
      </c>
      <c r="B6657" s="9" t="s">
        <v>15082</v>
      </c>
      <c r="C6657" s="9" t="s">
        <v>17</v>
      </c>
      <c r="D6657" s="9" t="s">
        <v>18</v>
      </c>
      <c r="E6657" s="10" t="s">
        <v>2287</v>
      </c>
      <c r="F6657" s="9" t="s">
        <v>2288</v>
      </c>
      <c r="G6657" s="10" t="s">
        <v>75</v>
      </c>
      <c r="H6657" s="9" t="s">
        <v>22</v>
      </c>
      <c r="I6657" s="9" t="s">
        <v>15083</v>
      </c>
      <c r="J6657" s="10" t="str">
        <f>HYPERLINK("https://www.boe.es/gazeta/dias/1834/12/18/pdfs/GMD-C-1834-308.pdf#page=4","Abrir facsímil")</f>
        <v>Abrir facsímil</v>
      </c>
      <c r="K6657" s="10" t="s">
        <v>24</v>
      </c>
    </row>
    <row r="6658" spans="1:11" ht="54" customHeight="1">
      <c r="A6658" s="9" t="s">
        <v>15084</v>
      </c>
      <c r="B6658" s="9" t="s">
        <v>15084</v>
      </c>
      <c r="C6658" s="9" t="s">
        <v>17</v>
      </c>
      <c r="D6658" s="9" t="s">
        <v>18</v>
      </c>
      <c r="E6658" s="10" t="s">
        <v>905</v>
      </c>
      <c r="F6658" s="9" t="s">
        <v>1651</v>
      </c>
      <c r="G6658" s="10" t="s">
        <v>75</v>
      </c>
      <c r="H6658" s="9" t="s">
        <v>22</v>
      </c>
      <c r="I6658" s="9" t="s">
        <v>15085</v>
      </c>
      <c r="J6658" s="10" t="str">
        <f>HYPERLINK("https://www.boe.es/gazeta/dias/1834/08/02/pdfs/GMD-1834-166.pdf#page=4","Abrir facsímil")</f>
        <v>Abrir facsímil</v>
      </c>
      <c r="K6658" s="10" t="s">
        <v>24</v>
      </c>
    </row>
    <row r="6659" spans="1:11" ht="54" customHeight="1">
      <c r="A6659" s="9" t="s">
        <v>15086</v>
      </c>
      <c r="B6659" s="9" t="s">
        <v>15087</v>
      </c>
      <c r="C6659" s="9" t="s">
        <v>17</v>
      </c>
      <c r="D6659" s="9" t="s">
        <v>18</v>
      </c>
      <c r="E6659" s="10" t="s">
        <v>905</v>
      </c>
      <c r="F6659" s="9" t="s">
        <v>1651</v>
      </c>
      <c r="G6659" s="10" t="s">
        <v>75</v>
      </c>
      <c r="H6659" s="9" t="s">
        <v>35</v>
      </c>
      <c r="I6659" s="9" t="s">
        <v>15088</v>
      </c>
      <c r="J6659" s="10" t="str">
        <f>HYPERLINK("https://www.boe.es/gazeta/dias/1834/08/02/pdfs/GMD-1834-166.pdf#page=4","Abrir facsímil")</f>
        <v>Abrir facsímil</v>
      </c>
      <c r="K6659" s="10" t="s">
        <v>37</v>
      </c>
    </row>
    <row r="6660" spans="1:11" ht="54" customHeight="1">
      <c r="A6660" s="9" t="s">
        <v>15089</v>
      </c>
      <c r="B6660" s="9" t="s">
        <v>15089</v>
      </c>
      <c r="C6660" s="9" t="s">
        <v>17</v>
      </c>
      <c r="D6660" s="9" t="s">
        <v>18</v>
      </c>
      <c r="E6660" s="10" t="s">
        <v>571</v>
      </c>
      <c r="F6660" s="9" t="s">
        <v>620</v>
      </c>
      <c r="G6660" s="10" t="s">
        <v>176</v>
      </c>
      <c r="H6660" s="9" t="s">
        <v>22</v>
      </c>
      <c r="I6660" s="9" t="s">
        <v>15090</v>
      </c>
      <c r="J6660" s="10" t="str">
        <f>HYPERLINK("https://www.boe.es/gazeta/dias/1834/09/04/pdfs/GMD-C-1834-202.pdf#page=6","Abrir facsímil")</f>
        <v>Abrir facsímil</v>
      </c>
      <c r="K6660" s="10" t="s">
        <v>24</v>
      </c>
    </row>
    <row r="6661" spans="1:11" ht="54" customHeight="1">
      <c r="A6661" s="9" t="s">
        <v>15091</v>
      </c>
      <c r="B6661" s="9" t="s">
        <v>15092</v>
      </c>
      <c r="C6661" s="9" t="s">
        <v>17</v>
      </c>
      <c r="D6661" s="9" t="s">
        <v>18</v>
      </c>
      <c r="E6661" s="10" t="s">
        <v>571</v>
      </c>
      <c r="F6661" s="9" t="s">
        <v>620</v>
      </c>
      <c r="G6661" s="10" t="s">
        <v>176</v>
      </c>
      <c r="H6661" s="9" t="s">
        <v>35</v>
      </c>
      <c r="I6661" s="9" t="s">
        <v>15093</v>
      </c>
      <c r="J6661" s="10" t="str">
        <f>HYPERLINK("https://www.boe.es/gazeta/dias/1834/09/04/pdfs/GMD-C-1834-202.pdf#page=6","Abrir facsímil")</f>
        <v>Abrir facsímil</v>
      </c>
      <c r="K6661" s="10" t="s">
        <v>37</v>
      </c>
    </row>
    <row r="6662" spans="1:11" ht="54" customHeight="1">
      <c r="A6662" s="9" t="s">
        <v>15094</v>
      </c>
      <c r="B6662" s="9" t="s">
        <v>15095</v>
      </c>
      <c r="C6662" s="9" t="s">
        <v>46</v>
      </c>
      <c r="D6662" s="9" t="s">
        <v>101</v>
      </c>
      <c r="E6662" s="10" t="s">
        <v>187</v>
      </c>
      <c r="F6662" s="9" t="s">
        <v>188</v>
      </c>
      <c r="G6662" s="10" t="s">
        <v>86</v>
      </c>
      <c r="H6662" s="9" t="s">
        <v>22</v>
      </c>
      <c r="I6662" s="9" t="s">
        <v>15096</v>
      </c>
      <c r="J6662" s="10" t="str">
        <f>HYPERLINK("https://www.boe.es/gazeta/dias/1834/09/30/pdfs/GMD-1834-228.pdf#page=2","Abrir facsímil")</f>
        <v>Abrir facsímil</v>
      </c>
      <c r="K6662" s="10" t="s">
        <v>24</v>
      </c>
    </row>
    <row r="6663" spans="1:11" ht="54" customHeight="1">
      <c r="A6663" s="9" t="s">
        <v>15097</v>
      </c>
      <c r="B6663" s="9" t="s">
        <v>15097</v>
      </c>
      <c r="C6663" s="9" t="s">
        <v>46</v>
      </c>
      <c r="D6663" s="9" t="s">
        <v>18</v>
      </c>
      <c r="E6663" s="10" t="s">
        <v>233</v>
      </c>
      <c r="F6663" s="9" t="s">
        <v>1810</v>
      </c>
      <c r="G6663" s="10" t="s">
        <v>1343</v>
      </c>
      <c r="H6663" s="9" t="s">
        <v>22</v>
      </c>
      <c r="I6663" s="9" t="s">
        <v>15098</v>
      </c>
      <c r="J6663" s="10" t="str">
        <f>HYPERLINK("https://www.boe.es/gazeta/dias/1834/12/16/pdfs/GMD-C-1834-305.pdf#page=9","Abrir facsímil")</f>
        <v>Abrir facsímil</v>
      </c>
      <c r="K6663" s="10" t="s">
        <v>24</v>
      </c>
    </row>
    <row r="6664" spans="1:11" ht="54" customHeight="1">
      <c r="A6664" s="9" t="s">
        <v>15099</v>
      </c>
      <c r="B6664" s="9" t="s">
        <v>15100</v>
      </c>
      <c r="C6664" s="9" t="s">
        <v>17</v>
      </c>
      <c r="D6664" s="9" t="s">
        <v>18</v>
      </c>
      <c r="E6664" s="10" t="s">
        <v>1505</v>
      </c>
      <c r="F6664" s="9" t="s">
        <v>1506</v>
      </c>
      <c r="G6664" s="10" t="s">
        <v>21</v>
      </c>
      <c r="H6664" s="9" t="s">
        <v>22</v>
      </c>
      <c r="I6664" s="9" t="s">
        <v>15101</v>
      </c>
      <c r="J6664" s="10" t="str">
        <f>HYPERLINK("https://www.boe.es/gazeta/dias/1834/05/08/pdfs/GMD-1834-77.pdf#page=3","Abrir facsímil")</f>
        <v>Abrir facsímil</v>
      </c>
      <c r="K6664" s="10" t="s">
        <v>24</v>
      </c>
    </row>
    <row r="6665" spans="1:11" ht="54" customHeight="1">
      <c r="A6665" s="9" t="s">
        <v>15099</v>
      </c>
      <c r="B6665" s="9" t="s">
        <v>15100</v>
      </c>
      <c r="C6665" s="9" t="s">
        <v>122</v>
      </c>
      <c r="D6665" s="9" t="s">
        <v>18</v>
      </c>
      <c r="E6665" s="10" t="s">
        <v>1505</v>
      </c>
      <c r="F6665" s="9" t="s">
        <v>1506</v>
      </c>
      <c r="G6665" s="10" t="s">
        <v>75</v>
      </c>
      <c r="H6665" s="9" t="s">
        <v>22</v>
      </c>
      <c r="I6665" s="9" t="s">
        <v>15102</v>
      </c>
      <c r="J6665" s="10" t="str">
        <f>HYPERLINK("https://www.boe.es/gazeta/dias/1834/05/08/pdfs/GMD-1834-77.pdf#page=4","Abrir facsímil")</f>
        <v>Abrir facsímil</v>
      </c>
      <c r="K6665" s="10" t="s">
        <v>24</v>
      </c>
    </row>
    <row r="6666" spans="1:11" ht="54" customHeight="1">
      <c r="A6666" s="9" t="s">
        <v>15103</v>
      </c>
      <c r="B6666" s="9" t="s">
        <v>15103</v>
      </c>
      <c r="C6666" s="9" t="s">
        <v>90</v>
      </c>
      <c r="D6666" s="9" t="s">
        <v>18</v>
      </c>
      <c r="E6666" s="10" t="s">
        <v>2278</v>
      </c>
      <c r="F6666" s="9" t="s">
        <v>2279</v>
      </c>
      <c r="G6666" s="10" t="s">
        <v>86</v>
      </c>
      <c r="H6666" s="9" t="s">
        <v>22</v>
      </c>
      <c r="I6666" s="9" t="s">
        <v>15104</v>
      </c>
      <c r="J6666" s="10" t="str">
        <f>HYPERLINK("https://www.boe.es/gazeta/dias/1834/12/17/pdfs/GMD-C-1834-306.pdf#page=2","Abrir facsímil")</f>
        <v>Abrir facsímil</v>
      </c>
      <c r="K6666" s="10" t="s">
        <v>24</v>
      </c>
    </row>
    <row r="6667" spans="1:11" ht="54" customHeight="1">
      <c r="A6667" s="9" t="s">
        <v>15103</v>
      </c>
      <c r="B6667" s="9" t="s">
        <v>15103</v>
      </c>
      <c r="C6667" s="9" t="s">
        <v>66</v>
      </c>
      <c r="D6667" s="9" t="s">
        <v>67</v>
      </c>
      <c r="E6667" s="10" t="s">
        <v>153</v>
      </c>
      <c r="F6667" s="9" t="s">
        <v>154</v>
      </c>
      <c r="G6667" s="10" t="s">
        <v>86</v>
      </c>
      <c r="H6667" s="9" t="s">
        <v>22</v>
      </c>
      <c r="I6667" s="9" t="s">
        <v>15105</v>
      </c>
      <c r="J6667" s="10" t="str">
        <f>HYPERLINK("https://www.boe.es/gazeta/dias/1834/12/30/pdfs/GMD-C-1834-320.pdf#page=2","Abrir facsímil")</f>
        <v>Abrir facsímil</v>
      </c>
      <c r="K6667" s="10" t="s">
        <v>24</v>
      </c>
    </row>
    <row r="6668" spans="1:11" ht="54" customHeight="1">
      <c r="A6668" s="9" t="s">
        <v>15106</v>
      </c>
      <c r="B6668" s="9" t="s">
        <v>15107</v>
      </c>
      <c r="C6668" s="9" t="s">
        <v>122</v>
      </c>
      <c r="D6668" s="9" t="s">
        <v>40</v>
      </c>
      <c r="E6668" s="10" t="s">
        <v>823</v>
      </c>
      <c r="F6668" s="9" t="s">
        <v>824</v>
      </c>
      <c r="G6668" s="10" t="s">
        <v>176</v>
      </c>
      <c r="H6668" s="9" t="s">
        <v>22</v>
      </c>
      <c r="I6668" s="9" t="s">
        <v>15108</v>
      </c>
      <c r="J6668" s="10" t="str">
        <f>HYPERLINK("https://www.boe.es/gazeta/dias/1834/07/23/pdfs/GMD-1834-156.pdf#page=6","Abrir facsímil")</f>
        <v>Abrir facsímil</v>
      </c>
      <c r="K6668" s="10" t="s">
        <v>24</v>
      </c>
    </row>
    <row r="6669" spans="1:11" ht="54" customHeight="1">
      <c r="A6669" s="9" t="s">
        <v>15109</v>
      </c>
      <c r="B6669" s="9" t="s">
        <v>15110</v>
      </c>
      <c r="C6669" s="9" t="s">
        <v>46</v>
      </c>
      <c r="D6669" s="9" t="s">
        <v>101</v>
      </c>
      <c r="E6669" s="10" t="s">
        <v>268</v>
      </c>
      <c r="F6669" s="9" t="s">
        <v>3529</v>
      </c>
      <c r="G6669" s="10" t="s">
        <v>21</v>
      </c>
      <c r="H6669" s="9" t="s">
        <v>22</v>
      </c>
      <c r="I6669" s="9" t="s">
        <v>15111</v>
      </c>
      <c r="J6669" s="10" t="str">
        <f>HYPERLINK("https://www.boe.es/gazeta/dias/1834/12/19/pdfs/GMD-1834-309.pdf#page=3","Abrir facsímil")</f>
        <v>Abrir facsímil</v>
      </c>
      <c r="K6669" s="10" t="s">
        <v>24</v>
      </c>
    </row>
    <row r="6670" spans="1:11" ht="54" customHeight="1">
      <c r="A6670" s="9" t="s">
        <v>15112</v>
      </c>
      <c r="B6670" s="9" t="s">
        <v>15112</v>
      </c>
      <c r="C6670" s="9" t="s">
        <v>46</v>
      </c>
      <c r="D6670" s="9" t="s">
        <v>18</v>
      </c>
      <c r="E6670" s="10" t="s">
        <v>96</v>
      </c>
      <c r="F6670" s="9" t="s">
        <v>1725</v>
      </c>
      <c r="G6670" s="10" t="s">
        <v>21</v>
      </c>
      <c r="H6670" s="9" t="s">
        <v>22</v>
      </c>
      <c r="I6670" s="9" t="s">
        <v>15113</v>
      </c>
      <c r="J6670" s="10" t="str">
        <f>HYPERLINK("https://www.boe.es/gazeta/dias/1834/11/11/pdfs/GMD-1834-270.pdf#page=3","Abrir facsímil")</f>
        <v>Abrir facsímil</v>
      </c>
      <c r="K6670" s="10" t="s">
        <v>24</v>
      </c>
    </row>
    <row r="6671" spans="1:11" ht="54" customHeight="1">
      <c r="A6671" s="9" t="s">
        <v>15114</v>
      </c>
      <c r="B6671" s="9" t="s">
        <v>15114</v>
      </c>
      <c r="C6671" s="9" t="s">
        <v>17</v>
      </c>
      <c r="D6671" s="9" t="s">
        <v>18</v>
      </c>
      <c r="E6671" s="10" t="s">
        <v>762</v>
      </c>
      <c r="F6671" s="9" t="s">
        <v>2227</v>
      </c>
      <c r="G6671" s="10" t="s">
        <v>28</v>
      </c>
      <c r="H6671" s="9" t="s">
        <v>22</v>
      </c>
      <c r="I6671" s="9" t="s">
        <v>15115</v>
      </c>
      <c r="J6671" s="10" t="str">
        <f>HYPERLINK("https://www.boe.es/gazeta/dias/1834/11/07/pdfs/GMD-C-1834-266.pdf#page=5","Abrir facsímil")</f>
        <v>Abrir facsímil</v>
      </c>
      <c r="K6671" s="10" t="s">
        <v>24</v>
      </c>
    </row>
    <row r="6672" spans="1:11" ht="54" customHeight="1">
      <c r="A6672" s="9" t="s">
        <v>15114</v>
      </c>
      <c r="B6672" s="9" t="s">
        <v>15114</v>
      </c>
      <c r="C6672" s="9" t="s">
        <v>17</v>
      </c>
      <c r="D6672" s="9" t="s">
        <v>55</v>
      </c>
      <c r="E6672" s="10" t="s">
        <v>762</v>
      </c>
      <c r="F6672" s="9" t="s">
        <v>2227</v>
      </c>
      <c r="G6672" s="10" t="s">
        <v>176</v>
      </c>
      <c r="H6672" s="9" t="s">
        <v>22</v>
      </c>
      <c r="I6672" s="9" t="s">
        <v>15116</v>
      </c>
      <c r="J6672" s="10" t="str">
        <f>HYPERLINK("https://www.boe.es/gazeta/dias/1834/11/07/pdfs/GMD-C-1834-266.pdf#page=6","Abrir facsímil")</f>
        <v>Abrir facsímil</v>
      </c>
      <c r="K6672" s="10" t="s">
        <v>24</v>
      </c>
    </row>
    <row r="6673" spans="1:11" ht="54" customHeight="1">
      <c r="A6673" s="9" t="s">
        <v>15114</v>
      </c>
      <c r="B6673" s="9" t="s">
        <v>15114</v>
      </c>
      <c r="C6673" s="9" t="s">
        <v>17</v>
      </c>
      <c r="D6673" s="9" t="s">
        <v>18</v>
      </c>
      <c r="E6673" s="10" t="s">
        <v>1008</v>
      </c>
      <c r="F6673" s="9" t="s">
        <v>1009</v>
      </c>
      <c r="G6673" s="10" t="s">
        <v>86</v>
      </c>
      <c r="H6673" s="9" t="s">
        <v>22</v>
      </c>
      <c r="I6673" s="9" t="s">
        <v>15117</v>
      </c>
      <c r="J6673" s="10" t="str">
        <f>HYPERLINK("https://www.boe.es/gazeta/dias/1834/11/08/pdfs/GMD-C-1834-267.pdf#page=2","Abrir facsímil")</f>
        <v>Abrir facsímil</v>
      </c>
      <c r="K6673" s="10" t="s">
        <v>24</v>
      </c>
    </row>
    <row r="6674" spans="1:11" ht="54" customHeight="1">
      <c r="A6674" s="9" t="s">
        <v>15114</v>
      </c>
      <c r="B6674" s="9" t="s">
        <v>15114</v>
      </c>
      <c r="C6674" s="9" t="s">
        <v>17</v>
      </c>
      <c r="D6674" s="9" t="s">
        <v>18</v>
      </c>
      <c r="E6674" s="10" t="s">
        <v>1008</v>
      </c>
      <c r="F6674" s="9" t="s">
        <v>1009</v>
      </c>
      <c r="G6674" s="10" t="s">
        <v>176</v>
      </c>
      <c r="H6674" s="9" t="s">
        <v>22</v>
      </c>
      <c r="I6674" s="9" t="s">
        <v>15118</v>
      </c>
      <c r="J6674" s="10" t="str">
        <f>HYPERLINK("https://www.boe.es/gazeta/dias/1834/11/08/pdfs/GMD-C-1834-267.pdf#page=6","Abrir facsímil")</f>
        <v>Abrir facsímil</v>
      </c>
      <c r="K6674" s="10" t="s">
        <v>24</v>
      </c>
    </row>
    <row r="6675" spans="1:11" ht="54" customHeight="1">
      <c r="A6675" s="9" t="s">
        <v>15114</v>
      </c>
      <c r="B6675" s="9" t="s">
        <v>15114</v>
      </c>
      <c r="C6675" s="9" t="s">
        <v>17</v>
      </c>
      <c r="D6675" s="9" t="s">
        <v>55</v>
      </c>
      <c r="E6675" s="10" t="s">
        <v>1008</v>
      </c>
      <c r="F6675" s="9" t="s">
        <v>1009</v>
      </c>
      <c r="G6675" s="10" t="s">
        <v>560</v>
      </c>
      <c r="H6675" s="9" t="s">
        <v>22</v>
      </c>
      <c r="I6675" s="9" t="s">
        <v>15119</v>
      </c>
      <c r="J6675" s="10" t="str">
        <f>HYPERLINK("https://www.boe.es/gazeta/dias/1834/11/08/pdfs/GMD-C-1834-267.pdf#page=7","Abrir facsímil")</f>
        <v>Abrir facsímil</v>
      </c>
      <c r="K6675" s="10" t="s">
        <v>24</v>
      </c>
    </row>
    <row r="6676" spans="1:11" ht="54" customHeight="1">
      <c r="A6676" s="9" t="s">
        <v>15114</v>
      </c>
      <c r="B6676" s="9" t="s">
        <v>15114</v>
      </c>
      <c r="C6676" s="9" t="s">
        <v>17</v>
      </c>
      <c r="D6676" s="9" t="s">
        <v>18</v>
      </c>
      <c r="E6676" s="10" t="s">
        <v>438</v>
      </c>
      <c r="F6676" s="9" t="s">
        <v>528</v>
      </c>
      <c r="G6676" s="10" t="s">
        <v>34</v>
      </c>
      <c r="H6676" s="9" t="s">
        <v>22</v>
      </c>
      <c r="I6676" s="9" t="s">
        <v>15120</v>
      </c>
      <c r="J6676" s="10" t="str">
        <f>HYPERLINK("https://www.boe.es/gazeta/dias/1834/11/09/pdfs/GMD-C-1834-268.pdf#page=1","Abrir facsímil")</f>
        <v>Abrir facsímil</v>
      </c>
      <c r="K6676" s="10" t="s">
        <v>24</v>
      </c>
    </row>
    <row r="6677" spans="1:11" ht="54" customHeight="1">
      <c r="A6677" s="9" t="s">
        <v>15114</v>
      </c>
      <c r="B6677" s="9" t="s">
        <v>15114</v>
      </c>
      <c r="C6677" s="9" t="s">
        <v>46</v>
      </c>
      <c r="D6677" s="9" t="s">
        <v>55</v>
      </c>
      <c r="E6677" s="10" t="s">
        <v>438</v>
      </c>
      <c r="F6677" s="9" t="s">
        <v>528</v>
      </c>
      <c r="G6677" s="10" t="s">
        <v>28</v>
      </c>
      <c r="H6677" s="9" t="s">
        <v>22</v>
      </c>
      <c r="I6677" s="9" t="s">
        <v>15121</v>
      </c>
      <c r="J6677" s="10" t="str">
        <f>HYPERLINK("https://www.boe.es/gazeta/dias/1834/11/09/pdfs/GMD-C-1834-268.pdf#page=5","Abrir facsímil")</f>
        <v>Abrir facsímil</v>
      </c>
      <c r="K6677" s="10" t="s">
        <v>24</v>
      </c>
    </row>
    <row r="6678" spans="1:11" ht="54" customHeight="1">
      <c r="A6678" s="9" t="s">
        <v>15114</v>
      </c>
      <c r="B6678" s="9" t="s">
        <v>15114</v>
      </c>
      <c r="C6678" s="9" t="s">
        <v>17</v>
      </c>
      <c r="D6678" s="9" t="s">
        <v>18</v>
      </c>
      <c r="E6678" s="10" t="s">
        <v>96</v>
      </c>
      <c r="F6678" s="9" t="s">
        <v>97</v>
      </c>
      <c r="G6678" s="10" t="s">
        <v>86</v>
      </c>
      <c r="H6678" s="9" t="s">
        <v>22</v>
      </c>
      <c r="I6678" s="9" t="s">
        <v>15122</v>
      </c>
      <c r="J6678" s="10" t="str">
        <f>HYPERLINK("https://www.boe.es/gazeta/dias/1834/11/11/pdfs/GMD-C-1834-270.pdf#page=2","Abrir facsímil")</f>
        <v>Abrir facsímil</v>
      </c>
      <c r="K6678" s="10" t="s">
        <v>24</v>
      </c>
    </row>
    <row r="6679" spans="1:11" ht="54" customHeight="1">
      <c r="A6679" s="9" t="s">
        <v>15114</v>
      </c>
      <c r="B6679" s="9" t="s">
        <v>15114</v>
      </c>
      <c r="C6679" s="9" t="s">
        <v>17</v>
      </c>
      <c r="D6679" s="9" t="s">
        <v>18</v>
      </c>
      <c r="E6679" s="10" t="s">
        <v>200</v>
      </c>
      <c r="F6679" s="9" t="s">
        <v>2248</v>
      </c>
      <c r="G6679" s="10" t="s">
        <v>75</v>
      </c>
      <c r="H6679" s="9" t="s">
        <v>22</v>
      </c>
      <c r="I6679" s="9" t="s">
        <v>15123</v>
      </c>
      <c r="J6679" s="10" t="str">
        <f>HYPERLINK("https://www.boe.es/gazeta/dias/1834/12/11/pdfs/GMD-C-1834-300.pdf#page=4","Abrir facsímil")</f>
        <v>Abrir facsímil</v>
      </c>
      <c r="K6679" s="10" t="s">
        <v>24</v>
      </c>
    </row>
    <row r="6680" spans="1:11" ht="54" customHeight="1">
      <c r="A6680" s="9" t="s">
        <v>15114</v>
      </c>
      <c r="B6680" s="9" t="s">
        <v>15114</v>
      </c>
      <c r="C6680" s="9" t="s">
        <v>17</v>
      </c>
      <c r="D6680" s="9" t="s">
        <v>18</v>
      </c>
      <c r="E6680" s="10" t="s">
        <v>1981</v>
      </c>
      <c r="F6680" s="9" t="s">
        <v>2471</v>
      </c>
      <c r="G6680" s="10" t="s">
        <v>21</v>
      </c>
      <c r="H6680" s="9" t="s">
        <v>22</v>
      </c>
      <c r="I6680" s="9" t="s">
        <v>15124</v>
      </c>
      <c r="J6680" s="10" t="str">
        <f>HYPERLINK("https://www.boe.es/gazeta/dias/1834/12/13/pdfs/GMD-C-1834-302.pdf#page=3","Abrir facsímil")</f>
        <v>Abrir facsímil</v>
      </c>
      <c r="K6680" s="10" t="s">
        <v>24</v>
      </c>
    </row>
    <row r="6681" spans="1:11" ht="54" customHeight="1">
      <c r="A6681" s="9" t="s">
        <v>15114</v>
      </c>
      <c r="B6681" s="9" t="s">
        <v>15114</v>
      </c>
      <c r="C6681" s="9" t="s">
        <v>17</v>
      </c>
      <c r="D6681" s="9" t="s">
        <v>18</v>
      </c>
      <c r="E6681" s="10" t="s">
        <v>883</v>
      </c>
      <c r="F6681" s="9" t="s">
        <v>884</v>
      </c>
      <c r="G6681" s="10" t="s">
        <v>86</v>
      </c>
      <c r="H6681" s="9" t="s">
        <v>22</v>
      </c>
      <c r="I6681" s="9" t="s">
        <v>15125</v>
      </c>
      <c r="J6681" s="10" t="str">
        <f>HYPERLINK("https://www.boe.es/gazeta/dias/1834/11/16/pdfs/GMD-C-1834-275.pdf#page=2","Abrir facsímil")</f>
        <v>Abrir facsímil</v>
      </c>
      <c r="K6681" s="10" t="s">
        <v>24</v>
      </c>
    </row>
    <row r="6682" spans="1:11" ht="54" customHeight="1">
      <c r="A6682" s="9" t="s">
        <v>15114</v>
      </c>
      <c r="B6682" s="9" t="s">
        <v>15114</v>
      </c>
      <c r="C6682" s="9" t="s">
        <v>90</v>
      </c>
      <c r="D6682" s="9" t="s">
        <v>18</v>
      </c>
      <c r="E6682" s="10" t="s">
        <v>2278</v>
      </c>
      <c r="F6682" s="9" t="s">
        <v>2279</v>
      </c>
      <c r="G6682" s="10" t="s">
        <v>21</v>
      </c>
      <c r="H6682" s="9" t="s">
        <v>22</v>
      </c>
      <c r="I6682" s="9" t="s">
        <v>15126</v>
      </c>
      <c r="J6682" s="10" t="str">
        <f>HYPERLINK("https://www.boe.es/gazeta/dias/1834/12/17/pdfs/GMD-C-1834-306.pdf#page=3","Abrir facsímil")</f>
        <v>Abrir facsímil</v>
      </c>
      <c r="K6682" s="10" t="s">
        <v>24</v>
      </c>
    </row>
    <row r="6683" spans="1:11" ht="54" customHeight="1">
      <c r="A6683" s="9" t="s">
        <v>15114</v>
      </c>
      <c r="B6683" s="9" t="s">
        <v>15114</v>
      </c>
      <c r="C6683" s="9" t="s">
        <v>17</v>
      </c>
      <c r="D6683" s="9" t="s">
        <v>18</v>
      </c>
      <c r="E6683" s="10" t="s">
        <v>610</v>
      </c>
      <c r="F6683" s="9" t="s">
        <v>611</v>
      </c>
      <c r="G6683" s="10" t="s">
        <v>21</v>
      </c>
      <c r="H6683" s="9" t="s">
        <v>22</v>
      </c>
      <c r="I6683" s="9" t="s">
        <v>15127</v>
      </c>
      <c r="J6683" s="10" t="str">
        <f>HYPERLINK("https://www.boe.es/gazeta/dias/1834/12/21/pdfs/GMD-C-1834-311.pdf#page=3","Abrir facsímil")</f>
        <v>Abrir facsímil</v>
      </c>
      <c r="K6683" s="10" t="s">
        <v>24</v>
      </c>
    </row>
    <row r="6684" spans="1:11" ht="54" customHeight="1">
      <c r="A6684" s="9" t="s">
        <v>15114</v>
      </c>
      <c r="B6684" s="9" t="s">
        <v>15114</v>
      </c>
      <c r="C6684" s="9" t="s">
        <v>90</v>
      </c>
      <c r="D6684" s="9" t="s">
        <v>18</v>
      </c>
      <c r="E6684" s="10" t="s">
        <v>667</v>
      </c>
      <c r="F6684" s="9" t="s">
        <v>668</v>
      </c>
      <c r="G6684" s="10" t="s">
        <v>34</v>
      </c>
      <c r="H6684" s="9" t="s">
        <v>22</v>
      </c>
      <c r="I6684" s="9" t="s">
        <v>15128</v>
      </c>
      <c r="J6684" s="10" t="str">
        <f>HYPERLINK("https://www.boe.es/gazeta/dias/1834/11/23/pdfs/GMD-C-1834-282.pdf#page=1","Abrir facsímil")</f>
        <v>Abrir facsímil</v>
      </c>
      <c r="K6684" s="10" t="s">
        <v>24</v>
      </c>
    </row>
    <row r="6685" spans="1:11" ht="54" customHeight="1">
      <c r="A6685" s="9" t="s">
        <v>15114</v>
      </c>
      <c r="B6685" s="9" t="s">
        <v>15114</v>
      </c>
      <c r="C6685" s="9" t="s">
        <v>122</v>
      </c>
      <c r="D6685" s="9" t="s">
        <v>40</v>
      </c>
      <c r="E6685" s="10" t="s">
        <v>394</v>
      </c>
      <c r="F6685" s="9" t="s">
        <v>459</v>
      </c>
      <c r="G6685" s="10" t="s">
        <v>75</v>
      </c>
      <c r="H6685" s="9" t="s">
        <v>22</v>
      </c>
      <c r="I6685" s="9" t="s">
        <v>15129</v>
      </c>
      <c r="J6685" s="10" t="str">
        <f>HYPERLINK("https://www.boe.es/gazeta/dias/1834/12/23/pdfs/GMD-C-1834-313.pdf#page=4","Abrir facsímil")</f>
        <v>Abrir facsímil</v>
      </c>
      <c r="K6685" s="10" t="s">
        <v>24</v>
      </c>
    </row>
    <row r="6686" spans="1:11" ht="54" customHeight="1">
      <c r="A6686" s="9" t="s">
        <v>15114</v>
      </c>
      <c r="B6686" s="9" t="s">
        <v>15114</v>
      </c>
      <c r="C6686" s="9" t="s">
        <v>17</v>
      </c>
      <c r="D6686" s="9" t="s">
        <v>18</v>
      </c>
      <c r="E6686" s="10" t="s">
        <v>707</v>
      </c>
      <c r="F6686" s="9" t="s">
        <v>708</v>
      </c>
      <c r="G6686" s="10" t="s">
        <v>560</v>
      </c>
      <c r="H6686" s="9" t="s">
        <v>22</v>
      </c>
      <c r="I6686" s="9" t="s">
        <v>15130</v>
      </c>
      <c r="J6686" s="10" t="str">
        <f>HYPERLINK("https://www.boe.es/gazeta/dias/1834/11/25/pdfs/GMD-C-1834-284.pdf#page=7","Abrir facsímil")</f>
        <v>Abrir facsímil</v>
      </c>
      <c r="K6686" s="10" t="s">
        <v>24</v>
      </c>
    </row>
    <row r="6687" spans="1:11" ht="54" customHeight="1">
      <c r="A6687" s="9" t="s">
        <v>15114</v>
      </c>
      <c r="B6687" s="9" t="s">
        <v>15114</v>
      </c>
      <c r="C6687" s="9" t="s">
        <v>17</v>
      </c>
      <c r="D6687" s="9" t="s">
        <v>18</v>
      </c>
      <c r="E6687" s="10" t="s">
        <v>524</v>
      </c>
      <c r="F6687" s="9" t="s">
        <v>525</v>
      </c>
      <c r="G6687" s="10" t="s">
        <v>86</v>
      </c>
      <c r="H6687" s="9" t="s">
        <v>22</v>
      </c>
      <c r="I6687" s="9" t="s">
        <v>15131</v>
      </c>
      <c r="J6687" s="10" t="str">
        <f>HYPERLINK("https://www.boe.es/gazeta/dias/1834/12/25/pdfs/GMD-C-1834-315.pdf#page=2","Abrir facsímil")</f>
        <v>Abrir facsímil</v>
      </c>
      <c r="K6687" s="10" t="s">
        <v>24</v>
      </c>
    </row>
    <row r="6688" spans="1:11" ht="54" customHeight="1">
      <c r="A6688" s="9" t="s">
        <v>15114</v>
      </c>
      <c r="B6688" s="9" t="s">
        <v>15114</v>
      </c>
      <c r="C6688" s="9" t="s">
        <v>66</v>
      </c>
      <c r="D6688" s="9" t="s">
        <v>67</v>
      </c>
      <c r="E6688" s="10" t="s">
        <v>510</v>
      </c>
      <c r="F6688" s="9" t="s">
        <v>531</v>
      </c>
      <c r="G6688" s="10" t="s">
        <v>176</v>
      </c>
      <c r="H6688" s="9" t="s">
        <v>22</v>
      </c>
      <c r="I6688" s="9" t="s">
        <v>15132</v>
      </c>
      <c r="J6688" s="10" t="str">
        <f>HYPERLINK("https://www.boe.es/gazeta/dias/1834/11/26/pdfs/GMD-C-1834-285.pdf#page=6","Abrir facsímil")</f>
        <v>Abrir facsímil</v>
      </c>
      <c r="K6688" s="10" t="s">
        <v>24</v>
      </c>
    </row>
    <row r="6689" spans="1:11" ht="54" customHeight="1">
      <c r="A6689" s="9" t="s">
        <v>15114</v>
      </c>
      <c r="B6689" s="9" t="s">
        <v>15114</v>
      </c>
      <c r="C6689" s="9" t="s">
        <v>17</v>
      </c>
      <c r="D6689" s="9" t="s">
        <v>18</v>
      </c>
      <c r="E6689" s="10" t="s">
        <v>465</v>
      </c>
      <c r="F6689" s="9" t="s">
        <v>466</v>
      </c>
      <c r="G6689" s="10" t="s">
        <v>21</v>
      </c>
      <c r="H6689" s="9" t="s">
        <v>22</v>
      </c>
      <c r="I6689" s="9" t="s">
        <v>15133</v>
      </c>
      <c r="J6689" s="10" t="str">
        <f>HYPERLINK("https://www.boe.es/gazeta/dias/1834/11/27/pdfs/GMD-C-1834-286.pdf#page=3","Abrir facsímil")</f>
        <v>Abrir facsímil</v>
      </c>
      <c r="K6689" s="10" t="s">
        <v>24</v>
      </c>
    </row>
    <row r="6690" spans="1:11" ht="54" customHeight="1">
      <c r="A6690" s="9" t="s">
        <v>15114</v>
      </c>
      <c r="B6690" s="9" t="s">
        <v>15114</v>
      </c>
      <c r="C6690" s="9" t="s">
        <v>17</v>
      </c>
      <c r="D6690" s="9" t="s">
        <v>18</v>
      </c>
      <c r="E6690" s="10" t="s">
        <v>2142</v>
      </c>
      <c r="F6690" s="9" t="s">
        <v>2316</v>
      </c>
      <c r="G6690" s="10" t="s">
        <v>34</v>
      </c>
      <c r="H6690" s="9" t="s">
        <v>22</v>
      </c>
      <c r="I6690" s="9" t="s">
        <v>15134</v>
      </c>
      <c r="J6690" s="10" t="str">
        <f>HYPERLINK("https://www.boe.es/gazeta/dias/1834/12/27/pdfs/GMD-C-1834-317.pdf#page=1","Abrir facsímil")</f>
        <v>Abrir facsímil</v>
      </c>
      <c r="K6690" s="10" t="s">
        <v>24</v>
      </c>
    </row>
    <row r="6691" spans="1:11" ht="54" customHeight="1">
      <c r="A6691" s="9" t="s">
        <v>15114</v>
      </c>
      <c r="B6691" s="9" t="s">
        <v>15114</v>
      </c>
      <c r="C6691" s="9" t="s">
        <v>66</v>
      </c>
      <c r="D6691" s="9" t="s">
        <v>67</v>
      </c>
      <c r="E6691" s="10" t="s">
        <v>2526</v>
      </c>
      <c r="F6691" s="9" t="s">
        <v>2527</v>
      </c>
      <c r="G6691" s="10" t="s">
        <v>34</v>
      </c>
      <c r="H6691" s="9" t="s">
        <v>22</v>
      </c>
      <c r="I6691" s="9" t="s">
        <v>15135</v>
      </c>
      <c r="J6691" s="10" t="str">
        <f>HYPERLINK("https://www.boe.es/gazeta/dias/1834/12/29/pdfs/GMD-C-1834-319.pdf#page=1","Abrir facsímil")</f>
        <v>Abrir facsímil</v>
      </c>
      <c r="K6691" s="10" t="s">
        <v>24</v>
      </c>
    </row>
    <row r="6692" spans="1:11" ht="54" customHeight="1">
      <c r="A6692" s="9" t="s">
        <v>15114</v>
      </c>
      <c r="B6692" s="9" t="s">
        <v>15114</v>
      </c>
      <c r="C6692" s="9" t="s">
        <v>90</v>
      </c>
      <c r="D6692" s="9" t="s">
        <v>18</v>
      </c>
      <c r="E6692" s="10" t="s">
        <v>2526</v>
      </c>
      <c r="F6692" s="9" t="s">
        <v>2527</v>
      </c>
      <c r="G6692" s="10" t="s">
        <v>86</v>
      </c>
      <c r="H6692" s="9" t="s">
        <v>22</v>
      </c>
      <c r="I6692" s="9" t="s">
        <v>15136</v>
      </c>
      <c r="J6692" s="10" t="str">
        <f>HYPERLINK("https://www.boe.es/gazeta/dias/1834/12/29/pdfs/GMD-C-1834-319.pdf#page=2","Abrir facsímil")</f>
        <v>Abrir facsímil</v>
      </c>
      <c r="K6692" s="10" t="s">
        <v>24</v>
      </c>
    </row>
    <row r="6693" spans="1:11" ht="54" customHeight="1">
      <c r="A6693" s="9" t="s">
        <v>15114</v>
      </c>
      <c r="B6693" s="9" t="s">
        <v>15114</v>
      </c>
      <c r="C6693" s="9" t="s">
        <v>66</v>
      </c>
      <c r="D6693" s="9" t="s">
        <v>67</v>
      </c>
      <c r="E6693" s="10" t="s">
        <v>2526</v>
      </c>
      <c r="F6693" s="9" t="s">
        <v>2527</v>
      </c>
      <c r="G6693" s="10" t="s">
        <v>75</v>
      </c>
      <c r="H6693" s="9" t="s">
        <v>22</v>
      </c>
      <c r="I6693" s="9" t="s">
        <v>15137</v>
      </c>
      <c r="J6693" s="10" t="str">
        <f>HYPERLINK("https://www.boe.es/gazeta/dias/1834/12/29/pdfs/GMD-C-1834-319.pdf#page=4","Abrir facsímil")</f>
        <v>Abrir facsímil</v>
      </c>
      <c r="K6693" s="10" t="s">
        <v>24</v>
      </c>
    </row>
    <row r="6694" spans="1:11" ht="54" customHeight="1">
      <c r="A6694" s="9" t="s">
        <v>15114</v>
      </c>
      <c r="B6694" s="9" t="s">
        <v>15114</v>
      </c>
      <c r="C6694" s="9" t="s">
        <v>46</v>
      </c>
      <c r="D6694" s="9" t="s">
        <v>101</v>
      </c>
      <c r="E6694" s="10" t="s">
        <v>153</v>
      </c>
      <c r="F6694" s="9" t="s">
        <v>154</v>
      </c>
      <c r="G6694" s="10" t="s">
        <v>34</v>
      </c>
      <c r="H6694" s="9" t="s">
        <v>22</v>
      </c>
      <c r="I6694" s="9" t="s">
        <v>15138</v>
      </c>
      <c r="J6694" s="10" t="str">
        <f>HYPERLINK("https://www.boe.es/gazeta/dias/1834/12/30/pdfs/GMD-C-1834-320.pdf#page=1","Abrir facsímil")</f>
        <v>Abrir facsímil</v>
      </c>
      <c r="K6694" s="10" t="s">
        <v>24</v>
      </c>
    </row>
    <row r="6695" spans="1:11" ht="54" customHeight="1">
      <c r="A6695" s="9" t="s">
        <v>15114</v>
      </c>
      <c r="B6695" s="9" t="s">
        <v>15114</v>
      </c>
      <c r="C6695" s="9" t="s">
        <v>17</v>
      </c>
      <c r="D6695" s="9" t="s">
        <v>18</v>
      </c>
      <c r="E6695" s="10" t="s">
        <v>153</v>
      </c>
      <c r="F6695" s="9" t="s">
        <v>154</v>
      </c>
      <c r="G6695" s="10" t="s">
        <v>86</v>
      </c>
      <c r="H6695" s="9" t="s">
        <v>22</v>
      </c>
      <c r="I6695" s="9" t="s">
        <v>15139</v>
      </c>
      <c r="J6695" s="10" t="str">
        <f>HYPERLINK("https://www.boe.es/gazeta/dias/1834/12/30/pdfs/GMD-C-1834-320.pdf#page=2","Abrir facsímil")</f>
        <v>Abrir facsímil</v>
      </c>
      <c r="K6695" s="10" t="s">
        <v>24</v>
      </c>
    </row>
    <row r="6696" spans="1:11" ht="54" customHeight="1">
      <c r="A6696" s="9" t="s">
        <v>15114</v>
      </c>
      <c r="B6696" s="9" t="s">
        <v>15114</v>
      </c>
      <c r="C6696" s="9" t="s">
        <v>66</v>
      </c>
      <c r="D6696" s="9" t="s">
        <v>67</v>
      </c>
      <c r="E6696" s="10" t="s">
        <v>153</v>
      </c>
      <c r="F6696" s="9" t="s">
        <v>154</v>
      </c>
      <c r="G6696" s="10" t="s">
        <v>75</v>
      </c>
      <c r="H6696" s="9" t="s">
        <v>22</v>
      </c>
      <c r="I6696" s="9" t="s">
        <v>15140</v>
      </c>
      <c r="J6696" s="10" t="str">
        <f>HYPERLINK("https://www.boe.es/gazeta/dias/1834/12/30/pdfs/GMD-C-1834-320.pdf#page=4","Abrir facsímil")</f>
        <v>Abrir facsímil</v>
      </c>
      <c r="K6696" s="10" t="s">
        <v>24</v>
      </c>
    </row>
    <row r="6697" spans="1:11" ht="54" customHeight="1">
      <c r="A6697" s="9" t="s">
        <v>15114</v>
      </c>
      <c r="B6697" s="9" t="s">
        <v>15114</v>
      </c>
      <c r="C6697" s="9" t="s">
        <v>17</v>
      </c>
      <c r="D6697" s="9" t="s">
        <v>18</v>
      </c>
      <c r="E6697" s="10" t="s">
        <v>153</v>
      </c>
      <c r="F6697" s="9" t="s">
        <v>154</v>
      </c>
      <c r="G6697" s="10" t="s">
        <v>560</v>
      </c>
      <c r="H6697" s="9" t="s">
        <v>22</v>
      </c>
      <c r="I6697" s="9" t="s">
        <v>15141</v>
      </c>
      <c r="J6697" s="10" t="str">
        <f>HYPERLINK("https://www.boe.es/gazeta/dias/1834/12/30/pdfs/GMD-C-1834-320.pdf#page=7","Abrir facsímil")</f>
        <v>Abrir facsímil</v>
      </c>
      <c r="K6697" s="10" t="s">
        <v>24</v>
      </c>
    </row>
    <row r="6698" spans="1:11" ht="54" customHeight="1">
      <c r="A6698" s="9" t="s">
        <v>15114</v>
      </c>
      <c r="B6698" s="9" t="s">
        <v>15114</v>
      </c>
      <c r="C6698" s="9" t="s">
        <v>17</v>
      </c>
      <c r="D6698" s="9" t="s">
        <v>18</v>
      </c>
      <c r="E6698" s="10" t="s">
        <v>192</v>
      </c>
      <c r="F6698" s="9" t="s">
        <v>2713</v>
      </c>
      <c r="G6698" s="10" t="s">
        <v>75</v>
      </c>
      <c r="H6698" s="9" t="s">
        <v>22</v>
      </c>
      <c r="I6698" s="9" t="s">
        <v>15142</v>
      </c>
      <c r="J6698" s="10" t="str">
        <f>HYPERLINK("https://www.boe.es/gazeta/dias/1834/12/31/pdfs/GMD-C-1834-321.pdf#page=4","Abrir facsímil")</f>
        <v>Abrir facsímil</v>
      </c>
      <c r="K6698" s="10" t="s">
        <v>24</v>
      </c>
    </row>
    <row r="6699" spans="1:11" ht="54" customHeight="1">
      <c r="A6699" s="9" t="s">
        <v>15143</v>
      </c>
      <c r="B6699" s="9" t="s">
        <v>15144</v>
      </c>
      <c r="C6699" s="9" t="s">
        <v>66</v>
      </c>
      <c r="D6699" s="9" t="s">
        <v>67</v>
      </c>
      <c r="E6699" s="10" t="s">
        <v>808</v>
      </c>
      <c r="F6699" s="9" t="s">
        <v>809</v>
      </c>
      <c r="G6699" s="10" t="s">
        <v>21</v>
      </c>
      <c r="H6699" s="9" t="s">
        <v>22</v>
      </c>
      <c r="I6699" s="9" t="s">
        <v>15145</v>
      </c>
      <c r="J6699" s="10" t="str">
        <f>HYPERLINK("https://www.boe.es/gazeta/dias/1834/10/11/pdfs/GMD-1834-239.pdf#page=3","Abrir facsímil")</f>
        <v>Abrir facsímil</v>
      </c>
      <c r="K6699" s="10" t="s">
        <v>24</v>
      </c>
    </row>
    <row r="6700" spans="1:11" ht="54" customHeight="1">
      <c r="A6700" s="9" t="s">
        <v>15146</v>
      </c>
      <c r="B6700" s="9" t="s">
        <v>15147</v>
      </c>
      <c r="C6700" s="9" t="s">
        <v>17</v>
      </c>
      <c r="D6700" s="9" t="s">
        <v>18</v>
      </c>
      <c r="E6700" s="10" t="s">
        <v>891</v>
      </c>
      <c r="F6700" s="9" t="s">
        <v>892</v>
      </c>
      <c r="G6700" s="10" t="s">
        <v>176</v>
      </c>
      <c r="H6700" s="9" t="s">
        <v>35</v>
      </c>
      <c r="I6700" s="9" t="s">
        <v>15148</v>
      </c>
      <c r="J6700" s="10" t="str">
        <f>HYPERLINK("https://www.boe.es/gazeta/dias/1834/10/31/pdfs/GMD-C-1834-259.pdf#page=6","Abrir facsímil")</f>
        <v>Abrir facsímil</v>
      </c>
      <c r="K6700" s="10" t="s">
        <v>37</v>
      </c>
    </row>
    <row r="6701" spans="1:11" ht="54" customHeight="1">
      <c r="A6701" s="9" t="s">
        <v>15149</v>
      </c>
      <c r="B6701" s="9" t="s">
        <v>15150</v>
      </c>
      <c r="C6701" s="9" t="s">
        <v>90</v>
      </c>
      <c r="D6701" s="9" t="s">
        <v>67</v>
      </c>
      <c r="E6701" s="10" t="s">
        <v>1234</v>
      </c>
      <c r="F6701" s="9" t="s">
        <v>1235</v>
      </c>
      <c r="G6701" s="10" t="s">
        <v>34</v>
      </c>
      <c r="H6701" s="9" t="s">
        <v>35</v>
      </c>
      <c r="I6701" s="9" t="s">
        <v>15151</v>
      </c>
      <c r="J6701" s="10" t="str">
        <f>HYPERLINK("https://www.boe.es/gazeta/dias/1834/05/15/pdfs/GMD-C-1834-84.pdf#page=1","Abrir facsímil")</f>
        <v>Abrir facsímil</v>
      </c>
      <c r="K6701" s="10" t="s">
        <v>37</v>
      </c>
    </row>
    <row r="6702" spans="1:11" ht="54" customHeight="1">
      <c r="A6702" s="9" t="s">
        <v>15152</v>
      </c>
      <c r="B6702" s="9" t="s">
        <v>15153</v>
      </c>
      <c r="C6702" s="9" t="s">
        <v>66</v>
      </c>
      <c r="D6702" s="9" t="s">
        <v>67</v>
      </c>
      <c r="E6702" s="10" t="s">
        <v>2526</v>
      </c>
      <c r="F6702" s="9" t="s">
        <v>2527</v>
      </c>
      <c r="G6702" s="10" t="s">
        <v>75</v>
      </c>
      <c r="H6702" s="9" t="s">
        <v>22</v>
      </c>
      <c r="I6702" s="9" t="s">
        <v>15154</v>
      </c>
      <c r="J6702" s="10" t="str">
        <f>HYPERLINK("https://www.boe.es/gazeta/dias/1834/12/29/pdfs/GMD-C-1834-319.pdf#page=4","Abrir facsímil")</f>
        <v>Abrir facsímil</v>
      </c>
      <c r="K6702" s="10" t="s">
        <v>24</v>
      </c>
    </row>
    <row r="6703" spans="1:11" ht="54" customHeight="1">
      <c r="A6703" s="9" t="s">
        <v>15155</v>
      </c>
      <c r="B6703" s="9" t="s">
        <v>15156</v>
      </c>
      <c r="C6703" s="9" t="s">
        <v>17</v>
      </c>
      <c r="D6703" s="9" t="s">
        <v>18</v>
      </c>
      <c r="E6703" s="10" t="s">
        <v>61</v>
      </c>
      <c r="F6703" s="9" t="s">
        <v>205</v>
      </c>
      <c r="G6703" s="10" t="s">
        <v>75</v>
      </c>
      <c r="H6703" s="9" t="s">
        <v>22</v>
      </c>
      <c r="I6703" s="9" t="s">
        <v>15157</v>
      </c>
      <c r="J6703" s="10" t="str">
        <f>HYPERLINK("https://www.boe.es/gazeta/dias/1834/06/08/pdfs/GMD-1834-110.pdf#page=4","Abrir facsímil")</f>
        <v>Abrir facsímil</v>
      </c>
      <c r="K6703" s="10" t="s">
        <v>24</v>
      </c>
    </row>
    <row r="6704" spans="1:11" ht="54" customHeight="1">
      <c r="A6704" s="9" t="s">
        <v>15158</v>
      </c>
      <c r="B6704" s="9" t="s">
        <v>15159</v>
      </c>
      <c r="C6704" s="9" t="s">
        <v>90</v>
      </c>
      <c r="D6704" s="9" t="s">
        <v>18</v>
      </c>
      <c r="E6704" s="10" t="s">
        <v>192</v>
      </c>
      <c r="F6704" s="9" t="s">
        <v>2713</v>
      </c>
      <c r="G6704" s="10" t="s">
        <v>28</v>
      </c>
      <c r="H6704" s="9" t="s">
        <v>22</v>
      </c>
      <c r="I6704" s="9" t="s">
        <v>15160</v>
      </c>
      <c r="J6704" s="10" t="str">
        <f>HYPERLINK("https://www.boe.es/gazeta/dias/1834/12/31/pdfs/GMD-C-1834-321.pdf#page=5","Abrir facsímil")</f>
        <v>Abrir facsímil</v>
      </c>
      <c r="K6704" s="10" t="s">
        <v>24</v>
      </c>
    </row>
    <row r="6705" spans="1:11" ht="54" customHeight="1">
      <c r="A6705" s="9" t="s">
        <v>15161</v>
      </c>
      <c r="B6705" s="9" t="s">
        <v>15162</v>
      </c>
      <c r="C6705" s="9" t="s">
        <v>17</v>
      </c>
      <c r="D6705" s="9" t="s">
        <v>40</v>
      </c>
      <c r="E6705" s="10" t="s">
        <v>167</v>
      </c>
      <c r="F6705" s="9" t="s">
        <v>1200</v>
      </c>
      <c r="G6705" s="10" t="s">
        <v>86</v>
      </c>
      <c r="H6705" s="9" t="s">
        <v>22</v>
      </c>
      <c r="I6705" s="9" t="s">
        <v>15163</v>
      </c>
      <c r="J6705" s="10" t="str">
        <f>HYPERLINK("https://www.boe.es/gazeta/dias/1834/09/07/pdfs/GMD-C-1834-205.pdf#page=2","Abrir facsímil")</f>
        <v>Abrir facsímil</v>
      </c>
      <c r="K6705" s="10" t="s">
        <v>24</v>
      </c>
    </row>
    <row r="6706" spans="1:11" ht="54" customHeight="1">
      <c r="A6706" s="9" t="s">
        <v>15164</v>
      </c>
      <c r="B6706" s="9" t="s">
        <v>15165</v>
      </c>
      <c r="C6706" s="9" t="s">
        <v>66</v>
      </c>
      <c r="D6706" s="9" t="s">
        <v>67</v>
      </c>
      <c r="E6706" s="10" t="s">
        <v>19</v>
      </c>
      <c r="F6706" s="9" t="s">
        <v>1933</v>
      </c>
      <c r="G6706" s="10" t="s">
        <v>86</v>
      </c>
      <c r="H6706" s="9" t="s">
        <v>22</v>
      </c>
      <c r="I6706" s="9" t="s">
        <v>15166</v>
      </c>
      <c r="J6706" s="10" t="str">
        <f>HYPERLINK("https://www.boe.es/gazeta/dias/1834/08/17/pdfs/GMD-1834-183E.pdf#page=2","Abrir facsímil")</f>
        <v>Abrir facsímil</v>
      </c>
      <c r="K6706" s="10" t="s">
        <v>24</v>
      </c>
    </row>
    <row r="6707" spans="1:11" ht="54" customHeight="1">
      <c r="A6707" s="9" t="s">
        <v>15164</v>
      </c>
      <c r="B6707" s="9" t="s">
        <v>15165</v>
      </c>
      <c r="C6707" s="9" t="s">
        <v>17</v>
      </c>
      <c r="D6707" s="9" t="s">
        <v>18</v>
      </c>
      <c r="E6707" s="10" t="s">
        <v>891</v>
      </c>
      <c r="F6707" s="9" t="s">
        <v>892</v>
      </c>
      <c r="G6707" s="10" t="s">
        <v>176</v>
      </c>
      <c r="H6707" s="9" t="s">
        <v>22</v>
      </c>
      <c r="I6707" s="9" t="s">
        <v>15167</v>
      </c>
      <c r="J6707" s="10" t="str">
        <f>HYPERLINK("https://www.boe.es/gazeta/dias/1834/10/31/pdfs/GMD-C-1834-259.pdf#page=6","Abrir facsímil")</f>
        <v>Abrir facsímil</v>
      </c>
      <c r="K6707" s="10" t="s">
        <v>24</v>
      </c>
    </row>
    <row r="6708" spans="1:11" ht="54" customHeight="1">
      <c r="A6708" s="9" t="s">
        <v>15168</v>
      </c>
      <c r="B6708" s="9" t="s">
        <v>15169</v>
      </c>
      <c r="C6708" s="9" t="s">
        <v>90</v>
      </c>
      <c r="D6708" s="9" t="s">
        <v>18</v>
      </c>
      <c r="E6708" s="10" t="s">
        <v>237</v>
      </c>
      <c r="F6708" s="9" t="s">
        <v>4609</v>
      </c>
      <c r="G6708" s="10" t="s">
        <v>34</v>
      </c>
      <c r="H6708" s="9" t="s">
        <v>22</v>
      </c>
      <c r="I6708" s="9" t="s">
        <v>15170</v>
      </c>
      <c r="J6708" s="10" t="str">
        <f>HYPERLINK("https://www.boe.es/gazeta/dias/1834/08/15/pdfs/GMD-1834-180.pdf#page=1","Abrir facsímil")</f>
        <v>Abrir facsímil</v>
      </c>
      <c r="K6708" s="10" t="s">
        <v>24</v>
      </c>
    </row>
    <row r="6709" spans="1:11" ht="54" customHeight="1">
      <c r="A6709" s="9" t="s">
        <v>15171</v>
      </c>
      <c r="B6709" s="9" t="s">
        <v>15172</v>
      </c>
      <c r="C6709" s="9" t="s">
        <v>17</v>
      </c>
      <c r="D6709" s="9" t="s">
        <v>18</v>
      </c>
      <c r="E6709" s="10" t="s">
        <v>73</v>
      </c>
      <c r="F6709" s="9" t="s">
        <v>74</v>
      </c>
      <c r="G6709" s="10" t="s">
        <v>75</v>
      </c>
      <c r="H6709" s="9" t="s">
        <v>22</v>
      </c>
      <c r="I6709" s="9" t="s">
        <v>15173</v>
      </c>
      <c r="J6709" s="10" t="str">
        <f>HYPERLINK("https://www.boe.es/gazeta/dias/1834/11/04/pdfs/GMD-1834-263.pdf#page=4","Abrir facsímil")</f>
        <v>Abrir facsímil</v>
      </c>
      <c r="K6709" s="10" t="s">
        <v>24</v>
      </c>
    </row>
    <row r="6710" spans="1:11" ht="54" customHeight="1">
      <c r="A6710" s="9" t="s">
        <v>15174</v>
      </c>
      <c r="B6710" s="9" t="s">
        <v>15175</v>
      </c>
      <c r="C6710" s="9" t="s">
        <v>122</v>
      </c>
      <c r="D6710" s="9" t="s">
        <v>18</v>
      </c>
      <c r="E6710" s="10" t="s">
        <v>1234</v>
      </c>
      <c r="F6710" s="9" t="s">
        <v>1235</v>
      </c>
      <c r="G6710" s="10" t="s">
        <v>34</v>
      </c>
      <c r="H6710" s="9" t="s">
        <v>22</v>
      </c>
      <c r="I6710" s="9" t="s">
        <v>15176</v>
      </c>
      <c r="J6710" s="10" t="str">
        <f>HYPERLINK("https://www.boe.es/gazeta/dias/1834/05/15/pdfs/GMD-C-1834-84.pdf#page=1","Abrir facsímil")</f>
        <v>Abrir facsímil</v>
      </c>
      <c r="K6710" s="10" t="s">
        <v>24</v>
      </c>
    </row>
    <row r="6711" spans="1:11" ht="54" customHeight="1">
      <c r="A6711" s="9" t="s">
        <v>15177</v>
      </c>
      <c r="B6711" s="9" t="s">
        <v>15178</v>
      </c>
      <c r="C6711" s="9" t="s">
        <v>17</v>
      </c>
      <c r="D6711" s="9" t="s">
        <v>18</v>
      </c>
      <c r="E6711" s="10" t="s">
        <v>563</v>
      </c>
      <c r="F6711" s="9" t="s">
        <v>564</v>
      </c>
      <c r="G6711" s="10" t="s">
        <v>34</v>
      </c>
      <c r="H6711" s="9" t="s">
        <v>22</v>
      </c>
      <c r="I6711" s="9" t="s">
        <v>15179</v>
      </c>
      <c r="J6711" s="10" t="str">
        <f>HYPERLINK("https://www.boe.es/gazeta/dias/1834/04/19/pdfs/GMD-1834-58.pdf#page=1","Abrir facsímil")</f>
        <v>Abrir facsímil</v>
      </c>
      <c r="K6711" s="10" t="s">
        <v>24</v>
      </c>
    </row>
    <row r="6712" spans="1:11" ht="54" customHeight="1">
      <c r="A6712" s="9" t="s">
        <v>15180</v>
      </c>
      <c r="B6712" s="9" t="s">
        <v>15181</v>
      </c>
      <c r="C6712" s="9" t="s">
        <v>17</v>
      </c>
      <c r="D6712" s="9" t="s">
        <v>18</v>
      </c>
      <c r="E6712" s="10" t="s">
        <v>3306</v>
      </c>
      <c r="F6712" s="9" t="s">
        <v>3307</v>
      </c>
      <c r="G6712" s="10" t="s">
        <v>75</v>
      </c>
      <c r="H6712" s="9" t="s">
        <v>22</v>
      </c>
      <c r="I6712" s="9" t="s">
        <v>15182</v>
      </c>
      <c r="J6712" s="10" t="str">
        <f>HYPERLINK("https://www.boe.es/gazeta/dias/1834/05/07/pdfs/GMD-1834-76.pdf#page=4","Abrir facsímil")</f>
        <v>Abrir facsímil</v>
      </c>
      <c r="K6712" s="10" t="s">
        <v>24</v>
      </c>
    </row>
    <row r="6713" spans="1:11" ht="54" customHeight="1">
      <c r="A6713" s="9" t="s">
        <v>15180</v>
      </c>
      <c r="B6713" s="9" t="s">
        <v>15181</v>
      </c>
      <c r="C6713" s="9" t="s">
        <v>122</v>
      </c>
      <c r="D6713" s="9" t="s">
        <v>18</v>
      </c>
      <c r="E6713" s="10" t="s">
        <v>41</v>
      </c>
      <c r="F6713" s="9" t="s">
        <v>42</v>
      </c>
      <c r="G6713" s="10" t="s">
        <v>75</v>
      </c>
      <c r="H6713" s="9" t="s">
        <v>22</v>
      </c>
      <c r="I6713" s="9" t="s">
        <v>15183</v>
      </c>
      <c r="J6713" s="10" t="str">
        <f>HYPERLINK("https://www.boe.es/gazeta/dias/1834/06/11/pdfs/GMD-1834-114.pdf#page=4","Abrir facsímil")</f>
        <v>Abrir facsímil</v>
      </c>
      <c r="K6713" s="10" t="s">
        <v>24</v>
      </c>
    </row>
    <row r="6714" spans="1:11" ht="54" customHeight="1">
      <c r="A6714" s="9" t="s">
        <v>15180</v>
      </c>
      <c r="B6714" s="9" t="s">
        <v>15181</v>
      </c>
      <c r="C6714" s="9" t="s">
        <v>90</v>
      </c>
      <c r="D6714" s="9" t="s">
        <v>18</v>
      </c>
      <c r="E6714" s="10" t="s">
        <v>79</v>
      </c>
      <c r="F6714" s="9" t="s">
        <v>80</v>
      </c>
      <c r="G6714" s="10" t="s">
        <v>75</v>
      </c>
      <c r="H6714" s="9" t="s">
        <v>22</v>
      </c>
      <c r="I6714" s="9" t="s">
        <v>15184</v>
      </c>
      <c r="J6714" s="10" t="str">
        <f>HYPERLINK("https://www.boe.es/gazeta/dias/1834/07/12/pdfs/GMD-1834-145.pdf#page=4","Abrir facsímil")</f>
        <v>Abrir facsímil</v>
      </c>
      <c r="K6714" s="10" t="s">
        <v>24</v>
      </c>
    </row>
    <row r="6715" spans="1:11" ht="54" customHeight="1">
      <c r="A6715" s="9" t="s">
        <v>15185</v>
      </c>
      <c r="B6715" s="9" t="s">
        <v>15186</v>
      </c>
      <c r="C6715" s="9" t="s">
        <v>17</v>
      </c>
      <c r="D6715" s="9" t="s">
        <v>18</v>
      </c>
      <c r="E6715" s="10" t="s">
        <v>468</v>
      </c>
      <c r="F6715" s="9" t="s">
        <v>469</v>
      </c>
      <c r="G6715" s="10" t="s">
        <v>34</v>
      </c>
      <c r="H6715" s="9" t="s">
        <v>22</v>
      </c>
      <c r="I6715" s="9" t="s">
        <v>15187</v>
      </c>
      <c r="J6715" s="10" t="str">
        <f>HYPERLINK("https://www.boe.es/gazeta/dias/1834/12/28/pdfs/GMD-C-1834-318.pdf#page=1","Abrir facsímil")</f>
        <v>Abrir facsímil</v>
      </c>
      <c r="K6715" s="10" t="s">
        <v>24</v>
      </c>
    </row>
    <row r="6716" spans="1:11" ht="54" customHeight="1">
      <c r="A6716" s="9" t="s">
        <v>15188</v>
      </c>
      <c r="B6716" s="9" t="s">
        <v>15189</v>
      </c>
      <c r="C6716" s="9" t="s">
        <v>90</v>
      </c>
      <c r="D6716" s="9" t="s">
        <v>18</v>
      </c>
      <c r="E6716" s="10" t="s">
        <v>891</v>
      </c>
      <c r="F6716" s="9" t="s">
        <v>892</v>
      </c>
      <c r="G6716" s="10" t="s">
        <v>34</v>
      </c>
      <c r="H6716" s="9" t="s">
        <v>35</v>
      </c>
      <c r="I6716" s="9" t="s">
        <v>15190</v>
      </c>
      <c r="J6716" s="10" t="str">
        <f>HYPERLINK("https://www.boe.es/gazeta/dias/1834/10/31/pdfs/GMD-C-1834-259.pdf#page=1","Abrir facsímil")</f>
        <v>Abrir facsímil</v>
      </c>
      <c r="K6716" s="10" t="s">
        <v>37</v>
      </c>
    </row>
    <row r="6717" spans="1:11" ht="54" customHeight="1">
      <c r="A6717" s="9" t="s">
        <v>15191</v>
      </c>
      <c r="B6717" s="9" t="s">
        <v>15192</v>
      </c>
      <c r="C6717" s="9" t="s">
        <v>90</v>
      </c>
      <c r="D6717" s="9" t="s">
        <v>18</v>
      </c>
      <c r="E6717" s="10" t="s">
        <v>891</v>
      </c>
      <c r="F6717" s="9" t="s">
        <v>892</v>
      </c>
      <c r="G6717" s="10" t="s">
        <v>34</v>
      </c>
      <c r="H6717" s="9" t="s">
        <v>22</v>
      </c>
      <c r="I6717" s="9" t="s">
        <v>15193</v>
      </c>
      <c r="J6717" s="10" t="str">
        <f>HYPERLINK("https://www.boe.es/gazeta/dias/1834/10/31/pdfs/GMD-C-1834-259.pdf#page=1","Abrir facsímil")</f>
        <v>Abrir facsímil</v>
      </c>
      <c r="K6717" s="10" t="s">
        <v>24</v>
      </c>
    </row>
    <row r="6718" spans="1:11" ht="54" customHeight="1">
      <c r="A6718" s="9" t="s">
        <v>15194</v>
      </c>
      <c r="B6718" s="9" t="s">
        <v>15195</v>
      </c>
      <c r="C6718" s="9" t="s">
        <v>17</v>
      </c>
      <c r="D6718" s="9" t="s">
        <v>18</v>
      </c>
      <c r="E6718" s="10" t="s">
        <v>2302</v>
      </c>
      <c r="F6718" s="9" t="s">
        <v>2303</v>
      </c>
      <c r="G6718" s="10" t="s">
        <v>34</v>
      </c>
      <c r="H6718" s="9" t="s">
        <v>22</v>
      </c>
      <c r="I6718" s="9" t="s">
        <v>15196</v>
      </c>
      <c r="J6718" s="10" t="str">
        <f>HYPERLINK("https://www.boe.es/gazeta/dias/1834/01/25/pdfs/GMD-1834-12.pdf#page=1","Abrir facsímil")</f>
        <v>Abrir facsímil</v>
      </c>
      <c r="K6718" s="10" t="s">
        <v>24</v>
      </c>
    </row>
    <row r="6719" spans="1:11" ht="54" customHeight="1">
      <c r="A6719" s="9" t="s">
        <v>15197</v>
      </c>
      <c r="B6719" s="9" t="s">
        <v>15198</v>
      </c>
      <c r="C6719" s="9" t="s">
        <v>17</v>
      </c>
      <c r="D6719" s="9" t="s">
        <v>18</v>
      </c>
      <c r="E6719" s="10" t="s">
        <v>860</v>
      </c>
      <c r="F6719" s="9" t="s">
        <v>861</v>
      </c>
      <c r="G6719" s="10" t="s">
        <v>34</v>
      </c>
      <c r="H6719" s="9" t="s">
        <v>22</v>
      </c>
      <c r="I6719" s="9" t="s">
        <v>15199</v>
      </c>
      <c r="J6719" s="10" t="str">
        <f>HYPERLINK("https://www.boe.es/gazeta/dias/1834/02/08/pdfs/GMD-1834-18.pdf#page=1","Abrir facsímil")</f>
        <v>Abrir facsímil</v>
      </c>
      <c r="K6719" s="10" t="s">
        <v>24</v>
      </c>
    </row>
    <row r="6720" spans="1:11" ht="54" customHeight="1">
      <c r="A6720" s="9" t="s">
        <v>15200</v>
      </c>
      <c r="B6720" s="9" t="s">
        <v>15200</v>
      </c>
      <c r="C6720" s="9" t="s">
        <v>17</v>
      </c>
      <c r="D6720" s="9" t="s">
        <v>55</v>
      </c>
      <c r="E6720" s="10" t="s">
        <v>56</v>
      </c>
      <c r="F6720" s="9" t="s">
        <v>57</v>
      </c>
      <c r="G6720" s="10" t="s">
        <v>21</v>
      </c>
      <c r="H6720" s="9" t="s">
        <v>22</v>
      </c>
      <c r="I6720" s="9" t="s">
        <v>15201</v>
      </c>
      <c r="J6720" s="10" t="str">
        <f>HYPERLINK("https://www.boe.es/gazeta/dias/1834/07/09/pdfs/GMD-1834-142.pdf#page=3","Abrir facsímil")</f>
        <v>Abrir facsímil</v>
      </c>
      <c r="K6720" s="10" t="s">
        <v>24</v>
      </c>
    </row>
    <row r="6721" spans="1:11" ht="54" customHeight="1">
      <c r="A6721" s="9" t="s">
        <v>15202</v>
      </c>
      <c r="B6721" s="9" t="s">
        <v>15203</v>
      </c>
      <c r="C6721" s="9" t="s">
        <v>46</v>
      </c>
      <c r="D6721" s="9" t="s">
        <v>18</v>
      </c>
      <c r="E6721" s="10" t="s">
        <v>860</v>
      </c>
      <c r="F6721" s="9" t="s">
        <v>861</v>
      </c>
      <c r="G6721" s="10" t="s">
        <v>176</v>
      </c>
      <c r="H6721" s="9" t="s">
        <v>35</v>
      </c>
      <c r="I6721" s="9" t="s">
        <v>15204</v>
      </c>
      <c r="J6721" s="10" t="str">
        <f>HYPERLINK("https://www.boe.es/gazeta/dias/1834/02/08/pdfs/GMD-1834-18.pdf#page=6","Abrir facsímil")</f>
        <v>Abrir facsímil</v>
      </c>
      <c r="K6721" s="10" t="s">
        <v>37</v>
      </c>
    </row>
    <row r="6722" spans="1:11" ht="54" customHeight="1">
      <c r="A6722" s="9" t="s">
        <v>15205</v>
      </c>
      <c r="B6722" s="9" t="s">
        <v>15206</v>
      </c>
      <c r="C6722" s="9" t="s">
        <v>46</v>
      </c>
      <c r="D6722" s="9" t="s">
        <v>18</v>
      </c>
      <c r="E6722" s="10" t="s">
        <v>860</v>
      </c>
      <c r="F6722" s="9" t="s">
        <v>861</v>
      </c>
      <c r="G6722" s="10" t="s">
        <v>176</v>
      </c>
      <c r="H6722" s="9" t="s">
        <v>22</v>
      </c>
      <c r="I6722" s="9" t="s">
        <v>15207</v>
      </c>
      <c r="J6722" s="10" t="str">
        <f>HYPERLINK("https://www.boe.es/gazeta/dias/1834/02/08/pdfs/GMD-1834-18.pdf#page=6","Abrir facsímil")</f>
        <v>Abrir facsímil</v>
      </c>
      <c r="K6722" s="10" t="s">
        <v>24</v>
      </c>
    </row>
    <row r="6723" spans="1:11" ht="54" customHeight="1">
      <c r="A6723" s="9" t="s">
        <v>15208</v>
      </c>
      <c r="B6723" s="9" t="s">
        <v>15208</v>
      </c>
      <c r="C6723" s="9" t="s">
        <v>90</v>
      </c>
      <c r="D6723" s="9" t="s">
        <v>67</v>
      </c>
      <c r="E6723" s="10" t="s">
        <v>255</v>
      </c>
      <c r="F6723" s="9" t="s">
        <v>256</v>
      </c>
      <c r="G6723" s="10" t="s">
        <v>34</v>
      </c>
      <c r="H6723" s="9" t="s">
        <v>22</v>
      </c>
      <c r="I6723" s="9" t="s">
        <v>15209</v>
      </c>
      <c r="J6723" s="10" t="str">
        <f>HYPERLINK("https://www.boe.es/gazeta/dias/1834/09/01/pdfs/GMD-C-1834-199.pdf#page=1","Abrir facsímil")</f>
        <v>Abrir facsímil</v>
      </c>
      <c r="K6723" s="10" t="s">
        <v>24</v>
      </c>
    </row>
    <row r="6724" spans="1:11" ht="54" customHeight="1">
      <c r="A6724" s="9" t="s">
        <v>15210</v>
      </c>
      <c r="B6724" s="9" t="s">
        <v>15210</v>
      </c>
      <c r="C6724" s="9" t="s">
        <v>46</v>
      </c>
      <c r="D6724" s="9" t="s">
        <v>55</v>
      </c>
      <c r="E6724" s="10" t="s">
        <v>251</v>
      </c>
      <c r="F6724" s="9" t="s">
        <v>252</v>
      </c>
      <c r="G6724" s="10" t="s">
        <v>28</v>
      </c>
      <c r="H6724" s="9" t="s">
        <v>22</v>
      </c>
      <c r="I6724" s="9" t="s">
        <v>15211</v>
      </c>
      <c r="J6724" s="10" t="str">
        <f>HYPERLINK("https://www.boe.es/gazeta/dias/1834/09/26/pdfs/GMD-C-1834-224.pdf#page=5","Abrir facsímil")</f>
        <v>Abrir facsímil</v>
      </c>
      <c r="K6724" s="10" t="s">
        <v>24</v>
      </c>
    </row>
    <row r="6725" spans="1:11" ht="54" customHeight="1">
      <c r="A6725" s="9" t="s">
        <v>15212</v>
      </c>
      <c r="B6725" s="9" t="s">
        <v>15213</v>
      </c>
      <c r="C6725" s="9" t="s">
        <v>17</v>
      </c>
      <c r="D6725" s="9" t="s">
        <v>55</v>
      </c>
      <c r="E6725" s="10" t="s">
        <v>96</v>
      </c>
      <c r="F6725" s="9" t="s">
        <v>1725</v>
      </c>
      <c r="G6725" s="10" t="s">
        <v>75</v>
      </c>
      <c r="H6725" s="9" t="s">
        <v>22</v>
      </c>
      <c r="I6725" s="9" t="s">
        <v>15214</v>
      </c>
      <c r="J6725" s="10" t="str">
        <f>HYPERLINK("https://www.boe.es/gazeta/dias/1834/11/11/pdfs/GMD-1834-270.pdf#page=4","Abrir facsímil")</f>
        <v>Abrir facsímil</v>
      </c>
      <c r="K6725" s="10" t="s">
        <v>24</v>
      </c>
    </row>
    <row r="6726" spans="1:11" ht="54" customHeight="1">
      <c r="A6726" s="9" t="s">
        <v>15215</v>
      </c>
      <c r="B6726" s="9" t="s">
        <v>15216</v>
      </c>
      <c r="C6726" s="9" t="s">
        <v>17</v>
      </c>
      <c r="D6726" s="9" t="s">
        <v>18</v>
      </c>
      <c r="E6726" s="10" t="s">
        <v>343</v>
      </c>
      <c r="F6726" s="9" t="s">
        <v>344</v>
      </c>
      <c r="G6726" s="10" t="s">
        <v>75</v>
      </c>
      <c r="H6726" s="9" t="s">
        <v>22</v>
      </c>
      <c r="I6726" s="9" t="s">
        <v>15217</v>
      </c>
      <c r="J6726" s="10" t="str">
        <f>HYPERLINK("https://www.boe.es/gazeta/dias/1834/01/14/pdfs/GMD-1834-7.pdf#page=4","Abrir facsímil")</f>
        <v>Abrir facsímil</v>
      </c>
      <c r="K6726" s="10" t="s">
        <v>24</v>
      </c>
    </row>
    <row r="6727" spans="1:11" ht="54" customHeight="1">
      <c r="A6727" s="9" t="s">
        <v>15218</v>
      </c>
      <c r="B6727" s="9" t="s">
        <v>15218</v>
      </c>
      <c r="C6727" s="9" t="s">
        <v>17</v>
      </c>
      <c r="D6727" s="9" t="s">
        <v>18</v>
      </c>
      <c r="E6727" s="10" t="s">
        <v>479</v>
      </c>
      <c r="F6727" s="9" t="s">
        <v>480</v>
      </c>
      <c r="G6727" s="10" t="s">
        <v>86</v>
      </c>
      <c r="H6727" s="9" t="s">
        <v>22</v>
      </c>
      <c r="I6727" s="9" t="s">
        <v>15219</v>
      </c>
      <c r="J6727" s="10" t="str">
        <f>HYPERLINK("https://www.boe.es/gazeta/dias/1834/08/13/pdfs/GMD-1834-178.pdf#page=2","Abrir facsímil")</f>
        <v>Abrir facsímil</v>
      </c>
      <c r="K6727" s="10" t="s">
        <v>24</v>
      </c>
    </row>
    <row r="6728" spans="1:11" ht="54" customHeight="1">
      <c r="A6728" s="9" t="s">
        <v>15218</v>
      </c>
      <c r="B6728" s="9" t="s">
        <v>15218</v>
      </c>
      <c r="C6728" s="9" t="s">
        <v>17</v>
      </c>
      <c r="D6728" s="9" t="s">
        <v>18</v>
      </c>
      <c r="E6728" s="10" t="s">
        <v>19</v>
      </c>
      <c r="F6728" s="9" t="s">
        <v>107</v>
      </c>
      <c r="G6728" s="10" t="s">
        <v>21</v>
      </c>
      <c r="H6728" s="9" t="s">
        <v>22</v>
      </c>
      <c r="I6728" s="9" t="s">
        <v>15220</v>
      </c>
      <c r="J6728" s="10" t="str">
        <f>HYPERLINK("https://www.boe.es/gazeta/dias/1834/08/17/pdfs/GMD-1834-182.pdf#page=3","Abrir facsímil")</f>
        <v>Abrir facsímil</v>
      </c>
      <c r="K6728" s="10" t="s">
        <v>24</v>
      </c>
    </row>
    <row r="6729" spans="1:11" ht="54" customHeight="1">
      <c r="A6729" s="9" t="s">
        <v>15218</v>
      </c>
      <c r="B6729" s="9" t="s">
        <v>15218</v>
      </c>
      <c r="C6729" s="9" t="s">
        <v>66</v>
      </c>
      <c r="D6729" s="9" t="s">
        <v>67</v>
      </c>
      <c r="E6729" s="10" t="s">
        <v>981</v>
      </c>
      <c r="F6729" s="9" t="s">
        <v>982</v>
      </c>
      <c r="G6729" s="10" t="s">
        <v>21</v>
      </c>
      <c r="H6729" s="9" t="s">
        <v>22</v>
      </c>
      <c r="I6729" s="9" t="s">
        <v>15221</v>
      </c>
      <c r="J6729" s="10" t="str">
        <f>HYPERLINK("https://www.boe.es/gazeta/dias/1834/09/21/pdfs/GMD-1834-219.pdf#page=3","Abrir facsímil")</f>
        <v>Abrir facsímil</v>
      </c>
      <c r="K6729" s="10" t="s">
        <v>24</v>
      </c>
    </row>
    <row r="6730" spans="1:11" ht="54" customHeight="1">
      <c r="A6730" s="9" t="s">
        <v>15218</v>
      </c>
      <c r="B6730" s="9" t="s">
        <v>15218</v>
      </c>
      <c r="C6730" s="9" t="s">
        <v>17</v>
      </c>
      <c r="D6730" s="9" t="s">
        <v>18</v>
      </c>
      <c r="E6730" s="10" t="s">
        <v>247</v>
      </c>
      <c r="F6730" s="9" t="s">
        <v>2805</v>
      </c>
      <c r="G6730" s="10" t="s">
        <v>75</v>
      </c>
      <c r="H6730" s="9" t="s">
        <v>22</v>
      </c>
      <c r="I6730" s="9" t="s">
        <v>15222</v>
      </c>
      <c r="J6730" s="10" t="str">
        <f>HYPERLINK("https://www.boe.es/gazeta/dias/1834/08/23/pdfs/GMD-1834-189.pdf#page=4","Abrir facsímil")</f>
        <v>Abrir facsímil</v>
      </c>
      <c r="K6730" s="10" t="s">
        <v>24</v>
      </c>
    </row>
    <row r="6731" spans="1:11" ht="54" customHeight="1">
      <c r="A6731" s="9" t="s">
        <v>15218</v>
      </c>
      <c r="B6731" s="9" t="s">
        <v>15218</v>
      </c>
      <c r="C6731" s="9" t="s">
        <v>17</v>
      </c>
      <c r="D6731" s="9" t="s">
        <v>18</v>
      </c>
      <c r="E6731" s="10" t="s">
        <v>286</v>
      </c>
      <c r="F6731" s="9" t="s">
        <v>1928</v>
      </c>
      <c r="G6731" s="10" t="s">
        <v>34</v>
      </c>
      <c r="H6731" s="9" t="s">
        <v>22</v>
      </c>
      <c r="I6731" s="9" t="s">
        <v>15223</v>
      </c>
      <c r="J6731" s="10" t="str">
        <f>HYPERLINK("https://www.boe.es/gazeta/dias/1834/08/30/pdfs/GMD-1834-197E.pdf#page=1","Abrir facsímil")</f>
        <v>Abrir facsímil</v>
      </c>
      <c r="K6731" s="10" t="s">
        <v>24</v>
      </c>
    </row>
    <row r="6732" spans="1:11" ht="54" customHeight="1">
      <c r="A6732" s="9" t="s">
        <v>15218</v>
      </c>
      <c r="B6732" s="9" t="s">
        <v>15218</v>
      </c>
      <c r="C6732" s="9" t="s">
        <v>17</v>
      </c>
      <c r="D6732" s="9" t="s">
        <v>18</v>
      </c>
      <c r="E6732" s="10" t="s">
        <v>286</v>
      </c>
      <c r="F6732" s="9" t="s">
        <v>1928</v>
      </c>
      <c r="G6732" s="10" t="s">
        <v>86</v>
      </c>
      <c r="H6732" s="9" t="s">
        <v>22</v>
      </c>
      <c r="I6732" s="9" t="s">
        <v>15224</v>
      </c>
      <c r="J6732" s="10" t="str">
        <f>HYPERLINK("https://www.boe.es/gazeta/dias/1834/08/30/pdfs/GMD-1834-197E.pdf#page=2","Abrir facsímil")</f>
        <v>Abrir facsímil</v>
      </c>
      <c r="K6732" s="10" t="s">
        <v>24</v>
      </c>
    </row>
    <row r="6733" spans="1:11" ht="54" customHeight="1">
      <c r="A6733" s="9" t="s">
        <v>15225</v>
      </c>
      <c r="B6733" s="9" t="s">
        <v>15226</v>
      </c>
      <c r="C6733" s="9" t="s">
        <v>66</v>
      </c>
      <c r="D6733" s="9" t="s">
        <v>18</v>
      </c>
      <c r="E6733" s="10" t="s">
        <v>1297</v>
      </c>
      <c r="F6733" s="9" t="s">
        <v>1879</v>
      </c>
      <c r="G6733" s="10" t="s">
        <v>34</v>
      </c>
      <c r="H6733" s="9" t="s">
        <v>35</v>
      </c>
      <c r="I6733" s="9" t="s">
        <v>15227</v>
      </c>
      <c r="J6733" s="10" t="str">
        <f>HYPERLINK("https://www.boe.es/gazeta/dias/1834/08/01/pdfs/GMD-D-1834-165.pdf#page=1","Abrir facsímil")</f>
        <v>Abrir facsímil</v>
      </c>
      <c r="K6733" s="10" t="s">
        <v>37</v>
      </c>
    </row>
    <row r="6734" spans="1:11" ht="54" customHeight="1">
      <c r="A6734" s="9" t="s">
        <v>15225</v>
      </c>
      <c r="B6734" s="9" t="s">
        <v>15226</v>
      </c>
      <c r="C6734" s="9" t="s">
        <v>66</v>
      </c>
      <c r="D6734" s="9" t="s">
        <v>55</v>
      </c>
      <c r="E6734" s="10" t="s">
        <v>1212</v>
      </c>
      <c r="F6734" s="9" t="s">
        <v>1213</v>
      </c>
      <c r="G6734" s="10" t="s">
        <v>86</v>
      </c>
      <c r="H6734" s="9" t="s">
        <v>35</v>
      </c>
      <c r="I6734" s="9" t="s">
        <v>15228</v>
      </c>
      <c r="J6734" s="10" t="str">
        <f>HYPERLINK("https://www.boe.es/gazeta/dias/1834/05/24/pdfs/GMD-1834-93.pdf#page=2","Abrir facsímil")</f>
        <v>Abrir facsímil</v>
      </c>
      <c r="K6734" s="10" t="s">
        <v>37</v>
      </c>
    </row>
    <row r="6735" spans="1:11" ht="54" customHeight="1">
      <c r="A6735" s="9" t="s">
        <v>15229</v>
      </c>
      <c r="B6735" s="9" t="s">
        <v>15230</v>
      </c>
      <c r="C6735" s="9" t="s">
        <v>17</v>
      </c>
      <c r="D6735" s="9" t="s">
        <v>18</v>
      </c>
      <c r="E6735" s="10" t="s">
        <v>19</v>
      </c>
      <c r="F6735" s="9" t="s">
        <v>1933</v>
      </c>
      <c r="G6735" s="10" t="s">
        <v>34</v>
      </c>
      <c r="H6735" s="9" t="s">
        <v>22</v>
      </c>
      <c r="I6735" s="9" t="s">
        <v>15231</v>
      </c>
      <c r="J6735" s="10" t="str">
        <f>HYPERLINK("https://www.boe.es/gazeta/dias/1834/08/17/pdfs/GMD-1834-183E.pdf#page=1","Abrir facsímil")</f>
        <v>Abrir facsímil</v>
      </c>
      <c r="K6735" s="10" t="s">
        <v>24</v>
      </c>
    </row>
    <row r="6736" spans="1:11" ht="54" customHeight="1">
      <c r="A6736" s="9" t="s">
        <v>15232</v>
      </c>
      <c r="B6736" s="9" t="s">
        <v>15233</v>
      </c>
      <c r="C6736" s="9" t="s">
        <v>66</v>
      </c>
      <c r="D6736" s="9" t="s">
        <v>18</v>
      </c>
      <c r="E6736" s="10" t="s">
        <v>1297</v>
      </c>
      <c r="F6736" s="9" t="s">
        <v>1879</v>
      </c>
      <c r="G6736" s="10" t="s">
        <v>34</v>
      </c>
      <c r="H6736" s="9" t="s">
        <v>22</v>
      </c>
      <c r="I6736" s="9" t="s">
        <v>15234</v>
      </c>
      <c r="J6736" s="10" t="str">
        <f>HYPERLINK("https://www.boe.es/gazeta/dias/1834/08/01/pdfs/GMD-D-1834-165.pdf#page=1","Abrir facsímil")</f>
        <v>Abrir facsímil</v>
      </c>
      <c r="K6736" s="10" t="s">
        <v>24</v>
      </c>
    </row>
    <row r="6737" spans="1:11" ht="54" customHeight="1">
      <c r="A6737" s="9" t="s">
        <v>15232</v>
      </c>
      <c r="B6737" s="9" t="s">
        <v>15233</v>
      </c>
      <c r="C6737" s="9" t="s">
        <v>90</v>
      </c>
      <c r="D6737" s="9" t="s">
        <v>18</v>
      </c>
      <c r="E6737" s="10" t="s">
        <v>2124</v>
      </c>
      <c r="F6737" s="9" t="s">
        <v>2125</v>
      </c>
      <c r="G6737" s="10" t="s">
        <v>75</v>
      </c>
      <c r="H6737" s="9" t="s">
        <v>22</v>
      </c>
      <c r="I6737" s="9" t="s">
        <v>15235</v>
      </c>
      <c r="J6737" s="10" t="str">
        <f>HYPERLINK("https://www.boe.es/gazeta/dias/1834/06/09/pdfs/GMD-1834-112.pdf#page=4","Abrir facsímil")</f>
        <v>Abrir facsímil</v>
      </c>
      <c r="K6737" s="10" t="s">
        <v>24</v>
      </c>
    </row>
    <row r="6738" spans="1:11" ht="54" customHeight="1">
      <c r="A6738" s="9" t="s">
        <v>15232</v>
      </c>
      <c r="B6738" s="9" t="s">
        <v>15233</v>
      </c>
      <c r="C6738" s="9" t="s">
        <v>66</v>
      </c>
      <c r="D6738" s="9" t="s">
        <v>55</v>
      </c>
      <c r="E6738" s="10" t="s">
        <v>1212</v>
      </c>
      <c r="F6738" s="9" t="s">
        <v>1213</v>
      </c>
      <c r="G6738" s="10" t="s">
        <v>86</v>
      </c>
      <c r="H6738" s="9" t="s">
        <v>22</v>
      </c>
      <c r="I6738" s="9" t="s">
        <v>15236</v>
      </c>
      <c r="J6738" s="10" t="str">
        <f>HYPERLINK("https://www.boe.es/gazeta/dias/1834/05/24/pdfs/GMD-1834-93.pdf#page=2","Abrir facsímil")</f>
        <v>Abrir facsímil</v>
      </c>
      <c r="K6738" s="10" t="s">
        <v>24</v>
      </c>
    </row>
    <row r="6739" spans="1:11" ht="54" customHeight="1">
      <c r="A6739" s="9" t="s">
        <v>15232</v>
      </c>
      <c r="B6739" s="9" t="s">
        <v>15233</v>
      </c>
      <c r="C6739" s="9" t="s">
        <v>66</v>
      </c>
      <c r="D6739" s="9" t="s">
        <v>18</v>
      </c>
      <c r="E6739" s="10" t="s">
        <v>552</v>
      </c>
      <c r="F6739" s="9" t="s">
        <v>553</v>
      </c>
      <c r="G6739" s="10" t="s">
        <v>21</v>
      </c>
      <c r="H6739" s="9" t="s">
        <v>22</v>
      </c>
      <c r="I6739" s="9" t="s">
        <v>15237</v>
      </c>
      <c r="J6739" s="10" t="str">
        <f>HYPERLINK("https://www.boe.es/gazeta/dias/1834/07/30/pdfs/GMD-1834-163.pdf#page=3","Abrir facsímil")</f>
        <v>Abrir facsímil</v>
      </c>
      <c r="K6739" s="10" t="s">
        <v>24</v>
      </c>
    </row>
    <row r="6740" spans="1:11" ht="54" customHeight="1">
      <c r="A6740" s="9" t="s">
        <v>15238</v>
      </c>
      <c r="B6740" s="9" t="s">
        <v>15238</v>
      </c>
      <c r="C6740" s="9" t="s">
        <v>66</v>
      </c>
      <c r="D6740" s="9" t="s">
        <v>67</v>
      </c>
      <c r="E6740" s="10" t="s">
        <v>1337</v>
      </c>
      <c r="F6740" s="9" t="s">
        <v>1338</v>
      </c>
      <c r="G6740" s="10" t="s">
        <v>86</v>
      </c>
      <c r="H6740" s="9" t="s">
        <v>22</v>
      </c>
      <c r="I6740" s="9" t="s">
        <v>15239</v>
      </c>
      <c r="J6740" s="10" t="str">
        <f>HYPERLINK("https://www.boe.es/gazeta/dias/1834/01/02/pdfs/GMD-1834-1.pdf#page=2","Abrir facsímil")</f>
        <v>Abrir facsímil</v>
      </c>
      <c r="K6740" s="10" t="s">
        <v>24</v>
      </c>
    </row>
    <row r="6741" spans="1:11" ht="54" customHeight="1">
      <c r="A6741" s="9" t="s">
        <v>15240</v>
      </c>
      <c r="B6741" s="9" t="s">
        <v>15241</v>
      </c>
      <c r="C6741" s="9" t="s">
        <v>66</v>
      </c>
      <c r="D6741" s="9" t="s">
        <v>67</v>
      </c>
      <c r="E6741" s="10" t="s">
        <v>1337</v>
      </c>
      <c r="F6741" s="9" t="s">
        <v>1338</v>
      </c>
      <c r="G6741" s="10" t="s">
        <v>86</v>
      </c>
      <c r="H6741" s="9" t="s">
        <v>35</v>
      </c>
      <c r="I6741" s="9" t="s">
        <v>15242</v>
      </c>
      <c r="J6741" s="10" t="str">
        <f>HYPERLINK("https://www.boe.es/gazeta/dias/1834/01/02/pdfs/GMD-1834-1.pdf#page=2","Abrir facsímil")</f>
        <v>Abrir facsímil</v>
      </c>
      <c r="K6741" s="10" t="s">
        <v>37</v>
      </c>
    </row>
    <row r="6742" spans="1:11" ht="54" customHeight="1">
      <c r="A6742" s="9" t="s">
        <v>15243</v>
      </c>
      <c r="B6742" s="9" t="s">
        <v>15244</v>
      </c>
      <c r="C6742" s="9" t="s">
        <v>66</v>
      </c>
      <c r="D6742" s="9" t="s">
        <v>67</v>
      </c>
      <c r="E6742" s="10" t="s">
        <v>1337</v>
      </c>
      <c r="F6742" s="9" t="s">
        <v>1338</v>
      </c>
      <c r="G6742" s="10" t="s">
        <v>86</v>
      </c>
      <c r="H6742" s="9" t="s">
        <v>22</v>
      </c>
      <c r="I6742" s="9" t="s">
        <v>15245</v>
      </c>
      <c r="J6742" s="10" t="str">
        <f>HYPERLINK("https://www.boe.es/gazeta/dias/1834/01/02/pdfs/GMD-1834-1.pdf#page=2","Abrir facsímil")</f>
        <v>Abrir facsímil</v>
      </c>
      <c r="K6742" s="10" t="s">
        <v>24</v>
      </c>
    </row>
    <row r="6743" spans="1:11" ht="54" customHeight="1">
      <c r="A6743" s="9" t="s">
        <v>15246</v>
      </c>
      <c r="B6743" s="9" t="s">
        <v>15247</v>
      </c>
      <c r="C6743" s="9" t="s">
        <v>122</v>
      </c>
      <c r="D6743" s="9" t="s">
        <v>101</v>
      </c>
      <c r="E6743" s="10" t="s">
        <v>360</v>
      </c>
      <c r="F6743" s="9" t="s">
        <v>361</v>
      </c>
      <c r="G6743" s="10" t="s">
        <v>34</v>
      </c>
      <c r="H6743" s="9" t="s">
        <v>22</v>
      </c>
      <c r="I6743" s="9" t="s">
        <v>15248</v>
      </c>
      <c r="J6743" s="10" t="str">
        <f>HYPERLINK("https://www.boe.es/gazeta/dias/1834/04/07/pdfs/GMD-1834-46.pdf#page=1","Abrir facsímil")</f>
        <v>Abrir facsímil</v>
      </c>
      <c r="K6743" s="10" t="s">
        <v>24</v>
      </c>
    </row>
    <row r="6744" spans="1:11" ht="54" customHeight="1">
      <c r="A6744" s="9" t="s">
        <v>15249</v>
      </c>
      <c r="B6744" s="9" t="s">
        <v>15250</v>
      </c>
      <c r="C6744" s="9" t="s">
        <v>90</v>
      </c>
      <c r="D6744" s="9" t="s">
        <v>18</v>
      </c>
      <c r="E6744" s="10" t="s">
        <v>1575</v>
      </c>
      <c r="F6744" s="9" t="s">
        <v>1576</v>
      </c>
      <c r="G6744" s="10" t="s">
        <v>34</v>
      </c>
      <c r="H6744" s="9" t="s">
        <v>22</v>
      </c>
      <c r="I6744" s="9" t="s">
        <v>15251</v>
      </c>
      <c r="J6744" s="10" t="str">
        <f>HYPERLINK("https://www.boe.es/gazeta/dias/1834/11/24/pdfs/GMD-1834-283.pdf#page=1","Abrir facsímil")</f>
        <v>Abrir facsímil</v>
      </c>
      <c r="K6744" s="10" t="s">
        <v>24</v>
      </c>
    </row>
    <row r="6745" spans="1:11" ht="54" customHeight="1">
      <c r="A6745" s="9" t="s">
        <v>15252</v>
      </c>
      <c r="B6745" s="9" t="s">
        <v>15252</v>
      </c>
      <c r="C6745" s="9" t="s">
        <v>17</v>
      </c>
      <c r="D6745" s="9" t="s">
        <v>18</v>
      </c>
      <c r="E6745" s="10" t="s">
        <v>653</v>
      </c>
      <c r="F6745" s="9" t="s">
        <v>3369</v>
      </c>
      <c r="G6745" s="10" t="s">
        <v>21</v>
      </c>
      <c r="H6745" s="9" t="s">
        <v>22</v>
      </c>
      <c r="I6745" s="9" t="s">
        <v>15253</v>
      </c>
      <c r="J6745" s="10" t="str">
        <f>HYPERLINK("https://www.boe.es/gazeta/dias/1834/08/06/pdfs/GMD-1834-170.pdf#page=3","Abrir facsímil")</f>
        <v>Abrir facsímil</v>
      </c>
      <c r="K6745" s="10" t="s">
        <v>24</v>
      </c>
    </row>
    <row r="6746" spans="1:11" ht="54" customHeight="1">
      <c r="A6746" s="9" t="s">
        <v>15254</v>
      </c>
      <c r="B6746" s="9" t="s">
        <v>15254</v>
      </c>
      <c r="C6746" s="9" t="s">
        <v>66</v>
      </c>
      <c r="D6746" s="9" t="s">
        <v>67</v>
      </c>
      <c r="E6746" s="10" t="s">
        <v>479</v>
      </c>
      <c r="F6746" s="9" t="s">
        <v>2258</v>
      </c>
      <c r="G6746" s="10" t="s">
        <v>86</v>
      </c>
      <c r="H6746" s="9" t="s">
        <v>22</v>
      </c>
      <c r="I6746" s="9" t="s">
        <v>15255</v>
      </c>
      <c r="J6746" s="10" t="str">
        <f>HYPERLINK("https://www.boe.es/gazeta/dias/1834/08/13/pdfs/GMD-C-1834-178.pdf#page=2","Abrir facsímil")</f>
        <v>Abrir facsímil</v>
      </c>
      <c r="K6746" s="10" t="s">
        <v>24</v>
      </c>
    </row>
    <row r="6747" spans="1:11" ht="54" customHeight="1">
      <c r="A6747" s="9" t="s">
        <v>15256</v>
      </c>
      <c r="B6747" s="9" t="s">
        <v>15256</v>
      </c>
      <c r="C6747" s="9" t="s">
        <v>122</v>
      </c>
      <c r="D6747" s="9" t="s">
        <v>18</v>
      </c>
      <c r="E6747" s="10" t="s">
        <v>5574</v>
      </c>
      <c r="F6747" s="9" t="s">
        <v>5575</v>
      </c>
      <c r="G6747" s="10" t="s">
        <v>34</v>
      </c>
      <c r="H6747" s="9" t="s">
        <v>22</v>
      </c>
      <c r="I6747" s="9" t="s">
        <v>15257</v>
      </c>
      <c r="J6747" s="10" t="str">
        <f>HYPERLINK("https://www.boe.es/gazeta/dias/1834/06/16/pdfs/GMD-1834-119.pdf#page=1","Abrir facsímil")</f>
        <v>Abrir facsímil</v>
      </c>
      <c r="K6747" s="10" t="s">
        <v>24</v>
      </c>
    </row>
    <row r="6748" spans="1:11" ht="54" customHeight="1">
      <c r="A6748" s="9" t="s">
        <v>15258</v>
      </c>
      <c r="B6748" s="9" t="s">
        <v>15258</v>
      </c>
      <c r="C6748" s="9" t="s">
        <v>857</v>
      </c>
      <c r="D6748" s="9" t="s">
        <v>18</v>
      </c>
      <c r="E6748" s="10" t="s">
        <v>237</v>
      </c>
      <c r="F6748" s="9" t="s">
        <v>4609</v>
      </c>
      <c r="G6748" s="10" t="s">
        <v>34</v>
      </c>
      <c r="H6748" s="9" t="s">
        <v>22</v>
      </c>
      <c r="I6748" s="9" t="s">
        <v>15259</v>
      </c>
      <c r="J6748" s="10" t="str">
        <f>HYPERLINK("https://www.boe.es/gazeta/dias/1834/08/15/pdfs/GMD-1834-180.pdf#page=1","Abrir facsímil")</f>
        <v>Abrir facsímil</v>
      </c>
      <c r="K6748" s="10" t="s">
        <v>24</v>
      </c>
    </row>
    <row r="6749" spans="1:11" ht="54" customHeight="1">
      <c r="A6749" s="9" t="s">
        <v>15260</v>
      </c>
      <c r="B6749" s="9" t="s">
        <v>15261</v>
      </c>
      <c r="C6749" s="9" t="s">
        <v>17</v>
      </c>
      <c r="D6749" s="9" t="s">
        <v>18</v>
      </c>
      <c r="E6749" s="10" t="s">
        <v>1333</v>
      </c>
      <c r="F6749" s="9" t="s">
        <v>1334</v>
      </c>
      <c r="G6749" s="10" t="s">
        <v>176</v>
      </c>
      <c r="H6749" s="9" t="s">
        <v>22</v>
      </c>
      <c r="I6749" s="9" t="s">
        <v>15262</v>
      </c>
      <c r="J6749" s="10" t="str">
        <f>HYPERLINK("https://www.boe.es/gazeta/dias/1834/04/01/pdfs/GMD-1834-40.pdf#page=6","Abrir facsímil")</f>
        <v>Abrir facsímil</v>
      </c>
      <c r="K6749" s="10" t="s">
        <v>24</v>
      </c>
    </row>
    <row r="6750" spans="1:11" ht="54" customHeight="1">
      <c r="A6750" s="9" t="s">
        <v>15263</v>
      </c>
      <c r="B6750" s="9" t="s">
        <v>15264</v>
      </c>
      <c r="C6750" s="9" t="s">
        <v>66</v>
      </c>
      <c r="D6750" s="9" t="s">
        <v>67</v>
      </c>
      <c r="E6750" s="10" t="s">
        <v>1234</v>
      </c>
      <c r="F6750" s="9" t="s">
        <v>1455</v>
      </c>
      <c r="G6750" s="10" t="s">
        <v>21</v>
      </c>
      <c r="H6750" s="9" t="s">
        <v>22</v>
      </c>
      <c r="I6750" s="9" t="s">
        <v>15265</v>
      </c>
      <c r="J6750" s="10" t="str">
        <f>HYPERLINK("https://www.boe.es/gazeta/dias/1834/05/15/pdfs/GMD-1834-84.pdf#page=3","Abrir facsímil")</f>
        <v>Abrir facsímil</v>
      </c>
      <c r="K6750" s="10" t="s">
        <v>24</v>
      </c>
    </row>
    <row r="6751" spans="1:11" ht="54" customHeight="1">
      <c r="A6751" s="9" t="s">
        <v>15266</v>
      </c>
      <c r="B6751" s="9" t="s">
        <v>15267</v>
      </c>
      <c r="C6751" s="9" t="s">
        <v>66</v>
      </c>
      <c r="D6751" s="9" t="s">
        <v>67</v>
      </c>
      <c r="E6751" s="10" t="s">
        <v>863</v>
      </c>
      <c r="F6751" s="9" t="s">
        <v>864</v>
      </c>
      <c r="G6751" s="10" t="s">
        <v>75</v>
      </c>
      <c r="H6751" s="9" t="s">
        <v>22</v>
      </c>
      <c r="I6751" s="9" t="s">
        <v>15268</v>
      </c>
      <c r="J6751" s="10" t="str">
        <f>HYPERLINK("https://www.boe.es/gazeta/dias/1834/09/15/pdfs/GMD-1834-213.pdf#page=4","Abrir facsímil")</f>
        <v>Abrir facsímil</v>
      </c>
      <c r="K6751" s="10" t="s">
        <v>24</v>
      </c>
    </row>
    <row r="6752" spans="1:11" ht="54" customHeight="1">
      <c r="A6752" s="9" t="s">
        <v>15269</v>
      </c>
      <c r="B6752" s="9" t="s">
        <v>15269</v>
      </c>
      <c r="C6752" s="9" t="s">
        <v>66</v>
      </c>
      <c r="D6752" s="9" t="s">
        <v>67</v>
      </c>
      <c r="E6752" s="10" t="s">
        <v>912</v>
      </c>
      <c r="F6752" s="9" t="s">
        <v>913</v>
      </c>
      <c r="G6752" s="10" t="s">
        <v>75</v>
      </c>
      <c r="H6752" s="9" t="s">
        <v>22</v>
      </c>
      <c r="I6752" s="9" t="s">
        <v>15270</v>
      </c>
      <c r="J6752" s="10" t="str">
        <f>HYPERLINK("https://www.boe.es/gazeta/dias/1834/02/15/pdfs/GMD-1834-21.pdf#page=4","Abrir facsímil")</f>
        <v>Abrir facsímil</v>
      </c>
      <c r="K6752" s="10" t="s">
        <v>24</v>
      </c>
    </row>
    <row r="6753" spans="1:11" ht="54" customHeight="1">
      <c r="A6753" s="9" t="s">
        <v>15269</v>
      </c>
      <c r="B6753" s="9" t="s">
        <v>15269</v>
      </c>
      <c r="C6753" s="9" t="s">
        <v>17</v>
      </c>
      <c r="D6753" s="9" t="s">
        <v>40</v>
      </c>
      <c r="E6753" s="10" t="s">
        <v>739</v>
      </c>
      <c r="F6753" s="9" t="s">
        <v>740</v>
      </c>
      <c r="G6753" s="10" t="s">
        <v>86</v>
      </c>
      <c r="H6753" s="9" t="s">
        <v>22</v>
      </c>
      <c r="I6753" s="9" t="s">
        <v>15271</v>
      </c>
      <c r="J6753" s="10" t="str">
        <f>HYPERLINK("https://www.boe.es/gazeta/dias/1834/03/25/pdfs/GMD-1834-37.pdf#page=2","Abrir facsímil")</f>
        <v>Abrir facsímil</v>
      </c>
      <c r="K6753" s="10" t="s">
        <v>24</v>
      </c>
    </row>
    <row r="6754" spans="1:11" ht="54" customHeight="1">
      <c r="A6754" s="9" t="s">
        <v>15272</v>
      </c>
      <c r="B6754" s="9" t="s">
        <v>15272</v>
      </c>
      <c r="C6754" s="9" t="s">
        <v>66</v>
      </c>
      <c r="D6754" s="9" t="s">
        <v>67</v>
      </c>
      <c r="E6754" s="10" t="s">
        <v>280</v>
      </c>
      <c r="F6754" s="9" t="s">
        <v>3217</v>
      </c>
      <c r="G6754" s="10" t="s">
        <v>21</v>
      </c>
      <c r="H6754" s="9" t="s">
        <v>22</v>
      </c>
      <c r="I6754" s="9" t="s">
        <v>15273</v>
      </c>
      <c r="J6754" s="10" t="str">
        <f>HYPERLINK("https://www.boe.es/gazeta/dias/1834/08/29/pdfs/GMD-1834-195.pdf#page=3","Abrir facsímil")</f>
        <v>Abrir facsímil</v>
      </c>
      <c r="K6754" s="10" t="s">
        <v>24</v>
      </c>
    </row>
    <row r="6755" spans="1:11" ht="54" customHeight="1">
      <c r="A6755" s="9" t="s">
        <v>15274</v>
      </c>
      <c r="B6755" s="9" t="s">
        <v>15274</v>
      </c>
      <c r="C6755" s="9" t="s">
        <v>90</v>
      </c>
      <c r="D6755" s="9" t="s">
        <v>67</v>
      </c>
      <c r="E6755" s="10" t="s">
        <v>2107</v>
      </c>
      <c r="F6755" s="9" t="s">
        <v>2108</v>
      </c>
      <c r="G6755" s="10" t="s">
        <v>21</v>
      </c>
      <c r="H6755" s="9" t="s">
        <v>22</v>
      </c>
      <c r="I6755" s="9" t="s">
        <v>15275</v>
      </c>
      <c r="J6755" s="10" t="str">
        <f>HYPERLINK("https://www.boe.es/gazeta/dias/1834/08/24/pdfs/GMD-1834-190.pdf#page=3","Abrir facsímil")</f>
        <v>Abrir facsímil</v>
      </c>
      <c r="K6755" s="10" t="s">
        <v>24</v>
      </c>
    </row>
    <row r="6756" spans="1:11" ht="54" customHeight="1">
      <c r="A6756" s="9" t="s">
        <v>15276</v>
      </c>
      <c r="B6756" s="9" t="s">
        <v>15277</v>
      </c>
      <c r="C6756" s="9" t="s">
        <v>17</v>
      </c>
      <c r="D6756" s="9" t="s">
        <v>18</v>
      </c>
      <c r="E6756" s="10" t="s">
        <v>84</v>
      </c>
      <c r="F6756" s="9" t="s">
        <v>85</v>
      </c>
      <c r="G6756" s="10" t="s">
        <v>86</v>
      </c>
      <c r="H6756" s="9" t="s">
        <v>22</v>
      </c>
      <c r="I6756" s="9" t="s">
        <v>15278</v>
      </c>
      <c r="J6756" s="10" t="str">
        <f>HYPERLINK("https://www.boe.es/gazeta/dias/1834/06/07/pdfs/GMD-C-1834-109.pdf#page=2","Abrir facsímil")</f>
        <v>Abrir facsímil</v>
      </c>
      <c r="K6756" s="10" t="s">
        <v>24</v>
      </c>
    </row>
    <row r="6757" spans="1:11" ht="54" customHeight="1">
      <c r="A6757" s="9" t="s">
        <v>15279</v>
      </c>
      <c r="B6757" s="9" t="s">
        <v>15279</v>
      </c>
      <c r="C6757" s="9" t="s">
        <v>17</v>
      </c>
      <c r="D6757" s="9" t="s">
        <v>18</v>
      </c>
      <c r="E6757" s="10" t="s">
        <v>73</v>
      </c>
      <c r="F6757" s="9" t="s">
        <v>1416</v>
      </c>
      <c r="G6757" s="10" t="s">
        <v>86</v>
      </c>
      <c r="H6757" s="9" t="s">
        <v>22</v>
      </c>
      <c r="I6757" s="9" t="s">
        <v>15280</v>
      </c>
      <c r="J6757" s="10" t="str">
        <f>HYPERLINK("https://www.boe.es/gazeta/dias/1834/11/04/pdfs/GMD-C-1834-263.pdf#page=2","Abrir facsímil")</f>
        <v>Abrir facsímil</v>
      </c>
      <c r="K6757" s="10" t="s">
        <v>24</v>
      </c>
    </row>
    <row r="6758" spans="1:11" ht="54" customHeight="1">
      <c r="A6758" s="9" t="s">
        <v>15279</v>
      </c>
      <c r="B6758" s="9" t="s">
        <v>15279</v>
      </c>
      <c r="C6758" s="9" t="s">
        <v>17</v>
      </c>
      <c r="D6758" s="9" t="s">
        <v>18</v>
      </c>
      <c r="E6758" s="10" t="s">
        <v>268</v>
      </c>
      <c r="F6758" s="9" t="s">
        <v>269</v>
      </c>
      <c r="G6758" s="10" t="s">
        <v>86</v>
      </c>
      <c r="H6758" s="9" t="s">
        <v>22</v>
      </c>
      <c r="I6758" s="9" t="s">
        <v>15281</v>
      </c>
      <c r="J6758" s="10" t="str">
        <f>HYPERLINK("https://www.boe.es/gazeta/dias/1834/12/19/pdfs/GMD-C-1834-309.pdf#page=2","Abrir facsímil")</f>
        <v>Abrir facsímil</v>
      </c>
      <c r="K6758" s="10" t="s">
        <v>24</v>
      </c>
    </row>
    <row r="6759" spans="1:11" ht="54" customHeight="1">
      <c r="A6759" s="9" t="s">
        <v>15279</v>
      </c>
      <c r="B6759" s="9" t="s">
        <v>15279</v>
      </c>
      <c r="C6759" s="9" t="s">
        <v>66</v>
      </c>
      <c r="D6759" s="9" t="s">
        <v>67</v>
      </c>
      <c r="E6759" s="10" t="s">
        <v>251</v>
      </c>
      <c r="F6759" s="9" t="s">
        <v>252</v>
      </c>
      <c r="G6759" s="10" t="s">
        <v>75</v>
      </c>
      <c r="H6759" s="9" t="s">
        <v>22</v>
      </c>
      <c r="I6759" s="9" t="s">
        <v>15282</v>
      </c>
      <c r="J6759" s="10" t="str">
        <f>HYPERLINK("https://www.boe.es/gazeta/dias/1834/09/26/pdfs/GMD-C-1834-224.pdf#page=4","Abrir facsímil")</f>
        <v>Abrir facsímil</v>
      </c>
      <c r="K6759" s="10" t="s">
        <v>24</v>
      </c>
    </row>
    <row r="6760" spans="1:11" ht="54" customHeight="1">
      <c r="A6760" s="9" t="s">
        <v>15283</v>
      </c>
      <c r="B6760" s="9" t="s">
        <v>15283</v>
      </c>
      <c r="C6760" s="9" t="s">
        <v>17</v>
      </c>
      <c r="D6760" s="9" t="s">
        <v>18</v>
      </c>
      <c r="E6760" s="10" t="s">
        <v>251</v>
      </c>
      <c r="F6760" s="9" t="s">
        <v>252</v>
      </c>
      <c r="G6760" s="10" t="s">
        <v>28</v>
      </c>
      <c r="H6760" s="9" t="s">
        <v>22</v>
      </c>
      <c r="I6760" s="9" t="s">
        <v>15284</v>
      </c>
      <c r="J6760" s="10" t="str">
        <f>HYPERLINK("https://www.boe.es/gazeta/dias/1834/09/26/pdfs/GMD-C-1834-224.pdf#page=5","Abrir facsímil")</f>
        <v>Abrir facsímil</v>
      </c>
      <c r="K6760" s="10" t="s">
        <v>24</v>
      </c>
    </row>
    <row r="6761" spans="1:11" ht="54" customHeight="1">
      <c r="A6761" s="9" t="s">
        <v>15285</v>
      </c>
      <c r="B6761" s="9" t="s">
        <v>15286</v>
      </c>
      <c r="C6761" s="9" t="s">
        <v>17</v>
      </c>
      <c r="D6761" s="9" t="s">
        <v>18</v>
      </c>
      <c r="E6761" s="10" t="s">
        <v>468</v>
      </c>
      <c r="F6761" s="9" t="s">
        <v>469</v>
      </c>
      <c r="G6761" s="10" t="s">
        <v>470</v>
      </c>
      <c r="H6761" s="9" t="s">
        <v>22</v>
      </c>
      <c r="I6761" s="9" t="s">
        <v>15287</v>
      </c>
      <c r="J6761" s="10" t="str">
        <f>HYPERLINK("https://www.boe.es/gazeta/dias/1834/12/28/pdfs/GMD-C-1834-318.pdf#page=8","Abrir facsímil")</f>
        <v>Abrir facsímil</v>
      </c>
      <c r="K6761" s="10" t="s">
        <v>24</v>
      </c>
    </row>
    <row r="6762" spans="1:11" ht="54" customHeight="1">
      <c r="A6762" s="9" t="s">
        <v>15288</v>
      </c>
      <c r="B6762" s="9" t="s">
        <v>15288</v>
      </c>
      <c r="C6762" s="9" t="s">
        <v>17</v>
      </c>
      <c r="D6762" s="9" t="s">
        <v>55</v>
      </c>
      <c r="E6762" s="10" t="s">
        <v>294</v>
      </c>
      <c r="F6762" s="9" t="s">
        <v>959</v>
      </c>
      <c r="G6762" s="10" t="s">
        <v>21</v>
      </c>
      <c r="H6762" s="9" t="s">
        <v>22</v>
      </c>
      <c r="I6762" s="9" t="s">
        <v>15289</v>
      </c>
      <c r="J6762" s="10" t="str">
        <f>HYPERLINK("https://www.boe.es/gazeta/dias/1834/09/27/pdfs/GMD-C-1834-225.pdf#page=3","Abrir facsímil")</f>
        <v>Abrir facsímil</v>
      </c>
      <c r="K6762" s="10" t="s">
        <v>24</v>
      </c>
    </row>
    <row r="6763" spans="1:11" ht="54" customHeight="1">
      <c r="A6763" s="9" t="s">
        <v>15290</v>
      </c>
      <c r="B6763" s="9" t="s">
        <v>15290</v>
      </c>
      <c r="C6763" s="9" t="s">
        <v>17</v>
      </c>
      <c r="D6763" s="9" t="s">
        <v>101</v>
      </c>
      <c r="E6763" s="10" t="s">
        <v>2748</v>
      </c>
      <c r="F6763" s="9" t="s">
        <v>2749</v>
      </c>
      <c r="G6763" s="10" t="s">
        <v>75</v>
      </c>
      <c r="H6763" s="9" t="s">
        <v>22</v>
      </c>
      <c r="I6763" s="9" t="s">
        <v>15291</v>
      </c>
      <c r="J6763" s="10" t="str">
        <f>HYPERLINK("https://www.boe.es/gazeta/dias/1834/01/09/pdfs/GMD-1834-5.pdf#page=4","Abrir facsímil")</f>
        <v>Abrir facsímil</v>
      </c>
      <c r="K6763" s="10" t="s">
        <v>24</v>
      </c>
    </row>
    <row r="6764" spans="1:11" ht="54" customHeight="1">
      <c r="A6764" s="9" t="s">
        <v>15292</v>
      </c>
      <c r="B6764" s="9" t="s">
        <v>15293</v>
      </c>
      <c r="C6764" s="9" t="s">
        <v>46</v>
      </c>
      <c r="D6764" s="9" t="s">
        <v>101</v>
      </c>
      <c r="E6764" s="10" t="s">
        <v>280</v>
      </c>
      <c r="F6764" s="9" t="s">
        <v>281</v>
      </c>
      <c r="G6764" s="10" t="s">
        <v>34</v>
      </c>
      <c r="H6764" s="9" t="s">
        <v>22</v>
      </c>
      <c r="I6764" s="9" t="s">
        <v>15294</v>
      </c>
      <c r="J6764" s="10" t="str">
        <f>HYPERLINK("https://www.boe.es/gazeta/dias/1834/08/29/pdfs/GMD-C-1834-195.pdf#page=1","Abrir facsímil")</f>
        <v>Abrir facsímil</v>
      </c>
      <c r="K6764" s="10" t="s">
        <v>24</v>
      </c>
    </row>
    <row r="6765" spans="1:11" ht="54" customHeight="1">
      <c r="A6765" s="9" t="s">
        <v>15295</v>
      </c>
      <c r="B6765" s="9" t="s">
        <v>15296</v>
      </c>
      <c r="C6765" s="9" t="s">
        <v>90</v>
      </c>
      <c r="D6765" s="9" t="s">
        <v>18</v>
      </c>
      <c r="E6765" s="10" t="s">
        <v>416</v>
      </c>
      <c r="F6765" s="9" t="s">
        <v>417</v>
      </c>
      <c r="G6765" s="10" t="s">
        <v>34</v>
      </c>
      <c r="H6765" s="9" t="s">
        <v>22</v>
      </c>
      <c r="I6765" s="9" t="s">
        <v>15297</v>
      </c>
      <c r="J6765" s="10" t="str">
        <f>HYPERLINK("https://www.boe.es/gazeta/dias/1834/10/02/pdfs/GMD-C-1834-230.pdf#page=1","Abrir facsímil")</f>
        <v>Abrir facsímil</v>
      </c>
      <c r="K6765" s="10" t="s">
        <v>24</v>
      </c>
    </row>
    <row r="6766" spans="1:11" ht="54" customHeight="1">
      <c r="A6766" s="9" t="s">
        <v>15298</v>
      </c>
      <c r="B6766" s="9" t="s">
        <v>15299</v>
      </c>
      <c r="C6766" s="9" t="s">
        <v>17</v>
      </c>
      <c r="D6766" s="9" t="s">
        <v>18</v>
      </c>
      <c r="E6766" s="10" t="s">
        <v>1017</v>
      </c>
      <c r="F6766" s="9" t="s">
        <v>1018</v>
      </c>
      <c r="G6766" s="10" t="s">
        <v>21</v>
      </c>
      <c r="H6766" s="9" t="s">
        <v>22</v>
      </c>
      <c r="I6766" s="9" t="s">
        <v>15300</v>
      </c>
      <c r="J6766" s="10" t="str">
        <f>HYPERLINK("https://www.boe.es/gazeta/dias/1834/07/24/pdfs/GMD-1834-157.pdf#page=3","Abrir facsímil")</f>
        <v>Abrir facsímil</v>
      </c>
      <c r="K6766" s="10" t="s">
        <v>24</v>
      </c>
    </row>
    <row r="6767" spans="1:11" ht="54" customHeight="1">
      <c r="A6767" s="9" t="s">
        <v>15301</v>
      </c>
      <c r="B6767" s="9" t="s">
        <v>15301</v>
      </c>
      <c r="C6767" s="9" t="s">
        <v>90</v>
      </c>
      <c r="D6767" s="9" t="s">
        <v>18</v>
      </c>
      <c r="E6767" s="10" t="s">
        <v>785</v>
      </c>
      <c r="F6767" s="9" t="s">
        <v>786</v>
      </c>
      <c r="G6767" s="10" t="s">
        <v>86</v>
      </c>
      <c r="H6767" s="9" t="s">
        <v>22</v>
      </c>
      <c r="I6767" s="9" t="s">
        <v>15302</v>
      </c>
      <c r="J6767" s="10" t="str">
        <f>HYPERLINK("https://www.boe.es/gazeta/dias/1834/02/11/pdfs/GMD-1834-19.pdf#page=2","Abrir facsímil")</f>
        <v>Abrir facsímil</v>
      </c>
      <c r="K6767" s="10" t="s">
        <v>24</v>
      </c>
    </row>
    <row r="6768" spans="1:11" ht="54" customHeight="1">
      <c r="A6768" s="9" t="s">
        <v>15301</v>
      </c>
      <c r="B6768" s="9" t="s">
        <v>15301</v>
      </c>
      <c r="C6768" s="9" t="s">
        <v>122</v>
      </c>
      <c r="D6768" s="9" t="s">
        <v>18</v>
      </c>
      <c r="E6768" s="10" t="s">
        <v>1094</v>
      </c>
      <c r="F6768" s="9" t="s">
        <v>1095</v>
      </c>
      <c r="G6768" s="10" t="s">
        <v>86</v>
      </c>
      <c r="H6768" s="9" t="s">
        <v>22</v>
      </c>
      <c r="I6768" s="9" t="s">
        <v>15303</v>
      </c>
      <c r="J6768" s="10" t="str">
        <f>HYPERLINK("https://www.boe.es/gazeta/dias/1834/07/13/pdfs/GMD-1834-146.pdf#page=2","Abrir facsímil")</f>
        <v>Abrir facsímil</v>
      </c>
      <c r="K6768" s="10" t="s">
        <v>24</v>
      </c>
    </row>
    <row r="6769" spans="1:11" ht="54" customHeight="1">
      <c r="A6769" s="9" t="s">
        <v>15304</v>
      </c>
      <c r="B6769" s="9" t="s">
        <v>15305</v>
      </c>
      <c r="C6769" s="9" t="s">
        <v>17</v>
      </c>
      <c r="D6769" s="9" t="s">
        <v>55</v>
      </c>
      <c r="E6769" s="10" t="s">
        <v>247</v>
      </c>
      <c r="F6769" s="9" t="s">
        <v>248</v>
      </c>
      <c r="G6769" s="10" t="s">
        <v>34</v>
      </c>
      <c r="H6769" s="9" t="s">
        <v>35</v>
      </c>
      <c r="I6769" s="9" t="s">
        <v>15306</v>
      </c>
      <c r="J6769" s="10" t="str">
        <f>HYPERLINK("https://www.boe.es/gazeta/dias/1834/08/23/pdfs/GMD-C-1834-189.pdf#page=1","Abrir facsímil")</f>
        <v>Abrir facsímil</v>
      </c>
      <c r="K6769" s="10" t="s">
        <v>37</v>
      </c>
    </row>
    <row r="6770" spans="1:11" ht="54" customHeight="1">
      <c r="A6770" s="9" t="s">
        <v>15307</v>
      </c>
      <c r="B6770" s="9" t="s">
        <v>15308</v>
      </c>
      <c r="C6770" s="9" t="s">
        <v>17</v>
      </c>
      <c r="D6770" s="9" t="s">
        <v>55</v>
      </c>
      <c r="E6770" s="10" t="s">
        <v>247</v>
      </c>
      <c r="F6770" s="9" t="s">
        <v>248</v>
      </c>
      <c r="G6770" s="10" t="s">
        <v>34</v>
      </c>
      <c r="H6770" s="9" t="s">
        <v>22</v>
      </c>
      <c r="I6770" s="9" t="s">
        <v>15309</v>
      </c>
      <c r="J6770" s="10" t="str">
        <f>HYPERLINK("https://www.boe.es/gazeta/dias/1834/08/23/pdfs/GMD-C-1834-189.pdf#page=1","Abrir facsímil")</f>
        <v>Abrir facsímil</v>
      </c>
      <c r="K6770" s="10" t="s">
        <v>24</v>
      </c>
    </row>
    <row r="6771" spans="1:11" ht="54" customHeight="1">
      <c r="A6771" s="9" t="s">
        <v>15310</v>
      </c>
      <c r="B6771" s="9" t="s">
        <v>15311</v>
      </c>
      <c r="C6771" s="9" t="s">
        <v>66</v>
      </c>
      <c r="D6771" s="9" t="s">
        <v>67</v>
      </c>
      <c r="E6771" s="10" t="s">
        <v>174</v>
      </c>
      <c r="F6771" s="9" t="s">
        <v>175</v>
      </c>
      <c r="G6771" s="10" t="s">
        <v>86</v>
      </c>
      <c r="H6771" s="9" t="s">
        <v>35</v>
      </c>
      <c r="I6771" s="9" t="s">
        <v>15312</v>
      </c>
      <c r="J6771" s="10" t="str">
        <f>HYPERLINK("https://www.boe.es/gazeta/dias/1834/03/27/pdfs/GMD-1834-38.pdf#page=2","Abrir facsímil")</f>
        <v>Abrir facsímil</v>
      </c>
      <c r="K6771" s="10" t="s">
        <v>37</v>
      </c>
    </row>
    <row r="6772" spans="1:11" ht="54" customHeight="1">
      <c r="A6772" s="9" t="s">
        <v>15313</v>
      </c>
      <c r="B6772" s="9" t="s">
        <v>15314</v>
      </c>
      <c r="C6772" s="9" t="s">
        <v>17</v>
      </c>
      <c r="D6772" s="9" t="s">
        <v>40</v>
      </c>
      <c r="E6772" s="10" t="s">
        <v>642</v>
      </c>
      <c r="F6772" s="9" t="s">
        <v>643</v>
      </c>
      <c r="G6772" s="10" t="s">
        <v>34</v>
      </c>
      <c r="H6772" s="9" t="s">
        <v>35</v>
      </c>
      <c r="I6772" s="9" t="s">
        <v>15315</v>
      </c>
      <c r="J6772" s="10" t="str">
        <f>HYPERLINK("https://www.boe.es/gazeta/dias/1834/11/12/pdfs/GMD-C-1834-271.pdf#page=1","Abrir facsímil")</f>
        <v>Abrir facsímil</v>
      </c>
      <c r="K6772" s="10" t="s">
        <v>37</v>
      </c>
    </row>
    <row r="6773" spans="1:11" ht="54" customHeight="1">
      <c r="A6773" s="9" t="s">
        <v>15316</v>
      </c>
      <c r="B6773" s="9" t="s">
        <v>15317</v>
      </c>
      <c r="C6773" s="9" t="s">
        <v>17</v>
      </c>
      <c r="D6773" s="9" t="s">
        <v>40</v>
      </c>
      <c r="E6773" s="10" t="s">
        <v>642</v>
      </c>
      <c r="F6773" s="9" t="s">
        <v>643</v>
      </c>
      <c r="G6773" s="10" t="s">
        <v>34</v>
      </c>
      <c r="H6773" s="9" t="s">
        <v>22</v>
      </c>
      <c r="I6773" s="9" t="s">
        <v>15318</v>
      </c>
      <c r="J6773" s="10" t="str">
        <f>HYPERLINK("https://www.boe.es/gazeta/dias/1834/11/12/pdfs/GMD-C-1834-271.pdf#page=1","Abrir facsímil")</f>
        <v>Abrir facsímil</v>
      </c>
      <c r="K6773" s="10" t="s">
        <v>24</v>
      </c>
    </row>
    <row r="6774" spans="1:11" ht="54" customHeight="1">
      <c r="A6774" s="9" t="s">
        <v>15319</v>
      </c>
      <c r="B6774" s="9" t="s">
        <v>15320</v>
      </c>
      <c r="C6774" s="9" t="s">
        <v>17</v>
      </c>
      <c r="D6774" s="9" t="s">
        <v>18</v>
      </c>
      <c r="E6774" s="10" t="s">
        <v>348</v>
      </c>
      <c r="F6774" s="9" t="s">
        <v>501</v>
      </c>
      <c r="G6774" s="10" t="s">
        <v>21</v>
      </c>
      <c r="H6774" s="9" t="s">
        <v>22</v>
      </c>
      <c r="I6774" s="9" t="s">
        <v>15321</v>
      </c>
      <c r="J6774" s="10" t="str">
        <f>HYPERLINK("https://www.boe.es/gazeta/dias/1834/06/12/pdfs/GMD-1834-115.pdf#page=3","Abrir facsímil")</f>
        <v>Abrir facsímil</v>
      </c>
      <c r="K6774" s="10" t="s">
        <v>24</v>
      </c>
    </row>
    <row r="6775" spans="1:11" ht="54" customHeight="1">
      <c r="A6775" s="9" t="s">
        <v>15322</v>
      </c>
      <c r="B6775" s="9" t="s">
        <v>15322</v>
      </c>
      <c r="C6775" s="9" t="s">
        <v>17</v>
      </c>
      <c r="D6775" s="9" t="s">
        <v>40</v>
      </c>
      <c r="E6775" s="10" t="s">
        <v>1850</v>
      </c>
      <c r="F6775" s="9" t="s">
        <v>1851</v>
      </c>
      <c r="G6775" s="10" t="s">
        <v>470</v>
      </c>
      <c r="H6775" s="9" t="s">
        <v>22</v>
      </c>
      <c r="I6775" s="9" t="s">
        <v>15323</v>
      </c>
      <c r="J6775" s="10" t="str">
        <f>HYPERLINK("https://www.boe.es/gazeta/dias/1834/02/18/pdfs/GMD-1834-22.pdf#page=8","Abrir facsímil")</f>
        <v>Abrir facsímil</v>
      </c>
      <c r="K6775" s="10" t="s">
        <v>24</v>
      </c>
    </row>
    <row r="6776" spans="1:11" ht="54" customHeight="1">
      <c r="A6776" s="9" t="s">
        <v>15324</v>
      </c>
      <c r="B6776" s="9" t="s">
        <v>15325</v>
      </c>
      <c r="C6776" s="9" t="s">
        <v>66</v>
      </c>
      <c r="D6776" s="9" t="s">
        <v>67</v>
      </c>
      <c r="E6776" s="10" t="s">
        <v>777</v>
      </c>
      <c r="F6776" s="9" t="s">
        <v>778</v>
      </c>
      <c r="G6776" s="10" t="s">
        <v>75</v>
      </c>
      <c r="H6776" s="9" t="s">
        <v>22</v>
      </c>
      <c r="I6776" s="9" t="s">
        <v>15326</v>
      </c>
      <c r="J6776" s="10" t="str">
        <f>HYPERLINK("https://www.boe.es/gazeta/dias/1834/10/29/pdfs/GMD-1834-257.pdf#page=4","Abrir facsímil")</f>
        <v>Abrir facsímil</v>
      </c>
      <c r="K6776" s="10" t="s">
        <v>24</v>
      </c>
    </row>
    <row r="6777" spans="1:11" ht="54" customHeight="1">
      <c r="A6777" s="9" t="s">
        <v>15327</v>
      </c>
      <c r="B6777" s="9" t="s">
        <v>15328</v>
      </c>
      <c r="C6777" s="9" t="s">
        <v>90</v>
      </c>
      <c r="D6777" s="9" t="s">
        <v>67</v>
      </c>
      <c r="E6777" s="10" t="s">
        <v>1025</v>
      </c>
      <c r="F6777" s="9" t="s">
        <v>1026</v>
      </c>
      <c r="G6777" s="10" t="s">
        <v>34</v>
      </c>
      <c r="H6777" s="9" t="s">
        <v>22</v>
      </c>
      <c r="I6777" s="9" t="s">
        <v>15329</v>
      </c>
      <c r="J6777" s="10" t="str">
        <f>HYPERLINK("https://www.boe.es/gazeta/dias/1834/03/01/pdfs/GMD-1834-27.pdf#page=1","Abrir facsímil")</f>
        <v>Abrir facsímil</v>
      </c>
      <c r="K6777" s="10" t="s">
        <v>24</v>
      </c>
    </row>
    <row r="6778" spans="1:11" ht="54" customHeight="1">
      <c r="A6778" s="9" t="s">
        <v>15330</v>
      </c>
      <c r="B6778" s="9" t="s">
        <v>15330</v>
      </c>
      <c r="C6778" s="9" t="s">
        <v>17</v>
      </c>
      <c r="D6778" s="9" t="s">
        <v>55</v>
      </c>
      <c r="E6778" s="10" t="s">
        <v>209</v>
      </c>
      <c r="F6778" s="9" t="s">
        <v>210</v>
      </c>
      <c r="G6778" s="10" t="s">
        <v>75</v>
      </c>
      <c r="H6778" s="9" t="s">
        <v>22</v>
      </c>
      <c r="I6778" s="9" t="s">
        <v>15331</v>
      </c>
      <c r="J6778" s="10" t="str">
        <f>HYPERLINK("https://www.boe.es/gazeta/dias/1834/07/01/pdfs/GMD-1834-134.pdf#page=4","Abrir facsímil")</f>
        <v>Abrir facsímil</v>
      </c>
      <c r="K6778" s="10" t="s">
        <v>24</v>
      </c>
    </row>
    <row r="6779" spans="1:11" ht="54" customHeight="1">
      <c r="A6779" s="9" t="s">
        <v>15332</v>
      </c>
      <c r="B6779" s="9" t="s">
        <v>15332</v>
      </c>
      <c r="C6779" s="9" t="s">
        <v>17</v>
      </c>
      <c r="D6779" s="9" t="s">
        <v>18</v>
      </c>
      <c r="E6779" s="10" t="s">
        <v>870</v>
      </c>
      <c r="F6779" s="9" t="s">
        <v>871</v>
      </c>
      <c r="G6779" s="10" t="s">
        <v>86</v>
      </c>
      <c r="H6779" s="9" t="s">
        <v>22</v>
      </c>
      <c r="I6779" s="9" t="s">
        <v>15333</v>
      </c>
      <c r="J6779" s="10" t="str">
        <f>HYPERLINK("https://www.boe.es/gazeta/dias/1834/05/28/pdfs/GMD-1834-97.pdf#page=2","Abrir facsímil")</f>
        <v>Abrir facsímil</v>
      </c>
      <c r="K6779" s="10" t="s">
        <v>24</v>
      </c>
    </row>
    <row r="6780" spans="1:11" ht="54" customHeight="1">
      <c r="A6780" s="9" t="s">
        <v>15334</v>
      </c>
      <c r="B6780" s="9" t="s">
        <v>15334</v>
      </c>
      <c r="C6780" s="9" t="s">
        <v>17</v>
      </c>
      <c r="D6780" s="9" t="s">
        <v>101</v>
      </c>
      <c r="E6780" s="10" t="s">
        <v>102</v>
      </c>
      <c r="F6780" s="9" t="s">
        <v>103</v>
      </c>
      <c r="G6780" s="10" t="s">
        <v>86</v>
      </c>
      <c r="H6780" s="9" t="s">
        <v>22</v>
      </c>
      <c r="I6780" s="9" t="s">
        <v>15335</v>
      </c>
      <c r="J6780" s="10" t="str">
        <f>HYPERLINK("https://www.boe.es/gazeta/dias/1834/07/19/pdfs/GMD-1834-152.pdf#page=2","Abrir facsímil")</f>
        <v>Abrir facsímil</v>
      </c>
      <c r="K6780" s="10" t="s">
        <v>24</v>
      </c>
    </row>
    <row r="6781" spans="1:11" ht="54" customHeight="1">
      <c r="A6781" s="9" t="s">
        <v>15334</v>
      </c>
      <c r="B6781" s="9" t="s">
        <v>15334</v>
      </c>
      <c r="C6781" s="9" t="s">
        <v>66</v>
      </c>
      <c r="D6781" s="9" t="s">
        <v>18</v>
      </c>
      <c r="E6781" s="10" t="s">
        <v>5885</v>
      </c>
      <c r="F6781" s="9" t="s">
        <v>5886</v>
      </c>
      <c r="G6781" s="10" t="s">
        <v>34</v>
      </c>
      <c r="H6781" s="9" t="s">
        <v>22</v>
      </c>
      <c r="I6781" s="9" t="s">
        <v>15336</v>
      </c>
      <c r="J6781" s="10" t="str">
        <f>HYPERLINK("https://www.boe.es/gazeta/dias/1834/05/23/pdfs/GMD-1834-92.pdf#page=1","Abrir facsímil")</f>
        <v>Abrir facsímil</v>
      </c>
      <c r="K6781" s="10" t="s">
        <v>24</v>
      </c>
    </row>
    <row r="6782" spans="1:11" ht="54" customHeight="1">
      <c r="A6782" s="9" t="s">
        <v>15334</v>
      </c>
      <c r="B6782" s="9" t="s">
        <v>15334</v>
      </c>
      <c r="C6782" s="9" t="s">
        <v>17</v>
      </c>
      <c r="D6782" s="9" t="s">
        <v>18</v>
      </c>
      <c r="E6782" s="10" t="s">
        <v>1766</v>
      </c>
      <c r="F6782" s="9" t="s">
        <v>5600</v>
      </c>
      <c r="G6782" s="10" t="s">
        <v>86</v>
      </c>
      <c r="H6782" s="9" t="s">
        <v>22</v>
      </c>
      <c r="I6782" s="9" t="s">
        <v>15337</v>
      </c>
      <c r="J6782" s="10" t="str">
        <f>HYPERLINK("https://www.boe.es/gazeta/dias/1834/10/26/pdfs/GMD-1834-254.pdf#page=2","Abrir facsímil")</f>
        <v>Abrir facsímil</v>
      </c>
      <c r="K6782" s="10" t="s">
        <v>24</v>
      </c>
    </row>
    <row r="6783" spans="1:11" ht="54" customHeight="1">
      <c r="A6783" s="9" t="s">
        <v>15338</v>
      </c>
      <c r="B6783" s="9" t="s">
        <v>15339</v>
      </c>
      <c r="C6783" s="9" t="s">
        <v>17</v>
      </c>
      <c r="D6783" s="9" t="s">
        <v>40</v>
      </c>
      <c r="E6783" s="10" t="s">
        <v>5435</v>
      </c>
      <c r="F6783" s="9" t="s">
        <v>5436</v>
      </c>
      <c r="G6783" s="10" t="s">
        <v>75</v>
      </c>
      <c r="H6783" s="9" t="s">
        <v>22</v>
      </c>
      <c r="I6783" s="9" t="s">
        <v>15340</v>
      </c>
      <c r="J6783" s="10" t="str">
        <f>HYPERLINK("https://www.boe.es/gazeta/dias/1834/05/11/pdfs/GMD-1834-80.pdf#page=4","Abrir facsímil")</f>
        <v>Abrir facsímil</v>
      </c>
      <c r="K6783" s="10" t="s">
        <v>24</v>
      </c>
    </row>
    <row r="6784" spans="1:11" ht="54" customHeight="1">
      <c r="A6784" s="9" t="s">
        <v>15338</v>
      </c>
      <c r="B6784" s="9" t="s">
        <v>15339</v>
      </c>
      <c r="C6784" s="9" t="s">
        <v>46</v>
      </c>
      <c r="D6784" s="9" t="s">
        <v>18</v>
      </c>
      <c r="E6784" s="10" t="s">
        <v>10172</v>
      </c>
      <c r="F6784" s="9" t="s">
        <v>10173</v>
      </c>
      <c r="G6784" s="10" t="s">
        <v>75</v>
      </c>
      <c r="H6784" s="9" t="s">
        <v>22</v>
      </c>
      <c r="I6784" s="9" t="s">
        <v>15341</v>
      </c>
      <c r="J6784" s="10" t="str">
        <f>HYPERLINK("https://www.boe.es/gazeta/dias/1834/06/15/pdfs/GMD-1834-118.pdf#page=4","Abrir facsímil")</f>
        <v>Abrir facsímil</v>
      </c>
      <c r="K6784" s="10" t="s">
        <v>24</v>
      </c>
    </row>
    <row r="6785" spans="1:11" ht="54" customHeight="1">
      <c r="A6785" s="9" t="s">
        <v>15342</v>
      </c>
      <c r="B6785" s="9" t="s">
        <v>15343</v>
      </c>
      <c r="C6785" s="9" t="s">
        <v>17</v>
      </c>
      <c r="D6785" s="9" t="s">
        <v>18</v>
      </c>
      <c r="E6785" s="10" t="s">
        <v>860</v>
      </c>
      <c r="F6785" s="9" t="s">
        <v>1755</v>
      </c>
      <c r="G6785" s="10" t="s">
        <v>34</v>
      </c>
      <c r="H6785" s="9" t="s">
        <v>22</v>
      </c>
      <c r="I6785" s="9" t="s">
        <v>15344</v>
      </c>
      <c r="J6785" s="10" t="str">
        <f>HYPERLINK("https://www.boe.es/gazeta/dias/1834/02/08/pdfs/GMD-C-1834-18.pdf#page=1","Abrir facsímil")</f>
        <v>Abrir facsímil</v>
      </c>
      <c r="K6785" s="10" t="s">
        <v>24</v>
      </c>
    </row>
    <row r="6786" spans="1:11" ht="54" customHeight="1">
      <c r="A6786" s="9" t="s">
        <v>15345</v>
      </c>
      <c r="B6786" s="9" t="s">
        <v>15346</v>
      </c>
      <c r="C6786" s="9" t="s">
        <v>17</v>
      </c>
      <c r="D6786" s="9" t="s">
        <v>18</v>
      </c>
      <c r="E6786" s="10" t="s">
        <v>1186</v>
      </c>
      <c r="F6786" s="9" t="s">
        <v>1187</v>
      </c>
      <c r="G6786" s="10" t="s">
        <v>34</v>
      </c>
      <c r="H6786" s="9" t="s">
        <v>22</v>
      </c>
      <c r="I6786" s="9" t="s">
        <v>15347</v>
      </c>
      <c r="J6786" s="10" t="str">
        <f>HYPERLINK("https://www.boe.es/gazeta/dias/1834/08/14/pdfs/GMD-1834-179.pdf#page=1","Abrir facsímil")</f>
        <v>Abrir facsímil</v>
      </c>
      <c r="K6786" s="10" t="s">
        <v>24</v>
      </c>
    </row>
    <row r="6787" spans="1:11" ht="54" customHeight="1">
      <c r="A6787" s="9" t="s">
        <v>15348</v>
      </c>
      <c r="B6787" s="9" t="s">
        <v>15349</v>
      </c>
      <c r="C6787" s="9" t="s">
        <v>17</v>
      </c>
      <c r="D6787" s="9" t="s">
        <v>18</v>
      </c>
      <c r="E6787" s="10" t="s">
        <v>3083</v>
      </c>
      <c r="F6787" s="9" t="s">
        <v>3084</v>
      </c>
      <c r="G6787" s="10" t="s">
        <v>75</v>
      </c>
      <c r="H6787" s="9" t="s">
        <v>22</v>
      </c>
      <c r="I6787" s="9" t="s">
        <v>15350</v>
      </c>
      <c r="J6787" s="10" t="str">
        <f>HYPERLINK("https://www.boe.es/gazeta/dias/1834/10/30/pdfs/GMD-1834-258.pdf#page=4","Abrir facsímil")</f>
        <v>Abrir facsímil</v>
      </c>
      <c r="K6787" s="10" t="s">
        <v>24</v>
      </c>
    </row>
    <row r="6788" spans="1:11" ht="54" customHeight="1">
      <c r="A6788" s="9" t="s">
        <v>15351</v>
      </c>
      <c r="B6788" s="9" t="s">
        <v>15352</v>
      </c>
      <c r="C6788" s="9" t="s">
        <v>17</v>
      </c>
      <c r="D6788" s="9" t="s">
        <v>55</v>
      </c>
      <c r="E6788" s="10" t="s">
        <v>258</v>
      </c>
      <c r="F6788" s="9" t="s">
        <v>1075</v>
      </c>
      <c r="G6788" s="10" t="s">
        <v>34</v>
      </c>
      <c r="H6788" s="9" t="s">
        <v>22</v>
      </c>
      <c r="I6788" s="9" t="s">
        <v>15353</v>
      </c>
      <c r="J6788" s="10" t="str">
        <f>HYPERLINK("https://www.boe.es/gazeta/dias/1834/10/09/pdfs/GMD-1834-237.pdf#page=1","Abrir facsímil")</f>
        <v>Abrir facsímil</v>
      </c>
      <c r="K6788" s="10" t="s">
        <v>24</v>
      </c>
    </row>
    <row r="6789" spans="1:11" ht="54" customHeight="1">
      <c r="A6789" s="9" t="s">
        <v>15354</v>
      </c>
      <c r="B6789" s="9" t="s">
        <v>15355</v>
      </c>
      <c r="C6789" s="9" t="s">
        <v>17</v>
      </c>
      <c r="D6789" s="9" t="s">
        <v>40</v>
      </c>
      <c r="E6789" s="10" t="s">
        <v>8346</v>
      </c>
      <c r="F6789" s="9" t="s">
        <v>8347</v>
      </c>
      <c r="G6789" s="10" t="s">
        <v>75</v>
      </c>
      <c r="H6789" s="9" t="s">
        <v>22</v>
      </c>
      <c r="I6789" s="9" t="s">
        <v>15356</v>
      </c>
      <c r="J6789" s="10" t="str">
        <f>HYPERLINK("https://www.boe.es/gazeta/dias/1834/12/04/pdfs/GMD-1834-293.pdf#page=4","Abrir facsímil")</f>
        <v>Abrir facsímil</v>
      </c>
      <c r="K6789" s="10" t="s">
        <v>24</v>
      </c>
    </row>
    <row r="6790" spans="1:11" ht="54" customHeight="1">
      <c r="A6790" s="9" t="s">
        <v>15357</v>
      </c>
      <c r="B6790" s="9" t="s">
        <v>15358</v>
      </c>
      <c r="C6790" s="9" t="s">
        <v>122</v>
      </c>
      <c r="D6790" s="9" t="s">
        <v>18</v>
      </c>
      <c r="E6790" s="10" t="s">
        <v>355</v>
      </c>
      <c r="F6790" s="9" t="s">
        <v>356</v>
      </c>
      <c r="G6790" s="10" t="s">
        <v>86</v>
      </c>
      <c r="H6790" s="9" t="s">
        <v>22</v>
      </c>
      <c r="I6790" s="9" t="s">
        <v>15359</v>
      </c>
      <c r="J6790" s="10" t="str">
        <f>HYPERLINK("https://www.boe.es/gazeta/dias/1834/07/04/pdfs/I00597-00598.pdf#page=2","Abrir facsímil")</f>
        <v>Abrir facsímil</v>
      </c>
      <c r="K6790" s="10" t="s">
        <v>24</v>
      </c>
    </row>
    <row r="6791" spans="1:11" ht="54" customHeight="1">
      <c r="A6791" s="9" t="s">
        <v>15357</v>
      </c>
      <c r="B6791" s="9" t="s">
        <v>15358</v>
      </c>
      <c r="C6791" s="9" t="s">
        <v>122</v>
      </c>
      <c r="D6791" s="9" t="s">
        <v>18</v>
      </c>
      <c r="E6791" s="10" t="s">
        <v>355</v>
      </c>
      <c r="F6791" s="9" t="s">
        <v>356</v>
      </c>
      <c r="G6791" s="10" t="s">
        <v>75</v>
      </c>
      <c r="H6791" s="9" t="s">
        <v>22</v>
      </c>
      <c r="I6791" s="9" t="s">
        <v>15359</v>
      </c>
      <c r="J6791" s="10" t="str">
        <f>HYPERLINK("https://www.boe.es/gazeta/dias/1834/07/04/pdfs/GMD-1834-137.pdf#page=4","Abrir facsímil")</f>
        <v>Abrir facsímil</v>
      </c>
      <c r="K6791" s="10" t="s">
        <v>24</v>
      </c>
    </row>
    <row r="6792" spans="1:11" ht="54" customHeight="1">
      <c r="A6792" s="9" t="s">
        <v>15360</v>
      </c>
      <c r="B6792" s="9" t="s">
        <v>15361</v>
      </c>
      <c r="C6792" s="9" t="s">
        <v>90</v>
      </c>
      <c r="D6792" s="9" t="s">
        <v>18</v>
      </c>
      <c r="E6792" s="10" t="s">
        <v>454</v>
      </c>
      <c r="F6792" s="9" t="s">
        <v>2009</v>
      </c>
      <c r="G6792" s="10" t="s">
        <v>21</v>
      </c>
      <c r="H6792" s="9" t="s">
        <v>22</v>
      </c>
      <c r="I6792" s="9" t="s">
        <v>15362</v>
      </c>
      <c r="J6792" s="10" t="str">
        <f>HYPERLINK("https://www.boe.es/gazeta/dias/1834/10/16/pdfs/GMD-1834-244.pdf#page=3","Abrir facsímil")</f>
        <v>Abrir facsímil</v>
      </c>
      <c r="K6792" s="10" t="s">
        <v>24</v>
      </c>
    </row>
    <row r="6793" spans="1:11" ht="54" customHeight="1">
      <c r="A6793" s="9" t="s">
        <v>15363</v>
      </c>
      <c r="B6793" s="9" t="s">
        <v>15364</v>
      </c>
      <c r="C6793" s="9" t="s">
        <v>66</v>
      </c>
      <c r="D6793" s="9" t="s">
        <v>67</v>
      </c>
      <c r="E6793" s="10" t="s">
        <v>133</v>
      </c>
      <c r="F6793" s="9" t="s">
        <v>134</v>
      </c>
      <c r="G6793" s="10" t="s">
        <v>34</v>
      </c>
      <c r="H6793" s="9" t="s">
        <v>22</v>
      </c>
      <c r="I6793" s="9" t="s">
        <v>15365</v>
      </c>
      <c r="J6793" s="10" t="str">
        <f>HYPERLINK("https://www.boe.es/gazeta/dias/1834/06/18/pdfs/GMD-1834-121.pdf#page=1","Abrir facsímil")</f>
        <v>Abrir facsímil</v>
      </c>
      <c r="K6793" s="10" t="s">
        <v>24</v>
      </c>
    </row>
    <row r="6794" spans="1:11" ht="54" customHeight="1">
      <c r="A6794" s="9" t="s">
        <v>15366</v>
      </c>
      <c r="B6794" s="9" t="s">
        <v>15366</v>
      </c>
      <c r="C6794" s="9" t="s">
        <v>17</v>
      </c>
      <c r="D6794" s="9" t="s">
        <v>18</v>
      </c>
      <c r="E6794" s="10" t="s">
        <v>1572</v>
      </c>
      <c r="F6794" s="9" t="s">
        <v>1573</v>
      </c>
      <c r="G6794" s="10" t="s">
        <v>28</v>
      </c>
      <c r="H6794" s="9" t="s">
        <v>22</v>
      </c>
      <c r="I6794" s="9" t="s">
        <v>15367</v>
      </c>
      <c r="J6794" s="10" t="str">
        <f>HYPERLINK("https://www.boe.es/gazeta/dias/1834/03/20/pdfs/GMD-1834-35.pdf#page=5","Abrir facsímil")</f>
        <v>Abrir facsímil</v>
      </c>
      <c r="K6794" s="10" t="s">
        <v>24</v>
      </c>
    </row>
    <row r="6795" spans="1:11" ht="54" customHeight="1">
      <c r="A6795" s="9" t="s">
        <v>15368</v>
      </c>
      <c r="B6795" s="9" t="s">
        <v>15368</v>
      </c>
      <c r="C6795" s="9" t="s">
        <v>17</v>
      </c>
      <c r="D6795" s="9" t="s">
        <v>40</v>
      </c>
      <c r="E6795" s="10" t="s">
        <v>153</v>
      </c>
      <c r="F6795" s="9" t="s">
        <v>154</v>
      </c>
      <c r="G6795" s="10" t="s">
        <v>34</v>
      </c>
      <c r="H6795" s="9" t="s">
        <v>22</v>
      </c>
      <c r="I6795" s="9" t="s">
        <v>15369</v>
      </c>
      <c r="J6795" s="10" t="str">
        <f>HYPERLINK("https://www.boe.es/gazeta/dias/1834/12/30/pdfs/GMD-C-1834-320.pdf#page=1","Abrir facsímil")</f>
        <v>Abrir facsímil</v>
      </c>
      <c r="K6795" s="10" t="s">
        <v>24</v>
      </c>
    </row>
    <row r="6796" spans="1:11" ht="54" customHeight="1">
      <c r="A6796" s="9" t="s">
        <v>15370</v>
      </c>
      <c r="B6796" s="9" t="s">
        <v>15370</v>
      </c>
      <c r="C6796" s="9" t="s">
        <v>46</v>
      </c>
      <c r="D6796" s="9" t="s">
        <v>101</v>
      </c>
      <c r="E6796" s="10" t="s">
        <v>535</v>
      </c>
      <c r="F6796" s="9" t="s">
        <v>536</v>
      </c>
      <c r="G6796" s="10" t="s">
        <v>86</v>
      </c>
      <c r="H6796" s="9" t="s">
        <v>22</v>
      </c>
      <c r="I6796" s="9" t="s">
        <v>15371</v>
      </c>
      <c r="J6796" s="10" t="str">
        <f>HYPERLINK("https://www.boe.es/gazeta/dias/1834/05/21/pdfs/GMD-1834-90.pdf#page=2","Abrir facsímil")</f>
        <v>Abrir facsímil</v>
      </c>
      <c r="K6796" s="10" t="s">
        <v>24</v>
      </c>
    </row>
    <row r="6797" spans="1:11" ht="54" customHeight="1">
      <c r="A6797" s="9" t="s">
        <v>15372</v>
      </c>
      <c r="B6797" s="9" t="s">
        <v>15373</v>
      </c>
      <c r="C6797" s="9" t="s">
        <v>46</v>
      </c>
      <c r="D6797" s="9" t="s">
        <v>101</v>
      </c>
      <c r="E6797" s="10" t="s">
        <v>1839</v>
      </c>
      <c r="F6797" s="9" t="s">
        <v>3598</v>
      </c>
      <c r="G6797" s="10" t="s">
        <v>86</v>
      </c>
      <c r="H6797" s="9" t="s">
        <v>22</v>
      </c>
      <c r="I6797" s="9" t="s">
        <v>15374</v>
      </c>
      <c r="J6797" s="10" t="str">
        <f>HYPERLINK("https://www.boe.es/gazeta/dias/1834/08/12/pdfs/GMD-1834-177.pdf#page=2","Abrir facsímil")</f>
        <v>Abrir facsímil</v>
      </c>
      <c r="K6797" s="10" t="s">
        <v>24</v>
      </c>
    </row>
    <row r="6798" spans="1:11" ht="54" customHeight="1">
      <c r="A6798" s="9" t="s">
        <v>15375</v>
      </c>
      <c r="B6798" s="9" t="s">
        <v>15375</v>
      </c>
      <c r="C6798" s="9" t="s">
        <v>17</v>
      </c>
      <c r="D6798" s="9" t="s">
        <v>18</v>
      </c>
      <c r="E6798" s="10" t="s">
        <v>1459</v>
      </c>
      <c r="F6798" s="9" t="s">
        <v>1460</v>
      </c>
      <c r="G6798" s="10" t="s">
        <v>34</v>
      </c>
      <c r="H6798" s="9" t="s">
        <v>22</v>
      </c>
      <c r="I6798" s="9" t="s">
        <v>15376</v>
      </c>
      <c r="J6798" s="10" t="str">
        <f>HYPERLINK("https://www.boe.es/gazeta/dias/1834/08/18/pdfs/GMD-1834-184.pdf#page=1","Abrir facsímil")</f>
        <v>Abrir facsímil</v>
      </c>
      <c r="K6798" s="10" t="s">
        <v>24</v>
      </c>
    </row>
    <row r="6799" spans="1:11" ht="54" customHeight="1">
      <c r="A6799" s="9" t="s">
        <v>15377</v>
      </c>
      <c r="B6799" s="9" t="s">
        <v>15378</v>
      </c>
      <c r="C6799" s="9" t="s">
        <v>17</v>
      </c>
      <c r="D6799" s="9" t="s">
        <v>18</v>
      </c>
      <c r="E6799" s="10" t="s">
        <v>2950</v>
      </c>
      <c r="F6799" s="9" t="s">
        <v>2951</v>
      </c>
      <c r="G6799" s="10" t="s">
        <v>21</v>
      </c>
      <c r="H6799" s="9" t="s">
        <v>22</v>
      </c>
      <c r="I6799" s="9" t="s">
        <v>15379</v>
      </c>
      <c r="J6799" s="10" t="str">
        <f>HYPERLINK("https://www.boe.es/gazeta/dias/1834/05/20/pdfs/GMD-1834-89.pdf#page=3","Abrir facsímil")</f>
        <v>Abrir facsímil</v>
      </c>
      <c r="K6799" s="10" t="s">
        <v>24</v>
      </c>
    </row>
    <row r="6800" spans="1:11" ht="54" customHeight="1">
      <c r="A6800" s="9" t="s">
        <v>15380</v>
      </c>
      <c r="B6800" s="9" t="s">
        <v>15381</v>
      </c>
      <c r="C6800" s="9" t="s">
        <v>122</v>
      </c>
      <c r="D6800" s="9" t="s">
        <v>101</v>
      </c>
      <c r="E6800" s="10" t="s">
        <v>1307</v>
      </c>
      <c r="F6800" s="9" t="s">
        <v>1308</v>
      </c>
      <c r="G6800" s="10" t="s">
        <v>21</v>
      </c>
      <c r="H6800" s="9" t="s">
        <v>22</v>
      </c>
      <c r="I6800" s="9" t="s">
        <v>15382</v>
      </c>
      <c r="J6800" s="10" t="str">
        <f>HYPERLINK("https://www.boe.es/gazeta/dias/1834/08/25/pdfs/GMD-1834-191.pdf#page=3","Abrir facsímil")</f>
        <v>Abrir facsímil</v>
      </c>
      <c r="K6800" s="10" t="s">
        <v>24</v>
      </c>
    </row>
    <row r="6801" spans="1:11" ht="54" customHeight="1">
      <c r="A6801" s="9" t="s">
        <v>15383</v>
      </c>
      <c r="B6801" s="9" t="s">
        <v>15384</v>
      </c>
      <c r="C6801" s="9" t="s">
        <v>66</v>
      </c>
      <c r="D6801" s="9" t="s">
        <v>18</v>
      </c>
      <c r="E6801" s="10" t="s">
        <v>535</v>
      </c>
      <c r="F6801" s="9" t="s">
        <v>536</v>
      </c>
      <c r="G6801" s="10" t="s">
        <v>75</v>
      </c>
      <c r="H6801" s="9" t="s">
        <v>22</v>
      </c>
      <c r="I6801" s="9" t="s">
        <v>15385</v>
      </c>
      <c r="J6801" s="10" t="str">
        <f>HYPERLINK("https://www.boe.es/gazeta/dias/1834/05/21/pdfs/GMD-1834-90.pdf#page=4","Abrir facsímil")</f>
        <v>Abrir facsímil</v>
      </c>
      <c r="K6801" s="10" t="s">
        <v>24</v>
      </c>
    </row>
    <row r="6802" spans="1:11" ht="54" customHeight="1">
      <c r="A6802" s="9" t="s">
        <v>15386</v>
      </c>
      <c r="B6802" s="9" t="s">
        <v>15386</v>
      </c>
      <c r="C6802" s="9" t="s">
        <v>17</v>
      </c>
      <c r="D6802" s="9" t="s">
        <v>18</v>
      </c>
      <c r="E6802" s="10" t="s">
        <v>5904</v>
      </c>
      <c r="F6802" s="9" t="s">
        <v>5905</v>
      </c>
      <c r="G6802" s="10" t="s">
        <v>21</v>
      </c>
      <c r="H6802" s="9" t="s">
        <v>22</v>
      </c>
      <c r="I6802" s="9" t="s">
        <v>15387</v>
      </c>
      <c r="J6802" s="10" t="str">
        <f>HYPERLINK("https://www.boe.es/gazeta/dias/1834/09/29/pdfs/GMD-1834-227.pdf#page=3","Abrir facsímil")</f>
        <v>Abrir facsímil</v>
      </c>
      <c r="K6802" s="10" t="s">
        <v>24</v>
      </c>
    </row>
    <row r="6803" spans="1:11" ht="54" customHeight="1">
      <c r="A6803" s="9" t="s">
        <v>15388</v>
      </c>
      <c r="B6803" s="9" t="s">
        <v>15389</v>
      </c>
      <c r="C6803" s="9" t="s">
        <v>66</v>
      </c>
      <c r="D6803" s="9" t="s">
        <v>67</v>
      </c>
      <c r="E6803" s="10" t="s">
        <v>5904</v>
      </c>
      <c r="F6803" s="9" t="s">
        <v>5905</v>
      </c>
      <c r="G6803" s="10" t="s">
        <v>21</v>
      </c>
      <c r="H6803" s="9" t="s">
        <v>22</v>
      </c>
      <c r="I6803" s="9" t="s">
        <v>15390</v>
      </c>
      <c r="J6803" s="10" t="str">
        <f>HYPERLINK("https://www.boe.es/gazeta/dias/1834/09/29/pdfs/GMD-1834-227.pdf#page=3","Abrir facsímil")</f>
        <v>Abrir facsímil</v>
      </c>
      <c r="K6803" s="10" t="s">
        <v>24</v>
      </c>
    </row>
    <row r="6804" spans="1:11" ht="54" customHeight="1">
      <c r="A6804" s="9" t="s">
        <v>15391</v>
      </c>
      <c r="B6804" s="9" t="s">
        <v>15391</v>
      </c>
      <c r="C6804" s="9" t="s">
        <v>17</v>
      </c>
      <c r="D6804" s="9" t="s">
        <v>18</v>
      </c>
      <c r="E6804" s="10" t="s">
        <v>1742</v>
      </c>
      <c r="F6804" s="9" t="s">
        <v>1743</v>
      </c>
      <c r="G6804" s="10" t="s">
        <v>86</v>
      </c>
      <c r="H6804" s="9" t="s">
        <v>22</v>
      </c>
      <c r="I6804" s="9" t="s">
        <v>15392</v>
      </c>
      <c r="J6804" s="10" t="str">
        <f>HYPERLINK("https://www.boe.es/gazeta/dias/1834/11/06/pdfs/GMD-1834-265.pdf#page=2","Abrir facsímil")</f>
        <v>Abrir facsímil</v>
      </c>
      <c r="K6804" s="10" t="s">
        <v>24</v>
      </c>
    </row>
    <row r="6805" spans="1:11" ht="54" customHeight="1">
      <c r="A6805" s="9" t="s">
        <v>15393</v>
      </c>
      <c r="B6805" s="9" t="s">
        <v>15393</v>
      </c>
      <c r="C6805" s="9" t="s">
        <v>90</v>
      </c>
      <c r="D6805" s="9" t="s">
        <v>18</v>
      </c>
      <c r="E6805" s="10" t="s">
        <v>1981</v>
      </c>
      <c r="F6805" s="9" t="s">
        <v>1982</v>
      </c>
      <c r="G6805" s="10" t="s">
        <v>86</v>
      </c>
      <c r="H6805" s="9" t="s">
        <v>22</v>
      </c>
      <c r="I6805" s="9" t="s">
        <v>15394</v>
      </c>
      <c r="J6805" s="10" t="str">
        <f>HYPERLINK("https://www.boe.es/gazeta/dias/1834/12/13/pdfs/GMD-1834-302.pdf#page=2","Abrir facsímil")</f>
        <v>Abrir facsímil</v>
      </c>
      <c r="K6805" s="10" t="s">
        <v>24</v>
      </c>
    </row>
    <row r="6806" spans="1:11" ht="54" customHeight="1">
      <c r="A6806" s="9" t="s">
        <v>15395</v>
      </c>
      <c r="B6806" s="9" t="s">
        <v>15396</v>
      </c>
      <c r="C6806" s="9" t="s">
        <v>122</v>
      </c>
      <c r="D6806" s="9" t="s">
        <v>55</v>
      </c>
      <c r="E6806" s="10" t="s">
        <v>3207</v>
      </c>
      <c r="F6806" s="9" t="s">
        <v>3208</v>
      </c>
      <c r="G6806" s="10" t="s">
        <v>21</v>
      </c>
      <c r="H6806" s="9" t="s">
        <v>22</v>
      </c>
      <c r="I6806" s="9" t="s">
        <v>15397</v>
      </c>
      <c r="J6806" s="10" t="str">
        <f>HYPERLINK("https://www.boe.es/gazeta/dias/1834/10/13/pdfs/GMD-1834-241.pdf#page=3","Abrir facsímil")</f>
        <v>Abrir facsímil</v>
      </c>
      <c r="K6806" s="10" t="s">
        <v>24</v>
      </c>
    </row>
    <row r="6807" spans="1:11" ht="54" customHeight="1">
      <c r="A6807" s="9" t="s">
        <v>15398</v>
      </c>
      <c r="B6807" s="9" t="s">
        <v>15399</v>
      </c>
      <c r="C6807" s="9" t="s">
        <v>122</v>
      </c>
      <c r="D6807" s="9" t="s">
        <v>18</v>
      </c>
      <c r="E6807" s="10" t="s">
        <v>3207</v>
      </c>
      <c r="F6807" s="9" t="s">
        <v>3208</v>
      </c>
      <c r="G6807" s="10" t="s">
        <v>21</v>
      </c>
      <c r="H6807" s="9" t="s">
        <v>22</v>
      </c>
      <c r="I6807" s="9" t="s">
        <v>15400</v>
      </c>
      <c r="J6807" s="10" t="str">
        <f>HYPERLINK("https://www.boe.es/gazeta/dias/1834/10/13/pdfs/GMD-1834-241.pdf#page=3","Abrir facsímil")</f>
        <v>Abrir facsímil</v>
      </c>
      <c r="K6807" s="10" t="s">
        <v>24</v>
      </c>
    </row>
    <row r="6808" spans="1:11" ht="54" customHeight="1">
      <c r="A6808" s="9" t="s">
        <v>15401</v>
      </c>
      <c r="B6808" s="9" t="s">
        <v>15402</v>
      </c>
      <c r="C6808" s="9" t="s">
        <v>17</v>
      </c>
      <c r="D6808" s="9" t="s">
        <v>18</v>
      </c>
      <c r="E6808" s="10" t="s">
        <v>299</v>
      </c>
      <c r="F6808" s="9" t="s">
        <v>300</v>
      </c>
      <c r="G6808" s="10" t="s">
        <v>75</v>
      </c>
      <c r="H6808" s="9" t="s">
        <v>35</v>
      </c>
      <c r="I6808" s="9" t="s">
        <v>15403</v>
      </c>
      <c r="J6808" s="10" t="str">
        <f>HYPERLINK("https://www.boe.es/gazeta/dias/1834/12/12/pdfs/GMD-1834-301.pdf#page=4","Abrir facsímil")</f>
        <v>Abrir facsímil</v>
      </c>
      <c r="K6808" s="10" t="s">
        <v>37</v>
      </c>
    </row>
    <row r="6809" spans="1:11" ht="54" customHeight="1">
      <c r="A6809" s="9" t="s">
        <v>15404</v>
      </c>
      <c r="B6809" s="9" t="s">
        <v>15405</v>
      </c>
      <c r="C6809" s="9" t="s">
        <v>17</v>
      </c>
      <c r="D6809" s="9" t="s">
        <v>18</v>
      </c>
      <c r="E6809" s="10" t="s">
        <v>299</v>
      </c>
      <c r="F6809" s="9" t="s">
        <v>300</v>
      </c>
      <c r="G6809" s="10" t="s">
        <v>75</v>
      </c>
      <c r="H6809" s="9" t="s">
        <v>35</v>
      </c>
      <c r="I6809" s="9" t="s">
        <v>15406</v>
      </c>
      <c r="J6809" s="10" t="str">
        <f>HYPERLINK("https://www.boe.es/gazeta/dias/1834/12/12/pdfs/GMD-1834-301.pdf#page=4","Abrir facsímil")</f>
        <v>Abrir facsímil</v>
      </c>
      <c r="K6809" s="10" t="s">
        <v>37</v>
      </c>
    </row>
    <row r="6810" spans="1:11" ht="54" customHeight="1">
      <c r="A6810" s="9" t="s">
        <v>15407</v>
      </c>
      <c r="B6810" s="9" t="s">
        <v>15408</v>
      </c>
      <c r="C6810" s="9" t="s">
        <v>17</v>
      </c>
      <c r="D6810" s="9" t="s">
        <v>18</v>
      </c>
      <c r="E6810" s="10" t="s">
        <v>299</v>
      </c>
      <c r="F6810" s="9" t="s">
        <v>300</v>
      </c>
      <c r="G6810" s="10" t="s">
        <v>75</v>
      </c>
      <c r="H6810" s="9" t="s">
        <v>22</v>
      </c>
      <c r="I6810" s="9" t="s">
        <v>15409</v>
      </c>
      <c r="J6810" s="10" t="str">
        <f>HYPERLINK("https://www.boe.es/gazeta/dias/1834/12/12/pdfs/GMD-1834-301.pdf#page=4","Abrir facsímil")</f>
        <v>Abrir facsímil</v>
      </c>
      <c r="K6810" s="10" t="s">
        <v>24</v>
      </c>
    </row>
    <row r="6811" spans="1:11" ht="54" customHeight="1">
      <c r="A6811" s="9" t="s">
        <v>15410</v>
      </c>
      <c r="B6811" s="9" t="s">
        <v>15410</v>
      </c>
      <c r="C6811" s="9" t="s">
        <v>66</v>
      </c>
      <c r="D6811" s="9" t="s">
        <v>67</v>
      </c>
      <c r="E6811" s="10" t="s">
        <v>3282</v>
      </c>
      <c r="F6811" s="9" t="s">
        <v>3283</v>
      </c>
      <c r="G6811" s="10" t="s">
        <v>21</v>
      </c>
      <c r="H6811" s="9" t="s">
        <v>22</v>
      </c>
      <c r="I6811" s="9" t="s">
        <v>15411</v>
      </c>
      <c r="J6811" s="10" t="str">
        <f>HYPERLINK("https://www.boe.es/gazeta/dias/1834/04/15/pdfs/GMD-1834-54.pdf#page=3","Abrir facsímil")</f>
        <v>Abrir facsímil</v>
      </c>
      <c r="K6811" s="10" t="s">
        <v>24</v>
      </c>
    </row>
    <row r="6812" spans="1:11" ht="54" customHeight="1">
      <c r="A6812" s="9" t="s">
        <v>15412</v>
      </c>
      <c r="B6812" s="9" t="s">
        <v>15413</v>
      </c>
      <c r="C6812" s="9" t="s">
        <v>66</v>
      </c>
      <c r="D6812" s="9" t="s">
        <v>67</v>
      </c>
      <c r="E6812" s="10" t="s">
        <v>2860</v>
      </c>
      <c r="F6812" s="9" t="s">
        <v>2861</v>
      </c>
      <c r="G6812" s="10" t="s">
        <v>75</v>
      </c>
      <c r="H6812" s="9" t="s">
        <v>22</v>
      </c>
      <c r="I6812" s="9" t="s">
        <v>15414</v>
      </c>
      <c r="J6812" s="10" t="str">
        <f>HYPERLINK("https://www.boe.es/gazeta/dias/1834/07/20/pdfs/GMD-1834-153.pdf#page=4","Abrir facsímil")</f>
        <v>Abrir facsímil</v>
      </c>
      <c r="K6812" s="10" t="s">
        <v>24</v>
      </c>
    </row>
    <row r="6813" spans="1:11" ht="54" customHeight="1">
      <c r="A6813" s="9" t="s">
        <v>15415</v>
      </c>
      <c r="B6813" s="9" t="s">
        <v>15416</v>
      </c>
      <c r="C6813" s="9" t="s">
        <v>17</v>
      </c>
      <c r="D6813" s="9" t="s">
        <v>18</v>
      </c>
      <c r="E6813" s="10" t="s">
        <v>2153</v>
      </c>
      <c r="F6813" s="9" t="s">
        <v>2154</v>
      </c>
      <c r="G6813" s="10" t="s">
        <v>21</v>
      </c>
      <c r="H6813" s="9" t="s">
        <v>22</v>
      </c>
      <c r="I6813" s="9" t="s">
        <v>15417</v>
      </c>
      <c r="J6813" s="10" t="str">
        <f>HYPERLINK("https://www.boe.es/gazeta/dias/1834/01/23/pdfs/GMD-1834-11.pdf#page=3","Abrir facsímil")</f>
        <v>Abrir facsímil</v>
      </c>
      <c r="K6813" s="10" t="s">
        <v>24</v>
      </c>
    </row>
    <row r="6814" spans="1:11" ht="54" customHeight="1">
      <c r="A6814" s="9" t="s">
        <v>15418</v>
      </c>
      <c r="B6814" s="9" t="s">
        <v>15419</v>
      </c>
      <c r="C6814" s="9" t="s">
        <v>17</v>
      </c>
      <c r="D6814" s="9" t="s">
        <v>18</v>
      </c>
      <c r="E6814" s="10" t="s">
        <v>838</v>
      </c>
      <c r="F6814" s="9" t="s">
        <v>839</v>
      </c>
      <c r="G6814" s="10" t="s">
        <v>21</v>
      </c>
      <c r="H6814" s="9" t="s">
        <v>35</v>
      </c>
      <c r="I6814" s="9" t="s">
        <v>15420</v>
      </c>
      <c r="J6814" s="10" t="str">
        <f>HYPERLINK("https://www.boe.es/gazeta/dias/1834/07/18/pdfs/GMD-1834-151.pdf#page=3","Abrir facsímil")</f>
        <v>Abrir facsímil</v>
      </c>
      <c r="K6814" s="10" t="s">
        <v>37</v>
      </c>
    </row>
    <row r="6815" spans="1:11" ht="54" customHeight="1">
      <c r="A6815" s="9" t="s">
        <v>15421</v>
      </c>
      <c r="B6815" s="9" t="s">
        <v>15422</v>
      </c>
      <c r="C6815" s="9" t="s">
        <v>90</v>
      </c>
      <c r="D6815" s="9" t="s">
        <v>101</v>
      </c>
      <c r="E6815" s="10" t="s">
        <v>375</v>
      </c>
      <c r="F6815" s="9" t="s">
        <v>376</v>
      </c>
      <c r="G6815" s="10" t="s">
        <v>34</v>
      </c>
      <c r="H6815" s="9" t="s">
        <v>22</v>
      </c>
      <c r="I6815" s="9" t="s">
        <v>15423</v>
      </c>
      <c r="J6815" s="10" t="str">
        <f>HYPERLINK("https://www.boe.es/gazeta/dias/1834/08/21/pdfs/GMD-1834-187.pdf#page=1","Abrir facsímil")</f>
        <v>Abrir facsímil</v>
      </c>
      <c r="K6815" s="10" t="s">
        <v>24</v>
      </c>
    </row>
    <row r="6816" spans="1:11" ht="54" customHeight="1">
      <c r="A6816" s="9" t="s">
        <v>15424</v>
      </c>
      <c r="B6816" s="9" t="s">
        <v>15425</v>
      </c>
      <c r="C6816" s="9" t="s">
        <v>66</v>
      </c>
      <c r="D6816" s="9" t="s">
        <v>67</v>
      </c>
      <c r="E6816" s="10" t="s">
        <v>133</v>
      </c>
      <c r="F6816" s="9" t="s">
        <v>134</v>
      </c>
      <c r="G6816" s="10" t="s">
        <v>34</v>
      </c>
      <c r="H6816" s="9" t="s">
        <v>22</v>
      </c>
      <c r="I6816" s="9" t="s">
        <v>15426</v>
      </c>
      <c r="J6816" s="10" t="str">
        <f>HYPERLINK("https://www.boe.es/gazeta/dias/1834/06/18/pdfs/GMD-1834-121.pdf#page=1","Abrir facsímil")</f>
        <v>Abrir facsímil</v>
      </c>
      <c r="K6816" s="10" t="s">
        <v>24</v>
      </c>
    </row>
    <row r="6817" spans="1:11" ht="54" customHeight="1">
      <c r="A6817" s="9" t="s">
        <v>15424</v>
      </c>
      <c r="B6817" s="9" t="s">
        <v>15425</v>
      </c>
      <c r="C6817" s="9" t="s">
        <v>17</v>
      </c>
      <c r="D6817" s="9" t="s">
        <v>18</v>
      </c>
      <c r="E6817" s="10" t="s">
        <v>838</v>
      </c>
      <c r="F6817" s="9" t="s">
        <v>839</v>
      </c>
      <c r="G6817" s="10" t="s">
        <v>21</v>
      </c>
      <c r="H6817" s="9" t="s">
        <v>22</v>
      </c>
      <c r="I6817" s="9" t="s">
        <v>15427</v>
      </c>
      <c r="J6817" s="10" t="str">
        <f>HYPERLINK("https://www.boe.es/gazeta/dias/1834/07/18/pdfs/GMD-1834-151.pdf#page=3","Abrir facsímil")</f>
        <v>Abrir facsímil</v>
      </c>
      <c r="K6817" s="10" t="s">
        <v>24</v>
      </c>
    </row>
    <row r="6818" spans="1:11" ht="54" customHeight="1">
      <c r="A6818" s="9" t="s">
        <v>15428</v>
      </c>
      <c r="B6818" s="9" t="s">
        <v>15429</v>
      </c>
      <c r="C6818" s="9" t="s">
        <v>46</v>
      </c>
      <c r="D6818" s="9" t="s">
        <v>101</v>
      </c>
      <c r="E6818" s="10" t="s">
        <v>919</v>
      </c>
      <c r="F6818" s="9" t="s">
        <v>920</v>
      </c>
      <c r="G6818" s="10" t="s">
        <v>75</v>
      </c>
      <c r="H6818" s="9" t="s">
        <v>22</v>
      </c>
      <c r="I6818" s="9" t="s">
        <v>15430</v>
      </c>
      <c r="J6818" s="10" t="str">
        <f>HYPERLINK("https://www.boe.es/gazeta/dias/1834/06/24/pdfs/GMD-1834-127.pdf#page=4","Abrir facsímil")</f>
        <v>Abrir facsímil</v>
      </c>
      <c r="K6818" s="10" t="s">
        <v>24</v>
      </c>
    </row>
    <row r="6819" spans="1:11" ht="54" customHeight="1">
      <c r="A6819" s="9" t="s">
        <v>15431</v>
      </c>
      <c r="B6819" s="9" t="s">
        <v>15431</v>
      </c>
      <c r="C6819" s="9" t="s">
        <v>122</v>
      </c>
      <c r="D6819" s="9" t="s">
        <v>40</v>
      </c>
      <c r="E6819" s="10" t="s">
        <v>2945</v>
      </c>
      <c r="F6819" s="9" t="s">
        <v>2946</v>
      </c>
      <c r="G6819" s="10" t="s">
        <v>75</v>
      </c>
      <c r="H6819" s="9" t="s">
        <v>22</v>
      </c>
      <c r="I6819" s="9" t="s">
        <v>15432</v>
      </c>
      <c r="J6819" s="10" t="str">
        <f>HYPERLINK("https://www.boe.es/gazeta/dias/1834/05/29/pdfs/GMD-1834-98.pdf#page=4","Abrir facsímil")</f>
        <v>Abrir facsímil</v>
      </c>
      <c r="K6819" s="10" t="s">
        <v>24</v>
      </c>
    </row>
    <row r="6820" spans="1:11" ht="54" customHeight="1">
      <c r="A6820" s="9" t="s">
        <v>15433</v>
      </c>
      <c r="B6820" s="9" t="s">
        <v>15434</v>
      </c>
      <c r="C6820" s="9" t="s">
        <v>122</v>
      </c>
      <c r="D6820" s="9" t="s">
        <v>18</v>
      </c>
      <c r="E6820" s="10" t="s">
        <v>56</v>
      </c>
      <c r="F6820" s="9" t="s">
        <v>57</v>
      </c>
      <c r="G6820" s="10" t="s">
        <v>75</v>
      </c>
      <c r="H6820" s="9" t="s">
        <v>22</v>
      </c>
      <c r="I6820" s="9" t="s">
        <v>15435</v>
      </c>
      <c r="J6820" s="10" t="str">
        <f>HYPERLINK("https://www.boe.es/gazeta/dias/1834/07/09/pdfs/GMD-1834-142.pdf#page=4","Abrir facsímil")</f>
        <v>Abrir facsímil</v>
      </c>
      <c r="K6820" s="10" t="s">
        <v>24</v>
      </c>
    </row>
    <row r="6821" spans="1:11" ht="54" customHeight="1">
      <c r="A6821" s="9" t="s">
        <v>15436</v>
      </c>
      <c r="B6821" s="9" t="s">
        <v>15436</v>
      </c>
      <c r="C6821" s="9" t="s">
        <v>17</v>
      </c>
      <c r="D6821" s="9" t="s">
        <v>18</v>
      </c>
      <c r="E6821" s="10" t="s">
        <v>364</v>
      </c>
      <c r="F6821" s="9" t="s">
        <v>365</v>
      </c>
      <c r="G6821" s="10" t="s">
        <v>470</v>
      </c>
      <c r="H6821" s="9" t="s">
        <v>22</v>
      </c>
      <c r="I6821" s="9" t="s">
        <v>15437</v>
      </c>
      <c r="J6821" s="10" t="str">
        <f>HYPERLINK("https://www.boe.es/gazeta/dias/1834/09/06/pdfs/GMD-C-1834-204.pdf#page=8","Abrir facsímil")</f>
        <v>Abrir facsímil</v>
      </c>
      <c r="K6821" s="10" t="s">
        <v>24</v>
      </c>
    </row>
    <row r="6822" spans="1:11" ht="54" customHeight="1">
      <c r="A6822" s="9" t="s">
        <v>15436</v>
      </c>
      <c r="B6822" s="9" t="s">
        <v>15436</v>
      </c>
      <c r="C6822" s="9" t="s">
        <v>17</v>
      </c>
      <c r="D6822" s="9" t="s">
        <v>40</v>
      </c>
      <c r="E6822" s="10" t="s">
        <v>84</v>
      </c>
      <c r="F6822" s="9" t="s">
        <v>1223</v>
      </c>
      <c r="G6822" s="10" t="s">
        <v>75</v>
      </c>
      <c r="H6822" s="9" t="s">
        <v>22</v>
      </c>
      <c r="I6822" s="9" t="s">
        <v>15438</v>
      </c>
      <c r="J6822" s="10" t="str">
        <f>HYPERLINK("https://www.boe.es/gazeta/dias/1834/06/07/pdfs/GMD-1834-109.pdf#page=4","Abrir facsímil")</f>
        <v>Abrir facsímil</v>
      </c>
      <c r="K6822" s="10" t="s">
        <v>24</v>
      </c>
    </row>
    <row r="6823" spans="1:11" ht="54" customHeight="1">
      <c r="A6823" s="9" t="s">
        <v>15436</v>
      </c>
      <c r="B6823" s="9" t="s">
        <v>15436</v>
      </c>
      <c r="C6823" s="9" t="s">
        <v>17</v>
      </c>
      <c r="D6823" s="9" t="s">
        <v>40</v>
      </c>
      <c r="E6823" s="10" t="s">
        <v>433</v>
      </c>
      <c r="F6823" s="9" t="s">
        <v>2773</v>
      </c>
      <c r="G6823" s="10" t="s">
        <v>75</v>
      </c>
      <c r="H6823" s="9" t="s">
        <v>22</v>
      </c>
      <c r="I6823" s="9" t="s">
        <v>15439</v>
      </c>
      <c r="J6823" s="10" t="str">
        <f>HYPERLINK("https://www.boe.es/gazeta/dias/1834/10/07/pdfs/GMD-1834-235.pdf#page=4","Abrir facsímil")</f>
        <v>Abrir facsímil</v>
      </c>
      <c r="K6823" s="10" t="s">
        <v>24</v>
      </c>
    </row>
    <row r="6824" spans="1:11" ht="54" customHeight="1">
      <c r="A6824" s="9" t="s">
        <v>15436</v>
      </c>
      <c r="B6824" s="9" t="s">
        <v>15436</v>
      </c>
      <c r="C6824" s="9" t="s">
        <v>46</v>
      </c>
      <c r="D6824" s="9" t="s">
        <v>101</v>
      </c>
      <c r="E6824" s="10" t="s">
        <v>438</v>
      </c>
      <c r="F6824" s="9" t="s">
        <v>528</v>
      </c>
      <c r="G6824" s="10" t="s">
        <v>34</v>
      </c>
      <c r="H6824" s="9" t="s">
        <v>22</v>
      </c>
      <c r="I6824" s="9" t="s">
        <v>15440</v>
      </c>
      <c r="J6824" s="10" t="str">
        <f>HYPERLINK("https://www.boe.es/gazeta/dias/1834/11/09/pdfs/GMD-C-1834-268.pdf#page=1","Abrir facsímil")</f>
        <v>Abrir facsímil</v>
      </c>
      <c r="K6824" s="10" t="s">
        <v>24</v>
      </c>
    </row>
    <row r="6825" spans="1:11" ht="54" customHeight="1">
      <c r="A6825" s="9" t="s">
        <v>15436</v>
      </c>
      <c r="B6825" s="9" t="s">
        <v>15436</v>
      </c>
      <c r="C6825" s="9" t="s">
        <v>66</v>
      </c>
      <c r="D6825" s="9" t="s">
        <v>67</v>
      </c>
      <c r="E6825" s="10" t="s">
        <v>2203</v>
      </c>
      <c r="F6825" s="9" t="s">
        <v>2204</v>
      </c>
      <c r="G6825" s="10" t="s">
        <v>34</v>
      </c>
      <c r="H6825" s="9" t="s">
        <v>22</v>
      </c>
      <c r="I6825" s="9" t="s">
        <v>15441</v>
      </c>
      <c r="J6825" s="10" t="str">
        <f>HYPERLINK("https://www.boe.es/gazeta/dias/1834/09/10/pdfs/GMD-C-1834-208.pdf#page=1","Abrir facsímil")</f>
        <v>Abrir facsímil</v>
      </c>
      <c r="K6825" s="10" t="s">
        <v>24</v>
      </c>
    </row>
    <row r="6826" spans="1:11" ht="54" customHeight="1">
      <c r="A6826" s="9" t="s">
        <v>15436</v>
      </c>
      <c r="B6826" s="9" t="s">
        <v>15436</v>
      </c>
      <c r="C6826" s="9" t="s">
        <v>17</v>
      </c>
      <c r="D6826" s="9" t="s">
        <v>18</v>
      </c>
      <c r="E6826" s="10" t="s">
        <v>2048</v>
      </c>
      <c r="F6826" s="9" t="s">
        <v>2049</v>
      </c>
      <c r="G6826" s="10" t="s">
        <v>75</v>
      </c>
      <c r="H6826" s="9" t="s">
        <v>22</v>
      </c>
      <c r="I6826" s="9" t="s">
        <v>15442</v>
      </c>
      <c r="J6826" s="10" t="str">
        <f>HYPERLINK("https://www.boe.es/gazeta/dias/1834/05/12/pdfs/GMD-1834-81.pdf#page=4","Abrir facsímil")</f>
        <v>Abrir facsímil</v>
      </c>
      <c r="K6826" s="10" t="s">
        <v>24</v>
      </c>
    </row>
    <row r="6827" spans="1:11" ht="54" customHeight="1">
      <c r="A6827" s="9" t="s">
        <v>15436</v>
      </c>
      <c r="B6827" s="9" t="s">
        <v>15436</v>
      </c>
      <c r="C6827" s="9" t="s">
        <v>17</v>
      </c>
      <c r="D6827" s="9" t="s">
        <v>18</v>
      </c>
      <c r="E6827" s="10" t="s">
        <v>299</v>
      </c>
      <c r="F6827" s="9" t="s">
        <v>300</v>
      </c>
      <c r="G6827" s="10" t="s">
        <v>75</v>
      </c>
      <c r="H6827" s="9" t="s">
        <v>22</v>
      </c>
      <c r="I6827" s="9" t="s">
        <v>15443</v>
      </c>
      <c r="J6827" s="10" t="str">
        <f>HYPERLINK("https://www.boe.es/gazeta/dias/1834/12/12/pdfs/GMD-1834-301.pdf#page=4","Abrir facsímil")</f>
        <v>Abrir facsímil</v>
      </c>
      <c r="K6827" s="10" t="s">
        <v>24</v>
      </c>
    </row>
    <row r="6828" spans="1:11" ht="54" customHeight="1">
      <c r="A6828" s="9" t="s">
        <v>15436</v>
      </c>
      <c r="B6828" s="9" t="s">
        <v>15436</v>
      </c>
      <c r="C6828" s="9" t="s">
        <v>17</v>
      </c>
      <c r="D6828" s="9" t="s">
        <v>40</v>
      </c>
      <c r="E6828" s="10" t="s">
        <v>729</v>
      </c>
      <c r="F6828" s="9" t="s">
        <v>730</v>
      </c>
      <c r="G6828" s="10" t="s">
        <v>75</v>
      </c>
      <c r="H6828" s="9" t="s">
        <v>22</v>
      </c>
      <c r="I6828" s="9" t="s">
        <v>15444</v>
      </c>
      <c r="J6828" s="10" t="str">
        <f>HYPERLINK("https://www.boe.es/gazeta/dias/1834/04/13/pdfs/GMD-1834-52.pdf#page=4","Abrir facsímil")</f>
        <v>Abrir facsímil</v>
      </c>
      <c r="K6828" s="10" t="s">
        <v>24</v>
      </c>
    </row>
    <row r="6829" spans="1:11" ht="54" customHeight="1">
      <c r="A6829" s="9" t="s">
        <v>15436</v>
      </c>
      <c r="B6829" s="9" t="s">
        <v>15436</v>
      </c>
      <c r="C6829" s="9" t="s">
        <v>17</v>
      </c>
      <c r="D6829" s="9" t="s">
        <v>18</v>
      </c>
      <c r="E6829" s="10" t="s">
        <v>1424</v>
      </c>
      <c r="F6829" s="9" t="s">
        <v>3445</v>
      </c>
      <c r="G6829" s="10" t="s">
        <v>34</v>
      </c>
      <c r="H6829" s="9" t="s">
        <v>22</v>
      </c>
      <c r="I6829" s="9" t="s">
        <v>15445</v>
      </c>
      <c r="J6829" s="10" t="str">
        <f>HYPERLINK("https://www.boe.es/gazeta/dias/1834/11/14/pdfs/GMD-1834-273.pdf#page=1","Abrir facsímil")</f>
        <v>Abrir facsímil</v>
      </c>
      <c r="K6829" s="10" t="s">
        <v>24</v>
      </c>
    </row>
    <row r="6830" spans="1:11" ht="54" customHeight="1">
      <c r="A6830" s="9" t="s">
        <v>15436</v>
      </c>
      <c r="B6830" s="9" t="s">
        <v>15436</v>
      </c>
      <c r="C6830" s="9" t="s">
        <v>66</v>
      </c>
      <c r="D6830" s="9" t="s">
        <v>67</v>
      </c>
      <c r="E6830" s="10" t="s">
        <v>2278</v>
      </c>
      <c r="F6830" s="9" t="s">
        <v>3088</v>
      </c>
      <c r="G6830" s="10" t="s">
        <v>75</v>
      </c>
      <c r="H6830" s="9" t="s">
        <v>22</v>
      </c>
      <c r="I6830" s="9" t="s">
        <v>15446</v>
      </c>
      <c r="J6830" s="10" t="str">
        <f>HYPERLINK("https://www.boe.es/gazeta/dias/1834/12/17/pdfs/GMD-1834-306.pdf#page=4","Abrir facsímil")</f>
        <v>Abrir facsímil</v>
      </c>
      <c r="K6830" s="10" t="s">
        <v>24</v>
      </c>
    </row>
    <row r="6831" spans="1:11" ht="54" customHeight="1">
      <c r="A6831" s="9" t="s">
        <v>15436</v>
      </c>
      <c r="B6831" s="9" t="s">
        <v>15436</v>
      </c>
      <c r="C6831" s="9" t="s">
        <v>66</v>
      </c>
      <c r="D6831" s="9" t="s">
        <v>67</v>
      </c>
      <c r="E6831" s="10" t="s">
        <v>772</v>
      </c>
      <c r="F6831" s="9" t="s">
        <v>773</v>
      </c>
      <c r="G6831" s="10" t="s">
        <v>21</v>
      </c>
      <c r="H6831" s="9" t="s">
        <v>22</v>
      </c>
      <c r="I6831" s="9" t="s">
        <v>15447</v>
      </c>
      <c r="J6831" s="10" t="str">
        <f>HYPERLINK("https://www.boe.es/gazeta/dias/1834/09/18/pdfs/GMD-1834-216.pdf#page=3","Abrir facsímil")</f>
        <v>Abrir facsímil</v>
      </c>
      <c r="K6831" s="10" t="s">
        <v>24</v>
      </c>
    </row>
    <row r="6832" spans="1:11" ht="54" customHeight="1">
      <c r="A6832" s="9" t="s">
        <v>15436</v>
      </c>
      <c r="B6832" s="9" t="s">
        <v>15436</v>
      </c>
      <c r="C6832" s="9" t="s">
        <v>17</v>
      </c>
      <c r="D6832" s="9" t="s">
        <v>18</v>
      </c>
      <c r="E6832" s="10" t="s">
        <v>563</v>
      </c>
      <c r="F6832" s="9" t="s">
        <v>564</v>
      </c>
      <c r="G6832" s="10" t="s">
        <v>34</v>
      </c>
      <c r="H6832" s="9" t="s">
        <v>22</v>
      </c>
      <c r="I6832" s="9" t="s">
        <v>15448</v>
      </c>
      <c r="J6832" s="10" t="str">
        <f>HYPERLINK("https://www.boe.es/gazeta/dias/1834/04/19/pdfs/GMD-1834-58.pdf#page=1","Abrir facsímil")</f>
        <v>Abrir facsímil</v>
      </c>
      <c r="K6832" s="10" t="s">
        <v>24</v>
      </c>
    </row>
    <row r="6833" spans="1:11" ht="54" customHeight="1">
      <c r="A6833" s="9" t="s">
        <v>15436</v>
      </c>
      <c r="B6833" s="9" t="s">
        <v>15436</v>
      </c>
      <c r="C6833" s="9" t="s">
        <v>90</v>
      </c>
      <c r="D6833" s="9" t="s">
        <v>18</v>
      </c>
      <c r="E6833" s="10" t="s">
        <v>724</v>
      </c>
      <c r="F6833" s="9" t="s">
        <v>725</v>
      </c>
      <c r="G6833" s="10" t="s">
        <v>176</v>
      </c>
      <c r="H6833" s="9" t="s">
        <v>22</v>
      </c>
      <c r="I6833" s="9" t="s">
        <v>15449</v>
      </c>
      <c r="J6833" s="10" t="str">
        <f>HYPERLINK("https://www.boe.es/gazeta/dias/1834/04/25/pdfs/GMD-1834-64.pdf#page=6","Abrir facsímil")</f>
        <v>Abrir facsímil</v>
      </c>
      <c r="K6833" s="10" t="s">
        <v>24</v>
      </c>
    </row>
    <row r="6834" spans="1:11" ht="54" customHeight="1">
      <c r="A6834" s="9" t="s">
        <v>15436</v>
      </c>
      <c r="B6834" s="9" t="s">
        <v>15436</v>
      </c>
      <c r="C6834" s="9" t="s">
        <v>46</v>
      </c>
      <c r="D6834" s="9" t="s">
        <v>18</v>
      </c>
      <c r="E6834" s="10" t="s">
        <v>1692</v>
      </c>
      <c r="F6834" s="9" t="s">
        <v>1693</v>
      </c>
      <c r="G6834" s="10" t="s">
        <v>34</v>
      </c>
      <c r="H6834" s="9" t="s">
        <v>22</v>
      </c>
      <c r="I6834" s="9" t="s">
        <v>15450</v>
      </c>
      <c r="J6834" s="10" t="str">
        <f>HYPERLINK("https://www.boe.es/gazeta/dias/1834/07/29/pdfs/GMD-1834-162.pdf#page=1","Abrir facsímil")</f>
        <v>Abrir facsímil</v>
      </c>
      <c r="K6834" s="10" t="s">
        <v>24</v>
      </c>
    </row>
    <row r="6835" spans="1:11" ht="54" customHeight="1">
      <c r="A6835" s="9" t="s">
        <v>15451</v>
      </c>
      <c r="B6835" s="9" t="s">
        <v>15452</v>
      </c>
      <c r="C6835" s="9" t="s">
        <v>17</v>
      </c>
      <c r="D6835" s="9" t="s">
        <v>18</v>
      </c>
      <c r="E6835" s="10" t="s">
        <v>454</v>
      </c>
      <c r="F6835" s="9" t="s">
        <v>2009</v>
      </c>
      <c r="G6835" s="10" t="s">
        <v>86</v>
      </c>
      <c r="H6835" s="9" t="s">
        <v>35</v>
      </c>
      <c r="I6835" s="9" t="s">
        <v>15453</v>
      </c>
      <c r="J6835" s="10" t="str">
        <f>HYPERLINK("https://www.boe.es/gazeta/dias/1834/10/16/pdfs/GMD-1834-244.pdf#page=2","Abrir facsímil")</f>
        <v>Abrir facsímil</v>
      </c>
      <c r="K6835" s="10" t="s">
        <v>37</v>
      </c>
    </row>
    <row r="6836" spans="1:11" ht="54" customHeight="1">
      <c r="A6836" s="9" t="s">
        <v>15454</v>
      </c>
      <c r="B6836" s="9" t="s">
        <v>15455</v>
      </c>
      <c r="C6836" s="9" t="s">
        <v>46</v>
      </c>
      <c r="D6836" s="9" t="s">
        <v>101</v>
      </c>
      <c r="E6836" s="10" t="s">
        <v>438</v>
      </c>
      <c r="F6836" s="9" t="s">
        <v>528</v>
      </c>
      <c r="G6836" s="10" t="s">
        <v>34</v>
      </c>
      <c r="H6836" s="9" t="s">
        <v>35</v>
      </c>
      <c r="I6836" s="9" t="s">
        <v>15456</v>
      </c>
      <c r="J6836" s="10" t="str">
        <f>HYPERLINK("https://www.boe.es/gazeta/dias/1834/11/09/pdfs/GMD-C-1834-268.pdf#page=1","Abrir facsímil")</f>
        <v>Abrir facsímil</v>
      </c>
      <c r="K6836" s="10" t="s">
        <v>37</v>
      </c>
    </row>
    <row r="6837" spans="1:11" ht="54" customHeight="1">
      <c r="A6837" s="9" t="s">
        <v>15457</v>
      </c>
      <c r="B6837" s="9" t="s">
        <v>15458</v>
      </c>
      <c r="C6837" s="9" t="s">
        <v>17</v>
      </c>
      <c r="D6837" s="9" t="s">
        <v>18</v>
      </c>
      <c r="E6837" s="10" t="s">
        <v>454</v>
      </c>
      <c r="F6837" s="9" t="s">
        <v>2009</v>
      </c>
      <c r="G6837" s="10" t="s">
        <v>86</v>
      </c>
      <c r="H6837" s="9" t="s">
        <v>22</v>
      </c>
      <c r="I6837" s="9" t="s">
        <v>15459</v>
      </c>
      <c r="J6837" s="10" t="str">
        <f>HYPERLINK("https://www.boe.es/gazeta/dias/1834/10/16/pdfs/GMD-1834-244.pdf#page=2","Abrir facsímil")</f>
        <v>Abrir facsímil</v>
      </c>
      <c r="K6837" s="10" t="s">
        <v>24</v>
      </c>
    </row>
    <row r="6838" spans="1:11" ht="54" customHeight="1">
      <c r="A6838" s="9" t="s">
        <v>15460</v>
      </c>
      <c r="B6838" s="9" t="s">
        <v>15460</v>
      </c>
      <c r="C6838" s="9" t="s">
        <v>17</v>
      </c>
      <c r="D6838" s="9" t="s">
        <v>18</v>
      </c>
      <c r="E6838" s="10" t="s">
        <v>1677</v>
      </c>
      <c r="F6838" s="9" t="s">
        <v>1678</v>
      </c>
      <c r="G6838" s="10" t="s">
        <v>86</v>
      </c>
      <c r="H6838" s="9" t="s">
        <v>22</v>
      </c>
      <c r="I6838" s="9" t="s">
        <v>15461</v>
      </c>
      <c r="J6838" s="10" t="str">
        <f>HYPERLINK("https://www.boe.es/gazeta/dias/1834/07/26/pdfs/GMD-1834-159.pdf#page=2","Abrir facsímil")</f>
        <v>Abrir facsímil</v>
      </c>
      <c r="K6838" s="10" t="s">
        <v>24</v>
      </c>
    </row>
    <row r="6839" spans="1:11" ht="54" customHeight="1">
      <c r="A6839" s="9" t="s">
        <v>15462</v>
      </c>
      <c r="B6839" s="9" t="s">
        <v>15463</v>
      </c>
      <c r="C6839" s="9" t="s">
        <v>66</v>
      </c>
      <c r="D6839" s="9" t="s">
        <v>67</v>
      </c>
      <c r="E6839" s="10" t="s">
        <v>1178</v>
      </c>
      <c r="F6839" s="9" t="s">
        <v>1179</v>
      </c>
      <c r="G6839" s="10" t="s">
        <v>86</v>
      </c>
      <c r="H6839" s="9" t="s">
        <v>35</v>
      </c>
      <c r="I6839" s="9" t="s">
        <v>15464</v>
      </c>
      <c r="J6839" s="10" t="str">
        <f>HYPERLINK("https://www.boe.es/gazeta/dias/1834/04/10/pdfs/GMD-C-1834-49.pdf#page=2","Abrir facsímil")</f>
        <v>Abrir facsímil</v>
      </c>
      <c r="K6839" s="10" t="s">
        <v>37</v>
      </c>
    </row>
    <row r="6840" spans="1:11" ht="54" customHeight="1">
      <c r="A6840" s="9" t="s">
        <v>15465</v>
      </c>
      <c r="B6840" s="9" t="s">
        <v>15466</v>
      </c>
      <c r="C6840" s="9" t="s">
        <v>17</v>
      </c>
      <c r="D6840" s="9" t="s">
        <v>55</v>
      </c>
      <c r="E6840" s="10" t="s">
        <v>1704</v>
      </c>
      <c r="F6840" s="9" t="s">
        <v>1705</v>
      </c>
      <c r="G6840" s="10" t="s">
        <v>34</v>
      </c>
      <c r="H6840" s="9" t="s">
        <v>22</v>
      </c>
      <c r="I6840" s="9" t="s">
        <v>15467</v>
      </c>
      <c r="J6840" s="10" t="str">
        <f>HYPERLINK("https://www.boe.es/gazeta/dias/1834/12/02/pdfs/GMD-1834-291.pdf#page=1","Abrir facsímil")</f>
        <v>Abrir facsímil</v>
      </c>
      <c r="K6840" s="10" t="s">
        <v>24</v>
      </c>
    </row>
    <row r="6841" spans="1:11" ht="54" customHeight="1">
      <c r="A6841" s="9" t="s">
        <v>15468</v>
      </c>
      <c r="B6841" s="9" t="s">
        <v>15469</v>
      </c>
      <c r="C6841" s="9" t="s">
        <v>66</v>
      </c>
      <c r="D6841" s="9" t="s">
        <v>67</v>
      </c>
      <c r="E6841" s="10" t="s">
        <v>1178</v>
      </c>
      <c r="F6841" s="9" t="s">
        <v>1179</v>
      </c>
      <c r="G6841" s="10" t="s">
        <v>86</v>
      </c>
      <c r="H6841" s="9" t="s">
        <v>22</v>
      </c>
      <c r="I6841" s="9" t="s">
        <v>15470</v>
      </c>
      <c r="J6841" s="10" t="str">
        <f>HYPERLINK("https://www.boe.es/gazeta/dias/1834/04/10/pdfs/GMD-C-1834-49.pdf#page=2","Abrir facsímil")</f>
        <v>Abrir facsímil</v>
      </c>
      <c r="K6841" s="10" t="s">
        <v>24</v>
      </c>
    </row>
    <row r="6842" spans="1:11" ht="54" customHeight="1">
      <c r="A6842" s="9" t="s">
        <v>15471</v>
      </c>
      <c r="B6842" s="9" t="s">
        <v>15471</v>
      </c>
      <c r="C6842" s="9" t="s">
        <v>17</v>
      </c>
      <c r="D6842" s="9" t="s">
        <v>18</v>
      </c>
      <c r="E6842" s="10" t="s">
        <v>268</v>
      </c>
      <c r="F6842" s="9" t="s">
        <v>269</v>
      </c>
      <c r="G6842" s="10" t="s">
        <v>21</v>
      </c>
      <c r="H6842" s="9" t="s">
        <v>22</v>
      </c>
      <c r="I6842" s="9" t="s">
        <v>15472</v>
      </c>
      <c r="J6842" s="10" t="str">
        <f>HYPERLINK("https://www.boe.es/gazeta/dias/1834/12/19/pdfs/GMD-C-1834-309.pdf#page=3","Abrir facsímil")</f>
        <v>Abrir facsímil</v>
      </c>
      <c r="K6842" s="10" t="s">
        <v>24</v>
      </c>
    </row>
    <row r="6843" spans="1:11" ht="54" customHeight="1">
      <c r="A6843" s="9" t="s">
        <v>15473</v>
      </c>
      <c r="B6843" s="9" t="s">
        <v>15473</v>
      </c>
      <c r="C6843" s="9" t="s">
        <v>90</v>
      </c>
      <c r="D6843" s="9" t="s">
        <v>18</v>
      </c>
      <c r="E6843" s="10" t="s">
        <v>360</v>
      </c>
      <c r="F6843" s="9" t="s">
        <v>361</v>
      </c>
      <c r="G6843" s="10" t="s">
        <v>34</v>
      </c>
      <c r="H6843" s="9" t="s">
        <v>22</v>
      </c>
      <c r="I6843" s="9" t="s">
        <v>15474</v>
      </c>
      <c r="J6843" s="10" t="str">
        <f>HYPERLINK("https://www.boe.es/gazeta/dias/1834/04/07/pdfs/GMD-1834-46.pdf#page=1","Abrir facsímil")</f>
        <v>Abrir facsímil</v>
      </c>
      <c r="K6843" s="10" t="s">
        <v>24</v>
      </c>
    </row>
    <row r="6844" spans="1:11" ht="54" customHeight="1">
      <c r="A6844" s="9" t="s">
        <v>15473</v>
      </c>
      <c r="B6844" s="9" t="s">
        <v>15473</v>
      </c>
      <c r="C6844" s="9" t="s">
        <v>17</v>
      </c>
      <c r="D6844" s="9" t="s">
        <v>18</v>
      </c>
      <c r="E6844" s="10" t="s">
        <v>2203</v>
      </c>
      <c r="F6844" s="9" t="s">
        <v>2204</v>
      </c>
      <c r="G6844" s="10" t="s">
        <v>75</v>
      </c>
      <c r="H6844" s="9" t="s">
        <v>22</v>
      </c>
      <c r="I6844" s="9" t="s">
        <v>15475</v>
      </c>
      <c r="J6844" s="10" t="str">
        <f>HYPERLINK("https://www.boe.es/gazeta/dias/1834/09/10/pdfs/GMD-C-1834-208.pdf#page=4","Abrir facsímil")</f>
        <v>Abrir facsímil</v>
      </c>
      <c r="K6844" s="10" t="s">
        <v>24</v>
      </c>
    </row>
    <row r="6845" spans="1:11" ht="54" customHeight="1">
      <c r="A6845" s="9" t="s">
        <v>15473</v>
      </c>
      <c r="B6845" s="9" t="s">
        <v>15473</v>
      </c>
      <c r="C6845" s="9" t="s">
        <v>17</v>
      </c>
      <c r="D6845" s="9" t="s">
        <v>40</v>
      </c>
      <c r="E6845" s="10" t="s">
        <v>1438</v>
      </c>
      <c r="F6845" s="9" t="s">
        <v>1439</v>
      </c>
      <c r="G6845" s="10" t="s">
        <v>75</v>
      </c>
      <c r="H6845" s="9" t="s">
        <v>22</v>
      </c>
      <c r="I6845" s="9" t="s">
        <v>15476</v>
      </c>
      <c r="J6845" s="10" t="str">
        <f>HYPERLINK("https://www.boe.es/gazeta/dias/1834/05/13/pdfs/GMD-1834-82.pdf#page=4","Abrir facsímil")</f>
        <v>Abrir facsímil</v>
      </c>
      <c r="K6845" s="10" t="s">
        <v>24</v>
      </c>
    </row>
    <row r="6846" spans="1:11" ht="54" customHeight="1">
      <c r="A6846" s="9" t="s">
        <v>15473</v>
      </c>
      <c r="B6846" s="9" t="s">
        <v>15473</v>
      </c>
      <c r="C6846" s="9" t="s">
        <v>46</v>
      </c>
      <c r="D6846" s="9" t="s">
        <v>55</v>
      </c>
      <c r="E6846" s="10" t="s">
        <v>326</v>
      </c>
      <c r="F6846" s="9" t="s">
        <v>327</v>
      </c>
      <c r="G6846" s="10" t="s">
        <v>21</v>
      </c>
      <c r="H6846" s="9" t="s">
        <v>22</v>
      </c>
      <c r="I6846" s="9" t="s">
        <v>15477</v>
      </c>
      <c r="J6846" s="10" t="str">
        <f>HYPERLINK("https://www.boe.es/gazeta/dias/1834/07/15/pdfs/GMD-1834-148.pdf#page=3","Abrir facsímil")</f>
        <v>Abrir facsímil</v>
      </c>
      <c r="K6846" s="10" t="s">
        <v>24</v>
      </c>
    </row>
    <row r="6847" spans="1:11" ht="54" customHeight="1">
      <c r="A6847" s="9" t="s">
        <v>15473</v>
      </c>
      <c r="B6847" s="9" t="s">
        <v>15473</v>
      </c>
      <c r="C6847" s="9" t="s">
        <v>17</v>
      </c>
      <c r="D6847" s="9" t="s">
        <v>18</v>
      </c>
      <c r="E6847" s="10" t="s">
        <v>1116</v>
      </c>
      <c r="F6847" s="9" t="s">
        <v>1117</v>
      </c>
      <c r="G6847" s="10" t="s">
        <v>75</v>
      </c>
      <c r="H6847" s="9" t="s">
        <v>22</v>
      </c>
      <c r="I6847" s="9" t="s">
        <v>15478</v>
      </c>
      <c r="J6847" s="10" t="str">
        <f>HYPERLINK("https://www.boe.es/gazeta/dias/1834/05/16/pdfs/GMD-1834-85.pdf#page=4","Abrir facsímil")</f>
        <v>Abrir facsímil</v>
      </c>
      <c r="K6847" s="10" t="s">
        <v>24</v>
      </c>
    </row>
    <row r="6848" spans="1:11" ht="54" customHeight="1">
      <c r="A6848" s="9" t="s">
        <v>15473</v>
      </c>
      <c r="B6848" s="9" t="s">
        <v>15473</v>
      </c>
      <c r="C6848" s="9" t="s">
        <v>17</v>
      </c>
      <c r="D6848" s="9" t="s">
        <v>18</v>
      </c>
      <c r="E6848" s="10" t="s">
        <v>468</v>
      </c>
      <c r="F6848" s="9" t="s">
        <v>469</v>
      </c>
      <c r="G6848" s="10" t="s">
        <v>470</v>
      </c>
      <c r="H6848" s="9" t="s">
        <v>22</v>
      </c>
      <c r="I6848" s="9" t="s">
        <v>15479</v>
      </c>
      <c r="J6848" s="10" t="str">
        <f>HYPERLINK("https://www.boe.es/gazeta/dias/1834/12/28/pdfs/GMD-C-1834-318.pdf#page=8","Abrir facsímil")</f>
        <v>Abrir facsímil</v>
      </c>
      <c r="K6848" s="10" t="s">
        <v>24</v>
      </c>
    </row>
    <row r="6849" spans="1:11" ht="54" customHeight="1">
      <c r="A6849" s="9" t="s">
        <v>15480</v>
      </c>
      <c r="B6849" s="9" t="s">
        <v>15480</v>
      </c>
      <c r="C6849" s="9" t="s">
        <v>66</v>
      </c>
      <c r="D6849" s="9" t="s">
        <v>67</v>
      </c>
      <c r="E6849" s="10" t="s">
        <v>606</v>
      </c>
      <c r="F6849" s="9" t="s">
        <v>607</v>
      </c>
      <c r="G6849" s="10" t="s">
        <v>21</v>
      </c>
      <c r="H6849" s="9" t="s">
        <v>22</v>
      </c>
      <c r="I6849" s="9" t="s">
        <v>15481</v>
      </c>
      <c r="J6849" s="10" t="str">
        <f>HYPERLINK("https://www.boe.es/gazeta/dias/1834/06/23/pdfs/GMD-1834-126.pdf#page=3","Abrir facsímil")</f>
        <v>Abrir facsímil</v>
      </c>
      <c r="K6849" s="10" t="s">
        <v>24</v>
      </c>
    </row>
    <row r="6850" spans="1:11" ht="54" customHeight="1">
      <c r="A6850" s="9" t="s">
        <v>15482</v>
      </c>
      <c r="B6850" s="9" t="s">
        <v>15483</v>
      </c>
      <c r="C6850" s="9" t="s">
        <v>90</v>
      </c>
      <c r="D6850" s="9" t="s">
        <v>18</v>
      </c>
      <c r="E6850" s="10" t="s">
        <v>2287</v>
      </c>
      <c r="F6850" s="9" t="s">
        <v>2288</v>
      </c>
      <c r="G6850" s="10" t="s">
        <v>21</v>
      </c>
      <c r="H6850" s="9" t="s">
        <v>22</v>
      </c>
      <c r="I6850" s="9" t="s">
        <v>15484</v>
      </c>
      <c r="J6850" s="10" t="str">
        <f>HYPERLINK("https://www.boe.es/gazeta/dias/1834/12/18/pdfs/GMD-C-1834-308.pdf#page=3","Abrir facsímil")</f>
        <v>Abrir facsímil</v>
      </c>
      <c r="K6850" s="10" t="s">
        <v>24</v>
      </c>
    </row>
    <row r="6851" spans="1:11" ht="54" customHeight="1">
      <c r="A6851" s="9" t="s">
        <v>15485</v>
      </c>
      <c r="B6851" s="9" t="s">
        <v>15486</v>
      </c>
      <c r="C6851" s="9" t="s">
        <v>90</v>
      </c>
      <c r="D6851" s="9" t="s">
        <v>18</v>
      </c>
      <c r="E6851" s="10" t="s">
        <v>2287</v>
      </c>
      <c r="F6851" s="9" t="s">
        <v>2288</v>
      </c>
      <c r="G6851" s="10" t="s">
        <v>21</v>
      </c>
      <c r="H6851" s="9" t="s">
        <v>22</v>
      </c>
      <c r="I6851" s="9" t="s">
        <v>15487</v>
      </c>
      <c r="J6851" s="10" t="str">
        <f>HYPERLINK("https://www.boe.es/gazeta/dias/1834/12/18/pdfs/GMD-C-1834-308.pdf#page=3","Abrir facsímil")</f>
        <v>Abrir facsímil</v>
      </c>
      <c r="K6851" s="10" t="s">
        <v>24</v>
      </c>
    </row>
    <row r="6852" spans="1:11" ht="54" customHeight="1">
      <c r="A6852" s="9" t="s">
        <v>15488</v>
      </c>
      <c r="B6852" s="9" t="s">
        <v>15489</v>
      </c>
      <c r="C6852" s="9" t="s">
        <v>17</v>
      </c>
      <c r="D6852" s="9" t="s">
        <v>18</v>
      </c>
      <c r="E6852" s="10" t="s">
        <v>1438</v>
      </c>
      <c r="F6852" s="9" t="s">
        <v>1439</v>
      </c>
      <c r="G6852" s="10" t="s">
        <v>75</v>
      </c>
      <c r="H6852" s="9" t="s">
        <v>22</v>
      </c>
      <c r="I6852" s="9" t="s">
        <v>15490</v>
      </c>
      <c r="J6852" s="10" t="str">
        <f>HYPERLINK("https://www.boe.es/gazeta/dias/1834/05/13/pdfs/GMD-1834-82.pdf#page=4","Abrir facsímil")</f>
        <v>Abrir facsímil</v>
      </c>
      <c r="K6852" s="10" t="s">
        <v>24</v>
      </c>
    </row>
    <row r="6853" spans="1:11" ht="54" customHeight="1">
      <c r="A6853" s="9" t="s">
        <v>15491</v>
      </c>
      <c r="B6853" s="9" t="s">
        <v>15491</v>
      </c>
      <c r="C6853" s="9" t="s">
        <v>17</v>
      </c>
      <c r="D6853" s="9" t="s">
        <v>18</v>
      </c>
      <c r="E6853" s="10" t="s">
        <v>299</v>
      </c>
      <c r="F6853" s="9" t="s">
        <v>2255</v>
      </c>
      <c r="G6853" s="10" t="s">
        <v>75</v>
      </c>
      <c r="H6853" s="9" t="s">
        <v>22</v>
      </c>
      <c r="I6853" s="9" t="s">
        <v>15492</v>
      </c>
      <c r="J6853" s="10" t="str">
        <f>HYPERLINK("https://www.boe.es/gazeta/dias/1834/12/12/pdfs/GMD-C-1834-301.pdf#page=4","Abrir facsímil")</f>
        <v>Abrir facsímil</v>
      </c>
      <c r="K6853" s="10" t="s">
        <v>24</v>
      </c>
    </row>
    <row r="6854" spans="1:11" ht="54" customHeight="1">
      <c r="A6854" s="9" t="s">
        <v>15493</v>
      </c>
      <c r="B6854" s="9" t="s">
        <v>15494</v>
      </c>
      <c r="C6854" s="9" t="s">
        <v>17</v>
      </c>
      <c r="D6854" s="9" t="s">
        <v>18</v>
      </c>
      <c r="E6854" s="10" t="s">
        <v>299</v>
      </c>
      <c r="F6854" s="9" t="s">
        <v>2255</v>
      </c>
      <c r="G6854" s="10" t="s">
        <v>75</v>
      </c>
      <c r="H6854" s="9" t="s">
        <v>35</v>
      </c>
      <c r="I6854" s="9" t="s">
        <v>15495</v>
      </c>
      <c r="J6854" s="10" t="str">
        <f>HYPERLINK("https://www.boe.es/gazeta/dias/1834/12/12/pdfs/GMD-C-1834-301.pdf#page=4","Abrir facsímil")</f>
        <v>Abrir facsímil</v>
      </c>
      <c r="K6854" s="10" t="s">
        <v>37</v>
      </c>
    </row>
    <row r="6855" spans="1:11" ht="54" customHeight="1">
      <c r="A6855" s="9" t="s">
        <v>15496</v>
      </c>
      <c r="B6855" s="9" t="s">
        <v>15496</v>
      </c>
      <c r="C6855" s="9" t="s">
        <v>122</v>
      </c>
      <c r="D6855" s="9" t="s">
        <v>18</v>
      </c>
      <c r="E6855" s="10" t="s">
        <v>2729</v>
      </c>
      <c r="F6855" s="9" t="s">
        <v>2730</v>
      </c>
      <c r="G6855" s="10" t="s">
        <v>21</v>
      </c>
      <c r="H6855" s="9" t="s">
        <v>22</v>
      </c>
      <c r="I6855" s="9" t="s">
        <v>15497</v>
      </c>
      <c r="J6855" s="10" t="str">
        <f>HYPERLINK("https://www.boe.es/gazeta/dias/1834/07/02/pdfs/GMD-1834-135.pdf#page=3","Abrir facsímil")</f>
        <v>Abrir facsímil</v>
      </c>
      <c r="K6855" s="10" t="s">
        <v>24</v>
      </c>
    </row>
    <row r="6856" spans="1:11" ht="54" customHeight="1">
      <c r="A6856" s="9" t="s">
        <v>15496</v>
      </c>
      <c r="B6856" s="9" t="s">
        <v>15496</v>
      </c>
      <c r="C6856" s="9" t="s">
        <v>46</v>
      </c>
      <c r="D6856" s="9" t="s">
        <v>18</v>
      </c>
      <c r="E6856" s="10" t="s">
        <v>571</v>
      </c>
      <c r="F6856" s="9" t="s">
        <v>572</v>
      </c>
      <c r="G6856" s="10" t="s">
        <v>34</v>
      </c>
      <c r="H6856" s="9" t="s">
        <v>22</v>
      </c>
      <c r="I6856" s="9" t="s">
        <v>15498</v>
      </c>
      <c r="J6856" s="10" t="str">
        <f>HYPERLINK("https://www.boe.es/gazeta/dias/1834/09/04/pdfs/GMD-1834-202.pdf#page=1","Abrir facsímil")</f>
        <v>Abrir facsímil</v>
      </c>
      <c r="K6856" s="10" t="s">
        <v>24</v>
      </c>
    </row>
    <row r="6857" spans="1:11" ht="54" customHeight="1">
      <c r="A6857" s="9" t="s">
        <v>15496</v>
      </c>
      <c r="B6857" s="9" t="s">
        <v>15496</v>
      </c>
      <c r="C6857" s="9" t="s">
        <v>122</v>
      </c>
      <c r="D6857" s="9" t="s">
        <v>18</v>
      </c>
      <c r="E6857" s="10" t="s">
        <v>84</v>
      </c>
      <c r="F6857" s="9" t="s">
        <v>85</v>
      </c>
      <c r="G6857" s="10" t="s">
        <v>86</v>
      </c>
      <c r="H6857" s="9" t="s">
        <v>22</v>
      </c>
      <c r="I6857" s="9" t="s">
        <v>15499</v>
      </c>
      <c r="J6857" s="10" t="str">
        <f>HYPERLINK("https://www.boe.es/gazeta/dias/1834/06/07/pdfs/GMD-C-1834-109.pdf#page=2","Abrir facsímil")</f>
        <v>Abrir facsímil</v>
      </c>
      <c r="K6857" s="10" t="s">
        <v>24</v>
      </c>
    </row>
    <row r="6858" spans="1:11" ht="54" customHeight="1">
      <c r="A6858" s="9" t="s">
        <v>15496</v>
      </c>
      <c r="B6858" s="9" t="s">
        <v>15496</v>
      </c>
      <c r="C6858" s="9" t="s">
        <v>66</v>
      </c>
      <c r="D6858" s="9" t="s">
        <v>67</v>
      </c>
      <c r="E6858" s="10" t="s">
        <v>429</v>
      </c>
      <c r="F6858" s="9" t="s">
        <v>3421</v>
      </c>
      <c r="G6858" s="10" t="s">
        <v>86</v>
      </c>
      <c r="H6858" s="9" t="s">
        <v>22</v>
      </c>
      <c r="I6858" s="9" t="s">
        <v>15500</v>
      </c>
      <c r="J6858" s="10" t="str">
        <f>HYPERLINK("https://www.boe.es/gazeta/dias/1834/08/07/pdfs/GMD-1834-172.pdf#page=2","Abrir facsímil")</f>
        <v>Abrir facsímil</v>
      </c>
      <c r="K6858" s="10" t="s">
        <v>24</v>
      </c>
    </row>
    <row r="6859" spans="1:11" ht="54" customHeight="1">
      <c r="A6859" s="9" t="s">
        <v>15496</v>
      </c>
      <c r="B6859" s="9" t="s">
        <v>15496</v>
      </c>
      <c r="C6859" s="9" t="s">
        <v>17</v>
      </c>
      <c r="D6859" s="9" t="s">
        <v>18</v>
      </c>
      <c r="E6859" s="10" t="s">
        <v>167</v>
      </c>
      <c r="F6859" s="9" t="s">
        <v>1200</v>
      </c>
      <c r="G6859" s="10" t="s">
        <v>2174</v>
      </c>
      <c r="H6859" s="9" t="s">
        <v>22</v>
      </c>
      <c r="I6859" s="9" t="s">
        <v>15501</v>
      </c>
      <c r="J6859" s="10" t="str">
        <f>HYPERLINK("https://www.boe.es/gazeta/dias/1834/09/07/pdfs/GMD-C-1834-205.pdf#page=10","Abrir facsímil")</f>
        <v>Abrir facsímil</v>
      </c>
      <c r="K6859" s="10" t="s">
        <v>24</v>
      </c>
    </row>
    <row r="6860" spans="1:11" ht="54" customHeight="1">
      <c r="A6860" s="9" t="s">
        <v>15496</v>
      </c>
      <c r="B6860" s="9" t="s">
        <v>15496</v>
      </c>
      <c r="C6860" s="9" t="s">
        <v>17</v>
      </c>
      <c r="D6860" s="9" t="s">
        <v>18</v>
      </c>
      <c r="E6860" s="10" t="s">
        <v>433</v>
      </c>
      <c r="F6860" s="9" t="s">
        <v>2773</v>
      </c>
      <c r="G6860" s="10" t="s">
        <v>75</v>
      </c>
      <c r="H6860" s="9" t="s">
        <v>22</v>
      </c>
      <c r="I6860" s="9" t="s">
        <v>15502</v>
      </c>
      <c r="J6860" s="10" t="str">
        <f>HYPERLINK("https://www.boe.es/gazeta/dias/1834/10/07/pdfs/GMD-1834-235.pdf#page=4","Abrir facsímil")</f>
        <v>Abrir facsímil</v>
      </c>
      <c r="K6860" s="10" t="s">
        <v>24</v>
      </c>
    </row>
    <row r="6861" spans="1:11" ht="54" customHeight="1">
      <c r="A6861" s="9" t="s">
        <v>15496</v>
      </c>
      <c r="B6861" s="9" t="s">
        <v>15496</v>
      </c>
      <c r="C6861" s="9" t="s">
        <v>17</v>
      </c>
      <c r="D6861" s="9" t="s">
        <v>18</v>
      </c>
      <c r="E6861" s="10" t="s">
        <v>793</v>
      </c>
      <c r="F6861" s="9" t="s">
        <v>1895</v>
      </c>
      <c r="G6861" s="10" t="s">
        <v>21</v>
      </c>
      <c r="H6861" s="9" t="s">
        <v>22</v>
      </c>
      <c r="I6861" s="9" t="s">
        <v>15503</v>
      </c>
      <c r="J6861" s="10" t="str">
        <f>HYPERLINK("https://www.boe.es/gazeta/dias/1834/10/08/pdfs/GMD-C-1834-236.pdf#page=3","Abrir facsímil")</f>
        <v>Abrir facsímil</v>
      </c>
      <c r="K6861" s="10" t="s">
        <v>24</v>
      </c>
    </row>
    <row r="6862" spans="1:11" ht="54" customHeight="1">
      <c r="A6862" s="9" t="s">
        <v>15496</v>
      </c>
      <c r="B6862" s="9" t="s">
        <v>15496</v>
      </c>
      <c r="C6862" s="9" t="s">
        <v>17</v>
      </c>
      <c r="D6862" s="9" t="s">
        <v>18</v>
      </c>
      <c r="E6862" s="10" t="s">
        <v>1008</v>
      </c>
      <c r="F6862" s="9" t="s">
        <v>1009</v>
      </c>
      <c r="G6862" s="10" t="s">
        <v>470</v>
      </c>
      <c r="H6862" s="9" t="s">
        <v>22</v>
      </c>
      <c r="I6862" s="9" t="s">
        <v>15504</v>
      </c>
      <c r="J6862" s="10" t="str">
        <f>HYPERLINK("https://www.boe.es/gazeta/dias/1834/11/08/pdfs/GMD-C-1834-267.pdf#page=8","Abrir facsímil")</f>
        <v>Abrir facsímil</v>
      </c>
      <c r="K6862" s="10" t="s">
        <v>24</v>
      </c>
    </row>
    <row r="6863" spans="1:11" ht="54" customHeight="1">
      <c r="A6863" s="9" t="s">
        <v>15496</v>
      </c>
      <c r="B6863" s="9" t="s">
        <v>15496</v>
      </c>
      <c r="C6863" s="9" t="s">
        <v>17</v>
      </c>
      <c r="D6863" s="9" t="s">
        <v>18</v>
      </c>
      <c r="E6863" s="10" t="s">
        <v>163</v>
      </c>
      <c r="F6863" s="9" t="s">
        <v>164</v>
      </c>
      <c r="G6863" s="10" t="s">
        <v>21</v>
      </c>
      <c r="H6863" s="9" t="s">
        <v>22</v>
      </c>
      <c r="I6863" s="9" t="s">
        <v>15505</v>
      </c>
      <c r="J6863" s="10" t="str">
        <f>HYPERLINK("https://www.boe.es/gazeta/dias/1834/08/09/pdfs/GMD-1834-174.pdf#page=3","Abrir facsímil")</f>
        <v>Abrir facsímil</v>
      </c>
      <c r="K6863" s="10" t="s">
        <v>24</v>
      </c>
    </row>
    <row r="6864" spans="1:11" ht="54" customHeight="1">
      <c r="A6864" s="9" t="s">
        <v>15496</v>
      </c>
      <c r="B6864" s="9" t="s">
        <v>15496</v>
      </c>
      <c r="C6864" s="9" t="s">
        <v>17</v>
      </c>
      <c r="D6864" s="9" t="s">
        <v>18</v>
      </c>
      <c r="E6864" s="10" t="s">
        <v>1410</v>
      </c>
      <c r="F6864" s="9" t="s">
        <v>2231</v>
      </c>
      <c r="G6864" s="10" t="s">
        <v>28</v>
      </c>
      <c r="H6864" s="9" t="s">
        <v>22</v>
      </c>
      <c r="I6864" s="9" t="s">
        <v>15506</v>
      </c>
      <c r="J6864" s="10" t="str">
        <f>HYPERLINK("https://www.boe.es/gazeta/dias/1834/09/09/pdfs/GMD-C-1834-207.pdf#page=5","Abrir facsímil")</f>
        <v>Abrir facsímil</v>
      </c>
      <c r="K6864" s="10" t="s">
        <v>24</v>
      </c>
    </row>
    <row r="6865" spans="1:11" ht="54" customHeight="1">
      <c r="A6865" s="9" t="s">
        <v>15496</v>
      </c>
      <c r="B6865" s="9" t="s">
        <v>15496</v>
      </c>
      <c r="C6865" s="9" t="s">
        <v>17</v>
      </c>
      <c r="D6865" s="9" t="s">
        <v>18</v>
      </c>
      <c r="E6865" s="10" t="s">
        <v>258</v>
      </c>
      <c r="F6865" s="9" t="s">
        <v>1075</v>
      </c>
      <c r="G6865" s="10" t="s">
        <v>86</v>
      </c>
      <c r="H6865" s="9" t="s">
        <v>22</v>
      </c>
      <c r="I6865" s="9" t="s">
        <v>15507</v>
      </c>
      <c r="J6865" s="10" t="str">
        <f>HYPERLINK("https://www.boe.es/gazeta/dias/1834/10/09/pdfs/GMD-1834-237.pdf#page=2","Abrir facsímil")</f>
        <v>Abrir facsímil</v>
      </c>
      <c r="K6865" s="10" t="s">
        <v>24</v>
      </c>
    </row>
    <row r="6866" spans="1:11" ht="54" customHeight="1">
      <c r="A6866" s="9" t="s">
        <v>15496</v>
      </c>
      <c r="B6866" s="9" t="s">
        <v>15496</v>
      </c>
      <c r="C6866" s="9" t="s">
        <v>17</v>
      </c>
      <c r="D6866" s="9" t="s">
        <v>18</v>
      </c>
      <c r="E6866" s="10" t="s">
        <v>258</v>
      </c>
      <c r="F6866" s="9" t="s">
        <v>259</v>
      </c>
      <c r="G6866" s="10" t="s">
        <v>176</v>
      </c>
      <c r="H6866" s="9" t="s">
        <v>22</v>
      </c>
      <c r="I6866" s="9" t="s">
        <v>15508</v>
      </c>
      <c r="J6866" s="10" t="str">
        <f>HYPERLINK("https://www.boe.es/gazeta/dias/1834/10/09/pdfs/GMD-C-1834-237.pdf#page=6","Abrir facsímil")</f>
        <v>Abrir facsímil</v>
      </c>
      <c r="K6866" s="10" t="s">
        <v>24</v>
      </c>
    </row>
    <row r="6867" spans="1:11" ht="54" customHeight="1">
      <c r="A6867" s="9" t="s">
        <v>15496</v>
      </c>
      <c r="B6867" s="9" t="s">
        <v>15496</v>
      </c>
      <c r="C6867" s="9" t="s">
        <v>90</v>
      </c>
      <c r="D6867" s="9" t="s">
        <v>67</v>
      </c>
      <c r="E6867" s="10" t="s">
        <v>1103</v>
      </c>
      <c r="F6867" s="9" t="s">
        <v>1104</v>
      </c>
      <c r="G6867" s="10" t="s">
        <v>21</v>
      </c>
      <c r="H6867" s="9" t="s">
        <v>22</v>
      </c>
      <c r="I6867" s="9" t="s">
        <v>15509</v>
      </c>
      <c r="J6867" s="10" t="str">
        <f>HYPERLINK("https://www.boe.es/gazeta/dias/1834/10/10/pdfs/GMD-C-1834-238.pdf#page=3","Abrir facsímil")</f>
        <v>Abrir facsímil</v>
      </c>
      <c r="K6867" s="10" t="s">
        <v>24</v>
      </c>
    </row>
    <row r="6868" spans="1:11" ht="54" customHeight="1">
      <c r="A6868" s="9" t="s">
        <v>15496</v>
      </c>
      <c r="B6868" s="9" t="s">
        <v>15496</v>
      </c>
      <c r="C6868" s="9" t="s">
        <v>17</v>
      </c>
      <c r="D6868" s="9" t="s">
        <v>18</v>
      </c>
      <c r="E6868" s="10" t="s">
        <v>1883</v>
      </c>
      <c r="F6868" s="9" t="s">
        <v>1884</v>
      </c>
      <c r="G6868" s="10" t="s">
        <v>21</v>
      </c>
      <c r="H6868" s="9" t="s">
        <v>22</v>
      </c>
      <c r="I6868" s="9" t="s">
        <v>15510</v>
      </c>
      <c r="J6868" s="10" t="str">
        <f>HYPERLINK("https://www.boe.es/gazeta/dias/1834/01/11/pdfs/GMD-1834-6.pdf#page=3","Abrir facsímil")</f>
        <v>Abrir facsímil</v>
      </c>
      <c r="K6868" s="10" t="s">
        <v>24</v>
      </c>
    </row>
    <row r="6869" spans="1:11" ht="54" customHeight="1">
      <c r="A6869" s="9" t="s">
        <v>15496</v>
      </c>
      <c r="B6869" s="9" t="s">
        <v>15496</v>
      </c>
      <c r="C6869" s="9" t="s">
        <v>17</v>
      </c>
      <c r="D6869" s="9" t="s">
        <v>18</v>
      </c>
      <c r="E6869" s="10" t="s">
        <v>334</v>
      </c>
      <c r="F6869" s="9" t="s">
        <v>335</v>
      </c>
      <c r="G6869" s="10" t="s">
        <v>75</v>
      </c>
      <c r="H6869" s="9" t="s">
        <v>22</v>
      </c>
      <c r="I6869" s="9" t="s">
        <v>15511</v>
      </c>
      <c r="J6869" s="10" t="str">
        <f>HYPERLINK("https://www.boe.es/gazeta/dias/1834/09/11/pdfs/GMD-C-1834-209.pdf#page=4","Abrir facsímil")</f>
        <v>Abrir facsímil</v>
      </c>
      <c r="K6869" s="10" t="s">
        <v>24</v>
      </c>
    </row>
    <row r="6870" spans="1:11" ht="54" customHeight="1">
      <c r="A6870" s="9" t="s">
        <v>15496</v>
      </c>
      <c r="B6870" s="9" t="s">
        <v>15496</v>
      </c>
      <c r="C6870" s="9" t="s">
        <v>66</v>
      </c>
      <c r="D6870" s="9" t="s">
        <v>18</v>
      </c>
      <c r="E6870" s="10" t="s">
        <v>808</v>
      </c>
      <c r="F6870" s="9" t="s">
        <v>809</v>
      </c>
      <c r="G6870" s="10" t="s">
        <v>21</v>
      </c>
      <c r="H6870" s="9" t="s">
        <v>22</v>
      </c>
      <c r="I6870" s="9" t="s">
        <v>15512</v>
      </c>
      <c r="J6870" s="10" t="str">
        <f>HYPERLINK("https://www.boe.es/gazeta/dias/1834/10/11/pdfs/GMD-1834-239.pdf#page=3","Abrir facsímil")</f>
        <v>Abrir facsímil</v>
      </c>
      <c r="K6870" s="10" t="s">
        <v>24</v>
      </c>
    </row>
    <row r="6871" spans="1:11" ht="54" customHeight="1">
      <c r="A6871" s="9" t="s">
        <v>15496</v>
      </c>
      <c r="B6871" s="9" t="s">
        <v>15496</v>
      </c>
      <c r="C6871" s="9" t="s">
        <v>17</v>
      </c>
      <c r="D6871" s="9" t="s">
        <v>18</v>
      </c>
      <c r="E6871" s="10" t="s">
        <v>808</v>
      </c>
      <c r="F6871" s="9" t="s">
        <v>809</v>
      </c>
      <c r="G6871" s="10" t="s">
        <v>75</v>
      </c>
      <c r="H6871" s="9" t="s">
        <v>22</v>
      </c>
      <c r="I6871" s="9" t="s">
        <v>15513</v>
      </c>
      <c r="J6871" s="10" t="str">
        <f>HYPERLINK("https://www.boe.es/gazeta/dias/1834/10/11/pdfs/GMD-1834-239.pdf#page=4","Abrir facsímil")</f>
        <v>Abrir facsímil</v>
      </c>
      <c r="K6871" s="10" t="s">
        <v>24</v>
      </c>
    </row>
    <row r="6872" spans="1:11" ht="54" customHeight="1">
      <c r="A6872" s="9" t="s">
        <v>15496</v>
      </c>
      <c r="B6872" s="9" t="s">
        <v>15496</v>
      </c>
      <c r="C6872" s="9" t="s">
        <v>17</v>
      </c>
      <c r="D6872" s="9" t="s">
        <v>18</v>
      </c>
      <c r="E6872" s="10" t="s">
        <v>299</v>
      </c>
      <c r="F6872" s="9" t="s">
        <v>2255</v>
      </c>
      <c r="G6872" s="10" t="s">
        <v>75</v>
      </c>
      <c r="H6872" s="9" t="s">
        <v>22</v>
      </c>
      <c r="I6872" s="9" t="s">
        <v>15514</v>
      </c>
      <c r="J6872" s="10" t="str">
        <f>HYPERLINK("https://www.boe.es/gazeta/dias/1834/12/12/pdfs/GMD-C-1834-301.pdf#page=4","Abrir facsímil")</f>
        <v>Abrir facsímil</v>
      </c>
      <c r="K6872" s="10" t="s">
        <v>24</v>
      </c>
    </row>
    <row r="6873" spans="1:11" ht="54" customHeight="1">
      <c r="A6873" s="9" t="s">
        <v>15496</v>
      </c>
      <c r="B6873" s="9" t="s">
        <v>15496</v>
      </c>
      <c r="C6873" s="9" t="s">
        <v>17</v>
      </c>
      <c r="D6873" s="9" t="s">
        <v>18</v>
      </c>
      <c r="E6873" s="10" t="s">
        <v>299</v>
      </c>
      <c r="F6873" s="9" t="s">
        <v>2255</v>
      </c>
      <c r="G6873" s="10" t="s">
        <v>28</v>
      </c>
      <c r="H6873" s="9" t="s">
        <v>22</v>
      </c>
      <c r="I6873" s="9" t="s">
        <v>15515</v>
      </c>
      <c r="J6873" s="10" t="str">
        <f>HYPERLINK("https://www.boe.es/gazeta/dias/1834/12/12/pdfs/GMD-C-1834-301.pdf#page=5","Abrir facsímil")</f>
        <v>Abrir facsímil</v>
      </c>
      <c r="K6873" s="10" t="s">
        <v>24</v>
      </c>
    </row>
    <row r="6874" spans="1:11" ht="54" customHeight="1">
      <c r="A6874" s="9" t="s">
        <v>15496</v>
      </c>
      <c r="B6874" s="9" t="s">
        <v>15496</v>
      </c>
      <c r="C6874" s="9" t="s">
        <v>46</v>
      </c>
      <c r="D6874" s="9" t="s">
        <v>18</v>
      </c>
      <c r="E6874" s="10" t="s">
        <v>91</v>
      </c>
      <c r="F6874" s="9" t="s">
        <v>92</v>
      </c>
      <c r="G6874" s="10" t="s">
        <v>34</v>
      </c>
      <c r="H6874" s="9" t="s">
        <v>22</v>
      </c>
      <c r="I6874" s="9" t="s">
        <v>15516</v>
      </c>
      <c r="J6874" s="10" t="str">
        <f>HYPERLINK("https://www.boe.es/gazeta/dias/1834/02/13/pdfs/GMD-1834-20.pdf#page=1","Abrir facsímil")</f>
        <v>Abrir facsímil</v>
      </c>
      <c r="K6874" s="10" t="s">
        <v>24</v>
      </c>
    </row>
    <row r="6875" spans="1:11" ht="54" customHeight="1">
      <c r="A6875" s="9" t="s">
        <v>15496</v>
      </c>
      <c r="B6875" s="9" t="s">
        <v>15496</v>
      </c>
      <c r="C6875" s="9" t="s">
        <v>90</v>
      </c>
      <c r="D6875" s="9" t="s">
        <v>18</v>
      </c>
      <c r="E6875" s="10" t="s">
        <v>479</v>
      </c>
      <c r="F6875" s="9" t="s">
        <v>2258</v>
      </c>
      <c r="G6875" s="10" t="s">
        <v>21</v>
      </c>
      <c r="H6875" s="9" t="s">
        <v>22</v>
      </c>
      <c r="I6875" s="9" t="s">
        <v>15517</v>
      </c>
      <c r="J6875" s="10" t="str">
        <f>HYPERLINK("https://www.boe.es/gazeta/dias/1834/08/13/pdfs/GMD-C-1834-178.pdf#page=3","Abrir facsímil")</f>
        <v>Abrir facsímil</v>
      </c>
      <c r="K6875" s="10" t="s">
        <v>24</v>
      </c>
    </row>
    <row r="6876" spans="1:11" ht="54" customHeight="1">
      <c r="A6876" s="9" t="s">
        <v>15496</v>
      </c>
      <c r="B6876" s="9" t="s">
        <v>15496</v>
      </c>
      <c r="C6876" s="9" t="s">
        <v>17</v>
      </c>
      <c r="D6876" s="9" t="s">
        <v>18</v>
      </c>
      <c r="E6876" s="10" t="s">
        <v>343</v>
      </c>
      <c r="F6876" s="9" t="s">
        <v>344</v>
      </c>
      <c r="G6876" s="10" t="s">
        <v>75</v>
      </c>
      <c r="H6876" s="9" t="s">
        <v>22</v>
      </c>
      <c r="I6876" s="9" t="s">
        <v>15518</v>
      </c>
      <c r="J6876" s="10" t="str">
        <f>HYPERLINK("https://www.boe.es/gazeta/dias/1834/01/14/pdfs/GMD-1834-7.pdf#page=4","Abrir facsímil")</f>
        <v>Abrir facsímil</v>
      </c>
      <c r="K6876" s="10" t="s">
        <v>24</v>
      </c>
    </row>
    <row r="6877" spans="1:11" ht="54" customHeight="1">
      <c r="A6877" s="9" t="s">
        <v>15496</v>
      </c>
      <c r="B6877" s="9" t="s">
        <v>15496</v>
      </c>
      <c r="C6877" s="9" t="s">
        <v>17</v>
      </c>
      <c r="D6877" s="9" t="s">
        <v>18</v>
      </c>
      <c r="E6877" s="10" t="s">
        <v>1424</v>
      </c>
      <c r="F6877" s="9" t="s">
        <v>1425</v>
      </c>
      <c r="G6877" s="10" t="s">
        <v>176</v>
      </c>
      <c r="H6877" s="9" t="s">
        <v>22</v>
      </c>
      <c r="I6877" s="9" t="s">
        <v>15519</v>
      </c>
      <c r="J6877" s="10" t="str">
        <f>HYPERLINK("https://www.boe.es/gazeta/dias/1834/11/14/pdfs/GMD-C-1834-273.pdf#page=6","Abrir facsímil")</f>
        <v>Abrir facsímil</v>
      </c>
      <c r="K6877" s="10" t="s">
        <v>24</v>
      </c>
    </row>
    <row r="6878" spans="1:11" ht="54" customHeight="1">
      <c r="A6878" s="9" t="s">
        <v>15496</v>
      </c>
      <c r="B6878" s="9" t="s">
        <v>15496</v>
      </c>
      <c r="C6878" s="9" t="s">
        <v>17</v>
      </c>
      <c r="D6878" s="9" t="s">
        <v>18</v>
      </c>
      <c r="E6878" s="10" t="s">
        <v>2087</v>
      </c>
      <c r="F6878" s="9" t="s">
        <v>2267</v>
      </c>
      <c r="G6878" s="10" t="s">
        <v>2174</v>
      </c>
      <c r="H6878" s="9" t="s">
        <v>22</v>
      </c>
      <c r="I6878" s="9" t="s">
        <v>15520</v>
      </c>
      <c r="J6878" s="10" t="str">
        <f>HYPERLINK("https://www.boe.es/gazeta/dias/1834/12/14/pdfs/GMD-C-1834-303.pdf#page=10","Abrir facsímil")</f>
        <v>Abrir facsímil</v>
      </c>
      <c r="K6878" s="10" t="s">
        <v>24</v>
      </c>
    </row>
    <row r="6879" spans="1:11" ht="54" customHeight="1">
      <c r="A6879" s="9" t="s">
        <v>15496</v>
      </c>
      <c r="B6879" s="9" t="s">
        <v>15496</v>
      </c>
      <c r="C6879" s="9" t="s">
        <v>66</v>
      </c>
      <c r="D6879" s="9" t="s">
        <v>18</v>
      </c>
      <c r="E6879" s="10" t="s">
        <v>928</v>
      </c>
      <c r="F6879" s="9" t="s">
        <v>3338</v>
      </c>
      <c r="G6879" s="10" t="s">
        <v>21</v>
      </c>
      <c r="H6879" s="9" t="s">
        <v>22</v>
      </c>
      <c r="I6879" s="9" t="s">
        <v>15521</v>
      </c>
      <c r="J6879" s="10" t="str">
        <f>HYPERLINK("https://www.boe.es/gazeta/dias/1834/11/15/pdfs/GMD-1834-274.pdf#page=3","Abrir facsímil")</f>
        <v>Abrir facsímil</v>
      </c>
      <c r="K6879" s="10" t="s">
        <v>24</v>
      </c>
    </row>
    <row r="6880" spans="1:11" ht="54" customHeight="1">
      <c r="A6880" s="9" t="s">
        <v>15496</v>
      </c>
      <c r="B6880" s="9" t="s">
        <v>15496</v>
      </c>
      <c r="C6880" s="9" t="s">
        <v>17</v>
      </c>
      <c r="D6880" s="9" t="s">
        <v>18</v>
      </c>
      <c r="E6880" s="10" t="s">
        <v>233</v>
      </c>
      <c r="F6880" s="9" t="s">
        <v>234</v>
      </c>
      <c r="G6880" s="10" t="s">
        <v>75</v>
      </c>
      <c r="H6880" s="9" t="s">
        <v>22</v>
      </c>
      <c r="I6880" s="9" t="s">
        <v>15522</v>
      </c>
      <c r="J6880" s="10" t="str">
        <f>HYPERLINK("https://www.boe.es/gazeta/dias/1834/12/16/pdfs/GMD-1834-305.pdf#page=4","Abrir facsímil")</f>
        <v>Abrir facsímil</v>
      </c>
      <c r="K6880" s="10" t="s">
        <v>24</v>
      </c>
    </row>
    <row r="6881" spans="1:11" ht="54" customHeight="1">
      <c r="A6881" s="9" t="s">
        <v>15496</v>
      </c>
      <c r="B6881" s="9" t="s">
        <v>15496</v>
      </c>
      <c r="C6881" s="9" t="s">
        <v>17</v>
      </c>
      <c r="D6881" s="9" t="s">
        <v>18</v>
      </c>
      <c r="E6881" s="10" t="s">
        <v>233</v>
      </c>
      <c r="F6881" s="9" t="s">
        <v>1810</v>
      </c>
      <c r="G6881" s="10" t="s">
        <v>2274</v>
      </c>
      <c r="H6881" s="9" t="s">
        <v>22</v>
      </c>
      <c r="I6881" s="9" t="s">
        <v>15523</v>
      </c>
      <c r="J6881" s="10" t="str">
        <f>HYPERLINK("https://www.boe.es/gazeta/dias/1834/12/16/pdfs/GMD-C-1834-305.pdf#page=13","Abrir facsímil")</f>
        <v>Abrir facsímil</v>
      </c>
      <c r="K6881" s="10" t="s">
        <v>24</v>
      </c>
    </row>
    <row r="6882" spans="1:11" ht="54" customHeight="1">
      <c r="A6882" s="9" t="s">
        <v>15496</v>
      </c>
      <c r="B6882" s="9" t="s">
        <v>15496</v>
      </c>
      <c r="C6882" s="9" t="s">
        <v>46</v>
      </c>
      <c r="D6882" s="9" t="s">
        <v>101</v>
      </c>
      <c r="E6882" s="10" t="s">
        <v>233</v>
      </c>
      <c r="F6882" s="9" t="s">
        <v>1810</v>
      </c>
      <c r="G6882" s="10" t="s">
        <v>1343</v>
      </c>
      <c r="H6882" s="9" t="s">
        <v>22</v>
      </c>
      <c r="I6882" s="9" t="s">
        <v>15524</v>
      </c>
      <c r="J6882" s="10" t="str">
        <f>HYPERLINK("https://www.boe.es/gazeta/dias/1834/12/16/pdfs/GMD-C-1834-305.pdf#page=9","Abrir facsímil")</f>
        <v>Abrir facsímil</v>
      </c>
      <c r="K6882" s="10" t="s">
        <v>24</v>
      </c>
    </row>
    <row r="6883" spans="1:11" ht="54" customHeight="1">
      <c r="A6883" s="9" t="s">
        <v>15496</v>
      </c>
      <c r="B6883" s="9" t="s">
        <v>15496</v>
      </c>
      <c r="C6883" s="9" t="s">
        <v>17</v>
      </c>
      <c r="D6883" s="9" t="s">
        <v>40</v>
      </c>
      <c r="E6883" s="10" t="s">
        <v>2278</v>
      </c>
      <c r="F6883" s="9" t="s">
        <v>2279</v>
      </c>
      <c r="G6883" s="10" t="s">
        <v>75</v>
      </c>
      <c r="H6883" s="9" t="s">
        <v>22</v>
      </c>
      <c r="I6883" s="9" t="s">
        <v>15525</v>
      </c>
      <c r="J6883" s="10" t="str">
        <f>HYPERLINK("https://www.boe.es/gazeta/dias/1834/12/17/pdfs/GMD-C-1834-306.pdf#page=4","Abrir facsímil")</f>
        <v>Abrir facsímil</v>
      </c>
      <c r="K6883" s="10" t="s">
        <v>24</v>
      </c>
    </row>
    <row r="6884" spans="1:11" ht="54" customHeight="1">
      <c r="A6884" s="9" t="s">
        <v>15496</v>
      </c>
      <c r="B6884" s="9" t="s">
        <v>15496</v>
      </c>
      <c r="C6884" s="9" t="s">
        <v>66</v>
      </c>
      <c r="D6884" s="9" t="s">
        <v>18</v>
      </c>
      <c r="E6884" s="10" t="s">
        <v>183</v>
      </c>
      <c r="F6884" s="9" t="s">
        <v>184</v>
      </c>
      <c r="G6884" s="10" t="s">
        <v>34</v>
      </c>
      <c r="H6884" s="9" t="s">
        <v>22</v>
      </c>
      <c r="I6884" s="9" t="s">
        <v>15526</v>
      </c>
      <c r="J6884" s="10" t="str">
        <f>HYPERLINK("https://www.boe.es/gazeta/dias/1834/03/18/pdfs/GMD-1834-34.pdf#page=1","Abrir facsímil")</f>
        <v>Abrir facsímil</v>
      </c>
      <c r="K6884" s="10" t="s">
        <v>24</v>
      </c>
    </row>
    <row r="6885" spans="1:11" ht="54" customHeight="1">
      <c r="A6885" s="9" t="s">
        <v>15496</v>
      </c>
      <c r="B6885" s="9" t="s">
        <v>15496</v>
      </c>
      <c r="C6885" s="9" t="s">
        <v>17</v>
      </c>
      <c r="D6885" s="9" t="s">
        <v>101</v>
      </c>
      <c r="E6885" s="10" t="s">
        <v>838</v>
      </c>
      <c r="F6885" s="9" t="s">
        <v>839</v>
      </c>
      <c r="G6885" s="10" t="s">
        <v>34</v>
      </c>
      <c r="H6885" s="9" t="s">
        <v>22</v>
      </c>
      <c r="I6885" s="9" t="s">
        <v>15527</v>
      </c>
      <c r="J6885" s="10" t="str">
        <f>HYPERLINK("https://www.boe.es/gazeta/dias/1834/07/18/pdfs/GMD-1834-151.pdf#page=1","Abrir facsímil")</f>
        <v>Abrir facsímil</v>
      </c>
      <c r="K6885" s="10" t="s">
        <v>24</v>
      </c>
    </row>
    <row r="6886" spans="1:11" ht="54" customHeight="1">
      <c r="A6886" s="9" t="s">
        <v>15496</v>
      </c>
      <c r="B6886" s="9" t="s">
        <v>15496</v>
      </c>
      <c r="C6886" s="9" t="s">
        <v>66</v>
      </c>
      <c r="D6886" s="9" t="s">
        <v>67</v>
      </c>
      <c r="E6886" s="10" t="s">
        <v>772</v>
      </c>
      <c r="F6886" s="9" t="s">
        <v>2284</v>
      </c>
      <c r="G6886" s="10" t="s">
        <v>21</v>
      </c>
      <c r="H6886" s="9" t="s">
        <v>22</v>
      </c>
      <c r="I6886" s="9" t="s">
        <v>15528</v>
      </c>
      <c r="J6886" s="10" t="str">
        <f>HYPERLINK("https://www.boe.es/gazeta/dias/1834/09/18/pdfs/GMD-C-1834-216.pdf#page=3","Abrir facsímil")</f>
        <v>Abrir facsímil</v>
      </c>
      <c r="K6886" s="10" t="s">
        <v>24</v>
      </c>
    </row>
    <row r="6887" spans="1:11" ht="54" customHeight="1">
      <c r="A6887" s="9" t="s">
        <v>15496</v>
      </c>
      <c r="B6887" s="9" t="s">
        <v>15496</v>
      </c>
      <c r="C6887" s="9" t="s">
        <v>90</v>
      </c>
      <c r="D6887" s="9" t="s">
        <v>18</v>
      </c>
      <c r="E6887" s="10" t="s">
        <v>2287</v>
      </c>
      <c r="F6887" s="9" t="s">
        <v>2288</v>
      </c>
      <c r="G6887" s="10" t="s">
        <v>21</v>
      </c>
      <c r="H6887" s="9" t="s">
        <v>22</v>
      </c>
      <c r="I6887" s="9" t="s">
        <v>15529</v>
      </c>
      <c r="J6887" s="10" t="str">
        <f>HYPERLINK("https://www.boe.es/gazeta/dias/1834/12/18/pdfs/GMD-C-1834-308.pdf#page=3","Abrir facsímil")</f>
        <v>Abrir facsímil</v>
      </c>
      <c r="K6887" s="10" t="s">
        <v>24</v>
      </c>
    </row>
    <row r="6888" spans="1:11" ht="54" customHeight="1">
      <c r="A6888" s="9" t="s">
        <v>15496</v>
      </c>
      <c r="B6888" s="9" t="s">
        <v>15496</v>
      </c>
      <c r="C6888" s="9" t="s">
        <v>17</v>
      </c>
      <c r="D6888" s="9" t="s">
        <v>18</v>
      </c>
      <c r="E6888" s="10" t="s">
        <v>563</v>
      </c>
      <c r="F6888" s="9" t="s">
        <v>564</v>
      </c>
      <c r="G6888" s="10" t="s">
        <v>34</v>
      </c>
      <c r="H6888" s="9" t="s">
        <v>22</v>
      </c>
      <c r="I6888" s="9" t="s">
        <v>15530</v>
      </c>
      <c r="J6888" s="10" t="str">
        <f>HYPERLINK("https://www.boe.es/gazeta/dias/1834/04/19/pdfs/GMD-1834-58.pdf#page=1","Abrir facsímil")</f>
        <v>Abrir facsímil</v>
      </c>
      <c r="K6888" s="10" t="s">
        <v>24</v>
      </c>
    </row>
    <row r="6889" spans="1:11" ht="54" customHeight="1">
      <c r="A6889" s="9" t="s">
        <v>15496</v>
      </c>
      <c r="B6889" s="9" t="s">
        <v>15496</v>
      </c>
      <c r="C6889" s="9" t="s">
        <v>46</v>
      </c>
      <c r="D6889" s="9" t="s">
        <v>101</v>
      </c>
      <c r="E6889" s="10" t="s">
        <v>615</v>
      </c>
      <c r="F6889" s="9" t="s">
        <v>616</v>
      </c>
      <c r="G6889" s="10" t="s">
        <v>86</v>
      </c>
      <c r="H6889" s="9" t="s">
        <v>22</v>
      </c>
      <c r="I6889" s="9" t="s">
        <v>15531</v>
      </c>
      <c r="J6889" s="10" t="str">
        <f>HYPERLINK("https://www.boe.es/gazeta/dias/1834/08/19/pdfs/GMD-1834-185.pdf#page=2","Abrir facsímil")</f>
        <v>Abrir facsímil</v>
      </c>
      <c r="K6889" s="10" t="s">
        <v>24</v>
      </c>
    </row>
    <row r="6890" spans="1:11" ht="54" customHeight="1">
      <c r="A6890" s="9" t="s">
        <v>15496</v>
      </c>
      <c r="B6890" s="9" t="s">
        <v>15496</v>
      </c>
      <c r="C6890" s="9" t="s">
        <v>17</v>
      </c>
      <c r="D6890" s="9" t="s">
        <v>18</v>
      </c>
      <c r="E6890" s="10" t="s">
        <v>268</v>
      </c>
      <c r="F6890" s="9" t="s">
        <v>269</v>
      </c>
      <c r="G6890" s="10" t="s">
        <v>34</v>
      </c>
      <c r="H6890" s="9" t="s">
        <v>22</v>
      </c>
      <c r="I6890" s="9" t="s">
        <v>15532</v>
      </c>
      <c r="J6890" s="10" t="str">
        <f>HYPERLINK("https://www.boe.es/gazeta/dias/1834/12/19/pdfs/GMD-C-1834-309.pdf#page=1","Abrir facsímil")</f>
        <v>Abrir facsímil</v>
      </c>
      <c r="K6890" s="10" t="s">
        <v>24</v>
      </c>
    </row>
    <row r="6891" spans="1:11" ht="54" customHeight="1">
      <c r="A6891" s="9" t="s">
        <v>15496</v>
      </c>
      <c r="B6891" s="9" t="s">
        <v>15496</v>
      </c>
      <c r="C6891" s="9" t="s">
        <v>17</v>
      </c>
      <c r="D6891" s="9" t="s">
        <v>18</v>
      </c>
      <c r="E6891" s="10" t="s">
        <v>268</v>
      </c>
      <c r="F6891" s="9" t="s">
        <v>269</v>
      </c>
      <c r="G6891" s="10" t="s">
        <v>86</v>
      </c>
      <c r="H6891" s="9" t="s">
        <v>22</v>
      </c>
      <c r="I6891" s="9" t="s">
        <v>15533</v>
      </c>
      <c r="J6891" s="10" t="str">
        <f>HYPERLINK("https://www.boe.es/gazeta/dias/1834/12/19/pdfs/GMD-C-1834-309.pdf#page=2","Abrir facsímil")</f>
        <v>Abrir facsímil</v>
      </c>
      <c r="K6891" s="10" t="s">
        <v>24</v>
      </c>
    </row>
    <row r="6892" spans="1:11" ht="54" customHeight="1">
      <c r="A6892" s="9" t="s">
        <v>15496</v>
      </c>
      <c r="B6892" s="9" t="s">
        <v>15496</v>
      </c>
      <c r="C6892" s="9" t="s">
        <v>17</v>
      </c>
      <c r="D6892" s="9" t="s">
        <v>18</v>
      </c>
      <c r="E6892" s="10" t="s">
        <v>268</v>
      </c>
      <c r="F6892" s="9" t="s">
        <v>269</v>
      </c>
      <c r="G6892" s="10" t="s">
        <v>21</v>
      </c>
      <c r="H6892" s="9" t="s">
        <v>22</v>
      </c>
      <c r="I6892" s="9" t="s">
        <v>15534</v>
      </c>
      <c r="J6892" s="10" t="str">
        <f>HYPERLINK("https://www.boe.es/gazeta/dias/1834/12/19/pdfs/GMD-C-1834-309.pdf#page=3","Abrir facsímil")</f>
        <v>Abrir facsímil</v>
      </c>
      <c r="K6892" s="10" t="s">
        <v>24</v>
      </c>
    </row>
    <row r="6893" spans="1:11" ht="54" customHeight="1">
      <c r="A6893" s="9" t="s">
        <v>15496</v>
      </c>
      <c r="B6893" s="9" t="s">
        <v>15496</v>
      </c>
      <c r="C6893" s="9" t="s">
        <v>17</v>
      </c>
      <c r="D6893" s="9" t="s">
        <v>18</v>
      </c>
      <c r="E6893" s="10" t="s">
        <v>268</v>
      </c>
      <c r="F6893" s="9" t="s">
        <v>269</v>
      </c>
      <c r="G6893" s="10" t="s">
        <v>75</v>
      </c>
      <c r="H6893" s="9" t="s">
        <v>22</v>
      </c>
      <c r="I6893" s="9" t="s">
        <v>15535</v>
      </c>
      <c r="J6893" s="10" t="str">
        <f>HYPERLINK("https://www.boe.es/gazeta/dias/1834/12/19/pdfs/GMD-C-1834-309.pdf#page=4","Abrir facsímil")</f>
        <v>Abrir facsímil</v>
      </c>
      <c r="K6893" s="10" t="s">
        <v>24</v>
      </c>
    </row>
    <row r="6894" spans="1:11" ht="54" customHeight="1">
      <c r="A6894" s="9" t="s">
        <v>15496</v>
      </c>
      <c r="B6894" s="9" t="s">
        <v>15496</v>
      </c>
      <c r="C6894" s="9" t="s">
        <v>17</v>
      </c>
      <c r="D6894" s="9" t="s">
        <v>18</v>
      </c>
      <c r="E6894" s="10" t="s">
        <v>1973</v>
      </c>
      <c r="F6894" s="9" t="s">
        <v>1974</v>
      </c>
      <c r="G6894" s="10" t="s">
        <v>34</v>
      </c>
      <c r="H6894" s="9" t="s">
        <v>22</v>
      </c>
      <c r="I6894" s="9" t="s">
        <v>15536</v>
      </c>
      <c r="J6894" s="10" t="str">
        <f>HYPERLINK("https://www.boe.es/gazeta/dias/1834/12/20/pdfs/GMD-C-1834-310.pdf#page=1","Abrir facsímil")</f>
        <v>Abrir facsímil</v>
      </c>
      <c r="K6894" s="10" t="s">
        <v>24</v>
      </c>
    </row>
    <row r="6895" spans="1:11" ht="54" customHeight="1">
      <c r="A6895" s="9" t="s">
        <v>15496</v>
      </c>
      <c r="B6895" s="9" t="s">
        <v>15496</v>
      </c>
      <c r="C6895" s="9" t="s">
        <v>17</v>
      </c>
      <c r="D6895" s="9" t="s">
        <v>18</v>
      </c>
      <c r="E6895" s="10" t="s">
        <v>2596</v>
      </c>
      <c r="F6895" s="9" t="s">
        <v>2597</v>
      </c>
      <c r="G6895" s="10" t="s">
        <v>86</v>
      </c>
      <c r="H6895" s="9" t="s">
        <v>22</v>
      </c>
      <c r="I6895" s="9" t="s">
        <v>15537</v>
      </c>
      <c r="J6895" s="10" t="str">
        <f>HYPERLINK("https://www.boe.es/gazeta/dias/1834/10/22/pdfs/GMD-1834-250.pdf#page=2","Abrir facsímil")</f>
        <v>Abrir facsímil</v>
      </c>
      <c r="K6895" s="10" t="s">
        <v>24</v>
      </c>
    </row>
    <row r="6896" spans="1:11" ht="54" customHeight="1">
      <c r="A6896" s="9" t="s">
        <v>15496</v>
      </c>
      <c r="B6896" s="9" t="s">
        <v>15496</v>
      </c>
      <c r="C6896" s="9" t="s">
        <v>90</v>
      </c>
      <c r="D6896" s="9" t="s">
        <v>101</v>
      </c>
      <c r="E6896" s="10" t="s">
        <v>606</v>
      </c>
      <c r="F6896" s="9" t="s">
        <v>607</v>
      </c>
      <c r="G6896" s="10" t="s">
        <v>34</v>
      </c>
      <c r="H6896" s="9" t="s">
        <v>22</v>
      </c>
      <c r="I6896" s="9" t="s">
        <v>15538</v>
      </c>
      <c r="J6896" s="10" t="str">
        <f>HYPERLINK("https://www.boe.es/gazeta/dias/1834/06/23/pdfs/GMD-1834-126.pdf#page=1","Abrir facsímil")</f>
        <v>Abrir facsímil</v>
      </c>
      <c r="K6896" s="10" t="s">
        <v>24</v>
      </c>
    </row>
    <row r="6897" spans="1:11" ht="54" customHeight="1">
      <c r="A6897" s="9" t="s">
        <v>15496</v>
      </c>
      <c r="B6897" s="9" t="s">
        <v>15496</v>
      </c>
      <c r="C6897" s="9" t="s">
        <v>17</v>
      </c>
      <c r="D6897" s="9" t="s">
        <v>18</v>
      </c>
      <c r="E6897" s="10" t="s">
        <v>1922</v>
      </c>
      <c r="F6897" s="9" t="s">
        <v>1923</v>
      </c>
      <c r="G6897" s="10" t="s">
        <v>28</v>
      </c>
      <c r="H6897" s="9" t="s">
        <v>22</v>
      </c>
      <c r="I6897" s="9" t="s">
        <v>15539</v>
      </c>
      <c r="J6897" s="10" t="str">
        <f>HYPERLINK("https://www.boe.es/gazeta/dias/1834/02/25/pdfs/GMD-1834-25.pdf#page=5","Abrir facsímil")</f>
        <v>Abrir facsímil</v>
      </c>
      <c r="K6897" s="10" t="s">
        <v>24</v>
      </c>
    </row>
    <row r="6898" spans="1:11" ht="54" customHeight="1">
      <c r="A6898" s="9" t="s">
        <v>15496</v>
      </c>
      <c r="B6898" s="9" t="s">
        <v>15496</v>
      </c>
      <c r="C6898" s="9" t="s">
        <v>66</v>
      </c>
      <c r="D6898" s="9" t="s">
        <v>67</v>
      </c>
      <c r="E6898" s="10" t="s">
        <v>724</v>
      </c>
      <c r="F6898" s="9" t="s">
        <v>725</v>
      </c>
      <c r="G6898" s="10" t="s">
        <v>75</v>
      </c>
      <c r="H6898" s="9" t="s">
        <v>22</v>
      </c>
      <c r="I6898" s="9" t="s">
        <v>15540</v>
      </c>
      <c r="J6898" s="10" t="str">
        <f>HYPERLINK("https://www.boe.es/gazeta/dias/1834/04/25/pdfs/GMD-1834-64.pdf#page=4","Abrir facsímil")</f>
        <v>Abrir facsímil</v>
      </c>
      <c r="K6898" s="10" t="s">
        <v>24</v>
      </c>
    </row>
    <row r="6899" spans="1:11" ht="54" customHeight="1">
      <c r="A6899" s="9" t="s">
        <v>15496</v>
      </c>
      <c r="B6899" s="9" t="s">
        <v>15496</v>
      </c>
      <c r="C6899" s="9" t="s">
        <v>46</v>
      </c>
      <c r="D6899" s="9" t="s">
        <v>55</v>
      </c>
      <c r="E6899" s="10" t="s">
        <v>1674</v>
      </c>
      <c r="F6899" s="9" t="s">
        <v>3233</v>
      </c>
      <c r="G6899" s="10" t="s">
        <v>34</v>
      </c>
      <c r="H6899" s="9" t="s">
        <v>22</v>
      </c>
      <c r="I6899" s="9" t="s">
        <v>15541</v>
      </c>
      <c r="J6899" s="10" t="str">
        <f>HYPERLINK("https://www.boe.es/gazeta/dias/1834/07/25/pdfs/GMD-C-1834-158.pdf#page=1","Abrir facsímil")</f>
        <v>Abrir facsímil</v>
      </c>
      <c r="K6899" s="10" t="s">
        <v>24</v>
      </c>
    </row>
    <row r="6900" spans="1:11" ht="54" customHeight="1">
      <c r="A6900" s="9" t="s">
        <v>15496</v>
      </c>
      <c r="B6900" s="9" t="s">
        <v>15496</v>
      </c>
      <c r="C6900" s="9" t="s">
        <v>66</v>
      </c>
      <c r="D6900" s="9" t="s">
        <v>18</v>
      </c>
      <c r="E6900" s="10" t="s">
        <v>1002</v>
      </c>
      <c r="F6900" s="9" t="s">
        <v>6383</v>
      </c>
      <c r="G6900" s="10" t="s">
        <v>34</v>
      </c>
      <c r="H6900" s="9" t="s">
        <v>22</v>
      </c>
      <c r="I6900" s="9" t="s">
        <v>15542</v>
      </c>
      <c r="J6900" s="10" t="str">
        <f>HYPERLINK("https://www.boe.es/gazeta/dias/1834/06/26/pdfs/GMD-C-1834-129.pdf#page=1","Abrir facsímil")</f>
        <v>Abrir facsímil</v>
      </c>
      <c r="K6900" s="10" t="s">
        <v>24</v>
      </c>
    </row>
    <row r="6901" spans="1:11" ht="54" customHeight="1">
      <c r="A6901" s="9" t="s">
        <v>15496</v>
      </c>
      <c r="B6901" s="9" t="s">
        <v>15496</v>
      </c>
      <c r="C6901" s="9" t="s">
        <v>17</v>
      </c>
      <c r="D6901" s="9" t="s">
        <v>18</v>
      </c>
      <c r="E6901" s="10" t="s">
        <v>510</v>
      </c>
      <c r="F6901" s="9" t="s">
        <v>531</v>
      </c>
      <c r="G6901" s="10" t="s">
        <v>560</v>
      </c>
      <c r="H6901" s="9" t="s">
        <v>22</v>
      </c>
      <c r="I6901" s="9" t="s">
        <v>15543</v>
      </c>
      <c r="J6901" s="10" t="str">
        <f>HYPERLINK("https://www.boe.es/gazeta/dias/1834/11/26/pdfs/GMD-C-1834-285.pdf#page=7","Abrir facsímil")</f>
        <v>Abrir facsímil</v>
      </c>
      <c r="K6901" s="10" t="s">
        <v>24</v>
      </c>
    </row>
    <row r="6902" spans="1:11" ht="54" customHeight="1">
      <c r="A6902" s="9" t="s">
        <v>15496</v>
      </c>
      <c r="B6902" s="9" t="s">
        <v>15496</v>
      </c>
      <c r="C6902" s="9" t="s">
        <v>17</v>
      </c>
      <c r="D6902" s="9" t="s">
        <v>18</v>
      </c>
      <c r="E6902" s="10" t="s">
        <v>462</v>
      </c>
      <c r="F6902" s="9" t="s">
        <v>463</v>
      </c>
      <c r="G6902" s="10" t="s">
        <v>86</v>
      </c>
      <c r="H6902" s="9" t="s">
        <v>22</v>
      </c>
      <c r="I6902" s="9" t="s">
        <v>15544</v>
      </c>
      <c r="J6902" s="10" t="str">
        <f>HYPERLINK("https://www.boe.es/gazeta/dias/1834/08/27/pdfs/GMD-C-1834-193.pdf#page=2","Abrir facsímil")</f>
        <v>Abrir facsímil</v>
      </c>
      <c r="K6902" s="10" t="s">
        <v>24</v>
      </c>
    </row>
    <row r="6903" spans="1:11" ht="54" customHeight="1">
      <c r="A6903" s="9" t="s">
        <v>15496</v>
      </c>
      <c r="B6903" s="9" t="s">
        <v>15496</v>
      </c>
      <c r="C6903" s="9" t="s">
        <v>17</v>
      </c>
      <c r="D6903" s="9" t="s">
        <v>18</v>
      </c>
      <c r="E6903" s="10" t="s">
        <v>294</v>
      </c>
      <c r="F6903" s="9" t="s">
        <v>959</v>
      </c>
      <c r="G6903" s="10" t="s">
        <v>21</v>
      </c>
      <c r="H6903" s="9" t="s">
        <v>22</v>
      </c>
      <c r="I6903" s="9" t="s">
        <v>15545</v>
      </c>
      <c r="J6903" s="10" t="str">
        <f>HYPERLINK("https://www.boe.es/gazeta/dias/1834/09/27/pdfs/GMD-C-1834-225.pdf#page=3","Abrir facsímil")</f>
        <v>Abrir facsímil</v>
      </c>
      <c r="K6903" s="10" t="s">
        <v>24</v>
      </c>
    </row>
    <row r="6904" spans="1:11" ht="54" customHeight="1">
      <c r="A6904" s="9" t="s">
        <v>15496</v>
      </c>
      <c r="B6904" s="9" t="s">
        <v>15496</v>
      </c>
      <c r="C6904" s="9" t="s">
        <v>66</v>
      </c>
      <c r="D6904" s="9" t="s">
        <v>67</v>
      </c>
      <c r="E6904" s="10" t="s">
        <v>1141</v>
      </c>
      <c r="F6904" s="9" t="s">
        <v>1142</v>
      </c>
      <c r="G6904" s="10" t="s">
        <v>75</v>
      </c>
      <c r="H6904" s="9" t="s">
        <v>22</v>
      </c>
      <c r="I6904" s="9" t="s">
        <v>15546</v>
      </c>
      <c r="J6904" s="10" t="str">
        <f>HYPERLINK("https://www.boe.es/gazeta/dias/1834/04/30/pdfs/GMD-1834-69.pdf#page=4","Abrir facsímil")</f>
        <v>Abrir facsímil</v>
      </c>
      <c r="K6904" s="10" t="s">
        <v>24</v>
      </c>
    </row>
    <row r="6905" spans="1:11" ht="54" customHeight="1">
      <c r="A6905" s="9" t="s">
        <v>15496</v>
      </c>
      <c r="B6905" s="9" t="s">
        <v>15496</v>
      </c>
      <c r="C6905" s="9" t="s">
        <v>90</v>
      </c>
      <c r="D6905" s="9" t="s">
        <v>18</v>
      </c>
      <c r="E6905" s="10" t="s">
        <v>552</v>
      </c>
      <c r="F6905" s="9" t="s">
        <v>1478</v>
      </c>
      <c r="G6905" s="10" t="s">
        <v>34</v>
      </c>
      <c r="H6905" s="9" t="s">
        <v>22</v>
      </c>
      <c r="I6905" s="9" t="s">
        <v>15547</v>
      </c>
      <c r="J6905" s="10" t="str">
        <f>HYPERLINK("https://www.boe.es/gazeta/dias/1834/07/30/pdfs/GMD-C-1834-163.pdf#page=1","Abrir facsímil")</f>
        <v>Abrir facsímil</v>
      </c>
      <c r="K6905" s="10" t="s">
        <v>24</v>
      </c>
    </row>
    <row r="6906" spans="1:11" ht="54" customHeight="1">
      <c r="A6906" s="9" t="s">
        <v>15548</v>
      </c>
      <c r="B6906" s="9" t="s">
        <v>15548</v>
      </c>
      <c r="C6906" s="9" t="s">
        <v>66</v>
      </c>
      <c r="D6906" s="9" t="s">
        <v>67</v>
      </c>
      <c r="E6906" s="10" t="s">
        <v>19</v>
      </c>
      <c r="F6906" s="9" t="s">
        <v>107</v>
      </c>
      <c r="G6906" s="10" t="s">
        <v>21</v>
      </c>
      <c r="H6906" s="9" t="s">
        <v>22</v>
      </c>
      <c r="I6906" s="9" t="s">
        <v>15549</v>
      </c>
      <c r="J6906" s="10" t="str">
        <f>HYPERLINK("https://www.boe.es/gazeta/dias/1834/08/17/pdfs/GMD-1834-182.pdf#page=3","Abrir facsímil")</f>
        <v>Abrir facsímil</v>
      </c>
      <c r="K6906" s="10" t="s">
        <v>24</v>
      </c>
    </row>
    <row r="6907" spans="1:11" ht="54" customHeight="1">
      <c r="A6907" s="9" t="s">
        <v>15550</v>
      </c>
      <c r="B6907" s="9" t="s">
        <v>15551</v>
      </c>
      <c r="C6907" s="9" t="s">
        <v>66</v>
      </c>
      <c r="D6907" s="9" t="s">
        <v>67</v>
      </c>
      <c r="E6907" s="10" t="s">
        <v>702</v>
      </c>
      <c r="F6907" s="9" t="s">
        <v>703</v>
      </c>
      <c r="G6907" s="10" t="s">
        <v>34</v>
      </c>
      <c r="H6907" s="9" t="s">
        <v>22</v>
      </c>
      <c r="I6907" s="9" t="s">
        <v>15552</v>
      </c>
      <c r="J6907" s="10" t="str">
        <f>HYPERLINK("https://www.boe.es/gazeta/dias/1834/11/22/pdfs/GMD-C-1834-281.pdf#page=1","Abrir facsímil")</f>
        <v>Abrir facsímil</v>
      </c>
      <c r="K6907" s="10" t="s">
        <v>24</v>
      </c>
    </row>
    <row r="6908" spans="1:11" ht="54" customHeight="1">
      <c r="A6908" s="9" t="s">
        <v>15553</v>
      </c>
      <c r="B6908" s="9" t="s">
        <v>15553</v>
      </c>
      <c r="C6908" s="9" t="s">
        <v>122</v>
      </c>
      <c r="D6908" s="9" t="s">
        <v>18</v>
      </c>
      <c r="E6908" s="10" t="s">
        <v>707</v>
      </c>
      <c r="F6908" s="9" t="s">
        <v>1359</v>
      </c>
      <c r="G6908" s="10" t="s">
        <v>75</v>
      </c>
      <c r="H6908" s="9" t="s">
        <v>22</v>
      </c>
      <c r="I6908" s="9" t="s">
        <v>15554</v>
      </c>
      <c r="J6908" s="10" t="str">
        <f>HYPERLINK("https://www.boe.es/gazeta/dias/1834/11/25/pdfs/GMD-1834-284.pdf#page=4","Abrir facsímil")</f>
        <v>Abrir facsímil</v>
      </c>
      <c r="K6908" s="10" t="s">
        <v>24</v>
      </c>
    </row>
    <row r="6909" spans="1:11" ht="54" customHeight="1">
      <c r="A6909" s="9" t="s">
        <v>15555</v>
      </c>
      <c r="B6909" s="9" t="s">
        <v>15556</v>
      </c>
      <c r="C6909" s="9" t="s">
        <v>122</v>
      </c>
      <c r="D6909" s="9" t="s">
        <v>18</v>
      </c>
      <c r="E6909" s="10" t="s">
        <v>2729</v>
      </c>
      <c r="F6909" s="9" t="s">
        <v>2730</v>
      </c>
      <c r="G6909" s="10" t="s">
        <v>21</v>
      </c>
      <c r="H6909" s="9" t="s">
        <v>35</v>
      </c>
      <c r="I6909" s="9" t="s">
        <v>15557</v>
      </c>
      <c r="J6909" s="10" t="str">
        <f>HYPERLINK("https://www.boe.es/gazeta/dias/1834/07/02/pdfs/GMD-1834-135.pdf#page=3","Abrir facsímil")</f>
        <v>Abrir facsímil</v>
      </c>
      <c r="K6909" s="10" t="s">
        <v>37</v>
      </c>
    </row>
    <row r="6910" spans="1:11" ht="54" customHeight="1">
      <c r="A6910" s="9" t="s">
        <v>15555</v>
      </c>
      <c r="B6910" s="9" t="s">
        <v>15556</v>
      </c>
      <c r="C6910" s="9" t="s">
        <v>46</v>
      </c>
      <c r="D6910" s="9" t="s">
        <v>101</v>
      </c>
      <c r="E6910" s="10" t="s">
        <v>167</v>
      </c>
      <c r="F6910" s="9" t="s">
        <v>1200</v>
      </c>
      <c r="G6910" s="10" t="s">
        <v>2174</v>
      </c>
      <c r="H6910" s="9" t="s">
        <v>35</v>
      </c>
      <c r="I6910" s="9" t="s">
        <v>15558</v>
      </c>
      <c r="J6910" s="10" t="str">
        <f>HYPERLINK("https://www.boe.es/gazeta/dias/1834/09/07/pdfs/GMD-C-1834-205.pdf#page=10","Abrir facsímil")</f>
        <v>Abrir facsímil</v>
      </c>
      <c r="K6910" s="10" t="s">
        <v>37</v>
      </c>
    </row>
    <row r="6911" spans="1:11" ht="54" customHeight="1">
      <c r="A6911" s="9" t="s">
        <v>15555</v>
      </c>
      <c r="B6911" s="9" t="s">
        <v>15556</v>
      </c>
      <c r="C6911" s="9" t="s">
        <v>17</v>
      </c>
      <c r="D6911" s="9" t="s">
        <v>18</v>
      </c>
      <c r="E6911" s="10" t="s">
        <v>1922</v>
      </c>
      <c r="F6911" s="9" t="s">
        <v>1923</v>
      </c>
      <c r="G6911" s="10" t="s">
        <v>28</v>
      </c>
      <c r="H6911" s="9" t="s">
        <v>35</v>
      </c>
      <c r="I6911" s="9" t="s">
        <v>15559</v>
      </c>
      <c r="J6911" s="10" t="str">
        <f>HYPERLINK("https://www.boe.es/gazeta/dias/1834/02/25/pdfs/GMD-1834-25.pdf#page=5","Abrir facsímil")</f>
        <v>Abrir facsímil</v>
      </c>
      <c r="K6911" s="10" t="s">
        <v>37</v>
      </c>
    </row>
    <row r="6912" spans="1:11" ht="54" customHeight="1">
      <c r="A6912" s="9" t="s">
        <v>15555</v>
      </c>
      <c r="B6912" s="9" t="s">
        <v>15556</v>
      </c>
      <c r="C6912" s="9" t="s">
        <v>90</v>
      </c>
      <c r="D6912" s="9" t="s">
        <v>18</v>
      </c>
      <c r="E6912" s="10" t="s">
        <v>552</v>
      </c>
      <c r="F6912" s="9" t="s">
        <v>1478</v>
      </c>
      <c r="G6912" s="10" t="s">
        <v>34</v>
      </c>
      <c r="H6912" s="9" t="s">
        <v>35</v>
      </c>
      <c r="I6912" s="9" t="s">
        <v>15560</v>
      </c>
      <c r="J6912" s="10" t="str">
        <f>HYPERLINK("https://www.boe.es/gazeta/dias/1834/07/30/pdfs/GMD-C-1834-163.pdf#page=1","Abrir facsímil")</f>
        <v>Abrir facsímil</v>
      </c>
      <c r="K6912" s="10" t="s">
        <v>37</v>
      </c>
    </row>
    <row r="6913" spans="1:11" ht="54" customHeight="1">
      <c r="A6913" s="9" t="s">
        <v>15561</v>
      </c>
      <c r="B6913" s="9" t="s">
        <v>15562</v>
      </c>
      <c r="C6913" s="9" t="s">
        <v>17</v>
      </c>
      <c r="D6913" s="9" t="s">
        <v>55</v>
      </c>
      <c r="E6913" s="10" t="s">
        <v>1195</v>
      </c>
      <c r="F6913" s="9" t="s">
        <v>1916</v>
      </c>
      <c r="G6913" s="10" t="s">
        <v>86</v>
      </c>
      <c r="H6913" s="9" t="s">
        <v>22</v>
      </c>
      <c r="I6913" s="9" t="s">
        <v>15563</v>
      </c>
      <c r="J6913" s="10" t="str">
        <f>HYPERLINK("https://www.boe.es/gazeta/dias/1834/10/17/pdfs/GMD-1834-245.pdf#page=2","Abrir facsímil")</f>
        <v>Abrir facsímil</v>
      </c>
      <c r="K6913" s="10" t="s">
        <v>24</v>
      </c>
    </row>
    <row r="6914" spans="1:11" ht="54" customHeight="1">
      <c r="A6914" s="9" t="s">
        <v>15561</v>
      </c>
      <c r="B6914" s="9" t="s">
        <v>15562</v>
      </c>
      <c r="C6914" s="9" t="s">
        <v>46</v>
      </c>
      <c r="D6914" s="9" t="s">
        <v>101</v>
      </c>
      <c r="E6914" s="10" t="s">
        <v>1812</v>
      </c>
      <c r="F6914" s="9" t="s">
        <v>1813</v>
      </c>
      <c r="G6914" s="10" t="s">
        <v>21</v>
      </c>
      <c r="H6914" s="9" t="s">
        <v>22</v>
      </c>
      <c r="I6914" s="9" t="s">
        <v>15564</v>
      </c>
      <c r="J6914" s="10" t="str">
        <f>HYPERLINK("https://www.boe.es/gazeta/dias/1834/10/23/pdfs/GMD-1834-251.pdf#page=3","Abrir facsímil")</f>
        <v>Abrir facsímil</v>
      </c>
      <c r="K6914" s="10" t="s">
        <v>24</v>
      </c>
    </row>
    <row r="6915" spans="1:11" ht="54" customHeight="1">
      <c r="A6915" s="9" t="s">
        <v>15565</v>
      </c>
      <c r="B6915" s="9" t="s">
        <v>15566</v>
      </c>
      <c r="C6915" s="9" t="s">
        <v>17</v>
      </c>
      <c r="D6915" s="9" t="s">
        <v>18</v>
      </c>
      <c r="E6915" s="10" t="s">
        <v>268</v>
      </c>
      <c r="F6915" s="9" t="s">
        <v>269</v>
      </c>
      <c r="G6915" s="10" t="s">
        <v>21</v>
      </c>
      <c r="H6915" s="9" t="s">
        <v>35</v>
      </c>
      <c r="I6915" s="9" t="s">
        <v>15567</v>
      </c>
      <c r="J6915" s="10" t="str">
        <f>HYPERLINK("https://www.boe.es/gazeta/dias/1834/12/19/pdfs/GMD-C-1834-309.pdf#page=3","Abrir facsímil")</f>
        <v>Abrir facsímil</v>
      </c>
      <c r="K6915" s="10" t="s">
        <v>37</v>
      </c>
    </row>
    <row r="6916" spans="1:11" ht="54" customHeight="1">
      <c r="A6916" s="9" t="s">
        <v>15568</v>
      </c>
      <c r="B6916" s="9" t="s">
        <v>15569</v>
      </c>
      <c r="C6916" s="9" t="s">
        <v>90</v>
      </c>
      <c r="D6916" s="9" t="s">
        <v>67</v>
      </c>
      <c r="E6916" s="10" t="s">
        <v>339</v>
      </c>
      <c r="F6916" s="9" t="s">
        <v>340</v>
      </c>
      <c r="G6916" s="10" t="s">
        <v>21</v>
      </c>
      <c r="H6916" s="9" t="s">
        <v>22</v>
      </c>
      <c r="I6916" s="9" t="s">
        <v>15570</v>
      </c>
      <c r="J6916" s="10" t="str">
        <f>HYPERLINK("https://www.boe.es/gazeta/dias/1834/05/02/pdfs/GMD-1834-71.pdf#page=3","Abrir facsímil")</f>
        <v>Abrir facsímil</v>
      </c>
      <c r="K6916" s="10" t="s">
        <v>24</v>
      </c>
    </row>
    <row r="6917" spans="1:11" ht="54" customHeight="1">
      <c r="A6917" s="9" t="s">
        <v>15571</v>
      </c>
      <c r="B6917" s="9" t="s">
        <v>15572</v>
      </c>
      <c r="C6917" s="9" t="s">
        <v>46</v>
      </c>
      <c r="D6917" s="9" t="s">
        <v>101</v>
      </c>
      <c r="E6917" s="10" t="s">
        <v>268</v>
      </c>
      <c r="F6917" s="9" t="s">
        <v>269</v>
      </c>
      <c r="G6917" s="10" t="s">
        <v>86</v>
      </c>
      <c r="H6917" s="9" t="s">
        <v>35</v>
      </c>
      <c r="I6917" s="9" t="s">
        <v>15573</v>
      </c>
      <c r="J6917" s="10" t="str">
        <f>HYPERLINK("https://www.boe.es/gazeta/dias/1834/12/19/pdfs/GMD-C-1834-309.pdf#page=2","Abrir facsímil")</f>
        <v>Abrir facsímil</v>
      </c>
      <c r="K6917" s="10" t="s">
        <v>37</v>
      </c>
    </row>
    <row r="6918" spans="1:11" ht="54" customHeight="1">
      <c r="A6918" s="9" t="s">
        <v>15574</v>
      </c>
      <c r="B6918" s="9" t="s">
        <v>15575</v>
      </c>
      <c r="C6918" s="9" t="s">
        <v>46</v>
      </c>
      <c r="D6918" s="9" t="s">
        <v>55</v>
      </c>
      <c r="E6918" s="10" t="s">
        <v>258</v>
      </c>
      <c r="F6918" s="9" t="s">
        <v>259</v>
      </c>
      <c r="G6918" s="10" t="s">
        <v>176</v>
      </c>
      <c r="H6918" s="9" t="s">
        <v>35</v>
      </c>
      <c r="I6918" s="9" t="s">
        <v>15576</v>
      </c>
      <c r="J6918" s="10" t="str">
        <f>HYPERLINK("https://www.boe.es/gazeta/dias/1834/10/09/pdfs/GMD-C-1834-237.pdf#page=6","Abrir facsímil")</f>
        <v>Abrir facsímil</v>
      </c>
      <c r="K6918" s="10" t="s">
        <v>37</v>
      </c>
    </row>
    <row r="6919" spans="1:11" ht="54" customHeight="1">
      <c r="A6919" s="9" t="s">
        <v>15574</v>
      </c>
      <c r="B6919" s="9" t="s">
        <v>15575</v>
      </c>
      <c r="C6919" s="9" t="s">
        <v>17</v>
      </c>
      <c r="D6919" s="9" t="s">
        <v>18</v>
      </c>
      <c r="E6919" s="10" t="s">
        <v>299</v>
      </c>
      <c r="F6919" s="9" t="s">
        <v>2255</v>
      </c>
      <c r="G6919" s="10" t="s">
        <v>75</v>
      </c>
      <c r="H6919" s="9" t="s">
        <v>35</v>
      </c>
      <c r="I6919" s="9" t="s">
        <v>15577</v>
      </c>
      <c r="J6919" s="10" t="str">
        <f>HYPERLINK("https://www.boe.es/gazeta/dias/1834/12/12/pdfs/GMD-C-1834-301.pdf#page=4","Abrir facsímil")</f>
        <v>Abrir facsímil</v>
      </c>
      <c r="K6919" s="10" t="s">
        <v>37</v>
      </c>
    </row>
    <row r="6920" spans="1:11" ht="54" customHeight="1">
      <c r="A6920" s="9" t="s">
        <v>15574</v>
      </c>
      <c r="B6920" s="9" t="s">
        <v>15575</v>
      </c>
      <c r="C6920" s="9" t="s">
        <v>17</v>
      </c>
      <c r="D6920" s="9" t="s">
        <v>18</v>
      </c>
      <c r="E6920" s="10" t="s">
        <v>299</v>
      </c>
      <c r="F6920" s="9" t="s">
        <v>2255</v>
      </c>
      <c r="G6920" s="10" t="s">
        <v>28</v>
      </c>
      <c r="H6920" s="9" t="s">
        <v>35</v>
      </c>
      <c r="I6920" s="9" t="s">
        <v>15578</v>
      </c>
      <c r="J6920" s="10" t="str">
        <f>HYPERLINK("https://www.boe.es/gazeta/dias/1834/12/12/pdfs/GMD-C-1834-301.pdf#page=5","Abrir facsímil")</f>
        <v>Abrir facsímil</v>
      </c>
      <c r="K6920" s="10" t="s">
        <v>37</v>
      </c>
    </row>
    <row r="6921" spans="1:11" ht="54" customHeight="1">
      <c r="A6921" s="9" t="s">
        <v>15574</v>
      </c>
      <c r="B6921" s="9" t="s">
        <v>15575</v>
      </c>
      <c r="C6921" s="9" t="s">
        <v>17</v>
      </c>
      <c r="D6921" s="9" t="s">
        <v>18</v>
      </c>
      <c r="E6921" s="10" t="s">
        <v>268</v>
      </c>
      <c r="F6921" s="9" t="s">
        <v>269</v>
      </c>
      <c r="G6921" s="10" t="s">
        <v>34</v>
      </c>
      <c r="H6921" s="9" t="s">
        <v>35</v>
      </c>
      <c r="I6921" s="9" t="s">
        <v>15579</v>
      </c>
      <c r="J6921" s="10" t="str">
        <f>HYPERLINK("https://www.boe.es/gazeta/dias/1834/12/19/pdfs/GMD-C-1834-309.pdf#page=1","Abrir facsímil")</f>
        <v>Abrir facsímil</v>
      </c>
      <c r="K6921" s="10" t="s">
        <v>37</v>
      </c>
    </row>
    <row r="6922" spans="1:11" ht="54" customHeight="1">
      <c r="A6922" s="9" t="s">
        <v>15574</v>
      </c>
      <c r="B6922" s="9" t="s">
        <v>15575</v>
      </c>
      <c r="C6922" s="9" t="s">
        <v>17</v>
      </c>
      <c r="D6922" s="9" t="s">
        <v>18</v>
      </c>
      <c r="E6922" s="10" t="s">
        <v>268</v>
      </c>
      <c r="F6922" s="9" t="s">
        <v>269</v>
      </c>
      <c r="G6922" s="10" t="s">
        <v>86</v>
      </c>
      <c r="H6922" s="9" t="s">
        <v>35</v>
      </c>
      <c r="I6922" s="9" t="s">
        <v>15580</v>
      </c>
      <c r="J6922" s="10" t="str">
        <f>HYPERLINK("https://www.boe.es/gazeta/dias/1834/12/19/pdfs/GMD-C-1834-309.pdf#page=2","Abrir facsímil")</f>
        <v>Abrir facsímil</v>
      </c>
      <c r="K6922" s="10" t="s">
        <v>37</v>
      </c>
    </row>
    <row r="6923" spans="1:11" ht="54" customHeight="1">
      <c r="A6923" s="9" t="s">
        <v>15574</v>
      </c>
      <c r="B6923" s="9" t="s">
        <v>15575</v>
      </c>
      <c r="C6923" s="9" t="s">
        <v>17</v>
      </c>
      <c r="D6923" s="9" t="s">
        <v>18</v>
      </c>
      <c r="E6923" s="10" t="s">
        <v>268</v>
      </c>
      <c r="F6923" s="9" t="s">
        <v>269</v>
      </c>
      <c r="G6923" s="10" t="s">
        <v>21</v>
      </c>
      <c r="H6923" s="9" t="s">
        <v>35</v>
      </c>
      <c r="I6923" s="9" t="s">
        <v>15581</v>
      </c>
      <c r="J6923" s="10" t="str">
        <f>HYPERLINK("https://www.boe.es/gazeta/dias/1834/12/19/pdfs/GMD-C-1834-309.pdf#page=3","Abrir facsímil")</f>
        <v>Abrir facsímil</v>
      </c>
      <c r="K6923" s="10" t="s">
        <v>37</v>
      </c>
    </row>
    <row r="6924" spans="1:11" ht="54" customHeight="1">
      <c r="A6924" s="9" t="s">
        <v>15574</v>
      </c>
      <c r="B6924" s="9" t="s">
        <v>15575</v>
      </c>
      <c r="C6924" s="9" t="s">
        <v>46</v>
      </c>
      <c r="D6924" s="9" t="s">
        <v>101</v>
      </c>
      <c r="E6924" s="10" t="s">
        <v>268</v>
      </c>
      <c r="F6924" s="9" t="s">
        <v>269</v>
      </c>
      <c r="G6924" s="10" t="s">
        <v>75</v>
      </c>
      <c r="H6924" s="9" t="s">
        <v>35</v>
      </c>
      <c r="I6924" s="9" t="s">
        <v>15582</v>
      </c>
      <c r="J6924" s="10" t="str">
        <f>HYPERLINK("https://www.boe.es/gazeta/dias/1834/12/19/pdfs/GMD-C-1834-309.pdf#page=4","Abrir facsímil")</f>
        <v>Abrir facsímil</v>
      </c>
      <c r="K6924" s="10" t="s">
        <v>37</v>
      </c>
    </row>
    <row r="6925" spans="1:11" ht="54" customHeight="1">
      <c r="A6925" s="9" t="s">
        <v>15574</v>
      </c>
      <c r="B6925" s="9" t="s">
        <v>15575</v>
      </c>
      <c r="C6925" s="9" t="s">
        <v>17</v>
      </c>
      <c r="D6925" s="9" t="s">
        <v>18</v>
      </c>
      <c r="E6925" s="10" t="s">
        <v>1973</v>
      </c>
      <c r="F6925" s="9" t="s">
        <v>1974</v>
      </c>
      <c r="G6925" s="10" t="s">
        <v>34</v>
      </c>
      <c r="H6925" s="9" t="s">
        <v>35</v>
      </c>
      <c r="I6925" s="9" t="s">
        <v>15583</v>
      </c>
      <c r="J6925" s="10" t="str">
        <f>HYPERLINK("https://www.boe.es/gazeta/dias/1834/12/20/pdfs/GMD-C-1834-310.pdf#page=1","Abrir facsímil")</f>
        <v>Abrir facsímil</v>
      </c>
      <c r="K6925" s="10" t="s">
        <v>37</v>
      </c>
    </row>
    <row r="6926" spans="1:11" ht="54" customHeight="1">
      <c r="A6926" s="9" t="s">
        <v>15574</v>
      </c>
      <c r="B6926" s="9" t="s">
        <v>15575</v>
      </c>
      <c r="C6926" s="9" t="s">
        <v>46</v>
      </c>
      <c r="D6926" s="9" t="s">
        <v>55</v>
      </c>
      <c r="E6926" s="10" t="s">
        <v>1674</v>
      </c>
      <c r="F6926" s="9" t="s">
        <v>3233</v>
      </c>
      <c r="G6926" s="10" t="s">
        <v>34</v>
      </c>
      <c r="H6926" s="9" t="s">
        <v>35</v>
      </c>
      <c r="I6926" s="9" t="s">
        <v>15584</v>
      </c>
      <c r="J6926" s="10" t="str">
        <f>HYPERLINK("https://www.boe.es/gazeta/dias/1834/07/25/pdfs/GMD-C-1834-158.pdf#page=1","Abrir facsímil")</f>
        <v>Abrir facsímil</v>
      </c>
      <c r="K6926" s="10" t="s">
        <v>37</v>
      </c>
    </row>
    <row r="6927" spans="1:11" ht="54" customHeight="1">
      <c r="A6927" s="9" t="s">
        <v>15585</v>
      </c>
      <c r="B6927" s="9" t="s">
        <v>15586</v>
      </c>
      <c r="C6927" s="9" t="s">
        <v>17</v>
      </c>
      <c r="D6927" s="9" t="s">
        <v>18</v>
      </c>
      <c r="E6927" s="10" t="s">
        <v>268</v>
      </c>
      <c r="F6927" s="9" t="s">
        <v>269</v>
      </c>
      <c r="G6927" s="10" t="s">
        <v>21</v>
      </c>
      <c r="H6927" s="9" t="s">
        <v>22</v>
      </c>
      <c r="I6927" s="9" t="s">
        <v>15587</v>
      </c>
      <c r="J6927" s="10" t="str">
        <f>HYPERLINK("https://www.boe.es/gazeta/dias/1834/12/19/pdfs/GMD-C-1834-309.pdf#page=3","Abrir facsímil")</f>
        <v>Abrir facsímil</v>
      </c>
      <c r="K6927" s="10" t="s">
        <v>24</v>
      </c>
    </row>
    <row r="6928" spans="1:11" ht="54" customHeight="1">
      <c r="A6928" s="9" t="s">
        <v>15588</v>
      </c>
      <c r="B6928" s="9" t="s">
        <v>15589</v>
      </c>
      <c r="C6928" s="9" t="s">
        <v>17</v>
      </c>
      <c r="D6928" s="9" t="s">
        <v>18</v>
      </c>
      <c r="E6928" s="10" t="s">
        <v>61</v>
      </c>
      <c r="F6928" s="9" t="s">
        <v>205</v>
      </c>
      <c r="G6928" s="10" t="s">
        <v>21</v>
      </c>
      <c r="H6928" s="9" t="s">
        <v>35</v>
      </c>
      <c r="I6928" s="9" t="s">
        <v>15590</v>
      </c>
      <c r="J6928" s="10" t="str">
        <f>HYPERLINK("https://www.boe.es/gazeta/dias/1834/06/08/pdfs/GMD-1834-110.pdf#page=3","Abrir facsímil")</f>
        <v>Abrir facsímil</v>
      </c>
      <c r="K6928" s="10" t="s">
        <v>37</v>
      </c>
    </row>
    <row r="6929" spans="1:11" ht="54" customHeight="1">
      <c r="A6929" s="9" t="s">
        <v>15591</v>
      </c>
      <c r="B6929" s="9" t="s">
        <v>15592</v>
      </c>
      <c r="C6929" s="9" t="s">
        <v>17</v>
      </c>
      <c r="D6929" s="9" t="s">
        <v>18</v>
      </c>
      <c r="E6929" s="10" t="s">
        <v>163</v>
      </c>
      <c r="F6929" s="9" t="s">
        <v>164</v>
      </c>
      <c r="G6929" s="10" t="s">
        <v>21</v>
      </c>
      <c r="H6929" s="9" t="s">
        <v>35</v>
      </c>
      <c r="I6929" s="9" t="s">
        <v>15593</v>
      </c>
      <c r="J6929" s="10" t="str">
        <f>HYPERLINK("https://www.boe.es/gazeta/dias/1834/08/09/pdfs/GMD-1834-174.pdf#page=3","Abrir facsímil")</f>
        <v>Abrir facsímil</v>
      </c>
      <c r="K6929" s="10" t="s">
        <v>37</v>
      </c>
    </row>
    <row r="6930" spans="1:11" ht="54" customHeight="1">
      <c r="A6930" s="9" t="s">
        <v>15594</v>
      </c>
      <c r="B6930" s="9" t="s">
        <v>15594</v>
      </c>
      <c r="C6930" s="9" t="s">
        <v>17</v>
      </c>
      <c r="D6930" s="9" t="s">
        <v>18</v>
      </c>
      <c r="E6930" s="10" t="s">
        <v>1742</v>
      </c>
      <c r="F6930" s="9" t="s">
        <v>1743</v>
      </c>
      <c r="G6930" s="10" t="s">
        <v>75</v>
      </c>
      <c r="H6930" s="9" t="s">
        <v>22</v>
      </c>
      <c r="I6930" s="9" t="s">
        <v>15595</v>
      </c>
      <c r="J6930" s="10" t="str">
        <f>HYPERLINK("https://www.boe.es/gazeta/dias/1834/11/06/pdfs/GMD-1834-265.pdf#page=4","Abrir facsímil")</f>
        <v>Abrir facsímil</v>
      </c>
      <c r="K6930" s="10" t="s">
        <v>24</v>
      </c>
    </row>
    <row r="6931" spans="1:11" ht="54" customHeight="1">
      <c r="A6931" s="9" t="s">
        <v>15596</v>
      </c>
      <c r="B6931" s="9" t="s">
        <v>15596</v>
      </c>
      <c r="C6931" s="9" t="s">
        <v>17</v>
      </c>
      <c r="D6931" s="9" t="s">
        <v>18</v>
      </c>
      <c r="E6931" s="10" t="s">
        <v>19</v>
      </c>
      <c r="F6931" s="9" t="s">
        <v>20</v>
      </c>
      <c r="G6931" s="10" t="s">
        <v>86</v>
      </c>
      <c r="H6931" s="9" t="s">
        <v>22</v>
      </c>
      <c r="I6931" s="9" t="s">
        <v>15597</v>
      </c>
      <c r="J6931" s="10" t="str">
        <f>HYPERLINK("https://www.boe.es/gazeta/dias/1834/08/17/pdfs/GMD-C-1834-182.pdf#page=2","Abrir facsímil")</f>
        <v>Abrir facsímil</v>
      </c>
      <c r="K6931" s="10" t="s">
        <v>24</v>
      </c>
    </row>
    <row r="6932" spans="1:11" ht="54" customHeight="1">
      <c r="A6932" s="9" t="s">
        <v>15598</v>
      </c>
      <c r="B6932" s="9" t="s">
        <v>15599</v>
      </c>
      <c r="C6932" s="9" t="s">
        <v>17</v>
      </c>
      <c r="D6932" s="9" t="s">
        <v>18</v>
      </c>
      <c r="E6932" s="10" t="s">
        <v>19</v>
      </c>
      <c r="F6932" s="9" t="s">
        <v>20</v>
      </c>
      <c r="G6932" s="10" t="s">
        <v>86</v>
      </c>
      <c r="H6932" s="9" t="s">
        <v>35</v>
      </c>
      <c r="I6932" s="9" t="s">
        <v>15597</v>
      </c>
      <c r="J6932" s="10" t="str">
        <f>HYPERLINK("https://www.boe.es/gazeta/dias/1834/08/17/pdfs/GMD-C-1834-182.pdf#page=2","Abrir facsímil")</f>
        <v>Abrir facsímil</v>
      </c>
      <c r="K6932" s="10" t="s">
        <v>37</v>
      </c>
    </row>
    <row r="6933" spans="1:11" ht="54" customHeight="1">
      <c r="A6933" s="9" t="s">
        <v>15600</v>
      </c>
      <c r="B6933" s="9" t="s">
        <v>15600</v>
      </c>
      <c r="C6933" s="9" t="s">
        <v>66</v>
      </c>
      <c r="D6933" s="9" t="s">
        <v>67</v>
      </c>
      <c r="E6933" s="10" t="s">
        <v>1773</v>
      </c>
      <c r="F6933" s="9" t="s">
        <v>1774</v>
      </c>
      <c r="G6933" s="10" t="s">
        <v>75</v>
      </c>
      <c r="H6933" s="9" t="s">
        <v>22</v>
      </c>
      <c r="I6933" s="9" t="s">
        <v>15601</v>
      </c>
      <c r="J6933" s="10" t="str">
        <f>HYPERLINK("https://www.boe.es/gazeta/dias/1834/06/28/pdfs/GMD-1834-131.pdf#page=4","Abrir facsímil")</f>
        <v>Abrir facsímil</v>
      </c>
      <c r="K6933" s="10" t="s">
        <v>24</v>
      </c>
    </row>
    <row r="6934" spans="1:11" ht="54" customHeight="1">
      <c r="A6934" s="9" t="s">
        <v>15602</v>
      </c>
      <c r="B6934" s="9" t="s">
        <v>15603</v>
      </c>
      <c r="C6934" s="9" t="s">
        <v>66</v>
      </c>
      <c r="D6934" s="9" t="s">
        <v>67</v>
      </c>
      <c r="E6934" s="10" t="s">
        <v>1773</v>
      </c>
      <c r="F6934" s="9" t="s">
        <v>1774</v>
      </c>
      <c r="G6934" s="10" t="s">
        <v>75</v>
      </c>
      <c r="H6934" s="9" t="s">
        <v>35</v>
      </c>
      <c r="I6934" s="9" t="s">
        <v>15604</v>
      </c>
      <c r="J6934" s="10" t="str">
        <f>HYPERLINK("https://www.boe.es/gazeta/dias/1834/06/28/pdfs/GMD-1834-131.pdf#page=4","Abrir facsímil")</f>
        <v>Abrir facsímil</v>
      </c>
      <c r="K6934" s="10" t="s">
        <v>37</v>
      </c>
    </row>
    <row r="6935" spans="1:11" ht="54" customHeight="1">
      <c r="A6935" s="9" t="s">
        <v>15605</v>
      </c>
      <c r="B6935" s="9" t="s">
        <v>15606</v>
      </c>
      <c r="C6935" s="9" t="s">
        <v>17</v>
      </c>
      <c r="D6935" s="9" t="s">
        <v>18</v>
      </c>
      <c r="E6935" s="10" t="s">
        <v>268</v>
      </c>
      <c r="F6935" s="9" t="s">
        <v>269</v>
      </c>
      <c r="G6935" s="10" t="s">
        <v>21</v>
      </c>
      <c r="H6935" s="9" t="s">
        <v>35</v>
      </c>
      <c r="I6935" s="9" t="s">
        <v>15607</v>
      </c>
      <c r="J6935" s="10" t="str">
        <f>HYPERLINK("https://www.boe.es/gazeta/dias/1834/12/19/pdfs/GMD-C-1834-309.pdf#page=3","Abrir facsímil")</f>
        <v>Abrir facsímil</v>
      </c>
      <c r="K6935" s="10" t="s">
        <v>37</v>
      </c>
    </row>
    <row r="6936" spans="1:11" ht="54" customHeight="1">
      <c r="A6936" s="9" t="s">
        <v>15608</v>
      </c>
      <c r="B6936" s="9" t="s">
        <v>15608</v>
      </c>
      <c r="C6936" s="9" t="s">
        <v>90</v>
      </c>
      <c r="D6936" s="9" t="s">
        <v>18</v>
      </c>
      <c r="E6936" s="10" t="s">
        <v>1084</v>
      </c>
      <c r="F6936" s="9" t="s">
        <v>1085</v>
      </c>
      <c r="G6936" s="10" t="s">
        <v>86</v>
      </c>
      <c r="H6936" s="9" t="s">
        <v>22</v>
      </c>
      <c r="I6936" s="9" t="s">
        <v>15609</v>
      </c>
      <c r="J6936" s="10" t="str">
        <f>HYPERLINK("https://www.boe.es/gazeta/dias/1834/05/01/pdfs/GMD-1834-70.pdf#page=2","Abrir facsímil")</f>
        <v>Abrir facsímil</v>
      </c>
      <c r="K6936" s="10" t="s">
        <v>24</v>
      </c>
    </row>
    <row r="6937" spans="1:11" ht="54" customHeight="1">
      <c r="A6937" s="9" t="s">
        <v>15610</v>
      </c>
      <c r="B6937" s="9" t="s">
        <v>15611</v>
      </c>
      <c r="C6937" s="9" t="s">
        <v>66</v>
      </c>
      <c r="D6937" s="9" t="s">
        <v>18</v>
      </c>
      <c r="E6937" s="10" t="s">
        <v>912</v>
      </c>
      <c r="F6937" s="9" t="s">
        <v>913</v>
      </c>
      <c r="G6937" s="10" t="s">
        <v>176</v>
      </c>
      <c r="H6937" s="9" t="s">
        <v>22</v>
      </c>
      <c r="I6937" s="9" t="s">
        <v>15612</v>
      </c>
      <c r="J6937" s="10" t="str">
        <f>HYPERLINK("https://www.boe.es/gazeta/dias/1834/02/15/pdfs/GMD-1834-21.pdf#page=6","Abrir facsímil")</f>
        <v>Abrir facsímil</v>
      </c>
      <c r="K6937" s="10" t="s">
        <v>24</v>
      </c>
    </row>
    <row r="6938" spans="1:11" ht="54" customHeight="1">
      <c r="A6938" s="9" t="s">
        <v>15613</v>
      </c>
      <c r="B6938" s="9" t="s">
        <v>15614</v>
      </c>
      <c r="C6938" s="9" t="s">
        <v>17</v>
      </c>
      <c r="D6938" s="9" t="s">
        <v>18</v>
      </c>
      <c r="E6938" s="10" t="s">
        <v>1572</v>
      </c>
      <c r="F6938" s="9" t="s">
        <v>1573</v>
      </c>
      <c r="G6938" s="10" t="s">
        <v>176</v>
      </c>
      <c r="H6938" s="9" t="s">
        <v>22</v>
      </c>
      <c r="I6938" s="9" t="s">
        <v>15615</v>
      </c>
      <c r="J6938" s="10" t="str">
        <f>HYPERLINK("https://www.boe.es/gazeta/dias/1834/03/20/pdfs/GMD-1834-35.pdf#page=6","Abrir facsímil")</f>
        <v>Abrir facsímil</v>
      </c>
      <c r="K6938" s="10" t="s">
        <v>24</v>
      </c>
    </row>
    <row r="6939" spans="1:11" ht="54" customHeight="1">
      <c r="A6939" s="9" t="s">
        <v>15616</v>
      </c>
      <c r="B6939" s="9" t="s">
        <v>15616</v>
      </c>
      <c r="C6939" s="9" t="s">
        <v>17</v>
      </c>
      <c r="D6939" s="9" t="s">
        <v>18</v>
      </c>
      <c r="E6939" s="10" t="s">
        <v>451</v>
      </c>
      <c r="F6939" s="9" t="s">
        <v>452</v>
      </c>
      <c r="G6939" s="10" t="s">
        <v>21</v>
      </c>
      <c r="H6939" s="9" t="s">
        <v>22</v>
      </c>
      <c r="I6939" s="9" t="s">
        <v>15617</v>
      </c>
      <c r="J6939" s="10" t="str">
        <f>HYPERLINK("https://www.boe.es/gazeta/dias/1834/10/15/pdfs/GMD-C-1834-243.pdf#page=3","Abrir facsímil")</f>
        <v>Abrir facsímil</v>
      </c>
      <c r="K6939" s="10" t="s">
        <v>24</v>
      </c>
    </row>
    <row r="6940" spans="1:11" ht="54" customHeight="1">
      <c r="A6940" s="9" t="s">
        <v>15618</v>
      </c>
      <c r="B6940" s="9" t="s">
        <v>15618</v>
      </c>
      <c r="C6940" s="9" t="s">
        <v>66</v>
      </c>
      <c r="D6940" s="9" t="s">
        <v>67</v>
      </c>
      <c r="E6940" s="10" t="s">
        <v>408</v>
      </c>
      <c r="F6940" s="9" t="s">
        <v>409</v>
      </c>
      <c r="G6940" s="10" t="s">
        <v>75</v>
      </c>
      <c r="H6940" s="9" t="s">
        <v>22</v>
      </c>
      <c r="I6940" s="9" t="s">
        <v>15619</v>
      </c>
      <c r="J6940" s="10" t="str">
        <f>HYPERLINK("https://www.boe.es/gazeta/dias/1834/04/28/pdfs/GMD-1834-67.pdf#page=4","Abrir facsímil")</f>
        <v>Abrir facsímil</v>
      </c>
      <c r="K6940" s="10" t="s">
        <v>24</v>
      </c>
    </row>
    <row r="6941" spans="1:11" ht="54" customHeight="1">
      <c r="A6941" s="9" t="s">
        <v>15620</v>
      </c>
      <c r="B6941" s="9" t="s">
        <v>15620</v>
      </c>
      <c r="C6941" s="9" t="s">
        <v>17</v>
      </c>
      <c r="D6941" s="9" t="s">
        <v>18</v>
      </c>
      <c r="E6941" s="10" t="s">
        <v>1333</v>
      </c>
      <c r="F6941" s="9" t="s">
        <v>1334</v>
      </c>
      <c r="G6941" s="10" t="s">
        <v>34</v>
      </c>
      <c r="H6941" s="9" t="s">
        <v>22</v>
      </c>
      <c r="I6941" s="9" t="s">
        <v>15621</v>
      </c>
      <c r="J6941" s="10" t="str">
        <f>HYPERLINK("https://www.boe.es/gazeta/dias/1834/04/01/pdfs/GMD-1834-40.pdf#page=1","Abrir facsímil")</f>
        <v>Abrir facsímil</v>
      </c>
      <c r="K6941" s="10" t="s">
        <v>24</v>
      </c>
    </row>
    <row r="6942" spans="1:11" ht="54" customHeight="1">
      <c r="A6942" s="9" t="s">
        <v>15622</v>
      </c>
      <c r="B6942" s="9" t="s">
        <v>15623</v>
      </c>
      <c r="C6942" s="9" t="s">
        <v>17</v>
      </c>
      <c r="D6942" s="9" t="s">
        <v>55</v>
      </c>
      <c r="E6942" s="10" t="s">
        <v>2203</v>
      </c>
      <c r="F6942" s="9" t="s">
        <v>3917</v>
      </c>
      <c r="G6942" s="10" t="s">
        <v>75</v>
      </c>
      <c r="H6942" s="9" t="s">
        <v>35</v>
      </c>
      <c r="I6942" s="9" t="s">
        <v>15624</v>
      </c>
      <c r="J6942" s="10" t="str">
        <f>HYPERLINK("https://www.boe.es/gazeta/dias/1834/09/10/pdfs/GMD-1834-208.pdf#page=4","Abrir facsímil")</f>
        <v>Abrir facsímil</v>
      </c>
      <c r="K6942" s="10" t="s">
        <v>37</v>
      </c>
    </row>
    <row r="6943" spans="1:11" ht="54" customHeight="1">
      <c r="A6943" s="9" t="s">
        <v>15625</v>
      </c>
      <c r="B6943" s="9" t="s">
        <v>15626</v>
      </c>
      <c r="C6943" s="9" t="s">
        <v>17</v>
      </c>
      <c r="D6943" s="9" t="s">
        <v>18</v>
      </c>
      <c r="E6943" s="10" t="s">
        <v>444</v>
      </c>
      <c r="F6943" s="9" t="s">
        <v>445</v>
      </c>
      <c r="G6943" s="10" t="s">
        <v>34</v>
      </c>
      <c r="H6943" s="9" t="s">
        <v>22</v>
      </c>
      <c r="I6943" s="9" t="s">
        <v>15627</v>
      </c>
      <c r="J6943" s="10" t="str">
        <f>HYPERLINK("https://www.boe.es/gazeta/dias/1834/09/12/pdfs/GMD-C-1834-210.pdf#page=1","Abrir facsímil")</f>
        <v>Abrir facsímil</v>
      </c>
      <c r="K6943" s="10" t="s">
        <v>24</v>
      </c>
    </row>
    <row r="6944" spans="1:11" ht="54" customHeight="1">
      <c r="A6944" s="9" t="s">
        <v>15628</v>
      </c>
      <c r="B6944" s="9" t="s">
        <v>15629</v>
      </c>
      <c r="C6944" s="9" t="s">
        <v>17</v>
      </c>
      <c r="D6944" s="9" t="s">
        <v>55</v>
      </c>
      <c r="E6944" s="10" t="s">
        <v>2203</v>
      </c>
      <c r="F6944" s="9" t="s">
        <v>3917</v>
      </c>
      <c r="G6944" s="10" t="s">
        <v>75</v>
      </c>
      <c r="H6944" s="9" t="s">
        <v>22</v>
      </c>
      <c r="I6944" s="9" t="s">
        <v>15630</v>
      </c>
      <c r="J6944" s="10" t="str">
        <f>HYPERLINK("https://www.boe.es/gazeta/dias/1834/09/10/pdfs/GMD-1834-208.pdf#page=4","Abrir facsímil")</f>
        <v>Abrir facsímil</v>
      </c>
      <c r="K6944" s="10" t="s">
        <v>24</v>
      </c>
    </row>
    <row r="6945" spans="1:11" ht="54" customHeight="1">
      <c r="A6945" s="9" t="s">
        <v>15631</v>
      </c>
      <c r="B6945" s="9" t="s">
        <v>15631</v>
      </c>
      <c r="C6945" s="9" t="s">
        <v>66</v>
      </c>
      <c r="D6945" s="9" t="s">
        <v>67</v>
      </c>
      <c r="E6945" s="10" t="s">
        <v>803</v>
      </c>
      <c r="F6945" s="9" t="s">
        <v>804</v>
      </c>
      <c r="G6945" s="10" t="s">
        <v>75</v>
      </c>
      <c r="H6945" s="9" t="s">
        <v>22</v>
      </c>
      <c r="I6945" s="9" t="s">
        <v>15632</v>
      </c>
      <c r="J6945" s="10" t="str">
        <f>HYPERLINK("https://www.boe.es/gazeta/dias/1834/03/29/pdfs/GMD-1834-39.pdf#page=4","Abrir facsímil")</f>
        <v>Abrir facsímil</v>
      </c>
      <c r="K6945" s="10" t="s">
        <v>24</v>
      </c>
    </row>
    <row r="6946" spans="1:11" ht="54" customHeight="1">
      <c r="A6946" s="9" t="s">
        <v>15633</v>
      </c>
      <c r="B6946" s="9" t="s">
        <v>15633</v>
      </c>
      <c r="C6946" s="9" t="s">
        <v>17</v>
      </c>
      <c r="D6946" s="9" t="s">
        <v>18</v>
      </c>
      <c r="E6946" s="10" t="s">
        <v>1141</v>
      </c>
      <c r="F6946" s="9" t="s">
        <v>1142</v>
      </c>
      <c r="G6946" s="10" t="s">
        <v>34</v>
      </c>
      <c r="H6946" s="9" t="s">
        <v>22</v>
      </c>
      <c r="I6946" s="9" t="s">
        <v>15634</v>
      </c>
      <c r="J6946" s="10" t="str">
        <f>HYPERLINK("https://www.boe.es/gazeta/dias/1834/04/30/pdfs/GMD-1834-69.pdf#page=1","Abrir facsímil")</f>
        <v>Abrir facsímil</v>
      </c>
      <c r="K6946" s="10" t="s">
        <v>24</v>
      </c>
    </row>
    <row r="6947" spans="1:11" ht="54" customHeight="1">
      <c r="A6947" s="9" t="s">
        <v>15635</v>
      </c>
      <c r="B6947" s="9" t="s">
        <v>15635</v>
      </c>
      <c r="C6947" s="9" t="s">
        <v>17</v>
      </c>
      <c r="D6947" s="9" t="s">
        <v>18</v>
      </c>
      <c r="E6947" s="10" t="s">
        <v>1981</v>
      </c>
      <c r="F6947" s="9" t="s">
        <v>2471</v>
      </c>
      <c r="G6947" s="10" t="s">
        <v>176</v>
      </c>
      <c r="H6947" s="9" t="s">
        <v>22</v>
      </c>
      <c r="I6947" s="9" t="s">
        <v>15636</v>
      </c>
      <c r="J6947" s="10" t="str">
        <f>HYPERLINK("https://www.boe.es/gazeta/dias/1834/12/13/pdfs/GMD-C-1834-302.pdf#page=6","Abrir facsímil")</f>
        <v>Abrir facsímil</v>
      </c>
      <c r="K6947" s="10" t="s">
        <v>24</v>
      </c>
    </row>
    <row r="6948" spans="1:11" ht="54" customHeight="1">
      <c r="A6948" s="9" t="s">
        <v>15637</v>
      </c>
      <c r="B6948" s="9" t="s">
        <v>15638</v>
      </c>
      <c r="C6948" s="9" t="s">
        <v>17</v>
      </c>
      <c r="D6948" s="9" t="s">
        <v>18</v>
      </c>
      <c r="E6948" s="10" t="s">
        <v>183</v>
      </c>
      <c r="F6948" s="9" t="s">
        <v>184</v>
      </c>
      <c r="G6948" s="10" t="s">
        <v>34</v>
      </c>
      <c r="H6948" s="9" t="s">
        <v>22</v>
      </c>
      <c r="I6948" s="9" t="s">
        <v>15639</v>
      </c>
      <c r="J6948" s="10" t="str">
        <f>HYPERLINK("https://www.boe.es/gazeta/dias/1834/03/18/pdfs/GMD-1834-34.pdf#page=1","Abrir facsímil")</f>
        <v>Abrir facsímil</v>
      </c>
      <c r="K6948" s="10" t="s">
        <v>24</v>
      </c>
    </row>
    <row r="6949" spans="1:11" ht="54" customHeight="1">
      <c r="A6949" s="9" t="s">
        <v>15640</v>
      </c>
      <c r="B6949" s="9" t="s">
        <v>15641</v>
      </c>
      <c r="C6949" s="9" t="s">
        <v>17</v>
      </c>
      <c r="D6949" s="9" t="s">
        <v>101</v>
      </c>
      <c r="E6949" s="10" t="s">
        <v>739</v>
      </c>
      <c r="F6949" s="9" t="s">
        <v>740</v>
      </c>
      <c r="G6949" s="10" t="s">
        <v>34</v>
      </c>
      <c r="H6949" s="9" t="s">
        <v>22</v>
      </c>
      <c r="I6949" s="9" t="s">
        <v>15642</v>
      </c>
      <c r="J6949" s="10" t="str">
        <f>HYPERLINK("https://www.boe.es/gazeta/dias/1834/03/25/pdfs/GMD-1834-37.pdf#page=1","Abrir facsímil")</f>
        <v>Abrir facsímil</v>
      </c>
      <c r="K6949" s="10" t="s">
        <v>24</v>
      </c>
    </row>
    <row r="6950" spans="1:11" ht="54" customHeight="1">
      <c r="A6950" s="9" t="s">
        <v>15643</v>
      </c>
      <c r="B6950" s="9" t="s">
        <v>15644</v>
      </c>
      <c r="C6950" s="9" t="s">
        <v>17</v>
      </c>
      <c r="D6950" s="9" t="s">
        <v>18</v>
      </c>
      <c r="E6950" s="10" t="s">
        <v>1318</v>
      </c>
      <c r="F6950" s="9" t="s">
        <v>1319</v>
      </c>
      <c r="G6950" s="10" t="s">
        <v>75</v>
      </c>
      <c r="H6950" s="9" t="s">
        <v>22</v>
      </c>
      <c r="I6950" s="9" t="s">
        <v>15645</v>
      </c>
      <c r="J6950" s="10" t="str">
        <f>HYPERLINK("https://www.boe.es/gazeta/dias/1834/05/10/pdfs/GMD-1834-79.pdf#page=4","Abrir facsímil")</f>
        <v>Abrir facsímil</v>
      </c>
      <c r="K6950" s="10" t="s">
        <v>24</v>
      </c>
    </row>
    <row r="6951" spans="1:11" ht="54" customHeight="1">
      <c r="A6951" s="9" t="s">
        <v>15646</v>
      </c>
      <c r="B6951" s="9" t="s">
        <v>15647</v>
      </c>
      <c r="C6951" s="9" t="s">
        <v>17</v>
      </c>
      <c r="D6951" s="9" t="s">
        <v>55</v>
      </c>
      <c r="E6951" s="10" t="s">
        <v>2241</v>
      </c>
      <c r="F6951" s="9" t="s">
        <v>2242</v>
      </c>
      <c r="G6951" s="10" t="s">
        <v>86</v>
      </c>
      <c r="H6951" s="9" t="s">
        <v>22</v>
      </c>
      <c r="I6951" s="9" t="s">
        <v>15648</v>
      </c>
      <c r="J6951" s="10" t="str">
        <f>HYPERLINK("https://www.boe.es/gazeta/dias/1834/03/11/pdfs/GMD-1834-31.pdf#page=2","Abrir facsímil")</f>
        <v>Abrir facsímil</v>
      </c>
      <c r="K6951" s="10" t="s">
        <v>24</v>
      </c>
    </row>
    <row r="6952" spans="1:11" ht="54" customHeight="1">
      <c r="A6952" s="9" t="s">
        <v>15649</v>
      </c>
      <c r="B6952" s="9" t="s">
        <v>15650</v>
      </c>
      <c r="C6952" s="9" t="s">
        <v>17</v>
      </c>
      <c r="D6952" s="9" t="s">
        <v>18</v>
      </c>
      <c r="E6952" s="10" t="s">
        <v>273</v>
      </c>
      <c r="F6952" s="9" t="s">
        <v>413</v>
      </c>
      <c r="G6952" s="10" t="s">
        <v>75</v>
      </c>
      <c r="H6952" s="9" t="s">
        <v>35</v>
      </c>
      <c r="I6952" s="9" t="s">
        <v>15651</v>
      </c>
      <c r="J6952" s="10" t="str">
        <f>HYPERLINK("https://www.boe.es/gazeta/dias/1834/08/31/pdfs/GMD-1834-198.pdf#page=4","Abrir facsímil")</f>
        <v>Abrir facsímil</v>
      </c>
      <c r="K6952" s="10" t="s">
        <v>37</v>
      </c>
    </row>
    <row r="6953" spans="1:11" ht="54" customHeight="1">
      <c r="A6953" s="9" t="s">
        <v>15652</v>
      </c>
      <c r="B6953" s="9" t="s">
        <v>15653</v>
      </c>
      <c r="C6953" s="9" t="s">
        <v>17</v>
      </c>
      <c r="D6953" s="9" t="s">
        <v>18</v>
      </c>
      <c r="E6953" s="10" t="s">
        <v>860</v>
      </c>
      <c r="F6953" s="9" t="s">
        <v>1755</v>
      </c>
      <c r="G6953" s="10" t="s">
        <v>34</v>
      </c>
      <c r="H6953" s="9" t="s">
        <v>22</v>
      </c>
      <c r="I6953" s="9" t="s">
        <v>15654</v>
      </c>
      <c r="J6953" s="10" t="str">
        <f>HYPERLINK("https://www.boe.es/gazeta/dias/1834/02/08/pdfs/GMD-C-1834-18.pdf#page=1","Abrir facsímil")</f>
        <v>Abrir facsímil</v>
      </c>
      <c r="K6953" s="10" t="s">
        <v>24</v>
      </c>
    </row>
    <row r="6954" spans="1:11" ht="54" customHeight="1">
      <c r="A6954" s="9" t="s">
        <v>15655</v>
      </c>
      <c r="B6954" s="9" t="s">
        <v>15656</v>
      </c>
      <c r="C6954" s="9" t="s">
        <v>17</v>
      </c>
      <c r="D6954" s="9" t="s">
        <v>18</v>
      </c>
      <c r="E6954" s="10" t="s">
        <v>2379</v>
      </c>
      <c r="F6954" s="9" t="s">
        <v>2380</v>
      </c>
      <c r="G6954" s="10" t="s">
        <v>21</v>
      </c>
      <c r="H6954" s="9" t="s">
        <v>22</v>
      </c>
      <c r="I6954" s="9" t="s">
        <v>15657</v>
      </c>
      <c r="J6954" s="10" t="str">
        <f>HYPERLINK("https://www.boe.es/gazeta/dias/1834/04/03/pdfs/GMD-1834-42.pdf#page=3","Abrir facsímil")</f>
        <v>Abrir facsímil</v>
      </c>
      <c r="K6954" s="10" t="s">
        <v>24</v>
      </c>
    </row>
    <row r="6955" spans="1:11" ht="54" customHeight="1">
      <c r="A6955" s="9" t="s">
        <v>15655</v>
      </c>
      <c r="B6955" s="9" t="s">
        <v>15656</v>
      </c>
      <c r="C6955" s="9" t="s">
        <v>122</v>
      </c>
      <c r="D6955" s="9" t="s">
        <v>18</v>
      </c>
      <c r="E6955" s="10" t="s">
        <v>317</v>
      </c>
      <c r="F6955" s="9" t="s">
        <v>318</v>
      </c>
      <c r="G6955" s="10" t="s">
        <v>86</v>
      </c>
      <c r="H6955" s="9" t="s">
        <v>22</v>
      </c>
      <c r="I6955" s="9" t="s">
        <v>15658</v>
      </c>
      <c r="J6955" s="10" t="str">
        <f>HYPERLINK("https://www.boe.es/gazeta/dias/1834/03/06/pdfs/GMD-1834-29.pdf#page=2","Abrir facsímil")</f>
        <v>Abrir facsímil</v>
      </c>
      <c r="K6955" s="10" t="s">
        <v>24</v>
      </c>
    </row>
    <row r="6956" spans="1:11" ht="54" customHeight="1">
      <c r="A6956" s="9" t="s">
        <v>15655</v>
      </c>
      <c r="B6956" s="9" t="s">
        <v>15656</v>
      </c>
      <c r="C6956" s="9" t="s">
        <v>46</v>
      </c>
      <c r="D6956" s="9" t="s">
        <v>55</v>
      </c>
      <c r="E6956" s="10" t="s">
        <v>133</v>
      </c>
      <c r="F6956" s="9" t="s">
        <v>134</v>
      </c>
      <c r="G6956" s="10" t="s">
        <v>21</v>
      </c>
      <c r="H6956" s="9" t="s">
        <v>22</v>
      </c>
      <c r="I6956" s="9" t="s">
        <v>15659</v>
      </c>
      <c r="J6956" s="10" t="str">
        <f>HYPERLINK("https://www.boe.es/gazeta/dias/1834/06/18/pdfs/GMD-1834-121.pdf#page=3","Abrir facsímil")</f>
        <v>Abrir facsímil</v>
      </c>
      <c r="K6956" s="10" t="s">
        <v>24</v>
      </c>
    </row>
    <row r="6957" spans="1:11" ht="54" customHeight="1">
      <c r="A6957" s="9" t="s">
        <v>15655</v>
      </c>
      <c r="B6957" s="9" t="s">
        <v>15656</v>
      </c>
      <c r="C6957" s="9" t="s">
        <v>46</v>
      </c>
      <c r="D6957" s="9" t="s">
        <v>18</v>
      </c>
      <c r="E6957" s="10" t="s">
        <v>753</v>
      </c>
      <c r="F6957" s="9" t="s">
        <v>754</v>
      </c>
      <c r="G6957" s="10" t="s">
        <v>21</v>
      </c>
      <c r="H6957" s="9" t="s">
        <v>22</v>
      </c>
      <c r="I6957" s="9" t="s">
        <v>15660</v>
      </c>
      <c r="J6957" s="10" t="str">
        <f>HYPERLINK("https://www.boe.es/gazeta/dias/1834/04/21/pdfs/GMD-1834-60.pdf#page=3","Abrir facsímil")</f>
        <v>Abrir facsímil</v>
      </c>
      <c r="K6957" s="10" t="s">
        <v>24</v>
      </c>
    </row>
    <row r="6958" spans="1:11" ht="54" customHeight="1">
      <c r="A6958" s="9" t="s">
        <v>15661</v>
      </c>
      <c r="B6958" s="9" t="s">
        <v>15662</v>
      </c>
      <c r="C6958" s="9" t="s">
        <v>17</v>
      </c>
      <c r="D6958" s="9" t="s">
        <v>18</v>
      </c>
      <c r="E6958" s="10" t="s">
        <v>860</v>
      </c>
      <c r="F6958" s="9" t="s">
        <v>1755</v>
      </c>
      <c r="G6958" s="10" t="s">
        <v>34</v>
      </c>
      <c r="H6958" s="9" t="s">
        <v>35</v>
      </c>
      <c r="I6958" s="9" t="s">
        <v>15663</v>
      </c>
      <c r="J6958" s="10" t="str">
        <f>HYPERLINK("https://www.boe.es/gazeta/dias/1834/02/08/pdfs/GMD-C-1834-18.pdf#page=1","Abrir facsímil")</f>
        <v>Abrir facsímil</v>
      </c>
      <c r="K6958" s="10" t="s">
        <v>37</v>
      </c>
    </row>
    <row r="6959" spans="1:11" ht="54" customHeight="1">
      <c r="A6959" s="9" t="s">
        <v>15664</v>
      </c>
      <c r="B6959" s="9" t="s">
        <v>15665</v>
      </c>
      <c r="C6959" s="9" t="s">
        <v>122</v>
      </c>
      <c r="D6959" s="9" t="s">
        <v>18</v>
      </c>
      <c r="E6959" s="10" t="s">
        <v>317</v>
      </c>
      <c r="F6959" s="9" t="s">
        <v>318</v>
      </c>
      <c r="G6959" s="10" t="s">
        <v>86</v>
      </c>
      <c r="H6959" s="9" t="s">
        <v>35</v>
      </c>
      <c r="I6959" s="9" t="s">
        <v>15666</v>
      </c>
      <c r="J6959" s="10" t="str">
        <f>HYPERLINK("https://www.boe.es/gazeta/dias/1834/03/06/pdfs/GMD-1834-29.pdf#page=2","Abrir facsímil")</f>
        <v>Abrir facsímil</v>
      </c>
      <c r="K6959" s="10" t="s">
        <v>37</v>
      </c>
    </row>
    <row r="6960" spans="1:11" ht="54" customHeight="1">
      <c r="A6960" s="9" t="s">
        <v>15664</v>
      </c>
      <c r="B6960" s="9" t="s">
        <v>15665</v>
      </c>
      <c r="C6960" s="9" t="s">
        <v>46</v>
      </c>
      <c r="D6960" s="9" t="s">
        <v>18</v>
      </c>
      <c r="E6960" s="10" t="s">
        <v>753</v>
      </c>
      <c r="F6960" s="9" t="s">
        <v>754</v>
      </c>
      <c r="G6960" s="10" t="s">
        <v>21</v>
      </c>
      <c r="H6960" s="9" t="s">
        <v>35</v>
      </c>
      <c r="I6960" s="9" t="s">
        <v>15667</v>
      </c>
      <c r="J6960" s="10" t="str">
        <f>HYPERLINK("https://www.boe.es/gazeta/dias/1834/04/21/pdfs/GMD-1834-60.pdf#page=3","Abrir facsímil")</f>
        <v>Abrir facsímil</v>
      </c>
      <c r="K6960" s="10" t="s">
        <v>37</v>
      </c>
    </row>
    <row r="6961" spans="1:11" ht="54" customHeight="1">
      <c r="A6961" s="9" t="s">
        <v>15668</v>
      </c>
      <c r="B6961" s="9" t="s">
        <v>15669</v>
      </c>
      <c r="C6961" s="9" t="s">
        <v>17</v>
      </c>
      <c r="D6961" s="9" t="s">
        <v>101</v>
      </c>
      <c r="E6961" s="10" t="s">
        <v>255</v>
      </c>
      <c r="F6961" s="9" t="s">
        <v>2368</v>
      </c>
      <c r="G6961" s="10" t="s">
        <v>86</v>
      </c>
      <c r="H6961" s="9" t="s">
        <v>35</v>
      </c>
      <c r="I6961" s="9" t="s">
        <v>15670</v>
      </c>
      <c r="J6961" s="10" t="str">
        <f>HYPERLINK("https://www.boe.es/gazeta/dias/1834/09/01/pdfs/I00843-00844.pdf#page=2","Abrir facsímil")</f>
        <v>Abrir facsímil</v>
      </c>
      <c r="K6961" s="10" t="s">
        <v>37</v>
      </c>
    </row>
    <row r="6962" spans="1:11" ht="54" customHeight="1">
      <c r="A6962" s="9" t="s">
        <v>15668</v>
      </c>
      <c r="B6962" s="9" t="s">
        <v>15669</v>
      </c>
      <c r="C6962" s="9" t="s">
        <v>17</v>
      </c>
      <c r="D6962" s="9" t="s">
        <v>101</v>
      </c>
      <c r="E6962" s="10" t="s">
        <v>255</v>
      </c>
      <c r="F6962" s="9" t="s">
        <v>2368</v>
      </c>
      <c r="G6962" s="10" t="s">
        <v>75</v>
      </c>
      <c r="H6962" s="9" t="s">
        <v>35</v>
      </c>
      <c r="I6962" s="9" t="s">
        <v>15670</v>
      </c>
      <c r="J6962" s="10" t="str">
        <f>HYPERLINK("https://www.boe.es/gazeta/dias/1834/09/01/pdfs/GMD-1834-199.pdf#page=4","Abrir facsímil")</f>
        <v>Abrir facsímil</v>
      </c>
      <c r="K6962" s="10" t="s">
        <v>37</v>
      </c>
    </row>
    <row r="6963" spans="1:11" ht="54" customHeight="1">
      <c r="A6963" s="9" t="s">
        <v>15671</v>
      </c>
      <c r="B6963" s="9" t="s">
        <v>15672</v>
      </c>
      <c r="C6963" s="9" t="s">
        <v>46</v>
      </c>
      <c r="D6963" s="9" t="s">
        <v>101</v>
      </c>
      <c r="E6963" s="10" t="s">
        <v>1692</v>
      </c>
      <c r="F6963" s="9" t="s">
        <v>3985</v>
      </c>
      <c r="G6963" s="10" t="s">
        <v>34</v>
      </c>
      <c r="H6963" s="9" t="s">
        <v>35</v>
      </c>
      <c r="I6963" s="9" t="s">
        <v>15673</v>
      </c>
      <c r="J6963" s="10" t="str">
        <f>HYPERLINK("https://www.boe.es/gazeta/dias/1834/07/29/pdfs/GMD-C-1834-162.pdf#page=1","Abrir facsímil")</f>
        <v>Abrir facsímil</v>
      </c>
      <c r="K6963" s="10" t="s">
        <v>37</v>
      </c>
    </row>
    <row r="6964" spans="1:11" ht="54" customHeight="1">
      <c r="A6964" s="9" t="s">
        <v>15674</v>
      </c>
      <c r="B6964" s="9" t="s">
        <v>15675</v>
      </c>
      <c r="C6964" s="9" t="s">
        <v>17</v>
      </c>
      <c r="D6964" s="9" t="s">
        <v>101</v>
      </c>
      <c r="E6964" s="10" t="s">
        <v>255</v>
      </c>
      <c r="F6964" s="9" t="s">
        <v>2368</v>
      </c>
      <c r="G6964" s="10" t="s">
        <v>86</v>
      </c>
      <c r="H6964" s="9" t="s">
        <v>22</v>
      </c>
      <c r="I6964" s="9" t="s">
        <v>15676</v>
      </c>
      <c r="J6964" s="10" t="str">
        <f>HYPERLINK("https://www.boe.es/gazeta/dias/1834/09/01/pdfs/I00843-00844.pdf#page=2","Abrir facsímil")</f>
        <v>Abrir facsímil</v>
      </c>
      <c r="K6964" s="10" t="s">
        <v>24</v>
      </c>
    </row>
    <row r="6965" spans="1:11" ht="54" customHeight="1">
      <c r="A6965" s="9" t="s">
        <v>15674</v>
      </c>
      <c r="B6965" s="9" t="s">
        <v>15675</v>
      </c>
      <c r="C6965" s="9" t="s">
        <v>17</v>
      </c>
      <c r="D6965" s="9" t="s">
        <v>101</v>
      </c>
      <c r="E6965" s="10" t="s">
        <v>255</v>
      </c>
      <c r="F6965" s="9" t="s">
        <v>2368</v>
      </c>
      <c r="G6965" s="10" t="s">
        <v>75</v>
      </c>
      <c r="H6965" s="9" t="s">
        <v>22</v>
      </c>
      <c r="I6965" s="9" t="s">
        <v>15676</v>
      </c>
      <c r="J6965" s="10" t="str">
        <f>HYPERLINK("https://www.boe.es/gazeta/dias/1834/09/01/pdfs/GMD-1834-199.pdf#page=4","Abrir facsímil")</f>
        <v>Abrir facsímil</v>
      </c>
      <c r="K6965" s="10" t="s">
        <v>24</v>
      </c>
    </row>
    <row r="6966" spans="1:11" ht="54" customHeight="1">
      <c r="A6966" s="9" t="s">
        <v>15674</v>
      </c>
      <c r="B6966" s="9" t="s">
        <v>15675</v>
      </c>
      <c r="C6966" s="9" t="s">
        <v>17</v>
      </c>
      <c r="D6966" s="9" t="s">
        <v>18</v>
      </c>
      <c r="E6966" s="10" t="s">
        <v>1340</v>
      </c>
      <c r="F6966" s="9" t="s">
        <v>1341</v>
      </c>
      <c r="G6966" s="10" t="s">
        <v>21</v>
      </c>
      <c r="H6966" s="9" t="s">
        <v>22</v>
      </c>
      <c r="I6966" s="9" t="s">
        <v>15677</v>
      </c>
      <c r="J6966" s="10" t="str">
        <f>HYPERLINK("https://www.boe.es/gazeta/dias/1834/10/05/pdfs/GMD-C-1834-233.pdf#page=3","Abrir facsímil")</f>
        <v>Abrir facsímil</v>
      </c>
      <c r="K6966" s="10" t="s">
        <v>24</v>
      </c>
    </row>
    <row r="6967" spans="1:11" ht="54" customHeight="1">
      <c r="A6967" s="9" t="s">
        <v>15674</v>
      </c>
      <c r="B6967" s="9" t="s">
        <v>15675</v>
      </c>
      <c r="C6967" s="9" t="s">
        <v>17</v>
      </c>
      <c r="D6967" s="9" t="s">
        <v>101</v>
      </c>
      <c r="E6967" s="10" t="s">
        <v>1839</v>
      </c>
      <c r="F6967" s="9" t="s">
        <v>1840</v>
      </c>
      <c r="G6967" s="10" t="s">
        <v>34</v>
      </c>
      <c r="H6967" s="9" t="s">
        <v>22</v>
      </c>
      <c r="I6967" s="9" t="s">
        <v>15678</v>
      </c>
      <c r="J6967" s="10" t="str">
        <f>HYPERLINK("https://www.boe.es/gazeta/dias/1834/08/12/pdfs/GMD-C-1834-177.pdf#page=1","Abrir facsímil")</f>
        <v>Abrir facsímil</v>
      </c>
      <c r="K6967" s="10" t="s">
        <v>24</v>
      </c>
    </row>
    <row r="6968" spans="1:11" ht="54" customHeight="1">
      <c r="A6968" s="9" t="s">
        <v>15679</v>
      </c>
      <c r="B6968" s="9" t="s">
        <v>15680</v>
      </c>
      <c r="C6968" s="9" t="s">
        <v>46</v>
      </c>
      <c r="D6968" s="9" t="s">
        <v>101</v>
      </c>
      <c r="E6968" s="10" t="s">
        <v>1692</v>
      </c>
      <c r="F6968" s="9" t="s">
        <v>3985</v>
      </c>
      <c r="G6968" s="10" t="s">
        <v>34</v>
      </c>
      <c r="H6968" s="9" t="s">
        <v>22</v>
      </c>
      <c r="I6968" s="9" t="s">
        <v>15681</v>
      </c>
      <c r="J6968" s="10" t="str">
        <f>HYPERLINK("https://www.boe.es/gazeta/dias/1834/07/29/pdfs/GMD-C-1834-162.pdf#page=1","Abrir facsímil")</f>
        <v>Abrir facsímil</v>
      </c>
      <c r="K6968" s="10" t="s">
        <v>24</v>
      </c>
    </row>
    <row r="6969" spans="1:11" ht="54" customHeight="1">
      <c r="A6969" s="9" t="s">
        <v>15682</v>
      </c>
      <c r="B6969" s="9" t="s">
        <v>15683</v>
      </c>
      <c r="C6969" s="9" t="s">
        <v>66</v>
      </c>
      <c r="D6969" s="9" t="s">
        <v>67</v>
      </c>
      <c r="E6969" s="10" t="s">
        <v>133</v>
      </c>
      <c r="F6969" s="9" t="s">
        <v>134</v>
      </c>
      <c r="G6969" s="10" t="s">
        <v>34</v>
      </c>
      <c r="H6969" s="9" t="s">
        <v>22</v>
      </c>
      <c r="I6969" s="9" t="s">
        <v>15684</v>
      </c>
      <c r="J6969" s="10" t="str">
        <f>HYPERLINK("https://www.boe.es/gazeta/dias/1834/06/18/pdfs/GMD-1834-121.pdf#page=1","Abrir facsímil")</f>
        <v>Abrir facsímil</v>
      </c>
      <c r="K6969" s="10" t="s">
        <v>24</v>
      </c>
    </row>
    <row r="6970" spans="1:11" ht="54" customHeight="1">
      <c r="A6970" s="9" t="s">
        <v>15685</v>
      </c>
      <c r="B6970" s="9" t="s">
        <v>15686</v>
      </c>
      <c r="C6970" s="9" t="s">
        <v>66</v>
      </c>
      <c r="D6970" s="9" t="s">
        <v>67</v>
      </c>
      <c r="E6970" s="10" t="s">
        <v>860</v>
      </c>
      <c r="F6970" s="9" t="s">
        <v>1755</v>
      </c>
      <c r="G6970" s="10" t="s">
        <v>86</v>
      </c>
      <c r="H6970" s="9" t="s">
        <v>22</v>
      </c>
      <c r="I6970" s="9" t="s">
        <v>15687</v>
      </c>
      <c r="J6970" s="10" t="str">
        <f>HYPERLINK("https://www.boe.es/gazeta/dias/1834/02/08/pdfs/GMD-C-1834-18.pdf#page=2","Abrir facsímil")</f>
        <v>Abrir facsímil</v>
      </c>
      <c r="K6970" s="10" t="s">
        <v>24</v>
      </c>
    </row>
    <row r="6971" spans="1:11" ht="54" customHeight="1">
      <c r="A6971" s="9" t="s">
        <v>15688</v>
      </c>
      <c r="B6971" s="9" t="s">
        <v>15689</v>
      </c>
      <c r="C6971" s="9" t="s">
        <v>66</v>
      </c>
      <c r="D6971" s="9" t="s">
        <v>67</v>
      </c>
      <c r="E6971" s="10" t="s">
        <v>919</v>
      </c>
      <c r="F6971" s="9" t="s">
        <v>920</v>
      </c>
      <c r="G6971" s="10" t="s">
        <v>75</v>
      </c>
      <c r="H6971" s="9" t="s">
        <v>22</v>
      </c>
      <c r="I6971" s="9" t="s">
        <v>15690</v>
      </c>
      <c r="J6971" s="10" t="str">
        <f>HYPERLINK("https://www.boe.es/gazeta/dias/1834/06/24/pdfs/GMD-1834-127.pdf#page=4","Abrir facsímil")</f>
        <v>Abrir facsímil</v>
      </c>
      <c r="K6971" s="10" t="s">
        <v>24</v>
      </c>
    </row>
    <row r="6972" spans="1:11" ht="54" customHeight="1">
      <c r="A6972" s="9" t="s">
        <v>15691</v>
      </c>
      <c r="B6972" s="9" t="s">
        <v>15692</v>
      </c>
      <c r="C6972" s="9" t="s">
        <v>66</v>
      </c>
      <c r="D6972" s="9" t="s">
        <v>67</v>
      </c>
      <c r="E6972" s="10" t="s">
        <v>919</v>
      </c>
      <c r="F6972" s="9" t="s">
        <v>920</v>
      </c>
      <c r="G6972" s="10" t="s">
        <v>75</v>
      </c>
      <c r="H6972" s="9" t="s">
        <v>35</v>
      </c>
      <c r="I6972" s="9" t="s">
        <v>15693</v>
      </c>
      <c r="J6972" s="10" t="str">
        <f>HYPERLINK("https://www.boe.es/gazeta/dias/1834/06/24/pdfs/GMD-1834-127.pdf#page=4","Abrir facsímil")</f>
        <v>Abrir facsímil</v>
      </c>
      <c r="K6972" s="10" t="s">
        <v>37</v>
      </c>
    </row>
    <row r="6973" spans="1:11" ht="54" customHeight="1">
      <c r="A6973" s="9" t="s">
        <v>15694</v>
      </c>
      <c r="B6973" s="9" t="s">
        <v>15694</v>
      </c>
      <c r="C6973" s="9" t="s">
        <v>17</v>
      </c>
      <c r="D6973" s="9" t="s">
        <v>18</v>
      </c>
      <c r="E6973" s="10" t="s">
        <v>2142</v>
      </c>
      <c r="F6973" s="9" t="s">
        <v>2143</v>
      </c>
      <c r="G6973" s="10" t="s">
        <v>86</v>
      </c>
      <c r="H6973" s="9" t="s">
        <v>22</v>
      </c>
      <c r="I6973" s="9" t="s">
        <v>15695</v>
      </c>
      <c r="J6973" s="10" t="str">
        <f>HYPERLINK("https://www.boe.es/gazeta/dias/1834/12/27/pdfs/GMD-1834-317.pdf#page=2","Abrir facsímil")</f>
        <v>Abrir facsímil</v>
      </c>
      <c r="K6973" s="10" t="s">
        <v>24</v>
      </c>
    </row>
    <row r="6974" spans="1:11" ht="54" customHeight="1">
      <c r="A6974" s="9" t="s">
        <v>15696</v>
      </c>
      <c r="B6974" s="9" t="s">
        <v>15697</v>
      </c>
      <c r="C6974" s="9" t="s">
        <v>66</v>
      </c>
      <c r="D6974" s="9" t="s">
        <v>67</v>
      </c>
      <c r="E6974" s="10" t="s">
        <v>1661</v>
      </c>
      <c r="F6974" s="9" t="s">
        <v>1662</v>
      </c>
      <c r="G6974" s="10" t="s">
        <v>34</v>
      </c>
      <c r="H6974" s="9" t="s">
        <v>35</v>
      </c>
      <c r="I6974" s="9" t="s">
        <v>15698</v>
      </c>
      <c r="J6974" s="10" t="str">
        <f>HYPERLINK("https://www.boe.es/gazeta/dias/1834/04/06/pdfs/GMD-1834-45.pdf#page=1","Abrir facsímil")</f>
        <v>Abrir facsímil</v>
      </c>
      <c r="K6974" s="10" t="s">
        <v>37</v>
      </c>
    </row>
    <row r="6975" spans="1:11" ht="54" customHeight="1">
      <c r="A6975" s="9" t="s">
        <v>15699</v>
      </c>
      <c r="B6975" s="9" t="s">
        <v>15700</v>
      </c>
      <c r="C6975" s="9" t="s">
        <v>66</v>
      </c>
      <c r="D6975" s="9" t="s">
        <v>67</v>
      </c>
      <c r="E6975" s="10" t="s">
        <v>1661</v>
      </c>
      <c r="F6975" s="9" t="s">
        <v>1662</v>
      </c>
      <c r="G6975" s="10" t="s">
        <v>34</v>
      </c>
      <c r="H6975" s="9" t="s">
        <v>22</v>
      </c>
      <c r="I6975" s="9" t="s">
        <v>15701</v>
      </c>
      <c r="J6975" s="10" t="str">
        <f>HYPERLINK("https://www.boe.es/gazeta/dias/1834/04/06/pdfs/GMD-1834-45.pdf#page=1","Abrir facsímil")</f>
        <v>Abrir facsímil</v>
      </c>
      <c r="K6975" s="10" t="s">
        <v>24</v>
      </c>
    </row>
    <row r="6976" spans="1:11" ht="54" customHeight="1">
      <c r="A6976" s="9" t="s">
        <v>15702</v>
      </c>
      <c r="B6976" s="9" t="s">
        <v>15703</v>
      </c>
      <c r="C6976" s="9" t="s">
        <v>17</v>
      </c>
      <c r="D6976" s="9" t="s">
        <v>101</v>
      </c>
      <c r="E6976" s="10" t="s">
        <v>758</v>
      </c>
      <c r="F6976" s="9" t="s">
        <v>759</v>
      </c>
      <c r="G6976" s="10" t="s">
        <v>21</v>
      </c>
      <c r="H6976" s="9" t="s">
        <v>35</v>
      </c>
      <c r="I6976" s="9" t="s">
        <v>15704</v>
      </c>
      <c r="J6976" s="10" t="str">
        <f>HYPERLINK("https://www.boe.es/gazeta/dias/1834/01/04/pdfs/GMD-1834-3.pdf#page=3","Abrir facsímil")</f>
        <v>Abrir facsímil</v>
      </c>
      <c r="K6976" s="10" t="s">
        <v>37</v>
      </c>
    </row>
    <row r="6977" spans="1:11" ht="54" customHeight="1">
      <c r="A6977" s="9" t="s">
        <v>15705</v>
      </c>
      <c r="B6977" s="9" t="s">
        <v>15706</v>
      </c>
      <c r="C6977" s="9" t="s">
        <v>17</v>
      </c>
      <c r="D6977" s="9" t="s">
        <v>101</v>
      </c>
      <c r="E6977" s="10" t="s">
        <v>758</v>
      </c>
      <c r="F6977" s="9" t="s">
        <v>759</v>
      </c>
      <c r="G6977" s="10" t="s">
        <v>21</v>
      </c>
      <c r="H6977" s="9" t="s">
        <v>22</v>
      </c>
      <c r="I6977" s="9" t="s">
        <v>15707</v>
      </c>
      <c r="J6977" s="10" t="str">
        <f>HYPERLINK("https://www.boe.es/gazeta/dias/1834/01/04/pdfs/GMD-1834-3.pdf#page=3","Abrir facsímil")</f>
        <v>Abrir facsímil</v>
      </c>
      <c r="K6977" s="10" t="s">
        <v>24</v>
      </c>
    </row>
    <row r="6978" spans="1:11" ht="54" customHeight="1">
      <c r="A6978" s="9" t="s">
        <v>15705</v>
      </c>
      <c r="B6978" s="9" t="s">
        <v>15706</v>
      </c>
      <c r="C6978" s="9" t="s">
        <v>122</v>
      </c>
      <c r="D6978" s="9" t="s">
        <v>101</v>
      </c>
      <c r="E6978" s="10" t="s">
        <v>247</v>
      </c>
      <c r="F6978" s="9" t="s">
        <v>2805</v>
      </c>
      <c r="G6978" s="10" t="s">
        <v>34</v>
      </c>
      <c r="H6978" s="9" t="s">
        <v>22</v>
      </c>
      <c r="I6978" s="9" t="s">
        <v>15708</v>
      </c>
      <c r="J6978" s="10" t="str">
        <f>HYPERLINK("https://www.boe.es/gazeta/dias/1834/08/23/pdfs/GMD-1834-189.pdf#page=1","Abrir facsímil")</f>
        <v>Abrir facsímil</v>
      </c>
      <c r="K6978" s="10" t="s">
        <v>24</v>
      </c>
    </row>
    <row r="6979" spans="1:11" ht="54" customHeight="1">
      <c r="A6979" s="9" t="s">
        <v>15709</v>
      </c>
      <c r="B6979" s="9" t="s">
        <v>15709</v>
      </c>
      <c r="C6979" s="9" t="s">
        <v>17</v>
      </c>
      <c r="D6979" s="9" t="s">
        <v>18</v>
      </c>
      <c r="E6979" s="10" t="s">
        <v>1406</v>
      </c>
      <c r="F6979" s="9" t="s">
        <v>1407</v>
      </c>
      <c r="G6979" s="10" t="s">
        <v>34</v>
      </c>
      <c r="H6979" s="9" t="s">
        <v>22</v>
      </c>
      <c r="I6979" s="9" t="s">
        <v>15710</v>
      </c>
      <c r="J6979" s="10" t="str">
        <f>HYPERLINK("https://www.boe.es/gazeta/dias/1834/11/03/pdfs/GMD-1834-262.pdf#page=1","Abrir facsímil")</f>
        <v>Abrir facsímil</v>
      </c>
      <c r="K6979" s="10" t="s">
        <v>24</v>
      </c>
    </row>
    <row r="6980" spans="1:11" ht="54" customHeight="1">
      <c r="A6980" s="9" t="s">
        <v>15709</v>
      </c>
      <c r="B6980" s="9" t="s">
        <v>15709</v>
      </c>
      <c r="C6980" s="9" t="s">
        <v>17</v>
      </c>
      <c r="D6980" s="9" t="s">
        <v>18</v>
      </c>
      <c r="E6980" s="10" t="s">
        <v>1410</v>
      </c>
      <c r="F6980" s="9" t="s">
        <v>1411</v>
      </c>
      <c r="G6980" s="10" t="s">
        <v>86</v>
      </c>
      <c r="H6980" s="9" t="s">
        <v>22</v>
      </c>
      <c r="I6980" s="9" t="s">
        <v>15711</v>
      </c>
      <c r="J6980" s="10" t="str">
        <f>HYPERLINK("https://www.boe.es/gazeta/dias/1834/09/09/pdfs/GMD-1834-207.pdf#page=2","Abrir facsímil")</f>
        <v>Abrir facsímil</v>
      </c>
      <c r="K6980" s="10" t="s">
        <v>24</v>
      </c>
    </row>
    <row r="6981" spans="1:11" ht="54" customHeight="1">
      <c r="A6981" s="9" t="s">
        <v>15712</v>
      </c>
      <c r="B6981" s="9" t="s">
        <v>15713</v>
      </c>
      <c r="C6981" s="9" t="s">
        <v>122</v>
      </c>
      <c r="D6981" s="9" t="s">
        <v>18</v>
      </c>
      <c r="E6981" s="10" t="s">
        <v>1505</v>
      </c>
      <c r="F6981" s="9" t="s">
        <v>1506</v>
      </c>
      <c r="G6981" s="10" t="s">
        <v>75</v>
      </c>
      <c r="H6981" s="9" t="s">
        <v>35</v>
      </c>
      <c r="I6981" s="9" t="s">
        <v>15714</v>
      </c>
      <c r="J6981" s="10" t="str">
        <f>HYPERLINK("https://www.boe.es/gazeta/dias/1834/05/08/pdfs/GMD-1834-77.pdf#page=4","Abrir facsímil")</f>
        <v>Abrir facsímil</v>
      </c>
      <c r="K6981" s="10" t="s">
        <v>37</v>
      </c>
    </row>
    <row r="6982" spans="1:11" ht="54" customHeight="1">
      <c r="A6982" s="9" t="s">
        <v>15715</v>
      </c>
      <c r="B6982" s="9" t="s">
        <v>15716</v>
      </c>
      <c r="C6982" s="9" t="s">
        <v>17</v>
      </c>
      <c r="D6982" s="9" t="s">
        <v>40</v>
      </c>
      <c r="E6982" s="10" t="s">
        <v>364</v>
      </c>
      <c r="F6982" s="9" t="s">
        <v>2102</v>
      </c>
      <c r="G6982" s="10" t="s">
        <v>75</v>
      </c>
      <c r="H6982" s="9" t="s">
        <v>22</v>
      </c>
      <c r="I6982" s="9" t="s">
        <v>15717</v>
      </c>
      <c r="J6982" s="10" t="str">
        <f>HYPERLINK("https://www.boe.es/gazeta/dias/1834/09/06/pdfs/GMD-1834-204.pdf#page=4","Abrir facsímil")</f>
        <v>Abrir facsímil</v>
      </c>
      <c r="K6982" s="10" t="s">
        <v>24</v>
      </c>
    </row>
    <row r="6983" spans="1:11" ht="54" customHeight="1">
      <c r="A6983" s="9" t="s">
        <v>15718</v>
      </c>
      <c r="B6983" s="9" t="s">
        <v>15719</v>
      </c>
      <c r="C6983" s="9" t="s">
        <v>122</v>
      </c>
      <c r="D6983" s="9" t="s">
        <v>18</v>
      </c>
      <c r="E6983" s="10" t="s">
        <v>247</v>
      </c>
      <c r="F6983" s="9" t="s">
        <v>2805</v>
      </c>
      <c r="G6983" s="10" t="s">
        <v>75</v>
      </c>
      <c r="H6983" s="9" t="s">
        <v>22</v>
      </c>
      <c r="I6983" s="9" t="s">
        <v>15720</v>
      </c>
      <c r="J6983" s="10" t="str">
        <f>HYPERLINK("https://www.boe.es/gazeta/dias/1834/08/23/pdfs/GMD-1834-189.pdf#page=4","Abrir facsímil")</f>
        <v>Abrir facsímil</v>
      </c>
      <c r="K6983" s="10" t="s">
        <v>24</v>
      </c>
    </row>
    <row r="6984" spans="1:11" ht="54" customHeight="1">
      <c r="A6984" s="9" t="s">
        <v>15721</v>
      </c>
      <c r="B6984" s="9" t="s">
        <v>15722</v>
      </c>
      <c r="C6984" s="9" t="s">
        <v>122</v>
      </c>
      <c r="D6984" s="9" t="s">
        <v>18</v>
      </c>
      <c r="E6984" s="10" t="s">
        <v>1505</v>
      </c>
      <c r="F6984" s="9" t="s">
        <v>1506</v>
      </c>
      <c r="G6984" s="10" t="s">
        <v>75</v>
      </c>
      <c r="H6984" s="9" t="s">
        <v>22</v>
      </c>
      <c r="I6984" s="9" t="s">
        <v>15723</v>
      </c>
      <c r="J6984" s="10" t="str">
        <f>HYPERLINK("https://www.boe.es/gazeta/dias/1834/05/08/pdfs/GMD-1834-77.pdf#page=4","Abrir facsímil")</f>
        <v>Abrir facsímil</v>
      </c>
      <c r="K6984" s="10" t="s">
        <v>24</v>
      </c>
    </row>
    <row r="6985" spans="1:11" ht="54" customHeight="1">
      <c r="A6985" s="9" t="s">
        <v>15724</v>
      </c>
      <c r="B6985" s="9" t="s">
        <v>15725</v>
      </c>
      <c r="C6985" s="9" t="s">
        <v>17</v>
      </c>
      <c r="D6985" s="9" t="s">
        <v>40</v>
      </c>
      <c r="E6985" s="10" t="s">
        <v>364</v>
      </c>
      <c r="F6985" s="9" t="s">
        <v>2102</v>
      </c>
      <c r="G6985" s="10" t="s">
        <v>75</v>
      </c>
      <c r="H6985" s="9" t="s">
        <v>35</v>
      </c>
      <c r="I6985" s="9" t="s">
        <v>15726</v>
      </c>
      <c r="J6985" s="10" t="str">
        <f>HYPERLINK("https://www.boe.es/gazeta/dias/1834/09/06/pdfs/GMD-1834-204.pdf#page=4","Abrir facsímil")</f>
        <v>Abrir facsímil</v>
      </c>
      <c r="K6985" s="10" t="s">
        <v>37</v>
      </c>
    </row>
    <row r="6986" spans="1:11" ht="54" customHeight="1">
      <c r="A6986" s="9" t="s">
        <v>15727</v>
      </c>
      <c r="B6986" s="9" t="s">
        <v>15727</v>
      </c>
      <c r="C6986" s="9" t="s">
        <v>90</v>
      </c>
      <c r="D6986" s="9" t="s">
        <v>101</v>
      </c>
      <c r="E6986" s="10" t="s">
        <v>375</v>
      </c>
      <c r="F6986" s="9" t="s">
        <v>376</v>
      </c>
      <c r="G6986" s="10" t="s">
        <v>34</v>
      </c>
      <c r="H6986" s="9" t="s">
        <v>22</v>
      </c>
      <c r="I6986" s="9" t="s">
        <v>15728</v>
      </c>
      <c r="J6986" s="10" t="str">
        <f>HYPERLINK("https://www.boe.es/gazeta/dias/1834/08/21/pdfs/GMD-1834-187.pdf#page=1","Abrir facsímil")</f>
        <v>Abrir facsímil</v>
      </c>
      <c r="K6986" s="10" t="s">
        <v>24</v>
      </c>
    </row>
    <row r="6987" spans="1:11" ht="54" customHeight="1">
      <c r="A6987" s="9" t="s">
        <v>15729</v>
      </c>
      <c r="B6987" s="9" t="s">
        <v>15729</v>
      </c>
      <c r="C6987" s="9" t="s">
        <v>46</v>
      </c>
      <c r="D6987" s="9" t="s">
        <v>101</v>
      </c>
      <c r="E6987" s="10" t="s">
        <v>251</v>
      </c>
      <c r="F6987" s="9" t="s">
        <v>252</v>
      </c>
      <c r="G6987" s="10" t="s">
        <v>86</v>
      </c>
      <c r="H6987" s="9" t="s">
        <v>22</v>
      </c>
      <c r="I6987" s="9" t="s">
        <v>15730</v>
      </c>
      <c r="J6987" s="10" t="str">
        <f>HYPERLINK("https://www.boe.es/gazeta/dias/1834/09/26/pdfs/GMD-C-1834-224.pdf#page=2","Abrir facsímil")</f>
        <v>Abrir facsímil</v>
      </c>
      <c r="K6987" s="10" t="s">
        <v>24</v>
      </c>
    </row>
    <row r="6988" spans="1:11" ht="54" customHeight="1">
      <c r="A6988" s="9" t="s">
        <v>15731</v>
      </c>
      <c r="B6988" s="9" t="s">
        <v>15731</v>
      </c>
      <c r="C6988" s="9" t="s">
        <v>46</v>
      </c>
      <c r="D6988" s="9" t="s">
        <v>101</v>
      </c>
      <c r="E6988" s="10" t="s">
        <v>707</v>
      </c>
      <c r="F6988" s="9" t="s">
        <v>708</v>
      </c>
      <c r="G6988" s="10" t="s">
        <v>1343</v>
      </c>
      <c r="H6988" s="9" t="s">
        <v>22</v>
      </c>
      <c r="I6988" s="9" t="s">
        <v>15732</v>
      </c>
      <c r="J6988" s="10" t="str">
        <f>HYPERLINK("https://www.boe.es/gazeta/dias/1834/11/25/pdfs/GMD-C-1834-284.pdf#page=9","Abrir facsímil")</f>
        <v>Abrir facsímil</v>
      </c>
      <c r="K6988" s="10" t="s">
        <v>24</v>
      </c>
    </row>
    <row r="6989" spans="1:11" ht="54" customHeight="1">
      <c r="A6989" s="9" t="s">
        <v>15733</v>
      </c>
      <c r="B6989" s="9" t="s">
        <v>15734</v>
      </c>
      <c r="C6989" s="9" t="s">
        <v>90</v>
      </c>
      <c r="D6989" s="9" t="s">
        <v>18</v>
      </c>
      <c r="E6989" s="10" t="s">
        <v>73</v>
      </c>
      <c r="F6989" s="9" t="s">
        <v>74</v>
      </c>
      <c r="G6989" s="10" t="s">
        <v>86</v>
      </c>
      <c r="H6989" s="9" t="s">
        <v>35</v>
      </c>
      <c r="I6989" s="9" t="s">
        <v>15735</v>
      </c>
      <c r="J6989" s="10" t="str">
        <f>HYPERLINK("https://www.boe.es/gazeta/dias/1834/11/04/pdfs/GMD-1834-263.pdf#page=2","Abrir facsímil")</f>
        <v>Abrir facsímil</v>
      </c>
      <c r="K6989" s="10" t="s">
        <v>37</v>
      </c>
    </row>
    <row r="6990" spans="1:11" ht="54" customHeight="1">
      <c r="A6990" s="9" t="s">
        <v>15736</v>
      </c>
      <c r="B6990" s="9" t="s">
        <v>15737</v>
      </c>
      <c r="C6990" s="9" t="s">
        <v>90</v>
      </c>
      <c r="D6990" s="9" t="s">
        <v>18</v>
      </c>
      <c r="E6990" s="10" t="s">
        <v>73</v>
      </c>
      <c r="F6990" s="9" t="s">
        <v>74</v>
      </c>
      <c r="G6990" s="10" t="s">
        <v>86</v>
      </c>
      <c r="H6990" s="9" t="s">
        <v>22</v>
      </c>
      <c r="I6990" s="9" t="s">
        <v>15738</v>
      </c>
      <c r="J6990" s="10" t="str">
        <f>HYPERLINK("https://www.boe.es/gazeta/dias/1834/11/04/pdfs/GMD-1834-263.pdf#page=2","Abrir facsímil")</f>
        <v>Abrir facsímil</v>
      </c>
      <c r="K6990" s="10" t="s">
        <v>24</v>
      </c>
    </row>
    <row r="6991" spans="1:11" ht="54" customHeight="1">
      <c r="A6991" s="9" t="s">
        <v>15739</v>
      </c>
      <c r="B6991" s="9" t="s">
        <v>15739</v>
      </c>
      <c r="C6991" s="9" t="s">
        <v>17</v>
      </c>
      <c r="D6991" s="9" t="s">
        <v>18</v>
      </c>
      <c r="E6991" s="10" t="s">
        <v>187</v>
      </c>
      <c r="F6991" s="9" t="s">
        <v>188</v>
      </c>
      <c r="G6991" s="10" t="s">
        <v>75</v>
      </c>
      <c r="H6991" s="9" t="s">
        <v>22</v>
      </c>
      <c r="I6991" s="9" t="s">
        <v>15740</v>
      </c>
      <c r="J6991" s="10" t="str">
        <f>HYPERLINK("https://www.boe.es/gazeta/dias/1834/09/30/pdfs/GMD-1834-228.pdf#page=4","Abrir facsímil")</f>
        <v>Abrir facsímil</v>
      </c>
      <c r="K6991" s="10" t="s">
        <v>24</v>
      </c>
    </row>
    <row r="6992" spans="1:11" ht="54" customHeight="1">
      <c r="A6992" s="9" t="s">
        <v>15741</v>
      </c>
      <c r="B6992" s="9" t="s">
        <v>15742</v>
      </c>
      <c r="C6992" s="9" t="s">
        <v>17</v>
      </c>
      <c r="D6992" s="9" t="s">
        <v>18</v>
      </c>
      <c r="E6992" s="10" t="s">
        <v>309</v>
      </c>
      <c r="F6992" s="9" t="s">
        <v>310</v>
      </c>
      <c r="G6992" s="10" t="s">
        <v>34</v>
      </c>
      <c r="H6992" s="9" t="s">
        <v>22</v>
      </c>
      <c r="I6992" s="9" t="s">
        <v>15743</v>
      </c>
      <c r="J6992" s="10" t="str">
        <f>HYPERLINK("https://www.boe.es/gazeta/dias/1834/05/30/pdfs/GMD-1834-99.pdf#page=1","Abrir facsímil")</f>
        <v>Abrir facsímil</v>
      </c>
      <c r="K6992" s="10" t="s">
        <v>24</v>
      </c>
    </row>
    <row r="6993" spans="1:11" ht="54" customHeight="1">
      <c r="A6993" s="9" t="s">
        <v>15744</v>
      </c>
      <c r="B6993" s="9" t="s">
        <v>15745</v>
      </c>
      <c r="C6993" s="9" t="s">
        <v>46</v>
      </c>
      <c r="D6993" s="9" t="s">
        <v>55</v>
      </c>
      <c r="E6993" s="10" t="s">
        <v>394</v>
      </c>
      <c r="F6993" s="9" t="s">
        <v>395</v>
      </c>
      <c r="G6993" s="10" t="s">
        <v>21</v>
      </c>
      <c r="H6993" s="9" t="s">
        <v>22</v>
      </c>
      <c r="I6993" s="9" t="s">
        <v>15746</v>
      </c>
      <c r="J6993" s="10" t="str">
        <f>HYPERLINK("https://www.boe.es/gazeta/dias/1834/12/23/pdfs/GMD-1834-313.pdf#page=3","Abrir facsímil")</f>
        <v>Abrir facsímil</v>
      </c>
      <c r="K6993" s="10" t="s">
        <v>24</v>
      </c>
    </row>
    <row r="6994" spans="1:11" ht="54" customHeight="1">
      <c r="A6994" s="9" t="s">
        <v>15747</v>
      </c>
      <c r="B6994" s="9" t="s">
        <v>15748</v>
      </c>
      <c r="C6994" s="9" t="s">
        <v>46</v>
      </c>
      <c r="D6994" s="9" t="s">
        <v>55</v>
      </c>
      <c r="E6994" s="10" t="s">
        <v>394</v>
      </c>
      <c r="F6994" s="9" t="s">
        <v>395</v>
      </c>
      <c r="G6994" s="10" t="s">
        <v>21</v>
      </c>
      <c r="H6994" s="9" t="s">
        <v>35</v>
      </c>
      <c r="I6994" s="9" t="s">
        <v>15749</v>
      </c>
      <c r="J6994" s="10" t="str">
        <f>HYPERLINK("https://www.boe.es/gazeta/dias/1834/12/23/pdfs/GMD-1834-313.pdf#page=3","Abrir facsímil")</f>
        <v>Abrir facsímil</v>
      </c>
      <c r="K6994" s="10" t="s">
        <v>37</v>
      </c>
    </row>
    <row r="6995" spans="1:11" ht="54" customHeight="1">
      <c r="A6995" s="9" t="s">
        <v>15750</v>
      </c>
      <c r="B6995" s="9" t="s">
        <v>15750</v>
      </c>
      <c r="C6995" s="9" t="s">
        <v>66</v>
      </c>
      <c r="D6995" s="9" t="s">
        <v>67</v>
      </c>
      <c r="E6995" s="10" t="s">
        <v>2596</v>
      </c>
      <c r="F6995" s="9" t="s">
        <v>2597</v>
      </c>
      <c r="G6995" s="10" t="s">
        <v>21</v>
      </c>
      <c r="H6995" s="9" t="s">
        <v>22</v>
      </c>
      <c r="I6995" s="9" t="s">
        <v>15751</v>
      </c>
      <c r="J6995" s="10" t="str">
        <f>HYPERLINK("https://www.boe.es/gazeta/dias/1834/10/22/pdfs/GMD-1834-250.pdf#page=3","Abrir facsímil")</f>
        <v>Abrir facsímil</v>
      </c>
      <c r="K6995" s="10" t="s">
        <v>24</v>
      </c>
    </row>
    <row r="6996" spans="1:11" ht="54" customHeight="1">
      <c r="A6996" s="9" t="s">
        <v>15752</v>
      </c>
      <c r="B6996" s="9" t="s">
        <v>15752</v>
      </c>
      <c r="C6996" s="9" t="s">
        <v>17</v>
      </c>
      <c r="D6996" s="9" t="s">
        <v>18</v>
      </c>
      <c r="E6996" s="10" t="s">
        <v>976</v>
      </c>
      <c r="F6996" s="9" t="s">
        <v>977</v>
      </c>
      <c r="G6996" s="10" t="s">
        <v>86</v>
      </c>
      <c r="H6996" s="9" t="s">
        <v>22</v>
      </c>
      <c r="I6996" s="9" t="s">
        <v>15753</v>
      </c>
      <c r="J6996" s="10" t="str">
        <f>HYPERLINK("https://www.boe.es/gazeta/dias/1834/04/02/pdfs/GMD-1834-41.pdf#page=2","Abrir facsímil")</f>
        <v>Abrir facsímil</v>
      </c>
      <c r="K6996" s="10" t="s">
        <v>24</v>
      </c>
    </row>
    <row r="6997" spans="1:11" ht="54" customHeight="1">
      <c r="A6997" s="9" t="s">
        <v>15752</v>
      </c>
      <c r="B6997" s="9" t="s">
        <v>15752</v>
      </c>
      <c r="C6997" s="9" t="s">
        <v>17</v>
      </c>
      <c r="D6997" s="9" t="s">
        <v>18</v>
      </c>
      <c r="E6997" s="10" t="s">
        <v>2459</v>
      </c>
      <c r="F6997" s="9" t="s">
        <v>2460</v>
      </c>
      <c r="G6997" s="10" t="s">
        <v>21</v>
      </c>
      <c r="H6997" s="9" t="s">
        <v>22</v>
      </c>
      <c r="I6997" s="9" t="s">
        <v>15754</v>
      </c>
      <c r="J6997" s="10" t="str">
        <f>HYPERLINK("https://www.boe.es/gazeta/dias/1834/04/04/pdfs/GMD-1834-43.pdf#page=3","Abrir facsímil")</f>
        <v>Abrir facsímil</v>
      </c>
      <c r="K6997" s="10" t="s">
        <v>24</v>
      </c>
    </row>
    <row r="6998" spans="1:11" ht="54" customHeight="1">
      <c r="A6998" s="9" t="s">
        <v>15752</v>
      </c>
      <c r="B6998" s="9" t="s">
        <v>15752</v>
      </c>
      <c r="C6998" s="9" t="s">
        <v>17</v>
      </c>
      <c r="D6998" s="9" t="s">
        <v>55</v>
      </c>
      <c r="E6998" s="10" t="s">
        <v>3699</v>
      </c>
      <c r="F6998" s="9" t="s">
        <v>3700</v>
      </c>
      <c r="G6998" s="10" t="s">
        <v>86</v>
      </c>
      <c r="H6998" s="9" t="s">
        <v>22</v>
      </c>
      <c r="I6998" s="9" t="s">
        <v>15755</v>
      </c>
      <c r="J6998" s="10" t="str">
        <f>HYPERLINK("https://www.boe.es/gazeta/dias/1834/02/06/pdfs/GMD-1834-17.pdf#page=2","Abrir facsímil")</f>
        <v>Abrir facsímil</v>
      </c>
      <c r="K6998" s="10" t="s">
        <v>24</v>
      </c>
    </row>
    <row r="6999" spans="1:11" ht="54" customHeight="1">
      <c r="A6999" s="9" t="s">
        <v>15752</v>
      </c>
      <c r="B6999" s="9" t="s">
        <v>15752</v>
      </c>
      <c r="C6999" s="9" t="s">
        <v>17</v>
      </c>
      <c r="D6999" s="9" t="s">
        <v>55</v>
      </c>
      <c r="E6999" s="10" t="s">
        <v>518</v>
      </c>
      <c r="F6999" s="9" t="s">
        <v>519</v>
      </c>
      <c r="G6999" s="10" t="s">
        <v>86</v>
      </c>
      <c r="H6999" s="9" t="s">
        <v>22</v>
      </c>
      <c r="I6999" s="9" t="s">
        <v>15756</v>
      </c>
      <c r="J6999" s="10" t="str">
        <f>HYPERLINK("https://www.boe.es/gazeta/dias/1834/03/15/pdfs/GMD-1834-33.pdf#page=2","Abrir facsímil")</f>
        <v>Abrir facsímil</v>
      </c>
      <c r="K6999" s="10" t="s">
        <v>24</v>
      </c>
    </row>
    <row r="7000" spans="1:11" ht="54" customHeight="1">
      <c r="A7000" s="9" t="s">
        <v>15752</v>
      </c>
      <c r="B7000" s="9" t="s">
        <v>15752</v>
      </c>
      <c r="C7000" s="9" t="s">
        <v>17</v>
      </c>
      <c r="D7000" s="9" t="s">
        <v>18</v>
      </c>
      <c r="E7000" s="10" t="s">
        <v>3952</v>
      </c>
      <c r="F7000" s="9" t="s">
        <v>3953</v>
      </c>
      <c r="G7000" s="10" t="s">
        <v>21</v>
      </c>
      <c r="H7000" s="9" t="s">
        <v>22</v>
      </c>
      <c r="I7000" s="9" t="s">
        <v>15757</v>
      </c>
      <c r="J7000" s="10" t="str">
        <f>HYPERLINK("https://www.boe.es/gazeta/dias/1834/02/22/pdfs/GMD-1834-24.pdf#page=3","Abrir facsímil")</f>
        <v>Abrir facsímil</v>
      </c>
      <c r="K7000" s="10" t="s">
        <v>24</v>
      </c>
    </row>
    <row r="7001" spans="1:11" ht="54" customHeight="1">
      <c r="A7001" s="9" t="s">
        <v>15752</v>
      </c>
      <c r="B7001" s="9" t="s">
        <v>15752</v>
      </c>
      <c r="C7001" s="9" t="s">
        <v>17</v>
      </c>
      <c r="D7001" s="9" t="s">
        <v>55</v>
      </c>
      <c r="E7001" s="10" t="s">
        <v>2302</v>
      </c>
      <c r="F7001" s="9" t="s">
        <v>2303</v>
      </c>
      <c r="G7001" s="10" t="s">
        <v>86</v>
      </c>
      <c r="H7001" s="9" t="s">
        <v>22</v>
      </c>
      <c r="I7001" s="9" t="s">
        <v>15758</v>
      </c>
      <c r="J7001" s="10" t="str">
        <f>HYPERLINK("https://www.boe.es/gazeta/dias/1834/01/25/pdfs/GMD-1834-12.pdf#page=2","Abrir facsímil")</f>
        <v>Abrir facsímil</v>
      </c>
      <c r="K7001" s="10" t="s">
        <v>24</v>
      </c>
    </row>
    <row r="7002" spans="1:11" ht="54" customHeight="1">
      <c r="A7002" s="9" t="s">
        <v>15759</v>
      </c>
      <c r="B7002" s="9" t="s">
        <v>15759</v>
      </c>
      <c r="C7002" s="9" t="s">
        <v>17</v>
      </c>
      <c r="D7002" s="9" t="s">
        <v>18</v>
      </c>
      <c r="E7002" s="10" t="s">
        <v>556</v>
      </c>
      <c r="F7002" s="9" t="s">
        <v>557</v>
      </c>
      <c r="G7002" s="10" t="s">
        <v>21</v>
      </c>
      <c r="H7002" s="9" t="s">
        <v>22</v>
      </c>
      <c r="I7002" s="9" t="s">
        <v>15760</v>
      </c>
      <c r="J7002" s="10" t="str">
        <f>HYPERLINK("https://www.boe.es/gazeta/dias/1834/09/13/pdfs/GMD-1834-211.pdf#page=3","Abrir facsímil")</f>
        <v>Abrir facsímil</v>
      </c>
      <c r="K7002" s="10" t="s">
        <v>24</v>
      </c>
    </row>
    <row r="7003" spans="1:11" ht="54" customHeight="1">
      <c r="A7003" s="9" t="s">
        <v>15761</v>
      </c>
      <c r="B7003" s="9" t="s">
        <v>15761</v>
      </c>
      <c r="C7003" s="9" t="s">
        <v>17</v>
      </c>
      <c r="D7003" s="9" t="s">
        <v>18</v>
      </c>
      <c r="E7003" s="10" t="s">
        <v>451</v>
      </c>
      <c r="F7003" s="9" t="s">
        <v>452</v>
      </c>
      <c r="G7003" s="10" t="s">
        <v>34</v>
      </c>
      <c r="H7003" s="9" t="s">
        <v>22</v>
      </c>
      <c r="I7003" s="9" t="s">
        <v>15762</v>
      </c>
      <c r="J7003" s="10" t="str">
        <f>HYPERLINK("https://www.boe.es/gazeta/dias/1834/10/15/pdfs/GMD-C-1834-243.pdf#page=1","Abrir facsímil")</f>
        <v>Abrir facsímil</v>
      </c>
      <c r="K7003" s="10" t="s">
        <v>24</v>
      </c>
    </row>
    <row r="7004" spans="1:11" ht="54" customHeight="1">
      <c r="A7004" s="9" t="s">
        <v>15761</v>
      </c>
      <c r="B7004" s="9" t="s">
        <v>15761</v>
      </c>
      <c r="C7004" s="9" t="s">
        <v>90</v>
      </c>
      <c r="D7004" s="9" t="s">
        <v>18</v>
      </c>
      <c r="E7004" s="10" t="s">
        <v>265</v>
      </c>
      <c r="F7004" s="9" t="s">
        <v>266</v>
      </c>
      <c r="G7004" s="10" t="s">
        <v>86</v>
      </c>
      <c r="H7004" s="9" t="s">
        <v>22</v>
      </c>
      <c r="I7004" s="9" t="s">
        <v>15763</v>
      </c>
      <c r="J7004" s="10" t="str">
        <f>HYPERLINK("https://www.boe.es/gazeta/dias/1834/11/19/pdfs/GMD-C-1834-278.pdf#page=2","Abrir facsímil")</f>
        <v>Abrir facsímil</v>
      </c>
      <c r="K7004" s="10" t="s">
        <v>24</v>
      </c>
    </row>
    <row r="7005" spans="1:11" ht="54" customHeight="1">
      <c r="A7005" s="9" t="s">
        <v>15764</v>
      </c>
      <c r="B7005" s="9" t="s">
        <v>15765</v>
      </c>
      <c r="C7005" s="9" t="s">
        <v>122</v>
      </c>
      <c r="D7005" s="9" t="s">
        <v>18</v>
      </c>
      <c r="E7005" s="10" t="s">
        <v>642</v>
      </c>
      <c r="F7005" s="9" t="s">
        <v>643</v>
      </c>
      <c r="G7005" s="10" t="s">
        <v>34</v>
      </c>
      <c r="H7005" s="9" t="s">
        <v>22</v>
      </c>
      <c r="I7005" s="9" t="s">
        <v>15766</v>
      </c>
      <c r="J7005" s="10" t="str">
        <f>HYPERLINK("https://www.boe.es/gazeta/dias/1834/11/12/pdfs/GMD-C-1834-271.pdf#page=1","Abrir facsímil")</f>
        <v>Abrir facsímil</v>
      </c>
      <c r="K7005" s="10" t="s">
        <v>24</v>
      </c>
    </row>
    <row r="7006" spans="1:11" ht="54" customHeight="1">
      <c r="A7006" s="9" t="s">
        <v>15767</v>
      </c>
      <c r="B7006" s="9" t="s">
        <v>15767</v>
      </c>
      <c r="C7006" s="9" t="s">
        <v>17</v>
      </c>
      <c r="D7006" s="9" t="s">
        <v>18</v>
      </c>
      <c r="E7006" s="10" t="s">
        <v>1674</v>
      </c>
      <c r="F7006" s="9" t="s">
        <v>1675</v>
      </c>
      <c r="G7006" s="10" t="s">
        <v>75</v>
      </c>
      <c r="H7006" s="9" t="s">
        <v>22</v>
      </c>
      <c r="I7006" s="9" t="s">
        <v>15768</v>
      </c>
      <c r="J7006" s="10" t="str">
        <f>HYPERLINK("https://www.boe.es/gazeta/dias/1834/07/25/pdfs/GMD-1834-158.pdf#page=4","Abrir facsímil")</f>
        <v>Abrir facsímil</v>
      </c>
      <c r="K7006" s="10" t="s">
        <v>24</v>
      </c>
    </row>
    <row r="7007" spans="1:11" ht="54" customHeight="1">
      <c r="A7007" s="9" t="s">
        <v>15769</v>
      </c>
      <c r="B7007" s="9" t="s">
        <v>15769</v>
      </c>
      <c r="C7007" s="9" t="s">
        <v>17</v>
      </c>
      <c r="D7007" s="9" t="s">
        <v>18</v>
      </c>
      <c r="E7007" s="10" t="s">
        <v>408</v>
      </c>
      <c r="F7007" s="9" t="s">
        <v>409</v>
      </c>
      <c r="G7007" s="10" t="s">
        <v>21</v>
      </c>
      <c r="H7007" s="9" t="s">
        <v>22</v>
      </c>
      <c r="I7007" s="9" t="s">
        <v>15770</v>
      </c>
      <c r="J7007" s="10" t="str">
        <f>HYPERLINK("https://www.boe.es/gazeta/dias/1834/04/28/pdfs/GMD-1834-67.pdf#page=3","Abrir facsímil")</f>
        <v>Abrir facsímil</v>
      </c>
      <c r="K7007" s="10" t="s">
        <v>24</v>
      </c>
    </row>
    <row r="7008" spans="1:11" ht="54" customHeight="1">
      <c r="A7008" s="9" t="s">
        <v>15771</v>
      </c>
      <c r="B7008" s="9" t="s">
        <v>15772</v>
      </c>
      <c r="C7008" s="9" t="s">
        <v>46</v>
      </c>
      <c r="D7008" s="9" t="s">
        <v>18</v>
      </c>
      <c r="E7008" s="10" t="s">
        <v>258</v>
      </c>
      <c r="F7008" s="9" t="s">
        <v>259</v>
      </c>
      <c r="G7008" s="10" t="s">
        <v>176</v>
      </c>
      <c r="H7008" s="9" t="s">
        <v>35</v>
      </c>
      <c r="I7008" s="9" t="s">
        <v>15773</v>
      </c>
      <c r="J7008" s="10" t="str">
        <f>HYPERLINK("https://www.boe.es/gazeta/dias/1834/10/09/pdfs/GMD-C-1834-237.pdf#page=6","Abrir facsímil")</f>
        <v>Abrir facsímil</v>
      </c>
      <c r="K7008" s="10" t="s">
        <v>37</v>
      </c>
    </row>
    <row r="7009" spans="1:11" ht="54" customHeight="1">
      <c r="A7009" s="9" t="s">
        <v>15774</v>
      </c>
      <c r="B7009" s="9" t="s">
        <v>15775</v>
      </c>
      <c r="C7009" s="9" t="s">
        <v>17</v>
      </c>
      <c r="D7009" s="9" t="s">
        <v>55</v>
      </c>
      <c r="E7009" s="10" t="s">
        <v>330</v>
      </c>
      <c r="F7009" s="9" t="s">
        <v>331</v>
      </c>
      <c r="G7009" s="10" t="s">
        <v>75</v>
      </c>
      <c r="H7009" s="9" t="s">
        <v>35</v>
      </c>
      <c r="I7009" s="9" t="s">
        <v>15776</v>
      </c>
      <c r="J7009" s="10" t="str">
        <f>HYPERLINK("https://www.boe.es/gazeta/dias/1834/12/03/pdfs/GMD-1834-292.pdf#page=4","Abrir facsímil")</f>
        <v>Abrir facsímil</v>
      </c>
      <c r="K7009" s="10" t="s">
        <v>37</v>
      </c>
    </row>
    <row r="7010" spans="1:11" ht="54" customHeight="1">
      <c r="A7010" s="9" t="s">
        <v>15777</v>
      </c>
      <c r="B7010" s="9" t="s">
        <v>15778</v>
      </c>
      <c r="C7010" s="9" t="s">
        <v>66</v>
      </c>
      <c r="D7010" s="9" t="s">
        <v>67</v>
      </c>
      <c r="E7010" s="10" t="s">
        <v>838</v>
      </c>
      <c r="F7010" s="9" t="s">
        <v>839</v>
      </c>
      <c r="G7010" s="10" t="s">
        <v>21</v>
      </c>
      <c r="H7010" s="9" t="s">
        <v>35</v>
      </c>
      <c r="I7010" s="9" t="s">
        <v>15779</v>
      </c>
      <c r="J7010" s="10" t="str">
        <f>HYPERLINK("https://www.boe.es/gazeta/dias/1834/07/18/pdfs/GMD-1834-151.pdf#page=3","Abrir facsímil")</f>
        <v>Abrir facsímil</v>
      </c>
      <c r="K7010" s="10" t="s">
        <v>37</v>
      </c>
    </row>
    <row r="7011" spans="1:11" ht="54" customHeight="1">
      <c r="A7011" s="9" t="s">
        <v>15780</v>
      </c>
      <c r="B7011" s="9" t="s">
        <v>15781</v>
      </c>
      <c r="C7011" s="9" t="s">
        <v>66</v>
      </c>
      <c r="D7011" s="9" t="s">
        <v>67</v>
      </c>
      <c r="E7011" s="10" t="s">
        <v>3066</v>
      </c>
      <c r="F7011" s="9" t="s">
        <v>3188</v>
      </c>
      <c r="G7011" s="10" t="s">
        <v>86</v>
      </c>
      <c r="H7011" s="9" t="s">
        <v>35</v>
      </c>
      <c r="I7011" s="9" t="s">
        <v>15782</v>
      </c>
      <c r="J7011" s="10" t="str">
        <f>HYPERLINK("https://www.boe.es/gazeta/dias/1834/08/03/pdfs/I00721-00722.pdf#page=2","Abrir facsímil")</f>
        <v>Abrir facsímil</v>
      </c>
      <c r="K7011" s="10" t="s">
        <v>37</v>
      </c>
    </row>
    <row r="7012" spans="1:11" ht="54" customHeight="1">
      <c r="A7012" s="9" t="s">
        <v>15780</v>
      </c>
      <c r="B7012" s="9" t="s">
        <v>15781</v>
      </c>
      <c r="C7012" s="9" t="s">
        <v>66</v>
      </c>
      <c r="D7012" s="9" t="s">
        <v>67</v>
      </c>
      <c r="E7012" s="10" t="s">
        <v>3066</v>
      </c>
      <c r="F7012" s="9" t="s">
        <v>3188</v>
      </c>
      <c r="G7012" s="10" t="s">
        <v>75</v>
      </c>
      <c r="H7012" s="9" t="s">
        <v>35</v>
      </c>
      <c r="I7012" s="9" t="s">
        <v>15782</v>
      </c>
      <c r="J7012" s="10" t="str">
        <f>HYPERLINK("https://www.boe.es/gazeta/dias/1834/08/03/pdfs/GMD-1834-167.pdf#page=4","Abrir facsímil")</f>
        <v>Abrir facsímil</v>
      </c>
      <c r="K7012" s="10" t="s">
        <v>37</v>
      </c>
    </row>
    <row r="7013" spans="1:11" ht="54" customHeight="1">
      <c r="A7013" s="9" t="s">
        <v>15783</v>
      </c>
      <c r="B7013" s="9" t="s">
        <v>15784</v>
      </c>
      <c r="C7013" s="9" t="s">
        <v>17</v>
      </c>
      <c r="D7013" s="9" t="s">
        <v>18</v>
      </c>
      <c r="E7013" s="10" t="s">
        <v>866</v>
      </c>
      <c r="F7013" s="9" t="s">
        <v>867</v>
      </c>
      <c r="G7013" s="10" t="s">
        <v>34</v>
      </c>
      <c r="H7013" s="9" t="s">
        <v>35</v>
      </c>
      <c r="I7013" s="9" t="s">
        <v>15785</v>
      </c>
      <c r="J7013" s="10" t="str">
        <f>HYPERLINK("https://www.boe.es/gazeta/dias/1834/01/18/pdfs/GMD-1834-9.pdf#page=1","Abrir facsímil")</f>
        <v>Abrir facsímil</v>
      </c>
      <c r="K7013" s="10" t="s">
        <v>37</v>
      </c>
    </row>
    <row r="7014" spans="1:11" ht="54" customHeight="1">
      <c r="A7014" s="9" t="s">
        <v>15786</v>
      </c>
      <c r="B7014" s="9" t="s">
        <v>15787</v>
      </c>
      <c r="C7014" s="9" t="s">
        <v>857</v>
      </c>
      <c r="D7014" s="9" t="s">
        <v>55</v>
      </c>
      <c r="E7014" s="10" t="s">
        <v>2098</v>
      </c>
      <c r="F7014" s="9" t="s">
        <v>5817</v>
      </c>
      <c r="G7014" s="10" t="s">
        <v>86</v>
      </c>
      <c r="H7014" s="9" t="s">
        <v>35</v>
      </c>
      <c r="I7014" s="9" t="s">
        <v>15788</v>
      </c>
      <c r="J7014" s="10" t="str">
        <f>HYPERLINK("https://www.boe.es/gazeta/dias/1834/08/11/pdfs/GMD-C-1834-176.pdf#page=2","Abrir facsímil")</f>
        <v>Abrir facsímil</v>
      </c>
      <c r="K7014" s="10" t="s">
        <v>37</v>
      </c>
    </row>
    <row r="7015" spans="1:11" ht="54" customHeight="1">
      <c r="A7015" s="9" t="s">
        <v>15786</v>
      </c>
      <c r="B7015" s="9" t="s">
        <v>15787</v>
      </c>
      <c r="C7015" s="9" t="s">
        <v>17</v>
      </c>
      <c r="D7015" s="9" t="s">
        <v>18</v>
      </c>
      <c r="E7015" s="10" t="s">
        <v>866</v>
      </c>
      <c r="F7015" s="9" t="s">
        <v>867</v>
      </c>
      <c r="G7015" s="10" t="s">
        <v>34</v>
      </c>
      <c r="H7015" s="9" t="s">
        <v>35</v>
      </c>
      <c r="I7015" s="9" t="s">
        <v>15789</v>
      </c>
      <c r="J7015" s="10" t="str">
        <f>HYPERLINK("https://www.boe.es/gazeta/dias/1834/01/18/pdfs/GMD-1834-9.pdf#page=1","Abrir facsímil")</f>
        <v>Abrir facsímil</v>
      </c>
      <c r="K7015" s="10" t="s">
        <v>37</v>
      </c>
    </row>
    <row r="7016" spans="1:11" ht="54" customHeight="1">
      <c r="A7016" s="9" t="s">
        <v>15790</v>
      </c>
      <c r="B7016" s="9" t="s">
        <v>15791</v>
      </c>
      <c r="C7016" s="9" t="s">
        <v>17</v>
      </c>
      <c r="D7016" s="9" t="s">
        <v>18</v>
      </c>
      <c r="E7016" s="10" t="s">
        <v>1402</v>
      </c>
      <c r="F7016" s="9" t="s">
        <v>1403</v>
      </c>
      <c r="G7016" s="10" t="s">
        <v>176</v>
      </c>
      <c r="H7016" s="9" t="s">
        <v>35</v>
      </c>
      <c r="I7016" s="9" t="s">
        <v>15792</v>
      </c>
      <c r="J7016" s="10" t="str">
        <f>HYPERLINK("https://www.boe.es/gazeta/dias/1834/05/05/pdfs/GMD-1834-74.pdf#page=6","Abrir facsímil")</f>
        <v>Abrir facsímil</v>
      </c>
      <c r="K7016" s="10" t="s">
        <v>37</v>
      </c>
    </row>
    <row r="7017" spans="1:11" ht="54" customHeight="1">
      <c r="A7017" s="9" t="s">
        <v>15793</v>
      </c>
      <c r="B7017" s="9" t="s">
        <v>15793</v>
      </c>
      <c r="C7017" s="9" t="s">
        <v>46</v>
      </c>
      <c r="D7017" s="9" t="s">
        <v>101</v>
      </c>
      <c r="E7017" s="10" t="s">
        <v>1402</v>
      </c>
      <c r="F7017" s="9" t="s">
        <v>1403</v>
      </c>
      <c r="G7017" s="10" t="s">
        <v>21</v>
      </c>
      <c r="H7017" s="9" t="s">
        <v>22</v>
      </c>
      <c r="I7017" s="9" t="s">
        <v>15794</v>
      </c>
      <c r="J7017" s="10" t="str">
        <f>HYPERLINK("https://www.boe.es/gazeta/dias/1834/05/05/pdfs/GMD-1834-74.pdf#page=3","Abrir facsímil")</f>
        <v>Abrir facsímil</v>
      </c>
      <c r="K7017" s="10" t="s">
        <v>24</v>
      </c>
    </row>
    <row r="7018" spans="1:11" ht="54" customHeight="1">
      <c r="A7018" s="9" t="s">
        <v>15795</v>
      </c>
      <c r="B7018" s="9" t="s">
        <v>15796</v>
      </c>
      <c r="C7018" s="9" t="s">
        <v>17</v>
      </c>
      <c r="D7018" s="9" t="s">
        <v>18</v>
      </c>
      <c r="E7018" s="10" t="s">
        <v>5904</v>
      </c>
      <c r="F7018" s="9" t="s">
        <v>5905</v>
      </c>
      <c r="G7018" s="10" t="s">
        <v>34</v>
      </c>
      <c r="H7018" s="9" t="s">
        <v>22</v>
      </c>
      <c r="I7018" s="9" t="s">
        <v>15797</v>
      </c>
      <c r="J7018" s="10" t="str">
        <f>HYPERLINK("https://www.boe.es/gazeta/dias/1834/09/29/pdfs/GMD-1834-227.pdf#page=1","Abrir facsímil")</f>
        <v>Abrir facsímil</v>
      </c>
      <c r="K7018" s="10" t="s">
        <v>24</v>
      </c>
    </row>
    <row r="7019" spans="1:11" ht="54" customHeight="1">
      <c r="A7019" s="9" t="s">
        <v>15798</v>
      </c>
      <c r="B7019" s="9" t="s">
        <v>15798</v>
      </c>
      <c r="C7019" s="9" t="s">
        <v>46</v>
      </c>
      <c r="D7019" s="9" t="s">
        <v>101</v>
      </c>
      <c r="E7019" s="10" t="s">
        <v>2398</v>
      </c>
      <c r="F7019" s="9" t="s">
        <v>2399</v>
      </c>
      <c r="G7019" s="10" t="s">
        <v>75</v>
      </c>
      <c r="H7019" s="9" t="s">
        <v>22</v>
      </c>
      <c r="I7019" s="9" t="s">
        <v>15799</v>
      </c>
      <c r="J7019" s="10" t="str">
        <f>HYPERLINK("https://www.boe.es/gazeta/dias/1834/01/16/pdfs/GMD-1834-8.pdf#page=4","Abrir facsímil")</f>
        <v>Abrir facsímil</v>
      </c>
      <c r="K7019" s="10" t="s">
        <v>24</v>
      </c>
    </row>
    <row r="7020" spans="1:11" ht="54" customHeight="1">
      <c r="A7020" s="9" t="s">
        <v>15800</v>
      </c>
      <c r="B7020" s="9" t="s">
        <v>15801</v>
      </c>
      <c r="C7020" s="9" t="s">
        <v>17</v>
      </c>
      <c r="D7020" s="9" t="s">
        <v>18</v>
      </c>
      <c r="E7020" s="10" t="s">
        <v>438</v>
      </c>
      <c r="F7020" s="9" t="s">
        <v>528</v>
      </c>
      <c r="G7020" s="10" t="s">
        <v>75</v>
      </c>
      <c r="H7020" s="9" t="s">
        <v>22</v>
      </c>
      <c r="I7020" s="9" t="s">
        <v>15802</v>
      </c>
      <c r="J7020" s="10" t="str">
        <f>HYPERLINK("https://www.boe.es/gazeta/dias/1834/11/09/pdfs/GMD-C-1834-268.pdf#page=4","Abrir facsímil")</f>
        <v>Abrir facsímil</v>
      </c>
      <c r="K7020" s="10" t="s">
        <v>24</v>
      </c>
    </row>
    <row r="7021" spans="1:11" ht="54" customHeight="1">
      <c r="A7021" s="9" t="s">
        <v>15800</v>
      </c>
      <c r="B7021" s="9" t="s">
        <v>15801</v>
      </c>
      <c r="C7021" s="9" t="s">
        <v>17</v>
      </c>
      <c r="D7021" s="9" t="s">
        <v>18</v>
      </c>
      <c r="E7021" s="10" t="s">
        <v>2142</v>
      </c>
      <c r="F7021" s="9" t="s">
        <v>2316</v>
      </c>
      <c r="G7021" s="10" t="s">
        <v>86</v>
      </c>
      <c r="H7021" s="9" t="s">
        <v>22</v>
      </c>
      <c r="I7021" s="9" t="s">
        <v>15803</v>
      </c>
      <c r="J7021" s="10" t="str">
        <f>HYPERLINK("https://www.boe.es/gazeta/dias/1834/12/27/pdfs/GMD-C-1834-317.pdf#page=2","Abrir facsímil")</f>
        <v>Abrir facsímil</v>
      </c>
      <c r="K7021" s="10" t="s">
        <v>24</v>
      </c>
    </row>
    <row r="7022" spans="1:11" ht="54" customHeight="1">
      <c r="A7022" s="9" t="s">
        <v>15804</v>
      </c>
      <c r="B7022" s="9" t="s">
        <v>15805</v>
      </c>
      <c r="C7022" s="9" t="s">
        <v>17</v>
      </c>
      <c r="D7022" s="9" t="s">
        <v>18</v>
      </c>
      <c r="E7022" s="10" t="s">
        <v>1424</v>
      </c>
      <c r="F7022" s="9" t="s">
        <v>1425</v>
      </c>
      <c r="G7022" s="10" t="s">
        <v>34</v>
      </c>
      <c r="H7022" s="9" t="s">
        <v>22</v>
      </c>
      <c r="I7022" s="9" t="s">
        <v>15806</v>
      </c>
      <c r="J7022" s="10" t="str">
        <f>HYPERLINK("https://www.boe.es/gazeta/dias/1834/11/14/pdfs/GMD-C-1834-273.pdf#page=1","Abrir facsímil")</f>
        <v>Abrir facsímil</v>
      </c>
      <c r="K7022" s="10" t="s">
        <v>24</v>
      </c>
    </row>
    <row r="7023" spans="1:11" ht="54" customHeight="1">
      <c r="A7023" s="9" t="s">
        <v>15807</v>
      </c>
      <c r="B7023" s="9" t="s">
        <v>15808</v>
      </c>
      <c r="C7023" s="9" t="s">
        <v>17</v>
      </c>
      <c r="D7023" s="9" t="s">
        <v>18</v>
      </c>
      <c r="E7023" s="10" t="s">
        <v>343</v>
      </c>
      <c r="F7023" s="9" t="s">
        <v>344</v>
      </c>
      <c r="G7023" s="10" t="s">
        <v>21</v>
      </c>
      <c r="H7023" s="9" t="s">
        <v>22</v>
      </c>
      <c r="I7023" s="9" t="s">
        <v>15809</v>
      </c>
      <c r="J7023" s="10" t="str">
        <f>HYPERLINK("https://www.boe.es/gazeta/dias/1834/01/14/pdfs/GMD-1834-7.pdf#page=3","Abrir facsímil")</f>
        <v>Abrir facsímil</v>
      </c>
      <c r="K7023" s="10" t="s">
        <v>24</v>
      </c>
    </row>
    <row r="7024" spans="1:11" ht="54" customHeight="1">
      <c r="A7024" s="9" t="s">
        <v>15810</v>
      </c>
      <c r="B7024" s="9" t="s">
        <v>15811</v>
      </c>
      <c r="C7024" s="9" t="s">
        <v>46</v>
      </c>
      <c r="D7024" s="9" t="s">
        <v>40</v>
      </c>
      <c r="E7024" s="10" t="s">
        <v>3699</v>
      </c>
      <c r="F7024" s="9" t="s">
        <v>3700</v>
      </c>
      <c r="G7024" s="10" t="s">
        <v>34</v>
      </c>
      <c r="H7024" s="9" t="s">
        <v>22</v>
      </c>
      <c r="I7024" s="9" t="s">
        <v>15812</v>
      </c>
      <c r="J7024" s="10" t="str">
        <f>HYPERLINK("https://www.boe.es/gazeta/dias/1834/02/06/pdfs/I00074-00074.pdf#page=1","Abrir facsímil")</f>
        <v>Abrir facsímil</v>
      </c>
      <c r="K7024" s="10" t="s">
        <v>24</v>
      </c>
    </row>
    <row r="7025" spans="1:11" ht="54" customHeight="1">
      <c r="A7025" s="9" t="s">
        <v>15810</v>
      </c>
      <c r="B7025" s="9" t="s">
        <v>15811</v>
      </c>
      <c r="C7025" s="9" t="s">
        <v>46</v>
      </c>
      <c r="D7025" s="9" t="s">
        <v>40</v>
      </c>
      <c r="E7025" s="10" t="s">
        <v>3699</v>
      </c>
      <c r="F7025" s="9" t="s">
        <v>3700</v>
      </c>
      <c r="G7025" s="10" t="s">
        <v>75</v>
      </c>
      <c r="H7025" s="9" t="s">
        <v>22</v>
      </c>
      <c r="I7025" s="9" t="s">
        <v>15812</v>
      </c>
      <c r="J7025" s="10" t="str">
        <f>HYPERLINK("https://www.boe.es/gazeta/dias/1834/02/06/pdfs/GMD-1834-17.pdf#page=4","Abrir facsímil")</f>
        <v>Abrir facsímil</v>
      </c>
      <c r="K7025" s="10" t="s">
        <v>24</v>
      </c>
    </row>
    <row r="7026" spans="1:11" ht="54" customHeight="1">
      <c r="A7026" s="9" t="s">
        <v>15813</v>
      </c>
      <c r="B7026" s="9" t="s">
        <v>15814</v>
      </c>
      <c r="C7026" s="9" t="s">
        <v>66</v>
      </c>
      <c r="D7026" s="9" t="s">
        <v>67</v>
      </c>
      <c r="E7026" s="10" t="s">
        <v>2241</v>
      </c>
      <c r="F7026" s="9" t="s">
        <v>2242</v>
      </c>
      <c r="G7026" s="10" t="s">
        <v>21</v>
      </c>
      <c r="H7026" s="9" t="s">
        <v>22</v>
      </c>
      <c r="I7026" s="9" t="s">
        <v>15815</v>
      </c>
      <c r="J7026" s="10" t="str">
        <f>HYPERLINK("https://www.boe.es/gazeta/dias/1834/03/11/pdfs/GMD-1834-31.pdf#page=3","Abrir facsímil")</f>
        <v>Abrir facsímil</v>
      </c>
      <c r="K7026" s="10" t="s">
        <v>24</v>
      </c>
    </row>
    <row r="7027" spans="1:11" ht="54" customHeight="1">
      <c r="A7027" s="9" t="s">
        <v>15816</v>
      </c>
      <c r="B7027" s="9" t="s">
        <v>15816</v>
      </c>
      <c r="C7027" s="9" t="s">
        <v>17</v>
      </c>
      <c r="D7027" s="9" t="s">
        <v>18</v>
      </c>
      <c r="E7027" s="10" t="s">
        <v>1922</v>
      </c>
      <c r="F7027" s="9" t="s">
        <v>1923</v>
      </c>
      <c r="G7027" s="10" t="s">
        <v>21</v>
      </c>
      <c r="H7027" s="9" t="s">
        <v>22</v>
      </c>
      <c r="I7027" s="9" t="s">
        <v>15817</v>
      </c>
      <c r="J7027" s="10" t="str">
        <f>HYPERLINK("https://www.boe.es/gazeta/dias/1834/02/25/pdfs/GMD-1834-25.pdf#page=3","Abrir facsímil")</f>
        <v>Abrir facsímil</v>
      </c>
      <c r="K7027" s="10" t="s">
        <v>24</v>
      </c>
    </row>
    <row r="7028" spans="1:11" ht="54" customHeight="1">
      <c r="A7028" s="9" t="s">
        <v>15818</v>
      </c>
      <c r="B7028" s="9" t="s">
        <v>15818</v>
      </c>
      <c r="C7028" s="9" t="s">
        <v>90</v>
      </c>
      <c r="D7028" s="9" t="s">
        <v>101</v>
      </c>
      <c r="E7028" s="10" t="s">
        <v>299</v>
      </c>
      <c r="F7028" s="9" t="s">
        <v>2255</v>
      </c>
      <c r="G7028" s="10" t="s">
        <v>28</v>
      </c>
      <c r="H7028" s="9" t="s">
        <v>22</v>
      </c>
      <c r="I7028" s="9" t="s">
        <v>15819</v>
      </c>
      <c r="J7028" s="10" t="str">
        <f>HYPERLINK("https://www.boe.es/gazeta/dias/1834/12/12/pdfs/GMD-C-1834-301.pdf#page=5","Abrir facsímil")</f>
        <v>Abrir facsímil</v>
      </c>
      <c r="K7028" s="10" t="s">
        <v>24</v>
      </c>
    </row>
    <row r="7029" spans="1:11" ht="54" customHeight="1">
      <c r="A7029" s="9" t="s">
        <v>15818</v>
      </c>
      <c r="B7029" s="9" t="s">
        <v>15818</v>
      </c>
      <c r="C7029" s="9" t="s">
        <v>17</v>
      </c>
      <c r="D7029" s="9" t="s">
        <v>18</v>
      </c>
      <c r="E7029" s="10" t="s">
        <v>222</v>
      </c>
      <c r="F7029" s="9" t="s">
        <v>223</v>
      </c>
      <c r="G7029" s="10" t="s">
        <v>75</v>
      </c>
      <c r="H7029" s="9" t="s">
        <v>22</v>
      </c>
      <c r="I7029" s="9" t="s">
        <v>15820</v>
      </c>
      <c r="J7029" s="10" t="str">
        <f>HYPERLINK("https://www.boe.es/gazeta/dias/1834/09/14/pdfs/GMD-1834-212.pdf#page=4","Abrir facsímil")</f>
        <v>Abrir facsímil</v>
      </c>
      <c r="K7029" s="10" t="s">
        <v>24</v>
      </c>
    </row>
    <row r="7030" spans="1:11" ht="54" customHeight="1">
      <c r="A7030" s="9" t="s">
        <v>15818</v>
      </c>
      <c r="B7030" s="9" t="s">
        <v>15818</v>
      </c>
      <c r="C7030" s="9" t="s">
        <v>46</v>
      </c>
      <c r="D7030" s="9" t="s">
        <v>101</v>
      </c>
      <c r="E7030" s="10" t="s">
        <v>268</v>
      </c>
      <c r="F7030" s="9" t="s">
        <v>269</v>
      </c>
      <c r="G7030" s="10" t="s">
        <v>75</v>
      </c>
      <c r="H7030" s="9" t="s">
        <v>22</v>
      </c>
      <c r="I7030" s="9" t="s">
        <v>15821</v>
      </c>
      <c r="J7030" s="10" t="str">
        <f>HYPERLINK("https://www.boe.es/gazeta/dias/1834/12/19/pdfs/GMD-C-1834-309.pdf#page=4","Abrir facsímil")</f>
        <v>Abrir facsímil</v>
      </c>
      <c r="K7030" s="10" t="s">
        <v>24</v>
      </c>
    </row>
    <row r="7031" spans="1:11" ht="54" customHeight="1">
      <c r="A7031" s="9" t="s">
        <v>15818</v>
      </c>
      <c r="B7031" s="9" t="s">
        <v>15818</v>
      </c>
      <c r="C7031" s="9" t="s">
        <v>66</v>
      </c>
      <c r="D7031" s="9" t="s">
        <v>67</v>
      </c>
      <c r="E7031" s="10" t="s">
        <v>128</v>
      </c>
      <c r="F7031" s="9" t="s">
        <v>1068</v>
      </c>
      <c r="G7031" s="10" t="s">
        <v>75</v>
      </c>
      <c r="H7031" s="9" t="s">
        <v>22</v>
      </c>
      <c r="I7031" s="9" t="s">
        <v>15822</v>
      </c>
      <c r="J7031" s="10" t="str">
        <f>HYPERLINK("https://www.boe.es/gazeta/dias/1834/12/24/pdfs/GMD-1834-314.pdf#page=4","Abrir facsímil")</f>
        <v>Abrir facsímil</v>
      </c>
      <c r="K7031" s="10" t="s">
        <v>24</v>
      </c>
    </row>
    <row r="7032" spans="1:11" ht="54" customHeight="1">
      <c r="A7032" s="9" t="s">
        <v>15823</v>
      </c>
      <c r="B7032" s="9" t="s">
        <v>15824</v>
      </c>
      <c r="C7032" s="9" t="s">
        <v>90</v>
      </c>
      <c r="D7032" s="9" t="s">
        <v>101</v>
      </c>
      <c r="E7032" s="10" t="s">
        <v>299</v>
      </c>
      <c r="F7032" s="9" t="s">
        <v>2255</v>
      </c>
      <c r="G7032" s="10" t="s">
        <v>28</v>
      </c>
      <c r="H7032" s="9" t="s">
        <v>35</v>
      </c>
      <c r="I7032" s="9" t="s">
        <v>15825</v>
      </c>
      <c r="J7032" s="10" t="str">
        <f>HYPERLINK("https://www.boe.es/gazeta/dias/1834/12/12/pdfs/GMD-C-1834-301.pdf#page=5","Abrir facsímil")</f>
        <v>Abrir facsímil</v>
      </c>
      <c r="K7032" s="10" t="s">
        <v>37</v>
      </c>
    </row>
    <row r="7033" spans="1:11" ht="54" customHeight="1">
      <c r="A7033" s="9" t="s">
        <v>15823</v>
      </c>
      <c r="B7033" s="9" t="s">
        <v>15824</v>
      </c>
      <c r="C7033" s="9" t="s">
        <v>17</v>
      </c>
      <c r="D7033" s="9" t="s">
        <v>18</v>
      </c>
      <c r="E7033" s="10" t="s">
        <v>222</v>
      </c>
      <c r="F7033" s="9" t="s">
        <v>223</v>
      </c>
      <c r="G7033" s="10" t="s">
        <v>75</v>
      </c>
      <c r="H7033" s="9" t="s">
        <v>35</v>
      </c>
      <c r="I7033" s="9" t="s">
        <v>15826</v>
      </c>
      <c r="J7033" s="10" t="str">
        <f>HYPERLINK("https://www.boe.es/gazeta/dias/1834/09/14/pdfs/GMD-1834-212.pdf#page=4","Abrir facsímil")</f>
        <v>Abrir facsímil</v>
      </c>
      <c r="K7033" s="10" t="s">
        <v>37</v>
      </c>
    </row>
    <row r="7034" spans="1:11" ht="54" customHeight="1">
      <c r="A7034" s="9" t="s">
        <v>15823</v>
      </c>
      <c r="B7034" s="9" t="s">
        <v>15824</v>
      </c>
      <c r="C7034" s="9" t="s">
        <v>46</v>
      </c>
      <c r="D7034" s="9" t="s">
        <v>101</v>
      </c>
      <c r="E7034" s="10" t="s">
        <v>268</v>
      </c>
      <c r="F7034" s="9" t="s">
        <v>269</v>
      </c>
      <c r="G7034" s="10" t="s">
        <v>75</v>
      </c>
      <c r="H7034" s="9" t="s">
        <v>35</v>
      </c>
      <c r="I7034" s="9" t="s">
        <v>15827</v>
      </c>
      <c r="J7034" s="10" t="str">
        <f>HYPERLINK("https://www.boe.es/gazeta/dias/1834/12/19/pdfs/GMD-C-1834-309.pdf#page=4","Abrir facsímil")</f>
        <v>Abrir facsímil</v>
      </c>
      <c r="K7034" s="10" t="s">
        <v>37</v>
      </c>
    </row>
    <row r="7035" spans="1:11" ht="54" customHeight="1">
      <c r="A7035" s="9" t="s">
        <v>15828</v>
      </c>
      <c r="B7035" s="9" t="s">
        <v>15829</v>
      </c>
      <c r="C7035" s="9" t="s">
        <v>66</v>
      </c>
      <c r="D7035" s="9" t="s">
        <v>67</v>
      </c>
      <c r="E7035" s="10" t="s">
        <v>138</v>
      </c>
      <c r="F7035" s="9" t="s">
        <v>139</v>
      </c>
      <c r="G7035" s="10" t="s">
        <v>86</v>
      </c>
      <c r="H7035" s="9" t="s">
        <v>22</v>
      </c>
      <c r="I7035" s="9" t="s">
        <v>15830</v>
      </c>
      <c r="J7035" s="10" t="str">
        <f>HYPERLINK("https://www.boe.es/gazeta/dias/1834/05/17/pdfs/GMD-1834-86.pdf#page=2","Abrir facsímil")</f>
        <v>Abrir facsímil</v>
      </c>
      <c r="K7035" s="10" t="s">
        <v>24</v>
      </c>
    </row>
    <row r="7036" spans="1:11" ht="54" customHeight="1">
      <c r="A7036" s="9" t="s">
        <v>15831</v>
      </c>
      <c r="B7036" s="9" t="s">
        <v>15832</v>
      </c>
      <c r="C7036" s="9" t="s">
        <v>17</v>
      </c>
      <c r="D7036" s="9" t="s">
        <v>18</v>
      </c>
      <c r="E7036" s="10" t="s">
        <v>3328</v>
      </c>
      <c r="F7036" s="9" t="s">
        <v>3329</v>
      </c>
      <c r="G7036" s="10" t="s">
        <v>21</v>
      </c>
      <c r="H7036" s="9" t="s">
        <v>22</v>
      </c>
      <c r="I7036" s="9" t="s">
        <v>15833</v>
      </c>
      <c r="J7036" s="10" t="str">
        <f>HYPERLINK("https://www.boe.es/gazeta/dias/1834/06/04/pdfs/GMD-1834-106.pdf#page=3","Abrir facsímil")</f>
        <v>Abrir facsímil</v>
      </c>
      <c r="K7036" s="10" t="s">
        <v>24</v>
      </c>
    </row>
    <row r="7037" spans="1:11" ht="54" customHeight="1">
      <c r="A7037" s="9" t="s">
        <v>15834</v>
      </c>
      <c r="B7037" s="9" t="s">
        <v>15835</v>
      </c>
      <c r="C7037" s="9" t="s">
        <v>17</v>
      </c>
      <c r="D7037" s="9" t="s">
        <v>18</v>
      </c>
      <c r="E7037" s="10" t="s">
        <v>1084</v>
      </c>
      <c r="F7037" s="9" t="s">
        <v>1085</v>
      </c>
      <c r="G7037" s="10" t="s">
        <v>176</v>
      </c>
      <c r="H7037" s="9" t="s">
        <v>22</v>
      </c>
      <c r="I7037" s="9" t="s">
        <v>15836</v>
      </c>
      <c r="J7037" s="10" t="str">
        <f>HYPERLINK("https://www.boe.es/gazeta/dias/1834/05/01/pdfs/GMD-1834-70.pdf#page=6","Abrir facsímil")</f>
        <v>Abrir facsímil</v>
      </c>
      <c r="K7037" s="10" t="s">
        <v>24</v>
      </c>
    </row>
    <row r="7038" spans="1:11" ht="54" customHeight="1">
      <c r="A7038" s="9" t="s">
        <v>15837</v>
      </c>
      <c r="B7038" s="9" t="s">
        <v>15837</v>
      </c>
      <c r="C7038" s="9" t="s">
        <v>46</v>
      </c>
      <c r="D7038" s="9" t="s">
        <v>101</v>
      </c>
      <c r="E7038" s="10" t="s">
        <v>2098</v>
      </c>
      <c r="F7038" s="9" t="s">
        <v>2099</v>
      </c>
      <c r="G7038" s="10" t="s">
        <v>34</v>
      </c>
      <c r="H7038" s="9" t="s">
        <v>22</v>
      </c>
      <c r="I7038" s="9" t="s">
        <v>15838</v>
      </c>
      <c r="J7038" s="10" t="str">
        <f>HYPERLINK("https://www.boe.es/gazeta/dias/1834/08/11/pdfs/GMD-1834-176.pdf#page=1","Abrir facsímil")</f>
        <v>Abrir facsímil</v>
      </c>
      <c r="K7038" s="10" t="s">
        <v>24</v>
      </c>
    </row>
    <row r="7039" spans="1:11" ht="54" customHeight="1">
      <c r="A7039" s="9" t="s">
        <v>15839</v>
      </c>
      <c r="B7039" s="9" t="s">
        <v>15839</v>
      </c>
      <c r="C7039" s="9" t="s">
        <v>17</v>
      </c>
      <c r="D7039" s="9" t="s">
        <v>18</v>
      </c>
      <c r="E7039" s="10" t="s">
        <v>672</v>
      </c>
      <c r="F7039" s="9" t="s">
        <v>1055</v>
      </c>
      <c r="G7039" s="10" t="s">
        <v>28</v>
      </c>
      <c r="H7039" s="9" t="s">
        <v>22</v>
      </c>
      <c r="I7039" s="9" t="s">
        <v>15840</v>
      </c>
      <c r="J7039" s="10" t="str">
        <f>HYPERLINK("https://www.boe.es/gazeta/dias/1834/09/19/pdfs/GMD-C-1834-217.pdf#page=5","Abrir facsímil")</f>
        <v>Abrir facsímil</v>
      </c>
      <c r="K7039" s="10" t="s">
        <v>24</v>
      </c>
    </row>
    <row r="7040" spans="1:11" ht="54" customHeight="1">
      <c r="A7040" s="9" t="s">
        <v>15841</v>
      </c>
      <c r="B7040" s="9" t="s">
        <v>15842</v>
      </c>
      <c r="C7040" s="9" t="s">
        <v>17</v>
      </c>
      <c r="D7040" s="9" t="s">
        <v>18</v>
      </c>
      <c r="E7040" s="10" t="s">
        <v>672</v>
      </c>
      <c r="F7040" s="9" t="s">
        <v>1055</v>
      </c>
      <c r="G7040" s="10" t="s">
        <v>28</v>
      </c>
      <c r="H7040" s="9" t="s">
        <v>22</v>
      </c>
      <c r="I7040" s="9" t="s">
        <v>15843</v>
      </c>
      <c r="J7040" s="10" t="str">
        <f>HYPERLINK("https://www.boe.es/gazeta/dias/1834/09/19/pdfs/GMD-C-1834-217.pdf#page=5","Abrir facsímil")</f>
        <v>Abrir facsímil</v>
      </c>
      <c r="K7040" s="10" t="s">
        <v>24</v>
      </c>
    </row>
    <row r="7041" spans="1:11" ht="54" customHeight="1">
      <c r="A7041" s="9" t="s">
        <v>15844</v>
      </c>
      <c r="B7041" s="9" t="s">
        <v>15844</v>
      </c>
      <c r="C7041" s="9" t="s">
        <v>17</v>
      </c>
      <c r="D7041" s="9" t="s">
        <v>18</v>
      </c>
      <c r="E7041" s="10" t="s">
        <v>3036</v>
      </c>
      <c r="F7041" s="9" t="s">
        <v>3037</v>
      </c>
      <c r="G7041" s="10" t="s">
        <v>75</v>
      </c>
      <c r="H7041" s="9" t="s">
        <v>22</v>
      </c>
      <c r="I7041" s="9" t="s">
        <v>15845</v>
      </c>
      <c r="J7041" s="10" t="str">
        <f>HYPERLINK("https://www.boe.es/gazeta/dias/1834/11/18/pdfs/GMD-C-1834-277.pdf#page=4","Abrir facsímil")</f>
        <v>Abrir facsímil</v>
      </c>
      <c r="K7041" s="10" t="s">
        <v>24</v>
      </c>
    </row>
    <row r="7042" spans="1:11" ht="54" customHeight="1">
      <c r="A7042" s="9" t="s">
        <v>15846</v>
      </c>
      <c r="B7042" s="9" t="s">
        <v>15846</v>
      </c>
      <c r="C7042" s="9" t="s">
        <v>90</v>
      </c>
      <c r="D7042" s="9" t="s">
        <v>18</v>
      </c>
      <c r="E7042" s="10" t="s">
        <v>891</v>
      </c>
      <c r="F7042" s="9" t="s">
        <v>3608</v>
      </c>
      <c r="G7042" s="10" t="s">
        <v>34</v>
      </c>
      <c r="H7042" s="9" t="s">
        <v>22</v>
      </c>
      <c r="I7042" s="9" t="s">
        <v>15847</v>
      </c>
      <c r="J7042" s="10" t="str">
        <f>HYPERLINK("https://www.boe.es/gazeta/dias/1834/10/31/pdfs/GMD-1834-259.pdf#page=1","Abrir facsímil")</f>
        <v>Abrir facsímil</v>
      </c>
      <c r="K7042" s="10" t="s">
        <v>24</v>
      </c>
    </row>
    <row r="7043" spans="1:11" ht="54" customHeight="1">
      <c r="A7043" s="9" t="s">
        <v>15848</v>
      </c>
      <c r="B7043" s="9" t="s">
        <v>15848</v>
      </c>
      <c r="C7043" s="9" t="s">
        <v>17</v>
      </c>
      <c r="D7043" s="9" t="s">
        <v>18</v>
      </c>
      <c r="E7043" s="10" t="s">
        <v>286</v>
      </c>
      <c r="F7043" s="9" t="s">
        <v>548</v>
      </c>
      <c r="G7043" s="10" t="s">
        <v>21</v>
      </c>
      <c r="H7043" s="9" t="s">
        <v>22</v>
      </c>
      <c r="I7043" s="9" t="s">
        <v>15849</v>
      </c>
      <c r="J7043" s="10" t="str">
        <f>HYPERLINK("https://www.boe.es/gazeta/dias/1834/08/30/pdfs/GMD-1834-196.pdf#page=3","Abrir facsímil")</f>
        <v>Abrir facsímil</v>
      </c>
      <c r="K7043" s="10" t="s">
        <v>24</v>
      </c>
    </row>
    <row r="7044" spans="1:11" ht="54" customHeight="1">
      <c r="A7044" s="9" t="s">
        <v>15850</v>
      </c>
      <c r="B7044" s="9" t="s">
        <v>15850</v>
      </c>
      <c r="C7044" s="9" t="s">
        <v>17</v>
      </c>
      <c r="D7044" s="9" t="s">
        <v>18</v>
      </c>
      <c r="E7044" s="10" t="s">
        <v>3810</v>
      </c>
      <c r="F7044" s="9" t="s">
        <v>3811</v>
      </c>
      <c r="G7044" s="10" t="s">
        <v>86</v>
      </c>
      <c r="H7044" s="9" t="s">
        <v>22</v>
      </c>
      <c r="I7044" s="9" t="s">
        <v>15851</v>
      </c>
      <c r="J7044" s="10" t="str">
        <f>HYPERLINK("https://www.boe.es/gazeta/dias/1834/02/20/pdfs/GMD-1834-23.pdf#page=2","Abrir facsímil")</f>
        <v>Abrir facsímil</v>
      </c>
      <c r="K7044" s="10" t="s">
        <v>24</v>
      </c>
    </row>
    <row r="7045" spans="1:11" ht="54" customHeight="1">
      <c r="A7045" s="9" t="s">
        <v>15852</v>
      </c>
      <c r="B7045" s="9" t="s">
        <v>15852</v>
      </c>
      <c r="C7045" s="9" t="s">
        <v>17</v>
      </c>
      <c r="D7045" s="9" t="s">
        <v>40</v>
      </c>
      <c r="E7045" s="10" t="s">
        <v>158</v>
      </c>
      <c r="F7045" s="9" t="s">
        <v>581</v>
      </c>
      <c r="G7045" s="10" t="s">
        <v>86</v>
      </c>
      <c r="H7045" s="9" t="s">
        <v>22</v>
      </c>
      <c r="I7045" s="9" t="s">
        <v>15853</v>
      </c>
      <c r="J7045" s="10" t="str">
        <f>HYPERLINK("https://www.boe.es/gazeta/dias/1834/10/01/pdfs/GMD-C-1834-229.pdf#page=2","Abrir facsímil")</f>
        <v>Abrir facsímil</v>
      </c>
      <c r="K7045" s="10" t="s">
        <v>24</v>
      </c>
    </row>
    <row r="7046" spans="1:11" ht="54" customHeight="1">
      <c r="A7046" s="9" t="s">
        <v>15854</v>
      </c>
      <c r="B7046" s="9" t="s">
        <v>15855</v>
      </c>
      <c r="C7046" s="9" t="s">
        <v>66</v>
      </c>
      <c r="D7046" s="9" t="s">
        <v>67</v>
      </c>
      <c r="E7046" s="10" t="s">
        <v>1178</v>
      </c>
      <c r="F7046" s="9" t="s">
        <v>14853</v>
      </c>
      <c r="G7046" s="10" t="s">
        <v>34</v>
      </c>
      <c r="H7046" s="9" t="s">
        <v>22</v>
      </c>
      <c r="I7046" s="9" t="s">
        <v>15856</v>
      </c>
      <c r="J7046" s="10" t="str">
        <f>HYPERLINK("https://www.boe.es/gazeta/dias/1834/04/10/pdfs/GMD-1834-49.pdf#page=1","Abrir facsímil")</f>
        <v>Abrir facsímil</v>
      </c>
      <c r="K7046" s="10" t="s">
        <v>24</v>
      </c>
    </row>
    <row r="7047" spans="1:11" ht="54" customHeight="1">
      <c r="A7047" s="9" t="s">
        <v>15857</v>
      </c>
      <c r="B7047" s="9" t="s">
        <v>15857</v>
      </c>
      <c r="C7047" s="9" t="s">
        <v>17</v>
      </c>
      <c r="D7047" s="9" t="s">
        <v>18</v>
      </c>
      <c r="E7047" s="10" t="s">
        <v>2087</v>
      </c>
      <c r="F7047" s="9" t="s">
        <v>2267</v>
      </c>
      <c r="G7047" s="10" t="s">
        <v>470</v>
      </c>
      <c r="H7047" s="9" t="s">
        <v>22</v>
      </c>
      <c r="I7047" s="9" t="s">
        <v>15858</v>
      </c>
      <c r="J7047" s="10" t="str">
        <f>HYPERLINK("https://www.boe.es/gazeta/dias/1834/12/14/pdfs/GMD-C-1834-303.pdf#page=8","Abrir facsímil")</f>
        <v>Abrir facsímil</v>
      </c>
      <c r="K7047" s="10" t="s">
        <v>24</v>
      </c>
    </row>
    <row r="7048" spans="1:11" ht="54" customHeight="1">
      <c r="A7048" s="9" t="s">
        <v>15857</v>
      </c>
      <c r="B7048" s="9" t="s">
        <v>15857</v>
      </c>
      <c r="C7048" s="9" t="s">
        <v>17</v>
      </c>
      <c r="D7048" s="9" t="s">
        <v>18</v>
      </c>
      <c r="E7048" s="10" t="s">
        <v>2087</v>
      </c>
      <c r="F7048" s="9" t="s">
        <v>2267</v>
      </c>
      <c r="G7048" s="10" t="s">
        <v>1343</v>
      </c>
      <c r="H7048" s="9" t="s">
        <v>22</v>
      </c>
      <c r="I7048" s="9" t="s">
        <v>15859</v>
      </c>
      <c r="J7048" s="10" t="str">
        <f>HYPERLINK("https://www.boe.es/gazeta/dias/1834/12/14/pdfs/GMD-C-1834-303.pdf#page=9","Abrir facsímil")</f>
        <v>Abrir facsímil</v>
      </c>
      <c r="K7048" s="10" t="s">
        <v>24</v>
      </c>
    </row>
    <row r="7049" spans="1:11" ht="54" customHeight="1">
      <c r="A7049" s="9" t="s">
        <v>15857</v>
      </c>
      <c r="B7049" s="9" t="s">
        <v>15857</v>
      </c>
      <c r="C7049" s="9" t="s">
        <v>17</v>
      </c>
      <c r="D7049" s="9" t="s">
        <v>18</v>
      </c>
      <c r="E7049" s="10" t="s">
        <v>233</v>
      </c>
      <c r="F7049" s="9" t="s">
        <v>1810</v>
      </c>
      <c r="G7049" s="10" t="s">
        <v>1343</v>
      </c>
      <c r="H7049" s="9" t="s">
        <v>22</v>
      </c>
      <c r="I7049" s="9" t="s">
        <v>15860</v>
      </c>
      <c r="J7049" s="10" t="str">
        <f>HYPERLINK("https://www.boe.es/gazeta/dias/1834/12/16/pdfs/GMD-C-1834-305.pdf#page=9","Abrir facsímil")</f>
        <v>Abrir facsímil</v>
      </c>
      <c r="K7049" s="10" t="s">
        <v>24</v>
      </c>
    </row>
    <row r="7050" spans="1:11" ht="54" customHeight="1">
      <c r="A7050" s="9" t="s">
        <v>15861</v>
      </c>
      <c r="B7050" s="9" t="s">
        <v>15862</v>
      </c>
      <c r="C7050" s="9" t="s">
        <v>17</v>
      </c>
      <c r="D7050" s="9" t="s">
        <v>18</v>
      </c>
      <c r="E7050" s="10" t="s">
        <v>2087</v>
      </c>
      <c r="F7050" s="9" t="s">
        <v>2267</v>
      </c>
      <c r="G7050" s="10" t="s">
        <v>560</v>
      </c>
      <c r="H7050" s="9" t="s">
        <v>22</v>
      </c>
      <c r="I7050" s="9" t="s">
        <v>15863</v>
      </c>
      <c r="J7050" s="10" t="str">
        <f>HYPERLINK("https://www.boe.es/gazeta/dias/1834/12/14/pdfs/GMD-C-1834-303.pdf#page=7","Abrir facsímil")</f>
        <v>Abrir facsímil</v>
      </c>
      <c r="K7050" s="10" t="s">
        <v>24</v>
      </c>
    </row>
    <row r="7051" spans="1:11" ht="54" customHeight="1">
      <c r="A7051" s="9" t="s">
        <v>15861</v>
      </c>
      <c r="B7051" s="9" t="s">
        <v>15862</v>
      </c>
      <c r="C7051" s="9" t="s">
        <v>17</v>
      </c>
      <c r="D7051" s="9" t="s">
        <v>40</v>
      </c>
      <c r="E7051" s="10" t="s">
        <v>2087</v>
      </c>
      <c r="F7051" s="9" t="s">
        <v>2267</v>
      </c>
      <c r="G7051" s="10" t="s">
        <v>470</v>
      </c>
      <c r="H7051" s="9" t="s">
        <v>22</v>
      </c>
      <c r="I7051" s="9" t="s">
        <v>15864</v>
      </c>
      <c r="J7051" s="10" t="str">
        <f>HYPERLINK("https://www.boe.es/gazeta/dias/1834/12/14/pdfs/GMD-C-1834-303.pdf#page=8","Abrir facsímil")</f>
        <v>Abrir facsímil</v>
      </c>
      <c r="K7051" s="10" t="s">
        <v>24</v>
      </c>
    </row>
    <row r="7052" spans="1:11" ht="54" customHeight="1">
      <c r="A7052" s="9" t="s">
        <v>15865</v>
      </c>
      <c r="B7052" s="9" t="s">
        <v>15865</v>
      </c>
      <c r="C7052" s="9" t="s">
        <v>17</v>
      </c>
      <c r="D7052" s="9" t="s">
        <v>18</v>
      </c>
      <c r="E7052" s="10" t="s">
        <v>785</v>
      </c>
      <c r="F7052" s="9" t="s">
        <v>786</v>
      </c>
      <c r="G7052" s="10" t="s">
        <v>86</v>
      </c>
      <c r="H7052" s="9" t="s">
        <v>22</v>
      </c>
      <c r="I7052" s="9" t="s">
        <v>15866</v>
      </c>
      <c r="J7052" s="10" t="str">
        <f>HYPERLINK("https://www.boe.es/gazeta/dias/1834/02/11/pdfs/GMD-1834-19.pdf#page=2","Abrir facsímil")</f>
        <v>Abrir facsímil</v>
      </c>
      <c r="K7052" s="10" t="s">
        <v>24</v>
      </c>
    </row>
    <row r="7053" spans="1:11" ht="54" customHeight="1">
      <c r="A7053" s="9" t="s">
        <v>15867</v>
      </c>
      <c r="B7053" s="9" t="s">
        <v>15868</v>
      </c>
      <c r="C7053" s="9" t="s">
        <v>17</v>
      </c>
      <c r="D7053" s="9" t="s">
        <v>18</v>
      </c>
      <c r="E7053" s="10" t="s">
        <v>433</v>
      </c>
      <c r="F7053" s="9" t="s">
        <v>434</v>
      </c>
      <c r="G7053" s="10" t="s">
        <v>34</v>
      </c>
      <c r="H7053" s="9" t="s">
        <v>35</v>
      </c>
      <c r="I7053" s="9" t="s">
        <v>15869</v>
      </c>
      <c r="J7053" s="10" t="str">
        <f>HYPERLINK("https://www.boe.es/gazeta/dias/1834/10/07/pdfs/GMD-C-1834-235.pdf#page=1","Abrir facsímil")</f>
        <v>Abrir facsímil</v>
      </c>
      <c r="K7053" s="10" t="s">
        <v>37</v>
      </c>
    </row>
    <row r="7054" spans="1:11" ht="54" customHeight="1">
      <c r="A7054" s="9" t="s">
        <v>15870</v>
      </c>
      <c r="B7054" s="9" t="s">
        <v>15871</v>
      </c>
      <c r="C7054" s="9" t="s">
        <v>17</v>
      </c>
      <c r="D7054" s="9" t="s">
        <v>18</v>
      </c>
      <c r="E7054" s="10" t="s">
        <v>280</v>
      </c>
      <c r="F7054" s="9" t="s">
        <v>3217</v>
      </c>
      <c r="G7054" s="10" t="s">
        <v>75</v>
      </c>
      <c r="H7054" s="9" t="s">
        <v>35</v>
      </c>
      <c r="I7054" s="9" t="s">
        <v>15872</v>
      </c>
      <c r="J7054" s="10" t="str">
        <f>HYPERLINK("https://www.boe.es/gazeta/dias/1834/08/29/pdfs/GMD-1834-195.pdf#page=4","Abrir facsímil")</f>
        <v>Abrir facsímil</v>
      </c>
      <c r="K7054" s="10" t="s">
        <v>37</v>
      </c>
    </row>
    <row r="7055" spans="1:11" ht="54" customHeight="1">
      <c r="A7055" s="9" t="s">
        <v>15873</v>
      </c>
      <c r="B7055" s="9" t="s">
        <v>15874</v>
      </c>
      <c r="C7055" s="9" t="s">
        <v>66</v>
      </c>
      <c r="D7055" s="9" t="s">
        <v>67</v>
      </c>
      <c r="E7055" s="10" t="s">
        <v>251</v>
      </c>
      <c r="F7055" s="9" t="s">
        <v>1278</v>
      </c>
      <c r="G7055" s="10" t="s">
        <v>86</v>
      </c>
      <c r="H7055" s="9" t="s">
        <v>22</v>
      </c>
      <c r="I7055" s="9" t="s">
        <v>15875</v>
      </c>
      <c r="J7055" s="10" t="str">
        <f>HYPERLINK("https://www.boe.es/gazeta/dias/1834/09/26/pdfs/GMD-1834-224.pdf#page=2","Abrir facsímil")</f>
        <v>Abrir facsímil</v>
      </c>
      <c r="K7055" s="10" t="s">
        <v>24</v>
      </c>
    </row>
    <row r="7056" spans="1:11" ht="54" customHeight="1">
      <c r="A7056" s="9" t="s">
        <v>15876</v>
      </c>
      <c r="B7056" s="9" t="s">
        <v>15877</v>
      </c>
      <c r="C7056" s="9" t="s">
        <v>17</v>
      </c>
      <c r="D7056" s="9" t="s">
        <v>18</v>
      </c>
      <c r="E7056" s="10" t="s">
        <v>433</v>
      </c>
      <c r="F7056" s="9" t="s">
        <v>434</v>
      </c>
      <c r="G7056" s="10" t="s">
        <v>34</v>
      </c>
      <c r="H7056" s="9" t="s">
        <v>22</v>
      </c>
      <c r="I7056" s="9" t="s">
        <v>15878</v>
      </c>
      <c r="J7056" s="10" t="str">
        <f>HYPERLINK("https://www.boe.es/gazeta/dias/1834/10/07/pdfs/GMD-C-1834-235.pdf#page=1","Abrir facsímil")</f>
        <v>Abrir facsímil</v>
      </c>
      <c r="K7056" s="10" t="s">
        <v>24</v>
      </c>
    </row>
    <row r="7057" spans="1:11" ht="54" customHeight="1">
      <c r="A7057" s="9" t="s">
        <v>15879</v>
      </c>
      <c r="B7057" s="9" t="s">
        <v>15880</v>
      </c>
      <c r="C7057" s="9" t="s">
        <v>66</v>
      </c>
      <c r="D7057" s="9" t="s">
        <v>67</v>
      </c>
      <c r="E7057" s="10" t="s">
        <v>571</v>
      </c>
      <c r="F7057" s="9" t="s">
        <v>572</v>
      </c>
      <c r="G7057" s="10" t="s">
        <v>34</v>
      </c>
      <c r="H7057" s="9" t="s">
        <v>22</v>
      </c>
      <c r="I7057" s="9" t="s">
        <v>15881</v>
      </c>
      <c r="J7057" s="10" t="str">
        <f>HYPERLINK("https://www.boe.es/gazeta/dias/1834/09/04/pdfs/GMD-1834-202.pdf#page=1","Abrir facsímil")</f>
        <v>Abrir facsímil</v>
      </c>
      <c r="K7057" s="10" t="s">
        <v>24</v>
      </c>
    </row>
    <row r="7058" spans="1:11" ht="54" customHeight="1">
      <c r="A7058" s="9" t="s">
        <v>15882</v>
      </c>
      <c r="B7058" s="9" t="s">
        <v>15883</v>
      </c>
      <c r="C7058" s="9" t="s">
        <v>17</v>
      </c>
      <c r="D7058" s="9" t="s">
        <v>18</v>
      </c>
      <c r="E7058" s="10" t="s">
        <v>280</v>
      </c>
      <c r="F7058" s="9" t="s">
        <v>3217</v>
      </c>
      <c r="G7058" s="10" t="s">
        <v>75</v>
      </c>
      <c r="H7058" s="9" t="s">
        <v>22</v>
      </c>
      <c r="I7058" s="9" t="s">
        <v>15884</v>
      </c>
      <c r="J7058" s="10" t="str">
        <f>HYPERLINK("https://www.boe.es/gazeta/dias/1834/08/29/pdfs/GMD-1834-195.pdf#page=4","Abrir facsímil")</f>
        <v>Abrir facsímil</v>
      </c>
      <c r="K7058" s="10" t="s">
        <v>24</v>
      </c>
    </row>
    <row r="7059" spans="1:11" ht="54" customHeight="1">
      <c r="A7059" s="9" t="s">
        <v>15885</v>
      </c>
      <c r="B7059" s="9" t="s">
        <v>15886</v>
      </c>
      <c r="C7059" s="9" t="s">
        <v>17</v>
      </c>
      <c r="D7059" s="9" t="s">
        <v>18</v>
      </c>
      <c r="E7059" s="10" t="s">
        <v>1226</v>
      </c>
      <c r="F7059" s="9" t="s">
        <v>1227</v>
      </c>
      <c r="G7059" s="10" t="s">
        <v>21</v>
      </c>
      <c r="H7059" s="9" t="s">
        <v>22</v>
      </c>
      <c r="I7059" s="9" t="s">
        <v>15887</v>
      </c>
      <c r="J7059" s="10" t="str">
        <f>HYPERLINK("https://www.boe.es/gazeta/dias/1834/07/14/pdfs/GMD-1834-147.pdf#page=3","Abrir facsímil")</f>
        <v>Abrir facsímil</v>
      </c>
      <c r="K7059" s="10" t="s">
        <v>24</v>
      </c>
    </row>
    <row r="7060" spans="1:11" ht="54" customHeight="1">
      <c r="A7060" s="9" t="s">
        <v>15888</v>
      </c>
      <c r="B7060" s="9" t="s">
        <v>15889</v>
      </c>
      <c r="C7060" s="9" t="s">
        <v>17</v>
      </c>
      <c r="D7060" s="9" t="s">
        <v>18</v>
      </c>
      <c r="E7060" s="10" t="s">
        <v>808</v>
      </c>
      <c r="F7060" s="9" t="s">
        <v>809</v>
      </c>
      <c r="G7060" s="10" t="s">
        <v>75</v>
      </c>
      <c r="H7060" s="9" t="s">
        <v>22</v>
      </c>
      <c r="I7060" s="9" t="s">
        <v>15890</v>
      </c>
      <c r="J7060" s="10" t="str">
        <f>HYPERLINK("https://www.boe.es/gazeta/dias/1834/10/11/pdfs/GMD-1834-239.pdf#page=4","Abrir facsímil")</f>
        <v>Abrir facsímil</v>
      </c>
      <c r="K7060" s="10" t="s">
        <v>24</v>
      </c>
    </row>
    <row r="7061" spans="1:11" ht="54" customHeight="1">
      <c r="A7061" s="9" t="s">
        <v>15891</v>
      </c>
      <c r="B7061" s="9" t="s">
        <v>15892</v>
      </c>
      <c r="C7061" s="9" t="s">
        <v>17</v>
      </c>
      <c r="D7061" s="9" t="s">
        <v>18</v>
      </c>
      <c r="E7061" s="10" t="s">
        <v>1402</v>
      </c>
      <c r="F7061" s="9" t="s">
        <v>1403</v>
      </c>
      <c r="G7061" s="10" t="s">
        <v>75</v>
      </c>
      <c r="H7061" s="9" t="s">
        <v>22</v>
      </c>
      <c r="I7061" s="9" t="s">
        <v>15893</v>
      </c>
      <c r="J7061" s="10" t="str">
        <f>HYPERLINK("https://www.boe.es/gazeta/dias/1834/05/05/pdfs/GMD-1834-74.pdf#page=4","Abrir facsímil")</f>
        <v>Abrir facsímil</v>
      </c>
      <c r="K7061" s="10" t="s">
        <v>24</v>
      </c>
    </row>
    <row r="7062" spans="1:11" ht="54" customHeight="1">
      <c r="A7062" s="9" t="s">
        <v>15894</v>
      </c>
      <c r="B7062" s="9" t="s">
        <v>15894</v>
      </c>
      <c r="C7062" s="9" t="s">
        <v>46</v>
      </c>
      <c r="D7062" s="9" t="s">
        <v>55</v>
      </c>
      <c r="E7062" s="10" t="s">
        <v>233</v>
      </c>
      <c r="F7062" s="9" t="s">
        <v>1810</v>
      </c>
      <c r="G7062" s="10" t="s">
        <v>1343</v>
      </c>
      <c r="H7062" s="9" t="s">
        <v>22</v>
      </c>
      <c r="I7062" s="9" t="s">
        <v>15895</v>
      </c>
      <c r="J7062" s="10" t="str">
        <f>HYPERLINK("https://www.boe.es/gazeta/dias/1834/12/16/pdfs/GMD-C-1834-305.pdf#page=9","Abrir facsímil")</f>
        <v>Abrir facsímil</v>
      </c>
      <c r="K7062" s="10" t="s">
        <v>24</v>
      </c>
    </row>
    <row r="7063" spans="1:11" ht="54" customHeight="1">
      <c r="A7063" s="9" t="s">
        <v>15896</v>
      </c>
      <c r="B7063" s="9" t="s">
        <v>15897</v>
      </c>
      <c r="C7063" s="9" t="s">
        <v>17</v>
      </c>
      <c r="D7063" s="9" t="s">
        <v>18</v>
      </c>
      <c r="E7063" s="10" t="s">
        <v>1424</v>
      </c>
      <c r="F7063" s="9" t="s">
        <v>1425</v>
      </c>
      <c r="G7063" s="10" t="s">
        <v>34</v>
      </c>
      <c r="H7063" s="9" t="s">
        <v>22</v>
      </c>
      <c r="I7063" s="9" t="s">
        <v>15898</v>
      </c>
      <c r="J7063" s="10" t="str">
        <f>HYPERLINK("https://www.boe.es/gazeta/dias/1834/11/14/pdfs/GMD-C-1834-273.pdf#page=1","Abrir facsímil")</f>
        <v>Abrir facsímil</v>
      </c>
      <c r="K7063" s="10" t="s">
        <v>24</v>
      </c>
    </row>
    <row r="7064" spans="1:11" ht="54" customHeight="1">
      <c r="A7064" s="9" t="s">
        <v>15899</v>
      </c>
      <c r="B7064" s="9" t="s">
        <v>15899</v>
      </c>
      <c r="C7064" s="9" t="s">
        <v>46</v>
      </c>
      <c r="D7064" s="9" t="s">
        <v>101</v>
      </c>
      <c r="E7064" s="10" t="s">
        <v>265</v>
      </c>
      <c r="F7064" s="9" t="s">
        <v>266</v>
      </c>
      <c r="G7064" s="10" t="s">
        <v>34</v>
      </c>
      <c r="H7064" s="9" t="s">
        <v>22</v>
      </c>
      <c r="I7064" s="9" t="s">
        <v>15900</v>
      </c>
      <c r="J7064" s="10" t="str">
        <f>HYPERLINK("https://www.boe.es/gazeta/dias/1834/11/19/pdfs/GMD-C-1834-278.pdf#page=1","Abrir facsímil")</f>
        <v>Abrir facsímil</v>
      </c>
      <c r="K7064" s="10" t="s">
        <v>24</v>
      </c>
    </row>
    <row r="7065" spans="1:11" ht="54" customHeight="1">
      <c r="A7065" s="9" t="s">
        <v>15901</v>
      </c>
      <c r="B7065" s="9" t="s">
        <v>15902</v>
      </c>
      <c r="C7065" s="9" t="s">
        <v>90</v>
      </c>
      <c r="D7065" s="9" t="s">
        <v>18</v>
      </c>
      <c r="E7065" s="10" t="s">
        <v>1839</v>
      </c>
      <c r="F7065" s="9" t="s">
        <v>1840</v>
      </c>
      <c r="G7065" s="10" t="s">
        <v>86</v>
      </c>
      <c r="H7065" s="9" t="s">
        <v>22</v>
      </c>
      <c r="I7065" s="9" t="s">
        <v>15903</v>
      </c>
      <c r="J7065" s="10" t="str">
        <f>HYPERLINK("https://www.boe.es/gazeta/dias/1834/08/12/pdfs/GMD-C-1834-177.pdf#page=2","Abrir facsímil")</f>
        <v>Abrir facsímil</v>
      </c>
      <c r="K7065" s="10" t="s">
        <v>24</v>
      </c>
    </row>
    <row r="7066" spans="1:11" ht="54" customHeight="1">
      <c r="A7066" s="9" t="s">
        <v>15904</v>
      </c>
      <c r="B7066" s="9" t="s">
        <v>15905</v>
      </c>
      <c r="C7066" s="9" t="s">
        <v>17</v>
      </c>
      <c r="D7066" s="9" t="s">
        <v>18</v>
      </c>
      <c r="E7066" s="10" t="s">
        <v>416</v>
      </c>
      <c r="F7066" s="9" t="s">
        <v>417</v>
      </c>
      <c r="G7066" s="10" t="s">
        <v>34</v>
      </c>
      <c r="H7066" s="9" t="s">
        <v>22</v>
      </c>
      <c r="I7066" s="9" t="s">
        <v>15906</v>
      </c>
      <c r="J7066" s="10" t="str">
        <f>HYPERLINK("https://www.boe.es/gazeta/dias/1834/10/02/pdfs/GMD-C-1834-230.pdf#page=1","Abrir facsímil")</f>
        <v>Abrir facsímil</v>
      </c>
      <c r="K7066" s="10" t="s">
        <v>24</v>
      </c>
    </row>
    <row r="7067" spans="1:11" ht="54" customHeight="1">
      <c r="A7067" s="9" t="s">
        <v>15907</v>
      </c>
      <c r="B7067" s="9" t="s">
        <v>15907</v>
      </c>
      <c r="C7067" s="9" t="s">
        <v>90</v>
      </c>
      <c r="D7067" s="9" t="s">
        <v>18</v>
      </c>
      <c r="E7067" s="10" t="s">
        <v>158</v>
      </c>
      <c r="F7067" s="9" t="s">
        <v>581</v>
      </c>
      <c r="G7067" s="10" t="s">
        <v>34</v>
      </c>
      <c r="H7067" s="9" t="s">
        <v>22</v>
      </c>
      <c r="I7067" s="9" t="s">
        <v>15908</v>
      </c>
      <c r="J7067" s="10" t="str">
        <f>HYPERLINK("https://www.boe.es/gazeta/dias/1834/10/01/pdfs/GMD-C-1834-229.pdf#page=1","Abrir facsímil")</f>
        <v>Abrir facsímil</v>
      </c>
      <c r="K7067" s="10" t="s">
        <v>24</v>
      </c>
    </row>
    <row r="7068" spans="1:11" ht="54" customHeight="1">
      <c r="A7068" s="9" t="s">
        <v>15909</v>
      </c>
      <c r="B7068" s="9" t="s">
        <v>15910</v>
      </c>
      <c r="C7068" s="9" t="s">
        <v>17</v>
      </c>
      <c r="D7068" s="9" t="s">
        <v>101</v>
      </c>
      <c r="E7068" s="10" t="s">
        <v>433</v>
      </c>
      <c r="F7068" s="9" t="s">
        <v>2773</v>
      </c>
      <c r="G7068" s="10" t="s">
        <v>86</v>
      </c>
      <c r="H7068" s="9" t="s">
        <v>22</v>
      </c>
      <c r="I7068" s="9" t="s">
        <v>15911</v>
      </c>
      <c r="J7068" s="10" t="str">
        <f>HYPERLINK("https://www.boe.es/gazeta/dias/1834/10/07/pdfs/I00986-00987.pdf#page=2","Abrir facsímil")</f>
        <v>Abrir facsímil</v>
      </c>
      <c r="K7068" s="10" t="s">
        <v>24</v>
      </c>
    </row>
    <row r="7069" spans="1:11" ht="54" customHeight="1">
      <c r="A7069" s="9" t="s">
        <v>15909</v>
      </c>
      <c r="B7069" s="9" t="s">
        <v>15910</v>
      </c>
      <c r="C7069" s="9" t="s">
        <v>17</v>
      </c>
      <c r="D7069" s="9" t="s">
        <v>101</v>
      </c>
      <c r="E7069" s="10" t="s">
        <v>433</v>
      </c>
      <c r="F7069" s="9" t="s">
        <v>2773</v>
      </c>
      <c r="G7069" s="10" t="s">
        <v>21</v>
      </c>
      <c r="H7069" s="9" t="s">
        <v>22</v>
      </c>
      <c r="I7069" s="9" t="s">
        <v>15911</v>
      </c>
      <c r="J7069" s="10" t="str">
        <f>HYPERLINK("https://www.boe.es/gazeta/dias/1834/10/07/pdfs/GMD-1834-235.pdf#page=3","Abrir facsímil")</f>
        <v>Abrir facsímil</v>
      </c>
      <c r="K7069" s="10" t="s">
        <v>24</v>
      </c>
    </row>
    <row r="7070" spans="1:11" ht="54" customHeight="1">
      <c r="A7070" s="9" t="s">
        <v>15909</v>
      </c>
      <c r="B7070" s="9" t="s">
        <v>15910</v>
      </c>
      <c r="C7070" s="9" t="s">
        <v>17</v>
      </c>
      <c r="D7070" s="9" t="s">
        <v>40</v>
      </c>
      <c r="E7070" s="10" t="s">
        <v>2950</v>
      </c>
      <c r="F7070" s="9" t="s">
        <v>2951</v>
      </c>
      <c r="G7070" s="10" t="s">
        <v>75</v>
      </c>
      <c r="H7070" s="9" t="s">
        <v>22</v>
      </c>
      <c r="I7070" s="9" t="s">
        <v>15912</v>
      </c>
      <c r="J7070" s="10" t="str">
        <f>HYPERLINK("https://www.boe.es/gazeta/dias/1834/05/20/pdfs/GMD-1834-89.pdf#page=4","Abrir facsímil")</f>
        <v>Abrir facsímil</v>
      </c>
      <c r="K7070" s="10" t="s">
        <v>24</v>
      </c>
    </row>
    <row r="7071" spans="1:11" ht="54" customHeight="1">
      <c r="A7071" s="9" t="s">
        <v>15913</v>
      </c>
      <c r="B7071" s="9" t="s">
        <v>15913</v>
      </c>
      <c r="C7071" s="9" t="s">
        <v>17</v>
      </c>
      <c r="D7071" s="9" t="s">
        <v>18</v>
      </c>
      <c r="E7071" s="10" t="s">
        <v>233</v>
      </c>
      <c r="F7071" s="9" t="s">
        <v>1810</v>
      </c>
      <c r="G7071" s="10" t="s">
        <v>2174</v>
      </c>
      <c r="H7071" s="9" t="s">
        <v>22</v>
      </c>
      <c r="I7071" s="9" t="s">
        <v>15914</v>
      </c>
      <c r="J7071" s="10" t="str">
        <f>HYPERLINK("https://www.boe.es/gazeta/dias/1834/12/16/pdfs/GMD-C-1834-305.pdf#page=10","Abrir facsímil")</f>
        <v>Abrir facsímil</v>
      </c>
      <c r="K7071" s="10" t="s">
        <v>24</v>
      </c>
    </row>
    <row r="7072" spans="1:11" ht="54" customHeight="1">
      <c r="A7072" s="9" t="s">
        <v>15915</v>
      </c>
      <c r="B7072" s="9" t="s">
        <v>15915</v>
      </c>
      <c r="C7072" s="9" t="s">
        <v>17</v>
      </c>
      <c r="D7072" s="9" t="s">
        <v>18</v>
      </c>
      <c r="E7072" s="10" t="s">
        <v>1008</v>
      </c>
      <c r="F7072" s="9" t="s">
        <v>1009</v>
      </c>
      <c r="G7072" s="10" t="s">
        <v>176</v>
      </c>
      <c r="H7072" s="9" t="s">
        <v>22</v>
      </c>
      <c r="I7072" s="9" t="s">
        <v>15916</v>
      </c>
      <c r="J7072" s="10" t="str">
        <f>HYPERLINK("https://www.boe.es/gazeta/dias/1834/11/08/pdfs/GMD-C-1834-267.pdf#page=6","Abrir facsímil")</f>
        <v>Abrir facsímil</v>
      </c>
      <c r="K7072" s="10" t="s">
        <v>24</v>
      </c>
    </row>
    <row r="7073" spans="1:11" ht="54" customHeight="1">
      <c r="A7073" s="9" t="s">
        <v>15915</v>
      </c>
      <c r="B7073" s="9" t="s">
        <v>15915</v>
      </c>
      <c r="C7073" s="9" t="s">
        <v>17</v>
      </c>
      <c r="D7073" s="9" t="s">
        <v>18</v>
      </c>
      <c r="E7073" s="10" t="s">
        <v>679</v>
      </c>
      <c r="F7073" s="9" t="s">
        <v>699</v>
      </c>
      <c r="G7073" s="10" t="s">
        <v>75</v>
      </c>
      <c r="H7073" s="9" t="s">
        <v>22</v>
      </c>
      <c r="I7073" s="9" t="s">
        <v>15917</v>
      </c>
      <c r="J7073" s="10" t="str">
        <f>HYPERLINK("https://www.boe.es/gazeta/dias/1834/12/10/pdfs/GMD-C-1834-299.pdf#page=4","Abrir facsímil")</f>
        <v>Abrir facsímil</v>
      </c>
      <c r="K7073" s="10" t="s">
        <v>24</v>
      </c>
    </row>
    <row r="7074" spans="1:11" ht="54" customHeight="1">
      <c r="A7074" s="9" t="s">
        <v>15915</v>
      </c>
      <c r="B7074" s="9" t="s">
        <v>15915</v>
      </c>
      <c r="C7074" s="9" t="s">
        <v>46</v>
      </c>
      <c r="D7074" s="9" t="s">
        <v>18</v>
      </c>
      <c r="E7074" s="10" t="s">
        <v>492</v>
      </c>
      <c r="F7074" s="9" t="s">
        <v>493</v>
      </c>
      <c r="G7074" s="10" t="s">
        <v>75</v>
      </c>
      <c r="H7074" s="9" t="s">
        <v>22</v>
      </c>
      <c r="I7074" s="9" t="s">
        <v>15918</v>
      </c>
      <c r="J7074" s="10" t="str">
        <f>HYPERLINK("https://www.boe.es/gazeta/dias/1834/11/21/pdfs/GMD-C-1834-280.pdf#page=4","Abrir facsímil")</f>
        <v>Abrir facsímil</v>
      </c>
      <c r="K7074" s="10" t="s">
        <v>24</v>
      </c>
    </row>
    <row r="7075" spans="1:11" ht="54" customHeight="1">
      <c r="A7075" s="9" t="s">
        <v>15919</v>
      </c>
      <c r="B7075" s="9" t="s">
        <v>15919</v>
      </c>
      <c r="C7075" s="9" t="s">
        <v>17</v>
      </c>
      <c r="D7075" s="9" t="s">
        <v>18</v>
      </c>
      <c r="E7075" s="10" t="s">
        <v>468</v>
      </c>
      <c r="F7075" s="9" t="s">
        <v>469</v>
      </c>
      <c r="G7075" s="10" t="s">
        <v>1099</v>
      </c>
      <c r="H7075" s="9" t="s">
        <v>22</v>
      </c>
      <c r="I7075" s="9" t="s">
        <v>15920</v>
      </c>
      <c r="J7075" s="10" t="str">
        <f>HYPERLINK("https://www.boe.es/gazeta/dias/1834/12/28/pdfs/GMD-C-1834-318.pdf#page=11","Abrir facsímil")</f>
        <v>Abrir facsímil</v>
      </c>
      <c r="K7075" s="10" t="s">
        <v>24</v>
      </c>
    </row>
    <row r="7076" spans="1:11" ht="54" customHeight="1">
      <c r="A7076" s="9" t="s">
        <v>15921</v>
      </c>
      <c r="B7076" s="9" t="s">
        <v>15922</v>
      </c>
      <c r="C7076" s="9" t="s">
        <v>17</v>
      </c>
      <c r="D7076" s="9" t="s">
        <v>40</v>
      </c>
      <c r="E7076" s="10" t="s">
        <v>696</v>
      </c>
      <c r="F7076" s="9" t="s">
        <v>697</v>
      </c>
      <c r="G7076" s="10" t="s">
        <v>34</v>
      </c>
      <c r="H7076" s="9" t="s">
        <v>22</v>
      </c>
      <c r="I7076" s="9" t="s">
        <v>15923</v>
      </c>
      <c r="J7076" s="10" t="str">
        <f>HYPERLINK("https://www.boe.es/gazeta/dias/1834/12/06/pdfs/GMD-C-1834-295.pdf#page=1","Abrir facsímil")</f>
        <v>Abrir facsímil</v>
      </c>
      <c r="K7076" s="10" t="s">
        <v>24</v>
      </c>
    </row>
    <row r="7077" spans="1:11" ht="54" customHeight="1">
      <c r="A7077" s="9" t="s">
        <v>15921</v>
      </c>
      <c r="B7077" s="9" t="s">
        <v>15922</v>
      </c>
      <c r="C7077" s="9" t="s">
        <v>17</v>
      </c>
      <c r="D7077" s="9" t="s">
        <v>40</v>
      </c>
      <c r="E7077" s="10" t="s">
        <v>1008</v>
      </c>
      <c r="F7077" s="9" t="s">
        <v>1009</v>
      </c>
      <c r="G7077" s="10" t="s">
        <v>470</v>
      </c>
      <c r="H7077" s="9" t="s">
        <v>22</v>
      </c>
      <c r="I7077" s="9" t="s">
        <v>15924</v>
      </c>
      <c r="J7077" s="10" t="str">
        <f>HYPERLINK("https://www.boe.es/gazeta/dias/1834/11/08/pdfs/GMD-C-1834-267.pdf#page=8","Abrir facsímil")</f>
        <v>Abrir facsímil</v>
      </c>
      <c r="K7077" s="10" t="s">
        <v>24</v>
      </c>
    </row>
    <row r="7078" spans="1:11" ht="54" customHeight="1">
      <c r="A7078" s="9" t="s">
        <v>15921</v>
      </c>
      <c r="B7078" s="9" t="s">
        <v>15922</v>
      </c>
      <c r="C7078" s="9" t="s">
        <v>17</v>
      </c>
      <c r="D7078" s="9" t="s">
        <v>18</v>
      </c>
      <c r="E7078" s="10" t="s">
        <v>299</v>
      </c>
      <c r="F7078" s="9" t="s">
        <v>2255</v>
      </c>
      <c r="G7078" s="10" t="s">
        <v>86</v>
      </c>
      <c r="H7078" s="9" t="s">
        <v>22</v>
      </c>
      <c r="I7078" s="9" t="s">
        <v>15925</v>
      </c>
      <c r="J7078" s="10" t="str">
        <f>HYPERLINK("https://www.boe.es/gazeta/dias/1834/12/12/pdfs/GMD-C-1834-301.pdf#page=2","Abrir facsímil")</f>
        <v>Abrir facsímil</v>
      </c>
      <c r="K7078" s="10" t="s">
        <v>24</v>
      </c>
    </row>
    <row r="7079" spans="1:11" ht="54" customHeight="1">
      <c r="A7079" s="9" t="s">
        <v>15921</v>
      </c>
      <c r="B7079" s="9" t="s">
        <v>15922</v>
      </c>
      <c r="C7079" s="9" t="s">
        <v>17</v>
      </c>
      <c r="D7079" s="9" t="s">
        <v>18</v>
      </c>
      <c r="E7079" s="10" t="s">
        <v>2087</v>
      </c>
      <c r="F7079" s="9" t="s">
        <v>2267</v>
      </c>
      <c r="G7079" s="10" t="s">
        <v>560</v>
      </c>
      <c r="H7079" s="9" t="s">
        <v>22</v>
      </c>
      <c r="I7079" s="9" t="s">
        <v>15926</v>
      </c>
      <c r="J7079" s="10" t="str">
        <f>HYPERLINK("https://www.boe.es/gazeta/dias/1834/12/14/pdfs/GMD-C-1834-303.pdf#page=7","Abrir facsímil")</f>
        <v>Abrir facsímil</v>
      </c>
      <c r="K7079" s="10" t="s">
        <v>24</v>
      </c>
    </row>
    <row r="7080" spans="1:11" ht="54" customHeight="1">
      <c r="A7080" s="9" t="s">
        <v>15921</v>
      </c>
      <c r="B7080" s="9" t="s">
        <v>15922</v>
      </c>
      <c r="C7080" s="9" t="s">
        <v>17</v>
      </c>
      <c r="D7080" s="9" t="s">
        <v>18</v>
      </c>
      <c r="E7080" s="10" t="s">
        <v>233</v>
      </c>
      <c r="F7080" s="9" t="s">
        <v>1810</v>
      </c>
      <c r="G7080" s="10" t="s">
        <v>2274</v>
      </c>
      <c r="H7080" s="9" t="s">
        <v>22</v>
      </c>
      <c r="I7080" s="9" t="s">
        <v>15927</v>
      </c>
      <c r="J7080" s="10" t="str">
        <f>HYPERLINK("https://www.boe.es/gazeta/dias/1834/12/16/pdfs/GMD-C-1834-305.pdf#page=13","Abrir facsímil")</f>
        <v>Abrir facsímil</v>
      </c>
      <c r="K7080" s="10" t="s">
        <v>24</v>
      </c>
    </row>
    <row r="7081" spans="1:11" ht="54" customHeight="1">
      <c r="A7081" s="9" t="s">
        <v>15921</v>
      </c>
      <c r="B7081" s="9" t="s">
        <v>15922</v>
      </c>
      <c r="C7081" s="9" t="s">
        <v>17</v>
      </c>
      <c r="D7081" s="9" t="s">
        <v>18</v>
      </c>
      <c r="E7081" s="10" t="s">
        <v>1195</v>
      </c>
      <c r="F7081" s="9" t="s">
        <v>1196</v>
      </c>
      <c r="G7081" s="10" t="s">
        <v>21</v>
      </c>
      <c r="H7081" s="9" t="s">
        <v>22</v>
      </c>
      <c r="I7081" s="9" t="s">
        <v>15928</v>
      </c>
      <c r="J7081" s="10" t="str">
        <f>HYPERLINK("https://www.boe.es/gazeta/dias/1834/10/17/pdfs/GMD-C-1834-245.pdf#page=3","Abrir facsímil")</f>
        <v>Abrir facsímil</v>
      </c>
      <c r="K7081" s="10" t="s">
        <v>24</v>
      </c>
    </row>
    <row r="7082" spans="1:11" ht="54" customHeight="1">
      <c r="A7082" s="9" t="s">
        <v>15921</v>
      </c>
      <c r="B7082" s="9" t="s">
        <v>15922</v>
      </c>
      <c r="C7082" s="9" t="s">
        <v>90</v>
      </c>
      <c r="D7082" s="9" t="s">
        <v>101</v>
      </c>
      <c r="E7082" s="10" t="s">
        <v>1195</v>
      </c>
      <c r="F7082" s="9" t="s">
        <v>1196</v>
      </c>
      <c r="G7082" s="10" t="s">
        <v>176</v>
      </c>
      <c r="H7082" s="9" t="s">
        <v>22</v>
      </c>
      <c r="I7082" s="9" t="s">
        <v>15929</v>
      </c>
      <c r="J7082" s="10" t="str">
        <f>HYPERLINK("https://www.boe.es/gazeta/dias/1834/10/17/pdfs/GMD-C-1834-245.pdf#page=6","Abrir facsímil")</f>
        <v>Abrir facsímil</v>
      </c>
      <c r="K7082" s="10" t="s">
        <v>24</v>
      </c>
    </row>
    <row r="7083" spans="1:11" ht="54" customHeight="1">
      <c r="A7083" s="9" t="s">
        <v>15921</v>
      </c>
      <c r="B7083" s="9" t="s">
        <v>15922</v>
      </c>
      <c r="C7083" s="9" t="s">
        <v>17</v>
      </c>
      <c r="D7083" s="9" t="s">
        <v>18</v>
      </c>
      <c r="E7083" s="10" t="s">
        <v>707</v>
      </c>
      <c r="F7083" s="9" t="s">
        <v>708</v>
      </c>
      <c r="G7083" s="10" t="s">
        <v>1343</v>
      </c>
      <c r="H7083" s="9" t="s">
        <v>22</v>
      </c>
      <c r="I7083" s="9" t="s">
        <v>15930</v>
      </c>
      <c r="J7083" s="10" t="str">
        <f>HYPERLINK("https://www.boe.es/gazeta/dias/1834/11/25/pdfs/GMD-C-1834-284.pdf#page=9","Abrir facsímil")</f>
        <v>Abrir facsímil</v>
      </c>
      <c r="K7083" s="10" t="s">
        <v>24</v>
      </c>
    </row>
    <row r="7084" spans="1:11" ht="54" customHeight="1">
      <c r="A7084" s="9" t="s">
        <v>15921</v>
      </c>
      <c r="B7084" s="9" t="s">
        <v>15922</v>
      </c>
      <c r="C7084" s="9" t="s">
        <v>17</v>
      </c>
      <c r="D7084" s="9" t="s">
        <v>18</v>
      </c>
      <c r="E7084" s="10" t="s">
        <v>153</v>
      </c>
      <c r="F7084" s="9" t="s">
        <v>154</v>
      </c>
      <c r="G7084" s="10" t="s">
        <v>560</v>
      </c>
      <c r="H7084" s="9" t="s">
        <v>22</v>
      </c>
      <c r="I7084" s="9" t="s">
        <v>15931</v>
      </c>
      <c r="J7084" s="10" t="str">
        <f>HYPERLINK("https://www.boe.es/gazeta/dias/1834/12/30/pdfs/GMD-C-1834-320.pdf#page=7","Abrir facsímil")</f>
        <v>Abrir facsímil</v>
      </c>
      <c r="K7084" s="10" t="s">
        <v>24</v>
      </c>
    </row>
    <row r="7085" spans="1:11" ht="54" customHeight="1">
      <c r="A7085" s="9" t="s">
        <v>15932</v>
      </c>
      <c r="B7085" s="9" t="s">
        <v>15933</v>
      </c>
      <c r="C7085" s="9" t="s">
        <v>17</v>
      </c>
      <c r="D7085" s="9" t="s">
        <v>18</v>
      </c>
      <c r="E7085" s="10" t="s">
        <v>153</v>
      </c>
      <c r="F7085" s="9" t="s">
        <v>154</v>
      </c>
      <c r="G7085" s="10" t="s">
        <v>75</v>
      </c>
      <c r="H7085" s="9" t="s">
        <v>22</v>
      </c>
      <c r="I7085" s="9" t="s">
        <v>15934</v>
      </c>
      <c r="J7085" s="10" t="str">
        <f>HYPERLINK("https://www.boe.es/gazeta/dias/1834/12/30/pdfs/GMD-C-1834-320.pdf#page=4","Abrir facsímil")</f>
        <v>Abrir facsímil</v>
      </c>
      <c r="K7085" s="10" t="s">
        <v>24</v>
      </c>
    </row>
    <row r="7086" spans="1:11" ht="54" customHeight="1">
      <c r="A7086" s="9" t="s">
        <v>15935</v>
      </c>
      <c r="B7086" s="9" t="s">
        <v>15936</v>
      </c>
      <c r="C7086" s="9" t="s">
        <v>17</v>
      </c>
      <c r="D7086" s="9" t="s">
        <v>18</v>
      </c>
      <c r="E7086" s="10" t="s">
        <v>928</v>
      </c>
      <c r="F7086" s="9" t="s">
        <v>929</v>
      </c>
      <c r="G7086" s="10" t="s">
        <v>75</v>
      </c>
      <c r="H7086" s="9" t="s">
        <v>22</v>
      </c>
      <c r="I7086" s="9" t="s">
        <v>15937</v>
      </c>
      <c r="J7086" s="10" t="str">
        <f>HYPERLINK("https://www.boe.es/gazeta/dias/1834/11/15/pdfs/GMD-C-1834-274.pdf#page=4","Abrir facsímil")</f>
        <v>Abrir facsímil</v>
      </c>
      <c r="K7086" s="10" t="s">
        <v>24</v>
      </c>
    </row>
    <row r="7087" spans="1:11" ht="54" customHeight="1">
      <c r="A7087" s="9" t="s">
        <v>15938</v>
      </c>
      <c r="B7087" s="9" t="s">
        <v>15938</v>
      </c>
      <c r="C7087" s="9" t="s">
        <v>17</v>
      </c>
      <c r="D7087" s="9" t="s">
        <v>18</v>
      </c>
      <c r="E7087" s="10" t="s">
        <v>793</v>
      </c>
      <c r="F7087" s="9" t="s">
        <v>1895</v>
      </c>
      <c r="G7087" s="10" t="s">
        <v>21</v>
      </c>
      <c r="H7087" s="9" t="s">
        <v>22</v>
      </c>
      <c r="I7087" s="9" t="s">
        <v>15939</v>
      </c>
      <c r="J7087" s="10" t="str">
        <f>HYPERLINK("https://www.boe.es/gazeta/dias/1834/10/08/pdfs/GMD-C-1834-236.pdf#page=3","Abrir facsímil")</f>
        <v>Abrir facsímil</v>
      </c>
      <c r="K7087" s="10" t="s">
        <v>24</v>
      </c>
    </row>
    <row r="7088" spans="1:11" ht="54" customHeight="1">
      <c r="A7088" s="9" t="s">
        <v>15938</v>
      </c>
      <c r="B7088" s="9" t="s">
        <v>15938</v>
      </c>
      <c r="C7088" s="9" t="s">
        <v>17</v>
      </c>
      <c r="D7088" s="9" t="s">
        <v>18</v>
      </c>
      <c r="E7088" s="10" t="s">
        <v>1008</v>
      </c>
      <c r="F7088" s="9" t="s">
        <v>1009</v>
      </c>
      <c r="G7088" s="10" t="s">
        <v>21</v>
      </c>
      <c r="H7088" s="9" t="s">
        <v>22</v>
      </c>
      <c r="I7088" s="9" t="s">
        <v>15940</v>
      </c>
      <c r="J7088" s="10" t="str">
        <f>HYPERLINK("https://www.boe.es/gazeta/dias/1834/11/08/pdfs/GMD-C-1834-267.pdf#page=3","Abrir facsímil")</f>
        <v>Abrir facsímil</v>
      </c>
      <c r="K7088" s="10" t="s">
        <v>24</v>
      </c>
    </row>
    <row r="7089" spans="1:11" ht="54" customHeight="1">
      <c r="A7089" s="9" t="s">
        <v>15938</v>
      </c>
      <c r="B7089" s="9" t="s">
        <v>15938</v>
      </c>
      <c r="C7089" s="9" t="s">
        <v>17</v>
      </c>
      <c r="D7089" s="9" t="s">
        <v>18</v>
      </c>
      <c r="E7089" s="10" t="s">
        <v>1008</v>
      </c>
      <c r="F7089" s="9" t="s">
        <v>1009</v>
      </c>
      <c r="G7089" s="10" t="s">
        <v>176</v>
      </c>
      <c r="H7089" s="9" t="s">
        <v>22</v>
      </c>
      <c r="I7089" s="9" t="s">
        <v>15941</v>
      </c>
      <c r="J7089" s="10" t="str">
        <f>HYPERLINK("https://www.boe.es/gazeta/dias/1834/11/08/pdfs/GMD-C-1834-267.pdf#page=6","Abrir facsímil")</f>
        <v>Abrir facsímil</v>
      </c>
      <c r="K7089" s="10" t="s">
        <v>24</v>
      </c>
    </row>
    <row r="7090" spans="1:11" ht="54" customHeight="1">
      <c r="A7090" s="9" t="s">
        <v>15938</v>
      </c>
      <c r="B7090" s="9" t="s">
        <v>15938</v>
      </c>
      <c r="C7090" s="9" t="s">
        <v>46</v>
      </c>
      <c r="D7090" s="9" t="s">
        <v>101</v>
      </c>
      <c r="E7090" s="10" t="s">
        <v>1008</v>
      </c>
      <c r="F7090" s="9" t="s">
        <v>1009</v>
      </c>
      <c r="G7090" s="10" t="s">
        <v>560</v>
      </c>
      <c r="H7090" s="9" t="s">
        <v>22</v>
      </c>
      <c r="I7090" s="9" t="s">
        <v>15942</v>
      </c>
      <c r="J7090" s="10" t="str">
        <f>HYPERLINK("https://www.boe.es/gazeta/dias/1834/11/08/pdfs/GMD-C-1834-267.pdf#page=7","Abrir facsímil")</f>
        <v>Abrir facsímil</v>
      </c>
      <c r="K7090" s="10" t="s">
        <v>24</v>
      </c>
    </row>
    <row r="7091" spans="1:11" ht="54" customHeight="1">
      <c r="A7091" s="9" t="s">
        <v>15938</v>
      </c>
      <c r="B7091" s="9" t="s">
        <v>15938</v>
      </c>
      <c r="C7091" s="9" t="s">
        <v>17</v>
      </c>
      <c r="D7091" s="9" t="s">
        <v>18</v>
      </c>
      <c r="E7091" s="10" t="s">
        <v>438</v>
      </c>
      <c r="F7091" s="9" t="s">
        <v>528</v>
      </c>
      <c r="G7091" s="10" t="s">
        <v>21</v>
      </c>
      <c r="H7091" s="9" t="s">
        <v>22</v>
      </c>
      <c r="I7091" s="9" t="s">
        <v>15943</v>
      </c>
      <c r="J7091" s="10" t="str">
        <f>HYPERLINK("https://www.boe.es/gazeta/dias/1834/11/09/pdfs/GMD-C-1834-268.pdf#page=3","Abrir facsímil")</f>
        <v>Abrir facsímil</v>
      </c>
      <c r="K7091" s="10" t="s">
        <v>24</v>
      </c>
    </row>
    <row r="7092" spans="1:11" ht="54" customHeight="1">
      <c r="A7092" s="9" t="s">
        <v>15938</v>
      </c>
      <c r="B7092" s="9" t="s">
        <v>15938</v>
      </c>
      <c r="C7092" s="9" t="s">
        <v>17</v>
      </c>
      <c r="D7092" s="9" t="s">
        <v>55</v>
      </c>
      <c r="E7092" s="10" t="s">
        <v>438</v>
      </c>
      <c r="F7092" s="9" t="s">
        <v>528</v>
      </c>
      <c r="G7092" s="10" t="s">
        <v>75</v>
      </c>
      <c r="H7092" s="9" t="s">
        <v>22</v>
      </c>
      <c r="I7092" s="9" t="s">
        <v>15944</v>
      </c>
      <c r="J7092" s="10" t="str">
        <f>HYPERLINK("https://www.boe.es/gazeta/dias/1834/11/09/pdfs/GMD-C-1834-268.pdf#page=4","Abrir facsímil")</f>
        <v>Abrir facsímil</v>
      </c>
      <c r="K7092" s="10" t="s">
        <v>24</v>
      </c>
    </row>
    <row r="7093" spans="1:11" ht="54" customHeight="1">
      <c r="A7093" s="9" t="s">
        <v>15938</v>
      </c>
      <c r="B7093" s="9" t="s">
        <v>15938</v>
      </c>
      <c r="C7093" s="9" t="s">
        <v>17</v>
      </c>
      <c r="D7093" s="9" t="s">
        <v>40</v>
      </c>
      <c r="E7093" s="10" t="s">
        <v>299</v>
      </c>
      <c r="F7093" s="9" t="s">
        <v>2255</v>
      </c>
      <c r="G7093" s="10" t="s">
        <v>75</v>
      </c>
      <c r="H7093" s="9" t="s">
        <v>22</v>
      </c>
      <c r="I7093" s="9" t="s">
        <v>15945</v>
      </c>
      <c r="J7093" s="10" t="str">
        <f>HYPERLINK("https://www.boe.es/gazeta/dias/1834/12/12/pdfs/GMD-C-1834-301.pdf#page=4","Abrir facsímil")</f>
        <v>Abrir facsímil</v>
      </c>
      <c r="K7093" s="10" t="s">
        <v>24</v>
      </c>
    </row>
    <row r="7094" spans="1:11" ht="54" customHeight="1">
      <c r="A7094" s="9" t="s">
        <v>15946</v>
      </c>
      <c r="B7094" s="9" t="s">
        <v>15946</v>
      </c>
      <c r="C7094" s="9" t="s">
        <v>66</v>
      </c>
      <c r="D7094" s="9" t="s">
        <v>67</v>
      </c>
      <c r="E7094" s="10" t="s">
        <v>2260</v>
      </c>
      <c r="F7094" s="9" t="s">
        <v>2263</v>
      </c>
      <c r="G7094" s="10" t="s">
        <v>21</v>
      </c>
      <c r="H7094" s="9" t="s">
        <v>22</v>
      </c>
      <c r="I7094" s="9" t="s">
        <v>15947</v>
      </c>
      <c r="J7094" s="10" t="str">
        <f>HYPERLINK("https://www.boe.es/gazeta/dias/1834/11/13/pdfs/GMD-C-1834-272.pdf#page=3","Abrir facsímil")</f>
        <v>Abrir facsímil</v>
      </c>
      <c r="K7094" s="10" t="s">
        <v>24</v>
      </c>
    </row>
    <row r="7095" spans="1:11" ht="54" customHeight="1">
      <c r="A7095" s="9" t="s">
        <v>15938</v>
      </c>
      <c r="B7095" s="9" t="s">
        <v>15938</v>
      </c>
      <c r="C7095" s="9" t="s">
        <v>17</v>
      </c>
      <c r="D7095" s="9" t="s">
        <v>18</v>
      </c>
      <c r="E7095" s="10" t="s">
        <v>2260</v>
      </c>
      <c r="F7095" s="9" t="s">
        <v>2263</v>
      </c>
      <c r="G7095" s="10" t="s">
        <v>560</v>
      </c>
      <c r="H7095" s="9" t="s">
        <v>22</v>
      </c>
      <c r="I7095" s="9" t="s">
        <v>15948</v>
      </c>
      <c r="J7095" s="10" t="str">
        <f>HYPERLINK("https://www.boe.es/gazeta/dias/1834/11/13/pdfs/GMD-C-1834-272.pdf#page=7","Abrir facsímil")</f>
        <v>Abrir facsímil</v>
      </c>
      <c r="K7095" s="10" t="s">
        <v>24</v>
      </c>
    </row>
    <row r="7096" spans="1:11" ht="54" customHeight="1">
      <c r="A7096" s="9" t="s">
        <v>15938</v>
      </c>
      <c r="B7096" s="9" t="s">
        <v>15938</v>
      </c>
      <c r="C7096" s="9" t="s">
        <v>66</v>
      </c>
      <c r="D7096" s="9" t="s">
        <v>67</v>
      </c>
      <c r="E7096" s="10" t="s">
        <v>928</v>
      </c>
      <c r="F7096" s="9" t="s">
        <v>929</v>
      </c>
      <c r="G7096" s="10" t="s">
        <v>28</v>
      </c>
      <c r="H7096" s="9" t="s">
        <v>22</v>
      </c>
      <c r="I7096" s="9" t="s">
        <v>15949</v>
      </c>
      <c r="J7096" s="10" t="str">
        <f>HYPERLINK("https://www.boe.es/gazeta/dias/1834/11/15/pdfs/GMD-C-1834-274.pdf#page=5","Abrir facsímil")</f>
        <v>Abrir facsímil</v>
      </c>
      <c r="K7096" s="10" t="s">
        <v>24</v>
      </c>
    </row>
    <row r="7097" spans="1:11" ht="54" customHeight="1">
      <c r="A7097" s="9" t="s">
        <v>15938</v>
      </c>
      <c r="B7097" s="9" t="s">
        <v>15938</v>
      </c>
      <c r="C7097" s="9" t="s">
        <v>17</v>
      </c>
      <c r="D7097" s="9" t="s">
        <v>18</v>
      </c>
      <c r="E7097" s="10" t="s">
        <v>454</v>
      </c>
      <c r="F7097" s="9" t="s">
        <v>455</v>
      </c>
      <c r="G7097" s="10" t="s">
        <v>86</v>
      </c>
      <c r="H7097" s="9" t="s">
        <v>22</v>
      </c>
      <c r="I7097" s="9" t="s">
        <v>15950</v>
      </c>
      <c r="J7097" s="10" t="str">
        <f>HYPERLINK("https://www.boe.es/gazeta/dias/1834/10/16/pdfs/GMD-C-1834-244.pdf#page=2","Abrir facsímil")</f>
        <v>Abrir facsímil</v>
      </c>
      <c r="K7097" s="10" t="s">
        <v>24</v>
      </c>
    </row>
    <row r="7098" spans="1:11" ht="54" customHeight="1">
      <c r="A7098" s="9" t="s">
        <v>15938</v>
      </c>
      <c r="B7098" s="9" t="s">
        <v>15938</v>
      </c>
      <c r="C7098" s="9" t="s">
        <v>17</v>
      </c>
      <c r="D7098" s="9" t="s">
        <v>18</v>
      </c>
      <c r="E7098" s="10" t="s">
        <v>454</v>
      </c>
      <c r="F7098" s="9" t="s">
        <v>455</v>
      </c>
      <c r="G7098" s="10" t="s">
        <v>21</v>
      </c>
      <c r="H7098" s="9" t="s">
        <v>22</v>
      </c>
      <c r="I7098" s="9" t="s">
        <v>15951</v>
      </c>
      <c r="J7098" s="10" t="str">
        <f>HYPERLINK("https://www.boe.es/gazeta/dias/1834/10/16/pdfs/GMD-C-1834-244.pdf#page=3","Abrir facsímil")</f>
        <v>Abrir facsímil</v>
      </c>
      <c r="K7098" s="10" t="s">
        <v>24</v>
      </c>
    </row>
    <row r="7099" spans="1:11" ht="54" customHeight="1">
      <c r="A7099" s="9" t="s">
        <v>15938</v>
      </c>
      <c r="B7099" s="9" t="s">
        <v>15938</v>
      </c>
      <c r="C7099" s="9" t="s">
        <v>122</v>
      </c>
      <c r="D7099" s="9" t="s">
        <v>18</v>
      </c>
      <c r="E7099" s="10" t="s">
        <v>233</v>
      </c>
      <c r="F7099" s="9" t="s">
        <v>1810</v>
      </c>
      <c r="G7099" s="10" t="s">
        <v>2174</v>
      </c>
      <c r="H7099" s="9" t="s">
        <v>22</v>
      </c>
      <c r="I7099" s="9" t="s">
        <v>15952</v>
      </c>
      <c r="J7099" s="10" t="str">
        <f>HYPERLINK("https://www.boe.es/gazeta/dias/1834/12/16/pdfs/GMD-C-1834-305.pdf#page=10","Abrir facsímil")</f>
        <v>Abrir facsímil</v>
      </c>
      <c r="K7099" s="10" t="s">
        <v>24</v>
      </c>
    </row>
    <row r="7100" spans="1:11" ht="54" customHeight="1">
      <c r="A7100" s="9" t="s">
        <v>15938</v>
      </c>
      <c r="B7100" s="9" t="s">
        <v>15938</v>
      </c>
      <c r="C7100" s="9" t="s">
        <v>17</v>
      </c>
      <c r="D7100" s="9" t="s">
        <v>55</v>
      </c>
      <c r="E7100" s="10" t="s">
        <v>233</v>
      </c>
      <c r="F7100" s="9" t="s">
        <v>1810</v>
      </c>
      <c r="G7100" s="10" t="s">
        <v>1099</v>
      </c>
      <c r="H7100" s="9" t="s">
        <v>22</v>
      </c>
      <c r="I7100" s="9" t="s">
        <v>15953</v>
      </c>
      <c r="J7100" s="10" t="str">
        <f>HYPERLINK("https://www.boe.es/gazeta/dias/1834/12/16/pdfs/GMD-C-1834-305.pdf#page=11","Abrir facsímil")</f>
        <v>Abrir facsímil</v>
      </c>
      <c r="K7100" s="10" t="s">
        <v>24</v>
      </c>
    </row>
    <row r="7101" spans="1:11" ht="54" customHeight="1">
      <c r="A7101" s="9" t="s">
        <v>15938</v>
      </c>
      <c r="B7101" s="9" t="s">
        <v>15938</v>
      </c>
      <c r="C7101" s="9" t="s">
        <v>17</v>
      </c>
      <c r="D7101" s="9" t="s">
        <v>55</v>
      </c>
      <c r="E7101" s="10" t="s">
        <v>233</v>
      </c>
      <c r="F7101" s="9" t="s">
        <v>1810</v>
      </c>
      <c r="G7101" s="10" t="s">
        <v>1343</v>
      </c>
      <c r="H7101" s="9" t="s">
        <v>22</v>
      </c>
      <c r="I7101" s="9" t="s">
        <v>15954</v>
      </c>
      <c r="J7101" s="10" t="str">
        <f>HYPERLINK("https://www.boe.es/gazeta/dias/1834/12/16/pdfs/GMD-C-1834-305.pdf#page=9","Abrir facsímil")</f>
        <v>Abrir facsímil</v>
      </c>
      <c r="K7101" s="10" t="s">
        <v>24</v>
      </c>
    </row>
    <row r="7102" spans="1:11" ht="54" customHeight="1">
      <c r="A7102" s="9" t="s">
        <v>15938</v>
      </c>
      <c r="B7102" s="9" t="s">
        <v>15938</v>
      </c>
      <c r="C7102" s="9" t="s">
        <v>17</v>
      </c>
      <c r="D7102" s="9" t="s">
        <v>18</v>
      </c>
      <c r="E7102" s="10" t="s">
        <v>1195</v>
      </c>
      <c r="F7102" s="9" t="s">
        <v>1196</v>
      </c>
      <c r="G7102" s="10" t="s">
        <v>21</v>
      </c>
      <c r="H7102" s="9" t="s">
        <v>22</v>
      </c>
      <c r="I7102" s="9" t="s">
        <v>15955</v>
      </c>
      <c r="J7102" s="10" t="str">
        <f>HYPERLINK("https://www.boe.es/gazeta/dias/1834/10/17/pdfs/GMD-C-1834-245.pdf#page=3","Abrir facsímil")</f>
        <v>Abrir facsímil</v>
      </c>
      <c r="K7102" s="10" t="s">
        <v>24</v>
      </c>
    </row>
    <row r="7103" spans="1:11" ht="54" customHeight="1">
      <c r="A7103" s="9" t="s">
        <v>15938</v>
      </c>
      <c r="B7103" s="9" t="s">
        <v>15938</v>
      </c>
      <c r="C7103" s="9" t="s">
        <v>46</v>
      </c>
      <c r="D7103" s="9" t="s">
        <v>101</v>
      </c>
      <c r="E7103" s="10" t="s">
        <v>1195</v>
      </c>
      <c r="F7103" s="9" t="s">
        <v>1196</v>
      </c>
      <c r="G7103" s="10" t="s">
        <v>28</v>
      </c>
      <c r="H7103" s="9" t="s">
        <v>22</v>
      </c>
      <c r="I7103" s="9" t="s">
        <v>15956</v>
      </c>
      <c r="J7103" s="10" t="str">
        <f>HYPERLINK("https://www.boe.es/gazeta/dias/1834/10/17/pdfs/GMD-C-1834-245.pdf#page=5","Abrir facsímil")</f>
        <v>Abrir facsímil</v>
      </c>
      <c r="K7103" s="10" t="s">
        <v>24</v>
      </c>
    </row>
    <row r="7104" spans="1:11" ht="54" customHeight="1">
      <c r="A7104" s="9" t="s">
        <v>15938</v>
      </c>
      <c r="B7104" s="9" t="s">
        <v>15938</v>
      </c>
      <c r="C7104" s="9" t="s">
        <v>17</v>
      </c>
      <c r="D7104" s="9" t="s">
        <v>18</v>
      </c>
      <c r="E7104" s="10" t="s">
        <v>1195</v>
      </c>
      <c r="F7104" s="9" t="s">
        <v>1196</v>
      </c>
      <c r="G7104" s="10" t="s">
        <v>560</v>
      </c>
      <c r="H7104" s="9" t="s">
        <v>22</v>
      </c>
      <c r="I7104" s="9" t="s">
        <v>15957</v>
      </c>
      <c r="J7104" s="10" t="str">
        <f>HYPERLINK("https://www.boe.es/gazeta/dias/1834/10/17/pdfs/GMD-C-1834-245.pdf#page=7","Abrir facsímil")</f>
        <v>Abrir facsímil</v>
      </c>
      <c r="K7104" s="10" t="s">
        <v>24</v>
      </c>
    </row>
    <row r="7105" spans="1:11" ht="54" customHeight="1">
      <c r="A7105" s="9" t="s">
        <v>15938</v>
      </c>
      <c r="B7105" s="9" t="s">
        <v>15938</v>
      </c>
      <c r="C7105" s="9" t="s">
        <v>90</v>
      </c>
      <c r="D7105" s="9" t="s">
        <v>18</v>
      </c>
      <c r="E7105" s="10" t="s">
        <v>262</v>
      </c>
      <c r="F7105" s="9" t="s">
        <v>263</v>
      </c>
      <c r="G7105" s="10" t="s">
        <v>21</v>
      </c>
      <c r="H7105" s="9" t="s">
        <v>22</v>
      </c>
      <c r="I7105" s="9" t="s">
        <v>15958</v>
      </c>
      <c r="J7105" s="10" t="str">
        <f>HYPERLINK("https://www.boe.es/gazeta/dias/1834/10/18/pdfs/GMD-C-1834-246.pdf#page=3","Abrir facsímil")</f>
        <v>Abrir facsímil</v>
      </c>
      <c r="K7105" s="10" t="s">
        <v>24</v>
      </c>
    </row>
    <row r="7106" spans="1:11" ht="54" customHeight="1">
      <c r="A7106" s="9" t="s">
        <v>15938</v>
      </c>
      <c r="B7106" s="9" t="s">
        <v>15938</v>
      </c>
      <c r="C7106" s="9" t="s">
        <v>17</v>
      </c>
      <c r="D7106" s="9" t="s">
        <v>18</v>
      </c>
      <c r="E7106" s="10" t="s">
        <v>2287</v>
      </c>
      <c r="F7106" s="9" t="s">
        <v>2288</v>
      </c>
      <c r="G7106" s="10" t="s">
        <v>176</v>
      </c>
      <c r="H7106" s="9" t="s">
        <v>22</v>
      </c>
      <c r="I7106" s="9" t="s">
        <v>15959</v>
      </c>
      <c r="J7106" s="10" t="str">
        <f>HYPERLINK("https://www.boe.es/gazeta/dias/1834/12/18/pdfs/GMD-C-1834-308.pdf#page=6","Abrir facsímil")</f>
        <v>Abrir facsímil</v>
      </c>
      <c r="K7106" s="10" t="s">
        <v>24</v>
      </c>
    </row>
    <row r="7107" spans="1:11" ht="54" customHeight="1">
      <c r="A7107" s="9" t="s">
        <v>15938</v>
      </c>
      <c r="B7107" s="9" t="s">
        <v>15938</v>
      </c>
      <c r="C7107" s="9" t="s">
        <v>17</v>
      </c>
      <c r="D7107" s="9" t="s">
        <v>18</v>
      </c>
      <c r="E7107" s="10" t="s">
        <v>647</v>
      </c>
      <c r="F7107" s="9" t="s">
        <v>648</v>
      </c>
      <c r="G7107" s="10" t="s">
        <v>75</v>
      </c>
      <c r="H7107" s="9" t="s">
        <v>22</v>
      </c>
      <c r="I7107" s="9" t="s">
        <v>15960</v>
      </c>
      <c r="J7107" s="10" t="str">
        <f>HYPERLINK("https://www.boe.es/gazeta/dias/1834/10/21/pdfs/GMD-C-1834-249.pdf#page=4","Abrir facsímil")</f>
        <v>Abrir facsímil</v>
      </c>
      <c r="K7107" s="10" t="s">
        <v>24</v>
      </c>
    </row>
    <row r="7108" spans="1:11" ht="54" customHeight="1">
      <c r="A7108" s="9" t="s">
        <v>15938</v>
      </c>
      <c r="B7108" s="9" t="s">
        <v>15938</v>
      </c>
      <c r="C7108" s="9" t="s">
        <v>17</v>
      </c>
      <c r="D7108" s="9" t="s">
        <v>18</v>
      </c>
      <c r="E7108" s="10" t="s">
        <v>647</v>
      </c>
      <c r="F7108" s="9" t="s">
        <v>648</v>
      </c>
      <c r="G7108" s="10" t="s">
        <v>28</v>
      </c>
      <c r="H7108" s="9" t="s">
        <v>22</v>
      </c>
      <c r="I7108" s="9" t="s">
        <v>15961</v>
      </c>
      <c r="J7108" s="10" t="str">
        <f>HYPERLINK("https://www.boe.es/gazeta/dias/1834/10/21/pdfs/GMD-C-1834-249.pdf#page=5","Abrir facsímil")</f>
        <v>Abrir facsímil</v>
      </c>
      <c r="K7108" s="10" t="s">
        <v>24</v>
      </c>
    </row>
    <row r="7109" spans="1:11" ht="54" customHeight="1">
      <c r="A7109" s="9" t="s">
        <v>15938</v>
      </c>
      <c r="B7109" s="9" t="s">
        <v>15938</v>
      </c>
      <c r="C7109" s="9" t="s">
        <v>17</v>
      </c>
      <c r="D7109" s="9" t="s">
        <v>55</v>
      </c>
      <c r="E7109" s="10" t="s">
        <v>647</v>
      </c>
      <c r="F7109" s="9" t="s">
        <v>648</v>
      </c>
      <c r="G7109" s="10" t="s">
        <v>176</v>
      </c>
      <c r="H7109" s="9" t="s">
        <v>22</v>
      </c>
      <c r="I7109" s="9" t="s">
        <v>15962</v>
      </c>
      <c r="J7109" s="10" t="str">
        <f>HYPERLINK("https://www.boe.es/gazeta/dias/1834/10/21/pdfs/GMD-C-1834-249.pdf#page=6","Abrir facsímil")</f>
        <v>Abrir facsímil</v>
      </c>
      <c r="K7109" s="10" t="s">
        <v>24</v>
      </c>
    </row>
    <row r="7110" spans="1:11" ht="54" customHeight="1">
      <c r="A7110" s="9" t="s">
        <v>15938</v>
      </c>
      <c r="B7110" s="9" t="s">
        <v>15938</v>
      </c>
      <c r="C7110" s="9" t="s">
        <v>17</v>
      </c>
      <c r="D7110" s="9" t="s">
        <v>18</v>
      </c>
      <c r="E7110" s="10" t="s">
        <v>492</v>
      </c>
      <c r="F7110" s="9" t="s">
        <v>493</v>
      </c>
      <c r="G7110" s="10" t="s">
        <v>75</v>
      </c>
      <c r="H7110" s="9" t="s">
        <v>22</v>
      </c>
      <c r="I7110" s="9" t="s">
        <v>15963</v>
      </c>
      <c r="J7110" s="10" t="str">
        <f>HYPERLINK("https://www.boe.es/gazeta/dias/1834/11/21/pdfs/GMD-C-1834-280.pdf#page=4","Abrir facsímil")</f>
        <v>Abrir facsímil</v>
      </c>
      <c r="K7110" s="10" t="s">
        <v>24</v>
      </c>
    </row>
    <row r="7111" spans="1:11" ht="54" customHeight="1">
      <c r="A7111" s="9" t="s">
        <v>15938</v>
      </c>
      <c r="B7111" s="9" t="s">
        <v>15938</v>
      </c>
      <c r="C7111" s="9" t="s">
        <v>17</v>
      </c>
      <c r="D7111" s="9" t="s">
        <v>18</v>
      </c>
      <c r="E7111" s="10" t="s">
        <v>702</v>
      </c>
      <c r="F7111" s="9" t="s">
        <v>703</v>
      </c>
      <c r="G7111" s="10" t="s">
        <v>28</v>
      </c>
      <c r="H7111" s="9" t="s">
        <v>22</v>
      </c>
      <c r="I7111" s="9" t="s">
        <v>15964</v>
      </c>
      <c r="J7111" s="10" t="str">
        <f>HYPERLINK("https://www.boe.es/gazeta/dias/1834/11/22/pdfs/GMD-C-1834-281.pdf#page=5","Abrir facsímil")</f>
        <v>Abrir facsímil</v>
      </c>
      <c r="K7111" s="10" t="s">
        <v>24</v>
      </c>
    </row>
    <row r="7112" spans="1:11" ht="54" customHeight="1">
      <c r="A7112" s="9" t="s">
        <v>15938</v>
      </c>
      <c r="B7112" s="9" t="s">
        <v>15938</v>
      </c>
      <c r="C7112" s="9" t="s">
        <v>122</v>
      </c>
      <c r="D7112" s="9" t="s">
        <v>18</v>
      </c>
      <c r="E7112" s="10" t="s">
        <v>2142</v>
      </c>
      <c r="F7112" s="9" t="s">
        <v>2316</v>
      </c>
      <c r="G7112" s="10" t="s">
        <v>86</v>
      </c>
      <c r="H7112" s="9" t="s">
        <v>22</v>
      </c>
      <c r="I7112" s="9" t="s">
        <v>15965</v>
      </c>
      <c r="J7112" s="10" t="str">
        <f>HYPERLINK("https://www.boe.es/gazeta/dias/1834/12/27/pdfs/GMD-C-1834-317.pdf#page=2","Abrir facsímil")</f>
        <v>Abrir facsímil</v>
      </c>
      <c r="K7112" s="10" t="s">
        <v>24</v>
      </c>
    </row>
    <row r="7113" spans="1:11" ht="54" customHeight="1">
      <c r="A7113" s="9" t="s">
        <v>15938</v>
      </c>
      <c r="B7113" s="9" t="s">
        <v>15938</v>
      </c>
      <c r="C7113" s="9" t="s">
        <v>17</v>
      </c>
      <c r="D7113" s="9" t="s">
        <v>18</v>
      </c>
      <c r="E7113" s="10" t="s">
        <v>153</v>
      </c>
      <c r="F7113" s="9" t="s">
        <v>154</v>
      </c>
      <c r="G7113" s="10" t="s">
        <v>560</v>
      </c>
      <c r="H7113" s="9" t="s">
        <v>22</v>
      </c>
      <c r="I7113" s="9" t="s">
        <v>15966</v>
      </c>
      <c r="J7113" s="10" t="str">
        <f>HYPERLINK("https://www.boe.es/gazeta/dias/1834/12/30/pdfs/GMD-C-1834-320.pdf#page=7","Abrir facsímil")</f>
        <v>Abrir facsímil</v>
      </c>
      <c r="K7113" s="10" t="s">
        <v>24</v>
      </c>
    </row>
    <row r="7114" spans="1:11" ht="54" customHeight="1">
      <c r="A7114" s="9" t="s">
        <v>15967</v>
      </c>
      <c r="B7114" s="9" t="s">
        <v>15967</v>
      </c>
      <c r="C7114" s="9" t="s">
        <v>17</v>
      </c>
      <c r="D7114" s="9" t="s">
        <v>18</v>
      </c>
      <c r="E7114" s="10" t="s">
        <v>233</v>
      </c>
      <c r="F7114" s="9" t="s">
        <v>1810</v>
      </c>
      <c r="G7114" s="10" t="s">
        <v>2174</v>
      </c>
      <c r="H7114" s="9" t="s">
        <v>22</v>
      </c>
      <c r="I7114" s="9" t="s">
        <v>15968</v>
      </c>
      <c r="J7114" s="10" t="str">
        <f>HYPERLINK("https://www.boe.es/gazeta/dias/1834/12/16/pdfs/GMD-C-1834-305.pdf#page=10","Abrir facsímil")</f>
        <v>Abrir facsímil</v>
      </c>
      <c r="K7114" s="10" t="s">
        <v>24</v>
      </c>
    </row>
    <row r="7115" spans="1:11" ht="54" customHeight="1">
      <c r="A7115" s="9" t="s">
        <v>15969</v>
      </c>
      <c r="B7115" s="9" t="s">
        <v>15970</v>
      </c>
      <c r="C7115" s="9" t="s">
        <v>17</v>
      </c>
      <c r="D7115" s="9" t="s">
        <v>18</v>
      </c>
      <c r="E7115" s="10" t="s">
        <v>707</v>
      </c>
      <c r="F7115" s="9" t="s">
        <v>708</v>
      </c>
      <c r="G7115" s="10" t="s">
        <v>470</v>
      </c>
      <c r="H7115" s="9" t="s">
        <v>22</v>
      </c>
      <c r="I7115" s="9" t="s">
        <v>15971</v>
      </c>
      <c r="J7115" s="10" t="str">
        <f>HYPERLINK("https://www.boe.es/gazeta/dias/1834/11/25/pdfs/GMD-C-1834-284.pdf#page=8","Abrir facsímil")</f>
        <v>Abrir facsímil</v>
      </c>
      <c r="K7115" s="10" t="s">
        <v>24</v>
      </c>
    </row>
    <row r="7116" spans="1:11" ht="54" customHeight="1">
      <c r="A7116" s="9" t="s">
        <v>15972</v>
      </c>
      <c r="B7116" s="9" t="s">
        <v>15973</v>
      </c>
      <c r="C7116" s="9" t="s">
        <v>17</v>
      </c>
      <c r="D7116" s="9" t="s">
        <v>18</v>
      </c>
      <c r="E7116" s="10" t="s">
        <v>73</v>
      </c>
      <c r="F7116" s="9" t="s">
        <v>1416</v>
      </c>
      <c r="G7116" s="10" t="s">
        <v>21</v>
      </c>
      <c r="H7116" s="9" t="s">
        <v>22</v>
      </c>
      <c r="I7116" s="9" t="s">
        <v>15974</v>
      </c>
      <c r="J7116" s="10" t="str">
        <f>HYPERLINK("https://www.boe.es/gazeta/dias/1834/11/04/pdfs/GMD-C-1834-263.pdf#page=3","Abrir facsímil")</f>
        <v>Abrir facsímil</v>
      </c>
      <c r="K7116" s="10" t="s">
        <v>24</v>
      </c>
    </row>
    <row r="7117" spans="1:11" ht="54" customHeight="1">
      <c r="A7117" s="9" t="s">
        <v>15972</v>
      </c>
      <c r="B7117" s="9" t="s">
        <v>15973</v>
      </c>
      <c r="C7117" s="9" t="s">
        <v>17</v>
      </c>
      <c r="D7117" s="9" t="s">
        <v>18</v>
      </c>
      <c r="E7117" s="10" t="s">
        <v>793</v>
      </c>
      <c r="F7117" s="9" t="s">
        <v>1895</v>
      </c>
      <c r="G7117" s="10" t="s">
        <v>34</v>
      </c>
      <c r="H7117" s="9" t="s">
        <v>22</v>
      </c>
      <c r="I7117" s="9" t="s">
        <v>15975</v>
      </c>
      <c r="J7117" s="10" t="str">
        <f>HYPERLINK("https://www.boe.es/gazeta/dias/1834/10/08/pdfs/GMD-C-1834-236.pdf#page=1","Abrir facsímil")</f>
        <v>Abrir facsímil</v>
      </c>
      <c r="K7117" s="10" t="s">
        <v>24</v>
      </c>
    </row>
    <row r="7118" spans="1:11" ht="54" customHeight="1">
      <c r="A7118" s="9" t="s">
        <v>15972</v>
      </c>
      <c r="B7118" s="9" t="s">
        <v>15973</v>
      </c>
      <c r="C7118" s="9" t="s">
        <v>17</v>
      </c>
      <c r="D7118" s="9" t="s">
        <v>18</v>
      </c>
      <c r="E7118" s="10" t="s">
        <v>793</v>
      </c>
      <c r="F7118" s="9" t="s">
        <v>1895</v>
      </c>
      <c r="G7118" s="10" t="s">
        <v>86</v>
      </c>
      <c r="H7118" s="9" t="s">
        <v>22</v>
      </c>
      <c r="I7118" s="9" t="s">
        <v>15976</v>
      </c>
      <c r="J7118" s="10" t="str">
        <f>HYPERLINK("https://www.boe.es/gazeta/dias/1834/10/08/pdfs/GMD-C-1834-236.pdf#page=2","Abrir facsímil")</f>
        <v>Abrir facsímil</v>
      </c>
      <c r="K7118" s="10" t="s">
        <v>24</v>
      </c>
    </row>
    <row r="7119" spans="1:11" ht="54" customHeight="1">
      <c r="A7119" s="9" t="s">
        <v>15972</v>
      </c>
      <c r="B7119" s="9" t="s">
        <v>15973</v>
      </c>
      <c r="C7119" s="9" t="s">
        <v>17</v>
      </c>
      <c r="D7119" s="9" t="s">
        <v>18</v>
      </c>
      <c r="E7119" s="10" t="s">
        <v>793</v>
      </c>
      <c r="F7119" s="9" t="s">
        <v>1895</v>
      </c>
      <c r="G7119" s="10" t="s">
        <v>21</v>
      </c>
      <c r="H7119" s="9" t="s">
        <v>22</v>
      </c>
      <c r="I7119" s="9" t="s">
        <v>15977</v>
      </c>
      <c r="J7119" s="10" t="str">
        <f>HYPERLINK("https://www.boe.es/gazeta/dias/1834/10/08/pdfs/GMD-C-1834-236.pdf#page=3","Abrir facsímil")</f>
        <v>Abrir facsímil</v>
      </c>
      <c r="K7119" s="10" t="s">
        <v>24</v>
      </c>
    </row>
    <row r="7120" spans="1:11" ht="54" customHeight="1">
      <c r="A7120" s="9" t="s">
        <v>15972</v>
      </c>
      <c r="B7120" s="9" t="s">
        <v>15973</v>
      </c>
      <c r="C7120" s="9" t="s">
        <v>17</v>
      </c>
      <c r="D7120" s="9" t="s">
        <v>18</v>
      </c>
      <c r="E7120" s="10" t="s">
        <v>1008</v>
      </c>
      <c r="F7120" s="9" t="s">
        <v>1009</v>
      </c>
      <c r="G7120" s="10" t="s">
        <v>75</v>
      </c>
      <c r="H7120" s="9" t="s">
        <v>22</v>
      </c>
      <c r="I7120" s="9" t="s">
        <v>15978</v>
      </c>
      <c r="J7120" s="10" t="str">
        <f>HYPERLINK("https://www.boe.es/gazeta/dias/1834/11/08/pdfs/GMD-C-1834-267.pdf#page=4","Abrir facsímil")</f>
        <v>Abrir facsímil</v>
      </c>
      <c r="K7120" s="10" t="s">
        <v>24</v>
      </c>
    </row>
    <row r="7121" spans="1:11" ht="54" customHeight="1">
      <c r="A7121" s="9" t="s">
        <v>15972</v>
      </c>
      <c r="B7121" s="9" t="s">
        <v>15973</v>
      </c>
      <c r="C7121" s="9" t="s">
        <v>46</v>
      </c>
      <c r="D7121" s="9" t="s">
        <v>101</v>
      </c>
      <c r="E7121" s="10" t="s">
        <v>438</v>
      </c>
      <c r="F7121" s="9" t="s">
        <v>528</v>
      </c>
      <c r="G7121" s="10" t="s">
        <v>28</v>
      </c>
      <c r="H7121" s="9" t="s">
        <v>22</v>
      </c>
      <c r="I7121" s="9" t="s">
        <v>15979</v>
      </c>
      <c r="J7121" s="10" t="str">
        <f>HYPERLINK("https://www.boe.es/gazeta/dias/1834/11/09/pdfs/GMD-C-1834-268.pdf#page=5","Abrir facsímil")</f>
        <v>Abrir facsímil</v>
      </c>
      <c r="K7121" s="10" t="s">
        <v>24</v>
      </c>
    </row>
    <row r="7122" spans="1:11" ht="54" customHeight="1">
      <c r="A7122" s="9" t="s">
        <v>15972</v>
      </c>
      <c r="B7122" s="9" t="s">
        <v>15973</v>
      </c>
      <c r="C7122" s="9" t="s">
        <v>122</v>
      </c>
      <c r="D7122" s="9" t="s">
        <v>40</v>
      </c>
      <c r="E7122" s="10" t="s">
        <v>679</v>
      </c>
      <c r="F7122" s="9" t="s">
        <v>699</v>
      </c>
      <c r="G7122" s="10" t="s">
        <v>75</v>
      </c>
      <c r="H7122" s="9" t="s">
        <v>22</v>
      </c>
      <c r="I7122" s="9" t="s">
        <v>15980</v>
      </c>
      <c r="J7122" s="10" t="str">
        <f>HYPERLINK("https://www.boe.es/gazeta/dias/1834/12/10/pdfs/GMD-C-1834-299.pdf#page=4","Abrir facsímil")</f>
        <v>Abrir facsímil</v>
      </c>
      <c r="K7122" s="10" t="s">
        <v>24</v>
      </c>
    </row>
    <row r="7123" spans="1:11" ht="54" customHeight="1">
      <c r="A7123" s="9" t="s">
        <v>15972</v>
      </c>
      <c r="B7123" s="9" t="s">
        <v>15973</v>
      </c>
      <c r="C7123" s="9" t="s">
        <v>46</v>
      </c>
      <c r="D7123" s="9" t="s">
        <v>101</v>
      </c>
      <c r="E7123" s="10" t="s">
        <v>96</v>
      </c>
      <c r="F7123" s="9" t="s">
        <v>97</v>
      </c>
      <c r="G7123" s="10" t="s">
        <v>34</v>
      </c>
      <c r="H7123" s="9" t="s">
        <v>22</v>
      </c>
      <c r="I7123" s="9" t="s">
        <v>15981</v>
      </c>
      <c r="J7123" s="10" t="str">
        <f>HYPERLINK("https://www.boe.es/gazeta/dias/1834/11/11/pdfs/GMD-C-1834-270.pdf#page=1","Abrir facsímil")</f>
        <v>Abrir facsímil</v>
      </c>
      <c r="K7123" s="10" t="s">
        <v>24</v>
      </c>
    </row>
    <row r="7124" spans="1:11" ht="54" customHeight="1">
      <c r="A7124" s="9" t="s">
        <v>15972</v>
      </c>
      <c r="B7124" s="9" t="s">
        <v>15973</v>
      </c>
      <c r="C7124" s="9" t="s">
        <v>17</v>
      </c>
      <c r="D7124" s="9" t="s">
        <v>18</v>
      </c>
      <c r="E7124" s="10" t="s">
        <v>96</v>
      </c>
      <c r="F7124" s="9" t="s">
        <v>97</v>
      </c>
      <c r="G7124" s="10" t="s">
        <v>86</v>
      </c>
      <c r="H7124" s="9" t="s">
        <v>22</v>
      </c>
      <c r="I7124" s="9" t="s">
        <v>15982</v>
      </c>
      <c r="J7124" s="10" t="str">
        <f>HYPERLINK("https://www.boe.es/gazeta/dias/1834/11/11/pdfs/GMD-C-1834-270.pdf#page=2","Abrir facsímil")</f>
        <v>Abrir facsímil</v>
      </c>
      <c r="K7124" s="10" t="s">
        <v>24</v>
      </c>
    </row>
    <row r="7125" spans="1:11" ht="54" customHeight="1">
      <c r="A7125" s="9" t="s">
        <v>15983</v>
      </c>
      <c r="B7125" s="9" t="s">
        <v>15984</v>
      </c>
      <c r="C7125" s="9" t="s">
        <v>17</v>
      </c>
      <c r="D7125" s="9" t="s">
        <v>55</v>
      </c>
      <c r="E7125" s="10" t="s">
        <v>642</v>
      </c>
      <c r="F7125" s="9" t="s">
        <v>643</v>
      </c>
      <c r="G7125" s="10" t="s">
        <v>560</v>
      </c>
      <c r="H7125" s="9" t="s">
        <v>22</v>
      </c>
      <c r="I7125" s="9" t="s">
        <v>15985</v>
      </c>
      <c r="J7125" s="10" t="str">
        <f>HYPERLINK("https://www.boe.es/gazeta/dias/1834/11/12/pdfs/GMD-C-1834-271.pdf#page=7","Abrir facsímil")</f>
        <v>Abrir facsímil</v>
      </c>
      <c r="K7125" s="10" t="s">
        <v>24</v>
      </c>
    </row>
    <row r="7126" spans="1:11" ht="54" customHeight="1">
      <c r="A7126" s="9" t="s">
        <v>15972</v>
      </c>
      <c r="B7126" s="9" t="s">
        <v>15973</v>
      </c>
      <c r="C7126" s="9" t="s">
        <v>46</v>
      </c>
      <c r="D7126" s="9" t="s">
        <v>101</v>
      </c>
      <c r="E7126" s="10" t="s">
        <v>299</v>
      </c>
      <c r="F7126" s="9" t="s">
        <v>2255</v>
      </c>
      <c r="G7126" s="10" t="s">
        <v>86</v>
      </c>
      <c r="H7126" s="9" t="s">
        <v>22</v>
      </c>
      <c r="I7126" s="9" t="s">
        <v>15986</v>
      </c>
      <c r="J7126" s="10" t="str">
        <f>HYPERLINK("https://www.boe.es/gazeta/dias/1834/12/12/pdfs/GMD-C-1834-301.pdf#page=2","Abrir facsímil")</f>
        <v>Abrir facsímil</v>
      </c>
      <c r="K7126" s="10" t="s">
        <v>24</v>
      </c>
    </row>
    <row r="7127" spans="1:11" ht="54" customHeight="1">
      <c r="A7127" s="9" t="s">
        <v>15972</v>
      </c>
      <c r="B7127" s="9" t="s">
        <v>15973</v>
      </c>
      <c r="C7127" s="9" t="s">
        <v>17</v>
      </c>
      <c r="D7127" s="9" t="s">
        <v>18</v>
      </c>
      <c r="E7127" s="10" t="s">
        <v>299</v>
      </c>
      <c r="F7127" s="9" t="s">
        <v>2255</v>
      </c>
      <c r="G7127" s="10" t="s">
        <v>75</v>
      </c>
      <c r="H7127" s="9" t="s">
        <v>22</v>
      </c>
      <c r="I7127" s="9" t="s">
        <v>15987</v>
      </c>
      <c r="J7127" s="10" t="str">
        <f>HYPERLINK("https://www.boe.es/gazeta/dias/1834/12/12/pdfs/GMD-C-1834-301.pdf#page=4","Abrir facsímil")</f>
        <v>Abrir facsímil</v>
      </c>
      <c r="K7127" s="10" t="s">
        <v>24</v>
      </c>
    </row>
    <row r="7128" spans="1:11" ht="54" customHeight="1">
      <c r="A7128" s="9" t="s">
        <v>15972</v>
      </c>
      <c r="B7128" s="9" t="s">
        <v>15973</v>
      </c>
      <c r="C7128" s="9" t="s">
        <v>46</v>
      </c>
      <c r="D7128" s="9" t="s">
        <v>101</v>
      </c>
      <c r="E7128" s="10" t="s">
        <v>2260</v>
      </c>
      <c r="F7128" s="9" t="s">
        <v>2263</v>
      </c>
      <c r="G7128" s="10" t="s">
        <v>86</v>
      </c>
      <c r="H7128" s="9" t="s">
        <v>22</v>
      </c>
      <c r="I7128" s="9" t="s">
        <v>15988</v>
      </c>
      <c r="J7128" s="10" t="str">
        <f>HYPERLINK("https://www.boe.es/gazeta/dias/1834/11/13/pdfs/GMD-C-1834-272.pdf#page=2","Abrir facsímil")</f>
        <v>Abrir facsímil</v>
      </c>
      <c r="K7128" s="10" t="s">
        <v>24</v>
      </c>
    </row>
    <row r="7129" spans="1:11" ht="54" customHeight="1">
      <c r="A7129" s="9" t="s">
        <v>15972</v>
      </c>
      <c r="B7129" s="9" t="s">
        <v>15973</v>
      </c>
      <c r="C7129" s="9" t="s">
        <v>17</v>
      </c>
      <c r="D7129" s="9" t="s">
        <v>18</v>
      </c>
      <c r="E7129" s="10" t="s">
        <v>2260</v>
      </c>
      <c r="F7129" s="9" t="s">
        <v>2263</v>
      </c>
      <c r="G7129" s="10" t="s">
        <v>560</v>
      </c>
      <c r="H7129" s="9" t="s">
        <v>22</v>
      </c>
      <c r="I7129" s="9" t="s">
        <v>15989</v>
      </c>
      <c r="J7129" s="10" t="str">
        <f>HYPERLINK("https://www.boe.es/gazeta/dias/1834/11/13/pdfs/GMD-C-1834-272.pdf#page=7","Abrir facsímil")</f>
        <v>Abrir facsímil</v>
      </c>
      <c r="K7129" s="10" t="s">
        <v>24</v>
      </c>
    </row>
    <row r="7130" spans="1:11" ht="54" customHeight="1">
      <c r="A7130" s="9" t="s">
        <v>15972</v>
      </c>
      <c r="B7130" s="9" t="s">
        <v>15973</v>
      </c>
      <c r="C7130" s="9" t="s">
        <v>17</v>
      </c>
      <c r="D7130" s="9" t="s">
        <v>18</v>
      </c>
      <c r="E7130" s="10" t="s">
        <v>928</v>
      </c>
      <c r="F7130" s="9" t="s">
        <v>929</v>
      </c>
      <c r="G7130" s="10" t="s">
        <v>28</v>
      </c>
      <c r="H7130" s="9" t="s">
        <v>22</v>
      </c>
      <c r="I7130" s="9" t="s">
        <v>15990</v>
      </c>
      <c r="J7130" s="10" t="str">
        <f>HYPERLINK("https://www.boe.es/gazeta/dias/1834/11/15/pdfs/GMD-C-1834-274.pdf#page=5","Abrir facsímil")</f>
        <v>Abrir facsímil</v>
      </c>
      <c r="K7130" s="10" t="s">
        <v>24</v>
      </c>
    </row>
    <row r="7131" spans="1:11" ht="54" customHeight="1">
      <c r="A7131" s="9" t="s">
        <v>15972</v>
      </c>
      <c r="B7131" s="9" t="s">
        <v>15973</v>
      </c>
      <c r="C7131" s="9" t="s">
        <v>17</v>
      </c>
      <c r="D7131" s="9" t="s">
        <v>18</v>
      </c>
      <c r="E7131" s="10" t="s">
        <v>454</v>
      </c>
      <c r="F7131" s="9" t="s">
        <v>455</v>
      </c>
      <c r="G7131" s="10" t="s">
        <v>86</v>
      </c>
      <c r="H7131" s="9" t="s">
        <v>22</v>
      </c>
      <c r="I7131" s="9" t="s">
        <v>15991</v>
      </c>
      <c r="J7131" s="10" t="str">
        <f>HYPERLINK("https://www.boe.es/gazeta/dias/1834/10/16/pdfs/GMD-C-1834-244.pdf#page=2","Abrir facsímil")</f>
        <v>Abrir facsímil</v>
      </c>
      <c r="K7131" s="10" t="s">
        <v>24</v>
      </c>
    </row>
    <row r="7132" spans="1:11" ht="54" customHeight="1">
      <c r="A7132" s="9" t="s">
        <v>15972</v>
      </c>
      <c r="B7132" s="9" t="s">
        <v>15973</v>
      </c>
      <c r="C7132" s="9" t="s">
        <v>17</v>
      </c>
      <c r="D7132" s="9" t="s">
        <v>18</v>
      </c>
      <c r="E7132" s="10" t="s">
        <v>233</v>
      </c>
      <c r="F7132" s="9" t="s">
        <v>1810</v>
      </c>
      <c r="G7132" s="10" t="s">
        <v>176</v>
      </c>
      <c r="H7132" s="9" t="s">
        <v>22</v>
      </c>
      <c r="I7132" s="9" t="s">
        <v>15992</v>
      </c>
      <c r="J7132" s="10" t="str">
        <f>HYPERLINK("https://www.boe.es/gazeta/dias/1834/12/16/pdfs/GMD-C-1834-305.pdf#page=6","Abrir facsímil")</f>
        <v>Abrir facsímil</v>
      </c>
      <c r="K7132" s="10" t="s">
        <v>24</v>
      </c>
    </row>
    <row r="7133" spans="1:11" ht="54" customHeight="1">
      <c r="A7133" s="9" t="s">
        <v>15972</v>
      </c>
      <c r="B7133" s="9" t="s">
        <v>15973</v>
      </c>
      <c r="C7133" s="9" t="s">
        <v>17</v>
      </c>
      <c r="D7133" s="9" t="s">
        <v>18</v>
      </c>
      <c r="E7133" s="10" t="s">
        <v>1195</v>
      </c>
      <c r="F7133" s="9" t="s">
        <v>1196</v>
      </c>
      <c r="G7133" s="10" t="s">
        <v>21</v>
      </c>
      <c r="H7133" s="9" t="s">
        <v>22</v>
      </c>
      <c r="I7133" s="9" t="s">
        <v>15993</v>
      </c>
      <c r="J7133" s="10" t="str">
        <f>HYPERLINK("https://www.boe.es/gazeta/dias/1834/10/17/pdfs/GMD-C-1834-245.pdf#page=3","Abrir facsímil")</f>
        <v>Abrir facsímil</v>
      </c>
      <c r="K7133" s="10" t="s">
        <v>24</v>
      </c>
    </row>
    <row r="7134" spans="1:11" ht="54" customHeight="1">
      <c r="A7134" s="9" t="s">
        <v>15972</v>
      </c>
      <c r="B7134" s="9" t="s">
        <v>15973</v>
      </c>
      <c r="C7134" s="9" t="s">
        <v>17</v>
      </c>
      <c r="D7134" s="9" t="s">
        <v>18</v>
      </c>
      <c r="E7134" s="10" t="s">
        <v>1195</v>
      </c>
      <c r="F7134" s="9" t="s">
        <v>1196</v>
      </c>
      <c r="G7134" s="10" t="s">
        <v>176</v>
      </c>
      <c r="H7134" s="9" t="s">
        <v>22</v>
      </c>
      <c r="I7134" s="9" t="s">
        <v>15994</v>
      </c>
      <c r="J7134" s="10" t="str">
        <f>HYPERLINK("https://www.boe.es/gazeta/dias/1834/10/17/pdfs/GMD-C-1834-245.pdf#page=6","Abrir facsímil")</f>
        <v>Abrir facsímil</v>
      </c>
      <c r="K7134" s="10" t="s">
        <v>24</v>
      </c>
    </row>
    <row r="7135" spans="1:11" ht="54" customHeight="1">
      <c r="A7135" s="9" t="s">
        <v>15972</v>
      </c>
      <c r="B7135" s="9" t="s">
        <v>15973</v>
      </c>
      <c r="C7135" s="9" t="s">
        <v>90</v>
      </c>
      <c r="D7135" s="9" t="s">
        <v>18</v>
      </c>
      <c r="E7135" s="10" t="s">
        <v>262</v>
      </c>
      <c r="F7135" s="9" t="s">
        <v>263</v>
      </c>
      <c r="G7135" s="10" t="s">
        <v>34</v>
      </c>
      <c r="H7135" s="9" t="s">
        <v>22</v>
      </c>
      <c r="I7135" s="9" t="s">
        <v>15995</v>
      </c>
      <c r="J7135" s="10" t="str">
        <f>HYPERLINK("https://www.boe.es/gazeta/dias/1834/10/18/pdfs/GMD-C-1834-246.pdf#page=1","Abrir facsímil")</f>
        <v>Abrir facsímil</v>
      </c>
      <c r="K7135" s="10" t="s">
        <v>24</v>
      </c>
    </row>
    <row r="7136" spans="1:11" ht="54" customHeight="1">
      <c r="A7136" s="9" t="s">
        <v>15972</v>
      </c>
      <c r="B7136" s="9" t="s">
        <v>15973</v>
      </c>
      <c r="C7136" s="9" t="s">
        <v>17</v>
      </c>
      <c r="D7136" s="9" t="s">
        <v>18</v>
      </c>
      <c r="E7136" s="10" t="s">
        <v>262</v>
      </c>
      <c r="F7136" s="9" t="s">
        <v>263</v>
      </c>
      <c r="G7136" s="10" t="s">
        <v>86</v>
      </c>
      <c r="H7136" s="9" t="s">
        <v>22</v>
      </c>
      <c r="I7136" s="9" t="s">
        <v>15996</v>
      </c>
      <c r="J7136" s="10" t="str">
        <f>HYPERLINK("https://www.boe.es/gazeta/dias/1834/10/18/pdfs/GMD-C-1834-246.pdf#page=2","Abrir facsímil")</f>
        <v>Abrir facsímil</v>
      </c>
      <c r="K7136" s="10" t="s">
        <v>24</v>
      </c>
    </row>
    <row r="7137" spans="1:11" ht="54" customHeight="1">
      <c r="A7137" s="9" t="s">
        <v>15972</v>
      </c>
      <c r="B7137" s="9" t="s">
        <v>15973</v>
      </c>
      <c r="C7137" s="9" t="s">
        <v>46</v>
      </c>
      <c r="D7137" s="9" t="s">
        <v>18</v>
      </c>
      <c r="E7137" s="10" t="s">
        <v>262</v>
      </c>
      <c r="F7137" s="9" t="s">
        <v>263</v>
      </c>
      <c r="G7137" s="10" t="s">
        <v>21</v>
      </c>
      <c r="H7137" s="9" t="s">
        <v>22</v>
      </c>
      <c r="I7137" s="9" t="s">
        <v>15997</v>
      </c>
      <c r="J7137" s="10" t="str">
        <f>HYPERLINK("https://www.boe.es/gazeta/dias/1834/10/18/pdfs/GMD-C-1834-246.pdf#page=3","Abrir facsímil")</f>
        <v>Abrir facsímil</v>
      </c>
      <c r="K7137" s="10" t="s">
        <v>24</v>
      </c>
    </row>
    <row r="7138" spans="1:11" ht="54" customHeight="1">
      <c r="A7138" s="9" t="s">
        <v>15972</v>
      </c>
      <c r="B7138" s="9" t="s">
        <v>15973</v>
      </c>
      <c r="C7138" s="9" t="s">
        <v>17</v>
      </c>
      <c r="D7138" s="9" t="s">
        <v>18</v>
      </c>
      <c r="E7138" s="10" t="s">
        <v>647</v>
      </c>
      <c r="F7138" s="9" t="s">
        <v>648</v>
      </c>
      <c r="G7138" s="10" t="s">
        <v>75</v>
      </c>
      <c r="H7138" s="9" t="s">
        <v>22</v>
      </c>
      <c r="I7138" s="9" t="s">
        <v>15998</v>
      </c>
      <c r="J7138" s="10" t="str">
        <f>HYPERLINK("https://www.boe.es/gazeta/dias/1834/10/21/pdfs/GMD-C-1834-249.pdf#page=4","Abrir facsímil")</f>
        <v>Abrir facsímil</v>
      </c>
      <c r="K7138" s="10" t="s">
        <v>24</v>
      </c>
    </row>
    <row r="7139" spans="1:11" ht="54" customHeight="1">
      <c r="A7139" s="9" t="s">
        <v>15972</v>
      </c>
      <c r="B7139" s="9" t="s">
        <v>15973</v>
      </c>
      <c r="C7139" s="9" t="s">
        <v>17</v>
      </c>
      <c r="D7139" s="9" t="s">
        <v>18</v>
      </c>
      <c r="E7139" s="10" t="s">
        <v>492</v>
      </c>
      <c r="F7139" s="9" t="s">
        <v>493</v>
      </c>
      <c r="G7139" s="10" t="s">
        <v>75</v>
      </c>
      <c r="H7139" s="9" t="s">
        <v>22</v>
      </c>
      <c r="I7139" s="9" t="s">
        <v>15999</v>
      </c>
      <c r="J7139" s="10" t="str">
        <f>HYPERLINK("https://www.boe.es/gazeta/dias/1834/11/21/pdfs/GMD-C-1834-280.pdf#page=4","Abrir facsímil")</f>
        <v>Abrir facsímil</v>
      </c>
      <c r="K7139" s="10" t="s">
        <v>24</v>
      </c>
    </row>
    <row r="7140" spans="1:11" ht="54" customHeight="1">
      <c r="A7140" s="9" t="s">
        <v>15972</v>
      </c>
      <c r="B7140" s="9" t="s">
        <v>15973</v>
      </c>
      <c r="C7140" s="9" t="s">
        <v>17</v>
      </c>
      <c r="D7140" s="9" t="s">
        <v>18</v>
      </c>
      <c r="E7140" s="10" t="s">
        <v>702</v>
      </c>
      <c r="F7140" s="9" t="s">
        <v>703</v>
      </c>
      <c r="G7140" s="10" t="s">
        <v>28</v>
      </c>
      <c r="H7140" s="9" t="s">
        <v>22</v>
      </c>
      <c r="I7140" s="9" t="s">
        <v>16000</v>
      </c>
      <c r="J7140" s="10" t="str">
        <f>HYPERLINK("https://www.boe.es/gazeta/dias/1834/11/22/pdfs/GMD-C-1834-281.pdf#page=5","Abrir facsímil")</f>
        <v>Abrir facsímil</v>
      </c>
      <c r="K7140" s="10" t="s">
        <v>24</v>
      </c>
    </row>
    <row r="7141" spans="1:11" ht="54" customHeight="1">
      <c r="A7141" s="9" t="s">
        <v>15972</v>
      </c>
      <c r="B7141" s="9" t="s">
        <v>15973</v>
      </c>
      <c r="C7141" s="9" t="s">
        <v>66</v>
      </c>
      <c r="D7141" s="9" t="s">
        <v>67</v>
      </c>
      <c r="E7141" s="10" t="s">
        <v>2526</v>
      </c>
      <c r="F7141" s="9" t="s">
        <v>2527</v>
      </c>
      <c r="G7141" s="10" t="s">
        <v>34</v>
      </c>
      <c r="H7141" s="9" t="s">
        <v>22</v>
      </c>
      <c r="I7141" s="9" t="s">
        <v>16001</v>
      </c>
      <c r="J7141" s="10" t="str">
        <f>HYPERLINK("https://www.boe.es/gazeta/dias/1834/12/29/pdfs/GMD-C-1834-319.pdf#page=1","Abrir facsímil")</f>
        <v>Abrir facsímil</v>
      </c>
      <c r="K7141" s="10" t="s">
        <v>24</v>
      </c>
    </row>
    <row r="7142" spans="1:11" ht="54" customHeight="1">
      <c r="A7142" s="9" t="s">
        <v>15972</v>
      </c>
      <c r="B7142" s="9" t="s">
        <v>15973</v>
      </c>
      <c r="C7142" s="9" t="s">
        <v>17</v>
      </c>
      <c r="D7142" s="9" t="s">
        <v>18</v>
      </c>
      <c r="E7142" s="10" t="s">
        <v>2526</v>
      </c>
      <c r="F7142" s="9" t="s">
        <v>2527</v>
      </c>
      <c r="G7142" s="10" t="s">
        <v>21</v>
      </c>
      <c r="H7142" s="9" t="s">
        <v>22</v>
      </c>
      <c r="I7142" s="9" t="s">
        <v>16002</v>
      </c>
      <c r="J7142" s="10" t="str">
        <f>HYPERLINK("https://www.boe.es/gazeta/dias/1834/12/29/pdfs/GMD-C-1834-319.pdf#page=3","Abrir facsímil")</f>
        <v>Abrir facsímil</v>
      </c>
      <c r="K7142" s="10" t="s">
        <v>24</v>
      </c>
    </row>
    <row r="7143" spans="1:11" ht="54" customHeight="1">
      <c r="A7143" s="9" t="s">
        <v>16003</v>
      </c>
      <c r="B7143" s="9" t="s">
        <v>16004</v>
      </c>
      <c r="C7143" s="9" t="s">
        <v>17</v>
      </c>
      <c r="D7143" s="9" t="s">
        <v>18</v>
      </c>
      <c r="E7143" s="10" t="s">
        <v>153</v>
      </c>
      <c r="F7143" s="9" t="s">
        <v>154</v>
      </c>
      <c r="G7143" s="10" t="s">
        <v>28</v>
      </c>
      <c r="H7143" s="9" t="s">
        <v>22</v>
      </c>
      <c r="I7143" s="9" t="s">
        <v>16005</v>
      </c>
      <c r="J7143" s="10" t="str">
        <f>HYPERLINK("https://www.boe.es/gazeta/dias/1834/12/30/pdfs/GMD-C-1834-320.pdf#page=5","Abrir facsímil")</f>
        <v>Abrir facsímil</v>
      </c>
      <c r="K7143" s="10" t="s">
        <v>24</v>
      </c>
    </row>
    <row r="7144" spans="1:11" ht="54" customHeight="1">
      <c r="A7144" s="9" t="s">
        <v>16006</v>
      </c>
      <c r="B7144" s="9" t="s">
        <v>16007</v>
      </c>
      <c r="C7144" s="9" t="s">
        <v>17</v>
      </c>
      <c r="D7144" s="9" t="s">
        <v>18</v>
      </c>
      <c r="E7144" s="10" t="s">
        <v>233</v>
      </c>
      <c r="F7144" s="9" t="s">
        <v>1810</v>
      </c>
      <c r="G7144" s="10" t="s">
        <v>2274</v>
      </c>
      <c r="H7144" s="9" t="s">
        <v>22</v>
      </c>
      <c r="I7144" s="9" t="s">
        <v>16008</v>
      </c>
      <c r="J7144" s="10" t="str">
        <f>HYPERLINK("https://www.boe.es/gazeta/dias/1834/12/16/pdfs/GMD-C-1834-305.pdf#page=13","Abrir facsímil")</f>
        <v>Abrir facsímil</v>
      </c>
      <c r="K7144" s="10" t="s">
        <v>24</v>
      </c>
    </row>
    <row r="7145" spans="1:11" ht="54" customHeight="1">
      <c r="A7145" s="9" t="s">
        <v>16009</v>
      </c>
      <c r="B7145" s="9" t="s">
        <v>16010</v>
      </c>
      <c r="C7145" s="9" t="s">
        <v>90</v>
      </c>
      <c r="D7145" s="9" t="s">
        <v>101</v>
      </c>
      <c r="E7145" s="10" t="s">
        <v>433</v>
      </c>
      <c r="F7145" s="9" t="s">
        <v>434</v>
      </c>
      <c r="G7145" s="10" t="s">
        <v>34</v>
      </c>
      <c r="H7145" s="9" t="s">
        <v>22</v>
      </c>
      <c r="I7145" s="9" t="s">
        <v>16011</v>
      </c>
      <c r="J7145" s="10" t="str">
        <f>HYPERLINK("https://www.boe.es/gazeta/dias/1834/10/07/pdfs/GMD-C-1834-235.pdf#page=1","Abrir facsímil")</f>
        <v>Abrir facsímil</v>
      </c>
      <c r="K7145" s="10" t="s">
        <v>24</v>
      </c>
    </row>
    <row r="7146" spans="1:11" ht="54" customHeight="1">
      <c r="A7146" s="9" t="s">
        <v>16009</v>
      </c>
      <c r="B7146" s="9" t="s">
        <v>16010</v>
      </c>
      <c r="C7146" s="9" t="s">
        <v>17</v>
      </c>
      <c r="D7146" s="9" t="s">
        <v>18</v>
      </c>
      <c r="E7146" s="10" t="s">
        <v>793</v>
      </c>
      <c r="F7146" s="9" t="s">
        <v>1895</v>
      </c>
      <c r="G7146" s="10" t="s">
        <v>34</v>
      </c>
      <c r="H7146" s="9" t="s">
        <v>22</v>
      </c>
      <c r="I7146" s="9" t="s">
        <v>16012</v>
      </c>
      <c r="J7146" s="10" t="str">
        <f>HYPERLINK("https://www.boe.es/gazeta/dias/1834/10/08/pdfs/GMD-C-1834-236.pdf#page=1","Abrir facsímil")</f>
        <v>Abrir facsímil</v>
      </c>
      <c r="K7146" s="10" t="s">
        <v>24</v>
      </c>
    </row>
    <row r="7147" spans="1:11" ht="54" customHeight="1">
      <c r="A7147" s="9" t="s">
        <v>16013</v>
      </c>
      <c r="B7147" s="9" t="s">
        <v>16014</v>
      </c>
      <c r="C7147" s="9" t="s">
        <v>66</v>
      </c>
      <c r="D7147" s="9" t="s">
        <v>67</v>
      </c>
      <c r="E7147" s="10" t="s">
        <v>1597</v>
      </c>
      <c r="F7147" s="9" t="s">
        <v>1598</v>
      </c>
      <c r="G7147" s="10" t="s">
        <v>86</v>
      </c>
      <c r="H7147" s="9" t="s">
        <v>35</v>
      </c>
      <c r="I7147" s="9" t="s">
        <v>16015</v>
      </c>
      <c r="J7147" s="10" t="str">
        <f>HYPERLINK("https://www.boe.es/gazeta/dias/1834/10/03/pdfs/GMD-1834-231.pdf#page=2","Abrir facsímil")</f>
        <v>Abrir facsímil</v>
      </c>
      <c r="K7147" s="10" t="s">
        <v>37</v>
      </c>
    </row>
    <row r="7148" spans="1:11" ht="54" customHeight="1">
      <c r="A7148" s="9" t="s">
        <v>16013</v>
      </c>
      <c r="B7148" s="9" t="s">
        <v>16014</v>
      </c>
      <c r="C7148" s="9" t="s">
        <v>90</v>
      </c>
      <c r="D7148" s="9" t="s">
        <v>101</v>
      </c>
      <c r="E7148" s="10" t="s">
        <v>433</v>
      </c>
      <c r="F7148" s="9" t="s">
        <v>434</v>
      </c>
      <c r="G7148" s="10" t="s">
        <v>34</v>
      </c>
      <c r="H7148" s="9" t="s">
        <v>35</v>
      </c>
      <c r="I7148" s="9" t="s">
        <v>16016</v>
      </c>
      <c r="J7148" s="10" t="str">
        <f>HYPERLINK("https://www.boe.es/gazeta/dias/1834/10/07/pdfs/GMD-C-1834-235.pdf#page=1","Abrir facsímil")</f>
        <v>Abrir facsímil</v>
      </c>
      <c r="K7148" s="10" t="s">
        <v>37</v>
      </c>
    </row>
    <row r="7149" spans="1:11" ht="54" customHeight="1">
      <c r="A7149" s="9" t="s">
        <v>16013</v>
      </c>
      <c r="B7149" s="9" t="s">
        <v>16014</v>
      </c>
      <c r="C7149" s="9" t="s">
        <v>17</v>
      </c>
      <c r="D7149" s="9" t="s">
        <v>18</v>
      </c>
      <c r="E7149" s="10" t="s">
        <v>793</v>
      </c>
      <c r="F7149" s="9" t="s">
        <v>1895</v>
      </c>
      <c r="G7149" s="10" t="s">
        <v>34</v>
      </c>
      <c r="H7149" s="9" t="s">
        <v>35</v>
      </c>
      <c r="I7149" s="9" t="s">
        <v>16017</v>
      </c>
      <c r="J7149" s="10" t="str">
        <f>HYPERLINK("https://www.boe.es/gazeta/dias/1834/10/08/pdfs/GMD-C-1834-236.pdf#page=1","Abrir facsímil")</f>
        <v>Abrir facsímil</v>
      </c>
      <c r="K7149" s="10" t="s">
        <v>37</v>
      </c>
    </row>
    <row r="7150" spans="1:11" ht="54" customHeight="1">
      <c r="A7150" s="9" t="s">
        <v>16018</v>
      </c>
      <c r="B7150" s="9" t="s">
        <v>16019</v>
      </c>
      <c r="C7150" s="9" t="s">
        <v>17</v>
      </c>
      <c r="D7150" s="9" t="s">
        <v>18</v>
      </c>
      <c r="E7150" s="10" t="s">
        <v>378</v>
      </c>
      <c r="F7150" s="9" t="s">
        <v>379</v>
      </c>
      <c r="G7150" s="10" t="s">
        <v>75</v>
      </c>
      <c r="H7150" s="9" t="s">
        <v>35</v>
      </c>
      <c r="I7150" s="9" t="s">
        <v>16020</v>
      </c>
      <c r="J7150" s="10" t="str">
        <f>HYPERLINK("https://www.boe.es/gazeta/dias/1834/09/24/pdfs/GMD-1834-222.pdf#page=4","Abrir facsímil")</f>
        <v>Abrir facsímil</v>
      </c>
      <c r="K7150" s="10" t="s">
        <v>37</v>
      </c>
    </row>
    <row r="7151" spans="1:11" ht="54" customHeight="1">
      <c r="A7151" s="9" t="s">
        <v>16021</v>
      </c>
      <c r="B7151" s="9" t="s">
        <v>16022</v>
      </c>
      <c r="C7151" s="9" t="s">
        <v>17</v>
      </c>
      <c r="D7151" s="9" t="s">
        <v>18</v>
      </c>
      <c r="E7151" s="10" t="s">
        <v>233</v>
      </c>
      <c r="F7151" s="9" t="s">
        <v>1810</v>
      </c>
      <c r="G7151" s="10" t="s">
        <v>2274</v>
      </c>
      <c r="H7151" s="9" t="s">
        <v>22</v>
      </c>
      <c r="I7151" s="9" t="s">
        <v>16023</v>
      </c>
      <c r="J7151" s="10" t="str">
        <f>HYPERLINK("https://www.boe.es/gazeta/dias/1834/12/16/pdfs/GMD-C-1834-305.pdf#page=13","Abrir facsímil")</f>
        <v>Abrir facsímil</v>
      </c>
      <c r="K7151" s="10" t="s">
        <v>24</v>
      </c>
    </row>
    <row r="7152" spans="1:11" ht="54" customHeight="1">
      <c r="A7152" s="9" t="s">
        <v>16024</v>
      </c>
      <c r="B7152" s="9" t="s">
        <v>16025</v>
      </c>
      <c r="C7152" s="9" t="s">
        <v>17</v>
      </c>
      <c r="D7152" s="9" t="s">
        <v>18</v>
      </c>
      <c r="E7152" s="10" t="s">
        <v>268</v>
      </c>
      <c r="F7152" s="9" t="s">
        <v>269</v>
      </c>
      <c r="G7152" s="10" t="s">
        <v>34</v>
      </c>
      <c r="H7152" s="9" t="s">
        <v>35</v>
      </c>
      <c r="I7152" s="9" t="s">
        <v>16026</v>
      </c>
      <c r="J7152" s="10" t="str">
        <f>HYPERLINK("https://www.boe.es/gazeta/dias/1834/12/19/pdfs/GMD-C-1834-309.pdf#page=1","Abrir facsímil")</f>
        <v>Abrir facsímil</v>
      </c>
      <c r="K7152" s="10" t="s">
        <v>37</v>
      </c>
    </row>
    <row r="7153" spans="1:11" ht="54" customHeight="1">
      <c r="A7153" s="9" t="s">
        <v>16027</v>
      </c>
      <c r="B7153" s="9" t="s">
        <v>16028</v>
      </c>
      <c r="C7153" s="9" t="s">
        <v>17</v>
      </c>
      <c r="D7153" s="9" t="s">
        <v>18</v>
      </c>
      <c r="E7153" s="10" t="s">
        <v>378</v>
      </c>
      <c r="F7153" s="9" t="s">
        <v>379</v>
      </c>
      <c r="G7153" s="10" t="s">
        <v>75</v>
      </c>
      <c r="H7153" s="9" t="s">
        <v>22</v>
      </c>
      <c r="I7153" s="9" t="s">
        <v>16029</v>
      </c>
      <c r="J7153" s="10" t="str">
        <f>HYPERLINK("https://www.boe.es/gazeta/dias/1834/09/24/pdfs/GMD-1834-222.pdf#page=4","Abrir facsímil")</f>
        <v>Abrir facsímil</v>
      </c>
      <c r="K7153" s="10" t="s">
        <v>24</v>
      </c>
    </row>
    <row r="7154" spans="1:11" ht="54" customHeight="1">
      <c r="A7154" s="9" t="s">
        <v>16030</v>
      </c>
      <c r="B7154" s="9" t="s">
        <v>16030</v>
      </c>
      <c r="C7154" s="9" t="s">
        <v>17</v>
      </c>
      <c r="D7154" s="9" t="s">
        <v>18</v>
      </c>
      <c r="E7154" s="10" t="s">
        <v>2087</v>
      </c>
      <c r="F7154" s="9" t="s">
        <v>2267</v>
      </c>
      <c r="G7154" s="10" t="s">
        <v>470</v>
      </c>
      <c r="H7154" s="9" t="s">
        <v>22</v>
      </c>
      <c r="I7154" s="9" t="s">
        <v>16031</v>
      </c>
      <c r="J7154" s="10" t="str">
        <f>HYPERLINK("https://www.boe.es/gazeta/dias/1834/12/14/pdfs/GMD-C-1834-303.pdf#page=8","Abrir facsímil")</f>
        <v>Abrir facsímil</v>
      </c>
      <c r="K7154" s="10" t="s">
        <v>24</v>
      </c>
    </row>
    <row r="7155" spans="1:11" ht="54" customHeight="1">
      <c r="A7155" s="9" t="s">
        <v>16032</v>
      </c>
      <c r="B7155" s="9" t="s">
        <v>16033</v>
      </c>
      <c r="C7155" s="9" t="s">
        <v>17</v>
      </c>
      <c r="D7155" s="9" t="s">
        <v>18</v>
      </c>
      <c r="E7155" s="10" t="s">
        <v>696</v>
      </c>
      <c r="F7155" s="9" t="s">
        <v>697</v>
      </c>
      <c r="G7155" s="10" t="s">
        <v>34</v>
      </c>
      <c r="H7155" s="9" t="s">
        <v>22</v>
      </c>
      <c r="I7155" s="9" t="s">
        <v>16034</v>
      </c>
      <c r="J7155" s="10" t="str">
        <f>HYPERLINK("https://www.boe.es/gazeta/dias/1834/12/06/pdfs/GMD-C-1834-295.pdf#page=1","Abrir facsímil")</f>
        <v>Abrir facsímil</v>
      </c>
      <c r="K7155" s="10" t="s">
        <v>24</v>
      </c>
    </row>
    <row r="7156" spans="1:11" ht="54" customHeight="1">
      <c r="A7156" s="9" t="s">
        <v>16035</v>
      </c>
      <c r="B7156" s="9" t="s">
        <v>16035</v>
      </c>
      <c r="C7156" s="9" t="s">
        <v>90</v>
      </c>
      <c r="D7156" s="9" t="s">
        <v>101</v>
      </c>
      <c r="E7156" s="10" t="s">
        <v>506</v>
      </c>
      <c r="F7156" s="9" t="s">
        <v>507</v>
      </c>
      <c r="G7156" s="10" t="s">
        <v>34</v>
      </c>
      <c r="H7156" s="9" t="s">
        <v>22</v>
      </c>
      <c r="I7156" s="9" t="s">
        <v>16036</v>
      </c>
      <c r="J7156" s="10" t="str">
        <f>HYPERLINK("https://www.boe.es/gazeta/dias/1834/03/04/pdfs/GMD-1834-28.pdf#page=1","Abrir facsímil")</f>
        <v>Abrir facsímil</v>
      </c>
      <c r="K7156" s="10" t="s">
        <v>24</v>
      </c>
    </row>
    <row r="7157" spans="1:11" ht="54" customHeight="1">
      <c r="A7157" s="9" t="s">
        <v>16037</v>
      </c>
      <c r="B7157" s="9" t="s">
        <v>16038</v>
      </c>
      <c r="C7157" s="9" t="s">
        <v>90</v>
      </c>
      <c r="D7157" s="9" t="s">
        <v>18</v>
      </c>
      <c r="E7157" s="10" t="s">
        <v>360</v>
      </c>
      <c r="F7157" s="9" t="s">
        <v>361</v>
      </c>
      <c r="G7157" s="10" t="s">
        <v>34</v>
      </c>
      <c r="H7157" s="9" t="s">
        <v>22</v>
      </c>
      <c r="I7157" s="9" t="s">
        <v>16039</v>
      </c>
      <c r="J7157" s="10" t="str">
        <f>HYPERLINK("https://www.boe.es/gazeta/dias/1834/04/07/pdfs/GMD-1834-46.pdf#page=1","Abrir facsímil")</f>
        <v>Abrir facsímil</v>
      </c>
      <c r="K7157" s="10" t="s">
        <v>24</v>
      </c>
    </row>
    <row r="7158" spans="1:11" ht="54" customHeight="1">
      <c r="A7158" s="9" t="s">
        <v>16040</v>
      </c>
      <c r="B7158" s="9" t="s">
        <v>16041</v>
      </c>
      <c r="C7158" s="9" t="s">
        <v>17</v>
      </c>
      <c r="D7158" s="9" t="s">
        <v>18</v>
      </c>
      <c r="E7158" s="10" t="s">
        <v>912</v>
      </c>
      <c r="F7158" s="9" t="s">
        <v>913</v>
      </c>
      <c r="G7158" s="10" t="s">
        <v>176</v>
      </c>
      <c r="H7158" s="9" t="s">
        <v>22</v>
      </c>
      <c r="I7158" s="9" t="s">
        <v>16042</v>
      </c>
      <c r="J7158" s="10" t="str">
        <f>HYPERLINK("https://www.boe.es/gazeta/dias/1834/02/15/pdfs/GMD-1834-21.pdf#page=6","Abrir facsímil")</f>
        <v>Abrir facsímil</v>
      </c>
      <c r="K7158" s="10" t="s">
        <v>24</v>
      </c>
    </row>
    <row r="7159" spans="1:11" ht="54" customHeight="1">
      <c r="A7159" s="9" t="s">
        <v>16043</v>
      </c>
      <c r="B7159" s="9" t="s">
        <v>16044</v>
      </c>
      <c r="C7159" s="9" t="s">
        <v>90</v>
      </c>
      <c r="D7159" s="9" t="s">
        <v>18</v>
      </c>
      <c r="E7159" s="10" t="s">
        <v>360</v>
      </c>
      <c r="F7159" s="9" t="s">
        <v>361</v>
      </c>
      <c r="G7159" s="10" t="s">
        <v>34</v>
      </c>
      <c r="H7159" s="9" t="s">
        <v>35</v>
      </c>
      <c r="I7159" s="9" t="s">
        <v>16045</v>
      </c>
      <c r="J7159" s="10" t="str">
        <f>HYPERLINK("https://www.boe.es/gazeta/dias/1834/04/07/pdfs/GMD-1834-46.pdf#page=1","Abrir facsímil")</f>
        <v>Abrir facsímil</v>
      </c>
      <c r="K7159" s="10" t="s">
        <v>37</v>
      </c>
    </row>
    <row r="7160" spans="1:11" ht="54" customHeight="1">
      <c r="A7160" s="9" t="s">
        <v>16046</v>
      </c>
      <c r="B7160" s="9" t="s">
        <v>16047</v>
      </c>
      <c r="C7160" s="9" t="s">
        <v>17</v>
      </c>
      <c r="D7160" s="9" t="s">
        <v>18</v>
      </c>
      <c r="E7160" s="10" t="s">
        <v>4237</v>
      </c>
      <c r="F7160" s="9" t="s">
        <v>4238</v>
      </c>
      <c r="G7160" s="10" t="s">
        <v>21</v>
      </c>
      <c r="H7160" s="9" t="s">
        <v>22</v>
      </c>
      <c r="I7160" s="9" t="s">
        <v>16048</v>
      </c>
      <c r="J7160" s="10" t="str">
        <f>HYPERLINK("https://www.boe.es/gazeta/dias/1834/06/17/pdfs/GMD-1834-120.pdf#page=3","Abrir facsímil")</f>
        <v>Abrir facsímil</v>
      </c>
      <c r="K7160" s="10" t="s">
        <v>24</v>
      </c>
    </row>
    <row r="7161" spans="1:11" ht="54" customHeight="1">
      <c r="A7161" s="9" t="s">
        <v>16049</v>
      </c>
      <c r="B7161" s="9" t="s">
        <v>16050</v>
      </c>
      <c r="C7161" s="9" t="s">
        <v>857</v>
      </c>
      <c r="D7161" s="9" t="s">
        <v>18</v>
      </c>
      <c r="E7161" s="10" t="s">
        <v>535</v>
      </c>
      <c r="F7161" s="9" t="s">
        <v>536</v>
      </c>
      <c r="G7161" s="10" t="s">
        <v>75</v>
      </c>
      <c r="H7161" s="9" t="s">
        <v>22</v>
      </c>
      <c r="I7161" s="9" t="s">
        <v>16051</v>
      </c>
      <c r="J7161" s="10" t="str">
        <f>HYPERLINK("https://www.boe.es/gazeta/dias/1834/05/21/pdfs/GMD-1834-90.pdf#page=4","Abrir facsímil")</f>
        <v>Abrir facsímil</v>
      </c>
      <c r="K7161" s="10" t="s">
        <v>24</v>
      </c>
    </row>
    <row r="7162" spans="1:11" ht="54" customHeight="1">
      <c r="A7162" s="9" t="s">
        <v>16052</v>
      </c>
      <c r="B7162" s="9" t="s">
        <v>16053</v>
      </c>
      <c r="C7162" s="9" t="s">
        <v>17</v>
      </c>
      <c r="D7162" s="9" t="s">
        <v>18</v>
      </c>
      <c r="E7162" s="10" t="s">
        <v>2241</v>
      </c>
      <c r="F7162" s="9" t="s">
        <v>2242</v>
      </c>
      <c r="G7162" s="10" t="s">
        <v>21</v>
      </c>
      <c r="H7162" s="9" t="s">
        <v>22</v>
      </c>
      <c r="I7162" s="9" t="s">
        <v>16054</v>
      </c>
      <c r="J7162" s="10" t="str">
        <f>HYPERLINK("https://www.boe.es/gazeta/dias/1834/03/11/pdfs/GMD-1834-31.pdf#page=3","Abrir facsímil")</f>
        <v>Abrir facsímil</v>
      </c>
      <c r="K7162" s="10" t="s">
        <v>24</v>
      </c>
    </row>
    <row r="7163" spans="1:11" ht="54" customHeight="1">
      <c r="A7163" s="9" t="s">
        <v>16055</v>
      </c>
      <c r="B7163" s="9" t="s">
        <v>16056</v>
      </c>
      <c r="C7163" s="9" t="s">
        <v>17</v>
      </c>
      <c r="D7163" s="9" t="s">
        <v>18</v>
      </c>
      <c r="E7163" s="10" t="s">
        <v>707</v>
      </c>
      <c r="F7163" s="9" t="s">
        <v>708</v>
      </c>
      <c r="G7163" s="10" t="s">
        <v>1343</v>
      </c>
      <c r="H7163" s="9" t="s">
        <v>22</v>
      </c>
      <c r="I7163" s="9" t="s">
        <v>16057</v>
      </c>
      <c r="J7163" s="10" t="str">
        <f>HYPERLINK("https://www.boe.es/gazeta/dias/1834/11/25/pdfs/GMD-C-1834-284.pdf#page=9","Abrir facsímil")</f>
        <v>Abrir facsímil</v>
      </c>
      <c r="K7163" s="10" t="s">
        <v>24</v>
      </c>
    </row>
    <row r="7164" spans="1:11" ht="54" customHeight="1">
      <c r="A7164" s="9" t="s">
        <v>16058</v>
      </c>
      <c r="B7164" s="9" t="s">
        <v>16058</v>
      </c>
      <c r="C7164" s="9" t="s">
        <v>66</v>
      </c>
      <c r="D7164" s="9" t="s">
        <v>67</v>
      </c>
      <c r="E7164" s="10" t="s">
        <v>1883</v>
      </c>
      <c r="F7164" s="9" t="s">
        <v>1884</v>
      </c>
      <c r="G7164" s="10" t="s">
        <v>86</v>
      </c>
      <c r="H7164" s="9" t="s">
        <v>22</v>
      </c>
      <c r="I7164" s="9" t="s">
        <v>16059</v>
      </c>
      <c r="J7164" s="10" t="str">
        <f>HYPERLINK("https://www.boe.es/gazeta/dias/1834/01/11/pdfs/GMD-1834-6.pdf#page=2","Abrir facsímil")</f>
        <v>Abrir facsímil</v>
      </c>
      <c r="K7164" s="10" t="s">
        <v>24</v>
      </c>
    </row>
    <row r="7165" spans="1:11" ht="54" customHeight="1">
      <c r="A7165" s="9" t="s">
        <v>16060</v>
      </c>
      <c r="B7165" s="9" t="s">
        <v>16060</v>
      </c>
      <c r="C7165" s="9" t="s">
        <v>17</v>
      </c>
      <c r="D7165" s="9" t="s">
        <v>18</v>
      </c>
      <c r="E7165" s="10" t="s">
        <v>167</v>
      </c>
      <c r="F7165" s="9" t="s">
        <v>168</v>
      </c>
      <c r="G7165" s="10" t="s">
        <v>75</v>
      </c>
      <c r="H7165" s="9" t="s">
        <v>22</v>
      </c>
      <c r="I7165" s="9" t="s">
        <v>16061</v>
      </c>
      <c r="J7165" s="10" t="str">
        <f>HYPERLINK("https://www.boe.es/gazeta/dias/1834/09/07/pdfs/GMD-1834-205.pdf#page=4","Abrir facsímil")</f>
        <v>Abrir facsímil</v>
      </c>
      <c r="K7165" s="10" t="s">
        <v>24</v>
      </c>
    </row>
    <row r="7166" spans="1:11" ht="54" customHeight="1">
      <c r="A7166" s="9" t="s">
        <v>16062</v>
      </c>
      <c r="B7166" s="9" t="s">
        <v>16062</v>
      </c>
      <c r="C7166" s="9" t="s">
        <v>46</v>
      </c>
      <c r="D7166" s="9" t="s">
        <v>101</v>
      </c>
      <c r="E7166" s="10" t="s">
        <v>1195</v>
      </c>
      <c r="F7166" s="9" t="s">
        <v>1196</v>
      </c>
      <c r="G7166" s="10" t="s">
        <v>28</v>
      </c>
      <c r="H7166" s="9" t="s">
        <v>22</v>
      </c>
      <c r="I7166" s="9" t="s">
        <v>16063</v>
      </c>
      <c r="J7166" s="10" t="str">
        <f>HYPERLINK("https://www.boe.es/gazeta/dias/1834/10/17/pdfs/GMD-C-1834-245.pdf#page=5","Abrir facsímil")</f>
        <v>Abrir facsímil</v>
      </c>
      <c r="K7166" s="10" t="s">
        <v>24</v>
      </c>
    </row>
    <row r="7167" spans="1:11" ht="54" customHeight="1">
      <c r="A7167" s="9" t="s">
        <v>16064</v>
      </c>
      <c r="B7167" s="9" t="s">
        <v>16065</v>
      </c>
      <c r="C7167" s="9" t="s">
        <v>17</v>
      </c>
      <c r="D7167" s="9" t="s">
        <v>18</v>
      </c>
      <c r="E7167" s="10" t="s">
        <v>343</v>
      </c>
      <c r="F7167" s="9" t="s">
        <v>344</v>
      </c>
      <c r="G7167" s="10" t="s">
        <v>75</v>
      </c>
      <c r="H7167" s="9" t="s">
        <v>22</v>
      </c>
      <c r="I7167" s="9" t="s">
        <v>16066</v>
      </c>
      <c r="J7167" s="10" t="str">
        <f>HYPERLINK("https://www.boe.es/gazeta/dias/1834/01/14/pdfs/GMD-1834-7.pdf#page=4","Abrir facsímil")</f>
        <v>Abrir facsímil</v>
      </c>
      <c r="K7167" s="10" t="s">
        <v>24</v>
      </c>
    </row>
    <row r="7168" spans="1:11" ht="54" customHeight="1">
      <c r="A7168" s="9" t="s">
        <v>16067</v>
      </c>
      <c r="B7168" s="9" t="s">
        <v>16068</v>
      </c>
      <c r="C7168" s="9" t="s">
        <v>17</v>
      </c>
      <c r="D7168" s="9" t="s">
        <v>18</v>
      </c>
      <c r="E7168" s="10" t="s">
        <v>1008</v>
      </c>
      <c r="F7168" s="9" t="s">
        <v>1009</v>
      </c>
      <c r="G7168" s="10" t="s">
        <v>21</v>
      </c>
      <c r="H7168" s="9" t="s">
        <v>22</v>
      </c>
      <c r="I7168" s="9" t="s">
        <v>16069</v>
      </c>
      <c r="J7168" s="10" t="str">
        <f>HYPERLINK("https://www.boe.es/gazeta/dias/1834/11/08/pdfs/GMD-C-1834-267.pdf#page=3","Abrir facsímil")</f>
        <v>Abrir facsímil</v>
      </c>
      <c r="K7168" s="10" t="s">
        <v>24</v>
      </c>
    </row>
    <row r="7169" spans="1:11" ht="54" customHeight="1">
      <c r="A7169" s="9" t="s">
        <v>16070</v>
      </c>
      <c r="B7169" s="9" t="s">
        <v>16071</v>
      </c>
      <c r="C7169" s="9" t="s">
        <v>66</v>
      </c>
      <c r="D7169" s="9" t="s">
        <v>67</v>
      </c>
      <c r="E7169" s="10" t="s">
        <v>283</v>
      </c>
      <c r="F7169" s="9" t="s">
        <v>284</v>
      </c>
      <c r="G7169" s="10" t="s">
        <v>86</v>
      </c>
      <c r="H7169" s="9" t="s">
        <v>22</v>
      </c>
      <c r="I7169" s="9" t="s">
        <v>16072</v>
      </c>
      <c r="J7169" s="10" t="str">
        <f>HYPERLINK("https://www.boe.es/gazeta/dias/1834/11/29/pdfs/GMD-C-1834-288.pdf#page=2","Abrir facsímil")</f>
        <v>Abrir facsímil</v>
      </c>
      <c r="K7169" s="10" t="s">
        <v>24</v>
      </c>
    </row>
    <row r="7170" spans="1:11" ht="54" customHeight="1">
      <c r="A7170" s="9" t="s">
        <v>16073</v>
      </c>
      <c r="B7170" s="9" t="s">
        <v>16073</v>
      </c>
      <c r="C7170" s="9" t="s">
        <v>17</v>
      </c>
      <c r="D7170" s="9" t="s">
        <v>18</v>
      </c>
      <c r="E7170" s="10" t="s">
        <v>3952</v>
      </c>
      <c r="F7170" s="9" t="s">
        <v>3953</v>
      </c>
      <c r="G7170" s="10" t="s">
        <v>176</v>
      </c>
      <c r="H7170" s="9" t="s">
        <v>22</v>
      </c>
      <c r="I7170" s="9" t="s">
        <v>16074</v>
      </c>
      <c r="J7170" s="10" t="str">
        <f>HYPERLINK("https://www.boe.es/gazeta/dias/1834/02/22/pdfs/GMD-1834-24.pdf#page=6","Abrir facsímil")</f>
        <v>Abrir facsímil</v>
      </c>
      <c r="K7170" s="10" t="s">
        <v>24</v>
      </c>
    </row>
    <row r="7171" spans="1:11" ht="54" customHeight="1">
      <c r="A7171" s="9" t="s">
        <v>16075</v>
      </c>
      <c r="B7171" s="9" t="s">
        <v>16076</v>
      </c>
      <c r="C7171" s="9" t="s">
        <v>66</v>
      </c>
      <c r="D7171" s="9" t="s">
        <v>67</v>
      </c>
      <c r="E7171" s="10" t="s">
        <v>2037</v>
      </c>
      <c r="F7171" s="9" t="s">
        <v>2038</v>
      </c>
      <c r="G7171" s="10" t="s">
        <v>34</v>
      </c>
      <c r="H7171" s="9" t="s">
        <v>22</v>
      </c>
      <c r="I7171" s="9" t="s">
        <v>16077</v>
      </c>
      <c r="J7171" s="10" t="str">
        <f>HYPERLINK("https://www.boe.es/gazeta/dias/1834/12/01/pdfs/I01208-01208.pdf#page=1","Abrir facsímil")</f>
        <v>Abrir facsímil</v>
      </c>
      <c r="K7171" s="10" t="s">
        <v>24</v>
      </c>
    </row>
    <row r="7172" spans="1:11" ht="54" customHeight="1">
      <c r="A7172" s="9" t="s">
        <v>16075</v>
      </c>
      <c r="B7172" s="9" t="s">
        <v>16076</v>
      </c>
      <c r="C7172" s="9" t="s">
        <v>66</v>
      </c>
      <c r="D7172" s="9" t="s">
        <v>67</v>
      </c>
      <c r="E7172" s="10" t="s">
        <v>2037</v>
      </c>
      <c r="F7172" s="9" t="s">
        <v>2038</v>
      </c>
      <c r="G7172" s="10" t="s">
        <v>75</v>
      </c>
      <c r="H7172" s="9" t="s">
        <v>22</v>
      </c>
      <c r="I7172" s="9" t="s">
        <v>16077</v>
      </c>
      <c r="J7172" s="10" t="str">
        <f>HYPERLINK("https://www.boe.es/gazeta/dias/1834/12/01/pdfs/GMD-1834-290.pdf#page=4","Abrir facsímil")</f>
        <v>Abrir facsímil</v>
      </c>
      <c r="K7172" s="10" t="s">
        <v>24</v>
      </c>
    </row>
    <row r="7173" spans="1:11" ht="54" customHeight="1">
      <c r="A7173" s="9" t="s">
        <v>16075</v>
      </c>
      <c r="B7173" s="9" t="s">
        <v>16076</v>
      </c>
      <c r="C7173" s="9" t="s">
        <v>66</v>
      </c>
      <c r="D7173" s="9" t="s">
        <v>67</v>
      </c>
      <c r="E7173" s="10" t="s">
        <v>96</v>
      </c>
      <c r="F7173" s="9" t="s">
        <v>1725</v>
      </c>
      <c r="G7173" s="10" t="s">
        <v>34</v>
      </c>
      <c r="H7173" s="9" t="s">
        <v>22</v>
      </c>
      <c r="I7173" s="9" t="s">
        <v>16078</v>
      </c>
      <c r="J7173" s="10" t="str">
        <f>HYPERLINK("https://www.boe.es/gazeta/dias/1834/11/11/pdfs/GMD-1834-270.pdf#page=1","Abrir facsímil")</f>
        <v>Abrir facsímil</v>
      </c>
      <c r="K7173" s="10" t="s">
        <v>24</v>
      </c>
    </row>
    <row r="7174" spans="1:11" ht="54" customHeight="1">
      <c r="A7174" s="9" t="s">
        <v>16079</v>
      </c>
      <c r="B7174" s="9" t="s">
        <v>16080</v>
      </c>
      <c r="C7174" s="9" t="s">
        <v>17</v>
      </c>
      <c r="D7174" s="9" t="s">
        <v>18</v>
      </c>
      <c r="E7174" s="10" t="s">
        <v>371</v>
      </c>
      <c r="F7174" s="9" t="s">
        <v>372</v>
      </c>
      <c r="G7174" s="10" t="s">
        <v>75</v>
      </c>
      <c r="H7174" s="9" t="s">
        <v>22</v>
      </c>
      <c r="I7174" s="9" t="s">
        <v>16081</v>
      </c>
      <c r="J7174" s="10" t="str">
        <f>HYPERLINK("https://www.boe.es/gazeta/dias/1834/05/27/pdfs/GMD-1834-96.pdf#page=4","Abrir facsímil")</f>
        <v>Abrir facsímil</v>
      </c>
      <c r="K7174" s="10" t="s">
        <v>24</v>
      </c>
    </row>
    <row r="7175" spans="1:11" ht="54" customHeight="1">
      <c r="A7175" s="9" t="s">
        <v>16082</v>
      </c>
      <c r="B7175" s="9" t="s">
        <v>16083</v>
      </c>
      <c r="C7175" s="9" t="s">
        <v>17</v>
      </c>
      <c r="D7175" s="9" t="s">
        <v>18</v>
      </c>
      <c r="E7175" s="10" t="s">
        <v>309</v>
      </c>
      <c r="F7175" s="9" t="s">
        <v>310</v>
      </c>
      <c r="G7175" s="10" t="s">
        <v>34</v>
      </c>
      <c r="H7175" s="9" t="s">
        <v>22</v>
      </c>
      <c r="I7175" s="9" t="s">
        <v>16084</v>
      </c>
      <c r="J7175" s="10" t="str">
        <f>HYPERLINK("https://www.boe.es/gazeta/dias/1834/05/30/pdfs/GMD-1834-99.pdf#page=1","Abrir facsímil")</f>
        <v>Abrir facsímil</v>
      </c>
      <c r="K7175" s="10" t="s">
        <v>24</v>
      </c>
    </row>
    <row r="7176" spans="1:11" ht="54" customHeight="1">
      <c r="A7176" s="9" t="s">
        <v>16085</v>
      </c>
      <c r="B7176" s="9" t="s">
        <v>16086</v>
      </c>
      <c r="C7176" s="9" t="s">
        <v>17</v>
      </c>
      <c r="D7176" s="9" t="s">
        <v>18</v>
      </c>
      <c r="E7176" s="10" t="s">
        <v>1850</v>
      </c>
      <c r="F7176" s="9" t="s">
        <v>1851</v>
      </c>
      <c r="G7176" s="10" t="s">
        <v>560</v>
      </c>
      <c r="H7176" s="9" t="s">
        <v>22</v>
      </c>
      <c r="I7176" s="9" t="s">
        <v>16087</v>
      </c>
      <c r="J7176" s="10" t="str">
        <f>HYPERLINK("https://www.boe.es/gazeta/dias/1834/02/18/pdfs/GMD-1834-22.pdf#page=7","Abrir facsímil")</f>
        <v>Abrir facsímil</v>
      </c>
      <c r="K7176" s="10" t="s">
        <v>24</v>
      </c>
    </row>
    <row r="7177" spans="1:11" ht="54" customHeight="1">
      <c r="A7177" s="9" t="s">
        <v>16088</v>
      </c>
      <c r="B7177" s="9" t="s">
        <v>16089</v>
      </c>
      <c r="C7177" s="9" t="s">
        <v>17</v>
      </c>
      <c r="D7177" s="9" t="s">
        <v>18</v>
      </c>
      <c r="E7177" s="10" t="s">
        <v>84</v>
      </c>
      <c r="F7177" s="9" t="s">
        <v>1223</v>
      </c>
      <c r="G7177" s="10" t="s">
        <v>75</v>
      </c>
      <c r="H7177" s="9" t="s">
        <v>22</v>
      </c>
      <c r="I7177" s="9" t="s">
        <v>16090</v>
      </c>
      <c r="J7177" s="10" t="str">
        <f>HYPERLINK("https://www.boe.es/gazeta/dias/1834/06/07/pdfs/GMD-1834-109.pdf#page=4","Abrir facsímil")</f>
        <v>Abrir facsímil</v>
      </c>
      <c r="K7177" s="10" t="s">
        <v>24</v>
      </c>
    </row>
    <row r="7178" spans="1:11" ht="54" customHeight="1">
      <c r="A7178" s="9" t="s">
        <v>16088</v>
      </c>
      <c r="B7178" s="9" t="s">
        <v>16089</v>
      </c>
      <c r="C7178" s="9" t="s">
        <v>857</v>
      </c>
      <c r="D7178" s="9" t="s">
        <v>18</v>
      </c>
      <c r="E7178" s="10" t="s">
        <v>283</v>
      </c>
      <c r="F7178" s="9" t="s">
        <v>2969</v>
      </c>
      <c r="G7178" s="10" t="s">
        <v>75</v>
      </c>
      <c r="H7178" s="9" t="s">
        <v>22</v>
      </c>
      <c r="I7178" s="9" t="s">
        <v>16091</v>
      </c>
      <c r="J7178" s="10" t="str">
        <f>HYPERLINK("https://www.boe.es/gazeta/dias/1834/11/29/pdfs/GMD-1834-288.pdf#page=4","Abrir facsímil")</f>
        <v>Abrir facsímil</v>
      </c>
      <c r="K7178" s="10" t="s">
        <v>24</v>
      </c>
    </row>
    <row r="7179" spans="1:11" ht="54" customHeight="1">
      <c r="A7179" s="9" t="s">
        <v>16092</v>
      </c>
      <c r="B7179" s="9" t="s">
        <v>16093</v>
      </c>
      <c r="C7179" s="9" t="s">
        <v>17</v>
      </c>
      <c r="D7179" s="9" t="s">
        <v>18</v>
      </c>
      <c r="E7179" s="10" t="s">
        <v>299</v>
      </c>
      <c r="F7179" s="9" t="s">
        <v>300</v>
      </c>
      <c r="G7179" s="10" t="s">
        <v>21</v>
      </c>
      <c r="H7179" s="9" t="s">
        <v>22</v>
      </c>
      <c r="I7179" s="9" t="s">
        <v>16094</v>
      </c>
      <c r="J7179" s="10" t="str">
        <f>HYPERLINK("https://www.boe.es/gazeta/dias/1834/12/12/pdfs/GMD-1834-301.pdf#page=3","Abrir facsímil")</f>
        <v>Abrir facsímil</v>
      </c>
      <c r="K7179" s="10" t="s">
        <v>24</v>
      </c>
    </row>
    <row r="7180" spans="1:11" ht="54" customHeight="1">
      <c r="A7180" s="9" t="s">
        <v>16095</v>
      </c>
      <c r="B7180" s="9" t="s">
        <v>16096</v>
      </c>
      <c r="C7180" s="9" t="s">
        <v>122</v>
      </c>
      <c r="D7180" s="9" t="s">
        <v>18</v>
      </c>
      <c r="E7180" s="10" t="s">
        <v>2087</v>
      </c>
      <c r="F7180" s="9" t="s">
        <v>2088</v>
      </c>
      <c r="G7180" s="10" t="s">
        <v>75</v>
      </c>
      <c r="H7180" s="9" t="s">
        <v>35</v>
      </c>
      <c r="I7180" s="9" t="s">
        <v>16097</v>
      </c>
      <c r="J7180" s="10" t="str">
        <f>HYPERLINK("https://www.boe.es/gazeta/dias/1834/12/14/pdfs/GMD-1834-303.pdf#page=4","Abrir facsímil")</f>
        <v>Abrir facsímil</v>
      </c>
      <c r="K7180" s="10" t="s">
        <v>37</v>
      </c>
    </row>
    <row r="7181" spans="1:11" ht="54" customHeight="1">
      <c r="A7181" s="9" t="s">
        <v>16098</v>
      </c>
      <c r="B7181" s="9" t="s">
        <v>16099</v>
      </c>
      <c r="C7181" s="9" t="s">
        <v>122</v>
      </c>
      <c r="D7181" s="9" t="s">
        <v>18</v>
      </c>
      <c r="E7181" s="10" t="s">
        <v>2087</v>
      </c>
      <c r="F7181" s="9" t="s">
        <v>2088</v>
      </c>
      <c r="G7181" s="10" t="s">
        <v>75</v>
      </c>
      <c r="H7181" s="9" t="s">
        <v>22</v>
      </c>
      <c r="I7181" s="9" t="s">
        <v>16100</v>
      </c>
      <c r="J7181" s="10" t="str">
        <f>HYPERLINK("https://www.boe.es/gazeta/dias/1834/12/14/pdfs/GMD-1834-303.pdf#page=4","Abrir facsímil")</f>
        <v>Abrir facsímil</v>
      </c>
      <c r="K7181" s="10" t="s">
        <v>24</v>
      </c>
    </row>
    <row r="7182" spans="1:11" ht="54" customHeight="1">
      <c r="A7182" s="9" t="s">
        <v>16101</v>
      </c>
      <c r="B7182" s="9" t="s">
        <v>16102</v>
      </c>
      <c r="C7182" s="9" t="s">
        <v>122</v>
      </c>
      <c r="D7182" s="9" t="s">
        <v>101</v>
      </c>
      <c r="E7182" s="10" t="s">
        <v>117</v>
      </c>
      <c r="F7182" s="9" t="s">
        <v>118</v>
      </c>
      <c r="G7182" s="10" t="s">
        <v>75</v>
      </c>
      <c r="H7182" s="9" t="s">
        <v>35</v>
      </c>
      <c r="I7182" s="9" t="s">
        <v>16103</v>
      </c>
      <c r="J7182" s="10" t="str">
        <f>HYPERLINK("https://www.boe.es/gazeta/dias/1834/07/21/pdfs/GMD-1834-154.pdf#page=4","Abrir facsímil")</f>
        <v>Abrir facsímil</v>
      </c>
      <c r="K7182" s="10" t="s">
        <v>37</v>
      </c>
    </row>
    <row r="7183" spans="1:11" ht="54" customHeight="1">
      <c r="A7183" s="9" t="s">
        <v>16104</v>
      </c>
      <c r="B7183" s="9" t="s">
        <v>16105</v>
      </c>
      <c r="C7183" s="9" t="s">
        <v>17</v>
      </c>
      <c r="D7183" s="9" t="s">
        <v>18</v>
      </c>
      <c r="E7183" s="10" t="s">
        <v>84</v>
      </c>
      <c r="F7183" s="9" t="s">
        <v>1223</v>
      </c>
      <c r="G7183" s="10" t="s">
        <v>21</v>
      </c>
      <c r="H7183" s="9" t="s">
        <v>22</v>
      </c>
      <c r="I7183" s="9" t="s">
        <v>16106</v>
      </c>
      <c r="J7183" s="10" t="str">
        <f>HYPERLINK("https://www.boe.es/gazeta/dias/1834/06/07/pdfs/GMD-1834-109.pdf#page=3","Abrir facsímil")</f>
        <v>Abrir facsímil</v>
      </c>
      <c r="K7183" s="10" t="s">
        <v>24</v>
      </c>
    </row>
    <row r="7184" spans="1:11" ht="54" customHeight="1">
      <c r="A7184" s="9" t="s">
        <v>16107</v>
      </c>
      <c r="B7184" s="9" t="s">
        <v>16108</v>
      </c>
      <c r="C7184" s="9" t="s">
        <v>17</v>
      </c>
      <c r="D7184" s="9" t="s">
        <v>18</v>
      </c>
      <c r="E7184" s="10" t="s">
        <v>1008</v>
      </c>
      <c r="F7184" s="9" t="s">
        <v>1009</v>
      </c>
      <c r="G7184" s="10" t="s">
        <v>21</v>
      </c>
      <c r="H7184" s="9" t="s">
        <v>22</v>
      </c>
      <c r="I7184" s="9" t="s">
        <v>16109</v>
      </c>
      <c r="J7184" s="10" t="str">
        <f>HYPERLINK("https://www.boe.es/gazeta/dias/1834/11/08/pdfs/GMD-C-1834-267.pdf#page=3","Abrir facsímil")</f>
        <v>Abrir facsímil</v>
      </c>
      <c r="K7184" s="10" t="s">
        <v>24</v>
      </c>
    </row>
    <row r="7185" spans="1:11" ht="54" customHeight="1">
      <c r="A7185" s="9" t="s">
        <v>16107</v>
      </c>
      <c r="B7185" s="9" t="s">
        <v>16108</v>
      </c>
      <c r="C7185" s="9" t="s">
        <v>122</v>
      </c>
      <c r="D7185" s="9" t="s">
        <v>18</v>
      </c>
      <c r="E7185" s="10" t="s">
        <v>883</v>
      </c>
      <c r="F7185" s="9" t="s">
        <v>884</v>
      </c>
      <c r="G7185" s="10" t="s">
        <v>34</v>
      </c>
      <c r="H7185" s="9" t="s">
        <v>22</v>
      </c>
      <c r="I7185" s="9" t="s">
        <v>16110</v>
      </c>
      <c r="J7185" s="10" t="str">
        <f>HYPERLINK("https://www.boe.es/gazeta/dias/1834/11/16/pdfs/GMD-C-1834-275.pdf#page=1","Abrir facsímil")</f>
        <v>Abrir facsímil</v>
      </c>
      <c r="K7185" s="10" t="s">
        <v>24</v>
      </c>
    </row>
    <row r="7186" spans="1:11" ht="54" customHeight="1">
      <c r="A7186" s="9" t="s">
        <v>16107</v>
      </c>
      <c r="B7186" s="9" t="s">
        <v>16108</v>
      </c>
      <c r="C7186" s="9" t="s">
        <v>17</v>
      </c>
      <c r="D7186" s="9" t="s">
        <v>18</v>
      </c>
      <c r="E7186" s="10" t="s">
        <v>153</v>
      </c>
      <c r="F7186" s="9" t="s">
        <v>154</v>
      </c>
      <c r="G7186" s="10" t="s">
        <v>75</v>
      </c>
      <c r="H7186" s="9" t="s">
        <v>22</v>
      </c>
      <c r="I7186" s="9" t="s">
        <v>16111</v>
      </c>
      <c r="J7186" s="10" t="str">
        <f>HYPERLINK("https://www.boe.es/gazeta/dias/1834/12/30/pdfs/GMD-C-1834-320.pdf#page=4","Abrir facsímil")</f>
        <v>Abrir facsímil</v>
      </c>
      <c r="K7186" s="10" t="s">
        <v>24</v>
      </c>
    </row>
    <row r="7187" spans="1:11" ht="54" customHeight="1">
      <c r="A7187" s="9" t="s">
        <v>16112</v>
      </c>
      <c r="B7187" s="9" t="s">
        <v>16113</v>
      </c>
      <c r="C7187" s="9" t="s">
        <v>17</v>
      </c>
      <c r="D7187" s="9" t="s">
        <v>18</v>
      </c>
      <c r="E7187" s="10" t="s">
        <v>1686</v>
      </c>
      <c r="F7187" s="9" t="s">
        <v>1687</v>
      </c>
      <c r="G7187" s="10" t="s">
        <v>21</v>
      </c>
      <c r="H7187" s="9" t="s">
        <v>22</v>
      </c>
      <c r="I7187" s="9" t="s">
        <v>16114</v>
      </c>
      <c r="J7187" s="10" t="str">
        <f>HYPERLINK("https://www.boe.es/gazeta/dias/1834/07/27/pdfs/GMD-1834-160.pdf#page=3","Abrir facsímil")</f>
        <v>Abrir facsímil</v>
      </c>
      <c r="K7187" s="10" t="s">
        <v>24</v>
      </c>
    </row>
    <row r="7188" spans="1:11" ht="54" customHeight="1">
      <c r="A7188" s="9" t="s">
        <v>16115</v>
      </c>
      <c r="B7188" s="9" t="s">
        <v>16116</v>
      </c>
      <c r="C7188" s="9" t="s">
        <v>17</v>
      </c>
      <c r="D7188" s="9" t="s">
        <v>18</v>
      </c>
      <c r="E7188" s="10" t="s">
        <v>280</v>
      </c>
      <c r="F7188" s="9" t="s">
        <v>3217</v>
      </c>
      <c r="G7188" s="10" t="s">
        <v>34</v>
      </c>
      <c r="H7188" s="9" t="s">
        <v>22</v>
      </c>
      <c r="I7188" s="9" t="s">
        <v>16117</v>
      </c>
      <c r="J7188" s="10" t="str">
        <f>HYPERLINK("https://www.boe.es/gazeta/dias/1834/08/29/pdfs/GMD-1834-195.pdf#page=1","Abrir facsímil")</f>
        <v>Abrir facsímil</v>
      </c>
      <c r="K7188" s="10" t="s">
        <v>24</v>
      </c>
    </row>
    <row r="7189" spans="1:11" ht="54" customHeight="1">
      <c r="A7189" s="9" t="s">
        <v>16118</v>
      </c>
      <c r="B7189" s="9" t="s">
        <v>16118</v>
      </c>
      <c r="C7189" s="9" t="s">
        <v>122</v>
      </c>
      <c r="D7189" s="9" t="s">
        <v>18</v>
      </c>
      <c r="E7189" s="10" t="s">
        <v>928</v>
      </c>
      <c r="F7189" s="9" t="s">
        <v>929</v>
      </c>
      <c r="G7189" s="10" t="s">
        <v>28</v>
      </c>
      <c r="H7189" s="9" t="s">
        <v>22</v>
      </c>
      <c r="I7189" s="9" t="s">
        <v>16119</v>
      </c>
      <c r="J7189" s="10" t="str">
        <f>HYPERLINK("https://www.boe.es/gazeta/dias/1834/11/15/pdfs/GMD-C-1834-274.pdf#page=5","Abrir facsímil")</f>
        <v>Abrir facsímil</v>
      </c>
      <c r="K7189" s="10" t="s">
        <v>24</v>
      </c>
    </row>
    <row r="7190" spans="1:11" ht="54" customHeight="1">
      <c r="A7190" s="9" t="s">
        <v>16120</v>
      </c>
      <c r="B7190" s="9" t="s">
        <v>16120</v>
      </c>
      <c r="C7190" s="9" t="s">
        <v>17</v>
      </c>
      <c r="D7190" s="9" t="s">
        <v>55</v>
      </c>
      <c r="E7190" s="10" t="s">
        <v>679</v>
      </c>
      <c r="F7190" s="9" t="s">
        <v>699</v>
      </c>
      <c r="G7190" s="10" t="s">
        <v>21</v>
      </c>
      <c r="H7190" s="9" t="s">
        <v>22</v>
      </c>
      <c r="I7190" s="9" t="s">
        <v>16121</v>
      </c>
      <c r="J7190" s="10" t="str">
        <f>HYPERLINK("https://www.boe.es/gazeta/dias/1834/12/10/pdfs/GMD-C-1834-299.pdf#page=3","Abrir facsímil")</f>
        <v>Abrir facsímil</v>
      </c>
      <c r="K7190" s="10" t="s">
        <v>24</v>
      </c>
    </row>
    <row r="7191" spans="1:11" ht="54" customHeight="1">
      <c r="A7191" s="9" t="s">
        <v>16120</v>
      </c>
      <c r="B7191" s="9" t="s">
        <v>16120</v>
      </c>
      <c r="C7191" s="9" t="s">
        <v>122</v>
      </c>
      <c r="D7191" s="9" t="s">
        <v>18</v>
      </c>
      <c r="E7191" s="10" t="s">
        <v>928</v>
      </c>
      <c r="F7191" s="9" t="s">
        <v>929</v>
      </c>
      <c r="G7191" s="10" t="s">
        <v>28</v>
      </c>
      <c r="H7191" s="9" t="s">
        <v>22</v>
      </c>
      <c r="I7191" s="9" t="s">
        <v>16122</v>
      </c>
      <c r="J7191" s="10" t="str">
        <f>HYPERLINK("https://www.boe.es/gazeta/dias/1834/11/15/pdfs/GMD-C-1834-274.pdf#page=5","Abrir facsímil")</f>
        <v>Abrir facsímil</v>
      </c>
      <c r="K7191" s="10" t="s">
        <v>24</v>
      </c>
    </row>
    <row r="7192" spans="1:11" ht="54" customHeight="1">
      <c r="A7192" s="9" t="s">
        <v>16120</v>
      </c>
      <c r="B7192" s="9" t="s">
        <v>16120</v>
      </c>
      <c r="C7192" s="9" t="s">
        <v>122</v>
      </c>
      <c r="D7192" s="9" t="s">
        <v>18</v>
      </c>
      <c r="E7192" s="10" t="s">
        <v>883</v>
      </c>
      <c r="F7192" s="9" t="s">
        <v>884</v>
      </c>
      <c r="G7192" s="10" t="s">
        <v>86</v>
      </c>
      <c r="H7192" s="9" t="s">
        <v>22</v>
      </c>
      <c r="I7192" s="9" t="s">
        <v>16123</v>
      </c>
      <c r="J7192" s="10" t="str">
        <f>HYPERLINK("https://www.boe.es/gazeta/dias/1834/11/16/pdfs/GMD-C-1834-275.pdf#page=2","Abrir facsímil")</f>
        <v>Abrir facsímil</v>
      </c>
      <c r="K7192" s="10" t="s">
        <v>24</v>
      </c>
    </row>
    <row r="7193" spans="1:11" ht="54" customHeight="1">
      <c r="A7193" s="9" t="s">
        <v>16120</v>
      </c>
      <c r="B7193" s="9" t="s">
        <v>16120</v>
      </c>
      <c r="C7193" s="9" t="s">
        <v>66</v>
      </c>
      <c r="D7193" s="9" t="s">
        <v>18</v>
      </c>
      <c r="E7193" s="10" t="s">
        <v>702</v>
      </c>
      <c r="F7193" s="9" t="s">
        <v>703</v>
      </c>
      <c r="G7193" s="10" t="s">
        <v>34</v>
      </c>
      <c r="H7193" s="9" t="s">
        <v>22</v>
      </c>
      <c r="I7193" s="9" t="s">
        <v>16124</v>
      </c>
      <c r="J7193" s="10" t="str">
        <f>HYPERLINK("https://www.boe.es/gazeta/dias/1834/11/22/pdfs/GMD-C-1834-281.pdf#page=1","Abrir facsímil")</f>
        <v>Abrir facsímil</v>
      </c>
      <c r="K7193" s="10" t="s">
        <v>24</v>
      </c>
    </row>
    <row r="7194" spans="1:11" ht="54" customHeight="1">
      <c r="A7194" s="9" t="s">
        <v>16120</v>
      </c>
      <c r="B7194" s="9" t="s">
        <v>16120</v>
      </c>
      <c r="C7194" s="9" t="s">
        <v>17</v>
      </c>
      <c r="D7194" s="9" t="s">
        <v>18</v>
      </c>
      <c r="E7194" s="10" t="s">
        <v>667</v>
      </c>
      <c r="F7194" s="9" t="s">
        <v>668</v>
      </c>
      <c r="G7194" s="10" t="s">
        <v>176</v>
      </c>
      <c r="H7194" s="9" t="s">
        <v>22</v>
      </c>
      <c r="I7194" s="9" t="s">
        <v>16125</v>
      </c>
      <c r="J7194" s="10" t="str">
        <f>HYPERLINK("https://www.boe.es/gazeta/dias/1834/11/23/pdfs/GMD-C-1834-282.pdf#page=6","Abrir facsímil")</f>
        <v>Abrir facsímil</v>
      </c>
      <c r="K7194" s="10" t="s">
        <v>24</v>
      </c>
    </row>
    <row r="7195" spans="1:11" ht="54" customHeight="1">
      <c r="A7195" s="9" t="s">
        <v>16120</v>
      </c>
      <c r="B7195" s="9" t="s">
        <v>16120</v>
      </c>
      <c r="C7195" s="9" t="s">
        <v>17</v>
      </c>
      <c r="D7195" s="9" t="s">
        <v>18</v>
      </c>
      <c r="E7195" s="10" t="s">
        <v>510</v>
      </c>
      <c r="F7195" s="9" t="s">
        <v>531</v>
      </c>
      <c r="G7195" s="10" t="s">
        <v>75</v>
      </c>
      <c r="H7195" s="9" t="s">
        <v>22</v>
      </c>
      <c r="I7195" s="9" t="s">
        <v>16126</v>
      </c>
      <c r="J7195" s="10" t="str">
        <f>HYPERLINK("https://www.boe.es/gazeta/dias/1834/11/26/pdfs/GMD-C-1834-285.pdf#page=4","Abrir facsímil")</f>
        <v>Abrir facsímil</v>
      </c>
      <c r="K7195" s="10" t="s">
        <v>24</v>
      </c>
    </row>
    <row r="7196" spans="1:11" ht="54" customHeight="1">
      <c r="A7196" s="9" t="s">
        <v>16120</v>
      </c>
      <c r="B7196" s="9" t="s">
        <v>16120</v>
      </c>
      <c r="C7196" s="9" t="s">
        <v>17</v>
      </c>
      <c r="D7196" s="9" t="s">
        <v>18</v>
      </c>
      <c r="E7196" s="10" t="s">
        <v>510</v>
      </c>
      <c r="F7196" s="9" t="s">
        <v>531</v>
      </c>
      <c r="G7196" s="10" t="s">
        <v>560</v>
      </c>
      <c r="H7196" s="9" t="s">
        <v>22</v>
      </c>
      <c r="I7196" s="9" t="s">
        <v>16127</v>
      </c>
      <c r="J7196" s="10" t="str">
        <f>HYPERLINK("https://www.boe.es/gazeta/dias/1834/11/26/pdfs/GMD-C-1834-285.pdf#page=7","Abrir facsímil")</f>
        <v>Abrir facsímil</v>
      </c>
      <c r="K7196" s="10" t="s">
        <v>24</v>
      </c>
    </row>
    <row r="7197" spans="1:11" ht="54" customHeight="1">
      <c r="A7197" s="9" t="s">
        <v>16128</v>
      </c>
      <c r="B7197" s="9" t="s">
        <v>16128</v>
      </c>
      <c r="C7197" s="9" t="s">
        <v>17</v>
      </c>
      <c r="D7197" s="9" t="s">
        <v>18</v>
      </c>
      <c r="E7197" s="10" t="s">
        <v>3163</v>
      </c>
      <c r="F7197" s="9" t="s">
        <v>3164</v>
      </c>
      <c r="G7197" s="10" t="s">
        <v>34</v>
      </c>
      <c r="H7197" s="9" t="s">
        <v>22</v>
      </c>
      <c r="I7197" s="9" t="s">
        <v>16129</v>
      </c>
      <c r="J7197" s="10" t="str">
        <f>HYPERLINK("https://www.boe.es/gazeta/dias/1834/11/02/pdfs/GMD-1834-261.pdf#page=1","Abrir facsímil")</f>
        <v>Abrir facsímil</v>
      </c>
      <c r="K7197" s="10" t="s">
        <v>24</v>
      </c>
    </row>
    <row r="7198" spans="1:11" ht="54" customHeight="1">
      <c r="A7198" s="9" t="s">
        <v>16128</v>
      </c>
      <c r="B7198" s="9" t="s">
        <v>16128</v>
      </c>
      <c r="C7198" s="9" t="s">
        <v>66</v>
      </c>
      <c r="D7198" s="9" t="s">
        <v>18</v>
      </c>
      <c r="E7198" s="10" t="s">
        <v>1406</v>
      </c>
      <c r="F7198" s="9" t="s">
        <v>1407</v>
      </c>
      <c r="G7198" s="10" t="s">
        <v>34</v>
      </c>
      <c r="H7198" s="9" t="s">
        <v>22</v>
      </c>
      <c r="I7198" s="9" t="s">
        <v>16130</v>
      </c>
      <c r="J7198" s="10" t="str">
        <f>HYPERLINK("https://www.boe.es/gazeta/dias/1834/11/03/pdfs/GMD-1834-262.pdf#page=1","Abrir facsímil")</f>
        <v>Abrir facsímil</v>
      </c>
      <c r="K7198" s="10" t="s">
        <v>24</v>
      </c>
    </row>
    <row r="7199" spans="1:11" ht="54" customHeight="1">
      <c r="A7199" s="9" t="s">
        <v>16128</v>
      </c>
      <c r="B7199" s="9" t="s">
        <v>16128</v>
      </c>
      <c r="C7199" s="9" t="s">
        <v>122</v>
      </c>
      <c r="D7199" s="9" t="s">
        <v>101</v>
      </c>
      <c r="E7199" s="10" t="s">
        <v>1406</v>
      </c>
      <c r="F7199" s="9" t="s">
        <v>1407</v>
      </c>
      <c r="G7199" s="10" t="s">
        <v>86</v>
      </c>
      <c r="H7199" s="9" t="s">
        <v>22</v>
      </c>
      <c r="I7199" s="9" t="s">
        <v>16131</v>
      </c>
      <c r="J7199" s="10" t="str">
        <f>HYPERLINK("https://www.boe.es/gazeta/dias/1834/11/03/pdfs/GMD-1834-262.pdf#page=2","Abrir facsímil")</f>
        <v>Abrir facsímil</v>
      </c>
      <c r="K7199" s="10" t="s">
        <v>24</v>
      </c>
    </row>
    <row r="7200" spans="1:11" ht="54" customHeight="1">
      <c r="A7200" s="9" t="s">
        <v>16128</v>
      </c>
      <c r="B7200" s="9" t="s">
        <v>16128</v>
      </c>
      <c r="C7200" s="9" t="s">
        <v>17</v>
      </c>
      <c r="D7200" s="9" t="s">
        <v>18</v>
      </c>
      <c r="E7200" s="10" t="s">
        <v>73</v>
      </c>
      <c r="F7200" s="9" t="s">
        <v>74</v>
      </c>
      <c r="G7200" s="10" t="s">
        <v>34</v>
      </c>
      <c r="H7200" s="9" t="s">
        <v>22</v>
      </c>
      <c r="I7200" s="9" t="s">
        <v>16132</v>
      </c>
      <c r="J7200" s="10" t="str">
        <f>HYPERLINK("https://www.boe.es/gazeta/dias/1834/11/04/pdfs/GMD-1834-263.pdf#page=1","Abrir facsímil")</f>
        <v>Abrir facsímil</v>
      </c>
      <c r="K7200" s="10" t="s">
        <v>24</v>
      </c>
    </row>
    <row r="7201" spans="1:11" ht="54" customHeight="1">
      <c r="A7201" s="9" t="s">
        <v>16128</v>
      </c>
      <c r="B7201" s="9" t="s">
        <v>16128</v>
      </c>
      <c r="C7201" s="9" t="s">
        <v>66</v>
      </c>
      <c r="D7201" s="9" t="s">
        <v>67</v>
      </c>
      <c r="E7201" s="10" t="s">
        <v>919</v>
      </c>
      <c r="F7201" s="9" t="s">
        <v>920</v>
      </c>
      <c r="G7201" s="10" t="s">
        <v>21</v>
      </c>
      <c r="H7201" s="9" t="s">
        <v>22</v>
      </c>
      <c r="I7201" s="9" t="s">
        <v>16133</v>
      </c>
      <c r="J7201" s="10" t="str">
        <f>HYPERLINK("https://www.boe.es/gazeta/dias/1834/06/24/pdfs/GMD-1834-127.pdf#page=3","Abrir facsímil")</f>
        <v>Abrir facsímil</v>
      </c>
      <c r="K7201" s="10" t="s">
        <v>24</v>
      </c>
    </row>
    <row r="7202" spans="1:11" ht="54" customHeight="1">
      <c r="A7202" s="9" t="s">
        <v>16128</v>
      </c>
      <c r="B7202" s="9" t="s">
        <v>16128</v>
      </c>
      <c r="C7202" s="9" t="s">
        <v>66</v>
      </c>
      <c r="D7202" s="9" t="s">
        <v>67</v>
      </c>
      <c r="E7202" s="10" t="s">
        <v>510</v>
      </c>
      <c r="F7202" s="9" t="s">
        <v>511</v>
      </c>
      <c r="G7202" s="10" t="s">
        <v>86</v>
      </c>
      <c r="H7202" s="9" t="s">
        <v>22</v>
      </c>
      <c r="I7202" s="9" t="s">
        <v>16134</v>
      </c>
      <c r="J7202" s="10" t="str">
        <f>HYPERLINK("https://www.boe.es/gazeta/dias/1834/11/26/pdfs/GMD-1834-285.pdf#page=2","Abrir facsímil")</f>
        <v>Abrir facsímil</v>
      </c>
      <c r="K7202" s="10" t="s">
        <v>24</v>
      </c>
    </row>
    <row r="7203" spans="1:11" ht="54" customHeight="1">
      <c r="A7203" s="9" t="s">
        <v>16135</v>
      </c>
      <c r="B7203" s="9" t="s">
        <v>16136</v>
      </c>
      <c r="C7203" s="9" t="s">
        <v>17</v>
      </c>
      <c r="D7203" s="9" t="s">
        <v>40</v>
      </c>
      <c r="E7203" s="10" t="s">
        <v>1186</v>
      </c>
      <c r="F7203" s="9" t="s">
        <v>1187</v>
      </c>
      <c r="G7203" s="10" t="s">
        <v>34</v>
      </c>
      <c r="H7203" s="9" t="s">
        <v>22</v>
      </c>
      <c r="I7203" s="9" t="s">
        <v>16137</v>
      </c>
      <c r="J7203" s="10" t="str">
        <f>HYPERLINK("https://www.boe.es/gazeta/dias/1834/08/14/pdfs/GMD-1834-179.pdf#page=1","Abrir facsímil")</f>
        <v>Abrir facsímil</v>
      </c>
      <c r="K7203" s="10" t="s">
        <v>24</v>
      </c>
    </row>
    <row r="7204" spans="1:11" ht="54" customHeight="1">
      <c r="A7204" s="9" t="s">
        <v>16138</v>
      </c>
      <c r="B7204" s="9" t="s">
        <v>16139</v>
      </c>
      <c r="C7204" s="9" t="s">
        <v>122</v>
      </c>
      <c r="D7204" s="9" t="s">
        <v>18</v>
      </c>
      <c r="E7204" s="10" t="s">
        <v>1170</v>
      </c>
      <c r="F7204" s="9" t="s">
        <v>1171</v>
      </c>
      <c r="G7204" s="10" t="s">
        <v>28</v>
      </c>
      <c r="H7204" s="9" t="s">
        <v>22</v>
      </c>
      <c r="I7204" s="9" t="s">
        <v>16140</v>
      </c>
      <c r="J7204" s="10" t="str">
        <f>HYPERLINK("https://www.boe.es/gazeta/dias/1834/01/07/pdfs/GMD-1834-4.pdf#page=5","Abrir facsímil")</f>
        <v>Abrir facsímil</v>
      </c>
      <c r="K7204" s="10" t="s">
        <v>24</v>
      </c>
    </row>
    <row r="7205" spans="1:11" ht="54" customHeight="1">
      <c r="A7205" s="9" t="s">
        <v>16141</v>
      </c>
      <c r="B7205" s="9" t="s">
        <v>16141</v>
      </c>
      <c r="C7205" s="9" t="s">
        <v>17</v>
      </c>
      <c r="D7205" s="9" t="s">
        <v>18</v>
      </c>
      <c r="E7205" s="10" t="s">
        <v>4637</v>
      </c>
      <c r="F7205" s="9" t="s">
        <v>4638</v>
      </c>
      <c r="G7205" s="10" t="s">
        <v>21</v>
      </c>
      <c r="H7205" s="9" t="s">
        <v>22</v>
      </c>
      <c r="I7205" s="9" t="s">
        <v>16142</v>
      </c>
      <c r="J7205" s="10" t="str">
        <f>HYPERLINK("https://www.boe.es/gazeta/dias/1834/12/08/pdfs/GMD-1834-297.pdf#page=3","Abrir facsímil")</f>
        <v>Abrir facsímil</v>
      </c>
      <c r="K7205" s="10" t="s">
        <v>24</v>
      </c>
    </row>
    <row r="7206" spans="1:11" ht="54" customHeight="1">
      <c r="A7206" s="9" t="s">
        <v>16143</v>
      </c>
      <c r="B7206" s="9" t="s">
        <v>16144</v>
      </c>
      <c r="C7206" s="9" t="s">
        <v>90</v>
      </c>
      <c r="D7206" s="9" t="s">
        <v>18</v>
      </c>
      <c r="E7206" s="10" t="s">
        <v>2302</v>
      </c>
      <c r="F7206" s="9" t="s">
        <v>2303</v>
      </c>
      <c r="G7206" s="10" t="s">
        <v>75</v>
      </c>
      <c r="H7206" s="9" t="s">
        <v>22</v>
      </c>
      <c r="I7206" s="9" t="s">
        <v>16145</v>
      </c>
      <c r="J7206" s="10" t="str">
        <f>HYPERLINK("https://www.boe.es/gazeta/dias/1834/01/25/pdfs/GMD-1834-12.pdf#page=4","Abrir facsímil")</f>
        <v>Abrir facsímil</v>
      </c>
      <c r="K7206" s="10" t="s">
        <v>24</v>
      </c>
    </row>
    <row r="7207" spans="1:11" ht="54" customHeight="1">
      <c r="A7207" s="9" t="s">
        <v>16146</v>
      </c>
      <c r="B7207" s="9" t="s">
        <v>16147</v>
      </c>
      <c r="C7207" s="9" t="s">
        <v>17</v>
      </c>
      <c r="D7207" s="9" t="s">
        <v>18</v>
      </c>
      <c r="E7207" s="10" t="s">
        <v>905</v>
      </c>
      <c r="F7207" s="9" t="s">
        <v>1651</v>
      </c>
      <c r="G7207" s="10" t="s">
        <v>21</v>
      </c>
      <c r="H7207" s="9" t="s">
        <v>22</v>
      </c>
      <c r="I7207" s="9" t="s">
        <v>16148</v>
      </c>
      <c r="J7207" s="10" t="str">
        <f>HYPERLINK("https://www.boe.es/gazeta/dias/1834/08/02/pdfs/GMD-1834-166.pdf#page=3","Abrir facsímil")</f>
        <v>Abrir facsímil</v>
      </c>
      <c r="K7207" s="10" t="s">
        <v>24</v>
      </c>
    </row>
    <row r="7208" spans="1:11" ht="54" customHeight="1">
      <c r="A7208" s="9" t="s">
        <v>16146</v>
      </c>
      <c r="B7208" s="9" t="s">
        <v>16147</v>
      </c>
      <c r="C7208" s="9" t="s">
        <v>122</v>
      </c>
      <c r="D7208" s="9" t="s">
        <v>18</v>
      </c>
      <c r="E7208" s="10" t="s">
        <v>4565</v>
      </c>
      <c r="F7208" s="9" t="s">
        <v>4566</v>
      </c>
      <c r="G7208" s="10" t="s">
        <v>75</v>
      </c>
      <c r="H7208" s="9" t="s">
        <v>22</v>
      </c>
      <c r="I7208" s="9" t="s">
        <v>16149</v>
      </c>
      <c r="J7208" s="10" t="str">
        <f>HYPERLINK("https://www.boe.es/gazeta/dias/1834/07/10/pdfs/GMD-1834-143.pdf#page=4","Abrir facsímil")</f>
        <v>Abrir facsímil</v>
      </c>
      <c r="K7208" s="10" t="s">
        <v>24</v>
      </c>
    </row>
    <row r="7209" spans="1:11" ht="54" customHeight="1">
      <c r="A7209" s="9" t="s">
        <v>16150</v>
      </c>
      <c r="B7209" s="9" t="s">
        <v>16151</v>
      </c>
      <c r="C7209" s="9" t="s">
        <v>66</v>
      </c>
      <c r="D7209" s="9" t="s">
        <v>67</v>
      </c>
      <c r="E7209" s="10" t="s">
        <v>524</v>
      </c>
      <c r="F7209" s="9" t="s">
        <v>4743</v>
      </c>
      <c r="G7209" s="10" t="s">
        <v>75</v>
      </c>
      <c r="H7209" s="9" t="s">
        <v>22</v>
      </c>
      <c r="I7209" s="9" t="s">
        <v>16152</v>
      </c>
      <c r="J7209" s="10" t="str">
        <f>HYPERLINK("https://www.boe.es/gazeta/dias/1834/12/25/pdfs/GMD-1834-315.pdf#page=4","Abrir facsímil")</f>
        <v>Abrir facsímil</v>
      </c>
      <c r="K7209" s="10" t="s">
        <v>24</v>
      </c>
    </row>
    <row r="7210" spans="1:11" ht="54" customHeight="1">
      <c r="A7210" s="9" t="s">
        <v>16153</v>
      </c>
      <c r="B7210" s="9" t="s">
        <v>16154</v>
      </c>
      <c r="C7210" s="9" t="s">
        <v>17</v>
      </c>
      <c r="D7210" s="9" t="s">
        <v>18</v>
      </c>
      <c r="E7210" s="10" t="s">
        <v>8279</v>
      </c>
      <c r="F7210" s="9" t="s">
        <v>8280</v>
      </c>
      <c r="G7210" s="10" t="s">
        <v>75</v>
      </c>
      <c r="H7210" s="9" t="s">
        <v>22</v>
      </c>
      <c r="I7210" s="9" t="s">
        <v>16155</v>
      </c>
      <c r="J7210" s="10" t="str">
        <f>HYPERLINK("https://www.boe.es/gazeta/dias/1834/04/22/pdfs/GMD-1834-61.pdf#page=4","Abrir facsímil")</f>
        <v>Abrir facsímil</v>
      </c>
      <c r="K7210" s="10" t="s">
        <v>24</v>
      </c>
    </row>
    <row r="7211" spans="1:11" ht="54" customHeight="1">
      <c r="A7211" s="9" t="s">
        <v>16156</v>
      </c>
      <c r="B7211" s="9" t="s">
        <v>16157</v>
      </c>
      <c r="C7211" s="9" t="s">
        <v>17</v>
      </c>
      <c r="D7211" s="9" t="s">
        <v>18</v>
      </c>
      <c r="E7211" s="10" t="s">
        <v>863</v>
      </c>
      <c r="F7211" s="9" t="s">
        <v>864</v>
      </c>
      <c r="G7211" s="10" t="s">
        <v>21</v>
      </c>
      <c r="H7211" s="9" t="s">
        <v>22</v>
      </c>
      <c r="I7211" s="9" t="s">
        <v>16158</v>
      </c>
      <c r="J7211" s="10" t="str">
        <f>HYPERLINK("https://www.boe.es/gazeta/dias/1834/09/15/pdfs/GMD-1834-213.pdf#page=3","Abrir facsímil")</f>
        <v>Abrir facsímil</v>
      </c>
      <c r="K7211" s="10" t="s">
        <v>24</v>
      </c>
    </row>
    <row r="7212" spans="1:11" ht="54" customHeight="1">
      <c r="A7212" s="9" t="s">
        <v>16159</v>
      </c>
      <c r="B7212" s="9" t="s">
        <v>16159</v>
      </c>
      <c r="C7212" s="9" t="s">
        <v>17</v>
      </c>
      <c r="D7212" s="9" t="s">
        <v>18</v>
      </c>
      <c r="E7212" s="10" t="s">
        <v>2302</v>
      </c>
      <c r="F7212" s="9" t="s">
        <v>2303</v>
      </c>
      <c r="G7212" s="10" t="s">
        <v>86</v>
      </c>
      <c r="H7212" s="9" t="s">
        <v>22</v>
      </c>
      <c r="I7212" s="9" t="s">
        <v>16160</v>
      </c>
      <c r="J7212" s="10" t="str">
        <f>HYPERLINK("https://www.boe.es/gazeta/dias/1834/01/25/pdfs/GMD-1834-12.pdf#page=2","Abrir facsímil")</f>
        <v>Abrir facsímil</v>
      </c>
      <c r="K7212" s="10" t="s">
        <v>24</v>
      </c>
    </row>
    <row r="7213" spans="1:11" ht="54" customHeight="1">
      <c r="A7213" s="9" t="s">
        <v>16161</v>
      </c>
      <c r="B7213" s="9" t="s">
        <v>16162</v>
      </c>
      <c r="C7213" s="9" t="s">
        <v>17</v>
      </c>
      <c r="D7213" s="9" t="s">
        <v>18</v>
      </c>
      <c r="E7213" s="10" t="s">
        <v>2107</v>
      </c>
      <c r="F7213" s="9" t="s">
        <v>2108</v>
      </c>
      <c r="G7213" s="10" t="s">
        <v>21</v>
      </c>
      <c r="H7213" s="9" t="s">
        <v>22</v>
      </c>
      <c r="I7213" s="9" t="s">
        <v>16163</v>
      </c>
      <c r="J7213" s="10" t="str">
        <f>HYPERLINK("https://www.boe.es/gazeta/dias/1834/08/24/pdfs/GMD-1834-190.pdf#page=3","Abrir facsímil")</f>
        <v>Abrir facsímil</v>
      </c>
      <c r="K7213" s="10" t="s">
        <v>24</v>
      </c>
    </row>
    <row r="7214" spans="1:11" ht="54" customHeight="1">
      <c r="A7214" s="9" t="s">
        <v>16164</v>
      </c>
      <c r="B7214" s="9" t="s">
        <v>16164</v>
      </c>
      <c r="C7214" s="9" t="s">
        <v>17</v>
      </c>
      <c r="D7214" s="9" t="s">
        <v>18</v>
      </c>
      <c r="E7214" s="10" t="s">
        <v>2203</v>
      </c>
      <c r="F7214" s="9" t="s">
        <v>2204</v>
      </c>
      <c r="G7214" s="10" t="s">
        <v>75</v>
      </c>
      <c r="H7214" s="9" t="s">
        <v>22</v>
      </c>
      <c r="I7214" s="9" t="s">
        <v>16165</v>
      </c>
      <c r="J7214" s="10" t="str">
        <f>HYPERLINK("https://www.boe.es/gazeta/dias/1834/09/10/pdfs/GMD-C-1834-208.pdf#page=4","Abrir facsímil")</f>
        <v>Abrir facsímil</v>
      </c>
      <c r="K7214" s="10" t="s">
        <v>24</v>
      </c>
    </row>
    <row r="7215" spans="1:11" ht="54" customHeight="1">
      <c r="A7215" s="9" t="s">
        <v>16166</v>
      </c>
      <c r="B7215" s="9" t="s">
        <v>16167</v>
      </c>
      <c r="C7215" s="9" t="s">
        <v>17</v>
      </c>
      <c r="D7215" s="9" t="s">
        <v>18</v>
      </c>
      <c r="E7215" s="10" t="s">
        <v>1680</v>
      </c>
      <c r="F7215" s="9" t="s">
        <v>1681</v>
      </c>
      <c r="G7215" s="10" t="s">
        <v>75</v>
      </c>
      <c r="H7215" s="9" t="s">
        <v>35</v>
      </c>
      <c r="I7215" s="9" t="s">
        <v>16168</v>
      </c>
      <c r="J7215" s="10" t="str">
        <f>HYPERLINK("https://www.boe.es/gazeta/dias/1834/02/27/pdfs/GMD-1834-26.pdf#page=4","Abrir facsímil")</f>
        <v>Abrir facsímil</v>
      </c>
      <c r="K7215" s="10" t="s">
        <v>37</v>
      </c>
    </row>
    <row r="7216" spans="1:11" ht="54" customHeight="1">
      <c r="A7216" s="9" t="s">
        <v>16169</v>
      </c>
      <c r="B7216" s="9" t="s">
        <v>16170</v>
      </c>
      <c r="C7216" s="9" t="s">
        <v>17</v>
      </c>
      <c r="D7216" s="9" t="s">
        <v>18</v>
      </c>
      <c r="E7216" s="10" t="s">
        <v>1680</v>
      </c>
      <c r="F7216" s="9" t="s">
        <v>1681</v>
      </c>
      <c r="G7216" s="10" t="s">
        <v>75</v>
      </c>
      <c r="H7216" s="9" t="s">
        <v>22</v>
      </c>
      <c r="I7216" s="9" t="s">
        <v>16171</v>
      </c>
      <c r="J7216" s="10" t="str">
        <f>HYPERLINK("https://www.boe.es/gazeta/dias/1834/02/27/pdfs/GMD-1834-26.pdf#page=4","Abrir facsímil")</f>
        <v>Abrir facsímil</v>
      </c>
      <c r="K7216" s="10" t="s">
        <v>24</v>
      </c>
    </row>
    <row r="7217" spans="1:11" ht="54" customHeight="1">
      <c r="A7217" s="9" t="s">
        <v>16172</v>
      </c>
      <c r="B7217" s="9" t="s">
        <v>16173</v>
      </c>
      <c r="C7217" s="9" t="s">
        <v>66</v>
      </c>
      <c r="D7217" s="9" t="s">
        <v>67</v>
      </c>
      <c r="E7217" s="10" t="s">
        <v>399</v>
      </c>
      <c r="F7217" s="9" t="s">
        <v>400</v>
      </c>
      <c r="G7217" s="10" t="s">
        <v>34</v>
      </c>
      <c r="H7217" s="9" t="s">
        <v>22</v>
      </c>
      <c r="I7217" s="9" t="s">
        <v>16174</v>
      </c>
      <c r="J7217" s="10" t="str">
        <f>HYPERLINK("https://www.boe.es/gazeta/dias/1834/07/08/pdfs/GMD-1834-141.pdf#page=1","Abrir facsímil")</f>
        <v>Abrir facsímil</v>
      </c>
      <c r="K7217" s="10" t="s">
        <v>24</v>
      </c>
    </row>
    <row r="7218" spans="1:11" ht="54" customHeight="1">
      <c r="A7218" s="9" t="s">
        <v>16175</v>
      </c>
      <c r="B7218" s="9" t="s">
        <v>16175</v>
      </c>
      <c r="C7218" s="9" t="s">
        <v>17</v>
      </c>
      <c r="D7218" s="9" t="s">
        <v>101</v>
      </c>
      <c r="E7218" s="10" t="s">
        <v>209</v>
      </c>
      <c r="F7218" s="9" t="s">
        <v>210</v>
      </c>
      <c r="G7218" s="10" t="s">
        <v>86</v>
      </c>
      <c r="H7218" s="9" t="s">
        <v>22</v>
      </c>
      <c r="I7218" s="9" t="s">
        <v>16176</v>
      </c>
      <c r="J7218" s="10" t="str">
        <f>HYPERLINK("https://www.boe.es/gazeta/dias/1834/07/01/pdfs/GMD-1834-134.pdf#page=2","Abrir facsímil")</f>
        <v>Abrir facsímil</v>
      </c>
      <c r="K7218" s="10" t="s">
        <v>24</v>
      </c>
    </row>
    <row r="7219" spans="1:11" ht="54" customHeight="1">
      <c r="A7219" s="9" t="s">
        <v>16177</v>
      </c>
      <c r="B7219" s="9" t="s">
        <v>16177</v>
      </c>
      <c r="C7219" s="9" t="s">
        <v>17</v>
      </c>
      <c r="D7219" s="9" t="s">
        <v>18</v>
      </c>
      <c r="E7219" s="10" t="s">
        <v>3699</v>
      </c>
      <c r="F7219" s="9" t="s">
        <v>3700</v>
      </c>
      <c r="G7219" s="10" t="s">
        <v>21</v>
      </c>
      <c r="H7219" s="9" t="s">
        <v>22</v>
      </c>
      <c r="I7219" s="9" t="s">
        <v>16178</v>
      </c>
      <c r="J7219" s="10" t="str">
        <f>HYPERLINK("https://www.boe.es/gazeta/dias/1834/02/06/pdfs/GMD-1834-17.pdf#page=3","Abrir facsímil")</f>
        <v>Abrir facsímil</v>
      </c>
      <c r="K7219" s="10" t="s">
        <v>24</v>
      </c>
    </row>
    <row r="7220" spans="1:11" ht="54" customHeight="1">
      <c r="A7220" s="9" t="s">
        <v>16179</v>
      </c>
      <c r="B7220" s="9" t="s">
        <v>16179</v>
      </c>
      <c r="C7220" s="9" t="s">
        <v>17</v>
      </c>
      <c r="D7220" s="9" t="s">
        <v>18</v>
      </c>
      <c r="E7220" s="10" t="s">
        <v>148</v>
      </c>
      <c r="F7220" s="9" t="s">
        <v>149</v>
      </c>
      <c r="G7220" s="10" t="s">
        <v>75</v>
      </c>
      <c r="H7220" s="9" t="s">
        <v>22</v>
      </c>
      <c r="I7220" s="9" t="s">
        <v>16180</v>
      </c>
      <c r="J7220" s="10" t="str">
        <f>HYPERLINK("https://www.boe.es/gazeta/dias/1834/10/20/pdfs/GMD-1834-248.pdf#page=4","Abrir facsímil")</f>
        <v>Abrir facsímil</v>
      </c>
      <c r="K7220" s="10" t="s">
        <v>24</v>
      </c>
    </row>
    <row r="7221" spans="1:11" ht="54" customHeight="1">
      <c r="A7221" s="9" t="s">
        <v>16181</v>
      </c>
      <c r="B7221" s="9" t="s">
        <v>16181</v>
      </c>
      <c r="C7221" s="9" t="s">
        <v>17</v>
      </c>
      <c r="D7221" s="9" t="s">
        <v>18</v>
      </c>
      <c r="E7221" s="10" t="s">
        <v>2459</v>
      </c>
      <c r="F7221" s="9" t="s">
        <v>2460</v>
      </c>
      <c r="G7221" s="10" t="s">
        <v>86</v>
      </c>
      <c r="H7221" s="9" t="s">
        <v>22</v>
      </c>
      <c r="I7221" s="9" t="s">
        <v>16182</v>
      </c>
      <c r="J7221" s="10" t="str">
        <f>HYPERLINK("https://www.boe.es/gazeta/dias/1834/04/04/pdfs/GMD-1834-43.pdf#page=2","Abrir facsímil")</f>
        <v>Abrir facsímil</v>
      </c>
      <c r="K7221" s="10" t="s">
        <v>24</v>
      </c>
    </row>
    <row r="7222" spans="1:11" ht="54" customHeight="1">
      <c r="A7222" s="9" t="s">
        <v>16183</v>
      </c>
      <c r="B7222" s="9" t="s">
        <v>16184</v>
      </c>
      <c r="C7222" s="9" t="s">
        <v>17</v>
      </c>
      <c r="D7222" s="9" t="s">
        <v>18</v>
      </c>
      <c r="E7222" s="10" t="s">
        <v>1981</v>
      </c>
      <c r="F7222" s="9" t="s">
        <v>2471</v>
      </c>
      <c r="G7222" s="10" t="s">
        <v>21</v>
      </c>
      <c r="H7222" s="9" t="s">
        <v>22</v>
      </c>
      <c r="I7222" s="9" t="s">
        <v>16185</v>
      </c>
      <c r="J7222" s="10" t="str">
        <f>HYPERLINK("https://www.boe.es/gazeta/dias/1834/12/13/pdfs/GMD-C-1834-302.pdf#page=3","Abrir facsímil")</f>
        <v>Abrir facsímil</v>
      </c>
      <c r="K7222" s="10" t="s">
        <v>24</v>
      </c>
    </row>
    <row r="7223" spans="1:11" ht="54" customHeight="1">
      <c r="A7223" s="9" t="s">
        <v>16186</v>
      </c>
      <c r="B7223" s="9" t="s">
        <v>16187</v>
      </c>
      <c r="C7223" s="9" t="s">
        <v>17</v>
      </c>
      <c r="D7223" s="9" t="s">
        <v>18</v>
      </c>
      <c r="E7223" s="10" t="s">
        <v>571</v>
      </c>
      <c r="F7223" s="9" t="s">
        <v>620</v>
      </c>
      <c r="G7223" s="10" t="s">
        <v>470</v>
      </c>
      <c r="H7223" s="9" t="s">
        <v>22</v>
      </c>
      <c r="I7223" s="9" t="s">
        <v>16188</v>
      </c>
      <c r="J7223" s="10" t="str">
        <f>HYPERLINK("https://www.boe.es/gazeta/dias/1834/09/04/pdfs/GMD-C-1834-202.pdf#page=8","Abrir facsímil")</f>
        <v>Abrir facsímil</v>
      </c>
      <c r="K7223" s="10" t="s">
        <v>24</v>
      </c>
    </row>
    <row r="7224" spans="1:11" ht="54" customHeight="1">
      <c r="A7224" s="9" t="s">
        <v>16189</v>
      </c>
      <c r="B7224" s="9" t="s">
        <v>16190</v>
      </c>
      <c r="C7224" s="9" t="s">
        <v>17</v>
      </c>
      <c r="D7224" s="9" t="s">
        <v>40</v>
      </c>
      <c r="E7224" s="10" t="s">
        <v>3066</v>
      </c>
      <c r="F7224" s="9" t="s">
        <v>3188</v>
      </c>
      <c r="G7224" s="10" t="s">
        <v>86</v>
      </c>
      <c r="H7224" s="9" t="s">
        <v>22</v>
      </c>
      <c r="I7224" s="9" t="s">
        <v>16191</v>
      </c>
      <c r="J7224" s="10" t="str">
        <f>HYPERLINK("https://www.boe.es/gazeta/dias/1834/08/03/pdfs/I00721-00722.pdf#page=2","Abrir facsímil")</f>
        <v>Abrir facsímil</v>
      </c>
      <c r="K7224" s="10" t="s">
        <v>24</v>
      </c>
    </row>
    <row r="7225" spans="1:11" ht="54" customHeight="1">
      <c r="A7225" s="9" t="s">
        <v>16189</v>
      </c>
      <c r="B7225" s="9" t="s">
        <v>16190</v>
      </c>
      <c r="C7225" s="9" t="s">
        <v>17</v>
      </c>
      <c r="D7225" s="9" t="s">
        <v>40</v>
      </c>
      <c r="E7225" s="10" t="s">
        <v>3066</v>
      </c>
      <c r="F7225" s="9" t="s">
        <v>3188</v>
      </c>
      <c r="G7225" s="10" t="s">
        <v>75</v>
      </c>
      <c r="H7225" s="9" t="s">
        <v>22</v>
      </c>
      <c r="I7225" s="9" t="s">
        <v>16191</v>
      </c>
      <c r="J7225" s="10" t="str">
        <f>HYPERLINK("https://www.boe.es/gazeta/dias/1834/08/03/pdfs/GMD-1834-167.pdf#page=4","Abrir facsímil")</f>
        <v>Abrir facsímil</v>
      </c>
      <c r="K7225" s="10" t="s">
        <v>24</v>
      </c>
    </row>
    <row r="7226" spans="1:11" ht="54" customHeight="1">
      <c r="A7226" s="9" t="s">
        <v>16192</v>
      </c>
      <c r="B7226" s="9" t="s">
        <v>16192</v>
      </c>
      <c r="C7226" s="9" t="s">
        <v>17</v>
      </c>
      <c r="D7226" s="9" t="s">
        <v>18</v>
      </c>
      <c r="E7226" s="10" t="s">
        <v>976</v>
      </c>
      <c r="F7226" s="9" t="s">
        <v>977</v>
      </c>
      <c r="G7226" s="10" t="s">
        <v>86</v>
      </c>
      <c r="H7226" s="9" t="s">
        <v>22</v>
      </c>
      <c r="I7226" s="9" t="s">
        <v>16193</v>
      </c>
      <c r="J7226" s="10" t="str">
        <f>HYPERLINK("https://www.boe.es/gazeta/dias/1834/04/02/pdfs/GMD-1834-41.pdf#page=2","Abrir facsímil")</f>
        <v>Abrir facsímil</v>
      </c>
      <c r="K7226" s="10" t="s">
        <v>24</v>
      </c>
    </row>
    <row r="7227" spans="1:11" ht="54" customHeight="1">
      <c r="A7227" s="9" t="s">
        <v>16194</v>
      </c>
      <c r="B7227" s="9" t="s">
        <v>16194</v>
      </c>
      <c r="C7227" s="9" t="s">
        <v>17</v>
      </c>
      <c r="D7227" s="9" t="s">
        <v>18</v>
      </c>
      <c r="E7227" s="10" t="s">
        <v>299</v>
      </c>
      <c r="F7227" s="9" t="s">
        <v>2255</v>
      </c>
      <c r="G7227" s="10" t="s">
        <v>21</v>
      </c>
      <c r="H7227" s="9" t="s">
        <v>22</v>
      </c>
      <c r="I7227" s="9" t="s">
        <v>16195</v>
      </c>
      <c r="J7227" s="10" t="str">
        <f>HYPERLINK("https://www.boe.es/gazeta/dias/1834/12/12/pdfs/GMD-C-1834-301.pdf#page=3","Abrir facsímil")</f>
        <v>Abrir facsímil</v>
      </c>
      <c r="K7227" s="10" t="s">
        <v>24</v>
      </c>
    </row>
    <row r="7228" spans="1:11" ht="54" customHeight="1">
      <c r="A7228" s="9" t="s">
        <v>16196</v>
      </c>
      <c r="B7228" s="9" t="s">
        <v>16197</v>
      </c>
      <c r="C7228" s="9" t="s">
        <v>90</v>
      </c>
      <c r="D7228" s="9" t="s">
        <v>18</v>
      </c>
      <c r="E7228" s="10" t="s">
        <v>1351</v>
      </c>
      <c r="F7228" s="9" t="s">
        <v>1352</v>
      </c>
      <c r="G7228" s="10" t="s">
        <v>28</v>
      </c>
      <c r="H7228" s="9" t="s">
        <v>35</v>
      </c>
      <c r="I7228" s="9" t="s">
        <v>16198</v>
      </c>
      <c r="J7228" s="10" t="str">
        <f>HYPERLINK("https://www.boe.es/gazeta/dias/1834/07/05/pdfs/GMD-1834-138.pdf#page=5","Abrir facsímil")</f>
        <v>Abrir facsímil</v>
      </c>
      <c r="K7228" s="10" t="s">
        <v>37</v>
      </c>
    </row>
    <row r="7229" spans="1:11" ht="54" customHeight="1">
      <c r="A7229" s="9" t="s">
        <v>16196</v>
      </c>
      <c r="B7229" s="9" t="s">
        <v>16197</v>
      </c>
      <c r="C7229" s="9" t="s">
        <v>17</v>
      </c>
      <c r="D7229" s="9" t="s">
        <v>18</v>
      </c>
      <c r="E7229" s="10" t="s">
        <v>479</v>
      </c>
      <c r="F7229" s="9" t="s">
        <v>2258</v>
      </c>
      <c r="G7229" s="10" t="s">
        <v>34</v>
      </c>
      <c r="H7229" s="9" t="s">
        <v>35</v>
      </c>
      <c r="I7229" s="9" t="s">
        <v>16199</v>
      </c>
      <c r="J7229" s="10" t="str">
        <f>HYPERLINK("https://www.boe.es/gazeta/dias/1834/08/13/pdfs/GMD-C-1834-178.pdf#page=1","Abrir facsímil")</f>
        <v>Abrir facsímil</v>
      </c>
      <c r="K7229" s="10" t="s">
        <v>37</v>
      </c>
    </row>
    <row r="7230" spans="1:11" ht="54" customHeight="1">
      <c r="A7230" s="9" t="s">
        <v>16200</v>
      </c>
      <c r="B7230" s="9" t="s">
        <v>16201</v>
      </c>
      <c r="C7230" s="9" t="s">
        <v>90</v>
      </c>
      <c r="D7230" s="9" t="s">
        <v>18</v>
      </c>
      <c r="E7230" s="10" t="s">
        <v>1351</v>
      </c>
      <c r="F7230" s="9" t="s">
        <v>1352</v>
      </c>
      <c r="G7230" s="10" t="s">
        <v>28</v>
      </c>
      <c r="H7230" s="9" t="s">
        <v>22</v>
      </c>
      <c r="I7230" s="9" t="s">
        <v>16202</v>
      </c>
      <c r="J7230" s="10" t="str">
        <f>HYPERLINK("https://www.boe.es/gazeta/dias/1834/07/05/pdfs/GMD-1834-138.pdf#page=5","Abrir facsímil")</f>
        <v>Abrir facsímil</v>
      </c>
      <c r="K7230" s="10" t="s">
        <v>24</v>
      </c>
    </row>
    <row r="7231" spans="1:11" ht="54" customHeight="1">
      <c r="A7231" s="9" t="s">
        <v>16200</v>
      </c>
      <c r="B7231" s="9" t="s">
        <v>16201</v>
      </c>
      <c r="C7231" s="9" t="s">
        <v>17</v>
      </c>
      <c r="D7231" s="9" t="s">
        <v>18</v>
      </c>
      <c r="E7231" s="10" t="s">
        <v>1839</v>
      </c>
      <c r="F7231" s="9" t="s">
        <v>1840</v>
      </c>
      <c r="G7231" s="10" t="s">
        <v>86</v>
      </c>
      <c r="H7231" s="9" t="s">
        <v>22</v>
      </c>
      <c r="I7231" s="9" t="s">
        <v>16203</v>
      </c>
      <c r="J7231" s="10" t="str">
        <f>HYPERLINK("https://www.boe.es/gazeta/dias/1834/08/12/pdfs/GMD-C-1834-177.pdf#page=2","Abrir facsímil")</f>
        <v>Abrir facsímil</v>
      </c>
      <c r="K7231" s="10" t="s">
        <v>24</v>
      </c>
    </row>
    <row r="7232" spans="1:11" ht="54" customHeight="1">
      <c r="A7232" s="9" t="s">
        <v>16200</v>
      </c>
      <c r="B7232" s="9" t="s">
        <v>16201</v>
      </c>
      <c r="C7232" s="9" t="s">
        <v>17</v>
      </c>
      <c r="D7232" s="9" t="s">
        <v>18</v>
      </c>
      <c r="E7232" s="10" t="s">
        <v>479</v>
      </c>
      <c r="F7232" s="9" t="s">
        <v>2258</v>
      </c>
      <c r="G7232" s="10" t="s">
        <v>34</v>
      </c>
      <c r="H7232" s="9" t="s">
        <v>22</v>
      </c>
      <c r="I7232" s="9" t="s">
        <v>16204</v>
      </c>
      <c r="J7232" s="10" t="str">
        <f>HYPERLINK("https://www.boe.es/gazeta/dias/1834/08/13/pdfs/GMD-C-1834-178.pdf#page=1","Abrir facsímil")</f>
        <v>Abrir facsímil</v>
      </c>
      <c r="K7232" s="10" t="s">
        <v>24</v>
      </c>
    </row>
    <row r="7233" spans="1:11" ht="54" customHeight="1">
      <c r="A7233" s="9" t="s">
        <v>16205</v>
      </c>
      <c r="B7233" s="9" t="s">
        <v>16206</v>
      </c>
      <c r="C7233" s="9" t="s">
        <v>17</v>
      </c>
      <c r="D7233" s="9" t="s">
        <v>18</v>
      </c>
      <c r="E7233" s="10" t="s">
        <v>19</v>
      </c>
      <c r="F7233" s="9" t="s">
        <v>107</v>
      </c>
      <c r="G7233" s="10" t="s">
        <v>75</v>
      </c>
      <c r="H7233" s="9" t="s">
        <v>22</v>
      </c>
      <c r="I7233" s="9" t="s">
        <v>16207</v>
      </c>
      <c r="J7233" s="10" t="str">
        <f>HYPERLINK("https://www.boe.es/gazeta/dias/1834/08/17/pdfs/GMD-1834-182.pdf#page=4","Abrir facsímil")</f>
        <v>Abrir facsímil</v>
      </c>
      <c r="K7233" s="10" t="s">
        <v>24</v>
      </c>
    </row>
    <row r="7234" spans="1:11" ht="54" customHeight="1">
      <c r="A7234" s="9" t="s">
        <v>16208</v>
      </c>
      <c r="B7234" s="9" t="s">
        <v>16209</v>
      </c>
      <c r="C7234" s="9" t="s">
        <v>857</v>
      </c>
      <c r="D7234" s="9" t="s">
        <v>40</v>
      </c>
      <c r="E7234" s="10" t="s">
        <v>823</v>
      </c>
      <c r="F7234" s="9" t="s">
        <v>824</v>
      </c>
      <c r="G7234" s="10" t="s">
        <v>176</v>
      </c>
      <c r="H7234" s="9" t="s">
        <v>35</v>
      </c>
      <c r="I7234" s="9" t="s">
        <v>16210</v>
      </c>
      <c r="J7234" s="10" t="str">
        <f>HYPERLINK("https://www.boe.es/gazeta/dias/1834/07/23/pdfs/GMD-1834-156.pdf#page=6","Abrir facsímil")</f>
        <v>Abrir facsímil</v>
      </c>
      <c r="K7234" s="10" t="s">
        <v>37</v>
      </c>
    </row>
    <row r="7235" spans="1:11" ht="54" customHeight="1">
      <c r="A7235" s="9" t="s">
        <v>16211</v>
      </c>
      <c r="B7235" s="9" t="s">
        <v>16212</v>
      </c>
      <c r="C7235" s="9" t="s">
        <v>857</v>
      </c>
      <c r="D7235" s="9" t="s">
        <v>40</v>
      </c>
      <c r="E7235" s="10" t="s">
        <v>823</v>
      </c>
      <c r="F7235" s="9" t="s">
        <v>824</v>
      </c>
      <c r="G7235" s="10" t="s">
        <v>176</v>
      </c>
      <c r="H7235" s="9" t="s">
        <v>22</v>
      </c>
      <c r="I7235" s="9" t="s">
        <v>16213</v>
      </c>
      <c r="J7235" s="10" t="str">
        <f>HYPERLINK("https://www.boe.es/gazeta/dias/1834/07/23/pdfs/GMD-1834-156.pdf#page=6","Abrir facsímil")</f>
        <v>Abrir facsímil</v>
      </c>
      <c r="K7235" s="10" t="s">
        <v>24</v>
      </c>
    </row>
    <row r="7236" spans="1:11" ht="54" customHeight="1">
      <c r="A7236" s="9" t="s">
        <v>16214</v>
      </c>
      <c r="B7236" s="9" t="s">
        <v>16214</v>
      </c>
      <c r="C7236" s="9" t="s">
        <v>17</v>
      </c>
      <c r="D7236" s="9" t="s">
        <v>18</v>
      </c>
      <c r="E7236" s="10" t="s">
        <v>416</v>
      </c>
      <c r="F7236" s="9" t="s">
        <v>417</v>
      </c>
      <c r="G7236" s="10" t="s">
        <v>86</v>
      </c>
      <c r="H7236" s="9" t="s">
        <v>22</v>
      </c>
      <c r="I7236" s="9" t="s">
        <v>16215</v>
      </c>
      <c r="J7236" s="10" t="str">
        <f>HYPERLINK("https://www.boe.es/gazeta/dias/1834/10/02/pdfs/GMD-C-1834-230.pdf#page=2","Abrir facsímil")</f>
        <v>Abrir facsímil</v>
      </c>
      <c r="K7236" s="10" t="s">
        <v>24</v>
      </c>
    </row>
    <row r="7237" spans="1:11" ht="54" customHeight="1">
      <c r="A7237" s="9" t="s">
        <v>16214</v>
      </c>
      <c r="B7237" s="9" t="s">
        <v>16214</v>
      </c>
      <c r="C7237" s="9" t="s">
        <v>122</v>
      </c>
      <c r="D7237" s="9" t="s">
        <v>18</v>
      </c>
      <c r="E7237" s="10" t="s">
        <v>556</v>
      </c>
      <c r="F7237" s="9" t="s">
        <v>557</v>
      </c>
      <c r="G7237" s="10" t="s">
        <v>86</v>
      </c>
      <c r="H7237" s="9" t="s">
        <v>22</v>
      </c>
      <c r="I7237" s="9" t="s">
        <v>16216</v>
      </c>
      <c r="J7237" s="10" t="str">
        <f>HYPERLINK("https://www.boe.es/gazeta/dias/1834/09/13/pdfs/GMD-1834-211.pdf#page=2","Abrir facsímil")</f>
        <v>Abrir facsímil</v>
      </c>
      <c r="K7237" s="10" t="s">
        <v>24</v>
      </c>
    </row>
    <row r="7238" spans="1:11" ht="54" customHeight="1">
      <c r="A7238" s="9" t="s">
        <v>16214</v>
      </c>
      <c r="B7238" s="9" t="s">
        <v>16214</v>
      </c>
      <c r="C7238" s="9" t="s">
        <v>17</v>
      </c>
      <c r="D7238" s="9" t="s">
        <v>18</v>
      </c>
      <c r="E7238" s="10" t="s">
        <v>928</v>
      </c>
      <c r="F7238" s="9" t="s">
        <v>929</v>
      </c>
      <c r="G7238" s="10" t="s">
        <v>75</v>
      </c>
      <c r="H7238" s="9" t="s">
        <v>22</v>
      </c>
      <c r="I7238" s="9" t="s">
        <v>16217</v>
      </c>
      <c r="J7238" s="10" t="str">
        <f>HYPERLINK("https://www.boe.es/gazeta/dias/1834/11/15/pdfs/GMD-C-1834-274.pdf#page=4","Abrir facsímil")</f>
        <v>Abrir facsímil</v>
      </c>
      <c r="K7238" s="10" t="s">
        <v>24</v>
      </c>
    </row>
    <row r="7239" spans="1:11" ht="54" customHeight="1">
      <c r="A7239" s="9" t="s">
        <v>16214</v>
      </c>
      <c r="B7239" s="9" t="s">
        <v>16214</v>
      </c>
      <c r="C7239" s="9" t="s">
        <v>17</v>
      </c>
      <c r="D7239" s="9" t="s">
        <v>18</v>
      </c>
      <c r="E7239" s="10" t="s">
        <v>233</v>
      </c>
      <c r="F7239" s="9" t="s">
        <v>1810</v>
      </c>
      <c r="G7239" s="10" t="s">
        <v>21</v>
      </c>
      <c r="H7239" s="9" t="s">
        <v>22</v>
      </c>
      <c r="I7239" s="9" t="s">
        <v>16218</v>
      </c>
      <c r="J7239" s="10" t="str">
        <f>HYPERLINK("https://www.boe.es/gazeta/dias/1834/12/16/pdfs/GMD-C-1834-305.pdf#page=3","Abrir facsímil")</f>
        <v>Abrir facsímil</v>
      </c>
      <c r="K7239" s="10" t="s">
        <v>24</v>
      </c>
    </row>
    <row r="7240" spans="1:11" ht="54" customHeight="1">
      <c r="A7240" s="9" t="s">
        <v>16214</v>
      </c>
      <c r="B7240" s="9" t="s">
        <v>16214</v>
      </c>
      <c r="C7240" s="9" t="s">
        <v>17</v>
      </c>
      <c r="D7240" s="9" t="s">
        <v>18</v>
      </c>
      <c r="E7240" s="10" t="s">
        <v>3036</v>
      </c>
      <c r="F7240" s="9" t="s">
        <v>3037</v>
      </c>
      <c r="G7240" s="10" t="s">
        <v>86</v>
      </c>
      <c r="H7240" s="9" t="s">
        <v>22</v>
      </c>
      <c r="I7240" s="9" t="s">
        <v>16219</v>
      </c>
      <c r="J7240" s="10" t="str">
        <f>HYPERLINK("https://www.boe.es/gazeta/dias/1834/11/18/pdfs/GMD-C-1834-277.pdf#page=2","Abrir facsímil")</f>
        <v>Abrir facsímil</v>
      </c>
      <c r="K7240" s="10" t="s">
        <v>24</v>
      </c>
    </row>
    <row r="7241" spans="1:11" ht="54" customHeight="1">
      <c r="A7241" s="9" t="s">
        <v>16214</v>
      </c>
      <c r="B7241" s="9" t="s">
        <v>16214</v>
      </c>
      <c r="C7241" s="9" t="s">
        <v>90</v>
      </c>
      <c r="D7241" s="9" t="s">
        <v>18</v>
      </c>
      <c r="E7241" s="10" t="s">
        <v>265</v>
      </c>
      <c r="F7241" s="9" t="s">
        <v>266</v>
      </c>
      <c r="G7241" s="10" t="s">
        <v>86</v>
      </c>
      <c r="H7241" s="9" t="s">
        <v>22</v>
      </c>
      <c r="I7241" s="9" t="s">
        <v>16220</v>
      </c>
      <c r="J7241" s="10" t="str">
        <f>HYPERLINK("https://www.boe.es/gazeta/dias/1834/11/19/pdfs/GMD-C-1834-278.pdf#page=2","Abrir facsímil")</f>
        <v>Abrir facsímil</v>
      </c>
      <c r="K7241" s="10" t="s">
        <v>24</v>
      </c>
    </row>
    <row r="7242" spans="1:11" ht="54" customHeight="1">
      <c r="A7242" s="9" t="s">
        <v>16214</v>
      </c>
      <c r="B7242" s="9" t="s">
        <v>16214</v>
      </c>
      <c r="C7242" s="9" t="s">
        <v>90</v>
      </c>
      <c r="D7242" s="9" t="s">
        <v>18</v>
      </c>
      <c r="E7242" s="10" t="s">
        <v>375</v>
      </c>
      <c r="F7242" s="9" t="s">
        <v>4983</v>
      </c>
      <c r="G7242" s="10" t="s">
        <v>86</v>
      </c>
      <c r="H7242" s="9" t="s">
        <v>22</v>
      </c>
      <c r="I7242" s="9" t="s">
        <v>16221</v>
      </c>
      <c r="J7242" s="10" t="str">
        <f>HYPERLINK("https://www.boe.es/gazeta/dias/1834/08/21/pdfs/GMD-C-1834-187.pdf#page=2","Abrir facsímil")</f>
        <v>Abrir facsímil</v>
      </c>
      <c r="K7242" s="10" t="s">
        <v>24</v>
      </c>
    </row>
    <row r="7243" spans="1:11" ht="54" customHeight="1">
      <c r="A7243" s="9" t="s">
        <v>16214</v>
      </c>
      <c r="B7243" s="9" t="s">
        <v>16214</v>
      </c>
      <c r="C7243" s="9" t="s">
        <v>17</v>
      </c>
      <c r="D7243" s="9" t="s">
        <v>18</v>
      </c>
      <c r="E7243" s="10" t="s">
        <v>1002</v>
      </c>
      <c r="F7243" s="9" t="s">
        <v>1003</v>
      </c>
      <c r="G7243" s="10" t="s">
        <v>75</v>
      </c>
      <c r="H7243" s="9" t="s">
        <v>22</v>
      </c>
      <c r="I7243" s="9" t="s">
        <v>16222</v>
      </c>
      <c r="J7243" s="10" t="str">
        <f>HYPERLINK("https://www.boe.es/gazeta/dias/1834/06/26/pdfs/GMD-1834-129.pdf#page=4","Abrir facsímil")</f>
        <v>Abrir facsímil</v>
      </c>
      <c r="K7243" s="10" t="s">
        <v>24</v>
      </c>
    </row>
    <row r="7244" spans="1:11" ht="54" customHeight="1">
      <c r="A7244" s="9" t="s">
        <v>16214</v>
      </c>
      <c r="B7244" s="9" t="s">
        <v>16214</v>
      </c>
      <c r="C7244" s="9" t="s">
        <v>66</v>
      </c>
      <c r="D7244" s="9" t="s">
        <v>67</v>
      </c>
      <c r="E7244" s="10" t="s">
        <v>1002</v>
      </c>
      <c r="F7244" s="9" t="s">
        <v>6383</v>
      </c>
      <c r="G7244" s="10" t="s">
        <v>86</v>
      </c>
      <c r="H7244" s="9" t="s">
        <v>22</v>
      </c>
      <c r="I7244" s="9" t="s">
        <v>16223</v>
      </c>
      <c r="J7244" s="10" t="str">
        <f>HYPERLINK("https://www.boe.es/gazeta/dias/1834/06/26/pdfs/GMD-C-1834-129.pdf#page=2","Abrir facsímil")</f>
        <v>Abrir facsímil</v>
      </c>
      <c r="K7244" s="10" t="s">
        <v>24</v>
      </c>
    </row>
    <row r="7245" spans="1:11" ht="54" customHeight="1">
      <c r="A7245" s="9" t="s">
        <v>16214</v>
      </c>
      <c r="B7245" s="9" t="s">
        <v>16214</v>
      </c>
      <c r="C7245" s="9" t="s">
        <v>46</v>
      </c>
      <c r="D7245" s="9" t="s">
        <v>101</v>
      </c>
      <c r="E7245" s="10" t="s">
        <v>192</v>
      </c>
      <c r="F7245" s="9" t="s">
        <v>2713</v>
      </c>
      <c r="G7245" s="10" t="s">
        <v>21</v>
      </c>
      <c r="H7245" s="9" t="s">
        <v>22</v>
      </c>
      <c r="I7245" s="9" t="s">
        <v>16224</v>
      </c>
      <c r="J7245" s="10" t="str">
        <f>HYPERLINK("https://www.boe.es/gazeta/dias/1834/12/31/pdfs/GMD-C-1834-321.pdf#page=3","Abrir facsímil")</f>
        <v>Abrir facsímil</v>
      </c>
      <c r="K7245" s="10" t="s">
        <v>24</v>
      </c>
    </row>
    <row r="7246" spans="1:11" ht="54" customHeight="1">
      <c r="A7246" s="9" t="s">
        <v>16225</v>
      </c>
      <c r="B7246" s="9" t="s">
        <v>16226</v>
      </c>
      <c r="C7246" s="9" t="s">
        <v>17</v>
      </c>
      <c r="D7246" s="9" t="s">
        <v>18</v>
      </c>
      <c r="E7246" s="10" t="s">
        <v>299</v>
      </c>
      <c r="F7246" s="9" t="s">
        <v>2255</v>
      </c>
      <c r="G7246" s="10" t="s">
        <v>176</v>
      </c>
      <c r="H7246" s="9" t="s">
        <v>22</v>
      </c>
      <c r="I7246" s="9" t="s">
        <v>16227</v>
      </c>
      <c r="J7246" s="10" t="str">
        <f>HYPERLINK("https://www.boe.es/gazeta/dias/1834/12/12/pdfs/GMD-C-1834-301.pdf#page=6","Abrir facsímil")</f>
        <v>Abrir facsímil</v>
      </c>
      <c r="K7246" s="10" t="s">
        <v>24</v>
      </c>
    </row>
    <row r="7247" spans="1:11" ht="54" customHeight="1">
      <c r="A7247" s="9" t="s">
        <v>16228</v>
      </c>
      <c r="B7247" s="9" t="s">
        <v>16229</v>
      </c>
      <c r="C7247" s="9" t="s">
        <v>122</v>
      </c>
      <c r="D7247" s="9" t="s">
        <v>18</v>
      </c>
      <c r="E7247" s="10" t="s">
        <v>702</v>
      </c>
      <c r="F7247" s="9" t="s">
        <v>703</v>
      </c>
      <c r="G7247" s="10" t="s">
        <v>34</v>
      </c>
      <c r="H7247" s="9" t="s">
        <v>22</v>
      </c>
      <c r="I7247" s="9" t="s">
        <v>16230</v>
      </c>
      <c r="J7247" s="10" t="str">
        <f>HYPERLINK("https://www.boe.es/gazeta/dias/1834/11/22/pdfs/GMD-C-1834-281.pdf#page=1","Abrir facsímil")</f>
        <v>Abrir facsímil</v>
      </c>
      <c r="K7247" s="10" t="s">
        <v>24</v>
      </c>
    </row>
    <row r="7248" spans="1:11" ht="54" customHeight="1">
      <c r="A7248" s="9" t="s">
        <v>16231</v>
      </c>
      <c r="B7248" s="9" t="s">
        <v>16232</v>
      </c>
      <c r="C7248" s="9" t="s">
        <v>17</v>
      </c>
      <c r="D7248" s="9" t="s">
        <v>18</v>
      </c>
      <c r="E7248" s="10" t="s">
        <v>1981</v>
      </c>
      <c r="F7248" s="9" t="s">
        <v>2471</v>
      </c>
      <c r="G7248" s="10" t="s">
        <v>21</v>
      </c>
      <c r="H7248" s="9" t="s">
        <v>22</v>
      </c>
      <c r="I7248" s="9" t="s">
        <v>16233</v>
      </c>
      <c r="J7248" s="10" t="str">
        <f>HYPERLINK("https://www.boe.es/gazeta/dias/1834/12/13/pdfs/GMD-C-1834-302.pdf#page=3","Abrir facsímil")</f>
        <v>Abrir facsímil</v>
      </c>
      <c r="K7248" s="10" t="s">
        <v>24</v>
      </c>
    </row>
    <row r="7249" spans="1:11" ht="54" customHeight="1">
      <c r="A7249" s="9" t="s">
        <v>16234</v>
      </c>
      <c r="B7249" s="9" t="s">
        <v>16235</v>
      </c>
      <c r="C7249" s="9" t="s">
        <v>17</v>
      </c>
      <c r="D7249" s="9" t="s">
        <v>18</v>
      </c>
      <c r="E7249" s="10" t="s">
        <v>1981</v>
      </c>
      <c r="F7249" s="9" t="s">
        <v>2471</v>
      </c>
      <c r="G7249" s="10" t="s">
        <v>21</v>
      </c>
      <c r="H7249" s="9" t="s">
        <v>22</v>
      </c>
      <c r="I7249" s="9" t="s">
        <v>16236</v>
      </c>
      <c r="J7249" s="10" t="str">
        <f>HYPERLINK("https://www.boe.es/gazeta/dias/1834/12/13/pdfs/GMD-C-1834-302.pdf#page=3","Abrir facsímil")</f>
        <v>Abrir facsímil</v>
      </c>
      <c r="K7249" s="10" t="s">
        <v>24</v>
      </c>
    </row>
    <row r="7250" spans="1:11" ht="54" customHeight="1">
      <c r="A7250" s="9" t="s">
        <v>16234</v>
      </c>
      <c r="B7250" s="9" t="s">
        <v>16235</v>
      </c>
      <c r="C7250" s="9" t="s">
        <v>17</v>
      </c>
      <c r="D7250" s="9" t="s">
        <v>18</v>
      </c>
      <c r="E7250" s="10" t="s">
        <v>268</v>
      </c>
      <c r="F7250" s="9" t="s">
        <v>269</v>
      </c>
      <c r="G7250" s="10" t="s">
        <v>21</v>
      </c>
      <c r="H7250" s="9" t="s">
        <v>22</v>
      </c>
      <c r="I7250" s="9" t="s">
        <v>16237</v>
      </c>
      <c r="J7250" s="10" t="str">
        <f>HYPERLINK("https://www.boe.es/gazeta/dias/1834/12/19/pdfs/GMD-C-1834-309.pdf#page=3","Abrir facsímil")</f>
        <v>Abrir facsímil</v>
      </c>
      <c r="K7250" s="10" t="s">
        <v>24</v>
      </c>
    </row>
    <row r="7251" spans="1:11" ht="54" customHeight="1">
      <c r="A7251" s="9" t="s">
        <v>16238</v>
      </c>
      <c r="B7251" s="9" t="s">
        <v>16239</v>
      </c>
      <c r="C7251" s="9" t="s">
        <v>122</v>
      </c>
      <c r="D7251" s="9" t="s">
        <v>18</v>
      </c>
      <c r="E7251" s="10" t="s">
        <v>1084</v>
      </c>
      <c r="F7251" s="9" t="s">
        <v>1085</v>
      </c>
      <c r="G7251" s="10" t="s">
        <v>176</v>
      </c>
      <c r="H7251" s="9" t="s">
        <v>22</v>
      </c>
      <c r="I7251" s="9" t="s">
        <v>16240</v>
      </c>
      <c r="J7251" s="10" t="str">
        <f>HYPERLINK("https://www.boe.es/gazeta/dias/1834/05/01/pdfs/GMD-1834-70.pdf#page=6","Abrir facsímil")</f>
        <v>Abrir facsímil</v>
      </c>
      <c r="K7251" s="10" t="s">
        <v>24</v>
      </c>
    </row>
    <row r="7252" spans="1:11" ht="54" customHeight="1">
      <c r="A7252" s="9" t="s">
        <v>16241</v>
      </c>
      <c r="B7252" s="9" t="s">
        <v>16242</v>
      </c>
      <c r="C7252" s="9" t="s">
        <v>90</v>
      </c>
      <c r="D7252" s="9" t="s">
        <v>18</v>
      </c>
      <c r="E7252" s="10" t="s">
        <v>1186</v>
      </c>
      <c r="F7252" s="9" t="s">
        <v>4286</v>
      </c>
      <c r="G7252" s="10" t="s">
        <v>86</v>
      </c>
      <c r="H7252" s="9" t="s">
        <v>22</v>
      </c>
      <c r="I7252" s="9" t="s">
        <v>16243</v>
      </c>
      <c r="J7252" s="10" t="str">
        <f>HYPERLINK("https://www.boe.es/gazeta/dias/1834/08/14/pdfs/GMD-C-1834-179.pdf#page=2","Abrir facsímil")</f>
        <v>Abrir facsímil</v>
      </c>
      <c r="K7252" s="10" t="s">
        <v>24</v>
      </c>
    </row>
    <row r="7253" spans="1:11" ht="54" customHeight="1">
      <c r="A7253" s="9" t="s">
        <v>16244</v>
      </c>
      <c r="B7253" s="9" t="s">
        <v>16245</v>
      </c>
      <c r="C7253" s="9" t="s">
        <v>17</v>
      </c>
      <c r="D7253" s="9" t="s">
        <v>18</v>
      </c>
      <c r="E7253" s="10" t="s">
        <v>237</v>
      </c>
      <c r="F7253" s="9" t="s">
        <v>4609</v>
      </c>
      <c r="G7253" s="10" t="s">
        <v>34</v>
      </c>
      <c r="H7253" s="9" t="s">
        <v>22</v>
      </c>
      <c r="I7253" s="9" t="s">
        <v>16246</v>
      </c>
      <c r="J7253" s="10" t="str">
        <f>HYPERLINK("https://www.boe.es/gazeta/dias/1834/08/15/pdfs/GMD-1834-180.pdf#page=1","Abrir facsímil")</f>
        <v>Abrir facsímil</v>
      </c>
      <c r="K7253" s="10" t="s">
        <v>24</v>
      </c>
    </row>
    <row r="7254" spans="1:11" ht="54" customHeight="1">
      <c r="A7254" s="9" t="s">
        <v>16247</v>
      </c>
      <c r="B7254" s="9" t="s">
        <v>16248</v>
      </c>
      <c r="C7254" s="9" t="s">
        <v>122</v>
      </c>
      <c r="D7254" s="9" t="s">
        <v>18</v>
      </c>
      <c r="E7254" s="10" t="s">
        <v>702</v>
      </c>
      <c r="F7254" s="9" t="s">
        <v>703</v>
      </c>
      <c r="G7254" s="10" t="s">
        <v>34</v>
      </c>
      <c r="H7254" s="9" t="s">
        <v>35</v>
      </c>
      <c r="I7254" s="9" t="s">
        <v>16249</v>
      </c>
      <c r="J7254" s="10" t="str">
        <f>HYPERLINK("https://www.boe.es/gazeta/dias/1834/11/22/pdfs/GMD-C-1834-281.pdf#page=1","Abrir facsímil")</f>
        <v>Abrir facsímil</v>
      </c>
      <c r="K7254" s="10" t="s">
        <v>37</v>
      </c>
    </row>
    <row r="7255" spans="1:11" ht="54" customHeight="1">
      <c r="A7255" s="9" t="s">
        <v>16250</v>
      </c>
      <c r="B7255" s="9" t="s">
        <v>16251</v>
      </c>
      <c r="C7255" s="9" t="s">
        <v>90</v>
      </c>
      <c r="D7255" s="9" t="s">
        <v>18</v>
      </c>
      <c r="E7255" s="10" t="s">
        <v>1186</v>
      </c>
      <c r="F7255" s="9" t="s">
        <v>4286</v>
      </c>
      <c r="G7255" s="10" t="s">
        <v>86</v>
      </c>
      <c r="H7255" s="9" t="s">
        <v>35</v>
      </c>
      <c r="I7255" s="9" t="s">
        <v>16252</v>
      </c>
      <c r="J7255" s="10" t="str">
        <f>HYPERLINK("https://www.boe.es/gazeta/dias/1834/08/14/pdfs/GMD-C-1834-179.pdf#page=2","Abrir facsímil")</f>
        <v>Abrir facsímil</v>
      </c>
      <c r="K7255" s="10" t="s">
        <v>37</v>
      </c>
    </row>
    <row r="7256" spans="1:11" ht="54" customHeight="1">
      <c r="A7256" s="9" t="s">
        <v>16253</v>
      </c>
      <c r="B7256" s="9" t="s">
        <v>16254</v>
      </c>
      <c r="C7256" s="9" t="s">
        <v>90</v>
      </c>
      <c r="D7256" s="9" t="s">
        <v>18</v>
      </c>
      <c r="E7256" s="10" t="s">
        <v>647</v>
      </c>
      <c r="F7256" s="9" t="s">
        <v>648</v>
      </c>
      <c r="G7256" s="10" t="s">
        <v>34</v>
      </c>
      <c r="H7256" s="9" t="s">
        <v>35</v>
      </c>
      <c r="I7256" s="9" t="s">
        <v>16255</v>
      </c>
      <c r="J7256" s="10" t="str">
        <f>HYPERLINK("https://www.boe.es/gazeta/dias/1834/10/21/pdfs/GMD-C-1834-249.pdf#page=1","Abrir facsímil")</f>
        <v>Abrir facsímil</v>
      </c>
      <c r="K7256" s="10" t="s">
        <v>37</v>
      </c>
    </row>
    <row r="7257" spans="1:11" ht="54" customHeight="1">
      <c r="A7257" s="9" t="s">
        <v>16256</v>
      </c>
      <c r="B7257" s="9" t="s">
        <v>16257</v>
      </c>
      <c r="C7257" s="9" t="s">
        <v>17</v>
      </c>
      <c r="D7257" s="9" t="s">
        <v>18</v>
      </c>
      <c r="E7257" s="10" t="s">
        <v>375</v>
      </c>
      <c r="F7257" s="9" t="s">
        <v>4983</v>
      </c>
      <c r="G7257" s="10" t="s">
        <v>34</v>
      </c>
      <c r="H7257" s="9" t="s">
        <v>35</v>
      </c>
      <c r="I7257" s="9" t="s">
        <v>16258</v>
      </c>
      <c r="J7257" s="10" t="str">
        <f>HYPERLINK("https://www.boe.es/gazeta/dias/1834/08/21/pdfs/GMD-C-1834-187.pdf#page=1","Abrir facsímil")</f>
        <v>Abrir facsímil</v>
      </c>
      <c r="K7257" s="10" t="s">
        <v>37</v>
      </c>
    </row>
    <row r="7258" spans="1:11" ht="54" customHeight="1">
      <c r="A7258" s="9" t="s">
        <v>16256</v>
      </c>
      <c r="B7258" s="9" t="s">
        <v>16257</v>
      </c>
      <c r="C7258" s="9" t="s">
        <v>122</v>
      </c>
      <c r="D7258" s="9" t="s">
        <v>18</v>
      </c>
      <c r="E7258" s="10" t="s">
        <v>389</v>
      </c>
      <c r="F7258" s="9" t="s">
        <v>390</v>
      </c>
      <c r="G7258" s="10" t="s">
        <v>75</v>
      </c>
      <c r="H7258" s="9" t="s">
        <v>35</v>
      </c>
      <c r="I7258" s="9" t="s">
        <v>16259</v>
      </c>
      <c r="J7258" s="10" t="str">
        <f>HYPERLINK("https://www.boe.es/gazeta/dias/1834/10/25/pdfs/GMD-1834-253.pdf#page=4","Abrir facsímil")</f>
        <v>Abrir facsímil</v>
      </c>
      <c r="K7258" s="10" t="s">
        <v>37</v>
      </c>
    </row>
    <row r="7259" spans="1:11" ht="54" customHeight="1">
      <c r="A7259" s="9" t="s">
        <v>16260</v>
      </c>
      <c r="B7259" s="9" t="s">
        <v>16261</v>
      </c>
      <c r="C7259" s="9" t="s">
        <v>66</v>
      </c>
      <c r="D7259" s="9" t="s">
        <v>67</v>
      </c>
      <c r="E7259" s="10" t="s">
        <v>777</v>
      </c>
      <c r="F7259" s="9" t="s">
        <v>778</v>
      </c>
      <c r="G7259" s="10" t="s">
        <v>75</v>
      </c>
      <c r="H7259" s="9" t="s">
        <v>35</v>
      </c>
      <c r="I7259" s="9" t="s">
        <v>16262</v>
      </c>
      <c r="J7259" s="10" t="str">
        <f>HYPERLINK("https://www.boe.es/gazeta/dias/1834/10/29/pdfs/GMD-1834-257.pdf#page=4","Abrir facsímil")</f>
        <v>Abrir facsímil</v>
      </c>
      <c r="K7259" s="10" t="s">
        <v>37</v>
      </c>
    </row>
    <row r="7260" spans="1:11" ht="54" customHeight="1">
      <c r="A7260" s="9" t="s">
        <v>16263</v>
      </c>
      <c r="B7260" s="9" t="s">
        <v>16264</v>
      </c>
      <c r="C7260" s="9" t="s">
        <v>857</v>
      </c>
      <c r="D7260" s="9" t="s">
        <v>18</v>
      </c>
      <c r="E7260" s="10" t="s">
        <v>823</v>
      </c>
      <c r="F7260" s="9" t="s">
        <v>824</v>
      </c>
      <c r="G7260" s="10" t="s">
        <v>176</v>
      </c>
      <c r="H7260" s="9" t="s">
        <v>35</v>
      </c>
      <c r="I7260" s="9" t="s">
        <v>16265</v>
      </c>
      <c r="J7260" s="10" t="str">
        <f>HYPERLINK("https://www.boe.es/gazeta/dias/1834/07/23/pdfs/GMD-1834-156.pdf#page=6","Abrir facsímil")</f>
        <v>Abrir facsímil</v>
      </c>
      <c r="K7260" s="10" t="s">
        <v>37</v>
      </c>
    </row>
    <row r="7261" spans="1:11" ht="54" customHeight="1">
      <c r="A7261" s="9" t="s">
        <v>16266</v>
      </c>
      <c r="B7261" s="9" t="s">
        <v>16267</v>
      </c>
      <c r="C7261" s="9" t="s">
        <v>17</v>
      </c>
      <c r="D7261" s="9" t="s">
        <v>55</v>
      </c>
      <c r="E7261" s="10" t="s">
        <v>1337</v>
      </c>
      <c r="F7261" s="9" t="s">
        <v>1338</v>
      </c>
      <c r="G7261" s="10" t="s">
        <v>21</v>
      </c>
      <c r="H7261" s="9" t="s">
        <v>22</v>
      </c>
      <c r="I7261" s="9" t="s">
        <v>16268</v>
      </c>
      <c r="J7261" s="10" t="str">
        <f>HYPERLINK("https://www.boe.es/gazeta/dias/1834/01/02/pdfs/GMD-1834-1.pdf#page=3","Abrir facsímil")</f>
        <v>Abrir facsímil</v>
      </c>
      <c r="K7261" s="10" t="s">
        <v>24</v>
      </c>
    </row>
    <row r="7262" spans="1:11" ht="54" customHeight="1">
      <c r="A7262" s="9" t="s">
        <v>16269</v>
      </c>
      <c r="B7262" s="9" t="s">
        <v>16270</v>
      </c>
      <c r="C7262" s="9" t="s">
        <v>17</v>
      </c>
      <c r="D7262" s="9" t="s">
        <v>18</v>
      </c>
      <c r="E7262" s="10" t="s">
        <v>976</v>
      </c>
      <c r="F7262" s="9" t="s">
        <v>977</v>
      </c>
      <c r="G7262" s="10" t="s">
        <v>21</v>
      </c>
      <c r="H7262" s="9" t="s">
        <v>22</v>
      </c>
      <c r="I7262" s="9" t="s">
        <v>16271</v>
      </c>
      <c r="J7262" s="10" t="str">
        <f>HYPERLINK("https://www.boe.es/gazeta/dias/1834/04/02/pdfs/GMD-1834-41.pdf#page=3","Abrir facsímil")</f>
        <v>Abrir facsímil</v>
      </c>
      <c r="K7262" s="10" t="s">
        <v>24</v>
      </c>
    </row>
    <row r="7263" spans="1:11" ht="54" customHeight="1">
      <c r="A7263" s="9" t="s">
        <v>16269</v>
      </c>
      <c r="B7263" s="9" t="s">
        <v>16270</v>
      </c>
      <c r="C7263" s="9" t="s">
        <v>17</v>
      </c>
      <c r="D7263" s="9" t="s">
        <v>18</v>
      </c>
      <c r="E7263" s="10" t="s">
        <v>905</v>
      </c>
      <c r="F7263" s="9" t="s">
        <v>906</v>
      </c>
      <c r="G7263" s="10" t="s">
        <v>34</v>
      </c>
      <c r="H7263" s="9" t="s">
        <v>22</v>
      </c>
      <c r="I7263" s="9" t="s">
        <v>16272</v>
      </c>
      <c r="J7263" s="10" t="str">
        <f>HYPERLINK("https://www.boe.es/gazeta/dias/1834/08/02/pdfs/GMD-C-1834-166.pdf#page=1","Abrir facsímil")</f>
        <v>Abrir facsímil</v>
      </c>
      <c r="K7263" s="10" t="s">
        <v>24</v>
      </c>
    </row>
    <row r="7264" spans="1:11" ht="54" customHeight="1">
      <c r="A7264" s="9" t="s">
        <v>16273</v>
      </c>
      <c r="B7264" s="9" t="s">
        <v>16274</v>
      </c>
      <c r="C7264" s="9" t="s">
        <v>17</v>
      </c>
      <c r="D7264" s="9" t="s">
        <v>18</v>
      </c>
      <c r="E7264" s="10" t="s">
        <v>2107</v>
      </c>
      <c r="F7264" s="9" t="s">
        <v>2108</v>
      </c>
      <c r="G7264" s="10" t="s">
        <v>75</v>
      </c>
      <c r="H7264" s="9" t="s">
        <v>22</v>
      </c>
      <c r="I7264" s="9" t="s">
        <v>16275</v>
      </c>
      <c r="J7264" s="10" t="str">
        <f>HYPERLINK("https://www.boe.es/gazeta/dias/1834/08/24/pdfs/GMD-1834-190.pdf#page=4","Abrir facsímil")</f>
        <v>Abrir facsímil</v>
      </c>
      <c r="K7264" s="10" t="s">
        <v>24</v>
      </c>
    </row>
    <row r="7265" spans="1:11" ht="54" customHeight="1">
      <c r="A7265" s="9" t="s">
        <v>16276</v>
      </c>
      <c r="B7265" s="9" t="s">
        <v>16277</v>
      </c>
      <c r="C7265" s="9" t="s">
        <v>17</v>
      </c>
      <c r="D7265" s="9" t="s">
        <v>18</v>
      </c>
      <c r="E7265" s="10" t="s">
        <v>2212</v>
      </c>
      <c r="F7265" s="9" t="s">
        <v>2213</v>
      </c>
      <c r="G7265" s="10" t="s">
        <v>34</v>
      </c>
      <c r="H7265" s="9" t="s">
        <v>22</v>
      </c>
      <c r="I7265" s="9" t="s">
        <v>16278</v>
      </c>
      <c r="J7265" s="10" t="str">
        <f>HYPERLINK("https://www.boe.es/gazeta/dias/1834/08/04/pdfs/GMD-C-1834-168.pdf#page=1","Abrir facsímil")</f>
        <v>Abrir facsímil</v>
      </c>
      <c r="K7265" s="10" t="s">
        <v>24</v>
      </c>
    </row>
    <row r="7266" spans="1:11" ht="54" customHeight="1">
      <c r="A7266" s="9" t="s">
        <v>16276</v>
      </c>
      <c r="B7266" s="9" t="s">
        <v>16277</v>
      </c>
      <c r="C7266" s="9" t="s">
        <v>17</v>
      </c>
      <c r="D7266" s="9" t="s">
        <v>18</v>
      </c>
      <c r="E7266" s="10" t="s">
        <v>167</v>
      </c>
      <c r="F7266" s="9" t="s">
        <v>1200</v>
      </c>
      <c r="G7266" s="10" t="s">
        <v>86</v>
      </c>
      <c r="H7266" s="9" t="s">
        <v>22</v>
      </c>
      <c r="I7266" s="9" t="s">
        <v>16279</v>
      </c>
      <c r="J7266" s="10" t="str">
        <f>HYPERLINK("https://www.boe.es/gazeta/dias/1834/09/07/pdfs/GMD-C-1834-205.pdf#page=2","Abrir facsímil")</f>
        <v>Abrir facsímil</v>
      </c>
      <c r="K7266" s="10" t="s">
        <v>24</v>
      </c>
    </row>
    <row r="7267" spans="1:11" ht="54" customHeight="1">
      <c r="A7267" s="9" t="s">
        <v>16276</v>
      </c>
      <c r="B7267" s="9" t="s">
        <v>16277</v>
      </c>
      <c r="C7267" s="9" t="s">
        <v>90</v>
      </c>
      <c r="D7267" s="9" t="s">
        <v>18</v>
      </c>
      <c r="E7267" s="10" t="s">
        <v>647</v>
      </c>
      <c r="F7267" s="9" t="s">
        <v>648</v>
      </c>
      <c r="G7267" s="10" t="s">
        <v>34</v>
      </c>
      <c r="H7267" s="9" t="s">
        <v>22</v>
      </c>
      <c r="I7267" s="9" t="s">
        <v>16280</v>
      </c>
      <c r="J7267" s="10" t="str">
        <f>HYPERLINK("https://www.boe.es/gazeta/dias/1834/10/21/pdfs/GMD-C-1834-249.pdf#page=1","Abrir facsímil")</f>
        <v>Abrir facsímil</v>
      </c>
      <c r="K7267" s="10" t="s">
        <v>24</v>
      </c>
    </row>
    <row r="7268" spans="1:11" ht="54" customHeight="1">
      <c r="A7268" s="9" t="s">
        <v>16281</v>
      </c>
      <c r="B7268" s="9" t="s">
        <v>16282</v>
      </c>
      <c r="C7268" s="9" t="s">
        <v>17</v>
      </c>
      <c r="D7268" s="9" t="s">
        <v>18</v>
      </c>
      <c r="E7268" s="10" t="s">
        <v>8279</v>
      </c>
      <c r="F7268" s="9" t="s">
        <v>8280</v>
      </c>
      <c r="G7268" s="10" t="s">
        <v>75</v>
      </c>
      <c r="H7268" s="9" t="s">
        <v>22</v>
      </c>
      <c r="I7268" s="9" t="s">
        <v>16283</v>
      </c>
      <c r="J7268" s="10" t="str">
        <f>HYPERLINK("https://www.boe.es/gazeta/dias/1834/04/22/pdfs/GMD-1834-61.pdf#page=4","Abrir facsímil")</f>
        <v>Abrir facsímil</v>
      </c>
      <c r="K7268" s="10" t="s">
        <v>24</v>
      </c>
    </row>
    <row r="7269" spans="1:11" ht="54" customHeight="1">
      <c r="A7269" s="9" t="s">
        <v>16284</v>
      </c>
      <c r="B7269" s="9" t="s">
        <v>16285</v>
      </c>
      <c r="C7269" s="9" t="s">
        <v>17</v>
      </c>
      <c r="D7269" s="9" t="s">
        <v>18</v>
      </c>
      <c r="E7269" s="10" t="s">
        <v>299</v>
      </c>
      <c r="F7269" s="9" t="s">
        <v>300</v>
      </c>
      <c r="G7269" s="10" t="s">
        <v>21</v>
      </c>
      <c r="H7269" s="9" t="s">
        <v>22</v>
      </c>
      <c r="I7269" s="9" t="s">
        <v>16286</v>
      </c>
      <c r="J7269" s="10" t="str">
        <f>HYPERLINK("https://www.boe.es/gazeta/dias/1834/12/12/pdfs/GMD-1834-301.pdf#page=3","Abrir facsímil")</f>
        <v>Abrir facsímil</v>
      </c>
      <c r="K7269" s="10" t="s">
        <v>24</v>
      </c>
    </row>
    <row r="7270" spans="1:11" ht="54" customHeight="1">
      <c r="A7270" s="9" t="s">
        <v>16287</v>
      </c>
      <c r="B7270" s="9" t="s">
        <v>16288</v>
      </c>
      <c r="C7270" s="9" t="s">
        <v>17</v>
      </c>
      <c r="D7270" s="9" t="s">
        <v>18</v>
      </c>
      <c r="E7270" s="10" t="s">
        <v>375</v>
      </c>
      <c r="F7270" s="9" t="s">
        <v>4983</v>
      </c>
      <c r="G7270" s="10" t="s">
        <v>34</v>
      </c>
      <c r="H7270" s="9" t="s">
        <v>22</v>
      </c>
      <c r="I7270" s="9" t="s">
        <v>16289</v>
      </c>
      <c r="J7270" s="10" t="str">
        <f>HYPERLINK("https://www.boe.es/gazeta/dias/1834/08/21/pdfs/GMD-C-1834-187.pdf#page=1","Abrir facsímil")</f>
        <v>Abrir facsímil</v>
      </c>
      <c r="K7270" s="10" t="s">
        <v>24</v>
      </c>
    </row>
    <row r="7271" spans="1:11" ht="54" customHeight="1">
      <c r="A7271" s="9" t="s">
        <v>16287</v>
      </c>
      <c r="B7271" s="9" t="s">
        <v>16288</v>
      </c>
      <c r="C7271" s="9" t="s">
        <v>122</v>
      </c>
      <c r="D7271" s="9" t="s">
        <v>18</v>
      </c>
      <c r="E7271" s="10" t="s">
        <v>389</v>
      </c>
      <c r="F7271" s="9" t="s">
        <v>390</v>
      </c>
      <c r="G7271" s="10" t="s">
        <v>75</v>
      </c>
      <c r="H7271" s="9" t="s">
        <v>22</v>
      </c>
      <c r="I7271" s="9" t="s">
        <v>16290</v>
      </c>
      <c r="J7271" s="10" t="str">
        <f>HYPERLINK("https://www.boe.es/gazeta/dias/1834/10/25/pdfs/GMD-1834-253.pdf#page=4","Abrir facsímil")</f>
        <v>Abrir facsímil</v>
      </c>
      <c r="K7271" s="10" t="s">
        <v>24</v>
      </c>
    </row>
    <row r="7272" spans="1:11" ht="54" customHeight="1">
      <c r="A7272" s="9" t="s">
        <v>16287</v>
      </c>
      <c r="B7272" s="9" t="s">
        <v>16288</v>
      </c>
      <c r="C7272" s="9" t="s">
        <v>17</v>
      </c>
      <c r="D7272" s="9" t="s">
        <v>18</v>
      </c>
      <c r="E7272" s="10" t="s">
        <v>468</v>
      </c>
      <c r="F7272" s="9" t="s">
        <v>469</v>
      </c>
      <c r="G7272" s="10" t="s">
        <v>34</v>
      </c>
      <c r="H7272" s="9" t="s">
        <v>22</v>
      </c>
      <c r="I7272" s="9" t="s">
        <v>16291</v>
      </c>
      <c r="J7272" s="10" t="str">
        <f>HYPERLINK("https://www.boe.es/gazeta/dias/1834/12/28/pdfs/GMD-C-1834-318.pdf#page=1","Abrir facsímil")</f>
        <v>Abrir facsímil</v>
      </c>
      <c r="K7272" s="10" t="s">
        <v>24</v>
      </c>
    </row>
    <row r="7273" spans="1:11" ht="54" customHeight="1">
      <c r="A7273" s="9" t="s">
        <v>16292</v>
      </c>
      <c r="B7273" s="9" t="s">
        <v>16293</v>
      </c>
      <c r="C7273" s="9" t="s">
        <v>17</v>
      </c>
      <c r="D7273" s="9" t="s">
        <v>18</v>
      </c>
      <c r="E7273" s="10" t="s">
        <v>309</v>
      </c>
      <c r="F7273" s="9" t="s">
        <v>310</v>
      </c>
      <c r="G7273" s="10" t="s">
        <v>34</v>
      </c>
      <c r="H7273" s="9" t="s">
        <v>22</v>
      </c>
      <c r="I7273" s="9" t="s">
        <v>16294</v>
      </c>
      <c r="J7273" s="10" t="str">
        <f>HYPERLINK("https://www.boe.es/gazeta/dias/1834/05/30/pdfs/GMD-1834-99.pdf#page=1","Abrir facsímil")</f>
        <v>Abrir facsímil</v>
      </c>
      <c r="K7273" s="10" t="s">
        <v>24</v>
      </c>
    </row>
    <row r="7274" spans="1:11" ht="54" customHeight="1">
      <c r="A7274" s="9" t="s">
        <v>16295</v>
      </c>
      <c r="B7274" s="9" t="s">
        <v>16296</v>
      </c>
      <c r="C7274" s="9" t="s">
        <v>17</v>
      </c>
      <c r="D7274" s="9" t="s">
        <v>18</v>
      </c>
      <c r="E7274" s="10" t="s">
        <v>102</v>
      </c>
      <c r="F7274" s="9" t="s">
        <v>103</v>
      </c>
      <c r="G7274" s="10" t="s">
        <v>21</v>
      </c>
      <c r="H7274" s="9" t="s">
        <v>22</v>
      </c>
      <c r="I7274" s="9" t="s">
        <v>16297</v>
      </c>
      <c r="J7274" s="10" t="str">
        <f>HYPERLINK("https://www.boe.es/gazeta/dias/1834/07/19/pdfs/GMD-1834-152.pdf#page=3","Abrir facsímil")</f>
        <v>Abrir facsímil</v>
      </c>
      <c r="K7274" s="10" t="s">
        <v>24</v>
      </c>
    </row>
    <row r="7275" spans="1:11" ht="54" customHeight="1">
      <c r="A7275" s="9" t="s">
        <v>16298</v>
      </c>
      <c r="B7275" s="9" t="s">
        <v>16299</v>
      </c>
      <c r="C7275" s="9" t="s">
        <v>90</v>
      </c>
      <c r="D7275" s="9" t="s">
        <v>18</v>
      </c>
      <c r="E7275" s="10" t="s">
        <v>891</v>
      </c>
      <c r="F7275" s="9" t="s">
        <v>892</v>
      </c>
      <c r="G7275" s="10" t="s">
        <v>34</v>
      </c>
      <c r="H7275" s="9" t="s">
        <v>22</v>
      </c>
      <c r="I7275" s="9" t="s">
        <v>16300</v>
      </c>
      <c r="J7275" s="10" t="str">
        <f>HYPERLINK("https://www.boe.es/gazeta/dias/1834/10/31/pdfs/GMD-C-1834-259.pdf#page=1","Abrir facsímil")</f>
        <v>Abrir facsímil</v>
      </c>
      <c r="K7275" s="10" t="s">
        <v>24</v>
      </c>
    </row>
    <row r="7276" spans="1:11" ht="54" customHeight="1">
      <c r="A7276" s="9" t="s">
        <v>16301</v>
      </c>
      <c r="B7276" s="9" t="s">
        <v>16302</v>
      </c>
      <c r="C7276" s="9" t="s">
        <v>90</v>
      </c>
      <c r="D7276" s="9" t="s">
        <v>18</v>
      </c>
      <c r="E7276" s="10" t="s">
        <v>355</v>
      </c>
      <c r="F7276" s="9" t="s">
        <v>356</v>
      </c>
      <c r="G7276" s="10" t="s">
        <v>86</v>
      </c>
      <c r="H7276" s="9" t="s">
        <v>22</v>
      </c>
      <c r="I7276" s="9" t="s">
        <v>16303</v>
      </c>
      <c r="J7276" s="10" t="str">
        <f>HYPERLINK("https://www.boe.es/gazeta/dias/1834/07/04/pdfs/I00597-00598.pdf#page=2","Abrir facsímil")</f>
        <v>Abrir facsímil</v>
      </c>
      <c r="K7276" s="10" t="s">
        <v>24</v>
      </c>
    </row>
    <row r="7277" spans="1:11" ht="54" customHeight="1">
      <c r="A7277" s="9" t="s">
        <v>16301</v>
      </c>
      <c r="B7277" s="9" t="s">
        <v>16302</v>
      </c>
      <c r="C7277" s="9" t="s">
        <v>90</v>
      </c>
      <c r="D7277" s="9" t="s">
        <v>18</v>
      </c>
      <c r="E7277" s="10" t="s">
        <v>355</v>
      </c>
      <c r="F7277" s="9" t="s">
        <v>356</v>
      </c>
      <c r="G7277" s="10" t="s">
        <v>75</v>
      </c>
      <c r="H7277" s="9" t="s">
        <v>22</v>
      </c>
      <c r="I7277" s="9" t="s">
        <v>16303</v>
      </c>
      <c r="J7277" s="10" t="str">
        <f>HYPERLINK("https://www.boe.es/gazeta/dias/1834/07/04/pdfs/GMD-1834-137.pdf#page=4","Abrir facsímil")</f>
        <v>Abrir facsímil</v>
      </c>
      <c r="K7277" s="10" t="s">
        <v>24</v>
      </c>
    </row>
    <row r="7278" spans="1:11" ht="54" customHeight="1">
      <c r="A7278" s="9" t="s">
        <v>16304</v>
      </c>
      <c r="B7278" s="9" t="s">
        <v>16305</v>
      </c>
      <c r="C7278" s="9" t="s">
        <v>17</v>
      </c>
      <c r="D7278" s="9" t="s">
        <v>18</v>
      </c>
      <c r="E7278" s="10" t="s">
        <v>1572</v>
      </c>
      <c r="F7278" s="9" t="s">
        <v>1573</v>
      </c>
      <c r="G7278" s="10" t="s">
        <v>75</v>
      </c>
      <c r="H7278" s="9" t="s">
        <v>22</v>
      </c>
      <c r="I7278" s="9" t="s">
        <v>16306</v>
      </c>
      <c r="J7278" s="10" t="str">
        <f>HYPERLINK("https://www.boe.es/gazeta/dias/1834/03/20/pdfs/GMD-1834-35.pdf#page=4","Abrir facsímil")</f>
        <v>Abrir facsímil</v>
      </c>
      <c r="K7278" s="10" t="s">
        <v>24</v>
      </c>
    </row>
    <row r="7279" spans="1:11" ht="54" customHeight="1">
      <c r="A7279" s="9" t="s">
        <v>16307</v>
      </c>
      <c r="B7279" s="9" t="s">
        <v>16308</v>
      </c>
      <c r="C7279" s="9" t="s">
        <v>17</v>
      </c>
      <c r="D7279" s="9" t="s">
        <v>55</v>
      </c>
      <c r="E7279" s="10" t="s">
        <v>343</v>
      </c>
      <c r="F7279" s="9" t="s">
        <v>344</v>
      </c>
      <c r="G7279" s="10" t="s">
        <v>21</v>
      </c>
      <c r="H7279" s="9" t="s">
        <v>22</v>
      </c>
      <c r="I7279" s="9" t="s">
        <v>16309</v>
      </c>
      <c r="J7279" s="10" t="str">
        <f>HYPERLINK("https://www.boe.es/gazeta/dias/1834/01/14/pdfs/GMD-1834-7.pdf#page=3","Abrir facsímil")</f>
        <v>Abrir facsímil</v>
      </c>
      <c r="K7279" s="10" t="s">
        <v>24</v>
      </c>
    </row>
    <row r="7280" spans="1:11" ht="54" customHeight="1">
      <c r="A7280" s="9" t="s">
        <v>16310</v>
      </c>
      <c r="B7280" s="9" t="s">
        <v>16311</v>
      </c>
      <c r="C7280" s="9" t="s">
        <v>122</v>
      </c>
      <c r="D7280" s="9" t="s">
        <v>18</v>
      </c>
      <c r="E7280" s="10" t="s">
        <v>378</v>
      </c>
      <c r="F7280" s="9" t="s">
        <v>379</v>
      </c>
      <c r="G7280" s="10" t="s">
        <v>75</v>
      </c>
      <c r="H7280" s="9" t="s">
        <v>22</v>
      </c>
      <c r="I7280" s="9" t="s">
        <v>16312</v>
      </c>
      <c r="J7280" s="10" t="str">
        <f>HYPERLINK("https://www.boe.es/gazeta/dias/1834/09/24/pdfs/GMD-1834-222.pdf#page=4","Abrir facsímil")</f>
        <v>Abrir facsímil</v>
      </c>
      <c r="K7280" s="10" t="s">
        <v>24</v>
      </c>
    </row>
    <row r="7281" spans="1:11" ht="54" customHeight="1">
      <c r="A7281" s="9" t="s">
        <v>16313</v>
      </c>
      <c r="B7281" s="9" t="s">
        <v>16314</v>
      </c>
      <c r="C7281" s="9" t="s">
        <v>17</v>
      </c>
      <c r="D7281" s="9" t="s">
        <v>18</v>
      </c>
      <c r="E7281" s="10" t="s">
        <v>1234</v>
      </c>
      <c r="F7281" s="9" t="s">
        <v>1235</v>
      </c>
      <c r="G7281" s="10" t="s">
        <v>34</v>
      </c>
      <c r="H7281" s="9" t="s">
        <v>35</v>
      </c>
      <c r="I7281" s="9" t="s">
        <v>16315</v>
      </c>
      <c r="J7281" s="10" t="str">
        <f>HYPERLINK("https://www.boe.es/gazeta/dias/1834/05/15/pdfs/GMD-C-1834-84.pdf#page=1","Abrir facsímil")</f>
        <v>Abrir facsímil</v>
      </c>
      <c r="K7281" s="10" t="s">
        <v>37</v>
      </c>
    </row>
    <row r="7282" spans="1:11" ht="54" customHeight="1">
      <c r="A7282" s="9" t="s">
        <v>16316</v>
      </c>
      <c r="B7282" s="9" t="s">
        <v>16317</v>
      </c>
      <c r="C7282" s="9" t="s">
        <v>122</v>
      </c>
      <c r="D7282" s="9" t="s">
        <v>40</v>
      </c>
      <c r="E7282" s="10" t="s">
        <v>47</v>
      </c>
      <c r="F7282" s="9" t="s">
        <v>1466</v>
      </c>
      <c r="G7282" s="10" t="s">
        <v>75</v>
      </c>
      <c r="H7282" s="9" t="s">
        <v>22</v>
      </c>
      <c r="I7282" s="9" t="s">
        <v>16318</v>
      </c>
      <c r="J7282" s="10" t="str">
        <f>HYPERLINK("https://www.boe.es/gazeta/dias/1834/09/05/pdfs/GMD-1834-203.pdf#page=4","Abrir facsímil")</f>
        <v>Abrir facsímil</v>
      </c>
      <c r="K7282" s="10" t="s">
        <v>24</v>
      </c>
    </row>
    <row r="7283" spans="1:11" ht="54" customHeight="1">
      <c r="A7283" s="9" t="s">
        <v>16316</v>
      </c>
      <c r="B7283" s="9" t="s">
        <v>16317</v>
      </c>
      <c r="C7283" s="9" t="s">
        <v>17</v>
      </c>
      <c r="D7283" s="9" t="s">
        <v>18</v>
      </c>
      <c r="E7283" s="10" t="s">
        <v>777</v>
      </c>
      <c r="F7283" s="9" t="s">
        <v>778</v>
      </c>
      <c r="G7283" s="10" t="s">
        <v>75</v>
      </c>
      <c r="H7283" s="9" t="s">
        <v>22</v>
      </c>
      <c r="I7283" s="9" t="s">
        <v>16319</v>
      </c>
      <c r="J7283" s="10" t="str">
        <f>HYPERLINK("https://www.boe.es/gazeta/dias/1834/10/29/pdfs/GMD-1834-257.pdf#page=4","Abrir facsímil")</f>
        <v>Abrir facsímil</v>
      </c>
      <c r="K7283" s="10" t="s">
        <v>24</v>
      </c>
    </row>
    <row r="7284" spans="1:11" ht="54" customHeight="1">
      <c r="A7284" s="9" t="s">
        <v>16320</v>
      </c>
      <c r="B7284" s="9" t="s">
        <v>16321</v>
      </c>
      <c r="C7284" s="9" t="s">
        <v>17</v>
      </c>
      <c r="D7284" s="9" t="s">
        <v>18</v>
      </c>
      <c r="E7284" s="10" t="s">
        <v>2107</v>
      </c>
      <c r="F7284" s="9" t="s">
        <v>2108</v>
      </c>
      <c r="G7284" s="10" t="s">
        <v>75</v>
      </c>
      <c r="H7284" s="9" t="s">
        <v>35</v>
      </c>
      <c r="I7284" s="9" t="s">
        <v>16322</v>
      </c>
      <c r="J7284" s="10" t="str">
        <f>HYPERLINK("https://www.boe.es/gazeta/dias/1834/08/24/pdfs/GMD-1834-190.pdf#page=4","Abrir facsímil")</f>
        <v>Abrir facsímil</v>
      </c>
      <c r="K7284" s="10" t="s">
        <v>37</v>
      </c>
    </row>
    <row r="7285" spans="1:11" ht="54" customHeight="1">
      <c r="A7285" s="9" t="s">
        <v>16323</v>
      </c>
      <c r="B7285" s="9" t="s">
        <v>16324</v>
      </c>
      <c r="C7285" s="9" t="s">
        <v>17</v>
      </c>
      <c r="D7285" s="9" t="s">
        <v>18</v>
      </c>
      <c r="E7285" s="10" t="s">
        <v>1922</v>
      </c>
      <c r="F7285" s="9" t="s">
        <v>1923</v>
      </c>
      <c r="G7285" s="10" t="s">
        <v>28</v>
      </c>
      <c r="H7285" s="9" t="s">
        <v>22</v>
      </c>
      <c r="I7285" s="9" t="s">
        <v>16325</v>
      </c>
      <c r="J7285" s="10" t="str">
        <f>HYPERLINK("https://www.boe.es/gazeta/dias/1834/02/25/pdfs/GMD-1834-25.pdf#page=5","Abrir facsímil")</f>
        <v>Abrir facsímil</v>
      </c>
      <c r="K7285" s="10" t="s">
        <v>24</v>
      </c>
    </row>
    <row r="7286" spans="1:11" ht="54" customHeight="1">
      <c r="A7286" s="9" t="s">
        <v>16326</v>
      </c>
      <c r="B7286" s="9" t="s">
        <v>16327</v>
      </c>
      <c r="C7286" s="9" t="s">
        <v>66</v>
      </c>
      <c r="D7286" s="9" t="s">
        <v>67</v>
      </c>
      <c r="E7286" s="10" t="s">
        <v>61</v>
      </c>
      <c r="F7286" s="9" t="s">
        <v>205</v>
      </c>
      <c r="G7286" s="10" t="s">
        <v>21</v>
      </c>
      <c r="H7286" s="9" t="s">
        <v>22</v>
      </c>
      <c r="I7286" s="9" t="s">
        <v>16328</v>
      </c>
      <c r="J7286" s="10" t="str">
        <f>HYPERLINK("https://www.boe.es/gazeta/dias/1834/06/08/pdfs/GMD-1834-110.pdf#page=3","Abrir facsímil")</f>
        <v>Abrir facsímil</v>
      </c>
      <c r="K7286" s="10" t="s">
        <v>24</v>
      </c>
    </row>
    <row r="7287" spans="1:11" ht="54" customHeight="1">
      <c r="A7287" s="9" t="s">
        <v>16329</v>
      </c>
      <c r="B7287" s="9" t="s">
        <v>16330</v>
      </c>
      <c r="C7287" s="9" t="s">
        <v>46</v>
      </c>
      <c r="D7287" s="9" t="s">
        <v>55</v>
      </c>
      <c r="E7287" s="10" t="s">
        <v>1262</v>
      </c>
      <c r="F7287" s="9" t="s">
        <v>1263</v>
      </c>
      <c r="G7287" s="10" t="s">
        <v>21</v>
      </c>
      <c r="H7287" s="9" t="s">
        <v>22</v>
      </c>
      <c r="I7287" s="9" t="s">
        <v>16331</v>
      </c>
      <c r="J7287" s="10" t="str">
        <f>HYPERLINK("https://www.boe.es/gazeta/dias/1834/02/01/pdfs/GMD-1834-15.pdf#page=3","Abrir facsímil")</f>
        <v>Abrir facsímil</v>
      </c>
      <c r="K7287" s="10" t="s">
        <v>24</v>
      </c>
    </row>
    <row r="7288" spans="1:11" ht="54" customHeight="1">
      <c r="A7288" s="9" t="s">
        <v>16329</v>
      </c>
      <c r="B7288" s="9" t="s">
        <v>16330</v>
      </c>
      <c r="C7288" s="9" t="s">
        <v>90</v>
      </c>
      <c r="D7288" s="9" t="s">
        <v>18</v>
      </c>
      <c r="E7288" s="10" t="s">
        <v>1424</v>
      </c>
      <c r="F7288" s="9" t="s">
        <v>1425</v>
      </c>
      <c r="G7288" s="10" t="s">
        <v>34</v>
      </c>
      <c r="H7288" s="9" t="s">
        <v>22</v>
      </c>
      <c r="I7288" s="9" t="s">
        <v>16332</v>
      </c>
      <c r="J7288" s="10" t="str">
        <f>HYPERLINK("https://www.boe.es/gazeta/dias/1834/11/14/pdfs/GMD-C-1834-273.pdf#page=1","Abrir facsímil")</f>
        <v>Abrir facsímil</v>
      </c>
      <c r="K7288" s="10" t="s">
        <v>24</v>
      </c>
    </row>
    <row r="7289" spans="1:11" ht="54" customHeight="1">
      <c r="A7289" s="9" t="s">
        <v>16333</v>
      </c>
      <c r="B7289" s="9" t="s">
        <v>16334</v>
      </c>
      <c r="C7289" s="9" t="s">
        <v>46</v>
      </c>
      <c r="D7289" s="9" t="s">
        <v>101</v>
      </c>
      <c r="E7289" s="10" t="s">
        <v>158</v>
      </c>
      <c r="F7289" s="9" t="s">
        <v>159</v>
      </c>
      <c r="G7289" s="10" t="s">
        <v>21</v>
      </c>
      <c r="H7289" s="9" t="s">
        <v>22</v>
      </c>
      <c r="I7289" s="9" t="s">
        <v>16335</v>
      </c>
      <c r="J7289" s="10" t="str">
        <f>HYPERLINK("https://www.boe.es/gazeta/dias/1834/10/01/pdfs/GMD-1834-229.pdf#page=3","Abrir facsímil")</f>
        <v>Abrir facsímil</v>
      </c>
      <c r="K7289" s="10" t="s">
        <v>24</v>
      </c>
    </row>
    <row r="7290" spans="1:11" ht="54" customHeight="1">
      <c r="A7290" s="9" t="s">
        <v>16336</v>
      </c>
      <c r="B7290" s="9" t="s">
        <v>16337</v>
      </c>
      <c r="C7290" s="9" t="s">
        <v>857</v>
      </c>
      <c r="D7290" s="9" t="s">
        <v>18</v>
      </c>
      <c r="E7290" s="10" t="s">
        <v>823</v>
      </c>
      <c r="F7290" s="9" t="s">
        <v>824</v>
      </c>
      <c r="G7290" s="10" t="s">
        <v>176</v>
      </c>
      <c r="H7290" s="9" t="s">
        <v>22</v>
      </c>
      <c r="I7290" s="9" t="s">
        <v>16338</v>
      </c>
      <c r="J7290" s="10" t="str">
        <f>HYPERLINK("https://www.boe.es/gazeta/dias/1834/07/23/pdfs/GMD-1834-156.pdf#page=6","Abrir facsímil")</f>
        <v>Abrir facsímil</v>
      </c>
      <c r="K7290" s="10" t="s">
        <v>24</v>
      </c>
    </row>
    <row r="7291" spans="1:11" ht="54" customHeight="1">
      <c r="A7291" s="9" t="s">
        <v>16339</v>
      </c>
      <c r="B7291" s="9" t="s">
        <v>16340</v>
      </c>
      <c r="C7291" s="9" t="s">
        <v>17</v>
      </c>
      <c r="D7291" s="9" t="s">
        <v>18</v>
      </c>
      <c r="E7291" s="10" t="s">
        <v>1692</v>
      </c>
      <c r="F7291" s="9" t="s">
        <v>3985</v>
      </c>
      <c r="G7291" s="10" t="s">
        <v>34</v>
      </c>
      <c r="H7291" s="9" t="s">
        <v>35</v>
      </c>
      <c r="I7291" s="9" t="s">
        <v>16341</v>
      </c>
      <c r="J7291" s="10" t="str">
        <f>HYPERLINK("https://www.boe.es/gazeta/dias/1834/07/29/pdfs/GMD-C-1834-162.pdf#page=1","Abrir facsímil")</f>
        <v>Abrir facsímil</v>
      </c>
      <c r="K7291" s="10" t="s">
        <v>37</v>
      </c>
    </row>
    <row r="7292" spans="1:11" ht="54" customHeight="1">
      <c r="A7292" s="9" t="s">
        <v>16342</v>
      </c>
      <c r="B7292" s="9" t="s">
        <v>16343</v>
      </c>
      <c r="C7292" s="9" t="s">
        <v>90</v>
      </c>
      <c r="D7292" s="9" t="s">
        <v>40</v>
      </c>
      <c r="E7292" s="10" t="s">
        <v>976</v>
      </c>
      <c r="F7292" s="9" t="s">
        <v>977</v>
      </c>
      <c r="G7292" s="10" t="s">
        <v>75</v>
      </c>
      <c r="H7292" s="9" t="s">
        <v>22</v>
      </c>
      <c r="I7292" s="9" t="s">
        <v>16344</v>
      </c>
      <c r="J7292" s="10" t="str">
        <f>HYPERLINK("https://www.boe.es/gazeta/dias/1834/04/02/pdfs/GMD-1834-41.pdf#page=4","Abrir facsímil")</f>
        <v>Abrir facsímil</v>
      </c>
      <c r="K7292" s="10" t="s">
        <v>24</v>
      </c>
    </row>
    <row r="7293" spans="1:11" ht="54" customHeight="1">
      <c r="A7293" s="9" t="s">
        <v>16345</v>
      </c>
      <c r="B7293" s="9" t="s">
        <v>16346</v>
      </c>
      <c r="C7293" s="9" t="s">
        <v>17</v>
      </c>
      <c r="D7293" s="9" t="s">
        <v>18</v>
      </c>
      <c r="E7293" s="10" t="s">
        <v>1226</v>
      </c>
      <c r="F7293" s="9" t="s">
        <v>1227</v>
      </c>
      <c r="G7293" s="10" t="s">
        <v>21</v>
      </c>
      <c r="H7293" s="9" t="s">
        <v>22</v>
      </c>
      <c r="I7293" s="9" t="s">
        <v>16347</v>
      </c>
      <c r="J7293" s="10" t="str">
        <f>HYPERLINK("https://www.boe.es/gazeta/dias/1834/07/14/pdfs/GMD-1834-147.pdf#page=3","Abrir facsímil")</f>
        <v>Abrir facsímil</v>
      </c>
      <c r="K7293" s="10" t="s">
        <v>24</v>
      </c>
    </row>
    <row r="7294" spans="1:11" ht="54" customHeight="1">
      <c r="A7294" s="9" t="s">
        <v>16348</v>
      </c>
      <c r="B7294" s="9" t="s">
        <v>16349</v>
      </c>
      <c r="C7294" s="9" t="s">
        <v>66</v>
      </c>
      <c r="D7294" s="9" t="s">
        <v>67</v>
      </c>
      <c r="E7294" s="10" t="s">
        <v>133</v>
      </c>
      <c r="F7294" s="9" t="s">
        <v>134</v>
      </c>
      <c r="G7294" s="10" t="s">
        <v>34</v>
      </c>
      <c r="H7294" s="9" t="s">
        <v>22</v>
      </c>
      <c r="I7294" s="9" t="s">
        <v>16350</v>
      </c>
      <c r="J7294" s="10" t="str">
        <f>HYPERLINK("https://www.boe.es/gazeta/dias/1834/06/18/pdfs/GMD-1834-121.pdf#page=1","Abrir facsímil")</f>
        <v>Abrir facsímil</v>
      </c>
      <c r="K7294" s="10" t="s">
        <v>24</v>
      </c>
    </row>
    <row r="7295" spans="1:11" ht="54" customHeight="1">
      <c r="A7295" s="9" t="s">
        <v>16351</v>
      </c>
      <c r="B7295" s="9" t="s">
        <v>16352</v>
      </c>
      <c r="C7295" s="9" t="s">
        <v>66</v>
      </c>
      <c r="D7295" s="9" t="s">
        <v>18</v>
      </c>
      <c r="E7295" s="10" t="s">
        <v>408</v>
      </c>
      <c r="F7295" s="9" t="s">
        <v>409</v>
      </c>
      <c r="G7295" s="10" t="s">
        <v>34</v>
      </c>
      <c r="H7295" s="9" t="s">
        <v>22</v>
      </c>
      <c r="I7295" s="9" t="s">
        <v>16353</v>
      </c>
      <c r="J7295" s="10" t="str">
        <f>HYPERLINK("https://www.boe.es/gazeta/dias/1834/04/28/pdfs/GMD-1834-67.pdf#page=1","Abrir facsímil")</f>
        <v>Abrir facsímil</v>
      </c>
      <c r="K7295" s="10" t="s">
        <v>24</v>
      </c>
    </row>
    <row r="7296" spans="1:11" ht="54" customHeight="1">
      <c r="A7296" s="9" t="s">
        <v>16354</v>
      </c>
      <c r="B7296" s="9" t="s">
        <v>16355</v>
      </c>
      <c r="C7296" s="9" t="s">
        <v>17</v>
      </c>
      <c r="D7296" s="9" t="s">
        <v>18</v>
      </c>
      <c r="E7296" s="10" t="s">
        <v>96</v>
      </c>
      <c r="F7296" s="9" t="s">
        <v>1725</v>
      </c>
      <c r="G7296" s="10" t="s">
        <v>75</v>
      </c>
      <c r="H7296" s="9" t="s">
        <v>22</v>
      </c>
      <c r="I7296" s="9" t="s">
        <v>16356</v>
      </c>
      <c r="J7296" s="10" t="str">
        <f>HYPERLINK("https://www.boe.es/gazeta/dias/1834/11/11/pdfs/GMD-1834-270.pdf#page=4","Abrir facsímil")</f>
        <v>Abrir facsímil</v>
      </c>
      <c r="K7296" s="10" t="s">
        <v>24</v>
      </c>
    </row>
    <row r="7297" spans="1:11" ht="54" customHeight="1">
      <c r="A7297" s="9" t="s">
        <v>16357</v>
      </c>
      <c r="B7297" s="9" t="s">
        <v>16358</v>
      </c>
      <c r="C7297" s="9" t="s">
        <v>90</v>
      </c>
      <c r="D7297" s="9" t="s">
        <v>101</v>
      </c>
      <c r="E7297" s="10" t="s">
        <v>2218</v>
      </c>
      <c r="F7297" s="9" t="s">
        <v>2219</v>
      </c>
      <c r="G7297" s="10" t="s">
        <v>21</v>
      </c>
      <c r="H7297" s="9" t="s">
        <v>22</v>
      </c>
      <c r="I7297" s="9" t="s">
        <v>16359</v>
      </c>
      <c r="J7297" s="10" t="str">
        <f>HYPERLINK("https://www.boe.es/gazeta/dias/1834/11/05/pdfs/GMD-1834-264.pdf#page=3","Abrir facsímil")</f>
        <v>Abrir facsímil</v>
      </c>
      <c r="K7297" s="10" t="s">
        <v>24</v>
      </c>
    </row>
    <row r="7298" spans="1:11" ht="54" customHeight="1">
      <c r="A7298" s="9" t="s">
        <v>16360</v>
      </c>
      <c r="B7298" s="9" t="s">
        <v>16361</v>
      </c>
      <c r="C7298" s="9" t="s">
        <v>17</v>
      </c>
      <c r="D7298" s="9" t="s">
        <v>18</v>
      </c>
      <c r="E7298" s="10" t="s">
        <v>84</v>
      </c>
      <c r="F7298" s="9" t="s">
        <v>1223</v>
      </c>
      <c r="G7298" s="10" t="s">
        <v>21</v>
      </c>
      <c r="H7298" s="9" t="s">
        <v>22</v>
      </c>
      <c r="I7298" s="9" t="s">
        <v>16362</v>
      </c>
      <c r="J7298" s="10" t="str">
        <f>HYPERLINK("https://www.boe.es/gazeta/dias/1834/06/07/pdfs/GMD-1834-109.pdf#page=3","Abrir facsímil")</f>
        <v>Abrir facsímil</v>
      </c>
      <c r="K7298" s="10" t="s">
        <v>24</v>
      </c>
    </row>
    <row r="7299" spans="1:11" ht="54" customHeight="1">
      <c r="A7299" s="9" t="s">
        <v>16363</v>
      </c>
      <c r="B7299" s="9" t="s">
        <v>16364</v>
      </c>
      <c r="C7299" s="9" t="s">
        <v>17</v>
      </c>
      <c r="D7299" s="9" t="s">
        <v>18</v>
      </c>
      <c r="E7299" s="10" t="s">
        <v>299</v>
      </c>
      <c r="F7299" s="9" t="s">
        <v>300</v>
      </c>
      <c r="G7299" s="10" t="s">
        <v>75</v>
      </c>
      <c r="H7299" s="9" t="s">
        <v>22</v>
      </c>
      <c r="I7299" s="9" t="s">
        <v>16365</v>
      </c>
      <c r="J7299" s="10" t="str">
        <f>HYPERLINK("https://www.boe.es/gazeta/dias/1834/12/12/pdfs/GMD-1834-301.pdf#page=4","Abrir facsímil")</f>
        <v>Abrir facsímil</v>
      </c>
      <c r="K7299" s="10" t="s">
        <v>24</v>
      </c>
    </row>
    <row r="7300" spans="1:11" ht="54" customHeight="1">
      <c r="A7300" s="9" t="s">
        <v>16366</v>
      </c>
      <c r="B7300" s="9" t="s">
        <v>16367</v>
      </c>
      <c r="C7300" s="9" t="s">
        <v>90</v>
      </c>
      <c r="D7300" s="9" t="s">
        <v>18</v>
      </c>
      <c r="E7300" s="10" t="s">
        <v>1575</v>
      </c>
      <c r="F7300" s="9" t="s">
        <v>1576</v>
      </c>
      <c r="G7300" s="10" t="s">
        <v>34</v>
      </c>
      <c r="H7300" s="9" t="s">
        <v>22</v>
      </c>
      <c r="I7300" s="9" t="s">
        <v>16368</v>
      </c>
      <c r="J7300" s="10" t="str">
        <f>HYPERLINK("https://www.boe.es/gazeta/dias/1834/11/24/pdfs/GMD-1834-283.pdf#page=1","Abrir facsímil")</f>
        <v>Abrir facsímil</v>
      </c>
      <c r="K7300" s="10" t="s">
        <v>24</v>
      </c>
    </row>
    <row r="7301" spans="1:11" ht="54" customHeight="1">
      <c r="A7301" s="9" t="s">
        <v>16369</v>
      </c>
      <c r="B7301" s="9" t="s">
        <v>16370</v>
      </c>
      <c r="C7301" s="9" t="s">
        <v>90</v>
      </c>
      <c r="D7301" s="9" t="s">
        <v>18</v>
      </c>
      <c r="E7301" s="10" t="s">
        <v>1318</v>
      </c>
      <c r="F7301" s="9" t="s">
        <v>1319</v>
      </c>
      <c r="G7301" s="10" t="s">
        <v>34</v>
      </c>
      <c r="H7301" s="9" t="s">
        <v>22</v>
      </c>
      <c r="I7301" s="9" t="s">
        <v>16371</v>
      </c>
      <c r="J7301" s="10" t="str">
        <f>HYPERLINK("https://www.boe.es/gazeta/dias/1834/05/10/pdfs/GMD-1834-79.pdf#page=1","Abrir facsímil")</f>
        <v>Abrir facsímil</v>
      </c>
      <c r="K7301" s="10" t="s">
        <v>24</v>
      </c>
    </row>
    <row r="7302" spans="1:11" ht="54" customHeight="1">
      <c r="A7302" s="9" t="s">
        <v>16369</v>
      </c>
      <c r="B7302" s="9" t="s">
        <v>16370</v>
      </c>
      <c r="C7302" s="9" t="s">
        <v>66</v>
      </c>
      <c r="D7302" s="9" t="s">
        <v>101</v>
      </c>
      <c r="E7302" s="10" t="s">
        <v>174</v>
      </c>
      <c r="F7302" s="9" t="s">
        <v>175</v>
      </c>
      <c r="G7302" s="10" t="s">
        <v>34</v>
      </c>
      <c r="H7302" s="9" t="s">
        <v>22</v>
      </c>
      <c r="I7302" s="9" t="s">
        <v>16372</v>
      </c>
      <c r="J7302" s="10" t="str">
        <f>HYPERLINK("https://www.boe.es/gazeta/dias/1834/03/27/pdfs/GMD-1834-38.pdf#page=1","Abrir facsímil")</f>
        <v>Abrir facsímil</v>
      </c>
      <c r="K7302" s="10" t="s">
        <v>24</v>
      </c>
    </row>
    <row r="7303" spans="1:11" ht="54" customHeight="1">
      <c r="A7303" s="9" t="s">
        <v>16373</v>
      </c>
      <c r="B7303" s="9" t="s">
        <v>16374</v>
      </c>
      <c r="C7303" s="9" t="s">
        <v>90</v>
      </c>
      <c r="D7303" s="9" t="s">
        <v>18</v>
      </c>
      <c r="E7303" s="10" t="s">
        <v>283</v>
      </c>
      <c r="F7303" s="9" t="s">
        <v>2969</v>
      </c>
      <c r="G7303" s="10" t="s">
        <v>34</v>
      </c>
      <c r="H7303" s="9" t="s">
        <v>22</v>
      </c>
      <c r="I7303" s="9" t="s">
        <v>16375</v>
      </c>
      <c r="J7303" s="10" t="str">
        <f>HYPERLINK("https://www.boe.es/gazeta/dias/1834/11/29/pdfs/GMD-1834-288.pdf#page=1","Abrir facsímil")</f>
        <v>Abrir facsímil</v>
      </c>
      <c r="K7303" s="10" t="s">
        <v>24</v>
      </c>
    </row>
    <row r="7304" spans="1:11" ht="54" customHeight="1">
      <c r="A7304" s="9" t="s">
        <v>16376</v>
      </c>
      <c r="B7304" s="9" t="s">
        <v>16376</v>
      </c>
      <c r="C7304" s="9" t="s">
        <v>17</v>
      </c>
      <c r="D7304" s="9" t="s">
        <v>18</v>
      </c>
      <c r="E7304" s="10" t="s">
        <v>1973</v>
      </c>
      <c r="F7304" s="9" t="s">
        <v>1974</v>
      </c>
      <c r="G7304" s="10" t="s">
        <v>21</v>
      </c>
      <c r="H7304" s="9" t="s">
        <v>22</v>
      </c>
      <c r="I7304" s="9" t="s">
        <v>16377</v>
      </c>
      <c r="J7304" s="10" t="str">
        <f>HYPERLINK("https://www.boe.es/gazeta/dias/1834/12/20/pdfs/GMD-C-1834-310.pdf#page=3","Abrir facsímil")</f>
        <v>Abrir facsímil</v>
      </c>
      <c r="K7304" s="10" t="s">
        <v>24</v>
      </c>
    </row>
    <row r="7305" spans="1:11" ht="54" customHeight="1">
      <c r="A7305" s="9" t="s">
        <v>16378</v>
      </c>
      <c r="B7305" s="9" t="s">
        <v>16379</v>
      </c>
      <c r="C7305" s="9" t="s">
        <v>17</v>
      </c>
      <c r="D7305" s="9" t="s">
        <v>55</v>
      </c>
      <c r="E7305" s="10" t="s">
        <v>5574</v>
      </c>
      <c r="F7305" s="9" t="s">
        <v>5575</v>
      </c>
      <c r="G7305" s="10" t="s">
        <v>34</v>
      </c>
      <c r="H7305" s="9" t="s">
        <v>22</v>
      </c>
      <c r="I7305" s="9" t="s">
        <v>16380</v>
      </c>
      <c r="J7305" s="10" t="str">
        <f>HYPERLINK("https://www.boe.es/gazeta/dias/1834/06/16/pdfs/GMD-1834-119.pdf#page=1","Abrir facsímil")</f>
        <v>Abrir facsímil</v>
      </c>
      <c r="K7305" s="10" t="s">
        <v>24</v>
      </c>
    </row>
    <row r="7306" spans="1:11" ht="54" customHeight="1">
      <c r="A7306" s="9" t="s">
        <v>16378</v>
      </c>
      <c r="B7306" s="9" t="s">
        <v>16379</v>
      </c>
      <c r="C7306" s="9" t="s">
        <v>90</v>
      </c>
      <c r="D7306" s="9" t="s">
        <v>101</v>
      </c>
      <c r="E7306" s="10" t="s">
        <v>1575</v>
      </c>
      <c r="F7306" s="9" t="s">
        <v>1576</v>
      </c>
      <c r="G7306" s="10" t="s">
        <v>34</v>
      </c>
      <c r="H7306" s="9" t="s">
        <v>22</v>
      </c>
      <c r="I7306" s="9" t="s">
        <v>16381</v>
      </c>
      <c r="J7306" s="10" t="str">
        <f>HYPERLINK("https://www.boe.es/gazeta/dias/1834/11/24/pdfs/GMD-1834-283.pdf#page=1","Abrir facsímil")</f>
        <v>Abrir facsímil</v>
      </c>
      <c r="K7306" s="10" t="s">
        <v>24</v>
      </c>
    </row>
    <row r="7307" spans="1:11" ht="54" customHeight="1">
      <c r="A7307" s="9" t="s">
        <v>16382</v>
      </c>
      <c r="B7307" s="9" t="s">
        <v>16383</v>
      </c>
      <c r="C7307" s="9" t="s">
        <v>17</v>
      </c>
      <c r="D7307" s="9" t="s">
        <v>18</v>
      </c>
      <c r="E7307" s="10" t="s">
        <v>563</v>
      </c>
      <c r="F7307" s="9" t="s">
        <v>564</v>
      </c>
      <c r="G7307" s="10" t="s">
        <v>34</v>
      </c>
      <c r="H7307" s="9" t="s">
        <v>22</v>
      </c>
      <c r="I7307" s="9" t="s">
        <v>16384</v>
      </c>
      <c r="J7307" s="10" t="str">
        <f>HYPERLINK("https://www.boe.es/gazeta/dias/1834/04/19/pdfs/GMD-1834-58.pdf#page=1","Abrir facsímil")</f>
        <v>Abrir facsímil</v>
      </c>
      <c r="K7307" s="10" t="s">
        <v>24</v>
      </c>
    </row>
    <row r="7308" spans="1:11" ht="54" customHeight="1">
      <c r="A7308" s="9" t="s">
        <v>16385</v>
      </c>
      <c r="B7308" s="9" t="s">
        <v>16386</v>
      </c>
      <c r="C7308" s="9" t="s">
        <v>17</v>
      </c>
      <c r="D7308" s="9" t="s">
        <v>18</v>
      </c>
      <c r="E7308" s="10" t="s">
        <v>1505</v>
      </c>
      <c r="F7308" s="9" t="s">
        <v>1506</v>
      </c>
      <c r="G7308" s="10" t="s">
        <v>34</v>
      </c>
      <c r="H7308" s="9" t="s">
        <v>22</v>
      </c>
      <c r="I7308" s="9" t="s">
        <v>16387</v>
      </c>
      <c r="J7308" s="10" t="str">
        <f>HYPERLINK("https://www.boe.es/gazeta/dias/1834/05/08/pdfs/GMD-1834-77.pdf#page=1","Abrir facsímil")</f>
        <v>Abrir facsímil</v>
      </c>
      <c r="K7308" s="10" t="s">
        <v>24</v>
      </c>
    </row>
    <row r="7309" spans="1:11" ht="54" customHeight="1">
      <c r="A7309" s="9" t="s">
        <v>16388</v>
      </c>
      <c r="B7309" s="9" t="s">
        <v>16389</v>
      </c>
      <c r="C7309" s="9" t="s">
        <v>17</v>
      </c>
      <c r="D7309" s="9" t="s">
        <v>18</v>
      </c>
      <c r="E7309" s="10" t="s">
        <v>1333</v>
      </c>
      <c r="F7309" s="9" t="s">
        <v>1334</v>
      </c>
      <c r="G7309" s="10" t="s">
        <v>34</v>
      </c>
      <c r="H7309" s="9" t="s">
        <v>22</v>
      </c>
      <c r="I7309" s="9" t="s">
        <v>16390</v>
      </c>
      <c r="J7309" s="10" t="str">
        <f>HYPERLINK("https://www.boe.es/gazeta/dias/1834/04/01/pdfs/GMD-1834-40.pdf#page=1","Abrir facsímil")</f>
        <v>Abrir facsímil</v>
      </c>
      <c r="K7309" s="10" t="s">
        <v>24</v>
      </c>
    </row>
    <row r="7310" spans="1:11" ht="54" customHeight="1">
      <c r="A7310" s="9" t="s">
        <v>16388</v>
      </c>
      <c r="B7310" s="9" t="s">
        <v>16389</v>
      </c>
      <c r="C7310" s="9" t="s">
        <v>90</v>
      </c>
      <c r="D7310" s="9" t="s">
        <v>101</v>
      </c>
      <c r="E7310" s="10" t="s">
        <v>2037</v>
      </c>
      <c r="F7310" s="9" t="s">
        <v>2038</v>
      </c>
      <c r="G7310" s="10" t="s">
        <v>34</v>
      </c>
      <c r="H7310" s="9" t="s">
        <v>22</v>
      </c>
      <c r="I7310" s="9" t="s">
        <v>16391</v>
      </c>
      <c r="J7310" s="10" t="str">
        <f>HYPERLINK("https://www.boe.es/gazeta/dias/1834/12/01/pdfs/I01208-01208.pdf#page=1","Abrir facsímil")</f>
        <v>Abrir facsímil</v>
      </c>
      <c r="K7310" s="10" t="s">
        <v>24</v>
      </c>
    </row>
    <row r="7311" spans="1:11" ht="54" customHeight="1">
      <c r="A7311" s="9" t="s">
        <v>16388</v>
      </c>
      <c r="B7311" s="9" t="s">
        <v>16389</v>
      </c>
      <c r="C7311" s="9" t="s">
        <v>90</v>
      </c>
      <c r="D7311" s="9" t="s">
        <v>101</v>
      </c>
      <c r="E7311" s="10" t="s">
        <v>2037</v>
      </c>
      <c r="F7311" s="9" t="s">
        <v>2038</v>
      </c>
      <c r="G7311" s="10" t="s">
        <v>75</v>
      </c>
      <c r="H7311" s="9" t="s">
        <v>22</v>
      </c>
      <c r="I7311" s="9" t="s">
        <v>16391</v>
      </c>
      <c r="J7311" s="10" t="str">
        <f>HYPERLINK("https://www.boe.es/gazeta/dias/1834/12/01/pdfs/GMD-1834-290.pdf#page=4","Abrir facsímil")</f>
        <v>Abrir facsímil</v>
      </c>
      <c r="K7311" s="10" t="s">
        <v>24</v>
      </c>
    </row>
    <row r="7312" spans="1:11" ht="54" customHeight="1">
      <c r="A7312" s="9" t="s">
        <v>16388</v>
      </c>
      <c r="B7312" s="9" t="s">
        <v>16389</v>
      </c>
      <c r="C7312" s="9" t="s">
        <v>17</v>
      </c>
      <c r="D7312" s="9" t="s">
        <v>40</v>
      </c>
      <c r="E7312" s="10" t="s">
        <v>2212</v>
      </c>
      <c r="F7312" s="9" t="s">
        <v>5450</v>
      </c>
      <c r="G7312" s="10" t="s">
        <v>34</v>
      </c>
      <c r="H7312" s="9" t="s">
        <v>22</v>
      </c>
      <c r="I7312" s="9" t="s">
        <v>16392</v>
      </c>
      <c r="J7312" s="10" t="str">
        <f>HYPERLINK("https://www.boe.es/gazeta/dias/1834/08/04/pdfs/GMD-1834-168.pdf#page=1","Abrir facsímil")</f>
        <v>Abrir facsímil</v>
      </c>
      <c r="K7312" s="10" t="s">
        <v>24</v>
      </c>
    </row>
    <row r="7313" spans="1:11" ht="54" customHeight="1">
      <c r="A7313" s="9" t="s">
        <v>16388</v>
      </c>
      <c r="B7313" s="9" t="s">
        <v>16389</v>
      </c>
      <c r="C7313" s="9" t="s">
        <v>17</v>
      </c>
      <c r="D7313" s="9" t="s">
        <v>18</v>
      </c>
      <c r="E7313" s="10" t="s">
        <v>762</v>
      </c>
      <c r="F7313" s="9" t="s">
        <v>763</v>
      </c>
      <c r="G7313" s="10" t="s">
        <v>34</v>
      </c>
      <c r="H7313" s="9" t="s">
        <v>22</v>
      </c>
      <c r="I7313" s="9" t="s">
        <v>16393</v>
      </c>
      <c r="J7313" s="10" t="str">
        <f>HYPERLINK("https://www.boe.es/gazeta/dias/1834/11/07/pdfs/GMD-1834-266.pdf#page=1","Abrir facsímil")</f>
        <v>Abrir facsímil</v>
      </c>
      <c r="K7313" s="10" t="s">
        <v>24</v>
      </c>
    </row>
    <row r="7314" spans="1:11" ht="54" customHeight="1">
      <c r="A7314" s="9" t="s">
        <v>16388</v>
      </c>
      <c r="B7314" s="9" t="s">
        <v>16389</v>
      </c>
      <c r="C7314" s="9" t="s">
        <v>90</v>
      </c>
      <c r="D7314" s="9" t="s">
        <v>101</v>
      </c>
      <c r="E7314" s="10" t="s">
        <v>163</v>
      </c>
      <c r="F7314" s="9" t="s">
        <v>164</v>
      </c>
      <c r="G7314" s="10" t="s">
        <v>34</v>
      </c>
      <c r="H7314" s="9" t="s">
        <v>22</v>
      </c>
      <c r="I7314" s="9" t="s">
        <v>16394</v>
      </c>
      <c r="J7314" s="10" t="str">
        <f>HYPERLINK("https://www.boe.es/gazeta/dias/1834/08/09/pdfs/GMD-1834-174.pdf#page=1","Abrir facsímil")</f>
        <v>Abrir facsímil</v>
      </c>
      <c r="K7314" s="10" t="s">
        <v>24</v>
      </c>
    </row>
    <row r="7315" spans="1:11" ht="54" customHeight="1">
      <c r="A7315" s="9" t="s">
        <v>16388</v>
      </c>
      <c r="B7315" s="9" t="s">
        <v>16389</v>
      </c>
      <c r="C7315" s="9" t="s">
        <v>66</v>
      </c>
      <c r="D7315" s="9" t="s">
        <v>101</v>
      </c>
      <c r="E7315" s="10" t="s">
        <v>1708</v>
      </c>
      <c r="F7315" s="9" t="s">
        <v>1709</v>
      </c>
      <c r="G7315" s="10" t="s">
        <v>34</v>
      </c>
      <c r="H7315" s="9" t="s">
        <v>22</v>
      </c>
      <c r="I7315" s="9" t="s">
        <v>16395</v>
      </c>
      <c r="J7315" s="10" t="str">
        <f>HYPERLINK("https://www.boe.es/gazeta/dias/1834/04/12/pdfs/GMD-1834-51.pdf#page=1","Abrir facsímil")</f>
        <v>Abrir facsímil</v>
      </c>
      <c r="K7315" s="10" t="s">
        <v>24</v>
      </c>
    </row>
    <row r="7316" spans="1:11" ht="54" customHeight="1">
      <c r="A7316" s="9" t="s">
        <v>16388</v>
      </c>
      <c r="B7316" s="9" t="s">
        <v>16389</v>
      </c>
      <c r="C7316" s="9" t="s">
        <v>17</v>
      </c>
      <c r="D7316" s="9" t="s">
        <v>101</v>
      </c>
      <c r="E7316" s="10" t="s">
        <v>91</v>
      </c>
      <c r="F7316" s="9" t="s">
        <v>92</v>
      </c>
      <c r="G7316" s="10" t="s">
        <v>34</v>
      </c>
      <c r="H7316" s="9" t="s">
        <v>22</v>
      </c>
      <c r="I7316" s="9" t="s">
        <v>16396</v>
      </c>
      <c r="J7316" s="10" t="str">
        <f>HYPERLINK("https://www.boe.es/gazeta/dias/1834/02/13/pdfs/GMD-1834-20.pdf#page=1","Abrir facsímil")</f>
        <v>Abrir facsímil</v>
      </c>
      <c r="K7316" s="10" t="s">
        <v>24</v>
      </c>
    </row>
    <row r="7317" spans="1:11" ht="54" customHeight="1">
      <c r="A7317" s="9" t="s">
        <v>16388</v>
      </c>
      <c r="B7317" s="9" t="s">
        <v>16389</v>
      </c>
      <c r="C7317" s="9" t="s">
        <v>17</v>
      </c>
      <c r="D7317" s="9" t="s">
        <v>18</v>
      </c>
      <c r="E7317" s="10" t="s">
        <v>729</v>
      </c>
      <c r="F7317" s="9" t="s">
        <v>730</v>
      </c>
      <c r="G7317" s="10" t="s">
        <v>34</v>
      </c>
      <c r="H7317" s="9" t="s">
        <v>22</v>
      </c>
      <c r="I7317" s="9" t="s">
        <v>16397</v>
      </c>
      <c r="J7317" s="10" t="str">
        <f>HYPERLINK("https://www.boe.es/gazeta/dias/1834/04/13/pdfs/GMD-1834-52.pdf#page=1","Abrir facsímil")</f>
        <v>Abrir facsímil</v>
      </c>
      <c r="K7317" s="10" t="s">
        <v>24</v>
      </c>
    </row>
    <row r="7318" spans="1:11" ht="54" customHeight="1">
      <c r="A7318" s="9" t="s">
        <v>16388</v>
      </c>
      <c r="B7318" s="9" t="s">
        <v>16389</v>
      </c>
      <c r="C7318" s="9" t="s">
        <v>17</v>
      </c>
      <c r="D7318" s="9" t="s">
        <v>18</v>
      </c>
      <c r="E7318" s="10" t="s">
        <v>1510</v>
      </c>
      <c r="F7318" s="9" t="s">
        <v>1511</v>
      </c>
      <c r="G7318" s="10" t="s">
        <v>34</v>
      </c>
      <c r="H7318" s="9" t="s">
        <v>22</v>
      </c>
      <c r="I7318" s="9" t="s">
        <v>16398</v>
      </c>
      <c r="J7318" s="10" t="str">
        <f>HYPERLINK("https://www.boe.es/gazeta/dias/1834/06/13/pdfs/GMD-1834-116.pdf#page=1","Abrir facsímil")</f>
        <v>Abrir facsímil</v>
      </c>
      <c r="K7318" s="10" t="s">
        <v>24</v>
      </c>
    </row>
    <row r="7319" spans="1:11" ht="54" customHeight="1">
      <c r="A7319" s="9" t="s">
        <v>16399</v>
      </c>
      <c r="B7319" s="9" t="s">
        <v>16400</v>
      </c>
      <c r="C7319" s="9" t="s">
        <v>17</v>
      </c>
      <c r="D7319" s="9" t="s">
        <v>18</v>
      </c>
      <c r="E7319" s="10" t="s">
        <v>1981</v>
      </c>
      <c r="F7319" s="9" t="s">
        <v>1982</v>
      </c>
      <c r="G7319" s="10" t="s">
        <v>34</v>
      </c>
      <c r="H7319" s="9" t="s">
        <v>22</v>
      </c>
      <c r="I7319" s="9" t="s">
        <v>16401</v>
      </c>
      <c r="J7319" s="10" t="str">
        <f>HYPERLINK("https://www.boe.es/gazeta/dias/1834/12/13/pdfs/GMD-1834-302.pdf#page=1","Abrir facsímil")</f>
        <v>Abrir facsímil</v>
      </c>
      <c r="K7319" s="10" t="s">
        <v>24</v>
      </c>
    </row>
    <row r="7320" spans="1:11" ht="54" customHeight="1">
      <c r="A7320" s="9" t="s">
        <v>16388</v>
      </c>
      <c r="B7320" s="9" t="s">
        <v>16389</v>
      </c>
      <c r="C7320" s="9" t="s">
        <v>17</v>
      </c>
      <c r="D7320" s="9" t="s">
        <v>18</v>
      </c>
      <c r="E7320" s="10" t="s">
        <v>3282</v>
      </c>
      <c r="F7320" s="9" t="s">
        <v>3283</v>
      </c>
      <c r="G7320" s="10" t="s">
        <v>34</v>
      </c>
      <c r="H7320" s="9" t="s">
        <v>22</v>
      </c>
      <c r="I7320" s="9" t="s">
        <v>16402</v>
      </c>
      <c r="J7320" s="10" t="str">
        <f>HYPERLINK("https://www.boe.es/gazeta/dias/1834/04/15/pdfs/GMD-1834-54.pdf#page=1","Abrir facsímil")</f>
        <v>Abrir facsímil</v>
      </c>
      <c r="K7320" s="10" t="s">
        <v>24</v>
      </c>
    </row>
    <row r="7321" spans="1:11" ht="54" customHeight="1">
      <c r="A7321" s="9" t="s">
        <v>16388</v>
      </c>
      <c r="B7321" s="9" t="s">
        <v>16389</v>
      </c>
      <c r="C7321" s="9" t="s">
        <v>90</v>
      </c>
      <c r="D7321" s="9" t="s">
        <v>18</v>
      </c>
      <c r="E7321" s="10" t="s">
        <v>10172</v>
      </c>
      <c r="F7321" s="9" t="s">
        <v>10173</v>
      </c>
      <c r="G7321" s="10" t="s">
        <v>34</v>
      </c>
      <c r="H7321" s="9" t="s">
        <v>22</v>
      </c>
      <c r="I7321" s="9" t="s">
        <v>16403</v>
      </c>
      <c r="J7321" s="10" t="str">
        <f>HYPERLINK("https://www.boe.es/gazeta/dias/1834/06/15/pdfs/GMD-1834-118.pdf#page=1","Abrir facsímil")</f>
        <v>Abrir facsímil</v>
      </c>
      <c r="K7321" s="10" t="s">
        <v>24</v>
      </c>
    </row>
    <row r="7322" spans="1:11" ht="54" customHeight="1">
      <c r="A7322" s="9" t="s">
        <v>16388</v>
      </c>
      <c r="B7322" s="9" t="s">
        <v>16389</v>
      </c>
      <c r="C7322" s="9" t="s">
        <v>46</v>
      </c>
      <c r="D7322" s="9" t="s">
        <v>101</v>
      </c>
      <c r="E7322" s="10" t="s">
        <v>1394</v>
      </c>
      <c r="F7322" s="9" t="s">
        <v>1395</v>
      </c>
      <c r="G7322" s="10" t="s">
        <v>86</v>
      </c>
      <c r="H7322" s="9" t="s">
        <v>22</v>
      </c>
      <c r="I7322" s="9" t="s">
        <v>16404</v>
      </c>
      <c r="J7322" s="10" t="str">
        <f>HYPERLINK("https://www.boe.es/gazeta/dias/1834/04/16/pdfs/GMD-1834-55.pdf#page=2","Abrir facsímil")</f>
        <v>Abrir facsímil</v>
      </c>
      <c r="K7322" s="10" t="s">
        <v>24</v>
      </c>
    </row>
    <row r="7323" spans="1:11" ht="54" customHeight="1">
      <c r="A7323" s="9" t="s">
        <v>16405</v>
      </c>
      <c r="B7323" s="9" t="s">
        <v>16406</v>
      </c>
      <c r="C7323" s="9" t="s">
        <v>17</v>
      </c>
      <c r="D7323" s="9" t="s">
        <v>18</v>
      </c>
      <c r="E7323" s="10" t="s">
        <v>1125</v>
      </c>
      <c r="F7323" s="9" t="s">
        <v>2490</v>
      </c>
      <c r="G7323" s="10" t="s">
        <v>34</v>
      </c>
      <c r="H7323" s="9" t="s">
        <v>22</v>
      </c>
      <c r="I7323" s="9" t="s">
        <v>16407</v>
      </c>
      <c r="J7323" s="10" t="str">
        <f>HYPERLINK("https://www.boe.es/gazeta/dias/1834/04/17/pdfs/GMD-1834-56.pdf#page=1","Abrir facsímil")</f>
        <v>Abrir facsímil</v>
      </c>
      <c r="K7323" s="10" t="s">
        <v>24</v>
      </c>
    </row>
    <row r="7324" spans="1:11" ht="54" customHeight="1">
      <c r="A7324" s="9" t="s">
        <v>16388</v>
      </c>
      <c r="B7324" s="9" t="s">
        <v>16389</v>
      </c>
      <c r="C7324" s="9" t="s">
        <v>66</v>
      </c>
      <c r="D7324" s="9" t="s">
        <v>18</v>
      </c>
      <c r="E7324" s="10" t="s">
        <v>1850</v>
      </c>
      <c r="F7324" s="9" t="s">
        <v>1851</v>
      </c>
      <c r="G7324" s="10" t="s">
        <v>86</v>
      </c>
      <c r="H7324" s="9" t="s">
        <v>22</v>
      </c>
      <c r="I7324" s="9" t="s">
        <v>16408</v>
      </c>
      <c r="J7324" s="10" t="str">
        <f>HYPERLINK("https://www.boe.es/gazeta/dias/1834/02/18/pdfs/GMD-1834-22.pdf#page=2","Abrir facsímil")</f>
        <v>Abrir facsímil</v>
      </c>
      <c r="K7324" s="10" t="s">
        <v>24</v>
      </c>
    </row>
    <row r="7325" spans="1:11" ht="54" customHeight="1">
      <c r="A7325" s="9" t="s">
        <v>16388</v>
      </c>
      <c r="B7325" s="9" t="s">
        <v>16389</v>
      </c>
      <c r="C7325" s="9" t="s">
        <v>17</v>
      </c>
      <c r="D7325" s="9" t="s">
        <v>18</v>
      </c>
      <c r="E7325" s="10" t="s">
        <v>133</v>
      </c>
      <c r="F7325" s="9" t="s">
        <v>134</v>
      </c>
      <c r="G7325" s="10" t="s">
        <v>86</v>
      </c>
      <c r="H7325" s="9" t="s">
        <v>22</v>
      </c>
      <c r="I7325" s="9" t="s">
        <v>16409</v>
      </c>
      <c r="J7325" s="10" t="str">
        <f>HYPERLINK("https://www.boe.es/gazeta/dias/1834/06/18/pdfs/GMD-1834-121.pdf#page=2","Abrir facsímil")</f>
        <v>Abrir facsímil</v>
      </c>
      <c r="K7325" s="10" t="s">
        <v>24</v>
      </c>
    </row>
    <row r="7326" spans="1:11" ht="54" customHeight="1">
      <c r="A7326" s="9" t="s">
        <v>16405</v>
      </c>
      <c r="B7326" s="9" t="s">
        <v>16406</v>
      </c>
      <c r="C7326" s="9" t="s">
        <v>90</v>
      </c>
      <c r="D7326" s="9" t="s">
        <v>67</v>
      </c>
      <c r="E7326" s="10" t="s">
        <v>563</v>
      </c>
      <c r="F7326" s="9" t="s">
        <v>564</v>
      </c>
      <c r="G7326" s="10" t="s">
        <v>86</v>
      </c>
      <c r="H7326" s="9" t="s">
        <v>22</v>
      </c>
      <c r="I7326" s="9" t="s">
        <v>16410</v>
      </c>
      <c r="J7326" s="10" t="str">
        <f>HYPERLINK("https://www.boe.es/gazeta/dias/1834/04/19/pdfs/GMD-1834-58.pdf#page=2","Abrir facsímil")</f>
        <v>Abrir facsímil</v>
      </c>
      <c r="K7326" s="10" t="s">
        <v>24</v>
      </c>
    </row>
    <row r="7327" spans="1:11" ht="54" customHeight="1">
      <c r="A7327" s="9" t="s">
        <v>16388</v>
      </c>
      <c r="B7327" s="9" t="s">
        <v>16389</v>
      </c>
      <c r="C7327" s="9" t="s">
        <v>90</v>
      </c>
      <c r="D7327" s="9" t="s">
        <v>18</v>
      </c>
      <c r="E7327" s="10" t="s">
        <v>849</v>
      </c>
      <c r="F7327" s="9" t="s">
        <v>850</v>
      </c>
      <c r="G7327" s="10" t="s">
        <v>34</v>
      </c>
      <c r="H7327" s="9" t="s">
        <v>22</v>
      </c>
      <c r="I7327" s="9" t="s">
        <v>16411</v>
      </c>
      <c r="J7327" s="10" t="str">
        <f>HYPERLINK("https://www.boe.es/gazeta/dias/1834/06/21/pdfs/GMD-1834-124.pdf#page=1","Abrir facsímil")</f>
        <v>Abrir facsímil</v>
      </c>
      <c r="K7327" s="10" t="s">
        <v>24</v>
      </c>
    </row>
    <row r="7328" spans="1:11" ht="54" customHeight="1">
      <c r="A7328" s="9" t="s">
        <v>16388</v>
      </c>
      <c r="B7328" s="9" t="s">
        <v>16389</v>
      </c>
      <c r="C7328" s="9" t="s">
        <v>17</v>
      </c>
      <c r="D7328" s="9" t="s">
        <v>101</v>
      </c>
      <c r="E7328" s="10" t="s">
        <v>1918</v>
      </c>
      <c r="F7328" s="9" t="s">
        <v>1919</v>
      </c>
      <c r="G7328" s="10" t="s">
        <v>34</v>
      </c>
      <c r="H7328" s="9" t="s">
        <v>22</v>
      </c>
      <c r="I7328" s="9" t="s">
        <v>16412</v>
      </c>
      <c r="J7328" s="10" t="str">
        <f>HYPERLINK("https://www.boe.es/gazeta/dias/1834/03/22/pdfs/GMD-1834-36.pdf#page=1","Abrir facsímil")</f>
        <v>Abrir facsímil</v>
      </c>
      <c r="K7328" s="10" t="s">
        <v>24</v>
      </c>
    </row>
    <row r="7329" spans="1:11" ht="54" customHeight="1">
      <c r="A7329" s="9" t="s">
        <v>16388</v>
      </c>
      <c r="B7329" s="9" t="s">
        <v>16389</v>
      </c>
      <c r="C7329" s="9" t="s">
        <v>17</v>
      </c>
      <c r="D7329" s="9" t="s">
        <v>55</v>
      </c>
      <c r="E7329" s="10" t="s">
        <v>32</v>
      </c>
      <c r="F7329" s="9" t="s">
        <v>33</v>
      </c>
      <c r="G7329" s="10" t="s">
        <v>34</v>
      </c>
      <c r="H7329" s="9" t="s">
        <v>22</v>
      </c>
      <c r="I7329" s="9" t="s">
        <v>16413</v>
      </c>
      <c r="J7329" s="10" t="str">
        <f>HYPERLINK("https://www.boe.es/gazeta/dias/1834/04/23/pdfs/GMD-1834-62.pdf#page=1","Abrir facsímil")</f>
        <v>Abrir facsímil</v>
      </c>
      <c r="K7329" s="10" t="s">
        <v>24</v>
      </c>
    </row>
    <row r="7330" spans="1:11" ht="54" customHeight="1">
      <c r="A7330" s="9" t="s">
        <v>16388</v>
      </c>
      <c r="B7330" s="9" t="s">
        <v>16389</v>
      </c>
      <c r="C7330" s="9" t="s">
        <v>46</v>
      </c>
      <c r="D7330" s="9" t="s">
        <v>55</v>
      </c>
      <c r="E7330" s="10" t="s">
        <v>247</v>
      </c>
      <c r="F7330" s="9" t="s">
        <v>2805</v>
      </c>
      <c r="G7330" s="10" t="s">
        <v>34</v>
      </c>
      <c r="H7330" s="9" t="s">
        <v>22</v>
      </c>
      <c r="I7330" s="9" t="s">
        <v>16414</v>
      </c>
      <c r="J7330" s="10" t="str">
        <f>HYPERLINK("https://www.boe.es/gazeta/dias/1834/08/23/pdfs/GMD-1834-189.pdf#page=1","Abrir facsímil")</f>
        <v>Abrir facsímil</v>
      </c>
      <c r="K7330" s="10" t="s">
        <v>24</v>
      </c>
    </row>
    <row r="7331" spans="1:11" ht="54" customHeight="1">
      <c r="A7331" s="9" t="s">
        <v>16388</v>
      </c>
      <c r="B7331" s="9" t="s">
        <v>16389</v>
      </c>
      <c r="C7331" s="9" t="s">
        <v>17</v>
      </c>
      <c r="D7331" s="9" t="s">
        <v>18</v>
      </c>
      <c r="E7331" s="10" t="s">
        <v>1575</v>
      </c>
      <c r="F7331" s="9" t="s">
        <v>1576</v>
      </c>
      <c r="G7331" s="10" t="s">
        <v>34</v>
      </c>
      <c r="H7331" s="9" t="s">
        <v>22</v>
      </c>
      <c r="I7331" s="9" t="s">
        <v>16415</v>
      </c>
      <c r="J7331" s="10" t="str">
        <f>HYPERLINK("https://www.boe.es/gazeta/dias/1834/11/24/pdfs/GMD-1834-283.pdf#page=1","Abrir facsímil")</f>
        <v>Abrir facsímil</v>
      </c>
      <c r="K7331" s="10" t="s">
        <v>24</v>
      </c>
    </row>
    <row r="7332" spans="1:11" ht="54" customHeight="1">
      <c r="A7332" s="9" t="s">
        <v>16388</v>
      </c>
      <c r="B7332" s="9" t="s">
        <v>16389</v>
      </c>
      <c r="C7332" s="9" t="s">
        <v>66</v>
      </c>
      <c r="D7332" s="9" t="s">
        <v>67</v>
      </c>
      <c r="E7332" s="10" t="s">
        <v>724</v>
      </c>
      <c r="F7332" s="9" t="s">
        <v>725</v>
      </c>
      <c r="G7332" s="10" t="s">
        <v>34</v>
      </c>
      <c r="H7332" s="9" t="s">
        <v>22</v>
      </c>
      <c r="I7332" s="9" t="s">
        <v>16416</v>
      </c>
      <c r="J7332" s="10" t="str">
        <f>HYPERLINK("https://www.boe.es/gazeta/dias/1834/04/25/pdfs/GMD-1834-64.pdf#page=1","Abrir facsímil")</f>
        <v>Abrir facsímil</v>
      </c>
      <c r="K7332" s="10" t="s">
        <v>24</v>
      </c>
    </row>
    <row r="7333" spans="1:11" ht="54" customHeight="1">
      <c r="A7333" s="9" t="s">
        <v>16388</v>
      </c>
      <c r="B7333" s="9" t="s">
        <v>16389</v>
      </c>
      <c r="C7333" s="9" t="s">
        <v>46</v>
      </c>
      <c r="D7333" s="9" t="s">
        <v>101</v>
      </c>
      <c r="E7333" s="10" t="s">
        <v>658</v>
      </c>
      <c r="F7333" s="9" t="s">
        <v>659</v>
      </c>
      <c r="G7333" s="10" t="s">
        <v>34</v>
      </c>
      <c r="H7333" s="9" t="s">
        <v>22</v>
      </c>
      <c r="I7333" s="9" t="s">
        <v>16417</v>
      </c>
      <c r="J7333" s="10" t="str">
        <f>HYPERLINK("https://www.boe.es/gazeta/dias/1834/05/26/pdfs/GMD-1834-95.pdf#page=1","Abrir facsímil")</f>
        <v>Abrir facsímil</v>
      </c>
      <c r="K7333" s="10" t="s">
        <v>24</v>
      </c>
    </row>
    <row r="7334" spans="1:11" ht="54" customHeight="1">
      <c r="A7334" s="9" t="s">
        <v>16388</v>
      </c>
      <c r="B7334" s="9" t="s">
        <v>16389</v>
      </c>
      <c r="C7334" s="9" t="s">
        <v>66</v>
      </c>
      <c r="D7334" s="9" t="s">
        <v>18</v>
      </c>
      <c r="E7334" s="10" t="s">
        <v>408</v>
      </c>
      <c r="F7334" s="9" t="s">
        <v>409</v>
      </c>
      <c r="G7334" s="10" t="s">
        <v>34</v>
      </c>
      <c r="H7334" s="9" t="s">
        <v>22</v>
      </c>
      <c r="I7334" s="9" t="s">
        <v>16418</v>
      </c>
      <c r="J7334" s="10" t="str">
        <f>HYPERLINK("https://www.boe.es/gazeta/dias/1834/04/28/pdfs/GMD-1834-67.pdf#page=1","Abrir facsímil")</f>
        <v>Abrir facsímil</v>
      </c>
      <c r="K7334" s="10" t="s">
        <v>24</v>
      </c>
    </row>
    <row r="7335" spans="1:11" ht="54" customHeight="1">
      <c r="A7335" s="9" t="s">
        <v>16388</v>
      </c>
      <c r="B7335" s="9" t="s">
        <v>16389</v>
      </c>
      <c r="C7335" s="9" t="s">
        <v>17</v>
      </c>
      <c r="D7335" s="9" t="s">
        <v>18</v>
      </c>
      <c r="E7335" s="10" t="s">
        <v>468</v>
      </c>
      <c r="F7335" s="9" t="s">
        <v>11413</v>
      </c>
      <c r="G7335" s="10" t="s">
        <v>34</v>
      </c>
      <c r="H7335" s="9" t="s">
        <v>22</v>
      </c>
      <c r="I7335" s="9" t="s">
        <v>16419</v>
      </c>
      <c r="J7335" s="10" t="str">
        <f>HYPERLINK("https://www.boe.es/gazeta/dias/1834/12/28/pdfs/GMD-1834-318.pdf#page=1","Abrir facsímil")</f>
        <v>Abrir facsímil</v>
      </c>
      <c r="K7335" s="10" t="s">
        <v>24</v>
      </c>
    </row>
    <row r="7336" spans="1:11" ht="54" customHeight="1">
      <c r="A7336" s="9" t="s">
        <v>16388</v>
      </c>
      <c r="B7336" s="9" t="s">
        <v>16389</v>
      </c>
      <c r="C7336" s="9" t="s">
        <v>17</v>
      </c>
      <c r="D7336" s="9" t="s">
        <v>18</v>
      </c>
      <c r="E7336" s="10" t="s">
        <v>777</v>
      </c>
      <c r="F7336" s="9" t="s">
        <v>778</v>
      </c>
      <c r="G7336" s="10" t="s">
        <v>34</v>
      </c>
      <c r="H7336" s="9" t="s">
        <v>22</v>
      </c>
      <c r="I7336" s="9" t="s">
        <v>16420</v>
      </c>
      <c r="J7336" s="10" t="str">
        <f>HYPERLINK("https://www.boe.es/gazeta/dias/1834/10/29/pdfs/GMD-1834-257.pdf#page=1","Abrir facsímil")</f>
        <v>Abrir facsímil</v>
      </c>
      <c r="K7336" s="10" t="s">
        <v>24</v>
      </c>
    </row>
    <row r="7337" spans="1:11" ht="54" customHeight="1">
      <c r="A7337" s="9" t="s">
        <v>16388</v>
      </c>
      <c r="B7337" s="9" t="s">
        <v>16389</v>
      </c>
      <c r="C7337" s="9" t="s">
        <v>46</v>
      </c>
      <c r="D7337" s="9" t="s">
        <v>101</v>
      </c>
      <c r="E7337" s="10" t="s">
        <v>283</v>
      </c>
      <c r="F7337" s="9" t="s">
        <v>2969</v>
      </c>
      <c r="G7337" s="10" t="s">
        <v>34</v>
      </c>
      <c r="H7337" s="9" t="s">
        <v>22</v>
      </c>
      <c r="I7337" s="9" t="s">
        <v>16421</v>
      </c>
      <c r="J7337" s="10" t="str">
        <f>HYPERLINK("https://www.boe.es/gazeta/dias/1834/11/29/pdfs/GMD-1834-288.pdf#page=1","Abrir facsímil")</f>
        <v>Abrir facsímil</v>
      </c>
      <c r="K7337" s="10" t="s">
        <v>24</v>
      </c>
    </row>
    <row r="7338" spans="1:11" ht="54" customHeight="1">
      <c r="A7338" s="9" t="s">
        <v>16388</v>
      </c>
      <c r="B7338" s="9" t="s">
        <v>16389</v>
      </c>
      <c r="C7338" s="9" t="s">
        <v>17</v>
      </c>
      <c r="D7338" s="9" t="s">
        <v>18</v>
      </c>
      <c r="E7338" s="10" t="s">
        <v>1141</v>
      </c>
      <c r="F7338" s="9" t="s">
        <v>1142</v>
      </c>
      <c r="G7338" s="10" t="s">
        <v>34</v>
      </c>
      <c r="H7338" s="9" t="s">
        <v>22</v>
      </c>
      <c r="I7338" s="9" t="s">
        <v>16422</v>
      </c>
      <c r="J7338" s="10" t="str">
        <f>HYPERLINK("https://www.boe.es/gazeta/dias/1834/04/30/pdfs/GMD-1834-69.pdf#page=1","Abrir facsímil")</f>
        <v>Abrir facsímil</v>
      </c>
      <c r="K7338" s="10" t="s">
        <v>24</v>
      </c>
    </row>
    <row r="7339" spans="1:11" ht="54" customHeight="1">
      <c r="A7339" s="9" t="s">
        <v>16388</v>
      </c>
      <c r="B7339" s="9" t="s">
        <v>16389</v>
      </c>
      <c r="C7339" s="9" t="s">
        <v>66</v>
      </c>
      <c r="D7339" s="9" t="s">
        <v>101</v>
      </c>
      <c r="E7339" s="10" t="s">
        <v>552</v>
      </c>
      <c r="F7339" s="9" t="s">
        <v>553</v>
      </c>
      <c r="G7339" s="10" t="s">
        <v>34</v>
      </c>
      <c r="H7339" s="9" t="s">
        <v>22</v>
      </c>
      <c r="I7339" s="9" t="s">
        <v>16423</v>
      </c>
      <c r="J7339" s="10" t="str">
        <f>HYPERLINK("https://www.boe.es/gazeta/dias/1834/07/30/pdfs/GMD-1834-163.pdf#page=1","Abrir facsímil")</f>
        <v>Abrir facsímil</v>
      </c>
      <c r="K7339" s="10" t="s">
        <v>24</v>
      </c>
    </row>
    <row r="7340" spans="1:11" ht="54" customHeight="1">
      <c r="A7340" s="9" t="s">
        <v>16424</v>
      </c>
      <c r="B7340" s="9" t="s">
        <v>16425</v>
      </c>
      <c r="C7340" s="9" t="s">
        <v>17</v>
      </c>
      <c r="D7340" s="9" t="s">
        <v>18</v>
      </c>
      <c r="E7340" s="10" t="s">
        <v>976</v>
      </c>
      <c r="F7340" s="9" t="s">
        <v>1061</v>
      </c>
      <c r="G7340" s="10" t="s">
        <v>34</v>
      </c>
      <c r="H7340" s="9" t="s">
        <v>22</v>
      </c>
      <c r="I7340" s="9" t="s">
        <v>16426</v>
      </c>
      <c r="J7340" s="10" t="str">
        <f>HYPERLINK("https://www.boe.es/gazeta/dias/1834/04/02/pdfs/GMD-C-1834-41.pdf#page=1","Abrir facsímil")</f>
        <v>Abrir facsímil</v>
      </c>
      <c r="K7340" s="10" t="s">
        <v>24</v>
      </c>
    </row>
    <row r="7341" spans="1:11" ht="54" customHeight="1">
      <c r="A7341" s="9" t="s">
        <v>16427</v>
      </c>
      <c r="B7341" s="9" t="s">
        <v>16428</v>
      </c>
      <c r="C7341" s="9" t="s">
        <v>66</v>
      </c>
      <c r="D7341" s="9" t="s">
        <v>101</v>
      </c>
      <c r="E7341" s="10" t="s">
        <v>3499</v>
      </c>
      <c r="F7341" s="9" t="s">
        <v>3500</v>
      </c>
      <c r="G7341" s="10" t="s">
        <v>34</v>
      </c>
      <c r="H7341" s="9" t="s">
        <v>22</v>
      </c>
      <c r="I7341" s="9" t="s">
        <v>16429</v>
      </c>
      <c r="J7341" s="10" t="str">
        <f>HYPERLINK("https://www.boe.es/gazeta/dias/1834/01/28/pdfs/GMD-1834-13.pdf#page=1","Abrir facsímil")</f>
        <v>Abrir facsímil</v>
      </c>
      <c r="K7341" s="10" t="s">
        <v>24</v>
      </c>
    </row>
    <row r="7342" spans="1:11" ht="54" customHeight="1">
      <c r="A7342" s="9" t="s">
        <v>16430</v>
      </c>
      <c r="B7342" s="9" t="s">
        <v>16431</v>
      </c>
      <c r="C7342" s="9" t="s">
        <v>66</v>
      </c>
      <c r="D7342" s="9" t="s">
        <v>67</v>
      </c>
      <c r="E7342" s="10" t="s">
        <v>32</v>
      </c>
      <c r="F7342" s="9" t="s">
        <v>33</v>
      </c>
      <c r="G7342" s="10" t="s">
        <v>75</v>
      </c>
      <c r="H7342" s="9" t="s">
        <v>22</v>
      </c>
      <c r="I7342" s="9" t="s">
        <v>16432</v>
      </c>
      <c r="J7342" s="10" t="str">
        <f>HYPERLINK("https://www.boe.es/gazeta/dias/1834/04/23/pdfs/GMD-1834-62.pdf#page=4","Abrir facsímil")</f>
        <v>Abrir facsímil</v>
      </c>
      <c r="K7342" s="10" t="s">
        <v>24</v>
      </c>
    </row>
    <row r="7343" spans="1:11" ht="54" customHeight="1">
      <c r="A7343" s="9" t="s">
        <v>16433</v>
      </c>
      <c r="B7343" s="9" t="s">
        <v>16433</v>
      </c>
      <c r="C7343" s="9" t="s">
        <v>90</v>
      </c>
      <c r="D7343" s="9" t="s">
        <v>18</v>
      </c>
      <c r="E7343" s="10" t="s">
        <v>73</v>
      </c>
      <c r="F7343" s="9" t="s">
        <v>1416</v>
      </c>
      <c r="G7343" s="10" t="s">
        <v>86</v>
      </c>
      <c r="H7343" s="9" t="s">
        <v>22</v>
      </c>
      <c r="I7343" s="9" t="s">
        <v>16434</v>
      </c>
      <c r="J7343" s="10" t="str">
        <f>HYPERLINK("https://www.boe.es/gazeta/dias/1834/11/04/pdfs/GMD-C-1834-263.pdf#page=2","Abrir facsímil")</f>
        <v>Abrir facsímil</v>
      </c>
      <c r="K7343" s="10" t="s">
        <v>24</v>
      </c>
    </row>
    <row r="7344" spans="1:11" ht="54" customHeight="1">
      <c r="A7344" s="9" t="s">
        <v>16435</v>
      </c>
      <c r="B7344" s="9" t="s">
        <v>16436</v>
      </c>
      <c r="C7344" s="9" t="s">
        <v>17</v>
      </c>
      <c r="D7344" s="9" t="s">
        <v>18</v>
      </c>
      <c r="E7344" s="10" t="s">
        <v>334</v>
      </c>
      <c r="F7344" s="9" t="s">
        <v>335</v>
      </c>
      <c r="G7344" s="10" t="s">
        <v>75</v>
      </c>
      <c r="H7344" s="9" t="s">
        <v>35</v>
      </c>
      <c r="I7344" s="9" t="s">
        <v>16437</v>
      </c>
      <c r="J7344" s="10" t="str">
        <f>HYPERLINK("https://www.boe.es/gazeta/dias/1834/09/11/pdfs/GMD-C-1834-209.pdf#page=4","Abrir facsímil")</f>
        <v>Abrir facsímil</v>
      </c>
      <c r="K7344" s="10" t="s">
        <v>37</v>
      </c>
    </row>
    <row r="7345" spans="1:11" ht="54" customHeight="1">
      <c r="A7345" s="9" t="s">
        <v>16438</v>
      </c>
      <c r="B7345" s="9" t="s">
        <v>16439</v>
      </c>
      <c r="C7345" s="9" t="s">
        <v>17</v>
      </c>
      <c r="D7345" s="9" t="s">
        <v>18</v>
      </c>
      <c r="E7345" s="10" t="s">
        <v>334</v>
      </c>
      <c r="F7345" s="9" t="s">
        <v>335</v>
      </c>
      <c r="G7345" s="10" t="s">
        <v>75</v>
      </c>
      <c r="H7345" s="9" t="s">
        <v>22</v>
      </c>
      <c r="I7345" s="9" t="s">
        <v>16440</v>
      </c>
      <c r="J7345" s="10" t="str">
        <f>HYPERLINK("https://www.boe.es/gazeta/dias/1834/09/11/pdfs/GMD-C-1834-209.pdf#page=4","Abrir facsímil")</f>
        <v>Abrir facsímil</v>
      </c>
      <c r="K7345" s="10" t="s">
        <v>24</v>
      </c>
    </row>
    <row r="7346" spans="1:11" ht="54" customHeight="1">
      <c r="A7346" s="9" t="s">
        <v>16441</v>
      </c>
      <c r="B7346" s="9" t="s">
        <v>16441</v>
      </c>
      <c r="C7346" s="9" t="s">
        <v>17</v>
      </c>
      <c r="D7346" s="9" t="s">
        <v>18</v>
      </c>
      <c r="E7346" s="10" t="s">
        <v>47</v>
      </c>
      <c r="F7346" s="9" t="s">
        <v>48</v>
      </c>
      <c r="G7346" s="10" t="s">
        <v>75</v>
      </c>
      <c r="H7346" s="9" t="s">
        <v>22</v>
      </c>
      <c r="I7346" s="9" t="s">
        <v>16442</v>
      </c>
      <c r="J7346" s="10" t="str">
        <f>HYPERLINK("https://www.boe.es/gazeta/dias/1834/09/05/pdfs/GMD-C-1834-203.pdf#page=4","Abrir facsímil")</f>
        <v>Abrir facsímil</v>
      </c>
      <c r="K7346" s="10" t="s">
        <v>24</v>
      </c>
    </row>
    <row r="7347" spans="1:11" ht="54" customHeight="1">
      <c r="A7347" s="9" t="s">
        <v>16443</v>
      </c>
      <c r="B7347" s="9" t="s">
        <v>16444</v>
      </c>
      <c r="C7347" s="9" t="s">
        <v>17</v>
      </c>
      <c r="D7347" s="9" t="s">
        <v>18</v>
      </c>
      <c r="E7347" s="10" t="s">
        <v>403</v>
      </c>
      <c r="F7347" s="9" t="s">
        <v>404</v>
      </c>
      <c r="G7347" s="10" t="s">
        <v>86</v>
      </c>
      <c r="H7347" s="9" t="s">
        <v>22</v>
      </c>
      <c r="I7347" s="9" t="s">
        <v>16445</v>
      </c>
      <c r="J7347" s="10" t="str">
        <f>HYPERLINK("https://www.boe.es/gazeta/dias/1834/09/25/pdfs/GMD-C-1834-223.pdf#page=2","Abrir facsímil")</f>
        <v>Abrir facsímil</v>
      </c>
      <c r="K7347" s="10" t="s">
        <v>24</v>
      </c>
    </row>
    <row r="7348" spans="1:11" ht="54" customHeight="1">
      <c r="A7348" s="9" t="s">
        <v>16446</v>
      </c>
      <c r="B7348" s="9" t="s">
        <v>16447</v>
      </c>
      <c r="C7348" s="9" t="s">
        <v>857</v>
      </c>
      <c r="D7348" s="9" t="s">
        <v>18</v>
      </c>
      <c r="E7348" s="10" t="s">
        <v>2107</v>
      </c>
      <c r="F7348" s="9" t="s">
        <v>2108</v>
      </c>
      <c r="G7348" s="10" t="s">
        <v>75</v>
      </c>
      <c r="H7348" s="9" t="s">
        <v>22</v>
      </c>
      <c r="I7348" s="9" t="s">
        <v>16448</v>
      </c>
      <c r="J7348" s="10" t="str">
        <f>HYPERLINK("https://www.boe.es/gazeta/dias/1834/08/24/pdfs/GMD-1834-190.pdf#page=4","Abrir facsímil")</f>
        <v>Abrir facsímil</v>
      </c>
      <c r="K7348" s="10" t="s">
        <v>24</v>
      </c>
    </row>
    <row r="7349" spans="1:11" ht="54" customHeight="1">
      <c r="A7349" s="9" t="s">
        <v>16449</v>
      </c>
      <c r="B7349" s="9" t="s">
        <v>16450</v>
      </c>
      <c r="C7349" s="9" t="s">
        <v>17</v>
      </c>
      <c r="D7349" s="9" t="s">
        <v>18</v>
      </c>
      <c r="E7349" s="10" t="s">
        <v>719</v>
      </c>
      <c r="F7349" s="9" t="s">
        <v>720</v>
      </c>
      <c r="G7349" s="10" t="s">
        <v>21</v>
      </c>
      <c r="H7349" s="9" t="s">
        <v>22</v>
      </c>
      <c r="I7349" s="9" t="s">
        <v>16451</v>
      </c>
      <c r="J7349" s="10" t="str">
        <f>HYPERLINK("https://www.boe.es/gazeta/dias/1834/04/29/pdfs/GMD-1834-68.pdf#page=3","Abrir facsímil")</f>
        <v>Abrir facsímil</v>
      </c>
      <c r="K7349" s="10" t="s">
        <v>24</v>
      </c>
    </row>
    <row r="7350" spans="1:11" ht="54" customHeight="1">
      <c r="A7350" s="9" t="s">
        <v>16452</v>
      </c>
      <c r="B7350" s="9" t="s">
        <v>16452</v>
      </c>
      <c r="C7350" s="9" t="s">
        <v>17</v>
      </c>
      <c r="D7350" s="9" t="s">
        <v>18</v>
      </c>
      <c r="E7350" s="10" t="s">
        <v>1333</v>
      </c>
      <c r="F7350" s="9" t="s">
        <v>1334</v>
      </c>
      <c r="G7350" s="10" t="s">
        <v>28</v>
      </c>
      <c r="H7350" s="9" t="s">
        <v>22</v>
      </c>
      <c r="I7350" s="9" t="s">
        <v>16453</v>
      </c>
      <c r="J7350" s="10" t="str">
        <f>HYPERLINK("https://www.boe.es/gazeta/dias/1834/04/01/pdfs/GMD-1834-40.pdf#page=5","Abrir facsímil")</f>
        <v>Abrir facsímil</v>
      </c>
      <c r="K7350" s="10" t="s">
        <v>24</v>
      </c>
    </row>
    <row r="7351" spans="1:11" ht="54" customHeight="1">
      <c r="A7351" s="9" t="s">
        <v>16454</v>
      </c>
      <c r="B7351" s="9" t="s">
        <v>16454</v>
      </c>
      <c r="C7351" s="9" t="s">
        <v>17</v>
      </c>
      <c r="D7351" s="9" t="s">
        <v>18</v>
      </c>
      <c r="E7351" s="10" t="s">
        <v>2379</v>
      </c>
      <c r="F7351" s="9" t="s">
        <v>2380</v>
      </c>
      <c r="G7351" s="10" t="s">
        <v>86</v>
      </c>
      <c r="H7351" s="9" t="s">
        <v>22</v>
      </c>
      <c r="I7351" s="9" t="s">
        <v>16455</v>
      </c>
      <c r="J7351" s="10" t="str">
        <f>HYPERLINK("https://www.boe.es/gazeta/dias/1834/04/03/pdfs/GMD-1834-42.pdf#page=2","Abrir facsímil")</f>
        <v>Abrir facsímil</v>
      </c>
      <c r="K7351" s="10" t="s">
        <v>24</v>
      </c>
    </row>
    <row r="7352" spans="1:11" ht="54" customHeight="1">
      <c r="A7352" s="9" t="s">
        <v>16454</v>
      </c>
      <c r="B7352" s="9" t="s">
        <v>16454</v>
      </c>
      <c r="C7352" s="9" t="s">
        <v>66</v>
      </c>
      <c r="D7352" s="9" t="s">
        <v>101</v>
      </c>
      <c r="E7352" s="10" t="s">
        <v>2302</v>
      </c>
      <c r="F7352" s="9" t="s">
        <v>2303</v>
      </c>
      <c r="G7352" s="10" t="s">
        <v>86</v>
      </c>
      <c r="H7352" s="9" t="s">
        <v>22</v>
      </c>
      <c r="I7352" s="9" t="s">
        <v>16456</v>
      </c>
      <c r="J7352" s="10" t="str">
        <f>HYPERLINK("https://www.boe.es/gazeta/dias/1834/01/25/pdfs/GMD-1834-12.pdf#page=2","Abrir facsímil")</f>
        <v>Abrir facsímil</v>
      </c>
      <c r="K7352" s="10" t="s">
        <v>24</v>
      </c>
    </row>
    <row r="7353" spans="1:11" ht="54" customHeight="1">
      <c r="A7353" s="9" t="s">
        <v>16457</v>
      </c>
      <c r="B7353" s="9" t="s">
        <v>16457</v>
      </c>
      <c r="C7353" s="9" t="s">
        <v>17</v>
      </c>
      <c r="D7353" s="9" t="s">
        <v>18</v>
      </c>
      <c r="E7353" s="10" t="s">
        <v>1922</v>
      </c>
      <c r="F7353" s="9" t="s">
        <v>1923</v>
      </c>
      <c r="G7353" s="10" t="s">
        <v>21</v>
      </c>
      <c r="H7353" s="9" t="s">
        <v>22</v>
      </c>
      <c r="I7353" s="9" t="s">
        <v>16458</v>
      </c>
      <c r="J7353" s="10" t="str">
        <f>HYPERLINK("https://www.boe.es/gazeta/dias/1834/02/25/pdfs/GMD-1834-25.pdf#page=3","Abrir facsímil")</f>
        <v>Abrir facsímil</v>
      </c>
      <c r="K7353" s="10" t="s">
        <v>24</v>
      </c>
    </row>
    <row r="7354" spans="1:11" ht="54" customHeight="1">
      <c r="A7354" s="9" t="s">
        <v>16459</v>
      </c>
      <c r="B7354" s="9" t="s">
        <v>16459</v>
      </c>
      <c r="C7354" s="9" t="s">
        <v>46</v>
      </c>
      <c r="D7354" s="9" t="s">
        <v>101</v>
      </c>
      <c r="E7354" s="10" t="s">
        <v>317</v>
      </c>
      <c r="F7354" s="9" t="s">
        <v>318</v>
      </c>
      <c r="G7354" s="10" t="s">
        <v>86</v>
      </c>
      <c r="H7354" s="9" t="s">
        <v>22</v>
      </c>
      <c r="I7354" s="9" t="s">
        <v>16460</v>
      </c>
      <c r="J7354" s="10" t="str">
        <f>HYPERLINK("https://www.boe.es/gazeta/dias/1834/03/06/pdfs/GMD-1834-29.pdf#page=2","Abrir facsímil")</f>
        <v>Abrir facsímil</v>
      </c>
      <c r="K7354" s="10" t="s">
        <v>24</v>
      </c>
    </row>
    <row r="7355" spans="1:11" ht="54" customHeight="1">
      <c r="A7355" s="9" t="s">
        <v>16461</v>
      </c>
      <c r="B7355" s="9" t="s">
        <v>16462</v>
      </c>
      <c r="C7355" s="9" t="s">
        <v>46</v>
      </c>
      <c r="D7355" s="9" t="s">
        <v>55</v>
      </c>
      <c r="E7355" s="10" t="s">
        <v>2748</v>
      </c>
      <c r="F7355" s="9" t="s">
        <v>2749</v>
      </c>
      <c r="G7355" s="10" t="s">
        <v>86</v>
      </c>
      <c r="H7355" s="9" t="s">
        <v>22</v>
      </c>
      <c r="I7355" s="9" t="s">
        <v>16463</v>
      </c>
      <c r="J7355" s="10" t="str">
        <f>HYPERLINK("https://www.boe.es/gazeta/dias/1834/01/09/pdfs/GMD-1834-5.pdf#page=2","Abrir facsímil")</f>
        <v>Abrir facsímil</v>
      </c>
      <c r="K7355" s="10" t="s">
        <v>24</v>
      </c>
    </row>
    <row r="7356" spans="1:11" ht="54" customHeight="1">
      <c r="A7356" s="9" t="s">
        <v>16464</v>
      </c>
      <c r="B7356" s="9" t="s">
        <v>16465</v>
      </c>
      <c r="C7356" s="9" t="s">
        <v>17</v>
      </c>
      <c r="D7356" s="9" t="s">
        <v>18</v>
      </c>
      <c r="E7356" s="10" t="s">
        <v>860</v>
      </c>
      <c r="F7356" s="9" t="s">
        <v>861</v>
      </c>
      <c r="G7356" s="10" t="s">
        <v>560</v>
      </c>
      <c r="H7356" s="9" t="s">
        <v>22</v>
      </c>
      <c r="I7356" s="9" t="s">
        <v>16466</v>
      </c>
      <c r="J7356" s="10" t="str">
        <f>HYPERLINK("https://www.boe.es/gazeta/dias/1834/02/08/pdfs/GMD-1834-18.pdf#page=7","Abrir facsímil")</f>
        <v>Abrir facsímil</v>
      </c>
      <c r="K7356" s="10" t="s">
        <v>24</v>
      </c>
    </row>
    <row r="7357" spans="1:11" ht="54" customHeight="1">
      <c r="A7357" s="9" t="s">
        <v>16467</v>
      </c>
      <c r="B7357" s="9" t="s">
        <v>16468</v>
      </c>
      <c r="C7357" s="9" t="s">
        <v>17</v>
      </c>
      <c r="D7357" s="9" t="s">
        <v>18</v>
      </c>
      <c r="E7357" s="10" t="s">
        <v>860</v>
      </c>
      <c r="F7357" s="9" t="s">
        <v>861</v>
      </c>
      <c r="G7357" s="10" t="s">
        <v>560</v>
      </c>
      <c r="H7357" s="9" t="s">
        <v>22</v>
      </c>
      <c r="I7357" s="9" t="s">
        <v>16469</v>
      </c>
      <c r="J7357" s="10" t="str">
        <f>HYPERLINK("https://www.boe.es/gazeta/dias/1834/02/08/pdfs/GMD-1834-18.pdf#page=7","Abrir facsímil")</f>
        <v>Abrir facsímil</v>
      </c>
      <c r="K7357" s="10" t="s">
        <v>24</v>
      </c>
    </row>
    <row r="7358" spans="1:11" ht="54" customHeight="1">
      <c r="A7358" s="9" t="s">
        <v>16470</v>
      </c>
      <c r="B7358" s="9" t="s">
        <v>16471</v>
      </c>
      <c r="C7358" s="9" t="s">
        <v>17</v>
      </c>
      <c r="D7358" s="9" t="s">
        <v>18</v>
      </c>
      <c r="E7358" s="10" t="s">
        <v>803</v>
      </c>
      <c r="F7358" s="9" t="s">
        <v>804</v>
      </c>
      <c r="G7358" s="10" t="s">
        <v>75</v>
      </c>
      <c r="H7358" s="9" t="s">
        <v>22</v>
      </c>
      <c r="I7358" s="9" t="s">
        <v>16472</v>
      </c>
      <c r="J7358" s="10" t="str">
        <f>HYPERLINK("https://www.boe.es/gazeta/dias/1834/03/29/pdfs/GMD-1834-39.pdf#page=4","Abrir facsímil")</f>
        <v>Abrir facsímil</v>
      </c>
      <c r="K7358" s="10" t="s">
        <v>24</v>
      </c>
    </row>
    <row r="7359" spans="1:11" ht="54" customHeight="1">
      <c r="A7359" s="9" t="s">
        <v>16473</v>
      </c>
      <c r="B7359" s="9" t="s">
        <v>16474</v>
      </c>
      <c r="C7359" s="9" t="s">
        <v>17</v>
      </c>
      <c r="D7359" s="9" t="s">
        <v>18</v>
      </c>
      <c r="E7359" s="10" t="s">
        <v>2596</v>
      </c>
      <c r="F7359" s="9" t="s">
        <v>2597</v>
      </c>
      <c r="G7359" s="10" t="s">
        <v>86</v>
      </c>
      <c r="H7359" s="9" t="s">
        <v>22</v>
      </c>
      <c r="I7359" s="9" t="s">
        <v>16475</v>
      </c>
      <c r="J7359" s="10" t="str">
        <f>HYPERLINK("https://www.boe.es/gazeta/dias/1834/10/22/pdfs/GMD-1834-250.pdf#page=2","Abrir facsímil")</f>
        <v>Abrir facsímil</v>
      </c>
      <c r="K7359" s="10" t="s">
        <v>24</v>
      </c>
    </row>
    <row r="7360" spans="1:11" ht="54" customHeight="1">
      <c r="A7360" s="9" t="s">
        <v>16476</v>
      </c>
      <c r="B7360" s="9" t="s">
        <v>16477</v>
      </c>
      <c r="C7360" s="9" t="s">
        <v>66</v>
      </c>
      <c r="D7360" s="9" t="s">
        <v>101</v>
      </c>
      <c r="E7360" s="10" t="s">
        <v>758</v>
      </c>
      <c r="F7360" s="9" t="s">
        <v>759</v>
      </c>
      <c r="G7360" s="10" t="s">
        <v>34</v>
      </c>
      <c r="H7360" s="9" t="s">
        <v>35</v>
      </c>
      <c r="I7360" s="9" t="s">
        <v>16478</v>
      </c>
      <c r="J7360" s="10" t="str">
        <f>HYPERLINK("https://www.boe.es/gazeta/dias/1834/01/04/pdfs/GMD-1834-3.pdf#page=1","Abrir facsímil")</f>
        <v>Abrir facsímil</v>
      </c>
      <c r="K7360" s="10" t="s">
        <v>37</v>
      </c>
    </row>
    <row r="7361" spans="1:11" ht="54" customHeight="1">
      <c r="A7361" s="9" t="s">
        <v>16479</v>
      </c>
      <c r="B7361" s="9" t="s">
        <v>16480</v>
      </c>
      <c r="C7361" s="9" t="s">
        <v>66</v>
      </c>
      <c r="D7361" s="9" t="s">
        <v>67</v>
      </c>
      <c r="E7361" s="10" t="s">
        <v>2241</v>
      </c>
      <c r="F7361" s="9" t="s">
        <v>2242</v>
      </c>
      <c r="G7361" s="10" t="s">
        <v>21</v>
      </c>
      <c r="H7361" s="9" t="s">
        <v>22</v>
      </c>
      <c r="I7361" s="9" t="s">
        <v>16481</v>
      </c>
      <c r="J7361" s="10" t="str">
        <f>HYPERLINK("https://www.boe.es/gazeta/dias/1834/03/11/pdfs/GMD-1834-31.pdf#page=3","Abrir facsímil")</f>
        <v>Abrir facsímil</v>
      </c>
      <c r="K7361" s="10" t="s">
        <v>24</v>
      </c>
    </row>
    <row r="7362" spans="1:11" ht="54" customHeight="1">
      <c r="A7362" s="9" t="s">
        <v>16482</v>
      </c>
      <c r="B7362" s="9" t="s">
        <v>16483</v>
      </c>
      <c r="C7362" s="9" t="s">
        <v>17</v>
      </c>
      <c r="D7362" s="9" t="s">
        <v>18</v>
      </c>
      <c r="E7362" s="10" t="s">
        <v>724</v>
      </c>
      <c r="F7362" s="9" t="s">
        <v>725</v>
      </c>
      <c r="G7362" s="10" t="s">
        <v>28</v>
      </c>
      <c r="H7362" s="9" t="s">
        <v>22</v>
      </c>
      <c r="I7362" s="9" t="s">
        <v>16484</v>
      </c>
      <c r="J7362" s="10" t="str">
        <f>HYPERLINK("https://www.boe.es/gazeta/dias/1834/04/25/pdfs/GMD-1834-64.pdf#page=5","Abrir facsímil")</f>
        <v>Abrir facsímil</v>
      </c>
      <c r="K7362" s="10" t="s">
        <v>24</v>
      </c>
    </row>
    <row r="7363" spans="1:11" ht="54" customHeight="1">
      <c r="A7363" s="9" t="s">
        <v>16485</v>
      </c>
      <c r="B7363" s="9" t="s">
        <v>16485</v>
      </c>
      <c r="C7363" s="9" t="s">
        <v>17</v>
      </c>
      <c r="D7363" s="9" t="s">
        <v>18</v>
      </c>
      <c r="E7363" s="10" t="s">
        <v>1883</v>
      </c>
      <c r="F7363" s="9" t="s">
        <v>1884</v>
      </c>
      <c r="G7363" s="10" t="s">
        <v>21</v>
      </c>
      <c r="H7363" s="9" t="s">
        <v>22</v>
      </c>
      <c r="I7363" s="9" t="s">
        <v>16486</v>
      </c>
      <c r="J7363" s="10" t="str">
        <f>HYPERLINK("https://www.boe.es/gazeta/dias/1834/01/11/pdfs/GMD-1834-6.pdf#page=3","Abrir facsímil")</f>
        <v>Abrir facsímil</v>
      </c>
      <c r="K7363" s="10" t="s">
        <v>24</v>
      </c>
    </row>
    <row r="7364" spans="1:11" ht="54" customHeight="1">
      <c r="A7364" s="9" t="s">
        <v>16485</v>
      </c>
      <c r="B7364" s="9" t="s">
        <v>16485</v>
      </c>
      <c r="C7364" s="9" t="s">
        <v>66</v>
      </c>
      <c r="D7364" s="9" t="s">
        <v>67</v>
      </c>
      <c r="E7364" s="10" t="s">
        <v>133</v>
      </c>
      <c r="F7364" s="9" t="s">
        <v>134</v>
      </c>
      <c r="G7364" s="10" t="s">
        <v>34</v>
      </c>
      <c r="H7364" s="9" t="s">
        <v>22</v>
      </c>
      <c r="I7364" s="9" t="s">
        <v>16487</v>
      </c>
      <c r="J7364" s="10" t="str">
        <f>HYPERLINK("https://www.boe.es/gazeta/dias/1834/06/18/pdfs/GMD-1834-121.pdf#page=1","Abrir facsímil")</f>
        <v>Abrir facsímil</v>
      </c>
      <c r="K7364" s="10" t="s">
        <v>24</v>
      </c>
    </row>
    <row r="7365" spans="1:11" ht="54" customHeight="1">
      <c r="A7365" s="9" t="s">
        <v>16485</v>
      </c>
      <c r="B7365" s="9" t="s">
        <v>16485</v>
      </c>
      <c r="C7365" s="9" t="s">
        <v>66</v>
      </c>
      <c r="D7365" s="9" t="s">
        <v>18</v>
      </c>
      <c r="E7365" s="10" t="s">
        <v>375</v>
      </c>
      <c r="F7365" s="9" t="s">
        <v>376</v>
      </c>
      <c r="G7365" s="10" t="s">
        <v>21</v>
      </c>
      <c r="H7365" s="9" t="s">
        <v>22</v>
      </c>
      <c r="I7365" s="9" t="s">
        <v>16488</v>
      </c>
      <c r="J7365" s="10" t="str">
        <f>HYPERLINK("https://www.boe.es/gazeta/dias/1834/08/21/pdfs/GMD-1834-187.pdf#page=3","Abrir facsímil")</f>
        <v>Abrir facsímil</v>
      </c>
      <c r="K7365" s="10" t="s">
        <v>24</v>
      </c>
    </row>
    <row r="7366" spans="1:11" ht="54" customHeight="1">
      <c r="A7366" s="9" t="s">
        <v>16485</v>
      </c>
      <c r="B7366" s="9" t="s">
        <v>16485</v>
      </c>
      <c r="C7366" s="9" t="s">
        <v>122</v>
      </c>
      <c r="D7366" s="9" t="s">
        <v>18</v>
      </c>
      <c r="E7366" s="10" t="s">
        <v>1918</v>
      </c>
      <c r="F7366" s="9" t="s">
        <v>2024</v>
      </c>
      <c r="G7366" s="10" t="s">
        <v>86</v>
      </c>
      <c r="H7366" s="9" t="s">
        <v>22</v>
      </c>
      <c r="I7366" s="9" t="s">
        <v>16489</v>
      </c>
      <c r="J7366" s="10" t="str">
        <f>HYPERLINK("https://www.boe.es/gazeta/dias/1834/03/22/pdfs/GMD-C-1834-36.pdf#page=2","Abrir facsímil")</f>
        <v>Abrir facsímil</v>
      </c>
      <c r="K7366" s="10" t="s">
        <v>24</v>
      </c>
    </row>
    <row r="7367" spans="1:11" ht="54" customHeight="1">
      <c r="A7367" s="9" t="s">
        <v>16490</v>
      </c>
      <c r="B7367" s="9" t="s">
        <v>16491</v>
      </c>
      <c r="C7367" s="9" t="s">
        <v>17</v>
      </c>
      <c r="D7367" s="9" t="s">
        <v>18</v>
      </c>
      <c r="E7367" s="10" t="s">
        <v>1883</v>
      </c>
      <c r="F7367" s="9" t="s">
        <v>1884</v>
      </c>
      <c r="G7367" s="10" t="s">
        <v>21</v>
      </c>
      <c r="H7367" s="9" t="s">
        <v>35</v>
      </c>
      <c r="I7367" s="9" t="s">
        <v>16492</v>
      </c>
      <c r="J7367" s="10" t="str">
        <f>HYPERLINK("https://www.boe.es/gazeta/dias/1834/01/11/pdfs/GMD-1834-6.pdf#page=3","Abrir facsímil")</f>
        <v>Abrir facsímil</v>
      </c>
      <c r="K7367" s="10" t="s">
        <v>37</v>
      </c>
    </row>
    <row r="7368" spans="1:11" ht="54" customHeight="1">
      <c r="A7368" s="9" t="s">
        <v>16490</v>
      </c>
      <c r="B7368" s="9" t="s">
        <v>16491</v>
      </c>
      <c r="C7368" s="9" t="s">
        <v>66</v>
      </c>
      <c r="D7368" s="9" t="s">
        <v>18</v>
      </c>
      <c r="E7368" s="10" t="s">
        <v>375</v>
      </c>
      <c r="F7368" s="9" t="s">
        <v>376</v>
      </c>
      <c r="G7368" s="10" t="s">
        <v>21</v>
      </c>
      <c r="H7368" s="9" t="s">
        <v>35</v>
      </c>
      <c r="I7368" s="9" t="s">
        <v>16493</v>
      </c>
      <c r="J7368" s="10" t="str">
        <f>HYPERLINK("https://www.boe.es/gazeta/dias/1834/08/21/pdfs/GMD-1834-187.pdf#page=3","Abrir facsímil")</f>
        <v>Abrir facsímil</v>
      </c>
      <c r="K7368" s="10" t="s">
        <v>37</v>
      </c>
    </row>
    <row r="7369" spans="1:11" ht="54" customHeight="1">
      <c r="A7369" s="9" t="s">
        <v>16490</v>
      </c>
      <c r="B7369" s="9" t="s">
        <v>16491</v>
      </c>
      <c r="C7369" s="9" t="s">
        <v>122</v>
      </c>
      <c r="D7369" s="9" t="s">
        <v>18</v>
      </c>
      <c r="E7369" s="10" t="s">
        <v>1918</v>
      </c>
      <c r="F7369" s="9" t="s">
        <v>2024</v>
      </c>
      <c r="G7369" s="10" t="s">
        <v>86</v>
      </c>
      <c r="H7369" s="9" t="s">
        <v>35</v>
      </c>
      <c r="I7369" s="9" t="s">
        <v>16494</v>
      </c>
      <c r="J7369" s="10" t="str">
        <f>HYPERLINK("https://www.boe.es/gazeta/dias/1834/03/22/pdfs/GMD-C-1834-36.pdf#page=2","Abrir facsímil")</f>
        <v>Abrir facsímil</v>
      </c>
      <c r="K7369" s="10" t="s">
        <v>37</v>
      </c>
    </row>
    <row r="7370" spans="1:11" ht="54" customHeight="1">
      <c r="A7370" s="9" t="s">
        <v>16495</v>
      </c>
      <c r="B7370" s="9" t="s">
        <v>16496</v>
      </c>
      <c r="C7370" s="9" t="s">
        <v>66</v>
      </c>
      <c r="D7370" s="9" t="s">
        <v>67</v>
      </c>
      <c r="E7370" s="10" t="s">
        <v>2278</v>
      </c>
      <c r="F7370" s="9" t="s">
        <v>2279</v>
      </c>
      <c r="G7370" s="10" t="s">
        <v>86</v>
      </c>
      <c r="H7370" s="9" t="s">
        <v>22</v>
      </c>
      <c r="I7370" s="9" t="s">
        <v>16497</v>
      </c>
      <c r="J7370" s="10" t="str">
        <f>HYPERLINK("https://www.boe.es/gazeta/dias/1834/12/17/pdfs/GMD-C-1834-306.pdf#page=2","Abrir facsímil")</f>
        <v>Abrir facsímil</v>
      </c>
      <c r="K7370" s="10" t="s">
        <v>24</v>
      </c>
    </row>
    <row r="7371" spans="1:11" ht="54" customHeight="1">
      <c r="A7371" s="9" t="s">
        <v>16498</v>
      </c>
      <c r="B7371" s="9" t="s">
        <v>16498</v>
      </c>
      <c r="C7371" s="9" t="s">
        <v>122</v>
      </c>
      <c r="D7371" s="9" t="s">
        <v>18</v>
      </c>
      <c r="E7371" s="10" t="s">
        <v>939</v>
      </c>
      <c r="F7371" s="9" t="s">
        <v>940</v>
      </c>
      <c r="G7371" s="10" t="s">
        <v>86</v>
      </c>
      <c r="H7371" s="9" t="s">
        <v>22</v>
      </c>
      <c r="I7371" s="9" t="s">
        <v>16499</v>
      </c>
      <c r="J7371" s="10" t="str">
        <f>HYPERLINK("https://www.boe.es/gazeta/dias/1834/06/10/pdfs/GMD-1834-113.pdf#page=2","Abrir facsímil")</f>
        <v>Abrir facsímil</v>
      </c>
      <c r="K7371" s="10" t="s">
        <v>24</v>
      </c>
    </row>
    <row r="7372" spans="1:11" ht="54" customHeight="1">
      <c r="A7372" s="9" t="s">
        <v>16500</v>
      </c>
      <c r="B7372" s="9" t="s">
        <v>16501</v>
      </c>
      <c r="C7372" s="9" t="s">
        <v>17</v>
      </c>
      <c r="D7372" s="9" t="s">
        <v>18</v>
      </c>
      <c r="E7372" s="10" t="s">
        <v>1883</v>
      </c>
      <c r="F7372" s="9" t="s">
        <v>1884</v>
      </c>
      <c r="G7372" s="10" t="s">
        <v>75</v>
      </c>
      <c r="H7372" s="9" t="s">
        <v>22</v>
      </c>
      <c r="I7372" s="9" t="s">
        <v>16502</v>
      </c>
      <c r="J7372" s="10" t="str">
        <f>HYPERLINK("https://www.boe.es/gazeta/dias/1834/01/11/pdfs/GMD-1834-6.pdf#page=4","Abrir facsímil")</f>
        <v>Abrir facsímil</v>
      </c>
      <c r="K7372" s="10" t="s">
        <v>24</v>
      </c>
    </row>
    <row r="7373" spans="1:11" ht="54" customHeight="1">
      <c r="A7373" s="9" t="s">
        <v>16503</v>
      </c>
      <c r="B7373" s="9" t="s">
        <v>16504</v>
      </c>
      <c r="C7373" s="9" t="s">
        <v>17</v>
      </c>
      <c r="D7373" s="9" t="s">
        <v>18</v>
      </c>
      <c r="E7373" s="10" t="s">
        <v>1883</v>
      </c>
      <c r="F7373" s="9" t="s">
        <v>1884</v>
      </c>
      <c r="G7373" s="10" t="s">
        <v>75</v>
      </c>
      <c r="H7373" s="9" t="s">
        <v>35</v>
      </c>
      <c r="I7373" s="9" t="s">
        <v>16505</v>
      </c>
      <c r="J7373" s="10" t="str">
        <f>HYPERLINK("https://www.boe.es/gazeta/dias/1834/01/11/pdfs/GMD-1834-6.pdf#page=4","Abrir facsímil")</f>
        <v>Abrir facsímil</v>
      </c>
      <c r="K7373" s="10" t="s">
        <v>37</v>
      </c>
    </row>
    <row r="7374" spans="1:11" ht="54" customHeight="1">
      <c r="A7374" s="9" t="s">
        <v>16506</v>
      </c>
      <c r="B7374" s="9" t="s">
        <v>16506</v>
      </c>
      <c r="C7374" s="9" t="s">
        <v>17</v>
      </c>
      <c r="D7374" s="9" t="s">
        <v>40</v>
      </c>
      <c r="E7374" s="10" t="s">
        <v>1195</v>
      </c>
      <c r="F7374" s="9" t="s">
        <v>1196</v>
      </c>
      <c r="G7374" s="10" t="s">
        <v>28</v>
      </c>
      <c r="H7374" s="9" t="s">
        <v>22</v>
      </c>
      <c r="I7374" s="9" t="s">
        <v>16507</v>
      </c>
      <c r="J7374" s="10" t="str">
        <f>HYPERLINK("https://www.boe.es/gazeta/dias/1834/10/17/pdfs/GMD-C-1834-245.pdf#page=5","Abrir facsímil")</f>
        <v>Abrir facsímil</v>
      </c>
      <c r="K7374" s="10" t="s">
        <v>24</v>
      </c>
    </row>
    <row r="7375" spans="1:11" ht="54" customHeight="1">
      <c r="A7375" s="9" t="s">
        <v>16508</v>
      </c>
      <c r="B7375" s="9" t="s">
        <v>16509</v>
      </c>
      <c r="C7375" s="9" t="s">
        <v>17</v>
      </c>
      <c r="D7375" s="9" t="s">
        <v>18</v>
      </c>
      <c r="E7375" s="10" t="s">
        <v>2087</v>
      </c>
      <c r="F7375" s="9" t="s">
        <v>2267</v>
      </c>
      <c r="G7375" s="10" t="s">
        <v>1343</v>
      </c>
      <c r="H7375" s="9" t="s">
        <v>22</v>
      </c>
      <c r="I7375" s="9" t="s">
        <v>16510</v>
      </c>
      <c r="J7375" s="10" t="str">
        <f>HYPERLINK("https://www.boe.es/gazeta/dias/1834/12/14/pdfs/GMD-C-1834-303.pdf#page=9","Abrir facsímil")</f>
        <v>Abrir facsímil</v>
      </c>
      <c r="K7375" s="10" t="s">
        <v>24</v>
      </c>
    </row>
    <row r="7376" spans="1:11" ht="54" customHeight="1">
      <c r="A7376" s="9" t="s">
        <v>16511</v>
      </c>
      <c r="B7376" s="9" t="s">
        <v>16511</v>
      </c>
      <c r="C7376" s="9" t="s">
        <v>17</v>
      </c>
      <c r="D7376" s="9" t="s">
        <v>18</v>
      </c>
      <c r="E7376" s="10" t="s">
        <v>1459</v>
      </c>
      <c r="F7376" s="9" t="s">
        <v>1460</v>
      </c>
      <c r="G7376" s="10" t="s">
        <v>86</v>
      </c>
      <c r="H7376" s="9" t="s">
        <v>22</v>
      </c>
      <c r="I7376" s="9" t="s">
        <v>16512</v>
      </c>
      <c r="J7376" s="10" t="str">
        <f>HYPERLINK("https://www.boe.es/gazeta/dias/1834/08/18/pdfs/GMD-1834-184.pdf#page=2","Abrir facsímil")</f>
        <v>Abrir facsímil</v>
      </c>
      <c r="K7376" s="10" t="s">
        <v>24</v>
      </c>
    </row>
    <row r="7377" spans="1:11" ht="54" customHeight="1">
      <c r="A7377" s="9" t="s">
        <v>16513</v>
      </c>
      <c r="B7377" s="9" t="s">
        <v>16514</v>
      </c>
      <c r="C7377" s="9" t="s">
        <v>90</v>
      </c>
      <c r="D7377" s="9" t="s">
        <v>18</v>
      </c>
      <c r="E7377" s="10" t="s">
        <v>777</v>
      </c>
      <c r="F7377" s="9" t="s">
        <v>778</v>
      </c>
      <c r="G7377" s="10" t="s">
        <v>21</v>
      </c>
      <c r="H7377" s="9" t="s">
        <v>22</v>
      </c>
      <c r="I7377" s="9" t="s">
        <v>16515</v>
      </c>
      <c r="J7377" s="10" t="str">
        <f>HYPERLINK("https://www.boe.es/gazeta/dias/1834/10/29/pdfs/GMD-1834-257.pdf#page=3","Abrir facsímil")</f>
        <v>Abrir facsímil</v>
      </c>
      <c r="K7377" s="10" t="s">
        <v>24</v>
      </c>
    </row>
    <row r="7378" spans="1:11" ht="54" customHeight="1">
      <c r="A7378" s="9" t="s">
        <v>16516</v>
      </c>
      <c r="B7378" s="9" t="s">
        <v>16517</v>
      </c>
      <c r="C7378" s="9" t="s">
        <v>17</v>
      </c>
      <c r="D7378" s="9" t="s">
        <v>18</v>
      </c>
      <c r="E7378" s="10" t="s">
        <v>1017</v>
      </c>
      <c r="F7378" s="9" t="s">
        <v>1018</v>
      </c>
      <c r="G7378" s="10" t="s">
        <v>21</v>
      </c>
      <c r="H7378" s="9" t="s">
        <v>35</v>
      </c>
      <c r="I7378" s="9" t="s">
        <v>16518</v>
      </c>
      <c r="J7378" s="10" t="str">
        <f>HYPERLINK("https://www.boe.es/gazeta/dias/1834/07/24/pdfs/GMD-1834-157.pdf#page=3","Abrir facsímil")</f>
        <v>Abrir facsímil</v>
      </c>
      <c r="K7378" s="10" t="s">
        <v>37</v>
      </c>
    </row>
    <row r="7379" spans="1:11" ht="54" customHeight="1">
      <c r="A7379" s="9" t="s">
        <v>16519</v>
      </c>
      <c r="B7379" s="9" t="s">
        <v>16520</v>
      </c>
      <c r="C7379" s="9" t="s">
        <v>17</v>
      </c>
      <c r="D7379" s="9" t="s">
        <v>18</v>
      </c>
      <c r="E7379" s="10" t="s">
        <v>1017</v>
      </c>
      <c r="F7379" s="9" t="s">
        <v>1018</v>
      </c>
      <c r="G7379" s="10" t="s">
        <v>21</v>
      </c>
      <c r="H7379" s="9" t="s">
        <v>22</v>
      </c>
      <c r="I7379" s="9" t="s">
        <v>16521</v>
      </c>
      <c r="J7379" s="10" t="str">
        <f>HYPERLINK("https://www.boe.es/gazeta/dias/1834/07/24/pdfs/GMD-1834-157.pdf#page=3","Abrir facsímil")</f>
        <v>Abrir facsímil</v>
      </c>
      <c r="K7379" s="10" t="s">
        <v>24</v>
      </c>
    </row>
    <row r="7380" spans="1:11" ht="54" customHeight="1">
      <c r="A7380" s="9" t="s">
        <v>16522</v>
      </c>
      <c r="B7380" s="9" t="s">
        <v>16523</v>
      </c>
      <c r="C7380" s="9" t="s">
        <v>17</v>
      </c>
      <c r="D7380" s="9" t="s">
        <v>18</v>
      </c>
      <c r="E7380" s="10" t="s">
        <v>1017</v>
      </c>
      <c r="F7380" s="9" t="s">
        <v>1018</v>
      </c>
      <c r="G7380" s="10" t="s">
        <v>21</v>
      </c>
      <c r="H7380" s="9" t="s">
        <v>35</v>
      </c>
      <c r="I7380" s="9" t="s">
        <v>16524</v>
      </c>
      <c r="J7380" s="10" t="str">
        <f>HYPERLINK("https://www.boe.es/gazeta/dias/1834/07/24/pdfs/GMD-1834-157.pdf#page=3","Abrir facsímil")</f>
        <v>Abrir facsímil</v>
      </c>
      <c r="K7380" s="10" t="s">
        <v>37</v>
      </c>
    </row>
    <row r="7381" spans="1:11" ht="54" customHeight="1">
      <c r="A7381" s="9" t="s">
        <v>16525</v>
      </c>
      <c r="B7381" s="9" t="s">
        <v>16526</v>
      </c>
      <c r="C7381" s="9" t="s">
        <v>17</v>
      </c>
      <c r="D7381" s="9" t="s">
        <v>18</v>
      </c>
      <c r="E7381" s="10" t="s">
        <v>1017</v>
      </c>
      <c r="F7381" s="9" t="s">
        <v>1018</v>
      </c>
      <c r="G7381" s="10" t="s">
        <v>21</v>
      </c>
      <c r="H7381" s="9" t="s">
        <v>22</v>
      </c>
      <c r="I7381" s="9" t="s">
        <v>16527</v>
      </c>
      <c r="J7381" s="10" t="str">
        <f>HYPERLINK("https://www.boe.es/gazeta/dias/1834/07/24/pdfs/GMD-1834-157.pdf#page=3","Abrir facsímil")</f>
        <v>Abrir facsímil</v>
      </c>
      <c r="K7381" s="10" t="s">
        <v>24</v>
      </c>
    </row>
    <row r="7382" spans="1:11" ht="54" customHeight="1">
      <c r="A7382" s="9" t="s">
        <v>16528</v>
      </c>
      <c r="B7382" s="9" t="s">
        <v>16529</v>
      </c>
      <c r="C7382" s="9" t="s">
        <v>17</v>
      </c>
      <c r="D7382" s="9" t="s">
        <v>18</v>
      </c>
      <c r="E7382" s="10" t="s">
        <v>343</v>
      </c>
      <c r="F7382" s="9" t="s">
        <v>344</v>
      </c>
      <c r="G7382" s="10" t="s">
        <v>75</v>
      </c>
      <c r="H7382" s="9" t="s">
        <v>22</v>
      </c>
      <c r="I7382" s="9" t="s">
        <v>16530</v>
      </c>
      <c r="J7382" s="10" t="str">
        <f>HYPERLINK("https://www.boe.es/gazeta/dias/1834/01/14/pdfs/GMD-1834-7.pdf#page=4","Abrir facsímil")</f>
        <v>Abrir facsímil</v>
      </c>
      <c r="K7382" s="10" t="s">
        <v>24</v>
      </c>
    </row>
    <row r="7383" spans="1:11" ht="54" customHeight="1">
      <c r="A7383" s="9" t="s">
        <v>16531</v>
      </c>
      <c r="B7383" s="9" t="s">
        <v>16532</v>
      </c>
      <c r="C7383" s="9" t="s">
        <v>122</v>
      </c>
      <c r="D7383" s="9" t="s">
        <v>18</v>
      </c>
      <c r="E7383" s="10" t="s">
        <v>174</v>
      </c>
      <c r="F7383" s="9" t="s">
        <v>175</v>
      </c>
      <c r="G7383" s="10" t="s">
        <v>21</v>
      </c>
      <c r="H7383" s="9" t="s">
        <v>22</v>
      </c>
      <c r="I7383" s="9" t="s">
        <v>16533</v>
      </c>
      <c r="J7383" s="10" t="str">
        <f>HYPERLINK("https://www.boe.es/gazeta/dias/1834/03/27/pdfs/GMD-1834-38.pdf#page=3","Abrir facsímil")</f>
        <v>Abrir facsímil</v>
      </c>
      <c r="K7383" s="10" t="s">
        <v>24</v>
      </c>
    </row>
    <row r="7384" spans="1:11" ht="54" customHeight="1">
      <c r="A7384" s="9" t="s">
        <v>16534</v>
      </c>
      <c r="B7384" s="9" t="s">
        <v>16534</v>
      </c>
      <c r="C7384" s="9" t="s">
        <v>17</v>
      </c>
      <c r="D7384" s="9" t="s">
        <v>18</v>
      </c>
      <c r="E7384" s="10" t="s">
        <v>2124</v>
      </c>
      <c r="F7384" s="9" t="s">
        <v>2125</v>
      </c>
      <c r="G7384" s="10" t="s">
        <v>75</v>
      </c>
      <c r="H7384" s="9" t="s">
        <v>22</v>
      </c>
      <c r="I7384" s="9" t="s">
        <v>16535</v>
      </c>
      <c r="J7384" s="10" t="str">
        <f>HYPERLINK("https://www.boe.es/gazeta/dias/1834/06/09/pdfs/GMD-1834-112.pdf#page=4","Abrir facsímil")</f>
        <v>Abrir facsímil</v>
      </c>
      <c r="K7384" s="10" t="s">
        <v>24</v>
      </c>
    </row>
    <row r="7385" spans="1:11" ht="54" customHeight="1">
      <c r="A7385" s="9" t="s">
        <v>16534</v>
      </c>
      <c r="B7385" s="9" t="s">
        <v>16534</v>
      </c>
      <c r="C7385" s="9" t="s">
        <v>66</v>
      </c>
      <c r="D7385" s="9" t="s">
        <v>67</v>
      </c>
      <c r="E7385" s="10" t="s">
        <v>348</v>
      </c>
      <c r="F7385" s="9" t="s">
        <v>501</v>
      </c>
      <c r="G7385" s="10" t="s">
        <v>75</v>
      </c>
      <c r="H7385" s="9" t="s">
        <v>22</v>
      </c>
      <c r="I7385" s="9" t="s">
        <v>16536</v>
      </c>
      <c r="J7385" s="10" t="str">
        <f>HYPERLINK("https://www.boe.es/gazeta/dias/1834/06/12/pdfs/GMD-1834-115.pdf#page=4","Abrir facsímil")</f>
        <v>Abrir facsímil</v>
      </c>
      <c r="K7385" s="10" t="s">
        <v>24</v>
      </c>
    </row>
    <row r="7386" spans="1:11" ht="54" customHeight="1">
      <c r="A7386" s="9" t="s">
        <v>16537</v>
      </c>
      <c r="B7386" s="9" t="s">
        <v>16538</v>
      </c>
      <c r="C7386" s="9" t="s">
        <v>66</v>
      </c>
      <c r="D7386" s="9" t="s">
        <v>67</v>
      </c>
      <c r="E7386" s="10" t="s">
        <v>803</v>
      </c>
      <c r="F7386" s="9" t="s">
        <v>804</v>
      </c>
      <c r="G7386" s="10" t="s">
        <v>75</v>
      </c>
      <c r="H7386" s="9" t="s">
        <v>22</v>
      </c>
      <c r="I7386" s="9" t="s">
        <v>16539</v>
      </c>
      <c r="J7386" s="10" t="str">
        <f>HYPERLINK("https://www.boe.es/gazeta/dias/1834/03/29/pdfs/GMD-1834-39.pdf#page=4","Abrir facsímil")</f>
        <v>Abrir facsímil</v>
      </c>
      <c r="K7386" s="10" t="s">
        <v>24</v>
      </c>
    </row>
    <row r="7387" spans="1:11" ht="54" customHeight="1">
      <c r="A7387" s="9" t="s">
        <v>16540</v>
      </c>
      <c r="B7387" s="9" t="s">
        <v>16541</v>
      </c>
      <c r="C7387" s="9" t="s">
        <v>66</v>
      </c>
      <c r="D7387" s="9" t="s">
        <v>67</v>
      </c>
      <c r="E7387" s="10" t="s">
        <v>138</v>
      </c>
      <c r="F7387" s="9" t="s">
        <v>139</v>
      </c>
      <c r="G7387" s="10" t="s">
        <v>34</v>
      </c>
      <c r="H7387" s="9" t="s">
        <v>22</v>
      </c>
      <c r="I7387" s="9" t="s">
        <v>16542</v>
      </c>
      <c r="J7387" s="10" t="str">
        <f>HYPERLINK("https://www.boe.es/gazeta/dias/1834/05/17/pdfs/GMD-1834-86.pdf#page=1","Abrir facsímil")</f>
        <v>Abrir facsímil</v>
      </c>
      <c r="K7387" s="10" t="s">
        <v>24</v>
      </c>
    </row>
    <row r="7388" spans="1:11" ht="54" customHeight="1">
      <c r="A7388" s="9" t="s">
        <v>16543</v>
      </c>
      <c r="B7388" s="9" t="s">
        <v>16544</v>
      </c>
      <c r="C7388" s="9" t="s">
        <v>122</v>
      </c>
      <c r="D7388" s="9" t="s">
        <v>55</v>
      </c>
      <c r="E7388" s="10" t="s">
        <v>1812</v>
      </c>
      <c r="F7388" s="9" t="s">
        <v>1813</v>
      </c>
      <c r="G7388" s="10" t="s">
        <v>21</v>
      </c>
      <c r="H7388" s="9" t="s">
        <v>22</v>
      </c>
      <c r="I7388" s="9" t="s">
        <v>16545</v>
      </c>
      <c r="J7388" s="10" t="str">
        <f>HYPERLINK("https://www.boe.es/gazeta/dias/1834/10/23/pdfs/GMD-1834-251.pdf#page=3","Abrir facsímil")</f>
        <v>Abrir facsímil</v>
      </c>
      <c r="K7388" s="10" t="s">
        <v>24</v>
      </c>
    </row>
    <row r="7389" spans="1:11" ht="54" customHeight="1">
      <c r="A7389" s="9" t="s">
        <v>16546</v>
      </c>
      <c r="B7389" s="9" t="s">
        <v>16546</v>
      </c>
      <c r="C7389" s="9" t="s">
        <v>17</v>
      </c>
      <c r="D7389" s="9" t="s">
        <v>18</v>
      </c>
      <c r="E7389" s="10" t="s">
        <v>438</v>
      </c>
      <c r="F7389" s="9" t="s">
        <v>528</v>
      </c>
      <c r="G7389" s="10" t="s">
        <v>21</v>
      </c>
      <c r="H7389" s="9" t="s">
        <v>22</v>
      </c>
      <c r="I7389" s="9" t="s">
        <v>16547</v>
      </c>
      <c r="J7389" s="10" t="str">
        <f>HYPERLINK("https://www.boe.es/gazeta/dias/1834/11/09/pdfs/GMD-C-1834-268.pdf#page=3","Abrir facsímil")</f>
        <v>Abrir facsímil</v>
      </c>
      <c r="K7389" s="10" t="s">
        <v>24</v>
      </c>
    </row>
    <row r="7390" spans="1:11" ht="54" customHeight="1">
      <c r="A7390" s="9" t="s">
        <v>16548</v>
      </c>
      <c r="B7390" s="9" t="s">
        <v>16549</v>
      </c>
      <c r="C7390" s="9" t="s">
        <v>17</v>
      </c>
      <c r="D7390" s="9" t="s">
        <v>18</v>
      </c>
      <c r="E7390" s="10" t="s">
        <v>785</v>
      </c>
      <c r="F7390" s="9" t="s">
        <v>786</v>
      </c>
      <c r="G7390" s="10" t="s">
        <v>34</v>
      </c>
      <c r="H7390" s="9" t="s">
        <v>35</v>
      </c>
      <c r="I7390" s="9" t="s">
        <v>16550</v>
      </c>
      <c r="J7390" s="10" t="str">
        <f>HYPERLINK("https://www.boe.es/gazeta/dias/1834/02/11/pdfs/GMD-1834-19.pdf#page=1","Abrir facsímil")</f>
        <v>Abrir facsímil</v>
      </c>
      <c r="K7390" s="10" t="s">
        <v>37</v>
      </c>
    </row>
    <row r="7391" spans="1:11" ht="54" customHeight="1">
      <c r="A7391" s="9" t="s">
        <v>16551</v>
      </c>
      <c r="B7391" s="9" t="s">
        <v>16552</v>
      </c>
      <c r="C7391" s="9" t="s">
        <v>17</v>
      </c>
      <c r="D7391" s="9" t="s">
        <v>18</v>
      </c>
      <c r="E7391" s="10" t="s">
        <v>785</v>
      </c>
      <c r="F7391" s="9" t="s">
        <v>786</v>
      </c>
      <c r="G7391" s="10" t="s">
        <v>34</v>
      </c>
      <c r="H7391" s="9" t="s">
        <v>22</v>
      </c>
      <c r="I7391" s="9" t="s">
        <v>16553</v>
      </c>
      <c r="J7391" s="10" t="str">
        <f>HYPERLINK("https://www.boe.es/gazeta/dias/1834/02/11/pdfs/GMD-1834-19.pdf#page=1","Abrir facsímil")</f>
        <v>Abrir facsímil</v>
      </c>
      <c r="K7391" s="10" t="s">
        <v>24</v>
      </c>
    </row>
    <row r="7392" spans="1:11" ht="54" customHeight="1">
      <c r="A7392" s="9" t="s">
        <v>16554</v>
      </c>
      <c r="B7392" s="9" t="s">
        <v>16555</v>
      </c>
      <c r="C7392" s="9" t="s">
        <v>17</v>
      </c>
      <c r="D7392" s="9" t="s">
        <v>40</v>
      </c>
      <c r="E7392" s="10" t="s">
        <v>441</v>
      </c>
      <c r="F7392" s="9" t="s">
        <v>442</v>
      </c>
      <c r="G7392" s="10" t="s">
        <v>75</v>
      </c>
      <c r="H7392" s="9" t="s">
        <v>22</v>
      </c>
      <c r="I7392" s="9" t="s">
        <v>16556</v>
      </c>
      <c r="J7392" s="10" t="str">
        <f>HYPERLINK("https://www.boe.es/gazeta/dias/1834/11/10/pdfs/GMD-1834-269.pdf#page=4","Abrir facsímil")</f>
        <v>Abrir facsímil</v>
      </c>
      <c r="K7392" s="10" t="s">
        <v>24</v>
      </c>
    </row>
    <row r="7393" spans="1:11" ht="54" customHeight="1">
      <c r="A7393" s="9" t="s">
        <v>16557</v>
      </c>
      <c r="B7393" s="9" t="s">
        <v>16557</v>
      </c>
      <c r="C7393" s="9" t="s">
        <v>46</v>
      </c>
      <c r="D7393" s="9" t="s">
        <v>101</v>
      </c>
      <c r="E7393" s="10" t="s">
        <v>8200</v>
      </c>
      <c r="F7393" s="9" t="s">
        <v>8201</v>
      </c>
      <c r="G7393" s="10" t="s">
        <v>86</v>
      </c>
      <c r="H7393" s="9" t="s">
        <v>22</v>
      </c>
      <c r="I7393" s="9" t="s">
        <v>16558</v>
      </c>
      <c r="J7393" s="10" t="str">
        <f>HYPERLINK("https://www.boe.es/gazeta/dias/1834/11/17/pdfs/GMD-1834-276.pdf#page=2","Abrir facsímil")</f>
        <v>Abrir facsímil</v>
      </c>
      <c r="K7393" s="10" t="s">
        <v>24</v>
      </c>
    </row>
    <row r="7394" spans="1:11" ht="54" customHeight="1">
      <c r="A7394" s="9" t="s">
        <v>16559</v>
      </c>
      <c r="B7394" s="9" t="s">
        <v>16560</v>
      </c>
      <c r="C7394" s="9" t="s">
        <v>17</v>
      </c>
      <c r="D7394" s="9" t="s">
        <v>18</v>
      </c>
      <c r="E7394" s="10" t="s">
        <v>1239</v>
      </c>
      <c r="F7394" s="9" t="s">
        <v>1240</v>
      </c>
      <c r="G7394" s="10" t="s">
        <v>34</v>
      </c>
      <c r="H7394" s="9" t="s">
        <v>22</v>
      </c>
      <c r="I7394" s="9" t="s">
        <v>16561</v>
      </c>
      <c r="J7394" s="10" t="str">
        <f>HYPERLINK("https://www.boe.es/gazeta/dias/1834/08/20/pdfs/GMD-1834-186.pdf#page=1","Abrir facsímil")</f>
        <v>Abrir facsímil</v>
      </c>
      <c r="K7394" s="10" t="s">
        <v>24</v>
      </c>
    </row>
    <row r="7395" spans="1:11" ht="54" customHeight="1">
      <c r="A7395" s="9" t="s">
        <v>16562</v>
      </c>
      <c r="B7395" s="9" t="s">
        <v>16562</v>
      </c>
      <c r="C7395" s="9" t="s">
        <v>17</v>
      </c>
      <c r="D7395" s="9" t="s">
        <v>18</v>
      </c>
      <c r="E7395" s="10" t="s">
        <v>167</v>
      </c>
      <c r="F7395" s="9" t="s">
        <v>168</v>
      </c>
      <c r="G7395" s="10" t="s">
        <v>86</v>
      </c>
      <c r="H7395" s="9" t="s">
        <v>22</v>
      </c>
      <c r="I7395" s="9" t="s">
        <v>16563</v>
      </c>
      <c r="J7395" s="10" t="str">
        <f>HYPERLINK("https://www.boe.es/gazeta/dias/1834/09/07/pdfs/GMD-1834-205.pdf#page=2","Abrir facsímil")</f>
        <v>Abrir facsímil</v>
      </c>
      <c r="K7395" s="10" t="s">
        <v>24</v>
      </c>
    </row>
    <row r="7396" spans="1:11" ht="54" customHeight="1">
      <c r="A7396" s="9" t="s">
        <v>16564</v>
      </c>
      <c r="B7396" s="9" t="s">
        <v>16565</v>
      </c>
      <c r="C7396" s="9" t="s">
        <v>17</v>
      </c>
      <c r="D7396" s="9" t="s">
        <v>18</v>
      </c>
      <c r="E7396" s="10" t="s">
        <v>167</v>
      </c>
      <c r="F7396" s="9" t="s">
        <v>168</v>
      </c>
      <c r="G7396" s="10" t="s">
        <v>86</v>
      </c>
      <c r="H7396" s="9" t="s">
        <v>22</v>
      </c>
      <c r="I7396" s="9" t="s">
        <v>16566</v>
      </c>
      <c r="J7396" s="10" t="str">
        <f>HYPERLINK("https://www.boe.es/gazeta/dias/1834/09/07/pdfs/GMD-1834-205.pdf#page=2","Abrir facsímil")</f>
        <v>Abrir facsímil</v>
      </c>
      <c r="K7396" s="10" t="s">
        <v>24</v>
      </c>
    </row>
    <row r="7397" spans="1:11" ht="54" customHeight="1">
      <c r="A7397" s="9" t="s">
        <v>16567</v>
      </c>
      <c r="B7397" s="9" t="s">
        <v>16567</v>
      </c>
      <c r="C7397" s="9" t="s">
        <v>17</v>
      </c>
      <c r="D7397" s="9" t="s">
        <v>18</v>
      </c>
      <c r="E7397" s="10" t="s">
        <v>1284</v>
      </c>
      <c r="F7397" s="9" t="s">
        <v>1285</v>
      </c>
      <c r="G7397" s="10" t="s">
        <v>75</v>
      </c>
      <c r="H7397" s="9" t="s">
        <v>22</v>
      </c>
      <c r="I7397" s="9" t="s">
        <v>16568</v>
      </c>
      <c r="J7397" s="10" t="str">
        <f>HYPERLINK("https://www.boe.es/gazeta/dias/1834/11/28/pdfs/GMD-1834-287.pdf#page=4","Abrir facsímil")</f>
        <v>Abrir facsímil</v>
      </c>
      <c r="K7397" s="10" t="s">
        <v>24</v>
      </c>
    </row>
    <row r="7398" spans="1:11" ht="54" customHeight="1">
      <c r="A7398" s="9" t="s">
        <v>16569</v>
      </c>
      <c r="B7398" s="9" t="s">
        <v>16570</v>
      </c>
      <c r="C7398" s="9" t="s">
        <v>46</v>
      </c>
      <c r="D7398" s="9" t="s">
        <v>101</v>
      </c>
      <c r="E7398" s="10" t="s">
        <v>1708</v>
      </c>
      <c r="F7398" s="9" t="s">
        <v>1709</v>
      </c>
      <c r="G7398" s="10" t="s">
        <v>34</v>
      </c>
      <c r="H7398" s="9" t="s">
        <v>22</v>
      </c>
      <c r="I7398" s="9" t="s">
        <v>16571</v>
      </c>
      <c r="J7398" s="10" t="str">
        <f>HYPERLINK("https://www.boe.es/gazeta/dias/1834/04/12/pdfs/GMD-1834-51.pdf#page=1","Abrir facsímil")</f>
        <v>Abrir facsímil</v>
      </c>
      <c r="K7398" s="10" t="s">
        <v>24</v>
      </c>
    </row>
    <row r="7399" spans="1:11" ht="54" customHeight="1">
      <c r="A7399" s="9" t="s">
        <v>16572</v>
      </c>
      <c r="B7399" s="9" t="s">
        <v>16572</v>
      </c>
      <c r="C7399" s="9" t="s">
        <v>17</v>
      </c>
      <c r="D7399" s="9" t="s">
        <v>18</v>
      </c>
      <c r="E7399" s="10" t="s">
        <v>679</v>
      </c>
      <c r="F7399" s="9" t="s">
        <v>699</v>
      </c>
      <c r="G7399" s="10" t="s">
        <v>560</v>
      </c>
      <c r="H7399" s="9" t="s">
        <v>22</v>
      </c>
      <c r="I7399" s="9" t="s">
        <v>16573</v>
      </c>
      <c r="J7399" s="10" t="str">
        <f>HYPERLINK("https://www.boe.es/gazeta/dias/1834/12/10/pdfs/GMD-C-1834-299.pdf#page=7","Abrir facsímil")</f>
        <v>Abrir facsímil</v>
      </c>
      <c r="K7399" s="10" t="s">
        <v>24</v>
      </c>
    </row>
    <row r="7400" spans="1:11" ht="54" customHeight="1">
      <c r="A7400" s="9" t="s">
        <v>16574</v>
      </c>
      <c r="B7400" s="9" t="s">
        <v>16574</v>
      </c>
      <c r="C7400" s="9" t="s">
        <v>17</v>
      </c>
      <c r="D7400" s="9" t="s">
        <v>18</v>
      </c>
      <c r="E7400" s="10" t="s">
        <v>128</v>
      </c>
      <c r="F7400" s="9" t="s">
        <v>1068</v>
      </c>
      <c r="G7400" s="10" t="s">
        <v>21</v>
      </c>
      <c r="H7400" s="9" t="s">
        <v>22</v>
      </c>
      <c r="I7400" s="9" t="s">
        <v>16575</v>
      </c>
      <c r="J7400" s="10" t="str">
        <f>HYPERLINK("https://www.boe.es/gazeta/dias/1834/12/24/pdfs/GMD-1834-314.pdf#page=3","Abrir facsímil")</f>
        <v>Abrir facsímil</v>
      </c>
      <c r="K7400" s="10" t="s">
        <v>24</v>
      </c>
    </row>
    <row r="7401" spans="1:11" ht="54" customHeight="1">
      <c r="A7401" s="9" t="s">
        <v>16576</v>
      </c>
      <c r="B7401" s="9" t="s">
        <v>16577</v>
      </c>
      <c r="C7401" s="9" t="s">
        <v>66</v>
      </c>
      <c r="D7401" s="9" t="s">
        <v>18</v>
      </c>
      <c r="E7401" s="10" t="s">
        <v>128</v>
      </c>
      <c r="F7401" s="9" t="s">
        <v>1068</v>
      </c>
      <c r="G7401" s="10" t="s">
        <v>21</v>
      </c>
      <c r="H7401" s="9" t="s">
        <v>22</v>
      </c>
      <c r="I7401" s="9" t="s">
        <v>16578</v>
      </c>
      <c r="J7401" s="10" t="str">
        <f>HYPERLINK("https://www.boe.es/gazeta/dias/1834/12/24/pdfs/GMD-1834-314.pdf#page=3","Abrir facsímil")</f>
        <v>Abrir facsímil</v>
      </c>
      <c r="K7401" s="10" t="s">
        <v>24</v>
      </c>
    </row>
    <row r="7402" spans="1:11" ht="54" customHeight="1">
      <c r="A7402" s="9" t="s">
        <v>16579</v>
      </c>
      <c r="B7402" s="9" t="s">
        <v>16580</v>
      </c>
      <c r="C7402" s="9" t="s">
        <v>17</v>
      </c>
      <c r="D7402" s="9" t="s">
        <v>18</v>
      </c>
      <c r="E7402" s="10" t="s">
        <v>1394</v>
      </c>
      <c r="F7402" s="9" t="s">
        <v>1395</v>
      </c>
      <c r="G7402" s="10" t="s">
        <v>75</v>
      </c>
      <c r="H7402" s="9" t="s">
        <v>35</v>
      </c>
      <c r="I7402" s="9" t="s">
        <v>16581</v>
      </c>
      <c r="J7402" s="10" t="str">
        <f>HYPERLINK("https://www.boe.es/gazeta/dias/1834/04/16/pdfs/GMD-1834-55.pdf#page=4","Abrir facsímil")</f>
        <v>Abrir facsímil</v>
      </c>
      <c r="K7402" s="10" t="s">
        <v>37</v>
      </c>
    </row>
    <row r="7403" spans="1:11" ht="54" customHeight="1">
      <c r="A7403" s="9" t="s">
        <v>16582</v>
      </c>
      <c r="B7403" s="9" t="s">
        <v>16583</v>
      </c>
      <c r="C7403" s="9" t="s">
        <v>17</v>
      </c>
      <c r="D7403" s="9" t="s">
        <v>18</v>
      </c>
      <c r="E7403" s="10" t="s">
        <v>1394</v>
      </c>
      <c r="F7403" s="9" t="s">
        <v>1395</v>
      </c>
      <c r="G7403" s="10" t="s">
        <v>75</v>
      </c>
      <c r="H7403" s="9" t="s">
        <v>22</v>
      </c>
      <c r="I7403" s="9" t="s">
        <v>16584</v>
      </c>
      <c r="J7403" s="10" t="str">
        <f>HYPERLINK("https://www.boe.es/gazeta/dias/1834/04/16/pdfs/GMD-1834-55.pdf#page=4","Abrir facsímil")</f>
        <v>Abrir facsímil</v>
      </c>
      <c r="K7403" s="10" t="s">
        <v>24</v>
      </c>
    </row>
    <row r="7404" spans="1:11" ht="54" customHeight="1">
      <c r="A7404" s="9" t="s">
        <v>16585</v>
      </c>
      <c r="B7404" s="9" t="s">
        <v>16585</v>
      </c>
      <c r="C7404" s="9" t="s">
        <v>17</v>
      </c>
      <c r="D7404" s="9" t="s">
        <v>18</v>
      </c>
      <c r="E7404" s="10" t="s">
        <v>330</v>
      </c>
      <c r="F7404" s="9" t="s">
        <v>331</v>
      </c>
      <c r="G7404" s="10" t="s">
        <v>86</v>
      </c>
      <c r="H7404" s="9" t="s">
        <v>22</v>
      </c>
      <c r="I7404" s="9" t="s">
        <v>16586</v>
      </c>
      <c r="J7404" s="10" t="str">
        <f>HYPERLINK("https://www.boe.es/gazeta/dias/1834/12/03/pdfs/GMD-1834-292.pdf#page=2","Abrir facsímil")</f>
        <v>Abrir facsímil</v>
      </c>
      <c r="K7404" s="10" t="s">
        <v>24</v>
      </c>
    </row>
    <row r="7405" spans="1:11" ht="54" customHeight="1">
      <c r="A7405" s="9" t="s">
        <v>16585</v>
      </c>
      <c r="B7405" s="9" t="s">
        <v>16585</v>
      </c>
      <c r="C7405" s="9" t="s">
        <v>122</v>
      </c>
      <c r="D7405" s="9" t="s">
        <v>18</v>
      </c>
      <c r="E7405" s="10" t="s">
        <v>2212</v>
      </c>
      <c r="F7405" s="9" t="s">
        <v>5450</v>
      </c>
      <c r="G7405" s="10" t="s">
        <v>21</v>
      </c>
      <c r="H7405" s="9" t="s">
        <v>22</v>
      </c>
      <c r="I7405" s="9" t="s">
        <v>16587</v>
      </c>
      <c r="J7405" s="10" t="str">
        <f>HYPERLINK("https://www.boe.es/gazeta/dias/1834/08/04/pdfs/GMD-1834-168.pdf#page=3","Abrir facsímil")</f>
        <v>Abrir facsímil</v>
      </c>
      <c r="K7405" s="10" t="s">
        <v>24</v>
      </c>
    </row>
    <row r="7406" spans="1:11" ht="54" customHeight="1">
      <c r="A7406" s="9" t="s">
        <v>16585</v>
      </c>
      <c r="B7406" s="9" t="s">
        <v>16585</v>
      </c>
      <c r="C7406" s="9" t="s">
        <v>17</v>
      </c>
      <c r="D7406" s="9" t="s">
        <v>18</v>
      </c>
      <c r="E7406" s="10" t="s">
        <v>364</v>
      </c>
      <c r="F7406" s="9" t="s">
        <v>2102</v>
      </c>
      <c r="G7406" s="10" t="s">
        <v>86</v>
      </c>
      <c r="H7406" s="9" t="s">
        <v>22</v>
      </c>
      <c r="I7406" s="9" t="s">
        <v>16588</v>
      </c>
      <c r="J7406" s="10" t="str">
        <f>HYPERLINK("https://www.boe.es/gazeta/dias/1834/09/06/pdfs/GMD-1834-204.pdf#page=2","Abrir facsímil")</f>
        <v>Abrir facsímil</v>
      </c>
      <c r="K7406" s="10" t="s">
        <v>24</v>
      </c>
    </row>
    <row r="7407" spans="1:11" ht="54" customHeight="1">
      <c r="A7407" s="9" t="s">
        <v>16585</v>
      </c>
      <c r="B7407" s="9" t="s">
        <v>16585</v>
      </c>
      <c r="C7407" s="9" t="s">
        <v>46</v>
      </c>
      <c r="D7407" s="9" t="s">
        <v>101</v>
      </c>
      <c r="E7407" s="10" t="s">
        <v>1742</v>
      </c>
      <c r="F7407" s="9" t="s">
        <v>1743</v>
      </c>
      <c r="G7407" s="10" t="s">
        <v>86</v>
      </c>
      <c r="H7407" s="9" t="s">
        <v>22</v>
      </c>
      <c r="I7407" s="9" t="s">
        <v>16589</v>
      </c>
      <c r="J7407" s="10" t="str">
        <f>HYPERLINK("https://www.boe.es/gazeta/dias/1834/11/06/pdfs/GMD-1834-265.pdf#page=2","Abrir facsímil")</f>
        <v>Abrir facsímil</v>
      </c>
      <c r="K7407" s="10" t="s">
        <v>24</v>
      </c>
    </row>
    <row r="7408" spans="1:11" ht="54" customHeight="1">
      <c r="A7408" s="9" t="s">
        <v>16585</v>
      </c>
      <c r="B7408" s="9" t="s">
        <v>16585</v>
      </c>
      <c r="C7408" s="9" t="s">
        <v>17</v>
      </c>
      <c r="D7408" s="9" t="s">
        <v>55</v>
      </c>
      <c r="E7408" s="10" t="s">
        <v>429</v>
      </c>
      <c r="F7408" s="9" t="s">
        <v>3421</v>
      </c>
      <c r="G7408" s="10" t="s">
        <v>21</v>
      </c>
      <c r="H7408" s="9" t="s">
        <v>22</v>
      </c>
      <c r="I7408" s="9" t="s">
        <v>16590</v>
      </c>
      <c r="J7408" s="10" t="str">
        <f>HYPERLINK("https://www.boe.es/gazeta/dias/1834/08/07/pdfs/GMD-1834-172.pdf#page=3","Abrir facsímil")</f>
        <v>Abrir facsímil</v>
      </c>
      <c r="K7408" s="10" t="s">
        <v>24</v>
      </c>
    </row>
    <row r="7409" spans="1:11" ht="54" customHeight="1">
      <c r="A7409" s="9" t="s">
        <v>16585</v>
      </c>
      <c r="B7409" s="9" t="s">
        <v>16585</v>
      </c>
      <c r="C7409" s="9" t="s">
        <v>17</v>
      </c>
      <c r="D7409" s="9" t="s">
        <v>55</v>
      </c>
      <c r="E7409" s="10" t="s">
        <v>1839</v>
      </c>
      <c r="F7409" s="9" t="s">
        <v>3598</v>
      </c>
      <c r="G7409" s="10" t="s">
        <v>86</v>
      </c>
      <c r="H7409" s="9" t="s">
        <v>22</v>
      </c>
      <c r="I7409" s="9" t="s">
        <v>16591</v>
      </c>
      <c r="J7409" s="10" t="str">
        <f>HYPERLINK("https://www.boe.es/gazeta/dias/1834/08/12/pdfs/GMD-1834-177.pdf#page=2","Abrir facsímil")</f>
        <v>Abrir facsímil</v>
      </c>
      <c r="K7409" s="10" t="s">
        <v>24</v>
      </c>
    </row>
    <row r="7410" spans="1:11" ht="54" customHeight="1">
      <c r="A7410" s="9" t="s">
        <v>16585</v>
      </c>
      <c r="B7410" s="9" t="s">
        <v>16585</v>
      </c>
      <c r="C7410" s="9" t="s">
        <v>17</v>
      </c>
      <c r="D7410" s="9" t="s">
        <v>18</v>
      </c>
      <c r="E7410" s="10" t="s">
        <v>444</v>
      </c>
      <c r="F7410" s="9" t="s">
        <v>2412</v>
      </c>
      <c r="G7410" s="10" t="s">
        <v>86</v>
      </c>
      <c r="H7410" s="9" t="s">
        <v>22</v>
      </c>
      <c r="I7410" s="9" t="s">
        <v>16592</v>
      </c>
      <c r="J7410" s="10" t="str">
        <f>HYPERLINK("https://www.boe.es/gazeta/dias/1834/09/12/pdfs/GMD-1834-210.pdf#page=2","Abrir facsímil")</f>
        <v>Abrir facsímil</v>
      </c>
      <c r="K7410" s="10" t="s">
        <v>24</v>
      </c>
    </row>
    <row r="7411" spans="1:11" ht="54" customHeight="1">
      <c r="A7411" s="9" t="s">
        <v>16585</v>
      </c>
      <c r="B7411" s="9" t="s">
        <v>16585</v>
      </c>
      <c r="C7411" s="9" t="s">
        <v>66</v>
      </c>
      <c r="D7411" s="9" t="s">
        <v>67</v>
      </c>
      <c r="E7411" s="10" t="s">
        <v>479</v>
      </c>
      <c r="F7411" s="9" t="s">
        <v>480</v>
      </c>
      <c r="G7411" s="10" t="s">
        <v>86</v>
      </c>
      <c r="H7411" s="9" t="s">
        <v>22</v>
      </c>
      <c r="I7411" s="9" t="s">
        <v>16593</v>
      </c>
      <c r="J7411" s="10" t="str">
        <f>HYPERLINK("https://www.boe.es/gazeta/dias/1834/08/13/pdfs/GMD-1834-178.pdf#page=2","Abrir facsímil")</f>
        <v>Abrir facsímil</v>
      </c>
      <c r="K7411" s="10" t="s">
        <v>24</v>
      </c>
    </row>
    <row r="7412" spans="1:11" ht="54" customHeight="1">
      <c r="A7412" s="9" t="s">
        <v>16585</v>
      </c>
      <c r="B7412" s="9" t="s">
        <v>16585</v>
      </c>
      <c r="C7412" s="9" t="s">
        <v>17</v>
      </c>
      <c r="D7412" s="9" t="s">
        <v>18</v>
      </c>
      <c r="E7412" s="10" t="s">
        <v>1186</v>
      </c>
      <c r="F7412" s="9" t="s">
        <v>1187</v>
      </c>
      <c r="G7412" s="10" t="s">
        <v>34</v>
      </c>
      <c r="H7412" s="9" t="s">
        <v>22</v>
      </c>
      <c r="I7412" s="9" t="s">
        <v>16594</v>
      </c>
      <c r="J7412" s="10" t="str">
        <f>HYPERLINK("https://www.boe.es/gazeta/dias/1834/08/14/pdfs/GMD-1834-179.pdf#page=1","Abrir facsímil")</f>
        <v>Abrir facsímil</v>
      </c>
      <c r="K7412" s="10" t="s">
        <v>24</v>
      </c>
    </row>
    <row r="7413" spans="1:11" ht="54" customHeight="1">
      <c r="A7413" s="9" t="s">
        <v>16585</v>
      </c>
      <c r="B7413" s="9" t="s">
        <v>16585</v>
      </c>
      <c r="C7413" s="9" t="s">
        <v>17</v>
      </c>
      <c r="D7413" s="9" t="s">
        <v>18</v>
      </c>
      <c r="E7413" s="10" t="s">
        <v>1424</v>
      </c>
      <c r="F7413" s="9" t="s">
        <v>3445</v>
      </c>
      <c r="G7413" s="10" t="s">
        <v>86</v>
      </c>
      <c r="H7413" s="9" t="s">
        <v>22</v>
      </c>
      <c r="I7413" s="9" t="s">
        <v>16595</v>
      </c>
      <c r="J7413" s="10" t="str">
        <f>HYPERLINK("https://www.boe.es/gazeta/dias/1834/11/14/pdfs/GMD-1834-273.pdf#page=2","Abrir facsímil")</f>
        <v>Abrir facsímil</v>
      </c>
      <c r="K7413" s="10" t="s">
        <v>24</v>
      </c>
    </row>
    <row r="7414" spans="1:11" ht="54" customHeight="1">
      <c r="A7414" s="9" t="s">
        <v>16585</v>
      </c>
      <c r="B7414" s="9" t="s">
        <v>16585</v>
      </c>
      <c r="C7414" s="9" t="s">
        <v>17</v>
      </c>
      <c r="D7414" s="9" t="s">
        <v>55</v>
      </c>
      <c r="E7414" s="10" t="s">
        <v>233</v>
      </c>
      <c r="F7414" s="9" t="s">
        <v>234</v>
      </c>
      <c r="G7414" s="10" t="s">
        <v>86</v>
      </c>
      <c r="H7414" s="9" t="s">
        <v>22</v>
      </c>
      <c r="I7414" s="9" t="s">
        <v>16596</v>
      </c>
      <c r="J7414" s="10" t="str">
        <f>HYPERLINK("https://www.boe.es/gazeta/dias/1834/12/16/pdfs/GMD-1834-305.pdf#page=2","Abrir facsímil")</f>
        <v>Abrir facsímil</v>
      </c>
      <c r="K7414" s="10" t="s">
        <v>24</v>
      </c>
    </row>
    <row r="7415" spans="1:11" ht="54" customHeight="1">
      <c r="A7415" s="9" t="s">
        <v>16585</v>
      </c>
      <c r="B7415" s="9" t="s">
        <v>16585</v>
      </c>
      <c r="C7415" s="9" t="s">
        <v>46</v>
      </c>
      <c r="D7415" s="9" t="s">
        <v>101</v>
      </c>
      <c r="E7415" s="10" t="s">
        <v>233</v>
      </c>
      <c r="F7415" s="9" t="s">
        <v>234</v>
      </c>
      <c r="G7415" s="10" t="s">
        <v>75</v>
      </c>
      <c r="H7415" s="9" t="s">
        <v>22</v>
      </c>
      <c r="I7415" s="9" t="s">
        <v>16597</v>
      </c>
      <c r="J7415" s="10" t="str">
        <f>HYPERLINK("https://www.boe.es/gazeta/dias/1834/12/16/pdfs/GMD-1834-305.pdf#page=4","Abrir facsímil")</f>
        <v>Abrir facsímil</v>
      </c>
      <c r="K7415" s="10" t="s">
        <v>24</v>
      </c>
    </row>
    <row r="7416" spans="1:11" ht="54" customHeight="1">
      <c r="A7416" s="9" t="s">
        <v>16585</v>
      </c>
      <c r="B7416" s="9" t="s">
        <v>16585</v>
      </c>
      <c r="C7416" s="9" t="s">
        <v>90</v>
      </c>
      <c r="D7416" s="9" t="s">
        <v>18</v>
      </c>
      <c r="E7416" s="10" t="s">
        <v>492</v>
      </c>
      <c r="F7416" s="9" t="s">
        <v>1672</v>
      </c>
      <c r="G7416" s="10" t="s">
        <v>86</v>
      </c>
      <c r="H7416" s="9" t="s">
        <v>22</v>
      </c>
      <c r="I7416" s="9" t="s">
        <v>16598</v>
      </c>
      <c r="J7416" s="10" t="str">
        <f>HYPERLINK("https://www.boe.es/gazeta/dias/1834/11/21/pdfs/GMD-1834-280.pdf#page=2","Abrir facsímil")</f>
        <v>Abrir facsímil</v>
      </c>
      <c r="K7416" s="10" t="s">
        <v>24</v>
      </c>
    </row>
    <row r="7417" spans="1:11" ht="54" customHeight="1">
      <c r="A7417" s="9" t="s">
        <v>16585</v>
      </c>
      <c r="B7417" s="9" t="s">
        <v>16585</v>
      </c>
      <c r="C7417" s="9" t="s">
        <v>46</v>
      </c>
      <c r="D7417" s="9" t="s">
        <v>55</v>
      </c>
      <c r="E7417" s="10" t="s">
        <v>702</v>
      </c>
      <c r="F7417" s="9" t="s">
        <v>2427</v>
      </c>
      <c r="G7417" s="10" t="s">
        <v>86</v>
      </c>
      <c r="H7417" s="9" t="s">
        <v>22</v>
      </c>
      <c r="I7417" s="9" t="s">
        <v>16599</v>
      </c>
      <c r="J7417" s="10" t="str">
        <f>HYPERLINK("https://www.boe.es/gazeta/dias/1834/11/22/pdfs/GMD-1834-281.pdf#page=2","Abrir facsímil")</f>
        <v>Abrir facsímil</v>
      </c>
      <c r="K7417" s="10" t="s">
        <v>24</v>
      </c>
    </row>
    <row r="7418" spans="1:11" ht="54" customHeight="1">
      <c r="A7418" s="9" t="s">
        <v>16585</v>
      </c>
      <c r="B7418" s="9" t="s">
        <v>16585</v>
      </c>
      <c r="C7418" s="9" t="s">
        <v>90</v>
      </c>
      <c r="D7418" s="9" t="s">
        <v>18</v>
      </c>
      <c r="E7418" s="10" t="s">
        <v>707</v>
      </c>
      <c r="F7418" s="9" t="s">
        <v>1359</v>
      </c>
      <c r="G7418" s="10" t="s">
        <v>86</v>
      </c>
      <c r="H7418" s="9" t="s">
        <v>22</v>
      </c>
      <c r="I7418" s="9" t="s">
        <v>16600</v>
      </c>
      <c r="J7418" s="10" t="str">
        <f>HYPERLINK("https://www.boe.es/gazeta/dias/1834/11/25/pdfs/GMD-1834-284.pdf#page=2","Abrir facsímil")</f>
        <v>Abrir facsímil</v>
      </c>
      <c r="K7418" s="10" t="s">
        <v>24</v>
      </c>
    </row>
    <row r="7419" spans="1:11" ht="54" customHeight="1">
      <c r="A7419" s="9" t="s">
        <v>16585</v>
      </c>
      <c r="B7419" s="9" t="s">
        <v>16585</v>
      </c>
      <c r="C7419" s="9" t="s">
        <v>17</v>
      </c>
      <c r="D7419" s="9" t="s">
        <v>101</v>
      </c>
      <c r="E7419" s="10" t="s">
        <v>1677</v>
      </c>
      <c r="F7419" s="9" t="s">
        <v>1678</v>
      </c>
      <c r="G7419" s="10" t="s">
        <v>75</v>
      </c>
      <c r="H7419" s="9" t="s">
        <v>22</v>
      </c>
      <c r="I7419" s="9" t="s">
        <v>16601</v>
      </c>
      <c r="J7419" s="10" t="str">
        <f>HYPERLINK("https://www.boe.es/gazeta/dias/1834/07/26/pdfs/GMD-1834-159.pdf#page=4","Abrir facsímil")</f>
        <v>Abrir facsímil</v>
      </c>
      <c r="K7419" s="10" t="s">
        <v>24</v>
      </c>
    </row>
    <row r="7420" spans="1:11" ht="54" customHeight="1">
      <c r="A7420" s="9" t="s">
        <v>16585</v>
      </c>
      <c r="B7420" s="9" t="s">
        <v>16585</v>
      </c>
      <c r="C7420" s="9" t="s">
        <v>17</v>
      </c>
      <c r="D7420" s="9" t="s">
        <v>55</v>
      </c>
      <c r="E7420" s="10" t="s">
        <v>510</v>
      </c>
      <c r="F7420" s="9" t="s">
        <v>511</v>
      </c>
      <c r="G7420" s="10" t="s">
        <v>21</v>
      </c>
      <c r="H7420" s="9" t="s">
        <v>22</v>
      </c>
      <c r="I7420" s="9" t="s">
        <v>16602</v>
      </c>
      <c r="J7420" s="10" t="str">
        <f>HYPERLINK("https://www.boe.es/gazeta/dias/1834/11/26/pdfs/GMD-1834-285.pdf#page=3","Abrir facsímil")</f>
        <v>Abrir facsímil</v>
      </c>
      <c r="K7420" s="10" t="s">
        <v>24</v>
      </c>
    </row>
    <row r="7421" spans="1:11" ht="54" customHeight="1">
      <c r="A7421" s="9" t="s">
        <v>16585</v>
      </c>
      <c r="B7421" s="9" t="s">
        <v>16585</v>
      </c>
      <c r="C7421" s="9" t="s">
        <v>66</v>
      </c>
      <c r="D7421" s="9" t="s">
        <v>67</v>
      </c>
      <c r="E7421" s="10" t="s">
        <v>408</v>
      </c>
      <c r="F7421" s="9" t="s">
        <v>409</v>
      </c>
      <c r="G7421" s="10" t="s">
        <v>86</v>
      </c>
      <c r="H7421" s="9" t="s">
        <v>22</v>
      </c>
      <c r="I7421" s="9" t="s">
        <v>16603</v>
      </c>
      <c r="J7421" s="10" t="str">
        <f>HYPERLINK("https://www.boe.es/gazeta/dias/1834/04/28/pdfs/GMD-1834-67.pdf#page=2","Abrir facsímil")</f>
        <v>Abrir facsímil</v>
      </c>
      <c r="K7421" s="10" t="s">
        <v>24</v>
      </c>
    </row>
    <row r="7422" spans="1:11" ht="54" customHeight="1">
      <c r="A7422" s="9" t="s">
        <v>16585</v>
      </c>
      <c r="B7422" s="9" t="s">
        <v>16585</v>
      </c>
      <c r="C7422" s="9" t="s">
        <v>17</v>
      </c>
      <c r="D7422" s="9" t="s">
        <v>18</v>
      </c>
      <c r="E7422" s="10" t="s">
        <v>1689</v>
      </c>
      <c r="F7422" s="9" t="s">
        <v>1690</v>
      </c>
      <c r="G7422" s="10" t="s">
        <v>86</v>
      </c>
      <c r="H7422" s="9" t="s">
        <v>22</v>
      </c>
      <c r="I7422" s="9" t="s">
        <v>16604</v>
      </c>
      <c r="J7422" s="10" t="str">
        <f>HYPERLINK("https://www.boe.es/gazeta/dias/1834/07/28/pdfs/GMD-1834-161.pdf#page=2","Abrir facsímil")</f>
        <v>Abrir facsímil</v>
      </c>
      <c r="K7422" s="10" t="s">
        <v>24</v>
      </c>
    </row>
    <row r="7423" spans="1:11" ht="54" customHeight="1">
      <c r="A7423" s="9" t="s">
        <v>16585</v>
      </c>
      <c r="B7423" s="9" t="s">
        <v>16585</v>
      </c>
      <c r="C7423" s="9" t="s">
        <v>17</v>
      </c>
      <c r="D7423" s="9" t="s">
        <v>18</v>
      </c>
      <c r="E7423" s="10" t="s">
        <v>280</v>
      </c>
      <c r="F7423" s="9" t="s">
        <v>3217</v>
      </c>
      <c r="G7423" s="10" t="s">
        <v>21</v>
      </c>
      <c r="H7423" s="9" t="s">
        <v>22</v>
      </c>
      <c r="I7423" s="9" t="s">
        <v>16605</v>
      </c>
      <c r="J7423" s="10" t="str">
        <f>HYPERLINK("https://www.boe.es/gazeta/dias/1834/08/29/pdfs/GMD-1834-195.pdf#page=3","Abrir facsímil")</f>
        <v>Abrir facsímil</v>
      </c>
      <c r="K7423" s="10" t="s">
        <v>24</v>
      </c>
    </row>
    <row r="7424" spans="1:11" ht="54" customHeight="1">
      <c r="A7424" s="9" t="s">
        <v>16606</v>
      </c>
      <c r="B7424" s="9" t="s">
        <v>16607</v>
      </c>
      <c r="C7424" s="9" t="s">
        <v>46</v>
      </c>
      <c r="D7424" s="9" t="s">
        <v>101</v>
      </c>
      <c r="E7424" s="10" t="s">
        <v>233</v>
      </c>
      <c r="F7424" s="9" t="s">
        <v>234</v>
      </c>
      <c r="G7424" s="10" t="s">
        <v>75</v>
      </c>
      <c r="H7424" s="9" t="s">
        <v>22</v>
      </c>
      <c r="I7424" s="9" t="s">
        <v>16608</v>
      </c>
      <c r="J7424" s="10" t="str">
        <f>HYPERLINK("https://www.boe.es/gazeta/dias/1834/12/16/pdfs/GMD-1834-305.pdf#page=4","Abrir facsímil")</f>
        <v>Abrir facsímil</v>
      </c>
      <c r="K7424" s="10" t="s">
        <v>24</v>
      </c>
    </row>
    <row r="7425" spans="1:11" ht="54" customHeight="1">
      <c r="A7425" s="9" t="s">
        <v>16609</v>
      </c>
      <c r="B7425" s="9" t="s">
        <v>16610</v>
      </c>
      <c r="C7425" s="9" t="s">
        <v>17</v>
      </c>
      <c r="D7425" s="9" t="s">
        <v>101</v>
      </c>
      <c r="E7425" s="10" t="s">
        <v>1234</v>
      </c>
      <c r="F7425" s="9" t="s">
        <v>1455</v>
      </c>
      <c r="G7425" s="10" t="s">
        <v>34</v>
      </c>
      <c r="H7425" s="9" t="s">
        <v>22</v>
      </c>
      <c r="I7425" s="9" t="s">
        <v>16611</v>
      </c>
      <c r="J7425" s="10" t="str">
        <f>HYPERLINK("https://www.boe.es/gazeta/dias/1834/05/15/pdfs/GMD-1834-84.pdf#page=1","Abrir facsímil")</f>
        <v>Abrir facsímil</v>
      </c>
      <c r="K7425" s="10" t="s">
        <v>24</v>
      </c>
    </row>
    <row r="7426" spans="1:11" ht="54" customHeight="1">
      <c r="A7426" s="9" t="s">
        <v>16612</v>
      </c>
      <c r="B7426" s="9" t="s">
        <v>16612</v>
      </c>
      <c r="C7426" s="9" t="s">
        <v>17</v>
      </c>
      <c r="D7426" s="9" t="s">
        <v>18</v>
      </c>
      <c r="E7426" s="10" t="s">
        <v>2087</v>
      </c>
      <c r="F7426" s="9" t="s">
        <v>2088</v>
      </c>
      <c r="G7426" s="10" t="s">
        <v>86</v>
      </c>
      <c r="H7426" s="9" t="s">
        <v>22</v>
      </c>
      <c r="I7426" s="9" t="s">
        <v>16613</v>
      </c>
      <c r="J7426" s="10" t="str">
        <f>HYPERLINK("https://www.boe.es/gazeta/dias/1834/12/14/pdfs/GMD-1834-303.pdf#page=2","Abrir facsímil")</f>
        <v>Abrir facsímil</v>
      </c>
      <c r="K7426" s="10" t="s">
        <v>24</v>
      </c>
    </row>
    <row r="7427" spans="1:11" ht="54" customHeight="1">
      <c r="A7427" s="9" t="s">
        <v>16614</v>
      </c>
      <c r="B7427" s="9" t="s">
        <v>16614</v>
      </c>
      <c r="C7427" s="9" t="s">
        <v>90</v>
      </c>
      <c r="D7427" s="9" t="s">
        <v>101</v>
      </c>
      <c r="E7427" s="10" t="s">
        <v>696</v>
      </c>
      <c r="F7427" s="9" t="s">
        <v>854</v>
      </c>
      <c r="G7427" s="10" t="s">
        <v>34</v>
      </c>
      <c r="H7427" s="9" t="s">
        <v>22</v>
      </c>
      <c r="I7427" s="9" t="s">
        <v>16615</v>
      </c>
      <c r="J7427" s="10" t="str">
        <f>HYPERLINK("https://www.boe.es/gazeta/dias/1834/12/06/pdfs/GMD-1834-295.pdf#page=1","Abrir facsímil")</f>
        <v>Abrir facsímil</v>
      </c>
      <c r="K7427" s="10" t="s">
        <v>24</v>
      </c>
    </row>
    <row r="7428" spans="1:11" ht="54" customHeight="1">
      <c r="A7428" s="9" t="s">
        <v>16616</v>
      </c>
      <c r="B7428" s="9" t="s">
        <v>16616</v>
      </c>
      <c r="C7428" s="9" t="s">
        <v>17</v>
      </c>
      <c r="D7428" s="9" t="s">
        <v>18</v>
      </c>
      <c r="E7428" s="10" t="s">
        <v>371</v>
      </c>
      <c r="F7428" s="9" t="s">
        <v>372</v>
      </c>
      <c r="G7428" s="10" t="s">
        <v>86</v>
      </c>
      <c r="H7428" s="9" t="s">
        <v>22</v>
      </c>
      <c r="I7428" s="9" t="s">
        <v>16617</v>
      </c>
      <c r="J7428" s="10" t="str">
        <f>HYPERLINK("https://www.boe.es/gazeta/dias/1834/05/27/pdfs/GMD-1834-96.pdf#page=2","Abrir facsímil")</f>
        <v>Abrir facsímil</v>
      </c>
      <c r="K7428" s="10" t="s">
        <v>24</v>
      </c>
    </row>
    <row r="7429" spans="1:11" ht="54" customHeight="1">
      <c r="A7429" s="9" t="s">
        <v>16618</v>
      </c>
      <c r="B7429" s="9" t="s">
        <v>16618</v>
      </c>
      <c r="C7429" s="9" t="s">
        <v>17</v>
      </c>
      <c r="D7429" s="9" t="s">
        <v>18</v>
      </c>
      <c r="E7429" s="10" t="s">
        <v>601</v>
      </c>
      <c r="F7429" s="9" t="s">
        <v>602</v>
      </c>
      <c r="G7429" s="10" t="s">
        <v>21</v>
      </c>
      <c r="H7429" s="9" t="s">
        <v>22</v>
      </c>
      <c r="I7429" s="9" t="s">
        <v>16619</v>
      </c>
      <c r="J7429" s="10" t="str">
        <f>HYPERLINK("https://www.boe.es/gazeta/dias/1834/08/16/pdfs/GMD-1834-181.pdf#page=3","Abrir facsímil")</f>
        <v>Abrir facsímil</v>
      </c>
      <c r="K7429" s="10" t="s">
        <v>24</v>
      </c>
    </row>
    <row r="7430" spans="1:11" ht="54" customHeight="1">
      <c r="A7430" s="9" t="s">
        <v>16620</v>
      </c>
      <c r="B7430" s="9" t="s">
        <v>16620</v>
      </c>
      <c r="C7430" s="9" t="s">
        <v>46</v>
      </c>
      <c r="D7430" s="9" t="s">
        <v>18</v>
      </c>
      <c r="E7430" s="10" t="s">
        <v>167</v>
      </c>
      <c r="F7430" s="9" t="s">
        <v>1200</v>
      </c>
      <c r="G7430" s="10" t="s">
        <v>560</v>
      </c>
      <c r="H7430" s="9" t="s">
        <v>22</v>
      </c>
      <c r="I7430" s="9" t="s">
        <v>16621</v>
      </c>
      <c r="J7430" s="10" t="str">
        <f>HYPERLINK("https://www.boe.es/gazeta/dias/1834/09/07/pdfs/GMD-C-1834-205.pdf#page=7","Abrir facsímil")</f>
        <v>Abrir facsímil</v>
      </c>
      <c r="K7430" s="10" t="s">
        <v>24</v>
      </c>
    </row>
    <row r="7431" spans="1:11" ht="54" customHeight="1">
      <c r="A7431" s="9" t="s">
        <v>16622</v>
      </c>
      <c r="B7431" s="9" t="s">
        <v>16622</v>
      </c>
      <c r="C7431" s="9" t="s">
        <v>122</v>
      </c>
      <c r="D7431" s="9" t="s">
        <v>40</v>
      </c>
      <c r="E7431" s="10" t="s">
        <v>3488</v>
      </c>
      <c r="F7431" s="9" t="s">
        <v>3489</v>
      </c>
      <c r="G7431" s="10" t="s">
        <v>75</v>
      </c>
      <c r="H7431" s="9" t="s">
        <v>22</v>
      </c>
      <c r="I7431" s="9" t="s">
        <v>16623</v>
      </c>
      <c r="J7431" s="10" t="str">
        <f>HYPERLINK("https://www.boe.es/gazeta/dias/1834/06/22/pdfs/GMD-1834-125.pdf#page=4","Abrir facsímil")</f>
        <v>Abrir facsímil</v>
      </c>
      <c r="K7431" s="10" t="s">
        <v>24</v>
      </c>
    </row>
    <row r="7432" spans="1:11" ht="54" customHeight="1">
      <c r="A7432" s="9" t="s">
        <v>16622</v>
      </c>
      <c r="B7432" s="9" t="s">
        <v>16622</v>
      </c>
      <c r="C7432" s="9" t="s">
        <v>66</v>
      </c>
      <c r="D7432" s="9" t="s">
        <v>67</v>
      </c>
      <c r="E7432" s="10" t="s">
        <v>468</v>
      </c>
      <c r="F7432" s="9" t="s">
        <v>11413</v>
      </c>
      <c r="G7432" s="10" t="s">
        <v>86</v>
      </c>
      <c r="H7432" s="9" t="s">
        <v>22</v>
      </c>
      <c r="I7432" s="9" t="s">
        <v>16624</v>
      </c>
      <c r="J7432" s="10" t="str">
        <f>HYPERLINK("https://www.boe.es/gazeta/dias/1834/12/28/pdfs/GMD-1834-318.pdf#page=2","Abrir facsímil")</f>
        <v>Abrir facsímil</v>
      </c>
      <c r="K7432" s="10" t="s">
        <v>24</v>
      </c>
    </row>
    <row r="7433" spans="1:11" ht="54" customHeight="1">
      <c r="A7433" s="9" t="s">
        <v>16625</v>
      </c>
      <c r="B7433" s="9" t="s">
        <v>16625</v>
      </c>
      <c r="C7433" s="9" t="s">
        <v>17</v>
      </c>
      <c r="D7433" s="9" t="s">
        <v>18</v>
      </c>
      <c r="E7433" s="10" t="s">
        <v>167</v>
      </c>
      <c r="F7433" s="9" t="s">
        <v>1200</v>
      </c>
      <c r="G7433" s="10" t="s">
        <v>21</v>
      </c>
      <c r="H7433" s="9" t="s">
        <v>22</v>
      </c>
      <c r="I7433" s="9" t="s">
        <v>16626</v>
      </c>
      <c r="J7433" s="10" t="str">
        <f>HYPERLINK("https://www.boe.es/gazeta/dias/1834/09/07/pdfs/GMD-C-1834-205.pdf#page=3","Abrir facsímil")</f>
        <v>Abrir facsímil</v>
      </c>
      <c r="K7433" s="10" t="s">
        <v>24</v>
      </c>
    </row>
    <row r="7434" spans="1:11" ht="54" customHeight="1">
      <c r="A7434" s="9" t="s">
        <v>16625</v>
      </c>
      <c r="B7434" s="9" t="s">
        <v>16625</v>
      </c>
      <c r="C7434" s="9" t="s">
        <v>17</v>
      </c>
      <c r="D7434" s="9" t="s">
        <v>101</v>
      </c>
      <c r="E7434" s="10" t="s">
        <v>590</v>
      </c>
      <c r="F7434" s="9" t="s">
        <v>591</v>
      </c>
      <c r="G7434" s="10" t="s">
        <v>75</v>
      </c>
      <c r="H7434" s="9" t="s">
        <v>22</v>
      </c>
      <c r="I7434" s="9" t="s">
        <v>16627</v>
      </c>
      <c r="J7434" s="10" t="str">
        <f>HYPERLINK("https://www.boe.es/gazeta/dias/1834/11/30/pdfs/GMD-1834-289.pdf#page=4","Abrir facsímil")</f>
        <v>Abrir facsímil</v>
      </c>
      <c r="K7434" s="10" t="s">
        <v>24</v>
      </c>
    </row>
    <row r="7435" spans="1:11" ht="54" customHeight="1">
      <c r="A7435" s="9" t="s">
        <v>16628</v>
      </c>
      <c r="B7435" s="9" t="s">
        <v>16628</v>
      </c>
      <c r="C7435" s="9" t="s">
        <v>17</v>
      </c>
      <c r="D7435" s="9" t="s">
        <v>18</v>
      </c>
      <c r="E7435" s="10" t="s">
        <v>19</v>
      </c>
      <c r="F7435" s="9" t="s">
        <v>107</v>
      </c>
      <c r="G7435" s="10" t="s">
        <v>75</v>
      </c>
      <c r="H7435" s="9" t="s">
        <v>22</v>
      </c>
      <c r="I7435" s="9" t="s">
        <v>16629</v>
      </c>
      <c r="J7435" s="10" t="str">
        <f>HYPERLINK("https://www.boe.es/gazeta/dias/1834/08/17/pdfs/GMD-1834-182.pdf#page=4","Abrir facsímil")</f>
        <v>Abrir facsímil</v>
      </c>
      <c r="K7435" s="10" t="s">
        <v>24</v>
      </c>
    </row>
    <row r="7436" spans="1:11" ht="54" customHeight="1">
      <c r="A7436" s="9" t="s">
        <v>16630</v>
      </c>
      <c r="B7436" s="9" t="s">
        <v>16630</v>
      </c>
      <c r="C7436" s="9" t="s">
        <v>17</v>
      </c>
      <c r="D7436" s="9" t="s">
        <v>101</v>
      </c>
      <c r="E7436" s="10" t="s">
        <v>441</v>
      </c>
      <c r="F7436" s="9" t="s">
        <v>442</v>
      </c>
      <c r="G7436" s="10" t="s">
        <v>75</v>
      </c>
      <c r="H7436" s="9" t="s">
        <v>22</v>
      </c>
      <c r="I7436" s="9" t="s">
        <v>16631</v>
      </c>
      <c r="J7436" s="10" t="str">
        <f>HYPERLINK("https://www.boe.es/gazeta/dias/1834/11/10/pdfs/GMD-1834-269.pdf#page=4","Abrir facsímil")</f>
        <v>Abrir facsímil</v>
      </c>
      <c r="K7436" s="10" t="s">
        <v>24</v>
      </c>
    </row>
    <row r="7437" spans="1:11" ht="54" customHeight="1">
      <c r="A7437" s="9" t="s">
        <v>16632</v>
      </c>
      <c r="B7437" s="9" t="s">
        <v>16632</v>
      </c>
      <c r="C7437" s="9" t="s">
        <v>17</v>
      </c>
      <c r="D7437" s="9" t="s">
        <v>18</v>
      </c>
      <c r="E7437" s="10" t="s">
        <v>1265</v>
      </c>
      <c r="F7437" s="9" t="s">
        <v>1266</v>
      </c>
      <c r="G7437" s="10" t="s">
        <v>86</v>
      </c>
      <c r="H7437" s="9" t="s">
        <v>22</v>
      </c>
      <c r="I7437" s="9" t="s">
        <v>16633</v>
      </c>
      <c r="J7437" s="10" t="str">
        <f>HYPERLINK("https://www.boe.es/gazeta/dias/1834/09/08/pdfs/GMD-1834-206.pdf#page=2","Abrir facsímil")</f>
        <v>Abrir facsímil</v>
      </c>
      <c r="K7437" s="10" t="s">
        <v>24</v>
      </c>
    </row>
    <row r="7438" spans="1:11" ht="54" customHeight="1">
      <c r="A7438" s="9" t="s">
        <v>16634</v>
      </c>
      <c r="B7438" s="9" t="s">
        <v>16635</v>
      </c>
      <c r="C7438" s="9" t="s">
        <v>17</v>
      </c>
      <c r="D7438" s="9" t="s">
        <v>18</v>
      </c>
      <c r="E7438" s="10" t="s">
        <v>3207</v>
      </c>
      <c r="F7438" s="9" t="s">
        <v>3208</v>
      </c>
      <c r="G7438" s="10" t="s">
        <v>75</v>
      </c>
      <c r="H7438" s="9" t="s">
        <v>35</v>
      </c>
      <c r="I7438" s="9" t="s">
        <v>16636</v>
      </c>
      <c r="J7438" s="10" t="str">
        <f>HYPERLINK("https://www.boe.es/gazeta/dias/1834/10/13/pdfs/GMD-1834-241.pdf#page=4","Abrir facsímil")</f>
        <v>Abrir facsímil</v>
      </c>
      <c r="K7438" s="10" t="s">
        <v>37</v>
      </c>
    </row>
    <row r="7439" spans="1:11" ht="54" customHeight="1">
      <c r="A7439" s="9" t="s">
        <v>16637</v>
      </c>
      <c r="B7439" s="9" t="s">
        <v>16638</v>
      </c>
      <c r="C7439" s="9" t="s">
        <v>17</v>
      </c>
      <c r="D7439" s="9" t="s">
        <v>18</v>
      </c>
      <c r="E7439" s="10" t="s">
        <v>3207</v>
      </c>
      <c r="F7439" s="9" t="s">
        <v>3208</v>
      </c>
      <c r="G7439" s="10" t="s">
        <v>75</v>
      </c>
      <c r="H7439" s="9" t="s">
        <v>22</v>
      </c>
      <c r="I7439" s="9" t="s">
        <v>16639</v>
      </c>
      <c r="J7439" s="10" t="str">
        <f>HYPERLINK("https://www.boe.es/gazeta/dias/1834/10/13/pdfs/GMD-1834-241.pdf#page=4","Abrir facsímil")</f>
        <v>Abrir facsímil</v>
      </c>
      <c r="K7439" s="10" t="s">
        <v>24</v>
      </c>
    </row>
    <row r="7440" spans="1:11" ht="54" customHeight="1">
      <c r="A7440" s="9" t="s">
        <v>16640</v>
      </c>
      <c r="B7440" s="9" t="s">
        <v>16641</v>
      </c>
      <c r="C7440" s="9" t="s">
        <v>90</v>
      </c>
      <c r="D7440" s="9" t="s">
        <v>67</v>
      </c>
      <c r="E7440" s="10" t="s">
        <v>849</v>
      </c>
      <c r="F7440" s="9" t="s">
        <v>850</v>
      </c>
      <c r="G7440" s="10" t="s">
        <v>34</v>
      </c>
      <c r="H7440" s="9" t="s">
        <v>22</v>
      </c>
      <c r="I7440" s="9" t="s">
        <v>16642</v>
      </c>
      <c r="J7440" s="10" t="str">
        <f>HYPERLINK("https://www.boe.es/gazeta/dias/1834/06/21/pdfs/GMD-1834-124.pdf#page=1","Abrir facsímil")</f>
        <v>Abrir facsímil</v>
      </c>
      <c r="K7440" s="10" t="s">
        <v>24</v>
      </c>
    </row>
    <row r="7441" spans="1:11" ht="54" customHeight="1">
      <c r="A7441" s="9" t="s">
        <v>16643</v>
      </c>
      <c r="B7441" s="9" t="s">
        <v>16644</v>
      </c>
      <c r="C7441" s="9" t="s">
        <v>17</v>
      </c>
      <c r="D7441" s="9" t="s">
        <v>18</v>
      </c>
      <c r="E7441" s="10" t="s">
        <v>416</v>
      </c>
      <c r="F7441" s="9" t="s">
        <v>1130</v>
      </c>
      <c r="G7441" s="10" t="s">
        <v>86</v>
      </c>
      <c r="H7441" s="9" t="s">
        <v>22</v>
      </c>
      <c r="I7441" s="9" t="s">
        <v>16645</v>
      </c>
      <c r="J7441" s="10" t="str">
        <f>HYPERLINK("https://www.boe.es/gazeta/dias/1834/10/02/pdfs/GMD-1834-230.pdf#page=2","Abrir facsímil")</f>
        <v>Abrir facsímil</v>
      </c>
      <c r="K7441" s="10" t="s">
        <v>24</v>
      </c>
    </row>
    <row r="7442" spans="1:11" ht="54" customHeight="1">
      <c r="A7442" s="9" t="s">
        <v>16646</v>
      </c>
      <c r="B7442" s="9" t="s">
        <v>16646</v>
      </c>
      <c r="C7442" s="9" t="s">
        <v>17</v>
      </c>
      <c r="D7442" s="9" t="s">
        <v>18</v>
      </c>
      <c r="E7442" s="10" t="s">
        <v>273</v>
      </c>
      <c r="F7442" s="9" t="s">
        <v>413</v>
      </c>
      <c r="G7442" s="10" t="s">
        <v>75</v>
      </c>
      <c r="H7442" s="9" t="s">
        <v>22</v>
      </c>
      <c r="I7442" s="9" t="s">
        <v>16647</v>
      </c>
      <c r="J7442" s="10" t="str">
        <f>HYPERLINK("https://www.boe.es/gazeta/dias/1834/08/31/pdfs/GMD-1834-198.pdf#page=4","Abrir facsímil")</f>
        <v>Abrir facsímil</v>
      </c>
      <c r="K7442" s="10" t="s">
        <v>24</v>
      </c>
    </row>
    <row r="7443" spans="1:11" ht="54" customHeight="1">
      <c r="A7443" s="9" t="s">
        <v>16648</v>
      </c>
      <c r="B7443" s="9" t="s">
        <v>16648</v>
      </c>
      <c r="C7443" s="9" t="s">
        <v>17</v>
      </c>
      <c r="D7443" s="9" t="s">
        <v>18</v>
      </c>
      <c r="E7443" s="10" t="s">
        <v>304</v>
      </c>
      <c r="F7443" s="9" t="s">
        <v>305</v>
      </c>
      <c r="G7443" s="10" t="s">
        <v>21</v>
      </c>
      <c r="H7443" s="9" t="s">
        <v>22</v>
      </c>
      <c r="I7443" s="9" t="s">
        <v>16649</v>
      </c>
      <c r="J7443" s="10" t="str">
        <f>HYPERLINK("https://www.boe.es/gazeta/dias/1834/01/21/pdfs/GMD-1834-10.pdf#page=3","Abrir facsímil")</f>
        <v>Abrir facsímil</v>
      </c>
      <c r="K7443" s="10" t="s">
        <v>24</v>
      </c>
    </row>
    <row r="7444" spans="1:11" ht="54" customHeight="1">
      <c r="A7444" s="9" t="s">
        <v>16650</v>
      </c>
      <c r="B7444" s="9" t="s">
        <v>16651</v>
      </c>
      <c r="C7444" s="9" t="s">
        <v>66</v>
      </c>
      <c r="D7444" s="9" t="s">
        <v>67</v>
      </c>
      <c r="E7444" s="10" t="s">
        <v>3328</v>
      </c>
      <c r="F7444" s="9" t="s">
        <v>3329</v>
      </c>
      <c r="G7444" s="10" t="s">
        <v>21</v>
      </c>
      <c r="H7444" s="9" t="s">
        <v>22</v>
      </c>
      <c r="I7444" s="9" t="s">
        <v>16652</v>
      </c>
      <c r="J7444" s="10" t="str">
        <f>HYPERLINK("https://www.boe.es/gazeta/dias/1834/06/04/pdfs/GMD-1834-106.pdf#page=3","Abrir facsímil")</f>
        <v>Abrir facsímil</v>
      </c>
      <c r="K7444" s="10" t="s">
        <v>24</v>
      </c>
    </row>
    <row r="7445" spans="1:11" ht="54" customHeight="1">
      <c r="A7445" s="9" t="s">
        <v>16653</v>
      </c>
      <c r="B7445" s="9" t="s">
        <v>16653</v>
      </c>
      <c r="C7445" s="9" t="s">
        <v>90</v>
      </c>
      <c r="D7445" s="9" t="s">
        <v>18</v>
      </c>
      <c r="E7445" s="10" t="s">
        <v>1773</v>
      </c>
      <c r="F7445" s="9" t="s">
        <v>1774</v>
      </c>
      <c r="G7445" s="10" t="s">
        <v>75</v>
      </c>
      <c r="H7445" s="9" t="s">
        <v>22</v>
      </c>
      <c r="I7445" s="9" t="s">
        <v>16654</v>
      </c>
      <c r="J7445" s="10" t="str">
        <f>HYPERLINK("https://www.boe.es/gazeta/dias/1834/06/28/pdfs/GMD-1834-131.pdf#page=4","Abrir facsímil")</f>
        <v>Abrir facsímil</v>
      </c>
      <c r="K7445" s="10" t="s">
        <v>24</v>
      </c>
    </row>
    <row r="7446" spans="1:11" ht="54" customHeight="1">
      <c r="A7446" s="9" t="s">
        <v>16655</v>
      </c>
      <c r="B7446" s="9" t="s">
        <v>16655</v>
      </c>
      <c r="C7446" s="9" t="s">
        <v>66</v>
      </c>
      <c r="D7446" s="9" t="s">
        <v>67</v>
      </c>
      <c r="E7446" s="10" t="s">
        <v>1692</v>
      </c>
      <c r="F7446" s="9" t="s">
        <v>1693</v>
      </c>
      <c r="G7446" s="10" t="s">
        <v>86</v>
      </c>
      <c r="H7446" s="9" t="s">
        <v>22</v>
      </c>
      <c r="I7446" s="9" t="s">
        <v>16656</v>
      </c>
      <c r="J7446" s="10" t="str">
        <f>HYPERLINK("https://www.boe.es/gazeta/dias/1834/07/29/pdfs/GMD-1834-162.pdf#page=2","Abrir facsímil")</f>
        <v>Abrir facsímil</v>
      </c>
      <c r="K7446" s="10" t="s">
        <v>24</v>
      </c>
    </row>
    <row r="7447" spans="1:11" ht="54" customHeight="1">
      <c r="A7447" s="9" t="s">
        <v>16657</v>
      </c>
      <c r="B7447" s="9" t="s">
        <v>16658</v>
      </c>
      <c r="C7447" s="9" t="s">
        <v>90</v>
      </c>
      <c r="D7447" s="9" t="s">
        <v>18</v>
      </c>
      <c r="E7447" s="10" t="s">
        <v>849</v>
      </c>
      <c r="F7447" s="9" t="s">
        <v>850</v>
      </c>
      <c r="G7447" s="10" t="s">
        <v>75</v>
      </c>
      <c r="H7447" s="9" t="s">
        <v>22</v>
      </c>
      <c r="I7447" s="9" t="s">
        <v>16659</v>
      </c>
      <c r="J7447" s="10" t="str">
        <f>HYPERLINK("https://www.boe.es/gazeta/dias/1834/06/21/pdfs/GMD-1834-124.pdf#page=4","Abrir facsímil")</f>
        <v>Abrir facsímil</v>
      </c>
      <c r="K7447" s="10" t="s">
        <v>24</v>
      </c>
    </row>
    <row r="7448" spans="1:11" ht="54" customHeight="1">
      <c r="A7448" s="9" t="s">
        <v>16660</v>
      </c>
      <c r="B7448" s="9" t="s">
        <v>16661</v>
      </c>
      <c r="C7448" s="9" t="s">
        <v>17</v>
      </c>
      <c r="D7448" s="9" t="s">
        <v>18</v>
      </c>
      <c r="E7448" s="10" t="s">
        <v>299</v>
      </c>
      <c r="F7448" s="9" t="s">
        <v>300</v>
      </c>
      <c r="G7448" s="10" t="s">
        <v>21</v>
      </c>
      <c r="H7448" s="9" t="s">
        <v>22</v>
      </c>
      <c r="I7448" s="9" t="s">
        <v>16662</v>
      </c>
      <c r="J7448" s="10" t="str">
        <f>HYPERLINK("https://www.boe.es/gazeta/dias/1834/12/12/pdfs/GMD-1834-301.pdf#page=3","Abrir facsímil")</f>
        <v>Abrir facsímil</v>
      </c>
      <c r="K7448" s="10" t="s">
        <v>24</v>
      </c>
    </row>
    <row r="7449" spans="1:11" ht="54" customHeight="1">
      <c r="A7449" s="9" t="s">
        <v>16663</v>
      </c>
      <c r="B7449" s="9" t="s">
        <v>16664</v>
      </c>
      <c r="C7449" s="9" t="s">
        <v>17</v>
      </c>
      <c r="D7449" s="9" t="s">
        <v>101</v>
      </c>
      <c r="E7449" s="10" t="s">
        <v>454</v>
      </c>
      <c r="F7449" s="9" t="s">
        <v>2009</v>
      </c>
      <c r="G7449" s="10" t="s">
        <v>21</v>
      </c>
      <c r="H7449" s="9" t="s">
        <v>22</v>
      </c>
      <c r="I7449" s="9" t="s">
        <v>16665</v>
      </c>
      <c r="J7449" s="10" t="str">
        <f>HYPERLINK("https://www.boe.es/gazeta/dias/1834/10/16/pdfs/GMD-1834-244.pdf#page=3","Abrir facsímil")</f>
        <v>Abrir facsímil</v>
      </c>
      <c r="K7449" s="10" t="s">
        <v>24</v>
      </c>
    </row>
    <row r="7450" spans="1:11" ht="54" customHeight="1">
      <c r="A7450" s="9" t="s">
        <v>16666</v>
      </c>
      <c r="B7450" s="9" t="s">
        <v>16667</v>
      </c>
      <c r="C7450" s="9" t="s">
        <v>66</v>
      </c>
      <c r="D7450" s="9" t="s">
        <v>67</v>
      </c>
      <c r="E7450" s="10" t="s">
        <v>1883</v>
      </c>
      <c r="F7450" s="9" t="s">
        <v>1884</v>
      </c>
      <c r="G7450" s="10" t="s">
        <v>21</v>
      </c>
      <c r="H7450" s="9" t="s">
        <v>22</v>
      </c>
      <c r="I7450" s="9" t="s">
        <v>16668</v>
      </c>
      <c r="J7450" s="10" t="str">
        <f>HYPERLINK("https://www.boe.es/gazeta/dias/1834/01/11/pdfs/GMD-1834-6.pdf#page=3","Abrir facsímil")</f>
        <v>Abrir facsímil</v>
      </c>
      <c r="K7450" s="10" t="s">
        <v>24</v>
      </c>
    </row>
    <row r="7451" spans="1:11" ht="54" customHeight="1">
      <c r="A7451" s="9" t="s">
        <v>16669</v>
      </c>
      <c r="B7451" s="9" t="s">
        <v>16670</v>
      </c>
      <c r="C7451" s="9" t="s">
        <v>17</v>
      </c>
      <c r="D7451" s="9" t="s">
        <v>18</v>
      </c>
      <c r="E7451" s="10" t="s">
        <v>348</v>
      </c>
      <c r="F7451" s="9" t="s">
        <v>501</v>
      </c>
      <c r="G7451" s="10" t="s">
        <v>75</v>
      </c>
      <c r="H7451" s="9" t="s">
        <v>22</v>
      </c>
      <c r="I7451" s="9" t="s">
        <v>16671</v>
      </c>
      <c r="J7451" s="10" t="str">
        <f>HYPERLINK("https://www.boe.es/gazeta/dias/1834/06/12/pdfs/GMD-1834-115.pdf#page=4","Abrir facsímil")</f>
        <v>Abrir facsímil</v>
      </c>
      <c r="K7451" s="10" t="s">
        <v>24</v>
      </c>
    </row>
    <row r="7452" spans="1:11" ht="54" customHeight="1">
      <c r="A7452" s="9" t="s">
        <v>16672</v>
      </c>
      <c r="B7452" s="9" t="s">
        <v>16673</v>
      </c>
      <c r="C7452" s="9" t="s">
        <v>17</v>
      </c>
      <c r="D7452" s="9" t="s">
        <v>55</v>
      </c>
      <c r="E7452" s="10" t="s">
        <v>1686</v>
      </c>
      <c r="F7452" s="9" t="s">
        <v>1687</v>
      </c>
      <c r="G7452" s="10" t="s">
        <v>21</v>
      </c>
      <c r="H7452" s="9" t="s">
        <v>22</v>
      </c>
      <c r="I7452" s="9" t="s">
        <v>16674</v>
      </c>
      <c r="J7452" s="10" t="str">
        <f>HYPERLINK("https://www.boe.es/gazeta/dias/1834/07/27/pdfs/GMD-1834-160.pdf#page=3","Abrir facsímil")</f>
        <v>Abrir facsímil</v>
      </c>
      <c r="K7452" s="10" t="s">
        <v>24</v>
      </c>
    </row>
    <row r="7453" spans="1:11" ht="54" customHeight="1">
      <c r="A7453" s="9" t="s">
        <v>16675</v>
      </c>
      <c r="B7453" s="9" t="s">
        <v>16676</v>
      </c>
      <c r="C7453" s="9" t="s">
        <v>17</v>
      </c>
      <c r="D7453" s="9" t="s">
        <v>18</v>
      </c>
      <c r="E7453" s="10" t="s">
        <v>468</v>
      </c>
      <c r="F7453" s="9" t="s">
        <v>469</v>
      </c>
      <c r="G7453" s="10" t="s">
        <v>34</v>
      </c>
      <c r="H7453" s="9" t="s">
        <v>22</v>
      </c>
      <c r="I7453" s="9" t="s">
        <v>16677</v>
      </c>
      <c r="J7453" s="10" t="str">
        <f>HYPERLINK("https://www.boe.es/gazeta/dias/1834/12/28/pdfs/GMD-C-1834-318.pdf#page=1","Abrir facsímil")</f>
        <v>Abrir facsímil</v>
      </c>
      <c r="K7453" s="10" t="s">
        <v>24</v>
      </c>
    </row>
    <row r="7454" spans="1:11" ht="54" customHeight="1">
      <c r="A7454" s="9" t="s">
        <v>16678</v>
      </c>
      <c r="B7454" s="9" t="s">
        <v>16679</v>
      </c>
      <c r="C7454" s="9" t="s">
        <v>17</v>
      </c>
      <c r="D7454" s="9" t="s">
        <v>18</v>
      </c>
      <c r="E7454" s="10" t="s">
        <v>844</v>
      </c>
      <c r="F7454" s="9" t="s">
        <v>845</v>
      </c>
      <c r="G7454" s="10" t="s">
        <v>75</v>
      </c>
      <c r="H7454" s="9" t="s">
        <v>22</v>
      </c>
      <c r="I7454" s="9" t="s">
        <v>16680</v>
      </c>
      <c r="J7454" s="10" t="str">
        <f>HYPERLINK("https://www.boe.es/gazeta/dias/1834/03/13/pdfs/GMD-1834-32.pdf#page=4","Abrir facsímil")</f>
        <v>Abrir facsímil</v>
      </c>
      <c r="K7454" s="10" t="s">
        <v>24</v>
      </c>
    </row>
    <row r="7455" spans="1:11" ht="54" customHeight="1">
      <c r="A7455" s="9" t="s">
        <v>16681</v>
      </c>
      <c r="B7455" s="9" t="s">
        <v>16682</v>
      </c>
      <c r="C7455" s="9" t="s">
        <v>17</v>
      </c>
      <c r="D7455" s="9" t="s">
        <v>18</v>
      </c>
      <c r="E7455" s="10" t="s">
        <v>1683</v>
      </c>
      <c r="F7455" s="9" t="s">
        <v>1684</v>
      </c>
      <c r="G7455" s="10" t="s">
        <v>75</v>
      </c>
      <c r="H7455" s="9" t="s">
        <v>22</v>
      </c>
      <c r="I7455" s="9" t="s">
        <v>16683</v>
      </c>
      <c r="J7455" s="10" t="str">
        <f>HYPERLINK("https://www.boe.es/gazeta/dias/1834/06/27/pdfs/GMD-1834-130.pdf#page=4","Abrir facsímil")</f>
        <v>Abrir facsímil</v>
      </c>
      <c r="K7455" s="10" t="s">
        <v>24</v>
      </c>
    </row>
    <row r="7456" spans="1:11" ht="54" customHeight="1">
      <c r="A7456" s="9" t="s">
        <v>16684</v>
      </c>
      <c r="B7456" s="9" t="s">
        <v>16684</v>
      </c>
      <c r="C7456" s="9" t="s">
        <v>17</v>
      </c>
      <c r="D7456" s="9" t="s">
        <v>18</v>
      </c>
      <c r="E7456" s="10" t="s">
        <v>158</v>
      </c>
      <c r="F7456" s="9" t="s">
        <v>581</v>
      </c>
      <c r="G7456" s="10" t="s">
        <v>176</v>
      </c>
      <c r="H7456" s="9" t="s">
        <v>22</v>
      </c>
      <c r="I7456" s="9" t="s">
        <v>16685</v>
      </c>
      <c r="J7456" s="10" t="str">
        <f>HYPERLINK("https://www.boe.es/gazeta/dias/1834/10/01/pdfs/GMD-C-1834-229.pdf#page=6","Abrir facsímil")</f>
        <v>Abrir facsímil</v>
      </c>
      <c r="K7456" s="10" t="s">
        <v>24</v>
      </c>
    </row>
    <row r="7457" spans="1:11" ht="54" customHeight="1">
      <c r="A7457" s="9" t="s">
        <v>16686</v>
      </c>
      <c r="B7457" s="9" t="s">
        <v>16686</v>
      </c>
      <c r="C7457" s="9" t="s">
        <v>122</v>
      </c>
      <c r="D7457" s="9" t="s">
        <v>18</v>
      </c>
      <c r="E7457" s="10" t="s">
        <v>899</v>
      </c>
      <c r="F7457" s="9" t="s">
        <v>900</v>
      </c>
      <c r="G7457" s="10" t="s">
        <v>28</v>
      </c>
      <c r="H7457" s="9" t="s">
        <v>22</v>
      </c>
      <c r="I7457" s="9" t="s">
        <v>16687</v>
      </c>
      <c r="J7457" s="10" t="str">
        <f>HYPERLINK("https://www.boe.es/gazeta/dias/1834/01/30/pdfs/GMD-1834-14.pdf#page=5","Abrir facsímil")</f>
        <v>Abrir facsímil</v>
      </c>
      <c r="K7457" s="10" t="s">
        <v>24</v>
      </c>
    </row>
    <row r="7458" spans="1:11" ht="54" customHeight="1">
      <c r="A7458" s="9" t="s">
        <v>16688</v>
      </c>
      <c r="B7458" s="9" t="s">
        <v>16689</v>
      </c>
      <c r="C7458" s="9" t="s">
        <v>46</v>
      </c>
      <c r="D7458" s="9" t="s">
        <v>18</v>
      </c>
      <c r="E7458" s="10" t="s">
        <v>2098</v>
      </c>
      <c r="F7458" s="9" t="s">
        <v>2099</v>
      </c>
      <c r="G7458" s="10" t="s">
        <v>75</v>
      </c>
      <c r="H7458" s="9" t="s">
        <v>22</v>
      </c>
      <c r="I7458" s="9" t="s">
        <v>16690</v>
      </c>
      <c r="J7458" s="10" t="str">
        <f>HYPERLINK("https://www.boe.es/gazeta/dias/1834/08/11/pdfs/GMD-1834-176.pdf#page=4","Abrir facsímil")</f>
        <v>Abrir facsímil</v>
      </c>
      <c r="K7458" s="10" t="s">
        <v>24</v>
      </c>
    </row>
    <row r="7459" spans="1:11" ht="54" customHeight="1">
      <c r="A7459" s="9" t="s">
        <v>16691</v>
      </c>
      <c r="B7459" s="9" t="s">
        <v>16692</v>
      </c>
      <c r="C7459" s="9" t="s">
        <v>17</v>
      </c>
      <c r="D7459" s="9" t="s">
        <v>18</v>
      </c>
      <c r="E7459" s="10" t="s">
        <v>777</v>
      </c>
      <c r="F7459" s="9" t="s">
        <v>778</v>
      </c>
      <c r="G7459" s="10" t="s">
        <v>75</v>
      </c>
      <c r="H7459" s="9" t="s">
        <v>22</v>
      </c>
      <c r="I7459" s="9" t="s">
        <v>16693</v>
      </c>
      <c r="J7459" s="10" t="str">
        <f>HYPERLINK("https://www.boe.es/gazeta/dias/1834/10/29/pdfs/GMD-1834-257.pdf#page=4","Abrir facsímil")</f>
        <v>Abrir facsímil</v>
      </c>
      <c r="K7459" s="10" t="s">
        <v>24</v>
      </c>
    </row>
    <row r="7460" spans="1:11" ht="54" customHeight="1">
      <c r="A7460" s="9" t="s">
        <v>16694</v>
      </c>
      <c r="B7460" s="9" t="s">
        <v>16694</v>
      </c>
      <c r="C7460" s="9" t="s">
        <v>17</v>
      </c>
      <c r="D7460" s="9" t="s">
        <v>18</v>
      </c>
      <c r="E7460" s="10" t="s">
        <v>273</v>
      </c>
      <c r="F7460" s="9" t="s">
        <v>274</v>
      </c>
      <c r="G7460" s="10" t="s">
        <v>176</v>
      </c>
      <c r="H7460" s="9" t="s">
        <v>22</v>
      </c>
      <c r="I7460" s="9" t="s">
        <v>16695</v>
      </c>
      <c r="J7460" s="10" t="str">
        <f>HYPERLINK("https://www.boe.es/gazeta/dias/1834/08/31/pdfs/GMD-D-1834-198.pdf#page=6","Abrir facsímil")</f>
        <v>Abrir facsímil</v>
      </c>
      <c r="K7460" s="10" t="s">
        <v>24</v>
      </c>
    </row>
    <row r="7461" spans="1:11" ht="54" customHeight="1">
      <c r="A7461" s="9" t="s">
        <v>16696</v>
      </c>
      <c r="B7461" s="9" t="s">
        <v>16696</v>
      </c>
      <c r="C7461" s="9" t="s">
        <v>17</v>
      </c>
      <c r="D7461" s="9" t="s">
        <v>18</v>
      </c>
      <c r="E7461" s="10" t="s">
        <v>299</v>
      </c>
      <c r="F7461" s="9" t="s">
        <v>2255</v>
      </c>
      <c r="G7461" s="10" t="s">
        <v>34</v>
      </c>
      <c r="H7461" s="9" t="s">
        <v>22</v>
      </c>
      <c r="I7461" s="9" t="s">
        <v>16697</v>
      </c>
      <c r="J7461" s="10" t="str">
        <f>HYPERLINK("https://www.boe.es/gazeta/dias/1834/12/12/pdfs/GMD-C-1834-301.pdf#page=1","Abrir facsímil")</f>
        <v>Abrir facsímil</v>
      </c>
      <c r="K7461" s="10" t="s">
        <v>24</v>
      </c>
    </row>
    <row r="7462" spans="1:11" ht="54" customHeight="1">
      <c r="A7462" s="9" t="s">
        <v>16698</v>
      </c>
      <c r="B7462" s="9" t="s">
        <v>16698</v>
      </c>
      <c r="C7462" s="9" t="s">
        <v>17</v>
      </c>
      <c r="D7462" s="9" t="s">
        <v>18</v>
      </c>
      <c r="E7462" s="10" t="s">
        <v>3036</v>
      </c>
      <c r="F7462" s="9" t="s">
        <v>3037</v>
      </c>
      <c r="G7462" s="10" t="s">
        <v>21</v>
      </c>
      <c r="H7462" s="9" t="s">
        <v>22</v>
      </c>
      <c r="I7462" s="9" t="s">
        <v>16699</v>
      </c>
      <c r="J7462" s="10" t="str">
        <f>HYPERLINK("https://www.boe.es/gazeta/dias/1834/11/18/pdfs/GMD-C-1834-277.pdf#page=3","Abrir facsímil")</f>
        <v>Abrir facsímil</v>
      </c>
      <c r="K7462" s="10" t="s">
        <v>24</v>
      </c>
    </row>
    <row r="7463" spans="1:11" ht="54" customHeight="1">
      <c r="A7463" s="9" t="s">
        <v>16700</v>
      </c>
      <c r="B7463" s="9" t="s">
        <v>16700</v>
      </c>
      <c r="C7463" s="9" t="s">
        <v>66</v>
      </c>
      <c r="D7463" s="9" t="s">
        <v>18</v>
      </c>
      <c r="E7463" s="10" t="s">
        <v>1178</v>
      </c>
      <c r="F7463" s="9" t="s">
        <v>14853</v>
      </c>
      <c r="G7463" s="10" t="s">
        <v>34</v>
      </c>
      <c r="H7463" s="9" t="s">
        <v>22</v>
      </c>
      <c r="I7463" s="9" t="s">
        <v>16701</v>
      </c>
      <c r="J7463" s="10" t="str">
        <f>HYPERLINK("https://www.boe.es/gazeta/dias/1834/04/10/pdfs/GMD-1834-49.pdf#page=1","Abrir facsímil")</f>
        <v>Abrir facsímil</v>
      </c>
      <c r="K7463" s="10" t="s">
        <v>24</v>
      </c>
    </row>
    <row r="7464" spans="1:11" ht="54" customHeight="1">
      <c r="A7464" s="9" t="s">
        <v>16702</v>
      </c>
      <c r="B7464" s="9" t="s">
        <v>16702</v>
      </c>
      <c r="C7464" s="9" t="s">
        <v>90</v>
      </c>
      <c r="D7464" s="9" t="s">
        <v>67</v>
      </c>
      <c r="E7464" s="10" t="s">
        <v>262</v>
      </c>
      <c r="F7464" s="9" t="s">
        <v>263</v>
      </c>
      <c r="G7464" s="10" t="s">
        <v>28</v>
      </c>
      <c r="H7464" s="9" t="s">
        <v>22</v>
      </c>
      <c r="I7464" s="9" t="s">
        <v>16703</v>
      </c>
      <c r="J7464" s="10" t="str">
        <f>HYPERLINK("https://www.boe.es/gazeta/dias/1834/10/18/pdfs/GMD-C-1834-246.pdf#page=5","Abrir facsímil")</f>
        <v>Abrir facsímil</v>
      </c>
      <c r="K7464" s="10" t="s">
        <v>24</v>
      </c>
    </row>
    <row r="7465" spans="1:11" ht="54" customHeight="1">
      <c r="A7465" s="9" t="s">
        <v>16704</v>
      </c>
      <c r="B7465" s="9" t="s">
        <v>16704</v>
      </c>
      <c r="C7465" s="9" t="s">
        <v>17</v>
      </c>
      <c r="D7465" s="9" t="s">
        <v>18</v>
      </c>
      <c r="E7465" s="10" t="s">
        <v>294</v>
      </c>
      <c r="F7465" s="9" t="s">
        <v>959</v>
      </c>
      <c r="G7465" s="10" t="s">
        <v>21</v>
      </c>
      <c r="H7465" s="9" t="s">
        <v>22</v>
      </c>
      <c r="I7465" s="9" t="s">
        <v>16705</v>
      </c>
      <c r="J7465" s="10" t="str">
        <f>HYPERLINK("https://www.boe.es/gazeta/dias/1834/09/27/pdfs/GMD-C-1834-225.pdf#page=3","Abrir facsímil")</f>
        <v>Abrir facsímil</v>
      </c>
      <c r="K7465" s="10" t="s">
        <v>24</v>
      </c>
    </row>
    <row r="7466" spans="1:11" ht="54" customHeight="1">
      <c r="A7466" s="9" t="s">
        <v>16706</v>
      </c>
      <c r="B7466" s="9" t="s">
        <v>16706</v>
      </c>
      <c r="C7466" s="9" t="s">
        <v>17</v>
      </c>
      <c r="D7466" s="9" t="s">
        <v>55</v>
      </c>
      <c r="E7466" s="10" t="s">
        <v>690</v>
      </c>
      <c r="F7466" s="9" t="s">
        <v>691</v>
      </c>
      <c r="G7466" s="10" t="s">
        <v>560</v>
      </c>
      <c r="H7466" s="9" t="s">
        <v>22</v>
      </c>
      <c r="I7466" s="9" t="s">
        <v>16707</v>
      </c>
      <c r="J7466" s="10" t="str">
        <f>HYPERLINK("https://www.boe.es/gazeta/dias/1834/09/03/pdfs/GMD-C-1834-201.pdf#page=7","Abrir facsímil")</f>
        <v>Abrir facsímil</v>
      </c>
      <c r="K7466" s="10" t="s">
        <v>24</v>
      </c>
    </row>
    <row r="7467" spans="1:11" ht="54" customHeight="1">
      <c r="A7467" s="9" t="s">
        <v>16706</v>
      </c>
      <c r="B7467" s="9" t="s">
        <v>16706</v>
      </c>
      <c r="C7467" s="9" t="s">
        <v>90</v>
      </c>
      <c r="D7467" s="9" t="s">
        <v>40</v>
      </c>
      <c r="E7467" s="10" t="s">
        <v>364</v>
      </c>
      <c r="F7467" s="9" t="s">
        <v>365</v>
      </c>
      <c r="G7467" s="10" t="s">
        <v>470</v>
      </c>
      <c r="H7467" s="9" t="s">
        <v>22</v>
      </c>
      <c r="I7467" s="9" t="s">
        <v>16708</v>
      </c>
      <c r="J7467" s="10" t="str">
        <f>HYPERLINK("https://www.boe.es/gazeta/dias/1834/09/06/pdfs/GMD-C-1834-204.pdf#page=8","Abrir facsímil")</f>
        <v>Abrir facsímil</v>
      </c>
      <c r="K7467" s="10" t="s">
        <v>24</v>
      </c>
    </row>
    <row r="7468" spans="1:11" ht="54" customHeight="1">
      <c r="A7468" s="9" t="s">
        <v>16709</v>
      </c>
      <c r="B7468" s="9" t="s">
        <v>16709</v>
      </c>
      <c r="C7468" s="9" t="s">
        <v>17</v>
      </c>
      <c r="D7468" s="9" t="s">
        <v>18</v>
      </c>
      <c r="E7468" s="10" t="s">
        <v>793</v>
      </c>
      <c r="F7468" s="9" t="s">
        <v>1895</v>
      </c>
      <c r="G7468" s="10" t="s">
        <v>21</v>
      </c>
      <c r="H7468" s="9" t="s">
        <v>22</v>
      </c>
      <c r="I7468" s="9" t="s">
        <v>16710</v>
      </c>
      <c r="J7468" s="10" t="str">
        <f>HYPERLINK("https://www.boe.es/gazeta/dias/1834/10/08/pdfs/GMD-C-1834-236.pdf#page=3","Abrir facsímil")</f>
        <v>Abrir facsímil</v>
      </c>
      <c r="K7468" s="10" t="s">
        <v>24</v>
      </c>
    </row>
    <row r="7469" spans="1:11" ht="54" customHeight="1">
      <c r="A7469" s="9" t="s">
        <v>16706</v>
      </c>
      <c r="B7469" s="9" t="s">
        <v>16706</v>
      </c>
      <c r="C7469" s="9" t="s">
        <v>17</v>
      </c>
      <c r="D7469" s="9" t="s">
        <v>18</v>
      </c>
      <c r="E7469" s="10" t="s">
        <v>1008</v>
      </c>
      <c r="F7469" s="9" t="s">
        <v>1009</v>
      </c>
      <c r="G7469" s="10" t="s">
        <v>470</v>
      </c>
      <c r="H7469" s="9" t="s">
        <v>22</v>
      </c>
      <c r="I7469" s="9" t="s">
        <v>16711</v>
      </c>
      <c r="J7469" s="10" t="str">
        <f>HYPERLINK("https://www.boe.es/gazeta/dias/1834/11/08/pdfs/GMD-C-1834-267.pdf#page=8","Abrir facsímil")</f>
        <v>Abrir facsímil</v>
      </c>
      <c r="K7469" s="10" t="s">
        <v>24</v>
      </c>
    </row>
    <row r="7470" spans="1:11" ht="54" customHeight="1">
      <c r="A7470" s="9" t="s">
        <v>16712</v>
      </c>
      <c r="B7470" s="9" t="s">
        <v>16712</v>
      </c>
      <c r="C7470" s="9" t="s">
        <v>17</v>
      </c>
      <c r="D7470" s="9" t="s">
        <v>18</v>
      </c>
      <c r="E7470" s="10" t="s">
        <v>258</v>
      </c>
      <c r="F7470" s="9" t="s">
        <v>259</v>
      </c>
      <c r="G7470" s="10" t="s">
        <v>176</v>
      </c>
      <c r="H7470" s="9" t="s">
        <v>22</v>
      </c>
      <c r="I7470" s="9" t="s">
        <v>16713</v>
      </c>
      <c r="J7470" s="10" t="str">
        <f>HYPERLINK("https://www.boe.es/gazeta/dias/1834/10/09/pdfs/GMD-C-1834-237.pdf#page=6","Abrir facsímil")</f>
        <v>Abrir facsímil</v>
      </c>
      <c r="K7470" s="10" t="s">
        <v>24</v>
      </c>
    </row>
    <row r="7471" spans="1:11" ht="54" customHeight="1">
      <c r="A7471" s="9" t="s">
        <v>16709</v>
      </c>
      <c r="B7471" s="9" t="s">
        <v>16709</v>
      </c>
      <c r="C7471" s="9" t="s">
        <v>66</v>
      </c>
      <c r="D7471" s="9" t="s">
        <v>18</v>
      </c>
      <c r="E7471" s="10" t="s">
        <v>438</v>
      </c>
      <c r="F7471" s="9" t="s">
        <v>528</v>
      </c>
      <c r="G7471" s="10" t="s">
        <v>75</v>
      </c>
      <c r="H7471" s="9" t="s">
        <v>22</v>
      </c>
      <c r="I7471" s="9" t="s">
        <v>16714</v>
      </c>
      <c r="J7471" s="10" t="str">
        <f>HYPERLINK("https://www.boe.es/gazeta/dias/1834/11/09/pdfs/GMD-C-1834-268.pdf#page=4","Abrir facsímil")</f>
        <v>Abrir facsímil</v>
      </c>
      <c r="K7471" s="10" t="s">
        <v>24</v>
      </c>
    </row>
    <row r="7472" spans="1:11" ht="54" customHeight="1">
      <c r="A7472" s="9" t="s">
        <v>16706</v>
      </c>
      <c r="B7472" s="9" t="s">
        <v>16706</v>
      </c>
      <c r="C7472" s="9" t="s">
        <v>66</v>
      </c>
      <c r="D7472" s="9" t="s">
        <v>101</v>
      </c>
      <c r="E7472" s="10" t="s">
        <v>2203</v>
      </c>
      <c r="F7472" s="9" t="s">
        <v>2204</v>
      </c>
      <c r="G7472" s="10" t="s">
        <v>75</v>
      </c>
      <c r="H7472" s="9" t="s">
        <v>22</v>
      </c>
      <c r="I7472" s="9" t="s">
        <v>16715</v>
      </c>
      <c r="J7472" s="10" t="str">
        <f>HYPERLINK("https://www.boe.es/gazeta/dias/1834/09/10/pdfs/GMD-C-1834-208.pdf#page=4","Abrir facsímil")</f>
        <v>Abrir facsímil</v>
      </c>
      <c r="K7472" s="10" t="s">
        <v>24</v>
      </c>
    </row>
    <row r="7473" spans="1:11" ht="54" customHeight="1">
      <c r="A7473" s="9" t="s">
        <v>16706</v>
      </c>
      <c r="B7473" s="9" t="s">
        <v>16706</v>
      </c>
      <c r="C7473" s="9" t="s">
        <v>17</v>
      </c>
      <c r="D7473" s="9" t="s">
        <v>55</v>
      </c>
      <c r="E7473" s="10" t="s">
        <v>200</v>
      </c>
      <c r="F7473" s="9" t="s">
        <v>2248</v>
      </c>
      <c r="G7473" s="10" t="s">
        <v>75</v>
      </c>
      <c r="H7473" s="9" t="s">
        <v>22</v>
      </c>
      <c r="I7473" s="9" t="s">
        <v>16716</v>
      </c>
      <c r="J7473" s="10" t="str">
        <f>HYPERLINK("https://www.boe.es/gazeta/dias/1834/12/11/pdfs/GMD-C-1834-300.pdf#page=4","Abrir facsímil")</f>
        <v>Abrir facsímil</v>
      </c>
      <c r="K7473" s="10" t="s">
        <v>24</v>
      </c>
    </row>
    <row r="7474" spans="1:11" ht="54" customHeight="1">
      <c r="A7474" s="9" t="s">
        <v>16706</v>
      </c>
      <c r="B7474" s="9" t="s">
        <v>16706</v>
      </c>
      <c r="C7474" s="9" t="s">
        <v>17</v>
      </c>
      <c r="D7474" s="9" t="s">
        <v>18</v>
      </c>
      <c r="E7474" s="10" t="s">
        <v>642</v>
      </c>
      <c r="F7474" s="9" t="s">
        <v>643</v>
      </c>
      <c r="G7474" s="10" t="s">
        <v>21</v>
      </c>
      <c r="H7474" s="9" t="s">
        <v>22</v>
      </c>
      <c r="I7474" s="9" t="s">
        <v>16717</v>
      </c>
      <c r="J7474" s="10" t="str">
        <f>HYPERLINK("https://www.boe.es/gazeta/dias/1834/11/12/pdfs/GMD-C-1834-271.pdf#page=3","Abrir facsímil")</f>
        <v>Abrir facsímil</v>
      </c>
      <c r="K7474" s="10" t="s">
        <v>24</v>
      </c>
    </row>
    <row r="7475" spans="1:11" ht="54" customHeight="1">
      <c r="A7475" s="9" t="s">
        <v>16709</v>
      </c>
      <c r="B7475" s="9" t="s">
        <v>16709</v>
      </c>
      <c r="C7475" s="9" t="s">
        <v>46</v>
      </c>
      <c r="D7475" s="9" t="s">
        <v>101</v>
      </c>
      <c r="E7475" s="10" t="s">
        <v>642</v>
      </c>
      <c r="F7475" s="9" t="s">
        <v>643</v>
      </c>
      <c r="G7475" s="10" t="s">
        <v>470</v>
      </c>
      <c r="H7475" s="9" t="s">
        <v>22</v>
      </c>
      <c r="I7475" s="9" t="s">
        <v>16718</v>
      </c>
      <c r="J7475" s="10" t="str">
        <f>HYPERLINK("https://www.boe.es/gazeta/dias/1834/11/12/pdfs/GMD-C-1834-271.pdf#page=8","Abrir facsímil")</f>
        <v>Abrir facsímil</v>
      </c>
      <c r="K7475" s="10" t="s">
        <v>24</v>
      </c>
    </row>
    <row r="7476" spans="1:11" ht="54" customHeight="1">
      <c r="A7476" s="9" t="s">
        <v>16709</v>
      </c>
      <c r="B7476" s="9" t="s">
        <v>16709</v>
      </c>
      <c r="C7476" s="9" t="s">
        <v>46</v>
      </c>
      <c r="D7476" s="9" t="s">
        <v>18</v>
      </c>
      <c r="E7476" s="10" t="s">
        <v>1424</v>
      </c>
      <c r="F7476" s="9" t="s">
        <v>1425</v>
      </c>
      <c r="G7476" s="10" t="s">
        <v>28</v>
      </c>
      <c r="H7476" s="9" t="s">
        <v>22</v>
      </c>
      <c r="I7476" s="9" t="s">
        <v>16719</v>
      </c>
      <c r="J7476" s="10" t="str">
        <f>HYPERLINK("https://www.boe.es/gazeta/dias/1834/11/14/pdfs/GMD-C-1834-273.pdf#page=5","Abrir facsímil")</f>
        <v>Abrir facsímil</v>
      </c>
      <c r="K7476" s="10" t="s">
        <v>24</v>
      </c>
    </row>
    <row r="7477" spans="1:11" ht="54" customHeight="1">
      <c r="A7477" s="9" t="s">
        <v>16709</v>
      </c>
      <c r="B7477" s="9" t="s">
        <v>16709</v>
      </c>
      <c r="C7477" s="9" t="s">
        <v>17</v>
      </c>
      <c r="D7477" s="9" t="s">
        <v>18</v>
      </c>
      <c r="E7477" s="10" t="s">
        <v>1424</v>
      </c>
      <c r="F7477" s="9" t="s">
        <v>1425</v>
      </c>
      <c r="G7477" s="10" t="s">
        <v>176</v>
      </c>
      <c r="H7477" s="9" t="s">
        <v>22</v>
      </c>
      <c r="I7477" s="9" t="s">
        <v>16720</v>
      </c>
      <c r="J7477" s="10" t="str">
        <f>HYPERLINK("https://www.boe.es/gazeta/dias/1834/11/14/pdfs/GMD-C-1834-273.pdf#page=6","Abrir facsímil")</f>
        <v>Abrir facsímil</v>
      </c>
      <c r="K7477" s="10" t="s">
        <v>24</v>
      </c>
    </row>
    <row r="7478" spans="1:11" ht="54" customHeight="1">
      <c r="A7478" s="9" t="s">
        <v>16706</v>
      </c>
      <c r="B7478" s="9" t="s">
        <v>16706</v>
      </c>
      <c r="C7478" s="9" t="s">
        <v>17</v>
      </c>
      <c r="D7478" s="9" t="s">
        <v>18</v>
      </c>
      <c r="E7478" s="10" t="s">
        <v>451</v>
      </c>
      <c r="F7478" s="9" t="s">
        <v>452</v>
      </c>
      <c r="G7478" s="10" t="s">
        <v>34</v>
      </c>
      <c r="H7478" s="9" t="s">
        <v>22</v>
      </c>
      <c r="I7478" s="9" t="s">
        <v>16721</v>
      </c>
      <c r="J7478" s="10" t="str">
        <f>HYPERLINK("https://www.boe.es/gazeta/dias/1834/10/15/pdfs/GMD-C-1834-243.pdf#page=1","Abrir facsímil")</f>
        <v>Abrir facsímil</v>
      </c>
      <c r="K7478" s="10" t="s">
        <v>24</v>
      </c>
    </row>
    <row r="7479" spans="1:11" ht="54" customHeight="1">
      <c r="A7479" s="9" t="s">
        <v>16709</v>
      </c>
      <c r="B7479" s="9" t="s">
        <v>16709</v>
      </c>
      <c r="C7479" s="9" t="s">
        <v>17</v>
      </c>
      <c r="D7479" s="9" t="s">
        <v>18</v>
      </c>
      <c r="E7479" s="10" t="s">
        <v>928</v>
      </c>
      <c r="F7479" s="9" t="s">
        <v>929</v>
      </c>
      <c r="G7479" s="10" t="s">
        <v>28</v>
      </c>
      <c r="H7479" s="9" t="s">
        <v>22</v>
      </c>
      <c r="I7479" s="9" t="s">
        <v>16722</v>
      </c>
      <c r="J7479" s="10" t="str">
        <f>HYPERLINK("https://www.boe.es/gazeta/dias/1834/11/15/pdfs/GMD-C-1834-274.pdf#page=5","Abrir facsímil")</f>
        <v>Abrir facsímil</v>
      </c>
      <c r="K7479" s="10" t="s">
        <v>24</v>
      </c>
    </row>
    <row r="7480" spans="1:11" ht="54" customHeight="1">
      <c r="A7480" s="9" t="s">
        <v>16706</v>
      </c>
      <c r="B7480" s="9" t="s">
        <v>16706</v>
      </c>
      <c r="C7480" s="9" t="s">
        <v>17</v>
      </c>
      <c r="D7480" s="9" t="s">
        <v>18</v>
      </c>
      <c r="E7480" s="10" t="s">
        <v>454</v>
      </c>
      <c r="F7480" s="9" t="s">
        <v>455</v>
      </c>
      <c r="G7480" s="10" t="s">
        <v>75</v>
      </c>
      <c r="H7480" s="9" t="s">
        <v>22</v>
      </c>
      <c r="I7480" s="9" t="s">
        <v>16723</v>
      </c>
      <c r="J7480" s="10" t="str">
        <f>HYPERLINK("https://www.boe.es/gazeta/dias/1834/10/16/pdfs/GMD-C-1834-244.pdf#page=4","Abrir facsímil")</f>
        <v>Abrir facsímil</v>
      </c>
      <c r="K7480" s="10" t="s">
        <v>24</v>
      </c>
    </row>
    <row r="7481" spans="1:11" ht="54" customHeight="1">
      <c r="A7481" s="9" t="s">
        <v>16724</v>
      </c>
      <c r="B7481" s="9" t="s">
        <v>16724</v>
      </c>
      <c r="C7481" s="9" t="s">
        <v>17</v>
      </c>
      <c r="D7481" s="9" t="s">
        <v>18</v>
      </c>
      <c r="E7481" s="10" t="s">
        <v>2278</v>
      </c>
      <c r="F7481" s="9" t="s">
        <v>2279</v>
      </c>
      <c r="G7481" s="10" t="s">
        <v>75</v>
      </c>
      <c r="H7481" s="9" t="s">
        <v>22</v>
      </c>
      <c r="I7481" s="9" t="s">
        <v>16725</v>
      </c>
      <c r="J7481" s="10" t="str">
        <f>HYPERLINK("https://www.boe.es/gazeta/dias/1834/12/17/pdfs/GMD-C-1834-306.pdf#page=4","Abrir facsímil")</f>
        <v>Abrir facsímil</v>
      </c>
      <c r="K7481" s="10" t="s">
        <v>24</v>
      </c>
    </row>
    <row r="7482" spans="1:11" ht="54" customHeight="1">
      <c r="A7482" s="9" t="s">
        <v>16706</v>
      </c>
      <c r="B7482" s="9" t="s">
        <v>16706</v>
      </c>
      <c r="C7482" s="9" t="s">
        <v>17</v>
      </c>
      <c r="D7482" s="9" t="s">
        <v>18</v>
      </c>
      <c r="E7482" s="10" t="s">
        <v>3036</v>
      </c>
      <c r="F7482" s="9" t="s">
        <v>3037</v>
      </c>
      <c r="G7482" s="10" t="s">
        <v>21</v>
      </c>
      <c r="H7482" s="9" t="s">
        <v>22</v>
      </c>
      <c r="I7482" s="9" t="s">
        <v>16726</v>
      </c>
      <c r="J7482" s="10" t="str">
        <f>HYPERLINK("https://www.boe.es/gazeta/dias/1834/11/18/pdfs/GMD-C-1834-277.pdf#page=3","Abrir facsímil")</f>
        <v>Abrir facsímil</v>
      </c>
      <c r="K7482" s="10" t="s">
        <v>24</v>
      </c>
    </row>
    <row r="7483" spans="1:11" ht="54" customHeight="1">
      <c r="A7483" s="9" t="s">
        <v>16706</v>
      </c>
      <c r="B7483" s="9" t="s">
        <v>16706</v>
      </c>
      <c r="C7483" s="9" t="s">
        <v>17</v>
      </c>
      <c r="D7483" s="9" t="s">
        <v>18</v>
      </c>
      <c r="E7483" s="10" t="s">
        <v>2287</v>
      </c>
      <c r="F7483" s="9" t="s">
        <v>2288</v>
      </c>
      <c r="G7483" s="10" t="s">
        <v>176</v>
      </c>
      <c r="H7483" s="9" t="s">
        <v>22</v>
      </c>
      <c r="I7483" s="9" t="s">
        <v>16727</v>
      </c>
      <c r="J7483" s="10" t="str">
        <f>HYPERLINK("https://www.boe.es/gazeta/dias/1834/12/18/pdfs/GMD-C-1834-308.pdf#page=6","Abrir facsímil")</f>
        <v>Abrir facsímil</v>
      </c>
      <c r="K7483" s="10" t="s">
        <v>24</v>
      </c>
    </row>
    <row r="7484" spans="1:11" ht="54" customHeight="1">
      <c r="A7484" s="9" t="s">
        <v>16706</v>
      </c>
      <c r="B7484" s="9" t="s">
        <v>16706</v>
      </c>
      <c r="C7484" s="9" t="s">
        <v>17</v>
      </c>
      <c r="D7484" s="9" t="s">
        <v>18</v>
      </c>
      <c r="E7484" s="10" t="s">
        <v>268</v>
      </c>
      <c r="F7484" s="9" t="s">
        <v>269</v>
      </c>
      <c r="G7484" s="10" t="s">
        <v>34</v>
      </c>
      <c r="H7484" s="9" t="s">
        <v>22</v>
      </c>
      <c r="I7484" s="9" t="s">
        <v>16728</v>
      </c>
      <c r="J7484" s="10" t="str">
        <f>HYPERLINK("https://www.boe.es/gazeta/dias/1834/12/19/pdfs/GMD-C-1834-309.pdf#page=1","Abrir facsímil")</f>
        <v>Abrir facsímil</v>
      </c>
      <c r="K7484" s="10" t="s">
        <v>24</v>
      </c>
    </row>
    <row r="7485" spans="1:11" ht="54" customHeight="1">
      <c r="A7485" s="9" t="s">
        <v>16709</v>
      </c>
      <c r="B7485" s="9" t="s">
        <v>16709</v>
      </c>
      <c r="C7485" s="9" t="s">
        <v>17</v>
      </c>
      <c r="D7485" s="9" t="s">
        <v>18</v>
      </c>
      <c r="E7485" s="10" t="s">
        <v>268</v>
      </c>
      <c r="F7485" s="9" t="s">
        <v>269</v>
      </c>
      <c r="G7485" s="10" t="s">
        <v>21</v>
      </c>
      <c r="H7485" s="9" t="s">
        <v>22</v>
      </c>
      <c r="I7485" s="9" t="s">
        <v>16729</v>
      </c>
      <c r="J7485" s="10" t="str">
        <f>HYPERLINK("https://www.boe.es/gazeta/dias/1834/12/19/pdfs/GMD-C-1834-309.pdf#page=3","Abrir facsímil")</f>
        <v>Abrir facsímil</v>
      </c>
      <c r="K7485" s="10" t="s">
        <v>24</v>
      </c>
    </row>
    <row r="7486" spans="1:11" ht="54" customHeight="1">
      <c r="A7486" s="9" t="s">
        <v>16706</v>
      </c>
      <c r="B7486" s="9" t="s">
        <v>16706</v>
      </c>
      <c r="C7486" s="9" t="s">
        <v>17</v>
      </c>
      <c r="D7486" s="9" t="s">
        <v>18</v>
      </c>
      <c r="E7486" s="10" t="s">
        <v>610</v>
      </c>
      <c r="F7486" s="9" t="s">
        <v>611</v>
      </c>
      <c r="G7486" s="10" t="s">
        <v>21</v>
      </c>
      <c r="H7486" s="9" t="s">
        <v>22</v>
      </c>
      <c r="I7486" s="9" t="s">
        <v>16730</v>
      </c>
      <c r="J7486" s="10" t="str">
        <f>HYPERLINK("https://www.boe.es/gazeta/dias/1834/12/21/pdfs/GMD-C-1834-311.pdf#page=3","Abrir facsímil")</f>
        <v>Abrir facsímil</v>
      </c>
      <c r="K7486" s="10" t="s">
        <v>24</v>
      </c>
    </row>
    <row r="7487" spans="1:11" ht="54" customHeight="1">
      <c r="A7487" s="9" t="s">
        <v>16706</v>
      </c>
      <c r="B7487" s="9" t="s">
        <v>16706</v>
      </c>
      <c r="C7487" s="9" t="s">
        <v>17</v>
      </c>
      <c r="D7487" s="9" t="s">
        <v>18</v>
      </c>
      <c r="E7487" s="10" t="s">
        <v>378</v>
      </c>
      <c r="F7487" s="9" t="s">
        <v>888</v>
      </c>
      <c r="G7487" s="10" t="s">
        <v>176</v>
      </c>
      <c r="H7487" s="9" t="s">
        <v>22</v>
      </c>
      <c r="I7487" s="9" t="s">
        <v>16731</v>
      </c>
      <c r="J7487" s="10" t="str">
        <f>HYPERLINK("https://www.boe.es/gazeta/dias/1834/09/24/pdfs/GMD-C-1834-222.pdf#page=6","Abrir facsímil")</f>
        <v>Abrir facsímil</v>
      </c>
      <c r="K7487" s="10" t="s">
        <v>24</v>
      </c>
    </row>
    <row r="7488" spans="1:11" ht="54" customHeight="1">
      <c r="A7488" s="9" t="s">
        <v>16709</v>
      </c>
      <c r="B7488" s="9" t="s">
        <v>16709</v>
      </c>
      <c r="C7488" s="9" t="s">
        <v>17</v>
      </c>
      <c r="D7488" s="9" t="s">
        <v>55</v>
      </c>
      <c r="E7488" s="10" t="s">
        <v>524</v>
      </c>
      <c r="F7488" s="9" t="s">
        <v>525</v>
      </c>
      <c r="G7488" s="10" t="s">
        <v>34</v>
      </c>
      <c r="H7488" s="9" t="s">
        <v>22</v>
      </c>
      <c r="I7488" s="9" t="s">
        <v>16732</v>
      </c>
      <c r="J7488" s="10" t="str">
        <f>HYPERLINK("https://www.boe.es/gazeta/dias/1834/12/25/pdfs/GMD-C-1834-315.pdf#page=1","Abrir facsímil")</f>
        <v>Abrir facsímil</v>
      </c>
      <c r="K7488" s="10" t="s">
        <v>24</v>
      </c>
    </row>
    <row r="7489" spans="1:11" ht="54" customHeight="1">
      <c r="A7489" s="9" t="s">
        <v>16706</v>
      </c>
      <c r="B7489" s="9" t="s">
        <v>16706</v>
      </c>
      <c r="C7489" s="9" t="s">
        <v>46</v>
      </c>
      <c r="D7489" s="9" t="s">
        <v>101</v>
      </c>
      <c r="E7489" s="10" t="s">
        <v>251</v>
      </c>
      <c r="F7489" s="9" t="s">
        <v>252</v>
      </c>
      <c r="G7489" s="10" t="s">
        <v>470</v>
      </c>
      <c r="H7489" s="9" t="s">
        <v>22</v>
      </c>
      <c r="I7489" s="9" t="s">
        <v>16733</v>
      </c>
      <c r="J7489" s="10" t="str">
        <f>HYPERLINK("https://www.boe.es/gazeta/dias/1834/09/26/pdfs/GMD-C-1834-224.pdf#page=8","Abrir facsímil")</f>
        <v>Abrir facsímil</v>
      </c>
      <c r="K7489" s="10" t="s">
        <v>24</v>
      </c>
    </row>
    <row r="7490" spans="1:11" ht="54" customHeight="1">
      <c r="A7490" s="9" t="s">
        <v>16709</v>
      </c>
      <c r="B7490" s="9" t="s">
        <v>16709</v>
      </c>
      <c r="C7490" s="9" t="s">
        <v>17</v>
      </c>
      <c r="D7490" s="9" t="s">
        <v>18</v>
      </c>
      <c r="E7490" s="10" t="s">
        <v>510</v>
      </c>
      <c r="F7490" s="9" t="s">
        <v>531</v>
      </c>
      <c r="G7490" s="10" t="s">
        <v>28</v>
      </c>
      <c r="H7490" s="9" t="s">
        <v>22</v>
      </c>
      <c r="I7490" s="9" t="s">
        <v>16734</v>
      </c>
      <c r="J7490" s="10" t="str">
        <f>HYPERLINK("https://www.boe.es/gazeta/dias/1834/11/26/pdfs/GMD-C-1834-285.pdf#page=5","Abrir facsímil")</f>
        <v>Abrir facsímil</v>
      </c>
      <c r="K7490" s="10" t="s">
        <v>24</v>
      </c>
    </row>
    <row r="7491" spans="1:11" ht="54" customHeight="1">
      <c r="A7491" s="9" t="s">
        <v>16709</v>
      </c>
      <c r="B7491" s="9" t="s">
        <v>16709</v>
      </c>
      <c r="C7491" s="9" t="s">
        <v>17</v>
      </c>
      <c r="D7491" s="9" t="s">
        <v>18</v>
      </c>
      <c r="E7491" s="10" t="s">
        <v>1641</v>
      </c>
      <c r="F7491" s="9" t="s">
        <v>1642</v>
      </c>
      <c r="G7491" s="10" t="s">
        <v>28</v>
      </c>
      <c r="H7491" s="9" t="s">
        <v>22</v>
      </c>
      <c r="I7491" s="9" t="s">
        <v>16735</v>
      </c>
      <c r="J7491" s="10" t="str">
        <f>HYPERLINK("https://www.boe.es/gazeta/dias/1834/09/28/pdfs/GMD-C-1834-226.pdf#page=5","Abrir facsímil")</f>
        <v>Abrir facsímil</v>
      </c>
      <c r="K7491" s="10" t="s">
        <v>24</v>
      </c>
    </row>
    <row r="7492" spans="1:11" ht="54" customHeight="1">
      <c r="A7492" s="9" t="s">
        <v>16709</v>
      </c>
      <c r="B7492" s="9" t="s">
        <v>16709</v>
      </c>
      <c r="C7492" s="9" t="s">
        <v>90</v>
      </c>
      <c r="D7492" s="9" t="s">
        <v>18</v>
      </c>
      <c r="E7492" s="10" t="s">
        <v>468</v>
      </c>
      <c r="F7492" s="9" t="s">
        <v>469</v>
      </c>
      <c r="G7492" s="10" t="s">
        <v>470</v>
      </c>
      <c r="H7492" s="9" t="s">
        <v>22</v>
      </c>
      <c r="I7492" s="9" t="s">
        <v>16736</v>
      </c>
      <c r="J7492" s="10" t="str">
        <f>HYPERLINK("https://www.boe.es/gazeta/dias/1834/12/28/pdfs/GMD-C-1834-318.pdf#page=8","Abrir facsímil")</f>
        <v>Abrir facsímil</v>
      </c>
      <c r="K7492" s="10" t="s">
        <v>24</v>
      </c>
    </row>
    <row r="7493" spans="1:11" ht="54" customHeight="1">
      <c r="A7493" s="9" t="s">
        <v>16737</v>
      </c>
      <c r="B7493" s="9" t="s">
        <v>16738</v>
      </c>
      <c r="C7493" s="9" t="s">
        <v>17</v>
      </c>
      <c r="D7493" s="9" t="s">
        <v>18</v>
      </c>
      <c r="E7493" s="10" t="s">
        <v>84</v>
      </c>
      <c r="F7493" s="9" t="s">
        <v>85</v>
      </c>
      <c r="G7493" s="10" t="s">
        <v>34</v>
      </c>
      <c r="H7493" s="9" t="s">
        <v>22</v>
      </c>
      <c r="I7493" s="9" t="s">
        <v>16739</v>
      </c>
      <c r="J7493" s="10" t="str">
        <f>HYPERLINK("https://www.boe.es/gazeta/dias/1834/06/07/pdfs/GMD-C-1834-109.pdf#page=1","Abrir facsímil")</f>
        <v>Abrir facsímil</v>
      </c>
      <c r="K7493" s="10" t="s">
        <v>24</v>
      </c>
    </row>
    <row r="7494" spans="1:11" ht="54" customHeight="1">
      <c r="A7494" s="9" t="s">
        <v>16737</v>
      </c>
      <c r="B7494" s="9" t="s">
        <v>16738</v>
      </c>
      <c r="C7494" s="9" t="s">
        <v>122</v>
      </c>
      <c r="D7494" s="9" t="s">
        <v>18</v>
      </c>
      <c r="E7494" s="10" t="s">
        <v>84</v>
      </c>
      <c r="F7494" s="9" t="s">
        <v>85</v>
      </c>
      <c r="G7494" s="10" t="s">
        <v>86</v>
      </c>
      <c r="H7494" s="9" t="s">
        <v>22</v>
      </c>
      <c r="I7494" s="9" t="s">
        <v>16740</v>
      </c>
      <c r="J7494" s="10" t="str">
        <f>HYPERLINK("https://www.boe.es/gazeta/dias/1834/06/07/pdfs/GMD-C-1834-109.pdf#page=2","Abrir facsímil")</f>
        <v>Abrir facsímil</v>
      </c>
      <c r="K7494" s="10" t="s">
        <v>24</v>
      </c>
    </row>
    <row r="7495" spans="1:11" ht="54" customHeight="1">
      <c r="A7495" s="9" t="s">
        <v>16741</v>
      </c>
      <c r="B7495" s="9" t="s">
        <v>16742</v>
      </c>
      <c r="C7495" s="9" t="s">
        <v>17</v>
      </c>
      <c r="D7495" s="9" t="s">
        <v>18</v>
      </c>
      <c r="E7495" s="10" t="s">
        <v>610</v>
      </c>
      <c r="F7495" s="9" t="s">
        <v>611</v>
      </c>
      <c r="G7495" s="10" t="s">
        <v>21</v>
      </c>
      <c r="H7495" s="9" t="s">
        <v>35</v>
      </c>
      <c r="I7495" s="9" t="s">
        <v>16743</v>
      </c>
      <c r="J7495" s="10" t="str">
        <f>HYPERLINK("https://www.boe.es/gazeta/dias/1834/12/21/pdfs/GMD-C-1834-311.pdf#page=3","Abrir facsímil")</f>
        <v>Abrir facsímil</v>
      </c>
      <c r="K7495" s="10" t="s">
        <v>37</v>
      </c>
    </row>
    <row r="7496" spans="1:11" ht="54" customHeight="1">
      <c r="A7496" s="9" t="s">
        <v>16744</v>
      </c>
      <c r="B7496" s="9" t="s">
        <v>16744</v>
      </c>
      <c r="C7496" s="9" t="s">
        <v>17</v>
      </c>
      <c r="D7496" s="9" t="s">
        <v>18</v>
      </c>
      <c r="E7496" s="10" t="s">
        <v>265</v>
      </c>
      <c r="F7496" s="9" t="s">
        <v>266</v>
      </c>
      <c r="G7496" s="10" t="s">
        <v>75</v>
      </c>
      <c r="H7496" s="9" t="s">
        <v>22</v>
      </c>
      <c r="I7496" s="9" t="s">
        <v>16745</v>
      </c>
      <c r="J7496" s="10" t="str">
        <f>HYPERLINK("https://www.boe.es/gazeta/dias/1834/11/19/pdfs/GMD-C-1834-278.pdf#page=4","Abrir facsímil")</f>
        <v>Abrir facsímil</v>
      </c>
      <c r="K7496" s="10" t="s">
        <v>24</v>
      </c>
    </row>
    <row r="7497" spans="1:11" ht="54" customHeight="1">
      <c r="A7497" s="9" t="s">
        <v>16746</v>
      </c>
      <c r="B7497" s="9" t="s">
        <v>16746</v>
      </c>
      <c r="C7497" s="9" t="s">
        <v>17</v>
      </c>
      <c r="D7497" s="9" t="s">
        <v>18</v>
      </c>
      <c r="E7497" s="10" t="s">
        <v>679</v>
      </c>
      <c r="F7497" s="9" t="s">
        <v>699</v>
      </c>
      <c r="G7497" s="10" t="s">
        <v>470</v>
      </c>
      <c r="H7497" s="9" t="s">
        <v>22</v>
      </c>
      <c r="I7497" s="9" t="s">
        <v>16747</v>
      </c>
      <c r="J7497" s="10" t="str">
        <f>HYPERLINK("https://www.boe.es/gazeta/dias/1834/12/10/pdfs/GMD-C-1834-299.pdf#page=8","Abrir facsímil")</f>
        <v>Abrir facsímil</v>
      </c>
      <c r="K7497" s="10" t="s">
        <v>24</v>
      </c>
    </row>
    <row r="7498" spans="1:11" ht="54" customHeight="1">
      <c r="A7498" s="9" t="s">
        <v>16748</v>
      </c>
      <c r="B7498" s="9" t="s">
        <v>16749</v>
      </c>
      <c r="C7498" s="9" t="s">
        <v>122</v>
      </c>
      <c r="D7498" s="9" t="s">
        <v>18</v>
      </c>
      <c r="E7498" s="10" t="s">
        <v>1973</v>
      </c>
      <c r="F7498" s="9" t="s">
        <v>1974</v>
      </c>
      <c r="G7498" s="10" t="s">
        <v>470</v>
      </c>
      <c r="H7498" s="9" t="s">
        <v>22</v>
      </c>
      <c r="I7498" s="9" t="s">
        <v>16750</v>
      </c>
      <c r="J7498" s="10" t="str">
        <f>HYPERLINK("https://www.boe.es/gazeta/dias/1834/12/20/pdfs/GMD-C-1834-310.pdf#page=8","Abrir facsímil")</f>
        <v>Abrir facsímil</v>
      </c>
      <c r="K7498" s="10" t="s">
        <v>24</v>
      </c>
    </row>
    <row r="7499" spans="1:11" ht="54" customHeight="1">
      <c r="A7499" s="9" t="s">
        <v>16751</v>
      </c>
      <c r="B7499" s="9" t="s">
        <v>16752</v>
      </c>
      <c r="C7499" s="9" t="s">
        <v>90</v>
      </c>
      <c r="D7499" s="9" t="s">
        <v>55</v>
      </c>
      <c r="E7499" s="10" t="s">
        <v>956</v>
      </c>
      <c r="F7499" s="9" t="s">
        <v>957</v>
      </c>
      <c r="G7499" s="10" t="s">
        <v>34</v>
      </c>
      <c r="H7499" s="9" t="s">
        <v>35</v>
      </c>
      <c r="I7499" s="9" t="s">
        <v>16753</v>
      </c>
      <c r="J7499" s="10" t="str">
        <f>HYPERLINK("https://www.boe.es/gazeta/dias/1834/08/10/pdfs/GMD-C-1834-175.pdf#page=1","Abrir facsímil")</f>
        <v>Abrir facsímil</v>
      </c>
      <c r="K7499" s="10" t="s">
        <v>37</v>
      </c>
    </row>
    <row r="7500" spans="1:11" ht="54" customHeight="1">
      <c r="A7500" s="9" t="s">
        <v>16754</v>
      </c>
      <c r="B7500" s="9" t="s">
        <v>16755</v>
      </c>
      <c r="C7500" s="9" t="s">
        <v>17</v>
      </c>
      <c r="D7500" s="9" t="s">
        <v>18</v>
      </c>
      <c r="E7500" s="10" t="s">
        <v>813</v>
      </c>
      <c r="F7500" s="9" t="s">
        <v>16756</v>
      </c>
      <c r="G7500" s="10" t="s">
        <v>34</v>
      </c>
      <c r="H7500" s="9" t="s">
        <v>22</v>
      </c>
      <c r="I7500" s="9" t="s">
        <v>16757</v>
      </c>
      <c r="J7500" s="10" t="str">
        <f>HYPERLINK("https://www.boe.es/gazeta/dias/1834/08/08/pdfs/GMD-C-1834-173.pdf#page=1","Abrir facsímil")</f>
        <v>Abrir facsímil</v>
      </c>
      <c r="K7500" s="10" t="s">
        <v>24</v>
      </c>
    </row>
    <row r="7501" spans="1:11" ht="54" customHeight="1">
      <c r="A7501" s="9" t="s">
        <v>16754</v>
      </c>
      <c r="B7501" s="9" t="s">
        <v>16755</v>
      </c>
      <c r="C7501" s="9" t="s">
        <v>90</v>
      </c>
      <c r="D7501" s="9" t="s">
        <v>18</v>
      </c>
      <c r="E7501" s="10" t="s">
        <v>163</v>
      </c>
      <c r="F7501" s="9" t="s">
        <v>164</v>
      </c>
      <c r="G7501" s="10" t="s">
        <v>34</v>
      </c>
      <c r="H7501" s="9" t="s">
        <v>22</v>
      </c>
      <c r="I7501" s="9" t="s">
        <v>16758</v>
      </c>
      <c r="J7501" s="10" t="str">
        <f>HYPERLINK("https://www.boe.es/gazeta/dias/1834/08/09/pdfs/GMD-1834-174.pdf#page=1","Abrir facsímil")</f>
        <v>Abrir facsímil</v>
      </c>
      <c r="K7501" s="10" t="s">
        <v>24</v>
      </c>
    </row>
    <row r="7502" spans="1:11" ht="54" customHeight="1">
      <c r="A7502" s="9" t="s">
        <v>16754</v>
      </c>
      <c r="B7502" s="9" t="s">
        <v>16755</v>
      </c>
      <c r="C7502" s="9" t="s">
        <v>17</v>
      </c>
      <c r="D7502" s="9" t="s">
        <v>18</v>
      </c>
      <c r="E7502" s="10" t="s">
        <v>939</v>
      </c>
      <c r="F7502" s="9" t="s">
        <v>940</v>
      </c>
      <c r="G7502" s="10" t="s">
        <v>21</v>
      </c>
      <c r="H7502" s="9" t="s">
        <v>22</v>
      </c>
      <c r="I7502" s="9" t="s">
        <v>16759</v>
      </c>
      <c r="J7502" s="10" t="str">
        <f>HYPERLINK("https://www.boe.es/gazeta/dias/1834/06/10/pdfs/GMD-1834-113.pdf#page=3","Abrir facsímil")</f>
        <v>Abrir facsímil</v>
      </c>
      <c r="K7502" s="10" t="s">
        <v>24</v>
      </c>
    </row>
    <row r="7503" spans="1:11" ht="54" customHeight="1">
      <c r="A7503" s="9" t="s">
        <v>16754</v>
      </c>
      <c r="B7503" s="9" t="s">
        <v>16755</v>
      </c>
      <c r="C7503" s="9" t="s">
        <v>90</v>
      </c>
      <c r="D7503" s="9" t="s">
        <v>55</v>
      </c>
      <c r="E7503" s="10" t="s">
        <v>956</v>
      </c>
      <c r="F7503" s="9" t="s">
        <v>957</v>
      </c>
      <c r="G7503" s="10" t="s">
        <v>34</v>
      </c>
      <c r="H7503" s="9" t="s">
        <v>22</v>
      </c>
      <c r="I7503" s="9" t="s">
        <v>16760</v>
      </c>
      <c r="J7503" s="10" t="str">
        <f>HYPERLINK("https://www.boe.es/gazeta/dias/1834/08/10/pdfs/GMD-C-1834-175.pdf#page=1","Abrir facsímil")</f>
        <v>Abrir facsímil</v>
      </c>
      <c r="K7503" s="10" t="s">
        <v>24</v>
      </c>
    </row>
    <row r="7504" spans="1:11" ht="54" customHeight="1">
      <c r="A7504" s="9" t="s">
        <v>16761</v>
      </c>
      <c r="B7504" s="9" t="s">
        <v>16761</v>
      </c>
      <c r="C7504" s="9" t="s">
        <v>66</v>
      </c>
      <c r="D7504" s="9" t="s">
        <v>67</v>
      </c>
      <c r="E7504" s="10" t="s">
        <v>793</v>
      </c>
      <c r="F7504" s="9" t="s">
        <v>794</v>
      </c>
      <c r="G7504" s="10" t="s">
        <v>86</v>
      </c>
      <c r="H7504" s="9" t="s">
        <v>22</v>
      </c>
      <c r="I7504" s="9" t="s">
        <v>16762</v>
      </c>
      <c r="J7504" s="10" t="str">
        <f>HYPERLINK("https://www.boe.es/gazeta/dias/1834/10/08/pdfs/GMD-1834-236.pdf#page=2","Abrir facsímil")</f>
        <v>Abrir facsímil</v>
      </c>
      <c r="K7504" s="10" t="s">
        <v>24</v>
      </c>
    </row>
    <row r="7505" spans="1:11" ht="54" customHeight="1">
      <c r="A7505" s="9" t="s">
        <v>16763</v>
      </c>
      <c r="B7505" s="9" t="s">
        <v>16763</v>
      </c>
      <c r="C7505" s="9" t="s">
        <v>17</v>
      </c>
      <c r="D7505" s="9" t="s">
        <v>55</v>
      </c>
      <c r="E7505" s="10" t="s">
        <v>68</v>
      </c>
      <c r="F7505" s="9" t="s">
        <v>69</v>
      </c>
      <c r="G7505" s="10" t="s">
        <v>86</v>
      </c>
      <c r="H7505" s="9" t="s">
        <v>22</v>
      </c>
      <c r="I7505" s="9" t="s">
        <v>16764</v>
      </c>
      <c r="J7505" s="10" t="str">
        <f>HYPERLINK("https://www.boe.es/gazeta/dias/1834/11/01/pdfs/GMD-1834-260.pdf#page=2","Abrir facsímil")</f>
        <v>Abrir facsímil</v>
      </c>
      <c r="K7505" s="10" t="s">
        <v>24</v>
      </c>
    </row>
    <row r="7506" spans="1:11" ht="54" customHeight="1">
      <c r="A7506" s="9" t="s">
        <v>16763</v>
      </c>
      <c r="B7506" s="9" t="s">
        <v>16763</v>
      </c>
      <c r="C7506" s="9" t="s">
        <v>17</v>
      </c>
      <c r="D7506" s="9" t="s">
        <v>18</v>
      </c>
      <c r="E7506" s="10" t="s">
        <v>518</v>
      </c>
      <c r="F7506" s="9" t="s">
        <v>519</v>
      </c>
      <c r="G7506" s="10" t="s">
        <v>86</v>
      </c>
      <c r="H7506" s="9" t="s">
        <v>22</v>
      </c>
      <c r="I7506" s="9" t="s">
        <v>16765</v>
      </c>
      <c r="J7506" s="10" t="str">
        <f>HYPERLINK("https://www.boe.es/gazeta/dias/1834/03/15/pdfs/GMD-1834-33.pdf#page=2","Abrir facsímil")</f>
        <v>Abrir facsímil</v>
      </c>
      <c r="K7506" s="10" t="s">
        <v>24</v>
      </c>
    </row>
    <row r="7507" spans="1:11" ht="54" customHeight="1">
      <c r="A7507" s="9" t="s">
        <v>16763</v>
      </c>
      <c r="B7507" s="9" t="s">
        <v>16763</v>
      </c>
      <c r="C7507" s="9" t="s">
        <v>17</v>
      </c>
      <c r="D7507" s="9" t="s">
        <v>18</v>
      </c>
      <c r="E7507" s="10" t="s">
        <v>3952</v>
      </c>
      <c r="F7507" s="9" t="s">
        <v>3953</v>
      </c>
      <c r="G7507" s="10" t="s">
        <v>21</v>
      </c>
      <c r="H7507" s="9" t="s">
        <v>22</v>
      </c>
      <c r="I7507" s="9" t="s">
        <v>16766</v>
      </c>
      <c r="J7507" s="10" t="str">
        <f>HYPERLINK("https://www.boe.es/gazeta/dias/1834/02/22/pdfs/GMD-1834-24.pdf#page=3","Abrir facsímil")</f>
        <v>Abrir facsímil</v>
      </c>
      <c r="K7507" s="10" t="s">
        <v>24</v>
      </c>
    </row>
    <row r="7508" spans="1:11" ht="54" customHeight="1">
      <c r="A7508" s="9" t="s">
        <v>16767</v>
      </c>
      <c r="B7508" s="9" t="s">
        <v>16767</v>
      </c>
      <c r="C7508" s="9" t="s">
        <v>17</v>
      </c>
      <c r="D7508" s="9" t="s">
        <v>18</v>
      </c>
      <c r="E7508" s="10" t="s">
        <v>1839</v>
      </c>
      <c r="F7508" s="9" t="s">
        <v>1840</v>
      </c>
      <c r="G7508" s="10" t="s">
        <v>34</v>
      </c>
      <c r="H7508" s="9" t="s">
        <v>22</v>
      </c>
      <c r="I7508" s="9" t="s">
        <v>16768</v>
      </c>
      <c r="J7508" s="10" t="str">
        <f>HYPERLINK("https://www.boe.es/gazeta/dias/1834/08/12/pdfs/GMD-C-1834-177.pdf#page=1","Abrir facsímil")</f>
        <v>Abrir facsímil</v>
      </c>
      <c r="K7508" s="10" t="s">
        <v>24</v>
      </c>
    </row>
    <row r="7509" spans="1:11" ht="54" customHeight="1">
      <c r="A7509" s="9" t="s">
        <v>16769</v>
      </c>
      <c r="B7509" s="9" t="s">
        <v>16769</v>
      </c>
      <c r="C7509" s="9" t="s">
        <v>17</v>
      </c>
      <c r="D7509" s="9" t="s">
        <v>18</v>
      </c>
      <c r="E7509" s="10" t="s">
        <v>5904</v>
      </c>
      <c r="F7509" s="9" t="s">
        <v>5905</v>
      </c>
      <c r="G7509" s="10" t="s">
        <v>86</v>
      </c>
      <c r="H7509" s="9" t="s">
        <v>22</v>
      </c>
      <c r="I7509" s="9" t="s">
        <v>16770</v>
      </c>
      <c r="J7509" s="10" t="str">
        <f>HYPERLINK("https://www.boe.es/gazeta/dias/1834/09/29/pdfs/GMD-1834-227.pdf#page=2","Abrir facsímil")</f>
        <v>Abrir facsímil</v>
      </c>
      <c r="K7509" s="10" t="s">
        <v>24</v>
      </c>
    </row>
    <row r="7510" spans="1:11" ht="54" customHeight="1">
      <c r="A7510" s="9" t="s">
        <v>16771</v>
      </c>
      <c r="B7510" s="9" t="s">
        <v>16772</v>
      </c>
      <c r="C7510" s="9" t="s">
        <v>17</v>
      </c>
      <c r="D7510" s="9" t="s">
        <v>18</v>
      </c>
      <c r="E7510" s="10" t="s">
        <v>91</v>
      </c>
      <c r="F7510" s="9" t="s">
        <v>92</v>
      </c>
      <c r="G7510" s="10" t="s">
        <v>75</v>
      </c>
      <c r="H7510" s="9" t="s">
        <v>22</v>
      </c>
      <c r="I7510" s="9" t="s">
        <v>16773</v>
      </c>
      <c r="J7510" s="10" t="str">
        <f>HYPERLINK("https://www.boe.es/gazeta/dias/1834/02/13/pdfs/GMD-1834-20.pdf#page=4","Abrir facsímil")</f>
        <v>Abrir facsímil</v>
      </c>
      <c r="K7510" s="10" t="s">
        <v>24</v>
      </c>
    </row>
    <row r="7511" spans="1:11" ht="54" customHeight="1">
      <c r="A7511" s="9" t="s">
        <v>16774</v>
      </c>
      <c r="B7511" s="9" t="s">
        <v>16775</v>
      </c>
      <c r="C7511" s="9" t="s">
        <v>66</v>
      </c>
      <c r="D7511" s="9" t="s">
        <v>67</v>
      </c>
      <c r="E7511" s="10" t="s">
        <v>451</v>
      </c>
      <c r="F7511" s="9" t="s">
        <v>3350</v>
      </c>
      <c r="G7511" s="10" t="s">
        <v>21</v>
      </c>
      <c r="H7511" s="9" t="s">
        <v>22</v>
      </c>
      <c r="I7511" s="9" t="s">
        <v>16776</v>
      </c>
      <c r="J7511" s="10" t="str">
        <f>HYPERLINK("https://www.boe.es/gazeta/dias/1834/10/15/pdfs/GMD-1834-243.pdf#page=3","Abrir facsímil")</f>
        <v>Abrir facsímil</v>
      </c>
      <c r="K7511" s="10" t="s">
        <v>24</v>
      </c>
    </row>
    <row r="7512" spans="1:11" ht="54" customHeight="1">
      <c r="A7512" s="9" t="s">
        <v>16777</v>
      </c>
      <c r="B7512" s="9" t="s">
        <v>16778</v>
      </c>
      <c r="C7512" s="9" t="s">
        <v>17</v>
      </c>
      <c r="D7512" s="9" t="s">
        <v>101</v>
      </c>
      <c r="E7512" s="10" t="s">
        <v>339</v>
      </c>
      <c r="F7512" s="9" t="s">
        <v>340</v>
      </c>
      <c r="G7512" s="10" t="s">
        <v>34</v>
      </c>
      <c r="H7512" s="9" t="s">
        <v>22</v>
      </c>
      <c r="I7512" s="9" t="s">
        <v>16779</v>
      </c>
      <c r="J7512" s="10" t="str">
        <f>HYPERLINK("https://www.boe.es/gazeta/dias/1834/05/02/pdfs/GMD-1834-71.pdf#page=1","Abrir facsímil")</f>
        <v>Abrir facsímil</v>
      </c>
      <c r="K7512" s="10" t="s">
        <v>24</v>
      </c>
    </row>
    <row r="7513" spans="1:11" ht="54" customHeight="1">
      <c r="A7513" s="9" t="s">
        <v>16777</v>
      </c>
      <c r="B7513" s="9" t="s">
        <v>16778</v>
      </c>
      <c r="C7513" s="9" t="s">
        <v>90</v>
      </c>
      <c r="D7513" s="9" t="s">
        <v>101</v>
      </c>
      <c r="E7513" s="10" t="s">
        <v>637</v>
      </c>
      <c r="F7513" s="9" t="s">
        <v>638</v>
      </c>
      <c r="G7513" s="10" t="s">
        <v>34</v>
      </c>
      <c r="H7513" s="9" t="s">
        <v>22</v>
      </c>
      <c r="I7513" s="9" t="s">
        <v>16780</v>
      </c>
      <c r="J7513" s="10" t="str">
        <f>HYPERLINK("https://www.boe.es/gazeta/dias/1834/06/03/pdfs/I00469-00470.pdf#page=1","Abrir facsímil")</f>
        <v>Abrir facsímil</v>
      </c>
      <c r="K7513" s="10" t="s">
        <v>24</v>
      </c>
    </row>
    <row r="7514" spans="1:11" ht="54" customHeight="1">
      <c r="A7514" s="9" t="s">
        <v>16777</v>
      </c>
      <c r="B7514" s="9" t="s">
        <v>16778</v>
      </c>
      <c r="C7514" s="9" t="s">
        <v>90</v>
      </c>
      <c r="D7514" s="9" t="s">
        <v>101</v>
      </c>
      <c r="E7514" s="10" t="s">
        <v>637</v>
      </c>
      <c r="F7514" s="9" t="s">
        <v>638</v>
      </c>
      <c r="G7514" s="10" t="s">
        <v>21</v>
      </c>
      <c r="H7514" s="9" t="s">
        <v>22</v>
      </c>
      <c r="I7514" s="9" t="s">
        <v>16781</v>
      </c>
      <c r="J7514" s="10" t="str">
        <f>HYPERLINK("https://www.boe.es/gazeta/dias/1834/06/03/pdfs/GMD-1834-105.pdf#page=3","Abrir facsímil")</f>
        <v>Abrir facsímil</v>
      </c>
      <c r="K7514" s="10" t="s">
        <v>24</v>
      </c>
    </row>
    <row r="7515" spans="1:11" ht="54" customHeight="1">
      <c r="A7515" s="9" t="s">
        <v>16782</v>
      </c>
      <c r="B7515" s="9" t="s">
        <v>16782</v>
      </c>
      <c r="C7515" s="9" t="s">
        <v>17</v>
      </c>
      <c r="D7515" s="9" t="s">
        <v>18</v>
      </c>
      <c r="E7515" s="10" t="s">
        <v>243</v>
      </c>
      <c r="F7515" s="9" t="s">
        <v>244</v>
      </c>
      <c r="G7515" s="10" t="s">
        <v>86</v>
      </c>
      <c r="H7515" s="9" t="s">
        <v>22</v>
      </c>
      <c r="I7515" s="9" t="s">
        <v>16783</v>
      </c>
      <c r="J7515" s="10" t="str">
        <f>HYPERLINK("https://www.boe.es/gazeta/dias/1834/08/05/pdfs/GMD-C-1834-169.pdf#page=2","Abrir facsímil")</f>
        <v>Abrir facsímil</v>
      </c>
      <c r="K7515" s="10" t="s">
        <v>24</v>
      </c>
    </row>
    <row r="7516" spans="1:11" ht="54" customHeight="1">
      <c r="A7516" s="9" t="s">
        <v>16784</v>
      </c>
      <c r="B7516" s="9" t="s">
        <v>16785</v>
      </c>
      <c r="C7516" s="9" t="s">
        <v>17</v>
      </c>
      <c r="D7516" s="9" t="s">
        <v>55</v>
      </c>
      <c r="E7516" s="10" t="s">
        <v>1505</v>
      </c>
      <c r="F7516" s="9" t="s">
        <v>1506</v>
      </c>
      <c r="G7516" s="10" t="s">
        <v>86</v>
      </c>
      <c r="H7516" s="9" t="s">
        <v>35</v>
      </c>
      <c r="I7516" s="9" t="s">
        <v>16786</v>
      </c>
      <c r="J7516" s="10" t="str">
        <f>HYPERLINK("https://www.boe.es/gazeta/dias/1834/05/08/pdfs/GMD-1834-77.pdf#page=2","Abrir facsímil")</f>
        <v>Abrir facsímil</v>
      </c>
      <c r="K7516" s="10" t="s">
        <v>37</v>
      </c>
    </row>
    <row r="7517" spans="1:11" ht="54" customHeight="1">
      <c r="A7517" s="9" t="s">
        <v>16787</v>
      </c>
      <c r="B7517" s="9" t="s">
        <v>16787</v>
      </c>
      <c r="C7517" s="9" t="s">
        <v>90</v>
      </c>
      <c r="D7517" s="9" t="s">
        <v>18</v>
      </c>
      <c r="E7517" s="10" t="s">
        <v>426</v>
      </c>
      <c r="F7517" s="9" t="s">
        <v>427</v>
      </c>
      <c r="G7517" s="10" t="s">
        <v>86</v>
      </c>
      <c r="H7517" s="9" t="s">
        <v>22</v>
      </c>
      <c r="I7517" s="9" t="s">
        <v>16788</v>
      </c>
      <c r="J7517" s="10" t="str">
        <f>HYPERLINK("https://www.boe.es/gazeta/dias/1834/10/04/pdfs/GMD-1834-232.pdf#page=2","Abrir facsímil")</f>
        <v>Abrir facsímil</v>
      </c>
      <c r="K7517" s="10" t="s">
        <v>24</v>
      </c>
    </row>
    <row r="7518" spans="1:11" ht="54" customHeight="1">
      <c r="A7518" s="9" t="s">
        <v>16789</v>
      </c>
      <c r="B7518" s="9" t="s">
        <v>16789</v>
      </c>
      <c r="C7518" s="9" t="s">
        <v>46</v>
      </c>
      <c r="D7518" s="9" t="s">
        <v>55</v>
      </c>
      <c r="E7518" s="10" t="s">
        <v>5574</v>
      </c>
      <c r="F7518" s="9" t="s">
        <v>5575</v>
      </c>
      <c r="G7518" s="10" t="s">
        <v>86</v>
      </c>
      <c r="H7518" s="9" t="s">
        <v>22</v>
      </c>
      <c r="I7518" s="9" t="s">
        <v>16790</v>
      </c>
      <c r="J7518" s="10" t="str">
        <f>HYPERLINK("https://www.boe.es/gazeta/dias/1834/06/16/pdfs/GMD-1834-119.pdf#page=2","Abrir facsímil")</f>
        <v>Abrir facsímil</v>
      </c>
      <c r="K7518" s="10" t="s">
        <v>24</v>
      </c>
    </row>
    <row r="7519" spans="1:11" ht="54" customHeight="1">
      <c r="A7519" s="9" t="s">
        <v>16791</v>
      </c>
      <c r="B7519" s="9" t="s">
        <v>16792</v>
      </c>
      <c r="C7519" s="9" t="s">
        <v>17</v>
      </c>
      <c r="D7519" s="9" t="s">
        <v>18</v>
      </c>
      <c r="E7519" s="10" t="s">
        <v>956</v>
      </c>
      <c r="F7519" s="9" t="s">
        <v>957</v>
      </c>
      <c r="G7519" s="10" t="s">
        <v>34</v>
      </c>
      <c r="H7519" s="9" t="s">
        <v>22</v>
      </c>
      <c r="I7519" s="9" t="s">
        <v>16793</v>
      </c>
      <c r="J7519" s="10" t="str">
        <f>HYPERLINK("https://www.boe.es/gazeta/dias/1834/08/10/pdfs/GMD-C-1834-175.pdf#page=1","Abrir facsímil")</f>
        <v>Abrir facsímil</v>
      </c>
      <c r="K7519" s="10" t="s">
        <v>24</v>
      </c>
    </row>
    <row r="7520" spans="1:11" ht="54" customHeight="1">
      <c r="A7520" s="9" t="s">
        <v>16794</v>
      </c>
      <c r="B7520" s="9" t="s">
        <v>16795</v>
      </c>
      <c r="C7520" s="9" t="s">
        <v>66</v>
      </c>
      <c r="D7520" s="9" t="s">
        <v>67</v>
      </c>
      <c r="E7520" s="10" t="s">
        <v>2124</v>
      </c>
      <c r="F7520" s="9" t="s">
        <v>2125</v>
      </c>
      <c r="G7520" s="10" t="s">
        <v>21</v>
      </c>
      <c r="H7520" s="9" t="s">
        <v>22</v>
      </c>
      <c r="I7520" s="9" t="s">
        <v>16796</v>
      </c>
      <c r="J7520" s="10" t="str">
        <f>HYPERLINK("https://www.boe.es/gazeta/dias/1834/06/09/pdfs/GMD-1834-112.pdf#page=3","Abrir facsímil")</f>
        <v>Abrir facsímil</v>
      </c>
      <c r="K7520" s="10" t="s">
        <v>24</v>
      </c>
    </row>
    <row r="7521" spans="1:11" ht="54" customHeight="1">
      <c r="A7521" s="9" t="s">
        <v>16797</v>
      </c>
      <c r="B7521" s="9" t="s">
        <v>16798</v>
      </c>
      <c r="C7521" s="9" t="s">
        <v>17</v>
      </c>
      <c r="D7521" s="9" t="s">
        <v>40</v>
      </c>
      <c r="E7521" s="10" t="s">
        <v>5885</v>
      </c>
      <c r="F7521" s="9" t="s">
        <v>5886</v>
      </c>
      <c r="G7521" s="10" t="s">
        <v>21</v>
      </c>
      <c r="H7521" s="9" t="s">
        <v>22</v>
      </c>
      <c r="I7521" s="9" t="s">
        <v>16799</v>
      </c>
      <c r="J7521" s="10" t="str">
        <f>HYPERLINK("https://www.boe.es/gazeta/dias/1834/05/23/pdfs/GMD-1834-92.pdf#page=3","Abrir facsímil")</f>
        <v>Abrir facsímil</v>
      </c>
      <c r="K7521" s="10" t="s">
        <v>24</v>
      </c>
    </row>
    <row r="7522" spans="1:11" ht="54" customHeight="1">
      <c r="A7522" s="9" t="s">
        <v>16800</v>
      </c>
      <c r="B7522" s="9" t="s">
        <v>16801</v>
      </c>
      <c r="C7522" s="9" t="s">
        <v>46</v>
      </c>
      <c r="D7522" s="9" t="s">
        <v>55</v>
      </c>
      <c r="E7522" s="10" t="s">
        <v>956</v>
      </c>
      <c r="F7522" s="9" t="s">
        <v>957</v>
      </c>
      <c r="G7522" s="10" t="s">
        <v>34</v>
      </c>
      <c r="H7522" s="9" t="s">
        <v>22</v>
      </c>
      <c r="I7522" s="9" t="s">
        <v>16802</v>
      </c>
      <c r="J7522" s="10" t="str">
        <f>HYPERLINK("https://www.boe.es/gazeta/dias/1834/08/10/pdfs/GMD-C-1834-175.pdf#page=1","Abrir facsímil")</f>
        <v>Abrir facsímil</v>
      </c>
      <c r="K7522" s="10" t="s">
        <v>24</v>
      </c>
    </row>
    <row r="7523" spans="1:11" ht="54" customHeight="1">
      <c r="A7523" s="9" t="s">
        <v>16800</v>
      </c>
      <c r="B7523" s="9" t="s">
        <v>16801</v>
      </c>
      <c r="C7523" s="9" t="s">
        <v>17</v>
      </c>
      <c r="D7523" s="9" t="s">
        <v>55</v>
      </c>
      <c r="E7523" s="10" t="s">
        <v>956</v>
      </c>
      <c r="F7523" s="9" t="s">
        <v>957</v>
      </c>
      <c r="G7523" s="10" t="s">
        <v>21</v>
      </c>
      <c r="H7523" s="9" t="s">
        <v>22</v>
      </c>
      <c r="I7523" s="9" t="s">
        <v>16803</v>
      </c>
      <c r="J7523" s="10" t="str">
        <f>HYPERLINK("https://www.boe.es/gazeta/dias/1834/08/10/pdfs/GMD-C-1834-175.pdf#page=3","Abrir facsímil")</f>
        <v>Abrir facsímil</v>
      </c>
      <c r="K7523" s="10" t="s">
        <v>24</v>
      </c>
    </row>
    <row r="7524" spans="1:11" ht="54" customHeight="1">
      <c r="A7524" s="9" t="s">
        <v>16800</v>
      </c>
      <c r="B7524" s="9" t="s">
        <v>16801</v>
      </c>
      <c r="C7524" s="9" t="s">
        <v>17</v>
      </c>
      <c r="D7524" s="9" t="s">
        <v>18</v>
      </c>
      <c r="E7524" s="10" t="s">
        <v>1273</v>
      </c>
      <c r="F7524" s="9" t="s">
        <v>1274</v>
      </c>
      <c r="G7524" s="10" t="s">
        <v>21</v>
      </c>
      <c r="H7524" s="9" t="s">
        <v>22</v>
      </c>
      <c r="I7524" s="9" t="s">
        <v>16804</v>
      </c>
      <c r="J7524" s="10" t="str">
        <f>HYPERLINK("https://www.boe.es/gazeta/dias/1834/05/14/pdfs/GMD-1834-83.pdf#page=3","Abrir facsímil")</f>
        <v>Abrir facsímil</v>
      </c>
      <c r="K7524" s="10" t="s">
        <v>24</v>
      </c>
    </row>
    <row r="7525" spans="1:11" ht="54" customHeight="1">
      <c r="A7525" s="9" t="s">
        <v>16800</v>
      </c>
      <c r="B7525" s="9" t="s">
        <v>16801</v>
      </c>
      <c r="C7525" s="9" t="s">
        <v>66</v>
      </c>
      <c r="D7525" s="9" t="s">
        <v>67</v>
      </c>
      <c r="E7525" s="10" t="s">
        <v>1517</v>
      </c>
      <c r="F7525" s="9" t="s">
        <v>1518</v>
      </c>
      <c r="G7525" s="10" t="s">
        <v>21</v>
      </c>
      <c r="H7525" s="9" t="s">
        <v>22</v>
      </c>
      <c r="I7525" s="9" t="s">
        <v>16805</v>
      </c>
      <c r="J7525" s="10" t="str">
        <f>HYPERLINK("https://www.boe.es/gazeta/dias/1834/05/18/pdfs/GMD-1834-87.pdf#page=3","Abrir facsímil")</f>
        <v>Abrir facsímil</v>
      </c>
      <c r="K7525" s="10" t="s">
        <v>24</v>
      </c>
    </row>
    <row r="7526" spans="1:11" ht="54" customHeight="1">
      <c r="A7526" s="9" t="s">
        <v>16800</v>
      </c>
      <c r="B7526" s="9" t="s">
        <v>16801</v>
      </c>
      <c r="C7526" s="9" t="s">
        <v>17</v>
      </c>
      <c r="D7526" s="9" t="s">
        <v>18</v>
      </c>
      <c r="E7526" s="10" t="s">
        <v>1517</v>
      </c>
      <c r="F7526" s="9" t="s">
        <v>1518</v>
      </c>
      <c r="G7526" s="10" t="s">
        <v>75</v>
      </c>
      <c r="H7526" s="9" t="s">
        <v>22</v>
      </c>
      <c r="I7526" s="9" t="s">
        <v>16806</v>
      </c>
      <c r="J7526" s="10" t="str">
        <f>HYPERLINK("https://www.boe.es/gazeta/dias/1834/05/18/pdfs/GMD-1834-87.pdf#page=4","Abrir facsímil")</f>
        <v>Abrir facsímil</v>
      </c>
      <c r="K7526" s="10" t="s">
        <v>24</v>
      </c>
    </row>
    <row r="7527" spans="1:11" ht="54" customHeight="1">
      <c r="A7527" s="9" t="s">
        <v>16800</v>
      </c>
      <c r="B7527" s="9" t="s">
        <v>16801</v>
      </c>
      <c r="C7527" s="9" t="s">
        <v>17</v>
      </c>
      <c r="D7527" s="9" t="s">
        <v>101</v>
      </c>
      <c r="E7527" s="10" t="s">
        <v>217</v>
      </c>
      <c r="F7527" s="9" t="s">
        <v>218</v>
      </c>
      <c r="G7527" s="10" t="s">
        <v>21</v>
      </c>
      <c r="H7527" s="9" t="s">
        <v>22</v>
      </c>
      <c r="I7527" s="9" t="s">
        <v>16807</v>
      </c>
      <c r="J7527" s="10" t="str">
        <f>HYPERLINK("https://www.boe.es/gazeta/dias/1834/04/20/pdfs/GMD-1834-59.pdf#page=3","Abrir facsímil")</f>
        <v>Abrir facsímil</v>
      </c>
      <c r="K7527" s="10" t="s">
        <v>24</v>
      </c>
    </row>
    <row r="7528" spans="1:11" ht="54" customHeight="1">
      <c r="A7528" s="9" t="s">
        <v>16800</v>
      </c>
      <c r="B7528" s="9" t="s">
        <v>16801</v>
      </c>
      <c r="C7528" s="9" t="s">
        <v>90</v>
      </c>
      <c r="D7528" s="9" t="s">
        <v>67</v>
      </c>
      <c r="E7528" s="10" t="s">
        <v>8279</v>
      </c>
      <c r="F7528" s="9" t="s">
        <v>8280</v>
      </c>
      <c r="G7528" s="10" t="s">
        <v>21</v>
      </c>
      <c r="H7528" s="9" t="s">
        <v>22</v>
      </c>
      <c r="I7528" s="9" t="s">
        <v>16808</v>
      </c>
      <c r="J7528" s="10" t="str">
        <f>HYPERLINK("https://www.boe.es/gazeta/dias/1834/04/22/pdfs/GMD-1834-61.pdf#page=3","Abrir facsímil")</f>
        <v>Abrir facsímil</v>
      </c>
      <c r="K7528" s="10" t="s">
        <v>24</v>
      </c>
    </row>
    <row r="7529" spans="1:11" ht="54" customHeight="1">
      <c r="A7529" s="9" t="s">
        <v>16800</v>
      </c>
      <c r="B7529" s="9" t="s">
        <v>16801</v>
      </c>
      <c r="C7529" s="9" t="s">
        <v>66</v>
      </c>
      <c r="D7529" s="9" t="s">
        <v>67</v>
      </c>
      <c r="E7529" s="10" t="s">
        <v>8279</v>
      </c>
      <c r="F7529" s="9" t="s">
        <v>16809</v>
      </c>
      <c r="G7529" s="10" t="s">
        <v>34</v>
      </c>
      <c r="H7529" s="9" t="s">
        <v>22</v>
      </c>
      <c r="I7529" s="9" t="s">
        <v>16810</v>
      </c>
      <c r="J7529" s="10" t="str">
        <f>HYPERLINK("https://www.boe.es/gazeta/dias/1834/04/22/pdfs/GMD-C-1834-61.pdf#page=1","Abrir facsímil")</f>
        <v>Abrir facsímil</v>
      </c>
      <c r="K7529" s="10" t="s">
        <v>24</v>
      </c>
    </row>
    <row r="7530" spans="1:11" ht="54" customHeight="1">
      <c r="A7530" s="9" t="s">
        <v>16800</v>
      </c>
      <c r="B7530" s="9" t="s">
        <v>16801</v>
      </c>
      <c r="C7530" s="9" t="s">
        <v>66</v>
      </c>
      <c r="D7530" s="9" t="s">
        <v>67</v>
      </c>
      <c r="E7530" s="10" t="s">
        <v>1323</v>
      </c>
      <c r="F7530" s="9" t="s">
        <v>1324</v>
      </c>
      <c r="G7530" s="10" t="s">
        <v>75</v>
      </c>
      <c r="H7530" s="9" t="s">
        <v>22</v>
      </c>
      <c r="I7530" s="9" t="s">
        <v>16811</v>
      </c>
      <c r="J7530" s="10" t="str">
        <f>HYPERLINK("https://www.boe.es/gazeta/dias/1834/05/22/pdfs/GMD-1834-91.pdf#page=4","Abrir facsímil")</f>
        <v>Abrir facsímil</v>
      </c>
      <c r="K7530" s="10" t="s">
        <v>24</v>
      </c>
    </row>
    <row r="7531" spans="1:11" ht="54" customHeight="1">
      <c r="A7531" s="9" t="s">
        <v>16800</v>
      </c>
      <c r="B7531" s="9" t="s">
        <v>16801</v>
      </c>
      <c r="C7531" s="9" t="s">
        <v>17</v>
      </c>
      <c r="D7531" s="9" t="s">
        <v>55</v>
      </c>
      <c r="E7531" s="10" t="s">
        <v>32</v>
      </c>
      <c r="F7531" s="9" t="s">
        <v>33</v>
      </c>
      <c r="G7531" s="10" t="s">
        <v>34</v>
      </c>
      <c r="H7531" s="9" t="s">
        <v>22</v>
      </c>
      <c r="I7531" s="9" t="s">
        <v>16812</v>
      </c>
      <c r="J7531" s="10" t="str">
        <f>HYPERLINK("https://www.boe.es/gazeta/dias/1834/04/23/pdfs/GMD-1834-62.pdf#page=1","Abrir facsímil")</f>
        <v>Abrir facsímil</v>
      </c>
      <c r="K7531" s="10" t="s">
        <v>24</v>
      </c>
    </row>
    <row r="7532" spans="1:11" ht="54" customHeight="1">
      <c r="A7532" s="9" t="s">
        <v>16800</v>
      </c>
      <c r="B7532" s="9" t="s">
        <v>16801</v>
      </c>
      <c r="C7532" s="9" t="s">
        <v>90</v>
      </c>
      <c r="D7532" s="9" t="s">
        <v>67</v>
      </c>
      <c r="E7532" s="10" t="s">
        <v>32</v>
      </c>
      <c r="F7532" s="9" t="s">
        <v>7431</v>
      </c>
      <c r="G7532" s="10" t="s">
        <v>34</v>
      </c>
      <c r="H7532" s="9" t="s">
        <v>22</v>
      </c>
      <c r="I7532" s="9" t="s">
        <v>16813</v>
      </c>
      <c r="J7532" s="10" t="str">
        <f>HYPERLINK("https://www.boe.es/gazeta/dias/1834/04/23/pdfs/GMD-C-1834-62.pdf#page=1","Abrir facsímil")</f>
        <v>Abrir facsímil</v>
      </c>
      <c r="K7532" s="10" t="s">
        <v>24</v>
      </c>
    </row>
    <row r="7533" spans="1:11" ht="54" customHeight="1">
      <c r="A7533" s="9" t="s">
        <v>16800</v>
      </c>
      <c r="B7533" s="9" t="s">
        <v>16801</v>
      </c>
      <c r="C7533" s="9" t="s">
        <v>17</v>
      </c>
      <c r="D7533" s="9" t="s">
        <v>18</v>
      </c>
      <c r="E7533" s="10" t="s">
        <v>32</v>
      </c>
      <c r="F7533" s="9" t="s">
        <v>7431</v>
      </c>
      <c r="G7533" s="10" t="s">
        <v>86</v>
      </c>
      <c r="H7533" s="9" t="s">
        <v>22</v>
      </c>
      <c r="I7533" s="9" t="s">
        <v>16814</v>
      </c>
      <c r="J7533" s="10" t="str">
        <f>HYPERLINK("https://www.boe.es/gazeta/dias/1834/04/23/pdfs/GMD-C-1834-62.pdf#page=2","Abrir facsímil")</f>
        <v>Abrir facsímil</v>
      </c>
      <c r="K7533" s="10" t="s">
        <v>24</v>
      </c>
    </row>
    <row r="7534" spans="1:11" ht="54" customHeight="1">
      <c r="A7534" s="9" t="s">
        <v>16815</v>
      </c>
      <c r="B7534" s="9" t="s">
        <v>16816</v>
      </c>
      <c r="C7534" s="9" t="s">
        <v>66</v>
      </c>
      <c r="D7534" s="9" t="s">
        <v>67</v>
      </c>
      <c r="E7534" s="10" t="s">
        <v>408</v>
      </c>
      <c r="F7534" s="9" t="s">
        <v>409</v>
      </c>
      <c r="G7534" s="10" t="s">
        <v>75</v>
      </c>
      <c r="H7534" s="9" t="s">
        <v>22</v>
      </c>
      <c r="I7534" s="9" t="s">
        <v>16817</v>
      </c>
      <c r="J7534" s="10" t="str">
        <f>HYPERLINK("https://www.boe.es/gazeta/dias/1834/04/28/pdfs/GMD-1834-67.pdf#page=4","Abrir facsímil")</f>
        <v>Abrir facsímil</v>
      </c>
      <c r="K7534" s="10" t="s">
        <v>24</v>
      </c>
    </row>
    <row r="7535" spans="1:11" ht="54" customHeight="1">
      <c r="A7535" s="9" t="s">
        <v>16800</v>
      </c>
      <c r="B7535" s="9" t="s">
        <v>16801</v>
      </c>
      <c r="C7535" s="9" t="s">
        <v>90</v>
      </c>
      <c r="D7535" s="9" t="s">
        <v>67</v>
      </c>
      <c r="E7535" s="10" t="s">
        <v>2945</v>
      </c>
      <c r="F7535" s="9" t="s">
        <v>2946</v>
      </c>
      <c r="G7535" s="10" t="s">
        <v>75</v>
      </c>
      <c r="H7535" s="9" t="s">
        <v>22</v>
      </c>
      <c r="I7535" s="9" t="s">
        <v>16818</v>
      </c>
      <c r="J7535" s="10" t="str">
        <f>HYPERLINK("https://www.boe.es/gazeta/dias/1834/05/29/pdfs/GMD-1834-98.pdf#page=4","Abrir facsímil")</f>
        <v>Abrir facsímil</v>
      </c>
      <c r="K7535" s="10" t="s">
        <v>24</v>
      </c>
    </row>
    <row r="7536" spans="1:11" ht="54" customHeight="1">
      <c r="A7536" s="9" t="s">
        <v>16815</v>
      </c>
      <c r="B7536" s="9" t="s">
        <v>16816</v>
      </c>
      <c r="C7536" s="9" t="s">
        <v>66</v>
      </c>
      <c r="D7536" s="9" t="s">
        <v>40</v>
      </c>
      <c r="E7536" s="10" t="s">
        <v>1789</v>
      </c>
      <c r="F7536" s="9" t="s">
        <v>1790</v>
      </c>
      <c r="G7536" s="10" t="s">
        <v>75</v>
      </c>
      <c r="H7536" s="9" t="s">
        <v>22</v>
      </c>
      <c r="I7536" s="9" t="s">
        <v>16819</v>
      </c>
      <c r="J7536" s="10" t="str">
        <f>HYPERLINK("https://www.boe.es/gazeta/dias/1834/05/31/pdfs/GMD-1834-100.pdf#page=4","Abrir facsímil")</f>
        <v>Abrir facsímil</v>
      </c>
      <c r="K7536" s="10" t="s">
        <v>24</v>
      </c>
    </row>
    <row r="7537" spans="1:11" ht="54" customHeight="1">
      <c r="A7537" s="9" t="s">
        <v>16820</v>
      </c>
      <c r="B7537" s="9" t="s">
        <v>16820</v>
      </c>
      <c r="C7537" s="9" t="s">
        <v>17</v>
      </c>
      <c r="D7537" s="9" t="s">
        <v>18</v>
      </c>
      <c r="E7537" s="10" t="s">
        <v>1008</v>
      </c>
      <c r="F7537" s="9" t="s">
        <v>1009</v>
      </c>
      <c r="G7537" s="10" t="s">
        <v>470</v>
      </c>
      <c r="H7537" s="9" t="s">
        <v>22</v>
      </c>
      <c r="I7537" s="9" t="s">
        <v>16821</v>
      </c>
      <c r="J7537" s="10" t="str">
        <f>HYPERLINK("https://www.boe.es/gazeta/dias/1834/11/08/pdfs/GMD-C-1834-267.pdf#page=8","Abrir facsímil")</f>
        <v>Abrir facsímil</v>
      </c>
      <c r="K7537" s="10" t="s">
        <v>24</v>
      </c>
    </row>
    <row r="7538" spans="1:11" ht="54" customHeight="1">
      <c r="A7538" s="9" t="s">
        <v>16820</v>
      </c>
      <c r="B7538" s="9" t="s">
        <v>16820</v>
      </c>
      <c r="C7538" s="9" t="s">
        <v>17</v>
      </c>
      <c r="D7538" s="9" t="s">
        <v>18</v>
      </c>
      <c r="E7538" s="10" t="s">
        <v>334</v>
      </c>
      <c r="F7538" s="9" t="s">
        <v>335</v>
      </c>
      <c r="G7538" s="10" t="s">
        <v>75</v>
      </c>
      <c r="H7538" s="9" t="s">
        <v>22</v>
      </c>
      <c r="I7538" s="9" t="s">
        <v>16822</v>
      </c>
      <c r="J7538" s="10" t="str">
        <f>HYPERLINK("https://www.boe.es/gazeta/dias/1834/09/11/pdfs/GMD-C-1834-209.pdf#page=4","Abrir facsímil")</f>
        <v>Abrir facsímil</v>
      </c>
      <c r="K7538" s="10" t="s">
        <v>24</v>
      </c>
    </row>
    <row r="7539" spans="1:11" ht="54" customHeight="1">
      <c r="A7539" s="9" t="s">
        <v>16823</v>
      </c>
      <c r="B7539" s="9" t="s">
        <v>16823</v>
      </c>
      <c r="C7539" s="9" t="s">
        <v>857</v>
      </c>
      <c r="D7539" s="9" t="s">
        <v>18</v>
      </c>
      <c r="E7539" s="10" t="s">
        <v>128</v>
      </c>
      <c r="F7539" s="9" t="s">
        <v>129</v>
      </c>
      <c r="G7539" s="10" t="s">
        <v>75</v>
      </c>
      <c r="H7539" s="9" t="s">
        <v>22</v>
      </c>
      <c r="I7539" s="9" t="s">
        <v>16824</v>
      </c>
      <c r="J7539" s="10" t="str">
        <f>HYPERLINK("https://www.boe.es/gazeta/dias/1834/12/24/pdfs/GMD-C-1834-314.pdf#page=4","Abrir facsímil")</f>
        <v>Abrir facsímil</v>
      </c>
      <c r="K7539" s="10" t="s">
        <v>24</v>
      </c>
    </row>
    <row r="7540" spans="1:11" ht="54" customHeight="1">
      <c r="A7540" s="9" t="s">
        <v>16825</v>
      </c>
      <c r="B7540" s="9" t="s">
        <v>16826</v>
      </c>
      <c r="C7540" s="9" t="s">
        <v>17</v>
      </c>
      <c r="D7540" s="9" t="s">
        <v>101</v>
      </c>
      <c r="E7540" s="10" t="s">
        <v>339</v>
      </c>
      <c r="F7540" s="9" t="s">
        <v>340</v>
      </c>
      <c r="G7540" s="10" t="s">
        <v>34</v>
      </c>
      <c r="H7540" s="9" t="s">
        <v>22</v>
      </c>
      <c r="I7540" s="9" t="s">
        <v>16827</v>
      </c>
      <c r="J7540" s="10" t="str">
        <f>HYPERLINK("https://www.boe.es/gazeta/dias/1834/05/02/pdfs/GMD-1834-71.pdf#page=1","Abrir facsímil")</f>
        <v>Abrir facsímil</v>
      </c>
      <c r="K7540" s="10" t="s">
        <v>24</v>
      </c>
    </row>
    <row r="7541" spans="1:11" ht="54" customHeight="1">
      <c r="A7541" s="9" t="s">
        <v>16828</v>
      </c>
      <c r="B7541" s="9" t="s">
        <v>16829</v>
      </c>
      <c r="C7541" s="9" t="s">
        <v>17</v>
      </c>
      <c r="D7541" s="9" t="s">
        <v>18</v>
      </c>
      <c r="E7541" s="10" t="s">
        <v>343</v>
      </c>
      <c r="F7541" s="9" t="s">
        <v>344</v>
      </c>
      <c r="G7541" s="10" t="s">
        <v>21</v>
      </c>
      <c r="H7541" s="9" t="s">
        <v>22</v>
      </c>
      <c r="I7541" s="9" t="s">
        <v>16830</v>
      </c>
      <c r="J7541" s="10" t="str">
        <f>HYPERLINK("https://www.boe.es/gazeta/dias/1834/01/14/pdfs/GMD-1834-7.pdf#page=3","Abrir facsímil")</f>
        <v>Abrir facsímil</v>
      </c>
      <c r="K7541" s="10" t="s">
        <v>24</v>
      </c>
    </row>
    <row r="7542" spans="1:11" ht="54" customHeight="1">
      <c r="A7542" s="9" t="s">
        <v>16831</v>
      </c>
      <c r="B7542" s="9" t="s">
        <v>16832</v>
      </c>
      <c r="C7542" s="9" t="s">
        <v>17</v>
      </c>
      <c r="D7542" s="9" t="s">
        <v>18</v>
      </c>
      <c r="E7542" s="10" t="s">
        <v>479</v>
      </c>
      <c r="F7542" s="9" t="s">
        <v>480</v>
      </c>
      <c r="G7542" s="10" t="s">
        <v>21</v>
      </c>
      <c r="H7542" s="9" t="s">
        <v>35</v>
      </c>
      <c r="I7542" s="9" t="s">
        <v>16833</v>
      </c>
      <c r="J7542" s="10" t="str">
        <f>HYPERLINK("https://www.boe.es/gazeta/dias/1834/08/13/pdfs/GMD-1834-178.pdf#page=3","Abrir facsímil")</f>
        <v>Abrir facsímil</v>
      </c>
      <c r="K7542" s="10" t="s">
        <v>37</v>
      </c>
    </row>
    <row r="7543" spans="1:11" ht="54" customHeight="1">
      <c r="A7543" s="9" t="s">
        <v>16834</v>
      </c>
      <c r="B7543" s="9" t="s">
        <v>16835</v>
      </c>
      <c r="C7543" s="9" t="s">
        <v>17</v>
      </c>
      <c r="D7543" s="9" t="s">
        <v>18</v>
      </c>
      <c r="E7543" s="10" t="s">
        <v>479</v>
      </c>
      <c r="F7543" s="9" t="s">
        <v>480</v>
      </c>
      <c r="G7543" s="10" t="s">
        <v>21</v>
      </c>
      <c r="H7543" s="9" t="s">
        <v>22</v>
      </c>
      <c r="I7543" s="9" t="s">
        <v>16836</v>
      </c>
      <c r="J7543" s="10" t="str">
        <f>HYPERLINK("https://www.boe.es/gazeta/dias/1834/08/13/pdfs/GMD-1834-178.pdf#page=3","Abrir facsímil")</f>
        <v>Abrir facsímil</v>
      </c>
      <c r="K7543" s="10" t="s">
        <v>24</v>
      </c>
    </row>
    <row r="7544" spans="1:11" ht="54" customHeight="1">
      <c r="A7544" s="9" t="s">
        <v>16837</v>
      </c>
      <c r="B7544" s="9" t="s">
        <v>16838</v>
      </c>
      <c r="C7544" s="9" t="s">
        <v>17</v>
      </c>
      <c r="D7544" s="9" t="s">
        <v>18</v>
      </c>
      <c r="E7544" s="10" t="s">
        <v>976</v>
      </c>
      <c r="F7544" s="9" t="s">
        <v>977</v>
      </c>
      <c r="G7544" s="10" t="s">
        <v>75</v>
      </c>
      <c r="H7544" s="9" t="s">
        <v>35</v>
      </c>
      <c r="I7544" s="9" t="s">
        <v>16839</v>
      </c>
      <c r="J7544" s="10" t="str">
        <f>HYPERLINK("https://www.boe.es/gazeta/dias/1834/04/02/pdfs/GMD-1834-41.pdf#page=4","Abrir facsímil")</f>
        <v>Abrir facsímil</v>
      </c>
      <c r="K7544" s="10" t="s">
        <v>37</v>
      </c>
    </row>
    <row r="7545" spans="1:11" ht="54" customHeight="1">
      <c r="A7545" s="9" t="s">
        <v>16840</v>
      </c>
      <c r="B7545" s="9" t="s">
        <v>16841</v>
      </c>
      <c r="C7545" s="9" t="s">
        <v>17</v>
      </c>
      <c r="D7545" s="9" t="s">
        <v>18</v>
      </c>
      <c r="E7545" s="10" t="s">
        <v>1410</v>
      </c>
      <c r="F7545" s="9" t="s">
        <v>2231</v>
      </c>
      <c r="G7545" s="10" t="s">
        <v>34</v>
      </c>
      <c r="H7545" s="9" t="s">
        <v>22</v>
      </c>
      <c r="I7545" s="9" t="s">
        <v>16842</v>
      </c>
      <c r="J7545" s="10" t="str">
        <f>HYPERLINK("https://www.boe.es/gazeta/dias/1834/09/09/pdfs/GMD-C-1834-207.pdf#page=1","Abrir facsímil")</f>
        <v>Abrir facsímil</v>
      </c>
      <c r="K7545" s="10" t="s">
        <v>24</v>
      </c>
    </row>
    <row r="7546" spans="1:11" ht="54" customHeight="1">
      <c r="A7546" s="9" t="s">
        <v>16843</v>
      </c>
      <c r="B7546" s="9" t="s">
        <v>16844</v>
      </c>
      <c r="C7546" s="9" t="s">
        <v>17</v>
      </c>
      <c r="D7546" s="9" t="s">
        <v>18</v>
      </c>
      <c r="E7546" s="10" t="s">
        <v>343</v>
      </c>
      <c r="F7546" s="9" t="s">
        <v>344</v>
      </c>
      <c r="G7546" s="10" t="s">
        <v>75</v>
      </c>
      <c r="H7546" s="9" t="s">
        <v>22</v>
      </c>
      <c r="I7546" s="9" t="s">
        <v>16845</v>
      </c>
      <c r="J7546" s="10" t="str">
        <f>HYPERLINK("https://www.boe.es/gazeta/dias/1834/01/14/pdfs/GMD-1834-7.pdf#page=4","Abrir facsímil")</f>
        <v>Abrir facsímil</v>
      </c>
      <c r="K7546" s="10" t="s">
        <v>24</v>
      </c>
    </row>
    <row r="7547" spans="1:11" ht="54" customHeight="1">
      <c r="A7547" s="9" t="s">
        <v>16846</v>
      </c>
      <c r="B7547" s="9" t="s">
        <v>16846</v>
      </c>
      <c r="C7547" s="9" t="s">
        <v>17</v>
      </c>
      <c r="D7547" s="9" t="s">
        <v>18</v>
      </c>
      <c r="E7547" s="10" t="s">
        <v>3036</v>
      </c>
      <c r="F7547" s="9" t="s">
        <v>3372</v>
      </c>
      <c r="G7547" s="10" t="s">
        <v>34</v>
      </c>
      <c r="H7547" s="9" t="s">
        <v>22</v>
      </c>
      <c r="I7547" s="9" t="s">
        <v>16847</v>
      </c>
      <c r="J7547" s="10" t="str">
        <f>HYPERLINK("https://www.boe.es/gazeta/dias/1834/11/18/pdfs/GMD-1834-277.pdf#page=1","Abrir facsímil")</f>
        <v>Abrir facsímil</v>
      </c>
      <c r="K7547" s="10" t="s">
        <v>24</v>
      </c>
    </row>
    <row r="7548" spans="1:11" ht="54" customHeight="1">
      <c r="A7548" s="9" t="s">
        <v>16848</v>
      </c>
      <c r="B7548" s="9" t="s">
        <v>16849</v>
      </c>
      <c r="C7548" s="9" t="s">
        <v>17</v>
      </c>
      <c r="D7548" s="9" t="s">
        <v>18</v>
      </c>
      <c r="E7548" s="10" t="s">
        <v>1337</v>
      </c>
      <c r="F7548" s="9" t="s">
        <v>1338</v>
      </c>
      <c r="G7548" s="10" t="s">
        <v>21</v>
      </c>
      <c r="H7548" s="9" t="s">
        <v>22</v>
      </c>
      <c r="I7548" s="9" t="s">
        <v>16850</v>
      </c>
      <c r="J7548" s="10" t="str">
        <f>HYPERLINK("https://www.boe.es/gazeta/dias/1834/01/02/pdfs/GMD-1834-1.pdf#page=3","Abrir facsímil")</f>
        <v>Abrir facsímil</v>
      </c>
      <c r="K7548" s="10" t="s">
        <v>24</v>
      </c>
    </row>
    <row r="7549" spans="1:11" ht="54" customHeight="1">
      <c r="A7549" s="9" t="s">
        <v>16851</v>
      </c>
      <c r="B7549" s="9" t="s">
        <v>16851</v>
      </c>
      <c r="C7549" s="9" t="s">
        <v>66</v>
      </c>
      <c r="D7549" s="9" t="s">
        <v>101</v>
      </c>
      <c r="E7549" s="10" t="s">
        <v>1918</v>
      </c>
      <c r="F7549" s="9" t="s">
        <v>1919</v>
      </c>
      <c r="G7549" s="10" t="s">
        <v>34</v>
      </c>
      <c r="H7549" s="9" t="s">
        <v>22</v>
      </c>
      <c r="I7549" s="9" t="s">
        <v>16852</v>
      </c>
      <c r="J7549" s="10" t="str">
        <f>HYPERLINK("https://www.boe.es/gazeta/dias/1834/03/22/pdfs/GMD-1834-36.pdf#page=1","Abrir facsímil")</f>
        <v>Abrir facsímil</v>
      </c>
      <c r="K7549" s="10" t="s">
        <v>24</v>
      </c>
    </row>
    <row r="7550" spans="1:11" ht="54" customHeight="1">
      <c r="A7550" s="9" t="s">
        <v>16853</v>
      </c>
      <c r="B7550" s="9" t="s">
        <v>16853</v>
      </c>
      <c r="C7550" s="9" t="s">
        <v>46</v>
      </c>
      <c r="D7550" s="9" t="s">
        <v>101</v>
      </c>
      <c r="E7550" s="10" t="s">
        <v>1572</v>
      </c>
      <c r="F7550" s="9" t="s">
        <v>1573</v>
      </c>
      <c r="G7550" s="10" t="s">
        <v>34</v>
      </c>
      <c r="H7550" s="9" t="s">
        <v>22</v>
      </c>
      <c r="I7550" s="9" t="s">
        <v>16854</v>
      </c>
      <c r="J7550" s="10" t="str">
        <f>HYPERLINK("https://www.boe.es/gazeta/dias/1834/03/20/pdfs/GMD-1834-35.pdf#page=1","Abrir facsímil")</f>
        <v>Abrir facsímil</v>
      </c>
      <c r="K7550" s="10" t="s">
        <v>24</v>
      </c>
    </row>
    <row r="7551" spans="1:11" ht="54" customHeight="1">
      <c r="A7551" s="9" t="s">
        <v>16855</v>
      </c>
      <c r="B7551" s="9" t="s">
        <v>16855</v>
      </c>
      <c r="C7551" s="9" t="s">
        <v>66</v>
      </c>
      <c r="D7551" s="9" t="s">
        <v>67</v>
      </c>
      <c r="E7551" s="10" t="s">
        <v>1125</v>
      </c>
      <c r="F7551" s="9" t="s">
        <v>2490</v>
      </c>
      <c r="G7551" s="10" t="s">
        <v>560</v>
      </c>
      <c r="H7551" s="9" t="s">
        <v>22</v>
      </c>
      <c r="I7551" s="9" t="s">
        <v>16856</v>
      </c>
      <c r="J7551" s="10" t="str">
        <f>HYPERLINK("https://www.boe.es/gazeta/dias/1834/04/17/pdfs/GMD-1834-56.pdf#page=7","Abrir facsímil")</f>
        <v>Abrir facsímil</v>
      </c>
      <c r="K7551" s="10" t="s">
        <v>24</v>
      </c>
    </row>
    <row r="7552" spans="1:11" ht="54" customHeight="1">
      <c r="A7552" s="9" t="s">
        <v>16857</v>
      </c>
      <c r="B7552" s="9" t="s">
        <v>16857</v>
      </c>
      <c r="C7552" s="9" t="s">
        <v>66</v>
      </c>
      <c r="D7552" s="9" t="s">
        <v>101</v>
      </c>
      <c r="E7552" s="10" t="s">
        <v>803</v>
      </c>
      <c r="F7552" s="9" t="s">
        <v>804</v>
      </c>
      <c r="G7552" s="10" t="s">
        <v>34</v>
      </c>
      <c r="H7552" s="9" t="s">
        <v>22</v>
      </c>
      <c r="I7552" s="9" t="s">
        <v>16858</v>
      </c>
      <c r="J7552" s="10" t="str">
        <f>HYPERLINK("https://www.boe.es/gazeta/dias/1834/03/29/pdfs/GMD-1834-39.pdf#page=1","Abrir facsímil")</f>
        <v>Abrir facsímil</v>
      </c>
      <c r="K7552" s="10" t="s">
        <v>24</v>
      </c>
    </row>
    <row r="7553" spans="1:11" ht="54" customHeight="1">
      <c r="A7553" s="9" t="s">
        <v>16859</v>
      </c>
      <c r="B7553" s="9" t="s">
        <v>16859</v>
      </c>
      <c r="C7553" s="9" t="s">
        <v>46</v>
      </c>
      <c r="D7553" s="9" t="s">
        <v>101</v>
      </c>
      <c r="E7553" s="10" t="s">
        <v>1025</v>
      </c>
      <c r="F7553" s="9" t="s">
        <v>1026</v>
      </c>
      <c r="G7553" s="10" t="s">
        <v>75</v>
      </c>
      <c r="H7553" s="9" t="s">
        <v>22</v>
      </c>
      <c r="I7553" s="9" t="s">
        <v>16860</v>
      </c>
      <c r="J7553" s="10" t="str">
        <f>HYPERLINK("https://www.boe.es/gazeta/dias/1834/03/01/pdfs/GMD-1834-27.pdf#page=4","Abrir facsímil")</f>
        <v>Abrir facsímil</v>
      </c>
      <c r="K7553" s="10" t="s">
        <v>24</v>
      </c>
    </row>
    <row r="7554" spans="1:11" ht="54" customHeight="1">
      <c r="A7554" s="9" t="s">
        <v>16859</v>
      </c>
      <c r="B7554" s="9" t="s">
        <v>16859</v>
      </c>
      <c r="C7554" s="9" t="s">
        <v>66</v>
      </c>
      <c r="D7554" s="9" t="s">
        <v>101</v>
      </c>
      <c r="E7554" s="10" t="s">
        <v>690</v>
      </c>
      <c r="F7554" s="9" t="s">
        <v>5765</v>
      </c>
      <c r="G7554" s="10" t="s">
        <v>21</v>
      </c>
      <c r="H7554" s="9" t="s">
        <v>22</v>
      </c>
      <c r="I7554" s="9" t="s">
        <v>16861</v>
      </c>
      <c r="J7554" s="10" t="str">
        <f>HYPERLINK("https://www.boe.es/gazeta/dias/1834/09/03/pdfs/GMD-1834-201.pdf#page=3","Abrir facsímil")</f>
        <v>Abrir facsímil</v>
      </c>
      <c r="K7554" s="10" t="s">
        <v>24</v>
      </c>
    </row>
    <row r="7555" spans="1:11" ht="54" customHeight="1">
      <c r="A7555" s="9" t="s">
        <v>16859</v>
      </c>
      <c r="B7555" s="9" t="s">
        <v>16859</v>
      </c>
      <c r="C7555" s="9" t="s">
        <v>17</v>
      </c>
      <c r="D7555" s="9" t="s">
        <v>18</v>
      </c>
      <c r="E7555" s="10" t="s">
        <v>2459</v>
      </c>
      <c r="F7555" s="9" t="s">
        <v>2460</v>
      </c>
      <c r="G7555" s="10" t="s">
        <v>21</v>
      </c>
      <c r="H7555" s="9" t="s">
        <v>22</v>
      </c>
      <c r="I7555" s="9" t="s">
        <v>16862</v>
      </c>
      <c r="J7555" s="10" t="str">
        <f>HYPERLINK("https://www.boe.es/gazeta/dias/1834/04/04/pdfs/GMD-1834-43.pdf#page=3","Abrir facsímil")</f>
        <v>Abrir facsímil</v>
      </c>
      <c r="K7555" s="10" t="s">
        <v>24</v>
      </c>
    </row>
    <row r="7556" spans="1:11" ht="54" customHeight="1">
      <c r="A7556" s="9" t="s">
        <v>16859</v>
      </c>
      <c r="B7556" s="9" t="s">
        <v>16859</v>
      </c>
      <c r="C7556" s="9" t="s">
        <v>66</v>
      </c>
      <c r="D7556" s="9" t="s">
        <v>67</v>
      </c>
      <c r="E7556" s="10" t="s">
        <v>1340</v>
      </c>
      <c r="F7556" s="9" t="s">
        <v>1341</v>
      </c>
      <c r="G7556" s="10" t="s">
        <v>86</v>
      </c>
      <c r="H7556" s="9" t="s">
        <v>22</v>
      </c>
      <c r="I7556" s="9" t="s">
        <v>16863</v>
      </c>
      <c r="J7556" s="10" t="str">
        <f>HYPERLINK("https://www.boe.es/gazeta/dias/1834/10/05/pdfs/GMD-C-1834-233.pdf#page=2","Abrir facsímil")</f>
        <v>Abrir facsímil</v>
      </c>
      <c r="K7556" s="10" t="s">
        <v>24</v>
      </c>
    </row>
    <row r="7557" spans="1:11" ht="54" customHeight="1">
      <c r="A7557" s="9" t="s">
        <v>16859</v>
      </c>
      <c r="B7557" s="9" t="s">
        <v>16859</v>
      </c>
      <c r="C7557" s="9" t="s">
        <v>17</v>
      </c>
      <c r="D7557" s="9" t="s">
        <v>18</v>
      </c>
      <c r="E7557" s="10" t="s">
        <v>364</v>
      </c>
      <c r="F7557" s="9" t="s">
        <v>365</v>
      </c>
      <c r="G7557" s="10" t="s">
        <v>86</v>
      </c>
      <c r="H7557" s="9" t="s">
        <v>22</v>
      </c>
      <c r="I7557" s="9" t="s">
        <v>16864</v>
      </c>
      <c r="J7557" s="10" t="str">
        <f>HYPERLINK("https://www.boe.es/gazeta/dias/1834/09/06/pdfs/GMD-D-1834-204.pdf#page=2","Abrir facsímil")</f>
        <v>Abrir facsímil</v>
      </c>
      <c r="K7557" s="10" t="s">
        <v>24</v>
      </c>
    </row>
    <row r="7558" spans="1:11" ht="54" customHeight="1">
      <c r="A7558" s="9" t="s">
        <v>16859</v>
      </c>
      <c r="B7558" s="9" t="s">
        <v>16859</v>
      </c>
      <c r="C7558" s="9" t="s">
        <v>46</v>
      </c>
      <c r="D7558" s="9" t="s">
        <v>18</v>
      </c>
      <c r="E7558" s="10" t="s">
        <v>956</v>
      </c>
      <c r="F7558" s="9" t="s">
        <v>957</v>
      </c>
      <c r="G7558" s="10" t="s">
        <v>86</v>
      </c>
      <c r="H7558" s="9" t="s">
        <v>22</v>
      </c>
      <c r="I7558" s="9" t="s">
        <v>16865</v>
      </c>
      <c r="J7558" s="10" t="str">
        <f>HYPERLINK("https://www.boe.es/gazeta/dias/1834/08/10/pdfs/GMD-C-1834-175.pdf#page=2","Abrir facsímil")</f>
        <v>Abrir facsímil</v>
      </c>
      <c r="K7558" s="10" t="s">
        <v>24</v>
      </c>
    </row>
    <row r="7559" spans="1:11" ht="54" customHeight="1">
      <c r="A7559" s="9" t="s">
        <v>16859</v>
      </c>
      <c r="B7559" s="9" t="s">
        <v>16859</v>
      </c>
      <c r="C7559" s="9" t="s">
        <v>66</v>
      </c>
      <c r="D7559" s="9" t="s">
        <v>67</v>
      </c>
      <c r="E7559" s="10" t="s">
        <v>1883</v>
      </c>
      <c r="F7559" s="9" t="s">
        <v>1884</v>
      </c>
      <c r="G7559" s="10" t="s">
        <v>21</v>
      </c>
      <c r="H7559" s="9" t="s">
        <v>22</v>
      </c>
      <c r="I7559" s="9" t="s">
        <v>16866</v>
      </c>
      <c r="J7559" s="10" t="str">
        <f>HYPERLINK("https://www.boe.es/gazeta/dias/1834/01/11/pdfs/GMD-1834-6.pdf#page=3","Abrir facsímil")</f>
        <v>Abrir facsímil</v>
      </c>
      <c r="K7559" s="10" t="s">
        <v>24</v>
      </c>
    </row>
    <row r="7560" spans="1:11" ht="54" customHeight="1">
      <c r="A7560" s="9" t="s">
        <v>16859</v>
      </c>
      <c r="B7560" s="9" t="s">
        <v>16859</v>
      </c>
      <c r="C7560" s="9" t="s">
        <v>17</v>
      </c>
      <c r="D7560" s="9" t="s">
        <v>101</v>
      </c>
      <c r="E7560" s="10" t="s">
        <v>1438</v>
      </c>
      <c r="F7560" s="9" t="s">
        <v>1439</v>
      </c>
      <c r="G7560" s="10" t="s">
        <v>34</v>
      </c>
      <c r="H7560" s="9" t="s">
        <v>22</v>
      </c>
      <c r="I7560" s="9" t="s">
        <v>16867</v>
      </c>
      <c r="J7560" s="10" t="str">
        <f>HYPERLINK("https://www.boe.es/gazeta/dias/1834/05/13/pdfs/GMD-1834-82.pdf#page=1","Abrir facsímil")</f>
        <v>Abrir facsímil</v>
      </c>
      <c r="K7560" s="10" t="s">
        <v>24</v>
      </c>
    </row>
    <row r="7561" spans="1:11" ht="54" customHeight="1">
      <c r="A7561" s="9" t="s">
        <v>16859</v>
      </c>
      <c r="B7561" s="9" t="s">
        <v>16859</v>
      </c>
      <c r="C7561" s="9" t="s">
        <v>17</v>
      </c>
      <c r="D7561" s="9" t="s">
        <v>18</v>
      </c>
      <c r="E7561" s="10" t="s">
        <v>912</v>
      </c>
      <c r="F7561" s="9" t="s">
        <v>913</v>
      </c>
      <c r="G7561" s="10" t="s">
        <v>75</v>
      </c>
      <c r="H7561" s="9" t="s">
        <v>22</v>
      </c>
      <c r="I7561" s="9" t="s">
        <v>16868</v>
      </c>
      <c r="J7561" s="10" t="str">
        <f>HYPERLINK("https://www.boe.es/gazeta/dias/1834/02/15/pdfs/GMD-1834-21.pdf#page=4","Abrir facsímil")</f>
        <v>Abrir facsímil</v>
      </c>
      <c r="K7561" s="10" t="s">
        <v>24</v>
      </c>
    </row>
    <row r="7562" spans="1:11" ht="54" customHeight="1">
      <c r="A7562" s="9" t="s">
        <v>16859</v>
      </c>
      <c r="B7562" s="9" t="s">
        <v>16859</v>
      </c>
      <c r="C7562" s="9" t="s">
        <v>17</v>
      </c>
      <c r="D7562" s="9" t="s">
        <v>18</v>
      </c>
      <c r="E7562" s="10" t="s">
        <v>454</v>
      </c>
      <c r="F7562" s="9" t="s">
        <v>2009</v>
      </c>
      <c r="G7562" s="10" t="s">
        <v>21</v>
      </c>
      <c r="H7562" s="9" t="s">
        <v>22</v>
      </c>
      <c r="I7562" s="9" t="s">
        <v>16869</v>
      </c>
      <c r="J7562" s="10" t="str">
        <f>HYPERLINK("https://www.boe.es/gazeta/dias/1834/10/16/pdfs/GMD-1834-244.pdf#page=3","Abrir facsímil")</f>
        <v>Abrir facsímil</v>
      </c>
      <c r="K7562" s="10" t="s">
        <v>24</v>
      </c>
    </row>
    <row r="7563" spans="1:11" ht="54" customHeight="1">
      <c r="A7563" s="9" t="s">
        <v>16859</v>
      </c>
      <c r="B7563" s="9" t="s">
        <v>16859</v>
      </c>
      <c r="C7563" s="9" t="s">
        <v>17</v>
      </c>
      <c r="D7563" s="9" t="s">
        <v>18</v>
      </c>
      <c r="E7563" s="10" t="s">
        <v>2278</v>
      </c>
      <c r="F7563" s="9" t="s">
        <v>2279</v>
      </c>
      <c r="G7563" s="10" t="s">
        <v>28</v>
      </c>
      <c r="H7563" s="9" t="s">
        <v>22</v>
      </c>
      <c r="I7563" s="9" t="s">
        <v>16870</v>
      </c>
      <c r="J7563" s="10" t="str">
        <f>HYPERLINK("https://www.boe.es/gazeta/dias/1834/12/17/pdfs/GMD-C-1834-306.pdf#page=5","Abrir facsímil")</f>
        <v>Abrir facsímil</v>
      </c>
      <c r="K7563" s="10" t="s">
        <v>24</v>
      </c>
    </row>
    <row r="7564" spans="1:11" ht="54" customHeight="1">
      <c r="A7564" s="9" t="s">
        <v>16859</v>
      </c>
      <c r="B7564" s="9" t="s">
        <v>16859</v>
      </c>
      <c r="C7564" s="9" t="s">
        <v>66</v>
      </c>
      <c r="D7564" s="9" t="s">
        <v>18</v>
      </c>
      <c r="E7564" s="10" t="s">
        <v>563</v>
      </c>
      <c r="F7564" s="9" t="s">
        <v>564</v>
      </c>
      <c r="G7564" s="10" t="s">
        <v>75</v>
      </c>
      <c r="H7564" s="9" t="s">
        <v>22</v>
      </c>
      <c r="I7564" s="9" t="s">
        <v>16871</v>
      </c>
      <c r="J7564" s="10" t="str">
        <f>HYPERLINK("https://www.boe.es/gazeta/dias/1834/04/19/pdfs/GMD-1834-58.pdf#page=4","Abrir facsímil")</f>
        <v>Abrir facsímil</v>
      </c>
      <c r="K7564" s="10" t="s">
        <v>24</v>
      </c>
    </row>
    <row r="7565" spans="1:11" ht="54" customHeight="1">
      <c r="A7565" s="9" t="s">
        <v>16859</v>
      </c>
      <c r="B7565" s="9" t="s">
        <v>16859</v>
      </c>
      <c r="C7565" s="9" t="s">
        <v>90</v>
      </c>
      <c r="D7565" s="9" t="s">
        <v>18</v>
      </c>
      <c r="E7565" s="10" t="s">
        <v>563</v>
      </c>
      <c r="F7565" s="9" t="s">
        <v>564</v>
      </c>
      <c r="G7565" s="10" t="s">
        <v>28</v>
      </c>
      <c r="H7565" s="9" t="s">
        <v>22</v>
      </c>
      <c r="I7565" s="9" t="s">
        <v>16872</v>
      </c>
      <c r="J7565" s="10" t="str">
        <f>HYPERLINK("https://www.boe.es/gazeta/dias/1834/04/19/pdfs/GMD-1834-58.pdf#page=5","Abrir facsímil")</f>
        <v>Abrir facsímil</v>
      </c>
      <c r="K7565" s="10" t="s">
        <v>24</v>
      </c>
    </row>
    <row r="7566" spans="1:11" ht="54" customHeight="1">
      <c r="A7566" s="9" t="s">
        <v>16859</v>
      </c>
      <c r="B7566" s="9" t="s">
        <v>16859</v>
      </c>
      <c r="C7566" s="9" t="s">
        <v>90</v>
      </c>
      <c r="D7566" s="9" t="s">
        <v>18</v>
      </c>
      <c r="E7566" s="10" t="s">
        <v>563</v>
      </c>
      <c r="F7566" s="9" t="s">
        <v>564</v>
      </c>
      <c r="G7566" s="10" t="s">
        <v>176</v>
      </c>
      <c r="H7566" s="9" t="s">
        <v>22</v>
      </c>
      <c r="I7566" s="9" t="s">
        <v>16873</v>
      </c>
      <c r="J7566" s="10" t="str">
        <f>HYPERLINK("https://www.boe.es/gazeta/dias/1834/04/19/pdfs/GMD-1834-58.pdf#page=6","Abrir facsímil")</f>
        <v>Abrir facsímil</v>
      </c>
      <c r="K7566" s="10" t="s">
        <v>24</v>
      </c>
    </row>
    <row r="7567" spans="1:11" ht="54" customHeight="1">
      <c r="A7567" s="9" t="s">
        <v>16859</v>
      </c>
      <c r="B7567" s="9" t="s">
        <v>16859</v>
      </c>
      <c r="C7567" s="9" t="s">
        <v>17</v>
      </c>
      <c r="D7567" s="9" t="s">
        <v>40</v>
      </c>
      <c r="E7567" s="10" t="s">
        <v>26</v>
      </c>
      <c r="F7567" s="9" t="s">
        <v>27</v>
      </c>
      <c r="G7567" s="10" t="s">
        <v>34</v>
      </c>
      <c r="H7567" s="9" t="s">
        <v>22</v>
      </c>
      <c r="I7567" s="9" t="s">
        <v>16874</v>
      </c>
      <c r="J7567" s="10" t="str">
        <f>HYPERLINK("https://www.boe.es/gazeta/dias/1834/10/19/pdfs/GMD-C-1834-247.pdf#page=1","Abrir facsímil")</f>
        <v>Abrir facsímil</v>
      </c>
      <c r="K7567" s="10" t="s">
        <v>24</v>
      </c>
    </row>
    <row r="7568" spans="1:11" ht="54" customHeight="1">
      <c r="A7568" s="9" t="s">
        <v>16859</v>
      </c>
      <c r="B7568" s="9" t="s">
        <v>16859</v>
      </c>
      <c r="C7568" s="9" t="s">
        <v>17</v>
      </c>
      <c r="D7568" s="9" t="s">
        <v>101</v>
      </c>
      <c r="E7568" s="10" t="s">
        <v>3952</v>
      </c>
      <c r="F7568" s="9" t="s">
        <v>3953</v>
      </c>
      <c r="G7568" s="10" t="s">
        <v>34</v>
      </c>
      <c r="H7568" s="9" t="s">
        <v>22</v>
      </c>
      <c r="I7568" s="9" t="s">
        <v>16875</v>
      </c>
      <c r="J7568" s="10" t="str">
        <f>HYPERLINK("https://www.boe.es/gazeta/dias/1834/02/22/pdfs/GMD-1834-24.pdf#page=1","Abrir facsímil")</f>
        <v>Abrir facsímil</v>
      </c>
      <c r="K7568" s="10" t="s">
        <v>24</v>
      </c>
    </row>
    <row r="7569" spans="1:11" ht="54" customHeight="1">
      <c r="A7569" s="9" t="s">
        <v>16859</v>
      </c>
      <c r="B7569" s="9" t="s">
        <v>16859</v>
      </c>
      <c r="C7569" s="9" t="s">
        <v>90</v>
      </c>
      <c r="D7569" s="9" t="s">
        <v>67</v>
      </c>
      <c r="E7569" s="10" t="s">
        <v>32</v>
      </c>
      <c r="F7569" s="9" t="s">
        <v>7431</v>
      </c>
      <c r="G7569" s="10" t="s">
        <v>34</v>
      </c>
      <c r="H7569" s="9" t="s">
        <v>22</v>
      </c>
      <c r="I7569" s="9" t="s">
        <v>16876</v>
      </c>
      <c r="J7569" s="10" t="str">
        <f>HYPERLINK("https://www.boe.es/gazeta/dias/1834/04/23/pdfs/GMD-C-1834-62.pdf#page=1","Abrir facsímil")</f>
        <v>Abrir facsímil</v>
      </c>
      <c r="K7569" s="10" t="s">
        <v>24</v>
      </c>
    </row>
    <row r="7570" spans="1:11" ht="54" customHeight="1">
      <c r="A7570" s="9" t="s">
        <v>16859</v>
      </c>
      <c r="B7570" s="9" t="s">
        <v>16859</v>
      </c>
      <c r="C7570" s="9" t="s">
        <v>90</v>
      </c>
      <c r="D7570" s="9" t="s">
        <v>18</v>
      </c>
      <c r="E7570" s="10" t="s">
        <v>3499</v>
      </c>
      <c r="F7570" s="9" t="s">
        <v>3500</v>
      </c>
      <c r="G7570" s="10" t="s">
        <v>34</v>
      </c>
      <c r="H7570" s="9" t="s">
        <v>22</v>
      </c>
      <c r="I7570" s="9" t="s">
        <v>16877</v>
      </c>
      <c r="J7570" s="10" t="str">
        <f>HYPERLINK("https://www.boe.es/gazeta/dias/1834/01/28/pdfs/GMD-1834-13.pdf#page=1","Abrir facsímil")</f>
        <v>Abrir facsímil</v>
      </c>
      <c r="K7570" s="10" t="s">
        <v>24</v>
      </c>
    </row>
    <row r="7571" spans="1:11" ht="54" customHeight="1">
      <c r="A7571" s="9" t="s">
        <v>16859</v>
      </c>
      <c r="B7571" s="9" t="s">
        <v>16859</v>
      </c>
      <c r="C7571" s="9" t="s">
        <v>17</v>
      </c>
      <c r="D7571" s="9" t="s">
        <v>18</v>
      </c>
      <c r="E7571" s="10" t="s">
        <v>899</v>
      </c>
      <c r="F7571" s="9" t="s">
        <v>900</v>
      </c>
      <c r="G7571" s="10" t="s">
        <v>28</v>
      </c>
      <c r="H7571" s="9" t="s">
        <v>22</v>
      </c>
      <c r="I7571" s="9" t="s">
        <v>16878</v>
      </c>
      <c r="J7571" s="10" t="str">
        <f>HYPERLINK("https://www.boe.es/gazeta/dias/1834/01/30/pdfs/GMD-1834-14.pdf#page=5","Abrir facsímil")</f>
        <v>Abrir facsímil</v>
      </c>
      <c r="K7571" s="10" t="s">
        <v>24</v>
      </c>
    </row>
    <row r="7572" spans="1:11" ht="54" customHeight="1">
      <c r="A7572" s="9" t="s">
        <v>16879</v>
      </c>
      <c r="B7572" s="9" t="s">
        <v>16880</v>
      </c>
      <c r="C7572" s="9" t="s">
        <v>66</v>
      </c>
      <c r="D7572" s="9" t="s">
        <v>67</v>
      </c>
      <c r="E7572" s="10" t="s">
        <v>690</v>
      </c>
      <c r="F7572" s="9" t="s">
        <v>5765</v>
      </c>
      <c r="G7572" s="10" t="s">
        <v>21</v>
      </c>
      <c r="H7572" s="9" t="s">
        <v>22</v>
      </c>
      <c r="I7572" s="9" t="s">
        <v>16881</v>
      </c>
      <c r="J7572" s="10" t="str">
        <f>HYPERLINK("https://www.boe.es/gazeta/dias/1834/09/03/pdfs/GMD-1834-201.pdf#page=3","Abrir facsímil")</f>
        <v>Abrir facsímil</v>
      </c>
      <c r="K7572" s="10" t="s">
        <v>24</v>
      </c>
    </row>
    <row r="7573" spans="1:11" ht="54" customHeight="1">
      <c r="A7573" s="9" t="s">
        <v>16882</v>
      </c>
      <c r="B7573" s="9" t="s">
        <v>16882</v>
      </c>
      <c r="C7573" s="9" t="s">
        <v>17</v>
      </c>
      <c r="D7573" s="9" t="s">
        <v>18</v>
      </c>
      <c r="E7573" s="10" t="s">
        <v>3066</v>
      </c>
      <c r="F7573" s="9" t="s">
        <v>3188</v>
      </c>
      <c r="G7573" s="10" t="s">
        <v>86</v>
      </c>
      <c r="H7573" s="9" t="s">
        <v>22</v>
      </c>
      <c r="I7573" s="9" t="s">
        <v>16883</v>
      </c>
      <c r="J7573" s="10" t="str">
        <f>HYPERLINK("https://www.boe.es/gazeta/dias/1834/08/03/pdfs/I00721-00722.pdf#page=2","Abrir facsímil")</f>
        <v>Abrir facsímil</v>
      </c>
      <c r="K7573" s="10" t="s">
        <v>24</v>
      </c>
    </row>
    <row r="7574" spans="1:11" ht="54" customHeight="1">
      <c r="A7574" s="9" t="s">
        <v>16882</v>
      </c>
      <c r="B7574" s="9" t="s">
        <v>16882</v>
      </c>
      <c r="C7574" s="9" t="s">
        <v>17</v>
      </c>
      <c r="D7574" s="9" t="s">
        <v>18</v>
      </c>
      <c r="E7574" s="10" t="s">
        <v>3066</v>
      </c>
      <c r="F7574" s="9" t="s">
        <v>3188</v>
      </c>
      <c r="G7574" s="10" t="s">
        <v>75</v>
      </c>
      <c r="H7574" s="9" t="s">
        <v>22</v>
      </c>
      <c r="I7574" s="9" t="s">
        <v>16883</v>
      </c>
      <c r="J7574" s="10" t="str">
        <f>HYPERLINK("https://www.boe.es/gazeta/dias/1834/08/03/pdfs/GMD-1834-167.pdf#page=4","Abrir facsímil")</f>
        <v>Abrir facsímil</v>
      </c>
      <c r="K7574" s="10" t="s">
        <v>24</v>
      </c>
    </row>
    <row r="7575" spans="1:11" ht="54" customHeight="1">
      <c r="A7575" s="9" t="s">
        <v>16884</v>
      </c>
      <c r="B7575" s="9" t="s">
        <v>16884</v>
      </c>
      <c r="C7575" s="9" t="s">
        <v>122</v>
      </c>
      <c r="D7575" s="9" t="s">
        <v>101</v>
      </c>
      <c r="E7575" s="10" t="s">
        <v>762</v>
      </c>
      <c r="F7575" s="9" t="s">
        <v>763</v>
      </c>
      <c r="G7575" s="10" t="s">
        <v>34</v>
      </c>
      <c r="H7575" s="9" t="s">
        <v>22</v>
      </c>
      <c r="I7575" s="9" t="s">
        <v>16885</v>
      </c>
      <c r="J7575" s="10" t="str">
        <f>HYPERLINK("https://www.boe.es/gazeta/dias/1834/11/07/pdfs/GMD-1834-266.pdf#page=1","Abrir facsímil")</f>
        <v>Abrir facsímil</v>
      </c>
      <c r="K7575" s="10" t="s">
        <v>24</v>
      </c>
    </row>
    <row r="7576" spans="1:11" ht="54" customHeight="1">
      <c r="A7576" s="9" t="s">
        <v>16886</v>
      </c>
      <c r="B7576" s="9" t="s">
        <v>16886</v>
      </c>
      <c r="C7576" s="9" t="s">
        <v>17</v>
      </c>
      <c r="D7576" s="9" t="s">
        <v>18</v>
      </c>
      <c r="E7576" s="10" t="s">
        <v>1297</v>
      </c>
      <c r="F7576" s="9" t="s">
        <v>1879</v>
      </c>
      <c r="G7576" s="10" t="s">
        <v>34</v>
      </c>
      <c r="H7576" s="9" t="s">
        <v>22</v>
      </c>
      <c r="I7576" s="9" t="s">
        <v>16887</v>
      </c>
      <c r="J7576" s="10" t="str">
        <f>HYPERLINK("https://www.boe.es/gazeta/dias/1834/08/01/pdfs/GMD-D-1834-165.pdf#page=1","Abrir facsímil")</f>
        <v>Abrir facsímil</v>
      </c>
      <c r="K7576" s="10" t="s">
        <v>24</v>
      </c>
    </row>
    <row r="7577" spans="1:11" ht="54" customHeight="1">
      <c r="A7577" s="9" t="s">
        <v>16886</v>
      </c>
      <c r="B7577" s="9" t="s">
        <v>16886</v>
      </c>
      <c r="C7577" s="9" t="s">
        <v>90</v>
      </c>
      <c r="D7577" s="9" t="s">
        <v>18</v>
      </c>
      <c r="E7577" s="10" t="s">
        <v>3066</v>
      </c>
      <c r="F7577" s="9" t="s">
        <v>3067</v>
      </c>
      <c r="G7577" s="10" t="s">
        <v>28</v>
      </c>
      <c r="H7577" s="9" t="s">
        <v>22</v>
      </c>
      <c r="I7577" s="9" t="s">
        <v>16888</v>
      </c>
      <c r="J7577" s="10" t="str">
        <f>HYPERLINK("https://www.boe.es/gazeta/dias/1834/08/03/pdfs/GMD-C-1834-167.pdf#page=5","Abrir facsímil")</f>
        <v>Abrir facsímil</v>
      </c>
      <c r="K7577" s="10" t="s">
        <v>24</v>
      </c>
    </row>
    <row r="7578" spans="1:11" ht="54" customHeight="1">
      <c r="A7578" s="9" t="s">
        <v>16886</v>
      </c>
      <c r="B7578" s="9" t="s">
        <v>16886</v>
      </c>
      <c r="C7578" s="9" t="s">
        <v>90</v>
      </c>
      <c r="D7578" s="9" t="s">
        <v>18</v>
      </c>
      <c r="E7578" s="10" t="s">
        <v>1351</v>
      </c>
      <c r="F7578" s="9" t="s">
        <v>1352</v>
      </c>
      <c r="G7578" s="10" t="s">
        <v>86</v>
      </c>
      <c r="H7578" s="9" t="s">
        <v>22</v>
      </c>
      <c r="I7578" s="9" t="s">
        <v>16889</v>
      </c>
      <c r="J7578" s="10" t="str">
        <f>HYPERLINK("https://www.boe.es/gazeta/dias/1834/07/05/pdfs/GMD-1834-138.pdf#page=2","Abrir facsímil")</f>
        <v>Abrir facsímil</v>
      </c>
      <c r="K7578" s="10" t="s">
        <v>24</v>
      </c>
    </row>
    <row r="7579" spans="1:11" ht="54" customHeight="1">
      <c r="A7579" s="9" t="s">
        <v>16886</v>
      </c>
      <c r="B7579" s="9" t="s">
        <v>16886</v>
      </c>
      <c r="C7579" s="9" t="s">
        <v>66</v>
      </c>
      <c r="D7579" s="9" t="s">
        <v>67</v>
      </c>
      <c r="E7579" s="10" t="s">
        <v>3170</v>
      </c>
      <c r="F7579" s="9" t="s">
        <v>3171</v>
      </c>
      <c r="G7579" s="10" t="s">
        <v>21</v>
      </c>
      <c r="H7579" s="9" t="s">
        <v>22</v>
      </c>
      <c r="I7579" s="9" t="s">
        <v>16890</v>
      </c>
      <c r="J7579" s="10" t="str">
        <f>HYPERLINK("https://www.boe.es/gazeta/dias/1834/12/07/pdfs/GMD-1834-296.pdf#page=3","Abrir facsímil")</f>
        <v>Abrir facsímil</v>
      </c>
      <c r="K7579" s="10" t="s">
        <v>24</v>
      </c>
    </row>
    <row r="7580" spans="1:11" ht="54" customHeight="1">
      <c r="A7580" s="9" t="s">
        <v>16886</v>
      </c>
      <c r="B7580" s="9" t="s">
        <v>16886</v>
      </c>
      <c r="C7580" s="9" t="s">
        <v>17</v>
      </c>
      <c r="D7580" s="9" t="s">
        <v>101</v>
      </c>
      <c r="E7580" s="10" t="s">
        <v>2091</v>
      </c>
      <c r="F7580" s="9" t="s">
        <v>2092</v>
      </c>
      <c r="G7580" s="10" t="s">
        <v>34</v>
      </c>
      <c r="H7580" s="9" t="s">
        <v>22</v>
      </c>
      <c r="I7580" s="9" t="s">
        <v>16891</v>
      </c>
      <c r="J7580" s="10" t="str">
        <f>HYPERLINK("https://www.boe.es/gazeta/dias/1834/03/08/pdfs/GMD-1834-30.pdf#page=1","Abrir facsímil")</f>
        <v>Abrir facsímil</v>
      </c>
      <c r="K7580" s="10" t="s">
        <v>24</v>
      </c>
    </row>
    <row r="7581" spans="1:11" ht="54" customHeight="1">
      <c r="A7581" s="9" t="s">
        <v>16886</v>
      </c>
      <c r="B7581" s="9" t="s">
        <v>16886</v>
      </c>
      <c r="C7581" s="9" t="s">
        <v>66</v>
      </c>
      <c r="D7581" s="9" t="s">
        <v>18</v>
      </c>
      <c r="E7581" s="10" t="s">
        <v>1999</v>
      </c>
      <c r="F7581" s="9" t="s">
        <v>2000</v>
      </c>
      <c r="G7581" s="10" t="s">
        <v>75</v>
      </c>
      <c r="H7581" s="9" t="s">
        <v>22</v>
      </c>
      <c r="I7581" s="9" t="s">
        <v>16892</v>
      </c>
      <c r="J7581" s="10" t="str">
        <f>HYPERLINK("https://www.boe.es/gazeta/dias/1834/04/09/pdfs/GMD-1834-48.pdf#page=4","Abrir facsímil")</f>
        <v>Abrir facsímil</v>
      </c>
      <c r="K7581" s="10" t="s">
        <v>24</v>
      </c>
    </row>
    <row r="7582" spans="1:11" ht="54" customHeight="1">
      <c r="A7582" s="9" t="s">
        <v>16886</v>
      </c>
      <c r="B7582" s="9" t="s">
        <v>16886</v>
      </c>
      <c r="C7582" s="9" t="s">
        <v>66</v>
      </c>
      <c r="D7582" s="9" t="s">
        <v>18</v>
      </c>
      <c r="E7582" s="10" t="s">
        <v>1178</v>
      </c>
      <c r="F7582" s="9" t="s">
        <v>14853</v>
      </c>
      <c r="G7582" s="10" t="s">
        <v>34</v>
      </c>
      <c r="H7582" s="9" t="s">
        <v>22</v>
      </c>
      <c r="I7582" s="9" t="s">
        <v>16893</v>
      </c>
      <c r="J7582" s="10" t="str">
        <f>HYPERLINK("https://www.boe.es/gazeta/dias/1834/04/10/pdfs/GMD-1834-49.pdf#page=1","Abrir facsímil")</f>
        <v>Abrir facsímil</v>
      </c>
      <c r="K7582" s="10" t="s">
        <v>24</v>
      </c>
    </row>
    <row r="7583" spans="1:11" ht="54" customHeight="1">
      <c r="A7583" s="9" t="s">
        <v>16886</v>
      </c>
      <c r="B7583" s="9" t="s">
        <v>16886</v>
      </c>
      <c r="C7583" s="9" t="s">
        <v>66</v>
      </c>
      <c r="D7583" s="9" t="s">
        <v>101</v>
      </c>
      <c r="E7583" s="10" t="s">
        <v>479</v>
      </c>
      <c r="F7583" s="9" t="s">
        <v>480</v>
      </c>
      <c r="G7583" s="10" t="s">
        <v>34</v>
      </c>
      <c r="H7583" s="9" t="s">
        <v>22</v>
      </c>
      <c r="I7583" s="9" t="s">
        <v>16894</v>
      </c>
      <c r="J7583" s="10" t="str">
        <f>HYPERLINK("https://www.boe.es/gazeta/dias/1834/08/13/pdfs/GMD-1834-178.pdf#page=1","Abrir facsímil")</f>
        <v>Abrir facsímil</v>
      </c>
      <c r="K7583" s="10" t="s">
        <v>24</v>
      </c>
    </row>
    <row r="7584" spans="1:11" ht="54" customHeight="1">
      <c r="A7584" s="9" t="s">
        <v>16886</v>
      </c>
      <c r="B7584" s="9" t="s">
        <v>16886</v>
      </c>
      <c r="C7584" s="9" t="s">
        <v>17</v>
      </c>
      <c r="D7584" s="9" t="s">
        <v>18</v>
      </c>
      <c r="E7584" s="10" t="s">
        <v>2260</v>
      </c>
      <c r="F7584" s="9" t="s">
        <v>2263</v>
      </c>
      <c r="G7584" s="10" t="s">
        <v>86</v>
      </c>
      <c r="H7584" s="9" t="s">
        <v>22</v>
      </c>
      <c r="I7584" s="9" t="s">
        <v>16895</v>
      </c>
      <c r="J7584" s="10" t="str">
        <f>HYPERLINK("https://www.boe.es/gazeta/dias/1834/11/13/pdfs/GMD-C-1834-272.pdf#page=2","Abrir facsímil")</f>
        <v>Abrir facsímil</v>
      </c>
      <c r="K7584" s="10" t="s">
        <v>24</v>
      </c>
    </row>
    <row r="7585" spans="1:11" ht="54" customHeight="1">
      <c r="A7585" s="9" t="s">
        <v>16886</v>
      </c>
      <c r="B7585" s="9" t="s">
        <v>16886</v>
      </c>
      <c r="C7585" s="9" t="s">
        <v>17</v>
      </c>
      <c r="D7585" s="9" t="s">
        <v>18</v>
      </c>
      <c r="E7585" s="10" t="s">
        <v>1186</v>
      </c>
      <c r="F7585" s="9" t="s">
        <v>4286</v>
      </c>
      <c r="G7585" s="10" t="s">
        <v>86</v>
      </c>
      <c r="H7585" s="9" t="s">
        <v>22</v>
      </c>
      <c r="I7585" s="9" t="s">
        <v>16896</v>
      </c>
      <c r="J7585" s="10" t="str">
        <f>HYPERLINK("https://www.boe.es/gazeta/dias/1834/08/14/pdfs/GMD-C-1834-179.pdf#page=2","Abrir facsímil")</f>
        <v>Abrir facsímil</v>
      </c>
      <c r="K7585" s="10" t="s">
        <v>24</v>
      </c>
    </row>
    <row r="7586" spans="1:11" ht="54" customHeight="1">
      <c r="A7586" s="9" t="s">
        <v>16886</v>
      </c>
      <c r="B7586" s="9" t="s">
        <v>16886</v>
      </c>
      <c r="C7586" s="9" t="s">
        <v>17</v>
      </c>
      <c r="D7586" s="9" t="s">
        <v>18</v>
      </c>
      <c r="E7586" s="10" t="s">
        <v>2087</v>
      </c>
      <c r="F7586" s="9" t="s">
        <v>2267</v>
      </c>
      <c r="G7586" s="10" t="s">
        <v>1343</v>
      </c>
      <c r="H7586" s="9" t="s">
        <v>22</v>
      </c>
      <c r="I7586" s="9" t="s">
        <v>16897</v>
      </c>
      <c r="J7586" s="10" t="str">
        <f>HYPERLINK("https://www.boe.es/gazeta/dias/1834/12/14/pdfs/GMD-C-1834-303.pdf#page=9","Abrir facsímil")</f>
        <v>Abrir facsímil</v>
      </c>
      <c r="K7586" s="10" t="s">
        <v>24</v>
      </c>
    </row>
    <row r="7587" spans="1:11" ht="54" customHeight="1">
      <c r="A7587" s="9" t="s">
        <v>16886</v>
      </c>
      <c r="B7587" s="9" t="s">
        <v>16886</v>
      </c>
      <c r="C7587" s="9" t="s">
        <v>90</v>
      </c>
      <c r="D7587" s="9" t="s">
        <v>40</v>
      </c>
      <c r="E7587" s="10" t="s">
        <v>2398</v>
      </c>
      <c r="F7587" s="9" t="s">
        <v>2399</v>
      </c>
      <c r="G7587" s="10" t="s">
        <v>75</v>
      </c>
      <c r="H7587" s="9" t="s">
        <v>22</v>
      </c>
      <c r="I7587" s="9" t="s">
        <v>16898</v>
      </c>
      <c r="J7587" s="10" t="str">
        <f>HYPERLINK("https://www.boe.es/gazeta/dias/1834/01/16/pdfs/GMD-1834-8.pdf#page=4","Abrir facsímil")</f>
        <v>Abrir facsímil</v>
      </c>
      <c r="K7587" s="10" t="s">
        <v>24</v>
      </c>
    </row>
    <row r="7588" spans="1:11" ht="54" customHeight="1">
      <c r="A7588" s="9" t="s">
        <v>16886</v>
      </c>
      <c r="B7588" s="9" t="s">
        <v>16886</v>
      </c>
      <c r="C7588" s="9" t="s">
        <v>66</v>
      </c>
      <c r="D7588" s="9" t="s">
        <v>67</v>
      </c>
      <c r="E7588" s="10" t="s">
        <v>719</v>
      </c>
      <c r="F7588" s="9" t="s">
        <v>720</v>
      </c>
      <c r="G7588" s="10" t="s">
        <v>21</v>
      </c>
      <c r="H7588" s="9" t="s">
        <v>22</v>
      </c>
      <c r="I7588" s="9" t="s">
        <v>16899</v>
      </c>
      <c r="J7588" s="10" t="str">
        <f>HYPERLINK("https://www.boe.es/gazeta/dias/1834/04/29/pdfs/GMD-1834-68.pdf#page=3","Abrir facsímil")</f>
        <v>Abrir facsímil</v>
      </c>
      <c r="K7588" s="10" t="s">
        <v>24</v>
      </c>
    </row>
    <row r="7589" spans="1:11" ht="54" customHeight="1">
      <c r="A7589" s="9" t="s">
        <v>16886</v>
      </c>
      <c r="B7589" s="9" t="s">
        <v>16886</v>
      </c>
      <c r="C7589" s="9" t="s">
        <v>17</v>
      </c>
      <c r="D7589" s="9" t="s">
        <v>18</v>
      </c>
      <c r="E7589" s="10" t="s">
        <v>1695</v>
      </c>
      <c r="F7589" s="9" t="s">
        <v>1696</v>
      </c>
      <c r="G7589" s="10" t="s">
        <v>21</v>
      </c>
      <c r="H7589" s="9" t="s">
        <v>22</v>
      </c>
      <c r="I7589" s="9" t="s">
        <v>16900</v>
      </c>
      <c r="J7589" s="10" t="str">
        <f>HYPERLINK("https://www.boe.es/gazeta/dias/1834/06/30/pdfs/GMD-1834-133.pdf#page=3","Abrir facsímil")</f>
        <v>Abrir facsímil</v>
      </c>
      <c r="K7589" s="10" t="s">
        <v>24</v>
      </c>
    </row>
    <row r="7590" spans="1:11" ht="54" customHeight="1">
      <c r="A7590" s="9" t="s">
        <v>16901</v>
      </c>
      <c r="B7590" s="9" t="s">
        <v>16901</v>
      </c>
      <c r="C7590" s="9" t="s">
        <v>17</v>
      </c>
      <c r="D7590" s="9" t="s">
        <v>18</v>
      </c>
      <c r="E7590" s="10" t="s">
        <v>1025</v>
      </c>
      <c r="F7590" s="9" t="s">
        <v>1026</v>
      </c>
      <c r="G7590" s="10" t="s">
        <v>21</v>
      </c>
      <c r="H7590" s="9" t="s">
        <v>22</v>
      </c>
      <c r="I7590" s="9" t="s">
        <v>16902</v>
      </c>
      <c r="J7590" s="10" t="str">
        <f>HYPERLINK("https://www.boe.es/gazeta/dias/1834/03/01/pdfs/GMD-1834-27.pdf#page=3","Abrir facsímil")</f>
        <v>Abrir facsímil</v>
      </c>
      <c r="K7590" s="10" t="s">
        <v>24</v>
      </c>
    </row>
    <row r="7591" spans="1:11" ht="54" customHeight="1">
      <c r="A7591" s="9" t="s">
        <v>16901</v>
      </c>
      <c r="B7591" s="9" t="s">
        <v>16901</v>
      </c>
      <c r="C7591" s="9" t="s">
        <v>17</v>
      </c>
      <c r="D7591" s="9" t="s">
        <v>18</v>
      </c>
      <c r="E7591" s="10" t="s">
        <v>506</v>
      </c>
      <c r="F7591" s="9" t="s">
        <v>507</v>
      </c>
      <c r="G7591" s="10" t="s">
        <v>75</v>
      </c>
      <c r="H7591" s="9" t="s">
        <v>22</v>
      </c>
      <c r="I7591" s="9" t="s">
        <v>16903</v>
      </c>
      <c r="J7591" s="10" t="str">
        <f>HYPERLINK("https://www.boe.es/gazeta/dias/1834/03/04/pdfs/GMD-1834-28.pdf#page=4","Abrir facsímil")</f>
        <v>Abrir facsímil</v>
      </c>
      <c r="K7591" s="10" t="s">
        <v>24</v>
      </c>
    </row>
    <row r="7592" spans="1:11" ht="54" customHeight="1">
      <c r="A7592" s="9" t="s">
        <v>16901</v>
      </c>
      <c r="B7592" s="9" t="s">
        <v>16901</v>
      </c>
      <c r="C7592" s="9" t="s">
        <v>17</v>
      </c>
      <c r="D7592" s="9" t="s">
        <v>101</v>
      </c>
      <c r="E7592" s="10" t="s">
        <v>1195</v>
      </c>
      <c r="F7592" s="9" t="s">
        <v>1916</v>
      </c>
      <c r="G7592" s="10" t="s">
        <v>34</v>
      </c>
      <c r="H7592" s="9" t="s">
        <v>22</v>
      </c>
      <c r="I7592" s="9" t="s">
        <v>16904</v>
      </c>
      <c r="J7592" s="10" t="str">
        <f>HYPERLINK("https://www.boe.es/gazeta/dias/1834/10/17/pdfs/GMD-1834-245.pdf#page=1","Abrir facsímil")</f>
        <v>Abrir facsímil</v>
      </c>
      <c r="K7592" s="10" t="s">
        <v>24</v>
      </c>
    </row>
    <row r="7593" spans="1:11" ht="54" customHeight="1">
      <c r="A7593" s="9" t="s">
        <v>16901</v>
      </c>
      <c r="B7593" s="9" t="s">
        <v>16901</v>
      </c>
      <c r="C7593" s="9" t="s">
        <v>90</v>
      </c>
      <c r="D7593" s="9" t="s">
        <v>18</v>
      </c>
      <c r="E7593" s="10" t="s">
        <v>724</v>
      </c>
      <c r="F7593" s="9" t="s">
        <v>725</v>
      </c>
      <c r="G7593" s="10" t="s">
        <v>28</v>
      </c>
      <c r="H7593" s="9" t="s">
        <v>22</v>
      </c>
      <c r="I7593" s="9" t="s">
        <v>16905</v>
      </c>
      <c r="J7593" s="10" t="str">
        <f>HYPERLINK("https://www.boe.es/gazeta/dias/1834/04/25/pdfs/GMD-1834-64.pdf#page=5","Abrir facsímil")</f>
        <v>Abrir facsímil</v>
      </c>
      <c r="K7593" s="10" t="s">
        <v>24</v>
      </c>
    </row>
    <row r="7594" spans="1:11" ht="54" customHeight="1">
      <c r="A7594" s="9" t="s">
        <v>16901</v>
      </c>
      <c r="B7594" s="9" t="s">
        <v>16901</v>
      </c>
      <c r="C7594" s="9" t="s">
        <v>90</v>
      </c>
      <c r="D7594" s="9" t="s">
        <v>18</v>
      </c>
      <c r="E7594" s="10" t="s">
        <v>403</v>
      </c>
      <c r="F7594" s="9" t="s">
        <v>404</v>
      </c>
      <c r="G7594" s="10" t="s">
        <v>75</v>
      </c>
      <c r="H7594" s="9" t="s">
        <v>22</v>
      </c>
      <c r="I7594" s="9" t="s">
        <v>16906</v>
      </c>
      <c r="J7594" s="10" t="str">
        <f>HYPERLINK("https://www.boe.es/gazeta/dias/1834/09/25/pdfs/GMD-C-1834-223.pdf#page=4","Abrir facsímil")</f>
        <v>Abrir facsímil</v>
      </c>
      <c r="K7594" s="10" t="s">
        <v>24</v>
      </c>
    </row>
    <row r="7595" spans="1:11" ht="54" customHeight="1">
      <c r="A7595" s="9" t="s">
        <v>16907</v>
      </c>
      <c r="B7595" s="9" t="s">
        <v>16907</v>
      </c>
      <c r="C7595" s="9" t="s">
        <v>17</v>
      </c>
      <c r="D7595" s="9" t="s">
        <v>18</v>
      </c>
      <c r="E7595" s="10" t="s">
        <v>707</v>
      </c>
      <c r="F7595" s="9" t="s">
        <v>708</v>
      </c>
      <c r="G7595" s="10" t="s">
        <v>21</v>
      </c>
      <c r="H7595" s="9" t="s">
        <v>22</v>
      </c>
      <c r="I7595" s="9" t="s">
        <v>16908</v>
      </c>
      <c r="J7595" s="10" t="str">
        <f>HYPERLINK("https://www.boe.es/gazeta/dias/1834/11/25/pdfs/GMD-C-1834-284.pdf#page=3","Abrir facsímil")</f>
        <v>Abrir facsímil</v>
      </c>
      <c r="K7595" s="10" t="s">
        <v>24</v>
      </c>
    </row>
    <row r="7596" spans="1:11" ht="54" customHeight="1">
      <c r="A7596" s="9" t="s">
        <v>16909</v>
      </c>
      <c r="B7596" s="9" t="s">
        <v>16909</v>
      </c>
      <c r="C7596" s="9" t="s">
        <v>17</v>
      </c>
      <c r="D7596" s="9" t="s">
        <v>40</v>
      </c>
      <c r="E7596" s="10" t="s">
        <v>1862</v>
      </c>
      <c r="F7596" s="9" t="s">
        <v>1863</v>
      </c>
      <c r="G7596" s="10" t="s">
        <v>75</v>
      </c>
      <c r="H7596" s="9" t="s">
        <v>22</v>
      </c>
      <c r="I7596" s="9" t="s">
        <v>16910</v>
      </c>
      <c r="J7596" s="10" t="str">
        <f>HYPERLINK("https://www.boe.es/gazeta/dias/1834/02/04/pdfs/GMD-1834-16.pdf#page=4","Abrir facsímil")</f>
        <v>Abrir facsímil</v>
      </c>
      <c r="K7596" s="10" t="s">
        <v>24</v>
      </c>
    </row>
    <row r="7597" spans="1:11" ht="54" customHeight="1">
      <c r="A7597" s="9" t="s">
        <v>16911</v>
      </c>
      <c r="B7597" s="9" t="s">
        <v>16911</v>
      </c>
      <c r="C7597" s="9" t="s">
        <v>17</v>
      </c>
      <c r="D7597" s="9" t="s">
        <v>18</v>
      </c>
      <c r="E7597" s="10" t="s">
        <v>2037</v>
      </c>
      <c r="F7597" s="9" t="s">
        <v>2038</v>
      </c>
      <c r="G7597" s="10" t="s">
        <v>21</v>
      </c>
      <c r="H7597" s="9" t="s">
        <v>22</v>
      </c>
      <c r="I7597" s="9" t="s">
        <v>16912</v>
      </c>
      <c r="J7597" s="10" t="str">
        <f>HYPERLINK("https://www.boe.es/gazeta/dias/1834/12/01/pdfs/GMD-1834-290.pdf#page=3","Abrir facsímil")</f>
        <v>Abrir facsímil</v>
      </c>
      <c r="K7597" s="10" t="s">
        <v>24</v>
      </c>
    </row>
    <row r="7598" spans="1:11" ht="54" customHeight="1">
      <c r="A7598" s="9" t="s">
        <v>16911</v>
      </c>
      <c r="B7598" s="9" t="s">
        <v>16911</v>
      </c>
      <c r="C7598" s="9" t="s">
        <v>17</v>
      </c>
      <c r="D7598" s="9" t="s">
        <v>55</v>
      </c>
      <c r="E7598" s="10" t="s">
        <v>8346</v>
      </c>
      <c r="F7598" s="9" t="s">
        <v>8347</v>
      </c>
      <c r="G7598" s="10" t="s">
        <v>21</v>
      </c>
      <c r="H7598" s="9" t="s">
        <v>22</v>
      </c>
      <c r="I7598" s="9" t="s">
        <v>16913</v>
      </c>
      <c r="J7598" s="10" t="str">
        <f>HYPERLINK("https://www.boe.es/gazeta/dias/1834/12/04/pdfs/GMD-1834-293.pdf#page=3","Abrir facsímil")</f>
        <v>Abrir facsímil</v>
      </c>
      <c r="K7598" s="10" t="s">
        <v>24</v>
      </c>
    </row>
    <row r="7599" spans="1:11" ht="54" customHeight="1">
      <c r="A7599" s="9" t="s">
        <v>16911</v>
      </c>
      <c r="B7599" s="9" t="s">
        <v>16911</v>
      </c>
      <c r="C7599" s="9" t="s">
        <v>17</v>
      </c>
      <c r="D7599" s="9" t="s">
        <v>18</v>
      </c>
      <c r="E7599" s="10" t="s">
        <v>1351</v>
      </c>
      <c r="F7599" s="9" t="s">
        <v>1352</v>
      </c>
      <c r="G7599" s="10" t="s">
        <v>176</v>
      </c>
      <c r="H7599" s="9" t="s">
        <v>22</v>
      </c>
      <c r="I7599" s="9" t="s">
        <v>16914</v>
      </c>
      <c r="J7599" s="10" t="str">
        <f>HYPERLINK("https://www.boe.es/gazeta/dias/1834/07/05/pdfs/GMD-1834-138.pdf#page=6","Abrir facsímil")</f>
        <v>Abrir facsímil</v>
      </c>
      <c r="K7599" s="10" t="s">
        <v>24</v>
      </c>
    </row>
    <row r="7600" spans="1:11" ht="54" customHeight="1">
      <c r="A7600" s="9" t="s">
        <v>16911</v>
      </c>
      <c r="B7600" s="9" t="s">
        <v>16911</v>
      </c>
      <c r="C7600" s="9" t="s">
        <v>90</v>
      </c>
      <c r="D7600" s="9" t="s">
        <v>101</v>
      </c>
      <c r="E7600" s="10" t="s">
        <v>163</v>
      </c>
      <c r="F7600" s="9" t="s">
        <v>4896</v>
      </c>
      <c r="G7600" s="10" t="s">
        <v>34</v>
      </c>
      <c r="H7600" s="9" t="s">
        <v>22</v>
      </c>
      <c r="I7600" s="9" t="s">
        <v>16915</v>
      </c>
      <c r="J7600" s="10" t="str">
        <f>HYPERLINK("https://www.boe.es/gazeta/dias/1834/08/09/pdfs/GMD-C-1834-174.pdf#page=1","Abrir facsímil")</f>
        <v>Abrir facsímil</v>
      </c>
      <c r="K7600" s="10" t="s">
        <v>24</v>
      </c>
    </row>
    <row r="7601" spans="1:11" ht="54" customHeight="1">
      <c r="A7601" s="9" t="s">
        <v>16911</v>
      </c>
      <c r="B7601" s="9" t="s">
        <v>16911</v>
      </c>
      <c r="C7601" s="9" t="s">
        <v>66</v>
      </c>
      <c r="D7601" s="9" t="s">
        <v>67</v>
      </c>
      <c r="E7601" s="10" t="s">
        <v>1438</v>
      </c>
      <c r="F7601" s="9" t="s">
        <v>1439</v>
      </c>
      <c r="G7601" s="10" t="s">
        <v>86</v>
      </c>
      <c r="H7601" s="9" t="s">
        <v>22</v>
      </c>
      <c r="I7601" s="9" t="s">
        <v>16916</v>
      </c>
      <c r="J7601" s="10" t="str">
        <f>HYPERLINK("https://www.boe.es/gazeta/dias/1834/05/13/pdfs/GMD-1834-82.pdf#page=2","Abrir facsímil")</f>
        <v>Abrir facsímil</v>
      </c>
      <c r="K7601" s="10" t="s">
        <v>24</v>
      </c>
    </row>
    <row r="7602" spans="1:11" ht="54" customHeight="1">
      <c r="A7602" s="9" t="s">
        <v>16911</v>
      </c>
      <c r="B7602" s="9" t="s">
        <v>16911</v>
      </c>
      <c r="C7602" s="9" t="s">
        <v>17</v>
      </c>
      <c r="D7602" s="9" t="s">
        <v>18</v>
      </c>
      <c r="E7602" s="10" t="s">
        <v>1981</v>
      </c>
      <c r="F7602" s="9" t="s">
        <v>1982</v>
      </c>
      <c r="G7602" s="10" t="s">
        <v>34</v>
      </c>
      <c r="H7602" s="9" t="s">
        <v>22</v>
      </c>
      <c r="I7602" s="9" t="s">
        <v>16917</v>
      </c>
      <c r="J7602" s="10" t="str">
        <f>HYPERLINK("https://www.boe.es/gazeta/dias/1834/12/13/pdfs/GMD-1834-302.pdf#page=1","Abrir facsímil")</f>
        <v>Abrir facsímil</v>
      </c>
      <c r="K7602" s="10" t="s">
        <v>24</v>
      </c>
    </row>
    <row r="7603" spans="1:11" ht="54" customHeight="1">
      <c r="A7603" s="9" t="s">
        <v>16911</v>
      </c>
      <c r="B7603" s="9" t="s">
        <v>16911</v>
      </c>
      <c r="C7603" s="9" t="s">
        <v>17</v>
      </c>
      <c r="D7603" s="9" t="s">
        <v>18</v>
      </c>
      <c r="E7603" s="10" t="s">
        <v>102</v>
      </c>
      <c r="F7603" s="9" t="s">
        <v>103</v>
      </c>
      <c r="G7603" s="10" t="s">
        <v>34</v>
      </c>
      <c r="H7603" s="9" t="s">
        <v>22</v>
      </c>
      <c r="I7603" s="9" t="s">
        <v>16918</v>
      </c>
      <c r="J7603" s="10" t="str">
        <f>HYPERLINK("https://www.boe.es/gazeta/dias/1834/07/19/pdfs/GMD-1834-152.pdf#page=1","Abrir facsímil")</f>
        <v>Abrir facsímil</v>
      </c>
      <c r="K7603" s="10" t="s">
        <v>24</v>
      </c>
    </row>
    <row r="7604" spans="1:11" ht="54" customHeight="1">
      <c r="A7604" s="9" t="s">
        <v>16911</v>
      </c>
      <c r="B7604" s="9" t="s">
        <v>16911</v>
      </c>
      <c r="C7604" s="9" t="s">
        <v>17</v>
      </c>
      <c r="D7604" s="9" t="s">
        <v>18</v>
      </c>
      <c r="E7604" s="10" t="s">
        <v>304</v>
      </c>
      <c r="F7604" s="9" t="s">
        <v>305</v>
      </c>
      <c r="G7604" s="10" t="s">
        <v>34</v>
      </c>
      <c r="H7604" s="9" t="s">
        <v>22</v>
      </c>
      <c r="I7604" s="9" t="s">
        <v>16919</v>
      </c>
      <c r="J7604" s="10" t="str">
        <f>HYPERLINK("https://www.boe.es/gazeta/dias/1834/01/21/pdfs/GMD-1834-10.pdf#page=1","Abrir facsímil")</f>
        <v>Abrir facsímil</v>
      </c>
      <c r="K7604" s="10" t="s">
        <v>24</v>
      </c>
    </row>
    <row r="7605" spans="1:11" ht="54" customHeight="1">
      <c r="A7605" s="9" t="s">
        <v>16911</v>
      </c>
      <c r="B7605" s="9" t="s">
        <v>16911</v>
      </c>
      <c r="C7605" s="9" t="s">
        <v>17</v>
      </c>
      <c r="D7605" s="9" t="s">
        <v>18</v>
      </c>
      <c r="E7605" s="10" t="s">
        <v>117</v>
      </c>
      <c r="F7605" s="9" t="s">
        <v>118</v>
      </c>
      <c r="G7605" s="10" t="s">
        <v>75</v>
      </c>
      <c r="H7605" s="9" t="s">
        <v>22</v>
      </c>
      <c r="I7605" s="9" t="s">
        <v>16920</v>
      </c>
      <c r="J7605" s="10" t="str">
        <f>HYPERLINK("https://www.boe.es/gazeta/dias/1834/07/21/pdfs/GMD-1834-154.pdf#page=4","Abrir facsímil")</f>
        <v>Abrir facsímil</v>
      </c>
      <c r="K7605" s="10" t="s">
        <v>24</v>
      </c>
    </row>
    <row r="7606" spans="1:11" ht="54" customHeight="1">
      <c r="A7606" s="9" t="s">
        <v>16911</v>
      </c>
      <c r="B7606" s="9" t="s">
        <v>16911</v>
      </c>
      <c r="C7606" s="9" t="s">
        <v>122</v>
      </c>
      <c r="D7606" s="9" t="s">
        <v>40</v>
      </c>
      <c r="E7606" s="10" t="s">
        <v>1918</v>
      </c>
      <c r="F7606" s="9" t="s">
        <v>1919</v>
      </c>
      <c r="G7606" s="10" t="s">
        <v>86</v>
      </c>
      <c r="H7606" s="9" t="s">
        <v>22</v>
      </c>
      <c r="I7606" s="9" t="s">
        <v>16921</v>
      </c>
      <c r="J7606" s="10" t="str">
        <f>HYPERLINK("https://www.boe.es/gazeta/dias/1834/03/22/pdfs/GMD-1834-36.pdf#page=2","Abrir facsímil")</f>
        <v>Abrir facsímil</v>
      </c>
      <c r="K7606" s="10" t="s">
        <v>24</v>
      </c>
    </row>
    <row r="7607" spans="1:11" ht="54" customHeight="1">
      <c r="A7607" s="9" t="s">
        <v>16911</v>
      </c>
      <c r="B7607" s="9" t="s">
        <v>16911</v>
      </c>
      <c r="C7607" s="9" t="s">
        <v>46</v>
      </c>
      <c r="D7607" s="9" t="s">
        <v>101</v>
      </c>
      <c r="E7607" s="10" t="s">
        <v>633</v>
      </c>
      <c r="F7607" s="9" t="s">
        <v>634</v>
      </c>
      <c r="G7607" s="10" t="s">
        <v>34</v>
      </c>
      <c r="H7607" s="9" t="s">
        <v>22</v>
      </c>
      <c r="I7607" s="9" t="s">
        <v>16922</v>
      </c>
      <c r="J7607" s="10" t="str">
        <f>HYPERLINK("https://www.boe.es/gazeta/dias/1834/10/24/pdfs/GMD-1834-252.pdf#page=1","Abrir facsímil")</f>
        <v>Abrir facsímil</v>
      </c>
      <c r="K7607" s="10" t="s">
        <v>24</v>
      </c>
    </row>
    <row r="7608" spans="1:11" ht="54" customHeight="1">
      <c r="A7608" s="9" t="s">
        <v>16923</v>
      </c>
      <c r="B7608" s="9" t="s">
        <v>16924</v>
      </c>
      <c r="C7608" s="9" t="s">
        <v>46</v>
      </c>
      <c r="D7608" s="9" t="s">
        <v>101</v>
      </c>
      <c r="E7608" s="10" t="s">
        <v>399</v>
      </c>
      <c r="F7608" s="9" t="s">
        <v>400</v>
      </c>
      <c r="G7608" s="10" t="s">
        <v>75</v>
      </c>
      <c r="H7608" s="9" t="s">
        <v>22</v>
      </c>
      <c r="I7608" s="9" t="s">
        <v>16925</v>
      </c>
      <c r="J7608" s="10" t="str">
        <f>HYPERLINK("https://www.boe.es/gazeta/dias/1834/07/08/pdfs/GMD-1834-141.pdf#page=4","Abrir facsímil")</f>
        <v>Abrir facsímil</v>
      </c>
      <c r="K7608" s="10" t="s">
        <v>24</v>
      </c>
    </row>
    <row r="7609" spans="1:11" ht="54" customHeight="1">
      <c r="A7609" s="9" t="s">
        <v>16926</v>
      </c>
      <c r="B7609" s="9" t="s">
        <v>16927</v>
      </c>
      <c r="C7609" s="9" t="s">
        <v>17</v>
      </c>
      <c r="D7609" s="9" t="s">
        <v>18</v>
      </c>
      <c r="E7609" s="10" t="s">
        <v>2203</v>
      </c>
      <c r="F7609" s="9" t="s">
        <v>3917</v>
      </c>
      <c r="G7609" s="10" t="s">
        <v>34</v>
      </c>
      <c r="H7609" s="9" t="s">
        <v>35</v>
      </c>
      <c r="I7609" s="9" t="s">
        <v>16928</v>
      </c>
      <c r="J7609" s="10" t="str">
        <f>HYPERLINK("https://www.boe.es/gazeta/dias/1834/09/10/pdfs/GMD-1834-208.pdf#page=1","Abrir facsímil")</f>
        <v>Abrir facsímil</v>
      </c>
      <c r="K7609" s="10" t="s">
        <v>37</v>
      </c>
    </row>
    <row r="7610" spans="1:11" ht="54" customHeight="1">
      <c r="A7610" s="9" t="s">
        <v>16929</v>
      </c>
      <c r="B7610" s="9" t="s">
        <v>16929</v>
      </c>
      <c r="C7610" s="9" t="s">
        <v>17</v>
      </c>
      <c r="D7610" s="9" t="s">
        <v>18</v>
      </c>
      <c r="E7610" s="10" t="s">
        <v>1262</v>
      </c>
      <c r="F7610" s="9" t="s">
        <v>1263</v>
      </c>
      <c r="G7610" s="10" t="s">
        <v>34</v>
      </c>
      <c r="H7610" s="9" t="s">
        <v>22</v>
      </c>
      <c r="I7610" s="9" t="s">
        <v>16930</v>
      </c>
      <c r="J7610" s="10" t="str">
        <f>HYPERLINK("https://www.boe.es/gazeta/dias/1834/02/01/pdfs/GMD-1834-15.pdf#page=1","Abrir facsímil")</f>
        <v>Abrir facsímil</v>
      </c>
      <c r="K7610" s="10" t="s">
        <v>24</v>
      </c>
    </row>
    <row r="7611" spans="1:11" ht="54" customHeight="1">
      <c r="A7611" s="9" t="s">
        <v>16929</v>
      </c>
      <c r="B7611" s="9" t="s">
        <v>16929</v>
      </c>
      <c r="C7611" s="9" t="s">
        <v>122</v>
      </c>
      <c r="D7611" s="9" t="s">
        <v>55</v>
      </c>
      <c r="E7611" s="10" t="s">
        <v>1262</v>
      </c>
      <c r="F7611" s="9" t="s">
        <v>1263</v>
      </c>
      <c r="G7611" s="10" t="s">
        <v>21</v>
      </c>
      <c r="H7611" s="9" t="s">
        <v>22</v>
      </c>
      <c r="I7611" s="9" t="s">
        <v>16931</v>
      </c>
      <c r="J7611" s="10" t="str">
        <f>HYPERLINK("https://www.boe.es/gazeta/dias/1834/02/01/pdfs/GMD-1834-15.pdf#page=3","Abrir facsímil")</f>
        <v>Abrir facsímil</v>
      </c>
      <c r="K7611" s="10" t="s">
        <v>24</v>
      </c>
    </row>
    <row r="7612" spans="1:11" ht="54" customHeight="1">
      <c r="A7612" s="9" t="s">
        <v>16929</v>
      </c>
      <c r="B7612" s="9" t="s">
        <v>16929</v>
      </c>
      <c r="C7612" s="9" t="s">
        <v>17</v>
      </c>
      <c r="D7612" s="9" t="s">
        <v>55</v>
      </c>
      <c r="E7612" s="10" t="s">
        <v>1025</v>
      </c>
      <c r="F7612" s="9" t="s">
        <v>1026</v>
      </c>
      <c r="G7612" s="10" t="s">
        <v>34</v>
      </c>
      <c r="H7612" s="9" t="s">
        <v>22</v>
      </c>
      <c r="I7612" s="9" t="s">
        <v>16932</v>
      </c>
      <c r="J7612" s="10" t="str">
        <f>HYPERLINK("https://www.boe.es/gazeta/dias/1834/03/01/pdfs/GMD-1834-27.pdf#page=1","Abrir facsímil")</f>
        <v>Abrir facsímil</v>
      </c>
      <c r="K7612" s="10" t="s">
        <v>24</v>
      </c>
    </row>
    <row r="7613" spans="1:11" ht="54" customHeight="1">
      <c r="A7613" s="9" t="s">
        <v>16929</v>
      </c>
      <c r="B7613" s="9" t="s">
        <v>16929</v>
      </c>
      <c r="C7613" s="9" t="s">
        <v>46</v>
      </c>
      <c r="D7613" s="9" t="s">
        <v>18</v>
      </c>
      <c r="E7613" s="10" t="s">
        <v>1025</v>
      </c>
      <c r="F7613" s="9" t="s">
        <v>1026</v>
      </c>
      <c r="G7613" s="10" t="s">
        <v>21</v>
      </c>
      <c r="H7613" s="9" t="s">
        <v>22</v>
      </c>
      <c r="I7613" s="9" t="s">
        <v>16933</v>
      </c>
      <c r="J7613" s="10" t="str">
        <f>HYPERLINK("https://www.boe.es/gazeta/dias/1834/03/01/pdfs/GMD-1834-27.pdf#page=3","Abrir facsímil")</f>
        <v>Abrir facsímil</v>
      </c>
      <c r="K7613" s="10" t="s">
        <v>24</v>
      </c>
    </row>
    <row r="7614" spans="1:11" ht="54" customHeight="1">
      <c r="A7614" s="9" t="s">
        <v>16929</v>
      </c>
      <c r="B7614" s="9" t="s">
        <v>16929</v>
      </c>
      <c r="C7614" s="9" t="s">
        <v>17</v>
      </c>
      <c r="D7614" s="9" t="s">
        <v>18</v>
      </c>
      <c r="E7614" s="10" t="s">
        <v>1333</v>
      </c>
      <c r="F7614" s="9" t="s">
        <v>1334</v>
      </c>
      <c r="G7614" s="10" t="s">
        <v>34</v>
      </c>
      <c r="H7614" s="9" t="s">
        <v>22</v>
      </c>
      <c r="I7614" s="9" t="s">
        <v>16934</v>
      </c>
      <c r="J7614" s="10" t="str">
        <f>HYPERLINK("https://www.boe.es/gazeta/dias/1834/04/01/pdfs/GMD-1834-40.pdf#page=1","Abrir facsímil")</f>
        <v>Abrir facsímil</v>
      </c>
      <c r="K7614" s="10" t="s">
        <v>24</v>
      </c>
    </row>
    <row r="7615" spans="1:11" ht="54" customHeight="1">
      <c r="A7615" s="9" t="s">
        <v>16929</v>
      </c>
      <c r="B7615" s="9" t="s">
        <v>16929</v>
      </c>
      <c r="C7615" s="9" t="s">
        <v>17</v>
      </c>
      <c r="D7615" s="9" t="s">
        <v>18</v>
      </c>
      <c r="E7615" s="10" t="s">
        <v>1333</v>
      </c>
      <c r="F7615" s="9" t="s">
        <v>1334</v>
      </c>
      <c r="G7615" s="10" t="s">
        <v>86</v>
      </c>
      <c r="H7615" s="9" t="s">
        <v>22</v>
      </c>
      <c r="I7615" s="9" t="s">
        <v>16935</v>
      </c>
      <c r="J7615" s="10" t="str">
        <f>HYPERLINK("https://www.boe.es/gazeta/dias/1834/04/01/pdfs/GMD-1834-40.pdf#page=2","Abrir facsímil")</f>
        <v>Abrir facsímil</v>
      </c>
      <c r="K7615" s="10" t="s">
        <v>24</v>
      </c>
    </row>
    <row r="7616" spans="1:11" ht="54" customHeight="1">
      <c r="A7616" s="9" t="s">
        <v>16929</v>
      </c>
      <c r="B7616" s="9" t="s">
        <v>16929</v>
      </c>
      <c r="C7616" s="9" t="s">
        <v>122</v>
      </c>
      <c r="D7616" s="9" t="s">
        <v>18</v>
      </c>
      <c r="E7616" s="10" t="s">
        <v>1333</v>
      </c>
      <c r="F7616" s="9" t="s">
        <v>1334</v>
      </c>
      <c r="G7616" s="10" t="s">
        <v>21</v>
      </c>
      <c r="H7616" s="9" t="s">
        <v>22</v>
      </c>
      <c r="I7616" s="9" t="s">
        <v>16936</v>
      </c>
      <c r="J7616" s="10" t="str">
        <f>HYPERLINK("https://www.boe.es/gazeta/dias/1834/04/01/pdfs/GMD-1834-40.pdf#page=3","Abrir facsímil")</f>
        <v>Abrir facsímil</v>
      </c>
      <c r="K7616" s="10" t="s">
        <v>24</v>
      </c>
    </row>
    <row r="7617" spans="1:11" ht="54" customHeight="1">
      <c r="A7617" s="9" t="s">
        <v>16929</v>
      </c>
      <c r="B7617" s="9" t="s">
        <v>16929</v>
      </c>
      <c r="C7617" s="9" t="s">
        <v>122</v>
      </c>
      <c r="D7617" s="9" t="s">
        <v>18</v>
      </c>
      <c r="E7617" s="10" t="s">
        <v>1333</v>
      </c>
      <c r="F7617" s="9" t="s">
        <v>1334</v>
      </c>
      <c r="G7617" s="10" t="s">
        <v>28</v>
      </c>
      <c r="H7617" s="9" t="s">
        <v>22</v>
      </c>
      <c r="I7617" s="9" t="s">
        <v>16937</v>
      </c>
      <c r="J7617" s="10" t="str">
        <f>HYPERLINK("https://www.boe.es/gazeta/dias/1834/04/01/pdfs/GMD-1834-40.pdf#page=5","Abrir facsímil")</f>
        <v>Abrir facsímil</v>
      </c>
      <c r="K7617" s="10" t="s">
        <v>24</v>
      </c>
    </row>
    <row r="7618" spans="1:11" ht="54" customHeight="1">
      <c r="A7618" s="9" t="s">
        <v>16929</v>
      </c>
      <c r="B7618" s="9" t="s">
        <v>16929</v>
      </c>
      <c r="C7618" s="9" t="s">
        <v>90</v>
      </c>
      <c r="D7618" s="9" t="s">
        <v>67</v>
      </c>
      <c r="E7618" s="10" t="s">
        <v>594</v>
      </c>
      <c r="F7618" s="9" t="s">
        <v>595</v>
      </c>
      <c r="G7618" s="10" t="s">
        <v>34</v>
      </c>
      <c r="H7618" s="9" t="s">
        <v>22</v>
      </c>
      <c r="I7618" s="9" t="s">
        <v>16938</v>
      </c>
      <c r="J7618" s="10" t="str">
        <f>HYPERLINK("https://www.boe.es/gazeta/dias/1834/06/01/pdfs/GMD-1834-102.pdf#page=1","Abrir facsímil")</f>
        <v>Abrir facsímil</v>
      </c>
      <c r="K7618" s="10" t="s">
        <v>24</v>
      </c>
    </row>
    <row r="7619" spans="1:11" ht="54" customHeight="1">
      <c r="A7619" s="9" t="s">
        <v>16929</v>
      </c>
      <c r="B7619" s="9" t="s">
        <v>16929</v>
      </c>
      <c r="C7619" s="9" t="s">
        <v>17</v>
      </c>
      <c r="D7619" s="9" t="s">
        <v>18</v>
      </c>
      <c r="E7619" s="10" t="s">
        <v>594</v>
      </c>
      <c r="F7619" s="9" t="s">
        <v>595</v>
      </c>
      <c r="G7619" s="10" t="s">
        <v>75</v>
      </c>
      <c r="H7619" s="9" t="s">
        <v>22</v>
      </c>
      <c r="I7619" s="9" t="s">
        <v>16939</v>
      </c>
      <c r="J7619" s="10" t="str">
        <f>HYPERLINK("https://www.boe.es/gazeta/dias/1834/06/01/pdfs/GMD-1834-102.pdf#page=4","Abrir facsímil")</f>
        <v>Abrir facsímil</v>
      </c>
      <c r="K7619" s="10" t="s">
        <v>24</v>
      </c>
    </row>
    <row r="7620" spans="1:11" ht="54" customHeight="1">
      <c r="A7620" s="9" t="s">
        <v>16929</v>
      </c>
      <c r="B7620" s="9" t="s">
        <v>16929</v>
      </c>
      <c r="C7620" s="9" t="s">
        <v>17</v>
      </c>
      <c r="D7620" s="9" t="s">
        <v>101</v>
      </c>
      <c r="E7620" s="10" t="s">
        <v>209</v>
      </c>
      <c r="F7620" s="9" t="s">
        <v>210</v>
      </c>
      <c r="G7620" s="10" t="s">
        <v>34</v>
      </c>
      <c r="H7620" s="9" t="s">
        <v>22</v>
      </c>
      <c r="I7620" s="9" t="s">
        <v>16940</v>
      </c>
      <c r="J7620" s="10" t="str">
        <f>HYPERLINK("https://www.boe.es/gazeta/dias/1834/07/01/pdfs/GMD-1834-134.pdf#page=1","Abrir facsímil")</f>
        <v>Abrir facsímil</v>
      </c>
      <c r="K7620" s="10" t="s">
        <v>24</v>
      </c>
    </row>
    <row r="7621" spans="1:11" ht="54" customHeight="1">
      <c r="A7621" s="9" t="s">
        <v>16929</v>
      </c>
      <c r="B7621" s="9" t="s">
        <v>16929</v>
      </c>
      <c r="C7621" s="9" t="s">
        <v>17</v>
      </c>
      <c r="D7621" s="9" t="s">
        <v>55</v>
      </c>
      <c r="E7621" s="10" t="s">
        <v>209</v>
      </c>
      <c r="F7621" s="9" t="s">
        <v>210</v>
      </c>
      <c r="G7621" s="10" t="s">
        <v>21</v>
      </c>
      <c r="H7621" s="9" t="s">
        <v>22</v>
      </c>
      <c r="I7621" s="9" t="s">
        <v>16941</v>
      </c>
      <c r="J7621" s="10" t="str">
        <f>HYPERLINK("https://www.boe.es/gazeta/dias/1834/07/01/pdfs/GMD-1834-134.pdf#page=3","Abrir facsímil")</f>
        <v>Abrir facsímil</v>
      </c>
      <c r="K7621" s="10" t="s">
        <v>24</v>
      </c>
    </row>
    <row r="7622" spans="1:11" ht="54" customHeight="1">
      <c r="A7622" s="9" t="s">
        <v>16929</v>
      </c>
      <c r="B7622" s="9" t="s">
        <v>16929</v>
      </c>
      <c r="C7622" s="9" t="s">
        <v>46</v>
      </c>
      <c r="D7622" s="9" t="s">
        <v>101</v>
      </c>
      <c r="E7622" s="10" t="s">
        <v>1297</v>
      </c>
      <c r="F7622" s="9" t="s">
        <v>1879</v>
      </c>
      <c r="G7622" s="10" t="s">
        <v>34</v>
      </c>
      <c r="H7622" s="9" t="s">
        <v>22</v>
      </c>
      <c r="I7622" s="9" t="s">
        <v>16942</v>
      </c>
      <c r="J7622" s="10" t="str">
        <f>HYPERLINK("https://www.boe.es/gazeta/dias/1834/08/01/pdfs/GMD-C-1834-165.pdf#page=1","Abrir facsímil")</f>
        <v>Abrir facsímil</v>
      </c>
      <c r="K7622" s="10" t="s">
        <v>24</v>
      </c>
    </row>
    <row r="7623" spans="1:11" ht="54" customHeight="1">
      <c r="A7623" s="9" t="s">
        <v>16929</v>
      </c>
      <c r="B7623" s="9" t="s">
        <v>16929</v>
      </c>
      <c r="C7623" s="9" t="s">
        <v>66</v>
      </c>
      <c r="D7623" s="9" t="s">
        <v>67</v>
      </c>
      <c r="E7623" s="10" t="s">
        <v>255</v>
      </c>
      <c r="F7623" s="9" t="s">
        <v>2368</v>
      </c>
      <c r="G7623" s="10" t="s">
        <v>34</v>
      </c>
      <c r="H7623" s="9" t="s">
        <v>22</v>
      </c>
      <c r="I7623" s="9" t="s">
        <v>16943</v>
      </c>
      <c r="J7623" s="10" t="str">
        <f>HYPERLINK("https://www.boe.es/gazeta/dias/1834/09/01/pdfs/GMD-1834-199.pdf#page=1","Abrir facsímil")</f>
        <v>Abrir facsímil</v>
      </c>
      <c r="K7623" s="10" t="s">
        <v>24</v>
      </c>
    </row>
    <row r="7624" spans="1:11" ht="54" customHeight="1">
      <c r="A7624" s="9" t="s">
        <v>16929</v>
      </c>
      <c r="B7624" s="9" t="s">
        <v>16929</v>
      </c>
      <c r="C7624" s="9" t="s">
        <v>17</v>
      </c>
      <c r="D7624" s="9" t="s">
        <v>18</v>
      </c>
      <c r="E7624" s="10" t="s">
        <v>255</v>
      </c>
      <c r="F7624" s="9" t="s">
        <v>256</v>
      </c>
      <c r="G7624" s="10" t="s">
        <v>34</v>
      </c>
      <c r="H7624" s="9" t="s">
        <v>22</v>
      </c>
      <c r="I7624" s="9" t="s">
        <v>16944</v>
      </c>
      <c r="J7624" s="10" t="str">
        <f>HYPERLINK("https://www.boe.es/gazeta/dias/1834/09/01/pdfs/GMD-C-1834-199.pdf#page=1","Abrir facsímil")</f>
        <v>Abrir facsímil</v>
      </c>
      <c r="K7624" s="10" t="s">
        <v>24</v>
      </c>
    </row>
    <row r="7625" spans="1:11" ht="54" customHeight="1">
      <c r="A7625" s="9" t="s">
        <v>16929</v>
      </c>
      <c r="B7625" s="9" t="s">
        <v>16929</v>
      </c>
      <c r="C7625" s="9" t="s">
        <v>46</v>
      </c>
      <c r="D7625" s="9" t="s">
        <v>101</v>
      </c>
      <c r="E7625" s="10" t="s">
        <v>255</v>
      </c>
      <c r="F7625" s="9" t="s">
        <v>256</v>
      </c>
      <c r="G7625" s="10" t="s">
        <v>21</v>
      </c>
      <c r="H7625" s="9" t="s">
        <v>22</v>
      </c>
      <c r="I7625" s="9" t="s">
        <v>16945</v>
      </c>
      <c r="J7625" s="10" t="str">
        <f>HYPERLINK("https://www.boe.es/gazeta/dias/1834/09/01/pdfs/GMD-D-1834-199.pdf#page=3","Abrir facsímil")</f>
        <v>Abrir facsímil</v>
      </c>
      <c r="K7625" s="10" t="s">
        <v>24</v>
      </c>
    </row>
    <row r="7626" spans="1:11" ht="54" customHeight="1">
      <c r="A7626" s="9" t="s">
        <v>16929</v>
      </c>
      <c r="B7626" s="9" t="s">
        <v>16929</v>
      </c>
      <c r="C7626" s="9" t="s">
        <v>122</v>
      </c>
      <c r="D7626" s="9" t="s">
        <v>18</v>
      </c>
      <c r="E7626" s="10" t="s">
        <v>158</v>
      </c>
      <c r="F7626" s="9" t="s">
        <v>159</v>
      </c>
      <c r="G7626" s="10" t="s">
        <v>34</v>
      </c>
      <c r="H7626" s="9" t="s">
        <v>22</v>
      </c>
      <c r="I7626" s="9" t="s">
        <v>16946</v>
      </c>
      <c r="J7626" s="10" t="str">
        <f>HYPERLINK("https://www.boe.es/gazeta/dias/1834/10/01/pdfs/GMD-1834-229.pdf#page=1","Abrir facsímil")</f>
        <v>Abrir facsímil</v>
      </c>
      <c r="K7626" s="10" t="s">
        <v>24</v>
      </c>
    </row>
    <row r="7627" spans="1:11" ht="54" customHeight="1">
      <c r="A7627" s="9" t="s">
        <v>16929</v>
      </c>
      <c r="B7627" s="9" t="s">
        <v>16929</v>
      </c>
      <c r="C7627" s="9" t="s">
        <v>17</v>
      </c>
      <c r="D7627" s="9" t="s">
        <v>55</v>
      </c>
      <c r="E7627" s="10" t="s">
        <v>158</v>
      </c>
      <c r="F7627" s="9" t="s">
        <v>159</v>
      </c>
      <c r="G7627" s="10" t="s">
        <v>21</v>
      </c>
      <c r="H7627" s="9" t="s">
        <v>22</v>
      </c>
      <c r="I7627" s="9" t="s">
        <v>16947</v>
      </c>
      <c r="J7627" s="10" t="str">
        <f>HYPERLINK("https://www.boe.es/gazeta/dias/1834/10/01/pdfs/GMD-1834-229.pdf#page=3","Abrir facsímil")</f>
        <v>Abrir facsímil</v>
      </c>
      <c r="K7627" s="10" t="s">
        <v>24</v>
      </c>
    </row>
    <row r="7628" spans="1:11" ht="54" customHeight="1">
      <c r="A7628" s="9" t="s">
        <v>16929</v>
      </c>
      <c r="B7628" s="9" t="s">
        <v>16929</v>
      </c>
      <c r="C7628" s="9" t="s">
        <v>17</v>
      </c>
      <c r="D7628" s="9" t="s">
        <v>101</v>
      </c>
      <c r="E7628" s="10" t="s">
        <v>1337</v>
      </c>
      <c r="F7628" s="9" t="s">
        <v>1338</v>
      </c>
      <c r="G7628" s="10" t="s">
        <v>34</v>
      </c>
      <c r="H7628" s="9" t="s">
        <v>22</v>
      </c>
      <c r="I7628" s="9" t="s">
        <v>16948</v>
      </c>
      <c r="J7628" s="10" t="str">
        <f>HYPERLINK("https://www.boe.es/gazeta/dias/1834/01/02/pdfs/GMD-1834-1.pdf#page=1","Abrir facsímil")</f>
        <v>Abrir facsímil</v>
      </c>
      <c r="K7628" s="10" t="s">
        <v>24</v>
      </c>
    </row>
    <row r="7629" spans="1:11" ht="54" customHeight="1">
      <c r="A7629" s="9" t="s">
        <v>16929</v>
      </c>
      <c r="B7629" s="9" t="s">
        <v>16929</v>
      </c>
      <c r="C7629" s="9" t="s">
        <v>122</v>
      </c>
      <c r="D7629" s="9" t="s">
        <v>101</v>
      </c>
      <c r="E7629" s="10" t="s">
        <v>976</v>
      </c>
      <c r="F7629" s="9" t="s">
        <v>977</v>
      </c>
      <c r="G7629" s="10" t="s">
        <v>34</v>
      </c>
      <c r="H7629" s="9" t="s">
        <v>22</v>
      </c>
      <c r="I7629" s="9" t="s">
        <v>16949</v>
      </c>
      <c r="J7629" s="10" t="str">
        <f>HYPERLINK("https://www.boe.es/gazeta/dias/1834/04/02/pdfs/GMD-1834-41.pdf#page=1","Abrir facsímil")</f>
        <v>Abrir facsímil</v>
      </c>
      <c r="K7629" s="10" t="s">
        <v>24</v>
      </c>
    </row>
    <row r="7630" spans="1:11" ht="54" customHeight="1">
      <c r="A7630" s="9" t="s">
        <v>16929</v>
      </c>
      <c r="B7630" s="9" t="s">
        <v>16929</v>
      </c>
      <c r="C7630" s="9" t="s">
        <v>66</v>
      </c>
      <c r="D7630" s="9" t="s">
        <v>67</v>
      </c>
      <c r="E7630" s="10" t="s">
        <v>976</v>
      </c>
      <c r="F7630" s="9" t="s">
        <v>977</v>
      </c>
      <c r="G7630" s="10" t="s">
        <v>75</v>
      </c>
      <c r="H7630" s="9" t="s">
        <v>22</v>
      </c>
      <c r="I7630" s="9" t="s">
        <v>16950</v>
      </c>
      <c r="J7630" s="10" t="str">
        <f>HYPERLINK("https://www.boe.es/gazeta/dias/1834/04/02/pdfs/GMD-1834-41.pdf#page=4","Abrir facsímil")</f>
        <v>Abrir facsímil</v>
      </c>
      <c r="K7630" s="10" t="s">
        <v>24</v>
      </c>
    </row>
    <row r="7631" spans="1:11" ht="54" customHeight="1">
      <c r="A7631" s="9" t="s">
        <v>16929</v>
      </c>
      <c r="B7631" s="9" t="s">
        <v>16929</v>
      </c>
      <c r="C7631" s="9" t="s">
        <v>17</v>
      </c>
      <c r="D7631" s="9" t="s">
        <v>18</v>
      </c>
      <c r="E7631" s="10" t="s">
        <v>976</v>
      </c>
      <c r="F7631" s="9" t="s">
        <v>1061</v>
      </c>
      <c r="G7631" s="10" t="s">
        <v>34</v>
      </c>
      <c r="H7631" s="9" t="s">
        <v>22</v>
      </c>
      <c r="I7631" s="9" t="s">
        <v>16951</v>
      </c>
      <c r="J7631" s="10" t="str">
        <f>HYPERLINK("https://www.boe.es/gazeta/dias/1834/04/02/pdfs/GMD-C-1834-41.pdf#page=1","Abrir facsímil")</f>
        <v>Abrir facsímil</v>
      </c>
      <c r="K7631" s="10" t="s">
        <v>24</v>
      </c>
    </row>
    <row r="7632" spans="1:11" ht="54" customHeight="1">
      <c r="A7632" s="9" t="s">
        <v>16929</v>
      </c>
      <c r="B7632" s="9" t="s">
        <v>16929</v>
      </c>
      <c r="C7632" s="9" t="s">
        <v>17</v>
      </c>
      <c r="D7632" s="9" t="s">
        <v>18</v>
      </c>
      <c r="E7632" s="10" t="s">
        <v>339</v>
      </c>
      <c r="F7632" s="9" t="s">
        <v>340</v>
      </c>
      <c r="G7632" s="10" t="s">
        <v>34</v>
      </c>
      <c r="H7632" s="9" t="s">
        <v>22</v>
      </c>
      <c r="I7632" s="9" t="s">
        <v>16952</v>
      </c>
      <c r="J7632" s="10" t="str">
        <f>HYPERLINK("https://www.boe.es/gazeta/dias/1834/05/02/pdfs/GMD-1834-71.pdf#page=1","Abrir facsímil")</f>
        <v>Abrir facsímil</v>
      </c>
      <c r="K7632" s="10" t="s">
        <v>24</v>
      </c>
    </row>
    <row r="7633" spans="1:11" ht="54" customHeight="1">
      <c r="A7633" s="9" t="s">
        <v>16929</v>
      </c>
      <c r="B7633" s="9" t="s">
        <v>16929</v>
      </c>
      <c r="C7633" s="9" t="s">
        <v>46</v>
      </c>
      <c r="D7633" s="9" t="s">
        <v>101</v>
      </c>
      <c r="E7633" s="10" t="s">
        <v>339</v>
      </c>
      <c r="F7633" s="9" t="s">
        <v>340</v>
      </c>
      <c r="G7633" s="10" t="s">
        <v>86</v>
      </c>
      <c r="H7633" s="9" t="s">
        <v>22</v>
      </c>
      <c r="I7633" s="9" t="s">
        <v>16953</v>
      </c>
      <c r="J7633" s="10" t="str">
        <f>HYPERLINK("https://www.boe.es/gazeta/dias/1834/05/02/pdfs/GMD-1834-71.pdf#page=2","Abrir facsímil")</f>
        <v>Abrir facsímil</v>
      </c>
      <c r="K7633" s="10" t="s">
        <v>24</v>
      </c>
    </row>
    <row r="7634" spans="1:11" ht="54" customHeight="1">
      <c r="A7634" s="9" t="s">
        <v>16929</v>
      </c>
      <c r="B7634" s="9" t="s">
        <v>16929</v>
      </c>
      <c r="C7634" s="9" t="s">
        <v>17</v>
      </c>
      <c r="D7634" s="9" t="s">
        <v>18</v>
      </c>
      <c r="E7634" s="10" t="s">
        <v>2053</v>
      </c>
      <c r="F7634" s="9" t="s">
        <v>2054</v>
      </c>
      <c r="G7634" s="10" t="s">
        <v>75</v>
      </c>
      <c r="H7634" s="9" t="s">
        <v>22</v>
      </c>
      <c r="I7634" s="9" t="s">
        <v>16954</v>
      </c>
      <c r="J7634" s="10" t="str">
        <f>HYPERLINK("https://www.boe.es/gazeta/dias/1834/06/02/pdfs/GMD-1834-103.pdf#page=4","Abrir facsímil")</f>
        <v>Abrir facsímil</v>
      </c>
      <c r="K7634" s="10" t="s">
        <v>24</v>
      </c>
    </row>
    <row r="7635" spans="1:11" ht="54" customHeight="1">
      <c r="A7635" s="9" t="s">
        <v>16929</v>
      </c>
      <c r="B7635" s="9" t="s">
        <v>16929</v>
      </c>
      <c r="C7635" s="9" t="s">
        <v>17</v>
      </c>
      <c r="D7635" s="9" t="s">
        <v>18</v>
      </c>
      <c r="E7635" s="10" t="s">
        <v>2729</v>
      </c>
      <c r="F7635" s="9" t="s">
        <v>2730</v>
      </c>
      <c r="G7635" s="10" t="s">
        <v>21</v>
      </c>
      <c r="H7635" s="9" t="s">
        <v>22</v>
      </c>
      <c r="I7635" s="9" t="s">
        <v>16955</v>
      </c>
      <c r="J7635" s="10" t="str">
        <f>HYPERLINK("https://www.boe.es/gazeta/dias/1834/07/02/pdfs/GMD-1834-135.pdf#page=3","Abrir facsímil")</f>
        <v>Abrir facsímil</v>
      </c>
      <c r="K7635" s="10" t="s">
        <v>24</v>
      </c>
    </row>
    <row r="7636" spans="1:11" ht="54" customHeight="1">
      <c r="A7636" s="9" t="s">
        <v>16929</v>
      </c>
      <c r="B7636" s="9" t="s">
        <v>16929</v>
      </c>
      <c r="C7636" s="9" t="s">
        <v>17</v>
      </c>
      <c r="D7636" s="9" t="s">
        <v>18</v>
      </c>
      <c r="E7636" s="10" t="s">
        <v>905</v>
      </c>
      <c r="F7636" s="9" t="s">
        <v>906</v>
      </c>
      <c r="G7636" s="10" t="s">
        <v>86</v>
      </c>
      <c r="H7636" s="9" t="s">
        <v>22</v>
      </c>
      <c r="I7636" s="9" t="s">
        <v>16956</v>
      </c>
      <c r="J7636" s="10" t="str">
        <f>HYPERLINK("https://www.boe.es/gazeta/dias/1834/08/02/pdfs/GMD-C-1834-166.pdf#page=2","Abrir facsímil")</f>
        <v>Abrir facsímil</v>
      </c>
      <c r="K7636" s="10" t="s">
        <v>24</v>
      </c>
    </row>
    <row r="7637" spans="1:11" ht="54" customHeight="1">
      <c r="A7637" s="9" t="s">
        <v>16929</v>
      </c>
      <c r="B7637" s="9" t="s">
        <v>16929</v>
      </c>
      <c r="C7637" s="9" t="s">
        <v>17</v>
      </c>
      <c r="D7637" s="9" t="s">
        <v>18</v>
      </c>
      <c r="E7637" s="10" t="s">
        <v>4105</v>
      </c>
      <c r="F7637" s="9" t="s">
        <v>4106</v>
      </c>
      <c r="G7637" s="10" t="s">
        <v>86</v>
      </c>
      <c r="H7637" s="9" t="s">
        <v>22</v>
      </c>
      <c r="I7637" s="9" t="s">
        <v>16957</v>
      </c>
      <c r="J7637" s="10" t="str">
        <f>HYPERLINK("https://www.boe.es/gazeta/dias/1834/09/02/pdfs/GMD-C-1834-200.pdf#page=2","Abrir facsímil")</f>
        <v>Abrir facsímil</v>
      </c>
      <c r="K7637" s="10" t="s">
        <v>24</v>
      </c>
    </row>
    <row r="7638" spans="1:11" ht="54" customHeight="1">
      <c r="A7638" s="9" t="s">
        <v>16929</v>
      </c>
      <c r="B7638" s="9" t="s">
        <v>16929</v>
      </c>
      <c r="C7638" s="9" t="s">
        <v>17</v>
      </c>
      <c r="D7638" s="9" t="s">
        <v>18</v>
      </c>
      <c r="E7638" s="10" t="s">
        <v>416</v>
      </c>
      <c r="F7638" s="9" t="s">
        <v>1130</v>
      </c>
      <c r="G7638" s="10" t="s">
        <v>34</v>
      </c>
      <c r="H7638" s="9" t="s">
        <v>22</v>
      </c>
      <c r="I7638" s="9" t="s">
        <v>16958</v>
      </c>
      <c r="J7638" s="10" t="str">
        <f>HYPERLINK("https://www.boe.es/gazeta/dias/1834/10/02/pdfs/GMD-1834-230.pdf#page=1","Abrir facsímil")</f>
        <v>Abrir facsímil</v>
      </c>
      <c r="K7638" s="10" t="s">
        <v>24</v>
      </c>
    </row>
    <row r="7639" spans="1:11" ht="54" customHeight="1">
      <c r="A7639" s="9" t="s">
        <v>16929</v>
      </c>
      <c r="B7639" s="9" t="s">
        <v>16929</v>
      </c>
      <c r="C7639" s="9" t="s">
        <v>122</v>
      </c>
      <c r="D7639" s="9" t="s">
        <v>18</v>
      </c>
      <c r="E7639" s="10" t="s">
        <v>416</v>
      </c>
      <c r="F7639" s="9" t="s">
        <v>1130</v>
      </c>
      <c r="G7639" s="10" t="s">
        <v>75</v>
      </c>
      <c r="H7639" s="9" t="s">
        <v>22</v>
      </c>
      <c r="I7639" s="9" t="s">
        <v>16959</v>
      </c>
      <c r="J7639" s="10" t="str">
        <f>HYPERLINK("https://www.boe.es/gazeta/dias/1834/10/02/pdfs/GMD-1834-230.pdf#page=4","Abrir facsímil")</f>
        <v>Abrir facsímil</v>
      </c>
      <c r="K7639" s="10" t="s">
        <v>24</v>
      </c>
    </row>
    <row r="7640" spans="1:11" ht="54" customHeight="1">
      <c r="A7640" s="9" t="s">
        <v>16929</v>
      </c>
      <c r="B7640" s="9" t="s">
        <v>16929</v>
      </c>
      <c r="C7640" s="9" t="s">
        <v>46</v>
      </c>
      <c r="D7640" s="9" t="s">
        <v>101</v>
      </c>
      <c r="E7640" s="10" t="s">
        <v>4527</v>
      </c>
      <c r="F7640" s="9" t="s">
        <v>4528</v>
      </c>
      <c r="G7640" s="10" t="s">
        <v>34</v>
      </c>
      <c r="H7640" s="9" t="s">
        <v>22</v>
      </c>
      <c r="I7640" s="9" t="s">
        <v>16960</v>
      </c>
      <c r="J7640" s="10" t="str">
        <f>HYPERLINK("https://www.boe.es/gazeta/dias/1834/05/03/pdfs/GMD-1834-72.pdf#page=1","Abrir facsímil")</f>
        <v>Abrir facsímil</v>
      </c>
      <c r="K7640" s="10" t="s">
        <v>24</v>
      </c>
    </row>
    <row r="7641" spans="1:11" ht="54" customHeight="1">
      <c r="A7641" s="9" t="s">
        <v>16929</v>
      </c>
      <c r="B7641" s="9" t="s">
        <v>16929</v>
      </c>
      <c r="C7641" s="9" t="s">
        <v>46</v>
      </c>
      <c r="D7641" s="9" t="s">
        <v>101</v>
      </c>
      <c r="E7641" s="10" t="s">
        <v>1653</v>
      </c>
      <c r="F7641" s="9" t="s">
        <v>1654</v>
      </c>
      <c r="G7641" s="10" t="s">
        <v>34</v>
      </c>
      <c r="H7641" s="9" t="s">
        <v>22</v>
      </c>
      <c r="I7641" s="9" t="s">
        <v>16961</v>
      </c>
      <c r="J7641" s="10" t="str">
        <f>HYPERLINK("https://www.boe.es/gazeta/dias/1834/07/03/pdfs/GMD-1834-136.pdf#page=1","Abrir facsímil")</f>
        <v>Abrir facsímil</v>
      </c>
      <c r="K7641" s="10" t="s">
        <v>24</v>
      </c>
    </row>
    <row r="7642" spans="1:11" ht="54" customHeight="1">
      <c r="A7642" s="9" t="s">
        <v>16929</v>
      </c>
      <c r="B7642" s="9" t="s">
        <v>16929</v>
      </c>
      <c r="C7642" s="9" t="s">
        <v>17</v>
      </c>
      <c r="D7642" s="9" t="s">
        <v>18</v>
      </c>
      <c r="E7642" s="10" t="s">
        <v>3066</v>
      </c>
      <c r="F7642" s="9" t="s">
        <v>3188</v>
      </c>
      <c r="G7642" s="10" t="s">
        <v>34</v>
      </c>
      <c r="H7642" s="9" t="s">
        <v>22</v>
      </c>
      <c r="I7642" s="9" t="s">
        <v>16962</v>
      </c>
      <c r="J7642" s="10" t="str">
        <f>HYPERLINK("https://www.boe.es/gazeta/dias/1834/08/03/pdfs/I00721-00722.pdf#page=1","Abrir facsímil")</f>
        <v>Abrir facsímil</v>
      </c>
      <c r="K7642" s="10" t="s">
        <v>24</v>
      </c>
    </row>
    <row r="7643" spans="1:11" ht="54" customHeight="1">
      <c r="A7643" s="9" t="s">
        <v>16929</v>
      </c>
      <c r="B7643" s="9" t="s">
        <v>16929</v>
      </c>
      <c r="C7643" s="9" t="s">
        <v>17</v>
      </c>
      <c r="D7643" s="9" t="s">
        <v>18</v>
      </c>
      <c r="E7643" s="10" t="s">
        <v>3066</v>
      </c>
      <c r="F7643" s="9" t="s">
        <v>3188</v>
      </c>
      <c r="G7643" s="10" t="s">
        <v>21</v>
      </c>
      <c r="H7643" s="9" t="s">
        <v>22</v>
      </c>
      <c r="I7643" s="9" t="s">
        <v>16963</v>
      </c>
      <c r="J7643" s="10" t="str">
        <f>HYPERLINK("https://www.boe.es/gazeta/dias/1834/08/03/pdfs/GMD-1834-167.pdf#page=3","Abrir facsímil")</f>
        <v>Abrir facsímil</v>
      </c>
      <c r="K7643" s="10" t="s">
        <v>24</v>
      </c>
    </row>
    <row r="7644" spans="1:11" ht="54" customHeight="1">
      <c r="A7644" s="9" t="s">
        <v>16929</v>
      </c>
      <c r="B7644" s="9" t="s">
        <v>16929</v>
      </c>
      <c r="C7644" s="9" t="s">
        <v>46</v>
      </c>
      <c r="D7644" s="9" t="s">
        <v>101</v>
      </c>
      <c r="E7644" s="10" t="s">
        <v>3066</v>
      </c>
      <c r="F7644" s="9" t="s">
        <v>3067</v>
      </c>
      <c r="G7644" s="10" t="s">
        <v>34</v>
      </c>
      <c r="H7644" s="9" t="s">
        <v>22</v>
      </c>
      <c r="I7644" s="9" t="s">
        <v>16964</v>
      </c>
      <c r="J7644" s="10" t="str">
        <f>HYPERLINK("https://www.boe.es/gazeta/dias/1834/08/03/pdfs/GMD-C-1834-167.pdf#page=1","Abrir facsímil")</f>
        <v>Abrir facsímil</v>
      </c>
      <c r="K7644" s="10" t="s">
        <v>24</v>
      </c>
    </row>
    <row r="7645" spans="1:11" ht="54" customHeight="1">
      <c r="A7645" s="9" t="s">
        <v>16929</v>
      </c>
      <c r="B7645" s="9" t="s">
        <v>16929</v>
      </c>
      <c r="C7645" s="9" t="s">
        <v>46</v>
      </c>
      <c r="D7645" s="9" t="s">
        <v>101</v>
      </c>
      <c r="E7645" s="10" t="s">
        <v>3066</v>
      </c>
      <c r="F7645" s="9" t="s">
        <v>3067</v>
      </c>
      <c r="G7645" s="10" t="s">
        <v>86</v>
      </c>
      <c r="H7645" s="9" t="s">
        <v>22</v>
      </c>
      <c r="I7645" s="9" t="s">
        <v>16965</v>
      </c>
      <c r="J7645" s="10" t="str">
        <f>HYPERLINK("https://www.boe.es/gazeta/dias/1834/08/03/pdfs/GMD-C-1834-167.pdf#page=2","Abrir facsímil")</f>
        <v>Abrir facsímil</v>
      </c>
      <c r="K7645" s="10" t="s">
        <v>24</v>
      </c>
    </row>
    <row r="7646" spans="1:11" ht="54" customHeight="1">
      <c r="A7646" s="9" t="s">
        <v>16929</v>
      </c>
      <c r="B7646" s="9" t="s">
        <v>16929</v>
      </c>
      <c r="C7646" s="9" t="s">
        <v>17</v>
      </c>
      <c r="D7646" s="9" t="s">
        <v>18</v>
      </c>
      <c r="E7646" s="10" t="s">
        <v>3066</v>
      </c>
      <c r="F7646" s="9" t="s">
        <v>3067</v>
      </c>
      <c r="G7646" s="10" t="s">
        <v>21</v>
      </c>
      <c r="H7646" s="9" t="s">
        <v>22</v>
      </c>
      <c r="I7646" s="9" t="s">
        <v>16966</v>
      </c>
      <c r="J7646" s="10" t="str">
        <f>HYPERLINK("https://www.boe.es/gazeta/dias/1834/08/03/pdfs/GMD-C-1834-167.pdf#page=3","Abrir facsímil")</f>
        <v>Abrir facsímil</v>
      </c>
      <c r="K7646" s="10" t="s">
        <v>24</v>
      </c>
    </row>
    <row r="7647" spans="1:11" ht="54" customHeight="1">
      <c r="A7647" s="9" t="s">
        <v>16929</v>
      </c>
      <c r="B7647" s="9" t="s">
        <v>16929</v>
      </c>
      <c r="C7647" s="9" t="s">
        <v>66</v>
      </c>
      <c r="D7647" s="9" t="s">
        <v>67</v>
      </c>
      <c r="E7647" s="10" t="s">
        <v>690</v>
      </c>
      <c r="F7647" s="9" t="s">
        <v>5765</v>
      </c>
      <c r="G7647" s="10" t="s">
        <v>21</v>
      </c>
      <c r="H7647" s="9" t="s">
        <v>22</v>
      </c>
      <c r="I7647" s="9" t="s">
        <v>16967</v>
      </c>
      <c r="J7647" s="10" t="str">
        <f>HYPERLINK("https://www.boe.es/gazeta/dias/1834/09/03/pdfs/GMD-1834-201.pdf#page=3","Abrir facsímil")</f>
        <v>Abrir facsímil</v>
      </c>
      <c r="K7647" s="10" t="s">
        <v>24</v>
      </c>
    </row>
    <row r="7648" spans="1:11" ht="54" customHeight="1">
      <c r="A7648" s="9" t="s">
        <v>16929</v>
      </c>
      <c r="B7648" s="9" t="s">
        <v>16929</v>
      </c>
      <c r="C7648" s="9" t="s">
        <v>17</v>
      </c>
      <c r="D7648" s="9" t="s">
        <v>18</v>
      </c>
      <c r="E7648" s="10" t="s">
        <v>758</v>
      </c>
      <c r="F7648" s="9" t="s">
        <v>759</v>
      </c>
      <c r="G7648" s="10" t="s">
        <v>34</v>
      </c>
      <c r="H7648" s="9" t="s">
        <v>22</v>
      </c>
      <c r="I7648" s="9" t="s">
        <v>16968</v>
      </c>
      <c r="J7648" s="10" t="str">
        <f>HYPERLINK("https://www.boe.es/gazeta/dias/1834/01/04/pdfs/GMD-1834-3.pdf#page=1","Abrir facsímil")</f>
        <v>Abrir facsímil</v>
      </c>
      <c r="K7648" s="10" t="s">
        <v>24</v>
      </c>
    </row>
    <row r="7649" spans="1:11" ht="54" customHeight="1">
      <c r="A7649" s="9" t="s">
        <v>16929</v>
      </c>
      <c r="B7649" s="9" t="s">
        <v>16929</v>
      </c>
      <c r="C7649" s="9" t="s">
        <v>17</v>
      </c>
      <c r="D7649" s="9" t="s">
        <v>18</v>
      </c>
      <c r="E7649" s="10" t="s">
        <v>758</v>
      </c>
      <c r="F7649" s="9" t="s">
        <v>759</v>
      </c>
      <c r="G7649" s="10" t="s">
        <v>21</v>
      </c>
      <c r="H7649" s="9" t="s">
        <v>22</v>
      </c>
      <c r="I7649" s="9" t="s">
        <v>16969</v>
      </c>
      <c r="J7649" s="10" t="str">
        <f>HYPERLINK("https://www.boe.es/gazeta/dias/1834/01/04/pdfs/GMD-1834-3.pdf#page=3","Abrir facsímil")</f>
        <v>Abrir facsímil</v>
      </c>
      <c r="K7649" s="10" t="s">
        <v>24</v>
      </c>
    </row>
    <row r="7650" spans="1:11" ht="54" customHeight="1">
      <c r="A7650" s="9" t="s">
        <v>16929</v>
      </c>
      <c r="B7650" s="9" t="s">
        <v>16929</v>
      </c>
      <c r="C7650" s="9" t="s">
        <v>17</v>
      </c>
      <c r="D7650" s="9" t="s">
        <v>18</v>
      </c>
      <c r="E7650" s="10" t="s">
        <v>758</v>
      </c>
      <c r="F7650" s="9" t="s">
        <v>759</v>
      </c>
      <c r="G7650" s="10" t="s">
        <v>75</v>
      </c>
      <c r="H7650" s="9" t="s">
        <v>22</v>
      </c>
      <c r="I7650" s="9" t="s">
        <v>16970</v>
      </c>
      <c r="J7650" s="10" t="str">
        <f>HYPERLINK("https://www.boe.es/gazeta/dias/1834/01/04/pdfs/GMD-1834-3.pdf#page=4","Abrir facsímil")</f>
        <v>Abrir facsímil</v>
      </c>
      <c r="K7650" s="10" t="s">
        <v>24</v>
      </c>
    </row>
    <row r="7651" spans="1:11" ht="54" customHeight="1">
      <c r="A7651" s="9" t="s">
        <v>16929</v>
      </c>
      <c r="B7651" s="9" t="s">
        <v>16929</v>
      </c>
      <c r="C7651" s="9" t="s">
        <v>17</v>
      </c>
      <c r="D7651" s="9" t="s">
        <v>18</v>
      </c>
      <c r="E7651" s="10" t="s">
        <v>1862</v>
      </c>
      <c r="F7651" s="9" t="s">
        <v>1863</v>
      </c>
      <c r="G7651" s="10" t="s">
        <v>34</v>
      </c>
      <c r="H7651" s="9" t="s">
        <v>22</v>
      </c>
      <c r="I7651" s="9" t="s">
        <v>16971</v>
      </c>
      <c r="J7651" s="10" t="str">
        <f>HYPERLINK("https://www.boe.es/gazeta/dias/1834/02/04/pdfs/GMD-1834-16.pdf#page=1","Abrir facsímil")</f>
        <v>Abrir facsímil</v>
      </c>
      <c r="K7651" s="10" t="s">
        <v>24</v>
      </c>
    </row>
    <row r="7652" spans="1:11" ht="54" customHeight="1">
      <c r="A7652" s="9" t="s">
        <v>16929</v>
      </c>
      <c r="B7652" s="9" t="s">
        <v>16929</v>
      </c>
      <c r="C7652" s="9" t="s">
        <v>90</v>
      </c>
      <c r="D7652" s="9" t="s">
        <v>55</v>
      </c>
      <c r="E7652" s="10" t="s">
        <v>1862</v>
      </c>
      <c r="F7652" s="9" t="s">
        <v>1863</v>
      </c>
      <c r="G7652" s="10" t="s">
        <v>86</v>
      </c>
      <c r="H7652" s="9" t="s">
        <v>22</v>
      </c>
      <c r="I7652" s="9" t="s">
        <v>16972</v>
      </c>
      <c r="J7652" s="10" t="str">
        <f>HYPERLINK("https://www.boe.es/gazeta/dias/1834/02/04/pdfs/GMD-1834-16.pdf#page=2","Abrir facsímil")</f>
        <v>Abrir facsímil</v>
      </c>
      <c r="K7652" s="10" t="s">
        <v>24</v>
      </c>
    </row>
    <row r="7653" spans="1:11" ht="54" customHeight="1">
      <c r="A7653" s="9" t="s">
        <v>16929</v>
      </c>
      <c r="B7653" s="9" t="s">
        <v>16929</v>
      </c>
      <c r="C7653" s="9" t="s">
        <v>17</v>
      </c>
      <c r="D7653" s="9" t="s">
        <v>101</v>
      </c>
      <c r="E7653" s="10" t="s">
        <v>506</v>
      </c>
      <c r="F7653" s="9" t="s">
        <v>507</v>
      </c>
      <c r="G7653" s="10" t="s">
        <v>34</v>
      </c>
      <c r="H7653" s="9" t="s">
        <v>22</v>
      </c>
      <c r="I7653" s="9" t="s">
        <v>16973</v>
      </c>
      <c r="J7653" s="10" t="str">
        <f>HYPERLINK("https://www.boe.es/gazeta/dias/1834/03/04/pdfs/GMD-1834-28.pdf#page=1","Abrir facsímil")</f>
        <v>Abrir facsímil</v>
      </c>
      <c r="K7653" s="10" t="s">
        <v>24</v>
      </c>
    </row>
    <row r="7654" spans="1:11" ht="54" customHeight="1">
      <c r="A7654" s="9" t="s">
        <v>16929</v>
      </c>
      <c r="B7654" s="9" t="s">
        <v>16929</v>
      </c>
      <c r="C7654" s="9" t="s">
        <v>17</v>
      </c>
      <c r="D7654" s="9" t="s">
        <v>18</v>
      </c>
      <c r="E7654" s="10" t="s">
        <v>506</v>
      </c>
      <c r="F7654" s="9" t="s">
        <v>507</v>
      </c>
      <c r="G7654" s="10" t="s">
        <v>86</v>
      </c>
      <c r="H7654" s="9" t="s">
        <v>22</v>
      </c>
      <c r="I7654" s="9" t="s">
        <v>16974</v>
      </c>
      <c r="J7654" s="10" t="str">
        <f>HYPERLINK("https://www.boe.es/gazeta/dias/1834/03/04/pdfs/GMD-1834-28.pdf#page=2","Abrir facsímil")</f>
        <v>Abrir facsímil</v>
      </c>
      <c r="K7654" s="10" t="s">
        <v>24</v>
      </c>
    </row>
    <row r="7655" spans="1:11" ht="54" customHeight="1">
      <c r="A7655" s="9" t="s">
        <v>16929</v>
      </c>
      <c r="B7655" s="9" t="s">
        <v>16929</v>
      </c>
      <c r="C7655" s="9" t="s">
        <v>46</v>
      </c>
      <c r="D7655" s="9" t="s">
        <v>18</v>
      </c>
      <c r="E7655" s="10" t="s">
        <v>506</v>
      </c>
      <c r="F7655" s="9" t="s">
        <v>507</v>
      </c>
      <c r="G7655" s="10" t="s">
        <v>75</v>
      </c>
      <c r="H7655" s="9" t="s">
        <v>22</v>
      </c>
      <c r="I7655" s="9" t="s">
        <v>16975</v>
      </c>
      <c r="J7655" s="10" t="str">
        <f>HYPERLINK("https://www.boe.es/gazeta/dias/1834/03/04/pdfs/GMD-1834-28.pdf#page=4","Abrir facsímil")</f>
        <v>Abrir facsímil</v>
      </c>
      <c r="K7655" s="10" t="s">
        <v>24</v>
      </c>
    </row>
    <row r="7656" spans="1:11" ht="54" customHeight="1">
      <c r="A7656" s="9" t="s">
        <v>16929</v>
      </c>
      <c r="B7656" s="9" t="s">
        <v>16929</v>
      </c>
      <c r="C7656" s="9" t="s">
        <v>90</v>
      </c>
      <c r="D7656" s="9" t="s">
        <v>67</v>
      </c>
      <c r="E7656" s="10" t="s">
        <v>2459</v>
      </c>
      <c r="F7656" s="9" t="s">
        <v>2460</v>
      </c>
      <c r="G7656" s="10" t="s">
        <v>34</v>
      </c>
      <c r="H7656" s="9" t="s">
        <v>22</v>
      </c>
      <c r="I7656" s="9" t="s">
        <v>16976</v>
      </c>
      <c r="J7656" s="10" t="str">
        <f>HYPERLINK("https://www.boe.es/gazeta/dias/1834/04/04/pdfs/GMD-1834-43.pdf#page=1","Abrir facsímil")</f>
        <v>Abrir facsímil</v>
      </c>
      <c r="K7656" s="10" t="s">
        <v>24</v>
      </c>
    </row>
    <row r="7657" spans="1:11" ht="54" customHeight="1">
      <c r="A7657" s="9" t="s">
        <v>16929</v>
      </c>
      <c r="B7657" s="9" t="s">
        <v>16929</v>
      </c>
      <c r="C7657" s="9" t="s">
        <v>17</v>
      </c>
      <c r="D7657" s="9" t="s">
        <v>18</v>
      </c>
      <c r="E7657" s="10" t="s">
        <v>2459</v>
      </c>
      <c r="F7657" s="9" t="s">
        <v>2460</v>
      </c>
      <c r="G7657" s="10" t="s">
        <v>21</v>
      </c>
      <c r="H7657" s="9" t="s">
        <v>22</v>
      </c>
      <c r="I7657" s="9" t="s">
        <v>16977</v>
      </c>
      <c r="J7657" s="10" t="str">
        <f>HYPERLINK("https://www.boe.es/gazeta/dias/1834/04/04/pdfs/GMD-1834-43.pdf#page=3","Abrir facsímil")</f>
        <v>Abrir facsímil</v>
      </c>
      <c r="K7657" s="10" t="s">
        <v>24</v>
      </c>
    </row>
    <row r="7658" spans="1:11" ht="54" customHeight="1">
      <c r="A7658" s="9" t="s">
        <v>16929</v>
      </c>
      <c r="B7658" s="9" t="s">
        <v>16929</v>
      </c>
      <c r="C7658" s="9" t="s">
        <v>17</v>
      </c>
      <c r="D7658" s="9" t="s">
        <v>18</v>
      </c>
      <c r="E7658" s="10" t="s">
        <v>3328</v>
      </c>
      <c r="F7658" s="9" t="s">
        <v>3329</v>
      </c>
      <c r="G7658" s="10" t="s">
        <v>34</v>
      </c>
      <c r="H7658" s="9" t="s">
        <v>22</v>
      </c>
      <c r="I7658" s="9" t="s">
        <v>16978</v>
      </c>
      <c r="J7658" s="10" t="str">
        <f>HYPERLINK("https://www.boe.es/gazeta/dias/1834/06/04/pdfs/GMD-1834-106.pdf#page=1","Abrir facsímil")</f>
        <v>Abrir facsímil</v>
      </c>
      <c r="K7658" s="10" t="s">
        <v>24</v>
      </c>
    </row>
    <row r="7659" spans="1:11" ht="54" customHeight="1">
      <c r="A7659" s="9" t="s">
        <v>16929</v>
      </c>
      <c r="B7659" s="9" t="s">
        <v>16929</v>
      </c>
      <c r="C7659" s="9" t="s">
        <v>66</v>
      </c>
      <c r="D7659" s="9" t="s">
        <v>67</v>
      </c>
      <c r="E7659" s="10" t="s">
        <v>355</v>
      </c>
      <c r="F7659" s="9" t="s">
        <v>356</v>
      </c>
      <c r="G7659" s="10" t="s">
        <v>34</v>
      </c>
      <c r="H7659" s="9" t="s">
        <v>22</v>
      </c>
      <c r="I7659" s="9" t="s">
        <v>16979</v>
      </c>
      <c r="J7659" s="10" t="str">
        <f>HYPERLINK("https://www.boe.es/gazeta/dias/1834/07/04/pdfs/GMD-1834-137.pdf#page=1","Abrir facsímil")</f>
        <v>Abrir facsímil</v>
      </c>
      <c r="K7659" s="10" t="s">
        <v>24</v>
      </c>
    </row>
    <row r="7660" spans="1:11" ht="54" customHeight="1">
      <c r="A7660" s="9" t="s">
        <v>16929</v>
      </c>
      <c r="B7660" s="9" t="s">
        <v>16929</v>
      </c>
      <c r="C7660" s="9" t="s">
        <v>66</v>
      </c>
      <c r="D7660" s="9" t="s">
        <v>18</v>
      </c>
      <c r="E7660" s="10" t="s">
        <v>2212</v>
      </c>
      <c r="F7660" s="9" t="s">
        <v>5450</v>
      </c>
      <c r="G7660" s="10" t="s">
        <v>34</v>
      </c>
      <c r="H7660" s="9" t="s">
        <v>22</v>
      </c>
      <c r="I7660" s="9" t="s">
        <v>16980</v>
      </c>
      <c r="J7660" s="10" t="str">
        <f>HYPERLINK("https://www.boe.es/gazeta/dias/1834/08/04/pdfs/GMD-1834-168.pdf#page=1","Abrir facsímil")</f>
        <v>Abrir facsímil</v>
      </c>
      <c r="K7660" s="10" t="s">
        <v>24</v>
      </c>
    </row>
    <row r="7661" spans="1:11" ht="54" customHeight="1">
      <c r="A7661" s="9" t="s">
        <v>16929</v>
      </c>
      <c r="B7661" s="9" t="s">
        <v>16929</v>
      </c>
      <c r="C7661" s="9" t="s">
        <v>17</v>
      </c>
      <c r="D7661" s="9" t="s">
        <v>18</v>
      </c>
      <c r="E7661" s="10" t="s">
        <v>2212</v>
      </c>
      <c r="F7661" s="9" t="s">
        <v>2213</v>
      </c>
      <c r="G7661" s="10" t="s">
        <v>86</v>
      </c>
      <c r="H7661" s="9" t="s">
        <v>22</v>
      </c>
      <c r="I7661" s="9" t="s">
        <v>16981</v>
      </c>
      <c r="J7661" s="10" t="str">
        <f>HYPERLINK("https://www.boe.es/gazeta/dias/1834/08/04/pdfs/GMD-C-1834-168.pdf#page=2","Abrir facsímil")</f>
        <v>Abrir facsímil</v>
      </c>
      <c r="K7661" s="10" t="s">
        <v>24</v>
      </c>
    </row>
    <row r="7662" spans="1:11" ht="54" customHeight="1">
      <c r="A7662" s="9" t="s">
        <v>16929</v>
      </c>
      <c r="B7662" s="9" t="s">
        <v>16929</v>
      </c>
      <c r="C7662" s="9" t="s">
        <v>46</v>
      </c>
      <c r="D7662" s="9" t="s">
        <v>101</v>
      </c>
      <c r="E7662" s="10" t="s">
        <v>2212</v>
      </c>
      <c r="F7662" s="9" t="s">
        <v>2213</v>
      </c>
      <c r="G7662" s="10" t="s">
        <v>21</v>
      </c>
      <c r="H7662" s="9" t="s">
        <v>22</v>
      </c>
      <c r="I7662" s="9" t="s">
        <v>16982</v>
      </c>
      <c r="J7662" s="10" t="str">
        <f>HYPERLINK("https://www.boe.es/gazeta/dias/1834/08/04/pdfs/GMD-C-1834-168.pdf#page=3","Abrir facsímil")</f>
        <v>Abrir facsímil</v>
      </c>
      <c r="K7662" s="10" t="s">
        <v>24</v>
      </c>
    </row>
    <row r="7663" spans="1:11" ht="54" customHeight="1">
      <c r="A7663" s="9" t="s">
        <v>16929</v>
      </c>
      <c r="B7663" s="9" t="s">
        <v>16929</v>
      </c>
      <c r="C7663" s="9" t="s">
        <v>17</v>
      </c>
      <c r="D7663" s="9" t="s">
        <v>18</v>
      </c>
      <c r="E7663" s="10" t="s">
        <v>2212</v>
      </c>
      <c r="F7663" s="9" t="s">
        <v>2213</v>
      </c>
      <c r="G7663" s="10" t="s">
        <v>75</v>
      </c>
      <c r="H7663" s="9" t="s">
        <v>22</v>
      </c>
      <c r="I7663" s="9" t="s">
        <v>16983</v>
      </c>
      <c r="J7663" s="10" t="str">
        <f>HYPERLINK("https://www.boe.es/gazeta/dias/1834/08/04/pdfs/GMD-C-1834-168.pdf#page=4","Abrir facsímil")</f>
        <v>Abrir facsímil</v>
      </c>
      <c r="K7663" s="10" t="s">
        <v>24</v>
      </c>
    </row>
    <row r="7664" spans="1:11" ht="54" customHeight="1">
      <c r="A7664" s="9" t="s">
        <v>16929</v>
      </c>
      <c r="B7664" s="9" t="s">
        <v>16929</v>
      </c>
      <c r="C7664" s="9" t="s">
        <v>90</v>
      </c>
      <c r="D7664" s="9" t="s">
        <v>18</v>
      </c>
      <c r="E7664" s="10" t="s">
        <v>2212</v>
      </c>
      <c r="F7664" s="9" t="s">
        <v>2213</v>
      </c>
      <c r="G7664" s="10" t="s">
        <v>28</v>
      </c>
      <c r="H7664" s="9" t="s">
        <v>22</v>
      </c>
      <c r="I7664" s="9" t="s">
        <v>16984</v>
      </c>
      <c r="J7664" s="10" t="str">
        <f>HYPERLINK("https://www.boe.es/gazeta/dias/1834/08/04/pdfs/GMD-C-1834-168.pdf#page=5","Abrir facsímil")</f>
        <v>Abrir facsímil</v>
      </c>
      <c r="K7664" s="10" t="s">
        <v>24</v>
      </c>
    </row>
    <row r="7665" spans="1:11" ht="54" customHeight="1">
      <c r="A7665" s="9" t="s">
        <v>16929</v>
      </c>
      <c r="B7665" s="9" t="s">
        <v>16929</v>
      </c>
      <c r="C7665" s="9" t="s">
        <v>17</v>
      </c>
      <c r="D7665" s="9" t="s">
        <v>18</v>
      </c>
      <c r="E7665" s="10" t="s">
        <v>2212</v>
      </c>
      <c r="F7665" s="9" t="s">
        <v>2213</v>
      </c>
      <c r="G7665" s="10" t="s">
        <v>176</v>
      </c>
      <c r="H7665" s="9" t="s">
        <v>22</v>
      </c>
      <c r="I7665" s="9" t="s">
        <v>16985</v>
      </c>
      <c r="J7665" s="10" t="str">
        <f>HYPERLINK("https://www.boe.es/gazeta/dias/1834/08/04/pdfs/GMD-C-1834-168.pdf#page=6","Abrir facsímil")</f>
        <v>Abrir facsímil</v>
      </c>
      <c r="K7665" s="10" t="s">
        <v>24</v>
      </c>
    </row>
    <row r="7666" spans="1:11" ht="54" customHeight="1">
      <c r="A7666" s="9" t="s">
        <v>16929</v>
      </c>
      <c r="B7666" s="9" t="s">
        <v>16929</v>
      </c>
      <c r="C7666" s="9" t="s">
        <v>66</v>
      </c>
      <c r="D7666" s="9" t="s">
        <v>18</v>
      </c>
      <c r="E7666" s="10" t="s">
        <v>571</v>
      </c>
      <c r="F7666" s="9" t="s">
        <v>572</v>
      </c>
      <c r="G7666" s="10" t="s">
        <v>34</v>
      </c>
      <c r="H7666" s="9" t="s">
        <v>22</v>
      </c>
      <c r="I7666" s="9" t="s">
        <v>16986</v>
      </c>
      <c r="J7666" s="10" t="str">
        <f>HYPERLINK("https://www.boe.es/gazeta/dias/1834/09/04/pdfs/GMD-1834-202.pdf#page=1","Abrir facsímil")</f>
        <v>Abrir facsímil</v>
      </c>
      <c r="K7666" s="10" t="s">
        <v>24</v>
      </c>
    </row>
    <row r="7667" spans="1:11" ht="54" customHeight="1">
      <c r="A7667" s="9" t="s">
        <v>16929</v>
      </c>
      <c r="B7667" s="9" t="s">
        <v>16929</v>
      </c>
      <c r="C7667" s="9" t="s">
        <v>17</v>
      </c>
      <c r="D7667" s="9" t="s">
        <v>18</v>
      </c>
      <c r="E7667" s="10" t="s">
        <v>571</v>
      </c>
      <c r="F7667" s="9" t="s">
        <v>572</v>
      </c>
      <c r="G7667" s="10" t="s">
        <v>21</v>
      </c>
      <c r="H7667" s="9" t="s">
        <v>22</v>
      </c>
      <c r="I7667" s="9" t="s">
        <v>16987</v>
      </c>
      <c r="J7667" s="10" t="str">
        <f>HYPERLINK("https://www.boe.es/gazeta/dias/1834/09/04/pdfs/GMD-1834-202.pdf#page=3","Abrir facsímil")</f>
        <v>Abrir facsímil</v>
      </c>
      <c r="K7667" s="10" t="s">
        <v>24</v>
      </c>
    </row>
    <row r="7668" spans="1:11" ht="54" customHeight="1">
      <c r="A7668" s="9" t="s">
        <v>16929</v>
      </c>
      <c r="B7668" s="9" t="s">
        <v>16929</v>
      </c>
      <c r="C7668" s="9" t="s">
        <v>46</v>
      </c>
      <c r="D7668" s="9" t="s">
        <v>18</v>
      </c>
      <c r="E7668" s="10" t="s">
        <v>571</v>
      </c>
      <c r="F7668" s="9" t="s">
        <v>572</v>
      </c>
      <c r="G7668" s="10" t="s">
        <v>75</v>
      </c>
      <c r="H7668" s="9" t="s">
        <v>22</v>
      </c>
      <c r="I7668" s="9" t="s">
        <v>16988</v>
      </c>
      <c r="J7668" s="10" t="str">
        <f>HYPERLINK("https://www.boe.es/gazeta/dias/1834/09/04/pdfs/GMD-1834-202.pdf#page=4","Abrir facsímil")</f>
        <v>Abrir facsímil</v>
      </c>
      <c r="K7668" s="10" t="s">
        <v>24</v>
      </c>
    </row>
    <row r="7669" spans="1:11" ht="54" customHeight="1">
      <c r="A7669" s="9" t="s">
        <v>16929</v>
      </c>
      <c r="B7669" s="9" t="s">
        <v>16929</v>
      </c>
      <c r="C7669" s="9" t="s">
        <v>17</v>
      </c>
      <c r="D7669" s="9" t="s">
        <v>40</v>
      </c>
      <c r="E7669" s="10" t="s">
        <v>571</v>
      </c>
      <c r="F7669" s="9" t="s">
        <v>620</v>
      </c>
      <c r="G7669" s="10" t="s">
        <v>34</v>
      </c>
      <c r="H7669" s="9" t="s">
        <v>22</v>
      </c>
      <c r="I7669" s="9" t="s">
        <v>16989</v>
      </c>
      <c r="J7669" s="10" t="str">
        <f>HYPERLINK("https://www.boe.es/gazeta/dias/1834/09/04/pdfs/GMD-C-1834-202.pdf#page=1","Abrir facsímil")</f>
        <v>Abrir facsímil</v>
      </c>
      <c r="K7669" s="10" t="s">
        <v>24</v>
      </c>
    </row>
    <row r="7670" spans="1:11" ht="54" customHeight="1">
      <c r="A7670" s="9" t="s">
        <v>16929</v>
      </c>
      <c r="B7670" s="9" t="s">
        <v>16929</v>
      </c>
      <c r="C7670" s="9" t="s">
        <v>46</v>
      </c>
      <c r="D7670" s="9" t="s">
        <v>18</v>
      </c>
      <c r="E7670" s="10" t="s">
        <v>571</v>
      </c>
      <c r="F7670" s="9" t="s">
        <v>620</v>
      </c>
      <c r="G7670" s="10" t="s">
        <v>86</v>
      </c>
      <c r="H7670" s="9" t="s">
        <v>22</v>
      </c>
      <c r="I7670" s="9" t="s">
        <v>16990</v>
      </c>
      <c r="J7670" s="10" t="str">
        <f>HYPERLINK("https://www.boe.es/gazeta/dias/1834/09/04/pdfs/GMD-C-1834-202.pdf#page=2","Abrir facsímil")</f>
        <v>Abrir facsímil</v>
      </c>
      <c r="K7670" s="10" t="s">
        <v>24</v>
      </c>
    </row>
    <row r="7671" spans="1:11" ht="54" customHeight="1">
      <c r="A7671" s="9" t="s">
        <v>16929</v>
      </c>
      <c r="B7671" s="9" t="s">
        <v>16929</v>
      </c>
      <c r="C7671" s="9" t="s">
        <v>90</v>
      </c>
      <c r="D7671" s="9" t="s">
        <v>18</v>
      </c>
      <c r="E7671" s="10" t="s">
        <v>426</v>
      </c>
      <c r="F7671" s="9" t="s">
        <v>694</v>
      </c>
      <c r="G7671" s="10" t="s">
        <v>28</v>
      </c>
      <c r="H7671" s="9" t="s">
        <v>22</v>
      </c>
      <c r="I7671" s="9" t="s">
        <v>16991</v>
      </c>
      <c r="J7671" s="10" t="str">
        <f>HYPERLINK("https://www.boe.es/gazeta/dias/1834/10/04/pdfs/GMD-C-1834-232.pdf#page=5","Abrir facsímil")</f>
        <v>Abrir facsímil</v>
      </c>
      <c r="K7671" s="10" t="s">
        <v>24</v>
      </c>
    </row>
    <row r="7672" spans="1:11" ht="54" customHeight="1">
      <c r="A7672" s="9" t="s">
        <v>16929</v>
      </c>
      <c r="B7672" s="9" t="s">
        <v>16929</v>
      </c>
      <c r="C7672" s="9" t="s">
        <v>46</v>
      </c>
      <c r="D7672" s="9" t="s">
        <v>101</v>
      </c>
      <c r="E7672" s="10" t="s">
        <v>426</v>
      </c>
      <c r="F7672" s="9" t="s">
        <v>694</v>
      </c>
      <c r="G7672" s="10" t="s">
        <v>176</v>
      </c>
      <c r="H7672" s="9" t="s">
        <v>22</v>
      </c>
      <c r="I7672" s="9" t="s">
        <v>16992</v>
      </c>
      <c r="J7672" s="10" t="str">
        <f>HYPERLINK("https://www.boe.es/gazeta/dias/1834/10/04/pdfs/GMD-C-1834-232.pdf#page=6","Abrir facsímil")</f>
        <v>Abrir facsímil</v>
      </c>
      <c r="K7672" s="10" t="s">
        <v>24</v>
      </c>
    </row>
    <row r="7673" spans="1:11" ht="54" customHeight="1">
      <c r="A7673" s="9" t="s">
        <v>16929</v>
      </c>
      <c r="B7673" s="9" t="s">
        <v>16929</v>
      </c>
      <c r="C7673" s="9" t="s">
        <v>90</v>
      </c>
      <c r="D7673" s="9" t="s">
        <v>18</v>
      </c>
      <c r="E7673" s="10" t="s">
        <v>73</v>
      </c>
      <c r="F7673" s="9" t="s">
        <v>74</v>
      </c>
      <c r="G7673" s="10" t="s">
        <v>75</v>
      </c>
      <c r="H7673" s="9" t="s">
        <v>22</v>
      </c>
      <c r="I7673" s="9" t="s">
        <v>16993</v>
      </c>
      <c r="J7673" s="10" t="str">
        <f>HYPERLINK("https://www.boe.es/gazeta/dias/1834/11/04/pdfs/GMD-1834-263.pdf#page=4","Abrir facsímil")</f>
        <v>Abrir facsímil</v>
      </c>
      <c r="K7673" s="10" t="s">
        <v>24</v>
      </c>
    </row>
    <row r="7674" spans="1:11" ht="54" customHeight="1">
      <c r="A7674" s="9" t="s">
        <v>16929</v>
      </c>
      <c r="B7674" s="9" t="s">
        <v>16929</v>
      </c>
      <c r="C7674" s="9" t="s">
        <v>17</v>
      </c>
      <c r="D7674" s="9" t="s">
        <v>18</v>
      </c>
      <c r="E7674" s="10" t="s">
        <v>73</v>
      </c>
      <c r="F7674" s="9" t="s">
        <v>1416</v>
      </c>
      <c r="G7674" s="10" t="s">
        <v>34</v>
      </c>
      <c r="H7674" s="9" t="s">
        <v>22</v>
      </c>
      <c r="I7674" s="9" t="s">
        <v>16994</v>
      </c>
      <c r="J7674" s="10" t="str">
        <f>HYPERLINK("https://www.boe.es/gazeta/dias/1834/11/04/pdfs/GMD-C-1834-263.pdf#page=1","Abrir facsímil")</f>
        <v>Abrir facsímil</v>
      </c>
      <c r="K7674" s="10" t="s">
        <v>24</v>
      </c>
    </row>
    <row r="7675" spans="1:11" ht="54" customHeight="1">
      <c r="A7675" s="9" t="s">
        <v>16929</v>
      </c>
      <c r="B7675" s="9" t="s">
        <v>16929</v>
      </c>
      <c r="C7675" s="9" t="s">
        <v>17</v>
      </c>
      <c r="D7675" s="9" t="s">
        <v>18</v>
      </c>
      <c r="E7675" s="10" t="s">
        <v>73</v>
      </c>
      <c r="F7675" s="9" t="s">
        <v>1416</v>
      </c>
      <c r="G7675" s="10" t="s">
        <v>86</v>
      </c>
      <c r="H7675" s="9" t="s">
        <v>22</v>
      </c>
      <c r="I7675" s="9" t="s">
        <v>16995</v>
      </c>
      <c r="J7675" s="10" t="str">
        <f>HYPERLINK("https://www.boe.es/gazeta/dias/1834/11/04/pdfs/GMD-C-1834-263.pdf#page=2","Abrir facsímil")</f>
        <v>Abrir facsímil</v>
      </c>
      <c r="K7675" s="10" t="s">
        <v>24</v>
      </c>
    </row>
    <row r="7676" spans="1:11" ht="54" customHeight="1">
      <c r="A7676" s="9" t="s">
        <v>16929</v>
      </c>
      <c r="B7676" s="9" t="s">
        <v>16929</v>
      </c>
      <c r="C7676" s="9" t="s">
        <v>66</v>
      </c>
      <c r="D7676" s="9" t="s">
        <v>67</v>
      </c>
      <c r="E7676" s="10" t="s">
        <v>8346</v>
      </c>
      <c r="F7676" s="9" t="s">
        <v>8347</v>
      </c>
      <c r="G7676" s="10" t="s">
        <v>21</v>
      </c>
      <c r="H7676" s="9" t="s">
        <v>22</v>
      </c>
      <c r="I7676" s="9" t="s">
        <v>16996</v>
      </c>
      <c r="J7676" s="10" t="str">
        <f>HYPERLINK("https://www.boe.es/gazeta/dias/1834/12/04/pdfs/GMD-1834-293.pdf#page=3","Abrir facsímil")</f>
        <v>Abrir facsímil</v>
      </c>
      <c r="K7676" s="10" t="s">
        <v>24</v>
      </c>
    </row>
    <row r="7677" spans="1:11" ht="54" customHeight="1">
      <c r="A7677" s="9" t="s">
        <v>16929</v>
      </c>
      <c r="B7677" s="9" t="s">
        <v>16929</v>
      </c>
      <c r="C7677" s="9" t="s">
        <v>66</v>
      </c>
      <c r="D7677" s="9" t="s">
        <v>67</v>
      </c>
      <c r="E7677" s="10" t="s">
        <v>1658</v>
      </c>
      <c r="F7677" s="9" t="s">
        <v>1659</v>
      </c>
      <c r="G7677" s="10" t="s">
        <v>34</v>
      </c>
      <c r="H7677" s="9" t="s">
        <v>22</v>
      </c>
      <c r="I7677" s="9" t="s">
        <v>16997</v>
      </c>
      <c r="J7677" s="10" t="str">
        <f>HYPERLINK("https://www.boe.es/gazeta/dias/1834/04/05/pdfs/GMD-1834-44.pdf#page=1","Abrir facsímil")</f>
        <v>Abrir facsímil</v>
      </c>
      <c r="K7677" s="10" t="s">
        <v>24</v>
      </c>
    </row>
    <row r="7678" spans="1:11" ht="54" customHeight="1">
      <c r="A7678" s="9" t="s">
        <v>16929</v>
      </c>
      <c r="B7678" s="9" t="s">
        <v>16929</v>
      </c>
      <c r="C7678" s="9" t="s">
        <v>46</v>
      </c>
      <c r="D7678" s="9" t="s">
        <v>18</v>
      </c>
      <c r="E7678" s="10" t="s">
        <v>1658</v>
      </c>
      <c r="F7678" s="9" t="s">
        <v>1659</v>
      </c>
      <c r="G7678" s="10" t="s">
        <v>21</v>
      </c>
      <c r="H7678" s="9" t="s">
        <v>22</v>
      </c>
      <c r="I7678" s="9" t="s">
        <v>16998</v>
      </c>
      <c r="J7678" s="10" t="str">
        <f>HYPERLINK("https://www.boe.es/gazeta/dias/1834/04/05/pdfs/GMD-1834-44.pdf#page=3","Abrir facsímil")</f>
        <v>Abrir facsímil</v>
      </c>
      <c r="K7678" s="10" t="s">
        <v>24</v>
      </c>
    </row>
    <row r="7679" spans="1:11" ht="54" customHeight="1">
      <c r="A7679" s="9" t="s">
        <v>16929</v>
      </c>
      <c r="B7679" s="9" t="s">
        <v>16929</v>
      </c>
      <c r="C7679" s="9" t="s">
        <v>46</v>
      </c>
      <c r="D7679" s="9" t="s">
        <v>101</v>
      </c>
      <c r="E7679" s="10" t="s">
        <v>1402</v>
      </c>
      <c r="F7679" s="9" t="s">
        <v>1403</v>
      </c>
      <c r="G7679" s="10" t="s">
        <v>34</v>
      </c>
      <c r="H7679" s="9" t="s">
        <v>22</v>
      </c>
      <c r="I7679" s="9" t="s">
        <v>16999</v>
      </c>
      <c r="J7679" s="10" t="str">
        <f>HYPERLINK("https://www.boe.es/gazeta/dias/1834/05/05/pdfs/GMD-1834-74.pdf#page=1","Abrir facsímil")</f>
        <v>Abrir facsímil</v>
      </c>
      <c r="K7679" s="10" t="s">
        <v>24</v>
      </c>
    </row>
    <row r="7680" spans="1:11" ht="54" customHeight="1">
      <c r="A7680" s="9" t="s">
        <v>16929</v>
      </c>
      <c r="B7680" s="9" t="s">
        <v>16929</v>
      </c>
      <c r="C7680" s="9" t="s">
        <v>46</v>
      </c>
      <c r="D7680" s="9" t="s">
        <v>101</v>
      </c>
      <c r="E7680" s="10" t="s">
        <v>1402</v>
      </c>
      <c r="F7680" s="9" t="s">
        <v>1403</v>
      </c>
      <c r="G7680" s="10" t="s">
        <v>34</v>
      </c>
      <c r="H7680" s="9" t="s">
        <v>22</v>
      </c>
      <c r="I7680" s="9" t="s">
        <v>17000</v>
      </c>
      <c r="J7680" s="10" t="str">
        <f>HYPERLINK("https://www.boe.es/gazeta/dias/1834/05/05/pdfs/I00347-00348.pdf#page=1","Abrir facsímil")</f>
        <v>Abrir facsímil</v>
      </c>
      <c r="K7680" s="10" t="s">
        <v>24</v>
      </c>
    </row>
    <row r="7681" spans="1:11" ht="54" customHeight="1">
      <c r="A7681" s="9" t="s">
        <v>16929</v>
      </c>
      <c r="B7681" s="9" t="s">
        <v>16929</v>
      </c>
      <c r="C7681" s="9" t="s">
        <v>17</v>
      </c>
      <c r="D7681" s="9" t="s">
        <v>18</v>
      </c>
      <c r="E7681" s="10" t="s">
        <v>1402</v>
      </c>
      <c r="F7681" s="9" t="s">
        <v>1403</v>
      </c>
      <c r="G7681" s="10" t="s">
        <v>75</v>
      </c>
      <c r="H7681" s="9" t="s">
        <v>22</v>
      </c>
      <c r="I7681" s="9" t="s">
        <v>17001</v>
      </c>
      <c r="J7681" s="10" t="str">
        <f>HYPERLINK("https://www.boe.es/gazeta/dias/1834/05/05/pdfs/GMD-1834-74.pdf#page=4","Abrir facsímil")</f>
        <v>Abrir facsímil</v>
      </c>
      <c r="K7681" s="10" t="s">
        <v>24</v>
      </c>
    </row>
    <row r="7682" spans="1:11" ht="54" customHeight="1">
      <c r="A7682" s="9" t="s">
        <v>16929</v>
      </c>
      <c r="B7682" s="9" t="s">
        <v>16929</v>
      </c>
      <c r="C7682" s="9" t="s">
        <v>46</v>
      </c>
      <c r="D7682" s="9" t="s">
        <v>101</v>
      </c>
      <c r="E7682" s="10" t="s">
        <v>1402</v>
      </c>
      <c r="F7682" s="9" t="s">
        <v>1403</v>
      </c>
      <c r="G7682" s="10" t="s">
        <v>28</v>
      </c>
      <c r="H7682" s="9" t="s">
        <v>22</v>
      </c>
      <c r="I7682" s="9" t="s">
        <v>17000</v>
      </c>
      <c r="J7682" s="10" t="str">
        <f>HYPERLINK("https://www.boe.es/gazeta/dias/1834/05/05/pdfs/GMD-1834-74.pdf#page=5","Abrir facsímil")</f>
        <v>Abrir facsímil</v>
      </c>
      <c r="K7682" s="10" t="s">
        <v>24</v>
      </c>
    </row>
    <row r="7683" spans="1:11" ht="54" customHeight="1">
      <c r="A7683" s="9" t="s">
        <v>16929</v>
      </c>
      <c r="B7683" s="9" t="s">
        <v>16929</v>
      </c>
      <c r="C7683" s="9" t="s">
        <v>90</v>
      </c>
      <c r="D7683" s="9" t="s">
        <v>101</v>
      </c>
      <c r="E7683" s="10" t="s">
        <v>4814</v>
      </c>
      <c r="F7683" s="9" t="s">
        <v>4815</v>
      </c>
      <c r="G7683" s="10" t="s">
        <v>34</v>
      </c>
      <c r="H7683" s="9" t="s">
        <v>22</v>
      </c>
      <c r="I7683" s="9" t="s">
        <v>17002</v>
      </c>
      <c r="J7683" s="10" t="str">
        <f>HYPERLINK("https://www.boe.es/gazeta/dias/1834/06/05/pdfs/GMD-1834-107.pdf#page=1","Abrir facsímil")</f>
        <v>Abrir facsímil</v>
      </c>
      <c r="K7683" s="10" t="s">
        <v>24</v>
      </c>
    </row>
    <row r="7684" spans="1:11" ht="54" customHeight="1">
      <c r="A7684" s="9" t="s">
        <v>16929</v>
      </c>
      <c r="B7684" s="9" t="s">
        <v>16929</v>
      </c>
      <c r="C7684" s="9" t="s">
        <v>90</v>
      </c>
      <c r="D7684" s="9" t="s">
        <v>67</v>
      </c>
      <c r="E7684" s="10" t="s">
        <v>1351</v>
      </c>
      <c r="F7684" s="9" t="s">
        <v>1352</v>
      </c>
      <c r="G7684" s="10" t="s">
        <v>34</v>
      </c>
      <c r="H7684" s="9" t="s">
        <v>22</v>
      </c>
      <c r="I7684" s="9" t="s">
        <v>17003</v>
      </c>
      <c r="J7684" s="10" t="str">
        <f>HYPERLINK("https://www.boe.es/gazeta/dias/1834/07/05/pdfs/GMD-1834-138.pdf#page=1","Abrir facsímil")</f>
        <v>Abrir facsímil</v>
      </c>
      <c r="K7684" s="10" t="s">
        <v>24</v>
      </c>
    </row>
    <row r="7685" spans="1:11" ht="54" customHeight="1">
      <c r="A7685" s="9" t="s">
        <v>16929</v>
      </c>
      <c r="B7685" s="9" t="s">
        <v>16929</v>
      </c>
      <c r="C7685" s="9" t="s">
        <v>17</v>
      </c>
      <c r="D7685" s="9" t="s">
        <v>18</v>
      </c>
      <c r="E7685" s="10" t="s">
        <v>1351</v>
      </c>
      <c r="F7685" s="9" t="s">
        <v>1352</v>
      </c>
      <c r="G7685" s="10" t="s">
        <v>86</v>
      </c>
      <c r="H7685" s="9" t="s">
        <v>22</v>
      </c>
      <c r="I7685" s="9" t="s">
        <v>17004</v>
      </c>
      <c r="J7685" s="10" t="str">
        <f>HYPERLINK("https://www.boe.es/gazeta/dias/1834/07/05/pdfs/GMD-1834-138.pdf#page=2","Abrir facsímil")</f>
        <v>Abrir facsímil</v>
      </c>
      <c r="K7685" s="10" t="s">
        <v>24</v>
      </c>
    </row>
    <row r="7686" spans="1:11" ht="54" customHeight="1">
      <c r="A7686" s="9" t="s">
        <v>16929</v>
      </c>
      <c r="B7686" s="9" t="s">
        <v>16929</v>
      </c>
      <c r="C7686" s="9" t="s">
        <v>66</v>
      </c>
      <c r="D7686" s="9" t="s">
        <v>67</v>
      </c>
      <c r="E7686" s="10" t="s">
        <v>1351</v>
      </c>
      <c r="F7686" s="9" t="s">
        <v>1352</v>
      </c>
      <c r="G7686" s="10" t="s">
        <v>21</v>
      </c>
      <c r="H7686" s="9" t="s">
        <v>22</v>
      </c>
      <c r="I7686" s="9" t="s">
        <v>17005</v>
      </c>
      <c r="J7686" s="10" t="str">
        <f>HYPERLINK("https://www.boe.es/gazeta/dias/1834/07/05/pdfs/GMD-1834-138.pdf#page=3","Abrir facsímil")</f>
        <v>Abrir facsímil</v>
      </c>
      <c r="K7686" s="10" t="s">
        <v>24</v>
      </c>
    </row>
    <row r="7687" spans="1:11" ht="54" customHeight="1">
      <c r="A7687" s="9" t="s">
        <v>16929</v>
      </c>
      <c r="B7687" s="9" t="s">
        <v>16929</v>
      </c>
      <c r="C7687" s="9" t="s">
        <v>66</v>
      </c>
      <c r="D7687" s="9" t="s">
        <v>67</v>
      </c>
      <c r="E7687" s="10" t="s">
        <v>243</v>
      </c>
      <c r="F7687" s="9" t="s">
        <v>1109</v>
      </c>
      <c r="G7687" s="10" t="s">
        <v>34</v>
      </c>
      <c r="H7687" s="9" t="s">
        <v>22</v>
      </c>
      <c r="I7687" s="9" t="s">
        <v>17006</v>
      </c>
      <c r="J7687" s="10" t="str">
        <f>HYPERLINK("https://www.boe.es/gazeta/dias/1834/08/05/pdfs/GMD-1834-169.pdf#page=1","Abrir facsímil")</f>
        <v>Abrir facsímil</v>
      </c>
      <c r="K7687" s="10" t="s">
        <v>24</v>
      </c>
    </row>
    <row r="7688" spans="1:11" ht="54" customHeight="1">
      <c r="A7688" s="9" t="s">
        <v>16929</v>
      </c>
      <c r="B7688" s="9" t="s">
        <v>16929</v>
      </c>
      <c r="C7688" s="9" t="s">
        <v>17</v>
      </c>
      <c r="D7688" s="9" t="s">
        <v>18</v>
      </c>
      <c r="E7688" s="10" t="s">
        <v>243</v>
      </c>
      <c r="F7688" s="9" t="s">
        <v>1109</v>
      </c>
      <c r="G7688" s="10" t="s">
        <v>75</v>
      </c>
      <c r="H7688" s="9" t="s">
        <v>22</v>
      </c>
      <c r="I7688" s="9" t="s">
        <v>17007</v>
      </c>
      <c r="J7688" s="10" t="str">
        <f>HYPERLINK("https://www.boe.es/gazeta/dias/1834/08/05/pdfs/GMD-1834-169.pdf#page=4","Abrir facsímil")</f>
        <v>Abrir facsímil</v>
      </c>
      <c r="K7688" s="10" t="s">
        <v>24</v>
      </c>
    </row>
    <row r="7689" spans="1:11" ht="54" customHeight="1">
      <c r="A7689" s="9" t="s">
        <v>16929</v>
      </c>
      <c r="B7689" s="9" t="s">
        <v>16929</v>
      </c>
      <c r="C7689" s="9" t="s">
        <v>17</v>
      </c>
      <c r="D7689" s="9" t="s">
        <v>18</v>
      </c>
      <c r="E7689" s="10" t="s">
        <v>243</v>
      </c>
      <c r="F7689" s="9" t="s">
        <v>244</v>
      </c>
      <c r="G7689" s="10" t="s">
        <v>86</v>
      </c>
      <c r="H7689" s="9" t="s">
        <v>22</v>
      </c>
      <c r="I7689" s="9" t="s">
        <v>17008</v>
      </c>
      <c r="J7689" s="10" t="str">
        <f>HYPERLINK("https://www.boe.es/gazeta/dias/1834/08/05/pdfs/GMD-C-1834-169.pdf#page=2","Abrir facsímil")</f>
        <v>Abrir facsímil</v>
      </c>
      <c r="K7689" s="10" t="s">
        <v>24</v>
      </c>
    </row>
    <row r="7690" spans="1:11" ht="54" customHeight="1">
      <c r="A7690" s="9" t="s">
        <v>16929</v>
      </c>
      <c r="B7690" s="9" t="s">
        <v>16929</v>
      </c>
      <c r="C7690" s="9" t="s">
        <v>122</v>
      </c>
      <c r="D7690" s="9" t="s">
        <v>18</v>
      </c>
      <c r="E7690" s="10" t="s">
        <v>47</v>
      </c>
      <c r="F7690" s="9" t="s">
        <v>48</v>
      </c>
      <c r="G7690" s="10" t="s">
        <v>75</v>
      </c>
      <c r="H7690" s="9" t="s">
        <v>22</v>
      </c>
      <c r="I7690" s="9" t="s">
        <v>17009</v>
      </c>
      <c r="J7690" s="10" t="str">
        <f>HYPERLINK("https://www.boe.es/gazeta/dias/1834/09/05/pdfs/GMD-C-1834-203.pdf#page=4","Abrir facsímil")</f>
        <v>Abrir facsímil</v>
      </c>
      <c r="K7690" s="10" t="s">
        <v>24</v>
      </c>
    </row>
    <row r="7691" spans="1:11" ht="54" customHeight="1">
      <c r="A7691" s="9" t="s">
        <v>16929</v>
      </c>
      <c r="B7691" s="9" t="s">
        <v>16929</v>
      </c>
      <c r="C7691" s="9" t="s">
        <v>17</v>
      </c>
      <c r="D7691" s="9" t="s">
        <v>18</v>
      </c>
      <c r="E7691" s="10" t="s">
        <v>1340</v>
      </c>
      <c r="F7691" s="9" t="s">
        <v>1341</v>
      </c>
      <c r="G7691" s="10" t="s">
        <v>86</v>
      </c>
      <c r="H7691" s="9" t="s">
        <v>22</v>
      </c>
      <c r="I7691" s="9" t="s">
        <v>17010</v>
      </c>
      <c r="J7691" s="10" t="str">
        <f>HYPERLINK("https://www.boe.es/gazeta/dias/1834/10/05/pdfs/GMD-C-1834-233.pdf#page=2","Abrir facsímil")</f>
        <v>Abrir facsímil</v>
      </c>
      <c r="K7691" s="10" t="s">
        <v>24</v>
      </c>
    </row>
    <row r="7692" spans="1:11" ht="54" customHeight="1">
      <c r="A7692" s="9" t="s">
        <v>16929</v>
      </c>
      <c r="B7692" s="9" t="s">
        <v>16929</v>
      </c>
      <c r="C7692" s="9" t="s">
        <v>17</v>
      </c>
      <c r="D7692" s="9" t="s">
        <v>18</v>
      </c>
      <c r="E7692" s="10" t="s">
        <v>1340</v>
      </c>
      <c r="F7692" s="9" t="s">
        <v>1341</v>
      </c>
      <c r="G7692" s="10" t="s">
        <v>28</v>
      </c>
      <c r="H7692" s="9" t="s">
        <v>22</v>
      </c>
      <c r="I7692" s="9" t="s">
        <v>17011</v>
      </c>
      <c r="J7692" s="10" t="str">
        <f>HYPERLINK("https://www.boe.es/gazeta/dias/1834/10/05/pdfs/GMD-C-1834-233.pdf#page=5","Abrir facsímil")</f>
        <v>Abrir facsímil</v>
      </c>
      <c r="K7692" s="10" t="s">
        <v>24</v>
      </c>
    </row>
    <row r="7693" spans="1:11" ht="54" customHeight="1">
      <c r="A7693" s="9" t="s">
        <v>16929</v>
      </c>
      <c r="B7693" s="9" t="s">
        <v>16929</v>
      </c>
      <c r="C7693" s="9" t="s">
        <v>46</v>
      </c>
      <c r="D7693" s="9" t="s">
        <v>18</v>
      </c>
      <c r="E7693" s="10" t="s">
        <v>11991</v>
      </c>
      <c r="F7693" s="9" t="s">
        <v>17012</v>
      </c>
      <c r="G7693" s="10" t="s">
        <v>75</v>
      </c>
      <c r="H7693" s="9" t="s">
        <v>22</v>
      </c>
      <c r="I7693" s="9" t="s">
        <v>17013</v>
      </c>
      <c r="J7693" s="10" t="str">
        <f>HYPERLINK("https://www.boe.es/gazeta/dias/1834/12/05/pdfs/GMD-1834-294.pdf#page=4","Abrir facsímil")</f>
        <v>Abrir facsímil</v>
      </c>
      <c r="K7693" s="10" t="s">
        <v>24</v>
      </c>
    </row>
    <row r="7694" spans="1:11" ht="54" customHeight="1">
      <c r="A7694" s="9" t="s">
        <v>16929</v>
      </c>
      <c r="B7694" s="9" t="s">
        <v>16929</v>
      </c>
      <c r="C7694" s="9" t="s">
        <v>17</v>
      </c>
      <c r="D7694" s="9" t="s">
        <v>101</v>
      </c>
      <c r="E7694" s="10" t="s">
        <v>3699</v>
      </c>
      <c r="F7694" s="9" t="s">
        <v>3700</v>
      </c>
      <c r="G7694" s="10" t="s">
        <v>34</v>
      </c>
      <c r="H7694" s="9" t="s">
        <v>22</v>
      </c>
      <c r="I7694" s="9" t="s">
        <v>17014</v>
      </c>
      <c r="J7694" s="10" t="str">
        <f>HYPERLINK("https://www.boe.es/gazeta/dias/1834/02/06/pdfs/GMD-1834-17.pdf#page=1","Abrir facsímil")</f>
        <v>Abrir facsímil</v>
      </c>
      <c r="K7694" s="10" t="s">
        <v>24</v>
      </c>
    </row>
    <row r="7695" spans="1:11" ht="54" customHeight="1">
      <c r="A7695" s="9" t="s">
        <v>16929</v>
      </c>
      <c r="B7695" s="9" t="s">
        <v>16929</v>
      </c>
      <c r="C7695" s="9" t="s">
        <v>122</v>
      </c>
      <c r="D7695" s="9" t="s">
        <v>101</v>
      </c>
      <c r="E7695" s="10" t="s">
        <v>3699</v>
      </c>
      <c r="F7695" s="9" t="s">
        <v>3700</v>
      </c>
      <c r="G7695" s="10" t="s">
        <v>86</v>
      </c>
      <c r="H7695" s="9" t="s">
        <v>22</v>
      </c>
      <c r="I7695" s="9" t="s">
        <v>17015</v>
      </c>
      <c r="J7695" s="10" t="str">
        <f>HYPERLINK("https://www.boe.es/gazeta/dias/1834/02/06/pdfs/GMD-1834-17.pdf#page=2","Abrir facsímil")</f>
        <v>Abrir facsímil</v>
      </c>
      <c r="K7695" s="10" t="s">
        <v>24</v>
      </c>
    </row>
    <row r="7696" spans="1:11" ht="54" customHeight="1">
      <c r="A7696" s="9" t="s">
        <v>16929</v>
      </c>
      <c r="B7696" s="9" t="s">
        <v>16929</v>
      </c>
      <c r="C7696" s="9" t="s">
        <v>17</v>
      </c>
      <c r="D7696" s="9" t="s">
        <v>18</v>
      </c>
      <c r="E7696" s="10" t="s">
        <v>317</v>
      </c>
      <c r="F7696" s="9" t="s">
        <v>318</v>
      </c>
      <c r="G7696" s="10" t="s">
        <v>34</v>
      </c>
      <c r="H7696" s="9" t="s">
        <v>22</v>
      </c>
      <c r="I7696" s="9" t="s">
        <v>17016</v>
      </c>
      <c r="J7696" s="10" t="str">
        <f>HYPERLINK("https://www.boe.es/gazeta/dias/1834/03/06/pdfs/GMD-1834-29.pdf#page=1","Abrir facsímil")</f>
        <v>Abrir facsímil</v>
      </c>
      <c r="K7696" s="10" t="s">
        <v>24</v>
      </c>
    </row>
    <row r="7697" spans="1:11" ht="54" customHeight="1">
      <c r="A7697" s="9" t="s">
        <v>16929</v>
      </c>
      <c r="B7697" s="9" t="s">
        <v>16929</v>
      </c>
      <c r="C7697" s="9" t="s">
        <v>66</v>
      </c>
      <c r="D7697" s="9" t="s">
        <v>55</v>
      </c>
      <c r="E7697" s="10" t="s">
        <v>1661</v>
      </c>
      <c r="F7697" s="9" t="s">
        <v>1662</v>
      </c>
      <c r="G7697" s="10" t="s">
        <v>34</v>
      </c>
      <c r="H7697" s="9" t="s">
        <v>22</v>
      </c>
      <c r="I7697" s="9" t="s">
        <v>17017</v>
      </c>
      <c r="J7697" s="10" t="str">
        <f>HYPERLINK("https://www.boe.es/gazeta/dias/1834/04/06/pdfs/GMD-1834-45.pdf#page=1","Abrir facsímil")</f>
        <v>Abrir facsímil</v>
      </c>
      <c r="K7697" s="10" t="s">
        <v>24</v>
      </c>
    </row>
    <row r="7698" spans="1:11" ht="54" customHeight="1">
      <c r="A7698" s="9" t="s">
        <v>16929</v>
      </c>
      <c r="B7698" s="9" t="s">
        <v>16929</v>
      </c>
      <c r="C7698" s="9" t="s">
        <v>66</v>
      </c>
      <c r="D7698" s="9" t="s">
        <v>67</v>
      </c>
      <c r="E7698" s="10" t="s">
        <v>1661</v>
      </c>
      <c r="F7698" s="9" t="s">
        <v>1662</v>
      </c>
      <c r="G7698" s="10" t="s">
        <v>21</v>
      </c>
      <c r="H7698" s="9" t="s">
        <v>22</v>
      </c>
      <c r="I7698" s="9" t="s">
        <v>17018</v>
      </c>
      <c r="J7698" s="10" t="str">
        <f>HYPERLINK("https://www.boe.es/gazeta/dias/1834/04/06/pdfs/GMD-1834-45.pdf#page=3","Abrir facsímil")</f>
        <v>Abrir facsímil</v>
      </c>
      <c r="K7698" s="10" t="s">
        <v>24</v>
      </c>
    </row>
    <row r="7699" spans="1:11" ht="54" customHeight="1">
      <c r="A7699" s="9" t="s">
        <v>16929</v>
      </c>
      <c r="B7699" s="9" t="s">
        <v>16929</v>
      </c>
      <c r="C7699" s="9" t="s">
        <v>66</v>
      </c>
      <c r="D7699" s="9" t="s">
        <v>67</v>
      </c>
      <c r="E7699" s="10" t="s">
        <v>2865</v>
      </c>
      <c r="F7699" s="9" t="s">
        <v>2866</v>
      </c>
      <c r="G7699" s="10" t="s">
        <v>86</v>
      </c>
      <c r="H7699" s="9" t="s">
        <v>22</v>
      </c>
      <c r="I7699" s="9" t="s">
        <v>17019</v>
      </c>
      <c r="J7699" s="10" t="str">
        <f>HYPERLINK("https://www.boe.es/gazeta/dias/1834/07/06/pdfs/GMD-1834-139.pdf#page=2","Abrir facsímil")</f>
        <v>Abrir facsímil</v>
      </c>
      <c r="K7699" s="10" t="s">
        <v>24</v>
      </c>
    </row>
    <row r="7700" spans="1:11" ht="54" customHeight="1">
      <c r="A7700" s="9" t="s">
        <v>16929</v>
      </c>
      <c r="B7700" s="9" t="s">
        <v>16929</v>
      </c>
      <c r="C7700" s="9" t="s">
        <v>17</v>
      </c>
      <c r="D7700" s="9" t="s">
        <v>40</v>
      </c>
      <c r="E7700" s="10" t="s">
        <v>653</v>
      </c>
      <c r="F7700" s="9" t="s">
        <v>654</v>
      </c>
      <c r="G7700" s="10" t="s">
        <v>34</v>
      </c>
      <c r="H7700" s="9" t="s">
        <v>22</v>
      </c>
      <c r="I7700" s="9" t="s">
        <v>17020</v>
      </c>
      <c r="J7700" s="10" t="str">
        <f>HYPERLINK("https://www.boe.es/gazeta/dias/1834/08/06/pdfs/GMD-C-1834-170.pdf#page=1","Abrir facsímil")</f>
        <v>Abrir facsímil</v>
      </c>
      <c r="K7700" s="10" t="s">
        <v>24</v>
      </c>
    </row>
    <row r="7701" spans="1:11" ht="54" customHeight="1">
      <c r="A7701" s="9" t="s">
        <v>16929</v>
      </c>
      <c r="B7701" s="9" t="s">
        <v>16929</v>
      </c>
      <c r="C7701" s="9" t="s">
        <v>46</v>
      </c>
      <c r="D7701" s="9" t="s">
        <v>101</v>
      </c>
      <c r="E7701" s="10" t="s">
        <v>364</v>
      </c>
      <c r="F7701" s="9" t="s">
        <v>2102</v>
      </c>
      <c r="G7701" s="10" t="s">
        <v>34</v>
      </c>
      <c r="H7701" s="9" t="s">
        <v>22</v>
      </c>
      <c r="I7701" s="9" t="s">
        <v>17021</v>
      </c>
      <c r="J7701" s="10" t="str">
        <f>HYPERLINK("https://www.boe.es/gazeta/dias/1834/09/06/pdfs/GMD-1834-204.pdf#page=1","Abrir facsímil")</f>
        <v>Abrir facsímil</v>
      </c>
      <c r="K7701" s="10" t="s">
        <v>24</v>
      </c>
    </row>
    <row r="7702" spans="1:11" ht="54" customHeight="1">
      <c r="A7702" s="9" t="s">
        <v>16929</v>
      </c>
      <c r="B7702" s="9" t="s">
        <v>16929</v>
      </c>
      <c r="C7702" s="9" t="s">
        <v>17</v>
      </c>
      <c r="D7702" s="9" t="s">
        <v>18</v>
      </c>
      <c r="E7702" s="10" t="s">
        <v>364</v>
      </c>
      <c r="F7702" s="9" t="s">
        <v>365</v>
      </c>
      <c r="G7702" s="10" t="s">
        <v>176</v>
      </c>
      <c r="H7702" s="9" t="s">
        <v>22</v>
      </c>
      <c r="I7702" s="9" t="s">
        <v>17022</v>
      </c>
      <c r="J7702" s="10" t="str">
        <f>HYPERLINK("https://www.boe.es/gazeta/dias/1834/09/06/pdfs/GMD-C-1834-204.pdf#page=6","Abrir facsímil")</f>
        <v>Abrir facsímil</v>
      </c>
      <c r="K7702" s="10" t="s">
        <v>24</v>
      </c>
    </row>
    <row r="7703" spans="1:11" ht="54" customHeight="1">
      <c r="A7703" s="9" t="s">
        <v>16929</v>
      </c>
      <c r="B7703" s="9" t="s">
        <v>16929</v>
      </c>
      <c r="C7703" s="9" t="s">
        <v>46</v>
      </c>
      <c r="D7703" s="9" t="s">
        <v>101</v>
      </c>
      <c r="E7703" s="10" t="s">
        <v>3054</v>
      </c>
      <c r="F7703" s="9" t="s">
        <v>3055</v>
      </c>
      <c r="G7703" s="10" t="s">
        <v>34</v>
      </c>
      <c r="H7703" s="9" t="s">
        <v>22</v>
      </c>
      <c r="I7703" s="9" t="s">
        <v>17023</v>
      </c>
      <c r="J7703" s="10" t="str">
        <f>HYPERLINK("https://www.boe.es/gazeta/dias/1834/10/06/pdfs/GMD-1834-234.pdf#page=1","Abrir facsímil")</f>
        <v>Abrir facsímil</v>
      </c>
      <c r="K7703" s="10" t="s">
        <v>24</v>
      </c>
    </row>
    <row r="7704" spans="1:11" ht="54" customHeight="1">
      <c r="A7704" s="9" t="s">
        <v>16929</v>
      </c>
      <c r="B7704" s="9" t="s">
        <v>16929</v>
      </c>
      <c r="C7704" s="9" t="s">
        <v>17</v>
      </c>
      <c r="D7704" s="9" t="s">
        <v>18</v>
      </c>
      <c r="E7704" s="10" t="s">
        <v>3054</v>
      </c>
      <c r="F7704" s="9" t="s">
        <v>3055</v>
      </c>
      <c r="G7704" s="10" t="s">
        <v>21</v>
      </c>
      <c r="H7704" s="9" t="s">
        <v>22</v>
      </c>
      <c r="I7704" s="9" t="s">
        <v>17024</v>
      </c>
      <c r="J7704" s="10" t="str">
        <f>HYPERLINK("https://www.boe.es/gazeta/dias/1834/10/06/pdfs/GMD-1834-234.pdf#page=3","Abrir facsímil")</f>
        <v>Abrir facsímil</v>
      </c>
      <c r="K7704" s="10" t="s">
        <v>24</v>
      </c>
    </row>
    <row r="7705" spans="1:11" ht="54" customHeight="1">
      <c r="A7705" s="9" t="s">
        <v>16929</v>
      </c>
      <c r="B7705" s="9" t="s">
        <v>16929</v>
      </c>
      <c r="C7705" s="9" t="s">
        <v>66</v>
      </c>
      <c r="D7705" s="9" t="s">
        <v>67</v>
      </c>
      <c r="E7705" s="10" t="s">
        <v>696</v>
      </c>
      <c r="F7705" s="9" t="s">
        <v>854</v>
      </c>
      <c r="G7705" s="10" t="s">
        <v>86</v>
      </c>
      <c r="H7705" s="9" t="s">
        <v>22</v>
      </c>
      <c r="I7705" s="9" t="s">
        <v>17025</v>
      </c>
      <c r="J7705" s="10" t="str">
        <f>HYPERLINK("https://www.boe.es/gazeta/dias/1834/12/06/pdfs/GMD-1834-295.pdf#page=2","Abrir facsímil")</f>
        <v>Abrir facsímil</v>
      </c>
      <c r="K7705" s="10" t="s">
        <v>24</v>
      </c>
    </row>
    <row r="7706" spans="1:11" ht="54" customHeight="1">
      <c r="A7706" s="9" t="s">
        <v>16929</v>
      </c>
      <c r="B7706" s="9" t="s">
        <v>16929</v>
      </c>
      <c r="C7706" s="9" t="s">
        <v>17</v>
      </c>
      <c r="D7706" s="9" t="s">
        <v>101</v>
      </c>
      <c r="E7706" s="10" t="s">
        <v>696</v>
      </c>
      <c r="F7706" s="9" t="s">
        <v>697</v>
      </c>
      <c r="G7706" s="10" t="s">
        <v>34</v>
      </c>
      <c r="H7706" s="9" t="s">
        <v>22</v>
      </c>
      <c r="I7706" s="9" t="s">
        <v>17026</v>
      </c>
      <c r="J7706" s="10" t="str">
        <f>HYPERLINK("https://www.boe.es/gazeta/dias/1834/12/06/pdfs/GMD-C-1834-295.pdf#page=1","Abrir facsímil")</f>
        <v>Abrir facsímil</v>
      </c>
      <c r="K7706" s="10" t="s">
        <v>24</v>
      </c>
    </row>
    <row r="7707" spans="1:11" ht="54" customHeight="1">
      <c r="A7707" s="9" t="s">
        <v>16929</v>
      </c>
      <c r="B7707" s="9" t="s">
        <v>16929</v>
      </c>
      <c r="C7707" s="9" t="s">
        <v>17</v>
      </c>
      <c r="D7707" s="9" t="s">
        <v>18</v>
      </c>
      <c r="E7707" s="10" t="s">
        <v>1170</v>
      </c>
      <c r="F7707" s="9" t="s">
        <v>1171</v>
      </c>
      <c r="G7707" s="10" t="s">
        <v>34</v>
      </c>
      <c r="H7707" s="9" t="s">
        <v>22</v>
      </c>
      <c r="I7707" s="9" t="s">
        <v>17027</v>
      </c>
      <c r="J7707" s="10" t="str">
        <f>HYPERLINK("https://www.boe.es/gazeta/dias/1834/01/07/pdfs/GMD-1834-4.pdf#page=1","Abrir facsímil")</f>
        <v>Abrir facsímil</v>
      </c>
      <c r="K7707" s="10" t="s">
        <v>24</v>
      </c>
    </row>
    <row r="7708" spans="1:11" ht="54" customHeight="1">
      <c r="A7708" s="9" t="s">
        <v>16929</v>
      </c>
      <c r="B7708" s="9" t="s">
        <v>16929</v>
      </c>
      <c r="C7708" s="9" t="s">
        <v>122</v>
      </c>
      <c r="D7708" s="9" t="s">
        <v>40</v>
      </c>
      <c r="E7708" s="10" t="s">
        <v>1170</v>
      </c>
      <c r="F7708" s="9" t="s">
        <v>1171</v>
      </c>
      <c r="G7708" s="10" t="s">
        <v>21</v>
      </c>
      <c r="H7708" s="9" t="s">
        <v>22</v>
      </c>
      <c r="I7708" s="9" t="s">
        <v>17028</v>
      </c>
      <c r="J7708" s="10" t="str">
        <f>HYPERLINK("https://www.boe.es/gazeta/dias/1834/01/07/pdfs/GMD-1834-4.pdf#page=3","Abrir facsímil")</f>
        <v>Abrir facsímil</v>
      </c>
      <c r="K7708" s="10" t="s">
        <v>24</v>
      </c>
    </row>
    <row r="7709" spans="1:11" ht="54" customHeight="1">
      <c r="A7709" s="9" t="s">
        <v>16929</v>
      </c>
      <c r="B7709" s="9" t="s">
        <v>16929</v>
      </c>
      <c r="C7709" s="9" t="s">
        <v>66</v>
      </c>
      <c r="D7709" s="9" t="s">
        <v>67</v>
      </c>
      <c r="E7709" s="10" t="s">
        <v>1170</v>
      </c>
      <c r="F7709" s="9" t="s">
        <v>1171</v>
      </c>
      <c r="G7709" s="10" t="s">
        <v>28</v>
      </c>
      <c r="H7709" s="9" t="s">
        <v>22</v>
      </c>
      <c r="I7709" s="9" t="s">
        <v>17029</v>
      </c>
      <c r="J7709" s="10" t="str">
        <f>HYPERLINK("https://www.boe.es/gazeta/dias/1834/01/07/pdfs/GMD-1834-4.pdf#page=5","Abrir facsímil")</f>
        <v>Abrir facsímil</v>
      </c>
      <c r="K7709" s="10" t="s">
        <v>24</v>
      </c>
    </row>
    <row r="7710" spans="1:11" ht="54" customHeight="1">
      <c r="A7710" s="9" t="s">
        <v>16929</v>
      </c>
      <c r="B7710" s="9" t="s">
        <v>16929</v>
      </c>
      <c r="C7710" s="9" t="s">
        <v>17</v>
      </c>
      <c r="D7710" s="9" t="s">
        <v>18</v>
      </c>
      <c r="E7710" s="10" t="s">
        <v>1170</v>
      </c>
      <c r="F7710" s="9" t="s">
        <v>1171</v>
      </c>
      <c r="G7710" s="10" t="s">
        <v>176</v>
      </c>
      <c r="H7710" s="9" t="s">
        <v>22</v>
      </c>
      <c r="I7710" s="9" t="s">
        <v>17030</v>
      </c>
      <c r="J7710" s="10" t="str">
        <f>HYPERLINK("https://www.boe.es/gazeta/dias/1834/01/07/pdfs/GMD-1834-4.pdf#page=6","Abrir facsímil")</f>
        <v>Abrir facsímil</v>
      </c>
      <c r="K7710" s="10" t="s">
        <v>24</v>
      </c>
    </row>
    <row r="7711" spans="1:11" ht="54" customHeight="1">
      <c r="A7711" s="9" t="s">
        <v>16929</v>
      </c>
      <c r="B7711" s="9" t="s">
        <v>16929</v>
      </c>
      <c r="C7711" s="9" t="s">
        <v>66</v>
      </c>
      <c r="D7711" s="9" t="s">
        <v>101</v>
      </c>
      <c r="E7711" s="10" t="s">
        <v>360</v>
      </c>
      <c r="F7711" s="9" t="s">
        <v>361</v>
      </c>
      <c r="G7711" s="10" t="s">
        <v>34</v>
      </c>
      <c r="H7711" s="9" t="s">
        <v>22</v>
      </c>
      <c r="I7711" s="9" t="s">
        <v>17031</v>
      </c>
      <c r="J7711" s="10" t="str">
        <f>HYPERLINK("https://www.boe.es/gazeta/dias/1834/04/07/pdfs/GMD-1834-46.pdf#page=1","Abrir facsímil")</f>
        <v>Abrir facsímil</v>
      </c>
      <c r="K7711" s="10" t="s">
        <v>24</v>
      </c>
    </row>
    <row r="7712" spans="1:11" ht="54" customHeight="1">
      <c r="A7712" s="9" t="s">
        <v>16929</v>
      </c>
      <c r="B7712" s="9" t="s">
        <v>16929</v>
      </c>
      <c r="C7712" s="9" t="s">
        <v>66</v>
      </c>
      <c r="D7712" s="9" t="s">
        <v>67</v>
      </c>
      <c r="E7712" s="10" t="s">
        <v>84</v>
      </c>
      <c r="F7712" s="9" t="s">
        <v>1223</v>
      </c>
      <c r="G7712" s="10" t="s">
        <v>34</v>
      </c>
      <c r="H7712" s="9" t="s">
        <v>22</v>
      </c>
      <c r="I7712" s="9" t="s">
        <v>17032</v>
      </c>
      <c r="J7712" s="10" t="str">
        <f>HYPERLINK("https://www.boe.es/gazeta/dias/1834/06/07/pdfs/GMD-1834-109.pdf#page=1","Abrir facsímil")</f>
        <v>Abrir facsímil</v>
      </c>
      <c r="K7712" s="10" t="s">
        <v>24</v>
      </c>
    </row>
    <row r="7713" spans="1:11" ht="54" customHeight="1">
      <c r="A7713" s="9" t="s">
        <v>16929</v>
      </c>
      <c r="B7713" s="9" t="s">
        <v>16929</v>
      </c>
      <c r="C7713" s="9" t="s">
        <v>17</v>
      </c>
      <c r="D7713" s="9" t="s">
        <v>55</v>
      </c>
      <c r="E7713" s="10" t="s">
        <v>84</v>
      </c>
      <c r="F7713" s="9" t="s">
        <v>1223</v>
      </c>
      <c r="G7713" s="10" t="s">
        <v>75</v>
      </c>
      <c r="H7713" s="9" t="s">
        <v>22</v>
      </c>
      <c r="I7713" s="9" t="s">
        <v>17033</v>
      </c>
      <c r="J7713" s="10" t="str">
        <f>HYPERLINK("https://www.boe.es/gazeta/dias/1834/06/07/pdfs/GMD-1834-109.pdf#page=4","Abrir facsímil")</f>
        <v>Abrir facsímil</v>
      </c>
      <c r="K7713" s="10" t="s">
        <v>24</v>
      </c>
    </row>
    <row r="7714" spans="1:11" ht="54" customHeight="1">
      <c r="A7714" s="9" t="s">
        <v>16929</v>
      </c>
      <c r="B7714" s="9" t="s">
        <v>16929</v>
      </c>
      <c r="C7714" s="9" t="s">
        <v>17</v>
      </c>
      <c r="D7714" s="9" t="s">
        <v>18</v>
      </c>
      <c r="E7714" s="10" t="s">
        <v>84</v>
      </c>
      <c r="F7714" s="9" t="s">
        <v>85</v>
      </c>
      <c r="G7714" s="10" t="s">
        <v>86</v>
      </c>
      <c r="H7714" s="9" t="s">
        <v>22</v>
      </c>
      <c r="I7714" s="9" t="s">
        <v>17034</v>
      </c>
      <c r="J7714" s="10" t="str">
        <f>HYPERLINK("https://www.boe.es/gazeta/dias/1834/06/07/pdfs/GMD-C-1834-109.pdf#page=2","Abrir facsímil")</f>
        <v>Abrir facsímil</v>
      </c>
      <c r="K7714" s="10" t="s">
        <v>24</v>
      </c>
    </row>
    <row r="7715" spans="1:11" ht="54" customHeight="1">
      <c r="A7715" s="9" t="s">
        <v>16929</v>
      </c>
      <c r="B7715" s="9" t="s">
        <v>16929</v>
      </c>
      <c r="C7715" s="9" t="s">
        <v>46</v>
      </c>
      <c r="D7715" s="9" t="s">
        <v>101</v>
      </c>
      <c r="E7715" s="10" t="s">
        <v>3471</v>
      </c>
      <c r="F7715" s="9" t="s">
        <v>3472</v>
      </c>
      <c r="G7715" s="10" t="s">
        <v>34</v>
      </c>
      <c r="H7715" s="9" t="s">
        <v>22</v>
      </c>
      <c r="I7715" s="9" t="s">
        <v>17035</v>
      </c>
      <c r="J7715" s="10" t="str">
        <f>HYPERLINK("https://www.boe.es/gazeta/dias/1834/07/07/pdfs/GMD-1834-140.pdf#page=1","Abrir facsímil")</f>
        <v>Abrir facsímil</v>
      </c>
      <c r="K7715" s="10" t="s">
        <v>24</v>
      </c>
    </row>
    <row r="7716" spans="1:11" ht="54" customHeight="1">
      <c r="A7716" s="9" t="s">
        <v>16929</v>
      </c>
      <c r="B7716" s="9" t="s">
        <v>16929</v>
      </c>
      <c r="C7716" s="9" t="s">
        <v>17</v>
      </c>
      <c r="D7716" s="9" t="s">
        <v>18</v>
      </c>
      <c r="E7716" s="10" t="s">
        <v>3471</v>
      </c>
      <c r="F7716" s="9" t="s">
        <v>3472</v>
      </c>
      <c r="G7716" s="10" t="s">
        <v>86</v>
      </c>
      <c r="H7716" s="9" t="s">
        <v>22</v>
      </c>
      <c r="I7716" s="9" t="s">
        <v>17036</v>
      </c>
      <c r="J7716" s="10" t="str">
        <f>HYPERLINK("https://www.boe.es/gazeta/dias/1834/07/07/pdfs/GMD-1834-140.pdf#page=2","Abrir facsímil")</f>
        <v>Abrir facsímil</v>
      </c>
      <c r="K7716" s="10" t="s">
        <v>24</v>
      </c>
    </row>
    <row r="7717" spans="1:11" ht="54" customHeight="1">
      <c r="A7717" s="9" t="s">
        <v>16929</v>
      </c>
      <c r="B7717" s="9" t="s">
        <v>16929</v>
      </c>
      <c r="C7717" s="9" t="s">
        <v>17</v>
      </c>
      <c r="D7717" s="9" t="s">
        <v>55</v>
      </c>
      <c r="E7717" s="10" t="s">
        <v>3471</v>
      </c>
      <c r="F7717" s="9" t="s">
        <v>3472</v>
      </c>
      <c r="G7717" s="10" t="s">
        <v>21</v>
      </c>
      <c r="H7717" s="9" t="s">
        <v>22</v>
      </c>
      <c r="I7717" s="9" t="s">
        <v>17037</v>
      </c>
      <c r="J7717" s="10" t="str">
        <f>HYPERLINK("https://www.boe.es/gazeta/dias/1834/07/07/pdfs/GMD-1834-140.pdf#page=3","Abrir facsímil")</f>
        <v>Abrir facsímil</v>
      </c>
      <c r="K7717" s="10" t="s">
        <v>24</v>
      </c>
    </row>
    <row r="7718" spans="1:11" ht="54" customHeight="1">
      <c r="A7718" s="9" t="s">
        <v>16929</v>
      </c>
      <c r="B7718" s="9" t="s">
        <v>16929</v>
      </c>
      <c r="C7718" s="9" t="s">
        <v>90</v>
      </c>
      <c r="D7718" s="9" t="s">
        <v>101</v>
      </c>
      <c r="E7718" s="10" t="s">
        <v>429</v>
      </c>
      <c r="F7718" s="9" t="s">
        <v>3421</v>
      </c>
      <c r="G7718" s="10" t="s">
        <v>34</v>
      </c>
      <c r="H7718" s="9" t="s">
        <v>22</v>
      </c>
      <c r="I7718" s="9" t="s">
        <v>17038</v>
      </c>
      <c r="J7718" s="10" t="str">
        <f>HYPERLINK("https://www.boe.es/gazeta/dias/1834/08/07/pdfs/GMD-1834-172.pdf#page=1","Abrir facsímil")</f>
        <v>Abrir facsímil</v>
      </c>
      <c r="K7718" s="10" t="s">
        <v>24</v>
      </c>
    </row>
    <row r="7719" spans="1:11" ht="54" customHeight="1">
      <c r="A7719" s="9" t="s">
        <v>16929</v>
      </c>
      <c r="B7719" s="9" t="s">
        <v>16929</v>
      </c>
      <c r="C7719" s="9" t="s">
        <v>66</v>
      </c>
      <c r="D7719" s="9" t="s">
        <v>67</v>
      </c>
      <c r="E7719" s="10" t="s">
        <v>429</v>
      </c>
      <c r="F7719" s="9" t="s">
        <v>3421</v>
      </c>
      <c r="G7719" s="10" t="s">
        <v>86</v>
      </c>
      <c r="H7719" s="9" t="s">
        <v>22</v>
      </c>
      <c r="I7719" s="9" t="s">
        <v>17039</v>
      </c>
      <c r="J7719" s="10" t="str">
        <f>HYPERLINK("https://www.boe.es/gazeta/dias/1834/08/07/pdfs/GMD-1834-172.pdf#page=2","Abrir facsímil")</f>
        <v>Abrir facsímil</v>
      </c>
      <c r="K7719" s="10" t="s">
        <v>24</v>
      </c>
    </row>
    <row r="7720" spans="1:11" ht="54" customHeight="1">
      <c r="A7720" s="9" t="s">
        <v>16929</v>
      </c>
      <c r="B7720" s="9" t="s">
        <v>16929</v>
      </c>
      <c r="C7720" s="9" t="s">
        <v>17</v>
      </c>
      <c r="D7720" s="9" t="s">
        <v>18</v>
      </c>
      <c r="E7720" s="10" t="s">
        <v>167</v>
      </c>
      <c r="F7720" s="9" t="s">
        <v>168</v>
      </c>
      <c r="G7720" s="10" t="s">
        <v>75</v>
      </c>
      <c r="H7720" s="9" t="s">
        <v>22</v>
      </c>
      <c r="I7720" s="9" t="s">
        <v>17040</v>
      </c>
      <c r="J7720" s="10" t="str">
        <f>HYPERLINK("https://www.boe.es/gazeta/dias/1834/09/07/pdfs/GMD-1834-205.pdf#page=4","Abrir facsímil")</f>
        <v>Abrir facsímil</v>
      </c>
      <c r="K7720" s="10" t="s">
        <v>24</v>
      </c>
    </row>
    <row r="7721" spans="1:11" ht="54" customHeight="1">
      <c r="A7721" s="9" t="s">
        <v>16929</v>
      </c>
      <c r="B7721" s="9" t="s">
        <v>16929</v>
      </c>
      <c r="C7721" s="9" t="s">
        <v>857</v>
      </c>
      <c r="D7721" s="9" t="s">
        <v>18</v>
      </c>
      <c r="E7721" s="10" t="s">
        <v>167</v>
      </c>
      <c r="F7721" s="9" t="s">
        <v>1200</v>
      </c>
      <c r="G7721" s="10" t="s">
        <v>34</v>
      </c>
      <c r="H7721" s="9" t="s">
        <v>22</v>
      </c>
      <c r="I7721" s="9" t="s">
        <v>17041</v>
      </c>
      <c r="J7721" s="10" t="str">
        <f>HYPERLINK("https://www.boe.es/gazeta/dias/1834/09/07/pdfs/GMD-C-1834-205.pdf#page=1","Abrir facsímil")</f>
        <v>Abrir facsímil</v>
      </c>
      <c r="K7721" s="10" t="s">
        <v>24</v>
      </c>
    </row>
    <row r="7722" spans="1:11" ht="54" customHeight="1">
      <c r="A7722" s="9" t="s">
        <v>16929</v>
      </c>
      <c r="B7722" s="9" t="s">
        <v>16929</v>
      </c>
      <c r="C7722" s="9" t="s">
        <v>17</v>
      </c>
      <c r="D7722" s="9" t="s">
        <v>40</v>
      </c>
      <c r="E7722" s="10" t="s">
        <v>167</v>
      </c>
      <c r="F7722" s="9" t="s">
        <v>1200</v>
      </c>
      <c r="G7722" s="10" t="s">
        <v>1343</v>
      </c>
      <c r="H7722" s="9" t="s">
        <v>22</v>
      </c>
      <c r="I7722" s="9" t="s">
        <v>17042</v>
      </c>
      <c r="J7722" s="10" t="str">
        <f>HYPERLINK("https://www.boe.es/gazeta/dias/1834/09/07/pdfs/GMD-C-1834-205.pdf#page=9","Abrir facsímil")</f>
        <v>Abrir facsímil</v>
      </c>
      <c r="K7722" s="10" t="s">
        <v>24</v>
      </c>
    </row>
    <row r="7723" spans="1:11" ht="54" customHeight="1">
      <c r="A7723" s="9" t="s">
        <v>16929</v>
      </c>
      <c r="B7723" s="9" t="s">
        <v>16929</v>
      </c>
      <c r="C7723" s="9" t="s">
        <v>17</v>
      </c>
      <c r="D7723" s="9" t="s">
        <v>18</v>
      </c>
      <c r="E7723" s="10" t="s">
        <v>433</v>
      </c>
      <c r="F7723" s="9" t="s">
        <v>434</v>
      </c>
      <c r="G7723" s="10" t="s">
        <v>34</v>
      </c>
      <c r="H7723" s="9" t="s">
        <v>22</v>
      </c>
      <c r="I7723" s="9" t="s">
        <v>17043</v>
      </c>
      <c r="J7723" s="10" t="str">
        <f>HYPERLINK("https://www.boe.es/gazeta/dias/1834/10/07/pdfs/GMD-C-1834-235.pdf#page=1","Abrir facsímil")</f>
        <v>Abrir facsímil</v>
      </c>
      <c r="K7723" s="10" t="s">
        <v>24</v>
      </c>
    </row>
    <row r="7724" spans="1:11" ht="54" customHeight="1">
      <c r="A7724" s="9" t="s">
        <v>16929</v>
      </c>
      <c r="B7724" s="9" t="s">
        <v>16929</v>
      </c>
      <c r="C7724" s="9" t="s">
        <v>90</v>
      </c>
      <c r="D7724" s="9" t="s">
        <v>18</v>
      </c>
      <c r="E7724" s="10" t="s">
        <v>762</v>
      </c>
      <c r="F7724" s="9" t="s">
        <v>763</v>
      </c>
      <c r="G7724" s="10" t="s">
        <v>34</v>
      </c>
      <c r="H7724" s="9" t="s">
        <v>22</v>
      </c>
      <c r="I7724" s="9" t="s">
        <v>17044</v>
      </c>
      <c r="J7724" s="10" t="str">
        <f>HYPERLINK("https://www.boe.es/gazeta/dias/1834/11/07/pdfs/GMD-1834-266.pdf#page=1","Abrir facsímil")</f>
        <v>Abrir facsímil</v>
      </c>
      <c r="K7724" s="10" t="s">
        <v>24</v>
      </c>
    </row>
    <row r="7725" spans="1:11" ht="54" customHeight="1">
      <c r="A7725" s="9" t="s">
        <v>16929</v>
      </c>
      <c r="B7725" s="9" t="s">
        <v>16929</v>
      </c>
      <c r="C7725" s="9" t="s">
        <v>46</v>
      </c>
      <c r="D7725" s="9" t="s">
        <v>101</v>
      </c>
      <c r="E7725" s="10" t="s">
        <v>762</v>
      </c>
      <c r="F7725" s="9" t="s">
        <v>763</v>
      </c>
      <c r="G7725" s="10" t="s">
        <v>21</v>
      </c>
      <c r="H7725" s="9" t="s">
        <v>22</v>
      </c>
      <c r="I7725" s="9" t="s">
        <v>17045</v>
      </c>
      <c r="J7725" s="10" t="str">
        <f>HYPERLINK("https://www.boe.es/gazeta/dias/1834/11/07/pdfs/GMD-1834-266.pdf#page=3","Abrir facsímil")</f>
        <v>Abrir facsímil</v>
      </c>
      <c r="K7725" s="10" t="s">
        <v>24</v>
      </c>
    </row>
    <row r="7726" spans="1:11" ht="54" customHeight="1">
      <c r="A7726" s="9" t="s">
        <v>16929</v>
      </c>
      <c r="B7726" s="9" t="s">
        <v>16929</v>
      </c>
      <c r="C7726" s="9" t="s">
        <v>66</v>
      </c>
      <c r="D7726" s="9" t="s">
        <v>67</v>
      </c>
      <c r="E7726" s="10" t="s">
        <v>762</v>
      </c>
      <c r="F7726" s="9" t="s">
        <v>763</v>
      </c>
      <c r="G7726" s="10" t="s">
        <v>75</v>
      </c>
      <c r="H7726" s="9" t="s">
        <v>22</v>
      </c>
      <c r="I7726" s="9" t="s">
        <v>17046</v>
      </c>
      <c r="J7726" s="10" t="str">
        <f>HYPERLINK("https://www.boe.es/gazeta/dias/1834/11/07/pdfs/GMD-1834-266.pdf#page=4","Abrir facsímil")</f>
        <v>Abrir facsímil</v>
      </c>
      <c r="K7726" s="10" t="s">
        <v>24</v>
      </c>
    </row>
    <row r="7727" spans="1:11" ht="54" customHeight="1">
      <c r="A7727" s="9" t="s">
        <v>16929</v>
      </c>
      <c r="B7727" s="9" t="s">
        <v>16929</v>
      </c>
      <c r="C7727" s="9" t="s">
        <v>17</v>
      </c>
      <c r="D7727" s="9" t="s">
        <v>18</v>
      </c>
      <c r="E7727" s="10" t="s">
        <v>3170</v>
      </c>
      <c r="F7727" s="9" t="s">
        <v>3171</v>
      </c>
      <c r="G7727" s="10" t="s">
        <v>21</v>
      </c>
      <c r="H7727" s="9" t="s">
        <v>22</v>
      </c>
      <c r="I7727" s="9" t="s">
        <v>17047</v>
      </c>
      <c r="J7727" s="10" t="str">
        <f>HYPERLINK("https://www.boe.es/gazeta/dias/1834/12/07/pdfs/GMD-1834-296.pdf#page=3","Abrir facsímil")</f>
        <v>Abrir facsímil</v>
      </c>
      <c r="K7727" s="10" t="s">
        <v>24</v>
      </c>
    </row>
    <row r="7728" spans="1:11" ht="54" customHeight="1">
      <c r="A7728" s="9" t="s">
        <v>16929</v>
      </c>
      <c r="B7728" s="9" t="s">
        <v>16929</v>
      </c>
      <c r="C7728" s="9" t="s">
        <v>17</v>
      </c>
      <c r="D7728" s="9" t="s">
        <v>18</v>
      </c>
      <c r="E7728" s="10" t="s">
        <v>860</v>
      </c>
      <c r="F7728" s="9" t="s">
        <v>861</v>
      </c>
      <c r="G7728" s="10" t="s">
        <v>34</v>
      </c>
      <c r="H7728" s="9" t="s">
        <v>22</v>
      </c>
      <c r="I7728" s="9" t="s">
        <v>17048</v>
      </c>
      <c r="J7728" s="10" t="str">
        <f>HYPERLINK("https://www.boe.es/gazeta/dias/1834/02/08/pdfs/GMD-1834-18.pdf#page=1","Abrir facsímil")</f>
        <v>Abrir facsímil</v>
      </c>
      <c r="K7728" s="10" t="s">
        <v>24</v>
      </c>
    </row>
    <row r="7729" spans="1:11" ht="54" customHeight="1">
      <c r="A7729" s="9" t="s">
        <v>16929</v>
      </c>
      <c r="B7729" s="9" t="s">
        <v>16929</v>
      </c>
      <c r="C7729" s="9" t="s">
        <v>90</v>
      </c>
      <c r="D7729" s="9" t="s">
        <v>101</v>
      </c>
      <c r="E7729" s="10" t="s">
        <v>860</v>
      </c>
      <c r="F7729" s="9" t="s">
        <v>861</v>
      </c>
      <c r="G7729" s="10" t="s">
        <v>86</v>
      </c>
      <c r="H7729" s="9" t="s">
        <v>22</v>
      </c>
      <c r="I7729" s="9" t="s">
        <v>17049</v>
      </c>
      <c r="J7729" s="10" t="str">
        <f>HYPERLINK("https://www.boe.es/gazeta/dias/1834/02/08/pdfs/GMD-1834-18.pdf#page=2","Abrir facsímil")</f>
        <v>Abrir facsímil</v>
      </c>
      <c r="K7729" s="10" t="s">
        <v>24</v>
      </c>
    </row>
    <row r="7730" spans="1:11" ht="54" customHeight="1">
      <c r="A7730" s="9" t="s">
        <v>16929</v>
      </c>
      <c r="B7730" s="9" t="s">
        <v>16929</v>
      </c>
      <c r="C7730" s="9" t="s">
        <v>17</v>
      </c>
      <c r="D7730" s="9" t="s">
        <v>18</v>
      </c>
      <c r="E7730" s="10" t="s">
        <v>860</v>
      </c>
      <c r="F7730" s="9" t="s">
        <v>861</v>
      </c>
      <c r="G7730" s="10" t="s">
        <v>21</v>
      </c>
      <c r="H7730" s="9" t="s">
        <v>22</v>
      </c>
      <c r="I7730" s="9" t="s">
        <v>17050</v>
      </c>
      <c r="J7730" s="10" t="str">
        <f>HYPERLINK("https://www.boe.es/gazeta/dias/1834/02/08/pdfs/GMD-1834-18.pdf#page=3","Abrir facsímil")</f>
        <v>Abrir facsímil</v>
      </c>
      <c r="K7730" s="10" t="s">
        <v>24</v>
      </c>
    </row>
    <row r="7731" spans="1:11" ht="54" customHeight="1">
      <c r="A7731" s="9" t="s">
        <v>16929</v>
      </c>
      <c r="B7731" s="9" t="s">
        <v>16929</v>
      </c>
      <c r="C7731" s="9" t="s">
        <v>122</v>
      </c>
      <c r="D7731" s="9" t="s">
        <v>18</v>
      </c>
      <c r="E7731" s="10" t="s">
        <v>860</v>
      </c>
      <c r="F7731" s="9" t="s">
        <v>861</v>
      </c>
      <c r="G7731" s="10" t="s">
        <v>75</v>
      </c>
      <c r="H7731" s="9" t="s">
        <v>22</v>
      </c>
      <c r="I7731" s="9" t="s">
        <v>17051</v>
      </c>
      <c r="J7731" s="10" t="str">
        <f>HYPERLINK("https://www.boe.es/gazeta/dias/1834/02/08/pdfs/GMD-1834-18.pdf#page=4","Abrir facsímil")</f>
        <v>Abrir facsímil</v>
      </c>
      <c r="K7731" s="10" t="s">
        <v>24</v>
      </c>
    </row>
    <row r="7732" spans="1:11" ht="54" customHeight="1">
      <c r="A7732" s="9" t="s">
        <v>16929</v>
      </c>
      <c r="B7732" s="9" t="s">
        <v>16929</v>
      </c>
      <c r="C7732" s="9" t="s">
        <v>17</v>
      </c>
      <c r="D7732" s="9" t="s">
        <v>18</v>
      </c>
      <c r="E7732" s="10" t="s">
        <v>860</v>
      </c>
      <c r="F7732" s="9" t="s">
        <v>861</v>
      </c>
      <c r="G7732" s="10" t="s">
        <v>28</v>
      </c>
      <c r="H7732" s="9" t="s">
        <v>22</v>
      </c>
      <c r="I7732" s="9" t="s">
        <v>17052</v>
      </c>
      <c r="J7732" s="10" t="str">
        <f>HYPERLINK("https://www.boe.es/gazeta/dias/1834/02/08/pdfs/GMD-1834-18.pdf#page=5","Abrir facsímil")</f>
        <v>Abrir facsímil</v>
      </c>
      <c r="K7732" s="10" t="s">
        <v>24</v>
      </c>
    </row>
    <row r="7733" spans="1:11" ht="54" customHeight="1">
      <c r="A7733" s="9" t="s">
        <v>16929</v>
      </c>
      <c r="B7733" s="9" t="s">
        <v>16929</v>
      </c>
      <c r="C7733" s="9" t="s">
        <v>17</v>
      </c>
      <c r="D7733" s="9" t="s">
        <v>18</v>
      </c>
      <c r="E7733" s="10" t="s">
        <v>2091</v>
      </c>
      <c r="F7733" s="9" t="s">
        <v>2092</v>
      </c>
      <c r="G7733" s="10" t="s">
        <v>34</v>
      </c>
      <c r="H7733" s="9" t="s">
        <v>22</v>
      </c>
      <c r="I7733" s="9" t="s">
        <v>17053</v>
      </c>
      <c r="J7733" s="10" t="str">
        <f>HYPERLINK("https://www.boe.es/gazeta/dias/1834/03/08/pdfs/GMD-1834-30.pdf#page=1","Abrir facsímil")</f>
        <v>Abrir facsímil</v>
      </c>
      <c r="K7733" s="10" t="s">
        <v>24</v>
      </c>
    </row>
    <row r="7734" spans="1:11" ht="54" customHeight="1">
      <c r="A7734" s="9" t="s">
        <v>16929</v>
      </c>
      <c r="B7734" s="9" t="s">
        <v>16929</v>
      </c>
      <c r="C7734" s="9" t="s">
        <v>17</v>
      </c>
      <c r="D7734" s="9" t="s">
        <v>101</v>
      </c>
      <c r="E7734" s="10" t="s">
        <v>12114</v>
      </c>
      <c r="F7734" s="9" t="s">
        <v>12115</v>
      </c>
      <c r="G7734" s="10" t="s">
        <v>34</v>
      </c>
      <c r="H7734" s="9" t="s">
        <v>22</v>
      </c>
      <c r="I7734" s="9" t="s">
        <v>17054</v>
      </c>
      <c r="J7734" s="10" t="str">
        <f>HYPERLINK("https://www.boe.es/gazeta/dias/1834/04/08/pdfs/GMD-1834-47.pdf#page=1","Abrir facsímil")</f>
        <v>Abrir facsímil</v>
      </c>
      <c r="K7734" s="10" t="s">
        <v>24</v>
      </c>
    </row>
    <row r="7735" spans="1:11" ht="54" customHeight="1">
      <c r="A7735" s="9" t="s">
        <v>16929</v>
      </c>
      <c r="B7735" s="9" t="s">
        <v>16929</v>
      </c>
      <c r="C7735" s="9" t="s">
        <v>17</v>
      </c>
      <c r="D7735" s="9" t="s">
        <v>18</v>
      </c>
      <c r="E7735" s="10" t="s">
        <v>1505</v>
      </c>
      <c r="F7735" s="9" t="s">
        <v>1506</v>
      </c>
      <c r="G7735" s="10" t="s">
        <v>86</v>
      </c>
      <c r="H7735" s="9" t="s">
        <v>22</v>
      </c>
      <c r="I7735" s="9" t="s">
        <v>17055</v>
      </c>
      <c r="J7735" s="10" t="str">
        <f>HYPERLINK("https://www.boe.es/gazeta/dias/1834/05/08/pdfs/GMD-1834-77.pdf#page=2","Abrir facsímil")</f>
        <v>Abrir facsímil</v>
      </c>
      <c r="K7735" s="10" t="s">
        <v>24</v>
      </c>
    </row>
    <row r="7736" spans="1:11" ht="54" customHeight="1">
      <c r="A7736" s="9" t="s">
        <v>16929</v>
      </c>
      <c r="B7736" s="9" t="s">
        <v>16929</v>
      </c>
      <c r="C7736" s="9" t="s">
        <v>17</v>
      </c>
      <c r="D7736" s="9" t="s">
        <v>40</v>
      </c>
      <c r="E7736" s="10" t="s">
        <v>61</v>
      </c>
      <c r="F7736" s="9" t="s">
        <v>205</v>
      </c>
      <c r="G7736" s="10" t="s">
        <v>75</v>
      </c>
      <c r="H7736" s="9" t="s">
        <v>22</v>
      </c>
      <c r="I7736" s="9" t="s">
        <v>17056</v>
      </c>
      <c r="J7736" s="10" t="str">
        <f>HYPERLINK("https://www.boe.es/gazeta/dias/1834/06/08/pdfs/GMD-1834-110.pdf#page=4","Abrir facsímil")</f>
        <v>Abrir facsímil</v>
      </c>
      <c r="K7736" s="10" t="s">
        <v>24</v>
      </c>
    </row>
    <row r="7737" spans="1:11" ht="54" customHeight="1">
      <c r="A7737" s="9" t="s">
        <v>16929</v>
      </c>
      <c r="B7737" s="9" t="s">
        <v>16929</v>
      </c>
      <c r="C7737" s="9" t="s">
        <v>46</v>
      </c>
      <c r="D7737" s="9" t="s">
        <v>18</v>
      </c>
      <c r="E7737" s="10" t="s">
        <v>61</v>
      </c>
      <c r="F7737" s="9" t="s">
        <v>62</v>
      </c>
      <c r="G7737" s="10" t="s">
        <v>34</v>
      </c>
      <c r="H7737" s="9" t="s">
        <v>22</v>
      </c>
      <c r="I7737" s="9" t="s">
        <v>17057</v>
      </c>
      <c r="J7737" s="10" t="str">
        <f>HYPERLINK("https://www.boe.es/gazeta/dias/1834/06/08/pdfs/GMD-1834-111E.pdf#page=1","Abrir facsímil")</f>
        <v>Abrir facsímil</v>
      </c>
      <c r="K7737" s="10" t="s">
        <v>24</v>
      </c>
    </row>
    <row r="7738" spans="1:11" ht="54" customHeight="1">
      <c r="A7738" s="9" t="s">
        <v>16929</v>
      </c>
      <c r="B7738" s="9" t="s">
        <v>16929</v>
      </c>
      <c r="C7738" s="9" t="s">
        <v>46</v>
      </c>
      <c r="D7738" s="9" t="s">
        <v>101</v>
      </c>
      <c r="E7738" s="10" t="s">
        <v>399</v>
      </c>
      <c r="F7738" s="9" t="s">
        <v>400</v>
      </c>
      <c r="G7738" s="10" t="s">
        <v>34</v>
      </c>
      <c r="H7738" s="9" t="s">
        <v>22</v>
      </c>
      <c r="I7738" s="9" t="s">
        <v>17058</v>
      </c>
      <c r="J7738" s="10" t="str">
        <f>HYPERLINK("https://www.boe.es/gazeta/dias/1834/07/08/pdfs/GMD-1834-141.pdf#page=1","Abrir facsímil")</f>
        <v>Abrir facsímil</v>
      </c>
      <c r="K7738" s="10" t="s">
        <v>24</v>
      </c>
    </row>
    <row r="7739" spans="1:11" ht="54" customHeight="1">
      <c r="A7739" s="9" t="s">
        <v>16929</v>
      </c>
      <c r="B7739" s="9" t="s">
        <v>16929</v>
      </c>
      <c r="C7739" s="9" t="s">
        <v>46</v>
      </c>
      <c r="D7739" s="9" t="s">
        <v>101</v>
      </c>
      <c r="E7739" s="10" t="s">
        <v>813</v>
      </c>
      <c r="F7739" s="9" t="s">
        <v>814</v>
      </c>
      <c r="G7739" s="10" t="s">
        <v>86</v>
      </c>
      <c r="H7739" s="9" t="s">
        <v>22</v>
      </c>
      <c r="I7739" s="9" t="s">
        <v>17059</v>
      </c>
      <c r="J7739" s="10" t="str">
        <f>HYPERLINK("https://www.boe.es/gazeta/dias/1834/08/08/pdfs/GMD-1834-173.pdf#page=2","Abrir facsímil")</f>
        <v>Abrir facsímil</v>
      </c>
      <c r="K7739" s="10" t="s">
        <v>24</v>
      </c>
    </row>
    <row r="7740" spans="1:11" ht="54" customHeight="1">
      <c r="A7740" s="9" t="s">
        <v>16929</v>
      </c>
      <c r="B7740" s="9" t="s">
        <v>16929</v>
      </c>
      <c r="C7740" s="9" t="s">
        <v>17</v>
      </c>
      <c r="D7740" s="9" t="s">
        <v>18</v>
      </c>
      <c r="E7740" s="10" t="s">
        <v>1008</v>
      </c>
      <c r="F7740" s="9" t="s">
        <v>1009</v>
      </c>
      <c r="G7740" s="10" t="s">
        <v>34</v>
      </c>
      <c r="H7740" s="9" t="s">
        <v>22</v>
      </c>
      <c r="I7740" s="9" t="s">
        <v>17060</v>
      </c>
      <c r="J7740" s="10" t="str">
        <f>HYPERLINK("https://www.boe.es/gazeta/dias/1834/11/08/pdfs/GMD-C-1834-267.pdf#page=1","Abrir facsímil")</f>
        <v>Abrir facsímil</v>
      </c>
      <c r="K7740" s="10" t="s">
        <v>24</v>
      </c>
    </row>
    <row r="7741" spans="1:11" ht="54" customHeight="1">
      <c r="A7741" s="9" t="s">
        <v>16929</v>
      </c>
      <c r="B7741" s="9" t="s">
        <v>16929</v>
      </c>
      <c r="C7741" s="9" t="s">
        <v>90</v>
      </c>
      <c r="D7741" s="9" t="s">
        <v>101</v>
      </c>
      <c r="E7741" s="10" t="s">
        <v>4637</v>
      </c>
      <c r="F7741" s="9" t="s">
        <v>4638</v>
      </c>
      <c r="G7741" s="10" t="s">
        <v>34</v>
      </c>
      <c r="H7741" s="9" t="s">
        <v>22</v>
      </c>
      <c r="I7741" s="9" t="s">
        <v>17061</v>
      </c>
      <c r="J7741" s="10" t="str">
        <f>HYPERLINK("https://www.boe.es/gazeta/dias/1834/12/08/pdfs/GMD-1834-297.pdf#page=1","Abrir facsímil")</f>
        <v>Abrir facsímil</v>
      </c>
      <c r="K7741" s="10" t="s">
        <v>24</v>
      </c>
    </row>
    <row r="7742" spans="1:11" ht="54" customHeight="1">
      <c r="A7742" s="9" t="s">
        <v>16929</v>
      </c>
      <c r="B7742" s="9" t="s">
        <v>16929</v>
      </c>
      <c r="C7742" s="9" t="s">
        <v>857</v>
      </c>
      <c r="D7742" s="9" t="s">
        <v>18</v>
      </c>
      <c r="E7742" s="10" t="s">
        <v>2748</v>
      </c>
      <c r="F7742" s="9" t="s">
        <v>2749</v>
      </c>
      <c r="G7742" s="10" t="s">
        <v>34</v>
      </c>
      <c r="H7742" s="9" t="s">
        <v>22</v>
      </c>
      <c r="I7742" s="9" t="s">
        <v>17062</v>
      </c>
      <c r="J7742" s="10" t="str">
        <f>HYPERLINK("https://www.boe.es/gazeta/dias/1834/01/09/pdfs/GMD-1834-5.pdf#page=1","Abrir facsímil")</f>
        <v>Abrir facsímil</v>
      </c>
      <c r="K7742" s="10" t="s">
        <v>24</v>
      </c>
    </row>
    <row r="7743" spans="1:11" ht="54" customHeight="1">
      <c r="A7743" s="9" t="s">
        <v>16929</v>
      </c>
      <c r="B7743" s="9" t="s">
        <v>16929</v>
      </c>
      <c r="C7743" s="9" t="s">
        <v>17</v>
      </c>
      <c r="D7743" s="9" t="s">
        <v>18</v>
      </c>
      <c r="E7743" s="10" t="s">
        <v>2748</v>
      </c>
      <c r="F7743" s="9" t="s">
        <v>2749</v>
      </c>
      <c r="G7743" s="10" t="s">
        <v>86</v>
      </c>
      <c r="H7743" s="9" t="s">
        <v>22</v>
      </c>
      <c r="I7743" s="9" t="s">
        <v>17063</v>
      </c>
      <c r="J7743" s="10" t="str">
        <f>HYPERLINK("https://www.boe.es/gazeta/dias/1834/01/09/pdfs/GMD-1834-5.pdf#page=2","Abrir facsímil")</f>
        <v>Abrir facsímil</v>
      </c>
      <c r="K7743" s="10" t="s">
        <v>24</v>
      </c>
    </row>
    <row r="7744" spans="1:11" ht="54" customHeight="1">
      <c r="A7744" s="9" t="s">
        <v>16929</v>
      </c>
      <c r="B7744" s="9" t="s">
        <v>16929</v>
      </c>
      <c r="C7744" s="9" t="s">
        <v>46</v>
      </c>
      <c r="D7744" s="9" t="s">
        <v>55</v>
      </c>
      <c r="E7744" s="10" t="s">
        <v>2748</v>
      </c>
      <c r="F7744" s="9" t="s">
        <v>2749</v>
      </c>
      <c r="G7744" s="10" t="s">
        <v>21</v>
      </c>
      <c r="H7744" s="9" t="s">
        <v>22</v>
      </c>
      <c r="I7744" s="9" t="s">
        <v>17064</v>
      </c>
      <c r="J7744" s="10" t="str">
        <f>HYPERLINK("https://www.boe.es/gazeta/dias/1834/01/09/pdfs/GMD-1834-5.pdf#page=3","Abrir facsímil")</f>
        <v>Abrir facsímil</v>
      </c>
      <c r="K7744" s="10" t="s">
        <v>24</v>
      </c>
    </row>
    <row r="7745" spans="1:11" ht="54" customHeight="1">
      <c r="A7745" s="9" t="s">
        <v>16929</v>
      </c>
      <c r="B7745" s="9" t="s">
        <v>16929</v>
      </c>
      <c r="C7745" s="9" t="s">
        <v>17</v>
      </c>
      <c r="D7745" s="9" t="s">
        <v>101</v>
      </c>
      <c r="E7745" s="10" t="s">
        <v>2748</v>
      </c>
      <c r="F7745" s="9" t="s">
        <v>2749</v>
      </c>
      <c r="G7745" s="10" t="s">
        <v>75</v>
      </c>
      <c r="H7745" s="9" t="s">
        <v>22</v>
      </c>
      <c r="I7745" s="9" t="s">
        <v>17065</v>
      </c>
      <c r="J7745" s="10" t="str">
        <f>HYPERLINK("https://www.boe.es/gazeta/dias/1834/01/09/pdfs/GMD-1834-5.pdf#page=4","Abrir facsímil")</f>
        <v>Abrir facsímil</v>
      </c>
      <c r="K7745" s="10" t="s">
        <v>24</v>
      </c>
    </row>
    <row r="7746" spans="1:11" ht="54" customHeight="1">
      <c r="A7746" s="9" t="s">
        <v>16929</v>
      </c>
      <c r="B7746" s="9" t="s">
        <v>16929</v>
      </c>
      <c r="C7746" s="9" t="s">
        <v>17</v>
      </c>
      <c r="D7746" s="9" t="s">
        <v>18</v>
      </c>
      <c r="E7746" s="10" t="s">
        <v>2004</v>
      </c>
      <c r="F7746" s="9" t="s">
        <v>2005</v>
      </c>
      <c r="G7746" s="10" t="s">
        <v>34</v>
      </c>
      <c r="H7746" s="9" t="s">
        <v>22</v>
      </c>
      <c r="I7746" s="9" t="s">
        <v>17066</v>
      </c>
      <c r="J7746" s="10" t="str">
        <f>HYPERLINK("https://www.boe.es/gazeta/dias/1834/05/09/pdfs/GMD-1834-78.pdf#page=1","Abrir facsímil")</f>
        <v>Abrir facsímil</v>
      </c>
      <c r="K7746" s="10" t="s">
        <v>24</v>
      </c>
    </row>
    <row r="7747" spans="1:11" ht="54" customHeight="1">
      <c r="A7747" s="9" t="s">
        <v>16929</v>
      </c>
      <c r="B7747" s="9" t="s">
        <v>16929</v>
      </c>
      <c r="C7747" s="9" t="s">
        <v>17</v>
      </c>
      <c r="D7747" s="9" t="s">
        <v>55</v>
      </c>
      <c r="E7747" s="10" t="s">
        <v>2124</v>
      </c>
      <c r="F7747" s="9" t="s">
        <v>2125</v>
      </c>
      <c r="G7747" s="10" t="s">
        <v>75</v>
      </c>
      <c r="H7747" s="9" t="s">
        <v>22</v>
      </c>
      <c r="I7747" s="9" t="s">
        <v>17067</v>
      </c>
      <c r="J7747" s="10" t="str">
        <f>HYPERLINK("https://www.boe.es/gazeta/dias/1834/06/09/pdfs/GMD-1834-112.pdf#page=4","Abrir facsímil")</f>
        <v>Abrir facsímil</v>
      </c>
      <c r="K7747" s="10" t="s">
        <v>24</v>
      </c>
    </row>
    <row r="7748" spans="1:11" ht="54" customHeight="1">
      <c r="A7748" s="9" t="s">
        <v>16929</v>
      </c>
      <c r="B7748" s="9" t="s">
        <v>16929</v>
      </c>
      <c r="C7748" s="9" t="s">
        <v>90</v>
      </c>
      <c r="D7748" s="9" t="s">
        <v>101</v>
      </c>
      <c r="E7748" s="10" t="s">
        <v>56</v>
      </c>
      <c r="F7748" s="9" t="s">
        <v>57</v>
      </c>
      <c r="G7748" s="10" t="s">
        <v>34</v>
      </c>
      <c r="H7748" s="9" t="s">
        <v>22</v>
      </c>
      <c r="I7748" s="9" t="s">
        <v>17068</v>
      </c>
      <c r="J7748" s="10" t="str">
        <f>HYPERLINK("https://www.boe.es/gazeta/dias/1834/07/09/pdfs/GMD-1834-142.pdf#page=1","Abrir facsímil")</f>
        <v>Abrir facsímil</v>
      </c>
      <c r="K7748" s="10" t="s">
        <v>24</v>
      </c>
    </row>
    <row r="7749" spans="1:11" ht="54" customHeight="1">
      <c r="A7749" s="9" t="s">
        <v>16929</v>
      </c>
      <c r="B7749" s="9" t="s">
        <v>16929</v>
      </c>
      <c r="C7749" s="9" t="s">
        <v>122</v>
      </c>
      <c r="D7749" s="9" t="s">
        <v>18</v>
      </c>
      <c r="E7749" s="10" t="s">
        <v>56</v>
      </c>
      <c r="F7749" s="9" t="s">
        <v>57</v>
      </c>
      <c r="G7749" s="10" t="s">
        <v>86</v>
      </c>
      <c r="H7749" s="9" t="s">
        <v>22</v>
      </c>
      <c r="I7749" s="9" t="s">
        <v>17069</v>
      </c>
      <c r="J7749" s="10" t="str">
        <f>HYPERLINK("https://www.boe.es/gazeta/dias/1834/07/09/pdfs/GMD-1834-142.pdf#page=2","Abrir facsímil")</f>
        <v>Abrir facsímil</v>
      </c>
      <c r="K7749" s="10" t="s">
        <v>24</v>
      </c>
    </row>
    <row r="7750" spans="1:11" ht="54" customHeight="1">
      <c r="A7750" s="9" t="s">
        <v>16929</v>
      </c>
      <c r="B7750" s="9" t="s">
        <v>16929</v>
      </c>
      <c r="C7750" s="9" t="s">
        <v>66</v>
      </c>
      <c r="D7750" s="9" t="s">
        <v>101</v>
      </c>
      <c r="E7750" s="10" t="s">
        <v>163</v>
      </c>
      <c r="F7750" s="9" t="s">
        <v>164</v>
      </c>
      <c r="G7750" s="10" t="s">
        <v>34</v>
      </c>
      <c r="H7750" s="9" t="s">
        <v>22</v>
      </c>
      <c r="I7750" s="9" t="s">
        <v>17070</v>
      </c>
      <c r="J7750" s="10" t="str">
        <f>HYPERLINK("https://www.boe.es/gazeta/dias/1834/08/09/pdfs/GMD-1834-174.pdf#page=1","Abrir facsímil")</f>
        <v>Abrir facsímil</v>
      </c>
      <c r="K7750" s="10" t="s">
        <v>24</v>
      </c>
    </row>
    <row r="7751" spans="1:11" ht="54" customHeight="1">
      <c r="A7751" s="9" t="s">
        <v>16929</v>
      </c>
      <c r="B7751" s="9" t="s">
        <v>16929</v>
      </c>
      <c r="C7751" s="9" t="s">
        <v>17</v>
      </c>
      <c r="D7751" s="9" t="s">
        <v>18</v>
      </c>
      <c r="E7751" s="10" t="s">
        <v>258</v>
      </c>
      <c r="F7751" s="9" t="s">
        <v>1075</v>
      </c>
      <c r="G7751" s="10" t="s">
        <v>86</v>
      </c>
      <c r="H7751" s="9" t="s">
        <v>22</v>
      </c>
      <c r="I7751" s="9" t="s">
        <v>17071</v>
      </c>
      <c r="J7751" s="10" t="str">
        <f>HYPERLINK("https://www.boe.es/gazeta/dias/1834/10/09/pdfs/GMD-1834-237.pdf#page=2","Abrir facsímil")</f>
        <v>Abrir facsímil</v>
      </c>
      <c r="K7751" s="10" t="s">
        <v>24</v>
      </c>
    </row>
    <row r="7752" spans="1:11" ht="54" customHeight="1">
      <c r="A7752" s="9" t="s">
        <v>16929</v>
      </c>
      <c r="B7752" s="9" t="s">
        <v>16929</v>
      </c>
      <c r="C7752" s="9" t="s">
        <v>17</v>
      </c>
      <c r="D7752" s="9" t="s">
        <v>18</v>
      </c>
      <c r="E7752" s="10" t="s">
        <v>258</v>
      </c>
      <c r="F7752" s="9" t="s">
        <v>259</v>
      </c>
      <c r="G7752" s="10" t="s">
        <v>86</v>
      </c>
      <c r="H7752" s="9" t="s">
        <v>22</v>
      </c>
      <c r="I7752" s="9" t="s">
        <v>17072</v>
      </c>
      <c r="J7752" s="10" t="str">
        <f>HYPERLINK("https://www.boe.es/gazeta/dias/1834/10/09/pdfs/GMD-C-1834-237.pdf#page=2","Abrir facsímil")</f>
        <v>Abrir facsímil</v>
      </c>
      <c r="K7752" s="10" t="s">
        <v>24</v>
      </c>
    </row>
    <row r="7753" spans="1:11" ht="54" customHeight="1">
      <c r="A7753" s="9" t="s">
        <v>16929</v>
      </c>
      <c r="B7753" s="9" t="s">
        <v>16929</v>
      </c>
      <c r="C7753" s="9" t="s">
        <v>17</v>
      </c>
      <c r="D7753" s="9" t="s">
        <v>18</v>
      </c>
      <c r="E7753" s="10" t="s">
        <v>258</v>
      </c>
      <c r="F7753" s="9" t="s">
        <v>259</v>
      </c>
      <c r="G7753" s="10" t="s">
        <v>75</v>
      </c>
      <c r="H7753" s="9" t="s">
        <v>22</v>
      </c>
      <c r="I7753" s="9" t="s">
        <v>17073</v>
      </c>
      <c r="J7753" s="10" t="str">
        <f>HYPERLINK("https://www.boe.es/gazeta/dias/1834/10/09/pdfs/GMD-C-1834-237.pdf#page=4","Abrir facsímil")</f>
        <v>Abrir facsímil</v>
      </c>
      <c r="K7753" s="10" t="s">
        <v>24</v>
      </c>
    </row>
    <row r="7754" spans="1:11" ht="54" customHeight="1">
      <c r="A7754" s="9" t="s">
        <v>16929</v>
      </c>
      <c r="B7754" s="9" t="s">
        <v>16929</v>
      </c>
      <c r="C7754" s="9" t="s">
        <v>46</v>
      </c>
      <c r="D7754" s="9" t="s">
        <v>101</v>
      </c>
      <c r="E7754" s="10" t="s">
        <v>258</v>
      </c>
      <c r="F7754" s="9" t="s">
        <v>259</v>
      </c>
      <c r="G7754" s="10" t="s">
        <v>28</v>
      </c>
      <c r="H7754" s="9" t="s">
        <v>22</v>
      </c>
      <c r="I7754" s="9" t="s">
        <v>17074</v>
      </c>
      <c r="J7754" s="10" t="str">
        <f>HYPERLINK("https://www.boe.es/gazeta/dias/1834/10/09/pdfs/GMD-C-1834-237.pdf#page=5","Abrir facsímil")</f>
        <v>Abrir facsímil</v>
      </c>
      <c r="K7754" s="10" t="s">
        <v>24</v>
      </c>
    </row>
    <row r="7755" spans="1:11" ht="54" customHeight="1">
      <c r="A7755" s="9" t="s">
        <v>16929</v>
      </c>
      <c r="B7755" s="9" t="s">
        <v>16929</v>
      </c>
      <c r="C7755" s="9" t="s">
        <v>17</v>
      </c>
      <c r="D7755" s="9" t="s">
        <v>18</v>
      </c>
      <c r="E7755" s="10" t="s">
        <v>438</v>
      </c>
      <c r="F7755" s="9" t="s">
        <v>439</v>
      </c>
      <c r="G7755" s="10" t="s">
        <v>75</v>
      </c>
      <c r="H7755" s="9" t="s">
        <v>22</v>
      </c>
      <c r="I7755" s="9" t="s">
        <v>17075</v>
      </c>
      <c r="J7755" s="10" t="str">
        <f>HYPERLINK("https://www.boe.es/gazeta/dias/1834/11/09/pdfs/GMD-1834-268.pdf#page=4","Abrir facsímil")</f>
        <v>Abrir facsímil</v>
      </c>
      <c r="K7755" s="10" t="s">
        <v>24</v>
      </c>
    </row>
    <row r="7756" spans="1:11" ht="54" customHeight="1">
      <c r="A7756" s="9" t="s">
        <v>16929</v>
      </c>
      <c r="B7756" s="9" t="s">
        <v>16929</v>
      </c>
      <c r="C7756" s="9" t="s">
        <v>122</v>
      </c>
      <c r="D7756" s="9" t="s">
        <v>18</v>
      </c>
      <c r="E7756" s="10" t="s">
        <v>1178</v>
      </c>
      <c r="F7756" s="9" t="s">
        <v>1179</v>
      </c>
      <c r="G7756" s="10" t="s">
        <v>86</v>
      </c>
      <c r="H7756" s="9" t="s">
        <v>22</v>
      </c>
      <c r="I7756" s="9" t="s">
        <v>17076</v>
      </c>
      <c r="J7756" s="10" t="str">
        <f>HYPERLINK("https://www.boe.es/gazeta/dias/1834/04/10/pdfs/GMD-C-1834-49.pdf#page=2","Abrir facsímil")</f>
        <v>Abrir facsímil</v>
      </c>
      <c r="K7756" s="10" t="s">
        <v>24</v>
      </c>
    </row>
    <row r="7757" spans="1:11" ht="54" customHeight="1">
      <c r="A7757" s="9" t="s">
        <v>16929</v>
      </c>
      <c r="B7757" s="9" t="s">
        <v>16929</v>
      </c>
      <c r="C7757" s="9" t="s">
        <v>17</v>
      </c>
      <c r="D7757" s="9" t="s">
        <v>18</v>
      </c>
      <c r="E7757" s="10" t="s">
        <v>1318</v>
      </c>
      <c r="F7757" s="9" t="s">
        <v>1319</v>
      </c>
      <c r="G7757" s="10" t="s">
        <v>34</v>
      </c>
      <c r="H7757" s="9" t="s">
        <v>22</v>
      </c>
      <c r="I7757" s="9" t="s">
        <v>17077</v>
      </c>
      <c r="J7757" s="10" t="str">
        <f>HYPERLINK("https://www.boe.es/gazeta/dias/1834/05/10/pdfs/GMD-1834-79.pdf#page=1","Abrir facsímil")</f>
        <v>Abrir facsímil</v>
      </c>
      <c r="K7757" s="10" t="s">
        <v>24</v>
      </c>
    </row>
    <row r="7758" spans="1:11" ht="54" customHeight="1">
      <c r="A7758" s="9" t="s">
        <v>16929</v>
      </c>
      <c r="B7758" s="9" t="s">
        <v>16929</v>
      </c>
      <c r="C7758" s="9" t="s">
        <v>17</v>
      </c>
      <c r="D7758" s="9" t="s">
        <v>18</v>
      </c>
      <c r="E7758" s="10" t="s">
        <v>939</v>
      </c>
      <c r="F7758" s="9" t="s">
        <v>940</v>
      </c>
      <c r="G7758" s="10" t="s">
        <v>75</v>
      </c>
      <c r="H7758" s="9" t="s">
        <v>22</v>
      </c>
      <c r="I7758" s="9" t="s">
        <v>17078</v>
      </c>
      <c r="J7758" s="10" t="str">
        <f>HYPERLINK("https://www.boe.es/gazeta/dias/1834/06/10/pdfs/GMD-1834-113.pdf#page=4","Abrir facsímil")</f>
        <v>Abrir facsímil</v>
      </c>
      <c r="K7758" s="10" t="s">
        <v>24</v>
      </c>
    </row>
    <row r="7759" spans="1:11" ht="54" customHeight="1">
      <c r="A7759" s="9" t="s">
        <v>16929</v>
      </c>
      <c r="B7759" s="9" t="s">
        <v>16929</v>
      </c>
      <c r="C7759" s="9" t="s">
        <v>17</v>
      </c>
      <c r="D7759" s="9" t="s">
        <v>101</v>
      </c>
      <c r="E7759" s="10" t="s">
        <v>4565</v>
      </c>
      <c r="F7759" s="9" t="s">
        <v>4566</v>
      </c>
      <c r="G7759" s="10" t="s">
        <v>34</v>
      </c>
      <c r="H7759" s="9" t="s">
        <v>22</v>
      </c>
      <c r="I7759" s="9" t="s">
        <v>17079</v>
      </c>
      <c r="J7759" s="10" t="str">
        <f>HYPERLINK("https://www.boe.es/gazeta/dias/1834/07/10/pdfs/GMD-1834-143.pdf#page=1","Abrir facsímil")</f>
        <v>Abrir facsímil</v>
      </c>
      <c r="K7759" s="10" t="s">
        <v>24</v>
      </c>
    </row>
    <row r="7760" spans="1:11" ht="54" customHeight="1">
      <c r="A7760" s="9" t="s">
        <v>16929</v>
      </c>
      <c r="B7760" s="9" t="s">
        <v>16929</v>
      </c>
      <c r="C7760" s="9" t="s">
        <v>46</v>
      </c>
      <c r="D7760" s="9" t="s">
        <v>101</v>
      </c>
      <c r="E7760" s="10" t="s">
        <v>956</v>
      </c>
      <c r="F7760" s="9" t="s">
        <v>957</v>
      </c>
      <c r="G7760" s="10" t="s">
        <v>34</v>
      </c>
      <c r="H7760" s="9" t="s">
        <v>22</v>
      </c>
      <c r="I7760" s="9" t="s">
        <v>17080</v>
      </c>
      <c r="J7760" s="10" t="str">
        <f>HYPERLINK("https://www.boe.es/gazeta/dias/1834/08/10/pdfs/GMD-C-1834-175.pdf#page=1","Abrir facsímil")</f>
        <v>Abrir facsímil</v>
      </c>
      <c r="K7760" s="10" t="s">
        <v>24</v>
      </c>
    </row>
    <row r="7761" spans="1:11" ht="54" customHeight="1">
      <c r="A7761" s="9" t="s">
        <v>16929</v>
      </c>
      <c r="B7761" s="9" t="s">
        <v>16929</v>
      </c>
      <c r="C7761" s="9" t="s">
        <v>46</v>
      </c>
      <c r="D7761" s="9" t="s">
        <v>18</v>
      </c>
      <c r="E7761" s="10" t="s">
        <v>956</v>
      </c>
      <c r="F7761" s="9" t="s">
        <v>957</v>
      </c>
      <c r="G7761" s="10" t="s">
        <v>86</v>
      </c>
      <c r="H7761" s="9" t="s">
        <v>22</v>
      </c>
      <c r="I7761" s="9" t="s">
        <v>17081</v>
      </c>
      <c r="J7761" s="10" t="str">
        <f>HYPERLINK("https://www.boe.es/gazeta/dias/1834/08/10/pdfs/GMD-C-1834-175.pdf#page=2","Abrir facsímil")</f>
        <v>Abrir facsímil</v>
      </c>
      <c r="K7761" s="10" t="s">
        <v>24</v>
      </c>
    </row>
    <row r="7762" spans="1:11" ht="54" customHeight="1">
      <c r="A7762" s="9" t="s">
        <v>16929</v>
      </c>
      <c r="B7762" s="9" t="s">
        <v>16929</v>
      </c>
      <c r="C7762" s="9" t="s">
        <v>17</v>
      </c>
      <c r="D7762" s="9" t="s">
        <v>55</v>
      </c>
      <c r="E7762" s="10" t="s">
        <v>956</v>
      </c>
      <c r="F7762" s="9" t="s">
        <v>957</v>
      </c>
      <c r="G7762" s="10" t="s">
        <v>21</v>
      </c>
      <c r="H7762" s="9" t="s">
        <v>22</v>
      </c>
      <c r="I7762" s="9" t="s">
        <v>17082</v>
      </c>
      <c r="J7762" s="10" t="str">
        <f>HYPERLINK("https://www.boe.es/gazeta/dias/1834/08/10/pdfs/GMD-C-1834-175.pdf#page=3","Abrir facsímil")</f>
        <v>Abrir facsímil</v>
      </c>
      <c r="K7762" s="10" t="s">
        <v>24</v>
      </c>
    </row>
    <row r="7763" spans="1:11" ht="54" customHeight="1">
      <c r="A7763" s="9" t="s">
        <v>16929</v>
      </c>
      <c r="B7763" s="9" t="s">
        <v>16929</v>
      </c>
      <c r="C7763" s="9" t="s">
        <v>17</v>
      </c>
      <c r="D7763" s="9" t="s">
        <v>18</v>
      </c>
      <c r="E7763" s="10" t="s">
        <v>2203</v>
      </c>
      <c r="F7763" s="9" t="s">
        <v>2204</v>
      </c>
      <c r="G7763" s="10" t="s">
        <v>34</v>
      </c>
      <c r="H7763" s="9" t="s">
        <v>22</v>
      </c>
      <c r="I7763" s="9" t="s">
        <v>17083</v>
      </c>
      <c r="J7763" s="10" t="str">
        <f>HYPERLINK("https://www.boe.es/gazeta/dias/1834/09/10/pdfs/GMD-C-1834-208.pdf#page=1","Abrir facsímil")</f>
        <v>Abrir facsímil</v>
      </c>
      <c r="K7763" s="10" t="s">
        <v>24</v>
      </c>
    </row>
    <row r="7764" spans="1:11" ht="54" customHeight="1">
      <c r="A7764" s="9" t="s">
        <v>16929</v>
      </c>
      <c r="B7764" s="9" t="s">
        <v>16929</v>
      </c>
      <c r="C7764" s="9" t="s">
        <v>66</v>
      </c>
      <c r="D7764" s="9" t="s">
        <v>67</v>
      </c>
      <c r="E7764" s="10" t="s">
        <v>441</v>
      </c>
      <c r="F7764" s="9" t="s">
        <v>442</v>
      </c>
      <c r="G7764" s="10" t="s">
        <v>75</v>
      </c>
      <c r="H7764" s="9" t="s">
        <v>22</v>
      </c>
      <c r="I7764" s="9" t="s">
        <v>17084</v>
      </c>
      <c r="J7764" s="10" t="str">
        <f>HYPERLINK("https://www.boe.es/gazeta/dias/1834/11/10/pdfs/GMD-1834-269.pdf#page=4","Abrir facsímil")</f>
        <v>Abrir facsímil</v>
      </c>
      <c r="K7764" s="10" t="s">
        <v>24</v>
      </c>
    </row>
    <row r="7765" spans="1:11" ht="54" customHeight="1">
      <c r="A7765" s="9" t="s">
        <v>16929</v>
      </c>
      <c r="B7765" s="9" t="s">
        <v>16929</v>
      </c>
      <c r="C7765" s="9" t="s">
        <v>857</v>
      </c>
      <c r="D7765" s="9" t="s">
        <v>18</v>
      </c>
      <c r="E7765" s="10" t="s">
        <v>679</v>
      </c>
      <c r="F7765" s="9" t="s">
        <v>699</v>
      </c>
      <c r="G7765" s="10" t="s">
        <v>75</v>
      </c>
      <c r="H7765" s="9" t="s">
        <v>22</v>
      </c>
      <c r="I7765" s="9" t="s">
        <v>17085</v>
      </c>
      <c r="J7765" s="10" t="str">
        <f>HYPERLINK("https://www.boe.es/gazeta/dias/1834/12/10/pdfs/GMD-C-1834-299.pdf#page=4","Abrir facsímil")</f>
        <v>Abrir facsímil</v>
      </c>
      <c r="K7765" s="10" t="s">
        <v>24</v>
      </c>
    </row>
    <row r="7766" spans="1:11" ht="54" customHeight="1">
      <c r="A7766" s="9" t="s">
        <v>16929</v>
      </c>
      <c r="B7766" s="9" t="s">
        <v>16929</v>
      </c>
      <c r="C7766" s="9" t="s">
        <v>46</v>
      </c>
      <c r="D7766" s="9" t="s">
        <v>101</v>
      </c>
      <c r="E7766" s="10" t="s">
        <v>679</v>
      </c>
      <c r="F7766" s="9" t="s">
        <v>699</v>
      </c>
      <c r="G7766" s="10" t="s">
        <v>28</v>
      </c>
      <c r="H7766" s="9" t="s">
        <v>22</v>
      </c>
      <c r="I7766" s="9" t="s">
        <v>17086</v>
      </c>
      <c r="J7766" s="10" t="str">
        <f>HYPERLINK("https://www.boe.es/gazeta/dias/1834/12/10/pdfs/GMD-C-1834-299.pdf#page=5","Abrir facsímil")</f>
        <v>Abrir facsímil</v>
      </c>
      <c r="K7766" s="10" t="s">
        <v>24</v>
      </c>
    </row>
    <row r="7767" spans="1:11" ht="54" customHeight="1">
      <c r="A7767" s="9" t="s">
        <v>16929</v>
      </c>
      <c r="B7767" s="9" t="s">
        <v>16929</v>
      </c>
      <c r="C7767" s="9" t="s">
        <v>17</v>
      </c>
      <c r="D7767" s="9" t="s">
        <v>18</v>
      </c>
      <c r="E7767" s="10" t="s">
        <v>1883</v>
      </c>
      <c r="F7767" s="9" t="s">
        <v>1884</v>
      </c>
      <c r="G7767" s="10" t="s">
        <v>34</v>
      </c>
      <c r="H7767" s="9" t="s">
        <v>22</v>
      </c>
      <c r="I7767" s="9" t="s">
        <v>17087</v>
      </c>
      <c r="J7767" s="10" t="str">
        <f>HYPERLINK("https://www.boe.es/gazeta/dias/1834/01/11/pdfs/GMD-1834-6.pdf#page=1","Abrir facsímil")</f>
        <v>Abrir facsímil</v>
      </c>
      <c r="K7767" s="10" t="s">
        <v>24</v>
      </c>
    </row>
    <row r="7768" spans="1:11" ht="54" customHeight="1">
      <c r="A7768" s="9" t="s">
        <v>16929</v>
      </c>
      <c r="B7768" s="9" t="s">
        <v>16929</v>
      </c>
      <c r="C7768" s="9" t="s">
        <v>66</v>
      </c>
      <c r="D7768" s="9" t="s">
        <v>67</v>
      </c>
      <c r="E7768" s="10" t="s">
        <v>1883</v>
      </c>
      <c r="F7768" s="9" t="s">
        <v>1884</v>
      </c>
      <c r="G7768" s="10" t="s">
        <v>21</v>
      </c>
      <c r="H7768" s="9" t="s">
        <v>22</v>
      </c>
      <c r="I7768" s="9" t="s">
        <v>17088</v>
      </c>
      <c r="J7768" s="10" t="str">
        <f>HYPERLINK("https://www.boe.es/gazeta/dias/1834/01/11/pdfs/GMD-1834-6.pdf#page=3","Abrir facsímil")</f>
        <v>Abrir facsímil</v>
      </c>
      <c r="K7768" s="10" t="s">
        <v>24</v>
      </c>
    </row>
    <row r="7769" spans="1:11" ht="54" customHeight="1">
      <c r="A7769" s="9" t="s">
        <v>16929</v>
      </c>
      <c r="B7769" s="9" t="s">
        <v>16929</v>
      </c>
      <c r="C7769" s="9" t="s">
        <v>17</v>
      </c>
      <c r="D7769" s="9" t="s">
        <v>18</v>
      </c>
      <c r="E7769" s="10" t="s">
        <v>1883</v>
      </c>
      <c r="F7769" s="9" t="s">
        <v>1884</v>
      </c>
      <c r="G7769" s="10" t="s">
        <v>75</v>
      </c>
      <c r="H7769" s="9" t="s">
        <v>22</v>
      </c>
      <c r="I7769" s="9" t="s">
        <v>17089</v>
      </c>
      <c r="J7769" s="10" t="str">
        <f>HYPERLINK("https://www.boe.es/gazeta/dias/1834/01/11/pdfs/GMD-1834-6.pdf#page=4","Abrir facsímil")</f>
        <v>Abrir facsímil</v>
      </c>
      <c r="K7769" s="10" t="s">
        <v>24</v>
      </c>
    </row>
    <row r="7770" spans="1:11" ht="54" customHeight="1">
      <c r="A7770" s="9" t="s">
        <v>16929</v>
      </c>
      <c r="B7770" s="9" t="s">
        <v>16929</v>
      </c>
      <c r="C7770" s="9" t="s">
        <v>17</v>
      </c>
      <c r="D7770" s="9" t="s">
        <v>18</v>
      </c>
      <c r="E7770" s="10" t="s">
        <v>785</v>
      </c>
      <c r="F7770" s="9" t="s">
        <v>786</v>
      </c>
      <c r="G7770" s="10" t="s">
        <v>34</v>
      </c>
      <c r="H7770" s="9" t="s">
        <v>22</v>
      </c>
      <c r="I7770" s="9" t="s">
        <v>17090</v>
      </c>
      <c r="J7770" s="10" t="str">
        <f>HYPERLINK("https://www.boe.es/gazeta/dias/1834/02/11/pdfs/GMD-1834-19.pdf#page=1","Abrir facsímil")</f>
        <v>Abrir facsímil</v>
      </c>
      <c r="K7770" s="10" t="s">
        <v>24</v>
      </c>
    </row>
    <row r="7771" spans="1:11" ht="54" customHeight="1">
      <c r="A7771" s="9" t="s">
        <v>16929</v>
      </c>
      <c r="B7771" s="9" t="s">
        <v>16929</v>
      </c>
      <c r="C7771" s="9" t="s">
        <v>17</v>
      </c>
      <c r="D7771" s="9" t="s">
        <v>18</v>
      </c>
      <c r="E7771" s="10" t="s">
        <v>2241</v>
      </c>
      <c r="F7771" s="9" t="s">
        <v>2242</v>
      </c>
      <c r="G7771" s="10" t="s">
        <v>34</v>
      </c>
      <c r="H7771" s="9" t="s">
        <v>22</v>
      </c>
      <c r="I7771" s="9" t="s">
        <v>17091</v>
      </c>
      <c r="J7771" s="10" t="str">
        <f>HYPERLINK("https://www.boe.es/gazeta/dias/1834/03/11/pdfs/GMD-1834-31.pdf#page=1","Abrir facsímil")</f>
        <v>Abrir facsímil</v>
      </c>
      <c r="K7771" s="10" t="s">
        <v>24</v>
      </c>
    </row>
    <row r="7772" spans="1:11" ht="54" customHeight="1">
      <c r="A7772" s="9" t="s">
        <v>16929</v>
      </c>
      <c r="B7772" s="9" t="s">
        <v>16929</v>
      </c>
      <c r="C7772" s="9" t="s">
        <v>17</v>
      </c>
      <c r="D7772" s="9" t="s">
        <v>18</v>
      </c>
      <c r="E7772" s="10" t="s">
        <v>2241</v>
      </c>
      <c r="F7772" s="9" t="s">
        <v>2242</v>
      </c>
      <c r="G7772" s="10" t="s">
        <v>21</v>
      </c>
      <c r="H7772" s="9" t="s">
        <v>22</v>
      </c>
      <c r="I7772" s="9" t="s">
        <v>17092</v>
      </c>
      <c r="J7772" s="10" t="str">
        <f>HYPERLINK("https://www.boe.es/gazeta/dias/1834/03/11/pdfs/GMD-1834-31.pdf#page=3","Abrir facsímil")</f>
        <v>Abrir facsímil</v>
      </c>
      <c r="K7772" s="10" t="s">
        <v>24</v>
      </c>
    </row>
    <row r="7773" spans="1:11" ht="54" customHeight="1">
      <c r="A7773" s="9" t="s">
        <v>16929</v>
      </c>
      <c r="B7773" s="9" t="s">
        <v>16929</v>
      </c>
      <c r="C7773" s="9" t="s">
        <v>17</v>
      </c>
      <c r="D7773" s="9" t="s">
        <v>18</v>
      </c>
      <c r="E7773" s="10" t="s">
        <v>2241</v>
      </c>
      <c r="F7773" s="9" t="s">
        <v>2242</v>
      </c>
      <c r="G7773" s="10" t="s">
        <v>75</v>
      </c>
      <c r="H7773" s="9" t="s">
        <v>22</v>
      </c>
      <c r="I7773" s="9" t="s">
        <v>17093</v>
      </c>
      <c r="J7773" s="10" t="str">
        <f>HYPERLINK("https://www.boe.es/gazeta/dias/1834/03/11/pdfs/GMD-1834-31.pdf#page=4","Abrir facsímil")</f>
        <v>Abrir facsímil</v>
      </c>
      <c r="K7773" s="10" t="s">
        <v>24</v>
      </c>
    </row>
    <row r="7774" spans="1:11" ht="54" customHeight="1">
      <c r="A7774" s="9" t="s">
        <v>16929</v>
      </c>
      <c r="B7774" s="9" t="s">
        <v>16929</v>
      </c>
      <c r="C7774" s="9" t="s">
        <v>17</v>
      </c>
      <c r="D7774" s="9" t="s">
        <v>18</v>
      </c>
      <c r="E7774" s="10" t="s">
        <v>11736</v>
      </c>
      <c r="F7774" s="9" t="s">
        <v>11737</v>
      </c>
      <c r="G7774" s="10" t="s">
        <v>21</v>
      </c>
      <c r="H7774" s="9" t="s">
        <v>22</v>
      </c>
      <c r="I7774" s="9" t="s">
        <v>17094</v>
      </c>
      <c r="J7774" s="10" t="str">
        <f>HYPERLINK("https://www.boe.es/gazeta/dias/1834/04/11/pdfs/GMD-1834-50.pdf#page=3","Abrir facsímil")</f>
        <v>Abrir facsímil</v>
      </c>
      <c r="K7774" s="10" t="s">
        <v>24</v>
      </c>
    </row>
    <row r="7775" spans="1:11" ht="54" customHeight="1">
      <c r="A7775" s="9" t="s">
        <v>16929</v>
      </c>
      <c r="B7775" s="9" t="s">
        <v>16929</v>
      </c>
      <c r="C7775" s="9" t="s">
        <v>66</v>
      </c>
      <c r="D7775" s="9" t="s">
        <v>101</v>
      </c>
      <c r="E7775" s="10" t="s">
        <v>5435</v>
      </c>
      <c r="F7775" s="9" t="s">
        <v>5436</v>
      </c>
      <c r="G7775" s="10" t="s">
        <v>34</v>
      </c>
      <c r="H7775" s="9" t="s">
        <v>22</v>
      </c>
      <c r="I7775" s="9" t="s">
        <v>17095</v>
      </c>
      <c r="J7775" s="10" t="str">
        <f>HYPERLINK("https://www.boe.es/gazeta/dias/1834/05/11/pdfs/GMD-1834-80.pdf#page=1","Abrir facsímil")</f>
        <v>Abrir facsímil</v>
      </c>
      <c r="K7775" s="10" t="s">
        <v>24</v>
      </c>
    </row>
    <row r="7776" spans="1:11" ht="54" customHeight="1">
      <c r="A7776" s="9" t="s">
        <v>17096</v>
      </c>
      <c r="B7776" s="9" t="s">
        <v>17096</v>
      </c>
      <c r="C7776" s="9" t="s">
        <v>17</v>
      </c>
      <c r="D7776" s="9" t="s">
        <v>18</v>
      </c>
      <c r="E7776" s="10" t="s">
        <v>5435</v>
      </c>
      <c r="F7776" s="9" t="s">
        <v>5436</v>
      </c>
      <c r="G7776" s="10" t="s">
        <v>75</v>
      </c>
      <c r="H7776" s="9" t="s">
        <v>22</v>
      </c>
      <c r="I7776" s="9" t="s">
        <v>17097</v>
      </c>
      <c r="J7776" s="10" t="str">
        <f>HYPERLINK("https://www.boe.es/gazeta/dias/1834/05/11/pdfs/GMD-1834-80.pdf#page=4","Abrir facsímil")</f>
        <v>Abrir facsímil</v>
      </c>
      <c r="K7776" s="10" t="s">
        <v>24</v>
      </c>
    </row>
    <row r="7777" spans="1:11" ht="54" customHeight="1">
      <c r="A7777" s="9" t="s">
        <v>16929</v>
      </c>
      <c r="B7777" s="9" t="s">
        <v>16929</v>
      </c>
      <c r="C7777" s="9" t="s">
        <v>46</v>
      </c>
      <c r="D7777" s="9" t="s">
        <v>101</v>
      </c>
      <c r="E7777" s="10" t="s">
        <v>123</v>
      </c>
      <c r="F7777" s="9" t="s">
        <v>124</v>
      </c>
      <c r="G7777" s="10" t="s">
        <v>34</v>
      </c>
      <c r="H7777" s="9" t="s">
        <v>22</v>
      </c>
      <c r="I7777" s="9" t="s">
        <v>17098</v>
      </c>
      <c r="J7777" s="10" t="str">
        <f>HYPERLINK("https://www.boe.es/gazeta/dias/1834/07/11/pdfs/GMD-1834-144.pdf#page=1","Abrir facsímil")</f>
        <v>Abrir facsímil</v>
      </c>
      <c r="K7777" s="10" t="s">
        <v>24</v>
      </c>
    </row>
    <row r="7778" spans="1:11" ht="54" customHeight="1">
      <c r="A7778" s="9" t="s">
        <v>16929</v>
      </c>
      <c r="B7778" s="9" t="s">
        <v>16929</v>
      </c>
      <c r="C7778" s="9" t="s">
        <v>90</v>
      </c>
      <c r="D7778" s="9" t="s">
        <v>18</v>
      </c>
      <c r="E7778" s="10" t="s">
        <v>123</v>
      </c>
      <c r="F7778" s="9" t="s">
        <v>124</v>
      </c>
      <c r="G7778" s="10" t="s">
        <v>86</v>
      </c>
      <c r="H7778" s="9" t="s">
        <v>22</v>
      </c>
      <c r="I7778" s="9" t="s">
        <v>17099</v>
      </c>
      <c r="J7778" s="10" t="str">
        <f>HYPERLINK("https://www.boe.es/gazeta/dias/1834/07/11/pdfs/GMD-1834-144.pdf#page=2","Abrir facsímil")</f>
        <v>Abrir facsímil</v>
      </c>
      <c r="K7778" s="10" t="s">
        <v>24</v>
      </c>
    </row>
    <row r="7779" spans="1:11" ht="54" customHeight="1">
      <c r="A7779" s="9" t="s">
        <v>16929</v>
      </c>
      <c r="B7779" s="9" t="s">
        <v>16929</v>
      </c>
      <c r="C7779" s="9" t="s">
        <v>46</v>
      </c>
      <c r="D7779" s="9" t="s">
        <v>55</v>
      </c>
      <c r="E7779" s="10" t="s">
        <v>2098</v>
      </c>
      <c r="F7779" s="9" t="s">
        <v>5817</v>
      </c>
      <c r="G7779" s="10" t="s">
        <v>86</v>
      </c>
      <c r="H7779" s="9" t="s">
        <v>22</v>
      </c>
      <c r="I7779" s="9" t="s">
        <v>17100</v>
      </c>
      <c r="J7779" s="10" t="str">
        <f>HYPERLINK("https://www.boe.es/gazeta/dias/1834/08/11/pdfs/GMD-C-1834-176.pdf#page=2","Abrir facsímil")</f>
        <v>Abrir facsímil</v>
      </c>
      <c r="K7779" s="10" t="s">
        <v>24</v>
      </c>
    </row>
    <row r="7780" spans="1:11" ht="54" customHeight="1">
      <c r="A7780" s="9" t="s">
        <v>16929</v>
      </c>
      <c r="B7780" s="9" t="s">
        <v>16929</v>
      </c>
      <c r="C7780" s="9" t="s">
        <v>46</v>
      </c>
      <c r="D7780" s="9" t="s">
        <v>101</v>
      </c>
      <c r="E7780" s="10" t="s">
        <v>2098</v>
      </c>
      <c r="F7780" s="9" t="s">
        <v>5817</v>
      </c>
      <c r="G7780" s="10" t="s">
        <v>21</v>
      </c>
      <c r="H7780" s="9" t="s">
        <v>22</v>
      </c>
      <c r="I7780" s="9" t="s">
        <v>17101</v>
      </c>
      <c r="J7780" s="10" t="str">
        <f>HYPERLINK("https://www.boe.es/gazeta/dias/1834/08/11/pdfs/GMD-C-1834-176.pdf#page=3","Abrir facsímil")</f>
        <v>Abrir facsímil</v>
      </c>
      <c r="K7780" s="10" t="s">
        <v>24</v>
      </c>
    </row>
    <row r="7781" spans="1:11" ht="54" customHeight="1">
      <c r="A7781" s="9" t="s">
        <v>16929</v>
      </c>
      <c r="B7781" s="9" t="s">
        <v>16929</v>
      </c>
      <c r="C7781" s="9" t="s">
        <v>17</v>
      </c>
      <c r="D7781" s="9" t="s">
        <v>18</v>
      </c>
      <c r="E7781" s="10" t="s">
        <v>2098</v>
      </c>
      <c r="F7781" s="9" t="s">
        <v>5817</v>
      </c>
      <c r="G7781" s="10" t="s">
        <v>75</v>
      </c>
      <c r="H7781" s="9" t="s">
        <v>22</v>
      </c>
      <c r="I7781" s="9" t="s">
        <v>17102</v>
      </c>
      <c r="J7781" s="10" t="str">
        <f>HYPERLINK("https://www.boe.es/gazeta/dias/1834/08/11/pdfs/GMD-C-1834-176.pdf#page=4","Abrir facsímil")</f>
        <v>Abrir facsímil</v>
      </c>
      <c r="K7781" s="10" t="s">
        <v>24</v>
      </c>
    </row>
    <row r="7782" spans="1:11" ht="54" customHeight="1">
      <c r="A7782" s="9" t="s">
        <v>16929</v>
      </c>
      <c r="B7782" s="9" t="s">
        <v>16929</v>
      </c>
      <c r="C7782" s="9" t="s">
        <v>17</v>
      </c>
      <c r="D7782" s="9" t="s">
        <v>101</v>
      </c>
      <c r="E7782" s="10" t="s">
        <v>808</v>
      </c>
      <c r="F7782" s="9" t="s">
        <v>809</v>
      </c>
      <c r="G7782" s="10" t="s">
        <v>34</v>
      </c>
      <c r="H7782" s="9" t="s">
        <v>22</v>
      </c>
      <c r="I7782" s="9" t="s">
        <v>17103</v>
      </c>
      <c r="J7782" s="10" t="str">
        <f>HYPERLINK("https://www.boe.es/gazeta/dias/1834/10/11/pdfs/GMD-1834-239.pdf#page=1","Abrir facsímil")</f>
        <v>Abrir facsímil</v>
      </c>
      <c r="K7782" s="10" t="s">
        <v>24</v>
      </c>
    </row>
    <row r="7783" spans="1:11" ht="54" customHeight="1">
      <c r="A7783" s="9" t="s">
        <v>16929</v>
      </c>
      <c r="B7783" s="9" t="s">
        <v>16929</v>
      </c>
      <c r="C7783" s="9" t="s">
        <v>17</v>
      </c>
      <c r="D7783" s="9" t="s">
        <v>18</v>
      </c>
      <c r="E7783" s="10" t="s">
        <v>808</v>
      </c>
      <c r="F7783" s="9" t="s">
        <v>809</v>
      </c>
      <c r="G7783" s="10" t="s">
        <v>21</v>
      </c>
      <c r="H7783" s="9" t="s">
        <v>22</v>
      </c>
      <c r="I7783" s="9" t="s">
        <v>17104</v>
      </c>
      <c r="J7783" s="10" t="str">
        <f>HYPERLINK("https://www.boe.es/gazeta/dias/1834/10/11/pdfs/GMD-1834-239.pdf#page=3","Abrir facsímil")</f>
        <v>Abrir facsímil</v>
      </c>
      <c r="K7783" s="10" t="s">
        <v>24</v>
      </c>
    </row>
    <row r="7784" spans="1:11" ht="54" customHeight="1">
      <c r="A7784" s="9" t="s">
        <v>16929</v>
      </c>
      <c r="B7784" s="9" t="s">
        <v>16929</v>
      </c>
      <c r="C7784" s="9" t="s">
        <v>17</v>
      </c>
      <c r="D7784" s="9" t="s">
        <v>101</v>
      </c>
      <c r="E7784" s="10" t="s">
        <v>96</v>
      </c>
      <c r="F7784" s="9" t="s">
        <v>1725</v>
      </c>
      <c r="G7784" s="10" t="s">
        <v>34</v>
      </c>
      <c r="H7784" s="9" t="s">
        <v>22</v>
      </c>
      <c r="I7784" s="9" t="s">
        <v>17105</v>
      </c>
      <c r="J7784" s="10" t="str">
        <f>HYPERLINK("https://www.boe.es/gazeta/dias/1834/11/11/pdfs/GMD-1834-270.pdf#page=1","Abrir facsímil")</f>
        <v>Abrir facsímil</v>
      </c>
      <c r="K7784" s="10" t="s">
        <v>24</v>
      </c>
    </row>
    <row r="7785" spans="1:11" ht="54" customHeight="1">
      <c r="A7785" s="9" t="s">
        <v>16929</v>
      </c>
      <c r="B7785" s="9" t="s">
        <v>16929</v>
      </c>
      <c r="C7785" s="9" t="s">
        <v>17</v>
      </c>
      <c r="D7785" s="9" t="s">
        <v>18</v>
      </c>
      <c r="E7785" s="10" t="s">
        <v>96</v>
      </c>
      <c r="F7785" s="9" t="s">
        <v>1725</v>
      </c>
      <c r="G7785" s="10" t="s">
        <v>75</v>
      </c>
      <c r="H7785" s="9" t="s">
        <v>22</v>
      </c>
      <c r="I7785" s="9" t="s">
        <v>17106</v>
      </c>
      <c r="J7785" s="10" t="str">
        <f>HYPERLINK("https://www.boe.es/gazeta/dias/1834/11/11/pdfs/GMD-1834-270.pdf#page=4","Abrir facsímil")</f>
        <v>Abrir facsímil</v>
      </c>
      <c r="K7785" s="10" t="s">
        <v>24</v>
      </c>
    </row>
    <row r="7786" spans="1:11" ht="54" customHeight="1">
      <c r="A7786" s="9" t="s">
        <v>16929</v>
      </c>
      <c r="B7786" s="9" t="s">
        <v>16929</v>
      </c>
      <c r="C7786" s="9" t="s">
        <v>17</v>
      </c>
      <c r="D7786" s="9" t="s">
        <v>40</v>
      </c>
      <c r="E7786" s="10" t="s">
        <v>96</v>
      </c>
      <c r="F7786" s="9" t="s">
        <v>97</v>
      </c>
      <c r="G7786" s="10" t="s">
        <v>75</v>
      </c>
      <c r="H7786" s="9" t="s">
        <v>22</v>
      </c>
      <c r="I7786" s="9" t="s">
        <v>17107</v>
      </c>
      <c r="J7786" s="10" t="str">
        <f>HYPERLINK("https://www.boe.es/gazeta/dias/1834/11/11/pdfs/GMD-C-1834-270.pdf#page=4","Abrir facsímil")</f>
        <v>Abrir facsímil</v>
      </c>
      <c r="K7786" s="10" t="s">
        <v>24</v>
      </c>
    </row>
    <row r="7787" spans="1:11" ht="54" customHeight="1">
      <c r="A7787" s="9" t="s">
        <v>16929</v>
      </c>
      <c r="B7787" s="9" t="s">
        <v>16929</v>
      </c>
      <c r="C7787" s="9" t="s">
        <v>66</v>
      </c>
      <c r="D7787" s="9" t="s">
        <v>67</v>
      </c>
      <c r="E7787" s="10" t="s">
        <v>1708</v>
      </c>
      <c r="F7787" s="9" t="s">
        <v>1709</v>
      </c>
      <c r="G7787" s="10" t="s">
        <v>34</v>
      </c>
      <c r="H7787" s="9" t="s">
        <v>22</v>
      </c>
      <c r="I7787" s="9" t="s">
        <v>17108</v>
      </c>
      <c r="J7787" s="10" t="str">
        <f>HYPERLINK("https://www.boe.es/gazeta/dias/1834/04/12/pdfs/GMD-1834-51.pdf#page=1","Abrir facsímil")</f>
        <v>Abrir facsímil</v>
      </c>
      <c r="K7787" s="10" t="s">
        <v>24</v>
      </c>
    </row>
    <row r="7788" spans="1:11" ht="54" customHeight="1">
      <c r="A7788" s="9" t="s">
        <v>16929</v>
      </c>
      <c r="B7788" s="9" t="s">
        <v>16929</v>
      </c>
      <c r="C7788" s="9" t="s">
        <v>17</v>
      </c>
      <c r="D7788" s="9" t="s">
        <v>18</v>
      </c>
      <c r="E7788" s="10" t="s">
        <v>1708</v>
      </c>
      <c r="F7788" s="9" t="s">
        <v>1709</v>
      </c>
      <c r="G7788" s="10" t="s">
        <v>86</v>
      </c>
      <c r="H7788" s="9" t="s">
        <v>22</v>
      </c>
      <c r="I7788" s="9" t="s">
        <v>17109</v>
      </c>
      <c r="J7788" s="10" t="str">
        <f>HYPERLINK("https://www.boe.es/gazeta/dias/1834/04/12/pdfs/GMD-1834-51.pdf#page=2","Abrir facsímil")</f>
        <v>Abrir facsímil</v>
      </c>
      <c r="K7788" s="10" t="s">
        <v>24</v>
      </c>
    </row>
    <row r="7789" spans="1:11" ht="54" customHeight="1">
      <c r="A7789" s="9" t="s">
        <v>16929</v>
      </c>
      <c r="B7789" s="9" t="s">
        <v>16929</v>
      </c>
      <c r="C7789" s="9" t="s">
        <v>66</v>
      </c>
      <c r="D7789" s="9" t="s">
        <v>67</v>
      </c>
      <c r="E7789" s="10" t="s">
        <v>2048</v>
      </c>
      <c r="F7789" s="9" t="s">
        <v>2049</v>
      </c>
      <c r="G7789" s="10" t="s">
        <v>34</v>
      </c>
      <c r="H7789" s="9" t="s">
        <v>22</v>
      </c>
      <c r="I7789" s="9" t="s">
        <v>17110</v>
      </c>
      <c r="J7789" s="10" t="str">
        <f>HYPERLINK("https://www.boe.es/gazeta/dias/1834/05/12/pdfs/GMD-1834-81.pdf#page=1","Abrir facsímil")</f>
        <v>Abrir facsímil</v>
      </c>
      <c r="K7789" s="10" t="s">
        <v>24</v>
      </c>
    </row>
    <row r="7790" spans="1:11" ht="54" customHeight="1">
      <c r="A7790" s="9" t="s">
        <v>16929</v>
      </c>
      <c r="B7790" s="9" t="s">
        <v>16929</v>
      </c>
      <c r="C7790" s="9" t="s">
        <v>17</v>
      </c>
      <c r="D7790" s="9" t="s">
        <v>18</v>
      </c>
      <c r="E7790" s="10" t="s">
        <v>348</v>
      </c>
      <c r="F7790" s="9" t="s">
        <v>349</v>
      </c>
      <c r="G7790" s="10" t="s">
        <v>34</v>
      </c>
      <c r="H7790" s="9" t="s">
        <v>22</v>
      </c>
      <c r="I7790" s="9" t="s">
        <v>17111</v>
      </c>
      <c r="J7790" s="10" t="str">
        <f>HYPERLINK("https://www.boe.es/gazeta/dias/1834/06/12/pdfs/GMD-C-1834-115.pdf#page=1","Abrir facsímil")</f>
        <v>Abrir facsímil</v>
      </c>
      <c r="K7790" s="10" t="s">
        <v>24</v>
      </c>
    </row>
    <row r="7791" spans="1:11" ht="54" customHeight="1">
      <c r="A7791" s="9" t="s">
        <v>16929</v>
      </c>
      <c r="B7791" s="9" t="s">
        <v>16929</v>
      </c>
      <c r="C7791" s="9" t="s">
        <v>17</v>
      </c>
      <c r="D7791" s="9" t="s">
        <v>101</v>
      </c>
      <c r="E7791" s="10" t="s">
        <v>79</v>
      </c>
      <c r="F7791" s="9" t="s">
        <v>80</v>
      </c>
      <c r="G7791" s="10" t="s">
        <v>34</v>
      </c>
      <c r="H7791" s="9" t="s">
        <v>22</v>
      </c>
      <c r="I7791" s="9" t="s">
        <v>17112</v>
      </c>
      <c r="J7791" s="10" t="str">
        <f>HYPERLINK("https://www.boe.es/gazeta/dias/1834/07/12/pdfs/GMD-1834-145.pdf#page=1","Abrir facsímil")</f>
        <v>Abrir facsímil</v>
      </c>
      <c r="K7791" s="10" t="s">
        <v>24</v>
      </c>
    </row>
    <row r="7792" spans="1:11" ht="54" customHeight="1">
      <c r="A7792" s="9" t="s">
        <v>16929</v>
      </c>
      <c r="B7792" s="9" t="s">
        <v>16929</v>
      </c>
      <c r="C7792" s="9" t="s">
        <v>66</v>
      </c>
      <c r="D7792" s="9" t="s">
        <v>55</v>
      </c>
      <c r="E7792" s="10" t="s">
        <v>79</v>
      </c>
      <c r="F7792" s="9" t="s">
        <v>80</v>
      </c>
      <c r="G7792" s="10" t="s">
        <v>21</v>
      </c>
      <c r="H7792" s="9" t="s">
        <v>22</v>
      </c>
      <c r="I7792" s="9" t="s">
        <v>17113</v>
      </c>
      <c r="J7792" s="10" t="str">
        <f>HYPERLINK("https://www.boe.es/gazeta/dias/1834/07/12/pdfs/GMD-1834-145.pdf#page=3","Abrir facsímil")</f>
        <v>Abrir facsímil</v>
      </c>
      <c r="K7792" s="10" t="s">
        <v>24</v>
      </c>
    </row>
    <row r="7793" spans="1:11" ht="54" customHeight="1">
      <c r="A7793" s="9" t="s">
        <v>16929</v>
      </c>
      <c r="B7793" s="9" t="s">
        <v>16929</v>
      </c>
      <c r="C7793" s="9" t="s">
        <v>46</v>
      </c>
      <c r="D7793" s="9" t="s">
        <v>101</v>
      </c>
      <c r="E7793" s="10" t="s">
        <v>1839</v>
      </c>
      <c r="F7793" s="9" t="s">
        <v>3598</v>
      </c>
      <c r="G7793" s="10" t="s">
        <v>21</v>
      </c>
      <c r="H7793" s="9" t="s">
        <v>22</v>
      </c>
      <c r="I7793" s="9" t="s">
        <v>17114</v>
      </c>
      <c r="J7793" s="10" t="str">
        <f>HYPERLINK("https://www.boe.es/gazeta/dias/1834/08/12/pdfs/GMD-1834-177.pdf#page=3","Abrir facsímil")</f>
        <v>Abrir facsímil</v>
      </c>
      <c r="K7793" s="10" t="s">
        <v>24</v>
      </c>
    </row>
    <row r="7794" spans="1:11" ht="54" customHeight="1">
      <c r="A7794" s="9" t="s">
        <v>16929</v>
      </c>
      <c r="B7794" s="9" t="s">
        <v>16929</v>
      </c>
      <c r="C7794" s="9" t="s">
        <v>90</v>
      </c>
      <c r="D7794" s="9" t="s">
        <v>18</v>
      </c>
      <c r="E7794" s="10" t="s">
        <v>1839</v>
      </c>
      <c r="F7794" s="9" t="s">
        <v>1840</v>
      </c>
      <c r="G7794" s="10" t="s">
        <v>86</v>
      </c>
      <c r="H7794" s="9" t="s">
        <v>22</v>
      </c>
      <c r="I7794" s="9" t="s">
        <v>17115</v>
      </c>
      <c r="J7794" s="10" t="str">
        <f>HYPERLINK("https://www.boe.es/gazeta/dias/1834/08/12/pdfs/GMD-C-1834-177.pdf#page=2","Abrir facsímil")</f>
        <v>Abrir facsímil</v>
      </c>
      <c r="K7794" s="10" t="s">
        <v>24</v>
      </c>
    </row>
    <row r="7795" spans="1:11" ht="54" customHeight="1">
      <c r="A7795" s="9" t="s">
        <v>16929</v>
      </c>
      <c r="B7795" s="9" t="s">
        <v>16929</v>
      </c>
      <c r="C7795" s="9" t="s">
        <v>17</v>
      </c>
      <c r="D7795" s="9" t="s">
        <v>55</v>
      </c>
      <c r="E7795" s="10" t="s">
        <v>444</v>
      </c>
      <c r="F7795" s="9" t="s">
        <v>2412</v>
      </c>
      <c r="G7795" s="10" t="s">
        <v>34</v>
      </c>
      <c r="H7795" s="9" t="s">
        <v>22</v>
      </c>
      <c r="I7795" s="9" t="s">
        <v>17116</v>
      </c>
      <c r="J7795" s="10" t="str">
        <f>HYPERLINK("https://www.boe.es/gazeta/dias/1834/09/12/pdfs/GMD-1834-210.pdf#page=1","Abrir facsímil")</f>
        <v>Abrir facsímil</v>
      </c>
      <c r="K7795" s="10" t="s">
        <v>24</v>
      </c>
    </row>
    <row r="7796" spans="1:11" ht="54" customHeight="1">
      <c r="A7796" s="9" t="s">
        <v>16929</v>
      </c>
      <c r="B7796" s="9" t="s">
        <v>16929</v>
      </c>
      <c r="C7796" s="9" t="s">
        <v>17</v>
      </c>
      <c r="D7796" s="9" t="s">
        <v>18</v>
      </c>
      <c r="E7796" s="10" t="s">
        <v>642</v>
      </c>
      <c r="F7796" s="9" t="s">
        <v>643</v>
      </c>
      <c r="G7796" s="10" t="s">
        <v>470</v>
      </c>
      <c r="H7796" s="9" t="s">
        <v>22</v>
      </c>
      <c r="I7796" s="9" t="s">
        <v>17117</v>
      </c>
      <c r="J7796" s="10" t="str">
        <f>HYPERLINK("https://www.boe.es/gazeta/dias/1834/11/12/pdfs/GMD-C-1834-271.pdf#page=8","Abrir facsímil")</f>
        <v>Abrir facsímil</v>
      </c>
      <c r="K7796" s="10" t="s">
        <v>24</v>
      </c>
    </row>
    <row r="7797" spans="1:11" ht="54" customHeight="1">
      <c r="A7797" s="9" t="s">
        <v>16929</v>
      </c>
      <c r="B7797" s="9" t="s">
        <v>16929</v>
      </c>
      <c r="C7797" s="9" t="s">
        <v>90</v>
      </c>
      <c r="D7797" s="9" t="s">
        <v>18</v>
      </c>
      <c r="E7797" s="10" t="s">
        <v>299</v>
      </c>
      <c r="F7797" s="9" t="s">
        <v>300</v>
      </c>
      <c r="G7797" s="10" t="s">
        <v>21</v>
      </c>
      <c r="H7797" s="9" t="s">
        <v>22</v>
      </c>
      <c r="I7797" s="9" t="s">
        <v>17118</v>
      </c>
      <c r="J7797" s="10" t="str">
        <f>HYPERLINK("https://www.boe.es/gazeta/dias/1834/12/12/pdfs/GMD-1834-301.pdf#page=3","Abrir facsímil")</f>
        <v>Abrir facsímil</v>
      </c>
      <c r="K7797" s="10" t="s">
        <v>24</v>
      </c>
    </row>
    <row r="7798" spans="1:11" ht="54" customHeight="1">
      <c r="A7798" s="9" t="s">
        <v>16929</v>
      </c>
      <c r="B7798" s="9" t="s">
        <v>16929</v>
      </c>
      <c r="C7798" s="9" t="s">
        <v>17</v>
      </c>
      <c r="D7798" s="9" t="s">
        <v>18</v>
      </c>
      <c r="E7798" s="10" t="s">
        <v>299</v>
      </c>
      <c r="F7798" s="9" t="s">
        <v>2255</v>
      </c>
      <c r="G7798" s="10" t="s">
        <v>75</v>
      </c>
      <c r="H7798" s="9" t="s">
        <v>22</v>
      </c>
      <c r="I7798" s="9" t="s">
        <v>17119</v>
      </c>
      <c r="J7798" s="10" t="str">
        <f>HYPERLINK("https://www.boe.es/gazeta/dias/1834/12/12/pdfs/GMD-C-1834-301.pdf#page=4","Abrir facsímil")</f>
        <v>Abrir facsímil</v>
      </c>
      <c r="K7798" s="10" t="s">
        <v>24</v>
      </c>
    </row>
    <row r="7799" spans="1:11" ht="54" customHeight="1">
      <c r="A7799" s="9" t="s">
        <v>16929</v>
      </c>
      <c r="B7799" s="9" t="s">
        <v>16929</v>
      </c>
      <c r="C7799" s="9" t="s">
        <v>17</v>
      </c>
      <c r="D7799" s="9" t="s">
        <v>18</v>
      </c>
      <c r="E7799" s="10" t="s">
        <v>299</v>
      </c>
      <c r="F7799" s="9" t="s">
        <v>2255</v>
      </c>
      <c r="G7799" s="10" t="s">
        <v>28</v>
      </c>
      <c r="H7799" s="9" t="s">
        <v>22</v>
      </c>
      <c r="I7799" s="9" t="s">
        <v>17120</v>
      </c>
      <c r="J7799" s="10" t="str">
        <f>HYPERLINK("https://www.boe.es/gazeta/dias/1834/12/12/pdfs/GMD-C-1834-301.pdf#page=5","Abrir facsímil")</f>
        <v>Abrir facsímil</v>
      </c>
      <c r="K7799" s="10" t="s">
        <v>24</v>
      </c>
    </row>
    <row r="7800" spans="1:11" ht="54" customHeight="1">
      <c r="A7800" s="9" t="s">
        <v>16929</v>
      </c>
      <c r="B7800" s="9" t="s">
        <v>16929</v>
      </c>
      <c r="C7800" s="9" t="s">
        <v>46</v>
      </c>
      <c r="D7800" s="9" t="s">
        <v>18</v>
      </c>
      <c r="E7800" s="10" t="s">
        <v>91</v>
      </c>
      <c r="F7800" s="9" t="s">
        <v>92</v>
      </c>
      <c r="G7800" s="10" t="s">
        <v>21</v>
      </c>
      <c r="H7800" s="9" t="s">
        <v>22</v>
      </c>
      <c r="I7800" s="9" t="s">
        <v>17121</v>
      </c>
      <c r="J7800" s="10" t="str">
        <f>HYPERLINK("https://www.boe.es/gazeta/dias/1834/02/13/pdfs/GMD-1834-20.pdf#page=3","Abrir facsímil")</f>
        <v>Abrir facsímil</v>
      </c>
      <c r="K7800" s="10" t="s">
        <v>24</v>
      </c>
    </row>
    <row r="7801" spans="1:11" ht="54" customHeight="1">
      <c r="A7801" s="9" t="s">
        <v>16929</v>
      </c>
      <c r="B7801" s="9" t="s">
        <v>16929</v>
      </c>
      <c r="C7801" s="9" t="s">
        <v>66</v>
      </c>
      <c r="D7801" s="9" t="s">
        <v>18</v>
      </c>
      <c r="E7801" s="10" t="s">
        <v>844</v>
      </c>
      <c r="F7801" s="9" t="s">
        <v>845</v>
      </c>
      <c r="G7801" s="10" t="s">
        <v>34</v>
      </c>
      <c r="H7801" s="9" t="s">
        <v>22</v>
      </c>
      <c r="I7801" s="9" t="s">
        <v>17122</v>
      </c>
      <c r="J7801" s="10" t="str">
        <f>HYPERLINK("https://www.boe.es/gazeta/dias/1834/03/13/pdfs/GMD-1834-32.pdf#page=1","Abrir facsímil")</f>
        <v>Abrir facsímil</v>
      </c>
      <c r="K7801" s="10" t="s">
        <v>24</v>
      </c>
    </row>
    <row r="7802" spans="1:11" ht="54" customHeight="1">
      <c r="A7802" s="9" t="s">
        <v>16929</v>
      </c>
      <c r="B7802" s="9" t="s">
        <v>16929</v>
      </c>
      <c r="C7802" s="9" t="s">
        <v>17</v>
      </c>
      <c r="D7802" s="9" t="s">
        <v>18</v>
      </c>
      <c r="E7802" s="10" t="s">
        <v>844</v>
      </c>
      <c r="F7802" s="9" t="s">
        <v>845</v>
      </c>
      <c r="G7802" s="10" t="s">
        <v>21</v>
      </c>
      <c r="H7802" s="9" t="s">
        <v>22</v>
      </c>
      <c r="I7802" s="9" t="s">
        <v>17123</v>
      </c>
      <c r="J7802" s="10" t="str">
        <f>HYPERLINK("https://www.boe.es/gazeta/dias/1834/03/13/pdfs/GMD-1834-32.pdf#page=3","Abrir facsímil")</f>
        <v>Abrir facsímil</v>
      </c>
      <c r="K7802" s="10" t="s">
        <v>24</v>
      </c>
    </row>
    <row r="7803" spans="1:11" ht="54" customHeight="1">
      <c r="A7803" s="9" t="s">
        <v>16929</v>
      </c>
      <c r="B7803" s="9" t="s">
        <v>16929</v>
      </c>
      <c r="C7803" s="9" t="s">
        <v>66</v>
      </c>
      <c r="D7803" s="9" t="s">
        <v>101</v>
      </c>
      <c r="E7803" s="10" t="s">
        <v>729</v>
      </c>
      <c r="F7803" s="9" t="s">
        <v>730</v>
      </c>
      <c r="G7803" s="10" t="s">
        <v>34</v>
      </c>
      <c r="H7803" s="9" t="s">
        <v>22</v>
      </c>
      <c r="I7803" s="9" t="s">
        <v>17124</v>
      </c>
      <c r="J7803" s="10" t="str">
        <f>HYPERLINK("https://www.boe.es/gazeta/dias/1834/04/13/pdfs/GMD-1834-52.pdf#page=1","Abrir facsímil")</f>
        <v>Abrir facsímil</v>
      </c>
      <c r="K7803" s="10" t="s">
        <v>24</v>
      </c>
    </row>
    <row r="7804" spans="1:11" ht="54" customHeight="1">
      <c r="A7804" s="9" t="s">
        <v>16929</v>
      </c>
      <c r="B7804" s="9" t="s">
        <v>16929</v>
      </c>
      <c r="C7804" s="9" t="s">
        <v>17</v>
      </c>
      <c r="D7804" s="9" t="s">
        <v>101</v>
      </c>
      <c r="E7804" s="10" t="s">
        <v>1438</v>
      </c>
      <c r="F7804" s="9" t="s">
        <v>1439</v>
      </c>
      <c r="G7804" s="10" t="s">
        <v>34</v>
      </c>
      <c r="H7804" s="9" t="s">
        <v>22</v>
      </c>
      <c r="I7804" s="9" t="s">
        <v>17125</v>
      </c>
      <c r="J7804" s="10" t="str">
        <f>HYPERLINK("https://www.boe.es/gazeta/dias/1834/05/13/pdfs/GMD-1834-82.pdf#page=1","Abrir facsímil")</f>
        <v>Abrir facsímil</v>
      </c>
      <c r="K7804" s="10" t="s">
        <v>24</v>
      </c>
    </row>
    <row r="7805" spans="1:11" ht="54" customHeight="1">
      <c r="A7805" s="9" t="s">
        <v>16929</v>
      </c>
      <c r="B7805" s="9" t="s">
        <v>16929</v>
      </c>
      <c r="C7805" s="9" t="s">
        <v>46</v>
      </c>
      <c r="D7805" s="9" t="s">
        <v>55</v>
      </c>
      <c r="E7805" s="10" t="s">
        <v>1438</v>
      </c>
      <c r="F7805" s="9" t="s">
        <v>1439</v>
      </c>
      <c r="G7805" s="10" t="s">
        <v>86</v>
      </c>
      <c r="H7805" s="9" t="s">
        <v>22</v>
      </c>
      <c r="I7805" s="9" t="s">
        <v>17126</v>
      </c>
      <c r="J7805" s="10" t="str">
        <f>HYPERLINK("https://www.boe.es/gazeta/dias/1834/05/13/pdfs/GMD-1834-82.pdf#page=2","Abrir facsímil")</f>
        <v>Abrir facsímil</v>
      </c>
      <c r="K7805" s="10" t="s">
        <v>24</v>
      </c>
    </row>
    <row r="7806" spans="1:11" ht="54" customHeight="1">
      <c r="A7806" s="9" t="s">
        <v>16929</v>
      </c>
      <c r="B7806" s="9" t="s">
        <v>16929</v>
      </c>
      <c r="C7806" s="9" t="s">
        <v>66</v>
      </c>
      <c r="D7806" s="9" t="s">
        <v>67</v>
      </c>
      <c r="E7806" s="10" t="s">
        <v>1094</v>
      </c>
      <c r="F7806" s="9" t="s">
        <v>1095</v>
      </c>
      <c r="G7806" s="10" t="s">
        <v>34</v>
      </c>
      <c r="H7806" s="9" t="s">
        <v>22</v>
      </c>
      <c r="I7806" s="9" t="s">
        <v>17127</v>
      </c>
      <c r="J7806" s="10" t="str">
        <f>HYPERLINK("https://www.boe.es/gazeta/dias/1834/07/13/pdfs/GMD-1834-146.pdf#page=1","Abrir facsímil")</f>
        <v>Abrir facsímil</v>
      </c>
      <c r="K7806" s="10" t="s">
        <v>24</v>
      </c>
    </row>
    <row r="7807" spans="1:11" ht="54" customHeight="1">
      <c r="A7807" s="9" t="s">
        <v>16929</v>
      </c>
      <c r="B7807" s="9" t="s">
        <v>16929</v>
      </c>
      <c r="C7807" s="9" t="s">
        <v>857</v>
      </c>
      <c r="D7807" s="9" t="s">
        <v>40</v>
      </c>
      <c r="E7807" s="10" t="s">
        <v>1094</v>
      </c>
      <c r="F7807" s="9" t="s">
        <v>1095</v>
      </c>
      <c r="G7807" s="10" t="s">
        <v>75</v>
      </c>
      <c r="H7807" s="9" t="s">
        <v>22</v>
      </c>
      <c r="I7807" s="9" t="s">
        <v>17128</v>
      </c>
      <c r="J7807" s="10" t="str">
        <f>HYPERLINK("https://www.boe.es/gazeta/dias/1834/07/13/pdfs/GMD-1834-146.pdf#page=4","Abrir facsímil")</f>
        <v>Abrir facsímil</v>
      </c>
      <c r="K7807" s="10" t="s">
        <v>24</v>
      </c>
    </row>
    <row r="7808" spans="1:11" ht="54" customHeight="1">
      <c r="A7808" s="9" t="s">
        <v>16929</v>
      </c>
      <c r="B7808" s="9" t="s">
        <v>16929</v>
      </c>
      <c r="C7808" s="9" t="s">
        <v>66</v>
      </c>
      <c r="D7808" s="9" t="s">
        <v>101</v>
      </c>
      <c r="E7808" s="10" t="s">
        <v>479</v>
      </c>
      <c r="F7808" s="9" t="s">
        <v>480</v>
      </c>
      <c r="G7808" s="10" t="s">
        <v>34</v>
      </c>
      <c r="H7808" s="9" t="s">
        <v>22</v>
      </c>
      <c r="I7808" s="9" t="s">
        <v>17129</v>
      </c>
      <c r="J7808" s="10" t="str">
        <f>HYPERLINK("https://www.boe.es/gazeta/dias/1834/08/13/pdfs/GMD-1834-178.pdf#page=1","Abrir facsímil")</f>
        <v>Abrir facsímil</v>
      </c>
      <c r="K7808" s="10" t="s">
        <v>24</v>
      </c>
    </row>
    <row r="7809" spans="1:11" ht="54" customHeight="1">
      <c r="A7809" s="9" t="s">
        <v>16929</v>
      </c>
      <c r="B7809" s="9" t="s">
        <v>16929</v>
      </c>
      <c r="C7809" s="9" t="s">
        <v>17</v>
      </c>
      <c r="D7809" s="9" t="s">
        <v>18</v>
      </c>
      <c r="E7809" s="10" t="s">
        <v>479</v>
      </c>
      <c r="F7809" s="9" t="s">
        <v>480</v>
      </c>
      <c r="G7809" s="10" t="s">
        <v>86</v>
      </c>
      <c r="H7809" s="9" t="s">
        <v>22</v>
      </c>
      <c r="I7809" s="9" t="s">
        <v>17130</v>
      </c>
      <c r="J7809" s="10" t="str">
        <f>HYPERLINK("https://www.boe.es/gazeta/dias/1834/08/13/pdfs/GMD-1834-178.pdf#page=2","Abrir facsímil")</f>
        <v>Abrir facsímil</v>
      </c>
      <c r="K7809" s="10" t="s">
        <v>24</v>
      </c>
    </row>
    <row r="7810" spans="1:11" ht="54" customHeight="1">
      <c r="A7810" s="9" t="s">
        <v>16929</v>
      </c>
      <c r="B7810" s="9" t="s">
        <v>16929</v>
      </c>
      <c r="C7810" s="9" t="s">
        <v>17</v>
      </c>
      <c r="D7810" s="9" t="s">
        <v>18</v>
      </c>
      <c r="E7810" s="10" t="s">
        <v>479</v>
      </c>
      <c r="F7810" s="9" t="s">
        <v>480</v>
      </c>
      <c r="G7810" s="10" t="s">
        <v>21</v>
      </c>
      <c r="H7810" s="9" t="s">
        <v>22</v>
      </c>
      <c r="I7810" s="9" t="s">
        <v>17131</v>
      </c>
      <c r="J7810" s="10" t="str">
        <f>HYPERLINK("https://www.boe.es/gazeta/dias/1834/08/13/pdfs/GMD-1834-178.pdf#page=3","Abrir facsímil")</f>
        <v>Abrir facsímil</v>
      </c>
      <c r="K7810" s="10" t="s">
        <v>24</v>
      </c>
    </row>
    <row r="7811" spans="1:11" ht="54" customHeight="1">
      <c r="A7811" s="9" t="s">
        <v>16929</v>
      </c>
      <c r="B7811" s="9" t="s">
        <v>16929</v>
      </c>
      <c r="C7811" s="9" t="s">
        <v>46</v>
      </c>
      <c r="D7811" s="9" t="s">
        <v>101</v>
      </c>
      <c r="E7811" s="10" t="s">
        <v>479</v>
      </c>
      <c r="F7811" s="9" t="s">
        <v>2258</v>
      </c>
      <c r="G7811" s="10" t="s">
        <v>34</v>
      </c>
      <c r="H7811" s="9" t="s">
        <v>22</v>
      </c>
      <c r="I7811" s="9" t="s">
        <v>17132</v>
      </c>
      <c r="J7811" s="10" t="str">
        <f>HYPERLINK("https://www.boe.es/gazeta/dias/1834/08/13/pdfs/GMD-C-1834-178.pdf#page=1","Abrir facsímil")</f>
        <v>Abrir facsímil</v>
      </c>
      <c r="K7811" s="10" t="s">
        <v>24</v>
      </c>
    </row>
    <row r="7812" spans="1:11" ht="54" customHeight="1">
      <c r="A7812" s="9" t="s">
        <v>16929</v>
      </c>
      <c r="B7812" s="9" t="s">
        <v>16929</v>
      </c>
      <c r="C7812" s="9" t="s">
        <v>46</v>
      </c>
      <c r="D7812" s="9" t="s">
        <v>101</v>
      </c>
      <c r="E7812" s="10" t="s">
        <v>479</v>
      </c>
      <c r="F7812" s="9" t="s">
        <v>2258</v>
      </c>
      <c r="G7812" s="10" t="s">
        <v>86</v>
      </c>
      <c r="H7812" s="9" t="s">
        <v>22</v>
      </c>
      <c r="I7812" s="9" t="s">
        <v>17133</v>
      </c>
      <c r="J7812" s="10" t="str">
        <f>HYPERLINK("https://www.boe.es/gazeta/dias/1834/08/13/pdfs/GMD-C-1834-178.pdf#page=2","Abrir facsímil")</f>
        <v>Abrir facsímil</v>
      </c>
      <c r="K7812" s="10" t="s">
        <v>24</v>
      </c>
    </row>
    <row r="7813" spans="1:11" ht="54" customHeight="1">
      <c r="A7813" s="9" t="s">
        <v>16929</v>
      </c>
      <c r="B7813" s="9" t="s">
        <v>16929</v>
      </c>
      <c r="C7813" s="9" t="s">
        <v>17</v>
      </c>
      <c r="D7813" s="9" t="s">
        <v>40</v>
      </c>
      <c r="E7813" s="10" t="s">
        <v>479</v>
      </c>
      <c r="F7813" s="9" t="s">
        <v>2258</v>
      </c>
      <c r="G7813" s="10" t="s">
        <v>21</v>
      </c>
      <c r="H7813" s="9" t="s">
        <v>22</v>
      </c>
      <c r="I7813" s="9" t="s">
        <v>17134</v>
      </c>
      <c r="J7813" s="10" t="str">
        <f>HYPERLINK("https://www.boe.es/gazeta/dias/1834/08/13/pdfs/GMD-C-1834-178.pdf#page=3","Abrir facsímil")</f>
        <v>Abrir facsímil</v>
      </c>
      <c r="K7813" s="10" t="s">
        <v>24</v>
      </c>
    </row>
    <row r="7814" spans="1:11" ht="54" customHeight="1">
      <c r="A7814" s="9" t="s">
        <v>16929</v>
      </c>
      <c r="B7814" s="9" t="s">
        <v>16929</v>
      </c>
      <c r="C7814" s="9" t="s">
        <v>46</v>
      </c>
      <c r="D7814" s="9" t="s">
        <v>101</v>
      </c>
      <c r="E7814" s="10" t="s">
        <v>479</v>
      </c>
      <c r="F7814" s="9" t="s">
        <v>2258</v>
      </c>
      <c r="G7814" s="10" t="s">
        <v>75</v>
      </c>
      <c r="H7814" s="9" t="s">
        <v>22</v>
      </c>
      <c r="I7814" s="9" t="s">
        <v>17135</v>
      </c>
      <c r="J7814" s="10" t="str">
        <f>HYPERLINK("https://www.boe.es/gazeta/dias/1834/08/13/pdfs/GMD-C-1834-178.pdf#page=4","Abrir facsímil")</f>
        <v>Abrir facsímil</v>
      </c>
      <c r="K7814" s="10" t="s">
        <v>24</v>
      </c>
    </row>
    <row r="7815" spans="1:11" ht="54" customHeight="1">
      <c r="A7815" s="9" t="s">
        <v>16929</v>
      </c>
      <c r="B7815" s="9" t="s">
        <v>16929</v>
      </c>
      <c r="C7815" s="9" t="s">
        <v>46</v>
      </c>
      <c r="D7815" s="9" t="s">
        <v>55</v>
      </c>
      <c r="E7815" s="10" t="s">
        <v>2260</v>
      </c>
      <c r="F7815" s="9" t="s">
        <v>2263</v>
      </c>
      <c r="G7815" s="10" t="s">
        <v>86</v>
      </c>
      <c r="H7815" s="9" t="s">
        <v>22</v>
      </c>
      <c r="I7815" s="9" t="s">
        <v>17136</v>
      </c>
      <c r="J7815" s="10" t="str">
        <f>HYPERLINK("https://www.boe.es/gazeta/dias/1834/11/13/pdfs/GMD-C-1834-272.pdf#page=2","Abrir facsímil")</f>
        <v>Abrir facsímil</v>
      </c>
      <c r="K7815" s="10" t="s">
        <v>24</v>
      </c>
    </row>
    <row r="7816" spans="1:11" ht="54" customHeight="1">
      <c r="A7816" s="9" t="s">
        <v>16929</v>
      </c>
      <c r="B7816" s="9" t="s">
        <v>16929</v>
      </c>
      <c r="C7816" s="9" t="s">
        <v>90</v>
      </c>
      <c r="D7816" s="9" t="s">
        <v>18</v>
      </c>
      <c r="E7816" s="10" t="s">
        <v>1981</v>
      </c>
      <c r="F7816" s="9" t="s">
        <v>1982</v>
      </c>
      <c r="G7816" s="10" t="s">
        <v>34</v>
      </c>
      <c r="H7816" s="9" t="s">
        <v>22</v>
      </c>
      <c r="I7816" s="9" t="s">
        <v>17137</v>
      </c>
      <c r="J7816" s="10" t="str">
        <f>HYPERLINK("https://www.boe.es/gazeta/dias/1834/12/13/pdfs/GMD-1834-302.pdf#page=1","Abrir facsímil")</f>
        <v>Abrir facsímil</v>
      </c>
      <c r="K7816" s="10" t="s">
        <v>24</v>
      </c>
    </row>
    <row r="7817" spans="1:11" ht="54" customHeight="1">
      <c r="A7817" s="9" t="s">
        <v>16929</v>
      </c>
      <c r="B7817" s="9" t="s">
        <v>16929</v>
      </c>
      <c r="C7817" s="9" t="s">
        <v>17</v>
      </c>
      <c r="D7817" s="9" t="s">
        <v>40</v>
      </c>
      <c r="E7817" s="10" t="s">
        <v>1981</v>
      </c>
      <c r="F7817" s="9" t="s">
        <v>2471</v>
      </c>
      <c r="G7817" s="10" t="s">
        <v>176</v>
      </c>
      <c r="H7817" s="9" t="s">
        <v>22</v>
      </c>
      <c r="I7817" s="9" t="s">
        <v>17138</v>
      </c>
      <c r="J7817" s="10" t="str">
        <f>HYPERLINK("https://www.boe.es/gazeta/dias/1834/12/13/pdfs/GMD-C-1834-302.pdf#page=6","Abrir facsímil")</f>
        <v>Abrir facsímil</v>
      </c>
      <c r="K7817" s="10" t="s">
        <v>24</v>
      </c>
    </row>
    <row r="7818" spans="1:11" ht="54" customHeight="1">
      <c r="A7818" s="9" t="s">
        <v>16929</v>
      </c>
      <c r="B7818" s="9" t="s">
        <v>16929</v>
      </c>
      <c r="C7818" s="9" t="s">
        <v>66</v>
      </c>
      <c r="D7818" s="9" t="s">
        <v>67</v>
      </c>
      <c r="E7818" s="10" t="s">
        <v>343</v>
      </c>
      <c r="F7818" s="9" t="s">
        <v>344</v>
      </c>
      <c r="G7818" s="10" t="s">
        <v>34</v>
      </c>
      <c r="H7818" s="9" t="s">
        <v>22</v>
      </c>
      <c r="I7818" s="9" t="s">
        <v>17139</v>
      </c>
      <c r="J7818" s="10" t="str">
        <f>HYPERLINK("https://www.boe.es/gazeta/dias/1834/01/14/pdfs/GMD-1834-7.pdf#page=1","Abrir facsímil")</f>
        <v>Abrir facsímil</v>
      </c>
      <c r="K7818" s="10" t="s">
        <v>24</v>
      </c>
    </row>
    <row r="7819" spans="1:11" ht="54" customHeight="1">
      <c r="A7819" s="9" t="s">
        <v>16929</v>
      </c>
      <c r="B7819" s="9" t="s">
        <v>16929</v>
      </c>
      <c r="C7819" s="9" t="s">
        <v>17</v>
      </c>
      <c r="D7819" s="9" t="s">
        <v>18</v>
      </c>
      <c r="E7819" s="10" t="s">
        <v>343</v>
      </c>
      <c r="F7819" s="9" t="s">
        <v>344</v>
      </c>
      <c r="G7819" s="10" t="s">
        <v>21</v>
      </c>
      <c r="H7819" s="9" t="s">
        <v>22</v>
      </c>
      <c r="I7819" s="9" t="s">
        <v>17140</v>
      </c>
      <c r="J7819" s="10" t="str">
        <f>HYPERLINK("https://www.boe.es/gazeta/dias/1834/01/14/pdfs/GMD-1834-7.pdf#page=3","Abrir facsímil")</f>
        <v>Abrir facsímil</v>
      </c>
      <c r="K7819" s="10" t="s">
        <v>24</v>
      </c>
    </row>
    <row r="7820" spans="1:11" ht="54" customHeight="1">
      <c r="A7820" s="9" t="s">
        <v>16929</v>
      </c>
      <c r="B7820" s="9" t="s">
        <v>16929</v>
      </c>
      <c r="C7820" s="9" t="s">
        <v>46</v>
      </c>
      <c r="D7820" s="9" t="s">
        <v>55</v>
      </c>
      <c r="E7820" s="10" t="s">
        <v>1113</v>
      </c>
      <c r="F7820" s="9" t="s">
        <v>1114</v>
      </c>
      <c r="G7820" s="10" t="s">
        <v>34</v>
      </c>
      <c r="H7820" s="9" t="s">
        <v>22</v>
      </c>
      <c r="I7820" s="9" t="s">
        <v>17141</v>
      </c>
      <c r="J7820" s="10" t="str">
        <f>HYPERLINK("https://www.boe.es/gazeta/dias/1834/04/14/pdfs/GMD-1834-53.pdf#page=1","Abrir facsímil")</f>
        <v>Abrir facsímil</v>
      </c>
      <c r="K7820" s="10" t="s">
        <v>24</v>
      </c>
    </row>
    <row r="7821" spans="1:11" ht="54" customHeight="1">
      <c r="A7821" s="9" t="s">
        <v>16929</v>
      </c>
      <c r="B7821" s="9" t="s">
        <v>16929</v>
      </c>
      <c r="C7821" s="9" t="s">
        <v>46</v>
      </c>
      <c r="D7821" s="9" t="s">
        <v>101</v>
      </c>
      <c r="E7821" s="10" t="s">
        <v>1273</v>
      </c>
      <c r="F7821" s="9" t="s">
        <v>1274</v>
      </c>
      <c r="G7821" s="10" t="s">
        <v>34</v>
      </c>
      <c r="H7821" s="9" t="s">
        <v>22</v>
      </c>
      <c r="I7821" s="9" t="s">
        <v>17142</v>
      </c>
      <c r="J7821" s="10" t="str">
        <f>HYPERLINK("https://www.boe.es/gazeta/dias/1834/05/14/pdfs/GMD-1834-83.pdf#page=1","Abrir facsímil")</f>
        <v>Abrir facsímil</v>
      </c>
      <c r="K7821" s="10" t="s">
        <v>24</v>
      </c>
    </row>
    <row r="7822" spans="1:11" ht="54" customHeight="1">
      <c r="A7822" s="9" t="s">
        <v>16929</v>
      </c>
      <c r="B7822" s="9" t="s">
        <v>16929</v>
      </c>
      <c r="C7822" s="9" t="s">
        <v>66</v>
      </c>
      <c r="D7822" s="9" t="s">
        <v>67</v>
      </c>
      <c r="E7822" s="10" t="s">
        <v>1273</v>
      </c>
      <c r="F7822" s="9" t="s">
        <v>1274</v>
      </c>
      <c r="G7822" s="10" t="s">
        <v>21</v>
      </c>
      <c r="H7822" s="9" t="s">
        <v>22</v>
      </c>
      <c r="I7822" s="9" t="s">
        <v>17143</v>
      </c>
      <c r="J7822" s="10" t="str">
        <f>HYPERLINK("https://www.boe.es/gazeta/dias/1834/05/14/pdfs/GMD-1834-83.pdf#page=3","Abrir facsímil")</f>
        <v>Abrir facsímil</v>
      </c>
      <c r="K7822" s="10" t="s">
        <v>24</v>
      </c>
    </row>
    <row r="7823" spans="1:11" ht="54" customHeight="1">
      <c r="A7823" s="9" t="s">
        <v>16929</v>
      </c>
      <c r="B7823" s="9" t="s">
        <v>16929</v>
      </c>
      <c r="C7823" s="9" t="s">
        <v>17</v>
      </c>
      <c r="D7823" s="9" t="s">
        <v>101</v>
      </c>
      <c r="E7823" s="10" t="s">
        <v>1226</v>
      </c>
      <c r="F7823" s="9" t="s">
        <v>1227</v>
      </c>
      <c r="G7823" s="10" t="s">
        <v>34</v>
      </c>
      <c r="H7823" s="9" t="s">
        <v>22</v>
      </c>
      <c r="I7823" s="9" t="s">
        <v>17144</v>
      </c>
      <c r="J7823" s="10" t="str">
        <f>HYPERLINK("https://www.boe.es/gazeta/dias/1834/07/14/pdfs/GMD-1834-147.pdf#page=1","Abrir facsímil")</f>
        <v>Abrir facsímil</v>
      </c>
      <c r="K7823" s="10" t="s">
        <v>24</v>
      </c>
    </row>
    <row r="7824" spans="1:11" ht="54" customHeight="1">
      <c r="A7824" s="9" t="s">
        <v>16929</v>
      </c>
      <c r="B7824" s="9" t="s">
        <v>16929</v>
      </c>
      <c r="C7824" s="9" t="s">
        <v>66</v>
      </c>
      <c r="D7824" s="9" t="s">
        <v>18</v>
      </c>
      <c r="E7824" s="10" t="s">
        <v>1186</v>
      </c>
      <c r="F7824" s="9" t="s">
        <v>1187</v>
      </c>
      <c r="G7824" s="10" t="s">
        <v>34</v>
      </c>
      <c r="H7824" s="9" t="s">
        <v>22</v>
      </c>
      <c r="I7824" s="9" t="s">
        <v>17145</v>
      </c>
      <c r="J7824" s="10" t="str">
        <f>HYPERLINK("https://www.boe.es/gazeta/dias/1834/08/14/pdfs/GMD-1834-179.pdf#page=1","Abrir facsímil")</f>
        <v>Abrir facsímil</v>
      </c>
      <c r="K7824" s="10" t="s">
        <v>24</v>
      </c>
    </row>
    <row r="7825" spans="1:11" ht="54" customHeight="1">
      <c r="A7825" s="9" t="s">
        <v>16929</v>
      </c>
      <c r="B7825" s="9" t="s">
        <v>16929</v>
      </c>
      <c r="C7825" s="9" t="s">
        <v>66</v>
      </c>
      <c r="D7825" s="9" t="s">
        <v>101</v>
      </c>
      <c r="E7825" s="10" t="s">
        <v>1186</v>
      </c>
      <c r="F7825" s="9" t="s">
        <v>4286</v>
      </c>
      <c r="G7825" s="10" t="s">
        <v>34</v>
      </c>
      <c r="H7825" s="9" t="s">
        <v>22</v>
      </c>
      <c r="I7825" s="9" t="s">
        <v>17146</v>
      </c>
      <c r="J7825" s="10" t="str">
        <f>HYPERLINK("https://www.boe.es/gazeta/dias/1834/08/14/pdfs/GMD-C-1834-179.pdf#page=1","Abrir facsímil")</f>
        <v>Abrir facsímil</v>
      </c>
      <c r="K7825" s="10" t="s">
        <v>24</v>
      </c>
    </row>
    <row r="7826" spans="1:11" ht="54" customHeight="1">
      <c r="A7826" s="9" t="s">
        <v>16929</v>
      </c>
      <c r="B7826" s="9" t="s">
        <v>16929</v>
      </c>
      <c r="C7826" s="9" t="s">
        <v>17</v>
      </c>
      <c r="D7826" s="9" t="s">
        <v>18</v>
      </c>
      <c r="E7826" s="10" t="s">
        <v>1424</v>
      </c>
      <c r="F7826" s="9" t="s">
        <v>3445</v>
      </c>
      <c r="G7826" s="10" t="s">
        <v>21</v>
      </c>
      <c r="H7826" s="9" t="s">
        <v>22</v>
      </c>
      <c r="I7826" s="9" t="s">
        <v>17147</v>
      </c>
      <c r="J7826" s="10" t="str">
        <f>HYPERLINK("https://www.boe.es/gazeta/dias/1834/11/14/pdfs/GMD-1834-273.pdf#page=3","Abrir facsímil")</f>
        <v>Abrir facsímil</v>
      </c>
      <c r="K7826" s="10" t="s">
        <v>24</v>
      </c>
    </row>
    <row r="7827" spans="1:11" ht="54" customHeight="1">
      <c r="A7827" s="9" t="s">
        <v>16929</v>
      </c>
      <c r="B7827" s="9" t="s">
        <v>16929</v>
      </c>
      <c r="C7827" s="9" t="s">
        <v>46</v>
      </c>
      <c r="D7827" s="9" t="s">
        <v>101</v>
      </c>
      <c r="E7827" s="10" t="s">
        <v>1424</v>
      </c>
      <c r="F7827" s="9" t="s">
        <v>1425</v>
      </c>
      <c r="G7827" s="10" t="s">
        <v>28</v>
      </c>
      <c r="H7827" s="9" t="s">
        <v>22</v>
      </c>
      <c r="I7827" s="9" t="s">
        <v>17148</v>
      </c>
      <c r="J7827" s="10" t="str">
        <f>HYPERLINK("https://www.boe.es/gazeta/dias/1834/11/14/pdfs/GMD-C-1834-273.pdf#page=5","Abrir facsímil")</f>
        <v>Abrir facsímil</v>
      </c>
      <c r="K7827" s="10" t="s">
        <v>24</v>
      </c>
    </row>
    <row r="7828" spans="1:11" ht="54" customHeight="1">
      <c r="A7828" s="9" t="s">
        <v>16929</v>
      </c>
      <c r="B7828" s="9" t="s">
        <v>16929</v>
      </c>
      <c r="C7828" s="9" t="s">
        <v>66</v>
      </c>
      <c r="D7828" s="9" t="s">
        <v>18</v>
      </c>
      <c r="E7828" s="10" t="s">
        <v>2087</v>
      </c>
      <c r="F7828" s="9" t="s">
        <v>2088</v>
      </c>
      <c r="G7828" s="10" t="s">
        <v>34</v>
      </c>
      <c r="H7828" s="9" t="s">
        <v>22</v>
      </c>
      <c r="I7828" s="9" t="s">
        <v>17149</v>
      </c>
      <c r="J7828" s="10" t="str">
        <f>HYPERLINK("https://www.boe.es/gazeta/dias/1834/12/14/pdfs/GMD-1834-303.pdf#page=1","Abrir facsímil")</f>
        <v>Abrir facsímil</v>
      </c>
      <c r="K7828" s="10" t="s">
        <v>24</v>
      </c>
    </row>
    <row r="7829" spans="1:11" ht="54" customHeight="1">
      <c r="A7829" s="9" t="s">
        <v>16929</v>
      </c>
      <c r="B7829" s="9" t="s">
        <v>16929</v>
      </c>
      <c r="C7829" s="9" t="s">
        <v>66</v>
      </c>
      <c r="D7829" s="9" t="s">
        <v>67</v>
      </c>
      <c r="E7829" s="10" t="s">
        <v>2087</v>
      </c>
      <c r="F7829" s="9" t="s">
        <v>2088</v>
      </c>
      <c r="G7829" s="10" t="s">
        <v>75</v>
      </c>
      <c r="H7829" s="9" t="s">
        <v>22</v>
      </c>
      <c r="I7829" s="9" t="s">
        <v>17150</v>
      </c>
      <c r="J7829" s="10" t="str">
        <f>HYPERLINK("https://www.boe.es/gazeta/dias/1834/12/14/pdfs/GMD-1834-303.pdf#page=4","Abrir facsímil")</f>
        <v>Abrir facsímil</v>
      </c>
      <c r="K7829" s="10" t="s">
        <v>24</v>
      </c>
    </row>
    <row r="7830" spans="1:11" ht="54" customHeight="1">
      <c r="A7830" s="9" t="s">
        <v>16929</v>
      </c>
      <c r="B7830" s="9" t="s">
        <v>16929</v>
      </c>
      <c r="C7830" s="9" t="s">
        <v>17</v>
      </c>
      <c r="D7830" s="9" t="s">
        <v>18</v>
      </c>
      <c r="E7830" s="10" t="s">
        <v>2087</v>
      </c>
      <c r="F7830" s="9" t="s">
        <v>2267</v>
      </c>
      <c r="G7830" s="10" t="s">
        <v>75</v>
      </c>
      <c r="H7830" s="9" t="s">
        <v>22</v>
      </c>
      <c r="I7830" s="9" t="s">
        <v>17151</v>
      </c>
      <c r="J7830" s="10" t="str">
        <f>HYPERLINK("https://www.boe.es/gazeta/dias/1834/12/14/pdfs/GMD-C-1834-303.pdf#page=4","Abrir facsímil")</f>
        <v>Abrir facsímil</v>
      </c>
      <c r="K7830" s="10" t="s">
        <v>24</v>
      </c>
    </row>
    <row r="7831" spans="1:11" ht="54" customHeight="1">
      <c r="A7831" s="9" t="s">
        <v>16929</v>
      </c>
      <c r="B7831" s="9" t="s">
        <v>16929</v>
      </c>
      <c r="C7831" s="9" t="s">
        <v>17</v>
      </c>
      <c r="D7831" s="9" t="s">
        <v>18</v>
      </c>
      <c r="E7831" s="10" t="s">
        <v>2087</v>
      </c>
      <c r="F7831" s="9" t="s">
        <v>2267</v>
      </c>
      <c r="G7831" s="10" t="s">
        <v>28</v>
      </c>
      <c r="H7831" s="9" t="s">
        <v>22</v>
      </c>
      <c r="I7831" s="9" t="s">
        <v>17152</v>
      </c>
      <c r="J7831" s="10" t="str">
        <f>HYPERLINK("https://www.boe.es/gazeta/dias/1834/12/14/pdfs/GMD-C-1834-303.pdf#page=5","Abrir facsímil")</f>
        <v>Abrir facsímil</v>
      </c>
      <c r="K7831" s="10" t="s">
        <v>24</v>
      </c>
    </row>
    <row r="7832" spans="1:11" ht="54" customHeight="1">
      <c r="A7832" s="9" t="s">
        <v>16929</v>
      </c>
      <c r="B7832" s="9" t="s">
        <v>16929</v>
      </c>
      <c r="C7832" s="9" t="s">
        <v>17</v>
      </c>
      <c r="D7832" s="9" t="s">
        <v>18</v>
      </c>
      <c r="E7832" s="10" t="s">
        <v>2087</v>
      </c>
      <c r="F7832" s="9" t="s">
        <v>2267</v>
      </c>
      <c r="G7832" s="10" t="s">
        <v>176</v>
      </c>
      <c r="H7832" s="9" t="s">
        <v>22</v>
      </c>
      <c r="I7832" s="9" t="s">
        <v>17153</v>
      </c>
      <c r="J7832" s="10" t="str">
        <f>HYPERLINK("https://www.boe.es/gazeta/dias/1834/12/14/pdfs/GMD-C-1834-303.pdf#page=6","Abrir facsímil")</f>
        <v>Abrir facsímil</v>
      </c>
      <c r="K7832" s="10" t="s">
        <v>24</v>
      </c>
    </row>
    <row r="7833" spans="1:11" ht="54" customHeight="1">
      <c r="A7833" s="9" t="s">
        <v>16929</v>
      </c>
      <c r="B7833" s="9" t="s">
        <v>16929</v>
      </c>
      <c r="C7833" s="9" t="s">
        <v>17</v>
      </c>
      <c r="D7833" s="9" t="s">
        <v>18</v>
      </c>
      <c r="E7833" s="10" t="s">
        <v>2087</v>
      </c>
      <c r="F7833" s="9" t="s">
        <v>2267</v>
      </c>
      <c r="G7833" s="10" t="s">
        <v>560</v>
      </c>
      <c r="H7833" s="9" t="s">
        <v>22</v>
      </c>
      <c r="I7833" s="9" t="s">
        <v>17154</v>
      </c>
      <c r="J7833" s="10" t="str">
        <f>HYPERLINK("https://www.boe.es/gazeta/dias/1834/12/14/pdfs/GMD-C-1834-303.pdf#page=7","Abrir facsímil")</f>
        <v>Abrir facsímil</v>
      </c>
      <c r="K7833" s="10" t="s">
        <v>24</v>
      </c>
    </row>
    <row r="7834" spans="1:11" ht="54" customHeight="1">
      <c r="A7834" s="9" t="s">
        <v>16929</v>
      </c>
      <c r="B7834" s="9" t="s">
        <v>16929</v>
      </c>
      <c r="C7834" s="9" t="s">
        <v>17</v>
      </c>
      <c r="D7834" s="9" t="s">
        <v>55</v>
      </c>
      <c r="E7834" s="10" t="s">
        <v>2087</v>
      </c>
      <c r="F7834" s="9" t="s">
        <v>2267</v>
      </c>
      <c r="G7834" s="10" t="s">
        <v>1343</v>
      </c>
      <c r="H7834" s="9" t="s">
        <v>22</v>
      </c>
      <c r="I7834" s="9" t="s">
        <v>17155</v>
      </c>
      <c r="J7834" s="10" t="str">
        <f>HYPERLINK("https://www.boe.es/gazeta/dias/1834/12/14/pdfs/GMD-C-1834-303.pdf#page=9","Abrir facsímil")</f>
        <v>Abrir facsímil</v>
      </c>
      <c r="K7834" s="10" t="s">
        <v>24</v>
      </c>
    </row>
    <row r="7835" spans="1:11" ht="54" customHeight="1">
      <c r="A7835" s="9" t="s">
        <v>16929</v>
      </c>
      <c r="B7835" s="9" t="s">
        <v>16929</v>
      </c>
      <c r="C7835" s="9" t="s">
        <v>17</v>
      </c>
      <c r="D7835" s="9" t="s">
        <v>18</v>
      </c>
      <c r="E7835" s="10" t="s">
        <v>912</v>
      </c>
      <c r="F7835" s="9" t="s">
        <v>913</v>
      </c>
      <c r="G7835" s="10" t="s">
        <v>34</v>
      </c>
      <c r="H7835" s="9" t="s">
        <v>22</v>
      </c>
      <c r="I7835" s="9" t="s">
        <v>17156</v>
      </c>
      <c r="J7835" s="10" t="str">
        <f>HYPERLINK("https://www.boe.es/gazeta/dias/1834/02/15/pdfs/GMD-1834-21.pdf#page=1","Abrir facsímil")</f>
        <v>Abrir facsímil</v>
      </c>
      <c r="K7835" s="10" t="s">
        <v>24</v>
      </c>
    </row>
    <row r="7836" spans="1:11" ht="54" customHeight="1">
      <c r="A7836" s="9" t="s">
        <v>16929</v>
      </c>
      <c r="B7836" s="9" t="s">
        <v>16929</v>
      </c>
      <c r="C7836" s="9" t="s">
        <v>66</v>
      </c>
      <c r="D7836" s="9" t="s">
        <v>67</v>
      </c>
      <c r="E7836" s="10" t="s">
        <v>912</v>
      </c>
      <c r="F7836" s="9" t="s">
        <v>913</v>
      </c>
      <c r="G7836" s="10" t="s">
        <v>86</v>
      </c>
      <c r="H7836" s="9" t="s">
        <v>22</v>
      </c>
      <c r="I7836" s="9" t="s">
        <v>17157</v>
      </c>
      <c r="J7836" s="10" t="str">
        <f>HYPERLINK("https://www.boe.es/gazeta/dias/1834/02/15/pdfs/GMD-1834-21.pdf#page=2","Abrir facsímil")</f>
        <v>Abrir facsímil</v>
      </c>
      <c r="K7836" s="10" t="s">
        <v>24</v>
      </c>
    </row>
    <row r="7837" spans="1:11" ht="54" customHeight="1">
      <c r="A7837" s="9" t="s">
        <v>16929</v>
      </c>
      <c r="B7837" s="9" t="s">
        <v>16929</v>
      </c>
      <c r="C7837" s="9" t="s">
        <v>46</v>
      </c>
      <c r="D7837" s="9" t="s">
        <v>101</v>
      </c>
      <c r="E7837" s="10" t="s">
        <v>912</v>
      </c>
      <c r="F7837" s="9" t="s">
        <v>913</v>
      </c>
      <c r="G7837" s="10" t="s">
        <v>28</v>
      </c>
      <c r="H7837" s="9" t="s">
        <v>22</v>
      </c>
      <c r="I7837" s="9" t="s">
        <v>17158</v>
      </c>
      <c r="J7837" s="10" t="str">
        <f>HYPERLINK("https://www.boe.es/gazeta/dias/1834/02/15/pdfs/GMD-1834-21.pdf#page=5","Abrir facsímil")</f>
        <v>Abrir facsímil</v>
      </c>
      <c r="K7837" s="10" t="s">
        <v>24</v>
      </c>
    </row>
    <row r="7838" spans="1:11" ht="54" customHeight="1">
      <c r="A7838" s="9" t="s">
        <v>16929</v>
      </c>
      <c r="B7838" s="9" t="s">
        <v>16929</v>
      </c>
      <c r="C7838" s="9" t="s">
        <v>17</v>
      </c>
      <c r="D7838" s="9" t="s">
        <v>18</v>
      </c>
      <c r="E7838" s="10" t="s">
        <v>518</v>
      </c>
      <c r="F7838" s="9" t="s">
        <v>519</v>
      </c>
      <c r="G7838" s="10" t="s">
        <v>34</v>
      </c>
      <c r="H7838" s="9" t="s">
        <v>22</v>
      </c>
      <c r="I7838" s="9" t="s">
        <v>17159</v>
      </c>
      <c r="J7838" s="10" t="str">
        <f>HYPERLINK("https://www.boe.es/gazeta/dias/1834/03/15/pdfs/GMD-1834-33.pdf#page=1","Abrir facsímil")</f>
        <v>Abrir facsímil</v>
      </c>
      <c r="K7838" s="10" t="s">
        <v>24</v>
      </c>
    </row>
    <row r="7839" spans="1:11" ht="54" customHeight="1">
      <c r="A7839" s="9" t="s">
        <v>16929</v>
      </c>
      <c r="B7839" s="9" t="s">
        <v>16929</v>
      </c>
      <c r="C7839" s="9" t="s">
        <v>46</v>
      </c>
      <c r="D7839" s="9" t="s">
        <v>18</v>
      </c>
      <c r="E7839" s="10" t="s">
        <v>3282</v>
      </c>
      <c r="F7839" s="9" t="s">
        <v>3283</v>
      </c>
      <c r="G7839" s="10" t="s">
        <v>21</v>
      </c>
      <c r="H7839" s="9" t="s">
        <v>22</v>
      </c>
      <c r="I7839" s="9" t="s">
        <v>17160</v>
      </c>
      <c r="J7839" s="10" t="str">
        <f>HYPERLINK("https://www.boe.es/gazeta/dias/1834/04/15/pdfs/GMD-1834-54.pdf#page=3","Abrir facsímil")</f>
        <v>Abrir facsímil</v>
      </c>
      <c r="K7839" s="10" t="s">
        <v>24</v>
      </c>
    </row>
    <row r="7840" spans="1:11" ht="54" customHeight="1">
      <c r="A7840" s="9" t="s">
        <v>16929</v>
      </c>
      <c r="B7840" s="9" t="s">
        <v>16929</v>
      </c>
      <c r="C7840" s="9" t="s">
        <v>66</v>
      </c>
      <c r="D7840" s="9" t="s">
        <v>67</v>
      </c>
      <c r="E7840" s="10" t="s">
        <v>1234</v>
      </c>
      <c r="F7840" s="9" t="s">
        <v>1455</v>
      </c>
      <c r="G7840" s="10" t="s">
        <v>21</v>
      </c>
      <c r="H7840" s="9" t="s">
        <v>22</v>
      </c>
      <c r="I7840" s="9" t="s">
        <v>17161</v>
      </c>
      <c r="J7840" s="10" t="str">
        <f>HYPERLINK("https://www.boe.es/gazeta/dias/1834/05/15/pdfs/GMD-1834-84.pdf#page=3","Abrir facsímil")</f>
        <v>Abrir facsímil</v>
      </c>
      <c r="K7840" s="10" t="s">
        <v>24</v>
      </c>
    </row>
    <row r="7841" spans="1:11" ht="54" customHeight="1">
      <c r="A7841" s="9" t="s">
        <v>16929</v>
      </c>
      <c r="B7841" s="9" t="s">
        <v>16929</v>
      </c>
      <c r="C7841" s="9" t="s">
        <v>66</v>
      </c>
      <c r="D7841" s="9" t="s">
        <v>67</v>
      </c>
      <c r="E7841" s="10" t="s">
        <v>1234</v>
      </c>
      <c r="F7841" s="9" t="s">
        <v>1235</v>
      </c>
      <c r="G7841" s="10" t="s">
        <v>34</v>
      </c>
      <c r="H7841" s="9" t="s">
        <v>22</v>
      </c>
      <c r="I7841" s="9" t="s">
        <v>17162</v>
      </c>
      <c r="J7841" s="10" t="str">
        <f>HYPERLINK("https://www.boe.es/gazeta/dias/1834/05/15/pdfs/GMD-C-1834-84.pdf#page=1","Abrir facsímil")</f>
        <v>Abrir facsímil</v>
      </c>
      <c r="K7841" s="10" t="s">
        <v>24</v>
      </c>
    </row>
    <row r="7842" spans="1:11" ht="54" customHeight="1">
      <c r="A7842" s="9" t="s">
        <v>16929</v>
      </c>
      <c r="B7842" s="9" t="s">
        <v>16929</v>
      </c>
      <c r="C7842" s="9" t="s">
        <v>17</v>
      </c>
      <c r="D7842" s="9" t="s">
        <v>18</v>
      </c>
      <c r="E7842" s="10" t="s">
        <v>10172</v>
      </c>
      <c r="F7842" s="9" t="s">
        <v>10173</v>
      </c>
      <c r="G7842" s="10" t="s">
        <v>75</v>
      </c>
      <c r="H7842" s="9" t="s">
        <v>22</v>
      </c>
      <c r="I7842" s="9" t="s">
        <v>17163</v>
      </c>
      <c r="J7842" s="10" t="str">
        <f>HYPERLINK("https://www.boe.es/gazeta/dias/1834/06/15/pdfs/GMD-1834-118.pdf#page=4","Abrir facsímil")</f>
        <v>Abrir facsímil</v>
      </c>
      <c r="K7842" s="10" t="s">
        <v>24</v>
      </c>
    </row>
    <row r="7843" spans="1:11" ht="54" customHeight="1">
      <c r="A7843" s="9" t="s">
        <v>16929</v>
      </c>
      <c r="B7843" s="9" t="s">
        <v>16929</v>
      </c>
      <c r="C7843" s="9" t="s">
        <v>66</v>
      </c>
      <c r="D7843" s="9" t="s">
        <v>101</v>
      </c>
      <c r="E7843" s="10" t="s">
        <v>326</v>
      </c>
      <c r="F7843" s="9" t="s">
        <v>327</v>
      </c>
      <c r="G7843" s="10" t="s">
        <v>34</v>
      </c>
      <c r="H7843" s="9" t="s">
        <v>22</v>
      </c>
      <c r="I7843" s="9" t="s">
        <v>17164</v>
      </c>
      <c r="J7843" s="10" t="str">
        <f>HYPERLINK("https://www.boe.es/gazeta/dias/1834/07/15/pdfs/GMD-1834-148.pdf#page=1","Abrir facsímil")</f>
        <v>Abrir facsímil</v>
      </c>
      <c r="K7843" s="10" t="s">
        <v>24</v>
      </c>
    </row>
    <row r="7844" spans="1:11" ht="54" customHeight="1">
      <c r="A7844" s="9" t="s">
        <v>16929</v>
      </c>
      <c r="B7844" s="9" t="s">
        <v>16929</v>
      </c>
      <c r="C7844" s="9" t="s">
        <v>90</v>
      </c>
      <c r="D7844" s="9" t="s">
        <v>18</v>
      </c>
      <c r="E7844" s="10" t="s">
        <v>237</v>
      </c>
      <c r="F7844" s="9" t="s">
        <v>238</v>
      </c>
      <c r="G7844" s="10" t="s">
        <v>86</v>
      </c>
      <c r="H7844" s="9" t="s">
        <v>22</v>
      </c>
      <c r="I7844" s="9" t="s">
        <v>17165</v>
      </c>
      <c r="J7844" s="10" t="str">
        <f>HYPERLINK("https://www.boe.es/gazeta/dias/1834/08/15/pdfs/GMD-C-1834-180.pdf#page=2","Abrir facsímil")</f>
        <v>Abrir facsímil</v>
      </c>
      <c r="K7844" s="10" t="s">
        <v>24</v>
      </c>
    </row>
    <row r="7845" spans="1:11" ht="54" customHeight="1">
      <c r="A7845" s="9" t="s">
        <v>16929</v>
      </c>
      <c r="B7845" s="9" t="s">
        <v>16929</v>
      </c>
      <c r="C7845" s="9" t="s">
        <v>17</v>
      </c>
      <c r="D7845" s="9" t="s">
        <v>18</v>
      </c>
      <c r="E7845" s="10" t="s">
        <v>237</v>
      </c>
      <c r="F7845" s="9" t="s">
        <v>238</v>
      </c>
      <c r="G7845" s="10" t="s">
        <v>21</v>
      </c>
      <c r="H7845" s="9" t="s">
        <v>22</v>
      </c>
      <c r="I7845" s="9" t="s">
        <v>17166</v>
      </c>
      <c r="J7845" s="10" t="str">
        <f>HYPERLINK("https://www.boe.es/gazeta/dias/1834/08/15/pdfs/GMD-C-1834-180.pdf#page=3","Abrir facsímil")</f>
        <v>Abrir facsímil</v>
      </c>
      <c r="K7845" s="10" t="s">
        <v>24</v>
      </c>
    </row>
    <row r="7846" spans="1:11" ht="54" customHeight="1">
      <c r="A7846" s="9" t="s">
        <v>16929</v>
      </c>
      <c r="B7846" s="9" t="s">
        <v>16929</v>
      </c>
      <c r="C7846" s="9" t="s">
        <v>17</v>
      </c>
      <c r="D7846" s="9" t="s">
        <v>18</v>
      </c>
      <c r="E7846" s="10" t="s">
        <v>863</v>
      </c>
      <c r="F7846" s="9" t="s">
        <v>864</v>
      </c>
      <c r="G7846" s="10" t="s">
        <v>75</v>
      </c>
      <c r="H7846" s="9" t="s">
        <v>22</v>
      </c>
      <c r="I7846" s="9" t="s">
        <v>17167</v>
      </c>
      <c r="J7846" s="10" t="str">
        <f>HYPERLINK("https://www.boe.es/gazeta/dias/1834/09/15/pdfs/GMD-1834-213.pdf#page=4","Abrir facsímil")</f>
        <v>Abrir facsímil</v>
      </c>
      <c r="K7846" s="10" t="s">
        <v>24</v>
      </c>
    </row>
    <row r="7847" spans="1:11" ht="54" customHeight="1">
      <c r="A7847" s="9" t="s">
        <v>16929</v>
      </c>
      <c r="B7847" s="9" t="s">
        <v>16929</v>
      </c>
      <c r="C7847" s="9" t="s">
        <v>90</v>
      </c>
      <c r="D7847" s="9" t="s">
        <v>67</v>
      </c>
      <c r="E7847" s="10" t="s">
        <v>451</v>
      </c>
      <c r="F7847" s="9" t="s">
        <v>3350</v>
      </c>
      <c r="G7847" s="10" t="s">
        <v>34</v>
      </c>
      <c r="H7847" s="9" t="s">
        <v>22</v>
      </c>
      <c r="I7847" s="9" t="s">
        <v>17168</v>
      </c>
      <c r="J7847" s="10" t="str">
        <f>HYPERLINK("https://www.boe.es/gazeta/dias/1834/10/15/pdfs/GMD-1834-243.pdf#page=1","Abrir facsímil")</f>
        <v>Abrir facsímil</v>
      </c>
      <c r="K7847" s="10" t="s">
        <v>24</v>
      </c>
    </row>
    <row r="7848" spans="1:11" ht="54" customHeight="1">
      <c r="A7848" s="9" t="s">
        <v>16929</v>
      </c>
      <c r="B7848" s="9" t="s">
        <v>16929</v>
      </c>
      <c r="C7848" s="9" t="s">
        <v>17</v>
      </c>
      <c r="D7848" s="9" t="s">
        <v>18</v>
      </c>
      <c r="E7848" s="10" t="s">
        <v>928</v>
      </c>
      <c r="F7848" s="9" t="s">
        <v>3338</v>
      </c>
      <c r="G7848" s="10" t="s">
        <v>21</v>
      </c>
      <c r="H7848" s="9" t="s">
        <v>22</v>
      </c>
      <c r="I7848" s="9" t="s">
        <v>17169</v>
      </c>
      <c r="J7848" s="10" t="str">
        <f>HYPERLINK("https://www.boe.es/gazeta/dias/1834/11/15/pdfs/GMD-1834-274.pdf#page=3","Abrir facsímil")</f>
        <v>Abrir facsímil</v>
      </c>
      <c r="K7848" s="10" t="s">
        <v>24</v>
      </c>
    </row>
    <row r="7849" spans="1:11" ht="54" customHeight="1">
      <c r="A7849" s="9" t="s">
        <v>16929</v>
      </c>
      <c r="B7849" s="9" t="s">
        <v>16929</v>
      </c>
      <c r="C7849" s="9" t="s">
        <v>66</v>
      </c>
      <c r="D7849" s="9" t="s">
        <v>67</v>
      </c>
      <c r="E7849" s="10" t="s">
        <v>13660</v>
      </c>
      <c r="F7849" s="9" t="s">
        <v>13661</v>
      </c>
      <c r="G7849" s="10" t="s">
        <v>75</v>
      </c>
      <c r="H7849" s="9" t="s">
        <v>22</v>
      </c>
      <c r="I7849" s="9" t="s">
        <v>17170</v>
      </c>
      <c r="J7849" s="10" t="str">
        <f>HYPERLINK("https://www.boe.es/gazeta/dias/1834/12/15/pdfs/GMD-1834-304.pdf#page=4","Abrir facsímil")</f>
        <v>Abrir facsímil</v>
      </c>
      <c r="K7849" s="10" t="s">
        <v>24</v>
      </c>
    </row>
    <row r="7850" spans="1:11" ht="54" customHeight="1">
      <c r="A7850" s="9" t="s">
        <v>16929</v>
      </c>
      <c r="B7850" s="9" t="s">
        <v>16929</v>
      </c>
      <c r="C7850" s="9" t="s">
        <v>17</v>
      </c>
      <c r="D7850" s="9" t="s">
        <v>18</v>
      </c>
      <c r="E7850" s="10" t="s">
        <v>2398</v>
      </c>
      <c r="F7850" s="9" t="s">
        <v>2399</v>
      </c>
      <c r="G7850" s="10" t="s">
        <v>21</v>
      </c>
      <c r="H7850" s="9" t="s">
        <v>22</v>
      </c>
      <c r="I7850" s="9" t="s">
        <v>17171</v>
      </c>
      <c r="J7850" s="10" t="str">
        <f>HYPERLINK("https://www.boe.es/gazeta/dias/1834/01/16/pdfs/GMD-1834-8.pdf#page=3","Abrir facsímil")</f>
        <v>Abrir facsímil</v>
      </c>
      <c r="K7850" s="10" t="s">
        <v>24</v>
      </c>
    </row>
    <row r="7851" spans="1:11" ht="54" customHeight="1">
      <c r="A7851" s="9" t="s">
        <v>16929</v>
      </c>
      <c r="B7851" s="9" t="s">
        <v>16929</v>
      </c>
      <c r="C7851" s="9" t="s">
        <v>46</v>
      </c>
      <c r="D7851" s="9" t="s">
        <v>101</v>
      </c>
      <c r="E7851" s="10" t="s">
        <v>1394</v>
      </c>
      <c r="F7851" s="9" t="s">
        <v>1395</v>
      </c>
      <c r="G7851" s="10" t="s">
        <v>86</v>
      </c>
      <c r="H7851" s="9" t="s">
        <v>22</v>
      </c>
      <c r="I7851" s="9" t="s">
        <v>17172</v>
      </c>
      <c r="J7851" s="10" t="str">
        <f>HYPERLINK("https://www.boe.es/gazeta/dias/1834/04/16/pdfs/GMD-1834-55.pdf#page=2","Abrir facsímil")</f>
        <v>Abrir facsímil</v>
      </c>
      <c r="K7851" s="10" t="s">
        <v>24</v>
      </c>
    </row>
    <row r="7852" spans="1:11" ht="54" customHeight="1">
      <c r="A7852" s="9" t="s">
        <v>16929</v>
      </c>
      <c r="B7852" s="9" t="s">
        <v>16929</v>
      </c>
      <c r="C7852" s="9" t="s">
        <v>17</v>
      </c>
      <c r="D7852" s="9" t="s">
        <v>18</v>
      </c>
      <c r="E7852" s="10" t="s">
        <v>1394</v>
      </c>
      <c r="F7852" s="9" t="s">
        <v>2923</v>
      </c>
      <c r="G7852" s="10" t="s">
        <v>34</v>
      </c>
      <c r="H7852" s="9" t="s">
        <v>22</v>
      </c>
      <c r="I7852" s="9" t="s">
        <v>17173</v>
      </c>
      <c r="J7852" s="10" t="str">
        <f>HYPERLINK("https://www.boe.es/gazeta/dias/1834/04/16/pdfs/GMD-C-1834-55.pdf#page=1","Abrir facsímil")</f>
        <v>Abrir facsímil</v>
      </c>
      <c r="K7852" s="10" t="s">
        <v>24</v>
      </c>
    </row>
    <row r="7853" spans="1:11" ht="54" customHeight="1">
      <c r="A7853" s="9" t="s">
        <v>16929</v>
      </c>
      <c r="B7853" s="9" t="s">
        <v>16929</v>
      </c>
      <c r="C7853" s="9" t="s">
        <v>66</v>
      </c>
      <c r="D7853" s="9" t="s">
        <v>101</v>
      </c>
      <c r="E7853" s="10" t="s">
        <v>1116</v>
      </c>
      <c r="F7853" s="9" t="s">
        <v>1117</v>
      </c>
      <c r="G7853" s="10" t="s">
        <v>34</v>
      </c>
      <c r="H7853" s="9" t="s">
        <v>22</v>
      </c>
      <c r="I7853" s="9" t="s">
        <v>17174</v>
      </c>
      <c r="J7853" s="10" t="str">
        <f>HYPERLINK("https://www.boe.es/gazeta/dias/1834/05/16/pdfs/GMD-1834-85.pdf#page=1","Abrir facsímil")</f>
        <v>Abrir facsímil</v>
      </c>
      <c r="K7853" s="10" t="s">
        <v>24</v>
      </c>
    </row>
    <row r="7854" spans="1:11" ht="54" customHeight="1">
      <c r="A7854" s="9" t="s">
        <v>16929</v>
      </c>
      <c r="B7854" s="9" t="s">
        <v>16929</v>
      </c>
      <c r="C7854" s="9" t="s">
        <v>17</v>
      </c>
      <c r="D7854" s="9" t="s">
        <v>55</v>
      </c>
      <c r="E7854" s="10" t="s">
        <v>1116</v>
      </c>
      <c r="F7854" s="9" t="s">
        <v>1117</v>
      </c>
      <c r="G7854" s="10" t="s">
        <v>86</v>
      </c>
      <c r="H7854" s="9" t="s">
        <v>22</v>
      </c>
      <c r="I7854" s="9" t="s">
        <v>17175</v>
      </c>
      <c r="J7854" s="10" t="str">
        <f>HYPERLINK("https://www.boe.es/gazeta/dias/1834/05/16/pdfs/GMD-1834-85.pdf#page=2","Abrir facsímil")</f>
        <v>Abrir facsímil</v>
      </c>
      <c r="K7854" s="10" t="s">
        <v>24</v>
      </c>
    </row>
    <row r="7855" spans="1:11" ht="54" customHeight="1">
      <c r="A7855" s="9" t="s">
        <v>16929</v>
      </c>
      <c r="B7855" s="9" t="s">
        <v>16929</v>
      </c>
      <c r="C7855" s="9" t="s">
        <v>17</v>
      </c>
      <c r="D7855" s="9" t="s">
        <v>18</v>
      </c>
      <c r="E7855" s="10" t="s">
        <v>663</v>
      </c>
      <c r="F7855" s="9" t="s">
        <v>664</v>
      </c>
      <c r="G7855" s="10" t="s">
        <v>34</v>
      </c>
      <c r="H7855" s="9" t="s">
        <v>22</v>
      </c>
      <c r="I7855" s="9" t="s">
        <v>17176</v>
      </c>
      <c r="J7855" s="10" t="str">
        <f>HYPERLINK("https://www.boe.es/gazeta/dias/1834/07/16/pdfs/GMD-1834-149.pdf#page=1","Abrir facsímil")</f>
        <v>Abrir facsímil</v>
      </c>
      <c r="K7855" s="10" t="s">
        <v>24</v>
      </c>
    </row>
    <row r="7856" spans="1:11" ht="54" customHeight="1">
      <c r="A7856" s="9" t="s">
        <v>16929</v>
      </c>
      <c r="B7856" s="9" t="s">
        <v>16929</v>
      </c>
      <c r="C7856" s="9" t="s">
        <v>17</v>
      </c>
      <c r="D7856" s="9" t="s">
        <v>18</v>
      </c>
      <c r="E7856" s="10" t="s">
        <v>663</v>
      </c>
      <c r="F7856" s="9" t="s">
        <v>664</v>
      </c>
      <c r="G7856" s="10" t="s">
        <v>21</v>
      </c>
      <c r="H7856" s="9" t="s">
        <v>22</v>
      </c>
      <c r="I7856" s="9" t="s">
        <v>17177</v>
      </c>
      <c r="J7856" s="10" t="str">
        <f>HYPERLINK("https://www.boe.es/gazeta/dias/1834/07/16/pdfs/GMD-1834-149.pdf#page=3","Abrir facsímil")</f>
        <v>Abrir facsímil</v>
      </c>
      <c r="K7856" s="10" t="s">
        <v>24</v>
      </c>
    </row>
    <row r="7857" spans="1:11" ht="54" customHeight="1">
      <c r="A7857" s="9" t="s">
        <v>16929</v>
      </c>
      <c r="B7857" s="9" t="s">
        <v>16929</v>
      </c>
      <c r="C7857" s="9" t="s">
        <v>46</v>
      </c>
      <c r="D7857" s="9" t="s">
        <v>101</v>
      </c>
      <c r="E7857" s="10" t="s">
        <v>601</v>
      </c>
      <c r="F7857" s="9" t="s">
        <v>14585</v>
      </c>
      <c r="G7857" s="10" t="s">
        <v>34</v>
      </c>
      <c r="H7857" s="9" t="s">
        <v>22</v>
      </c>
      <c r="I7857" s="9" t="s">
        <v>17178</v>
      </c>
      <c r="J7857" s="10" t="str">
        <f>HYPERLINK("https://www.boe.es/gazeta/dias/1834/08/16/pdfs/GMD-C-1834-181.pdf#page=1","Abrir facsímil")</f>
        <v>Abrir facsímil</v>
      </c>
      <c r="K7857" s="10" t="s">
        <v>24</v>
      </c>
    </row>
    <row r="7858" spans="1:11" ht="54" customHeight="1">
      <c r="A7858" s="9" t="s">
        <v>16929</v>
      </c>
      <c r="B7858" s="9" t="s">
        <v>16929</v>
      </c>
      <c r="C7858" s="9" t="s">
        <v>90</v>
      </c>
      <c r="D7858" s="9" t="s">
        <v>67</v>
      </c>
      <c r="E7858" s="10" t="s">
        <v>4736</v>
      </c>
      <c r="F7858" s="9" t="s">
        <v>4737</v>
      </c>
      <c r="G7858" s="10" t="s">
        <v>34</v>
      </c>
      <c r="H7858" s="9" t="s">
        <v>22</v>
      </c>
      <c r="I7858" s="9" t="s">
        <v>17179</v>
      </c>
      <c r="J7858" s="10" t="str">
        <f>HYPERLINK("https://www.boe.es/gazeta/dias/1834/09/16/pdfs/GMD-1834-214.pdf#page=1","Abrir facsímil")</f>
        <v>Abrir facsímil</v>
      </c>
      <c r="K7858" s="10" t="s">
        <v>24</v>
      </c>
    </row>
    <row r="7859" spans="1:11" ht="54" customHeight="1">
      <c r="A7859" s="9" t="s">
        <v>16929</v>
      </c>
      <c r="B7859" s="9" t="s">
        <v>16929</v>
      </c>
      <c r="C7859" s="9" t="s">
        <v>90</v>
      </c>
      <c r="D7859" s="9" t="s">
        <v>18</v>
      </c>
      <c r="E7859" s="10" t="s">
        <v>4736</v>
      </c>
      <c r="F7859" s="9" t="s">
        <v>9470</v>
      </c>
      <c r="G7859" s="10" t="s">
        <v>34</v>
      </c>
      <c r="H7859" s="9" t="s">
        <v>22</v>
      </c>
      <c r="I7859" s="9" t="s">
        <v>17180</v>
      </c>
      <c r="J7859" s="10" t="str">
        <f>HYPERLINK("https://www.boe.es/gazeta/dias/1834/09/16/pdfs/GMD-C-1834-214.pdf#page=1","Abrir facsímil")</f>
        <v>Abrir facsímil</v>
      </c>
      <c r="K7859" s="10" t="s">
        <v>24</v>
      </c>
    </row>
    <row r="7860" spans="1:11" ht="54" customHeight="1">
      <c r="A7860" s="9" t="s">
        <v>16929</v>
      </c>
      <c r="B7860" s="9" t="s">
        <v>16929</v>
      </c>
      <c r="C7860" s="9" t="s">
        <v>66</v>
      </c>
      <c r="D7860" s="9" t="s">
        <v>55</v>
      </c>
      <c r="E7860" s="10" t="s">
        <v>454</v>
      </c>
      <c r="F7860" s="9" t="s">
        <v>2009</v>
      </c>
      <c r="G7860" s="10" t="s">
        <v>34</v>
      </c>
      <c r="H7860" s="9" t="s">
        <v>22</v>
      </c>
      <c r="I7860" s="9" t="s">
        <v>17181</v>
      </c>
      <c r="J7860" s="10" t="str">
        <f>HYPERLINK("https://www.boe.es/gazeta/dias/1834/10/16/pdfs/GMD-1834-244.pdf#page=1","Abrir facsímil")</f>
        <v>Abrir facsímil</v>
      </c>
      <c r="K7860" s="10" t="s">
        <v>24</v>
      </c>
    </row>
    <row r="7861" spans="1:11" ht="54" customHeight="1">
      <c r="A7861" s="9" t="s">
        <v>16929</v>
      </c>
      <c r="B7861" s="9" t="s">
        <v>16929</v>
      </c>
      <c r="C7861" s="9" t="s">
        <v>17</v>
      </c>
      <c r="D7861" s="9" t="s">
        <v>18</v>
      </c>
      <c r="E7861" s="10" t="s">
        <v>454</v>
      </c>
      <c r="F7861" s="9" t="s">
        <v>2009</v>
      </c>
      <c r="G7861" s="10" t="s">
        <v>86</v>
      </c>
      <c r="H7861" s="9" t="s">
        <v>22</v>
      </c>
      <c r="I7861" s="9" t="s">
        <v>17182</v>
      </c>
      <c r="J7861" s="10" t="str">
        <f>HYPERLINK("https://www.boe.es/gazeta/dias/1834/10/16/pdfs/GMD-1834-244.pdf#page=2","Abrir facsímil")</f>
        <v>Abrir facsímil</v>
      </c>
      <c r="K7861" s="10" t="s">
        <v>24</v>
      </c>
    </row>
    <row r="7862" spans="1:11" ht="54" customHeight="1">
      <c r="A7862" s="9" t="s">
        <v>16929</v>
      </c>
      <c r="B7862" s="9" t="s">
        <v>16929</v>
      </c>
      <c r="C7862" s="9" t="s">
        <v>17</v>
      </c>
      <c r="D7862" s="9" t="s">
        <v>101</v>
      </c>
      <c r="E7862" s="10" t="s">
        <v>454</v>
      </c>
      <c r="F7862" s="9" t="s">
        <v>2009</v>
      </c>
      <c r="G7862" s="10" t="s">
        <v>21</v>
      </c>
      <c r="H7862" s="9" t="s">
        <v>22</v>
      </c>
      <c r="I7862" s="9" t="s">
        <v>17183</v>
      </c>
      <c r="J7862" s="10" t="str">
        <f>HYPERLINK("https://www.boe.es/gazeta/dias/1834/10/16/pdfs/GMD-1834-244.pdf#page=3","Abrir facsímil")</f>
        <v>Abrir facsímil</v>
      </c>
      <c r="K7862" s="10" t="s">
        <v>24</v>
      </c>
    </row>
    <row r="7863" spans="1:11" ht="54" customHeight="1">
      <c r="A7863" s="9" t="s">
        <v>16929</v>
      </c>
      <c r="B7863" s="9" t="s">
        <v>16929</v>
      </c>
      <c r="C7863" s="9" t="s">
        <v>17</v>
      </c>
      <c r="D7863" s="9" t="s">
        <v>18</v>
      </c>
      <c r="E7863" s="10" t="s">
        <v>454</v>
      </c>
      <c r="F7863" s="9" t="s">
        <v>2009</v>
      </c>
      <c r="G7863" s="10" t="s">
        <v>75</v>
      </c>
      <c r="H7863" s="9" t="s">
        <v>22</v>
      </c>
      <c r="I7863" s="9" t="s">
        <v>17184</v>
      </c>
      <c r="J7863" s="10" t="str">
        <f>HYPERLINK("https://www.boe.es/gazeta/dias/1834/10/16/pdfs/GMD-1834-244.pdf#page=4","Abrir facsímil")</f>
        <v>Abrir facsímil</v>
      </c>
      <c r="K7863" s="10" t="s">
        <v>24</v>
      </c>
    </row>
    <row r="7864" spans="1:11" ht="54" customHeight="1">
      <c r="A7864" s="9" t="s">
        <v>16929</v>
      </c>
      <c r="B7864" s="9" t="s">
        <v>16929</v>
      </c>
      <c r="C7864" s="9" t="s">
        <v>857</v>
      </c>
      <c r="D7864" s="9" t="s">
        <v>18</v>
      </c>
      <c r="E7864" s="10" t="s">
        <v>454</v>
      </c>
      <c r="F7864" s="9" t="s">
        <v>455</v>
      </c>
      <c r="G7864" s="10" t="s">
        <v>21</v>
      </c>
      <c r="H7864" s="9" t="s">
        <v>22</v>
      </c>
      <c r="I7864" s="9" t="s">
        <v>17185</v>
      </c>
      <c r="J7864" s="10" t="str">
        <f>HYPERLINK("https://www.boe.es/gazeta/dias/1834/10/16/pdfs/GMD-C-1834-244.pdf#page=3","Abrir facsímil")</f>
        <v>Abrir facsímil</v>
      </c>
      <c r="K7864" s="10" t="s">
        <v>24</v>
      </c>
    </row>
    <row r="7865" spans="1:11" ht="54" customHeight="1">
      <c r="A7865" s="9" t="s">
        <v>16929</v>
      </c>
      <c r="B7865" s="9" t="s">
        <v>16929</v>
      </c>
      <c r="C7865" s="9" t="s">
        <v>66</v>
      </c>
      <c r="D7865" s="9" t="s">
        <v>67</v>
      </c>
      <c r="E7865" s="10" t="s">
        <v>233</v>
      </c>
      <c r="F7865" s="9" t="s">
        <v>234</v>
      </c>
      <c r="G7865" s="10" t="s">
        <v>34</v>
      </c>
      <c r="H7865" s="9" t="s">
        <v>22</v>
      </c>
      <c r="I7865" s="9" t="s">
        <v>17186</v>
      </c>
      <c r="J7865" s="10" t="str">
        <f>HYPERLINK("https://www.boe.es/gazeta/dias/1834/12/16/pdfs/GMD-1834-305.pdf#page=1","Abrir facsímil")</f>
        <v>Abrir facsímil</v>
      </c>
      <c r="K7865" s="10" t="s">
        <v>24</v>
      </c>
    </row>
    <row r="7866" spans="1:11" ht="54" customHeight="1">
      <c r="A7866" s="9" t="s">
        <v>16929</v>
      </c>
      <c r="B7866" s="9" t="s">
        <v>16929</v>
      </c>
      <c r="C7866" s="9" t="s">
        <v>17</v>
      </c>
      <c r="D7866" s="9" t="s">
        <v>18</v>
      </c>
      <c r="E7866" s="10" t="s">
        <v>233</v>
      </c>
      <c r="F7866" s="9" t="s">
        <v>1810</v>
      </c>
      <c r="G7866" s="10" t="s">
        <v>1099</v>
      </c>
      <c r="H7866" s="9" t="s">
        <v>22</v>
      </c>
      <c r="I7866" s="9" t="s">
        <v>17187</v>
      </c>
      <c r="J7866" s="10" t="str">
        <f>HYPERLINK("https://www.boe.es/gazeta/dias/1834/12/16/pdfs/GMD-C-1834-305.pdf#page=11","Abrir facsímil")</f>
        <v>Abrir facsímil</v>
      </c>
      <c r="K7866" s="10" t="s">
        <v>24</v>
      </c>
    </row>
    <row r="7867" spans="1:11" ht="54" customHeight="1">
      <c r="A7867" s="9" t="s">
        <v>16929</v>
      </c>
      <c r="B7867" s="9" t="s">
        <v>16929</v>
      </c>
      <c r="C7867" s="9" t="s">
        <v>17</v>
      </c>
      <c r="D7867" s="9" t="s">
        <v>18</v>
      </c>
      <c r="E7867" s="10" t="s">
        <v>233</v>
      </c>
      <c r="F7867" s="9" t="s">
        <v>1810</v>
      </c>
      <c r="G7867" s="10" t="s">
        <v>2272</v>
      </c>
      <c r="H7867" s="9" t="s">
        <v>22</v>
      </c>
      <c r="I7867" s="9" t="s">
        <v>17188</v>
      </c>
      <c r="J7867" s="10" t="str">
        <f>HYPERLINK("https://www.boe.es/gazeta/dias/1834/12/16/pdfs/GMD-C-1834-305.pdf#page=12","Abrir facsímil")</f>
        <v>Abrir facsímil</v>
      </c>
      <c r="K7867" s="10" t="s">
        <v>24</v>
      </c>
    </row>
    <row r="7868" spans="1:11" ht="54" customHeight="1">
      <c r="A7868" s="9" t="s">
        <v>16929</v>
      </c>
      <c r="B7868" s="9" t="s">
        <v>16929</v>
      </c>
      <c r="C7868" s="9" t="s">
        <v>17</v>
      </c>
      <c r="D7868" s="9" t="s">
        <v>18</v>
      </c>
      <c r="E7868" s="10" t="s">
        <v>233</v>
      </c>
      <c r="F7868" s="9" t="s">
        <v>1810</v>
      </c>
      <c r="G7868" s="10" t="s">
        <v>176</v>
      </c>
      <c r="H7868" s="9" t="s">
        <v>22</v>
      </c>
      <c r="I7868" s="9" t="s">
        <v>17189</v>
      </c>
      <c r="J7868" s="10" t="str">
        <f>HYPERLINK("https://www.boe.es/gazeta/dias/1834/12/16/pdfs/GMD-C-1834-305.pdf#page=6","Abrir facsímil")</f>
        <v>Abrir facsímil</v>
      </c>
      <c r="K7868" s="10" t="s">
        <v>24</v>
      </c>
    </row>
    <row r="7869" spans="1:11" ht="54" customHeight="1">
      <c r="A7869" s="9" t="s">
        <v>16929</v>
      </c>
      <c r="B7869" s="9" t="s">
        <v>16929</v>
      </c>
      <c r="C7869" s="9" t="s">
        <v>17</v>
      </c>
      <c r="D7869" s="9" t="s">
        <v>18</v>
      </c>
      <c r="E7869" s="10" t="s">
        <v>233</v>
      </c>
      <c r="F7869" s="9" t="s">
        <v>1810</v>
      </c>
      <c r="G7869" s="10" t="s">
        <v>470</v>
      </c>
      <c r="H7869" s="9" t="s">
        <v>22</v>
      </c>
      <c r="I7869" s="9" t="s">
        <v>17190</v>
      </c>
      <c r="J7869" s="10" t="str">
        <f>HYPERLINK("https://www.boe.es/gazeta/dias/1834/12/16/pdfs/GMD-C-1834-305.pdf#page=8","Abrir facsímil")</f>
        <v>Abrir facsímil</v>
      </c>
      <c r="K7869" s="10" t="s">
        <v>24</v>
      </c>
    </row>
    <row r="7870" spans="1:11" ht="54" customHeight="1">
      <c r="A7870" s="9" t="s">
        <v>16929</v>
      </c>
      <c r="B7870" s="9" t="s">
        <v>16929</v>
      </c>
      <c r="C7870" s="9" t="s">
        <v>17</v>
      </c>
      <c r="D7870" s="9" t="s">
        <v>18</v>
      </c>
      <c r="E7870" s="10" t="s">
        <v>233</v>
      </c>
      <c r="F7870" s="9" t="s">
        <v>1810</v>
      </c>
      <c r="G7870" s="10" t="s">
        <v>1343</v>
      </c>
      <c r="H7870" s="9" t="s">
        <v>22</v>
      </c>
      <c r="I7870" s="9" t="s">
        <v>17191</v>
      </c>
      <c r="J7870" s="10" t="str">
        <f>HYPERLINK("https://www.boe.es/gazeta/dias/1834/12/16/pdfs/GMD-C-1834-305.pdf#page=9","Abrir facsímil")</f>
        <v>Abrir facsímil</v>
      </c>
      <c r="K7870" s="10" t="s">
        <v>24</v>
      </c>
    </row>
    <row r="7871" spans="1:11" ht="54" customHeight="1">
      <c r="A7871" s="9" t="s">
        <v>16929</v>
      </c>
      <c r="B7871" s="9" t="s">
        <v>16929</v>
      </c>
      <c r="C7871" s="9" t="s">
        <v>17</v>
      </c>
      <c r="D7871" s="9" t="s">
        <v>18</v>
      </c>
      <c r="E7871" s="10" t="s">
        <v>1125</v>
      </c>
      <c r="F7871" s="9" t="s">
        <v>2490</v>
      </c>
      <c r="G7871" s="10" t="s">
        <v>34</v>
      </c>
      <c r="H7871" s="9" t="s">
        <v>22</v>
      </c>
      <c r="I7871" s="9" t="s">
        <v>17192</v>
      </c>
      <c r="J7871" s="10" t="str">
        <f>HYPERLINK("https://www.boe.es/gazeta/dias/1834/04/17/pdfs/GMD-1834-56.pdf#page=1","Abrir facsímil")</f>
        <v>Abrir facsímil</v>
      </c>
      <c r="K7871" s="10" t="s">
        <v>24</v>
      </c>
    </row>
    <row r="7872" spans="1:11" ht="54" customHeight="1">
      <c r="A7872" s="9" t="s">
        <v>16929</v>
      </c>
      <c r="B7872" s="9" t="s">
        <v>16929</v>
      </c>
      <c r="C7872" s="9" t="s">
        <v>46</v>
      </c>
      <c r="D7872" s="9" t="s">
        <v>101</v>
      </c>
      <c r="E7872" s="10" t="s">
        <v>1125</v>
      </c>
      <c r="F7872" s="9" t="s">
        <v>2490</v>
      </c>
      <c r="G7872" s="10" t="s">
        <v>560</v>
      </c>
      <c r="H7872" s="9" t="s">
        <v>22</v>
      </c>
      <c r="I7872" s="9" t="s">
        <v>17193</v>
      </c>
      <c r="J7872" s="10" t="str">
        <f>HYPERLINK("https://www.boe.es/gazeta/dias/1834/04/17/pdfs/GMD-1834-56.pdf#page=7","Abrir facsímil")</f>
        <v>Abrir facsímil</v>
      </c>
      <c r="K7872" s="10" t="s">
        <v>24</v>
      </c>
    </row>
    <row r="7873" spans="1:11" ht="54" customHeight="1">
      <c r="A7873" s="9" t="s">
        <v>16929</v>
      </c>
      <c r="B7873" s="9" t="s">
        <v>16929</v>
      </c>
      <c r="C7873" s="9" t="s">
        <v>17</v>
      </c>
      <c r="D7873" s="9" t="s">
        <v>18</v>
      </c>
      <c r="E7873" s="10" t="s">
        <v>1125</v>
      </c>
      <c r="F7873" s="9" t="s">
        <v>2490</v>
      </c>
      <c r="G7873" s="10" t="s">
        <v>470</v>
      </c>
      <c r="H7873" s="9" t="s">
        <v>22</v>
      </c>
      <c r="I7873" s="9" t="s">
        <v>17194</v>
      </c>
      <c r="J7873" s="10" t="str">
        <f>HYPERLINK("https://www.boe.es/gazeta/dias/1834/04/17/pdfs/GMD-1834-56.pdf#page=8","Abrir facsímil")</f>
        <v>Abrir facsímil</v>
      </c>
      <c r="K7873" s="10" t="s">
        <v>24</v>
      </c>
    </row>
    <row r="7874" spans="1:11" ht="54" customHeight="1">
      <c r="A7874" s="9" t="s">
        <v>16929</v>
      </c>
      <c r="B7874" s="9" t="s">
        <v>16929</v>
      </c>
      <c r="C7874" s="9" t="s">
        <v>17</v>
      </c>
      <c r="D7874" s="9" t="s">
        <v>18</v>
      </c>
      <c r="E7874" s="10" t="s">
        <v>138</v>
      </c>
      <c r="F7874" s="9" t="s">
        <v>139</v>
      </c>
      <c r="G7874" s="10" t="s">
        <v>21</v>
      </c>
      <c r="H7874" s="9" t="s">
        <v>22</v>
      </c>
      <c r="I7874" s="9" t="s">
        <v>17195</v>
      </c>
      <c r="J7874" s="10" t="str">
        <f>HYPERLINK("https://www.boe.es/gazeta/dias/1834/05/17/pdfs/GMD-1834-86.pdf#page=3","Abrir facsímil")</f>
        <v>Abrir facsímil</v>
      </c>
      <c r="K7874" s="10" t="s">
        <v>24</v>
      </c>
    </row>
    <row r="7875" spans="1:11" ht="54" customHeight="1">
      <c r="A7875" s="9" t="s">
        <v>16929</v>
      </c>
      <c r="B7875" s="9" t="s">
        <v>16929</v>
      </c>
      <c r="C7875" s="9" t="s">
        <v>122</v>
      </c>
      <c r="D7875" s="9" t="s">
        <v>18</v>
      </c>
      <c r="E7875" s="10" t="s">
        <v>1119</v>
      </c>
      <c r="F7875" s="9" t="s">
        <v>1120</v>
      </c>
      <c r="G7875" s="10" t="s">
        <v>34</v>
      </c>
      <c r="H7875" s="9" t="s">
        <v>22</v>
      </c>
      <c r="I7875" s="9" t="s">
        <v>17196</v>
      </c>
      <c r="J7875" s="10" t="str">
        <f>HYPERLINK("https://www.boe.es/gazeta/dias/1834/07/17/pdfs/GMD-1834-150.pdf#page=1","Abrir facsímil")</f>
        <v>Abrir facsímil</v>
      </c>
      <c r="K7875" s="10" t="s">
        <v>24</v>
      </c>
    </row>
    <row r="7876" spans="1:11" ht="54" customHeight="1">
      <c r="A7876" s="9" t="s">
        <v>16929</v>
      </c>
      <c r="B7876" s="9" t="s">
        <v>16929</v>
      </c>
      <c r="C7876" s="9" t="s">
        <v>66</v>
      </c>
      <c r="D7876" s="9" t="s">
        <v>67</v>
      </c>
      <c r="E7876" s="10" t="s">
        <v>1119</v>
      </c>
      <c r="F7876" s="9" t="s">
        <v>1120</v>
      </c>
      <c r="G7876" s="10" t="s">
        <v>21</v>
      </c>
      <c r="H7876" s="9" t="s">
        <v>22</v>
      </c>
      <c r="I7876" s="9" t="s">
        <v>17197</v>
      </c>
      <c r="J7876" s="10" t="str">
        <f>HYPERLINK("https://www.boe.es/gazeta/dias/1834/07/17/pdfs/GMD-1834-150.pdf#page=3","Abrir facsímil")</f>
        <v>Abrir facsímil</v>
      </c>
      <c r="K7876" s="10" t="s">
        <v>24</v>
      </c>
    </row>
    <row r="7877" spans="1:11" ht="54" customHeight="1">
      <c r="A7877" s="9" t="s">
        <v>16929</v>
      </c>
      <c r="B7877" s="9" t="s">
        <v>16929</v>
      </c>
      <c r="C7877" s="9" t="s">
        <v>66</v>
      </c>
      <c r="D7877" s="9" t="s">
        <v>67</v>
      </c>
      <c r="E7877" s="10" t="s">
        <v>19</v>
      </c>
      <c r="F7877" s="9" t="s">
        <v>107</v>
      </c>
      <c r="G7877" s="10" t="s">
        <v>34</v>
      </c>
      <c r="H7877" s="9" t="s">
        <v>22</v>
      </c>
      <c r="I7877" s="9" t="s">
        <v>17198</v>
      </c>
      <c r="J7877" s="10" t="str">
        <f>HYPERLINK("https://www.boe.es/gazeta/dias/1834/08/17/pdfs/GMD-1834-182.pdf#page=1","Abrir facsímil")</f>
        <v>Abrir facsímil</v>
      </c>
      <c r="K7877" s="10" t="s">
        <v>24</v>
      </c>
    </row>
    <row r="7878" spans="1:11" ht="54" customHeight="1">
      <c r="A7878" s="9" t="s">
        <v>16929</v>
      </c>
      <c r="B7878" s="9" t="s">
        <v>16929</v>
      </c>
      <c r="C7878" s="9" t="s">
        <v>122</v>
      </c>
      <c r="D7878" s="9" t="s">
        <v>101</v>
      </c>
      <c r="E7878" s="10" t="s">
        <v>19</v>
      </c>
      <c r="F7878" s="9" t="s">
        <v>107</v>
      </c>
      <c r="G7878" s="10" t="s">
        <v>21</v>
      </c>
      <c r="H7878" s="9" t="s">
        <v>22</v>
      </c>
      <c r="I7878" s="9" t="s">
        <v>17199</v>
      </c>
      <c r="J7878" s="10" t="str">
        <f>HYPERLINK("https://www.boe.es/gazeta/dias/1834/08/17/pdfs/GMD-1834-182.pdf#page=3","Abrir facsímil")</f>
        <v>Abrir facsímil</v>
      </c>
      <c r="K7878" s="10" t="s">
        <v>24</v>
      </c>
    </row>
    <row r="7879" spans="1:11" ht="54" customHeight="1">
      <c r="A7879" s="9" t="s">
        <v>16929</v>
      </c>
      <c r="B7879" s="9" t="s">
        <v>16929</v>
      </c>
      <c r="C7879" s="9" t="s">
        <v>17</v>
      </c>
      <c r="D7879" s="9" t="s">
        <v>18</v>
      </c>
      <c r="E7879" s="10" t="s">
        <v>19</v>
      </c>
      <c r="F7879" s="9" t="s">
        <v>20</v>
      </c>
      <c r="G7879" s="10" t="s">
        <v>21</v>
      </c>
      <c r="H7879" s="9" t="s">
        <v>22</v>
      </c>
      <c r="I7879" s="9" t="s">
        <v>17200</v>
      </c>
      <c r="J7879" s="10" t="str">
        <f>HYPERLINK("https://www.boe.es/gazeta/dias/1834/08/17/pdfs/GMD-D-1834-182.pdf#page=3","Abrir facsímil")</f>
        <v>Abrir facsímil</v>
      </c>
      <c r="K7879" s="10" t="s">
        <v>24</v>
      </c>
    </row>
    <row r="7880" spans="1:11" ht="54" customHeight="1">
      <c r="A7880" s="9" t="s">
        <v>16929</v>
      </c>
      <c r="B7880" s="9" t="s">
        <v>16929</v>
      </c>
      <c r="C7880" s="9" t="s">
        <v>17</v>
      </c>
      <c r="D7880" s="9" t="s">
        <v>18</v>
      </c>
      <c r="E7880" s="10" t="s">
        <v>715</v>
      </c>
      <c r="F7880" s="9" t="s">
        <v>7773</v>
      </c>
      <c r="G7880" s="10" t="s">
        <v>21</v>
      </c>
      <c r="H7880" s="9" t="s">
        <v>22</v>
      </c>
      <c r="I7880" s="9" t="s">
        <v>17201</v>
      </c>
      <c r="J7880" s="10" t="str">
        <f>HYPERLINK("https://www.boe.es/gazeta/dias/1834/09/17/pdfs/GMD-1834-215.pdf#page=3","Abrir facsímil")</f>
        <v>Abrir facsímil</v>
      </c>
      <c r="K7880" s="10" t="s">
        <v>24</v>
      </c>
    </row>
    <row r="7881" spans="1:11" ht="54" customHeight="1">
      <c r="A7881" s="9" t="s">
        <v>16929</v>
      </c>
      <c r="B7881" s="9" t="s">
        <v>16929</v>
      </c>
      <c r="C7881" s="9" t="s">
        <v>122</v>
      </c>
      <c r="D7881" s="9" t="s">
        <v>18</v>
      </c>
      <c r="E7881" s="10" t="s">
        <v>1195</v>
      </c>
      <c r="F7881" s="9" t="s">
        <v>1916</v>
      </c>
      <c r="G7881" s="10" t="s">
        <v>34</v>
      </c>
      <c r="H7881" s="9" t="s">
        <v>22</v>
      </c>
      <c r="I7881" s="9" t="s">
        <v>17202</v>
      </c>
      <c r="J7881" s="10" t="str">
        <f>HYPERLINK("https://www.boe.es/gazeta/dias/1834/10/17/pdfs/GMD-1834-245.pdf#page=1","Abrir facsímil")</f>
        <v>Abrir facsímil</v>
      </c>
      <c r="K7881" s="10" t="s">
        <v>24</v>
      </c>
    </row>
    <row r="7882" spans="1:11" ht="54" customHeight="1">
      <c r="A7882" s="9" t="s">
        <v>16929</v>
      </c>
      <c r="B7882" s="9" t="s">
        <v>16929</v>
      </c>
      <c r="C7882" s="9" t="s">
        <v>17</v>
      </c>
      <c r="D7882" s="9" t="s">
        <v>55</v>
      </c>
      <c r="E7882" s="10" t="s">
        <v>1195</v>
      </c>
      <c r="F7882" s="9" t="s">
        <v>1196</v>
      </c>
      <c r="G7882" s="10" t="s">
        <v>21</v>
      </c>
      <c r="H7882" s="9" t="s">
        <v>22</v>
      </c>
      <c r="I7882" s="9" t="s">
        <v>17203</v>
      </c>
      <c r="J7882" s="10" t="str">
        <f>HYPERLINK("https://www.boe.es/gazeta/dias/1834/10/17/pdfs/GMD-C-1834-245.pdf#page=3","Abrir facsímil")</f>
        <v>Abrir facsímil</v>
      </c>
      <c r="K7882" s="10" t="s">
        <v>24</v>
      </c>
    </row>
    <row r="7883" spans="1:11" ht="54" customHeight="1">
      <c r="A7883" s="9" t="s">
        <v>16929</v>
      </c>
      <c r="B7883" s="9" t="s">
        <v>16929</v>
      </c>
      <c r="C7883" s="9" t="s">
        <v>46</v>
      </c>
      <c r="D7883" s="9" t="s">
        <v>101</v>
      </c>
      <c r="E7883" s="10" t="s">
        <v>1195</v>
      </c>
      <c r="F7883" s="9" t="s">
        <v>1196</v>
      </c>
      <c r="G7883" s="10" t="s">
        <v>176</v>
      </c>
      <c r="H7883" s="9" t="s">
        <v>22</v>
      </c>
      <c r="I7883" s="9" t="s">
        <v>17204</v>
      </c>
      <c r="J7883" s="10" t="str">
        <f>HYPERLINK("https://www.boe.es/gazeta/dias/1834/10/17/pdfs/GMD-C-1834-245.pdf#page=6","Abrir facsímil")</f>
        <v>Abrir facsímil</v>
      </c>
      <c r="K7883" s="10" t="s">
        <v>24</v>
      </c>
    </row>
    <row r="7884" spans="1:11" ht="54" customHeight="1">
      <c r="A7884" s="9" t="s">
        <v>16929</v>
      </c>
      <c r="B7884" s="9" t="s">
        <v>16929</v>
      </c>
      <c r="C7884" s="9" t="s">
        <v>46</v>
      </c>
      <c r="D7884" s="9" t="s">
        <v>18</v>
      </c>
      <c r="E7884" s="10" t="s">
        <v>1195</v>
      </c>
      <c r="F7884" s="9" t="s">
        <v>1196</v>
      </c>
      <c r="G7884" s="10" t="s">
        <v>560</v>
      </c>
      <c r="H7884" s="9" t="s">
        <v>22</v>
      </c>
      <c r="I7884" s="9" t="s">
        <v>17205</v>
      </c>
      <c r="J7884" s="10" t="str">
        <f>HYPERLINK("https://www.boe.es/gazeta/dias/1834/10/17/pdfs/GMD-C-1834-245.pdf#page=7","Abrir facsímil")</f>
        <v>Abrir facsímil</v>
      </c>
      <c r="K7884" s="10" t="s">
        <v>24</v>
      </c>
    </row>
    <row r="7885" spans="1:11" ht="54" customHeight="1">
      <c r="A7885" s="9" t="s">
        <v>16929</v>
      </c>
      <c r="B7885" s="9" t="s">
        <v>16929</v>
      </c>
      <c r="C7885" s="9" t="s">
        <v>17</v>
      </c>
      <c r="D7885" s="9" t="s">
        <v>101</v>
      </c>
      <c r="E7885" s="10" t="s">
        <v>2278</v>
      </c>
      <c r="F7885" s="9" t="s">
        <v>3088</v>
      </c>
      <c r="G7885" s="10" t="s">
        <v>34</v>
      </c>
      <c r="H7885" s="9" t="s">
        <v>22</v>
      </c>
      <c r="I7885" s="9" t="s">
        <v>17206</v>
      </c>
      <c r="J7885" s="10" t="str">
        <f>HYPERLINK("https://www.boe.es/gazeta/dias/1834/12/17/pdfs/GMD-1834-306.pdf#page=1","Abrir facsímil")</f>
        <v>Abrir facsímil</v>
      </c>
      <c r="K7885" s="10" t="s">
        <v>24</v>
      </c>
    </row>
    <row r="7886" spans="1:11" ht="54" customHeight="1">
      <c r="A7886" s="9" t="s">
        <v>16929</v>
      </c>
      <c r="B7886" s="9" t="s">
        <v>16929</v>
      </c>
      <c r="C7886" s="9" t="s">
        <v>17</v>
      </c>
      <c r="D7886" s="9" t="s">
        <v>18</v>
      </c>
      <c r="E7886" s="10" t="s">
        <v>2278</v>
      </c>
      <c r="F7886" s="9" t="s">
        <v>2279</v>
      </c>
      <c r="G7886" s="10" t="s">
        <v>34</v>
      </c>
      <c r="H7886" s="9" t="s">
        <v>22</v>
      </c>
      <c r="I7886" s="9" t="s">
        <v>17207</v>
      </c>
      <c r="J7886" s="10" t="str">
        <f>HYPERLINK("https://www.boe.es/gazeta/dias/1834/12/17/pdfs/GMD-C-1834-306.pdf#page=1","Abrir facsímil")</f>
        <v>Abrir facsímil</v>
      </c>
      <c r="K7886" s="10" t="s">
        <v>24</v>
      </c>
    </row>
    <row r="7887" spans="1:11" ht="54" customHeight="1">
      <c r="A7887" s="9" t="s">
        <v>16929</v>
      </c>
      <c r="B7887" s="9" t="s">
        <v>16929</v>
      </c>
      <c r="C7887" s="9" t="s">
        <v>17</v>
      </c>
      <c r="D7887" s="9" t="s">
        <v>18</v>
      </c>
      <c r="E7887" s="10" t="s">
        <v>2278</v>
      </c>
      <c r="F7887" s="9" t="s">
        <v>2279</v>
      </c>
      <c r="G7887" s="10" t="s">
        <v>28</v>
      </c>
      <c r="H7887" s="9" t="s">
        <v>22</v>
      </c>
      <c r="I7887" s="9" t="s">
        <v>17208</v>
      </c>
      <c r="J7887" s="10" t="str">
        <f>HYPERLINK("https://www.boe.es/gazeta/dias/1834/12/17/pdfs/GMD-C-1834-306.pdf#page=5","Abrir facsímil")</f>
        <v>Abrir facsímil</v>
      </c>
      <c r="K7887" s="10" t="s">
        <v>24</v>
      </c>
    </row>
    <row r="7888" spans="1:11" ht="54" customHeight="1">
      <c r="A7888" s="9" t="s">
        <v>16929</v>
      </c>
      <c r="B7888" s="9" t="s">
        <v>16929</v>
      </c>
      <c r="C7888" s="9" t="s">
        <v>17</v>
      </c>
      <c r="D7888" s="9" t="s">
        <v>18</v>
      </c>
      <c r="E7888" s="10" t="s">
        <v>866</v>
      </c>
      <c r="F7888" s="9" t="s">
        <v>867</v>
      </c>
      <c r="G7888" s="10" t="s">
        <v>34</v>
      </c>
      <c r="H7888" s="9" t="s">
        <v>22</v>
      </c>
      <c r="I7888" s="9" t="s">
        <v>17209</v>
      </c>
      <c r="J7888" s="10" t="str">
        <f>HYPERLINK("https://www.boe.es/gazeta/dias/1834/01/18/pdfs/GMD-1834-9.pdf#page=1","Abrir facsímil")</f>
        <v>Abrir facsímil</v>
      </c>
      <c r="K7888" s="10" t="s">
        <v>24</v>
      </c>
    </row>
    <row r="7889" spans="1:11" ht="54" customHeight="1">
      <c r="A7889" s="9" t="s">
        <v>16929</v>
      </c>
      <c r="B7889" s="9" t="s">
        <v>16929</v>
      </c>
      <c r="C7889" s="9" t="s">
        <v>17</v>
      </c>
      <c r="D7889" s="9" t="s">
        <v>18</v>
      </c>
      <c r="E7889" s="10" t="s">
        <v>866</v>
      </c>
      <c r="F7889" s="9" t="s">
        <v>867</v>
      </c>
      <c r="G7889" s="10" t="s">
        <v>21</v>
      </c>
      <c r="H7889" s="9" t="s">
        <v>22</v>
      </c>
      <c r="I7889" s="9" t="s">
        <v>17210</v>
      </c>
      <c r="J7889" s="10" t="str">
        <f>HYPERLINK("https://www.boe.es/gazeta/dias/1834/01/18/pdfs/GMD-1834-9.pdf#page=3","Abrir facsímil")</f>
        <v>Abrir facsímil</v>
      </c>
      <c r="K7889" s="10" t="s">
        <v>24</v>
      </c>
    </row>
    <row r="7890" spans="1:11" ht="54" customHeight="1">
      <c r="A7890" s="9" t="s">
        <v>16929</v>
      </c>
      <c r="B7890" s="9" t="s">
        <v>16929</v>
      </c>
      <c r="C7890" s="9" t="s">
        <v>17</v>
      </c>
      <c r="D7890" s="9" t="s">
        <v>18</v>
      </c>
      <c r="E7890" s="10" t="s">
        <v>866</v>
      </c>
      <c r="F7890" s="9" t="s">
        <v>867</v>
      </c>
      <c r="G7890" s="10" t="s">
        <v>75</v>
      </c>
      <c r="H7890" s="9" t="s">
        <v>22</v>
      </c>
      <c r="I7890" s="9" t="s">
        <v>17211</v>
      </c>
      <c r="J7890" s="10" t="str">
        <f>HYPERLINK("https://www.boe.es/gazeta/dias/1834/01/18/pdfs/GMD-1834-9.pdf#page=4","Abrir facsímil")</f>
        <v>Abrir facsímil</v>
      </c>
      <c r="K7890" s="10" t="s">
        <v>24</v>
      </c>
    </row>
    <row r="7891" spans="1:11" ht="54" customHeight="1">
      <c r="A7891" s="9" t="s">
        <v>16929</v>
      </c>
      <c r="B7891" s="9" t="s">
        <v>16929</v>
      </c>
      <c r="C7891" s="9" t="s">
        <v>17</v>
      </c>
      <c r="D7891" s="9" t="s">
        <v>18</v>
      </c>
      <c r="E7891" s="10" t="s">
        <v>1850</v>
      </c>
      <c r="F7891" s="9" t="s">
        <v>1851</v>
      </c>
      <c r="G7891" s="10" t="s">
        <v>86</v>
      </c>
      <c r="H7891" s="9" t="s">
        <v>22</v>
      </c>
      <c r="I7891" s="9" t="s">
        <v>17212</v>
      </c>
      <c r="J7891" s="10" t="str">
        <f>HYPERLINK("https://www.boe.es/gazeta/dias/1834/02/18/pdfs/GMD-1834-22.pdf#page=2","Abrir facsímil")</f>
        <v>Abrir facsímil</v>
      </c>
      <c r="K7891" s="10" t="s">
        <v>24</v>
      </c>
    </row>
    <row r="7892" spans="1:11" ht="54" customHeight="1">
      <c r="A7892" s="9" t="s">
        <v>16929</v>
      </c>
      <c r="B7892" s="9" t="s">
        <v>16929</v>
      </c>
      <c r="C7892" s="9" t="s">
        <v>17</v>
      </c>
      <c r="D7892" s="9" t="s">
        <v>101</v>
      </c>
      <c r="E7892" s="10" t="s">
        <v>1850</v>
      </c>
      <c r="F7892" s="9" t="s">
        <v>1851</v>
      </c>
      <c r="G7892" s="10" t="s">
        <v>21</v>
      </c>
      <c r="H7892" s="9" t="s">
        <v>22</v>
      </c>
      <c r="I7892" s="9" t="s">
        <v>17213</v>
      </c>
      <c r="J7892" s="10" t="str">
        <f>HYPERLINK("https://www.boe.es/gazeta/dias/1834/02/18/pdfs/GMD-1834-22.pdf#page=3","Abrir facsímil")</f>
        <v>Abrir facsímil</v>
      </c>
      <c r="K7892" s="10" t="s">
        <v>24</v>
      </c>
    </row>
    <row r="7893" spans="1:11" ht="54" customHeight="1">
      <c r="A7893" s="9" t="s">
        <v>16929</v>
      </c>
      <c r="B7893" s="9" t="s">
        <v>16929</v>
      </c>
      <c r="C7893" s="9" t="s">
        <v>122</v>
      </c>
      <c r="D7893" s="9" t="s">
        <v>55</v>
      </c>
      <c r="E7893" s="10" t="s">
        <v>1850</v>
      </c>
      <c r="F7893" s="9" t="s">
        <v>1851</v>
      </c>
      <c r="G7893" s="10" t="s">
        <v>75</v>
      </c>
      <c r="H7893" s="9" t="s">
        <v>22</v>
      </c>
      <c r="I7893" s="9" t="s">
        <v>17214</v>
      </c>
      <c r="J7893" s="10" t="str">
        <f>HYPERLINK("https://www.boe.es/gazeta/dias/1834/02/18/pdfs/GMD-1834-22.pdf#page=4","Abrir facsímil")</f>
        <v>Abrir facsímil</v>
      </c>
      <c r="K7893" s="10" t="s">
        <v>24</v>
      </c>
    </row>
    <row r="7894" spans="1:11" ht="54" customHeight="1">
      <c r="A7894" s="9" t="s">
        <v>16929</v>
      </c>
      <c r="B7894" s="9" t="s">
        <v>16929</v>
      </c>
      <c r="C7894" s="9" t="s">
        <v>17</v>
      </c>
      <c r="D7894" s="9" t="s">
        <v>18</v>
      </c>
      <c r="E7894" s="10" t="s">
        <v>1850</v>
      </c>
      <c r="F7894" s="9" t="s">
        <v>1851</v>
      </c>
      <c r="G7894" s="10" t="s">
        <v>28</v>
      </c>
      <c r="H7894" s="9" t="s">
        <v>22</v>
      </c>
      <c r="I7894" s="9" t="s">
        <v>17215</v>
      </c>
      <c r="J7894" s="10" t="str">
        <f>HYPERLINK("https://www.boe.es/gazeta/dias/1834/02/18/pdfs/GMD-1834-22.pdf#page=5","Abrir facsímil")</f>
        <v>Abrir facsímil</v>
      </c>
      <c r="K7894" s="10" t="s">
        <v>24</v>
      </c>
    </row>
    <row r="7895" spans="1:11" ht="54" customHeight="1">
      <c r="A7895" s="9" t="s">
        <v>16929</v>
      </c>
      <c r="B7895" s="9" t="s">
        <v>16929</v>
      </c>
      <c r="C7895" s="9" t="s">
        <v>17</v>
      </c>
      <c r="D7895" s="9" t="s">
        <v>18</v>
      </c>
      <c r="E7895" s="10" t="s">
        <v>1850</v>
      </c>
      <c r="F7895" s="9" t="s">
        <v>1851</v>
      </c>
      <c r="G7895" s="10" t="s">
        <v>176</v>
      </c>
      <c r="H7895" s="9" t="s">
        <v>22</v>
      </c>
      <c r="I7895" s="9" t="s">
        <v>17216</v>
      </c>
      <c r="J7895" s="10" t="str">
        <f>HYPERLINK("https://www.boe.es/gazeta/dias/1834/02/18/pdfs/GMD-1834-22.pdf#page=6","Abrir facsímil")</f>
        <v>Abrir facsímil</v>
      </c>
      <c r="K7895" s="10" t="s">
        <v>24</v>
      </c>
    </row>
    <row r="7896" spans="1:11" ht="54" customHeight="1">
      <c r="A7896" s="9" t="s">
        <v>16929</v>
      </c>
      <c r="B7896" s="9" t="s">
        <v>16929</v>
      </c>
      <c r="C7896" s="9" t="s">
        <v>17</v>
      </c>
      <c r="D7896" s="9" t="s">
        <v>18</v>
      </c>
      <c r="E7896" s="10" t="s">
        <v>183</v>
      </c>
      <c r="F7896" s="9" t="s">
        <v>184</v>
      </c>
      <c r="G7896" s="10" t="s">
        <v>34</v>
      </c>
      <c r="H7896" s="9" t="s">
        <v>22</v>
      </c>
      <c r="I7896" s="9" t="s">
        <v>17217</v>
      </c>
      <c r="J7896" s="10" t="str">
        <f>HYPERLINK("https://www.boe.es/gazeta/dias/1834/03/18/pdfs/GMD-1834-34.pdf#page=1","Abrir facsímil")</f>
        <v>Abrir facsímil</v>
      </c>
      <c r="K7896" s="10" t="s">
        <v>24</v>
      </c>
    </row>
    <row r="7897" spans="1:11" ht="54" customHeight="1">
      <c r="A7897" s="9" t="s">
        <v>16929</v>
      </c>
      <c r="B7897" s="9" t="s">
        <v>16929</v>
      </c>
      <c r="C7897" s="9" t="s">
        <v>46</v>
      </c>
      <c r="D7897" s="9" t="s">
        <v>101</v>
      </c>
      <c r="E7897" s="10" t="s">
        <v>541</v>
      </c>
      <c r="F7897" s="9" t="s">
        <v>542</v>
      </c>
      <c r="G7897" s="10" t="s">
        <v>34</v>
      </c>
      <c r="H7897" s="9" t="s">
        <v>22</v>
      </c>
      <c r="I7897" s="9" t="s">
        <v>17218</v>
      </c>
      <c r="J7897" s="10" t="str">
        <f>HYPERLINK("https://www.boe.es/gazeta/dias/1834/04/18/pdfs/GMD-1834-57.pdf#page=1","Abrir facsímil")</f>
        <v>Abrir facsímil</v>
      </c>
      <c r="K7897" s="10" t="s">
        <v>24</v>
      </c>
    </row>
    <row r="7898" spans="1:11" ht="54" customHeight="1">
      <c r="A7898" s="9" t="s">
        <v>16929</v>
      </c>
      <c r="B7898" s="9" t="s">
        <v>16929</v>
      </c>
      <c r="C7898" s="9" t="s">
        <v>46</v>
      </c>
      <c r="D7898" s="9" t="s">
        <v>101</v>
      </c>
      <c r="E7898" s="10" t="s">
        <v>541</v>
      </c>
      <c r="F7898" s="9" t="s">
        <v>542</v>
      </c>
      <c r="G7898" s="10" t="s">
        <v>86</v>
      </c>
      <c r="H7898" s="9" t="s">
        <v>22</v>
      </c>
      <c r="I7898" s="9" t="s">
        <v>17219</v>
      </c>
      <c r="J7898" s="10" t="str">
        <f>HYPERLINK("https://www.boe.es/gazeta/dias/1834/04/18/pdfs/GMD-1834-57.pdf#page=2","Abrir facsímil")</f>
        <v>Abrir facsímil</v>
      </c>
      <c r="K7898" s="10" t="s">
        <v>24</v>
      </c>
    </row>
    <row r="7899" spans="1:11" ht="54" customHeight="1">
      <c r="A7899" s="9" t="s">
        <v>16929</v>
      </c>
      <c r="B7899" s="9" t="s">
        <v>16929</v>
      </c>
      <c r="C7899" s="9" t="s">
        <v>17</v>
      </c>
      <c r="D7899" s="9" t="s">
        <v>18</v>
      </c>
      <c r="E7899" s="10" t="s">
        <v>1517</v>
      </c>
      <c r="F7899" s="9" t="s">
        <v>1518</v>
      </c>
      <c r="G7899" s="10" t="s">
        <v>34</v>
      </c>
      <c r="H7899" s="9" t="s">
        <v>22</v>
      </c>
      <c r="I7899" s="9" t="s">
        <v>17220</v>
      </c>
      <c r="J7899" s="10" t="str">
        <f>HYPERLINK("https://www.boe.es/gazeta/dias/1834/05/18/pdfs/GMD-1834-87.pdf#page=1","Abrir facsímil")</f>
        <v>Abrir facsímil</v>
      </c>
      <c r="K7899" s="10" t="s">
        <v>24</v>
      </c>
    </row>
    <row r="7900" spans="1:11" ht="54" customHeight="1">
      <c r="A7900" s="9" t="s">
        <v>16929</v>
      </c>
      <c r="B7900" s="9" t="s">
        <v>16929</v>
      </c>
      <c r="C7900" s="9" t="s">
        <v>17</v>
      </c>
      <c r="D7900" s="9" t="s">
        <v>18</v>
      </c>
      <c r="E7900" s="10" t="s">
        <v>1517</v>
      </c>
      <c r="F7900" s="9" t="s">
        <v>1518</v>
      </c>
      <c r="G7900" s="10" t="s">
        <v>75</v>
      </c>
      <c r="H7900" s="9" t="s">
        <v>22</v>
      </c>
      <c r="I7900" s="9" t="s">
        <v>17221</v>
      </c>
      <c r="J7900" s="10" t="str">
        <f>HYPERLINK("https://www.boe.es/gazeta/dias/1834/05/18/pdfs/GMD-1834-87.pdf#page=4","Abrir facsímil")</f>
        <v>Abrir facsímil</v>
      </c>
      <c r="K7900" s="10" t="s">
        <v>24</v>
      </c>
    </row>
    <row r="7901" spans="1:11" ht="54" customHeight="1">
      <c r="A7901" s="9" t="s">
        <v>16929</v>
      </c>
      <c r="B7901" s="9" t="s">
        <v>16929</v>
      </c>
      <c r="C7901" s="9" t="s">
        <v>90</v>
      </c>
      <c r="D7901" s="9" t="s">
        <v>55</v>
      </c>
      <c r="E7901" s="10" t="s">
        <v>133</v>
      </c>
      <c r="F7901" s="9" t="s">
        <v>134</v>
      </c>
      <c r="G7901" s="10" t="s">
        <v>86</v>
      </c>
      <c r="H7901" s="9" t="s">
        <v>22</v>
      </c>
      <c r="I7901" s="9" t="s">
        <v>17222</v>
      </c>
      <c r="J7901" s="10" t="str">
        <f>HYPERLINK("https://www.boe.es/gazeta/dias/1834/06/18/pdfs/GMD-1834-121.pdf#page=2","Abrir facsímil")</f>
        <v>Abrir facsímil</v>
      </c>
      <c r="K7901" s="10" t="s">
        <v>24</v>
      </c>
    </row>
    <row r="7902" spans="1:11" ht="54" customHeight="1">
      <c r="A7902" s="9" t="s">
        <v>16929</v>
      </c>
      <c r="B7902" s="9" t="s">
        <v>16929</v>
      </c>
      <c r="C7902" s="9" t="s">
        <v>122</v>
      </c>
      <c r="D7902" s="9" t="s">
        <v>101</v>
      </c>
      <c r="E7902" s="10" t="s">
        <v>133</v>
      </c>
      <c r="F7902" s="9" t="s">
        <v>134</v>
      </c>
      <c r="G7902" s="10" t="s">
        <v>21</v>
      </c>
      <c r="H7902" s="9" t="s">
        <v>22</v>
      </c>
      <c r="I7902" s="9" t="s">
        <v>17223</v>
      </c>
      <c r="J7902" s="10" t="str">
        <f>HYPERLINK("https://www.boe.es/gazeta/dias/1834/06/18/pdfs/GMD-1834-121.pdf#page=3","Abrir facsímil")</f>
        <v>Abrir facsímil</v>
      </c>
      <c r="K7902" s="10" t="s">
        <v>24</v>
      </c>
    </row>
    <row r="7903" spans="1:11" ht="54" customHeight="1">
      <c r="A7903" s="9" t="s">
        <v>16929</v>
      </c>
      <c r="B7903" s="9" t="s">
        <v>16929</v>
      </c>
      <c r="C7903" s="9" t="s">
        <v>46</v>
      </c>
      <c r="D7903" s="9" t="s">
        <v>55</v>
      </c>
      <c r="E7903" s="10" t="s">
        <v>838</v>
      </c>
      <c r="F7903" s="9" t="s">
        <v>839</v>
      </c>
      <c r="G7903" s="10" t="s">
        <v>34</v>
      </c>
      <c r="H7903" s="9" t="s">
        <v>22</v>
      </c>
      <c r="I7903" s="9" t="s">
        <v>17224</v>
      </c>
      <c r="J7903" s="10" t="str">
        <f>HYPERLINK("https://www.boe.es/gazeta/dias/1834/07/18/pdfs/GMD-1834-151.pdf#page=1","Abrir facsímil")</f>
        <v>Abrir facsímil</v>
      </c>
      <c r="K7903" s="10" t="s">
        <v>24</v>
      </c>
    </row>
    <row r="7904" spans="1:11" ht="54" customHeight="1">
      <c r="A7904" s="9" t="s">
        <v>16929</v>
      </c>
      <c r="B7904" s="9" t="s">
        <v>16929</v>
      </c>
      <c r="C7904" s="9" t="s">
        <v>17</v>
      </c>
      <c r="D7904" s="9" t="s">
        <v>18</v>
      </c>
      <c r="E7904" s="10" t="s">
        <v>838</v>
      </c>
      <c r="F7904" s="9" t="s">
        <v>839</v>
      </c>
      <c r="G7904" s="10" t="s">
        <v>21</v>
      </c>
      <c r="H7904" s="9" t="s">
        <v>22</v>
      </c>
      <c r="I7904" s="9" t="s">
        <v>17225</v>
      </c>
      <c r="J7904" s="10" t="str">
        <f>HYPERLINK("https://www.boe.es/gazeta/dias/1834/07/18/pdfs/GMD-1834-151.pdf#page=3","Abrir facsímil")</f>
        <v>Abrir facsímil</v>
      </c>
      <c r="K7904" s="10" t="s">
        <v>24</v>
      </c>
    </row>
    <row r="7905" spans="1:11" ht="54" customHeight="1">
      <c r="A7905" s="9" t="s">
        <v>16929</v>
      </c>
      <c r="B7905" s="9" t="s">
        <v>16929</v>
      </c>
      <c r="C7905" s="9" t="s">
        <v>66</v>
      </c>
      <c r="D7905" s="9" t="s">
        <v>18</v>
      </c>
      <c r="E7905" s="10" t="s">
        <v>1459</v>
      </c>
      <c r="F7905" s="9" t="s">
        <v>1460</v>
      </c>
      <c r="G7905" s="10" t="s">
        <v>34</v>
      </c>
      <c r="H7905" s="9" t="s">
        <v>22</v>
      </c>
      <c r="I7905" s="9" t="s">
        <v>17226</v>
      </c>
      <c r="J7905" s="10" t="str">
        <f>HYPERLINK("https://www.boe.es/gazeta/dias/1834/08/18/pdfs/GMD-1834-184.pdf#page=1","Abrir facsímil")</f>
        <v>Abrir facsímil</v>
      </c>
      <c r="K7905" s="10" t="s">
        <v>24</v>
      </c>
    </row>
    <row r="7906" spans="1:11" ht="54" customHeight="1">
      <c r="A7906" s="9" t="s">
        <v>16929</v>
      </c>
      <c r="B7906" s="9" t="s">
        <v>16929</v>
      </c>
      <c r="C7906" s="9" t="s">
        <v>17</v>
      </c>
      <c r="D7906" s="9" t="s">
        <v>18</v>
      </c>
      <c r="E7906" s="10" t="s">
        <v>1459</v>
      </c>
      <c r="F7906" s="9" t="s">
        <v>1460</v>
      </c>
      <c r="G7906" s="10" t="s">
        <v>21</v>
      </c>
      <c r="H7906" s="9" t="s">
        <v>22</v>
      </c>
      <c r="I7906" s="9" t="s">
        <v>17227</v>
      </c>
      <c r="J7906" s="10" t="str">
        <f>HYPERLINK("https://www.boe.es/gazeta/dias/1834/08/18/pdfs/GMD-1834-184.pdf#page=3","Abrir facsímil")</f>
        <v>Abrir facsímil</v>
      </c>
      <c r="K7906" s="10" t="s">
        <v>24</v>
      </c>
    </row>
    <row r="7907" spans="1:11" ht="54" customHeight="1">
      <c r="A7907" s="9" t="s">
        <v>16929</v>
      </c>
      <c r="B7907" s="9" t="s">
        <v>16929</v>
      </c>
      <c r="C7907" s="9" t="s">
        <v>17</v>
      </c>
      <c r="D7907" s="9" t="s">
        <v>18</v>
      </c>
      <c r="E7907" s="10" t="s">
        <v>1459</v>
      </c>
      <c r="F7907" s="9" t="s">
        <v>1460</v>
      </c>
      <c r="G7907" s="10" t="s">
        <v>75</v>
      </c>
      <c r="H7907" s="9" t="s">
        <v>22</v>
      </c>
      <c r="I7907" s="9" t="s">
        <v>17228</v>
      </c>
      <c r="J7907" s="10" t="str">
        <f>HYPERLINK("https://www.boe.es/gazeta/dias/1834/08/18/pdfs/GMD-1834-184.pdf#page=4","Abrir facsímil")</f>
        <v>Abrir facsímil</v>
      </c>
      <c r="K7907" s="10" t="s">
        <v>24</v>
      </c>
    </row>
    <row r="7908" spans="1:11" ht="54" customHeight="1">
      <c r="A7908" s="9" t="s">
        <v>16929</v>
      </c>
      <c r="B7908" s="9" t="s">
        <v>16929</v>
      </c>
      <c r="C7908" s="9" t="s">
        <v>46</v>
      </c>
      <c r="D7908" s="9" t="s">
        <v>101</v>
      </c>
      <c r="E7908" s="10" t="s">
        <v>772</v>
      </c>
      <c r="F7908" s="9" t="s">
        <v>773</v>
      </c>
      <c r="G7908" s="10" t="s">
        <v>34</v>
      </c>
      <c r="H7908" s="9" t="s">
        <v>22</v>
      </c>
      <c r="I7908" s="9" t="s">
        <v>17229</v>
      </c>
      <c r="J7908" s="10" t="str">
        <f>HYPERLINK("https://www.boe.es/gazeta/dias/1834/09/18/pdfs/GMD-1834-216.pdf#page=1","Abrir facsímil")</f>
        <v>Abrir facsímil</v>
      </c>
      <c r="K7908" s="10" t="s">
        <v>24</v>
      </c>
    </row>
    <row r="7909" spans="1:11" ht="54" customHeight="1">
      <c r="A7909" s="9" t="s">
        <v>16929</v>
      </c>
      <c r="B7909" s="9" t="s">
        <v>16929</v>
      </c>
      <c r="C7909" s="9" t="s">
        <v>66</v>
      </c>
      <c r="D7909" s="9" t="s">
        <v>55</v>
      </c>
      <c r="E7909" s="10" t="s">
        <v>262</v>
      </c>
      <c r="F7909" s="9" t="s">
        <v>7012</v>
      </c>
      <c r="G7909" s="10" t="s">
        <v>34</v>
      </c>
      <c r="H7909" s="9" t="s">
        <v>22</v>
      </c>
      <c r="I7909" s="9" t="s">
        <v>17230</v>
      </c>
      <c r="J7909" s="10" t="str">
        <f>HYPERLINK("https://www.boe.es/gazeta/dias/1834/10/18/pdfs/GMD-1834-246.pdf#page=1","Abrir facsímil")</f>
        <v>Abrir facsímil</v>
      </c>
      <c r="K7909" s="10" t="s">
        <v>24</v>
      </c>
    </row>
    <row r="7910" spans="1:11" ht="54" customHeight="1">
      <c r="A7910" s="9" t="s">
        <v>16929</v>
      </c>
      <c r="B7910" s="9" t="s">
        <v>16929</v>
      </c>
      <c r="C7910" s="9" t="s">
        <v>17</v>
      </c>
      <c r="D7910" s="9" t="s">
        <v>18</v>
      </c>
      <c r="E7910" s="10" t="s">
        <v>262</v>
      </c>
      <c r="F7910" s="9" t="s">
        <v>263</v>
      </c>
      <c r="G7910" s="10" t="s">
        <v>34</v>
      </c>
      <c r="H7910" s="9" t="s">
        <v>22</v>
      </c>
      <c r="I7910" s="9" t="s">
        <v>17231</v>
      </c>
      <c r="J7910" s="10" t="str">
        <f>HYPERLINK("https://www.boe.es/gazeta/dias/1834/10/18/pdfs/GMD-C-1834-246.pdf#page=1","Abrir facsímil")</f>
        <v>Abrir facsímil</v>
      </c>
      <c r="K7910" s="10" t="s">
        <v>24</v>
      </c>
    </row>
    <row r="7911" spans="1:11" ht="54" customHeight="1">
      <c r="A7911" s="9" t="s">
        <v>16929</v>
      </c>
      <c r="B7911" s="9" t="s">
        <v>16929</v>
      </c>
      <c r="C7911" s="9" t="s">
        <v>90</v>
      </c>
      <c r="D7911" s="9" t="s">
        <v>18</v>
      </c>
      <c r="E7911" s="10" t="s">
        <v>262</v>
      </c>
      <c r="F7911" s="9" t="s">
        <v>263</v>
      </c>
      <c r="G7911" s="10" t="s">
        <v>86</v>
      </c>
      <c r="H7911" s="9" t="s">
        <v>22</v>
      </c>
      <c r="I7911" s="9" t="s">
        <v>17232</v>
      </c>
      <c r="J7911" s="10" t="str">
        <f>HYPERLINK("https://www.boe.es/gazeta/dias/1834/10/18/pdfs/GMD-C-1834-246.pdf#page=2","Abrir facsímil")</f>
        <v>Abrir facsímil</v>
      </c>
      <c r="K7911" s="10" t="s">
        <v>24</v>
      </c>
    </row>
    <row r="7912" spans="1:11" ht="54" customHeight="1">
      <c r="A7912" s="9" t="s">
        <v>16929</v>
      </c>
      <c r="B7912" s="9" t="s">
        <v>16929</v>
      </c>
      <c r="C7912" s="9" t="s">
        <v>17</v>
      </c>
      <c r="D7912" s="9" t="s">
        <v>18</v>
      </c>
      <c r="E7912" s="10" t="s">
        <v>3036</v>
      </c>
      <c r="F7912" s="9" t="s">
        <v>3372</v>
      </c>
      <c r="G7912" s="10" t="s">
        <v>34</v>
      </c>
      <c r="H7912" s="9" t="s">
        <v>22</v>
      </c>
      <c r="I7912" s="9" t="s">
        <v>17233</v>
      </c>
      <c r="J7912" s="10" t="str">
        <f>HYPERLINK("https://www.boe.es/gazeta/dias/1834/11/18/pdfs/GMD-1834-277.pdf#page=1","Abrir facsímil")</f>
        <v>Abrir facsímil</v>
      </c>
      <c r="K7912" s="10" t="s">
        <v>24</v>
      </c>
    </row>
    <row r="7913" spans="1:11" ht="54" customHeight="1">
      <c r="A7913" s="9" t="s">
        <v>16929</v>
      </c>
      <c r="B7913" s="9" t="s">
        <v>16929</v>
      </c>
      <c r="C7913" s="9" t="s">
        <v>46</v>
      </c>
      <c r="D7913" s="9" t="s">
        <v>101</v>
      </c>
      <c r="E7913" s="10" t="s">
        <v>3036</v>
      </c>
      <c r="F7913" s="9" t="s">
        <v>3037</v>
      </c>
      <c r="G7913" s="10" t="s">
        <v>75</v>
      </c>
      <c r="H7913" s="9" t="s">
        <v>22</v>
      </c>
      <c r="I7913" s="9" t="s">
        <v>17234</v>
      </c>
      <c r="J7913" s="10" t="str">
        <f>HYPERLINK("https://www.boe.es/gazeta/dias/1834/11/18/pdfs/GMD-C-1834-277.pdf#page=4","Abrir facsímil")</f>
        <v>Abrir facsímil</v>
      </c>
      <c r="K7913" s="10" t="s">
        <v>24</v>
      </c>
    </row>
    <row r="7914" spans="1:11" ht="54" customHeight="1">
      <c r="A7914" s="9" t="s">
        <v>16929</v>
      </c>
      <c r="B7914" s="9" t="s">
        <v>16929</v>
      </c>
      <c r="C7914" s="9" t="s">
        <v>17</v>
      </c>
      <c r="D7914" s="9" t="s">
        <v>18</v>
      </c>
      <c r="E7914" s="10" t="s">
        <v>2287</v>
      </c>
      <c r="F7914" s="9" t="s">
        <v>2288</v>
      </c>
      <c r="G7914" s="10" t="s">
        <v>34</v>
      </c>
      <c r="H7914" s="9" t="s">
        <v>22</v>
      </c>
      <c r="I7914" s="9" t="s">
        <v>17235</v>
      </c>
      <c r="J7914" s="10" t="str">
        <f>HYPERLINK("https://www.boe.es/gazeta/dias/1834/12/18/pdfs/GMD-C-1834-308.pdf#page=1","Abrir facsímil")</f>
        <v>Abrir facsímil</v>
      </c>
      <c r="K7914" s="10" t="s">
        <v>24</v>
      </c>
    </row>
    <row r="7915" spans="1:11" ht="54" customHeight="1">
      <c r="A7915" s="9" t="s">
        <v>16929</v>
      </c>
      <c r="B7915" s="9" t="s">
        <v>16929</v>
      </c>
      <c r="C7915" s="9" t="s">
        <v>46</v>
      </c>
      <c r="D7915" s="9" t="s">
        <v>18</v>
      </c>
      <c r="E7915" s="10" t="s">
        <v>2287</v>
      </c>
      <c r="F7915" s="9" t="s">
        <v>2288</v>
      </c>
      <c r="G7915" s="10" t="s">
        <v>75</v>
      </c>
      <c r="H7915" s="9" t="s">
        <v>22</v>
      </c>
      <c r="I7915" s="9" t="s">
        <v>17236</v>
      </c>
      <c r="J7915" s="10" t="str">
        <f>HYPERLINK("https://www.boe.es/gazeta/dias/1834/12/18/pdfs/GMD-C-1834-308.pdf#page=4","Abrir facsímil")</f>
        <v>Abrir facsímil</v>
      </c>
      <c r="K7915" s="10" t="s">
        <v>24</v>
      </c>
    </row>
    <row r="7916" spans="1:11" ht="54" customHeight="1">
      <c r="A7916" s="9" t="s">
        <v>16929</v>
      </c>
      <c r="B7916" s="9" t="s">
        <v>16929</v>
      </c>
      <c r="C7916" s="9" t="s">
        <v>17</v>
      </c>
      <c r="D7916" s="9" t="s">
        <v>18</v>
      </c>
      <c r="E7916" s="10" t="s">
        <v>2287</v>
      </c>
      <c r="F7916" s="9" t="s">
        <v>2288</v>
      </c>
      <c r="G7916" s="10" t="s">
        <v>28</v>
      </c>
      <c r="H7916" s="9" t="s">
        <v>22</v>
      </c>
      <c r="I7916" s="9" t="s">
        <v>17237</v>
      </c>
      <c r="J7916" s="10" t="str">
        <f>HYPERLINK("https://www.boe.es/gazeta/dias/1834/12/18/pdfs/GMD-C-1834-308.pdf#page=5","Abrir facsímil")</f>
        <v>Abrir facsímil</v>
      </c>
      <c r="K7916" s="10" t="s">
        <v>24</v>
      </c>
    </row>
    <row r="7917" spans="1:11" ht="54" customHeight="1">
      <c r="A7917" s="9" t="s">
        <v>16929</v>
      </c>
      <c r="B7917" s="9" t="s">
        <v>16929</v>
      </c>
      <c r="C7917" s="9" t="s">
        <v>66</v>
      </c>
      <c r="D7917" s="9" t="s">
        <v>67</v>
      </c>
      <c r="E7917" s="10" t="s">
        <v>563</v>
      </c>
      <c r="F7917" s="9" t="s">
        <v>564</v>
      </c>
      <c r="G7917" s="10" t="s">
        <v>86</v>
      </c>
      <c r="H7917" s="9" t="s">
        <v>22</v>
      </c>
      <c r="I7917" s="9" t="s">
        <v>17238</v>
      </c>
      <c r="J7917" s="10" t="str">
        <f>HYPERLINK("https://www.boe.es/gazeta/dias/1834/04/19/pdfs/GMD-1834-58.pdf#page=2","Abrir facsímil")</f>
        <v>Abrir facsímil</v>
      </c>
      <c r="K7917" s="10" t="s">
        <v>24</v>
      </c>
    </row>
    <row r="7918" spans="1:11" ht="54" customHeight="1">
      <c r="A7918" s="9" t="s">
        <v>16929</v>
      </c>
      <c r="B7918" s="9" t="s">
        <v>16929</v>
      </c>
      <c r="C7918" s="9" t="s">
        <v>66</v>
      </c>
      <c r="D7918" s="9" t="s">
        <v>67</v>
      </c>
      <c r="E7918" s="10" t="s">
        <v>563</v>
      </c>
      <c r="F7918" s="9" t="s">
        <v>564</v>
      </c>
      <c r="G7918" s="10" t="s">
        <v>75</v>
      </c>
      <c r="H7918" s="9" t="s">
        <v>22</v>
      </c>
      <c r="I7918" s="9" t="s">
        <v>17239</v>
      </c>
      <c r="J7918" s="10" t="str">
        <f>HYPERLINK("https://www.boe.es/gazeta/dias/1834/04/19/pdfs/GMD-1834-58.pdf#page=4","Abrir facsímil")</f>
        <v>Abrir facsímil</v>
      </c>
      <c r="K7918" s="10" t="s">
        <v>24</v>
      </c>
    </row>
    <row r="7919" spans="1:11" ht="54" customHeight="1">
      <c r="A7919" s="9" t="s">
        <v>16929</v>
      </c>
      <c r="B7919" s="9" t="s">
        <v>16929</v>
      </c>
      <c r="C7919" s="9" t="s">
        <v>17</v>
      </c>
      <c r="D7919" s="9" t="s">
        <v>18</v>
      </c>
      <c r="E7919" s="10" t="s">
        <v>563</v>
      </c>
      <c r="F7919" s="9" t="s">
        <v>564</v>
      </c>
      <c r="G7919" s="10" t="s">
        <v>28</v>
      </c>
      <c r="H7919" s="9" t="s">
        <v>22</v>
      </c>
      <c r="I7919" s="9" t="s">
        <v>17240</v>
      </c>
      <c r="J7919" s="10" t="str">
        <f>HYPERLINK("https://www.boe.es/gazeta/dias/1834/04/19/pdfs/GMD-1834-58.pdf#page=5","Abrir facsímil")</f>
        <v>Abrir facsímil</v>
      </c>
      <c r="K7919" s="10" t="s">
        <v>24</v>
      </c>
    </row>
    <row r="7920" spans="1:11" ht="54" customHeight="1">
      <c r="A7920" s="9" t="s">
        <v>16929</v>
      </c>
      <c r="B7920" s="9" t="s">
        <v>16929</v>
      </c>
      <c r="C7920" s="9" t="s">
        <v>66</v>
      </c>
      <c r="D7920" s="9" t="s">
        <v>67</v>
      </c>
      <c r="E7920" s="10" t="s">
        <v>563</v>
      </c>
      <c r="F7920" s="9" t="s">
        <v>5858</v>
      </c>
      <c r="G7920" s="10" t="s">
        <v>86</v>
      </c>
      <c r="H7920" s="9" t="s">
        <v>22</v>
      </c>
      <c r="I7920" s="9" t="s">
        <v>17241</v>
      </c>
      <c r="J7920" s="10" t="str">
        <f>HYPERLINK("https://www.boe.es/gazeta/dias/1834/04/19/pdfs/GMD-C-1834-58.pdf#page=2","Abrir facsímil")</f>
        <v>Abrir facsímil</v>
      </c>
      <c r="K7920" s="10" t="s">
        <v>24</v>
      </c>
    </row>
    <row r="7921" spans="1:11" ht="54" customHeight="1">
      <c r="A7921" s="9" t="s">
        <v>16929</v>
      </c>
      <c r="B7921" s="9" t="s">
        <v>16929</v>
      </c>
      <c r="C7921" s="9" t="s">
        <v>90</v>
      </c>
      <c r="D7921" s="9" t="s">
        <v>101</v>
      </c>
      <c r="E7921" s="10" t="s">
        <v>367</v>
      </c>
      <c r="F7921" s="9" t="s">
        <v>368</v>
      </c>
      <c r="G7921" s="10" t="s">
        <v>34</v>
      </c>
      <c r="H7921" s="9" t="s">
        <v>22</v>
      </c>
      <c r="I7921" s="9" t="s">
        <v>17242</v>
      </c>
      <c r="J7921" s="10" t="str">
        <f>HYPERLINK("https://www.boe.es/gazeta/dias/1834/05/19/pdfs/GMD-1834-88.pdf#page=1","Abrir facsímil")</f>
        <v>Abrir facsímil</v>
      </c>
      <c r="K7921" s="10" t="s">
        <v>24</v>
      </c>
    </row>
    <row r="7922" spans="1:11" ht="54" customHeight="1">
      <c r="A7922" s="9" t="s">
        <v>16929</v>
      </c>
      <c r="B7922" s="9" t="s">
        <v>16929</v>
      </c>
      <c r="C7922" s="9" t="s">
        <v>17</v>
      </c>
      <c r="D7922" s="9" t="s">
        <v>18</v>
      </c>
      <c r="E7922" s="10" t="s">
        <v>1669</v>
      </c>
      <c r="F7922" s="9" t="s">
        <v>1670</v>
      </c>
      <c r="G7922" s="10" t="s">
        <v>34</v>
      </c>
      <c r="H7922" s="9" t="s">
        <v>22</v>
      </c>
      <c r="I7922" s="9" t="s">
        <v>17243</v>
      </c>
      <c r="J7922" s="10" t="str">
        <f>HYPERLINK("https://www.boe.es/gazeta/dias/1834/06/19/pdfs/GMD-1834-122.pdf#page=1","Abrir facsímil")</f>
        <v>Abrir facsímil</v>
      </c>
      <c r="K7922" s="10" t="s">
        <v>24</v>
      </c>
    </row>
    <row r="7923" spans="1:11" ht="54" customHeight="1">
      <c r="A7923" s="9" t="s">
        <v>16929</v>
      </c>
      <c r="B7923" s="9" t="s">
        <v>16929</v>
      </c>
      <c r="C7923" s="9" t="s">
        <v>66</v>
      </c>
      <c r="D7923" s="9" t="s">
        <v>67</v>
      </c>
      <c r="E7923" s="10" t="s">
        <v>102</v>
      </c>
      <c r="F7923" s="9" t="s">
        <v>103</v>
      </c>
      <c r="G7923" s="10" t="s">
        <v>34</v>
      </c>
      <c r="H7923" s="9" t="s">
        <v>22</v>
      </c>
      <c r="I7923" s="9" t="s">
        <v>17244</v>
      </c>
      <c r="J7923" s="10" t="str">
        <f>HYPERLINK("https://www.boe.es/gazeta/dias/1834/07/19/pdfs/GMD-1834-152.pdf#page=1","Abrir facsímil")</f>
        <v>Abrir facsímil</v>
      </c>
      <c r="K7923" s="10" t="s">
        <v>24</v>
      </c>
    </row>
    <row r="7924" spans="1:11" ht="54" customHeight="1">
      <c r="A7924" s="9" t="s">
        <v>16929</v>
      </c>
      <c r="B7924" s="9" t="s">
        <v>16929</v>
      </c>
      <c r="C7924" s="9" t="s">
        <v>46</v>
      </c>
      <c r="D7924" s="9" t="s">
        <v>101</v>
      </c>
      <c r="E7924" s="10" t="s">
        <v>615</v>
      </c>
      <c r="F7924" s="9" t="s">
        <v>616</v>
      </c>
      <c r="G7924" s="10" t="s">
        <v>21</v>
      </c>
      <c r="H7924" s="9" t="s">
        <v>22</v>
      </c>
      <c r="I7924" s="9" t="s">
        <v>17245</v>
      </c>
      <c r="J7924" s="10" t="str">
        <f>HYPERLINK("https://www.boe.es/gazeta/dias/1834/08/19/pdfs/GMD-1834-185.pdf#page=3","Abrir facsímil")</f>
        <v>Abrir facsímil</v>
      </c>
      <c r="K7924" s="10" t="s">
        <v>24</v>
      </c>
    </row>
    <row r="7925" spans="1:11" ht="54" customHeight="1">
      <c r="A7925" s="9" t="s">
        <v>16929</v>
      </c>
      <c r="B7925" s="9" t="s">
        <v>16929</v>
      </c>
      <c r="C7925" s="9" t="s">
        <v>17</v>
      </c>
      <c r="D7925" s="9" t="s">
        <v>101</v>
      </c>
      <c r="E7925" s="10" t="s">
        <v>615</v>
      </c>
      <c r="F7925" s="9" t="s">
        <v>1205</v>
      </c>
      <c r="G7925" s="10" t="s">
        <v>34</v>
      </c>
      <c r="H7925" s="9" t="s">
        <v>22</v>
      </c>
      <c r="I7925" s="9" t="s">
        <v>17246</v>
      </c>
      <c r="J7925" s="10" t="str">
        <f>HYPERLINK("https://www.boe.es/gazeta/dias/1834/08/19/pdfs/GMD-D-1834-185.pdf#page=1","Abrir facsímil")</f>
        <v>Abrir facsímil</v>
      </c>
      <c r="K7925" s="10" t="s">
        <v>24</v>
      </c>
    </row>
    <row r="7926" spans="1:11" ht="54" customHeight="1">
      <c r="A7926" s="9" t="s">
        <v>16929</v>
      </c>
      <c r="B7926" s="9" t="s">
        <v>16929</v>
      </c>
      <c r="C7926" s="9" t="s">
        <v>17</v>
      </c>
      <c r="D7926" s="9" t="s">
        <v>18</v>
      </c>
      <c r="E7926" s="10" t="s">
        <v>672</v>
      </c>
      <c r="F7926" s="9" t="s">
        <v>1055</v>
      </c>
      <c r="G7926" s="10" t="s">
        <v>2174</v>
      </c>
      <c r="H7926" s="9" t="s">
        <v>22</v>
      </c>
      <c r="I7926" s="9" t="s">
        <v>17247</v>
      </c>
      <c r="J7926" s="10" t="str">
        <f>HYPERLINK("https://www.boe.es/gazeta/dias/1834/09/19/pdfs/GMD-C-1834-217.pdf#page=10","Abrir facsímil")</f>
        <v>Abrir facsímil</v>
      </c>
      <c r="K7926" s="10" t="s">
        <v>24</v>
      </c>
    </row>
    <row r="7927" spans="1:11" ht="54" customHeight="1">
      <c r="A7927" s="9" t="s">
        <v>16929</v>
      </c>
      <c r="B7927" s="9" t="s">
        <v>16929</v>
      </c>
      <c r="C7927" s="9" t="s">
        <v>17</v>
      </c>
      <c r="D7927" s="9" t="s">
        <v>101</v>
      </c>
      <c r="E7927" s="10" t="s">
        <v>26</v>
      </c>
      <c r="F7927" s="9" t="s">
        <v>818</v>
      </c>
      <c r="G7927" s="10" t="s">
        <v>34</v>
      </c>
      <c r="H7927" s="9" t="s">
        <v>22</v>
      </c>
      <c r="I7927" s="9" t="s">
        <v>17248</v>
      </c>
      <c r="J7927" s="10" t="str">
        <f>HYPERLINK("https://www.boe.es/gazeta/dias/1834/10/19/pdfs/GMD-1834-247.pdf#page=1","Abrir facsímil")</f>
        <v>Abrir facsímil</v>
      </c>
      <c r="K7927" s="10" t="s">
        <v>24</v>
      </c>
    </row>
    <row r="7928" spans="1:11" ht="54" customHeight="1">
      <c r="A7928" s="9" t="s">
        <v>16929</v>
      </c>
      <c r="B7928" s="9" t="s">
        <v>16929</v>
      </c>
      <c r="C7928" s="9" t="s">
        <v>17</v>
      </c>
      <c r="D7928" s="9" t="s">
        <v>18</v>
      </c>
      <c r="E7928" s="10" t="s">
        <v>26</v>
      </c>
      <c r="F7928" s="9" t="s">
        <v>27</v>
      </c>
      <c r="G7928" s="10" t="s">
        <v>34</v>
      </c>
      <c r="H7928" s="9" t="s">
        <v>22</v>
      </c>
      <c r="I7928" s="9" t="s">
        <v>17249</v>
      </c>
      <c r="J7928" s="10" t="str">
        <f>HYPERLINK("https://www.boe.es/gazeta/dias/1834/10/19/pdfs/GMD-C-1834-247.pdf#page=1","Abrir facsímil")</f>
        <v>Abrir facsímil</v>
      </c>
      <c r="K7928" s="10" t="s">
        <v>24</v>
      </c>
    </row>
    <row r="7929" spans="1:11" ht="54" customHeight="1">
      <c r="A7929" s="9" t="s">
        <v>16929</v>
      </c>
      <c r="B7929" s="9" t="s">
        <v>16929</v>
      </c>
      <c r="C7929" s="9" t="s">
        <v>17</v>
      </c>
      <c r="D7929" s="9" t="s">
        <v>18</v>
      </c>
      <c r="E7929" s="10" t="s">
        <v>265</v>
      </c>
      <c r="F7929" s="9" t="s">
        <v>266</v>
      </c>
      <c r="G7929" s="10" t="s">
        <v>34</v>
      </c>
      <c r="H7929" s="9" t="s">
        <v>22</v>
      </c>
      <c r="I7929" s="9" t="s">
        <v>17250</v>
      </c>
      <c r="J7929" s="10" t="str">
        <f>HYPERLINK("https://www.boe.es/gazeta/dias/1834/11/19/pdfs/GMD-C-1834-278.pdf#page=1","Abrir facsímil")</f>
        <v>Abrir facsímil</v>
      </c>
      <c r="K7929" s="10" t="s">
        <v>24</v>
      </c>
    </row>
    <row r="7930" spans="1:11" ht="54" customHeight="1">
      <c r="A7930" s="9" t="s">
        <v>16929</v>
      </c>
      <c r="B7930" s="9" t="s">
        <v>16929</v>
      </c>
      <c r="C7930" s="9" t="s">
        <v>90</v>
      </c>
      <c r="D7930" s="9" t="s">
        <v>18</v>
      </c>
      <c r="E7930" s="10" t="s">
        <v>265</v>
      </c>
      <c r="F7930" s="9" t="s">
        <v>266</v>
      </c>
      <c r="G7930" s="10" t="s">
        <v>86</v>
      </c>
      <c r="H7930" s="9" t="s">
        <v>22</v>
      </c>
      <c r="I7930" s="9" t="s">
        <v>17251</v>
      </c>
      <c r="J7930" s="10" t="str">
        <f>HYPERLINK("https://www.boe.es/gazeta/dias/1834/11/19/pdfs/GMD-C-1834-278.pdf#page=2","Abrir facsímil")</f>
        <v>Abrir facsímil</v>
      </c>
      <c r="K7930" s="10" t="s">
        <v>24</v>
      </c>
    </row>
    <row r="7931" spans="1:11" ht="54" customHeight="1">
      <c r="A7931" s="9" t="s">
        <v>16929</v>
      </c>
      <c r="B7931" s="9" t="s">
        <v>16929</v>
      </c>
      <c r="C7931" s="9" t="s">
        <v>46</v>
      </c>
      <c r="D7931" s="9" t="s">
        <v>18</v>
      </c>
      <c r="E7931" s="10" t="s">
        <v>265</v>
      </c>
      <c r="F7931" s="9" t="s">
        <v>266</v>
      </c>
      <c r="G7931" s="10" t="s">
        <v>21</v>
      </c>
      <c r="H7931" s="9" t="s">
        <v>22</v>
      </c>
      <c r="I7931" s="9" t="s">
        <v>17252</v>
      </c>
      <c r="J7931" s="10" t="str">
        <f>HYPERLINK("https://www.boe.es/gazeta/dias/1834/11/19/pdfs/GMD-C-1834-278.pdf#page=3","Abrir facsímil")</f>
        <v>Abrir facsímil</v>
      </c>
      <c r="K7931" s="10" t="s">
        <v>24</v>
      </c>
    </row>
    <row r="7932" spans="1:11" ht="54" customHeight="1">
      <c r="A7932" s="9" t="s">
        <v>16929</v>
      </c>
      <c r="B7932" s="9" t="s">
        <v>16929</v>
      </c>
      <c r="C7932" s="9" t="s">
        <v>17</v>
      </c>
      <c r="D7932" s="9" t="s">
        <v>18</v>
      </c>
      <c r="E7932" s="10" t="s">
        <v>268</v>
      </c>
      <c r="F7932" s="9" t="s">
        <v>269</v>
      </c>
      <c r="G7932" s="10" t="s">
        <v>34</v>
      </c>
      <c r="H7932" s="9" t="s">
        <v>22</v>
      </c>
      <c r="I7932" s="9" t="s">
        <v>17253</v>
      </c>
      <c r="J7932" s="10" t="str">
        <f>HYPERLINK("https://www.boe.es/gazeta/dias/1834/12/19/pdfs/GMD-C-1834-309.pdf#page=1","Abrir facsímil")</f>
        <v>Abrir facsímil</v>
      </c>
      <c r="K7932" s="10" t="s">
        <v>24</v>
      </c>
    </row>
    <row r="7933" spans="1:11" ht="54" customHeight="1">
      <c r="A7933" s="9" t="s">
        <v>16929</v>
      </c>
      <c r="B7933" s="9" t="s">
        <v>16929</v>
      </c>
      <c r="C7933" s="9" t="s">
        <v>17</v>
      </c>
      <c r="D7933" s="9" t="s">
        <v>18</v>
      </c>
      <c r="E7933" s="10" t="s">
        <v>268</v>
      </c>
      <c r="F7933" s="9" t="s">
        <v>269</v>
      </c>
      <c r="G7933" s="10" t="s">
        <v>28</v>
      </c>
      <c r="H7933" s="9" t="s">
        <v>22</v>
      </c>
      <c r="I7933" s="9" t="s">
        <v>17254</v>
      </c>
      <c r="J7933" s="10" t="str">
        <f>HYPERLINK("https://www.boe.es/gazeta/dias/1834/12/19/pdfs/GMD-C-1834-309.pdf#page=5","Abrir facsímil")</f>
        <v>Abrir facsímil</v>
      </c>
      <c r="K7933" s="10" t="s">
        <v>24</v>
      </c>
    </row>
    <row r="7934" spans="1:11" ht="54" customHeight="1">
      <c r="A7934" s="9" t="s">
        <v>16929</v>
      </c>
      <c r="B7934" s="9" t="s">
        <v>16929</v>
      </c>
      <c r="C7934" s="9" t="s">
        <v>17</v>
      </c>
      <c r="D7934" s="9" t="s">
        <v>101</v>
      </c>
      <c r="E7934" s="10" t="s">
        <v>3810</v>
      </c>
      <c r="F7934" s="9" t="s">
        <v>3811</v>
      </c>
      <c r="G7934" s="10" t="s">
        <v>34</v>
      </c>
      <c r="H7934" s="9" t="s">
        <v>22</v>
      </c>
      <c r="I7934" s="9" t="s">
        <v>17255</v>
      </c>
      <c r="J7934" s="10" t="str">
        <f>HYPERLINK("https://www.boe.es/gazeta/dias/1834/02/20/pdfs/GMD-1834-23.pdf#page=1","Abrir facsímil")</f>
        <v>Abrir facsímil</v>
      </c>
      <c r="K7934" s="10" t="s">
        <v>24</v>
      </c>
    </row>
    <row r="7935" spans="1:11" ht="54" customHeight="1">
      <c r="A7935" s="9" t="s">
        <v>16929</v>
      </c>
      <c r="B7935" s="9" t="s">
        <v>16929</v>
      </c>
      <c r="C7935" s="9" t="s">
        <v>90</v>
      </c>
      <c r="D7935" s="9" t="s">
        <v>55</v>
      </c>
      <c r="E7935" s="10" t="s">
        <v>3810</v>
      </c>
      <c r="F7935" s="9" t="s">
        <v>3811</v>
      </c>
      <c r="G7935" s="10" t="s">
        <v>21</v>
      </c>
      <c r="H7935" s="9" t="s">
        <v>22</v>
      </c>
      <c r="I7935" s="9" t="s">
        <v>17256</v>
      </c>
      <c r="J7935" s="10" t="str">
        <f>HYPERLINK("https://www.boe.es/gazeta/dias/1834/02/20/pdfs/GMD-1834-23.pdf#page=3","Abrir facsímil")</f>
        <v>Abrir facsímil</v>
      </c>
      <c r="K7935" s="10" t="s">
        <v>24</v>
      </c>
    </row>
    <row r="7936" spans="1:11" ht="54" customHeight="1">
      <c r="A7936" s="9" t="s">
        <v>16929</v>
      </c>
      <c r="B7936" s="9" t="s">
        <v>16929</v>
      </c>
      <c r="C7936" s="9" t="s">
        <v>17</v>
      </c>
      <c r="D7936" s="9" t="s">
        <v>18</v>
      </c>
      <c r="E7936" s="10" t="s">
        <v>3810</v>
      </c>
      <c r="F7936" s="9" t="s">
        <v>3811</v>
      </c>
      <c r="G7936" s="10" t="s">
        <v>75</v>
      </c>
      <c r="H7936" s="9" t="s">
        <v>22</v>
      </c>
      <c r="I7936" s="9" t="s">
        <v>17257</v>
      </c>
      <c r="J7936" s="10" t="str">
        <f>HYPERLINK("https://www.boe.es/gazeta/dias/1834/02/20/pdfs/GMD-1834-23.pdf#page=4","Abrir facsímil")</f>
        <v>Abrir facsímil</v>
      </c>
      <c r="K7936" s="10" t="s">
        <v>24</v>
      </c>
    </row>
    <row r="7937" spans="1:11" ht="54" customHeight="1">
      <c r="A7937" s="9" t="s">
        <v>16929</v>
      </c>
      <c r="B7937" s="9" t="s">
        <v>16929</v>
      </c>
      <c r="C7937" s="9" t="s">
        <v>66</v>
      </c>
      <c r="D7937" s="9" t="s">
        <v>18</v>
      </c>
      <c r="E7937" s="10" t="s">
        <v>1572</v>
      </c>
      <c r="F7937" s="9" t="s">
        <v>1573</v>
      </c>
      <c r="G7937" s="10" t="s">
        <v>34</v>
      </c>
      <c r="H7937" s="9" t="s">
        <v>22</v>
      </c>
      <c r="I7937" s="9" t="s">
        <v>17258</v>
      </c>
      <c r="J7937" s="10" t="str">
        <f>HYPERLINK("https://www.boe.es/gazeta/dias/1834/03/20/pdfs/GMD-1834-35.pdf#page=1","Abrir facsímil")</f>
        <v>Abrir facsímil</v>
      </c>
      <c r="K7937" s="10" t="s">
        <v>24</v>
      </c>
    </row>
    <row r="7938" spans="1:11" ht="54" customHeight="1">
      <c r="A7938" s="9" t="s">
        <v>16929</v>
      </c>
      <c r="B7938" s="9" t="s">
        <v>16929</v>
      </c>
      <c r="C7938" s="9" t="s">
        <v>46</v>
      </c>
      <c r="D7938" s="9" t="s">
        <v>18</v>
      </c>
      <c r="E7938" s="10" t="s">
        <v>1572</v>
      </c>
      <c r="F7938" s="9" t="s">
        <v>1573</v>
      </c>
      <c r="G7938" s="10" t="s">
        <v>86</v>
      </c>
      <c r="H7938" s="9" t="s">
        <v>22</v>
      </c>
      <c r="I7938" s="9" t="s">
        <v>17259</v>
      </c>
      <c r="J7938" s="10" t="str">
        <f>HYPERLINK("https://www.boe.es/gazeta/dias/1834/03/20/pdfs/GMD-1834-35.pdf#page=2","Abrir facsímil")</f>
        <v>Abrir facsímil</v>
      </c>
      <c r="K7938" s="10" t="s">
        <v>24</v>
      </c>
    </row>
    <row r="7939" spans="1:11" ht="54" customHeight="1">
      <c r="A7939" s="9" t="s">
        <v>16929</v>
      </c>
      <c r="B7939" s="9" t="s">
        <v>16929</v>
      </c>
      <c r="C7939" s="9" t="s">
        <v>66</v>
      </c>
      <c r="D7939" s="9" t="s">
        <v>67</v>
      </c>
      <c r="E7939" s="10" t="s">
        <v>1572</v>
      </c>
      <c r="F7939" s="9" t="s">
        <v>1573</v>
      </c>
      <c r="G7939" s="10" t="s">
        <v>21</v>
      </c>
      <c r="H7939" s="9" t="s">
        <v>22</v>
      </c>
      <c r="I7939" s="9" t="s">
        <v>17260</v>
      </c>
      <c r="J7939" s="10" t="str">
        <f>HYPERLINK("https://www.boe.es/gazeta/dias/1834/03/20/pdfs/GMD-1834-35.pdf#page=3","Abrir facsímil")</f>
        <v>Abrir facsímil</v>
      </c>
      <c r="K7939" s="10" t="s">
        <v>24</v>
      </c>
    </row>
    <row r="7940" spans="1:11" ht="54" customHeight="1">
      <c r="A7940" s="9" t="s">
        <v>16929</v>
      </c>
      <c r="B7940" s="9" t="s">
        <v>16929</v>
      </c>
      <c r="C7940" s="9" t="s">
        <v>17</v>
      </c>
      <c r="D7940" s="9" t="s">
        <v>18</v>
      </c>
      <c r="E7940" s="10" t="s">
        <v>217</v>
      </c>
      <c r="F7940" s="9" t="s">
        <v>218</v>
      </c>
      <c r="G7940" s="10" t="s">
        <v>86</v>
      </c>
      <c r="H7940" s="9" t="s">
        <v>22</v>
      </c>
      <c r="I7940" s="9" t="s">
        <v>17261</v>
      </c>
      <c r="J7940" s="10" t="str">
        <f>HYPERLINK("https://www.boe.es/gazeta/dias/1834/04/20/pdfs/GMD-1834-59.pdf#page=2","Abrir facsímil")</f>
        <v>Abrir facsímil</v>
      </c>
      <c r="K7940" s="10" t="s">
        <v>24</v>
      </c>
    </row>
    <row r="7941" spans="1:11" ht="54" customHeight="1">
      <c r="A7941" s="9" t="s">
        <v>16929</v>
      </c>
      <c r="B7941" s="9" t="s">
        <v>16929</v>
      </c>
      <c r="C7941" s="9" t="s">
        <v>17</v>
      </c>
      <c r="D7941" s="9" t="s">
        <v>101</v>
      </c>
      <c r="E7941" s="10" t="s">
        <v>2950</v>
      </c>
      <c r="F7941" s="9" t="s">
        <v>2951</v>
      </c>
      <c r="G7941" s="10" t="s">
        <v>34</v>
      </c>
      <c r="H7941" s="9" t="s">
        <v>22</v>
      </c>
      <c r="I7941" s="9" t="s">
        <v>17262</v>
      </c>
      <c r="J7941" s="10" t="str">
        <f>HYPERLINK("https://www.boe.es/gazeta/dias/1834/05/20/pdfs/GMD-1834-89.pdf#page=1","Abrir facsímil")</f>
        <v>Abrir facsímil</v>
      </c>
      <c r="K7941" s="10" t="s">
        <v>24</v>
      </c>
    </row>
    <row r="7942" spans="1:11" ht="54" customHeight="1">
      <c r="A7942" s="9" t="s">
        <v>16929</v>
      </c>
      <c r="B7942" s="9" t="s">
        <v>16929</v>
      </c>
      <c r="C7942" s="9" t="s">
        <v>90</v>
      </c>
      <c r="D7942" s="9" t="s">
        <v>18</v>
      </c>
      <c r="E7942" s="10" t="s">
        <v>2950</v>
      </c>
      <c r="F7942" s="9" t="s">
        <v>2951</v>
      </c>
      <c r="G7942" s="10" t="s">
        <v>75</v>
      </c>
      <c r="H7942" s="9" t="s">
        <v>22</v>
      </c>
      <c r="I7942" s="9" t="s">
        <v>17263</v>
      </c>
      <c r="J7942" s="10" t="str">
        <f>HYPERLINK("https://www.boe.es/gazeta/dias/1834/05/20/pdfs/GMD-1834-89.pdf#page=4","Abrir facsímil")</f>
        <v>Abrir facsímil</v>
      </c>
      <c r="K7942" s="10" t="s">
        <v>24</v>
      </c>
    </row>
    <row r="7943" spans="1:11" ht="54" customHeight="1">
      <c r="A7943" s="9" t="s">
        <v>16929</v>
      </c>
      <c r="B7943" s="9" t="s">
        <v>16929</v>
      </c>
      <c r="C7943" s="9" t="s">
        <v>46</v>
      </c>
      <c r="D7943" s="9" t="s">
        <v>101</v>
      </c>
      <c r="E7943" s="10" t="s">
        <v>2860</v>
      </c>
      <c r="F7943" s="9" t="s">
        <v>2861</v>
      </c>
      <c r="G7943" s="10" t="s">
        <v>34</v>
      </c>
      <c r="H7943" s="9" t="s">
        <v>22</v>
      </c>
      <c r="I7943" s="9" t="s">
        <v>17264</v>
      </c>
      <c r="J7943" s="10" t="str">
        <f>HYPERLINK("https://www.boe.es/gazeta/dias/1834/07/20/pdfs/GMD-1834-153.pdf#page=1","Abrir facsímil")</f>
        <v>Abrir facsímil</v>
      </c>
      <c r="K7943" s="10" t="s">
        <v>24</v>
      </c>
    </row>
    <row r="7944" spans="1:11" ht="54" customHeight="1">
      <c r="A7944" s="9" t="s">
        <v>16929</v>
      </c>
      <c r="B7944" s="9" t="s">
        <v>16929</v>
      </c>
      <c r="C7944" s="9" t="s">
        <v>17</v>
      </c>
      <c r="D7944" s="9" t="s">
        <v>18</v>
      </c>
      <c r="E7944" s="10" t="s">
        <v>2860</v>
      </c>
      <c r="F7944" s="9" t="s">
        <v>2861</v>
      </c>
      <c r="G7944" s="10" t="s">
        <v>21</v>
      </c>
      <c r="H7944" s="9" t="s">
        <v>22</v>
      </c>
      <c r="I7944" s="9" t="s">
        <v>17265</v>
      </c>
      <c r="J7944" s="10" t="str">
        <f>HYPERLINK("https://www.boe.es/gazeta/dias/1834/07/20/pdfs/GMD-1834-153.pdf#page=3","Abrir facsímil")</f>
        <v>Abrir facsímil</v>
      </c>
      <c r="K7944" s="10" t="s">
        <v>24</v>
      </c>
    </row>
    <row r="7945" spans="1:11" ht="54" customHeight="1">
      <c r="A7945" s="9" t="s">
        <v>16929</v>
      </c>
      <c r="B7945" s="9" t="s">
        <v>16929</v>
      </c>
      <c r="C7945" s="9" t="s">
        <v>66</v>
      </c>
      <c r="D7945" s="9" t="s">
        <v>67</v>
      </c>
      <c r="E7945" s="10" t="s">
        <v>1239</v>
      </c>
      <c r="F7945" s="9" t="s">
        <v>1240</v>
      </c>
      <c r="G7945" s="10" t="s">
        <v>34</v>
      </c>
      <c r="H7945" s="9" t="s">
        <v>22</v>
      </c>
      <c r="I7945" s="9" t="s">
        <v>17266</v>
      </c>
      <c r="J7945" s="10" t="str">
        <f>HYPERLINK("https://www.boe.es/gazeta/dias/1834/08/20/pdfs/GMD-1834-186.pdf#page=1","Abrir facsímil")</f>
        <v>Abrir facsímil</v>
      </c>
      <c r="K7945" s="10" t="s">
        <v>24</v>
      </c>
    </row>
    <row r="7946" spans="1:11" ht="54" customHeight="1">
      <c r="A7946" s="9" t="s">
        <v>16929</v>
      </c>
      <c r="B7946" s="9" t="s">
        <v>16929</v>
      </c>
      <c r="C7946" s="9" t="s">
        <v>46</v>
      </c>
      <c r="D7946" s="9" t="s">
        <v>101</v>
      </c>
      <c r="E7946" s="10" t="s">
        <v>1239</v>
      </c>
      <c r="F7946" s="9" t="s">
        <v>1240</v>
      </c>
      <c r="G7946" s="10" t="s">
        <v>86</v>
      </c>
      <c r="H7946" s="9" t="s">
        <v>22</v>
      </c>
      <c r="I7946" s="9" t="s">
        <v>17267</v>
      </c>
      <c r="J7946" s="10" t="str">
        <f>HYPERLINK("https://www.boe.es/gazeta/dias/1834/08/20/pdfs/GMD-1834-186.pdf#page=2","Abrir facsímil")</f>
        <v>Abrir facsímil</v>
      </c>
      <c r="K7946" s="10" t="s">
        <v>24</v>
      </c>
    </row>
    <row r="7947" spans="1:11" ht="54" customHeight="1">
      <c r="A7947" s="9" t="s">
        <v>16929</v>
      </c>
      <c r="B7947" s="9" t="s">
        <v>16929</v>
      </c>
      <c r="C7947" s="9" t="s">
        <v>17</v>
      </c>
      <c r="D7947" s="9" t="s">
        <v>18</v>
      </c>
      <c r="E7947" s="10" t="s">
        <v>1239</v>
      </c>
      <c r="F7947" s="9" t="s">
        <v>1240</v>
      </c>
      <c r="G7947" s="10" t="s">
        <v>75</v>
      </c>
      <c r="H7947" s="9" t="s">
        <v>22</v>
      </c>
      <c r="I7947" s="9" t="s">
        <v>17268</v>
      </c>
      <c r="J7947" s="10" t="str">
        <f>HYPERLINK("https://www.boe.es/gazeta/dias/1834/08/20/pdfs/GMD-1834-186.pdf#page=4","Abrir facsímil")</f>
        <v>Abrir facsímil</v>
      </c>
      <c r="K7947" s="10" t="s">
        <v>24</v>
      </c>
    </row>
    <row r="7948" spans="1:11" ht="54" customHeight="1">
      <c r="A7948" s="9" t="s">
        <v>16929</v>
      </c>
      <c r="B7948" s="9" t="s">
        <v>16929</v>
      </c>
      <c r="C7948" s="9" t="s">
        <v>17</v>
      </c>
      <c r="D7948" s="9" t="s">
        <v>18</v>
      </c>
      <c r="E7948" s="10" t="s">
        <v>3248</v>
      </c>
      <c r="F7948" s="9" t="s">
        <v>3249</v>
      </c>
      <c r="G7948" s="10" t="s">
        <v>21</v>
      </c>
      <c r="H7948" s="9" t="s">
        <v>22</v>
      </c>
      <c r="I7948" s="9" t="s">
        <v>17269</v>
      </c>
      <c r="J7948" s="10" t="str">
        <f>HYPERLINK("https://www.boe.es/gazeta/dias/1834/09/20/pdfs/GMD-1834-218.pdf#page=3","Abrir facsímil")</f>
        <v>Abrir facsímil</v>
      </c>
      <c r="K7948" s="10" t="s">
        <v>24</v>
      </c>
    </row>
    <row r="7949" spans="1:11" ht="54" customHeight="1">
      <c r="A7949" s="9" t="s">
        <v>16929</v>
      </c>
      <c r="B7949" s="9" t="s">
        <v>16929</v>
      </c>
      <c r="C7949" s="9" t="s">
        <v>46</v>
      </c>
      <c r="D7949" s="9" t="s">
        <v>18</v>
      </c>
      <c r="E7949" s="10" t="s">
        <v>3248</v>
      </c>
      <c r="F7949" s="9" t="s">
        <v>4798</v>
      </c>
      <c r="G7949" s="10" t="s">
        <v>21</v>
      </c>
      <c r="H7949" s="9" t="s">
        <v>22</v>
      </c>
      <c r="I7949" s="9" t="s">
        <v>17270</v>
      </c>
      <c r="J7949" s="10" t="str">
        <f>HYPERLINK("https://www.boe.es/gazeta/dias/1834/09/20/pdfs/GMD-C-1834-218.pdf#page=3","Abrir facsímil")</f>
        <v>Abrir facsímil</v>
      </c>
      <c r="K7949" s="10" t="s">
        <v>24</v>
      </c>
    </row>
    <row r="7950" spans="1:11" ht="54" customHeight="1">
      <c r="A7950" s="9" t="s">
        <v>16929</v>
      </c>
      <c r="B7950" s="9" t="s">
        <v>16929</v>
      </c>
      <c r="C7950" s="9" t="s">
        <v>66</v>
      </c>
      <c r="D7950" s="9" t="s">
        <v>67</v>
      </c>
      <c r="E7950" s="10" t="s">
        <v>148</v>
      </c>
      <c r="F7950" s="9" t="s">
        <v>149</v>
      </c>
      <c r="G7950" s="10" t="s">
        <v>34</v>
      </c>
      <c r="H7950" s="9" t="s">
        <v>22</v>
      </c>
      <c r="I7950" s="9" t="s">
        <v>17271</v>
      </c>
      <c r="J7950" s="10" t="str">
        <f>HYPERLINK("https://www.boe.es/gazeta/dias/1834/10/20/pdfs/GMD-1834-248.pdf#page=1","Abrir facsímil")</f>
        <v>Abrir facsímil</v>
      </c>
      <c r="K7950" s="10" t="s">
        <v>24</v>
      </c>
    </row>
    <row r="7951" spans="1:11" ht="54" customHeight="1">
      <c r="A7951" s="9" t="s">
        <v>16929</v>
      </c>
      <c r="B7951" s="9" t="s">
        <v>16929</v>
      </c>
      <c r="C7951" s="9" t="s">
        <v>17</v>
      </c>
      <c r="D7951" s="9" t="s">
        <v>18</v>
      </c>
      <c r="E7951" s="10" t="s">
        <v>148</v>
      </c>
      <c r="F7951" s="9" t="s">
        <v>149</v>
      </c>
      <c r="G7951" s="10" t="s">
        <v>21</v>
      </c>
      <c r="H7951" s="9" t="s">
        <v>22</v>
      </c>
      <c r="I7951" s="9" t="s">
        <v>17272</v>
      </c>
      <c r="J7951" s="10" t="str">
        <f>HYPERLINK("https://www.boe.es/gazeta/dias/1834/10/20/pdfs/GMD-1834-248.pdf#page=3","Abrir facsímil")</f>
        <v>Abrir facsímil</v>
      </c>
      <c r="K7951" s="10" t="s">
        <v>24</v>
      </c>
    </row>
    <row r="7952" spans="1:11" ht="54" customHeight="1">
      <c r="A7952" s="9" t="s">
        <v>16929</v>
      </c>
      <c r="B7952" s="9" t="s">
        <v>16929</v>
      </c>
      <c r="C7952" s="9" t="s">
        <v>17</v>
      </c>
      <c r="D7952" s="9" t="s">
        <v>18</v>
      </c>
      <c r="E7952" s="10" t="s">
        <v>1973</v>
      </c>
      <c r="F7952" s="9" t="s">
        <v>1974</v>
      </c>
      <c r="G7952" s="10" t="s">
        <v>34</v>
      </c>
      <c r="H7952" s="9" t="s">
        <v>22</v>
      </c>
      <c r="I7952" s="9" t="s">
        <v>17273</v>
      </c>
      <c r="J7952" s="10" t="str">
        <f>HYPERLINK("https://www.boe.es/gazeta/dias/1834/12/20/pdfs/GMD-C-1834-310.pdf#page=1","Abrir facsímil")</f>
        <v>Abrir facsímil</v>
      </c>
      <c r="K7952" s="10" t="s">
        <v>24</v>
      </c>
    </row>
    <row r="7953" spans="1:11" ht="54" customHeight="1">
      <c r="A7953" s="9" t="s">
        <v>16929</v>
      </c>
      <c r="B7953" s="9" t="s">
        <v>16929</v>
      </c>
      <c r="C7953" s="9" t="s">
        <v>17</v>
      </c>
      <c r="D7953" s="9" t="s">
        <v>18</v>
      </c>
      <c r="E7953" s="10" t="s">
        <v>304</v>
      </c>
      <c r="F7953" s="9" t="s">
        <v>305</v>
      </c>
      <c r="G7953" s="10" t="s">
        <v>86</v>
      </c>
      <c r="H7953" s="9" t="s">
        <v>22</v>
      </c>
      <c r="I7953" s="9" t="s">
        <v>17274</v>
      </c>
      <c r="J7953" s="10" t="str">
        <f>HYPERLINK("https://www.boe.es/gazeta/dias/1834/01/21/pdfs/GMD-1834-10.pdf#page=2","Abrir facsímil")</f>
        <v>Abrir facsímil</v>
      </c>
      <c r="K7953" s="10" t="s">
        <v>24</v>
      </c>
    </row>
    <row r="7954" spans="1:11" ht="54" customHeight="1">
      <c r="A7954" s="9" t="s">
        <v>16929</v>
      </c>
      <c r="B7954" s="9" t="s">
        <v>16929</v>
      </c>
      <c r="C7954" s="9" t="s">
        <v>17</v>
      </c>
      <c r="D7954" s="9" t="s">
        <v>18</v>
      </c>
      <c r="E7954" s="10" t="s">
        <v>304</v>
      </c>
      <c r="F7954" s="9" t="s">
        <v>305</v>
      </c>
      <c r="G7954" s="10" t="s">
        <v>28</v>
      </c>
      <c r="H7954" s="9" t="s">
        <v>22</v>
      </c>
      <c r="I7954" s="9" t="s">
        <v>17275</v>
      </c>
      <c r="J7954" s="10" t="str">
        <f>HYPERLINK("https://www.boe.es/gazeta/dias/1834/01/21/pdfs/GMD-1834-10.pdf#page=5","Abrir facsímil")</f>
        <v>Abrir facsímil</v>
      </c>
      <c r="K7954" s="10" t="s">
        <v>24</v>
      </c>
    </row>
    <row r="7955" spans="1:11" ht="54" customHeight="1">
      <c r="A7955" s="9" t="s">
        <v>16929</v>
      </c>
      <c r="B7955" s="9" t="s">
        <v>16929</v>
      </c>
      <c r="C7955" s="9" t="s">
        <v>17</v>
      </c>
      <c r="D7955" s="9" t="s">
        <v>18</v>
      </c>
      <c r="E7955" s="10" t="s">
        <v>304</v>
      </c>
      <c r="F7955" s="9" t="s">
        <v>305</v>
      </c>
      <c r="G7955" s="10" t="s">
        <v>176</v>
      </c>
      <c r="H7955" s="9" t="s">
        <v>22</v>
      </c>
      <c r="I7955" s="9" t="s">
        <v>17276</v>
      </c>
      <c r="J7955" s="10" t="str">
        <f>HYPERLINK("https://www.boe.es/gazeta/dias/1834/01/21/pdfs/GMD-1834-10.pdf#page=6","Abrir facsímil")</f>
        <v>Abrir facsímil</v>
      </c>
      <c r="K7955" s="10" t="s">
        <v>24</v>
      </c>
    </row>
    <row r="7956" spans="1:11" ht="54" customHeight="1">
      <c r="A7956" s="9" t="s">
        <v>16929</v>
      </c>
      <c r="B7956" s="9" t="s">
        <v>16929</v>
      </c>
      <c r="C7956" s="9" t="s">
        <v>66</v>
      </c>
      <c r="D7956" s="9" t="s">
        <v>67</v>
      </c>
      <c r="E7956" s="10" t="s">
        <v>753</v>
      </c>
      <c r="F7956" s="9" t="s">
        <v>754</v>
      </c>
      <c r="G7956" s="10" t="s">
        <v>34</v>
      </c>
      <c r="H7956" s="9" t="s">
        <v>22</v>
      </c>
      <c r="I7956" s="9" t="s">
        <v>17277</v>
      </c>
      <c r="J7956" s="10" t="str">
        <f>HYPERLINK("https://www.boe.es/gazeta/dias/1834/04/21/pdfs/GMD-1834-60.pdf#page=1","Abrir facsímil")</f>
        <v>Abrir facsímil</v>
      </c>
      <c r="K7956" s="10" t="s">
        <v>24</v>
      </c>
    </row>
    <row r="7957" spans="1:11" ht="54" customHeight="1">
      <c r="A7957" s="9" t="s">
        <v>16929</v>
      </c>
      <c r="B7957" s="9" t="s">
        <v>16929</v>
      </c>
      <c r="C7957" s="9" t="s">
        <v>17</v>
      </c>
      <c r="D7957" s="9" t="s">
        <v>18</v>
      </c>
      <c r="E7957" s="10" t="s">
        <v>753</v>
      </c>
      <c r="F7957" s="9" t="s">
        <v>754</v>
      </c>
      <c r="G7957" s="10" t="s">
        <v>28</v>
      </c>
      <c r="H7957" s="9" t="s">
        <v>22</v>
      </c>
      <c r="I7957" s="9" t="s">
        <v>17278</v>
      </c>
      <c r="J7957" s="10" t="str">
        <f>HYPERLINK("https://www.boe.es/gazeta/dias/1834/04/21/pdfs/GMD-1834-60.pdf#page=5","Abrir facsímil")</f>
        <v>Abrir facsímil</v>
      </c>
      <c r="K7957" s="10" t="s">
        <v>24</v>
      </c>
    </row>
    <row r="7958" spans="1:11" ht="54" customHeight="1">
      <c r="A7958" s="9" t="s">
        <v>16929</v>
      </c>
      <c r="B7958" s="9" t="s">
        <v>16929</v>
      </c>
      <c r="C7958" s="9" t="s">
        <v>17</v>
      </c>
      <c r="D7958" s="9" t="s">
        <v>55</v>
      </c>
      <c r="E7958" s="10" t="s">
        <v>535</v>
      </c>
      <c r="F7958" s="9" t="s">
        <v>536</v>
      </c>
      <c r="G7958" s="10" t="s">
        <v>34</v>
      </c>
      <c r="H7958" s="9" t="s">
        <v>22</v>
      </c>
      <c r="I7958" s="9" t="s">
        <v>17279</v>
      </c>
      <c r="J7958" s="10" t="str">
        <f>HYPERLINK("https://www.boe.es/gazeta/dias/1834/05/21/pdfs/GMD-1834-90.pdf#page=1","Abrir facsímil")</f>
        <v>Abrir facsímil</v>
      </c>
      <c r="K7958" s="10" t="s">
        <v>24</v>
      </c>
    </row>
    <row r="7959" spans="1:11" ht="54" customHeight="1">
      <c r="A7959" s="9" t="s">
        <v>16929</v>
      </c>
      <c r="B7959" s="9" t="s">
        <v>16929</v>
      </c>
      <c r="C7959" s="9" t="s">
        <v>66</v>
      </c>
      <c r="D7959" s="9" t="s">
        <v>67</v>
      </c>
      <c r="E7959" s="10" t="s">
        <v>849</v>
      </c>
      <c r="F7959" s="9" t="s">
        <v>850</v>
      </c>
      <c r="G7959" s="10" t="s">
        <v>34</v>
      </c>
      <c r="H7959" s="9" t="s">
        <v>22</v>
      </c>
      <c r="I7959" s="9" t="s">
        <v>17280</v>
      </c>
      <c r="J7959" s="10" t="str">
        <f>HYPERLINK("https://www.boe.es/gazeta/dias/1834/06/21/pdfs/GMD-1834-124.pdf#page=1","Abrir facsímil")</f>
        <v>Abrir facsímil</v>
      </c>
      <c r="K7959" s="10" t="s">
        <v>24</v>
      </c>
    </row>
    <row r="7960" spans="1:11" ht="54" customHeight="1">
      <c r="A7960" s="9" t="s">
        <v>16929</v>
      </c>
      <c r="B7960" s="9" t="s">
        <v>16929</v>
      </c>
      <c r="C7960" s="9" t="s">
        <v>17</v>
      </c>
      <c r="D7960" s="9" t="s">
        <v>18</v>
      </c>
      <c r="E7960" s="10" t="s">
        <v>117</v>
      </c>
      <c r="F7960" s="9" t="s">
        <v>118</v>
      </c>
      <c r="G7960" s="10" t="s">
        <v>34</v>
      </c>
      <c r="H7960" s="9" t="s">
        <v>22</v>
      </c>
      <c r="I7960" s="9" t="s">
        <v>17281</v>
      </c>
      <c r="J7960" s="10" t="str">
        <f>HYPERLINK("https://www.boe.es/gazeta/dias/1834/07/21/pdfs/GMD-1834-154.pdf#page=1","Abrir facsímil")</f>
        <v>Abrir facsímil</v>
      </c>
      <c r="K7960" s="10" t="s">
        <v>24</v>
      </c>
    </row>
    <row r="7961" spans="1:11" ht="54" customHeight="1">
      <c r="A7961" s="9" t="s">
        <v>16929</v>
      </c>
      <c r="B7961" s="9" t="s">
        <v>16929</v>
      </c>
      <c r="C7961" s="9" t="s">
        <v>17</v>
      </c>
      <c r="D7961" s="9" t="s">
        <v>18</v>
      </c>
      <c r="E7961" s="10" t="s">
        <v>117</v>
      </c>
      <c r="F7961" s="9" t="s">
        <v>118</v>
      </c>
      <c r="G7961" s="10" t="s">
        <v>21</v>
      </c>
      <c r="H7961" s="9" t="s">
        <v>22</v>
      </c>
      <c r="I7961" s="9" t="s">
        <v>17282</v>
      </c>
      <c r="J7961" s="10" t="str">
        <f>HYPERLINK("https://www.boe.es/gazeta/dias/1834/07/21/pdfs/GMD-1834-154.pdf#page=3","Abrir facsímil")</f>
        <v>Abrir facsímil</v>
      </c>
      <c r="K7961" s="10" t="s">
        <v>24</v>
      </c>
    </row>
    <row r="7962" spans="1:11" ht="54" customHeight="1">
      <c r="A7962" s="9" t="s">
        <v>16929</v>
      </c>
      <c r="B7962" s="9" t="s">
        <v>16929</v>
      </c>
      <c r="C7962" s="9" t="s">
        <v>66</v>
      </c>
      <c r="D7962" s="9" t="s">
        <v>55</v>
      </c>
      <c r="E7962" s="10" t="s">
        <v>981</v>
      </c>
      <c r="F7962" s="9" t="s">
        <v>982</v>
      </c>
      <c r="G7962" s="10" t="s">
        <v>86</v>
      </c>
      <c r="H7962" s="9" t="s">
        <v>22</v>
      </c>
      <c r="I7962" s="9" t="s">
        <v>17283</v>
      </c>
      <c r="J7962" s="10" t="str">
        <f>HYPERLINK("https://www.boe.es/gazeta/dias/1834/09/21/pdfs/GMD-1834-219.pdf#page=2","Abrir facsímil")</f>
        <v>Abrir facsímil</v>
      </c>
      <c r="K7962" s="10" t="s">
        <v>24</v>
      </c>
    </row>
    <row r="7963" spans="1:11" ht="54" customHeight="1">
      <c r="A7963" s="9" t="s">
        <v>16929</v>
      </c>
      <c r="B7963" s="9" t="s">
        <v>16929</v>
      </c>
      <c r="C7963" s="9" t="s">
        <v>46</v>
      </c>
      <c r="D7963" s="9" t="s">
        <v>101</v>
      </c>
      <c r="E7963" s="10" t="s">
        <v>981</v>
      </c>
      <c r="F7963" s="9" t="s">
        <v>3406</v>
      </c>
      <c r="G7963" s="10" t="s">
        <v>176</v>
      </c>
      <c r="H7963" s="9" t="s">
        <v>22</v>
      </c>
      <c r="I7963" s="9" t="s">
        <v>17284</v>
      </c>
      <c r="J7963" s="10" t="str">
        <f>HYPERLINK("https://www.boe.es/gazeta/dias/1834/09/21/pdfs/GMD-C-1834-219.pdf#page=6","Abrir facsímil")</f>
        <v>Abrir facsímil</v>
      </c>
      <c r="K7963" s="10" t="s">
        <v>24</v>
      </c>
    </row>
    <row r="7964" spans="1:11" ht="54" customHeight="1">
      <c r="A7964" s="9" t="s">
        <v>16929</v>
      </c>
      <c r="B7964" s="9" t="s">
        <v>16929</v>
      </c>
      <c r="C7964" s="9" t="s">
        <v>122</v>
      </c>
      <c r="D7964" s="9" t="s">
        <v>18</v>
      </c>
      <c r="E7964" s="10" t="s">
        <v>647</v>
      </c>
      <c r="F7964" s="9" t="s">
        <v>2176</v>
      </c>
      <c r="G7964" s="10" t="s">
        <v>34</v>
      </c>
      <c r="H7964" s="9" t="s">
        <v>22</v>
      </c>
      <c r="I7964" s="9" t="s">
        <v>17285</v>
      </c>
      <c r="J7964" s="10" t="str">
        <f>HYPERLINK("https://www.boe.es/gazeta/dias/1834/10/21/pdfs/GMD-1834-249.pdf#page=1","Abrir facsímil")</f>
        <v>Abrir facsímil</v>
      </c>
      <c r="K7964" s="10" t="s">
        <v>24</v>
      </c>
    </row>
    <row r="7965" spans="1:11" ht="54" customHeight="1">
      <c r="A7965" s="9" t="s">
        <v>16929</v>
      </c>
      <c r="B7965" s="9" t="s">
        <v>16929</v>
      </c>
      <c r="C7965" s="9" t="s">
        <v>122</v>
      </c>
      <c r="D7965" s="9" t="s">
        <v>101</v>
      </c>
      <c r="E7965" s="10" t="s">
        <v>492</v>
      </c>
      <c r="F7965" s="9" t="s">
        <v>1672</v>
      </c>
      <c r="G7965" s="10" t="s">
        <v>34</v>
      </c>
      <c r="H7965" s="9" t="s">
        <v>22</v>
      </c>
      <c r="I7965" s="9" t="s">
        <v>17286</v>
      </c>
      <c r="J7965" s="10" t="str">
        <f>HYPERLINK("https://www.boe.es/gazeta/dias/1834/11/21/pdfs/GMD-1834-280.pdf#page=1","Abrir facsímil")</f>
        <v>Abrir facsímil</v>
      </c>
      <c r="K7965" s="10" t="s">
        <v>24</v>
      </c>
    </row>
    <row r="7966" spans="1:11" ht="54" customHeight="1">
      <c r="A7966" s="9" t="s">
        <v>16929</v>
      </c>
      <c r="B7966" s="9" t="s">
        <v>16929</v>
      </c>
      <c r="C7966" s="9" t="s">
        <v>90</v>
      </c>
      <c r="D7966" s="9" t="s">
        <v>67</v>
      </c>
      <c r="E7966" s="10" t="s">
        <v>492</v>
      </c>
      <c r="F7966" s="9" t="s">
        <v>493</v>
      </c>
      <c r="G7966" s="10" t="s">
        <v>34</v>
      </c>
      <c r="H7966" s="9" t="s">
        <v>22</v>
      </c>
      <c r="I7966" s="9" t="s">
        <v>17287</v>
      </c>
      <c r="J7966" s="10" t="str">
        <f>HYPERLINK("https://www.boe.es/gazeta/dias/1834/11/21/pdfs/GMD-C-1834-280.pdf#page=1","Abrir facsímil")</f>
        <v>Abrir facsímil</v>
      </c>
      <c r="K7966" s="10" t="s">
        <v>24</v>
      </c>
    </row>
    <row r="7967" spans="1:11" ht="54" customHeight="1">
      <c r="A7967" s="9" t="s">
        <v>16929</v>
      </c>
      <c r="B7967" s="9" t="s">
        <v>16929</v>
      </c>
      <c r="C7967" s="9" t="s">
        <v>46</v>
      </c>
      <c r="D7967" s="9" t="s">
        <v>101</v>
      </c>
      <c r="E7967" s="10" t="s">
        <v>3952</v>
      </c>
      <c r="F7967" s="9" t="s">
        <v>3953</v>
      </c>
      <c r="G7967" s="10" t="s">
        <v>34</v>
      </c>
      <c r="H7967" s="9" t="s">
        <v>22</v>
      </c>
      <c r="I7967" s="9" t="s">
        <v>17288</v>
      </c>
      <c r="J7967" s="10" t="str">
        <f>HYPERLINK("https://www.boe.es/gazeta/dias/1834/02/22/pdfs/GMD-1834-24.pdf#page=1","Abrir facsímil")</f>
        <v>Abrir facsímil</v>
      </c>
      <c r="K7967" s="10" t="s">
        <v>24</v>
      </c>
    </row>
    <row r="7968" spans="1:11" ht="54" customHeight="1">
      <c r="A7968" s="9" t="s">
        <v>16929</v>
      </c>
      <c r="B7968" s="9" t="s">
        <v>16929</v>
      </c>
      <c r="C7968" s="9" t="s">
        <v>17</v>
      </c>
      <c r="D7968" s="9" t="s">
        <v>18</v>
      </c>
      <c r="E7968" s="10" t="s">
        <v>3952</v>
      </c>
      <c r="F7968" s="9" t="s">
        <v>3953</v>
      </c>
      <c r="G7968" s="10" t="s">
        <v>86</v>
      </c>
      <c r="H7968" s="9" t="s">
        <v>22</v>
      </c>
      <c r="I7968" s="9" t="s">
        <v>17289</v>
      </c>
      <c r="J7968" s="10" t="str">
        <f>HYPERLINK("https://www.boe.es/gazeta/dias/1834/02/22/pdfs/GMD-1834-24.pdf#page=2","Abrir facsímil")</f>
        <v>Abrir facsímil</v>
      </c>
      <c r="K7968" s="10" t="s">
        <v>24</v>
      </c>
    </row>
    <row r="7969" spans="1:11" ht="54" customHeight="1">
      <c r="A7969" s="9" t="s">
        <v>16929</v>
      </c>
      <c r="B7969" s="9" t="s">
        <v>16929</v>
      </c>
      <c r="C7969" s="9" t="s">
        <v>66</v>
      </c>
      <c r="D7969" s="9" t="s">
        <v>67</v>
      </c>
      <c r="E7969" s="10" t="s">
        <v>1918</v>
      </c>
      <c r="F7969" s="9" t="s">
        <v>1919</v>
      </c>
      <c r="G7969" s="10" t="s">
        <v>86</v>
      </c>
      <c r="H7969" s="9" t="s">
        <v>22</v>
      </c>
      <c r="I7969" s="9" t="s">
        <v>17290</v>
      </c>
      <c r="J7969" s="10" t="str">
        <f>HYPERLINK("https://www.boe.es/gazeta/dias/1834/03/22/pdfs/GMD-1834-36.pdf#page=2","Abrir facsímil")</f>
        <v>Abrir facsímil</v>
      </c>
      <c r="K7969" s="10" t="s">
        <v>24</v>
      </c>
    </row>
    <row r="7970" spans="1:11" ht="54" customHeight="1">
      <c r="A7970" s="9" t="s">
        <v>16929</v>
      </c>
      <c r="B7970" s="9" t="s">
        <v>16929</v>
      </c>
      <c r="C7970" s="9" t="s">
        <v>17</v>
      </c>
      <c r="D7970" s="9" t="s">
        <v>18</v>
      </c>
      <c r="E7970" s="10" t="s">
        <v>8279</v>
      </c>
      <c r="F7970" s="9" t="s">
        <v>8280</v>
      </c>
      <c r="G7970" s="10" t="s">
        <v>34</v>
      </c>
      <c r="H7970" s="9" t="s">
        <v>22</v>
      </c>
      <c r="I7970" s="9" t="s">
        <v>17291</v>
      </c>
      <c r="J7970" s="10" t="str">
        <f>HYPERLINK("https://www.boe.es/gazeta/dias/1834/04/22/pdfs/GMD-1834-61.pdf#page=1","Abrir facsímil")</f>
        <v>Abrir facsímil</v>
      </c>
      <c r="K7970" s="10" t="s">
        <v>24</v>
      </c>
    </row>
    <row r="7971" spans="1:11" ht="54" customHeight="1">
      <c r="A7971" s="9" t="s">
        <v>16929</v>
      </c>
      <c r="B7971" s="9" t="s">
        <v>16929</v>
      </c>
      <c r="C7971" s="9" t="s">
        <v>46</v>
      </c>
      <c r="D7971" s="9" t="s">
        <v>55</v>
      </c>
      <c r="E7971" s="10" t="s">
        <v>1323</v>
      </c>
      <c r="F7971" s="9" t="s">
        <v>1324</v>
      </c>
      <c r="G7971" s="10" t="s">
        <v>34</v>
      </c>
      <c r="H7971" s="9" t="s">
        <v>22</v>
      </c>
      <c r="I7971" s="9" t="s">
        <v>17292</v>
      </c>
      <c r="J7971" s="10" t="str">
        <f>HYPERLINK("https://www.boe.es/gazeta/dias/1834/05/22/pdfs/GMD-1834-91.pdf#page=1","Abrir facsímil")</f>
        <v>Abrir facsímil</v>
      </c>
      <c r="K7971" s="10" t="s">
        <v>24</v>
      </c>
    </row>
    <row r="7972" spans="1:11" ht="54" customHeight="1">
      <c r="A7972" s="9" t="s">
        <v>16929</v>
      </c>
      <c r="B7972" s="9" t="s">
        <v>16929</v>
      </c>
      <c r="C7972" s="9" t="s">
        <v>17</v>
      </c>
      <c r="D7972" s="9" t="s">
        <v>18</v>
      </c>
      <c r="E7972" s="10" t="s">
        <v>1323</v>
      </c>
      <c r="F7972" s="9" t="s">
        <v>1324</v>
      </c>
      <c r="G7972" s="10" t="s">
        <v>75</v>
      </c>
      <c r="H7972" s="9" t="s">
        <v>22</v>
      </c>
      <c r="I7972" s="9" t="s">
        <v>17293</v>
      </c>
      <c r="J7972" s="10" t="str">
        <f>HYPERLINK("https://www.boe.es/gazeta/dias/1834/05/22/pdfs/GMD-1834-91.pdf#page=4","Abrir facsímil")</f>
        <v>Abrir facsímil</v>
      </c>
      <c r="K7972" s="10" t="s">
        <v>24</v>
      </c>
    </row>
    <row r="7973" spans="1:11" ht="54" customHeight="1">
      <c r="A7973" s="9" t="s">
        <v>16929</v>
      </c>
      <c r="B7973" s="9" t="s">
        <v>16929</v>
      </c>
      <c r="C7973" s="9" t="s">
        <v>66</v>
      </c>
      <c r="D7973" s="9" t="s">
        <v>67</v>
      </c>
      <c r="E7973" s="10" t="s">
        <v>3488</v>
      </c>
      <c r="F7973" s="9" t="s">
        <v>3489</v>
      </c>
      <c r="G7973" s="10" t="s">
        <v>34</v>
      </c>
      <c r="H7973" s="9" t="s">
        <v>22</v>
      </c>
      <c r="I7973" s="9" t="s">
        <v>17294</v>
      </c>
      <c r="J7973" s="10" t="str">
        <f>HYPERLINK("https://www.boe.es/gazeta/dias/1834/06/22/pdfs/GMD-1834-125.pdf#page=1","Abrir facsímil")</f>
        <v>Abrir facsímil</v>
      </c>
      <c r="K7973" s="10" t="s">
        <v>24</v>
      </c>
    </row>
    <row r="7974" spans="1:11" ht="54" customHeight="1">
      <c r="A7974" s="9" t="s">
        <v>16929</v>
      </c>
      <c r="B7974" s="9" t="s">
        <v>16929</v>
      </c>
      <c r="C7974" s="9" t="s">
        <v>46</v>
      </c>
      <c r="D7974" s="9" t="s">
        <v>101</v>
      </c>
      <c r="E7974" s="10" t="s">
        <v>4064</v>
      </c>
      <c r="F7974" s="9" t="s">
        <v>4065</v>
      </c>
      <c r="G7974" s="10" t="s">
        <v>34</v>
      </c>
      <c r="H7974" s="9" t="s">
        <v>22</v>
      </c>
      <c r="I7974" s="9" t="s">
        <v>17295</v>
      </c>
      <c r="J7974" s="10" t="str">
        <f>HYPERLINK("https://www.boe.es/gazeta/dias/1834/07/22/pdfs/GMD-1834-155.pdf#page=1","Abrir facsímil")</f>
        <v>Abrir facsímil</v>
      </c>
      <c r="K7974" s="10" t="s">
        <v>24</v>
      </c>
    </row>
    <row r="7975" spans="1:11" ht="54" customHeight="1">
      <c r="A7975" s="9" t="s">
        <v>16929</v>
      </c>
      <c r="B7975" s="9" t="s">
        <v>16929</v>
      </c>
      <c r="C7975" s="9" t="s">
        <v>17</v>
      </c>
      <c r="D7975" s="9" t="s">
        <v>18</v>
      </c>
      <c r="E7975" s="10" t="s">
        <v>4064</v>
      </c>
      <c r="F7975" s="9" t="s">
        <v>4065</v>
      </c>
      <c r="G7975" s="10" t="s">
        <v>86</v>
      </c>
      <c r="H7975" s="9" t="s">
        <v>22</v>
      </c>
      <c r="I7975" s="9" t="s">
        <v>17296</v>
      </c>
      <c r="J7975" s="10" t="str">
        <f>HYPERLINK("https://www.boe.es/gazeta/dias/1834/07/22/pdfs/GMD-1834-155.pdf#page=2","Abrir facsímil")</f>
        <v>Abrir facsímil</v>
      </c>
      <c r="K7975" s="10" t="s">
        <v>24</v>
      </c>
    </row>
    <row r="7976" spans="1:11" ht="54" customHeight="1">
      <c r="A7976" s="9" t="s">
        <v>16929</v>
      </c>
      <c r="B7976" s="9" t="s">
        <v>16929</v>
      </c>
      <c r="C7976" s="9" t="s">
        <v>66</v>
      </c>
      <c r="D7976" s="9" t="s">
        <v>101</v>
      </c>
      <c r="E7976" s="10" t="s">
        <v>3225</v>
      </c>
      <c r="F7976" s="9" t="s">
        <v>3226</v>
      </c>
      <c r="G7976" s="10" t="s">
        <v>34</v>
      </c>
      <c r="H7976" s="9" t="s">
        <v>22</v>
      </c>
      <c r="I7976" s="9" t="s">
        <v>17297</v>
      </c>
      <c r="J7976" s="10" t="str">
        <f>HYPERLINK("https://www.boe.es/gazeta/dias/1834/08/22/pdfs/GMD-1834-188.pdf#page=1","Abrir facsímil")</f>
        <v>Abrir facsímil</v>
      </c>
      <c r="K7976" s="10" t="s">
        <v>24</v>
      </c>
    </row>
    <row r="7977" spans="1:11" ht="54" customHeight="1">
      <c r="A7977" s="9" t="s">
        <v>16929</v>
      </c>
      <c r="B7977" s="9" t="s">
        <v>16929</v>
      </c>
      <c r="C7977" s="9" t="s">
        <v>122</v>
      </c>
      <c r="D7977" s="9" t="s">
        <v>18</v>
      </c>
      <c r="E7977" s="10" t="s">
        <v>3225</v>
      </c>
      <c r="F7977" s="9" t="s">
        <v>3226</v>
      </c>
      <c r="G7977" s="10" t="s">
        <v>86</v>
      </c>
      <c r="H7977" s="9" t="s">
        <v>22</v>
      </c>
      <c r="I7977" s="9" t="s">
        <v>17298</v>
      </c>
      <c r="J7977" s="10" t="str">
        <f>HYPERLINK("https://www.boe.es/gazeta/dias/1834/08/22/pdfs/GMD-1834-188.pdf#page=2","Abrir facsímil")</f>
        <v>Abrir facsímil</v>
      </c>
      <c r="K7977" s="10" t="s">
        <v>24</v>
      </c>
    </row>
    <row r="7978" spans="1:11" ht="54" customHeight="1">
      <c r="A7978" s="9" t="s">
        <v>16929</v>
      </c>
      <c r="B7978" s="9" t="s">
        <v>16929</v>
      </c>
      <c r="C7978" s="9" t="s">
        <v>17</v>
      </c>
      <c r="D7978" s="9" t="s">
        <v>18</v>
      </c>
      <c r="E7978" s="10" t="s">
        <v>2596</v>
      </c>
      <c r="F7978" s="9" t="s">
        <v>2597</v>
      </c>
      <c r="G7978" s="10" t="s">
        <v>21</v>
      </c>
      <c r="H7978" s="9" t="s">
        <v>22</v>
      </c>
      <c r="I7978" s="9" t="s">
        <v>17299</v>
      </c>
      <c r="J7978" s="10" t="str">
        <f>HYPERLINK("https://www.boe.es/gazeta/dias/1834/10/22/pdfs/GMD-1834-250.pdf#page=3","Abrir facsímil")</f>
        <v>Abrir facsímil</v>
      </c>
      <c r="K7978" s="10" t="s">
        <v>24</v>
      </c>
    </row>
    <row r="7979" spans="1:11" ht="54" customHeight="1">
      <c r="A7979" s="9" t="s">
        <v>16929</v>
      </c>
      <c r="B7979" s="9" t="s">
        <v>16929</v>
      </c>
      <c r="C7979" s="9" t="s">
        <v>90</v>
      </c>
      <c r="D7979" s="9" t="s">
        <v>67</v>
      </c>
      <c r="E7979" s="10" t="s">
        <v>2888</v>
      </c>
      <c r="F7979" s="9" t="s">
        <v>2889</v>
      </c>
      <c r="G7979" s="10" t="s">
        <v>21</v>
      </c>
      <c r="H7979" s="9" t="s">
        <v>22</v>
      </c>
      <c r="I7979" s="9" t="s">
        <v>17300</v>
      </c>
      <c r="J7979" s="10" t="str">
        <f>HYPERLINK("https://www.boe.es/gazeta/dias/1834/12/22/pdfs/GMD-1834-312.pdf#page=3","Abrir facsímil")</f>
        <v>Abrir facsímil</v>
      </c>
      <c r="K7979" s="10" t="s">
        <v>24</v>
      </c>
    </row>
    <row r="7980" spans="1:11" ht="54" customHeight="1">
      <c r="A7980" s="9" t="s">
        <v>16929</v>
      </c>
      <c r="B7980" s="9" t="s">
        <v>16929</v>
      </c>
      <c r="C7980" s="9" t="s">
        <v>17</v>
      </c>
      <c r="D7980" s="9" t="s">
        <v>101</v>
      </c>
      <c r="E7980" s="10" t="s">
        <v>2153</v>
      </c>
      <c r="F7980" s="9" t="s">
        <v>2154</v>
      </c>
      <c r="G7980" s="10" t="s">
        <v>34</v>
      </c>
      <c r="H7980" s="9" t="s">
        <v>22</v>
      </c>
      <c r="I7980" s="9" t="s">
        <v>17301</v>
      </c>
      <c r="J7980" s="10" t="str">
        <f>HYPERLINK("https://www.boe.es/gazeta/dias/1834/01/23/pdfs/GMD-1834-11.pdf#page=1","Abrir facsímil")</f>
        <v>Abrir facsímil</v>
      </c>
      <c r="K7980" s="10" t="s">
        <v>24</v>
      </c>
    </row>
    <row r="7981" spans="1:11" ht="54" customHeight="1">
      <c r="A7981" s="9" t="s">
        <v>16929</v>
      </c>
      <c r="B7981" s="9" t="s">
        <v>16929</v>
      </c>
      <c r="C7981" s="9" t="s">
        <v>46</v>
      </c>
      <c r="D7981" s="9" t="s">
        <v>18</v>
      </c>
      <c r="E7981" s="10" t="s">
        <v>2153</v>
      </c>
      <c r="F7981" s="9" t="s">
        <v>2154</v>
      </c>
      <c r="G7981" s="10" t="s">
        <v>86</v>
      </c>
      <c r="H7981" s="9" t="s">
        <v>22</v>
      </c>
      <c r="I7981" s="9" t="s">
        <v>17302</v>
      </c>
      <c r="J7981" s="10" t="str">
        <f>HYPERLINK("https://www.boe.es/gazeta/dias/1834/01/23/pdfs/GMD-1834-11.pdf#page=2","Abrir facsímil")</f>
        <v>Abrir facsímil</v>
      </c>
      <c r="K7981" s="10" t="s">
        <v>24</v>
      </c>
    </row>
    <row r="7982" spans="1:11" ht="54" customHeight="1">
      <c r="A7982" s="9" t="s">
        <v>16929</v>
      </c>
      <c r="B7982" s="9" t="s">
        <v>16929</v>
      </c>
      <c r="C7982" s="9" t="s">
        <v>66</v>
      </c>
      <c r="D7982" s="9" t="s">
        <v>67</v>
      </c>
      <c r="E7982" s="10" t="s">
        <v>2153</v>
      </c>
      <c r="F7982" s="9" t="s">
        <v>2154</v>
      </c>
      <c r="G7982" s="10" t="s">
        <v>75</v>
      </c>
      <c r="H7982" s="9" t="s">
        <v>22</v>
      </c>
      <c r="I7982" s="9" t="s">
        <v>17303</v>
      </c>
      <c r="J7982" s="10" t="str">
        <f>HYPERLINK("https://www.boe.es/gazeta/dias/1834/01/23/pdfs/GMD-1834-11.pdf#page=4","Abrir facsímil")</f>
        <v>Abrir facsímil</v>
      </c>
      <c r="K7982" s="10" t="s">
        <v>24</v>
      </c>
    </row>
    <row r="7983" spans="1:11" ht="54" customHeight="1">
      <c r="A7983" s="9" t="s">
        <v>16929</v>
      </c>
      <c r="B7983" s="9" t="s">
        <v>16929</v>
      </c>
      <c r="C7983" s="9" t="s">
        <v>17</v>
      </c>
      <c r="D7983" s="9" t="s">
        <v>101</v>
      </c>
      <c r="E7983" s="10" t="s">
        <v>32</v>
      </c>
      <c r="F7983" s="9" t="s">
        <v>33</v>
      </c>
      <c r="G7983" s="10" t="s">
        <v>86</v>
      </c>
      <c r="H7983" s="9" t="s">
        <v>22</v>
      </c>
      <c r="I7983" s="9" t="s">
        <v>17304</v>
      </c>
      <c r="J7983" s="10" t="str">
        <f>HYPERLINK("https://www.boe.es/gazeta/dias/1834/04/23/pdfs/GMD-1834-62.pdf#page=2","Abrir facsímil")</f>
        <v>Abrir facsímil</v>
      </c>
      <c r="K7983" s="10" t="s">
        <v>24</v>
      </c>
    </row>
    <row r="7984" spans="1:11" ht="54" customHeight="1">
      <c r="A7984" s="9" t="s">
        <v>16929</v>
      </c>
      <c r="B7984" s="9" t="s">
        <v>16929</v>
      </c>
      <c r="C7984" s="9" t="s">
        <v>17</v>
      </c>
      <c r="D7984" s="9" t="s">
        <v>18</v>
      </c>
      <c r="E7984" s="10" t="s">
        <v>32</v>
      </c>
      <c r="F7984" s="9" t="s">
        <v>7431</v>
      </c>
      <c r="G7984" s="10" t="s">
        <v>34</v>
      </c>
      <c r="H7984" s="9" t="s">
        <v>22</v>
      </c>
      <c r="I7984" s="9" t="s">
        <v>17305</v>
      </c>
      <c r="J7984" s="10" t="str">
        <f>HYPERLINK("https://www.boe.es/gazeta/dias/1834/04/23/pdfs/GMD-C-1834-62.pdf#page=1","Abrir facsímil")</f>
        <v>Abrir facsímil</v>
      </c>
      <c r="K7984" s="10" t="s">
        <v>24</v>
      </c>
    </row>
    <row r="7985" spans="1:11" ht="54" customHeight="1">
      <c r="A7985" s="9" t="s">
        <v>16929</v>
      </c>
      <c r="B7985" s="9" t="s">
        <v>16929</v>
      </c>
      <c r="C7985" s="9" t="s">
        <v>17</v>
      </c>
      <c r="D7985" s="9" t="s">
        <v>18</v>
      </c>
      <c r="E7985" s="10" t="s">
        <v>5885</v>
      </c>
      <c r="F7985" s="9" t="s">
        <v>5886</v>
      </c>
      <c r="G7985" s="10" t="s">
        <v>21</v>
      </c>
      <c r="H7985" s="9" t="s">
        <v>22</v>
      </c>
      <c r="I7985" s="9" t="s">
        <v>17306</v>
      </c>
      <c r="J7985" s="10" t="str">
        <f>HYPERLINK("https://www.boe.es/gazeta/dias/1834/05/23/pdfs/GMD-1834-92.pdf#page=3","Abrir facsímil")</f>
        <v>Abrir facsímil</v>
      </c>
      <c r="K7985" s="10" t="s">
        <v>24</v>
      </c>
    </row>
    <row r="7986" spans="1:11" ht="54" customHeight="1">
      <c r="A7986" s="9" t="s">
        <v>16929</v>
      </c>
      <c r="B7986" s="9" t="s">
        <v>16929</v>
      </c>
      <c r="C7986" s="9" t="s">
        <v>17</v>
      </c>
      <c r="D7986" s="9" t="s">
        <v>18</v>
      </c>
      <c r="E7986" s="10" t="s">
        <v>606</v>
      </c>
      <c r="F7986" s="9" t="s">
        <v>607</v>
      </c>
      <c r="G7986" s="10" t="s">
        <v>21</v>
      </c>
      <c r="H7986" s="9" t="s">
        <v>22</v>
      </c>
      <c r="I7986" s="9" t="s">
        <v>17307</v>
      </c>
      <c r="J7986" s="10" t="str">
        <f>HYPERLINK("https://www.boe.es/gazeta/dias/1834/06/23/pdfs/GMD-1834-126.pdf#page=3","Abrir facsímil")</f>
        <v>Abrir facsímil</v>
      </c>
      <c r="K7986" s="10" t="s">
        <v>24</v>
      </c>
    </row>
    <row r="7987" spans="1:11" ht="54" customHeight="1">
      <c r="A7987" s="9" t="s">
        <v>16929</v>
      </c>
      <c r="B7987" s="9" t="s">
        <v>16929</v>
      </c>
      <c r="C7987" s="9" t="s">
        <v>46</v>
      </c>
      <c r="D7987" s="9" t="s">
        <v>101</v>
      </c>
      <c r="E7987" s="10" t="s">
        <v>823</v>
      </c>
      <c r="F7987" s="9" t="s">
        <v>824</v>
      </c>
      <c r="G7987" s="10" t="s">
        <v>34</v>
      </c>
      <c r="H7987" s="9" t="s">
        <v>22</v>
      </c>
      <c r="I7987" s="9" t="s">
        <v>17308</v>
      </c>
      <c r="J7987" s="10" t="str">
        <f>HYPERLINK("https://www.boe.es/gazeta/dias/1834/07/23/pdfs/GMD-1834-156.pdf#page=1","Abrir facsímil")</f>
        <v>Abrir facsímil</v>
      </c>
      <c r="K7987" s="10" t="s">
        <v>24</v>
      </c>
    </row>
    <row r="7988" spans="1:11" ht="54" customHeight="1">
      <c r="A7988" s="9" t="s">
        <v>16929</v>
      </c>
      <c r="B7988" s="9" t="s">
        <v>16929</v>
      </c>
      <c r="C7988" s="9" t="s">
        <v>122</v>
      </c>
      <c r="D7988" s="9" t="s">
        <v>18</v>
      </c>
      <c r="E7988" s="10" t="s">
        <v>823</v>
      </c>
      <c r="F7988" s="9" t="s">
        <v>824</v>
      </c>
      <c r="G7988" s="10" t="s">
        <v>176</v>
      </c>
      <c r="H7988" s="9" t="s">
        <v>22</v>
      </c>
      <c r="I7988" s="9" t="s">
        <v>17309</v>
      </c>
      <c r="J7988" s="10" t="str">
        <f>HYPERLINK("https://www.boe.es/gazeta/dias/1834/07/23/pdfs/GMD-1834-156.pdf#page=6","Abrir facsímil")</f>
        <v>Abrir facsímil</v>
      </c>
      <c r="K7988" s="10" t="s">
        <v>24</v>
      </c>
    </row>
    <row r="7989" spans="1:11" ht="54" customHeight="1">
      <c r="A7989" s="9" t="s">
        <v>16929</v>
      </c>
      <c r="B7989" s="9" t="s">
        <v>16929</v>
      </c>
      <c r="C7989" s="9" t="s">
        <v>46</v>
      </c>
      <c r="D7989" s="9" t="s">
        <v>18</v>
      </c>
      <c r="E7989" s="10" t="s">
        <v>247</v>
      </c>
      <c r="F7989" s="9" t="s">
        <v>2805</v>
      </c>
      <c r="G7989" s="10" t="s">
        <v>34</v>
      </c>
      <c r="H7989" s="9" t="s">
        <v>22</v>
      </c>
      <c r="I7989" s="9" t="s">
        <v>17310</v>
      </c>
      <c r="J7989" s="10" t="str">
        <f>HYPERLINK("https://www.boe.es/gazeta/dias/1834/08/23/pdfs/GMD-1834-189.pdf#page=1","Abrir facsímil")</f>
        <v>Abrir facsímil</v>
      </c>
      <c r="K7989" s="10" t="s">
        <v>24</v>
      </c>
    </row>
    <row r="7990" spans="1:11" ht="54" customHeight="1">
      <c r="A7990" s="9" t="s">
        <v>16929</v>
      </c>
      <c r="B7990" s="9" t="s">
        <v>16929</v>
      </c>
      <c r="C7990" s="9" t="s">
        <v>66</v>
      </c>
      <c r="D7990" s="9" t="s">
        <v>67</v>
      </c>
      <c r="E7990" s="10" t="s">
        <v>576</v>
      </c>
      <c r="F7990" s="9" t="s">
        <v>577</v>
      </c>
      <c r="G7990" s="10" t="s">
        <v>86</v>
      </c>
      <c r="H7990" s="9" t="s">
        <v>22</v>
      </c>
      <c r="I7990" s="9" t="s">
        <v>17311</v>
      </c>
      <c r="J7990" s="10" t="str">
        <f>HYPERLINK("https://www.boe.es/gazeta/dias/1834/09/23/pdfs/GMD-1834-221.pdf#page=2","Abrir facsímil")</f>
        <v>Abrir facsímil</v>
      </c>
      <c r="K7990" s="10" t="s">
        <v>24</v>
      </c>
    </row>
    <row r="7991" spans="1:11" ht="54" customHeight="1">
      <c r="A7991" s="9" t="s">
        <v>16929</v>
      </c>
      <c r="B7991" s="9" t="s">
        <v>16929</v>
      </c>
      <c r="C7991" s="9" t="s">
        <v>17</v>
      </c>
      <c r="D7991" s="9" t="s">
        <v>18</v>
      </c>
      <c r="E7991" s="10" t="s">
        <v>576</v>
      </c>
      <c r="F7991" s="9" t="s">
        <v>5888</v>
      </c>
      <c r="G7991" s="10" t="s">
        <v>75</v>
      </c>
      <c r="H7991" s="9" t="s">
        <v>22</v>
      </c>
      <c r="I7991" s="9" t="s">
        <v>17312</v>
      </c>
      <c r="J7991" s="10" t="str">
        <f>HYPERLINK("https://www.boe.es/gazeta/dias/1834/09/23/pdfs/GMD-C-1834-221.pdf#page=4","Abrir facsímil")</f>
        <v>Abrir facsímil</v>
      </c>
      <c r="K7991" s="10" t="s">
        <v>24</v>
      </c>
    </row>
    <row r="7992" spans="1:11" ht="54" customHeight="1">
      <c r="A7992" s="9" t="s">
        <v>16929</v>
      </c>
      <c r="B7992" s="9" t="s">
        <v>16929</v>
      </c>
      <c r="C7992" s="9" t="s">
        <v>66</v>
      </c>
      <c r="D7992" s="9" t="s">
        <v>67</v>
      </c>
      <c r="E7992" s="10" t="s">
        <v>833</v>
      </c>
      <c r="F7992" s="9" t="s">
        <v>834</v>
      </c>
      <c r="G7992" s="10" t="s">
        <v>34</v>
      </c>
      <c r="H7992" s="9" t="s">
        <v>22</v>
      </c>
      <c r="I7992" s="9" t="s">
        <v>17313</v>
      </c>
      <c r="J7992" s="10" t="str">
        <f>HYPERLINK("https://www.boe.es/gazeta/dias/1834/04/24/pdfs/GMD-1834-63.pdf#page=1","Abrir facsímil")</f>
        <v>Abrir facsímil</v>
      </c>
      <c r="K7992" s="10" t="s">
        <v>24</v>
      </c>
    </row>
    <row r="7993" spans="1:11" ht="54" customHeight="1">
      <c r="A7993" s="9" t="s">
        <v>16929</v>
      </c>
      <c r="B7993" s="9" t="s">
        <v>16929</v>
      </c>
      <c r="C7993" s="9" t="s">
        <v>46</v>
      </c>
      <c r="D7993" s="9" t="s">
        <v>101</v>
      </c>
      <c r="E7993" s="10" t="s">
        <v>1212</v>
      </c>
      <c r="F7993" s="9" t="s">
        <v>1213</v>
      </c>
      <c r="G7993" s="10" t="s">
        <v>34</v>
      </c>
      <c r="H7993" s="9" t="s">
        <v>22</v>
      </c>
      <c r="I7993" s="9" t="s">
        <v>17314</v>
      </c>
      <c r="J7993" s="10" t="str">
        <f>HYPERLINK("https://www.boe.es/gazeta/dias/1834/05/24/pdfs/GMD-1834-93.pdf#page=1","Abrir facsímil")</f>
        <v>Abrir facsímil</v>
      </c>
      <c r="K7993" s="10" t="s">
        <v>24</v>
      </c>
    </row>
    <row r="7994" spans="1:11" ht="54" customHeight="1">
      <c r="A7994" s="9" t="s">
        <v>16929</v>
      </c>
      <c r="B7994" s="9" t="s">
        <v>16929</v>
      </c>
      <c r="C7994" s="9" t="s">
        <v>17</v>
      </c>
      <c r="D7994" s="9" t="s">
        <v>18</v>
      </c>
      <c r="E7994" s="10" t="s">
        <v>1212</v>
      </c>
      <c r="F7994" s="9" t="s">
        <v>1213</v>
      </c>
      <c r="G7994" s="10" t="s">
        <v>86</v>
      </c>
      <c r="H7994" s="9" t="s">
        <v>22</v>
      </c>
      <c r="I7994" s="9" t="s">
        <v>17315</v>
      </c>
      <c r="J7994" s="10" t="str">
        <f>HYPERLINK("https://www.boe.es/gazeta/dias/1834/05/24/pdfs/GMD-1834-93.pdf#page=2","Abrir facsímil")</f>
        <v>Abrir facsímil</v>
      </c>
      <c r="K7994" s="10" t="s">
        <v>24</v>
      </c>
    </row>
    <row r="7995" spans="1:11" ht="54" customHeight="1">
      <c r="A7995" s="9" t="s">
        <v>16929</v>
      </c>
      <c r="B7995" s="9" t="s">
        <v>16929</v>
      </c>
      <c r="C7995" s="9" t="s">
        <v>46</v>
      </c>
      <c r="D7995" s="9" t="s">
        <v>101</v>
      </c>
      <c r="E7995" s="10" t="s">
        <v>919</v>
      </c>
      <c r="F7995" s="9" t="s">
        <v>920</v>
      </c>
      <c r="G7995" s="10" t="s">
        <v>34</v>
      </c>
      <c r="H7995" s="9" t="s">
        <v>22</v>
      </c>
      <c r="I7995" s="9" t="s">
        <v>17316</v>
      </c>
      <c r="J7995" s="10" t="str">
        <f>HYPERLINK("https://www.boe.es/gazeta/dias/1834/06/24/pdfs/GMD-1834-127.pdf#page=1","Abrir facsímil")</f>
        <v>Abrir facsímil</v>
      </c>
      <c r="K7995" s="10" t="s">
        <v>24</v>
      </c>
    </row>
    <row r="7996" spans="1:11" ht="54" customHeight="1">
      <c r="A7996" s="9" t="s">
        <v>16929</v>
      </c>
      <c r="B7996" s="9" t="s">
        <v>16929</v>
      </c>
      <c r="C7996" s="9" t="s">
        <v>17</v>
      </c>
      <c r="D7996" s="9" t="s">
        <v>55</v>
      </c>
      <c r="E7996" s="10" t="s">
        <v>919</v>
      </c>
      <c r="F7996" s="9" t="s">
        <v>920</v>
      </c>
      <c r="G7996" s="10" t="s">
        <v>86</v>
      </c>
      <c r="H7996" s="9" t="s">
        <v>22</v>
      </c>
      <c r="I7996" s="9" t="s">
        <v>17317</v>
      </c>
      <c r="J7996" s="10" t="str">
        <f>HYPERLINK("https://www.boe.es/gazeta/dias/1834/06/24/pdfs/GMD-1834-127.pdf#page=2","Abrir facsímil")</f>
        <v>Abrir facsímil</v>
      </c>
      <c r="K7996" s="10" t="s">
        <v>24</v>
      </c>
    </row>
    <row r="7997" spans="1:11" ht="54" customHeight="1">
      <c r="A7997" s="9" t="s">
        <v>16929</v>
      </c>
      <c r="B7997" s="9" t="s">
        <v>16929</v>
      </c>
      <c r="C7997" s="9" t="s">
        <v>17</v>
      </c>
      <c r="D7997" s="9" t="s">
        <v>18</v>
      </c>
      <c r="E7997" s="10" t="s">
        <v>2107</v>
      </c>
      <c r="F7997" s="9" t="s">
        <v>2108</v>
      </c>
      <c r="G7997" s="10" t="s">
        <v>75</v>
      </c>
      <c r="H7997" s="9" t="s">
        <v>22</v>
      </c>
      <c r="I7997" s="9" t="s">
        <v>17318</v>
      </c>
      <c r="J7997" s="10" t="str">
        <f>HYPERLINK("https://www.boe.es/gazeta/dias/1834/08/24/pdfs/GMD-1834-190.pdf#page=4","Abrir facsímil")</f>
        <v>Abrir facsímil</v>
      </c>
      <c r="K7997" s="10" t="s">
        <v>24</v>
      </c>
    </row>
    <row r="7998" spans="1:11" ht="54" customHeight="1">
      <c r="A7998" s="9" t="s">
        <v>16929</v>
      </c>
      <c r="B7998" s="9" t="s">
        <v>16929</v>
      </c>
      <c r="C7998" s="9" t="s">
        <v>17</v>
      </c>
      <c r="D7998" s="9" t="s">
        <v>101</v>
      </c>
      <c r="E7998" s="10" t="s">
        <v>378</v>
      </c>
      <c r="F7998" s="9" t="s">
        <v>379</v>
      </c>
      <c r="G7998" s="10" t="s">
        <v>34</v>
      </c>
      <c r="H7998" s="9" t="s">
        <v>22</v>
      </c>
      <c r="I7998" s="9" t="s">
        <v>17319</v>
      </c>
      <c r="J7998" s="10" t="str">
        <f>HYPERLINK("https://www.boe.es/gazeta/dias/1834/09/24/pdfs/GMD-1834-222.pdf#page=1","Abrir facsímil")</f>
        <v>Abrir facsímil</v>
      </c>
      <c r="K7998" s="10" t="s">
        <v>24</v>
      </c>
    </row>
    <row r="7999" spans="1:11" ht="54" customHeight="1">
      <c r="A7999" s="9" t="s">
        <v>16929</v>
      </c>
      <c r="B7999" s="9" t="s">
        <v>16929</v>
      </c>
      <c r="C7999" s="9" t="s">
        <v>17</v>
      </c>
      <c r="D7999" s="9" t="s">
        <v>18</v>
      </c>
      <c r="E7999" s="10" t="s">
        <v>378</v>
      </c>
      <c r="F7999" s="9" t="s">
        <v>379</v>
      </c>
      <c r="G7999" s="10" t="s">
        <v>21</v>
      </c>
      <c r="H7999" s="9" t="s">
        <v>22</v>
      </c>
      <c r="I7999" s="9" t="s">
        <v>17320</v>
      </c>
      <c r="J7999" s="10" t="str">
        <f>HYPERLINK("https://www.boe.es/gazeta/dias/1834/09/24/pdfs/GMD-1834-222.pdf#page=3","Abrir facsímil")</f>
        <v>Abrir facsímil</v>
      </c>
      <c r="K7999" s="10" t="s">
        <v>24</v>
      </c>
    </row>
    <row r="8000" spans="1:11" ht="54" customHeight="1">
      <c r="A8000" s="9" t="s">
        <v>16929</v>
      </c>
      <c r="B8000" s="9" t="s">
        <v>16929</v>
      </c>
      <c r="C8000" s="9" t="s">
        <v>90</v>
      </c>
      <c r="D8000" s="9" t="s">
        <v>18</v>
      </c>
      <c r="E8000" s="10" t="s">
        <v>128</v>
      </c>
      <c r="F8000" s="9" t="s">
        <v>129</v>
      </c>
      <c r="G8000" s="10" t="s">
        <v>34</v>
      </c>
      <c r="H8000" s="9" t="s">
        <v>22</v>
      </c>
      <c r="I8000" s="9" t="s">
        <v>17321</v>
      </c>
      <c r="J8000" s="10" t="str">
        <f>HYPERLINK("https://www.boe.es/gazeta/dias/1834/12/24/pdfs/GMD-C-1834-314.pdf#page=1","Abrir facsímil")</f>
        <v>Abrir facsímil</v>
      </c>
      <c r="K8000" s="10" t="s">
        <v>24</v>
      </c>
    </row>
    <row r="8001" spans="1:11" ht="54" customHeight="1">
      <c r="A8001" s="9" t="s">
        <v>16929</v>
      </c>
      <c r="B8001" s="9" t="s">
        <v>16929</v>
      </c>
      <c r="C8001" s="9" t="s">
        <v>66</v>
      </c>
      <c r="D8001" s="9" t="s">
        <v>67</v>
      </c>
      <c r="E8001" s="10" t="s">
        <v>128</v>
      </c>
      <c r="F8001" s="9" t="s">
        <v>129</v>
      </c>
      <c r="G8001" s="10" t="s">
        <v>75</v>
      </c>
      <c r="H8001" s="9" t="s">
        <v>22</v>
      </c>
      <c r="I8001" s="9" t="s">
        <v>17322</v>
      </c>
      <c r="J8001" s="10" t="str">
        <f>HYPERLINK("https://www.boe.es/gazeta/dias/1834/12/24/pdfs/GMD-C-1834-314.pdf#page=4","Abrir facsímil")</f>
        <v>Abrir facsímil</v>
      </c>
      <c r="K8001" s="10" t="s">
        <v>24</v>
      </c>
    </row>
    <row r="8002" spans="1:11" ht="54" customHeight="1">
      <c r="A8002" s="9" t="s">
        <v>16929</v>
      </c>
      <c r="B8002" s="9" t="s">
        <v>16929</v>
      </c>
      <c r="C8002" s="9" t="s">
        <v>17</v>
      </c>
      <c r="D8002" s="9" t="s">
        <v>18</v>
      </c>
      <c r="E8002" s="10" t="s">
        <v>2302</v>
      </c>
      <c r="F8002" s="9" t="s">
        <v>2303</v>
      </c>
      <c r="G8002" s="10" t="s">
        <v>21</v>
      </c>
      <c r="H8002" s="9" t="s">
        <v>22</v>
      </c>
      <c r="I8002" s="9" t="s">
        <v>17323</v>
      </c>
      <c r="J8002" s="10" t="str">
        <f>HYPERLINK("https://www.boe.es/gazeta/dias/1834/01/25/pdfs/GMD-1834-12.pdf#page=3","Abrir facsímil")</f>
        <v>Abrir facsímil</v>
      </c>
      <c r="K8002" s="10" t="s">
        <v>24</v>
      </c>
    </row>
    <row r="8003" spans="1:11" ht="54" customHeight="1">
      <c r="A8003" s="9" t="s">
        <v>16929</v>
      </c>
      <c r="B8003" s="9" t="s">
        <v>16929</v>
      </c>
      <c r="C8003" s="9" t="s">
        <v>17</v>
      </c>
      <c r="D8003" s="9" t="s">
        <v>18</v>
      </c>
      <c r="E8003" s="10" t="s">
        <v>2302</v>
      </c>
      <c r="F8003" s="9" t="s">
        <v>2303</v>
      </c>
      <c r="G8003" s="10" t="s">
        <v>75</v>
      </c>
      <c r="H8003" s="9" t="s">
        <v>22</v>
      </c>
      <c r="I8003" s="9" t="s">
        <v>17324</v>
      </c>
      <c r="J8003" s="10" t="str">
        <f>HYPERLINK("https://www.boe.es/gazeta/dias/1834/01/25/pdfs/GMD-1834-12.pdf#page=4","Abrir facsímil")</f>
        <v>Abrir facsímil</v>
      </c>
      <c r="K8003" s="10" t="s">
        <v>24</v>
      </c>
    </row>
    <row r="8004" spans="1:11" ht="54" customHeight="1">
      <c r="A8004" s="9" t="s">
        <v>16929</v>
      </c>
      <c r="B8004" s="9" t="s">
        <v>16929</v>
      </c>
      <c r="C8004" s="9" t="s">
        <v>17</v>
      </c>
      <c r="D8004" s="9" t="s">
        <v>101</v>
      </c>
      <c r="E8004" s="10" t="s">
        <v>1922</v>
      </c>
      <c r="F8004" s="9" t="s">
        <v>1923</v>
      </c>
      <c r="G8004" s="10" t="s">
        <v>34</v>
      </c>
      <c r="H8004" s="9" t="s">
        <v>22</v>
      </c>
      <c r="I8004" s="9" t="s">
        <v>17325</v>
      </c>
      <c r="J8004" s="10" t="str">
        <f>HYPERLINK("https://www.boe.es/gazeta/dias/1834/02/25/pdfs/GMD-1834-25.pdf#page=1","Abrir facsímil")</f>
        <v>Abrir facsímil</v>
      </c>
      <c r="K8004" s="10" t="s">
        <v>24</v>
      </c>
    </row>
    <row r="8005" spans="1:11" ht="54" customHeight="1">
      <c r="A8005" s="9" t="s">
        <v>16929</v>
      </c>
      <c r="B8005" s="9" t="s">
        <v>16929</v>
      </c>
      <c r="C8005" s="9" t="s">
        <v>90</v>
      </c>
      <c r="D8005" s="9" t="s">
        <v>101</v>
      </c>
      <c r="E8005" s="10" t="s">
        <v>739</v>
      </c>
      <c r="F8005" s="9" t="s">
        <v>740</v>
      </c>
      <c r="G8005" s="10" t="s">
        <v>34</v>
      </c>
      <c r="H8005" s="9" t="s">
        <v>22</v>
      </c>
      <c r="I8005" s="9" t="s">
        <v>17326</v>
      </c>
      <c r="J8005" s="10" t="str">
        <f>HYPERLINK("https://www.boe.es/gazeta/dias/1834/03/25/pdfs/GMD-1834-37.pdf#page=1","Abrir facsímil")</f>
        <v>Abrir facsímil</v>
      </c>
      <c r="K8005" s="10" t="s">
        <v>24</v>
      </c>
    </row>
    <row r="8006" spans="1:11" ht="54" customHeight="1">
      <c r="A8006" s="9" t="s">
        <v>16929</v>
      </c>
      <c r="B8006" s="9" t="s">
        <v>16929</v>
      </c>
      <c r="C8006" s="9" t="s">
        <v>122</v>
      </c>
      <c r="D8006" s="9" t="s">
        <v>18</v>
      </c>
      <c r="E8006" s="10" t="s">
        <v>739</v>
      </c>
      <c r="F8006" s="9" t="s">
        <v>740</v>
      </c>
      <c r="G8006" s="10" t="s">
        <v>75</v>
      </c>
      <c r="H8006" s="9" t="s">
        <v>22</v>
      </c>
      <c r="I8006" s="9" t="s">
        <v>17327</v>
      </c>
      <c r="J8006" s="10" t="str">
        <f>HYPERLINK("https://www.boe.es/gazeta/dias/1834/03/25/pdfs/GMD-1834-37.pdf#page=4","Abrir facsímil")</f>
        <v>Abrir facsímil</v>
      </c>
      <c r="K8006" s="10" t="s">
        <v>24</v>
      </c>
    </row>
    <row r="8007" spans="1:11" ht="54" customHeight="1">
      <c r="A8007" s="9" t="s">
        <v>16929</v>
      </c>
      <c r="B8007" s="9" t="s">
        <v>16929</v>
      </c>
      <c r="C8007" s="9" t="s">
        <v>17</v>
      </c>
      <c r="D8007" s="9" t="s">
        <v>18</v>
      </c>
      <c r="E8007" s="10" t="s">
        <v>739</v>
      </c>
      <c r="F8007" s="9" t="s">
        <v>17328</v>
      </c>
      <c r="G8007" s="10" t="s">
        <v>34</v>
      </c>
      <c r="H8007" s="9" t="s">
        <v>22</v>
      </c>
      <c r="I8007" s="9" t="s">
        <v>17329</v>
      </c>
      <c r="J8007" s="10" t="str">
        <f>HYPERLINK("https://www.boe.es/gazeta/dias/1834/03/25/pdfs/GMD-C-1834-37.pdf#page=1","Abrir facsímil")</f>
        <v>Abrir facsímil</v>
      </c>
      <c r="K8007" s="10" t="s">
        <v>24</v>
      </c>
    </row>
    <row r="8008" spans="1:11" ht="54" customHeight="1">
      <c r="A8008" s="9" t="s">
        <v>16929</v>
      </c>
      <c r="B8008" s="9" t="s">
        <v>16929</v>
      </c>
      <c r="C8008" s="9" t="s">
        <v>17</v>
      </c>
      <c r="D8008" s="9" t="s">
        <v>18</v>
      </c>
      <c r="E8008" s="10" t="s">
        <v>724</v>
      </c>
      <c r="F8008" s="9" t="s">
        <v>725</v>
      </c>
      <c r="G8008" s="10" t="s">
        <v>34</v>
      </c>
      <c r="H8008" s="9" t="s">
        <v>22</v>
      </c>
      <c r="I8008" s="9" t="s">
        <v>17330</v>
      </c>
      <c r="J8008" s="10" t="str">
        <f>HYPERLINK("https://www.boe.es/gazeta/dias/1834/04/25/pdfs/GMD-1834-64.pdf#page=1","Abrir facsímil")</f>
        <v>Abrir facsímil</v>
      </c>
      <c r="K8008" s="10" t="s">
        <v>24</v>
      </c>
    </row>
    <row r="8009" spans="1:11" ht="54" customHeight="1">
      <c r="A8009" s="9" t="s">
        <v>16929</v>
      </c>
      <c r="B8009" s="9" t="s">
        <v>16929</v>
      </c>
      <c r="C8009" s="9" t="s">
        <v>17</v>
      </c>
      <c r="D8009" s="9" t="s">
        <v>18</v>
      </c>
      <c r="E8009" s="10" t="s">
        <v>724</v>
      </c>
      <c r="F8009" s="9" t="s">
        <v>725</v>
      </c>
      <c r="G8009" s="10" t="s">
        <v>75</v>
      </c>
      <c r="H8009" s="9" t="s">
        <v>22</v>
      </c>
      <c r="I8009" s="9" t="s">
        <v>17331</v>
      </c>
      <c r="J8009" s="10" t="str">
        <f>HYPERLINK("https://www.boe.es/gazeta/dias/1834/04/25/pdfs/GMD-1834-64.pdf#page=4","Abrir facsímil")</f>
        <v>Abrir facsímil</v>
      </c>
      <c r="K8009" s="10" t="s">
        <v>24</v>
      </c>
    </row>
    <row r="8010" spans="1:11" ht="54" customHeight="1">
      <c r="A8010" s="9" t="s">
        <v>16929</v>
      </c>
      <c r="B8010" s="9" t="s">
        <v>16929</v>
      </c>
      <c r="C8010" s="9" t="s">
        <v>17</v>
      </c>
      <c r="D8010" s="9" t="s">
        <v>40</v>
      </c>
      <c r="E8010" s="10" t="s">
        <v>724</v>
      </c>
      <c r="F8010" s="9" t="s">
        <v>725</v>
      </c>
      <c r="G8010" s="10" t="s">
        <v>176</v>
      </c>
      <c r="H8010" s="9" t="s">
        <v>22</v>
      </c>
      <c r="I8010" s="9" t="s">
        <v>17332</v>
      </c>
      <c r="J8010" s="10" t="str">
        <f>HYPERLINK("https://www.boe.es/gazeta/dias/1834/04/25/pdfs/GMD-1834-64.pdf#page=6","Abrir facsímil")</f>
        <v>Abrir facsímil</v>
      </c>
      <c r="K8010" s="10" t="s">
        <v>24</v>
      </c>
    </row>
    <row r="8011" spans="1:11" ht="54" customHeight="1">
      <c r="A8011" s="9" t="s">
        <v>16929</v>
      </c>
      <c r="B8011" s="9" t="s">
        <v>16929</v>
      </c>
      <c r="C8011" s="9" t="s">
        <v>90</v>
      </c>
      <c r="D8011" s="9" t="s">
        <v>101</v>
      </c>
      <c r="E8011" s="10" t="s">
        <v>3025</v>
      </c>
      <c r="F8011" s="9" t="s">
        <v>3026</v>
      </c>
      <c r="G8011" s="10" t="s">
        <v>21</v>
      </c>
      <c r="H8011" s="9" t="s">
        <v>22</v>
      </c>
      <c r="I8011" s="9" t="s">
        <v>17333</v>
      </c>
      <c r="J8011" s="10" t="str">
        <f>HYPERLINK("https://www.boe.es/gazeta/dias/1834/05/25/pdfs/GMD-1834-94.pdf#page=3","Abrir facsímil")</f>
        <v>Abrir facsímil</v>
      </c>
      <c r="K8011" s="10" t="s">
        <v>24</v>
      </c>
    </row>
    <row r="8012" spans="1:11" ht="54" customHeight="1">
      <c r="A8012" s="9" t="s">
        <v>16929</v>
      </c>
      <c r="B8012" s="9" t="s">
        <v>16929</v>
      </c>
      <c r="C8012" s="9" t="s">
        <v>17</v>
      </c>
      <c r="D8012" s="9" t="s">
        <v>18</v>
      </c>
      <c r="E8012" s="10" t="s">
        <v>3025</v>
      </c>
      <c r="F8012" s="9" t="s">
        <v>3026</v>
      </c>
      <c r="G8012" s="10" t="s">
        <v>28</v>
      </c>
      <c r="H8012" s="9" t="s">
        <v>22</v>
      </c>
      <c r="I8012" s="9" t="s">
        <v>17334</v>
      </c>
      <c r="J8012" s="10" t="str">
        <f>HYPERLINK("https://www.boe.es/gazeta/dias/1834/05/25/pdfs/GMD-1834-94.pdf#page=5","Abrir facsímil")</f>
        <v>Abrir facsímil</v>
      </c>
      <c r="K8012" s="10" t="s">
        <v>24</v>
      </c>
    </row>
    <row r="8013" spans="1:11" ht="54" customHeight="1">
      <c r="A8013" s="9" t="s">
        <v>16929</v>
      </c>
      <c r="B8013" s="9" t="s">
        <v>16929</v>
      </c>
      <c r="C8013" s="9" t="s">
        <v>17</v>
      </c>
      <c r="D8013" s="9" t="s">
        <v>55</v>
      </c>
      <c r="E8013" s="10" t="s">
        <v>3025</v>
      </c>
      <c r="F8013" s="9" t="s">
        <v>3026</v>
      </c>
      <c r="G8013" s="10" t="s">
        <v>176</v>
      </c>
      <c r="H8013" s="9" t="s">
        <v>22</v>
      </c>
      <c r="I8013" s="9" t="s">
        <v>17335</v>
      </c>
      <c r="J8013" s="10" t="str">
        <f>HYPERLINK("https://www.boe.es/gazeta/dias/1834/05/25/pdfs/GMD-1834-94.pdf#page=6","Abrir facsímil")</f>
        <v>Abrir facsímil</v>
      </c>
      <c r="K8013" s="10" t="s">
        <v>24</v>
      </c>
    </row>
    <row r="8014" spans="1:11" ht="54" customHeight="1">
      <c r="A8014" s="9" t="s">
        <v>16929</v>
      </c>
      <c r="B8014" s="9" t="s">
        <v>16929</v>
      </c>
      <c r="C8014" s="9" t="s">
        <v>17</v>
      </c>
      <c r="D8014" s="9" t="s">
        <v>101</v>
      </c>
      <c r="E8014" s="10" t="s">
        <v>2937</v>
      </c>
      <c r="F8014" s="9" t="s">
        <v>2938</v>
      </c>
      <c r="G8014" s="10" t="s">
        <v>34</v>
      </c>
      <c r="H8014" s="9" t="s">
        <v>22</v>
      </c>
      <c r="I8014" s="9" t="s">
        <v>17336</v>
      </c>
      <c r="J8014" s="10" t="str">
        <f>HYPERLINK("https://www.boe.es/gazeta/dias/1834/06/25/pdfs/GMD-1834-128.pdf#page=1","Abrir facsímil")</f>
        <v>Abrir facsímil</v>
      </c>
      <c r="K8014" s="10" t="s">
        <v>24</v>
      </c>
    </row>
    <row r="8015" spans="1:11" ht="54" customHeight="1">
      <c r="A8015" s="9" t="s">
        <v>16929</v>
      </c>
      <c r="B8015" s="9" t="s">
        <v>16929</v>
      </c>
      <c r="C8015" s="9" t="s">
        <v>46</v>
      </c>
      <c r="D8015" s="9" t="s">
        <v>55</v>
      </c>
      <c r="E8015" s="10" t="s">
        <v>1674</v>
      </c>
      <c r="F8015" s="9" t="s">
        <v>3233</v>
      </c>
      <c r="G8015" s="10" t="s">
        <v>34</v>
      </c>
      <c r="H8015" s="9" t="s">
        <v>22</v>
      </c>
      <c r="I8015" s="9" t="s">
        <v>17337</v>
      </c>
      <c r="J8015" s="10" t="str">
        <f>HYPERLINK("https://www.boe.es/gazeta/dias/1834/07/25/pdfs/GMD-C-1834-158.pdf#page=1","Abrir facsímil")</f>
        <v>Abrir facsímil</v>
      </c>
      <c r="K8015" s="10" t="s">
        <v>24</v>
      </c>
    </row>
    <row r="8016" spans="1:11" ht="54" customHeight="1">
      <c r="A8016" s="9" t="s">
        <v>16929</v>
      </c>
      <c r="B8016" s="9" t="s">
        <v>16929</v>
      </c>
      <c r="C8016" s="9" t="s">
        <v>66</v>
      </c>
      <c r="D8016" s="9" t="s">
        <v>67</v>
      </c>
      <c r="E8016" s="10" t="s">
        <v>1307</v>
      </c>
      <c r="F8016" s="9" t="s">
        <v>1308</v>
      </c>
      <c r="G8016" s="10" t="s">
        <v>34</v>
      </c>
      <c r="H8016" s="9" t="s">
        <v>22</v>
      </c>
      <c r="I8016" s="9" t="s">
        <v>17338</v>
      </c>
      <c r="J8016" s="10" t="str">
        <f>HYPERLINK("https://www.boe.es/gazeta/dias/1834/08/25/pdfs/GMD-1834-191.pdf#page=1","Abrir facsímil")</f>
        <v>Abrir facsímil</v>
      </c>
      <c r="K8016" s="10" t="s">
        <v>24</v>
      </c>
    </row>
    <row r="8017" spans="1:11" ht="54" customHeight="1">
      <c r="A8017" s="9" t="s">
        <v>16929</v>
      </c>
      <c r="B8017" s="9" t="s">
        <v>16929</v>
      </c>
      <c r="C8017" s="9" t="s">
        <v>17</v>
      </c>
      <c r="D8017" s="9" t="s">
        <v>18</v>
      </c>
      <c r="E8017" s="10" t="s">
        <v>403</v>
      </c>
      <c r="F8017" s="9" t="s">
        <v>404</v>
      </c>
      <c r="G8017" s="10" t="s">
        <v>75</v>
      </c>
      <c r="H8017" s="9" t="s">
        <v>22</v>
      </c>
      <c r="I8017" s="9" t="s">
        <v>17339</v>
      </c>
      <c r="J8017" s="10" t="str">
        <f>HYPERLINK("https://www.boe.es/gazeta/dias/1834/09/25/pdfs/GMD-C-1834-223.pdf#page=4","Abrir facsímil")</f>
        <v>Abrir facsímil</v>
      </c>
      <c r="K8017" s="10" t="s">
        <v>24</v>
      </c>
    </row>
    <row r="8018" spans="1:11" ht="54" customHeight="1">
      <c r="A8018" s="9" t="s">
        <v>16929</v>
      </c>
      <c r="B8018" s="9" t="s">
        <v>16929</v>
      </c>
      <c r="C8018" s="9" t="s">
        <v>46</v>
      </c>
      <c r="D8018" s="9" t="s">
        <v>18</v>
      </c>
      <c r="E8018" s="10" t="s">
        <v>389</v>
      </c>
      <c r="F8018" s="9" t="s">
        <v>390</v>
      </c>
      <c r="G8018" s="10" t="s">
        <v>34</v>
      </c>
      <c r="H8018" s="9" t="s">
        <v>22</v>
      </c>
      <c r="I8018" s="9" t="s">
        <v>17340</v>
      </c>
      <c r="J8018" s="10" t="str">
        <f>HYPERLINK("https://www.boe.es/gazeta/dias/1834/10/25/pdfs/GMD-1834-253.pdf#page=1","Abrir facsímil")</f>
        <v>Abrir facsímil</v>
      </c>
      <c r="K8018" s="10" t="s">
        <v>24</v>
      </c>
    </row>
    <row r="8019" spans="1:11" ht="54" customHeight="1">
      <c r="A8019" s="9" t="s">
        <v>16929</v>
      </c>
      <c r="B8019" s="9" t="s">
        <v>16929</v>
      </c>
      <c r="C8019" s="9" t="s">
        <v>17</v>
      </c>
      <c r="D8019" s="9" t="s">
        <v>18</v>
      </c>
      <c r="E8019" s="10" t="s">
        <v>707</v>
      </c>
      <c r="F8019" s="9" t="s">
        <v>1359</v>
      </c>
      <c r="G8019" s="10" t="s">
        <v>75</v>
      </c>
      <c r="H8019" s="9" t="s">
        <v>22</v>
      </c>
      <c r="I8019" s="9" t="s">
        <v>17341</v>
      </c>
      <c r="J8019" s="10" t="str">
        <f>HYPERLINK("https://www.boe.es/gazeta/dias/1834/11/25/pdfs/GMD-1834-284.pdf#page=4","Abrir facsímil")</f>
        <v>Abrir facsímil</v>
      </c>
      <c r="K8019" s="10" t="s">
        <v>24</v>
      </c>
    </row>
    <row r="8020" spans="1:11" ht="54" customHeight="1">
      <c r="A8020" s="9" t="s">
        <v>16929</v>
      </c>
      <c r="B8020" s="9" t="s">
        <v>16929</v>
      </c>
      <c r="C8020" s="9" t="s">
        <v>17</v>
      </c>
      <c r="D8020" s="9" t="s">
        <v>18</v>
      </c>
      <c r="E8020" s="10" t="s">
        <v>707</v>
      </c>
      <c r="F8020" s="9" t="s">
        <v>708</v>
      </c>
      <c r="G8020" s="10" t="s">
        <v>34</v>
      </c>
      <c r="H8020" s="9" t="s">
        <v>22</v>
      </c>
      <c r="I8020" s="9" t="s">
        <v>17342</v>
      </c>
      <c r="J8020" s="10" t="str">
        <f>HYPERLINK("https://www.boe.es/gazeta/dias/1834/11/25/pdfs/GMD-C-1834-284.pdf#page=1","Abrir facsímil")</f>
        <v>Abrir facsímil</v>
      </c>
      <c r="K8020" s="10" t="s">
        <v>24</v>
      </c>
    </row>
    <row r="8021" spans="1:11" ht="54" customHeight="1">
      <c r="A8021" s="9" t="s">
        <v>16929</v>
      </c>
      <c r="B8021" s="9" t="s">
        <v>16929</v>
      </c>
      <c r="C8021" s="9" t="s">
        <v>17</v>
      </c>
      <c r="D8021" s="9" t="s">
        <v>18</v>
      </c>
      <c r="E8021" s="10" t="s">
        <v>524</v>
      </c>
      <c r="F8021" s="9" t="s">
        <v>525</v>
      </c>
      <c r="G8021" s="10" t="s">
        <v>34</v>
      </c>
      <c r="H8021" s="9" t="s">
        <v>22</v>
      </c>
      <c r="I8021" s="9" t="s">
        <v>17343</v>
      </c>
      <c r="J8021" s="10" t="str">
        <f>HYPERLINK("https://www.boe.es/gazeta/dias/1834/12/25/pdfs/GMD-C-1834-315.pdf#page=1","Abrir facsímil")</f>
        <v>Abrir facsímil</v>
      </c>
      <c r="K8021" s="10" t="s">
        <v>24</v>
      </c>
    </row>
    <row r="8022" spans="1:11" ht="54" customHeight="1">
      <c r="A8022" s="9" t="s">
        <v>16929</v>
      </c>
      <c r="B8022" s="9" t="s">
        <v>16929</v>
      </c>
      <c r="C8022" s="9" t="s">
        <v>66</v>
      </c>
      <c r="D8022" s="9" t="s">
        <v>67</v>
      </c>
      <c r="E8022" s="10" t="s">
        <v>2306</v>
      </c>
      <c r="F8022" s="9" t="s">
        <v>2307</v>
      </c>
      <c r="G8022" s="10" t="s">
        <v>34</v>
      </c>
      <c r="H8022" s="9" t="s">
        <v>22</v>
      </c>
      <c r="I8022" s="9" t="s">
        <v>17344</v>
      </c>
      <c r="J8022" s="10" t="str">
        <f>HYPERLINK("https://www.boe.es/gazeta/dias/1834/04/26/pdfs/GMD-1834-65.pdf#page=1","Abrir facsímil")</f>
        <v>Abrir facsímil</v>
      </c>
      <c r="K8022" s="10" t="s">
        <v>24</v>
      </c>
    </row>
    <row r="8023" spans="1:11" ht="54" customHeight="1">
      <c r="A8023" s="9" t="s">
        <v>16929</v>
      </c>
      <c r="B8023" s="9" t="s">
        <v>16929</v>
      </c>
      <c r="C8023" s="9" t="s">
        <v>17</v>
      </c>
      <c r="D8023" s="9" t="s">
        <v>18</v>
      </c>
      <c r="E8023" s="10" t="s">
        <v>2306</v>
      </c>
      <c r="F8023" s="9" t="s">
        <v>2307</v>
      </c>
      <c r="G8023" s="10" t="s">
        <v>21</v>
      </c>
      <c r="H8023" s="9" t="s">
        <v>22</v>
      </c>
      <c r="I8023" s="9" t="s">
        <v>17345</v>
      </c>
      <c r="J8023" s="10" t="str">
        <f>HYPERLINK("https://www.boe.es/gazeta/dias/1834/04/26/pdfs/GMD-1834-65.pdf#page=3","Abrir facsímil")</f>
        <v>Abrir facsímil</v>
      </c>
      <c r="K8023" s="10" t="s">
        <v>24</v>
      </c>
    </row>
    <row r="8024" spans="1:11" ht="54" customHeight="1">
      <c r="A8024" s="9" t="s">
        <v>16929</v>
      </c>
      <c r="B8024" s="9" t="s">
        <v>16929</v>
      </c>
      <c r="C8024" s="9" t="s">
        <v>122</v>
      </c>
      <c r="D8024" s="9" t="s">
        <v>101</v>
      </c>
      <c r="E8024" s="10" t="s">
        <v>658</v>
      </c>
      <c r="F8024" s="9" t="s">
        <v>659</v>
      </c>
      <c r="G8024" s="10" t="s">
        <v>34</v>
      </c>
      <c r="H8024" s="9" t="s">
        <v>22</v>
      </c>
      <c r="I8024" s="9" t="s">
        <v>17346</v>
      </c>
      <c r="J8024" s="10" t="str">
        <f>HYPERLINK("https://www.boe.es/gazeta/dias/1834/05/26/pdfs/GMD-1834-95.pdf#page=1","Abrir facsímil")</f>
        <v>Abrir facsímil</v>
      </c>
      <c r="K8024" s="10" t="s">
        <v>24</v>
      </c>
    </row>
    <row r="8025" spans="1:11" ht="54" customHeight="1">
      <c r="A8025" s="9" t="s">
        <v>16929</v>
      </c>
      <c r="B8025" s="9" t="s">
        <v>16929</v>
      </c>
      <c r="C8025" s="9" t="s">
        <v>46</v>
      </c>
      <c r="D8025" s="9" t="s">
        <v>101</v>
      </c>
      <c r="E8025" s="10" t="s">
        <v>1002</v>
      </c>
      <c r="F8025" s="9" t="s">
        <v>1003</v>
      </c>
      <c r="G8025" s="10" t="s">
        <v>34</v>
      </c>
      <c r="H8025" s="9" t="s">
        <v>22</v>
      </c>
      <c r="I8025" s="9" t="s">
        <v>17347</v>
      </c>
      <c r="J8025" s="10" t="str">
        <f>HYPERLINK("https://www.boe.es/gazeta/dias/1834/06/26/pdfs/GMD-1834-129.pdf#page=1","Abrir facsímil")</f>
        <v>Abrir facsímil</v>
      </c>
      <c r="K8025" s="10" t="s">
        <v>24</v>
      </c>
    </row>
    <row r="8026" spans="1:11" ht="54" customHeight="1">
      <c r="A8026" s="9" t="s">
        <v>16929</v>
      </c>
      <c r="B8026" s="9" t="s">
        <v>16929</v>
      </c>
      <c r="C8026" s="9" t="s">
        <v>17</v>
      </c>
      <c r="D8026" s="9" t="s">
        <v>18</v>
      </c>
      <c r="E8026" s="10" t="s">
        <v>1135</v>
      </c>
      <c r="F8026" s="9" t="s">
        <v>1136</v>
      </c>
      <c r="G8026" s="10" t="s">
        <v>34</v>
      </c>
      <c r="H8026" s="9" t="s">
        <v>22</v>
      </c>
      <c r="I8026" s="9" t="s">
        <v>17348</v>
      </c>
      <c r="J8026" s="10" t="str">
        <f>HYPERLINK("https://www.boe.es/gazeta/dias/1834/08/26/pdfs/GMD-1834-192.pdf#page=1","Abrir facsímil")</f>
        <v>Abrir facsímil</v>
      </c>
      <c r="K8026" s="10" t="s">
        <v>24</v>
      </c>
    </row>
    <row r="8027" spans="1:11" ht="54" customHeight="1">
      <c r="A8027" s="9" t="s">
        <v>16929</v>
      </c>
      <c r="B8027" s="9" t="s">
        <v>16929</v>
      </c>
      <c r="C8027" s="9" t="s">
        <v>17</v>
      </c>
      <c r="D8027" s="9" t="s">
        <v>18</v>
      </c>
      <c r="E8027" s="10" t="s">
        <v>1135</v>
      </c>
      <c r="F8027" s="9" t="s">
        <v>1136</v>
      </c>
      <c r="G8027" s="10" t="s">
        <v>86</v>
      </c>
      <c r="H8027" s="9" t="s">
        <v>22</v>
      </c>
      <c r="I8027" s="9" t="s">
        <v>17349</v>
      </c>
      <c r="J8027" s="10" t="str">
        <f>HYPERLINK("https://www.boe.es/gazeta/dias/1834/08/26/pdfs/GMD-1834-192.pdf#page=2","Abrir facsímil")</f>
        <v>Abrir facsímil</v>
      </c>
      <c r="K8027" s="10" t="s">
        <v>24</v>
      </c>
    </row>
    <row r="8028" spans="1:11" ht="54" customHeight="1">
      <c r="A8028" s="9" t="s">
        <v>16929</v>
      </c>
      <c r="B8028" s="9" t="s">
        <v>16929</v>
      </c>
      <c r="C8028" s="9" t="s">
        <v>46</v>
      </c>
      <c r="D8028" s="9" t="s">
        <v>55</v>
      </c>
      <c r="E8028" s="10" t="s">
        <v>251</v>
      </c>
      <c r="F8028" s="9" t="s">
        <v>1278</v>
      </c>
      <c r="G8028" s="10" t="s">
        <v>86</v>
      </c>
      <c r="H8028" s="9" t="s">
        <v>22</v>
      </c>
      <c r="I8028" s="9" t="s">
        <v>17350</v>
      </c>
      <c r="J8028" s="10" t="str">
        <f>HYPERLINK("https://www.boe.es/gazeta/dias/1834/09/26/pdfs/GMD-1834-224.pdf#page=2","Abrir facsímil")</f>
        <v>Abrir facsímil</v>
      </c>
      <c r="K8028" s="10" t="s">
        <v>24</v>
      </c>
    </row>
    <row r="8029" spans="1:11" ht="54" customHeight="1">
      <c r="A8029" s="9" t="s">
        <v>16929</v>
      </c>
      <c r="B8029" s="9" t="s">
        <v>16929</v>
      </c>
      <c r="C8029" s="9" t="s">
        <v>17</v>
      </c>
      <c r="D8029" s="9" t="s">
        <v>18</v>
      </c>
      <c r="E8029" s="10" t="s">
        <v>251</v>
      </c>
      <c r="F8029" s="9" t="s">
        <v>1278</v>
      </c>
      <c r="G8029" s="10" t="s">
        <v>75</v>
      </c>
      <c r="H8029" s="9" t="s">
        <v>22</v>
      </c>
      <c r="I8029" s="9" t="s">
        <v>17351</v>
      </c>
      <c r="J8029" s="10" t="str">
        <f>HYPERLINK("https://www.boe.es/gazeta/dias/1834/09/26/pdfs/GMD-1834-224.pdf#page=4","Abrir facsímil")</f>
        <v>Abrir facsímil</v>
      </c>
      <c r="K8029" s="10" t="s">
        <v>24</v>
      </c>
    </row>
    <row r="8030" spans="1:11" ht="54" customHeight="1">
      <c r="A8030" s="9" t="s">
        <v>16929</v>
      </c>
      <c r="B8030" s="9" t="s">
        <v>16929</v>
      </c>
      <c r="C8030" s="9" t="s">
        <v>17</v>
      </c>
      <c r="D8030" s="9" t="s">
        <v>18</v>
      </c>
      <c r="E8030" s="10" t="s">
        <v>1766</v>
      </c>
      <c r="F8030" s="9" t="s">
        <v>5600</v>
      </c>
      <c r="G8030" s="10" t="s">
        <v>21</v>
      </c>
      <c r="H8030" s="9" t="s">
        <v>22</v>
      </c>
      <c r="I8030" s="9" t="s">
        <v>17352</v>
      </c>
      <c r="J8030" s="10" t="str">
        <f>HYPERLINK("https://www.boe.es/gazeta/dias/1834/10/26/pdfs/GMD-1834-254.pdf#page=3","Abrir facsímil")</f>
        <v>Abrir facsímil</v>
      </c>
      <c r="K8030" s="10" t="s">
        <v>24</v>
      </c>
    </row>
    <row r="8031" spans="1:11" ht="54" customHeight="1">
      <c r="A8031" s="9" t="s">
        <v>16929</v>
      </c>
      <c r="B8031" s="9" t="s">
        <v>16929</v>
      </c>
      <c r="C8031" s="9" t="s">
        <v>122</v>
      </c>
      <c r="D8031" s="9" t="s">
        <v>101</v>
      </c>
      <c r="E8031" s="10" t="s">
        <v>1680</v>
      </c>
      <c r="F8031" s="9" t="s">
        <v>1681</v>
      </c>
      <c r="G8031" s="10" t="s">
        <v>34</v>
      </c>
      <c r="H8031" s="9" t="s">
        <v>22</v>
      </c>
      <c r="I8031" s="9" t="s">
        <v>17353</v>
      </c>
      <c r="J8031" s="10" t="str">
        <f>HYPERLINK("https://www.boe.es/gazeta/dias/1834/02/27/pdfs/GMD-1834-26.pdf#page=1","Abrir facsímil")</f>
        <v>Abrir facsímil</v>
      </c>
      <c r="K8031" s="10" t="s">
        <v>24</v>
      </c>
    </row>
    <row r="8032" spans="1:11" ht="54" customHeight="1">
      <c r="A8032" s="9" t="s">
        <v>16929</v>
      </c>
      <c r="B8032" s="9" t="s">
        <v>16929</v>
      </c>
      <c r="C8032" s="9" t="s">
        <v>66</v>
      </c>
      <c r="D8032" s="9" t="s">
        <v>18</v>
      </c>
      <c r="E8032" s="10" t="s">
        <v>174</v>
      </c>
      <c r="F8032" s="9" t="s">
        <v>175</v>
      </c>
      <c r="G8032" s="10" t="s">
        <v>34</v>
      </c>
      <c r="H8032" s="9" t="s">
        <v>22</v>
      </c>
      <c r="I8032" s="9" t="s">
        <v>17354</v>
      </c>
      <c r="J8032" s="10" t="str">
        <f>HYPERLINK("https://www.boe.es/gazeta/dias/1834/03/27/pdfs/GMD-1834-38.pdf#page=1","Abrir facsímil")</f>
        <v>Abrir facsímil</v>
      </c>
      <c r="K8032" s="10" t="s">
        <v>24</v>
      </c>
    </row>
    <row r="8033" spans="1:11" ht="54" customHeight="1">
      <c r="A8033" s="9" t="s">
        <v>16929</v>
      </c>
      <c r="B8033" s="9" t="s">
        <v>16929</v>
      </c>
      <c r="C8033" s="9" t="s">
        <v>17</v>
      </c>
      <c r="D8033" s="9" t="s">
        <v>40</v>
      </c>
      <c r="E8033" s="10" t="s">
        <v>174</v>
      </c>
      <c r="F8033" s="9" t="s">
        <v>175</v>
      </c>
      <c r="G8033" s="10" t="s">
        <v>75</v>
      </c>
      <c r="H8033" s="9" t="s">
        <v>22</v>
      </c>
      <c r="I8033" s="9" t="s">
        <v>17355</v>
      </c>
      <c r="J8033" s="10" t="str">
        <f>HYPERLINK("https://www.boe.es/gazeta/dias/1834/03/27/pdfs/GMD-1834-38.pdf#page=4","Abrir facsímil")</f>
        <v>Abrir facsímil</v>
      </c>
      <c r="K8033" s="10" t="s">
        <v>24</v>
      </c>
    </row>
    <row r="8034" spans="1:11" ht="54" customHeight="1">
      <c r="A8034" s="9" t="s">
        <v>16929</v>
      </c>
      <c r="B8034" s="9" t="s">
        <v>16929</v>
      </c>
      <c r="C8034" s="9" t="s">
        <v>17</v>
      </c>
      <c r="D8034" s="9" t="s">
        <v>55</v>
      </c>
      <c r="E8034" s="10" t="s">
        <v>371</v>
      </c>
      <c r="F8034" s="9" t="s">
        <v>372</v>
      </c>
      <c r="G8034" s="10" t="s">
        <v>21</v>
      </c>
      <c r="H8034" s="9" t="s">
        <v>22</v>
      </c>
      <c r="I8034" s="9" t="s">
        <v>17356</v>
      </c>
      <c r="J8034" s="10" t="str">
        <f>HYPERLINK("https://www.boe.es/gazeta/dias/1834/05/27/pdfs/GMD-1834-96.pdf#page=3","Abrir facsímil")</f>
        <v>Abrir facsímil</v>
      </c>
      <c r="K8034" s="10" t="s">
        <v>24</v>
      </c>
    </row>
    <row r="8035" spans="1:11" ht="54" customHeight="1">
      <c r="A8035" s="9" t="s">
        <v>16929</v>
      </c>
      <c r="B8035" s="9" t="s">
        <v>16929</v>
      </c>
      <c r="C8035" s="9" t="s">
        <v>17</v>
      </c>
      <c r="D8035" s="9" t="s">
        <v>18</v>
      </c>
      <c r="E8035" s="10" t="s">
        <v>1683</v>
      </c>
      <c r="F8035" s="9" t="s">
        <v>1684</v>
      </c>
      <c r="G8035" s="10" t="s">
        <v>75</v>
      </c>
      <c r="H8035" s="9" t="s">
        <v>22</v>
      </c>
      <c r="I8035" s="9" t="s">
        <v>17357</v>
      </c>
      <c r="J8035" s="10" t="str">
        <f>HYPERLINK("https://www.boe.es/gazeta/dias/1834/06/27/pdfs/GMD-1834-130.pdf#page=4","Abrir facsímil")</f>
        <v>Abrir facsímil</v>
      </c>
      <c r="K8035" s="10" t="s">
        <v>24</v>
      </c>
    </row>
    <row r="8036" spans="1:11" ht="54" customHeight="1">
      <c r="A8036" s="9" t="s">
        <v>16929</v>
      </c>
      <c r="B8036" s="9" t="s">
        <v>16929</v>
      </c>
      <c r="C8036" s="9" t="s">
        <v>122</v>
      </c>
      <c r="D8036" s="9" t="s">
        <v>18</v>
      </c>
      <c r="E8036" s="10" t="s">
        <v>1686</v>
      </c>
      <c r="F8036" s="9" t="s">
        <v>1687</v>
      </c>
      <c r="G8036" s="10" t="s">
        <v>34</v>
      </c>
      <c r="H8036" s="9" t="s">
        <v>22</v>
      </c>
      <c r="I8036" s="9" t="s">
        <v>17358</v>
      </c>
      <c r="J8036" s="10" t="str">
        <f>HYPERLINK("https://www.boe.es/gazeta/dias/1834/07/27/pdfs/GMD-1834-160.pdf#page=1","Abrir facsímil")</f>
        <v>Abrir facsímil</v>
      </c>
      <c r="K8036" s="10" t="s">
        <v>24</v>
      </c>
    </row>
    <row r="8037" spans="1:11" ht="54" customHeight="1">
      <c r="A8037" s="9" t="s">
        <v>16929</v>
      </c>
      <c r="B8037" s="9" t="s">
        <v>16929</v>
      </c>
      <c r="C8037" s="9" t="s">
        <v>46</v>
      </c>
      <c r="D8037" s="9" t="s">
        <v>101</v>
      </c>
      <c r="E8037" s="10" t="s">
        <v>462</v>
      </c>
      <c r="F8037" s="9" t="s">
        <v>463</v>
      </c>
      <c r="G8037" s="10" t="s">
        <v>21</v>
      </c>
      <c r="H8037" s="9" t="s">
        <v>22</v>
      </c>
      <c r="I8037" s="9" t="s">
        <v>17359</v>
      </c>
      <c r="J8037" s="10" t="str">
        <f>HYPERLINK("https://www.boe.es/gazeta/dias/1834/08/27/pdfs/GMD-C-1834-193.pdf#page=3","Abrir facsímil")</f>
        <v>Abrir facsímil</v>
      </c>
      <c r="K8037" s="10" t="s">
        <v>24</v>
      </c>
    </row>
    <row r="8038" spans="1:11" ht="54" customHeight="1">
      <c r="A8038" s="9" t="s">
        <v>16929</v>
      </c>
      <c r="B8038" s="9" t="s">
        <v>16929</v>
      </c>
      <c r="C8038" s="9" t="s">
        <v>66</v>
      </c>
      <c r="D8038" s="9" t="s">
        <v>67</v>
      </c>
      <c r="E8038" s="10" t="s">
        <v>294</v>
      </c>
      <c r="F8038" s="9" t="s">
        <v>295</v>
      </c>
      <c r="G8038" s="10" t="s">
        <v>34</v>
      </c>
      <c r="H8038" s="9" t="s">
        <v>22</v>
      </c>
      <c r="I8038" s="9" t="s">
        <v>17360</v>
      </c>
      <c r="J8038" s="10" t="str">
        <f>HYPERLINK("https://www.boe.es/gazeta/dias/1834/09/27/pdfs/GMD-1834-225.pdf#page=1","Abrir facsímil")</f>
        <v>Abrir facsímil</v>
      </c>
      <c r="K8038" s="10" t="s">
        <v>24</v>
      </c>
    </row>
    <row r="8039" spans="1:11" ht="54" customHeight="1">
      <c r="A8039" s="9" t="s">
        <v>16929</v>
      </c>
      <c r="B8039" s="9" t="s">
        <v>16929</v>
      </c>
      <c r="C8039" s="9" t="s">
        <v>17</v>
      </c>
      <c r="D8039" s="9" t="s">
        <v>18</v>
      </c>
      <c r="E8039" s="10" t="s">
        <v>465</v>
      </c>
      <c r="F8039" s="9" t="s">
        <v>466</v>
      </c>
      <c r="G8039" s="10" t="s">
        <v>75</v>
      </c>
      <c r="H8039" s="9" t="s">
        <v>22</v>
      </c>
      <c r="I8039" s="9" t="s">
        <v>17361</v>
      </c>
      <c r="J8039" s="10" t="str">
        <f>HYPERLINK("https://www.boe.es/gazeta/dias/1834/11/27/pdfs/GMD-C-1834-286.pdf#page=4","Abrir facsímil")</f>
        <v>Abrir facsímil</v>
      </c>
      <c r="K8039" s="10" t="s">
        <v>24</v>
      </c>
    </row>
    <row r="8040" spans="1:11" ht="54" customHeight="1">
      <c r="A8040" s="9" t="s">
        <v>16929</v>
      </c>
      <c r="B8040" s="9" t="s">
        <v>16929</v>
      </c>
      <c r="C8040" s="9" t="s">
        <v>17</v>
      </c>
      <c r="D8040" s="9" t="s">
        <v>101</v>
      </c>
      <c r="E8040" s="10" t="s">
        <v>3499</v>
      </c>
      <c r="F8040" s="9" t="s">
        <v>3500</v>
      </c>
      <c r="G8040" s="10" t="s">
        <v>34</v>
      </c>
      <c r="H8040" s="9" t="s">
        <v>22</v>
      </c>
      <c r="I8040" s="9" t="s">
        <v>17362</v>
      </c>
      <c r="J8040" s="10" t="str">
        <f>HYPERLINK("https://www.boe.es/gazeta/dias/1834/01/28/pdfs/GMD-1834-13.pdf#page=1","Abrir facsímil")</f>
        <v>Abrir facsímil</v>
      </c>
      <c r="K8040" s="10" t="s">
        <v>24</v>
      </c>
    </row>
    <row r="8041" spans="1:11" ht="54" customHeight="1">
      <c r="A8041" s="9" t="s">
        <v>16929</v>
      </c>
      <c r="B8041" s="9" t="s">
        <v>16929</v>
      </c>
      <c r="C8041" s="9" t="s">
        <v>17</v>
      </c>
      <c r="D8041" s="9" t="s">
        <v>18</v>
      </c>
      <c r="E8041" s="10" t="s">
        <v>1773</v>
      </c>
      <c r="F8041" s="9" t="s">
        <v>1774</v>
      </c>
      <c r="G8041" s="10" t="s">
        <v>34</v>
      </c>
      <c r="H8041" s="9" t="s">
        <v>22</v>
      </c>
      <c r="I8041" s="9" t="s">
        <v>17363</v>
      </c>
      <c r="J8041" s="10" t="str">
        <f>HYPERLINK("https://www.boe.es/gazeta/dias/1834/06/28/pdfs/GMD-1834-131.pdf#page=1","Abrir facsímil")</f>
        <v>Abrir facsímil</v>
      </c>
      <c r="K8041" s="10" t="s">
        <v>24</v>
      </c>
    </row>
    <row r="8042" spans="1:11" ht="54" customHeight="1">
      <c r="A8042" s="9" t="s">
        <v>16929</v>
      </c>
      <c r="B8042" s="9" t="s">
        <v>16929</v>
      </c>
      <c r="C8042" s="9" t="s">
        <v>66</v>
      </c>
      <c r="D8042" s="9" t="s">
        <v>67</v>
      </c>
      <c r="E8042" s="10" t="s">
        <v>1773</v>
      </c>
      <c r="F8042" s="9" t="s">
        <v>1774</v>
      </c>
      <c r="G8042" s="10" t="s">
        <v>21</v>
      </c>
      <c r="H8042" s="9" t="s">
        <v>22</v>
      </c>
      <c r="I8042" s="9" t="s">
        <v>17364</v>
      </c>
      <c r="J8042" s="10" t="str">
        <f>HYPERLINK("https://www.boe.es/gazeta/dias/1834/06/28/pdfs/GMD-1834-131.pdf#page=3","Abrir facsímil")</f>
        <v>Abrir facsímil</v>
      </c>
      <c r="K8042" s="10" t="s">
        <v>24</v>
      </c>
    </row>
    <row r="8043" spans="1:11" ht="54" customHeight="1">
      <c r="A8043" s="9" t="s">
        <v>16929</v>
      </c>
      <c r="B8043" s="9" t="s">
        <v>16929</v>
      </c>
      <c r="C8043" s="9" t="s">
        <v>66</v>
      </c>
      <c r="D8043" s="9" t="s">
        <v>18</v>
      </c>
      <c r="E8043" s="10" t="s">
        <v>1689</v>
      </c>
      <c r="F8043" s="9" t="s">
        <v>1690</v>
      </c>
      <c r="G8043" s="10" t="s">
        <v>21</v>
      </c>
      <c r="H8043" s="9" t="s">
        <v>22</v>
      </c>
      <c r="I8043" s="9" t="s">
        <v>17365</v>
      </c>
      <c r="J8043" s="10" t="str">
        <f>HYPERLINK("https://www.boe.es/gazeta/dias/1834/07/28/pdfs/GMD-1834-161.pdf#page=3","Abrir facsímil")</f>
        <v>Abrir facsímil</v>
      </c>
      <c r="K8043" s="10" t="s">
        <v>24</v>
      </c>
    </row>
    <row r="8044" spans="1:11" ht="54" customHeight="1">
      <c r="A8044" s="9" t="s">
        <v>16929</v>
      </c>
      <c r="B8044" s="9" t="s">
        <v>16929</v>
      </c>
      <c r="C8044" s="9" t="s">
        <v>17</v>
      </c>
      <c r="D8044" s="9" t="s">
        <v>18</v>
      </c>
      <c r="E8044" s="10" t="s">
        <v>1641</v>
      </c>
      <c r="F8044" s="9" t="s">
        <v>1729</v>
      </c>
      <c r="G8044" s="10" t="s">
        <v>34</v>
      </c>
      <c r="H8044" s="9" t="s">
        <v>22</v>
      </c>
      <c r="I8044" s="9" t="s">
        <v>17366</v>
      </c>
      <c r="J8044" s="10" t="str">
        <f>HYPERLINK("https://www.boe.es/gazeta/dias/1834/09/28/pdfs/GMD-1834-226.pdf#page=1","Abrir facsímil")</f>
        <v>Abrir facsímil</v>
      </c>
      <c r="K8044" s="10" t="s">
        <v>24</v>
      </c>
    </row>
    <row r="8045" spans="1:11" ht="54" customHeight="1">
      <c r="A8045" s="9" t="s">
        <v>16929</v>
      </c>
      <c r="B8045" s="9" t="s">
        <v>16929</v>
      </c>
      <c r="C8045" s="9" t="s">
        <v>90</v>
      </c>
      <c r="D8045" s="9" t="s">
        <v>18</v>
      </c>
      <c r="E8045" s="10" t="s">
        <v>179</v>
      </c>
      <c r="F8045" s="9" t="s">
        <v>180</v>
      </c>
      <c r="G8045" s="10" t="s">
        <v>21</v>
      </c>
      <c r="H8045" s="9" t="s">
        <v>22</v>
      </c>
      <c r="I8045" s="9" t="s">
        <v>17367</v>
      </c>
      <c r="J8045" s="10" t="str">
        <f>HYPERLINK("https://www.boe.es/gazeta/dias/1834/10/28/pdfs/GMD-1834-256.pdf#page=3","Abrir facsímil")</f>
        <v>Abrir facsímil</v>
      </c>
      <c r="K8045" s="10" t="s">
        <v>24</v>
      </c>
    </row>
    <row r="8046" spans="1:11" ht="54" customHeight="1">
      <c r="A8046" s="9" t="s">
        <v>16929</v>
      </c>
      <c r="B8046" s="9" t="s">
        <v>16929</v>
      </c>
      <c r="C8046" s="9" t="s">
        <v>17</v>
      </c>
      <c r="D8046" s="9" t="s">
        <v>18</v>
      </c>
      <c r="E8046" s="10" t="s">
        <v>1284</v>
      </c>
      <c r="F8046" s="9" t="s">
        <v>1285</v>
      </c>
      <c r="G8046" s="10" t="s">
        <v>75</v>
      </c>
      <c r="H8046" s="9" t="s">
        <v>22</v>
      </c>
      <c r="I8046" s="9" t="s">
        <v>17368</v>
      </c>
      <c r="J8046" s="10" t="str">
        <f>HYPERLINK("https://www.boe.es/gazeta/dias/1834/11/28/pdfs/GMD-1834-287.pdf#page=4","Abrir facsímil")</f>
        <v>Abrir facsímil</v>
      </c>
      <c r="K8046" s="10" t="s">
        <v>24</v>
      </c>
    </row>
    <row r="8047" spans="1:11" ht="54" customHeight="1">
      <c r="A8047" s="9" t="s">
        <v>16929</v>
      </c>
      <c r="B8047" s="9" t="s">
        <v>16929</v>
      </c>
      <c r="C8047" s="9" t="s">
        <v>17</v>
      </c>
      <c r="D8047" s="9" t="s">
        <v>18</v>
      </c>
      <c r="E8047" s="10" t="s">
        <v>468</v>
      </c>
      <c r="F8047" s="9" t="s">
        <v>469</v>
      </c>
      <c r="G8047" s="10" t="s">
        <v>34</v>
      </c>
      <c r="H8047" s="9" t="s">
        <v>22</v>
      </c>
      <c r="I8047" s="9" t="s">
        <v>17369</v>
      </c>
      <c r="J8047" s="10" t="str">
        <f>HYPERLINK("https://www.boe.es/gazeta/dias/1834/12/28/pdfs/GMD-C-1834-318.pdf#page=1","Abrir facsímil")</f>
        <v>Abrir facsímil</v>
      </c>
      <c r="K8047" s="10" t="s">
        <v>24</v>
      </c>
    </row>
    <row r="8048" spans="1:11" ht="54" customHeight="1">
      <c r="A8048" s="9" t="s">
        <v>16929</v>
      </c>
      <c r="B8048" s="9" t="s">
        <v>16929</v>
      </c>
      <c r="C8048" s="9" t="s">
        <v>17</v>
      </c>
      <c r="D8048" s="9" t="s">
        <v>18</v>
      </c>
      <c r="E8048" s="10" t="s">
        <v>803</v>
      </c>
      <c r="F8048" s="9" t="s">
        <v>804</v>
      </c>
      <c r="G8048" s="10" t="s">
        <v>34</v>
      </c>
      <c r="H8048" s="9" t="s">
        <v>22</v>
      </c>
      <c r="I8048" s="9" t="s">
        <v>17370</v>
      </c>
      <c r="J8048" s="10" t="str">
        <f>HYPERLINK("https://www.boe.es/gazeta/dias/1834/03/29/pdfs/GMD-1834-39.pdf#page=1","Abrir facsímil")</f>
        <v>Abrir facsímil</v>
      </c>
      <c r="K8048" s="10" t="s">
        <v>24</v>
      </c>
    </row>
    <row r="8049" spans="1:11" ht="54" customHeight="1">
      <c r="A8049" s="9" t="s">
        <v>16929</v>
      </c>
      <c r="B8049" s="9" t="s">
        <v>16929</v>
      </c>
      <c r="C8049" s="9" t="s">
        <v>66</v>
      </c>
      <c r="D8049" s="9" t="s">
        <v>67</v>
      </c>
      <c r="E8049" s="10" t="s">
        <v>803</v>
      </c>
      <c r="F8049" s="9" t="s">
        <v>804</v>
      </c>
      <c r="G8049" s="10" t="s">
        <v>86</v>
      </c>
      <c r="H8049" s="9" t="s">
        <v>22</v>
      </c>
      <c r="I8049" s="9" t="s">
        <v>17371</v>
      </c>
      <c r="J8049" s="10" t="str">
        <f>HYPERLINK("https://www.boe.es/gazeta/dias/1834/03/29/pdfs/GMD-1834-39.pdf#page=2","Abrir facsímil")</f>
        <v>Abrir facsímil</v>
      </c>
      <c r="K8049" s="10" t="s">
        <v>24</v>
      </c>
    </row>
    <row r="8050" spans="1:11" ht="54" customHeight="1">
      <c r="A8050" s="9" t="s">
        <v>16929</v>
      </c>
      <c r="B8050" s="9" t="s">
        <v>16929</v>
      </c>
      <c r="C8050" s="9" t="s">
        <v>66</v>
      </c>
      <c r="D8050" s="9" t="s">
        <v>67</v>
      </c>
      <c r="E8050" s="10" t="s">
        <v>719</v>
      </c>
      <c r="F8050" s="9" t="s">
        <v>720</v>
      </c>
      <c r="G8050" s="10" t="s">
        <v>34</v>
      </c>
      <c r="H8050" s="9" t="s">
        <v>22</v>
      </c>
      <c r="I8050" s="9" t="s">
        <v>17372</v>
      </c>
      <c r="J8050" s="10" t="str">
        <f>HYPERLINK("https://www.boe.es/gazeta/dias/1834/04/29/pdfs/GMD-1834-68.pdf#page=1","Abrir facsímil")</f>
        <v>Abrir facsímil</v>
      </c>
      <c r="K8050" s="10" t="s">
        <v>24</v>
      </c>
    </row>
    <row r="8051" spans="1:11" ht="54" customHeight="1">
      <c r="A8051" s="9" t="s">
        <v>16929</v>
      </c>
      <c r="B8051" s="9" t="s">
        <v>16929</v>
      </c>
      <c r="C8051" s="9" t="s">
        <v>66</v>
      </c>
      <c r="D8051" s="9" t="s">
        <v>18</v>
      </c>
      <c r="E8051" s="10" t="s">
        <v>719</v>
      </c>
      <c r="F8051" s="9" t="s">
        <v>720</v>
      </c>
      <c r="G8051" s="10" t="s">
        <v>21</v>
      </c>
      <c r="H8051" s="9" t="s">
        <v>22</v>
      </c>
      <c r="I8051" s="9" t="s">
        <v>17373</v>
      </c>
      <c r="J8051" s="10" t="str">
        <f>HYPERLINK("https://www.boe.es/gazeta/dias/1834/04/29/pdfs/GMD-1834-68.pdf#page=3","Abrir facsímil")</f>
        <v>Abrir facsímil</v>
      </c>
      <c r="K8051" s="10" t="s">
        <v>24</v>
      </c>
    </row>
    <row r="8052" spans="1:11" ht="54" customHeight="1">
      <c r="A8052" s="9" t="s">
        <v>16929</v>
      </c>
      <c r="B8052" s="9" t="s">
        <v>16929</v>
      </c>
      <c r="C8052" s="9" t="s">
        <v>17</v>
      </c>
      <c r="D8052" s="9" t="s">
        <v>40</v>
      </c>
      <c r="E8052" s="10" t="s">
        <v>2945</v>
      </c>
      <c r="F8052" s="9" t="s">
        <v>2946</v>
      </c>
      <c r="G8052" s="10" t="s">
        <v>86</v>
      </c>
      <c r="H8052" s="9" t="s">
        <v>22</v>
      </c>
      <c r="I8052" s="9" t="s">
        <v>17374</v>
      </c>
      <c r="J8052" s="10" t="str">
        <f>HYPERLINK("https://www.boe.es/gazeta/dias/1834/05/29/pdfs/GMD-1834-98.pdf#page=2","Abrir facsímil")</f>
        <v>Abrir facsímil</v>
      </c>
      <c r="K8052" s="10" t="s">
        <v>24</v>
      </c>
    </row>
    <row r="8053" spans="1:11" ht="54" customHeight="1">
      <c r="A8053" s="9" t="s">
        <v>16929</v>
      </c>
      <c r="B8053" s="9" t="s">
        <v>16929</v>
      </c>
      <c r="C8053" s="9" t="s">
        <v>90</v>
      </c>
      <c r="D8053" s="9" t="s">
        <v>67</v>
      </c>
      <c r="E8053" s="10" t="s">
        <v>2945</v>
      </c>
      <c r="F8053" s="9" t="s">
        <v>2946</v>
      </c>
      <c r="G8053" s="10" t="s">
        <v>75</v>
      </c>
      <c r="H8053" s="9" t="s">
        <v>22</v>
      </c>
      <c r="I8053" s="9" t="s">
        <v>17375</v>
      </c>
      <c r="J8053" s="10" t="str">
        <f>HYPERLINK("https://www.boe.es/gazeta/dias/1834/05/29/pdfs/GMD-1834-98.pdf#page=4","Abrir facsímil")</f>
        <v>Abrir facsímil</v>
      </c>
      <c r="K8053" s="10" t="s">
        <v>24</v>
      </c>
    </row>
    <row r="8054" spans="1:11" ht="54" customHeight="1">
      <c r="A8054" s="9" t="s">
        <v>16929</v>
      </c>
      <c r="B8054" s="9" t="s">
        <v>16929</v>
      </c>
      <c r="C8054" s="9" t="s">
        <v>90</v>
      </c>
      <c r="D8054" s="9" t="s">
        <v>18</v>
      </c>
      <c r="E8054" s="10" t="s">
        <v>1747</v>
      </c>
      <c r="F8054" s="9" t="s">
        <v>1748</v>
      </c>
      <c r="G8054" s="10" t="s">
        <v>86</v>
      </c>
      <c r="H8054" s="9" t="s">
        <v>22</v>
      </c>
      <c r="I8054" s="9" t="s">
        <v>17376</v>
      </c>
      <c r="J8054" s="10" t="str">
        <f>HYPERLINK("https://www.boe.es/gazeta/dias/1834/06/29/pdfs/GMD-1834-132.pdf#page=2","Abrir facsímil")</f>
        <v>Abrir facsímil</v>
      </c>
      <c r="K8054" s="10" t="s">
        <v>24</v>
      </c>
    </row>
    <row r="8055" spans="1:11" ht="54" customHeight="1">
      <c r="A8055" s="9" t="s">
        <v>16929</v>
      </c>
      <c r="B8055" s="9" t="s">
        <v>16929</v>
      </c>
      <c r="C8055" s="9" t="s">
        <v>66</v>
      </c>
      <c r="D8055" s="9" t="s">
        <v>67</v>
      </c>
      <c r="E8055" s="10" t="s">
        <v>1692</v>
      </c>
      <c r="F8055" s="9" t="s">
        <v>1693</v>
      </c>
      <c r="G8055" s="10" t="s">
        <v>34</v>
      </c>
      <c r="H8055" s="9" t="s">
        <v>22</v>
      </c>
      <c r="I8055" s="9" t="s">
        <v>17377</v>
      </c>
      <c r="J8055" s="10" t="str">
        <f>HYPERLINK("https://www.boe.es/gazeta/dias/1834/07/29/pdfs/GMD-1834-162.pdf#page=1","Abrir facsímil")</f>
        <v>Abrir facsímil</v>
      </c>
      <c r="K8055" s="10" t="s">
        <v>24</v>
      </c>
    </row>
    <row r="8056" spans="1:11" ht="54" customHeight="1">
      <c r="A8056" s="9" t="s">
        <v>16929</v>
      </c>
      <c r="B8056" s="9" t="s">
        <v>16929</v>
      </c>
      <c r="C8056" s="9" t="s">
        <v>17</v>
      </c>
      <c r="D8056" s="9" t="s">
        <v>18</v>
      </c>
      <c r="E8056" s="10" t="s">
        <v>1692</v>
      </c>
      <c r="F8056" s="9" t="s">
        <v>1693</v>
      </c>
      <c r="G8056" s="10" t="s">
        <v>21</v>
      </c>
      <c r="H8056" s="9" t="s">
        <v>22</v>
      </c>
      <c r="I8056" s="9" t="s">
        <v>17378</v>
      </c>
      <c r="J8056" s="10" t="str">
        <f>HYPERLINK("https://www.boe.es/gazeta/dias/1834/07/29/pdfs/GMD-1834-162.pdf#page=3","Abrir facsímil")</f>
        <v>Abrir facsímil</v>
      </c>
      <c r="K8056" s="10" t="s">
        <v>24</v>
      </c>
    </row>
    <row r="8057" spans="1:11" ht="54" customHeight="1">
      <c r="A8057" s="9" t="s">
        <v>16929</v>
      </c>
      <c r="B8057" s="9" t="s">
        <v>16929</v>
      </c>
      <c r="C8057" s="9" t="s">
        <v>46</v>
      </c>
      <c r="D8057" s="9" t="s">
        <v>101</v>
      </c>
      <c r="E8057" s="10" t="s">
        <v>280</v>
      </c>
      <c r="F8057" s="9" t="s">
        <v>3217</v>
      </c>
      <c r="G8057" s="10" t="s">
        <v>34</v>
      </c>
      <c r="H8057" s="9" t="s">
        <v>22</v>
      </c>
      <c r="I8057" s="9" t="s">
        <v>17379</v>
      </c>
      <c r="J8057" s="10" t="str">
        <f>HYPERLINK("https://www.boe.es/gazeta/dias/1834/08/29/pdfs/GMD-1834-195.pdf#page=1","Abrir facsímil")</f>
        <v>Abrir facsímil</v>
      </c>
      <c r="K8057" s="10" t="s">
        <v>24</v>
      </c>
    </row>
    <row r="8058" spans="1:11" ht="54" customHeight="1">
      <c r="A8058" s="9" t="s">
        <v>16929</v>
      </c>
      <c r="B8058" s="9" t="s">
        <v>16929</v>
      </c>
      <c r="C8058" s="9" t="s">
        <v>46</v>
      </c>
      <c r="D8058" s="9" t="s">
        <v>55</v>
      </c>
      <c r="E8058" s="10" t="s">
        <v>280</v>
      </c>
      <c r="F8058" s="9" t="s">
        <v>3217</v>
      </c>
      <c r="G8058" s="10" t="s">
        <v>21</v>
      </c>
      <c r="H8058" s="9" t="s">
        <v>22</v>
      </c>
      <c r="I8058" s="9" t="s">
        <v>17380</v>
      </c>
      <c r="J8058" s="10" t="str">
        <f>HYPERLINK("https://www.boe.es/gazeta/dias/1834/08/29/pdfs/GMD-1834-195.pdf#page=3","Abrir facsímil")</f>
        <v>Abrir facsímil</v>
      </c>
      <c r="K8058" s="10" t="s">
        <v>24</v>
      </c>
    </row>
    <row r="8059" spans="1:11" ht="54" customHeight="1">
      <c r="A8059" s="9" t="s">
        <v>16929</v>
      </c>
      <c r="B8059" s="9" t="s">
        <v>16929</v>
      </c>
      <c r="C8059" s="9" t="s">
        <v>17</v>
      </c>
      <c r="D8059" s="9" t="s">
        <v>101</v>
      </c>
      <c r="E8059" s="10" t="s">
        <v>777</v>
      </c>
      <c r="F8059" s="9" t="s">
        <v>778</v>
      </c>
      <c r="G8059" s="10" t="s">
        <v>21</v>
      </c>
      <c r="H8059" s="9" t="s">
        <v>22</v>
      </c>
      <c r="I8059" s="9" t="s">
        <v>17381</v>
      </c>
      <c r="J8059" s="10" t="str">
        <f>HYPERLINK("https://www.boe.es/gazeta/dias/1834/10/29/pdfs/GMD-1834-257.pdf#page=3","Abrir facsímil")</f>
        <v>Abrir facsímil</v>
      </c>
      <c r="K8059" s="10" t="s">
        <v>24</v>
      </c>
    </row>
    <row r="8060" spans="1:11" ht="54" customHeight="1">
      <c r="A8060" s="9" t="s">
        <v>16929</v>
      </c>
      <c r="B8060" s="9" t="s">
        <v>16929</v>
      </c>
      <c r="C8060" s="9" t="s">
        <v>17</v>
      </c>
      <c r="D8060" s="9" t="s">
        <v>18</v>
      </c>
      <c r="E8060" s="10" t="s">
        <v>777</v>
      </c>
      <c r="F8060" s="9" t="s">
        <v>778</v>
      </c>
      <c r="G8060" s="10" t="s">
        <v>75</v>
      </c>
      <c r="H8060" s="9" t="s">
        <v>22</v>
      </c>
      <c r="I8060" s="9" t="s">
        <v>17382</v>
      </c>
      <c r="J8060" s="10" t="str">
        <f>HYPERLINK("https://www.boe.es/gazeta/dias/1834/10/29/pdfs/GMD-1834-257.pdf#page=4","Abrir facsímil")</f>
        <v>Abrir facsímil</v>
      </c>
      <c r="K8060" s="10" t="s">
        <v>24</v>
      </c>
    </row>
    <row r="8061" spans="1:11" ht="54" customHeight="1">
      <c r="A8061" s="9" t="s">
        <v>16929</v>
      </c>
      <c r="B8061" s="9" t="s">
        <v>16929</v>
      </c>
      <c r="C8061" s="9" t="s">
        <v>17</v>
      </c>
      <c r="D8061" s="9" t="s">
        <v>40</v>
      </c>
      <c r="E8061" s="10" t="s">
        <v>899</v>
      </c>
      <c r="F8061" s="9" t="s">
        <v>900</v>
      </c>
      <c r="G8061" s="10" t="s">
        <v>34</v>
      </c>
      <c r="H8061" s="9" t="s">
        <v>22</v>
      </c>
      <c r="I8061" s="9" t="s">
        <v>17383</v>
      </c>
      <c r="J8061" s="10" t="str">
        <f>HYPERLINK("https://www.boe.es/gazeta/dias/1834/01/30/pdfs/GMD-1834-14.pdf#page=1","Abrir facsímil")</f>
        <v>Abrir facsímil</v>
      </c>
      <c r="K8061" s="10" t="s">
        <v>24</v>
      </c>
    </row>
    <row r="8062" spans="1:11" ht="54" customHeight="1">
      <c r="A8062" s="9" t="s">
        <v>16929</v>
      </c>
      <c r="B8062" s="9" t="s">
        <v>16929</v>
      </c>
      <c r="C8062" s="9" t="s">
        <v>66</v>
      </c>
      <c r="D8062" s="9" t="s">
        <v>67</v>
      </c>
      <c r="E8062" s="10" t="s">
        <v>899</v>
      </c>
      <c r="F8062" s="9" t="s">
        <v>900</v>
      </c>
      <c r="G8062" s="10" t="s">
        <v>86</v>
      </c>
      <c r="H8062" s="9" t="s">
        <v>22</v>
      </c>
      <c r="I8062" s="9" t="s">
        <v>17384</v>
      </c>
      <c r="J8062" s="10" t="str">
        <f>HYPERLINK("https://www.boe.es/gazeta/dias/1834/01/30/pdfs/GMD-1834-14.pdf#page=2","Abrir facsímil")</f>
        <v>Abrir facsímil</v>
      </c>
      <c r="K8062" s="10" t="s">
        <v>24</v>
      </c>
    </row>
    <row r="8063" spans="1:11" ht="54" customHeight="1">
      <c r="A8063" s="9" t="s">
        <v>16929</v>
      </c>
      <c r="B8063" s="9" t="s">
        <v>16929</v>
      </c>
      <c r="C8063" s="9" t="s">
        <v>17</v>
      </c>
      <c r="D8063" s="9" t="s">
        <v>18</v>
      </c>
      <c r="E8063" s="10" t="s">
        <v>899</v>
      </c>
      <c r="F8063" s="9" t="s">
        <v>900</v>
      </c>
      <c r="G8063" s="10" t="s">
        <v>28</v>
      </c>
      <c r="H8063" s="9" t="s">
        <v>22</v>
      </c>
      <c r="I8063" s="9" t="s">
        <v>17385</v>
      </c>
      <c r="J8063" s="10" t="str">
        <f>HYPERLINK("https://www.boe.es/gazeta/dias/1834/01/30/pdfs/GMD-1834-14.pdf#page=5","Abrir facsímil")</f>
        <v>Abrir facsímil</v>
      </c>
      <c r="K8063" s="10" t="s">
        <v>24</v>
      </c>
    </row>
    <row r="8064" spans="1:11" ht="54" customHeight="1">
      <c r="A8064" s="9" t="s">
        <v>16929</v>
      </c>
      <c r="B8064" s="9" t="s">
        <v>16929</v>
      </c>
      <c r="C8064" s="9" t="s">
        <v>17</v>
      </c>
      <c r="D8064" s="9" t="s">
        <v>18</v>
      </c>
      <c r="E8064" s="10" t="s">
        <v>899</v>
      </c>
      <c r="F8064" s="9" t="s">
        <v>900</v>
      </c>
      <c r="G8064" s="10" t="s">
        <v>176</v>
      </c>
      <c r="H8064" s="9" t="s">
        <v>22</v>
      </c>
      <c r="I8064" s="9" t="s">
        <v>17386</v>
      </c>
      <c r="J8064" s="10" t="str">
        <f>HYPERLINK("https://www.boe.es/gazeta/dias/1834/01/30/pdfs/GMD-1834-14.pdf#page=6","Abrir facsímil")</f>
        <v>Abrir facsímil</v>
      </c>
      <c r="K8064" s="10" t="s">
        <v>24</v>
      </c>
    </row>
    <row r="8065" spans="1:11" ht="54" customHeight="1">
      <c r="A8065" s="9" t="s">
        <v>16929</v>
      </c>
      <c r="B8065" s="9" t="s">
        <v>16929</v>
      </c>
      <c r="C8065" s="9" t="s">
        <v>46</v>
      </c>
      <c r="D8065" s="9" t="s">
        <v>18</v>
      </c>
      <c r="E8065" s="10" t="s">
        <v>899</v>
      </c>
      <c r="F8065" s="9" t="s">
        <v>900</v>
      </c>
      <c r="G8065" s="10" t="s">
        <v>560</v>
      </c>
      <c r="H8065" s="9" t="s">
        <v>22</v>
      </c>
      <c r="I8065" s="9" t="s">
        <v>17387</v>
      </c>
      <c r="J8065" s="10" t="str">
        <f>HYPERLINK("https://www.boe.es/gazeta/dias/1834/01/30/pdfs/GMD-1834-14.pdf#page=7","Abrir facsímil")</f>
        <v>Abrir facsímil</v>
      </c>
      <c r="K8065" s="10" t="s">
        <v>24</v>
      </c>
    </row>
    <row r="8066" spans="1:11" ht="54" customHeight="1">
      <c r="A8066" s="9" t="s">
        <v>16929</v>
      </c>
      <c r="B8066" s="9" t="s">
        <v>16929</v>
      </c>
      <c r="C8066" s="9" t="s">
        <v>90</v>
      </c>
      <c r="D8066" s="9" t="s">
        <v>101</v>
      </c>
      <c r="E8066" s="10" t="s">
        <v>899</v>
      </c>
      <c r="F8066" s="9" t="s">
        <v>900</v>
      </c>
      <c r="G8066" s="10" t="s">
        <v>470</v>
      </c>
      <c r="H8066" s="9" t="s">
        <v>22</v>
      </c>
      <c r="I8066" s="9" t="s">
        <v>17388</v>
      </c>
      <c r="J8066" s="10" t="str">
        <f>HYPERLINK("https://www.boe.es/gazeta/dias/1834/01/30/pdfs/GMD-1834-14.pdf#page=8","Abrir facsímil")</f>
        <v>Abrir facsímil</v>
      </c>
      <c r="K8066" s="10" t="s">
        <v>24</v>
      </c>
    </row>
    <row r="8067" spans="1:11" ht="54" customHeight="1">
      <c r="A8067" s="9" t="s">
        <v>16929</v>
      </c>
      <c r="B8067" s="9" t="s">
        <v>16929</v>
      </c>
      <c r="C8067" s="9" t="s">
        <v>66</v>
      </c>
      <c r="D8067" s="9" t="s">
        <v>67</v>
      </c>
      <c r="E8067" s="10" t="s">
        <v>1141</v>
      </c>
      <c r="F8067" s="9" t="s">
        <v>1142</v>
      </c>
      <c r="G8067" s="10" t="s">
        <v>75</v>
      </c>
      <c r="H8067" s="9" t="s">
        <v>22</v>
      </c>
      <c r="I8067" s="9" t="s">
        <v>17389</v>
      </c>
      <c r="J8067" s="10" t="str">
        <f>HYPERLINK("https://www.boe.es/gazeta/dias/1834/04/30/pdfs/GMD-1834-69.pdf#page=4","Abrir facsímil")</f>
        <v>Abrir facsímil</v>
      </c>
      <c r="K8067" s="10" t="s">
        <v>24</v>
      </c>
    </row>
    <row r="8068" spans="1:11" ht="54" customHeight="1">
      <c r="A8068" s="9" t="s">
        <v>16929</v>
      </c>
      <c r="B8068" s="9" t="s">
        <v>16929</v>
      </c>
      <c r="C8068" s="9" t="s">
        <v>66</v>
      </c>
      <c r="D8068" s="9" t="s">
        <v>67</v>
      </c>
      <c r="E8068" s="10" t="s">
        <v>309</v>
      </c>
      <c r="F8068" s="9" t="s">
        <v>310</v>
      </c>
      <c r="G8068" s="10" t="s">
        <v>34</v>
      </c>
      <c r="H8068" s="9" t="s">
        <v>22</v>
      </c>
      <c r="I8068" s="9" t="s">
        <v>17390</v>
      </c>
      <c r="J8068" s="10" t="str">
        <f>HYPERLINK("https://www.boe.es/gazeta/dias/1834/05/30/pdfs/GMD-1834-99.pdf#page=1","Abrir facsímil")</f>
        <v>Abrir facsímil</v>
      </c>
      <c r="K8068" s="10" t="s">
        <v>24</v>
      </c>
    </row>
    <row r="8069" spans="1:11" ht="54" customHeight="1">
      <c r="A8069" s="9" t="s">
        <v>16929</v>
      </c>
      <c r="B8069" s="9" t="s">
        <v>16929</v>
      </c>
      <c r="C8069" s="9" t="s">
        <v>17</v>
      </c>
      <c r="D8069" s="9" t="s">
        <v>18</v>
      </c>
      <c r="E8069" s="10" t="s">
        <v>1695</v>
      </c>
      <c r="F8069" s="9" t="s">
        <v>1696</v>
      </c>
      <c r="G8069" s="10" t="s">
        <v>34</v>
      </c>
      <c r="H8069" s="9" t="s">
        <v>22</v>
      </c>
      <c r="I8069" s="9" t="s">
        <v>17391</v>
      </c>
      <c r="J8069" s="10" t="str">
        <f>HYPERLINK("https://www.boe.es/gazeta/dias/1834/06/30/pdfs/GMD-1834-133.pdf#page=1","Abrir facsímil")</f>
        <v>Abrir facsímil</v>
      </c>
      <c r="K8069" s="10" t="s">
        <v>24</v>
      </c>
    </row>
    <row r="8070" spans="1:11" ht="54" customHeight="1">
      <c r="A8070" s="9" t="s">
        <v>16929</v>
      </c>
      <c r="B8070" s="9" t="s">
        <v>16929</v>
      </c>
      <c r="C8070" s="9" t="s">
        <v>17</v>
      </c>
      <c r="D8070" s="9" t="s">
        <v>18</v>
      </c>
      <c r="E8070" s="10" t="s">
        <v>552</v>
      </c>
      <c r="F8070" s="9" t="s">
        <v>553</v>
      </c>
      <c r="G8070" s="10" t="s">
        <v>75</v>
      </c>
      <c r="H8070" s="9" t="s">
        <v>22</v>
      </c>
      <c r="I8070" s="9" t="s">
        <v>17392</v>
      </c>
      <c r="J8070" s="10" t="str">
        <f>HYPERLINK("https://www.boe.es/gazeta/dias/1834/07/30/pdfs/GMD-1834-163.pdf#page=4","Abrir facsímil")</f>
        <v>Abrir facsímil</v>
      </c>
      <c r="K8070" s="10" t="s">
        <v>24</v>
      </c>
    </row>
    <row r="8071" spans="1:11" ht="54" customHeight="1">
      <c r="A8071" s="9" t="s">
        <v>16929</v>
      </c>
      <c r="B8071" s="9" t="s">
        <v>16929</v>
      </c>
      <c r="C8071" s="9" t="s">
        <v>17</v>
      </c>
      <c r="D8071" s="9" t="s">
        <v>18</v>
      </c>
      <c r="E8071" s="10" t="s">
        <v>552</v>
      </c>
      <c r="F8071" s="9" t="s">
        <v>1478</v>
      </c>
      <c r="G8071" s="10" t="s">
        <v>34</v>
      </c>
      <c r="H8071" s="9" t="s">
        <v>22</v>
      </c>
      <c r="I8071" s="9" t="s">
        <v>17393</v>
      </c>
      <c r="J8071" s="10" t="str">
        <f>HYPERLINK("https://www.boe.es/gazeta/dias/1834/07/30/pdfs/GMD-C-1834-163.pdf#page=1","Abrir facsímil")</f>
        <v>Abrir facsímil</v>
      </c>
      <c r="K8071" s="10" t="s">
        <v>24</v>
      </c>
    </row>
    <row r="8072" spans="1:11" ht="54" customHeight="1">
      <c r="A8072" s="9" t="s">
        <v>16929</v>
      </c>
      <c r="B8072" s="9" t="s">
        <v>16929</v>
      </c>
      <c r="C8072" s="9" t="s">
        <v>17</v>
      </c>
      <c r="D8072" s="9" t="s">
        <v>18</v>
      </c>
      <c r="E8072" s="10" t="s">
        <v>286</v>
      </c>
      <c r="F8072" s="9" t="s">
        <v>287</v>
      </c>
      <c r="G8072" s="10" t="s">
        <v>21</v>
      </c>
      <c r="H8072" s="9" t="s">
        <v>22</v>
      </c>
      <c r="I8072" s="9" t="s">
        <v>17394</v>
      </c>
      <c r="J8072" s="10" t="str">
        <f>HYPERLINK("https://www.boe.es/gazeta/dias/1834/08/30/pdfs/GMD-D-1834-196.pdf#page=3","Abrir facsímil")</f>
        <v>Abrir facsímil</v>
      </c>
      <c r="K8072" s="10" t="s">
        <v>24</v>
      </c>
    </row>
    <row r="8073" spans="1:11" ht="54" customHeight="1">
      <c r="A8073" s="9" t="s">
        <v>16929</v>
      </c>
      <c r="B8073" s="9" t="s">
        <v>16929</v>
      </c>
      <c r="C8073" s="9" t="s">
        <v>17</v>
      </c>
      <c r="D8073" s="9" t="s">
        <v>18</v>
      </c>
      <c r="E8073" s="10" t="s">
        <v>286</v>
      </c>
      <c r="F8073" s="9" t="s">
        <v>1928</v>
      </c>
      <c r="G8073" s="10" t="s">
        <v>34</v>
      </c>
      <c r="H8073" s="9" t="s">
        <v>22</v>
      </c>
      <c r="I8073" s="9" t="s">
        <v>17395</v>
      </c>
      <c r="J8073" s="10" t="str">
        <f>HYPERLINK("https://www.boe.es/gazeta/dias/1834/08/30/pdfs/GMD-1834-197E.pdf#page=1","Abrir facsímil")</f>
        <v>Abrir facsímil</v>
      </c>
      <c r="K8073" s="10" t="s">
        <v>24</v>
      </c>
    </row>
    <row r="8074" spans="1:11" ht="54" customHeight="1">
      <c r="A8074" s="9" t="s">
        <v>16929</v>
      </c>
      <c r="B8074" s="9" t="s">
        <v>16929</v>
      </c>
      <c r="C8074" s="9" t="s">
        <v>90</v>
      </c>
      <c r="D8074" s="9" t="s">
        <v>67</v>
      </c>
      <c r="E8074" s="10" t="s">
        <v>286</v>
      </c>
      <c r="F8074" s="9" t="s">
        <v>1928</v>
      </c>
      <c r="G8074" s="10" t="s">
        <v>86</v>
      </c>
      <c r="H8074" s="9" t="s">
        <v>22</v>
      </c>
      <c r="I8074" s="9" t="s">
        <v>17396</v>
      </c>
      <c r="J8074" s="10" t="str">
        <f>HYPERLINK("https://www.boe.es/gazeta/dias/1834/08/30/pdfs/GMD-1834-197E.pdf#page=2","Abrir facsímil")</f>
        <v>Abrir facsímil</v>
      </c>
      <c r="K8074" s="10" t="s">
        <v>24</v>
      </c>
    </row>
    <row r="8075" spans="1:11" ht="54" customHeight="1">
      <c r="A8075" s="9" t="s">
        <v>16929</v>
      </c>
      <c r="B8075" s="9" t="s">
        <v>16929</v>
      </c>
      <c r="C8075" s="9" t="s">
        <v>66</v>
      </c>
      <c r="D8075" s="9" t="s">
        <v>67</v>
      </c>
      <c r="E8075" s="10" t="s">
        <v>187</v>
      </c>
      <c r="F8075" s="9" t="s">
        <v>188</v>
      </c>
      <c r="G8075" s="10" t="s">
        <v>34</v>
      </c>
      <c r="H8075" s="9" t="s">
        <v>22</v>
      </c>
      <c r="I8075" s="9" t="s">
        <v>17397</v>
      </c>
      <c r="J8075" s="10" t="str">
        <f>HYPERLINK("https://www.boe.es/gazeta/dias/1834/09/30/pdfs/GMD-1834-228.pdf#page=1","Abrir facsímil")</f>
        <v>Abrir facsímil</v>
      </c>
      <c r="K8075" s="10" t="s">
        <v>24</v>
      </c>
    </row>
    <row r="8076" spans="1:11" ht="54" customHeight="1">
      <c r="A8076" s="9" t="s">
        <v>16929</v>
      </c>
      <c r="B8076" s="9" t="s">
        <v>16929</v>
      </c>
      <c r="C8076" s="9" t="s">
        <v>46</v>
      </c>
      <c r="D8076" s="9" t="s">
        <v>101</v>
      </c>
      <c r="E8076" s="10" t="s">
        <v>3083</v>
      </c>
      <c r="F8076" s="9" t="s">
        <v>3084</v>
      </c>
      <c r="G8076" s="10" t="s">
        <v>34</v>
      </c>
      <c r="H8076" s="9" t="s">
        <v>22</v>
      </c>
      <c r="I8076" s="9" t="s">
        <v>17398</v>
      </c>
      <c r="J8076" s="10" t="str">
        <f>HYPERLINK("https://www.boe.es/gazeta/dias/1834/10/30/pdfs/GMD-1834-258.pdf#page=1","Abrir facsímil")</f>
        <v>Abrir facsímil</v>
      </c>
      <c r="K8076" s="10" t="s">
        <v>24</v>
      </c>
    </row>
    <row r="8077" spans="1:11" ht="54" customHeight="1">
      <c r="A8077" s="9" t="s">
        <v>16929</v>
      </c>
      <c r="B8077" s="9" t="s">
        <v>16929</v>
      </c>
      <c r="C8077" s="9" t="s">
        <v>17</v>
      </c>
      <c r="D8077" s="9" t="s">
        <v>18</v>
      </c>
      <c r="E8077" s="10" t="s">
        <v>3083</v>
      </c>
      <c r="F8077" s="9" t="s">
        <v>3084</v>
      </c>
      <c r="G8077" s="10" t="s">
        <v>21</v>
      </c>
      <c r="H8077" s="9" t="s">
        <v>22</v>
      </c>
      <c r="I8077" s="9" t="s">
        <v>17399</v>
      </c>
      <c r="J8077" s="10" t="str">
        <f>HYPERLINK("https://www.boe.es/gazeta/dias/1834/10/30/pdfs/GMD-1834-258.pdf#page=3","Abrir facsímil")</f>
        <v>Abrir facsímil</v>
      </c>
      <c r="K8077" s="10" t="s">
        <v>24</v>
      </c>
    </row>
    <row r="8078" spans="1:11" ht="54" customHeight="1">
      <c r="A8078" s="9" t="s">
        <v>16929</v>
      </c>
      <c r="B8078" s="9" t="s">
        <v>16929</v>
      </c>
      <c r="C8078" s="9" t="s">
        <v>46</v>
      </c>
      <c r="D8078" s="9" t="s">
        <v>18</v>
      </c>
      <c r="E8078" s="10" t="s">
        <v>590</v>
      </c>
      <c r="F8078" s="9" t="s">
        <v>591</v>
      </c>
      <c r="G8078" s="10" t="s">
        <v>21</v>
      </c>
      <c r="H8078" s="9" t="s">
        <v>22</v>
      </c>
      <c r="I8078" s="9" t="s">
        <v>17400</v>
      </c>
      <c r="J8078" s="10" t="str">
        <f>HYPERLINK("https://www.boe.es/gazeta/dias/1834/11/30/pdfs/GMD-1834-289.pdf#page=3","Abrir facsímil")</f>
        <v>Abrir facsímil</v>
      </c>
      <c r="K8078" s="10" t="s">
        <v>24</v>
      </c>
    </row>
    <row r="8079" spans="1:11" ht="54" customHeight="1">
      <c r="A8079" s="9" t="s">
        <v>16929</v>
      </c>
      <c r="B8079" s="9" t="s">
        <v>16929</v>
      </c>
      <c r="C8079" s="9" t="s">
        <v>17</v>
      </c>
      <c r="D8079" s="9" t="s">
        <v>101</v>
      </c>
      <c r="E8079" s="10" t="s">
        <v>590</v>
      </c>
      <c r="F8079" s="9" t="s">
        <v>591</v>
      </c>
      <c r="G8079" s="10" t="s">
        <v>75</v>
      </c>
      <c r="H8079" s="9" t="s">
        <v>22</v>
      </c>
      <c r="I8079" s="9" t="s">
        <v>17401</v>
      </c>
      <c r="J8079" s="10" t="str">
        <f>HYPERLINK("https://www.boe.es/gazeta/dias/1834/11/30/pdfs/GMD-1834-289.pdf#page=4","Abrir facsímil")</f>
        <v>Abrir facsímil</v>
      </c>
      <c r="K8079" s="10" t="s">
        <v>24</v>
      </c>
    </row>
    <row r="8080" spans="1:11" ht="54" customHeight="1">
      <c r="A8080" s="9" t="s">
        <v>16929</v>
      </c>
      <c r="B8080" s="9" t="s">
        <v>16929</v>
      </c>
      <c r="C8080" s="9" t="s">
        <v>46</v>
      </c>
      <c r="D8080" s="9" t="s">
        <v>55</v>
      </c>
      <c r="E8080" s="10" t="s">
        <v>153</v>
      </c>
      <c r="F8080" s="9" t="s">
        <v>1294</v>
      </c>
      <c r="G8080" s="10" t="s">
        <v>34</v>
      </c>
      <c r="H8080" s="9" t="s">
        <v>22</v>
      </c>
      <c r="I8080" s="9" t="s">
        <v>17402</v>
      </c>
      <c r="J8080" s="10" t="str">
        <f>HYPERLINK("https://www.boe.es/gazeta/dias/1834/12/30/pdfs/GMD-1834-320.pdf#page=1","Abrir facsímil")</f>
        <v>Abrir facsímil</v>
      </c>
      <c r="K8080" s="10" t="s">
        <v>24</v>
      </c>
    </row>
    <row r="8081" spans="1:11" ht="54" customHeight="1">
      <c r="A8081" s="9" t="s">
        <v>16929</v>
      </c>
      <c r="B8081" s="9" t="s">
        <v>16929</v>
      </c>
      <c r="C8081" s="9" t="s">
        <v>17</v>
      </c>
      <c r="D8081" s="9" t="s">
        <v>55</v>
      </c>
      <c r="E8081" s="10" t="s">
        <v>1789</v>
      </c>
      <c r="F8081" s="9" t="s">
        <v>1790</v>
      </c>
      <c r="G8081" s="10" t="s">
        <v>21</v>
      </c>
      <c r="H8081" s="9" t="s">
        <v>22</v>
      </c>
      <c r="I8081" s="9" t="s">
        <v>17403</v>
      </c>
      <c r="J8081" s="10" t="str">
        <f>HYPERLINK("https://www.boe.es/gazeta/dias/1834/05/31/pdfs/GMD-1834-100.pdf#page=3","Abrir facsímil")</f>
        <v>Abrir facsímil</v>
      </c>
      <c r="K8081" s="10" t="s">
        <v>24</v>
      </c>
    </row>
    <row r="8082" spans="1:11" ht="54" customHeight="1">
      <c r="A8082" s="9" t="s">
        <v>16929</v>
      </c>
      <c r="B8082" s="9" t="s">
        <v>16929</v>
      </c>
      <c r="C8082" s="9" t="s">
        <v>66</v>
      </c>
      <c r="D8082" s="9" t="s">
        <v>101</v>
      </c>
      <c r="E8082" s="10" t="s">
        <v>143</v>
      </c>
      <c r="F8082" s="9" t="s">
        <v>144</v>
      </c>
      <c r="G8082" s="10" t="s">
        <v>34</v>
      </c>
      <c r="H8082" s="9" t="s">
        <v>22</v>
      </c>
      <c r="I8082" s="9" t="s">
        <v>17404</v>
      </c>
      <c r="J8082" s="10" t="str">
        <f>HYPERLINK("https://www.boe.es/gazeta/dias/1834/07/31/pdfs/GMD-1834-164.pdf#page=1","Abrir facsímil")</f>
        <v>Abrir facsímil</v>
      </c>
      <c r="K8082" s="10" t="s">
        <v>24</v>
      </c>
    </row>
    <row r="8083" spans="1:11" ht="54" customHeight="1">
      <c r="A8083" s="9" t="s">
        <v>16929</v>
      </c>
      <c r="B8083" s="9" t="s">
        <v>16929</v>
      </c>
      <c r="C8083" s="9" t="s">
        <v>46</v>
      </c>
      <c r="D8083" s="9" t="s">
        <v>101</v>
      </c>
      <c r="E8083" s="10" t="s">
        <v>143</v>
      </c>
      <c r="F8083" s="9" t="s">
        <v>144</v>
      </c>
      <c r="G8083" s="10" t="s">
        <v>21</v>
      </c>
      <c r="H8083" s="9" t="s">
        <v>22</v>
      </c>
      <c r="I8083" s="9" t="s">
        <v>17405</v>
      </c>
      <c r="J8083" s="10" t="str">
        <f>HYPERLINK("https://www.boe.es/gazeta/dias/1834/07/31/pdfs/GMD-1834-164.pdf#page=3","Abrir facsímil")</f>
        <v>Abrir facsímil</v>
      </c>
      <c r="K8083" s="10" t="s">
        <v>24</v>
      </c>
    </row>
    <row r="8084" spans="1:11" ht="54" customHeight="1">
      <c r="A8084" s="9" t="s">
        <v>16929</v>
      </c>
      <c r="B8084" s="9" t="s">
        <v>16929</v>
      </c>
      <c r="C8084" s="9" t="s">
        <v>17</v>
      </c>
      <c r="D8084" s="9" t="s">
        <v>18</v>
      </c>
      <c r="E8084" s="10" t="s">
        <v>273</v>
      </c>
      <c r="F8084" s="9" t="s">
        <v>274</v>
      </c>
      <c r="G8084" s="10" t="s">
        <v>34</v>
      </c>
      <c r="H8084" s="9" t="s">
        <v>22</v>
      </c>
      <c r="I8084" s="9" t="s">
        <v>17406</v>
      </c>
      <c r="J8084" s="10" t="str">
        <f>HYPERLINK("https://www.boe.es/gazeta/dias/1834/08/31/pdfs/GMD-D-1834-198.pdf#page=1","Abrir facsímil")</f>
        <v>Abrir facsímil</v>
      </c>
      <c r="K8084" s="10" t="s">
        <v>24</v>
      </c>
    </row>
    <row r="8085" spans="1:11" ht="54" customHeight="1">
      <c r="A8085" s="9" t="s">
        <v>16929</v>
      </c>
      <c r="B8085" s="9" t="s">
        <v>16929</v>
      </c>
      <c r="C8085" s="9" t="s">
        <v>17</v>
      </c>
      <c r="D8085" s="9" t="s">
        <v>18</v>
      </c>
      <c r="E8085" s="10" t="s">
        <v>273</v>
      </c>
      <c r="F8085" s="9" t="s">
        <v>274</v>
      </c>
      <c r="G8085" s="10" t="s">
        <v>86</v>
      </c>
      <c r="H8085" s="9" t="s">
        <v>22</v>
      </c>
      <c r="I8085" s="9" t="s">
        <v>17407</v>
      </c>
      <c r="J8085" s="10" t="str">
        <f>HYPERLINK("https://www.boe.es/gazeta/dias/1834/08/31/pdfs/GMD-D-1834-198.pdf#page=2","Abrir facsímil")</f>
        <v>Abrir facsímil</v>
      </c>
      <c r="K8085" s="10" t="s">
        <v>24</v>
      </c>
    </row>
    <row r="8086" spans="1:11" ht="54" customHeight="1">
      <c r="A8086" s="9" t="s">
        <v>16929</v>
      </c>
      <c r="B8086" s="9" t="s">
        <v>16929</v>
      </c>
      <c r="C8086" s="9" t="s">
        <v>17</v>
      </c>
      <c r="D8086" s="9" t="s">
        <v>18</v>
      </c>
      <c r="E8086" s="10" t="s">
        <v>273</v>
      </c>
      <c r="F8086" s="9" t="s">
        <v>274</v>
      </c>
      <c r="G8086" s="10" t="s">
        <v>75</v>
      </c>
      <c r="H8086" s="9" t="s">
        <v>22</v>
      </c>
      <c r="I8086" s="9" t="s">
        <v>17408</v>
      </c>
      <c r="J8086" s="10" t="str">
        <f>HYPERLINK("https://www.boe.es/gazeta/dias/1834/08/31/pdfs/GMD-C-1834-198.pdf#page=4","Abrir facsímil")</f>
        <v>Abrir facsímil</v>
      </c>
      <c r="K8086" s="10" t="s">
        <v>24</v>
      </c>
    </row>
    <row r="8087" spans="1:11" ht="54" customHeight="1">
      <c r="A8087" s="9" t="s">
        <v>16929</v>
      </c>
      <c r="B8087" s="9" t="s">
        <v>16929</v>
      </c>
      <c r="C8087" s="9" t="s">
        <v>17</v>
      </c>
      <c r="D8087" s="9" t="s">
        <v>18</v>
      </c>
      <c r="E8087" s="10" t="s">
        <v>891</v>
      </c>
      <c r="F8087" s="9" t="s">
        <v>3608</v>
      </c>
      <c r="G8087" s="10" t="s">
        <v>34</v>
      </c>
      <c r="H8087" s="9" t="s">
        <v>22</v>
      </c>
      <c r="I8087" s="9" t="s">
        <v>17409</v>
      </c>
      <c r="J8087" s="10" t="str">
        <f>HYPERLINK("https://www.boe.es/gazeta/dias/1834/10/31/pdfs/GMD-1834-259.pdf#page=1","Abrir facsímil")</f>
        <v>Abrir facsímil</v>
      </c>
      <c r="K8087" s="10" t="s">
        <v>24</v>
      </c>
    </row>
    <row r="8088" spans="1:11" ht="54" customHeight="1">
      <c r="A8088" s="9" t="s">
        <v>16929</v>
      </c>
      <c r="B8088" s="9" t="s">
        <v>16929</v>
      </c>
      <c r="C8088" s="9" t="s">
        <v>17</v>
      </c>
      <c r="D8088" s="9" t="s">
        <v>18</v>
      </c>
      <c r="E8088" s="10" t="s">
        <v>891</v>
      </c>
      <c r="F8088" s="9" t="s">
        <v>892</v>
      </c>
      <c r="G8088" s="10" t="s">
        <v>86</v>
      </c>
      <c r="H8088" s="9" t="s">
        <v>22</v>
      </c>
      <c r="I8088" s="9" t="s">
        <v>17410</v>
      </c>
      <c r="J8088" s="10" t="str">
        <f>HYPERLINK("https://www.boe.es/gazeta/dias/1834/10/31/pdfs/GMD-C-1834-259.pdf#page=2","Abrir facsímil")</f>
        <v>Abrir facsímil</v>
      </c>
      <c r="K8088" s="10" t="s">
        <v>24</v>
      </c>
    </row>
    <row r="8089" spans="1:11" ht="54" customHeight="1">
      <c r="A8089" s="9" t="s">
        <v>16929</v>
      </c>
      <c r="B8089" s="9" t="s">
        <v>16929</v>
      </c>
      <c r="C8089" s="9" t="s">
        <v>90</v>
      </c>
      <c r="D8089" s="9" t="s">
        <v>18</v>
      </c>
      <c r="E8089" s="10" t="s">
        <v>192</v>
      </c>
      <c r="F8089" s="9" t="s">
        <v>193</v>
      </c>
      <c r="G8089" s="10" t="s">
        <v>34</v>
      </c>
      <c r="H8089" s="9" t="s">
        <v>22</v>
      </c>
      <c r="I8089" s="9" t="s">
        <v>17411</v>
      </c>
      <c r="J8089" s="10" t="str">
        <f>HYPERLINK("https://www.boe.es/gazeta/dias/1834/12/31/pdfs/GMD-1834-321.pdf#page=1","Abrir facsímil")</f>
        <v>Abrir facsímil</v>
      </c>
      <c r="K8089" s="10" t="s">
        <v>24</v>
      </c>
    </row>
    <row r="8090" spans="1:11" ht="54" customHeight="1">
      <c r="A8090" s="9" t="s">
        <v>16929</v>
      </c>
      <c r="B8090" s="9" t="s">
        <v>16929</v>
      </c>
      <c r="C8090" s="9" t="s">
        <v>122</v>
      </c>
      <c r="D8090" s="9" t="s">
        <v>101</v>
      </c>
      <c r="E8090" s="10" t="s">
        <v>192</v>
      </c>
      <c r="F8090" s="9" t="s">
        <v>193</v>
      </c>
      <c r="G8090" s="10" t="s">
        <v>75</v>
      </c>
      <c r="H8090" s="9" t="s">
        <v>22</v>
      </c>
      <c r="I8090" s="9" t="s">
        <v>17412</v>
      </c>
      <c r="J8090" s="10" t="str">
        <f>HYPERLINK("https://www.boe.es/gazeta/dias/1834/12/31/pdfs/GMD-1834-321.pdf#page=4","Abrir facsímil")</f>
        <v>Abrir facsímil</v>
      </c>
      <c r="K8090" s="10" t="s">
        <v>24</v>
      </c>
    </row>
    <row r="8091" spans="1:11" ht="54" customHeight="1">
      <c r="A8091" s="9" t="s">
        <v>17413</v>
      </c>
      <c r="B8091" s="9" t="s">
        <v>17413</v>
      </c>
      <c r="C8091" s="9" t="s">
        <v>90</v>
      </c>
      <c r="D8091" s="9" t="s">
        <v>101</v>
      </c>
      <c r="E8091" s="10" t="s">
        <v>1025</v>
      </c>
      <c r="F8091" s="9" t="s">
        <v>1026</v>
      </c>
      <c r="G8091" s="10" t="s">
        <v>34</v>
      </c>
      <c r="H8091" s="9" t="s">
        <v>22</v>
      </c>
      <c r="I8091" s="9" t="s">
        <v>17414</v>
      </c>
      <c r="J8091" s="10" t="str">
        <f>HYPERLINK("https://www.boe.es/gazeta/dias/1834/03/01/pdfs/GMD-1834-27.pdf#page=1","Abrir facsímil")</f>
        <v>Abrir facsímil</v>
      </c>
      <c r="K8091" s="10" t="s">
        <v>24</v>
      </c>
    </row>
    <row r="8092" spans="1:11" ht="54" customHeight="1">
      <c r="A8092" s="9" t="s">
        <v>17413</v>
      </c>
      <c r="B8092" s="9" t="s">
        <v>17413</v>
      </c>
      <c r="C8092" s="9" t="s">
        <v>17</v>
      </c>
      <c r="D8092" s="9" t="s">
        <v>18</v>
      </c>
      <c r="E8092" s="10" t="s">
        <v>863</v>
      </c>
      <c r="F8092" s="9" t="s">
        <v>864</v>
      </c>
      <c r="G8092" s="10" t="s">
        <v>75</v>
      </c>
      <c r="H8092" s="9" t="s">
        <v>22</v>
      </c>
      <c r="I8092" s="9" t="s">
        <v>17415</v>
      </c>
      <c r="J8092" s="10" t="str">
        <f>HYPERLINK("https://www.boe.es/gazeta/dias/1834/09/15/pdfs/GMD-1834-213.pdf#page=4","Abrir facsímil")</f>
        <v>Abrir facsímil</v>
      </c>
      <c r="K8092" s="10" t="s">
        <v>24</v>
      </c>
    </row>
    <row r="8093" spans="1:11" ht="54" customHeight="1">
      <c r="A8093" s="9" t="s">
        <v>17413</v>
      </c>
      <c r="B8093" s="9" t="s">
        <v>17413</v>
      </c>
      <c r="C8093" s="9" t="s">
        <v>122</v>
      </c>
      <c r="D8093" s="9" t="s">
        <v>18</v>
      </c>
      <c r="E8093" s="10" t="s">
        <v>233</v>
      </c>
      <c r="F8093" s="9" t="s">
        <v>1810</v>
      </c>
      <c r="G8093" s="10" t="s">
        <v>560</v>
      </c>
      <c r="H8093" s="9" t="s">
        <v>22</v>
      </c>
      <c r="I8093" s="9" t="s">
        <v>17416</v>
      </c>
      <c r="J8093" s="10" t="str">
        <f>HYPERLINK("https://www.boe.es/gazeta/dias/1834/12/16/pdfs/GMD-C-1834-305.pdf#page=7","Abrir facsímil")</f>
        <v>Abrir facsímil</v>
      </c>
      <c r="K8093" s="10" t="s">
        <v>24</v>
      </c>
    </row>
    <row r="8094" spans="1:11" ht="54" customHeight="1">
      <c r="A8094" s="9" t="s">
        <v>17413</v>
      </c>
      <c r="B8094" s="9" t="s">
        <v>17413</v>
      </c>
      <c r="C8094" s="9" t="s">
        <v>17</v>
      </c>
      <c r="D8094" s="9" t="s">
        <v>18</v>
      </c>
      <c r="E8094" s="10" t="s">
        <v>1365</v>
      </c>
      <c r="F8094" s="9" t="s">
        <v>1366</v>
      </c>
      <c r="G8094" s="10" t="s">
        <v>75</v>
      </c>
      <c r="H8094" s="9" t="s">
        <v>22</v>
      </c>
      <c r="I8094" s="9" t="s">
        <v>17417</v>
      </c>
      <c r="J8094" s="10" t="str">
        <f>HYPERLINK("https://www.boe.es/gazeta/dias/1834/06/20/pdfs/GMD-1834-123.pdf#page=4","Abrir facsímil")</f>
        <v>Abrir facsímil</v>
      </c>
      <c r="K8094" s="10" t="s">
        <v>24</v>
      </c>
    </row>
    <row r="8095" spans="1:11" ht="54" customHeight="1">
      <c r="A8095" s="9" t="s">
        <v>17418</v>
      </c>
      <c r="B8095" s="9" t="s">
        <v>17419</v>
      </c>
      <c r="C8095" s="9" t="s">
        <v>122</v>
      </c>
      <c r="D8095" s="9" t="s">
        <v>18</v>
      </c>
      <c r="E8095" s="10" t="s">
        <v>438</v>
      </c>
      <c r="F8095" s="9" t="s">
        <v>439</v>
      </c>
      <c r="G8095" s="10" t="s">
        <v>75</v>
      </c>
      <c r="H8095" s="9" t="s">
        <v>22</v>
      </c>
      <c r="I8095" s="9" t="s">
        <v>17420</v>
      </c>
      <c r="J8095" s="10" t="str">
        <f>HYPERLINK("https://www.boe.es/gazeta/dias/1834/11/09/pdfs/GMD-1834-268.pdf#page=4","Abrir facsímil")</f>
        <v>Abrir facsímil</v>
      </c>
      <c r="K8095" s="10" t="s">
        <v>24</v>
      </c>
    </row>
    <row r="8096" spans="1:11" ht="54" customHeight="1">
      <c r="A8096" s="9" t="s">
        <v>17421</v>
      </c>
      <c r="B8096" s="9" t="s">
        <v>17422</v>
      </c>
      <c r="C8096" s="9" t="s">
        <v>17</v>
      </c>
      <c r="D8096" s="9" t="s">
        <v>18</v>
      </c>
      <c r="E8096" s="10" t="s">
        <v>571</v>
      </c>
      <c r="F8096" s="9" t="s">
        <v>620</v>
      </c>
      <c r="G8096" s="10" t="s">
        <v>176</v>
      </c>
      <c r="H8096" s="9" t="s">
        <v>22</v>
      </c>
      <c r="I8096" s="9" t="s">
        <v>17423</v>
      </c>
      <c r="J8096" s="10" t="str">
        <f>HYPERLINK("https://www.boe.es/gazeta/dias/1834/09/04/pdfs/GMD-C-1834-202.pdf#page=6","Abrir facsímil")</f>
        <v>Abrir facsímil</v>
      </c>
      <c r="K8096" s="10" t="s">
        <v>24</v>
      </c>
    </row>
    <row r="8097" spans="1:11" ht="54" customHeight="1">
      <c r="A8097" s="9" t="s">
        <v>17424</v>
      </c>
      <c r="B8097" s="9" t="s">
        <v>17425</v>
      </c>
      <c r="C8097" s="9" t="s">
        <v>66</v>
      </c>
      <c r="D8097" s="9" t="s">
        <v>67</v>
      </c>
      <c r="E8097" s="10" t="s">
        <v>158</v>
      </c>
      <c r="F8097" s="9" t="s">
        <v>159</v>
      </c>
      <c r="G8097" s="10" t="s">
        <v>34</v>
      </c>
      <c r="H8097" s="9" t="s">
        <v>35</v>
      </c>
      <c r="I8097" s="9" t="s">
        <v>17426</v>
      </c>
      <c r="J8097" s="10" t="str">
        <f>HYPERLINK("https://www.boe.es/gazeta/dias/1834/10/01/pdfs/GMD-1834-229.pdf#page=1","Abrir facsímil")</f>
        <v>Abrir facsímil</v>
      </c>
      <c r="K8097" s="10" t="s">
        <v>37</v>
      </c>
    </row>
    <row r="8098" spans="1:11" ht="54" customHeight="1">
      <c r="A8098" s="9" t="s">
        <v>17424</v>
      </c>
      <c r="B8098" s="9" t="s">
        <v>17425</v>
      </c>
      <c r="C8098" s="9" t="s">
        <v>90</v>
      </c>
      <c r="D8098" s="9" t="s">
        <v>101</v>
      </c>
      <c r="E8098" s="10" t="s">
        <v>163</v>
      </c>
      <c r="F8098" s="9" t="s">
        <v>164</v>
      </c>
      <c r="G8098" s="10" t="s">
        <v>34</v>
      </c>
      <c r="H8098" s="9" t="s">
        <v>35</v>
      </c>
      <c r="I8098" s="9" t="s">
        <v>17427</v>
      </c>
      <c r="J8098" s="10" t="str">
        <f>HYPERLINK("https://www.boe.es/gazeta/dias/1834/08/09/pdfs/GMD-1834-174.pdf#page=1","Abrir facsímil")</f>
        <v>Abrir facsímil</v>
      </c>
      <c r="K8098" s="10" t="s">
        <v>37</v>
      </c>
    </row>
    <row r="8099" spans="1:11" ht="54" customHeight="1">
      <c r="A8099" s="9" t="s">
        <v>17424</v>
      </c>
      <c r="B8099" s="9" t="s">
        <v>17425</v>
      </c>
      <c r="C8099" s="9" t="s">
        <v>17</v>
      </c>
      <c r="D8099" s="9" t="s">
        <v>101</v>
      </c>
      <c r="E8099" s="10" t="s">
        <v>96</v>
      </c>
      <c r="F8099" s="9" t="s">
        <v>1725</v>
      </c>
      <c r="G8099" s="10" t="s">
        <v>34</v>
      </c>
      <c r="H8099" s="9" t="s">
        <v>35</v>
      </c>
      <c r="I8099" s="9" t="s">
        <v>17428</v>
      </c>
      <c r="J8099" s="10" t="str">
        <f>HYPERLINK("https://www.boe.es/gazeta/dias/1834/11/11/pdfs/GMD-1834-270.pdf#page=1","Abrir facsímil")</f>
        <v>Abrir facsímil</v>
      </c>
      <c r="K8099" s="10" t="s">
        <v>37</v>
      </c>
    </row>
    <row r="8100" spans="1:11" ht="54" customHeight="1">
      <c r="A8100" s="9" t="s">
        <v>17424</v>
      </c>
      <c r="B8100" s="9" t="s">
        <v>17425</v>
      </c>
      <c r="C8100" s="9" t="s">
        <v>17</v>
      </c>
      <c r="D8100" s="9" t="s">
        <v>18</v>
      </c>
      <c r="E8100" s="10" t="s">
        <v>1922</v>
      </c>
      <c r="F8100" s="9" t="s">
        <v>1923</v>
      </c>
      <c r="G8100" s="10" t="s">
        <v>34</v>
      </c>
      <c r="H8100" s="9" t="s">
        <v>35</v>
      </c>
      <c r="I8100" s="9" t="s">
        <v>17429</v>
      </c>
      <c r="J8100" s="10" t="str">
        <f>HYPERLINK("https://www.boe.es/gazeta/dias/1834/02/25/pdfs/GMD-1834-25.pdf#page=1","Abrir facsímil")</f>
        <v>Abrir facsímil</v>
      </c>
      <c r="K8100" s="10" t="s">
        <v>37</v>
      </c>
    </row>
    <row r="8101" spans="1:11" ht="54" customHeight="1">
      <c r="A8101" s="9" t="s">
        <v>17430</v>
      </c>
      <c r="B8101" s="9" t="s">
        <v>17431</v>
      </c>
      <c r="C8101" s="9" t="s">
        <v>46</v>
      </c>
      <c r="D8101" s="9" t="s">
        <v>101</v>
      </c>
      <c r="E8101" s="10" t="s">
        <v>1438</v>
      </c>
      <c r="F8101" s="9" t="s">
        <v>1439</v>
      </c>
      <c r="G8101" s="10" t="s">
        <v>34</v>
      </c>
      <c r="H8101" s="9" t="s">
        <v>35</v>
      </c>
      <c r="I8101" s="9" t="s">
        <v>17432</v>
      </c>
      <c r="J8101" s="10" t="str">
        <f>HYPERLINK("https://www.boe.es/gazeta/dias/1834/05/13/pdfs/GMD-1834-82.pdf#page=1","Abrir facsímil")</f>
        <v>Abrir facsímil</v>
      </c>
      <c r="K8101" s="10" t="s">
        <v>37</v>
      </c>
    </row>
    <row r="8102" spans="1:11" ht="54" customHeight="1">
      <c r="A8102" s="9" t="s">
        <v>17433</v>
      </c>
      <c r="B8102" s="9" t="s">
        <v>17434</v>
      </c>
      <c r="C8102" s="9" t="s">
        <v>122</v>
      </c>
      <c r="D8102" s="9" t="s">
        <v>101</v>
      </c>
      <c r="E8102" s="10" t="s">
        <v>2729</v>
      </c>
      <c r="F8102" s="9" t="s">
        <v>2730</v>
      </c>
      <c r="G8102" s="10" t="s">
        <v>34</v>
      </c>
      <c r="H8102" s="9" t="s">
        <v>35</v>
      </c>
      <c r="I8102" s="9" t="s">
        <v>17435</v>
      </c>
      <c r="J8102" s="10" t="str">
        <f>HYPERLINK("https://www.boe.es/gazeta/dias/1834/07/02/pdfs/GMD-1834-135.pdf#page=1","Abrir facsímil")</f>
        <v>Abrir facsímil</v>
      </c>
      <c r="K8102" s="10" t="s">
        <v>37</v>
      </c>
    </row>
    <row r="8103" spans="1:11" ht="54" customHeight="1">
      <c r="A8103" s="9" t="s">
        <v>17433</v>
      </c>
      <c r="B8103" s="9" t="s">
        <v>17434</v>
      </c>
      <c r="C8103" s="9" t="s">
        <v>17</v>
      </c>
      <c r="D8103" s="9" t="s">
        <v>18</v>
      </c>
      <c r="E8103" s="10" t="s">
        <v>479</v>
      </c>
      <c r="F8103" s="9" t="s">
        <v>480</v>
      </c>
      <c r="G8103" s="10" t="s">
        <v>34</v>
      </c>
      <c r="H8103" s="9" t="s">
        <v>35</v>
      </c>
      <c r="I8103" s="9" t="s">
        <v>17436</v>
      </c>
      <c r="J8103" s="10" t="str">
        <f>HYPERLINK("https://www.boe.es/gazeta/dias/1834/08/13/pdfs/GMD-1834-178.pdf#page=1","Abrir facsímil")</f>
        <v>Abrir facsímil</v>
      </c>
      <c r="K8103" s="10" t="s">
        <v>37</v>
      </c>
    </row>
    <row r="8104" spans="1:11" ht="54" customHeight="1">
      <c r="A8104" s="9" t="s">
        <v>17437</v>
      </c>
      <c r="B8104" s="9" t="s">
        <v>17438</v>
      </c>
      <c r="C8104" s="9" t="s">
        <v>90</v>
      </c>
      <c r="D8104" s="9" t="s">
        <v>18</v>
      </c>
      <c r="E8104" s="10" t="s">
        <v>1850</v>
      </c>
      <c r="F8104" s="9" t="s">
        <v>1851</v>
      </c>
      <c r="G8104" s="10" t="s">
        <v>21</v>
      </c>
      <c r="H8104" s="9" t="s">
        <v>22</v>
      </c>
      <c r="I8104" s="9" t="s">
        <v>17439</v>
      </c>
      <c r="J8104" s="10" t="str">
        <f>HYPERLINK("https://www.boe.es/gazeta/dias/1834/02/18/pdfs/GMD-1834-22.pdf#page=3","Abrir facsímil")</f>
        <v>Abrir facsímil</v>
      </c>
      <c r="K8104" s="10" t="s">
        <v>24</v>
      </c>
    </row>
    <row r="8105" spans="1:11" ht="54" customHeight="1">
      <c r="A8105" s="9" t="s">
        <v>17437</v>
      </c>
      <c r="B8105" s="9" t="s">
        <v>17438</v>
      </c>
      <c r="C8105" s="9" t="s">
        <v>122</v>
      </c>
      <c r="D8105" s="9" t="s">
        <v>55</v>
      </c>
      <c r="E8105" s="10" t="s">
        <v>1850</v>
      </c>
      <c r="F8105" s="9" t="s">
        <v>1851</v>
      </c>
      <c r="G8105" s="10" t="s">
        <v>75</v>
      </c>
      <c r="H8105" s="9" t="s">
        <v>22</v>
      </c>
      <c r="I8105" s="9" t="s">
        <v>17440</v>
      </c>
      <c r="J8105" s="10" t="str">
        <f>HYPERLINK("https://www.boe.es/gazeta/dias/1834/02/18/pdfs/GMD-1834-22.pdf#page=4","Abrir facsímil")</f>
        <v>Abrir facsímil</v>
      </c>
      <c r="K8105" s="10" t="s">
        <v>24</v>
      </c>
    </row>
    <row r="8106" spans="1:11" ht="54" customHeight="1">
      <c r="A8106" s="9" t="s">
        <v>17441</v>
      </c>
      <c r="B8106" s="9" t="s">
        <v>17442</v>
      </c>
      <c r="C8106" s="9" t="s">
        <v>17</v>
      </c>
      <c r="D8106" s="9" t="s">
        <v>101</v>
      </c>
      <c r="E8106" s="10" t="s">
        <v>317</v>
      </c>
      <c r="F8106" s="9" t="s">
        <v>318</v>
      </c>
      <c r="G8106" s="10" t="s">
        <v>34</v>
      </c>
      <c r="H8106" s="9" t="s">
        <v>35</v>
      </c>
      <c r="I8106" s="9" t="s">
        <v>17443</v>
      </c>
      <c r="J8106" s="10" t="str">
        <f>HYPERLINK("https://www.boe.es/gazeta/dias/1834/03/06/pdfs/GMD-1834-29.pdf#page=1","Abrir facsímil")</f>
        <v>Abrir facsímil</v>
      </c>
      <c r="K8106" s="10" t="s">
        <v>37</v>
      </c>
    </row>
    <row r="8107" spans="1:11" ht="54" customHeight="1">
      <c r="A8107" s="9" t="s">
        <v>17441</v>
      </c>
      <c r="B8107" s="9" t="s">
        <v>17442</v>
      </c>
      <c r="C8107" s="9" t="s">
        <v>66</v>
      </c>
      <c r="D8107" s="9" t="s">
        <v>67</v>
      </c>
      <c r="E8107" s="10" t="s">
        <v>399</v>
      </c>
      <c r="F8107" s="9" t="s">
        <v>400</v>
      </c>
      <c r="G8107" s="10" t="s">
        <v>34</v>
      </c>
      <c r="H8107" s="9" t="s">
        <v>35</v>
      </c>
      <c r="I8107" s="9" t="s">
        <v>17444</v>
      </c>
      <c r="J8107" s="10" t="str">
        <f>HYPERLINK("https://www.boe.es/gazeta/dias/1834/07/08/pdfs/GMD-1834-141.pdf#page=1","Abrir facsímil")</f>
        <v>Abrir facsímil</v>
      </c>
      <c r="K8107" s="10" t="s">
        <v>37</v>
      </c>
    </row>
    <row r="8108" spans="1:11" ht="54" customHeight="1">
      <c r="A8108" s="9" t="s">
        <v>17441</v>
      </c>
      <c r="B8108" s="9" t="s">
        <v>17442</v>
      </c>
      <c r="C8108" s="9" t="s">
        <v>122</v>
      </c>
      <c r="D8108" s="9" t="s">
        <v>18</v>
      </c>
      <c r="E8108" s="10" t="s">
        <v>912</v>
      </c>
      <c r="F8108" s="9" t="s">
        <v>913</v>
      </c>
      <c r="G8108" s="10" t="s">
        <v>86</v>
      </c>
      <c r="H8108" s="9" t="s">
        <v>35</v>
      </c>
      <c r="I8108" s="9" t="s">
        <v>17445</v>
      </c>
      <c r="J8108" s="10" t="str">
        <f>HYPERLINK("https://www.boe.es/gazeta/dias/1834/02/15/pdfs/GMD-1834-21.pdf#page=2","Abrir facsímil")</f>
        <v>Abrir facsímil</v>
      </c>
      <c r="K8108" s="10" t="s">
        <v>37</v>
      </c>
    </row>
    <row r="8109" spans="1:11" ht="54" customHeight="1">
      <c r="A8109" s="9" t="s">
        <v>17441</v>
      </c>
      <c r="B8109" s="9" t="s">
        <v>17442</v>
      </c>
      <c r="C8109" s="9" t="s">
        <v>122</v>
      </c>
      <c r="D8109" s="9" t="s">
        <v>18</v>
      </c>
      <c r="E8109" s="10" t="s">
        <v>1686</v>
      </c>
      <c r="F8109" s="9" t="s">
        <v>1687</v>
      </c>
      <c r="G8109" s="10" t="s">
        <v>34</v>
      </c>
      <c r="H8109" s="9" t="s">
        <v>35</v>
      </c>
      <c r="I8109" s="9" t="s">
        <v>17446</v>
      </c>
      <c r="J8109" s="10" t="str">
        <f>HYPERLINK("https://www.boe.es/gazeta/dias/1834/07/27/pdfs/GMD-1834-160.pdf#page=1","Abrir facsímil")</f>
        <v>Abrir facsímil</v>
      </c>
      <c r="K8109" s="10" t="s">
        <v>37</v>
      </c>
    </row>
    <row r="8110" spans="1:11" ht="54" customHeight="1">
      <c r="A8110" s="9" t="s">
        <v>17447</v>
      </c>
      <c r="B8110" s="9" t="s">
        <v>17448</v>
      </c>
      <c r="C8110" s="9" t="s">
        <v>46</v>
      </c>
      <c r="D8110" s="9" t="s">
        <v>101</v>
      </c>
      <c r="E8110" s="10" t="s">
        <v>4064</v>
      </c>
      <c r="F8110" s="9" t="s">
        <v>4065</v>
      </c>
      <c r="G8110" s="10" t="s">
        <v>86</v>
      </c>
      <c r="H8110" s="9" t="s">
        <v>35</v>
      </c>
      <c r="I8110" s="9" t="s">
        <v>17449</v>
      </c>
      <c r="J8110" s="10" t="str">
        <f>HYPERLINK("https://www.boe.es/gazeta/dias/1834/07/22/pdfs/GMD-1834-155.pdf#page=2","Abrir facsímil")</f>
        <v>Abrir facsímil</v>
      </c>
      <c r="K8110" s="10" t="s">
        <v>37</v>
      </c>
    </row>
    <row r="8111" spans="1:11" ht="54" customHeight="1">
      <c r="A8111" s="9" t="s">
        <v>17450</v>
      </c>
      <c r="B8111" s="9" t="s">
        <v>17451</v>
      </c>
      <c r="C8111" s="9" t="s">
        <v>17</v>
      </c>
      <c r="D8111" s="9" t="s">
        <v>101</v>
      </c>
      <c r="E8111" s="10" t="s">
        <v>1850</v>
      </c>
      <c r="F8111" s="9" t="s">
        <v>1851</v>
      </c>
      <c r="G8111" s="10" t="s">
        <v>21</v>
      </c>
      <c r="H8111" s="9" t="s">
        <v>35</v>
      </c>
      <c r="I8111" s="9" t="s">
        <v>17452</v>
      </c>
      <c r="J8111" s="10" t="str">
        <f>HYPERLINK("https://www.boe.es/gazeta/dias/1834/02/18/pdfs/GMD-1834-22.pdf#page=3","Abrir facsímil")</f>
        <v>Abrir facsímil</v>
      </c>
      <c r="K8111" s="10" t="s">
        <v>37</v>
      </c>
    </row>
    <row r="8112" spans="1:11" ht="54" customHeight="1">
      <c r="A8112" s="9" t="s">
        <v>17453</v>
      </c>
      <c r="B8112" s="9" t="s">
        <v>17454</v>
      </c>
      <c r="C8112" s="9" t="s">
        <v>46</v>
      </c>
      <c r="D8112" s="9" t="s">
        <v>101</v>
      </c>
      <c r="E8112" s="10" t="s">
        <v>1402</v>
      </c>
      <c r="F8112" s="9" t="s">
        <v>1403</v>
      </c>
      <c r="G8112" s="10" t="s">
        <v>21</v>
      </c>
      <c r="H8112" s="9" t="s">
        <v>35</v>
      </c>
      <c r="I8112" s="9" t="s">
        <v>17455</v>
      </c>
      <c r="J8112" s="10" t="str">
        <f>HYPERLINK("https://www.boe.es/gazeta/dias/1834/05/05/pdfs/GMD-1834-74.pdf#page=3","Abrir facsímil")</f>
        <v>Abrir facsímil</v>
      </c>
      <c r="K8112" s="10" t="s">
        <v>37</v>
      </c>
    </row>
    <row r="8113" spans="1:11" ht="54" customHeight="1">
      <c r="A8113" s="9" t="s">
        <v>17456</v>
      </c>
      <c r="B8113" s="9" t="s">
        <v>17457</v>
      </c>
      <c r="C8113" s="9" t="s">
        <v>17</v>
      </c>
      <c r="D8113" s="9" t="s">
        <v>18</v>
      </c>
      <c r="E8113" s="10" t="s">
        <v>5574</v>
      </c>
      <c r="F8113" s="9" t="s">
        <v>5575</v>
      </c>
      <c r="G8113" s="10" t="s">
        <v>34</v>
      </c>
      <c r="H8113" s="9" t="s">
        <v>22</v>
      </c>
      <c r="I8113" s="9" t="s">
        <v>17458</v>
      </c>
      <c r="J8113" s="10" t="str">
        <f>HYPERLINK("https://www.boe.es/gazeta/dias/1834/06/16/pdfs/GMD-1834-119.pdf#page=1","Abrir facsímil")</f>
        <v>Abrir facsímil</v>
      </c>
      <c r="K8113" s="10" t="s">
        <v>24</v>
      </c>
    </row>
    <row r="8114" spans="1:11" ht="54" customHeight="1">
      <c r="A8114" s="9" t="s">
        <v>17459</v>
      </c>
      <c r="B8114" s="9" t="s">
        <v>17460</v>
      </c>
      <c r="C8114" s="9" t="s">
        <v>17</v>
      </c>
      <c r="D8114" s="9" t="s">
        <v>18</v>
      </c>
      <c r="E8114" s="10" t="s">
        <v>2153</v>
      </c>
      <c r="F8114" s="9" t="s">
        <v>2154</v>
      </c>
      <c r="G8114" s="10" t="s">
        <v>34</v>
      </c>
      <c r="H8114" s="9" t="s">
        <v>35</v>
      </c>
      <c r="I8114" s="9" t="s">
        <v>17461</v>
      </c>
      <c r="J8114" s="10" t="str">
        <f>HYPERLINK("https://www.boe.es/gazeta/dias/1834/01/23/pdfs/GMD-1834-11.pdf#page=1","Abrir facsímil")</f>
        <v>Abrir facsímil</v>
      </c>
      <c r="K8114" s="10" t="s">
        <v>37</v>
      </c>
    </row>
    <row r="8115" spans="1:11" ht="54" customHeight="1">
      <c r="A8115" s="9" t="s">
        <v>17462</v>
      </c>
      <c r="B8115" s="9" t="s">
        <v>17463</v>
      </c>
      <c r="C8115" s="9" t="s">
        <v>66</v>
      </c>
      <c r="D8115" s="9" t="s">
        <v>55</v>
      </c>
      <c r="E8115" s="10" t="s">
        <v>1999</v>
      </c>
      <c r="F8115" s="9" t="s">
        <v>2000</v>
      </c>
      <c r="G8115" s="10" t="s">
        <v>34</v>
      </c>
      <c r="H8115" s="9" t="s">
        <v>22</v>
      </c>
      <c r="I8115" s="9" t="s">
        <v>17464</v>
      </c>
      <c r="J8115" s="10" t="str">
        <f>HYPERLINK("https://www.boe.es/gazeta/dias/1834/04/09/pdfs/GMD-1834-48.pdf#page=1","Abrir facsímil")</f>
        <v>Abrir facsímil</v>
      </c>
      <c r="K8115" s="10" t="s">
        <v>24</v>
      </c>
    </row>
    <row r="8116" spans="1:11" ht="54" customHeight="1">
      <c r="A8116" s="9" t="s">
        <v>17465</v>
      </c>
      <c r="B8116" s="9" t="s">
        <v>17466</v>
      </c>
      <c r="C8116" s="9" t="s">
        <v>17</v>
      </c>
      <c r="D8116" s="9" t="s">
        <v>18</v>
      </c>
      <c r="E8116" s="10" t="s">
        <v>1170</v>
      </c>
      <c r="F8116" s="9" t="s">
        <v>1171</v>
      </c>
      <c r="G8116" s="10" t="s">
        <v>21</v>
      </c>
      <c r="H8116" s="9" t="s">
        <v>35</v>
      </c>
      <c r="I8116" s="9" t="s">
        <v>17467</v>
      </c>
      <c r="J8116" s="10" t="str">
        <f>HYPERLINK("https://www.boe.es/gazeta/dias/1834/01/07/pdfs/GMD-1834-4.pdf#page=3","Abrir facsímil")</f>
        <v>Abrir facsímil</v>
      </c>
      <c r="K8116" s="10" t="s">
        <v>37</v>
      </c>
    </row>
    <row r="8117" spans="1:11" ht="54" customHeight="1">
      <c r="A8117" s="9" t="s">
        <v>17468</v>
      </c>
      <c r="B8117" s="9" t="s">
        <v>17469</v>
      </c>
      <c r="C8117" s="9" t="s">
        <v>46</v>
      </c>
      <c r="D8117" s="9" t="s">
        <v>101</v>
      </c>
      <c r="E8117" s="10" t="s">
        <v>3952</v>
      </c>
      <c r="F8117" s="9" t="s">
        <v>3953</v>
      </c>
      <c r="G8117" s="10" t="s">
        <v>34</v>
      </c>
      <c r="H8117" s="9" t="s">
        <v>35</v>
      </c>
      <c r="I8117" s="9" t="s">
        <v>17470</v>
      </c>
      <c r="J8117" s="10" t="str">
        <f>HYPERLINK("https://www.boe.es/gazeta/dias/1834/02/22/pdfs/GMD-1834-24.pdf#page=1","Abrir facsímil")</f>
        <v>Abrir facsímil</v>
      </c>
      <c r="K8117" s="10" t="s">
        <v>37</v>
      </c>
    </row>
    <row r="8118" spans="1:11" ht="54" customHeight="1">
      <c r="A8118" s="9" t="s">
        <v>17471</v>
      </c>
      <c r="B8118" s="9" t="s">
        <v>17472</v>
      </c>
      <c r="C8118" s="9" t="s">
        <v>66</v>
      </c>
      <c r="D8118" s="9" t="s">
        <v>67</v>
      </c>
      <c r="E8118" s="10" t="s">
        <v>3699</v>
      </c>
      <c r="F8118" s="9" t="s">
        <v>3700</v>
      </c>
      <c r="G8118" s="10" t="s">
        <v>86</v>
      </c>
      <c r="H8118" s="9" t="s">
        <v>22</v>
      </c>
      <c r="I8118" s="9" t="s">
        <v>17473</v>
      </c>
      <c r="J8118" s="10" t="str">
        <f>HYPERLINK("https://www.boe.es/gazeta/dias/1834/02/06/pdfs/GMD-1834-17.pdf#page=2","Abrir facsímil")</f>
        <v>Abrir facsímil</v>
      </c>
      <c r="K8118" s="10" t="s">
        <v>24</v>
      </c>
    </row>
    <row r="8119" spans="1:11" ht="54" customHeight="1">
      <c r="A8119" s="9" t="s">
        <v>17474</v>
      </c>
      <c r="B8119" s="9" t="s">
        <v>17475</v>
      </c>
      <c r="C8119" s="9" t="s">
        <v>66</v>
      </c>
      <c r="D8119" s="9" t="s">
        <v>67</v>
      </c>
      <c r="E8119" s="10" t="s">
        <v>61</v>
      </c>
      <c r="F8119" s="9" t="s">
        <v>62</v>
      </c>
      <c r="G8119" s="10" t="s">
        <v>34</v>
      </c>
      <c r="H8119" s="9" t="s">
        <v>35</v>
      </c>
      <c r="I8119" s="9" t="s">
        <v>17476</v>
      </c>
      <c r="J8119" s="10" t="str">
        <f>HYPERLINK("https://www.boe.es/gazeta/dias/1834/06/08/pdfs/GMD-1834-111E.pdf#page=1","Abrir facsímil")</f>
        <v>Abrir facsímil</v>
      </c>
      <c r="K8119" s="10" t="s">
        <v>37</v>
      </c>
    </row>
    <row r="8120" spans="1:11" ht="54" customHeight="1">
      <c r="A8120" s="9" t="s">
        <v>17477</v>
      </c>
      <c r="B8120" s="9" t="s">
        <v>17478</v>
      </c>
      <c r="C8120" s="9" t="s">
        <v>66</v>
      </c>
      <c r="D8120" s="9" t="s">
        <v>67</v>
      </c>
      <c r="E8120" s="10" t="s">
        <v>360</v>
      </c>
      <c r="F8120" s="9" t="s">
        <v>361</v>
      </c>
      <c r="G8120" s="10" t="s">
        <v>34</v>
      </c>
      <c r="H8120" s="9" t="s">
        <v>22</v>
      </c>
      <c r="I8120" s="9" t="s">
        <v>17479</v>
      </c>
      <c r="J8120" s="10" t="str">
        <f>HYPERLINK("https://www.boe.es/gazeta/dias/1834/04/07/pdfs/GMD-1834-46.pdf#page=1","Abrir facsímil")</f>
        <v>Abrir facsímil</v>
      </c>
      <c r="K8120" s="10" t="s">
        <v>24</v>
      </c>
    </row>
    <row r="8121" spans="1:11" ht="54" customHeight="1">
      <c r="A8121" s="9" t="s">
        <v>17480</v>
      </c>
      <c r="B8121" s="9" t="s">
        <v>17481</v>
      </c>
      <c r="C8121" s="9" t="s">
        <v>17</v>
      </c>
      <c r="D8121" s="9" t="s">
        <v>18</v>
      </c>
      <c r="E8121" s="10" t="s">
        <v>715</v>
      </c>
      <c r="F8121" s="9" t="s">
        <v>7773</v>
      </c>
      <c r="G8121" s="10" t="s">
        <v>34</v>
      </c>
      <c r="H8121" s="9" t="s">
        <v>22</v>
      </c>
      <c r="I8121" s="9" t="s">
        <v>17482</v>
      </c>
      <c r="J8121" s="10" t="str">
        <f>HYPERLINK("https://www.boe.es/gazeta/dias/1834/09/17/pdfs/GMD-1834-215.pdf#page=1","Abrir facsímil")</f>
        <v>Abrir facsímil</v>
      </c>
      <c r="K8121" s="10" t="s">
        <v>24</v>
      </c>
    </row>
    <row r="8122" spans="1:11" ht="54" customHeight="1">
      <c r="A8122" s="9" t="s">
        <v>17483</v>
      </c>
      <c r="B8122" s="9" t="s">
        <v>17484</v>
      </c>
      <c r="C8122" s="9" t="s">
        <v>90</v>
      </c>
      <c r="D8122" s="9" t="s">
        <v>101</v>
      </c>
      <c r="E8122" s="10" t="s">
        <v>56</v>
      </c>
      <c r="F8122" s="9" t="s">
        <v>57</v>
      </c>
      <c r="G8122" s="10" t="s">
        <v>34</v>
      </c>
      <c r="H8122" s="9" t="s">
        <v>35</v>
      </c>
      <c r="I8122" s="9" t="s">
        <v>17485</v>
      </c>
      <c r="J8122" s="10" t="str">
        <f>HYPERLINK("https://www.boe.es/gazeta/dias/1834/07/09/pdfs/GMD-1834-142.pdf#page=1","Abrir facsímil")</f>
        <v>Abrir facsímil</v>
      </c>
      <c r="K8122" s="10" t="s">
        <v>37</v>
      </c>
    </row>
    <row r="8123" spans="1:11" ht="54" customHeight="1">
      <c r="A8123" s="9" t="s">
        <v>17486</v>
      </c>
      <c r="B8123" s="9" t="s">
        <v>17487</v>
      </c>
      <c r="C8123" s="9" t="s">
        <v>122</v>
      </c>
      <c r="D8123" s="9" t="s">
        <v>18</v>
      </c>
      <c r="E8123" s="10" t="s">
        <v>304</v>
      </c>
      <c r="F8123" s="9" t="s">
        <v>305</v>
      </c>
      <c r="G8123" s="10" t="s">
        <v>86</v>
      </c>
      <c r="H8123" s="9" t="s">
        <v>35</v>
      </c>
      <c r="I8123" s="9" t="s">
        <v>17488</v>
      </c>
      <c r="J8123" s="10" t="str">
        <f>HYPERLINK("https://www.boe.es/gazeta/dias/1834/01/21/pdfs/GMD-1834-10.pdf#page=2","Abrir facsímil")</f>
        <v>Abrir facsímil</v>
      </c>
      <c r="K8123" s="10" t="s">
        <v>37</v>
      </c>
    </row>
    <row r="8124" spans="1:11" ht="54" customHeight="1">
      <c r="A8124" s="9" t="s">
        <v>17489</v>
      </c>
      <c r="B8124" s="9" t="s">
        <v>17490</v>
      </c>
      <c r="C8124" s="9" t="s">
        <v>90</v>
      </c>
      <c r="D8124" s="9" t="s">
        <v>55</v>
      </c>
      <c r="E8124" s="10" t="s">
        <v>258</v>
      </c>
      <c r="F8124" s="9" t="s">
        <v>1075</v>
      </c>
      <c r="G8124" s="10" t="s">
        <v>75</v>
      </c>
      <c r="H8124" s="9" t="s">
        <v>22</v>
      </c>
      <c r="I8124" s="9" t="s">
        <v>17491</v>
      </c>
      <c r="J8124" s="10" t="str">
        <f>HYPERLINK("https://www.boe.es/gazeta/dias/1834/10/09/pdfs/GMD-1834-237.pdf#page=4","Abrir facsímil")</f>
        <v>Abrir facsímil</v>
      </c>
      <c r="K8124" s="10" t="s">
        <v>24</v>
      </c>
    </row>
    <row r="8125" spans="1:11" ht="54" customHeight="1">
      <c r="A8125" s="9" t="s">
        <v>17492</v>
      </c>
      <c r="B8125" s="9" t="s">
        <v>17493</v>
      </c>
      <c r="C8125" s="9" t="s">
        <v>66</v>
      </c>
      <c r="D8125" s="9" t="s">
        <v>67</v>
      </c>
      <c r="E8125" s="10" t="s">
        <v>690</v>
      </c>
      <c r="F8125" s="9" t="s">
        <v>5765</v>
      </c>
      <c r="G8125" s="10" t="s">
        <v>21</v>
      </c>
      <c r="H8125" s="9" t="s">
        <v>22</v>
      </c>
      <c r="I8125" s="9" t="s">
        <v>17494</v>
      </c>
      <c r="J8125" s="10" t="str">
        <f>HYPERLINK("https://www.boe.es/gazeta/dias/1834/09/03/pdfs/GMD-1834-201.pdf#page=3","Abrir facsímil")</f>
        <v>Abrir facsímil</v>
      </c>
      <c r="K8125" s="10" t="s">
        <v>24</v>
      </c>
    </row>
    <row r="8126" spans="1:11" ht="54" customHeight="1">
      <c r="A8126" s="9" t="s">
        <v>17492</v>
      </c>
      <c r="B8126" s="9" t="s">
        <v>17493</v>
      </c>
      <c r="C8126" s="9" t="s">
        <v>17</v>
      </c>
      <c r="D8126" s="9" t="s">
        <v>101</v>
      </c>
      <c r="E8126" s="10" t="s">
        <v>2748</v>
      </c>
      <c r="F8126" s="9" t="s">
        <v>2749</v>
      </c>
      <c r="G8126" s="10" t="s">
        <v>34</v>
      </c>
      <c r="H8126" s="9" t="s">
        <v>22</v>
      </c>
      <c r="I8126" s="9" t="s">
        <v>17495</v>
      </c>
      <c r="J8126" s="10" t="str">
        <f>HYPERLINK("https://www.boe.es/gazeta/dias/1834/01/09/pdfs/GMD-1834-5.pdf#page=1","Abrir facsímil")</f>
        <v>Abrir facsímil</v>
      </c>
      <c r="K8126" s="10" t="s">
        <v>24</v>
      </c>
    </row>
    <row r="8127" spans="1:11" ht="54" customHeight="1">
      <c r="A8127" s="9" t="s">
        <v>17492</v>
      </c>
      <c r="B8127" s="9" t="s">
        <v>17493</v>
      </c>
      <c r="C8127" s="9" t="s">
        <v>17</v>
      </c>
      <c r="D8127" s="9" t="s">
        <v>18</v>
      </c>
      <c r="E8127" s="10" t="s">
        <v>1883</v>
      </c>
      <c r="F8127" s="9" t="s">
        <v>1884</v>
      </c>
      <c r="G8127" s="10" t="s">
        <v>34</v>
      </c>
      <c r="H8127" s="9" t="s">
        <v>22</v>
      </c>
      <c r="I8127" s="9" t="s">
        <v>17496</v>
      </c>
      <c r="J8127" s="10" t="str">
        <f>HYPERLINK("https://www.boe.es/gazeta/dias/1834/01/11/pdfs/GMD-1834-6.pdf#page=1","Abrir facsímil")</f>
        <v>Abrir facsímil</v>
      </c>
      <c r="K8127" s="10" t="s">
        <v>24</v>
      </c>
    </row>
    <row r="8128" spans="1:11" ht="54" customHeight="1">
      <c r="A8128" s="9" t="s">
        <v>17492</v>
      </c>
      <c r="B8128" s="9" t="s">
        <v>17493</v>
      </c>
      <c r="C8128" s="9" t="s">
        <v>66</v>
      </c>
      <c r="D8128" s="9" t="s">
        <v>67</v>
      </c>
      <c r="E8128" s="10" t="s">
        <v>41</v>
      </c>
      <c r="F8128" s="9" t="s">
        <v>42</v>
      </c>
      <c r="G8128" s="10" t="s">
        <v>75</v>
      </c>
      <c r="H8128" s="9" t="s">
        <v>22</v>
      </c>
      <c r="I8128" s="9" t="s">
        <v>17497</v>
      </c>
      <c r="J8128" s="10" t="str">
        <f>HYPERLINK("https://www.boe.es/gazeta/dias/1834/06/11/pdfs/GMD-1834-114.pdf#page=4","Abrir facsímil")</f>
        <v>Abrir facsímil</v>
      </c>
      <c r="K8128" s="10" t="s">
        <v>24</v>
      </c>
    </row>
    <row r="8129" spans="1:11" ht="54" customHeight="1">
      <c r="A8129" s="9" t="s">
        <v>17492</v>
      </c>
      <c r="B8129" s="9" t="s">
        <v>17493</v>
      </c>
      <c r="C8129" s="9" t="s">
        <v>17</v>
      </c>
      <c r="D8129" s="9" t="s">
        <v>18</v>
      </c>
      <c r="E8129" s="10" t="s">
        <v>2098</v>
      </c>
      <c r="F8129" s="9" t="s">
        <v>2099</v>
      </c>
      <c r="G8129" s="10" t="s">
        <v>21</v>
      </c>
      <c r="H8129" s="9" t="s">
        <v>22</v>
      </c>
      <c r="I8129" s="9" t="s">
        <v>17498</v>
      </c>
      <c r="J8129" s="10" t="str">
        <f>HYPERLINK("https://www.boe.es/gazeta/dias/1834/08/11/pdfs/GMD-1834-176.pdf#page=3","Abrir facsímil")</f>
        <v>Abrir facsímil</v>
      </c>
      <c r="K8129" s="10" t="s">
        <v>24</v>
      </c>
    </row>
    <row r="8130" spans="1:11" ht="54" customHeight="1">
      <c r="A8130" s="9" t="s">
        <v>17492</v>
      </c>
      <c r="B8130" s="9" t="s">
        <v>17493</v>
      </c>
      <c r="C8130" s="9" t="s">
        <v>17</v>
      </c>
      <c r="D8130" s="9" t="s">
        <v>18</v>
      </c>
      <c r="E8130" s="10" t="s">
        <v>2098</v>
      </c>
      <c r="F8130" s="9" t="s">
        <v>5817</v>
      </c>
      <c r="G8130" s="10" t="s">
        <v>34</v>
      </c>
      <c r="H8130" s="9" t="s">
        <v>22</v>
      </c>
      <c r="I8130" s="9" t="s">
        <v>17499</v>
      </c>
      <c r="J8130" s="10" t="str">
        <f>HYPERLINK("https://www.boe.es/gazeta/dias/1834/08/11/pdfs/GMD-C-1834-176.pdf#page=1","Abrir facsímil")</f>
        <v>Abrir facsímil</v>
      </c>
      <c r="K8130" s="10" t="s">
        <v>24</v>
      </c>
    </row>
    <row r="8131" spans="1:11" ht="54" customHeight="1">
      <c r="A8131" s="9" t="s">
        <v>17492</v>
      </c>
      <c r="B8131" s="9" t="s">
        <v>17493</v>
      </c>
      <c r="C8131" s="9" t="s">
        <v>46</v>
      </c>
      <c r="D8131" s="9" t="s">
        <v>101</v>
      </c>
      <c r="E8131" s="10" t="s">
        <v>1839</v>
      </c>
      <c r="F8131" s="9" t="s">
        <v>3598</v>
      </c>
      <c r="G8131" s="10" t="s">
        <v>21</v>
      </c>
      <c r="H8131" s="9" t="s">
        <v>22</v>
      </c>
      <c r="I8131" s="9" t="s">
        <v>17500</v>
      </c>
      <c r="J8131" s="10" t="str">
        <f>HYPERLINK("https://www.boe.es/gazeta/dias/1834/08/12/pdfs/GMD-1834-177.pdf#page=3","Abrir facsímil")</f>
        <v>Abrir facsímil</v>
      </c>
      <c r="K8131" s="10" t="s">
        <v>24</v>
      </c>
    </row>
    <row r="8132" spans="1:11" ht="54" customHeight="1">
      <c r="A8132" s="9" t="s">
        <v>17501</v>
      </c>
      <c r="B8132" s="9" t="s">
        <v>17502</v>
      </c>
      <c r="C8132" s="9" t="s">
        <v>46</v>
      </c>
      <c r="D8132" s="9" t="s">
        <v>101</v>
      </c>
      <c r="E8132" s="10" t="s">
        <v>899</v>
      </c>
      <c r="F8132" s="9" t="s">
        <v>900</v>
      </c>
      <c r="G8132" s="10" t="s">
        <v>86</v>
      </c>
      <c r="H8132" s="9" t="s">
        <v>22</v>
      </c>
      <c r="I8132" s="9" t="s">
        <v>17503</v>
      </c>
      <c r="J8132" s="10" t="str">
        <f>HYPERLINK("https://www.boe.es/gazeta/dias/1834/01/30/pdfs/GMD-1834-14.pdf#page=2","Abrir facsímil")</f>
        <v>Abrir facsímil</v>
      </c>
      <c r="K8132" s="10" t="s">
        <v>24</v>
      </c>
    </row>
    <row r="8133" spans="1:11" ht="54" customHeight="1">
      <c r="A8133" s="9" t="s">
        <v>17504</v>
      </c>
      <c r="B8133" s="9" t="s">
        <v>17505</v>
      </c>
      <c r="C8133" s="9" t="s">
        <v>46</v>
      </c>
      <c r="D8133" s="9" t="s">
        <v>101</v>
      </c>
      <c r="E8133" s="10" t="s">
        <v>12114</v>
      </c>
      <c r="F8133" s="9" t="s">
        <v>12115</v>
      </c>
      <c r="G8133" s="10" t="s">
        <v>34</v>
      </c>
      <c r="H8133" s="9" t="s">
        <v>22</v>
      </c>
      <c r="I8133" s="9" t="s">
        <v>17506</v>
      </c>
      <c r="J8133" s="10" t="str">
        <f>HYPERLINK("https://www.boe.es/gazeta/dias/1834/04/08/pdfs/GMD-1834-47.pdf#page=1","Abrir facsímil")</f>
        <v>Abrir facsímil</v>
      </c>
      <c r="K8133" s="10" t="s">
        <v>24</v>
      </c>
    </row>
    <row r="8134" spans="1:11" ht="54" customHeight="1">
      <c r="A8134" s="9" t="s">
        <v>17507</v>
      </c>
      <c r="B8134" s="9" t="s">
        <v>17508</v>
      </c>
      <c r="C8134" s="9" t="s">
        <v>66</v>
      </c>
      <c r="D8134" s="9" t="s">
        <v>18</v>
      </c>
      <c r="E8134" s="10" t="s">
        <v>8279</v>
      </c>
      <c r="F8134" s="9" t="s">
        <v>8280</v>
      </c>
      <c r="G8134" s="10" t="s">
        <v>34</v>
      </c>
      <c r="H8134" s="9" t="s">
        <v>22</v>
      </c>
      <c r="I8134" s="9" t="s">
        <v>17509</v>
      </c>
      <c r="J8134" s="10" t="str">
        <f>HYPERLINK("https://www.boe.es/gazeta/dias/1834/04/22/pdfs/GMD-1834-61.pdf#page=1","Abrir facsímil")</f>
        <v>Abrir facsímil</v>
      </c>
      <c r="K8134" s="10" t="s">
        <v>24</v>
      </c>
    </row>
    <row r="8135" spans="1:11" ht="54" customHeight="1">
      <c r="A8135" s="9" t="s">
        <v>17510</v>
      </c>
      <c r="B8135" s="9" t="s">
        <v>17511</v>
      </c>
      <c r="C8135" s="9" t="s">
        <v>122</v>
      </c>
      <c r="D8135" s="9" t="s">
        <v>55</v>
      </c>
      <c r="E8135" s="10" t="s">
        <v>4565</v>
      </c>
      <c r="F8135" s="9" t="s">
        <v>4566</v>
      </c>
      <c r="G8135" s="10" t="s">
        <v>86</v>
      </c>
      <c r="H8135" s="9" t="s">
        <v>35</v>
      </c>
      <c r="I8135" s="9" t="s">
        <v>17512</v>
      </c>
      <c r="J8135" s="10" t="str">
        <f>HYPERLINK("https://www.boe.es/gazeta/dias/1834/07/10/pdfs/GMD-1834-143.pdf#page=2","Abrir facsímil")</f>
        <v>Abrir facsímil</v>
      </c>
      <c r="K8135" s="10" t="s">
        <v>37</v>
      </c>
    </row>
    <row r="8136" spans="1:11" ht="54" customHeight="1">
      <c r="A8136" s="9" t="s">
        <v>17513</v>
      </c>
      <c r="B8136" s="9" t="s">
        <v>17514</v>
      </c>
      <c r="C8136" s="9" t="s">
        <v>66</v>
      </c>
      <c r="D8136" s="9" t="s">
        <v>67</v>
      </c>
      <c r="E8136" s="10" t="s">
        <v>1333</v>
      </c>
      <c r="F8136" s="9" t="s">
        <v>1334</v>
      </c>
      <c r="G8136" s="10" t="s">
        <v>86</v>
      </c>
      <c r="H8136" s="9" t="s">
        <v>35</v>
      </c>
      <c r="I8136" s="9" t="s">
        <v>17515</v>
      </c>
      <c r="J8136" s="10" t="str">
        <f>HYPERLINK("https://www.boe.es/gazeta/dias/1834/04/01/pdfs/GMD-1834-40.pdf#page=2","Abrir facsímil")</f>
        <v>Abrir facsímil</v>
      </c>
      <c r="K8136" s="10" t="s">
        <v>37</v>
      </c>
    </row>
    <row r="8137" spans="1:11" ht="54" customHeight="1">
      <c r="A8137" s="9" t="s">
        <v>17513</v>
      </c>
      <c r="B8137" s="9" t="s">
        <v>17514</v>
      </c>
      <c r="C8137" s="9" t="s">
        <v>90</v>
      </c>
      <c r="D8137" s="9" t="s">
        <v>101</v>
      </c>
      <c r="E8137" s="10" t="s">
        <v>758</v>
      </c>
      <c r="F8137" s="9" t="s">
        <v>759</v>
      </c>
      <c r="G8137" s="10" t="s">
        <v>34</v>
      </c>
      <c r="H8137" s="9" t="s">
        <v>35</v>
      </c>
      <c r="I8137" s="9" t="s">
        <v>17516</v>
      </c>
      <c r="J8137" s="10" t="str">
        <f>HYPERLINK("https://www.boe.es/gazeta/dias/1834/01/04/pdfs/GMD-1834-3.pdf#page=1","Abrir facsímil")</f>
        <v>Abrir facsímil</v>
      </c>
      <c r="K8137" s="10" t="s">
        <v>37</v>
      </c>
    </row>
    <row r="8138" spans="1:11" ht="54" customHeight="1">
      <c r="A8138" s="9" t="s">
        <v>17513</v>
      </c>
      <c r="B8138" s="9" t="s">
        <v>17514</v>
      </c>
      <c r="C8138" s="9" t="s">
        <v>46</v>
      </c>
      <c r="D8138" s="9" t="s">
        <v>18</v>
      </c>
      <c r="E8138" s="10" t="s">
        <v>355</v>
      </c>
      <c r="F8138" s="9" t="s">
        <v>356</v>
      </c>
      <c r="G8138" s="10" t="s">
        <v>34</v>
      </c>
      <c r="H8138" s="9" t="s">
        <v>35</v>
      </c>
      <c r="I8138" s="9" t="s">
        <v>17517</v>
      </c>
      <c r="J8138" s="10" t="str">
        <f>HYPERLINK("https://www.boe.es/gazeta/dias/1834/07/04/pdfs/GMD-1834-137.pdf#page=1","Abrir facsímil")</f>
        <v>Abrir facsímil</v>
      </c>
      <c r="K8138" s="10" t="s">
        <v>37</v>
      </c>
    </row>
    <row r="8139" spans="1:11" ht="54" customHeight="1">
      <c r="A8139" s="9" t="s">
        <v>17513</v>
      </c>
      <c r="B8139" s="9" t="s">
        <v>17514</v>
      </c>
      <c r="C8139" s="9" t="s">
        <v>17</v>
      </c>
      <c r="D8139" s="9" t="s">
        <v>18</v>
      </c>
      <c r="E8139" s="10" t="s">
        <v>84</v>
      </c>
      <c r="F8139" s="9" t="s">
        <v>1223</v>
      </c>
      <c r="G8139" s="10" t="s">
        <v>34</v>
      </c>
      <c r="H8139" s="9" t="s">
        <v>35</v>
      </c>
      <c r="I8139" s="9" t="s">
        <v>17518</v>
      </c>
      <c r="J8139" s="10" t="str">
        <f>HYPERLINK("https://www.boe.es/gazeta/dias/1834/06/07/pdfs/GMD-1834-109.pdf#page=1","Abrir facsímil")</f>
        <v>Abrir facsímil</v>
      </c>
      <c r="K8139" s="10" t="s">
        <v>37</v>
      </c>
    </row>
    <row r="8140" spans="1:11" ht="54" customHeight="1">
      <c r="A8140" s="9" t="s">
        <v>17513</v>
      </c>
      <c r="B8140" s="9" t="s">
        <v>17514</v>
      </c>
      <c r="C8140" s="9" t="s">
        <v>46</v>
      </c>
      <c r="D8140" s="9" t="s">
        <v>101</v>
      </c>
      <c r="E8140" s="10" t="s">
        <v>3471</v>
      </c>
      <c r="F8140" s="9" t="s">
        <v>3472</v>
      </c>
      <c r="G8140" s="10" t="s">
        <v>34</v>
      </c>
      <c r="H8140" s="9" t="s">
        <v>35</v>
      </c>
      <c r="I8140" s="9" t="s">
        <v>17519</v>
      </c>
      <c r="J8140" s="10" t="str">
        <f>HYPERLINK("https://www.boe.es/gazeta/dias/1834/07/07/pdfs/GMD-1834-140.pdf#page=1","Abrir facsímil")</f>
        <v>Abrir facsímil</v>
      </c>
      <c r="K8140" s="10" t="s">
        <v>37</v>
      </c>
    </row>
    <row r="8141" spans="1:11" ht="54" customHeight="1">
      <c r="A8141" s="9" t="s">
        <v>17513</v>
      </c>
      <c r="B8141" s="9" t="s">
        <v>17514</v>
      </c>
      <c r="C8141" s="9" t="s">
        <v>66</v>
      </c>
      <c r="D8141" s="9" t="s">
        <v>67</v>
      </c>
      <c r="E8141" s="10" t="s">
        <v>429</v>
      </c>
      <c r="F8141" s="9" t="s">
        <v>3421</v>
      </c>
      <c r="G8141" s="10" t="s">
        <v>86</v>
      </c>
      <c r="H8141" s="9" t="s">
        <v>35</v>
      </c>
      <c r="I8141" s="9" t="s">
        <v>17520</v>
      </c>
      <c r="J8141" s="10" t="str">
        <f>HYPERLINK("https://www.boe.es/gazeta/dias/1834/08/07/pdfs/GMD-1834-172.pdf#page=2","Abrir facsímil")</f>
        <v>Abrir facsímil</v>
      </c>
      <c r="K8141" s="10" t="s">
        <v>37</v>
      </c>
    </row>
    <row r="8142" spans="1:11" ht="54" customHeight="1">
      <c r="A8142" s="9" t="s">
        <v>17513</v>
      </c>
      <c r="B8142" s="9" t="s">
        <v>17514</v>
      </c>
      <c r="C8142" s="9" t="s">
        <v>17</v>
      </c>
      <c r="D8142" s="9" t="s">
        <v>18</v>
      </c>
      <c r="E8142" s="10" t="s">
        <v>518</v>
      </c>
      <c r="F8142" s="9" t="s">
        <v>519</v>
      </c>
      <c r="G8142" s="10" t="s">
        <v>34</v>
      </c>
      <c r="H8142" s="9" t="s">
        <v>35</v>
      </c>
      <c r="I8142" s="9" t="s">
        <v>17521</v>
      </c>
      <c r="J8142" s="10" t="str">
        <f>HYPERLINK("https://www.boe.es/gazeta/dias/1834/03/15/pdfs/GMD-1834-33.pdf#page=1","Abrir facsímil")</f>
        <v>Abrir facsímil</v>
      </c>
      <c r="K8142" s="10" t="s">
        <v>37</v>
      </c>
    </row>
    <row r="8143" spans="1:11" ht="54" customHeight="1">
      <c r="A8143" s="9" t="s">
        <v>17513</v>
      </c>
      <c r="B8143" s="9" t="s">
        <v>17514</v>
      </c>
      <c r="C8143" s="9" t="s">
        <v>66</v>
      </c>
      <c r="D8143" s="9" t="s">
        <v>67</v>
      </c>
      <c r="E8143" s="10" t="s">
        <v>19</v>
      </c>
      <c r="F8143" s="9" t="s">
        <v>107</v>
      </c>
      <c r="G8143" s="10" t="s">
        <v>34</v>
      </c>
      <c r="H8143" s="9" t="s">
        <v>35</v>
      </c>
      <c r="I8143" s="9" t="s">
        <v>17522</v>
      </c>
      <c r="J8143" s="10" t="str">
        <f>HYPERLINK("https://www.boe.es/gazeta/dias/1834/08/17/pdfs/GMD-1834-182.pdf#page=1","Abrir facsímil")</f>
        <v>Abrir facsímil</v>
      </c>
      <c r="K8143" s="10" t="s">
        <v>37</v>
      </c>
    </row>
    <row r="8144" spans="1:11" ht="54" customHeight="1">
      <c r="A8144" s="9" t="s">
        <v>17513</v>
      </c>
      <c r="B8144" s="9" t="s">
        <v>17514</v>
      </c>
      <c r="C8144" s="9" t="s">
        <v>90</v>
      </c>
      <c r="D8144" s="9" t="s">
        <v>40</v>
      </c>
      <c r="E8144" s="10" t="s">
        <v>541</v>
      </c>
      <c r="F8144" s="9" t="s">
        <v>542</v>
      </c>
      <c r="G8144" s="10" t="s">
        <v>86</v>
      </c>
      <c r="H8144" s="9" t="s">
        <v>35</v>
      </c>
      <c r="I8144" s="9" t="s">
        <v>17523</v>
      </c>
      <c r="J8144" s="10" t="str">
        <f>HYPERLINK("https://www.boe.es/gazeta/dias/1834/04/18/pdfs/GMD-1834-57.pdf#page=2","Abrir facsímil")</f>
        <v>Abrir facsímil</v>
      </c>
      <c r="K8144" s="10" t="s">
        <v>37</v>
      </c>
    </row>
    <row r="8145" spans="1:11" ht="54" customHeight="1">
      <c r="A8145" s="9" t="s">
        <v>17513</v>
      </c>
      <c r="B8145" s="9" t="s">
        <v>17514</v>
      </c>
      <c r="C8145" s="9" t="s">
        <v>17</v>
      </c>
      <c r="D8145" s="9" t="s">
        <v>101</v>
      </c>
      <c r="E8145" s="10" t="s">
        <v>563</v>
      </c>
      <c r="F8145" s="9" t="s">
        <v>564</v>
      </c>
      <c r="G8145" s="10" t="s">
        <v>86</v>
      </c>
      <c r="H8145" s="9" t="s">
        <v>35</v>
      </c>
      <c r="I8145" s="9" t="s">
        <v>17524</v>
      </c>
      <c r="J8145" s="10" t="str">
        <f>HYPERLINK("https://www.boe.es/gazeta/dias/1834/04/19/pdfs/GMD-1834-58.pdf#page=2","Abrir facsímil")</f>
        <v>Abrir facsímil</v>
      </c>
      <c r="K8145" s="10" t="s">
        <v>37</v>
      </c>
    </row>
    <row r="8146" spans="1:11" ht="54" customHeight="1">
      <c r="A8146" s="9" t="s">
        <v>17513</v>
      </c>
      <c r="B8146" s="9" t="s">
        <v>17514</v>
      </c>
      <c r="C8146" s="9" t="s">
        <v>46</v>
      </c>
      <c r="D8146" s="9" t="s">
        <v>18</v>
      </c>
      <c r="E8146" s="10" t="s">
        <v>32</v>
      </c>
      <c r="F8146" s="9" t="s">
        <v>33</v>
      </c>
      <c r="G8146" s="10" t="s">
        <v>86</v>
      </c>
      <c r="H8146" s="9" t="s">
        <v>35</v>
      </c>
      <c r="I8146" s="9" t="s">
        <v>17525</v>
      </c>
      <c r="J8146" s="10" t="str">
        <f>HYPERLINK("https://www.boe.es/gazeta/dias/1834/04/23/pdfs/GMD-1834-62.pdf#page=2","Abrir facsímil")</f>
        <v>Abrir facsímil</v>
      </c>
      <c r="K8146" s="10" t="s">
        <v>37</v>
      </c>
    </row>
    <row r="8147" spans="1:11" ht="54" customHeight="1">
      <c r="A8147" s="9" t="s">
        <v>17526</v>
      </c>
      <c r="B8147" s="9" t="s">
        <v>17527</v>
      </c>
      <c r="C8147" s="9" t="s">
        <v>122</v>
      </c>
      <c r="D8147" s="9" t="s">
        <v>101</v>
      </c>
      <c r="E8147" s="10" t="s">
        <v>976</v>
      </c>
      <c r="F8147" s="9" t="s">
        <v>977</v>
      </c>
      <c r="G8147" s="10" t="s">
        <v>34</v>
      </c>
      <c r="H8147" s="9" t="s">
        <v>35</v>
      </c>
      <c r="I8147" s="9" t="s">
        <v>17528</v>
      </c>
      <c r="J8147" s="10" t="str">
        <f>HYPERLINK("https://www.boe.es/gazeta/dias/1834/04/02/pdfs/GMD-1834-41.pdf#page=1","Abrir facsímil")</f>
        <v>Abrir facsímil</v>
      </c>
      <c r="K8147" s="10" t="s">
        <v>37</v>
      </c>
    </row>
    <row r="8148" spans="1:11" ht="54" customHeight="1">
      <c r="A8148" s="9" t="s">
        <v>17529</v>
      </c>
      <c r="B8148" s="9" t="s">
        <v>17530</v>
      </c>
      <c r="C8148" s="9" t="s">
        <v>46</v>
      </c>
      <c r="D8148" s="9" t="s">
        <v>101</v>
      </c>
      <c r="E8148" s="10" t="s">
        <v>899</v>
      </c>
      <c r="F8148" s="9" t="s">
        <v>900</v>
      </c>
      <c r="G8148" s="10" t="s">
        <v>176</v>
      </c>
      <c r="H8148" s="9" t="s">
        <v>35</v>
      </c>
      <c r="I8148" s="9" t="s">
        <v>17531</v>
      </c>
      <c r="J8148" s="10" t="str">
        <f>HYPERLINK("https://www.boe.es/gazeta/dias/1834/01/30/pdfs/GMD-1834-14.pdf#page=6","Abrir facsímil")</f>
        <v>Abrir facsímil</v>
      </c>
      <c r="K8148" s="10" t="s">
        <v>37</v>
      </c>
    </row>
    <row r="8149" spans="1:11" ht="54" customHeight="1">
      <c r="A8149" s="9" t="s">
        <v>17532</v>
      </c>
      <c r="B8149" s="9" t="s">
        <v>17533</v>
      </c>
      <c r="C8149" s="9" t="s">
        <v>17</v>
      </c>
      <c r="D8149" s="9" t="s">
        <v>18</v>
      </c>
      <c r="E8149" s="10" t="s">
        <v>2241</v>
      </c>
      <c r="F8149" s="9" t="s">
        <v>2242</v>
      </c>
      <c r="G8149" s="10" t="s">
        <v>34</v>
      </c>
      <c r="H8149" s="9" t="s">
        <v>22</v>
      </c>
      <c r="I8149" s="9" t="s">
        <v>17534</v>
      </c>
      <c r="J8149" s="10" t="str">
        <f>HYPERLINK("https://www.boe.es/gazeta/dias/1834/03/11/pdfs/GMD-1834-31.pdf#page=1","Abrir facsímil")</f>
        <v>Abrir facsímil</v>
      </c>
      <c r="K8149" s="10" t="s">
        <v>24</v>
      </c>
    </row>
    <row r="8150" spans="1:11" ht="54" customHeight="1">
      <c r="A8150" s="9" t="s">
        <v>17535</v>
      </c>
      <c r="B8150" s="9" t="s">
        <v>17536</v>
      </c>
      <c r="C8150" s="9" t="s">
        <v>90</v>
      </c>
      <c r="D8150" s="9" t="s">
        <v>67</v>
      </c>
      <c r="E8150" s="10" t="s">
        <v>492</v>
      </c>
      <c r="F8150" s="9" t="s">
        <v>493</v>
      </c>
      <c r="G8150" s="10" t="s">
        <v>34</v>
      </c>
      <c r="H8150" s="9" t="s">
        <v>35</v>
      </c>
      <c r="I8150" s="9" t="s">
        <v>17537</v>
      </c>
      <c r="J8150" s="10" t="str">
        <f>HYPERLINK("https://www.boe.es/gazeta/dias/1834/11/21/pdfs/GMD-C-1834-280.pdf#page=1","Abrir facsímil")</f>
        <v>Abrir facsímil</v>
      </c>
      <c r="K8150" s="10" t="s">
        <v>37</v>
      </c>
    </row>
    <row r="8151" spans="1:11" ht="54" customHeight="1">
      <c r="A8151" s="9" t="s">
        <v>17538</v>
      </c>
      <c r="B8151" s="9" t="s">
        <v>17539</v>
      </c>
      <c r="C8151" s="9" t="s">
        <v>17</v>
      </c>
      <c r="D8151" s="9" t="s">
        <v>18</v>
      </c>
      <c r="E8151" s="10" t="s">
        <v>138</v>
      </c>
      <c r="F8151" s="9" t="s">
        <v>139</v>
      </c>
      <c r="G8151" s="10" t="s">
        <v>34</v>
      </c>
      <c r="H8151" s="9" t="s">
        <v>22</v>
      </c>
      <c r="I8151" s="9" t="s">
        <v>17540</v>
      </c>
      <c r="J8151" s="10" t="str">
        <f>HYPERLINK("https://www.boe.es/gazeta/dias/1834/05/17/pdfs/GMD-1834-86.pdf#page=1","Abrir facsímil")</f>
        <v>Abrir facsímil</v>
      </c>
      <c r="K8151" s="10" t="s">
        <v>24</v>
      </c>
    </row>
    <row r="8152" spans="1:11" ht="54" customHeight="1">
      <c r="A8152" s="9" t="s">
        <v>17541</v>
      </c>
      <c r="B8152" s="9" t="s">
        <v>17541</v>
      </c>
      <c r="C8152" s="9" t="s">
        <v>17</v>
      </c>
      <c r="D8152" s="9" t="s">
        <v>18</v>
      </c>
      <c r="E8152" s="10" t="s">
        <v>1170</v>
      </c>
      <c r="F8152" s="9" t="s">
        <v>1171</v>
      </c>
      <c r="G8152" s="10" t="s">
        <v>176</v>
      </c>
      <c r="H8152" s="9" t="s">
        <v>22</v>
      </c>
      <c r="I8152" s="9" t="s">
        <v>17542</v>
      </c>
      <c r="J8152" s="10" t="str">
        <f>HYPERLINK("https://www.boe.es/gazeta/dias/1834/01/07/pdfs/GMD-1834-4.pdf#page=6","Abrir facsímil")</f>
        <v>Abrir facsímil</v>
      </c>
      <c r="K8152" s="10" t="s">
        <v>24</v>
      </c>
    </row>
    <row r="8153" spans="1:11" ht="54" customHeight="1">
      <c r="A8153" s="9" t="s">
        <v>17543</v>
      </c>
      <c r="B8153" s="9" t="s">
        <v>17543</v>
      </c>
      <c r="C8153" s="9" t="s">
        <v>17</v>
      </c>
      <c r="D8153" s="9" t="s">
        <v>18</v>
      </c>
      <c r="E8153" s="10" t="s">
        <v>707</v>
      </c>
      <c r="F8153" s="9" t="s">
        <v>708</v>
      </c>
      <c r="G8153" s="10" t="s">
        <v>470</v>
      </c>
      <c r="H8153" s="9" t="s">
        <v>22</v>
      </c>
      <c r="I8153" s="9" t="s">
        <v>17544</v>
      </c>
      <c r="J8153" s="10" t="str">
        <f>HYPERLINK("https://www.boe.es/gazeta/dias/1834/11/25/pdfs/GMD-C-1834-284.pdf#page=8","Abrir facsímil")</f>
        <v>Abrir facsímil</v>
      </c>
      <c r="K8153" s="10" t="s">
        <v>24</v>
      </c>
    </row>
    <row r="8154" spans="1:11" ht="54" customHeight="1">
      <c r="A8154" s="9" t="s">
        <v>17545</v>
      </c>
      <c r="B8154" s="9" t="s">
        <v>17545</v>
      </c>
      <c r="C8154" s="9" t="s">
        <v>17</v>
      </c>
      <c r="D8154" s="9" t="s">
        <v>18</v>
      </c>
      <c r="E8154" s="10" t="s">
        <v>286</v>
      </c>
      <c r="F8154" s="9" t="s">
        <v>1928</v>
      </c>
      <c r="G8154" s="10" t="s">
        <v>34</v>
      </c>
      <c r="H8154" s="9" t="s">
        <v>22</v>
      </c>
      <c r="I8154" s="9" t="s">
        <v>17546</v>
      </c>
      <c r="J8154" s="10" t="str">
        <f>HYPERLINK("https://www.boe.es/gazeta/dias/1834/08/30/pdfs/GMD-1834-197E.pdf#page=1","Abrir facsímil")</f>
        <v>Abrir facsímil</v>
      </c>
      <c r="K8154" s="10" t="s">
        <v>24</v>
      </c>
    </row>
    <row r="8155" spans="1:11" ht="54" customHeight="1">
      <c r="A8155" s="9" t="s">
        <v>17547</v>
      </c>
      <c r="B8155" s="9" t="s">
        <v>17547</v>
      </c>
      <c r="C8155" s="9" t="s">
        <v>66</v>
      </c>
      <c r="D8155" s="9" t="s">
        <v>67</v>
      </c>
      <c r="E8155" s="10" t="s">
        <v>1234</v>
      </c>
      <c r="F8155" s="9" t="s">
        <v>1235</v>
      </c>
      <c r="G8155" s="10" t="s">
        <v>34</v>
      </c>
      <c r="H8155" s="9" t="s">
        <v>22</v>
      </c>
      <c r="I8155" s="9" t="s">
        <v>17548</v>
      </c>
      <c r="J8155" s="10" t="str">
        <f>HYPERLINK("https://www.boe.es/gazeta/dias/1834/05/15/pdfs/GMD-C-1834-84.pdf#page=1","Abrir facsímil")</f>
        <v>Abrir facsímil</v>
      </c>
      <c r="K8155" s="10" t="s">
        <v>24</v>
      </c>
    </row>
    <row r="8156" spans="1:11" ht="54" customHeight="1">
      <c r="A8156" s="9" t="s">
        <v>17549</v>
      </c>
      <c r="B8156" s="9" t="s">
        <v>17549</v>
      </c>
      <c r="C8156" s="9" t="s">
        <v>17</v>
      </c>
      <c r="D8156" s="9" t="s">
        <v>18</v>
      </c>
      <c r="E8156" s="10" t="s">
        <v>1025</v>
      </c>
      <c r="F8156" s="9" t="s">
        <v>1026</v>
      </c>
      <c r="G8156" s="10" t="s">
        <v>75</v>
      </c>
      <c r="H8156" s="9" t="s">
        <v>22</v>
      </c>
      <c r="I8156" s="9" t="s">
        <v>17550</v>
      </c>
      <c r="J8156" s="10" t="str">
        <f>HYPERLINK("https://www.boe.es/gazeta/dias/1834/03/01/pdfs/GMD-1834-27.pdf#page=4","Abrir facsímil")</f>
        <v>Abrir facsímil</v>
      </c>
      <c r="K8156" s="10" t="s">
        <v>24</v>
      </c>
    </row>
    <row r="8157" spans="1:11" ht="54" customHeight="1">
      <c r="A8157" s="9" t="s">
        <v>17551</v>
      </c>
      <c r="B8157" s="9" t="s">
        <v>17551</v>
      </c>
      <c r="C8157" s="9" t="s">
        <v>66</v>
      </c>
      <c r="D8157" s="9" t="s">
        <v>67</v>
      </c>
      <c r="E8157" s="10" t="s">
        <v>1459</v>
      </c>
      <c r="F8157" s="9" t="s">
        <v>7907</v>
      </c>
      <c r="G8157" s="10" t="s">
        <v>21</v>
      </c>
      <c r="H8157" s="9" t="s">
        <v>22</v>
      </c>
      <c r="I8157" s="9" t="s">
        <v>17552</v>
      </c>
      <c r="J8157" s="10" t="str">
        <f>HYPERLINK("https://www.boe.es/gazeta/dias/1834/08/18/pdfs/GMD-C-1834-184.pdf#page=3","Abrir facsímil")</f>
        <v>Abrir facsímil</v>
      </c>
      <c r="K8157" s="10" t="s">
        <v>24</v>
      </c>
    </row>
    <row r="8158" spans="1:11" ht="54" customHeight="1">
      <c r="A8158" s="9" t="s">
        <v>17553</v>
      </c>
      <c r="B8158" s="9" t="s">
        <v>17553</v>
      </c>
      <c r="C8158" s="9" t="s">
        <v>46</v>
      </c>
      <c r="D8158" s="9" t="s">
        <v>101</v>
      </c>
      <c r="E8158" s="10" t="s">
        <v>1116</v>
      </c>
      <c r="F8158" s="9" t="s">
        <v>1117</v>
      </c>
      <c r="G8158" s="10" t="s">
        <v>34</v>
      </c>
      <c r="H8158" s="9" t="s">
        <v>22</v>
      </c>
      <c r="I8158" s="9" t="s">
        <v>17554</v>
      </c>
      <c r="J8158" s="10" t="str">
        <f>HYPERLINK("https://www.boe.es/gazeta/dias/1834/05/16/pdfs/GMD-1834-85.pdf#page=1","Abrir facsímil")</f>
        <v>Abrir facsímil</v>
      </c>
      <c r="K8158" s="10" t="s">
        <v>24</v>
      </c>
    </row>
    <row r="8159" spans="1:11" ht="54" customHeight="1">
      <c r="A8159" s="9" t="s">
        <v>17555</v>
      </c>
      <c r="B8159" s="9" t="s">
        <v>17556</v>
      </c>
      <c r="C8159" s="9" t="s">
        <v>17</v>
      </c>
      <c r="D8159" s="9" t="s">
        <v>55</v>
      </c>
      <c r="E8159" s="10" t="s">
        <v>438</v>
      </c>
      <c r="F8159" s="9" t="s">
        <v>528</v>
      </c>
      <c r="G8159" s="10" t="s">
        <v>75</v>
      </c>
      <c r="H8159" s="9" t="s">
        <v>22</v>
      </c>
      <c r="I8159" s="9" t="s">
        <v>17557</v>
      </c>
      <c r="J8159" s="10" t="str">
        <f>HYPERLINK("https://www.boe.es/gazeta/dias/1834/11/09/pdfs/GMD-C-1834-268.pdf#page=4","Abrir facsímil")</f>
        <v>Abrir facsímil</v>
      </c>
      <c r="K8159" s="10" t="s">
        <v>24</v>
      </c>
    </row>
    <row r="8160" spans="1:11" ht="54" customHeight="1">
      <c r="A8160" s="9" t="s">
        <v>17558</v>
      </c>
      <c r="B8160" s="9" t="s">
        <v>17559</v>
      </c>
      <c r="C8160" s="9" t="s">
        <v>17</v>
      </c>
      <c r="D8160" s="9" t="s">
        <v>18</v>
      </c>
      <c r="E8160" s="10" t="s">
        <v>416</v>
      </c>
      <c r="F8160" s="9" t="s">
        <v>417</v>
      </c>
      <c r="G8160" s="10" t="s">
        <v>34</v>
      </c>
      <c r="H8160" s="9" t="s">
        <v>22</v>
      </c>
      <c r="I8160" s="9" t="s">
        <v>17560</v>
      </c>
      <c r="J8160" s="10" t="str">
        <f>HYPERLINK("https://www.boe.es/gazeta/dias/1834/10/02/pdfs/GMD-C-1834-230.pdf#page=1","Abrir facsímil")</f>
        <v>Abrir facsímil</v>
      </c>
      <c r="K8160" s="10" t="s">
        <v>24</v>
      </c>
    </row>
    <row r="8161" spans="1:11" ht="54" customHeight="1">
      <c r="A8161" s="9" t="s">
        <v>17561</v>
      </c>
      <c r="B8161" s="9" t="s">
        <v>17562</v>
      </c>
      <c r="C8161" s="9" t="s">
        <v>122</v>
      </c>
      <c r="D8161" s="9" t="s">
        <v>18</v>
      </c>
      <c r="E8161" s="10" t="s">
        <v>610</v>
      </c>
      <c r="F8161" s="9" t="s">
        <v>611</v>
      </c>
      <c r="G8161" s="10" t="s">
        <v>21</v>
      </c>
      <c r="H8161" s="9" t="s">
        <v>22</v>
      </c>
      <c r="I8161" s="9" t="s">
        <v>17563</v>
      </c>
      <c r="J8161" s="10" t="str">
        <f>HYPERLINK("https://www.boe.es/gazeta/dias/1834/12/21/pdfs/GMD-C-1834-311.pdf#page=3","Abrir facsímil")</f>
        <v>Abrir facsímil</v>
      </c>
      <c r="K8161" s="10" t="s">
        <v>24</v>
      </c>
    </row>
    <row r="8162" spans="1:11" ht="54" customHeight="1">
      <c r="A8162" s="9" t="s">
        <v>17561</v>
      </c>
      <c r="B8162" s="9" t="s">
        <v>17562</v>
      </c>
      <c r="C8162" s="9" t="s">
        <v>46</v>
      </c>
      <c r="D8162" s="9" t="s">
        <v>18</v>
      </c>
      <c r="E8162" s="10" t="s">
        <v>394</v>
      </c>
      <c r="F8162" s="9" t="s">
        <v>459</v>
      </c>
      <c r="G8162" s="10" t="s">
        <v>86</v>
      </c>
      <c r="H8162" s="9" t="s">
        <v>22</v>
      </c>
      <c r="I8162" s="9" t="s">
        <v>17564</v>
      </c>
      <c r="J8162" s="10" t="str">
        <f>HYPERLINK("https://www.boe.es/gazeta/dias/1834/12/23/pdfs/GMD-C-1834-313.pdf#page=2","Abrir facsímil")</f>
        <v>Abrir facsímil</v>
      </c>
      <c r="K8162" s="10" t="s">
        <v>24</v>
      </c>
    </row>
    <row r="8163" spans="1:11" ht="54" customHeight="1">
      <c r="A8163" s="9" t="s">
        <v>17565</v>
      </c>
      <c r="B8163" s="9" t="s">
        <v>17566</v>
      </c>
      <c r="C8163" s="9" t="s">
        <v>17</v>
      </c>
      <c r="D8163" s="9" t="s">
        <v>18</v>
      </c>
      <c r="E8163" s="10" t="s">
        <v>777</v>
      </c>
      <c r="F8163" s="9" t="s">
        <v>2535</v>
      </c>
      <c r="G8163" s="10" t="s">
        <v>86</v>
      </c>
      <c r="H8163" s="9" t="s">
        <v>22</v>
      </c>
      <c r="I8163" s="9" t="s">
        <v>17567</v>
      </c>
      <c r="J8163" s="10" t="str">
        <f>HYPERLINK("https://www.boe.es/gazeta/dias/1834/10/29/pdfs/GMD-C-1834-257.pdf#page=2","Abrir facsímil")</f>
        <v>Abrir facsímil</v>
      </c>
      <c r="K8163" s="10" t="s">
        <v>24</v>
      </c>
    </row>
    <row r="8164" spans="1:11" ht="54" customHeight="1">
      <c r="A8164" s="9" t="s">
        <v>17568</v>
      </c>
      <c r="B8164" s="9" t="s">
        <v>17569</v>
      </c>
      <c r="C8164" s="9" t="s">
        <v>90</v>
      </c>
      <c r="D8164" s="9" t="s">
        <v>40</v>
      </c>
      <c r="E8164" s="10" t="s">
        <v>1008</v>
      </c>
      <c r="F8164" s="9" t="s">
        <v>1009</v>
      </c>
      <c r="G8164" s="10" t="s">
        <v>560</v>
      </c>
      <c r="H8164" s="9" t="s">
        <v>22</v>
      </c>
      <c r="I8164" s="9" t="s">
        <v>17570</v>
      </c>
      <c r="J8164" s="10" t="str">
        <f>HYPERLINK("https://www.boe.es/gazeta/dias/1834/11/08/pdfs/GMD-C-1834-267.pdf#page=7","Abrir facsímil")</f>
        <v>Abrir facsímil</v>
      </c>
      <c r="K8164" s="10" t="s">
        <v>24</v>
      </c>
    </row>
    <row r="8165" spans="1:11" ht="54" customHeight="1">
      <c r="A8165" s="9" t="s">
        <v>17571</v>
      </c>
      <c r="B8165" s="9" t="s">
        <v>17572</v>
      </c>
      <c r="C8165" s="9" t="s">
        <v>17</v>
      </c>
      <c r="D8165" s="9" t="s">
        <v>55</v>
      </c>
      <c r="E8165" s="10" t="s">
        <v>438</v>
      </c>
      <c r="F8165" s="9" t="s">
        <v>528</v>
      </c>
      <c r="G8165" s="10" t="s">
        <v>28</v>
      </c>
      <c r="H8165" s="9" t="s">
        <v>22</v>
      </c>
      <c r="I8165" s="9" t="s">
        <v>17573</v>
      </c>
      <c r="J8165" s="10" t="str">
        <f>HYPERLINK("https://www.boe.es/gazeta/dias/1834/11/09/pdfs/GMD-C-1834-268.pdf#page=5","Abrir facsímil")</f>
        <v>Abrir facsímil</v>
      </c>
      <c r="K8165" s="10" t="s">
        <v>24</v>
      </c>
    </row>
    <row r="8166" spans="1:11" ht="54" customHeight="1">
      <c r="A8166" s="9" t="s">
        <v>17574</v>
      </c>
      <c r="B8166" s="9" t="s">
        <v>17575</v>
      </c>
      <c r="C8166" s="9" t="s">
        <v>17</v>
      </c>
      <c r="D8166" s="9" t="s">
        <v>18</v>
      </c>
      <c r="E8166" s="10" t="s">
        <v>715</v>
      </c>
      <c r="F8166" s="9" t="s">
        <v>716</v>
      </c>
      <c r="G8166" s="10" t="s">
        <v>34</v>
      </c>
      <c r="H8166" s="9" t="s">
        <v>22</v>
      </c>
      <c r="I8166" s="9" t="s">
        <v>17576</v>
      </c>
      <c r="J8166" s="10" t="str">
        <f>HYPERLINK("https://www.boe.es/gazeta/dias/1834/09/17/pdfs/GMD-C-1834-215.pdf#page=1","Abrir facsímil")</f>
        <v>Abrir facsímil</v>
      </c>
      <c r="K8166" s="10" t="s">
        <v>24</v>
      </c>
    </row>
    <row r="8167" spans="1:11" ht="54" customHeight="1">
      <c r="A8167" s="9" t="s">
        <v>17577</v>
      </c>
      <c r="B8167" s="9" t="s">
        <v>17578</v>
      </c>
      <c r="C8167" s="9" t="s">
        <v>17</v>
      </c>
      <c r="D8167" s="9" t="s">
        <v>18</v>
      </c>
      <c r="E8167" s="10" t="s">
        <v>416</v>
      </c>
      <c r="F8167" s="9" t="s">
        <v>417</v>
      </c>
      <c r="G8167" s="10" t="s">
        <v>86</v>
      </c>
      <c r="H8167" s="9" t="s">
        <v>22</v>
      </c>
      <c r="I8167" s="9" t="s">
        <v>17579</v>
      </c>
      <c r="J8167" s="10" t="str">
        <f>HYPERLINK("https://www.boe.es/gazeta/dias/1834/10/02/pdfs/GMD-C-1834-230.pdf#page=2","Abrir facsímil")</f>
        <v>Abrir facsímil</v>
      </c>
      <c r="K8167" s="10" t="s">
        <v>24</v>
      </c>
    </row>
    <row r="8168" spans="1:11" ht="54" customHeight="1">
      <c r="A8168" s="9" t="s">
        <v>17580</v>
      </c>
      <c r="B8168" s="9" t="s">
        <v>17581</v>
      </c>
      <c r="C8168" s="9" t="s">
        <v>17</v>
      </c>
      <c r="D8168" s="9" t="s">
        <v>18</v>
      </c>
      <c r="E8168" s="10" t="s">
        <v>416</v>
      </c>
      <c r="F8168" s="9" t="s">
        <v>417</v>
      </c>
      <c r="G8168" s="10" t="s">
        <v>86</v>
      </c>
      <c r="H8168" s="9" t="s">
        <v>22</v>
      </c>
      <c r="I8168" s="9" t="s">
        <v>17582</v>
      </c>
      <c r="J8168" s="10" t="str">
        <f>HYPERLINK("https://www.boe.es/gazeta/dias/1834/10/02/pdfs/GMD-C-1834-230.pdf#page=2","Abrir facsímil")</f>
        <v>Abrir facsímil</v>
      </c>
      <c r="K8168" s="10" t="s">
        <v>24</v>
      </c>
    </row>
    <row r="8169" spans="1:11" ht="54" customHeight="1">
      <c r="A8169" s="9" t="s">
        <v>17583</v>
      </c>
      <c r="B8169" s="9" t="s">
        <v>17584</v>
      </c>
      <c r="C8169" s="9" t="s">
        <v>46</v>
      </c>
      <c r="D8169" s="9" t="s">
        <v>55</v>
      </c>
      <c r="E8169" s="10" t="s">
        <v>1641</v>
      </c>
      <c r="F8169" s="9" t="s">
        <v>1642</v>
      </c>
      <c r="G8169" s="10" t="s">
        <v>21</v>
      </c>
      <c r="H8169" s="9" t="s">
        <v>22</v>
      </c>
      <c r="I8169" s="9" t="s">
        <v>17585</v>
      </c>
      <c r="J8169" s="10" t="str">
        <f>HYPERLINK("https://www.boe.es/gazeta/dias/1834/09/28/pdfs/GMD-C-1834-226.pdf#page=3","Abrir facsímil")</f>
        <v>Abrir facsímil</v>
      </c>
      <c r="K8169" s="10" t="s">
        <v>24</v>
      </c>
    </row>
    <row r="8170" spans="1:11" ht="54" customHeight="1">
      <c r="A8170" s="9" t="s">
        <v>17586</v>
      </c>
      <c r="B8170" s="9" t="s">
        <v>17586</v>
      </c>
      <c r="C8170" s="9" t="s">
        <v>46</v>
      </c>
      <c r="D8170" s="9" t="s">
        <v>18</v>
      </c>
      <c r="E8170" s="10" t="s">
        <v>1116</v>
      </c>
      <c r="F8170" s="9" t="s">
        <v>1117</v>
      </c>
      <c r="G8170" s="10" t="s">
        <v>86</v>
      </c>
      <c r="H8170" s="9" t="s">
        <v>22</v>
      </c>
      <c r="I8170" s="9" t="s">
        <v>17587</v>
      </c>
      <c r="J8170" s="10" t="str">
        <f>HYPERLINK("https://www.boe.es/gazeta/dias/1834/05/16/pdfs/GMD-1834-85.pdf#page=2","Abrir facsímil")</f>
        <v>Abrir facsímil</v>
      </c>
      <c r="K8170" s="10" t="s">
        <v>24</v>
      </c>
    </row>
    <row r="8171" spans="1:11" ht="54" customHeight="1">
      <c r="A8171" s="9" t="s">
        <v>17586</v>
      </c>
      <c r="B8171" s="9" t="s">
        <v>17586</v>
      </c>
      <c r="C8171" s="9" t="s">
        <v>17</v>
      </c>
      <c r="D8171" s="9" t="s">
        <v>18</v>
      </c>
      <c r="E8171" s="10" t="s">
        <v>3025</v>
      </c>
      <c r="F8171" s="9" t="s">
        <v>3026</v>
      </c>
      <c r="G8171" s="10" t="s">
        <v>28</v>
      </c>
      <c r="H8171" s="9" t="s">
        <v>22</v>
      </c>
      <c r="I8171" s="9" t="s">
        <v>17588</v>
      </c>
      <c r="J8171" s="10" t="str">
        <f>HYPERLINK("https://www.boe.es/gazeta/dias/1834/05/25/pdfs/GMD-1834-94.pdf#page=5","Abrir facsímil")</f>
        <v>Abrir facsímil</v>
      </c>
      <c r="K8171" s="10" t="s">
        <v>24</v>
      </c>
    </row>
    <row r="8172" spans="1:11" ht="54" customHeight="1">
      <c r="A8172" s="9" t="s">
        <v>17589</v>
      </c>
      <c r="B8172" s="9" t="s">
        <v>17589</v>
      </c>
      <c r="C8172" s="9" t="s">
        <v>17</v>
      </c>
      <c r="D8172" s="9" t="s">
        <v>18</v>
      </c>
      <c r="E8172" s="10" t="s">
        <v>1135</v>
      </c>
      <c r="F8172" s="9" t="s">
        <v>1136</v>
      </c>
      <c r="G8172" s="10" t="s">
        <v>34</v>
      </c>
      <c r="H8172" s="9" t="s">
        <v>22</v>
      </c>
      <c r="I8172" s="9" t="s">
        <v>17590</v>
      </c>
      <c r="J8172" s="10" t="str">
        <f>HYPERLINK("https://www.boe.es/gazeta/dias/1834/08/26/pdfs/GMD-1834-192.pdf#page=1","Abrir facsímil")</f>
        <v>Abrir facsímil</v>
      </c>
      <c r="K8172" s="10" t="s">
        <v>24</v>
      </c>
    </row>
    <row r="8173" spans="1:11" ht="54" customHeight="1">
      <c r="A8173" s="9" t="s">
        <v>17591</v>
      </c>
      <c r="B8173" s="9" t="s">
        <v>17592</v>
      </c>
      <c r="C8173" s="9" t="s">
        <v>90</v>
      </c>
      <c r="D8173" s="9" t="s">
        <v>18</v>
      </c>
      <c r="E8173" s="10" t="s">
        <v>2218</v>
      </c>
      <c r="F8173" s="9" t="s">
        <v>2219</v>
      </c>
      <c r="G8173" s="10" t="s">
        <v>21</v>
      </c>
      <c r="H8173" s="9" t="s">
        <v>22</v>
      </c>
      <c r="I8173" s="9" t="s">
        <v>17593</v>
      </c>
      <c r="J8173" s="10" t="str">
        <f>HYPERLINK("https://www.boe.es/gazeta/dias/1834/11/05/pdfs/GMD-1834-264.pdf#page=3","Abrir facsímil")</f>
        <v>Abrir facsímil</v>
      </c>
      <c r="K8173" s="10" t="s">
        <v>24</v>
      </c>
    </row>
    <row r="8174" spans="1:11" ht="54" customHeight="1">
      <c r="A8174" s="9" t="s">
        <v>17594</v>
      </c>
      <c r="B8174" s="9" t="s">
        <v>17595</v>
      </c>
      <c r="C8174" s="9" t="s">
        <v>66</v>
      </c>
      <c r="D8174" s="9" t="s">
        <v>67</v>
      </c>
      <c r="E8174" s="10" t="s">
        <v>1135</v>
      </c>
      <c r="F8174" s="9" t="s">
        <v>1136</v>
      </c>
      <c r="G8174" s="10" t="s">
        <v>21</v>
      </c>
      <c r="H8174" s="9" t="s">
        <v>22</v>
      </c>
      <c r="I8174" s="9" t="s">
        <v>17596</v>
      </c>
      <c r="J8174" s="10" t="str">
        <f>HYPERLINK("https://www.boe.es/gazeta/dias/1834/08/26/pdfs/GMD-1834-192.pdf#page=3","Abrir facsímil")</f>
        <v>Abrir facsímil</v>
      </c>
      <c r="K8174" s="10" t="s">
        <v>24</v>
      </c>
    </row>
    <row r="8175" spans="1:11" ht="54" customHeight="1">
      <c r="A8175" s="9" t="s">
        <v>17597</v>
      </c>
      <c r="B8175" s="9" t="s">
        <v>17598</v>
      </c>
      <c r="C8175" s="9" t="s">
        <v>17</v>
      </c>
      <c r="D8175" s="9" t="s">
        <v>18</v>
      </c>
      <c r="E8175" s="10" t="s">
        <v>1307</v>
      </c>
      <c r="F8175" s="9" t="s">
        <v>1308</v>
      </c>
      <c r="G8175" s="10" t="s">
        <v>21</v>
      </c>
      <c r="H8175" s="9" t="s">
        <v>35</v>
      </c>
      <c r="I8175" s="9" t="s">
        <v>17599</v>
      </c>
      <c r="J8175" s="10" t="str">
        <f>HYPERLINK("https://www.boe.es/gazeta/dias/1834/08/25/pdfs/GMD-1834-191.pdf#page=3","Abrir facsímil")</f>
        <v>Abrir facsímil</v>
      </c>
      <c r="K8175" s="10" t="s">
        <v>37</v>
      </c>
    </row>
    <row r="8176" spans="1:11" ht="54" customHeight="1">
      <c r="A8176" s="9" t="s">
        <v>17600</v>
      </c>
      <c r="B8176" s="9" t="s">
        <v>17601</v>
      </c>
      <c r="C8176" s="9" t="s">
        <v>90</v>
      </c>
      <c r="D8176" s="9" t="s">
        <v>55</v>
      </c>
      <c r="E8176" s="10" t="s">
        <v>117</v>
      </c>
      <c r="F8176" s="9" t="s">
        <v>118</v>
      </c>
      <c r="G8176" s="10" t="s">
        <v>75</v>
      </c>
      <c r="H8176" s="9" t="s">
        <v>22</v>
      </c>
      <c r="I8176" s="9" t="s">
        <v>17602</v>
      </c>
      <c r="J8176" s="10" t="str">
        <f>HYPERLINK("https://www.boe.es/gazeta/dias/1834/07/21/pdfs/GMD-1834-154.pdf#page=4","Abrir facsímil")</f>
        <v>Abrir facsímil</v>
      </c>
      <c r="K8176" s="10" t="s">
        <v>24</v>
      </c>
    </row>
    <row r="8177" spans="1:11" ht="54" customHeight="1">
      <c r="A8177" s="9" t="s">
        <v>17603</v>
      </c>
      <c r="B8177" s="9" t="s">
        <v>17603</v>
      </c>
      <c r="C8177" s="9" t="s">
        <v>90</v>
      </c>
      <c r="D8177" s="9" t="s">
        <v>18</v>
      </c>
      <c r="E8177" s="10" t="s">
        <v>2203</v>
      </c>
      <c r="F8177" s="9" t="s">
        <v>2204</v>
      </c>
      <c r="G8177" s="10" t="s">
        <v>75</v>
      </c>
      <c r="H8177" s="9" t="s">
        <v>22</v>
      </c>
      <c r="I8177" s="9" t="s">
        <v>17604</v>
      </c>
      <c r="J8177" s="10" t="str">
        <f>HYPERLINK("https://www.boe.es/gazeta/dias/1834/09/10/pdfs/GMD-C-1834-208.pdf#page=4","Abrir facsímil")</f>
        <v>Abrir facsímil</v>
      </c>
      <c r="K8177" s="10" t="s">
        <v>24</v>
      </c>
    </row>
    <row r="8178" spans="1:11" ht="54" customHeight="1">
      <c r="A8178" s="9" t="s">
        <v>17605</v>
      </c>
      <c r="B8178" s="9" t="s">
        <v>17605</v>
      </c>
      <c r="C8178" s="9" t="s">
        <v>90</v>
      </c>
      <c r="D8178" s="9" t="s">
        <v>18</v>
      </c>
      <c r="E8178" s="10" t="s">
        <v>690</v>
      </c>
      <c r="F8178" s="9" t="s">
        <v>691</v>
      </c>
      <c r="G8178" s="10" t="s">
        <v>34</v>
      </c>
      <c r="H8178" s="9" t="s">
        <v>22</v>
      </c>
      <c r="I8178" s="9" t="s">
        <v>17606</v>
      </c>
      <c r="J8178" s="10" t="str">
        <f>HYPERLINK("https://www.boe.es/gazeta/dias/1834/09/03/pdfs/GMD-C-1834-201.pdf#page=1","Abrir facsímil")</f>
        <v>Abrir facsímil</v>
      </c>
      <c r="K8178" s="10" t="s">
        <v>24</v>
      </c>
    </row>
    <row r="8179" spans="1:11" ht="54" customHeight="1">
      <c r="A8179" s="9" t="s">
        <v>17607</v>
      </c>
      <c r="B8179" s="9" t="s">
        <v>17607</v>
      </c>
      <c r="C8179" s="9" t="s">
        <v>46</v>
      </c>
      <c r="D8179" s="9" t="s">
        <v>101</v>
      </c>
      <c r="E8179" s="10" t="s">
        <v>1351</v>
      </c>
      <c r="F8179" s="9" t="s">
        <v>1352</v>
      </c>
      <c r="G8179" s="10" t="s">
        <v>34</v>
      </c>
      <c r="H8179" s="9" t="s">
        <v>22</v>
      </c>
      <c r="I8179" s="9" t="s">
        <v>17608</v>
      </c>
      <c r="J8179" s="10" t="str">
        <f>HYPERLINK("https://www.boe.es/gazeta/dias/1834/07/05/pdfs/GMD-1834-138.pdf#page=1","Abrir facsímil")</f>
        <v>Abrir facsímil</v>
      </c>
      <c r="K8179" s="10" t="s">
        <v>24</v>
      </c>
    </row>
    <row r="8180" spans="1:11" ht="54" customHeight="1">
      <c r="A8180" s="9" t="s">
        <v>17607</v>
      </c>
      <c r="B8180" s="9" t="s">
        <v>17607</v>
      </c>
      <c r="C8180" s="9" t="s">
        <v>17</v>
      </c>
      <c r="D8180" s="9" t="s">
        <v>18</v>
      </c>
      <c r="E8180" s="10" t="s">
        <v>5435</v>
      </c>
      <c r="F8180" s="9" t="s">
        <v>5436</v>
      </c>
      <c r="G8180" s="10" t="s">
        <v>34</v>
      </c>
      <c r="H8180" s="9" t="s">
        <v>22</v>
      </c>
      <c r="I8180" s="9" t="s">
        <v>17609</v>
      </c>
      <c r="J8180" s="10" t="str">
        <f>HYPERLINK("https://www.boe.es/gazeta/dias/1834/05/11/pdfs/GMD-1834-80.pdf#page=1","Abrir facsímil")</f>
        <v>Abrir facsímil</v>
      </c>
      <c r="K8180" s="10" t="s">
        <v>24</v>
      </c>
    </row>
    <row r="8181" spans="1:11" ht="54" customHeight="1">
      <c r="A8181" s="9" t="s">
        <v>17607</v>
      </c>
      <c r="B8181" s="9" t="s">
        <v>17607</v>
      </c>
      <c r="C8181" s="9" t="s">
        <v>17</v>
      </c>
      <c r="D8181" s="9" t="s">
        <v>55</v>
      </c>
      <c r="E8181" s="10" t="s">
        <v>19</v>
      </c>
      <c r="F8181" s="9" t="s">
        <v>107</v>
      </c>
      <c r="G8181" s="10" t="s">
        <v>34</v>
      </c>
      <c r="H8181" s="9" t="s">
        <v>22</v>
      </c>
      <c r="I8181" s="9" t="s">
        <v>17610</v>
      </c>
      <c r="J8181" s="10" t="str">
        <f>HYPERLINK("https://www.boe.es/gazeta/dias/1834/08/17/pdfs/GMD-1834-182.pdf#page=1","Abrir facsímil")</f>
        <v>Abrir facsímil</v>
      </c>
      <c r="K8181" s="10" t="s">
        <v>24</v>
      </c>
    </row>
    <row r="8182" spans="1:11" ht="54" customHeight="1">
      <c r="A8182" s="9" t="s">
        <v>17607</v>
      </c>
      <c r="B8182" s="9" t="s">
        <v>17607</v>
      </c>
      <c r="C8182" s="9" t="s">
        <v>46</v>
      </c>
      <c r="D8182" s="9" t="s">
        <v>101</v>
      </c>
      <c r="E8182" s="10" t="s">
        <v>102</v>
      </c>
      <c r="F8182" s="9" t="s">
        <v>103</v>
      </c>
      <c r="G8182" s="10" t="s">
        <v>34</v>
      </c>
      <c r="H8182" s="9" t="s">
        <v>22</v>
      </c>
      <c r="I8182" s="9" t="s">
        <v>17611</v>
      </c>
      <c r="J8182" s="10" t="str">
        <f>HYPERLINK("https://www.boe.es/gazeta/dias/1834/07/19/pdfs/GMD-1834-152.pdf#page=1","Abrir facsímil")</f>
        <v>Abrir facsímil</v>
      </c>
      <c r="K8182" s="10" t="s">
        <v>24</v>
      </c>
    </row>
    <row r="8183" spans="1:11" ht="54" customHeight="1">
      <c r="A8183" s="9" t="s">
        <v>17612</v>
      </c>
      <c r="B8183" s="9" t="s">
        <v>17613</v>
      </c>
      <c r="C8183" s="9" t="s">
        <v>66</v>
      </c>
      <c r="D8183" s="9" t="s">
        <v>67</v>
      </c>
      <c r="E8183" s="10" t="s">
        <v>928</v>
      </c>
      <c r="F8183" s="9" t="s">
        <v>929</v>
      </c>
      <c r="G8183" s="10" t="s">
        <v>28</v>
      </c>
      <c r="H8183" s="9" t="s">
        <v>22</v>
      </c>
      <c r="I8183" s="9" t="s">
        <v>17614</v>
      </c>
      <c r="J8183" s="10" t="str">
        <f>HYPERLINK("https://www.boe.es/gazeta/dias/1834/11/15/pdfs/GMD-C-1834-274.pdf#page=5","Abrir facsímil")</f>
        <v>Abrir facsímil</v>
      </c>
      <c r="K8183" s="10" t="s">
        <v>24</v>
      </c>
    </row>
    <row r="8184" spans="1:11" ht="54" customHeight="1">
      <c r="A8184" s="9" t="s">
        <v>17615</v>
      </c>
      <c r="B8184" s="9" t="s">
        <v>17615</v>
      </c>
      <c r="C8184" s="9" t="s">
        <v>17</v>
      </c>
      <c r="D8184" s="9" t="s">
        <v>18</v>
      </c>
      <c r="E8184" s="10" t="s">
        <v>258</v>
      </c>
      <c r="F8184" s="9" t="s">
        <v>259</v>
      </c>
      <c r="G8184" s="10" t="s">
        <v>34</v>
      </c>
      <c r="H8184" s="9" t="s">
        <v>22</v>
      </c>
      <c r="I8184" s="9" t="s">
        <v>17616</v>
      </c>
      <c r="J8184" s="10" t="str">
        <f>HYPERLINK("https://www.boe.es/gazeta/dias/1834/10/09/pdfs/GMD-C-1834-237.pdf#page=1","Abrir facsímil")</f>
        <v>Abrir facsímil</v>
      </c>
      <c r="K8184" s="10" t="s">
        <v>24</v>
      </c>
    </row>
    <row r="8185" spans="1:11" ht="54" customHeight="1">
      <c r="A8185" s="9" t="s">
        <v>17617</v>
      </c>
      <c r="B8185" s="9" t="s">
        <v>17618</v>
      </c>
      <c r="C8185" s="9" t="s">
        <v>17</v>
      </c>
      <c r="D8185" s="9" t="s">
        <v>40</v>
      </c>
      <c r="E8185" s="10" t="s">
        <v>237</v>
      </c>
      <c r="F8185" s="9" t="s">
        <v>4609</v>
      </c>
      <c r="G8185" s="10" t="s">
        <v>21</v>
      </c>
      <c r="H8185" s="9" t="s">
        <v>22</v>
      </c>
      <c r="I8185" s="9" t="s">
        <v>17619</v>
      </c>
      <c r="J8185" s="10" t="str">
        <f>HYPERLINK("https://www.boe.es/gazeta/dias/1834/08/15/pdfs/GMD-1834-180.pdf#page=3","Abrir facsímil")</f>
        <v>Abrir facsímil</v>
      </c>
      <c r="K8185" s="10" t="s">
        <v>24</v>
      </c>
    </row>
    <row r="8186" spans="1:11" ht="54" customHeight="1">
      <c r="A8186" s="9" t="s">
        <v>17620</v>
      </c>
      <c r="B8186" s="9" t="s">
        <v>17621</v>
      </c>
      <c r="C8186" s="9" t="s">
        <v>17</v>
      </c>
      <c r="D8186" s="9" t="s">
        <v>18</v>
      </c>
      <c r="E8186" s="10" t="s">
        <v>1318</v>
      </c>
      <c r="F8186" s="9" t="s">
        <v>1319</v>
      </c>
      <c r="G8186" s="10" t="s">
        <v>34</v>
      </c>
      <c r="H8186" s="9" t="s">
        <v>22</v>
      </c>
      <c r="I8186" s="9" t="s">
        <v>17622</v>
      </c>
      <c r="J8186" s="10" t="str">
        <f>HYPERLINK("https://www.boe.es/gazeta/dias/1834/05/10/pdfs/GMD-1834-79.pdf#page=1","Abrir facsímil")</f>
        <v>Abrir facsímil</v>
      </c>
      <c r="K8186" s="10" t="s">
        <v>24</v>
      </c>
    </row>
    <row r="8187" spans="1:11" ht="54" customHeight="1">
      <c r="A8187" s="9" t="s">
        <v>17623</v>
      </c>
      <c r="B8187" s="9" t="s">
        <v>17624</v>
      </c>
      <c r="C8187" s="9" t="s">
        <v>17</v>
      </c>
      <c r="D8187" s="9" t="s">
        <v>18</v>
      </c>
      <c r="E8187" s="10" t="s">
        <v>375</v>
      </c>
      <c r="F8187" s="9" t="s">
        <v>376</v>
      </c>
      <c r="G8187" s="10" t="s">
        <v>21</v>
      </c>
      <c r="H8187" s="9" t="s">
        <v>35</v>
      </c>
      <c r="I8187" s="9" t="s">
        <v>17625</v>
      </c>
      <c r="J8187" s="10" t="str">
        <f>HYPERLINK("https://www.boe.es/gazeta/dias/1834/08/21/pdfs/GMD-1834-187.pdf#page=3","Abrir facsímil")</f>
        <v>Abrir facsímil</v>
      </c>
      <c r="K8187" s="10" t="s">
        <v>37</v>
      </c>
    </row>
    <row r="8188" spans="1:11" ht="54" customHeight="1">
      <c r="A8188" s="9" t="s">
        <v>17626</v>
      </c>
      <c r="B8188" s="9" t="s">
        <v>17627</v>
      </c>
      <c r="C8188" s="9" t="s">
        <v>17</v>
      </c>
      <c r="D8188" s="9" t="s">
        <v>18</v>
      </c>
      <c r="E8188" s="10" t="s">
        <v>375</v>
      </c>
      <c r="F8188" s="9" t="s">
        <v>376</v>
      </c>
      <c r="G8188" s="10" t="s">
        <v>21</v>
      </c>
      <c r="H8188" s="9" t="s">
        <v>22</v>
      </c>
      <c r="I8188" s="9" t="s">
        <v>17628</v>
      </c>
      <c r="J8188" s="10" t="str">
        <f>HYPERLINK("https://www.boe.es/gazeta/dias/1834/08/21/pdfs/GMD-1834-187.pdf#page=3","Abrir facsímil")</f>
        <v>Abrir facsímil</v>
      </c>
      <c r="K8188" s="10" t="s">
        <v>24</v>
      </c>
    </row>
    <row r="8189" spans="1:11" ht="54" customHeight="1">
      <c r="A8189" s="9" t="s">
        <v>17629</v>
      </c>
      <c r="B8189" s="9" t="s">
        <v>17630</v>
      </c>
      <c r="C8189" s="9" t="s">
        <v>17</v>
      </c>
      <c r="D8189" s="9" t="s">
        <v>18</v>
      </c>
      <c r="E8189" s="10" t="s">
        <v>233</v>
      </c>
      <c r="F8189" s="9" t="s">
        <v>234</v>
      </c>
      <c r="G8189" s="10" t="s">
        <v>75</v>
      </c>
      <c r="H8189" s="9" t="s">
        <v>22</v>
      </c>
      <c r="I8189" s="9" t="s">
        <v>17631</v>
      </c>
      <c r="J8189" s="10" t="str">
        <f>HYPERLINK("https://www.boe.es/gazeta/dias/1834/12/16/pdfs/GMD-1834-305.pdf#page=4","Abrir facsímil")</f>
        <v>Abrir facsímil</v>
      </c>
      <c r="K8189" s="10" t="s">
        <v>24</v>
      </c>
    </row>
    <row r="8190" spans="1:11" ht="54" customHeight="1">
      <c r="A8190" s="9" t="s">
        <v>17632</v>
      </c>
      <c r="B8190" s="9" t="s">
        <v>17633</v>
      </c>
      <c r="C8190" s="9" t="s">
        <v>17</v>
      </c>
      <c r="D8190" s="9" t="s">
        <v>18</v>
      </c>
      <c r="E8190" s="10" t="s">
        <v>1262</v>
      </c>
      <c r="F8190" s="9" t="s">
        <v>1263</v>
      </c>
      <c r="G8190" s="10" t="s">
        <v>21</v>
      </c>
      <c r="H8190" s="9" t="s">
        <v>22</v>
      </c>
      <c r="I8190" s="9" t="s">
        <v>17634</v>
      </c>
      <c r="J8190" s="10" t="str">
        <f>HYPERLINK("https://www.boe.es/gazeta/dias/1834/02/01/pdfs/GMD-1834-15.pdf#page=3","Abrir facsímil")</f>
        <v>Abrir facsímil</v>
      </c>
      <c r="K8190" s="10" t="s">
        <v>24</v>
      </c>
    </row>
    <row r="8191" spans="1:11" ht="54" customHeight="1">
      <c r="A8191" s="9" t="s">
        <v>17635</v>
      </c>
      <c r="B8191" s="9" t="s">
        <v>17636</v>
      </c>
      <c r="C8191" s="9" t="s">
        <v>17</v>
      </c>
      <c r="D8191" s="9" t="s">
        <v>18</v>
      </c>
      <c r="E8191" s="10" t="s">
        <v>981</v>
      </c>
      <c r="F8191" s="9" t="s">
        <v>982</v>
      </c>
      <c r="G8191" s="10" t="s">
        <v>86</v>
      </c>
      <c r="H8191" s="9" t="s">
        <v>22</v>
      </c>
      <c r="I8191" s="9" t="s">
        <v>17637</v>
      </c>
      <c r="J8191" s="10" t="str">
        <f>HYPERLINK("https://www.boe.es/gazeta/dias/1834/09/21/pdfs/GMD-1834-219.pdf#page=2","Abrir facsímil")</f>
        <v>Abrir facsímil</v>
      </c>
      <c r="K8191" s="10" t="s">
        <v>24</v>
      </c>
    </row>
    <row r="8192" spans="1:11" ht="54" customHeight="1">
      <c r="A8192" s="9" t="s">
        <v>17638</v>
      </c>
      <c r="B8192" s="9" t="s">
        <v>17639</v>
      </c>
      <c r="C8192" s="9" t="s">
        <v>66</v>
      </c>
      <c r="D8192" s="9" t="s">
        <v>67</v>
      </c>
      <c r="E8192" s="10" t="s">
        <v>1234</v>
      </c>
      <c r="F8192" s="9" t="s">
        <v>1235</v>
      </c>
      <c r="G8192" s="10" t="s">
        <v>34</v>
      </c>
      <c r="H8192" s="9" t="s">
        <v>22</v>
      </c>
      <c r="I8192" s="9" t="s">
        <v>17640</v>
      </c>
      <c r="J8192" s="10" t="str">
        <f>HYPERLINK("https://www.boe.es/gazeta/dias/1834/05/15/pdfs/GMD-C-1834-84.pdf#page=1","Abrir facsímil")</f>
        <v>Abrir facsímil</v>
      </c>
      <c r="K8192" s="10" t="s">
        <v>24</v>
      </c>
    </row>
    <row r="8193" spans="1:11" ht="54" customHeight="1">
      <c r="A8193" s="9" t="s">
        <v>17641</v>
      </c>
      <c r="B8193" s="9" t="s">
        <v>17642</v>
      </c>
      <c r="C8193" s="9" t="s">
        <v>66</v>
      </c>
      <c r="D8193" s="9" t="s">
        <v>67</v>
      </c>
      <c r="E8193" s="10" t="s">
        <v>513</v>
      </c>
      <c r="F8193" s="9" t="s">
        <v>514</v>
      </c>
      <c r="G8193" s="10" t="s">
        <v>28</v>
      </c>
      <c r="H8193" s="9" t="s">
        <v>22</v>
      </c>
      <c r="I8193" s="9" t="s">
        <v>17643</v>
      </c>
      <c r="J8193" s="10" t="str">
        <f>HYPERLINK("https://www.boe.es/gazeta/dias/1834/04/27/pdfs/GMD-1834-66.pdf#page=5","Abrir facsímil")</f>
        <v>Abrir facsímil</v>
      </c>
      <c r="K8193" s="10" t="s">
        <v>24</v>
      </c>
    </row>
    <row r="8194" spans="1:11" ht="54" customHeight="1">
      <c r="A8194" s="9" t="s">
        <v>17644</v>
      </c>
      <c r="B8194" s="9" t="s">
        <v>17645</v>
      </c>
      <c r="C8194" s="9" t="s">
        <v>17</v>
      </c>
      <c r="D8194" s="9" t="s">
        <v>18</v>
      </c>
      <c r="E8194" s="10" t="s">
        <v>576</v>
      </c>
      <c r="F8194" s="9" t="s">
        <v>577</v>
      </c>
      <c r="G8194" s="10" t="s">
        <v>21</v>
      </c>
      <c r="H8194" s="9" t="s">
        <v>22</v>
      </c>
      <c r="I8194" s="9" t="s">
        <v>17646</v>
      </c>
      <c r="J8194" s="10" t="str">
        <f>HYPERLINK("https://www.boe.es/gazeta/dias/1834/09/23/pdfs/GMD-1834-221.pdf#page=3","Abrir facsímil")</f>
        <v>Abrir facsímil</v>
      </c>
      <c r="K8194" s="10" t="s">
        <v>24</v>
      </c>
    </row>
    <row r="8195" spans="1:11" ht="54" customHeight="1">
      <c r="A8195" s="9" t="s">
        <v>17647</v>
      </c>
      <c r="B8195" s="9" t="s">
        <v>17648</v>
      </c>
      <c r="C8195" s="9" t="s">
        <v>17</v>
      </c>
      <c r="D8195" s="9" t="s">
        <v>55</v>
      </c>
      <c r="E8195" s="10" t="s">
        <v>571</v>
      </c>
      <c r="F8195" s="9" t="s">
        <v>572</v>
      </c>
      <c r="G8195" s="10" t="s">
        <v>86</v>
      </c>
      <c r="H8195" s="9" t="s">
        <v>22</v>
      </c>
      <c r="I8195" s="9" t="s">
        <v>17649</v>
      </c>
      <c r="J8195" s="10" t="str">
        <f>HYPERLINK("https://www.boe.es/gazeta/dias/1834/09/04/pdfs/GMD-1834-202.pdf#page=2","Abrir facsímil")</f>
        <v>Abrir facsímil</v>
      </c>
      <c r="K8195" s="10" t="s">
        <v>24</v>
      </c>
    </row>
    <row r="8196" spans="1:11" ht="54" customHeight="1">
      <c r="A8196" s="9" t="s">
        <v>17650</v>
      </c>
      <c r="B8196" s="9" t="s">
        <v>17651</v>
      </c>
      <c r="C8196" s="9" t="s">
        <v>90</v>
      </c>
      <c r="D8196" s="9" t="s">
        <v>18</v>
      </c>
      <c r="E8196" s="10" t="s">
        <v>1410</v>
      </c>
      <c r="F8196" s="9" t="s">
        <v>2231</v>
      </c>
      <c r="G8196" s="10" t="s">
        <v>34</v>
      </c>
      <c r="H8196" s="9" t="s">
        <v>35</v>
      </c>
      <c r="I8196" s="9" t="s">
        <v>17652</v>
      </c>
      <c r="J8196" s="10" t="str">
        <f>HYPERLINK("https://www.boe.es/gazeta/dias/1834/09/09/pdfs/GMD-C-1834-207.pdf#page=1","Abrir facsímil")</f>
        <v>Abrir facsímil</v>
      </c>
      <c r="K8196" s="10" t="s">
        <v>37</v>
      </c>
    </row>
    <row r="8197" spans="1:11" ht="54" customHeight="1">
      <c r="A8197" s="9" t="s">
        <v>17653</v>
      </c>
      <c r="B8197" s="9" t="s">
        <v>17654</v>
      </c>
      <c r="C8197" s="9" t="s">
        <v>122</v>
      </c>
      <c r="D8197" s="9" t="s">
        <v>101</v>
      </c>
      <c r="E8197" s="10" t="s">
        <v>1572</v>
      </c>
      <c r="F8197" s="9" t="s">
        <v>1573</v>
      </c>
      <c r="G8197" s="10" t="s">
        <v>34</v>
      </c>
      <c r="H8197" s="9" t="s">
        <v>22</v>
      </c>
      <c r="I8197" s="9" t="s">
        <v>17655</v>
      </c>
      <c r="J8197" s="10" t="str">
        <f>HYPERLINK("https://www.boe.es/gazeta/dias/1834/03/20/pdfs/GMD-1834-35.pdf#page=1","Abrir facsímil")</f>
        <v>Abrir facsímil</v>
      </c>
      <c r="K8197" s="10" t="s">
        <v>24</v>
      </c>
    </row>
    <row r="8198" spans="1:11" ht="54" customHeight="1">
      <c r="A8198" s="9" t="s">
        <v>17656</v>
      </c>
      <c r="B8198" s="9" t="s">
        <v>17657</v>
      </c>
      <c r="C8198" s="9" t="s">
        <v>17</v>
      </c>
      <c r="D8198" s="9" t="s">
        <v>55</v>
      </c>
      <c r="E8198" s="10" t="s">
        <v>2596</v>
      </c>
      <c r="F8198" s="9" t="s">
        <v>2597</v>
      </c>
      <c r="G8198" s="10" t="s">
        <v>86</v>
      </c>
      <c r="H8198" s="9" t="s">
        <v>22</v>
      </c>
      <c r="I8198" s="9" t="s">
        <v>17658</v>
      </c>
      <c r="J8198" s="10" t="str">
        <f>HYPERLINK("https://www.boe.es/gazeta/dias/1834/10/22/pdfs/GMD-1834-250.pdf#page=2","Abrir facsímil")</f>
        <v>Abrir facsímil</v>
      </c>
      <c r="K8198" s="10" t="s">
        <v>24</v>
      </c>
    </row>
    <row r="8199" spans="1:11" ht="54" customHeight="1">
      <c r="A8199" s="9" t="s">
        <v>17659</v>
      </c>
      <c r="B8199" s="9" t="s">
        <v>17660</v>
      </c>
      <c r="C8199" s="9" t="s">
        <v>66</v>
      </c>
      <c r="D8199" s="9" t="s">
        <v>67</v>
      </c>
      <c r="E8199" s="10" t="s">
        <v>222</v>
      </c>
      <c r="F8199" s="9" t="s">
        <v>223</v>
      </c>
      <c r="G8199" s="10" t="s">
        <v>21</v>
      </c>
      <c r="H8199" s="9" t="s">
        <v>22</v>
      </c>
      <c r="I8199" s="9" t="s">
        <v>17661</v>
      </c>
      <c r="J8199" s="10" t="str">
        <f>HYPERLINK("https://www.boe.es/gazeta/dias/1834/09/14/pdfs/GMD-1834-212.pdf#page=3","Abrir facsímil")</f>
        <v>Abrir facsímil</v>
      </c>
      <c r="K8199" s="10" t="s">
        <v>24</v>
      </c>
    </row>
    <row r="8200" spans="1:11" ht="54" customHeight="1">
      <c r="A8200" s="9" t="s">
        <v>17662</v>
      </c>
      <c r="B8200" s="9" t="s">
        <v>17663</v>
      </c>
      <c r="C8200" s="9" t="s">
        <v>17</v>
      </c>
      <c r="D8200" s="9" t="s">
        <v>18</v>
      </c>
      <c r="E8200" s="10" t="s">
        <v>1572</v>
      </c>
      <c r="F8200" s="9" t="s">
        <v>1573</v>
      </c>
      <c r="G8200" s="10" t="s">
        <v>75</v>
      </c>
      <c r="H8200" s="9" t="s">
        <v>22</v>
      </c>
      <c r="I8200" s="9" t="s">
        <v>17664</v>
      </c>
      <c r="J8200" s="10" t="str">
        <f>HYPERLINK("https://www.boe.es/gazeta/dias/1834/03/20/pdfs/GMD-1834-35.pdf#page=4","Abrir facsímil")</f>
        <v>Abrir facsímil</v>
      </c>
      <c r="K8200" s="10" t="s">
        <v>24</v>
      </c>
    </row>
    <row r="8201" spans="1:11" ht="54" customHeight="1">
      <c r="A8201" s="9" t="s">
        <v>17665</v>
      </c>
      <c r="B8201" s="9" t="s">
        <v>17666</v>
      </c>
      <c r="C8201" s="9" t="s">
        <v>17</v>
      </c>
      <c r="D8201" s="9" t="s">
        <v>55</v>
      </c>
      <c r="E8201" s="10" t="s">
        <v>1239</v>
      </c>
      <c r="F8201" s="9" t="s">
        <v>1240</v>
      </c>
      <c r="G8201" s="10" t="s">
        <v>34</v>
      </c>
      <c r="H8201" s="9" t="s">
        <v>22</v>
      </c>
      <c r="I8201" s="9" t="s">
        <v>17667</v>
      </c>
      <c r="J8201" s="10" t="str">
        <f>HYPERLINK("https://www.boe.es/gazeta/dias/1834/08/20/pdfs/GMD-1834-186.pdf#page=1","Abrir facsímil")</f>
        <v>Abrir facsímil</v>
      </c>
      <c r="K8201" s="10" t="s">
        <v>24</v>
      </c>
    </row>
    <row r="8202" spans="1:11" ht="54" customHeight="1">
      <c r="A8202" s="9" t="s">
        <v>17668</v>
      </c>
      <c r="B8202" s="9" t="s">
        <v>17669</v>
      </c>
      <c r="C8202" s="9" t="s">
        <v>17</v>
      </c>
      <c r="D8202" s="9" t="s">
        <v>18</v>
      </c>
      <c r="E8202" s="10" t="s">
        <v>2048</v>
      </c>
      <c r="F8202" s="9" t="s">
        <v>2049</v>
      </c>
      <c r="G8202" s="10" t="s">
        <v>75</v>
      </c>
      <c r="H8202" s="9" t="s">
        <v>22</v>
      </c>
      <c r="I8202" s="9" t="s">
        <v>17670</v>
      </c>
      <c r="J8202" s="10" t="str">
        <f>HYPERLINK("https://www.boe.es/gazeta/dias/1834/05/12/pdfs/GMD-1834-81.pdf#page=4","Abrir facsímil")</f>
        <v>Abrir facsímil</v>
      </c>
      <c r="K8202" s="10" t="s">
        <v>24</v>
      </c>
    </row>
    <row r="8203" spans="1:11" ht="54" customHeight="1">
      <c r="A8203" s="9" t="s">
        <v>17671</v>
      </c>
      <c r="B8203" s="9" t="s">
        <v>17672</v>
      </c>
      <c r="C8203" s="9" t="s">
        <v>90</v>
      </c>
      <c r="D8203" s="9" t="s">
        <v>18</v>
      </c>
      <c r="E8203" s="10" t="s">
        <v>1410</v>
      </c>
      <c r="F8203" s="9" t="s">
        <v>2231</v>
      </c>
      <c r="G8203" s="10" t="s">
        <v>34</v>
      </c>
      <c r="H8203" s="9" t="s">
        <v>22</v>
      </c>
      <c r="I8203" s="9" t="s">
        <v>17673</v>
      </c>
      <c r="J8203" s="10" t="str">
        <f>HYPERLINK("https://www.boe.es/gazeta/dias/1834/09/09/pdfs/GMD-C-1834-207.pdf#page=1","Abrir facsímil")</f>
        <v>Abrir facsímil</v>
      </c>
      <c r="K8203" s="10" t="s">
        <v>24</v>
      </c>
    </row>
    <row r="8204" spans="1:11" ht="54" customHeight="1">
      <c r="A8204" s="9" t="s">
        <v>17674</v>
      </c>
      <c r="B8204" s="9" t="s">
        <v>17675</v>
      </c>
      <c r="C8204" s="9" t="s">
        <v>17</v>
      </c>
      <c r="D8204" s="9" t="s">
        <v>40</v>
      </c>
      <c r="E8204" s="10" t="s">
        <v>3225</v>
      </c>
      <c r="F8204" s="9" t="s">
        <v>3226</v>
      </c>
      <c r="G8204" s="10" t="s">
        <v>75</v>
      </c>
      <c r="H8204" s="9" t="s">
        <v>22</v>
      </c>
      <c r="I8204" s="9" t="s">
        <v>17676</v>
      </c>
      <c r="J8204" s="10" t="str">
        <f>HYPERLINK("https://www.boe.es/gazeta/dias/1834/08/22/pdfs/GMD-1834-188.pdf#page=4","Abrir facsímil")</f>
        <v>Abrir facsímil</v>
      </c>
      <c r="K8204" s="10" t="s">
        <v>24</v>
      </c>
    </row>
    <row r="8205" spans="1:11" ht="54" customHeight="1">
      <c r="A8205" s="9" t="s">
        <v>17677</v>
      </c>
      <c r="B8205" s="9" t="s">
        <v>17678</v>
      </c>
      <c r="C8205" s="9" t="s">
        <v>17</v>
      </c>
      <c r="D8205" s="9" t="s">
        <v>18</v>
      </c>
      <c r="E8205" s="10" t="s">
        <v>863</v>
      </c>
      <c r="F8205" s="9" t="s">
        <v>864</v>
      </c>
      <c r="G8205" s="10" t="s">
        <v>21</v>
      </c>
      <c r="H8205" s="9" t="s">
        <v>22</v>
      </c>
      <c r="I8205" s="9" t="s">
        <v>17679</v>
      </c>
      <c r="J8205" s="10" t="str">
        <f>HYPERLINK("https://www.boe.es/gazeta/dias/1834/09/15/pdfs/GMD-1834-213.pdf#page=3","Abrir facsímil")</f>
        <v>Abrir facsímil</v>
      </c>
      <c r="K8205" s="10" t="s">
        <v>24</v>
      </c>
    </row>
    <row r="8206" spans="1:11" ht="54" customHeight="1">
      <c r="A8206" s="9" t="s">
        <v>17677</v>
      </c>
      <c r="B8206" s="9" t="s">
        <v>17678</v>
      </c>
      <c r="C8206" s="9" t="s">
        <v>857</v>
      </c>
      <c r="D8206" s="9" t="s">
        <v>18</v>
      </c>
      <c r="E8206" s="10" t="s">
        <v>724</v>
      </c>
      <c r="F8206" s="9" t="s">
        <v>725</v>
      </c>
      <c r="G8206" s="10" t="s">
        <v>75</v>
      </c>
      <c r="H8206" s="9" t="s">
        <v>22</v>
      </c>
      <c r="I8206" s="9" t="s">
        <v>17680</v>
      </c>
      <c r="J8206" s="10" t="str">
        <f>HYPERLINK("https://www.boe.es/gazeta/dias/1834/04/25/pdfs/GMD-1834-64.pdf#page=4","Abrir facsímil")</f>
        <v>Abrir facsímil</v>
      </c>
      <c r="K8206" s="10" t="s">
        <v>24</v>
      </c>
    </row>
    <row r="8207" spans="1:11" ht="54" customHeight="1">
      <c r="A8207" s="9" t="s">
        <v>17681</v>
      </c>
      <c r="B8207" s="9" t="s">
        <v>17682</v>
      </c>
      <c r="C8207" s="9" t="s">
        <v>17</v>
      </c>
      <c r="D8207" s="9" t="s">
        <v>18</v>
      </c>
      <c r="E8207" s="10" t="s">
        <v>1402</v>
      </c>
      <c r="F8207" s="9" t="s">
        <v>1403</v>
      </c>
      <c r="G8207" s="10" t="s">
        <v>75</v>
      </c>
      <c r="H8207" s="9" t="s">
        <v>22</v>
      </c>
      <c r="I8207" s="9" t="s">
        <v>17683</v>
      </c>
      <c r="J8207" s="10" t="str">
        <f>HYPERLINK("https://www.boe.es/gazeta/dias/1834/05/05/pdfs/GMD-1834-74.pdf#page=4","Abrir facsímil")</f>
        <v>Abrir facsímil</v>
      </c>
      <c r="K8207" s="10" t="s">
        <v>24</v>
      </c>
    </row>
    <row r="8208" spans="1:11" ht="54" customHeight="1">
      <c r="A8208" s="9" t="s">
        <v>17684</v>
      </c>
      <c r="B8208" s="9" t="s">
        <v>17685</v>
      </c>
      <c r="C8208" s="9" t="s">
        <v>17</v>
      </c>
      <c r="D8208" s="9" t="s">
        <v>18</v>
      </c>
      <c r="E8208" s="10" t="s">
        <v>576</v>
      </c>
      <c r="F8208" s="9" t="s">
        <v>577</v>
      </c>
      <c r="G8208" s="10" t="s">
        <v>21</v>
      </c>
      <c r="H8208" s="9" t="s">
        <v>35</v>
      </c>
      <c r="I8208" s="9" t="s">
        <v>17686</v>
      </c>
      <c r="J8208" s="10" t="str">
        <f>HYPERLINK("https://www.boe.es/gazeta/dias/1834/09/23/pdfs/GMD-1834-221.pdf#page=3","Abrir facsímil")</f>
        <v>Abrir facsímil</v>
      </c>
      <c r="K8208" s="10" t="s">
        <v>37</v>
      </c>
    </row>
    <row r="8209" spans="1:11" ht="54" customHeight="1">
      <c r="A8209" s="9" t="s">
        <v>17687</v>
      </c>
      <c r="B8209" s="9" t="s">
        <v>17688</v>
      </c>
      <c r="C8209" s="9" t="s">
        <v>17</v>
      </c>
      <c r="D8209" s="9" t="s">
        <v>18</v>
      </c>
      <c r="E8209" s="10" t="s">
        <v>1337</v>
      </c>
      <c r="F8209" s="9" t="s">
        <v>1338</v>
      </c>
      <c r="G8209" s="10" t="s">
        <v>34</v>
      </c>
      <c r="H8209" s="9" t="s">
        <v>35</v>
      </c>
      <c r="I8209" s="9" t="s">
        <v>17689</v>
      </c>
      <c r="J8209" s="10" t="str">
        <f>HYPERLINK("https://www.boe.es/gazeta/dias/1834/01/02/pdfs/GMD-1834-1.pdf#page=1","Abrir facsímil")</f>
        <v>Abrir facsímil</v>
      </c>
      <c r="K8209" s="10" t="s">
        <v>37</v>
      </c>
    </row>
    <row r="8210" spans="1:11" ht="54" customHeight="1">
      <c r="A8210" s="9" t="s">
        <v>17690</v>
      </c>
      <c r="B8210" s="9" t="s">
        <v>17691</v>
      </c>
      <c r="C8210" s="9" t="s">
        <v>17</v>
      </c>
      <c r="D8210" s="9" t="s">
        <v>18</v>
      </c>
      <c r="E8210" s="10" t="s">
        <v>541</v>
      </c>
      <c r="F8210" s="9" t="s">
        <v>542</v>
      </c>
      <c r="G8210" s="10" t="s">
        <v>75</v>
      </c>
      <c r="H8210" s="9" t="s">
        <v>22</v>
      </c>
      <c r="I8210" s="9" t="s">
        <v>17692</v>
      </c>
      <c r="J8210" s="10" t="str">
        <f>HYPERLINK("https://www.boe.es/gazeta/dias/1834/04/18/pdfs/GMD-1834-57.pdf#page=4","Abrir facsímil")</f>
        <v>Abrir facsímil</v>
      </c>
      <c r="K8210" s="10" t="s">
        <v>24</v>
      </c>
    </row>
    <row r="8211" spans="1:11" ht="54" customHeight="1">
      <c r="A8211" s="9" t="s">
        <v>17693</v>
      </c>
      <c r="B8211" s="9" t="s">
        <v>17694</v>
      </c>
      <c r="C8211" s="9" t="s">
        <v>17</v>
      </c>
      <c r="D8211" s="9" t="s">
        <v>18</v>
      </c>
      <c r="E8211" s="10" t="s">
        <v>1459</v>
      </c>
      <c r="F8211" s="9" t="s">
        <v>1460</v>
      </c>
      <c r="G8211" s="10" t="s">
        <v>21</v>
      </c>
      <c r="H8211" s="9" t="s">
        <v>22</v>
      </c>
      <c r="I8211" s="9" t="s">
        <v>17695</v>
      </c>
      <c r="J8211" s="10" t="str">
        <f>HYPERLINK("https://www.boe.es/gazeta/dias/1834/08/18/pdfs/GMD-1834-184.pdf#page=3","Abrir facsímil")</f>
        <v>Abrir facsímil</v>
      </c>
      <c r="K8211" s="10" t="s">
        <v>24</v>
      </c>
    </row>
    <row r="8212" spans="1:11" ht="54" customHeight="1">
      <c r="A8212" s="9" t="s">
        <v>17696</v>
      </c>
      <c r="B8212" s="9" t="s">
        <v>17697</v>
      </c>
      <c r="C8212" s="9" t="s">
        <v>17</v>
      </c>
      <c r="D8212" s="9" t="s">
        <v>18</v>
      </c>
      <c r="E8212" s="10" t="s">
        <v>1337</v>
      </c>
      <c r="F8212" s="9" t="s">
        <v>1338</v>
      </c>
      <c r="G8212" s="10" t="s">
        <v>34</v>
      </c>
      <c r="H8212" s="9" t="s">
        <v>22</v>
      </c>
      <c r="I8212" s="9" t="s">
        <v>17698</v>
      </c>
      <c r="J8212" s="10" t="str">
        <f>HYPERLINK("https://www.boe.es/gazeta/dias/1834/01/02/pdfs/GMD-1834-1.pdf#page=1","Abrir facsímil")</f>
        <v>Abrir facsímil</v>
      </c>
      <c r="K8212" s="10" t="s">
        <v>24</v>
      </c>
    </row>
    <row r="8213" spans="1:11" ht="54" customHeight="1">
      <c r="A8213" s="9" t="s">
        <v>17699</v>
      </c>
      <c r="B8213" s="9" t="s">
        <v>17700</v>
      </c>
      <c r="C8213" s="9" t="s">
        <v>17</v>
      </c>
      <c r="D8213" s="9" t="s">
        <v>101</v>
      </c>
      <c r="E8213" s="10" t="s">
        <v>753</v>
      </c>
      <c r="F8213" s="9" t="s">
        <v>754</v>
      </c>
      <c r="G8213" s="10" t="s">
        <v>34</v>
      </c>
      <c r="H8213" s="9" t="s">
        <v>35</v>
      </c>
      <c r="I8213" s="9" t="s">
        <v>17701</v>
      </c>
      <c r="J8213" s="10" t="str">
        <f>HYPERLINK("https://www.boe.es/gazeta/dias/1834/04/21/pdfs/GMD-1834-60.pdf#page=1","Abrir facsímil")</f>
        <v>Abrir facsímil</v>
      </c>
      <c r="K8213" s="10" t="s">
        <v>37</v>
      </c>
    </row>
    <row r="8214" spans="1:11" ht="54" customHeight="1">
      <c r="A8214" s="9" t="s">
        <v>17702</v>
      </c>
      <c r="B8214" s="9" t="s">
        <v>17703</v>
      </c>
      <c r="C8214" s="9" t="s">
        <v>17</v>
      </c>
      <c r="D8214" s="9" t="s">
        <v>40</v>
      </c>
      <c r="E8214" s="10" t="s">
        <v>1850</v>
      </c>
      <c r="F8214" s="9" t="s">
        <v>1851</v>
      </c>
      <c r="G8214" s="10" t="s">
        <v>470</v>
      </c>
      <c r="H8214" s="9" t="s">
        <v>22</v>
      </c>
      <c r="I8214" s="9" t="s">
        <v>17704</v>
      </c>
      <c r="J8214" s="10" t="str">
        <f>HYPERLINK("https://www.boe.es/gazeta/dias/1834/02/18/pdfs/GMD-1834-22.pdf#page=8","Abrir facsímil")</f>
        <v>Abrir facsímil</v>
      </c>
      <c r="K8214" s="10" t="s">
        <v>24</v>
      </c>
    </row>
    <row r="8215" spans="1:11" ht="54" customHeight="1">
      <c r="A8215" s="9" t="s">
        <v>17705</v>
      </c>
      <c r="B8215" s="9" t="s">
        <v>17705</v>
      </c>
      <c r="C8215" s="9" t="s">
        <v>17</v>
      </c>
      <c r="D8215" s="9" t="s">
        <v>18</v>
      </c>
      <c r="E8215" s="10" t="s">
        <v>1195</v>
      </c>
      <c r="F8215" s="9" t="s">
        <v>1196</v>
      </c>
      <c r="G8215" s="10" t="s">
        <v>86</v>
      </c>
      <c r="H8215" s="9" t="s">
        <v>22</v>
      </c>
      <c r="I8215" s="9" t="s">
        <v>17706</v>
      </c>
      <c r="J8215" s="10" t="str">
        <f>HYPERLINK("https://www.boe.es/gazeta/dias/1834/10/17/pdfs/GMD-C-1834-245.pdf#page=2","Abrir facsímil")</f>
        <v>Abrir facsímil</v>
      </c>
      <c r="K8215" s="10" t="s">
        <v>24</v>
      </c>
    </row>
    <row r="8216" spans="1:11" ht="54" customHeight="1">
      <c r="A8216" s="9" t="s">
        <v>17707</v>
      </c>
      <c r="B8216" s="9" t="s">
        <v>17707</v>
      </c>
      <c r="C8216" s="9" t="s">
        <v>857</v>
      </c>
      <c r="D8216" s="9" t="s">
        <v>18</v>
      </c>
      <c r="E8216" s="10" t="s">
        <v>19</v>
      </c>
      <c r="F8216" s="9" t="s">
        <v>107</v>
      </c>
      <c r="G8216" s="10" t="s">
        <v>34</v>
      </c>
      <c r="H8216" s="9" t="s">
        <v>22</v>
      </c>
      <c r="I8216" s="9" t="s">
        <v>17708</v>
      </c>
      <c r="J8216" s="10" t="str">
        <f>HYPERLINK("https://www.boe.es/gazeta/dias/1834/08/17/pdfs/GMD-1834-182.pdf#page=1","Abrir facsímil")</f>
        <v>Abrir facsímil</v>
      </c>
      <c r="K8216" s="10" t="s">
        <v>24</v>
      </c>
    </row>
    <row r="8217" spans="1:11" ht="54" customHeight="1">
      <c r="A8217" s="9" t="s">
        <v>17709</v>
      </c>
      <c r="B8217" s="9" t="s">
        <v>17710</v>
      </c>
      <c r="C8217" s="9" t="s">
        <v>857</v>
      </c>
      <c r="D8217" s="9" t="s">
        <v>18</v>
      </c>
      <c r="E8217" s="10" t="s">
        <v>19</v>
      </c>
      <c r="F8217" s="9" t="s">
        <v>107</v>
      </c>
      <c r="G8217" s="10" t="s">
        <v>34</v>
      </c>
      <c r="H8217" s="9" t="s">
        <v>22</v>
      </c>
      <c r="I8217" s="9" t="s">
        <v>17711</v>
      </c>
      <c r="J8217" s="10" t="str">
        <f>HYPERLINK("https://www.boe.es/gazeta/dias/1834/08/17/pdfs/GMD-1834-182.pdf#page=1","Abrir facsímil")</f>
        <v>Abrir facsímil</v>
      </c>
      <c r="K8217" s="10" t="s">
        <v>24</v>
      </c>
    </row>
    <row r="8218" spans="1:11" ht="54" customHeight="1">
      <c r="A8218" s="9" t="s">
        <v>17712</v>
      </c>
      <c r="B8218" s="9" t="s">
        <v>17712</v>
      </c>
      <c r="C8218" s="9" t="s">
        <v>17</v>
      </c>
      <c r="D8218" s="9" t="s">
        <v>18</v>
      </c>
      <c r="E8218" s="10" t="s">
        <v>734</v>
      </c>
      <c r="F8218" s="9" t="s">
        <v>735</v>
      </c>
      <c r="G8218" s="10" t="s">
        <v>21</v>
      </c>
      <c r="H8218" s="9" t="s">
        <v>22</v>
      </c>
      <c r="I8218" s="9" t="s">
        <v>17713</v>
      </c>
      <c r="J8218" s="10" t="str">
        <f>HYPERLINK("https://www.boe.es/gazeta/dias/1834/05/06/pdfs/GMD-1834-75.pdf#page=3","Abrir facsímil")</f>
        <v>Abrir facsímil</v>
      </c>
      <c r="K8218" s="10" t="s">
        <v>24</v>
      </c>
    </row>
    <row r="8219" spans="1:11" ht="54" customHeight="1">
      <c r="A8219" s="9" t="s">
        <v>17714</v>
      </c>
      <c r="B8219" s="9" t="s">
        <v>17715</v>
      </c>
      <c r="C8219" s="9" t="s">
        <v>66</v>
      </c>
      <c r="D8219" s="9" t="s">
        <v>18</v>
      </c>
      <c r="E8219" s="10" t="s">
        <v>348</v>
      </c>
      <c r="F8219" s="9" t="s">
        <v>501</v>
      </c>
      <c r="G8219" s="10" t="s">
        <v>86</v>
      </c>
      <c r="H8219" s="9" t="s">
        <v>35</v>
      </c>
      <c r="I8219" s="9" t="s">
        <v>17716</v>
      </c>
      <c r="J8219" s="10" t="str">
        <f>HYPERLINK("https://www.boe.es/gazeta/dias/1834/06/12/pdfs/GMD-1834-115.pdf#page=2","Abrir facsímil")</f>
        <v>Abrir facsímil</v>
      </c>
      <c r="K8219" s="10" t="s">
        <v>37</v>
      </c>
    </row>
    <row r="8220" spans="1:11" ht="54" customHeight="1">
      <c r="A8220" s="9" t="s">
        <v>17717</v>
      </c>
      <c r="B8220" s="9" t="s">
        <v>17718</v>
      </c>
      <c r="C8220" s="9" t="s">
        <v>66</v>
      </c>
      <c r="D8220" s="9" t="s">
        <v>18</v>
      </c>
      <c r="E8220" s="10" t="s">
        <v>348</v>
      </c>
      <c r="F8220" s="9" t="s">
        <v>501</v>
      </c>
      <c r="G8220" s="10" t="s">
        <v>86</v>
      </c>
      <c r="H8220" s="9" t="s">
        <v>22</v>
      </c>
      <c r="I8220" s="9" t="s">
        <v>17719</v>
      </c>
      <c r="J8220" s="10" t="str">
        <f>HYPERLINK("https://www.boe.es/gazeta/dias/1834/06/12/pdfs/GMD-1834-115.pdf#page=2","Abrir facsímil")</f>
        <v>Abrir facsímil</v>
      </c>
      <c r="K8220" s="10" t="s">
        <v>24</v>
      </c>
    </row>
    <row r="8221" spans="1:11" ht="54" customHeight="1">
      <c r="A8221" s="9" t="s">
        <v>17717</v>
      </c>
      <c r="B8221" s="9" t="s">
        <v>17718</v>
      </c>
      <c r="C8221" s="9" t="s">
        <v>66</v>
      </c>
      <c r="D8221" s="9" t="s">
        <v>67</v>
      </c>
      <c r="E8221" s="10" t="s">
        <v>348</v>
      </c>
      <c r="F8221" s="9" t="s">
        <v>501</v>
      </c>
      <c r="G8221" s="10" t="s">
        <v>21</v>
      </c>
      <c r="H8221" s="9" t="s">
        <v>22</v>
      </c>
      <c r="I8221" s="9" t="s">
        <v>17720</v>
      </c>
      <c r="J8221" s="10" t="str">
        <f>HYPERLINK("https://www.boe.es/gazeta/dias/1834/06/12/pdfs/GMD-1834-115.pdf#page=3","Abrir facsímil")</f>
        <v>Abrir facsímil</v>
      </c>
      <c r="K8221" s="10" t="s">
        <v>24</v>
      </c>
    </row>
    <row r="8222" spans="1:11" ht="54" customHeight="1">
      <c r="A8222" s="9" t="s">
        <v>17721</v>
      </c>
      <c r="B8222" s="9" t="s">
        <v>17721</v>
      </c>
      <c r="C8222" s="9" t="s">
        <v>17</v>
      </c>
      <c r="D8222" s="9" t="s">
        <v>18</v>
      </c>
      <c r="E8222" s="10" t="s">
        <v>1680</v>
      </c>
      <c r="F8222" s="9" t="s">
        <v>1681</v>
      </c>
      <c r="G8222" s="10" t="s">
        <v>75</v>
      </c>
      <c r="H8222" s="9" t="s">
        <v>22</v>
      </c>
      <c r="I8222" s="9" t="s">
        <v>17722</v>
      </c>
      <c r="J8222" s="10" t="str">
        <f>HYPERLINK("https://www.boe.es/gazeta/dias/1834/02/27/pdfs/GMD-1834-26.pdf#page=4","Abrir facsímil")</f>
        <v>Abrir facsímil</v>
      </c>
      <c r="K8222" s="10" t="s">
        <v>24</v>
      </c>
    </row>
    <row r="8223" spans="1:11" ht="54" customHeight="1">
      <c r="A8223" s="9" t="s">
        <v>17723</v>
      </c>
      <c r="B8223" s="9" t="s">
        <v>17723</v>
      </c>
      <c r="C8223" s="9" t="s">
        <v>122</v>
      </c>
      <c r="D8223" s="9" t="s">
        <v>18</v>
      </c>
      <c r="E8223" s="10" t="s">
        <v>233</v>
      </c>
      <c r="F8223" s="9" t="s">
        <v>1810</v>
      </c>
      <c r="G8223" s="10" t="s">
        <v>2272</v>
      </c>
      <c r="H8223" s="9" t="s">
        <v>22</v>
      </c>
      <c r="I8223" s="9" t="s">
        <v>17724</v>
      </c>
      <c r="J8223" s="10" t="str">
        <f>HYPERLINK("https://www.boe.es/gazeta/dias/1834/12/16/pdfs/GMD-C-1834-305.pdf#page=12","Abrir facsímil")</f>
        <v>Abrir facsímil</v>
      </c>
      <c r="K8223" s="10" t="s">
        <v>24</v>
      </c>
    </row>
    <row r="8224" spans="1:11" ht="54" customHeight="1">
      <c r="A8224" s="9" t="s">
        <v>17725</v>
      </c>
      <c r="B8224" s="9" t="s">
        <v>17725</v>
      </c>
      <c r="C8224" s="9" t="s">
        <v>46</v>
      </c>
      <c r="D8224" s="9" t="s">
        <v>101</v>
      </c>
      <c r="E8224" s="10" t="s">
        <v>2203</v>
      </c>
      <c r="F8224" s="9" t="s">
        <v>2204</v>
      </c>
      <c r="G8224" s="10" t="s">
        <v>75</v>
      </c>
      <c r="H8224" s="9" t="s">
        <v>22</v>
      </c>
      <c r="I8224" s="9" t="s">
        <v>17726</v>
      </c>
      <c r="J8224" s="10" t="str">
        <f>HYPERLINK("https://www.boe.es/gazeta/dias/1834/09/10/pdfs/GMD-C-1834-208.pdf#page=4","Abrir facsímil")</f>
        <v>Abrir facsímil</v>
      </c>
      <c r="K8224" s="10" t="s">
        <v>24</v>
      </c>
    </row>
    <row r="8225" spans="1:11" ht="54" customHeight="1">
      <c r="A8225" s="9" t="s">
        <v>17727</v>
      </c>
      <c r="B8225" s="9" t="s">
        <v>17727</v>
      </c>
      <c r="C8225" s="9" t="s">
        <v>90</v>
      </c>
      <c r="D8225" s="9" t="s">
        <v>18</v>
      </c>
      <c r="E8225" s="10" t="s">
        <v>1410</v>
      </c>
      <c r="F8225" s="9" t="s">
        <v>2231</v>
      </c>
      <c r="G8225" s="10" t="s">
        <v>34</v>
      </c>
      <c r="H8225" s="9" t="s">
        <v>22</v>
      </c>
      <c r="I8225" s="9" t="s">
        <v>17728</v>
      </c>
      <c r="J8225" s="10" t="str">
        <f>HYPERLINK("https://www.boe.es/gazeta/dias/1834/09/09/pdfs/GMD-C-1834-207.pdf#page=1","Abrir facsímil")</f>
        <v>Abrir facsímil</v>
      </c>
      <c r="K8225" s="10" t="s">
        <v>24</v>
      </c>
    </row>
    <row r="8226" spans="1:11" ht="54" customHeight="1">
      <c r="A8226" s="9" t="s">
        <v>17729</v>
      </c>
      <c r="B8226" s="9" t="s">
        <v>17729</v>
      </c>
      <c r="C8226" s="9" t="s">
        <v>17</v>
      </c>
      <c r="D8226" s="9" t="s">
        <v>18</v>
      </c>
      <c r="E8226" s="10" t="s">
        <v>255</v>
      </c>
      <c r="F8226" s="9" t="s">
        <v>256</v>
      </c>
      <c r="G8226" s="10" t="s">
        <v>86</v>
      </c>
      <c r="H8226" s="9" t="s">
        <v>22</v>
      </c>
      <c r="I8226" s="9" t="s">
        <v>17730</v>
      </c>
      <c r="J8226" s="10" t="str">
        <f>HYPERLINK("https://www.boe.es/gazeta/dias/1834/09/01/pdfs/GMD-D-1834-199.pdf#page=2","Abrir facsímil")</f>
        <v>Abrir facsímil</v>
      </c>
      <c r="K8226" s="10" t="s">
        <v>24</v>
      </c>
    </row>
    <row r="8227" spans="1:11" ht="54" customHeight="1">
      <c r="A8227" s="9" t="s">
        <v>17729</v>
      </c>
      <c r="B8227" s="9" t="s">
        <v>17729</v>
      </c>
      <c r="C8227" s="9" t="s">
        <v>46</v>
      </c>
      <c r="D8227" s="9" t="s">
        <v>101</v>
      </c>
      <c r="E8227" s="10" t="s">
        <v>2203</v>
      </c>
      <c r="F8227" s="9" t="s">
        <v>2204</v>
      </c>
      <c r="G8227" s="10" t="s">
        <v>28</v>
      </c>
      <c r="H8227" s="9" t="s">
        <v>22</v>
      </c>
      <c r="I8227" s="9" t="s">
        <v>17731</v>
      </c>
      <c r="J8227" s="10" t="str">
        <f>HYPERLINK("https://www.boe.es/gazeta/dias/1834/09/10/pdfs/GMD-C-1834-208.pdf#page=5","Abrir facsímil")</f>
        <v>Abrir facsímil</v>
      </c>
      <c r="K8227" s="10" t="s">
        <v>24</v>
      </c>
    </row>
    <row r="8228" spans="1:11" ht="54" customHeight="1">
      <c r="A8228" s="9" t="s">
        <v>17732</v>
      </c>
      <c r="B8228" s="9" t="s">
        <v>17732</v>
      </c>
      <c r="C8228" s="9" t="s">
        <v>17</v>
      </c>
      <c r="D8228" s="9" t="s">
        <v>18</v>
      </c>
      <c r="E8228" s="10" t="s">
        <v>255</v>
      </c>
      <c r="F8228" s="9" t="s">
        <v>256</v>
      </c>
      <c r="G8228" s="10" t="s">
        <v>86</v>
      </c>
      <c r="H8228" s="9" t="s">
        <v>22</v>
      </c>
      <c r="I8228" s="9" t="s">
        <v>17733</v>
      </c>
      <c r="J8228" s="10" t="str">
        <f>HYPERLINK("https://www.boe.es/gazeta/dias/1834/09/01/pdfs/GMD-D-1834-199.pdf#page=2","Abrir facsímil")</f>
        <v>Abrir facsímil</v>
      </c>
      <c r="K8228" s="10" t="s">
        <v>24</v>
      </c>
    </row>
    <row r="8229" spans="1:11" ht="54" customHeight="1">
      <c r="A8229" s="9" t="s">
        <v>17732</v>
      </c>
      <c r="B8229" s="9" t="s">
        <v>17732</v>
      </c>
      <c r="C8229" s="9" t="s">
        <v>17</v>
      </c>
      <c r="D8229" s="9" t="s">
        <v>18</v>
      </c>
      <c r="E8229" s="10" t="s">
        <v>158</v>
      </c>
      <c r="F8229" s="9" t="s">
        <v>581</v>
      </c>
      <c r="G8229" s="10" t="s">
        <v>34</v>
      </c>
      <c r="H8229" s="9" t="s">
        <v>22</v>
      </c>
      <c r="I8229" s="9" t="s">
        <v>17734</v>
      </c>
      <c r="J8229" s="10" t="str">
        <f>HYPERLINK("https://www.boe.es/gazeta/dias/1834/10/01/pdfs/GMD-C-1834-229.pdf#page=1","Abrir facsímil")</f>
        <v>Abrir facsímil</v>
      </c>
      <c r="K8229" s="10" t="s">
        <v>24</v>
      </c>
    </row>
    <row r="8230" spans="1:11" ht="54" customHeight="1">
      <c r="A8230" s="9" t="s">
        <v>17732</v>
      </c>
      <c r="B8230" s="9" t="s">
        <v>17732</v>
      </c>
      <c r="C8230" s="9" t="s">
        <v>46</v>
      </c>
      <c r="D8230" s="9" t="s">
        <v>55</v>
      </c>
      <c r="E8230" s="10" t="s">
        <v>4105</v>
      </c>
      <c r="F8230" s="9" t="s">
        <v>4106</v>
      </c>
      <c r="G8230" s="10" t="s">
        <v>34</v>
      </c>
      <c r="H8230" s="9" t="s">
        <v>22</v>
      </c>
      <c r="I8230" s="9" t="s">
        <v>17735</v>
      </c>
      <c r="J8230" s="10" t="str">
        <f>HYPERLINK("https://www.boe.es/gazeta/dias/1834/09/02/pdfs/GMD-C-1834-200.pdf#page=1","Abrir facsímil")</f>
        <v>Abrir facsímil</v>
      </c>
      <c r="K8230" s="10" t="s">
        <v>24</v>
      </c>
    </row>
    <row r="8231" spans="1:11" ht="54" customHeight="1">
      <c r="A8231" s="9" t="s">
        <v>17732</v>
      </c>
      <c r="B8231" s="9" t="s">
        <v>17732</v>
      </c>
      <c r="C8231" s="9" t="s">
        <v>17</v>
      </c>
      <c r="D8231" s="9" t="s">
        <v>18</v>
      </c>
      <c r="E8231" s="10" t="s">
        <v>4105</v>
      </c>
      <c r="F8231" s="9" t="s">
        <v>4106</v>
      </c>
      <c r="G8231" s="10" t="s">
        <v>176</v>
      </c>
      <c r="H8231" s="9" t="s">
        <v>22</v>
      </c>
      <c r="I8231" s="9" t="s">
        <v>17736</v>
      </c>
      <c r="J8231" s="10" t="str">
        <f>HYPERLINK("https://www.boe.es/gazeta/dias/1834/09/02/pdfs/GMD-C-1834-200.pdf#page=6","Abrir facsímil")</f>
        <v>Abrir facsímil</v>
      </c>
      <c r="K8231" s="10" t="s">
        <v>24</v>
      </c>
    </row>
    <row r="8232" spans="1:11" ht="54" customHeight="1">
      <c r="A8232" s="9" t="s">
        <v>17732</v>
      </c>
      <c r="B8232" s="9" t="s">
        <v>17732</v>
      </c>
      <c r="C8232" s="9" t="s">
        <v>17</v>
      </c>
      <c r="D8232" s="9" t="s">
        <v>18</v>
      </c>
      <c r="E8232" s="10" t="s">
        <v>416</v>
      </c>
      <c r="F8232" s="9" t="s">
        <v>417</v>
      </c>
      <c r="G8232" s="10" t="s">
        <v>86</v>
      </c>
      <c r="H8232" s="9" t="s">
        <v>22</v>
      </c>
      <c r="I8232" s="9" t="s">
        <v>17737</v>
      </c>
      <c r="J8232" s="10" t="str">
        <f>HYPERLINK("https://www.boe.es/gazeta/dias/1834/10/02/pdfs/GMD-C-1834-230.pdf#page=2","Abrir facsímil")</f>
        <v>Abrir facsímil</v>
      </c>
      <c r="K8232" s="10" t="s">
        <v>24</v>
      </c>
    </row>
    <row r="8233" spans="1:11" ht="54" customHeight="1">
      <c r="A8233" s="9" t="s">
        <v>17732</v>
      </c>
      <c r="B8233" s="9" t="s">
        <v>17732</v>
      </c>
      <c r="C8233" s="9" t="s">
        <v>17</v>
      </c>
      <c r="D8233" s="9" t="s">
        <v>18</v>
      </c>
      <c r="E8233" s="10" t="s">
        <v>690</v>
      </c>
      <c r="F8233" s="9" t="s">
        <v>691</v>
      </c>
      <c r="G8233" s="10" t="s">
        <v>560</v>
      </c>
      <c r="H8233" s="9" t="s">
        <v>22</v>
      </c>
      <c r="I8233" s="9" t="s">
        <v>17738</v>
      </c>
      <c r="J8233" s="10" t="str">
        <f>HYPERLINK("https://www.boe.es/gazeta/dias/1834/09/03/pdfs/GMD-C-1834-201.pdf#page=7","Abrir facsímil")</f>
        <v>Abrir facsímil</v>
      </c>
      <c r="K8233" s="10" t="s">
        <v>24</v>
      </c>
    </row>
    <row r="8234" spans="1:11" ht="54" customHeight="1">
      <c r="A8234" s="9" t="s">
        <v>17732</v>
      </c>
      <c r="B8234" s="9" t="s">
        <v>17732</v>
      </c>
      <c r="C8234" s="9" t="s">
        <v>17</v>
      </c>
      <c r="D8234" s="9" t="s">
        <v>18</v>
      </c>
      <c r="E8234" s="10" t="s">
        <v>571</v>
      </c>
      <c r="F8234" s="9" t="s">
        <v>620</v>
      </c>
      <c r="G8234" s="10" t="s">
        <v>470</v>
      </c>
      <c r="H8234" s="9" t="s">
        <v>22</v>
      </c>
      <c r="I8234" s="9" t="s">
        <v>17739</v>
      </c>
      <c r="J8234" s="10" t="str">
        <f>HYPERLINK("https://www.boe.es/gazeta/dias/1834/09/04/pdfs/GMD-C-1834-202.pdf#page=8","Abrir facsímil")</f>
        <v>Abrir facsímil</v>
      </c>
      <c r="K8234" s="10" t="s">
        <v>24</v>
      </c>
    </row>
    <row r="8235" spans="1:11" ht="54" customHeight="1">
      <c r="A8235" s="9" t="s">
        <v>17732</v>
      </c>
      <c r="B8235" s="9" t="s">
        <v>17732</v>
      </c>
      <c r="C8235" s="9" t="s">
        <v>17</v>
      </c>
      <c r="D8235" s="9" t="s">
        <v>18</v>
      </c>
      <c r="E8235" s="10" t="s">
        <v>73</v>
      </c>
      <c r="F8235" s="9" t="s">
        <v>1416</v>
      </c>
      <c r="G8235" s="10" t="s">
        <v>86</v>
      </c>
      <c r="H8235" s="9" t="s">
        <v>22</v>
      </c>
      <c r="I8235" s="9" t="s">
        <v>17740</v>
      </c>
      <c r="J8235" s="10" t="str">
        <f>HYPERLINK("https://www.boe.es/gazeta/dias/1834/11/04/pdfs/GMD-C-1834-263.pdf#page=2","Abrir facsímil")</f>
        <v>Abrir facsímil</v>
      </c>
      <c r="K8235" s="10" t="s">
        <v>24</v>
      </c>
    </row>
    <row r="8236" spans="1:11" ht="54" customHeight="1">
      <c r="A8236" s="9" t="s">
        <v>17732</v>
      </c>
      <c r="B8236" s="9" t="s">
        <v>17732</v>
      </c>
      <c r="C8236" s="9" t="s">
        <v>17</v>
      </c>
      <c r="D8236" s="9" t="s">
        <v>18</v>
      </c>
      <c r="E8236" s="10" t="s">
        <v>243</v>
      </c>
      <c r="F8236" s="9" t="s">
        <v>244</v>
      </c>
      <c r="G8236" s="10" t="s">
        <v>34</v>
      </c>
      <c r="H8236" s="9" t="s">
        <v>22</v>
      </c>
      <c r="I8236" s="9" t="s">
        <v>17741</v>
      </c>
      <c r="J8236" s="10" t="str">
        <f>HYPERLINK("https://www.boe.es/gazeta/dias/1834/08/05/pdfs/GMD-C-1834-169.pdf#page=1","Abrir facsímil")</f>
        <v>Abrir facsímil</v>
      </c>
      <c r="K8236" s="10" t="s">
        <v>24</v>
      </c>
    </row>
    <row r="8237" spans="1:11" ht="54" customHeight="1">
      <c r="A8237" s="9" t="s">
        <v>17732</v>
      </c>
      <c r="B8237" s="9" t="s">
        <v>17732</v>
      </c>
      <c r="C8237" s="9" t="s">
        <v>17</v>
      </c>
      <c r="D8237" s="9" t="s">
        <v>40</v>
      </c>
      <c r="E8237" s="10" t="s">
        <v>1340</v>
      </c>
      <c r="F8237" s="9" t="s">
        <v>1341</v>
      </c>
      <c r="G8237" s="10" t="s">
        <v>28</v>
      </c>
      <c r="H8237" s="9" t="s">
        <v>22</v>
      </c>
      <c r="I8237" s="9" t="s">
        <v>17742</v>
      </c>
      <c r="J8237" s="10" t="str">
        <f>HYPERLINK("https://www.boe.es/gazeta/dias/1834/10/05/pdfs/GMD-C-1834-233.pdf#page=5","Abrir facsímil")</f>
        <v>Abrir facsímil</v>
      </c>
      <c r="K8237" s="10" t="s">
        <v>24</v>
      </c>
    </row>
    <row r="8238" spans="1:11" ht="54" customHeight="1">
      <c r="A8238" s="9" t="s">
        <v>17732</v>
      </c>
      <c r="B8238" s="9" t="s">
        <v>17732</v>
      </c>
      <c r="C8238" s="9" t="s">
        <v>17</v>
      </c>
      <c r="D8238" s="9" t="s">
        <v>18</v>
      </c>
      <c r="E8238" s="10" t="s">
        <v>653</v>
      </c>
      <c r="F8238" s="9" t="s">
        <v>654</v>
      </c>
      <c r="G8238" s="10" t="s">
        <v>75</v>
      </c>
      <c r="H8238" s="9" t="s">
        <v>22</v>
      </c>
      <c r="I8238" s="9" t="s">
        <v>17743</v>
      </c>
      <c r="J8238" s="10" t="str">
        <f>HYPERLINK("https://www.boe.es/gazeta/dias/1834/08/06/pdfs/GMD-C-1834-170.pdf#page=4","Abrir facsímil")</f>
        <v>Abrir facsímil</v>
      </c>
      <c r="K8238" s="10" t="s">
        <v>24</v>
      </c>
    </row>
    <row r="8239" spans="1:11" ht="54" customHeight="1">
      <c r="A8239" s="9" t="s">
        <v>17732</v>
      </c>
      <c r="B8239" s="9" t="s">
        <v>17732</v>
      </c>
      <c r="C8239" s="9" t="s">
        <v>17</v>
      </c>
      <c r="D8239" s="9" t="s">
        <v>18</v>
      </c>
      <c r="E8239" s="10" t="s">
        <v>429</v>
      </c>
      <c r="F8239" s="9" t="s">
        <v>430</v>
      </c>
      <c r="G8239" s="10" t="s">
        <v>34</v>
      </c>
      <c r="H8239" s="9" t="s">
        <v>22</v>
      </c>
      <c r="I8239" s="9" t="s">
        <v>17744</v>
      </c>
      <c r="J8239" s="10" t="str">
        <f>HYPERLINK("https://www.boe.es/gazeta/dias/1834/08/07/pdfs/GMD-C-1834-172.pdf#page=1","Abrir facsímil")</f>
        <v>Abrir facsímil</v>
      </c>
      <c r="K8239" s="10" t="s">
        <v>24</v>
      </c>
    </row>
    <row r="8240" spans="1:11" ht="54" customHeight="1">
      <c r="A8240" s="9" t="s">
        <v>17732</v>
      </c>
      <c r="B8240" s="9" t="s">
        <v>17732</v>
      </c>
      <c r="C8240" s="9" t="s">
        <v>17</v>
      </c>
      <c r="D8240" s="9" t="s">
        <v>18</v>
      </c>
      <c r="E8240" s="10" t="s">
        <v>429</v>
      </c>
      <c r="F8240" s="9" t="s">
        <v>430</v>
      </c>
      <c r="G8240" s="10" t="s">
        <v>21</v>
      </c>
      <c r="H8240" s="9" t="s">
        <v>22</v>
      </c>
      <c r="I8240" s="9" t="s">
        <v>17745</v>
      </c>
      <c r="J8240" s="10" t="str">
        <f>HYPERLINK("https://www.boe.es/gazeta/dias/1834/08/07/pdfs/GMD-C-1834-172.pdf#page=3","Abrir facsímil")</f>
        <v>Abrir facsímil</v>
      </c>
      <c r="K8240" s="10" t="s">
        <v>24</v>
      </c>
    </row>
    <row r="8241" spans="1:11" ht="54" customHeight="1">
      <c r="A8241" s="9" t="s">
        <v>17732</v>
      </c>
      <c r="B8241" s="9" t="s">
        <v>17732</v>
      </c>
      <c r="C8241" s="9" t="s">
        <v>17</v>
      </c>
      <c r="D8241" s="9" t="s">
        <v>18</v>
      </c>
      <c r="E8241" s="10" t="s">
        <v>429</v>
      </c>
      <c r="F8241" s="9" t="s">
        <v>430</v>
      </c>
      <c r="G8241" s="10" t="s">
        <v>28</v>
      </c>
      <c r="H8241" s="9" t="s">
        <v>22</v>
      </c>
      <c r="I8241" s="9" t="s">
        <v>17746</v>
      </c>
      <c r="J8241" s="10" t="str">
        <f>HYPERLINK("https://www.boe.es/gazeta/dias/1834/08/07/pdfs/GMD-C-1834-172.pdf#page=5","Abrir facsímil")</f>
        <v>Abrir facsímil</v>
      </c>
      <c r="K8241" s="10" t="s">
        <v>24</v>
      </c>
    </row>
    <row r="8242" spans="1:11" ht="54" customHeight="1">
      <c r="A8242" s="9" t="s">
        <v>17732</v>
      </c>
      <c r="B8242" s="9" t="s">
        <v>17732</v>
      </c>
      <c r="C8242" s="9" t="s">
        <v>90</v>
      </c>
      <c r="D8242" s="9" t="s">
        <v>18</v>
      </c>
      <c r="E8242" s="10" t="s">
        <v>167</v>
      </c>
      <c r="F8242" s="9" t="s">
        <v>1200</v>
      </c>
      <c r="G8242" s="10" t="s">
        <v>28</v>
      </c>
      <c r="H8242" s="9" t="s">
        <v>22</v>
      </c>
      <c r="I8242" s="9" t="s">
        <v>17747</v>
      </c>
      <c r="J8242" s="10" t="str">
        <f>HYPERLINK("https://www.boe.es/gazeta/dias/1834/09/07/pdfs/GMD-C-1834-205.pdf#page=5","Abrir facsímil")</f>
        <v>Abrir facsímil</v>
      </c>
      <c r="K8242" s="10" t="s">
        <v>24</v>
      </c>
    </row>
    <row r="8243" spans="1:11" ht="54" customHeight="1">
      <c r="A8243" s="9" t="s">
        <v>17732</v>
      </c>
      <c r="B8243" s="9" t="s">
        <v>17732</v>
      </c>
      <c r="C8243" s="9" t="s">
        <v>17</v>
      </c>
      <c r="D8243" s="9" t="s">
        <v>18</v>
      </c>
      <c r="E8243" s="10" t="s">
        <v>167</v>
      </c>
      <c r="F8243" s="9" t="s">
        <v>1200</v>
      </c>
      <c r="G8243" s="10" t="s">
        <v>176</v>
      </c>
      <c r="H8243" s="9" t="s">
        <v>22</v>
      </c>
      <c r="I8243" s="9" t="s">
        <v>17748</v>
      </c>
      <c r="J8243" s="10" t="str">
        <f>HYPERLINK("https://www.boe.es/gazeta/dias/1834/09/07/pdfs/GMD-C-1834-205.pdf#page=6","Abrir facsímil")</f>
        <v>Abrir facsímil</v>
      </c>
      <c r="K8243" s="10" t="s">
        <v>24</v>
      </c>
    </row>
    <row r="8244" spans="1:11" ht="54" customHeight="1">
      <c r="A8244" s="9" t="s">
        <v>17732</v>
      </c>
      <c r="B8244" s="9" t="s">
        <v>17732</v>
      </c>
      <c r="C8244" s="9" t="s">
        <v>46</v>
      </c>
      <c r="D8244" s="9" t="s">
        <v>101</v>
      </c>
      <c r="E8244" s="10" t="s">
        <v>167</v>
      </c>
      <c r="F8244" s="9" t="s">
        <v>1200</v>
      </c>
      <c r="G8244" s="10" t="s">
        <v>560</v>
      </c>
      <c r="H8244" s="9" t="s">
        <v>22</v>
      </c>
      <c r="I8244" s="9" t="s">
        <v>17749</v>
      </c>
      <c r="J8244" s="10" t="str">
        <f>HYPERLINK("https://www.boe.es/gazeta/dias/1834/09/07/pdfs/GMD-C-1834-205.pdf#page=7","Abrir facsímil")</f>
        <v>Abrir facsímil</v>
      </c>
      <c r="K8244" s="10" t="s">
        <v>24</v>
      </c>
    </row>
    <row r="8245" spans="1:11" ht="54" customHeight="1">
      <c r="A8245" s="9" t="s">
        <v>17732</v>
      </c>
      <c r="B8245" s="9" t="s">
        <v>17732</v>
      </c>
      <c r="C8245" s="9" t="s">
        <v>17</v>
      </c>
      <c r="D8245" s="9" t="s">
        <v>18</v>
      </c>
      <c r="E8245" s="10" t="s">
        <v>762</v>
      </c>
      <c r="F8245" s="9" t="s">
        <v>2227</v>
      </c>
      <c r="G8245" s="10" t="s">
        <v>21</v>
      </c>
      <c r="H8245" s="9" t="s">
        <v>22</v>
      </c>
      <c r="I8245" s="9" t="s">
        <v>17750</v>
      </c>
      <c r="J8245" s="10" t="str">
        <f>HYPERLINK("https://www.boe.es/gazeta/dias/1834/11/07/pdfs/GMD-C-1834-266.pdf#page=3","Abrir facsímil")</f>
        <v>Abrir facsímil</v>
      </c>
      <c r="K8245" s="10" t="s">
        <v>24</v>
      </c>
    </row>
    <row r="8246" spans="1:11" ht="54" customHeight="1">
      <c r="A8246" s="9" t="s">
        <v>17732</v>
      </c>
      <c r="B8246" s="9" t="s">
        <v>17732</v>
      </c>
      <c r="C8246" s="9" t="s">
        <v>90</v>
      </c>
      <c r="D8246" s="9" t="s">
        <v>18</v>
      </c>
      <c r="E8246" s="10" t="s">
        <v>813</v>
      </c>
      <c r="F8246" s="9" t="s">
        <v>16756</v>
      </c>
      <c r="G8246" s="10" t="s">
        <v>34</v>
      </c>
      <c r="H8246" s="9" t="s">
        <v>22</v>
      </c>
      <c r="I8246" s="9" t="s">
        <v>17751</v>
      </c>
      <c r="J8246" s="10" t="str">
        <f>HYPERLINK("https://www.boe.es/gazeta/dias/1834/08/08/pdfs/GMD-C-1834-173.pdf#page=1","Abrir facsímil")</f>
        <v>Abrir facsímil</v>
      </c>
      <c r="K8246" s="10" t="s">
        <v>24</v>
      </c>
    </row>
    <row r="8247" spans="1:11" ht="54" customHeight="1">
      <c r="A8247" s="9" t="s">
        <v>17732</v>
      </c>
      <c r="B8247" s="9" t="s">
        <v>17732</v>
      </c>
      <c r="C8247" s="9" t="s">
        <v>17</v>
      </c>
      <c r="D8247" s="9" t="s">
        <v>18</v>
      </c>
      <c r="E8247" s="10" t="s">
        <v>793</v>
      </c>
      <c r="F8247" s="9" t="s">
        <v>1895</v>
      </c>
      <c r="G8247" s="10" t="s">
        <v>34</v>
      </c>
      <c r="H8247" s="9" t="s">
        <v>22</v>
      </c>
      <c r="I8247" s="9" t="s">
        <v>17752</v>
      </c>
      <c r="J8247" s="10" t="str">
        <f>HYPERLINK("https://www.boe.es/gazeta/dias/1834/10/08/pdfs/GMD-C-1834-236.pdf#page=1","Abrir facsímil")</f>
        <v>Abrir facsímil</v>
      </c>
      <c r="K8247" s="10" t="s">
        <v>24</v>
      </c>
    </row>
    <row r="8248" spans="1:11" ht="54" customHeight="1">
      <c r="A8248" s="9" t="s">
        <v>17732</v>
      </c>
      <c r="B8248" s="9" t="s">
        <v>17732</v>
      </c>
      <c r="C8248" s="9" t="s">
        <v>66</v>
      </c>
      <c r="D8248" s="9" t="s">
        <v>67</v>
      </c>
      <c r="E8248" s="10" t="s">
        <v>1410</v>
      </c>
      <c r="F8248" s="9" t="s">
        <v>2231</v>
      </c>
      <c r="G8248" s="10" t="s">
        <v>75</v>
      </c>
      <c r="H8248" s="9" t="s">
        <v>22</v>
      </c>
      <c r="I8248" s="9" t="s">
        <v>17753</v>
      </c>
      <c r="J8248" s="10" t="str">
        <f>HYPERLINK("https://www.boe.es/gazeta/dias/1834/09/09/pdfs/GMD-C-1834-207.pdf#page=4","Abrir facsímil")</f>
        <v>Abrir facsímil</v>
      </c>
      <c r="K8248" s="10" t="s">
        <v>24</v>
      </c>
    </row>
    <row r="8249" spans="1:11" ht="54" customHeight="1">
      <c r="A8249" s="9" t="s">
        <v>17732</v>
      </c>
      <c r="B8249" s="9" t="s">
        <v>17732</v>
      </c>
      <c r="C8249" s="9" t="s">
        <v>17</v>
      </c>
      <c r="D8249" s="9" t="s">
        <v>18</v>
      </c>
      <c r="E8249" s="10" t="s">
        <v>2203</v>
      </c>
      <c r="F8249" s="9" t="s">
        <v>2204</v>
      </c>
      <c r="G8249" s="10" t="s">
        <v>86</v>
      </c>
      <c r="H8249" s="9" t="s">
        <v>22</v>
      </c>
      <c r="I8249" s="9" t="s">
        <v>17754</v>
      </c>
      <c r="J8249" s="10" t="str">
        <f>HYPERLINK("https://www.boe.es/gazeta/dias/1834/09/10/pdfs/GMD-C-1834-208.pdf#page=2","Abrir facsímil")</f>
        <v>Abrir facsímil</v>
      </c>
      <c r="K8249" s="10" t="s">
        <v>24</v>
      </c>
    </row>
    <row r="8250" spans="1:11" ht="54" customHeight="1">
      <c r="A8250" s="9" t="s">
        <v>17732</v>
      </c>
      <c r="B8250" s="9" t="s">
        <v>17732</v>
      </c>
      <c r="C8250" s="9" t="s">
        <v>90</v>
      </c>
      <c r="D8250" s="9" t="s">
        <v>67</v>
      </c>
      <c r="E8250" s="10" t="s">
        <v>2203</v>
      </c>
      <c r="F8250" s="9" t="s">
        <v>2204</v>
      </c>
      <c r="G8250" s="10" t="s">
        <v>21</v>
      </c>
      <c r="H8250" s="9" t="s">
        <v>22</v>
      </c>
      <c r="I8250" s="9" t="s">
        <v>17755</v>
      </c>
      <c r="J8250" s="10" t="str">
        <f>HYPERLINK("https://www.boe.es/gazeta/dias/1834/09/10/pdfs/GMD-C-1834-208.pdf#page=3","Abrir facsímil")</f>
        <v>Abrir facsímil</v>
      </c>
      <c r="K8250" s="10" t="s">
        <v>24</v>
      </c>
    </row>
    <row r="8251" spans="1:11" ht="54" customHeight="1">
      <c r="A8251" s="9" t="s">
        <v>17732</v>
      </c>
      <c r="B8251" s="9" t="s">
        <v>17732</v>
      </c>
      <c r="C8251" s="9" t="s">
        <v>90</v>
      </c>
      <c r="D8251" s="9" t="s">
        <v>18</v>
      </c>
      <c r="E8251" s="10" t="s">
        <v>2203</v>
      </c>
      <c r="F8251" s="9" t="s">
        <v>2204</v>
      </c>
      <c r="G8251" s="10" t="s">
        <v>75</v>
      </c>
      <c r="H8251" s="9" t="s">
        <v>22</v>
      </c>
      <c r="I8251" s="9" t="s">
        <v>17756</v>
      </c>
      <c r="J8251" s="10" t="str">
        <f>HYPERLINK("https://www.boe.es/gazeta/dias/1834/09/10/pdfs/GMD-C-1834-208.pdf#page=4","Abrir facsímil")</f>
        <v>Abrir facsímil</v>
      </c>
      <c r="K8251" s="10" t="s">
        <v>24</v>
      </c>
    </row>
    <row r="8252" spans="1:11" ht="54" customHeight="1">
      <c r="A8252" s="9" t="s">
        <v>17732</v>
      </c>
      <c r="B8252" s="9" t="s">
        <v>17732</v>
      </c>
      <c r="C8252" s="9" t="s">
        <v>17</v>
      </c>
      <c r="D8252" s="9" t="s">
        <v>18</v>
      </c>
      <c r="E8252" s="10" t="s">
        <v>2203</v>
      </c>
      <c r="F8252" s="9" t="s">
        <v>2204</v>
      </c>
      <c r="G8252" s="10" t="s">
        <v>28</v>
      </c>
      <c r="H8252" s="9" t="s">
        <v>22</v>
      </c>
      <c r="I8252" s="9" t="s">
        <v>17757</v>
      </c>
      <c r="J8252" s="10" t="str">
        <f>HYPERLINK("https://www.boe.es/gazeta/dias/1834/09/10/pdfs/GMD-C-1834-208.pdf#page=5","Abrir facsímil")</f>
        <v>Abrir facsímil</v>
      </c>
      <c r="K8252" s="10" t="s">
        <v>24</v>
      </c>
    </row>
    <row r="8253" spans="1:11" ht="54" customHeight="1">
      <c r="A8253" s="9" t="s">
        <v>17732</v>
      </c>
      <c r="B8253" s="9" t="s">
        <v>17732</v>
      </c>
      <c r="C8253" s="9" t="s">
        <v>46</v>
      </c>
      <c r="D8253" s="9" t="s">
        <v>101</v>
      </c>
      <c r="E8253" s="10" t="s">
        <v>679</v>
      </c>
      <c r="F8253" s="9" t="s">
        <v>699</v>
      </c>
      <c r="G8253" s="10" t="s">
        <v>21</v>
      </c>
      <c r="H8253" s="9" t="s">
        <v>22</v>
      </c>
      <c r="I8253" s="9" t="s">
        <v>17758</v>
      </c>
      <c r="J8253" s="10" t="str">
        <f>HYPERLINK("https://www.boe.es/gazeta/dias/1834/12/10/pdfs/GMD-C-1834-299.pdf#page=3","Abrir facsímil")</f>
        <v>Abrir facsímil</v>
      </c>
      <c r="K8253" s="10" t="s">
        <v>24</v>
      </c>
    </row>
    <row r="8254" spans="1:11" ht="54" customHeight="1">
      <c r="A8254" s="9" t="s">
        <v>17732</v>
      </c>
      <c r="B8254" s="9" t="s">
        <v>17732</v>
      </c>
      <c r="C8254" s="9" t="s">
        <v>90</v>
      </c>
      <c r="D8254" s="9" t="s">
        <v>18</v>
      </c>
      <c r="E8254" s="10" t="s">
        <v>679</v>
      </c>
      <c r="F8254" s="9" t="s">
        <v>699</v>
      </c>
      <c r="G8254" s="10" t="s">
        <v>75</v>
      </c>
      <c r="H8254" s="9" t="s">
        <v>22</v>
      </c>
      <c r="I8254" s="9" t="s">
        <v>17759</v>
      </c>
      <c r="J8254" s="10" t="str">
        <f>HYPERLINK("https://www.boe.es/gazeta/dias/1834/12/10/pdfs/GMD-C-1834-299.pdf#page=4","Abrir facsímil")</f>
        <v>Abrir facsímil</v>
      </c>
      <c r="K8254" s="10" t="s">
        <v>24</v>
      </c>
    </row>
    <row r="8255" spans="1:11" ht="54" customHeight="1">
      <c r="A8255" s="9" t="s">
        <v>17732</v>
      </c>
      <c r="B8255" s="9" t="s">
        <v>17732</v>
      </c>
      <c r="C8255" s="9" t="s">
        <v>17</v>
      </c>
      <c r="D8255" s="9" t="s">
        <v>18</v>
      </c>
      <c r="E8255" s="10" t="s">
        <v>334</v>
      </c>
      <c r="F8255" s="9" t="s">
        <v>335</v>
      </c>
      <c r="G8255" s="10" t="s">
        <v>86</v>
      </c>
      <c r="H8255" s="9" t="s">
        <v>22</v>
      </c>
      <c r="I8255" s="9" t="s">
        <v>17760</v>
      </c>
      <c r="J8255" s="10" t="str">
        <f>HYPERLINK("https://www.boe.es/gazeta/dias/1834/09/11/pdfs/GMD-C-1834-209.pdf#page=2","Abrir facsímil")</f>
        <v>Abrir facsímil</v>
      </c>
      <c r="K8255" s="10" t="s">
        <v>24</v>
      </c>
    </row>
    <row r="8256" spans="1:11" ht="54" customHeight="1">
      <c r="A8256" s="9" t="s">
        <v>17732</v>
      </c>
      <c r="B8256" s="9" t="s">
        <v>17732</v>
      </c>
      <c r="C8256" s="9" t="s">
        <v>46</v>
      </c>
      <c r="D8256" s="9" t="s">
        <v>101</v>
      </c>
      <c r="E8256" s="10" t="s">
        <v>200</v>
      </c>
      <c r="F8256" s="9" t="s">
        <v>2248</v>
      </c>
      <c r="G8256" s="10" t="s">
        <v>34</v>
      </c>
      <c r="H8256" s="9" t="s">
        <v>22</v>
      </c>
      <c r="I8256" s="9" t="s">
        <v>17761</v>
      </c>
      <c r="J8256" s="10" t="str">
        <f>HYPERLINK("https://www.boe.es/gazeta/dias/1834/12/11/pdfs/GMD-C-1834-300.pdf#page=1","Abrir facsímil")</f>
        <v>Abrir facsímil</v>
      </c>
      <c r="K8256" s="10" t="s">
        <v>24</v>
      </c>
    </row>
    <row r="8257" spans="1:11" ht="54" customHeight="1">
      <c r="A8257" s="9" t="s">
        <v>17732</v>
      </c>
      <c r="B8257" s="9" t="s">
        <v>17732</v>
      </c>
      <c r="C8257" s="9" t="s">
        <v>17</v>
      </c>
      <c r="D8257" s="9" t="s">
        <v>18</v>
      </c>
      <c r="E8257" s="10" t="s">
        <v>200</v>
      </c>
      <c r="F8257" s="9" t="s">
        <v>2248</v>
      </c>
      <c r="G8257" s="10" t="s">
        <v>86</v>
      </c>
      <c r="H8257" s="9" t="s">
        <v>22</v>
      </c>
      <c r="I8257" s="9" t="s">
        <v>17762</v>
      </c>
      <c r="J8257" s="10" t="str">
        <f>HYPERLINK("https://www.boe.es/gazeta/dias/1834/12/11/pdfs/GMD-C-1834-300.pdf#page=2","Abrir facsímil")</f>
        <v>Abrir facsímil</v>
      </c>
      <c r="K8257" s="10" t="s">
        <v>24</v>
      </c>
    </row>
    <row r="8258" spans="1:11" ht="54" customHeight="1">
      <c r="A8258" s="9" t="s">
        <v>17732</v>
      </c>
      <c r="B8258" s="9" t="s">
        <v>17732</v>
      </c>
      <c r="C8258" s="9" t="s">
        <v>17</v>
      </c>
      <c r="D8258" s="9" t="s">
        <v>18</v>
      </c>
      <c r="E8258" s="10" t="s">
        <v>200</v>
      </c>
      <c r="F8258" s="9" t="s">
        <v>2248</v>
      </c>
      <c r="G8258" s="10" t="s">
        <v>21</v>
      </c>
      <c r="H8258" s="9" t="s">
        <v>22</v>
      </c>
      <c r="I8258" s="9" t="s">
        <v>17763</v>
      </c>
      <c r="J8258" s="10" t="str">
        <f>HYPERLINK("https://www.boe.es/gazeta/dias/1834/12/11/pdfs/GMD-C-1834-300.pdf#page=3","Abrir facsímil")</f>
        <v>Abrir facsímil</v>
      </c>
      <c r="K8258" s="10" t="s">
        <v>24</v>
      </c>
    </row>
    <row r="8259" spans="1:11" ht="54" customHeight="1">
      <c r="A8259" s="9" t="s">
        <v>17732</v>
      </c>
      <c r="B8259" s="9" t="s">
        <v>17732</v>
      </c>
      <c r="C8259" s="9" t="s">
        <v>17</v>
      </c>
      <c r="D8259" s="9" t="s">
        <v>18</v>
      </c>
      <c r="E8259" s="10" t="s">
        <v>200</v>
      </c>
      <c r="F8259" s="9" t="s">
        <v>2248</v>
      </c>
      <c r="G8259" s="10" t="s">
        <v>75</v>
      </c>
      <c r="H8259" s="9" t="s">
        <v>22</v>
      </c>
      <c r="I8259" s="9" t="s">
        <v>17764</v>
      </c>
      <c r="J8259" s="10" t="str">
        <f>HYPERLINK("https://www.boe.es/gazeta/dias/1834/12/11/pdfs/GMD-C-1834-300.pdf#page=4","Abrir facsímil")</f>
        <v>Abrir facsímil</v>
      </c>
      <c r="K8259" s="10" t="s">
        <v>24</v>
      </c>
    </row>
    <row r="8260" spans="1:11" ht="54" customHeight="1">
      <c r="A8260" s="9" t="s">
        <v>17732</v>
      </c>
      <c r="B8260" s="9" t="s">
        <v>17732</v>
      </c>
      <c r="C8260" s="9" t="s">
        <v>90</v>
      </c>
      <c r="D8260" s="9" t="s">
        <v>18</v>
      </c>
      <c r="E8260" s="10" t="s">
        <v>299</v>
      </c>
      <c r="F8260" s="9" t="s">
        <v>2255</v>
      </c>
      <c r="G8260" s="10" t="s">
        <v>34</v>
      </c>
      <c r="H8260" s="9" t="s">
        <v>22</v>
      </c>
      <c r="I8260" s="9" t="s">
        <v>17765</v>
      </c>
      <c r="J8260" s="10" t="str">
        <f>HYPERLINK("https://www.boe.es/gazeta/dias/1834/12/12/pdfs/GMD-C-1834-301.pdf#page=1","Abrir facsímil")</f>
        <v>Abrir facsímil</v>
      </c>
      <c r="K8260" s="10" t="s">
        <v>24</v>
      </c>
    </row>
    <row r="8261" spans="1:11" ht="54" customHeight="1">
      <c r="A8261" s="9" t="s">
        <v>17732</v>
      </c>
      <c r="B8261" s="9" t="s">
        <v>17732</v>
      </c>
      <c r="C8261" s="9" t="s">
        <v>17</v>
      </c>
      <c r="D8261" s="9" t="s">
        <v>40</v>
      </c>
      <c r="E8261" s="10" t="s">
        <v>2260</v>
      </c>
      <c r="F8261" s="9" t="s">
        <v>2263</v>
      </c>
      <c r="G8261" s="10" t="s">
        <v>34</v>
      </c>
      <c r="H8261" s="9" t="s">
        <v>22</v>
      </c>
      <c r="I8261" s="9" t="s">
        <v>17766</v>
      </c>
      <c r="J8261" s="10" t="str">
        <f>HYPERLINK("https://www.boe.es/gazeta/dias/1834/11/13/pdfs/GMD-C-1834-272.pdf#page=1","Abrir facsímil")</f>
        <v>Abrir facsímil</v>
      </c>
      <c r="K8261" s="10" t="s">
        <v>24</v>
      </c>
    </row>
    <row r="8262" spans="1:11" ht="54" customHeight="1">
      <c r="A8262" s="9" t="s">
        <v>17732</v>
      </c>
      <c r="B8262" s="9" t="s">
        <v>17732</v>
      </c>
      <c r="C8262" s="9" t="s">
        <v>17</v>
      </c>
      <c r="D8262" s="9" t="s">
        <v>18</v>
      </c>
      <c r="E8262" s="10" t="s">
        <v>2260</v>
      </c>
      <c r="F8262" s="9" t="s">
        <v>2263</v>
      </c>
      <c r="G8262" s="10" t="s">
        <v>86</v>
      </c>
      <c r="H8262" s="9" t="s">
        <v>22</v>
      </c>
      <c r="I8262" s="9" t="s">
        <v>17767</v>
      </c>
      <c r="J8262" s="10" t="str">
        <f>HYPERLINK("https://www.boe.es/gazeta/dias/1834/11/13/pdfs/GMD-C-1834-272.pdf#page=2","Abrir facsímil")</f>
        <v>Abrir facsímil</v>
      </c>
      <c r="K8262" s="10" t="s">
        <v>24</v>
      </c>
    </row>
    <row r="8263" spans="1:11" ht="54" customHeight="1">
      <c r="A8263" s="9" t="s">
        <v>17732</v>
      </c>
      <c r="B8263" s="9" t="s">
        <v>17732</v>
      </c>
      <c r="C8263" s="9" t="s">
        <v>66</v>
      </c>
      <c r="D8263" s="9" t="s">
        <v>67</v>
      </c>
      <c r="E8263" s="10" t="s">
        <v>2260</v>
      </c>
      <c r="F8263" s="9" t="s">
        <v>2263</v>
      </c>
      <c r="G8263" s="10" t="s">
        <v>21</v>
      </c>
      <c r="H8263" s="9" t="s">
        <v>22</v>
      </c>
      <c r="I8263" s="9" t="s">
        <v>17768</v>
      </c>
      <c r="J8263" s="10" t="str">
        <f>HYPERLINK("https://www.boe.es/gazeta/dias/1834/11/13/pdfs/GMD-C-1834-272.pdf#page=3","Abrir facsímil")</f>
        <v>Abrir facsímil</v>
      </c>
      <c r="K8263" s="10" t="s">
        <v>24</v>
      </c>
    </row>
    <row r="8264" spans="1:11" ht="54" customHeight="1">
      <c r="A8264" s="9" t="s">
        <v>17732</v>
      </c>
      <c r="B8264" s="9" t="s">
        <v>17732</v>
      </c>
      <c r="C8264" s="9" t="s">
        <v>46</v>
      </c>
      <c r="D8264" s="9" t="s">
        <v>101</v>
      </c>
      <c r="E8264" s="10" t="s">
        <v>1981</v>
      </c>
      <c r="F8264" s="9" t="s">
        <v>2471</v>
      </c>
      <c r="G8264" s="10" t="s">
        <v>34</v>
      </c>
      <c r="H8264" s="9" t="s">
        <v>22</v>
      </c>
      <c r="I8264" s="9" t="s">
        <v>17769</v>
      </c>
      <c r="J8264" s="10" t="str">
        <f>HYPERLINK("https://www.boe.es/gazeta/dias/1834/12/13/pdfs/GMD-C-1834-302.pdf#page=1","Abrir facsímil")</f>
        <v>Abrir facsímil</v>
      </c>
      <c r="K8264" s="10" t="s">
        <v>24</v>
      </c>
    </row>
    <row r="8265" spans="1:11" ht="54" customHeight="1">
      <c r="A8265" s="9" t="s">
        <v>17732</v>
      </c>
      <c r="B8265" s="9" t="s">
        <v>17732</v>
      </c>
      <c r="C8265" s="9" t="s">
        <v>17</v>
      </c>
      <c r="D8265" s="9" t="s">
        <v>18</v>
      </c>
      <c r="E8265" s="10" t="s">
        <v>1186</v>
      </c>
      <c r="F8265" s="9" t="s">
        <v>4286</v>
      </c>
      <c r="G8265" s="10" t="s">
        <v>34</v>
      </c>
      <c r="H8265" s="9" t="s">
        <v>22</v>
      </c>
      <c r="I8265" s="9" t="s">
        <v>17770</v>
      </c>
      <c r="J8265" s="10" t="str">
        <f>HYPERLINK("https://www.boe.es/gazeta/dias/1834/08/14/pdfs/GMD-C-1834-179.pdf#page=1","Abrir facsímil")</f>
        <v>Abrir facsímil</v>
      </c>
      <c r="K8265" s="10" t="s">
        <v>24</v>
      </c>
    </row>
    <row r="8266" spans="1:11" ht="54" customHeight="1">
      <c r="A8266" s="9" t="s">
        <v>17732</v>
      </c>
      <c r="B8266" s="9" t="s">
        <v>17732</v>
      </c>
      <c r="C8266" s="9" t="s">
        <v>17</v>
      </c>
      <c r="D8266" s="9" t="s">
        <v>18</v>
      </c>
      <c r="E8266" s="10" t="s">
        <v>448</v>
      </c>
      <c r="F8266" s="9" t="s">
        <v>449</v>
      </c>
      <c r="G8266" s="10" t="s">
        <v>75</v>
      </c>
      <c r="H8266" s="9" t="s">
        <v>22</v>
      </c>
      <c r="I8266" s="9" t="s">
        <v>17771</v>
      </c>
      <c r="J8266" s="10" t="str">
        <f>HYPERLINK("https://www.boe.es/gazeta/dias/1834/10/14/pdfs/GMD-C-1834-242.pdf#page=4","Abrir facsímil")</f>
        <v>Abrir facsímil</v>
      </c>
      <c r="K8266" s="10" t="s">
        <v>24</v>
      </c>
    </row>
    <row r="8267" spans="1:11" ht="54" customHeight="1">
      <c r="A8267" s="9" t="s">
        <v>17732</v>
      </c>
      <c r="B8267" s="9" t="s">
        <v>17732</v>
      </c>
      <c r="C8267" s="9" t="s">
        <v>17</v>
      </c>
      <c r="D8267" s="9" t="s">
        <v>18</v>
      </c>
      <c r="E8267" s="10" t="s">
        <v>1424</v>
      </c>
      <c r="F8267" s="9" t="s">
        <v>1425</v>
      </c>
      <c r="G8267" s="10" t="s">
        <v>34</v>
      </c>
      <c r="H8267" s="9" t="s">
        <v>22</v>
      </c>
      <c r="I8267" s="9" t="s">
        <v>17772</v>
      </c>
      <c r="J8267" s="10" t="str">
        <f>HYPERLINK("https://www.boe.es/gazeta/dias/1834/11/14/pdfs/GMD-C-1834-273.pdf#page=1","Abrir facsímil")</f>
        <v>Abrir facsímil</v>
      </c>
      <c r="K8267" s="10" t="s">
        <v>24</v>
      </c>
    </row>
    <row r="8268" spans="1:11" ht="54" customHeight="1">
      <c r="A8268" s="9" t="s">
        <v>17732</v>
      </c>
      <c r="B8268" s="9" t="s">
        <v>17732</v>
      </c>
      <c r="C8268" s="9" t="s">
        <v>17</v>
      </c>
      <c r="D8268" s="9" t="s">
        <v>18</v>
      </c>
      <c r="E8268" s="10" t="s">
        <v>2087</v>
      </c>
      <c r="F8268" s="9" t="s">
        <v>2267</v>
      </c>
      <c r="G8268" s="10" t="s">
        <v>1343</v>
      </c>
      <c r="H8268" s="9" t="s">
        <v>22</v>
      </c>
      <c r="I8268" s="9" t="s">
        <v>17773</v>
      </c>
      <c r="J8268" s="10" t="str">
        <f>HYPERLINK("https://www.boe.es/gazeta/dias/1834/12/14/pdfs/GMD-C-1834-303.pdf#page=9","Abrir facsímil")</f>
        <v>Abrir facsímil</v>
      </c>
      <c r="K8268" s="10" t="s">
        <v>24</v>
      </c>
    </row>
    <row r="8269" spans="1:11" ht="54" customHeight="1">
      <c r="A8269" s="9" t="s">
        <v>17732</v>
      </c>
      <c r="B8269" s="9" t="s">
        <v>17732</v>
      </c>
      <c r="C8269" s="9" t="s">
        <v>17</v>
      </c>
      <c r="D8269" s="9" t="s">
        <v>18</v>
      </c>
      <c r="E8269" s="10" t="s">
        <v>237</v>
      </c>
      <c r="F8269" s="9" t="s">
        <v>238</v>
      </c>
      <c r="G8269" s="10" t="s">
        <v>86</v>
      </c>
      <c r="H8269" s="9" t="s">
        <v>22</v>
      </c>
      <c r="I8269" s="9" t="s">
        <v>17774</v>
      </c>
      <c r="J8269" s="10" t="str">
        <f>HYPERLINK("https://www.boe.es/gazeta/dias/1834/08/15/pdfs/GMD-C-1834-180.pdf#page=2","Abrir facsímil")</f>
        <v>Abrir facsímil</v>
      </c>
      <c r="K8269" s="10" t="s">
        <v>24</v>
      </c>
    </row>
    <row r="8270" spans="1:11" ht="54" customHeight="1">
      <c r="A8270" s="9" t="s">
        <v>17732</v>
      </c>
      <c r="B8270" s="9" t="s">
        <v>17732</v>
      </c>
      <c r="C8270" s="9" t="s">
        <v>17</v>
      </c>
      <c r="D8270" s="9" t="s">
        <v>18</v>
      </c>
      <c r="E8270" s="10" t="s">
        <v>928</v>
      </c>
      <c r="F8270" s="9" t="s">
        <v>929</v>
      </c>
      <c r="G8270" s="10" t="s">
        <v>34</v>
      </c>
      <c r="H8270" s="9" t="s">
        <v>22</v>
      </c>
      <c r="I8270" s="9" t="s">
        <v>17775</v>
      </c>
      <c r="J8270" s="10" t="str">
        <f>HYPERLINK("https://www.boe.es/gazeta/dias/1834/11/15/pdfs/GMD-C-1834-274.pdf#page=1","Abrir facsímil")</f>
        <v>Abrir facsímil</v>
      </c>
      <c r="K8270" s="10" t="s">
        <v>24</v>
      </c>
    </row>
    <row r="8271" spans="1:11" ht="54" customHeight="1">
      <c r="A8271" s="9" t="s">
        <v>17732</v>
      </c>
      <c r="B8271" s="9" t="s">
        <v>17732</v>
      </c>
      <c r="C8271" s="9" t="s">
        <v>17</v>
      </c>
      <c r="D8271" s="9" t="s">
        <v>18</v>
      </c>
      <c r="E8271" s="10" t="s">
        <v>454</v>
      </c>
      <c r="F8271" s="9" t="s">
        <v>455</v>
      </c>
      <c r="G8271" s="10" t="s">
        <v>34</v>
      </c>
      <c r="H8271" s="9" t="s">
        <v>22</v>
      </c>
      <c r="I8271" s="9" t="s">
        <v>17776</v>
      </c>
      <c r="J8271" s="10" t="str">
        <f>HYPERLINK("https://www.boe.es/gazeta/dias/1834/10/16/pdfs/GMD-C-1834-244.pdf#page=1","Abrir facsímil")</f>
        <v>Abrir facsímil</v>
      </c>
      <c r="K8271" s="10" t="s">
        <v>24</v>
      </c>
    </row>
    <row r="8272" spans="1:11" ht="54" customHeight="1">
      <c r="A8272" s="9" t="s">
        <v>17732</v>
      </c>
      <c r="B8272" s="9" t="s">
        <v>17732</v>
      </c>
      <c r="C8272" s="9" t="s">
        <v>122</v>
      </c>
      <c r="D8272" s="9" t="s">
        <v>55</v>
      </c>
      <c r="E8272" s="10" t="s">
        <v>233</v>
      </c>
      <c r="F8272" s="9" t="s">
        <v>1810</v>
      </c>
      <c r="G8272" s="10" t="s">
        <v>1099</v>
      </c>
      <c r="H8272" s="9" t="s">
        <v>22</v>
      </c>
      <c r="I8272" s="9" t="s">
        <v>17777</v>
      </c>
      <c r="J8272" s="10" t="str">
        <f>HYPERLINK("https://www.boe.es/gazeta/dias/1834/12/16/pdfs/GMD-C-1834-305.pdf#page=11","Abrir facsímil")</f>
        <v>Abrir facsímil</v>
      </c>
      <c r="K8272" s="10" t="s">
        <v>24</v>
      </c>
    </row>
    <row r="8273" spans="1:11" ht="54" customHeight="1">
      <c r="A8273" s="9" t="s">
        <v>17732</v>
      </c>
      <c r="B8273" s="9" t="s">
        <v>17732</v>
      </c>
      <c r="C8273" s="9" t="s">
        <v>46</v>
      </c>
      <c r="D8273" s="9" t="s">
        <v>18</v>
      </c>
      <c r="E8273" s="10" t="s">
        <v>1195</v>
      </c>
      <c r="F8273" s="9" t="s">
        <v>1196</v>
      </c>
      <c r="G8273" s="10" t="s">
        <v>176</v>
      </c>
      <c r="H8273" s="9" t="s">
        <v>22</v>
      </c>
      <c r="I8273" s="9" t="s">
        <v>17778</v>
      </c>
      <c r="J8273" s="10" t="str">
        <f>HYPERLINK("https://www.boe.es/gazeta/dias/1834/10/17/pdfs/GMD-C-1834-245.pdf#page=6","Abrir facsímil")</f>
        <v>Abrir facsímil</v>
      </c>
      <c r="K8273" s="10" t="s">
        <v>24</v>
      </c>
    </row>
    <row r="8274" spans="1:11" ht="54" customHeight="1">
      <c r="A8274" s="9" t="s">
        <v>17732</v>
      </c>
      <c r="B8274" s="9" t="s">
        <v>17732</v>
      </c>
      <c r="C8274" s="9" t="s">
        <v>17</v>
      </c>
      <c r="D8274" s="9" t="s">
        <v>18</v>
      </c>
      <c r="E8274" s="10" t="s">
        <v>2278</v>
      </c>
      <c r="F8274" s="9" t="s">
        <v>2279</v>
      </c>
      <c r="G8274" s="10" t="s">
        <v>21</v>
      </c>
      <c r="H8274" s="9" t="s">
        <v>22</v>
      </c>
      <c r="I8274" s="9" t="s">
        <v>17779</v>
      </c>
      <c r="J8274" s="10" t="str">
        <f>HYPERLINK("https://www.boe.es/gazeta/dias/1834/12/17/pdfs/GMD-C-1834-306.pdf#page=3","Abrir facsímil")</f>
        <v>Abrir facsímil</v>
      </c>
      <c r="K8274" s="10" t="s">
        <v>24</v>
      </c>
    </row>
    <row r="8275" spans="1:11" ht="54" customHeight="1">
      <c r="A8275" s="9" t="s">
        <v>17732</v>
      </c>
      <c r="B8275" s="9" t="s">
        <v>17732</v>
      </c>
      <c r="C8275" s="9" t="s">
        <v>17</v>
      </c>
      <c r="D8275" s="9" t="s">
        <v>18</v>
      </c>
      <c r="E8275" s="10" t="s">
        <v>2278</v>
      </c>
      <c r="F8275" s="9" t="s">
        <v>2279</v>
      </c>
      <c r="G8275" s="10" t="s">
        <v>176</v>
      </c>
      <c r="H8275" s="9" t="s">
        <v>22</v>
      </c>
      <c r="I8275" s="9" t="s">
        <v>17780</v>
      </c>
      <c r="J8275" s="10" t="str">
        <f>HYPERLINK("https://www.boe.es/gazeta/dias/1834/12/17/pdfs/GMD-C-1834-306.pdf#page=6","Abrir facsímil")</f>
        <v>Abrir facsímil</v>
      </c>
      <c r="K8275" s="10" t="s">
        <v>24</v>
      </c>
    </row>
    <row r="8276" spans="1:11" ht="54" customHeight="1">
      <c r="A8276" s="9" t="s">
        <v>17732</v>
      </c>
      <c r="B8276" s="9" t="s">
        <v>17732</v>
      </c>
      <c r="C8276" s="9" t="s">
        <v>66</v>
      </c>
      <c r="D8276" s="9" t="s">
        <v>67</v>
      </c>
      <c r="E8276" s="10" t="s">
        <v>133</v>
      </c>
      <c r="F8276" s="9" t="s">
        <v>134</v>
      </c>
      <c r="G8276" s="10" t="s">
        <v>34</v>
      </c>
      <c r="H8276" s="9" t="s">
        <v>22</v>
      </c>
      <c r="I8276" s="9" t="s">
        <v>17781</v>
      </c>
      <c r="J8276" s="10" t="str">
        <f>HYPERLINK("https://www.boe.es/gazeta/dias/1834/06/18/pdfs/GMD-1834-121.pdf#page=1","Abrir facsímil")</f>
        <v>Abrir facsímil</v>
      </c>
      <c r="K8276" s="10" t="s">
        <v>24</v>
      </c>
    </row>
    <row r="8277" spans="1:11" ht="54" customHeight="1">
      <c r="A8277" s="9" t="s">
        <v>17732</v>
      </c>
      <c r="B8277" s="9" t="s">
        <v>17732</v>
      </c>
      <c r="C8277" s="9" t="s">
        <v>17</v>
      </c>
      <c r="D8277" s="9" t="s">
        <v>18</v>
      </c>
      <c r="E8277" s="10" t="s">
        <v>772</v>
      </c>
      <c r="F8277" s="9" t="s">
        <v>2284</v>
      </c>
      <c r="G8277" s="10" t="s">
        <v>21</v>
      </c>
      <c r="H8277" s="9" t="s">
        <v>22</v>
      </c>
      <c r="I8277" s="9" t="s">
        <v>17782</v>
      </c>
      <c r="J8277" s="10" t="str">
        <f>HYPERLINK("https://www.boe.es/gazeta/dias/1834/09/18/pdfs/GMD-C-1834-216.pdf#page=3","Abrir facsímil")</f>
        <v>Abrir facsímil</v>
      </c>
      <c r="K8277" s="10" t="s">
        <v>24</v>
      </c>
    </row>
    <row r="8278" spans="1:11" ht="54" customHeight="1">
      <c r="A8278" s="9" t="s">
        <v>17732</v>
      </c>
      <c r="B8278" s="9" t="s">
        <v>17732</v>
      </c>
      <c r="C8278" s="9" t="s">
        <v>46</v>
      </c>
      <c r="D8278" s="9" t="s">
        <v>101</v>
      </c>
      <c r="E8278" s="10" t="s">
        <v>772</v>
      </c>
      <c r="F8278" s="9" t="s">
        <v>2284</v>
      </c>
      <c r="G8278" s="10" t="s">
        <v>75</v>
      </c>
      <c r="H8278" s="9" t="s">
        <v>22</v>
      </c>
      <c r="I8278" s="9" t="s">
        <v>17783</v>
      </c>
      <c r="J8278" s="10" t="str">
        <f>HYPERLINK("https://www.boe.es/gazeta/dias/1834/09/18/pdfs/GMD-C-1834-216.pdf#page=4","Abrir facsímil")</f>
        <v>Abrir facsímil</v>
      </c>
      <c r="K8278" s="10" t="s">
        <v>24</v>
      </c>
    </row>
    <row r="8279" spans="1:11" ht="54" customHeight="1">
      <c r="A8279" s="9" t="s">
        <v>17732</v>
      </c>
      <c r="B8279" s="9" t="s">
        <v>17732</v>
      </c>
      <c r="C8279" s="9" t="s">
        <v>46</v>
      </c>
      <c r="D8279" s="9" t="s">
        <v>101</v>
      </c>
      <c r="E8279" s="10" t="s">
        <v>772</v>
      </c>
      <c r="F8279" s="9" t="s">
        <v>2284</v>
      </c>
      <c r="G8279" s="10" t="s">
        <v>28</v>
      </c>
      <c r="H8279" s="9" t="s">
        <v>22</v>
      </c>
      <c r="I8279" s="9" t="s">
        <v>17784</v>
      </c>
      <c r="J8279" s="10" t="str">
        <f>HYPERLINK("https://www.boe.es/gazeta/dias/1834/09/18/pdfs/GMD-C-1834-216.pdf#page=5","Abrir facsímil")</f>
        <v>Abrir facsímil</v>
      </c>
      <c r="K8279" s="10" t="s">
        <v>24</v>
      </c>
    </row>
    <row r="8280" spans="1:11" ht="54" customHeight="1">
      <c r="A8280" s="9" t="s">
        <v>17732</v>
      </c>
      <c r="B8280" s="9" t="s">
        <v>17732</v>
      </c>
      <c r="C8280" s="9" t="s">
        <v>46</v>
      </c>
      <c r="D8280" s="9" t="s">
        <v>18</v>
      </c>
      <c r="E8280" s="10" t="s">
        <v>772</v>
      </c>
      <c r="F8280" s="9" t="s">
        <v>2284</v>
      </c>
      <c r="G8280" s="10" t="s">
        <v>176</v>
      </c>
      <c r="H8280" s="9" t="s">
        <v>22</v>
      </c>
      <c r="I8280" s="9" t="s">
        <v>17785</v>
      </c>
      <c r="J8280" s="10" t="str">
        <f>HYPERLINK("https://www.boe.es/gazeta/dias/1834/09/18/pdfs/GMD-C-1834-216.pdf#page=6","Abrir facsímil")</f>
        <v>Abrir facsímil</v>
      </c>
      <c r="K8280" s="10" t="s">
        <v>24</v>
      </c>
    </row>
    <row r="8281" spans="1:11" ht="54" customHeight="1">
      <c r="A8281" s="9" t="s">
        <v>17732</v>
      </c>
      <c r="B8281" s="9" t="s">
        <v>17732</v>
      </c>
      <c r="C8281" s="9" t="s">
        <v>17</v>
      </c>
      <c r="D8281" s="9" t="s">
        <v>18</v>
      </c>
      <c r="E8281" s="10" t="s">
        <v>3036</v>
      </c>
      <c r="F8281" s="9" t="s">
        <v>3037</v>
      </c>
      <c r="G8281" s="10" t="s">
        <v>21</v>
      </c>
      <c r="H8281" s="9" t="s">
        <v>22</v>
      </c>
      <c r="I8281" s="9" t="s">
        <v>17786</v>
      </c>
      <c r="J8281" s="10" t="str">
        <f>HYPERLINK("https://www.boe.es/gazeta/dias/1834/11/18/pdfs/GMD-C-1834-277.pdf#page=3","Abrir facsímil")</f>
        <v>Abrir facsímil</v>
      </c>
      <c r="K8281" s="10" t="s">
        <v>24</v>
      </c>
    </row>
    <row r="8282" spans="1:11" ht="54" customHeight="1">
      <c r="A8282" s="9" t="s">
        <v>17732</v>
      </c>
      <c r="B8282" s="9" t="s">
        <v>17732</v>
      </c>
      <c r="C8282" s="9" t="s">
        <v>17</v>
      </c>
      <c r="D8282" s="9" t="s">
        <v>18</v>
      </c>
      <c r="E8282" s="10" t="s">
        <v>265</v>
      </c>
      <c r="F8282" s="9" t="s">
        <v>266</v>
      </c>
      <c r="G8282" s="10" t="s">
        <v>75</v>
      </c>
      <c r="H8282" s="9" t="s">
        <v>22</v>
      </c>
      <c r="I8282" s="9" t="s">
        <v>17787</v>
      </c>
      <c r="J8282" s="10" t="str">
        <f>HYPERLINK("https://www.boe.es/gazeta/dias/1834/11/19/pdfs/GMD-C-1834-278.pdf#page=4","Abrir facsímil")</f>
        <v>Abrir facsímil</v>
      </c>
      <c r="K8282" s="10" t="s">
        <v>24</v>
      </c>
    </row>
    <row r="8283" spans="1:11" ht="54" customHeight="1">
      <c r="A8283" s="9" t="s">
        <v>17732</v>
      </c>
      <c r="B8283" s="9" t="s">
        <v>17732</v>
      </c>
      <c r="C8283" s="9" t="s">
        <v>17</v>
      </c>
      <c r="D8283" s="9" t="s">
        <v>18</v>
      </c>
      <c r="E8283" s="10" t="s">
        <v>1973</v>
      </c>
      <c r="F8283" s="9" t="s">
        <v>1974</v>
      </c>
      <c r="G8283" s="10" t="s">
        <v>34</v>
      </c>
      <c r="H8283" s="9" t="s">
        <v>22</v>
      </c>
      <c r="I8283" s="9" t="s">
        <v>17788</v>
      </c>
      <c r="J8283" s="10" t="str">
        <f>HYPERLINK("https://www.boe.es/gazeta/dias/1834/12/20/pdfs/GMD-C-1834-310.pdf#page=1","Abrir facsímil")</f>
        <v>Abrir facsímil</v>
      </c>
      <c r="K8283" s="10" t="s">
        <v>24</v>
      </c>
    </row>
    <row r="8284" spans="1:11" ht="54" customHeight="1">
      <c r="A8284" s="9" t="s">
        <v>17732</v>
      </c>
      <c r="B8284" s="9" t="s">
        <v>17732</v>
      </c>
      <c r="C8284" s="9" t="s">
        <v>90</v>
      </c>
      <c r="D8284" s="9" t="s">
        <v>18</v>
      </c>
      <c r="E8284" s="10" t="s">
        <v>1973</v>
      </c>
      <c r="F8284" s="9" t="s">
        <v>1974</v>
      </c>
      <c r="G8284" s="10" t="s">
        <v>75</v>
      </c>
      <c r="H8284" s="9" t="s">
        <v>22</v>
      </c>
      <c r="I8284" s="9" t="s">
        <v>17789</v>
      </c>
      <c r="J8284" s="10" t="str">
        <f>HYPERLINK("https://www.boe.es/gazeta/dias/1834/12/20/pdfs/GMD-C-1834-310.pdf#page=4","Abrir facsímil")</f>
        <v>Abrir facsímil</v>
      </c>
      <c r="K8284" s="10" t="s">
        <v>24</v>
      </c>
    </row>
    <row r="8285" spans="1:11" ht="54" customHeight="1">
      <c r="A8285" s="9" t="s">
        <v>17732</v>
      </c>
      <c r="B8285" s="9" t="s">
        <v>17732</v>
      </c>
      <c r="C8285" s="9" t="s">
        <v>90</v>
      </c>
      <c r="D8285" s="9" t="s">
        <v>55</v>
      </c>
      <c r="E8285" s="10" t="s">
        <v>1973</v>
      </c>
      <c r="F8285" s="9" t="s">
        <v>1974</v>
      </c>
      <c r="G8285" s="10" t="s">
        <v>560</v>
      </c>
      <c r="H8285" s="9" t="s">
        <v>22</v>
      </c>
      <c r="I8285" s="9" t="s">
        <v>17790</v>
      </c>
      <c r="J8285" s="10" t="str">
        <f>HYPERLINK("https://www.boe.es/gazeta/dias/1834/12/20/pdfs/GMD-C-1834-310.pdf#page=7","Abrir facsímil")</f>
        <v>Abrir facsímil</v>
      </c>
      <c r="K8285" s="10" t="s">
        <v>24</v>
      </c>
    </row>
    <row r="8286" spans="1:11" ht="54" customHeight="1">
      <c r="A8286" s="9" t="s">
        <v>17732</v>
      </c>
      <c r="B8286" s="9" t="s">
        <v>17732</v>
      </c>
      <c r="C8286" s="9" t="s">
        <v>17</v>
      </c>
      <c r="D8286" s="9" t="s">
        <v>18</v>
      </c>
      <c r="E8286" s="10" t="s">
        <v>492</v>
      </c>
      <c r="F8286" s="9" t="s">
        <v>493</v>
      </c>
      <c r="G8286" s="10" t="s">
        <v>34</v>
      </c>
      <c r="H8286" s="9" t="s">
        <v>22</v>
      </c>
      <c r="I8286" s="9" t="s">
        <v>17791</v>
      </c>
      <c r="J8286" s="10" t="str">
        <f>HYPERLINK("https://www.boe.es/gazeta/dias/1834/11/21/pdfs/GMD-C-1834-280.pdf#page=1","Abrir facsímil")</f>
        <v>Abrir facsímil</v>
      </c>
      <c r="K8286" s="10" t="s">
        <v>24</v>
      </c>
    </row>
    <row r="8287" spans="1:11" ht="54" customHeight="1">
      <c r="A8287" s="9" t="s">
        <v>17732</v>
      </c>
      <c r="B8287" s="9" t="s">
        <v>17732</v>
      </c>
      <c r="C8287" s="9" t="s">
        <v>17</v>
      </c>
      <c r="D8287" s="9" t="s">
        <v>18</v>
      </c>
      <c r="E8287" s="10" t="s">
        <v>610</v>
      </c>
      <c r="F8287" s="9" t="s">
        <v>611</v>
      </c>
      <c r="G8287" s="10" t="s">
        <v>75</v>
      </c>
      <c r="H8287" s="9" t="s">
        <v>22</v>
      </c>
      <c r="I8287" s="9" t="s">
        <v>17792</v>
      </c>
      <c r="J8287" s="10" t="str">
        <f>HYPERLINK("https://www.boe.es/gazeta/dias/1834/12/21/pdfs/GMD-C-1834-311.pdf#page=4","Abrir facsímil")</f>
        <v>Abrir facsímil</v>
      </c>
      <c r="K8287" s="10" t="s">
        <v>24</v>
      </c>
    </row>
    <row r="8288" spans="1:11" ht="54" customHeight="1">
      <c r="A8288" s="9" t="s">
        <v>17732</v>
      </c>
      <c r="B8288" s="9" t="s">
        <v>17732</v>
      </c>
      <c r="C8288" s="9" t="s">
        <v>17</v>
      </c>
      <c r="D8288" s="9" t="s">
        <v>40</v>
      </c>
      <c r="E8288" s="10" t="s">
        <v>378</v>
      </c>
      <c r="F8288" s="9" t="s">
        <v>888</v>
      </c>
      <c r="G8288" s="10" t="s">
        <v>21</v>
      </c>
      <c r="H8288" s="9" t="s">
        <v>22</v>
      </c>
      <c r="I8288" s="9" t="s">
        <v>17793</v>
      </c>
      <c r="J8288" s="10" t="str">
        <f>HYPERLINK("https://www.boe.es/gazeta/dias/1834/09/24/pdfs/GMD-C-1834-222.pdf#page=3","Abrir facsímil")</f>
        <v>Abrir facsímil</v>
      </c>
      <c r="K8288" s="10" t="s">
        <v>24</v>
      </c>
    </row>
    <row r="8289" spans="1:11" ht="54" customHeight="1">
      <c r="A8289" s="9" t="s">
        <v>17732</v>
      </c>
      <c r="B8289" s="9" t="s">
        <v>17732</v>
      </c>
      <c r="C8289" s="9" t="s">
        <v>17</v>
      </c>
      <c r="D8289" s="9" t="s">
        <v>18</v>
      </c>
      <c r="E8289" s="10" t="s">
        <v>403</v>
      </c>
      <c r="F8289" s="9" t="s">
        <v>404</v>
      </c>
      <c r="G8289" s="10" t="s">
        <v>34</v>
      </c>
      <c r="H8289" s="9" t="s">
        <v>22</v>
      </c>
      <c r="I8289" s="9" t="s">
        <v>17794</v>
      </c>
      <c r="J8289" s="10" t="str">
        <f>HYPERLINK("https://www.boe.es/gazeta/dias/1834/09/25/pdfs/GMD-C-1834-223.pdf#page=1","Abrir facsímil")</f>
        <v>Abrir facsímil</v>
      </c>
      <c r="K8289" s="10" t="s">
        <v>24</v>
      </c>
    </row>
    <row r="8290" spans="1:11" ht="54" customHeight="1">
      <c r="A8290" s="9" t="s">
        <v>17732</v>
      </c>
      <c r="B8290" s="9" t="s">
        <v>17732</v>
      </c>
      <c r="C8290" s="9" t="s">
        <v>17</v>
      </c>
      <c r="D8290" s="9" t="s">
        <v>18</v>
      </c>
      <c r="E8290" s="10" t="s">
        <v>524</v>
      </c>
      <c r="F8290" s="9" t="s">
        <v>525</v>
      </c>
      <c r="G8290" s="10" t="s">
        <v>86</v>
      </c>
      <c r="H8290" s="9" t="s">
        <v>22</v>
      </c>
      <c r="I8290" s="9" t="s">
        <v>17795</v>
      </c>
      <c r="J8290" s="10" t="str">
        <f>HYPERLINK("https://www.boe.es/gazeta/dias/1834/12/25/pdfs/GMD-C-1834-315.pdf#page=2","Abrir facsímil")</f>
        <v>Abrir facsímil</v>
      </c>
      <c r="K8290" s="10" t="s">
        <v>24</v>
      </c>
    </row>
    <row r="8291" spans="1:11" ht="54" customHeight="1">
      <c r="A8291" s="9" t="s">
        <v>17732</v>
      </c>
      <c r="B8291" s="9" t="s">
        <v>17732</v>
      </c>
      <c r="C8291" s="9" t="s">
        <v>17</v>
      </c>
      <c r="D8291" s="9" t="s">
        <v>18</v>
      </c>
      <c r="E8291" s="10" t="s">
        <v>1677</v>
      </c>
      <c r="F8291" s="9" t="s">
        <v>2515</v>
      </c>
      <c r="G8291" s="10" t="s">
        <v>34</v>
      </c>
      <c r="H8291" s="9" t="s">
        <v>22</v>
      </c>
      <c r="I8291" s="9" t="s">
        <v>17796</v>
      </c>
      <c r="J8291" s="10" t="str">
        <f>HYPERLINK("https://www.boe.es/gazeta/dias/1834/07/26/pdfs/GMD-C-1834-159.pdf#page=1","Abrir facsímil")</f>
        <v>Abrir facsímil</v>
      </c>
      <c r="K8291" s="10" t="s">
        <v>24</v>
      </c>
    </row>
    <row r="8292" spans="1:11" ht="54" customHeight="1">
      <c r="A8292" s="9" t="s">
        <v>17732</v>
      </c>
      <c r="B8292" s="9" t="s">
        <v>17732</v>
      </c>
      <c r="C8292" s="9" t="s">
        <v>17</v>
      </c>
      <c r="D8292" s="9" t="s">
        <v>18</v>
      </c>
      <c r="E8292" s="10" t="s">
        <v>1686</v>
      </c>
      <c r="F8292" s="9" t="s">
        <v>2311</v>
      </c>
      <c r="G8292" s="10" t="s">
        <v>34</v>
      </c>
      <c r="H8292" s="9" t="s">
        <v>22</v>
      </c>
      <c r="I8292" s="9" t="s">
        <v>17797</v>
      </c>
      <c r="J8292" s="10" t="str">
        <f>HYPERLINK("https://www.boe.es/gazeta/dias/1834/07/27/pdfs/GMD-C-1834-160.pdf#page=1","Abrir facsímil")</f>
        <v>Abrir facsímil</v>
      </c>
      <c r="K8292" s="10" t="s">
        <v>24</v>
      </c>
    </row>
    <row r="8293" spans="1:11" ht="54" customHeight="1">
      <c r="A8293" s="9" t="s">
        <v>17732</v>
      </c>
      <c r="B8293" s="9" t="s">
        <v>17732</v>
      </c>
      <c r="C8293" s="9" t="s">
        <v>17</v>
      </c>
      <c r="D8293" s="9" t="s">
        <v>18</v>
      </c>
      <c r="E8293" s="10" t="s">
        <v>462</v>
      </c>
      <c r="F8293" s="9" t="s">
        <v>463</v>
      </c>
      <c r="G8293" s="10" t="s">
        <v>34</v>
      </c>
      <c r="H8293" s="9" t="s">
        <v>22</v>
      </c>
      <c r="I8293" s="9" t="s">
        <v>17798</v>
      </c>
      <c r="J8293" s="10" t="str">
        <f>HYPERLINK("https://www.boe.es/gazeta/dias/1834/08/27/pdfs/GMD-C-1834-193.pdf#page=1","Abrir facsímil")</f>
        <v>Abrir facsímil</v>
      </c>
      <c r="K8293" s="10" t="s">
        <v>24</v>
      </c>
    </row>
    <row r="8294" spans="1:11" ht="54" customHeight="1">
      <c r="A8294" s="9" t="s">
        <v>17732</v>
      </c>
      <c r="B8294" s="9" t="s">
        <v>17732</v>
      </c>
      <c r="C8294" s="9" t="s">
        <v>17</v>
      </c>
      <c r="D8294" s="9" t="s">
        <v>18</v>
      </c>
      <c r="E8294" s="10" t="s">
        <v>462</v>
      </c>
      <c r="F8294" s="9" t="s">
        <v>463</v>
      </c>
      <c r="G8294" s="10" t="s">
        <v>86</v>
      </c>
      <c r="H8294" s="9" t="s">
        <v>22</v>
      </c>
      <c r="I8294" s="9" t="s">
        <v>17799</v>
      </c>
      <c r="J8294" s="10" t="str">
        <f>HYPERLINK("https://www.boe.es/gazeta/dias/1834/08/27/pdfs/GMD-C-1834-193.pdf#page=2","Abrir facsímil")</f>
        <v>Abrir facsímil</v>
      </c>
      <c r="K8294" s="10" t="s">
        <v>24</v>
      </c>
    </row>
    <row r="8295" spans="1:11" ht="54" customHeight="1">
      <c r="A8295" s="9" t="s">
        <v>17732</v>
      </c>
      <c r="B8295" s="9" t="s">
        <v>17732</v>
      </c>
      <c r="C8295" s="9" t="s">
        <v>46</v>
      </c>
      <c r="D8295" s="9" t="s">
        <v>18</v>
      </c>
      <c r="E8295" s="10" t="s">
        <v>465</v>
      </c>
      <c r="F8295" s="9" t="s">
        <v>466</v>
      </c>
      <c r="G8295" s="10" t="s">
        <v>86</v>
      </c>
      <c r="H8295" s="9" t="s">
        <v>22</v>
      </c>
      <c r="I8295" s="9" t="s">
        <v>17800</v>
      </c>
      <c r="J8295" s="10" t="str">
        <f>HYPERLINK("https://www.boe.es/gazeta/dias/1834/11/27/pdfs/GMD-C-1834-286.pdf#page=2","Abrir facsímil")</f>
        <v>Abrir facsímil</v>
      </c>
      <c r="K8295" s="10" t="s">
        <v>24</v>
      </c>
    </row>
    <row r="8296" spans="1:11" ht="54" customHeight="1">
      <c r="A8296" s="9" t="s">
        <v>17732</v>
      </c>
      <c r="B8296" s="9" t="s">
        <v>17732</v>
      </c>
      <c r="C8296" s="9" t="s">
        <v>17</v>
      </c>
      <c r="D8296" s="9" t="s">
        <v>18</v>
      </c>
      <c r="E8296" s="10" t="s">
        <v>465</v>
      </c>
      <c r="F8296" s="9" t="s">
        <v>466</v>
      </c>
      <c r="G8296" s="10" t="s">
        <v>21</v>
      </c>
      <c r="H8296" s="9" t="s">
        <v>22</v>
      </c>
      <c r="I8296" s="9" t="s">
        <v>17801</v>
      </c>
      <c r="J8296" s="10" t="str">
        <f>HYPERLINK("https://www.boe.es/gazeta/dias/1834/11/27/pdfs/GMD-C-1834-286.pdf#page=3","Abrir facsímil")</f>
        <v>Abrir facsímil</v>
      </c>
      <c r="K8296" s="10" t="s">
        <v>24</v>
      </c>
    </row>
    <row r="8297" spans="1:11" ht="54" customHeight="1">
      <c r="A8297" s="9" t="s">
        <v>17732</v>
      </c>
      <c r="B8297" s="9" t="s">
        <v>17732</v>
      </c>
      <c r="C8297" s="9" t="s">
        <v>66</v>
      </c>
      <c r="D8297" s="9" t="s">
        <v>67</v>
      </c>
      <c r="E8297" s="10" t="s">
        <v>465</v>
      </c>
      <c r="F8297" s="9" t="s">
        <v>466</v>
      </c>
      <c r="G8297" s="10" t="s">
        <v>176</v>
      </c>
      <c r="H8297" s="9" t="s">
        <v>22</v>
      </c>
      <c r="I8297" s="9" t="s">
        <v>17802</v>
      </c>
      <c r="J8297" s="10" t="str">
        <f>HYPERLINK("https://www.boe.es/gazeta/dias/1834/11/27/pdfs/GMD-C-1834-286.pdf#page=6","Abrir facsímil")</f>
        <v>Abrir facsímil</v>
      </c>
      <c r="K8297" s="10" t="s">
        <v>24</v>
      </c>
    </row>
    <row r="8298" spans="1:11" ht="54" customHeight="1">
      <c r="A8298" s="9" t="s">
        <v>17732</v>
      </c>
      <c r="B8298" s="9" t="s">
        <v>17732</v>
      </c>
      <c r="C8298" s="9" t="s">
        <v>17</v>
      </c>
      <c r="D8298" s="9" t="s">
        <v>18</v>
      </c>
      <c r="E8298" s="10" t="s">
        <v>2142</v>
      </c>
      <c r="F8298" s="9" t="s">
        <v>2316</v>
      </c>
      <c r="G8298" s="10" t="s">
        <v>21</v>
      </c>
      <c r="H8298" s="9" t="s">
        <v>22</v>
      </c>
      <c r="I8298" s="9" t="s">
        <v>17803</v>
      </c>
      <c r="J8298" s="10" t="str">
        <f>HYPERLINK("https://www.boe.es/gazeta/dias/1834/12/27/pdfs/GMD-C-1834-317.pdf#page=3","Abrir facsímil")</f>
        <v>Abrir facsímil</v>
      </c>
      <c r="K8298" s="10" t="s">
        <v>24</v>
      </c>
    </row>
    <row r="8299" spans="1:11" ht="54" customHeight="1">
      <c r="A8299" s="9" t="s">
        <v>17732</v>
      </c>
      <c r="B8299" s="9" t="s">
        <v>17732</v>
      </c>
      <c r="C8299" s="9" t="s">
        <v>17</v>
      </c>
      <c r="D8299" s="9" t="s">
        <v>18</v>
      </c>
      <c r="E8299" s="10" t="s">
        <v>468</v>
      </c>
      <c r="F8299" s="9" t="s">
        <v>469</v>
      </c>
      <c r="G8299" s="10" t="s">
        <v>34</v>
      </c>
      <c r="H8299" s="9" t="s">
        <v>22</v>
      </c>
      <c r="I8299" s="9" t="s">
        <v>17804</v>
      </c>
      <c r="J8299" s="10" t="str">
        <f>HYPERLINK("https://www.boe.es/gazeta/dias/1834/12/28/pdfs/GMD-C-1834-318.pdf#page=1","Abrir facsímil")</f>
        <v>Abrir facsímil</v>
      </c>
      <c r="K8299" s="10" t="s">
        <v>24</v>
      </c>
    </row>
    <row r="8300" spans="1:11" ht="54" customHeight="1">
      <c r="A8300" s="9" t="s">
        <v>17732</v>
      </c>
      <c r="B8300" s="9" t="s">
        <v>17732</v>
      </c>
      <c r="C8300" s="9" t="s">
        <v>17</v>
      </c>
      <c r="D8300" s="9" t="s">
        <v>18</v>
      </c>
      <c r="E8300" s="10" t="s">
        <v>280</v>
      </c>
      <c r="F8300" s="9" t="s">
        <v>281</v>
      </c>
      <c r="G8300" s="10" t="s">
        <v>28</v>
      </c>
      <c r="H8300" s="9" t="s">
        <v>22</v>
      </c>
      <c r="I8300" s="9" t="s">
        <v>17805</v>
      </c>
      <c r="J8300" s="10" t="str">
        <f>HYPERLINK("https://www.boe.es/gazeta/dias/1834/08/29/pdfs/GMD-C-1834-195.pdf#page=5","Abrir facsímil")</f>
        <v>Abrir facsímil</v>
      </c>
      <c r="K8300" s="10" t="s">
        <v>24</v>
      </c>
    </row>
    <row r="8301" spans="1:11" ht="54" customHeight="1">
      <c r="A8301" s="9" t="s">
        <v>17732</v>
      </c>
      <c r="B8301" s="9" t="s">
        <v>17732</v>
      </c>
      <c r="C8301" s="9" t="s">
        <v>17</v>
      </c>
      <c r="D8301" s="9" t="s">
        <v>18</v>
      </c>
      <c r="E8301" s="10" t="s">
        <v>280</v>
      </c>
      <c r="F8301" s="9" t="s">
        <v>281</v>
      </c>
      <c r="G8301" s="10" t="s">
        <v>560</v>
      </c>
      <c r="H8301" s="9" t="s">
        <v>22</v>
      </c>
      <c r="I8301" s="9" t="s">
        <v>17806</v>
      </c>
      <c r="J8301" s="10" t="str">
        <f>HYPERLINK("https://www.boe.es/gazeta/dias/1834/08/29/pdfs/GMD-C-1834-195.pdf#page=7","Abrir facsímil")</f>
        <v>Abrir facsímil</v>
      </c>
      <c r="K8301" s="10" t="s">
        <v>24</v>
      </c>
    </row>
    <row r="8302" spans="1:11" ht="54" customHeight="1">
      <c r="A8302" s="9" t="s">
        <v>17732</v>
      </c>
      <c r="B8302" s="9" t="s">
        <v>17732</v>
      </c>
      <c r="C8302" s="9" t="s">
        <v>17</v>
      </c>
      <c r="D8302" s="9" t="s">
        <v>18</v>
      </c>
      <c r="E8302" s="10" t="s">
        <v>777</v>
      </c>
      <c r="F8302" s="9" t="s">
        <v>2535</v>
      </c>
      <c r="G8302" s="10" t="s">
        <v>176</v>
      </c>
      <c r="H8302" s="9" t="s">
        <v>22</v>
      </c>
      <c r="I8302" s="9" t="s">
        <v>17807</v>
      </c>
      <c r="J8302" s="10" t="str">
        <f>HYPERLINK("https://www.boe.es/gazeta/dias/1834/10/29/pdfs/GMD-C-1834-257.pdf#page=6","Abrir facsímil")</f>
        <v>Abrir facsímil</v>
      </c>
      <c r="K8302" s="10" t="s">
        <v>24</v>
      </c>
    </row>
    <row r="8303" spans="1:11" ht="54" customHeight="1">
      <c r="A8303" s="9" t="s">
        <v>17732</v>
      </c>
      <c r="B8303" s="9" t="s">
        <v>17732</v>
      </c>
      <c r="C8303" s="9" t="s">
        <v>17</v>
      </c>
      <c r="D8303" s="9" t="s">
        <v>18</v>
      </c>
      <c r="E8303" s="10" t="s">
        <v>590</v>
      </c>
      <c r="F8303" s="9" t="s">
        <v>17808</v>
      </c>
      <c r="G8303" s="10" t="s">
        <v>34</v>
      </c>
      <c r="H8303" s="9" t="s">
        <v>22</v>
      </c>
      <c r="I8303" s="9" t="s">
        <v>17809</v>
      </c>
      <c r="J8303" s="10" t="str">
        <f>HYPERLINK("https://www.boe.es/gazeta/dias/1834/11/30/pdfs/GMD-C-1834-289.pdf#page=1","Abrir facsímil")</f>
        <v>Abrir facsímil</v>
      </c>
      <c r="K8303" s="10" t="s">
        <v>24</v>
      </c>
    </row>
    <row r="8304" spans="1:11" ht="54" customHeight="1">
      <c r="A8304" s="9" t="s">
        <v>17732</v>
      </c>
      <c r="B8304" s="9" t="s">
        <v>17732</v>
      </c>
      <c r="C8304" s="9" t="s">
        <v>17</v>
      </c>
      <c r="D8304" s="9" t="s">
        <v>18</v>
      </c>
      <c r="E8304" s="10" t="s">
        <v>273</v>
      </c>
      <c r="F8304" s="9" t="s">
        <v>274</v>
      </c>
      <c r="G8304" s="10" t="s">
        <v>21</v>
      </c>
      <c r="H8304" s="9" t="s">
        <v>22</v>
      </c>
      <c r="I8304" s="9" t="s">
        <v>17810</v>
      </c>
      <c r="J8304" s="10" t="str">
        <f>HYPERLINK("https://www.boe.es/gazeta/dias/1834/08/31/pdfs/GMD-D-1834-198.pdf#page=3","Abrir facsímil")</f>
        <v>Abrir facsímil</v>
      </c>
      <c r="K8304" s="10" t="s">
        <v>24</v>
      </c>
    </row>
    <row r="8305" spans="1:11" ht="54" customHeight="1">
      <c r="A8305" s="9" t="s">
        <v>17732</v>
      </c>
      <c r="B8305" s="9" t="s">
        <v>17732</v>
      </c>
      <c r="C8305" s="9" t="s">
        <v>17</v>
      </c>
      <c r="D8305" s="9" t="s">
        <v>18</v>
      </c>
      <c r="E8305" s="10" t="s">
        <v>273</v>
      </c>
      <c r="F8305" s="9" t="s">
        <v>274</v>
      </c>
      <c r="G8305" s="10" t="s">
        <v>28</v>
      </c>
      <c r="H8305" s="9" t="s">
        <v>22</v>
      </c>
      <c r="I8305" s="9" t="s">
        <v>17811</v>
      </c>
      <c r="J8305" s="10" t="str">
        <f>HYPERLINK("https://www.boe.es/gazeta/dias/1834/08/31/pdfs/GMD-D-1834-198.pdf#page=5","Abrir facsímil")</f>
        <v>Abrir facsímil</v>
      </c>
      <c r="K8305" s="10" t="s">
        <v>24</v>
      </c>
    </row>
    <row r="8306" spans="1:11" ht="54" customHeight="1">
      <c r="A8306" s="9" t="s">
        <v>17732</v>
      </c>
      <c r="B8306" s="9" t="s">
        <v>17732</v>
      </c>
      <c r="C8306" s="9" t="s">
        <v>17</v>
      </c>
      <c r="D8306" s="9" t="s">
        <v>18</v>
      </c>
      <c r="E8306" s="10" t="s">
        <v>273</v>
      </c>
      <c r="F8306" s="9" t="s">
        <v>274</v>
      </c>
      <c r="G8306" s="10" t="s">
        <v>176</v>
      </c>
      <c r="H8306" s="9" t="s">
        <v>22</v>
      </c>
      <c r="I8306" s="9" t="s">
        <v>17812</v>
      </c>
      <c r="J8306" s="10" t="str">
        <f>HYPERLINK("https://www.boe.es/gazeta/dias/1834/08/31/pdfs/GMD-D-1834-198.pdf#page=6","Abrir facsímil")</f>
        <v>Abrir facsímil</v>
      </c>
      <c r="K8306" s="10" t="s">
        <v>24</v>
      </c>
    </row>
    <row r="8307" spans="1:11" ht="54" customHeight="1">
      <c r="A8307" s="9" t="s">
        <v>17813</v>
      </c>
      <c r="B8307" s="9" t="s">
        <v>17813</v>
      </c>
      <c r="C8307" s="9" t="s">
        <v>46</v>
      </c>
      <c r="D8307" s="9" t="s">
        <v>55</v>
      </c>
      <c r="E8307" s="10" t="s">
        <v>610</v>
      </c>
      <c r="F8307" s="9" t="s">
        <v>611</v>
      </c>
      <c r="G8307" s="10" t="s">
        <v>75</v>
      </c>
      <c r="H8307" s="9" t="s">
        <v>22</v>
      </c>
      <c r="I8307" s="9" t="s">
        <v>17814</v>
      </c>
      <c r="J8307" s="10" t="str">
        <f>HYPERLINK("https://www.boe.es/gazeta/dias/1834/12/21/pdfs/GMD-C-1834-311.pdf#page=4","Abrir facsímil")</f>
        <v>Abrir facsímil</v>
      </c>
      <c r="K8307" s="10" t="s">
        <v>24</v>
      </c>
    </row>
    <row r="8308" spans="1:11" ht="54" customHeight="1">
      <c r="A8308" s="9" t="s">
        <v>17815</v>
      </c>
      <c r="B8308" s="9" t="s">
        <v>17816</v>
      </c>
      <c r="C8308" s="9" t="s">
        <v>17</v>
      </c>
      <c r="D8308" s="9" t="s">
        <v>18</v>
      </c>
      <c r="E8308" s="10" t="s">
        <v>1002</v>
      </c>
      <c r="F8308" s="9" t="s">
        <v>1003</v>
      </c>
      <c r="G8308" s="10" t="s">
        <v>75</v>
      </c>
      <c r="H8308" s="9" t="s">
        <v>22</v>
      </c>
      <c r="I8308" s="9" t="s">
        <v>17817</v>
      </c>
      <c r="J8308" s="10" t="str">
        <f>HYPERLINK("https://www.boe.es/gazeta/dias/1834/06/26/pdfs/GMD-1834-129.pdf#page=4","Abrir facsímil")</f>
        <v>Abrir facsímil</v>
      </c>
      <c r="K8308" s="10" t="s">
        <v>24</v>
      </c>
    </row>
    <row r="8309" spans="1:11" ht="54" customHeight="1">
      <c r="A8309" s="9" t="s">
        <v>17818</v>
      </c>
      <c r="B8309" s="9" t="s">
        <v>17819</v>
      </c>
      <c r="C8309" s="9" t="s">
        <v>17</v>
      </c>
      <c r="D8309" s="9" t="s">
        <v>55</v>
      </c>
      <c r="E8309" s="10" t="s">
        <v>1323</v>
      </c>
      <c r="F8309" s="9" t="s">
        <v>1324</v>
      </c>
      <c r="G8309" s="10" t="s">
        <v>34</v>
      </c>
      <c r="H8309" s="9" t="s">
        <v>22</v>
      </c>
      <c r="I8309" s="9" t="s">
        <v>17820</v>
      </c>
      <c r="J8309" s="10" t="str">
        <f>HYPERLINK("https://www.boe.es/gazeta/dias/1834/05/22/pdfs/GMD-1834-91.pdf#page=1","Abrir facsímil")</f>
        <v>Abrir facsímil</v>
      </c>
      <c r="K8309" s="10" t="s">
        <v>24</v>
      </c>
    </row>
    <row r="8310" spans="1:11" ht="54" customHeight="1">
      <c r="A8310" s="9" t="s">
        <v>17818</v>
      </c>
      <c r="B8310" s="9" t="s">
        <v>17819</v>
      </c>
      <c r="C8310" s="9" t="s">
        <v>90</v>
      </c>
      <c r="D8310" s="9" t="s">
        <v>18</v>
      </c>
      <c r="E8310" s="10" t="s">
        <v>1017</v>
      </c>
      <c r="F8310" s="9" t="s">
        <v>1018</v>
      </c>
      <c r="G8310" s="10" t="s">
        <v>21</v>
      </c>
      <c r="H8310" s="9" t="s">
        <v>22</v>
      </c>
      <c r="I8310" s="9" t="s">
        <v>17821</v>
      </c>
      <c r="J8310" s="10" t="str">
        <f>HYPERLINK("https://www.boe.es/gazeta/dias/1834/07/24/pdfs/GMD-1834-157.pdf#page=3","Abrir facsímil")</f>
        <v>Abrir facsímil</v>
      </c>
      <c r="K8310" s="10" t="s">
        <v>24</v>
      </c>
    </row>
    <row r="8311" spans="1:11" ht="54" customHeight="1">
      <c r="A8311" s="9" t="s">
        <v>17818</v>
      </c>
      <c r="B8311" s="9" t="s">
        <v>17819</v>
      </c>
      <c r="C8311" s="9" t="s">
        <v>17</v>
      </c>
      <c r="D8311" s="9" t="s">
        <v>18</v>
      </c>
      <c r="E8311" s="10" t="s">
        <v>1692</v>
      </c>
      <c r="F8311" s="9" t="s">
        <v>3985</v>
      </c>
      <c r="G8311" s="10" t="s">
        <v>34</v>
      </c>
      <c r="H8311" s="9" t="s">
        <v>22</v>
      </c>
      <c r="I8311" s="9" t="s">
        <v>17822</v>
      </c>
      <c r="J8311" s="10" t="str">
        <f>HYPERLINK("https://www.boe.es/gazeta/dias/1834/07/29/pdfs/GMD-C-1834-162.pdf#page=1","Abrir facsímil")</f>
        <v>Abrir facsímil</v>
      </c>
      <c r="K8311" s="10" t="s">
        <v>24</v>
      </c>
    </row>
    <row r="8312" spans="1:11" ht="54" customHeight="1">
      <c r="A8312" s="9" t="s">
        <v>17823</v>
      </c>
      <c r="B8312" s="9" t="s">
        <v>17824</v>
      </c>
      <c r="C8312" s="9" t="s">
        <v>66</v>
      </c>
      <c r="D8312" s="9" t="s">
        <v>18</v>
      </c>
      <c r="E8312" s="10" t="s">
        <v>1686</v>
      </c>
      <c r="F8312" s="9" t="s">
        <v>1687</v>
      </c>
      <c r="G8312" s="10" t="s">
        <v>21</v>
      </c>
      <c r="H8312" s="9" t="s">
        <v>22</v>
      </c>
      <c r="I8312" s="9" t="s">
        <v>17825</v>
      </c>
      <c r="J8312" s="10" t="str">
        <f>HYPERLINK("https://www.boe.es/gazeta/dias/1834/07/27/pdfs/GMD-1834-160.pdf#page=3","Abrir facsímil")</f>
        <v>Abrir facsímil</v>
      </c>
      <c r="K8312" s="10" t="s">
        <v>24</v>
      </c>
    </row>
    <row r="8313" spans="1:11" ht="54" customHeight="1">
      <c r="A8313" s="9" t="s">
        <v>17826</v>
      </c>
      <c r="B8313" s="9" t="s">
        <v>17827</v>
      </c>
      <c r="C8313" s="9" t="s">
        <v>17</v>
      </c>
      <c r="D8313" s="9" t="s">
        <v>18</v>
      </c>
      <c r="E8313" s="10" t="s">
        <v>1686</v>
      </c>
      <c r="F8313" s="9" t="s">
        <v>2311</v>
      </c>
      <c r="G8313" s="10" t="s">
        <v>34</v>
      </c>
      <c r="H8313" s="9" t="s">
        <v>22</v>
      </c>
      <c r="I8313" s="9" t="s">
        <v>17828</v>
      </c>
      <c r="J8313" s="10" t="str">
        <f>HYPERLINK("https://www.boe.es/gazeta/dias/1834/07/27/pdfs/GMD-C-1834-160.pdf#page=1","Abrir facsímil")</f>
        <v>Abrir facsímil</v>
      </c>
      <c r="K8313" s="10" t="s">
        <v>24</v>
      </c>
    </row>
    <row r="8314" spans="1:11" ht="54" customHeight="1">
      <c r="A8314" s="9" t="s">
        <v>17829</v>
      </c>
      <c r="B8314" s="9" t="s">
        <v>17830</v>
      </c>
      <c r="C8314" s="9" t="s">
        <v>122</v>
      </c>
      <c r="D8314" s="9" t="s">
        <v>55</v>
      </c>
      <c r="E8314" s="10" t="s">
        <v>1351</v>
      </c>
      <c r="F8314" s="9" t="s">
        <v>1352</v>
      </c>
      <c r="G8314" s="10" t="s">
        <v>75</v>
      </c>
      <c r="H8314" s="9" t="s">
        <v>35</v>
      </c>
      <c r="I8314" s="9" t="s">
        <v>17831</v>
      </c>
      <c r="J8314" s="10" t="str">
        <f>HYPERLINK("https://www.boe.es/gazeta/dias/1834/07/05/pdfs/GMD-1834-138.pdf#page=4","Abrir facsímil")</f>
        <v>Abrir facsímil</v>
      </c>
      <c r="K8314" s="10" t="s">
        <v>37</v>
      </c>
    </row>
    <row r="8315" spans="1:11" ht="54" customHeight="1">
      <c r="A8315" s="9" t="s">
        <v>17832</v>
      </c>
      <c r="B8315" s="9" t="s">
        <v>17833</v>
      </c>
      <c r="C8315" s="9" t="s">
        <v>17</v>
      </c>
      <c r="D8315" s="9" t="s">
        <v>18</v>
      </c>
      <c r="E8315" s="10" t="s">
        <v>1337</v>
      </c>
      <c r="F8315" s="9" t="s">
        <v>1338</v>
      </c>
      <c r="G8315" s="10" t="s">
        <v>34</v>
      </c>
      <c r="H8315" s="9" t="s">
        <v>35</v>
      </c>
      <c r="I8315" s="9" t="s">
        <v>17834</v>
      </c>
      <c r="J8315" s="10" t="str">
        <f>HYPERLINK("https://www.boe.es/gazeta/dias/1834/01/02/pdfs/GMD-1834-1.pdf#page=1","Abrir facsímil")</f>
        <v>Abrir facsímil</v>
      </c>
      <c r="K8315" s="10" t="s">
        <v>37</v>
      </c>
    </row>
    <row r="8316" spans="1:11" ht="54" customHeight="1">
      <c r="A8316" s="9" t="s">
        <v>17832</v>
      </c>
      <c r="B8316" s="9" t="s">
        <v>17833</v>
      </c>
      <c r="C8316" s="9" t="s">
        <v>90</v>
      </c>
      <c r="D8316" s="9" t="s">
        <v>18</v>
      </c>
      <c r="E8316" s="10" t="s">
        <v>956</v>
      </c>
      <c r="F8316" s="9" t="s">
        <v>957</v>
      </c>
      <c r="G8316" s="10" t="s">
        <v>34</v>
      </c>
      <c r="H8316" s="9" t="s">
        <v>35</v>
      </c>
      <c r="I8316" s="9" t="s">
        <v>17835</v>
      </c>
      <c r="J8316" s="10" t="str">
        <f>HYPERLINK("https://www.boe.es/gazeta/dias/1834/08/10/pdfs/GMD-C-1834-175.pdf#page=1","Abrir facsímil")</f>
        <v>Abrir facsímil</v>
      </c>
      <c r="K8316" s="10" t="s">
        <v>37</v>
      </c>
    </row>
    <row r="8317" spans="1:11" ht="54" customHeight="1">
      <c r="A8317" s="9" t="s">
        <v>17832</v>
      </c>
      <c r="B8317" s="9" t="s">
        <v>17833</v>
      </c>
      <c r="C8317" s="9" t="s">
        <v>122</v>
      </c>
      <c r="D8317" s="9" t="s">
        <v>101</v>
      </c>
      <c r="E8317" s="10" t="s">
        <v>123</v>
      </c>
      <c r="F8317" s="9" t="s">
        <v>124</v>
      </c>
      <c r="G8317" s="10" t="s">
        <v>21</v>
      </c>
      <c r="H8317" s="9" t="s">
        <v>35</v>
      </c>
      <c r="I8317" s="9" t="s">
        <v>17836</v>
      </c>
      <c r="J8317" s="10" t="str">
        <f>HYPERLINK("https://www.boe.es/gazeta/dias/1834/07/11/pdfs/GMD-1834-144.pdf#page=3","Abrir facsímil")</f>
        <v>Abrir facsímil</v>
      </c>
      <c r="K8317" s="10" t="s">
        <v>37</v>
      </c>
    </row>
    <row r="8318" spans="1:11" ht="54" customHeight="1">
      <c r="A8318" s="9" t="s">
        <v>17837</v>
      </c>
      <c r="B8318" s="9" t="s">
        <v>17838</v>
      </c>
      <c r="C8318" s="9" t="s">
        <v>17</v>
      </c>
      <c r="D8318" s="9" t="s">
        <v>18</v>
      </c>
      <c r="E8318" s="10" t="s">
        <v>1572</v>
      </c>
      <c r="F8318" s="9" t="s">
        <v>1573</v>
      </c>
      <c r="G8318" s="10" t="s">
        <v>28</v>
      </c>
      <c r="H8318" s="9" t="s">
        <v>35</v>
      </c>
      <c r="I8318" s="9" t="s">
        <v>17839</v>
      </c>
      <c r="J8318" s="10" t="str">
        <f>HYPERLINK("https://www.boe.es/gazeta/dias/1834/03/20/pdfs/GMD-1834-35.pdf#page=5","Abrir facsímil")</f>
        <v>Abrir facsímil</v>
      </c>
      <c r="K8318" s="10" t="s">
        <v>37</v>
      </c>
    </row>
    <row r="8319" spans="1:11" ht="54" customHeight="1">
      <c r="A8319" s="9" t="s">
        <v>17840</v>
      </c>
      <c r="B8319" s="9" t="s">
        <v>17841</v>
      </c>
      <c r="C8319" s="9" t="s">
        <v>90</v>
      </c>
      <c r="D8319" s="9" t="s">
        <v>18</v>
      </c>
      <c r="E8319" s="10" t="s">
        <v>863</v>
      </c>
      <c r="F8319" s="9" t="s">
        <v>864</v>
      </c>
      <c r="G8319" s="10" t="s">
        <v>86</v>
      </c>
      <c r="H8319" s="9" t="s">
        <v>35</v>
      </c>
      <c r="I8319" s="9" t="s">
        <v>17842</v>
      </c>
      <c r="J8319" s="10" t="str">
        <f>HYPERLINK("https://www.boe.es/gazeta/dias/1834/09/15/pdfs/GMD-1834-213.pdf#page=2","Abrir facsímil")</f>
        <v>Abrir facsímil</v>
      </c>
      <c r="K8319" s="10" t="s">
        <v>37</v>
      </c>
    </row>
    <row r="8320" spans="1:11" ht="54" customHeight="1">
      <c r="A8320" s="9" t="s">
        <v>17843</v>
      </c>
      <c r="B8320" s="9" t="s">
        <v>17844</v>
      </c>
      <c r="C8320" s="9" t="s">
        <v>17</v>
      </c>
      <c r="D8320" s="9" t="s">
        <v>40</v>
      </c>
      <c r="E8320" s="10" t="s">
        <v>981</v>
      </c>
      <c r="F8320" s="9" t="s">
        <v>3406</v>
      </c>
      <c r="G8320" s="10" t="s">
        <v>86</v>
      </c>
      <c r="H8320" s="9" t="s">
        <v>22</v>
      </c>
      <c r="I8320" s="9" t="s">
        <v>17845</v>
      </c>
      <c r="J8320" s="10" t="str">
        <f>HYPERLINK("https://www.boe.es/gazeta/dias/1834/09/21/pdfs/GMD-C-1834-219.pdf#page=2","Abrir facsímil")</f>
        <v>Abrir facsímil</v>
      </c>
      <c r="K8320" s="10" t="s">
        <v>24</v>
      </c>
    </row>
    <row r="8321" spans="1:11" ht="54" customHeight="1">
      <c r="A8321" s="9" t="s">
        <v>17846</v>
      </c>
      <c r="B8321" s="9" t="s">
        <v>17847</v>
      </c>
      <c r="C8321" s="9" t="s">
        <v>17</v>
      </c>
      <c r="D8321" s="9" t="s">
        <v>18</v>
      </c>
      <c r="E8321" s="10" t="s">
        <v>255</v>
      </c>
      <c r="F8321" s="9" t="s">
        <v>256</v>
      </c>
      <c r="G8321" s="10" t="s">
        <v>86</v>
      </c>
      <c r="H8321" s="9" t="s">
        <v>22</v>
      </c>
      <c r="I8321" s="9" t="s">
        <v>17848</v>
      </c>
      <c r="J8321" s="10" t="str">
        <f>HYPERLINK("https://www.boe.es/gazeta/dias/1834/09/01/pdfs/GMD-D-1834-199.pdf#page=2","Abrir facsímil")</f>
        <v>Abrir facsímil</v>
      </c>
      <c r="K8321" s="10" t="s">
        <v>24</v>
      </c>
    </row>
    <row r="8322" spans="1:11" ht="54" customHeight="1">
      <c r="A8322" s="9" t="s">
        <v>17846</v>
      </c>
      <c r="B8322" s="9" t="s">
        <v>17847</v>
      </c>
      <c r="C8322" s="9" t="s">
        <v>90</v>
      </c>
      <c r="D8322" s="9" t="s">
        <v>18</v>
      </c>
      <c r="E8322" s="10" t="s">
        <v>158</v>
      </c>
      <c r="F8322" s="9" t="s">
        <v>581</v>
      </c>
      <c r="G8322" s="10" t="s">
        <v>86</v>
      </c>
      <c r="H8322" s="9" t="s">
        <v>22</v>
      </c>
      <c r="I8322" s="9" t="s">
        <v>17849</v>
      </c>
      <c r="J8322" s="10" t="str">
        <f>HYPERLINK("https://www.boe.es/gazeta/dias/1834/10/01/pdfs/GMD-C-1834-229.pdf#page=2","Abrir facsímil")</f>
        <v>Abrir facsímil</v>
      </c>
      <c r="K8322" s="10" t="s">
        <v>24</v>
      </c>
    </row>
    <row r="8323" spans="1:11" ht="54" customHeight="1">
      <c r="A8323" s="9" t="s">
        <v>17846</v>
      </c>
      <c r="B8323" s="9" t="s">
        <v>17847</v>
      </c>
      <c r="C8323" s="9" t="s">
        <v>17</v>
      </c>
      <c r="D8323" s="9" t="s">
        <v>18</v>
      </c>
      <c r="E8323" s="10" t="s">
        <v>690</v>
      </c>
      <c r="F8323" s="9" t="s">
        <v>691</v>
      </c>
      <c r="G8323" s="10" t="s">
        <v>28</v>
      </c>
      <c r="H8323" s="9" t="s">
        <v>22</v>
      </c>
      <c r="I8323" s="9" t="s">
        <v>17850</v>
      </c>
      <c r="J8323" s="10" t="str">
        <f>HYPERLINK("https://www.boe.es/gazeta/dias/1834/09/03/pdfs/GMD-C-1834-201.pdf#page=5","Abrir facsímil")</f>
        <v>Abrir facsímil</v>
      </c>
      <c r="K8323" s="10" t="s">
        <v>24</v>
      </c>
    </row>
    <row r="8324" spans="1:11" ht="54" customHeight="1">
      <c r="A8324" s="9" t="s">
        <v>17846</v>
      </c>
      <c r="B8324" s="9" t="s">
        <v>17847</v>
      </c>
      <c r="C8324" s="9" t="s">
        <v>46</v>
      </c>
      <c r="D8324" s="9" t="s">
        <v>101</v>
      </c>
      <c r="E8324" s="10" t="s">
        <v>2212</v>
      </c>
      <c r="F8324" s="9" t="s">
        <v>2213</v>
      </c>
      <c r="G8324" s="10" t="s">
        <v>28</v>
      </c>
      <c r="H8324" s="9" t="s">
        <v>22</v>
      </c>
      <c r="I8324" s="9" t="s">
        <v>17851</v>
      </c>
      <c r="J8324" s="10" t="str">
        <f>HYPERLINK("https://www.boe.es/gazeta/dias/1834/08/04/pdfs/GMD-C-1834-168.pdf#page=5","Abrir facsímil")</f>
        <v>Abrir facsímil</v>
      </c>
      <c r="K8324" s="10" t="s">
        <v>24</v>
      </c>
    </row>
    <row r="8325" spans="1:11" ht="54" customHeight="1">
      <c r="A8325" s="9" t="s">
        <v>17846</v>
      </c>
      <c r="B8325" s="9" t="s">
        <v>17847</v>
      </c>
      <c r="C8325" s="9" t="s">
        <v>17</v>
      </c>
      <c r="D8325" s="9" t="s">
        <v>18</v>
      </c>
      <c r="E8325" s="10" t="s">
        <v>243</v>
      </c>
      <c r="F8325" s="9" t="s">
        <v>244</v>
      </c>
      <c r="G8325" s="10" t="s">
        <v>34</v>
      </c>
      <c r="H8325" s="9" t="s">
        <v>22</v>
      </c>
      <c r="I8325" s="9" t="s">
        <v>17852</v>
      </c>
      <c r="J8325" s="10" t="str">
        <f>HYPERLINK("https://www.boe.es/gazeta/dias/1834/08/05/pdfs/GMD-C-1834-169.pdf#page=1","Abrir facsímil")</f>
        <v>Abrir facsímil</v>
      </c>
      <c r="K8325" s="10" t="s">
        <v>24</v>
      </c>
    </row>
    <row r="8326" spans="1:11" ht="54" customHeight="1">
      <c r="A8326" s="9" t="s">
        <v>17846</v>
      </c>
      <c r="B8326" s="9" t="s">
        <v>17847</v>
      </c>
      <c r="C8326" s="9" t="s">
        <v>46</v>
      </c>
      <c r="D8326" s="9" t="s">
        <v>101</v>
      </c>
      <c r="E8326" s="10" t="s">
        <v>1340</v>
      </c>
      <c r="F8326" s="9" t="s">
        <v>1341</v>
      </c>
      <c r="G8326" s="10" t="s">
        <v>176</v>
      </c>
      <c r="H8326" s="9" t="s">
        <v>22</v>
      </c>
      <c r="I8326" s="9" t="s">
        <v>17853</v>
      </c>
      <c r="J8326" s="10" t="str">
        <f>HYPERLINK("https://www.boe.es/gazeta/dias/1834/10/05/pdfs/GMD-C-1834-233.pdf#page=6","Abrir facsímil")</f>
        <v>Abrir facsímil</v>
      </c>
      <c r="K8326" s="10" t="s">
        <v>24</v>
      </c>
    </row>
    <row r="8327" spans="1:11" ht="54" customHeight="1">
      <c r="A8327" s="9" t="s">
        <v>17846</v>
      </c>
      <c r="B8327" s="9" t="s">
        <v>17847</v>
      </c>
      <c r="C8327" s="9" t="s">
        <v>46</v>
      </c>
      <c r="D8327" s="9" t="s">
        <v>101</v>
      </c>
      <c r="E8327" s="10" t="s">
        <v>1340</v>
      </c>
      <c r="F8327" s="9" t="s">
        <v>1341</v>
      </c>
      <c r="G8327" s="10" t="s">
        <v>560</v>
      </c>
      <c r="H8327" s="9" t="s">
        <v>22</v>
      </c>
      <c r="I8327" s="9" t="s">
        <v>17854</v>
      </c>
      <c r="J8327" s="10" t="str">
        <f>HYPERLINK("https://www.boe.es/gazeta/dias/1834/10/05/pdfs/GMD-C-1834-233.pdf#page=7","Abrir facsímil")</f>
        <v>Abrir facsímil</v>
      </c>
      <c r="K8327" s="10" t="s">
        <v>24</v>
      </c>
    </row>
    <row r="8328" spans="1:11" ht="54" customHeight="1">
      <c r="A8328" s="9" t="s">
        <v>17846</v>
      </c>
      <c r="B8328" s="9" t="s">
        <v>17847</v>
      </c>
      <c r="C8328" s="9" t="s">
        <v>17</v>
      </c>
      <c r="D8328" s="9" t="s">
        <v>18</v>
      </c>
      <c r="E8328" s="10" t="s">
        <v>623</v>
      </c>
      <c r="F8328" s="9" t="s">
        <v>624</v>
      </c>
      <c r="G8328" s="10" t="s">
        <v>34</v>
      </c>
      <c r="H8328" s="9" t="s">
        <v>22</v>
      </c>
      <c r="I8328" s="9" t="s">
        <v>17855</v>
      </c>
      <c r="J8328" s="10" t="str">
        <f>HYPERLINK("https://www.boe.es/gazeta/dias/1834/10/12/pdfs/GMD-C-1834-240.pdf#page=1","Abrir facsímil")</f>
        <v>Abrir facsímil</v>
      </c>
      <c r="K8328" s="10" t="s">
        <v>24</v>
      </c>
    </row>
    <row r="8329" spans="1:11" ht="54" customHeight="1">
      <c r="A8329" s="9" t="s">
        <v>17846</v>
      </c>
      <c r="B8329" s="9" t="s">
        <v>17847</v>
      </c>
      <c r="C8329" s="9" t="s">
        <v>17</v>
      </c>
      <c r="D8329" s="9" t="s">
        <v>18</v>
      </c>
      <c r="E8329" s="10" t="s">
        <v>262</v>
      </c>
      <c r="F8329" s="9" t="s">
        <v>263</v>
      </c>
      <c r="G8329" s="10" t="s">
        <v>86</v>
      </c>
      <c r="H8329" s="9" t="s">
        <v>22</v>
      </c>
      <c r="I8329" s="9" t="s">
        <v>17856</v>
      </c>
      <c r="J8329" s="10" t="str">
        <f>HYPERLINK("https://www.boe.es/gazeta/dias/1834/10/18/pdfs/GMD-C-1834-246.pdf#page=2","Abrir facsímil")</f>
        <v>Abrir facsímil</v>
      </c>
      <c r="K8329" s="10" t="s">
        <v>24</v>
      </c>
    </row>
    <row r="8330" spans="1:11" ht="54" customHeight="1">
      <c r="A8330" s="9" t="s">
        <v>17846</v>
      </c>
      <c r="B8330" s="9" t="s">
        <v>17847</v>
      </c>
      <c r="C8330" s="9" t="s">
        <v>17</v>
      </c>
      <c r="D8330" s="9" t="s">
        <v>18</v>
      </c>
      <c r="E8330" s="10" t="s">
        <v>3036</v>
      </c>
      <c r="F8330" s="9" t="s">
        <v>3037</v>
      </c>
      <c r="G8330" s="10" t="s">
        <v>86</v>
      </c>
      <c r="H8330" s="9" t="s">
        <v>22</v>
      </c>
      <c r="I8330" s="9" t="s">
        <v>17857</v>
      </c>
      <c r="J8330" s="10" t="str">
        <f>HYPERLINK("https://www.boe.es/gazeta/dias/1834/11/18/pdfs/GMD-C-1834-277.pdf#page=2","Abrir facsímil")</f>
        <v>Abrir facsímil</v>
      </c>
      <c r="K8330" s="10" t="s">
        <v>24</v>
      </c>
    </row>
    <row r="8331" spans="1:11" ht="54" customHeight="1">
      <c r="A8331" s="9" t="s">
        <v>17846</v>
      </c>
      <c r="B8331" s="9" t="s">
        <v>17847</v>
      </c>
      <c r="C8331" s="9" t="s">
        <v>17</v>
      </c>
      <c r="D8331" s="9" t="s">
        <v>18</v>
      </c>
      <c r="E8331" s="10" t="s">
        <v>576</v>
      </c>
      <c r="F8331" s="9" t="s">
        <v>5888</v>
      </c>
      <c r="G8331" s="10" t="s">
        <v>34</v>
      </c>
      <c r="H8331" s="9" t="s">
        <v>22</v>
      </c>
      <c r="I8331" s="9" t="s">
        <v>17858</v>
      </c>
      <c r="J8331" s="10" t="str">
        <f>HYPERLINK("https://www.boe.es/gazeta/dias/1834/09/23/pdfs/GMD-C-1834-221.pdf#page=1","Abrir facsímil")</f>
        <v>Abrir facsímil</v>
      </c>
      <c r="K8331" s="10" t="s">
        <v>24</v>
      </c>
    </row>
    <row r="8332" spans="1:11" ht="54" customHeight="1">
      <c r="A8332" s="9" t="s">
        <v>17846</v>
      </c>
      <c r="B8332" s="9" t="s">
        <v>17847</v>
      </c>
      <c r="C8332" s="9" t="s">
        <v>17</v>
      </c>
      <c r="D8332" s="9" t="s">
        <v>18</v>
      </c>
      <c r="E8332" s="10" t="s">
        <v>1686</v>
      </c>
      <c r="F8332" s="9" t="s">
        <v>2311</v>
      </c>
      <c r="G8332" s="10" t="s">
        <v>34</v>
      </c>
      <c r="H8332" s="9" t="s">
        <v>22</v>
      </c>
      <c r="I8332" s="9" t="s">
        <v>17859</v>
      </c>
      <c r="J8332" s="10" t="str">
        <f>HYPERLINK("https://www.boe.es/gazeta/dias/1834/07/27/pdfs/GMD-C-1834-160.pdf#page=1","Abrir facsímil")</f>
        <v>Abrir facsímil</v>
      </c>
      <c r="K8332" s="10" t="s">
        <v>24</v>
      </c>
    </row>
    <row r="8333" spans="1:11" ht="54" customHeight="1">
      <c r="A8333" s="9" t="s">
        <v>17846</v>
      </c>
      <c r="B8333" s="9" t="s">
        <v>17847</v>
      </c>
      <c r="C8333" s="9" t="s">
        <v>17</v>
      </c>
      <c r="D8333" s="9" t="s">
        <v>18</v>
      </c>
      <c r="E8333" s="10" t="s">
        <v>1641</v>
      </c>
      <c r="F8333" s="9" t="s">
        <v>1642</v>
      </c>
      <c r="G8333" s="10" t="s">
        <v>21</v>
      </c>
      <c r="H8333" s="9" t="s">
        <v>22</v>
      </c>
      <c r="I8333" s="9" t="s">
        <v>17860</v>
      </c>
      <c r="J8333" s="10" t="str">
        <f>HYPERLINK("https://www.boe.es/gazeta/dias/1834/09/28/pdfs/GMD-C-1834-226.pdf#page=3","Abrir facsímil")</f>
        <v>Abrir facsímil</v>
      </c>
      <c r="K8333" s="10" t="s">
        <v>24</v>
      </c>
    </row>
    <row r="8334" spans="1:11" ht="54" customHeight="1">
      <c r="A8334" s="9" t="s">
        <v>17846</v>
      </c>
      <c r="B8334" s="9" t="s">
        <v>17847</v>
      </c>
      <c r="C8334" s="9" t="s">
        <v>17</v>
      </c>
      <c r="D8334" s="9" t="s">
        <v>18</v>
      </c>
      <c r="E8334" s="10" t="s">
        <v>777</v>
      </c>
      <c r="F8334" s="9" t="s">
        <v>2535</v>
      </c>
      <c r="G8334" s="10" t="s">
        <v>176</v>
      </c>
      <c r="H8334" s="9" t="s">
        <v>22</v>
      </c>
      <c r="I8334" s="9" t="s">
        <v>17861</v>
      </c>
      <c r="J8334" s="10" t="str">
        <f>HYPERLINK("https://www.boe.es/gazeta/dias/1834/10/29/pdfs/GMD-C-1834-257.pdf#page=6","Abrir facsímil")</f>
        <v>Abrir facsímil</v>
      </c>
      <c r="K8334" s="10" t="s">
        <v>24</v>
      </c>
    </row>
    <row r="8335" spans="1:11" ht="54" customHeight="1">
      <c r="A8335" s="9" t="s">
        <v>17862</v>
      </c>
      <c r="B8335" s="9" t="s">
        <v>17863</v>
      </c>
      <c r="C8335" s="9" t="s">
        <v>17</v>
      </c>
      <c r="D8335" s="9" t="s">
        <v>18</v>
      </c>
      <c r="E8335" s="10" t="s">
        <v>200</v>
      </c>
      <c r="F8335" s="9" t="s">
        <v>2248</v>
      </c>
      <c r="G8335" s="10" t="s">
        <v>28</v>
      </c>
      <c r="H8335" s="9" t="s">
        <v>22</v>
      </c>
      <c r="I8335" s="9" t="s">
        <v>17864</v>
      </c>
      <c r="J8335" s="10" t="str">
        <f>HYPERLINK("https://www.boe.es/gazeta/dias/1834/12/11/pdfs/GMD-C-1834-300.pdf#page=5","Abrir facsímil")</f>
        <v>Abrir facsímil</v>
      </c>
      <c r="K8335" s="10" t="s">
        <v>24</v>
      </c>
    </row>
    <row r="8336" spans="1:11" ht="54" customHeight="1">
      <c r="A8336" s="9" t="s">
        <v>17865</v>
      </c>
      <c r="B8336" s="9" t="s">
        <v>17866</v>
      </c>
      <c r="C8336" s="9" t="s">
        <v>122</v>
      </c>
      <c r="D8336" s="9" t="s">
        <v>18</v>
      </c>
      <c r="E8336" s="10" t="s">
        <v>1002</v>
      </c>
      <c r="F8336" s="9" t="s">
        <v>1003</v>
      </c>
      <c r="G8336" s="10" t="s">
        <v>75</v>
      </c>
      <c r="H8336" s="9" t="s">
        <v>22</v>
      </c>
      <c r="I8336" s="9" t="s">
        <v>17867</v>
      </c>
      <c r="J8336" s="10" t="str">
        <f>HYPERLINK("https://www.boe.es/gazeta/dias/1834/06/26/pdfs/GMD-1834-129.pdf#page=4","Abrir facsímil")</f>
        <v>Abrir facsímil</v>
      </c>
      <c r="K8336" s="10" t="s">
        <v>24</v>
      </c>
    </row>
    <row r="8337" spans="1:11" ht="54" customHeight="1">
      <c r="A8337" s="9" t="s">
        <v>17868</v>
      </c>
      <c r="B8337" s="9" t="s">
        <v>17869</v>
      </c>
      <c r="C8337" s="9" t="s">
        <v>17</v>
      </c>
      <c r="D8337" s="9" t="s">
        <v>18</v>
      </c>
      <c r="E8337" s="10" t="s">
        <v>3328</v>
      </c>
      <c r="F8337" s="9" t="s">
        <v>3329</v>
      </c>
      <c r="G8337" s="10" t="s">
        <v>34</v>
      </c>
      <c r="H8337" s="9" t="s">
        <v>22</v>
      </c>
      <c r="I8337" s="9" t="s">
        <v>17870</v>
      </c>
      <c r="J8337" s="10" t="str">
        <f>HYPERLINK("https://www.boe.es/gazeta/dias/1834/06/04/pdfs/GMD-1834-106.pdf#page=1","Abrir facsímil")</f>
        <v>Abrir facsímil</v>
      </c>
      <c r="K8337" s="10" t="s">
        <v>24</v>
      </c>
    </row>
    <row r="8338" spans="1:11" ht="54" customHeight="1">
      <c r="A8338" s="9" t="s">
        <v>17871</v>
      </c>
      <c r="B8338" s="9" t="s">
        <v>17872</v>
      </c>
      <c r="C8338" s="9" t="s">
        <v>17</v>
      </c>
      <c r="D8338" s="9" t="s">
        <v>18</v>
      </c>
      <c r="E8338" s="10" t="s">
        <v>627</v>
      </c>
      <c r="F8338" s="9" t="s">
        <v>1013</v>
      </c>
      <c r="G8338" s="10" t="s">
        <v>21</v>
      </c>
      <c r="H8338" s="9" t="s">
        <v>22</v>
      </c>
      <c r="I8338" s="9" t="s">
        <v>17873</v>
      </c>
      <c r="J8338" s="10" t="str">
        <f>HYPERLINK("https://www.boe.es/gazeta/dias/1834/09/22/pdfs/GMD-1834-220.pdf#page=3","Abrir facsímil")</f>
        <v>Abrir facsímil</v>
      </c>
      <c r="K8338" s="10" t="s">
        <v>24</v>
      </c>
    </row>
    <row r="8339" spans="1:11" ht="54" customHeight="1">
      <c r="A8339" s="9" t="s">
        <v>17874</v>
      </c>
      <c r="B8339" s="9" t="s">
        <v>17875</v>
      </c>
      <c r="C8339" s="9" t="s">
        <v>122</v>
      </c>
      <c r="D8339" s="9" t="s">
        <v>55</v>
      </c>
      <c r="E8339" s="10" t="s">
        <v>1351</v>
      </c>
      <c r="F8339" s="9" t="s">
        <v>1352</v>
      </c>
      <c r="G8339" s="10" t="s">
        <v>75</v>
      </c>
      <c r="H8339" s="9" t="s">
        <v>22</v>
      </c>
      <c r="I8339" s="9" t="s">
        <v>17876</v>
      </c>
      <c r="J8339" s="10" t="str">
        <f>HYPERLINK("https://www.boe.es/gazeta/dias/1834/07/05/pdfs/GMD-1834-138.pdf#page=4","Abrir facsímil")</f>
        <v>Abrir facsímil</v>
      </c>
      <c r="K8339" s="10" t="s">
        <v>24</v>
      </c>
    </row>
    <row r="8340" spans="1:11" ht="54" customHeight="1">
      <c r="A8340" s="9" t="s">
        <v>17877</v>
      </c>
      <c r="B8340" s="9" t="s">
        <v>17878</v>
      </c>
      <c r="C8340" s="9" t="s">
        <v>17</v>
      </c>
      <c r="D8340" s="9" t="s">
        <v>40</v>
      </c>
      <c r="E8340" s="10" t="s">
        <v>563</v>
      </c>
      <c r="F8340" s="9" t="s">
        <v>564</v>
      </c>
      <c r="G8340" s="10" t="s">
        <v>28</v>
      </c>
      <c r="H8340" s="9" t="s">
        <v>22</v>
      </c>
      <c r="I8340" s="9" t="s">
        <v>17879</v>
      </c>
      <c r="J8340" s="10" t="str">
        <f>HYPERLINK("https://www.boe.es/gazeta/dias/1834/04/19/pdfs/GMD-1834-58.pdf#page=5","Abrir facsímil")</f>
        <v>Abrir facsímil</v>
      </c>
      <c r="K8340" s="10" t="s">
        <v>24</v>
      </c>
    </row>
    <row r="8341" spans="1:11" ht="54" customHeight="1">
      <c r="A8341" s="9" t="s">
        <v>17880</v>
      </c>
      <c r="B8341" s="9" t="s">
        <v>17881</v>
      </c>
      <c r="C8341" s="9" t="s">
        <v>90</v>
      </c>
      <c r="D8341" s="9" t="s">
        <v>67</v>
      </c>
      <c r="E8341" s="10" t="s">
        <v>416</v>
      </c>
      <c r="F8341" s="9" t="s">
        <v>1130</v>
      </c>
      <c r="G8341" s="10" t="s">
        <v>86</v>
      </c>
      <c r="H8341" s="9" t="s">
        <v>22</v>
      </c>
      <c r="I8341" s="9" t="s">
        <v>17882</v>
      </c>
      <c r="J8341" s="10" t="str">
        <f>HYPERLINK("https://www.boe.es/gazeta/dias/1834/10/02/pdfs/GMD-1834-230.pdf#page=2","Abrir facsímil")</f>
        <v>Abrir facsímil</v>
      </c>
      <c r="K8341" s="10" t="s">
        <v>24</v>
      </c>
    </row>
    <row r="8342" spans="1:11" ht="54" customHeight="1">
      <c r="A8342" s="9" t="s">
        <v>17883</v>
      </c>
      <c r="B8342" s="9" t="s">
        <v>17884</v>
      </c>
      <c r="C8342" s="9" t="s">
        <v>17</v>
      </c>
      <c r="D8342" s="9" t="s">
        <v>18</v>
      </c>
      <c r="E8342" s="10" t="s">
        <v>1234</v>
      </c>
      <c r="F8342" s="9" t="s">
        <v>1455</v>
      </c>
      <c r="G8342" s="10" t="s">
        <v>21</v>
      </c>
      <c r="H8342" s="9" t="s">
        <v>22</v>
      </c>
      <c r="I8342" s="9" t="s">
        <v>17885</v>
      </c>
      <c r="J8342" s="10" t="str">
        <f>HYPERLINK("https://www.boe.es/gazeta/dias/1834/05/15/pdfs/GMD-1834-84.pdf#page=3","Abrir facsímil")</f>
        <v>Abrir facsímil</v>
      </c>
      <c r="K8342" s="10" t="s">
        <v>24</v>
      </c>
    </row>
    <row r="8343" spans="1:11" ht="54" customHeight="1">
      <c r="A8343" s="9" t="s">
        <v>17886</v>
      </c>
      <c r="B8343" s="9" t="s">
        <v>17887</v>
      </c>
      <c r="C8343" s="9" t="s">
        <v>17</v>
      </c>
      <c r="D8343" s="9" t="s">
        <v>55</v>
      </c>
      <c r="E8343" s="10" t="s">
        <v>719</v>
      </c>
      <c r="F8343" s="9" t="s">
        <v>720</v>
      </c>
      <c r="G8343" s="10" t="s">
        <v>75</v>
      </c>
      <c r="H8343" s="9" t="s">
        <v>22</v>
      </c>
      <c r="I8343" s="9" t="s">
        <v>17888</v>
      </c>
      <c r="J8343" s="10" t="str">
        <f>HYPERLINK("https://www.boe.es/gazeta/dias/1834/04/29/pdfs/GMD-1834-68.pdf#page=4","Abrir facsímil")</f>
        <v>Abrir facsímil</v>
      </c>
      <c r="K8343" s="10" t="s">
        <v>24</v>
      </c>
    </row>
    <row r="8344" spans="1:11" ht="54" customHeight="1">
      <c r="A8344" s="9" t="s">
        <v>17889</v>
      </c>
      <c r="B8344" s="9" t="s">
        <v>17890</v>
      </c>
      <c r="C8344" s="9" t="s">
        <v>17</v>
      </c>
      <c r="D8344" s="9" t="s">
        <v>18</v>
      </c>
      <c r="E8344" s="10" t="s">
        <v>375</v>
      </c>
      <c r="F8344" s="9" t="s">
        <v>376</v>
      </c>
      <c r="G8344" s="10" t="s">
        <v>34</v>
      </c>
      <c r="H8344" s="9" t="s">
        <v>22</v>
      </c>
      <c r="I8344" s="9" t="s">
        <v>17891</v>
      </c>
      <c r="J8344" s="10" t="str">
        <f>HYPERLINK("https://www.boe.es/gazeta/dias/1834/08/21/pdfs/GMD-1834-187.pdf#page=1","Abrir facsímil")</f>
        <v>Abrir facsímil</v>
      </c>
      <c r="K8344" s="10" t="s">
        <v>24</v>
      </c>
    </row>
    <row r="8345" spans="1:11" ht="54" customHeight="1">
      <c r="A8345" s="9" t="s">
        <v>17892</v>
      </c>
      <c r="B8345" s="9" t="s">
        <v>17893</v>
      </c>
      <c r="C8345" s="9" t="s">
        <v>17</v>
      </c>
      <c r="D8345" s="9" t="s">
        <v>18</v>
      </c>
      <c r="E8345" s="10" t="s">
        <v>1337</v>
      </c>
      <c r="F8345" s="9" t="s">
        <v>1338</v>
      </c>
      <c r="G8345" s="10" t="s">
        <v>34</v>
      </c>
      <c r="H8345" s="9" t="s">
        <v>22</v>
      </c>
      <c r="I8345" s="9" t="s">
        <v>17834</v>
      </c>
      <c r="J8345" s="10" t="str">
        <f>HYPERLINK("https://www.boe.es/gazeta/dias/1834/01/02/pdfs/GMD-1834-1.pdf#page=1","Abrir facsímil")</f>
        <v>Abrir facsímil</v>
      </c>
      <c r="K8345" s="10" t="s">
        <v>24</v>
      </c>
    </row>
    <row r="8346" spans="1:11" ht="54" customHeight="1">
      <c r="A8346" s="9" t="s">
        <v>17892</v>
      </c>
      <c r="B8346" s="9" t="s">
        <v>17893</v>
      </c>
      <c r="C8346" s="9" t="s">
        <v>17</v>
      </c>
      <c r="D8346" s="9" t="s">
        <v>18</v>
      </c>
      <c r="E8346" s="10" t="s">
        <v>813</v>
      </c>
      <c r="F8346" s="9" t="s">
        <v>16756</v>
      </c>
      <c r="G8346" s="10" t="s">
        <v>34</v>
      </c>
      <c r="H8346" s="9" t="s">
        <v>22</v>
      </c>
      <c r="I8346" s="9" t="s">
        <v>17894</v>
      </c>
      <c r="J8346" s="10" t="str">
        <f>HYPERLINK("https://www.boe.es/gazeta/dias/1834/08/08/pdfs/GMD-C-1834-173.pdf#page=1","Abrir facsímil")</f>
        <v>Abrir facsímil</v>
      </c>
      <c r="K8346" s="10" t="s">
        <v>24</v>
      </c>
    </row>
    <row r="8347" spans="1:11" ht="54" customHeight="1">
      <c r="A8347" s="9" t="s">
        <v>17892</v>
      </c>
      <c r="B8347" s="9" t="s">
        <v>17893</v>
      </c>
      <c r="C8347" s="9" t="s">
        <v>90</v>
      </c>
      <c r="D8347" s="9" t="s">
        <v>18</v>
      </c>
      <c r="E8347" s="10" t="s">
        <v>956</v>
      </c>
      <c r="F8347" s="9" t="s">
        <v>957</v>
      </c>
      <c r="G8347" s="10" t="s">
        <v>34</v>
      </c>
      <c r="H8347" s="9" t="s">
        <v>22</v>
      </c>
      <c r="I8347" s="9" t="s">
        <v>17895</v>
      </c>
      <c r="J8347" s="10" t="str">
        <f>HYPERLINK("https://www.boe.es/gazeta/dias/1834/08/10/pdfs/GMD-C-1834-175.pdf#page=1","Abrir facsímil")</f>
        <v>Abrir facsímil</v>
      </c>
      <c r="K8347" s="10" t="s">
        <v>24</v>
      </c>
    </row>
    <row r="8348" spans="1:11" ht="54" customHeight="1">
      <c r="A8348" s="9" t="s">
        <v>17892</v>
      </c>
      <c r="B8348" s="9" t="s">
        <v>17893</v>
      </c>
      <c r="C8348" s="9" t="s">
        <v>122</v>
      </c>
      <c r="D8348" s="9" t="s">
        <v>101</v>
      </c>
      <c r="E8348" s="10" t="s">
        <v>123</v>
      </c>
      <c r="F8348" s="9" t="s">
        <v>124</v>
      </c>
      <c r="G8348" s="10" t="s">
        <v>21</v>
      </c>
      <c r="H8348" s="9" t="s">
        <v>22</v>
      </c>
      <c r="I8348" s="9" t="s">
        <v>17896</v>
      </c>
      <c r="J8348" s="10" t="str">
        <f>HYPERLINK("https://www.boe.es/gazeta/dias/1834/07/11/pdfs/GMD-1834-144.pdf#page=3","Abrir facsímil")</f>
        <v>Abrir facsímil</v>
      </c>
      <c r="K8348" s="10" t="s">
        <v>24</v>
      </c>
    </row>
    <row r="8349" spans="1:11" ht="54" customHeight="1">
      <c r="A8349" s="9" t="s">
        <v>17892</v>
      </c>
      <c r="B8349" s="9" t="s">
        <v>17893</v>
      </c>
      <c r="C8349" s="9" t="s">
        <v>90</v>
      </c>
      <c r="D8349" s="9" t="s">
        <v>18</v>
      </c>
      <c r="E8349" s="10" t="s">
        <v>5574</v>
      </c>
      <c r="F8349" s="9" t="s">
        <v>5575</v>
      </c>
      <c r="G8349" s="10" t="s">
        <v>34</v>
      </c>
      <c r="H8349" s="9" t="s">
        <v>22</v>
      </c>
      <c r="I8349" s="9" t="s">
        <v>17897</v>
      </c>
      <c r="J8349" s="10" t="str">
        <f>HYPERLINK("https://www.boe.es/gazeta/dias/1834/06/16/pdfs/GMD-1834-119.pdf#page=1","Abrir facsímil")</f>
        <v>Abrir facsímil</v>
      </c>
      <c r="K8349" s="10" t="s">
        <v>24</v>
      </c>
    </row>
    <row r="8350" spans="1:11" ht="54" customHeight="1">
      <c r="A8350" s="9" t="s">
        <v>17898</v>
      </c>
      <c r="B8350" s="9" t="s">
        <v>17899</v>
      </c>
      <c r="C8350" s="9" t="s">
        <v>17</v>
      </c>
      <c r="D8350" s="9" t="s">
        <v>18</v>
      </c>
      <c r="E8350" s="10" t="s">
        <v>1572</v>
      </c>
      <c r="F8350" s="9" t="s">
        <v>1573</v>
      </c>
      <c r="G8350" s="10" t="s">
        <v>28</v>
      </c>
      <c r="H8350" s="9" t="s">
        <v>22</v>
      </c>
      <c r="I8350" s="9" t="s">
        <v>17900</v>
      </c>
      <c r="J8350" s="10" t="str">
        <f>HYPERLINK("https://www.boe.es/gazeta/dias/1834/03/20/pdfs/GMD-1834-35.pdf#page=5","Abrir facsímil")</f>
        <v>Abrir facsímil</v>
      </c>
      <c r="K8350" s="10" t="s">
        <v>24</v>
      </c>
    </row>
    <row r="8351" spans="1:11" ht="54" customHeight="1">
      <c r="A8351" s="9" t="s">
        <v>17901</v>
      </c>
      <c r="B8351" s="9" t="s">
        <v>17902</v>
      </c>
      <c r="C8351" s="9" t="s">
        <v>17</v>
      </c>
      <c r="D8351" s="9" t="s">
        <v>18</v>
      </c>
      <c r="E8351" s="10" t="s">
        <v>19</v>
      </c>
      <c r="F8351" s="9" t="s">
        <v>107</v>
      </c>
      <c r="G8351" s="10" t="s">
        <v>21</v>
      </c>
      <c r="H8351" s="9" t="s">
        <v>22</v>
      </c>
      <c r="I8351" s="9" t="s">
        <v>17903</v>
      </c>
      <c r="J8351" s="10" t="str">
        <f>HYPERLINK("https://www.boe.es/gazeta/dias/1834/08/17/pdfs/GMD-1834-182.pdf#page=3","Abrir facsímil")</f>
        <v>Abrir facsímil</v>
      </c>
      <c r="K8351" s="10" t="s">
        <v>24</v>
      </c>
    </row>
    <row r="8352" spans="1:11" ht="54" customHeight="1">
      <c r="A8352" s="9" t="s">
        <v>17904</v>
      </c>
      <c r="B8352" s="9" t="s">
        <v>17905</v>
      </c>
      <c r="C8352" s="9" t="s">
        <v>17</v>
      </c>
      <c r="D8352" s="9" t="s">
        <v>55</v>
      </c>
      <c r="E8352" s="10" t="s">
        <v>939</v>
      </c>
      <c r="F8352" s="9" t="s">
        <v>940</v>
      </c>
      <c r="G8352" s="10" t="s">
        <v>34</v>
      </c>
      <c r="H8352" s="9" t="s">
        <v>22</v>
      </c>
      <c r="I8352" s="9" t="s">
        <v>17906</v>
      </c>
      <c r="J8352" s="10" t="str">
        <f>HYPERLINK("https://www.boe.es/gazeta/dias/1834/06/10/pdfs/GMD-1834-113.pdf#page=1","Abrir facsímil")</f>
        <v>Abrir facsímil</v>
      </c>
      <c r="K8352" s="10" t="s">
        <v>24</v>
      </c>
    </row>
    <row r="8353" spans="1:11" ht="54" customHeight="1">
      <c r="A8353" s="9" t="s">
        <v>17907</v>
      </c>
      <c r="B8353" s="9" t="s">
        <v>17908</v>
      </c>
      <c r="C8353" s="9" t="s">
        <v>17</v>
      </c>
      <c r="D8353" s="9" t="s">
        <v>18</v>
      </c>
      <c r="E8353" s="10" t="s">
        <v>1402</v>
      </c>
      <c r="F8353" s="9" t="s">
        <v>1403</v>
      </c>
      <c r="G8353" s="10" t="s">
        <v>75</v>
      </c>
      <c r="H8353" s="9" t="s">
        <v>22</v>
      </c>
      <c r="I8353" s="9" t="s">
        <v>17909</v>
      </c>
      <c r="J8353" s="10" t="str">
        <f>HYPERLINK("https://www.boe.es/gazeta/dias/1834/05/05/pdfs/GMD-1834-74.pdf#page=4","Abrir facsímil")</f>
        <v>Abrir facsímil</v>
      </c>
      <c r="K8353" s="10" t="s">
        <v>24</v>
      </c>
    </row>
    <row r="8354" spans="1:11" ht="54" customHeight="1">
      <c r="A8354" s="9" t="s">
        <v>17907</v>
      </c>
      <c r="B8354" s="9" t="s">
        <v>17908</v>
      </c>
      <c r="C8354" s="9" t="s">
        <v>17</v>
      </c>
      <c r="D8354" s="9" t="s">
        <v>18</v>
      </c>
      <c r="E8354" s="10" t="s">
        <v>1505</v>
      </c>
      <c r="F8354" s="9" t="s">
        <v>1506</v>
      </c>
      <c r="G8354" s="10" t="s">
        <v>75</v>
      </c>
      <c r="H8354" s="9" t="s">
        <v>22</v>
      </c>
      <c r="I8354" s="9" t="s">
        <v>17910</v>
      </c>
      <c r="J8354" s="10" t="str">
        <f>HYPERLINK("https://www.boe.es/gazeta/dias/1834/05/08/pdfs/GMD-1834-77.pdf#page=4","Abrir facsímil")</f>
        <v>Abrir facsímil</v>
      </c>
      <c r="K8354" s="10" t="s">
        <v>24</v>
      </c>
    </row>
    <row r="8355" spans="1:11" ht="54" customHeight="1">
      <c r="A8355" s="9" t="s">
        <v>17911</v>
      </c>
      <c r="B8355" s="9" t="s">
        <v>17912</v>
      </c>
      <c r="C8355" s="9" t="s">
        <v>46</v>
      </c>
      <c r="D8355" s="9" t="s">
        <v>18</v>
      </c>
      <c r="E8355" s="10" t="s">
        <v>1695</v>
      </c>
      <c r="F8355" s="9" t="s">
        <v>1696</v>
      </c>
      <c r="G8355" s="10" t="s">
        <v>75</v>
      </c>
      <c r="H8355" s="9" t="s">
        <v>22</v>
      </c>
      <c r="I8355" s="9" t="s">
        <v>17913</v>
      </c>
      <c r="J8355" s="10" t="str">
        <f>HYPERLINK("https://www.boe.es/gazeta/dias/1834/06/30/pdfs/GMD-1834-133.pdf#page=4","Abrir facsímil")</f>
        <v>Abrir facsímil</v>
      </c>
      <c r="K8355" s="10" t="s">
        <v>24</v>
      </c>
    </row>
    <row r="8356" spans="1:11" ht="54" customHeight="1">
      <c r="A8356" s="9" t="s">
        <v>17914</v>
      </c>
      <c r="B8356" s="9" t="s">
        <v>17915</v>
      </c>
      <c r="C8356" s="9" t="s">
        <v>17</v>
      </c>
      <c r="D8356" s="9" t="s">
        <v>18</v>
      </c>
      <c r="E8356" s="10" t="s">
        <v>1410</v>
      </c>
      <c r="F8356" s="9" t="s">
        <v>2231</v>
      </c>
      <c r="G8356" s="10" t="s">
        <v>28</v>
      </c>
      <c r="H8356" s="9" t="s">
        <v>22</v>
      </c>
      <c r="I8356" s="9" t="s">
        <v>17916</v>
      </c>
      <c r="J8356" s="10" t="str">
        <f>HYPERLINK("https://www.boe.es/gazeta/dias/1834/09/09/pdfs/GMD-C-1834-207.pdf#page=5","Abrir facsímil")</f>
        <v>Abrir facsímil</v>
      </c>
      <c r="K8356" s="10" t="s">
        <v>24</v>
      </c>
    </row>
    <row r="8357" spans="1:11" ht="54" customHeight="1">
      <c r="A8357" s="9" t="s">
        <v>17917</v>
      </c>
      <c r="B8357" s="9" t="s">
        <v>17918</v>
      </c>
      <c r="C8357" s="9" t="s">
        <v>122</v>
      </c>
      <c r="D8357" s="9" t="s">
        <v>18</v>
      </c>
      <c r="E8357" s="10" t="s">
        <v>2142</v>
      </c>
      <c r="F8357" s="9" t="s">
        <v>2316</v>
      </c>
      <c r="G8357" s="10" t="s">
        <v>34</v>
      </c>
      <c r="H8357" s="9" t="s">
        <v>22</v>
      </c>
      <c r="I8357" s="9" t="s">
        <v>17919</v>
      </c>
      <c r="J8357" s="10" t="str">
        <f>HYPERLINK("https://www.boe.es/gazeta/dias/1834/12/27/pdfs/GMD-C-1834-317.pdf#page=1","Abrir facsímil")</f>
        <v>Abrir facsímil</v>
      </c>
      <c r="K8357" s="10" t="s">
        <v>24</v>
      </c>
    </row>
    <row r="8358" spans="1:11" ht="54" customHeight="1">
      <c r="A8358" s="9" t="s">
        <v>17920</v>
      </c>
      <c r="B8358" s="9" t="s">
        <v>17921</v>
      </c>
      <c r="C8358" s="9" t="s">
        <v>90</v>
      </c>
      <c r="D8358" s="9" t="s">
        <v>18</v>
      </c>
      <c r="E8358" s="10" t="s">
        <v>863</v>
      </c>
      <c r="F8358" s="9" t="s">
        <v>864</v>
      </c>
      <c r="G8358" s="10" t="s">
        <v>86</v>
      </c>
      <c r="H8358" s="9" t="s">
        <v>22</v>
      </c>
      <c r="I8358" s="9" t="s">
        <v>17922</v>
      </c>
      <c r="J8358" s="10" t="str">
        <f>HYPERLINK("https://www.boe.es/gazeta/dias/1834/09/15/pdfs/GMD-1834-213.pdf#page=2","Abrir facsímil")</f>
        <v>Abrir facsímil</v>
      </c>
      <c r="K8358" s="10" t="s">
        <v>24</v>
      </c>
    </row>
    <row r="8359" spans="1:11" ht="54" customHeight="1">
      <c r="A8359" s="9" t="s">
        <v>17923</v>
      </c>
      <c r="B8359" s="9" t="s">
        <v>17924</v>
      </c>
      <c r="C8359" s="9" t="s">
        <v>857</v>
      </c>
      <c r="D8359" s="9" t="s">
        <v>101</v>
      </c>
      <c r="E8359" s="10" t="s">
        <v>696</v>
      </c>
      <c r="F8359" s="9" t="s">
        <v>854</v>
      </c>
      <c r="G8359" s="10" t="s">
        <v>75</v>
      </c>
      <c r="H8359" s="9" t="s">
        <v>22</v>
      </c>
      <c r="I8359" s="9" t="s">
        <v>17925</v>
      </c>
      <c r="J8359" s="10" t="str">
        <f>HYPERLINK("https://www.boe.es/gazeta/dias/1834/12/06/pdfs/GMD-1834-295.pdf#page=4","Abrir facsímil")</f>
        <v>Abrir facsímil</v>
      </c>
      <c r="K8359" s="10" t="s">
        <v>24</v>
      </c>
    </row>
    <row r="8360" spans="1:11" ht="54" customHeight="1">
      <c r="A8360" s="9" t="s">
        <v>17926</v>
      </c>
      <c r="B8360" s="9" t="s">
        <v>17927</v>
      </c>
      <c r="C8360" s="9" t="s">
        <v>66</v>
      </c>
      <c r="D8360" s="9" t="s">
        <v>67</v>
      </c>
      <c r="E8360" s="10" t="s">
        <v>1402</v>
      </c>
      <c r="F8360" s="9" t="s">
        <v>1403</v>
      </c>
      <c r="G8360" s="10" t="s">
        <v>75</v>
      </c>
      <c r="H8360" s="9" t="s">
        <v>22</v>
      </c>
      <c r="I8360" s="9" t="s">
        <v>17928</v>
      </c>
      <c r="J8360" s="10" t="str">
        <f>HYPERLINK("https://www.boe.es/gazeta/dias/1834/05/05/pdfs/GMD-1834-74.pdf#page=4","Abrir facsímil")</f>
        <v>Abrir facsímil</v>
      </c>
      <c r="K8360" s="10" t="s">
        <v>24</v>
      </c>
    </row>
    <row r="8361" spans="1:11" ht="54" customHeight="1">
      <c r="A8361" s="9" t="s">
        <v>17929</v>
      </c>
      <c r="B8361" s="9" t="s">
        <v>17929</v>
      </c>
      <c r="C8361" s="9" t="s">
        <v>17</v>
      </c>
      <c r="D8361" s="9" t="s">
        <v>18</v>
      </c>
      <c r="E8361" s="10" t="s">
        <v>153</v>
      </c>
      <c r="F8361" s="9" t="s">
        <v>154</v>
      </c>
      <c r="G8361" s="10" t="s">
        <v>21</v>
      </c>
      <c r="H8361" s="9" t="s">
        <v>22</v>
      </c>
      <c r="I8361" s="9" t="s">
        <v>17930</v>
      </c>
      <c r="J8361" s="10" t="str">
        <f>HYPERLINK("https://www.boe.es/gazeta/dias/1834/12/30/pdfs/GMD-C-1834-320.pdf#page=3","Abrir facsímil")</f>
        <v>Abrir facsímil</v>
      </c>
      <c r="K8361" s="10" t="s">
        <v>24</v>
      </c>
    </row>
    <row r="8362" spans="1:11" ht="54" customHeight="1">
      <c r="A8362" s="9" t="s">
        <v>17931</v>
      </c>
      <c r="B8362" s="9" t="s">
        <v>17931</v>
      </c>
      <c r="C8362" s="9" t="s">
        <v>17</v>
      </c>
      <c r="D8362" s="9" t="s">
        <v>18</v>
      </c>
      <c r="E8362" s="10" t="s">
        <v>273</v>
      </c>
      <c r="F8362" s="9" t="s">
        <v>274</v>
      </c>
      <c r="G8362" s="10" t="s">
        <v>176</v>
      </c>
      <c r="H8362" s="9" t="s">
        <v>22</v>
      </c>
      <c r="I8362" s="9" t="s">
        <v>17932</v>
      </c>
      <c r="J8362" s="10" t="str">
        <f>HYPERLINK("https://www.boe.es/gazeta/dias/1834/08/31/pdfs/GMD-D-1834-198.pdf#page=6","Abrir facsímil")</f>
        <v>Abrir facsímil</v>
      </c>
      <c r="K8362" s="10" t="s">
        <v>24</v>
      </c>
    </row>
    <row r="8363" spans="1:11" ht="54" customHeight="1">
      <c r="A8363" s="9" t="s">
        <v>17933</v>
      </c>
      <c r="B8363" s="9" t="s">
        <v>17933</v>
      </c>
      <c r="C8363" s="9" t="s">
        <v>66</v>
      </c>
      <c r="D8363" s="9" t="s">
        <v>67</v>
      </c>
      <c r="E8363" s="10" t="s">
        <v>1337</v>
      </c>
      <c r="F8363" s="9" t="s">
        <v>1338</v>
      </c>
      <c r="G8363" s="10" t="s">
        <v>86</v>
      </c>
      <c r="H8363" s="9" t="s">
        <v>22</v>
      </c>
      <c r="I8363" s="9" t="s">
        <v>17934</v>
      </c>
      <c r="J8363" s="10" t="str">
        <f>HYPERLINK("https://www.boe.es/gazeta/dias/1834/01/02/pdfs/GMD-1834-1.pdf#page=2","Abrir facsímil")</f>
        <v>Abrir facsímil</v>
      </c>
      <c r="K8363" s="10" t="s">
        <v>24</v>
      </c>
    </row>
    <row r="8364" spans="1:11" ht="54" customHeight="1">
      <c r="A8364" s="9" t="s">
        <v>17933</v>
      </c>
      <c r="B8364" s="9" t="s">
        <v>17933</v>
      </c>
      <c r="C8364" s="9" t="s">
        <v>17</v>
      </c>
      <c r="D8364" s="9" t="s">
        <v>18</v>
      </c>
      <c r="E8364" s="10" t="s">
        <v>339</v>
      </c>
      <c r="F8364" s="9" t="s">
        <v>340</v>
      </c>
      <c r="G8364" s="10" t="s">
        <v>75</v>
      </c>
      <c r="H8364" s="9" t="s">
        <v>22</v>
      </c>
      <c r="I8364" s="9" t="s">
        <v>17935</v>
      </c>
      <c r="J8364" s="10" t="str">
        <f>HYPERLINK("https://www.boe.es/gazeta/dias/1834/05/02/pdfs/GMD-1834-71.pdf#page=4","Abrir facsímil")</f>
        <v>Abrir facsímil</v>
      </c>
      <c r="K8364" s="10" t="s">
        <v>24</v>
      </c>
    </row>
    <row r="8365" spans="1:11" ht="54" customHeight="1">
      <c r="A8365" s="9" t="s">
        <v>17933</v>
      </c>
      <c r="B8365" s="9" t="s">
        <v>17933</v>
      </c>
      <c r="C8365" s="9" t="s">
        <v>17</v>
      </c>
      <c r="D8365" s="9" t="s">
        <v>18</v>
      </c>
      <c r="E8365" s="10" t="s">
        <v>1438</v>
      </c>
      <c r="F8365" s="9" t="s">
        <v>1439</v>
      </c>
      <c r="G8365" s="10" t="s">
        <v>75</v>
      </c>
      <c r="H8365" s="9" t="s">
        <v>22</v>
      </c>
      <c r="I8365" s="9" t="s">
        <v>17936</v>
      </c>
      <c r="J8365" s="10" t="str">
        <f>HYPERLINK("https://www.boe.es/gazeta/dias/1834/05/13/pdfs/GMD-1834-82.pdf#page=4","Abrir facsímil")</f>
        <v>Abrir facsímil</v>
      </c>
      <c r="K8365" s="10" t="s">
        <v>24</v>
      </c>
    </row>
    <row r="8366" spans="1:11" ht="54" customHeight="1">
      <c r="A8366" s="9" t="s">
        <v>17933</v>
      </c>
      <c r="B8366" s="9" t="s">
        <v>17933</v>
      </c>
      <c r="C8366" s="9" t="s">
        <v>17</v>
      </c>
      <c r="D8366" s="9" t="s">
        <v>18</v>
      </c>
      <c r="E8366" s="10" t="s">
        <v>1125</v>
      </c>
      <c r="F8366" s="9" t="s">
        <v>2490</v>
      </c>
      <c r="G8366" s="10" t="s">
        <v>470</v>
      </c>
      <c r="H8366" s="9" t="s">
        <v>22</v>
      </c>
      <c r="I8366" s="9" t="s">
        <v>17937</v>
      </c>
      <c r="J8366" s="10" t="str">
        <f>HYPERLINK("https://www.boe.es/gazeta/dias/1834/04/17/pdfs/GMD-1834-56.pdf#page=8","Abrir facsímil")</f>
        <v>Abrir facsímil</v>
      </c>
      <c r="K8366" s="10" t="s">
        <v>24</v>
      </c>
    </row>
    <row r="8367" spans="1:11" ht="54" customHeight="1">
      <c r="A8367" s="9" t="s">
        <v>17933</v>
      </c>
      <c r="B8367" s="9" t="s">
        <v>17933</v>
      </c>
      <c r="C8367" s="9" t="s">
        <v>66</v>
      </c>
      <c r="D8367" s="9" t="s">
        <v>18</v>
      </c>
      <c r="E8367" s="10" t="s">
        <v>138</v>
      </c>
      <c r="F8367" s="9" t="s">
        <v>139</v>
      </c>
      <c r="G8367" s="10" t="s">
        <v>75</v>
      </c>
      <c r="H8367" s="9" t="s">
        <v>22</v>
      </c>
      <c r="I8367" s="9" t="s">
        <v>17938</v>
      </c>
      <c r="J8367" s="10" t="str">
        <f>HYPERLINK("https://www.boe.es/gazeta/dias/1834/05/17/pdfs/GMD-1834-86.pdf#page=4","Abrir facsímil")</f>
        <v>Abrir facsímil</v>
      </c>
      <c r="K8367" s="10" t="s">
        <v>24</v>
      </c>
    </row>
    <row r="8368" spans="1:11" ht="54" customHeight="1">
      <c r="A8368" s="9" t="s">
        <v>17933</v>
      </c>
      <c r="B8368" s="9" t="s">
        <v>17933</v>
      </c>
      <c r="C8368" s="9" t="s">
        <v>17</v>
      </c>
      <c r="D8368" s="9" t="s">
        <v>18</v>
      </c>
      <c r="E8368" s="10" t="s">
        <v>753</v>
      </c>
      <c r="F8368" s="9" t="s">
        <v>754</v>
      </c>
      <c r="G8368" s="10" t="s">
        <v>176</v>
      </c>
      <c r="H8368" s="9" t="s">
        <v>22</v>
      </c>
      <c r="I8368" s="9" t="s">
        <v>17939</v>
      </c>
      <c r="J8368" s="10" t="str">
        <f>HYPERLINK("https://www.boe.es/gazeta/dias/1834/04/21/pdfs/GMD-1834-60.pdf#page=6","Abrir facsímil")</f>
        <v>Abrir facsímil</v>
      </c>
      <c r="K8368" s="10" t="s">
        <v>24</v>
      </c>
    </row>
    <row r="8369" spans="1:11" ht="54" customHeight="1">
      <c r="A8369" s="9" t="s">
        <v>17933</v>
      </c>
      <c r="B8369" s="9" t="s">
        <v>17933</v>
      </c>
      <c r="C8369" s="9" t="s">
        <v>17</v>
      </c>
      <c r="D8369" s="9" t="s">
        <v>18</v>
      </c>
      <c r="E8369" s="10" t="s">
        <v>833</v>
      </c>
      <c r="F8369" s="9" t="s">
        <v>834</v>
      </c>
      <c r="G8369" s="10" t="s">
        <v>75</v>
      </c>
      <c r="H8369" s="9" t="s">
        <v>22</v>
      </c>
      <c r="I8369" s="9" t="s">
        <v>17940</v>
      </c>
      <c r="J8369" s="10" t="str">
        <f>HYPERLINK("https://www.boe.es/gazeta/dias/1834/04/24/pdfs/GMD-1834-63.pdf#page=4","Abrir facsímil")</f>
        <v>Abrir facsímil</v>
      </c>
      <c r="K8369" s="10" t="s">
        <v>24</v>
      </c>
    </row>
    <row r="8370" spans="1:11" ht="54" customHeight="1">
      <c r="A8370" s="9" t="s">
        <v>17933</v>
      </c>
      <c r="B8370" s="9" t="s">
        <v>17933</v>
      </c>
      <c r="C8370" s="9" t="s">
        <v>66</v>
      </c>
      <c r="D8370" s="9" t="s">
        <v>67</v>
      </c>
      <c r="E8370" s="10" t="s">
        <v>1773</v>
      </c>
      <c r="F8370" s="9" t="s">
        <v>1774</v>
      </c>
      <c r="G8370" s="10" t="s">
        <v>21</v>
      </c>
      <c r="H8370" s="9" t="s">
        <v>22</v>
      </c>
      <c r="I8370" s="9" t="s">
        <v>17941</v>
      </c>
      <c r="J8370" s="10" t="str">
        <f>HYPERLINK("https://www.boe.es/gazeta/dias/1834/06/28/pdfs/GMD-1834-131.pdf#page=3","Abrir facsímil")</f>
        <v>Abrir facsímil</v>
      </c>
      <c r="K8370" s="10" t="s">
        <v>24</v>
      </c>
    </row>
    <row r="8371" spans="1:11" ht="54" customHeight="1">
      <c r="A8371" s="9" t="s">
        <v>17933</v>
      </c>
      <c r="B8371" s="9" t="s">
        <v>17933</v>
      </c>
      <c r="C8371" s="9" t="s">
        <v>17</v>
      </c>
      <c r="D8371" s="9" t="s">
        <v>18</v>
      </c>
      <c r="E8371" s="10" t="s">
        <v>719</v>
      </c>
      <c r="F8371" s="9" t="s">
        <v>720</v>
      </c>
      <c r="G8371" s="10" t="s">
        <v>75</v>
      </c>
      <c r="H8371" s="9" t="s">
        <v>22</v>
      </c>
      <c r="I8371" s="9" t="s">
        <v>17942</v>
      </c>
      <c r="J8371" s="10" t="str">
        <f>HYPERLINK("https://www.boe.es/gazeta/dias/1834/04/29/pdfs/GMD-1834-68.pdf#page=4","Abrir facsímil")</f>
        <v>Abrir facsímil</v>
      </c>
      <c r="K8371" s="10" t="s">
        <v>24</v>
      </c>
    </row>
    <row r="8372" spans="1:11" ht="54" customHeight="1">
      <c r="A8372" s="9" t="s">
        <v>17933</v>
      </c>
      <c r="B8372" s="9" t="s">
        <v>17933</v>
      </c>
      <c r="C8372" s="9" t="s">
        <v>17</v>
      </c>
      <c r="D8372" s="9" t="s">
        <v>18</v>
      </c>
      <c r="E8372" s="10" t="s">
        <v>552</v>
      </c>
      <c r="F8372" s="9" t="s">
        <v>1478</v>
      </c>
      <c r="G8372" s="10" t="s">
        <v>34</v>
      </c>
      <c r="H8372" s="9" t="s">
        <v>22</v>
      </c>
      <c r="I8372" s="9" t="s">
        <v>17943</v>
      </c>
      <c r="J8372" s="10" t="str">
        <f>HYPERLINK("https://www.boe.es/gazeta/dias/1834/07/30/pdfs/GMD-C-1834-163.pdf#page=1","Abrir facsímil")</f>
        <v>Abrir facsímil</v>
      </c>
      <c r="K8372" s="10" t="s">
        <v>24</v>
      </c>
    </row>
    <row r="8373" spans="1:11" ht="54" customHeight="1">
      <c r="A8373" s="9" t="s">
        <v>17933</v>
      </c>
      <c r="B8373" s="9" t="s">
        <v>17933</v>
      </c>
      <c r="C8373" s="9" t="s">
        <v>17</v>
      </c>
      <c r="D8373" s="9" t="s">
        <v>18</v>
      </c>
      <c r="E8373" s="10" t="s">
        <v>891</v>
      </c>
      <c r="F8373" s="9" t="s">
        <v>892</v>
      </c>
      <c r="G8373" s="10" t="s">
        <v>176</v>
      </c>
      <c r="H8373" s="9" t="s">
        <v>22</v>
      </c>
      <c r="I8373" s="9" t="s">
        <v>17944</v>
      </c>
      <c r="J8373" s="10" t="str">
        <f>HYPERLINK("https://www.boe.es/gazeta/dias/1834/10/31/pdfs/GMD-C-1834-259.pdf#page=6","Abrir facsímil")</f>
        <v>Abrir facsímil</v>
      </c>
      <c r="K8373" s="10" t="s">
        <v>24</v>
      </c>
    </row>
    <row r="8374" spans="1:11" ht="54" customHeight="1">
      <c r="A8374" s="9" t="s">
        <v>17945</v>
      </c>
      <c r="B8374" s="9" t="s">
        <v>17946</v>
      </c>
      <c r="C8374" s="9" t="s">
        <v>17</v>
      </c>
      <c r="D8374" s="9" t="s">
        <v>18</v>
      </c>
      <c r="E8374" s="10" t="s">
        <v>1084</v>
      </c>
      <c r="F8374" s="9" t="s">
        <v>1085</v>
      </c>
      <c r="G8374" s="10" t="s">
        <v>176</v>
      </c>
      <c r="H8374" s="9" t="s">
        <v>22</v>
      </c>
      <c r="I8374" s="9" t="s">
        <v>17947</v>
      </c>
      <c r="J8374" s="10" t="str">
        <f>HYPERLINK("https://www.boe.es/gazeta/dias/1834/05/01/pdfs/GMD-1834-70.pdf#page=6","Abrir facsímil")</f>
        <v>Abrir facsímil</v>
      </c>
      <c r="K8374" s="10" t="s">
        <v>24</v>
      </c>
    </row>
    <row r="8375" spans="1:11" ht="54" customHeight="1">
      <c r="A8375" s="9" t="s">
        <v>17948</v>
      </c>
      <c r="B8375" s="9" t="s">
        <v>17948</v>
      </c>
      <c r="C8375" s="9" t="s">
        <v>17</v>
      </c>
      <c r="D8375" s="9" t="s">
        <v>18</v>
      </c>
      <c r="E8375" s="10" t="s">
        <v>429</v>
      </c>
      <c r="F8375" s="9" t="s">
        <v>430</v>
      </c>
      <c r="G8375" s="10" t="s">
        <v>176</v>
      </c>
      <c r="H8375" s="9" t="s">
        <v>22</v>
      </c>
      <c r="I8375" s="9" t="s">
        <v>17949</v>
      </c>
      <c r="J8375" s="10" t="str">
        <f>HYPERLINK("https://www.boe.es/gazeta/dias/1834/08/07/pdfs/GMD-C-1834-172.pdf#page=6","Abrir facsímil")</f>
        <v>Abrir facsímil</v>
      </c>
      <c r="K8375" s="10" t="s">
        <v>24</v>
      </c>
    </row>
    <row r="8376" spans="1:11" ht="54" customHeight="1">
      <c r="A8376" s="9" t="s">
        <v>17950</v>
      </c>
      <c r="B8376" s="9" t="s">
        <v>17950</v>
      </c>
      <c r="C8376" s="9" t="s">
        <v>90</v>
      </c>
      <c r="D8376" s="9" t="s">
        <v>18</v>
      </c>
      <c r="E8376" s="10" t="s">
        <v>280</v>
      </c>
      <c r="F8376" s="9" t="s">
        <v>281</v>
      </c>
      <c r="G8376" s="10" t="s">
        <v>560</v>
      </c>
      <c r="H8376" s="9" t="s">
        <v>22</v>
      </c>
      <c r="I8376" s="9" t="s">
        <v>17951</v>
      </c>
      <c r="J8376" s="10" t="str">
        <f>HYPERLINK("https://www.boe.es/gazeta/dias/1834/08/29/pdfs/GMD-C-1834-195.pdf#page=7","Abrir facsímil")</f>
        <v>Abrir facsímil</v>
      </c>
      <c r="K8376" s="10" t="s">
        <v>24</v>
      </c>
    </row>
    <row r="8377" spans="1:11" ht="54" customHeight="1">
      <c r="A8377" s="9" t="s">
        <v>17952</v>
      </c>
      <c r="B8377" s="9" t="s">
        <v>17952</v>
      </c>
      <c r="C8377" s="9" t="s">
        <v>46</v>
      </c>
      <c r="D8377" s="9" t="s">
        <v>101</v>
      </c>
      <c r="E8377" s="10" t="s">
        <v>1410</v>
      </c>
      <c r="F8377" s="9" t="s">
        <v>2231</v>
      </c>
      <c r="G8377" s="10" t="s">
        <v>34</v>
      </c>
      <c r="H8377" s="9" t="s">
        <v>22</v>
      </c>
      <c r="I8377" s="9" t="s">
        <v>17953</v>
      </c>
      <c r="J8377" s="10" t="str">
        <f>HYPERLINK("https://www.boe.es/gazeta/dias/1834/09/09/pdfs/GMD-C-1834-207.pdf#page=1","Abrir facsímil")</f>
        <v>Abrir facsímil</v>
      </c>
      <c r="K8377" s="10" t="s">
        <v>24</v>
      </c>
    </row>
    <row r="8378" spans="1:11" ht="54" customHeight="1">
      <c r="A8378" s="9" t="s">
        <v>17954</v>
      </c>
      <c r="B8378" s="9" t="s">
        <v>17954</v>
      </c>
      <c r="C8378" s="9" t="s">
        <v>90</v>
      </c>
      <c r="D8378" s="9" t="s">
        <v>18</v>
      </c>
      <c r="E8378" s="10" t="s">
        <v>492</v>
      </c>
      <c r="F8378" s="9" t="s">
        <v>493</v>
      </c>
      <c r="G8378" s="10" t="s">
        <v>34</v>
      </c>
      <c r="H8378" s="9" t="s">
        <v>22</v>
      </c>
      <c r="I8378" s="9" t="s">
        <v>17955</v>
      </c>
      <c r="J8378" s="10" t="str">
        <f>HYPERLINK("https://www.boe.es/gazeta/dias/1834/11/21/pdfs/GMD-C-1834-280.pdf#page=1","Abrir facsímil")</f>
        <v>Abrir facsímil</v>
      </c>
      <c r="K8378" s="10" t="s">
        <v>24</v>
      </c>
    </row>
    <row r="8379" spans="1:11" ht="54" customHeight="1">
      <c r="A8379" s="9" t="s">
        <v>17956</v>
      </c>
      <c r="B8379" s="9" t="s">
        <v>17957</v>
      </c>
      <c r="C8379" s="9" t="s">
        <v>17</v>
      </c>
      <c r="D8379" s="9" t="s">
        <v>18</v>
      </c>
      <c r="E8379" s="10" t="s">
        <v>813</v>
      </c>
      <c r="F8379" s="9" t="s">
        <v>814</v>
      </c>
      <c r="G8379" s="10" t="s">
        <v>21</v>
      </c>
      <c r="H8379" s="9" t="s">
        <v>22</v>
      </c>
      <c r="I8379" s="9" t="s">
        <v>17958</v>
      </c>
      <c r="J8379" s="10" t="str">
        <f>HYPERLINK("https://www.boe.es/gazeta/dias/1834/08/08/pdfs/GMD-1834-173.pdf#page=3","Abrir facsímil")</f>
        <v>Abrir facsímil</v>
      </c>
      <c r="K8379" s="10" t="s">
        <v>24</v>
      </c>
    </row>
    <row r="8380" spans="1:11" ht="54" customHeight="1">
      <c r="A8380" s="9" t="s">
        <v>17959</v>
      </c>
      <c r="B8380" s="9" t="s">
        <v>17959</v>
      </c>
      <c r="C8380" s="9" t="s">
        <v>17</v>
      </c>
      <c r="D8380" s="9" t="s">
        <v>18</v>
      </c>
      <c r="E8380" s="10" t="s">
        <v>3306</v>
      </c>
      <c r="F8380" s="9" t="s">
        <v>3307</v>
      </c>
      <c r="G8380" s="10" t="s">
        <v>75</v>
      </c>
      <c r="H8380" s="9" t="s">
        <v>22</v>
      </c>
      <c r="I8380" s="9" t="s">
        <v>17960</v>
      </c>
      <c r="J8380" s="10" t="str">
        <f>HYPERLINK("https://www.boe.es/gazeta/dias/1834/05/07/pdfs/GMD-1834-76.pdf#page=4","Abrir facsímil")</f>
        <v>Abrir facsímil</v>
      </c>
      <c r="K8380" s="10" t="s">
        <v>24</v>
      </c>
    </row>
    <row r="8381" spans="1:11" ht="54" customHeight="1">
      <c r="A8381" s="9" t="s">
        <v>17961</v>
      </c>
      <c r="B8381" s="9" t="s">
        <v>17962</v>
      </c>
      <c r="C8381" s="9" t="s">
        <v>17</v>
      </c>
      <c r="D8381" s="9" t="s">
        <v>18</v>
      </c>
      <c r="E8381" s="10" t="s">
        <v>1017</v>
      </c>
      <c r="F8381" s="9" t="s">
        <v>1018</v>
      </c>
      <c r="G8381" s="10" t="s">
        <v>21</v>
      </c>
      <c r="H8381" s="9" t="s">
        <v>22</v>
      </c>
      <c r="I8381" s="9" t="s">
        <v>17963</v>
      </c>
      <c r="J8381" s="10" t="str">
        <f>HYPERLINK("https://www.boe.es/gazeta/dias/1834/07/24/pdfs/GMD-1834-157.pdf#page=3","Abrir facsímil")</f>
        <v>Abrir facsímil</v>
      </c>
      <c r="K8381" s="10" t="s">
        <v>24</v>
      </c>
    </row>
    <row r="8382" spans="1:11" ht="54" customHeight="1">
      <c r="A8382" s="9" t="s">
        <v>17964</v>
      </c>
      <c r="B8382" s="9" t="s">
        <v>17964</v>
      </c>
      <c r="C8382" s="9" t="s">
        <v>66</v>
      </c>
      <c r="D8382" s="9" t="s">
        <v>67</v>
      </c>
      <c r="E8382" s="10" t="s">
        <v>394</v>
      </c>
      <c r="F8382" s="9" t="s">
        <v>395</v>
      </c>
      <c r="G8382" s="10" t="s">
        <v>21</v>
      </c>
      <c r="H8382" s="9" t="s">
        <v>22</v>
      </c>
      <c r="I8382" s="9" t="s">
        <v>17965</v>
      </c>
      <c r="J8382" s="10" t="str">
        <f>HYPERLINK("https://www.boe.es/gazeta/dias/1834/12/23/pdfs/GMD-1834-313.pdf#page=3","Abrir facsímil")</f>
        <v>Abrir facsímil</v>
      </c>
      <c r="K8382" s="10" t="s">
        <v>24</v>
      </c>
    </row>
    <row r="8383" spans="1:11" ht="54" customHeight="1">
      <c r="A8383" s="9" t="s">
        <v>17964</v>
      </c>
      <c r="B8383" s="9" t="s">
        <v>17964</v>
      </c>
      <c r="C8383" s="9" t="s">
        <v>17</v>
      </c>
      <c r="D8383" s="9" t="s">
        <v>55</v>
      </c>
      <c r="E8383" s="10" t="s">
        <v>633</v>
      </c>
      <c r="F8383" s="9" t="s">
        <v>634</v>
      </c>
      <c r="G8383" s="10" t="s">
        <v>86</v>
      </c>
      <c r="H8383" s="9" t="s">
        <v>22</v>
      </c>
      <c r="I8383" s="9" t="s">
        <v>17966</v>
      </c>
      <c r="J8383" s="10" t="str">
        <f>HYPERLINK("https://www.boe.es/gazeta/dias/1834/10/24/pdfs/GMD-1834-252.pdf#page=2","Abrir facsímil")</f>
        <v>Abrir facsímil</v>
      </c>
      <c r="K8383" s="10" t="s">
        <v>24</v>
      </c>
    </row>
    <row r="8384" spans="1:11" ht="54" customHeight="1">
      <c r="A8384" s="9" t="s">
        <v>17967</v>
      </c>
      <c r="B8384" s="9" t="s">
        <v>17967</v>
      </c>
      <c r="C8384" s="9" t="s">
        <v>90</v>
      </c>
      <c r="D8384" s="9" t="s">
        <v>18</v>
      </c>
      <c r="E8384" s="10" t="s">
        <v>891</v>
      </c>
      <c r="F8384" s="9" t="s">
        <v>3608</v>
      </c>
      <c r="G8384" s="10" t="s">
        <v>34</v>
      </c>
      <c r="H8384" s="9" t="s">
        <v>22</v>
      </c>
      <c r="I8384" s="9" t="s">
        <v>17968</v>
      </c>
      <c r="J8384" s="10" t="str">
        <f>HYPERLINK("https://www.boe.es/gazeta/dias/1834/10/31/pdfs/GMD-1834-259.pdf#page=1","Abrir facsímil")</f>
        <v>Abrir facsímil</v>
      </c>
      <c r="K8384" s="10" t="s">
        <v>24</v>
      </c>
    </row>
    <row r="8385" spans="1:11" ht="54" customHeight="1">
      <c r="A8385" s="9" t="s">
        <v>17969</v>
      </c>
      <c r="B8385" s="9" t="s">
        <v>17970</v>
      </c>
      <c r="C8385" s="9" t="s">
        <v>90</v>
      </c>
      <c r="D8385" s="9" t="s">
        <v>101</v>
      </c>
      <c r="E8385" s="10" t="s">
        <v>294</v>
      </c>
      <c r="F8385" s="9" t="s">
        <v>295</v>
      </c>
      <c r="G8385" s="10" t="s">
        <v>34</v>
      </c>
      <c r="H8385" s="9" t="s">
        <v>22</v>
      </c>
      <c r="I8385" s="9" t="s">
        <v>17971</v>
      </c>
      <c r="J8385" s="10" t="str">
        <f>HYPERLINK("https://www.boe.es/gazeta/dias/1834/09/27/pdfs/GMD-1834-225.pdf#page=1","Abrir facsímil")</f>
        <v>Abrir facsímil</v>
      </c>
      <c r="K8385" s="10" t="s">
        <v>24</v>
      </c>
    </row>
    <row r="8386" spans="1:11" ht="54" customHeight="1">
      <c r="A8386" s="9" t="s">
        <v>17972</v>
      </c>
      <c r="B8386" s="9" t="s">
        <v>17973</v>
      </c>
      <c r="C8386" s="9" t="s">
        <v>17</v>
      </c>
      <c r="D8386" s="9" t="s">
        <v>18</v>
      </c>
      <c r="E8386" s="10" t="s">
        <v>1812</v>
      </c>
      <c r="F8386" s="9" t="s">
        <v>1813</v>
      </c>
      <c r="G8386" s="10" t="s">
        <v>21</v>
      </c>
      <c r="H8386" s="9" t="s">
        <v>22</v>
      </c>
      <c r="I8386" s="9" t="s">
        <v>17974</v>
      </c>
      <c r="J8386" s="10" t="str">
        <f>HYPERLINK("https://www.boe.es/gazeta/dias/1834/10/23/pdfs/GMD-1834-251.pdf#page=3","Abrir facsímil")</f>
        <v>Abrir facsímil</v>
      </c>
      <c r="K8386" s="10" t="s">
        <v>24</v>
      </c>
    </row>
    <row r="8387" spans="1:11" ht="54" customHeight="1">
      <c r="A8387" s="9" t="s">
        <v>17975</v>
      </c>
      <c r="B8387" s="9" t="s">
        <v>17975</v>
      </c>
      <c r="C8387" s="9" t="s">
        <v>17</v>
      </c>
      <c r="D8387" s="9" t="s">
        <v>55</v>
      </c>
      <c r="E8387" s="10" t="s">
        <v>1351</v>
      </c>
      <c r="F8387" s="9" t="s">
        <v>1352</v>
      </c>
      <c r="G8387" s="10" t="s">
        <v>21</v>
      </c>
      <c r="H8387" s="9" t="s">
        <v>22</v>
      </c>
      <c r="I8387" s="9" t="s">
        <v>17976</v>
      </c>
      <c r="J8387" s="10" t="str">
        <f>HYPERLINK("https://www.boe.es/gazeta/dias/1834/07/05/pdfs/GMD-1834-138.pdf#page=3","Abrir facsímil")</f>
        <v>Abrir facsímil</v>
      </c>
      <c r="K8387" s="10" t="s">
        <v>24</v>
      </c>
    </row>
    <row r="8388" spans="1:11" ht="54" customHeight="1">
      <c r="A8388" s="9" t="s">
        <v>17977</v>
      </c>
      <c r="B8388" s="9" t="s">
        <v>17978</v>
      </c>
      <c r="C8388" s="9" t="s">
        <v>122</v>
      </c>
      <c r="D8388" s="9" t="s">
        <v>18</v>
      </c>
      <c r="E8388" s="10" t="s">
        <v>1410</v>
      </c>
      <c r="F8388" s="9" t="s">
        <v>1411</v>
      </c>
      <c r="G8388" s="10" t="s">
        <v>75</v>
      </c>
      <c r="H8388" s="9" t="s">
        <v>22</v>
      </c>
      <c r="I8388" s="9" t="s">
        <v>17979</v>
      </c>
      <c r="J8388" s="10" t="str">
        <f>HYPERLINK("https://www.boe.es/gazeta/dias/1834/09/09/pdfs/GMD-1834-207.pdf#page=4","Abrir facsímil")</f>
        <v>Abrir facsímil</v>
      </c>
      <c r="K8388" s="10" t="s">
        <v>24</v>
      </c>
    </row>
    <row r="8389" spans="1:11" ht="54" customHeight="1">
      <c r="A8389" s="9" t="s">
        <v>17980</v>
      </c>
      <c r="B8389" s="9" t="s">
        <v>17981</v>
      </c>
      <c r="C8389" s="9" t="s">
        <v>17</v>
      </c>
      <c r="D8389" s="9" t="s">
        <v>18</v>
      </c>
      <c r="E8389" s="10" t="s">
        <v>658</v>
      </c>
      <c r="F8389" s="9" t="s">
        <v>659</v>
      </c>
      <c r="G8389" s="10" t="s">
        <v>34</v>
      </c>
      <c r="H8389" s="9" t="s">
        <v>22</v>
      </c>
      <c r="I8389" s="9" t="s">
        <v>17982</v>
      </c>
      <c r="J8389" s="10" t="str">
        <f>HYPERLINK("https://www.boe.es/gazeta/dias/1834/05/26/pdfs/GMD-1834-95.pdf#page=1","Abrir facsímil")</f>
        <v>Abrir facsímil</v>
      </c>
      <c r="K8389" s="10" t="s">
        <v>24</v>
      </c>
    </row>
    <row r="8390" spans="1:11" ht="54" customHeight="1">
      <c r="A8390" s="9" t="s">
        <v>17983</v>
      </c>
      <c r="B8390" s="9" t="s">
        <v>17983</v>
      </c>
      <c r="C8390" s="9" t="s">
        <v>17</v>
      </c>
      <c r="D8390" s="9" t="s">
        <v>18</v>
      </c>
      <c r="E8390" s="10" t="s">
        <v>56</v>
      </c>
      <c r="F8390" s="9" t="s">
        <v>57</v>
      </c>
      <c r="G8390" s="10" t="s">
        <v>75</v>
      </c>
      <c r="H8390" s="9" t="s">
        <v>22</v>
      </c>
      <c r="I8390" s="9" t="s">
        <v>17984</v>
      </c>
      <c r="J8390" s="10" t="str">
        <f>HYPERLINK("https://www.boe.es/gazeta/dias/1834/07/09/pdfs/GMD-1834-142.pdf#page=4","Abrir facsímil")</f>
        <v>Abrir facsímil</v>
      </c>
      <c r="K8390" s="10" t="s">
        <v>24</v>
      </c>
    </row>
    <row r="8391" spans="1:11" ht="54" customHeight="1">
      <c r="A8391" s="9" t="s">
        <v>17985</v>
      </c>
      <c r="B8391" s="9" t="s">
        <v>17986</v>
      </c>
      <c r="C8391" s="9" t="s">
        <v>66</v>
      </c>
      <c r="D8391" s="9" t="s">
        <v>67</v>
      </c>
      <c r="E8391" s="10" t="s">
        <v>251</v>
      </c>
      <c r="F8391" s="9" t="s">
        <v>1278</v>
      </c>
      <c r="G8391" s="10" t="s">
        <v>86</v>
      </c>
      <c r="H8391" s="9" t="s">
        <v>22</v>
      </c>
      <c r="I8391" s="9" t="s">
        <v>17987</v>
      </c>
      <c r="J8391" s="10" t="str">
        <f>HYPERLINK("https://www.boe.es/gazeta/dias/1834/09/26/pdfs/GMD-1834-224.pdf#page=2","Abrir facsímil")</f>
        <v>Abrir facsímil</v>
      </c>
      <c r="K8391" s="10" t="s">
        <v>24</v>
      </c>
    </row>
    <row r="8392" spans="1:11" ht="54" customHeight="1">
      <c r="A8392" s="9" t="s">
        <v>17988</v>
      </c>
      <c r="B8392" s="9" t="s">
        <v>17989</v>
      </c>
      <c r="C8392" s="9" t="s">
        <v>17</v>
      </c>
      <c r="D8392" s="9" t="s">
        <v>18</v>
      </c>
      <c r="E8392" s="10" t="s">
        <v>1641</v>
      </c>
      <c r="F8392" s="9" t="s">
        <v>1642</v>
      </c>
      <c r="G8392" s="10" t="s">
        <v>86</v>
      </c>
      <c r="H8392" s="9" t="s">
        <v>22</v>
      </c>
      <c r="I8392" s="9" t="s">
        <v>17990</v>
      </c>
      <c r="J8392" s="10" t="str">
        <f>HYPERLINK("https://www.boe.es/gazeta/dias/1834/09/28/pdfs/GMD-C-1834-226.pdf#page=2","Abrir facsímil")</f>
        <v>Abrir facsímil</v>
      </c>
      <c r="K8392" s="10" t="s">
        <v>24</v>
      </c>
    </row>
    <row r="8393" spans="1:11" ht="54" customHeight="1">
      <c r="A8393" s="9" t="s">
        <v>17991</v>
      </c>
      <c r="B8393" s="9" t="s">
        <v>17992</v>
      </c>
      <c r="C8393" s="9" t="s">
        <v>66</v>
      </c>
      <c r="D8393" s="9" t="s">
        <v>67</v>
      </c>
      <c r="E8393" s="10" t="s">
        <v>772</v>
      </c>
      <c r="F8393" s="9" t="s">
        <v>773</v>
      </c>
      <c r="G8393" s="10" t="s">
        <v>21</v>
      </c>
      <c r="H8393" s="9" t="s">
        <v>22</v>
      </c>
      <c r="I8393" s="9" t="s">
        <v>17993</v>
      </c>
      <c r="J8393" s="10" t="str">
        <f>HYPERLINK("https://www.boe.es/gazeta/dias/1834/09/18/pdfs/GMD-1834-216.pdf#page=3","Abrir facsímil")</f>
        <v>Abrir facsímil</v>
      </c>
      <c r="K8393" s="10" t="s">
        <v>24</v>
      </c>
    </row>
    <row r="8394" spans="1:11" ht="54" customHeight="1">
      <c r="A8394" s="9" t="s">
        <v>17994</v>
      </c>
      <c r="B8394" s="9" t="s">
        <v>17994</v>
      </c>
      <c r="C8394" s="9" t="s">
        <v>66</v>
      </c>
      <c r="D8394" s="9" t="s">
        <v>67</v>
      </c>
      <c r="E8394" s="10" t="s">
        <v>1438</v>
      </c>
      <c r="F8394" s="9" t="s">
        <v>1439</v>
      </c>
      <c r="G8394" s="10" t="s">
        <v>86</v>
      </c>
      <c r="H8394" s="9" t="s">
        <v>22</v>
      </c>
      <c r="I8394" s="9" t="s">
        <v>17995</v>
      </c>
      <c r="J8394" s="10" t="str">
        <f>HYPERLINK("https://www.boe.es/gazeta/dias/1834/05/13/pdfs/GMD-1834-82.pdf#page=2","Abrir facsímil")</f>
        <v>Abrir facsímil</v>
      </c>
      <c r="K8394" s="10" t="s">
        <v>24</v>
      </c>
    </row>
    <row r="8395" spans="1:11" ht="54" customHeight="1">
      <c r="A8395" s="9" t="s">
        <v>17994</v>
      </c>
      <c r="B8395" s="9" t="s">
        <v>17994</v>
      </c>
      <c r="C8395" s="9" t="s">
        <v>66</v>
      </c>
      <c r="D8395" s="9" t="s">
        <v>67</v>
      </c>
      <c r="E8395" s="10" t="s">
        <v>1273</v>
      </c>
      <c r="F8395" s="9" t="s">
        <v>1274</v>
      </c>
      <c r="G8395" s="10" t="s">
        <v>86</v>
      </c>
      <c r="H8395" s="9" t="s">
        <v>22</v>
      </c>
      <c r="I8395" s="9" t="s">
        <v>17996</v>
      </c>
      <c r="J8395" s="10" t="str">
        <f>HYPERLINK("https://www.boe.es/gazeta/dias/1834/05/14/pdfs/GMD-1834-83.pdf#page=2","Abrir facsímil")</f>
        <v>Abrir facsímil</v>
      </c>
      <c r="K8395" s="10" t="s">
        <v>24</v>
      </c>
    </row>
    <row r="8396" spans="1:11" ht="54" customHeight="1">
      <c r="A8396" s="9" t="s">
        <v>17994</v>
      </c>
      <c r="B8396" s="9" t="s">
        <v>17994</v>
      </c>
      <c r="C8396" s="9" t="s">
        <v>66</v>
      </c>
      <c r="D8396" s="9" t="s">
        <v>67</v>
      </c>
      <c r="E8396" s="10" t="s">
        <v>1323</v>
      </c>
      <c r="F8396" s="9" t="s">
        <v>1324</v>
      </c>
      <c r="G8396" s="10" t="s">
        <v>86</v>
      </c>
      <c r="H8396" s="9" t="s">
        <v>22</v>
      </c>
      <c r="I8396" s="9" t="s">
        <v>17997</v>
      </c>
      <c r="J8396" s="10" t="str">
        <f>HYPERLINK("https://www.boe.es/gazeta/dias/1834/05/22/pdfs/GMD-1834-91.pdf#page=2","Abrir facsímil")</f>
        <v>Abrir facsímil</v>
      </c>
      <c r="K8396" s="10" t="s">
        <v>24</v>
      </c>
    </row>
    <row r="8397" spans="1:11" ht="54" customHeight="1">
      <c r="A8397" s="9" t="s">
        <v>17994</v>
      </c>
      <c r="B8397" s="9" t="s">
        <v>17994</v>
      </c>
      <c r="C8397" s="9" t="s">
        <v>90</v>
      </c>
      <c r="D8397" s="9" t="s">
        <v>67</v>
      </c>
      <c r="E8397" s="10" t="s">
        <v>283</v>
      </c>
      <c r="F8397" s="9" t="s">
        <v>2969</v>
      </c>
      <c r="G8397" s="10" t="s">
        <v>21</v>
      </c>
      <c r="H8397" s="9" t="s">
        <v>22</v>
      </c>
      <c r="I8397" s="9" t="s">
        <v>17998</v>
      </c>
      <c r="J8397" s="10" t="str">
        <f>HYPERLINK("https://www.boe.es/gazeta/dias/1834/11/29/pdfs/GMD-1834-288.pdf#page=3","Abrir facsímil")</f>
        <v>Abrir facsímil</v>
      </c>
      <c r="K8397" s="10" t="s">
        <v>24</v>
      </c>
    </row>
    <row r="8398" spans="1:11" ht="54" customHeight="1">
      <c r="A8398" s="9" t="s">
        <v>17999</v>
      </c>
      <c r="B8398" s="9" t="s">
        <v>18000</v>
      </c>
      <c r="C8398" s="9" t="s">
        <v>17</v>
      </c>
      <c r="D8398" s="9" t="s">
        <v>18</v>
      </c>
      <c r="E8398" s="10" t="s">
        <v>237</v>
      </c>
      <c r="F8398" s="9" t="s">
        <v>4609</v>
      </c>
      <c r="G8398" s="10" t="s">
        <v>34</v>
      </c>
      <c r="H8398" s="9" t="s">
        <v>22</v>
      </c>
      <c r="I8398" s="9" t="s">
        <v>18001</v>
      </c>
      <c r="J8398" s="10" t="str">
        <f>HYPERLINK("https://www.boe.es/gazeta/dias/1834/08/15/pdfs/GMD-1834-180.pdf#page=1","Abrir facsímil")</f>
        <v>Abrir facsímil</v>
      </c>
      <c r="K8398" s="10" t="s">
        <v>24</v>
      </c>
    </row>
    <row r="8399" spans="1:11" ht="54" customHeight="1">
      <c r="A8399" s="9" t="s">
        <v>18002</v>
      </c>
      <c r="B8399" s="9" t="s">
        <v>18003</v>
      </c>
      <c r="C8399" s="9" t="s">
        <v>90</v>
      </c>
      <c r="D8399" s="9" t="s">
        <v>18</v>
      </c>
      <c r="E8399" s="10" t="s">
        <v>753</v>
      </c>
      <c r="F8399" s="9" t="s">
        <v>754</v>
      </c>
      <c r="G8399" s="10" t="s">
        <v>34</v>
      </c>
      <c r="H8399" s="9" t="s">
        <v>22</v>
      </c>
      <c r="I8399" s="9" t="s">
        <v>18004</v>
      </c>
      <c r="J8399" s="10" t="str">
        <f>HYPERLINK("https://www.boe.es/gazeta/dias/1834/04/21/pdfs/GMD-1834-60.pdf#page=1","Abrir facsímil")</f>
        <v>Abrir facsímil</v>
      </c>
      <c r="K8399" s="10" t="s">
        <v>24</v>
      </c>
    </row>
    <row r="8400" spans="1:11" ht="54" customHeight="1">
      <c r="A8400" s="9" t="s">
        <v>18005</v>
      </c>
      <c r="B8400" s="9" t="s">
        <v>18006</v>
      </c>
      <c r="C8400" s="9" t="s">
        <v>17</v>
      </c>
      <c r="D8400" s="9" t="s">
        <v>18</v>
      </c>
      <c r="E8400" s="10" t="s">
        <v>299</v>
      </c>
      <c r="F8400" s="9" t="s">
        <v>300</v>
      </c>
      <c r="G8400" s="10" t="s">
        <v>34</v>
      </c>
      <c r="H8400" s="9" t="s">
        <v>22</v>
      </c>
      <c r="I8400" s="9" t="s">
        <v>18007</v>
      </c>
      <c r="J8400" s="10" t="str">
        <f>HYPERLINK("https://www.boe.es/gazeta/dias/1834/12/12/pdfs/GMD-1834-301.pdf#page=1","Abrir facsímil")</f>
        <v>Abrir facsímil</v>
      </c>
      <c r="K8400" s="10" t="s">
        <v>24</v>
      </c>
    </row>
    <row r="8401" spans="1:11" ht="54" customHeight="1">
      <c r="A8401" s="9" t="s">
        <v>18008</v>
      </c>
      <c r="B8401" s="9" t="s">
        <v>18009</v>
      </c>
      <c r="C8401" s="9" t="s">
        <v>66</v>
      </c>
      <c r="D8401" s="9" t="s">
        <v>67</v>
      </c>
      <c r="E8401" s="10" t="s">
        <v>243</v>
      </c>
      <c r="F8401" s="9" t="s">
        <v>1109</v>
      </c>
      <c r="G8401" s="10" t="s">
        <v>34</v>
      </c>
      <c r="H8401" s="9" t="s">
        <v>22</v>
      </c>
      <c r="I8401" s="9" t="s">
        <v>18010</v>
      </c>
      <c r="J8401" s="10" t="str">
        <f>HYPERLINK("https://www.boe.es/gazeta/dias/1834/08/05/pdfs/GMD-1834-169.pdf#page=1","Abrir facsímil")</f>
        <v>Abrir facsímil</v>
      </c>
      <c r="K8401" s="10" t="s">
        <v>24</v>
      </c>
    </row>
    <row r="8402" spans="1:11" ht="54" customHeight="1">
      <c r="A8402" s="9" t="s">
        <v>18008</v>
      </c>
      <c r="B8402" s="9" t="s">
        <v>18009</v>
      </c>
      <c r="C8402" s="9" t="s">
        <v>17</v>
      </c>
      <c r="D8402" s="9" t="s">
        <v>18</v>
      </c>
      <c r="E8402" s="10" t="s">
        <v>1981</v>
      </c>
      <c r="F8402" s="9" t="s">
        <v>1982</v>
      </c>
      <c r="G8402" s="10" t="s">
        <v>34</v>
      </c>
      <c r="H8402" s="9" t="s">
        <v>22</v>
      </c>
      <c r="I8402" s="9" t="s">
        <v>18011</v>
      </c>
      <c r="J8402" s="10" t="str">
        <f>HYPERLINK("https://www.boe.es/gazeta/dias/1834/12/13/pdfs/GMD-1834-302.pdf#page=1","Abrir facsímil")</f>
        <v>Abrir facsímil</v>
      </c>
      <c r="K8402" s="10" t="s">
        <v>24</v>
      </c>
    </row>
    <row r="8403" spans="1:11" ht="54" customHeight="1">
      <c r="A8403" s="9" t="s">
        <v>18012</v>
      </c>
      <c r="B8403" s="9" t="s">
        <v>18013</v>
      </c>
      <c r="C8403" s="9" t="s">
        <v>90</v>
      </c>
      <c r="D8403" s="9" t="s">
        <v>18</v>
      </c>
      <c r="E8403" s="10" t="s">
        <v>117</v>
      </c>
      <c r="F8403" s="9" t="s">
        <v>118</v>
      </c>
      <c r="G8403" s="10" t="s">
        <v>75</v>
      </c>
      <c r="H8403" s="9" t="s">
        <v>22</v>
      </c>
      <c r="I8403" s="9" t="s">
        <v>18014</v>
      </c>
      <c r="J8403" s="10" t="str">
        <f>HYPERLINK("https://www.boe.es/gazeta/dias/1834/07/21/pdfs/GMD-1834-154.pdf#page=4","Abrir facsímil")</f>
        <v>Abrir facsímil</v>
      </c>
      <c r="K8403" s="10" t="s">
        <v>24</v>
      </c>
    </row>
    <row r="8404" spans="1:11" ht="54" customHeight="1">
      <c r="A8404" s="9" t="s">
        <v>18015</v>
      </c>
      <c r="B8404" s="9" t="s">
        <v>18016</v>
      </c>
      <c r="C8404" s="9" t="s">
        <v>17</v>
      </c>
      <c r="D8404" s="9" t="s">
        <v>55</v>
      </c>
      <c r="E8404" s="10" t="s">
        <v>158</v>
      </c>
      <c r="F8404" s="9" t="s">
        <v>581</v>
      </c>
      <c r="G8404" s="10" t="s">
        <v>28</v>
      </c>
      <c r="H8404" s="9" t="s">
        <v>22</v>
      </c>
      <c r="I8404" s="9" t="s">
        <v>18017</v>
      </c>
      <c r="J8404" s="10" t="str">
        <f>HYPERLINK("https://www.boe.es/gazeta/dias/1834/10/01/pdfs/GMD-C-1834-229.pdf#page=5","Abrir facsímil")</f>
        <v>Abrir facsímil</v>
      </c>
      <c r="K8404" s="10" t="s">
        <v>24</v>
      </c>
    </row>
    <row r="8405" spans="1:11" ht="54" customHeight="1">
      <c r="A8405" s="9" t="s">
        <v>18018</v>
      </c>
      <c r="B8405" s="9" t="s">
        <v>18018</v>
      </c>
      <c r="C8405" s="9" t="s">
        <v>17</v>
      </c>
      <c r="D8405" s="9" t="s">
        <v>18</v>
      </c>
      <c r="E8405" s="10" t="s">
        <v>1410</v>
      </c>
      <c r="F8405" s="9" t="s">
        <v>1411</v>
      </c>
      <c r="G8405" s="10" t="s">
        <v>75</v>
      </c>
      <c r="H8405" s="9" t="s">
        <v>22</v>
      </c>
      <c r="I8405" s="9" t="s">
        <v>18019</v>
      </c>
      <c r="J8405" s="10" t="str">
        <f>HYPERLINK("https://www.boe.es/gazeta/dias/1834/09/09/pdfs/GMD-1834-207.pdf#page=4","Abrir facsímil")</f>
        <v>Abrir facsímil</v>
      </c>
      <c r="K8405" s="10" t="s">
        <v>24</v>
      </c>
    </row>
    <row r="8406" spans="1:11" ht="54" customHeight="1">
      <c r="A8406" s="9" t="s">
        <v>18020</v>
      </c>
      <c r="B8406" s="9" t="s">
        <v>18021</v>
      </c>
      <c r="C8406" s="9" t="s">
        <v>17</v>
      </c>
      <c r="D8406" s="9" t="s">
        <v>55</v>
      </c>
      <c r="E8406" s="10" t="s">
        <v>299</v>
      </c>
      <c r="F8406" s="9" t="s">
        <v>300</v>
      </c>
      <c r="G8406" s="10" t="s">
        <v>21</v>
      </c>
      <c r="H8406" s="9" t="s">
        <v>22</v>
      </c>
      <c r="I8406" s="9" t="s">
        <v>18022</v>
      </c>
      <c r="J8406" s="10" t="str">
        <f>HYPERLINK("https://www.boe.es/gazeta/dias/1834/12/12/pdfs/GMD-1834-301.pdf#page=3","Abrir facsímil")</f>
        <v>Abrir facsímil</v>
      </c>
      <c r="K8406" s="10" t="s">
        <v>24</v>
      </c>
    </row>
    <row r="8407" spans="1:11" ht="54" customHeight="1">
      <c r="A8407" s="9" t="s">
        <v>18023</v>
      </c>
      <c r="B8407" s="9" t="s">
        <v>18023</v>
      </c>
      <c r="C8407" s="9" t="s">
        <v>17</v>
      </c>
      <c r="D8407" s="9" t="s">
        <v>18</v>
      </c>
      <c r="E8407" s="10" t="s">
        <v>772</v>
      </c>
      <c r="F8407" s="9" t="s">
        <v>2284</v>
      </c>
      <c r="G8407" s="10" t="s">
        <v>470</v>
      </c>
      <c r="H8407" s="9" t="s">
        <v>22</v>
      </c>
      <c r="I8407" s="9" t="s">
        <v>18024</v>
      </c>
      <c r="J8407" s="10" t="str">
        <f>HYPERLINK("https://www.boe.es/gazeta/dias/1834/09/18/pdfs/GMD-C-1834-216.pdf#page=8","Abrir facsímil")</f>
        <v>Abrir facsímil</v>
      </c>
      <c r="K8407" s="10" t="s">
        <v>24</v>
      </c>
    </row>
    <row r="8408" spans="1:11" ht="54" customHeight="1">
      <c r="A8408" s="9" t="s">
        <v>18025</v>
      </c>
      <c r="B8408" s="9" t="s">
        <v>18026</v>
      </c>
      <c r="C8408" s="9" t="s">
        <v>17</v>
      </c>
      <c r="D8408" s="9" t="s">
        <v>18</v>
      </c>
      <c r="E8408" s="10" t="s">
        <v>1402</v>
      </c>
      <c r="F8408" s="9" t="s">
        <v>1403</v>
      </c>
      <c r="G8408" s="10" t="s">
        <v>75</v>
      </c>
      <c r="H8408" s="9" t="s">
        <v>22</v>
      </c>
      <c r="I8408" s="9" t="s">
        <v>18027</v>
      </c>
      <c r="J8408" s="10" t="str">
        <f>HYPERLINK("https://www.boe.es/gazeta/dias/1834/05/05/pdfs/GMD-1834-74.pdf#page=4","Abrir facsímil")</f>
        <v>Abrir facsímil</v>
      </c>
      <c r="K8408" s="10" t="s">
        <v>24</v>
      </c>
    </row>
    <row r="8409" spans="1:11" ht="54" customHeight="1">
      <c r="A8409" s="9" t="s">
        <v>18028</v>
      </c>
      <c r="B8409" s="9" t="s">
        <v>18029</v>
      </c>
      <c r="C8409" s="9" t="s">
        <v>90</v>
      </c>
      <c r="D8409" s="9" t="s">
        <v>18</v>
      </c>
      <c r="E8409" s="10" t="s">
        <v>1459</v>
      </c>
      <c r="F8409" s="9" t="s">
        <v>1460</v>
      </c>
      <c r="G8409" s="10" t="s">
        <v>86</v>
      </c>
      <c r="H8409" s="9" t="s">
        <v>22</v>
      </c>
      <c r="I8409" s="9" t="s">
        <v>18030</v>
      </c>
      <c r="J8409" s="10" t="str">
        <f>HYPERLINK("https://www.boe.es/gazeta/dias/1834/08/18/pdfs/GMD-1834-184.pdf#page=2","Abrir facsímil")</f>
        <v>Abrir facsímil</v>
      </c>
      <c r="K8409" s="10" t="s">
        <v>24</v>
      </c>
    </row>
    <row r="8410" spans="1:11" ht="54" customHeight="1">
      <c r="A8410" s="9" t="s">
        <v>18031</v>
      </c>
      <c r="B8410" s="9" t="s">
        <v>18032</v>
      </c>
      <c r="C8410" s="9" t="s">
        <v>17</v>
      </c>
      <c r="D8410" s="9" t="s">
        <v>18</v>
      </c>
      <c r="E8410" s="10" t="s">
        <v>813</v>
      </c>
      <c r="F8410" s="9" t="s">
        <v>814</v>
      </c>
      <c r="G8410" s="10" t="s">
        <v>21</v>
      </c>
      <c r="H8410" s="9" t="s">
        <v>22</v>
      </c>
      <c r="I8410" s="9" t="s">
        <v>18033</v>
      </c>
      <c r="J8410" s="10" t="str">
        <f>HYPERLINK("https://www.boe.es/gazeta/dias/1834/08/08/pdfs/GMD-1834-173.pdf#page=3","Abrir facsímil")</f>
        <v>Abrir facsímil</v>
      </c>
      <c r="K8410" s="10" t="s">
        <v>24</v>
      </c>
    </row>
    <row r="8411" spans="1:11" ht="54" customHeight="1">
      <c r="A8411" s="9" t="s">
        <v>18034</v>
      </c>
      <c r="B8411" s="9" t="s">
        <v>18035</v>
      </c>
      <c r="C8411" s="9" t="s">
        <v>17</v>
      </c>
      <c r="D8411" s="9" t="s">
        <v>18</v>
      </c>
      <c r="E8411" s="10" t="s">
        <v>26</v>
      </c>
      <c r="F8411" s="9" t="s">
        <v>818</v>
      </c>
      <c r="G8411" s="10" t="s">
        <v>75</v>
      </c>
      <c r="H8411" s="9" t="s">
        <v>22</v>
      </c>
      <c r="I8411" s="9" t="s">
        <v>18036</v>
      </c>
      <c r="J8411" s="10" t="str">
        <f>HYPERLINK("https://www.boe.es/gazeta/dias/1834/10/19/pdfs/GMD-1834-247.pdf#page=4","Abrir facsímil")</f>
        <v>Abrir facsímil</v>
      </c>
      <c r="K8411" s="10" t="s">
        <v>24</v>
      </c>
    </row>
    <row r="8412" spans="1:11" ht="54" customHeight="1">
      <c r="A8412" s="9" t="s">
        <v>18037</v>
      </c>
      <c r="B8412" s="9" t="s">
        <v>18037</v>
      </c>
      <c r="C8412" s="9" t="s">
        <v>17</v>
      </c>
      <c r="D8412" s="9" t="s">
        <v>40</v>
      </c>
      <c r="E8412" s="10" t="s">
        <v>1084</v>
      </c>
      <c r="F8412" s="9" t="s">
        <v>1085</v>
      </c>
      <c r="G8412" s="10" t="s">
        <v>176</v>
      </c>
      <c r="H8412" s="9" t="s">
        <v>22</v>
      </c>
      <c r="I8412" s="9" t="s">
        <v>18038</v>
      </c>
      <c r="J8412" s="10" t="str">
        <f>HYPERLINK("https://www.boe.es/gazeta/dias/1834/05/01/pdfs/GMD-1834-70.pdf#page=6","Abrir facsímil")</f>
        <v>Abrir facsímil</v>
      </c>
      <c r="K8412" s="10" t="s">
        <v>24</v>
      </c>
    </row>
    <row r="8413" spans="1:11" ht="54" customHeight="1">
      <c r="A8413" s="9" t="s">
        <v>18037</v>
      </c>
      <c r="B8413" s="9" t="s">
        <v>18037</v>
      </c>
      <c r="C8413" s="9" t="s">
        <v>17</v>
      </c>
      <c r="D8413" s="9" t="s">
        <v>40</v>
      </c>
      <c r="E8413" s="10" t="s">
        <v>209</v>
      </c>
      <c r="F8413" s="9" t="s">
        <v>210</v>
      </c>
      <c r="G8413" s="10" t="s">
        <v>75</v>
      </c>
      <c r="H8413" s="9" t="s">
        <v>22</v>
      </c>
      <c r="I8413" s="9" t="s">
        <v>18039</v>
      </c>
      <c r="J8413" s="10" t="str">
        <f>HYPERLINK("https://www.boe.es/gazeta/dias/1834/07/01/pdfs/GMD-1834-134.pdf#page=4","Abrir facsímil")</f>
        <v>Abrir facsímil</v>
      </c>
      <c r="K8413" s="10" t="s">
        <v>24</v>
      </c>
    </row>
    <row r="8414" spans="1:11" ht="54" customHeight="1">
      <c r="A8414" s="9" t="s">
        <v>18037</v>
      </c>
      <c r="B8414" s="9" t="s">
        <v>18037</v>
      </c>
      <c r="C8414" s="9" t="s">
        <v>17</v>
      </c>
      <c r="D8414" s="9" t="s">
        <v>18</v>
      </c>
      <c r="E8414" s="10" t="s">
        <v>339</v>
      </c>
      <c r="F8414" s="9" t="s">
        <v>340</v>
      </c>
      <c r="G8414" s="10" t="s">
        <v>75</v>
      </c>
      <c r="H8414" s="9" t="s">
        <v>22</v>
      </c>
      <c r="I8414" s="9" t="s">
        <v>18040</v>
      </c>
      <c r="J8414" s="10" t="str">
        <f>HYPERLINK("https://www.boe.es/gazeta/dias/1834/05/02/pdfs/GMD-1834-71.pdf#page=4","Abrir facsímil")</f>
        <v>Abrir facsímil</v>
      </c>
      <c r="K8414" s="10" t="s">
        <v>24</v>
      </c>
    </row>
    <row r="8415" spans="1:11" ht="54" customHeight="1">
      <c r="A8415" s="9" t="s">
        <v>18037</v>
      </c>
      <c r="B8415" s="9" t="s">
        <v>18037</v>
      </c>
      <c r="C8415" s="9" t="s">
        <v>17</v>
      </c>
      <c r="D8415" s="9" t="s">
        <v>18</v>
      </c>
      <c r="E8415" s="10" t="s">
        <v>905</v>
      </c>
      <c r="F8415" s="9" t="s">
        <v>1651</v>
      </c>
      <c r="G8415" s="10" t="s">
        <v>75</v>
      </c>
      <c r="H8415" s="9" t="s">
        <v>22</v>
      </c>
      <c r="I8415" s="9" t="s">
        <v>18041</v>
      </c>
      <c r="J8415" s="10" t="str">
        <f>HYPERLINK("https://www.boe.es/gazeta/dias/1834/08/02/pdfs/GMD-1834-166.pdf#page=4","Abrir facsímil")</f>
        <v>Abrir facsímil</v>
      </c>
      <c r="K8415" s="10" t="s">
        <v>24</v>
      </c>
    </row>
    <row r="8416" spans="1:11" ht="54" customHeight="1">
      <c r="A8416" s="9" t="s">
        <v>18037</v>
      </c>
      <c r="B8416" s="9" t="s">
        <v>18037</v>
      </c>
      <c r="C8416" s="9" t="s">
        <v>17</v>
      </c>
      <c r="D8416" s="9" t="s">
        <v>101</v>
      </c>
      <c r="E8416" s="10" t="s">
        <v>4527</v>
      </c>
      <c r="F8416" s="9" t="s">
        <v>4528</v>
      </c>
      <c r="G8416" s="10" t="s">
        <v>75</v>
      </c>
      <c r="H8416" s="9" t="s">
        <v>22</v>
      </c>
      <c r="I8416" s="9" t="s">
        <v>18042</v>
      </c>
      <c r="J8416" s="10" t="str">
        <f>HYPERLINK("https://www.boe.es/gazeta/dias/1834/05/03/pdfs/GMD-1834-72.pdf#page=4","Abrir facsímil")</f>
        <v>Abrir facsímil</v>
      </c>
      <c r="K8416" s="10" t="s">
        <v>24</v>
      </c>
    </row>
    <row r="8417" spans="1:11" ht="54" customHeight="1">
      <c r="A8417" s="9" t="s">
        <v>18037</v>
      </c>
      <c r="B8417" s="9" t="s">
        <v>18037</v>
      </c>
      <c r="C8417" s="9" t="s">
        <v>17</v>
      </c>
      <c r="D8417" s="9" t="s">
        <v>18</v>
      </c>
      <c r="E8417" s="10" t="s">
        <v>637</v>
      </c>
      <c r="F8417" s="9" t="s">
        <v>638</v>
      </c>
      <c r="G8417" s="10" t="s">
        <v>86</v>
      </c>
      <c r="H8417" s="9" t="s">
        <v>22</v>
      </c>
      <c r="I8417" s="9" t="s">
        <v>18043</v>
      </c>
      <c r="J8417" s="10" t="str">
        <f>HYPERLINK("https://www.boe.es/gazeta/dias/1834/06/03/pdfs/I00469-00470.pdf#page=2","Abrir facsímil")</f>
        <v>Abrir facsímil</v>
      </c>
      <c r="K8417" s="10" t="s">
        <v>24</v>
      </c>
    </row>
    <row r="8418" spans="1:11" ht="54" customHeight="1">
      <c r="A8418" s="9" t="s">
        <v>18037</v>
      </c>
      <c r="B8418" s="9" t="s">
        <v>18037</v>
      </c>
      <c r="C8418" s="9" t="s">
        <v>17</v>
      </c>
      <c r="D8418" s="9" t="s">
        <v>18</v>
      </c>
      <c r="E8418" s="10" t="s">
        <v>637</v>
      </c>
      <c r="F8418" s="9" t="s">
        <v>638</v>
      </c>
      <c r="G8418" s="10" t="s">
        <v>75</v>
      </c>
      <c r="H8418" s="9" t="s">
        <v>22</v>
      </c>
      <c r="I8418" s="9" t="s">
        <v>18043</v>
      </c>
      <c r="J8418" s="10" t="str">
        <f>HYPERLINK("https://www.boe.es/gazeta/dias/1834/06/03/pdfs/GMD-1834-105.pdf#page=4","Abrir facsímil")</f>
        <v>Abrir facsímil</v>
      </c>
      <c r="K8418" s="10" t="s">
        <v>24</v>
      </c>
    </row>
    <row r="8419" spans="1:11" ht="54" customHeight="1">
      <c r="A8419" s="9" t="s">
        <v>18037</v>
      </c>
      <c r="B8419" s="9" t="s">
        <v>18037</v>
      </c>
      <c r="C8419" s="9" t="s">
        <v>17</v>
      </c>
      <c r="D8419" s="9" t="s">
        <v>18</v>
      </c>
      <c r="E8419" s="10" t="s">
        <v>3066</v>
      </c>
      <c r="F8419" s="9" t="s">
        <v>3188</v>
      </c>
      <c r="G8419" s="10" t="s">
        <v>86</v>
      </c>
      <c r="H8419" s="9" t="s">
        <v>22</v>
      </c>
      <c r="I8419" s="9" t="s">
        <v>18044</v>
      </c>
      <c r="J8419" s="10" t="str">
        <f>HYPERLINK("https://www.boe.es/gazeta/dias/1834/08/03/pdfs/I00721-00722.pdf#page=2","Abrir facsímil")</f>
        <v>Abrir facsímil</v>
      </c>
      <c r="K8419" s="10" t="s">
        <v>24</v>
      </c>
    </row>
    <row r="8420" spans="1:11" ht="54" customHeight="1">
      <c r="A8420" s="9" t="s">
        <v>18037</v>
      </c>
      <c r="B8420" s="9" t="s">
        <v>18037</v>
      </c>
      <c r="C8420" s="9" t="s">
        <v>17</v>
      </c>
      <c r="D8420" s="9" t="s">
        <v>18</v>
      </c>
      <c r="E8420" s="10" t="s">
        <v>3066</v>
      </c>
      <c r="F8420" s="9" t="s">
        <v>3188</v>
      </c>
      <c r="G8420" s="10" t="s">
        <v>75</v>
      </c>
      <c r="H8420" s="9" t="s">
        <v>22</v>
      </c>
      <c r="I8420" s="9" t="s">
        <v>18044</v>
      </c>
      <c r="J8420" s="10" t="str">
        <f>HYPERLINK("https://www.boe.es/gazeta/dias/1834/08/03/pdfs/GMD-1834-167.pdf#page=4","Abrir facsímil")</f>
        <v>Abrir facsímil</v>
      </c>
      <c r="K8420" s="10" t="s">
        <v>24</v>
      </c>
    </row>
    <row r="8421" spans="1:11" ht="54" customHeight="1">
      <c r="A8421" s="9" t="s">
        <v>18037</v>
      </c>
      <c r="B8421" s="9" t="s">
        <v>18037</v>
      </c>
      <c r="C8421" s="9" t="s">
        <v>17</v>
      </c>
      <c r="D8421" s="9" t="s">
        <v>18</v>
      </c>
      <c r="E8421" s="10" t="s">
        <v>1351</v>
      </c>
      <c r="F8421" s="9" t="s">
        <v>1352</v>
      </c>
      <c r="G8421" s="10" t="s">
        <v>176</v>
      </c>
      <c r="H8421" s="9" t="s">
        <v>22</v>
      </c>
      <c r="I8421" s="9" t="s">
        <v>18045</v>
      </c>
      <c r="J8421" s="10" t="str">
        <f>HYPERLINK("https://www.boe.es/gazeta/dias/1834/07/05/pdfs/GMD-1834-138.pdf#page=6","Abrir facsímil")</f>
        <v>Abrir facsímil</v>
      </c>
      <c r="K8421" s="10" t="s">
        <v>24</v>
      </c>
    </row>
    <row r="8422" spans="1:11" ht="54" customHeight="1">
      <c r="A8422" s="9" t="s">
        <v>18037</v>
      </c>
      <c r="B8422" s="9" t="s">
        <v>18037</v>
      </c>
      <c r="C8422" s="9" t="s">
        <v>17</v>
      </c>
      <c r="D8422" s="9" t="s">
        <v>18</v>
      </c>
      <c r="E8422" s="10" t="s">
        <v>243</v>
      </c>
      <c r="F8422" s="9" t="s">
        <v>1109</v>
      </c>
      <c r="G8422" s="10" t="s">
        <v>75</v>
      </c>
      <c r="H8422" s="9" t="s">
        <v>22</v>
      </c>
      <c r="I8422" s="9" t="s">
        <v>18046</v>
      </c>
      <c r="J8422" s="10" t="str">
        <f>HYPERLINK("https://www.boe.es/gazeta/dias/1834/08/05/pdfs/GMD-1834-169.pdf#page=4","Abrir facsímil")</f>
        <v>Abrir facsímil</v>
      </c>
      <c r="K8422" s="10" t="s">
        <v>24</v>
      </c>
    </row>
    <row r="8423" spans="1:11" ht="54" customHeight="1">
      <c r="A8423" s="9" t="s">
        <v>18037</v>
      </c>
      <c r="B8423" s="9" t="s">
        <v>18037</v>
      </c>
      <c r="C8423" s="9" t="s">
        <v>17</v>
      </c>
      <c r="D8423" s="9" t="s">
        <v>18</v>
      </c>
      <c r="E8423" s="10" t="s">
        <v>1556</v>
      </c>
      <c r="F8423" s="9" t="s">
        <v>1557</v>
      </c>
      <c r="G8423" s="10" t="s">
        <v>75</v>
      </c>
      <c r="H8423" s="9" t="s">
        <v>22</v>
      </c>
      <c r="I8423" s="9" t="s">
        <v>18047</v>
      </c>
      <c r="J8423" s="10" t="str">
        <f>HYPERLINK("https://www.boe.es/gazeta/dias/1834/06/06/pdfs/GMD-1834-108.pdf#page=4","Abrir facsímil")</f>
        <v>Abrir facsímil</v>
      </c>
      <c r="K8423" s="10" t="s">
        <v>24</v>
      </c>
    </row>
    <row r="8424" spans="1:11" ht="54" customHeight="1">
      <c r="A8424" s="9" t="s">
        <v>18037</v>
      </c>
      <c r="B8424" s="9" t="s">
        <v>18037</v>
      </c>
      <c r="C8424" s="9" t="s">
        <v>17</v>
      </c>
      <c r="D8424" s="9" t="s">
        <v>18</v>
      </c>
      <c r="E8424" s="10" t="s">
        <v>2865</v>
      </c>
      <c r="F8424" s="9" t="s">
        <v>2866</v>
      </c>
      <c r="G8424" s="10" t="s">
        <v>75</v>
      </c>
      <c r="H8424" s="9" t="s">
        <v>22</v>
      </c>
      <c r="I8424" s="9" t="s">
        <v>18048</v>
      </c>
      <c r="J8424" s="10" t="str">
        <f>HYPERLINK("https://www.boe.es/gazeta/dias/1834/07/06/pdfs/GMD-1834-139.pdf#page=4","Abrir facsímil")</f>
        <v>Abrir facsímil</v>
      </c>
      <c r="K8424" s="10" t="s">
        <v>24</v>
      </c>
    </row>
    <row r="8425" spans="1:11" ht="54" customHeight="1">
      <c r="A8425" s="9" t="s">
        <v>18037</v>
      </c>
      <c r="B8425" s="9" t="s">
        <v>18037</v>
      </c>
      <c r="C8425" s="9" t="s">
        <v>66</v>
      </c>
      <c r="D8425" s="9" t="s">
        <v>67</v>
      </c>
      <c r="E8425" s="10" t="s">
        <v>1505</v>
      </c>
      <c r="F8425" s="9" t="s">
        <v>1506</v>
      </c>
      <c r="G8425" s="10" t="s">
        <v>75</v>
      </c>
      <c r="H8425" s="9" t="s">
        <v>22</v>
      </c>
      <c r="I8425" s="9" t="s">
        <v>18049</v>
      </c>
      <c r="J8425" s="10" t="str">
        <f>HYPERLINK("https://www.boe.es/gazeta/dias/1834/05/08/pdfs/GMD-1834-77.pdf#page=4","Abrir facsímil")</f>
        <v>Abrir facsímil</v>
      </c>
      <c r="K8425" s="10" t="s">
        <v>24</v>
      </c>
    </row>
    <row r="8426" spans="1:11" ht="54" customHeight="1">
      <c r="A8426" s="9" t="s">
        <v>18037</v>
      </c>
      <c r="B8426" s="9" t="s">
        <v>18037</v>
      </c>
      <c r="C8426" s="9" t="s">
        <v>122</v>
      </c>
      <c r="D8426" s="9" t="s">
        <v>18</v>
      </c>
      <c r="E8426" s="10" t="s">
        <v>399</v>
      </c>
      <c r="F8426" s="9" t="s">
        <v>400</v>
      </c>
      <c r="G8426" s="10" t="s">
        <v>75</v>
      </c>
      <c r="H8426" s="9" t="s">
        <v>22</v>
      </c>
      <c r="I8426" s="9" t="s">
        <v>18050</v>
      </c>
      <c r="J8426" s="10" t="str">
        <f>HYPERLINK("https://www.boe.es/gazeta/dias/1834/07/08/pdfs/GMD-1834-141.pdf#page=4","Abrir facsímil")</f>
        <v>Abrir facsímil</v>
      </c>
      <c r="K8426" s="10" t="s">
        <v>24</v>
      </c>
    </row>
    <row r="8427" spans="1:11" ht="54" customHeight="1">
      <c r="A8427" s="9" t="s">
        <v>18037</v>
      </c>
      <c r="B8427" s="9" t="s">
        <v>18037</v>
      </c>
      <c r="C8427" s="9" t="s">
        <v>17</v>
      </c>
      <c r="D8427" s="9" t="s">
        <v>18</v>
      </c>
      <c r="E8427" s="10" t="s">
        <v>939</v>
      </c>
      <c r="F8427" s="9" t="s">
        <v>940</v>
      </c>
      <c r="G8427" s="10" t="s">
        <v>75</v>
      </c>
      <c r="H8427" s="9" t="s">
        <v>22</v>
      </c>
      <c r="I8427" s="9" t="s">
        <v>18051</v>
      </c>
      <c r="J8427" s="10" t="str">
        <f>HYPERLINK("https://www.boe.es/gazeta/dias/1834/06/10/pdfs/GMD-1834-113.pdf#page=4","Abrir facsímil")</f>
        <v>Abrir facsímil</v>
      </c>
      <c r="K8427" s="10" t="s">
        <v>24</v>
      </c>
    </row>
    <row r="8428" spans="1:11" ht="54" customHeight="1">
      <c r="A8428" s="9" t="s">
        <v>18037</v>
      </c>
      <c r="B8428" s="9" t="s">
        <v>18037</v>
      </c>
      <c r="C8428" s="9" t="s">
        <v>17</v>
      </c>
      <c r="D8428" s="9" t="s">
        <v>18</v>
      </c>
      <c r="E8428" s="10" t="s">
        <v>1103</v>
      </c>
      <c r="F8428" s="9" t="s">
        <v>1259</v>
      </c>
      <c r="G8428" s="10" t="s">
        <v>75</v>
      </c>
      <c r="H8428" s="9" t="s">
        <v>22</v>
      </c>
      <c r="I8428" s="9" t="s">
        <v>18052</v>
      </c>
      <c r="J8428" s="10" t="str">
        <f>HYPERLINK("https://www.boe.es/gazeta/dias/1834/10/10/pdfs/GMD-1834-238.pdf#page=4","Abrir facsímil")</f>
        <v>Abrir facsímil</v>
      </c>
      <c r="K8428" s="10" t="s">
        <v>24</v>
      </c>
    </row>
    <row r="8429" spans="1:11" ht="54" customHeight="1">
      <c r="A8429" s="9" t="s">
        <v>18037</v>
      </c>
      <c r="B8429" s="9" t="s">
        <v>18037</v>
      </c>
      <c r="C8429" s="9" t="s">
        <v>90</v>
      </c>
      <c r="D8429" s="9" t="s">
        <v>40</v>
      </c>
      <c r="E8429" s="10" t="s">
        <v>41</v>
      </c>
      <c r="F8429" s="9" t="s">
        <v>42</v>
      </c>
      <c r="G8429" s="10" t="s">
        <v>75</v>
      </c>
      <c r="H8429" s="9" t="s">
        <v>22</v>
      </c>
      <c r="I8429" s="9" t="s">
        <v>18053</v>
      </c>
      <c r="J8429" s="10" t="str">
        <f>HYPERLINK("https://www.boe.es/gazeta/dias/1834/06/11/pdfs/GMD-1834-114.pdf#page=4","Abrir facsímil")</f>
        <v>Abrir facsímil</v>
      </c>
      <c r="K8429" s="10" t="s">
        <v>24</v>
      </c>
    </row>
    <row r="8430" spans="1:11" ht="54" customHeight="1">
      <c r="A8430" s="9" t="s">
        <v>18037</v>
      </c>
      <c r="B8430" s="9" t="s">
        <v>18037</v>
      </c>
      <c r="C8430" s="9" t="s">
        <v>17</v>
      </c>
      <c r="D8430" s="9" t="s">
        <v>18</v>
      </c>
      <c r="E8430" s="10" t="s">
        <v>1273</v>
      </c>
      <c r="F8430" s="9" t="s">
        <v>1274</v>
      </c>
      <c r="G8430" s="10" t="s">
        <v>75</v>
      </c>
      <c r="H8430" s="9" t="s">
        <v>22</v>
      </c>
      <c r="I8430" s="9" t="s">
        <v>18054</v>
      </c>
      <c r="J8430" s="10" t="str">
        <f>HYPERLINK("https://www.boe.es/gazeta/dias/1834/05/14/pdfs/GMD-1834-83.pdf#page=4","Abrir facsímil")</f>
        <v>Abrir facsímil</v>
      </c>
      <c r="K8430" s="10" t="s">
        <v>24</v>
      </c>
    </row>
    <row r="8431" spans="1:11" ht="54" customHeight="1">
      <c r="A8431" s="9" t="s">
        <v>18037</v>
      </c>
      <c r="B8431" s="9" t="s">
        <v>18037</v>
      </c>
      <c r="C8431" s="9" t="s">
        <v>17</v>
      </c>
      <c r="D8431" s="9" t="s">
        <v>18</v>
      </c>
      <c r="E8431" s="10" t="s">
        <v>3057</v>
      </c>
      <c r="F8431" s="9" t="s">
        <v>3058</v>
      </c>
      <c r="G8431" s="10" t="s">
        <v>75</v>
      </c>
      <c r="H8431" s="9" t="s">
        <v>22</v>
      </c>
      <c r="I8431" s="9" t="s">
        <v>18055</v>
      </c>
      <c r="J8431" s="10" t="str">
        <f>HYPERLINK("https://www.boe.es/gazeta/dias/1834/06/14/pdfs/GMD-1834-117.pdf#page=4","Abrir facsímil")</f>
        <v>Abrir facsímil</v>
      </c>
      <c r="K8431" s="10" t="s">
        <v>24</v>
      </c>
    </row>
    <row r="8432" spans="1:11" ht="54" customHeight="1">
      <c r="A8432" s="9" t="s">
        <v>18037</v>
      </c>
      <c r="B8432" s="9" t="s">
        <v>18037</v>
      </c>
      <c r="C8432" s="9" t="s">
        <v>17</v>
      </c>
      <c r="D8432" s="9" t="s">
        <v>18</v>
      </c>
      <c r="E8432" s="10" t="s">
        <v>1186</v>
      </c>
      <c r="F8432" s="9" t="s">
        <v>1187</v>
      </c>
      <c r="G8432" s="10" t="s">
        <v>75</v>
      </c>
      <c r="H8432" s="9" t="s">
        <v>22</v>
      </c>
      <c r="I8432" s="9" t="s">
        <v>18056</v>
      </c>
      <c r="J8432" s="10" t="str">
        <f>HYPERLINK("https://www.boe.es/gazeta/dias/1834/08/14/pdfs/GMD-1834-179.pdf#page=4","Abrir facsímil")</f>
        <v>Abrir facsímil</v>
      </c>
      <c r="K8432" s="10" t="s">
        <v>24</v>
      </c>
    </row>
    <row r="8433" spans="1:11" ht="54" customHeight="1">
      <c r="A8433" s="9" t="s">
        <v>18037</v>
      </c>
      <c r="B8433" s="9" t="s">
        <v>18037</v>
      </c>
      <c r="C8433" s="9" t="s">
        <v>17</v>
      </c>
      <c r="D8433" s="9" t="s">
        <v>18</v>
      </c>
      <c r="E8433" s="10" t="s">
        <v>1234</v>
      </c>
      <c r="F8433" s="9" t="s">
        <v>1455</v>
      </c>
      <c r="G8433" s="10" t="s">
        <v>75</v>
      </c>
      <c r="H8433" s="9" t="s">
        <v>22</v>
      </c>
      <c r="I8433" s="9" t="s">
        <v>18057</v>
      </c>
      <c r="J8433" s="10" t="str">
        <f>HYPERLINK("https://www.boe.es/gazeta/dias/1834/05/15/pdfs/GMD-1834-84.pdf#page=4","Abrir facsímil")</f>
        <v>Abrir facsímil</v>
      </c>
      <c r="K8433" s="10" t="s">
        <v>24</v>
      </c>
    </row>
    <row r="8434" spans="1:11" ht="54" customHeight="1">
      <c r="A8434" s="9" t="s">
        <v>18037</v>
      </c>
      <c r="B8434" s="9" t="s">
        <v>18037</v>
      </c>
      <c r="C8434" s="9" t="s">
        <v>17</v>
      </c>
      <c r="D8434" s="9" t="s">
        <v>18</v>
      </c>
      <c r="E8434" s="10" t="s">
        <v>326</v>
      </c>
      <c r="F8434" s="9" t="s">
        <v>327</v>
      </c>
      <c r="G8434" s="10" t="s">
        <v>75</v>
      </c>
      <c r="H8434" s="9" t="s">
        <v>22</v>
      </c>
      <c r="I8434" s="9" t="s">
        <v>18058</v>
      </c>
      <c r="J8434" s="10" t="str">
        <f>HYPERLINK("https://www.boe.es/gazeta/dias/1834/07/15/pdfs/GMD-1834-148.pdf#page=4","Abrir facsímil")</f>
        <v>Abrir facsímil</v>
      </c>
      <c r="K8434" s="10" t="s">
        <v>24</v>
      </c>
    </row>
    <row r="8435" spans="1:11" ht="54" customHeight="1">
      <c r="A8435" s="9" t="s">
        <v>18037</v>
      </c>
      <c r="B8435" s="9" t="s">
        <v>18037</v>
      </c>
      <c r="C8435" s="9" t="s">
        <v>17</v>
      </c>
      <c r="D8435" s="9" t="s">
        <v>18</v>
      </c>
      <c r="E8435" s="10" t="s">
        <v>663</v>
      </c>
      <c r="F8435" s="9" t="s">
        <v>664</v>
      </c>
      <c r="G8435" s="10" t="s">
        <v>75</v>
      </c>
      <c r="H8435" s="9" t="s">
        <v>22</v>
      </c>
      <c r="I8435" s="9" t="s">
        <v>18059</v>
      </c>
      <c r="J8435" s="10" t="str">
        <f>HYPERLINK("https://www.boe.es/gazeta/dias/1834/07/16/pdfs/GMD-1834-149.pdf#page=4","Abrir facsímil")</f>
        <v>Abrir facsímil</v>
      </c>
      <c r="K8435" s="10" t="s">
        <v>24</v>
      </c>
    </row>
    <row r="8436" spans="1:11" ht="54" customHeight="1">
      <c r="A8436" s="9" t="s">
        <v>18037</v>
      </c>
      <c r="B8436" s="9" t="s">
        <v>18037</v>
      </c>
      <c r="C8436" s="9" t="s">
        <v>17</v>
      </c>
      <c r="D8436" s="9" t="s">
        <v>18</v>
      </c>
      <c r="E8436" s="10" t="s">
        <v>138</v>
      </c>
      <c r="F8436" s="9" t="s">
        <v>139</v>
      </c>
      <c r="G8436" s="10" t="s">
        <v>75</v>
      </c>
      <c r="H8436" s="9" t="s">
        <v>22</v>
      </c>
      <c r="I8436" s="9" t="s">
        <v>18060</v>
      </c>
      <c r="J8436" s="10" t="str">
        <f>HYPERLINK("https://www.boe.es/gazeta/dias/1834/05/17/pdfs/GMD-1834-86.pdf#page=4","Abrir facsímil")</f>
        <v>Abrir facsímil</v>
      </c>
      <c r="K8436" s="10" t="s">
        <v>24</v>
      </c>
    </row>
    <row r="8437" spans="1:11" ht="54" customHeight="1">
      <c r="A8437" s="9" t="s">
        <v>18037</v>
      </c>
      <c r="B8437" s="9" t="s">
        <v>18037</v>
      </c>
      <c r="C8437" s="9" t="s">
        <v>17</v>
      </c>
      <c r="D8437" s="9" t="s">
        <v>18</v>
      </c>
      <c r="E8437" s="10" t="s">
        <v>133</v>
      </c>
      <c r="F8437" s="9" t="s">
        <v>134</v>
      </c>
      <c r="G8437" s="10" t="s">
        <v>75</v>
      </c>
      <c r="H8437" s="9" t="s">
        <v>22</v>
      </c>
      <c r="I8437" s="9" t="s">
        <v>18061</v>
      </c>
      <c r="J8437" s="10" t="str">
        <f>HYPERLINK("https://www.boe.es/gazeta/dias/1834/06/18/pdfs/GMD-1834-121.pdf#page=4","Abrir facsímil")</f>
        <v>Abrir facsímil</v>
      </c>
      <c r="K8437" s="10" t="s">
        <v>24</v>
      </c>
    </row>
    <row r="8438" spans="1:11" ht="54" customHeight="1">
      <c r="A8438" s="9" t="s">
        <v>18037</v>
      </c>
      <c r="B8438" s="9" t="s">
        <v>18037</v>
      </c>
      <c r="C8438" s="9" t="s">
        <v>66</v>
      </c>
      <c r="D8438" s="9" t="s">
        <v>18</v>
      </c>
      <c r="E8438" s="10" t="s">
        <v>102</v>
      </c>
      <c r="F8438" s="9" t="s">
        <v>103</v>
      </c>
      <c r="G8438" s="10" t="s">
        <v>75</v>
      </c>
      <c r="H8438" s="9" t="s">
        <v>22</v>
      </c>
      <c r="I8438" s="9" t="s">
        <v>18062</v>
      </c>
      <c r="J8438" s="10" t="str">
        <f>HYPERLINK("https://www.boe.es/gazeta/dias/1834/07/19/pdfs/GMD-1834-152.pdf#page=4","Abrir facsímil")</f>
        <v>Abrir facsímil</v>
      </c>
      <c r="K8438" s="10" t="s">
        <v>24</v>
      </c>
    </row>
    <row r="8439" spans="1:11" ht="54" customHeight="1">
      <c r="A8439" s="9" t="s">
        <v>18037</v>
      </c>
      <c r="B8439" s="9" t="s">
        <v>18037</v>
      </c>
      <c r="C8439" s="9" t="s">
        <v>17</v>
      </c>
      <c r="D8439" s="9" t="s">
        <v>18</v>
      </c>
      <c r="E8439" s="10" t="s">
        <v>615</v>
      </c>
      <c r="F8439" s="9" t="s">
        <v>616</v>
      </c>
      <c r="G8439" s="10" t="s">
        <v>75</v>
      </c>
      <c r="H8439" s="9" t="s">
        <v>22</v>
      </c>
      <c r="I8439" s="9" t="s">
        <v>18063</v>
      </c>
      <c r="J8439" s="10" t="str">
        <f>HYPERLINK("https://www.boe.es/gazeta/dias/1834/08/19/pdfs/GMD-1834-185.pdf#page=4","Abrir facsímil")</f>
        <v>Abrir facsímil</v>
      </c>
      <c r="K8439" s="10" t="s">
        <v>24</v>
      </c>
    </row>
    <row r="8440" spans="1:11" ht="54" customHeight="1">
      <c r="A8440" s="9" t="s">
        <v>18037</v>
      </c>
      <c r="B8440" s="9" t="s">
        <v>18037</v>
      </c>
      <c r="C8440" s="9" t="s">
        <v>17</v>
      </c>
      <c r="D8440" s="9" t="s">
        <v>18</v>
      </c>
      <c r="E8440" s="10" t="s">
        <v>2860</v>
      </c>
      <c r="F8440" s="9" t="s">
        <v>2861</v>
      </c>
      <c r="G8440" s="10" t="s">
        <v>75</v>
      </c>
      <c r="H8440" s="9" t="s">
        <v>22</v>
      </c>
      <c r="I8440" s="9" t="s">
        <v>18064</v>
      </c>
      <c r="J8440" s="10" t="str">
        <f>HYPERLINK("https://www.boe.es/gazeta/dias/1834/07/20/pdfs/GMD-1834-153.pdf#page=4","Abrir facsímil")</f>
        <v>Abrir facsímil</v>
      </c>
      <c r="K8440" s="10" t="s">
        <v>24</v>
      </c>
    </row>
    <row r="8441" spans="1:11" ht="54" customHeight="1">
      <c r="A8441" s="9" t="s">
        <v>18037</v>
      </c>
      <c r="B8441" s="9" t="s">
        <v>18037</v>
      </c>
      <c r="C8441" s="9" t="s">
        <v>17</v>
      </c>
      <c r="D8441" s="9" t="s">
        <v>18</v>
      </c>
      <c r="E8441" s="10" t="s">
        <v>1239</v>
      </c>
      <c r="F8441" s="9" t="s">
        <v>1240</v>
      </c>
      <c r="G8441" s="10" t="s">
        <v>75</v>
      </c>
      <c r="H8441" s="9" t="s">
        <v>22</v>
      </c>
      <c r="I8441" s="9" t="s">
        <v>18065</v>
      </c>
      <c r="J8441" s="10" t="str">
        <f>HYPERLINK("https://www.boe.es/gazeta/dias/1834/08/20/pdfs/GMD-1834-186.pdf#page=4","Abrir facsímil")</f>
        <v>Abrir facsímil</v>
      </c>
      <c r="K8441" s="10" t="s">
        <v>24</v>
      </c>
    </row>
    <row r="8442" spans="1:11" ht="54" customHeight="1">
      <c r="A8442" s="9" t="s">
        <v>18037</v>
      </c>
      <c r="B8442" s="9" t="s">
        <v>18037</v>
      </c>
      <c r="C8442" s="9" t="s">
        <v>17</v>
      </c>
      <c r="D8442" s="9" t="s">
        <v>18</v>
      </c>
      <c r="E8442" s="10" t="s">
        <v>849</v>
      </c>
      <c r="F8442" s="9" t="s">
        <v>850</v>
      </c>
      <c r="G8442" s="10" t="s">
        <v>75</v>
      </c>
      <c r="H8442" s="9" t="s">
        <v>22</v>
      </c>
      <c r="I8442" s="9" t="s">
        <v>18066</v>
      </c>
      <c r="J8442" s="10" t="str">
        <f>HYPERLINK("https://www.boe.es/gazeta/dias/1834/06/21/pdfs/GMD-1834-124.pdf#page=4","Abrir facsímil")</f>
        <v>Abrir facsímil</v>
      </c>
      <c r="K8442" s="10" t="s">
        <v>24</v>
      </c>
    </row>
    <row r="8443" spans="1:11" ht="54" customHeight="1">
      <c r="A8443" s="9" t="s">
        <v>18037</v>
      </c>
      <c r="B8443" s="9" t="s">
        <v>18037</v>
      </c>
      <c r="C8443" s="9" t="s">
        <v>17</v>
      </c>
      <c r="D8443" s="9" t="s">
        <v>18</v>
      </c>
      <c r="E8443" s="10" t="s">
        <v>375</v>
      </c>
      <c r="F8443" s="9" t="s">
        <v>376</v>
      </c>
      <c r="G8443" s="10" t="s">
        <v>75</v>
      </c>
      <c r="H8443" s="9" t="s">
        <v>22</v>
      </c>
      <c r="I8443" s="9" t="s">
        <v>18067</v>
      </c>
      <c r="J8443" s="10" t="str">
        <f>HYPERLINK("https://www.boe.es/gazeta/dias/1834/08/21/pdfs/GMD-1834-187.pdf#page=4","Abrir facsímil")</f>
        <v>Abrir facsímil</v>
      </c>
      <c r="K8443" s="10" t="s">
        <v>24</v>
      </c>
    </row>
    <row r="8444" spans="1:11" ht="54" customHeight="1">
      <c r="A8444" s="9" t="s">
        <v>18037</v>
      </c>
      <c r="B8444" s="9" t="s">
        <v>18037</v>
      </c>
      <c r="C8444" s="9" t="s">
        <v>17</v>
      </c>
      <c r="D8444" s="9" t="s">
        <v>18</v>
      </c>
      <c r="E8444" s="10" t="s">
        <v>3488</v>
      </c>
      <c r="F8444" s="9" t="s">
        <v>3489</v>
      </c>
      <c r="G8444" s="10" t="s">
        <v>75</v>
      </c>
      <c r="H8444" s="9" t="s">
        <v>22</v>
      </c>
      <c r="I8444" s="9" t="s">
        <v>18068</v>
      </c>
      <c r="J8444" s="10" t="str">
        <f>HYPERLINK("https://www.boe.es/gazeta/dias/1834/06/22/pdfs/GMD-1834-125.pdf#page=4","Abrir facsímil")</f>
        <v>Abrir facsímil</v>
      </c>
      <c r="K8444" s="10" t="s">
        <v>24</v>
      </c>
    </row>
    <row r="8445" spans="1:11" ht="54" customHeight="1">
      <c r="A8445" s="9" t="s">
        <v>18037</v>
      </c>
      <c r="B8445" s="9" t="s">
        <v>18037</v>
      </c>
      <c r="C8445" s="9" t="s">
        <v>17</v>
      </c>
      <c r="D8445" s="9" t="s">
        <v>40</v>
      </c>
      <c r="E8445" s="10" t="s">
        <v>5885</v>
      </c>
      <c r="F8445" s="9" t="s">
        <v>5886</v>
      </c>
      <c r="G8445" s="10" t="s">
        <v>75</v>
      </c>
      <c r="H8445" s="9" t="s">
        <v>22</v>
      </c>
      <c r="I8445" s="9" t="s">
        <v>18069</v>
      </c>
      <c r="J8445" s="10" t="str">
        <f>HYPERLINK("https://www.boe.es/gazeta/dias/1834/05/23/pdfs/GMD-1834-92.pdf#page=4","Abrir facsímil")</f>
        <v>Abrir facsímil</v>
      </c>
      <c r="K8445" s="10" t="s">
        <v>24</v>
      </c>
    </row>
    <row r="8446" spans="1:11" ht="54" customHeight="1">
      <c r="A8446" s="9" t="s">
        <v>18037</v>
      </c>
      <c r="B8446" s="9" t="s">
        <v>18037</v>
      </c>
      <c r="C8446" s="9" t="s">
        <v>17</v>
      </c>
      <c r="D8446" s="9" t="s">
        <v>18</v>
      </c>
      <c r="E8446" s="10" t="s">
        <v>2302</v>
      </c>
      <c r="F8446" s="9" t="s">
        <v>2303</v>
      </c>
      <c r="G8446" s="10" t="s">
        <v>75</v>
      </c>
      <c r="H8446" s="9" t="s">
        <v>22</v>
      </c>
      <c r="I8446" s="9" t="s">
        <v>18070</v>
      </c>
      <c r="J8446" s="10" t="str">
        <f>HYPERLINK("https://www.boe.es/gazeta/dias/1834/01/25/pdfs/GMD-1834-12.pdf#page=4","Abrir facsímil")</f>
        <v>Abrir facsímil</v>
      </c>
      <c r="K8446" s="10" t="s">
        <v>24</v>
      </c>
    </row>
    <row r="8447" spans="1:11" ht="54" customHeight="1">
      <c r="A8447" s="9" t="s">
        <v>18037</v>
      </c>
      <c r="B8447" s="9" t="s">
        <v>18037</v>
      </c>
      <c r="C8447" s="9" t="s">
        <v>17</v>
      </c>
      <c r="D8447" s="9" t="s">
        <v>18</v>
      </c>
      <c r="E8447" s="10" t="s">
        <v>1002</v>
      </c>
      <c r="F8447" s="9" t="s">
        <v>1003</v>
      </c>
      <c r="G8447" s="10" t="s">
        <v>75</v>
      </c>
      <c r="H8447" s="9" t="s">
        <v>22</v>
      </c>
      <c r="I8447" s="9" t="s">
        <v>18071</v>
      </c>
      <c r="J8447" s="10" t="str">
        <f>HYPERLINK("https://www.boe.es/gazeta/dias/1834/06/26/pdfs/GMD-1834-129.pdf#page=4","Abrir facsímil")</f>
        <v>Abrir facsímil</v>
      </c>
      <c r="K8447" s="10" t="s">
        <v>24</v>
      </c>
    </row>
    <row r="8448" spans="1:11" ht="54" customHeight="1">
      <c r="A8448" s="9" t="s">
        <v>18037</v>
      </c>
      <c r="B8448" s="9" t="s">
        <v>18037</v>
      </c>
      <c r="C8448" s="9" t="s">
        <v>17</v>
      </c>
      <c r="D8448" s="9" t="s">
        <v>40</v>
      </c>
      <c r="E8448" s="10" t="s">
        <v>513</v>
      </c>
      <c r="F8448" s="9" t="s">
        <v>514</v>
      </c>
      <c r="G8448" s="10" t="s">
        <v>176</v>
      </c>
      <c r="H8448" s="9" t="s">
        <v>22</v>
      </c>
      <c r="I8448" s="9" t="s">
        <v>18072</v>
      </c>
      <c r="J8448" s="10" t="str">
        <f>HYPERLINK("https://www.boe.es/gazeta/dias/1834/04/27/pdfs/GMD-1834-66.pdf#page=6","Abrir facsímil")</f>
        <v>Abrir facsímil</v>
      </c>
      <c r="K8448" s="10" t="s">
        <v>24</v>
      </c>
    </row>
    <row r="8449" spans="1:11" ht="54" customHeight="1">
      <c r="A8449" s="9" t="s">
        <v>18037</v>
      </c>
      <c r="B8449" s="9" t="s">
        <v>18037</v>
      </c>
      <c r="C8449" s="9" t="s">
        <v>17</v>
      </c>
      <c r="D8449" s="9" t="s">
        <v>18</v>
      </c>
      <c r="E8449" s="10" t="s">
        <v>1683</v>
      </c>
      <c r="F8449" s="9" t="s">
        <v>1684</v>
      </c>
      <c r="G8449" s="10" t="s">
        <v>75</v>
      </c>
      <c r="H8449" s="9" t="s">
        <v>22</v>
      </c>
      <c r="I8449" s="9" t="s">
        <v>18073</v>
      </c>
      <c r="J8449" s="10" t="str">
        <f>HYPERLINK("https://www.boe.es/gazeta/dias/1834/06/27/pdfs/GMD-1834-130.pdf#page=4","Abrir facsímil")</f>
        <v>Abrir facsímil</v>
      </c>
      <c r="K8449" s="10" t="s">
        <v>24</v>
      </c>
    </row>
    <row r="8450" spans="1:11" ht="54" customHeight="1">
      <c r="A8450" s="9" t="s">
        <v>18037</v>
      </c>
      <c r="B8450" s="9" t="s">
        <v>18037</v>
      </c>
      <c r="C8450" s="9" t="s">
        <v>17</v>
      </c>
      <c r="D8450" s="9" t="s">
        <v>18</v>
      </c>
      <c r="E8450" s="10" t="s">
        <v>870</v>
      </c>
      <c r="F8450" s="9" t="s">
        <v>871</v>
      </c>
      <c r="G8450" s="10" t="s">
        <v>75</v>
      </c>
      <c r="H8450" s="9" t="s">
        <v>22</v>
      </c>
      <c r="I8450" s="9" t="s">
        <v>18074</v>
      </c>
      <c r="J8450" s="10" t="str">
        <f>HYPERLINK("https://www.boe.es/gazeta/dias/1834/05/28/pdfs/GMD-1834-97.pdf#page=4","Abrir facsímil")</f>
        <v>Abrir facsímil</v>
      </c>
      <c r="K8450" s="10" t="s">
        <v>24</v>
      </c>
    </row>
    <row r="8451" spans="1:11" ht="54" customHeight="1">
      <c r="A8451" s="9" t="s">
        <v>18037</v>
      </c>
      <c r="B8451" s="9" t="s">
        <v>18037</v>
      </c>
      <c r="C8451" s="9" t="s">
        <v>17</v>
      </c>
      <c r="D8451" s="9" t="s">
        <v>18</v>
      </c>
      <c r="E8451" s="10" t="s">
        <v>719</v>
      </c>
      <c r="F8451" s="9" t="s">
        <v>720</v>
      </c>
      <c r="G8451" s="10" t="s">
        <v>75</v>
      </c>
      <c r="H8451" s="9" t="s">
        <v>22</v>
      </c>
      <c r="I8451" s="9" t="s">
        <v>18075</v>
      </c>
      <c r="J8451" s="10" t="str">
        <f>HYPERLINK("https://www.boe.es/gazeta/dias/1834/04/29/pdfs/GMD-1834-68.pdf#page=4","Abrir facsímil")</f>
        <v>Abrir facsímil</v>
      </c>
      <c r="K8451" s="10" t="s">
        <v>24</v>
      </c>
    </row>
    <row r="8452" spans="1:11" ht="54" customHeight="1">
      <c r="A8452" s="9" t="s">
        <v>18037</v>
      </c>
      <c r="B8452" s="9" t="s">
        <v>18037</v>
      </c>
      <c r="C8452" s="9" t="s">
        <v>17</v>
      </c>
      <c r="D8452" s="9" t="s">
        <v>18</v>
      </c>
      <c r="E8452" s="10" t="s">
        <v>2945</v>
      </c>
      <c r="F8452" s="9" t="s">
        <v>2946</v>
      </c>
      <c r="G8452" s="10" t="s">
        <v>75</v>
      </c>
      <c r="H8452" s="9" t="s">
        <v>22</v>
      </c>
      <c r="I8452" s="9" t="s">
        <v>18076</v>
      </c>
      <c r="J8452" s="10" t="str">
        <f>HYPERLINK("https://www.boe.es/gazeta/dias/1834/05/29/pdfs/GMD-1834-98.pdf#page=4","Abrir facsímil")</f>
        <v>Abrir facsímil</v>
      </c>
      <c r="K8452" s="10" t="s">
        <v>24</v>
      </c>
    </row>
    <row r="8453" spans="1:11" ht="54" customHeight="1">
      <c r="A8453" s="9" t="s">
        <v>18037</v>
      </c>
      <c r="B8453" s="9" t="s">
        <v>18037</v>
      </c>
      <c r="C8453" s="9" t="s">
        <v>17</v>
      </c>
      <c r="D8453" s="9" t="s">
        <v>18</v>
      </c>
      <c r="E8453" s="10" t="s">
        <v>1747</v>
      </c>
      <c r="F8453" s="9" t="s">
        <v>1748</v>
      </c>
      <c r="G8453" s="10" t="s">
        <v>75</v>
      </c>
      <c r="H8453" s="9" t="s">
        <v>22</v>
      </c>
      <c r="I8453" s="9" t="s">
        <v>18077</v>
      </c>
      <c r="J8453" s="10" t="str">
        <f>HYPERLINK("https://www.boe.es/gazeta/dias/1834/06/29/pdfs/GMD-1834-132.pdf#page=4","Abrir facsímil")</f>
        <v>Abrir facsímil</v>
      </c>
      <c r="K8453" s="10" t="s">
        <v>24</v>
      </c>
    </row>
    <row r="8454" spans="1:11" ht="54" customHeight="1">
      <c r="A8454" s="9" t="s">
        <v>18078</v>
      </c>
      <c r="B8454" s="9" t="s">
        <v>18079</v>
      </c>
      <c r="C8454" s="9" t="s">
        <v>17</v>
      </c>
      <c r="D8454" s="9" t="s">
        <v>18</v>
      </c>
      <c r="E8454" s="10" t="s">
        <v>237</v>
      </c>
      <c r="F8454" s="9" t="s">
        <v>4609</v>
      </c>
      <c r="G8454" s="10" t="s">
        <v>75</v>
      </c>
      <c r="H8454" s="9" t="s">
        <v>35</v>
      </c>
      <c r="I8454" s="9" t="s">
        <v>18080</v>
      </c>
      <c r="J8454" s="10" t="str">
        <f>HYPERLINK("https://www.boe.es/gazeta/dias/1834/08/15/pdfs/GMD-1834-180.pdf#page=4","Abrir facsímil")</f>
        <v>Abrir facsímil</v>
      </c>
      <c r="K8454" s="10" t="s">
        <v>37</v>
      </c>
    </row>
    <row r="8455" spans="1:11" ht="54" customHeight="1">
      <c r="A8455" s="9" t="s">
        <v>18081</v>
      </c>
      <c r="B8455" s="9" t="s">
        <v>18082</v>
      </c>
      <c r="C8455" s="9" t="s">
        <v>17</v>
      </c>
      <c r="D8455" s="9" t="s">
        <v>55</v>
      </c>
      <c r="E8455" s="10" t="s">
        <v>793</v>
      </c>
      <c r="F8455" s="9" t="s">
        <v>794</v>
      </c>
      <c r="G8455" s="10" t="s">
        <v>75</v>
      </c>
      <c r="H8455" s="9" t="s">
        <v>22</v>
      </c>
      <c r="I8455" s="9" t="s">
        <v>18083</v>
      </c>
      <c r="J8455" s="10" t="str">
        <f>HYPERLINK("https://www.boe.es/gazeta/dias/1834/10/08/pdfs/GMD-1834-236.pdf#page=4","Abrir facsímil")</f>
        <v>Abrir facsímil</v>
      </c>
      <c r="K8455" s="10" t="s">
        <v>24</v>
      </c>
    </row>
    <row r="8456" spans="1:11" ht="54" customHeight="1">
      <c r="A8456" s="9" t="s">
        <v>18084</v>
      </c>
      <c r="B8456" s="9" t="s">
        <v>18085</v>
      </c>
      <c r="C8456" s="9" t="s">
        <v>90</v>
      </c>
      <c r="D8456" s="9" t="s">
        <v>67</v>
      </c>
      <c r="E8456" s="10" t="s">
        <v>133</v>
      </c>
      <c r="F8456" s="9" t="s">
        <v>134</v>
      </c>
      <c r="G8456" s="10" t="s">
        <v>34</v>
      </c>
      <c r="H8456" s="9" t="s">
        <v>22</v>
      </c>
      <c r="I8456" s="9" t="s">
        <v>18086</v>
      </c>
      <c r="J8456" s="10" t="str">
        <f>HYPERLINK("https://www.boe.es/gazeta/dias/1834/06/18/pdfs/GMD-1834-121.pdf#page=1","Abrir facsímil")</f>
        <v>Abrir facsímil</v>
      </c>
      <c r="K8456" s="10" t="s">
        <v>24</v>
      </c>
    </row>
    <row r="8457" spans="1:11" ht="54" customHeight="1">
      <c r="A8457" s="9" t="s">
        <v>18087</v>
      </c>
      <c r="B8457" s="9" t="s">
        <v>18088</v>
      </c>
      <c r="C8457" s="9" t="s">
        <v>17</v>
      </c>
      <c r="D8457" s="9" t="s">
        <v>18</v>
      </c>
      <c r="E8457" s="10" t="s">
        <v>251</v>
      </c>
      <c r="F8457" s="9" t="s">
        <v>1278</v>
      </c>
      <c r="G8457" s="10" t="s">
        <v>75</v>
      </c>
      <c r="H8457" s="9" t="s">
        <v>22</v>
      </c>
      <c r="I8457" s="9" t="s">
        <v>18089</v>
      </c>
      <c r="J8457" s="10" t="str">
        <f>HYPERLINK("https://www.boe.es/gazeta/dias/1834/09/26/pdfs/GMD-1834-224.pdf#page=4","Abrir facsímil")</f>
        <v>Abrir facsímil</v>
      </c>
      <c r="K8457" s="10" t="s">
        <v>24</v>
      </c>
    </row>
    <row r="8458" spans="1:11" ht="54" customHeight="1">
      <c r="A8458" s="9" t="s">
        <v>18090</v>
      </c>
      <c r="B8458" s="9" t="s">
        <v>18090</v>
      </c>
      <c r="C8458" s="9" t="s">
        <v>90</v>
      </c>
      <c r="D8458" s="9" t="s">
        <v>55</v>
      </c>
      <c r="E8458" s="10" t="s">
        <v>3054</v>
      </c>
      <c r="F8458" s="9" t="s">
        <v>3055</v>
      </c>
      <c r="G8458" s="10" t="s">
        <v>86</v>
      </c>
      <c r="H8458" s="9" t="s">
        <v>22</v>
      </c>
      <c r="I8458" s="9" t="s">
        <v>18091</v>
      </c>
      <c r="J8458" s="10" t="str">
        <f>HYPERLINK("https://www.boe.es/gazeta/dias/1834/10/06/pdfs/GMD-1834-234.pdf#page=2","Abrir facsímil")</f>
        <v>Abrir facsímil</v>
      </c>
      <c r="K8458" s="10" t="s">
        <v>24</v>
      </c>
    </row>
    <row r="8459" spans="1:11" ht="54" customHeight="1">
      <c r="A8459" s="9" t="s">
        <v>18092</v>
      </c>
      <c r="B8459" s="9" t="s">
        <v>18092</v>
      </c>
      <c r="C8459" s="9" t="s">
        <v>66</v>
      </c>
      <c r="D8459" s="9" t="s">
        <v>67</v>
      </c>
      <c r="E8459" s="10" t="s">
        <v>793</v>
      </c>
      <c r="F8459" s="9" t="s">
        <v>794</v>
      </c>
      <c r="G8459" s="10" t="s">
        <v>34</v>
      </c>
      <c r="H8459" s="9" t="s">
        <v>22</v>
      </c>
      <c r="I8459" s="9" t="s">
        <v>18093</v>
      </c>
      <c r="J8459" s="10" t="str">
        <f>HYPERLINK("https://www.boe.es/gazeta/dias/1834/10/08/pdfs/GMD-1834-236.pdf#page=1","Abrir facsímil")</f>
        <v>Abrir facsímil</v>
      </c>
      <c r="K8459" s="10" t="s">
        <v>24</v>
      </c>
    </row>
    <row r="8460" spans="1:11" ht="54" customHeight="1">
      <c r="A8460" s="9" t="s">
        <v>18094</v>
      </c>
      <c r="B8460" s="9" t="s">
        <v>18095</v>
      </c>
      <c r="C8460" s="9" t="s">
        <v>17</v>
      </c>
      <c r="D8460" s="9" t="s">
        <v>18</v>
      </c>
      <c r="E8460" s="10" t="s">
        <v>813</v>
      </c>
      <c r="F8460" s="9" t="s">
        <v>814</v>
      </c>
      <c r="G8460" s="10" t="s">
        <v>21</v>
      </c>
      <c r="H8460" s="9" t="s">
        <v>22</v>
      </c>
      <c r="I8460" s="9" t="s">
        <v>18096</v>
      </c>
      <c r="J8460" s="10" t="str">
        <f>HYPERLINK("https://www.boe.es/gazeta/dias/1834/08/08/pdfs/GMD-1834-173.pdf#page=3","Abrir facsímil")</f>
        <v>Abrir facsímil</v>
      </c>
      <c r="K8460" s="10" t="s">
        <v>24</v>
      </c>
    </row>
    <row r="8461" spans="1:11" ht="54" customHeight="1">
      <c r="A8461" s="9" t="s">
        <v>18097</v>
      </c>
      <c r="B8461" s="9" t="s">
        <v>18098</v>
      </c>
      <c r="C8461" s="9" t="s">
        <v>17</v>
      </c>
      <c r="D8461" s="9" t="s">
        <v>18</v>
      </c>
      <c r="E8461" s="10" t="s">
        <v>899</v>
      </c>
      <c r="F8461" s="9" t="s">
        <v>900</v>
      </c>
      <c r="G8461" s="10" t="s">
        <v>560</v>
      </c>
      <c r="H8461" s="9" t="s">
        <v>22</v>
      </c>
      <c r="I8461" s="9" t="s">
        <v>18099</v>
      </c>
      <c r="J8461" s="10" t="str">
        <f>HYPERLINK("https://www.boe.es/gazeta/dias/1834/01/30/pdfs/GMD-1834-14.pdf#page=7","Abrir facsímil")</f>
        <v>Abrir facsímil</v>
      </c>
      <c r="K8461" s="10" t="s">
        <v>24</v>
      </c>
    </row>
    <row r="8462" spans="1:11" ht="54" customHeight="1">
      <c r="A8462" s="9" t="s">
        <v>18100</v>
      </c>
      <c r="B8462" s="9" t="s">
        <v>18100</v>
      </c>
      <c r="C8462" s="9" t="s">
        <v>17</v>
      </c>
      <c r="D8462" s="9" t="s">
        <v>18</v>
      </c>
      <c r="E8462" s="10" t="s">
        <v>1297</v>
      </c>
      <c r="F8462" s="9" t="s">
        <v>1298</v>
      </c>
      <c r="G8462" s="10" t="s">
        <v>75</v>
      </c>
      <c r="H8462" s="9" t="s">
        <v>22</v>
      </c>
      <c r="I8462" s="9" t="s">
        <v>18101</v>
      </c>
      <c r="J8462" s="10" t="str">
        <f>HYPERLINK("https://www.boe.es/gazeta/dias/1834/08/01/pdfs/GMD-1834-165.pdf#page=4","Abrir facsímil")</f>
        <v>Abrir facsímil</v>
      </c>
      <c r="K8462" s="10" t="s">
        <v>24</v>
      </c>
    </row>
    <row r="8463" spans="1:11" ht="54" customHeight="1">
      <c r="A8463" s="9" t="s">
        <v>18102</v>
      </c>
      <c r="B8463" s="9" t="s">
        <v>18102</v>
      </c>
      <c r="C8463" s="9" t="s">
        <v>66</v>
      </c>
      <c r="D8463" s="9" t="s">
        <v>67</v>
      </c>
      <c r="E8463" s="10" t="s">
        <v>758</v>
      </c>
      <c r="F8463" s="9" t="s">
        <v>759</v>
      </c>
      <c r="G8463" s="10" t="s">
        <v>86</v>
      </c>
      <c r="H8463" s="9" t="s">
        <v>22</v>
      </c>
      <c r="I8463" s="9" t="s">
        <v>18103</v>
      </c>
      <c r="J8463" s="10" t="str">
        <f>HYPERLINK("https://www.boe.es/gazeta/dias/1834/01/04/pdfs/GMD-1834-3.pdf#page=2","Abrir facsímil")</f>
        <v>Abrir facsímil</v>
      </c>
      <c r="K8463" s="10" t="s">
        <v>24</v>
      </c>
    </row>
    <row r="8464" spans="1:11" ht="54" customHeight="1">
      <c r="A8464" s="9" t="s">
        <v>18102</v>
      </c>
      <c r="B8464" s="9" t="s">
        <v>18102</v>
      </c>
      <c r="C8464" s="9" t="s">
        <v>17</v>
      </c>
      <c r="D8464" s="9" t="s">
        <v>18</v>
      </c>
      <c r="E8464" s="10" t="s">
        <v>355</v>
      </c>
      <c r="F8464" s="9" t="s">
        <v>356</v>
      </c>
      <c r="G8464" s="10" t="s">
        <v>86</v>
      </c>
      <c r="H8464" s="9" t="s">
        <v>22</v>
      </c>
      <c r="I8464" s="9" t="s">
        <v>18104</v>
      </c>
      <c r="J8464" s="10" t="str">
        <f>HYPERLINK("https://www.boe.es/gazeta/dias/1834/07/04/pdfs/GMD-1834-137.pdf#page=2","Abrir facsímil")</f>
        <v>Abrir facsímil</v>
      </c>
      <c r="K8464" s="10" t="s">
        <v>24</v>
      </c>
    </row>
    <row r="8465" spans="1:11" ht="54" customHeight="1">
      <c r="A8465" s="9" t="s">
        <v>18102</v>
      </c>
      <c r="B8465" s="9" t="s">
        <v>18102</v>
      </c>
      <c r="C8465" s="9" t="s">
        <v>46</v>
      </c>
      <c r="D8465" s="9" t="s">
        <v>55</v>
      </c>
      <c r="E8465" s="10" t="s">
        <v>762</v>
      </c>
      <c r="F8465" s="9" t="s">
        <v>763</v>
      </c>
      <c r="G8465" s="10" t="s">
        <v>86</v>
      </c>
      <c r="H8465" s="9" t="s">
        <v>22</v>
      </c>
      <c r="I8465" s="9" t="s">
        <v>18105</v>
      </c>
      <c r="J8465" s="10" t="str">
        <f>HYPERLINK("https://www.boe.es/gazeta/dias/1834/11/07/pdfs/GMD-1834-266.pdf#page=2","Abrir facsímil")</f>
        <v>Abrir facsímil</v>
      </c>
      <c r="K8465" s="10" t="s">
        <v>24</v>
      </c>
    </row>
    <row r="8466" spans="1:11" ht="54" customHeight="1">
      <c r="A8466" s="9" t="s">
        <v>18102</v>
      </c>
      <c r="B8466" s="9" t="s">
        <v>18102</v>
      </c>
      <c r="C8466" s="9" t="s">
        <v>46</v>
      </c>
      <c r="D8466" s="9" t="s">
        <v>18</v>
      </c>
      <c r="E8466" s="10" t="s">
        <v>4637</v>
      </c>
      <c r="F8466" s="9" t="s">
        <v>4638</v>
      </c>
      <c r="G8466" s="10" t="s">
        <v>21</v>
      </c>
      <c r="H8466" s="9" t="s">
        <v>22</v>
      </c>
      <c r="I8466" s="9" t="s">
        <v>18106</v>
      </c>
      <c r="J8466" s="10" t="str">
        <f>HYPERLINK("https://www.boe.es/gazeta/dias/1834/12/08/pdfs/GMD-1834-297.pdf#page=3","Abrir facsímil")</f>
        <v>Abrir facsímil</v>
      </c>
      <c r="K8466" s="10" t="s">
        <v>24</v>
      </c>
    </row>
    <row r="8467" spans="1:11" ht="54" customHeight="1">
      <c r="A8467" s="9" t="s">
        <v>18102</v>
      </c>
      <c r="B8467" s="9" t="s">
        <v>18102</v>
      </c>
      <c r="C8467" s="9" t="s">
        <v>90</v>
      </c>
      <c r="D8467" s="9" t="s">
        <v>18</v>
      </c>
      <c r="E8467" s="10" t="s">
        <v>2278</v>
      </c>
      <c r="F8467" s="9" t="s">
        <v>3088</v>
      </c>
      <c r="G8467" s="10" t="s">
        <v>21</v>
      </c>
      <c r="H8467" s="9" t="s">
        <v>22</v>
      </c>
      <c r="I8467" s="9" t="s">
        <v>18107</v>
      </c>
      <c r="J8467" s="10" t="str">
        <f>HYPERLINK("https://www.boe.es/gazeta/dias/1834/12/17/pdfs/GMD-1834-306.pdf#page=3","Abrir facsímil")</f>
        <v>Abrir facsímil</v>
      </c>
      <c r="K8467" s="10" t="s">
        <v>24</v>
      </c>
    </row>
    <row r="8468" spans="1:11" ht="54" customHeight="1">
      <c r="A8468" s="9" t="s">
        <v>18102</v>
      </c>
      <c r="B8468" s="9" t="s">
        <v>18102</v>
      </c>
      <c r="C8468" s="9" t="s">
        <v>90</v>
      </c>
      <c r="D8468" s="9" t="s">
        <v>55</v>
      </c>
      <c r="E8468" s="10" t="s">
        <v>777</v>
      </c>
      <c r="F8468" s="9" t="s">
        <v>778</v>
      </c>
      <c r="G8468" s="10" t="s">
        <v>86</v>
      </c>
      <c r="H8468" s="9" t="s">
        <v>22</v>
      </c>
      <c r="I8468" s="9" t="s">
        <v>18108</v>
      </c>
      <c r="J8468" s="10" t="str">
        <f>HYPERLINK("https://www.boe.es/gazeta/dias/1834/10/29/pdfs/GMD-1834-257.pdf#page=2","Abrir facsímil")</f>
        <v>Abrir facsímil</v>
      </c>
      <c r="K8468" s="10" t="s">
        <v>24</v>
      </c>
    </row>
    <row r="8469" spans="1:11" ht="54" customHeight="1">
      <c r="A8469" s="9" t="s">
        <v>18102</v>
      </c>
      <c r="B8469" s="9" t="s">
        <v>18102</v>
      </c>
      <c r="C8469" s="9" t="s">
        <v>46</v>
      </c>
      <c r="D8469" s="9" t="s">
        <v>101</v>
      </c>
      <c r="E8469" s="10" t="s">
        <v>283</v>
      </c>
      <c r="F8469" s="9" t="s">
        <v>2969</v>
      </c>
      <c r="G8469" s="10" t="s">
        <v>86</v>
      </c>
      <c r="H8469" s="9" t="s">
        <v>22</v>
      </c>
      <c r="I8469" s="9" t="s">
        <v>18109</v>
      </c>
      <c r="J8469" s="10" t="str">
        <f>HYPERLINK("https://www.boe.es/gazeta/dias/1834/11/29/pdfs/GMD-1834-288.pdf#page=2","Abrir facsímil")</f>
        <v>Abrir facsímil</v>
      </c>
      <c r="K8469" s="10" t="s">
        <v>24</v>
      </c>
    </row>
    <row r="8470" spans="1:11" ht="54" customHeight="1">
      <c r="A8470" s="9" t="s">
        <v>18110</v>
      </c>
      <c r="B8470" s="9" t="s">
        <v>18110</v>
      </c>
      <c r="C8470" s="9" t="s">
        <v>17</v>
      </c>
      <c r="D8470" s="9" t="s">
        <v>18</v>
      </c>
      <c r="E8470" s="10" t="s">
        <v>5904</v>
      </c>
      <c r="F8470" s="9" t="s">
        <v>5905</v>
      </c>
      <c r="G8470" s="10" t="s">
        <v>86</v>
      </c>
      <c r="H8470" s="9" t="s">
        <v>22</v>
      </c>
      <c r="I8470" s="9" t="s">
        <v>18111</v>
      </c>
      <c r="J8470" s="10" t="str">
        <f>HYPERLINK("https://www.boe.es/gazeta/dias/1834/09/29/pdfs/GMD-1834-227.pdf#page=2","Abrir facsímil")</f>
        <v>Abrir facsímil</v>
      </c>
      <c r="K8470" s="10" t="s">
        <v>24</v>
      </c>
    </row>
    <row r="8471" spans="1:11" ht="54" customHeight="1">
      <c r="A8471" s="9" t="s">
        <v>18112</v>
      </c>
      <c r="B8471" s="9" t="s">
        <v>18113</v>
      </c>
      <c r="C8471" s="9" t="s">
        <v>17</v>
      </c>
      <c r="D8471" s="9" t="s">
        <v>40</v>
      </c>
      <c r="E8471" s="10" t="s">
        <v>1922</v>
      </c>
      <c r="F8471" s="9" t="s">
        <v>1923</v>
      </c>
      <c r="G8471" s="10" t="s">
        <v>176</v>
      </c>
      <c r="H8471" s="9" t="s">
        <v>35</v>
      </c>
      <c r="I8471" s="9" t="s">
        <v>18114</v>
      </c>
      <c r="J8471" s="10" t="str">
        <f>HYPERLINK("https://www.boe.es/gazeta/dias/1834/02/25/pdfs/GMD-1834-25.pdf#page=6","Abrir facsímil")</f>
        <v>Abrir facsímil</v>
      </c>
      <c r="K8471" s="10" t="s">
        <v>37</v>
      </c>
    </row>
    <row r="8472" spans="1:11" ht="54" customHeight="1">
      <c r="A8472" s="9" t="s">
        <v>18115</v>
      </c>
      <c r="B8472" s="9" t="s">
        <v>18116</v>
      </c>
      <c r="C8472" s="9" t="s">
        <v>66</v>
      </c>
      <c r="D8472" s="9" t="s">
        <v>67</v>
      </c>
      <c r="E8472" s="10" t="s">
        <v>1597</v>
      </c>
      <c r="F8472" s="9" t="s">
        <v>1598</v>
      </c>
      <c r="G8472" s="10" t="s">
        <v>86</v>
      </c>
      <c r="H8472" s="9" t="s">
        <v>35</v>
      </c>
      <c r="I8472" s="9" t="s">
        <v>18117</v>
      </c>
      <c r="J8472" s="10" t="str">
        <f>HYPERLINK("https://www.boe.es/gazeta/dias/1834/10/03/pdfs/GMD-1834-231.pdf#page=2","Abrir facsímil")</f>
        <v>Abrir facsímil</v>
      </c>
      <c r="K8472" s="10" t="s">
        <v>37</v>
      </c>
    </row>
    <row r="8473" spans="1:11" ht="54" customHeight="1">
      <c r="A8473" s="9" t="s">
        <v>18118</v>
      </c>
      <c r="B8473" s="9" t="s">
        <v>18119</v>
      </c>
      <c r="C8473" s="9" t="s">
        <v>17</v>
      </c>
      <c r="D8473" s="9" t="s">
        <v>55</v>
      </c>
      <c r="E8473" s="10" t="s">
        <v>330</v>
      </c>
      <c r="F8473" s="9" t="s">
        <v>331</v>
      </c>
      <c r="G8473" s="10" t="s">
        <v>75</v>
      </c>
      <c r="H8473" s="9" t="s">
        <v>35</v>
      </c>
      <c r="I8473" s="9" t="s">
        <v>18120</v>
      </c>
      <c r="J8473" s="10" t="str">
        <f>HYPERLINK("https://www.boe.es/gazeta/dias/1834/12/03/pdfs/GMD-1834-292.pdf#page=4","Abrir facsímil")</f>
        <v>Abrir facsímil</v>
      </c>
      <c r="K8473" s="10" t="s">
        <v>37</v>
      </c>
    </row>
    <row r="8474" spans="1:11" ht="54" customHeight="1">
      <c r="A8474" s="9" t="s">
        <v>18121</v>
      </c>
      <c r="B8474" s="9" t="s">
        <v>18122</v>
      </c>
      <c r="C8474" s="9" t="s">
        <v>66</v>
      </c>
      <c r="D8474" s="9" t="s">
        <v>67</v>
      </c>
      <c r="E8474" s="10" t="s">
        <v>1597</v>
      </c>
      <c r="F8474" s="9" t="s">
        <v>1598</v>
      </c>
      <c r="G8474" s="10" t="s">
        <v>86</v>
      </c>
      <c r="H8474" s="9" t="s">
        <v>22</v>
      </c>
      <c r="I8474" s="9" t="s">
        <v>18123</v>
      </c>
      <c r="J8474" s="10" t="str">
        <f>HYPERLINK("https://www.boe.es/gazeta/dias/1834/10/03/pdfs/GMD-1834-231.pdf#page=2","Abrir facsímil")</f>
        <v>Abrir facsímil</v>
      </c>
      <c r="K8474" s="10" t="s">
        <v>24</v>
      </c>
    </row>
    <row r="8475" spans="1:11" ht="54" customHeight="1">
      <c r="A8475" s="9" t="s">
        <v>18124</v>
      </c>
      <c r="B8475" s="9" t="s">
        <v>18124</v>
      </c>
      <c r="C8475" s="9" t="s">
        <v>66</v>
      </c>
      <c r="D8475" s="9" t="s">
        <v>67</v>
      </c>
      <c r="E8475" s="10" t="s">
        <v>1113</v>
      </c>
      <c r="F8475" s="9" t="s">
        <v>1114</v>
      </c>
      <c r="G8475" s="10" t="s">
        <v>75</v>
      </c>
      <c r="H8475" s="9" t="s">
        <v>22</v>
      </c>
      <c r="I8475" s="9" t="s">
        <v>18125</v>
      </c>
      <c r="J8475" s="10" t="str">
        <f>HYPERLINK("https://www.boe.es/gazeta/dias/1834/04/14/pdfs/GMD-1834-53.pdf#page=4","Abrir facsímil")</f>
        <v>Abrir facsímil</v>
      </c>
      <c r="K8475" s="10" t="s">
        <v>24</v>
      </c>
    </row>
    <row r="8476" spans="1:11" ht="54" customHeight="1">
      <c r="A8476" s="9" t="s">
        <v>18126</v>
      </c>
      <c r="B8476" s="9" t="s">
        <v>18127</v>
      </c>
      <c r="C8476" s="9" t="s">
        <v>66</v>
      </c>
      <c r="D8476" s="9" t="s">
        <v>67</v>
      </c>
      <c r="E8476" s="10" t="s">
        <v>1113</v>
      </c>
      <c r="F8476" s="9" t="s">
        <v>1114</v>
      </c>
      <c r="G8476" s="10" t="s">
        <v>75</v>
      </c>
      <c r="H8476" s="9" t="s">
        <v>35</v>
      </c>
      <c r="I8476" s="9" t="s">
        <v>18128</v>
      </c>
      <c r="J8476" s="10" t="str">
        <f>HYPERLINK("https://www.boe.es/gazeta/dias/1834/04/14/pdfs/GMD-1834-53.pdf#page=4","Abrir facsímil")</f>
        <v>Abrir facsímil</v>
      </c>
      <c r="K8476" s="10" t="s">
        <v>37</v>
      </c>
    </row>
    <row r="8477" spans="1:11" ht="54" customHeight="1">
      <c r="A8477" s="9" t="s">
        <v>18129</v>
      </c>
      <c r="B8477" s="9" t="s">
        <v>18129</v>
      </c>
      <c r="C8477" s="9" t="s">
        <v>857</v>
      </c>
      <c r="D8477" s="9" t="s">
        <v>18</v>
      </c>
      <c r="E8477" s="10" t="s">
        <v>899</v>
      </c>
      <c r="F8477" s="9" t="s">
        <v>900</v>
      </c>
      <c r="G8477" s="10" t="s">
        <v>21</v>
      </c>
      <c r="H8477" s="9" t="s">
        <v>22</v>
      </c>
      <c r="I8477" s="9" t="s">
        <v>18130</v>
      </c>
      <c r="J8477" s="10" t="str">
        <f>HYPERLINK("https://www.boe.es/gazeta/dias/1834/01/30/pdfs/GMD-1834-14.pdf#page=3","Abrir facsímil")</f>
        <v>Abrir facsímil</v>
      </c>
      <c r="K8477" s="10" t="s">
        <v>24</v>
      </c>
    </row>
    <row r="8478" spans="1:11" ht="54" customHeight="1">
      <c r="A8478" s="9" t="s">
        <v>18131</v>
      </c>
      <c r="B8478" s="9" t="s">
        <v>18131</v>
      </c>
      <c r="C8478" s="9" t="s">
        <v>46</v>
      </c>
      <c r="D8478" s="9" t="s">
        <v>101</v>
      </c>
      <c r="E8478" s="10" t="s">
        <v>1459</v>
      </c>
      <c r="F8478" s="9" t="s">
        <v>1460</v>
      </c>
      <c r="G8478" s="10" t="s">
        <v>34</v>
      </c>
      <c r="H8478" s="9" t="s">
        <v>22</v>
      </c>
      <c r="I8478" s="9" t="s">
        <v>18132</v>
      </c>
      <c r="J8478" s="10" t="str">
        <f>HYPERLINK("https://www.boe.es/gazeta/dias/1834/08/18/pdfs/GMD-1834-184.pdf#page=1","Abrir facsímil")</f>
        <v>Abrir facsímil</v>
      </c>
      <c r="K8478" s="10" t="s">
        <v>24</v>
      </c>
    </row>
    <row r="8479" spans="1:11" ht="54" customHeight="1">
      <c r="A8479" s="9" t="s">
        <v>18131</v>
      </c>
      <c r="B8479" s="9" t="s">
        <v>18131</v>
      </c>
      <c r="C8479" s="9" t="s">
        <v>17</v>
      </c>
      <c r="D8479" s="9" t="s">
        <v>18</v>
      </c>
      <c r="E8479" s="10" t="s">
        <v>1677</v>
      </c>
      <c r="F8479" s="9" t="s">
        <v>1678</v>
      </c>
      <c r="G8479" s="10" t="s">
        <v>21</v>
      </c>
      <c r="H8479" s="9" t="s">
        <v>22</v>
      </c>
      <c r="I8479" s="9" t="s">
        <v>18133</v>
      </c>
      <c r="J8479" s="10" t="str">
        <f>HYPERLINK("https://www.boe.es/gazeta/dias/1834/07/26/pdfs/GMD-1834-159.pdf#page=3","Abrir facsímil")</f>
        <v>Abrir facsímil</v>
      </c>
      <c r="K8479" s="10" t="s">
        <v>24</v>
      </c>
    </row>
    <row r="8480" spans="1:11" ht="54" customHeight="1">
      <c r="A8480" s="9" t="s">
        <v>18134</v>
      </c>
      <c r="B8480" s="9" t="s">
        <v>18134</v>
      </c>
      <c r="C8480" s="9" t="s">
        <v>66</v>
      </c>
      <c r="D8480" s="9" t="s">
        <v>67</v>
      </c>
      <c r="E8480" s="10" t="s">
        <v>1297</v>
      </c>
      <c r="F8480" s="9" t="s">
        <v>1298</v>
      </c>
      <c r="G8480" s="10" t="s">
        <v>34</v>
      </c>
      <c r="H8480" s="9" t="s">
        <v>22</v>
      </c>
      <c r="I8480" s="9" t="s">
        <v>18135</v>
      </c>
      <c r="J8480" s="10" t="str">
        <f>HYPERLINK("https://www.boe.es/gazeta/dias/1834/08/01/pdfs/GMD-1834-165.pdf#page=1","Abrir facsímil")</f>
        <v>Abrir facsímil</v>
      </c>
      <c r="K8480" s="10" t="s">
        <v>24</v>
      </c>
    </row>
    <row r="8481" spans="1:11" ht="54" customHeight="1">
      <c r="A8481" s="9" t="s">
        <v>18136</v>
      </c>
      <c r="B8481" s="9" t="s">
        <v>18136</v>
      </c>
      <c r="C8481" s="9" t="s">
        <v>122</v>
      </c>
      <c r="D8481" s="9" t="s">
        <v>55</v>
      </c>
      <c r="E8481" s="10" t="s">
        <v>506</v>
      </c>
      <c r="F8481" s="9" t="s">
        <v>507</v>
      </c>
      <c r="G8481" s="10" t="s">
        <v>21</v>
      </c>
      <c r="H8481" s="9" t="s">
        <v>22</v>
      </c>
      <c r="I8481" s="9" t="s">
        <v>18137</v>
      </c>
      <c r="J8481" s="10" t="str">
        <f>HYPERLINK("https://www.boe.es/gazeta/dias/1834/03/04/pdfs/GMD-1834-28.pdf#page=3","Abrir facsímil")</f>
        <v>Abrir facsímil</v>
      </c>
      <c r="K8481" s="10" t="s">
        <v>24</v>
      </c>
    </row>
    <row r="8482" spans="1:11" ht="54" customHeight="1">
      <c r="A8482" s="9" t="s">
        <v>18136</v>
      </c>
      <c r="B8482" s="9" t="s">
        <v>18136</v>
      </c>
      <c r="C8482" s="9" t="s">
        <v>17</v>
      </c>
      <c r="D8482" s="9" t="s">
        <v>55</v>
      </c>
      <c r="E8482" s="10" t="s">
        <v>1103</v>
      </c>
      <c r="F8482" s="9" t="s">
        <v>1259</v>
      </c>
      <c r="G8482" s="10" t="s">
        <v>34</v>
      </c>
      <c r="H8482" s="9" t="s">
        <v>22</v>
      </c>
      <c r="I8482" s="9" t="s">
        <v>18138</v>
      </c>
      <c r="J8482" s="10" t="str">
        <f>HYPERLINK("https://www.boe.es/gazeta/dias/1834/10/10/pdfs/GMD-1834-238.pdf#page=1","Abrir facsímil")</f>
        <v>Abrir facsímil</v>
      </c>
      <c r="K8482" s="10" t="s">
        <v>24</v>
      </c>
    </row>
    <row r="8483" spans="1:11" ht="54" customHeight="1">
      <c r="A8483" s="9" t="s">
        <v>18139</v>
      </c>
      <c r="B8483" s="9" t="s">
        <v>18139</v>
      </c>
      <c r="C8483" s="9" t="s">
        <v>122</v>
      </c>
      <c r="D8483" s="9" t="s">
        <v>55</v>
      </c>
      <c r="E8483" s="10" t="s">
        <v>1297</v>
      </c>
      <c r="F8483" s="9" t="s">
        <v>1298</v>
      </c>
      <c r="G8483" s="10" t="s">
        <v>34</v>
      </c>
      <c r="H8483" s="9" t="s">
        <v>22</v>
      </c>
      <c r="I8483" s="9" t="s">
        <v>18140</v>
      </c>
      <c r="J8483" s="10" t="str">
        <f>HYPERLINK("https://www.boe.es/gazeta/dias/1834/08/01/pdfs/GMD-1834-165.pdf#page=1","Abrir facsímil")</f>
        <v>Abrir facsímil</v>
      </c>
      <c r="K8483" s="10" t="s">
        <v>24</v>
      </c>
    </row>
    <row r="8484" spans="1:11" ht="54" customHeight="1">
      <c r="A8484" s="9" t="s">
        <v>18139</v>
      </c>
      <c r="B8484" s="9" t="s">
        <v>18139</v>
      </c>
      <c r="C8484" s="9" t="s">
        <v>17</v>
      </c>
      <c r="D8484" s="9" t="s">
        <v>18</v>
      </c>
      <c r="E8484" s="10" t="s">
        <v>1297</v>
      </c>
      <c r="F8484" s="9" t="s">
        <v>1298</v>
      </c>
      <c r="G8484" s="10" t="s">
        <v>86</v>
      </c>
      <c r="H8484" s="9" t="s">
        <v>22</v>
      </c>
      <c r="I8484" s="9" t="s">
        <v>18141</v>
      </c>
      <c r="J8484" s="10" t="str">
        <f>HYPERLINK("https://www.boe.es/gazeta/dias/1834/08/01/pdfs/GMD-1834-165.pdf#page=2","Abrir facsímil")</f>
        <v>Abrir facsímil</v>
      </c>
      <c r="K8484" s="10" t="s">
        <v>24</v>
      </c>
    </row>
    <row r="8485" spans="1:11" ht="54" customHeight="1">
      <c r="A8485" s="9" t="s">
        <v>18139</v>
      </c>
      <c r="B8485" s="9" t="s">
        <v>18139</v>
      </c>
      <c r="C8485" s="9" t="s">
        <v>46</v>
      </c>
      <c r="D8485" s="9" t="s">
        <v>55</v>
      </c>
      <c r="E8485" s="10" t="s">
        <v>905</v>
      </c>
      <c r="F8485" s="9" t="s">
        <v>1651</v>
      </c>
      <c r="G8485" s="10" t="s">
        <v>34</v>
      </c>
      <c r="H8485" s="9" t="s">
        <v>22</v>
      </c>
      <c r="I8485" s="9" t="s">
        <v>18142</v>
      </c>
      <c r="J8485" s="10" t="str">
        <f>HYPERLINK("https://www.boe.es/gazeta/dias/1834/08/02/pdfs/GMD-1834-166.pdf#page=1","Abrir facsímil")</f>
        <v>Abrir facsímil</v>
      </c>
      <c r="K8485" s="10" t="s">
        <v>24</v>
      </c>
    </row>
    <row r="8486" spans="1:11" ht="54" customHeight="1">
      <c r="A8486" s="9" t="s">
        <v>18139</v>
      </c>
      <c r="B8486" s="9" t="s">
        <v>18139</v>
      </c>
      <c r="C8486" s="9" t="s">
        <v>17</v>
      </c>
      <c r="D8486" s="9" t="s">
        <v>18</v>
      </c>
      <c r="E8486" s="10" t="s">
        <v>905</v>
      </c>
      <c r="F8486" s="9" t="s">
        <v>1651</v>
      </c>
      <c r="G8486" s="10" t="s">
        <v>86</v>
      </c>
      <c r="H8486" s="9" t="s">
        <v>22</v>
      </c>
      <c r="I8486" s="9" t="s">
        <v>18143</v>
      </c>
      <c r="J8486" s="10" t="str">
        <f>HYPERLINK("https://www.boe.es/gazeta/dias/1834/08/02/pdfs/GMD-1834-166.pdf#page=2","Abrir facsímil")</f>
        <v>Abrir facsímil</v>
      </c>
      <c r="K8486" s="10" t="s">
        <v>24</v>
      </c>
    </row>
    <row r="8487" spans="1:11" ht="54" customHeight="1">
      <c r="A8487" s="9" t="s">
        <v>18139</v>
      </c>
      <c r="B8487" s="9" t="s">
        <v>18139</v>
      </c>
      <c r="C8487" s="9" t="s">
        <v>46</v>
      </c>
      <c r="D8487" s="9" t="s">
        <v>101</v>
      </c>
      <c r="E8487" s="10" t="s">
        <v>1704</v>
      </c>
      <c r="F8487" s="9" t="s">
        <v>1705</v>
      </c>
      <c r="G8487" s="10" t="s">
        <v>21</v>
      </c>
      <c r="H8487" s="9" t="s">
        <v>22</v>
      </c>
      <c r="I8487" s="9" t="s">
        <v>18144</v>
      </c>
      <c r="J8487" s="10" t="str">
        <f>HYPERLINK("https://www.boe.es/gazeta/dias/1834/12/02/pdfs/GMD-1834-291.pdf#page=3","Abrir facsímil")</f>
        <v>Abrir facsímil</v>
      </c>
      <c r="K8487" s="10" t="s">
        <v>24</v>
      </c>
    </row>
    <row r="8488" spans="1:11" ht="54" customHeight="1">
      <c r="A8488" s="9" t="s">
        <v>18139</v>
      </c>
      <c r="B8488" s="9" t="s">
        <v>18139</v>
      </c>
      <c r="C8488" s="9" t="s">
        <v>17</v>
      </c>
      <c r="D8488" s="9" t="s">
        <v>55</v>
      </c>
      <c r="E8488" s="10" t="s">
        <v>1653</v>
      </c>
      <c r="F8488" s="9" t="s">
        <v>1654</v>
      </c>
      <c r="G8488" s="10" t="s">
        <v>86</v>
      </c>
      <c r="H8488" s="9" t="s">
        <v>22</v>
      </c>
      <c r="I8488" s="9" t="s">
        <v>18145</v>
      </c>
      <c r="J8488" s="10" t="str">
        <f>HYPERLINK("https://www.boe.es/gazeta/dias/1834/07/03/pdfs/GMD-1834-136.pdf#page=2","Abrir facsímil")</f>
        <v>Abrir facsímil</v>
      </c>
      <c r="K8488" s="10" t="s">
        <v>24</v>
      </c>
    </row>
    <row r="8489" spans="1:11" ht="54" customHeight="1">
      <c r="A8489" s="9" t="s">
        <v>18139</v>
      </c>
      <c r="B8489" s="9" t="s">
        <v>18139</v>
      </c>
      <c r="C8489" s="9" t="s">
        <v>17</v>
      </c>
      <c r="D8489" s="9" t="s">
        <v>55</v>
      </c>
      <c r="E8489" s="10" t="s">
        <v>330</v>
      </c>
      <c r="F8489" s="9" t="s">
        <v>331</v>
      </c>
      <c r="G8489" s="10" t="s">
        <v>86</v>
      </c>
      <c r="H8489" s="9" t="s">
        <v>22</v>
      </c>
      <c r="I8489" s="9" t="s">
        <v>18146</v>
      </c>
      <c r="J8489" s="10" t="str">
        <f>HYPERLINK("https://www.boe.es/gazeta/dias/1834/12/03/pdfs/GMD-1834-292.pdf#page=2","Abrir facsímil")</f>
        <v>Abrir facsímil</v>
      </c>
      <c r="K8489" s="10" t="s">
        <v>24</v>
      </c>
    </row>
    <row r="8490" spans="1:11" ht="54" customHeight="1">
      <c r="A8490" s="9" t="s">
        <v>18139</v>
      </c>
      <c r="B8490" s="9" t="s">
        <v>18139</v>
      </c>
      <c r="C8490" s="9" t="s">
        <v>122</v>
      </c>
      <c r="D8490" s="9" t="s">
        <v>55</v>
      </c>
      <c r="E8490" s="10" t="s">
        <v>506</v>
      </c>
      <c r="F8490" s="9" t="s">
        <v>507</v>
      </c>
      <c r="G8490" s="10" t="s">
        <v>21</v>
      </c>
      <c r="H8490" s="9" t="s">
        <v>22</v>
      </c>
      <c r="I8490" s="9" t="s">
        <v>18147</v>
      </c>
      <c r="J8490" s="10" t="str">
        <f>HYPERLINK("https://www.boe.es/gazeta/dias/1834/03/04/pdfs/GMD-1834-28.pdf#page=3","Abrir facsímil")</f>
        <v>Abrir facsímil</v>
      </c>
      <c r="K8490" s="10" t="s">
        <v>24</v>
      </c>
    </row>
    <row r="8491" spans="1:11" ht="54" customHeight="1">
      <c r="A8491" s="9" t="s">
        <v>18139</v>
      </c>
      <c r="B8491" s="9" t="s">
        <v>18139</v>
      </c>
      <c r="C8491" s="9" t="s">
        <v>46</v>
      </c>
      <c r="D8491" s="9" t="s">
        <v>18</v>
      </c>
      <c r="E8491" s="10" t="s">
        <v>2212</v>
      </c>
      <c r="F8491" s="9" t="s">
        <v>5450</v>
      </c>
      <c r="G8491" s="10" t="s">
        <v>21</v>
      </c>
      <c r="H8491" s="9" t="s">
        <v>22</v>
      </c>
      <c r="I8491" s="9" t="s">
        <v>18148</v>
      </c>
      <c r="J8491" s="10" t="str">
        <f>HYPERLINK("https://www.boe.es/gazeta/dias/1834/08/04/pdfs/GMD-1834-168.pdf#page=3","Abrir facsímil")</f>
        <v>Abrir facsímil</v>
      </c>
      <c r="K8491" s="10" t="s">
        <v>24</v>
      </c>
    </row>
    <row r="8492" spans="1:11" ht="54" customHeight="1">
      <c r="A8492" s="9" t="s">
        <v>18139</v>
      </c>
      <c r="B8492" s="9" t="s">
        <v>18139</v>
      </c>
      <c r="C8492" s="9" t="s">
        <v>17</v>
      </c>
      <c r="D8492" s="9" t="s">
        <v>18</v>
      </c>
      <c r="E8492" s="10" t="s">
        <v>47</v>
      </c>
      <c r="F8492" s="9" t="s">
        <v>1466</v>
      </c>
      <c r="G8492" s="10" t="s">
        <v>86</v>
      </c>
      <c r="H8492" s="9" t="s">
        <v>22</v>
      </c>
      <c r="I8492" s="9" t="s">
        <v>18149</v>
      </c>
      <c r="J8492" s="10" t="str">
        <f>HYPERLINK("https://www.boe.es/gazeta/dias/1834/09/05/pdfs/GMD-1834-203.pdf#page=2","Abrir facsímil")</f>
        <v>Abrir facsímil</v>
      </c>
      <c r="K8492" s="10" t="s">
        <v>24</v>
      </c>
    </row>
    <row r="8493" spans="1:11" ht="54" customHeight="1">
      <c r="A8493" s="9" t="s">
        <v>18139</v>
      </c>
      <c r="B8493" s="9" t="s">
        <v>18139</v>
      </c>
      <c r="C8493" s="9" t="s">
        <v>46</v>
      </c>
      <c r="D8493" s="9" t="s">
        <v>55</v>
      </c>
      <c r="E8493" s="10" t="s">
        <v>3699</v>
      </c>
      <c r="F8493" s="9" t="s">
        <v>3700</v>
      </c>
      <c r="G8493" s="10" t="s">
        <v>86</v>
      </c>
      <c r="H8493" s="9" t="s">
        <v>22</v>
      </c>
      <c r="I8493" s="9" t="s">
        <v>18150</v>
      </c>
      <c r="J8493" s="10" t="str">
        <f>HYPERLINK("https://www.boe.es/gazeta/dias/1834/02/06/pdfs/GMD-1834-17.pdf#page=2","Abrir facsímil")</f>
        <v>Abrir facsímil</v>
      </c>
      <c r="K8493" s="10" t="s">
        <v>24</v>
      </c>
    </row>
    <row r="8494" spans="1:11" ht="54" customHeight="1">
      <c r="A8494" s="9" t="s">
        <v>18139</v>
      </c>
      <c r="B8494" s="9" t="s">
        <v>18139</v>
      </c>
      <c r="C8494" s="9" t="s">
        <v>17</v>
      </c>
      <c r="D8494" s="9" t="s">
        <v>18</v>
      </c>
      <c r="E8494" s="10" t="s">
        <v>653</v>
      </c>
      <c r="F8494" s="9" t="s">
        <v>3369</v>
      </c>
      <c r="G8494" s="10" t="s">
        <v>86</v>
      </c>
      <c r="H8494" s="9" t="s">
        <v>22</v>
      </c>
      <c r="I8494" s="9" t="s">
        <v>18151</v>
      </c>
      <c r="J8494" s="10" t="str">
        <f>HYPERLINK("https://www.boe.es/gazeta/dias/1834/08/06/pdfs/GMD-1834-170.pdf#page=2","Abrir facsímil")</f>
        <v>Abrir facsímil</v>
      </c>
      <c r="K8494" s="10" t="s">
        <v>24</v>
      </c>
    </row>
    <row r="8495" spans="1:11" ht="54" customHeight="1">
      <c r="A8495" s="9" t="s">
        <v>18139</v>
      </c>
      <c r="B8495" s="9" t="s">
        <v>18139</v>
      </c>
      <c r="C8495" s="9" t="s">
        <v>17</v>
      </c>
      <c r="D8495" s="9" t="s">
        <v>18</v>
      </c>
      <c r="E8495" s="10" t="s">
        <v>61</v>
      </c>
      <c r="F8495" s="9" t="s">
        <v>205</v>
      </c>
      <c r="G8495" s="10" t="s">
        <v>34</v>
      </c>
      <c r="H8495" s="9" t="s">
        <v>22</v>
      </c>
      <c r="I8495" s="9" t="s">
        <v>18152</v>
      </c>
      <c r="J8495" s="10" t="str">
        <f>HYPERLINK("https://www.boe.es/gazeta/dias/1834/06/08/pdfs/GMD-1834-110.pdf#page=1","Abrir facsímil")</f>
        <v>Abrir facsímil</v>
      </c>
      <c r="K8495" s="10" t="s">
        <v>24</v>
      </c>
    </row>
    <row r="8496" spans="1:11" ht="54" customHeight="1">
      <c r="A8496" s="9" t="s">
        <v>18139</v>
      </c>
      <c r="B8496" s="9" t="s">
        <v>18139</v>
      </c>
      <c r="C8496" s="9" t="s">
        <v>17</v>
      </c>
      <c r="D8496" s="9" t="s">
        <v>18</v>
      </c>
      <c r="E8496" s="10" t="s">
        <v>61</v>
      </c>
      <c r="F8496" s="9" t="s">
        <v>205</v>
      </c>
      <c r="G8496" s="10" t="s">
        <v>86</v>
      </c>
      <c r="H8496" s="9" t="s">
        <v>22</v>
      </c>
      <c r="I8496" s="9" t="s">
        <v>18153</v>
      </c>
      <c r="J8496" s="10" t="str">
        <f>HYPERLINK("https://www.boe.es/gazeta/dias/1834/06/08/pdfs/GMD-1834-110.pdf#page=2","Abrir facsímil")</f>
        <v>Abrir facsímil</v>
      </c>
      <c r="K8496" s="10" t="s">
        <v>24</v>
      </c>
    </row>
    <row r="8497" spans="1:11" ht="54" customHeight="1">
      <c r="A8497" s="9" t="s">
        <v>18139</v>
      </c>
      <c r="B8497" s="9" t="s">
        <v>18139</v>
      </c>
      <c r="C8497" s="9" t="s">
        <v>122</v>
      </c>
      <c r="D8497" s="9" t="s">
        <v>18</v>
      </c>
      <c r="E8497" s="10" t="s">
        <v>813</v>
      </c>
      <c r="F8497" s="9" t="s">
        <v>814</v>
      </c>
      <c r="G8497" s="10" t="s">
        <v>34</v>
      </c>
      <c r="H8497" s="9" t="s">
        <v>22</v>
      </c>
      <c r="I8497" s="9" t="s">
        <v>18154</v>
      </c>
      <c r="J8497" s="10" t="str">
        <f>HYPERLINK("https://www.boe.es/gazeta/dias/1834/08/08/pdfs/GMD-1834-173.pdf#page=1","Abrir facsímil")</f>
        <v>Abrir facsímil</v>
      </c>
      <c r="K8497" s="10" t="s">
        <v>24</v>
      </c>
    </row>
    <row r="8498" spans="1:11" ht="54" customHeight="1">
      <c r="A8498" s="9" t="s">
        <v>18139</v>
      </c>
      <c r="B8498" s="9" t="s">
        <v>18139</v>
      </c>
      <c r="C8498" s="9" t="s">
        <v>46</v>
      </c>
      <c r="D8498" s="9" t="s">
        <v>55</v>
      </c>
      <c r="E8498" s="10" t="s">
        <v>4637</v>
      </c>
      <c r="F8498" s="9" t="s">
        <v>4638</v>
      </c>
      <c r="G8498" s="10" t="s">
        <v>21</v>
      </c>
      <c r="H8498" s="9" t="s">
        <v>22</v>
      </c>
      <c r="I8498" s="9" t="s">
        <v>18155</v>
      </c>
      <c r="J8498" s="10" t="str">
        <f>HYPERLINK("https://www.boe.es/gazeta/dias/1834/12/08/pdfs/GMD-1834-297.pdf#page=3","Abrir facsímil")</f>
        <v>Abrir facsímil</v>
      </c>
      <c r="K8498" s="10" t="s">
        <v>24</v>
      </c>
    </row>
    <row r="8499" spans="1:11" ht="54" customHeight="1">
      <c r="A8499" s="9" t="s">
        <v>18139</v>
      </c>
      <c r="B8499" s="9" t="s">
        <v>18139</v>
      </c>
      <c r="C8499" s="9" t="s">
        <v>46</v>
      </c>
      <c r="D8499" s="9" t="s">
        <v>55</v>
      </c>
      <c r="E8499" s="10" t="s">
        <v>163</v>
      </c>
      <c r="F8499" s="9" t="s">
        <v>164</v>
      </c>
      <c r="G8499" s="10" t="s">
        <v>86</v>
      </c>
      <c r="H8499" s="9" t="s">
        <v>22</v>
      </c>
      <c r="I8499" s="9" t="s">
        <v>18156</v>
      </c>
      <c r="J8499" s="10" t="str">
        <f>HYPERLINK("https://www.boe.es/gazeta/dias/1834/08/09/pdfs/GMD-1834-174.pdf#page=2","Abrir facsímil")</f>
        <v>Abrir facsímil</v>
      </c>
      <c r="K8499" s="10" t="s">
        <v>24</v>
      </c>
    </row>
    <row r="8500" spans="1:11" ht="54" customHeight="1">
      <c r="A8500" s="9" t="s">
        <v>18139</v>
      </c>
      <c r="B8500" s="9" t="s">
        <v>18139</v>
      </c>
      <c r="C8500" s="9" t="s">
        <v>90</v>
      </c>
      <c r="D8500" s="9" t="s">
        <v>101</v>
      </c>
      <c r="E8500" s="10" t="s">
        <v>1410</v>
      </c>
      <c r="F8500" s="9" t="s">
        <v>1411</v>
      </c>
      <c r="G8500" s="10" t="s">
        <v>34</v>
      </c>
      <c r="H8500" s="9" t="s">
        <v>22</v>
      </c>
      <c r="I8500" s="9" t="s">
        <v>18157</v>
      </c>
      <c r="J8500" s="10" t="str">
        <f>HYPERLINK("https://www.boe.es/gazeta/dias/1834/09/09/pdfs/GMD-1834-207.pdf#page=1","Abrir facsímil")</f>
        <v>Abrir facsímil</v>
      </c>
      <c r="K8500" s="10" t="s">
        <v>24</v>
      </c>
    </row>
    <row r="8501" spans="1:11" ht="54" customHeight="1">
      <c r="A8501" s="9" t="s">
        <v>18139</v>
      </c>
      <c r="B8501" s="9" t="s">
        <v>18139</v>
      </c>
      <c r="C8501" s="9" t="s">
        <v>17</v>
      </c>
      <c r="D8501" s="9" t="s">
        <v>18</v>
      </c>
      <c r="E8501" s="10" t="s">
        <v>1410</v>
      </c>
      <c r="F8501" s="9" t="s">
        <v>1411</v>
      </c>
      <c r="G8501" s="10" t="s">
        <v>86</v>
      </c>
      <c r="H8501" s="9" t="s">
        <v>22</v>
      </c>
      <c r="I8501" s="9" t="s">
        <v>18158</v>
      </c>
      <c r="J8501" s="10" t="str">
        <f>HYPERLINK("https://www.boe.es/gazeta/dias/1834/09/09/pdfs/GMD-1834-207.pdf#page=2","Abrir facsímil")</f>
        <v>Abrir facsímil</v>
      </c>
      <c r="K8501" s="10" t="s">
        <v>24</v>
      </c>
    </row>
    <row r="8502" spans="1:11" ht="54" customHeight="1">
      <c r="A8502" s="9" t="s">
        <v>18139</v>
      </c>
      <c r="B8502" s="9" t="s">
        <v>18139</v>
      </c>
      <c r="C8502" s="9" t="s">
        <v>46</v>
      </c>
      <c r="D8502" s="9" t="s">
        <v>55</v>
      </c>
      <c r="E8502" s="10" t="s">
        <v>1268</v>
      </c>
      <c r="F8502" s="9" t="s">
        <v>1269</v>
      </c>
      <c r="G8502" s="10" t="s">
        <v>86</v>
      </c>
      <c r="H8502" s="9" t="s">
        <v>22</v>
      </c>
      <c r="I8502" s="9" t="s">
        <v>18159</v>
      </c>
      <c r="J8502" s="10" t="str">
        <f>HYPERLINK("https://www.boe.es/gazeta/dias/1834/12/09/pdfs/GMD-1834-298.pdf#page=2","Abrir facsímil")</f>
        <v>Abrir facsímil</v>
      </c>
      <c r="K8502" s="10" t="s">
        <v>24</v>
      </c>
    </row>
    <row r="8503" spans="1:11" ht="54" customHeight="1">
      <c r="A8503" s="9" t="s">
        <v>18139</v>
      </c>
      <c r="B8503" s="9" t="s">
        <v>18139</v>
      </c>
      <c r="C8503" s="9" t="s">
        <v>46</v>
      </c>
      <c r="D8503" s="9" t="s">
        <v>18</v>
      </c>
      <c r="E8503" s="10" t="s">
        <v>1318</v>
      </c>
      <c r="F8503" s="9" t="s">
        <v>1319</v>
      </c>
      <c r="G8503" s="10" t="s">
        <v>21</v>
      </c>
      <c r="H8503" s="9" t="s">
        <v>22</v>
      </c>
      <c r="I8503" s="9" t="s">
        <v>18160</v>
      </c>
      <c r="J8503" s="10" t="str">
        <f>HYPERLINK("https://www.boe.es/gazeta/dias/1834/05/10/pdfs/GMD-1834-79.pdf#page=3","Abrir facsímil")</f>
        <v>Abrir facsímil</v>
      </c>
      <c r="K8503" s="10" t="s">
        <v>24</v>
      </c>
    </row>
    <row r="8504" spans="1:11" ht="54" customHeight="1">
      <c r="A8504" s="9" t="s">
        <v>18139</v>
      </c>
      <c r="B8504" s="9" t="s">
        <v>18139</v>
      </c>
      <c r="C8504" s="9" t="s">
        <v>17</v>
      </c>
      <c r="D8504" s="9" t="s">
        <v>55</v>
      </c>
      <c r="E8504" s="10" t="s">
        <v>1103</v>
      </c>
      <c r="F8504" s="9" t="s">
        <v>1259</v>
      </c>
      <c r="G8504" s="10" t="s">
        <v>34</v>
      </c>
      <c r="H8504" s="9" t="s">
        <v>22</v>
      </c>
      <c r="I8504" s="9" t="s">
        <v>18161</v>
      </c>
      <c r="J8504" s="10" t="str">
        <f>HYPERLINK("https://www.boe.es/gazeta/dias/1834/10/10/pdfs/GMD-1834-238.pdf#page=1","Abrir facsímil")</f>
        <v>Abrir facsímil</v>
      </c>
      <c r="K8504" s="10" t="s">
        <v>24</v>
      </c>
    </row>
    <row r="8505" spans="1:11" ht="54" customHeight="1">
      <c r="A8505" s="9" t="s">
        <v>18139</v>
      </c>
      <c r="B8505" s="9" t="s">
        <v>18139</v>
      </c>
      <c r="C8505" s="9" t="s">
        <v>90</v>
      </c>
      <c r="D8505" s="9" t="s">
        <v>18</v>
      </c>
      <c r="E8505" s="10" t="s">
        <v>1103</v>
      </c>
      <c r="F8505" s="9" t="s">
        <v>1259</v>
      </c>
      <c r="G8505" s="10" t="s">
        <v>86</v>
      </c>
      <c r="H8505" s="9" t="s">
        <v>22</v>
      </c>
      <c r="I8505" s="9" t="s">
        <v>18162</v>
      </c>
      <c r="J8505" s="10" t="str">
        <f>HYPERLINK("https://www.boe.es/gazeta/dias/1834/10/10/pdfs/GMD-1834-238.pdf#page=2","Abrir facsímil")</f>
        <v>Abrir facsímil</v>
      </c>
      <c r="K8505" s="10" t="s">
        <v>24</v>
      </c>
    </row>
    <row r="8506" spans="1:11" ht="54" customHeight="1">
      <c r="A8506" s="9" t="s">
        <v>18139</v>
      </c>
      <c r="B8506" s="9" t="s">
        <v>18139</v>
      </c>
      <c r="C8506" s="9" t="s">
        <v>17</v>
      </c>
      <c r="D8506" s="9" t="s">
        <v>55</v>
      </c>
      <c r="E8506" s="10" t="s">
        <v>1883</v>
      </c>
      <c r="F8506" s="9" t="s">
        <v>1884</v>
      </c>
      <c r="G8506" s="10" t="s">
        <v>86</v>
      </c>
      <c r="H8506" s="9" t="s">
        <v>22</v>
      </c>
      <c r="I8506" s="9" t="s">
        <v>18163</v>
      </c>
      <c r="J8506" s="10" t="str">
        <f>HYPERLINK("https://www.boe.es/gazeta/dias/1834/01/11/pdfs/GMD-1834-6.pdf#page=2","Abrir facsímil")</f>
        <v>Abrir facsímil</v>
      </c>
      <c r="K8506" s="10" t="s">
        <v>24</v>
      </c>
    </row>
    <row r="8507" spans="1:11" ht="54" customHeight="1">
      <c r="A8507" s="9" t="s">
        <v>18139</v>
      </c>
      <c r="B8507" s="9" t="s">
        <v>18139</v>
      </c>
      <c r="C8507" s="9" t="s">
        <v>17</v>
      </c>
      <c r="D8507" s="9" t="s">
        <v>18</v>
      </c>
      <c r="E8507" s="10" t="s">
        <v>2048</v>
      </c>
      <c r="F8507" s="9" t="s">
        <v>2049</v>
      </c>
      <c r="G8507" s="10" t="s">
        <v>86</v>
      </c>
      <c r="H8507" s="9" t="s">
        <v>22</v>
      </c>
      <c r="I8507" s="9" t="s">
        <v>18164</v>
      </c>
      <c r="J8507" s="10" t="str">
        <f>HYPERLINK("https://www.boe.es/gazeta/dias/1834/05/12/pdfs/GMD-1834-81.pdf#page=2","Abrir facsímil")</f>
        <v>Abrir facsímil</v>
      </c>
      <c r="K8507" s="10" t="s">
        <v>24</v>
      </c>
    </row>
    <row r="8508" spans="1:11" ht="54" customHeight="1">
      <c r="A8508" s="9" t="s">
        <v>18139</v>
      </c>
      <c r="B8508" s="9" t="s">
        <v>18139</v>
      </c>
      <c r="C8508" s="9" t="s">
        <v>46</v>
      </c>
      <c r="D8508" s="9" t="s">
        <v>18</v>
      </c>
      <c r="E8508" s="10" t="s">
        <v>348</v>
      </c>
      <c r="F8508" s="9" t="s">
        <v>501</v>
      </c>
      <c r="G8508" s="10" t="s">
        <v>34</v>
      </c>
      <c r="H8508" s="9" t="s">
        <v>22</v>
      </c>
      <c r="I8508" s="9" t="s">
        <v>18165</v>
      </c>
      <c r="J8508" s="10" t="str">
        <f>HYPERLINK("https://www.boe.es/gazeta/dias/1834/06/12/pdfs/GMD-1834-115.pdf#page=1","Abrir facsímil")</f>
        <v>Abrir facsímil</v>
      </c>
      <c r="K8508" s="10" t="s">
        <v>24</v>
      </c>
    </row>
    <row r="8509" spans="1:11" ht="54" customHeight="1">
      <c r="A8509" s="9" t="s">
        <v>18139</v>
      </c>
      <c r="B8509" s="9" t="s">
        <v>18139</v>
      </c>
      <c r="C8509" s="9" t="s">
        <v>46</v>
      </c>
      <c r="D8509" s="9" t="s">
        <v>101</v>
      </c>
      <c r="E8509" s="10" t="s">
        <v>348</v>
      </c>
      <c r="F8509" s="9" t="s">
        <v>501</v>
      </c>
      <c r="G8509" s="10" t="s">
        <v>86</v>
      </c>
      <c r="H8509" s="9" t="s">
        <v>22</v>
      </c>
      <c r="I8509" s="9" t="s">
        <v>18166</v>
      </c>
      <c r="J8509" s="10" t="str">
        <f>HYPERLINK("https://www.boe.es/gazeta/dias/1834/06/12/pdfs/GMD-1834-115.pdf#page=2","Abrir facsímil")</f>
        <v>Abrir facsímil</v>
      </c>
      <c r="K8509" s="10" t="s">
        <v>24</v>
      </c>
    </row>
    <row r="8510" spans="1:11" ht="54" customHeight="1">
      <c r="A8510" s="9" t="s">
        <v>18139</v>
      </c>
      <c r="B8510" s="9" t="s">
        <v>18139</v>
      </c>
      <c r="C8510" s="9" t="s">
        <v>17</v>
      </c>
      <c r="D8510" s="9" t="s">
        <v>18</v>
      </c>
      <c r="E8510" s="10" t="s">
        <v>79</v>
      </c>
      <c r="F8510" s="9" t="s">
        <v>80</v>
      </c>
      <c r="G8510" s="10" t="s">
        <v>34</v>
      </c>
      <c r="H8510" s="9" t="s">
        <v>22</v>
      </c>
      <c r="I8510" s="9" t="s">
        <v>18167</v>
      </c>
      <c r="J8510" s="10" t="str">
        <f>HYPERLINK("https://www.boe.es/gazeta/dias/1834/07/12/pdfs/GMD-1834-145.pdf#page=1","Abrir facsímil")</f>
        <v>Abrir facsímil</v>
      </c>
      <c r="K8510" s="10" t="s">
        <v>24</v>
      </c>
    </row>
    <row r="8511" spans="1:11" ht="54" customHeight="1">
      <c r="A8511" s="9" t="s">
        <v>18139</v>
      </c>
      <c r="B8511" s="9" t="s">
        <v>18139</v>
      </c>
      <c r="C8511" s="9" t="s">
        <v>17</v>
      </c>
      <c r="D8511" s="9" t="s">
        <v>55</v>
      </c>
      <c r="E8511" s="10" t="s">
        <v>299</v>
      </c>
      <c r="F8511" s="9" t="s">
        <v>300</v>
      </c>
      <c r="G8511" s="10" t="s">
        <v>21</v>
      </c>
      <c r="H8511" s="9" t="s">
        <v>22</v>
      </c>
      <c r="I8511" s="9" t="s">
        <v>18168</v>
      </c>
      <c r="J8511" s="10" t="str">
        <f>HYPERLINK("https://www.boe.es/gazeta/dias/1834/12/12/pdfs/GMD-1834-301.pdf#page=3","Abrir facsímil")</f>
        <v>Abrir facsímil</v>
      </c>
      <c r="K8511" s="10" t="s">
        <v>24</v>
      </c>
    </row>
    <row r="8512" spans="1:11" ht="54" customHeight="1">
      <c r="A8512" s="9" t="s">
        <v>18139</v>
      </c>
      <c r="B8512" s="9" t="s">
        <v>18139</v>
      </c>
      <c r="C8512" s="9" t="s">
        <v>17</v>
      </c>
      <c r="D8512" s="9" t="s">
        <v>18</v>
      </c>
      <c r="E8512" s="10" t="s">
        <v>556</v>
      </c>
      <c r="F8512" s="9" t="s">
        <v>557</v>
      </c>
      <c r="G8512" s="10" t="s">
        <v>86</v>
      </c>
      <c r="H8512" s="9" t="s">
        <v>22</v>
      </c>
      <c r="I8512" s="9" t="s">
        <v>18169</v>
      </c>
      <c r="J8512" s="10" t="str">
        <f>HYPERLINK("https://www.boe.es/gazeta/dias/1834/09/13/pdfs/GMD-1834-211.pdf#page=2","Abrir facsímil")</f>
        <v>Abrir facsímil</v>
      </c>
      <c r="K8512" s="10" t="s">
        <v>24</v>
      </c>
    </row>
    <row r="8513" spans="1:11" ht="54" customHeight="1">
      <c r="A8513" s="9" t="s">
        <v>18139</v>
      </c>
      <c r="B8513" s="9" t="s">
        <v>18139</v>
      </c>
      <c r="C8513" s="9" t="s">
        <v>46</v>
      </c>
      <c r="D8513" s="9" t="s">
        <v>101</v>
      </c>
      <c r="E8513" s="10" t="s">
        <v>2260</v>
      </c>
      <c r="F8513" s="9" t="s">
        <v>2261</v>
      </c>
      <c r="G8513" s="10" t="s">
        <v>21</v>
      </c>
      <c r="H8513" s="9" t="s">
        <v>22</v>
      </c>
      <c r="I8513" s="9" t="s">
        <v>18170</v>
      </c>
      <c r="J8513" s="10" t="str">
        <f>HYPERLINK("https://www.boe.es/gazeta/dias/1834/11/13/pdfs/GMD-1834-272.pdf#page=3","Abrir facsímil")</f>
        <v>Abrir facsímil</v>
      </c>
      <c r="K8513" s="10" t="s">
        <v>24</v>
      </c>
    </row>
    <row r="8514" spans="1:11" ht="54" customHeight="1">
      <c r="A8514" s="9" t="s">
        <v>18139</v>
      </c>
      <c r="B8514" s="9" t="s">
        <v>18139</v>
      </c>
      <c r="C8514" s="9" t="s">
        <v>17</v>
      </c>
      <c r="D8514" s="9" t="s">
        <v>18</v>
      </c>
      <c r="E8514" s="10" t="s">
        <v>237</v>
      </c>
      <c r="F8514" s="9" t="s">
        <v>4609</v>
      </c>
      <c r="G8514" s="10" t="s">
        <v>86</v>
      </c>
      <c r="H8514" s="9" t="s">
        <v>22</v>
      </c>
      <c r="I8514" s="9" t="s">
        <v>18171</v>
      </c>
      <c r="J8514" s="10" t="str">
        <f>HYPERLINK("https://www.boe.es/gazeta/dias/1834/08/15/pdfs/GMD-1834-180.pdf#page=2","Abrir facsímil")</f>
        <v>Abrir facsímil</v>
      </c>
      <c r="K8514" s="10" t="s">
        <v>24</v>
      </c>
    </row>
    <row r="8515" spans="1:11" ht="54" customHeight="1">
      <c r="A8515" s="9" t="s">
        <v>18139</v>
      </c>
      <c r="B8515" s="9" t="s">
        <v>18139</v>
      </c>
      <c r="C8515" s="9" t="s">
        <v>122</v>
      </c>
      <c r="D8515" s="9" t="s">
        <v>18</v>
      </c>
      <c r="E8515" s="10" t="s">
        <v>451</v>
      </c>
      <c r="F8515" s="9" t="s">
        <v>3350</v>
      </c>
      <c r="G8515" s="10" t="s">
        <v>86</v>
      </c>
      <c r="H8515" s="9" t="s">
        <v>22</v>
      </c>
      <c r="I8515" s="9" t="s">
        <v>18172</v>
      </c>
      <c r="J8515" s="10" t="str">
        <f>HYPERLINK("https://www.boe.es/gazeta/dias/1834/10/15/pdfs/GMD-1834-243.pdf#page=2","Abrir facsímil")</f>
        <v>Abrir facsímil</v>
      </c>
      <c r="K8515" s="10" t="s">
        <v>24</v>
      </c>
    </row>
    <row r="8516" spans="1:11" ht="54" customHeight="1">
      <c r="A8516" s="9" t="s">
        <v>18139</v>
      </c>
      <c r="B8516" s="9" t="s">
        <v>18139</v>
      </c>
      <c r="C8516" s="9" t="s">
        <v>17</v>
      </c>
      <c r="D8516" s="9" t="s">
        <v>55</v>
      </c>
      <c r="E8516" s="10" t="s">
        <v>5574</v>
      </c>
      <c r="F8516" s="9" t="s">
        <v>5575</v>
      </c>
      <c r="G8516" s="10" t="s">
        <v>86</v>
      </c>
      <c r="H8516" s="9" t="s">
        <v>22</v>
      </c>
      <c r="I8516" s="9" t="s">
        <v>18173</v>
      </c>
      <c r="J8516" s="10" t="str">
        <f>HYPERLINK("https://www.boe.es/gazeta/dias/1834/06/16/pdfs/GMD-1834-119.pdf#page=2","Abrir facsímil")</f>
        <v>Abrir facsímil</v>
      </c>
      <c r="K8516" s="10" t="s">
        <v>24</v>
      </c>
    </row>
    <row r="8517" spans="1:11" ht="54" customHeight="1">
      <c r="A8517" s="9" t="s">
        <v>18139</v>
      </c>
      <c r="B8517" s="9" t="s">
        <v>18139</v>
      </c>
      <c r="C8517" s="9" t="s">
        <v>17</v>
      </c>
      <c r="D8517" s="9" t="s">
        <v>18</v>
      </c>
      <c r="E8517" s="10" t="s">
        <v>1119</v>
      </c>
      <c r="F8517" s="9" t="s">
        <v>1120</v>
      </c>
      <c r="G8517" s="10" t="s">
        <v>86</v>
      </c>
      <c r="H8517" s="9" t="s">
        <v>22</v>
      </c>
      <c r="I8517" s="9" t="s">
        <v>18174</v>
      </c>
      <c r="J8517" s="10" t="str">
        <f>HYPERLINK("https://www.boe.es/gazeta/dias/1834/07/17/pdfs/GMD-1834-150.pdf#page=2","Abrir facsímil")</f>
        <v>Abrir facsímil</v>
      </c>
      <c r="K8517" s="10" t="s">
        <v>24</v>
      </c>
    </row>
    <row r="8518" spans="1:11" ht="54" customHeight="1">
      <c r="A8518" s="9" t="s">
        <v>18139</v>
      </c>
      <c r="B8518" s="9" t="s">
        <v>18139</v>
      </c>
      <c r="C8518" s="9" t="s">
        <v>17</v>
      </c>
      <c r="D8518" s="9" t="s">
        <v>18</v>
      </c>
      <c r="E8518" s="10" t="s">
        <v>715</v>
      </c>
      <c r="F8518" s="9" t="s">
        <v>7773</v>
      </c>
      <c r="G8518" s="10" t="s">
        <v>86</v>
      </c>
      <c r="H8518" s="9" t="s">
        <v>22</v>
      </c>
      <c r="I8518" s="9" t="s">
        <v>18175</v>
      </c>
      <c r="J8518" s="10" t="str">
        <f>HYPERLINK("https://www.boe.es/gazeta/dias/1834/09/17/pdfs/GMD-1834-215.pdf#page=2","Abrir facsímil")</f>
        <v>Abrir facsímil</v>
      </c>
      <c r="K8518" s="10" t="s">
        <v>24</v>
      </c>
    </row>
    <row r="8519" spans="1:11" ht="54" customHeight="1">
      <c r="A8519" s="9" t="s">
        <v>18139</v>
      </c>
      <c r="B8519" s="9" t="s">
        <v>18139</v>
      </c>
      <c r="C8519" s="9" t="s">
        <v>46</v>
      </c>
      <c r="D8519" s="9" t="s">
        <v>18</v>
      </c>
      <c r="E8519" s="10" t="s">
        <v>2278</v>
      </c>
      <c r="F8519" s="9" t="s">
        <v>3088</v>
      </c>
      <c r="G8519" s="10" t="s">
        <v>21</v>
      </c>
      <c r="H8519" s="9" t="s">
        <v>22</v>
      </c>
      <c r="I8519" s="9" t="s">
        <v>18176</v>
      </c>
      <c r="J8519" s="10" t="str">
        <f>HYPERLINK("https://www.boe.es/gazeta/dias/1834/12/17/pdfs/GMD-1834-306.pdf#page=3","Abrir facsímil")</f>
        <v>Abrir facsímil</v>
      </c>
      <c r="K8519" s="10" t="s">
        <v>24</v>
      </c>
    </row>
    <row r="8520" spans="1:11" ht="54" customHeight="1">
      <c r="A8520" s="9" t="s">
        <v>18139</v>
      </c>
      <c r="B8520" s="9" t="s">
        <v>18139</v>
      </c>
      <c r="C8520" s="9" t="s">
        <v>66</v>
      </c>
      <c r="D8520" s="9" t="s">
        <v>55</v>
      </c>
      <c r="E8520" s="10" t="s">
        <v>133</v>
      </c>
      <c r="F8520" s="9" t="s">
        <v>134</v>
      </c>
      <c r="G8520" s="10" t="s">
        <v>86</v>
      </c>
      <c r="H8520" s="9" t="s">
        <v>22</v>
      </c>
      <c r="I8520" s="9" t="s">
        <v>18177</v>
      </c>
      <c r="J8520" s="10" t="str">
        <f>HYPERLINK("https://www.boe.es/gazeta/dias/1834/06/18/pdfs/GMD-1834-121.pdf#page=2","Abrir facsímil")</f>
        <v>Abrir facsímil</v>
      </c>
      <c r="K8520" s="10" t="s">
        <v>24</v>
      </c>
    </row>
    <row r="8521" spans="1:11" ht="54" customHeight="1">
      <c r="A8521" s="9" t="s">
        <v>18139</v>
      </c>
      <c r="B8521" s="9" t="s">
        <v>18139</v>
      </c>
      <c r="C8521" s="9" t="s">
        <v>46</v>
      </c>
      <c r="D8521" s="9" t="s">
        <v>101</v>
      </c>
      <c r="E8521" s="10" t="s">
        <v>1459</v>
      </c>
      <c r="F8521" s="9" t="s">
        <v>1460</v>
      </c>
      <c r="G8521" s="10" t="s">
        <v>34</v>
      </c>
      <c r="H8521" s="9" t="s">
        <v>22</v>
      </c>
      <c r="I8521" s="9" t="s">
        <v>18178</v>
      </c>
      <c r="J8521" s="10" t="str">
        <f>HYPERLINK("https://www.boe.es/gazeta/dias/1834/08/18/pdfs/GMD-1834-184.pdf#page=1","Abrir facsímil")</f>
        <v>Abrir facsímil</v>
      </c>
      <c r="K8521" s="10" t="s">
        <v>24</v>
      </c>
    </row>
    <row r="8522" spans="1:11" ht="54" customHeight="1">
      <c r="A8522" s="9" t="s">
        <v>18139</v>
      </c>
      <c r="B8522" s="9" t="s">
        <v>18139</v>
      </c>
      <c r="C8522" s="9" t="s">
        <v>46</v>
      </c>
      <c r="D8522" s="9" t="s">
        <v>18</v>
      </c>
      <c r="E8522" s="10" t="s">
        <v>3810</v>
      </c>
      <c r="F8522" s="9" t="s">
        <v>3811</v>
      </c>
      <c r="G8522" s="10" t="s">
        <v>86</v>
      </c>
      <c r="H8522" s="9" t="s">
        <v>22</v>
      </c>
      <c r="I8522" s="9" t="s">
        <v>18179</v>
      </c>
      <c r="J8522" s="10" t="str">
        <f>HYPERLINK("https://www.boe.es/gazeta/dias/1834/02/20/pdfs/GMD-1834-23.pdf#page=2","Abrir facsímil")</f>
        <v>Abrir facsímil</v>
      </c>
      <c r="K8522" s="10" t="s">
        <v>24</v>
      </c>
    </row>
    <row r="8523" spans="1:11" ht="54" customHeight="1">
      <c r="A8523" s="9" t="s">
        <v>18139</v>
      </c>
      <c r="B8523" s="9" t="s">
        <v>18139</v>
      </c>
      <c r="C8523" s="9" t="s">
        <v>17</v>
      </c>
      <c r="D8523" s="9" t="s">
        <v>18</v>
      </c>
      <c r="E8523" s="10" t="s">
        <v>1572</v>
      </c>
      <c r="F8523" s="9" t="s">
        <v>1573</v>
      </c>
      <c r="G8523" s="10" t="s">
        <v>86</v>
      </c>
      <c r="H8523" s="9" t="s">
        <v>22</v>
      </c>
      <c r="I8523" s="9" t="s">
        <v>18180</v>
      </c>
      <c r="J8523" s="10" t="str">
        <f>HYPERLINK("https://www.boe.es/gazeta/dias/1834/03/20/pdfs/GMD-1834-35.pdf#page=2","Abrir facsímil")</f>
        <v>Abrir facsímil</v>
      </c>
      <c r="K8523" s="10" t="s">
        <v>24</v>
      </c>
    </row>
    <row r="8524" spans="1:11" ht="54" customHeight="1">
      <c r="A8524" s="9" t="s">
        <v>18139</v>
      </c>
      <c r="B8524" s="9" t="s">
        <v>18139</v>
      </c>
      <c r="C8524" s="9" t="s">
        <v>17</v>
      </c>
      <c r="D8524" s="9" t="s">
        <v>18</v>
      </c>
      <c r="E8524" s="10" t="s">
        <v>535</v>
      </c>
      <c r="F8524" s="9" t="s">
        <v>536</v>
      </c>
      <c r="G8524" s="10" t="s">
        <v>34</v>
      </c>
      <c r="H8524" s="9" t="s">
        <v>22</v>
      </c>
      <c r="I8524" s="9" t="s">
        <v>18181</v>
      </c>
      <c r="J8524" s="10" t="str">
        <f>HYPERLINK("https://www.boe.es/gazeta/dias/1834/05/21/pdfs/GMD-1834-90.pdf#page=1","Abrir facsímil")</f>
        <v>Abrir facsímil</v>
      </c>
      <c r="K8524" s="10" t="s">
        <v>24</v>
      </c>
    </row>
    <row r="8525" spans="1:11" ht="54" customHeight="1">
      <c r="A8525" s="9" t="s">
        <v>18139</v>
      </c>
      <c r="B8525" s="9" t="s">
        <v>18139</v>
      </c>
      <c r="C8525" s="9" t="s">
        <v>17</v>
      </c>
      <c r="D8525" s="9" t="s">
        <v>55</v>
      </c>
      <c r="E8525" s="10" t="s">
        <v>535</v>
      </c>
      <c r="F8525" s="9" t="s">
        <v>536</v>
      </c>
      <c r="G8525" s="10" t="s">
        <v>86</v>
      </c>
      <c r="H8525" s="9" t="s">
        <v>22</v>
      </c>
      <c r="I8525" s="9" t="s">
        <v>18182</v>
      </c>
      <c r="J8525" s="10" t="str">
        <f>HYPERLINK("https://www.boe.es/gazeta/dias/1834/05/21/pdfs/GMD-1834-90.pdf#page=2","Abrir facsímil")</f>
        <v>Abrir facsímil</v>
      </c>
      <c r="K8525" s="10" t="s">
        <v>24</v>
      </c>
    </row>
    <row r="8526" spans="1:11" ht="54" customHeight="1">
      <c r="A8526" s="9" t="s">
        <v>18139</v>
      </c>
      <c r="B8526" s="9" t="s">
        <v>18139</v>
      </c>
      <c r="C8526" s="9" t="s">
        <v>122</v>
      </c>
      <c r="D8526" s="9" t="s">
        <v>101</v>
      </c>
      <c r="E8526" s="10" t="s">
        <v>117</v>
      </c>
      <c r="F8526" s="9" t="s">
        <v>118</v>
      </c>
      <c r="G8526" s="10" t="s">
        <v>75</v>
      </c>
      <c r="H8526" s="9" t="s">
        <v>22</v>
      </c>
      <c r="I8526" s="9" t="s">
        <v>18183</v>
      </c>
      <c r="J8526" s="10" t="str">
        <f>HYPERLINK("https://www.boe.es/gazeta/dias/1834/07/21/pdfs/GMD-1834-154.pdf#page=4","Abrir facsímil")</f>
        <v>Abrir facsímil</v>
      </c>
      <c r="K8526" s="10" t="s">
        <v>24</v>
      </c>
    </row>
    <row r="8527" spans="1:11" ht="54" customHeight="1">
      <c r="A8527" s="9" t="s">
        <v>18139</v>
      </c>
      <c r="B8527" s="9" t="s">
        <v>18139</v>
      </c>
      <c r="C8527" s="9" t="s">
        <v>46</v>
      </c>
      <c r="D8527" s="9" t="s">
        <v>55</v>
      </c>
      <c r="E8527" s="10" t="s">
        <v>3488</v>
      </c>
      <c r="F8527" s="9" t="s">
        <v>3489</v>
      </c>
      <c r="G8527" s="10" t="s">
        <v>21</v>
      </c>
      <c r="H8527" s="9" t="s">
        <v>22</v>
      </c>
      <c r="I8527" s="9" t="s">
        <v>18184</v>
      </c>
      <c r="J8527" s="10" t="str">
        <f>HYPERLINK("https://www.boe.es/gazeta/dias/1834/06/22/pdfs/GMD-1834-125.pdf#page=3","Abrir facsímil")</f>
        <v>Abrir facsímil</v>
      </c>
      <c r="K8527" s="10" t="s">
        <v>24</v>
      </c>
    </row>
    <row r="8528" spans="1:11" ht="54" customHeight="1">
      <c r="A8528" s="9" t="s">
        <v>18139</v>
      </c>
      <c r="B8528" s="9" t="s">
        <v>18139</v>
      </c>
      <c r="C8528" s="9" t="s">
        <v>17</v>
      </c>
      <c r="D8528" s="9" t="s">
        <v>55</v>
      </c>
      <c r="E8528" s="10" t="s">
        <v>4064</v>
      </c>
      <c r="F8528" s="9" t="s">
        <v>4065</v>
      </c>
      <c r="G8528" s="10" t="s">
        <v>21</v>
      </c>
      <c r="H8528" s="9" t="s">
        <v>22</v>
      </c>
      <c r="I8528" s="9" t="s">
        <v>18185</v>
      </c>
      <c r="J8528" s="10" t="str">
        <f>HYPERLINK("https://www.boe.es/gazeta/dias/1834/07/22/pdfs/GMD-1834-155.pdf#page=3","Abrir facsímil")</f>
        <v>Abrir facsímil</v>
      </c>
      <c r="K8528" s="10" t="s">
        <v>24</v>
      </c>
    </row>
    <row r="8529" spans="1:11" ht="54" customHeight="1">
      <c r="A8529" s="9" t="s">
        <v>18139</v>
      </c>
      <c r="B8529" s="9" t="s">
        <v>18139</v>
      </c>
      <c r="C8529" s="9" t="s">
        <v>17</v>
      </c>
      <c r="D8529" s="9" t="s">
        <v>18</v>
      </c>
      <c r="E8529" s="10" t="s">
        <v>3225</v>
      </c>
      <c r="F8529" s="9" t="s">
        <v>3226</v>
      </c>
      <c r="G8529" s="10" t="s">
        <v>21</v>
      </c>
      <c r="H8529" s="9" t="s">
        <v>22</v>
      </c>
      <c r="I8529" s="9" t="s">
        <v>18186</v>
      </c>
      <c r="J8529" s="10" t="str">
        <f>HYPERLINK("https://www.boe.es/gazeta/dias/1834/08/22/pdfs/GMD-1834-188.pdf#page=3","Abrir facsímil")</f>
        <v>Abrir facsímil</v>
      </c>
      <c r="K8529" s="10" t="s">
        <v>24</v>
      </c>
    </row>
    <row r="8530" spans="1:11" ht="54" customHeight="1">
      <c r="A8530" s="9" t="s">
        <v>18139</v>
      </c>
      <c r="B8530" s="9" t="s">
        <v>18139</v>
      </c>
      <c r="C8530" s="9" t="s">
        <v>90</v>
      </c>
      <c r="D8530" s="9" t="s">
        <v>18</v>
      </c>
      <c r="E8530" s="10" t="s">
        <v>606</v>
      </c>
      <c r="F8530" s="9" t="s">
        <v>607</v>
      </c>
      <c r="G8530" s="10" t="s">
        <v>86</v>
      </c>
      <c r="H8530" s="9" t="s">
        <v>22</v>
      </c>
      <c r="I8530" s="9" t="s">
        <v>18187</v>
      </c>
      <c r="J8530" s="10" t="str">
        <f>HYPERLINK("https://www.boe.es/gazeta/dias/1834/06/23/pdfs/GMD-1834-126.pdf#page=2","Abrir facsímil")</f>
        <v>Abrir facsímil</v>
      </c>
      <c r="K8530" s="10" t="s">
        <v>24</v>
      </c>
    </row>
    <row r="8531" spans="1:11" ht="54" customHeight="1">
      <c r="A8531" s="9" t="s">
        <v>18139</v>
      </c>
      <c r="B8531" s="9" t="s">
        <v>18139</v>
      </c>
      <c r="C8531" s="9" t="s">
        <v>90</v>
      </c>
      <c r="D8531" s="9" t="s">
        <v>55</v>
      </c>
      <c r="E8531" s="10" t="s">
        <v>823</v>
      </c>
      <c r="F8531" s="9" t="s">
        <v>824</v>
      </c>
      <c r="G8531" s="10" t="s">
        <v>75</v>
      </c>
      <c r="H8531" s="9" t="s">
        <v>22</v>
      </c>
      <c r="I8531" s="9" t="s">
        <v>18188</v>
      </c>
      <c r="J8531" s="10" t="str">
        <f>HYPERLINK("https://www.boe.es/gazeta/dias/1834/07/23/pdfs/GMD-1834-156.pdf#page=4","Abrir facsímil")</f>
        <v>Abrir facsímil</v>
      </c>
      <c r="K8531" s="10" t="s">
        <v>24</v>
      </c>
    </row>
    <row r="8532" spans="1:11" ht="54" customHeight="1">
      <c r="A8532" s="9" t="s">
        <v>18139</v>
      </c>
      <c r="B8532" s="9" t="s">
        <v>18139</v>
      </c>
      <c r="C8532" s="9" t="s">
        <v>17</v>
      </c>
      <c r="D8532" s="9" t="s">
        <v>18</v>
      </c>
      <c r="E8532" s="10" t="s">
        <v>2107</v>
      </c>
      <c r="F8532" s="9" t="s">
        <v>2108</v>
      </c>
      <c r="G8532" s="10" t="s">
        <v>86</v>
      </c>
      <c r="H8532" s="9" t="s">
        <v>22</v>
      </c>
      <c r="I8532" s="9" t="s">
        <v>18189</v>
      </c>
      <c r="J8532" s="10" t="str">
        <f>HYPERLINK("https://www.boe.es/gazeta/dias/1834/08/24/pdfs/GMD-1834-190.pdf#page=2","Abrir facsímil")</f>
        <v>Abrir facsímil</v>
      </c>
      <c r="K8532" s="10" t="s">
        <v>24</v>
      </c>
    </row>
    <row r="8533" spans="1:11" ht="54" customHeight="1">
      <c r="A8533" s="9" t="s">
        <v>18139</v>
      </c>
      <c r="B8533" s="9" t="s">
        <v>18139</v>
      </c>
      <c r="C8533" s="9" t="s">
        <v>46</v>
      </c>
      <c r="D8533" s="9" t="s">
        <v>18</v>
      </c>
      <c r="E8533" s="10" t="s">
        <v>739</v>
      </c>
      <c r="F8533" s="9" t="s">
        <v>740</v>
      </c>
      <c r="G8533" s="10" t="s">
        <v>86</v>
      </c>
      <c r="H8533" s="9" t="s">
        <v>22</v>
      </c>
      <c r="I8533" s="9" t="s">
        <v>18190</v>
      </c>
      <c r="J8533" s="10" t="str">
        <f>HYPERLINK("https://www.boe.es/gazeta/dias/1834/03/25/pdfs/GMD-1834-37.pdf#page=2","Abrir facsímil")</f>
        <v>Abrir facsímil</v>
      </c>
      <c r="K8533" s="10" t="s">
        <v>24</v>
      </c>
    </row>
    <row r="8534" spans="1:11" ht="54" customHeight="1">
      <c r="A8534" s="9" t="s">
        <v>18139</v>
      </c>
      <c r="B8534" s="9" t="s">
        <v>18139</v>
      </c>
      <c r="C8534" s="9" t="s">
        <v>46</v>
      </c>
      <c r="D8534" s="9" t="s">
        <v>55</v>
      </c>
      <c r="E8534" s="10" t="s">
        <v>3025</v>
      </c>
      <c r="F8534" s="9" t="s">
        <v>3026</v>
      </c>
      <c r="G8534" s="10" t="s">
        <v>75</v>
      </c>
      <c r="H8534" s="9" t="s">
        <v>22</v>
      </c>
      <c r="I8534" s="9" t="s">
        <v>18191</v>
      </c>
      <c r="J8534" s="10" t="str">
        <f>HYPERLINK("https://www.boe.es/gazeta/dias/1834/05/25/pdfs/GMD-1834-94.pdf#page=4","Abrir facsímil")</f>
        <v>Abrir facsímil</v>
      </c>
      <c r="K8534" s="10" t="s">
        <v>24</v>
      </c>
    </row>
    <row r="8535" spans="1:11" ht="54" customHeight="1">
      <c r="A8535" s="9" t="s">
        <v>18139</v>
      </c>
      <c r="B8535" s="9" t="s">
        <v>18139</v>
      </c>
      <c r="C8535" s="9" t="s">
        <v>17</v>
      </c>
      <c r="D8535" s="9" t="s">
        <v>18</v>
      </c>
      <c r="E8535" s="10" t="s">
        <v>2937</v>
      </c>
      <c r="F8535" s="9" t="s">
        <v>2938</v>
      </c>
      <c r="G8535" s="10" t="s">
        <v>21</v>
      </c>
      <c r="H8535" s="9" t="s">
        <v>22</v>
      </c>
      <c r="I8535" s="9" t="s">
        <v>18192</v>
      </c>
      <c r="J8535" s="10" t="str">
        <f>HYPERLINK("https://www.boe.es/gazeta/dias/1834/06/25/pdfs/GMD-1834-128.pdf#page=3","Abrir facsímil")</f>
        <v>Abrir facsímil</v>
      </c>
      <c r="K8535" s="10" t="s">
        <v>24</v>
      </c>
    </row>
    <row r="8536" spans="1:11" ht="54" customHeight="1">
      <c r="A8536" s="9" t="s">
        <v>18139</v>
      </c>
      <c r="B8536" s="9" t="s">
        <v>18139</v>
      </c>
      <c r="C8536" s="9" t="s">
        <v>90</v>
      </c>
      <c r="D8536" s="9" t="s">
        <v>55</v>
      </c>
      <c r="E8536" s="10" t="s">
        <v>1674</v>
      </c>
      <c r="F8536" s="9" t="s">
        <v>1675</v>
      </c>
      <c r="G8536" s="10" t="s">
        <v>21</v>
      </c>
      <c r="H8536" s="9" t="s">
        <v>22</v>
      </c>
      <c r="I8536" s="9" t="s">
        <v>18193</v>
      </c>
      <c r="J8536" s="10" t="str">
        <f>HYPERLINK("https://www.boe.es/gazeta/dias/1834/07/25/pdfs/GMD-1834-158.pdf#page=3","Abrir facsímil")</f>
        <v>Abrir facsímil</v>
      </c>
      <c r="K8536" s="10" t="s">
        <v>24</v>
      </c>
    </row>
    <row r="8537" spans="1:11" ht="54" customHeight="1">
      <c r="A8537" s="9" t="s">
        <v>18139</v>
      </c>
      <c r="B8537" s="9" t="s">
        <v>18139</v>
      </c>
      <c r="C8537" s="9" t="s">
        <v>46</v>
      </c>
      <c r="D8537" s="9" t="s">
        <v>55</v>
      </c>
      <c r="E8537" s="10" t="s">
        <v>1677</v>
      </c>
      <c r="F8537" s="9" t="s">
        <v>1678</v>
      </c>
      <c r="G8537" s="10" t="s">
        <v>86</v>
      </c>
      <c r="H8537" s="9" t="s">
        <v>22</v>
      </c>
      <c r="I8537" s="9" t="s">
        <v>18194</v>
      </c>
      <c r="J8537" s="10" t="str">
        <f>HYPERLINK("https://www.boe.es/gazeta/dias/1834/07/26/pdfs/GMD-1834-159.pdf#page=2","Abrir facsímil")</f>
        <v>Abrir facsímil</v>
      </c>
      <c r="K8537" s="10" t="s">
        <v>24</v>
      </c>
    </row>
    <row r="8538" spans="1:11" ht="54" customHeight="1">
      <c r="A8538" s="9" t="s">
        <v>18195</v>
      </c>
      <c r="B8538" s="9" t="s">
        <v>18195</v>
      </c>
      <c r="C8538" s="9" t="s">
        <v>46</v>
      </c>
      <c r="D8538" s="9" t="s">
        <v>101</v>
      </c>
      <c r="E8538" s="10" t="s">
        <v>1686</v>
      </c>
      <c r="F8538" s="9" t="s">
        <v>1687</v>
      </c>
      <c r="G8538" s="10" t="s">
        <v>86</v>
      </c>
      <c r="H8538" s="9" t="s">
        <v>22</v>
      </c>
      <c r="I8538" s="9" t="s">
        <v>18196</v>
      </c>
      <c r="J8538" s="10" t="str">
        <f>HYPERLINK("https://www.boe.es/gazeta/dias/1834/07/27/pdfs/GMD-1834-160.pdf#page=2","Abrir facsímil")</f>
        <v>Abrir facsímil</v>
      </c>
      <c r="K8538" s="10" t="s">
        <v>24</v>
      </c>
    </row>
    <row r="8539" spans="1:11" ht="54" customHeight="1">
      <c r="A8539" s="9" t="s">
        <v>18139</v>
      </c>
      <c r="B8539" s="9" t="s">
        <v>18139</v>
      </c>
      <c r="C8539" s="9" t="s">
        <v>46</v>
      </c>
      <c r="D8539" s="9" t="s">
        <v>101</v>
      </c>
      <c r="E8539" s="10" t="s">
        <v>294</v>
      </c>
      <c r="F8539" s="9" t="s">
        <v>295</v>
      </c>
      <c r="G8539" s="10" t="s">
        <v>86</v>
      </c>
      <c r="H8539" s="9" t="s">
        <v>22</v>
      </c>
      <c r="I8539" s="9" t="s">
        <v>18197</v>
      </c>
      <c r="J8539" s="10" t="str">
        <f>HYPERLINK("https://www.boe.es/gazeta/dias/1834/09/27/pdfs/GMD-1834-225.pdf#page=2","Abrir facsímil")</f>
        <v>Abrir facsímil</v>
      </c>
      <c r="K8539" s="10" t="s">
        <v>24</v>
      </c>
    </row>
    <row r="8540" spans="1:11" ht="54" customHeight="1">
      <c r="A8540" s="9" t="s">
        <v>18139</v>
      </c>
      <c r="B8540" s="9" t="s">
        <v>18139</v>
      </c>
      <c r="C8540" s="9" t="s">
        <v>17</v>
      </c>
      <c r="D8540" s="9" t="s">
        <v>18</v>
      </c>
      <c r="E8540" s="10" t="s">
        <v>1773</v>
      </c>
      <c r="F8540" s="9" t="s">
        <v>1774</v>
      </c>
      <c r="G8540" s="10" t="s">
        <v>86</v>
      </c>
      <c r="H8540" s="9" t="s">
        <v>22</v>
      </c>
      <c r="I8540" s="9" t="s">
        <v>18198</v>
      </c>
      <c r="J8540" s="10" t="str">
        <f>HYPERLINK("https://www.boe.es/gazeta/dias/1834/06/28/pdfs/GMD-1834-131.pdf#page=2","Abrir facsímil")</f>
        <v>Abrir facsímil</v>
      </c>
      <c r="K8540" s="10" t="s">
        <v>24</v>
      </c>
    </row>
    <row r="8541" spans="1:11" ht="54" customHeight="1">
      <c r="A8541" s="9" t="s">
        <v>18139</v>
      </c>
      <c r="B8541" s="9" t="s">
        <v>18139</v>
      </c>
      <c r="C8541" s="9" t="s">
        <v>17</v>
      </c>
      <c r="D8541" s="9" t="s">
        <v>18</v>
      </c>
      <c r="E8541" s="10" t="s">
        <v>1689</v>
      </c>
      <c r="F8541" s="9" t="s">
        <v>1690</v>
      </c>
      <c r="G8541" s="10" t="s">
        <v>86</v>
      </c>
      <c r="H8541" s="9" t="s">
        <v>22</v>
      </c>
      <c r="I8541" s="9" t="s">
        <v>18199</v>
      </c>
      <c r="J8541" s="10" t="str">
        <f>HYPERLINK("https://www.boe.es/gazeta/dias/1834/07/28/pdfs/GMD-1834-161.pdf#page=2","Abrir facsímil")</f>
        <v>Abrir facsímil</v>
      </c>
      <c r="K8541" s="10" t="s">
        <v>24</v>
      </c>
    </row>
    <row r="8542" spans="1:11" ht="54" customHeight="1">
      <c r="A8542" s="9" t="s">
        <v>18139</v>
      </c>
      <c r="B8542" s="9" t="s">
        <v>18139</v>
      </c>
      <c r="C8542" s="9" t="s">
        <v>17</v>
      </c>
      <c r="D8542" s="9" t="s">
        <v>55</v>
      </c>
      <c r="E8542" s="10" t="s">
        <v>1689</v>
      </c>
      <c r="F8542" s="9" t="s">
        <v>1690</v>
      </c>
      <c r="G8542" s="10" t="s">
        <v>21</v>
      </c>
      <c r="H8542" s="9" t="s">
        <v>22</v>
      </c>
      <c r="I8542" s="9" t="s">
        <v>18200</v>
      </c>
      <c r="J8542" s="10" t="str">
        <f>HYPERLINK("https://www.boe.es/gazeta/dias/1834/07/28/pdfs/GMD-1834-161.pdf#page=3","Abrir facsímil")</f>
        <v>Abrir facsímil</v>
      </c>
      <c r="K8542" s="10" t="s">
        <v>24</v>
      </c>
    </row>
    <row r="8543" spans="1:11" ht="54" customHeight="1">
      <c r="A8543" s="9" t="s">
        <v>18139</v>
      </c>
      <c r="B8543" s="9" t="s">
        <v>18139</v>
      </c>
      <c r="C8543" s="9" t="s">
        <v>46</v>
      </c>
      <c r="D8543" s="9" t="s">
        <v>18</v>
      </c>
      <c r="E8543" s="10" t="s">
        <v>803</v>
      </c>
      <c r="F8543" s="9" t="s">
        <v>804</v>
      </c>
      <c r="G8543" s="10" t="s">
        <v>21</v>
      </c>
      <c r="H8543" s="9" t="s">
        <v>22</v>
      </c>
      <c r="I8543" s="9" t="s">
        <v>18201</v>
      </c>
      <c r="J8543" s="10" t="str">
        <f>HYPERLINK("https://www.boe.es/gazeta/dias/1834/03/29/pdfs/GMD-1834-39.pdf#page=3","Abrir facsímil")</f>
        <v>Abrir facsímil</v>
      </c>
      <c r="K8543" s="10" t="s">
        <v>24</v>
      </c>
    </row>
    <row r="8544" spans="1:11" ht="54" customHeight="1">
      <c r="A8544" s="9" t="s">
        <v>18139</v>
      </c>
      <c r="B8544" s="9" t="s">
        <v>18139</v>
      </c>
      <c r="C8544" s="9" t="s">
        <v>17</v>
      </c>
      <c r="D8544" s="9" t="s">
        <v>55</v>
      </c>
      <c r="E8544" s="10" t="s">
        <v>1692</v>
      </c>
      <c r="F8544" s="9" t="s">
        <v>1693</v>
      </c>
      <c r="G8544" s="10" t="s">
        <v>86</v>
      </c>
      <c r="H8544" s="9" t="s">
        <v>22</v>
      </c>
      <c r="I8544" s="9" t="s">
        <v>18202</v>
      </c>
      <c r="J8544" s="10" t="str">
        <f>HYPERLINK("https://www.boe.es/gazeta/dias/1834/07/29/pdfs/GMD-1834-162.pdf#page=2","Abrir facsímil")</f>
        <v>Abrir facsímil</v>
      </c>
      <c r="K8544" s="10" t="s">
        <v>24</v>
      </c>
    </row>
    <row r="8545" spans="1:11" ht="54" customHeight="1">
      <c r="A8545" s="9" t="s">
        <v>18139</v>
      </c>
      <c r="B8545" s="9" t="s">
        <v>18139</v>
      </c>
      <c r="C8545" s="9" t="s">
        <v>17</v>
      </c>
      <c r="D8545" s="9" t="s">
        <v>55</v>
      </c>
      <c r="E8545" s="10" t="s">
        <v>283</v>
      </c>
      <c r="F8545" s="9" t="s">
        <v>2969</v>
      </c>
      <c r="G8545" s="10" t="s">
        <v>86</v>
      </c>
      <c r="H8545" s="9" t="s">
        <v>22</v>
      </c>
      <c r="I8545" s="9" t="s">
        <v>18203</v>
      </c>
      <c r="J8545" s="10" t="str">
        <f>HYPERLINK("https://www.boe.es/gazeta/dias/1834/11/29/pdfs/GMD-1834-288.pdf#page=2","Abrir facsímil")</f>
        <v>Abrir facsímil</v>
      </c>
      <c r="K8545" s="10" t="s">
        <v>24</v>
      </c>
    </row>
    <row r="8546" spans="1:11" ht="54" customHeight="1">
      <c r="A8546" s="9" t="s">
        <v>18139</v>
      </c>
      <c r="B8546" s="9" t="s">
        <v>18139</v>
      </c>
      <c r="C8546" s="9" t="s">
        <v>17</v>
      </c>
      <c r="D8546" s="9" t="s">
        <v>18</v>
      </c>
      <c r="E8546" s="10" t="s">
        <v>1695</v>
      </c>
      <c r="F8546" s="9" t="s">
        <v>1696</v>
      </c>
      <c r="G8546" s="10" t="s">
        <v>34</v>
      </c>
      <c r="H8546" s="9" t="s">
        <v>22</v>
      </c>
      <c r="I8546" s="9" t="s">
        <v>18204</v>
      </c>
      <c r="J8546" s="10" t="str">
        <f>HYPERLINK("https://www.boe.es/gazeta/dias/1834/06/30/pdfs/GMD-1834-133.pdf#page=1","Abrir facsímil")</f>
        <v>Abrir facsímil</v>
      </c>
      <c r="K8546" s="10" t="s">
        <v>24</v>
      </c>
    </row>
    <row r="8547" spans="1:11" ht="54" customHeight="1">
      <c r="A8547" s="9" t="s">
        <v>18205</v>
      </c>
      <c r="B8547" s="9" t="s">
        <v>18205</v>
      </c>
      <c r="C8547" s="9" t="s">
        <v>17</v>
      </c>
      <c r="D8547" s="9" t="s">
        <v>18</v>
      </c>
      <c r="E8547" s="10" t="s">
        <v>1692</v>
      </c>
      <c r="F8547" s="9" t="s">
        <v>1693</v>
      </c>
      <c r="G8547" s="10" t="s">
        <v>86</v>
      </c>
      <c r="H8547" s="9" t="s">
        <v>22</v>
      </c>
      <c r="I8547" s="9" t="s">
        <v>18206</v>
      </c>
      <c r="J8547" s="10" t="str">
        <f>HYPERLINK("https://www.boe.es/gazeta/dias/1834/07/29/pdfs/GMD-1834-162.pdf#page=2","Abrir facsímil")</f>
        <v>Abrir facsímil</v>
      </c>
      <c r="K8547" s="10" t="s">
        <v>24</v>
      </c>
    </row>
    <row r="8548" spans="1:11" ht="54" customHeight="1">
      <c r="A8548" s="9" t="s">
        <v>18207</v>
      </c>
      <c r="B8548" s="9" t="s">
        <v>18208</v>
      </c>
      <c r="C8548" s="9" t="s">
        <v>122</v>
      </c>
      <c r="D8548" s="9" t="s">
        <v>18</v>
      </c>
      <c r="E8548" s="10" t="s">
        <v>615</v>
      </c>
      <c r="F8548" s="9" t="s">
        <v>616</v>
      </c>
      <c r="G8548" s="10" t="s">
        <v>86</v>
      </c>
      <c r="H8548" s="9" t="s">
        <v>22</v>
      </c>
      <c r="I8548" s="9" t="s">
        <v>18209</v>
      </c>
      <c r="J8548" s="10" t="str">
        <f>HYPERLINK("https://www.boe.es/gazeta/dias/1834/08/19/pdfs/GMD-1834-185.pdf#page=2","Abrir facsímil")</f>
        <v>Abrir facsímil</v>
      </c>
      <c r="K8548" s="10" t="s">
        <v>24</v>
      </c>
    </row>
    <row r="8549" spans="1:11" ht="54" customHeight="1">
      <c r="A8549" s="9" t="s">
        <v>18210</v>
      </c>
      <c r="B8549" s="9" t="s">
        <v>18211</v>
      </c>
      <c r="C8549" s="9" t="s">
        <v>122</v>
      </c>
      <c r="D8549" s="9" t="s">
        <v>18</v>
      </c>
      <c r="E8549" s="10" t="s">
        <v>615</v>
      </c>
      <c r="F8549" s="9" t="s">
        <v>616</v>
      </c>
      <c r="G8549" s="10" t="s">
        <v>86</v>
      </c>
      <c r="H8549" s="9" t="s">
        <v>35</v>
      </c>
      <c r="I8549" s="9" t="s">
        <v>18212</v>
      </c>
      <c r="J8549" s="10" t="str">
        <f>HYPERLINK("https://www.boe.es/gazeta/dias/1834/08/19/pdfs/GMD-1834-185.pdf#page=2","Abrir facsímil")</f>
        <v>Abrir facsímil</v>
      </c>
      <c r="K8549" s="10" t="s">
        <v>37</v>
      </c>
    </row>
    <row r="8550" spans="1:11" ht="54" customHeight="1">
      <c r="A8550" s="9" t="s">
        <v>18213</v>
      </c>
      <c r="B8550" s="9" t="s">
        <v>18213</v>
      </c>
      <c r="C8550" s="9" t="s">
        <v>17</v>
      </c>
      <c r="D8550" s="9" t="s">
        <v>18</v>
      </c>
      <c r="E8550" s="10" t="s">
        <v>403</v>
      </c>
      <c r="F8550" s="9" t="s">
        <v>404</v>
      </c>
      <c r="G8550" s="10" t="s">
        <v>34</v>
      </c>
      <c r="H8550" s="9" t="s">
        <v>22</v>
      </c>
      <c r="I8550" s="9" t="s">
        <v>18214</v>
      </c>
      <c r="J8550" s="10" t="str">
        <f>HYPERLINK("https://www.boe.es/gazeta/dias/1834/09/25/pdfs/GMD-C-1834-223.pdf#page=1","Abrir facsímil")</f>
        <v>Abrir facsímil</v>
      </c>
      <c r="K8550" s="10" t="s">
        <v>24</v>
      </c>
    </row>
    <row r="8551" spans="1:11" ht="54" customHeight="1">
      <c r="A8551" s="9" t="s">
        <v>18215</v>
      </c>
      <c r="B8551" s="9" t="s">
        <v>18216</v>
      </c>
      <c r="C8551" s="9" t="s">
        <v>17</v>
      </c>
      <c r="D8551" s="9" t="s">
        <v>18</v>
      </c>
      <c r="E8551" s="10" t="s">
        <v>143</v>
      </c>
      <c r="F8551" s="9" t="s">
        <v>144</v>
      </c>
      <c r="G8551" s="10" t="s">
        <v>21</v>
      </c>
      <c r="H8551" s="9" t="s">
        <v>22</v>
      </c>
      <c r="I8551" s="9" t="s">
        <v>18217</v>
      </c>
      <c r="J8551" s="10" t="str">
        <f>HYPERLINK("https://www.boe.es/gazeta/dias/1834/07/31/pdfs/GMD-1834-164.pdf#page=3","Abrir facsímil")</f>
        <v>Abrir facsímil</v>
      </c>
      <c r="K8551" s="10" t="s">
        <v>24</v>
      </c>
    </row>
    <row r="8552" spans="1:11" ht="54" customHeight="1">
      <c r="A8552" s="9" t="s">
        <v>18218</v>
      </c>
      <c r="B8552" s="9" t="s">
        <v>18218</v>
      </c>
      <c r="C8552" s="9" t="s">
        <v>17</v>
      </c>
      <c r="D8552" s="9" t="s">
        <v>18</v>
      </c>
      <c r="E8552" s="10" t="s">
        <v>174</v>
      </c>
      <c r="F8552" s="9" t="s">
        <v>175</v>
      </c>
      <c r="G8552" s="10" t="s">
        <v>86</v>
      </c>
      <c r="H8552" s="9" t="s">
        <v>22</v>
      </c>
      <c r="I8552" s="9" t="s">
        <v>18219</v>
      </c>
      <c r="J8552" s="10" t="str">
        <f>HYPERLINK("https://www.boe.es/gazeta/dias/1834/03/27/pdfs/GMD-1834-38.pdf#page=2","Abrir facsímil")</f>
        <v>Abrir facsímil</v>
      </c>
      <c r="K8552" s="10" t="s">
        <v>24</v>
      </c>
    </row>
    <row r="8553" spans="1:11" ht="54" customHeight="1">
      <c r="A8553" s="9" t="s">
        <v>18220</v>
      </c>
      <c r="B8553" s="9" t="s">
        <v>18220</v>
      </c>
      <c r="C8553" s="9" t="s">
        <v>66</v>
      </c>
      <c r="D8553" s="9" t="s">
        <v>67</v>
      </c>
      <c r="E8553" s="10" t="s">
        <v>2048</v>
      </c>
      <c r="F8553" s="9" t="s">
        <v>2049</v>
      </c>
      <c r="G8553" s="10" t="s">
        <v>86</v>
      </c>
      <c r="H8553" s="9" t="s">
        <v>22</v>
      </c>
      <c r="I8553" s="9" t="s">
        <v>18221</v>
      </c>
      <c r="J8553" s="10" t="str">
        <f>HYPERLINK("https://www.boe.es/gazeta/dias/1834/05/12/pdfs/GMD-1834-81.pdf#page=2","Abrir facsímil")</f>
        <v>Abrir facsímil</v>
      </c>
      <c r="K8553" s="10" t="s">
        <v>24</v>
      </c>
    </row>
    <row r="8554" spans="1:11" ht="54" customHeight="1">
      <c r="A8554" s="9" t="s">
        <v>18222</v>
      </c>
      <c r="B8554" s="9" t="s">
        <v>18223</v>
      </c>
      <c r="C8554" s="9" t="s">
        <v>17</v>
      </c>
      <c r="D8554" s="9" t="s">
        <v>18</v>
      </c>
      <c r="E8554" s="10" t="s">
        <v>1402</v>
      </c>
      <c r="F8554" s="9" t="s">
        <v>1403</v>
      </c>
      <c r="G8554" s="10" t="s">
        <v>86</v>
      </c>
      <c r="H8554" s="9" t="s">
        <v>22</v>
      </c>
      <c r="I8554" s="9" t="s">
        <v>18224</v>
      </c>
      <c r="J8554" s="10" t="str">
        <f>HYPERLINK("https://www.boe.es/gazeta/dias/1834/05/05/pdfs/I00347-00348.pdf#page=2","Abrir facsímil")</f>
        <v>Abrir facsímil</v>
      </c>
      <c r="K8554" s="10" t="s">
        <v>24</v>
      </c>
    </row>
    <row r="8555" spans="1:11" ht="54" customHeight="1">
      <c r="A8555" s="9" t="s">
        <v>18225</v>
      </c>
      <c r="B8555" s="9" t="s">
        <v>18226</v>
      </c>
      <c r="C8555" s="9" t="s">
        <v>66</v>
      </c>
      <c r="D8555" s="9" t="s">
        <v>67</v>
      </c>
      <c r="E8555" s="10" t="s">
        <v>1572</v>
      </c>
      <c r="F8555" s="9" t="s">
        <v>1573</v>
      </c>
      <c r="G8555" s="10" t="s">
        <v>75</v>
      </c>
      <c r="H8555" s="9" t="s">
        <v>22</v>
      </c>
      <c r="I8555" s="9" t="s">
        <v>18227</v>
      </c>
      <c r="J8555" s="10" t="str">
        <f>HYPERLINK("https://www.boe.es/gazeta/dias/1834/03/20/pdfs/GMD-1834-35.pdf#page=4","Abrir facsímil")</f>
        <v>Abrir facsímil</v>
      </c>
      <c r="K8555" s="10" t="s">
        <v>24</v>
      </c>
    </row>
    <row r="8556" spans="1:11" ht="54" customHeight="1">
      <c r="A8556" s="9" t="s">
        <v>18228</v>
      </c>
      <c r="B8556" s="9" t="s">
        <v>18228</v>
      </c>
      <c r="C8556" s="9" t="s">
        <v>90</v>
      </c>
      <c r="D8556" s="9" t="s">
        <v>18</v>
      </c>
      <c r="E8556" s="10" t="s">
        <v>192</v>
      </c>
      <c r="F8556" s="9" t="s">
        <v>193</v>
      </c>
      <c r="G8556" s="10" t="s">
        <v>21</v>
      </c>
      <c r="H8556" s="9" t="s">
        <v>22</v>
      </c>
      <c r="I8556" s="9" t="s">
        <v>18229</v>
      </c>
      <c r="J8556" s="10" t="str">
        <f>HYPERLINK("https://www.boe.es/gazeta/dias/1834/12/31/pdfs/GMD-1834-321.pdf#page=3","Abrir facsímil")</f>
        <v>Abrir facsímil</v>
      </c>
      <c r="K8556" s="10" t="s">
        <v>24</v>
      </c>
    </row>
    <row r="8557" spans="1:11" ht="54" customHeight="1">
      <c r="A8557" s="9" t="s">
        <v>18230</v>
      </c>
      <c r="B8557" s="9" t="s">
        <v>18230</v>
      </c>
      <c r="C8557" s="9" t="s">
        <v>66</v>
      </c>
      <c r="D8557" s="9" t="s">
        <v>67</v>
      </c>
      <c r="E8557" s="10" t="s">
        <v>394</v>
      </c>
      <c r="F8557" s="9" t="s">
        <v>395</v>
      </c>
      <c r="G8557" s="10" t="s">
        <v>75</v>
      </c>
      <c r="H8557" s="9" t="s">
        <v>22</v>
      </c>
      <c r="I8557" s="9" t="s">
        <v>18231</v>
      </c>
      <c r="J8557" s="10" t="str">
        <f>HYPERLINK("https://www.boe.es/gazeta/dias/1834/12/23/pdfs/GMD-1834-313.pdf#page=4","Abrir facsímil")</f>
        <v>Abrir facsímil</v>
      </c>
      <c r="K8557" s="10" t="s">
        <v>24</v>
      </c>
    </row>
    <row r="8558" spans="1:11" ht="54" customHeight="1">
      <c r="A8558" s="9" t="s">
        <v>18232</v>
      </c>
      <c r="B8558" s="9" t="s">
        <v>18233</v>
      </c>
      <c r="C8558" s="9" t="s">
        <v>46</v>
      </c>
      <c r="D8558" s="9" t="s">
        <v>55</v>
      </c>
      <c r="E8558" s="10" t="s">
        <v>4064</v>
      </c>
      <c r="F8558" s="9" t="s">
        <v>4065</v>
      </c>
      <c r="G8558" s="10" t="s">
        <v>21</v>
      </c>
      <c r="H8558" s="9" t="s">
        <v>22</v>
      </c>
      <c r="I8558" s="9" t="s">
        <v>18234</v>
      </c>
      <c r="J8558" s="10" t="str">
        <f>HYPERLINK("https://www.boe.es/gazeta/dias/1834/07/22/pdfs/GMD-1834-155.pdf#page=3","Abrir facsímil")</f>
        <v>Abrir facsímil</v>
      </c>
      <c r="K8558" s="10" t="s">
        <v>24</v>
      </c>
    </row>
    <row r="8559" spans="1:11" ht="54" customHeight="1">
      <c r="A8559" s="9" t="s">
        <v>18235</v>
      </c>
      <c r="B8559" s="9" t="s">
        <v>18235</v>
      </c>
      <c r="C8559" s="9" t="s">
        <v>17</v>
      </c>
      <c r="D8559" s="9" t="s">
        <v>55</v>
      </c>
      <c r="E8559" s="10" t="s">
        <v>2098</v>
      </c>
      <c r="F8559" s="9" t="s">
        <v>2099</v>
      </c>
      <c r="G8559" s="10" t="s">
        <v>86</v>
      </c>
      <c r="H8559" s="9" t="s">
        <v>22</v>
      </c>
      <c r="I8559" s="9" t="s">
        <v>18236</v>
      </c>
      <c r="J8559" s="10" t="str">
        <f>HYPERLINK("https://www.boe.es/gazeta/dias/1834/08/11/pdfs/GMD-1834-176.pdf#page=2","Abrir facsímil")</f>
        <v>Abrir facsímil</v>
      </c>
      <c r="K8559" s="10" t="s">
        <v>24</v>
      </c>
    </row>
    <row r="8560" spans="1:11" ht="54" customHeight="1">
      <c r="A8560" s="9" t="s">
        <v>18237</v>
      </c>
      <c r="B8560" s="9" t="s">
        <v>18238</v>
      </c>
      <c r="C8560" s="9" t="s">
        <v>17</v>
      </c>
      <c r="D8560" s="9" t="s">
        <v>18</v>
      </c>
      <c r="E8560" s="10" t="s">
        <v>667</v>
      </c>
      <c r="F8560" s="9" t="s">
        <v>3347</v>
      </c>
      <c r="G8560" s="10" t="s">
        <v>75</v>
      </c>
      <c r="H8560" s="9" t="s">
        <v>22</v>
      </c>
      <c r="I8560" s="9" t="s">
        <v>18239</v>
      </c>
      <c r="J8560" s="10" t="str">
        <f>HYPERLINK("https://www.boe.es/gazeta/dias/1834/11/23/pdfs/GMD-1834-282.pdf#page=4","Abrir facsímil")</f>
        <v>Abrir facsímil</v>
      </c>
      <c r="K8560" s="10" t="s">
        <v>24</v>
      </c>
    </row>
    <row r="8561" spans="1:11" ht="54" customHeight="1">
      <c r="A8561" s="9" t="s">
        <v>18240</v>
      </c>
      <c r="B8561" s="9" t="s">
        <v>18241</v>
      </c>
      <c r="C8561" s="9" t="s">
        <v>122</v>
      </c>
      <c r="D8561" s="9" t="s">
        <v>101</v>
      </c>
      <c r="E8561" s="10" t="s">
        <v>905</v>
      </c>
      <c r="F8561" s="9" t="s">
        <v>906</v>
      </c>
      <c r="G8561" s="10" t="s">
        <v>86</v>
      </c>
      <c r="H8561" s="9" t="s">
        <v>35</v>
      </c>
      <c r="I8561" s="9" t="s">
        <v>18242</v>
      </c>
      <c r="J8561" s="10" t="str">
        <f>HYPERLINK("https://www.boe.es/gazeta/dias/1834/08/02/pdfs/GMD-C-1834-166.pdf#page=2","Abrir facsímil")</f>
        <v>Abrir facsímil</v>
      </c>
      <c r="K8561" s="10" t="s">
        <v>37</v>
      </c>
    </row>
    <row r="8562" spans="1:11" ht="54" customHeight="1">
      <c r="A8562" s="9" t="s">
        <v>18243</v>
      </c>
      <c r="B8562" s="9" t="s">
        <v>18244</v>
      </c>
      <c r="C8562" s="9" t="s">
        <v>90</v>
      </c>
      <c r="D8562" s="9" t="s">
        <v>67</v>
      </c>
      <c r="E8562" s="10" t="s">
        <v>541</v>
      </c>
      <c r="F8562" s="9" t="s">
        <v>542</v>
      </c>
      <c r="G8562" s="10" t="s">
        <v>86</v>
      </c>
      <c r="H8562" s="9" t="s">
        <v>22</v>
      </c>
      <c r="I8562" s="9" t="s">
        <v>18245</v>
      </c>
      <c r="J8562" s="10" t="str">
        <f>HYPERLINK("https://www.boe.es/gazeta/dias/1834/04/18/pdfs/GMD-1834-57.pdf#page=2","Abrir facsímil")</f>
        <v>Abrir facsímil</v>
      </c>
      <c r="K8562" s="10" t="s">
        <v>24</v>
      </c>
    </row>
    <row r="8563" spans="1:11" ht="54" customHeight="1">
      <c r="A8563" s="9" t="s">
        <v>18246</v>
      </c>
      <c r="B8563" s="9" t="s">
        <v>18247</v>
      </c>
      <c r="C8563" s="9" t="s">
        <v>122</v>
      </c>
      <c r="D8563" s="9" t="s">
        <v>101</v>
      </c>
      <c r="E8563" s="10" t="s">
        <v>905</v>
      </c>
      <c r="F8563" s="9" t="s">
        <v>906</v>
      </c>
      <c r="G8563" s="10" t="s">
        <v>86</v>
      </c>
      <c r="H8563" s="9" t="s">
        <v>22</v>
      </c>
      <c r="I8563" s="9" t="s">
        <v>18248</v>
      </c>
      <c r="J8563" s="10" t="str">
        <f>HYPERLINK("https://www.boe.es/gazeta/dias/1834/08/02/pdfs/GMD-C-1834-166.pdf#page=2","Abrir facsímil")</f>
        <v>Abrir facsímil</v>
      </c>
      <c r="K8563" s="10" t="s">
        <v>24</v>
      </c>
    </row>
    <row r="8564" spans="1:11" ht="54" customHeight="1">
      <c r="A8564" s="9" t="s">
        <v>18249</v>
      </c>
      <c r="B8564" s="9" t="s">
        <v>18250</v>
      </c>
      <c r="C8564" s="9" t="s">
        <v>17</v>
      </c>
      <c r="D8564" s="9" t="s">
        <v>18</v>
      </c>
      <c r="E8564" s="10" t="s">
        <v>2203</v>
      </c>
      <c r="F8564" s="9" t="s">
        <v>2204</v>
      </c>
      <c r="G8564" s="10" t="s">
        <v>75</v>
      </c>
      <c r="H8564" s="9" t="s">
        <v>22</v>
      </c>
      <c r="I8564" s="9" t="s">
        <v>18251</v>
      </c>
      <c r="J8564" s="10" t="str">
        <f>HYPERLINK("https://www.boe.es/gazeta/dias/1834/09/10/pdfs/GMD-C-1834-208.pdf#page=4","Abrir facsímil")</f>
        <v>Abrir facsímil</v>
      </c>
      <c r="K8564" s="10" t="s">
        <v>24</v>
      </c>
    </row>
    <row r="8565" spans="1:11" ht="54" customHeight="1">
      <c r="A8565" s="9" t="s">
        <v>18252</v>
      </c>
      <c r="B8565" s="9" t="s">
        <v>18253</v>
      </c>
      <c r="C8565" s="9" t="s">
        <v>857</v>
      </c>
      <c r="D8565" s="9" t="s">
        <v>18</v>
      </c>
      <c r="E8565" s="10" t="s">
        <v>399</v>
      </c>
      <c r="F8565" s="9" t="s">
        <v>400</v>
      </c>
      <c r="G8565" s="10" t="s">
        <v>21</v>
      </c>
      <c r="H8565" s="9" t="s">
        <v>22</v>
      </c>
      <c r="I8565" s="9" t="s">
        <v>18254</v>
      </c>
      <c r="J8565" s="10" t="str">
        <f>HYPERLINK("https://www.boe.es/gazeta/dias/1834/07/08/pdfs/GMD-1834-141.pdf#page=3","Abrir facsímil")</f>
        <v>Abrir facsímil</v>
      </c>
      <c r="K8565" s="10" t="s">
        <v>24</v>
      </c>
    </row>
    <row r="8566" spans="1:11" ht="54" customHeight="1">
      <c r="A8566" s="9" t="s">
        <v>18255</v>
      </c>
      <c r="B8566" s="9" t="s">
        <v>18255</v>
      </c>
      <c r="C8566" s="9" t="s">
        <v>90</v>
      </c>
      <c r="D8566" s="9" t="s">
        <v>18</v>
      </c>
      <c r="E8566" s="10" t="s">
        <v>163</v>
      </c>
      <c r="F8566" s="9" t="s">
        <v>4896</v>
      </c>
      <c r="G8566" s="10" t="s">
        <v>34</v>
      </c>
      <c r="H8566" s="9" t="s">
        <v>22</v>
      </c>
      <c r="I8566" s="9" t="s">
        <v>18256</v>
      </c>
      <c r="J8566" s="10" t="str">
        <f>HYPERLINK("https://www.boe.es/gazeta/dias/1834/08/09/pdfs/GMD-C-1834-174.pdf#page=1","Abrir facsímil")</f>
        <v>Abrir facsímil</v>
      </c>
      <c r="K8566" s="10" t="s">
        <v>24</v>
      </c>
    </row>
    <row r="8567" spans="1:11" ht="54" customHeight="1">
      <c r="A8567" s="9" t="s">
        <v>18255</v>
      </c>
      <c r="B8567" s="9" t="s">
        <v>18255</v>
      </c>
      <c r="C8567" s="9" t="s">
        <v>17</v>
      </c>
      <c r="D8567" s="9" t="s">
        <v>18</v>
      </c>
      <c r="E8567" s="10" t="s">
        <v>1839</v>
      </c>
      <c r="F8567" s="9" t="s">
        <v>1840</v>
      </c>
      <c r="G8567" s="10" t="s">
        <v>86</v>
      </c>
      <c r="H8567" s="9" t="s">
        <v>22</v>
      </c>
      <c r="I8567" s="9" t="s">
        <v>18257</v>
      </c>
      <c r="J8567" s="10" t="str">
        <f>HYPERLINK("https://www.boe.es/gazeta/dias/1834/08/12/pdfs/GMD-C-1834-177.pdf#page=2","Abrir facsímil")</f>
        <v>Abrir facsímil</v>
      </c>
      <c r="K8567" s="10" t="s">
        <v>24</v>
      </c>
    </row>
    <row r="8568" spans="1:11" ht="54" customHeight="1">
      <c r="A8568" s="9" t="s">
        <v>18258</v>
      </c>
      <c r="B8568" s="9" t="s">
        <v>18258</v>
      </c>
      <c r="C8568" s="9" t="s">
        <v>17</v>
      </c>
      <c r="D8568" s="9" t="s">
        <v>18</v>
      </c>
      <c r="E8568" s="10" t="s">
        <v>2087</v>
      </c>
      <c r="F8568" s="9" t="s">
        <v>2267</v>
      </c>
      <c r="G8568" s="10" t="s">
        <v>34</v>
      </c>
      <c r="H8568" s="9" t="s">
        <v>22</v>
      </c>
      <c r="I8568" s="9" t="s">
        <v>18259</v>
      </c>
      <c r="J8568" s="10" t="str">
        <f>HYPERLINK("https://www.boe.es/gazeta/dias/1834/12/14/pdfs/GMD-C-1834-303.pdf#page=1","Abrir facsímil")</f>
        <v>Abrir facsímil</v>
      </c>
      <c r="K8568" s="10" t="s">
        <v>24</v>
      </c>
    </row>
    <row r="8569" spans="1:11" ht="54" customHeight="1">
      <c r="A8569" s="9" t="s">
        <v>18255</v>
      </c>
      <c r="B8569" s="9" t="s">
        <v>18255</v>
      </c>
      <c r="C8569" s="9" t="s">
        <v>17</v>
      </c>
      <c r="D8569" s="9" t="s">
        <v>18</v>
      </c>
      <c r="E8569" s="10" t="s">
        <v>273</v>
      </c>
      <c r="F8569" s="9" t="s">
        <v>274</v>
      </c>
      <c r="G8569" s="10" t="s">
        <v>21</v>
      </c>
      <c r="H8569" s="9" t="s">
        <v>22</v>
      </c>
      <c r="I8569" s="9" t="s">
        <v>18260</v>
      </c>
      <c r="J8569" s="10" t="str">
        <f>HYPERLINK("https://www.boe.es/gazeta/dias/1834/08/31/pdfs/GMD-D-1834-198.pdf#page=3","Abrir facsímil")</f>
        <v>Abrir facsímil</v>
      </c>
      <c r="K8569" s="10" t="s">
        <v>24</v>
      </c>
    </row>
    <row r="8570" spans="1:11" ht="54" customHeight="1">
      <c r="A8570" s="9" t="s">
        <v>18261</v>
      </c>
      <c r="B8570" s="9" t="s">
        <v>18262</v>
      </c>
      <c r="C8570" s="9" t="s">
        <v>17</v>
      </c>
      <c r="D8570" s="9" t="s">
        <v>18</v>
      </c>
      <c r="E8570" s="10" t="s">
        <v>1839</v>
      </c>
      <c r="F8570" s="9" t="s">
        <v>1840</v>
      </c>
      <c r="G8570" s="10" t="s">
        <v>34</v>
      </c>
      <c r="H8570" s="9" t="s">
        <v>22</v>
      </c>
      <c r="I8570" s="9" t="s">
        <v>18263</v>
      </c>
      <c r="J8570" s="10" t="str">
        <f>HYPERLINK("https://www.boe.es/gazeta/dias/1834/08/12/pdfs/GMD-C-1834-177.pdf#page=1","Abrir facsímil")</f>
        <v>Abrir facsímil</v>
      </c>
      <c r="K8570" s="10" t="s">
        <v>24</v>
      </c>
    </row>
    <row r="8571" spans="1:11" ht="54" customHeight="1">
      <c r="A8571" s="9" t="s">
        <v>18264</v>
      </c>
      <c r="B8571" s="9" t="s">
        <v>18265</v>
      </c>
      <c r="C8571" s="9" t="s">
        <v>66</v>
      </c>
      <c r="D8571" s="9" t="s">
        <v>67</v>
      </c>
      <c r="E8571" s="10" t="s">
        <v>133</v>
      </c>
      <c r="F8571" s="9" t="s">
        <v>134</v>
      </c>
      <c r="G8571" s="10" t="s">
        <v>34</v>
      </c>
      <c r="H8571" s="9" t="s">
        <v>22</v>
      </c>
      <c r="I8571" s="9" t="s">
        <v>18266</v>
      </c>
      <c r="J8571" s="10" t="str">
        <f>HYPERLINK("https://www.boe.es/gazeta/dias/1834/06/18/pdfs/GMD-1834-121.pdf#page=1","Abrir facsímil")</f>
        <v>Abrir facsímil</v>
      </c>
      <c r="K8571" s="10" t="s">
        <v>24</v>
      </c>
    </row>
    <row r="8572" spans="1:11" ht="54" customHeight="1">
      <c r="A8572" s="9" t="s">
        <v>18267</v>
      </c>
      <c r="B8572" s="9" t="s">
        <v>18268</v>
      </c>
      <c r="C8572" s="9" t="s">
        <v>17</v>
      </c>
      <c r="D8572" s="9" t="s">
        <v>18</v>
      </c>
      <c r="E8572" s="10" t="s">
        <v>1410</v>
      </c>
      <c r="F8572" s="9" t="s">
        <v>2231</v>
      </c>
      <c r="G8572" s="10" t="s">
        <v>28</v>
      </c>
      <c r="H8572" s="9" t="s">
        <v>22</v>
      </c>
      <c r="I8572" s="9" t="s">
        <v>18269</v>
      </c>
      <c r="J8572" s="10" t="str">
        <f>HYPERLINK("https://www.boe.es/gazeta/dias/1834/09/09/pdfs/GMD-C-1834-207.pdf#page=5","Abrir facsímil")</f>
        <v>Abrir facsímil</v>
      </c>
      <c r="K8572" s="10" t="s">
        <v>24</v>
      </c>
    </row>
    <row r="8573" spans="1:11" ht="54" customHeight="1">
      <c r="A8573" s="9" t="s">
        <v>18270</v>
      </c>
      <c r="B8573" s="9" t="s">
        <v>18271</v>
      </c>
      <c r="C8573" s="9" t="s">
        <v>90</v>
      </c>
      <c r="D8573" s="9" t="s">
        <v>18</v>
      </c>
      <c r="E8573" s="10" t="s">
        <v>1410</v>
      </c>
      <c r="F8573" s="9" t="s">
        <v>2231</v>
      </c>
      <c r="G8573" s="10" t="s">
        <v>34</v>
      </c>
      <c r="H8573" s="9" t="s">
        <v>35</v>
      </c>
      <c r="I8573" s="9" t="s">
        <v>18272</v>
      </c>
      <c r="J8573" s="10" t="str">
        <f>HYPERLINK("https://www.boe.es/gazeta/dias/1834/09/09/pdfs/GMD-C-1834-207.pdf#page=1","Abrir facsímil")</f>
        <v>Abrir facsímil</v>
      </c>
      <c r="K8573" s="10" t="s">
        <v>37</v>
      </c>
    </row>
    <row r="8574" spans="1:11" ht="54" customHeight="1">
      <c r="A8574" s="9" t="s">
        <v>18273</v>
      </c>
      <c r="B8574" s="9" t="s">
        <v>18274</v>
      </c>
      <c r="C8574" s="9" t="s">
        <v>90</v>
      </c>
      <c r="D8574" s="9" t="s">
        <v>18</v>
      </c>
      <c r="E8574" s="10" t="s">
        <v>1410</v>
      </c>
      <c r="F8574" s="9" t="s">
        <v>2231</v>
      </c>
      <c r="G8574" s="10" t="s">
        <v>34</v>
      </c>
      <c r="H8574" s="9" t="s">
        <v>22</v>
      </c>
      <c r="I8574" s="9" t="s">
        <v>18275</v>
      </c>
      <c r="J8574" s="10" t="str">
        <f>HYPERLINK("https://www.boe.es/gazeta/dias/1834/09/09/pdfs/GMD-C-1834-207.pdf#page=1","Abrir facsímil")</f>
        <v>Abrir facsímil</v>
      </c>
      <c r="K8574" s="10" t="s">
        <v>24</v>
      </c>
    </row>
    <row r="8575" spans="1:11" ht="54" customHeight="1">
      <c r="A8575" s="9" t="s">
        <v>18276</v>
      </c>
      <c r="B8575" s="9" t="s">
        <v>18277</v>
      </c>
      <c r="C8575" s="9" t="s">
        <v>17</v>
      </c>
      <c r="D8575" s="9" t="s">
        <v>18</v>
      </c>
      <c r="E8575" s="10" t="s">
        <v>364</v>
      </c>
      <c r="F8575" s="9" t="s">
        <v>365</v>
      </c>
      <c r="G8575" s="10" t="s">
        <v>34</v>
      </c>
      <c r="H8575" s="9" t="s">
        <v>35</v>
      </c>
      <c r="I8575" s="9" t="s">
        <v>18278</v>
      </c>
      <c r="J8575" s="10" t="str">
        <f>HYPERLINK("https://www.boe.es/gazeta/dias/1834/09/06/pdfs/GMD-C-1834-204.pdf#page=1","Abrir facsímil")</f>
        <v>Abrir facsímil</v>
      </c>
      <c r="K8575" s="10" t="s">
        <v>37</v>
      </c>
    </row>
    <row r="8576" spans="1:11" ht="54" customHeight="1">
      <c r="A8576" s="9" t="s">
        <v>18279</v>
      </c>
      <c r="B8576" s="9" t="s">
        <v>18280</v>
      </c>
      <c r="C8576" s="9" t="s">
        <v>17</v>
      </c>
      <c r="D8576" s="9" t="s">
        <v>18</v>
      </c>
      <c r="E8576" s="10" t="s">
        <v>364</v>
      </c>
      <c r="F8576" s="9" t="s">
        <v>365</v>
      </c>
      <c r="G8576" s="10" t="s">
        <v>34</v>
      </c>
      <c r="H8576" s="9" t="s">
        <v>22</v>
      </c>
      <c r="I8576" s="9" t="s">
        <v>18281</v>
      </c>
      <c r="J8576" s="10" t="str">
        <f>HYPERLINK("https://www.boe.es/gazeta/dias/1834/09/06/pdfs/GMD-C-1834-204.pdf#page=1","Abrir facsímil")</f>
        <v>Abrir facsímil</v>
      </c>
      <c r="K8576" s="10" t="s">
        <v>24</v>
      </c>
    </row>
    <row r="8577" spans="1:11" ht="54" customHeight="1">
      <c r="A8577" s="9" t="s">
        <v>18279</v>
      </c>
      <c r="B8577" s="9" t="s">
        <v>18280</v>
      </c>
      <c r="C8577" s="9" t="s">
        <v>17</v>
      </c>
      <c r="D8577" s="9" t="s">
        <v>18</v>
      </c>
      <c r="E8577" s="10" t="s">
        <v>268</v>
      </c>
      <c r="F8577" s="9" t="s">
        <v>269</v>
      </c>
      <c r="G8577" s="10" t="s">
        <v>21</v>
      </c>
      <c r="H8577" s="9" t="s">
        <v>22</v>
      </c>
      <c r="I8577" s="9" t="s">
        <v>18282</v>
      </c>
      <c r="J8577" s="10" t="str">
        <f>HYPERLINK("https://www.boe.es/gazeta/dias/1834/12/19/pdfs/GMD-C-1834-309.pdf#page=3","Abrir facsímil")</f>
        <v>Abrir facsímil</v>
      </c>
      <c r="K8577" s="10" t="s">
        <v>24</v>
      </c>
    </row>
    <row r="8578" spans="1:11" ht="54" customHeight="1">
      <c r="A8578" s="9" t="s">
        <v>18283</v>
      </c>
      <c r="B8578" s="9" t="s">
        <v>18284</v>
      </c>
      <c r="C8578" s="9" t="s">
        <v>17</v>
      </c>
      <c r="D8578" s="9" t="s">
        <v>18</v>
      </c>
      <c r="E8578" s="10" t="s">
        <v>2087</v>
      </c>
      <c r="F8578" s="9" t="s">
        <v>2267</v>
      </c>
      <c r="G8578" s="10" t="s">
        <v>2174</v>
      </c>
      <c r="H8578" s="9" t="s">
        <v>22</v>
      </c>
      <c r="I8578" s="9" t="s">
        <v>18285</v>
      </c>
      <c r="J8578" s="10" t="str">
        <f>HYPERLINK("https://www.boe.es/gazeta/dias/1834/12/14/pdfs/GMD-C-1834-303.pdf#page=10","Abrir facsímil")</f>
        <v>Abrir facsímil</v>
      </c>
      <c r="K8578" s="10" t="s">
        <v>24</v>
      </c>
    </row>
    <row r="8579" spans="1:11" ht="54" customHeight="1">
      <c r="A8579" s="9" t="s">
        <v>18286</v>
      </c>
      <c r="B8579" s="9" t="s">
        <v>18287</v>
      </c>
      <c r="C8579" s="9" t="s">
        <v>17</v>
      </c>
      <c r="D8579" s="9" t="s">
        <v>18</v>
      </c>
      <c r="E8579" s="10" t="s">
        <v>462</v>
      </c>
      <c r="F8579" s="9" t="s">
        <v>463</v>
      </c>
      <c r="G8579" s="10" t="s">
        <v>86</v>
      </c>
      <c r="H8579" s="9" t="s">
        <v>22</v>
      </c>
      <c r="I8579" s="9" t="s">
        <v>18288</v>
      </c>
      <c r="J8579" s="10" t="str">
        <f>HYPERLINK("https://www.boe.es/gazeta/dias/1834/08/27/pdfs/GMD-C-1834-193.pdf#page=2","Abrir facsímil")</f>
        <v>Abrir facsímil</v>
      </c>
      <c r="K8579" s="10" t="s">
        <v>24</v>
      </c>
    </row>
    <row r="8580" spans="1:11" ht="54" customHeight="1">
      <c r="A8580" s="9" t="s">
        <v>18289</v>
      </c>
      <c r="B8580" s="9" t="s">
        <v>18290</v>
      </c>
      <c r="C8580" s="9" t="s">
        <v>17</v>
      </c>
      <c r="D8580" s="9" t="s">
        <v>18</v>
      </c>
      <c r="E8580" s="10" t="s">
        <v>268</v>
      </c>
      <c r="F8580" s="9" t="s">
        <v>269</v>
      </c>
      <c r="G8580" s="10" t="s">
        <v>34</v>
      </c>
      <c r="H8580" s="9" t="s">
        <v>22</v>
      </c>
      <c r="I8580" s="9" t="s">
        <v>18291</v>
      </c>
      <c r="J8580" s="10" t="str">
        <f>HYPERLINK("https://www.boe.es/gazeta/dias/1834/12/19/pdfs/GMD-C-1834-309.pdf#page=1","Abrir facsímil")</f>
        <v>Abrir facsímil</v>
      </c>
      <c r="K8580" s="10" t="s">
        <v>24</v>
      </c>
    </row>
    <row r="8581" spans="1:11" ht="54" customHeight="1">
      <c r="A8581" s="9" t="s">
        <v>18292</v>
      </c>
      <c r="B8581" s="9" t="s">
        <v>18293</v>
      </c>
      <c r="C8581" s="9" t="s">
        <v>122</v>
      </c>
      <c r="D8581" s="9" t="s">
        <v>101</v>
      </c>
      <c r="E8581" s="10" t="s">
        <v>123</v>
      </c>
      <c r="F8581" s="9" t="s">
        <v>124</v>
      </c>
      <c r="G8581" s="10" t="s">
        <v>21</v>
      </c>
      <c r="H8581" s="9" t="s">
        <v>35</v>
      </c>
      <c r="I8581" s="9" t="s">
        <v>18294</v>
      </c>
      <c r="J8581" s="10" t="str">
        <f>HYPERLINK("https://www.boe.es/gazeta/dias/1834/07/11/pdfs/GMD-1834-144.pdf#page=3","Abrir facsímil")</f>
        <v>Abrir facsímil</v>
      </c>
      <c r="K8581" s="10" t="s">
        <v>37</v>
      </c>
    </row>
    <row r="8582" spans="1:11" ht="54" customHeight="1">
      <c r="A8582" s="9" t="s">
        <v>18295</v>
      </c>
      <c r="B8582" s="9" t="s">
        <v>18296</v>
      </c>
      <c r="C8582" s="9" t="s">
        <v>17</v>
      </c>
      <c r="D8582" s="9" t="s">
        <v>18</v>
      </c>
      <c r="E8582" s="10" t="s">
        <v>255</v>
      </c>
      <c r="F8582" s="9" t="s">
        <v>256</v>
      </c>
      <c r="G8582" s="10" t="s">
        <v>86</v>
      </c>
      <c r="H8582" s="9" t="s">
        <v>22</v>
      </c>
      <c r="I8582" s="9" t="s">
        <v>18297</v>
      </c>
      <c r="J8582" s="10" t="str">
        <f>HYPERLINK("https://www.boe.es/gazeta/dias/1834/09/01/pdfs/GMD-D-1834-199.pdf#page=2","Abrir facsímil")</f>
        <v>Abrir facsímil</v>
      </c>
      <c r="K8582" s="10" t="s">
        <v>24</v>
      </c>
    </row>
    <row r="8583" spans="1:11" ht="54" customHeight="1">
      <c r="A8583" s="9" t="s">
        <v>18295</v>
      </c>
      <c r="B8583" s="9" t="s">
        <v>18296</v>
      </c>
      <c r="C8583" s="9" t="s">
        <v>17</v>
      </c>
      <c r="D8583" s="9" t="s">
        <v>18</v>
      </c>
      <c r="E8583" s="10" t="s">
        <v>690</v>
      </c>
      <c r="F8583" s="9" t="s">
        <v>691</v>
      </c>
      <c r="G8583" s="10" t="s">
        <v>560</v>
      </c>
      <c r="H8583" s="9" t="s">
        <v>22</v>
      </c>
      <c r="I8583" s="9" t="s">
        <v>18298</v>
      </c>
      <c r="J8583" s="10" t="str">
        <f>HYPERLINK("https://www.boe.es/gazeta/dias/1834/09/03/pdfs/GMD-C-1834-201.pdf#page=7","Abrir facsímil")</f>
        <v>Abrir facsímil</v>
      </c>
      <c r="K8583" s="10" t="s">
        <v>24</v>
      </c>
    </row>
    <row r="8584" spans="1:11" ht="54" customHeight="1">
      <c r="A8584" s="9" t="s">
        <v>18295</v>
      </c>
      <c r="B8584" s="9" t="s">
        <v>18296</v>
      </c>
      <c r="C8584" s="9" t="s">
        <v>17</v>
      </c>
      <c r="D8584" s="9" t="s">
        <v>18</v>
      </c>
      <c r="E8584" s="10" t="s">
        <v>1008</v>
      </c>
      <c r="F8584" s="9" t="s">
        <v>1009</v>
      </c>
      <c r="G8584" s="10" t="s">
        <v>470</v>
      </c>
      <c r="H8584" s="9" t="s">
        <v>22</v>
      </c>
      <c r="I8584" s="9" t="s">
        <v>18299</v>
      </c>
      <c r="J8584" s="10" t="str">
        <f>HYPERLINK("https://www.boe.es/gazeta/dias/1834/11/08/pdfs/GMD-C-1834-267.pdf#page=8","Abrir facsímil")</f>
        <v>Abrir facsímil</v>
      </c>
      <c r="K8584" s="10" t="s">
        <v>24</v>
      </c>
    </row>
    <row r="8585" spans="1:11" ht="54" customHeight="1">
      <c r="A8585" s="9" t="s">
        <v>18295</v>
      </c>
      <c r="B8585" s="9" t="s">
        <v>18296</v>
      </c>
      <c r="C8585" s="9" t="s">
        <v>66</v>
      </c>
      <c r="D8585" s="9" t="s">
        <v>18</v>
      </c>
      <c r="E8585" s="10" t="s">
        <v>438</v>
      </c>
      <c r="F8585" s="9" t="s">
        <v>528</v>
      </c>
      <c r="G8585" s="10" t="s">
        <v>75</v>
      </c>
      <c r="H8585" s="9" t="s">
        <v>22</v>
      </c>
      <c r="I8585" s="9" t="s">
        <v>18300</v>
      </c>
      <c r="J8585" s="10" t="str">
        <f>HYPERLINK("https://www.boe.es/gazeta/dias/1834/11/09/pdfs/GMD-C-1834-268.pdf#page=4","Abrir facsímil")</f>
        <v>Abrir facsímil</v>
      </c>
      <c r="K8585" s="10" t="s">
        <v>24</v>
      </c>
    </row>
    <row r="8586" spans="1:11" ht="54" customHeight="1">
      <c r="A8586" s="9" t="s">
        <v>18301</v>
      </c>
      <c r="B8586" s="9" t="s">
        <v>18302</v>
      </c>
      <c r="C8586" s="9" t="s">
        <v>17</v>
      </c>
      <c r="D8586" s="9" t="s">
        <v>55</v>
      </c>
      <c r="E8586" s="10" t="s">
        <v>642</v>
      </c>
      <c r="F8586" s="9" t="s">
        <v>643</v>
      </c>
      <c r="G8586" s="10" t="s">
        <v>470</v>
      </c>
      <c r="H8586" s="9" t="s">
        <v>22</v>
      </c>
      <c r="I8586" s="9" t="s">
        <v>18303</v>
      </c>
      <c r="J8586" s="10" t="str">
        <f>HYPERLINK("https://www.boe.es/gazeta/dias/1834/11/12/pdfs/GMD-C-1834-271.pdf#page=8","Abrir facsímil")</f>
        <v>Abrir facsímil</v>
      </c>
      <c r="K8586" s="10" t="s">
        <v>24</v>
      </c>
    </row>
    <row r="8587" spans="1:11" ht="54" customHeight="1">
      <c r="A8587" s="9" t="s">
        <v>18295</v>
      </c>
      <c r="B8587" s="9" t="s">
        <v>18296</v>
      </c>
      <c r="C8587" s="9" t="s">
        <v>17</v>
      </c>
      <c r="D8587" s="9" t="s">
        <v>18</v>
      </c>
      <c r="E8587" s="10" t="s">
        <v>1424</v>
      </c>
      <c r="F8587" s="9" t="s">
        <v>1425</v>
      </c>
      <c r="G8587" s="10" t="s">
        <v>176</v>
      </c>
      <c r="H8587" s="9" t="s">
        <v>22</v>
      </c>
      <c r="I8587" s="9" t="s">
        <v>18304</v>
      </c>
      <c r="J8587" s="10" t="str">
        <f>HYPERLINK("https://www.boe.es/gazeta/dias/1834/11/14/pdfs/GMD-C-1834-273.pdf#page=6","Abrir facsímil")</f>
        <v>Abrir facsímil</v>
      </c>
      <c r="K8587" s="10" t="s">
        <v>24</v>
      </c>
    </row>
    <row r="8588" spans="1:11" ht="54" customHeight="1">
      <c r="A8588" s="9" t="s">
        <v>18295</v>
      </c>
      <c r="B8588" s="9" t="s">
        <v>18296</v>
      </c>
      <c r="C8588" s="9" t="s">
        <v>46</v>
      </c>
      <c r="D8588" s="9" t="s">
        <v>101</v>
      </c>
      <c r="E8588" s="10" t="s">
        <v>2398</v>
      </c>
      <c r="F8588" s="9" t="s">
        <v>2399</v>
      </c>
      <c r="G8588" s="10" t="s">
        <v>34</v>
      </c>
      <c r="H8588" s="9" t="s">
        <v>22</v>
      </c>
      <c r="I8588" s="9" t="s">
        <v>18305</v>
      </c>
      <c r="J8588" s="10" t="str">
        <f>HYPERLINK("https://www.boe.es/gazeta/dias/1834/01/16/pdfs/GMD-1834-8.pdf#page=1","Abrir facsímil")</f>
        <v>Abrir facsímil</v>
      </c>
      <c r="K8588" s="10" t="s">
        <v>24</v>
      </c>
    </row>
    <row r="8589" spans="1:11" ht="54" customHeight="1">
      <c r="A8589" s="9" t="s">
        <v>18295</v>
      </c>
      <c r="B8589" s="9" t="s">
        <v>18296</v>
      </c>
      <c r="C8589" s="9" t="s">
        <v>17</v>
      </c>
      <c r="D8589" s="9" t="s">
        <v>18</v>
      </c>
      <c r="E8589" s="10" t="s">
        <v>233</v>
      </c>
      <c r="F8589" s="9" t="s">
        <v>1810</v>
      </c>
      <c r="G8589" s="10" t="s">
        <v>2274</v>
      </c>
      <c r="H8589" s="9" t="s">
        <v>22</v>
      </c>
      <c r="I8589" s="9" t="s">
        <v>18306</v>
      </c>
      <c r="J8589" s="10" t="str">
        <f>HYPERLINK("https://www.boe.es/gazeta/dias/1834/12/16/pdfs/GMD-C-1834-305.pdf#page=13","Abrir facsímil")</f>
        <v>Abrir facsímil</v>
      </c>
      <c r="K8589" s="10" t="s">
        <v>24</v>
      </c>
    </row>
    <row r="8590" spans="1:11" ht="54" customHeight="1">
      <c r="A8590" s="9" t="s">
        <v>18295</v>
      </c>
      <c r="B8590" s="9" t="s">
        <v>18296</v>
      </c>
      <c r="C8590" s="9" t="s">
        <v>17</v>
      </c>
      <c r="D8590" s="9" t="s">
        <v>18</v>
      </c>
      <c r="E8590" s="10" t="s">
        <v>2287</v>
      </c>
      <c r="F8590" s="9" t="s">
        <v>2288</v>
      </c>
      <c r="G8590" s="10" t="s">
        <v>176</v>
      </c>
      <c r="H8590" s="9" t="s">
        <v>22</v>
      </c>
      <c r="I8590" s="9" t="s">
        <v>18307</v>
      </c>
      <c r="J8590" s="10" t="str">
        <f>HYPERLINK("https://www.boe.es/gazeta/dias/1834/12/18/pdfs/GMD-C-1834-308.pdf#page=6","Abrir facsímil")</f>
        <v>Abrir facsímil</v>
      </c>
      <c r="K8590" s="10" t="s">
        <v>24</v>
      </c>
    </row>
    <row r="8591" spans="1:11" ht="54" customHeight="1">
      <c r="A8591" s="9" t="s">
        <v>18295</v>
      </c>
      <c r="B8591" s="9" t="s">
        <v>18296</v>
      </c>
      <c r="C8591" s="9" t="s">
        <v>17</v>
      </c>
      <c r="D8591" s="9" t="s">
        <v>18</v>
      </c>
      <c r="E8591" s="10" t="s">
        <v>378</v>
      </c>
      <c r="F8591" s="9" t="s">
        <v>888</v>
      </c>
      <c r="G8591" s="10" t="s">
        <v>176</v>
      </c>
      <c r="H8591" s="9" t="s">
        <v>22</v>
      </c>
      <c r="I8591" s="9" t="s">
        <v>18308</v>
      </c>
      <c r="J8591" s="10" t="str">
        <f>HYPERLINK("https://www.boe.es/gazeta/dias/1834/09/24/pdfs/GMD-C-1834-222.pdf#page=6","Abrir facsímil")</f>
        <v>Abrir facsímil</v>
      </c>
      <c r="K8591" s="10" t="s">
        <v>24</v>
      </c>
    </row>
    <row r="8592" spans="1:11" ht="54" customHeight="1">
      <c r="A8592" s="9" t="s">
        <v>18295</v>
      </c>
      <c r="B8592" s="9" t="s">
        <v>18296</v>
      </c>
      <c r="C8592" s="9" t="s">
        <v>46</v>
      </c>
      <c r="D8592" s="9" t="s">
        <v>101</v>
      </c>
      <c r="E8592" s="10" t="s">
        <v>251</v>
      </c>
      <c r="F8592" s="9" t="s">
        <v>252</v>
      </c>
      <c r="G8592" s="10" t="s">
        <v>470</v>
      </c>
      <c r="H8592" s="9" t="s">
        <v>22</v>
      </c>
      <c r="I8592" s="9" t="s">
        <v>18309</v>
      </c>
      <c r="J8592" s="10" t="str">
        <f>HYPERLINK("https://www.boe.es/gazeta/dias/1834/09/26/pdfs/GMD-C-1834-224.pdf#page=8","Abrir facsímil")</f>
        <v>Abrir facsímil</v>
      </c>
      <c r="K8592" s="10" t="s">
        <v>24</v>
      </c>
    </row>
    <row r="8593" spans="1:11" ht="54" customHeight="1">
      <c r="A8593" s="9" t="s">
        <v>18310</v>
      </c>
      <c r="B8593" s="9" t="s">
        <v>18311</v>
      </c>
      <c r="C8593" s="9" t="s">
        <v>17</v>
      </c>
      <c r="D8593" s="9" t="s">
        <v>18</v>
      </c>
      <c r="E8593" s="10" t="s">
        <v>167</v>
      </c>
      <c r="F8593" s="9" t="s">
        <v>1200</v>
      </c>
      <c r="G8593" s="10" t="s">
        <v>2174</v>
      </c>
      <c r="H8593" s="9" t="s">
        <v>22</v>
      </c>
      <c r="I8593" s="9" t="s">
        <v>18312</v>
      </c>
      <c r="J8593" s="10" t="str">
        <f>HYPERLINK("https://www.boe.es/gazeta/dias/1834/09/07/pdfs/GMD-C-1834-205.pdf#page=10","Abrir facsímil")</f>
        <v>Abrir facsímil</v>
      </c>
      <c r="K8593" s="10" t="s">
        <v>24</v>
      </c>
    </row>
    <row r="8594" spans="1:11" ht="54" customHeight="1">
      <c r="A8594" s="9" t="s">
        <v>18313</v>
      </c>
      <c r="B8594" s="9" t="s">
        <v>18314</v>
      </c>
      <c r="C8594" s="9" t="s">
        <v>46</v>
      </c>
      <c r="D8594" s="9" t="s">
        <v>101</v>
      </c>
      <c r="E8594" s="10" t="s">
        <v>364</v>
      </c>
      <c r="F8594" s="9" t="s">
        <v>365</v>
      </c>
      <c r="G8594" s="10" t="s">
        <v>470</v>
      </c>
      <c r="H8594" s="9" t="s">
        <v>22</v>
      </c>
      <c r="I8594" s="9" t="s">
        <v>18315</v>
      </c>
      <c r="J8594" s="10" t="str">
        <f>HYPERLINK("https://www.boe.es/gazeta/dias/1834/09/06/pdfs/GMD-C-1834-204.pdf#page=8","Abrir facsímil")</f>
        <v>Abrir facsímil</v>
      </c>
      <c r="K8594" s="10" t="s">
        <v>24</v>
      </c>
    </row>
    <row r="8595" spans="1:11" ht="54" customHeight="1">
      <c r="A8595" s="9" t="s">
        <v>18316</v>
      </c>
      <c r="B8595" s="9" t="s">
        <v>18317</v>
      </c>
      <c r="C8595" s="9" t="s">
        <v>17</v>
      </c>
      <c r="D8595" s="9" t="s">
        <v>18</v>
      </c>
      <c r="E8595" s="10" t="s">
        <v>4105</v>
      </c>
      <c r="F8595" s="9" t="s">
        <v>4106</v>
      </c>
      <c r="G8595" s="10" t="s">
        <v>176</v>
      </c>
      <c r="H8595" s="9" t="s">
        <v>22</v>
      </c>
      <c r="I8595" s="9" t="s">
        <v>18318</v>
      </c>
      <c r="J8595" s="10" t="str">
        <f>HYPERLINK("https://www.boe.es/gazeta/dias/1834/09/02/pdfs/GMD-C-1834-200.pdf#page=6","Abrir facsímil")</f>
        <v>Abrir facsímil</v>
      </c>
      <c r="K8595" s="10" t="s">
        <v>24</v>
      </c>
    </row>
    <row r="8596" spans="1:11" ht="54" customHeight="1">
      <c r="A8596" s="9" t="s">
        <v>18319</v>
      </c>
      <c r="B8596" s="9" t="s">
        <v>18319</v>
      </c>
      <c r="C8596" s="9" t="s">
        <v>17</v>
      </c>
      <c r="D8596" s="9" t="s">
        <v>18</v>
      </c>
      <c r="E8596" s="10" t="s">
        <v>163</v>
      </c>
      <c r="F8596" s="9" t="s">
        <v>4896</v>
      </c>
      <c r="G8596" s="10" t="s">
        <v>34</v>
      </c>
      <c r="H8596" s="9" t="s">
        <v>22</v>
      </c>
      <c r="I8596" s="9" t="s">
        <v>18320</v>
      </c>
      <c r="J8596" s="10" t="str">
        <f>HYPERLINK("https://www.boe.es/gazeta/dias/1834/08/09/pdfs/GMD-C-1834-174.pdf#page=1","Abrir facsímil")</f>
        <v>Abrir facsímil</v>
      </c>
      <c r="K8596" s="10" t="s">
        <v>24</v>
      </c>
    </row>
    <row r="8597" spans="1:11" ht="54" customHeight="1">
      <c r="A8597" s="9" t="s">
        <v>18319</v>
      </c>
      <c r="B8597" s="9" t="s">
        <v>18319</v>
      </c>
      <c r="C8597" s="9" t="s">
        <v>46</v>
      </c>
      <c r="D8597" s="9" t="s">
        <v>101</v>
      </c>
      <c r="E8597" s="10" t="s">
        <v>26</v>
      </c>
      <c r="F8597" s="9" t="s">
        <v>27</v>
      </c>
      <c r="G8597" s="10" t="s">
        <v>28</v>
      </c>
      <c r="H8597" s="9" t="s">
        <v>22</v>
      </c>
      <c r="I8597" s="9" t="s">
        <v>18321</v>
      </c>
      <c r="J8597" s="10" t="str">
        <f>HYPERLINK("https://www.boe.es/gazeta/dias/1834/10/19/pdfs/GMD-C-1834-247.pdf#page=5","Abrir facsímil")</f>
        <v>Abrir facsímil</v>
      </c>
      <c r="K8597" s="10" t="s">
        <v>24</v>
      </c>
    </row>
    <row r="8598" spans="1:11" ht="54" customHeight="1">
      <c r="A8598" s="9" t="s">
        <v>18322</v>
      </c>
      <c r="B8598" s="9" t="s">
        <v>18323</v>
      </c>
      <c r="C8598" s="9" t="s">
        <v>46</v>
      </c>
      <c r="D8598" s="9" t="s">
        <v>18</v>
      </c>
      <c r="E8598" s="10" t="s">
        <v>667</v>
      </c>
      <c r="F8598" s="9" t="s">
        <v>3347</v>
      </c>
      <c r="G8598" s="10" t="s">
        <v>21</v>
      </c>
      <c r="H8598" s="9" t="s">
        <v>22</v>
      </c>
      <c r="I8598" s="9" t="s">
        <v>18324</v>
      </c>
      <c r="J8598" s="10" t="str">
        <f>HYPERLINK("https://www.boe.es/gazeta/dias/1834/11/23/pdfs/GMD-1834-282.pdf#page=3","Abrir facsímil")</f>
        <v>Abrir facsímil</v>
      </c>
      <c r="K8598" s="10" t="s">
        <v>24</v>
      </c>
    </row>
    <row r="8599" spans="1:11" ht="54" customHeight="1">
      <c r="A8599" s="9" t="s">
        <v>18325</v>
      </c>
      <c r="B8599" s="9" t="s">
        <v>18326</v>
      </c>
      <c r="C8599" s="9" t="s">
        <v>66</v>
      </c>
      <c r="D8599" s="9" t="s">
        <v>67</v>
      </c>
      <c r="E8599" s="10" t="s">
        <v>32</v>
      </c>
      <c r="F8599" s="9" t="s">
        <v>7431</v>
      </c>
      <c r="G8599" s="10" t="s">
        <v>86</v>
      </c>
      <c r="H8599" s="9" t="s">
        <v>22</v>
      </c>
      <c r="I8599" s="9" t="s">
        <v>18327</v>
      </c>
      <c r="J8599" s="10" t="str">
        <f>HYPERLINK("https://www.boe.es/gazeta/dias/1834/04/23/pdfs/GMD-C-1834-62.pdf#page=2","Abrir facsímil")</f>
        <v>Abrir facsímil</v>
      </c>
      <c r="K8599" s="10" t="s">
        <v>24</v>
      </c>
    </row>
    <row r="8600" spans="1:11" ht="54" customHeight="1">
      <c r="A8600" s="9" t="s">
        <v>18328</v>
      </c>
      <c r="B8600" s="9" t="s">
        <v>18329</v>
      </c>
      <c r="C8600" s="9" t="s">
        <v>17</v>
      </c>
      <c r="D8600" s="9" t="s">
        <v>18</v>
      </c>
      <c r="E8600" s="10" t="s">
        <v>1351</v>
      </c>
      <c r="F8600" s="9" t="s">
        <v>1352</v>
      </c>
      <c r="G8600" s="10" t="s">
        <v>75</v>
      </c>
      <c r="H8600" s="9" t="s">
        <v>35</v>
      </c>
      <c r="I8600" s="9" t="s">
        <v>18330</v>
      </c>
      <c r="J8600" s="10" t="str">
        <f>HYPERLINK("https://www.boe.es/gazeta/dias/1834/07/05/pdfs/GMD-1834-138.pdf#page=4","Abrir facsímil")</f>
        <v>Abrir facsímil</v>
      </c>
      <c r="K8600" s="10" t="s">
        <v>37</v>
      </c>
    </row>
    <row r="8601" spans="1:11" ht="54" customHeight="1">
      <c r="A8601" s="9" t="s">
        <v>18331</v>
      </c>
      <c r="B8601" s="9" t="s">
        <v>18332</v>
      </c>
      <c r="C8601" s="9" t="s">
        <v>17</v>
      </c>
      <c r="D8601" s="9" t="s">
        <v>18</v>
      </c>
      <c r="E8601" s="10" t="s">
        <v>1351</v>
      </c>
      <c r="F8601" s="9" t="s">
        <v>1352</v>
      </c>
      <c r="G8601" s="10" t="s">
        <v>75</v>
      </c>
      <c r="H8601" s="9" t="s">
        <v>22</v>
      </c>
      <c r="I8601" s="9" t="s">
        <v>18333</v>
      </c>
      <c r="J8601" s="10" t="str">
        <f>HYPERLINK("https://www.boe.es/gazeta/dias/1834/07/05/pdfs/GMD-1834-138.pdf#page=4","Abrir facsímil")</f>
        <v>Abrir facsímil</v>
      </c>
      <c r="K8601" s="10" t="s">
        <v>24</v>
      </c>
    </row>
    <row r="8602" spans="1:11" ht="54" customHeight="1">
      <c r="A8602" s="9" t="s">
        <v>18334</v>
      </c>
      <c r="B8602" s="9" t="s">
        <v>18334</v>
      </c>
      <c r="C8602" s="9" t="s">
        <v>90</v>
      </c>
      <c r="D8602" s="9" t="s">
        <v>55</v>
      </c>
      <c r="E8602" s="10" t="s">
        <v>3225</v>
      </c>
      <c r="F8602" s="9" t="s">
        <v>3226</v>
      </c>
      <c r="G8602" s="10" t="s">
        <v>21</v>
      </c>
      <c r="H8602" s="9" t="s">
        <v>22</v>
      </c>
      <c r="I8602" s="9" t="s">
        <v>18335</v>
      </c>
      <c r="J8602" s="10" t="str">
        <f>HYPERLINK("https://www.boe.es/gazeta/dias/1834/08/22/pdfs/GMD-1834-188.pdf#page=3","Abrir facsímil")</f>
        <v>Abrir facsímil</v>
      </c>
      <c r="K8602" s="10" t="s">
        <v>24</v>
      </c>
    </row>
    <row r="8603" spans="1:11" ht="54" customHeight="1">
      <c r="A8603" s="9" t="s">
        <v>18336</v>
      </c>
      <c r="B8603" s="9" t="s">
        <v>18337</v>
      </c>
      <c r="C8603" s="9" t="s">
        <v>17</v>
      </c>
      <c r="D8603" s="9" t="s">
        <v>18</v>
      </c>
      <c r="E8603" s="10" t="s">
        <v>299</v>
      </c>
      <c r="F8603" s="9" t="s">
        <v>300</v>
      </c>
      <c r="G8603" s="10" t="s">
        <v>34</v>
      </c>
      <c r="H8603" s="9" t="s">
        <v>22</v>
      </c>
      <c r="I8603" s="9" t="s">
        <v>18338</v>
      </c>
      <c r="J8603" s="10" t="str">
        <f>HYPERLINK("https://www.boe.es/gazeta/dias/1834/12/12/pdfs/GMD-1834-301.pdf#page=1","Abrir facsímil")</f>
        <v>Abrir facsímil</v>
      </c>
      <c r="K8603" s="10" t="s">
        <v>24</v>
      </c>
    </row>
    <row r="8604" spans="1:11" ht="54" customHeight="1">
      <c r="A8604" s="9" t="s">
        <v>18339</v>
      </c>
      <c r="B8604" s="9" t="s">
        <v>18340</v>
      </c>
      <c r="C8604" s="9" t="s">
        <v>17</v>
      </c>
      <c r="D8604" s="9" t="s">
        <v>18</v>
      </c>
      <c r="E8604" s="10" t="s">
        <v>468</v>
      </c>
      <c r="F8604" s="9" t="s">
        <v>469</v>
      </c>
      <c r="G8604" s="10" t="s">
        <v>34</v>
      </c>
      <c r="H8604" s="9" t="s">
        <v>22</v>
      </c>
      <c r="I8604" s="9" t="s">
        <v>18341</v>
      </c>
      <c r="J8604" s="10" t="str">
        <f>HYPERLINK("https://www.boe.es/gazeta/dias/1834/12/28/pdfs/GMD-C-1834-318.pdf#page=1","Abrir facsímil")</f>
        <v>Abrir facsímil</v>
      </c>
      <c r="K8604" s="10" t="s">
        <v>24</v>
      </c>
    </row>
    <row r="8605" spans="1:11" ht="54" customHeight="1">
      <c r="A8605" s="9" t="s">
        <v>18342</v>
      </c>
      <c r="B8605" s="9" t="s">
        <v>18343</v>
      </c>
      <c r="C8605" s="9" t="s">
        <v>17</v>
      </c>
      <c r="D8605" s="9" t="s">
        <v>55</v>
      </c>
      <c r="E8605" s="10" t="s">
        <v>26</v>
      </c>
      <c r="F8605" s="9" t="s">
        <v>27</v>
      </c>
      <c r="G8605" s="10" t="s">
        <v>560</v>
      </c>
      <c r="H8605" s="9" t="s">
        <v>22</v>
      </c>
      <c r="I8605" s="9" t="s">
        <v>18344</v>
      </c>
      <c r="J8605" s="10" t="str">
        <f>HYPERLINK("https://www.boe.es/gazeta/dias/1834/10/19/pdfs/GMD-C-1834-247.pdf#page=7","Abrir facsímil")</f>
        <v>Abrir facsímil</v>
      </c>
      <c r="K8605" s="10" t="s">
        <v>24</v>
      </c>
    </row>
    <row r="8606" spans="1:11" ht="54" customHeight="1">
      <c r="A8606" s="9" t="s">
        <v>18345</v>
      </c>
      <c r="B8606" s="9" t="s">
        <v>18346</v>
      </c>
      <c r="C8606" s="9" t="s">
        <v>46</v>
      </c>
      <c r="D8606" s="9" t="s">
        <v>101</v>
      </c>
      <c r="E8606" s="10" t="s">
        <v>2087</v>
      </c>
      <c r="F8606" s="9" t="s">
        <v>2267</v>
      </c>
      <c r="G8606" s="10" t="s">
        <v>86</v>
      </c>
      <c r="H8606" s="9" t="s">
        <v>22</v>
      </c>
      <c r="I8606" s="9" t="s">
        <v>18347</v>
      </c>
      <c r="J8606" s="10" t="str">
        <f>HYPERLINK("https://www.boe.es/gazeta/dias/1834/12/14/pdfs/GMD-C-1834-303.pdf#page=2","Abrir facsímil")</f>
        <v>Abrir facsímil</v>
      </c>
      <c r="K8606" s="10" t="s">
        <v>24</v>
      </c>
    </row>
    <row r="8607" spans="1:11" ht="54" customHeight="1">
      <c r="A8607" s="9" t="s">
        <v>18348</v>
      </c>
      <c r="B8607" s="9" t="s">
        <v>18349</v>
      </c>
      <c r="C8607" s="9" t="s">
        <v>17</v>
      </c>
      <c r="D8607" s="9" t="s">
        <v>18</v>
      </c>
      <c r="E8607" s="10" t="s">
        <v>465</v>
      </c>
      <c r="F8607" s="9" t="s">
        <v>466</v>
      </c>
      <c r="G8607" s="10" t="s">
        <v>75</v>
      </c>
      <c r="H8607" s="9" t="s">
        <v>22</v>
      </c>
      <c r="I8607" s="9" t="s">
        <v>18350</v>
      </c>
      <c r="J8607" s="10" t="str">
        <f>HYPERLINK("https://www.boe.es/gazeta/dias/1834/11/27/pdfs/GMD-C-1834-286.pdf#page=4","Abrir facsímil")</f>
        <v>Abrir facsímil</v>
      </c>
      <c r="K8607" s="10" t="s">
        <v>24</v>
      </c>
    </row>
    <row r="8608" spans="1:11" ht="54" customHeight="1">
      <c r="A8608" s="9" t="s">
        <v>18351</v>
      </c>
      <c r="B8608" s="9" t="s">
        <v>18352</v>
      </c>
      <c r="C8608" s="9" t="s">
        <v>46</v>
      </c>
      <c r="D8608" s="9" t="s">
        <v>18</v>
      </c>
      <c r="E8608" s="10" t="s">
        <v>3066</v>
      </c>
      <c r="F8608" s="9" t="s">
        <v>3067</v>
      </c>
      <c r="G8608" s="10" t="s">
        <v>75</v>
      </c>
      <c r="H8608" s="9" t="s">
        <v>22</v>
      </c>
      <c r="I8608" s="9" t="s">
        <v>18353</v>
      </c>
      <c r="J8608" s="10" t="str">
        <f>HYPERLINK("https://www.boe.es/gazeta/dias/1834/08/03/pdfs/GMD-C-1834-167.pdf#page=4","Abrir facsímil")</f>
        <v>Abrir facsímil</v>
      </c>
      <c r="K8608" s="10" t="s">
        <v>24</v>
      </c>
    </row>
    <row r="8609" spans="1:11" ht="54" customHeight="1">
      <c r="A8609" s="9" t="s">
        <v>18354</v>
      </c>
      <c r="B8609" s="9" t="s">
        <v>18355</v>
      </c>
      <c r="C8609" s="9" t="s">
        <v>17</v>
      </c>
      <c r="D8609" s="9" t="s">
        <v>18</v>
      </c>
      <c r="E8609" s="10" t="s">
        <v>26</v>
      </c>
      <c r="F8609" s="9" t="s">
        <v>27</v>
      </c>
      <c r="G8609" s="10" t="s">
        <v>560</v>
      </c>
      <c r="H8609" s="9" t="s">
        <v>22</v>
      </c>
      <c r="I8609" s="9" t="s">
        <v>18356</v>
      </c>
      <c r="J8609" s="10" t="str">
        <f>HYPERLINK("https://www.boe.es/gazeta/dias/1834/10/19/pdfs/GMD-C-1834-247.pdf#page=7","Abrir facsímil")</f>
        <v>Abrir facsímil</v>
      </c>
      <c r="K8609" s="10" t="s">
        <v>24</v>
      </c>
    </row>
    <row r="8610" spans="1:11" ht="54" customHeight="1">
      <c r="A8610" s="9" t="s">
        <v>18357</v>
      </c>
      <c r="B8610" s="9" t="s">
        <v>18358</v>
      </c>
      <c r="C8610" s="9" t="s">
        <v>17</v>
      </c>
      <c r="D8610" s="9" t="s">
        <v>18</v>
      </c>
      <c r="E8610" s="10" t="s">
        <v>672</v>
      </c>
      <c r="F8610" s="9" t="s">
        <v>1055</v>
      </c>
      <c r="G8610" s="10" t="s">
        <v>28</v>
      </c>
      <c r="H8610" s="9" t="s">
        <v>22</v>
      </c>
      <c r="I8610" s="9" t="s">
        <v>18359</v>
      </c>
      <c r="J8610" s="10" t="str">
        <f>HYPERLINK("https://www.boe.es/gazeta/dias/1834/09/19/pdfs/GMD-C-1834-217.pdf#page=5","Abrir facsímil")</f>
        <v>Abrir facsímil</v>
      </c>
      <c r="K8610" s="10" t="s">
        <v>24</v>
      </c>
    </row>
    <row r="8611" spans="1:11" ht="54" customHeight="1">
      <c r="A8611" s="9" t="s">
        <v>18360</v>
      </c>
      <c r="B8611" s="9" t="s">
        <v>18361</v>
      </c>
      <c r="C8611" s="9" t="s">
        <v>66</v>
      </c>
      <c r="D8611" s="9" t="s">
        <v>67</v>
      </c>
      <c r="E8611" s="10" t="s">
        <v>3066</v>
      </c>
      <c r="F8611" s="9" t="s">
        <v>3067</v>
      </c>
      <c r="G8611" s="10" t="s">
        <v>21</v>
      </c>
      <c r="H8611" s="9" t="s">
        <v>22</v>
      </c>
      <c r="I8611" s="9" t="s">
        <v>18362</v>
      </c>
      <c r="J8611" s="10" t="str">
        <f>HYPERLINK("https://www.boe.es/gazeta/dias/1834/08/03/pdfs/GMD-C-1834-167.pdf#page=3","Abrir facsímil")</f>
        <v>Abrir facsímil</v>
      </c>
      <c r="K8611" s="10" t="s">
        <v>24</v>
      </c>
    </row>
    <row r="8612" spans="1:11" ht="54" customHeight="1">
      <c r="A8612" s="9" t="s">
        <v>18360</v>
      </c>
      <c r="B8612" s="9" t="s">
        <v>18361</v>
      </c>
      <c r="C8612" s="9" t="s">
        <v>66</v>
      </c>
      <c r="D8612" s="9" t="s">
        <v>67</v>
      </c>
      <c r="E8612" s="10" t="s">
        <v>3066</v>
      </c>
      <c r="F8612" s="9" t="s">
        <v>3067</v>
      </c>
      <c r="G8612" s="10" t="s">
        <v>75</v>
      </c>
      <c r="H8612" s="9" t="s">
        <v>22</v>
      </c>
      <c r="I8612" s="9" t="s">
        <v>18363</v>
      </c>
      <c r="J8612" s="10" t="str">
        <f>HYPERLINK("https://www.boe.es/gazeta/dias/1834/08/03/pdfs/GMD-C-1834-167.pdf#page=4","Abrir facsímil")</f>
        <v>Abrir facsímil</v>
      </c>
      <c r="K8612" s="10" t="s">
        <v>24</v>
      </c>
    </row>
    <row r="8613" spans="1:11" ht="54" customHeight="1">
      <c r="A8613" s="9" t="s">
        <v>18360</v>
      </c>
      <c r="B8613" s="9" t="s">
        <v>18361</v>
      </c>
      <c r="C8613" s="9" t="s">
        <v>90</v>
      </c>
      <c r="D8613" s="9" t="s">
        <v>67</v>
      </c>
      <c r="E8613" s="10" t="s">
        <v>615</v>
      </c>
      <c r="F8613" s="9" t="s">
        <v>1205</v>
      </c>
      <c r="G8613" s="10" t="s">
        <v>34</v>
      </c>
      <c r="H8613" s="9" t="s">
        <v>22</v>
      </c>
      <c r="I8613" s="9" t="s">
        <v>18364</v>
      </c>
      <c r="J8613" s="10" t="str">
        <f>HYPERLINK("https://www.boe.es/gazeta/dias/1834/08/19/pdfs/GMD-D-1834-185.pdf#page=1","Abrir facsímil")</f>
        <v>Abrir facsímil</v>
      </c>
      <c r="K8613" s="10" t="s">
        <v>24</v>
      </c>
    </row>
    <row r="8614" spans="1:11" ht="54" customHeight="1">
      <c r="A8614" s="9" t="s">
        <v>18360</v>
      </c>
      <c r="B8614" s="9" t="s">
        <v>18361</v>
      </c>
      <c r="C8614" s="9" t="s">
        <v>17</v>
      </c>
      <c r="D8614" s="9" t="s">
        <v>18</v>
      </c>
      <c r="E8614" s="10" t="s">
        <v>672</v>
      </c>
      <c r="F8614" s="9" t="s">
        <v>1055</v>
      </c>
      <c r="G8614" s="10" t="s">
        <v>28</v>
      </c>
      <c r="H8614" s="9" t="s">
        <v>22</v>
      </c>
      <c r="I8614" s="9" t="s">
        <v>18365</v>
      </c>
      <c r="J8614" s="10" t="str">
        <f>HYPERLINK("https://www.boe.es/gazeta/dias/1834/09/19/pdfs/GMD-C-1834-217.pdf#page=5","Abrir facsímil")</f>
        <v>Abrir facsímil</v>
      </c>
      <c r="K8614" s="10" t="s">
        <v>24</v>
      </c>
    </row>
    <row r="8615" spans="1:11" ht="54" customHeight="1">
      <c r="A8615" s="9" t="s">
        <v>18360</v>
      </c>
      <c r="B8615" s="9" t="s">
        <v>18361</v>
      </c>
      <c r="C8615" s="9" t="s">
        <v>17</v>
      </c>
      <c r="D8615" s="9" t="s">
        <v>40</v>
      </c>
      <c r="E8615" s="10" t="s">
        <v>26</v>
      </c>
      <c r="F8615" s="9" t="s">
        <v>27</v>
      </c>
      <c r="G8615" s="10" t="s">
        <v>75</v>
      </c>
      <c r="H8615" s="9" t="s">
        <v>22</v>
      </c>
      <c r="I8615" s="9" t="s">
        <v>18366</v>
      </c>
      <c r="J8615" s="10" t="str">
        <f>HYPERLINK("https://www.boe.es/gazeta/dias/1834/10/19/pdfs/GMD-C-1834-247.pdf#page=4","Abrir facsímil")</f>
        <v>Abrir facsímil</v>
      </c>
      <c r="K8615" s="10" t="s">
        <v>24</v>
      </c>
    </row>
    <row r="8616" spans="1:11" ht="54" customHeight="1">
      <c r="A8616" s="9" t="s">
        <v>18360</v>
      </c>
      <c r="B8616" s="9" t="s">
        <v>18361</v>
      </c>
      <c r="C8616" s="9" t="s">
        <v>17</v>
      </c>
      <c r="D8616" s="9" t="s">
        <v>18</v>
      </c>
      <c r="E8616" s="10" t="s">
        <v>707</v>
      </c>
      <c r="F8616" s="9" t="s">
        <v>708</v>
      </c>
      <c r="G8616" s="10" t="s">
        <v>75</v>
      </c>
      <c r="H8616" s="9" t="s">
        <v>22</v>
      </c>
      <c r="I8616" s="9" t="s">
        <v>18367</v>
      </c>
      <c r="J8616" s="10" t="str">
        <f>HYPERLINK("https://www.boe.es/gazeta/dias/1834/11/25/pdfs/GMD-C-1834-284.pdf#page=4","Abrir facsímil")</f>
        <v>Abrir facsímil</v>
      </c>
      <c r="K8616" s="10" t="s">
        <v>24</v>
      </c>
    </row>
    <row r="8617" spans="1:11" ht="54" customHeight="1">
      <c r="A8617" s="9" t="s">
        <v>18368</v>
      </c>
      <c r="B8617" s="9" t="s">
        <v>18369</v>
      </c>
      <c r="C8617" s="9" t="s">
        <v>17</v>
      </c>
      <c r="D8617" s="9" t="s">
        <v>18</v>
      </c>
      <c r="E8617" s="10" t="s">
        <v>672</v>
      </c>
      <c r="F8617" s="9" t="s">
        <v>1055</v>
      </c>
      <c r="G8617" s="10" t="s">
        <v>75</v>
      </c>
      <c r="H8617" s="9" t="s">
        <v>22</v>
      </c>
      <c r="I8617" s="9" t="s">
        <v>18370</v>
      </c>
      <c r="J8617" s="10" t="str">
        <f>HYPERLINK("https://www.boe.es/gazeta/dias/1834/09/19/pdfs/GMD-C-1834-217.pdf#page=4","Abrir facsímil")</f>
        <v>Abrir facsímil</v>
      </c>
      <c r="K8617" s="10" t="s">
        <v>24</v>
      </c>
    </row>
    <row r="8618" spans="1:11" ht="54" customHeight="1">
      <c r="A8618" s="9" t="s">
        <v>18371</v>
      </c>
      <c r="B8618" s="9" t="s">
        <v>18372</v>
      </c>
      <c r="C8618" s="9" t="s">
        <v>17</v>
      </c>
      <c r="D8618" s="9" t="s">
        <v>55</v>
      </c>
      <c r="E8618" s="10" t="s">
        <v>672</v>
      </c>
      <c r="F8618" s="9" t="s">
        <v>1055</v>
      </c>
      <c r="G8618" s="10" t="s">
        <v>176</v>
      </c>
      <c r="H8618" s="9" t="s">
        <v>22</v>
      </c>
      <c r="I8618" s="9" t="s">
        <v>18373</v>
      </c>
      <c r="J8618" s="10" t="str">
        <f>HYPERLINK("https://www.boe.es/gazeta/dias/1834/09/19/pdfs/GMD-C-1834-217.pdf#page=6","Abrir facsímil")</f>
        <v>Abrir facsímil</v>
      </c>
      <c r="K8618" s="10" t="s">
        <v>24</v>
      </c>
    </row>
    <row r="8619" spans="1:11" ht="54" customHeight="1">
      <c r="A8619" s="9" t="s">
        <v>18374</v>
      </c>
      <c r="B8619" s="9" t="s">
        <v>18375</v>
      </c>
      <c r="C8619" s="9" t="s">
        <v>17</v>
      </c>
      <c r="D8619" s="9" t="s">
        <v>101</v>
      </c>
      <c r="E8619" s="10" t="s">
        <v>863</v>
      </c>
      <c r="F8619" s="9" t="s">
        <v>864</v>
      </c>
      <c r="G8619" s="10" t="s">
        <v>75</v>
      </c>
      <c r="H8619" s="9" t="s">
        <v>35</v>
      </c>
      <c r="I8619" s="9" t="s">
        <v>18376</v>
      </c>
      <c r="J8619" s="10" t="str">
        <f>HYPERLINK("https://www.boe.es/gazeta/dias/1834/09/15/pdfs/GMD-1834-213.pdf#page=4","Abrir facsímil")</f>
        <v>Abrir facsímil</v>
      </c>
      <c r="K8619" s="10" t="s">
        <v>37</v>
      </c>
    </row>
    <row r="8620" spans="1:11" ht="54" customHeight="1">
      <c r="A8620" s="9" t="s">
        <v>18377</v>
      </c>
      <c r="B8620" s="9" t="s">
        <v>18378</v>
      </c>
      <c r="C8620" s="9" t="s">
        <v>17</v>
      </c>
      <c r="D8620" s="9" t="s">
        <v>18</v>
      </c>
      <c r="E8620" s="10" t="s">
        <v>3083</v>
      </c>
      <c r="F8620" s="9" t="s">
        <v>3084</v>
      </c>
      <c r="G8620" s="10" t="s">
        <v>21</v>
      </c>
      <c r="H8620" s="9" t="s">
        <v>35</v>
      </c>
      <c r="I8620" s="9" t="s">
        <v>18379</v>
      </c>
      <c r="J8620" s="10" t="str">
        <f>HYPERLINK("https://www.boe.es/gazeta/dias/1834/10/30/pdfs/GMD-1834-258.pdf#page=3","Abrir facsímil")</f>
        <v>Abrir facsímil</v>
      </c>
      <c r="K8620" s="10" t="s">
        <v>37</v>
      </c>
    </row>
    <row r="8621" spans="1:11" ht="54" customHeight="1">
      <c r="A8621" s="9" t="s">
        <v>18380</v>
      </c>
      <c r="B8621" s="9" t="s">
        <v>18381</v>
      </c>
      <c r="C8621" s="9" t="s">
        <v>66</v>
      </c>
      <c r="D8621" s="9" t="s">
        <v>67</v>
      </c>
      <c r="E8621" s="10" t="s">
        <v>19</v>
      </c>
      <c r="F8621" s="9" t="s">
        <v>1933</v>
      </c>
      <c r="G8621" s="10" t="s">
        <v>34</v>
      </c>
      <c r="H8621" s="9" t="s">
        <v>22</v>
      </c>
      <c r="I8621" s="9" t="s">
        <v>18382</v>
      </c>
      <c r="J8621" s="10" t="str">
        <f>HYPERLINK("https://www.boe.es/gazeta/dias/1834/08/17/pdfs/GMD-1834-183E.pdf#page=1","Abrir facsímil")</f>
        <v>Abrir facsímil</v>
      </c>
      <c r="K8621" s="10" t="s">
        <v>24</v>
      </c>
    </row>
    <row r="8622" spans="1:11" ht="54" customHeight="1">
      <c r="A8622" s="9" t="s">
        <v>18383</v>
      </c>
      <c r="B8622" s="9" t="s">
        <v>18384</v>
      </c>
      <c r="C8622" s="9" t="s">
        <v>66</v>
      </c>
      <c r="D8622" s="9" t="s">
        <v>67</v>
      </c>
      <c r="E8622" s="10" t="s">
        <v>3248</v>
      </c>
      <c r="F8622" s="9" t="s">
        <v>4798</v>
      </c>
      <c r="G8622" s="10" t="s">
        <v>34</v>
      </c>
      <c r="H8622" s="9" t="s">
        <v>22</v>
      </c>
      <c r="I8622" s="9" t="s">
        <v>18385</v>
      </c>
      <c r="J8622" s="10" t="str">
        <f>HYPERLINK("https://www.boe.es/gazeta/dias/1834/09/20/pdfs/GMD-C-1834-218.pdf#page=1","Abrir facsímil")</f>
        <v>Abrir facsímil</v>
      </c>
      <c r="K8622" s="10" t="s">
        <v>24</v>
      </c>
    </row>
    <row r="8623" spans="1:11" ht="54" customHeight="1">
      <c r="A8623" s="9" t="s">
        <v>18386</v>
      </c>
      <c r="B8623" s="9" t="s">
        <v>18387</v>
      </c>
      <c r="C8623" s="9" t="s">
        <v>66</v>
      </c>
      <c r="D8623" s="9" t="s">
        <v>67</v>
      </c>
      <c r="E8623" s="10" t="s">
        <v>1084</v>
      </c>
      <c r="F8623" s="9" t="s">
        <v>1085</v>
      </c>
      <c r="G8623" s="10" t="s">
        <v>21</v>
      </c>
      <c r="H8623" s="9" t="s">
        <v>22</v>
      </c>
      <c r="I8623" s="9" t="s">
        <v>18388</v>
      </c>
      <c r="J8623" s="10" t="str">
        <f>HYPERLINK("https://www.boe.es/gazeta/dias/1834/05/01/pdfs/GMD-1834-70.pdf#page=3","Abrir facsímil")</f>
        <v>Abrir facsímil</v>
      </c>
      <c r="K8623" s="10" t="s">
        <v>24</v>
      </c>
    </row>
    <row r="8624" spans="1:11" ht="54" customHeight="1">
      <c r="A8624" s="9" t="s">
        <v>18389</v>
      </c>
      <c r="B8624" s="9" t="s">
        <v>18390</v>
      </c>
      <c r="C8624" s="9" t="s">
        <v>17</v>
      </c>
      <c r="D8624" s="9" t="s">
        <v>18</v>
      </c>
      <c r="E8624" s="10" t="s">
        <v>233</v>
      </c>
      <c r="F8624" s="9" t="s">
        <v>1810</v>
      </c>
      <c r="G8624" s="10" t="s">
        <v>34</v>
      </c>
      <c r="H8624" s="9" t="s">
        <v>22</v>
      </c>
      <c r="I8624" s="9" t="s">
        <v>18391</v>
      </c>
      <c r="J8624" s="10" t="str">
        <f>HYPERLINK("https://www.boe.es/gazeta/dias/1834/12/16/pdfs/GMD-C-1834-305.pdf#page=1","Abrir facsímil")</f>
        <v>Abrir facsímil</v>
      </c>
      <c r="K8624" s="10" t="s">
        <v>24</v>
      </c>
    </row>
    <row r="8625" spans="1:11" ht="54" customHeight="1">
      <c r="A8625" s="9" t="s">
        <v>18392</v>
      </c>
      <c r="B8625" s="9" t="s">
        <v>18393</v>
      </c>
      <c r="C8625" s="9" t="s">
        <v>17</v>
      </c>
      <c r="D8625" s="9" t="s">
        <v>18</v>
      </c>
      <c r="E8625" s="10" t="s">
        <v>808</v>
      </c>
      <c r="F8625" s="9" t="s">
        <v>809</v>
      </c>
      <c r="G8625" s="10" t="s">
        <v>21</v>
      </c>
      <c r="H8625" s="9" t="s">
        <v>35</v>
      </c>
      <c r="I8625" s="9" t="s">
        <v>18394</v>
      </c>
      <c r="J8625" s="10" t="str">
        <f>HYPERLINK("https://www.boe.es/gazeta/dias/1834/10/11/pdfs/GMD-1834-239.pdf#page=3","Abrir facsímil")</f>
        <v>Abrir facsímil</v>
      </c>
      <c r="K8625" s="10" t="s">
        <v>37</v>
      </c>
    </row>
    <row r="8626" spans="1:11" ht="54" customHeight="1">
      <c r="A8626" s="9" t="s">
        <v>18395</v>
      </c>
      <c r="B8626" s="9" t="s">
        <v>18396</v>
      </c>
      <c r="C8626" s="9" t="s">
        <v>17</v>
      </c>
      <c r="D8626" s="9" t="s">
        <v>18</v>
      </c>
      <c r="E8626" s="10" t="s">
        <v>1839</v>
      </c>
      <c r="F8626" s="9" t="s">
        <v>1840</v>
      </c>
      <c r="G8626" s="10" t="s">
        <v>34</v>
      </c>
      <c r="H8626" s="9" t="s">
        <v>22</v>
      </c>
      <c r="I8626" s="9" t="s">
        <v>18397</v>
      </c>
      <c r="J8626" s="10" t="str">
        <f>HYPERLINK("https://www.boe.es/gazeta/dias/1834/08/12/pdfs/GMD-C-1834-177.pdf#page=1","Abrir facsímil")</f>
        <v>Abrir facsímil</v>
      </c>
      <c r="K8626" s="10" t="s">
        <v>24</v>
      </c>
    </row>
    <row r="8627" spans="1:11" ht="54" customHeight="1">
      <c r="A8627" s="9" t="s">
        <v>18398</v>
      </c>
      <c r="B8627" s="9" t="s">
        <v>18399</v>
      </c>
      <c r="C8627" s="9" t="s">
        <v>90</v>
      </c>
      <c r="D8627" s="9" t="s">
        <v>40</v>
      </c>
      <c r="E8627" s="10" t="s">
        <v>128</v>
      </c>
      <c r="F8627" s="9" t="s">
        <v>129</v>
      </c>
      <c r="G8627" s="10" t="s">
        <v>34</v>
      </c>
      <c r="H8627" s="9" t="s">
        <v>22</v>
      </c>
      <c r="I8627" s="9" t="s">
        <v>18400</v>
      </c>
      <c r="J8627" s="10" t="str">
        <f>HYPERLINK("https://www.boe.es/gazeta/dias/1834/12/24/pdfs/GMD-C-1834-314.pdf#page=1","Abrir facsímil")</f>
        <v>Abrir facsímil</v>
      </c>
      <c r="K8627" s="10" t="s">
        <v>24</v>
      </c>
    </row>
    <row r="8628" spans="1:11" ht="54" customHeight="1">
      <c r="A8628" s="9" t="s">
        <v>18401</v>
      </c>
      <c r="B8628" s="9" t="s">
        <v>18402</v>
      </c>
      <c r="C8628" s="9" t="s">
        <v>90</v>
      </c>
      <c r="D8628" s="9" t="s">
        <v>18</v>
      </c>
      <c r="E8628" s="10" t="s">
        <v>679</v>
      </c>
      <c r="F8628" s="9" t="s">
        <v>699</v>
      </c>
      <c r="G8628" s="10" t="s">
        <v>34</v>
      </c>
      <c r="H8628" s="9" t="s">
        <v>22</v>
      </c>
      <c r="I8628" s="9" t="s">
        <v>18403</v>
      </c>
      <c r="J8628" s="10" t="str">
        <f>HYPERLINK("https://www.boe.es/gazeta/dias/1834/12/10/pdfs/GMD-C-1834-299.pdf#page=1","Abrir facsímil")</f>
        <v>Abrir facsímil</v>
      </c>
      <c r="K8628" s="10" t="s">
        <v>24</v>
      </c>
    </row>
    <row r="8629" spans="1:11" ht="54" customHeight="1">
      <c r="A8629" s="9" t="s">
        <v>18401</v>
      </c>
      <c r="B8629" s="9" t="s">
        <v>18402</v>
      </c>
      <c r="C8629" s="9" t="s">
        <v>17</v>
      </c>
      <c r="D8629" s="9" t="s">
        <v>101</v>
      </c>
      <c r="E8629" s="10" t="s">
        <v>863</v>
      </c>
      <c r="F8629" s="9" t="s">
        <v>864</v>
      </c>
      <c r="G8629" s="10" t="s">
        <v>75</v>
      </c>
      <c r="H8629" s="9" t="s">
        <v>22</v>
      </c>
      <c r="I8629" s="9" t="s">
        <v>18404</v>
      </c>
      <c r="J8629" s="10" t="str">
        <f>HYPERLINK("https://www.boe.es/gazeta/dias/1834/09/15/pdfs/GMD-1834-213.pdf#page=4","Abrir facsímil")</f>
        <v>Abrir facsímil</v>
      </c>
      <c r="K8629" s="10" t="s">
        <v>24</v>
      </c>
    </row>
    <row r="8630" spans="1:11" ht="54" customHeight="1">
      <c r="A8630" s="9" t="s">
        <v>18401</v>
      </c>
      <c r="B8630" s="9" t="s">
        <v>18402</v>
      </c>
      <c r="C8630" s="9" t="s">
        <v>46</v>
      </c>
      <c r="D8630" s="9" t="s">
        <v>18</v>
      </c>
      <c r="E8630" s="10" t="s">
        <v>32</v>
      </c>
      <c r="F8630" s="9" t="s">
        <v>33</v>
      </c>
      <c r="G8630" s="10" t="s">
        <v>86</v>
      </c>
      <c r="H8630" s="9" t="s">
        <v>22</v>
      </c>
      <c r="I8630" s="9" t="s">
        <v>18405</v>
      </c>
      <c r="J8630" s="10" t="str">
        <f>HYPERLINK("https://www.boe.es/gazeta/dias/1834/04/23/pdfs/GMD-1834-62.pdf#page=2","Abrir facsímil")</f>
        <v>Abrir facsímil</v>
      </c>
      <c r="K8630" s="10" t="s">
        <v>24</v>
      </c>
    </row>
    <row r="8631" spans="1:11" ht="54" customHeight="1">
      <c r="A8631" s="9" t="s">
        <v>18401</v>
      </c>
      <c r="B8631" s="9" t="s">
        <v>18402</v>
      </c>
      <c r="C8631" s="9" t="s">
        <v>17</v>
      </c>
      <c r="D8631" s="9" t="s">
        <v>18</v>
      </c>
      <c r="E8631" s="10" t="s">
        <v>1674</v>
      </c>
      <c r="F8631" s="9" t="s">
        <v>3233</v>
      </c>
      <c r="G8631" s="10" t="s">
        <v>86</v>
      </c>
      <c r="H8631" s="9" t="s">
        <v>22</v>
      </c>
      <c r="I8631" s="9" t="s">
        <v>18406</v>
      </c>
      <c r="J8631" s="10" t="str">
        <f>HYPERLINK("https://www.boe.es/gazeta/dias/1834/07/25/pdfs/GMD-C-1834-158.pdf#page=2","Abrir facsímil")</f>
        <v>Abrir facsímil</v>
      </c>
      <c r="K8631" s="10" t="s">
        <v>24</v>
      </c>
    </row>
    <row r="8632" spans="1:11" ht="54" customHeight="1">
      <c r="A8632" s="9" t="s">
        <v>18401</v>
      </c>
      <c r="B8632" s="9" t="s">
        <v>18402</v>
      </c>
      <c r="C8632" s="9" t="s">
        <v>17</v>
      </c>
      <c r="D8632" s="9" t="s">
        <v>18</v>
      </c>
      <c r="E8632" s="10" t="s">
        <v>590</v>
      </c>
      <c r="F8632" s="9" t="s">
        <v>17808</v>
      </c>
      <c r="G8632" s="10" t="s">
        <v>34</v>
      </c>
      <c r="H8632" s="9" t="s">
        <v>22</v>
      </c>
      <c r="I8632" s="9" t="s">
        <v>18407</v>
      </c>
      <c r="J8632" s="10" t="str">
        <f>HYPERLINK("https://www.boe.es/gazeta/dias/1834/11/30/pdfs/GMD-C-1834-289.pdf#page=1","Abrir facsímil")</f>
        <v>Abrir facsímil</v>
      </c>
      <c r="K8632" s="10" t="s">
        <v>24</v>
      </c>
    </row>
    <row r="8633" spans="1:11" ht="54" customHeight="1">
      <c r="A8633" s="9" t="s">
        <v>18408</v>
      </c>
      <c r="B8633" s="9" t="s">
        <v>18409</v>
      </c>
      <c r="C8633" s="9" t="s">
        <v>17</v>
      </c>
      <c r="D8633" s="9" t="s">
        <v>18</v>
      </c>
      <c r="E8633" s="10" t="s">
        <v>299</v>
      </c>
      <c r="F8633" s="9" t="s">
        <v>300</v>
      </c>
      <c r="G8633" s="10" t="s">
        <v>75</v>
      </c>
      <c r="H8633" s="9" t="s">
        <v>22</v>
      </c>
      <c r="I8633" s="9" t="s">
        <v>18410</v>
      </c>
      <c r="J8633" s="10" t="str">
        <f>HYPERLINK("https://www.boe.es/gazeta/dias/1834/12/12/pdfs/GMD-1834-301.pdf#page=4","Abrir facsímil")</f>
        <v>Abrir facsímil</v>
      </c>
      <c r="K8633" s="10" t="s">
        <v>24</v>
      </c>
    </row>
    <row r="8634" spans="1:11" ht="54" customHeight="1">
      <c r="A8634" s="9" t="s">
        <v>18411</v>
      </c>
      <c r="B8634" s="9" t="s">
        <v>18412</v>
      </c>
      <c r="C8634" s="9" t="s">
        <v>17</v>
      </c>
      <c r="D8634" s="9" t="s">
        <v>18</v>
      </c>
      <c r="E8634" s="10" t="s">
        <v>808</v>
      </c>
      <c r="F8634" s="9" t="s">
        <v>809</v>
      </c>
      <c r="G8634" s="10" t="s">
        <v>21</v>
      </c>
      <c r="H8634" s="9" t="s">
        <v>22</v>
      </c>
      <c r="I8634" s="9" t="s">
        <v>18413</v>
      </c>
      <c r="J8634" s="10" t="str">
        <f>HYPERLINK("https://www.boe.es/gazeta/dias/1834/10/11/pdfs/GMD-1834-239.pdf#page=3","Abrir facsímil")</f>
        <v>Abrir facsímil</v>
      </c>
      <c r="K8634" s="10" t="s">
        <v>24</v>
      </c>
    </row>
    <row r="8635" spans="1:11" ht="54" customHeight="1">
      <c r="A8635" s="9" t="s">
        <v>18414</v>
      </c>
      <c r="B8635" s="9" t="s">
        <v>18415</v>
      </c>
      <c r="C8635" s="9" t="s">
        <v>17</v>
      </c>
      <c r="D8635" s="9" t="s">
        <v>18</v>
      </c>
      <c r="E8635" s="10" t="s">
        <v>237</v>
      </c>
      <c r="F8635" s="9" t="s">
        <v>238</v>
      </c>
      <c r="G8635" s="10" t="s">
        <v>75</v>
      </c>
      <c r="H8635" s="9" t="s">
        <v>22</v>
      </c>
      <c r="I8635" s="9" t="s">
        <v>18416</v>
      </c>
      <c r="J8635" s="10" t="str">
        <f>HYPERLINK("https://www.boe.es/gazeta/dias/1834/08/15/pdfs/GMD-C-1834-180.pdf#page=4","Abrir facsímil")</f>
        <v>Abrir facsímil</v>
      </c>
      <c r="K8635" s="10" t="s">
        <v>24</v>
      </c>
    </row>
    <row r="8636" spans="1:11" ht="54" customHeight="1">
      <c r="A8636" s="9" t="s">
        <v>18417</v>
      </c>
      <c r="B8636" s="9" t="s">
        <v>18418</v>
      </c>
      <c r="C8636" s="9" t="s">
        <v>17</v>
      </c>
      <c r="D8636" s="9" t="s">
        <v>18</v>
      </c>
      <c r="E8636" s="10" t="s">
        <v>772</v>
      </c>
      <c r="F8636" s="9" t="s">
        <v>2284</v>
      </c>
      <c r="G8636" s="10" t="s">
        <v>34</v>
      </c>
      <c r="H8636" s="9" t="s">
        <v>22</v>
      </c>
      <c r="I8636" s="9" t="s">
        <v>18419</v>
      </c>
      <c r="J8636" s="10" t="str">
        <f>HYPERLINK("https://www.boe.es/gazeta/dias/1834/09/18/pdfs/GMD-C-1834-216.pdf#page=1","Abrir facsímil")</f>
        <v>Abrir facsímil</v>
      </c>
      <c r="K8636" s="10" t="s">
        <v>24</v>
      </c>
    </row>
    <row r="8637" spans="1:11" ht="54" customHeight="1">
      <c r="A8637" s="9" t="s">
        <v>18420</v>
      </c>
      <c r="B8637" s="9" t="s">
        <v>18420</v>
      </c>
      <c r="C8637" s="9" t="s">
        <v>66</v>
      </c>
      <c r="D8637" s="9" t="s">
        <v>67</v>
      </c>
      <c r="E8637" s="10" t="s">
        <v>860</v>
      </c>
      <c r="F8637" s="9" t="s">
        <v>1755</v>
      </c>
      <c r="G8637" s="10" t="s">
        <v>86</v>
      </c>
      <c r="H8637" s="9" t="s">
        <v>22</v>
      </c>
      <c r="I8637" s="9" t="s">
        <v>18421</v>
      </c>
      <c r="J8637" s="10" t="str">
        <f>HYPERLINK("https://www.boe.es/gazeta/dias/1834/02/08/pdfs/GMD-C-1834-18.pdf#page=2","Abrir facsímil")</f>
        <v>Abrir facsímil</v>
      </c>
      <c r="K8637" s="10" t="s">
        <v>24</v>
      </c>
    </row>
    <row r="8638" spans="1:11" ht="54" customHeight="1">
      <c r="A8638" s="9" t="s">
        <v>18422</v>
      </c>
      <c r="B8638" s="9" t="s">
        <v>18422</v>
      </c>
      <c r="C8638" s="9" t="s">
        <v>17</v>
      </c>
      <c r="D8638" s="9" t="s">
        <v>18</v>
      </c>
      <c r="E8638" s="10" t="s">
        <v>1517</v>
      </c>
      <c r="F8638" s="9" t="s">
        <v>1518</v>
      </c>
      <c r="G8638" s="10" t="s">
        <v>75</v>
      </c>
      <c r="H8638" s="9" t="s">
        <v>22</v>
      </c>
      <c r="I8638" s="9" t="s">
        <v>18423</v>
      </c>
      <c r="J8638" s="10" t="str">
        <f>HYPERLINK("https://www.boe.es/gazeta/dias/1834/05/18/pdfs/GMD-1834-87.pdf#page=4","Abrir facsímil")</f>
        <v>Abrir facsímil</v>
      </c>
      <c r="K8638" s="10" t="s">
        <v>24</v>
      </c>
    </row>
    <row r="8639" spans="1:11" ht="54" customHeight="1">
      <c r="A8639" s="9" t="s">
        <v>18424</v>
      </c>
      <c r="B8639" s="9" t="s">
        <v>18425</v>
      </c>
      <c r="C8639" s="9" t="s">
        <v>66</v>
      </c>
      <c r="D8639" s="9" t="s">
        <v>67</v>
      </c>
      <c r="E8639" s="10" t="s">
        <v>772</v>
      </c>
      <c r="F8639" s="9" t="s">
        <v>773</v>
      </c>
      <c r="G8639" s="10" t="s">
        <v>21</v>
      </c>
      <c r="H8639" s="9" t="s">
        <v>22</v>
      </c>
      <c r="I8639" s="9" t="s">
        <v>18426</v>
      </c>
      <c r="J8639" s="10" t="str">
        <f>HYPERLINK("https://www.boe.es/gazeta/dias/1834/09/18/pdfs/GMD-1834-216.pdf#page=3","Abrir facsímil")</f>
        <v>Abrir facsímil</v>
      </c>
      <c r="K8639" s="10" t="s">
        <v>24</v>
      </c>
    </row>
    <row r="8640" spans="1:11" ht="54" customHeight="1">
      <c r="A8640" s="9" t="s">
        <v>18427</v>
      </c>
      <c r="B8640" s="9" t="s">
        <v>18428</v>
      </c>
      <c r="C8640" s="9" t="s">
        <v>46</v>
      </c>
      <c r="D8640" s="9" t="s">
        <v>101</v>
      </c>
      <c r="E8640" s="10" t="s">
        <v>1517</v>
      </c>
      <c r="F8640" s="9" t="s">
        <v>1518</v>
      </c>
      <c r="G8640" s="10" t="s">
        <v>21</v>
      </c>
      <c r="H8640" s="9" t="s">
        <v>22</v>
      </c>
      <c r="I8640" s="9" t="s">
        <v>18429</v>
      </c>
      <c r="J8640" s="10" t="str">
        <f>HYPERLINK("https://www.boe.es/gazeta/dias/1834/05/18/pdfs/GMD-1834-87.pdf#page=3","Abrir facsímil")</f>
        <v>Abrir facsímil</v>
      </c>
      <c r="K8640" s="10" t="s">
        <v>24</v>
      </c>
    </row>
    <row r="8641" spans="1:11" ht="54" customHeight="1">
      <c r="A8641" s="9" t="s">
        <v>18430</v>
      </c>
      <c r="B8641" s="9" t="s">
        <v>18431</v>
      </c>
      <c r="C8641" s="9" t="s">
        <v>17</v>
      </c>
      <c r="D8641" s="9" t="s">
        <v>18</v>
      </c>
      <c r="E8641" s="10" t="s">
        <v>2278</v>
      </c>
      <c r="F8641" s="9" t="s">
        <v>2279</v>
      </c>
      <c r="G8641" s="10" t="s">
        <v>75</v>
      </c>
      <c r="H8641" s="9" t="s">
        <v>22</v>
      </c>
      <c r="I8641" s="9" t="s">
        <v>18432</v>
      </c>
      <c r="J8641" s="10" t="str">
        <f>HYPERLINK("https://www.boe.es/gazeta/dias/1834/12/17/pdfs/GMD-C-1834-306.pdf#page=4","Abrir facsímil")</f>
        <v>Abrir facsímil</v>
      </c>
      <c r="K8641" s="10" t="s">
        <v>24</v>
      </c>
    </row>
    <row r="8642" spans="1:11" ht="54" customHeight="1">
      <c r="A8642" s="9" t="s">
        <v>18433</v>
      </c>
      <c r="B8642" s="9" t="s">
        <v>18433</v>
      </c>
      <c r="C8642" s="9" t="s">
        <v>122</v>
      </c>
      <c r="D8642" s="9" t="s">
        <v>18</v>
      </c>
      <c r="E8642" s="10" t="s">
        <v>1918</v>
      </c>
      <c r="F8642" s="9" t="s">
        <v>2024</v>
      </c>
      <c r="G8642" s="10" t="s">
        <v>86</v>
      </c>
      <c r="H8642" s="9" t="s">
        <v>22</v>
      </c>
      <c r="I8642" s="9" t="s">
        <v>18434</v>
      </c>
      <c r="J8642" s="10" t="str">
        <f>HYPERLINK("https://www.boe.es/gazeta/dias/1834/03/22/pdfs/GMD-C-1834-36.pdf#page=2","Abrir facsímil")</f>
        <v>Abrir facsímil</v>
      </c>
      <c r="K8642" s="10" t="s">
        <v>24</v>
      </c>
    </row>
    <row r="8643" spans="1:11" ht="54" customHeight="1">
      <c r="A8643" s="9" t="s">
        <v>18435</v>
      </c>
      <c r="B8643" s="9" t="s">
        <v>18435</v>
      </c>
      <c r="C8643" s="9" t="s">
        <v>17</v>
      </c>
      <c r="D8643" s="9" t="s">
        <v>18</v>
      </c>
      <c r="E8643" s="10" t="s">
        <v>179</v>
      </c>
      <c r="F8643" s="9" t="s">
        <v>180</v>
      </c>
      <c r="G8643" s="10" t="s">
        <v>34</v>
      </c>
      <c r="H8643" s="9" t="s">
        <v>22</v>
      </c>
      <c r="I8643" s="9" t="s">
        <v>18436</v>
      </c>
      <c r="J8643" s="10" t="str">
        <f>HYPERLINK("https://www.boe.es/gazeta/dias/1834/10/28/pdfs/GMD-1834-256.pdf#page=1","Abrir facsímil")</f>
        <v>Abrir facsímil</v>
      </c>
      <c r="K8643" s="10" t="s">
        <v>24</v>
      </c>
    </row>
    <row r="8644" spans="1:11" ht="54" customHeight="1">
      <c r="A8644" s="9" t="s">
        <v>18437</v>
      </c>
      <c r="B8644" s="9" t="s">
        <v>18437</v>
      </c>
      <c r="C8644" s="9" t="s">
        <v>66</v>
      </c>
      <c r="D8644" s="9" t="s">
        <v>18</v>
      </c>
      <c r="E8644" s="10" t="s">
        <v>1410</v>
      </c>
      <c r="F8644" s="9" t="s">
        <v>1411</v>
      </c>
      <c r="G8644" s="10" t="s">
        <v>34</v>
      </c>
      <c r="H8644" s="9" t="s">
        <v>22</v>
      </c>
      <c r="I8644" s="9" t="s">
        <v>18438</v>
      </c>
      <c r="J8644" s="10" t="str">
        <f>HYPERLINK("https://www.boe.es/gazeta/dias/1834/09/09/pdfs/GMD-1834-207.pdf#page=1","Abrir facsímil")</f>
        <v>Abrir facsímil</v>
      </c>
      <c r="K8644" s="10" t="s">
        <v>24</v>
      </c>
    </row>
    <row r="8645" spans="1:11" ht="54" customHeight="1">
      <c r="A8645" s="9" t="s">
        <v>18439</v>
      </c>
      <c r="B8645" s="9" t="s">
        <v>18439</v>
      </c>
      <c r="C8645" s="9" t="s">
        <v>90</v>
      </c>
      <c r="D8645" s="9" t="s">
        <v>67</v>
      </c>
      <c r="E8645" s="10" t="s">
        <v>1333</v>
      </c>
      <c r="F8645" s="9" t="s">
        <v>1334</v>
      </c>
      <c r="G8645" s="10" t="s">
        <v>28</v>
      </c>
      <c r="H8645" s="9" t="s">
        <v>22</v>
      </c>
      <c r="I8645" s="9" t="s">
        <v>18440</v>
      </c>
      <c r="J8645" s="10" t="str">
        <f>HYPERLINK("https://www.boe.es/gazeta/dias/1834/04/01/pdfs/GMD-1834-40.pdf#page=5","Abrir facsímil")</f>
        <v>Abrir facsímil</v>
      </c>
      <c r="K8645" s="10" t="s">
        <v>24</v>
      </c>
    </row>
    <row r="8646" spans="1:11" ht="54" customHeight="1">
      <c r="A8646" s="9" t="s">
        <v>18439</v>
      </c>
      <c r="B8646" s="9" t="s">
        <v>18439</v>
      </c>
      <c r="C8646" s="9" t="s">
        <v>17</v>
      </c>
      <c r="D8646" s="9" t="s">
        <v>18</v>
      </c>
      <c r="E8646" s="10" t="s">
        <v>2937</v>
      </c>
      <c r="F8646" s="9" t="s">
        <v>2938</v>
      </c>
      <c r="G8646" s="10" t="s">
        <v>21</v>
      </c>
      <c r="H8646" s="9" t="s">
        <v>22</v>
      </c>
      <c r="I8646" s="9" t="s">
        <v>18441</v>
      </c>
      <c r="J8646" s="10" t="str">
        <f>HYPERLINK("https://www.boe.es/gazeta/dias/1834/06/25/pdfs/GMD-1834-128.pdf#page=3","Abrir facsímil")</f>
        <v>Abrir facsímil</v>
      </c>
      <c r="K8646" s="10" t="s">
        <v>24</v>
      </c>
    </row>
    <row r="8647" spans="1:11" ht="54" customHeight="1">
      <c r="A8647" s="9" t="s">
        <v>18442</v>
      </c>
      <c r="B8647" s="9" t="s">
        <v>18442</v>
      </c>
      <c r="C8647" s="9" t="s">
        <v>17</v>
      </c>
      <c r="D8647" s="9" t="s">
        <v>18</v>
      </c>
      <c r="E8647" s="10" t="s">
        <v>1307</v>
      </c>
      <c r="F8647" s="9" t="s">
        <v>1308</v>
      </c>
      <c r="G8647" s="10" t="s">
        <v>86</v>
      </c>
      <c r="H8647" s="9" t="s">
        <v>22</v>
      </c>
      <c r="I8647" s="9" t="s">
        <v>18443</v>
      </c>
      <c r="J8647" s="10" t="str">
        <f>HYPERLINK("https://www.boe.es/gazeta/dias/1834/08/25/pdfs/GMD-1834-191.pdf#page=2","Abrir facsímil")</f>
        <v>Abrir facsímil</v>
      </c>
      <c r="K8647" s="10" t="s">
        <v>24</v>
      </c>
    </row>
    <row r="8648" spans="1:11" ht="54" customHeight="1">
      <c r="A8648" s="9" t="s">
        <v>18444</v>
      </c>
      <c r="B8648" s="9" t="s">
        <v>18444</v>
      </c>
      <c r="C8648" s="9" t="s">
        <v>17</v>
      </c>
      <c r="D8648" s="9" t="s">
        <v>18</v>
      </c>
      <c r="E8648" s="10" t="s">
        <v>8346</v>
      </c>
      <c r="F8648" s="9" t="s">
        <v>8347</v>
      </c>
      <c r="G8648" s="10" t="s">
        <v>21</v>
      </c>
      <c r="H8648" s="9" t="s">
        <v>22</v>
      </c>
      <c r="I8648" s="9" t="s">
        <v>18445</v>
      </c>
      <c r="J8648" s="10" t="str">
        <f>HYPERLINK("https://www.boe.es/gazeta/dias/1834/12/04/pdfs/GMD-1834-293.pdf#page=3","Abrir facsímil")</f>
        <v>Abrir facsímil</v>
      </c>
      <c r="K8648" s="10" t="s">
        <v>24</v>
      </c>
    </row>
    <row r="8649" spans="1:11" ht="54" customHeight="1">
      <c r="A8649" s="9" t="s">
        <v>18444</v>
      </c>
      <c r="B8649" s="9" t="s">
        <v>18444</v>
      </c>
      <c r="C8649" s="9" t="s">
        <v>46</v>
      </c>
      <c r="D8649" s="9" t="s">
        <v>55</v>
      </c>
      <c r="E8649" s="10" t="s">
        <v>360</v>
      </c>
      <c r="F8649" s="9" t="s">
        <v>361</v>
      </c>
      <c r="G8649" s="10" t="s">
        <v>86</v>
      </c>
      <c r="H8649" s="9" t="s">
        <v>22</v>
      </c>
      <c r="I8649" s="9" t="s">
        <v>18446</v>
      </c>
      <c r="J8649" s="10" t="str">
        <f>HYPERLINK("https://www.boe.es/gazeta/dias/1834/04/07/pdfs/GMD-1834-46.pdf#page=2","Abrir facsímil")</f>
        <v>Abrir facsímil</v>
      </c>
      <c r="K8649" s="10" t="s">
        <v>24</v>
      </c>
    </row>
    <row r="8650" spans="1:11" ht="54" customHeight="1">
      <c r="A8650" s="9" t="s">
        <v>18444</v>
      </c>
      <c r="B8650" s="9" t="s">
        <v>18444</v>
      </c>
      <c r="C8650" s="9" t="s">
        <v>17</v>
      </c>
      <c r="D8650" s="9" t="s">
        <v>18</v>
      </c>
      <c r="E8650" s="10" t="s">
        <v>3170</v>
      </c>
      <c r="F8650" s="9" t="s">
        <v>3171</v>
      </c>
      <c r="G8650" s="10" t="s">
        <v>34</v>
      </c>
      <c r="H8650" s="9" t="s">
        <v>22</v>
      </c>
      <c r="I8650" s="9" t="s">
        <v>18447</v>
      </c>
      <c r="J8650" s="10" t="str">
        <f>HYPERLINK("https://www.boe.es/gazeta/dias/1834/12/07/pdfs/GMD-1834-296.pdf#page=1","Abrir facsímil")</f>
        <v>Abrir facsímil</v>
      </c>
      <c r="K8650" s="10" t="s">
        <v>24</v>
      </c>
    </row>
    <row r="8651" spans="1:11" ht="54" customHeight="1">
      <c r="A8651" s="9" t="s">
        <v>18444</v>
      </c>
      <c r="B8651" s="9" t="s">
        <v>18444</v>
      </c>
      <c r="C8651" s="9" t="s">
        <v>122</v>
      </c>
      <c r="D8651" s="9" t="s">
        <v>40</v>
      </c>
      <c r="E8651" s="10" t="s">
        <v>1883</v>
      </c>
      <c r="F8651" s="9" t="s">
        <v>1884</v>
      </c>
      <c r="G8651" s="10" t="s">
        <v>75</v>
      </c>
      <c r="H8651" s="9" t="s">
        <v>22</v>
      </c>
      <c r="I8651" s="9" t="s">
        <v>18448</v>
      </c>
      <c r="J8651" s="10" t="str">
        <f>HYPERLINK("https://www.boe.es/gazeta/dias/1834/01/11/pdfs/GMD-1834-6.pdf#page=4","Abrir facsímil")</f>
        <v>Abrir facsímil</v>
      </c>
      <c r="K8651" s="10" t="s">
        <v>24</v>
      </c>
    </row>
    <row r="8652" spans="1:11" ht="54" customHeight="1">
      <c r="A8652" s="9" t="s">
        <v>18444</v>
      </c>
      <c r="B8652" s="9" t="s">
        <v>18444</v>
      </c>
      <c r="C8652" s="9" t="s">
        <v>66</v>
      </c>
      <c r="D8652" s="9" t="s">
        <v>18</v>
      </c>
      <c r="E8652" s="10" t="s">
        <v>808</v>
      </c>
      <c r="F8652" s="9" t="s">
        <v>809</v>
      </c>
      <c r="G8652" s="10" t="s">
        <v>21</v>
      </c>
      <c r="H8652" s="9" t="s">
        <v>22</v>
      </c>
      <c r="I8652" s="9" t="s">
        <v>18449</v>
      </c>
      <c r="J8652" s="10" t="str">
        <f>HYPERLINK("https://www.boe.es/gazeta/dias/1834/10/11/pdfs/GMD-1834-239.pdf#page=3","Abrir facsímil")</f>
        <v>Abrir facsímil</v>
      </c>
      <c r="K8652" s="10" t="s">
        <v>24</v>
      </c>
    </row>
    <row r="8653" spans="1:11" ht="54" customHeight="1">
      <c r="A8653" s="9" t="s">
        <v>18444</v>
      </c>
      <c r="B8653" s="9" t="s">
        <v>18444</v>
      </c>
      <c r="C8653" s="9" t="s">
        <v>46</v>
      </c>
      <c r="D8653" s="9" t="s">
        <v>55</v>
      </c>
      <c r="E8653" s="10" t="s">
        <v>912</v>
      </c>
      <c r="F8653" s="9" t="s">
        <v>913</v>
      </c>
      <c r="G8653" s="10" t="s">
        <v>21</v>
      </c>
      <c r="H8653" s="9" t="s">
        <v>22</v>
      </c>
      <c r="I8653" s="9" t="s">
        <v>18450</v>
      </c>
      <c r="J8653" s="10" t="str">
        <f>HYPERLINK("https://www.boe.es/gazeta/dias/1834/02/15/pdfs/GMD-1834-21.pdf#page=3","Abrir facsímil")</f>
        <v>Abrir facsímil</v>
      </c>
      <c r="K8653" s="10" t="s">
        <v>24</v>
      </c>
    </row>
    <row r="8654" spans="1:11" ht="54" customHeight="1">
      <c r="A8654" s="9" t="s">
        <v>18444</v>
      </c>
      <c r="B8654" s="9" t="s">
        <v>18444</v>
      </c>
      <c r="C8654" s="9" t="s">
        <v>66</v>
      </c>
      <c r="D8654" s="9" t="s">
        <v>67</v>
      </c>
      <c r="E8654" s="10" t="s">
        <v>13660</v>
      </c>
      <c r="F8654" s="9" t="s">
        <v>13661</v>
      </c>
      <c r="G8654" s="10" t="s">
        <v>86</v>
      </c>
      <c r="H8654" s="9" t="s">
        <v>22</v>
      </c>
      <c r="I8654" s="9" t="s">
        <v>18451</v>
      </c>
      <c r="J8654" s="10" t="str">
        <f>HYPERLINK("https://www.boe.es/gazeta/dias/1834/12/15/pdfs/GMD-1834-304.pdf#page=2","Abrir facsímil")</f>
        <v>Abrir facsímil</v>
      </c>
      <c r="K8654" s="10" t="s">
        <v>24</v>
      </c>
    </row>
    <row r="8655" spans="1:11" ht="54" customHeight="1">
      <c r="A8655" s="9" t="s">
        <v>18444</v>
      </c>
      <c r="B8655" s="9" t="s">
        <v>18444</v>
      </c>
      <c r="C8655" s="9" t="s">
        <v>17</v>
      </c>
      <c r="D8655" s="9" t="s">
        <v>55</v>
      </c>
      <c r="E8655" s="10" t="s">
        <v>454</v>
      </c>
      <c r="F8655" s="9" t="s">
        <v>2009</v>
      </c>
      <c r="G8655" s="10" t="s">
        <v>86</v>
      </c>
      <c r="H8655" s="9" t="s">
        <v>22</v>
      </c>
      <c r="I8655" s="9" t="s">
        <v>18452</v>
      </c>
      <c r="J8655" s="10" t="str">
        <f>HYPERLINK("https://www.boe.es/gazeta/dias/1834/10/16/pdfs/GMD-1834-244.pdf#page=2","Abrir facsímil")</f>
        <v>Abrir facsímil</v>
      </c>
      <c r="K8655" s="10" t="s">
        <v>24</v>
      </c>
    </row>
    <row r="8656" spans="1:11" ht="54" customHeight="1">
      <c r="A8656" s="9" t="s">
        <v>18444</v>
      </c>
      <c r="B8656" s="9" t="s">
        <v>18444</v>
      </c>
      <c r="C8656" s="9" t="s">
        <v>17</v>
      </c>
      <c r="D8656" s="9" t="s">
        <v>18</v>
      </c>
      <c r="E8656" s="10" t="s">
        <v>1125</v>
      </c>
      <c r="F8656" s="9" t="s">
        <v>2490</v>
      </c>
      <c r="G8656" s="10" t="s">
        <v>176</v>
      </c>
      <c r="H8656" s="9" t="s">
        <v>22</v>
      </c>
      <c r="I8656" s="9" t="s">
        <v>18453</v>
      </c>
      <c r="J8656" s="10" t="str">
        <f>HYPERLINK("https://www.boe.es/gazeta/dias/1834/04/17/pdfs/GMD-1834-56.pdf#page=6","Abrir facsímil")</f>
        <v>Abrir facsímil</v>
      </c>
      <c r="K8656" s="10" t="s">
        <v>24</v>
      </c>
    </row>
    <row r="8657" spans="1:11" ht="54" customHeight="1">
      <c r="A8657" s="9" t="s">
        <v>18444</v>
      </c>
      <c r="B8657" s="9" t="s">
        <v>18444</v>
      </c>
      <c r="C8657" s="9" t="s">
        <v>122</v>
      </c>
      <c r="D8657" s="9" t="s">
        <v>101</v>
      </c>
      <c r="E8657" s="10" t="s">
        <v>262</v>
      </c>
      <c r="F8657" s="9" t="s">
        <v>7012</v>
      </c>
      <c r="G8657" s="10" t="s">
        <v>34</v>
      </c>
      <c r="H8657" s="9" t="s">
        <v>22</v>
      </c>
      <c r="I8657" s="9" t="s">
        <v>18454</v>
      </c>
      <c r="J8657" s="10" t="str">
        <f>HYPERLINK("https://www.boe.es/gazeta/dias/1834/10/18/pdfs/GMD-1834-246.pdf#page=1","Abrir facsímil")</f>
        <v>Abrir facsímil</v>
      </c>
      <c r="K8657" s="10" t="s">
        <v>24</v>
      </c>
    </row>
    <row r="8658" spans="1:11" ht="54" customHeight="1">
      <c r="A8658" s="9" t="s">
        <v>18444</v>
      </c>
      <c r="B8658" s="9" t="s">
        <v>18444</v>
      </c>
      <c r="C8658" s="9" t="s">
        <v>66</v>
      </c>
      <c r="D8658" s="9" t="s">
        <v>67</v>
      </c>
      <c r="E8658" s="10" t="s">
        <v>1239</v>
      </c>
      <c r="F8658" s="9" t="s">
        <v>1240</v>
      </c>
      <c r="G8658" s="10" t="s">
        <v>86</v>
      </c>
      <c r="H8658" s="9" t="s">
        <v>22</v>
      </c>
      <c r="I8658" s="9" t="s">
        <v>18455</v>
      </c>
      <c r="J8658" s="10" t="str">
        <f>HYPERLINK("https://www.boe.es/gazeta/dias/1834/08/20/pdfs/GMD-1834-186.pdf#page=2","Abrir facsímil")</f>
        <v>Abrir facsímil</v>
      </c>
      <c r="K8658" s="10" t="s">
        <v>24</v>
      </c>
    </row>
    <row r="8659" spans="1:11" ht="54" customHeight="1">
      <c r="A8659" s="9" t="s">
        <v>18444</v>
      </c>
      <c r="B8659" s="9" t="s">
        <v>18444</v>
      </c>
      <c r="C8659" s="9" t="s">
        <v>46</v>
      </c>
      <c r="D8659" s="9" t="s">
        <v>18</v>
      </c>
      <c r="E8659" s="10" t="s">
        <v>1239</v>
      </c>
      <c r="F8659" s="9" t="s">
        <v>1240</v>
      </c>
      <c r="G8659" s="10" t="s">
        <v>21</v>
      </c>
      <c r="H8659" s="9" t="s">
        <v>22</v>
      </c>
      <c r="I8659" s="9" t="s">
        <v>18456</v>
      </c>
      <c r="J8659" s="10" t="str">
        <f>HYPERLINK("https://www.boe.es/gazeta/dias/1834/08/20/pdfs/GMD-1834-186.pdf#page=3","Abrir facsímil")</f>
        <v>Abrir facsímil</v>
      </c>
      <c r="K8659" s="10" t="s">
        <v>24</v>
      </c>
    </row>
    <row r="8660" spans="1:11" ht="54" customHeight="1">
      <c r="A8660" s="9" t="s">
        <v>18444</v>
      </c>
      <c r="B8660" s="9" t="s">
        <v>18444</v>
      </c>
      <c r="C8660" s="9" t="s">
        <v>90</v>
      </c>
      <c r="D8660" s="9" t="s">
        <v>55</v>
      </c>
      <c r="E8660" s="10" t="s">
        <v>148</v>
      </c>
      <c r="F8660" s="9" t="s">
        <v>149</v>
      </c>
      <c r="G8660" s="10" t="s">
        <v>86</v>
      </c>
      <c r="H8660" s="9" t="s">
        <v>22</v>
      </c>
      <c r="I8660" s="9" t="s">
        <v>18457</v>
      </c>
      <c r="J8660" s="10" t="str">
        <f>HYPERLINK("https://www.boe.es/gazeta/dias/1834/10/20/pdfs/GMD-1834-248.pdf#page=2","Abrir facsímil")</f>
        <v>Abrir facsímil</v>
      </c>
      <c r="K8660" s="10" t="s">
        <v>24</v>
      </c>
    </row>
    <row r="8661" spans="1:11" ht="54" customHeight="1">
      <c r="A8661" s="9" t="s">
        <v>18444</v>
      </c>
      <c r="B8661" s="9" t="s">
        <v>18444</v>
      </c>
      <c r="C8661" s="9" t="s">
        <v>46</v>
      </c>
      <c r="D8661" s="9" t="s">
        <v>55</v>
      </c>
      <c r="E8661" s="10" t="s">
        <v>3488</v>
      </c>
      <c r="F8661" s="9" t="s">
        <v>3489</v>
      </c>
      <c r="G8661" s="10" t="s">
        <v>75</v>
      </c>
      <c r="H8661" s="9" t="s">
        <v>22</v>
      </c>
      <c r="I8661" s="9" t="s">
        <v>18458</v>
      </c>
      <c r="J8661" s="10" t="str">
        <f>HYPERLINK("https://www.boe.es/gazeta/dias/1834/06/22/pdfs/GMD-1834-125.pdf#page=4","Abrir facsímil")</f>
        <v>Abrir facsímil</v>
      </c>
      <c r="K8661" s="10" t="s">
        <v>24</v>
      </c>
    </row>
    <row r="8662" spans="1:11" ht="54" customHeight="1">
      <c r="A8662" s="9" t="s">
        <v>18444</v>
      </c>
      <c r="B8662" s="9" t="s">
        <v>18444</v>
      </c>
      <c r="C8662" s="9" t="s">
        <v>17</v>
      </c>
      <c r="D8662" s="9" t="s">
        <v>55</v>
      </c>
      <c r="E8662" s="10" t="s">
        <v>1922</v>
      </c>
      <c r="F8662" s="9" t="s">
        <v>1923</v>
      </c>
      <c r="G8662" s="10" t="s">
        <v>86</v>
      </c>
      <c r="H8662" s="9" t="s">
        <v>22</v>
      </c>
      <c r="I8662" s="9" t="s">
        <v>18459</v>
      </c>
      <c r="J8662" s="10" t="str">
        <f>HYPERLINK("https://www.boe.es/gazeta/dias/1834/02/25/pdfs/GMD-1834-25.pdf#page=2","Abrir facsímil")</f>
        <v>Abrir facsímil</v>
      </c>
      <c r="K8662" s="10" t="s">
        <v>24</v>
      </c>
    </row>
    <row r="8663" spans="1:11" ht="54" customHeight="1">
      <c r="A8663" s="9" t="s">
        <v>18444</v>
      </c>
      <c r="B8663" s="9" t="s">
        <v>18444</v>
      </c>
      <c r="C8663" s="9" t="s">
        <v>17</v>
      </c>
      <c r="D8663" s="9" t="s">
        <v>18</v>
      </c>
      <c r="E8663" s="10" t="s">
        <v>1307</v>
      </c>
      <c r="F8663" s="9" t="s">
        <v>1308</v>
      </c>
      <c r="G8663" s="10" t="s">
        <v>86</v>
      </c>
      <c r="H8663" s="9" t="s">
        <v>22</v>
      </c>
      <c r="I8663" s="9" t="s">
        <v>18460</v>
      </c>
      <c r="J8663" s="10" t="str">
        <f>HYPERLINK("https://www.boe.es/gazeta/dias/1834/08/25/pdfs/GMD-1834-191.pdf#page=2","Abrir facsímil")</f>
        <v>Abrir facsímil</v>
      </c>
      <c r="K8663" s="10" t="s">
        <v>24</v>
      </c>
    </row>
    <row r="8664" spans="1:11" ht="54" customHeight="1">
      <c r="A8664" s="9" t="s">
        <v>18444</v>
      </c>
      <c r="B8664" s="9" t="s">
        <v>18444</v>
      </c>
      <c r="C8664" s="9" t="s">
        <v>46</v>
      </c>
      <c r="D8664" s="9" t="s">
        <v>55</v>
      </c>
      <c r="E8664" s="10" t="s">
        <v>1677</v>
      </c>
      <c r="F8664" s="9" t="s">
        <v>1678</v>
      </c>
      <c r="G8664" s="10" t="s">
        <v>21</v>
      </c>
      <c r="H8664" s="9" t="s">
        <v>22</v>
      </c>
      <c r="I8664" s="9" t="s">
        <v>18461</v>
      </c>
      <c r="J8664" s="10" t="str">
        <f>HYPERLINK("https://www.boe.es/gazeta/dias/1834/07/26/pdfs/GMD-1834-159.pdf#page=3","Abrir facsímil")</f>
        <v>Abrir facsímil</v>
      </c>
      <c r="K8664" s="10" t="s">
        <v>24</v>
      </c>
    </row>
    <row r="8665" spans="1:11" ht="54" customHeight="1">
      <c r="A8665" s="9" t="s">
        <v>18444</v>
      </c>
      <c r="B8665" s="9" t="s">
        <v>18444</v>
      </c>
      <c r="C8665" s="9" t="s">
        <v>46</v>
      </c>
      <c r="D8665" s="9" t="s">
        <v>55</v>
      </c>
      <c r="E8665" s="10" t="s">
        <v>1689</v>
      </c>
      <c r="F8665" s="9" t="s">
        <v>1690</v>
      </c>
      <c r="G8665" s="10" t="s">
        <v>86</v>
      </c>
      <c r="H8665" s="9" t="s">
        <v>22</v>
      </c>
      <c r="I8665" s="9" t="s">
        <v>18462</v>
      </c>
      <c r="J8665" s="10" t="str">
        <f>HYPERLINK("https://www.boe.es/gazeta/dias/1834/07/28/pdfs/GMD-1834-161.pdf#page=2","Abrir facsímil")</f>
        <v>Abrir facsímil</v>
      </c>
      <c r="K8665" s="10" t="s">
        <v>24</v>
      </c>
    </row>
    <row r="8666" spans="1:11" ht="54" customHeight="1">
      <c r="A8666" s="9" t="s">
        <v>18463</v>
      </c>
      <c r="B8666" s="9" t="s">
        <v>18463</v>
      </c>
      <c r="C8666" s="9" t="s">
        <v>17</v>
      </c>
      <c r="D8666" s="9" t="s">
        <v>18</v>
      </c>
      <c r="E8666" s="10" t="s">
        <v>4064</v>
      </c>
      <c r="F8666" s="9" t="s">
        <v>4065</v>
      </c>
      <c r="G8666" s="10" t="s">
        <v>21</v>
      </c>
      <c r="H8666" s="9" t="s">
        <v>22</v>
      </c>
      <c r="I8666" s="9" t="s">
        <v>18464</v>
      </c>
      <c r="J8666" s="10" t="str">
        <f>HYPERLINK("https://www.boe.es/gazeta/dias/1834/07/22/pdfs/GMD-1834-155.pdf#page=3","Abrir facsímil")</f>
        <v>Abrir facsímil</v>
      </c>
      <c r="K8666" s="10" t="s">
        <v>24</v>
      </c>
    </row>
    <row r="8667" spans="1:11" ht="54" customHeight="1">
      <c r="A8667" s="9" t="s">
        <v>18465</v>
      </c>
      <c r="B8667" s="9" t="s">
        <v>18465</v>
      </c>
      <c r="C8667" s="9" t="s">
        <v>122</v>
      </c>
      <c r="D8667" s="9" t="s">
        <v>18</v>
      </c>
      <c r="E8667" s="10" t="s">
        <v>838</v>
      </c>
      <c r="F8667" s="9" t="s">
        <v>839</v>
      </c>
      <c r="G8667" s="10" t="s">
        <v>86</v>
      </c>
      <c r="H8667" s="9" t="s">
        <v>22</v>
      </c>
      <c r="I8667" s="9" t="s">
        <v>18466</v>
      </c>
      <c r="J8667" s="10" t="str">
        <f>HYPERLINK("https://www.boe.es/gazeta/dias/1834/07/18/pdfs/GMD-1834-151.pdf#page=2","Abrir facsímil")</f>
        <v>Abrir facsímil</v>
      </c>
      <c r="K8667" s="10" t="s">
        <v>24</v>
      </c>
    </row>
    <row r="8668" spans="1:11" ht="54" customHeight="1">
      <c r="A8668" s="9" t="s">
        <v>18467</v>
      </c>
      <c r="B8668" s="9" t="s">
        <v>18468</v>
      </c>
      <c r="C8668" s="9" t="s">
        <v>857</v>
      </c>
      <c r="D8668" s="9" t="s">
        <v>67</v>
      </c>
      <c r="E8668" s="10" t="s">
        <v>448</v>
      </c>
      <c r="F8668" s="9" t="s">
        <v>2058</v>
      </c>
      <c r="G8668" s="10" t="s">
        <v>75</v>
      </c>
      <c r="H8668" s="9" t="s">
        <v>22</v>
      </c>
      <c r="I8668" s="9" t="s">
        <v>18469</v>
      </c>
      <c r="J8668" s="10" t="str">
        <f>HYPERLINK("https://www.boe.es/gazeta/dias/1834/10/14/pdfs/GMD-1834-242.pdf#page=4","Abrir facsímil")</f>
        <v>Abrir facsímil</v>
      </c>
      <c r="K8668" s="10" t="s">
        <v>24</v>
      </c>
    </row>
    <row r="8669" spans="1:11" ht="54" customHeight="1">
      <c r="A8669" s="9" t="s">
        <v>18470</v>
      </c>
      <c r="B8669" s="9" t="s">
        <v>18471</v>
      </c>
      <c r="C8669" s="9" t="s">
        <v>66</v>
      </c>
      <c r="D8669" s="9" t="s">
        <v>101</v>
      </c>
      <c r="E8669" s="10" t="s">
        <v>26</v>
      </c>
      <c r="F8669" s="9" t="s">
        <v>818</v>
      </c>
      <c r="G8669" s="10" t="s">
        <v>34</v>
      </c>
      <c r="H8669" s="9" t="s">
        <v>22</v>
      </c>
      <c r="I8669" s="9" t="s">
        <v>18472</v>
      </c>
      <c r="J8669" s="10" t="str">
        <f>HYPERLINK("https://www.boe.es/gazeta/dias/1834/10/19/pdfs/GMD-1834-247.pdf#page=1","Abrir facsímil")</f>
        <v>Abrir facsímil</v>
      </c>
      <c r="K8669" s="10" t="s">
        <v>24</v>
      </c>
    </row>
    <row r="8670" spans="1:11" ht="54" customHeight="1">
      <c r="A8670" s="9" t="s">
        <v>18473</v>
      </c>
      <c r="B8670" s="9" t="s">
        <v>18473</v>
      </c>
      <c r="C8670" s="9" t="s">
        <v>122</v>
      </c>
      <c r="D8670" s="9" t="s">
        <v>18</v>
      </c>
      <c r="E8670" s="10" t="s">
        <v>8200</v>
      </c>
      <c r="F8670" s="9" t="s">
        <v>8201</v>
      </c>
      <c r="G8670" s="10" t="s">
        <v>86</v>
      </c>
      <c r="H8670" s="9" t="s">
        <v>22</v>
      </c>
      <c r="I8670" s="9" t="s">
        <v>18474</v>
      </c>
      <c r="J8670" s="10" t="str">
        <f>HYPERLINK("https://www.boe.es/gazeta/dias/1834/11/17/pdfs/GMD-1834-276.pdf#page=2","Abrir facsímil")</f>
        <v>Abrir facsímil</v>
      </c>
      <c r="K8670" s="10" t="s">
        <v>24</v>
      </c>
    </row>
    <row r="8671" spans="1:11" ht="54" customHeight="1">
      <c r="A8671" s="9" t="s">
        <v>18475</v>
      </c>
      <c r="B8671" s="9" t="s">
        <v>18475</v>
      </c>
      <c r="C8671" s="9" t="s">
        <v>46</v>
      </c>
      <c r="D8671" s="9" t="s">
        <v>55</v>
      </c>
      <c r="E8671" s="10" t="s">
        <v>1661</v>
      </c>
      <c r="F8671" s="9" t="s">
        <v>1662</v>
      </c>
      <c r="G8671" s="10" t="s">
        <v>86</v>
      </c>
      <c r="H8671" s="9" t="s">
        <v>22</v>
      </c>
      <c r="I8671" s="9" t="s">
        <v>18476</v>
      </c>
      <c r="J8671" s="10" t="str">
        <f>HYPERLINK("https://www.boe.es/gazeta/dias/1834/04/06/pdfs/GMD-1834-45.pdf#page=2","Abrir facsímil")</f>
        <v>Abrir facsímil</v>
      </c>
      <c r="K8671" s="10" t="s">
        <v>24</v>
      </c>
    </row>
    <row r="8672" spans="1:11" ht="54" customHeight="1">
      <c r="A8672" s="9" t="s">
        <v>18475</v>
      </c>
      <c r="B8672" s="9" t="s">
        <v>18475</v>
      </c>
      <c r="C8672" s="9" t="s">
        <v>66</v>
      </c>
      <c r="D8672" s="9" t="s">
        <v>55</v>
      </c>
      <c r="E8672" s="10" t="s">
        <v>1999</v>
      </c>
      <c r="F8672" s="9" t="s">
        <v>2000</v>
      </c>
      <c r="G8672" s="10" t="s">
        <v>21</v>
      </c>
      <c r="H8672" s="9" t="s">
        <v>22</v>
      </c>
      <c r="I8672" s="9" t="s">
        <v>18477</v>
      </c>
      <c r="J8672" s="10" t="str">
        <f>HYPERLINK("https://www.boe.es/gazeta/dias/1834/04/09/pdfs/GMD-1834-48.pdf#page=3","Abrir facsímil")</f>
        <v>Abrir facsímil</v>
      </c>
      <c r="K8672" s="10" t="s">
        <v>24</v>
      </c>
    </row>
    <row r="8673" spans="1:11" ht="54" customHeight="1">
      <c r="A8673" s="9" t="s">
        <v>18475</v>
      </c>
      <c r="B8673" s="9" t="s">
        <v>18475</v>
      </c>
      <c r="C8673" s="9" t="s">
        <v>66</v>
      </c>
      <c r="D8673" s="9" t="s">
        <v>101</v>
      </c>
      <c r="E8673" s="10" t="s">
        <v>2302</v>
      </c>
      <c r="F8673" s="9" t="s">
        <v>2303</v>
      </c>
      <c r="G8673" s="10" t="s">
        <v>86</v>
      </c>
      <c r="H8673" s="9" t="s">
        <v>22</v>
      </c>
      <c r="I8673" s="9" t="s">
        <v>18478</v>
      </c>
      <c r="J8673" s="10" t="str">
        <f>HYPERLINK("https://www.boe.es/gazeta/dias/1834/01/25/pdfs/GMD-1834-12.pdf#page=2","Abrir facsímil")</f>
        <v>Abrir facsímil</v>
      </c>
      <c r="K8673" s="10" t="s">
        <v>24</v>
      </c>
    </row>
    <row r="8674" spans="1:11" ht="54" customHeight="1">
      <c r="A8674" s="9" t="s">
        <v>18475</v>
      </c>
      <c r="B8674" s="9" t="s">
        <v>18475</v>
      </c>
      <c r="C8674" s="9" t="s">
        <v>90</v>
      </c>
      <c r="D8674" s="9" t="s">
        <v>18</v>
      </c>
      <c r="E8674" s="10" t="s">
        <v>739</v>
      </c>
      <c r="F8674" s="9" t="s">
        <v>740</v>
      </c>
      <c r="G8674" s="10" t="s">
        <v>86</v>
      </c>
      <c r="H8674" s="9" t="s">
        <v>22</v>
      </c>
      <c r="I8674" s="9" t="s">
        <v>18479</v>
      </c>
      <c r="J8674" s="10" t="str">
        <f>HYPERLINK("https://www.boe.es/gazeta/dias/1834/03/25/pdfs/GMD-1834-37.pdf#page=2","Abrir facsímil")</f>
        <v>Abrir facsímil</v>
      </c>
      <c r="K8674" s="10" t="s">
        <v>24</v>
      </c>
    </row>
    <row r="8675" spans="1:11" ht="54" customHeight="1">
      <c r="A8675" s="9" t="s">
        <v>18475</v>
      </c>
      <c r="B8675" s="9" t="s">
        <v>18475</v>
      </c>
      <c r="C8675" s="9" t="s">
        <v>17</v>
      </c>
      <c r="D8675" s="9" t="s">
        <v>18</v>
      </c>
      <c r="E8675" s="10" t="s">
        <v>899</v>
      </c>
      <c r="F8675" s="9" t="s">
        <v>900</v>
      </c>
      <c r="G8675" s="10" t="s">
        <v>75</v>
      </c>
      <c r="H8675" s="9" t="s">
        <v>22</v>
      </c>
      <c r="I8675" s="9" t="s">
        <v>18480</v>
      </c>
      <c r="J8675" s="10" t="str">
        <f>HYPERLINK("https://www.boe.es/gazeta/dias/1834/01/30/pdfs/GMD-1834-14.pdf#page=4","Abrir facsímil")</f>
        <v>Abrir facsímil</v>
      </c>
      <c r="K8675" s="10" t="s">
        <v>24</v>
      </c>
    </row>
    <row r="8676" spans="1:11" ht="54" customHeight="1">
      <c r="A8676" s="9" t="s">
        <v>18481</v>
      </c>
      <c r="B8676" s="9" t="s">
        <v>18482</v>
      </c>
      <c r="C8676" s="9" t="s">
        <v>17</v>
      </c>
      <c r="D8676" s="9" t="s">
        <v>18</v>
      </c>
      <c r="E8676" s="10" t="s">
        <v>84</v>
      </c>
      <c r="F8676" s="9" t="s">
        <v>1223</v>
      </c>
      <c r="G8676" s="10" t="s">
        <v>75</v>
      </c>
      <c r="H8676" s="9" t="s">
        <v>22</v>
      </c>
      <c r="I8676" s="9" t="s">
        <v>18483</v>
      </c>
      <c r="J8676" s="10" t="str">
        <f>HYPERLINK("https://www.boe.es/gazeta/dias/1834/06/07/pdfs/GMD-1834-109.pdf#page=4","Abrir facsímil")</f>
        <v>Abrir facsímil</v>
      </c>
      <c r="K8676" s="10" t="s">
        <v>24</v>
      </c>
    </row>
    <row r="8677" spans="1:11" ht="54" customHeight="1">
      <c r="A8677" s="9" t="s">
        <v>18484</v>
      </c>
      <c r="B8677" s="9" t="s">
        <v>18484</v>
      </c>
      <c r="C8677" s="9" t="s">
        <v>17</v>
      </c>
      <c r="D8677" s="9" t="s">
        <v>18</v>
      </c>
      <c r="E8677" s="10" t="s">
        <v>2203</v>
      </c>
      <c r="F8677" s="9" t="s">
        <v>2204</v>
      </c>
      <c r="G8677" s="10" t="s">
        <v>86</v>
      </c>
      <c r="H8677" s="9" t="s">
        <v>22</v>
      </c>
      <c r="I8677" s="9" t="s">
        <v>18485</v>
      </c>
      <c r="J8677" s="10" t="str">
        <f>HYPERLINK("https://www.boe.es/gazeta/dias/1834/09/10/pdfs/GMD-C-1834-208.pdf#page=2","Abrir facsímil")</f>
        <v>Abrir facsímil</v>
      </c>
      <c r="K8677" s="10" t="s">
        <v>24</v>
      </c>
    </row>
    <row r="8678" spans="1:11" ht="54" customHeight="1">
      <c r="A8678" s="9" t="s">
        <v>18486</v>
      </c>
      <c r="B8678" s="9" t="s">
        <v>18487</v>
      </c>
      <c r="C8678" s="9" t="s">
        <v>17</v>
      </c>
      <c r="D8678" s="9" t="s">
        <v>55</v>
      </c>
      <c r="E8678" s="10" t="s">
        <v>1686</v>
      </c>
      <c r="F8678" s="9" t="s">
        <v>1687</v>
      </c>
      <c r="G8678" s="10" t="s">
        <v>21</v>
      </c>
      <c r="H8678" s="9" t="s">
        <v>22</v>
      </c>
      <c r="I8678" s="9" t="s">
        <v>18488</v>
      </c>
      <c r="J8678" s="10" t="str">
        <f>HYPERLINK("https://www.boe.es/gazeta/dias/1834/07/27/pdfs/GMD-1834-160.pdf#page=3","Abrir facsímil")</f>
        <v>Abrir facsímil</v>
      </c>
      <c r="K8678" s="10" t="s">
        <v>24</v>
      </c>
    </row>
    <row r="8679" spans="1:11" ht="54" customHeight="1">
      <c r="A8679" s="9" t="s">
        <v>18489</v>
      </c>
      <c r="B8679" s="9" t="s">
        <v>18490</v>
      </c>
      <c r="C8679" s="9" t="s">
        <v>17</v>
      </c>
      <c r="D8679" s="9" t="s">
        <v>101</v>
      </c>
      <c r="E8679" s="10" t="s">
        <v>433</v>
      </c>
      <c r="F8679" s="9" t="s">
        <v>2773</v>
      </c>
      <c r="G8679" s="10" t="s">
        <v>34</v>
      </c>
      <c r="H8679" s="9" t="s">
        <v>22</v>
      </c>
      <c r="I8679" s="9" t="s">
        <v>18491</v>
      </c>
      <c r="J8679" s="10" t="str">
        <f>HYPERLINK("https://www.boe.es/gazeta/dias/1834/10/07/pdfs/I00986-00987.pdf#page=1","Abrir facsímil")</f>
        <v>Abrir facsímil</v>
      </c>
      <c r="K8679" s="10" t="s">
        <v>24</v>
      </c>
    </row>
    <row r="8680" spans="1:11" ht="54" customHeight="1">
      <c r="A8680" s="9" t="s">
        <v>18489</v>
      </c>
      <c r="B8680" s="9" t="s">
        <v>18490</v>
      </c>
      <c r="C8680" s="9" t="s">
        <v>17</v>
      </c>
      <c r="D8680" s="9" t="s">
        <v>101</v>
      </c>
      <c r="E8680" s="10" t="s">
        <v>433</v>
      </c>
      <c r="F8680" s="9" t="s">
        <v>2773</v>
      </c>
      <c r="G8680" s="10" t="s">
        <v>86</v>
      </c>
      <c r="H8680" s="9" t="s">
        <v>22</v>
      </c>
      <c r="I8680" s="9" t="s">
        <v>18491</v>
      </c>
      <c r="J8680" s="10" t="str">
        <f>HYPERLINK("https://www.boe.es/gazeta/dias/1834/10/07/pdfs/GMD-1834-235.pdf#page=2","Abrir facsímil")</f>
        <v>Abrir facsímil</v>
      </c>
      <c r="K8680" s="10" t="s">
        <v>24</v>
      </c>
    </row>
    <row r="8681" spans="1:11" ht="54" customHeight="1">
      <c r="A8681" s="9" t="s">
        <v>18492</v>
      </c>
      <c r="B8681" s="9" t="s">
        <v>18492</v>
      </c>
      <c r="C8681" s="9" t="s">
        <v>17</v>
      </c>
      <c r="D8681" s="9" t="s">
        <v>18</v>
      </c>
      <c r="E8681" s="10" t="s">
        <v>1981</v>
      </c>
      <c r="F8681" s="9" t="s">
        <v>1982</v>
      </c>
      <c r="G8681" s="10" t="s">
        <v>21</v>
      </c>
      <c r="H8681" s="9" t="s">
        <v>22</v>
      </c>
      <c r="I8681" s="9" t="s">
        <v>18493</v>
      </c>
      <c r="J8681" s="10" t="str">
        <f>HYPERLINK("https://www.boe.es/gazeta/dias/1834/12/13/pdfs/GMD-1834-302.pdf#page=3","Abrir facsímil")</f>
        <v>Abrir facsímil</v>
      </c>
      <c r="K8681" s="10" t="s">
        <v>24</v>
      </c>
    </row>
    <row r="8682" spans="1:11" ht="54" customHeight="1">
      <c r="A8682" s="9" t="s">
        <v>18492</v>
      </c>
      <c r="B8682" s="9" t="s">
        <v>18492</v>
      </c>
      <c r="C8682" s="9" t="s">
        <v>17</v>
      </c>
      <c r="D8682" s="9" t="s">
        <v>18</v>
      </c>
      <c r="E8682" s="10" t="s">
        <v>2278</v>
      </c>
      <c r="F8682" s="9" t="s">
        <v>3687</v>
      </c>
      <c r="G8682" s="10" t="s">
        <v>34</v>
      </c>
      <c r="H8682" s="9" t="s">
        <v>22</v>
      </c>
      <c r="I8682" s="9" t="s">
        <v>18494</v>
      </c>
      <c r="J8682" s="10" t="str">
        <f>HYPERLINK("https://www.boe.es/gazeta/dias/1834/12/17/pdfs/GMD-1834-307E.pdf#page=1","Abrir facsímil")</f>
        <v>Abrir facsímil</v>
      </c>
      <c r="K8682" s="10" t="s">
        <v>24</v>
      </c>
    </row>
    <row r="8683" spans="1:11" ht="54" customHeight="1">
      <c r="A8683" s="9" t="s">
        <v>18492</v>
      </c>
      <c r="B8683" s="9" t="s">
        <v>18492</v>
      </c>
      <c r="C8683" s="9" t="s">
        <v>17</v>
      </c>
      <c r="D8683" s="9" t="s">
        <v>18</v>
      </c>
      <c r="E8683" s="10" t="s">
        <v>1973</v>
      </c>
      <c r="F8683" s="9" t="s">
        <v>4832</v>
      </c>
      <c r="G8683" s="10" t="s">
        <v>75</v>
      </c>
      <c r="H8683" s="9" t="s">
        <v>22</v>
      </c>
      <c r="I8683" s="9" t="s">
        <v>18495</v>
      </c>
      <c r="J8683" s="10" t="str">
        <f>HYPERLINK("https://www.boe.es/gazeta/dias/1834/12/20/pdfs/GMD-1834-310.pdf#page=4","Abrir facsímil")</f>
        <v>Abrir facsímil</v>
      </c>
      <c r="K8683" s="10" t="s">
        <v>24</v>
      </c>
    </row>
    <row r="8684" spans="1:11" ht="54" customHeight="1">
      <c r="A8684" s="9" t="s">
        <v>18492</v>
      </c>
      <c r="B8684" s="9" t="s">
        <v>18492</v>
      </c>
      <c r="C8684" s="9" t="s">
        <v>66</v>
      </c>
      <c r="D8684" s="9" t="s">
        <v>67</v>
      </c>
      <c r="E8684" s="10" t="s">
        <v>394</v>
      </c>
      <c r="F8684" s="9" t="s">
        <v>459</v>
      </c>
      <c r="G8684" s="10" t="s">
        <v>34</v>
      </c>
      <c r="H8684" s="9" t="s">
        <v>22</v>
      </c>
      <c r="I8684" s="9" t="s">
        <v>18496</v>
      </c>
      <c r="J8684" s="10" t="str">
        <f>HYPERLINK("https://www.boe.es/gazeta/dias/1834/12/23/pdfs/GMD-C-1834-313.pdf#page=1","Abrir facsímil")</f>
        <v>Abrir facsímil</v>
      </c>
      <c r="K8684" s="10" t="s">
        <v>24</v>
      </c>
    </row>
    <row r="8685" spans="1:11" ht="54" customHeight="1">
      <c r="A8685" s="9" t="s">
        <v>18497</v>
      </c>
      <c r="B8685" s="9" t="s">
        <v>18498</v>
      </c>
      <c r="C8685" s="9" t="s">
        <v>17</v>
      </c>
      <c r="D8685" s="9" t="s">
        <v>18</v>
      </c>
      <c r="E8685" s="10" t="s">
        <v>8346</v>
      </c>
      <c r="F8685" s="9" t="s">
        <v>8347</v>
      </c>
      <c r="G8685" s="10" t="s">
        <v>75</v>
      </c>
      <c r="H8685" s="9" t="s">
        <v>35</v>
      </c>
      <c r="I8685" s="9" t="s">
        <v>18499</v>
      </c>
      <c r="J8685" s="10" t="str">
        <f>HYPERLINK("https://www.boe.es/gazeta/dias/1834/12/04/pdfs/GMD-1834-293.pdf#page=4","Abrir facsímil")</f>
        <v>Abrir facsímil</v>
      </c>
      <c r="K8685" s="10" t="s">
        <v>37</v>
      </c>
    </row>
    <row r="8686" spans="1:11" ht="54" customHeight="1">
      <c r="A8686" s="9" t="s">
        <v>18500</v>
      </c>
      <c r="B8686" s="9" t="s">
        <v>18501</v>
      </c>
      <c r="C8686" s="9" t="s">
        <v>17</v>
      </c>
      <c r="D8686" s="9" t="s">
        <v>18</v>
      </c>
      <c r="E8686" s="10" t="s">
        <v>299</v>
      </c>
      <c r="F8686" s="9" t="s">
        <v>300</v>
      </c>
      <c r="G8686" s="10" t="s">
        <v>75</v>
      </c>
      <c r="H8686" s="9" t="s">
        <v>22</v>
      </c>
      <c r="I8686" s="9" t="s">
        <v>18502</v>
      </c>
      <c r="J8686" s="10" t="str">
        <f>HYPERLINK("https://www.boe.es/gazeta/dias/1834/12/12/pdfs/GMD-1834-301.pdf#page=4","Abrir facsímil")</f>
        <v>Abrir facsímil</v>
      </c>
      <c r="K8686" s="10" t="s">
        <v>24</v>
      </c>
    </row>
    <row r="8687" spans="1:11" ht="54" customHeight="1">
      <c r="A8687" s="9" t="s">
        <v>18503</v>
      </c>
      <c r="B8687" s="9" t="s">
        <v>18504</v>
      </c>
      <c r="C8687" s="9" t="s">
        <v>17</v>
      </c>
      <c r="D8687" s="9" t="s">
        <v>18</v>
      </c>
      <c r="E8687" s="10" t="s">
        <v>8346</v>
      </c>
      <c r="F8687" s="9" t="s">
        <v>8347</v>
      </c>
      <c r="G8687" s="10" t="s">
        <v>75</v>
      </c>
      <c r="H8687" s="9" t="s">
        <v>22</v>
      </c>
      <c r="I8687" s="9" t="s">
        <v>18505</v>
      </c>
      <c r="J8687" s="10" t="str">
        <f>HYPERLINK("https://www.boe.es/gazeta/dias/1834/12/04/pdfs/GMD-1834-293.pdf#page=4","Abrir facsímil")</f>
        <v>Abrir facsímil</v>
      </c>
      <c r="K8687" s="10" t="s">
        <v>24</v>
      </c>
    </row>
    <row r="8688" spans="1:11" ht="54" customHeight="1">
      <c r="A8688" s="9" t="s">
        <v>18503</v>
      </c>
      <c r="B8688" s="9" t="s">
        <v>18504</v>
      </c>
      <c r="C8688" s="9" t="s">
        <v>66</v>
      </c>
      <c r="D8688" s="9" t="s">
        <v>18</v>
      </c>
      <c r="E8688" s="10" t="s">
        <v>928</v>
      </c>
      <c r="F8688" s="9" t="s">
        <v>3338</v>
      </c>
      <c r="G8688" s="10" t="s">
        <v>21</v>
      </c>
      <c r="H8688" s="9" t="s">
        <v>22</v>
      </c>
      <c r="I8688" s="9" t="s">
        <v>18506</v>
      </c>
      <c r="J8688" s="10" t="str">
        <f>HYPERLINK("https://www.boe.es/gazeta/dias/1834/11/15/pdfs/GMD-1834-274.pdf#page=3","Abrir facsímil")</f>
        <v>Abrir facsímil</v>
      </c>
      <c r="K8688" s="10" t="s">
        <v>24</v>
      </c>
    </row>
    <row r="8689" spans="1:11" ht="54" customHeight="1">
      <c r="A8689" s="9" t="s">
        <v>18507</v>
      </c>
      <c r="B8689" s="9" t="s">
        <v>18507</v>
      </c>
      <c r="C8689" s="9" t="s">
        <v>46</v>
      </c>
      <c r="D8689" s="9" t="s">
        <v>101</v>
      </c>
      <c r="E8689" s="10" t="s">
        <v>268</v>
      </c>
      <c r="F8689" s="9" t="s">
        <v>3529</v>
      </c>
      <c r="G8689" s="10" t="s">
        <v>21</v>
      </c>
      <c r="H8689" s="9" t="s">
        <v>22</v>
      </c>
      <c r="I8689" s="9" t="s">
        <v>18508</v>
      </c>
      <c r="J8689" s="10" t="str">
        <f>HYPERLINK("https://www.boe.es/gazeta/dias/1834/12/19/pdfs/GMD-1834-309.pdf#page=3","Abrir facsímil")</f>
        <v>Abrir facsímil</v>
      </c>
      <c r="K8689" s="10" t="s">
        <v>24</v>
      </c>
    </row>
    <row r="8690" spans="1:11" ht="54" customHeight="1">
      <c r="A8690" s="9" t="s">
        <v>18509</v>
      </c>
      <c r="B8690" s="9" t="s">
        <v>18509</v>
      </c>
      <c r="C8690" s="9" t="s">
        <v>46</v>
      </c>
      <c r="D8690" s="9" t="s">
        <v>18</v>
      </c>
      <c r="E8690" s="10" t="s">
        <v>330</v>
      </c>
      <c r="F8690" s="9" t="s">
        <v>331</v>
      </c>
      <c r="G8690" s="10" t="s">
        <v>21</v>
      </c>
      <c r="H8690" s="9" t="s">
        <v>22</v>
      </c>
      <c r="I8690" s="9" t="s">
        <v>18510</v>
      </c>
      <c r="J8690" s="10" t="str">
        <f>HYPERLINK("https://www.boe.es/gazeta/dias/1834/12/03/pdfs/GMD-1834-292.pdf#page=3","Abrir facsímil")</f>
        <v>Abrir facsímil</v>
      </c>
      <c r="K8690" s="10" t="s">
        <v>24</v>
      </c>
    </row>
    <row r="8691" spans="1:11" ht="54" customHeight="1">
      <c r="A8691" s="9" t="s">
        <v>18511</v>
      </c>
      <c r="B8691" s="9" t="s">
        <v>18512</v>
      </c>
      <c r="C8691" s="9" t="s">
        <v>90</v>
      </c>
      <c r="D8691" s="9" t="s">
        <v>18</v>
      </c>
      <c r="E8691" s="10" t="s">
        <v>724</v>
      </c>
      <c r="F8691" s="9" t="s">
        <v>725</v>
      </c>
      <c r="G8691" s="10" t="s">
        <v>176</v>
      </c>
      <c r="H8691" s="9" t="s">
        <v>22</v>
      </c>
      <c r="I8691" s="9" t="s">
        <v>18513</v>
      </c>
      <c r="J8691" s="10" t="str">
        <f>HYPERLINK("https://www.boe.es/gazeta/dias/1834/04/25/pdfs/GMD-1834-64.pdf#page=6","Abrir facsímil")</f>
        <v>Abrir facsímil</v>
      </c>
      <c r="K8691" s="10" t="s">
        <v>24</v>
      </c>
    </row>
    <row r="8692" spans="1:11" ht="54" customHeight="1">
      <c r="A8692" s="9" t="s">
        <v>18514</v>
      </c>
      <c r="B8692" s="9" t="s">
        <v>18515</v>
      </c>
      <c r="C8692" s="9" t="s">
        <v>90</v>
      </c>
      <c r="D8692" s="9" t="s">
        <v>18</v>
      </c>
      <c r="E8692" s="10" t="s">
        <v>47</v>
      </c>
      <c r="F8692" s="9" t="s">
        <v>48</v>
      </c>
      <c r="G8692" s="10" t="s">
        <v>34</v>
      </c>
      <c r="H8692" s="9" t="s">
        <v>22</v>
      </c>
      <c r="I8692" s="9" t="s">
        <v>18516</v>
      </c>
      <c r="J8692" s="10" t="str">
        <f>HYPERLINK("https://www.boe.es/gazeta/dias/1834/09/05/pdfs/GMD-C-1834-203.pdf#page=1","Abrir facsímil")</f>
        <v>Abrir facsímil</v>
      </c>
      <c r="K8692" s="10" t="s">
        <v>24</v>
      </c>
    </row>
    <row r="8693" spans="1:11" ht="54" customHeight="1">
      <c r="A8693" s="9" t="s">
        <v>18517</v>
      </c>
      <c r="B8693" s="9" t="s">
        <v>18518</v>
      </c>
      <c r="C8693" s="9" t="s">
        <v>90</v>
      </c>
      <c r="D8693" s="9" t="s">
        <v>18</v>
      </c>
      <c r="E8693" s="10" t="s">
        <v>615</v>
      </c>
      <c r="F8693" s="9" t="s">
        <v>1205</v>
      </c>
      <c r="G8693" s="10" t="s">
        <v>86</v>
      </c>
      <c r="H8693" s="9" t="s">
        <v>22</v>
      </c>
      <c r="I8693" s="9" t="s">
        <v>18519</v>
      </c>
      <c r="J8693" s="10" t="str">
        <f>HYPERLINK("https://www.boe.es/gazeta/dias/1834/08/19/pdfs/GMD-D-1834-185.pdf#page=2","Abrir facsímil")</f>
        <v>Abrir facsímil</v>
      </c>
      <c r="K8693" s="10" t="s">
        <v>24</v>
      </c>
    </row>
    <row r="8694" spans="1:11" ht="54" customHeight="1">
      <c r="A8694" s="9" t="s">
        <v>18520</v>
      </c>
      <c r="B8694" s="9" t="s">
        <v>18520</v>
      </c>
      <c r="C8694" s="9" t="s">
        <v>17</v>
      </c>
      <c r="D8694" s="9" t="s">
        <v>18</v>
      </c>
      <c r="E8694" s="10" t="s">
        <v>222</v>
      </c>
      <c r="F8694" s="9" t="s">
        <v>223</v>
      </c>
      <c r="G8694" s="10" t="s">
        <v>75</v>
      </c>
      <c r="H8694" s="9" t="s">
        <v>22</v>
      </c>
      <c r="I8694" s="9" t="s">
        <v>18521</v>
      </c>
      <c r="J8694" s="10" t="str">
        <f>HYPERLINK("https://www.boe.es/gazeta/dias/1834/09/14/pdfs/GMD-1834-212.pdf#page=4","Abrir facsímil")</f>
        <v>Abrir facsímil</v>
      </c>
      <c r="K8694" s="10" t="s">
        <v>24</v>
      </c>
    </row>
    <row r="8695" spans="1:11" ht="54" customHeight="1">
      <c r="A8695" s="9" t="s">
        <v>18522</v>
      </c>
      <c r="B8695" s="9" t="s">
        <v>18523</v>
      </c>
      <c r="C8695" s="9" t="s">
        <v>17</v>
      </c>
      <c r="D8695" s="9" t="s">
        <v>18</v>
      </c>
      <c r="E8695" s="10" t="s">
        <v>594</v>
      </c>
      <c r="F8695" s="9" t="s">
        <v>595</v>
      </c>
      <c r="G8695" s="10" t="s">
        <v>75</v>
      </c>
      <c r="H8695" s="9" t="s">
        <v>22</v>
      </c>
      <c r="I8695" s="9" t="s">
        <v>18524</v>
      </c>
      <c r="J8695" s="10" t="str">
        <f>HYPERLINK("https://www.boe.es/gazeta/dias/1834/06/01/pdfs/GMD-1834-102.pdf#page=4","Abrir facsímil")</f>
        <v>Abrir facsímil</v>
      </c>
      <c r="K8695" s="10" t="s">
        <v>24</v>
      </c>
    </row>
    <row r="8696" spans="1:11" ht="54" customHeight="1">
      <c r="A8696" s="9" t="s">
        <v>18525</v>
      </c>
      <c r="B8696" s="9" t="s">
        <v>18526</v>
      </c>
      <c r="C8696" s="9" t="s">
        <v>122</v>
      </c>
      <c r="D8696" s="9" t="s">
        <v>40</v>
      </c>
      <c r="E8696" s="10" t="s">
        <v>610</v>
      </c>
      <c r="F8696" s="9" t="s">
        <v>1374</v>
      </c>
      <c r="G8696" s="10" t="s">
        <v>75</v>
      </c>
      <c r="H8696" s="9" t="s">
        <v>22</v>
      </c>
      <c r="I8696" s="9" t="s">
        <v>18527</v>
      </c>
      <c r="J8696" s="10" t="str">
        <f>HYPERLINK("https://www.boe.es/gazeta/dias/1834/12/21/pdfs/GMD-1834-311.pdf#page=4","Abrir facsímil")</f>
        <v>Abrir facsímil</v>
      </c>
      <c r="K8696" s="10" t="s">
        <v>24</v>
      </c>
    </row>
    <row r="8697" spans="1:11" ht="54" customHeight="1">
      <c r="A8697" s="9" t="s">
        <v>18528</v>
      </c>
      <c r="B8697" s="9" t="s">
        <v>18529</v>
      </c>
      <c r="C8697" s="9" t="s">
        <v>90</v>
      </c>
      <c r="D8697" s="9" t="s">
        <v>18</v>
      </c>
      <c r="E8697" s="10" t="s">
        <v>1641</v>
      </c>
      <c r="F8697" s="9" t="s">
        <v>1729</v>
      </c>
      <c r="G8697" s="10" t="s">
        <v>34</v>
      </c>
      <c r="H8697" s="9" t="s">
        <v>22</v>
      </c>
      <c r="I8697" s="9" t="s">
        <v>18530</v>
      </c>
      <c r="J8697" s="10" t="str">
        <f>HYPERLINK("https://www.boe.es/gazeta/dias/1834/09/28/pdfs/GMD-1834-226.pdf#page=1","Abrir facsímil")</f>
        <v>Abrir facsímil</v>
      </c>
      <c r="K8697" s="10" t="s">
        <v>24</v>
      </c>
    </row>
    <row r="8698" spans="1:11" ht="54" customHeight="1">
      <c r="A8698" s="9" t="s">
        <v>18531</v>
      </c>
      <c r="B8698" s="9" t="s">
        <v>18532</v>
      </c>
      <c r="C8698" s="9" t="s">
        <v>66</v>
      </c>
      <c r="D8698" s="9" t="s">
        <v>67</v>
      </c>
      <c r="E8698" s="10" t="s">
        <v>1572</v>
      </c>
      <c r="F8698" s="9" t="s">
        <v>1573</v>
      </c>
      <c r="G8698" s="10" t="s">
        <v>75</v>
      </c>
      <c r="H8698" s="9" t="s">
        <v>22</v>
      </c>
      <c r="I8698" s="9" t="s">
        <v>18533</v>
      </c>
      <c r="J8698" s="10" t="str">
        <f>HYPERLINK("https://www.boe.es/gazeta/dias/1834/03/20/pdfs/GMD-1834-35.pdf#page=4","Abrir facsímil")</f>
        <v>Abrir facsímil</v>
      </c>
      <c r="K8698" s="10" t="s">
        <v>24</v>
      </c>
    </row>
    <row r="8699" spans="1:11" ht="54" customHeight="1">
      <c r="A8699" s="9" t="s">
        <v>18534</v>
      </c>
      <c r="B8699" s="9" t="s">
        <v>18535</v>
      </c>
      <c r="C8699" s="9" t="s">
        <v>122</v>
      </c>
      <c r="D8699" s="9" t="s">
        <v>18</v>
      </c>
      <c r="E8699" s="10" t="s">
        <v>84</v>
      </c>
      <c r="F8699" s="9" t="s">
        <v>85</v>
      </c>
      <c r="G8699" s="10" t="s">
        <v>86</v>
      </c>
      <c r="H8699" s="9" t="s">
        <v>22</v>
      </c>
      <c r="I8699" s="9" t="s">
        <v>18536</v>
      </c>
      <c r="J8699" s="10" t="str">
        <f>HYPERLINK("https://www.boe.es/gazeta/dias/1834/06/07/pdfs/GMD-C-1834-109.pdf#page=2","Abrir facsímil")</f>
        <v>Abrir facsímil</v>
      </c>
      <c r="K8699" s="10" t="s">
        <v>24</v>
      </c>
    </row>
    <row r="8700" spans="1:11" ht="54" customHeight="1">
      <c r="A8700" s="9" t="s">
        <v>18537</v>
      </c>
      <c r="B8700" s="9" t="s">
        <v>18538</v>
      </c>
      <c r="C8700" s="9" t="s">
        <v>17</v>
      </c>
      <c r="D8700" s="9" t="s">
        <v>18</v>
      </c>
      <c r="E8700" s="10" t="s">
        <v>73</v>
      </c>
      <c r="F8700" s="9" t="s">
        <v>74</v>
      </c>
      <c r="G8700" s="10" t="s">
        <v>75</v>
      </c>
      <c r="H8700" s="9" t="s">
        <v>22</v>
      </c>
      <c r="I8700" s="9" t="s">
        <v>18539</v>
      </c>
      <c r="J8700" s="10" t="str">
        <f>HYPERLINK("https://www.boe.es/gazeta/dias/1834/11/04/pdfs/GMD-1834-263.pdf#page=4","Abrir facsímil")</f>
        <v>Abrir facsímil</v>
      </c>
      <c r="K8700" s="10" t="s">
        <v>24</v>
      </c>
    </row>
    <row r="8701" spans="1:11" ht="54" customHeight="1">
      <c r="A8701" s="9" t="s">
        <v>18540</v>
      </c>
      <c r="B8701" s="9" t="s">
        <v>18541</v>
      </c>
      <c r="C8701" s="9" t="s">
        <v>17</v>
      </c>
      <c r="D8701" s="9" t="s">
        <v>18</v>
      </c>
      <c r="E8701" s="10" t="s">
        <v>5885</v>
      </c>
      <c r="F8701" s="9" t="s">
        <v>5886</v>
      </c>
      <c r="G8701" s="10" t="s">
        <v>75</v>
      </c>
      <c r="H8701" s="9" t="s">
        <v>22</v>
      </c>
      <c r="I8701" s="9" t="s">
        <v>18542</v>
      </c>
      <c r="J8701" s="10" t="str">
        <f>HYPERLINK("https://www.boe.es/gazeta/dias/1834/05/23/pdfs/GMD-1834-92.pdf#page=4","Abrir facsímil")</f>
        <v>Abrir facsímil</v>
      </c>
      <c r="K8701" s="10" t="s">
        <v>24</v>
      </c>
    </row>
    <row r="8702" spans="1:11" ht="54" customHeight="1">
      <c r="A8702" s="9" t="s">
        <v>18540</v>
      </c>
      <c r="B8702" s="9" t="s">
        <v>18541</v>
      </c>
      <c r="C8702" s="9" t="s">
        <v>17</v>
      </c>
      <c r="D8702" s="9" t="s">
        <v>18</v>
      </c>
      <c r="E8702" s="10" t="s">
        <v>724</v>
      </c>
      <c r="F8702" s="9" t="s">
        <v>725</v>
      </c>
      <c r="G8702" s="10" t="s">
        <v>28</v>
      </c>
      <c r="H8702" s="9" t="s">
        <v>22</v>
      </c>
      <c r="I8702" s="9" t="s">
        <v>18543</v>
      </c>
      <c r="J8702" s="10" t="str">
        <f>HYPERLINK("https://www.boe.es/gazeta/dias/1834/04/25/pdfs/GMD-1834-64.pdf#page=5","Abrir facsímil")</f>
        <v>Abrir facsímil</v>
      </c>
      <c r="K8702" s="10" t="s">
        <v>24</v>
      </c>
    </row>
    <row r="8703" spans="1:11" ht="54" customHeight="1">
      <c r="A8703" s="9" t="s">
        <v>18544</v>
      </c>
      <c r="B8703" s="9" t="s">
        <v>18545</v>
      </c>
      <c r="C8703" s="9" t="s">
        <v>66</v>
      </c>
      <c r="D8703" s="9" t="s">
        <v>67</v>
      </c>
      <c r="E8703" s="10" t="s">
        <v>378</v>
      </c>
      <c r="F8703" s="9" t="s">
        <v>379</v>
      </c>
      <c r="G8703" s="10" t="s">
        <v>21</v>
      </c>
      <c r="H8703" s="9" t="s">
        <v>22</v>
      </c>
      <c r="I8703" s="9" t="s">
        <v>18546</v>
      </c>
      <c r="J8703" s="10" t="str">
        <f>HYPERLINK("https://www.boe.es/gazeta/dias/1834/09/24/pdfs/GMD-1834-222.pdf#page=3","Abrir facsímil")</f>
        <v>Abrir facsímil</v>
      </c>
      <c r="K8703" s="10" t="s">
        <v>24</v>
      </c>
    </row>
    <row r="8704" spans="1:11" ht="54" customHeight="1">
      <c r="A8704" s="9" t="s">
        <v>18547</v>
      </c>
      <c r="B8704" s="9" t="s">
        <v>18548</v>
      </c>
      <c r="C8704" s="9" t="s">
        <v>46</v>
      </c>
      <c r="D8704" s="9" t="s">
        <v>101</v>
      </c>
      <c r="E8704" s="10" t="s">
        <v>2748</v>
      </c>
      <c r="F8704" s="9" t="s">
        <v>2749</v>
      </c>
      <c r="G8704" s="10" t="s">
        <v>34</v>
      </c>
      <c r="H8704" s="9" t="s">
        <v>22</v>
      </c>
      <c r="I8704" s="9" t="s">
        <v>18549</v>
      </c>
      <c r="J8704" s="10" t="str">
        <f>HYPERLINK("https://www.boe.es/gazeta/dias/1834/01/09/pdfs/GMD-1834-5.pdf#page=1","Abrir facsímil")</f>
        <v>Abrir facsímil</v>
      </c>
      <c r="K8704" s="10" t="s">
        <v>24</v>
      </c>
    </row>
    <row r="8705" spans="1:11" ht="54" customHeight="1">
      <c r="A8705" s="9" t="s">
        <v>18550</v>
      </c>
      <c r="B8705" s="9" t="s">
        <v>18551</v>
      </c>
      <c r="C8705" s="9" t="s">
        <v>90</v>
      </c>
      <c r="D8705" s="9" t="s">
        <v>18</v>
      </c>
      <c r="E8705" s="10" t="s">
        <v>158</v>
      </c>
      <c r="F8705" s="9" t="s">
        <v>159</v>
      </c>
      <c r="G8705" s="10" t="s">
        <v>21</v>
      </c>
      <c r="H8705" s="9" t="s">
        <v>22</v>
      </c>
      <c r="I8705" s="9" t="s">
        <v>18552</v>
      </c>
      <c r="J8705" s="10" t="str">
        <f>HYPERLINK("https://www.boe.es/gazeta/dias/1834/10/01/pdfs/GMD-1834-229.pdf#page=3","Abrir facsímil")</f>
        <v>Abrir facsímil</v>
      </c>
      <c r="K8705" s="10" t="s">
        <v>24</v>
      </c>
    </row>
    <row r="8706" spans="1:11" ht="54" customHeight="1">
      <c r="A8706" s="9" t="s">
        <v>18553</v>
      </c>
      <c r="B8706" s="9" t="s">
        <v>18554</v>
      </c>
      <c r="C8706" s="9" t="s">
        <v>122</v>
      </c>
      <c r="D8706" s="9" t="s">
        <v>101</v>
      </c>
      <c r="E8706" s="10" t="s">
        <v>513</v>
      </c>
      <c r="F8706" s="9" t="s">
        <v>514</v>
      </c>
      <c r="G8706" s="10" t="s">
        <v>176</v>
      </c>
      <c r="H8706" s="9" t="s">
        <v>22</v>
      </c>
      <c r="I8706" s="9" t="s">
        <v>18555</v>
      </c>
      <c r="J8706" s="10" t="str">
        <f>HYPERLINK("https://www.boe.es/gazeta/dias/1834/04/27/pdfs/GMD-1834-66.pdf#page=6","Abrir facsímil")</f>
        <v>Abrir facsímil</v>
      </c>
      <c r="K8706" s="10" t="s">
        <v>24</v>
      </c>
    </row>
    <row r="8707" spans="1:11" ht="54" customHeight="1">
      <c r="A8707" s="9" t="s">
        <v>18556</v>
      </c>
      <c r="B8707" s="9" t="s">
        <v>18557</v>
      </c>
      <c r="C8707" s="9" t="s">
        <v>17</v>
      </c>
      <c r="D8707" s="9" t="s">
        <v>18</v>
      </c>
      <c r="E8707" s="10" t="s">
        <v>860</v>
      </c>
      <c r="F8707" s="9" t="s">
        <v>861</v>
      </c>
      <c r="G8707" s="10" t="s">
        <v>176</v>
      </c>
      <c r="H8707" s="9" t="s">
        <v>22</v>
      </c>
      <c r="I8707" s="9" t="s">
        <v>18558</v>
      </c>
      <c r="J8707" s="10" t="str">
        <f>HYPERLINK("https://www.boe.es/gazeta/dias/1834/02/08/pdfs/GMD-1834-18.pdf#page=6","Abrir facsímil")</f>
        <v>Abrir facsímil</v>
      </c>
      <c r="K8707" s="10" t="s">
        <v>24</v>
      </c>
    </row>
    <row r="8708" spans="1:11" ht="54" customHeight="1">
      <c r="A8708" s="9" t="s">
        <v>18556</v>
      </c>
      <c r="B8708" s="9" t="s">
        <v>18557</v>
      </c>
      <c r="C8708" s="9" t="s">
        <v>17</v>
      </c>
      <c r="D8708" s="9" t="s">
        <v>18</v>
      </c>
      <c r="E8708" s="10" t="s">
        <v>860</v>
      </c>
      <c r="F8708" s="9" t="s">
        <v>861</v>
      </c>
      <c r="G8708" s="10" t="s">
        <v>560</v>
      </c>
      <c r="H8708" s="9" t="s">
        <v>22</v>
      </c>
      <c r="I8708" s="9" t="s">
        <v>18559</v>
      </c>
      <c r="J8708" s="10" t="str">
        <f>HYPERLINK("https://www.boe.es/gazeta/dias/1834/02/08/pdfs/GMD-1834-18.pdf#page=7","Abrir facsímil")</f>
        <v>Abrir facsímil</v>
      </c>
      <c r="K8708" s="10" t="s">
        <v>24</v>
      </c>
    </row>
    <row r="8709" spans="1:11" ht="54" customHeight="1">
      <c r="A8709" s="9" t="s">
        <v>18560</v>
      </c>
      <c r="B8709" s="9" t="s">
        <v>18561</v>
      </c>
      <c r="C8709" s="9" t="s">
        <v>66</v>
      </c>
      <c r="D8709" s="9" t="s">
        <v>67</v>
      </c>
      <c r="E8709" s="10" t="s">
        <v>3066</v>
      </c>
      <c r="F8709" s="9" t="s">
        <v>3067</v>
      </c>
      <c r="G8709" s="10" t="s">
        <v>75</v>
      </c>
      <c r="H8709" s="9" t="s">
        <v>22</v>
      </c>
      <c r="I8709" s="9" t="s">
        <v>18562</v>
      </c>
      <c r="J8709" s="10" t="str">
        <f>HYPERLINK("https://www.boe.es/gazeta/dias/1834/08/03/pdfs/GMD-C-1834-167.pdf#page=4","Abrir facsímil")</f>
        <v>Abrir facsímil</v>
      </c>
      <c r="K8709" s="10" t="s">
        <v>24</v>
      </c>
    </row>
    <row r="8710" spans="1:11" ht="54" customHeight="1">
      <c r="A8710" s="9" t="s">
        <v>18563</v>
      </c>
      <c r="B8710" s="9" t="s">
        <v>18563</v>
      </c>
      <c r="C8710" s="9" t="s">
        <v>17</v>
      </c>
      <c r="D8710" s="9" t="s">
        <v>18</v>
      </c>
      <c r="E8710" s="10" t="s">
        <v>262</v>
      </c>
      <c r="F8710" s="9" t="s">
        <v>7012</v>
      </c>
      <c r="G8710" s="10" t="s">
        <v>21</v>
      </c>
      <c r="H8710" s="9" t="s">
        <v>22</v>
      </c>
      <c r="I8710" s="9" t="s">
        <v>18564</v>
      </c>
      <c r="J8710" s="10" t="str">
        <f>HYPERLINK("https://www.boe.es/gazeta/dias/1834/10/18/pdfs/GMD-1834-246.pdf#page=3","Abrir facsímil")</f>
        <v>Abrir facsímil</v>
      </c>
      <c r="K8710" s="10" t="s">
        <v>24</v>
      </c>
    </row>
    <row r="8711" spans="1:11" ht="54" customHeight="1">
      <c r="A8711" s="9" t="s">
        <v>18565</v>
      </c>
      <c r="B8711" s="9" t="s">
        <v>18566</v>
      </c>
      <c r="C8711" s="9" t="s">
        <v>17</v>
      </c>
      <c r="D8711" s="9" t="s">
        <v>18</v>
      </c>
      <c r="E8711" s="10" t="s">
        <v>2302</v>
      </c>
      <c r="F8711" s="9" t="s">
        <v>2303</v>
      </c>
      <c r="G8711" s="10" t="s">
        <v>75</v>
      </c>
      <c r="H8711" s="9" t="s">
        <v>22</v>
      </c>
      <c r="I8711" s="9" t="s">
        <v>18567</v>
      </c>
      <c r="J8711" s="10" t="str">
        <f>HYPERLINK("https://www.boe.es/gazeta/dias/1834/01/25/pdfs/GMD-1834-12.pdf#page=4","Abrir facsímil")</f>
        <v>Abrir facsímil</v>
      </c>
      <c r="K8711" s="10" t="s">
        <v>24</v>
      </c>
    </row>
    <row r="8712" spans="1:11" ht="54" customHeight="1">
      <c r="A8712" s="9" t="s">
        <v>18568</v>
      </c>
      <c r="B8712" s="9" t="s">
        <v>18569</v>
      </c>
      <c r="C8712" s="9" t="s">
        <v>17</v>
      </c>
      <c r="D8712" s="9" t="s">
        <v>18</v>
      </c>
      <c r="E8712" s="10" t="s">
        <v>905</v>
      </c>
      <c r="F8712" s="9" t="s">
        <v>1651</v>
      </c>
      <c r="G8712" s="10" t="s">
        <v>21</v>
      </c>
      <c r="H8712" s="9" t="s">
        <v>35</v>
      </c>
      <c r="I8712" s="9" t="s">
        <v>18570</v>
      </c>
      <c r="J8712" s="10" t="str">
        <f>HYPERLINK("https://www.boe.es/gazeta/dias/1834/08/02/pdfs/GMD-1834-166.pdf#page=3","Abrir facsímil")</f>
        <v>Abrir facsímil</v>
      </c>
      <c r="K8712" s="10" t="s">
        <v>37</v>
      </c>
    </row>
    <row r="8713" spans="1:11" ht="54" customHeight="1">
      <c r="A8713" s="9" t="s">
        <v>18571</v>
      </c>
      <c r="B8713" s="9" t="s">
        <v>18572</v>
      </c>
      <c r="C8713" s="9" t="s">
        <v>17</v>
      </c>
      <c r="D8713" s="9" t="s">
        <v>18</v>
      </c>
      <c r="E8713" s="10" t="s">
        <v>2748</v>
      </c>
      <c r="F8713" s="9" t="s">
        <v>2749</v>
      </c>
      <c r="G8713" s="10" t="s">
        <v>86</v>
      </c>
      <c r="H8713" s="9" t="s">
        <v>35</v>
      </c>
      <c r="I8713" s="9" t="s">
        <v>18573</v>
      </c>
      <c r="J8713" s="10" t="str">
        <f>HYPERLINK("https://www.boe.es/gazeta/dias/1834/01/09/pdfs/GMD-1834-5.pdf#page=2","Abrir facsímil")</f>
        <v>Abrir facsímil</v>
      </c>
      <c r="K8713" s="10" t="s">
        <v>37</v>
      </c>
    </row>
    <row r="8714" spans="1:11" ht="54" customHeight="1">
      <c r="A8714" s="9" t="s">
        <v>18574</v>
      </c>
      <c r="B8714" s="9" t="s">
        <v>18575</v>
      </c>
      <c r="C8714" s="9" t="s">
        <v>90</v>
      </c>
      <c r="D8714" s="9" t="s">
        <v>18</v>
      </c>
      <c r="E8714" s="10" t="s">
        <v>3066</v>
      </c>
      <c r="F8714" s="9" t="s">
        <v>3067</v>
      </c>
      <c r="G8714" s="10" t="s">
        <v>75</v>
      </c>
      <c r="H8714" s="9" t="s">
        <v>35</v>
      </c>
      <c r="I8714" s="9" t="s">
        <v>18576</v>
      </c>
      <c r="J8714" s="10" t="str">
        <f>HYPERLINK("https://www.boe.es/gazeta/dias/1834/08/03/pdfs/GMD-C-1834-167.pdf#page=4","Abrir facsímil")</f>
        <v>Abrir facsímil</v>
      </c>
      <c r="K8714" s="10" t="s">
        <v>37</v>
      </c>
    </row>
    <row r="8715" spans="1:11" ht="54" customHeight="1">
      <c r="A8715" s="9" t="s">
        <v>18577</v>
      </c>
      <c r="B8715" s="9" t="s">
        <v>18578</v>
      </c>
      <c r="C8715" s="9" t="s">
        <v>17</v>
      </c>
      <c r="D8715" s="9" t="s">
        <v>18</v>
      </c>
      <c r="E8715" s="10" t="s">
        <v>117</v>
      </c>
      <c r="F8715" s="9" t="s">
        <v>118</v>
      </c>
      <c r="G8715" s="10" t="s">
        <v>75</v>
      </c>
      <c r="H8715" s="9" t="s">
        <v>35</v>
      </c>
      <c r="I8715" s="9" t="s">
        <v>18579</v>
      </c>
      <c r="J8715" s="10" t="str">
        <f>HYPERLINK("https://www.boe.es/gazeta/dias/1834/07/21/pdfs/GMD-1834-154.pdf#page=4","Abrir facsímil")</f>
        <v>Abrir facsímil</v>
      </c>
      <c r="K8715" s="10" t="s">
        <v>37</v>
      </c>
    </row>
    <row r="8716" spans="1:11" ht="54" customHeight="1">
      <c r="A8716" s="9" t="s">
        <v>18580</v>
      </c>
      <c r="B8716" s="9" t="s">
        <v>18580</v>
      </c>
      <c r="C8716" s="9" t="s">
        <v>17</v>
      </c>
      <c r="D8716" s="9" t="s">
        <v>18</v>
      </c>
      <c r="E8716" s="10" t="s">
        <v>772</v>
      </c>
      <c r="F8716" s="9" t="s">
        <v>773</v>
      </c>
      <c r="G8716" s="10" t="s">
        <v>75</v>
      </c>
      <c r="H8716" s="9" t="s">
        <v>22</v>
      </c>
      <c r="I8716" s="9" t="s">
        <v>18581</v>
      </c>
      <c r="J8716" s="10" t="str">
        <f>HYPERLINK("https://www.boe.es/gazeta/dias/1834/09/18/pdfs/GMD-1834-216.pdf#page=4","Abrir facsímil")</f>
        <v>Abrir facsímil</v>
      </c>
      <c r="K8716" s="10" t="s">
        <v>24</v>
      </c>
    </row>
    <row r="8717" spans="1:11" ht="54" customHeight="1">
      <c r="A8717" s="9" t="s">
        <v>18582</v>
      </c>
      <c r="B8717" s="9" t="s">
        <v>18583</v>
      </c>
      <c r="C8717" s="9" t="s">
        <v>17</v>
      </c>
      <c r="D8717" s="9" t="s">
        <v>40</v>
      </c>
      <c r="E8717" s="10" t="s">
        <v>3471</v>
      </c>
      <c r="F8717" s="9" t="s">
        <v>3472</v>
      </c>
      <c r="G8717" s="10" t="s">
        <v>21</v>
      </c>
      <c r="H8717" s="9" t="s">
        <v>22</v>
      </c>
      <c r="I8717" s="9" t="s">
        <v>18584</v>
      </c>
      <c r="J8717" s="10" t="str">
        <f>HYPERLINK("https://www.boe.es/gazeta/dias/1834/07/07/pdfs/GMD-1834-140.pdf#page=3","Abrir facsímil")</f>
        <v>Abrir facsímil</v>
      </c>
      <c r="K8717" s="10" t="s">
        <v>24</v>
      </c>
    </row>
    <row r="8718" spans="1:11" ht="54" customHeight="1">
      <c r="A8718" s="9" t="s">
        <v>18585</v>
      </c>
      <c r="B8718" s="9" t="s">
        <v>18586</v>
      </c>
      <c r="C8718" s="9" t="s">
        <v>17</v>
      </c>
      <c r="D8718" s="9" t="s">
        <v>40</v>
      </c>
      <c r="E8718" s="10" t="s">
        <v>3471</v>
      </c>
      <c r="F8718" s="9" t="s">
        <v>3472</v>
      </c>
      <c r="G8718" s="10" t="s">
        <v>21</v>
      </c>
      <c r="H8718" s="9" t="s">
        <v>35</v>
      </c>
      <c r="I8718" s="9" t="s">
        <v>18587</v>
      </c>
      <c r="J8718" s="10" t="str">
        <f>HYPERLINK("https://www.boe.es/gazeta/dias/1834/07/07/pdfs/GMD-1834-140.pdf#page=3","Abrir facsímil")</f>
        <v>Abrir facsímil</v>
      </c>
      <c r="K8718" s="10" t="s">
        <v>37</v>
      </c>
    </row>
    <row r="8719" spans="1:11" ht="54" customHeight="1">
      <c r="A8719" s="9" t="s">
        <v>18588</v>
      </c>
      <c r="B8719" s="9" t="s">
        <v>18589</v>
      </c>
      <c r="C8719" s="9" t="s">
        <v>17</v>
      </c>
      <c r="D8719" s="9" t="s">
        <v>40</v>
      </c>
      <c r="E8719" s="10" t="s">
        <v>3471</v>
      </c>
      <c r="F8719" s="9" t="s">
        <v>3472</v>
      </c>
      <c r="G8719" s="10" t="s">
        <v>21</v>
      </c>
      <c r="H8719" s="9" t="s">
        <v>35</v>
      </c>
      <c r="I8719" s="9" t="s">
        <v>18590</v>
      </c>
      <c r="J8719" s="10" t="str">
        <f>HYPERLINK("https://www.boe.es/gazeta/dias/1834/07/07/pdfs/GMD-1834-140.pdf#page=3","Abrir facsímil")</f>
        <v>Abrir facsímil</v>
      </c>
      <c r="K8719" s="10" t="s">
        <v>37</v>
      </c>
    </row>
    <row r="8720" spans="1:11" ht="54" customHeight="1">
      <c r="A8720" s="9" t="s">
        <v>18591</v>
      </c>
      <c r="B8720" s="9" t="s">
        <v>18592</v>
      </c>
      <c r="C8720" s="9" t="s">
        <v>17</v>
      </c>
      <c r="D8720" s="9" t="s">
        <v>40</v>
      </c>
      <c r="E8720" s="10" t="s">
        <v>3471</v>
      </c>
      <c r="F8720" s="9" t="s">
        <v>3472</v>
      </c>
      <c r="G8720" s="10" t="s">
        <v>21</v>
      </c>
      <c r="H8720" s="9" t="s">
        <v>22</v>
      </c>
      <c r="I8720" s="9" t="s">
        <v>18593</v>
      </c>
      <c r="J8720" s="10" t="str">
        <f>HYPERLINK("https://www.boe.es/gazeta/dias/1834/07/07/pdfs/GMD-1834-140.pdf#page=3","Abrir facsímil")</f>
        <v>Abrir facsímil</v>
      </c>
      <c r="K8720" s="10" t="s">
        <v>24</v>
      </c>
    </row>
    <row r="8721" spans="1:11" ht="54" customHeight="1">
      <c r="A8721" s="9" t="s">
        <v>18594</v>
      </c>
      <c r="B8721" s="9" t="s">
        <v>18595</v>
      </c>
      <c r="C8721" s="9" t="s">
        <v>17</v>
      </c>
      <c r="D8721" s="9" t="s">
        <v>18</v>
      </c>
      <c r="E8721" s="10" t="s">
        <v>3471</v>
      </c>
      <c r="F8721" s="9" t="s">
        <v>3472</v>
      </c>
      <c r="G8721" s="10" t="s">
        <v>21</v>
      </c>
      <c r="H8721" s="9" t="s">
        <v>22</v>
      </c>
      <c r="I8721" s="9" t="s">
        <v>18596</v>
      </c>
      <c r="J8721" s="10" t="str">
        <f>HYPERLINK("https://www.boe.es/gazeta/dias/1834/07/07/pdfs/GMD-1834-140.pdf#page=3","Abrir facsímil")</f>
        <v>Abrir facsímil</v>
      </c>
      <c r="K8721" s="10" t="s">
        <v>24</v>
      </c>
    </row>
    <row r="8722" spans="1:11" ht="54" customHeight="1">
      <c r="A8722" s="9" t="s">
        <v>18597</v>
      </c>
      <c r="B8722" s="9" t="s">
        <v>18598</v>
      </c>
      <c r="C8722" s="9" t="s">
        <v>17</v>
      </c>
      <c r="D8722" s="9" t="s">
        <v>18</v>
      </c>
      <c r="E8722" s="10" t="s">
        <v>187</v>
      </c>
      <c r="F8722" s="9" t="s">
        <v>1715</v>
      </c>
      <c r="G8722" s="10" t="s">
        <v>34</v>
      </c>
      <c r="H8722" s="9" t="s">
        <v>22</v>
      </c>
      <c r="I8722" s="9" t="s">
        <v>18599</v>
      </c>
      <c r="J8722" s="10" t="str">
        <f>HYPERLINK("https://www.boe.es/gazeta/dias/1834/09/30/pdfs/GMD-C-1834-228.pdf#page=1","Abrir facsímil")</f>
        <v>Abrir facsímil</v>
      </c>
      <c r="K8722" s="10" t="s">
        <v>24</v>
      </c>
    </row>
    <row r="8723" spans="1:11" ht="54" customHeight="1">
      <c r="A8723" s="9" t="s">
        <v>18600</v>
      </c>
      <c r="B8723" s="9" t="s">
        <v>18601</v>
      </c>
      <c r="C8723" s="9" t="s">
        <v>17</v>
      </c>
      <c r="D8723" s="9" t="s">
        <v>18</v>
      </c>
      <c r="E8723" s="10" t="s">
        <v>251</v>
      </c>
      <c r="F8723" s="9" t="s">
        <v>252</v>
      </c>
      <c r="G8723" s="10" t="s">
        <v>28</v>
      </c>
      <c r="H8723" s="9" t="s">
        <v>22</v>
      </c>
      <c r="I8723" s="9" t="s">
        <v>18602</v>
      </c>
      <c r="J8723" s="10" t="str">
        <f>HYPERLINK("https://www.boe.es/gazeta/dias/1834/09/26/pdfs/GMD-C-1834-224.pdf#page=5","Abrir facsímil")</f>
        <v>Abrir facsímil</v>
      </c>
      <c r="K8723" s="10" t="s">
        <v>24</v>
      </c>
    </row>
    <row r="8724" spans="1:11" ht="54" customHeight="1">
      <c r="A8724" s="9" t="s">
        <v>18603</v>
      </c>
      <c r="B8724" s="9" t="s">
        <v>18604</v>
      </c>
      <c r="C8724" s="9" t="s">
        <v>17</v>
      </c>
      <c r="D8724" s="9" t="s">
        <v>18</v>
      </c>
      <c r="E8724" s="10" t="s">
        <v>3471</v>
      </c>
      <c r="F8724" s="9" t="s">
        <v>3472</v>
      </c>
      <c r="G8724" s="10" t="s">
        <v>21</v>
      </c>
      <c r="H8724" s="9" t="s">
        <v>35</v>
      </c>
      <c r="I8724" s="9" t="s">
        <v>18605</v>
      </c>
      <c r="J8724" s="10" t="str">
        <f>HYPERLINK("https://www.boe.es/gazeta/dias/1834/07/07/pdfs/GMD-1834-140.pdf#page=3","Abrir facsímil")</f>
        <v>Abrir facsímil</v>
      </c>
      <c r="K8724" s="10" t="s">
        <v>37</v>
      </c>
    </row>
    <row r="8725" spans="1:11" ht="54" customHeight="1">
      <c r="A8725" s="9" t="s">
        <v>18606</v>
      </c>
      <c r="B8725" s="9" t="s">
        <v>18607</v>
      </c>
      <c r="C8725" s="9" t="s">
        <v>46</v>
      </c>
      <c r="D8725" s="9" t="s">
        <v>101</v>
      </c>
      <c r="E8725" s="10" t="s">
        <v>642</v>
      </c>
      <c r="F8725" s="9" t="s">
        <v>643</v>
      </c>
      <c r="G8725" s="10" t="s">
        <v>470</v>
      </c>
      <c r="H8725" s="9" t="s">
        <v>22</v>
      </c>
      <c r="I8725" s="9" t="s">
        <v>18608</v>
      </c>
      <c r="J8725" s="10" t="str">
        <f>HYPERLINK("https://www.boe.es/gazeta/dias/1834/11/12/pdfs/GMD-C-1834-271.pdf#page=8","Abrir facsímil")</f>
        <v>Abrir facsímil</v>
      </c>
      <c r="K8725" s="10" t="s">
        <v>24</v>
      </c>
    </row>
    <row r="8726" spans="1:11" ht="54" customHeight="1">
      <c r="A8726" s="9" t="s">
        <v>18609</v>
      </c>
      <c r="B8726" s="9" t="s">
        <v>18610</v>
      </c>
      <c r="C8726" s="9" t="s">
        <v>17</v>
      </c>
      <c r="D8726" s="9" t="s">
        <v>18</v>
      </c>
      <c r="E8726" s="10" t="s">
        <v>468</v>
      </c>
      <c r="F8726" s="9" t="s">
        <v>469</v>
      </c>
      <c r="G8726" s="10" t="s">
        <v>1099</v>
      </c>
      <c r="H8726" s="9" t="s">
        <v>22</v>
      </c>
      <c r="I8726" s="9" t="s">
        <v>18611</v>
      </c>
      <c r="J8726" s="10" t="str">
        <f>HYPERLINK("https://www.boe.es/gazeta/dias/1834/12/28/pdfs/GMD-C-1834-318.pdf#page=11","Abrir facsímil")</f>
        <v>Abrir facsímil</v>
      </c>
      <c r="K8726" s="10" t="s">
        <v>24</v>
      </c>
    </row>
    <row r="8727" spans="1:11" ht="54" customHeight="1">
      <c r="A8727" s="9" t="s">
        <v>18612</v>
      </c>
      <c r="B8727" s="9" t="s">
        <v>18613</v>
      </c>
      <c r="C8727" s="9" t="s">
        <v>90</v>
      </c>
      <c r="D8727" s="9" t="s">
        <v>18</v>
      </c>
      <c r="E8727" s="10" t="s">
        <v>283</v>
      </c>
      <c r="F8727" s="9" t="s">
        <v>2969</v>
      </c>
      <c r="G8727" s="10" t="s">
        <v>34</v>
      </c>
      <c r="H8727" s="9" t="s">
        <v>22</v>
      </c>
      <c r="I8727" s="9" t="s">
        <v>18614</v>
      </c>
      <c r="J8727" s="10" t="str">
        <f>HYPERLINK("https://www.boe.es/gazeta/dias/1834/11/29/pdfs/GMD-1834-288.pdf#page=1","Abrir facsímil")</f>
        <v>Abrir facsímil</v>
      </c>
      <c r="K8727" s="10" t="s">
        <v>24</v>
      </c>
    </row>
    <row r="8728" spans="1:11" ht="54" customHeight="1">
      <c r="A8728" s="9" t="s">
        <v>18615</v>
      </c>
      <c r="B8728" s="9" t="s">
        <v>18615</v>
      </c>
      <c r="C8728" s="9" t="s">
        <v>17</v>
      </c>
      <c r="D8728" s="9" t="s">
        <v>55</v>
      </c>
      <c r="E8728" s="10" t="s">
        <v>2278</v>
      </c>
      <c r="F8728" s="9" t="s">
        <v>3088</v>
      </c>
      <c r="G8728" s="10" t="s">
        <v>21</v>
      </c>
      <c r="H8728" s="9" t="s">
        <v>22</v>
      </c>
      <c r="I8728" s="9" t="s">
        <v>18616</v>
      </c>
      <c r="J8728" s="10" t="str">
        <f>HYPERLINK("https://www.boe.es/gazeta/dias/1834/12/17/pdfs/GMD-1834-306.pdf#page=3","Abrir facsímil")</f>
        <v>Abrir facsímil</v>
      </c>
      <c r="K8728" s="10" t="s">
        <v>24</v>
      </c>
    </row>
    <row r="8729" spans="1:11" ht="54" customHeight="1">
      <c r="A8729" s="9" t="s">
        <v>18617</v>
      </c>
      <c r="B8729" s="9" t="s">
        <v>18617</v>
      </c>
      <c r="C8729" s="9" t="s">
        <v>46</v>
      </c>
      <c r="D8729" s="9" t="s">
        <v>101</v>
      </c>
      <c r="E8729" s="10" t="s">
        <v>860</v>
      </c>
      <c r="F8729" s="9" t="s">
        <v>861</v>
      </c>
      <c r="G8729" s="10" t="s">
        <v>86</v>
      </c>
      <c r="H8729" s="9" t="s">
        <v>22</v>
      </c>
      <c r="I8729" s="9" t="s">
        <v>18618</v>
      </c>
      <c r="J8729" s="10" t="str">
        <f>HYPERLINK("https://www.boe.es/gazeta/dias/1834/02/08/pdfs/GMD-1834-18.pdf#page=2","Abrir facsímil")</f>
        <v>Abrir facsímil</v>
      </c>
      <c r="K8729" s="10" t="s">
        <v>24</v>
      </c>
    </row>
    <row r="8730" spans="1:11" ht="54" customHeight="1">
      <c r="A8730" s="9" t="s">
        <v>18617</v>
      </c>
      <c r="B8730" s="9" t="s">
        <v>18617</v>
      </c>
      <c r="C8730" s="9" t="s">
        <v>17</v>
      </c>
      <c r="D8730" s="9" t="s">
        <v>18</v>
      </c>
      <c r="E8730" s="10" t="s">
        <v>4237</v>
      </c>
      <c r="F8730" s="9" t="s">
        <v>4238</v>
      </c>
      <c r="G8730" s="10" t="s">
        <v>86</v>
      </c>
      <c r="H8730" s="9" t="s">
        <v>22</v>
      </c>
      <c r="I8730" s="9" t="s">
        <v>18619</v>
      </c>
      <c r="J8730" s="10" t="str">
        <f>HYPERLINK("https://www.boe.es/gazeta/dias/1834/06/17/pdfs/GMD-1834-120.pdf#page=2","Abrir facsímil")</f>
        <v>Abrir facsímil</v>
      </c>
      <c r="K8730" s="10" t="s">
        <v>24</v>
      </c>
    </row>
    <row r="8731" spans="1:11" ht="54" customHeight="1">
      <c r="A8731" s="9" t="s">
        <v>18617</v>
      </c>
      <c r="B8731" s="9" t="s">
        <v>18617</v>
      </c>
      <c r="C8731" s="9" t="s">
        <v>46</v>
      </c>
      <c r="D8731" s="9" t="s">
        <v>101</v>
      </c>
      <c r="E8731" s="10" t="s">
        <v>102</v>
      </c>
      <c r="F8731" s="9" t="s">
        <v>103</v>
      </c>
      <c r="G8731" s="10" t="s">
        <v>34</v>
      </c>
      <c r="H8731" s="9" t="s">
        <v>22</v>
      </c>
      <c r="I8731" s="9" t="s">
        <v>18620</v>
      </c>
      <c r="J8731" s="10" t="str">
        <f>HYPERLINK("https://www.boe.es/gazeta/dias/1834/07/19/pdfs/GMD-1834-152.pdf#page=1","Abrir facsímil")</f>
        <v>Abrir facsímil</v>
      </c>
      <c r="K8731" s="10" t="s">
        <v>24</v>
      </c>
    </row>
    <row r="8732" spans="1:11" ht="54" customHeight="1">
      <c r="A8732" s="9" t="s">
        <v>18617</v>
      </c>
      <c r="B8732" s="9" t="s">
        <v>18617</v>
      </c>
      <c r="C8732" s="9" t="s">
        <v>46</v>
      </c>
      <c r="D8732" s="9" t="s">
        <v>101</v>
      </c>
      <c r="E8732" s="10" t="s">
        <v>1239</v>
      </c>
      <c r="F8732" s="9" t="s">
        <v>1240</v>
      </c>
      <c r="G8732" s="10" t="s">
        <v>21</v>
      </c>
      <c r="H8732" s="9" t="s">
        <v>22</v>
      </c>
      <c r="I8732" s="9" t="s">
        <v>18621</v>
      </c>
      <c r="J8732" s="10" t="str">
        <f>HYPERLINK("https://www.boe.es/gazeta/dias/1834/08/20/pdfs/GMD-1834-186.pdf#page=3","Abrir facsímil")</f>
        <v>Abrir facsímil</v>
      </c>
      <c r="K8732" s="10" t="s">
        <v>24</v>
      </c>
    </row>
    <row r="8733" spans="1:11" ht="54" customHeight="1">
      <c r="A8733" s="9" t="s">
        <v>18617</v>
      </c>
      <c r="B8733" s="9" t="s">
        <v>18617</v>
      </c>
      <c r="C8733" s="9" t="s">
        <v>66</v>
      </c>
      <c r="D8733" s="9" t="s">
        <v>67</v>
      </c>
      <c r="E8733" s="10" t="s">
        <v>702</v>
      </c>
      <c r="F8733" s="9" t="s">
        <v>2427</v>
      </c>
      <c r="G8733" s="10" t="s">
        <v>75</v>
      </c>
      <c r="H8733" s="9" t="s">
        <v>22</v>
      </c>
      <c r="I8733" s="9" t="s">
        <v>18622</v>
      </c>
      <c r="J8733" s="10" t="str">
        <f>HYPERLINK("https://www.boe.es/gazeta/dias/1834/11/22/pdfs/GMD-1834-281.pdf#page=4","Abrir facsímil")</f>
        <v>Abrir facsímil</v>
      </c>
      <c r="K8733" s="10" t="s">
        <v>24</v>
      </c>
    </row>
    <row r="8734" spans="1:11" ht="54" customHeight="1">
      <c r="A8734" s="9" t="s">
        <v>18617</v>
      </c>
      <c r="B8734" s="9" t="s">
        <v>18617</v>
      </c>
      <c r="C8734" s="9" t="s">
        <v>17</v>
      </c>
      <c r="D8734" s="9" t="s">
        <v>18</v>
      </c>
      <c r="E8734" s="10" t="s">
        <v>32</v>
      </c>
      <c r="F8734" s="9" t="s">
        <v>33</v>
      </c>
      <c r="G8734" s="10" t="s">
        <v>21</v>
      </c>
      <c r="H8734" s="9" t="s">
        <v>22</v>
      </c>
      <c r="I8734" s="9" t="s">
        <v>18623</v>
      </c>
      <c r="J8734" s="10" t="str">
        <f>HYPERLINK("https://www.boe.es/gazeta/dias/1834/04/23/pdfs/GMD-1834-62.pdf#page=3","Abrir facsímil")</f>
        <v>Abrir facsímil</v>
      </c>
      <c r="K8734" s="10" t="s">
        <v>24</v>
      </c>
    </row>
    <row r="8735" spans="1:11" ht="54" customHeight="1">
      <c r="A8735" s="9" t="s">
        <v>18617</v>
      </c>
      <c r="B8735" s="9" t="s">
        <v>18617</v>
      </c>
      <c r="C8735" s="9" t="s">
        <v>122</v>
      </c>
      <c r="D8735" s="9" t="s">
        <v>101</v>
      </c>
      <c r="E8735" s="10" t="s">
        <v>2107</v>
      </c>
      <c r="F8735" s="9" t="s">
        <v>2108</v>
      </c>
      <c r="G8735" s="10" t="s">
        <v>21</v>
      </c>
      <c r="H8735" s="9" t="s">
        <v>22</v>
      </c>
      <c r="I8735" s="9" t="s">
        <v>18624</v>
      </c>
      <c r="J8735" s="10" t="str">
        <f>HYPERLINK("https://www.boe.es/gazeta/dias/1834/08/24/pdfs/GMD-1834-190.pdf#page=3","Abrir facsímil")</f>
        <v>Abrir facsímil</v>
      </c>
      <c r="K8735" s="10" t="s">
        <v>24</v>
      </c>
    </row>
    <row r="8736" spans="1:11" ht="54" customHeight="1">
      <c r="A8736" s="9" t="s">
        <v>18617</v>
      </c>
      <c r="B8736" s="9" t="s">
        <v>18617</v>
      </c>
      <c r="C8736" s="9" t="s">
        <v>66</v>
      </c>
      <c r="D8736" s="9" t="s">
        <v>18</v>
      </c>
      <c r="E8736" s="10" t="s">
        <v>1575</v>
      </c>
      <c r="F8736" s="9" t="s">
        <v>1576</v>
      </c>
      <c r="G8736" s="10" t="s">
        <v>21</v>
      </c>
      <c r="H8736" s="9" t="s">
        <v>22</v>
      </c>
      <c r="I8736" s="9" t="s">
        <v>18625</v>
      </c>
      <c r="J8736" s="10" t="str">
        <f>HYPERLINK("https://www.boe.es/gazeta/dias/1834/11/24/pdfs/GMD-1834-283.pdf#page=3","Abrir facsímil")</f>
        <v>Abrir facsímil</v>
      </c>
      <c r="K8736" s="10" t="s">
        <v>24</v>
      </c>
    </row>
    <row r="8737" spans="1:11" ht="54" customHeight="1">
      <c r="A8737" s="9" t="s">
        <v>18617</v>
      </c>
      <c r="B8737" s="9" t="s">
        <v>18617</v>
      </c>
      <c r="C8737" s="9" t="s">
        <v>66</v>
      </c>
      <c r="D8737" s="9" t="s">
        <v>67</v>
      </c>
      <c r="E8737" s="10" t="s">
        <v>724</v>
      </c>
      <c r="F8737" s="9" t="s">
        <v>725</v>
      </c>
      <c r="G8737" s="10" t="s">
        <v>75</v>
      </c>
      <c r="H8737" s="9" t="s">
        <v>22</v>
      </c>
      <c r="I8737" s="9" t="s">
        <v>18626</v>
      </c>
      <c r="J8737" s="10" t="str">
        <f>HYPERLINK("https://www.boe.es/gazeta/dias/1834/04/25/pdfs/GMD-1834-64.pdf#page=4","Abrir facsímil")</f>
        <v>Abrir facsímil</v>
      </c>
      <c r="K8737" s="10" t="s">
        <v>24</v>
      </c>
    </row>
    <row r="8738" spans="1:11" ht="54" customHeight="1">
      <c r="A8738" s="9" t="s">
        <v>18617</v>
      </c>
      <c r="B8738" s="9" t="s">
        <v>18617</v>
      </c>
      <c r="C8738" s="9" t="s">
        <v>17</v>
      </c>
      <c r="D8738" s="9" t="s">
        <v>18</v>
      </c>
      <c r="E8738" s="10" t="s">
        <v>3083</v>
      </c>
      <c r="F8738" s="9" t="s">
        <v>3084</v>
      </c>
      <c r="G8738" s="10" t="s">
        <v>21</v>
      </c>
      <c r="H8738" s="9" t="s">
        <v>22</v>
      </c>
      <c r="I8738" s="9" t="s">
        <v>18627</v>
      </c>
      <c r="J8738" s="10" t="str">
        <f>HYPERLINK("https://www.boe.es/gazeta/dias/1834/10/30/pdfs/GMD-1834-258.pdf#page=3","Abrir facsímil")</f>
        <v>Abrir facsímil</v>
      </c>
      <c r="K8738" s="10" t="s">
        <v>24</v>
      </c>
    </row>
    <row r="8739" spans="1:11" ht="54" customHeight="1">
      <c r="A8739" s="9" t="s">
        <v>18628</v>
      </c>
      <c r="B8739" s="9" t="s">
        <v>18629</v>
      </c>
      <c r="C8739" s="9" t="s">
        <v>66</v>
      </c>
      <c r="D8739" s="9" t="s">
        <v>18</v>
      </c>
      <c r="E8739" s="10" t="s">
        <v>1186</v>
      </c>
      <c r="F8739" s="9" t="s">
        <v>4286</v>
      </c>
      <c r="G8739" s="10" t="s">
        <v>86</v>
      </c>
      <c r="H8739" s="9" t="s">
        <v>35</v>
      </c>
      <c r="I8739" s="9" t="s">
        <v>18630</v>
      </c>
      <c r="J8739" s="10" t="str">
        <f>HYPERLINK("https://www.boe.es/gazeta/dias/1834/08/14/pdfs/GMD-C-1834-179.pdf#page=2","Abrir facsímil")</f>
        <v>Abrir facsímil</v>
      </c>
      <c r="K8739" s="10" t="s">
        <v>37</v>
      </c>
    </row>
    <row r="8740" spans="1:11" ht="54" customHeight="1">
      <c r="A8740" s="9" t="s">
        <v>18631</v>
      </c>
      <c r="B8740" s="9" t="s">
        <v>18632</v>
      </c>
      <c r="C8740" s="9" t="s">
        <v>66</v>
      </c>
      <c r="D8740" s="9" t="s">
        <v>101</v>
      </c>
      <c r="E8740" s="10" t="s">
        <v>429</v>
      </c>
      <c r="F8740" s="9" t="s">
        <v>3421</v>
      </c>
      <c r="G8740" s="10" t="s">
        <v>34</v>
      </c>
      <c r="H8740" s="9" t="s">
        <v>22</v>
      </c>
      <c r="I8740" s="9" t="s">
        <v>18633</v>
      </c>
      <c r="J8740" s="10" t="str">
        <f>HYPERLINK("https://www.boe.es/gazeta/dias/1834/08/07/pdfs/GMD-1834-172.pdf#page=1","Abrir facsímil")</f>
        <v>Abrir facsímil</v>
      </c>
      <c r="K8740" s="10" t="s">
        <v>24</v>
      </c>
    </row>
    <row r="8741" spans="1:11" ht="54" customHeight="1">
      <c r="A8741" s="9" t="s">
        <v>18634</v>
      </c>
      <c r="B8741" s="9" t="s">
        <v>18635</v>
      </c>
      <c r="C8741" s="9" t="s">
        <v>17</v>
      </c>
      <c r="D8741" s="9" t="s">
        <v>18</v>
      </c>
      <c r="E8741" s="10" t="s">
        <v>265</v>
      </c>
      <c r="F8741" s="9" t="s">
        <v>266</v>
      </c>
      <c r="G8741" s="10" t="s">
        <v>21</v>
      </c>
      <c r="H8741" s="9" t="s">
        <v>22</v>
      </c>
      <c r="I8741" s="9" t="s">
        <v>18636</v>
      </c>
      <c r="J8741" s="10" t="str">
        <f>HYPERLINK("https://www.boe.es/gazeta/dias/1834/11/19/pdfs/GMD-C-1834-278.pdf#page=3","Abrir facsímil")</f>
        <v>Abrir facsímil</v>
      </c>
      <c r="K8741" s="10" t="s">
        <v>24</v>
      </c>
    </row>
    <row r="8742" spans="1:11" ht="54" customHeight="1">
      <c r="A8742" s="9" t="s">
        <v>18637</v>
      </c>
      <c r="B8742" s="9" t="s">
        <v>18638</v>
      </c>
      <c r="C8742" s="9" t="s">
        <v>66</v>
      </c>
      <c r="D8742" s="9" t="s">
        <v>18</v>
      </c>
      <c r="E8742" s="10" t="s">
        <v>1186</v>
      </c>
      <c r="F8742" s="9" t="s">
        <v>4286</v>
      </c>
      <c r="G8742" s="10" t="s">
        <v>86</v>
      </c>
      <c r="H8742" s="9" t="s">
        <v>22</v>
      </c>
      <c r="I8742" s="9" t="s">
        <v>18639</v>
      </c>
      <c r="J8742" s="10" t="str">
        <f>HYPERLINK("https://www.boe.es/gazeta/dias/1834/08/14/pdfs/GMD-C-1834-179.pdf#page=2","Abrir facsímil")</f>
        <v>Abrir facsímil</v>
      </c>
      <c r="K8742" s="10" t="s">
        <v>24</v>
      </c>
    </row>
    <row r="8743" spans="1:11" ht="54" customHeight="1">
      <c r="A8743" s="9" t="s">
        <v>18640</v>
      </c>
      <c r="B8743" s="9" t="s">
        <v>18641</v>
      </c>
      <c r="C8743" s="9" t="s">
        <v>17</v>
      </c>
      <c r="D8743" s="9" t="s">
        <v>18</v>
      </c>
      <c r="E8743" s="10" t="s">
        <v>448</v>
      </c>
      <c r="F8743" s="9" t="s">
        <v>449</v>
      </c>
      <c r="G8743" s="10" t="s">
        <v>21</v>
      </c>
      <c r="H8743" s="9" t="s">
        <v>22</v>
      </c>
      <c r="I8743" s="9" t="s">
        <v>18642</v>
      </c>
      <c r="J8743" s="10" t="str">
        <f>HYPERLINK("https://www.boe.es/gazeta/dias/1834/10/14/pdfs/GMD-C-1834-242.pdf#page=3","Abrir facsímil")</f>
        <v>Abrir facsímil</v>
      </c>
      <c r="K8743" s="10" t="s">
        <v>24</v>
      </c>
    </row>
    <row r="8744" spans="1:11" ht="54" customHeight="1">
      <c r="A8744" s="9" t="s">
        <v>18643</v>
      </c>
      <c r="B8744" s="9" t="s">
        <v>18643</v>
      </c>
      <c r="C8744" s="9" t="s">
        <v>17</v>
      </c>
      <c r="D8744" s="9" t="s">
        <v>18</v>
      </c>
      <c r="E8744" s="10" t="s">
        <v>233</v>
      </c>
      <c r="F8744" s="9" t="s">
        <v>234</v>
      </c>
      <c r="G8744" s="10" t="s">
        <v>34</v>
      </c>
      <c r="H8744" s="9" t="s">
        <v>22</v>
      </c>
      <c r="I8744" s="9" t="s">
        <v>18644</v>
      </c>
      <c r="J8744" s="10" t="str">
        <f>HYPERLINK("https://www.boe.es/gazeta/dias/1834/12/16/pdfs/GMD-1834-305.pdf#page=1","Abrir facsímil")</f>
        <v>Abrir facsímil</v>
      </c>
      <c r="K8744" s="10" t="s">
        <v>24</v>
      </c>
    </row>
    <row r="8745" spans="1:11" ht="54" customHeight="1">
      <c r="A8745" s="9" t="s">
        <v>18645</v>
      </c>
      <c r="B8745" s="9" t="s">
        <v>18646</v>
      </c>
      <c r="C8745" s="9" t="s">
        <v>90</v>
      </c>
      <c r="D8745" s="9" t="s">
        <v>18</v>
      </c>
      <c r="E8745" s="10" t="s">
        <v>1017</v>
      </c>
      <c r="F8745" s="9" t="s">
        <v>1018</v>
      </c>
      <c r="G8745" s="10" t="s">
        <v>21</v>
      </c>
      <c r="H8745" s="9" t="s">
        <v>22</v>
      </c>
      <c r="I8745" s="9" t="s">
        <v>18647</v>
      </c>
      <c r="J8745" s="10" t="str">
        <f>HYPERLINK("https://www.boe.es/gazeta/dias/1834/07/24/pdfs/GMD-1834-157.pdf#page=3","Abrir facsímil")</f>
        <v>Abrir facsímil</v>
      </c>
      <c r="K8745" s="10" t="s">
        <v>24</v>
      </c>
    </row>
    <row r="8746" spans="1:11" ht="54" customHeight="1">
      <c r="A8746" s="9" t="s">
        <v>18648</v>
      </c>
      <c r="B8746" s="9" t="s">
        <v>18648</v>
      </c>
      <c r="C8746" s="9" t="s">
        <v>17</v>
      </c>
      <c r="D8746" s="9" t="s">
        <v>101</v>
      </c>
      <c r="E8746" s="10" t="s">
        <v>1862</v>
      </c>
      <c r="F8746" s="9" t="s">
        <v>1863</v>
      </c>
      <c r="G8746" s="10" t="s">
        <v>34</v>
      </c>
      <c r="H8746" s="9" t="s">
        <v>22</v>
      </c>
      <c r="I8746" s="9" t="s">
        <v>18649</v>
      </c>
      <c r="J8746" s="10" t="str">
        <f>HYPERLINK("https://www.boe.es/gazeta/dias/1834/02/04/pdfs/GMD-1834-16.pdf#page=1","Abrir facsímil")</f>
        <v>Abrir facsímil</v>
      </c>
      <c r="K8746" s="10" t="s">
        <v>24</v>
      </c>
    </row>
    <row r="8747" spans="1:11" ht="54" customHeight="1">
      <c r="A8747" s="9" t="s">
        <v>18648</v>
      </c>
      <c r="B8747" s="9" t="s">
        <v>18648</v>
      </c>
      <c r="C8747" s="9" t="s">
        <v>17</v>
      </c>
      <c r="D8747" s="9" t="s">
        <v>40</v>
      </c>
      <c r="E8747" s="10" t="s">
        <v>5885</v>
      </c>
      <c r="F8747" s="9" t="s">
        <v>5886</v>
      </c>
      <c r="G8747" s="10" t="s">
        <v>75</v>
      </c>
      <c r="H8747" s="9" t="s">
        <v>22</v>
      </c>
      <c r="I8747" s="9" t="s">
        <v>18650</v>
      </c>
      <c r="J8747" s="10" t="str">
        <f>HYPERLINK("https://www.boe.es/gazeta/dias/1834/05/23/pdfs/GMD-1834-92.pdf#page=4","Abrir facsímil")</f>
        <v>Abrir facsímil</v>
      </c>
      <c r="K8747" s="10" t="s">
        <v>24</v>
      </c>
    </row>
    <row r="8748" spans="1:11" ht="54" customHeight="1">
      <c r="A8748" s="9" t="s">
        <v>18651</v>
      </c>
      <c r="B8748" s="9" t="s">
        <v>18652</v>
      </c>
      <c r="C8748" s="9" t="s">
        <v>122</v>
      </c>
      <c r="D8748" s="9" t="s">
        <v>18</v>
      </c>
      <c r="E8748" s="10" t="s">
        <v>5435</v>
      </c>
      <c r="F8748" s="9" t="s">
        <v>5436</v>
      </c>
      <c r="G8748" s="10" t="s">
        <v>21</v>
      </c>
      <c r="H8748" s="9" t="s">
        <v>22</v>
      </c>
      <c r="I8748" s="9" t="s">
        <v>18653</v>
      </c>
      <c r="J8748" s="10" t="str">
        <f>HYPERLINK("https://www.boe.es/gazeta/dias/1834/05/11/pdfs/GMD-1834-80.pdf#page=3","Abrir facsímil")</f>
        <v>Abrir facsímil</v>
      </c>
      <c r="K8748" s="10" t="s">
        <v>24</v>
      </c>
    </row>
    <row r="8749" spans="1:11" ht="54" customHeight="1">
      <c r="A8749" s="9" t="s">
        <v>18654</v>
      </c>
      <c r="B8749" s="9" t="s">
        <v>18655</v>
      </c>
      <c r="C8749" s="9" t="s">
        <v>17</v>
      </c>
      <c r="D8749" s="9" t="s">
        <v>18</v>
      </c>
      <c r="E8749" s="10" t="s">
        <v>47</v>
      </c>
      <c r="F8749" s="9" t="s">
        <v>48</v>
      </c>
      <c r="G8749" s="10" t="s">
        <v>34</v>
      </c>
      <c r="H8749" s="9" t="s">
        <v>22</v>
      </c>
      <c r="I8749" s="9" t="s">
        <v>18656</v>
      </c>
      <c r="J8749" s="10" t="str">
        <f>HYPERLINK("https://www.boe.es/gazeta/dias/1834/09/05/pdfs/GMD-C-1834-203.pdf#page=1","Abrir facsímil")</f>
        <v>Abrir facsímil</v>
      </c>
      <c r="K8749" s="10" t="s">
        <v>24</v>
      </c>
    </row>
    <row r="8750" spans="1:11" ht="54" customHeight="1">
      <c r="A8750" s="9" t="s">
        <v>18657</v>
      </c>
      <c r="B8750" s="9" t="s">
        <v>18657</v>
      </c>
      <c r="C8750" s="9" t="s">
        <v>17</v>
      </c>
      <c r="D8750" s="9" t="s">
        <v>18</v>
      </c>
      <c r="E8750" s="10" t="s">
        <v>10172</v>
      </c>
      <c r="F8750" s="9" t="s">
        <v>10173</v>
      </c>
      <c r="G8750" s="10" t="s">
        <v>86</v>
      </c>
      <c r="H8750" s="9" t="s">
        <v>22</v>
      </c>
      <c r="I8750" s="9" t="s">
        <v>18658</v>
      </c>
      <c r="J8750" s="10" t="str">
        <f>HYPERLINK("https://www.boe.es/gazeta/dias/1834/06/15/pdfs/GMD-1834-118.pdf#page=2","Abrir facsímil")</f>
        <v>Abrir facsímil</v>
      </c>
      <c r="K8750" s="10" t="s">
        <v>24</v>
      </c>
    </row>
    <row r="8751" spans="1:11" ht="54" customHeight="1">
      <c r="A8751" s="9" t="s">
        <v>18659</v>
      </c>
      <c r="B8751" s="9" t="s">
        <v>18659</v>
      </c>
      <c r="C8751" s="9" t="s">
        <v>90</v>
      </c>
      <c r="D8751" s="9" t="s">
        <v>67</v>
      </c>
      <c r="E8751" s="10" t="s">
        <v>772</v>
      </c>
      <c r="F8751" s="9" t="s">
        <v>2284</v>
      </c>
      <c r="G8751" s="10" t="s">
        <v>86</v>
      </c>
      <c r="H8751" s="9" t="s">
        <v>22</v>
      </c>
      <c r="I8751" s="9" t="s">
        <v>18660</v>
      </c>
      <c r="J8751" s="10" t="str">
        <f>HYPERLINK("https://www.boe.es/gazeta/dias/1834/09/18/pdfs/GMD-C-1834-216.pdf#page=2","Abrir facsímil")</f>
        <v>Abrir facsímil</v>
      </c>
      <c r="K8751" s="10" t="s">
        <v>24</v>
      </c>
    </row>
    <row r="8752" spans="1:11" ht="54" customHeight="1">
      <c r="A8752" s="9" t="s">
        <v>18661</v>
      </c>
      <c r="B8752" s="9" t="s">
        <v>18661</v>
      </c>
      <c r="C8752" s="9" t="s">
        <v>122</v>
      </c>
      <c r="D8752" s="9" t="s">
        <v>40</v>
      </c>
      <c r="E8752" s="10" t="s">
        <v>426</v>
      </c>
      <c r="F8752" s="9" t="s">
        <v>427</v>
      </c>
      <c r="G8752" s="10" t="s">
        <v>75</v>
      </c>
      <c r="H8752" s="9" t="s">
        <v>22</v>
      </c>
      <c r="I8752" s="9" t="s">
        <v>18662</v>
      </c>
      <c r="J8752" s="10" t="str">
        <f>HYPERLINK("https://www.boe.es/gazeta/dias/1834/10/04/pdfs/GMD-1834-232.pdf#page=4","Abrir facsímil")</f>
        <v>Abrir facsímil</v>
      </c>
      <c r="K8752" s="10" t="s">
        <v>24</v>
      </c>
    </row>
    <row r="8753" spans="1:11" ht="54" customHeight="1">
      <c r="A8753" s="9" t="s">
        <v>18663</v>
      </c>
      <c r="B8753" s="9" t="s">
        <v>18664</v>
      </c>
      <c r="C8753" s="9" t="s">
        <v>17</v>
      </c>
      <c r="D8753" s="9" t="s">
        <v>18</v>
      </c>
      <c r="E8753" s="10" t="s">
        <v>3952</v>
      </c>
      <c r="F8753" s="9" t="s">
        <v>3953</v>
      </c>
      <c r="G8753" s="10" t="s">
        <v>21</v>
      </c>
      <c r="H8753" s="9" t="s">
        <v>22</v>
      </c>
      <c r="I8753" s="9" t="s">
        <v>18665</v>
      </c>
      <c r="J8753" s="10" t="str">
        <f>HYPERLINK("https://www.boe.es/gazeta/dias/1834/02/22/pdfs/GMD-1834-24.pdf#page=3","Abrir facsímil")</f>
        <v>Abrir facsímil</v>
      </c>
      <c r="K8753" s="10" t="s">
        <v>24</v>
      </c>
    </row>
    <row r="8754" spans="1:11" ht="54" customHeight="1">
      <c r="A8754" s="9" t="s">
        <v>18666</v>
      </c>
      <c r="B8754" s="9" t="s">
        <v>18667</v>
      </c>
      <c r="C8754" s="9" t="s">
        <v>17</v>
      </c>
      <c r="D8754" s="9" t="s">
        <v>18</v>
      </c>
      <c r="E8754" s="10" t="s">
        <v>2950</v>
      </c>
      <c r="F8754" s="9" t="s">
        <v>2951</v>
      </c>
      <c r="G8754" s="10" t="s">
        <v>75</v>
      </c>
      <c r="H8754" s="9" t="s">
        <v>22</v>
      </c>
      <c r="I8754" s="9" t="s">
        <v>18668</v>
      </c>
      <c r="J8754" s="10" t="str">
        <f>HYPERLINK("https://www.boe.es/gazeta/dias/1834/05/20/pdfs/GMD-1834-89.pdf#page=4","Abrir facsímil")</f>
        <v>Abrir facsímil</v>
      </c>
      <c r="K8754" s="10" t="s">
        <v>24</v>
      </c>
    </row>
    <row r="8755" spans="1:11" ht="54" customHeight="1">
      <c r="A8755" s="9" t="s">
        <v>18669</v>
      </c>
      <c r="B8755" s="9" t="s">
        <v>18670</v>
      </c>
      <c r="C8755" s="9" t="s">
        <v>66</v>
      </c>
      <c r="D8755" s="9" t="s">
        <v>67</v>
      </c>
      <c r="E8755" s="10" t="s">
        <v>3025</v>
      </c>
      <c r="F8755" s="9" t="s">
        <v>3026</v>
      </c>
      <c r="G8755" s="10" t="s">
        <v>75</v>
      </c>
      <c r="H8755" s="9" t="s">
        <v>22</v>
      </c>
      <c r="I8755" s="9" t="s">
        <v>18671</v>
      </c>
      <c r="J8755" s="10" t="str">
        <f>HYPERLINK("https://www.boe.es/gazeta/dias/1834/05/25/pdfs/GMD-1834-94.pdf#page=4","Abrir facsímil")</f>
        <v>Abrir facsímil</v>
      </c>
      <c r="K8755" s="10" t="s">
        <v>24</v>
      </c>
    </row>
    <row r="8756" spans="1:11" ht="54" customHeight="1">
      <c r="A8756" s="9" t="s">
        <v>18672</v>
      </c>
      <c r="B8756" s="9" t="s">
        <v>18673</v>
      </c>
      <c r="C8756" s="9" t="s">
        <v>122</v>
      </c>
      <c r="D8756" s="9" t="s">
        <v>55</v>
      </c>
      <c r="E8756" s="10" t="s">
        <v>123</v>
      </c>
      <c r="F8756" s="9" t="s">
        <v>124</v>
      </c>
      <c r="G8756" s="10" t="s">
        <v>21</v>
      </c>
      <c r="H8756" s="9" t="s">
        <v>35</v>
      </c>
      <c r="I8756" s="9" t="s">
        <v>18674</v>
      </c>
      <c r="J8756" s="10" t="str">
        <f>HYPERLINK("https://www.boe.es/gazeta/dias/1834/07/11/pdfs/GMD-1834-144.pdf#page=3","Abrir facsímil")</f>
        <v>Abrir facsímil</v>
      </c>
      <c r="K8756" s="10" t="s">
        <v>37</v>
      </c>
    </row>
    <row r="8757" spans="1:11" ht="54" customHeight="1">
      <c r="A8757" s="9" t="s">
        <v>18675</v>
      </c>
      <c r="B8757" s="9" t="s">
        <v>18676</v>
      </c>
      <c r="C8757" s="9" t="s">
        <v>122</v>
      </c>
      <c r="D8757" s="9" t="s">
        <v>55</v>
      </c>
      <c r="E8757" s="10" t="s">
        <v>123</v>
      </c>
      <c r="F8757" s="9" t="s">
        <v>124</v>
      </c>
      <c r="G8757" s="10" t="s">
        <v>21</v>
      </c>
      <c r="H8757" s="9" t="s">
        <v>22</v>
      </c>
      <c r="I8757" s="9" t="s">
        <v>18677</v>
      </c>
      <c r="J8757" s="10" t="str">
        <f>HYPERLINK("https://www.boe.es/gazeta/dias/1834/07/11/pdfs/GMD-1834-144.pdf#page=3","Abrir facsímil")</f>
        <v>Abrir facsímil</v>
      </c>
      <c r="K8757" s="10" t="s">
        <v>24</v>
      </c>
    </row>
    <row r="8758" spans="1:11" ht="54" customHeight="1">
      <c r="A8758" s="9" t="s">
        <v>18678</v>
      </c>
      <c r="B8758" s="9" t="s">
        <v>18679</v>
      </c>
      <c r="C8758" s="9" t="s">
        <v>66</v>
      </c>
      <c r="D8758" s="9" t="s">
        <v>67</v>
      </c>
      <c r="E8758" s="10" t="s">
        <v>702</v>
      </c>
      <c r="F8758" s="9" t="s">
        <v>2427</v>
      </c>
      <c r="G8758" s="10" t="s">
        <v>86</v>
      </c>
      <c r="H8758" s="9" t="s">
        <v>22</v>
      </c>
      <c r="I8758" s="9" t="s">
        <v>18680</v>
      </c>
      <c r="J8758" s="10" t="str">
        <f>HYPERLINK("https://www.boe.es/gazeta/dias/1834/11/22/pdfs/GMD-1834-281.pdf#page=2","Abrir facsímil")</f>
        <v>Abrir facsímil</v>
      </c>
      <c r="K8758" s="10" t="s">
        <v>24</v>
      </c>
    </row>
    <row r="8759" spans="1:11" ht="54" customHeight="1">
      <c r="A8759" s="9" t="s">
        <v>18681</v>
      </c>
      <c r="B8759" s="9" t="s">
        <v>18682</v>
      </c>
      <c r="C8759" s="9" t="s">
        <v>46</v>
      </c>
      <c r="D8759" s="9" t="s">
        <v>101</v>
      </c>
      <c r="E8759" s="10" t="s">
        <v>468</v>
      </c>
      <c r="F8759" s="9" t="s">
        <v>469</v>
      </c>
      <c r="G8759" s="10" t="s">
        <v>1343</v>
      </c>
      <c r="H8759" s="9" t="s">
        <v>22</v>
      </c>
      <c r="I8759" s="9" t="s">
        <v>18683</v>
      </c>
      <c r="J8759" s="10" t="str">
        <f>HYPERLINK("https://www.boe.es/gazeta/dias/1834/12/28/pdfs/GMD-C-1834-318.pdf#page=9","Abrir facsímil")</f>
        <v>Abrir facsímil</v>
      </c>
      <c r="K8759" s="10" t="s">
        <v>24</v>
      </c>
    </row>
    <row r="8760" spans="1:11" ht="54" customHeight="1">
      <c r="A8760" s="9" t="s">
        <v>18684</v>
      </c>
      <c r="B8760" s="9" t="s">
        <v>18685</v>
      </c>
      <c r="C8760" s="9" t="s">
        <v>17</v>
      </c>
      <c r="D8760" s="9" t="s">
        <v>18</v>
      </c>
      <c r="E8760" s="10" t="s">
        <v>739</v>
      </c>
      <c r="F8760" s="9" t="s">
        <v>740</v>
      </c>
      <c r="G8760" s="10" t="s">
        <v>75</v>
      </c>
      <c r="H8760" s="9" t="s">
        <v>22</v>
      </c>
      <c r="I8760" s="9" t="s">
        <v>18686</v>
      </c>
      <c r="J8760" s="10" t="str">
        <f>HYPERLINK("https://www.boe.es/gazeta/dias/1834/03/25/pdfs/GMD-1834-37.pdf#page=4","Abrir facsímil")</f>
        <v>Abrir facsímil</v>
      </c>
      <c r="K8760" s="10" t="s">
        <v>24</v>
      </c>
    </row>
    <row r="8761" spans="1:11" ht="54" customHeight="1">
      <c r="A8761" s="9" t="s">
        <v>18687</v>
      </c>
      <c r="B8761" s="9" t="s">
        <v>18687</v>
      </c>
      <c r="C8761" s="9" t="s">
        <v>17</v>
      </c>
      <c r="D8761" s="9" t="s">
        <v>18</v>
      </c>
      <c r="E8761" s="10" t="s">
        <v>5904</v>
      </c>
      <c r="F8761" s="9" t="s">
        <v>5905</v>
      </c>
      <c r="G8761" s="10" t="s">
        <v>21</v>
      </c>
      <c r="H8761" s="9" t="s">
        <v>22</v>
      </c>
      <c r="I8761" s="9" t="s">
        <v>18688</v>
      </c>
      <c r="J8761" s="10" t="str">
        <f>HYPERLINK("https://www.boe.es/gazeta/dias/1834/09/29/pdfs/GMD-1834-227.pdf#page=3","Abrir facsímil")</f>
        <v>Abrir facsímil</v>
      </c>
      <c r="K8761" s="10" t="s">
        <v>24</v>
      </c>
    </row>
    <row r="8762" spans="1:11" ht="54" customHeight="1">
      <c r="A8762" s="9" t="s">
        <v>18689</v>
      </c>
      <c r="B8762" s="9" t="s">
        <v>18689</v>
      </c>
      <c r="C8762" s="9" t="s">
        <v>17</v>
      </c>
      <c r="D8762" s="9" t="s">
        <v>18</v>
      </c>
      <c r="E8762" s="10" t="s">
        <v>860</v>
      </c>
      <c r="F8762" s="9" t="s">
        <v>1755</v>
      </c>
      <c r="G8762" s="10" t="s">
        <v>34</v>
      </c>
      <c r="H8762" s="9" t="s">
        <v>22</v>
      </c>
      <c r="I8762" s="9" t="s">
        <v>18690</v>
      </c>
      <c r="J8762" s="10" t="str">
        <f>HYPERLINK("https://www.boe.es/gazeta/dias/1834/02/08/pdfs/GMD-C-1834-18.pdf#page=1","Abrir facsímil")</f>
        <v>Abrir facsímil</v>
      </c>
      <c r="K8762" s="10" t="s">
        <v>24</v>
      </c>
    </row>
    <row r="8763" spans="1:11" ht="54" customHeight="1">
      <c r="A8763" s="9" t="s">
        <v>18689</v>
      </c>
      <c r="B8763" s="9" t="s">
        <v>18689</v>
      </c>
      <c r="C8763" s="9" t="s">
        <v>17</v>
      </c>
      <c r="D8763" s="9" t="s">
        <v>18</v>
      </c>
      <c r="E8763" s="10" t="s">
        <v>2287</v>
      </c>
      <c r="F8763" s="9" t="s">
        <v>2288</v>
      </c>
      <c r="G8763" s="10" t="s">
        <v>34</v>
      </c>
      <c r="H8763" s="9" t="s">
        <v>22</v>
      </c>
      <c r="I8763" s="9" t="s">
        <v>18691</v>
      </c>
      <c r="J8763" s="10" t="str">
        <f>HYPERLINK("https://www.boe.es/gazeta/dias/1834/12/18/pdfs/GMD-C-1834-308.pdf#page=1","Abrir facsímil")</f>
        <v>Abrir facsímil</v>
      </c>
      <c r="K8763" s="10" t="s">
        <v>24</v>
      </c>
    </row>
    <row r="8764" spans="1:11" ht="54" customHeight="1">
      <c r="A8764" s="9" t="s">
        <v>18689</v>
      </c>
      <c r="B8764" s="9" t="s">
        <v>18689</v>
      </c>
      <c r="C8764" s="9" t="s">
        <v>90</v>
      </c>
      <c r="D8764" s="9" t="s">
        <v>18</v>
      </c>
      <c r="E8764" s="10" t="s">
        <v>378</v>
      </c>
      <c r="F8764" s="9" t="s">
        <v>379</v>
      </c>
      <c r="G8764" s="10" t="s">
        <v>21</v>
      </c>
      <c r="H8764" s="9" t="s">
        <v>22</v>
      </c>
      <c r="I8764" s="9" t="s">
        <v>18692</v>
      </c>
      <c r="J8764" s="10" t="str">
        <f>HYPERLINK("https://www.boe.es/gazeta/dias/1834/09/24/pdfs/GMD-1834-222.pdf#page=3","Abrir facsímil")</f>
        <v>Abrir facsímil</v>
      </c>
      <c r="K8764" s="10" t="s">
        <v>24</v>
      </c>
    </row>
    <row r="8765" spans="1:11" ht="54" customHeight="1">
      <c r="A8765" s="9" t="s">
        <v>18689</v>
      </c>
      <c r="B8765" s="9" t="s">
        <v>18689</v>
      </c>
      <c r="C8765" s="9" t="s">
        <v>17</v>
      </c>
      <c r="D8765" s="9" t="s">
        <v>18</v>
      </c>
      <c r="E8765" s="10" t="s">
        <v>3083</v>
      </c>
      <c r="F8765" s="9" t="s">
        <v>3084</v>
      </c>
      <c r="G8765" s="10" t="s">
        <v>21</v>
      </c>
      <c r="H8765" s="9" t="s">
        <v>22</v>
      </c>
      <c r="I8765" s="9" t="s">
        <v>18693</v>
      </c>
      <c r="J8765" s="10" t="str">
        <f>HYPERLINK("https://www.boe.es/gazeta/dias/1834/10/30/pdfs/GMD-1834-258.pdf#page=3","Abrir facsímil")</f>
        <v>Abrir facsímil</v>
      </c>
      <c r="K8765" s="10" t="s">
        <v>24</v>
      </c>
    </row>
    <row r="8766" spans="1:11" ht="54" customHeight="1">
      <c r="A8766" s="9" t="s">
        <v>18694</v>
      </c>
      <c r="B8766" s="9" t="s">
        <v>18694</v>
      </c>
      <c r="C8766" s="9" t="s">
        <v>17</v>
      </c>
      <c r="D8766" s="9" t="s">
        <v>40</v>
      </c>
      <c r="E8766" s="10" t="s">
        <v>729</v>
      </c>
      <c r="F8766" s="9" t="s">
        <v>730</v>
      </c>
      <c r="G8766" s="10" t="s">
        <v>75</v>
      </c>
      <c r="H8766" s="9" t="s">
        <v>22</v>
      </c>
      <c r="I8766" s="9" t="s">
        <v>18695</v>
      </c>
      <c r="J8766" s="10" t="str">
        <f>HYPERLINK("https://www.boe.es/gazeta/dias/1834/04/13/pdfs/GMD-1834-52.pdf#page=4","Abrir facsímil")</f>
        <v>Abrir facsímil</v>
      </c>
      <c r="K8766" s="10" t="s">
        <v>24</v>
      </c>
    </row>
    <row r="8767" spans="1:11" ht="54" customHeight="1">
      <c r="A8767" s="9" t="s">
        <v>18696</v>
      </c>
      <c r="B8767" s="9" t="s">
        <v>18697</v>
      </c>
      <c r="C8767" s="9" t="s">
        <v>17</v>
      </c>
      <c r="D8767" s="9" t="s">
        <v>55</v>
      </c>
      <c r="E8767" s="10" t="s">
        <v>563</v>
      </c>
      <c r="F8767" s="9" t="s">
        <v>5858</v>
      </c>
      <c r="G8767" s="10" t="s">
        <v>34</v>
      </c>
      <c r="H8767" s="9" t="s">
        <v>22</v>
      </c>
      <c r="I8767" s="9" t="s">
        <v>18698</v>
      </c>
      <c r="J8767" s="10" t="str">
        <f>HYPERLINK("https://www.boe.es/gazeta/dias/1834/04/19/pdfs/GMD-C-1834-58.pdf#page=1","Abrir facsímil")</f>
        <v>Abrir facsímil</v>
      </c>
      <c r="K8767" s="10" t="s">
        <v>24</v>
      </c>
    </row>
    <row r="8768" spans="1:11" ht="54" customHeight="1">
      <c r="A8768" s="9" t="s">
        <v>18696</v>
      </c>
      <c r="B8768" s="9" t="s">
        <v>18697</v>
      </c>
      <c r="C8768" s="9" t="s">
        <v>17</v>
      </c>
      <c r="D8768" s="9" t="s">
        <v>18</v>
      </c>
      <c r="E8768" s="10" t="s">
        <v>563</v>
      </c>
      <c r="F8768" s="9" t="s">
        <v>5858</v>
      </c>
      <c r="G8768" s="10" t="s">
        <v>86</v>
      </c>
      <c r="H8768" s="9" t="s">
        <v>22</v>
      </c>
      <c r="I8768" s="9" t="s">
        <v>18699</v>
      </c>
      <c r="J8768" s="10" t="str">
        <f>HYPERLINK("https://www.boe.es/gazeta/dias/1834/04/19/pdfs/GMD-C-1834-58.pdf#page=2","Abrir facsímil")</f>
        <v>Abrir facsímil</v>
      </c>
      <c r="K8768" s="10" t="s">
        <v>24</v>
      </c>
    </row>
    <row r="8769" spans="1:11" ht="54" customHeight="1">
      <c r="A8769" s="9" t="s">
        <v>18700</v>
      </c>
      <c r="B8769" s="9" t="s">
        <v>18700</v>
      </c>
      <c r="C8769" s="9" t="s">
        <v>17</v>
      </c>
      <c r="D8769" s="9" t="s">
        <v>40</v>
      </c>
      <c r="E8769" s="10" t="s">
        <v>2729</v>
      </c>
      <c r="F8769" s="9" t="s">
        <v>2730</v>
      </c>
      <c r="G8769" s="10" t="s">
        <v>75</v>
      </c>
      <c r="H8769" s="9" t="s">
        <v>22</v>
      </c>
      <c r="I8769" s="9" t="s">
        <v>18701</v>
      </c>
      <c r="J8769" s="10" t="str">
        <f>HYPERLINK("https://www.boe.es/gazeta/dias/1834/07/02/pdfs/GMD-1834-135.pdf#page=4","Abrir facsímil")</f>
        <v>Abrir facsímil</v>
      </c>
      <c r="K8769" s="10" t="s">
        <v>24</v>
      </c>
    </row>
    <row r="8770" spans="1:11" ht="54" customHeight="1">
      <c r="A8770" s="9" t="s">
        <v>18700</v>
      </c>
      <c r="B8770" s="9" t="s">
        <v>18700</v>
      </c>
      <c r="C8770" s="9" t="s">
        <v>17</v>
      </c>
      <c r="D8770" s="9" t="s">
        <v>40</v>
      </c>
      <c r="E8770" s="10" t="s">
        <v>1597</v>
      </c>
      <c r="F8770" s="9" t="s">
        <v>1598</v>
      </c>
      <c r="G8770" s="10" t="s">
        <v>75</v>
      </c>
      <c r="H8770" s="9" t="s">
        <v>22</v>
      </c>
      <c r="I8770" s="9" t="s">
        <v>18702</v>
      </c>
      <c r="J8770" s="10" t="str">
        <f>HYPERLINK("https://www.boe.es/gazeta/dias/1834/10/03/pdfs/GMD-1834-231.pdf#page=4","Abrir facsímil")</f>
        <v>Abrir facsímil</v>
      </c>
      <c r="K8770" s="10" t="s">
        <v>24</v>
      </c>
    </row>
    <row r="8771" spans="1:11" ht="54" customHeight="1">
      <c r="A8771" s="9" t="s">
        <v>18700</v>
      </c>
      <c r="B8771" s="9" t="s">
        <v>18700</v>
      </c>
      <c r="C8771" s="9" t="s">
        <v>17</v>
      </c>
      <c r="D8771" s="9" t="s">
        <v>18</v>
      </c>
      <c r="E8771" s="10" t="s">
        <v>571</v>
      </c>
      <c r="F8771" s="9" t="s">
        <v>572</v>
      </c>
      <c r="G8771" s="10" t="s">
        <v>75</v>
      </c>
      <c r="H8771" s="9" t="s">
        <v>22</v>
      </c>
      <c r="I8771" s="9" t="s">
        <v>18703</v>
      </c>
      <c r="J8771" s="10" t="str">
        <f>HYPERLINK("https://www.boe.es/gazeta/dias/1834/09/04/pdfs/GMD-1834-202.pdf#page=4","Abrir facsímil")</f>
        <v>Abrir facsímil</v>
      </c>
      <c r="K8771" s="10" t="s">
        <v>24</v>
      </c>
    </row>
    <row r="8772" spans="1:11" ht="54" customHeight="1">
      <c r="A8772" s="9" t="s">
        <v>18700</v>
      </c>
      <c r="B8772" s="9" t="s">
        <v>18700</v>
      </c>
      <c r="C8772" s="9" t="s">
        <v>17</v>
      </c>
      <c r="D8772" s="9" t="s">
        <v>18</v>
      </c>
      <c r="E8772" s="10" t="s">
        <v>243</v>
      </c>
      <c r="F8772" s="9" t="s">
        <v>1109</v>
      </c>
      <c r="G8772" s="10" t="s">
        <v>75</v>
      </c>
      <c r="H8772" s="9" t="s">
        <v>22</v>
      </c>
      <c r="I8772" s="9" t="s">
        <v>18704</v>
      </c>
      <c r="J8772" s="10" t="str">
        <f>HYPERLINK("https://www.boe.es/gazeta/dias/1834/08/05/pdfs/GMD-1834-169.pdf#page=4","Abrir facsímil")</f>
        <v>Abrir facsímil</v>
      </c>
      <c r="K8772" s="10" t="s">
        <v>24</v>
      </c>
    </row>
    <row r="8773" spans="1:11" ht="54" customHeight="1">
      <c r="A8773" s="9" t="s">
        <v>18700</v>
      </c>
      <c r="B8773" s="9" t="s">
        <v>18700</v>
      </c>
      <c r="C8773" s="9" t="s">
        <v>90</v>
      </c>
      <c r="D8773" s="9" t="s">
        <v>18</v>
      </c>
      <c r="E8773" s="10" t="s">
        <v>696</v>
      </c>
      <c r="F8773" s="9" t="s">
        <v>854</v>
      </c>
      <c r="G8773" s="10" t="s">
        <v>75</v>
      </c>
      <c r="H8773" s="9" t="s">
        <v>22</v>
      </c>
      <c r="I8773" s="9" t="s">
        <v>18705</v>
      </c>
      <c r="J8773" s="10" t="str">
        <f>HYPERLINK("https://www.boe.es/gazeta/dias/1834/12/06/pdfs/GMD-1834-295.pdf#page=4","Abrir facsímil")</f>
        <v>Abrir facsímil</v>
      </c>
      <c r="K8773" s="10" t="s">
        <v>24</v>
      </c>
    </row>
    <row r="8774" spans="1:11" ht="54" customHeight="1">
      <c r="A8774" s="9" t="s">
        <v>18700</v>
      </c>
      <c r="B8774" s="9" t="s">
        <v>18700</v>
      </c>
      <c r="C8774" s="9" t="s">
        <v>66</v>
      </c>
      <c r="D8774" s="9" t="s">
        <v>67</v>
      </c>
      <c r="E8774" s="10" t="s">
        <v>3170</v>
      </c>
      <c r="F8774" s="9" t="s">
        <v>3171</v>
      </c>
      <c r="G8774" s="10" t="s">
        <v>75</v>
      </c>
      <c r="H8774" s="9" t="s">
        <v>22</v>
      </c>
      <c r="I8774" s="9" t="s">
        <v>18706</v>
      </c>
      <c r="J8774" s="10" t="str">
        <f>HYPERLINK("https://www.boe.es/gazeta/dias/1834/12/07/pdfs/GMD-1834-296.pdf#page=4","Abrir facsímil")</f>
        <v>Abrir facsímil</v>
      </c>
      <c r="K8774" s="10" t="s">
        <v>24</v>
      </c>
    </row>
    <row r="8775" spans="1:11" ht="54" customHeight="1">
      <c r="A8775" s="9" t="s">
        <v>18700</v>
      </c>
      <c r="B8775" s="9" t="s">
        <v>18700</v>
      </c>
      <c r="C8775" s="9" t="s">
        <v>17</v>
      </c>
      <c r="D8775" s="9" t="s">
        <v>40</v>
      </c>
      <c r="E8775" s="10" t="s">
        <v>2241</v>
      </c>
      <c r="F8775" s="9" t="s">
        <v>2242</v>
      </c>
      <c r="G8775" s="10" t="s">
        <v>75</v>
      </c>
      <c r="H8775" s="9" t="s">
        <v>22</v>
      </c>
      <c r="I8775" s="9" t="s">
        <v>18707</v>
      </c>
      <c r="J8775" s="10" t="str">
        <f>HYPERLINK("https://www.boe.es/gazeta/dias/1834/03/11/pdfs/GMD-1834-31.pdf#page=4","Abrir facsímil")</f>
        <v>Abrir facsímil</v>
      </c>
      <c r="K8775" s="10" t="s">
        <v>24</v>
      </c>
    </row>
    <row r="8776" spans="1:11" ht="54" customHeight="1">
      <c r="A8776" s="9" t="s">
        <v>18700</v>
      </c>
      <c r="B8776" s="9" t="s">
        <v>18700</v>
      </c>
      <c r="C8776" s="9" t="s">
        <v>66</v>
      </c>
      <c r="D8776" s="9" t="s">
        <v>67</v>
      </c>
      <c r="E8776" s="10" t="s">
        <v>1094</v>
      </c>
      <c r="F8776" s="9" t="s">
        <v>1095</v>
      </c>
      <c r="G8776" s="10" t="s">
        <v>75</v>
      </c>
      <c r="H8776" s="9" t="s">
        <v>22</v>
      </c>
      <c r="I8776" s="9" t="s">
        <v>18708</v>
      </c>
      <c r="J8776" s="10" t="str">
        <f>HYPERLINK("https://www.boe.es/gazeta/dias/1834/07/13/pdfs/GMD-1834-146.pdf#page=4","Abrir facsímil")</f>
        <v>Abrir facsímil</v>
      </c>
      <c r="K8776" s="10" t="s">
        <v>24</v>
      </c>
    </row>
    <row r="8777" spans="1:11" ht="54" customHeight="1">
      <c r="A8777" s="9" t="s">
        <v>18700</v>
      </c>
      <c r="B8777" s="9" t="s">
        <v>18700</v>
      </c>
      <c r="C8777" s="9" t="s">
        <v>17</v>
      </c>
      <c r="D8777" s="9" t="s">
        <v>18</v>
      </c>
      <c r="E8777" s="10" t="s">
        <v>3057</v>
      </c>
      <c r="F8777" s="9" t="s">
        <v>3058</v>
      </c>
      <c r="G8777" s="10" t="s">
        <v>75</v>
      </c>
      <c r="H8777" s="9" t="s">
        <v>22</v>
      </c>
      <c r="I8777" s="9" t="s">
        <v>18709</v>
      </c>
      <c r="J8777" s="10" t="str">
        <f>HYPERLINK("https://www.boe.es/gazeta/dias/1834/06/14/pdfs/GMD-1834-117.pdf#page=4","Abrir facsímil")</f>
        <v>Abrir facsímil</v>
      </c>
      <c r="K8777" s="10" t="s">
        <v>24</v>
      </c>
    </row>
    <row r="8778" spans="1:11" ht="54" customHeight="1">
      <c r="A8778" s="9" t="s">
        <v>18700</v>
      </c>
      <c r="B8778" s="9" t="s">
        <v>18700</v>
      </c>
      <c r="C8778" s="9" t="s">
        <v>17</v>
      </c>
      <c r="D8778" s="9" t="s">
        <v>18</v>
      </c>
      <c r="E8778" s="10" t="s">
        <v>4736</v>
      </c>
      <c r="F8778" s="9" t="s">
        <v>4737</v>
      </c>
      <c r="G8778" s="10" t="s">
        <v>75</v>
      </c>
      <c r="H8778" s="9" t="s">
        <v>22</v>
      </c>
      <c r="I8778" s="9" t="s">
        <v>18710</v>
      </c>
      <c r="J8778" s="10" t="str">
        <f>HYPERLINK("https://www.boe.es/gazeta/dias/1834/09/16/pdfs/GMD-1834-214.pdf#page=4","Abrir facsímil")</f>
        <v>Abrir facsímil</v>
      </c>
      <c r="K8778" s="10" t="s">
        <v>24</v>
      </c>
    </row>
    <row r="8779" spans="1:11" ht="54" customHeight="1">
      <c r="A8779" s="9" t="s">
        <v>18700</v>
      </c>
      <c r="B8779" s="9" t="s">
        <v>18700</v>
      </c>
      <c r="C8779" s="9" t="s">
        <v>17</v>
      </c>
      <c r="D8779" s="9" t="s">
        <v>18</v>
      </c>
      <c r="E8779" s="10" t="s">
        <v>454</v>
      </c>
      <c r="F8779" s="9" t="s">
        <v>2009</v>
      </c>
      <c r="G8779" s="10" t="s">
        <v>75</v>
      </c>
      <c r="H8779" s="9" t="s">
        <v>22</v>
      </c>
      <c r="I8779" s="9" t="s">
        <v>18711</v>
      </c>
      <c r="J8779" s="10" t="str">
        <f>HYPERLINK("https://www.boe.es/gazeta/dias/1834/10/16/pdfs/GMD-1834-244.pdf#page=4","Abrir facsímil")</f>
        <v>Abrir facsímil</v>
      </c>
      <c r="K8779" s="10" t="s">
        <v>24</v>
      </c>
    </row>
    <row r="8780" spans="1:11" ht="54" customHeight="1">
      <c r="A8780" s="9" t="s">
        <v>18700</v>
      </c>
      <c r="B8780" s="9" t="s">
        <v>18700</v>
      </c>
      <c r="C8780" s="9" t="s">
        <v>17</v>
      </c>
      <c r="D8780" s="9" t="s">
        <v>18</v>
      </c>
      <c r="E8780" s="10" t="s">
        <v>138</v>
      </c>
      <c r="F8780" s="9" t="s">
        <v>139</v>
      </c>
      <c r="G8780" s="10" t="s">
        <v>75</v>
      </c>
      <c r="H8780" s="9" t="s">
        <v>22</v>
      </c>
      <c r="I8780" s="9" t="s">
        <v>18712</v>
      </c>
      <c r="J8780" s="10" t="str">
        <f>HYPERLINK("https://www.boe.es/gazeta/dias/1834/05/17/pdfs/GMD-1834-86.pdf#page=4","Abrir facsímil")</f>
        <v>Abrir facsímil</v>
      </c>
      <c r="K8780" s="10" t="s">
        <v>24</v>
      </c>
    </row>
    <row r="8781" spans="1:11" ht="54" customHeight="1">
      <c r="A8781" s="9" t="s">
        <v>18700</v>
      </c>
      <c r="B8781" s="9" t="s">
        <v>18700</v>
      </c>
      <c r="C8781" s="9" t="s">
        <v>17</v>
      </c>
      <c r="D8781" s="9" t="s">
        <v>40</v>
      </c>
      <c r="E8781" s="10" t="s">
        <v>615</v>
      </c>
      <c r="F8781" s="9" t="s">
        <v>616</v>
      </c>
      <c r="G8781" s="10" t="s">
        <v>75</v>
      </c>
      <c r="H8781" s="9" t="s">
        <v>22</v>
      </c>
      <c r="I8781" s="9" t="s">
        <v>18713</v>
      </c>
      <c r="J8781" s="10" t="str">
        <f>HYPERLINK("https://www.boe.es/gazeta/dias/1834/08/19/pdfs/GMD-1834-185.pdf#page=4","Abrir facsímil")</f>
        <v>Abrir facsímil</v>
      </c>
      <c r="K8781" s="10" t="s">
        <v>24</v>
      </c>
    </row>
    <row r="8782" spans="1:11" ht="54" customHeight="1">
      <c r="A8782" s="9" t="s">
        <v>18700</v>
      </c>
      <c r="B8782" s="9" t="s">
        <v>18700</v>
      </c>
      <c r="C8782" s="9" t="s">
        <v>17</v>
      </c>
      <c r="D8782" s="9" t="s">
        <v>18</v>
      </c>
      <c r="E8782" s="10" t="s">
        <v>26</v>
      </c>
      <c r="F8782" s="9" t="s">
        <v>818</v>
      </c>
      <c r="G8782" s="10" t="s">
        <v>75</v>
      </c>
      <c r="H8782" s="9" t="s">
        <v>22</v>
      </c>
      <c r="I8782" s="9" t="s">
        <v>18714</v>
      </c>
      <c r="J8782" s="10" t="str">
        <f>HYPERLINK("https://www.boe.es/gazeta/dias/1834/10/19/pdfs/GMD-1834-247.pdf#page=4","Abrir facsímil")</f>
        <v>Abrir facsímil</v>
      </c>
      <c r="K8782" s="10" t="s">
        <v>24</v>
      </c>
    </row>
    <row r="8783" spans="1:11" ht="54" customHeight="1">
      <c r="A8783" s="9" t="s">
        <v>18700</v>
      </c>
      <c r="B8783" s="9" t="s">
        <v>18700</v>
      </c>
      <c r="C8783" s="9" t="s">
        <v>17</v>
      </c>
      <c r="D8783" s="9" t="s">
        <v>18</v>
      </c>
      <c r="E8783" s="10" t="s">
        <v>647</v>
      </c>
      <c r="F8783" s="9" t="s">
        <v>2176</v>
      </c>
      <c r="G8783" s="10" t="s">
        <v>75</v>
      </c>
      <c r="H8783" s="9" t="s">
        <v>22</v>
      </c>
      <c r="I8783" s="9" t="s">
        <v>18715</v>
      </c>
      <c r="J8783" s="10" t="str">
        <f>HYPERLINK("https://www.boe.es/gazeta/dias/1834/10/21/pdfs/GMD-1834-249.pdf#page=4","Abrir facsímil")</f>
        <v>Abrir facsímil</v>
      </c>
      <c r="K8783" s="10" t="s">
        <v>24</v>
      </c>
    </row>
    <row r="8784" spans="1:11" ht="54" customHeight="1">
      <c r="A8784" s="9" t="s">
        <v>18700</v>
      </c>
      <c r="B8784" s="9" t="s">
        <v>18700</v>
      </c>
      <c r="C8784" s="9" t="s">
        <v>17</v>
      </c>
      <c r="D8784" s="9" t="s">
        <v>18</v>
      </c>
      <c r="E8784" s="10" t="s">
        <v>1135</v>
      </c>
      <c r="F8784" s="9" t="s">
        <v>1136</v>
      </c>
      <c r="G8784" s="10" t="s">
        <v>75</v>
      </c>
      <c r="H8784" s="9" t="s">
        <v>22</v>
      </c>
      <c r="I8784" s="9" t="s">
        <v>18716</v>
      </c>
      <c r="J8784" s="10" t="str">
        <f>HYPERLINK("https://www.boe.es/gazeta/dias/1834/08/26/pdfs/GMD-1834-192.pdf#page=4","Abrir facsímil")</f>
        <v>Abrir facsímil</v>
      </c>
      <c r="K8784" s="10" t="s">
        <v>24</v>
      </c>
    </row>
    <row r="8785" spans="1:11" ht="54" customHeight="1">
      <c r="A8785" s="9" t="s">
        <v>18717</v>
      </c>
      <c r="B8785" s="9" t="s">
        <v>18718</v>
      </c>
      <c r="C8785" s="9" t="s">
        <v>122</v>
      </c>
      <c r="D8785" s="9" t="s">
        <v>40</v>
      </c>
      <c r="E8785" s="10" t="s">
        <v>11991</v>
      </c>
      <c r="F8785" s="9" t="s">
        <v>17012</v>
      </c>
      <c r="G8785" s="10" t="s">
        <v>75</v>
      </c>
      <c r="H8785" s="9" t="s">
        <v>22</v>
      </c>
      <c r="I8785" s="9" t="s">
        <v>18719</v>
      </c>
      <c r="J8785" s="10" t="str">
        <f>HYPERLINK("https://www.boe.es/gazeta/dias/1834/12/05/pdfs/GMD-1834-294.pdf#page=4","Abrir facsímil")</f>
        <v>Abrir facsímil</v>
      </c>
      <c r="K8785" s="10" t="s">
        <v>24</v>
      </c>
    </row>
    <row r="8786" spans="1:11" ht="54" customHeight="1">
      <c r="A8786" s="9" t="s">
        <v>18720</v>
      </c>
      <c r="B8786" s="9" t="s">
        <v>18721</v>
      </c>
      <c r="C8786" s="9" t="s">
        <v>17</v>
      </c>
      <c r="D8786" s="9" t="s">
        <v>18</v>
      </c>
      <c r="E8786" s="10" t="s">
        <v>73</v>
      </c>
      <c r="F8786" s="9" t="s">
        <v>74</v>
      </c>
      <c r="G8786" s="10" t="s">
        <v>75</v>
      </c>
      <c r="H8786" s="9" t="s">
        <v>22</v>
      </c>
      <c r="I8786" s="9" t="s">
        <v>18722</v>
      </c>
      <c r="J8786" s="10" t="str">
        <f>HYPERLINK("https://www.boe.es/gazeta/dias/1834/11/04/pdfs/GMD-1834-263.pdf#page=4","Abrir facsímil")</f>
        <v>Abrir facsímil</v>
      </c>
      <c r="K8786" s="10" t="s">
        <v>24</v>
      </c>
    </row>
    <row r="8787" spans="1:11" ht="54" customHeight="1">
      <c r="A8787" s="9" t="s">
        <v>18723</v>
      </c>
      <c r="B8787" s="9" t="s">
        <v>18723</v>
      </c>
      <c r="C8787" s="9" t="s">
        <v>17</v>
      </c>
      <c r="D8787" s="9" t="s">
        <v>40</v>
      </c>
      <c r="E8787" s="10" t="s">
        <v>715</v>
      </c>
      <c r="F8787" s="9" t="s">
        <v>7773</v>
      </c>
      <c r="G8787" s="10" t="s">
        <v>75</v>
      </c>
      <c r="H8787" s="9" t="s">
        <v>22</v>
      </c>
      <c r="I8787" s="9" t="s">
        <v>18724</v>
      </c>
      <c r="J8787" s="10" t="str">
        <f>HYPERLINK("https://www.boe.es/gazeta/dias/1834/09/17/pdfs/GMD-1834-215.pdf#page=4","Abrir facsímil")</f>
        <v>Abrir facsímil</v>
      </c>
      <c r="K8787" s="10" t="s">
        <v>24</v>
      </c>
    </row>
    <row r="8788" spans="1:11" ht="54" customHeight="1">
      <c r="A8788" s="9" t="s">
        <v>18725</v>
      </c>
      <c r="B8788" s="9" t="s">
        <v>18726</v>
      </c>
      <c r="C8788" s="9" t="s">
        <v>90</v>
      </c>
      <c r="D8788" s="9" t="s">
        <v>18</v>
      </c>
      <c r="E8788" s="10" t="s">
        <v>4064</v>
      </c>
      <c r="F8788" s="9" t="s">
        <v>4065</v>
      </c>
      <c r="G8788" s="10" t="s">
        <v>21</v>
      </c>
      <c r="H8788" s="9" t="s">
        <v>22</v>
      </c>
      <c r="I8788" s="9" t="s">
        <v>18727</v>
      </c>
      <c r="J8788" s="10" t="str">
        <f>HYPERLINK("https://www.boe.es/gazeta/dias/1834/07/22/pdfs/GMD-1834-155.pdf#page=3","Abrir facsímil")</f>
        <v>Abrir facsímil</v>
      </c>
      <c r="K8788" s="10" t="s">
        <v>24</v>
      </c>
    </row>
    <row r="8789" spans="1:11" ht="54" customHeight="1">
      <c r="A8789" s="9" t="s">
        <v>18728</v>
      </c>
      <c r="B8789" s="9" t="s">
        <v>18729</v>
      </c>
      <c r="C8789" s="9" t="s">
        <v>46</v>
      </c>
      <c r="D8789" s="9" t="s">
        <v>101</v>
      </c>
      <c r="E8789" s="10" t="s">
        <v>2729</v>
      </c>
      <c r="F8789" s="9" t="s">
        <v>2730</v>
      </c>
      <c r="G8789" s="10" t="s">
        <v>34</v>
      </c>
      <c r="H8789" s="9" t="s">
        <v>35</v>
      </c>
      <c r="I8789" s="9" t="s">
        <v>18730</v>
      </c>
      <c r="J8789" s="10" t="str">
        <f>HYPERLINK("https://www.boe.es/gazeta/dias/1834/07/02/pdfs/GMD-1834-135.pdf#page=1","Abrir facsímil")</f>
        <v>Abrir facsímil</v>
      </c>
      <c r="K8789" s="10" t="s">
        <v>37</v>
      </c>
    </row>
    <row r="8790" spans="1:11" ht="54" customHeight="1">
      <c r="A8790" s="9" t="s">
        <v>18731</v>
      </c>
      <c r="B8790" s="9" t="s">
        <v>18732</v>
      </c>
      <c r="C8790" s="9" t="s">
        <v>90</v>
      </c>
      <c r="D8790" s="9" t="s">
        <v>55</v>
      </c>
      <c r="E8790" s="10" t="s">
        <v>899</v>
      </c>
      <c r="F8790" s="9" t="s">
        <v>900</v>
      </c>
      <c r="G8790" s="10" t="s">
        <v>28</v>
      </c>
      <c r="H8790" s="9" t="s">
        <v>22</v>
      </c>
      <c r="I8790" s="9" t="s">
        <v>18733</v>
      </c>
      <c r="J8790" s="10" t="str">
        <f>HYPERLINK("https://www.boe.es/gazeta/dias/1834/01/30/pdfs/GMD-1834-14.pdf#page=5","Abrir facsímil")</f>
        <v>Abrir facsímil</v>
      </c>
      <c r="K8790" s="10" t="s">
        <v>24</v>
      </c>
    </row>
    <row r="8791" spans="1:11" ht="54" customHeight="1">
      <c r="A8791" s="9" t="s">
        <v>18734</v>
      </c>
      <c r="B8791" s="9" t="s">
        <v>18734</v>
      </c>
      <c r="C8791" s="9" t="s">
        <v>17</v>
      </c>
      <c r="D8791" s="9" t="s">
        <v>18</v>
      </c>
      <c r="E8791" s="10" t="s">
        <v>1008</v>
      </c>
      <c r="F8791" s="9" t="s">
        <v>2991</v>
      </c>
      <c r="G8791" s="10" t="s">
        <v>75</v>
      </c>
      <c r="H8791" s="9" t="s">
        <v>22</v>
      </c>
      <c r="I8791" s="9" t="s">
        <v>18735</v>
      </c>
      <c r="J8791" s="10" t="str">
        <f>HYPERLINK("https://www.boe.es/gazeta/dias/1834/11/08/pdfs/GMD-1834-267.pdf#page=4","Abrir facsímil")</f>
        <v>Abrir facsímil</v>
      </c>
      <c r="K8791" s="10" t="s">
        <v>24</v>
      </c>
    </row>
    <row r="8792" spans="1:11" ht="54" customHeight="1">
      <c r="A8792" s="9" t="s">
        <v>18734</v>
      </c>
      <c r="B8792" s="9" t="s">
        <v>18734</v>
      </c>
      <c r="C8792" s="9" t="s">
        <v>17</v>
      </c>
      <c r="D8792" s="9" t="s">
        <v>40</v>
      </c>
      <c r="E8792" s="10" t="s">
        <v>524</v>
      </c>
      <c r="F8792" s="9" t="s">
        <v>4743</v>
      </c>
      <c r="G8792" s="10" t="s">
        <v>75</v>
      </c>
      <c r="H8792" s="9" t="s">
        <v>22</v>
      </c>
      <c r="I8792" s="9" t="s">
        <v>18736</v>
      </c>
      <c r="J8792" s="10" t="str">
        <f>HYPERLINK("https://www.boe.es/gazeta/dias/1834/12/25/pdfs/GMD-1834-315.pdf#page=4","Abrir facsímil")</f>
        <v>Abrir facsímil</v>
      </c>
      <c r="K8792" s="10" t="s">
        <v>24</v>
      </c>
    </row>
    <row r="8793" spans="1:11" ht="54" customHeight="1">
      <c r="A8793" s="9" t="s">
        <v>18737</v>
      </c>
      <c r="B8793" s="9" t="s">
        <v>18738</v>
      </c>
      <c r="C8793" s="9" t="s">
        <v>17</v>
      </c>
      <c r="D8793" s="9" t="s">
        <v>18</v>
      </c>
      <c r="E8793" s="10" t="s">
        <v>777</v>
      </c>
      <c r="F8793" s="9" t="s">
        <v>2535</v>
      </c>
      <c r="G8793" s="10" t="s">
        <v>86</v>
      </c>
      <c r="H8793" s="9" t="s">
        <v>22</v>
      </c>
      <c r="I8793" s="9" t="s">
        <v>18739</v>
      </c>
      <c r="J8793" s="10" t="str">
        <f>HYPERLINK("https://www.boe.es/gazeta/dias/1834/10/29/pdfs/GMD-C-1834-257.pdf#page=2","Abrir facsímil")</f>
        <v>Abrir facsímil</v>
      </c>
      <c r="K8793" s="10" t="s">
        <v>24</v>
      </c>
    </row>
    <row r="8794" spans="1:11" ht="54" customHeight="1">
      <c r="A8794" s="9" t="s">
        <v>18740</v>
      </c>
      <c r="B8794" s="9" t="s">
        <v>18741</v>
      </c>
      <c r="C8794" s="9" t="s">
        <v>17</v>
      </c>
      <c r="D8794" s="9" t="s">
        <v>18</v>
      </c>
      <c r="E8794" s="10" t="s">
        <v>3066</v>
      </c>
      <c r="F8794" s="9" t="s">
        <v>3067</v>
      </c>
      <c r="G8794" s="10" t="s">
        <v>34</v>
      </c>
      <c r="H8794" s="9" t="s">
        <v>22</v>
      </c>
      <c r="I8794" s="9" t="s">
        <v>18742</v>
      </c>
      <c r="J8794" s="10" t="str">
        <f>HYPERLINK("https://www.boe.es/gazeta/dias/1834/08/03/pdfs/GMD-C-1834-167.pdf#page=1","Abrir facsímil")</f>
        <v>Abrir facsímil</v>
      </c>
      <c r="K8794" s="10" t="s">
        <v>24</v>
      </c>
    </row>
    <row r="8795" spans="1:11" ht="54" customHeight="1">
      <c r="A8795" s="9" t="s">
        <v>18743</v>
      </c>
      <c r="B8795" s="9" t="s">
        <v>18743</v>
      </c>
      <c r="C8795" s="9" t="s">
        <v>17</v>
      </c>
      <c r="D8795" s="9" t="s">
        <v>55</v>
      </c>
      <c r="E8795" s="10" t="s">
        <v>3036</v>
      </c>
      <c r="F8795" s="9" t="s">
        <v>3372</v>
      </c>
      <c r="G8795" s="10" t="s">
        <v>21</v>
      </c>
      <c r="H8795" s="9" t="s">
        <v>22</v>
      </c>
      <c r="I8795" s="9" t="s">
        <v>18744</v>
      </c>
      <c r="J8795" s="10" t="str">
        <f>HYPERLINK("https://www.boe.es/gazeta/dias/1834/11/18/pdfs/GMD-1834-277.pdf#page=3","Abrir facsímil")</f>
        <v>Abrir facsímil</v>
      </c>
      <c r="K8795" s="10" t="s">
        <v>24</v>
      </c>
    </row>
    <row r="8796" spans="1:11" ht="54" customHeight="1">
      <c r="A8796" s="9" t="s">
        <v>18745</v>
      </c>
      <c r="B8796" s="9" t="s">
        <v>18746</v>
      </c>
      <c r="C8796" s="9" t="s">
        <v>17</v>
      </c>
      <c r="D8796" s="9" t="s">
        <v>40</v>
      </c>
      <c r="E8796" s="10" t="s">
        <v>1307</v>
      </c>
      <c r="F8796" s="9" t="s">
        <v>1308</v>
      </c>
      <c r="G8796" s="10" t="s">
        <v>75</v>
      </c>
      <c r="H8796" s="9" t="s">
        <v>35</v>
      </c>
      <c r="I8796" s="9" t="s">
        <v>18747</v>
      </c>
      <c r="J8796" s="10" t="str">
        <f>HYPERLINK("https://www.boe.es/gazeta/dias/1834/08/25/pdfs/GMD-1834-191.pdf#page=4","Abrir facsímil")</f>
        <v>Abrir facsímil</v>
      </c>
      <c r="K8796" s="10" t="s">
        <v>37</v>
      </c>
    </row>
    <row r="8797" spans="1:11" ht="54" customHeight="1">
      <c r="A8797" s="9" t="s">
        <v>18748</v>
      </c>
      <c r="B8797" s="9" t="s">
        <v>18749</v>
      </c>
      <c r="C8797" s="9" t="s">
        <v>122</v>
      </c>
      <c r="D8797" s="9" t="s">
        <v>18</v>
      </c>
      <c r="E8797" s="10" t="s">
        <v>2729</v>
      </c>
      <c r="F8797" s="9" t="s">
        <v>2730</v>
      </c>
      <c r="G8797" s="10" t="s">
        <v>34</v>
      </c>
      <c r="H8797" s="9" t="s">
        <v>22</v>
      </c>
      <c r="I8797" s="9" t="s">
        <v>18750</v>
      </c>
      <c r="J8797" s="10" t="str">
        <f>HYPERLINK("https://www.boe.es/gazeta/dias/1834/07/02/pdfs/GMD-1834-135.pdf#page=1","Abrir facsímil")</f>
        <v>Abrir facsímil</v>
      </c>
      <c r="K8797" s="10" t="s">
        <v>24</v>
      </c>
    </row>
    <row r="8798" spans="1:11" ht="54" customHeight="1">
      <c r="A8798" s="9" t="s">
        <v>18751</v>
      </c>
      <c r="B8798" s="9" t="s">
        <v>18751</v>
      </c>
      <c r="C8798" s="9" t="s">
        <v>17</v>
      </c>
      <c r="D8798" s="9" t="s">
        <v>55</v>
      </c>
      <c r="E8798" s="10" t="s">
        <v>2596</v>
      </c>
      <c r="F8798" s="9" t="s">
        <v>2597</v>
      </c>
      <c r="G8798" s="10" t="s">
        <v>86</v>
      </c>
      <c r="H8798" s="9" t="s">
        <v>22</v>
      </c>
      <c r="I8798" s="9" t="s">
        <v>18752</v>
      </c>
      <c r="J8798" s="10" t="str">
        <f>HYPERLINK("https://www.boe.es/gazeta/dias/1834/10/22/pdfs/GMD-1834-250.pdf#page=2","Abrir facsímil")</f>
        <v>Abrir facsímil</v>
      </c>
      <c r="K8798" s="10" t="s">
        <v>24</v>
      </c>
    </row>
    <row r="8799" spans="1:11" ht="54" customHeight="1">
      <c r="A8799" s="9" t="s">
        <v>18753</v>
      </c>
      <c r="B8799" s="9" t="s">
        <v>18753</v>
      </c>
      <c r="C8799" s="9" t="s">
        <v>90</v>
      </c>
      <c r="D8799" s="9" t="s">
        <v>55</v>
      </c>
      <c r="E8799" s="10" t="s">
        <v>10172</v>
      </c>
      <c r="F8799" s="9" t="s">
        <v>10173</v>
      </c>
      <c r="G8799" s="10" t="s">
        <v>86</v>
      </c>
      <c r="H8799" s="9" t="s">
        <v>22</v>
      </c>
      <c r="I8799" s="9" t="s">
        <v>18754</v>
      </c>
      <c r="J8799" s="10" t="str">
        <f>HYPERLINK("https://www.boe.es/gazeta/dias/1834/06/15/pdfs/GMD-1834-118.pdf#page=2","Abrir facsímil")</f>
        <v>Abrir facsímil</v>
      </c>
      <c r="K8799" s="10" t="s">
        <v>24</v>
      </c>
    </row>
    <row r="8800" spans="1:11" ht="54" customHeight="1">
      <c r="A8800" s="9" t="s">
        <v>18753</v>
      </c>
      <c r="B8800" s="9" t="s">
        <v>18753</v>
      </c>
      <c r="C8800" s="9" t="s">
        <v>46</v>
      </c>
      <c r="D8800" s="9" t="s">
        <v>101</v>
      </c>
      <c r="E8800" s="10" t="s">
        <v>1575</v>
      </c>
      <c r="F8800" s="9" t="s">
        <v>1576</v>
      </c>
      <c r="G8800" s="10" t="s">
        <v>86</v>
      </c>
      <c r="H8800" s="9" t="s">
        <v>22</v>
      </c>
      <c r="I8800" s="9" t="s">
        <v>18755</v>
      </c>
      <c r="J8800" s="10" t="str">
        <f>HYPERLINK("https://www.boe.es/gazeta/dias/1834/11/24/pdfs/GMD-1834-283.pdf#page=2","Abrir facsímil")</f>
        <v>Abrir facsímil</v>
      </c>
      <c r="K8800" s="10" t="s">
        <v>24</v>
      </c>
    </row>
    <row r="8801" spans="1:11" ht="54" customHeight="1">
      <c r="A8801" s="9" t="s">
        <v>18756</v>
      </c>
      <c r="B8801" s="9" t="s">
        <v>18757</v>
      </c>
      <c r="C8801" s="9" t="s">
        <v>17</v>
      </c>
      <c r="D8801" s="9" t="s">
        <v>101</v>
      </c>
      <c r="E8801" s="10" t="s">
        <v>3282</v>
      </c>
      <c r="F8801" s="9" t="s">
        <v>3283</v>
      </c>
      <c r="G8801" s="10" t="s">
        <v>75</v>
      </c>
      <c r="H8801" s="9" t="s">
        <v>22</v>
      </c>
      <c r="I8801" s="9" t="s">
        <v>18758</v>
      </c>
      <c r="J8801" s="10" t="str">
        <f>HYPERLINK("https://www.boe.es/gazeta/dias/1834/04/15/pdfs/GMD-1834-54.pdf#page=4","Abrir facsímil")</f>
        <v>Abrir facsímil</v>
      </c>
      <c r="K8801" s="10" t="s">
        <v>24</v>
      </c>
    </row>
    <row r="8802" spans="1:11" ht="54" customHeight="1">
      <c r="A8802" s="9" t="s">
        <v>18759</v>
      </c>
      <c r="B8802" s="9" t="s">
        <v>18760</v>
      </c>
      <c r="C8802" s="9" t="s">
        <v>17</v>
      </c>
      <c r="D8802" s="9" t="s">
        <v>18</v>
      </c>
      <c r="E8802" s="10" t="s">
        <v>3248</v>
      </c>
      <c r="F8802" s="9" t="s">
        <v>4798</v>
      </c>
      <c r="G8802" s="10" t="s">
        <v>176</v>
      </c>
      <c r="H8802" s="9" t="s">
        <v>22</v>
      </c>
      <c r="I8802" s="9" t="s">
        <v>18761</v>
      </c>
      <c r="J8802" s="10" t="str">
        <f>HYPERLINK("https://www.boe.es/gazeta/dias/1834/09/20/pdfs/GMD-C-1834-218.pdf#page=6","Abrir facsímil")</f>
        <v>Abrir facsímil</v>
      </c>
      <c r="K8802" s="10" t="s">
        <v>24</v>
      </c>
    </row>
    <row r="8803" spans="1:11" ht="54" customHeight="1">
      <c r="A8803" s="9" t="s">
        <v>18762</v>
      </c>
      <c r="B8803" s="9" t="s">
        <v>18763</v>
      </c>
      <c r="C8803" s="9" t="s">
        <v>46</v>
      </c>
      <c r="D8803" s="9" t="s">
        <v>55</v>
      </c>
      <c r="E8803" s="10" t="s">
        <v>1318</v>
      </c>
      <c r="F8803" s="9" t="s">
        <v>1319</v>
      </c>
      <c r="G8803" s="10" t="s">
        <v>21</v>
      </c>
      <c r="H8803" s="9" t="s">
        <v>22</v>
      </c>
      <c r="I8803" s="9" t="s">
        <v>18764</v>
      </c>
      <c r="J8803" s="10" t="str">
        <f>HYPERLINK("https://www.boe.es/gazeta/dias/1834/05/10/pdfs/GMD-1834-79.pdf#page=3","Abrir facsímil")</f>
        <v>Abrir facsímil</v>
      </c>
      <c r="K8803" s="10" t="s">
        <v>24</v>
      </c>
    </row>
    <row r="8804" spans="1:11" ht="54" customHeight="1">
      <c r="A8804" s="9" t="s">
        <v>18765</v>
      </c>
      <c r="B8804" s="9" t="s">
        <v>18766</v>
      </c>
      <c r="C8804" s="9" t="s">
        <v>46</v>
      </c>
      <c r="D8804" s="9" t="s">
        <v>55</v>
      </c>
      <c r="E8804" s="10" t="s">
        <v>1318</v>
      </c>
      <c r="F8804" s="9" t="s">
        <v>1319</v>
      </c>
      <c r="G8804" s="10" t="s">
        <v>21</v>
      </c>
      <c r="H8804" s="9" t="s">
        <v>22</v>
      </c>
      <c r="I8804" s="9" t="s">
        <v>18767</v>
      </c>
      <c r="J8804" s="10" t="str">
        <f>HYPERLINK("https://www.boe.es/gazeta/dias/1834/05/10/pdfs/GMD-1834-79.pdf#page=3","Abrir facsímil")</f>
        <v>Abrir facsímil</v>
      </c>
      <c r="K8804" s="10" t="s">
        <v>24</v>
      </c>
    </row>
    <row r="8805" spans="1:11" ht="54" customHeight="1">
      <c r="A8805" s="9" t="s">
        <v>18768</v>
      </c>
      <c r="B8805" s="9" t="s">
        <v>18768</v>
      </c>
      <c r="C8805" s="9" t="s">
        <v>66</v>
      </c>
      <c r="D8805" s="9" t="s">
        <v>18</v>
      </c>
      <c r="E8805" s="10" t="s">
        <v>444</v>
      </c>
      <c r="F8805" s="9" t="s">
        <v>2412</v>
      </c>
      <c r="G8805" s="10" t="s">
        <v>75</v>
      </c>
      <c r="H8805" s="9" t="s">
        <v>22</v>
      </c>
      <c r="I8805" s="9" t="s">
        <v>18769</v>
      </c>
      <c r="J8805" s="10" t="str">
        <f>HYPERLINK("https://www.boe.es/gazeta/dias/1834/09/12/pdfs/GMD-1834-210.pdf#page=4","Abrir facsímil")</f>
        <v>Abrir facsímil</v>
      </c>
      <c r="K8805" s="10" t="s">
        <v>24</v>
      </c>
    </row>
    <row r="8806" spans="1:11" ht="54" customHeight="1">
      <c r="A8806" s="9" t="s">
        <v>18770</v>
      </c>
      <c r="B8806" s="9" t="s">
        <v>18770</v>
      </c>
      <c r="C8806" s="9" t="s">
        <v>17</v>
      </c>
      <c r="D8806" s="9" t="s">
        <v>18</v>
      </c>
      <c r="E8806" s="10" t="s">
        <v>2260</v>
      </c>
      <c r="F8806" s="9" t="s">
        <v>2261</v>
      </c>
      <c r="G8806" s="10" t="s">
        <v>75</v>
      </c>
      <c r="H8806" s="9" t="s">
        <v>22</v>
      </c>
      <c r="I8806" s="9" t="s">
        <v>18771</v>
      </c>
      <c r="J8806" s="10" t="str">
        <f>HYPERLINK("https://www.boe.es/gazeta/dias/1834/11/13/pdfs/GMD-1834-272.pdf#page=4","Abrir facsímil")</f>
        <v>Abrir facsímil</v>
      </c>
      <c r="K8806" s="10" t="s">
        <v>24</v>
      </c>
    </row>
    <row r="8807" spans="1:11" ht="54" customHeight="1">
      <c r="A8807" s="9" t="s">
        <v>18772</v>
      </c>
      <c r="B8807" s="9" t="s">
        <v>18772</v>
      </c>
      <c r="C8807" s="9" t="s">
        <v>66</v>
      </c>
      <c r="D8807" s="9" t="s">
        <v>18</v>
      </c>
      <c r="E8807" s="10" t="s">
        <v>4637</v>
      </c>
      <c r="F8807" s="9" t="s">
        <v>4638</v>
      </c>
      <c r="G8807" s="10" t="s">
        <v>21</v>
      </c>
      <c r="H8807" s="9" t="s">
        <v>22</v>
      </c>
      <c r="I8807" s="9" t="s">
        <v>18773</v>
      </c>
      <c r="J8807" s="10" t="str">
        <f>HYPERLINK("https://www.boe.es/gazeta/dias/1834/12/08/pdfs/GMD-1834-297.pdf#page=3","Abrir facsímil")</f>
        <v>Abrir facsímil</v>
      </c>
      <c r="K8807" s="10" t="s">
        <v>24</v>
      </c>
    </row>
    <row r="8808" spans="1:11" ht="54" customHeight="1">
      <c r="A8808" s="9" t="s">
        <v>18774</v>
      </c>
      <c r="B8808" s="9" t="s">
        <v>18774</v>
      </c>
      <c r="C8808" s="9" t="s">
        <v>66</v>
      </c>
      <c r="D8808" s="9" t="s">
        <v>67</v>
      </c>
      <c r="E8808" s="10" t="s">
        <v>3810</v>
      </c>
      <c r="F8808" s="9" t="s">
        <v>3811</v>
      </c>
      <c r="G8808" s="10" t="s">
        <v>21</v>
      </c>
      <c r="H8808" s="9" t="s">
        <v>22</v>
      </c>
      <c r="I8808" s="9" t="s">
        <v>18775</v>
      </c>
      <c r="J8808" s="10" t="str">
        <f>HYPERLINK("https://www.boe.es/gazeta/dias/1834/02/20/pdfs/GMD-1834-23.pdf#page=3","Abrir facsímil")</f>
        <v>Abrir facsímil</v>
      </c>
      <c r="K8808" s="10" t="s">
        <v>24</v>
      </c>
    </row>
    <row r="8809" spans="1:11" ht="54" customHeight="1">
      <c r="A8809" s="9" t="s">
        <v>18776</v>
      </c>
      <c r="B8809" s="9" t="s">
        <v>18777</v>
      </c>
      <c r="C8809" s="9" t="s">
        <v>66</v>
      </c>
      <c r="D8809" s="9" t="s">
        <v>67</v>
      </c>
      <c r="E8809" s="10" t="s">
        <v>3810</v>
      </c>
      <c r="F8809" s="9" t="s">
        <v>3811</v>
      </c>
      <c r="G8809" s="10" t="s">
        <v>21</v>
      </c>
      <c r="H8809" s="9" t="s">
        <v>22</v>
      </c>
      <c r="I8809" s="9" t="s">
        <v>18778</v>
      </c>
      <c r="J8809" s="10" t="str">
        <f>HYPERLINK("https://www.boe.es/gazeta/dias/1834/02/20/pdfs/GMD-1834-23.pdf#page=3","Abrir facsímil")</f>
        <v>Abrir facsímil</v>
      </c>
      <c r="K8809" s="10" t="s">
        <v>24</v>
      </c>
    </row>
    <row r="8810" spans="1:11" ht="54" customHeight="1">
      <c r="A8810" s="9" t="s">
        <v>18779</v>
      </c>
      <c r="B8810" s="9" t="s">
        <v>18779</v>
      </c>
      <c r="C8810" s="9" t="s">
        <v>17</v>
      </c>
      <c r="D8810" s="9" t="s">
        <v>18</v>
      </c>
      <c r="E8810" s="10" t="s">
        <v>1575</v>
      </c>
      <c r="F8810" s="9" t="s">
        <v>1576</v>
      </c>
      <c r="G8810" s="10" t="s">
        <v>21</v>
      </c>
      <c r="H8810" s="9" t="s">
        <v>22</v>
      </c>
      <c r="I8810" s="9" t="s">
        <v>18780</v>
      </c>
      <c r="J8810" s="10" t="str">
        <f>HYPERLINK("https://www.boe.es/gazeta/dias/1834/11/24/pdfs/GMD-1834-283.pdf#page=3","Abrir facsímil")</f>
        <v>Abrir facsímil</v>
      </c>
      <c r="K8810" s="10" t="s">
        <v>24</v>
      </c>
    </row>
    <row r="8811" spans="1:11" ht="54" customHeight="1">
      <c r="A8811" s="9" t="s">
        <v>18781</v>
      </c>
      <c r="B8811" s="9" t="s">
        <v>18782</v>
      </c>
      <c r="C8811" s="9" t="s">
        <v>17</v>
      </c>
      <c r="D8811" s="9" t="s">
        <v>18</v>
      </c>
      <c r="E8811" s="10" t="s">
        <v>255</v>
      </c>
      <c r="F8811" s="9" t="s">
        <v>256</v>
      </c>
      <c r="G8811" s="10" t="s">
        <v>86</v>
      </c>
      <c r="H8811" s="9" t="s">
        <v>22</v>
      </c>
      <c r="I8811" s="9" t="s">
        <v>18783</v>
      </c>
      <c r="J8811" s="10" t="str">
        <f>HYPERLINK("https://www.boe.es/gazeta/dias/1834/09/01/pdfs/GMD-C-1834-199.pdf#page=2","Abrir facsímil")</f>
        <v>Abrir facsímil</v>
      </c>
      <c r="K8811" s="10" t="s">
        <v>24</v>
      </c>
    </row>
    <row r="8812" spans="1:11" ht="54" customHeight="1">
      <c r="A8812" s="9" t="s">
        <v>18784</v>
      </c>
      <c r="B8812" s="9" t="s">
        <v>18785</v>
      </c>
      <c r="C8812" s="9" t="s">
        <v>17</v>
      </c>
      <c r="D8812" s="9" t="s">
        <v>18</v>
      </c>
      <c r="E8812" s="10" t="s">
        <v>891</v>
      </c>
      <c r="F8812" s="9" t="s">
        <v>892</v>
      </c>
      <c r="G8812" s="10" t="s">
        <v>34</v>
      </c>
      <c r="H8812" s="9" t="s">
        <v>22</v>
      </c>
      <c r="I8812" s="9" t="s">
        <v>18786</v>
      </c>
      <c r="J8812" s="10" t="str">
        <f>HYPERLINK("https://www.boe.es/gazeta/dias/1834/10/31/pdfs/GMD-C-1834-259.pdf#page=1","Abrir facsímil")</f>
        <v>Abrir facsímil</v>
      </c>
      <c r="K8812" s="10" t="s">
        <v>24</v>
      </c>
    </row>
    <row r="8813" spans="1:11" ht="54" customHeight="1">
      <c r="A8813" s="9" t="s">
        <v>18787</v>
      </c>
      <c r="B8813" s="9" t="s">
        <v>18788</v>
      </c>
      <c r="C8813" s="9" t="s">
        <v>17</v>
      </c>
      <c r="D8813" s="9" t="s">
        <v>18</v>
      </c>
      <c r="E8813" s="10" t="s">
        <v>403</v>
      </c>
      <c r="F8813" s="9" t="s">
        <v>404</v>
      </c>
      <c r="G8813" s="10" t="s">
        <v>34</v>
      </c>
      <c r="H8813" s="9" t="s">
        <v>22</v>
      </c>
      <c r="I8813" s="9" t="s">
        <v>18789</v>
      </c>
      <c r="J8813" s="10" t="str">
        <f>HYPERLINK("https://www.boe.es/gazeta/dias/1834/09/25/pdfs/GMD-C-1834-223.pdf#page=1","Abrir facsímil")</f>
        <v>Abrir facsímil</v>
      </c>
      <c r="K8813" s="10" t="s">
        <v>24</v>
      </c>
    </row>
    <row r="8814" spans="1:11" ht="54" customHeight="1">
      <c r="A8814" s="9" t="s">
        <v>18790</v>
      </c>
      <c r="B8814" s="9" t="s">
        <v>18790</v>
      </c>
      <c r="C8814" s="9" t="s">
        <v>46</v>
      </c>
      <c r="D8814" s="9" t="s">
        <v>55</v>
      </c>
      <c r="E8814" s="10" t="s">
        <v>237</v>
      </c>
      <c r="F8814" s="9" t="s">
        <v>4609</v>
      </c>
      <c r="G8814" s="10" t="s">
        <v>34</v>
      </c>
      <c r="H8814" s="9" t="s">
        <v>22</v>
      </c>
      <c r="I8814" s="9" t="s">
        <v>18791</v>
      </c>
      <c r="J8814" s="10" t="str">
        <f>HYPERLINK("https://www.boe.es/gazeta/dias/1834/08/15/pdfs/GMD-1834-180.pdf#page=1","Abrir facsímil")</f>
        <v>Abrir facsímil</v>
      </c>
      <c r="K8814" s="10" t="s">
        <v>24</v>
      </c>
    </row>
    <row r="8815" spans="1:11" ht="54" customHeight="1">
      <c r="A8815" s="9" t="s">
        <v>18792</v>
      </c>
      <c r="B8815" s="9" t="s">
        <v>18793</v>
      </c>
      <c r="C8815" s="9" t="s">
        <v>66</v>
      </c>
      <c r="D8815" s="9" t="s">
        <v>67</v>
      </c>
      <c r="E8815" s="10" t="s">
        <v>1084</v>
      </c>
      <c r="F8815" s="9" t="s">
        <v>1085</v>
      </c>
      <c r="G8815" s="10" t="s">
        <v>75</v>
      </c>
      <c r="H8815" s="9" t="s">
        <v>35</v>
      </c>
      <c r="I8815" s="9" t="s">
        <v>18794</v>
      </c>
      <c r="J8815" s="10" t="str">
        <f>HYPERLINK("https://www.boe.es/gazeta/dias/1834/05/01/pdfs/GMD-1834-70.pdf#page=4","Abrir facsímil")</f>
        <v>Abrir facsímil</v>
      </c>
      <c r="K8815" s="10" t="s">
        <v>37</v>
      </c>
    </row>
    <row r="8816" spans="1:11" ht="54" customHeight="1">
      <c r="A8816" s="9" t="s">
        <v>18795</v>
      </c>
      <c r="B8816" s="9" t="s">
        <v>18796</v>
      </c>
      <c r="C8816" s="9" t="s">
        <v>66</v>
      </c>
      <c r="D8816" s="9" t="s">
        <v>67</v>
      </c>
      <c r="E8816" s="10" t="s">
        <v>1084</v>
      </c>
      <c r="F8816" s="9" t="s">
        <v>1085</v>
      </c>
      <c r="G8816" s="10" t="s">
        <v>75</v>
      </c>
      <c r="H8816" s="9" t="s">
        <v>22</v>
      </c>
      <c r="I8816" s="9" t="s">
        <v>18797</v>
      </c>
      <c r="J8816" s="10" t="str">
        <f>HYPERLINK("https://www.boe.es/gazeta/dias/1834/05/01/pdfs/GMD-1834-70.pdf#page=4","Abrir facsímil")</f>
        <v>Abrir facsímil</v>
      </c>
      <c r="K8816" s="10" t="s">
        <v>24</v>
      </c>
    </row>
    <row r="8817" spans="1:11" ht="54" customHeight="1">
      <c r="A8817" s="9" t="s">
        <v>18798</v>
      </c>
      <c r="B8817" s="9" t="s">
        <v>18799</v>
      </c>
      <c r="C8817" s="9" t="s">
        <v>90</v>
      </c>
      <c r="D8817" s="9" t="s">
        <v>18</v>
      </c>
      <c r="E8817" s="10" t="s">
        <v>1333</v>
      </c>
      <c r="F8817" s="9" t="s">
        <v>1334</v>
      </c>
      <c r="G8817" s="10" t="s">
        <v>34</v>
      </c>
      <c r="H8817" s="9" t="s">
        <v>22</v>
      </c>
      <c r="I8817" s="9" t="s">
        <v>18800</v>
      </c>
      <c r="J8817" s="10" t="str">
        <f>HYPERLINK("https://www.boe.es/gazeta/dias/1834/04/01/pdfs/GMD-1834-40.pdf#page=1","Abrir facsímil")</f>
        <v>Abrir facsímil</v>
      </c>
      <c r="K8817" s="10" t="s">
        <v>24</v>
      </c>
    </row>
    <row r="8818" spans="1:11" ht="54" customHeight="1">
      <c r="A8818" s="9" t="s">
        <v>18801</v>
      </c>
      <c r="B8818" s="9" t="s">
        <v>18802</v>
      </c>
      <c r="C8818" s="9" t="s">
        <v>17</v>
      </c>
      <c r="D8818" s="9" t="s">
        <v>18</v>
      </c>
      <c r="E8818" s="10" t="s">
        <v>47</v>
      </c>
      <c r="F8818" s="9" t="s">
        <v>48</v>
      </c>
      <c r="G8818" s="10" t="s">
        <v>176</v>
      </c>
      <c r="H8818" s="9" t="s">
        <v>22</v>
      </c>
      <c r="I8818" s="9" t="s">
        <v>18803</v>
      </c>
      <c r="J8818" s="10" t="str">
        <f>HYPERLINK("https://www.boe.es/gazeta/dias/1834/09/05/pdfs/GMD-C-1834-203.pdf#page=6","Abrir facsímil")</f>
        <v>Abrir facsímil</v>
      </c>
      <c r="K8818" s="10" t="s">
        <v>24</v>
      </c>
    </row>
    <row r="8819" spans="1:11" ht="54" customHeight="1">
      <c r="A8819" s="9" t="s">
        <v>18804</v>
      </c>
      <c r="B8819" s="9" t="s">
        <v>18805</v>
      </c>
      <c r="C8819" s="9" t="s">
        <v>90</v>
      </c>
      <c r="D8819" s="9" t="s">
        <v>101</v>
      </c>
      <c r="E8819" s="10" t="s">
        <v>251</v>
      </c>
      <c r="F8819" s="9" t="s">
        <v>252</v>
      </c>
      <c r="G8819" s="10" t="s">
        <v>21</v>
      </c>
      <c r="H8819" s="9" t="s">
        <v>22</v>
      </c>
      <c r="I8819" s="9" t="s">
        <v>18806</v>
      </c>
      <c r="J8819" s="10" t="str">
        <f>HYPERLINK("https://www.boe.es/gazeta/dias/1834/09/26/pdfs/GMD-C-1834-224.pdf#page=3","Abrir facsímil")</f>
        <v>Abrir facsímil</v>
      </c>
      <c r="K8819" s="10" t="s">
        <v>24</v>
      </c>
    </row>
    <row r="8820" spans="1:11" ht="54" customHeight="1">
      <c r="A8820" s="9" t="s">
        <v>18807</v>
      </c>
      <c r="B8820" s="9" t="s">
        <v>18808</v>
      </c>
      <c r="C8820" s="9" t="s">
        <v>66</v>
      </c>
      <c r="D8820" s="9" t="s">
        <v>18</v>
      </c>
      <c r="E8820" s="10" t="s">
        <v>1686</v>
      </c>
      <c r="F8820" s="9" t="s">
        <v>1687</v>
      </c>
      <c r="G8820" s="10" t="s">
        <v>21</v>
      </c>
      <c r="H8820" s="9" t="s">
        <v>35</v>
      </c>
      <c r="I8820" s="9" t="s">
        <v>18809</v>
      </c>
      <c r="J8820" s="10" t="str">
        <f>HYPERLINK("https://www.boe.es/gazeta/dias/1834/07/27/pdfs/GMD-1834-160.pdf#page=3","Abrir facsímil")</f>
        <v>Abrir facsímil</v>
      </c>
      <c r="K8820" s="10" t="s">
        <v>37</v>
      </c>
    </row>
    <row r="8821" spans="1:11" ht="54" customHeight="1">
      <c r="A8821" s="9" t="s">
        <v>18810</v>
      </c>
      <c r="B8821" s="9" t="s">
        <v>18811</v>
      </c>
      <c r="C8821" s="9" t="s">
        <v>17</v>
      </c>
      <c r="D8821" s="9" t="s">
        <v>18</v>
      </c>
      <c r="E8821" s="10" t="s">
        <v>429</v>
      </c>
      <c r="F8821" s="9" t="s">
        <v>430</v>
      </c>
      <c r="G8821" s="10" t="s">
        <v>28</v>
      </c>
      <c r="H8821" s="9" t="s">
        <v>22</v>
      </c>
      <c r="I8821" s="9" t="s">
        <v>18812</v>
      </c>
      <c r="J8821" s="10" t="str">
        <f>HYPERLINK("https://www.boe.es/gazeta/dias/1834/08/07/pdfs/GMD-C-1834-172.pdf#page=5","Abrir facsímil")</f>
        <v>Abrir facsímil</v>
      </c>
      <c r="K8821" s="10" t="s">
        <v>24</v>
      </c>
    </row>
    <row r="8822" spans="1:11" ht="54" customHeight="1">
      <c r="A8822" s="9" t="s">
        <v>18813</v>
      </c>
      <c r="B8822" s="9" t="s">
        <v>18814</v>
      </c>
      <c r="C8822" s="9" t="s">
        <v>17</v>
      </c>
      <c r="D8822" s="9" t="s">
        <v>18</v>
      </c>
      <c r="E8822" s="10" t="s">
        <v>268</v>
      </c>
      <c r="F8822" s="9" t="s">
        <v>269</v>
      </c>
      <c r="G8822" s="10" t="s">
        <v>86</v>
      </c>
      <c r="H8822" s="9" t="s">
        <v>22</v>
      </c>
      <c r="I8822" s="9" t="s">
        <v>18815</v>
      </c>
      <c r="J8822" s="10" t="str">
        <f>HYPERLINK("https://www.boe.es/gazeta/dias/1834/12/19/pdfs/GMD-C-1834-309.pdf#page=2","Abrir facsímil")</f>
        <v>Abrir facsímil</v>
      </c>
      <c r="K8822" s="10" t="s">
        <v>24</v>
      </c>
    </row>
    <row r="8823" spans="1:11" ht="54" customHeight="1">
      <c r="A8823" s="9" t="s">
        <v>18816</v>
      </c>
      <c r="B8823" s="9" t="s">
        <v>18817</v>
      </c>
      <c r="C8823" s="9" t="s">
        <v>17</v>
      </c>
      <c r="D8823" s="9" t="s">
        <v>18</v>
      </c>
      <c r="E8823" s="10" t="s">
        <v>1686</v>
      </c>
      <c r="F8823" s="9" t="s">
        <v>1687</v>
      </c>
      <c r="G8823" s="10" t="s">
        <v>21</v>
      </c>
      <c r="H8823" s="9" t="s">
        <v>22</v>
      </c>
      <c r="I8823" s="9" t="s">
        <v>18818</v>
      </c>
      <c r="J8823" s="10" t="str">
        <f>HYPERLINK("https://www.boe.es/gazeta/dias/1834/07/27/pdfs/GMD-1834-160.pdf#page=3","Abrir facsímil")</f>
        <v>Abrir facsímil</v>
      </c>
      <c r="K8823" s="10" t="s">
        <v>24</v>
      </c>
    </row>
    <row r="8824" spans="1:11" ht="54" customHeight="1">
      <c r="A8824" s="9" t="s">
        <v>18819</v>
      </c>
      <c r="B8824" s="9" t="s">
        <v>18820</v>
      </c>
      <c r="C8824" s="9" t="s">
        <v>17</v>
      </c>
      <c r="D8824" s="9" t="s">
        <v>18</v>
      </c>
      <c r="E8824" s="10" t="s">
        <v>273</v>
      </c>
      <c r="F8824" s="9" t="s">
        <v>274</v>
      </c>
      <c r="G8824" s="10" t="s">
        <v>75</v>
      </c>
      <c r="H8824" s="9" t="s">
        <v>22</v>
      </c>
      <c r="I8824" s="9" t="s">
        <v>18821</v>
      </c>
      <c r="J8824" s="10" t="str">
        <f>HYPERLINK("https://www.boe.es/gazeta/dias/1834/08/31/pdfs/GMD-D-1834-198.pdf#page=4","Abrir facsímil")</f>
        <v>Abrir facsímil</v>
      </c>
      <c r="K8824" s="10" t="s">
        <v>24</v>
      </c>
    </row>
    <row r="8825" spans="1:11" ht="54" customHeight="1">
      <c r="A8825" s="9" t="s">
        <v>18822</v>
      </c>
      <c r="B8825" s="9" t="s">
        <v>18823</v>
      </c>
      <c r="C8825" s="9" t="s">
        <v>857</v>
      </c>
      <c r="D8825" s="9" t="s">
        <v>18</v>
      </c>
      <c r="E8825" s="10" t="s">
        <v>690</v>
      </c>
      <c r="F8825" s="9" t="s">
        <v>691</v>
      </c>
      <c r="G8825" s="10" t="s">
        <v>176</v>
      </c>
      <c r="H8825" s="9" t="s">
        <v>22</v>
      </c>
      <c r="I8825" s="9" t="s">
        <v>18824</v>
      </c>
      <c r="J8825" s="10" t="str">
        <f>HYPERLINK("https://www.boe.es/gazeta/dias/1834/09/03/pdfs/GMD-C-1834-201.pdf#page=6","Abrir facsímil")</f>
        <v>Abrir facsímil</v>
      </c>
      <c r="K8825" s="10" t="s">
        <v>24</v>
      </c>
    </row>
    <row r="8826" spans="1:11" ht="54" customHeight="1">
      <c r="A8826" s="9" t="s">
        <v>18825</v>
      </c>
      <c r="B8826" s="9" t="s">
        <v>18826</v>
      </c>
      <c r="C8826" s="9" t="s">
        <v>122</v>
      </c>
      <c r="D8826" s="9" t="s">
        <v>18</v>
      </c>
      <c r="E8826" s="10" t="s">
        <v>2087</v>
      </c>
      <c r="F8826" s="9" t="s">
        <v>2267</v>
      </c>
      <c r="G8826" s="10" t="s">
        <v>28</v>
      </c>
      <c r="H8826" s="9" t="s">
        <v>22</v>
      </c>
      <c r="I8826" s="9" t="s">
        <v>18827</v>
      </c>
      <c r="J8826" s="10" t="str">
        <f>HYPERLINK("https://www.boe.es/gazeta/dias/1834/12/14/pdfs/GMD-C-1834-303.pdf#page=5","Abrir facsímil")</f>
        <v>Abrir facsímil</v>
      </c>
      <c r="K8826" s="10" t="s">
        <v>24</v>
      </c>
    </row>
    <row r="8827" spans="1:11" ht="54" customHeight="1">
      <c r="A8827" s="9" t="s">
        <v>18828</v>
      </c>
      <c r="B8827" s="9" t="s">
        <v>18828</v>
      </c>
      <c r="C8827" s="9" t="s">
        <v>17</v>
      </c>
      <c r="D8827" s="9" t="s">
        <v>40</v>
      </c>
      <c r="E8827" s="10" t="s">
        <v>1641</v>
      </c>
      <c r="F8827" s="9" t="s">
        <v>1642</v>
      </c>
      <c r="G8827" s="10" t="s">
        <v>86</v>
      </c>
      <c r="H8827" s="9" t="s">
        <v>22</v>
      </c>
      <c r="I8827" s="9" t="s">
        <v>18829</v>
      </c>
      <c r="J8827" s="10" t="str">
        <f>HYPERLINK("https://www.boe.es/gazeta/dias/1834/09/28/pdfs/GMD-C-1834-226.pdf#page=2","Abrir facsímil")</f>
        <v>Abrir facsímil</v>
      </c>
      <c r="K8827" s="10" t="s">
        <v>24</v>
      </c>
    </row>
    <row r="8828" spans="1:11" ht="54" customHeight="1">
      <c r="A8828" s="9" t="s">
        <v>18830</v>
      </c>
      <c r="B8828" s="9" t="s">
        <v>18831</v>
      </c>
      <c r="C8828" s="9" t="s">
        <v>17</v>
      </c>
      <c r="D8828" s="9" t="s">
        <v>55</v>
      </c>
      <c r="E8828" s="10" t="s">
        <v>343</v>
      </c>
      <c r="F8828" s="9" t="s">
        <v>344</v>
      </c>
      <c r="G8828" s="10" t="s">
        <v>75</v>
      </c>
      <c r="H8828" s="9" t="s">
        <v>35</v>
      </c>
      <c r="I8828" s="9" t="s">
        <v>18832</v>
      </c>
      <c r="J8828" s="10" t="str">
        <f>HYPERLINK("https://www.boe.es/gazeta/dias/1834/01/14/pdfs/GMD-1834-7.pdf#page=4","Abrir facsímil")</f>
        <v>Abrir facsímil</v>
      </c>
      <c r="K8828" s="10" t="s">
        <v>37</v>
      </c>
    </row>
    <row r="8829" spans="1:11" ht="54" customHeight="1">
      <c r="A8829" s="9" t="s">
        <v>18833</v>
      </c>
      <c r="B8829" s="9" t="s">
        <v>18834</v>
      </c>
      <c r="C8829" s="9" t="s">
        <v>66</v>
      </c>
      <c r="D8829" s="9" t="s">
        <v>67</v>
      </c>
      <c r="E8829" s="10" t="s">
        <v>2945</v>
      </c>
      <c r="F8829" s="9" t="s">
        <v>2946</v>
      </c>
      <c r="G8829" s="10" t="s">
        <v>75</v>
      </c>
      <c r="H8829" s="9" t="s">
        <v>35</v>
      </c>
      <c r="I8829" s="9" t="s">
        <v>18835</v>
      </c>
      <c r="J8829" s="10" t="str">
        <f>HYPERLINK("https://www.boe.es/gazeta/dias/1834/05/29/pdfs/GMD-1834-98.pdf#page=4","Abrir facsímil")</f>
        <v>Abrir facsímil</v>
      </c>
      <c r="K8829" s="10" t="s">
        <v>37</v>
      </c>
    </row>
    <row r="8830" spans="1:11" ht="54" customHeight="1">
      <c r="A8830" s="9" t="s">
        <v>18836</v>
      </c>
      <c r="B8830" s="9" t="s">
        <v>18837</v>
      </c>
      <c r="C8830" s="9" t="s">
        <v>66</v>
      </c>
      <c r="D8830" s="9" t="s">
        <v>67</v>
      </c>
      <c r="E8830" s="10" t="s">
        <v>2945</v>
      </c>
      <c r="F8830" s="9" t="s">
        <v>2946</v>
      </c>
      <c r="G8830" s="10" t="s">
        <v>75</v>
      </c>
      <c r="H8830" s="9" t="s">
        <v>22</v>
      </c>
      <c r="I8830" s="9" t="s">
        <v>18838</v>
      </c>
      <c r="J8830" s="10" t="str">
        <f>HYPERLINK("https://www.boe.es/gazeta/dias/1834/05/29/pdfs/GMD-1834-98.pdf#page=4","Abrir facsímil")</f>
        <v>Abrir facsímil</v>
      </c>
      <c r="K8830" s="10" t="s">
        <v>24</v>
      </c>
    </row>
    <row r="8831" spans="1:11" ht="54" customHeight="1">
      <c r="A8831" s="9" t="s">
        <v>18839</v>
      </c>
      <c r="B8831" s="9" t="s">
        <v>18839</v>
      </c>
      <c r="C8831" s="9" t="s">
        <v>66</v>
      </c>
      <c r="D8831" s="9" t="s">
        <v>67</v>
      </c>
      <c r="E8831" s="10" t="s">
        <v>1597</v>
      </c>
      <c r="F8831" s="9" t="s">
        <v>1598</v>
      </c>
      <c r="G8831" s="10" t="s">
        <v>86</v>
      </c>
      <c r="H8831" s="9" t="s">
        <v>22</v>
      </c>
      <c r="I8831" s="9" t="s">
        <v>18840</v>
      </c>
      <c r="J8831" s="10" t="str">
        <f>HYPERLINK("https://www.boe.es/gazeta/dias/1834/10/03/pdfs/GMD-1834-231.pdf#page=2","Abrir facsímil")</f>
        <v>Abrir facsímil</v>
      </c>
      <c r="K8831" s="10" t="s">
        <v>24</v>
      </c>
    </row>
    <row r="8832" spans="1:11" ht="54" customHeight="1">
      <c r="A8832" s="9" t="s">
        <v>18841</v>
      </c>
      <c r="B8832" s="9" t="s">
        <v>18841</v>
      </c>
      <c r="C8832" s="9" t="s">
        <v>17</v>
      </c>
      <c r="D8832" s="9" t="s">
        <v>18</v>
      </c>
      <c r="E8832" s="10" t="s">
        <v>179</v>
      </c>
      <c r="F8832" s="9" t="s">
        <v>180</v>
      </c>
      <c r="G8832" s="10" t="s">
        <v>86</v>
      </c>
      <c r="H8832" s="9" t="s">
        <v>22</v>
      </c>
      <c r="I8832" s="9" t="s">
        <v>18842</v>
      </c>
      <c r="J8832" s="10" t="str">
        <f>HYPERLINK("https://www.boe.es/gazeta/dias/1834/10/28/pdfs/GMD-1834-256.pdf#page=2","Abrir facsímil")</f>
        <v>Abrir facsímil</v>
      </c>
      <c r="K8832" s="10" t="s">
        <v>24</v>
      </c>
    </row>
    <row r="8833" spans="1:11" ht="54" customHeight="1">
      <c r="A8833" s="9" t="s">
        <v>18843</v>
      </c>
      <c r="B8833" s="9" t="s">
        <v>18843</v>
      </c>
      <c r="C8833" s="9" t="s">
        <v>66</v>
      </c>
      <c r="D8833" s="9" t="s">
        <v>18</v>
      </c>
      <c r="E8833" s="10" t="s">
        <v>1708</v>
      </c>
      <c r="F8833" s="9" t="s">
        <v>1709</v>
      </c>
      <c r="G8833" s="10" t="s">
        <v>86</v>
      </c>
      <c r="H8833" s="9" t="s">
        <v>22</v>
      </c>
      <c r="I8833" s="9" t="s">
        <v>18844</v>
      </c>
      <c r="J8833" s="10" t="str">
        <f>HYPERLINK("https://www.boe.es/gazeta/dias/1834/04/12/pdfs/GMD-1834-51.pdf#page=2","Abrir facsímil")</f>
        <v>Abrir facsímil</v>
      </c>
      <c r="K8833" s="10" t="s">
        <v>24</v>
      </c>
    </row>
    <row r="8834" spans="1:11" ht="54" customHeight="1">
      <c r="A8834" s="9" t="s">
        <v>18845</v>
      </c>
      <c r="B8834" s="9" t="s">
        <v>18846</v>
      </c>
      <c r="C8834" s="9" t="s">
        <v>17</v>
      </c>
      <c r="D8834" s="9" t="s">
        <v>55</v>
      </c>
      <c r="E8834" s="10" t="s">
        <v>1789</v>
      </c>
      <c r="F8834" s="9" t="s">
        <v>1790</v>
      </c>
      <c r="G8834" s="10" t="s">
        <v>21</v>
      </c>
      <c r="H8834" s="9" t="s">
        <v>22</v>
      </c>
      <c r="I8834" s="9" t="s">
        <v>18847</v>
      </c>
      <c r="J8834" s="10" t="str">
        <f>HYPERLINK("https://www.boe.es/gazeta/dias/1834/05/31/pdfs/GMD-1834-100.pdf#page=3","Abrir facsímil")</f>
        <v>Abrir facsímil</v>
      </c>
      <c r="K8834" s="10" t="s">
        <v>24</v>
      </c>
    </row>
    <row r="8835" spans="1:11" ht="54" customHeight="1">
      <c r="A8835" s="9" t="s">
        <v>18848</v>
      </c>
      <c r="B8835" s="9" t="s">
        <v>18848</v>
      </c>
      <c r="C8835" s="9" t="s">
        <v>17</v>
      </c>
      <c r="D8835" s="9" t="s">
        <v>18</v>
      </c>
      <c r="E8835" s="10" t="s">
        <v>1281</v>
      </c>
      <c r="F8835" s="9" t="s">
        <v>1282</v>
      </c>
      <c r="G8835" s="10" t="s">
        <v>21</v>
      </c>
      <c r="H8835" s="9" t="s">
        <v>22</v>
      </c>
      <c r="I8835" s="9" t="s">
        <v>18849</v>
      </c>
      <c r="J8835" s="10" t="str">
        <f>HYPERLINK("https://www.boe.es/gazeta/dias/1834/10/27/pdfs/GMD-1834-255.pdf#page=3","Abrir facsímil")</f>
        <v>Abrir facsímil</v>
      </c>
      <c r="K8835" s="10" t="s">
        <v>24</v>
      </c>
    </row>
    <row r="8836" spans="1:11" ht="54" customHeight="1">
      <c r="A8836" s="9" t="s">
        <v>18850</v>
      </c>
      <c r="B8836" s="9" t="s">
        <v>18851</v>
      </c>
      <c r="C8836" s="9" t="s">
        <v>122</v>
      </c>
      <c r="D8836" s="9" t="s">
        <v>55</v>
      </c>
      <c r="E8836" s="10" t="s">
        <v>91</v>
      </c>
      <c r="F8836" s="9" t="s">
        <v>92</v>
      </c>
      <c r="G8836" s="10" t="s">
        <v>86</v>
      </c>
      <c r="H8836" s="9" t="s">
        <v>22</v>
      </c>
      <c r="I8836" s="9" t="s">
        <v>18852</v>
      </c>
      <c r="J8836" s="10" t="str">
        <f>HYPERLINK("https://www.boe.es/gazeta/dias/1834/02/13/pdfs/GMD-1834-20.pdf#page=2","Abrir facsímil")</f>
        <v>Abrir facsímil</v>
      </c>
      <c r="K8836" s="10" t="s">
        <v>24</v>
      </c>
    </row>
    <row r="8837" spans="1:11" ht="54" customHeight="1">
      <c r="A8837" s="9" t="s">
        <v>18853</v>
      </c>
      <c r="B8837" s="9" t="s">
        <v>18854</v>
      </c>
      <c r="C8837" s="9" t="s">
        <v>17</v>
      </c>
      <c r="D8837" s="9" t="s">
        <v>18</v>
      </c>
      <c r="E8837" s="10" t="s">
        <v>1402</v>
      </c>
      <c r="F8837" s="9" t="s">
        <v>1403</v>
      </c>
      <c r="G8837" s="10" t="s">
        <v>75</v>
      </c>
      <c r="H8837" s="9" t="s">
        <v>22</v>
      </c>
      <c r="I8837" s="9" t="s">
        <v>18855</v>
      </c>
      <c r="J8837" s="10" t="str">
        <f>HYPERLINK("https://www.boe.es/gazeta/dias/1834/05/05/pdfs/GMD-1834-74.pdf#page=4","Abrir facsímil")</f>
        <v>Abrir facsímil</v>
      </c>
      <c r="K8837" s="10" t="s">
        <v>24</v>
      </c>
    </row>
    <row r="8838" spans="1:11" ht="54" customHeight="1">
      <c r="A8838" s="9" t="s">
        <v>18856</v>
      </c>
      <c r="B8838" s="9" t="s">
        <v>18856</v>
      </c>
      <c r="C8838" s="9" t="s">
        <v>17</v>
      </c>
      <c r="D8838" s="9" t="s">
        <v>40</v>
      </c>
      <c r="E8838" s="10" t="s">
        <v>3499</v>
      </c>
      <c r="F8838" s="9" t="s">
        <v>3500</v>
      </c>
      <c r="G8838" s="10" t="s">
        <v>75</v>
      </c>
      <c r="H8838" s="9" t="s">
        <v>22</v>
      </c>
      <c r="I8838" s="9" t="s">
        <v>18857</v>
      </c>
      <c r="J8838" s="10" t="str">
        <f>HYPERLINK("https://www.boe.es/gazeta/dias/1834/01/28/pdfs/GMD-1834-13.pdf#page=4","Abrir facsímil")</f>
        <v>Abrir facsímil</v>
      </c>
      <c r="K8838" s="10" t="s">
        <v>24</v>
      </c>
    </row>
    <row r="8839" spans="1:11" ht="54" customHeight="1">
      <c r="A8839" s="9" t="s">
        <v>18858</v>
      </c>
      <c r="B8839" s="9" t="s">
        <v>18859</v>
      </c>
      <c r="C8839" s="9" t="s">
        <v>122</v>
      </c>
      <c r="D8839" s="9" t="s">
        <v>101</v>
      </c>
      <c r="E8839" s="10" t="s">
        <v>339</v>
      </c>
      <c r="F8839" s="9" t="s">
        <v>340</v>
      </c>
      <c r="G8839" s="10" t="s">
        <v>75</v>
      </c>
      <c r="H8839" s="9" t="s">
        <v>22</v>
      </c>
      <c r="I8839" s="9" t="s">
        <v>18860</v>
      </c>
      <c r="J8839" s="10" t="str">
        <f>HYPERLINK("https://www.boe.es/gazeta/dias/1834/05/02/pdfs/GMD-1834-71.pdf#page=4","Abrir facsímil")</f>
        <v>Abrir facsímil</v>
      </c>
      <c r="K8839" s="10" t="s">
        <v>24</v>
      </c>
    </row>
    <row r="8840" spans="1:11" ht="54" customHeight="1">
      <c r="A8840" s="9" t="s">
        <v>18861</v>
      </c>
      <c r="B8840" s="9" t="s">
        <v>18862</v>
      </c>
      <c r="C8840" s="9" t="s">
        <v>17</v>
      </c>
      <c r="D8840" s="9" t="s">
        <v>18</v>
      </c>
      <c r="E8840" s="10" t="s">
        <v>2218</v>
      </c>
      <c r="F8840" s="9" t="s">
        <v>2219</v>
      </c>
      <c r="G8840" s="10" t="s">
        <v>21</v>
      </c>
      <c r="H8840" s="9" t="s">
        <v>22</v>
      </c>
      <c r="I8840" s="9" t="s">
        <v>18863</v>
      </c>
      <c r="J8840" s="10" t="str">
        <f>HYPERLINK("https://www.boe.es/gazeta/dias/1834/11/05/pdfs/GMD-1834-264.pdf#page=3","Abrir facsímil")</f>
        <v>Abrir facsímil</v>
      </c>
      <c r="K8840" s="10" t="s">
        <v>24</v>
      </c>
    </row>
    <row r="8841" spans="1:11" ht="54" customHeight="1">
      <c r="A8841" s="9" t="s">
        <v>18864</v>
      </c>
      <c r="B8841" s="9" t="s">
        <v>18864</v>
      </c>
      <c r="C8841" s="9" t="s">
        <v>17</v>
      </c>
      <c r="D8841" s="9" t="s">
        <v>40</v>
      </c>
      <c r="E8841" s="10" t="s">
        <v>976</v>
      </c>
      <c r="F8841" s="9" t="s">
        <v>977</v>
      </c>
      <c r="G8841" s="10" t="s">
        <v>75</v>
      </c>
      <c r="H8841" s="9" t="s">
        <v>22</v>
      </c>
      <c r="I8841" s="9" t="s">
        <v>18865</v>
      </c>
      <c r="J8841" s="10" t="str">
        <f>HYPERLINK("https://www.boe.es/gazeta/dias/1834/04/02/pdfs/GMD-1834-41.pdf#page=4","Abrir facsímil")</f>
        <v>Abrir facsímil</v>
      </c>
      <c r="K8841" s="10" t="s">
        <v>24</v>
      </c>
    </row>
    <row r="8842" spans="1:11" ht="54" customHeight="1">
      <c r="A8842" s="9" t="s">
        <v>18864</v>
      </c>
      <c r="B8842" s="9" t="s">
        <v>18864</v>
      </c>
      <c r="C8842" s="9" t="s">
        <v>17</v>
      </c>
      <c r="D8842" s="9" t="s">
        <v>18</v>
      </c>
      <c r="E8842" s="10" t="s">
        <v>1340</v>
      </c>
      <c r="F8842" s="9" t="s">
        <v>1341</v>
      </c>
      <c r="G8842" s="10" t="s">
        <v>34</v>
      </c>
      <c r="H8842" s="9" t="s">
        <v>22</v>
      </c>
      <c r="I8842" s="9" t="s">
        <v>18866</v>
      </c>
      <c r="J8842" s="10" t="str">
        <f>HYPERLINK("https://www.boe.es/gazeta/dias/1834/10/05/pdfs/GMD-C-1834-233.pdf#page=1","Abrir facsímil")</f>
        <v>Abrir facsímil</v>
      </c>
      <c r="K8842" s="10" t="s">
        <v>24</v>
      </c>
    </row>
    <row r="8843" spans="1:11" ht="54" customHeight="1">
      <c r="A8843" s="9" t="s">
        <v>18864</v>
      </c>
      <c r="B8843" s="9" t="s">
        <v>18864</v>
      </c>
      <c r="C8843" s="9" t="s">
        <v>17</v>
      </c>
      <c r="D8843" s="9" t="s">
        <v>40</v>
      </c>
      <c r="E8843" s="10" t="s">
        <v>2241</v>
      </c>
      <c r="F8843" s="9" t="s">
        <v>2242</v>
      </c>
      <c r="G8843" s="10" t="s">
        <v>75</v>
      </c>
      <c r="H8843" s="9" t="s">
        <v>22</v>
      </c>
      <c r="I8843" s="9" t="s">
        <v>18867</v>
      </c>
      <c r="J8843" s="10" t="str">
        <f>HYPERLINK("https://www.boe.es/gazeta/dias/1834/03/11/pdfs/GMD-1834-31.pdf#page=4","Abrir facsímil")</f>
        <v>Abrir facsímil</v>
      </c>
      <c r="K8843" s="10" t="s">
        <v>24</v>
      </c>
    </row>
    <row r="8844" spans="1:11" ht="54" customHeight="1">
      <c r="A8844" s="9" t="s">
        <v>18864</v>
      </c>
      <c r="B8844" s="9" t="s">
        <v>18864</v>
      </c>
      <c r="C8844" s="9" t="s">
        <v>17</v>
      </c>
      <c r="D8844" s="9" t="s">
        <v>40</v>
      </c>
      <c r="E8844" s="10" t="s">
        <v>1708</v>
      </c>
      <c r="F8844" s="9" t="s">
        <v>1709</v>
      </c>
      <c r="G8844" s="10" t="s">
        <v>176</v>
      </c>
      <c r="H8844" s="9" t="s">
        <v>22</v>
      </c>
      <c r="I8844" s="9" t="s">
        <v>18868</v>
      </c>
      <c r="J8844" s="10" t="str">
        <f>HYPERLINK("https://www.boe.es/gazeta/dias/1834/04/12/pdfs/GMD-1834-51.pdf#page=6","Abrir facsímil")</f>
        <v>Abrir facsímil</v>
      </c>
      <c r="K8844" s="10" t="s">
        <v>24</v>
      </c>
    </row>
    <row r="8845" spans="1:11" ht="54" customHeight="1">
      <c r="A8845" s="9" t="s">
        <v>18869</v>
      </c>
      <c r="B8845" s="9" t="s">
        <v>18870</v>
      </c>
      <c r="C8845" s="9" t="s">
        <v>66</v>
      </c>
      <c r="D8845" s="9" t="s">
        <v>101</v>
      </c>
      <c r="E8845" s="10" t="s">
        <v>658</v>
      </c>
      <c r="F8845" s="9" t="s">
        <v>659</v>
      </c>
      <c r="G8845" s="10" t="s">
        <v>34</v>
      </c>
      <c r="H8845" s="9" t="s">
        <v>22</v>
      </c>
      <c r="I8845" s="9" t="s">
        <v>18871</v>
      </c>
      <c r="J8845" s="10" t="str">
        <f>HYPERLINK("https://www.boe.es/gazeta/dias/1834/05/26/pdfs/GMD-1834-95.pdf#page=1","Abrir facsímil")</f>
        <v>Abrir facsímil</v>
      </c>
      <c r="K8845" s="10" t="s">
        <v>24</v>
      </c>
    </row>
    <row r="8846" spans="1:11" ht="54" customHeight="1">
      <c r="A8846" s="9" t="s">
        <v>18872</v>
      </c>
      <c r="B8846" s="9" t="s">
        <v>18872</v>
      </c>
      <c r="C8846" s="9" t="s">
        <v>17</v>
      </c>
      <c r="D8846" s="9" t="s">
        <v>40</v>
      </c>
      <c r="E8846" s="10" t="s">
        <v>939</v>
      </c>
      <c r="F8846" s="9" t="s">
        <v>940</v>
      </c>
      <c r="G8846" s="10" t="s">
        <v>75</v>
      </c>
      <c r="H8846" s="9" t="s">
        <v>22</v>
      </c>
      <c r="I8846" s="9" t="s">
        <v>18873</v>
      </c>
      <c r="J8846" s="10" t="str">
        <f>HYPERLINK("https://www.boe.es/gazeta/dias/1834/06/10/pdfs/GMD-1834-113.pdf#page=4","Abrir facsímil")</f>
        <v>Abrir facsímil</v>
      </c>
      <c r="K8846" s="10" t="s">
        <v>24</v>
      </c>
    </row>
    <row r="8847" spans="1:11" ht="54" customHeight="1">
      <c r="A8847" s="9" t="s">
        <v>18874</v>
      </c>
      <c r="B8847" s="9" t="s">
        <v>18874</v>
      </c>
      <c r="C8847" s="9" t="s">
        <v>17</v>
      </c>
      <c r="D8847" s="9" t="s">
        <v>18</v>
      </c>
      <c r="E8847" s="10" t="s">
        <v>128</v>
      </c>
      <c r="F8847" s="9" t="s">
        <v>1068</v>
      </c>
      <c r="G8847" s="10" t="s">
        <v>75</v>
      </c>
      <c r="H8847" s="9" t="s">
        <v>22</v>
      </c>
      <c r="I8847" s="9" t="s">
        <v>18875</v>
      </c>
      <c r="J8847" s="10" t="str">
        <f>HYPERLINK("https://www.boe.es/gazeta/dias/1834/12/24/pdfs/GMD-1834-314.pdf#page=4","Abrir facsímil")</f>
        <v>Abrir facsímil</v>
      </c>
      <c r="K8847" s="10" t="s">
        <v>24</v>
      </c>
    </row>
    <row r="8848" spans="1:11" ht="54" customHeight="1">
      <c r="A8848" s="9" t="s">
        <v>18876</v>
      </c>
      <c r="B8848" s="9" t="s">
        <v>18877</v>
      </c>
      <c r="C8848" s="9" t="s">
        <v>17</v>
      </c>
      <c r="D8848" s="9" t="s">
        <v>18</v>
      </c>
      <c r="E8848" s="10" t="s">
        <v>153</v>
      </c>
      <c r="F8848" s="9" t="s">
        <v>154</v>
      </c>
      <c r="G8848" s="10" t="s">
        <v>34</v>
      </c>
      <c r="H8848" s="9" t="s">
        <v>22</v>
      </c>
      <c r="I8848" s="9" t="s">
        <v>18878</v>
      </c>
      <c r="J8848" s="10" t="str">
        <f>HYPERLINK("https://www.boe.es/gazeta/dias/1834/12/30/pdfs/GMD-C-1834-320.pdf#page=1","Abrir facsímil")</f>
        <v>Abrir facsímil</v>
      </c>
      <c r="K8848" s="10" t="s">
        <v>24</v>
      </c>
    </row>
    <row r="8849" spans="1:11" ht="54" customHeight="1">
      <c r="A8849" s="9" t="s">
        <v>18879</v>
      </c>
      <c r="B8849" s="9" t="s">
        <v>18879</v>
      </c>
      <c r="C8849" s="9" t="s">
        <v>17</v>
      </c>
      <c r="D8849" s="9" t="s">
        <v>18</v>
      </c>
      <c r="E8849" s="10" t="s">
        <v>433</v>
      </c>
      <c r="F8849" s="9" t="s">
        <v>434</v>
      </c>
      <c r="G8849" s="10" t="s">
        <v>21</v>
      </c>
      <c r="H8849" s="9" t="s">
        <v>22</v>
      </c>
      <c r="I8849" s="9" t="s">
        <v>18880</v>
      </c>
      <c r="J8849" s="10" t="str">
        <f>HYPERLINK("https://www.boe.es/gazeta/dias/1834/10/07/pdfs/GMD-C-1834-235.pdf#page=3","Abrir facsímil")</f>
        <v>Abrir facsímil</v>
      </c>
      <c r="K8849" s="10" t="s">
        <v>24</v>
      </c>
    </row>
    <row r="8850" spans="1:11" ht="54" customHeight="1">
      <c r="A8850" s="9" t="s">
        <v>18881</v>
      </c>
      <c r="B8850" s="9" t="s">
        <v>18882</v>
      </c>
      <c r="C8850" s="9" t="s">
        <v>17</v>
      </c>
      <c r="D8850" s="9" t="s">
        <v>18</v>
      </c>
      <c r="E8850" s="10" t="s">
        <v>2260</v>
      </c>
      <c r="F8850" s="9" t="s">
        <v>2263</v>
      </c>
      <c r="G8850" s="10" t="s">
        <v>34</v>
      </c>
      <c r="H8850" s="9" t="s">
        <v>22</v>
      </c>
      <c r="I8850" s="9" t="s">
        <v>18883</v>
      </c>
      <c r="J8850" s="10" t="str">
        <f>HYPERLINK("https://www.boe.es/gazeta/dias/1834/11/13/pdfs/GMD-C-1834-272.pdf#page=1","Abrir facsímil")</f>
        <v>Abrir facsímil</v>
      </c>
      <c r="K8850" s="10" t="s">
        <v>24</v>
      </c>
    </row>
    <row r="8851" spans="1:11" ht="54" customHeight="1">
      <c r="A8851" s="9" t="s">
        <v>18884</v>
      </c>
      <c r="B8851" s="9" t="s">
        <v>18885</v>
      </c>
      <c r="C8851" s="9" t="s">
        <v>66</v>
      </c>
      <c r="D8851" s="9" t="s">
        <v>67</v>
      </c>
      <c r="E8851" s="10" t="s">
        <v>73</v>
      </c>
      <c r="F8851" s="9" t="s">
        <v>74</v>
      </c>
      <c r="G8851" s="10" t="s">
        <v>75</v>
      </c>
      <c r="H8851" s="9" t="s">
        <v>22</v>
      </c>
      <c r="I8851" s="9" t="s">
        <v>18886</v>
      </c>
      <c r="J8851" s="10" t="str">
        <f>HYPERLINK("https://www.boe.es/gazeta/dias/1834/11/04/pdfs/GMD-1834-263.pdf#page=4","Abrir facsímil")</f>
        <v>Abrir facsímil</v>
      </c>
      <c r="K8851" s="10" t="s">
        <v>24</v>
      </c>
    </row>
    <row r="8852" spans="1:11" ht="54" customHeight="1">
      <c r="A8852" s="9" t="s">
        <v>18887</v>
      </c>
      <c r="B8852" s="9" t="s">
        <v>18888</v>
      </c>
      <c r="C8852" s="9" t="s">
        <v>17</v>
      </c>
      <c r="D8852" s="9" t="s">
        <v>18</v>
      </c>
      <c r="E8852" s="10" t="s">
        <v>772</v>
      </c>
      <c r="F8852" s="9" t="s">
        <v>773</v>
      </c>
      <c r="G8852" s="10" t="s">
        <v>21</v>
      </c>
      <c r="H8852" s="9" t="s">
        <v>22</v>
      </c>
      <c r="I8852" s="9" t="s">
        <v>18889</v>
      </c>
      <c r="J8852" s="10" t="str">
        <f>HYPERLINK("https://www.boe.es/gazeta/dias/1834/09/18/pdfs/GMD-1834-216.pdf#page=3","Abrir facsímil")</f>
        <v>Abrir facsímil</v>
      </c>
      <c r="K8852" s="10" t="s">
        <v>24</v>
      </c>
    </row>
    <row r="8853" spans="1:11" ht="54" customHeight="1">
      <c r="A8853" s="9" t="s">
        <v>18890</v>
      </c>
      <c r="B8853" s="9" t="s">
        <v>18891</v>
      </c>
      <c r="C8853" s="9" t="s">
        <v>17</v>
      </c>
      <c r="D8853" s="9" t="s">
        <v>18</v>
      </c>
      <c r="E8853" s="10" t="s">
        <v>187</v>
      </c>
      <c r="F8853" s="9" t="s">
        <v>188</v>
      </c>
      <c r="G8853" s="10" t="s">
        <v>21</v>
      </c>
      <c r="H8853" s="9" t="s">
        <v>22</v>
      </c>
      <c r="I8853" s="9" t="s">
        <v>18892</v>
      </c>
      <c r="J8853" s="10" t="str">
        <f>HYPERLINK("https://www.boe.es/gazeta/dias/1834/09/30/pdfs/GMD-1834-228.pdf#page=3","Abrir facsímil")</f>
        <v>Abrir facsímil</v>
      </c>
      <c r="K8853" s="10" t="s">
        <v>24</v>
      </c>
    </row>
    <row r="8854" spans="1:11" ht="54" customHeight="1">
      <c r="A8854" s="9" t="s">
        <v>18893</v>
      </c>
      <c r="B8854" s="9" t="s">
        <v>18893</v>
      </c>
      <c r="C8854" s="9" t="s">
        <v>17</v>
      </c>
      <c r="D8854" s="9" t="s">
        <v>18</v>
      </c>
      <c r="E8854" s="10" t="s">
        <v>12114</v>
      </c>
      <c r="F8854" s="9" t="s">
        <v>12115</v>
      </c>
      <c r="G8854" s="10" t="s">
        <v>21</v>
      </c>
      <c r="H8854" s="9" t="s">
        <v>22</v>
      </c>
      <c r="I8854" s="9" t="s">
        <v>18894</v>
      </c>
      <c r="J8854" s="10" t="str">
        <f>HYPERLINK("https://www.boe.es/gazeta/dias/1834/04/08/pdfs/GMD-1834-47.pdf#page=3","Abrir facsímil")</f>
        <v>Abrir facsímil</v>
      </c>
      <c r="K8854" s="10" t="s">
        <v>24</v>
      </c>
    </row>
    <row r="8855" spans="1:11" ht="54" customHeight="1">
      <c r="A8855" s="9" t="s">
        <v>18895</v>
      </c>
      <c r="B8855" s="9" t="s">
        <v>18895</v>
      </c>
      <c r="C8855" s="9" t="s">
        <v>66</v>
      </c>
      <c r="D8855" s="9" t="s">
        <v>67</v>
      </c>
      <c r="E8855" s="10" t="s">
        <v>1510</v>
      </c>
      <c r="F8855" s="9" t="s">
        <v>1511</v>
      </c>
      <c r="G8855" s="10" t="s">
        <v>34</v>
      </c>
      <c r="H8855" s="9" t="s">
        <v>22</v>
      </c>
      <c r="I8855" s="9" t="s">
        <v>18896</v>
      </c>
      <c r="J8855" s="10" t="str">
        <f>HYPERLINK("https://www.boe.es/gazeta/dias/1834/06/13/pdfs/GMD-1834-116.pdf#page=1","Abrir facsímil")</f>
        <v>Abrir facsímil</v>
      </c>
      <c r="K8855" s="10" t="s">
        <v>24</v>
      </c>
    </row>
    <row r="8856" spans="1:11" ht="54" customHeight="1">
      <c r="A8856" s="9" t="s">
        <v>18897</v>
      </c>
      <c r="B8856" s="9" t="s">
        <v>18897</v>
      </c>
      <c r="C8856" s="9" t="s">
        <v>17</v>
      </c>
      <c r="D8856" s="9" t="s">
        <v>18</v>
      </c>
      <c r="E8856" s="10" t="s">
        <v>2087</v>
      </c>
      <c r="F8856" s="9" t="s">
        <v>2267</v>
      </c>
      <c r="G8856" s="10" t="s">
        <v>176</v>
      </c>
      <c r="H8856" s="9" t="s">
        <v>22</v>
      </c>
      <c r="I8856" s="9" t="s">
        <v>18898</v>
      </c>
      <c r="J8856" s="10" t="str">
        <f>HYPERLINK("https://www.boe.es/gazeta/dias/1834/12/14/pdfs/GMD-C-1834-303.pdf#page=6","Abrir facsímil")</f>
        <v>Abrir facsímil</v>
      </c>
      <c r="K8856" s="10" t="s">
        <v>24</v>
      </c>
    </row>
    <row r="8857" spans="1:11" ht="54" customHeight="1">
      <c r="A8857" s="9" t="s">
        <v>18899</v>
      </c>
      <c r="B8857" s="9" t="s">
        <v>18899</v>
      </c>
      <c r="C8857" s="9" t="s">
        <v>17</v>
      </c>
      <c r="D8857" s="9" t="s">
        <v>18</v>
      </c>
      <c r="E8857" s="10" t="s">
        <v>1337</v>
      </c>
      <c r="F8857" s="9" t="s">
        <v>1338</v>
      </c>
      <c r="G8857" s="10" t="s">
        <v>86</v>
      </c>
      <c r="H8857" s="9" t="s">
        <v>22</v>
      </c>
      <c r="I8857" s="9" t="s">
        <v>18900</v>
      </c>
      <c r="J8857" s="10" t="str">
        <f>HYPERLINK("https://www.boe.es/gazeta/dias/1834/01/02/pdfs/GMD-1834-1.pdf#page=2","Abrir facsímil")</f>
        <v>Abrir facsímil</v>
      </c>
      <c r="K8857" s="10" t="s">
        <v>24</v>
      </c>
    </row>
    <row r="8858" spans="1:11" ht="54" customHeight="1">
      <c r="A8858" s="9" t="s">
        <v>18901</v>
      </c>
      <c r="B8858" s="9" t="s">
        <v>18902</v>
      </c>
      <c r="C8858" s="9" t="s">
        <v>17</v>
      </c>
      <c r="D8858" s="9" t="s">
        <v>18</v>
      </c>
      <c r="E8858" s="10" t="s">
        <v>563</v>
      </c>
      <c r="F8858" s="9" t="s">
        <v>564</v>
      </c>
      <c r="G8858" s="10" t="s">
        <v>34</v>
      </c>
      <c r="H8858" s="9" t="s">
        <v>22</v>
      </c>
      <c r="I8858" s="9" t="s">
        <v>18903</v>
      </c>
      <c r="J8858" s="10" t="str">
        <f>HYPERLINK("https://www.boe.es/gazeta/dias/1834/04/19/pdfs/GMD-1834-58.pdf#page=1","Abrir facsímil")</f>
        <v>Abrir facsímil</v>
      </c>
      <c r="K8858" s="10" t="s">
        <v>24</v>
      </c>
    </row>
    <row r="8859" spans="1:11" ht="54" customHeight="1">
      <c r="A8859" s="9" t="s">
        <v>18904</v>
      </c>
      <c r="B8859" s="9" t="s">
        <v>18905</v>
      </c>
      <c r="C8859" s="9" t="s">
        <v>17</v>
      </c>
      <c r="D8859" s="9" t="s">
        <v>18</v>
      </c>
      <c r="E8859" s="10" t="s">
        <v>1351</v>
      </c>
      <c r="F8859" s="9" t="s">
        <v>1352</v>
      </c>
      <c r="G8859" s="10" t="s">
        <v>75</v>
      </c>
      <c r="H8859" s="9" t="s">
        <v>35</v>
      </c>
      <c r="I8859" s="9" t="s">
        <v>18906</v>
      </c>
      <c r="J8859" s="10" t="str">
        <f>HYPERLINK("https://www.boe.es/gazeta/dias/1834/07/05/pdfs/GMD-1834-138.pdf#page=4","Abrir facsímil")</f>
        <v>Abrir facsímil</v>
      </c>
      <c r="K8859" s="10" t="s">
        <v>37</v>
      </c>
    </row>
    <row r="8860" spans="1:11" ht="54" customHeight="1">
      <c r="A8860" s="9" t="s">
        <v>18904</v>
      </c>
      <c r="B8860" s="9" t="s">
        <v>18905</v>
      </c>
      <c r="C8860" s="9" t="s">
        <v>17</v>
      </c>
      <c r="D8860" s="9" t="s">
        <v>18</v>
      </c>
      <c r="E8860" s="10" t="s">
        <v>462</v>
      </c>
      <c r="F8860" s="9" t="s">
        <v>463</v>
      </c>
      <c r="G8860" s="10" t="s">
        <v>86</v>
      </c>
      <c r="H8860" s="9" t="s">
        <v>35</v>
      </c>
      <c r="I8860" s="9" t="s">
        <v>18907</v>
      </c>
      <c r="J8860" s="10" t="str">
        <f>HYPERLINK("https://www.boe.es/gazeta/dias/1834/08/27/pdfs/GMD-C-1834-193.pdf#page=2","Abrir facsímil")</f>
        <v>Abrir facsímil</v>
      </c>
      <c r="K8860" s="10" t="s">
        <v>37</v>
      </c>
    </row>
    <row r="8861" spans="1:11" ht="54" customHeight="1">
      <c r="A8861" s="9" t="s">
        <v>18908</v>
      </c>
      <c r="B8861" s="9" t="s">
        <v>18909</v>
      </c>
      <c r="C8861" s="9" t="s">
        <v>17</v>
      </c>
      <c r="D8861" s="9" t="s">
        <v>18</v>
      </c>
      <c r="E8861" s="10" t="s">
        <v>1351</v>
      </c>
      <c r="F8861" s="9" t="s">
        <v>1352</v>
      </c>
      <c r="G8861" s="10" t="s">
        <v>75</v>
      </c>
      <c r="H8861" s="9" t="s">
        <v>22</v>
      </c>
      <c r="I8861" s="9" t="s">
        <v>18910</v>
      </c>
      <c r="J8861" s="10" t="str">
        <f>HYPERLINK("https://www.boe.es/gazeta/dias/1834/07/05/pdfs/GMD-1834-138.pdf#page=4","Abrir facsímil")</f>
        <v>Abrir facsímil</v>
      </c>
      <c r="K8861" s="10" t="s">
        <v>24</v>
      </c>
    </row>
    <row r="8862" spans="1:11" ht="54" customHeight="1">
      <c r="A8862" s="9" t="s">
        <v>18908</v>
      </c>
      <c r="B8862" s="9" t="s">
        <v>18909</v>
      </c>
      <c r="C8862" s="9" t="s">
        <v>46</v>
      </c>
      <c r="D8862" s="9" t="s">
        <v>101</v>
      </c>
      <c r="E8862" s="10" t="s">
        <v>1135</v>
      </c>
      <c r="F8862" s="9" t="s">
        <v>1566</v>
      </c>
      <c r="G8862" s="10" t="s">
        <v>34</v>
      </c>
      <c r="H8862" s="9" t="s">
        <v>22</v>
      </c>
      <c r="I8862" s="9" t="s">
        <v>18911</v>
      </c>
      <c r="J8862" s="10" t="str">
        <f>HYPERLINK("https://www.boe.es/gazeta/dias/1834/08/26/pdfs/GMD-C-1834-192.pdf#page=1","Abrir facsímil")</f>
        <v>Abrir facsímil</v>
      </c>
      <c r="K8862" s="10" t="s">
        <v>24</v>
      </c>
    </row>
    <row r="8863" spans="1:11" ht="54" customHeight="1">
      <c r="A8863" s="9" t="s">
        <v>18908</v>
      </c>
      <c r="B8863" s="9" t="s">
        <v>18909</v>
      </c>
      <c r="C8863" s="9" t="s">
        <v>17</v>
      </c>
      <c r="D8863" s="9" t="s">
        <v>18</v>
      </c>
      <c r="E8863" s="10" t="s">
        <v>462</v>
      </c>
      <c r="F8863" s="9" t="s">
        <v>463</v>
      </c>
      <c r="G8863" s="10" t="s">
        <v>86</v>
      </c>
      <c r="H8863" s="9" t="s">
        <v>22</v>
      </c>
      <c r="I8863" s="9" t="s">
        <v>18912</v>
      </c>
      <c r="J8863" s="10" t="str">
        <f>HYPERLINK("https://www.boe.es/gazeta/dias/1834/08/27/pdfs/GMD-C-1834-193.pdf#page=2","Abrir facsímil")</f>
        <v>Abrir facsímil</v>
      </c>
      <c r="K8863" s="10" t="s">
        <v>24</v>
      </c>
    </row>
    <row r="8864" spans="1:11" ht="54" customHeight="1">
      <c r="A8864" s="9" t="s">
        <v>18913</v>
      </c>
      <c r="B8864" s="9" t="s">
        <v>18914</v>
      </c>
      <c r="C8864" s="9" t="s">
        <v>66</v>
      </c>
      <c r="D8864" s="9" t="s">
        <v>67</v>
      </c>
      <c r="E8864" s="10" t="s">
        <v>255</v>
      </c>
      <c r="F8864" s="9" t="s">
        <v>2368</v>
      </c>
      <c r="G8864" s="10" t="s">
        <v>34</v>
      </c>
      <c r="H8864" s="9" t="s">
        <v>22</v>
      </c>
      <c r="I8864" s="9" t="s">
        <v>18915</v>
      </c>
      <c r="J8864" s="10" t="str">
        <f>HYPERLINK("https://www.boe.es/gazeta/dias/1834/09/01/pdfs/I00843-00844.pdf#page=1","Abrir facsímil")</f>
        <v>Abrir facsímil</v>
      </c>
      <c r="K8864" s="10" t="s">
        <v>24</v>
      </c>
    </row>
    <row r="8865" spans="1:11" ht="54" customHeight="1">
      <c r="A8865" s="9" t="s">
        <v>18913</v>
      </c>
      <c r="B8865" s="9" t="s">
        <v>18914</v>
      </c>
      <c r="C8865" s="9" t="s">
        <v>66</v>
      </c>
      <c r="D8865" s="9" t="s">
        <v>67</v>
      </c>
      <c r="E8865" s="10" t="s">
        <v>255</v>
      </c>
      <c r="F8865" s="9" t="s">
        <v>2368</v>
      </c>
      <c r="G8865" s="10" t="s">
        <v>21</v>
      </c>
      <c r="H8865" s="9" t="s">
        <v>22</v>
      </c>
      <c r="I8865" s="9" t="s">
        <v>18916</v>
      </c>
      <c r="J8865" s="10" t="str">
        <f>HYPERLINK("https://www.boe.es/gazeta/dias/1834/09/01/pdfs/GMD-1834-199.pdf#page=3","Abrir facsímil")</f>
        <v>Abrir facsímil</v>
      </c>
      <c r="K8865" s="10" t="s">
        <v>24</v>
      </c>
    </row>
    <row r="8866" spans="1:11" ht="54" customHeight="1">
      <c r="A8866" s="9" t="s">
        <v>18917</v>
      </c>
      <c r="B8866" s="9" t="s">
        <v>18917</v>
      </c>
      <c r="C8866" s="9" t="s">
        <v>66</v>
      </c>
      <c r="D8866" s="9" t="s">
        <v>67</v>
      </c>
      <c r="E8866" s="10" t="s">
        <v>1119</v>
      </c>
      <c r="F8866" s="9" t="s">
        <v>1120</v>
      </c>
      <c r="G8866" s="10" t="s">
        <v>21</v>
      </c>
      <c r="H8866" s="9" t="s">
        <v>22</v>
      </c>
      <c r="I8866" s="9" t="s">
        <v>18918</v>
      </c>
      <c r="J8866" s="10" t="str">
        <f>HYPERLINK("https://www.boe.es/gazeta/dias/1834/07/17/pdfs/GMD-1834-150.pdf#page=3","Abrir facsímil")</f>
        <v>Abrir facsímil</v>
      </c>
      <c r="K8866" s="10" t="s">
        <v>24</v>
      </c>
    </row>
    <row r="8867" spans="1:11" ht="54" customHeight="1">
      <c r="A8867" s="9" t="s">
        <v>18919</v>
      </c>
      <c r="B8867" s="9" t="s">
        <v>18920</v>
      </c>
      <c r="C8867" s="9" t="s">
        <v>66</v>
      </c>
      <c r="D8867" s="9" t="s">
        <v>67</v>
      </c>
      <c r="E8867" s="10" t="s">
        <v>808</v>
      </c>
      <c r="F8867" s="9" t="s">
        <v>809</v>
      </c>
      <c r="G8867" s="10" t="s">
        <v>21</v>
      </c>
      <c r="H8867" s="9" t="s">
        <v>22</v>
      </c>
      <c r="I8867" s="9" t="s">
        <v>18921</v>
      </c>
      <c r="J8867" s="10" t="str">
        <f>HYPERLINK("https://www.boe.es/gazeta/dias/1834/10/11/pdfs/GMD-1834-239.pdf#page=3","Abrir facsímil")</f>
        <v>Abrir facsímil</v>
      </c>
      <c r="K8867" s="10" t="s">
        <v>24</v>
      </c>
    </row>
    <row r="8868" spans="1:11" ht="54" customHeight="1">
      <c r="A8868" s="9" t="s">
        <v>18922</v>
      </c>
      <c r="B8868" s="9" t="s">
        <v>18923</v>
      </c>
      <c r="C8868" s="9" t="s">
        <v>17</v>
      </c>
      <c r="D8868" s="9" t="s">
        <v>18</v>
      </c>
      <c r="E8868" s="10" t="s">
        <v>1839</v>
      </c>
      <c r="F8868" s="9" t="s">
        <v>3598</v>
      </c>
      <c r="G8868" s="10" t="s">
        <v>86</v>
      </c>
      <c r="H8868" s="9" t="s">
        <v>22</v>
      </c>
      <c r="I8868" s="9" t="s">
        <v>18924</v>
      </c>
      <c r="J8868" s="10" t="str">
        <f>HYPERLINK("https://www.boe.es/gazeta/dias/1834/08/12/pdfs/GMD-1834-177.pdf#page=2","Abrir facsímil")</f>
        <v>Abrir facsímil</v>
      </c>
      <c r="K8868" s="10" t="s">
        <v>24</v>
      </c>
    </row>
    <row r="8869" spans="1:11" ht="54" customHeight="1">
      <c r="A8869" s="9" t="s">
        <v>18925</v>
      </c>
      <c r="B8869" s="9" t="s">
        <v>18926</v>
      </c>
      <c r="C8869" s="9" t="s">
        <v>17</v>
      </c>
      <c r="D8869" s="9" t="s">
        <v>40</v>
      </c>
      <c r="E8869" s="10" t="s">
        <v>339</v>
      </c>
      <c r="F8869" s="9" t="s">
        <v>340</v>
      </c>
      <c r="G8869" s="10" t="s">
        <v>21</v>
      </c>
      <c r="H8869" s="9" t="s">
        <v>35</v>
      </c>
      <c r="I8869" s="9" t="s">
        <v>18927</v>
      </c>
      <c r="J8869" s="10" t="str">
        <f>HYPERLINK("https://www.boe.es/gazeta/dias/1834/05/02/pdfs/GMD-1834-71.pdf#page=3","Abrir facsímil")</f>
        <v>Abrir facsímil</v>
      </c>
      <c r="K8869" s="10" t="s">
        <v>37</v>
      </c>
    </row>
    <row r="8870" spans="1:11" ht="54" customHeight="1">
      <c r="A8870" s="9" t="s">
        <v>18925</v>
      </c>
      <c r="B8870" s="9" t="s">
        <v>18926</v>
      </c>
      <c r="C8870" s="9" t="s">
        <v>17</v>
      </c>
      <c r="D8870" s="9" t="s">
        <v>18</v>
      </c>
      <c r="E8870" s="10" t="s">
        <v>808</v>
      </c>
      <c r="F8870" s="9" t="s">
        <v>809</v>
      </c>
      <c r="G8870" s="10" t="s">
        <v>75</v>
      </c>
      <c r="H8870" s="9" t="s">
        <v>35</v>
      </c>
      <c r="I8870" s="9" t="s">
        <v>18928</v>
      </c>
      <c r="J8870" s="10" t="str">
        <f>HYPERLINK("https://www.boe.es/gazeta/dias/1834/10/11/pdfs/GMD-1834-239.pdf#page=4","Abrir facsímil")</f>
        <v>Abrir facsímil</v>
      </c>
      <c r="K8870" s="10" t="s">
        <v>37</v>
      </c>
    </row>
    <row r="8871" spans="1:11" ht="54" customHeight="1">
      <c r="A8871" s="9" t="s">
        <v>18929</v>
      </c>
      <c r="B8871" s="9" t="s">
        <v>18930</v>
      </c>
      <c r="C8871" s="9" t="s">
        <v>17</v>
      </c>
      <c r="D8871" s="9" t="s">
        <v>40</v>
      </c>
      <c r="E8871" s="10" t="s">
        <v>339</v>
      </c>
      <c r="F8871" s="9" t="s">
        <v>340</v>
      </c>
      <c r="G8871" s="10" t="s">
        <v>21</v>
      </c>
      <c r="H8871" s="9" t="s">
        <v>22</v>
      </c>
      <c r="I8871" s="9" t="s">
        <v>18931</v>
      </c>
      <c r="J8871" s="10" t="str">
        <f>HYPERLINK("https://www.boe.es/gazeta/dias/1834/05/02/pdfs/GMD-1834-71.pdf#page=3","Abrir facsímil")</f>
        <v>Abrir facsímil</v>
      </c>
      <c r="K8871" s="10" t="s">
        <v>24</v>
      </c>
    </row>
    <row r="8872" spans="1:11" ht="54" customHeight="1">
      <c r="A8872" s="9" t="s">
        <v>18929</v>
      </c>
      <c r="B8872" s="9" t="s">
        <v>18930</v>
      </c>
      <c r="C8872" s="9" t="s">
        <v>17</v>
      </c>
      <c r="D8872" s="9" t="s">
        <v>18</v>
      </c>
      <c r="E8872" s="10" t="s">
        <v>808</v>
      </c>
      <c r="F8872" s="9" t="s">
        <v>809</v>
      </c>
      <c r="G8872" s="10" t="s">
        <v>75</v>
      </c>
      <c r="H8872" s="9" t="s">
        <v>22</v>
      </c>
      <c r="I8872" s="9" t="s">
        <v>18932</v>
      </c>
      <c r="J8872" s="10" t="str">
        <f>HYPERLINK("https://www.boe.es/gazeta/dias/1834/10/11/pdfs/GMD-1834-239.pdf#page=4","Abrir facsímil")</f>
        <v>Abrir facsímil</v>
      </c>
      <c r="K8872" s="10" t="s">
        <v>24</v>
      </c>
    </row>
    <row r="8873" spans="1:11" ht="54" customHeight="1">
      <c r="A8873" s="9" t="s">
        <v>18933</v>
      </c>
      <c r="B8873" s="9" t="s">
        <v>18934</v>
      </c>
      <c r="C8873" s="9" t="s">
        <v>17</v>
      </c>
      <c r="D8873" s="9" t="s">
        <v>18</v>
      </c>
      <c r="E8873" s="10" t="s">
        <v>762</v>
      </c>
      <c r="F8873" s="9" t="s">
        <v>763</v>
      </c>
      <c r="G8873" s="10" t="s">
        <v>34</v>
      </c>
      <c r="H8873" s="9" t="s">
        <v>22</v>
      </c>
      <c r="I8873" s="9" t="s">
        <v>18935</v>
      </c>
      <c r="J8873" s="10" t="str">
        <f>HYPERLINK("https://www.boe.es/gazeta/dias/1834/11/07/pdfs/GMD-1834-266.pdf#page=1","Abrir facsímil")</f>
        <v>Abrir facsímil</v>
      </c>
      <c r="K8873" s="10" t="s">
        <v>24</v>
      </c>
    </row>
    <row r="8874" spans="1:11" ht="54" customHeight="1">
      <c r="A8874" s="9" t="s">
        <v>18936</v>
      </c>
      <c r="B8874" s="9" t="s">
        <v>18937</v>
      </c>
      <c r="C8874" s="9" t="s">
        <v>17</v>
      </c>
      <c r="D8874" s="9" t="s">
        <v>101</v>
      </c>
      <c r="E8874" s="10" t="s">
        <v>724</v>
      </c>
      <c r="F8874" s="9" t="s">
        <v>725</v>
      </c>
      <c r="G8874" s="10" t="s">
        <v>176</v>
      </c>
      <c r="H8874" s="9" t="s">
        <v>22</v>
      </c>
      <c r="I8874" s="9" t="s">
        <v>18938</v>
      </c>
      <c r="J8874" s="10" t="str">
        <f>HYPERLINK("https://www.boe.es/gazeta/dias/1834/04/25/pdfs/GMD-1834-64.pdf#page=6","Abrir facsímil")</f>
        <v>Abrir facsímil</v>
      </c>
      <c r="K8874" s="10" t="s">
        <v>24</v>
      </c>
    </row>
    <row r="8875" spans="1:11" ht="54" customHeight="1">
      <c r="A8875" s="9" t="s">
        <v>18939</v>
      </c>
      <c r="B8875" s="9" t="s">
        <v>18939</v>
      </c>
      <c r="C8875" s="9" t="s">
        <v>17</v>
      </c>
      <c r="D8875" s="9" t="s">
        <v>40</v>
      </c>
      <c r="E8875" s="10" t="s">
        <v>429</v>
      </c>
      <c r="F8875" s="9" t="s">
        <v>3421</v>
      </c>
      <c r="G8875" s="10" t="s">
        <v>75</v>
      </c>
      <c r="H8875" s="9" t="s">
        <v>22</v>
      </c>
      <c r="I8875" s="9" t="s">
        <v>18940</v>
      </c>
      <c r="J8875" s="10" t="str">
        <f>HYPERLINK("https://www.boe.es/gazeta/dias/1834/08/07/pdfs/GMD-1834-172.pdf#page=4","Abrir facsímil")</f>
        <v>Abrir facsímil</v>
      </c>
      <c r="K8875" s="10" t="s">
        <v>24</v>
      </c>
    </row>
    <row r="8876" spans="1:11" ht="54" customHeight="1">
      <c r="A8876" s="9" t="s">
        <v>18941</v>
      </c>
      <c r="B8876" s="9" t="s">
        <v>18942</v>
      </c>
      <c r="C8876" s="9" t="s">
        <v>17</v>
      </c>
      <c r="D8876" s="9" t="s">
        <v>18</v>
      </c>
      <c r="E8876" s="10" t="s">
        <v>19</v>
      </c>
      <c r="F8876" s="9" t="s">
        <v>107</v>
      </c>
      <c r="G8876" s="10" t="s">
        <v>75</v>
      </c>
      <c r="H8876" s="9" t="s">
        <v>22</v>
      </c>
      <c r="I8876" s="9" t="s">
        <v>18943</v>
      </c>
      <c r="J8876" s="10" t="str">
        <f>HYPERLINK("https://www.boe.es/gazeta/dias/1834/08/17/pdfs/GMD-1834-182.pdf#page=4","Abrir facsímil")</f>
        <v>Abrir facsímil</v>
      </c>
      <c r="K8876" s="10" t="s">
        <v>24</v>
      </c>
    </row>
    <row r="8877" spans="1:11" ht="54" customHeight="1">
      <c r="A8877" s="9" t="s">
        <v>18944</v>
      </c>
      <c r="B8877" s="9" t="s">
        <v>18945</v>
      </c>
      <c r="C8877" s="9" t="s">
        <v>66</v>
      </c>
      <c r="D8877" s="9" t="s">
        <v>67</v>
      </c>
      <c r="E8877" s="10" t="s">
        <v>339</v>
      </c>
      <c r="F8877" s="9" t="s">
        <v>340</v>
      </c>
      <c r="G8877" s="10" t="s">
        <v>21</v>
      </c>
      <c r="H8877" s="9" t="s">
        <v>22</v>
      </c>
      <c r="I8877" s="9" t="s">
        <v>18946</v>
      </c>
      <c r="J8877" s="10" t="str">
        <f>HYPERLINK("https://www.boe.es/gazeta/dias/1834/05/02/pdfs/GMD-1834-71.pdf#page=3","Abrir facsímil")</f>
        <v>Abrir facsímil</v>
      </c>
      <c r="K8877" s="10" t="s">
        <v>24</v>
      </c>
    </row>
    <row r="8878" spans="1:11" ht="54" customHeight="1">
      <c r="A8878" s="9" t="s">
        <v>18947</v>
      </c>
      <c r="B8878" s="9" t="s">
        <v>18948</v>
      </c>
      <c r="C8878" s="9" t="s">
        <v>90</v>
      </c>
      <c r="D8878" s="9" t="s">
        <v>18</v>
      </c>
      <c r="E8878" s="10" t="s">
        <v>3083</v>
      </c>
      <c r="F8878" s="9" t="s">
        <v>3084</v>
      </c>
      <c r="G8878" s="10" t="s">
        <v>21</v>
      </c>
      <c r="H8878" s="9" t="s">
        <v>22</v>
      </c>
      <c r="I8878" s="9" t="s">
        <v>18949</v>
      </c>
      <c r="J8878" s="10" t="str">
        <f>HYPERLINK("https://www.boe.es/gazeta/dias/1834/10/30/pdfs/GMD-1834-258.pdf#page=3","Abrir facsímil")</f>
        <v>Abrir facsímil</v>
      </c>
      <c r="K8878" s="10" t="s">
        <v>24</v>
      </c>
    </row>
    <row r="8879" spans="1:11" ht="54" customHeight="1">
      <c r="A8879" s="9" t="s">
        <v>18950</v>
      </c>
      <c r="B8879" s="9" t="s">
        <v>18951</v>
      </c>
      <c r="C8879" s="9" t="s">
        <v>90</v>
      </c>
      <c r="D8879" s="9" t="s">
        <v>18</v>
      </c>
      <c r="E8879" s="10" t="s">
        <v>3083</v>
      </c>
      <c r="F8879" s="9" t="s">
        <v>3084</v>
      </c>
      <c r="G8879" s="10" t="s">
        <v>21</v>
      </c>
      <c r="H8879" s="9" t="s">
        <v>35</v>
      </c>
      <c r="I8879" s="9" t="s">
        <v>18952</v>
      </c>
      <c r="J8879" s="10" t="str">
        <f>HYPERLINK("https://www.boe.es/gazeta/dias/1834/10/30/pdfs/GMD-1834-258.pdf#page=3","Abrir facsímil")</f>
        <v>Abrir facsímil</v>
      </c>
      <c r="K8879" s="10" t="s">
        <v>37</v>
      </c>
    </row>
    <row r="8880" spans="1:11" ht="54" customHeight="1">
      <c r="A8880" s="9" t="s">
        <v>18953</v>
      </c>
      <c r="B8880" s="9" t="s">
        <v>18954</v>
      </c>
      <c r="C8880" s="9" t="s">
        <v>90</v>
      </c>
      <c r="D8880" s="9" t="s">
        <v>67</v>
      </c>
      <c r="E8880" s="10" t="s">
        <v>217</v>
      </c>
      <c r="F8880" s="9" t="s">
        <v>218</v>
      </c>
      <c r="G8880" s="10" t="s">
        <v>75</v>
      </c>
      <c r="H8880" s="9" t="s">
        <v>22</v>
      </c>
      <c r="I8880" s="9" t="s">
        <v>18955</v>
      </c>
      <c r="J8880" s="10" t="str">
        <f>HYPERLINK("https://www.boe.es/gazeta/dias/1834/04/20/pdfs/GMD-1834-59.pdf#page=4","Abrir facsímil")</f>
        <v>Abrir facsímil</v>
      </c>
      <c r="K8880" s="10" t="s">
        <v>24</v>
      </c>
    </row>
    <row r="8881" spans="1:11" ht="54" customHeight="1">
      <c r="A8881" s="9" t="s">
        <v>18956</v>
      </c>
      <c r="B8881" s="9" t="s">
        <v>18957</v>
      </c>
      <c r="C8881" s="9" t="s">
        <v>17</v>
      </c>
      <c r="D8881" s="9" t="s">
        <v>18</v>
      </c>
      <c r="E8881" s="10" t="s">
        <v>91</v>
      </c>
      <c r="F8881" s="9" t="s">
        <v>92</v>
      </c>
      <c r="G8881" s="10" t="s">
        <v>75</v>
      </c>
      <c r="H8881" s="9" t="s">
        <v>22</v>
      </c>
      <c r="I8881" s="9" t="s">
        <v>18958</v>
      </c>
      <c r="J8881" s="10" t="str">
        <f>HYPERLINK("https://www.boe.es/gazeta/dias/1834/02/13/pdfs/GMD-1834-20.pdf#page=4","Abrir facsímil")</f>
        <v>Abrir facsímil</v>
      </c>
      <c r="K8881" s="10" t="s">
        <v>24</v>
      </c>
    </row>
    <row r="8882" spans="1:11" ht="54" customHeight="1">
      <c r="A8882" s="9" t="s">
        <v>18959</v>
      </c>
      <c r="B8882" s="9" t="s">
        <v>18960</v>
      </c>
      <c r="C8882" s="9" t="s">
        <v>17</v>
      </c>
      <c r="D8882" s="9" t="s">
        <v>18</v>
      </c>
      <c r="E8882" s="10" t="s">
        <v>1186</v>
      </c>
      <c r="F8882" s="9" t="s">
        <v>1187</v>
      </c>
      <c r="G8882" s="10" t="s">
        <v>21</v>
      </c>
      <c r="H8882" s="9" t="s">
        <v>35</v>
      </c>
      <c r="I8882" s="9" t="s">
        <v>18961</v>
      </c>
      <c r="J8882" s="10" t="str">
        <f>HYPERLINK("https://www.boe.es/gazeta/dias/1834/08/14/pdfs/GMD-1834-179.pdf#page=3","Abrir facsímil")</f>
        <v>Abrir facsímil</v>
      </c>
      <c r="K8882" s="10" t="s">
        <v>37</v>
      </c>
    </row>
    <row r="8883" spans="1:11" ht="54" customHeight="1">
      <c r="A8883" s="9" t="s">
        <v>18962</v>
      </c>
      <c r="B8883" s="9" t="s">
        <v>18963</v>
      </c>
      <c r="C8883" s="9" t="s">
        <v>17</v>
      </c>
      <c r="D8883" s="9" t="s">
        <v>18</v>
      </c>
      <c r="E8883" s="10" t="s">
        <v>1186</v>
      </c>
      <c r="F8883" s="9" t="s">
        <v>1187</v>
      </c>
      <c r="G8883" s="10" t="s">
        <v>21</v>
      </c>
      <c r="H8883" s="9" t="s">
        <v>22</v>
      </c>
      <c r="I8883" s="9" t="s">
        <v>18964</v>
      </c>
      <c r="J8883" s="10" t="str">
        <f>HYPERLINK("https://www.boe.es/gazeta/dias/1834/08/14/pdfs/GMD-1834-179.pdf#page=3","Abrir facsímil")</f>
        <v>Abrir facsímil</v>
      </c>
      <c r="K8883" s="10" t="s">
        <v>24</v>
      </c>
    </row>
    <row r="8884" spans="1:11" ht="54" customHeight="1">
      <c r="A8884" s="9" t="s">
        <v>18965</v>
      </c>
      <c r="B8884" s="9" t="s">
        <v>18966</v>
      </c>
      <c r="C8884" s="9" t="s">
        <v>17</v>
      </c>
      <c r="D8884" s="9" t="s">
        <v>18</v>
      </c>
      <c r="E8884" s="10" t="s">
        <v>1402</v>
      </c>
      <c r="F8884" s="9" t="s">
        <v>1403</v>
      </c>
      <c r="G8884" s="10" t="s">
        <v>75</v>
      </c>
      <c r="H8884" s="9" t="s">
        <v>22</v>
      </c>
      <c r="I8884" s="9" t="s">
        <v>18967</v>
      </c>
      <c r="J8884" s="10" t="str">
        <f>HYPERLINK("https://www.boe.es/gazeta/dias/1834/05/05/pdfs/GMD-1834-74.pdf#page=4","Abrir facsímil")</f>
        <v>Abrir facsímil</v>
      </c>
      <c r="K8884" s="10" t="s">
        <v>24</v>
      </c>
    </row>
    <row r="8885" spans="1:11" ht="54" customHeight="1">
      <c r="A8885" s="9" t="s">
        <v>18968</v>
      </c>
      <c r="B8885" s="9" t="s">
        <v>18969</v>
      </c>
      <c r="C8885" s="9" t="s">
        <v>17</v>
      </c>
      <c r="D8885" s="9" t="s">
        <v>18</v>
      </c>
      <c r="E8885" s="10" t="s">
        <v>919</v>
      </c>
      <c r="F8885" s="9" t="s">
        <v>920</v>
      </c>
      <c r="G8885" s="10" t="s">
        <v>75</v>
      </c>
      <c r="H8885" s="9" t="s">
        <v>22</v>
      </c>
      <c r="I8885" s="9" t="s">
        <v>18970</v>
      </c>
      <c r="J8885" s="10" t="str">
        <f>HYPERLINK("https://www.boe.es/gazeta/dias/1834/06/24/pdfs/GMD-1834-127.pdf#page=4","Abrir facsímil")</f>
        <v>Abrir facsímil</v>
      </c>
      <c r="K8885" s="10" t="s">
        <v>24</v>
      </c>
    </row>
    <row r="8886" spans="1:11" ht="54" customHeight="1">
      <c r="A8886" s="9" t="s">
        <v>18971</v>
      </c>
      <c r="B8886" s="9" t="s">
        <v>18972</v>
      </c>
      <c r="C8886" s="9" t="s">
        <v>90</v>
      </c>
      <c r="D8886" s="9" t="s">
        <v>18</v>
      </c>
      <c r="E8886" s="10" t="s">
        <v>849</v>
      </c>
      <c r="F8886" s="9" t="s">
        <v>850</v>
      </c>
      <c r="G8886" s="10" t="s">
        <v>34</v>
      </c>
      <c r="H8886" s="9" t="s">
        <v>22</v>
      </c>
      <c r="I8886" s="9" t="s">
        <v>18973</v>
      </c>
      <c r="J8886" s="10" t="str">
        <f>HYPERLINK("https://www.boe.es/gazeta/dias/1834/06/21/pdfs/GMD-1834-124.pdf#page=1","Abrir facsímil")</f>
        <v>Abrir facsímil</v>
      </c>
      <c r="K8886" s="10" t="s">
        <v>24</v>
      </c>
    </row>
    <row r="8887" spans="1:11" ht="54" customHeight="1">
      <c r="A8887" s="9" t="s">
        <v>18974</v>
      </c>
      <c r="B8887" s="9" t="s">
        <v>18974</v>
      </c>
      <c r="C8887" s="9" t="s">
        <v>122</v>
      </c>
      <c r="D8887" s="9" t="s">
        <v>18</v>
      </c>
      <c r="E8887" s="10" t="s">
        <v>448</v>
      </c>
      <c r="F8887" s="9" t="s">
        <v>2058</v>
      </c>
      <c r="G8887" s="10" t="s">
        <v>21</v>
      </c>
      <c r="H8887" s="9" t="s">
        <v>22</v>
      </c>
      <c r="I8887" s="9" t="s">
        <v>18975</v>
      </c>
      <c r="J8887" s="10" t="str">
        <f>HYPERLINK("https://www.boe.es/gazeta/dias/1834/10/14/pdfs/GMD-1834-242.pdf#page=3","Abrir facsímil")</f>
        <v>Abrir facsímil</v>
      </c>
      <c r="K8887" s="10" t="s">
        <v>24</v>
      </c>
    </row>
    <row r="8888" spans="1:11" ht="54" customHeight="1">
      <c r="A8888" s="9" t="s">
        <v>18974</v>
      </c>
      <c r="B8888" s="9" t="s">
        <v>18974</v>
      </c>
      <c r="C8888" s="9" t="s">
        <v>90</v>
      </c>
      <c r="D8888" s="9" t="s">
        <v>18</v>
      </c>
      <c r="E8888" s="10" t="s">
        <v>563</v>
      </c>
      <c r="F8888" s="9" t="s">
        <v>564</v>
      </c>
      <c r="G8888" s="10" t="s">
        <v>176</v>
      </c>
      <c r="H8888" s="9" t="s">
        <v>22</v>
      </c>
      <c r="I8888" s="9" t="s">
        <v>18976</v>
      </c>
      <c r="J8888" s="10" t="str">
        <f>HYPERLINK("https://www.boe.es/gazeta/dias/1834/04/19/pdfs/GMD-1834-58.pdf#page=6","Abrir facsímil")</f>
        <v>Abrir facsímil</v>
      </c>
      <c r="K8888" s="10" t="s">
        <v>24</v>
      </c>
    </row>
    <row r="8889" spans="1:11" ht="54" customHeight="1">
      <c r="A8889" s="9" t="s">
        <v>18974</v>
      </c>
      <c r="B8889" s="9" t="s">
        <v>18974</v>
      </c>
      <c r="C8889" s="9" t="s">
        <v>17</v>
      </c>
      <c r="D8889" s="9" t="s">
        <v>18</v>
      </c>
      <c r="E8889" s="10" t="s">
        <v>2142</v>
      </c>
      <c r="F8889" s="9" t="s">
        <v>2143</v>
      </c>
      <c r="G8889" s="10" t="s">
        <v>75</v>
      </c>
      <c r="H8889" s="9" t="s">
        <v>22</v>
      </c>
      <c r="I8889" s="9" t="s">
        <v>18977</v>
      </c>
      <c r="J8889" s="10" t="str">
        <f>HYPERLINK("https://www.boe.es/gazeta/dias/1834/12/27/pdfs/GMD-1834-317.pdf#page=4","Abrir facsímil")</f>
        <v>Abrir facsímil</v>
      </c>
      <c r="K8889" s="10" t="s">
        <v>24</v>
      </c>
    </row>
    <row r="8890" spans="1:11" ht="54" customHeight="1">
      <c r="A8890" s="9" t="s">
        <v>18978</v>
      </c>
      <c r="B8890" s="9" t="s">
        <v>18979</v>
      </c>
      <c r="C8890" s="9" t="s">
        <v>17</v>
      </c>
      <c r="D8890" s="9" t="s">
        <v>18</v>
      </c>
      <c r="E8890" s="10" t="s">
        <v>1084</v>
      </c>
      <c r="F8890" s="9" t="s">
        <v>1085</v>
      </c>
      <c r="G8890" s="10" t="s">
        <v>176</v>
      </c>
      <c r="H8890" s="9" t="s">
        <v>22</v>
      </c>
      <c r="I8890" s="9" t="s">
        <v>18980</v>
      </c>
      <c r="J8890" s="10" t="str">
        <f>HYPERLINK("https://www.boe.es/gazeta/dias/1834/05/01/pdfs/GMD-1834-70.pdf#page=6","Abrir facsímil")</f>
        <v>Abrir facsímil</v>
      </c>
      <c r="K8890" s="10" t="s">
        <v>24</v>
      </c>
    </row>
    <row r="8891" spans="1:11" ht="54" customHeight="1">
      <c r="A8891" s="9" t="s">
        <v>18981</v>
      </c>
      <c r="B8891" s="9" t="s">
        <v>18982</v>
      </c>
      <c r="C8891" s="9" t="s">
        <v>17</v>
      </c>
      <c r="D8891" s="9" t="s">
        <v>18</v>
      </c>
      <c r="E8891" s="10" t="s">
        <v>375</v>
      </c>
      <c r="F8891" s="9" t="s">
        <v>4983</v>
      </c>
      <c r="G8891" s="10" t="s">
        <v>86</v>
      </c>
      <c r="H8891" s="9" t="s">
        <v>35</v>
      </c>
      <c r="I8891" s="9" t="s">
        <v>18983</v>
      </c>
      <c r="J8891" s="10" t="str">
        <f>HYPERLINK("https://www.boe.es/gazeta/dias/1834/08/21/pdfs/GMD-C-1834-187.pdf#page=2","Abrir facsímil")</f>
        <v>Abrir facsímil</v>
      </c>
      <c r="K8891" s="10" t="s">
        <v>37</v>
      </c>
    </row>
    <row r="8892" spans="1:11" ht="54" customHeight="1">
      <c r="A8892" s="9" t="s">
        <v>18984</v>
      </c>
      <c r="B8892" s="9" t="s">
        <v>18985</v>
      </c>
      <c r="C8892" s="9" t="s">
        <v>46</v>
      </c>
      <c r="D8892" s="9" t="s">
        <v>40</v>
      </c>
      <c r="E8892" s="10" t="s">
        <v>2142</v>
      </c>
      <c r="F8892" s="9" t="s">
        <v>2143</v>
      </c>
      <c r="G8892" s="10" t="s">
        <v>75</v>
      </c>
      <c r="H8892" s="9" t="s">
        <v>22</v>
      </c>
      <c r="I8892" s="9" t="s">
        <v>18986</v>
      </c>
      <c r="J8892" s="10" t="str">
        <f>HYPERLINK("https://www.boe.es/gazeta/dias/1834/12/27/pdfs/GMD-1834-317.pdf#page=4","Abrir facsímil")</f>
        <v>Abrir facsímil</v>
      </c>
      <c r="K8892" s="10" t="s">
        <v>24</v>
      </c>
    </row>
    <row r="8893" spans="1:11" ht="54" customHeight="1">
      <c r="A8893" s="9" t="s">
        <v>18987</v>
      </c>
      <c r="B8893" s="9" t="s">
        <v>18988</v>
      </c>
      <c r="C8893" s="9" t="s">
        <v>66</v>
      </c>
      <c r="D8893" s="9" t="s">
        <v>67</v>
      </c>
      <c r="E8893" s="10" t="s">
        <v>1510</v>
      </c>
      <c r="F8893" s="9" t="s">
        <v>1511</v>
      </c>
      <c r="G8893" s="10" t="s">
        <v>75</v>
      </c>
      <c r="H8893" s="9" t="s">
        <v>22</v>
      </c>
      <c r="I8893" s="9" t="s">
        <v>18989</v>
      </c>
      <c r="J8893" s="10" t="str">
        <f>HYPERLINK("https://www.boe.es/gazeta/dias/1834/06/13/pdfs/GMD-1834-116.pdf#page=4","Abrir facsímil")</f>
        <v>Abrir facsímil</v>
      </c>
      <c r="K8893" s="10" t="s">
        <v>24</v>
      </c>
    </row>
    <row r="8894" spans="1:11" ht="54" customHeight="1">
      <c r="A8894" s="9" t="s">
        <v>18990</v>
      </c>
      <c r="B8894" s="9" t="s">
        <v>18991</v>
      </c>
      <c r="C8894" s="9" t="s">
        <v>66</v>
      </c>
      <c r="D8894" s="9" t="s">
        <v>67</v>
      </c>
      <c r="E8894" s="10" t="s">
        <v>753</v>
      </c>
      <c r="F8894" s="9" t="s">
        <v>754</v>
      </c>
      <c r="G8894" s="10" t="s">
        <v>34</v>
      </c>
      <c r="H8894" s="9" t="s">
        <v>22</v>
      </c>
      <c r="I8894" s="9" t="s">
        <v>18992</v>
      </c>
      <c r="J8894" s="10" t="str">
        <f>HYPERLINK("https://www.boe.es/gazeta/dias/1834/04/21/pdfs/GMD-1834-60.pdf#page=1","Abrir facsímil")</f>
        <v>Abrir facsímil</v>
      </c>
      <c r="K8894" s="10" t="s">
        <v>24</v>
      </c>
    </row>
    <row r="8895" spans="1:11" ht="54" customHeight="1">
      <c r="A8895" s="9" t="s">
        <v>18993</v>
      </c>
      <c r="B8895" s="9" t="s">
        <v>18994</v>
      </c>
      <c r="C8895" s="9" t="s">
        <v>46</v>
      </c>
      <c r="D8895" s="9" t="s">
        <v>101</v>
      </c>
      <c r="E8895" s="10" t="s">
        <v>563</v>
      </c>
      <c r="F8895" s="9" t="s">
        <v>564</v>
      </c>
      <c r="G8895" s="10" t="s">
        <v>28</v>
      </c>
      <c r="H8895" s="9" t="s">
        <v>22</v>
      </c>
      <c r="I8895" s="9" t="s">
        <v>18995</v>
      </c>
      <c r="J8895" s="10" t="str">
        <f>HYPERLINK("https://www.boe.es/gazeta/dias/1834/04/19/pdfs/GMD-1834-58.pdf#page=5","Abrir facsímil")</f>
        <v>Abrir facsímil</v>
      </c>
      <c r="K8895" s="10" t="s">
        <v>24</v>
      </c>
    </row>
    <row r="8896" spans="1:11" ht="54" customHeight="1">
      <c r="A8896" s="9" t="s">
        <v>18996</v>
      </c>
      <c r="B8896" s="9" t="s">
        <v>18997</v>
      </c>
      <c r="C8896" s="9" t="s">
        <v>17</v>
      </c>
      <c r="D8896" s="9" t="s">
        <v>18</v>
      </c>
      <c r="E8896" s="10" t="s">
        <v>375</v>
      </c>
      <c r="F8896" s="9" t="s">
        <v>4983</v>
      </c>
      <c r="G8896" s="10" t="s">
        <v>86</v>
      </c>
      <c r="H8896" s="9" t="s">
        <v>22</v>
      </c>
      <c r="I8896" s="9" t="s">
        <v>18998</v>
      </c>
      <c r="J8896" s="10" t="str">
        <f>HYPERLINK("https://www.boe.es/gazeta/dias/1834/08/21/pdfs/GMD-C-1834-187.pdf#page=2","Abrir facsímil")</f>
        <v>Abrir facsímil</v>
      </c>
      <c r="K8896" s="10" t="s">
        <v>24</v>
      </c>
    </row>
    <row r="8897" spans="1:11" ht="54" customHeight="1">
      <c r="A8897" s="9" t="s">
        <v>18999</v>
      </c>
      <c r="B8897" s="9" t="s">
        <v>19000</v>
      </c>
      <c r="C8897" s="9" t="s">
        <v>17</v>
      </c>
      <c r="D8897" s="9" t="s">
        <v>18</v>
      </c>
      <c r="E8897" s="10" t="s">
        <v>243</v>
      </c>
      <c r="F8897" s="9" t="s">
        <v>244</v>
      </c>
      <c r="G8897" s="10" t="s">
        <v>34</v>
      </c>
      <c r="H8897" s="9" t="s">
        <v>22</v>
      </c>
      <c r="I8897" s="9" t="s">
        <v>19001</v>
      </c>
      <c r="J8897" s="10" t="str">
        <f>HYPERLINK("https://www.boe.es/gazeta/dias/1834/08/05/pdfs/GMD-C-1834-169.pdf#page=1","Abrir facsímil")</f>
        <v>Abrir facsímil</v>
      </c>
      <c r="K8897" s="10" t="s">
        <v>24</v>
      </c>
    </row>
    <row r="8898" spans="1:11" ht="54" customHeight="1">
      <c r="A8898" s="9" t="s">
        <v>18999</v>
      </c>
      <c r="B8898" s="9" t="s">
        <v>19000</v>
      </c>
      <c r="C8898" s="9" t="s">
        <v>17</v>
      </c>
      <c r="D8898" s="9" t="s">
        <v>18</v>
      </c>
      <c r="E8898" s="10" t="s">
        <v>5435</v>
      </c>
      <c r="F8898" s="9" t="s">
        <v>5436</v>
      </c>
      <c r="G8898" s="10" t="s">
        <v>21</v>
      </c>
      <c r="H8898" s="9" t="s">
        <v>22</v>
      </c>
      <c r="I8898" s="9" t="s">
        <v>19002</v>
      </c>
      <c r="J8898" s="10" t="str">
        <f>HYPERLINK("https://www.boe.es/gazeta/dias/1834/05/11/pdfs/GMD-1834-80.pdf#page=3","Abrir facsímil")</f>
        <v>Abrir facsímil</v>
      </c>
      <c r="K8898" s="10" t="s">
        <v>24</v>
      </c>
    </row>
    <row r="8899" spans="1:11" ht="54" customHeight="1">
      <c r="A8899" s="9" t="s">
        <v>18999</v>
      </c>
      <c r="B8899" s="9" t="s">
        <v>19000</v>
      </c>
      <c r="C8899" s="9" t="s">
        <v>17</v>
      </c>
      <c r="D8899" s="9" t="s">
        <v>18</v>
      </c>
      <c r="E8899" s="10" t="s">
        <v>615</v>
      </c>
      <c r="F8899" s="9" t="s">
        <v>1205</v>
      </c>
      <c r="G8899" s="10" t="s">
        <v>86</v>
      </c>
      <c r="H8899" s="9" t="s">
        <v>22</v>
      </c>
      <c r="I8899" s="9" t="s">
        <v>19003</v>
      </c>
      <c r="J8899" s="10" t="str">
        <f>HYPERLINK("https://www.boe.es/gazeta/dias/1834/08/19/pdfs/GMD-D-1834-185.pdf#page=2","Abrir facsímil")</f>
        <v>Abrir facsímil</v>
      </c>
      <c r="K8899" s="10" t="s">
        <v>24</v>
      </c>
    </row>
    <row r="8900" spans="1:11" ht="54" customHeight="1">
      <c r="A8900" s="9" t="s">
        <v>19004</v>
      </c>
      <c r="B8900" s="9" t="s">
        <v>19005</v>
      </c>
      <c r="C8900" s="9" t="s">
        <v>17</v>
      </c>
      <c r="D8900" s="9" t="s">
        <v>40</v>
      </c>
      <c r="E8900" s="10" t="s">
        <v>3471</v>
      </c>
      <c r="F8900" s="9" t="s">
        <v>3472</v>
      </c>
      <c r="G8900" s="10" t="s">
        <v>21</v>
      </c>
      <c r="H8900" s="9" t="s">
        <v>22</v>
      </c>
      <c r="I8900" s="9" t="s">
        <v>19006</v>
      </c>
      <c r="J8900" s="10" t="str">
        <f>HYPERLINK("https://www.boe.es/gazeta/dias/1834/07/07/pdfs/GMD-1834-140.pdf#page=3","Abrir facsímil")</f>
        <v>Abrir facsímil</v>
      </c>
      <c r="K8900" s="10" t="s">
        <v>24</v>
      </c>
    </row>
    <row r="8901" spans="1:11" ht="54" customHeight="1">
      <c r="A8901" s="9" t="s">
        <v>19007</v>
      </c>
      <c r="B8901" s="9" t="s">
        <v>19008</v>
      </c>
      <c r="C8901" s="9" t="s">
        <v>17</v>
      </c>
      <c r="D8901" s="9" t="s">
        <v>55</v>
      </c>
      <c r="E8901" s="10" t="s">
        <v>343</v>
      </c>
      <c r="F8901" s="9" t="s">
        <v>344</v>
      </c>
      <c r="G8901" s="10" t="s">
        <v>21</v>
      </c>
      <c r="H8901" s="9" t="s">
        <v>22</v>
      </c>
      <c r="I8901" s="9" t="s">
        <v>19009</v>
      </c>
      <c r="J8901" s="10" t="str">
        <f>HYPERLINK("https://www.boe.es/gazeta/dias/1834/01/14/pdfs/GMD-1834-7.pdf#page=3","Abrir facsímil")</f>
        <v>Abrir facsímil</v>
      </c>
      <c r="K8901" s="10" t="s">
        <v>24</v>
      </c>
    </row>
    <row r="8902" spans="1:11" ht="54" customHeight="1">
      <c r="A8902" s="9" t="s">
        <v>19010</v>
      </c>
      <c r="B8902" s="9" t="s">
        <v>19011</v>
      </c>
      <c r="C8902" s="9" t="s">
        <v>122</v>
      </c>
      <c r="D8902" s="9" t="s">
        <v>18</v>
      </c>
      <c r="E8902" s="10" t="s">
        <v>19</v>
      </c>
      <c r="F8902" s="9" t="s">
        <v>20</v>
      </c>
      <c r="G8902" s="10" t="s">
        <v>21</v>
      </c>
      <c r="H8902" s="9" t="s">
        <v>22</v>
      </c>
      <c r="I8902" s="9" t="s">
        <v>19012</v>
      </c>
      <c r="J8902" s="10" t="str">
        <f>HYPERLINK("https://www.boe.es/gazeta/dias/1834/08/17/pdfs/GMD-D-1834-182.pdf#page=3","Abrir facsímil")</f>
        <v>Abrir facsímil</v>
      </c>
      <c r="K8902" s="10" t="s">
        <v>24</v>
      </c>
    </row>
    <row r="8903" spans="1:11" ht="54" customHeight="1">
      <c r="A8903" s="9" t="s">
        <v>19013</v>
      </c>
      <c r="B8903" s="9" t="s">
        <v>19014</v>
      </c>
      <c r="C8903" s="9" t="s">
        <v>17</v>
      </c>
      <c r="D8903" s="9" t="s">
        <v>18</v>
      </c>
      <c r="E8903" s="10" t="s">
        <v>233</v>
      </c>
      <c r="F8903" s="9" t="s">
        <v>1810</v>
      </c>
      <c r="G8903" s="10" t="s">
        <v>86</v>
      </c>
      <c r="H8903" s="9" t="s">
        <v>22</v>
      </c>
      <c r="I8903" s="9" t="s">
        <v>19015</v>
      </c>
      <c r="J8903" s="10" t="str">
        <f>HYPERLINK("https://www.boe.es/gazeta/dias/1834/12/16/pdfs/GMD-C-1834-305.pdf#page=2","Abrir facsímil")</f>
        <v>Abrir facsímil</v>
      </c>
      <c r="K8903" s="10" t="s">
        <v>24</v>
      </c>
    </row>
    <row r="8904" spans="1:11" ht="54" customHeight="1">
      <c r="A8904" s="9" t="s">
        <v>19016</v>
      </c>
      <c r="B8904" s="9" t="s">
        <v>19017</v>
      </c>
      <c r="C8904" s="9" t="s">
        <v>46</v>
      </c>
      <c r="D8904" s="9" t="s">
        <v>18</v>
      </c>
      <c r="E8904" s="10" t="s">
        <v>251</v>
      </c>
      <c r="F8904" s="9" t="s">
        <v>1278</v>
      </c>
      <c r="G8904" s="10" t="s">
        <v>86</v>
      </c>
      <c r="H8904" s="9" t="s">
        <v>22</v>
      </c>
      <c r="I8904" s="9" t="s">
        <v>19018</v>
      </c>
      <c r="J8904" s="10" t="str">
        <f>HYPERLINK("https://www.boe.es/gazeta/dias/1834/09/26/pdfs/GMD-1834-224.pdf#page=2","Abrir facsímil")</f>
        <v>Abrir facsímil</v>
      </c>
      <c r="K8904" s="10" t="s">
        <v>24</v>
      </c>
    </row>
    <row r="8905" spans="1:11" ht="54" customHeight="1">
      <c r="A8905" s="9" t="s">
        <v>19019</v>
      </c>
      <c r="B8905" s="9" t="s">
        <v>19020</v>
      </c>
      <c r="C8905" s="9" t="s">
        <v>17</v>
      </c>
      <c r="D8905" s="9" t="s">
        <v>18</v>
      </c>
      <c r="E8905" s="10" t="s">
        <v>803</v>
      </c>
      <c r="F8905" s="9" t="s">
        <v>804</v>
      </c>
      <c r="G8905" s="10" t="s">
        <v>75</v>
      </c>
      <c r="H8905" s="9" t="s">
        <v>22</v>
      </c>
      <c r="I8905" s="9" t="s">
        <v>19021</v>
      </c>
      <c r="J8905" s="10" t="str">
        <f>HYPERLINK("https://www.boe.es/gazeta/dias/1834/03/29/pdfs/GMD-1834-39.pdf#page=4","Abrir facsímil")</f>
        <v>Abrir facsímil</v>
      </c>
      <c r="K8905" s="10" t="s">
        <v>24</v>
      </c>
    </row>
    <row r="8906" spans="1:11" ht="54" customHeight="1">
      <c r="A8906" s="9" t="s">
        <v>19022</v>
      </c>
      <c r="B8906" s="9" t="s">
        <v>19023</v>
      </c>
      <c r="C8906" s="9" t="s">
        <v>90</v>
      </c>
      <c r="D8906" s="9" t="s">
        <v>18</v>
      </c>
      <c r="E8906" s="10" t="s">
        <v>273</v>
      </c>
      <c r="F8906" s="9" t="s">
        <v>274</v>
      </c>
      <c r="G8906" s="10" t="s">
        <v>34</v>
      </c>
      <c r="H8906" s="9" t="s">
        <v>35</v>
      </c>
      <c r="I8906" s="9" t="s">
        <v>19024</v>
      </c>
      <c r="J8906" s="10" t="str">
        <f>HYPERLINK("https://www.boe.es/gazeta/dias/1834/08/31/pdfs/GMD-D-1834-198.pdf#page=1","Abrir facsímil")</f>
        <v>Abrir facsímil</v>
      </c>
      <c r="K8906" s="10" t="s">
        <v>37</v>
      </c>
    </row>
    <row r="8907" spans="1:11" ht="54" customHeight="1">
      <c r="A8907" s="9" t="s">
        <v>19025</v>
      </c>
      <c r="B8907" s="9" t="s">
        <v>19026</v>
      </c>
      <c r="C8907" s="9" t="s">
        <v>17</v>
      </c>
      <c r="D8907" s="9" t="s">
        <v>18</v>
      </c>
      <c r="E8907" s="10" t="s">
        <v>1505</v>
      </c>
      <c r="F8907" s="9" t="s">
        <v>1506</v>
      </c>
      <c r="G8907" s="10" t="s">
        <v>21</v>
      </c>
      <c r="H8907" s="9" t="s">
        <v>35</v>
      </c>
      <c r="I8907" s="9" t="s">
        <v>19027</v>
      </c>
      <c r="J8907" s="10" t="str">
        <f>HYPERLINK("https://www.boe.es/gazeta/dias/1834/05/08/pdfs/GMD-1834-77.pdf#page=3","Abrir facsímil")</f>
        <v>Abrir facsímil</v>
      </c>
      <c r="K8907" s="10" t="s">
        <v>37</v>
      </c>
    </row>
    <row r="8908" spans="1:11" ht="54" customHeight="1">
      <c r="A8908" s="9" t="s">
        <v>19028</v>
      </c>
      <c r="B8908" s="9" t="s">
        <v>19029</v>
      </c>
      <c r="C8908" s="9" t="s">
        <v>17</v>
      </c>
      <c r="D8908" s="9" t="s">
        <v>55</v>
      </c>
      <c r="E8908" s="10" t="s">
        <v>571</v>
      </c>
      <c r="F8908" s="9" t="s">
        <v>620</v>
      </c>
      <c r="G8908" s="10" t="s">
        <v>176</v>
      </c>
      <c r="H8908" s="9" t="s">
        <v>22</v>
      </c>
      <c r="I8908" s="9" t="s">
        <v>19030</v>
      </c>
      <c r="J8908" s="10" t="str">
        <f>HYPERLINK("https://www.boe.es/gazeta/dias/1834/09/04/pdfs/GMD-C-1834-202.pdf#page=6","Abrir facsímil")</f>
        <v>Abrir facsímil</v>
      </c>
      <c r="K8908" s="10" t="s">
        <v>24</v>
      </c>
    </row>
    <row r="8909" spans="1:11" ht="54" customHeight="1">
      <c r="A8909" s="9" t="s">
        <v>19028</v>
      </c>
      <c r="B8909" s="9" t="s">
        <v>19029</v>
      </c>
      <c r="C8909" s="9" t="s">
        <v>17</v>
      </c>
      <c r="D8909" s="9" t="s">
        <v>18</v>
      </c>
      <c r="E8909" s="10" t="s">
        <v>571</v>
      </c>
      <c r="F8909" s="9" t="s">
        <v>620</v>
      </c>
      <c r="G8909" s="10" t="s">
        <v>560</v>
      </c>
      <c r="H8909" s="9" t="s">
        <v>22</v>
      </c>
      <c r="I8909" s="9" t="s">
        <v>19031</v>
      </c>
      <c r="J8909" s="10" t="str">
        <f>HYPERLINK("https://www.boe.es/gazeta/dias/1834/09/04/pdfs/GMD-C-1834-202.pdf#page=7","Abrir facsímil")</f>
        <v>Abrir facsímil</v>
      </c>
      <c r="K8909" s="10" t="s">
        <v>24</v>
      </c>
    </row>
    <row r="8910" spans="1:11" ht="54" customHeight="1">
      <c r="A8910" s="9" t="s">
        <v>19028</v>
      </c>
      <c r="B8910" s="9" t="s">
        <v>19029</v>
      </c>
      <c r="C8910" s="9" t="s">
        <v>17</v>
      </c>
      <c r="D8910" s="9" t="s">
        <v>18</v>
      </c>
      <c r="E8910" s="10" t="s">
        <v>571</v>
      </c>
      <c r="F8910" s="9" t="s">
        <v>620</v>
      </c>
      <c r="G8910" s="10" t="s">
        <v>470</v>
      </c>
      <c r="H8910" s="9" t="s">
        <v>22</v>
      </c>
      <c r="I8910" s="9" t="s">
        <v>19032</v>
      </c>
      <c r="J8910" s="10" t="str">
        <f>HYPERLINK("https://www.boe.es/gazeta/dias/1834/09/04/pdfs/GMD-C-1834-202.pdf#page=8","Abrir facsímil")</f>
        <v>Abrir facsímil</v>
      </c>
      <c r="K8910" s="10" t="s">
        <v>24</v>
      </c>
    </row>
    <row r="8911" spans="1:11" ht="54" customHeight="1">
      <c r="A8911" s="9" t="s">
        <v>19028</v>
      </c>
      <c r="B8911" s="9" t="s">
        <v>19029</v>
      </c>
      <c r="C8911" s="9" t="s">
        <v>66</v>
      </c>
      <c r="D8911" s="9" t="s">
        <v>18</v>
      </c>
      <c r="E8911" s="10" t="s">
        <v>1186</v>
      </c>
      <c r="F8911" s="9" t="s">
        <v>4286</v>
      </c>
      <c r="G8911" s="10" t="s">
        <v>86</v>
      </c>
      <c r="H8911" s="9" t="s">
        <v>22</v>
      </c>
      <c r="I8911" s="9" t="s">
        <v>19033</v>
      </c>
      <c r="J8911" s="10" t="str">
        <f>HYPERLINK("https://www.boe.es/gazeta/dias/1834/08/14/pdfs/GMD-C-1834-179.pdf#page=2","Abrir facsímil")</f>
        <v>Abrir facsímil</v>
      </c>
      <c r="K8911" s="10" t="s">
        <v>24</v>
      </c>
    </row>
    <row r="8912" spans="1:11" ht="54" customHeight="1">
      <c r="A8912" s="9" t="s">
        <v>19028</v>
      </c>
      <c r="B8912" s="9" t="s">
        <v>19029</v>
      </c>
      <c r="C8912" s="9" t="s">
        <v>17</v>
      </c>
      <c r="D8912" s="9" t="s">
        <v>18</v>
      </c>
      <c r="E8912" s="10" t="s">
        <v>615</v>
      </c>
      <c r="F8912" s="9" t="s">
        <v>1205</v>
      </c>
      <c r="G8912" s="10" t="s">
        <v>34</v>
      </c>
      <c r="H8912" s="9" t="s">
        <v>22</v>
      </c>
      <c r="I8912" s="9" t="s">
        <v>19034</v>
      </c>
      <c r="J8912" s="10" t="str">
        <f>HYPERLINK("https://www.boe.es/gazeta/dias/1834/08/19/pdfs/GMD-D-1834-185.pdf#page=1","Abrir facsímil")</f>
        <v>Abrir facsímil</v>
      </c>
      <c r="K8912" s="10" t="s">
        <v>24</v>
      </c>
    </row>
    <row r="8913" spans="1:11" ht="54" customHeight="1">
      <c r="A8913" s="9" t="s">
        <v>19028</v>
      </c>
      <c r="B8913" s="9" t="s">
        <v>19029</v>
      </c>
      <c r="C8913" s="9" t="s">
        <v>17</v>
      </c>
      <c r="D8913" s="9" t="s">
        <v>18</v>
      </c>
      <c r="E8913" s="10" t="s">
        <v>672</v>
      </c>
      <c r="F8913" s="9" t="s">
        <v>1055</v>
      </c>
      <c r="G8913" s="10" t="s">
        <v>86</v>
      </c>
      <c r="H8913" s="9" t="s">
        <v>22</v>
      </c>
      <c r="I8913" s="9" t="s">
        <v>19035</v>
      </c>
      <c r="J8913" s="10" t="str">
        <f>HYPERLINK("https://www.boe.es/gazeta/dias/1834/09/19/pdfs/GMD-C-1834-217.pdf#page=2","Abrir facsímil")</f>
        <v>Abrir facsímil</v>
      </c>
      <c r="K8913" s="10" t="s">
        <v>24</v>
      </c>
    </row>
    <row r="8914" spans="1:11" ht="54" customHeight="1">
      <c r="A8914" s="9" t="s">
        <v>19028</v>
      </c>
      <c r="B8914" s="9" t="s">
        <v>19029</v>
      </c>
      <c r="C8914" s="9" t="s">
        <v>17</v>
      </c>
      <c r="D8914" s="9" t="s">
        <v>18</v>
      </c>
      <c r="E8914" s="10" t="s">
        <v>672</v>
      </c>
      <c r="F8914" s="9" t="s">
        <v>1055</v>
      </c>
      <c r="G8914" s="10" t="s">
        <v>75</v>
      </c>
      <c r="H8914" s="9" t="s">
        <v>22</v>
      </c>
      <c r="I8914" s="9" t="s">
        <v>19036</v>
      </c>
      <c r="J8914" s="10" t="str">
        <f>HYPERLINK("https://www.boe.es/gazeta/dias/1834/09/19/pdfs/GMD-C-1834-217.pdf#page=4","Abrir facsímil")</f>
        <v>Abrir facsímil</v>
      </c>
      <c r="K8914" s="10" t="s">
        <v>24</v>
      </c>
    </row>
    <row r="8915" spans="1:11" ht="54" customHeight="1">
      <c r="A8915" s="9" t="s">
        <v>19028</v>
      </c>
      <c r="B8915" s="9" t="s">
        <v>19029</v>
      </c>
      <c r="C8915" s="9" t="s">
        <v>17</v>
      </c>
      <c r="D8915" s="9" t="s">
        <v>18</v>
      </c>
      <c r="E8915" s="10" t="s">
        <v>707</v>
      </c>
      <c r="F8915" s="9" t="s">
        <v>708</v>
      </c>
      <c r="G8915" s="10" t="s">
        <v>75</v>
      </c>
      <c r="H8915" s="9" t="s">
        <v>22</v>
      </c>
      <c r="I8915" s="9" t="s">
        <v>19037</v>
      </c>
      <c r="J8915" s="10" t="str">
        <f>HYPERLINK("https://www.boe.es/gazeta/dias/1834/11/25/pdfs/GMD-C-1834-284.pdf#page=4","Abrir facsímil")</f>
        <v>Abrir facsímil</v>
      </c>
      <c r="K8915" s="10" t="s">
        <v>24</v>
      </c>
    </row>
    <row r="8916" spans="1:11" ht="54" customHeight="1">
      <c r="A8916" s="9" t="s">
        <v>19028</v>
      </c>
      <c r="B8916" s="9" t="s">
        <v>19029</v>
      </c>
      <c r="C8916" s="9" t="s">
        <v>122</v>
      </c>
      <c r="D8916" s="9" t="s">
        <v>18</v>
      </c>
      <c r="E8916" s="10" t="s">
        <v>510</v>
      </c>
      <c r="F8916" s="9" t="s">
        <v>531</v>
      </c>
      <c r="G8916" s="10" t="s">
        <v>86</v>
      </c>
      <c r="H8916" s="9" t="s">
        <v>22</v>
      </c>
      <c r="I8916" s="9" t="s">
        <v>19038</v>
      </c>
      <c r="J8916" s="10" t="str">
        <f>HYPERLINK("https://www.boe.es/gazeta/dias/1834/11/26/pdfs/GMD-C-1834-285.pdf#page=2","Abrir facsímil")</f>
        <v>Abrir facsímil</v>
      </c>
      <c r="K8916" s="10" t="s">
        <v>24</v>
      </c>
    </row>
    <row r="8917" spans="1:11" ht="54" customHeight="1">
      <c r="A8917" s="9" t="s">
        <v>19028</v>
      </c>
      <c r="B8917" s="9" t="s">
        <v>19029</v>
      </c>
      <c r="C8917" s="9" t="s">
        <v>90</v>
      </c>
      <c r="D8917" s="9" t="s">
        <v>18</v>
      </c>
      <c r="E8917" s="10" t="s">
        <v>273</v>
      </c>
      <c r="F8917" s="9" t="s">
        <v>274</v>
      </c>
      <c r="G8917" s="10" t="s">
        <v>34</v>
      </c>
      <c r="H8917" s="9" t="s">
        <v>22</v>
      </c>
      <c r="I8917" s="9" t="s">
        <v>19039</v>
      </c>
      <c r="J8917" s="10" t="str">
        <f>HYPERLINK("https://www.boe.es/gazeta/dias/1834/08/31/pdfs/GMD-D-1834-198.pdf#page=1","Abrir facsímil")</f>
        <v>Abrir facsímil</v>
      </c>
      <c r="K8917" s="10" t="s">
        <v>24</v>
      </c>
    </row>
    <row r="8918" spans="1:11" ht="54" customHeight="1">
      <c r="A8918" s="9" t="s">
        <v>19040</v>
      </c>
      <c r="B8918" s="9" t="s">
        <v>19041</v>
      </c>
      <c r="C8918" s="9" t="s">
        <v>17</v>
      </c>
      <c r="D8918" s="9" t="s">
        <v>18</v>
      </c>
      <c r="E8918" s="10" t="s">
        <v>571</v>
      </c>
      <c r="F8918" s="9" t="s">
        <v>620</v>
      </c>
      <c r="G8918" s="10" t="s">
        <v>560</v>
      </c>
      <c r="H8918" s="9" t="s">
        <v>22</v>
      </c>
      <c r="I8918" s="9" t="s">
        <v>19042</v>
      </c>
      <c r="J8918" s="10" t="str">
        <f>HYPERLINK("https://www.boe.es/gazeta/dias/1834/09/04/pdfs/GMD-C-1834-202.pdf#page=7","Abrir facsímil")</f>
        <v>Abrir facsímil</v>
      </c>
      <c r="K8918" s="10" t="s">
        <v>24</v>
      </c>
    </row>
    <row r="8919" spans="1:11" ht="54" customHeight="1">
      <c r="A8919" s="9" t="s">
        <v>19043</v>
      </c>
      <c r="B8919" s="9" t="s">
        <v>19044</v>
      </c>
      <c r="C8919" s="9" t="s">
        <v>17</v>
      </c>
      <c r="D8919" s="9" t="s">
        <v>18</v>
      </c>
      <c r="E8919" s="10" t="s">
        <v>233</v>
      </c>
      <c r="F8919" s="9" t="s">
        <v>1810</v>
      </c>
      <c r="G8919" s="10" t="s">
        <v>86</v>
      </c>
      <c r="H8919" s="9" t="s">
        <v>22</v>
      </c>
      <c r="I8919" s="9" t="s">
        <v>19045</v>
      </c>
      <c r="J8919" s="10" t="str">
        <f>HYPERLINK("https://www.boe.es/gazeta/dias/1834/12/16/pdfs/GMD-C-1834-305.pdf#page=2","Abrir facsímil")</f>
        <v>Abrir facsímil</v>
      </c>
      <c r="K8919" s="10" t="s">
        <v>24</v>
      </c>
    </row>
    <row r="8920" spans="1:11" ht="54" customHeight="1">
      <c r="A8920" s="9" t="s">
        <v>19043</v>
      </c>
      <c r="B8920" s="9" t="s">
        <v>19044</v>
      </c>
      <c r="C8920" s="9" t="s">
        <v>17</v>
      </c>
      <c r="D8920" s="9" t="s">
        <v>18</v>
      </c>
      <c r="E8920" s="10" t="s">
        <v>133</v>
      </c>
      <c r="F8920" s="9" t="s">
        <v>134</v>
      </c>
      <c r="G8920" s="10" t="s">
        <v>34</v>
      </c>
      <c r="H8920" s="9" t="s">
        <v>22</v>
      </c>
      <c r="I8920" s="9" t="s">
        <v>19046</v>
      </c>
      <c r="J8920" s="10" t="str">
        <f>HYPERLINK("https://www.boe.es/gazeta/dias/1834/06/18/pdfs/GMD-1834-121.pdf#page=1","Abrir facsímil")</f>
        <v>Abrir facsímil</v>
      </c>
      <c r="K8920" s="10" t="s">
        <v>24</v>
      </c>
    </row>
    <row r="8921" spans="1:11" ht="54" customHeight="1">
      <c r="A8921" s="9" t="s">
        <v>19043</v>
      </c>
      <c r="B8921" s="9" t="s">
        <v>19044</v>
      </c>
      <c r="C8921" s="9" t="s">
        <v>17</v>
      </c>
      <c r="D8921" s="9" t="s">
        <v>18</v>
      </c>
      <c r="E8921" s="10" t="s">
        <v>1135</v>
      </c>
      <c r="F8921" s="9" t="s">
        <v>1566</v>
      </c>
      <c r="G8921" s="10" t="s">
        <v>86</v>
      </c>
      <c r="H8921" s="9" t="s">
        <v>22</v>
      </c>
      <c r="I8921" s="9" t="s">
        <v>19047</v>
      </c>
      <c r="J8921" s="10" t="str">
        <f>HYPERLINK("https://www.boe.es/gazeta/dias/1834/08/26/pdfs/GMD-C-1834-192.pdf#page=2","Abrir facsímil")</f>
        <v>Abrir facsímil</v>
      </c>
      <c r="K8921" s="10" t="s">
        <v>24</v>
      </c>
    </row>
    <row r="8922" spans="1:11" ht="54" customHeight="1">
      <c r="A8922" s="9" t="s">
        <v>19043</v>
      </c>
      <c r="B8922" s="9" t="s">
        <v>19044</v>
      </c>
      <c r="C8922" s="9" t="s">
        <v>17</v>
      </c>
      <c r="D8922" s="9" t="s">
        <v>18</v>
      </c>
      <c r="E8922" s="10" t="s">
        <v>1692</v>
      </c>
      <c r="F8922" s="9" t="s">
        <v>3985</v>
      </c>
      <c r="G8922" s="10" t="s">
        <v>34</v>
      </c>
      <c r="H8922" s="9" t="s">
        <v>22</v>
      </c>
      <c r="I8922" s="9" t="s">
        <v>19048</v>
      </c>
      <c r="J8922" s="10" t="str">
        <f>HYPERLINK("https://www.boe.es/gazeta/dias/1834/07/29/pdfs/GMD-C-1834-162.pdf#page=1","Abrir facsímil")</f>
        <v>Abrir facsímil</v>
      </c>
      <c r="K8922" s="10" t="s">
        <v>24</v>
      </c>
    </row>
    <row r="8923" spans="1:11" ht="54" customHeight="1">
      <c r="A8923" s="9" t="s">
        <v>19043</v>
      </c>
      <c r="B8923" s="9" t="s">
        <v>19044</v>
      </c>
      <c r="C8923" s="9" t="s">
        <v>17</v>
      </c>
      <c r="D8923" s="9" t="s">
        <v>18</v>
      </c>
      <c r="E8923" s="10" t="s">
        <v>590</v>
      </c>
      <c r="F8923" s="9" t="s">
        <v>17808</v>
      </c>
      <c r="G8923" s="10" t="s">
        <v>34</v>
      </c>
      <c r="H8923" s="9" t="s">
        <v>22</v>
      </c>
      <c r="I8923" s="9" t="s">
        <v>19049</v>
      </c>
      <c r="J8923" s="10" t="str">
        <f>HYPERLINK("https://www.boe.es/gazeta/dias/1834/11/30/pdfs/GMD-C-1834-289.pdf#page=1","Abrir facsímil")</f>
        <v>Abrir facsímil</v>
      </c>
      <c r="K8923" s="10" t="s">
        <v>24</v>
      </c>
    </row>
    <row r="8924" spans="1:11" ht="54" customHeight="1">
      <c r="A8924" s="9" t="s">
        <v>19043</v>
      </c>
      <c r="B8924" s="9" t="s">
        <v>19044</v>
      </c>
      <c r="C8924" s="9" t="s">
        <v>90</v>
      </c>
      <c r="D8924" s="9" t="s">
        <v>18</v>
      </c>
      <c r="E8924" s="10" t="s">
        <v>273</v>
      </c>
      <c r="F8924" s="9" t="s">
        <v>274</v>
      </c>
      <c r="G8924" s="10" t="s">
        <v>34</v>
      </c>
      <c r="H8924" s="9" t="s">
        <v>22</v>
      </c>
      <c r="I8924" s="9" t="s">
        <v>19050</v>
      </c>
      <c r="J8924" s="10" t="str">
        <f>HYPERLINK("https://www.boe.es/gazeta/dias/1834/08/31/pdfs/GMD-D-1834-198.pdf#page=1","Abrir facsímil")</f>
        <v>Abrir facsímil</v>
      </c>
      <c r="K8924" s="10" t="s">
        <v>24</v>
      </c>
    </row>
    <row r="8925" spans="1:11" ht="54" customHeight="1">
      <c r="A8925" s="9" t="s">
        <v>19051</v>
      </c>
      <c r="B8925" s="9" t="s">
        <v>19052</v>
      </c>
      <c r="C8925" s="9" t="s">
        <v>17</v>
      </c>
      <c r="D8925" s="9" t="s">
        <v>18</v>
      </c>
      <c r="E8925" s="10" t="s">
        <v>1505</v>
      </c>
      <c r="F8925" s="9" t="s">
        <v>1506</v>
      </c>
      <c r="G8925" s="10" t="s">
        <v>21</v>
      </c>
      <c r="H8925" s="9" t="s">
        <v>22</v>
      </c>
      <c r="I8925" s="9" t="s">
        <v>19053</v>
      </c>
      <c r="J8925" s="10" t="str">
        <f>HYPERLINK("https://www.boe.es/gazeta/dias/1834/05/08/pdfs/GMD-1834-77.pdf#page=3","Abrir facsímil")</f>
        <v>Abrir facsímil</v>
      </c>
      <c r="K8925" s="10" t="s">
        <v>24</v>
      </c>
    </row>
    <row r="8926" spans="1:11" ht="54" customHeight="1">
      <c r="A8926" s="9" t="s">
        <v>19054</v>
      </c>
      <c r="B8926" s="9" t="s">
        <v>19054</v>
      </c>
      <c r="C8926" s="9" t="s">
        <v>66</v>
      </c>
      <c r="D8926" s="9" t="s">
        <v>55</v>
      </c>
      <c r="E8926" s="10" t="s">
        <v>844</v>
      </c>
      <c r="F8926" s="9" t="s">
        <v>845</v>
      </c>
      <c r="G8926" s="10" t="s">
        <v>86</v>
      </c>
      <c r="H8926" s="9" t="s">
        <v>22</v>
      </c>
      <c r="I8926" s="9" t="s">
        <v>19055</v>
      </c>
      <c r="J8926" s="10" t="str">
        <f>HYPERLINK("https://www.boe.es/gazeta/dias/1834/03/13/pdfs/GMD-1834-32.pdf#page=2","Abrir facsímil")</f>
        <v>Abrir facsímil</v>
      </c>
      <c r="K8926" s="10" t="s">
        <v>24</v>
      </c>
    </row>
    <row r="8927" spans="1:11" ht="54" customHeight="1">
      <c r="A8927" s="9" t="s">
        <v>19056</v>
      </c>
      <c r="B8927" s="9" t="s">
        <v>19056</v>
      </c>
      <c r="C8927" s="9" t="s">
        <v>66</v>
      </c>
      <c r="D8927" s="9" t="s">
        <v>67</v>
      </c>
      <c r="E8927" s="10" t="s">
        <v>1669</v>
      </c>
      <c r="F8927" s="9" t="s">
        <v>1670</v>
      </c>
      <c r="G8927" s="10" t="s">
        <v>21</v>
      </c>
      <c r="H8927" s="9" t="s">
        <v>22</v>
      </c>
      <c r="I8927" s="9" t="s">
        <v>19057</v>
      </c>
      <c r="J8927" s="10" t="str">
        <f>HYPERLINK("https://www.boe.es/gazeta/dias/1834/06/19/pdfs/GMD-1834-122.pdf#page=3","Abrir facsímil")</f>
        <v>Abrir facsímil</v>
      </c>
      <c r="K8927" s="10" t="s">
        <v>24</v>
      </c>
    </row>
    <row r="8928" spans="1:11" ht="54" customHeight="1">
      <c r="A8928" s="9" t="s">
        <v>19058</v>
      </c>
      <c r="B8928" s="9" t="s">
        <v>19058</v>
      </c>
      <c r="C8928" s="9" t="s">
        <v>17</v>
      </c>
      <c r="D8928" s="9" t="s">
        <v>18</v>
      </c>
      <c r="E8928" s="10" t="s">
        <v>1556</v>
      </c>
      <c r="F8928" s="9" t="s">
        <v>1557</v>
      </c>
      <c r="G8928" s="10" t="s">
        <v>21</v>
      </c>
      <c r="H8928" s="9" t="s">
        <v>22</v>
      </c>
      <c r="I8928" s="9" t="s">
        <v>19059</v>
      </c>
      <c r="J8928" s="10" t="str">
        <f>HYPERLINK("https://www.boe.es/gazeta/dias/1834/06/06/pdfs/GMD-1834-108.pdf#page=3","Abrir facsímil")</f>
        <v>Abrir facsímil</v>
      </c>
      <c r="K8928" s="10" t="s">
        <v>24</v>
      </c>
    </row>
    <row r="8929" spans="1:11" ht="54" customHeight="1">
      <c r="A8929" s="9" t="s">
        <v>19060</v>
      </c>
      <c r="B8929" s="9" t="s">
        <v>19061</v>
      </c>
      <c r="C8929" s="9" t="s">
        <v>17</v>
      </c>
      <c r="D8929" s="9" t="s">
        <v>18</v>
      </c>
      <c r="E8929" s="10" t="s">
        <v>1186</v>
      </c>
      <c r="F8929" s="9" t="s">
        <v>4286</v>
      </c>
      <c r="G8929" s="10" t="s">
        <v>86</v>
      </c>
      <c r="H8929" s="9" t="s">
        <v>22</v>
      </c>
      <c r="I8929" s="9" t="s">
        <v>19062</v>
      </c>
      <c r="J8929" s="10" t="str">
        <f>HYPERLINK("https://www.boe.es/gazeta/dias/1834/08/14/pdfs/GMD-C-1834-179.pdf#page=2","Abrir facsímil")</f>
        <v>Abrir facsímil</v>
      </c>
      <c r="K8929" s="10" t="s">
        <v>24</v>
      </c>
    </row>
    <row r="8930" spans="1:11" ht="54" customHeight="1">
      <c r="A8930" s="9" t="s">
        <v>19063</v>
      </c>
      <c r="B8930" s="9" t="s">
        <v>19063</v>
      </c>
      <c r="C8930" s="9" t="s">
        <v>90</v>
      </c>
      <c r="D8930" s="9" t="s">
        <v>55</v>
      </c>
      <c r="E8930" s="10" t="s">
        <v>2302</v>
      </c>
      <c r="F8930" s="9" t="s">
        <v>2303</v>
      </c>
      <c r="G8930" s="10" t="s">
        <v>86</v>
      </c>
      <c r="H8930" s="9" t="s">
        <v>22</v>
      </c>
      <c r="I8930" s="9" t="s">
        <v>19064</v>
      </c>
      <c r="J8930" s="10" t="str">
        <f>HYPERLINK("https://www.boe.es/gazeta/dias/1834/01/25/pdfs/GMD-1834-12.pdf#page=2","Abrir facsímil")</f>
        <v>Abrir facsímil</v>
      </c>
      <c r="K8930" s="10" t="s">
        <v>24</v>
      </c>
    </row>
    <row r="8931" spans="1:11" ht="54" customHeight="1">
      <c r="A8931" s="9" t="s">
        <v>19065</v>
      </c>
      <c r="B8931" s="9" t="s">
        <v>19065</v>
      </c>
      <c r="C8931" s="9" t="s">
        <v>66</v>
      </c>
      <c r="D8931" s="9" t="s">
        <v>67</v>
      </c>
      <c r="E8931" s="10" t="s">
        <v>286</v>
      </c>
      <c r="F8931" s="9" t="s">
        <v>1928</v>
      </c>
      <c r="G8931" s="10" t="s">
        <v>34</v>
      </c>
      <c r="H8931" s="9" t="s">
        <v>22</v>
      </c>
      <c r="I8931" s="9" t="s">
        <v>19066</v>
      </c>
      <c r="J8931" s="10" t="str">
        <f>HYPERLINK("https://www.boe.es/gazeta/dias/1834/08/30/pdfs/GMD-1834-197E.pdf#page=1","Abrir facsímil")</f>
        <v>Abrir facsímil</v>
      </c>
      <c r="K8931" s="10" t="s">
        <v>24</v>
      </c>
    </row>
    <row r="8932" spans="1:11" ht="54" customHeight="1">
      <c r="A8932" s="9" t="s">
        <v>19067</v>
      </c>
      <c r="B8932" s="9" t="s">
        <v>19068</v>
      </c>
      <c r="C8932" s="9" t="s">
        <v>66</v>
      </c>
      <c r="D8932" s="9" t="s">
        <v>67</v>
      </c>
      <c r="E8932" s="10" t="s">
        <v>3699</v>
      </c>
      <c r="F8932" s="9" t="s">
        <v>3700</v>
      </c>
      <c r="G8932" s="10" t="s">
        <v>34</v>
      </c>
      <c r="H8932" s="9" t="s">
        <v>22</v>
      </c>
      <c r="I8932" s="9" t="s">
        <v>19069</v>
      </c>
      <c r="J8932" s="10" t="str">
        <f>HYPERLINK("https://www.boe.es/gazeta/dias/1834/02/06/pdfs/I00074-00074.pdf#page=1","Abrir facsímil")</f>
        <v>Abrir facsímil</v>
      </c>
      <c r="K8932" s="10" t="s">
        <v>24</v>
      </c>
    </row>
    <row r="8933" spans="1:11" ht="54" customHeight="1">
      <c r="A8933" s="9" t="s">
        <v>19067</v>
      </c>
      <c r="B8933" s="9" t="s">
        <v>19068</v>
      </c>
      <c r="C8933" s="9" t="s">
        <v>66</v>
      </c>
      <c r="D8933" s="9" t="s">
        <v>67</v>
      </c>
      <c r="E8933" s="10" t="s">
        <v>3699</v>
      </c>
      <c r="F8933" s="9" t="s">
        <v>3700</v>
      </c>
      <c r="G8933" s="10" t="s">
        <v>75</v>
      </c>
      <c r="H8933" s="9" t="s">
        <v>22</v>
      </c>
      <c r="I8933" s="9" t="s">
        <v>19070</v>
      </c>
      <c r="J8933" s="10" t="str">
        <f>HYPERLINK("https://www.boe.es/gazeta/dias/1834/02/06/pdfs/GMD-1834-17.pdf#page=4","Abrir facsímil")</f>
        <v>Abrir facsímil</v>
      </c>
      <c r="K8933" s="10" t="s">
        <v>24</v>
      </c>
    </row>
    <row r="8934" spans="1:11" ht="54" customHeight="1">
      <c r="A8934" s="9" t="s">
        <v>19071</v>
      </c>
      <c r="B8934" s="9" t="s">
        <v>19072</v>
      </c>
      <c r="C8934" s="9" t="s">
        <v>17</v>
      </c>
      <c r="D8934" s="9" t="s">
        <v>55</v>
      </c>
      <c r="E8934" s="10" t="s">
        <v>299</v>
      </c>
      <c r="F8934" s="9" t="s">
        <v>300</v>
      </c>
      <c r="G8934" s="10" t="s">
        <v>21</v>
      </c>
      <c r="H8934" s="9" t="s">
        <v>22</v>
      </c>
      <c r="I8934" s="9" t="s">
        <v>19073</v>
      </c>
      <c r="J8934" s="10" t="str">
        <f>HYPERLINK("https://www.boe.es/gazeta/dias/1834/12/12/pdfs/GMD-1834-301.pdf#page=3","Abrir facsímil")</f>
        <v>Abrir facsímil</v>
      </c>
      <c r="K8934" s="10" t="s">
        <v>24</v>
      </c>
    </row>
    <row r="8935" spans="1:11" ht="54" customHeight="1">
      <c r="A8935" s="9" t="s">
        <v>19074</v>
      </c>
      <c r="B8935" s="9" t="s">
        <v>19074</v>
      </c>
      <c r="C8935" s="9" t="s">
        <v>46</v>
      </c>
      <c r="D8935" s="9" t="s">
        <v>101</v>
      </c>
      <c r="E8935" s="10" t="s">
        <v>7523</v>
      </c>
      <c r="F8935" s="9" t="s">
        <v>7524</v>
      </c>
      <c r="G8935" s="10" t="s">
        <v>86</v>
      </c>
      <c r="H8935" s="9" t="s">
        <v>22</v>
      </c>
      <c r="I8935" s="9" t="s">
        <v>19075</v>
      </c>
      <c r="J8935" s="10" t="str">
        <f>HYPERLINK("https://www.boe.es/gazeta/dias/1834/12/26/pdfs/GMD-1834-316.pdf#page=2","Abrir facsímil")</f>
        <v>Abrir facsímil</v>
      </c>
      <c r="K8935" s="10" t="s">
        <v>24</v>
      </c>
    </row>
    <row r="8936" spans="1:11" ht="54" customHeight="1">
      <c r="A8936" s="9" t="s">
        <v>19076</v>
      </c>
      <c r="B8936" s="9" t="s">
        <v>19076</v>
      </c>
      <c r="C8936" s="9" t="s">
        <v>46</v>
      </c>
      <c r="D8936" s="9" t="s">
        <v>18</v>
      </c>
      <c r="E8936" s="10" t="s">
        <v>1262</v>
      </c>
      <c r="F8936" s="9" t="s">
        <v>1263</v>
      </c>
      <c r="G8936" s="10" t="s">
        <v>86</v>
      </c>
      <c r="H8936" s="9" t="s">
        <v>22</v>
      </c>
      <c r="I8936" s="9" t="s">
        <v>19077</v>
      </c>
      <c r="J8936" s="10" t="str">
        <f>HYPERLINK("https://www.boe.es/gazeta/dias/1834/02/01/pdfs/GMD-1834-15.pdf#page=2","Abrir facsímil")</f>
        <v>Abrir facsímil</v>
      </c>
      <c r="K8936" s="10" t="s">
        <v>24</v>
      </c>
    </row>
    <row r="8937" spans="1:11" ht="54" customHeight="1">
      <c r="A8937" s="9" t="s">
        <v>19078</v>
      </c>
      <c r="B8937" s="9" t="s">
        <v>19078</v>
      </c>
      <c r="C8937" s="9" t="s">
        <v>17</v>
      </c>
      <c r="D8937" s="9" t="s">
        <v>18</v>
      </c>
      <c r="E8937" s="10" t="s">
        <v>304</v>
      </c>
      <c r="F8937" s="9" t="s">
        <v>305</v>
      </c>
      <c r="G8937" s="10" t="s">
        <v>86</v>
      </c>
      <c r="H8937" s="9" t="s">
        <v>22</v>
      </c>
      <c r="I8937" s="9" t="s">
        <v>19079</v>
      </c>
      <c r="J8937" s="10" t="str">
        <f>HYPERLINK("https://www.boe.es/gazeta/dias/1834/01/21/pdfs/GMD-1834-10.pdf#page=2","Abrir facsímil")</f>
        <v>Abrir facsímil</v>
      </c>
      <c r="K8937" s="10" t="s">
        <v>24</v>
      </c>
    </row>
    <row r="8938" spans="1:11" ht="54" customHeight="1">
      <c r="A8938" s="9" t="s">
        <v>19080</v>
      </c>
      <c r="B8938" s="9" t="s">
        <v>19080</v>
      </c>
      <c r="C8938" s="9" t="s">
        <v>17</v>
      </c>
      <c r="D8938" s="9" t="s">
        <v>18</v>
      </c>
      <c r="E8938" s="10" t="s">
        <v>286</v>
      </c>
      <c r="F8938" s="9" t="s">
        <v>548</v>
      </c>
      <c r="G8938" s="10" t="s">
        <v>21</v>
      </c>
      <c r="H8938" s="9" t="s">
        <v>22</v>
      </c>
      <c r="I8938" s="9" t="s">
        <v>19081</v>
      </c>
      <c r="J8938" s="10" t="str">
        <f>HYPERLINK("https://www.boe.es/gazeta/dias/1834/08/30/pdfs/GMD-1834-196.pdf#page=3","Abrir facsímil")</f>
        <v>Abrir facsímil</v>
      </c>
      <c r="K8938" s="10" t="s">
        <v>24</v>
      </c>
    </row>
    <row r="8939" spans="1:11" ht="54" customHeight="1">
      <c r="A8939" s="9" t="s">
        <v>19082</v>
      </c>
      <c r="B8939" s="9" t="s">
        <v>19083</v>
      </c>
      <c r="C8939" s="9" t="s">
        <v>17</v>
      </c>
      <c r="D8939" s="9" t="s">
        <v>18</v>
      </c>
      <c r="E8939" s="10" t="s">
        <v>2098</v>
      </c>
      <c r="F8939" s="9" t="s">
        <v>5817</v>
      </c>
      <c r="G8939" s="10" t="s">
        <v>34</v>
      </c>
      <c r="H8939" s="9" t="s">
        <v>22</v>
      </c>
      <c r="I8939" s="9" t="s">
        <v>19084</v>
      </c>
      <c r="J8939" s="10" t="str">
        <f>HYPERLINK("https://www.boe.es/gazeta/dias/1834/08/11/pdfs/GMD-C-1834-176.pdf#page=1","Abrir facsímil")</f>
        <v>Abrir facsímil</v>
      </c>
      <c r="K8939" s="10" t="s">
        <v>24</v>
      </c>
    </row>
    <row r="8940" spans="1:11" ht="54" customHeight="1">
      <c r="A8940" s="9" t="s">
        <v>19085</v>
      </c>
      <c r="B8940" s="9" t="s">
        <v>19085</v>
      </c>
      <c r="C8940" s="9" t="s">
        <v>66</v>
      </c>
      <c r="D8940" s="9" t="s">
        <v>67</v>
      </c>
      <c r="E8940" s="10" t="s">
        <v>47</v>
      </c>
      <c r="F8940" s="9" t="s">
        <v>1466</v>
      </c>
      <c r="G8940" s="10" t="s">
        <v>86</v>
      </c>
      <c r="H8940" s="9" t="s">
        <v>22</v>
      </c>
      <c r="I8940" s="9" t="s">
        <v>19086</v>
      </c>
      <c r="J8940" s="10" t="str">
        <f>HYPERLINK("https://www.boe.es/gazeta/dias/1834/09/05/pdfs/GMD-1834-203.pdf#page=2","Abrir facsímil")</f>
        <v>Abrir facsímil</v>
      </c>
      <c r="K8940" s="10" t="s">
        <v>24</v>
      </c>
    </row>
    <row r="8941" spans="1:11" ht="54" customHeight="1">
      <c r="A8941" s="9" t="s">
        <v>19087</v>
      </c>
      <c r="B8941" s="9" t="s">
        <v>19088</v>
      </c>
      <c r="C8941" s="9" t="s">
        <v>46</v>
      </c>
      <c r="D8941" s="9" t="s">
        <v>101</v>
      </c>
      <c r="E8941" s="10" t="s">
        <v>1365</v>
      </c>
      <c r="F8941" s="9" t="s">
        <v>1366</v>
      </c>
      <c r="G8941" s="10" t="s">
        <v>75</v>
      </c>
      <c r="H8941" s="9" t="s">
        <v>22</v>
      </c>
      <c r="I8941" s="9" t="s">
        <v>19089</v>
      </c>
      <c r="J8941" s="10" t="str">
        <f>HYPERLINK("https://www.boe.es/gazeta/dias/1834/06/20/pdfs/GMD-1834-123.pdf#page=4","Abrir facsímil")</f>
        <v>Abrir facsímil</v>
      </c>
      <c r="K8941" s="10" t="s">
        <v>24</v>
      </c>
    </row>
    <row r="8942" spans="1:11" ht="54" customHeight="1">
      <c r="A8942" s="9" t="s">
        <v>19090</v>
      </c>
      <c r="B8942" s="9" t="s">
        <v>19090</v>
      </c>
      <c r="C8942" s="9" t="s">
        <v>17</v>
      </c>
      <c r="D8942" s="9" t="s">
        <v>18</v>
      </c>
      <c r="E8942" s="10" t="s">
        <v>3699</v>
      </c>
      <c r="F8942" s="9" t="s">
        <v>6179</v>
      </c>
      <c r="G8942" s="10" t="s">
        <v>34</v>
      </c>
      <c r="H8942" s="9" t="s">
        <v>22</v>
      </c>
      <c r="I8942" s="9" t="s">
        <v>19091</v>
      </c>
      <c r="J8942" s="10" t="str">
        <f>HYPERLINK("https://www.boe.es/gazeta/dias/1834/02/06/pdfs/GMD-D-1834-17.pdf#page=1","Abrir facsímil")</f>
        <v>Abrir facsímil</v>
      </c>
      <c r="K8942" s="10" t="s">
        <v>24</v>
      </c>
    </row>
    <row r="8943" spans="1:11" ht="54" customHeight="1">
      <c r="A8943" s="9" t="s">
        <v>19092</v>
      </c>
      <c r="B8943" s="9" t="s">
        <v>19092</v>
      </c>
      <c r="C8943" s="9" t="s">
        <v>17</v>
      </c>
      <c r="D8943" s="9" t="s">
        <v>18</v>
      </c>
      <c r="E8943" s="10" t="s">
        <v>590</v>
      </c>
      <c r="F8943" s="9" t="s">
        <v>17808</v>
      </c>
      <c r="G8943" s="10" t="s">
        <v>34</v>
      </c>
      <c r="H8943" s="9" t="s">
        <v>22</v>
      </c>
      <c r="I8943" s="9" t="s">
        <v>19093</v>
      </c>
      <c r="J8943" s="10" t="str">
        <f>HYPERLINK("https://www.boe.es/gazeta/dias/1834/11/30/pdfs/GMD-C-1834-289.pdf#page=1","Abrir facsímil")</f>
        <v>Abrir facsímil</v>
      </c>
      <c r="K8943" s="10" t="s">
        <v>24</v>
      </c>
    </row>
    <row r="8944" spans="1:11" ht="54" customHeight="1">
      <c r="A8944" s="9" t="s">
        <v>19094</v>
      </c>
      <c r="B8944" s="9" t="s">
        <v>19094</v>
      </c>
      <c r="C8944" s="9" t="s">
        <v>66</v>
      </c>
      <c r="D8944" s="9" t="s">
        <v>67</v>
      </c>
      <c r="E8944" s="10" t="s">
        <v>1025</v>
      </c>
      <c r="F8944" s="9" t="s">
        <v>1026</v>
      </c>
      <c r="G8944" s="10" t="s">
        <v>28</v>
      </c>
      <c r="H8944" s="9" t="s">
        <v>22</v>
      </c>
      <c r="I8944" s="9" t="s">
        <v>19095</v>
      </c>
      <c r="J8944" s="10" t="str">
        <f>HYPERLINK("https://www.boe.es/gazeta/dias/1834/03/01/pdfs/GMD-1834-27.pdf#page=5","Abrir facsímil")</f>
        <v>Abrir facsímil</v>
      </c>
      <c r="K8944" s="10" t="s">
        <v>24</v>
      </c>
    </row>
    <row r="8945" spans="1:11" ht="54" customHeight="1">
      <c r="A8945" s="9" t="s">
        <v>19096</v>
      </c>
      <c r="B8945" s="9" t="s">
        <v>19097</v>
      </c>
      <c r="C8945" s="9" t="s">
        <v>17</v>
      </c>
      <c r="D8945" s="9" t="s">
        <v>55</v>
      </c>
      <c r="E8945" s="10" t="s">
        <v>268</v>
      </c>
      <c r="F8945" s="9" t="s">
        <v>269</v>
      </c>
      <c r="G8945" s="10" t="s">
        <v>75</v>
      </c>
      <c r="H8945" s="9" t="s">
        <v>22</v>
      </c>
      <c r="I8945" s="9" t="s">
        <v>19098</v>
      </c>
      <c r="J8945" s="10" t="str">
        <f>HYPERLINK("https://www.boe.es/gazeta/dias/1834/12/19/pdfs/GMD-C-1834-309.pdf#page=4","Abrir facsímil")</f>
        <v>Abrir facsímil</v>
      </c>
      <c r="K8945" s="10" t="s">
        <v>24</v>
      </c>
    </row>
    <row r="8946" spans="1:11" ht="54" customHeight="1">
      <c r="A8946" s="9" t="s">
        <v>19099</v>
      </c>
      <c r="B8946" s="9" t="s">
        <v>19100</v>
      </c>
      <c r="C8946" s="9" t="s">
        <v>17</v>
      </c>
      <c r="D8946" s="9" t="s">
        <v>18</v>
      </c>
      <c r="E8946" s="10" t="s">
        <v>3083</v>
      </c>
      <c r="F8946" s="9" t="s">
        <v>3084</v>
      </c>
      <c r="G8946" s="10" t="s">
        <v>21</v>
      </c>
      <c r="H8946" s="9" t="s">
        <v>22</v>
      </c>
      <c r="I8946" s="9" t="s">
        <v>19101</v>
      </c>
      <c r="J8946" s="10" t="str">
        <f>HYPERLINK("https://www.boe.es/gazeta/dias/1834/10/30/pdfs/GMD-1834-258.pdf#page=3","Abrir facsímil")</f>
        <v>Abrir facsímil</v>
      </c>
      <c r="K8946" s="10" t="s">
        <v>24</v>
      </c>
    </row>
    <row r="8947" spans="1:11" ht="54" customHeight="1">
      <c r="A8947" s="9" t="s">
        <v>19102</v>
      </c>
      <c r="B8947" s="9" t="s">
        <v>19102</v>
      </c>
      <c r="C8947" s="9" t="s">
        <v>46</v>
      </c>
      <c r="D8947" s="9" t="s">
        <v>18</v>
      </c>
      <c r="E8947" s="10" t="s">
        <v>1365</v>
      </c>
      <c r="F8947" s="9" t="s">
        <v>1366</v>
      </c>
      <c r="G8947" s="10" t="s">
        <v>86</v>
      </c>
      <c r="H8947" s="9" t="s">
        <v>22</v>
      </c>
      <c r="I8947" s="9" t="s">
        <v>19103</v>
      </c>
      <c r="J8947" s="10" t="str">
        <f>HYPERLINK("https://www.boe.es/gazeta/dias/1834/06/20/pdfs/GMD-1834-123.pdf#page=2","Abrir facsímil")</f>
        <v>Abrir facsímil</v>
      </c>
      <c r="K8947" s="10" t="s">
        <v>24</v>
      </c>
    </row>
    <row r="8948" spans="1:11" ht="54" customHeight="1">
      <c r="A8948" s="9" t="s">
        <v>19104</v>
      </c>
      <c r="B8948" s="9" t="s">
        <v>19104</v>
      </c>
      <c r="C8948" s="9" t="s">
        <v>17</v>
      </c>
      <c r="D8948" s="9" t="s">
        <v>55</v>
      </c>
      <c r="E8948" s="10" t="s">
        <v>1284</v>
      </c>
      <c r="F8948" s="9" t="s">
        <v>1285</v>
      </c>
      <c r="G8948" s="10" t="s">
        <v>34</v>
      </c>
      <c r="H8948" s="9" t="s">
        <v>22</v>
      </c>
      <c r="I8948" s="9" t="s">
        <v>19105</v>
      </c>
      <c r="J8948" s="10" t="str">
        <f>HYPERLINK("https://www.boe.es/gazeta/dias/1834/11/28/pdfs/GMD-1834-287.pdf#page=1","Abrir facsímil")</f>
        <v>Abrir facsímil</v>
      </c>
      <c r="K8948" s="10" t="s">
        <v>24</v>
      </c>
    </row>
    <row r="8949" spans="1:11" ht="54" customHeight="1">
      <c r="A8949" s="9" t="s">
        <v>19106</v>
      </c>
      <c r="B8949" s="9" t="s">
        <v>19106</v>
      </c>
      <c r="C8949" s="9" t="s">
        <v>46</v>
      </c>
      <c r="D8949" s="9" t="s">
        <v>101</v>
      </c>
      <c r="E8949" s="10" t="s">
        <v>192</v>
      </c>
      <c r="F8949" s="9" t="s">
        <v>193</v>
      </c>
      <c r="G8949" s="10" t="s">
        <v>21</v>
      </c>
      <c r="H8949" s="9" t="s">
        <v>22</v>
      </c>
      <c r="I8949" s="9" t="s">
        <v>19107</v>
      </c>
      <c r="J8949" s="10" t="str">
        <f>HYPERLINK("https://www.boe.es/gazeta/dias/1834/12/31/pdfs/GMD-1834-321.pdf#page=3","Abrir facsímil")</f>
        <v>Abrir facsímil</v>
      </c>
      <c r="K8949" s="10" t="s">
        <v>24</v>
      </c>
    </row>
    <row r="8950" spans="1:11" ht="54" customHeight="1">
      <c r="A8950" s="9" t="s">
        <v>19108</v>
      </c>
      <c r="B8950" s="9" t="s">
        <v>19108</v>
      </c>
      <c r="C8950" s="9" t="s">
        <v>17</v>
      </c>
      <c r="D8950" s="9" t="s">
        <v>55</v>
      </c>
      <c r="E8950" s="10" t="s">
        <v>1653</v>
      </c>
      <c r="F8950" s="9" t="s">
        <v>1654</v>
      </c>
      <c r="G8950" s="10" t="s">
        <v>86</v>
      </c>
      <c r="H8950" s="9" t="s">
        <v>22</v>
      </c>
      <c r="I8950" s="9" t="s">
        <v>19109</v>
      </c>
      <c r="J8950" s="10" t="str">
        <f>HYPERLINK("https://www.boe.es/gazeta/dias/1834/07/03/pdfs/GMD-1834-136.pdf#page=2","Abrir facsímil")</f>
        <v>Abrir facsímil</v>
      </c>
      <c r="K8950" s="10" t="s">
        <v>24</v>
      </c>
    </row>
    <row r="8951" spans="1:11" ht="54" customHeight="1">
      <c r="A8951" s="9" t="s">
        <v>19108</v>
      </c>
      <c r="B8951" s="9" t="s">
        <v>19108</v>
      </c>
      <c r="C8951" s="9" t="s">
        <v>17</v>
      </c>
      <c r="D8951" s="9" t="s">
        <v>55</v>
      </c>
      <c r="E8951" s="10" t="s">
        <v>1883</v>
      </c>
      <c r="F8951" s="9" t="s">
        <v>1884</v>
      </c>
      <c r="G8951" s="10" t="s">
        <v>86</v>
      </c>
      <c r="H8951" s="9" t="s">
        <v>22</v>
      </c>
      <c r="I8951" s="9" t="s">
        <v>19110</v>
      </c>
      <c r="J8951" s="10" t="str">
        <f>HYPERLINK("https://www.boe.es/gazeta/dias/1834/01/11/pdfs/GMD-1834-6.pdf#page=2","Abrir facsímil")</f>
        <v>Abrir facsímil</v>
      </c>
      <c r="K8951" s="10" t="s">
        <v>24</v>
      </c>
    </row>
    <row r="8952" spans="1:11" ht="54" customHeight="1">
      <c r="A8952" s="9" t="s">
        <v>19108</v>
      </c>
      <c r="B8952" s="9" t="s">
        <v>19108</v>
      </c>
      <c r="C8952" s="9" t="s">
        <v>17</v>
      </c>
      <c r="D8952" s="9" t="s">
        <v>55</v>
      </c>
      <c r="E8952" s="10" t="s">
        <v>299</v>
      </c>
      <c r="F8952" s="9" t="s">
        <v>300</v>
      </c>
      <c r="G8952" s="10" t="s">
        <v>21</v>
      </c>
      <c r="H8952" s="9" t="s">
        <v>22</v>
      </c>
      <c r="I8952" s="9" t="s">
        <v>19111</v>
      </c>
      <c r="J8952" s="10" t="str">
        <f>HYPERLINK("https://www.boe.es/gazeta/dias/1834/12/12/pdfs/GMD-1834-301.pdf#page=3","Abrir facsímil")</f>
        <v>Abrir facsímil</v>
      </c>
      <c r="K8952" s="10" t="s">
        <v>24</v>
      </c>
    </row>
    <row r="8953" spans="1:11" ht="54" customHeight="1">
      <c r="A8953" s="9" t="s">
        <v>19108</v>
      </c>
      <c r="B8953" s="9" t="s">
        <v>19108</v>
      </c>
      <c r="C8953" s="9" t="s">
        <v>17</v>
      </c>
      <c r="D8953" s="9" t="s">
        <v>18</v>
      </c>
      <c r="E8953" s="10" t="s">
        <v>3499</v>
      </c>
      <c r="F8953" s="9" t="s">
        <v>3500</v>
      </c>
      <c r="G8953" s="10" t="s">
        <v>86</v>
      </c>
      <c r="H8953" s="9" t="s">
        <v>22</v>
      </c>
      <c r="I8953" s="9" t="s">
        <v>19112</v>
      </c>
      <c r="J8953" s="10" t="str">
        <f>HYPERLINK("https://www.boe.es/gazeta/dias/1834/01/28/pdfs/GMD-1834-13.pdf#page=2","Abrir facsímil")</f>
        <v>Abrir facsímil</v>
      </c>
      <c r="K8953" s="10" t="s">
        <v>24</v>
      </c>
    </row>
    <row r="8954" spans="1:11" ht="54" customHeight="1">
      <c r="A8954" s="9" t="s">
        <v>19113</v>
      </c>
      <c r="B8954" s="9" t="s">
        <v>19114</v>
      </c>
      <c r="C8954" s="9" t="s">
        <v>17</v>
      </c>
      <c r="D8954" s="9" t="s">
        <v>18</v>
      </c>
      <c r="E8954" s="10" t="s">
        <v>793</v>
      </c>
      <c r="F8954" s="9" t="s">
        <v>794</v>
      </c>
      <c r="G8954" s="10" t="s">
        <v>86</v>
      </c>
      <c r="H8954" s="9" t="s">
        <v>35</v>
      </c>
      <c r="I8954" s="9" t="s">
        <v>19115</v>
      </c>
      <c r="J8954" s="10" t="str">
        <f>HYPERLINK("https://www.boe.es/gazeta/dias/1834/10/08/pdfs/GMD-1834-236.pdf#page=2","Abrir facsímil")</f>
        <v>Abrir facsímil</v>
      </c>
      <c r="K8954" s="10" t="s">
        <v>37</v>
      </c>
    </row>
    <row r="8955" spans="1:11" ht="54" customHeight="1">
      <c r="A8955" s="9" t="s">
        <v>19116</v>
      </c>
      <c r="B8955" s="9" t="s">
        <v>19117</v>
      </c>
      <c r="C8955" s="9" t="s">
        <v>17</v>
      </c>
      <c r="D8955" s="9" t="s">
        <v>18</v>
      </c>
      <c r="E8955" s="10" t="s">
        <v>793</v>
      </c>
      <c r="F8955" s="9" t="s">
        <v>794</v>
      </c>
      <c r="G8955" s="10" t="s">
        <v>86</v>
      </c>
      <c r="H8955" s="9" t="s">
        <v>22</v>
      </c>
      <c r="I8955" s="9" t="s">
        <v>19118</v>
      </c>
      <c r="J8955" s="10" t="str">
        <f>HYPERLINK("https://www.boe.es/gazeta/dias/1834/10/08/pdfs/GMD-1834-236.pdf#page=2","Abrir facsímil")</f>
        <v>Abrir facsímil</v>
      </c>
      <c r="K8955" s="10" t="s">
        <v>24</v>
      </c>
    </row>
    <row r="8956" spans="1:11" ht="54" customHeight="1">
      <c r="A8956" s="9" t="s">
        <v>19119</v>
      </c>
      <c r="B8956" s="9" t="s">
        <v>19120</v>
      </c>
      <c r="C8956" s="9" t="s">
        <v>17</v>
      </c>
      <c r="D8956" s="9" t="s">
        <v>18</v>
      </c>
      <c r="E8956" s="10" t="s">
        <v>793</v>
      </c>
      <c r="F8956" s="9" t="s">
        <v>794</v>
      </c>
      <c r="G8956" s="10" t="s">
        <v>86</v>
      </c>
      <c r="H8956" s="9" t="s">
        <v>22</v>
      </c>
      <c r="I8956" s="9" t="s">
        <v>19121</v>
      </c>
      <c r="J8956" s="10" t="str">
        <f>HYPERLINK("https://www.boe.es/gazeta/dias/1834/10/08/pdfs/GMD-1834-236.pdf#page=2","Abrir facsímil")</f>
        <v>Abrir facsímil</v>
      </c>
      <c r="K8956" s="10" t="s">
        <v>24</v>
      </c>
    </row>
    <row r="8957" spans="1:11" ht="54" customHeight="1">
      <c r="A8957" s="9" t="s">
        <v>19122</v>
      </c>
      <c r="B8957" s="9" t="s">
        <v>19123</v>
      </c>
      <c r="C8957" s="9" t="s">
        <v>17</v>
      </c>
      <c r="D8957" s="9" t="s">
        <v>18</v>
      </c>
      <c r="E8957" s="10" t="s">
        <v>1281</v>
      </c>
      <c r="F8957" s="9" t="s">
        <v>1282</v>
      </c>
      <c r="G8957" s="10" t="s">
        <v>86</v>
      </c>
      <c r="H8957" s="9" t="s">
        <v>22</v>
      </c>
      <c r="I8957" s="9" t="s">
        <v>19124</v>
      </c>
      <c r="J8957" s="10" t="str">
        <f>HYPERLINK("https://www.boe.es/gazeta/dias/1834/10/27/pdfs/GMD-1834-255.pdf#page=2","Abrir facsímil")</f>
        <v>Abrir facsímil</v>
      </c>
      <c r="K8957" s="10" t="s">
        <v>24</v>
      </c>
    </row>
    <row r="8958" spans="1:11" ht="54" customHeight="1">
      <c r="A8958" s="9" t="s">
        <v>19125</v>
      </c>
      <c r="B8958" s="9" t="s">
        <v>19125</v>
      </c>
      <c r="C8958" s="9" t="s">
        <v>90</v>
      </c>
      <c r="D8958" s="9" t="s">
        <v>55</v>
      </c>
      <c r="E8958" s="10" t="s">
        <v>563</v>
      </c>
      <c r="F8958" s="9" t="s">
        <v>564</v>
      </c>
      <c r="G8958" s="10" t="s">
        <v>21</v>
      </c>
      <c r="H8958" s="9" t="s">
        <v>22</v>
      </c>
      <c r="I8958" s="9" t="s">
        <v>19126</v>
      </c>
      <c r="J8958" s="10" t="str">
        <f>HYPERLINK("https://www.boe.es/gazeta/dias/1834/04/19/pdfs/GMD-1834-58.pdf#page=3","Abrir facsímil")</f>
        <v>Abrir facsímil</v>
      </c>
      <c r="K8958" s="10" t="s">
        <v>24</v>
      </c>
    </row>
    <row r="8959" spans="1:11" ht="54" customHeight="1">
      <c r="A8959" s="9" t="s">
        <v>19127</v>
      </c>
      <c r="B8959" s="9" t="s">
        <v>19127</v>
      </c>
      <c r="C8959" s="9" t="s">
        <v>17</v>
      </c>
      <c r="D8959" s="9" t="s">
        <v>18</v>
      </c>
      <c r="E8959" s="10" t="s">
        <v>2302</v>
      </c>
      <c r="F8959" s="9" t="s">
        <v>2303</v>
      </c>
      <c r="G8959" s="10" t="s">
        <v>75</v>
      </c>
      <c r="H8959" s="9" t="s">
        <v>22</v>
      </c>
      <c r="I8959" s="9" t="s">
        <v>19128</v>
      </c>
      <c r="J8959" s="10" t="str">
        <f>HYPERLINK("https://www.boe.es/gazeta/dias/1834/01/25/pdfs/GMD-1834-12.pdf#page=4","Abrir facsímil")</f>
        <v>Abrir facsímil</v>
      </c>
      <c r="K8959" s="10" t="s">
        <v>24</v>
      </c>
    </row>
    <row r="8960" spans="1:11" ht="54" customHeight="1">
      <c r="A8960" s="9" t="s">
        <v>19129</v>
      </c>
      <c r="B8960" s="9" t="s">
        <v>19130</v>
      </c>
      <c r="C8960" s="9" t="s">
        <v>122</v>
      </c>
      <c r="D8960" s="9" t="s">
        <v>18</v>
      </c>
      <c r="E8960" s="10" t="s">
        <v>590</v>
      </c>
      <c r="F8960" s="9" t="s">
        <v>591</v>
      </c>
      <c r="G8960" s="10" t="s">
        <v>75</v>
      </c>
      <c r="H8960" s="9" t="s">
        <v>22</v>
      </c>
      <c r="I8960" s="9" t="s">
        <v>19131</v>
      </c>
      <c r="J8960" s="10" t="str">
        <f>HYPERLINK("https://www.boe.es/gazeta/dias/1834/11/30/pdfs/GMD-1834-289.pdf#page=4","Abrir facsímil")</f>
        <v>Abrir facsímil</v>
      </c>
      <c r="K8960" s="10" t="s">
        <v>24</v>
      </c>
    </row>
    <row r="8961" spans="1:11" ht="54" customHeight="1">
      <c r="A8961" s="9" t="s">
        <v>19132</v>
      </c>
      <c r="B8961" s="9" t="s">
        <v>19132</v>
      </c>
      <c r="C8961" s="9" t="s">
        <v>17</v>
      </c>
      <c r="D8961" s="9" t="s">
        <v>18</v>
      </c>
      <c r="E8961" s="10" t="s">
        <v>1337</v>
      </c>
      <c r="F8961" s="9" t="s">
        <v>1338</v>
      </c>
      <c r="G8961" s="10" t="s">
        <v>21</v>
      </c>
      <c r="H8961" s="9" t="s">
        <v>22</v>
      </c>
      <c r="I8961" s="9" t="s">
        <v>19133</v>
      </c>
      <c r="J8961" s="10" t="str">
        <f>HYPERLINK("https://www.boe.es/gazeta/dias/1834/01/02/pdfs/GMD-1834-1.pdf#page=3","Abrir facsímil")</f>
        <v>Abrir facsímil</v>
      </c>
      <c r="K8961" s="10" t="s">
        <v>24</v>
      </c>
    </row>
    <row r="8962" spans="1:11" ht="54" customHeight="1">
      <c r="A8962" s="9" t="s">
        <v>19132</v>
      </c>
      <c r="B8962" s="9" t="s">
        <v>19132</v>
      </c>
      <c r="C8962" s="9" t="s">
        <v>66</v>
      </c>
      <c r="D8962" s="9" t="s">
        <v>67</v>
      </c>
      <c r="E8962" s="10" t="s">
        <v>2729</v>
      </c>
      <c r="F8962" s="9" t="s">
        <v>2730</v>
      </c>
      <c r="G8962" s="10" t="s">
        <v>21</v>
      </c>
      <c r="H8962" s="9" t="s">
        <v>22</v>
      </c>
      <c r="I8962" s="9" t="s">
        <v>19134</v>
      </c>
      <c r="J8962" s="10" t="str">
        <f>HYPERLINK("https://www.boe.es/gazeta/dias/1834/07/02/pdfs/GMD-1834-135.pdf#page=3","Abrir facsímil")</f>
        <v>Abrir facsímil</v>
      </c>
      <c r="K8962" s="10" t="s">
        <v>24</v>
      </c>
    </row>
    <row r="8963" spans="1:11" ht="54" customHeight="1">
      <c r="A8963" s="9" t="s">
        <v>19132</v>
      </c>
      <c r="B8963" s="9" t="s">
        <v>19132</v>
      </c>
      <c r="C8963" s="9" t="s">
        <v>17</v>
      </c>
      <c r="D8963" s="9" t="s">
        <v>18</v>
      </c>
      <c r="E8963" s="10" t="s">
        <v>1351</v>
      </c>
      <c r="F8963" s="9" t="s">
        <v>1352</v>
      </c>
      <c r="G8963" s="10" t="s">
        <v>28</v>
      </c>
      <c r="H8963" s="9" t="s">
        <v>22</v>
      </c>
      <c r="I8963" s="9" t="s">
        <v>19135</v>
      </c>
      <c r="J8963" s="10" t="str">
        <f>HYPERLINK("https://www.boe.es/gazeta/dias/1834/07/05/pdfs/GMD-1834-138.pdf#page=5","Abrir facsímil")</f>
        <v>Abrir facsímil</v>
      </c>
      <c r="K8963" s="10" t="s">
        <v>24</v>
      </c>
    </row>
    <row r="8964" spans="1:11" ht="54" customHeight="1">
      <c r="A8964" s="9" t="s">
        <v>19132</v>
      </c>
      <c r="B8964" s="9" t="s">
        <v>19132</v>
      </c>
      <c r="C8964" s="9" t="s">
        <v>17</v>
      </c>
      <c r="D8964" s="9" t="s">
        <v>18</v>
      </c>
      <c r="E8964" s="10" t="s">
        <v>1661</v>
      </c>
      <c r="F8964" s="9" t="s">
        <v>1662</v>
      </c>
      <c r="G8964" s="10" t="s">
        <v>75</v>
      </c>
      <c r="H8964" s="9" t="s">
        <v>22</v>
      </c>
      <c r="I8964" s="9" t="s">
        <v>19136</v>
      </c>
      <c r="J8964" s="10" t="str">
        <f>HYPERLINK("https://www.boe.es/gazeta/dias/1834/04/06/pdfs/GMD-1834-45.pdf#page=4","Abrir facsímil")</f>
        <v>Abrir facsímil</v>
      </c>
      <c r="K8964" s="10" t="s">
        <v>24</v>
      </c>
    </row>
    <row r="8965" spans="1:11" ht="54" customHeight="1">
      <c r="A8965" s="9" t="s">
        <v>19132</v>
      </c>
      <c r="B8965" s="9" t="s">
        <v>19132</v>
      </c>
      <c r="C8965" s="9" t="s">
        <v>17</v>
      </c>
      <c r="D8965" s="9" t="s">
        <v>18</v>
      </c>
      <c r="E8965" s="10" t="s">
        <v>860</v>
      </c>
      <c r="F8965" s="9" t="s">
        <v>861</v>
      </c>
      <c r="G8965" s="10" t="s">
        <v>176</v>
      </c>
      <c r="H8965" s="9" t="s">
        <v>22</v>
      </c>
      <c r="I8965" s="9" t="s">
        <v>19137</v>
      </c>
      <c r="J8965" s="10" t="str">
        <f>HYPERLINK("https://www.boe.es/gazeta/dias/1834/02/08/pdfs/GMD-1834-18.pdf#page=6","Abrir facsímil")</f>
        <v>Abrir facsímil</v>
      </c>
      <c r="K8965" s="10" t="s">
        <v>24</v>
      </c>
    </row>
    <row r="8966" spans="1:11" ht="54" customHeight="1">
      <c r="A8966" s="9" t="s">
        <v>19132</v>
      </c>
      <c r="B8966" s="9" t="s">
        <v>19132</v>
      </c>
      <c r="C8966" s="9" t="s">
        <v>17</v>
      </c>
      <c r="D8966" s="9" t="s">
        <v>40</v>
      </c>
      <c r="E8966" s="10" t="s">
        <v>1505</v>
      </c>
      <c r="F8966" s="9" t="s">
        <v>1506</v>
      </c>
      <c r="G8966" s="10" t="s">
        <v>21</v>
      </c>
      <c r="H8966" s="9" t="s">
        <v>22</v>
      </c>
      <c r="I8966" s="9" t="s">
        <v>19138</v>
      </c>
      <c r="J8966" s="10" t="str">
        <f>HYPERLINK("https://www.boe.es/gazeta/dias/1834/05/08/pdfs/GMD-1834-77.pdf#page=3","Abrir facsímil")</f>
        <v>Abrir facsímil</v>
      </c>
      <c r="K8966" s="10" t="s">
        <v>24</v>
      </c>
    </row>
    <row r="8967" spans="1:11" ht="54" customHeight="1">
      <c r="A8967" s="9" t="s">
        <v>19132</v>
      </c>
      <c r="B8967" s="9" t="s">
        <v>19132</v>
      </c>
      <c r="C8967" s="9" t="s">
        <v>17</v>
      </c>
      <c r="D8967" s="9" t="s">
        <v>18</v>
      </c>
      <c r="E8967" s="10" t="s">
        <v>1113</v>
      </c>
      <c r="F8967" s="9" t="s">
        <v>1114</v>
      </c>
      <c r="G8967" s="10" t="s">
        <v>75</v>
      </c>
      <c r="H8967" s="9" t="s">
        <v>22</v>
      </c>
      <c r="I8967" s="9" t="s">
        <v>19139</v>
      </c>
      <c r="J8967" s="10" t="str">
        <f>HYPERLINK("https://www.boe.es/gazeta/dias/1834/04/14/pdfs/GMD-1834-53.pdf#page=4","Abrir facsímil")</f>
        <v>Abrir facsímil</v>
      </c>
      <c r="K8967" s="10" t="s">
        <v>24</v>
      </c>
    </row>
    <row r="8968" spans="1:11" ht="54" customHeight="1">
      <c r="A8968" s="9" t="s">
        <v>19132</v>
      </c>
      <c r="B8968" s="9" t="s">
        <v>19132</v>
      </c>
      <c r="C8968" s="9" t="s">
        <v>17</v>
      </c>
      <c r="D8968" s="9" t="s">
        <v>18</v>
      </c>
      <c r="E8968" s="10" t="s">
        <v>32</v>
      </c>
      <c r="F8968" s="9" t="s">
        <v>33</v>
      </c>
      <c r="G8968" s="10" t="s">
        <v>75</v>
      </c>
      <c r="H8968" s="9" t="s">
        <v>22</v>
      </c>
      <c r="I8968" s="9" t="s">
        <v>19140</v>
      </c>
      <c r="J8968" s="10" t="str">
        <f>HYPERLINK("https://www.boe.es/gazeta/dias/1834/04/23/pdfs/GMD-1834-62.pdf#page=4","Abrir facsímil")</f>
        <v>Abrir facsímil</v>
      </c>
      <c r="K8968" s="10" t="s">
        <v>24</v>
      </c>
    </row>
    <row r="8969" spans="1:11" ht="54" customHeight="1">
      <c r="A8969" s="9" t="s">
        <v>19132</v>
      </c>
      <c r="B8969" s="9" t="s">
        <v>19132</v>
      </c>
      <c r="C8969" s="9" t="s">
        <v>66</v>
      </c>
      <c r="D8969" s="9" t="s">
        <v>67</v>
      </c>
      <c r="E8969" s="10" t="s">
        <v>2306</v>
      </c>
      <c r="F8969" s="9" t="s">
        <v>2307</v>
      </c>
      <c r="G8969" s="10" t="s">
        <v>21</v>
      </c>
      <c r="H8969" s="9" t="s">
        <v>22</v>
      </c>
      <c r="I8969" s="9" t="s">
        <v>19141</v>
      </c>
      <c r="J8969" s="10" t="str">
        <f>HYPERLINK("https://www.boe.es/gazeta/dias/1834/04/26/pdfs/GMD-1834-65.pdf#page=3","Abrir facsímil")</f>
        <v>Abrir facsímil</v>
      </c>
      <c r="K8969" s="10" t="s">
        <v>24</v>
      </c>
    </row>
    <row r="8970" spans="1:11" ht="54" customHeight="1">
      <c r="A8970" s="9" t="s">
        <v>19132</v>
      </c>
      <c r="B8970" s="9" t="s">
        <v>19132</v>
      </c>
      <c r="C8970" s="9" t="s">
        <v>66</v>
      </c>
      <c r="D8970" s="9" t="s">
        <v>67</v>
      </c>
      <c r="E8970" s="10" t="s">
        <v>2945</v>
      </c>
      <c r="F8970" s="9" t="s">
        <v>2946</v>
      </c>
      <c r="G8970" s="10" t="s">
        <v>75</v>
      </c>
      <c r="H8970" s="9" t="s">
        <v>22</v>
      </c>
      <c r="I8970" s="9" t="s">
        <v>19142</v>
      </c>
      <c r="J8970" s="10" t="str">
        <f>HYPERLINK("https://www.boe.es/gazeta/dias/1834/05/29/pdfs/GMD-1834-98.pdf#page=4","Abrir facsímil")</f>
        <v>Abrir facsímil</v>
      </c>
      <c r="K8970" s="10" t="s">
        <v>24</v>
      </c>
    </row>
    <row r="8971" spans="1:11" ht="54" customHeight="1">
      <c r="A8971" s="9" t="s">
        <v>19132</v>
      </c>
      <c r="B8971" s="9" t="s">
        <v>19132</v>
      </c>
      <c r="C8971" s="9" t="s">
        <v>66</v>
      </c>
      <c r="D8971" s="9" t="s">
        <v>67</v>
      </c>
      <c r="E8971" s="10" t="s">
        <v>899</v>
      </c>
      <c r="F8971" s="9" t="s">
        <v>900</v>
      </c>
      <c r="G8971" s="10" t="s">
        <v>560</v>
      </c>
      <c r="H8971" s="9" t="s">
        <v>22</v>
      </c>
      <c r="I8971" s="9" t="s">
        <v>19143</v>
      </c>
      <c r="J8971" s="10" t="str">
        <f>HYPERLINK("https://www.boe.es/gazeta/dias/1834/01/30/pdfs/GMD-1834-14.pdf#page=7","Abrir facsímil")</f>
        <v>Abrir facsímil</v>
      </c>
      <c r="K8971" s="10" t="s">
        <v>24</v>
      </c>
    </row>
    <row r="8972" spans="1:11" ht="54" customHeight="1">
      <c r="A8972" s="9" t="s">
        <v>19144</v>
      </c>
      <c r="B8972" s="9" t="s">
        <v>19144</v>
      </c>
      <c r="C8972" s="9" t="s">
        <v>46</v>
      </c>
      <c r="D8972" s="9" t="s">
        <v>101</v>
      </c>
      <c r="E8972" s="10" t="s">
        <v>1017</v>
      </c>
      <c r="F8972" s="9" t="s">
        <v>1018</v>
      </c>
      <c r="G8972" s="10" t="s">
        <v>86</v>
      </c>
      <c r="H8972" s="9" t="s">
        <v>22</v>
      </c>
      <c r="I8972" s="9" t="s">
        <v>19145</v>
      </c>
      <c r="J8972" s="10" t="str">
        <f>HYPERLINK("https://www.boe.es/gazeta/dias/1834/07/24/pdfs/GMD-1834-157.pdf#page=2","Abrir facsímil")</f>
        <v>Abrir facsímil</v>
      </c>
      <c r="K8972" s="10" t="s">
        <v>24</v>
      </c>
    </row>
    <row r="8973" spans="1:11" ht="54" customHeight="1">
      <c r="A8973" s="9" t="s">
        <v>19146</v>
      </c>
      <c r="B8973" s="9" t="s">
        <v>19146</v>
      </c>
      <c r="C8973" s="9" t="s">
        <v>17</v>
      </c>
      <c r="D8973" s="9" t="s">
        <v>18</v>
      </c>
      <c r="E8973" s="10" t="s">
        <v>348</v>
      </c>
      <c r="F8973" s="9" t="s">
        <v>501</v>
      </c>
      <c r="G8973" s="10" t="s">
        <v>21</v>
      </c>
      <c r="H8973" s="9" t="s">
        <v>22</v>
      </c>
      <c r="I8973" s="9" t="s">
        <v>19147</v>
      </c>
      <c r="J8973" s="10" t="str">
        <f>HYPERLINK("https://www.boe.es/gazeta/dias/1834/06/12/pdfs/GMD-1834-115.pdf#page=3","Abrir facsímil")</f>
        <v>Abrir facsímil</v>
      </c>
      <c r="K8973" s="10" t="s">
        <v>24</v>
      </c>
    </row>
    <row r="8974" spans="1:11" ht="54" customHeight="1">
      <c r="A8974" s="9" t="s">
        <v>19148</v>
      </c>
      <c r="B8974" s="9" t="s">
        <v>19149</v>
      </c>
      <c r="C8974" s="9" t="s">
        <v>66</v>
      </c>
      <c r="D8974" s="9" t="s">
        <v>67</v>
      </c>
      <c r="E8974" s="10" t="s">
        <v>1883</v>
      </c>
      <c r="F8974" s="9" t="s">
        <v>1884</v>
      </c>
      <c r="G8974" s="10" t="s">
        <v>86</v>
      </c>
      <c r="H8974" s="9" t="s">
        <v>35</v>
      </c>
      <c r="I8974" s="9" t="s">
        <v>19150</v>
      </c>
      <c r="J8974" s="10" t="str">
        <f>HYPERLINK("https://www.boe.es/gazeta/dias/1834/01/11/pdfs/GMD-1834-6.pdf#page=2","Abrir facsímil")</f>
        <v>Abrir facsímil</v>
      </c>
      <c r="K8974" s="10" t="s">
        <v>37</v>
      </c>
    </row>
    <row r="8975" spans="1:11" ht="54" customHeight="1">
      <c r="A8975" s="9" t="s">
        <v>19151</v>
      </c>
      <c r="B8975" s="9" t="s">
        <v>19152</v>
      </c>
      <c r="C8975" s="9" t="s">
        <v>66</v>
      </c>
      <c r="D8975" s="9" t="s">
        <v>67</v>
      </c>
      <c r="E8975" s="10" t="s">
        <v>1883</v>
      </c>
      <c r="F8975" s="9" t="s">
        <v>1884</v>
      </c>
      <c r="G8975" s="10" t="s">
        <v>86</v>
      </c>
      <c r="H8975" s="9" t="s">
        <v>22</v>
      </c>
      <c r="I8975" s="9" t="s">
        <v>19153</v>
      </c>
      <c r="J8975" s="10" t="str">
        <f>HYPERLINK("https://www.boe.es/gazeta/dias/1834/01/11/pdfs/GMD-1834-6.pdf#page=2","Abrir facsímil")</f>
        <v>Abrir facsímil</v>
      </c>
      <c r="K8975" s="10" t="s">
        <v>24</v>
      </c>
    </row>
    <row r="8976" spans="1:11" ht="54" customHeight="1">
      <c r="A8976" s="9" t="s">
        <v>19154</v>
      </c>
      <c r="B8976" s="9" t="s">
        <v>19154</v>
      </c>
      <c r="C8976" s="9" t="s">
        <v>46</v>
      </c>
      <c r="D8976" s="9" t="s">
        <v>55</v>
      </c>
      <c r="E8976" s="10" t="s">
        <v>355</v>
      </c>
      <c r="F8976" s="9" t="s">
        <v>356</v>
      </c>
      <c r="G8976" s="10" t="s">
        <v>86</v>
      </c>
      <c r="H8976" s="9" t="s">
        <v>22</v>
      </c>
      <c r="I8976" s="9" t="s">
        <v>19155</v>
      </c>
      <c r="J8976" s="10" t="str">
        <f>HYPERLINK("https://www.boe.es/gazeta/dias/1834/07/04/pdfs/GMD-1834-137.pdf#page=2","Abrir facsímil")</f>
        <v>Abrir facsímil</v>
      </c>
      <c r="K8976" s="10" t="s">
        <v>24</v>
      </c>
    </row>
    <row r="8977" spans="1:11" ht="54" customHeight="1">
      <c r="A8977" s="9" t="s">
        <v>19154</v>
      </c>
      <c r="B8977" s="9" t="s">
        <v>19154</v>
      </c>
      <c r="C8977" s="9" t="s">
        <v>17</v>
      </c>
      <c r="D8977" s="9" t="s">
        <v>18</v>
      </c>
      <c r="E8977" s="10" t="s">
        <v>1661</v>
      </c>
      <c r="F8977" s="9" t="s">
        <v>1662</v>
      </c>
      <c r="G8977" s="10" t="s">
        <v>34</v>
      </c>
      <c r="H8977" s="9" t="s">
        <v>22</v>
      </c>
      <c r="I8977" s="9" t="s">
        <v>19156</v>
      </c>
      <c r="J8977" s="10" t="str">
        <f>HYPERLINK("https://www.boe.es/gazeta/dias/1834/04/06/pdfs/GMD-1834-45.pdf#page=1","Abrir facsímil")</f>
        <v>Abrir facsímil</v>
      </c>
      <c r="K8977" s="10" t="s">
        <v>24</v>
      </c>
    </row>
    <row r="8978" spans="1:11" ht="54" customHeight="1">
      <c r="A8978" s="9" t="s">
        <v>19154</v>
      </c>
      <c r="B8978" s="9" t="s">
        <v>19154</v>
      </c>
      <c r="C8978" s="9" t="s">
        <v>46</v>
      </c>
      <c r="D8978" s="9" t="s">
        <v>101</v>
      </c>
      <c r="E8978" s="10" t="s">
        <v>2091</v>
      </c>
      <c r="F8978" s="9" t="s">
        <v>2092</v>
      </c>
      <c r="G8978" s="10" t="s">
        <v>21</v>
      </c>
      <c r="H8978" s="9" t="s">
        <v>22</v>
      </c>
      <c r="I8978" s="9" t="s">
        <v>19157</v>
      </c>
      <c r="J8978" s="10" t="str">
        <f>HYPERLINK("https://www.boe.es/gazeta/dias/1834/03/08/pdfs/GMD-1834-30.pdf#page=3","Abrir facsímil")</f>
        <v>Abrir facsímil</v>
      </c>
      <c r="K8978" s="10" t="s">
        <v>24</v>
      </c>
    </row>
    <row r="8979" spans="1:11" ht="54" customHeight="1">
      <c r="A8979" s="9" t="s">
        <v>19154</v>
      </c>
      <c r="B8979" s="9" t="s">
        <v>19154</v>
      </c>
      <c r="C8979" s="9" t="s">
        <v>122</v>
      </c>
      <c r="D8979" s="9" t="s">
        <v>55</v>
      </c>
      <c r="E8979" s="10" t="s">
        <v>1918</v>
      </c>
      <c r="F8979" s="9" t="s">
        <v>1919</v>
      </c>
      <c r="G8979" s="10" t="s">
        <v>21</v>
      </c>
      <c r="H8979" s="9" t="s">
        <v>22</v>
      </c>
      <c r="I8979" s="9" t="s">
        <v>19158</v>
      </c>
      <c r="J8979" s="10" t="str">
        <f>HYPERLINK("https://www.boe.es/gazeta/dias/1834/03/22/pdfs/GMD-1834-36.pdf#page=3","Abrir facsímil")</f>
        <v>Abrir facsímil</v>
      </c>
      <c r="K8979" s="10" t="s">
        <v>24</v>
      </c>
    </row>
    <row r="8980" spans="1:11" ht="54" customHeight="1">
      <c r="A8980" s="9" t="s">
        <v>19159</v>
      </c>
      <c r="B8980" s="9" t="s">
        <v>19159</v>
      </c>
      <c r="C8980" s="9" t="s">
        <v>46</v>
      </c>
      <c r="D8980" s="9" t="s">
        <v>101</v>
      </c>
      <c r="E8980" s="10" t="s">
        <v>2459</v>
      </c>
      <c r="F8980" s="9" t="s">
        <v>2460</v>
      </c>
      <c r="G8980" s="10" t="s">
        <v>86</v>
      </c>
      <c r="H8980" s="9" t="s">
        <v>22</v>
      </c>
      <c r="I8980" s="9" t="s">
        <v>19160</v>
      </c>
      <c r="J8980" s="10" t="str">
        <f>HYPERLINK("https://www.boe.es/gazeta/dias/1834/04/04/pdfs/GMD-1834-43.pdf#page=2","Abrir facsímil")</f>
        <v>Abrir facsímil</v>
      </c>
      <c r="K8980" s="10" t="s">
        <v>24</v>
      </c>
    </row>
    <row r="8981" spans="1:11" ht="54" customHeight="1">
      <c r="A8981" s="9" t="s">
        <v>19161</v>
      </c>
      <c r="B8981" s="9" t="s">
        <v>19161</v>
      </c>
      <c r="C8981" s="9" t="s">
        <v>17</v>
      </c>
      <c r="D8981" s="9" t="s">
        <v>18</v>
      </c>
      <c r="E8981" s="10" t="s">
        <v>2091</v>
      </c>
      <c r="F8981" s="9" t="s">
        <v>2092</v>
      </c>
      <c r="G8981" s="10" t="s">
        <v>86</v>
      </c>
      <c r="H8981" s="9" t="s">
        <v>22</v>
      </c>
      <c r="I8981" s="9" t="s">
        <v>19162</v>
      </c>
      <c r="J8981" s="10" t="str">
        <f>HYPERLINK("https://www.boe.es/gazeta/dias/1834/03/08/pdfs/GMD-1834-30.pdf#page=2","Abrir facsímil")</f>
        <v>Abrir facsímil</v>
      </c>
      <c r="K8981" s="10" t="s">
        <v>24</v>
      </c>
    </row>
    <row r="8982" spans="1:11" ht="54" customHeight="1">
      <c r="A8982" s="9" t="s">
        <v>19161</v>
      </c>
      <c r="B8982" s="9" t="s">
        <v>19161</v>
      </c>
      <c r="C8982" s="9" t="s">
        <v>17</v>
      </c>
      <c r="D8982" s="9" t="s">
        <v>18</v>
      </c>
      <c r="E8982" s="10" t="s">
        <v>2004</v>
      </c>
      <c r="F8982" s="9" t="s">
        <v>2005</v>
      </c>
      <c r="G8982" s="10" t="s">
        <v>86</v>
      </c>
      <c r="H8982" s="9" t="s">
        <v>22</v>
      </c>
      <c r="I8982" s="9" t="s">
        <v>19163</v>
      </c>
      <c r="J8982" s="10" t="str">
        <f>HYPERLINK("https://www.boe.es/gazeta/dias/1834/05/09/pdfs/GMD-1834-78.pdf#page=2","Abrir facsímil")</f>
        <v>Abrir facsímil</v>
      </c>
      <c r="K8982" s="10" t="s">
        <v>24</v>
      </c>
    </row>
    <row r="8983" spans="1:11" ht="54" customHeight="1">
      <c r="A8983" s="9" t="s">
        <v>19161</v>
      </c>
      <c r="B8983" s="9" t="s">
        <v>19161</v>
      </c>
      <c r="C8983" s="9" t="s">
        <v>46</v>
      </c>
      <c r="D8983" s="9" t="s">
        <v>18</v>
      </c>
      <c r="E8983" s="10" t="s">
        <v>2004</v>
      </c>
      <c r="F8983" s="9" t="s">
        <v>2005</v>
      </c>
      <c r="G8983" s="10" t="s">
        <v>21</v>
      </c>
      <c r="H8983" s="9" t="s">
        <v>22</v>
      </c>
      <c r="I8983" s="9" t="s">
        <v>19164</v>
      </c>
      <c r="J8983" s="10" t="str">
        <f>HYPERLINK("https://www.boe.es/gazeta/dias/1834/05/09/pdfs/GMD-1834-78.pdf#page=3","Abrir facsímil")</f>
        <v>Abrir facsímil</v>
      </c>
      <c r="K8983" s="10" t="s">
        <v>24</v>
      </c>
    </row>
    <row r="8984" spans="1:11" ht="54" customHeight="1">
      <c r="A8984" s="9" t="s">
        <v>19161</v>
      </c>
      <c r="B8984" s="9" t="s">
        <v>19161</v>
      </c>
      <c r="C8984" s="9" t="s">
        <v>46</v>
      </c>
      <c r="D8984" s="9" t="s">
        <v>101</v>
      </c>
      <c r="E8984" s="10" t="s">
        <v>739</v>
      </c>
      <c r="F8984" s="9" t="s">
        <v>740</v>
      </c>
      <c r="G8984" s="10" t="s">
        <v>86</v>
      </c>
      <c r="H8984" s="9" t="s">
        <v>22</v>
      </c>
      <c r="I8984" s="9" t="s">
        <v>19165</v>
      </c>
      <c r="J8984" s="10" t="str">
        <f>HYPERLINK("https://www.boe.es/gazeta/dias/1834/03/25/pdfs/GMD-1834-37.pdf#page=2","Abrir facsímil")</f>
        <v>Abrir facsímil</v>
      </c>
      <c r="K8984" s="10" t="s">
        <v>24</v>
      </c>
    </row>
    <row r="8985" spans="1:11" ht="54" customHeight="1">
      <c r="A8985" s="9" t="s">
        <v>19166</v>
      </c>
      <c r="B8985" s="9" t="s">
        <v>19167</v>
      </c>
      <c r="C8985" s="9" t="s">
        <v>17</v>
      </c>
      <c r="D8985" s="9" t="s">
        <v>18</v>
      </c>
      <c r="E8985" s="10" t="s">
        <v>258</v>
      </c>
      <c r="F8985" s="9" t="s">
        <v>259</v>
      </c>
      <c r="G8985" s="10" t="s">
        <v>86</v>
      </c>
      <c r="H8985" s="9" t="s">
        <v>22</v>
      </c>
      <c r="I8985" s="9" t="s">
        <v>19168</v>
      </c>
      <c r="J8985" s="10" t="str">
        <f>HYPERLINK("https://www.boe.es/gazeta/dias/1834/10/09/pdfs/GMD-C-1834-237.pdf#page=2","Abrir facsímil")</f>
        <v>Abrir facsímil</v>
      </c>
      <c r="K8985" s="10" t="s">
        <v>24</v>
      </c>
    </row>
    <row r="8986" spans="1:11" ht="54" customHeight="1">
      <c r="A8986" s="9" t="s">
        <v>19169</v>
      </c>
      <c r="B8986" s="9" t="s">
        <v>19170</v>
      </c>
      <c r="C8986" s="9" t="s">
        <v>46</v>
      </c>
      <c r="D8986" s="9" t="s">
        <v>55</v>
      </c>
      <c r="E8986" s="10" t="s">
        <v>1766</v>
      </c>
      <c r="F8986" s="9" t="s">
        <v>5600</v>
      </c>
      <c r="G8986" s="10" t="s">
        <v>86</v>
      </c>
      <c r="H8986" s="9" t="s">
        <v>22</v>
      </c>
      <c r="I8986" s="9" t="s">
        <v>19171</v>
      </c>
      <c r="J8986" s="10" t="str">
        <f>HYPERLINK("https://www.boe.es/gazeta/dias/1834/10/26/pdfs/GMD-1834-254.pdf#page=2","Abrir facsímil")</f>
        <v>Abrir facsímil</v>
      </c>
      <c r="K8986" s="10" t="s">
        <v>24</v>
      </c>
    </row>
    <row r="8987" spans="1:11" ht="54" customHeight="1">
      <c r="A8987" s="9" t="s">
        <v>19172</v>
      </c>
      <c r="B8987" s="9" t="s">
        <v>19173</v>
      </c>
      <c r="C8987" s="9" t="s">
        <v>66</v>
      </c>
      <c r="D8987" s="9" t="s">
        <v>67</v>
      </c>
      <c r="E8987" s="10" t="s">
        <v>3066</v>
      </c>
      <c r="F8987" s="9" t="s">
        <v>3188</v>
      </c>
      <c r="G8987" s="10" t="s">
        <v>86</v>
      </c>
      <c r="H8987" s="9" t="s">
        <v>22</v>
      </c>
      <c r="I8987" s="9" t="s">
        <v>19174</v>
      </c>
      <c r="J8987" s="10" t="str">
        <f>HYPERLINK("https://www.boe.es/gazeta/dias/1834/08/03/pdfs/GMD-1834-167.pdf#page=2","Abrir facsímil")</f>
        <v>Abrir facsímil</v>
      </c>
      <c r="K8987" s="10" t="s">
        <v>24</v>
      </c>
    </row>
    <row r="8988" spans="1:11" ht="54" customHeight="1">
      <c r="A8988" s="9" t="s">
        <v>19175</v>
      </c>
      <c r="B8988" s="9" t="s">
        <v>19175</v>
      </c>
      <c r="C8988" s="9" t="s">
        <v>17</v>
      </c>
      <c r="D8988" s="9" t="s">
        <v>18</v>
      </c>
      <c r="E8988" s="10" t="s">
        <v>762</v>
      </c>
      <c r="F8988" s="9" t="s">
        <v>763</v>
      </c>
      <c r="G8988" s="10" t="s">
        <v>75</v>
      </c>
      <c r="H8988" s="9" t="s">
        <v>22</v>
      </c>
      <c r="I8988" s="9" t="s">
        <v>19176</v>
      </c>
      <c r="J8988" s="10" t="str">
        <f>HYPERLINK("https://www.boe.es/gazeta/dias/1834/11/07/pdfs/GMD-1834-266.pdf#page=4","Abrir facsímil")</f>
        <v>Abrir facsímil</v>
      </c>
      <c r="K8988" s="10" t="s">
        <v>24</v>
      </c>
    </row>
    <row r="8989" spans="1:11" ht="54" customHeight="1">
      <c r="A8989" s="9" t="s">
        <v>19177</v>
      </c>
      <c r="B8989" s="9" t="s">
        <v>19177</v>
      </c>
      <c r="C8989" s="9" t="s">
        <v>17</v>
      </c>
      <c r="D8989" s="9" t="s">
        <v>18</v>
      </c>
      <c r="E8989" s="10" t="s">
        <v>433</v>
      </c>
      <c r="F8989" s="9" t="s">
        <v>434</v>
      </c>
      <c r="G8989" s="10" t="s">
        <v>86</v>
      </c>
      <c r="H8989" s="9" t="s">
        <v>22</v>
      </c>
      <c r="I8989" s="9" t="s">
        <v>19178</v>
      </c>
      <c r="J8989" s="10" t="str">
        <f>HYPERLINK("https://www.boe.es/gazeta/dias/1834/10/07/pdfs/GMD-C-1834-235.pdf#page=2","Abrir facsímil")</f>
        <v>Abrir facsímil</v>
      </c>
      <c r="K8989" s="10" t="s">
        <v>24</v>
      </c>
    </row>
    <row r="8990" spans="1:11" ht="54" customHeight="1">
      <c r="A8990" s="9" t="s">
        <v>19177</v>
      </c>
      <c r="B8990" s="9" t="s">
        <v>19177</v>
      </c>
      <c r="C8990" s="9" t="s">
        <v>17</v>
      </c>
      <c r="D8990" s="9" t="s">
        <v>18</v>
      </c>
      <c r="E8990" s="10" t="s">
        <v>96</v>
      </c>
      <c r="F8990" s="9" t="s">
        <v>97</v>
      </c>
      <c r="G8990" s="10" t="s">
        <v>34</v>
      </c>
      <c r="H8990" s="9" t="s">
        <v>22</v>
      </c>
      <c r="I8990" s="9" t="s">
        <v>19179</v>
      </c>
      <c r="J8990" s="10" t="str">
        <f>HYPERLINK("https://www.boe.es/gazeta/dias/1834/11/11/pdfs/GMD-C-1834-270.pdf#page=1","Abrir facsímil")</f>
        <v>Abrir facsímil</v>
      </c>
      <c r="K8990" s="10" t="s">
        <v>24</v>
      </c>
    </row>
    <row r="8991" spans="1:11" ht="54" customHeight="1">
      <c r="A8991" s="9" t="s">
        <v>19177</v>
      </c>
      <c r="B8991" s="9" t="s">
        <v>19177</v>
      </c>
      <c r="C8991" s="9" t="s">
        <v>17</v>
      </c>
      <c r="D8991" s="9" t="s">
        <v>18</v>
      </c>
      <c r="E8991" s="10" t="s">
        <v>2087</v>
      </c>
      <c r="F8991" s="9" t="s">
        <v>2267</v>
      </c>
      <c r="G8991" s="10" t="s">
        <v>560</v>
      </c>
      <c r="H8991" s="9" t="s">
        <v>22</v>
      </c>
      <c r="I8991" s="9" t="s">
        <v>19180</v>
      </c>
      <c r="J8991" s="10" t="str">
        <f>HYPERLINK("https://www.boe.es/gazeta/dias/1834/12/14/pdfs/GMD-C-1834-303.pdf#page=7","Abrir facsímil")</f>
        <v>Abrir facsímil</v>
      </c>
      <c r="K8991" s="10" t="s">
        <v>24</v>
      </c>
    </row>
    <row r="8992" spans="1:11" ht="54" customHeight="1">
      <c r="A8992" s="9" t="s">
        <v>19181</v>
      </c>
      <c r="B8992" s="9" t="s">
        <v>19181</v>
      </c>
      <c r="C8992" s="9" t="s">
        <v>17</v>
      </c>
      <c r="D8992" s="9" t="s">
        <v>18</v>
      </c>
      <c r="E8992" s="10" t="s">
        <v>2087</v>
      </c>
      <c r="F8992" s="9" t="s">
        <v>2267</v>
      </c>
      <c r="G8992" s="10" t="s">
        <v>560</v>
      </c>
      <c r="H8992" s="9" t="s">
        <v>22</v>
      </c>
      <c r="I8992" s="9" t="s">
        <v>19182</v>
      </c>
      <c r="J8992" s="10" t="str">
        <f>HYPERLINK("https://www.boe.es/gazeta/dias/1834/12/14/pdfs/GMD-C-1834-303.pdf#page=7","Abrir facsímil")</f>
        <v>Abrir facsímil</v>
      </c>
      <c r="K8992" s="10" t="s">
        <v>24</v>
      </c>
    </row>
    <row r="8993" spans="1:11" ht="54" customHeight="1">
      <c r="A8993" s="9" t="s">
        <v>19183</v>
      </c>
      <c r="B8993" s="9" t="s">
        <v>19184</v>
      </c>
      <c r="C8993" s="9" t="s">
        <v>17</v>
      </c>
      <c r="D8993" s="9" t="s">
        <v>101</v>
      </c>
      <c r="E8993" s="10" t="s">
        <v>981</v>
      </c>
      <c r="F8993" s="9" t="s">
        <v>982</v>
      </c>
      <c r="G8993" s="10" t="s">
        <v>86</v>
      </c>
      <c r="H8993" s="9" t="s">
        <v>22</v>
      </c>
      <c r="I8993" s="9" t="s">
        <v>19185</v>
      </c>
      <c r="J8993" s="10" t="str">
        <f>HYPERLINK("https://www.boe.es/gazeta/dias/1834/09/21/pdfs/GMD-1834-219.pdf#page=2","Abrir facsímil")</f>
        <v>Abrir facsímil</v>
      </c>
      <c r="K8993" s="10" t="s">
        <v>24</v>
      </c>
    </row>
    <row r="8994" spans="1:11" ht="54" customHeight="1">
      <c r="A8994" s="9" t="s">
        <v>19186</v>
      </c>
      <c r="B8994" s="9" t="s">
        <v>19187</v>
      </c>
      <c r="C8994" s="9" t="s">
        <v>17</v>
      </c>
      <c r="D8994" s="9" t="s">
        <v>18</v>
      </c>
      <c r="E8994" s="10" t="s">
        <v>209</v>
      </c>
      <c r="F8994" s="9" t="s">
        <v>210</v>
      </c>
      <c r="G8994" s="10" t="s">
        <v>34</v>
      </c>
      <c r="H8994" s="9" t="s">
        <v>22</v>
      </c>
      <c r="I8994" s="9" t="s">
        <v>19188</v>
      </c>
      <c r="J8994" s="10" t="str">
        <f>HYPERLINK("https://www.boe.es/gazeta/dias/1834/07/01/pdfs/GMD-1834-134.pdf#page=1","Abrir facsímil")</f>
        <v>Abrir facsímil</v>
      </c>
      <c r="K8994" s="10" t="s">
        <v>24</v>
      </c>
    </row>
    <row r="8995" spans="1:11" ht="54" customHeight="1">
      <c r="A8995" s="9" t="s">
        <v>19189</v>
      </c>
      <c r="B8995" s="9" t="s">
        <v>19190</v>
      </c>
      <c r="C8995" s="9" t="s">
        <v>17</v>
      </c>
      <c r="D8995" s="9" t="s">
        <v>18</v>
      </c>
      <c r="E8995" s="10" t="s">
        <v>863</v>
      </c>
      <c r="F8995" s="9" t="s">
        <v>864</v>
      </c>
      <c r="G8995" s="10" t="s">
        <v>86</v>
      </c>
      <c r="H8995" s="9" t="s">
        <v>22</v>
      </c>
      <c r="I8995" s="9" t="s">
        <v>19191</v>
      </c>
      <c r="J8995" s="10" t="str">
        <f>HYPERLINK("https://www.boe.es/gazeta/dias/1834/09/15/pdfs/GMD-1834-213.pdf#page=2","Abrir facsímil")</f>
        <v>Abrir facsímil</v>
      </c>
      <c r="K8995" s="10" t="s">
        <v>24</v>
      </c>
    </row>
    <row r="8996" spans="1:11" ht="54" customHeight="1">
      <c r="A8996" s="9" t="s">
        <v>19192</v>
      </c>
      <c r="B8996" s="9" t="s">
        <v>19193</v>
      </c>
      <c r="C8996" s="9" t="s">
        <v>46</v>
      </c>
      <c r="D8996" s="9" t="s">
        <v>101</v>
      </c>
      <c r="E8996" s="10" t="s">
        <v>1597</v>
      </c>
      <c r="F8996" s="9" t="s">
        <v>1598</v>
      </c>
      <c r="G8996" s="10" t="s">
        <v>21</v>
      </c>
      <c r="H8996" s="9" t="s">
        <v>22</v>
      </c>
      <c r="I8996" s="9" t="s">
        <v>19194</v>
      </c>
      <c r="J8996" s="10" t="str">
        <f>HYPERLINK("https://www.boe.es/gazeta/dias/1834/10/03/pdfs/GMD-1834-231.pdf#page=3","Abrir facsímil")</f>
        <v>Abrir facsímil</v>
      </c>
      <c r="K8996" s="10" t="s">
        <v>24</v>
      </c>
    </row>
    <row r="8997" spans="1:11" ht="54" customHeight="1">
      <c r="A8997" s="9" t="s">
        <v>19195</v>
      </c>
      <c r="B8997" s="9" t="s">
        <v>19196</v>
      </c>
      <c r="C8997" s="9" t="s">
        <v>122</v>
      </c>
      <c r="D8997" s="9" t="s">
        <v>18</v>
      </c>
      <c r="E8997" s="10" t="s">
        <v>4565</v>
      </c>
      <c r="F8997" s="9" t="s">
        <v>4566</v>
      </c>
      <c r="G8997" s="10" t="s">
        <v>75</v>
      </c>
      <c r="H8997" s="9" t="s">
        <v>35</v>
      </c>
      <c r="I8997" s="9" t="s">
        <v>19197</v>
      </c>
      <c r="J8997" s="10" t="str">
        <f>HYPERLINK("https://www.boe.es/gazeta/dias/1834/07/10/pdfs/GMD-1834-143.pdf#page=4","Abrir facsímil")</f>
        <v>Abrir facsímil</v>
      </c>
      <c r="K8997" s="10" t="s">
        <v>37</v>
      </c>
    </row>
    <row r="8998" spans="1:11" ht="54" customHeight="1">
      <c r="A8998" s="9" t="s">
        <v>19198</v>
      </c>
      <c r="B8998" s="9" t="s">
        <v>19199</v>
      </c>
      <c r="C8998" s="9" t="s">
        <v>122</v>
      </c>
      <c r="D8998" s="9" t="s">
        <v>18</v>
      </c>
      <c r="E8998" s="10" t="s">
        <v>1297</v>
      </c>
      <c r="F8998" s="9" t="s">
        <v>1298</v>
      </c>
      <c r="G8998" s="10" t="s">
        <v>21</v>
      </c>
      <c r="H8998" s="9" t="s">
        <v>22</v>
      </c>
      <c r="I8998" s="9" t="s">
        <v>19200</v>
      </c>
      <c r="J8998" s="10" t="str">
        <f>HYPERLINK("https://www.boe.es/gazeta/dias/1834/08/01/pdfs/GMD-1834-165.pdf#page=3","Abrir facsímil")</f>
        <v>Abrir facsímil</v>
      </c>
      <c r="K8998" s="10" t="s">
        <v>24</v>
      </c>
    </row>
    <row r="8999" spans="1:11" ht="54" customHeight="1">
      <c r="A8999" s="9" t="s">
        <v>19198</v>
      </c>
      <c r="B8999" s="9" t="s">
        <v>19199</v>
      </c>
      <c r="C8999" s="9" t="s">
        <v>122</v>
      </c>
      <c r="D8999" s="9" t="s">
        <v>18</v>
      </c>
      <c r="E8999" s="10" t="s">
        <v>4565</v>
      </c>
      <c r="F8999" s="9" t="s">
        <v>4566</v>
      </c>
      <c r="G8999" s="10" t="s">
        <v>75</v>
      </c>
      <c r="H8999" s="9" t="s">
        <v>22</v>
      </c>
      <c r="I8999" s="9" t="s">
        <v>19201</v>
      </c>
      <c r="J8999" s="10" t="str">
        <f>HYPERLINK("https://www.boe.es/gazeta/dias/1834/07/10/pdfs/GMD-1834-143.pdf#page=4","Abrir facsímil")</f>
        <v>Abrir facsímil</v>
      </c>
      <c r="K8999" s="10" t="s">
        <v>24</v>
      </c>
    </row>
    <row r="9000" spans="1:11" ht="54" customHeight="1">
      <c r="A9000" s="9" t="s">
        <v>19198</v>
      </c>
      <c r="B9000" s="9" t="s">
        <v>19199</v>
      </c>
      <c r="C9000" s="9" t="s">
        <v>122</v>
      </c>
      <c r="D9000" s="9" t="s">
        <v>55</v>
      </c>
      <c r="E9000" s="10" t="s">
        <v>5435</v>
      </c>
      <c r="F9000" s="9" t="s">
        <v>5436</v>
      </c>
      <c r="G9000" s="10" t="s">
        <v>21</v>
      </c>
      <c r="H9000" s="9" t="s">
        <v>22</v>
      </c>
      <c r="I9000" s="9" t="s">
        <v>19202</v>
      </c>
      <c r="J9000" s="10" t="str">
        <f>HYPERLINK("https://www.boe.es/gazeta/dias/1834/05/11/pdfs/GMD-1834-80.pdf#page=3","Abrir facsímil")</f>
        <v>Abrir facsímil</v>
      </c>
      <c r="K9000" s="10" t="s">
        <v>24</v>
      </c>
    </row>
    <row r="9001" spans="1:11" ht="54" customHeight="1">
      <c r="A9001" s="9" t="s">
        <v>19198</v>
      </c>
      <c r="B9001" s="9" t="s">
        <v>19199</v>
      </c>
      <c r="C9001" s="9" t="s">
        <v>66</v>
      </c>
      <c r="D9001" s="9" t="s">
        <v>67</v>
      </c>
      <c r="E9001" s="10" t="s">
        <v>753</v>
      </c>
      <c r="F9001" s="9" t="s">
        <v>754</v>
      </c>
      <c r="G9001" s="10" t="s">
        <v>34</v>
      </c>
      <c r="H9001" s="9" t="s">
        <v>22</v>
      </c>
      <c r="I9001" s="9" t="s">
        <v>19203</v>
      </c>
      <c r="J9001" s="10" t="str">
        <f>HYPERLINK("https://www.boe.es/gazeta/dias/1834/04/21/pdfs/GMD-1834-60.pdf#page=1","Abrir facsímil")</f>
        <v>Abrir facsímil</v>
      </c>
      <c r="K9001" s="10" t="s">
        <v>24</v>
      </c>
    </row>
    <row r="9002" spans="1:11" ht="54" customHeight="1">
      <c r="A9002" s="9" t="s">
        <v>19198</v>
      </c>
      <c r="B9002" s="9" t="s">
        <v>19199</v>
      </c>
      <c r="C9002" s="9" t="s">
        <v>17</v>
      </c>
      <c r="D9002" s="9" t="s">
        <v>18</v>
      </c>
      <c r="E9002" s="10" t="s">
        <v>309</v>
      </c>
      <c r="F9002" s="9" t="s">
        <v>310</v>
      </c>
      <c r="G9002" s="10" t="s">
        <v>75</v>
      </c>
      <c r="H9002" s="9" t="s">
        <v>22</v>
      </c>
      <c r="I9002" s="9" t="s">
        <v>19204</v>
      </c>
      <c r="J9002" s="10" t="str">
        <f>HYPERLINK("https://www.boe.es/gazeta/dias/1834/05/30/pdfs/GMD-1834-99.pdf#page=4","Abrir facsímil")</f>
        <v>Abrir facsímil</v>
      </c>
      <c r="K9002" s="10" t="s">
        <v>24</v>
      </c>
    </row>
    <row r="9003" spans="1:11" ht="54" customHeight="1">
      <c r="A9003" s="9" t="s">
        <v>19205</v>
      </c>
      <c r="B9003" s="9" t="s">
        <v>19205</v>
      </c>
      <c r="C9003" s="9" t="s">
        <v>17</v>
      </c>
      <c r="D9003" s="9" t="s">
        <v>18</v>
      </c>
      <c r="E9003" s="10" t="s">
        <v>262</v>
      </c>
      <c r="F9003" s="9" t="s">
        <v>7012</v>
      </c>
      <c r="G9003" s="10" t="s">
        <v>21</v>
      </c>
      <c r="H9003" s="9" t="s">
        <v>22</v>
      </c>
      <c r="I9003" s="9" t="s">
        <v>19206</v>
      </c>
      <c r="J9003" s="10" t="str">
        <f>HYPERLINK("https://www.boe.es/gazeta/dias/1834/10/18/pdfs/GMD-1834-246.pdf#page=3","Abrir facsímil")</f>
        <v>Abrir facsímil</v>
      </c>
      <c r="K9003" s="10" t="s">
        <v>24</v>
      </c>
    </row>
    <row r="9004" spans="1:11" ht="54" customHeight="1">
      <c r="A9004" s="9" t="s">
        <v>19205</v>
      </c>
      <c r="B9004" s="9" t="s">
        <v>19205</v>
      </c>
      <c r="C9004" s="9" t="s">
        <v>17</v>
      </c>
      <c r="D9004" s="9" t="s">
        <v>18</v>
      </c>
      <c r="E9004" s="10" t="s">
        <v>3810</v>
      </c>
      <c r="F9004" s="9" t="s">
        <v>3811</v>
      </c>
      <c r="G9004" s="10" t="s">
        <v>86</v>
      </c>
      <c r="H9004" s="9" t="s">
        <v>22</v>
      </c>
      <c r="I9004" s="9" t="s">
        <v>19207</v>
      </c>
      <c r="J9004" s="10" t="str">
        <f>HYPERLINK("https://www.boe.es/gazeta/dias/1834/02/20/pdfs/GMD-1834-23.pdf#page=2","Abrir facsímil")</f>
        <v>Abrir facsímil</v>
      </c>
      <c r="K9004" s="10" t="s">
        <v>24</v>
      </c>
    </row>
    <row r="9005" spans="1:11" ht="54" customHeight="1">
      <c r="A9005" s="9" t="s">
        <v>19208</v>
      </c>
      <c r="B9005" s="9" t="s">
        <v>19208</v>
      </c>
      <c r="C9005" s="9" t="s">
        <v>17</v>
      </c>
      <c r="D9005" s="9" t="s">
        <v>18</v>
      </c>
      <c r="E9005" s="10" t="s">
        <v>192</v>
      </c>
      <c r="F9005" s="9" t="s">
        <v>2713</v>
      </c>
      <c r="G9005" s="10" t="s">
        <v>21</v>
      </c>
      <c r="H9005" s="9" t="s">
        <v>22</v>
      </c>
      <c r="I9005" s="9" t="s">
        <v>19209</v>
      </c>
      <c r="J9005" s="10" t="str">
        <f>HYPERLINK("https://www.boe.es/gazeta/dias/1834/12/31/pdfs/GMD-C-1834-321.pdf#page=3","Abrir facsímil")</f>
        <v>Abrir facsímil</v>
      </c>
      <c r="K9005" s="10" t="s">
        <v>24</v>
      </c>
    </row>
    <row r="9006" spans="1:11" ht="54" customHeight="1">
      <c r="A9006" s="9" t="s">
        <v>19210</v>
      </c>
      <c r="B9006" s="9" t="s">
        <v>19210</v>
      </c>
      <c r="C9006" s="9" t="s">
        <v>66</v>
      </c>
      <c r="D9006" s="9" t="s">
        <v>67</v>
      </c>
      <c r="E9006" s="10" t="s">
        <v>860</v>
      </c>
      <c r="F9006" s="9" t="s">
        <v>861</v>
      </c>
      <c r="G9006" s="10" t="s">
        <v>75</v>
      </c>
      <c r="H9006" s="9" t="s">
        <v>22</v>
      </c>
      <c r="I9006" s="9" t="s">
        <v>19211</v>
      </c>
      <c r="J9006" s="10" t="str">
        <f>HYPERLINK("https://www.boe.es/gazeta/dias/1834/02/08/pdfs/GMD-1834-18.pdf#page=4","Abrir facsímil")</f>
        <v>Abrir facsímil</v>
      </c>
      <c r="K9006" s="10" t="s">
        <v>24</v>
      </c>
    </row>
    <row r="9007" spans="1:11" ht="54" customHeight="1">
      <c r="A9007" s="9" t="s">
        <v>19212</v>
      </c>
      <c r="B9007" s="9" t="s">
        <v>19212</v>
      </c>
      <c r="C9007" s="9" t="s">
        <v>17</v>
      </c>
      <c r="D9007" s="9" t="s">
        <v>18</v>
      </c>
      <c r="E9007" s="10" t="s">
        <v>317</v>
      </c>
      <c r="F9007" s="9" t="s">
        <v>318</v>
      </c>
      <c r="G9007" s="10" t="s">
        <v>86</v>
      </c>
      <c r="H9007" s="9" t="s">
        <v>22</v>
      </c>
      <c r="I9007" s="9" t="s">
        <v>19213</v>
      </c>
      <c r="J9007" s="10" t="str">
        <f>HYPERLINK("https://www.boe.es/gazeta/dias/1834/03/06/pdfs/GMD-1834-29.pdf#page=2","Abrir facsímil")</f>
        <v>Abrir facsímil</v>
      </c>
      <c r="K9007" s="10" t="s">
        <v>24</v>
      </c>
    </row>
    <row r="9008" spans="1:11" ht="54" customHeight="1">
      <c r="A9008" s="9" t="s">
        <v>19212</v>
      </c>
      <c r="B9008" s="9" t="s">
        <v>19212</v>
      </c>
      <c r="C9008" s="9" t="s">
        <v>66</v>
      </c>
      <c r="D9008" s="9" t="s">
        <v>18</v>
      </c>
      <c r="E9008" s="10" t="s">
        <v>860</v>
      </c>
      <c r="F9008" s="9" t="s">
        <v>861</v>
      </c>
      <c r="G9008" s="10" t="s">
        <v>75</v>
      </c>
      <c r="H9008" s="9" t="s">
        <v>22</v>
      </c>
      <c r="I9008" s="9" t="s">
        <v>19214</v>
      </c>
      <c r="J9008" s="10" t="str">
        <f>HYPERLINK("https://www.boe.es/gazeta/dias/1834/02/08/pdfs/GMD-1834-18.pdf#page=4","Abrir facsímil")</f>
        <v>Abrir facsímil</v>
      </c>
      <c r="K9008" s="10" t="s">
        <v>24</v>
      </c>
    </row>
    <row r="9009" spans="1:11" ht="54" customHeight="1">
      <c r="A9009" s="9" t="s">
        <v>19215</v>
      </c>
      <c r="B9009" s="9" t="s">
        <v>19215</v>
      </c>
      <c r="C9009" s="9" t="s">
        <v>17</v>
      </c>
      <c r="D9009" s="9" t="s">
        <v>18</v>
      </c>
      <c r="E9009" s="10" t="s">
        <v>174</v>
      </c>
      <c r="F9009" s="9" t="s">
        <v>175</v>
      </c>
      <c r="G9009" s="10" t="s">
        <v>21</v>
      </c>
      <c r="H9009" s="9" t="s">
        <v>22</v>
      </c>
      <c r="I9009" s="9" t="s">
        <v>19216</v>
      </c>
      <c r="J9009" s="10" t="str">
        <f>HYPERLINK("https://www.boe.es/gazeta/dias/1834/03/27/pdfs/GMD-1834-38.pdf#page=3","Abrir facsímil")</f>
        <v>Abrir facsímil</v>
      </c>
      <c r="K9009" s="10" t="s">
        <v>24</v>
      </c>
    </row>
    <row r="9010" spans="1:11" ht="54" customHeight="1">
      <c r="A9010" s="9" t="s">
        <v>19215</v>
      </c>
      <c r="B9010" s="9" t="s">
        <v>19215</v>
      </c>
      <c r="C9010" s="9" t="s">
        <v>17</v>
      </c>
      <c r="D9010" s="9" t="s">
        <v>18</v>
      </c>
      <c r="E9010" s="10" t="s">
        <v>803</v>
      </c>
      <c r="F9010" s="9" t="s">
        <v>804</v>
      </c>
      <c r="G9010" s="10" t="s">
        <v>21</v>
      </c>
      <c r="H9010" s="9" t="s">
        <v>22</v>
      </c>
      <c r="I9010" s="9" t="s">
        <v>19217</v>
      </c>
      <c r="J9010" s="10" t="str">
        <f>HYPERLINK("https://www.boe.es/gazeta/dias/1834/03/29/pdfs/GMD-1834-39.pdf#page=3","Abrir facsímil")</f>
        <v>Abrir facsímil</v>
      </c>
      <c r="K9010" s="10" t="s">
        <v>24</v>
      </c>
    </row>
    <row r="9011" spans="1:11" ht="54" customHeight="1">
      <c r="A9011" s="9" t="s">
        <v>19218</v>
      </c>
      <c r="B9011" s="9" t="s">
        <v>19218</v>
      </c>
      <c r="C9011" s="9" t="s">
        <v>66</v>
      </c>
      <c r="D9011" s="9" t="s">
        <v>67</v>
      </c>
      <c r="E9011" s="10" t="s">
        <v>1918</v>
      </c>
      <c r="F9011" s="9" t="s">
        <v>1919</v>
      </c>
      <c r="G9011" s="10" t="s">
        <v>21</v>
      </c>
      <c r="H9011" s="9" t="s">
        <v>22</v>
      </c>
      <c r="I9011" s="9" t="s">
        <v>19219</v>
      </c>
      <c r="J9011" s="10" t="str">
        <f>HYPERLINK("https://www.boe.es/gazeta/dias/1834/03/22/pdfs/GMD-1834-36.pdf#page=3","Abrir facsímil")</f>
        <v>Abrir facsímil</v>
      </c>
      <c r="K9011" s="10" t="s">
        <v>24</v>
      </c>
    </row>
    <row r="9012" spans="1:11" ht="54" customHeight="1">
      <c r="A9012" s="9" t="s">
        <v>19220</v>
      </c>
      <c r="B9012" s="9" t="s">
        <v>19220</v>
      </c>
      <c r="C9012" s="9" t="s">
        <v>46</v>
      </c>
      <c r="D9012" s="9" t="s">
        <v>18</v>
      </c>
      <c r="E9012" s="10" t="s">
        <v>128</v>
      </c>
      <c r="F9012" s="9" t="s">
        <v>1068</v>
      </c>
      <c r="G9012" s="10" t="s">
        <v>86</v>
      </c>
      <c r="H9012" s="9" t="s">
        <v>22</v>
      </c>
      <c r="I9012" s="9" t="s">
        <v>19221</v>
      </c>
      <c r="J9012" s="10" t="str">
        <f>HYPERLINK("https://www.boe.es/gazeta/dias/1834/12/24/pdfs/GMD-1834-314.pdf#page=2","Abrir facsímil")</f>
        <v>Abrir facsímil</v>
      </c>
      <c r="K9012" s="10" t="s">
        <v>24</v>
      </c>
    </row>
    <row r="9013" spans="1:11" ht="54" customHeight="1">
      <c r="A9013" s="9" t="s">
        <v>19222</v>
      </c>
      <c r="B9013" s="9" t="s">
        <v>19222</v>
      </c>
      <c r="C9013" s="9" t="s">
        <v>66</v>
      </c>
      <c r="D9013" s="9" t="s">
        <v>67</v>
      </c>
      <c r="E9013" s="10" t="s">
        <v>2053</v>
      </c>
      <c r="F9013" s="9" t="s">
        <v>2054</v>
      </c>
      <c r="G9013" s="10" t="s">
        <v>21</v>
      </c>
      <c r="H9013" s="9" t="s">
        <v>22</v>
      </c>
      <c r="I9013" s="9" t="s">
        <v>19223</v>
      </c>
      <c r="J9013" s="10" t="str">
        <f>HYPERLINK("https://www.boe.es/gazeta/dias/1834/06/02/pdfs/GMD-1834-103.pdf#page=3","Abrir facsímil")</f>
        <v>Abrir facsímil</v>
      </c>
      <c r="K9013" s="10" t="s">
        <v>24</v>
      </c>
    </row>
    <row r="9014" spans="1:11" ht="54" customHeight="1">
      <c r="A9014" s="9" t="s">
        <v>19224</v>
      </c>
      <c r="B9014" s="9" t="s">
        <v>19224</v>
      </c>
      <c r="C9014" s="9" t="s">
        <v>66</v>
      </c>
      <c r="D9014" s="9" t="s">
        <v>18</v>
      </c>
      <c r="E9014" s="10" t="s">
        <v>444</v>
      </c>
      <c r="F9014" s="9" t="s">
        <v>2412</v>
      </c>
      <c r="G9014" s="10" t="s">
        <v>75</v>
      </c>
      <c r="H9014" s="9" t="s">
        <v>22</v>
      </c>
      <c r="I9014" s="9" t="s">
        <v>19225</v>
      </c>
      <c r="J9014" s="10" t="str">
        <f>HYPERLINK("https://www.boe.es/gazeta/dias/1834/09/12/pdfs/GMD-1834-210.pdf#page=4","Abrir facsímil")</f>
        <v>Abrir facsímil</v>
      </c>
      <c r="K9014" s="10" t="s">
        <v>24</v>
      </c>
    </row>
    <row r="9015" spans="1:11" ht="54" customHeight="1">
      <c r="A9015" s="9" t="s">
        <v>19226</v>
      </c>
      <c r="B9015" s="9" t="s">
        <v>19227</v>
      </c>
      <c r="C9015" s="9" t="s">
        <v>17</v>
      </c>
      <c r="D9015" s="9" t="s">
        <v>101</v>
      </c>
      <c r="E9015" s="10" t="s">
        <v>343</v>
      </c>
      <c r="F9015" s="9" t="s">
        <v>344</v>
      </c>
      <c r="G9015" s="10" t="s">
        <v>34</v>
      </c>
      <c r="H9015" s="9" t="s">
        <v>35</v>
      </c>
      <c r="I9015" s="9" t="s">
        <v>19228</v>
      </c>
      <c r="J9015" s="10" t="str">
        <f>HYPERLINK("https://www.boe.es/gazeta/dias/1834/01/14/pdfs/GMD-1834-7.pdf#page=1","Abrir facsímil")</f>
        <v>Abrir facsímil</v>
      </c>
      <c r="K9015" s="10" t="s">
        <v>37</v>
      </c>
    </row>
    <row r="9016" spans="1:11" ht="54" customHeight="1">
      <c r="A9016" s="9" t="s">
        <v>19229</v>
      </c>
      <c r="B9016" s="9" t="s">
        <v>19230</v>
      </c>
      <c r="C9016" s="9" t="s">
        <v>17</v>
      </c>
      <c r="D9016" s="9" t="s">
        <v>18</v>
      </c>
      <c r="E9016" s="10" t="s">
        <v>803</v>
      </c>
      <c r="F9016" s="9" t="s">
        <v>804</v>
      </c>
      <c r="G9016" s="10" t="s">
        <v>86</v>
      </c>
      <c r="H9016" s="9" t="s">
        <v>35</v>
      </c>
      <c r="I9016" s="9" t="s">
        <v>19231</v>
      </c>
      <c r="J9016" s="10" t="str">
        <f>HYPERLINK("https://www.boe.es/gazeta/dias/1834/03/29/pdfs/GMD-1834-39.pdf#page=2","Abrir facsímil")</f>
        <v>Abrir facsímil</v>
      </c>
      <c r="K9016" s="10" t="s">
        <v>37</v>
      </c>
    </row>
    <row r="9017" spans="1:11" ht="54" customHeight="1">
      <c r="A9017" s="9" t="s">
        <v>19232</v>
      </c>
      <c r="B9017" s="9" t="s">
        <v>19233</v>
      </c>
      <c r="C9017" s="9" t="s">
        <v>17</v>
      </c>
      <c r="D9017" s="9" t="s">
        <v>55</v>
      </c>
      <c r="E9017" s="10" t="s">
        <v>91</v>
      </c>
      <c r="F9017" s="9" t="s">
        <v>92</v>
      </c>
      <c r="G9017" s="10" t="s">
        <v>21</v>
      </c>
      <c r="H9017" s="9" t="s">
        <v>35</v>
      </c>
      <c r="I9017" s="9" t="s">
        <v>19234</v>
      </c>
      <c r="J9017" s="10" t="str">
        <f>HYPERLINK("https://www.boe.es/gazeta/dias/1834/02/13/pdfs/GMD-1834-20.pdf#page=3","Abrir facsímil")</f>
        <v>Abrir facsímil</v>
      </c>
      <c r="K9017" s="10" t="s">
        <v>37</v>
      </c>
    </row>
    <row r="9018" spans="1:11" ht="54" customHeight="1">
      <c r="A9018" s="9" t="s">
        <v>19232</v>
      </c>
      <c r="B9018" s="9" t="s">
        <v>19233</v>
      </c>
      <c r="C9018" s="9" t="s">
        <v>17</v>
      </c>
      <c r="D9018" s="9" t="s">
        <v>18</v>
      </c>
      <c r="E9018" s="10" t="s">
        <v>518</v>
      </c>
      <c r="F9018" s="9" t="s">
        <v>519</v>
      </c>
      <c r="G9018" s="10" t="s">
        <v>21</v>
      </c>
      <c r="H9018" s="9" t="s">
        <v>35</v>
      </c>
      <c r="I9018" s="9" t="s">
        <v>19235</v>
      </c>
      <c r="J9018" s="10" t="str">
        <f>HYPERLINK("https://www.boe.es/gazeta/dias/1834/03/15/pdfs/GMD-1834-33.pdf#page=3","Abrir facsímil")</f>
        <v>Abrir facsímil</v>
      </c>
      <c r="K9018" s="10" t="s">
        <v>37</v>
      </c>
    </row>
    <row r="9019" spans="1:11" ht="54" customHeight="1">
      <c r="A9019" s="9" t="s">
        <v>19236</v>
      </c>
      <c r="B9019" s="9" t="s">
        <v>19237</v>
      </c>
      <c r="C9019" s="9" t="s">
        <v>17</v>
      </c>
      <c r="D9019" s="9" t="s">
        <v>18</v>
      </c>
      <c r="E9019" s="10" t="s">
        <v>2260</v>
      </c>
      <c r="F9019" s="9" t="s">
        <v>2263</v>
      </c>
      <c r="G9019" s="10" t="s">
        <v>34</v>
      </c>
      <c r="H9019" s="9" t="s">
        <v>35</v>
      </c>
      <c r="I9019" s="9" t="s">
        <v>19238</v>
      </c>
      <c r="J9019" s="10" t="str">
        <f>HYPERLINK("https://www.boe.es/gazeta/dias/1834/11/13/pdfs/GMD-C-1834-272.pdf#page=1","Abrir facsímil")</f>
        <v>Abrir facsímil</v>
      </c>
      <c r="K9019" s="10" t="s">
        <v>37</v>
      </c>
    </row>
    <row r="9020" spans="1:11" ht="54" customHeight="1">
      <c r="A9020" s="9" t="s">
        <v>19239</v>
      </c>
      <c r="B9020" s="9" t="s">
        <v>19240</v>
      </c>
      <c r="C9020" s="9" t="s">
        <v>66</v>
      </c>
      <c r="D9020" s="9" t="s">
        <v>67</v>
      </c>
      <c r="E9020" s="10" t="s">
        <v>899</v>
      </c>
      <c r="F9020" s="9" t="s">
        <v>900</v>
      </c>
      <c r="G9020" s="10" t="s">
        <v>470</v>
      </c>
      <c r="H9020" s="9" t="s">
        <v>35</v>
      </c>
      <c r="I9020" s="9" t="s">
        <v>19241</v>
      </c>
      <c r="J9020" s="10" t="str">
        <f>HYPERLINK("https://www.boe.es/gazeta/dias/1834/01/30/pdfs/GMD-1834-14.pdf#page=8","Abrir facsímil")</f>
        <v>Abrir facsímil</v>
      </c>
      <c r="K9020" s="10" t="s">
        <v>37</v>
      </c>
    </row>
    <row r="9021" spans="1:11" ht="54" customHeight="1">
      <c r="A9021" s="9" t="s">
        <v>19242</v>
      </c>
      <c r="B9021" s="9" t="s">
        <v>19243</v>
      </c>
      <c r="C9021" s="9" t="s">
        <v>17</v>
      </c>
      <c r="D9021" s="9" t="s">
        <v>18</v>
      </c>
      <c r="E9021" s="10" t="s">
        <v>364</v>
      </c>
      <c r="F9021" s="9" t="s">
        <v>365</v>
      </c>
      <c r="G9021" s="10" t="s">
        <v>34</v>
      </c>
      <c r="H9021" s="9" t="s">
        <v>35</v>
      </c>
      <c r="I9021" s="9" t="s">
        <v>19244</v>
      </c>
      <c r="J9021" s="10" t="str">
        <f>HYPERLINK("https://www.boe.es/gazeta/dias/1834/09/06/pdfs/GMD-D-1834-204.pdf#page=1","Abrir facsímil")</f>
        <v>Abrir facsímil</v>
      </c>
      <c r="K9021" s="10" t="s">
        <v>37</v>
      </c>
    </row>
    <row r="9022" spans="1:11" ht="54" customHeight="1">
      <c r="A9022" s="9" t="s">
        <v>19245</v>
      </c>
      <c r="B9022" s="9" t="s">
        <v>19246</v>
      </c>
      <c r="C9022" s="9" t="s">
        <v>122</v>
      </c>
      <c r="D9022" s="9" t="s">
        <v>18</v>
      </c>
      <c r="E9022" s="10" t="s">
        <v>133</v>
      </c>
      <c r="F9022" s="9" t="s">
        <v>134</v>
      </c>
      <c r="G9022" s="10" t="s">
        <v>21</v>
      </c>
      <c r="H9022" s="9" t="s">
        <v>35</v>
      </c>
      <c r="I9022" s="9" t="s">
        <v>19247</v>
      </c>
      <c r="J9022" s="10" t="str">
        <f>HYPERLINK("https://www.boe.es/gazeta/dias/1834/06/18/pdfs/GMD-1834-121.pdf#page=3","Abrir facsímil")</f>
        <v>Abrir facsímil</v>
      </c>
      <c r="K9022" s="10" t="s">
        <v>37</v>
      </c>
    </row>
    <row r="9023" spans="1:11" ht="54" customHeight="1">
      <c r="A9023" s="9" t="s">
        <v>19248</v>
      </c>
      <c r="B9023" s="9" t="s">
        <v>19249</v>
      </c>
      <c r="C9023" s="9" t="s">
        <v>17</v>
      </c>
      <c r="D9023" s="9" t="s">
        <v>18</v>
      </c>
      <c r="E9023" s="10" t="s">
        <v>174</v>
      </c>
      <c r="F9023" s="9" t="s">
        <v>175</v>
      </c>
      <c r="G9023" s="10" t="s">
        <v>176</v>
      </c>
      <c r="H9023" s="9" t="s">
        <v>35</v>
      </c>
      <c r="I9023" s="9" t="s">
        <v>19250</v>
      </c>
      <c r="J9023" s="10" t="str">
        <f>HYPERLINK("https://www.boe.es/gazeta/dias/1834/03/27/pdfs/GMD-1834-38.pdf#page=6","Abrir facsímil")</f>
        <v>Abrir facsímil</v>
      </c>
      <c r="K9023" s="10" t="s">
        <v>37</v>
      </c>
    </row>
    <row r="9024" spans="1:11" ht="54" customHeight="1">
      <c r="A9024" s="9" t="s">
        <v>19251</v>
      </c>
      <c r="B9024" s="9" t="s">
        <v>19252</v>
      </c>
      <c r="C9024" s="9" t="s">
        <v>17</v>
      </c>
      <c r="D9024" s="9" t="s">
        <v>18</v>
      </c>
      <c r="E9024" s="10" t="s">
        <v>1850</v>
      </c>
      <c r="F9024" s="9" t="s">
        <v>1851</v>
      </c>
      <c r="G9024" s="10" t="s">
        <v>28</v>
      </c>
      <c r="H9024" s="9" t="s">
        <v>35</v>
      </c>
      <c r="I9024" s="9" t="s">
        <v>19253</v>
      </c>
      <c r="J9024" s="10" t="str">
        <f>HYPERLINK("https://www.boe.es/gazeta/dias/1834/02/18/pdfs/GMD-1834-22.pdf#page=5","Abrir facsímil")</f>
        <v>Abrir facsímil</v>
      </c>
      <c r="K9024" s="10" t="s">
        <v>37</v>
      </c>
    </row>
    <row r="9025" spans="1:11" ht="54" customHeight="1">
      <c r="A9025" s="9" t="s">
        <v>19254</v>
      </c>
      <c r="B9025" s="9" t="s">
        <v>19255</v>
      </c>
      <c r="C9025" s="9" t="s">
        <v>17</v>
      </c>
      <c r="D9025" s="9" t="s">
        <v>18</v>
      </c>
      <c r="E9025" s="10" t="s">
        <v>860</v>
      </c>
      <c r="F9025" s="9" t="s">
        <v>861</v>
      </c>
      <c r="G9025" s="10" t="s">
        <v>34</v>
      </c>
      <c r="H9025" s="9" t="s">
        <v>35</v>
      </c>
      <c r="I9025" s="9" t="s">
        <v>19256</v>
      </c>
      <c r="J9025" s="10" t="str">
        <f>HYPERLINK("https://www.boe.es/gazeta/dias/1834/02/08/pdfs/GMD-1834-18.pdf#page=1","Abrir facsímil")</f>
        <v>Abrir facsímil</v>
      </c>
      <c r="K9025" s="10" t="s">
        <v>37</v>
      </c>
    </row>
    <row r="9026" spans="1:11" ht="54" customHeight="1">
      <c r="A9026" s="9" t="s">
        <v>19257</v>
      </c>
      <c r="B9026" s="9" t="s">
        <v>19258</v>
      </c>
      <c r="C9026" s="9" t="s">
        <v>857</v>
      </c>
      <c r="D9026" s="9" t="s">
        <v>18</v>
      </c>
      <c r="E9026" s="10" t="s">
        <v>8279</v>
      </c>
      <c r="F9026" s="9" t="s">
        <v>8280</v>
      </c>
      <c r="G9026" s="10" t="s">
        <v>75</v>
      </c>
      <c r="H9026" s="9" t="s">
        <v>35</v>
      </c>
      <c r="I9026" s="9" t="s">
        <v>19259</v>
      </c>
      <c r="J9026" s="10" t="str">
        <f>HYPERLINK("https://www.boe.es/gazeta/dias/1834/04/22/pdfs/GMD-1834-61.pdf#page=4","Abrir facsímil")</f>
        <v>Abrir facsímil</v>
      </c>
      <c r="K9026" s="10" t="s">
        <v>37</v>
      </c>
    </row>
    <row r="9027" spans="1:11" ht="54" customHeight="1">
      <c r="A9027" s="9" t="s">
        <v>19260</v>
      </c>
      <c r="B9027" s="9" t="s">
        <v>19261</v>
      </c>
      <c r="C9027" s="9" t="s">
        <v>17</v>
      </c>
      <c r="D9027" s="9" t="s">
        <v>18</v>
      </c>
      <c r="E9027" s="10" t="s">
        <v>976</v>
      </c>
      <c r="F9027" s="9" t="s">
        <v>1061</v>
      </c>
      <c r="G9027" s="10" t="s">
        <v>34</v>
      </c>
      <c r="H9027" s="9" t="s">
        <v>35</v>
      </c>
      <c r="I9027" s="9" t="s">
        <v>19262</v>
      </c>
      <c r="J9027" s="10" t="str">
        <f>HYPERLINK("https://www.boe.es/gazeta/dias/1834/04/02/pdfs/GMD-C-1834-41.pdf#page=1","Abrir facsímil")</f>
        <v>Abrir facsímil</v>
      </c>
      <c r="K9027" s="10" t="s">
        <v>37</v>
      </c>
    </row>
    <row r="9028" spans="1:11" ht="54" customHeight="1">
      <c r="A9028" s="9" t="s">
        <v>19263</v>
      </c>
      <c r="B9028" s="9" t="s">
        <v>19264</v>
      </c>
      <c r="C9028" s="9" t="s">
        <v>90</v>
      </c>
      <c r="D9028" s="9" t="s">
        <v>67</v>
      </c>
      <c r="E9028" s="10" t="s">
        <v>860</v>
      </c>
      <c r="F9028" s="9" t="s">
        <v>861</v>
      </c>
      <c r="G9028" s="10" t="s">
        <v>34</v>
      </c>
      <c r="H9028" s="9" t="s">
        <v>35</v>
      </c>
      <c r="I9028" s="9" t="s">
        <v>19265</v>
      </c>
      <c r="J9028" s="10" t="str">
        <f>HYPERLINK("https://www.boe.es/gazeta/dias/1834/02/08/pdfs/GMD-1834-18.pdf#page=1","Abrir facsímil")</f>
        <v>Abrir facsímil</v>
      </c>
      <c r="K9028" s="10" t="s">
        <v>37</v>
      </c>
    </row>
    <row r="9029" spans="1:11" ht="54" customHeight="1">
      <c r="A9029" s="9" t="s">
        <v>19266</v>
      </c>
      <c r="B9029" s="9" t="s">
        <v>19267</v>
      </c>
      <c r="C9029" s="9" t="s">
        <v>17</v>
      </c>
      <c r="D9029" s="9" t="s">
        <v>40</v>
      </c>
      <c r="E9029" s="10" t="s">
        <v>1297</v>
      </c>
      <c r="F9029" s="9" t="s">
        <v>1879</v>
      </c>
      <c r="G9029" s="10" t="s">
        <v>34</v>
      </c>
      <c r="H9029" s="9" t="s">
        <v>35</v>
      </c>
      <c r="I9029" s="9" t="s">
        <v>19268</v>
      </c>
      <c r="J9029" s="10" t="str">
        <f>HYPERLINK("https://www.boe.es/gazeta/dias/1834/08/01/pdfs/GMD-C-1834-165.pdf#page=1","Abrir facsímil")</f>
        <v>Abrir facsímil</v>
      </c>
      <c r="K9029" s="10" t="s">
        <v>37</v>
      </c>
    </row>
    <row r="9030" spans="1:11" ht="54" customHeight="1">
      <c r="A9030" s="9" t="s">
        <v>19269</v>
      </c>
      <c r="B9030" s="9" t="s">
        <v>19270</v>
      </c>
      <c r="C9030" s="9" t="s">
        <v>90</v>
      </c>
      <c r="D9030" s="9" t="s">
        <v>101</v>
      </c>
      <c r="E9030" s="10" t="s">
        <v>506</v>
      </c>
      <c r="F9030" s="9" t="s">
        <v>507</v>
      </c>
      <c r="G9030" s="10" t="s">
        <v>34</v>
      </c>
      <c r="H9030" s="9" t="s">
        <v>35</v>
      </c>
      <c r="I9030" s="9" t="s">
        <v>19271</v>
      </c>
      <c r="J9030" s="10" t="str">
        <f>HYPERLINK("https://www.boe.es/gazeta/dias/1834/03/04/pdfs/GMD-1834-28.pdf#page=1","Abrir facsímil")</f>
        <v>Abrir facsímil</v>
      </c>
      <c r="K9030" s="10" t="s">
        <v>37</v>
      </c>
    </row>
    <row r="9031" spans="1:11" ht="54" customHeight="1">
      <c r="A9031" s="9" t="s">
        <v>19272</v>
      </c>
      <c r="B9031" s="9" t="s">
        <v>19273</v>
      </c>
      <c r="C9031" s="9" t="s">
        <v>66</v>
      </c>
      <c r="D9031" s="9" t="s">
        <v>67</v>
      </c>
      <c r="E9031" s="10" t="s">
        <v>1572</v>
      </c>
      <c r="F9031" s="9" t="s">
        <v>1573</v>
      </c>
      <c r="G9031" s="10" t="s">
        <v>28</v>
      </c>
      <c r="H9031" s="9" t="s">
        <v>35</v>
      </c>
      <c r="I9031" s="9" t="s">
        <v>19274</v>
      </c>
      <c r="J9031" s="10" t="str">
        <f>HYPERLINK("https://www.boe.es/gazeta/dias/1834/03/20/pdfs/GMD-1834-35.pdf#page=5","Abrir facsímil")</f>
        <v>Abrir facsímil</v>
      </c>
      <c r="K9031" s="10" t="s">
        <v>37</v>
      </c>
    </row>
    <row r="9032" spans="1:11" ht="54" customHeight="1">
      <c r="A9032" s="9" t="s">
        <v>19275</v>
      </c>
      <c r="B9032" s="9" t="s">
        <v>19276</v>
      </c>
      <c r="C9032" s="9" t="s">
        <v>90</v>
      </c>
      <c r="D9032" s="9" t="s">
        <v>55</v>
      </c>
      <c r="E9032" s="10" t="s">
        <v>690</v>
      </c>
      <c r="F9032" s="9" t="s">
        <v>5765</v>
      </c>
      <c r="G9032" s="10" t="s">
        <v>34</v>
      </c>
      <c r="H9032" s="9" t="s">
        <v>35</v>
      </c>
      <c r="I9032" s="9" t="s">
        <v>19277</v>
      </c>
      <c r="J9032" s="10" t="str">
        <f>HYPERLINK("https://www.boe.es/gazeta/dias/1834/09/03/pdfs/GMD-1834-201.pdf#page=1","Abrir facsímil")</f>
        <v>Abrir facsímil</v>
      </c>
      <c r="K9032" s="10" t="s">
        <v>37</v>
      </c>
    </row>
    <row r="9033" spans="1:11" ht="54" customHeight="1">
      <c r="A9033" s="9" t="s">
        <v>19278</v>
      </c>
      <c r="B9033" s="9" t="s">
        <v>19279</v>
      </c>
      <c r="C9033" s="9" t="s">
        <v>17</v>
      </c>
      <c r="D9033" s="9" t="s">
        <v>18</v>
      </c>
      <c r="E9033" s="10" t="s">
        <v>637</v>
      </c>
      <c r="F9033" s="9" t="s">
        <v>638</v>
      </c>
      <c r="G9033" s="10" t="s">
        <v>86</v>
      </c>
      <c r="H9033" s="9" t="s">
        <v>35</v>
      </c>
      <c r="I9033" s="9" t="s">
        <v>19280</v>
      </c>
      <c r="J9033" s="10" t="str">
        <f>HYPERLINK("https://www.boe.es/gazeta/dias/1834/06/03/pdfs/I00469-00470.pdf#page=2","Abrir facsímil")</f>
        <v>Abrir facsímil</v>
      </c>
      <c r="K9033" s="10" t="s">
        <v>37</v>
      </c>
    </row>
    <row r="9034" spans="1:11" ht="54" customHeight="1">
      <c r="A9034" s="9" t="s">
        <v>19278</v>
      </c>
      <c r="B9034" s="9" t="s">
        <v>19279</v>
      </c>
      <c r="C9034" s="9" t="s">
        <v>17</v>
      </c>
      <c r="D9034" s="9" t="s">
        <v>18</v>
      </c>
      <c r="E9034" s="10" t="s">
        <v>637</v>
      </c>
      <c r="F9034" s="9" t="s">
        <v>638</v>
      </c>
      <c r="G9034" s="10" t="s">
        <v>75</v>
      </c>
      <c r="H9034" s="9" t="s">
        <v>35</v>
      </c>
      <c r="I9034" s="9" t="s">
        <v>19280</v>
      </c>
      <c r="J9034" s="10" t="str">
        <f>HYPERLINK("https://www.boe.es/gazeta/dias/1834/06/03/pdfs/GMD-1834-105.pdf#page=4","Abrir facsímil")</f>
        <v>Abrir facsímil</v>
      </c>
      <c r="K9034" s="10" t="s">
        <v>37</v>
      </c>
    </row>
    <row r="9035" spans="1:11" ht="54" customHeight="1">
      <c r="A9035" s="9" t="s">
        <v>19281</v>
      </c>
      <c r="B9035" s="9" t="s">
        <v>19282</v>
      </c>
      <c r="C9035" s="9" t="s">
        <v>17</v>
      </c>
      <c r="D9035" s="9" t="s">
        <v>40</v>
      </c>
      <c r="E9035" s="10" t="s">
        <v>12114</v>
      </c>
      <c r="F9035" s="9" t="s">
        <v>12115</v>
      </c>
      <c r="G9035" s="10" t="s">
        <v>176</v>
      </c>
      <c r="H9035" s="9" t="s">
        <v>35</v>
      </c>
      <c r="I9035" s="9" t="s">
        <v>19283</v>
      </c>
      <c r="J9035" s="10" t="str">
        <f>HYPERLINK("https://www.boe.es/gazeta/dias/1834/04/08/pdfs/GMD-1834-47.pdf#page=6","Abrir facsímil")</f>
        <v>Abrir facsímil</v>
      </c>
      <c r="K9035" s="10" t="s">
        <v>37</v>
      </c>
    </row>
    <row r="9036" spans="1:11" ht="54" customHeight="1">
      <c r="A9036" s="9" t="s">
        <v>19284</v>
      </c>
      <c r="B9036" s="9" t="s">
        <v>19285</v>
      </c>
      <c r="C9036" s="9" t="s">
        <v>17</v>
      </c>
      <c r="D9036" s="9" t="s">
        <v>18</v>
      </c>
      <c r="E9036" s="10" t="s">
        <v>2596</v>
      </c>
      <c r="F9036" s="9" t="s">
        <v>2597</v>
      </c>
      <c r="G9036" s="10" t="s">
        <v>21</v>
      </c>
      <c r="H9036" s="9" t="s">
        <v>22</v>
      </c>
      <c r="I9036" s="9" t="s">
        <v>19286</v>
      </c>
      <c r="J9036" s="10" t="str">
        <f>HYPERLINK("https://www.boe.es/gazeta/dias/1834/10/22/pdfs/GMD-1834-250.pdf#page=3","Abrir facsímil")</f>
        <v>Abrir facsímil</v>
      </c>
      <c r="K9036" s="10" t="s">
        <v>24</v>
      </c>
    </row>
    <row r="9037" spans="1:11" ht="54" customHeight="1">
      <c r="A9037" s="9" t="s">
        <v>19287</v>
      </c>
      <c r="B9037" s="9" t="s">
        <v>19287</v>
      </c>
      <c r="C9037" s="9" t="s">
        <v>17</v>
      </c>
      <c r="D9037" s="9" t="s">
        <v>101</v>
      </c>
      <c r="E9037" s="10" t="s">
        <v>128</v>
      </c>
      <c r="F9037" s="9" t="s">
        <v>129</v>
      </c>
      <c r="G9037" s="10" t="s">
        <v>28</v>
      </c>
      <c r="H9037" s="9" t="s">
        <v>22</v>
      </c>
      <c r="I9037" s="9" t="s">
        <v>19288</v>
      </c>
      <c r="J9037" s="10" t="str">
        <f>HYPERLINK("https://www.boe.es/gazeta/dias/1834/12/24/pdfs/GMD-C-1834-314.pdf#page=5","Abrir facsímil")</f>
        <v>Abrir facsímil</v>
      </c>
      <c r="K9037" s="10" t="s">
        <v>24</v>
      </c>
    </row>
    <row r="9038" spans="1:11" ht="54" customHeight="1">
      <c r="A9038" s="9" t="s">
        <v>19289</v>
      </c>
      <c r="B9038" s="9" t="s">
        <v>19290</v>
      </c>
      <c r="C9038" s="9" t="s">
        <v>17</v>
      </c>
      <c r="D9038" s="9" t="s">
        <v>40</v>
      </c>
      <c r="E9038" s="10" t="s">
        <v>123</v>
      </c>
      <c r="F9038" s="9" t="s">
        <v>124</v>
      </c>
      <c r="G9038" s="10" t="s">
        <v>75</v>
      </c>
      <c r="H9038" s="9" t="s">
        <v>22</v>
      </c>
      <c r="I9038" s="9" t="s">
        <v>19291</v>
      </c>
      <c r="J9038" s="10" t="str">
        <f>HYPERLINK("https://www.boe.es/gazeta/dias/1834/07/11/pdfs/GMD-1834-144.pdf#page=4","Abrir facsímil")</f>
        <v>Abrir facsímil</v>
      </c>
      <c r="K9038" s="10" t="s">
        <v>24</v>
      </c>
    </row>
    <row r="9039" spans="1:11" ht="54" customHeight="1">
      <c r="A9039" s="9" t="s">
        <v>19292</v>
      </c>
      <c r="B9039" s="9" t="s">
        <v>19292</v>
      </c>
      <c r="C9039" s="9" t="s">
        <v>17</v>
      </c>
      <c r="D9039" s="9" t="s">
        <v>18</v>
      </c>
      <c r="E9039" s="10" t="s">
        <v>571</v>
      </c>
      <c r="F9039" s="9" t="s">
        <v>620</v>
      </c>
      <c r="G9039" s="10" t="s">
        <v>21</v>
      </c>
      <c r="H9039" s="9" t="s">
        <v>22</v>
      </c>
      <c r="I9039" s="9" t="s">
        <v>19293</v>
      </c>
      <c r="J9039" s="10" t="str">
        <f>HYPERLINK("https://www.boe.es/gazeta/dias/1834/09/04/pdfs/GMD-C-1834-202.pdf#page=3","Abrir facsímil")</f>
        <v>Abrir facsímil</v>
      </c>
      <c r="K9039" s="10" t="s">
        <v>24</v>
      </c>
    </row>
    <row r="9040" spans="1:11" ht="54" customHeight="1">
      <c r="A9040" s="9" t="s">
        <v>19294</v>
      </c>
      <c r="B9040" s="9" t="s">
        <v>19294</v>
      </c>
      <c r="C9040" s="9" t="s">
        <v>66</v>
      </c>
      <c r="D9040" s="9" t="s">
        <v>101</v>
      </c>
      <c r="E9040" s="10" t="s">
        <v>1689</v>
      </c>
      <c r="F9040" s="9" t="s">
        <v>1690</v>
      </c>
      <c r="G9040" s="10" t="s">
        <v>34</v>
      </c>
      <c r="H9040" s="9" t="s">
        <v>22</v>
      </c>
      <c r="I9040" s="9" t="s">
        <v>19295</v>
      </c>
      <c r="J9040" s="10" t="str">
        <f>HYPERLINK("https://www.boe.es/gazeta/dias/1834/07/28/pdfs/GMD-1834-161.pdf#page=1","Abrir facsímil")</f>
        <v>Abrir facsímil</v>
      </c>
      <c r="K9040" s="10" t="s">
        <v>24</v>
      </c>
    </row>
    <row r="9041" spans="1:11" ht="54" customHeight="1">
      <c r="A9041" s="9" t="s">
        <v>19296</v>
      </c>
      <c r="B9041" s="9" t="s">
        <v>19296</v>
      </c>
      <c r="C9041" s="9" t="s">
        <v>17</v>
      </c>
      <c r="D9041" s="9" t="s">
        <v>55</v>
      </c>
      <c r="E9041" s="10" t="s">
        <v>2098</v>
      </c>
      <c r="F9041" s="9" t="s">
        <v>5817</v>
      </c>
      <c r="G9041" s="10" t="s">
        <v>21</v>
      </c>
      <c r="H9041" s="9" t="s">
        <v>22</v>
      </c>
      <c r="I9041" s="9" t="s">
        <v>19297</v>
      </c>
      <c r="J9041" s="10" t="str">
        <f>HYPERLINK("https://www.boe.es/gazeta/dias/1834/08/11/pdfs/GMD-C-1834-176.pdf#page=3","Abrir facsímil")</f>
        <v>Abrir facsímil</v>
      </c>
      <c r="K9041" s="10" t="s">
        <v>24</v>
      </c>
    </row>
    <row r="9042" spans="1:11" ht="54" customHeight="1">
      <c r="A9042" s="9" t="s">
        <v>19298</v>
      </c>
      <c r="B9042" s="9" t="s">
        <v>19299</v>
      </c>
      <c r="C9042" s="9" t="s">
        <v>66</v>
      </c>
      <c r="D9042" s="9" t="s">
        <v>18</v>
      </c>
      <c r="E9042" s="10" t="s">
        <v>1002</v>
      </c>
      <c r="F9042" s="9" t="s">
        <v>6383</v>
      </c>
      <c r="G9042" s="10" t="s">
        <v>86</v>
      </c>
      <c r="H9042" s="9" t="s">
        <v>22</v>
      </c>
      <c r="I9042" s="9" t="s">
        <v>19300</v>
      </c>
      <c r="J9042" s="10" t="str">
        <f>HYPERLINK("https://www.boe.es/gazeta/dias/1834/06/26/pdfs/GMD-C-1834-129.pdf#page=2","Abrir facsímil")</f>
        <v>Abrir facsímil</v>
      </c>
      <c r="K9042" s="10" t="s">
        <v>24</v>
      </c>
    </row>
    <row r="9043" spans="1:11" ht="54" customHeight="1">
      <c r="A9043" s="9" t="s">
        <v>19301</v>
      </c>
      <c r="B9043" s="9" t="s">
        <v>19302</v>
      </c>
      <c r="C9043" s="9" t="s">
        <v>46</v>
      </c>
      <c r="D9043" s="9" t="s">
        <v>18</v>
      </c>
      <c r="E9043" s="10" t="s">
        <v>1135</v>
      </c>
      <c r="F9043" s="9" t="s">
        <v>1136</v>
      </c>
      <c r="G9043" s="10" t="s">
        <v>86</v>
      </c>
      <c r="H9043" s="9" t="s">
        <v>22</v>
      </c>
      <c r="I9043" s="9" t="s">
        <v>19303</v>
      </c>
      <c r="J9043" s="10" t="str">
        <f>HYPERLINK("https://www.boe.es/gazeta/dias/1834/08/26/pdfs/GMD-1834-192.pdf#page=2","Abrir facsímil")</f>
        <v>Abrir facsímil</v>
      </c>
      <c r="K9043" s="10" t="s">
        <v>24</v>
      </c>
    </row>
    <row r="9044" spans="1:11" ht="54" customHeight="1">
      <c r="A9044" s="9" t="s">
        <v>19304</v>
      </c>
      <c r="B9044" s="9" t="s">
        <v>19305</v>
      </c>
      <c r="C9044" s="9" t="s">
        <v>17</v>
      </c>
      <c r="D9044" s="9" t="s">
        <v>18</v>
      </c>
      <c r="E9044" s="10" t="s">
        <v>3066</v>
      </c>
      <c r="F9044" s="9" t="s">
        <v>3188</v>
      </c>
      <c r="G9044" s="10" t="s">
        <v>86</v>
      </c>
      <c r="H9044" s="9" t="s">
        <v>22</v>
      </c>
      <c r="I9044" s="9" t="s">
        <v>19306</v>
      </c>
      <c r="J9044" s="10" t="str">
        <f>HYPERLINK("https://www.boe.es/gazeta/dias/1834/08/03/pdfs/GMD-1834-167.pdf#page=2","Abrir facsímil")</f>
        <v>Abrir facsímil</v>
      </c>
      <c r="K9044" s="10" t="s">
        <v>24</v>
      </c>
    </row>
    <row r="9045" spans="1:11" ht="54" customHeight="1">
      <c r="A9045" s="9" t="s">
        <v>19307</v>
      </c>
      <c r="B9045" s="9" t="s">
        <v>19308</v>
      </c>
      <c r="C9045" s="9" t="s">
        <v>66</v>
      </c>
      <c r="D9045" s="9" t="s">
        <v>67</v>
      </c>
      <c r="E9045" s="10" t="s">
        <v>73</v>
      </c>
      <c r="F9045" s="9" t="s">
        <v>74</v>
      </c>
      <c r="G9045" s="10" t="s">
        <v>75</v>
      </c>
      <c r="H9045" s="9" t="s">
        <v>22</v>
      </c>
      <c r="I9045" s="9" t="s">
        <v>19309</v>
      </c>
      <c r="J9045" s="10" t="str">
        <f>HYPERLINK("https://www.boe.es/gazeta/dias/1834/11/04/pdfs/GMD-1834-263.pdf#page=4","Abrir facsímil")</f>
        <v>Abrir facsímil</v>
      </c>
      <c r="K9045" s="10" t="s">
        <v>24</v>
      </c>
    </row>
    <row r="9046" spans="1:11" ht="54" customHeight="1">
      <c r="A9046" s="9" t="s">
        <v>19310</v>
      </c>
      <c r="B9046" s="9" t="s">
        <v>19310</v>
      </c>
      <c r="C9046" s="9" t="s">
        <v>17</v>
      </c>
      <c r="D9046" s="9" t="s">
        <v>18</v>
      </c>
      <c r="E9046" s="10" t="s">
        <v>1766</v>
      </c>
      <c r="F9046" s="9" t="s">
        <v>1767</v>
      </c>
      <c r="G9046" s="10" t="s">
        <v>34</v>
      </c>
      <c r="H9046" s="9" t="s">
        <v>22</v>
      </c>
      <c r="I9046" s="9" t="s">
        <v>19311</v>
      </c>
      <c r="J9046" s="10" t="str">
        <f>HYPERLINK("https://www.boe.es/gazeta/dias/1834/10/26/pdfs/GMD-C-1834-254.pdf#page=1","Abrir facsímil")</f>
        <v>Abrir facsímil</v>
      </c>
      <c r="K9046" s="10" t="s">
        <v>24</v>
      </c>
    </row>
    <row r="9047" spans="1:11" ht="54" customHeight="1">
      <c r="A9047" s="9" t="s">
        <v>19312</v>
      </c>
      <c r="B9047" s="9" t="s">
        <v>19313</v>
      </c>
      <c r="C9047" s="9" t="s">
        <v>17</v>
      </c>
      <c r="D9047" s="9" t="s">
        <v>18</v>
      </c>
      <c r="E9047" s="10" t="s">
        <v>1674</v>
      </c>
      <c r="F9047" s="9" t="s">
        <v>3233</v>
      </c>
      <c r="G9047" s="10" t="s">
        <v>86</v>
      </c>
      <c r="H9047" s="9" t="s">
        <v>22</v>
      </c>
      <c r="I9047" s="9" t="s">
        <v>19314</v>
      </c>
      <c r="J9047" s="10" t="str">
        <f>HYPERLINK("https://www.boe.es/gazeta/dias/1834/07/25/pdfs/GMD-C-1834-158.pdf#page=2","Abrir facsímil")</f>
        <v>Abrir facsímil</v>
      </c>
      <c r="K9047" s="10" t="s">
        <v>24</v>
      </c>
    </row>
    <row r="9048" spans="1:11" ht="54" customHeight="1">
      <c r="A9048" s="9" t="s">
        <v>19315</v>
      </c>
      <c r="B9048" s="9" t="s">
        <v>19316</v>
      </c>
      <c r="C9048" s="9" t="s">
        <v>122</v>
      </c>
      <c r="D9048" s="9" t="s">
        <v>18</v>
      </c>
      <c r="E9048" s="10" t="s">
        <v>1084</v>
      </c>
      <c r="F9048" s="9" t="s">
        <v>1085</v>
      </c>
      <c r="G9048" s="10" t="s">
        <v>28</v>
      </c>
      <c r="H9048" s="9" t="s">
        <v>22</v>
      </c>
      <c r="I9048" s="9" t="s">
        <v>19317</v>
      </c>
      <c r="J9048" s="10" t="str">
        <f>HYPERLINK("https://www.boe.es/gazeta/dias/1834/05/01/pdfs/GMD-1834-70.pdf#page=5","Abrir facsímil")</f>
        <v>Abrir facsímil</v>
      </c>
      <c r="K9048" s="10" t="s">
        <v>24</v>
      </c>
    </row>
    <row r="9049" spans="1:11" ht="54" customHeight="1">
      <c r="A9049" s="9" t="s">
        <v>19318</v>
      </c>
      <c r="B9049" s="9" t="s">
        <v>19318</v>
      </c>
      <c r="C9049" s="9" t="s">
        <v>122</v>
      </c>
      <c r="D9049" s="9" t="s">
        <v>40</v>
      </c>
      <c r="E9049" s="10" t="s">
        <v>1918</v>
      </c>
      <c r="F9049" s="9" t="s">
        <v>1919</v>
      </c>
      <c r="G9049" s="10" t="s">
        <v>21</v>
      </c>
      <c r="H9049" s="9" t="s">
        <v>22</v>
      </c>
      <c r="I9049" s="9" t="s">
        <v>19319</v>
      </c>
      <c r="J9049" s="10" t="str">
        <f>HYPERLINK("https://www.boe.es/gazeta/dias/1834/03/22/pdfs/GMD-1834-36.pdf#page=3","Abrir facsímil")</f>
        <v>Abrir facsímil</v>
      </c>
      <c r="K9049" s="10" t="s">
        <v>24</v>
      </c>
    </row>
    <row r="9050" spans="1:11" ht="54" customHeight="1">
      <c r="A9050" s="9" t="s">
        <v>19320</v>
      </c>
      <c r="B9050" s="9" t="s">
        <v>19320</v>
      </c>
      <c r="C9050" s="9" t="s">
        <v>46</v>
      </c>
      <c r="D9050" s="9" t="s">
        <v>40</v>
      </c>
      <c r="E9050" s="10" t="s">
        <v>1318</v>
      </c>
      <c r="F9050" s="9" t="s">
        <v>1319</v>
      </c>
      <c r="G9050" s="10" t="s">
        <v>21</v>
      </c>
      <c r="H9050" s="9" t="s">
        <v>22</v>
      </c>
      <c r="I9050" s="9" t="s">
        <v>19321</v>
      </c>
      <c r="J9050" s="10" t="str">
        <f>HYPERLINK("https://www.boe.es/gazeta/dias/1834/05/10/pdfs/GMD-1834-79.pdf#page=3","Abrir facsímil")</f>
        <v>Abrir facsímil</v>
      </c>
      <c r="K9050" s="10" t="s">
        <v>24</v>
      </c>
    </row>
    <row r="9051" spans="1:11" ht="54" customHeight="1">
      <c r="A9051" s="9" t="s">
        <v>19322</v>
      </c>
      <c r="B9051" s="9" t="s">
        <v>19322</v>
      </c>
      <c r="C9051" s="9" t="s">
        <v>66</v>
      </c>
      <c r="D9051" s="9" t="s">
        <v>67</v>
      </c>
      <c r="E9051" s="10" t="s">
        <v>1680</v>
      </c>
      <c r="F9051" s="9" t="s">
        <v>1681</v>
      </c>
      <c r="G9051" s="10" t="s">
        <v>75</v>
      </c>
      <c r="H9051" s="9" t="s">
        <v>22</v>
      </c>
      <c r="I9051" s="9" t="s">
        <v>19323</v>
      </c>
      <c r="J9051" s="10" t="str">
        <f>HYPERLINK("https://www.boe.es/gazeta/dias/1834/02/27/pdfs/GMD-1834-26.pdf#page=4","Abrir facsímil")</f>
        <v>Abrir facsímil</v>
      </c>
      <c r="K9051" s="10" t="s">
        <v>24</v>
      </c>
    </row>
    <row r="9052" spans="1:11" ht="54" customHeight="1">
      <c r="A9052" s="9" t="s">
        <v>19324</v>
      </c>
      <c r="B9052" s="9" t="s">
        <v>19325</v>
      </c>
      <c r="C9052" s="9" t="s">
        <v>66</v>
      </c>
      <c r="D9052" s="9" t="s">
        <v>67</v>
      </c>
      <c r="E9052" s="10" t="s">
        <v>1119</v>
      </c>
      <c r="F9052" s="9" t="s">
        <v>1120</v>
      </c>
      <c r="G9052" s="10" t="s">
        <v>21</v>
      </c>
      <c r="H9052" s="9" t="s">
        <v>22</v>
      </c>
      <c r="I9052" s="9" t="s">
        <v>19326</v>
      </c>
      <c r="J9052" s="10" t="str">
        <f>HYPERLINK("https://www.boe.es/gazeta/dias/1834/07/17/pdfs/GMD-1834-150.pdf#page=3","Abrir facsímil")</f>
        <v>Abrir facsímil</v>
      </c>
      <c r="K9052" s="10" t="s">
        <v>24</v>
      </c>
    </row>
    <row r="9053" spans="1:11" ht="54" customHeight="1">
      <c r="A9053" s="9" t="s">
        <v>19327</v>
      </c>
      <c r="B9053" s="9" t="s">
        <v>19328</v>
      </c>
      <c r="C9053" s="9" t="s">
        <v>17</v>
      </c>
      <c r="D9053" s="9" t="s">
        <v>18</v>
      </c>
      <c r="E9053" s="10" t="s">
        <v>183</v>
      </c>
      <c r="F9053" s="9" t="s">
        <v>184</v>
      </c>
      <c r="G9053" s="10" t="s">
        <v>75</v>
      </c>
      <c r="H9053" s="9" t="s">
        <v>22</v>
      </c>
      <c r="I9053" s="9" t="s">
        <v>19329</v>
      </c>
      <c r="J9053" s="10" t="str">
        <f>HYPERLINK("https://www.boe.es/gazeta/dias/1834/03/18/pdfs/GMD-1834-34.pdf#page=4","Abrir facsímil")</f>
        <v>Abrir facsímil</v>
      </c>
      <c r="K9053" s="10" t="s">
        <v>24</v>
      </c>
    </row>
    <row r="9054" spans="1:11" ht="54" customHeight="1">
      <c r="A9054" s="9" t="s">
        <v>19330</v>
      </c>
      <c r="B9054" s="9" t="s">
        <v>19331</v>
      </c>
      <c r="C9054" s="9" t="s">
        <v>17</v>
      </c>
      <c r="D9054" s="9" t="s">
        <v>18</v>
      </c>
      <c r="E9054" s="10" t="s">
        <v>91</v>
      </c>
      <c r="F9054" s="9" t="s">
        <v>92</v>
      </c>
      <c r="G9054" s="10" t="s">
        <v>75</v>
      </c>
      <c r="H9054" s="9" t="s">
        <v>22</v>
      </c>
      <c r="I9054" s="9" t="s">
        <v>19332</v>
      </c>
      <c r="J9054" s="10" t="str">
        <f>HYPERLINK("https://www.boe.es/gazeta/dias/1834/02/13/pdfs/GMD-1834-20.pdf#page=4","Abrir facsímil")</f>
        <v>Abrir facsímil</v>
      </c>
      <c r="K9054" s="10" t="s">
        <v>24</v>
      </c>
    </row>
    <row r="9055" spans="1:11" ht="54" customHeight="1">
      <c r="A9055" s="9" t="s">
        <v>19333</v>
      </c>
      <c r="B9055" s="9" t="s">
        <v>19334</v>
      </c>
      <c r="C9055" s="9" t="s">
        <v>66</v>
      </c>
      <c r="D9055" s="9" t="s">
        <v>67</v>
      </c>
      <c r="E9055" s="10" t="s">
        <v>128</v>
      </c>
      <c r="F9055" s="9" t="s">
        <v>1068</v>
      </c>
      <c r="G9055" s="10" t="s">
        <v>75</v>
      </c>
      <c r="H9055" s="9" t="s">
        <v>22</v>
      </c>
      <c r="I9055" s="9" t="s">
        <v>19335</v>
      </c>
      <c r="J9055" s="10" t="str">
        <f>HYPERLINK("https://www.boe.es/gazeta/dias/1834/12/24/pdfs/GMD-1834-314.pdf#page=4","Abrir facsímil")</f>
        <v>Abrir facsímil</v>
      </c>
      <c r="K9055" s="10" t="s">
        <v>24</v>
      </c>
    </row>
    <row r="9056" spans="1:11" ht="54" customHeight="1">
      <c r="A9056" s="9" t="s">
        <v>19336</v>
      </c>
      <c r="B9056" s="9" t="s">
        <v>19337</v>
      </c>
      <c r="C9056" s="9" t="s">
        <v>122</v>
      </c>
      <c r="D9056" s="9" t="s">
        <v>18</v>
      </c>
      <c r="E9056" s="10" t="s">
        <v>2241</v>
      </c>
      <c r="F9056" s="9" t="s">
        <v>2242</v>
      </c>
      <c r="G9056" s="10" t="s">
        <v>75</v>
      </c>
      <c r="H9056" s="9" t="s">
        <v>22</v>
      </c>
      <c r="I9056" s="9" t="s">
        <v>19338</v>
      </c>
      <c r="J9056" s="10" t="str">
        <f>HYPERLINK("https://www.boe.es/gazeta/dias/1834/03/11/pdfs/GMD-1834-31.pdf#page=4","Abrir facsímil")</f>
        <v>Abrir facsímil</v>
      </c>
      <c r="K9056" s="10" t="s">
        <v>24</v>
      </c>
    </row>
    <row r="9057" spans="1:11" ht="54" customHeight="1">
      <c r="A9057" s="9" t="s">
        <v>19339</v>
      </c>
      <c r="B9057" s="9" t="s">
        <v>19340</v>
      </c>
      <c r="C9057" s="9" t="s">
        <v>17</v>
      </c>
      <c r="D9057" s="9" t="s">
        <v>18</v>
      </c>
      <c r="E9057" s="10" t="s">
        <v>1981</v>
      </c>
      <c r="F9057" s="9" t="s">
        <v>2471</v>
      </c>
      <c r="G9057" s="10" t="s">
        <v>21</v>
      </c>
      <c r="H9057" s="9" t="s">
        <v>22</v>
      </c>
      <c r="I9057" s="9" t="s">
        <v>19341</v>
      </c>
      <c r="J9057" s="10" t="str">
        <f>HYPERLINK("https://www.boe.es/gazeta/dias/1834/12/13/pdfs/GMD-C-1834-302.pdf#page=3","Abrir facsímil")</f>
        <v>Abrir facsímil</v>
      </c>
      <c r="K9057" s="10" t="s">
        <v>24</v>
      </c>
    </row>
    <row r="9058" spans="1:11" ht="54" customHeight="1">
      <c r="A9058" s="9" t="s">
        <v>19339</v>
      </c>
      <c r="B9058" s="9" t="s">
        <v>19340</v>
      </c>
      <c r="C9058" s="9" t="s">
        <v>17</v>
      </c>
      <c r="D9058" s="9" t="s">
        <v>18</v>
      </c>
      <c r="E9058" s="10" t="s">
        <v>378</v>
      </c>
      <c r="F9058" s="9" t="s">
        <v>888</v>
      </c>
      <c r="G9058" s="10" t="s">
        <v>21</v>
      </c>
      <c r="H9058" s="9" t="s">
        <v>22</v>
      </c>
      <c r="I9058" s="9" t="s">
        <v>19342</v>
      </c>
      <c r="J9058" s="10" t="str">
        <f>HYPERLINK("https://www.boe.es/gazeta/dias/1834/09/24/pdfs/GMD-C-1834-222.pdf#page=3","Abrir facsímil")</f>
        <v>Abrir facsímil</v>
      </c>
      <c r="K9058" s="10" t="s">
        <v>24</v>
      </c>
    </row>
    <row r="9059" spans="1:11" ht="54" customHeight="1">
      <c r="A9059" s="9" t="s">
        <v>19339</v>
      </c>
      <c r="B9059" s="9" t="s">
        <v>19340</v>
      </c>
      <c r="C9059" s="9" t="s">
        <v>17</v>
      </c>
      <c r="D9059" s="9" t="s">
        <v>18</v>
      </c>
      <c r="E9059" s="10" t="s">
        <v>462</v>
      </c>
      <c r="F9059" s="9" t="s">
        <v>463</v>
      </c>
      <c r="G9059" s="10" t="s">
        <v>86</v>
      </c>
      <c r="H9059" s="9" t="s">
        <v>22</v>
      </c>
      <c r="I9059" s="9" t="s">
        <v>19343</v>
      </c>
      <c r="J9059" s="10" t="str">
        <f>HYPERLINK("https://www.boe.es/gazeta/dias/1834/08/27/pdfs/GMD-C-1834-193.pdf#page=2","Abrir facsímil")</f>
        <v>Abrir facsímil</v>
      </c>
      <c r="K9059" s="10" t="s">
        <v>24</v>
      </c>
    </row>
    <row r="9060" spans="1:11" ht="54" customHeight="1">
      <c r="A9060" s="9" t="s">
        <v>19344</v>
      </c>
      <c r="B9060" s="9" t="s">
        <v>19344</v>
      </c>
      <c r="C9060" s="9" t="s">
        <v>66</v>
      </c>
      <c r="D9060" s="9" t="s">
        <v>67</v>
      </c>
      <c r="E9060" s="10" t="s">
        <v>919</v>
      </c>
      <c r="F9060" s="9" t="s">
        <v>920</v>
      </c>
      <c r="G9060" s="10" t="s">
        <v>86</v>
      </c>
      <c r="H9060" s="9" t="s">
        <v>22</v>
      </c>
      <c r="I9060" s="9" t="s">
        <v>19345</v>
      </c>
      <c r="J9060" s="10" t="str">
        <f>HYPERLINK("https://www.boe.es/gazeta/dias/1834/06/24/pdfs/GMD-1834-127.pdf#page=2","Abrir facsímil")</f>
        <v>Abrir facsímil</v>
      </c>
      <c r="K9060" s="10" t="s">
        <v>24</v>
      </c>
    </row>
    <row r="9061" spans="1:11" ht="54" customHeight="1">
      <c r="A9061" s="9" t="s">
        <v>19344</v>
      </c>
      <c r="B9061" s="9" t="s">
        <v>19344</v>
      </c>
      <c r="C9061" s="9" t="s">
        <v>17</v>
      </c>
      <c r="D9061" s="9" t="s">
        <v>18</v>
      </c>
      <c r="E9061" s="10" t="s">
        <v>143</v>
      </c>
      <c r="F9061" s="9" t="s">
        <v>144</v>
      </c>
      <c r="G9061" s="10" t="s">
        <v>75</v>
      </c>
      <c r="H9061" s="9" t="s">
        <v>22</v>
      </c>
      <c r="I9061" s="9" t="s">
        <v>19346</v>
      </c>
      <c r="J9061" s="10" t="str">
        <f>HYPERLINK("https://www.boe.es/gazeta/dias/1834/07/31/pdfs/GMD-1834-164.pdf#page=4","Abrir facsímil")</f>
        <v>Abrir facsímil</v>
      </c>
      <c r="K9061" s="10" t="s">
        <v>24</v>
      </c>
    </row>
    <row r="9062" spans="1:11" ht="54" customHeight="1">
      <c r="A9062" s="9" t="s">
        <v>19347</v>
      </c>
      <c r="B9062" s="9" t="s">
        <v>19348</v>
      </c>
      <c r="C9062" s="9" t="s">
        <v>66</v>
      </c>
      <c r="D9062" s="9" t="s">
        <v>67</v>
      </c>
      <c r="E9062" s="10" t="s">
        <v>1226</v>
      </c>
      <c r="F9062" s="9" t="s">
        <v>1227</v>
      </c>
      <c r="G9062" s="10" t="s">
        <v>75</v>
      </c>
      <c r="H9062" s="9" t="s">
        <v>22</v>
      </c>
      <c r="I9062" s="9" t="s">
        <v>19349</v>
      </c>
      <c r="J9062" s="10" t="str">
        <f>HYPERLINK("https://www.boe.es/gazeta/dias/1834/07/14/pdfs/GMD-1834-147.pdf#page=4","Abrir facsímil")</f>
        <v>Abrir facsímil</v>
      </c>
      <c r="K9062" s="10" t="s">
        <v>24</v>
      </c>
    </row>
    <row r="9063" spans="1:11" ht="54" customHeight="1">
      <c r="A9063" s="9" t="s">
        <v>19350</v>
      </c>
      <c r="B9063" s="9" t="s">
        <v>19351</v>
      </c>
      <c r="C9063" s="9" t="s">
        <v>17</v>
      </c>
      <c r="D9063" s="9" t="s">
        <v>18</v>
      </c>
      <c r="E9063" s="10" t="s">
        <v>1597</v>
      </c>
      <c r="F9063" s="9" t="s">
        <v>1598</v>
      </c>
      <c r="G9063" s="10" t="s">
        <v>75</v>
      </c>
      <c r="H9063" s="9" t="s">
        <v>22</v>
      </c>
      <c r="I9063" s="9" t="s">
        <v>19352</v>
      </c>
      <c r="J9063" s="10" t="str">
        <f>HYPERLINK("https://www.boe.es/gazeta/dias/1834/10/03/pdfs/GMD-1834-231.pdf#page=4","Abrir facsímil")</f>
        <v>Abrir facsímil</v>
      </c>
      <c r="K9063" s="10" t="s">
        <v>24</v>
      </c>
    </row>
    <row r="9064" spans="1:11" ht="54" customHeight="1">
      <c r="A9064" s="9" t="s">
        <v>19353</v>
      </c>
      <c r="B9064" s="9" t="s">
        <v>19354</v>
      </c>
      <c r="C9064" s="9" t="s">
        <v>17</v>
      </c>
      <c r="D9064" s="9" t="s">
        <v>55</v>
      </c>
      <c r="E9064" s="10" t="s">
        <v>2860</v>
      </c>
      <c r="F9064" s="9" t="s">
        <v>2861</v>
      </c>
      <c r="G9064" s="10" t="s">
        <v>21</v>
      </c>
      <c r="H9064" s="9" t="s">
        <v>22</v>
      </c>
      <c r="I9064" s="9" t="s">
        <v>19355</v>
      </c>
      <c r="J9064" s="10" t="str">
        <f>HYPERLINK("https://www.boe.es/gazeta/dias/1834/07/20/pdfs/GMD-1834-153.pdf#page=3","Abrir facsímil")</f>
        <v>Abrir facsímil</v>
      </c>
      <c r="K9064" s="10" t="s">
        <v>24</v>
      </c>
    </row>
    <row r="9065" spans="1:11" ht="54" customHeight="1">
      <c r="A9065" s="9" t="s">
        <v>19356</v>
      </c>
      <c r="B9065" s="9" t="s">
        <v>19357</v>
      </c>
      <c r="C9065" s="9" t="s">
        <v>17</v>
      </c>
      <c r="D9065" s="9" t="s">
        <v>18</v>
      </c>
      <c r="E9065" s="10" t="s">
        <v>1135</v>
      </c>
      <c r="F9065" s="9" t="s">
        <v>1136</v>
      </c>
      <c r="G9065" s="10" t="s">
        <v>86</v>
      </c>
      <c r="H9065" s="9" t="s">
        <v>22</v>
      </c>
      <c r="I9065" s="9" t="s">
        <v>19358</v>
      </c>
      <c r="J9065" s="10" t="str">
        <f>HYPERLINK("https://www.boe.es/gazeta/dias/1834/08/26/pdfs/GMD-1834-192.pdf#page=2","Abrir facsímil")</f>
        <v>Abrir facsímil</v>
      </c>
      <c r="K9065" s="10" t="s">
        <v>24</v>
      </c>
    </row>
    <row r="9066" spans="1:11" ht="54" customHeight="1">
      <c r="A9066" s="9" t="s">
        <v>19359</v>
      </c>
      <c r="B9066" s="9" t="s">
        <v>19360</v>
      </c>
      <c r="C9066" s="9" t="s">
        <v>17</v>
      </c>
      <c r="D9066" s="9" t="s">
        <v>18</v>
      </c>
      <c r="E9066" s="10" t="s">
        <v>280</v>
      </c>
      <c r="F9066" s="9" t="s">
        <v>3217</v>
      </c>
      <c r="G9066" s="10" t="s">
        <v>75</v>
      </c>
      <c r="H9066" s="9" t="s">
        <v>22</v>
      </c>
      <c r="I9066" s="9" t="s">
        <v>19361</v>
      </c>
      <c r="J9066" s="10" t="str">
        <f>HYPERLINK("https://www.boe.es/gazeta/dias/1834/08/29/pdfs/GMD-1834-195.pdf#page=4","Abrir facsímil")</f>
        <v>Abrir facsímil</v>
      </c>
      <c r="K9066" s="10" t="s">
        <v>24</v>
      </c>
    </row>
    <row r="9067" spans="1:11" ht="54" customHeight="1">
      <c r="A9067" s="9" t="s">
        <v>19362</v>
      </c>
      <c r="B9067" s="9" t="s">
        <v>19362</v>
      </c>
      <c r="C9067" s="9" t="s">
        <v>66</v>
      </c>
      <c r="D9067" s="9" t="s">
        <v>67</v>
      </c>
      <c r="E9067" s="10" t="s">
        <v>912</v>
      </c>
      <c r="F9067" s="9" t="s">
        <v>913</v>
      </c>
      <c r="G9067" s="10" t="s">
        <v>28</v>
      </c>
      <c r="H9067" s="9" t="s">
        <v>22</v>
      </c>
      <c r="I9067" s="9" t="s">
        <v>19363</v>
      </c>
      <c r="J9067" s="10" t="str">
        <f>HYPERLINK("https://www.boe.es/gazeta/dias/1834/02/15/pdfs/GMD-1834-21.pdf#page=5","Abrir facsímil")</f>
        <v>Abrir facsímil</v>
      </c>
      <c r="K9067" s="10" t="s">
        <v>24</v>
      </c>
    </row>
    <row r="9068" spans="1:11" ht="54" customHeight="1">
      <c r="A9068" s="9" t="s">
        <v>19364</v>
      </c>
      <c r="B9068" s="9" t="s">
        <v>19364</v>
      </c>
      <c r="C9068" s="9" t="s">
        <v>17</v>
      </c>
      <c r="D9068" s="9" t="s">
        <v>18</v>
      </c>
      <c r="E9068" s="10" t="s">
        <v>96</v>
      </c>
      <c r="F9068" s="9" t="s">
        <v>1725</v>
      </c>
      <c r="G9068" s="10" t="s">
        <v>21</v>
      </c>
      <c r="H9068" s="9" t="s">
        <v>22</v>
      </c>
      <c r="I9068" s="9" t="s">
        <v>19365</v>
      </c>
      <c r="J9068" s="10" t="str">
        <f>HYPERLINK("https://www.boe.es/gazeta/dias/1834/11/11/pdfs/GMD-1834-270.pdf#page=3","Abrir facsímil")</f>
        <v>Abrir facsímil</v>
      </c>
      <c r="K9068" s="10" t="s">
        <v>24</v>
      </c>
    </row>
    <row r="9069" spans="1:11" ht="54" customHeight="1">
      <c r="A9069" s="9" t="s">
        <v>19366</v>
      </c>
      <c r="B9069" s="9" t="s">
        <v>19366</v>
      </c>
      <c r="C9069" s="9" t="s">
        <v>17</v>
      </c>
      <c r="D9069" s="9" t="s">
        <v>40</v>
      </c>
      <c r="E9069" s="10" t="s">
        <v>506</v>
      </c>
      <c r="F9069" s="9" t="s">
        <v>507</v>
      </c>
      <c r="G9069" s="10" t="s">
        <v>176</v>
      </c>
      <c r="H9069" s="9" t="s">
        <v>22</v>
      </c>
      <c r="I9069" s="9" t="s">
        <v>19367</v>
      </c>
      <c r="J9069" s="10" t="str">
        <f>HYPERLINK("https://www.boe.es/gazeta/dias/1834/03/04/pdfs/GMD-1834-28.pdf#page=6","Abrir facsímil")</f>
        <v>Abrir facsímil</v>
      </c>
      <c r="K9069" s="10" t="s">
        <v>24</v>
      </c>
    </row>
    <row r="9070" spans="1:11" ht="54" customHeight="1">
      <c r="A9070" s="9" t="s">
        <v>19368</v>
      </c>
      <c r="B9070" s="9" t="s">
        <v>19368</v>
      </c>
      <c r="C9070" s="9" t="s">
        <v>122</v>
      </c>
      <c r="D9070" s="9" t="s">
        <v>18</v>
      </c>
      <c r="E9070" s="10" t="s">
        <v>1103</v>
      </c>
      <c r="F9070" s="9" t="s">
        <v>1259</v>
      </c>
      <c r="G9070" s="10" t="s">
        <v>21</v>
      </c>
      <c r="H9070" s="9" t="s">
        <v>22</v>
      </c>
      <c r="I9070" s="9" t="s">
        <v>19369</v>
      </c>
      <c r="J9070" s="10" t="str">
        <f>HYPERLINK("https://www.boe.es/gazeta/dias/1834/10/10/pdfs/GMD-1834-238.pdf#page=3","Abrir facsímil")</f>
        <v>Abrir facsímil</v>
      </c>
      <c r="K9070" s="10" t="s">
        <v>24</v>
      </c>
    </row>
    <row r="9071" spans="1:11" ht="54" customHeight="1">
      <c r="A9071" s="9" t="s">
        <v>19370</v>
      </c>
      <c r="B9071" s="9" t="s">
        <v>19371</v>
      </c>
      <c r="C9071" s="9" t="s">
        <v>66</v>
      </c>
      <c r="D9071" s="9" t="s">
        <v>67</v>
      </c>
      <c r="E9071" s="10" t="s">
        <v>808</v>
      </c>
      <c r="F9071" s="9" t="s">
        <v>809</v>
      </c>
      <c r="G9071" s="10" t="s">
        <v>21</v>
      </c>
      <c r="H9071" s="9" t="s">
        <v>22</v>
      </c>
      <c r="I9071" s="9" t="s">
        <v>19372</v>
      </c>
      <c r="J9071" s="10" t="str">
        <f>HYPERLINK("https://www.boe.es/gazeta/dias/1834/10/11/pdfs/GMD-1834-239.pdf#page=3","Abrir facsímil")</f>
        <v>Abrir facsímil</v>
      </c>
      <c r="K9071" s="10" t="s">
        <v>24</v>
      </c>
    </row>
    <row r="9072" spans="1:11" ht="54" customHeight="1">
      <c r="A9072" s="9" t="s">
        <v>19373</v>
      </c>
      <c r="B9072" s="9" t="s">
        <v>19374</v>
      </c>
      <c r="C9072" s="9" t="s">
        <v>90</v>
      </c>
      <c r="D9072" s="9" t="s">
        <v>67</v>
      </c>
      <c r="E9072" s="10" t="s">
        <v>339</v>
      </c>
      <c r="F9072" s="9" t="s">
        <v>340</v>
      </c>
      <c r="G9072" s="10" t="s">
        <v>21</v>
      </c>
      <c r="H9072" s="9" t="s">
        <v>22</v>
      </c>
      <c r="I9072" s="9" t="s">
        <v>19375</v>
      </c>
      <c r="J9072" s="10" t="str">
        <f>HYPERLINK("https://www.boe.es/gazeta/dias/1834/05/02/pdfs/GMD-1834-71.pdf#page=3","Abrir facsímil")</f>
        <v>Abrir facsímil</v>
      </c>
      <c r="K9072" s="10" t="s">
        <v>24</v>
      </c>
    </row>
    <row r="9073" spans="1:11" ht="54" customHeight="1">
      <c r="A9073" s="9" t="s">
        <v>19376</v>
      </c>
      <c r="B9073" s="9" t="s">
        <v>19376</v>
      </c>
      <c r="C9073" s="9" t="s">
        <v>17</v>
      </c>
      <c r="D9073" s="9" t="s">
        <v>18</v>
      </c>
      <c r="E9073" s="10" t="s">
        <v>860</v>
      </c>
      <c r="F9073" s="9" t="s">
        <v>861</v>
      </c>
      <c r="G9073" s="10" t="s">
        <v>176</v>
      </c>
      <c r="H9073" s="9" t="s">
        <v>22</v>
      </c>
      <c r="I9073" s="9" t="s">
        <v>19377</v>
      </c>
      <c r="J9073" s="10" t="str">
        <f>HYPERLINK("https://www.boe.es/gazeta/dias/1834/02/08/pdfs/GMD-1834-18.pdf#page=6","Abrir facsímil")</f>
        <v>Abrir facsímil</v>
      </c>
      <c r="K9073" s="10" t="s">
        <v>24</v>
      </c>
    </row>
    <row r="9074" spans="1:11" ht="54" customHeight="1">
      <c r="A9074" s="9" t="s">
        <v>19376</v>
      </c>
      <c r="B9074" s="9" t="s">
        <v>19376</v>
      </c>
      <c r="C9074" s="9" t="s">
        <v>122</v>
      </c>
      <c r="D9074" s="9" t="s">
        <v>18</v>
      </c>
      <c r="E9074" s="10" t="s">
        <v>863</v>
      </c>
      <c r="F9074" s="9" t="s">
        <v>864</v>
      </c>
      <c r="G9074" s="10" t="s">
        <v>75</v>
      </c>
      <c r="H9074" s="9" t="s">
        <v>22</v>
      </c>
      <c r="I9074" s="9" t="s">
        <v>19378</v>
      </c>
      <c r="J9074" s="10" t="str">
        <f>HYPERLINK("https://www.boe.es/gazeta/dias/1834/09/15/pdfs/GMD-1834-213.pdf#page=4","Abrir facsímil")</f>
        <v>Abrir facsímil</v>
      </c>
      <c r="K9074" s="10" t="s">
        <v>24</v>
      </c>
    </row>
    <row r="9075" spans="1:11" ht="54" customHeight="1">
      <c r="A9075" s="9" t="s">
        <v>19379</v>
      </c>
      <c r="B9075" s="9" t="s">
        <v>19379</v>
      </c>
      <c r="C9075" s="9" t="s">
        <v>66</v>
      </c>
      <c r="D9075" s="9" t="s">
        <v>67</v>
      </c>
      <c r="E9075" s="10" t="s">
        <v>133</v>
      </c>
      <c r="F9075" s="9" t="s">
        <v>134</v>
      </c>
      <c r="G9075" s="10" t="s">
        <v>34</v>
      </c>
      <c r="H9075" s="9" t="s">
        <v>22</v>
      </c>
      <c r="I9075" s="9" t="s">
        <v>19380</v>
      </c>
      <c r="J9075" s="10" t="str">
        <f>HYPERLINK("https://www.boe.es/gazeta/dias/1834/06/18/pdfs/GMD-1834-121.pdf#page=1","Abrir facsímil")</f>
        <v>Abrir facsímil</v>
      </c>
      <c r="K9075" s="10" t="s">
        <v>24</v>
      </c>
    </row>
    <row r="9076" spans="1:11" ht="54" customHeight="1">
      <c r="A9076" s="9" t="s">
        <v>19379</v>
      </c>
      <c r="B9076" s="9" t="s">
        <v>19379</v>
      </c>
      <c r="C9076" s="9" t="s">
        <v>17</v>
      </c>
      <c r="D9076" s="9" t="s">
        <v>18</v>
      </c>
      <c r="E9076" s="10" t="s">
        <v>1922</v>
      </c>
      <c r="F9076" s="9" t="s">
        <v>1923</v>
      </c>
      <c r="G9076" s="10" t="s">
        <v>28</v>
      </c>
      <c r="H9076" s="9" t="s">
        <v>22</v>
      </c>
      <c r="I9076" s="9" t="s">
        <v>19381</v>
      </c>
      <c r="J9076" s="10" t="str">
        <f>HYPERLINK("https://www.boe.es/gazeta/dias/1834/02/25/pdfs/GMD-1834-25.pdf#page=5","Abrir facsímil")</f>
        <v>Abrir facsímil</v>
      </c>
      <c r="K9076" s="10" t="s">
        <v>24</v>
      </c>
    </row>
    <row r="9077" spans="1:11" ht="54" customHeight="1">
      <c r="A9077" s="9" t="s">
        <v>19379</v>
      </c>
      <c r="B9077" s="9" t="s">
        <v>19379</v>
      </c>
      <c r="C9077" s="9" t="s">
        <v>17</v>
      </c>
      <c r="D9077" s="9" t="s">
        <v>18</v>
      </c>
      <c r="E9077" s="10" t="s">
        <v>1141</v>
      </c>
      <c r="F9077" s="9" t="s">
        <v>1142</v>
      </c>
      <c r="G9077" s="10" t="s">
        <v>34</v>
      </c>
      <c r="H9077" s="9" t="s">
        <v>22</v>
      </c>
      <c r="I9077" s="9" t="s">
        <v>19382</v>
      </c>
      <c r="J9077" s="10" t="str">
        <f>HYPERLINK("https://www.boe.es/gazeta/dias/1834/04/30/pdfs/GMD-1834-69.pdf#page=1","Abrir facsímil")</f>
        <v>Abrir facsímil</v>
      </c>
      <c r="K9077" s="10" t="s">
        <v>24</v>
      </c>
    </row>
    <row r="9078" spans="1:11" ht="54" customHeight="1">
      <c r="A9078" s="9" t="s">
        <v>19383</v>
      </c>
      <c r="B9078" s="9" t="s">
        <v>19384</v>
      </c>
      <c r="C9078" s="9" t="s">
        <v>17</v>
      </c>
      <c r="D9078" s="9" t="s">
        <v>18</v>
      </c>
      <c r="E9078" s="10" t="s">
        <v>371</v>
      </c>
      <c r="F9078" s="9" t="s">
        <v>372</v>
      </c>
      <c r="G9078" s="10" t="s">
        <v>34</v>
      </c>
      <c r="H9078" s="9" t="s">
        <v>22</v>
      </c>
      <c r="I9078" s="9" t="s">
        <v>19385</v>
      </c>
      <c r="J9078" s="10" t="str">
        <f>HYPERLINK("https://www.boe.es/gazeta/dias/1834/05/27/pdfs/GMD-1834-96.pdf#page=1","Abrir facsímil")</f>
        <v>Abrir facsímil</v>
      </c>
      <c r="K9078" s="10" t="s">
        <v>24</v>
      </c>
    </row>
    <row r="9079" spans="1:11" ht="54" customHeight="1">
      <c r="A9079" s="9" t="s">
        <v>19386</v>
      </c>
      <c r="B9079" s="9" t="s">
        <v>19387</v>
      </c>
      <c r="C9079" s="9" t="s">
        <v>17</v>
      </c>
      <c r="D9079" s="9" t="s">
        <v>40</v>
      </c>
      <c r="E9079" s="10" t="s">
        <v>243</v>
      </c>
      <c r="F9079" s="9" t="s">
        <v>1109</v>
      </c>
      <c r="G9079" s="10" t="s">
        <v>21</v>
      </c>
      <c r="H9079" s="9" t="s">
        <v>22</v>
      </c>
      <c r="I9079" s="9" t="s">
        <v>19388</v>
      </c>
      <c r="J9079" s="10" t="str">
        <f>HYPERLINK("https://www.boe.es/gazeta/dias/1834/08/05/pdfs/GMD-1834-169.pdf#page=3","Abrir facsímil")</f>
        <v>Abrir facsímil</v>
      </c>
      <c r="K9079" s="10" t="s">
        <v>24</v>
      </c>
    </row>
    <row r="9080" spans="1:11" ht="54" customHeight="1">
      <c r="A9080" s="9" t="s">
        <v>19389</v>
      </c>
      <c r="B9080" s="9" t="s">
        <v>19390</v>
      </c>
      <c r="C9080" s="9" t="s">
        <v>90</v>
      </c>
      <c r="D9080" s="9" t="s">
        <v>101</v>
      </c>
      <c r="E9080" s="10" t="s">
        <v>647</v>
      </c>
      <c r="F9080" s="9" t="s">
        <v>648</v>
      </c>
      <c r="G9080" s="10" t="s">
        <v>34</v>
      </c>
      <c r="H9080" s="9" t="s">
        <v>22</v>
      </c>
      <c r="I9080" s="9" t="s">
        <v>19391</v>
      </c>
      <c r="J9080" s="10" t="str">
        <f>HYPERLINK("https://www.boe.es/gazeta/dias/1834/10/21/pdfs/GMD-C-1834-249.pdf#page=1","Abrir facsímil")</f>
        <v>Abrir facsímil</v>
      </c>
      <c r="K9080" s="10" t="s">
        <v>24</v>
      </c>
    </row>
    <row r="9081" spans="1:11" ht="54" customHeight="1">
      <c r="A9081" s="9" t="s">
        <v>19392</v>
      </c>
      <c r="B9081" s="9" t="s">
        <v>19393</v>
      </c>
      <c r="C9081" s="9" t="s">
        <v>90</v>
      </c>
      <c r="D9081" s="9" t="s">
        <v>101</v>
      </c>
      <c r="E9081" s="10" t="s">
        <v>647</v>
      </c>
      <c r="F9081" s="9" t="s">
        <v>648</v>
      </c>
      <c r="G9081" s="10" t="s">
        <v>34</v>
      </c>
      <c r="H9081" s="9" t="s">
        <v>35</v>
      </c>
      <c r="I9081" s="9" t="s">
        <v>19394</v>
      </c>
      <c r="J9081" s="10" t="str">
        <f>HYPERLINK("https://www.boe.es/gazeta/dias/1834/10/21/pdfs/GMD-C-1834-249.pdf#page=1","Abrir facsímil")</f>
        <v>Abrir facsímil</v>
      </c>
      <c r="K9081" s="10" t="s">
        <v>37</v>
      </c>
    </row>
    <row r="9082" spans="1:11" ht="54" customHeight="1">
      <c r="A9082" s="9" t="s">
        <v>19395</v>
      </c>
      <c r="B9082" s="9" t="s">
        <v>19396</v>
      </c>
      <c r="C9082" s="9" t="s">
        <v>17</v>
      </c>
      <c r="D9082" s="9" t="s">
        <v>18</v>
      </c>
      <c r="E9082" s="10" t="s">
        <v>1351</v>
      </c>
      <c r="F9082" s="9" t="s">
        <v>1352</v>
      </c>
      <c r="G9082" s="10" t="s">
        <v>28</v>
      </c>
      <c r="H9082" s="9" t="s">
        <v>35</v>
      </c>
      <c r="I9082" s="9" t="s">
        <v>19397</v>
      </c>
      <c r="J9082" s="10" t="str">
        <f>HYPERLINK("https://www.boe.es/gazeta/dias/1834/07/05/pdfs/GMD-1834-138.pdf#page=5","Abrir facsímil")</f>
        <v>Abrir facsímil</v>
      </c>
      <c r="K9082" s="10" t="s">
        <v>37</v>
      </c>
    </row>
    <row r="9083" spans="1:11" ht="54" customHeight="1">
      <c r="A9083" s="9" t="s">
        <v>19398</v>
      </c>
      <c r="B9083" s="9" t="s">
        <v>19399</v>
      </c>
      <c r="C9083" s="9" t="s">
        <v>17</v>
      </c>
      <c r="D9083" s="9" t="s">
        <v>18</v>
      </c>
      <c r="E9083" s="10" t="s">
        <v>1351</v>
      </c>
      <c r="F9083" s="9" t="s">
        <v>1352</v>
      </c>
      <c r="G9083" s="10" t="s">
        <v>28</v>
      </c>
      <c r="H9083" s="9" t="s">
        <v>22</v>
      </c>
      <c r="I9083" s="9" t="s">
        <v>19400</v>
      </c>
      <c r="J9083" s="10" t="str">
        <f>HYPERLINK("https://www.boe.es/gazeta/dias/1834/07/05/pdfs/GMD-1834-138.pdf#page=5","Abrir facsímil")</f>
        <v>Abrir facsímil</v>
      </c>
      <c r="K9083" s="10" t="s">
        <v>24</v>
      </c>
    </row>
    <row r="9084" spans="1:11" ht="54" customHeight="1">
      <c r="A9084" s="9" t="s">
        <v>19401</v>
      </c>
      <c r="B9084" s="9" t="s">
        <v>19402</v>
      </c>
      <c r="C9084" s="9" t="s">
        <v>66</v>
      </c>
      <c r="D9084" s="9" t="s">
        <v>67</v>
      </c>
      <c r="E9084" s="10" t="s">
        <v>2203</v>
      </c>
      <c r="F9084" s="9" t="s">
        <v>2204</v>
      </c>
      <c r="G9084" s="10" t="s">
        <v>75</v>
      </c>
      <c r="H9084" s="9" t="s">
        <v>22</v>
      </c>
      <c r="I9084" s="9" t="s">
        <v>19403</v>
      </c>
      <c r="J9084" s="10" t="str">
        <f>HYPERLINK("https://www.boe.es/gazeta/dias/1834/09/10/pdfs/GMD-C-1834-208.pdf#page=4","Abrir facsímil")</f>
        <v>Abrir facsímil</v>
      </c>
      <c r="K9084" s="10" t="s">
        <v>24</v>
      </c>
    </row>
    <row r="9085" spans="1:11" ht="54" customHeight="1">
      <c r="A9085" s="9" t="s">
        <v>19404</v>
      </c>
      <c r="B9085" s="9" t="s">
        <v>19405</v>
      </c>
      <c r="C9085" s="9" t="s">
        <v>17</v>
      </c>
      <c r="D9085" s="9" t="s">
        <v>18</v>
      </c>
      <c r="E9085" s="10" t="s">
        <v>563</v>
      </c>
      <c r="F9085" s="9" t="s">
        <v>564</v>
      </c>
      <c r="G9085" s="10" t="s">
        <v>28</v>
      </c>
      <c r="H9085" s="9" t="s">
        <v>22</v>
      </c>
      <c r="I9085" s="9" t="s">
        <v>19406</v>
      </c>
      <c r="J9085" s="10" t="str">
        <f>HYPERLINK("https://www.boe.es/gazeta/dias/1834/04/19/pdfs/GMD-1834-58.pdf#page=5","Abrir facsímil")</f>
        <v>Abrir facsímil</v>
      </c>
      <c r="K9085" s="10" t="s">
        <v>24</v>
      </c>
    </row>
    <row r="9086" spans="1:11" ht="54" customHeight="1">
      <c r="A9086" s="9" t="s">
        <v>19407</v>
      </c>
      <c r="B9086" s="9" t="s">
        <v>19408</v>
      </c>
      <c r="C9086" s="9" t="s">
        <v>17</v>
      </c>
      <c r="D9086" s="9" t="s">
        <v>18</v>
      </c>
      <c r="E9086" s="10" t="s">
        <v>2596</v>
      </c>
      <c r="F9086" s="9" t="s">
        <v>2597</v>
      </c>
      <c r="G9086" s="10" t="s">
        <v>21</v>
      </c>
      <c r="H9086" s="9" t="s">
        <v>22</v>
      </c>
      <c r="I9086" s="9" t="s">
        <v>19409</v>
      </c>
      <c r="J9086" s="10" t="str">
        <f>HYPERLINK("https://www.boe.es/gazeta/dias/1834/10/22/pdfs/GMD-1834-250.pdf#page=3","Abrir facsímil")</f>
        <v>Abrir facsímil</v>
      </c>
      <c r="K9086" s="10" t="s">
        <v>24</v>
      </c>
    </row>
    <row r="9087" spans="1:11" ht="54" customHeight="1">
      <c r="A9087" s="9" t="s">
        <v>19410</v>
      </c>
      <c r="B9087" s="9" t="s">
        <v>19411</v>
      </c>
      <c r="C9087" s="9" t="s">
        <v>46</v>
      </c>
      <c r="D9087" s="9" t="s">
        <v>101</v>
      </c>
      <c r="E9087" s="10" t="s">
        <v>334</v>
      </c>
      <c r="F9087" s="9" t="s">
        <v>335</v>
      </c>
      <c r="G9087" s="10" t="s">
        <v>34</v>
      </c>
      <c r="H9087" s="9" t="s">
        <v>22</v>
      </c>
      <c r="I9087" s="9" t="s">
        <v>19412</v>
      </c>
      <c r="J9087" s="10" t="str">
        <f>HYPERLINK("https://www.boe.es/gazeta/dias/1834/09/11/pdfs/GMD-C-1834-209.pdf#page=1","Abrir facsímil")</f>
        <v>Abrir facsímil</v>
      </c>
      <c r="K9087" s="10" t="s">
        <v>24</v>
      </c>
    </row>
    <row r="9088" spans="1:11" ht="54" customHeight="1">
      <c r="A9088" s="9" t="s">
        <v>19413</v>
      </c>
      <c r="B9088" s="9" t="s">
        <v>19414</v>
      </c>
      <c r="C9088" s="9" t="s">
        <v>17</v>
      </c>
      <c r="D9088" s="9" t="s">
        <v>18</v>
      </c>
      <c r="E9088" s="10" t="s">
        <v>552</v>
      </c>
      <c r="F9088" s="9" t="s">
        <v>553</v>
      </c>
      <c r="G9088" s="10" t="s">
        <v>75</v>
      </c>
      <c r="H9088" s="9" t="s">
        <v>35</v>
      </c>
      <c r="I9088" s="9" t="s">
        <v>19415</v>
      </c>
      <c r="J9088" s="10" t="str">
        <f>HYPERLINK("https://www.boe.es/gazeta/dias/1834/07/30/pdfs/GMD-1834-163.pdf#page=4","Abrir facsímil")</f>
        <v>Abrir facsímil</v>
      </c>
      <c r="K9088" s="10" t="s">
        <v>37</v>
      </c>
    </row>
    <row r="9089" spans="1:11" ht="54" customHeight="1">
      <c r="A9089" s="9" t="s">
        <v>19416</v>
      </c>
      <c r="B9089" s="9" t="s">
        <v>19416</v>
      </c>
      <c r="C9089" s="9" t="s">
        <v>17</v>
      </c>
      <c r="D9089" s="9" t="s">
        <v>101</v>
      </c>
      <c r="E9089" s="10" t="s">
        <v>2091</v>
      </c>
      <c r="F9089" s="9" t="s">
        <v>2092</v>
      </c>
      <c r="G9089" s="10" t="s">
        <v>34</v>
      </c>
      <c r="H9089" s="9" t="s">
        <v>22</v>
      </c>
      <c r="I9089" s="9" t="s">
        <v>19417</v>
      </c>
      <c r="J9089" s="10" t="str">
        <f>HYPERLINK("https://www.boe.es/gazeta/dias/1834/03/08/pdfs/GMD-1834-30.pdf#page=1","Abrir facsímil")</f>
        <v>Abrir facsímil</v>
      </c>
      <c r="K9089" s="10" t="s">
        <v>24</v>
      </c>
    </row>
    <row r="9090" spans="1:11" ht="54" customHeight="1">
      <c r="A9090" s="9" t="s">
        <v>19418</v>
      </c>
      <c r="B9090" s="9" t="s">
        <v>19418</v>
      </c>
      <c r="C9090" s="9" t="s">
        <v>17</v>
      </c>
      <c r="D9090" s="9" t="s">
        <v>40</v>
      </c>
      <c r="E9090" s="10" t="s">
        <v>610</v>
      </c>
      <c r="F9090" s="9" t="s">
        <v>611</v>
      </c>
      <c r="G9090" s="10" t="s">
        <v>21</v>
      </c>
      <c r="H9090" s="9" t="s">
        <v>22</v>
      </c>
      <c r="I9090" s="9" t="s">
        <v>19419</v>
      </c>
      <c r="J9090" s="10" t="str">
        <f>HYPERLINK("https://www.boe.es/gazeta/dias/1834/12/21/pdfs/GMD-C-1834-311.pdf#page=3","Abrir facsímil")</f>
        <v>Abrir facsímil</v>
      </c>
      <c r="K9090" s="10" t="s">
        <v>24</v>
      </c>
    </row>
    <row r="9091" spans="1:11" ht="54" customHeight="1">
      <c r="A9091" s="9" t="s">
        <v>19420</v>
      </c>
      <c r="B9091" s="9" t="s">
        <v>19421</v>
      </c>
      <c r="C9091" s="9" t="s">
        <v>17</v>
      </c>
      <c r="D9091" s="9" t="s">
        <v>18</v>
      </c>
      <c r="E9091" s="10" t="s">
        <v>167</v>
      </c>
      <c r="F9091" s="9" t="s">
        <v>1200</v>
      </c>
      <c r="G9091" s="10" t="s">
        <v>21</v>
      </c>
      <c r="H9091" s="9" t="s">
        <v>22</v>
      </c>
      <c r="I9091" s="9" t="s">
        <v>19422</v>
      </c>
      <c r="J9091" s="10" t="str">
        <f>HYPERLINK("https://www.boe.es/gazeta/dias/1834/09/07/pdfs/GMD-C-1834-205.pdf#page=3","Abrir facsímil")</f>
        <v>Abrir facsímil</v>
      </c>
      <c r="K9091" s="10" t="s">
        <v>24</v>
      </c>
    </row>
    <row r="9092" spans="1:11" ht="54" customHeight="1">
      <c r="A9092" s="9" t="s">
        <v>19423</v>
      </c>
      <c r="B9092" s="9" t="s">
        <v>19424</v>
      </c>
      <c r="C9092" s="9" t="s">
        <v>17</v>
      </c>
      <c r="D9092" s="9" t="s">
        <v>18</v>
      </c>
      <c r="E9092" s="10" t="s">
        <v>167</v>
      </c>
      <c r="F9092" s="9" t="s">
        <v>1200</v>
      </c>
      <c r="G9092" s="10" t="s">
        <v>21</v>
      </c>
      <c r="H9092" s="9" t="s">
        <v>22</v>
      </c>
      <c r="I9092" s="9" t="s">
        <v>19425</v>
      </c>
      <c r="J9092" s="10" t="str">
        <f>HYPERLINK("https://www.boe.es/gazeta/dias/1834/09/07/pdfs/GMD-C-1834-205.pdf#page=3","Abrir facsímil")</f>
        <v>Abrir facsímil</v>
      </c>
      <c r="K9092" s="10" t="s">
        <v>24</v>
      </c>
    </row>
    <row r="9093" spans="1:11" ht="54" customHeight="1">
      <c r="A9093" s="9" t="s">
        <v>19426</v>
      </c>
      <c r="B9093" s="9" t="s">
        <v>19427</v>
      </c>
      <c r="C9093" s="9" t="s">
        <v>46</v>
      </c>
      <c r="D9093" s="9" t="s">
        <v>101</v>
      </c>
      <c r="E9093" s="10" t="s">
        <v>334</v>
      </c>
      <c r="F9093" s="9" t="s">
        <v>335</v>
      </c>
      <c r="G9093" s="10" t="s">
        <v>34</v>
      </c>
      <c r="H9093" s="9" t="s">
        <v>22</v>
      </c>
      <c r="I9093" s="9" t="s">
        <v>19428</v>
      </c>
      <c r="J9093" s="10" t="str">
        <f>HYPERLINK("https://www.boe.es/gazeta/dias/1834/09/11/pdfs/GMD-C-1834-209.pdf#page=1","Abrir facsímil")</f>
        <v>Abrir facsímil</v>
      </c>
      <c r="K9093" s="10" t="s">
        <v>24</v>
      </c>
    </row>
    <row r="9094" spans="1:11" ht="54" customHeight="1">
      <c r="A9094" s="9" t="s">
        <v>19429</v>
      </c>
      <c r="B9094" s="9" t="s">
        <v>19430</v>
      </c>
      <c r="C9094" s="9" t="s">
        <v>46</v>
      </c>
      <c r="D9094" s="9" t="s">
        <v>101</v>
      </c>
      <c r="E9094" s="10" t="s">
        <v>777</v>
      </c>
      <c r="F9094" s="9" t="s">
        <v>2535</v>
      </c>
      <c r="G9094" s="10" t="s">
        <v>34</v>
      </c>
      <c r="H9094" s="9" t="s">
        <v>35</v>
      </c>
      <c r="I9094" s="9" t="s">
        <v>19431</v>
      </c>
      <c r="J9094" s="10" t="str">
        <f>HYPERLINK("https://www.boe.es/gazeta/dias/1834/10/29/pdfs/GMD-C-1834-257.pdf#page=1","Abrir facsímil")</f>
        <v>Abrir facsímil</v>
      </c>
      <c r="K9094" s="10" t="s">
        <v>37</v>
      </c>
    </row>
    <row r="9095" spans="1:11" ht="54" customHeight="1">
      <c r="A9095" s="9" t="s">
        <v>19432</v>
      </c>
      <c r="B9095" s="9" t="s">
        <v>19432</v>
      </c>
      <c r="C9095" s="9" t="s">
        <v>17</v>
      </c>
      <c r="D9095" s="9" t="s">
        <v>18</v>
      </c>
      <c r="E9095" s="10" t="s">
        <v>653</v>
      </c>
      <c r="F9095" s="9" t="s">
        <v>654</v>
      </c>
      <c r="G9095" s="10" t="s">
        <v>86</v>
      </c>
      <c r="H9095" s="9" t="s">
        <v>22</v>
      </c>
      <c r="I9095" s="9" t="s">
        <v>19433</v>
      </c>
      <c r="J9095" s="10" t="str">
        <f>HYPERLINK("https://www.boe.es/gazeta/dias/1834/08/06/pdfs/GMD-C-1834-170.pdf#page=2","Abrir facsímil")</f>
        <v>Abrir facsímil</v>
      </c>
      <c r="K9095" s="10" t="s">
        <v>24</v>
      </c>
    </row>
    <row r="9096" spans="1:11" ht="54" customHeight="1">
      <c r="A9096" s="9" t="s">
        <v>19434</v>
      </c>
      <c r="B9096" s="9" t="s">
        <v>19434</v>
      </c>
      <c r="C9096" s="9" t="s">
        <v>17</v>
      </c>
      <c r="D9096" s="9" t="s">
        <v>18</v>
      </c>
      <c r="E9096" s="10" t="s">
        <v>299</v>
      </c>
      <c r="F9096" s="9" t="s">
        <v>2255</v>
      </c>
      <c r="G9096" s="10" t="s">
        <v>176</v>
      </c>
      <c r="H9096" s="9" t="s">
        <v>22</v>
      </c>
      <c r="I9096" s="9" t="s">
        <v>19435</v>
      </c>
      <c r="J9096" s="10" t="str">
        <f>HYPERLINK("https://www.boe.es/gazeta/dias/1834/12/12/pdfs/GMD-C-1834-301.pdf#page=6","Abrir facsímil")</f>
        <v>Abrir facsímil</v>
      </c>
      <c r="K9096" s="10" t="s">
        <v>24</v>
      </c>
    </row>
    <row r="9097" spans="1:11" ht="54" customHeight="1">
      <c r="A9097" s="9" t="s">
        <v>19436</v>
      </c>
      <c r="B9097" s="9" t="s">
        <v>19436</v>
      </c>
      <c r="C9097" s="9" t="s">
        <v>17</v>
      </c>
      <c r="D9097" s="9" t="s">
        <v>55</v>
      </c>
      <c r="E9097" s="10" t="s">
        <v>26</v>
      </c>
      <c r="F9097" s="9" t="s">
        <v>818</v>
      </c>
      <c r="G9097" s="10" t="s">
        <v>86</v>
      </c>
      <c r="H9097" s="9" t="s">
        <v>22</v>
      </c>
      <c r="I9097" s="9" t="s">
        <v>19437</v>
      </c>
      <c r="J9097" s="10" t="str">
        <f>HYPERLINK("https://www.boe.es/gazeta/dias/1834/10/19/pdfs/GMD-1834-247.pdf#page=2","Abrir facsímil")</f>
        <v>Abrir facsímil</v>
      </c>
      <c r="K9097" s="10" t="s">
        <v>24</v>
      </c>
    </row>
    <row r="9098" spans="1:11" ht="54" customHeight="1">
      <c r="A9098" s="9" t="s">
        <v>19438</v>
      </c>
      <c r="B9098" s="9" t="s">
        <v>19438</v>
      </c>
      <c r="C9098" s="9" t="s">
        <v>17</v>
      </c>
      <c r="D9098" s="9" t="s">
        <v>18</v>
      </c>
      <c r="E9098" s="10" t="s">
        <v>1125</v>
      </c>
      <c r="F9098" s="9" t="s">
        <v>2490</v>
      </c>
      <c r="G9098" s="10" t="s">
        <v>28</v>
      </c>
      <c r="H9098" s="9" t="s">
        <v>22</v>
      </c>
      <c r="I9098" s="9" t="s">
        <v>19439</v>
      </c>
      <c r="J9098" s="10" t="str">
        <f>HYPERLINK("https://www.boe.es/gazeta/dias/1834/04/17/pdfs/GMD-1834-56.pdf#page=5","Abrir facsímil")</f>
        <v>Abrir facsímil</v>
      </c>
      <c r="K9098" s="10" t="s">
        <v>24</v>
      </c>
    </row>
    <row r="9099" spans="1:11" ht="54" customHeight="1">
      <c r="A9099" s="9" t="s">
        <v>19440</v>
      </c>
      <c r="B9099" s="9" t="s">
        <v>19441</v>
      </c>
      <c r="C9099" s="9" t="s">
        <v>66</v>
      </c>
      <c r="D9099" s="9" t="s">
        <v>67</v>
      </c>
      <c r="E9099" s="10" t="s">
        <v>803</v>
      </c>
      <c r="F9099" s="9" t="s">
        <v>804</v>
      </c>
      <c r="G9099" s="10" t="s">
        <v>34</v>
      </c>
      <c r="H9099" s="9" t="s">
        <v>22</v>
      </c>
      <c r="I9099" s="9" t="s">
        <v>19442</v>
      </c>
      <c r="J9099" s="10" t="str">
        <f>HYPERLINK("https://www.boe.es/gazeta/dias/1834/03/29/pdfs/GMD-1834-39.pdf#page=1","Abrir facsímil")</f>
        <v>Abrir facsímil</v>
      </c>
      <c r="K9099" s="10" t="s">
        <v>24</v>
      </c>
    </row>
    <row r="9100" spans="1:11" ht="54" customHeight="1">
      <c r="A9100" s="9" t="s">
        <v>19443</v>
      </c>
      <c r="B9100" s="9" t="s">
        <v>19443</v>
      </c>
      <c r="C9100" s="9" t="s">
        <v>17</v>
      </c>
      <c r="D9100" s="9" t="s">
        <v>18</v>
      </c>
      <c r="E9100" s="10" t="s">
        <v>348</v>
      </c>
      <c r="F9100" s="9" t="s">
        <v>501</v>
      </c>
      <c r="G9100" s="10" t="s">
        <v>75</v>
      </c>
      <c r="H9100" s="9" t="s">
        <v>22</v>
      </c>
      <c r="I9100" s="9" t="s">
        <v>19444</v>
      </c>
      <c r="J9100" s="10" t="str">
        <f>HYPERLINK("https://www.boe.es/gazeta/dias/1834/06/12/pdfs/GMD-1834-115.pdf#page=4","Abrir facsímil")</f>
        <v>Abrir facsímil</v>
      </c>
      <c r="K9100" s="10" t="s">
        <v>24</v>
      </c>
    </row>
    <row r="9101" spans="1:11" ht="54" customHeight="1">
      <c r="A9101" s="9" t="s">
        <v>19445</v>
      </c>
      <c r="B9101" s="9" t="s">
        <v>19445</v>
      </c>
      <c r="C9101" s="9" t="s">
        <v>90</v>
      </c>
      <c r="D9101" s="9" t="s">
        <v>55</v>
      </c>
      <c r="E9101" s="10" t="s">
        <v>348</v>
      </c>
      <c r="F9101" s="9" t="s">
        <v>501</v>
      </c>
      <c r="G9101" s="10" t="s">
        <v>21</v>
      </c>
      <c r="H9101" s="9" t="s">
        <v>22</v>
      </c>
      <c r="I9101" s="9" t="s">
        <v>19446</v>
      </c>
      <c r="J9101" s="10" t="str">
        <f>HYPERLINK("https://www.boe.es/gazeta/dias/1834/06/12/pdfs/GMD-1834-115.pdf#page=3","Abrir facsímil")</f>
        <v>Abrir facsímil</v>
      </c>
      <c r="K9101" s="10" t="s">
        <v>24</v>
      </c>
    </row>
    <row r="9102" spans="1:11" ht="54" customHeight="1">
      <c r="A9102" s="9" t="s">
        <v>19447</v>
      </c>
      <c r="B9102" s="9" t="s">
        <v>19447</v>
      </c>
      <c r="C9102" s="9" t="s">
        <v>17</v>
      </c>
      <c r="D9102" s="9" t="s">
        <v>18</v>
      </c>
      <c r="E9102" s="10" t="s">
        <v>8279</v>
      </c>
      <c r="F9102" s="9" t="s">
        <v>8280</v>
      </c>
      <c r="G9102" s="10" t="s">
        <v>86</v>
      </c>
      <c r="H9102" s="9" t="s">
        <v>22</v>
      </c>
      <c r="I9102" s="9" t="s">
        <v>19448</v>
      </c>
      <c r="J9102" s="10" t="str">
        <f>HYPERLINK("https://www.boe.es/gazeta/dias/1834/04/22/pdfs/GMD-1834-61.pdf#page=2","Abrir facsímil")</f>
        <v>Abrir facsímil</v>
      </c>
      <c r="K9102" s="10" t="s">
        <v>24</v>
      </c>
    </row>
    <row r="9103" spans="1:11" ht="54" customHeight="1">
      <c r="A9103" s="9" t="s">
        <v>19449</v>
      </c>
      <c r="B9103" s="9" t="s">
        <v>19450</v>
      </c>
      <c r="C9103" s="9" t="s">
        <v>122</v>
      </c>
      <c r="D9103" s="9" t="s">
        <v>18</v>
      </c>
      <c r="E9103" s="10" t="s">
        <v>3057</v>
      </c>
      <c r="F9103" s="9" t="s">
        <v>3058</v>
      </c>
      <c r="G9103" s="10" t="s">
        <v>21</v>
      </c>
      <c r="H9103" s="9" t="s">
        <v>35</v>
      </c>
      <c r="I9103" s="9" t="s">
        <v>19451</v>
      </c>
      <c r="J9103" s="10" t="str">
        <f>HYPERLINK("https://www.boe.es/gazeta/dias/1834/06/14/pdfs/GMD-1834-117.pdf#page=3","Abrir facsímil")</f>
        <v>Abrir facsímil</v>
      </c>
      <c r="K9103" s="10" t="s">
        <v>37</v>
      </c>
    </row>
    <row r="9104" spans="1:11" ht="54" customHeight="1">
      <c r="A9104" s="9" t="s">
        <v>19452</v>
      </c>
      <c r="B9104" s="9" t="s">
        <v>19452</v>
      </c>
      <c r="C9104" s="9" t="s">
        <v>46</v>
      </c>
      <c r="D9104" s="9" t="s">
        <v>101</v>
      </c>
      <c r="E9104" s="10" t="s">
        <v>672</v>
      </c>
      <c r="F9104" s="9" t="s">
        <v>1055</v>
      </c>
      <c r="G9104" s="10" t="s">
        <v>1343</v>
      </c>
      <c r="H9104" s="9" t="s">
        <v>22</v>
      </c>
      <c r="I9104" s="9" t="s">
        <v>19453</v>
      </c>
      <c r="J9104" s="10" t="str">
        <f>HYPERLINK("https://www.boe.es/gazeta/dias/1834/09/19/pdfs/GMD-C-1834-217.pdf#page=9","Abrir facsímil")</f>
        <v>Abrir facsímil</v>
      </c>
      <c r="K9104" s="10" t="s">
        <v>24</v>
      </c>
    </row>
    <row r="9105" spans="1:11" ht="54" customHeight="1">
      <c r="A9105" s="9" t="s">
        <v>19454</v>
      </c>
      <c r="B9105" s="9" t="s">
        <v>19455</v>
      </c>
      <c r="C9105" s="9" t="s">
        <v>90</v>
      </c>
      <c r="D9105" s="9" t="s">
        <v>18</v>
      </c>
      <c r="E9105" s="10" t="s">
        <v>355</v>
      </c>
      <c r="F9105" s="9" t="s">
        <v>356</v>
      </c>
      <c r="G9105" s="10" t="s">
        <v>86</v>
      </c>
      <c r="H9105" s="9" t="s">
        <v>22</v>
      </c>
      <c r="I9105" s="9" t="s">
        <v>19456</v>
      </c>
      <c r="J9105" s="10" t="str">
        <f>HYPERLINK("https://www.boe.es/gazeta/dias/1834/07/04/pdfs/I00597-00598.pdf#page=2","Abrir facsímil")</f>
        <v>Abrir facsímil</v>
      </c>
      <c r="K9105" s="10" t="s">
        <v>24</v>
      </c>
    </row>
    <row r="9106" spans="1:11" ht="54" customHeight="1">
      <c r="A9106" s="9" t="s">
        <v>19454</v>
      </c>
      <c r="B9106" s="9" t="s">
        <v>19455</v>
      </c>
      <c r="C9106" s="9" t="s">
        <v>90</v>
      </c>
      <c r="D9106" s="9" t="s">
        <v>18</v>
      </c>
      <c r="E9106" s="10" t="s">
        <v>355</v>
      </c>
      <c r="F9106" s="9" t="s">
        <v>356</v>
      </c>
      <c r="G9106" s="10" t="s">
        <v>75</v>
      </c>
      <c r="H9106" s="9" t="s">
        <v>22</v>
      </c>
      <c r="I9106" s="9" t="s">
        <v>19456</v>
      </c>
      <c r="J9106" s="10" t="str">
        <f>HYPERLINK("https://www.boe.es/gazeta/dias/1834/07/04/pdfs/GMD-1834-137.pdf#page=4","Abrir facsímil")</f>
        <v>Abrir facsímil</v>
      </c>
      <c r="K9106" s="10" t="s">
        <v>24</v>
      </c>
    </row>
    <row r="9107" spans="1:11" ht="54" customHeight="1">
      <c r="A9107" s="9" t="s">
        <v>19457</v>
      </c>
      <c r="B9107" s="9" t="s">
        <v>19458</v>
      </c>
      <c r="C9107" s="9" t="s">
        <v>17</v>
      </c>
      <c r="D9107" s="9" t="s">
        <v>18</v>
      </c>
      <c r="E9107" s="10" t="s">
        <v>32</v>
      </c>
      <c r="F9107" s="9" t="s">
        <v>33</v>
      </c>
      <c r="G9107" s="10" t="s">
        <v>86</v>
      </c>
      <c r="H9107" s="9" t="s">
        <v>22</v>
      </c>
      <c r="I9107" s="9" t="s">
        <v>19459</v>
      </c>
      <c r="J9107" s="10" t="str">
        <f>HYPERLINK("https://www.boe.es/gazeta/dias/1834/04/23/pdfs/GMD-1834-62.pdf#page=2","Abrir facsímil")</f>
        <v>Abrir facsímil</v>
      </c>
      <c r="K9107" s="10" t="s">
        <v>24</v>
      </c>
    </row>
    <row r="9108" spans="1:11" ht="54" customHeight="1">
      <c r="A9108" s="9" t="s">
        <v>19460</v>
      </c>
      <c r="B9108" s="9" t="s">
        <v>19461</v>
      </c>
      <c r="C9108" s="9" t="s">
        <v>17</v>
      </c>
      <c r="D9108" s="9" t="s">
        <v>18</v>
      </c>
      <c r="E9108" s="10" t="s">
        <v>2596</v>
      </c>
      <c r="F9108" s="9" t="s">
        <v>2597</v>
      </c>
      <c r="G9108" s="10" t="s">
        <v>21</v>
      </c>
      <c r="H9108" s="9" t="s">
        <v>22</v>
      </c>
      <c r="I9108" s="9" t="s">
        <v>19462</v>
      </c>
      <c r="J9108" s="10" t="str">
        <f>HYPERLINK("https://www.boe.es/gazeta/dias/1834/10/22/pdfs/GMD-1834-250.pdf#page=3","Abrir facsímil")</f>
        <v>Abrir facsímil</v>
      </c>
      <c r="K9108" s="10" t="s">
        <v>24</v>
      </c>
    </row>
    <row r="9109" spans="1:11" ht="54" customHeight="1">
      <c r="A9109" s="9" t="s">
        <v>19463</v>
      </c>
      <c r="B9109" s="9" t="s">
        <v>19464</v>
      </c>
      <c r="C9109" s="9" t="s">
        <v>17</v>
      </c>
      <c r="D9109" s="9" t="s">
        <v>40</v>
      </c>
      <c r="E9109" s="10" t="s">
        <v>348</v>
      </c>
      <c r="F9109" s="9" t="s">
        <v>349</v>
      </c>
      <c r="G9109" s="10" t="s">
        <v>34</v>
      </c>
      <c r="H9109" s="9" t="s">
        <v>22</v>
      </c>
      <c r="I9109" s="9" t="s">
        <v>19465</v>
      </c>
      <c r="J9109" s="10" t="str">
        <f>HYPERLINK("https://www.boe.es/gazeta/dias/1834/06/12/pdfs/GMD-C-1834-115.pdf#page=1","Abrir facsímil")</f>
        <v>Abrir facsímil</v>
      </c>
      <c r="K9109" s="10" t="s">
        <v>24</v>
      </c>
    </row>
    <row r="9110" spans="1:11" ht="54" customHeight="1">
      <c r="A9110" s="9" t="s">
        <v>19466</v>
      </c>
      <c r="B9110" s="9" t="s">
        <v>19467</v>
      </c>
      <c r="C9110" s="9" t="s">
        <v>17</v>
      </c>
      <c r="D9110" s="9" t="s">
        <v>18</v>
      </c>
      <c r="E9110" s="10" t="s">
        <v>1333</v>
      </c>
      <c r="F9110" s="9" t="s">
        <v>1334</v>
      </c>
      <c r="G9110" s="10" t="s">
        <v>34</v>
      </c>
      <c r="H9110" s="9" t="s">
        <v>22</v>
      </c>
      <c r="I9110" s="9" t="s">
        <v>19468</v>
      </c>
      <c r="J9110" s="10" t="str">
        <f>HYPERLINK("https://www.boe.es/gazeta/dias/1834/04/01/pdfs/GMD-1834-40.pdf#page=1","Abrir facsímil")</f>
        <v>Abrir facsímil</v>
      </c>
      <c r="K9110" s="10" t="s">
        <v>24</v>
      </c>
    </row>
    <row r="9111" spans="1:11" ht="54" customHeight="1">
      <c r="A9111" s="9" t="s">
        <v>19469</v>
      </c>
      <c r="B9111" s="9" t="s">
        <v>19469</v>
      </c>
      <c r="C9111" s="9" t="s">
        <v>66</v>
      </c>
      <c r="D9111" s="9" t="s">
        <v>18</v>
      </c>
      <c r="E9111" s="10" t="s">
        <v>12114</v>
      </c>
      <c r="F9111" s="9" t="s">
        <v>12115</v>
      </c>
      <c r="G9111" s="10" t="s">
        <v>34</v>
      </c>
      <c r="H9111" s="9" t="s">
        <v>22</v>
      </c>
      <c r="I9111" s="9" t="s">
        <v>19470</v>
      </c>
      <c r="J9111" s="10" t="str">
        <f>HYPERLINK("https://www.boe.es/gazeta/dias/1834/04/08/pdfs/GMD-1834-47.pdf#page=1","Abrir facsímil")</f>
        <v>Abrir facsímil</v>
      </c>
      <c r="K9111" s="10" t="s">
        <v>24</v>
      </c>
    </row>
    <row r="9112" spans="1:11" ht="54" customHeight="1">
      <c r="A9112" s="9" t="s">
        <v>19471</v>
      </c>
      <c r="B9112" s="9" t="s">
        <v>19472</v>
      </c>
      <c r="C9112" s="9" t="s">
        <v>17</v>
      </c>
      <c r="D9112" s="9" t="s">
        <v>18</v>
      </c>
      <c r="E9112" s="10" t="s">
        <v>348</v>
      </c>
      <c r="F9112" s="9" t="s">
        <v>349</v>
      </c>
      <c r="G9112" s="10" t="s">
        <v>34</v>
      </c>
      <c r="H9112" s="9" t="s">
        <v>22</v>
      </c>
      <c r="I9112" s="9" t="s">
        <v>19473</v>
      </c>
      <c r="J9112" s="10" t="str">
        <f>HYPERLINK("https://www.boe.es/gazeta/dias/1834/06/12/pdfs/GMD-C-1834-115.pdf#page=1","Abrir facsímil")</f>
        <v>Abrir facsímil</v>
      </c>
      <c r="K9112" s="10" t="s">
        <v>24</v>
      </c>
    </row>
    <row r="9113" spans="1:11" ht="54" customHeight="1">
      <c r="A9113" s="9" t="s">
        <v>19474</v>
      </c>
      <c r="B9113" s="9" t="s">
        <v>19475</v>
      </c>
      <c r="C9113" s="9" t="s">
        <v>122</v>
      </c>
      <c r="D9113" s="9" t="s">
        <v>101</v>
      </c>
      <c r="E9113" s="10" t="s">
        <v>860</v>
      </c>
      <c r="F9113" s="9" t="s">
        <v>861</v>
      </c>
      <c r="G9113" s="10" t="s">
        <v>34</v>
      </c>
      <c r="H9113" s="9" t="s">
        <v>22</v>
      </c>
      <c r="I9113" s="9" t="s">
        <v>19476</v>
      </c>
      <c r="J9113" s="10" t="str">
        <f>HYPERLINK("https://www.boe.es/gazeta/dias/1834/02/08/pdfs/GMD-1834-18.pdf#page=1","Abrir facsímil")</f>
        <v>Abrir facsímil</v>
      </c>
      <c r="K9113" s="10" t="s">
        <v>24</v>
      </c>
    </row>
    <row r="9114" spans="1:11" ht="54" customHeight="1">
      <c r="A9114" s="9" t="s">
        <v>19477</v>
      </c>
      <c r="B9114" s="9" t="s">
        <v>19477</v>
      </c>
      <c r="C9114" s="9" t="s">
        <v>122</v>
      </c>
      <c r="D9114" s="9" t="s">
        <v>18</v>
      </c>
      <c r="E9114" s="10" t="s">
        <v>2950</v>
      </c>
      <c r="F9114" s="9" t="s">
        <v>2951</v>
      </c>
      <c r="G9114" s="10" t="s">
        <v>21</v>
      </c>
      <c r="H9114" s="9" t="s">
        <v>22</v>
      </c>
      <c r="I9114" s="9" t="s">
        <v>19478</v>
      </c>
      <c r="J9114" s="10" t="str">
        <f>HYPERLINK("https://www.boe.es/gazeta/dias/1834/05/20/pdfs/GMD-1834-89.pdf#page=3","Abrir facsímil")</f>
        <v>Abrir facsímil</v>
      </c>
      <c r="K9114" s="10" t="s">
        <v>24</v>
      </c>
    </row>
    <row r="9115" spans="1:11" ht="54" customHeight="1">
      <c r="A9115" s="9" t="s">
        <v>19479</v>
      </c>
      <c r="B9115" s="9" t="s">
        <v>19479</v>
      </c>
      <c r="C9115" s="9" t="s">
        <v>17</v>
      </c>
      <c r="D9115" s="9" t="s">
        <v>18</v>
      </c>
      <c r="E9115" s="10" t="s">
        <v>416</v>
      </c>
      <c r="F9115" s="9" t="s">
        <v>417</v>
      </c>
      <c r="G9115" s="10" t="s">
        <v>176</v>
      </c>
      <c r="H9115" s="9" t="s">
        <v>22</v>
      </c>
      <c r="I9115" s="9" t="s">
        <v>19480</v>
      </c>
      <c r="J9115" s="10" t="str">
        <f>HYPERLINK("https://www.boe.es/gazeta/dias/1834/10/02/pdfs/GMD-C-1834-230.pdf#page=6","Abrir facsímil")</f>
        <v>Abrir facsímil</v>
      </c>
      <c r="K9115" s="10" t="s">
        <v>24</v>
      </c>
    </row>
    <row r="9116" spans="1:11" ht="54" customHeight="1">
      <c r="A9116" s="9" t="s">
        <v>19479</v>
      </c>
      <c r="B9116" s="9" t="s">
        <v>19479</v>
      </c>
      <c r="C9116" s="9" t="s">
        <v>17</v>
      </c>
      <c r="D9116" s="9" t="s">
        <v>40</v>
      </c>
      <c r="E9116" s="10" t="s">
        <v>187</v>
      </c>
      <c r="F9116" s="9" t="s">
        <v>188</v>
      </c>
      <c r="G9116" s="10" t="s">
        <v>21</v>
      </c>
      <c r="H9116" s="9" t="s">
        <v>22</v>
      </c>
      <c r="I9116" s="9" t="s">
        <v>19481</v>
      </c>
      <c r="J9116" s="10" t="str">
        <f>HYPERLINK("https://www.boe.es/gazeta/dias/1834/09/30/pdfs/GMD-1834-228.pdf#page=3","Abrir facsímil")</f>
        <v>Abrir facsímil</v>
      </c>
      <c r="K9116" s="10" t="s">
        <v>24</v>
      </c>
    </row>
    <row r="9117" spans="1:11" ht="54" customHeight="1">
      <c r="A9117" s="9" t="s">
        <v>19482</v>
      </c>
      <c r="B9117" s="9" t="s">
        <v>19483</v>
      </c>
      <c r="C9117" s="9" t="s">
        <v>122</v>
      </c>
      <c r="D9117" s="9" t="s">
        <v>101</v>
      </c>
      <c r="E9117" s="10" t="s">
        <v>860</v>
      </c>
      <c r="F9117" s="9" t="s">
        <v>861</v>
      </c>
      <c r="G9117" s="10" t="s">
        <v>176</v>
      </c>
      <c r="H9117" s="9" t="s">
        <v>35</v>
      </c>
      <c r="I9117" s="9" t="s">
        <v>19484</v>
      </c>
      <c r="J9117" s="10" t="str">
        <f>HYPERLINK("https://www.boe.es/gazeta/dias/1834/02/08/pdfs/GMD-1834-18.pdf#page=6","Abrir facsímil")</f>
        <v>Abrir facsímil</v>
      </c>
      <c r="K9117" s="10" t="s">
        <v>37</v>
      </c>
    </row>
    <row r="9118" spans="1:11" ht="54" customHeight="1">
      <c r="A9118" s="9" t="s">
        <v>19485</v>
      </c>
      <c r="B9118" s="9" t="s">
        <v>19486</v>
      </c>
      <c r="C9118" s="9" t="s">
        <v>122</v>
      </c>
      <c r="D9118" s="9" t="s">
        <v>18</v>
      </c>
      <c r="E9118" s="10" t="s">
        <v>61</v>
      </c>
      <c r="F9118" s="9" t="s">
        <v>205</v>
      </c>
      <c r="G9118" s="10" t="s">
        <v>21</v>
      </c>
      <c r="H9118" s="9" t="s">
        <v>22</v>
      </c>
      <c r="I9118" s="9" t="s">
        <v>19487</v>
      </c>
      <c r="J9118" s="10" t="str">
        <f>HYPERLINK("https://www.boe.es/gazeta/dias/1834/06/08/pdfs/GMD-1834-110.pdf#page=3","Abrir facsímil")</f>
        <v>Abrir facsímil</v>
      </c>
      <c r="K9118" s="10" t="s">
        <v>24</v>
      </c>
    </row>
    <row r="9119" spans="1:11" ht="54" customHeight="1">
      <c r="A9119" s="9" t="s">
        <v>19488</v>
      </c>
      <c r="B9119" s="9" t="s">
        <v>19489</v>
      </c>
      <c r="C9119" s="9" t="s">
        <v>17</v>
      </c>
      <c r="D9119" s="9" t="s">
        <v>18</v>
      </c>
      <c r="E9119" s="10" t="s">
        <v>2107</v>
      </c>
      <c r="F9119" s="9" t="s">
        <v>2108</v>
      </c>
      <c r="G9119" s="10" t="s">
        <v>21</v>
      </c>
      <c r="H9119" s="9" t="s">
        <v>22</v>
      </c>
      <c r="I9119" s="9" t="s">
        <v>19490</v>
      </c>
      <c r="J9119" s="10" t="str">
        <f>HYPERLINK("https://www.boe.es/gazeta/dias/1834/08/24/pdfs/GMD-1834-190.pdf#page=3","Abrir facsímil")</f>
        <v>Abrir facsímil</v>
      </c>
      <c r="K9119" s="10" t="s">
        <v>24</v>
      </c>
    </row>
    <row r="9120" spans="1:11" ht="54" customHeight="1">
      <c r="A9120" s="9" t="s">
        <v>19491</v>
      </c>
      <c r="B9120" s="9" t="s">
        <v>19492</v>
      </c>
      <c r="C9120" s="9" t="s">
        <v>122</v>
      </c>
      <c r="D9120" s="9" t="s">
        <v>101</v>
      </c>
      <c r="E9120" s="10" t="s">
        <v>860</v>
      </c>
      <c r="F9120" s="9" t="s">
        <v>861</v>
      </c>
      <c r="G9120" s="10" t="s">
        <v>176</v>
      </c>
      <c r="H9120" s="9" t="s">
        <v>22</v>
      </c>
      <c r="I9120" s="9" t="s">
        <v>19493</v>
      </c>
      <c r="J9120" s="10" t="str">
        <f>HYPERLINK("https://www.boe.es/gazeta/dias/1834/02/08/pdfs/GMD-1834-18.pdf#page=6","Abrir facsímil")</f>
        <v>Abrir facsímil</v>
      </c>
      <c r="K9120" s="10" t="s">
        <v>24</v>
      </c>
    </row>
    <row r="9121" spans="1:11" ht="54" customHeight="1">
      <c r="A9121" s="9" t="s">
        <v>19494</v>
      </c>
      <c r="B9121" s="9" t="s">
        <v>19495</v>
      </c>
      <c r="C9121" s="9" t="s">
        <v>17</v>
      </c>
      <c r="D9121" s="9" t="s">
        <v>18</v>
      </c>
      <c r="E9121" s="10" t="s">
        <v>513</v>
      </c>
      <c r="F9121" s="9" t="s">
        <v>514</v>
      </c>
      <c r="G9121" s="10" t="s">
        <v>34</v>
      </c>
      <c r="H9121" s="9" t="s">
        <v>22</v>
      </c>
      <c r="I9121" s="9" t="s">
        <v>19496</v>
      </c>
      <c r="J9121" s="10" t="str">
        <f>HYPERLINK("https://www.boe.es/gazeta/dias/1834/04/27/pdfs/GMD-1834-66.pdf#page=1","Abrir facsímil")</f>
        <v>Abrir facsímil</v>
      </c>
      <c r="K9121" s="10" t="s">
        <v>24</v>
      </c>
    </row>
    <row r="9122" spans="1:11" ht="54" customHeight="1">
      <c r="A9122" s="9" t="s">
        <v>19497</v>
      </c>
      <c r="B9122" s="9" t="s">
        <v>19498</v>
      </c>
      <c r="C9122" s="9" t="s">
        <v>17</v>
      </c>
      <c r="D9122" s="9" t="s">
        <v>18</v>
      </c>
      <c r="E9122" s="10" t="s">
        <v>343</v>
      </c>
      <c r="F9122" s="9" t="s">
        <v>344</v>
      </c>
      <c r="G9122" s="10" t="s">
        <v>75</v>
      </c>
      <c r="H9122" s="9" t="s">
        <v>22</v>
      </c>
      <c r="I9122" s="9" t="s">
        <v>19499</v>
      </c>
      <c r="J9122" s="10" t="str">
        <f>HYPERLINK("https://www.boe.es/gazeta/dias/1834/01/14/pdfs/GMD-1834-7.pdf#page=4","Abrir facsímil")</f>
        <v>Abrir facsímil</v>
      </c>
      <c r="K9122" s="10" t="s">
        <v>24</v>
      </c>
    </row>
    <row r="9123" spans="1:11" ht="54" customHeight="1">
      <c r="A9123" s="9" t="s">
        <v>19500</v>
      </c>
      <c r="B9123" s="9" t="s">
        <v>19500</v>
      </c>
      <c r="C9123" s="9" t="s">
        <v>17</v>
      </c>
      <c r="D9123" s="9" t="s">
        <v>18</v>
      </c>
      <c r="E9123" s="10" t="s">
        <v>192</v>
      </c>
      <c r="F9123" s="9" t="s">
        <v>193</v>
      </c>
      <c r="G9123" s="10" t="s">
        <v>86</v>
      </c>
      <c r="H9123" s="9" t="s">
        <v>22</v>
      </c>
      <c r="I9123" s="9" t="s">
        <v>19501</v>
      </c>
      <c r="J9123" s="10" t="str">
        <f>HYPERLINK("https://www.boe.es/gazeta/dias/1834/12/31/pdfs/GMD-1834-321.pdf#page=2","Abrir facsímil")</f>
        <v>Abrir facsímil</v>
      </c>
      <c r="K9123" s="10" t="s">
        <v>24</v>
      </c>
    </row>
    <row r="9124" spans="1:11" ht="54" customHeight="1">
      <c r="A9124" s="9" t="s">
        <v>19502</v>
      </c>
      <c r="B9124" s="9" t="s">
        <v>19503</v>
      </c>
      <c r="C9124" s="9" t="s">
        <v>122</v>
      </c>
      <c r="D9124" s="9" t="s">
        <v>18</v>
      </c>
      <c r="E9124" s="10" t="s">
        <v>1955</v>
      </c>
      <c r="F9124" s="9" t="s">
        <v>1956</v>
      </c>
      <c r="G9124" s="10" t="s">
        <v>86</v>
      </c>
      <c r="H9124" s="9" t="s">
        <v>35</v>
      </c>
      <c r="I9124" s="9" t="s">
        <v>19504</v>
      </c>
      <c r="J9124" s="10" t="str">
        <f>HYPERLINK("https://www.boe.es/gazeta/dias/1834/05/04/pdfs/GMD-1834-73.pdf#page=2","Abrir facsímil")</f>
        <v>Abrir facsímil</v>
      </c>
      <c r="K9124" s="10" t="s">
        <v>37</v>
      </c>
    </row>
    <row r="9125" spans="1:11" ht="54" customHeight="1">
      <c r="A9125" s="9" t="s">
        <v>19505</v>
      </c>
      <c r="B9125" s="9" t="s">
        <v>19506</v>
      </c>
      <c r="C9125" s="9" t="s">
        <v>17</v>
      </c>
      <c r="D9125" s="9" t="s">
        <v>18</v>
      </c>
      <c r="E9125" s="10" t="s">
        <v>672</v>
      </c>
      <c r="F9125" s="9" t="s">
        <v>1055</v>
      </c>
      <c r="G9125" s="10" t="s">
        <v>75</v>
      </c>
      <c r="H9125" s="9" t="s">
        <v>22</v>
      </c>
      <c r="I9125" s="9" t="s">
        <v>19507</v>
      </c>
      <c r="J9125" s="10" t="str">
        <f>HYPERLINK("https://www.boe.es/gazeta/dias/1834/09/19/pdfs/GMD-C-1834-217.pdf#page=4","Abrir facsímil")</f>
        <v>Abrir facsímil</v>
      </c>
      <c r="K9125" s="10" t="s">
        <v>24</v>
      </c>
    </row>
    <row r="9126" spans="1:11" ht="54" customHeight="1">
      <c r="A9126" s="9" t="s">
        <v>19508</v>
      </c>
      <c r="B9126" s="9" t="s">
        <v>19508</v>
      </c>
      <c r="C9126" s="9" t="s">
        <v>17</v>
      </c>
      <c r="D9126" s="9" t="s">
        <v>101</v>
      </c>
      <c r="E9126" s="10" t="s">
        <v>1226</v>
      </c>
      <c r="F9126" s="9" t="s">
        <v>1227</v>
      </c>
      <c r="G9126" s="10" t="s">
        <v>34</v>
      </c>
      <c r="H9126" s="9" t="s">
        <v>22</v>
      </c>
      <c r="I9126" s="9" t="s">
        <v>19509</v>
      </c>
      <c r="J9126" s="10" t="str">
        <f>HYPERLINK("https://www.boe.es/gazeta/dias/1834/07/14/pdfs/GMD-1834-147.pdf#page=1","Abrir facsímil")</f>
        <v>Abrir facsímil</v>
      </c>
      <c r="K9126" s="10" t="s">
        <v>24</v>
      </c>
    </row>
    <row r="9127" spans="1:11" ht="54" customHeight="1">
      <c r="A9127" s="9" t="s">
        <v>19510</v>
      </c>
      <c r="B9127" s="9" t="s">
        <v>19510</v>
      </c>
      <c r="C9127" s="9" t="s">
        <v>17</v>
      </c>
      <c r="D9127" s="9" t="s">
        <v>55</v>
      </c>
      <c r="E9127" s="10" t="s">
        <v>255</v>
      </c>
      <c r="F9127" s="9" t="s">
        <v>256</v>
      </c>
      <c r="G9127" s="10" t="s">
        <v>34</v>
      </c>
      <c r="H9127" s="9" t="s">
        <v>22</v>
      </c>
      <c r="I9127" s="9" t="s">
        <v>19511</v>
      </c>
      <c r="J9127" s="10" t="str">
        <f>HYPERLINK("https://www.boe.es/gazeta/dias/1834/09/01/pdfs/GMD-C-1834-199.pdf#page=1","Abrir facsímil")</f>
        <v>Abrir facsímil</v>
      </c>
      <c r="K9127" s="10" t="s">
        <v>24</v>
      </c>
    </row>
    <row r="9128" spans="1:11" ht="54" customHeight="1">
      <c r="A9128" s="9" t="s">
        <v>19512</v>
      </c>
      <c r="B9128" s="9" t="s">
        <v>19512</v>
      </c>
      <c r="C9128" s="9" t="s">
        <v>46</v>
      </c>
      <c r="D9128" s="9" t="s">
        <v>55</v>
      </c>
      <c r="E9128" s="10" t="s">
        <v>571</v>
      </c>
      <c r="F9128" s="9" t="s">
        <v>620</v>
      </c>
      <c r="G9128" s="10" t="s">
        <v>86</v>
      </c>
      <c r="H9128" s="9" t="s">
        <v>22</v>
      </c>
      <c r="I9128" s="9" t="s">
        <v>19513</v>
      </c>
      <c r="J9128" s="10" t="str">
        <f>HYPERLINK("https://www.boe.es/gazeta/dias/1834/09/04/pdfs/GMD-C-1834-202.pdf#page=2","Abrir facsímil")</f>
        <v>Abrir facsímil</v>
      </c>
      <c r="K9128" s="10" t="s">
        <v>24</v>
      </c>
    </row>
    <row r="9129" spans="1:11" ht="54" customHeight="1">
      <c r="A9129" s="9" t="s">
        <v>19512</v>
      </c>
      <c r="B9129" s="9" t="s">
        <v>19512</v>
      </c>
      <c r="C9129" s="9" t="s">
        <v>66</v>
      </c>
      <c r="D9129" s="9" t="s">
        <v>18</v>
      </c>
      <c r="E9129" s="10" t="s">
        <v>1999</v>
      </c>
      <c r="F9129" s="9" t="s">
        <v>2000</v>
      </c>
      <c r="G9129" s="10" t="s">
        <v>75</v>
      </c>
      <c r="H9129" s="9" t="s">
        <v>22</v>
      </c>
      <c r="I9129" s="9" t="s">
        <v>19514</v>
      </c>
      <c r="J9129" s="10" t="str">
        <f>HYPERLINK("https://www.boe.es/gazeta/dias/1834/04/09/pdfs/GMD-1834-48.pdf#page=4","Abrir facsímil")</f>
        <v>Abrir facsímil</v>
      </c>
      <c r="K9129" s="10" t="s">
        <v>24</v>
      </c>
    </row>
    <row r="9130" spans="1:11" ht="54" customHeight="1">
      <c r="A9130" s="9" t="s">
        <v>19515</v>
      </c>
      <c r="B9130" s="9" t="s">
        <v>19515</v>
      </c>
      <c r="C9130" s="9" t="s">
        <v>17</v>
      </c>
      <c r="D9130" s="9" t="s">
        <v>55</v>
      </c>
      <c r="E9130" s="10" t="s">
        <v>167</v>
      </c>
      <c r="F9130" s="9" t="s">
        <v>168</v>
      </c>
      <c r="G9130" s="10" t="s">
        <v>86</v>
      </c>
      <c r="H9130" s="9" t="s">
        <v>22</v>
      </c>
      <c r="I9130" s="9" t="s">
        <v>19516</v>
      </c>
      <c r="J9130" s="10" t="str">
        <f>HYPERLINK("https://www.boe.es/gazeta/dias/1834/09/07/pdfs/GMD-1834-205.pdf#page=2","Abrir facsímil")</f>
        <v>Abrir facsímil</v>
      </c>
      <c r="K9130" s="10" t="s">
        <v>24</v>
      </c>
    </row>
    <row r="9131" spans="1:11" ht="54" customHeight="1">
      <c r="A9131" s="9" t="s">
        <v>19515</v>
      </c>
      <c r="B9131" s="9" t="s">
        <v>19515</v>
      </c>
      <c r="C9131" s="9" t="s">
        <v>90</v>
      </c>
      <c r="D9131" s="9" t="s">
        <v>101</v>
      </c>
      <c r="E9131" s="10" t="s">
        <v>56</v>
      </c>
      <c r="F9131" s="9" t="s">
        <v>57</v>
      </c>
      <c r="G9131" s="10" t="s">
        <v>34</v>
      </c>
      <c r="H9131" s="9" t="s">
        <v>22</v>
      </c>
      <c r="I9131" s="9" t="s">
        <v>19517</v>
      </c>
      <c r="J9131" s="10" t="str">
        <f>HYPERLINK("https://www.boe.es/gazeta/dias/1834/07/09/pdfs/GMD-1834-142.pdf#page=1","Abrir facsímil")</f>
        <v>Abrir facsímil</v>
      </c>
      <c r="K9131" s="10" t="s">
        <v>24</v>
      </c>
    </row>
    <row r="9132" spans="1:11" ht="54" customHeight="1">
      <c r="A9132" s="9" t="s">
        <v>19515</v>
      </c>
      <c r="B9132" s="9" t="s">
        <v>19515</v>
      </c>
      <c r="C9132" s="9" t="s">
        <v>66</v>
      </c>
      <c r="D9132" s="9" t="s">
        <v>18</v>
      </c>
      <c r="E9132" s="10" t="s">
        <v>441</v>
      </c>
      <c r="F9132" s="9" t="s">
        <v>442</v>
      </c>
      <c r="G9132" s="10" t="s">
        <v>34</v>
      </c>
      <c r="H9132" s="9" t="s">
        <v>22</v>
      </c>
      <c r="I9132" s="9" t="s">
        <v>19518</v>
      </c>
      <c r="J9132" s="10" t="str">
        <f>HYPERLINK("https://www.boe.es/gazeta/dias/1834/11/10/pdfs/GMD-1834-269.pdf#page=1","Abrir facsímil")</f>
        <v>Abrir facsímil</v>
      </c>
      <c r="K9132" s="10" t="s">
        <v>24</v>
      </c>
    </row>
    <row r="9133" spans="1:11" ht="54" customHeight="1">
      <c r="A9133" s="9" t="s">
        <v>19515</v>
      </c>
      <c r="B9133" s="9" t="s">
        <v>19515</v>
      </c>
      <c r="C9133" s="9" t="s">
        <v>17</v>
      </c>
      <c r="D9133" s="9" t="s">
        <v>18</v>
      </c>
      <c r="E9133" s="10" t="s">
        <v>268</v>
      </c>
      <c r="F9133" s="9" t="s">
        <v>269</v>
      </c>
      <c r="G9133" s="10" t="s">
        <v>28</v>
      </c>
      <c r="H9133" s="9" t="s">
        <v>22</v>
      </c>
      <c r="I9133" s="9" t="s">
        <v>19519</v>
      </c>
      <c r="J9133" s="10" t="str">
        <f>HYPERLINK("https://www.boe.es/gazeta/dias/1834/12/19/pdfs/GMD-C-1834-309.pdf#page=5","Abrir facsímil")</f>
        <v>Abrir facsímil</v>
      </c>
      <c r="K9133" s="10" t="s">
        <v>24</v>
      </c>
    </row>
    <row r="9134" spans="1:11" ht="54" customHeight="1">
      <c r="A9134" s="9" t="s">
        <v>19515</v>
      </c>
      <c r="B9134" s="9" t="s">
        <v>19515</v>
      </c>
      <c r="C9134" s="9" t="s">
        <v>17</v>
      </c>
      <c r="D9134" s="9" t="s">
        <v>101</v>
      </c>
      <c r="E9134" s="10" t="s">
        <v>823</v>
      </c>
      <c r="F9134" s="9" t="s">
        <v>824</v>
      </c>
      <c r="G9134" s="10" t="s">
        <v>34</v>
      </c>
      <c r="H9134" s="9" t="s">
        <v>22</v>
      </c>
      <c r="I9134" s="9" t="s">
        <v>19520</v>
      </c>
      <c r="J9134" s="10" t="str">
        <f>HYPERLINK("https://www.boe.es/gazeta/dias/1834/07/23/pdfs/GMD-1834-156.pdf#page=1","Abrir facsímil")</f>
        <v>Abrir facsímil</v>
      </c>
      <c r="K9134" s="10" t="s">
        <v>24</v>
      </c>
    </row>
    <row r="9135" spans="1:11" ht="54" customHeight="1">
      <c r="A9135" s="9" t="s">
        <v>19515</v>
      </c>
      <c r="B9135" s="9" t="s">
        <v>19515</v>
      </c>
      <c r="C9135" s="9" t="s">
        <v>17</v>
      </c>
      <c r="D9135" s="9" t="s">
        <v>101</v>
      </c>
      <c r="E9135" s="10" t="s">
        <v>1017</v>
      </c>
      <c r="F9135" s="9" t="s">
        <v>1018</v>
      </c>
      <c r="G9135" s="10" t="s">
        <v>34</v>
      </c>
      <c r="H9135" s="9" t="s">
        <v>22</v>
      </c>
      <c r="I9135" s="9" t="s">
        <v>19521</v>
      </c>
      <c r="J9135" s="10" t="str">
        <f>HYPERLINK("https://www.boe.es/gazeta/dias/1834/07/24/pdfs/GMD-1834-157.pdf#page=1","Abrir facsímil")</f>
        <v>Abrir facsímil</v>
      </c>
      <c r="K9135" s="10" t="s">
        <v>24</v>
      </c>
    </row>
    <row r="9136" spans="1:11" ht="54" customHeight="1">
      <c r="A9136" s="9" t="s">
        <v>19522</v>
      </c>
      <c r="B9136" s="9" t="s">
        <v>19523</v>
      </c>
      <c r="C9136" s="9" t="s">
        <v>122</v>
      </c>
      <c r="D9136" s="9" t="s">
        <v>18</v>
      </c>
      <c r="E9136" s="10" t="s">
        <v>378</v>
      </c>
      <c r="F9136" s="9" t="s">
        <v>379</v>
      </c>
      <c r="G9136" s="10" t="s">
        <v>75</v>
      </c>
      <c r="H9136" s="9" t="s">
        <v>22</v>
      </c>
      <c r="I9136" s="9" t="s">
        <v>19524</v>
      </c>
      <c r="J9136" s="10" t="str">
        <f>HYPERLINK("https://www.boe.es/gazeta/dias/1834/09/24/pdfs/GMD-1834-222.pdf#page=4","Abrir facsímil")</f>
        <v>Abrir facsímil</v>
      </c>
      <c r="K9136" s="10" t="s">
        <v>24</v>
      </c>
    </row>
    <row r="9137" spans="1:11" ht="54" customHeight="1">
      <c r="A9137" s="9" t="s">
        <v>19525</v>
      </c>
      <c r="B9137" s="9" t="s">
        <v>19526</v>
      </c>
      <c r="C9137" s="9" t="s">
        <v>66</v>
      </c>
      <c r="D9137" s="9" t="s">
        <v>55</v>
      </c>
      <c r="E9137" s="10" t="s">
        <v>1103</v>
      </c>
      <c r="F9137" s="9" t="s">
        <v>1259</v>
      </c>
      <c r="G9137" s="10" t="s">
        <v>34</v>
      </c>
      <c r="H9137" s="9" t="s">
        <v>22</v>
      </c>
      <c r="I9137" s="9" t="s">
        <v>19527</v>
      </c>
      <c r="J9137" s="10" t="str">
        <f>HYPERLINK("https://www.boe.es/gazeta/dias/1834/10/10/pdfs/GMD-1834-238.pdf#page=1","Abrir facsímil")</f>
        <v>Abrir facsímil</v>
      </c>
      <c r="K9137" s="10" t="s">
        <v>24</v>
      </c>
    </row>
    <row r="9138" spans="1:11" ht="54" customHeight="1">
      <c r="A9138" s="9" t="s">
        <v>19528</v>
      </c>
      <c r="B9138" s="9" t="s">
        <v>19529</v>
      </c>
      <c r="C9138" s="9" t="s">
        <v>66</v>
      </c>
      <c r="D9138" s="9" t="s">
        <v>18</v>
      </c>
      <c r="E9138" s="10" t="s">
        <v>4637</v>
      </c>
      <c r="F9138" s="9" t="s">
        <v>4638</v>
      </c>
      <c r="G9138" s="10" t="s">
        <v>34</v>
      </c>
      <c r="H9138" s="9" t="s">
        <v>22</v>
      </c>
      <c r="I9138" s="9" t="s">
        <v>19530</v>
      </c>
      <c r="J9138" s="10" t="str">
        <f>HYPERLINK("https://www.boe.es/gazeta/dias/1834/12/08/pdfs/GMD-1834-297.pdf#page=1","Abrir facsímil")</f>
        <v>Abrir facsímil</v>
      </c>
      <c r="K9138" s="10" t="s">
        <v>24</v>
      </c>
    </row>
    <row r="9139" spans="1:11" ht="54" customHeight="1">
      <c r="A9139" s="9" t="s">
        <v>19531</v>
      </c>
      <c r="B9139" s="9" t="s">
        <v>19531</v>
      </c>
      <c r="C9139" s="9" t="s">
        <v>66</v>
      </c>
      <c r="D9139" s="9" t="s">
        <v>67</v>
      </c>
      <c r="E9139" s="10" t="s">
        <v>255</v>
      </c>
      <c r="F9139" s="9" t="s">
        <v>256</v>
      </c>
      <c r="G9139" s="10" t="s">
        <v>34</v>
      </c>
      <c r="H9139" s="9" t="s">
        <v>22</v>
      </c>
      <c r="I9139" s="9" t="s">
        <v>19532</v>
      </c>
      <c r="J9139" s="10" t="str">
        <f>HYPERLINK("https://www.boe.es/gazeta/dias/1834/09/01/pdfs/GMD-C-1834-199.pdf#page=1","Abrir facsímil")</f>
        <v>Abrir facsímil</v>
      </c>
      <c r="K9139" s="10" t="s">
        <v>24</v>
      </c>
    </row>
    <row r="9140" spans="1:11" ht="54" customHeight="1">
      <c r="A9140" s="9" t="s">
        <v>19531</v>
      </c>
      <c r="B9140" s="9" t="s">
        <v>19531</v>
      </c>
      <c r="C9140" s="9" t="s">
        <v>46</v>
      </c>
      <c r="D9140" s="9" t="s">
        <v>101</v>
      </c>
      <c r="E9140" s="10" t="s">
        <v>255</v>
      </c>
      <c r="F9140" s="9" t="s">
        <v>256</v>
      </c>
      <c r="G9140" s="10" t="s">
        <v>86</v>
      </c>
      <c r="H9140" s="9" t="s">
        <v>22</v>
      </c>
      <c r="I9140" s="9" t="s">
        <v>19533</v>
      </c>
      <c r="J9140" s="10" t="str">
        <f>HYPERLINK("https://www.boe.es/gazeta/dias/1834/09/01/pdfs/GMD-C-1834-199.pdf#page=2","Abrir facsímil")</f>
        <v>Abrir facsímil</v>
      </c>
      <c r="K9140" s="10" t="s">
        <v>24</v>
      </c>
    </row>
    <row r="9141" spans="1:11" ht="54" customHeight="1">
      <c r="A9141" s="9" t="s">
        <v>19531</v>
      </c>
      <c r="B9141" s="9" t="s">
        <v>19531</v>
      </c>
      <c r="C9141" s="9" t="s">
        <v>17</v>
      </c>
      <c r="D9141" s="9" t="s">
        <v>55</v>
      </c>
      <c r="E9141" s="10" t="s">
        <v>433</v>
      </c>
      <c r="F9141" s="9" t="s">
        <v>434</v>
      </c>
      <c r="G9141" s="10" t="s">
        <v>34</v>
      </c>
      <c r="H9141" s="9" t="s">
        <v>22</v>
      </c>
      <c r="I9141" s="9" t="s">
        <v>19534</v>
      </c>
      <c r="J9141" s="10" t="str">
        <f>HYPERLINK("https://www.boe.es/gazeta/dias/1834/10/07/pdfs/GMD-C-1834-235.pdf#page=1","Abrir facsímil")</f>
        <v>Abrir facsímil</v>
      </c>
      <c r="K9141" s="10" t="s">
        <v>24</v>
      </c>
    </row>
    <row r="9142" spans="1:11" ht="54" customHeight="1">
      <c r="A9142" s="9" t="s">
        <v>19531</v>
      </c>
      <c r="B9142" s="9" t="s">
        <v>19531</v>
      </c>
      <c r="C9142" s="9" t="s">
        <v>17</v>
      </c>
      <c r="D9142" s="9" t="s">
        <v>18</v>
      </c>
      <c r="E9142" s="10" t="s">
        <v>299</v>
      </c>
      <c r="F9142" s="9" t="s">
        <v>300</v>
      </c>
      <c r="G9142" s="10" t="s">
        <v>21</v>
      </c>
      <c r="H9142" s="9" t="s">
        <v>22</v>
      </c>
      <c r="I9142" s="9" t="s">
        <v>19535</v>
      </c>
      <c r="J9142" s="10" t="str">
        <f>HYPERLINK("https://www.boe.es/gazeta/dias/1834/12/12/pdfs/GMD-1834-301.pdf#page=3","Abrir facsímil")</f>
        <v>Abrir facsímil</v>
      </c>
      <c r="K9142" s="10" t="s">
        <v>24</v>
      </c>
    </row>
    <row r="9143" spans="1:11" ht="54" customHeight="1">
      <c r="A9143" s="9" t="s">
        <v>19531</v>
      </c>
      <c r="B9143" s="9" t="s">
        <v>19531</v>
      </c>
      <c r="C9143" s="9" t="s">
        <v>17</v>
      </c>
      <c r="D9143" s="9" t="s">
        <v>101</v>
      </c>
      <c r="E9143" s="10" t="s">
        <v>299</v>
      </c>
      <c r="F9143" s="9" t="s">
        <v>2255</v>
      </c>
      <c r="G9143" s="10" t="s">
        <v>28</v>
      </c>
      <c r="H9143" s="9" t="s">
        <v>22</v>
      </c>
      <c r="I9143" s="9" t="s">
        <v>19536</v>
      </c>
      <c r="J9143" s="10" t="str">
        <f>HYPERLINK("https://www.boe.es/gazeta/dias/1834/12/12/pdfs/GMD-C-1834-301.pdf#page=5","Abrir facsímil")</f>
        <v>Abrir facsímil</v>
      </c>
      <c r="K9143" s="10" t="s">
        <v>24</v>
      </c>
    </row>
    <row r="9144" spans="1:11" ht="54" customHeight="1">
      <c r="A9144" s="9" t="s">
        <v>19531</v>
      </c>
      <c r="B9144" s="9" t="s">
        <v>19531</v>
      </c>
      <c r="C9144" s="9" t="s">
        <v>17</v>
      </c>
      <c r="D9144" s="9" t="s">
        <v>18</v>
      </c>
      <c r="E9144" s="10" t="s">
        <v>479</v>
      </c>
      <c r="F9144" s="9" t="s">
        <v>2258</v>
      </c>
      <c r="G9144" s="10" t="s">
        <v>21</v>
      </c>
      <c r="H9144" s="9" t="s">
        <v>22</v>
      </c>
      <c r="I9144" s="9" t="s">
        <v>19537</v>
      </c>
      <c r="J9144" s="10" t="str">
        <f>HYPERLINK("https://www.boe.es/gazeta/dias/1834/08/13/pdfs/GMD-C-1834-178.pdf#page=3","Abrir facsímil")</f>
        <v>Abrir facsímil</v>
      </c>
      <c r="K9144" s="10" t="s">
        <v>24</v>
      </c>
    </row>
    <row r="9145" spans="1:11" ht="54" customHeight="1">
      <c r="A9145" s="9" t="s">
        <v>19531</v>
      </c>
      <c r="B9145" s="9" t="s">
        <v>19531</v>
      </c>
      <c r="C9145" s="9" t="s">
        <v>46</v>
      </c>
      <c r="D9145" s="9" t="s">
        <v>101</v>
      </c>
      <c r="E9145" s="10" t="s">
        <v>1981</v>
      </c>
      <c r="F9145" s="9" t="s">
        <v>2471</v>
      </c>
      <c r="G9145" s="10" t="s">
        <v>176</v>
      </c>
      <c r="H9145" s="9" t="s">
        <v>22</v>
      </c>
      <c r="I9145" s="9" t="s">
        <v>19538</v>
      </c>
      <c r="J9145" s="10" t="str">
        <f>HYPERLINK("https://www.boe.es/gazeta/dias/1834/12/13/pdfs/GMD-C-1834-302.pdf#page=6","Abrir facsímil")</f>
        <v>Abrir facsímil</v>
      </c>
      <c r="K9145" s="10" t="s">
        <v>24</v>
      </c>
    </row>
    <row r="9146" spans="1:11" ht="54" customHeight="1">
      <c r="A9146" s="9" t="s">
        <v>19531</v>
      </c>
      <c r="B9146" s="9" t="s">
        <v>19531</v>
      </c>
      <c r="C9146" s="9" t="s">
        <v>17</v>
      </c>
      <c r="D9146" s="9" t="s">
        <v>18</v>
      </c>
      <c r="E9146" s="10" t="s">
        <v>772</v>
      </c>
      <c r="F9146" s="9" t="s">
        <v>2284</v>
      </c>
      <c r="G9146" s="10" t="s">
        <v>470</v>
      </c>
      <c r="H9146" s="9" t="s">
        <v>22</v>
      </c>
      <c r="I9146" s="9" t="s">
        <v>19539</v>
      </c>
      <c r="J9146" s="10" t="str">
        <f>HYPERLINK("https://www.boe.es/gazeta/dias/1834/09/18/pdfs/GMD-C-1834-216.pdf#page=8","Abrir facsímil")</f>
        <v>Abrir facsímil</v>
      </c>
      <c r="K9146" s="10" t="s">
        <v>24</v>
      </c>
    </row>
    <row r="9147" spans="1:11" ht="54" customHeight="1">
      <c r="A9147" s="9" t="s">
        <v>19531</v>
      </c>
      <c r="B9147" s="9" t="s">
        <v>19531</v>
      </c>
      <c r="C9147" s="9" t="s">
        <v>17</v>
      </c>
      <c r="D9147" s="9" t="s">
        <v>18</v>
      </c>
      <c r="E9147" s="10" t="s">
        <v>268</v>
      </c>
      <c r="F9147" s="9" t="s">
        <v>269</v>
      </c>
      <c r="G9147" s="10" t="s">
        <v>86</v>
      </c>
      <c r="H9147" s="9" t="s">
        <v>22</v>
      </c>
      <c r="I9147" s="9" t="s">
        <v>19540</v>
      </c>
      <c r="J9147" s="10" t="str">
        <f>HYPERLINK("https://www.boe.es/gazeta/dias/1834/12/19/pdfs/GMD-C-1834-309.pdf#page=2","Abrir facsímil")</f>
        <v>Abrir facsímil</v>
      </c>
      <c r="K9147" s="10" t="s">
        <v>24</v>
      </c>
    </row>
    <row r="9148" spans="1:11" ht="54" customHeight="1">
      <c r="A9148" s="9" t="s">
        <v>19531</v>
      </c>
      <c r="B9148" s="9" t="s">
        <v>19531</v>
      </c>
      <c r="C9148" s="9" t="s">
        <v>17</v>
      </c>
      <c r="D9148" s="9" t="s">
        <v>18</v>
      </c>
      <c r="E9148" s="10" t="s">
        <v>268</v>
      </c>
      <c r="F9148" s="9" t="s">
        <v>269</v>
      </c>
      <c r="G9148" s="10" t="s">
        <v>21</v>
      </c>
      <c r="H9148" s="9" t="s">
        <v>22</v>
      </c>
      <c r="I9148" s="9" t="s">
        <v>19541</v>
      </c>
      <c r="J9148" s="10" t="str">
        <f>HYPERLINK("https://www.boe.es/gazeta/dias/1834/12/19/pdfs/GMD-C-1834-309.pdf#page=3","Abrir facsímil")</f>
        <v>Abrir facsímil</v>
      </c>
      <c r="K9148" s="10" t="s">
        <v>24</v>
      </c>
    </row>
    <row r="9149" spans="1:11" ht="54" customHeight="1">
      <c r="A9149" s="9" t="s">
        <v>19531</v>
      </c>
      <c r="B9149" s="9" t="s">
        <v>19531</v>
      </c>
      <c r="C9149" s="9" t="s">
        <v>17</v>
      </c>
      <c r="D9149" s="9" t="s">
        <v>18</v>
      </c>
      <c r="E9149" s="10" t="s">
        <v>268</v>
      </c>
      <c r="F9149" s="9" t="s">
        <v>269</v>
      </c>
      <c r="G9149" s="10" t="s">
        <v>28</v>
      </c>
      <c r="H9149" s="9" t="s">
        <v>22</v>
      </c>
      <c r="I9149" s="9" t="s">
        <v>19542</v>
      </c>
      <c r="J9149" s="10" t="str">
        <f>HYPERLINK("https://www.boe.es/gazeta/dias/1834/12/19/pdfs/GMD-C-1834-309.pdf#page=5","Abrir facsímil")</f>
        <v>Abrir facsímil</v>
      </c>
      <c r="K9149" s="10" t="s">
        <v>24</v>
      </c>
    </row>
    <row r="9150" spans="1:11" ht="54" customHeight="1">
      <c r="A9150" s="9" t="s">
        <v>19531</v>
      </c>
      <c r="B9150" s="9" t="s">
        <v>19531</v>
      </c>
      <c r="C9150" s="9" t="s">
        <v>17</v>
      </c>
      <c r="D9150" s="9" t="s">
        <v>18</v>
      </c>
      <c r="E9150" s="10" t="s">
        <v>1674</v>
      </c>
      <c r="F9150" s="9" t="s">
        <v>1675</v>
      </c>
      <c r="G9150" s="10" t="s">
        <v>75</v>
      </c>
      <c r="H9150" s="9" t="s">
        <v>22</v>
      </c>
      <c r="I9150" s="9" t="s">
        <v>19543</v>
      </c>
      <c r="J9150" s="10" t="str">
        <f>HYPERLINK("https://www.boe.es/gazeta/dias/1834/07/25/pdfs/GMD-1834-158.pdf#page=4","Abrir facsímil")</f>
        <v>Abrir facsímil</v>
      </c>
      <c r="K9150" s="10" t="s">
        <v>24</v>
      </c>
    </row>
    <row r="9151" spans="1:11" ht="54" customHeight="1">
      <c r="A9151" s="9" t="s">
        <v>19531</v>
      </c>
      <c r="B9151" s="9" t="s">
        <v>19531</v>
      </c>
      <c r="C9151" s="9" t="s">
        <v>46</v>
      </c>
      <c r="D9151" s="9" t="s">
        <v>101</v>
      </c>
      <c r="E9151" s="10" t="s">
        <v>1674</v>
      </c>
      <c r="F9151" s="9" t="s">
        <v>3233</v>
      </c>
      <c r="G9151" s="10" t="s">
        <v>86</v>
      </c>
      <c r="H9151" s="9" t="s">
        <v>22</v>
      </c>
      <c r="I9151" s="9" t="s">
        <v>19544</v>
      </c>
      <c r="J9151" s="10" t="str">
        <f>HYPERLINK("https://www.boe.es/gazeta/dias/1834/07/25/pdfs/GMD-C-1834-158.pdf#page=2","Abrir facsímil")</f>
        <v>Abrir facsímil</v>
      </c>
      <c r="K9151" s="10" t="s">
        <v>24</v>
      </c>
    </row>
    <row r="9152" spans="1:11" ht="54" customHeight="1">
      <c r="A9152" s="9" t="s">
        <v>19545</v>
      </c>
      <c r="B9152" s="9" t="s">
        <v>19546</v>
      </c>
      <c r="C9152" s="9" t="s">
        <v>17</v>
      </c>
      <c r="D9152" s="9" t="s">
        <v>18</v>
      </c>
      <c r="E9152" s="10" t="s">
        <v>268</v>
      </c>
      <c r="F9152" s="9" t="s">
        <v>269</v>
      </c>
      <c r="G9152" s="10" t="s">
        <v>75</v>
      </c>
      <c r="H9152" s="9" t="s">
        <v>22</v>
      </c>
      <c r="I9152" s="9" t="s">
        <v>19547</v>
      </c>
      <c r="J9152" s="10" t="str">
        <f>HYPERLINK("https://www.boe.es/gazeta/dias/1834/12/19/pdfs/GMD-C-1834-309.pdf#page=4","Abrir facsímil")</f>
        <v>Abrir facsímil</v>
      </c>
      <c r="K9152" s="10" t="s">
        <v>24</v>
      </c>
    </row>
    <row r="9153" spans="1:11" ht="54" customHeight="1">
      <c r="A9153" s="9" t="s">
        <v>19548</v>
      </c>
      <c r="B9153" s="9" t="s">
        <v>19549</v>
      </c>
      <c r="C9153" s="9" t="s">
        <v>46</v>
      </c>
      <c r="D9153" s="9" t="s">
        <v>18</v>
      </c>
      <c r="E9153" s="10" t="s">
        <v>7523</v>
      </c>
      <c r="F9153" s="9" t="s">
        <v>7524</v>
      </c>
      <c r="G9153" s="10" t="s">
        <v>34</v>
      </c>
      <c r="H9153" s="9" t="s">
        <v>22</v>
      </c>
      <c r="I9153" s="9" t="s">
        <v>19550</v>
      </c>
      <c r="J9153" s="10" t="str">
        <f>HYPERLINK("https://www.boe.es/gazeta/dias/1834/12/26/pdfs/GMD-1834-316.pdf#page=1","Abrir facsímil")</f>
        <v>Abrir facsímil</v>
      </c>
      <c r="K9153" s="10" t="s">
        <v>24</v>
      </c>
    </row>
    <row r="9154" spans="1:11" ht="54" customHeight="1">
      <c r="A9154" s="9" t="s">
        <v>19551</v>
      </c>
      <c r="B9154" s="9" t="s">
        <v>19552</v>
      </c>
      <c r="C9154" s="9" t="s">
        <v>17</v>
      </c>
      <c r="D9154" s="9" t="s">
        <v>18</v>
      </c>
      <c r="E9154" s="10" t="s">
        <v>299</v>
      </c>
      <c r="F9154" s="9" t="s">
        <v>300</v>
      </c>
      <c r="G9154" s="10" t="s">
        <v>21</v>
      </c>
      <c r="H9154" s="9" t="s">
        <v>22</v>
      </c>
      <c r="I9154" s="9" t="s">
        <v>19553</v>
      </c>
      <c r="J9154" s="10" t="str">
        <f>HYPERLINK("https://www.boe.es/gazeta/dias/1834/12/12/pdfs/GMD-1834-301.pdf#page=3","Abrir facsímil")</f>
        <v>Abrir facsímil</v>
      </c>
      <c r="K9154" s="10" t="s">
        <v>24</v>
      </c>
    </row>
    <row r="9155" spans="1:11" ht="54" customHeight="1">
      <c r="A9155" s="9" t="s">
        <v>19554</v>
      </c>
      <c r="B9155" s="9" t="s">
        <v>19555</v>
      </c>
      <c r="C9155" s="9" t="s">
        <v>17</v>
      </c>
      <c r="D9155" s="9" t="s">
        <v>18</v>
      </c>
      <c r="E9155" s="10" t="s">
        <v>255</v>
      </c>
      <c r="F9155" s="9" t="s">
        <v>256</v>
      </c>
      <c r="G9155" s="10" t="s">
        <v>34</v>
      </c>
      <c r="H9155" s="9" t="s">
        <v>35</v>
      </c>
      <c r="I9155" s="9" t="s">
        <v>19556</v>
      </c>
      <c r="J9155" s="10" t="str">
        <f>HYPERLINK("https://www.boe.es/gazeta/dias/1834/09/01/pdfs/GMD-C-1834-199.pdf#page=1","Abrir facsímil")</f>
        <v>Abrir facsímil</v>
      </c>
      <c r="K9155" s="10" t="s">
        <v>37</v>
      </c>
    </row>
    <row r="9156" spans="1:11" ht="54" customHeight="1">
      <c r="A9156" s="9" t="s">
        <v>19557</v>
      </c>
      <c r="B9156" s="9" t="s">
        <v>19558</v>
      </c>
      <c r="C9156" s="9" t="s">
        <v>17</v>
      </c>
      <c r="D9156" s="9" t="s">
        <v>18</v>
      </c>
      <c r="E9156" s="10" t="s">
        <v>96</v>
      </c>
      <c r="F9156" s="9" t="s">
        <v>1725</v>
      </c>
      <c r="G9156" s="10" t="s">
        <v>21</v>
      </c>
      <c r="H9156" s="9" t="s">
        <v>22</v>
      </c>
      <c r="I9156" s="9" t="s">
        <v>19559</v>
      </c>
      <c r="J9156" s="10" t="str">
        <f>HYPERLINK("https://www.boe.es/gazeta/dias/1834/11/11/pdfs/GMD-1834-270.pdf#page=3","Abrir facsímil")</f>
        <v>Abrir facsímil</v>
      </c>
      <c r="K9156" s="10" t="s">
        <v>24</v>
      </c>
    </row>
    <row r="9157" spans="1:11" ht="54" customHeight="1">
      <c r="A9157" s="9" t="s">
        <v>19560</v>
      </c>
      <c r="B9157" s="9" t="s">
        <v>19560</v>
      </c>
      <c r="C9157" s="9" t="s">
        <v>66</v>
      </c>
      <c r="D9157" s="9" t="s">
        <v>67</v>
      </c>
      <c r="E9157" s="10" t="s">
        <v>1025</v>
      </c>
      <c r="F9157" s="9" t="s">
        <v>1026</v>
      </c>
      <c r="G9157" s="10" t="s">
        <v>28</v>
      </c>
      <c r="H9157" s="9" t="s">
        <v>22</v>
      </c>
      <c r="I9157" s="9" t="s">
        <v>19561</v>
      </c>
      <c r="J9157" s="10" t="str">
        <f>HYPERLINK("https://www.boe.es/gazeta/dias/1834/03/01/pdfs/GMD-1834-27.pdf#page=5","Abrir facsímil")</f>
        <v>Abrir facsímil</v>
      </c>
      <c r="K9157" s="10" t="s">
        <v>24</v>
      </c>
    </row>
    <row r="9158" spans="1:11" ht="54" customHeight="1">
      <c r="A9158" s="9" t="s">
        <v>19562</v>
      </c>
      <c r="B9158" s="9" t="s">
        <v>19563</v>
      </c>
      <c r="C9158" s="9" t="s">
        <v>122</v>
      </c>
      <c r="D9158" s="9" t="s">
        <v>55</v>
      </c>
      <c r="E9158" s="10" t="s">
        <v>153</v>
      </c>
      <c r="F9158" s="9" t="s">
        <v>1294</v>
      </c>
      <c r="G9158" s="10" t="s">
        <v>75</v>
      </c>
      <c r="H9158" s="9" t="s">
        <v>22</v>
      </c>
      <c r="I9158" s="9" t="s">
        <v>19564</v>
      </c>
      <c r="J9158" s="10" t="str">
        <f>HYPERLINK("https://www.boe.es/gazeta/dias/1834/12/30/pdfs/GMD-1834-320.pdf#page=4","Abrir facsímil")</f>
        <v>Abrir facsímil</v>
      </c>
      <c r="K9158" s="10" t="s">
        <v>24</v>
      </c>
    </row>
    <row r="9159" spans="1:11" ht="54" customHeight="1">
      <c r="A9159" s="9" t="s">
        <v>19565</v>
      </c>
      <c r="B9159" s="9" t="s">
        <v>19566</v>
      </c>
      <c r="C9159" s="9" t="s">
        <v>17</v>
      </c>
      <c r="D9159" s="9" t="s">
        <v>55</v>
      </c>
      <c r="E9159" s="10" t="s">
        <v>2218</v>
      </c>
      <c r="F9159" s="9" t="s">
        <v>2219</v>
      </c>
      <c r="G9159" s="10" t="s">
        <v>34</v>
      </c>
      <c r="H9159" s="9" t="s">
        <v>35</v>
      </c>
      <c r="I9159" s="9" t="s">
        <v>19567</v>
      </c>
      <c r="J9159" s="10" t="str">
        <f>HYPERLINK("https://www.boe.es/gazeta/dias/1834/11/05/pdfs/GMD-1834-264.pdf#page=1","Abrir facsímil")</f>
        <v>Abrir facsímil</v>
      </c>
      <c r="K9159" s="10" t="s">
        <v>37</v>
      </c>
    </row>
    <row r="9160" spans="1:11" ht="54" customHeight="1">
      <c r="A9160" s="9" t="s">
        <v>19568</v>
      </c>
      <c r="B9160" s="9" t="s">
        <v>19569</v>
      </c>
      <c r="C9160" s="9" t="s">
        <v>66</v>
      </c>
      <c r="D9160" s="9" t="s">
        <v>67</v>
      </c>
      <c r="E9160" s="10" t="s">
        <v>251</v>
      </c>
      <c r="F9160" s="9" t="s">
        <v>1278</v>
      </c>
      <c r="G9160" s="10" t="s">
        <v>86</v>
      </c>
      <c r="H9160" s="9" t="s">
        <v>22</v>
      </c>
      <c r="I9160" s="9" t="s">
        <v>19570</v>
      </c>
      <c r="J9160" s="10" t="str">
        <f>HYPERLINK("https://www.boe.es/gazeta/dias/1834/09/26/pdfs/GMD-1834-224.pdf#page=2","Abrir facsímil")</f>
        <v>Abrir facsímil</v>
      </c>
      <c r="K9160" s="10" t="s">
        <v>24</v>
      </c>
    </row>
    <row r="9161" spans="1:11" ht="54" customHeight="1">
      <c r="A9161" s="9" t="s">
        <v>19571</v>
      </c>
      <c r="B9161" s="9" t="s">
        <v>19572</v>
      </c>
      <c r="C9161" s="9" t="s">
        <v>17</v>
      </c>
      <c r="D9161" s="9" t="s">
        <v>18</v>
      </c>
      <c r="E9161" s="10" t="s">
        <v>1273</v>
      </c>
      <c r="F9161" s="9" t="s">
        <v>1274</v>
      </c>
      <c r="G9161" s="10" t="s">
        <v>21</v>
      </c>
      <c r="H9161" s="9" t="s">
        <v>22</v>
      </c>
      <c r="I9161" s="9" t="s">
        <v>19573</v>
      </c>
      <c r="J9161" s="10" t="str">
        <f>HYPERLINK("https://www.boe.es/gazeta/dias/1834/05/14/pdfs/GMD-1834-83.pdf#page=3","Abrir facsímil")</f>
        <v>Abrir facsímil</v>
      </c>
      <c r="K9161" s="10" t="s">
        <v>24</v>
      </c>
    </row>
    <row r="9162" spans="1:11" ht="54" customHeight="1">
      <c r="A9162" s="9" t="s">
        <v>19574</v>
      </c>
      <c r="B9162" s="9" t="s">
        <v>19574</v>
      </c>
      <c r="C9162" s="9" t="s">
        <v>122</v>
      </c>
      <c r="D9162" s="9" t="s">
        <v>101</v>
      </c>
      <c r="E9162" s="10" t="s">
        <v>601</v>
      </c>
      <c r="F9162" s="9" t="s">
        <v>602</v>
      </c>
      <c r="G9162" s="10" t="s">
        <v>21</v>
      </c>
      <c r="H9162" s="9" t="s">
        <v>22</v>
      </c>
      <c r="I9162" s="9" t="s">
        <v>19575</v>
      </c>
      <c r="J9162" s="10" t="str">
        <f>HYPERLINK("https://www.boe.es/gazeta/dias/1834/08/16/pdfs/GMD-1834-181.pdf#page=3","Abrir facsímil")</f>
        <v>Abrir facsímil</v>
      </c>
      <c r="K9162" s="10" t="s">
        <v>24</v>
      </c>
    </row>
    <row r="9163" spans="1:11" ht="54" customHeight="1">
      <c r="A9163" s="9" t="s">
        <v>19576</v>
      </c>
      <c r="B9163" s="9" t="s">
        <v>19576</v>
      </c>
      <c r="C9163" s="9" t="s">
        <v>46</v>
      </c>
      <c r="D9163" s="9" t="s">
        <v>101</v>
      </c>
      <c r="E9163" s="10" t="s">
        <v>1025</v>
      </c>
      <c r="F9163" s="9" t="s">
        <v>1026</v>
      </c>
      <c r="G9163" s="10" t="s">
        <v>75</v>
      </c>
      <c r="H9163" s="9" t="s">
        <v>22</v>
      </c>
      <c r="I9163" s="9" t="s">
        <v>19577</v>
      </c>
      <c r="J9163" s="10" t="str">
        <f>HYPERLINK("https://www.boe.es/gazeta/dias/1834/03/01/pdfs/GMD-1834-27.pdf#page=4","Abrir facsímil")</f>
        <v>Abrir facsímil</v>
      </c>
      <c r="K9163" s="10" t="s">
        <v>24</v>
      </c>
    </row>
    <row r="9164" spans="1:11" ht="54" customHeight="1">
      <c r="A9164" s="9" t="s">
        <v>19576</v>
      </c>
      <c r="B9164" s="9" t="s">
        <v>19576</v>
      </c>
      <c r="C9164" s="9" t="s">
        <v>17</v>
      </c>
      <c r="D9164" s="9" t="s">
        <v>18</v>
      </c>
      <c r="E9164" s="10" t="s">
        <v>576</v>
      </c>
      <c r="F9164" s="9" t="s">
        <v>577</v>
      </c>
      <c r="G9164" s="10" t="s">
        <v>75</v>
      </c>
      <c r="H9164" s="9" t="s">
        <v>22</v>
      </c>
      <c r="I9164" s="9" t="s">
        <v>19578</v>
      </c>
      <c r="J9164" s="10" t="str">
        <f>HYPERLINK("https://www.boe.es/gazeta/dias/1834/09/23/pdfs/GMD-1834-221.pdf#page=4","Abrir facsímil")</f>
        <v>Abrir facsímil</v>
      </c>
      <c r="K9164" s="10" t="s">
        <v>24</v>
      </c>
    </row>
    <row r="9165" spans="1:11" ht="54" customHeight="1">
      <c r="A9165" s="9" t="s">
        <v>19579</v>
      </c>
      <c r="B9165" s="9" t="s">
        <v>19580</v>
      </c>
      <c r="C9165" s="9" t="s">
        <v>66</v>
      </c>
      <c r="D9165" s="9" t="s">
        <v>67</v>
      </c>
      <c r="E9165" s="10" t="s">
        <v>364</v>
      </c>
      <c r="F9165" s="9" t="s">
        <v>2102</v>
      </c>
      <c r="G9165" s="10" t="s">
        <v>34</v>
      </c>
      <c r="H9165" s="9" t="s">
        <v>22</v>
      </c>
      <c r="I9165" s="9" t="s">
        <v>19581</v>
      </c>
      <c r="J9165" s="10" t="str">
        <f>HYPERLINK("https://www.boe.es/gazeta/dias/1834/09/06/pdfs/GMD-1834-204.pdf#page=1","Abrir facsímil")</f>
        <v>Abrir facsímil</v>
      </c>
      <c r="K9165" s="10" t="s">
        <v>24</v>
      </c>
    </row>
    <row r="9166" spans="1:11" ht="54" customHeight="1">
      <c r="A9166" s="9" t="s">
        <v>19582</v>
      </c>
      <c r="B9166" s="9" t="s">
        <v>19582</v>
      </c>
      <c r="C9166" s="9" t="s">
        <v>66</v>
      </c>
      <c r="D9166" s="9" t="s">
        <v>67</v>
      </c>
      <c r="E9166" s="10" t="s">
        <v>772</v>
      </c>
      <c r="F9166" s="9" t="s">
        <v>2284</v>
      </c>
      <c r="G9166" s="10" t="s">
        <v>86</v>
      </c>
      <c r="H9166" s="9" t="s">
        <v>22</v>
      </c>
      <c r="I9166" s="9" t="s">
        <v>19583</v>
      </c>
      <c r="J9166" s="10" t="str">
        <f>HYPERLINK("https://www.boe.es/gazeta/dias/1834/09/18/pdfs/GMD-C-1834-216.pdf#page=2","Abrir facsímil")</f>
        <v>Abrir facsímil</v>
      </c>
      <c r="K9166" s="10" t="s">
        <v>24</v>
      </c>
    </row>
    <row r="9167" spans="1:11" ht="54" customHeight="1">
      <c r="A9167" s="9" t="s">
        <v>19584</v>
      </c>
      <c r="B9167" s="9" t="s">
        <v>19584</v>
      </c>
      <c r="C9167" s="9" t="s">
        <v>17</v>
      </c>
      <c r="D9167" s="9" t="s">
        <v>18</v>
      </c>
      <c r="E9167" s="10" t="s">
        <v>68</v>
      </c>
      <c r="F9167" s="9" t="s">
        <v>69</v>
      </c>
      <c r="G9167" s="10" t="s">
        <v>34</v>
      </c>
      <c r="H9167" s="9" t="s">
        <v>22</v>
      </c>
      <c r="I9167" s="9" t="s">
        <v>19585</v>
      </c>
      <c r="J9167" s="10" t="str">
        <f>HYPERLINK("https://www.boe.es/gazeta/dias/1834/11/01/pdfs/I01088-01088.pdf#page=1","Abrir facsímil")</f>
        <v>Abrir facsímil</v>
      </c>
      <c r="K9167" s="10" t="s">
        <v>24</v>
      </c>
    </row>
    <row r="9168" spans="1:11" ht="54" customHeight="1">
      <c r="A9168" s="9" t="s">
        <v>19584</v>
      </c>
      <c r="B9168" s="9" t="s">
        <v>19584</v>
      </c>
      <c r="C9168" s="9" t="s">
        <v>17</v>
      </c>
      <c r="D9168" s="9" t="s">
        <v>18</v>
      </c>
      <c r="E9168" s="10" t="s">
        <v>61</v>
      </c>
      <c r="F9168" s="9" t="s">
        <v>205</v>
      </c>
      <c r="G9168" s="10" t="s">
        <v>75</v>
      </c>
      <c r="H9168" s="9" t="s">
        <v>22</v>
      </c>
      <c r="I9168" s="9" t="s">
        <v>19586</v>
      </c>
      <c r="J9168" s="10" t="str">
        <f>HYPERLINK("https://www.boe.es/gazeta/dias/1834/06/08/pdfs/GMD-1834-110.pdf#page=4","Abrir facsímil")</f>
        <v>Abrir facsímil</v>
      </c>
      <c r="K9168" s="10" t="s">
        <v>24</v>
      </c>
    </row>
    <row r="9169" spans="1:11" ht="54" customHeight="1">
      <c r="A9169" s="9" t="s">
        <v>19584</v>
      </c>
      <c r="B9169" s="9" t="s">
        <v>19584</v>
      </c>
      <c r="C9169" s="9" t="s">
        <v>17</v>
      </c>
      <c r="D9169" s="9" t="s">
        <v>18</v>
      </c>
      <c r="E9169" s="10" t="s">
        <v>1318</v>
      </c>
      <c r="F9169" s="9" t="s">
        <v>1319</v>
      </c>
      <c r="G9169" s="10" t="s">
        <v>75</v>
      </c>
      <c r="H9169" s="9" t="s">
        <v>22</v>
      </c>
      <c r="I9169" s="9" t="s">
        <v>19587</v>
      </c>
      <c r="J9169" s="10" t="str">
        <f>HYPERLINK("https://www.boe.es/gazeta/dias/1834/05/10/pdfs/GMD-1834-79.pdf#page=4","Abrir facsímil")</f>
        <v>Abrir facsímil</v>
      </c>
      <c r="K9169" s="10" t="s">
        <v>24</v>
      </c>
    </row>
    <row r="9170" spans="1:11" ht="54" customHeight="1">
      <c r="A9170" s="9" t="s">
        <v>19584</v>
      </c>
      <c r="B9170" s="9" t="s">
        <v>19584</v>
      </c>
      <c r="C9170" s="9" t="s">
        <v>17</v>
      </c>
      <c r="D9170" s="9" t="s">
        <v>18</v>
      </c>
      <c r="E9170" s="10" t="s">
        <v>956</v>
      </c>
      <c r="F9170" s="9" t="s">
        <v>1508</v>
      </c>
      <c r="G9170" s="10" t="s">
        <v>75</v>
      </c>
      <c r="H9170" s="9" t="s">
        <v>22</v>
      </c>
      <c r="I9170" s="9" t="s">
        <v>19588</v>
      </c>
      <c r="J9170" s="10" t="str">
        <f>HYPERLINK("https://www.boe.es/gazeta/dias/1834/08/10/pdfs/GMD-1834-175.pdf#page=4","Abrir facsímil")</f>
        <v>Abrir facsímil</v>
      </c>
      <c r="K9170" s="10" t="s">
        <v>24</v>
      </c>
    </row>
    <row r="9171" spans="1:11" ht="54" customHeight="1">
      <c r="A9171" s="9" t="s">
        <v>19584</v>
      </c>
      <c r="B9171" s="9" t="s">
        <v>19584</v>
      </c>
      <c r="C9171" s="9" t="s">
        <v>17</v>
      </c>
      <c r="D9171" s="9" t="s">
        <v>18</v>
      </c>
      <c r="E9171" s="10" t="s">
        <v>448</v>
      </c>
      <c r="F9171" s="9" t="s">
        <v>2058</v>
      </c>
      <c r="G9171" s="10" t="s">
        <v>75</v>
      </c>
      <c r="H9171" s="9" t="s">
        <v>22</v>
      </c>
      <c r="I9171" s="9" t="s">
        <v>19589</v>
      </c>
      <c r="J9171" s="10" t="str">
        <f>HYPERLINK("https://www.boe.es/gazeta/dias/1834/10/14/pdfs/GMD-1834-242.pdf#page=4","Abrir facsímil")</f>
        <v>Abrir facsímil</v>
      </c>
      <c r="K9171" s="10" t="s">
        <v>24</v>
      </c>
    </row>
    <row r="9172" spans="1:11" ht="54" customHeight="1">
      <c r="A9172" s="9" t="s">
        <v>19590</v>
      </c>
      <c r="B9172" s="9" t="s">
        <v>19591</v>
      </c>
      <c r="C9172" s="9" t="s">
        <v>90</v>
      </c>
      <c r="D9172" s="9" t="s">
        <v>101</v>
      </c>
      <c r="E9172" s="10" t="s">
        <v>56</v>
      </c>
      <c r="F9172" s="9" t="s">
        <v>57</v>
      </c>
      <c r="G9172" s="10" t="s">
        <v>75</v>
      </c>
      <c r="H9172" s="9" t="s">
        <v>35</v>
      </c>
      <c r="I9172" s="9" t="s">
        <v>19592</v>
      </c>
      <c r="J9172" s="10" t="str">
        <f>HYPERLINK("https://www.boe.es/gazeta/dias/1834/07/09/pdfs/GMD-1834-142.pdf#page=4","Abrir facsímil")</f>
        <v>Abrir facsímil</v>
      </c>
      <c r="K9172" s="10" t="s">
        <v>37</v>
      </c>
    </row>
    <row r="9173" spans="1:11" ht="54" customHeight="1">
      <c r="A9173" s="9" t="s">
        <v>19593</v>
      </c>
      <c r="B9173" s="9" t="s">
        <v>19594</v>
      </c>
      <c r="C9173" s="9" t="s">
        <v>122</v>
      </c>
      <c r="D9173" s="9" t="s">
        <v>18</v>
      </c>
      <c r="E9173" s="10" t="s">
        <v>1084</v>
      </c>
      <c r="F9173" s="9" t="s">
        <v>1085</v>
      </c>
      <c r="G9173" s="10" t="s">
        <v>176</v>
      </c>
      <c r="H9173" s="9" t="s">
        <v>22</v>
      </c>
      <c r="I9173" s="9" t="s">
        <v>19595</v>
      </c>
      <c r="J9173" s="10" t="str">
        <f>HYPERLINK("https://www.boe.es/gazeta/dias/1834/05/01/pdfs/GMD-1834-70.pdf#page=6","Abrir facsímil")</f>
        <v>Abrir facsímil</v>
      </c>
      <c r="K9173" s="10" t="s">
        <v>24</v>
      </c>
    </row>
    <row r="9174" spans="1:11" ht="54" customHeight="1">
      <c r="A9174" s="9" t="s">
        <v>19596</v>
      </c>
      <c r="B9174" s="9" t="s">
        <v>19597</v>
      </c>
      <c r="C9174" s="9" t="s">
        <v>90</v>
      </c>
      <c r="D9174" s="9" t="s">
        <v>101</v>
      </c>
      <c r="E9174" s="10" t="s">
        <v>56</v>
      </c>
      <c r="F9174" s="9" t="s">
        <v>57</v>
      </c>
      <c r="G9174" s="10" t="s">
        <v>75</v>
      </c>
      <c r="H9174" s="9" t="s">
        <v>22</v>
      </c>
      <c r="I9174" s="9" t="s">
        <v>19598</v>
      </c>
      <c r="J9174" s="10" t="str">
        <f>HYPERLINK("https://www.boe.es/gazeta/dias/1834/07/09/pdfs/GMD-1834-142.pdf#page=4","Abrir facsímil")</f>
        <v>Abrir facsímil</v>
      </c>
      <c r="K9174" s="10" t="s">
        <v>24</v>
      </c>
    </row>
    <row r="9175" spans="1:11" ht="54" customHeight="1">
      <c r="A9175" s="9" t="s">
        <v>19599</v>
      </c>
      <c r="B9175" s="9" t="s">
        <v>19600</v>
      </c>
      <c r="C9175" s="9" t="s">
        <v>122</v>
      </c>
      <c r="D9175" s="9" t="s">
        <v>18</v>
      </c>
      <c r="E9175" s="10" t="s">
        <v>73</v>
      </c>
      <c r="F9175" s="9" t="s">
        <v>74</v>
      </c>
      <c r="G9175" s="10" t="s">
        <v>75</v>
      </c>
      <c r="H9175" s="9" t="s">
        <v>22</v>
      </c>
      <c r="I9175" s="9" t="s">
        <v>19601</v>
      </c>
      <c r="J9175" s="10" t="str">
        <f>HYPERLINK("https://www.boe.es/gazeta/dias/1834/11/04/pdfs/GMD-1834-263.pdf#page=4","Abrir facsímil")</f>
        <v>Abrir facsímil</v>
      </c>
      <c r="K9175" s="10" t="s">
        <v>24</v>
      </c>
    </row>
    <row r="9176" spans="1:11" ht="54" customHeight="1">
      <c r="A9176" s="9" t="s">
        <v>19602</v>
      </c>
      <c r="B9176" s="9" t="s">
        <v>19603</v>
      </c>
      <c r="C9176" s="9" t="s">
        <v>66</v>
      </c>
      <c r="D9176" s="9" t="s">
        <v>67</v>
      </c>
      <c r="E9176" s="10" t="s">
        <v>1025</v>
      </c>
      <c r="F9176" s="9" t="s">
        <v>1026</v>
      </c>
      <c r="G9176" s="10" t="s">
        <v>86</v>
      </c>
      <c r="H9176" s="9" t="s">
        <v>22</v>
      </c>
      <c r="I9176" s="9" t="s">
        <v>19604</v>
      </c>
      <c r="J9176" s="10" t="str">
        <f>HYPERLINK("https://www.boe.es/gazeta/dias/1834/03/01/pdfs/GMD-1834-27.pdf#page=2","Abrir facsímil")</f>
        <v>Abrir facsímil</v>
      </c>
      <c r="K9176" s="10" t="s">
        <v>24</v>
      </c>
    </row>
    <row r="9177" spans="1:11" ht="54" customHeight="1">
      <c r="A9177" s="9" t="s">
        <v>19605</v>
      </c>
      <c r="B9177" s="9" t="s">
        <v>19606</v>
      </c>
      <c r="C9177" s="9" t="s">
        <v>17</v>
      </c>
      <c r="D9177" s="9" t="s">
        <v>18</v>
      </c>
      <c r="E9177" s="10" t="s">
        <v>96</v>
      </c>
      <c r="F9177" s="9" t="s">
        <v>97</v>
      </c>
      <c r="G9177" s="10" t="s">
        <v>86</v>
      </c>
      <c r="H9177" s="9" t="s">
        <v>22</v>
      </c>
      <c r="I9177" s="9" t="s">
        <v>19607</v>
      </c>
      <c r="J9177" s="10" t="str">
        <f>HYPERLINK("https://www.boe.es/gazeta/dias/1834/11/11/pdfs/GMD-C-1834-270.pdf#page=2","Abrir facsímil")</f>
        <v>Abrir facsímil</v>
      </c>
      <c r="K9177" s="10" t="s">
        <v>24</v>
      </c>
    </row>
    <row r="9178" spans="1:11" ht="54" customHeight="1">
      <c r="A9178" s="9" t="s">
        <v>19608</v>
      </c>
      <c r="B9178" s="9" t="s">
        <v>19609</v>
      </c>
      <c r="C9178" s="9" t="s">
        <v>90</v>
      </c>
      <c r="D9178" s="9" t="s">
        <v>18</v>
      </c>
      <c r="E9178" s="10" t="s">
        <v>1556</v>
      </c>
      <c r="F9178" s="9" t="s">
        <v>1557</v>
      </c>
      <c r="G9178" s="10" t="s">
        <v>34</v>
      </c>
      <c r="H9178" s="9" t="s">
        <v>22</v>
      </c>
      <c r="I9178" s="9" t="s">
        <v>19610</v>
      </c>
      <c r="J9178" s="10" t="str">
        <f>HYPERLINK("https://www.boe.es/gazeta/dias/1834/06/06/pdfs/GMD-1834-108.pdf#page=1","Abrir facsímil")</f>
        <v>Abrir facsímil</v>
      </c>
      <c r="K9178" s="10" t="s">
        <v>24</v>
      </c>
    </row>
    <row r="9179" spans="1:11" ht="54" customHeight="1">
      <c r="A9179" s="9" t="s">
        <v>19611</v>
      </c>
      <c r="B9179" s="9" t="s">
        <v>19612</v>
      </c>
      <c r="C9179" s="9" t="s">
        <v>17</v>
      </c>
      <c r="D9179" s="9" t="s">
        <v>101</v>
      </c>
      <c r="E9179" s="10" t="s">
        <v>56</v>
      </c>
      <c r="F9179" s="9" t="s">
        <v>57</v>
      </c>
      <c r="G9179" s="10" t="s">
        <v>34</v>
      </c>
      <c r="H9179" s="9" t="s">
        <v>22</v>
      </c>
      <c r="I9179" s="9" t="s">
        <v>19613</v>
      </c>
      <c r="J9179" s="10" t="str">
        <f>HYPERLINK("https://www.boe.es/gazeta/dias/1834/07/09/pdfs/GMD-1834-142.pdf#page=1","Abrir facsímil")</f>
        <v>Abrir facsímil</v>
      </c>
      <c r="K9179" s="10" t="s">
        <v>24</v>
      </c>
    </row>
    <row r="9180" spans="1:11" ht="54" customHeight="1">
      <c r="A9180" s="9" t="s">
        <v>19614</v>
      </c>
      <c r="B9180" s="9" t="s">
        <v>19614</v>
      </c>
      <c r="C9180" s="9" t="s">
        <v>17</v>
      </c>
      <c r="D9180" s="9" t="s">
        <v>18</v>
      </c>
      <c r="E9180" s="10" t="s">
        <v>375</v>
      </c>
      <c r="F9180" s="9" t="s">
        <v>376</v>
      </c>
      <c r="G9180" s="10" t="s">
        <v>21</v>
      </c>
      <c r="H9180" s="9" t="s">
        <v>22</v>
      </c>
      <c r="I9180" s="9" t="s">
        <v>19615</v>
      </c>
      <c r="J9180" s="10" t="str">
        <f>HYPERLINK("https://www.boe.es/gazeta/dias/1834/08/21/pdfs/GMD-1834-187.pdf#page=3","Abrir facsímil")</f>
        <v>Abrir facsímil</v>
      </c>
      <c r="K9180" s="10" t="s">
        <v>24</v>
      </c>
    </row>
    <row r="9181" spans="1:11" ht="54" customHeight="1">
      <c r="A9181" s="9" t="s">
        <v>19616</v>
      </c>
      <c r="B9181" s="9" t="s">
        <v>19617</v>
      </c>
      <c r="C9181" s="9" t="s">
        <v>122</v>
      </c>
      <c r="D9181" s="9" t="s">
        <v>18</v>
      </c>
      <c r="E9181" s="10" t="s">
        <v>348</v>
      </c>
      <c r="F9181" s="9" t="s">
        <v>501</v>
      </c>
      <c r="G9181" s="10" t="s">
        <v>21</v>
      </c>
      <c r="H9181" s="9" t="s">
        <v>22</v>
      </c>
      <c r="I9181" s="9" t="s">
        <v>19618</v>
      </c>
      <c r="J9181" s="10" t="str">
        <f>HYPERLINK("https://www.boe.es/gazeta/dias/1834/06/12/pdfs/GMD-1834-115.pdf#page=3","Abrir facsímil")</f>
        <v>Abrir facsímil</v>
      </c>
      <c r="K9181" s="10" t="s">
        <v>24</v>
      </c>
    </row>
    <row r="9182" spans="1:11" ht="54" customHeight="1">
      <c r="A9182" s="9" t="s">
        <v>19619</v>
      </c>
      <c r="B9182" s="9" t="s">
        <v>19620</v>
      </c>
      <c r="C9182" s="9" t="s">
        <v>17</v>
      </c>
      <c r="D9182" s="9" t="s">
        <v>18</v>
      </c>
      <c r="E9182" s="10" t="s">
        <v>375</v>
      </c>
      <c r="F9182" s="9" t="s">
        <v>376</v>
      </c>
      <c r="G9182" s="10" t="s">
        <v>21</v>
      </c>
      <c r="H9182" s="9" t="s">
        <v>22</v>
      </c>
      <c r="I9182" s="9" t="s">
        <v>19621</v>
      </c>
      <c r="J9182" s="10" t="str">
        <f>HYPERLINK("https://www.boe.es/gazeta/dias/1834/08/21/pdfs/GMD-1834-187.pdf#page=3","Abrir facsímil")</f>
        <v>Abrir facsímil</v>
      </c>
      <c r="K9182" s="10" t="s">
        <v>24</v>
      </c>
    </row>
    <row r="9183" spans="1:11" ht="54" customHeight="1">
      <c r="A9183" s="9" t="s">
        <v>19622</v>
      </c>
      <c r="B9183" s="9" t="s">
        <v>19623</v>
      </c>
      <c r="C9183" s="9" t="s">
        <v>122</v>
      </c>
      <c r="D9183" s="9" t="s">
        <v>18</v>
      </c>
      <c r="E9183" s="10" t="s">
        <v>375</v>
      </c>
      <c r="F9183" s="9" t="s">
        <v>376</v>
      </c>
      <c r="G9183" s="10" t="s">
        <v>21</v>
      </c>
      <c r="H9183" s="9" t="s">
        <v>35</v>
      </c>
      <c r="I9183" s="9" t="s">
        <v>19624</v>
      </c>
      <c r="J9183" s="10" t="str">
        <f>HYPERLINK("https://www.boe.es/gazeta/dias/1834/08/21/pdfs/GMD-1834-187.pdf#page=3","Abrir facsímil")</f>
        <v>Abrir facsímil</v>
      </c>
      <c r="K9183" s="10" t="s">
        <v>37</v>
      </c>
    </row>
    <row r="9184" spans="1:11" ht="54" customHeight="1">
      <c r="A9184" s="9" t="s">
        <v>19625</v>
      </c>
      <c r="B9184" s="9" t="s">
        <v>19626</v>
      </c>
      <c r="C9184" s="9" t="s">
        <v>66</v>
      </c>
      <c r="D9184" s="9" t="s">
        <v>67</v>
      </c>
      <c r="E9184" s="10" t="s">
        <v>976</v>
      </c>
      <c r="F9184" s="9" t="s">
        <v>1061</v>
      </c>
      <c r="G9184" s="10" t="s">
        <v>86</v>
      </c>
      <c r="H9184" s="9" t="s">
        <v>22</v>
      </c>
      <c r="I9184" s="9" t="s">
        <v>19627</v>
      </c>
      <c r="J9184" s="10" t="str">
        <f>HYPERLINK("https://www.boe.es/gazeta/dias/1834/04/02/pdfs/GMD-C-1834-41.pdf#page=2","Abrir facsímil")</f>
        <v>Abrir facsímil</v>
      </c>
      <c r="K9184" s="10" t="s">
        <v>24</v>
      </c>
    </row>
    <row r="9185" spans="1:11" ht="54" customHeight="1">
      <c r="A9185" s="9" t="s">
        <v>19628</v>
      </c>
      <c r="B9185" s="9" t="s">
        <v>19629</v>
      </c>
      <c r="C9185" s="9" t="s">
        <v>17</v>
      </c>
      <c r="D9185" s="9" t="s">
        <v>40</v>
      </c>
      <c r="E9185" s="10" t="s">
        <v>541</v>
      </c>
      <c r="F9185" s="9" t="s">
        <v>542</v>
      </c>
      <c r="G9185" s="10" t="s">
        <v>34</v>
      </c>
      <c r="H9185" s="9" t="s">
        <v>22</v>
      </c>
      <c r="I9185" s="9" t="s">
        <v>19630</v>
      </c>
      <c r="J9185" s="10" t="str">
        <f>HYPERLINK("https://www.boe.es/gazeta/dias/1834/04/18/pdfs/GMD-1834-57.pdf#page=1","Abrir facsímil")</f>
        <v>Abrir facsímil</v>
      </c>
      <c r="K9185" s="10" t="s">
        <v>24</v>
      </c>
    </row>
    <row r="9186" spans="1:11" ht="54" customHeight="1">
      <c r="A9186" s="9" t="s">
        <v>19631</v>
      </c>
      <c r="B9186" s="9" t="s">
        <v>19632</v>
      </c>
      <c r="C9186" s="9" t="s">
        <v>17</v>
      </c>
      <c r="D9186" s="9" t="s">
        <v>18</v>
      </c>
      <c r="E9186" s="10" t="s">
        <v>167</v>
      </c>
      <c r="F9186" s="9" t="s">
        <v>1200</v>
      </c>
      <c r="G9186" s="10" t="s">
        <v>2174</v>
      </c>
      <c r="H9186" s="9" t="s">
        <v>22</v>
      </c>
      <c r="I9186" s="9" t="s">
        <v>19633</v>
      </c>
      <c r="J9186" s="10" t="str">
        <f>HYPERLINK("https://www.boe.es/gazeta/dias/1834/09/07/pdfs/GMD-C-1834-205.pdf#page=10","Abrir facsímil")</f>
        <v>Abrir facsímil</v>
      </c>
      <c r="K9186" s="10" t="s">
        <v>24</v>
      </c>
    </row>
    <row r="9187" spans="1:11" ht="54" customHeight="1">
      <c r="A9187" s="9" t="s">
        <v>19634</v>
      </c>
      <c r="B9187" s="9" t="s">
        <v>19635</v>
      </c>
      <c r="C9187" s="9" t="s">
        <v>17</v>
      </c>
      <c r="D9187" s="9" t="s">
        <v>18</v>
      </c>
      <c r="E9187" s="10" t="s">
        <v>928</v>
      </c>
      <c r="F9187" s="9" t="s">
        <v>3338</v>
      </c>
      <c r="G9187" s="10" t="s">
        <v>21</v>
      </c>
      <c r="H9187" s="9" t="s">
        <v>22</v>
      </c>
      <c r="I9187" s="9" t="s">
        <v>19636</v>
      </c>
      <c r="J9187" s="10" t="str">
        <f>HYPERLINK("https://www.boe.es/gazeta/dias/1834/11/15/pdfs/GMD-1834-274.pdf#page=3","Abrir facsímil")</f>
        <v>Abrir facsímil</v>
      </c>
      <c r="K9187" s="10" t="s">
        <v>24</v>
      </c>
    </row>
    <row r="9188" spans="1:11" ht="54" customHeight="1">
      <c r="A9188" s="9" t="s">
        <v>19637</v>
      </c>
      <c r="B9188" s="9" t="s">
        <v>19638</v>
      </c>
      <c r="C9188" s="9" t="s">
        <v>66</v>
      </c>
      <c r="D9188" s="9" t="s">
        <v>67</v>
      </c>
      <c r="E9188" s="10" t="s">
        <v>2053</v>
      </c>
      <c r="F9188" s="9" t="s">
        <v>2054</v>
      </c>
      <c r="G9188" s="10" t="s">
        <v>21</v>
      </c>
      <c r="H9188" s="9" t="s">
        <v>35</v>
      </c>
      <c r="I9188" s="9" t="s">
        <v>19639</v>
      </c>
      <c r="J9188" s="10" t="str">
        <f>HYPERLINK("https://www.boe.es/gazeta/dias/1834/06/02/pdfs/GMD-1834-103.pdf#page=3","Abrir facsímil")</f>
        <v>Abrir facsímil</v>
      </c>
      <c r="K9188" s="10" t="s">
        <v>37</v>
      </c>
    </row>
    <row r="9189" spans="1:11" ht="54" customHeight="1">
      <c r="A9189" s="9" t="s">
        <v>19640</v>
      </c>
      <c r="B9189" s="9" t="s">
        <v>19641</v>
      </c>
      <c r="C9189" s="9" t="s">
        <v>17</v>
      </c>
      <c r="D9189" s="9" t="s">
        <v>55</v>
      </c>
      <c r="E9189" s="10" t="s">
        <v>939</v>
      </c>
      <c r="F9189" s="9" t="s">
        <v>940</v>
      </c>
      <c r="G9189" s="10" t="s">
        <v>34</v>
      </c>
      <c r="H9189" s="9" t="s">
        <v>22</v>
      </c>
      <c r="I9189" s="9" t="s">
        <v>19642</v>
      </c>
      <c r="J9189" s="10" t="str">
        <f>HYPERLINK("https://www.boe.es/gazeta/dias/1834/06/10/pdfs/GMD-1834-113.pdf#page=1","Abrir facsímil")</f>
        <v>Abrir facsímil</v>
      </c>
      <c r="K9189" s="10" t="s">
        <v>24</v>
      </c>
    </row>
    <row r="9190" spans="1:11" ht="54" customHeight="1">
      <c r="A9190" s="9" t="s">
        <v>19643</v>
      </c>
      <c r="B9190" s="9" t="s">
        <v>19644</v>
      </c>
      <c r="C9190" s="9" t="s">
        <v>66</v>
      </c>
      <c r="D9190" s="9" t="s">
        <v>67</v>
      </c>
      <c r="E9190" s="10" t="s">
        <v>2053</v>
      </c>
      <c r="F9190" s="9" t="s">
        <v>2054</v>
      </c>
      <c r="G9190" s="10" t="s">
        <v>21</v>
      </c>
      <c r="H9190" s="9" t="s">
        <v>22</v>
      </c>
      <c r="I9190" s="9" t="s">
        <v>19645</v>
      </c>
      <c r="J9190" s="10" t="str">
        <f>HYPERLINK("https://www.boe.es/gazeta/dias/1834/06/02/pdfs/GMD-1834-103.pdf#page=3","Abrir facsímil")</f>
        <v>Abrir facsímil</v>
      </c>
      <c r="K9190" s="10" t="s">
        <v>24</v>
      </c>
    </row>
    <row r="9191" spans="1:11" ht="54" customHeight="1">
      <c r="A9191" s="9" t="s">
        <v>19646</v>
      </c>
      <c r="B9191" s="9" t="s">
        <v>19647</v>
      </c>
      <c r="C9191" s="9" t="s">
        <v>17</v>
      </c>
      <c r="D9191" s="9" t="s">
        <v>18</v>
      </c>
      <c r="E9191" s="10" t="s">
        <v>4169</v>
      </c>
      <c r="F9191" s="9" t="s">
        <v>4170</v>
      </c>
      <c r="G9191" s="10" t="s">
        <v>21</v>
      </c>
      <c r="H9191" s="9" t="s">
        <v>22</v>
      </c>
      <c r="I9191" s="9" t="s">
        <v>19648</v>
      </c>
      <c r="J9191" s="10" t="str">
        <f>HYPERLINK("https://www.boe.es/gazeta/dias/1834/11/20/pdfs/GMD-1834-279.pdf#page=3","Abrir facsímil")</f>
        <v>Abrir facsímil</v>
      </c>
      <c r="K9191" s="10" t="s">
        <v>24</v>
      </c>
    </row>
    <row r="9192" spans="1:11" ht="54" customHeight="1">
      <c r="A9192" s="9" t="s">
        <v>19649</v>
      </c>
      <c r="B9192" s="9" t="s">
        <v>19650</v>
      </c>
      <c r="C9192" s="9" t="s">
        <v>66</v>
      </c>
      <c r="D9192" s="9" t="s">
        <v>67</v>
      </c>
      <c r="E9192" s="10" t="s">
        <v>758</v>
      </c>
      <c r="F9192" s="9" t="s">
        <v>759</v>
      </c>
      <c r="G9192" s="10" t="s">
        <v>21</v>
      </c>
      <c r="H9192" s="9" t="s">
        <v>22</v>
      </c>
      <c r="I9192" s="9" t="s">
        <v>19651</v>
      </c>
      <c r="J9192" s="10" t="str">
        <f>HYPERLINK("https://www.boe.es/gazeta/dias/1834/01/04/pdfs/GMD-1834-3.pdf#page=3","Abrir facsímil")</f>
        <v>Abrir facsímil</v>
      </c>
      <c r="K9192" s="10" t="s">
        <v>24</v>
      </c>
    </row>
    <row r="9193" spans="1:11" ht="54" customHeight="1">
      <c r="A9193" s="9" t="s">
        <v>19652</v>
      </c>
      <c r="B9193" s="9" t="s">
        <v>19653</v>
      </c>
      <c r="C9193" s="9" t="s">
        <v>17</v>
      </c>
      <c r="D9193" s="9" t="s">
        <v>18</v>
      </c>
      <c r="E9193" s="10" t="s">
        <v>899</v>
      </c>
      <c r="F9193" s="9" t="s">
        <v>900</v>
      </c>
      <c r="G9193" s="10" t="s">
        <v>470</v>
      </c>
      <c r="H9193" s="9" t="s">
        <v>22</v>
      </c>
      <c r="I9193" s="9" t="s">
        <v>19654</v>
      </c>
      <c r="J9193" s="10" t="str">
        <f>HYPERLINK("https://www.boe.es/gazeta/dias/1834/01/30/pdfs/GMD-1834-14.pdf#page=8","Abrir facsímil")</f>
        <v>Abrir facsímil</v>
      </c>
      <c r="K9193" s="10" t="s">
        <v>24</v>
      </c>
    </row>
    <row r="9194" spans="1:11" ht="54" customHeight="1">
      <c r="A9194" s="9" t="s">
        <v>19655</v>
      </c>
      <c r="B9194" s="9" t="s">
        <v>19655</v>
      </c>
      <c r="C9194" s="9" t="s">
        <v>66</v>
      </c>
      <c r="D9194" s="9" t="s">
        <v>67</v>
      </c>
      <c r="E9194" s="10" t="s">
        <v>642</v>
      </c>
      <c r="F9194" s="9" t="s">
        <v>1843</v>
      </c>
      <c r="G9194" s="10" t="s">
        <v>21</v>
      </c>
      <c r="H9194" s="9" t="s">
        <v>22</v>
      </c>
      <c r="I9194" s="9" t="s">
        <v>19656</v>
      </c>
      <c r="J9194" s="10" t="str">
        <f>HYPERLINK("https://www.boe.es/gazeta/dias/1834/11/12/pdfs/GMD-1834-271.pdf#page=3","Abrir facsímil")</f>
        <v>Abrir facsímil</v>
      </c>
      <c r="K9194" s="10" t="s">
        <v>24</v>
      </c>
    </row>
    <row r="9195" spans="1:11" ht="54" customHeight="1">
      <c r="A9195" s="9" t="s">
        <v>19655</v>
      </c>
      <c r="B9195" s="9" t="s">
        <v>19655</v>
      </c>
      <c r="C9195" s="9" t="s">
        <v>857</v>
      </c>
      <c r="D9195" s="9" t="s">
        <v>67</v>
      </c>
      <c r="E9195" s="10" t="s">
        <v>187</v>
      </c>
      <c r="F9195" s="9" t="s">
        <v>188</v>
      </c>
      <c r="G9195" s="10" t="s">
        <v>21</v>
      </c>
      <c r="H9195" s="9" t="s">
        <v>22</v>
      </c>
      <c r="I9195" s="9" t="s">
        <v>19657</v>
      </c>
      <c r="J9195" s="10" t="str">
        <f>HYPERLINK("https://www.boe.es/gazeta/dias/1834/09/30/pdfs/GMD-1834-228.pdf#page=3","Abrir facsímil")</f>
        <v>Abrir facsímil</v>
      </c>
      <c r="K9195" s="10" t="s">
        <v>24</v>
      </c>
    </row>
    <row r="9196" spans="1:11" ht="54" customHeight="1">
      <c r="A9196" s="9" t="s">
        <v>19658</v>
      </c>
      <c r="B9196" s="9" t="s">
        <v>19658</v>
      </c>
      <c r="C9196" s="9" t="s">
        <v>17</v>
      </c>
      <c r="D9196" s="9" t="s">
        <v>40</v>
      </c>
      <c r="E9196" s="10" t="s">
        <v>3952</v>
      </c>
      <c r="F9196" s="9" t="s">
        <v>3953</v>
      </c>
      <c r="G9196" s="10" t="s">
        <v>75</v>
      </c>
      <c r="H9196" s="9" t="s">
        <v>22</v>
      </c>
      <c r="I9196" s="9" t="s">
        <v>19659</v>
      </c>
      <c r="J9196" s="10" t="str">
        <f>HYPERLINK("https://www.boe.es/gazeta/dias/1834/02/22/pdfs/GMD-1834-24.pdf#page=4","Abrir facsímil")</f>
        <v>Abrir facsímil</v>
      </c>
      <c r="K9196" s="10" t="s">
        <v>24</v>
      </c>
    </row>
    <row r="9197" spans="1:11" ht="54" customHeight="1">
      <c r="A9197" s="9" t="s">
        <v>19660</v>
      </c>
      <c r="B9197" s="9" t="s">
        <v>19661</v>
      </c>
      <c r="C9197" s="9" t="s">
        <v>17</v>
      </c>
      <c r="D9197" s="9" t="s">
        <v>18</v>
      </c>
      <c r="E9197" s="10" t="s">
        <v>1125</v>
      </c>
      <c r="F9197" s="9" t="s">
        <v>1126</v>
      </c>
      <c r="G9197" s="10" t="s">
        <v>34</v>
      </c>
      <c r="H9197" s="9" t="s">
        <v>22</v>
      </c>
      <c r="I9197" s="9" t="s">
        <v>19662</v>
      </c>
      <c r="J9197" s="10" t="str">
        <f>HYPERLINK("https://www.boe.es/gazeta/dias/1834/04/17/pdfs/GMD-C-1834-56.pdf#page=1","Abrir facsímil")</f>
        <v>Abrir facsímil</v>
      </c>
      <c r="K9197" s="10" t="s">
        <v>24</v>
      </c>
    </row>
    <row r="9198" spans="1:11" ht="54" customHeight="1">
      <c r="A9198" s="9" t="s">
        <v>19663</v>
      </c>
      <c r="B9198" s="9" t="s">
        <v>19663</v>
      </c>
      <c r="C9198" s="9" t="s">
        <v>17</v>
      </c>
      <c r="D9198" s="9" t="s">
        <v>18</v>
      </c>
      <c r="E9198" s="10" t="s">
        <v>1025</v>
      </c>
      <c r="F9198" s="9" t="s">
        <v>1026</v>
      </c>
      <c r="G9198" s="10" t="s">
        <v>28</v>
      </c>
      <c r="H9198" s="9" t="s">
        <v>22</v>
      </c>
      <c r="I9198" s="9" t="s">
        <v>19664</v>
      </c>
      <c r="J9198" s="10" t="str">
        <f>HYPERLINK("https://www.boe.es/gazeta/dias/1834/03/01/pdfs/GMD-1834-27.pdf#page=5","Abrir facsímil")</f>
        <v>Abrir facsímil</v>
      </c>
      <c r="K9198" s="10" t="s">
        <v>24</v>
      </c>
    </row>
    <row r="9199" spans="1:11" ht="54" customHeight="1">
      <c r="A9199" s="9" t="s">
        <v>19663</v>
      </c>
      <c r="B9199" s="9" t="s">
        <v>19663</v>
      </c>
      <c r="C9199" s="9" t="s">
        <v>17</v>
      </c>
      <c r="D9199" s="9" t="s">
        <v>18</v>
      </c>
      <c r="E9199" s="10" t="s">
        <v>1406</v>
      </c>
      <c r="F9199" s="9" t="s">
        <v>1407</v>
      </c>
      <c r="G9199" s="10" t="s">
        <v>75</v>
      </c>
      <c r="H9199" s="9" t="s">
        <v>22</v>
      </c>
      <c r="I9199" s="9" t="s">
        <v>19665</v>
      </c>
      <c r="J9199" s="10" t="str">
        <f>HYPERLINK("https://www.boe.es/gazeta/dias/1834/11/03/pdfs/GMD-1834-262.pdf#page=4","Abrir facsímil")</f>
        <v>Abrir facsímil</v>
      </c>
      <c r="K9199" s="10" t="s">
        <v>24</v>
      </c>
    </row>
    <row r="9200" spans="1:11" ht="54" customHeight="1">
      <c r="A9200" s="9" t="s">
        <v>19663</v>
      </c>
      <c r="B9200" s="9" t="s">
        <v>19663</v>
      </c>
      <c r="C9200" s="9" t="s">
        <v>17</v>
      </c>
      <c r="D9200" s="9" t="s">
        <v>18</v>
      </c>
      <c r="E9200" s="10" t="s">
        <v>506</v>
      </c>
      <c r="F9200" s="9" t="s">
        <v>507</v>
      </c>
      <c r="G9200" s="10" t="s">
        <v>28</v>
      </c>
      <c r="H9200" s="9" t="s">
        <v>22</v>
      </c>
      <c r="I9200" s="9" t="s">
        <v>19666</v>
      </c>
      <c r="J9200" s="10" t="str">
        <f>HYPERLINK("https://www.boe.es/gazeta/dias/1834/03/04/pdfs/GMD-1834-28.pdf#page=5","Abrir facsímil")</f>
        <v>Abrir facsímil</v>
      </c>
      <c r="K9200" s="10" t="s">
        <v>24</v>
      </c>
    </row>
    <row r="9201" spans="1:11" ht="54" customHeight="1">
      <c r="A9201" s="9" t="s">
        <v>19663</v>
      </c>
      <c r="B9201" s="9" t="s">
        <v>19663</v>
      </c>
      <c r="C9201" s="9" t="s">
        <v>66</v>
      </c>
      <c r="D9201" s="9" t="s">
        <v>67</v>
      </c>
      <c r="E9201" s="10" t="s">
        <v>696</v>
      </c>
      <c r="F9201" s="9" t="s">
        <v>854</v>
      </c>
      <c r="G9201" s="10" t="s">
        <v>21</v>
      </c>
      <c r="H9201" s="9" t="s">
        <v>22</v>
      </c>
      <c r="I9201" s="9" t="s">
        <v>19667</v>
      </c>
      <c r="J9201" s="10" t="str">
        <f>HYPERLINK("https://www.boe.es/gazeta/dias/1834/12/06/pdfs/GMD-1834-295.pdf#page=3","Abrir facsímil")</f>
        <v>Abrir facsímil</v>
      </c>
      <c r="K9201" s="10" t="s">
        <v>24</v>
      </c>
    </row>
    <row r="9202" spans="1:11" ht="54" customHeight="1">
      <c r="A9202" s="9" t="s">
        <v>19663</v>
      </c>
      <c r="B9202" s="9" t="s">
        <v>19663</v>
      </c>
      <c r="C9202" s="9" t="s">
        <v>66</v>
      </c>
      <c r="D9202" s="9" t="s">
        <v>67</v>
      </c>
      <c r="E9202" s="10" t="s">
        <v>438</v>
      </c>
      <c r="F9202" s="9" t="s">
        <v>439</v>
      </c>
      <c r="G9202" s="10" t="s">
        <v>75</v>
      </c>
      <c r="H9202" s="9" t="s">
        <v>22</v>
      </c>
      <c r="I9202" s="9" t="s">
        <v>19668</v>
      </c>
      <c r="J9202" s="10" t="str">
        <f>HYPERLINK("https://www.boe.es/gazeta/dias/1834/11/09/pdfs/GMD-1834-268.pdf#page=4","Abrir facsímil")</f>
        <v>Abrir facsímil</v>
      </c>
      <c r="K9202" s="10" t="s">
        <v>24</v>
      </c>
    </row>
    <row r="9203" spans="1:11" ht="54" customHeight="1">
      <c r="A9203" s="9" t="s">
        <v>19663</v>
      </c>
      <c r="B9203" s="9" t="s">
        <v>19663</v>
      </c>
      <c r="C9203" s="9" t="s">
        <v>17</v>
      </c>
      <c r="D9203" s="9" t="s">
        <v>18</v>
      </c>
      <c r="E9203" s="10" t="s">
        <v>785</v>
      </c>
      <c r="F9203" s="9" t="s">
        <v>786</v>
      </c>
      <c r="G9203" s="10" t="s">
        <v>75</v>
      </c>
      <c r="H9203" s="9" t="s">
        <v>22</v>
      </c>
      <c r="I9203" s="9" t="s">
        <v>19669</v>
      </c>
      <c r="J9203" s="10" t="str">
        <f>HYPERLINK("https://www.boe.es/gazeta/dias/1834/02/11/pdfs/GMD-1834-19.pdf#page=4","Abrir facsímil")</f>
        <v>Abrir facsímil</v>
      </c>
      <c r="K9203" s="10" t="s">
        <v>24</v>
      </c>
    </row>
    <row r="9204" spans="1:11" ht="54" customHeight="1">
      <c r="A9204" s="9" t="s">
        <v>19663</v>
      </c>
      <c r="B9204" s="9" t="s">
        <v>19663</v>
      </c>
      <c r="C9204" s="9" t="s">
        <v>17</v>
      </c>
      <c r="D9204" s="9" t="s">
        <v>18</v>
      </c>
      <c r="E9204" s="10" t="s">
        <v>1113</v>
      </c>
      <c r="F9204" s="9" t="s">
        <v>1114</v>
      </c>
      <c r="G9204" s="10" t="s">
        <v>75</v>
      </c>
      <c r="H9204" s="9" t="s">
        <v>22</v>
      </c>
      <c r="I9204" s="9" t="s">
        <v>19670</v>
      </c>
      <c r="J9204" s="10" t="str">
        <f>HYPERLINK("https://www.boe.es/gazeta/dias/1834/04/14/pdfs/GMD-1834-53.pdf#page=4","Abrir facsímil")</f>
        <v>Abrir facsímil</v>
      </c>
      <c r="K9204" s="10" t="s">
        <v>24</v>
      </c>
    </row>
    <row r="9205" spans="1:11" ht="54" customHeight="1">
      <c r="A9205" s="9" t="s">
        <v>19663</v>
      </c>
      <c r="B9205" s="9" t="s">
        <v>19663</v>
      </c>
      <c r="C9205" s="9" t="s">
        <v>66</v>
      </c>
      <c r="D9205" s="9" t="s">
        <v>67</v>
      </c>
      <c r="E9205" s="10" t="s">
        <v>448</v>
      </c>
      <c r="F9205" s="9" t="s">
        <v>2058</v>
      </c>
      <c r="G9205" s="10" t="s">
        <v>86</v>
      </c>
      <c r="H9205" s="9" t="s">
        <v>22</v>
      </c>
      <c r="I9205" s="9" t="s">
        <v>19671</v>
      </c>
      <c r="J9205" s="10" t="str">
        <f>HYPERLINK("https://www.boe.es/gazeta/dias/1834/10/14/pdfs/GMD-1834-242.pdf#page=2","Abrir facsímil")</f>
        <v>Abrir facsímil</v>
      </c>
      <c r="K9205" s="10" t="s">
        <v>24</v>
      </c>
    </row>
    <row r="9206" spans="1:11" ht="54" customHeight="1">
      <c r="A9206" s="9" t="s">
        <v>19663</v>
      </c>
      <c r="B9206" s="9" t="s">
        <v>19663</v>
      </c>
      <c r="C9206" s="9" t="s">
        <v>66</v>
      </c>
      <c r="D9206" s="9" t="s">
        <v>67</v>
      </c>
      <c r="E9206" s="10" t="s">
        <v>1234</v>
      </c>
      <c r="F9206" s="9" t="s">
        <v>1455</v>
      </c>
      <c r="G9206" s="10" t="s">
        <v>75</v>
      </c>
      <c r="H9206" s="9" t="s">
        <v>22</v>
      </c>
      <c r="I9206" s="9" t="s">
        <v>19672</v>
      </c>
      <c r="J9206" s="10" t="str">
        <f>HYPERLINK("https://www.boe.es/gazeta/dias/1834/05/15/pdfs/GMD-1834-84.pdf#page=4","Abrir facsímil")</f>
        <v>Abrir facsímil</v>
      </c>
      <c r="K9206" s="10" t="s">
        <v>24</v>
      </c>
    </row>
    <row r="9207" spans="1:11" ht="54" customHeight="1">
      <c r="A9207" s="9" t="s">
        <v>19663</v>
      </c>
      <c r="B9207" s="9" t="s">
        <v>19663</v>
      </c>
      <c r="C9207" s="9" t="s">
        <v>66</v>
      </c>
      <c r="D9207" s="9" t="s">
        <v>67</v>
      </c>
      <c r="E9207" s="10" t="s">
        <v>10172</v>
      </c>
      <c r="F9207" s="9" t="s">
        <v>10173</v>
      </c>
      <c r="G9207" s="10" t="s">
        <v>75</v>
      </c>
      <c r="H9207" s="9" t="s">
        <v>22</v>
      </c>
      <c r="I9207" s="9" t="s">
        <v>19673</v>
      </c>
      <c r="J9207" s="10" t="str">
        <f>HYPERLINK("https://www.boe.es/gazeta/dias/1834/06/15/pdfs/GMD-1834-118.pdf#page=4","Abrir facsímil")</f>
        <v>Abrir facsímil</v>
      </c>
      <c r="K9207" s="10" t="s">
        <v>24</v>
      </c>
    </row>
    <row r="9208" spans="1:11" ht="54" customHeight="1">
      <c r="A9208" s="9" t="s">
        <v>19663</v>
      </c>
      <c r="B9208" s="9" t="s">
        <v>19663</v>
      </c>
      <c r="C9208" s="9" t="s">
        <v>17</v>
      </c>
      <c r="D9208" s="9" t="s">
        <v>18</v>
      </c>
      <c r="E9208" s="10" t="s">
        <v>1394</v>
      </c>
      <c r="F9208" s="9" t="s">
        <v>2923</v>
      </c>
      <c r="G9208" s="10" t="s">
        <v>86</v>
      </c>
      <c r="H9208" s="9" t="s">
        <v>22</v>
      </c>
      <c r="I9208" s="9" t="s">
        <v>19674</v>
      </c>
      <c r="J9208" s="10" t="str">
        <f>HYPERLINK("https://www.boe.es/gazeta/dias/1834/04/16/pdfs/GMD-C-1834-55.pdf#page=2","Abrir facsímil")</f>
        <v>Abrir facsímil</v>
      </c>
      <c r="K9208" s="10" t="s">
        <v>24</v>
      </c>
    </row>
    <row r="9209" spans="1:11" ht="54" customHeight="1">
      <c r="A9209" s="9" t="s">
        <v>19663</v>
      </c>
      <c r="B9209" s="9" t="s">
        <v>19663</v>
      </c>
      <c r="C9209" s="9" t="s">
        <v>17</v>
      </c>
      <c r="D9209" s="9" t="s">
        <v>18</v>
      </c>
      <c r="E9209" s="10" t="s">
        <v>663</v>
      </c>
      <c r="F9209" s="9" t="s">
        <v>664</v>
      </c>
      <c r="G9209" s="10" t="s">
        <v>21</v>
      </c>
      <c r="H9209" s="9" t="s">
        <v>22</v>
      </c>
      <c r="I9209" s="9" t="s">
        <v>19675</v>
      </c>
      <c r="J9209" s="10" t="str">
        <f>HYPERLINK("https://www.boe.es/gazeta/dias/1834/07/16/pdfs/GMD-1834-149.pdf#page=3","Abrir facsímil")</f>
        <v>Abrir facsímil</v>
      </c>
      <c r="K9209" s="10" t="s">
        <v>24</v>
      </c>
    </row>
    <row r="9210" spans="1:11" ht="54" customHeight="1">
      <c r="A9210" s="9" t="s">
        <v>19663</v>
      </c>
      <c r="B9210" s="9" t="s">
        <v>19663</v>
      </c>
      <c r="C9210" s="9" t="s">
        <v>17</v>
      </c>
      <c r="D9210" s="9" t="s">
        <v>18</v>
      </c>
      <c r="E9210" s="10" t="s">
        <v>1125</v>
      </c>
      <c r="F9210" s="9" t="s">
        <v>2490</v>
      </c>
      <c r="G9210" s="10" t="s">
        <v>560</v>
      </c>
      <c r="H9210" s="9" t="s">
        <v>22</v>
      </c>
      <c r="I9210" s="9" t="s">
        <v>19676</v>
      </c>
      <c r="J9210" s="10" t="str">
        <f>HYPERLINK("https://www.boe.es/gazeta/dias/1834/04/17/pdfs/GMD-1834-56.pdf#page=7","Abrir facsímil")</f>
        <v>Abrir facsímil</v>
      </c>
      <c r="K9210" s="10" t="s">
        <v>24</v>
      </c>
    </row>
    <row r="9211" spans="1:11" ht="54" customHeight="1">
      <c r="A9211" s="9" t="s">
        <v>19663</v>
      </c>
      <c r="B9211" s="9" t="s">
        <v>19663</v>
      </c>
      <c r="C9211" s="9" t="s">
        <v>46</v>
      </c>
      <c r="D9211" s="9" t="s">
        <v>101</v>
      </c>
      <c r="E9211" s="10" t="s">
        <v>1125</v>
      </c>
      <c r="F9211" s="9" t="s">
        <v>1126</v>
      </c>
      <c r="G9211" s="10" t="s">
        <v>86</v>
      </c>
      <c r="H9211" s="9" t="s">
        <v>22</v>
      </c>
      <c r="I9211" s="9" t="s">
        <v>19677</v>
      </c>
      <c r="J9211" s="10" t="str">
        <f>HYPERLINK("https://www.boe.es/gazeta/dias/1834/04/17/pdfs/GMD-C-1834-56.pdf#page=2","Abrir facsímil")</f>
        <v>Abrir facsímil</v>
      </c>
      <c r="K9211" s="10" t="s">
        <v>24</v>
      </c>
    </row>
    <row r="9212" spans="1:11" ht="54" customHeight="1">
      <c r="A9212" s="9" t="s">
        <v>19678</v>
      </c>
      <c r="B9212" s="9" t="s">
        <v>19678</v>
      </c>
      <c r="C9212" s="9" t="s">
        <v>66</v>
      </c>
      <c r="D9212" s="9" t="s">
        <v>67</v>
      </c>
      <c r="E9212" s="10" t="s">
        <v>1850</v>
      </c>
      <c r="F9212" s="9" t="s">
        <v>1851</v>
      </c>
      <c r="G9212" s="10" t="s">
        <v>176</v>
      </c>
      <c r="H9212" s="9" t="s">
        <v>22</v>
      </c>
      <c r="I9212" s="9" t="s">
        <v>19679</v>
      </c>
      <c r="J9212" s="10" t="str">
        <f>HYPERLINK("https://www.boe.es/gazeta/dias/1834/02/18/pdfs/GMD-1834-22.pdf#page=6","Abrir facsímil")</f>
        <v>Abrir facsímil</v>
      </c>
      <c r="K9212" s="10" t="s">
        <v>24</v>
      </c>
    </row>
    <row r="9213" spans="1:11" ht="54" customHeight="1">
      <c r="A9213" s="9" t="s">
        <v>19663</v>
      </c>
      <c r="B9213" s="9" t="s">
        <v>19663</v>
      </c>
      <c r="C9213" s="9" t="s">
        <v>17</v>
      </c>
      <c r="D9213" s="9" t="s">
        <v>18</v>
      </c>
      <c r="E9213" s="10" t="s">
        <v>2287</v>
      </c>
      <c r="F9213" s="9" t="s">
        <v>4741</v>
      </c>
      <c r="G9213" s="10" t="s">
        <v>75</v>
      </c>
      <c r="H9213" s="9" t="s">
        <v>22</v>
      </c>
      <c r="I9213" s="9" t="s">
        <v>19680</v>
      </c>
      <c r="J9213" s="10" t="str">
        <f>HYPERLINK("https://www.boe.es/gazeta/dias/1834/12/18/pdfs/GMD-1834-308.pdf#page=4","Abrir facsímil")</f>
        <v>Abrir facsímil</v>
      </c>
      <c r="K9213" s="10" t="s">
        <v>24</v>
      </c>
    </row>
    <row r="9214" spans="1:11" ht="54" customHeight="1">
      <c r="A9214" s="9" t="s">
        <v>19678</v>
      </c>
      <c r="B9214" s="9" t="s">
        <v>19678</v>
      </c>
      <c r="C9214" s="9" t="s">
        <v>17</v>
      </c>
      <c r="D9214" s="9" t="s">
        <v>18</v>
      </c>
      <c r="E9214" s="10" t="s">
        <v>367</v>
      </c>
      <c r="F9214" s="9" t="s">
        <v>368</v>
      </c>
      <c r="G9214" s="10" t="s">
        <v>75</v>
      </c>
      <c r="H9214" s="9" t="s">
        <v>22</v>
      </c>
      <c r="I9214" s="9" t="s">
        <v>19681</v>
      </c>
      <c r="J9214" s="10" t="str">
        <f>HYPERLINK("https://www.boe.es/gazeta/dias/1834/05/19/pdfs/GMD-1834-88.pdf#page=4","Abrir facsímil")</f>
        <v>Abrir facsímil</v>
      </c>
      <c r="K9214" s="10" t="s">
        <v>24</v>
      </c>
    </row>
    <row r="9215" spans="1:11" ht="54" customHeight="1">
      <c r="A9215" s="9" t="s">
        <v>19663</v>
      </c>
      <c r="B9215" s="9" t="s">
        <v>19663</v>
      </c>
      <c r="C9215" s="9" t="s">
        <v>17</v>
      </c>
      <c r="D9215" s="9" t="s">
        <v>18</v>
      </c>
      <c r="E9215" s="10" t="s">
        <v>217</v>
      </c>
      <c r="F9215" s="9" t="s">
        <v>218</v>
      </c>
      <c r="G9215" s="10" t="s">
        <v>75</v>
      </c>
      <c r="H9215" s="9" t="s">
        <v>22</v>
      </c>
      <c r="I9215" s="9" t="s">
        <v>19682</v>
      </c>
      <c r="J9215" s="10" t="str">
        <f>HYPERLINK("https://www.boe.es/gazeta/dias/1834/04/20/pdfs/GMD-1834-59.pdf#page=4","Abrir facsímil")</f>
        <v>Abrir facsímil</v>
      </c>
      <c r="K9215" s="10" t="s">
        <v>24</v>
      </c>
    </row>
    <row r="9216" spans="1:11" ht="54" customHeight="1">
      <c r="A9216" s="9" t="s">
        <v>19663</v>
      </c>
      <c r="B9216" s="9" t="s">
        <v>19663</v>
      </c>
      <c r="C9216" s="9" t="s">
        <v>17</v>
      </c>
      <c r="D9216" s="9" t="s">
        <v>40</v>
      </c>
      <c r="E9216" s="10" t="s">
        <v>1212</v>
      </c>
      <c r="F9216" s="9" t="s">
        <v>1213</v>
      </c>
      <c r="G9216" s="10" t="s">
        <v>75</v>
      </c>
      <c r="H9216" s="9" t="s">
        <v>22</v>
      </c>
      <c r="I9216" s="9" t="s">
        <v>19683</v>
      </c>
      <c r="J9216" s="10" t="str">
        <f>HYPERLINK("https://www.boe.es/gazeta/dias/1834/05/24/pdfs/GMD-1834-93.pdf#page=4","Abrir facsímil")</f>
        <v>Abrir facsímil</v>
      </c>
      <c r="K9216" s="10" t="s">
        <v>24</v>
      </c>
    </row>
    <row r="9217" spans="1:11" ht="54" customHeight="1">
      <c r="A9217" s="9" t="s">
        <v>19663</v>
      </c>
      <c r="B9217" s="9" t="s">
        <v>19663</v>
      </c>
      <c r="C9217" s="9" t="s">
        <v>17</v>
      </c>
      <c r="D9217" s="9" t="s">
        <v>18</v>
      </c>
      <c r="E9217" s="10" t="s">
        <v>1575</v>
      </c>
      <c r="F9217" s="9" t="s">
        <v>1576</v>
      </c>
      <c r="G9217" s="10" t="s">
        <v>75</v>
      </c>
      <c r="H9217" s="9" t="s">
        <v>22</v>
      </c>
      <c r="I9217" s="9" t="s">
        <v>19684</v>
      </c>
      <c r="J9217" s="10" t="str">
        <f>HYPERLINK("https://www.boe.es/gazeta/dias/1834/11/24/pdfs/GMD-1834-283.pdf#page=4","Abrir facsímil")</f>
        <v>Abrir facsímil</v>
      </c>
      <c r="K9217" s="10" t="s">
        <v>24</v>
      </c>
    </row>
    <row r="9218" spans="1:11" ht="54" customHeight="1">
      <c r="A9218" s="9" t="s">
        <v>19663</v>
      </c>
      <c r="B9218" s="9" t="s">
        <v>19663</v>
      </c>
      <c r="C9218" s="9" t="s">
        <v>17</v>
      </c>
      <c r="D9218" s="9" t="s">
        <v>18</v>
      </c>
      <c r="E9218" s="10" t="s">
        <v>739</v>
      </c>
      <c r="F9218" s="9" t="s">
        <v>740</v>
      </c>
      <c r="G9218" s="10" t="s">
        <v>75</v>
      </c>
      <c r="H9218" s="9" t="s">
        <v>22</v>
      </c>
      <c r="I9218" s="9" t="s">
        <v>19685</v>
      </c>
      <c r="J9218" s="10" t="str">
        <f>HYPERLINK("https://www.boe.es/gazeta/dias/1834/03/25/pdfs/GMD-1834-37.pdf#page=4","Abrir facsímil")</f>
        <v>Abrir facsímil</v>
      </c>
      <c r="K9218" s="10" t="s">
        <v>24</v>
      </c>
    </row>
    <row r="9219" spans="1:11" ht="54" customHeight="1">
      <c r="A9219" s="9" t="s">
        <v>19663</v>
      </c>
      <c r="B9219" s="9" t="s">
        <v>19663</v>
      </c>
      <c r="C9219" s="9" t="s">
        <v>17</v>
      </c>
      <c r="D9219" s="9" t="s">
        <v>18</v>
      </c>
      <c r="E9219" s="10" t="s">
        <v>1641</v>
      </c>
      <c r="F9219" s="9" t="s">
        <v>1729</v>
      </c>
      <c r="G9219" s="10" t="s">
        <v>21</v>
      </c>
      <c r="H9219" s="9" t="s">
        <v>22</v>
      </c>
      <c r="I9219" s="9" t="s">
        <v>19686</v>
      </c>
      <c r="J9219" s="10" t="str">
        <f>HYPERLINK("https://www.boe.es/gazeta/dias/1834/09/28/pdfs/GMD-1834-226.pdf#page=3","Abrir facsímil")</f>
        <v>Abrir facsímil</v>
      </c>
      <c r="K9219" s="10" t="s">
        <v>24</v>
      </c>
    </row>
    <row r="9220" spans="1:11" ht="54" customHeight="1">
      <c r="A9220" s="9" t="s">
        <v>19663</v>
      </c>
      <c r="B9220" s="9" t="s">
        <v>19663</v>
      </c>
      <c r="C9220" s="9" t="s">
        <v>66</v>
      </c>
      <c r="D9220" s="9" t="s">
        <v>67</v>
      </c>
      <c r="E9220" s="10" t="s">
        <v>187</v>
      </c>
      <c r="F9220" s="9" t="s">
        <v>188</v>
      </c>
      <c r="G9220" s="10" t="s">
        <v>21</v>
      </c>
      <c r="H9220" s="9" t="s">
        <v>22</v>
      </c>
      <c r="I9220" s="9" t="s">
        <v>19687</v>
      </c>
      <c r="J9220" s="10" t="str">
        <f>HYPERLINK("https://www.boe.es/gazeta/dias/1834/09/30/pdfs/GMD-1834-228.pdf#page=3","Abrir facsímil")</f>
        <v>Abrir facsímil</v>
      </c>
      <c r="K9220" s="10" t="s">
        <v>24</v>
      </c>
    </row>
    <row r="9221" spans="1:11" ht="54" customHeight="1">
      <c r="A9221" s="9" t="s">
        <v>19688</v>
      </c>
      <c r="B9221" s="9" t="s">
        <v>19689</v>
      </c>
      <c r="C9221" s="9" t="s">
        <v>17</v>
      </c>
      <c r="D9221" s="9" t="s">
        <v>18</v>
      </c>
      <c r="E9221" s="10" t="s">
        <v>2287</v>
      </c>
      <c r="F9221" s="9" t="s">
        <v>4741</v>
      </c>
      <c r="G9221" s="10" t="s">
        <v>75</v>
      </c>
      <c r="H9221" s="9" t="s">
        <v>35</v>
      </c>
      <c r="I9221" s="9" t="s">
        <v>19690</v>
      </c>
      <c r="J9221" s="10" t="str">
        <f>HYPERLINK("https://www.boe.es/gazeta/dias/1834/12/18/pdfs/GMD-1834-308.pdf#page=4","Abrir facsímil")</f>
        <v>Abrir facsímil</v>
      </c>
      <c r="K9221" s="10" t="s">
        <v>37</v>
      </c>
    </row>
    <row r="9222" spans="1:11" ht="54" customHeight="1">
      <c r="A9222" s="9" t="s">
        <v>19688</v>
      </c>
      <c r="B9222" s="9" t="s">
        <v>19689</v>
      </c>
      <c r="C9222" s="9" t="s">
        <v>66</v>
      </c>
      <c r="D9222" s="9" t="s">
        <v>18</v>
      </c>
      <c r="E9222" s="10" t="s">
        <v>1669</v>
      </c>
      <c r="F9222" s="9" t="s">
        <v>1670</v>
      </c>
      <c r="G9222" s="10" t="s">
        <v>21</v>
      </c>
      <c r="H9222" s="9" t="s">
        <v>35</v>
      </c>
      <c r="I9222" s="9" t="s">
        <v>19691</v>
      </c>
      <c r="J9222" s="10" t="str">
        <f>HYPERLINK("https://www.boe.es/gazeta/dias/1834/06/19/pdfs/GMD-1834-122.pdf#page=3","Abrir facsímil")</f>
        <v>Abrir facsímil</v>
      </c>
      <c r="K9222" s="10" t="s">
        <v>37</v>
      </c>
    </row>
    <row r="9223" spans="1:11" ht="54" customHeight="1">
      <c r="A9223" s="9" t="s">
        <v>19692</v>
      </c>
      <c r="B9223" s="9" t="s">
        <v>19693</v>
      </c>
      <c r="C9223" s="9" t="s">
        <v>17</v>
      </c>
      <c r="D9223" s="9" t="s">
        <v>18</v>
      </c>
      <c r="E9223" s="10" t="s">
        <v>462</v>
      </c>
      <c r="F9223" s="9" t="s">
        <v>2110</v>
      </c>
      <c r="G9223" s="10" t="s">
        <v>21</v>
      </c>
      <c r="H9223" s="9" t="s">
        <v>35</v>
      </c>
      <c r="I9223" s="9" t="s">
        <v>19694</v>
      </c>
      <c r="J9223" s="10" t="str">
        <f>HYPERLINK("https://www.boe.es/gazeta/dias/1834/08/27/pdfs/GMD-1834-193.pdf#page=3","Abrir facsímil")</f>
        <v>Abrir facsímil</v>
      </c>
      <c r="K9223" s="10" t="s">
        <v>37</v>
      </c>
    </row>
    <row r="9224" spans="1:11" ht="54" customHeight="1">
      <c r="A9224" s="9" t="s">
        <v>19695</v>
      </c>
      <c r="B9224" s="9" t="s">
        <v>19696</v>
      </c>
      <c r="C9224" s="9" t="s">
        <v>17</v>
      </c>
      <c r="D9224" s="9" t="s">
        <v>18</v>
      </c>
      <c r="E9224" s="10" t="s">
        <v>2287</v>
      </c>
      <c r="F9224" s="9" t="s">
        <v>4741</v>
      </c>
      <c r="G9224" s="10" t="s">
        <v>75</v>
      </c>
      <c r="H9224" s="9" t="s">
        <v>22</v>
      </c>
      <c r="I9224" s="9" t="s">
        <v>19697</v>
      </c>
      <c r="J9224" s="10" t="str">
        <f>HYPERLINK("https://www.boe.es/gazeta/dias/1834/12/18/pdfs/GMD-1834-308.pdf#page=4","Abrir facsímil")</f>
        <v>Abrir facsímil</v>
      </c>
      <c r="K9224" s="10" t="s">
        <v>24</v>
      </c>
    </row>
    <row r="9225" spans="1:11" ht="54" customHeight="1">
      <c r="A9225" s="9" t="s">
        <v>19695</v>
      </c>
      <c r="B9225" s="9" t="s">
        <v>19696</v>
      </c>
      <c r="C9225" s="9" t="s">
        <v>66</v>
      </c>
      <c r="D9225" s="9" t="s">
        <v>18</v>
      </c>
      <c r="E9225" s="10" t="s">
        <v>1669</v>
      </c>
      <c r="F9225" s="9" t="s">
        <v>1670</v>
      </c>
      <c r="G9225" s="10" t="s">
        <v>21</v>
      </c>
      <c r="H9225" s="9" t="s">
        <v>22</v>
      </c>
      <c r="I9225" s="9" t="s">
        <v>19698</v>
      </c>
      <c r="J9225" s="10" t="str">
        <f>HYPERLINK("https://www.boe.es/gazeta/dias/1834/06/19/pdfs/GMD-1834-122.pdf#page=3","Abrir facsímil")</f>
        <v>Abrir facsímil</v>
      </c>
      <c r="K9225" s="10" t="s">
        <v>24</v>
      </c>
    </row>
    <row r="9226" spans="1:11" ht="54" customHeight="1">
      <c r="A9226" s="9" t="s">
        <v>19699</v>
      </c>
      <c r="B9226" s="9" t="s">
        <v>19700</v>
      </c>
      <c r="C9226" s="9" t="s">
        <v>17</v>
      </c>
      <c r="D9226" s="9" t="s">
        <v>18</v>
      </c>
      <c r="E9226" s="10" t="s">
        <v>378</v>
      </c>
      <c r="F9226" s="9" t="s">
        <v>379</v>
      </c>
      <c r="G9226" s="10" t="s">
        <v>21</v>
      </c>
      <c r="H9226" s="9" t="s">
        <v>22</v>
      </c>
      <c r="I9226" s="9" t="s">
        <v>19701</v>
      </c>
      <c r="J9226" s="10" t="str">
        <f>HYPERLINK("https://www.boe.es/gazeta/dias/1834/09/24/pdfs/GMD-1834-222.pdf#page=3","Abrir facsímil")</f>
        <v>Abrir facsímil</v>
      </c>
      <c r="K9226" s="10" t="s">
        <v>24</v>
      </c>
    </row>
    <row r="9227" spans="1:11" ht="54" customHeight="1">
      <c r="A9227" s="9" t="s">
        <v>19702</v>
      </c>
      <c r="B9227" s="9" t="s">
        <v>19703</v>
      </c>
      <c r="C9227" s="9" t="s">
        <v>17</v>
      </c>
      <c r="D9227" s="9" t="s">
        <v>18</v>
      </c>
      <c r="E9227" s="10" t="s">
        <v>462</v>
      </c>
      <c r="F9227" s="9" t="s">
        <v>2110</v>
      </c>
      <c r="G9227" s="10" t="s">
        <v>21</v>
      </c>
      <c r="H9227" s="9" t="s">
        <v>22</v>
      </c>
      <c r="I9227" s="9" t="s">
        <v>19704</v>
      </c>
      <c r="J9227" s="10" t="str">
        <f>HYPERLINK("https://www.boe.es/gazeta/dias/1834/08/27/pdfs/GMD-1834-193.pdf#page=3","Abrir facsímil")</f>
        <v>Abrir facsímil</v>
      </c>
      <c r="K9227" s="10" t="s">
        <v>24</v>
      </c>
    </row>
    <row r="9228" spans="1:11" ht="54" customHeight="1">
      <c r="A9228" s="9" t="s">
        <v>19702</v>
      </c>
      <c r="B9228" s="9" t="s">
        <v>19703</v>
      </c>
      <c r="C9228" s="9" t="s">
        <v>66</v>
      </c>
      <c r="D9228" s="9" t="s">
        <v>67</v>
      </c>
      <c r="E9228" s="10" t="s">
        <v>3499</v>
      </c>
      <c r="F9228" s="9" t="s">
        <v>3500</v>
      </c>
      <c r="G9228" s="10" t="s">
        <v>75</v>
      </c>
      <c r="H9228" s="9" t="s">
        <v>22</v>
      </c>
      <c r="I9228" s="9" t="s">
        <v>19705</v>
      </c>
      <c r="J9228" s="10" t="str">
        <f>HYPERLINK("https://www.boe.es/gazeta/dias/1834/01/28/pdfs/GMD-1834-13.pdf#page=4","Abrir facsímil")</f>
        <v>Abrir facsímil</v>
      </c>
      <c r="K9228" s="10" t="s">
        <v>24</v>
      </c>
    </row>
    <row r="9229" spans="1:11" ht="54" customHeight="1">
      <c r="A9229" s="9" t="s">
        <v>19706</v>
      </c>
      <c r="B9229" s="9" t="s">
        <v>19707</v>
      </c>
      <c r="C9229" s="9" t="s">
        <v>17</v>
      </c>
      <c r="D9229" s="9" t="s">
        <v>18</v>
      </c>
      <c r="E9229" s="10" t="s">
        <v>1641</v>
      </c>
      <c r="F9229" s="9" t="s">
        <v>1729</v>
      </c>
      <c r="G9229" s="10" t="s">
        <v>21</v>
      </c>
      <c r="H9229" s="9" t="s">
        <v>22</v>
      </c>
      <c r="I9229" s="9" t="s">
        <v>19708</v>
      </c>
      <c r="J9229" s="10" t="str">
        <f>HYPERLINK("https://www.boe.es/gazeta/dias/1834/09/28/pdfs/GMD-1834-226.pdf#page=3","Abrir facsímil")</f>
        <v>Abrir facsímil</v>
      </c>
      <c r="K9229" s="10" t="s">
        <v>24</v>
      </c>
    </row>
    <row r="9230" spans="1:11" ht="54" customHeight="1">
      <c r="A9230" s="9" t="s">
        <v>19709</v>
      </c>
      <c r="B9230" s="9" t="s">
        <v>19710</v>
      </c>
      <c r="C9230" s="9" t="s">
        <v>122</v>
      </c>
      <c r="D9230" s="9" t="s">
        <v>18</v>
      </c>
      <c r="E9230" s="10" t="s">
        <v>448</v>
      </c>
      <c r="F9230" s="9" t="s">
        <v>2058</v>
      </c>
      <c r="G9230" s="10" t="s">
        <v>75</v>
      </c>
      <c r="H9230" s="9" t="s">
        <v>35</v>
      </c>
      <c r="I9230" s="9" t="s">
        <v>19711</v>
      </c>
      <c r="J9230" s="10" t="str">
        <f>HYPERLINK("https://www.boe.es/gazeta/dias/1834/10/14/pdfs/GMD-1834-242.pdf#page=4","Abrir facsímil")</f>
        <v>Abrir facsímil</v>
      </c>
      <c r="K9230" s="10" t="s">
        <v>37</v>
      </c>
    </row>
    <row r="9231" spans="1:11" ht="54" customHeight="1">
      <c r="A9231" s="9" t="s">
        <v>19712</v>
      </c>
      <c r="B9231" s="9" t="s">
        <v>19713</v>
      </c>
      <c r="C9231" s="9" t="s">
        <v>122</v>
      </c>
      <c r="D9231" s="9" t="s">
        <v>18</v>
      </c>
      <c r="E9231" s="10" t="s">
        <v>448</v>
      </c>
      <c r="F9231" s="9" t="s">
        <v>2058</v>
      </c>
      <c r="G9231" s="10" t="s">
        <v>75</v>
      </c>
      <c r="H9231" s="9" t="s">
        <v>22</v>
      </c>
      <c r="I9231" s="9" t="s">
        <v>19714</v>
      </c>
      <c r="J9231" s="10" t="str">
        <f>HYPERLINK("https://www.boe.es/gazeta/dias/1834/10/14/pdfs/GMD-1834-242.pdf#page=4","Abrir facsímil")</f>
        <v>Abrir facsímil</v>
      </c>
      <c r="K9231" s="10" t="s">
        <v>24</v>
      </c>
    </row>
    <row r="9232" spans="1:11" ht="54" customHeight="1">
      <c r="A9232" s="9" t="s">
        <v>19715</v>
      </c>
      <c r="B9232" s="9" t="s">
        <v>19716</v>
      </c>
      <c r="C9232" s="9" t="s">
        <v>122</v>
      </c>
      <c r="D9232" s="9" t="s">
        <v>18</v>
      </c>
      <c r="E9232" s="10" t="s">
        <v>96</v>
      </c>
      <c r="F9232" s="9" t="s">
        <v>1725</v>
      </c>
      <c r="G9232" s="10" t="s">
        <v>75</v>
      </c>
      <c r="H9232" s="9" t="s">
        <v>22</v>
      </c>
      <c r="I9232" s="9" t="s">
        <v>19717</v>
      </c>
      <c r="J9232" s="10" t="str">
        <f>HYPERLINK("https://www.boe.es/gazeta/dias/1834/11/11/pdfs/GMD-1834-270.pdf#page=4","Abrir facsímil")</f>
        <v>Abrir facsímil</v>
      </c>
      <c r="K9232" s="10" t="s">
        <v>24</v>
      </c>
    </row>
    <row r="9233" spans="1:11" ht="54" customHeight="1">
      <c r="A9233" s="9" t="s">
        <v>19718</v>
      </c>
      <c r="B9233" s="9" t="s">
        <v>19719</v>
      </c>
      <c r="C9233" s="9" t="s">
        <v>17</v>
      </c>
      <c r="D9233" s="9" t="s">
        <v>18</v>
      </c>
      <c r="E9233" s="10" t="s">
        <v>454</v>
      </c>
      <c r="F9233" s="9" t="s">
        <v>2009</v>
      </c>
      <c r="G9233" s="10" t="s">
        <v>21</v>
      </c>
      <c r="H9233" s="9" t="s">
        <v>22</v>
      </c>
      <c r="I9233" s="9" t="s">
        <v>19720</v>
      </c>
      <c r="J9233" s="10" t="str">
        <f>HYPERLINK("https://www.boe.es/gazeta/dias/1834/10/16/pdfs/GMD-1834-244.pdf#page=3","Abrir facsímil")</f>
        <v>Abrir facsímil</v>
      </c>
      <c r="K9233" s="10" t="s">
        <v>24</v>
      </c>
    </row>
    <row r="9234" spans="1:11" ht="54" customHeight="1">
      <c r="A9234" s="9" t="s">
        <v>19721</v>
      </c>
      <c r="B9234" s="9" t="s">
        <v>19721</v>
      </c>
      <c r="C9234" s="9" t="s">
        <v>17</v>
      </c>
      <c r="D9234" s="9" t="s">
        <v>55</v>
      </c>
      <c r="E9234" s="10" t="s">
        <v>1789</v>
      </c>
      <c r="F9234" s="9" t="s">
        <v>1790</v>
      </c>
      <c r="G9234" s="10" t="s">
        <v>21</v>
      </c>
      <c r="H9234" s="9" t="s">
        <v>22</v>
      </c>
      <c r="I9234" s="9" t="s">
        <v>19722</v>
      </c>
      <c r="J9234" s="10" t="str">
        <f>HYPERLINK("https://www.boe.es/gazeta/dias/1834/05/31/pdfs/GMD-1834-100.pdf#page=3","Abrir facsímil")</f>
        <v>Abrir facsímil</v>
      </c>
      <c r="K9234" s="10" t="s">
        <v>24</v>
      </c>
    </row>
    <row r="9235" spans="1:11" ht="54" customHeight="1">
      <c r="A9235" s="9" t="s">
        <v>19723</v>
      </c>
      <c r="B9235" s="9" t="s">
        <v>19723</v>
      </c>
      <c r="C9235" s="9" t="s">
        <v>46</v>
      </c>
      <c r="D9235" s="9" t="s">
        <v>55</v>
      </c>
      <c r="E9235" s="10" t="s">
        <v>389</v>
      </c>
      <c r="F9235" s="9" t="s">
        <v>390</v>
      </c>
      <c r="G9235" s="10" t="s">
        <v>34</v>
      </c>
      <c r="H9235" s="9" t="s">
        <v>22</v>
      </c>
      <c r="I9235" s="9" t="s">
        <v>19724</v>
      </c>
      <c r="J9235" s="10" t="str">
        <f>HYPERLINK("https://www.boe.es/gazeta/dias/1834/10/25/pdfs/GMD-1834-253.pdf#page=1","Abrir facsímil")</f>
        <v>Abrir facsímil</v>
      </c>
      <c r="K9235" s="10" t="s">
        <v>24</v>
      </c>
    </row>
    <row r="9236" spans="1:11" ht="54" customHeight="1">
      <c r="A9236" s="9" t="s">
        <v>19725</v>
      </c>
      <c r="B9236" s="9" t="s">
        <v>19726</v>
      </c>
      <c r="C9236" s="9" t="s">
        <v>17</v>
      </c>
      <c r="D9236" s="9" t="s">
        <v>18</v>
      </c>
      <c r="E9236" s="10" t="s">
        <v>367</v>
      </c>
      <c r="F9236" s="9" t="s">
        <v>368</v>
      </c>
      <c r="G9236" s="10" t="s">
        <v>75</v>
      </c>
      <c r="H9236" s="9" t="s">
        <v>35</v>
      </c>
      <c r="I9236" s="9" t="s">
        <v>19727</v>
      </c>
      <c r="J9236" s="10" t="str">
        <f>HYPERLINK("https://www.boe.es/gazeta/dias/1834/05/19/pdfs/GMD-1834-88.pdf#page=4","Abrir facsímil")</f>
        <v>Abrir facsímil</v>
      </c>
      <c r="K9236" s="10" t="s">
        <v>37</v>
      </c>
    </row>
    <row r="9237" spans="1:11" ht="54" customHeight="1">
      <c r="A9237" s="9" t="s">
        <v>19728</v>
      </c>
      <c r="B9237" s="9" t="s">
        <v>19729</v>
      </c>
      <c r="C9237" s="9" t="s">
        <v>17</v>
      </c>
      <c r="D9237" s="9" t="s">
        <v>18</v>
      </c>
      <c r="E9237" s="10" t="s">
        <v>367</v>
      </c>
      <c r="F9237" s="9" t="s">
        <v>368</v>
      </c>
      <c r="G9237" s="10" t="s">
        <v>75</v>
      </c>
      <c r="H9237" s="9" t="s">
        <v>22</v>
      </c>
      <c r="I9237" s="9" t="s">
        <v>19730</v>
      </c>
      <c r="J9237" s="10" t="str">
        <f>HYPERLINK("https://www.boe.es/gazeta/dias/1834/05/19/pdfs/GMD-1834-88.pdf#page=4","Abrir facsímil")</f>
        <v>Abrir facsímil</v>
      </c>
      <c r="K9237" s="10" t="s">
        <v>24</v>
      </c>
    </row>
    <row r="9238" spans="1:11" ht="54" customHeight="1">
      <c r="A9238" s="9" t="s">
        <v>19731</v>
      </c>
      <c r="B9238" s="9" t="s">
        <v>19731</v>
      </c>
      <c r="C9238" s="9" t="s">
        <v>17</v>
      </c>
      <c r="D9238" s="9" t="s">
        <v>18</v>
      </c>
      <c r="E9238" s="10" t="s">
        <v>3036</v>
      </c>
      <c r="F9238" s="9" t="s">
        <v>3037</v>
      </c>
      <c r="G9238" s="10" t="s">
        <v>28</v>
      </c>
      <c r="H9238" s="9" t="s">
        <v>22</v>
      </c>
      <c r="I9238" s="9" t="s">
        <v>19732</v>
      </c>
      <c r="J9238" s="10" t="str">
        <f>HYPERLINK("https://www.boe.es/gazeta/dias/1834/11/18/pdfs/GMD-C-1834-277.pdf#page=5","Abrir facsímil")</f>
        <v>Abrir facsímil</v>
      </c>
      <c r="K9238" s="10" t="s">
        <v>24</v>
      </c>
    </row>
    <row r="9239" spans="1:11" ht="54" customHeight="1">
      <c r="A9239" s="9" t="s">
        <v>19733</v>
      </c>
      <c r="B9239" s="9" t="s">
        <v>19733</v>
      </c>
      <c r="C9239" s="9" t="s">
        <v>17</v>
      </c>
      <c r="D9239" s="9" t="s">
        <v>18</v>
      </c>
      <c r="E9239" s="10" t="s">
        <v>1337</v>
      </c>
      <c r="F9239" s="9" t="s">
        <v>1338</v>
      </c>
      <c r="G9239" s="10" t="s">
        <v>34</v>
      </c>
      <c r="H9239" s="9" t="s">
        <v>22</v>
      </c>
      <c r="I9239" s="9" t="s">
        <v>19734</v>
      </c>
      <c r="J9239" s="10" t="str">
        <f>HYPERLINK("https://www.boe.es/gazeta/dias/1834/01/02/pdfs/GMD-1834-1.pdf#page=1","Abrir facsímil")</f>
        <v>Abrir facsímil</v>
      </c>
      <c r="K9239" s="10" t="s">
        <v>24</v>
      </c>
    </row>
    <row r="9240" spans="1:11" ht="54" customHeight="1">
      <c r="A9240" s="9" t="s">
        <v>19735</v>
      </c>
      <c r="B9240" s="9" t="s">
        <v>19736</v>
      </c>
      <c r="C9240" s="9" t="s">
        <v>17</v>
      </c>
      <c r="D9240" s="9" t="s">
        <v>40</v>
      </c>
      <c r="E9240" s="10" t="s">
        <v>637</v>
      </c>
      <c r="F9240" s="9" t="s">
        <v>638</v>
      </c>
      <c r="G9240" s="10" t="s">
        <v>34</v>
      </c>
      <c r="H9240" s="9" t="s">
        <v>22</v>
      </c>
      <c r="I9240" s="9" t="s">
        <v>19737</v>
      </c>
      <c r="J9240" s="10" t="str">
        <f>HYPERLINK("https://www.boe.es/gazeta/dias/1834/06/03/pdfs/I00469-00470.pdf#page=1","Abrir facsímil")</f>
        <v>Abrir facsímil</v>
      </c>
      <c r="K9240" s="10" t="s">
        <v>24</v>
      </c>
    </row>
    <row r="9241" spans="1:11" ht="54" customHeight="1">
      <c r="A9241" s="9" t="s">
        <v>19735</v>
      </c>
      <c r="B9241" s="9" t="s">
        <v>19736</v>
      </c>
      <c r="C9241" s="9" t="s">
        <v>17</v>
      </c>
      <c r="D9241" s="9" t="s">
        <v>40</v>
      </c>
      <c r="E9241" s="10" t="s">
        <v>637</v>
      </c>
      <c r="F9241" s="9" t="s">
        <v>638</v>
      </c>
      <c r="G9241" s="10" t="s">
        <v>21</v>
      </c>
      <c r="H9241" s="9" t="s">
        <v>22</v>
      </c>
      <c r="I9241" s="9" t="s">
        <v>19738</v>
      </c>
      <c r="J9241" s="10" t="str">
        <f>HYPERLINK("https://www.boe.es/gazeta/dias/1834/06/03/pdfs/GMD-1834-105.pdf#page=3","Abrir facsímil")</f>
        <v>Abrir facsímil</v>
      </c>
      <c r="K9241" s="10" t="s">
        <v>24</v>
      </c>
    </row>
    <row r="9242" spans="1:11" ht="54" customHeight="1">
      <c r="A9242" s="9" t="s">
        <v>19739</v>
      </c>
      <c r="B9242" s="9" t="s">
        <v>19740</v>
      </c>
      <c r="C9242" s="9" t="s">
        <v>17</v>
      </c>
      <c r="D9242" s="9" t="s">
        <v>18</v>
      </c>
      <c r="E9242" s="10" t="s">
        <v>3025</v>
      </c>
      <c r="F9242" s="9" t="s">
        <v>3026</v>
      </c>
      <c r="G9242" s="10" t="s">
        <v>176</v>
      </c>
      <c r="H9242" s="9" t="s">
        <v>22</v>
      </c>
      <c r="I9242" s="9" t="s">
        <v>19741</v>
      </c>
      <c r="J9242" s="10" t="str">
        <f>HYPERLINK("https://www.boe.es/gazeta/dias/1834/05/25/pdfs/GMD-1834-94.pdf#page=6","Abrir facsímil")</f>
        <v>Abrir facsímil</v>
      </c>
      <c r="K9242" s="10" t="s">
        <v>24</v>
      </c>
    </row>
    <row r="9243" spans="1:11" ht="54" customHeight="1">
      <c r="A9243" s="9" t="s">
        <v>19742</v>
      </c>
      <c r="B9243" s="9" t="s">
        <v>19742</v>
      </c>
      <c r="C9243" s="9" t="s">
        <v>17</v>
      </c>
      <c r="D9243" s="9" t="s">
        <v>18</v>
      </c>
      <c r="E9243" s="10" t="s">
        <v>2748</v>
      </c>
      <c r="F9243" s="9" t="s">
        <v>2749</v>
      </c>
      <c r="G9243" s="10" t="s">
        <v>86</v>
      </c>
      <c r="H9243" s="9" t="s">
        <v>22</v>
      </c>
      <c r="I9243" s="9" t="s">
        <v>19743</v>
      </c>
      <c r="J9243" s="10" t="str">
        <f>HYPERLINK("https://www.boe.es/gazeta/dias/1834/01/09/pdfs/GMD-1834-5.pdf#page=2","Abrir facsímil")</f>
        <v>Abrir facsímil</v>
      </c>
      <c r="K9243" s="10" t="s">
        <v>24</v>
      </c>
    </row>
    <row r="9244" spans="1:11" ht="54" customHeight="1">
      <c r="A9244" s="9" t="s">
        <v>19744</v>
      </c>
      <c r="B9244" s="9" t="s">
        <v>19744</v>
      </c>
      <c r="C9244" s="9" t="s">
        <v>17</v>
      </c>
      <c r="D9244" s="9" t="s">
        <v>40</v>
      </c>
      <c r="E9244" s="10" t="s">
        <v>2278</v>
      </c>
      <c r="F9244" s="9" t="s">
        <v>2279</v>
      </c>
      <c r="G9244" s="10" t="s">
        <v>75</v>
      </c>
      <c r="H9244" s="9" t="s">
        <v>22</v>
      </c>
      <c r="I9244" s="9" t="s">
        <v>19745</v>
      </c>
      <c r="J9244" s="10" t="str">
        <f>HYPERLINK("https://www.boe.es/gazeta/dias/1834/12/17/pdfs/GMD-C-1834-306.pdf#page=4","Abrir facsímil")</f>
        <v>Abrir facsímil</v>
      </c>
      <c r="K9244" s="10" t="s">
        <v>24</v>
      </c>
    </row>
    <row r="9245" spans="1:11" ht="54" customHeight="1">
      <c r="A9245" s="9" t="s">
        <v>19746</v>
      </c>
      <c r="B9245" s="9" t="s">
        <v>19746</v>
      </c>
      <c r="C9245" s="9" t="s">
        <v>46</v>
      </c>
      <c r="D9245" s="9" t="s">
        <v>55</v>
      </c>
      <c r="E9245" s="10" t="s">
        <v>479</v>
      </c>
      <c r="F9245" s="9" t="s">
        <v>480</v>
      </c>
      <c r="G9245" s="10" t="s">
        <v>86</v>
      </c>
      <c r="H9245" s="9" t="s">
        <v>22</v>
      </c>
      <c r="I9245" s="9" t="s">
        <v>19747</v>
      </c>
      <c r="J9245" s="10" t="str">
        <f>HYPERLINK("https://www.boe.es/gazeta/dias/1834/08/13/pdfs/GMD-1834-178.pdf#page=2","Abrir facsímil")</f>
        <v>Abrir facsímil</v>
      </c>
      <c r="K9245" s="10" t="s">
        <v>24</v>
      </c>
    </row>
    <row r="9246" spans="1:11" ht="54" customHeight="1">
      <c r="A9246" s="9" t="s">
        <v>19746</v>
      </c>
      <c r="B9246" s="9" t="s">
        <v>19746</v>
      </c>
      <c r="C9246" s="9" t="s">
        <v>17</v>
      </c>
      <c r="D9246" s="9" t="s">
        <v>18</v>
      </c>
      <c r="E9246" s="10" t="s">
        <v>2398</v>
      </c>
      <c r="F9246" s="9" t="s">
        <v>2399</v>
      </c>
      <c r="G9246" s="10" t="s">
        <v>34</v>
      </c>
      <c r="H9246" s="9" t="s">
        <v>22</v>
      </c>
      <c r="I9246" s="9" t="s">
        <v>19748</v>
      </c>
      <c r="J9246" s="10" t="str">
        <f>HYPERLINK("https://www.boe.es/gazeta/dias/1834/01/16/pdfs/GMD-1834-8.pdf#page=1","Abrir facsímil")</f>
        <v>Abrir facsímil</v>
      </c>
      <c r="K9246" s="10" t="s">
        <v>24</v>
      </c>
    </row>
    <row r="9247" spans="1:11" ht="54" customHeight="1">
      <c r="A9247" s="9" t="s">
        <v>19749</v>
      </c>
      <c r="B9247" s="9" t="s">
        <v>19749</v>
      </c>
      <c r="C9247" s="9" t="s">
        <v>17</v>
      </c>
      <c r="D9247" s="9" t="s">
        <v>18</v>
      </c>
      <c r="E9247" s="10" t="s">
        <v>571</v>
      </c>
      <c r="F9247" s="9" t="s">
        <v>620</v>
      </c>
      <c r="G9247" s="10" t="s">
        <v>560</v>
      </c>
      <c r="H9247" s="9" t="s">
        <v>22</v>
      </c>
      <c r="I9247" s="9" t="s">
        <v>19750</v>
      </c>
      <c r="J9247" s="10" t="str">
        <f>HYPERLINK("https://www.boe.es/gazeta/dias/1834/09/04/pdfs/GMD-C-1834-202.pdf#page=7","Abrir facsímil")</f>
        <v>Abrir facsímil</v>
      </c>
      <c r="K9247" s="10" t="s">
        <v>24</v>
      </c>
    </row>
    <row r="9248" spans="1:11" ht="54" customHeight="1">
      <c r="A9248" s="9" t="s">
        <v>19751</v>
      </c>
      <c r="B9248" s="9" t="s">
        <v>19751</v>
      </c>
      <c r="C9248" s="9" t="s">
        <v>17</v>
      </c>
      <c r="D9248" s="9" t="s">
        <v>18</v>
      </c>
      <c r="E9248" s="10" t="s">
        <v>2098</v>
      </c>
      <c r="F9248" s="9" t="s">
        <v>2099</v>
      </c>
      <c r="G9248" s="10" t="s">
        <v>21</v>
      </c>
      <c r="H9248" s="9" t="s">
        <v>22</v>
      </c>
      <c r="I9248" s="9" t="s">
        <v>19752</v>
      </c>
      <c r="J9248" s="10" t="str">
        <f>HYPERLINK("https://www.boe.es/gazeta/dias/1834/08/11/pdfs/GMD-1834-176.pdf#page=3","Abrir facsímil")</f>
        <v>Abrir facsímil</v>
      </c>
      <c r="K9248" s="10" t="s">
        <v>24</v>
      </c>
    </row>
    <row r="9249" spans="1:11" ht="54" customHeight="1">
      <c r="A9249" s="9" t="s">
        <v>19749</v>
      </c>
      <c r="B9249" s="9" t="s">
        <v>19749</v>
      </c>
      <c r="C9249" s="9" t="s">
        <v>17</v>
      </c>
      <c r="D9249" s="9" t="s">
        <v>18</v>
      </c>
      <c r="E9249" s="10" t="s">
        <v>2098</v>
      </c>
      <c r="F9249" s="9" t="s">
        <v>5817</v>
      </c>
      <c r="G9249" s="10" t="s">
        <v>75</v>
      </c>
      <c r="H9249" s="9" t="s">
        <v>22</v>
      </c>
      <c r="I9249" s="9" t="s">
        <v>19753</v>
      </c>
      <c r="J9249" s="10" t="str">
        <f>HYPERLINK("https://www.boe.es/gazeta/dias/1834/08/11/pdfs/GMD-C-1834-176.pdf#page=4","Abrir facsímil")</f>
        <v>Abrir facsímil</v>
      </c>
      <c r="K9249" s="10" t="s">
        <v>24</v>
      </c>
    </row>
    <row r="9250" spans="1:11" ht="54" customHeight="1">
      <c r="A9250" s="9" t="s">
        <v>19749</v>
      </c>
      <c r="B9250" s="9" t="s">
        <v>19749</v>
      </c>
      <c r="C9250" s="9" t="s">
        <v>17</v>
      </c>
      <c r="D9250" s="9" t="s">
        <v>18</v>
      </c>
      <c r="E9250" s="10" t="s">
        <v>838</v>
      </c>
      <c r="F9250" s="9" t="s">
        <v>839</v>
      </c>
      <c r="G9250" s="10" t="s">
        <v>21</v>
      </c>
      <c r="H9250" s="9" t="s">
        <v>22</v>
      </c>
      <c r="I9250" s="9" t="s">
        <v>19754</v>
      </c>
      <c r="J9250" s="10" t="str">
        <f>HYPERLINK("https://www.boe.es/gazeta/dias/1834/07/18/pdfs/GMD-1834-151.pdf#page=3","Abrir facsímil")</f>
        <v>Abrir facsímil</v>
      </c>
      <c r="K9250" s="10" t="s">
        <v>24</v>
      </c>
    </row>
    <row r="9251" spans="1:11" ht="54" customHeight="1">
      <c r="A9251" s="9" t="s">
        <v>19749</v>
      </c>
      <c r="B9251" s="9" t="s">
        <v>19749</v>
      </c>
      <c r="C9251" s="9" t="s">
        <v>90</v>
      </c>
      <c r="D9251" s="9" t="s">
        <v>18</v>
      </c>
      <c r="E9251" s="10" t="s">
        <v>724</v>
      </c>
      <c r="F9251" s="9" t="s">
        <v>725</v>
      </c>
      <c r="G9251" s="10" t="s">
        <v>34</v>
      </c>
      <c r="H9251" s="9" t="s">
        <v>22</v>
      </c>
      <c r="I9251" s="9" t="s">
        <v>19755</v>
      </c>
      <c r="J9251" s="10" t="str">
        <f>HYPERLINK("https://www.boe.es/gazeta/dias/1834/04/25/pdfs/GMD-1834-64.pdf#page=1","Abrir facsímil")</f>
        <v>Abrir facsímil</v>
      </c>
      <c r="K9251" s="10" t="s">
        <v>24</v>
      </c>
    </row>
    <row r="9252" spans="1:11" ht="54" customHeight="1">
      <c r="A9252" s="9" t="s">
        <v>19756</v>
      </c>
      <c r="B9252" s="9" t="s">
        <v>19756</v>
      </c>
      <c r="C9252" s="9" t="s">
        <v>17</v>
      </c>
      <c r="D9252" s="9" t="s">
        <v>18</v>
      </c>
      <c r="E9252" s="10" t="s">
        <v>1025</v>
      </c>
      <c r="F9252" s="9" t="s">
        <v>1026</v>
      </c>
      <c r="G9252" s="10" t="s">
        <v>21</v>
      </c>
      <c r="H9252" s="9" t="s">
        <v>22</v>
      </c>
      <c r="I9252" s="9" t="s">
        <v>19757</v>
      </c>
      <c r="J9252" s="10" t="str">
        <f>HYPERLINK("https://www.boe.es/gazeta/dias/1834/03/01/pdfs/GMD-1834-27.pdf#page=3","Abrir facsímil")</f>
        <v>Abrir facsímil</v>
      </c>
      <c r="K9252" s="10" t="s">
        <v>24</v>
      </c>
    </row>
    <row r="9253" spans="1:11" ht="54" customHeight="1">
      <c r="A9253" s="9" t="s">
        <v>19756</v>
      </c>
      <c r="B9253" s="9" t="s">
        <v>19756</v>
      </c>
      <c r="C9253" s="9" t="s">
        <v>90</v>
      </c>
      <c r="D9253" s="9" t="s">
        <v>18</v>
      </c>
      <c r="E9253" s="10" t="s">
        <v>724</v>
      </c>
      <c r="F9253" s="9" t="s">
        <v>725</v>
      </c>
      <c r="G9253" s="10" t="s">
        <v>34</v>
      </c>
      <c r="H9253" s="9" t="s">
        <v>22</v>
      </c>
      <c r="I9253" s="9" t="s">
        <v>19758</v>
      </c>
      <c r="J9253" s="10" t="str">
        <f>HYPERLINK("https://www.boe.es/gazeta/dias/1834/04/25/pdfs/GMD-1834-64.pdf#page=1","Abrir facsímil")</f>
        <v>Abrir facsímil</v>
      </c>
      <c r="K9253" s="10" t="s">
        <v>24</v>
      </c>
    </row>
    <row r="9254" spans="1:11" ht="54" customHeight="1">
      <c r="A9254" s="9" t="s">
        <v>19756</v>
      </c>
      <c r="B9254" s="9" t="s">
        <v>19756</v>
      </c>
      <c r="C9254" s="9" t="s">
        <v>17</v>
      </c>
      <c r="D9254" s="9" t="s">
        <v>18</v>
      </c>
      <c r="E9254" s="10" t="s">
        <v>3025</v>
      </c>
      <c r="F9254" s="9" t="s">
        <v>3026</v>
      </c>
      <c r="G9254" s="10" t="s">
        <v>28</v>
      </c>
      <c r="H9254" s="9" t="s">
        <v>22</v>
      </c>
      <c r="I9254" s="9" t="s">
        <v>19759</v>
      </c>
      <c r="J9254" s="10" t="str">
        <f>HYPERLINK("https://www.boe.es/gazeta/dias/1834/05/25/pdfs/GMD-1834-94.pdf#page=5","Abrir facsímil")</f>
        <v>Abrir facsímil</v>
      </c>
      <c r="K9254" s="10" t="s">
        <v>24</v>
      </c>
    </row>
    <row r="9255" spans="1:11" ht="54" customHeight="1">
      <c r="A9255" s="9" t="s">
        <v>19760</v>
      </c>
      <c r="B9255" s="9" t="s">
        <v>19761</v>
      </c>
      <c r="C9255" s="9" t="s">
        <v>17</v>
      </c>
      <c r="D9255" s="9" t="s">
        <v>18</v>
      </c>
      <c r="E9255" s="10" t="s">
        <v>3025</v>
      </c>
      <c r="F9255" s="9" t="s">
        <v>3026</v>
      </c>
      <c r="G9255" s="10" t="s">
        <v>28</v>
      </c>
      <c r="H9255" s="9" t="s">
        <v>22</v>
      </c>
      <c r="I9255" s="9" t="s">
        <v>19762</v>
      </c>
      <c r="J9255" s="10" t="str">
        <f>HYPERLINK("https://www.boe.es/gazeta/dias/1834/05/25/pdfs/GMD-1834-94.pdf#page=5","Abrir facsímil")</f>
        <v>Abrir facsímil</v>
      </c>
      <c r="K9255" s="10" t="s">
        <v>24</v>
      </c>
    </row>
    <row r="9256" spans="1:11" ht="54" customHeight="1">
      <c r="A9256" s="9" t="s">
        <v>19763</v>
      </c>
      <c r="B9256" s="9" t="s">
        <v>19764</v>
      </c>
      <c r="C9256" s="9" t="s">
        <v>17</v>
      </c>
      <c r="D9256" s="9" t="s">
        <v>18</v>
      </c>
      <c r="E9256" s="10" t="s">
        <v>891</v>
      </c>
      <c r="F9256" s="9" t="s">
        <v>892</v>
      </c>
      <c r="G9256" s="10" t="s">
        <v>86</v>
      </c>
      <c r="H9256" s="9" t="s">
        <v>22</v>
      </c>
      <c r="I9256" s="9" t="s">
        <v>19765</v>
      </c>
      <c r="J9256" s="10" t="str">
        <f>HYPERLINK("https://www.boe.es/gazeta/dias/1834/10/31/pdfs/GMD-C-1834-259.pdf#page=2","Abrir facsímil")</f>
        <v>Abrir facsímil</v>
      </c>
      <c r="K9256" s="10" t="s">
        <v>24</v>
      </c>
    </row>
    <row r="9257" spans="1:11" ht="54" customHeight="1">
      <c r="A9257" s="9" t="s">
        <v>19766</v>
      </c>
      <c r="B9257" s="9" t="s">
        <v>19766</v>
      </c>
      <c r="C9257" s="9" t="s">
        <v>66</v>
      </c>
      <c r="D9257" s="9" t="s">
        <v>67</v>
      </c>
      <c r="E9257" s="10" t="s">
        <v>1517</v>
      </c>
      <c r="F9257" s="9" t="s">
        <v>1518</v>
      </c>
      <c r="G9257" s="10" t="s">
        <v>34</v>
      </c>
      <c r="H9257" s="9" t="s">
        <v>22</v>
      </c>
      <c r="I9257" s="9" t="s">
        <v>19767</v>
      </c>
      <c r="J9257" s="10" t="str">
        <f>HYPERLINK("https://www.boe.es/gazeta/dias/1834/05/18/pdfs/GMD-1834-87.pdf#page=1","Abrir facsímil")</f>
        <v>Abrir facsímil</v>
      </c>
      <c r="K9257" s="10" t="s">
        <v>24</v>
      </c>
    </row>
    <row r="9258" spans="1:11" ht="54" customHeight="1">
      <c r="A9258" s="9" t="s">
        <v>19768</v>
      </c>
      <c r="B9258" s="9" t="s">
        <v>19768</v>
      </c>
      <c r="C9258" s="9" t="s">
        <v>17</v>
      </c>
      <c r="D9258" s="9" t="s">
        <v>18</v>
      </c>
      <c r="E9258" s="10" t="s">
        <v>12114</v>
      </c>
      <c r="F9258" s="9" t="s">
        <v>12115</v>
      </c>
      <c r="G9258" s="10" t="s">
        <v>176</v>
      </c>
      <c r="H9258" s="9" t="s">
        <v>22</v>
      </c>
      <c r="I9258" s="9" t="s">
        <v>19769</v>
      </c>
      <c r="J9258" s="10" t="str">
        <f>HYPERLINK("https://www.boe.es/gazeta/dias/1834/04/08/pdfs/GMD-1834-47.pdf#page=6","Abrir facsímil")</f>
        <v>Abrir facsímil</v>
      </c>
      <c r="K9258" s="10" t="s">
        <v>24</v>
      </c>
    </row>
    <row r="9259" spans="1:11" ht="54" customHeight="1">
      <c r="A9259" s="9" t="s">
        <v>19770</v>
      </c>
      <c r="B9259" s="9" t="s">
        <v>19770</v>
      </c>
      <c r="C9259" s="9" t="s">
        <v>17</v>
      </c>
      <c r="D9259" s="9" t="s">
        <v>40</v>
      </c>
      <c r="E9259" s="10" t="s">
        <v>209</v>
      </c>
      <c r="F9259" s="9" t="s">
        <v>210</v>
      </c>
      <c r="G9259" s="10" t="s">
        <v>34</v>
      </c>
      <c r="H9259" s="9" t="s">
        <v>22</v>
      </c>
      <c r="I9259" s="9" t="s">
        <v>19771</v>
      </c>
      <c r="J9259" s="10" t="str">
        <f>HYPERLINK("https://www.boe.es/gazeta/dias/1834/07/01/pdfs/GMD-1834-134.pdf#page=1","Abrir facsímil")</f>
        <v>Abrir facsímil</v>
      </c>
      <c r="K9259" s="10" t="s">
        <v>24</v>
      </c>
    </row>
    <row r="9260" spans="1:11" ht="54" customHeight="1">
      <c r="A9260" s="9" t="s">
        <v>19770</v>
      </c>
      <c r="B9260" s="9" t="s">
        <v>19770</v>
      </c>
      <c r="C9260" s="9" t="s">
        <v>122</v>
      </c>
      <c r="D9260" s="9" t="s">
        <v>101</v>
      </c>
      <c r="E9260" s="10" t="s">
        <v>68</v>
      </c>
      <c r="F9260" s="9" t="s">
        <v>69</v>
      </c>
      <c r="G9260" s="10" t="s">
        <v>75</v>
      </c>
      <c r="H9260" s="9" t="s">
        <v>22</v>
      </c>
      <c r="I9260" s="9" t="s">
        <v>19772</v>
      </c>
      <c r="J9260" s="10" t="str">
        <f>HYPERLINK("https://www.boe.es/gazeta/dias/1834/11/01/pdfs/GMD-1834-260.pdf#page=4","Abrir facsímil")</f>
        <v>Abrir facsímil</v>
      </c>
      <c r="K9260" s="10" t="s">
        <v>24</v>
      </c>
    </row>
    <row r="9261" spans="1:11" ht="54" customHeight="1">
      <c r="A9261" s="9" t="s">
        <v>19770</v>
      </c>
      <c r="B9261" s="9" t="s">
        <v>19770</v>
      </c>
      <c r="C9261" s="9" t="s">
        <v>66</v>
      </c>
      <c r="D9261" s="9" t="s">
        <v>67</v>
      </c>
      <c r="E9261" s="10" t="s">
        <v>1337</v>
      </c>
      <c r="F9261" s="9" t="s">
        <v>1906</v>
      </c>
      <c r="G9261" s="10" t="s">
        <v>34</v>
      </c>
      <c r="H9261" s="9" t="s">
        <v>22</v>
      </c>
      <c r="I9261" s="9" t="s">
        <v>19773</v>
      </c>
      <c r="J9261" s="10" t="str">
        <f>HYPERLINK("https://www.boe.es/gazeta/dias/1834/01/02/pdfs/GMD-1834-2E.pdf#page=1","Abrir facsímil")</f>
        <v>Abrir facsímil</v>
      </c>
      <c r="K9261" s="10" t="s">
        <v>24</v>
      </c>
    </row>
    <row r="9262" spans="1:11" ht="54" customHeight="1">
      <c r="A9262" s="9" t="s">
        <v>19770</v>
      </c>
      <c r="B9262" s="9" t="s">
        <v>19770</v>
      </c>
      <c r="C9262" s="9" t="s">
        <v>17</v>
      </c>
      <c r="D9262" s="9" t="s">
        <v>18</v>
      </c>
      <c r="E9262" s="10" t="s">
        <v>690</v>
      </c>
      <c r="F9262" s="9" t="s">
        <v>5765</v>
      </c>
      <c r="G9262" s="10" t="s">
        <v>21</v>
      </c>
      <c r="H9262" s="9" t="s">
        <v>22</v>
      </c>
      <c r="I9262" s="9" t="s">
        <v>19774</v>
      </c>
      <c r="J9262" s="10" t="str">
        <f>HYPERLINK("https://www.boe.es/gazeta/dias/1834/09/03/pdfs/GMD-1834-201.pdf#page=3","Abrir facsímil")</f>
        <v>Abrir facsímil</v>
      </c>
      <c r="K9262" s="10" t="s">
        <v>24</v>
      </c>
    </row>
    <row r="9263" spans="1:11" ht="54" customHeight="1">
      <c r="A9263" s="9" t="s">
        <v>19770</v>
      </c>
      <c r="B9263" s="9" t="s">
        <v>19770</v>
      </c>
      <c r="C9263" s="9" t="s">
        <v>17</v>
      </c>
      <c r="D9263" s="9" t="s">
        <v>40</v>
      </c>
      <c r="E9263" s="10" t="s">
        <v>1862</v>
      </c>
      <c r="F9263" s="9" t="s">
        <v>1863</v>
      </c>
      <c r="G9263" s="10" t="s">
        <v>75</v>
      </c>
      <c r="H9263" s="9" t="s">
        <v>22</v>
      </c>
      <c r="I9263" s="9" t="s">
        <v>19775</v>
      </c>
      <c r="J9263" s="10" t="str">
        <f>HYPERLINK("https://www.boe.es/gazeta/dias/1834/02/04/pdfs/GMD-1834-16.pdf#page=4","Abrir facsímil")</f>
        <v>Abrir facsímil</v>
      </c>
      <c r="K9263" s="10" t="s">
        <v>24</v>
      </c>
    </row>
    <row r="9264" spans="1:11" ht="54" customHeight="1">
      <c r="A9264" s="9" t="s">
        <v>19770</v>
      </c>
      <c r="B9264" s="9" t="s">
        <v>19770</v>
      </c>
      <c r="C9264" s="9" t="s">
        <v>17</v>
      </c>
      <c r="D9264" s="9" t="s">
        <v>18</v>
      </c>
      <c r="E9264" s="10" t="s">
        <v>863</v>
      </c>
      <c r="F9264" s="9" t="s">
        <v>864</v>
      </c>
      <c r="G9264" s="10" t="s">
        <v>75</v>
      </c>
      <c r="H9264" s="9" t="s">
        <v>22</v>
      </c>
      <c r="I9264" s="9" t="s">
        <v>19776</v>
      </c>
      <c r="J9264" s="10" t="str">
        <f>HYPERLINK("https://www.boe.es/gazeta/dias/1834/09/15/pdfs/GMD-1834-213.pdf#page=4","Abrir facsímil")</f>
        <v>Abrir facsímil</v>
      </c>
      <c r="K9264" s="10" t="s">
        <v>24</v>
      </c>
    </row>
    <row r="9265" spans="1:11" ht="54" customHeight="1">
      <c r="A9265" s="9" t="s">
        <v>19770</v>
      </c>
      <c r="B9265" s="9" t="s">
        <v>19770</v>
      </c>
      <c r="C9265" s="9" t="s">
        <v>46</v>
      </c>
      <c r="D9265" s="9" t="s">
        <v>55</v>
      </c>
      <c r="E9265" s="10" t="s">
        <v>133</v>
      </c>
      <c r="F9265" s="9" t="s">
        <v>134</v>
      </c>
      <c r="G9265" s="10" t="s">
        <v>21</v>
      </c>
      <c r="H9265" s="9" t="s">
        <v>22</v>
      </c>
      <c r="I9265" s="9" t="s">
        <v>19777</v>
      </c>
      <c r="J9265" s="10" t="str">
        <f>HYPERLINK("https://www.boe.es/gazeta/dias/1834/06/18/pdfs/GMD-1834-121.pdf#page=3","Abrir facsímil")</f>
        <v>Abrir facsímil</v>
      </c>
      <c r="K9265" s="10" t="s">
        <v>24</v>
      </c>
    </row>
    <row r="9266" spans="1:11" ht="54" customHeight="1">
      <c r="A9266" s="9" t="s">
        <v>19770</v>
      </c>
      <c r="B9266" s="9" t="s">
        <v>19770</v>
      </c>
      <c r="C9266" s="9" t="s">
        <v>17</v>
      </c>
      <c r="D9266" s="9" t="s">
        <v>18</v>
      </c>
      <c r="E9266" s="10" t="s">
        <v>2287</v>
      </c>
      <c r="F9266" s="9" t="s">
        <v>2288</v>
      </c>
      <c r="G9266" s="10" t="s">
        <v>86</v>
      </c>
      <c r="H9266" s="9" t="s">
        <v>22</v>
      </c>
      <c r="I9266" s="9" t="s">
        <v>19778</v>
      </c>
      <c r="J9266" s="10" t="str">
        <f>HYPERLINK("https://www.boe.es/gazeta/dias/1834/12/18/pdfs/GMD-C-1834-308.pdf#page=2","Abrir facsímil")</f>
        <v>Abrir facsímil</v>
      </c>
      <c r="K9266" s="10" t="s">
        <v>24</v>
      </c>
    </row>
    <row r="9267" spans="1:11" ht="54" customHeight="1">
      <c r="A9267" s="9" t="s">
        <v>19770</v>
      </c>
      <c r="B9267" s="9" t="s">
        <v>19770</v>
      </c>
      <c r="C9267" s="9" t="s">
        <v>17</v>
      </c>
      <c r="D9267" s="9" t="s">
        <v>18</v>
      </c>
      <c r="E9267" s="10" t="s">
        <v>672</v>
      </c>
      <c r="F9267" s="9" t="s">
        <v>1055</v>
      </c>
      <c r="G9267" s="10" t="s">
        <v>2174</v>
      </c>
      <c r="H9267" s="9" t="s">
        <v>22</v>
      </c>
      <c r="I9267" s="9" t="s">
        <v>19779</v>
      </c>
      <c r="J9267" s="10" t="str">
        <f>HYPERLINK("https://www.boe.es/gazeta/dias/1834/09/19/pdfs/GMD-C-1834-217.pdf#page=10","Abrir facsímil")</f>
        <v>Abrir facsímil</v>
      </c>
      <c r="K9267" s="10" t="s">
        <v>24</v>
      </c>
    </row>
    <row r="9268" spans="1:11" ht="54" customHeight="1">
      <c r="A9268" s="9" t="s">
        <v>19770</v>
      </c>
      <c r="B9268" s="9" t="s">
        <v>19770</v>
      </c>
      <c r="C9268" s="9" t="s">
        <v>66</v>
      </c>
      <c r="D9268" s="9" t="s">
        <v>67</v>
      </c>
      <c r="E9268" s="10" t="s">
        <v>8279</v>
      </c>
      <c r="F9268" s="9" t="s">
        <v>8280</v>
      </c>
      <c r="G9268" s="10" t="s">
        <v>21</v>
      </c>
      <c r="H9268" s="9" t="s">
        <v>22</v>
      </c>
      <c r="I9268" s="9" t="s">
        <v>19780</v>
      </c>
      <c r="J9268" s="10" t="str">
        <f>HYPERLINK("https://www.boe.es/gazeta/dias/1834/04/22/pdfs/GMD-1834-61.pdf#page=3","Abrir facsímil")</f>
        <v>Abrir facsímil</v>
      </c>
      <c r="K9268" s="10" t="s">
        <v>24</v>
      </c>
    </row>
    <row r="9269" spans="1:11" ht="54" customHeight="1">
      <c r="A9269" s="9" t="s">
        <v>19770</v>
      </c>
      <c r="B9269" s="9" t="s">
        <v>19770</v>
      </c>
      <c r="C9269" s="9" t="s">
        <v>90</v>
      </c>
      <c r="D9269" s="9" t="s">
        <v>18</v>
      </c>
      <c r="E9269" s="10" t="s">
        <v>576</v>
      </c>
      <c r="F9269" s="9" t="s">
        <v>577</v>
      </c>
      <c r="G9269" s="10" t="s">
        <v>86</v>
      </c>
      <c r="H9269" s="9" t="s">
        <v>22</v>
      </c>
      <c r="I9269" s="9" t="s">
        <v>19781</v>
      </c>
      <c r="J9269" s="10" t="str">
        <f>HYPERLINK("https://www.boe.es/gazeta/dias/1834/09/23/pdfs/GMD-1834-221.pdf#page=2","Abrir facsímil")</f>
        <v>Abrir facsímil</v>
      </c>
      <c r="K9269" s="10" t="s">
        <v>24</v>
      </c>
    </row>
    <row r="9270" spans="1:11" ht="54" customHeight="1">
      <c r="A9270" s="9" t="s">
        <v>19770</v>
      </c>
      <c r="B9270" s="9" t="s">
        <v>19770</v>
      </c>
      <c r="C9270" s="9" t="s">
        <v>66</v>
      </c>
      <c r="D9270" s="9" t="s">
        <v>55</v>
      </c>
      <c r="E9270" s="10" t="s">
        <v>833</v>
      </c>
      <c r="F9270" s="9" t="s">
        <v>834</v>
      </c>
      <c r="G9270" s="10" t="s">
        <v>34</v>
      </c>
      <c r="H9270" s="9" t="s">
        <v>22</v>
      </c>
      <c r="I9270" s="9" t="s">
        <v>19782</v>
      </c>
      <c r="J9270" s="10" t="str">
        <f>HYPERLINK("https://www.boe.es/gazeta/dias/1834/04/24/pdfs/GMD-1834-63.pdf#page=1","Abrir facsímil")</f>
        <v>Abrir facsímil</v>
      </c>
      <c r="K9270" s="10" t="s">
        <v>24</v>
      </c>
    </row>
    <row r="9271" spans="1:11" ht="54" customHeight="1">
      <c r="A9271" s="9" t="s">
        <v>19770</v>
      </c>
      <c r="B9271" s="9" t="s">
        <v>19770</v>
      </c>
      <c r="C9271" s="9" t="s">
        <v>66</v>
      </c>
      <c r="D9271" s="9" t="s">
        <v>18</v>
      </c>
      <c r="E9271" s="10" t="s">
        <v>739</v>
      </c>
      <c r="F9271" s="9" t="s">
        <v>740</v>
      </c>
      <c r="G9271" s="10" t="s">
        <v>34</v>
      </c>
      <c r="H9271" s="9" t="s">
        <v>22</v>
      </c>
      <c r="I9271" s="9" t="s">
        <v>19783</v>
      </c>
      <c r="J9271" s="10" t="str">
        <f>HYPERLINK("https://www.boe.es/gazeta/dias/1834/03/25/pdfs/GMD-1834-37.pdf#page=1","Abrir facsímil")</f>
        <v>Abrir facsímil</v>
      </c>
      <c r="K9271" s="10" t="s">
        <v>24</v>
      </c>
    </row>
    <row r="9272" spans="1:11" ht="54" customHeight="1">
      <c r="A9272" s="9" t="s">
        <v>19770</v>
      </c>
      <c r="B9272" s="9" t="s">
        <v>19770</v>
      </c>
      <c r="C9272" s="9" t="s">
        <v>66</v>
      </c>
      <c r="D9272" s="9" t="s">
        <v>67</v>
      </c>
      <c r="E9272" s="10" t="s">
        <v>513</v>
      </c>
      <c r="F9272" s="9" t="s">
        <v>514</v>
      </c>
      <c r="G9272" s="10" t="s">
        <v>28</v>
      </c>
      <c r="H9272" s="9" t="s">
        <v>22</v>
      </c>
      <c r="I9272" s="9" t="s">
        <v>19784</v>
      </c>
      <c r="J9272" s="10" t="str">
        <f>HYPERLINK("https://www.boe.es/gazeta/dias/1834/04/27/pdfs/GMD-1834-66.pdf#page=5","Abrir facsímil")</f>
        <v>Abrir facsímil</v>
      </c>
      <c r="K9272" s="10" t="s">
        <v>24</v>
      </c>
    </row>
    <row r="9273" spans="1:11" ht="54" customHeight="1">
      <c r="A9273" s="9" t="s">
        <v>19770</v>
      </c>
      <c r="B9273" s="9" t="s">
        <v>19770</v>
      </c>
      <c r="C9273" s="9" t="s">
        <v>17</v>
      </c>
      <c r="D9273" s="9" t="s">
        <v>101</v>
      </c>
      <c r="E9273" s="10" t="s">
        <v>899</v>
      </c>
      <c r="F9273" s="9" t="s">
        <v>900</v>
      </c>
      <c r="G9273" s="10" t="s">
        <v>34</v>
      </c>
      <c r="H9273" s="9" t="s">
        <v>22</v>
      </c>
      <c r="I9273" s="9" t="s">
        <v>19785</v>
      </c>
      <c r="J9273" s="10" t="str">
        <f>HYPERLINK("https://www.boe.es/gazeta/dias/1834/01/30/pdfs/GMD-1834-14.pdf#page=1","Abrir facsímil")</f>
        <v>Abrir facsímil</v>
      </c>
      <c r="K9273" s="10" t="s">
        <v>24</v>
      </c>
    </row>
    <row r="9274" spans="1:11" ht="54" customHeight="1">
      <c r="A9274" s="9" t="s">
        <v>19770</v>
      </c>
      <c r="B9274" s="9" t="s">
        <v>19770</v>
      </c>
      <c r="C9274" s="9" t="s">
        <v>46</v>
      </c>
      <c r="D9274" s="9" t="s">
        <v>55</v>
      </c>
      <c r="E9274" s="10" t="s">
        <v>899</v>
      </c>
      <c r="F9274" s="9" t="s">
        <v>900</v>
      </c>
      <c r="G9274" s="10" t="s">
        <v>21</v>
      </c>
      <c r="H9274" s="9" t="s">
        <v>22</v>
      </c>
      <c r="I9274" s="9" t="s">
        <v>19786</v>
      </c>
      <c r="J9274" s="10" t="str">
        <f>HYPERLINK("https://www.boe.es/gazeta/dias/1834/01/30/pdfs/GMD-1834-14.pdf#page=3","Abrir facsímil")</f>
        <v>Abrir facsímil</v>
      </c>
      <c r="K9274" s="10" t="s">
        <v>24</v>
      </c>
    </row>
    <row r="9275" spans="1:11" ht="54" customHeight="1">
      <c r="A9275" s="9" t="s">
        <v>19787</v>
      </c>
      <c r="B9275" s="9" t="s">
        <v>19787</v>
      </c>
      <c r="C9275" s="9" t="s">
        <v>90</v>
      </c>
      <c r="D9275" s="9" t="s">
        <v>18</v>
      </c>
      <c r="E9275" s="10" t="s">
        <v>1862</v>
      </c>
      <c r="F9275" s="9" t="s">
        <v>1863</v>
      </c>
      <c r="G9275" s="10" t="s">
        <v>86</v>
      </c>
      <c r="H9275" s="9" t="s">
        <v>22</v>
      </c>
      <c r="I9275" s="9" t="s">
        <v>19788</v>
      </c>
      <c r="J9275" s="10" t="str">
        <f>HYPERLINK("https://www.boe.es/gazeta/dias/1834/02/04/pdfs/GMD-1834-16.pdf#page=2","Abrir facsímil")</f>
        <v>Abrir facsímil</v>
      </c>
      <c r="K9275" s="10" t="s">
        <v>24</v>
      </c>
    </row>
    <row r="9276" spans="1:11" ht="54" customHeight="1">
      <c r="A9276" s="9" t="s">
        <v>19789</v>
      </c>
      <c r="B9276" s="9" t="s">
        <v>19789</v>
      </c>
      <c r="C9276" s="9" t="s">
        <v>17</v>
      </c>
      <c r="D9276" s="9" t="s">
        <v>18</v>
      </c>
      <c r="E9276" s="10" t="s">
        <v>1262</v>
      </c>
      <c r="F9276" s="9" t="s">
        <v>1263</v>
      </c>
      <c r="G9276" s="10" t="s">
        <v>34</v>
      </c>
      <c r="H9276" s="9" t="s">
        <v>22</v>
      </c>
      <c r="I9276" s="9" t="s">
        <v>19790</v>
      </c>
      <c r="J9276" s="10" t="str">
        <f>HYPERLINK("https://www.boe.es/gazeta/dias/1834/02/01/pdfs/GMD-1834-15.pdf#page=1","Abrir facsímil")</f>
        <v>Abrir facsímil</v>
      </c>
      <c r="K9276" s="10" t="s">
        <v>24</v>
      </c>
    </row>
    <row r="9277" spans="1:11" ht="54" customHeight="1">
      <c r="A9277" s="9" t="s">
        <v>19789</v>
      </c>
      <c r="B9277" s="9" t="s">
        <v>19789</v>
      </c>
      <c r="C9277" s="9" t="s">
        <v>857</v>
      </c>
      <c r="D9277" s="9" t="s">
        <v>18</v>
      </c>
      <c r="E9277" s="10" t="s">
        <v>1262</v>
      </c>
      <c r="F9277" s="9" t="s">
        <v>1263</v>
      </c>
      <c r="G9277" s="10" t="s">
        <v>21</v>
      </c>
      <c r="H9277" s="9" t="s">
        <v>22</v>
      </c>
      <c r="I9277" s="9" t="s">
        <v>19791</v>
      </c>
      <c r="J9277" s="10" t="str">
        <f>HYPERLINK("https://www.boe.es/gazeta/dias/1834/02/01/pdfs/GMD-1834-15.pdf#page=3","Abrir facsímil")</f>
        <v>Abrir facsímil</v>
      </c>
      <c r="K9277" s="10" t="s">
        <v>24</v>
      </c>
    </row>
    <row r="9278" spans="1:11" ht="54" customHeight="1">
      <c r="A9278" s="9" t="s">
        <v>19789</v>
      </c>
      <c r="B9278" s="9" t="s">
        <v>19789</v>
      </c>
      <c r="C9278" s="9" t="s">
        <v>17</v>
      </c>
      <c r="D9278" s="9" t="s">
        <v>18</v>
      </c>
      <c r="E9278" s="10" t="s">
        <v>1025</v>
      </c>
      <c r="F9278" s="9" t="s">
        <v>1026</v>
      </c>
      <c r="G9278" s="10" t="s">
        <v>21</v>
      </c>
      <c r="H9278" s="9" t="s">
        <v>22</v>
      </c>
      <c r="I9278" s="9" t="s">
        <v>19792</v>
      </c>
      <c r="J9278" s="10" t="str">
        <f>HYPERLINK("https://www.boe.es/gazeta/dias/1834/03/01/pdfs/GMD-1834-27.pdf#page=3","Abrir facsímil")</f>
        <v>Abrir facsímil</v>
      </c>
      <c r="K9278" s="10" t="s">
        <v>24</v>
      </c>
    </row>
    <row r="9279" spans="1:11" ht="54" customHeight="1">
      <c r="A9279" s="9" t="s">
        <v>19789</v>
      </c>
      <c r="B9279" s="9" t="s">
        <v>19789</v>
      </c>
      <c r="C9279" s="9" t="s">
        <v>66</v>
      </c>
      <c r="D9279" s="9" t="s">
        <v>67</v>
      </c>
      <c r="E9279" s="10" t="s">
        <v>1084</v>
      </c>
      <c r="F9279" s="9" t="s">
        <v>1085</v>
      </c>
      <c r="G9279" s="10" t="s">
        <v>34</v>
      </c>
      <c r="H9279" s="9" t="s">
        <v>22</v>
      </c>
      <c r="I9279" s="9" t="s">
        <v>19793</v>
      </c>
      <c r="J9279" s="10" t="str">
        <f>HYPERLINK("https://www.boe.es/gazeta/dias/1834/05/01/pdfs/GMD-1834-70.pdf#page=1","Abrir facsímil")</f>
        <v>Abrir facsímil</v>
      </c>
      <c r="K9279" s="10" t="s">
        <v>24</v>
      </c>
    </row>
    <row r="9280" spans="1:11" ht="54" customHeight="1">
      <c r="A9280" s="9" t="s">
        <v>19789</v>
      </c>
      <c r="B9280" s="9" t="s">
        <v>19789</v>
      </c>
      <c r="C9280" s="9" t="s">
        <v>66</v>
      </c>
      <c r="D9280" s="9" t="s">
        <v>67</v>
      </c>
      <c r="E9280" s="10" t="s">
        <v>1084</v>
      </c>
      <c r="F9280" s="9" t="s">
        <v>1085</v>
      </c>
      <c r="G9280" s="10" t="s">
        <v>75</v>
      </c>
      <c r="H9280" s="9" t="s">
        <v>22</v>
      </c>
      <c r="I9280" s="9" t="s">
        <v>19794</v>
      </c>
      <c r="J9280" s="10" t="str">
        <f>HYPERLINK("https://www.boe.es/gazeta/dias/1834/05/01/pdfs/GMD-1834-70.pdf#page=4","Abrir facsímil")</f>
        <v>Abrir facsímil</v>
      </c>
      <c r="K9280" s="10" t="s">
        <v>24</v>
      </c>
    </row>
    <row r="9281" spans="1:11" ht="54" customHeight="1">
      <c r="A9281" s="9" t="s">
        <v>19789</v>
      </c>
      <c r="B9281" s="9" t="s">
        <v>19789</v>
      </c>
      <c r="C9281" s="9" t="s">
        <v>90</v>
      </c>
      <c r="D9281" s="9" t="s">
        <v>18</v>
      </c>
      <c r="E9281" s="10" t="s">
        <v>594</v>
      </c>
      <c r="F9281" s="9" t="s">
        <v>595</v>
      </c>
      <c r="G9281" s="10" t="s">
        <v>34</v>
      </c>
      <c r="H9281" s="9" t="s">
        <v>22</v>
      </c>
      <c r="I9281" s="9" t="s">
        <v>19795</v>
      </c>
      <c r="J9281" s="10" t="str">
        <f>HYPERLINK("https://www.boe.es/gazeta/dias/1834/06/01/pdfs/GMD-1834-102.pdf#page=1","Abrir facsímil")</f>
        <v>Abrir facsímil</v>
      </c>
      <c r="K9281" s="10" t="s">
        <v>24</v>
      </c>
    </row>
    <row r="9282" spans="1:11" ht="54" customHeight="1">
      <c r="A9282" s="9" t="s">
        <v>19789</v>
      </c>
      <c r="B9282" s="9" t="s">
        <v>19789</v>
      </c>
      <c r="C9282" s="9" t="s">
        <v>66</v>
      </c>
      <c r="D9282" s="9" t="s">
        <v>18</v>
      </c>
      <c r="E9282" s="10" t="s">
        <v>1297</v>
      </c>
      <c r="F9282" s="9" t="s">
        <v>1298</v>
      </c>
      <c r="G9282" s="10" t="s">
        <v>34</v>
      </c>
      <c r="H9282" s="9" t="s">
        <v>22</v>
      </c>
      <c r="I9282" s="9" t="s">
        <v>19796</v>
      </c>
      <c r="J9282" s="10" t="str">
        <f>HYPERLINK("https://www.boe.es/gazeta/dias/1834/08/01/pdfs/GMD-1834-165.pdf#page=1","Abrir facsímil")</f>
        <v>Abrir facsímil</v>
      </c>
      <c r="K9282" s="10" t="s">
        <v>24</v>
      </c>
    </row>
    <row r="9283" spans="1:11" ht="54" customHeight="1">
      <c r="A9283" s="9" t="s">
        <v>19789</v>
      </c>
      <c r="B9283" s="9" t="s">
        <v>19789</v>
      </c>
      <c r="C9283" s="9" t="s">
        <v>17</v>
      </c>
      <c r="D9283" s="9" t="s">
        <v>18</v>
      </c>
      <c r="E9283" s="10" t="s">
        <v>1297</v>
      </c>
      <c r="F9283" s="9" t="s">
        <v>1879</v>
      </c>
      <c r="G9283" s="10" t="s">
        <v>34</v>
      </c>
      <c r="H9283" s="9" t="s">
        <v>22</v>
      </c>
      <c r="I9283" s="9" t="s">
        <v>19797</v>
      </c>
      <c r="J9283" s="10" t="str">
        <f>HYPERLINK("https://www.boe.es/gazeta/dias/1834/08/01/pdfs/GMD-C-1834-165.pdf#page=1","Abrir facsímil")</f>
        <v>Abrir facsímil</v>
      </c>
      <c r="K9283" s="10" t="s">
        <v>24</v>
      </c>
    </row>
    <row r="9284" spans="1:11" ht="54" customHeight="1">
      <c r="A9284" s="9" t="s">
        <v>19789</v>
      </c>
      <c r="B9284" s="9" t="s">
        <v>19789</v>
      </c>
      <c r="C9284" s="9" t="s">
        <v>46</v>
      </c>
      <c r="D9284" s="9" t="s">
        <v>101</v>
      </c>
      <c r="E9284" s="10" t="s">
        <v>255</v>
      </c>
      <c r="F9284" s="9" t="s">
        <v>256</v>
      </c>
      <c r="G9284" s="10" t="s">
        <v>86</v>
      </c>
      <c r="H9284" s="9" t="s">
        <v>22</v>
      </c>
      <c r="I9284" s="9" t="s">
        <v>19798</v>
      </c>
      <c r="J9284" s="10" t="str">
        <f>HYPERLINK("https://www.boe.es/gazeta/dias/1834/09/01/pdfs/GMD-C-1834-199.pdf#page=2","Abrir facsímil")</f>
        <v>Abrir facsímil</v>
      </c>
      <c r="K9284" s="10" t="s">
        <v>24</v>
      </c>
    </row>
    <row r="9285" spans="1:11" ht="54" customHeight="1">
      <c r="A9285" s="9" t="s">
        <v>19789</v>
      </c>
      <c r="B9285" s="9" t="s">
        <v>19789</v>
      </c>
      <c r="C9285" s="9" t="s">
        <v>122</v>
      </c>
      <c r="D9285" s="9" t="s">
        <v>101</v>
      </c>
      <c r="E9285" s="10" t="s">
        <v>68</v>
      </c>
      <c r="F9285" s="9" t="s">
        <v>69</v>
      </c>
      <c r="G9285" s="10" t="s">
        <v>34</v>
      </c>
      <c r="H9285" s="9" t="s">
        <v>22</v>
      </c>
      <c r="I9285" s="9" t="s">
        <v>19799</v>
      </c>
      <c r="J9285" s="10" t="str">
        <f>HYPERLINK("https://www.boe.es/gazeta/dias/1834/11/01/pdfs/I01088-01088.pdf#page=1","Abrir facsímil")</f>
        <v>Abrir facsímil</v>
      </c>
      <c r="K9285" s="10" t="s">
        <v>24</v>
      </c>
    </row>
    <row r="9286" spans="1:11" ht="54" customHeight="1">
      <c r="A9286" s="9" t="s">
        <v>19789</v>
      </c>
      <c r="B9286" s="9" t="s">
        <v>19789</v>
      </c>
      <c r="C9286" s="9" t="s">
        <v>17</v>
      </c>
      <c r="D9286" s="9" t="s">
        <v>18</v>
      </c>
      <c r="E9286" s="10" t="s">
        <v>1337</v>
      </c>
      <c r="F9286" s="9" t="s">
        <v>1338</v>
      </c>
      <c r="G9286" s="10" t="s">
        <v>34</v>
      </c>
      <c r="H9286" s="9" t="s">
        <v>22</v>
      </c>
      <c r="I9286" s="9" t="s">
        <v>19800</v>
      </c>
      <c r="J9286" s="10" t="str">
        <f>HYPERLINK("https://www.boe.es/gazeta/dias/1834/01/02/pdfs/GMD-1834-1.pdf#page=1","Abrir facsímil")</f>
        <v>Abrir facsímil</v>
      </c>
      <c r="K9286" s="10" t="s">
        <v>24</v>
      </c>
    </row>
    <row r="9287" spans="1:11" ht="54" customHeight="1">
      <c r="A9287" s="9" t="s">
        <v>19789</v>
      </c>
      <c r="B9287" s="9" t="s">
        <v>19789</v>
      </c>
      <c r="C9287" s="9" t="s">
        <v>17</v>
      </c>
      <c r="D9287" s="9" t="s">
        <v>18</v>
      </c>
      <c r="E9287" s="10" t="s">
        <v>1337</v>
      </c>
      <c r="F9287" s="9" t="s">
        <v>1338</v>
      </c>
      <c r="G9287" s="10" t="s">
        <v>21</v>
      </c>
      <c r="H9287" s="9" t="s">
        <v>22</v>
      </c>
      <c r="I9287" s="9" t="s">
        <v>19801</v>
      </c>
      <c r="J9287" s="10" t="str">
        <f>HYPERLINK("https://www.boe.es/gazeta/dias/1834/01/02/pdfs/GMD-1834-1.pdf#page=3","Abrir facsímil")</f>
        <v>Abrir facsímil</v>
      </c>
      <c r="K9287" s="10" t="s">
        <v>24</v>
      </c>
    </row>
    <row r="9288" spans="1:11" ht="54" customHeight="1">
      <c r="A9288" s="9" t="s">
        <v>19789</v>
      </c>
      <c r="B9288" s="9" t="s">
        <v>19789</v>
      </c>
      <c r="C9288" s="9" t="s">
        <v>17</v>
      </c>
      <c r="D9288" s="9" t="s">
        <v>18</v>
      </c>
      <c r="E9288" s="10" t="s">
        <v>976</v>
      </c>
      <c r="F9288" s="9" t="s">
        <v>1061</v>
      </c>
      <c r="G9288" s="10" t="s">
        <v>34</v>
      </c>
      <c r="H9288" s="9" t="s">
        <v>22</v>
      </c>
      <c r="I9288" s="9" t="s">
        <v>19802</v>
      </c>
      <c r="J9288" s="10" t="str">
        <f>HYPERLINK("https://www.boe.es/gazeta/dias/1834/04/02/pdfs/GMD-C-1834-41.pdf#page=1","Abrir facsímil")</f>
        <v>Abrir facsímil</v>
      </c>
      <c r="K9288" s="10" t="s">
        <v>24</v>
      </c>
    </row>
    <row r="9289" spans="1:11" ht="54" customHeight="1">
      <c r="A9289" s="9" t="s">
        <v>19789</v>
      </c>
      <c r="B9289" s="9" t="s">
        <v>19789</v>
      </c>
      <c r="C9289" s="9" t="s">
        <v>17</v>
      </c>
      <c r="D9289" s="9" t="s">
        <v>18</v>
      </c>
      <c r="E9289" s="10" t="s">
        <v>339</v>
      </c>
      <c r="F9289" s="9" t="s">
        <v>340</v>
      </c>
      <c r="G9289" s="10" t="s">
        <v>34</v>
      </c>
      <c r="H9289" s="9" t="s">
        <v>22</v>
      </c>
      <c r="I9289" s="9" t="s">
        <v>19803</v>
      </c>
      <c r="J9289" s="10" t="str">
        <f>HYPERLINK("https://www.boe.es/gazeta/dias/1834/05/02/pdfs/GMD-1834-71.pdf#page=1","Abrir facsímil")</f>
        <v>Abrir facsímil</v>
      </c>
      <c r="K9289" s="10" t="s">
        <v>24</v>
      </c>
    </row>
    <row r="9290" spans="1:11" ht="54" customHeight="1">
      <c r="A9290" s="9" t="s">
        <v>19789</v>
      </c>
      <c r="B9290" s="9" t="s">
        <v>19789</v>
      </c>
      <c r="C9290" s="9" t="s">
        <v>66</v>
      </c>
      <c r="D9290" s="9" t="s">
        <v>18</v>
      </c>
      <c r="E9290" s="10" t="s">
        <v>339</v>
      </c>
      <c r="F9290" s="9" t="s">
        <v>340</v>
      </c>
      <c r="G9290" s="10" t="s">
        <v>75</v>
      </c>
      <c r="H9290" s="9" t="s">
        <v>22</v>
      </c>
      <c r="I9290" s="9" t="s">
        <v>19804</v>
      </c>
      <c r="J9290" s="10" t="str">
        <f>HYPERLINK("https://www.boe.es/gazeta/dias/1834/05/02/pdfs/GMD-1834-71.pdf#page=4","Abrir facsímil")</f>
        <v>Abrir facsímil</v>
      </c>
      <c r="K9290" s="10" t="s">
        <v>24</v>
      </c>
    </row>
    <row r="9291" spans="1:11" ht="54" customHeight="1">
      <c r="A9291" s="9" t="s">
        <v>19789</v>
      </c>
      <c r="B9291" s="9" t="s">
        <v>19789</v>
      </c>
      <c r="C9291" s="9" t="s">
        <v>66</v>
      </c>
      <c r="D9291" s="9" t="s">
        <v>18</v>
      </c>
      <c r="E9291" s="10" t="s">
        <v>2053</v>
      </c>
      <c r="F9291" s="9" t="s">
        <v>2054</v>
      </c>
      <c r="G9291" s="10" t="s">
        <v>34</v>
      </c>
      <c r="H9291" s="9" t="s">
        <v>22</v>
      </c>
      <c r="I9291" s="9" t="s">
        <v>19805</v>
      </c>
      <c r="J9291" s="10" t="str">
        <f>HYPERLINK("https://www.boe.es/gazeta/dias/1834/06/02/pdfs/GMD-1834-103.pdf#page=1","Abrir facsímil")</f>
        <v>Abrir facsímil</v>
      </c>
      <c r="K9291" s="10" t="s">
        <v>24</v>
      </c>
    </row>
    <row r="9292" spans="1:11" ht="54" customHeight="1">
      <c r="A9292" s="9" t="s">
        <v>19789</v>
      </c>
      <c r="B9292" s="9" t="s">
        <v>19789</v>
      </c>
      <c r="C9292" s="9" t="s">
        <v>46</v>
      </c>
      <c r="D9292" s="9" t="s">
        <v>55</v>
      </c>
      <c r="E9292" s="10" t="s">
        <v>2729</v>
      </c>
      <c r="F9292" s="9" t="s">
        <v>2730</v>
      </c>
      <c r="G9292" s="10" t="s">
        <v>86</v>
      </c>
      <c r="H9292" s="9" t="s">
        <v>22</v>
      </c>
      <c r="I9292" s="9" t="s">
        <v>19806</v>
      </c>
      <c r="J9292" s="10" t="str">
        <f>HYPERLINK("https://www.boe.es/gazeta/dias/1834/07/02/pdfs/GMD-1834-135.pdf#page=2","Abrir facsímil")</f>
        <v>Abrir facsímil</v>
      </c>
      <c r="K9292" s="10" t="s">
        <v>24</v>
      </c>
    </row>
    <row r="9293" spans="1:11" ht="54" customHeight="1">
      <c r="A9293" s="9" t="s">
        <v>19789</v>
      </c>
      <c r="B9293" s="9" t="s">
        <v>19789</v>
      </c>
      <c r="C9293" s="9" t="s">
        <v>66</v>
      </c>
      <c r="D9293" s="9" t="s">
        <v>18</v>
      </c>
      <c r="E9293" s="10" t="s">
        <v>905</v>
      </c>
      <c r="F9293" s="9" t="s">
        <v>1651</v>
      </c>
      <c r="G9293" s="10" t="s">
        <v>34</v>
      </c>
      <c r="H9293" s="9" t="s">
        <v>22</v>
      </c>
      <c r="I9293" s="9" t="s">
        <v>19807</v>
      </c>
      <c r="J9293" s="10" t="str">
        <f>HYPERLINK("https://www.boe.es/gazeta/dias/1834/08/02/pdfs/GMD-1834-166.pdf#page=1","Abrir facsímil")</f>
        <v>Abrir facsímil</v>
      </c>
      <c r="K9293" s="10" t="s">
        <v>24</v>
      </c>
    </row>
    <row r="9294" spans="1:11" ht="54" customHeight="1">
      <c r="A9294" s="9" t="s">
        <v>19789</v>
      </c>
      <c r="B9294" s="9" t="s">
        <v>19789</v>
      </c>
      <c r="C9294" s="9" t="s">
        <v>66</v>
      </c>
      <c r="D9294" s="9" t="s">
        <v>18</v>
      </c>
      <c r="E9294" s="10" t="s">
        <v>2379</v>
      </c>
      <c r="F9294" s="9" t="s">
        <v>2380</v>
      </c>
      <c r="G9294" s="10" t="s">
        <v>34</v>
      </c>
      <c r="H9294" s="9" t="s">
        <v>22</v>
      </c>
      <c r="I9294" s="9" t="s">
        <v>19808</v>
      </c>
      <c r="J9294" s="10" t="str">
        <f>HYPERLINK("https://www.boe.es/gazeta/dias/1834/04/03/pdfs/GMD-1834-42.pdf#page=1","Abrir facsímil")</f>
        <v>Abrir facsímil</v>
      </c>
      <c r="K9294" s="10" t="s">
        <v>24</v>
      </c>
    </row>
    <row r="9295" spans="1:11" ht="54" customHeight="1">
      <c r="A9295" s="9" t="s">
        <v>19789</v>
      </c>
      <c r="B9295" s="9" t="s">
        <v>19789</v>
      </c>
      <c r="C9295" s="9" t="s">
        <v>66</v>
      </c>
      <c r="D9295" s="9" t="s">
        <v>55</v>
      </c>
      <c r="E9295" s="10" t="s">
        <v>4527</v>
      </c>
      <c r="F9295" s="9" t="s">
        <v>4528</v>
      </c>
      <c r="G9295" s="10" t="s">
        <v>34</v>
      </c>
      <c r="H9295" s="9" t="s">
        <v>22</v>
      </c>
      <c r="I9295" s="9" t="s">
        <v>19809</v>
      </c>
      <c r="J9295" s="10" t="str">
        <f>HYPERLINK("https://www.boe.es/gazeta/dias/1834/05/03/pdfs/GMD-1834-72.pdf#page=1","Abrir facsímil")</f>
        <v>Abrir facsímil</v>
      </c>
      <c r="K9295" s="10" t="s">
        <v>24</v>
      </c>
    </row>
    <row r="9296" spans="1:11" ht="54" customHeight="1">
      <c r="A9296" s="9" t="s">
        <v>19789</v>
      </c>
      <c r="B9296" s="9" t="s">
        <v>19789</v>
      </c>
      <c r="C9296" s="9" t="s">
        <v>66</v>
      </c>
      <c r="D9296" s="9" t="s">
        <v>67</v>
      </c>
      <c r="E9296" s="10" t="s">
        <v>637</v>
      </c>
      <c r="F9296" s="9" t="s">
        <v>638</v>
      </c>
      <c r="G9296" s="10" t="s">
        <v>34</v>
      </c>
      <c r="H9296" s="9" t="s">
        <v>22</v>
      </c>
      <c r="I9296" s="9" t="s">
        <v>19810</v>
      </c>
      <c r="J9296" s="10" t="str">
        <f>HYPERLINK("https://www.boe.es/gazeta/dias/1834/06/03/pdfs/GMD-1834-105.pdf#page=1","Abrir facsímil")</f>
        <v>Abrir facsímil</v>
      </c>
      <c r="K9296" s="10" t="s">
        <v>24</v>
      </c>
    </row>
    <row r="9297" spans="1:11" ht="54" customHeight="1">
      <c r="A9297" s="9" t="s">
        <v>19789</v>
      </c>
      <c r="B9297" s="9" t="s">
        <v>19789</v>
      </c>
      <c r="C9297" s="9" t="s">
        <v>17</v>
      </c>
      <c r="D9297" s="9" t="s">
        <v>18</v>
      </c>
      <c r="E9297" s="10" t="s">
        <v>3066</v>
      </c>
      <c r="F9297" s="9" t="s">
        <v>3067</v>
      </c>
      <c r="G9297" s="10" t="s">
        <v>75</v>
      </c>
      <c r="H9297" s="9" t="s">
        <v>22</v>
      </c>
      <c r="I9297" s="9" t="s">
        <v>19811</v>
      </c>
      <c r="J9297" s="10" t="str">
        <f>HYPERLINK("https://www.boe.es/gazeta/dias/1834/08/03/pdfs/GMD-C-1834-167.pdf#page=4","Abrir facsímil")</f>
        <v>Abrir facsímil</v>
      </c>
      <c r="K9297" s="10" t="s">
        <v>24</v>
      </c>
    </row>
    <row r="9298" spans="1:11" ht="54" customHeight="1">
      <c r="A9298" s="9" t="s">
        <v>19789</v>
      </c>
      <c r="B9298" s="9" t="s">
        <v>19789</v>
      </c>
      <c r="C9298" s="9" t="s">
        <v>66</v>
      </c>
      <c r="D9298" s="9" t="s">
        <v>67</v>
      </c>
      <c r="E9298" s="10" t="s">
        <v>690</v>
      </c>
      <c r="F9298" s="9" t="s">
        <v>5765</v>
      </c>
      <c r="G9298" s="10" t="s">
        <v>86</v>
      </c>
      <c r="H9298" s="9" t="s">
        <v>22</v>
      </c>
      <c r="I9298" s="9" t="s">
        <v>19812</v>
      </c>
      <c r="J9298" s="10" t="str">
        <f>HYPERLINK("https://www.boe.es/gazeta/dias/1834/09/03/pdfs/GMD-1834-201.pdf#page=2","Abrir facsímil")</f>
        <v>Abrir facsímil</v>
      </c>
      <c r="K9298" s="10" t="s">
        <v>24</v>
      </c>
    </row>
    <row r="9299" spans="1:11" ht="54" customHeight="1">
      <c r="A9299" s="9" t="s">
        <v>19789</v>
      </c>
      <c r="B9299" s="9" t="s">
        <v>19789</v>
      </c>
      <c r="C9299" s="9" t="s">
        <v>17</v>
      </c>
      <c r="D9299" s="9" t="s">
        <v>18</v>
      </c>
      <c r="E9299" s="10" t="s">
        <v>758</v>
      </c>
      <c r="F9299" s="9" t="s">
        <v>759</v>
      </c>
      <c r="G9299" s="10" t="s">
        <v>34</v>
      </c>
      <c r="H9299" s="9" t="s">
        <v>22</v>
      </c>
      <c r="I9299" s="9" t="s">
        <v>19813</v>
      </c>
      <c r="J9299" s="10" t="str">
        <f>HYPERLINK("https://www.boe.es/gazeta/dias/1834/01/04/pdfs/GMD-1834-3.pdf#page=1","Abrir facsímil")</f>
        <v>Abrir facsímil</v>
      </c>
      <c r="K9299" s="10" t="s">
        <v>24</v>
      </c>
    </row>
    <row r="9300" spans="1:11" ht="54" customHeight="1">
      <c r="A9300" s="9" t="s">
        <v>19789</v>
      </c>
      <c r="B9300" s="9" t="s">
        <v>19789</v>
      </c>
      <c r="C9300" s="9" t="s">
        <v>17</v>
      </c>
      <c r="D9300" s="9" t="s">
        <v>18</v>
      </c>
      <c r="E9300" s="10" t="s">
        <v>758</v>
      </c>
      <c r="F9300" s="9" t="s">
        <v>759</v>
      </c>
      <c r="G9300" s="10" t="s">
        <v>86</v>
      </c>
      <c r="H9300" s="9" t="s">
        <v>22</v>
      </c>
      <c r="I9300" s="9" t="s">
        <v>19814</v>
      </c>
      <c r="J9300" s="10" t="str">
        <f>HYPERLINK("https://www.boe.es/gazeta/dias/1834/01/04/pdfs/GMD-1834-3.pdf#page=2","Abrir facsímil")</f>
        <v>Abrir facsímil</v>
      </c>
      <c r="K9300" s="10" t="s">
        <v>24</v>
      </c>
    </row>
    <row r="9301" spans="1:11" ht="54" customHeight="1">
      <c r="A9301" s="9" t="s">
        <v>19789</v>
      </c>
      <c r="B9301" s="9" t="s">
        <v>19789</v>
      </c>
      <c r="C9301" s="9" t="s">
        <v>66</v>
      </c>
      <c r="D9301" s="9" t="s">
        <v>67</v>
      </c>
      <c r="E9301" s="10" t="s">
        <v>758</v>
      </c>
      <c r="F9301" s="9" t="s">
        <v>759</v>
      </c>
      <c r="G9301" s="10" t="s">
        <v>75</v>
      </c>
      <c r="H9301" s="9" t="s">
        <v>22</v>
      </c>
      <c r="I9301" s="9" t="s">
        <v>19815</v>
      </c>
      <c r="J9301" s="10" t="str">
        <f>HYPERLINK("https://www.boe.es/gazeta/dias/1834/01/04/pdfs/GMD-1834-3.pdf#page=4","Abrir facsímil")</f>
        <v>Abrir facsímil</v>
      </c>
      <c r="K9301" s="10" t="s">
        <v>24</v>
      </c>
    </row>
    <row r="9302" spans="1:11" ht="54" customHeight="1">
      <c r="A9302" s="9" t="s">
        <v>19789</v>
      </c>
      <c r="B9302" s="9" t="s">
        <v>19789</v>
      </c>
      <c r="C9302" s="9" t="s">
        <v>17</v>
      </c>
      <c r="D9302" s="9" t="s">
        <v>18</v>
      </c>
      <c r="E9302" s="10" t="s">
        <v>1862</v>
      </c>
      <c r="F9302" s="9" t="s">
        <v>1863</v>
      </c>
      <c r="G9302" s="10" t="s">
        <v>34</v>
      </c>
      <c r="H9302" s="9" t="s">
        <v>22</v>
      </c>
      <c r="I9302" s="9" t="s">
        <v>19816</v>
      </c>
      <c r="J9302" s="10" t="str">
        <f>HYPERLINK("https://www.boe.es/gazeta/dias/1834/02/04/pdfs/GMD-1834-16.pdf#page=1","Abrir facsímil")</f>
        <v>Abrir facsímil</v>
      </c>
      <c r="K9302" s="10" t="s">
        <v>24</v>
      </c>
    </row>
    <row r="9303" spans="1:11" ht="54" customHeight="1">
      <c r="A9303" s="9" t="s">
        <v>19789</v>
      </c>
      <c r="B9303" s="9" t="s">
        <v>19789</v>
      </c>
      <c r="C9303" s="9" t="s">
        <v>17</v>
      </c>
      <c r="D9303" s="9" t="s">
        <v>55</v>
      </c>
      <c r="E9303" s="10" t="s">
        <v>1862</v>
      </c>
      <c r="F9303" s="9" t="s">
        <v>1863</v>
      </c>
      <c r="G9303" s="10" t="s">
        <v>21</v>
      </c>
      <c r="H9303" s="9" t="s">
        <v>22</v>
      </c>
      <c r="I9303" s="9" t="s">
        <v>19817</v>
      </c>
      <c r="J9303" s="10" t="str">
        <f>HYPERLINK("https://www.boe.es/gazeta/dias/1834/02/04/pdfs/GMD-1834-16.pdf#page=3","Abrir facsímil")</f>
        <v>Abrir facsímil</v>
      </c>
      <c r="K9303" s="10" t="s">
        <v>24</v>
      </c>
    </row>
    <row r="9304" spans="1:11" ht="54" customHeight="1">
      <c r="A9304" s="9" t="s">
        <v>19789</v>
      </c>
      <c r="B9304" s="9" t="s">
        <v>19789</v>
      </c>
      <c r="C9304" s="9" t="s">
        <v>17</v>
      </c>
      <c r="D9304" s="9" t="s">
        <v>18</v>
      </c>
      <c r="E9304" s="10" t="s">
        <v>506</v>
      </c>
      <c r="F9304" s="9" t="s">
        <v>507</v>
      </c>
      <c r="G9304" s="10" t="s">
        <v>34</v>
      </c>
      <c r="H9304" s="9" t="s">
        <v>22</v>
      </c>
      <c r="I9304" s="9" t="s">
        <v>19818</v>
      </c>
      <c r="J9304" s="10" t="str">
        <f>HYPERLINK("https://www.boe.es/gazeta/dias/1834/03/04/pdfs/GMD-1834-28.pdf#page=1","Abrir facsímil")</f>
        <v>Abrir facsímil</v>
      </c>
      <c r="K9304" s="10" t="s">
        <v>24</v>
      </c>
    </row>
    <row r="9305" spans="1:11" ht="54" customHeight="1">
      <c r="A9305" s="9" t="s">
        <v>19789</v>
      </c>
      <c r="B9305" s="9" t="s">
        <v>19789</v>
      </c>
      <c r="C9305" s="9" t="s">
        <v>66</v>
      </c>
      <c r="D9305" s="9" t="s">
        <v>18</v>
      </c>
      <c r="E9305" s="10" t="s">
        <v>2459</v>
      </c>
      <c r="F9305" s="9" t="s">
        <v>2460</v>
      </c>
      <c r="G9305" s="10" t="s">
        <v>34</v>
      </c>
      <c r="H9305" s="9" t="s">
        <v>22</v>
      </c>
      <c r="I9305" s="9" t="s">
        <v>19819</v>
      </c>
      <c r="J9305" s="10" t="str">
        <f>HYPERLINK("https://www.boe.es/gazeta/dias/1834/04/04/pdfs/GMD-1834-43.pdf#page=1","Abrir facsímil")</f>
        <v>Abrir facsímil</v>
      </c>
      <c r="K9305" s="10" t="s">
        <v>24</v>
      </c>
    </row>
    <row r="9306" spans="1:11" ht="54" customHeight="1">
      <c r="A9306" s="9" t="s">
        <v>19789</v>
      </c>
      <c r="B9306" s="9" t="s">
        <v>19789</v>
      </c>
      <c r="C9306" s="9" t="s">
        <v>66</v>
      </c>
      <c r="D9306" s="9" t="s">
        <v>18</v>
      </c>
      <c r="E9306" s="10" t="s">
        <v>1955</v>
      </c>
      <c r="F9306" s="9" t="s">
        <v>1956</v>
      </c>
      <c r="G9306" s="10" t="s">
        <v>34</v>
      </c>
      <c r="H9306" s="9" t="s">
        <v>22</v>
      </c>
      <c r="I9306" s="9" t="s">
        <v>19820</v>
      </c>
      <c r="J9306" s="10" t="str">
        <f>HYPERLINK("https://www.boe.es/gazeta/dias/1834/05/04/pdfs/GMD-1834-73.pdf#page=1","Abrir facsímil")</f>
        <v>Abrir facsímil</v>
      </c>
      <c r="K9306" s="10" t="s">
        <v>24</v>
      </c>
    </row>
    <row r="9307" spans="1:11" ht="54" customHeight="1">
      <c r="A9307" s="9" t="s">
        <v>19789</v>
      </c>
      <c r="B9307" s="9" t="s">
        <v>19789</v>
      </c>
      <c r="C9307" s="9" t="s">
        <v>66</v>
      </c>
      <c r="D9307" s="9" t="s">
        <v>67</v>
      </c>
      <c r="E9307" s="10" t="s">
        <v>3328</v>
      </c>
      <c r="F9307" s="9" t="s">
        <v>3329</v>
      </c>
      <c r="G9307" s="10" t="s">
        <v>21</v>
      </c>
      <c r="H9307" s="9" t="s">
        <v>22</v>
      </c>
      <c r="I9307" s="9" t="s">
        <v>19821</v>
      </c>
      <c r="J9307" s="10" t="str">
        <f>HYPERLINK("https://www.boe.es/gazeta/dias/1834/06/04/pdfs/GMD-1834-106.pdf#page=3","Abrir facsímil")</f>
        <v>Abrir facsímil</v>
      </c>
      <c r="K9307" s="10" t="s">
        <v>24</v>
      </c>
    </row>
    <row r="9308" spans="1:11" ht="54" customHeight="1">
      <c r="A9308" s="9" t="s">
        <v>19789</v>
      </c>
      <c r="B9308" s="9" t="s">
        <v>19789</v>
      </c>
      <c r="C9308" s="9" t="s">
        <v>66</v>
      </c>
      <c r="D9308" s="9" t="s">
        <v>18</v>
      </c>
      <c r="E9308" s="10" t="s">
        <v>2212</v>
      </c>
      <c r="F9308" s="9" t="s">
        <v>5450</v>
      </c>
      <c r="G9308" s="10" t="s">
        <v>34</v>
      </c>
      <c r="H9308" s="9" t="s">
        <v>22</v>
      </c>
      <c r="I9308" s="9" t="s">
        <v>19822</v>
      </c>
      <c r="J9308" s="10" t="str">
        <f>HYPERLINK("https://www.boe.es/gazeta/dias/1834/08/04/pdfs/GMD-1834-168.pdf#page=1","Abrir facsímil")</f>
        <v>Abrir facsímil</v>
      </c>
      <c r="K9308" s="10" t="s">
        <v>24</v>
      </c>
    </row>
    <row r="9309" spans="1:11" ht="54" customHeight="1">
      <c r="A9309" s="9" t="s">
        <v>19789</v>
      </c>
      <c r="B9309" s="9" t="s">
        <v>19789</v>
      </c>
      <c r="C9309" s="9" t="s">
        <v>857</v>
      </c>
      <c r="D9309" s="9" t="s">
        <v>18</v>
      </c>
      <c r="E9309" s="10" t="s">
        <v>571</v>
      </c>
      <c r="F9309" s="9" t="s">
        <v>572</v>
      </c>
      <c r="G9309" s="10" t="s">
        <v>21</v>
      </c>
      <c r="H9309" s="9" t="s">
        <v>22</v>
      </c>
      <c r="I9309" s="9" t="s">
        <v>19823</v>
      </c>
      <c r="J9309" s="10" t="str">
        <f>HYPERLINK("https://www.boe.es/gazeta/dias/1834/09/04/pdfs/GMD-1834-202.pdf#page=3","Abrir facsímil")</f>
        <v>Abrir facsímil</v>
      </c>
      <c r="K9309" s="10" t="s">
        <v>24</v>
      </c>
    </row>
    <row r="9310" spans="1:11" ht="54" customHeight="1">
      <c r="A9310" s="9" t="s">
        <v>19789</v>
      </c>
      <c r="B9310" s="9" t="s">
        <v>19789</v>
      </c>
      <c r="C9310" s="9" t="s">
        <v>17</v>
      </c>
      <c r="D9310" s="9" t="s">
        <v>18</v>
      </c>
      <c r="E9310" s="10" t="s">
        <v>571</v>
      </c>
      <c r="F9310" s="9" t="s">
        <v>620</v>
      </c>
      <c r="G9310" s="10" t="s">
        <v>86</v>
      </c>
      <c r="H9310" s="9" t="s">
        <v>22</v>
      </c>
      <c r="I9310" s="9" t="s">
        <v>19824</v>
      </c>
      <c r="J9310" s="10" t="str">
        <f>HYPERLINK("https://www.boe.es/gazeta/dias/1834/09/04/pdfs/GMD-C-1834-202.pdf#page=2","Abrir facsímil")</f>
        <v>Abrir facsímil</v>
      </c>
      <c r="K9310" s="10" t="s">
        <v>24</v>
      </c>
    </row>
    <row r="9311" spans="1:11" ht="54" customHeight="1">
      <c r="A9311" s="9" t="s">
        <v>19789</v>
      </c>
      <c r="B9311" s="9" t="s">
        <v>19789</v>
      </c>
      <c r="C9311" s="9" t="s">
        <v>17</v>
      </c>
      <c r="D9311" s="9" t="s">
        <v>18</v>
      </c>
      <c r="E9311" s="10" t="s">
        <v>571</v>
      </c>
      <c r="F9311" s="9" t="s">
        <v>620</v>
      </c>
      <c r="G9311" s="10" t="s">
        <v>21</v>
      </c>
      <c r="H9311" s="9" t="s">
        <v>22</v>
      </c>
      <c r="I9311" s="9" t="s">
        <v>19825</v>
      </c>
      <c r="J9311" s="10" t="str">
        <f>HYPERLINK("https://www.boe.es/gazeta/dias/1834/09/04/pdfs/GMD-C-1834-202.pdf#page=3","Abrir facsímil")</f>
        <v>Abrir facsímil</v>
      </c>
      <c r="K9311" s="10" t="s">
        <v>24</v>
      </c>
    </row>
    <row r="9312" spans="1:11" ht="54" customHeight="1">
      <c r="A9312" s="9" t="s">
        <v>19789</v>
      </c>
      <c r="B9312" s="9" t="s">
        <v>19789</v>
      </c>
      <c r="C9312" s="9" t="s">
        <v>17</v>
      </c>
      <c r="D9312" s="9" t="s">
        <v>18</v>
      </c>
      <c r="E9312" s="10" t="s">
        <v>571</v>
      </c>
      <c r="F9312" s="9" t="s">
        <v>620</v>
      </c>
      <c r="G9312" s="10" t="s">
        <v>28</v>
      </c>
      <c r="H9312" s="9" t="s">
        <v>22</v>
      </c>
      <c r="I9312" s="9" t="s">
        <v>19826</v>
      </c>
      <c r="J9312" s="10" t="str">
        <f>HYPERLINK("https://www.boe.es/gazeta/dias/1834/09/04/pdfs/GMD-C-1834-202.pdf#page=5","Abrir facsímil")</f>
        <v>Abrir facsímil</v>
      </c>
      <c r="K9312" s="10" t="s">
        <v>24</v>
      </c>
    </row>
    <row r="9313" spans="1:11" ht="54" customHeight="1">
      <c r="A9313" s="9" t="s">
        <v>19789</v>
      </c>
      <c r="B9313" s="9" t="s">
        <v>19789</v>
      </c>
      <c r="C9313" s="9" t="s">
        <v>46</v>
      </c>
      <c r="D9313" s="9" t="s">
        <v>18</v>
      </c>
      <c r="E9313" s="10" t="s">
        <v>426</v>
      </c>
      <c r="F9313" s="9" t="s">
        <v>427</v>
      </c>
      <c r="G9313" s="10" t="s">
        <v>21</v>
      </c>
      <c r="H9313" s="9" t="s">
        <v>22</v>
      </c>
      <c r="I9313" s="9" t="s">
        <v>19827</v>
      </c>
      <c r="J9313" s="10" t="str">
        <f>HYPERLINK("https://www.boe.es/gazeta/dias/1834/10/04/pdfs/GMD-1834-232.pdf#page=3","Abrir facsímil")</f>
        <v>Abrir facsímil</v>
      </c>
      <c r="K9313" s="10" t="s">
        <v>24</v>
      </c>
    </row>
    <row r="9314" spans="1:11" ht="54" customHeight="1">
      <c r="A9314" s="9" t="s">
        <v>19789</v>
      </c>
      <c r="B9314" s="9" t="s">
        <v>19789</v>
      </c>
      <c r="C9314" s="9" t="s">
        <v>66</v>
      </c>
      <c r="D9314" s="9" t="s">
        <v>67</v>
      </c>
      <c r="E9314" s="10" t="s">
        <v>8346</v>
      </c>
      <c r="F9314" s="9" t="s">
        <v>8347</v>
      </c>
      <c r="G9314" s="10" t="s">
        <v>34</v>
      </c>
      <c r="H9314" s="9" t="s">
        <v>22</v>
      </c>
      <c r="I9314" s="9" t="s">
        <v>19828</v>
      </c>
      <c r="J9314" s="10" t="str">
        <f>HYPERLINK("https://www.boe.es/gazeta/dias/1834/12/04/pdfs/GMD-1834-293.pdf#page=1","Abrir facsímil")</f>
        <v>Abrir facsímil</v>
      </c>
      <c r="K9314" s="10" t="s">
        <v>24</v>
      </c>
    </row>
    <row r="9315" spans="1:11" ht="54" customHeight="1">
      <c r="A9315" s="9" t="s">
        <v>19789</v>
      </c>
      <c r="B9315" s="9" t="s">
        <v>19789</v>
      </c>
      <c r="C9315" s="9" t="s">
        <v>17</v>
      </c>
      <c r="D9315" s="9" t="s">
        <v>18</v>
      </c>
      <c r="E9315" s="10" t="s">
        <v>8346</v>
      </c>
      <c r="F9315" s="9" t="s">
        <v>8347</v>
      </c>
      <c r="G9315" s="10" t="s">
        <v>75</v>
      </c>
      <c r="H9315" s="9" t="s">
        <v>22</v>
      </c>
      <c r="I9315" s="9" t="s">
        <v>19829</v>
      </c>
      <c r="J9315" s="10" t="str">
        <f>HYPERLINK("https://www.boe.es/gazeta/dias/1834/12/04/pdfs/GMD-1834-293.pdf#page=4","Abrir facsímil")</f>
        <v>Abrir facsímil</v>
      </c>
      <c r="K9315" s="10" t="s">
        <v>24</v>
      </c>
    </row>
    <row r="9316" spans="1:11" ht="54" customHeight="1">
      <c r="A9316" s="9" t="s">
        <v>19789</v>
      </c>
      <c r="B9316" s="9" t="s">
        <v>19789</v>
      </c>
      <c r="C9316" s="9" t="s">
        <v>66</v>
      </c>
      <c r="D9316" s="9" t="s">
        <v>55</v>
      </c>
      <c r="E9316" s="10" t="s">
        <v>1658</v>
      </c>
      <c r="F9316" s="9" t="s">
        <v>1659</v>
      </c>
      <c r="G9316" s="10" t="s">
        <v>21</v>
      </c>
      <c r="H9316" s="9" t="s">
        <v>22</v>
      </c>
      <c r="I9316" s="9" t="s">
        <v>19830</v>
      </c>
      <c r="J9316" s="10" t="str">
        <f>HYPERLINK("https://www.boe.es/gazeta/dias/1834/04/05/pdfs/GMD-1834-44.pdf#page=3","Abrir facsímil")</f>
        <v>Abrir facsímil</v>
      </c>
      <c r="K9316" s="10" t="s">
        <v>24</v>
      </c>
    </row>
    <row r="9317" spans="1:11" ht="54" customHeight="1">
      <c r="A9317" s="9" t="s">
        <v>19789</v>
      </c>
      <c r="B9317" s="9" t="s">
        <v>19789</v>
      </c>
      <c r="C9317" s="9" t="s">
        <v>66</v>
      </c>
      <c r="D9317" s="9" t="s">
        <v>67</v>
      </c>
      <c r="E9317" s="10" t="s">
        <v>1402</v>
      </c>
      <c r="F9317" s="9" t="s">
        <v>1403</v>
      </c>
      <c r="G9317" s="10" t="s">
        <v>21</v>
      </c>
      <c r="H9317" s="9" t="s">
        <v>22</v>
      </c>
      <c r="I9317" s="9" t="s">
        <v>19831</v>
      </c>
      <c r="J9317" s="10" t="str">
        <f>HYPERLINK("https://www.boe.es/gazeta/dias/1834/05/05/pdfs/GMD-1834-74.pdf#page=3","Abrir facsímil")</f>
        <v>Abrir facsímil</v>
      </c>
      <c r="K9317" s="10" t="s">
        <v>24</v>
      </c>
    </row>
    <row r="9318" spans="1:11" ht="54" customHeight="1">
      <c r="A9318" s="9" t="s">
        <v>19789</v>
      </c>
      <c r="B9318" s="9" t="s">
        <v>19789</v>
      </c>
      <c r="C9318" s="9" t="s">
        <v>17</v>
      </c>
      <c r="D9318" s="9" t="s">
        <v>18</v>
      </c>
      <c r="E9318" s="10" t="s">
        <v>1402</v>
      </c>
      <c r="F9318" s="9" t="s">
        <v>1403</v>
      </c>
      <c r="G9318" s="10" t="s">
        <v>75</v>
      </c>
      <c r="H9318" s="9" t="s">
        <v>22</v>
      </c>
      <c r="I9318" s="9" t="s">
        <v>19832</v>
      </c>
      <c r="J9318" s="10" t="str">
        <f>HYPERLINK("https://www.boe.es/gazeta/dias/1834/05/05/pdfs/GMD-1834-74.pdf#page=4","Abrir facsímil")</f>
        <v>Abrir facsímil</v>
      </c>
      <c r="K9318" s="10" t="s">
        <v>24</v>
      </c>
    </row>
    <row r="9319" spans="1:11" ht="54" customHeight="1">
      <c r="A9319" s="9" t="s">
        <v>19789</v>
      </c>
      <c r="B9319" s="9" t="s">
        <v>19789</v>
      </c>
      <c r="C9319" s="9" t="s">
        <v>66</v>
      </c>
      <c r="D9319" s="9" t="s">
        <v>18</v>
      </c>
      <c r="E9319" s="10" t="s">
        <v>4814</v>
      </c>
      <c r="F9319" s="9" t="s">
        <v>4815</v>
      </c>
      <c r="G9319" s="10" t="s">
        <v>34</v>
      </c>
      <c r="H9319" s="9" t="s">
        <v>22</v>
      </c>
      <c r="I9319" s="9" t="s">
        <v>19833</v>
      </c>
      <c r="J9319" s="10" t="str">
        <f>HYPERLINK("https://www.boe.es/gazeta/dias/1834/06/05/pdfs/GMD-1834-107.pdf#page=1","Abrir facsímil")</f>
        <v>Abrir facsímil</v>
      </c>
      <c r="K9319" s="10" t="s">
        <v>24</v>
      </c>
    </row>
    <row r="9320" spans="1:11" ht="54" customHeight="1">
      <c r="A9320" s="9" t="s">
        <v>19789</v>
      </c>
      <c r="B9320" s="9" t="s">
        <v>19789</v>
      </c>
      <c r="C9320" s="9" t="s">
        <v>17</v>
      </c>
      <c r="D9320" s="9" t="s">
        <v>18</v>
      </c>
      <c r="E9320" s="10" t="s">
        <v>1351</v>
      </c>
      <c r="F9320" s="9" t="s">
        <v>1352</v>
      </c>
      <c r="G9320" s="10" t="s">
        <v>34</v>
      </c>
      <c r="H9320" s="9" t="s">
        <v>22</v>
      </c>
      <c r="I9320" s="9" t="s">
        <v>19834</v>
      </c>
      <c r="J9320" s="10" t="str">
        <f>HYPERLINK("https://www.boe.es/gazeta/dias/1834/07/05/pdfs/GMD-1834-138.pdf#page=1","Abrir facsímil")</f>
        <v>Abrir facsímil</v>
      </c>
      <c r="K9320" s="10" t="s">
        <v>24</v>
      </c>
    </row>
    <row r="9321" spans="1:11" ht="54" customHeight="1">
      <c r="A9321" s="9" t="s">
        <v>19789</v>
      </c>
      <c r="B9321" s="9" t="s">
        <v>19789</v>
      </c>
      <c r="C9321" s="9" t="s">
        <v>17</v>
      </c>
      <c r="D9321" s="9" t="s">
        <v>18</v>
      </c>
      <c r="E9321" s="10" t="s">
        <v>47</v>
      </c>
      <c r="F9321" s="9" t="s">
        <v>48</v>
      </c>
      <c r="G9321" s="10" t="s">
        <v>21</v>
      </c>
      <c r="H9321" s="9" t="s">
        <v>22</v>
      </c>
      <c r="I9321" s="9" t="s">
        <v>19835</v>
      </c>
      <c r="J9321" s="10" t="str">
        <f>HYPERLINK("https://www.boe.es/gazeta/dias/1834/09/05/pdfs/GMD-C-1834-203.pdf#page=3","Abrir facsímil")</f>
        <v>Abrir facsímil</v>
      </c>
      <c r="K9321" s="10" t="s">
        <v>24</v>
      </c>
    </row>
    <row r="9322" spans="1:11" ht="54" customHeight="1">
      <c r="A9322" s="9" t="s">
        <v>19789</v>
      </c>
      <c r="B9322" s="9" t="s">
        <v>19789</v>
      </c>
      <c r="C9322" s="9" t="s">
        <v>46</v>
      </c>
      <c r="D9322" s="9" t="s">
        <v>101</v>
      </c>
      <c r="E9322" s="10" t="s">
        <v>47</v>
      </c>
      <c r="F9322" s="9" t="s">
        <v>48</v>
      </c>
      <c r="G9322" s="10" t="s">
        <v>75</v>
      </c>
      <c r="H9322" s="9" t="s">
        <v>22</v>
      </c>
      <c r="I9322" s="9" t="s">
        <v>19836</v>
      </c>
      <c r="J9322" s="10" t="str">
        <f>HYPERLINK("https://www.boe.es/gazeta/dias/1834/09/05/pdfs/GMD-C-1834-203.pdf#page=4","Abrir facsímil")</f>
        <v>Abrir facsímil</v>
      </c>
      <c r="K9322" s="10" t="s">
        <v>24</v>
      </c>
    </row>
    <row r="9323" spans="1:11" ht="54" customHeight="1">
      <c r="A9323" s="9" t="s">
        <v>19789</v>
      </c>
      <c r="B9323" s="9" t="s">
        <v>19789</v>
      </c>
      <c r="C9323" s="9" t="s">
        <v>17</v>
      </c>
      <c r="D9323" s="9" t="s">
        <v>18</v>
      </c>
      <c r="E9323" s="10" t="s">
        <v>1340</v>
      </c>
      <c r="F9323" s="9" t="s">
        <v>3300</v>
      </c>
      <c r="G9323" s="10" t="s">
        <v>75</v>
      </c>
      <c r="H9323" s="9" t="s">
        <v>22</v>
      </c>
      <c r="I9323" s="9" t="s">
        <v>19837</v>
      </c>
      <c r="J9323" s="10" t="str">
        <f>HYPERLINK("https://www.boe.es/gazeta/dias/1834/10/05/pdfs/GMD-1834-233.pdf#page=4","Abrir facsímil")</f>
        <v>Abrir facsímil</v>
      </c>
      <c r="K9323" s="10" t="s">
        <v>24</v>
      </c>
    </row>
    <row r="9324" spans="1:11" ht="54" customHeight="1">
      <c r="A9324" s="9" t="s">
        <v>19789</v>
      </c>
      <c r="B9324" s="9" t="s">
        <v>19789</v>
      </c>
      <c r="C9324" s="9" t="s">
        <v>17</v>
      </c>
      <c r="D9324" s="9" t="s">
        <v>18</v>
      </c>
      <c r="E9324" s="10" t="s">
        <v>11991</v>
      </c>
      <c r="F9324" s="9" t="s">
        <v>17012</v>
      </c>
      <c r="G9324" s="10" t="s">
        <v>75</v>
      </c>
      <c r="H9324" s="9" t="s">
        <v>22</v>
      </c>
      <c r="I9324" s="9" t="s">
        <v>19838</v>
      </c>
      <c r="J9324" s="10" t="str">
        <f>HYPERLINK("https://www.boe.es/gazeta/dias/1834/12/05/pdfs/GMD-1834-294.pdf#page=4","Abrir facsímil")</f>
        <v>Abrir facsímil</v>
      </c>
      <c r="K9324" s="10" t="s">
        <v>24</v>
      </c>
    </row>
    <row r="9325" spans="1:11" ht="54" customHeight="1">
      <c r="A9325" s="9" t="s">
        <v>19789</v>
      </c>
      <c r="B9325" s="9" t="s">
        <v>19789</v>
      </c>
      <c r="C9325" s="9" t="s">
        <v>17</v>
      </c>
      <c r="D9325" s="9" t="s">
        <v>18</v>
      </c>
      <c r="E9325" s="10" t="s">
        <v>3699</v>
      </c>
      <c r="F9325" s="9" t="s">
        <v>3700</v>
      </c>
      <c r="G9325" s="10" t="s">
        <v>34</v>
      </c>
      <c r="H9325" s="9" t="s">
        <v>22</v>
      </c>
      <c r="I9325" s="9" t="s">
        <v>19839</v>
      </c>
      <c r="J9325" s="10" t="str">
        <f>HYPERLINK("https://www.boe.es/gazeta/dias/1834/02/06/pdfs/GMD-1834-17.pdf#page=1","Abrir facsímil")</f>
        <v>Abrir facsímil</v>
      </c>
      <c r="K9325" s="10" t="s">
        <v>24</v>
      </c>
    </row>
    <row r="9326" spans="1:11" ht="54" customHeight="1">
      <c r="A9326" s="9" t="s">
        <v>19789</v>
      </c>
      <c r="B9326" s="9" t="s">
        <v>19789</v>
      </c>
      <c r="C9326" s="9" t="s">
        <v>46</v>
      </c>
      <c r="D9326" s="9" t="s">
        <v>55</v>
      </c>
      <c r="E9326" s="10" t="s">
        <v>3699</v>
      </c>
      <c r="F9326" s="9" t="s">
        <v>3700</v>
      </c>
      <c r="G9326" s="10" t="s">
        <v>86</v>
      </c>
      <c r="H9326" s="9" t="s">
        <v>22</v>
      </c>
      <c r="I9326" s="9" t="s">
        <v>19840</v>
      </c>
      <c r="J9326" s="10" t="str">
        <f>HYPERLINK("https://www.boe.es/gazeta/dias/1834/02/06/pdfs/GMD-1834-17.pdf#page=2","Abrir facsímil")</f>
        <v>Abrir facsímil</v>
      </c>
      <c r="K9326" s="10" t="s">
        <v>24</v>
      </c>
    </row>
    <row r="9327" spans="1:11" ht="54" customHeight="1">
      <c r="A9327" s="9" t="s">
        <v>19789</v>
      </c>
      <c r="B9327" s="9" t="s">
        <v>19789</v>
      </c>
      <c r="C9327" s="9" t="s">
        <v>17</v>
      </c>
      <c r="D9327" s="9" t="s">
        <v>18</v>
      </c>
      <c r="E9327" s="10" t="s">
        <v>317</v>
      </c>
      <c r="F9327" s="9" t="s">
        <v>318</v>
      </c>
      <c r="G9327" s="10" t="s">
        <v>34</v>
      </c>
      <c r="H9327" s="9" t="s">
        <v>22</v>
      </c>
      <c r="I9327" s="9" t="s">
        <v>19841</v>
      </c>
      <c r="J9327" s="10" t="str">
        <f>HYPERLINK("https://www.boe.es/gazeta/dias/1834/03/06/pdfs/GMD-1834-29.pdf#page=1","Abrir facsímil")</f>
        <v>Abrir facsímil</v>
      </c>
      <c r="K9327" s="10" t="s">
        <v>24</v>
      </c>
    </row>
    <row r="9328" spans="1:11" ht="54" customHeight="1">
      <c r="A9328" s="9" t="s">
        <v>19789</v>
      </c>
      <c r="B9328" s="9" t="s">
        <v>19789</v>
      </c>
      <c r="C9328" s="9" t="s">
        <v>17</v>
      </c>
      <c r="D9328" s="9" t="s">
        <v>18</v>
      </c>
      <c r="E9328" s="10" t="s">
        <v>317</v>
      </c>
      <c r="F9328" s="9" t="s">
        <v>318</v>
      </c>
      <c r="G9328" s="10" t="s">
        <v>34</v>
      </c>
      <c r="H9328" s="9" t="s">
        <v>22</v>
      </c>
      <c r="I9328" s="9" t="s">
        <v>19842</v>
      </c>
      <c r="J9328" s="10" t="str">
        <f>HYPERLINK("https://www.boe.es/gazeta/dias/1834/03/06/pdfs/I00139-00140.pdf#page=1","Abrir facsímil")</f>
        <v>Abrir facsímil</v>
      </c>
      <c r="K9328" s="10" t="s">
        <v>24</v>
      </c>
    </row>
    <row r="9329" spans="1:11" ht="54" customHeight="1">
      <c r="A9329" s="9" t="s">
        <v>19789</v>
      </c>
      <c r="B9329" s="9" t="s">
        <v>19789</v>
      </c>
      <c r="C9329" s="9" t="s">
        <v>17</v>
      </c>
      <c r="D9329" s="9" t="s">
        <v>18</v>
      </c>
      <c r="E9329" s="10" t="s">
        <v>317</v>
      </c>
      <c r="F9329" s="9" t="s">
        <v>318</v>
      </c>
      <c r="G9329" s="10" t="s">
        <v>86</v>
      </c>
      <c r="H9329" s="9" t="s">
        <v>22</v>
      </c>
      <c r="I9329" s="9" t="s">
        <v>19843</v>
      </c>
      <c r="J9329" s="10" t="str">
        <f>HYPERLINK("https://www.boe.es/gazeta/dias/1834/03/06/pdfs/GMD-1834-29.pdf#page=2","Abrir facsímil")</f>
        <v>Abrir facsímil</v>
      </c>
      <c r="K9329" s="10" t="s">
        <v>24</v>
      </c>
    </row>
    <row r="9330" spans="1:11" ht="54" customHeight="1">
      <c r="A9330" s="9" t="s">
        <v>19789</v>
      </c>
      <c r="B9330" s="9" t="s">
        <v>19789</v>
      </c>
      <c r="C9330" s="9" t="s">
        <v>17</v>
      </c>
      <c r="D9330" s="9" t="s">
        <v>18</v>
      </c>
      <c r="E9330" s="10" t="s">
        <v>317</v>
      </c>
      <c r="F9330" s="9" t="s">
        <v>318</v>
      </c>
      <c r="G9330" s="10" t="s">
        <v>21</v>
      </c>
      <c r="H9330" s="9" t="s">
        <v>22</v>
      </c>
      <c r="I9330" s="9" t="s">
        <v>19842</v>
      </c>
      <c r="J9330" s="10" t="str">
        <f>HYPERLINK("https://www.boe.es/gazeta/dias/1834/03/06/pdfs/GMD-1834-29.pdf#page=3","Abrir facsímil")</f>
        <v>Abrir facsímil</v>
      </c>
      <c r="K9330" s="10" t="s">
        <v>24</v>
      </c>
    </row>
    <row r="9331" spans="1:11" ht="54" customHeight="1">
      <c r="A9331" s="9" t="s">
        <v>19789</v>
      </c>
      <c r="B9331" s="9" t="s">
        <v>19789</v>
      </c>
      <c r="C9331" s="9" t="s">
        <v>66</v>
      </c>
      <c r="D9331" s="9" t="s">
        <v>18</v>
      </c>
      <c r="E9331" s="10" t="s">
        <v>734</v>
      </c>
      <c r="F9331" s="9" t="s">
        <v>735</v>
      </c>
      <c r="G9331" s="10" t="s">
        <v>34</v>
      </c>
      <c r="H9331" s="9" t="s">
        <v>22</v>
      </c>
      <c r="I9331" s="9" t="s">
        <v>19844</v>
      </c>
      <c r="J9331" s="10" t="str">
        <f>HYPERLINK("https://www.boe.es/gazeta/dias/1834/05/06/pdfs/GMD-1834-75.pdf#page=1","Abrir facsímil")</f>
        <v>Abrir facsímil</v>
      </c>
      <c r="K9331" s="10" t="s">
        <v>24</v>
      </c>
    </row>
    <row r="9332" spans="1:11" ht="54" customHeight="1">
      <c r="A9332" s="9" t="s">
        <v>19789</v>
      </c>
      <c r="B9332" s="9" t="s">
        <v>19789</v>
      </c>
      <c r="C9332" s="9" t="s">
        <v>66</v>
      </c>
      <c r="D9332" s="9" t="s">
        <v>18</v>
      </c>
      <c r="E9332" s="10" t="s">
        <v>1556</v>
      </c>
      <c r="F9332" s="9" t="s">
        <v>1557</v>
      </c>
      <c r="G9332" s="10" t="s">
        <v>34</v>
      </c>
      <c r="H9332" s="9" t="s">
        <v>22</v>
      </c>
      <c r="I9332" s="9" t="s">
        <v>19845</v>
      </c>
      <c r="J9332" s="10" t="str">
        <f>HYPERLINK("https://www.boe.es/gazeta/dias/1834/06/06/pdfs/GMD-1834-108.pdf#page=1","Abrir facsímil")</f>
        <v>Abrir facsímil</v>
      </c>
      <c r="K9332" s="10" t="s">
        <v>24</v>
      </c>
    </row>
    <row r="9333" spans="1:11" ht="54" customHeight="1">
      <c r="A9333" s="9" t="s">
        <v>19789</v>
      </c>
      <c r="B9333" s="9" t="s">
        <v>19789</v>
      </c>
      <c r="C9333" s="9" t="s">
        <v>17</v>
      </c>
      <c r="D9333" s="9" t="s">
        <v>18</v>
      </c>
      <c r="E9333" s="10" t="s">
        <v>1556</v>
      </c>
      <c r="F9333" s="9" t="s">
        <v>1557</v>
      </c>
      <c r="G9333" s="10" t="s">
        <v>75</v>
      </c>
      <c r="H9333" s="9" t="s">
        <v>22</v>
      </c>
      <c r="I9333" s="9" t="s">
        <v>19846</v>
      </c>
      <c r="J9333" s="10" t="str">
        <f>HYPERLINK("https://www.boe.es/gazeta/dias/1834/06/06/pdfs/GMD-1834-108.pdf#page=4","Abrir facsímil")</f>
        <v>Abrir facsímil</v>
      </c>
      <c r="K9333" s="10" t="s">
        <v>24</v>
      </c>
    </row>
    <row r="9334" spans="1:11" ht="54" customHeight="1">
      <c r="A9334" s="9" t="s">
        <v>19789</v>
      </c>
      <c r="B9334" s="9" t="s">
        <v>19789</v>
      </c>
      <c r="C9334" s="9" t="s">
        <v>46</v>
      </c>
      <c r="D9334" s="9" t="s">
        <v>101</v>
      </c>
      <c r="E9334" s="10" t="s">
        <v>3054</v>
      </c>
      <c r="F9334" s="9" t="s">
        <v>3055</v>
      </c>
      <c r="G9334" s="10" t="s">
        <v>34</v>
      </c>
      <c r="H9334" s="9" t="s">
        <v>22</v>
      </c>
      <c r="I9334" s="9" t="s">
        <v>19847</v>
      </c>
      <c r="J9334" s="10" t="str">
        <f>HYPERLINK("https://www.boe.es/gazeta/dias/1834/10/06/pdfs/GMD-1834-234.pdf#page=1","Abrir facsímil")</f>
        <v>Abrir facsímil</v>
      </c>
      <c r="K9334" s="10" t="s">
        <v>24</v>
      </c>
    </row>
    <row r="9335" spans="1:11" ht="54" customHeight="1">
      <c r="A9335" s="9" t="s">
        <v>19789</v>
      </c>
      <c r="B9335" s="9" t="s">
        <v>19789</v>
      </c>
      <c r="C9335" s="9" t="s">
        <v>17</v>
      </c>
      <c r="D9335" s="9" t="s">
        <v>18</v>
      </c>
      <c r="E9335" s="10" t="s">
        <v>1170</v>
      </c>
      <c r="F9335" s="9" t="s">
        <v>1171</v>
      </c>
      <c r="G9335" s="10" t="s">
        <v>34</v>
      </c>
      <c r="H9335" s="9" t="s">
        <v>22</v>
      </c>
      <c r="I9335" s="9" t="s">
        <v>19848</v>
      </c>
      <c r="J9335" s="10" t="str">
        <f>HYPERLINK("https://www.boe.es/gazeta/dias/1834/01/07/pdfs/GMD-1834-4.pdf#page=1","Abrir facsímil")</f>
        <v>Abrir facsímil</v>
      </c>
      <c r="K9335" s="10" t="s">
        <v>24</v>
      </c>
    </row>
    <row r="9336" spans="1:11" ht="54" customHeight="1">
      <c r="A9336" s="9" t="s">
        <v>19789</v>
      </c>
      <c r="B9336" s="9" t="s">
        <v>19789</v>
      </c>
      <c r="C9336" s="9" t="s">
        <v>122</v>
      </c>
      <c r="D9336" s="9" t="s">
        <v>18</v>
      </c>
      <c r="E9336" s="10" t="s">
        <v>1170</v>
      </c>
      <c r="F9336" s="9" t="s">
        <v>1171</v>
      </c>
      <c r="G9336" s="10" t="s">
        <v>21</v>
      </c>
      <c r="H9336" s="9" t="s">
        <v>22</v>
      </c>
      <c r="I9336" s="9" t="s">
        <v>19849</v>
      </c>
      <c r="J9336" s="10" t="str">
        <f>HYPERLINK("https://www.boe.es/gazeta/dias/1834/01/07/pdfs/GMD-1834-4.pdf#page=3","Abrir facsímil")</f>
        <v>Abrir facsímil</v>
      </c>
      <c r="K9336" s="10" t="s">
        <v>24</v>
      </c>
    </row>
    <row r="9337" spans="1:11" ht="54" customHeight="1">
      <c r="A9337" s="9" t="s">
        <v>19789</v>
      </c>
      <c r="B9337" s="9" t="s">
        <v>19789</v>
      </c>
      <c r="C9337" s="9" t="s">
        <v>17</v>
      </c>
      <c r="D9337" s="9" t="s">
        <v>18</v>
      </c>
      <c r="E9337" s="10" t="s">
        <v>1170</v>
      </c>
      <c r="F9337" s="9" t="s">
        <v>1171</v>
      </c>
      <c r="G9337" s="10" t="s">
        <v>28</v>
      </c>
      <c r="H9337" s="9" t="s">
        <v>22</v>
      </c>
      <c r="I9337" s="9" t="s">
        <v>19850</v>
      </c>
      <c r="J9337" s="10" t="str">
        <f>HYPERLINK("https://www.boe.es/gazeta/dias/1834/01/07/pdfs/GMD-1834-4.pdf#page=5","Abrir facsímil")</f>
        <v>Abrir facsímil</v>
      </c>
      <c r="K9337" s="10" t="s">
        <v>24</v>
      </c>
    </row>
    <row r="9338" spans="1:11" ht="54" customHeight="1">
      <c r="A9338" s="9" t="s">
        <v>19789</v>
      </c>
      <c r="B9338" s="9" t="s">
        <v>19789</v>
      </c>
      <c r="C9338" s="9" t="s">
        <v>17</v>
      </c>
      <c r="D9338" s="9" t="s">
        <v>18</v>
      </c>
      <c r="E9338" s="10" t="s">
        <v>1170</v>
      </c>
      <c r="F9338" s="9" t="s">
        <v>1171</v>
      </c>
      <c r="G9338" s="10" t="s">
        <v>176</v>
      </c>
      <c r="H9338" s="9" t="s">
        <v>22</v>
      </c>
      <c r="I9338" s="9" t="s">
        <v>19851</v>
      </c>
      <c r="J9338" s="10" t="str">
        <f>HYPERLINK("https://www.boe.es/gazeta/dias/1834/01/07/pdfs/GMD-1834-4.pdf#page=6","Abrir facsímil")</f>
        <v>Abrir facsímil</v>
      </c>
      <c r="K9338" s="10" t="s">
        <v>24</v>
      </c>
    </row>
    <row r="9339" spans="1:11" ht="54" customHeight="1">
      <c r="A9339" s="9" t="s">
        <v>19789</v>
      </c>
      <c r="B9339" s="9" t="s">
        <v>19789</v>
      </c>
      <c r="C9339" s="9" t="s">
        <v>66</v>
      </c>
      <c r="D9339" s="9" t="s">
        <v>67</v>
      </c>
      <c r="E9339" s="10" t="s">
        <v>360</v>
      </c>
      <c r="F9339" s="9" t="s">
        <v>361</v>
      </c>
      <c r="G9339" s="10" t="s">
        <v>34</v>
      </c>
      <c r="H9339" s="9" t="s">
        <v>22</v>
      </c>
      <c r="I9339" s="9" t="s">
        <v>19852</v>
      </c>
      <c r="J9339" s="10" t="str">
        <f>HYPERLINK("https://www.boe.es/gazeta/dias/1834/04/07/pdfs/GMD-1834-46.pdf#page=1","Abrir facsímil")</f>
        <v>Abrir facsímil</v>
      </c>
      <c r="K9339" s="10" t="s">
        <v>24</v>
      </c>
    </row>
    <row r="9340" spans="1:11" ht="54" customHeight="1">
      <c r="A9340" s="9" t="s">
        <v>19789</v>
      </c>
      <c r="B9340" s="9" t="s">
        <v>19789</v>
      </c>
      <c r="C9340" s="9" t="s">
        <v>66</v>
      </c>
      <c r="D9340" s="9" t="s">
        <v>18</v>
      </c>
      <c r="E9340" s="10" t="s">
        <v>3306</v>
      </c>
      <c r="F9340" s="9" t="s">
        <v>3307</v>
      </c>
      <c r="G9340" s="10" t="s">
        <v>34</v>
      </c>
      <c r="H9340" s="9" t="s">
        <v>22</v>
      </c>
      <c r="I9340" s="9" t="s">
        <v>19853</v>
      </c>
      <c r="J9340" s="10" t="str">
        <f>HYPERLINK("https://www.boe.es/gazeta/dias/1834/05/07/pdfs/GMD-1834-76.pdf#page=1","Abrir facsímil")</f>
        <v>Abrir facsímil</v>
      </c>
      <c r="K9340" s="10" t="s">
        <v>24</v>
      </c>
    </row>
    <row r="9341" spans="1:11" ht="54" customHeight="1">
      <c r="A9341" s="9" t="s">
        <v>19789</v>
      </c>
      <c r="B9341" s="9" t="s">
        <v>19789</v>
      </c>
      <c r="C9341" s="9" t="s">
        <v>66</v>
      </c>
      <c r="D9341" s="9" t="s">
        <v>67</v>
      </c>
      <c r="E9341" s="10" t="s">
        <v>84</v>
      </c>
      <c r="F9341" s="9" t="s">
        <v>1223</v>
      </c>
      <c r="G9341" s="10" t="s">
        <v>34</v>
      </c>
      <c r="H9341" s="9" t="s">
        <v>22</v>
      </c>
      <c r="I9341" s="9" t="s">
        <v>19854</v>
      </c>
      <c r="J9341" s="10" t="str">
        <f>HYPERLINK("https://www.boe.es/gazeta/dias/1834/06/07/pdfs/GMD-1834-109.pdf#page=1","Abrir facsímil")</f>
        <v>Abrir facsímil</v>
      </c>
      <c r="K9341" s="10" t="s">
        <v>24</v>
      </c>
    </row>
    <row r="9342" spans="1:11" ht="54" customHeight="1">
      <c r="A9342" s="9" t="s">
        <v>19789</v>
      </c>
      <c r="B9342" s="9" t="s">
        <v>19789</v>
      </c>
      <c r="C9342" s="9" t="s">
        <v>17</v>
      </c>
      <c r="D9342" s="9" t="s">
        <v>18</v>
      </c>
      <c r="E9342" s="10" t="s">
        <v>84</v>
      </c>
      <c r="F9342" s="9" t="s">
        <v>1223</v>
      </c>
      <c r="G9342" s="10" t="s">
        <v>75</v>
      </c>
      <c r="H9342" s="9" t="s">
        <v>22</v>
      </c>
      <c r="I9342" s="9" t="s">
        <v>19855</v>
      </c>
      <c r="J9342" s="10" t="str">
        <f>HYPERLINK("https://www.boe.es/gazeta/dias/1834/06/07/pdfs/GMD-1834-109.pdf#page=4","Abrir facsímil")</f>
        <v>Abrir facsímil</v>
      </c>
      <c r="K9342" s="10" t="s">
        <v>24</v>
      </c>
    </row>
    <row r="9343" spans="1:11" ht="54" customHeight="1">
      <c r="A9343" s="9" t="s">
        <v>19789</v>
      </c>
      <c r="B9343" s="9" t="s">
        <v>19789</v>
      </c>
      <c r="C9343" s="9" t="s">
        <v>90</v>
      </c>
      <c r="D9343" s="9" t="s">
        <v>40</v>
      </c>
      <c r="E9343" s="10" t="s">
        <v>429</v>
      </c>
      <c r="F9343" s="9" t="s">
        <v>3421</v>
      </c>
      <c r="G9343" s="10" t="s">
        <v>34</v>
      </c>
      <c r="H9343" s="9" t="s">
        <v>22</v>
      </c>
      <c r="I9343" s="9" t="s">
        <v>19856</v>
      </c>
      <c r="J9343" s="10" t="str">
        <f>HYPERLINK("https://www.boe.es/gazeta/dias/1834/08/07/pdfs/GMD-1834-172.pdf#page=1","Abrir facsímil")</f>
        <v>Abrir facsímil</v>
      </c>
      <c r="K9343" s="10" t="s">
        <v>24</v>
      </c>
    </row>
    <row r="9344" spans="1:11" ht="54" customHeight="1">
      <c r="A9344" s="9" t="s">
        <v>19789</v>
      </c>
      <c r="B9344" s="9" t="s">
        <v>19789</v>
      </c>
      <c r="C9344" s="9" t="s">
        <v>17</v>
      </c>
      <c r="D9344" s="9" t="s">
        <v>18</v>
      </c>
      <c r="E9344" s="10" t="s">
        <v>167</v>
      </c>
      <c r="F9344" s="9" t="s">
        <v>1200</v>
      </c>
      <c r="G9344" s="10" t="s">
        <v>34</v>
      </c>
      <c r="H9344" s="9" t="s">
        <v>22</v>
      </c>
      <c r="I9344" s="9" t="s">
        <v>19857</v>
      </c>
      <c r="J9344" s="10" t="str">
        <f>HYPERLINK("https://www.boe.es/gazeta/dias/1834/09/07/pdfs/GMD-C-1834-205.pdf#page=1","Abrir facsímil")</f>
        <v>Abrir facsímil</v>
      </c>
      <c r="K9344" s="10" t="s">
        <v>24</v>
      </c>
    </row>
    <row r="9345" spans="1:11" ht="54" customHeight="1">
      <c r="A9345" s="9" t="s">
        <v>19789</v>
      </c>
      <c r="B9345" s="9" t="s">
        <v>19789</v>
      </c>
      <c r="C9345" s="9" t="s">
        <v>17</v>
      </c>
      <c r="D9345" s="9" t="s">
        <v>40</v>
      </c>
      <c r="E9345" s="10" t="s">
        <v>433</v>
      </c>
      <c r="F9345" s="9" t="s">
        <v>2773</v>
      </c>
      <c r="G9345" s="10" t="s">
        <v>86</v>
      </c>
      <c r="H9345" s="9" t="s">
        <v>22</v>
      </c>
      <c r="I9345" s="9" t="s">
        <v>19858</v>
      </c>
      <c r="J9345" s="10" t="str">
        <f>HYPERLINK("https://www.boe.es/gazeta/dias/1834/10/07/pdfs/I00986-00987.pdf#page=2","Abrir facsímil")</f>
        <v>Abrir facsímil</v>
      </c>
      <c r="K9345" s="10" t="s">
        <v>24</v>
      </c>
    </row>
    <row r="9346" spans="1:11" ht="54" customHeight="1">
      <c r="A9346" s="9" t="s">
        <v>19789</v>
      </c>
      <c r="B9346" s="9" t="s">
        <v>19789</v>
      </c>
      <c r="C9346" s="9" t="s">
        <v>17</v>
      </c>
      <c r="D9346" s="9" t="s">
        <v>40</v>
      </c>
      <c r="E9346" s="10" t="s">
        <v>433</v>
      </c>
      <c r="F9346" s="9" t="s">
        <v>2773</v>
      </c>
      <c r="G9346" s="10" t="s">
        <v>21</v>
      </c>
      <c r="H9346" s="9" t="s">
        <v>22</v>
      </c>
      <c r="I9346" s="9" t="s">
        <v>19858</v>
      </c>
      <c r="J9346" s="10" t="str">
        <f>HYPERLINK("https://www.boe.es/gazeta/dias/1834/10/07/pdfs/GMD-1834-235.pdf#page=3","Abrir facsímil")</f>
        <v>Abrir facsímil</v>
      </c>
      <c r="K9346" s="10" t="s">
        <v>24</v>
      </c>
    </row>
    <row r="9347" spans="1:11" ht="54" customHeight="1">
      <c r="A9347" s="9" t="s">
        <v>19789</v>
      </c>
      <c r="B9347" s="9" t="s">
        <v>19789</v>
      </c>
      <c r="C9347" s="9" t="s">
        <v>66</v>
      </c>
      <c r="D9347" s="9" t="s">
        <v>18</v>
      </c>
      <c r="E9347" s="10" t="s">
        <v>762</v>
      </c>
      <c r="F9347" s="9" t="s">
        <v>763</v>
      </c>
      <c r="G9347" s="10" t="s">
        <v>34</v>
      </c>
      <c r="H9347" s="9" t="s">
        <v>22</v>
      </c>
      <c r="I9347" s="9" t="s">
        <v>19859</v>
      </c>
      <c r="J9347" s="10" t="str">
        <f>HYPERLINK("https://www.boe.es/gazeta/dias/1834/11/07/pdfs/GMD-1834-266.pdf#page=1","Abrir facsímil")</f>
        <v>Abrir facsímil</v>
      </c>
      <c r="K9347" s="10" t="s">
        <v>24</v>
      </c>
    </row>
    <row r="9348" spans="1:11" ht="54" customHeight="1">
      <c r="A9348" s="9" t="s">
        <v>19789</v>
      </c>
      <c r="B9348" s="9" t="s">
        <v>19789</v>
      </c>
      <c r="C9348" s="9" t="s">
        <v>17</v>
      </c>
      <c r="D9348" s="9" t="s">
        <v>18</v>
      </c>
      <c r="E9348" s="10" t="s">
        <v>860</v>
      </c>
      <c r="F9348" s="9" t="s">
        <v>861</v>
      </c>
      <c r="G9348" s="10" t="s">
        <v>34</v>
      </c>
      <c r="H9348" s="9" t="s">
        <v>22</v>
      </c>
      <c r="I9348" s="9" t="s">
        <v>19860</v>
      </c>
      <c r="J9348" s="10" t="str">
        <f>HYPERLINK("https://www.boe.es/gazeta/dias/1834/02/08/pdfs/GMD-1834-18.pdf#page=1","Abrir facsímil")</f>
        <v>Abrir facsímil</v>
      </c>
      <c r="K9348" s="10" t="s">
        <v>24</v>
      </c>
    </row>
    <row r="9349" spans="1:11" ht="54" customHeight="1">
      <c r="A9349" s="9" t="s">
        <v>19789</v>
      </c>
      <c r="B9349" s="9" t="s">
        <v>19789</v>
      </c>
      <c r="C9349" s="9" t="s">
        <v>17</v>
      </c>
      <c r="D9349" s="9" t="s">
        <v>18</v>
      </c>
      <c r="E9349" s="10" t="s">
        <v>860</v>
      </c>
      <c r="F9349" s="9" t="s">
        <v>861</v>
      </c>
      <c r="G9349" s="10" t="s">
        <v>86</v>
      </c>
      <c r="H9349" s="9" t="s">
        <v>22</v>
      </c>
      <c r="I9349" s="9" t="s">
        <v>19861</v>
      </c>
      <c r="J9349" s="10" t="str">
        <f>HYPERLINK("https://www.boe.es/gazeta/dias/1834/02/08/pdfs/GMD-1834-18.pdf#page=2","Abrir facsímil")</f>
        <v>Abrir facsímil</v>
      </c>
      <c r="K9349" s="10" t="s">
        <v>24</v>
      </c>
    </row>
    <row r="9350" spans="1:11" ht="54" customHeight="1">
      <c r="A9350" s="9" t="s">
        <v>19789</v>
      </c>
      <c r="B9350" s="9" t="s">
        <v>19789</v>
      </c>
      <c r="C9350" s="9" t="s">
        <v>17</v>
      </c>
      <c r="D9350" s="9" t="s">
        <v>18</v>
      </c>
      <c r="E9350" s="10" t="s">
        <v>860</v>
      </c>
      <c r="F9350" s="9" t="s">
        <v>861</v>
      </c>
      <c r="G9350" s="10" t="s">
        <v>21</v>
      </c>
      <c r="H9350" s="9" t="s">
        <v>22</v>
      </c>
      <c r="I9350" s="9" t="s">
        <v>19862</v>
      </c>
      <c r="J9350" s="10" t="str">
        <f>HYPERLINK("https://www.boe.es/gazeta/dias/1834/02/08/pdfs/GMD-1834-18.pdf#page=3","Abrir facsímil")</f>
        <v>Abrir facsímil</v>
      </c>
      <c r="K9350" s="10" t="s">
        <v>24</v>
      </c>
    </row>
    <row r="9351" spans="1:11" ht="54" customHeight="1">
      <c r="A9351" s="9" t="s">
        <v>19789</v>
      </c>
      <c r="B9351" s="9" t="s">
        <v>19789</v>
      </c>
      <c r="C9351" s="9" t="s">
        <v>122</v>
      </c>
      <c r="D9351" s="9" t="s">
        <v>18</v>
      </c>
      <c r="E9351" s="10" t="s">
        <v>860</v>
      </c>
      <c r="F9351" s="9" t="s">
        <v>861</v>
      </c>
      <c r="G9351" s="10" t="s">
        <v>75</v>
      </c>
      <c r="H9351" s="9" t="s">
        <v>22</v>
      </c>
      <c r="I9351" s="9" t="s">
        <v>19863</v>
      </c>
      <c r="J9351" s="10" t="str">
        <f>HYPERLINK("https://www.boe.es/gazeta/dias/1834/02/08/pdfs/GMD-1834-18.pdf#page=4","Abrir facsímil")</f>
        <v>Abrir facsímil</v>
      </c>
      <c r="K9351" s="10" t="s">
        <v>24</v>
      </c>
    </row>
    <row r="9352" spans="1:11" ht="54" customHeight="1">
      <c r="A9352" s="9" t="s">
        <v>19789</v>
      </c>
      <c r="B9352" s="9" t="s">
        <v>19789</v>
      </c>
      <c r="C9352" s="9" t="s">
        <v>17</v>
      </c>
      <c r="D9352" s="9" t="s">
        <v>18</v>
      </c>
      <c r="E9352" s="10" t="s">
        <v>860</v>
      </c>
      <c r="F9352" s="9" t="s">
        <v>861</v>
      </c>
      <c r="G9352" s="10" t="s">
        <v>28</v>
      </c>
      <c r="H9352" s="9" t="s">
        <v>22</v>
      </c>
      <c r="I9352" s="9" t="s">
        <v>19864</v>
      </c>
      <c r="J9352" s="10" t="str">
        <f>HYPERLINK("https://www.boe.es/gazeta/dias/1834/02/08/pdfs/GMD-1834-18.pdf#page=5","Abrir facsímil")</f>
        <v>Abrir facsímil</v>
      </c>
      <c r="K9352" s="10" t="s">
        <v>24</v>
      </c>
    </row>
    <row r="9353" spans="1:11" ht="54" customHeight="1">
      <c r="A9353" s="9" t="s">
        <v>19789</v>
      </c>
      <c r="B9353" s="9" t="s">
        <v>19789</v>
      </c>
      <c r="C9353" s="9" t="s">
        <v>66</v>
      </c>
      <c r="D9353" s="9" t="s">
        <v>67</v>
      </c>
      <c r="E9353" s="10" t="s">
        <v>860</v>
      </c>
      <c r="F9353" s="9" t="s">
        <v>861</v>
      </c>
      <c r="G9353" s="10" t="s">
        <v>176</v>
      </c>
      <c r="H9353" s="9" t="s">
        <v>22</v>
      </c>
      <c r="I9353" s="9" t="s">
        <v>19865</v>
      </c>
      <c r="J9353" s="10" t="str">
        <f>HYPERLINK("https://www.boe.es/gazeta/dias/1834/02/08/pdfs/GMD-1834-18.pdf#page=6","Abrir facsímil")</f>
        <v>Abrir facsímil</v>
      </c>
      <c r="K9353" s="10" t="s">
        <v>24</v>
      </c>
    </row>
    <row r="9354" spans="1:11" ht="54" customHeight="1">
      <c r="A9354" s="9" t="s">
        <v>19789</v>
      </c>
      <c r="B9354" s="9" t="s">
        <v>19789</v>
      </c>
      <c r="C9354" s="9" t="s">
        <v>122</v>
      </c>
      <c r="D9354" s="9" t="s">
        <v>18</v>
      </c>
      <c r="E9354" s="10" t="s">
        <v>2091</v>
      </c>
      <c r="F9354" s="9" t="s">
        <v>2092</v>
      </c>
      <c r="G9354" s="10" t="s">
        <v>34</v>
      </c>
      <c r="H9354" s="9" t="s">
        <v>22</v>
      </c>
      <c r="I9354" s="9" t="s">
        <v>19866</v>
      </c>
      <c r="J9354" s="10" t="str">
        <f>HYPERLINK("https://www.boe.es/gazeta/dias/1834/03/08/pdfs/GMD-1834-30.pdf#page=1","Abrir facsímil")</f>
        <v>Abrir facsímil</v>
      </c>
      <c r="K9354" s="10" t="s">
        <v>24</v>
      </c>
    </row>
    <row r="9355" spans="1:11" ht="54" customHeight="1">
      <c r="A9355" s="9" t="s">
        <v>19789</v>
      </c>
      <c r="B9355" s="9" t="s">
        <v>19789</v>
      </c>
      <c r="C9355" s="9" t="s">
        <v>66</v>
      </c>
      <c r="D9355" s="9" t="s">
        <v>18</v>
      </c>
      <c r="E9355" s="10" t="s">
        <v>12114</v>
      </c>
      <c r="F9355" s="9" t="s">
        <v>12115</v>
      </c>
      <c r="G9355" s="10" t="s">
        <v>34</v>
      </c>
      <c r="H9355" s="9" t="s">
        <v>22</v>
      </c>
      <c r="I9355" s="9" t="s">
        <v>19867</v>
      </c>
      <c r="J9355" s="10" t="str">
        <f>HYPERLINK("https://www.boe.es/gazeta/dias/1834/04/08/pdfs/GMD-1834-47.pdf#page=1","Abrir facsímil")</f>
        <v>Abrir facsímil</v>
      </c>
      <c r="K9355" s="10" t="s">
        <v>24</v>
      </c>
    </row>
    <row r="9356" spans="1:11" ht="54" customHeight="1">
      <c r="A9356" s="9" t="s">
        <v>19789</v>
      </c>
      <c r="B9356" s="9" t="s">
        <v>19789</v>
      </c>
      <c r="C9356" s="9" t="s">
        <v>66</v>
      </c>
      <c r="D9356" s="9" t="s">
        <v>18</v>
      </c>
      <c r="E9356" s="10" t="s">
        <v>1505</v>
      </c>
      <c r="F9356" s="9" t="s">
        <v>1506</v>
      </c>
      <c r="G9356" s="10" t="s">
        <v>34</v>
      </c>
      <c r="H9356" s="9" t="s">
        <v>22</v>
      </c>
      <c r="I9356" s="9" t="s">
        <v>19868</v>
      </c>
      <c r="J9356" s="10" t="str">
        <f>HYPERLINK("https://www.boe.es/gazeta/dias/1834/05/08/pdfs/GMD-1834-77.pdf#page=1","Abrir facsímil")</f>
        <v>Abrir facsímil</v>
      </c>
      <c r="K9356" s="10" t="s">
        <v>24</v>
      </c>
    </row>
    <row r="9357" spans="1:11" ht="54" customHeight="1">
      <c r="A9357" s="9" t="s">
        <v>19789</v>
      </c>
      <c r="B9357" s="9" t="s">
        <v>19789</v>
      </c>
      <c r="C9357" s="9" t="s">
        <v>17</v>
      </c>
      <c r="D9357" s="9" t="s">
        <v>40</v>
      </c>
      <c r="E9357" s="10" t="s">
        <v>61</v>
      </c>
      <c r="F9357" s="9" t="s">
        <v>205</v>
      </c>
      <c r="G9357" s="10" t="s">
        <v>75</v>
      </c>
      <c r="H9357" s="9" t="s">
        <v>22</v>
      </c>
      <c r="I9357" s="9" t="s">
        <v>19869</v>
      </c>
      <c r="J9357" s="10" t="str">
        <f>HYPERLINK("https://www.boe.es/gazeta/dias/1834/06/08/pdfs/GMD-1834-110.pdf#page=4","Abrir facsímil")</f>
        <v>Abrir facsímil</v>
      </c>
      <c r="K9357" s="10" t="s">
        <v>24</v>
      </c>
    </row>
    <row r="9358" spans="1:11" ht="54" customHeight="1">
      <c r="A9358" s="9" t="s">
        <v>19789</v>
      </c>
      <c r="B9358" s="9" t="s">
        <v>19789</v>
      </c>
      <c r="C9358" s="9" t="s">
        <v>17</v>
      </c>
      <c r="D9358" s="9" t="s">
        <v>18</v>
      </c>
      <c r="E9358" s="10" t="s">
        <v>61</v>
      </c>
      <c r="F9358" s="9" t="s">
        <v>62</v>
      </c>
      <c r="G9358" s="10" t="s">
        <v>34</v>
      </c>
      <c r="H9358" s="9" t="s">
        <v>22</v>
      </c>
      <c r="I9358" s="9" t="s">
        <v>19870</v>
      </c>
      <c r="J9358" s="10" t="str">
        <f>HYPERLINK("https://www.boe.es/gazeta/dias/1834/06/08/pdfs/GMD-1834-111E.pdf#page=1","Abrir facsímil")</f>
        <v>Abrir facsímil</v>
      </c>
      <c r="K9358" s="10" t="s">
        <v>24</v>
      </c>
    </row>
    <row r="9359" spans="1:11" ht="54" customHeight="1">
      <c r="A9359" s="9" t="s">
        <v>19789</v>
      </c>
      <c r="B9359" s="9" t="s">
        <v>19789</v>
      </c>
      <c r="C9359" s="9" t="s">
        <v>17</v>
      </c>
      <c r="D9359" s="9" t="s">
        <v>18</v>
      </c>
      <c r="E9359" s="10" t="s">
        <v>399</v>
      </c>
      <c r="F9359" s="9" t="s">
        <v>400</v>
      </c>
      <c r="G9359" s="10" t="s">
        <v>34</v>
      </c>
      <c r="H9359" s="9" t="s">
        <v>22</v>
      </c>
      <c r="I9359" s="9" t="s">
        <v>19871</v>
      </c>
      <c r="J9359" s="10" t="str">
        <f>HYPERLINK("https://www.boe.es/gazeta/dias/1834/07/08/pdfs/GMD-1834-141.pdf#page=1","Abrir facsímil")</f>
        <v>Abrir facsímil</v>
      </c>
      <c r="K9359" s="10" t="s">
        <v>24</v>
      </c>
    </row>
    <row r="9360" spans="1:11" ht="54" customHeight="1">
      <c r="A9360" s="9" t="s">
        <v>19789</v>
      </c>
      <c r="B9360" s="9" t="s">
        <v>19789</v>
      </c>
      <c r="C9360" s="9" t="s">
        <v>46</v>
      </c>
      <c r="D9360" s="9" t="s">
        <v>101</v>
      </c>
      <c r="E9360" s="10" t="s">
        <v>793</v>
      </c>
      <c r="F9360" s="9" t="s">
        <v>1895</v>
      </c>
      <c r="G9360" s="10" t="s">
        <v>21</v>
      </c>
      <c r="H9360" s="9" t="s">
        <v>22</v>
      </c>
      <c r="I9360" s="9" t="s">
        <v>19872</v>
      </c>
      <c r="J9360" s="10" t="str">
        <f>HYPERLINK("https://www.boe.es/gazeta/dias/1834/10/08/pdfs/GMD-C-1834-236.pdf#page=3","Abrir facsímil")</f>
        <v>Abrir facsímil</v>
      </c>
      <c r="K9360" s="10" t="s">
        <v>24</v>
      </c>
    </row>
    <row r="9361" spans="1:11" ht="54" customHeight="1">
      <c r="A9361" s="9" t="s">
        <v>19789</v>
      </c>
      <c r="B9361" s="9" t="s">
        <v>19789</v>
      </c>
      <c r="C9361" s="9" t="s">
        <v>17</v>
      </c>
      <c r="D9361" s="9" t="s">
        <v>18</v>
      </c>
      <c r="E9361" s="10" t="s">
        <v>793</v>
      </c>
      <c r="F9361" s="9" t="s">
        <v>1895</v>
      </c>
      <c r="G9361" s="10" t="s">
        <v>75</v>
      </c>
      <c r="H9361" s="9" t="s">
        <v>22</v>
      </c>
      <c r="I9361" s="9" t="s">
        <v>19873</v>
      </c>
      <c r="J9361" s="10" t="str">
        <f>HYPERLINK("https://www.boe.es/gazeta/dias/1834/10/08/pdfs/GMD-C-1834-236.pdf#page=4","Abrir facsímil")</f>
        <v>Abrir facsímil</v>
      </c>
      <c r="K9361" s="10" t="s">
        <v>24</v>
      </c>
    </row>
    <row r="9362" spans="1:11" ht="54" customHeight="1">
      <c r="A9362" s="9" t="s">
        <v>19789</v>
      </c>
      <c r="B9362" s="9" t="s">
        <v>19789</v>
      </c>
      <c r="C9362" s="9" t="s">
        <v>17</v>
      </c>
      <c r="D9362" s="9" t="s">
        <v>55</v>
      </c>
      <c r="E9362" s="10" t="s">
        <v>1008</v>
      </c>
      <c r="F9362" s="9" t="s">
        <v>1009</v>
      </c>
      <c r="G9362" s="10" t="s">
        <v>560</v>
      </c>
      <c r="H9362" s="9" t="s">
        <v>22</v>
      </c>
      <c r="I9362" s="9" t="s">
        <v>19874</v>
      </c>
      <c r="J9362" s="10" t="str">
        <f>HYPERLINK("https://www.boe.es/gazeta/dias/1834/11/08/pdfs/GMD-C-1834-267.pdf#page=7","Abrir facsímil")</f>
        <v>Abrir facsímil</v>
      </c>
      <c r="K9362" s="10" t="s">
        <v>24</v>
      </c>
    </row>
    <row r="9363" spans="1:11" ht="54" customHeight="1">
      <c r="A9363" s="9" t="s">
        <v>19789</v>
      </c>
      <c r="B9363" s="9" t="s">
        <v>19789</v>
      </c>
      <c r="C9363" s="9" t="s">
        <v>17</v>
      </c>
      <c r="D9363" s="9" t="s">
        <v>18</v>
      </c>
      <c r="E9363" s="10" t="s">
        <v>2748</v>
      </c>
      <c r="F9363" s="9" t="s">
        <v>2749</v>
      </c>
      <c r="G9363" s="10" t="s">
        <v>34</v>
      </c>
      <c r="H9363" s="9" t="s">
        <v>22</v>
      </c>
      <c r="I9363" s="9" t="s">
        <v>19875</v>
      </c>
      <c r="J9363" s="10" t="str">
        <f>HYPERLINK("https://www.boe.es/gazeta/dias/1834/01/09/pdfs/GMD-1834-5.pdf#page=1","Abrir facsímil")</f>
        <v>Abrir facsímil</v>
      </c>
      <c r="K9363" s="10" t="s">
        <v>24</v>
      </c>
    </row>
    <row r="9364" spans="1:11" ht="54" customHeight="1">
      <c r="A9364" s="9" t="s">
        <v>19789</v>
      </c>
      <c r="B9364" s="9" t="s">
        <v>19789</v>
      </c>
      <c r="C9364" s="9" t="s">
        <v>857</v>
      </c>
      <c r="D9364" s="9" t="s">
        <v>18</v>
      </c>
      <c r="E9364" s="10" t="s">
        <v>2748</v>
      </c>
      <c r="F9364" s="9" t="s">
        <v>2749</v>
      </c>
      <c r="G9364" s="10" t="s">
        <v>86</v>
      </c>
      <c r="H9364" s="9" t="s">
        <v>22</v>
      </c>
      <c r="I9364" s="9" t="s">
        <v>19876</v>
      </c>
      <c r="J9364" s="10" t="str">
        <f>HYPERLINK("https://www.boe.es/gazeta/dias/1834/01/09/pdfs/GMD-1834-5.pdf#page=2","Abrir facsímil")</f>
        <v>Abrir facsímil</v>
      </c>
      <c r="K9364" s="10" t="s">
        <v>24</v>
      </c>
    </row>
    <row r="9365" spans="1:11" ht="54" customHeight="1">
      <c r="A9365" s="9" t="s">
        <v>19789</v>
      </c>
      <c r="B9365" s="9" t="s">
        <v>19789</v>
      </c>
      <c r="C9365" s="9" t="s">
        <v>46</v>
      </c>
      <c r="D9365" s="9" t="s">
        <v>55</v>
      </c>
      <c r="E9365" s="10" t="s">
        <v>2748</v>
      </c>
      <c r="F9365" s="9" t="s">
        <v>2749</v>
      </c>
      <c r="G9365" s="10" t="s">
        <v>21</v>
      </c>
      <c r="H9365" s="9" t="s">
        <v>22</v>
      </c>
      <c r="I9365" s="9" t="s">
        <v>19877</v>
      </c>
      <c r="J9365" s="10" t="str">
        <f>HYPERLINK("https://www.boe.es/gazeta/dias/1834/01/09/pdfs/GMD-1834-5.pdf#page=3","Abrir facsímil")</f>
        <v>Abrir facsímil</v>
      </c>
      <c r="K9365" s="10" t="s">
        <v>24</v>
      </c>
    </row>
    <row r="9366" spans="1:11" ht="54" customHeight="1">
      <c r="A9366" s="9" t="s">
        <v>19789</v>
      </c>
      <c r="B9366" s="9" t="s">
        <v>19789</v>
      </c>
      <c r="C9366" s="9" t="s">
        <v>17</v>
      </c>
      <c r="D9366" s="9" t="s">
        <v>18</v>
      </c>
      <c r="E9366" s="10" t="s">
        <v>2748</v>
      </c>
      <c r="F9366" s="9" t="s">
        <v>2749</v>
      </c>
      <c r="G9366" s="10" t="s">
        <v>75</v>
      </c>
      <c r="H9366" s="9" t="s">
        <v>22</v>
      </c>
      <c r="I9366" s="9" t="s">
        <v>19878</v>
      </c>
      <c r="J9366" s="10" t="str">
        <f>HYPERLINK("https://www.boe.es/gazeta/dias/1834/01/09/pdfs/GMD-1834-5.pdf#page=4","Abrir facsímil")</f>
        <v>Abrir facsímil</v>
      </c>
      <c r="K9366" s="10" t="s">
        <v>24</v>
      </c>
    </row>
    <row r="9367" spans="1:11" ht="54" customHeight="1">
      <c r="A9367" s="9" t="s">
        <v>19789</v>
      </c>
      <c r="B9367" s="9" t="s">
        <v>19789</v>
      </c>
      <c r="C9367" s="9" t="s">
        <v>66</v>
      </c>
      <c r="D9367" s="9" t="s">
        <v>55</v>
      </c>
      <c r="E9367" s="10" t="s">
        <v>1999</v>
      </c>
      <c r="F9367" s="9" t="s">
        <v>2000</v>
      </c>
      <c r="G9367" s="10" t="s">
        <v>34</v>
      </c>
      <c r="H9367" s="9" t="s">
        <v>22</v>
      </c>
      <c r="I9367" s="9" t="s">
        <v>19879</v>
      </c>
      <c r="J9367" s="10" t="str">
        <f>HYPERLINK("https://www.boe.es/gazeta/dias/1834/04/09/pdfs/GMD-1834-48.pdf#page=1","Abrir facsímil")</f>
        <v>Abrir facsímil</v>
      </c>
      <c r="K9367" s="10" t="s">
        <v>24</v>
      </c>
    </row>
    <row r="9368" spans="1:11" ht="54" customHeight="1">
      <c r="A9368" s="9" t="s">
        <v>19789</v>
      </c>
      <c r="B9368" s="9" t="s">
        <v>19789</v>
      </c>
      <c r="C9368" s="9" t="s">
        <v>46</v>
      </c>
      <c r="D9368" s="9" t="s">
        <v>18</v>
      </c>
      <c r="E9368" s="10" t="s">
        <v>2004</v>
      </c>
      <c r="F9368" s="9" t="s">
        <v>2005</v>
      </c>
      <c r="G9368" s="10" t="s">
        <v>34</v>
      </c>
      <c r="H9368" s="9" t="s">
        <v>22</v>
      </c>
      <c r="I9368" s="9" t="s">
        <v>19880</v>
      </c>
      <c r="J9368" s="10" t="str">
        <f>HYPERLINK("https://www.boe.es/gazeta/dias/1834/05/09/pdfs/GMD-1834-78.pdf#page=1","Abrir facsímil")</f>
        <v>Abrir facsímil</v>
      </c>
      <c r="K9368" s="10" t="s">
        <v>24</v>
      </c>
    </row>
    <row r="9369" spans="1:11" ht="54" customHeight="1">
      <c r="A9369" s="9" t="s">
        <v>19789</v>
      </c>
      <c r="B9369" s="9" t="s">
        <v>19789</v>
      </c>
      <c r="C9369" s="9" t="s">
        <v>17</v>
      </c>
      <c r="D9369" s="9" t="s">
        <v>40</v>
      </c>
      <c r="E9369" s="10" t="s">
        <v>2124</v>
      </c>
      <c r="F9369" s="9" t="s">
        <v>2125</v>
      </c>
      <c r="G9369" s="10" t="s">
        <v>75</v>
      </c>
      <c r="H9369" s="9" t="s">
        <v>22</v>
      </c>
      <c r="I9369" s="9" t="s">
        <v>19881</v>
      </c>
      <c r="J9369" s="10" t="str">
        <f>HYPERLINK("https://www.boe.es/gazeta/dias/1834/06/09/pdfs/GMD-1834-112.pdf#page=4","Abrir facsímil")</f>
        <v>Abrir facsímil</v>
      </c>
      <c r="K9369" s="10" t="s">
        <v>24</v>
      </c>
    </row>
    <row r="9370" spans="1:11" ht="54" customHeight="1">
      <c r="A9370" s="9" t="s">
        <v>19789</v>
      </c>
      <c r="B9370" s="9" t="s">
        <v>19789</v>
      </c>
      <c r="C9370" s="9" t="s">
        <v>66</v>
      </c>
      <c r="D9370" s="9" t="s">
        <v>18</v>
      </c>
      <c r="E9370" s="10" t="s">
        <v>163</v>
      </c>
      <c r="F9370" s="9" t="s">
        <v>164</v>
      </c>
      <c r="G9370" s="10" t="s">
        <v>34</v>
      </c>
      <c r="H9370" s="9" t="s">
        <v>22</v>
      </c>
      <c r="I9370" s="9" t="s">
        <v>19882</v>
      </c>
      <c r="J9370" s="10" t="str">
        <f>HYPERLINK("https://www.boe.es/gazeta/dias/1834/08/09/pdfs/GMD-1834-174.pdf#page=1","Abrir facsímil")</f>
        <v>Abrir facsímil</v>
      </c>
      <c r="K9370" s="10" t="s">
        <v>24</v>
      </c>
    </row>
    <row r="9371" spans="1:11" ht="54" customHeight="1">
      <c r="A9371" s="9" t="s">
        <v>19789</v>
      </c>
      <c r="B9371" s="9" t="s">
        <v>19789</v>
      </c>
      <c r="C9371" s="9" t="s">
        <v>17</v>
      </c>
      <c r="D9371" s="9" t="s">
        <v>18</v>
      </c>
      <c r="E9371" s="10" t="s">
        <v>258</v>
      </c>
      <c r="F9371" s="9" t="s">
        <v>259</v>
      </c>
      <c r="G9371" s="10" t="s">
        <v>34</v>
      </c>
      <c r="H9371" s="9" t="s">
        <v>22</v>
      </c>
      <c r="I9371" s="9" t="s">
        <v>19883</v>
      </c>
      <c r="J9371" s="10" t="str">
        <f>HYPERLINK("https://www.boe.es/gazeta/dias/1834/10/09/pdfs/GMD-C-1834-237.pdf#page=1","Abrir facsímil")</f>
        <v>Abrir facsímil</v>
      </c>
      <c r="K9371" s="10" t="s">
        <v>24</v>
      </c>
    </row>
    <row r="9372" spans="1:11" ht="54" customHeight="1">
      <c r="A9372" s="9" t="s">
        <v>19789</v>
      </c>
      <c r="B9372" s="9" t="s">
        <v>19789</v>
      </c>
      <c r="C9372" s="9" t="s">
        <v>66</v>
      </c>
      <c r="D9372" s="9" t="s">
        <v>67</v>
      </c>
      <c r="E9372" s="10" t="s">
        <v>258</v>
      </c>
      <c r="F9372" s="9" t="s">
        <v>259</v>
      </c>
      <c r="G9372" s="10" t="s">
        <v>176</v>
      </c>
      <c r="H9372" s="9" t="s">
        <v>22</v>
      </c>
      <c r="I9372" s="9" t="s">
        <v>19884</v>
      </c>
      <c r="J9372" s="10" t="str">
        <f>HYPERLINK("https://www.boe.es/gazeta/dias/1834/10/09/pdfs/GMD-C-1834-237.pdf#page=6","Abrir facsímil")</f>
        <v>Abrir facsímil</v>
      </c>
      <c r="K9372" s="10" t="s">
        <v>24</v>
      </c>
    </row>
    <row r="9373" spans="1:11" ht="54" customHeight="1">
      <c r="A9373" s="9" t="s">
        <v>19789</v>
      </c>
      <c r="B9373" s="9" t="s">
        <v>19789</v>
      </c>
      <c r="C9373" s="9" t="s">
        <v>17</v>
      </c>
      <c r="D9373" s="9" t="s">
        <v>18</v>
      </c>
      <c r="E9373" s="10" t="s">
        <v>438</v>
      </c>
      <c r="F9373" s="9" t="s">
        <v>439</v>
      </c>
      <c r="G9373" s="10" t="s">
        <v>75</v>
      </c>
      <c r="H9373" s="9" t="s">
        <v>22</v>
      </c>
      <c r="I9373" s="9" t="s">
        <v>19885</v>
      </c>
      <c r="J9373" s="10" t="str">
        <f>HYPERLINK("https://www.boe.es/gazeta/dias/1834/11/09/pdfs/GMD-1834-268.pdf#page=4","Abrir facsímil")</f>
        <v>Abrir facsímil</v>
      </c>
      <c r="K9373" s="10" t="s">
        <v>24</v>
      </c>
    </row>
    <row r="9374" spans="1:11" ht="54" customHeight="1">
      <c r="A9374" s="9" t="s">
        <v>19789</v>
      </c>
      <c r="B9374" s="9" t="s">
        <v>19789</v>
      </c>
      <c r="C9374" s="9" t="s">
        <v>17</v>
      </c>
      <c r="D9374" s="9" t="s">
        <v>18</v>
      </c>
      <c r="E9374" s="10" t="s">
        <v>1178</v>
      </c>
      <c r="F9374" s="9" t="s">
        <v>14853</v>
      </c>
      <c r="G9374" s="10" t="s">
        <v>34</v>
      </c>
      <c r="H9374" s="9" t="s">
        <v>22</v>
      </c>
      <c r="I9374" s="9" t="s">
        <v>19886</v>
      </c>
      <c r="J9374" s="10" t="str">
        <f>HYPERLINK("https://www.boe.es/gazeta/dias/1834/04/10/pdfs/I00227-00228.pdf#page=1","Abrir facsímil")</f>
        <v>Abrir facsímil</v>
      </c>
      <c r="K9374" s="10" t="s">
        <v>24</v>
      </c>
    </row>
    <row r="9375" spans="1:11" ht="54" customHeight="1">
      <c r="A9375" s="9" t="s">
        <v>19789</v>
      </c>
      <c r="B9375" s="9" t="s">
        <v>19789</v>
      </c>
      <c r="C9375" s="9" t="s">
        <v>17</v>
      </c>
      <c r="D9375" s="9" t="s">
        <v>18</v>
      </c>
      <c r="E9375" s="10" t="s">
        <v>1178</v>
      </c>
      <c r="F9375" s="9" t="s">
        <v>14853</v>
      </c>
      <c r="G9375" s="10" t="s">
        <v>21</v>
      </c>
      <c r="H9375" s="9" t="s">
        <v>22</v>
      </c>
      <c r="I9375" s="9" t="s">
        <v>19886</v>
      </c>
      <c r="J9375" s="10" t="str">
        <f>HYPERLINK("https://www.boe.es/gazeta/dias/1834/04/10/pdfs/GMD-1834-49.pdf#page=3","Abrir facsímil")</f>
        <v>Abrir facsímil</v>
      </c>
      <c r="K9375" s="10" t="s">
        <v>24</v>
      </c>
    </row>
    <row r="9376" spans="1:11" ht="54" customHeight="1">
      <c r="A9376" s="9" t="s">
        <v>19789</v>
      </c>
      <c r="B9376" s="9" t="s">
        <v>19789</v>
      </c>
      <c r="C9376" s="9" t="s">
        <v>66</v>
      </c>
      <c r="D9376" s="9" t="s">
        <v>18</v>
      </c>
      <c r="E9376" s="10" t="s">
        <v>1318</v>
      </c>
      <c r="F9376" s="9" t="s">
        <v>1319</v>
      </c>
      <c r="G9376" s="10" t="s">
        <v>34</v>
      </c>
      <c r="H9376" s="9" t="s">
        <v>22</v>
      </c>
      <c r="I9376" s="9" t="s">
        <v>19887</v>
      </c>
      <c r="J9376" s="10" t="str">
        <f>HYPERLINK("https://www.boe.es/gazeta/dias/1834/05/10/pdfs/GMD-1834-79.pdf#page=1","Abrir facsímil")</f>
        <v>Abrir facsímil</v>
      </c>
      <c r="K9376" s="10" t="s">
        <v>24</v>
      </c>
    </row>
    <row r="9377" spans="1:11" ht="54" customHeight="1">
      <c r="A9377" s="9" t="s">
        <v>19789</v>
      </c>
      <c r="B9377" s="9" t="s">
        <v>19789</v>
      </c>
      <c r="C9377" s="9" t="s">
        <v>122</v>
      </c>
      <c r="D9377" s="9" t="s">
        <v>18</v>
      </c>
      <c r="E9377" s="10" t="s">
        <v>939</v>
      </c>
      <c r="F9377" s="9" t="s">
        <v>940</v>
      </c>
      <c r="G9377" s="10" t="s">
        <v>21</v>
      </c>
      <c r="H9377" s="9" t="s">
        <v>22</v>
      </c>
      <c r="I9377" s="9" t="s">
        <v>19888</v>
      </c>
      <c r="J9377" s="10" t="str">
        <f>HYPERLINK("https://www.boe.es/gazeta/dias/1834/06/10/pdfs/GMD-1834-113.pdf#page=3","Abrir facsímil")</f>
        <v>Abrir facsímil</v>
      </c>
      <c r="K9377" s="10" t="s">
        <v>24</v>
      </c>
    </row>
    <row r="9378" spans="1:11" ht="54" customHeight="1">
      <c r="A9378" s="9" t="s">
        <v>19789</v>
      </c>
      <c r="B9378" s="9" t="s">
        <v>19789</v>
      </c>
      <c r="C9378" s="9" t="s">
        <v>17</v>
      </c>
      <c r="D9378" s="9" t="s">
        <v>18</v>
      </c>
      <c r="E9378" s="10" t="s">
        <v>4565</v>
      </c>
      <c r="F9378" s="9" t="s">
        <v>4566</v>
      </c>
      <c r="G9378" s="10" t="s">
        <v>75</v>
      </c>
      <c r="H9378" s="9" t="s">
        <v>22</v>
      </c>
      <c r="I9378" s="9" t="s">
        <v>19889</v>
      </c>
      <c r="J9378" s="10" t="str">
        <f>HYPERLINK("https://www.boe.es/gazeta/dias/1834/07/10/pdfs/GMD-1834-143.pdf#page=4","Abrir facsímil")</f>
        <v>Abrir facsímil</v>
      </c>
      <c r="K9378" s="10" t="s">
        <v>24</v>
      </c>
    </row>
    <row r="9379" spans="1:11" ht="54" customHeight="1">
      <c r="A9379" s="9" t="s">
        <v>19789</v>
      </c>
      <c r="B9379" s="9" t="s">
        <v>19789</v>
      </c>
      <c r="C9379" s="9" t="s">
        <v>66</v>
      </c>
      <c r="D9379" s="9" t="s">
        <v>18</v>
      </c>
      <c r="E9379" s="10" t="s">
        <v>956</v>
      </c>
      <c r="F9379" s="9" t="s">
        <v>1508</v>
      </c>
      <c r="G9379" s="10" t="s">
        <v>34</v>
      </c>
      <c r="H9379" s="9" t="s">
        <v>22</v>
      </c>
      <c r="I9379" s="9" t="s">
        <v>19890</v>
      </c>
      <c r="J9379" s="10" t="str">
        <f>HYPERLINK("https://www.boe.es/gazeta/dias/1834/08/10/pdfs/GMD-1834-175.pdf#page=1","Abrir facsímil")</f>
        <v>Abrir facsímil</v>
      </c>
      <c r="K9379" s="10" t="s">
        <v>24</v>
      </c>
    </row>
    <row r="9380" spans="1:11" ht="54" customHeight="1">
      <c r="A9380" s="9" t="s">
        <v>19789</v>
      </c>
      <c r="B9380" s="9" t="s">
        <v>19789</v>
      </c>
      <c r="C9380" s="9" t="s">
        <v>17</v>
      </c>
      <c r="D9380" s="9" t="s">
        <v>18</v>
      </c>
      <c r="E9380" s="10" t="s">
        <v>956</v>
      </c>
      <c r="F9380" s="9" t="s">
        <v>957</v>
      </c>
      <c r="G9380" s="10" t="s">
        <v>34</v>
      </c>
      <c r="H9380" s="9" t="s">
        <v>22</v>
      </c>
      <c r="I9380" s="9" t="s">
        <v>19891</v>
      </c>
      <c r="J9380" s="10" t="str">
        <f>HYPERLINK("https://www.boe.es/gazeta/dias/1834/08/10/pdfs/GMD-C-1834-175.pdf#page=1","Abrir facsímil")</f>
        <v>Abrir facsímil</v>
      </c>
      <c r="K9380" s="10" t="s">
        <v>24</v>
      </c>
    </row>
    <row r="9381" spans="1:11" ht="54" customHeight="1">
      <c r="A9381" s="9" t="s">
        <v>19789</v>
      </c>
      <c r="B9381" s="9" t="s">
        <v>19789</v>
      </c>
      <c r="C9381" s="9" t="s">
        <v>46</v>
      </c>
      <c r="D9381" s="9" t="s">
        <v>101</v>
      </c>
      <c r="E9381" s="10" t="s">
        <v>2203</v>
      </c>
      <c r="F9381" s="9" t="s">
        <v>2204</v>
      </c>
      <c r="G9381" s="10" t="s">
        <v>34</v>
      </c>
      <c r="H9381" s="9" t="s">
        <v>22</v>
      </c>
      <c r="I9381" s="9" t="s">
        <v>19892</v>
      </c>
      <c r="J9381" s="10" t="str">
        <f>HYPERLINK("https://www.boe.es/gazeta/dias/1834/09/10/pdfs/GMD-C-1834-208.pdf#page=1","Abrir facsímil")</f>
        <v>Abrir facsímil</v>
      </c>
      <c r="K9381" s="10" t="s">
        <v>24</v>
      </c>
    </row>
    <row r="9382" spans="1:11" ht="54" customHeight="1">
      <c r="A9382" s="9" t="s">
        <v>19789</v>
      </c>
      <c r="B9382" s="9" t="s">
        <v>19789</v>
      </c>
      <c r="C9382" s="9" t="s">
        <v>90</v>
      </c>
      <c r="D9382" s="9" t="s">
        <v>67</v>
      </c>
      <c r="E9382" s="10" t="s">
        <v>679</v>
      </c>
      <c r="F9382" s="9" t="s">
        <v>680</v>
      </c>
      <c r="G9382" s="10" t="s">
        <v>34</v>
      </c>
      <c r="H9382" s="9" t="s">
        <v>22</v>
      </c>
      <c r="I9382" s="9" t="s">
        <v>19893</v>
      </c>
      <c r="J9382" s="10" t="str">
        <f>HYPERLINK("https://www.boe.es/gazeta/dias/1834/12/10/pdfs/GMD-1834-299.pdf#page=1","Abrir facsímil")</f>
        <v>Abrir facsímil</v>
      </c>
      <c r="K9382" s="10" t="s">
        <v>24</v>
      </c>
    </row>
    <row r="9383" spans="1:11" ht="54" customHeight="1">
      <c r="A9383" s="9" t="s">
        <v>19789</v>
      </c>
      <c r="B9383" s="9" t="s">
        <v>19789</v>
      </c>
      <c r="C9383" s="9" t="s">
        <v>17</v>
      </c>
      <c r="D9383" s="9" t="s">
        <v>18</v>
      </c>
      <c r="E9383" s="10" t="s">
        <v>1883</v>
      </c>
      <c r="F9383" s="9" t="s">
        <v>1884</v>
      </c>
      <c r="G9383" s="10" t="s">
        <v>34</v>
      </c>
      <c r="H9383" s="9" t="s">
        <v>22</v>
      </c>
      <c r="I9383" s="9" t="s">
        <v>19894</v>
      </c>
      <c r="J9383" s="10" t="str">
        <f>HYPERLINK("https://www.boe.es/gazeta/dias/1834/01/11/pdfs/GMD-1834-6.pdf#page=1","Abrir facsímil")</f>
        <v>Abrir facsímil</v>
      </c>
      <c r="K9383" s="10" t="s">
        <v>24</v>
      </c>
    </row>
    <row r="9384" spans="1:11" ht="54" customHeight="1">
      <c r="A9384" s="9" t="s">
        <v>19789</v>
      </c>
      <c r="B9384" s="9" t="s">
        <v>19789</v>
      </c>
      <c r="C9384" s="9" t="s">
        <v>66</v>
      </c>
      <c r="D9384" s="9" t="s">
        <v>67</v>
      </c>
      <c r="E9384" s="10" t="s">
        <v>1883</v>
      </c>
      <c r="F9384" s="9" t="s">
        <v>1884</v>
      </c>
      <c r="G9384" s="10" t="s">
        <v>21</v>
      </c>
      <c r="H9384" s="9" t="s">
        <v>22</v>
      </c>
      <c r="I9384" s="9" t="s">
        <v>19895</v>
      </c>
      <c r="J9384" s="10" t="str">
        <f>HYPERLINK("https://www.boe.es/gazeta/dias/1834/01/11/pdfs/GMD-1834-6.pdf#page=3","Abrir facsímil")</f>
        <v>Abrir facsímil</v>
      </c>
      <c r="K9384" s="10" t="s">
        <v>24</v>
      </c>
    </row>
    <row r="9385" spans="1:11" ht="54" customHeight="1">
      <c r="A9385" s="9" t="s">
        <v>19789</v>
      </c>
      <c r="B9385" s="9" t="s">
        <v>19789</v>
      </c>
      <c r="C9385" s="9" t="s">
        <v>17</v>
      </c>
      <c r="D9385" s="9" t="s">
        <v>18</v>
      </c>
      <c r="E9385" s="10" t="s">
        <v>785</v>
      </c>
      <c r="F9385" s="9" t="s">
        <v>786</v>
      </c>
      <c r="G9385" s="10" t="s">
        <v>34</v>
      </c>
      <c r="H9385" s="9" t="s">
        <v>22</v>
      </c>
      <c r="I9385" s="9" t="s">
        <v>19896</v>
      </c>
      <c r="J9385" s="10" t="str">
        <f>HYPERLINK("https://www.boe.es/gazeta/dias/1834/02/11/pdfs/GMD-1834-19.pdf#page=1","Abrir facsímil")</f>
        <v>Abrir facsímil</v>
      </c>
      <c r="K9385" s="10" t="s">
        <v>24</v>
      </c>
    </row>
    <row r="9386" spans="1:11" ht="54" customHeight="1">
      <c r="A9386" s="9" t="s">
        <v>19789</v>
      </c>
      <c r="B9386" s="9" t="s">
        <v>19789</v>
      </c>
      <c r="C9386" s="9" t="s">
        <v>46</v>
      </c>
      <c r="D9386" s="9" t="s">
        <v>101</v>
      </c>
      <c r="E9386" s="10" t="s">
        <v>2241</v>
      </c>
      <c r="F9386" s="9" t="s">
        <v>2242</v>
      </c>
      <c r="G9386" s="10" t="s">
        <v>21</v>
      </c>
      <c r="H9386" s="9" t="s">
        <v>22</v>
      </c>
      <c r="I9386" s="9" t="s">
        <v>19897</v>
      </c>
      <c r="J9386" s="10" t="str">
        <f>HYPERLINK("https://www.boe.es/gazeta/dias/1834/03/11/pdfs/GMD-1834-31.pdf#page=3","Abrir facsímil")</f>
        <v>Abrir facsímil</v>
      </c>
      <c r="K9386" s="10" t="s">
        <v>24</v>
      </c>
    </row>
    <row r="9387" spans="1:11" ht="54" customHeight="1">
      <c r="A9387" s="9" t="s">
        <v>19789</v>
      </c>
      <c r="B9387" s="9" t="s">
        <v>19789</v>
      </c>
      <c r="C9387" s="9" t="s">
        <v>66</v>
      </c>
      <c r="D9387" s="9" t="s">
        <v>18</v>
      </c>
      <c r="E9387" s="10" t="s">
        <v>11736</v>
      </c>
      <c r="F9387" s="9" t="s">
        <v>11737</v>
      </c>
      <c r="G9387" s="10" t="s">
        <v>34</v>
      </c>
      <c r="H9387" s="9" t="s">
        <v>22</v>
      </c>
      <c r="I9387" s="9" t="s">
        <v>19898</v>
      </c>
      <c r="J9387" s="10" t="str">
        <f>HYPERLINK("https://www.boe.es/gazeta/dias/1834/04/11/pdfs/GMD-1834-50.pdf#page=1","Abrir facsímil")</f>
        <v>Abrir facsímil</v>
      </c>
      <c r="K9387" s="10" t="s">
        <v>24</v>
      </c>
    </row>
    <row r="9388" spans="1:11" ht="54" customHeight="1">
      <c r="A9388" s="9" t="s">
        <v>19789</v>
      </c>
      <c r="B9388" s="9" t="s">
        <v>19789</v>
      </c>
      <c r="C9388" s="9" t="s">
        <v>17</v>
      </c>
      <c r="D9388" s="9" t="s">
        <v>18</v>
      </c>
      <c r="E9388" s="10" t="s">
        <v>11736</v>
      </c>
      <c r="F9388" s="9" t="s">
        <v>11737</v>
      </c>
      <c r="G9388" s="10" t="s">
        <v>21</v>
      </c>
      <c r="H9388" s="9" t="s">
        <v>22</v>
      </c>
      <c r="I9388" s="9" t="s">
        <v>19899</v>
      </c>
      <c r="J9388" s="10" t="str">
        <f>HYPERLINK("https://www.boe.es/gazeta/dias/1834/04/11/pdfs/GMD-1834-50.pdf#page=3","Abrir facsímil")</f>
        <v>Abrir facsímil</v>
      </c>
      <c r="K9388" s="10" t="s">
        <v>24</v>
      </c>
    </row>
    <row r="9389" spans="1:11" ht="54" customHeight="1">
      <c r="A9389" s="9" t="s">
        <v>19789</v>
      </c>
      <c r="B9389" s="9" t="s">
        <v>19789</v>
      </c>
      <c r="C9389" s="9" t="s">
        <v>66</v>
      </c>
      <c r="D9389" s="9" t="s">
        <v>101</v>
      </c>
      <c r="E9389" s="10" t="s">
        <v>5435</v>
      </c>
      <c r="F9389" s="9" t="s">
        <v>5436</v>
      </c>
      <c r="G9389" s="10" t="s">
        <v>34</v>
      </c>
      <c r="H9389" s="9" t="s">
        <v>22</v>
      </c>
      <c r="I9389" s="9" t="s">
        <v>19900</v>
      </c>
      <c r="J9389" s="10" t="str">
        <f>HYPERLINK("https://www.boe.es/gazeta/dias/1834/05/11/pdfs/GMD-1834-80.pdf#page=1","Abrir facsímil")</f>
        <v>Abrir facsímil</v>
      </c>
      <c r="K9389" s="10" t="s">
        <v>24</v>
      </c>
    </row>
    <row r="9390" spans="1:11" ht="54" customHeight="1">
      <c r="A9390" s="9" t="s">
        <v>19789</v>
      </c>
      <c r="B9390" s="9" t="s">
        <v>19789</v>
      </c>
      <c r="C9390" s="9" t="s">
        <v>46</v>
      </c>
      <c r="D9390" s="9" t="s">
        <v>55</v>
      </c>
      <c r="E9390" s="10" t="s">
        <v>5435</v>
      </c>
      <c r="F9390" s="9" t="s">
        <v>5436</v>
      </c>
      <c r="G9390" s="10" t="s">
        <v>86</v>
      </c>
      <c r="H9390" s="9" t="s">
        <v>22</v>
      </c>
      <c r="I9390" s="9" t="s">
        <v>19901</v>
      </c>
      <c r="J9390" s="10" t="str">
        <f>HYPERLINK("https://www.boe.es/gazeta/dias/1834/05/11/pdfs/GMD-1834-80.pdf#page=2","Abrir facsímil")</f>
        <v>Abrir facsímil</v>
      </c>
      <c r="K9390" s="10" t="s">
        <v>24</v>
      </c>
    </row>
    <row r="9391" spans="1:11" ht="54" customHeight="1">
      <c r="A9391" s="9" t="s">
        <v>19789</v>
      </c>
      <c r="B9391" s="9" t="s">
        <v>19789</v>
      </c>
      <c r="C9391" s="9" t="s">
        <v>17</v>
      </c>
      <c r="D9391" s="9" t="s">
        <v>18</v>
      </c>
      <c r="E9391" s="10" t="s">
        <v>5435</v>
      </c>
      <c r="F9391" s="9" t="s">
        <v>5436</v>
      </c>
      <c r="G9391" s="10" t="s">
        <v>75</v>
      </c>
      <c r="H9391" s="9" t="s">
        <v>22</v>
      </c>
      <c r="I9391" s="9" t="s">
        <v>19902</v>
      </c>
      <c r="J9391" s="10" t="str">
        <f>HYPERLINK("https://www.boe.es/gazeta/dias/1834/05/11/pdfs/GMD-1834-80.pdf#page=4","Abrir facsímil")</f>
        <v>Abrir facsímil</v>
      </c>
      <c r="K9391" s="10" t="s">
        <v>24</v>
      </c>
    </row>
    <row r="9392" spans="1:11" ht="54" customHeight="1">
      <c r="A9392" s="9" t="s">
        <v>19789</v>
      </c>
      <c r="B9392" s="9" t="s">
        <v>19789</v>
      </c>
      <c r="C9392" s="9" t="s">
        <v>66</v>
      </c>
      <c r="D9392" s="9" t="s">
        <v>18</v>
      </c>
      <c r="E9392" s="10" t="s">
        <v>41</v>
      </c>
      <c r="F9392" s="9" t="s">
        <v>42</v>
      </c>
      <c r="G9392" s="10" t="s">
        <v>34</v>
      </c>
      <c r="H9392" s="9" t="s">
        <v>22</v>
      </c>
      <c r="I9392" s="9" t="s">
        <v>19903</v>
      </c>
      <c r="J9392" s="10" t="str">
        <f>HYPERLINK("https://www.boe.es/gazeta/dias/1834/06/11/pdfs/GMD-1834-114.pdf#page=1","Abrir facsímil")</f>
        <v>Abrir facsímil</v>
      </c>
      <c r="K9392" s="10" t="s">
        <v>24</v>
      </c>
    </row>
    <row r="9393" spans="1:11" ht="54" customHeight="1">
      <c r="A9393" s="9" t="s">
        <v>19789</v>
      </c>
      <c r="B9393" s="9" t="s">
        <v>19789</v>
      </c>
      <c r="C9393" s="9" t="s">
        <v>17</v>
      </c>
      <c r="D9393" s="9" t="s">
        <v>18</v>
      </c>
      <c r="E9393" s="10" t="s">
        <v>123</v>
      </c>
      <c r="F9393" s="9" t="s">
        <v>124</v>
      </c>
      <c r="G9393" s="10" t="s">
        <v>86</v>
      </c>
      <c r="H9393" s="9" t="s">
        <v>22</v>
      </c>
      <c r="I9393" s="9" t="s">
        <v>19904</v>
      </c>
      <c r="J9393" s="10" t="str">
        <f>HYPERLINK("https://www.boe.es/gazeta/dias/1834/07/11/pdfs/GMD-1834-144.pdf#page=2","Abrir facsímil")</f>
        <v>Abrir facsímil</v>
      </c>
      <c r="K9393" s="10" t="s">
        <v>24</v>
      </c>
    </row>
    <row r="9394" spans="1:11" ht="54" customHeight="1">
      <c r="A9394" s="9" t="s">
        <v>19789</v>
      </c>
      <c r="B9394" s="9" t="s">
        <v>19789</v>
      </c>
      <c r="C9394" s="9" t="s">
        <v>17</v>
      </c>
      <c r="D9394" s="9" t="s">
        <v>55</v>
      </c>
      <c r="E9394" s="10" t="s">
        <v>2098</v>
      </c>
      <c r="F9394" s="9" t="s">
        <v>5817</v>
      </c>
      <c r="G9394" s="10" t="s">
        <v>34</v>
      </c>
      <c r="H9394" s="9" t="s">
        <v>22</v>
      </c>
      <c r="I9394" s="9" t="s">
        <v>19905</v>
      </c>
      <c r="J9394" s="10" t="str">
        <f>HYPERLINK("https://www.boe.es/gazeta/dias/1834/08/11/pdfs/GMD-C-1834-176.pdf#page=1","Abrir facsímil")</f>
        <v>Abrir facsímil</v>
      </c>
      <c r="K9394" s="10" t="s">
        <v>24</v>
      </c>
    </row>
    <row r="9395" spans="1:11" ht="54" customHeight="1">
      <c r="A9395" s="9" t="s">
        <v>19789</v>
      </c>
      <c r="B9395" s="9" t="s">
        <v>19789</v>
      </c>
      <c r="C9395" s="9" t="s">
        <v>17</v>
      </c>
      <c r="D9395" s="9" t="s">
        <v>55</v>
      </c>
      <c r="E9395" s="10" t="s">
        <v>2098</v>
      </c>
      <c r="F9395" s="9" t="s">
        <v>5817</v>
      </c>
      <c r="G9395" s="10" t="s">
        <v>86</v>
      </c>
      <c r="H9395" s="9" t="s">
        <v>22</v>
      </c>
      <c r="I9395" s="9" t="s">
        <v>19906</v>
      </c>
      <c r="J9395" s="10" t="str">
        <f>HYPERLINK("https://www.boe.es/gazeta/dias/1834/08/11/pdfs/GMD-C-1834-176.pdf#page=2","Abrir facsímil")</f>
        <v>Abrir facsímil</v>
      </c>
      <c r="K9395" s="10" t="s">
        <v>24</v>
      </c>
    </row>
    <row r="9396" spans="1:11" ht="54" customHeight="1">
      <c r="A9396" s="9" t="s">
        <v>19789</v>
      </c>
      <c r="B9396" s="9" t="s">
        <v>19789</v>
      </c>
      <c r="C9396" s="9" t="s">
        <v>17</v>
      </c>
      <c r="D9396" s="9" t="s">
        <v>18</v>
      </c>
      <c r="E9396" s="10" t="s">
        <v>2098</v>
      </c>
      <c r="F9396" s="9" t="s">
        <v>5817</v>
      </c>
      <c r="G9396" s="10" t="s">
        <v>21</v>
      </c>
      <c r="H9396" s="9" t="s">
        <v>22</v>
      </c>
      <c r="I9396" s="9" t="s">
        <v>19907</v>
      </c>
      <c r="J9396" s="10" t="str">
        <f>HYPERLINK("https://www.boe.es/gazeta/dias/1834/08/11/pdfs/GMD-C-1834-176.pdf#page=3","Abrir facsímil")</f>
        <v>Abrir facsímil</v>
      </c>
      <c r="K9396" s="10" t="s">
        <v>24</v>
      </c>
    </row>
    <row r="9397" spans="1:11" ht="54" customHeight="1">
      <c r="A9397" s="9" t="s">
        <v>19789</v>
      </c>
      <c r="B9397" s="9" t="s">
        <v>19789</v>
      </c>
      <c r="C9397" s="9" t="s">
        <v>17</v>
      </c>
      <c r="D9397" s="9" t="s">
        <v>18</v>
      </c>
      <c r="E9397" s="10" t="s">
        <v>808</v>
      </c>
      <c r="F9397" s="9" t="s">
        <v>809</v>
      </c>
      <c r="G9397" s="10" t="s">
        <v>34</v>
      </c>
      <c r="H9397" s="9" t="s">
        <v>22</v>
      </c>
      <c r="I9397" s="9" t="s">
        <v>19908</v>
      </c>
      <c r="J9397" s="10" t="str">
        <f>HYPERLINK("https://www.boe.es/gazeta/dias/1834/10/11/pdfs/GMD-1834-239.pdf#page=1","Abrir facsímil")</f>
        <v>Abrir facsímil</v>
      </c>
      <c r="K9397" s="10" t="s">
        <v>24</v>
      </c>
    </row>
    <row r="9398" spans="1:11" ht="54" customHeight="1">
      <c r="A9398" s="9" t="s">
        <v>19789</v>
      </c>
      <c r="B9398" s="9" t="s">
        <v>19789</v>
      </c>
      <c r="C9398" s="9" t="s">
        <v>17</v>
      </c>
      <c r="D9398" s="9" t="s">
        <v>18</v>
      </c>
      <c r="E9398" s="10" t="s">
        <v>96</v>
      </c>
      <c r="F9398" s="9" t="s">
        <v>97</v>
      </c>
      <c r="G9398" s="10" t="s">
        <v>75</v>
      </c>
      <c r="H9398" s="9" t="s">
        <v>22</v>
      </c>
      <c r="I9398" s="9" t="s">
        <v>19909</v>
      </c>
      <c r="J9398" s="10" t="str">
        <f>HYPERLINK("https://www.boe.es/gazeta/dias/1834/11/11/pdfs/GMD-C-1834-270.pdf#page=4","Abrir facsímil")</f>
        <v>Abrir facsímil</v>
      </c>
      <c r="K9398" s="10" t="s">
        <v>24</v>
      </c>
    </row>
    <row r="9399" spans="1:11" ht="54" customHeight="1">
      <c r="A9399" s="9" t="s">
        <v>19789</v>
      </c>
      <c r="B9399" s="9" t="s">
        <v>19789</v>
      </c>
      <c r="C9399" s="9" t="s">
        <v>66</v>
      </c>
      <c r="D9399" s="9" t="s">
        <v>67</v>
      </c>
      <c r="E9399" s="10" t="s">
        <v>96</v>
      </c>
      <c r="F9399" s="9" t="s">
        <v>97</v>
      </c>
      <c r="G9399" s="10" t="s">
        <v>176</v>
      </c>
      <c r="H9399" s="9" t="s">
        <v>22</v>
      </c>
      <c r="I9399" s="9" t="s">
        <v>19910</v>
      </c>
      <c r="J9399" s="10" t="str">
        <f>HYPERLINK("https://www.boe.es/gazeta/dias/1834/11/11/pdfs/GMD-C-1834-270.pdf#page=6","Abrir facsímil")</f>
        <v>Abrir facsímil</v>
      </c>
      <c r="K9399" s="10" t="s">
        <v>24</v>
      </c>
    </row>
    <row r="9400" spans="1:11" ht="54" customHeight="1">
      <c r="A9400" s="9" t="s">
        <v>19789</v>
      </c>
      <c r="B9400" s="9" t="s">
        <v>19789</v>
      </c>
      <c r="C9400" s="9" t="s">
        <v>66</v>
      </c>
      <c r="D9400" s="9" t="s">
        <v>101</v>
      </c>
      <c r="E9400" s="10" t="s">
        <v>1708</v>
      </c>
      <c r="F9400" s="9" t="s">
        <v>1709</v>
      </c>
      <c r="G9400" s="10" t="s">
        <v>34</v>
      </c>
      <c r="H9400" s="9" t="s">
        <v>22</v>
      </c>
      <c r="I9400" s="9" t="s">
        <v>19911</v>
      </c>
      <c r="J9400" s="10" t="str">
        <f>HYPERLINK("https://www.boe.es/gazeta/dias/1834/04/12/pdfs/GMD-1834-51.pdf#page=1","Abrir facsímil")</f>
        <v>Abrir facsímil</v>
      </c>
      <c r="K9400" s="10" t="s">
        <v>24</v>
      </c>
    </row>
    <row r="9401" spans="1:11" ht="54" customHeight="1">
      <c r="A9401" s="9" t="s">
        <v>19789</v>
      </c>
      <c r="B9401" s="9" t="s">
        <v>19789</v>
      </c>
      <c r="C9401" s="9" t="s">
        <v>66</v>
      </c>
      <c r="D9401" s="9" t="s">
        <v>18</v>
      </c>
      <c r="E9401" s="10" t="s">
        <v>2048</v>
      </c>
      <c r="F9401" s="9" t="s">
        <v>2049</v>
      </c>
      <c r="G9401" s="10" t="s">
        <v>34</v>
      </c>
      <c r="H9401" s="9" t="s">
        <v>22</v>
      </c>
      <c r="I9401" s="9" t="s">
        <v>19912</v>
      </c>
      <c r="J9401" s="10" t="str">
        <f>HYPERLINK("https://www.boe.es/gazeta/dias/1834/05/12/pdfs/GMD-1834-81.pdf#page=1","Abrir facsímil")</f>
        <v>Abrir facsímil</v>
      </c>
      <c r="K9401" s="10" t="s">
        <v>24</v>
      </c>
    </row>
    <row r="9402" spans="1:11" ht="54" customHeight="1">
      <c r="A9402" s="9" t="s">
        <v>19789</v>
      </c>
      <c r="B9402" s="9" t="s">
        <v>19789</v>
      </c>
      <c r="C9402" s="9" t="s">
        <v>46</v>
      </c>
      <c r="D9402" s="9" t="s">
        <v>18</v>
      </c>
      <c r="E9402" s="10" t="s">
        <v>348</v>
      </c>
      <c r="F9402" s="9" t="s">
        <v>501</v>
      </c>
      <c r="G9402" s="10" t="s">
        <v>34</v>
      </c>
      <c r="H9402" s="9" t="s">
        <v>22</v>
      </c>
      <c r="I9402" s="9" t="s">
        <v>19913</v>
      </c>
      <c r="J9402" s="10" t="str">
        <f>HYPERLINK("https://www.boe.es/gazeta/dias/1834/06/12/pdfs/GMD-1834-115.pdf#page=1","Abrir facsímil")</f>
        <v>Abrir facsímil</v>
      </c>
      <c r="K9402" s="10" t="s">
        <v>24</v>
      </c>
    </row>
    <row r="9403" spans="1:11" ht="54" customHeight="1">
      <c r="A9403" s="9" t="s">
        <v>19789</v>
      </c>
      <c r="B9403" s="9" t="s">
        <v>19789</v>
      </c>
      <c r="C9403" s="9" t="s">
        <v>66</v>
      </c>
      <c r="D9403" s="9" t="s">
        <v>67</v>
      </c>
      <c r="E9403" s="10" t="s">
        <v>444</v>
      </c>
      <c r="F9403" s="9" t="s">
        <v>2412</v>
      </c>
      <c r="G9403" s="10" t="s">
        <v>34</v>
      </c>
      <c r="H9403" s="9" t="s">
        <v>22</v>
      </c>
      <c r="I9403" s="9" t="s">
        <v>19914</v>
      </c>
      <c r="J9403" s="10" t="str">
        <f>HYPERLINK("https://www.boe.es/gazeta/dias/1834/09/12/pdfs/GMD-1834-210.pdf#page=1","Abrir facsímil")</f>
        <v>Abrir facsímil</v>
      </c>
      <c r="K9403" s="10" t="s">
        <v>24</v>
      </c>
    </row>
    <row r="9404" spans="1:11" ht="54" customHeight="1">
      <c r="A9404" s="9" t="s">
        <v>19789</v>
      </c>
      <c r="B9404" s="9" t="s">
        <v>19789</v>
      </c>
      <c r="C9404" s="9" t="s">
        <v>17</v>
      </c>
      <c r="D9404" s="9" t="s">
        <v>18</v>
      </c>
      <c r="E9404" s="10" t="s">
        <v>91</v>
      </c>
      <c r="F9404" s="9" t="s">
        <v>92</v>
      </c>
      <c r="G9404" s="10" t="s">
        <v>86</v>
      </c>
      <c r="H9404" s="9" t="s">
        <v>22</v>
      </c>
      <c r="I9404" s="9" t="s">
        <v>19915</v>
      </c>
      <c r="J9404" s="10" t="str">
        <f>HYPERLINK("https://www.boe.es/gazeta/dias/1834/02/13/pdfs/GMD-1834-20.pdf#page=2","Abrir facsímil")</f>
        <v>Abrir facsímil</v>
      </c>
      <c r="K9404" s="10" t="s">
        <v>24</v>
      </c>
    </row>
    <row r="9405" spans="1:11" ht="54" customHeight="1">
      <c r="A9405" s="9" t="s">
        <v>19789</v>
      </c>
      <c r="B9405" s="9" t="s">
        <v>19789</v>
      </c>
      <c r="C9405" s="9" t="s">
        <v>90</v>
      </c>
      <c r="D9405" s="9" t="s">
        <v>18</v>
      </c>
      <c r="E9405" s="10" t="s">
        <v>91</v>
      </c>
      <c r="F9405" s="9" t="s">
        <v>92</v>
      </c>
      <c r="G9405" s="10" t="s">
        <v>21</v>
      </c>
      <c r="H9405" s="9" t="s">
        <v>22</v>
      </c>
      <c r="I9405" s="9" t="s">
        <v>19916</v>
      </c>
      <c r="J9405" s="10" t="str">
        <f>HYPERLINK("https://www.boe.es/gazeta/dias/1834/02/13/pdfs/GMD-1834-20.pdf#page=3","Abrir facsímil")</f>
        <v>Abrir facsímil</v>
      </c>
      <c r="K9405" s="10" t="s">
        <v>24</v>
      </c>
    </row>
    <row r="9406" spans="1:11" ht="54" customHeight="1">
      <c r="A9406" s="9" t="s">
        <v>19789</v>
      </c>
      <c r="B9406" s="9" t="s">
        <v>19789</v>
      </c>
      <c r="C9406" s="9" t="s">
        <v>66</v>
      </c>
      <c r="D9406" s="9" t="s">
        <v>101</v>
      </c>
      <c r="E9406" s="10" t="s">
        <v>729</v>
      </c>
      <c r="F9406" s="9" t="s">
        <v>730</v>
      </c>
      <c r="G9406" s="10" t="s">
        <v>34</v>
      </c>
      <c r="H9406" s="9" t="s">
        <v>22</v>
      </c>
      <c r="I9406" s="9" t="s">
        <v>19917</v>
      </c>
      <c r="J9406" s="10" t="str">
        <f>HYPERLINK("https://www.boe.es/gazeta/dias/1834/04/13/pdfs/GMD-1834-52.pdf#page=1","Abrir facsímil")</f>
        <v>Abrir facsímil</v>
      </c>
      <c r="K9406" s="10" t="s">
        <v>24</v>
      </c>
    </row>
    <row r="9407" spans="1:11" ht="54" customHeight="1">
      <c r="A9407" s="9" t="s">
        <v>19789</v>
      </c>
      <c r="B9407" s="9" t="s">
        <v>19789</v>
      </c>
      <c r="C9407" s="9" t="s">
        <v>66</v>
      </c>
      <c r="D9407" s="9" t="s">
        <v>67</v>
      </c>
      <c r="E9407" s="10" t="s">
        <v>1438</v>
      </c>
      <c r="F9407" s="9" t="s">
        <v>1439</v>
      </c>
      <c r="G9407" s="10" t="s">
        <v>34</v>
      </c>
      <c r="H9407" s="9" t="s">
        <v>22</v>
      </c>
      <c r="I9407" s="9" t="s">
        <v>19918</v>
      </c>
      <c r="J9407" s="10" t="str">
        <f>HYPERLINK("https://www.boe.es/gazeta/dias/1834/05/13/pdfs/GMD-1834-82.pdf#page=1","Abrir facsímil")</f>
        <v>Abrir facsímil</v>
      </c>
      <c r="K9407" s="10" t="s">
        <v>24</v>
      </c>
    </row>
    <row r="9408" spans="1:11" ht="54" customHeight="1">
      <c r="A9408" s="9" t="s">
        <v>19789</v>
      </c>
      <c r="B9408" s="9" t="s">
        <v>19789</v>
      </c>
      <c r="C9408" s="9" t="s">
        <v>46</v>
      </c>
      <c r="D9408" s="9" t="s">
        <v>101</v>
      </c>
      <c r="E9408" s="10" t="s">
        <v>1438</v>
      </c>
      <c r="F9408" s="9" t="s">
        <v>1439</v>
      </c>
      <c r="G9408" s="10" t="s">
        <v>21</v>
      </c>
      <c r="H9408" s="9" t="s">
        <v>22</v>
      </c>
      <c r="I9408" s="9" t="s">
        <v>19919</v>
      </c>
      <c r="J9408" s="10" t="str">
        <f>HYPERLINK("https://www.boe.es/gazeta/dias/1834/05/13/pdfs/GMD-1834-82.pdf#page=3","Abrir facsímil")</f>
        <v>Abrir facsímil</v>
      </c>
      <c r="K9408" s="10" t="s">
        <v>24</v>
      </c>
    </row>
    <row r="9409" spans="1:11" ht="54" customHeight="1">
      <c r="A9409" s="9" t="s">
        <v>19789</v>
      </c>
      <c r="B9409" s="9" t="s">
        <v>19789</v>
      </c>
      <c r="C9409" s="9" t="s">
        <v>17</v>
      </c>
      <c r="D9409" s="9" t="s">
        <v>18</v>
      </c>
      <c r="E9409" s="10" t="s">
        <v>1510</v>
      </c>
      <c r="F9409" s="9" t="s">
        <v>1511</v>
      </c>
      <c r="G9409" s="10" t="s">
        <v>34</v>
      </c>
      <c r="H9409" s="9" t="s">
        <v>22</v>
      </c>
      <c r="I9409" s="9" t="s">
        <v>19920</v>
      </c>
      <c r="J9409" s="10" t="str">
        <f>HYPERLINK("https://www.boe.es/gazeta/dias/1834/06/13/pdfs/GMD-1834-116.pdf#page=1","Abrir facsímil")</f>
        <v>Abrir facsímil</v>
      </c>
      <c r="K9409" s="10" t="s">
        <v>24</v>
      </c>
    </row>
    <row r="9410" spans="1:11" ht="54" customHeight="1">
      <c r="A9410" s="9" t="s">
        <v>19789</v>
      </c>
      <c r="B9410" s="9" t="s">
        <v>19789</v>
      </c>
      <c r="C9410" s="9" t="s">
        <v>66</v>
      </c>
      <c r="D9410" s="9" t="s">
        <v>101</v>
      </c>
      <c r="E9410" s="10" t="s">
        <v>479</v>
      </c>
      <c r="F9410" s="9" t="s">
        <v>480</v>
      </c>
      <c r="G9410" s="10" t="s">
        <v>34</v>
      </c>
      <c r="H9410" s="9" t="s">
        <v>22</v>
      </c>
      <c r="I9410" s="9" t="s">
        <v>19921</v>
      </c>
      <c r="J9410" s="10" t="str">
        <f>HYPERLINK("https://www.boe.es/gazeta/dias/1834/08/13/pdfs/GMD-1834-178.pdf#page=1","Abrir facsímil")</f>
        <v>Abrir facsímil</v>
      </c>
      <c r="K9410" s="10" t="s">
        <v>24</v>
      </c>
    </row>
    <row r="9411" spans="1:11" ht="54" customHeight="1">
      <c r="A9411" s="9" t="s">
        <v>19789</v>
      </c>
      <c r="B9411" s="9" t="s">
        <v>19789</v>
      </c>
      <c r="C9411" s="9" t="s">
        <v>17</v>
      </c>
      <c r="D9411" s="9" t="s">
        <v>18</v>
      </c>
      <c r="E9411" s="10" t="s">
        <v>479</v>
      </c>
      <c r="F9411" s="9" t="s">
        <v>480</v>
      </c>
      <c r="G9411" s="10" t="s">
        <v>86</v>
      </c>
      <c r="H9411" s="9" t="s">
        <v>22</v>
      </c>
      <c r="I9411" s="9" t="s">
        <v>19922</v>
      </c>
      <c r="J9411" s="10" t="str">
        <f>HYPERLINK("https://www.boe.es/gazeta/dias/1834/08/13/pdfs/GMD-1834-178.pdf#page=2","Abrir facsímil")</f>
        <v>Abrir facsímil</v>
      </c>
      <c r="K9411" s="10" t="s">
        <v>24</v>
      </c>
    </row>
    <row r="9412" spans="1:11" ht="54" customHeight="1">
      <c r="A9412" s="9" t="s">
        <v>19789</v>
      </c>
      <c r="B9412" s="9" t="s">
        <v>19789</v>
      </c>
      <c r="C9412" s="9" t="s">
        <v>17</v>
      </c>
      <c r="D9412" s="9" t="s">
        <v>18</v>
      </c>
      <c r="E9412" s="10" t="s">
        <v>479</v>
      </c>
      <c r="F9412" s="9" t="s">
        <v>2258</v>
      </c>
      <c r="G9412" s="10" t="s">
        <v>34</v>
      </c>
      <c r="H9412" s="9" t="s">
        <v>22</v>
      </c>
      <c r="I9412" s="9" t="s">
        <v>19923</v>
      </c>
      <c r="J9412" s="10" t="str">
        <f>HYPERLINK("https://www.boe.es/gazeta/dias/1834/08/13/pdfs/GMD-C-1834-178.pdf#page=1","Abrir facsímil")</f>
        <v>Abrir facsímil</v>
      </c>
      <c r="K9412" s="10" t="s">
        <v>24</v>
      </c>
    </row>
    <row r="9413" spans="1:11" ht="54" customHeight="1">
      <c r="A9413" s="9" t="s">
        <v>19789</v>
      </c>
      <c r="B9413" s="9" t="s">
        <v>19789</v>
      </c>
      <c r="C9413" s="9" t="s">
        <v>857</v>
      </c>
      <c r="D9413" s="9" t="s">
        <v>18</v>
      </c>
      <c r="E9413" s="10" t="s">
        <v>479</v>
      </c>
      <c r="F9413" s="9" t="s">
        <v>2258</v>
      </c>
      <c r="G9413" s="10" t="s">
        <v>86</v>
      </c>
      <c r="H9413" s="9" t="s">
        <v>22</v>
      </c>
      <c r="I9413" s="9" t="s">
        <v>19924</v>
      </c>
      <c r="J9413" s="10" t="str">
        <f>HYPERLINK("https://www.boe.es/gazeta/dias/1834/08/13/pdfs/GMD-C-1834-178.pdf#page=2","Abrir facsímil")</f>
        <v>Abrir facsímil</v>
      </c>
      <c r="K9413" s="10" t="s">
        <v>24</v>
      </c>
    </row>
    <row r="9414" spans="1:11" ht="54" customHeight="1">
      <c r="A9414" s="9" t="s">
        <v>19789</v>
      </c>
      <c r="B9414" s="9" t="s">
        <v>19789</v>
      </c>
      <c r="C9414" s="9" t="s">
        <v>66</v>
      </c>
      <c r="D9414" s="9" t="s">
        <v>67</v>
      </c>
      <c r="E9414" s="10" t="s">
        <v>3207</v>
      </c>
      <c r="F9414" s="9" t="s">
        <v>3208</v>
      </c>
      <c r="G9414" s="10" t="s">
        <v>75</v>
      </c>
      <c r="H9414" s="9" t="s">
        <v>22</v>
      </c>
      <c r="I9414" s="9" t="s">
        <v>19925</v>
      </c>
      <c r="J9414" s="10" t="str">
        <f>HYPERLINK("https://www.boe.es/gazeta/dias/1834/10/13/pdfs/GMD-1834-241.pdf#page=4","Abrir facsímil")</f>
        <v>Abrir facsímil</v>
      </c>
      <c r="K9414" s="10" t="s">
        <v>24</v>
      </c>
    </row>
    <row r="9415" spans="1:11" ht="54" customHeight="1">
      <c r="A9415" s="9" t="s">
        <v>19789</v>
      </c>
      <c r="B9415" s="9" t="s">
        <v>19789</v>
      </c>
      <c r="C9415" s="9" t="s">
        <v>17</v>
      </c>
      <c r="D9415" s="9" t="s">
        <v>18</v>
      </c>
      <c r="E9415" s="10" t="s">
        <v>1981</v>
      </c>
      <c r="F9415" s="9" t="s">
        <v>1982</v>
      </c>
      <c r="G9415" s="10" t="s">
        <v>34</v>
      </c>
      <c r="H9415" s="9" t="s">
        <v>22</v>
      </c>
      <c r="I9415" s="9" t="s">
        <v>19926</v>
      </c>
      <c r="J9415" s="10" t="str">
        <f>HYPERLINK("https://www.boe.es/gazeta/dias/1834/12/13/pdfs/GMD-1834-302.pdf#page=1","Abrir facsímil")</f>
        <v>Abrir facsímil</v>
      </c>
      <c r="K9415" s="10" t="s">
        <v>24</v>
      </c>
    </row>
    <row r="9416" spans="1:11" ht="54" customHeight="1">
      <c r="A9416" s="9" t="s">
        <v>19789</v>
      </c>
      <c r="B9416" s="9" t="s">
        <v>19789</v>
      </c>
      <c r="C9416" s="9" t="s">
        <v>17</v>
      </c>
      <c r="D9416" s="9" t="s">
        <v>18</v>
      </c>
      <c r="E9416" s="10" t="s">
        <v>1981</v>
      </c>
      <c r="F9416" s="9" t="s">
        <v>2471</v>
      </c>
      <c r="G9416" s="10" t="s">
        <v>176</v>
      </c>
      <c r="H9416" s="9" t="s">
        <v>22</v>
      </c>
      <c r="I9416" s="9" t="s">
        <v>19927</v>
      </c>
      <c r="J9416" s="10" t="str">
        <f>HYPERLINK("https://www.boe.es/gazeta/dias/1834/12/13/pdfs/GMD-C-1834-302.pdf#page=6","Abrir facsímil")</f>
        <v>Abrir facsímil</v>
      </c>
      <c r="K9416" s="10" t="s">
        <v>24</v>
      </c>
    </row>
    <row r="9417" spans="1:11" ht="54" customHeight="1">
      <c r="A9417" s="9" t="s">
        <v>19789</v>
      </c>
      <c r="B9417" s="9" t="s">
        <v>19789</v>
      </c>
      <c r="C9417" s="9" t="s">
        <v>17</v>
      </c>
      <c r="D9417" s="9" t="s">
        <v>18</v>
      </c>
      <c r="E9417" s="10" t="s">
        <v>343</v>
      </c>
      <c r="F9417" s="9" t="s">
        <v>344</v>
      </c>
      <c r="G9417" s="10" t="s">
        <v>34</v>
      </c>
      <c r="H9417" s="9" t="s">
        <v>22</v>
      </c>
      <c r="I9417" s="9" t="s">
        <v>19928</v>
      </c>
      <c r="J9417" s="10" t="str">
        <f>HYPERLINK("https://www.boe.es/gazeta/dias/1834/01/14/pdfs/GMD-1834-7.pdf#page=1","Abrir facsímil")</f>
        <v>Abrir facsímil</v>
      </c>
      <c r="K9417" s="10" t="s">
        <v>24</v>
      </c>
    </row>
    <row r="9418" spans="1:11" ht="54" customHeight="1">
      <c r="A9418" s="9" t="s">
        <v>19789</v>
      </c>
      <c r="B9418" s="9" t="s">
        <v>19789</v>
      </c>
      <c r="C9418" s="9" t="s">
        <v>46</v>
      </c>
      <c r="D9418" s="9" t="s">
        <v>101</v>
      </c>
      <c r="E9418" s="10" t="s">
        <v>343</v>
      </c>
      <c r="F9418" s="9" t="s">
        <v>344</v>
      </c>
      <c r="G9418" s="10" t="s">
        <v>21</v>
      </c>
      <c r="H9418" s="9" t="s">
        <v>22</v>
      </c>
      <c r="I9418" s="9" t="s">
        <v>19929</v>
      </c>
      <c r="J9418" s="10" t="str">
        <f>HYPERLINK("https://www.boe.es/gazeta/dias/1834/01/14/pdfs/GMD-1834-7.pdf#page=3","Abrir facsímil")</f>
        <v>Abrir facsímil</v>
      </c>
      <c r="K9418" s="10" t="s">
        <v>24</v>
      </c>
    </row>
    <row r="9419" spans="1:11" ht="54" customHeight="1">
      <c r="A9419" s="9" t="s">
        <v>19789</v>
      </c>
      <c r="B9419" s="9" t="s">
        <v>19789</v>
      </c>
      <c r="C9419" s="9" t="s">
        <v>66</v>
      </c>
      <c r="D9419" s="9" t="s">
        <v>55</v>
      </c>
      <c r="E9419" s="10" t="s">
        <v>1113</v>
      </c>
      <c r="F9419" s="9" t="s">
        <v>1114</v>
      </c>
      <c r="G9419" s="10" t="s">
        <v>34</v>
      </c>
      <c r="H9419" s="9" t="s">
        <v>22</v>
      </c>
      <c r="I9419" s="9" t="s">
        <v>19930</v>
      </c>
      <c r="J9419" s="10" t="str">
        <f>HYPERLINK("https://www.boe.es/gazeta/dias/1834/04/14/pdfs/GMD-1834-53.pdf#page=1","Abrir facsímil")</f>
        <v>Abrir facsímil</v>
      </c>
      <c r="K9419" s="10" t="s">
        <v>24</v>
      </c>
    </row>
    <row r="9420" spans="1:11" ht="54" customHeight="1">
      <c r="A9420" s="9" t="s">
        <v>19789</v>
      </c>
      <c r="B9420" s="9" t="s">
        <v>19789</v>
      </c>
      <c r="C9420" s="9" t="s">
        <v>90</v>
      </c>
      <c r="D9420" s="9" t="s">
        <v>18</v>
      </c>
      <c r="E9420" s="10" t="s">
        <v>1273</v>
      </c>
      <c r="F9420" s="9" t="s">
        <v>1274</v>
      </c>
      <c r="G9420" s="10" t="s">
        <v>34</v>
      </c>
      <c r="H9420" s="9" t="s">
        <v>22</v>
      </c>
      <c r="I9420" s="9" t="s">
        <v>19931</v>
      </c>
      <c r="J9420" s="10" t="str">
        <f>HYPERLINK("https://www.boe.es/gazeta/dias/1834/05/14/pdfs/GMD-1834-83.pdf#page=1","Abrir facsímil")</f>
        <v>Abrir facsímil</v>
      </c>
      <c r="K9420" s="10" t="s">
        <v>24</v>
      </c>
    </row>
    <row r="9421" spans="1:11" ht="54" customHeight="1">
      <c r="A9421" s="9" t="s">
        <v>19789</v>
      </c>
      <c r="B9421" s="9" t="s">
        <v>19789</v>
      </c>
      <c r="C9421" s="9" t="s">
        <v>17</v>
      </c>
      <c r="D9421" s="9" t="s">
        <v>18</v>
      </c>
      <c r="E9421" s="10" t="s">
        <v>3057</v>
      </c>
      <c r="F9421" s="9" t="s">
        <v>3058</v>
      </c>
      <c r="G9421" s="10" t="s">
        <v>34</v>
      </c>
      <c r="H9421" s="9" t="s">
        <v>22</v>
      </c>
      <c r="I9421" s="9" t="s">
        <v>19932</v>
      </c>
      <c r="J9421" s="10" t="str">
        <f>HYPERLINK("https://www.boe.es/gazeta/dias/1834/06/14/pdfs/GMD-1834-117.pdf#page=1","Abrir facsímil")</f>
        <v>Abrir facsímil</v>
      </c>
      <c r="K9421" s="10" t="s">
        <v>24</v>
      </c>
    </row>
    <row r="9422" spans="1:11" ht="54" customHeight="1">
      <c r="A9422" s="9" t="s">
        <v>19789</v>
      </c>
      <c r="B9422" s="9" t="s">
        <v>19789</v>
      </c>
      <c r="C9422" s="9" t="s">
        <v>66</v>
      </c>
      <c r="D9422" s="9" t="s">
        <v>67</v>
      </c>
      <c r="E9422" s="10" t="s">
        <v>3057</v>
      </c>
      <c r="F9422" s="9" t="s">
        <v>3058</v>
      </c>
      <c r="G9422" s="10" t="s">
        <v>75</v>
      </c>
      <c r="H9422" s="9" t="s">
        <v>22</v>
      </c>
      <c r="I9422" s="9" t="s">
        <v>19933</v>
      </c>
      <c r="J9422" s="10" t="str">
        <f>HYPERLINK("https://www.boe.es/gazeta/dias/1834/06/14/pdfs/GMD-1834-117.pdf#page=4","Abrir facsímil")</f>
        <v>Abrir facsímil</v>
      </c>
      <c r="K9422" s="10" t="s">
        <v>24</v>
      </c>
    </row>
    <row r="9423" spans="1:11" ht="54" customHeight="1">
      <c r="A9423" s="9" t="s">
        <v>19789</v>
      </c>
      <c r="B9423" s="9" t="s">
        <v>19789</v>
      </c>
      <c r="C9423" s="9" t="s">
        <v>17</v>
      </c>
      <c r="D9423" s="9" t="s">
        <v>18</v>
      </c>
      <c r="E9423" s="10" t="s">
        <v>1226</v>
      </c>
      <c r="F9423" s="9" t="s">
        <v>1227</v>
      </c>
      <c r="G9423" s="10" t="s">
        <v>34</v>
      </c>
      <c r="H9423" s="9" t="s">
        <v>22</v>
      </c>
      <c r="I9423" s="9" t="s">
        <v>19934</v>
      </c>
      <c r="J9423" s="10" t="str">
        <f>HYPERLINK("https://www.boe.es/gazeta/dias/1834/07/14/pdfs/GMD-1834-147.pdf#page=1","Abrir facsímil")</f>
        <v>Abrir facsímil</v>
      </c>
      <c r="K9423" s="10" t="s">
        <v>24</v>
      </c>
    </row>
    <row r="9424" spans="1:11" ht="54" customHeight="1">
      <c r="A9424" s="9" t="s">
        <v>19789</v>
      </c>
      <c r="B9424" s="9" t="s">
        <v>19789</v>
      </c>
      <c r="C9424" s="9" t="s">
        <v>66</v>
      </c>
      <c r="D9424" s="9" t="s">
        <v>18</v>
      </c>
      <c r="E9424" s="10" t="s">
        <v>1186</v>
      </c>
      <c r="F9424" s="9" t="s">
        <v>1187</v>
      </c>
      <c r="G9424" s="10" t="s">
        <v>34</v>
      </c>
      <c r="H9424" s="9" t="s">
        <v>22</v>
      </c>
      <c r="I9424" s="9" t="s">
        <v>19935</v>
      </c>
      <c r="J9424" s="10" t="str">
        <f>HYPERLINK("https://www.boe.es/gazeta/dias/1834/08/14/pdfs/GMD-1834-179.pdf#page=1","Abrir facsímil")</f>
        <v>Abrir facsímil</v>
      </c>
      <c r="K9424" s="10" t="s">
        <v>24</v>
      </c>
    </row>
    <row r="9425" spans="1:11" ht="54" customHeight="1">
      <c r="A9425" s="9" t="s">
        <v>19789</v>
      </c>
      <c r="B9425" s="9" t="s">
        <v>19789</v>
      </c>
      <c r="C9425" s="9" t="s">
        <v>17</v>
      </c>
      <c r="D9425" s="9" t="s">
        <v>18</v>
      </c>
      <c r="E9425" s="10" t="s">
        <v>2087</v>
      </c>
      <c r="F9425" s="9" t="s">
        <v>2267</v>
      </c>
      <c r="G9425" s="10" t="s">
        <v>75</v>
      </c>
      <c r="H9425" s="9" t="s">
        <v>22</v>
      </c>
      <c r="I9425" s="9" t="s">
        <v>19936</v>
      </c>
      <c r="J9425" s="10" t="str">
        <f>HYPERLINK("https://www.boe.es/gazeta/dias/1834/12/14/pdfs/GMD-C-1834-303.pdf#page=4","Abrir facsímil")</f>
        <v>Abrir facsímil</v>
      </c>
      <c r="K9425" s="10" t="s">
        <v>24</v>
      </c>
    </row>
    <row r="9426" spans="1:11" ht="54" customHeight="1">
      <c r="A9426" s="9" t="s">
        <v>19789</v>
      </c>
      <c r="B9426" s="9" t="s">
        <v>19789</v>
      </c>
      <c r="C9426" s="9" t="s">
        <v>17</v>
      </c>
      <c r="D9426" s="9" t="s">
        <v>18</v>
      </c>
      <c r="E9426" s="10" t="s">
        <v>2087</v>
      </c>
      <c r="F9426" s="9" t="s">
        <v>2267</v>
      </c>
      <c r="G9426" s="10" t="s">
        <v>176</v>
      </c>
      <c r="H9426" s="9" t="s">
        <v>22</v>
      </c>
      <c r="I9426" s="9" t="s">
        <v>19937</v>
      </c>
      <c r="J9426" s="10" t="str">
        <f>HYPERLINK("https://www.boe.es/gazeta/dias/1834/12/14/pdfs/GMD-C-1834-303.pdf#page=6","Abrir facsímil")</f>
        <v>Abrir facsímil</v>
      </c>
      <c r="K9426" s="10" t="s">
        <v>24</v>
      </c>
    </row>
    <row r="9427" spans="1:11" ht="54" customHeight="1">
      <c r="A9427" s="9" t="s">
        <v>19789</v>
      </c>
      <c r="B9427" s="9" t="s">
        <v>19789</v>
      </c>
      <c r="C9427" s="9" t="s">
        <v>17</v>
      </c>
      <c r="D9427" s="9" t="s">
        <v>18</v>
      </c>
      <c r="E9427" s="10" t="s">
        <v>2087</v>
      </c>
      <c r="F9427" s="9" t="s">
        <v>2267</v>
      </c>
      <c r="G9427" s="10" t="s">
        <v>1343</v>
      </c>
      <c r="H9427" s="9" t="s">
        <v>22</v>
      </c>
      <c r="I9427" s="9" t="s">
        <v>19938</v>
      </c>
      <c r="J9427" s="10" t="str">
        <f>HYPERLINK("https://www.boe.es/gazeta/dias/1834/12/14/pdfs/GMD-C-1834-303.pdf#page=9","Abrir facsímil")</f>
        <v>Abrir facsímil</v>
      </c>
      <c r="K9427" s="10" t="s">
        <v>24</v>
      </c>
    </row>
    <row r="9428" spans="1:11" ht="54" customHeight="1">
      <c r="A9428" s="9" t="s">
        <v>19789</v>
      </c>
      <c r="B9428" s="9" t="s">
        <v>19789</v>
      </c>
      <c r="C9428" s="9" t="s">
        <v>17</v>
      </c>
      <c r="D9428" s="9" t="s">
        <v>18</v>
      </c>
      <c r="E9428" s="10" t="s">
        <v>912</v>
      </c>
      <c r="F9428" s="9" t="s">
        <v>913</v>
      </c>
      <c r="G9428" s="10" t="s">
        <v>34</v>
      </c>
      <c r="H9428" s="9" t="s">
        <v>22</v>
      </c>
      <c r="I9428" s="9" t="s">
        <v>19939</v>
      </c>
      <c r="J9428" s="10" t="str">
        <f>HYPERLINK("https://www.boe.es/gazeta/dias/1834/02/15/pdfs/GMD-1834-21.pdf#page=1","Abrir facsímil")</f>
        <v>Abrir facsímil</v>
      </c>
      <c r="K9428" s="10" t="s">
        <v>24</v>
      </c>
    </row>
    <row r="9429" spans="1:11" ht="54" customHeight="1">
      <c r="A9429" s="9" t="s">
        <v>19789</v>
      </c>
      <c r="B9429" s="9" t="s">
        <v>19789</v>
      </c>
      <c r="C9429" s="9" t="s">
        <v>17</v>
      </c>
      <c r="D9429" s="9" t="s">
        <v>40</v>
      </c>
      <c r="E9429" s="10" t="s">
        <v>912</v>
      </c>
      <c r="F9429" s="9" t="s">
        <v>913</v>
      </c>
      <c r="G9429" s="10" t="s">
        <v>28</v>
      </c>
      <c r="H9429" s="9" t="s">
        <v>22</v>
      </c>
      <c r="I9429" s="9" t="s">
        <v>19940</v>
      </c>
      <c r="J9429" s="10" t="str">
        <f>HYPERLINK("https://www.boe.es/gazeta/dias/1834/02/15/pdfs/GMD-1834-21.pdf#page=5","Abrir facsímil")</f>
        <v>Abrir facsímil</v>
      </c>
      <c r="K9429" s="10" t="s">
        <v>24</v>
      </c>
    </row>
    <row r="9430" spans="1:11" ht="54" customHeight="1">
      <c r="A9430" s="9" t="s">
        <v>19789</v>
      </c>
      <c r="B9430" s="9" t="s">
        <v>19789</v>
      </c>
      <c r="C9430" s="9" t="s">
        <v>17</v>
      </c>
      <c r="D9430" s="9" t="s">
        <v>18</v>
      </c>
      <c r="E9430" s="10" t="s">
        <v>518</v>
      </c>
      <c r="F9430" s="9" t="s">
        <v>519</v>
      </c>
      <c r="G9430" s="10" t="s">
        <v>34</v>
      </c>
      <c r="H9430" s="9" t="s">
        <v>22</v>
      </c>
      <c r="I9430" s="9" t="s">
        <v>19941</v>
      </c>
      <c r="J9430" s="10" t="str">
        <f>HYPERLINK("https://www.boe.es/gazeta/dias/1834/03/15/pdfs/GMD-1834-33.pdf#page=1","Abrir facsímil")</f>
        <v>Abrir facsímil</v>
      </c>
      <c r="K9430" s="10" t="s">
        <v>24</v>
      </c>
    </row>
    <row r="9431" spans="1:11" ht="54" customHeight="1">
      <c r="A9431" s="9" t="s">
        <v>19789</v>
      </c>
      <c r="B9431" s="9" t="s">
        <v>19789</v>
      </c>
      <c r="C9431" s="9" t="s">
        <v>66</v>
      </c>
      <c r="D9431" s="9" t="s">
        <v>55</v>
      </c>
      <c r="E9431" s="10" t="s">
        <v>3282</v>
      </c>
      <c r="F9431" s="9" t="s">
        <v>3283</v>
      </c>
      <c r="G9431" s="10" t="s">
        <v>34</v>
      </c>
      <c r="H9431" s="9" t="s">
        <v>22</v>
      </c>
      <c r="I9431" s="9" t="s">
        <v>19942</v>
      </c>
      <c r="J9431" s="10" t="str">
        <f>HYPERLINK("https://www.boe.es/gazeta/dias/1834/04/15/pdfs/GMD-1834-54.pdf#page=1","Abrir facsímil")</f>
        <v>Abrir facsímil</v>
      </c>
      <c r="K9431" s="10" t="s">
        <v>24</v>
      </c>
    </row>
    <row r="9432" spans="1:11" ht="54" customHeight="1">
      <c r="A9432" s="9" t="s">
        <v>19789</v>
      </c>
      <c r="B9432" s="9" t="s">
        <v>19789</v>
      </c>
      <c r="C9432" s="9" t="s">
        <v>66</v>
      </c>
      <c r="D9432" s="9" t="s">
        <v>18</v>
      </c>
      <c r="E9432" s="10" t="s">
        <v>1234</v>
      </c>
      <c r="F9432" s="9" t="s">
        <v>1455</v>
      </c>
      <c r="G9432" s="10" t="s">
        <v>34</v>
      </c>
      <c r="H9432" s="9" t="s">
        <v>22</v>
      </c>
      <c r="I9432" s="9" t="s">
        <v>19943</v>
      </c>
      <c r="J9432" s="10" t="str">
        <f>HYPERLINK("https://www.boe.es/gazeta/dias/1834/05/15/pdfs/GMD-1834-84.pdf#page=1","Abrir facsímil")</f>
        <v>Abrir facsímil</v>
      </c>
      <c r="K9432" s="10" t="s">
        <v>24</v>
      </c>
    </row>
    <row r="9433" spans="1:11" ht="54" customHeight="1">
      <c r="A9433" s="9" t="s">
        <v>19789</v>
      </c>
      <c r="B9433" s="9" t="s">
        <v>19789</v>
      </c>
      <c r="C9433" s="9" t="s">
        <v>66</v>
      </c>
      <c r="D9433" s="9" t="s">
        <v>67</v>
      </c>
      <c r="E9433" s="10" t="s">
        <v>1234</v>
      </c>
      <c r="F9433" s="9" t="s">
        <v>1235</v>
      </c>
      <c r="G9433" s="10" t="s">
        <v>34</v>
      </c>
      <c r="H9433" s="9" t="s">
        <v>22</v>
      </c>
      <c r="I9433" s="9" t="s">
        <v>19944</v>
      </c>
      <c r="J9433" s="10" t="str">
        <f>HYPERLINK("https://www.boe.es/gazeta/dias/1834/05/15/pdfs/GMD-C-1834-84.pdf#page=1","Abrir facsímil")</f>
        <v>Abrir facsímil</v>
      </c>
      <c r="K9433" s="10" t="s">
        <v>24</v>
      </c>
    </row>
    <row r="9434" spans="1:11" ht="54" customHeight="1">
      <c r="A9434" s="9" t="s">
        <v>19789</v>
      </c>
      <c r="B9434" s="9" t="s">
        <v>19789</v>
      </c>
      <c r="C9434" s="9" t="s">
        <v>17</v>
      </c>
      <c r="D9434" s="9" t="s">
        <v>18</v>
      </c>
      <c r="E9434" s="10" t="s">
        <v>10172</v>
      </c>
      <c r="F9434" s="9" t="s">
        <v>10173</v>
      </c>
      <c r="G9434" s="10" t="s">
        <v>34</v>
      </c>
      <c r="H9434" s="9" t="s">
        <v>22</v>
      </c>
      <c r="I9434" s="9" t="s">
        <v>19945</v>
      </c>
      <c r="J9434" s="10" t="str">
        <f>HYPERLINK("https://www.boe.es/gazeta/dias/1834/06/15/pdfs/GMD-1834-118.pdf#page=1","Abrir facsímil")</f>
        <v>Abrir facsímil</v>
      </c>
      <c r="K9434" s="10" t="s">
        <v>24</v>
      </c>
    </row>
    <row r="9435" spans="1:11" ht="54" customHeight="1">
      <c r="A9435" s="9" t="s">
        <v>19789</v>
      </c>
      <c r="B9435" s="9" t="s">
        <v>19789</v>
      </c>
      <c r="C9435" s="9" t="s">
        <v>90</v>
      </c>
      <c r="D9435" s="9" t="s">
        <v>18</v>
      </c>
      <c r="E9435" s="10" t="s">
        <v>237</v>
      </c>
      <c r="F9435" s="9" t="s">
        <v>4609</v>
      </c>
      <c r="G9435" s="10" t="s">
        <v>34</v>
      </c>
      <c r="H9435" s="9" t="s">
        <v>22</v>
      </c>
      <c r="I9435" s="9" t="s">
        <v>19946</v>
      </c>
      <c r="J9435" s="10" t="str">
        <f>HYPERLINK("https://www.boe.es/gazeta/dias/1834/08/15/pdfs/GMD-1834-180.pdf#page=1","Abrir facsímil")</f>
        <v>Abrir facsímil</v>
      </c>
      <c r="K9435" s="10" t="s">
        <v>24</v>
      </c>
    </row>
    <row r="9436" spans="1:11" ht="54" customHeight="1">
      <c r="A9436" s="9" t="s">
        <v>19789</v>
      </c>
      <c r="B9436" s="9" t="s">
        <v>19789</v>
      </c>
      <c r="C9436" s="9" t="s">
        <v>17</v>
      </c>
      <c r="D9436" s="9" t="s">
        <v>18</v>
      </c>
      <c r="E9436" s="10" t="s">
        <v>13660</v>
      </c>
      <c r="F9436" s="9" t="s">
        <v>13661</v>
      </c>
      <c r="G9436" s="10" t="s">
        <v>75</v>
      </c>
      <c r="H9436" s="9" t="s">
        <v>22</v>
      </c>
      <c r="I9436" s="9" t="s">
        <v>19947</v>
      </c>
      <c r="J9436" s="10" t="str">
        <f>HYPERLINK("https://www.boe.es/gazeta/dias/1834/12/15/pdfs/GMD-1834-304.pdf#page=4","Abrir facsímil")</f>
        <v>Abrir facsímil</v>
      </c>
      <c r="K9436" s="10" t="s">
        <v>24</v>
      </c>
    </row>
    <row r="9437" spans="1:11" ht="54" customHeight="1">
      <c r="A9437" s="9" t="s">
        <v>19789</v>
      </c>
      <c r="B9437" s="9" t="s">
        <v>19789</v>
      </c>
      <c r="C9437" s="9" t="s">
        <v>17</v>
      </c>
      <c r="D9437" s="9" t="s">
        <v>18</v>
      </c>
      <c r="E9437" s="10" t="s">
        <v>2398</v>
      </c>
      <c r="F9437" s="9" t="s">
        <v>2399</v>
      </c>
      <c r="G9437" s="10" t="s">
        <v>34</v>
      </c>
      <c r="H9437" s="9" t="s">
        <v>22</v>
      </c>
      <c r="I9437" s="9" t="s">
        <v>19948</v>
      </c>
      <c r="J9437" s="10" t="str">
        <f>HYPERLINK("https://www.boe.es/gazeta/dias/1834/01/16/pdfs/GMD-1834-8.pdf#page=1","Abrir facsímil")</f>
        <v>Abrir facsímil</v>
      </c>
      <c r="K9437" s="10" t="s">
        <v>24</v>
      </c>
    </row>
    <row r="9438" spans="1:11" ht="54" customHeight="1">
      <c r="A9438" s="9" t="s">
        <v>19789</v>
      </c>
      <c r="B9438" s="9" t="s">
        <v>19789</v>
      </c>
      <c r="C9438" s="9" t="s">
        <v>17</v>
      </c>
      <c r="D9438" s="9" t="s">
        <v>18</v>
      </c>
      <c r="E9438" s="10" t="s">
        <v>1394</v>
      </c>
      <c r="F9438" s="9" t="s">
        <v>1395</v>
      </c>
      <c r="G9438" s="10" t="s">
        <v>21</v>
      </c>
      <c r="H9438" s="9" t="s">
        <v>22</v>
      </c>
      <c r="I9438" s="9" t="s">
        <v>19949</v>
      </c>
      <c r="J9438" s="10" t="str">
        <f>HYPERLINK("https://www.boe.es/gazeta/dias/1834/04/16/pdfs/GMD-1834-55.pdf#page=3","Abrir facsímil")</f>
        <v>Abrir facsímil</v>
      </c>
      <c r="K9438" s="10" t="s">
        <v>24</v>
      </c>
    </row>
    <row r="9439" spans="1:11" ht="54" customHeight="1">
      <c r="A9439" s="9" t="s">
        <v>19789</v>
      </c>
      <c r="B9439" s="9" t="s">
        <v>19789</v>
      </c>
      <c r="C9439" s="9" t="s">
        <v>66</v>
      </c>
      <c r="D9439" s="9" t="s">
        <v>101</v>
      </c>
      <c r="E9439" s="10" t="s">
        <v>1116</v>
      </c>
      <c r="F9439" s="9" t="s">
        <v>1117</v>
      </c>
      <c r="G9439" s="10" t="s">
        <v>34</v>
      </c>
      <c r="H9439" s="9" t="s">
        <v>22</v>
      </c>
      <c r="I9439" s="9" t="s">
        <v>19950</v>
      </c>
      <c r="J9439" s="10" t="str">
        <f>HYPERLINK("https://www.boe.es/gazeta/dias/1834/05/16/pdfs/GMD-1834-85.pdf#page=1","Abrir facsímil")</f>
        <v>Abrir facsímil</v>
      </c>
      <c r="K9439" s="10" t="s">
        <v>24</v>
      </c>
    </row>
    <row r="9440" spans="1:11" ht="54" customHeight="1">
      <c r="A9440" s="9" t="s">
        <v>19789</v>
      </c>
      <c r="B9440" s="9" t="s">
        <v>19789</v>
      </c>
      <c r="C9440" s="9" t="s">
        <v>17</v>
      </c>
      <c r="D9440" s="9" t="s">
        <v>18</v>
      </c>
      <c r="E9440" s="10" t="s">
        <v>1116</v>
      </c>
      <c r="F9440" s="9" t="s">
        <v>1117</v>
      </c>
      <c r="G9440" s="10" t="s">
        <v>75</v>
      </c>
      <c r="H9440" s="9" t="s">
        <v>22</v>
      </c>
      <c r="I9440" s="9" t="s">
        <v>19951</v>
      </c>
      <c r="J9440" s="10" t="str">
        <f>HYPERLINK("https://www.boe.es/gazeta/dias/1834/05/16/pdfs/GMD-1834-85.pdf#page=4","Abrir facsímil")</f>
        <v>Abrir facsímil</v>
      </c>
      <c r="K9440" s="10" t="s">
        <v>24</v>
      </c>
    </row>
    <row r="9441" spans="1:11" ht="54" customHeight="1">
      <c r="A9441" s="9" t="s">
        <v>19789</v>
      </c>
      <c r="B9441" s="9" t="s">
        <v>19789</v>
      </c>
      <c r="C9441" s="9" t="s">
        <v>17</v>
      </c>
      <c r="D9441" s="9" t="s">
        <v>18</v>
      </c>
      <c r="E9441" s="10" t="s">
        <v>5574</v>
      </c>
      <c r="F9441" s="9" t="s">
        <v>5575</v>
      </c>
      <c r="G9441" s="10" t="s">
        <v>34</v>
      </c>
      <c r="H9441" s="9" t="s">
        <v>22</v>
      </c>
      <c r="I9441" s="9" t="s">
        <v>19952</v>
      </c>
      <c r="J9441" s="10" t="str">
        <f>HYPERLINK("https://www.boe.es/gazeta/dias/1834/06/16/pdfs/GMD-1834-119.pdf#page=1","Abrir facsímil")</f>
        <v>Abrir facsímil</v>
      </c>
      <c r="K9441" s="10" t="s">
        <v>24</v>
      </c>
    </row>
    <row r="9442" spans="1:11" ht="54" customHeight="1">
      <c r="A9442" s="9" t="s">
        <v>19789</v>
      </c>
      <c r="B9442" s="9" t="s">
        <v>19789</v>
      </c>
      <c r="C9442" s="9" t="s">
        <v>17</v>
      </c>
      <c r="D9442" s="9" t="s">
        <v>18</v>
      </c>
      <c r="E9442" s="10" t="s">
        <v>454</v>
      </c>
      <c r="F9442" s="9" t="s">
        <v>455</v>
      </c>
      <c r="G9442" s="10" t="s">
        <v>75</v>
      </c>
      <c r="H9442" s="9" t="s">
        <v>22</v>
      </c>
      <c r="I9442" s="9" t="s">
        <v>19953</v>
      </c>
      <c r="J9442" s="10" t="str">
        <f>HYPERLINK("https://www.boe.es/gazeta/dias/1834/10/16/pdfs/GMD-C-1834-244.pdf#page=4","Abrir facsímil")</f>
        <v>Abrir facsímil</v>
      </c>
      <c r="K9442" s="10" t="s">
        <v>24</v>
      </c>
    </row>
    <row r="9443" spans="1:11" ht="54" customHeight="1">
      <c r="A9443" s="9" t="s">
        <v>19789</v>
      </c>
      <c r="B9443" s="9" t="s">
        <v>19789</v>
      </c>
      <c r="C9443" s="9" t="s">
        <v>17</v>
      </c>
      <c r="D9443" s="9" t="s">
        <v>18</v>
      </c>
      <c r="E9443" s="10" t="s">
        <v>233</v>
      </c>
      <c r="F9443" s="9" t="s">
        <v>1810</v>
      </c>
      <c r="G9443" s="10" t="s">
        <v>34</v>
      </c>
      <c r="H9443" s="9" t="s">
        <v>22</v>
      </c>
      <c r="I9443" s="9" t="s">
        <v>19954</v>
      </c>
      <c r="J9443" s="10" t="str">
        <f>HYPERLINK("https://www.boe.es/gazeta/dias/1834/12/16/pdfs/GMD-C-1834-305.pdf#page=1","Abrir facsímil")</f>
        <v>Abrir facsímil</v>
      </c>
      <c r="K9443" s="10" t="s">
        <v>24</v>
      </c>
    </row>
    <row r="9444" spans="1:11" ht="54" customHeight="1">
      <c r="A9444" s="9" t="s">
        <v>19789</v>
      </c>
      <c r="B9444" s="9" t="s">
        <v>19789</v>
      </c>
      <c r="C9444" s="9" t="s">
        <v>17</v>
      </c>
      <c r="D9444" s="9" t="s">
        <v>18</v>
      </c>
      <c r="E9444" s="10" t="s">
        <v>233</v>
      </c>
      <c r="F9444" s="9" t="s">
        <v>1810</v>
      </c>
      <c r="G9444" s="10" t="s">
        <v>1099</v>
      </c>
      <c r="H9444" s="9" t="s">
        <v>22</v>
      </c>
      <c r="I9444" s="9" t="s">
        <v>19955</v>
      </c>
      <c r="J9444" s="10" t="str">
        <f>HYPERLINK("https://www.boe.es/gazeta/dias/1834/12/16/pdfs/GMD-C-1834-305.pdf#page=11","Abrir facsímil")</f>
        <v>Abrir facsímil</v>
      </c>
      <c r="K9444" s="10" t="s">
        <v>24</v>
      </c>
    </row>
    <row r="9445" spans="1:11" ht="54" customHeight="1">
      <c r="A9445" s="9" t="s">
        <v>19789</v>
      </c>
      <c r="B9445" s="9" t="s">
        <v>19789</v>
      </c>
      <c r="C9445" s="9" t="s">
        <v>17</v>
      </c>
      <c r="D9445" s="9" t="s">
        <v>18</v>
      </c>
      <c r="E9445" s="10" t="s">
        <v>233</v>
      </c>
      <c r="F9445" s="9" t="s">
        <v>1810</v>
      </c>
      <c r="G9445" s="10" t="s">
        <v>176</v>
      </c>
      <c r="H9445" s="9" t="s">
        <v>22</v>
      </c>
      <c r="I9445" s="9" t="s">
        <v>19956</v>
      </c>
      <c r="J9445" s="10" t="str">
        <f>HYPERLINK("https://www.boe.es/gazeta/dias/1834/12/16/pdfs/GMD-C-1834-305.pdf#page=6","Abrir facsímil")</f>
        <v>Abrir facsímil</v>
      </c>
      <c r="K9445" s="10" t="s">
        <v>24</v>
      </c>
    </row>
    <row r="9446" spans="1:11" ht="54" customHeight="1">
      <c r="A9446" s="9" t="s">
        <v>19789</v>
      </c>
      <c r="B9446" s="9" t="s">
        <v>19789</v>
      </c>
      <c r="C9446" s="9" t="s">
        <v>122</v>
      </c>
      <c r="D9446" s="9" t="s">
        <v>18</v>
      </c>
      <c r="E9446" s="10" t="s">
        <v>233</v>
      </c>
      <c r="F9446" s="9" t="s">
        <v>1810</v>
      </c>
      <c r="G9446" s="10" t="s">
        <v>560</v>
      </c>
      <c r="H9446" s="9" t="s">
        <v>22</v>
      </c>
      <c r="I9446" s="9" t="s">
        <v>19957</v>
      </c>
      <c r="J9446" s="10" t="str">
        <f>HYPERLINK("https://www.boe.es/gazeta/dias/1834/12/16/pdfs/GMD-C-1834-305.pdf#page=7","Abrir facsímil")</f>
        <v>Abrir facsímil</v>
      </c>
      <c r="K9446" s="10" t="s">
        <v>24</v>
      </c>
    </row>
    <row r="9447" spans="1:11" ht="54" customHeight="1">
      <c r="A9447" s="9" t="s">
        <v>19789</v>
      </c>
      <c r="B9447" s="9" t="s">
        <v>19789</v>
      </c>
      <c r="C9447" s="9" t="s">
        <v>857</v>
      </c>
      <c r="D9447" s="9" t="s">
        <v>18</v>
      </c>
      <c r="E9447" s="10" t="s">
        <v>233</v>
      </c>
      <c r="F9447" s="9" t="s">
        <v>1810</v>
      </c>
      <c r="G9447" s="10" t="s">
        <v>470</v>
      </c>
      <c r="H9447" s="9" t="s">
        <v>22</v>
      </c>
      <c r="I9447" s="9" t="s">
        <v>19958</v>
      </c>
      <c r="J9447" s="10" t="str">
        <f>HYPERLINK("https://www.boe.es/gazeta/dias/1834/12/16/pdfs/GMD-C-1834-305.pdf#page=8","Abrir facsímil")</f>
        <v>Abrir facsímil</v>
      </c>
      <c r="K9447" s="10" t="s">
        <v>24</v>
      </c>
    </row>
    <row r="9448" spans="1:11" ht="54" customHeight="1">
      <c r="A9448" s="9" t="s">
        <v>19789</v>
      </c>
      <c r="B9448" s="9" t="s">
        <v>19789</v>
      </c>
      <c r="C9448" s="9" t="s">
        <v>17</v>
      </c>
      <c r="D9448" s="9" t="s">
        <v>18</v>
      </c>
      <c r="E9448" s="10" t="s">
        <v>233</v>
      </c>
      <c r="F9448" s="9" t="s">
        <v>1810</v>
      </c>
      <c r="G9448" s="10" t="s">
        <v>1343</v>
      </c>
      <c r="H9448" s="9" t="s">
        <v>22</v>
      </c>
      <c r="I9448" s="9" t="s">
        <v>19959</v>
      </c>
      <c r="J9448" s="10" t="str">
        <f>HYPERLINK("https://www.boe.es/gazeta/dias/1834/12/16/pdfs/GMD-C-1834-305.pdf#page=9","Abrir facsímil")</f>
        <v>Abrir facsímil</v>
      </c>
      <c r="K9448" s="10" t="s">
        <v>24</v>
      </c>
    </row>
    <row r="9449" spans="1:11" ht="54" customHeight="1">
      <c r="A9449" s="9" t="s">
        <v>19789</v>
      </c>
      <c r="B9449" s="9" t="s">
        <v>19789</v>
      </c>
      <c r="C9449" s="9" t="s">
        <v>17</v>
      </c>
      <c r="D9449" s="9" t="s">
        <v>18</v>
      </c>
      <c r="E9449" s="10" t="s">
        <v>1125</v>
      </c>
      <c r="F9449" s="9" t="s">
        <v>2490</v>
      </c>
      <c r="G9449" s="10" t="s">
        <v>34</v>
      </c>
      <c r="H9449" s="9" t="s">
        <v>22</v>
      </c>
      <c r="I9449" s="9" t="s">
        <v>19960</v>
      </c>
      <c r="J9449" s="10" t="str">
        <f>HYPERLINK("https://www.boe.es/gazeta/dias/1834/04/17/pdfs/GMD-1834-56.pdf#page=1","Abrir facsímil")</f>
        <v>Abrir facsímil</v>
      </c>
      <c r="K9449" s="10" t="s">
        <v>24</v>
      </c>
    </row>
    <row r="9450" spans="1:11" ht="54" customHeight="1">
      <c r="A9450" s="9" t="s">
        <v>19789</v>
      </c>
      <c r="B9450" s="9" t="s">
        <v>19789</v>
      </c>
      <c r="C9450" s="9" t="s">
        <v>17</v>
      </c>
      <c r="D9450" s="9" t="s">
        <v>55</v>
      </c>
      <c r="E9450" s="10" t="s">
        <v>1125</v>
      </c>
      <c r="F9450" s="9" t="s">
        <v>1126</v>
      </c>
      <c r="G9450" s="10" t="s">
        <v>86</v>
      </c>
      <c r="H9450" s="9" t="s">
        <v>22</v>
      </c>
      <c r="I9450" s="9" t="s">
        <v>19961</v>
      </c>
      <c r="J9450" s="10" t="str">
        <f>HYPERLINK("https://www.boe.es/gazeta/dias/1834/04/17/pdfs/GMD-C-1834-56.pdf#page=2","Abrir facsímil")</f>
        <v>Abrir facsímil</v>
      </c>
      <c r="K9450" s="10" t="s">
        <v>24</v>
      </c>
    </row>
    <row r="9451" spans="1:11" ht="54" customHeight="1">
      <c r="A9451" s="9" t="s">
        <v>19789</v>
      </c>
      <c r="B9451" s="9" t="s">
        <v>19789</v>
      </c>
      <c r="C9451" s="9" t="s">
        <v>66</v>
      </c>
      <c r="D9451" s="9" t="s">
        <v>18</v>
      </c>
      <c r="E9451" s="10" t="s">
        <v>138</v>
      </c>
      <c r="F9451" s="9" t="s">
        <v>139</v>
      </c>
      <c r="G9451" s="10" t="s">
        <v>34</v>
      </c>
      <c r="H9451" s="9" t="s">
        <v>22</v>
      </c>
      <c r="I9451" s="9" t="s">
        <v>19962</v>
      </c>
      <c r="J9451" s="10" t="str">
        <f>HYPERLINK("https://www.boe.es/gazeta/dias/1834/05/17/pdfs/GMD-1834-86.pdf#page=1","Abrir facsímil")</f>
        <v>Abrir facsímil</v>
      </c>
      <c r="K9451" s="10" t="s">
        <v>24</v>
      </c>
    </row>
    <row r="9452" spans="1:11" ht="54" customHeight="1">
      <c r="A9452" s="9" t="s">
        <v>19789</v>
      </c>
      <c r="B9452" s="9" t="s">
        <v>19789</v>
      </c>
      <c r="C9452" s="9" t="s">
        <v>17</v>
      </c>
      <c r="D9452" s="9" t="s">
        <v>18</v>
      </c>
      <c r="E9452" s="10" t="s">
        <v>4237</v>
      </c>
      <c r="F9452" s="9" t="s">
        <v>4238</v>
      </c>
      <c r="G9452" s="10" t="s">
        <v>34</v>
      </c>
      <c r="H9452" s="9" t="s">
        <v>22</v>
      </c>
      <c r="I9452" s="9" t="s">
        <v>19963</v>
      </c>
      <c r="J9452" s="10" t="str">
        <f>HYPERLINK("https://www.boe.es/gazeta/dias/1834/06/17/pdfs/GMD-1834-120.pdf#page=1","Abrir facsímil")</f>
        <v>Abrir facsímil</v>
      </c>
      <c r="K9452" s="10" t="s">
        <v>24</v>
      </c>
    </row>
    <row r="9453" spans="1:11" ht="54" customHeight="1">
      <c r="A9453" s="9" t="s">
        <v>19789</v>
      </c>
      <c r="B9453" s="9" t="s">
        <v>19789</v>
      </c>
      <c r="C9453" s="9" t="s">
        <v>122</v>
      </c>
      <c r="D9453" s="9" t="s">
        <v>18</v>
      </c>
      <c r="E9453" s="10" t="s">
        <v>1119</v>
      </c>
      <c r="F9453" s="9" t="s">
        <v>1120</v>
      </c>
      <c r="G9453" s="10" t="s">
        <v>34</v>
      </c>
      <c r="H9453" s="9" t="s">
        <v>22</v>
      </c>
      <c r="I9453" s="9" t="s">
        <v>19964</v>
      </c>
      <c r="J9453" s="10" t="str">
        <f>HYPERLINK("https://www.boe.es/gazeta/dias/1834/07/17/pdfs/GMD-1834-150.pdf#page=1","Abrir facsímil")</f>
        <v>Abrir facsímil</v>
      </c>
      <c r="K9453" s="10" t="s">
        <v>24</v>
      </c>
    </row>
    <row r="9454" spans="1:11" ht="54" customHeight="1">
      <c r="A9454" s="9" t="s">
        <v>19789</v>
      </c>
      <c r="B9454" s="9" t="s">
        <v>19789</v>
      </c>
      <c r="C9454" s="9" t="s">
        <v>17</v>
      </c>
      <c r="D9454" s="9" t="s">
        <v>18</v>
      </c>
      <c r="E9454" s="10" t="s">
        <v>19</v>
      </c>
      <c r="F9454" s="9" t="s">
        <v>107</v>
      </c>
      <c r="G9454" s="10" t="s">
        <v>21</v>
      </c>
      <c r="H9454" s="9" t="s">
        <v>22</v>
      </c>
      <c r="I9454" s="9" t="s">
        <v>19965</v>
      </c>
      <c r="J9454" s="10" t="str">
        <f>HYPERLINK("https://www.boe.es/gazeta/dias/1834/08/17/pdfs/GMD-1834-182.pdf#page=3","Abrir facsímil")</f>
        <v>Abrir facsímil</v>
      </c>
      <c r="K9454" s="10" t="s">
        <v>24</v>
      </c>
    </row>
    <row r="9455" spans="1:11" ht="54" customHeight="1">
      <c r="A9455" s="9" t="s">
        <v>19789</v>
      </c>
      <c r="B9455" s="9" t="s">
        <v>19789</v>
      </c>
      <c r="C9455" s="9" t="s">
        <v>46</v>
      </c>
      <c r="D9455" s="9" t="s">
        <v>101</v>
      </c>
      <c r="E9455" s="10" t="s">
        <v>715</v>
      </c>
      <c r="F9455" s="9" t="s">
        <v>7773</v>
      </c>
      <c r="G9455" s="10" t="s">
        <v>34</v>
      </c>
      <c r="H9455" s="9" t="s">
        <v>22</v>
      </c>
      <c r="I9455" s="9" t="s">
        <v>19966</v>
      </c>
      <c r="J9455" s="10" t="str">
        <f>HYPERLINK("https://www.boe.es/gazeta/dias/1834/09/17/pdfs/GMD-1834-215.pdf#page=1","Abrir facsímil")</f>
        <v>Abrir facsímil</v>
      </c>
      <c r="K9455" s="10" t="s">
        <v>24</v>
      </c>
    </row>
    <row r="9456" spans="1:11" ht="54" customHeight="1">
      <c r="A9456" s="9" t="s">
        <v>19789</v>
      </c>
      <c r="B9456" s="9" t="s">
        <v>19789</v>
      </c>
      <c r="C9456" s="9" t="s">
        <v>17</v>
      </c>
      <c r="D9456" s="9" t="s">
        <v>18</v>
      </c>
      <c r="E9456" s="10" t="s">
        <v>2278</v>
      </c>
      <c r="F9456" s="9" t="s">
        <v>2279</v>
      </c>
      <c r="G9456" s="10" t="s">
        <v>75</v>
      </c>
      <c r="H9456" s="9" t="s">
        <v>22</v>
      </c>
      <c r="I9456" s="9" t="s">
        <v>19967</v>
      </c>
      <c r="J9456" s="10" t="str">
        <f>HYPERLINK("https://www.boe.es/gazeta/dias/1834/12/17/pdfs/GMD-C-1834-306.pdf#page=4","Abrir facsímil")</f>
        <v>Abrir facsímil</v>
      </c>
      <c r="K9456" s="10" t="s">
        <v>24</v>
      </c>
    </row>
    <row r="9457" spans="1:11" ht="54" customHeight="1">
      <c r="A9457" s="9" t="s">
        <v>19789</v>
      </c>
      <c r="B9457" s="9" t="s">
        <v>19789</v>
      </c>
      <c r="C9457" s="9" t="s">
        <v>17</v>
      </c>
      <c r="D9457" s="9" t="s">
        <v>18</v>
      </c>
      <c r="E9457" s="10" t="s">
        <v>866</v>
      </c>
      <c r="F9457" s="9" t="s">
        <v>867</v>
      </c>
      <c r="G9457" s="10" t="s">
        <v>34</v>
      </c>
      <c r="H9457" s="9" t="s">
        <v>22</v>
      </c>
      <c r="I9457" s="9" t="s">
        <v>19968</v>
      </c>
      <c r="J9457" s="10" t="str">
        <f>HYPERLINK("https://www.boe.es/gazeta/dias/1834/01/18/pdfs/GMD-1834-9.pdf#page=1","Abrir facsímil")</f>
        <v>Abrir facsímil</v>
      </c>
      <c r="K9457" s="10" t="s">
        <v>24</v>
      </c>
    </row>
    <row r="9458" spans="1:11" ht="54" customHeight="1">
      <c r="A9458" s="9" t="s">
        <v>19789</v>
      </c>
      <c r="B9458" s="9" t="s">
        <v>19789</v>
      </c>
      <c r="C9458" s="9" t="s">
        <v>17</v>
      </c>
      <c r="D9458" s="9" t="s">
        <v>55</v>
      </c>
      <c r="E9458" s="10" t="s">
        <v>866</v>
      </c>
      <c r="F9458" s="9" t="s">
        <v>867</v>
      </c>
      <c r="G9458" s="10" t="s">
        <v>86</v>
      </c>
      <c r="H9458" s="9" t="s">
        <v>22</v>
      </c>
      <c r="I9458" s="9" t="s">
        <v>19969</v>
      </c>
      <c r="J9458" s="10" t="str">
        <f>HYPERLINK("https://www.boe.es/gazeta/dias/1834/01/18/pdfs/GMD-1834-9.pdf#page=2","Abrir facsímil")</f>
        <v>Abrir facsímil</v>
      </c>
      <c r="K9458" s="10" t="s">
        <v>24</v>
      </c>
    </row>
    <row r="9459" spans="1:11" ht="54" customHeight="1">
      <c r="A9459" s="9" t="s">
        <v>19789</v>
      </c>
      <c r="B9459" s="9" t="s">
        <v>19789</v>
      </c>
      <c r="C9459" s="9" t="s">
        <v>17</v>
      </c>
      <c r="D9459" s="9" t="s">
        <v>18</v>
      </c>
      <c r="E9459" s="10" t="s">
        <v>1850</v>
      </c>
      <c r="F9459" s="9" t="s">
        <v>1851</v>
      </c>
      <c r="G9459" s="10" t="s">
        <v>86</v>
      </c>
      <c r="H9459" s="9" t="s">
        <v>22</v>
      </c>
      <c r="I9459" s="9" t="s">
        <v>19970</v>
      </c>
      <c r="J9459" s="10" t="str">
        <f>HYPERLINK("https://www.boe.es/gazeta/dias/1834/02/18/pdfs/GMD-1834-22.pdf#page=2","Abrir facsímil")</f>
        <v>Abrir facsímil</v>
      </c>
      <c r="K9459" s="10" t="s">
        <v>24</v>
      </c>
    </row>
    <row r="9460" spans="1:11" ht="54" customHeight="1">
      <c r="A9460" s="9" t="s">
        <v>19789</v>
      </c>
      <c r="B9460" s="9" t="s">
        <v>19789</v>
      </c>
      <c r="C9460" s="9" t="s">
        <v>17</v>
      </c>
      <c r="D9460" s="9" t="s">
        <v>18</v>
      </c>
      <c r="E9460" s="10" t="s">
        <v>1850</v>
      </c>
      <c r="F9460" s="9" t="s">
        <v>1851</v>
      </c>
      <c r="G9460" s="10" t="s">
        <v>75</v>
      </c>
      <c r="H9460" s="9" t="s">
        <v>22</v>
      </c>
      <c r="I9460" s="9" t="s">
        <v>19971</v>
      </c>
      <c r="J9460" s="10" t="str">
        <f>HYPERLINK("https://www.boe.es/gazeta/dias/1834/02/18/pdfs/GMD-1834-22.pdf#page=4","Abrir facsímil")</f>
        <v>Abrir facsímil</v>
      </c>
      <c r="K9460" s="10" t="s">
        <v>24</v>
      </c>
    </row>
    <row r="9461" spans="1:11" ht="54" customHeight="1">
      <c r="A9461" s="9" t="s">
        <v>19789</v>
      </c>
      <c r="B9461" s="9" t="s">
        <v>19789</v>
      </c>
      <c r="C9461" s="9" t="s">
        <v>17</v>
      </c>
      <c r="D9461" s="9" t="s">
        <v>18</v>
      </c>
      <c r="E9461" s="10" t="s">
        <v>1850</v>
      </c>
      <c r="F9461" s="9" t="s">
        <v>1851</v>
      </c>
      <c r="G9461" s="10" t="s">
        <v>176</v>
      </c>
      <c r="H9461" s="9" t="s">
        <v>22</v>
      </c>
      <c r="I9461" s="9" t="s">
        <v>19972</v>
      </c>
      <c r="J9461" s="10" t="str">
        <f>HYPERLINK("https://www.boe.es/gazeta/dias/1834/02/18/pdfs/GMD-1834-22.pdf#page=6","Abrir facsímil")</f>
        <v>Abrir facsímil</v>
      </c>
      <c r="K9461" s="10" t="s">
        <v>24</v>
      </c>
    </row>
    <row r="9462" spans="1:11" ht="54" customHeight="1">
      <c r="A9462" s="9" t="s">
        <v>19789</v>
      </c>
      <c r="B9462" s="9" t="s">
        <v>19789</v>
      </c>
      <c r="C9462" s="9" t="s">
        <v>46</v>
      </c>
      <c r="D9462" s="9" t="s">
        <v>101</v>
      </c>
      <c r="E9462" s="10" t="s">
        <v>1850</v>
      </c>
      <c r="F9462" s="9" t="s">
        <v>1851</v>
      </c>
      <c r="G9462" s="10" t="s">
        <v>470</v>
      </c>
      <c r="H9462" s="9" t="s">
        <v>22</v>
      </c>
      <c r="I9462" s="9" t="s">
        <v>19973</v>
      </c>
      <c r="J9462" s="10" t="str">
        <f>HYPERLINK("https://www.boe.es/gazeta/dias/1834/02/18/pdfs/GMD-1834-22.pdf#page=8","Abrir facsímil")</f>
        <v>Abrir facsímil</v>
      </c>
      <c r="K9462" s="10" t="s">
        <v>24</v>
      </c>
    </row>
    <row r="9463" spans="1:11" ht="54" customHeight="1">
      <c r="A9463" s="9" t="s">
        <v>19789</v>
      </c>
      <c r="B9463" s="9" t="s">
        <v>19789</v>
      </c>
      <c r="C9463" s="9" t="s">
        <v>122</v>
      </c>
      <c r="D9463" s="9" t="s">
        <v>18</v>
      </c>
      <c r="E9463" s="10" t="s">
        <v>183</v>
      </c>
      <c r="F9463" s="9" t="s">
        <v>184</v>
      </c>
      <c r="G9463" s="10" t="s">
        <v>75</v>
      </c>
      <c r="H9463" s="9" t="s">
        <v>22</v>
      </c>
      <c r="I9463" s="9" t="s">
        <v>19974</v>
      </c>
      <c r="J9463" s="10" t="str">
        <f>HYPERLINK("https://www.boe.es/gazeta/dias/1834/03/18/pdfs/GMD-1834-34.pdf#page=4","Abrir facsímil")</f>
        <v>Abrir facsímil</v>
      </c>
      <c r="K9463" s="10" t="s">
        <v>24</v>
      </c>
    </row>
    <row r="9464" spans="1:11" ht="54" customHeight="1">
      <c r="A9464" s="9" t="s">
        <v>19789</v>
      </c>
      <c r="B9464" s="9" t="s">
        <v>19789</v>
      </c>
      <c r="C9464" s="9" t="s">
        <v>66</v>
      </c>
      <c r="D9464" s="9" t="s">
        <v>18</v>
      </c>
      <c r="E9464" s="10" t="s">
        <v>541</v>
      </c>
      <c r="F9464" s="9" t="s">
        <v>542</v>
      </c>
      <c r="G9464" s="10" t="s">
        <v>34</v>
      </c>
      <c r="H9464" s="9" t="s">
        <v>22</v>
      </c>
      <c r="I9464" s="9" t="s">
        <v>19975</v>
      </c>
      <c r="J9464" s="10" t="str">
        <f>HYPERLINK("https://www.boe.es/gazeta/dias/1834/04/18/pdfs/GMD-1834-57.pdf#page=1","Abrir facsímil")</f>
        <v>Abrir facsímil</v>
      </c>
      <c r="K9464" s="10" t="s">
        <v>24</v>
      </c>
    </row>
    <row r="9465" spans="1:11" ht="54" customHeight="1">
      <c r="A9465" s="9" t="s">
        <v>19789</v>
      </c>
      <c r="B9465" s="9" t="s">
        <v>19789</v>
      </c>
      <c r="C9465" s="9" t="s">
        <v>17</v>
      </c>
      <c r="D9465" s="9" t="s">
        <v>18</v>
      </c>
      <c r="E9465" s="10" t="s">
        <v>541</v>
      </c>
      <c r="F9465" s="9" t="s">
        <v>542</v>
      </c>
      <c r="G9465" s="10" t="s">
        <v>86</v>
      </c>
      <c r="H9465" s="9" t="s">
        <v>22</v>
      </c>
      <c r="I9465" s="9" t="s">
        <v>19976</v>
      </c>
      <c r="J9465" s="10" t="str">
        <f>HYPERLINK("https://www.boe.es/gazeta/dias/1834/04/18/pdfs/GMD-1834-57.pdf#page=2","Abrir facsímil")</f>
        <v>Abrir facsímil</v>
      </c>
      <c r="K9465" s="10" t="s">
        <v>24</v>
      </c>
    </row>
    <row r="9466" spans="1:11" ht="54" customHeight="1">
      <c r="A9466" s="9" t="s">
        <v>19789</v>
      </c>
      <c r="B9466" s="9" t="s">
        <v>19789</v>
      </c>
      <c r="C9466" s="9" t="s">
        <v>66</v>
      </c>
      <c r="D9466" s="9" t="s">
        <v>67</v>
      </c>
      <c r="E9466" s="10" t="s">
        <v>133</v>
      </c>
      <c r="F9466" s="9" t="s">
        <v>134</v>
      </c>
      <c r="G9466" s="10" t="s">
        <v>34</v>
      </c>
      <c r="H9466" s="9" t="s">
        <v>22</v>
      </c>
      <c r="I9466" s="9" t="s">
        <v>19977</v>
      </c>
      <c r="J9466" s="10" t="str">
        <f>HYPERLINK("https://www.boe.es/gazeta/dias/1834/06/18/pdfs/GMD-1834-121.pdf#page=1","Abrir facsímil")</f>
        <v>Abrir facsímil</v>
      </c>
      <c r="K9466" s="10" t="s">
        <v>24</v>
      </c>
    </row>
    <row r="9467" spans="1:11" ht="54" customHeight="1">
      <c r="A9467" s="9" t="s">
        <v>19789</v>
      </c>
      <c r="B9467" s="9" t="s">
        <v>19789</v>
      </c>
      <c r="C9467" s="9" t="s">
        <v>17</v>
      </c>
      <c r="D9467" s="9" t="s">
        <v>18</v>
      </c>
      <c r="E9467" s="10" t="s">
        <v>133</v>
      </c>
      <c r="F9467" s="9" t="s">
        <v>134</v>
      </c>
      <c r="G9467" s="10" t="s">
        <v>86</v>
      </c>
      <c r="H9467" s="9" t="s">
        <v>22</v>
      </c>
      <c r="I9467" s="9" t="s">
        <v>19978</v>
      </c>
      <c r="J9467" s="10" t="str">
        <f>HYPERLINK("https://www.boe.es/gazeta/dias/1834/06/18/pdfs/GMD-1834-121.pdf#page=2","Abrir facsímil")</f>
        <v>Abrir facsímil</v>
      </c>
      <c r="K9467" s="10" t="s">
        <v>24</v>
      </c>
    </row>
    <row r="9468" spans="1:11" ht="54" customHeight="1">
      <c r="A9468" s="9" t="s">
        <v>19789</v>
      </c>
      <c r="B9468" s="9" t="s">
        <v>19789</v>
      </c>
      <c r="C9468" s="9" t="s">
        <v>17</v>
      </c>
      <c r="D9468" s="9" t="s">
        <v>18</v>
      </c>
      <c r="E9468" s="10" t="s">
        <v>1459</v>
      </c>
      <c r="F9468" s="9" t="s">
        <v>1460</v>
      </c>
      <c r="G9468" s="10" t="s">
        <v>21</v>
      </c>
      <c r="H9468" s="9" t="s">
        <v>22</v>
      </c>
      <c r="I9468" s="9" t="s">
        <v>19979</v>
      </c>
      <c r="J9468" s="10" t="str">
        <f>HYPERLINK("https://www.boe.es/gazeta/dias/1834/08/18/pdfs/GMD-1834-184.pdf#page=3","Abrir facsímil")</f>
        <v>Abrir facsímil</v>
      </c>
      <c r="K9468" s="10" t="s">
        <v>24</v>
      </c>
    </row>
    <row r="9469" spans="1:11" ht="54" customHeight="1">
      <c r="A9469" s="9" t="s">
        <v>19789</v>
      </c>
      <c r="B9469" s="9" t="s">
        <v>19789</v>
      </c>
      <c r="C9469" s="9" t="s">
        <v>17</v>
      </c>
      <c r="D9469" s="9" t="s">
        <v>18</v>
      </c>
      <c r="E9469" s="10" t="s">
        <v>772</v>
      </c>
      <c r="F9469" s="9" t="s">
        <v>773</v>
      </c>
      <c r="G9469" s="10" t="s">
        <v>21</v>
      </c>
      <c r="H9469" s="9" t="s">
        <v>22</v>
      </c>
      <c r="I9469" s="9" t="s">
        <v>19980</v>
      </c>
      <c r="J9469" s="10" t="str">
        <f>HYPERLINK("https://www.boe.es/gazeta/dias/1834/09/18/pdfs/GMD-1834-216.pdf#page=3","Abrir facsímil")</f>
        <v>Abrir facsímil</v>
      </c>
      <c r="K9469" s="10" t="s">
        <v>24</v>
      </c>
    </row>
    <row r="9470" spans="1:11" ht="54" customHeight="1">
      <c r="A9470" s="9" t="s">
        <v>19789</v>
      </c>
      <c r="B9470" s="9" t="s">
        <v>19789</v>
      </c>
      <c r="C9470" s="9" t="s">
        <v>17</v>
      </c>
      <c r="D9470" s="9" t="s">
        <v>18</v>
      </c>
      <c r="E9470" s="10" t="s">
        <v>3036</v>
      </c>
      <c r="F9470" s="9" t="s">
        <v>3372</v>
      </c>
      <c r="G9470" s="10" t="s">
        <v>34</v>
      </c>
      <c r="H9470" s="9" t="s">
        <v>22</v>
      </c>
      <c r="I9470" s="9" t="s">
        <v>19981</v>
      </c>
      <c r="J9470" s="10" t="str">
        <f>HYPERLINK("https://www.boe.es/gazeta/dias/1834/11/18/pdfs/GMD-1834-277.pdf#page=1","Abrir facsímil")</f>
        <v>Abrir facsímil</v>
      </c>
      <c r="K9470" s="10" t="s">
        <v>24</v>
      </c>
    </row>
    <row r="9471" spans="1:11" ht="54" customHeight="1">
      <c r="A9471" s="9" t="s">
        <v>19789</v>
      </c>
      <c r="B9471" s="9" t="s">
        <v>19789</v>
      </c>
      <c r="C9471" s="9" t="s">
        <v>17</v>
      </c>
      <c r="D9471" s="9" t="s">
        <v>18</v>
      </c>
      <c r="E9471" s="10" t="s">
        <v>2287</v>
      </c>
      <c r="F9471" s="9" t="s">
        <v>2288</v>
      </c>
      <c r="G9471" s="10" t="s">
        <v>21</v>
      </c>
      <c r="H9471" s="9" t="s">
        <v>22</v>
      </c>
      <c r="I9471" s="9" t="s">
        <v>19982</v>
      </c>
      <c r="J9471" s="10" t="str">
        <f>HYPERLINK("https://www.boe.es/gazeta/dias/1834/12/18/pdfs/GMD-C-1834-308.pdf#page=3","Abrir facsímil")</f>
        <v>Abrir facsímil</v>
      </c>
      <c r="K9471" s="10" t="s">
        <v>24</v>
      </c>
    </row>
    <row r="9472" spans="1:11" ht="54" customHeight="1">
      <c r="A9472" s="9" t="s">
        <v>19789</v>
      </c>
      <c r="B9472" s="9" t="s">
        <v>19789</v>
      </c>
      <c r="C9472" s="9" t="s">
        <v>17</v>
      </c>
      <c r="D9472" s="9" t="s">
        <v>18</v>
      </c>
      <c r="E9472" s="10" t="s">
        <v>2287</v>
      </c>
      <c r="F9472" s="9" t="s">
        <v>2288</v>
      </c>
      <c r="G9472" s="10" t="s">
        <v>75</v>
      </c>
      <c r="H9472" s="9" t="s">
        <v>22</v>
      </c>
      <c r="I9472" s="9" t="s">
        <v>19983</v>
      </c>
      <c r="J9472" s="10" t="str">
        <f>HYPERLINK("https://www.boe.es/gazeta/dias/1834/12/18/pdfs/GMD-C-1834-308.pdf#page=4","Abrir facsímil")</f>
        <v>Abrir facsímil</v>
      </c>
      <c r="K9472" s="10" t="s">
        <v>24</v>
      </c>
    </row>
    <row r="9473" spans="1:11" ht="54" customHeight="1">
      <c r="A9473" s="9" t="s">
        <v>19789</v>
      </c>
      <c r="B9473" s="9" t="s">
        <v>19789</v>
      </c>
      <c r="C9473" s="9" t="s">
        <v>66</v>
      </c>
      <c r="D9473" s="9" t="s">
        <v>18</v>
      </c>
      <c r="E9473" s="10" t="s">
        <v>563</v>
      </c>
      <c r="F9473" s="9" t="s">
        <v>564</v>
      </c>
      <c r="G9473" s="10" t="s">
        <v>34</v>
      </c>
      <c r="H9473" s="9" t="s">
        <v>22</v>
      </c>
      <c r="I9473" s="9" t="s">
        <v>19984</v>
      </c>
      <c r="J9473" s="10" t="str">
        <f>HYPERLINK("https://www.boe.es/gazeta/dias/1834/04/19/pdfs/GMD-1834-58.pdf#page=1","Abrir facsímil")</f>
        <v>Abrir facsímil</v>
      </c>
      <c r="K9473" s="10" t="s">
        <v>24</v>
      </c>
    </row>
    <row r="9474" spans="1:11" ht="54" customHeight="1">
      <c r="A9474" s="9" t="s">
        <v>19789</v>
      </c>
      <c r="B9474" s="9" t="s">
        <v>19789</v>
      </c>
      <c r="C9474" s="9" t="s">
        <v>17</v>
      </c>
      <c r="D9474" s="9" t="s">
        <v>18</v>
      </c>
      <c r="E9474" s="10" t="s">
        <v>563</v>
      </c>
      <c r="F9474" s="9" t="s">
        <v>564</v>
      </c>
      <c r="G9474" s="10" t="s">
        <v>75</v>
      </c>
      <c r="H9474" s="9" t="s">
        <v>22</v>
      </c>
      <c r="I9474" s="9" t="s">
        <v>19985</v>
      </c>
      <c r="J9474" s="10" t="str">
        <f>HYPERLINK("https://www.boe.es/gazeta/dias/1834/04/19/pdfs/GMD-1834-58.pdf#page=4","Abrir facsímil")</f>
        <v>Abrir facsímil</v>
      </c>
      <c r="K9474" s="10" t="s">
        <v>24</v>
      </c>
    </row>
    <row r="9475" spans="1:11" ht="54" customHeight="1">
      <c r="A9475" s="9" t="s">
        <v>19789</v>
      </c>
      <c r="B9475" s="9" t="s">
        <v>19789</v>
      </c>
      <c r="C9475" s="9" t="s">
        <v>17</v>
      </c>
      <c r="D9475" s="9" t="s">
        <v>40</v>
      </c>
      <c r="E9475" s="10" t="s">
        <v>563</v>
      </c>
      <c r="F9475" s="9" t="s">
        <v>5858</v>
      </c>
      <c r="G9475" s="10" t="s">
        <v>86</v>
      </c>
      <c r="H9475" s="9" t="s">
        <v>22</v>
      </c>
      <c r="I9475" s="9" t="s">
        <v>19986</v>
      </c>
      <c r="J9475" s="10" t="str">
        <f>HYPERLINK("https://www.boe.es/gazeta/dias/1834/04/19/pdfs/GMD-C-1834-58.pdf#page=2","Abrir facsímil")</f>
        <v>Abrir facsímil</v>
      </c>
      <c r="K9475" s="10" t="s">
        <v>24</v>
      </c>
    </row>
    <row r="9476" spans="1:11" ht="54" customHeight="1">
      <c r="A9476" s="9" t="s">
        <v>19789</v>
      </c>
      <c r="B9476" s="9" t="s">
        <v>19789</v>
      </c>
      <c r="C9476" s="9" t="s">
        <v>66</v>
      </c>
      <c r="D9476" s="9" t="s">
        <v>18</v>
      </c>
      <c r="E9476" s="10" t="s">
        <v>367</v>
      </c>
      <c r="F9476" s="9" t="s">
        <v>368</v>
      </c>
      <c r="G9476" s="10" t="s">
        <v>34</v>
      </c>
      <c r="H9476" s="9" t="s">
        <v>22</v>
      </c>
      <c r="I9476" s="9" t="s">
        <v>19987</v>
      </c>
      <c r="J9476" s="10" t="str">
        <f>HYPERLINK("https://www.boe.es/gazeta/dias/1834/05/19/pdfs/GMD-1834-88.pdf#page=1","Abrir facsímil")</f>
        <v>Abrir facsímil</v>
      </c>
      <c r="K9476" s="10" t="s">
        <v>24</v>
      </c>
    </row>
    <row r="9477" spans="1:11" ht="54" customHeight="1">
      <c r="A9477" s="9" t="s">
        <v>19789</v>
      </c>
      <c r="B9477" s="9" t="s">
        <v>19789</v>
      </c>
      <c r="C9477" s="9" t="s">
        <v>17</v>
      </c>
      <c r="D9477" s="9" t="s">
        <v>18</v>
      </c>
      <c r="E9477" s="10" t="s">
        <v>367</v>
      </c>
      <c r="F9477" s="9" t="s">
        <v>368</v>
      </c>
      <c r="G9477" s="10" t="s">
        <v>75</v>
      </c>
      <c r="H9477" s="9" t="s">
        <v>22</v>
      </c>
      <c r="I9477" s="9" t="s">
        <v>19988</v>
      </c>
      <c r="J9477" s="10" t="str">
        <f>HYPERLINK("https://www.boe.es/gazeta/dias/1834/05/19/pdfs/GMD-1834-88.pdf#page=4","Abrir facsímil")</f>
        <v>Abrir facsímil</v>
      </c>
      <c r="K9477" s="10" t="s">
        <v>24</v>
      </c>
    </row>
    <row r="9478" spans="1:11" ht="54" customHeight="1">
      <c r="A9478" s="9" t="s">
        <v>19789</v>
      </c>
      <c r="B9478" s="9" t="s">
        <v>19789</v>
      </c>
      <c r="C9478" s="9" t="s">
        <v>17</v>
      </c>
      <c r="D9478" s="9" t="s">
        <v>101</v>
      </c>
      <c r="E9478" s="10" t="s">
        <v>1669</v>
      </c>
      <c r="F9478" s="9" t="s">
        <v>1670</v>
      </c>
      <c r="G9478" s="10" t="s">
        <v>34</v>
      </c>
      <c r="H9478" s="9" t="s">
        <v>22</v>
      </c>
      <c r="I9478" s="9" t="s">
        <v>19989</v>
      </c>
      <c r="J9478" s="10" t="str">
        <f>HYPERLINK("https://www.boe.es/gazeta/dias/1834/06/19/pdfs/GMD-1834-122.pdf#page=1","Abrir facsímil")</f>
        <v>Abrir facsímil</v>
      </c>
      <c r="K9478" s="10" t="s">
        <v>24</v>
      </c>
    </row>
    <row r="9479" spans="1:11" ht="54" customHeight="1">
      <c r="A9479" s="9" t="s">
        <v>19789</v>
      </c>
      <c r="B9479" s="9" t="s">
        <v>19789</v>
      </c>
      <c r="C9479" s="9" t="s">
        <v>17</v>
      </c>
      <c r="D9479" s="9" t="s">
        <v>18</v>
      </c>
      <c r="E9479" s="10" t="s">
        <v>102</v>
      </c>
      <c r="F9479" s="9" t="s">
        <v>103</v>
      </c>
      <c r="G9479" s="10" t="s">
        <v>34</v>
      </c>
      <c r="H9479" s="9" t="s">
        <v>22</v>
      </c>
      <c r="I9479" s="9" t="s">
        <v>19990</v>
      </c>
      <c r="J9479" s="10" t="str">
        <f>HYPERLINK("https://www.boe.es/gazeta/dias/1834/07/19/pdfs/GMD-1834-152.pdf#page=1","Abrir facsímil")</f>
        <v>Abrir facsímil</v>
      </c>
      <c r="K9479" s="10" t="s">
        <v>24</v>
      </c>
    </row>
    <row r="9480" spans="1:11" ht="54" customHeight="1">
      <c r="A9480" s="9" t="s">
        <v>19789</v>
      </c>
      <c r="B9480" s="9" t="s">
        <v>19789</v>
      </c>
      <c r="C9480" s="9" t="s">
        <v>66</v>
      </c>
      <c r="D9480" s="9" t="s">
        <v>67</v>
      </c>
      <c r="E9480" s="10" t="s">
        <v>615</v>
      </c>
      <c r="F9480" s="9" t="s">
        <v>616</v>
      </c>
      <c r="G9480" s="10" t="s">
        <v>86</v>
      </c>
      <c r="H9480" s="9" t="s">
        <v>22</v>
      </c>
      <c r="I9480" s="9" t="s">
        <v>19991</v>
      </c>
      <c r="J9480" s="10" t="str">
        <f>HYPERLINK("https://www.boe.es/gazeta/dias/1834/08/19/pdfs/GMD-1834-185.pdf#page=2","Abrir facsímil")</f>
        <v>Abrir facsímil</v>
      </c>
      <c r="K9480" s="10" t="s">
        <v>24</v>
      </c>
    </row>
    <row r="9481" spans="1:11" ht="54" customHeight="1">
      <c r="A9481" s="9" t="s">
        <v>19789</v>
      </c>
      <c r="B9481" s="9" t="s">
        <v>19789</v>
      </c>
      <c r="C9481" s="9" t="s">
        <v>17</v>
      </c>
      <c r="D9481" s="9" t="s">
        <v>18</v>
      </c>
      <c r="E9481" s="10" t="s">
        <v>615</v>
      </c>
      <c r="F9481" s="9" t="s">
        <v>616</v>
      </c>
      <c r="G9481" s="10" t="s">
        <v>21</v>
      </c>
      <c r="H9481" s="9" t="s">
        <v>22</v>
      </c>
      <c r="I9481" s="9" t="s">
        <v>19992</v>
      </c>
      <c r="J9481" s="10" t="str">
        <f>HYPERLINK("https://www.boe.es/gazeta/dias/1834/08/19/pdfs/GMD-1834-185.pdf#page=3","Abrir facsímil")</f>
        <v>Abrir facsímil</v>
      </c>
      <c r="K9481" s="10" t="s">
        <v>24</v>
      </c>
    </row>
    <row r="9482" spans="1:11" ht="54" customHeight="1">
      <c r="A9482" s="9" t="s">
        <v>19789</v>
      </c>
      <c r="B9482" s="9" t="s">
        <v>19789</v>
      </c>
      <c r="C9482" s="9" t="s">
        <v>17</v>
      </c>
      <c r="D9482" s="9" t="s">
        <v>40</v>
      </c>
      <c r="E9482" s="10" t="s">
        <v>672</v>
      </c>
      <c r="F9482" s="9" t="s">
        <v>673</v>
      </c>
      <c r="G9482" s="10" t="s">
        <v>34</v>
      </c>
      <c r="H9482" s="9" t="s">
        <v>22</v>
      </c>
      <c r="I9482" s="9" t="s">
        <v>19993</v>
      </c>
      <c r="J9482" s="10" t="str">
        <f>HYPERLINK("https://www.boe.es/gazeta/dias/1834/09/19/pdfs/GMD-1834-217.pdf#page=1","Abrir facsímil")</f>
        <v>Abrir facsímil</v>
      </c>
      <c r="K9482" s="10" t="s">
        <v>24</v>
      </c>
    </row>
    <row r="9483" spans="1:11" ht="54" customHeight="1">
      <c r="A9483" s="9" t="s">
        <v>19789</v>
      </c>
      <c r="B9483" s="9" t="s">
        <v>19789</v>
      </c>
      <c r="C9483" s="9" t="s">
        <v>17</v>
      </c>
      <c r="D9483" s="9" t="s">
        <v>18</v>
      </c>
      <c r="E9483" s="10" t="s">
        <v>672</v>
      </c>
      <c r="F9483" s="9" t="s">
        <v>673</v>
      </c>
      <c r="G9483" s="10" t="s">
        <v>86</v>
      </c>
      <c r="H9483" s="9" t="s">
        <v>22</v>
      </c>
      <c r="I9483" s="9" t="s">
        <v>19994</v>
      </c>
      <c r="J9483" s="10" t="str">
        <f>HYPERLINK("https://www.boe.es/gazeta/dias/1834/09/19/pdfs/GMD-1834-217.pdf#page=2","Abrir facsímil")</f>
        <v>Abrir facsímil</v>
      </c>
      <c r="K9483" s="10" t="s">
        <v>24</v>
      </c>
    </row>
    <row r="9484" spans="1:11" ht="54" customHeight="1">
      <c r="A9484" s="9" t="s">
        <v>19789</v>
      </c>
      <c r="B9484" s="9" t="s">
        <v>19789</v>
      </c>
      <c r="C9484" s="9" t="s">
        <v>17</v>
      </c>
      <c r="D9484" s="9" t="s">
        <v>18</v>
      </c>
      <c r="E9484" s="10" t="s">
        <v>265</v>
      </c>
      <c r="F9484" s="9" t="s">
        <v>266</v>
      </c>
      <c r="G9484" s="10" t="s">
        <v>75</v>
      </c>
      <c r="H9484" s="9" t="s">
        <v>22</v>
      </c>
      <c r="I9484" s="9" t="s">
        <v>19995</v>
      </c>
      <c r="J9484" s="10" t="str">
        <f>HYPERLINK("https://www.boe.es/gazeta/dias/1834/11/19/pdfs/GMD-C-1834-278.pdf#page=4","Abrir facsímil")</f>
        <v>Abrir facsímil</v>
      </c>
      <c r="K9484" s="10" t="s">
        <v>24</v>
      </c>
    </row>
    <row r="9485" spans="1:11" ht="54" customHeight="1">
      <c r="A9485" s="9" t="s">
        <v>19789</v>
      </c>
      <c r="B9485" s="9" t="s">
        <v>19789</v>
      </c>
      <c r="C9485" s="9" t="s">
        <v>46</v>
      </c>
      <c r="D9485" s="9" t="s">
        <v>101</v>
      </c>
      <c r="E9485" s="10" t="s">
        <v>268</v>
      </c>
      <c r="F9485" s="9" t="s">
        <v>269</v>
      </c>
      <c r="G9485" s="10" t="s">
        <v>34</v>
      </c>
      <c r="H9485" s="9" t="s">
        <v>22</v>
      </c>
      <c r="I9485" s="9" t="s">
        <v>19996</v>
      </c>
      <c r="J9485" s="10" t="str">
        <f>HYPERLINK("https://www.boe.es/gazeta/dias/1834/12/19/pdfs/GMD-C-1834-309.pdf#page=1","Abrir facsímil")</f>
        <v>Abrir facsímil</v>
      </c>
      <c r="K9485" s="10" t="s">
        <v>24</v>
      </c>
    </row>
    <row r="9486" spans="1:11" ht="54" customHeight="1">
      <c r="A9486" s="9" t="s">
        <v>19789</v>
      </c>
      <c r="B9486" s="9" t="s">
        <v>19789</v>
      </c>
      <c r="C9486" s="9" t="s">
        <v>17</v>
      </c>
      <c r="D9486" s="9" t="s">
        <v>101</v>
      </c>
      <c r="E9486" s="10" t="s">
        <v>3810</v>
      </c>
      <c r="F9486" s="9" t="s">
        <v>3811</v>
      </c>
      <c r="G9486" s="10" t="s">
        <v>34</v>
      </c>
      <c r="H9486" s="9" t="s">
        <v>22</v>
      </c>
      <c r="I9486" s="9" t="s">
        <v>19997</v>
      </c>
      <c r="J9486" s="10" t="str">
        <f>HYPERLINK("https://www.boe.es/gazeta/dias/1834/02/20/pdfs/GMD-1834-23.pdf#page=1","Abrir facsímil")</f>
        <v>Abrir facsímil</v>
      </c>
      <c r="K9486" s="10" t="s">
        <v>24</v>
      </c>
    </row>
    <row r="9487" spans="1:11" ht="54" customHeight="1">
      <c r="A9487" s="9" t="s">
        <v>19789</v>
      </c>
      <c r="B9487" s="9" t="s">
        <v>19789</v>
      </c>
      <c r="C9487" s="9" t="s">
        <v>90</v>
      </c>
      <c r="D9487" s="9" t="s">
        <v>67</v>
      </c>
      <c r="E9487" s="10" t="s">
        <v>3810</v>
      </c>
      <c r="F9487" s="9" t="s">
        <v>3811</v>
      </c>
      <c r="G9487" s="10" t="s">
        <v>21</v>
      </c>
      <c r="H9487" s="9" t="s">
        <v>22</v>
      </c>
      <c r="I9487" s="9" t="s">
        <v>19998</v>
      </c>
      <c r="J9487" s="10" t="str">
        <f>HYPERLINK("https://www.boe.es/gazeta/dias/1834/02/20/pdfs/GMD-1834-23.pdf#page=3","Abrir facsímil")</f>
        <v>Abrir facsímil</v>
      </c>
      <c r="K9487" s="10" t="s">
        <v>24</v>
      </c>
    </row>
    <row r="9488" spans="1:11" ht="54" customHeight="1">
      <c r="A9488" s="9" t="s">
        <v>19789</v>
      </c>
      <c r="B9488" s="9" t="s">
        <v>19789</v>
      </c>
      <c r="C9488" s="9" t="s">
        <v>66</v>
      </c>
      <c r="D9488" s="9" t="s">
        <v>18</v>
      </c>
      <c r="E9488" s="10" t="s">
        <v>1572</v>
      </c>
      <c r="F9488" s="9" t="s">
        <v>1573</v>
      </c>
      <c r="G9488" s="10" t="s">
        <v>34</v>
      </c>
      <c r="H9488" s="9" t="s">
        <v>22</v>
      </c>
      <c r="I9488" s="9" t="s">
        <v>19999</v>
      </c>
      <c r="J9488" s="10" t="str">
        <f>HYPERLINK("https://www.boe.es/gazeta/dias/1834/03/20/pdfs/GMD-1834-35.pdf#page=1","Abrir facsímil")</f>
        <v>Abrir facsímil</v>
      </c>
      <c r="K9488" s="10" t="s">
        <v>24</v>
      </c>
    </row>
    <row r="9489" spans="1:11" ht="54" customHeight="1">
      <c r="A9489" s="9" t="s">
        <v>19789</v>
      </c>
      <c r="B9489" s="9" t="s">
        <v>19789</v>
      </c>
      <c r="C9489" s="9" t="s">
        <v>17</v>
      </c>
      <c r="D9489" s="9" t="s">
        <v>18</v>
      </c>
      <c r="E9489" s="10" t="s">
        <v>1572</v>
      </c>
      <c r="F9489" s="9" t="s">
        <v>1573</v>
      </c>
      <c r="G9489" s="10" t="s">
        <v>86</v>
      </c>
      <c r="H9489" s="9" t="s">
        <v>22</v>
      </c>
      <c r="I9489" s="9" t="s">
        <v>20000</v>
      </c>
      <c r="J9489" s="10" t="str">
        <f>HYPERLINK("https://www.boe.es/gazeta/dias/1834/03/20/pdfs/GMD-1834-35.pdf#page=2","Abrir facsímil")</f>
        <v>Abrir facsímil</v>
      </c>
      <c r="K9489" s="10" t="s">
        <v>24</v>
      </c>
    </row>
    <row r="9490" spans="1:11" ht="54" customHeight="1">
      <c r="A9490" s="9" t="s">
        <v>19789</v>
      </c>
      <c r="B9490" s="9" t="s">
        <v>19789</v>
      </c>
      <c r="C9490" s="9" t="s">
        <v>122</v>
      </c>
      <c r="D9490" s="9" t="s">
        <v>55</v>
      </c>
      <c r="E9490" s="10" t="s">
        <v>1572</v>
      </c>
      <c r="F9490" s="9" t="s">
        <v>1573</v>
      </c>
      <c r="G9490" s="10" t="s">
        <v>21</v>
      </c>
      <c r="H9490" s="9" t="s">
        <v>22</v>
      </c>
      <c r="I9490" s="9" t="s">
        <v>20001</v>
      </c>
      <c r="J9490" s="10" t="str">
        <f>HYPERLINK("https://www.boe.es/gazeta/dias/1834/03/20/pdfs/GMD-1834-35.pdf#page=3","Abrir facsímil")</f>
        <v>Abrir facsímil</v>
      </c>
      <c r="K9490" s="10" t="s">
        <v>24</v>
      </c>
    </row>
    <row r="9491" spans="1:11" ht="54" customHeight="1">
      <c r="A9491" s="9" t="s">
        <v>19789</v>
      </c>
      <c r="B9491" s="9" t="s">
        <v>19789</v>
      </c>
      <c r="C9491" s="9" t="s">
        <v>66</v>
      </c>
      <c r="D9491" s="9" t="s">
        <v>55</v>
      </c>
      <c r="E9491" s="10" t="s">
        <v>217</v>
      </c>
      <c r="F9491" s="9" t="s">
        <v>218</v>
      </c>
      <c r="G9491" s="10" t="s">
        <v>34</v>
      </c>
      <c r="H9491" s="9" t="s">
        <v>22</v>
      </c>
      <c r="I9491" s="9" t="s">
        <v>20002</v>
      </c>
      <c r="J9491" s="10" t="str">
        <f>HYPERLINK("https://www.boe.es/gazeta/dias/1834/04/20/pdfs/GMD-1834-59.pdf#page=1","Abrir facsímil")</f>
        <v>Abrir facsímil</v>
      </c>
      <c r="K9491" s="10" t="s">
        <v>24</v>
      </c>
    </row>
    <row r="9492" spans="1:11" ht="54" customHeight="1">
      <c r="A9492" s="9" t="s">
        <v>19789</v>
      </c>
      <c r="B9492" s="9" t="s">
        <v>19789</v>
      </c>
      <c r="C9492" s="9" t="s">
        <v>17</v>
      </c>
      <c r="D9492" s="9" t="s">
        <v>18</v>
      </c>
      <c r="E9492" s="10" t="s">
        <v>217</v>
      </c>
      <c r="F9492" s="9" t="s">
        <v>218</v>
      </c>
      <c r="G9492" s="10" t="s">
        <v>86</v>
      </c>
      <c r="H9492" s="9" t="s">
        <v>22</v>
      </c>
      <c r="I9492" s="9" t="s">
        <v>20003</v>
      </c>
      <c r="J9492" s="10" t="str">
        <f>HYPERLINK("https://www.boe.es/gazeta/dias/1834/04/20/pdfs/GMD-1834-59.pdf#page=2","Abrir facsímil")</f>
        <v>Abrir facsímil</v>
      </c>
      <c r="K9492" s="10" t="s">
        <v>24</v>
      </c>
    </row>
    <row r="9493" spans="1:11" ht="54" customHeight="1">
      <c r="A9493" s="9" t="s">
        <v>19789</v>
      </c>
      <c r="B9493" s="9" t="s">
        <v>19789</v>
      </c>
      <c r="C9493" s="9" t="s">
        <v>66</v>
      </c>
      <c r="D9493" s="9" t="s">
        <v>18</v>
      </c>
      <c r="E9493" s="10" t="s">
        <v>2950</v>
      </c>
      <c r="F9493" s="9" t="s">
        <v>2951</v>
      </c>
      <c r="G9493" s="10" t="s">
        <v>34</v>
      </c>
      <c r="H9493" s="9" t="s">
        <v>22</v>
      </c>
      <c r="I9493" s="9" t="s">
        <v>20004</v>
      </c>
      <c r="J9493" s="10" t="str">
        <f>HYPERLINK("https://www.boe.es/gazeta/dias/1834/05/20/pdfs/GMD-1834-89.pdf#page=1","Abrir facsímil")</f>
        <v>Abrir facsímil</v>
      </c>
      <c r="K9493" s="10" t="s">
        <v>24</v>
      </c>
    </row>
    <row r="9494" spans="1:11" ht="54" customHeight="1">
      <c r="A9494" s="9" t="s">
        <v>19789</v>
      </c>
      <c r="B9494" s="9" t="s">
        <v>19789</v>
      </c>
      <c r="C9494" s="9" t="s">
        <v>17</v>
      </c>
      <c r="D9494" s="9" t="s">
        <v>18</v>
      </c>
      <c r="E9494" s="10" t="s">
        <v>1365</v>
      </c>
      <c r="F9494" s="9" t="s">
        <v>1366</v>
      </c>
      <c r="G9494" s="10" t="s">
        <v>34</v>
      </c>
      <c r="H9494" s="9" t="s">
        <v>22</v>
      </c>
      <c r="I9494" s="9" t="s">
        <v>20005</v>
      </c>
      <c r="J9494" s="10" t="str">
        <f>HYPERLINK("https://www.boe.es/gazeta/dias/1834/06/20/pdfs/GMD-1834-123.pdf#page=1","Abrir facsímil")</f>
        <v>Abrir facsímil</v>
      </c>
      <c r="K9494" s="10" t="s">
        <v>24</v>
      </c>
    </row>
    <row r="9495" spans="1:11" ht="54" customHeight="1">
      <c r="A9495" s="9" t="s">
        <v>19789</v>
      </c>
      <c r="B9495" s="9" t="s">
        <v>19789</v>
      </c>
      <c r="C9495" s="9" t="s">
        <v>66</v>
      </c>
      <c r="D9495" s="9" t="s">
        <v>18</v>
      </c>
      <c r="E9495" s="10" t="s">
        <v>2860</v>
      </c>
      <c r="F9495" s="9" t="s">
        <v>2861</v>
      </c>
      <c r="G9495" s="10" t="s">
        <v>34</v>
      </c>
      <c r="H9495" s="9" t="s">
        <v>22</v>
      </c>
      <c r="I9495" s="9" t="s">
        <v>20006</v>
      </c>
      <c r="J9495" s="10" t="str">
        <f>HYPERLINK("https://www.boe.es/gazeta/dias/1834/07/20/pdfs/GMD-1834-153.pdf#page=1","Abrir facsímil")</f>
        <v>Abrir facsímil</v>
      </c>
      <c r="K9495" s="10" t="s">
        <v>24</v>
      </c>
    </row>
    <row r="9496" spans="1:11" ht="54" customHeight="1">
      <c r="A9496" s="9" t="s">
        <v>19789</v>
      </c>
      <c r="B9496" s="9" t="s">
        <v>19789</v>
      </c>
      <c r="C9496" s="9" t="s">
        <v>17</v>
      </c>
      <c r="D9496" s="9" t="s">
        <v>18</v>
      </c>
      <c r="E9496" s="10" t="s">
        <v>1239</v>
      </c>
      <c r="F9496" s="9" t="s">
        <v>1240</v>
      </c>
      <c r="G9496" s="10" t="s">
        <v>21</v>
      </c>
      <c r="H9496" s="9" t="s">
        <v>22</v>
      </c>
      <c r="I9496" s="9" t="s">
        <v>20007</v>
      </c>
      <c r="J9496" s="10" t="str">
        <f>HYPERLINK("https://www.boe.es/gazeta/dias/1834/08/20/pdfs/GMD-1834-186.pdf#page=3","Abrir facsímil")</f>
        <v>Abrir facsímil</v>
      </c>
      <c r="K9496" s="10" t="s">
        <v>24</v>
      </c>
    </row>
    <row r="9497" spans="1:11" ht="54" customHeight="1">
      <c r="A9497" s="9" t="s">
        <v>19789</v>
      </c>
      <c r="B9497" s="9" t="s">
        <v>19789</v>
      </c>
      <c r="C9497" s="9" t="s">
        <v>17</v>
      </c>
      <c r="D9497" s="9" t="s">
        <v>18</v>
      </c>
      <c r="E9497" s="10" t="s">
        <v>3248</v>
      </c>
      <c r="F9497" s="9" t="s">
        <v>4798</v>
      </c>
      <c r="G9497" s="10" t="s">
        <v>34</v>
      </c>
      <c r="H9497" s="9" t="s">
        <v>22</v>
      </c>
      <c r="I9497" s="9" t="s">
        <v>20008</v>
      </c>
      <c r="J9497" s="10" t="str">
        <f>HYPERLINK("https://www.boe.es/gazeta/dias/1834/09/20/pdfs/GMD-C-1834-218.pdf#page=1","Abrir facsímil")</f>
        <v>Abrir facsímil</v>
      </c>
      <c r="K9497" s="10" t="s">
        <v>24</v>
      </c>
    </row>
    <row r="9498" spans="1:11" ht="54" customHeight="1">
      <c r="A9498" s="9" t="s">
        <v>19789</v>
      </c>
      <c r="B9498" s="9" t="s">
        <v>19789</v>
      </c>
      <c r="C9498" s="9" t="s">
        <v>17</v>
      </c>
      <c r="D9498" s="9" t="s">
        <v>18</v>
      </c>
      <c r="E9498" s="10" t="s">
        <v>148</v>
      </c>
      <c r="F9498" s="9" t="s">
        <v>149</v>
      </c>
      <c r="G9498" s="10" t="s">
        <v>21</v>
      </c>
      <c r="H9498" s="9" t="s">
        <v>22</v>
      </c>
      <c r="I9498" s="9" t="s">
        <v>20009</v>
      </c>
      <c r="J9498" s="10" t="str">
        <f>HYPERLINK("https://www.boe.es/gazeta/dias/1834/10/20/pdfs/GMD-1834-248.pdf#page=3","Abrir facsímil")</f>
        <v>Abrir facsímil</v>
      </c>
      <c r="K9498" s="10" t="s">
        <v>24</v>
      </c>
    </row>
    <row r="9499" spans="1:11" ht="54" customHeight="1">
      <c r="A9499" s="9" t="s">
        <v>19789</v>
      </c>
      <c r="B9499" s="9" t="s">
        <v>19789</v>
      </c>
      <c r="C9499" s="9" t="s">
        <v>90</v>
      </c>
      <c r="D9499" s="9" t="s">
        <v>18</v>
      </c>
      <c r="E9499" s="10" t="s">
        <v>4169</v>
      </c>
      <c r="F9499" s="9" t="s">
        <v>4170</v>
      </c>
      <c r="G9499" s="10" t="s">
        <v>75</v>
      </c>
      <c r="H9499" s="9" t="s">
        <v>22</v>
      </c>
      <c r="I9499" s="9" t="s">
        <v>20010</v>
      </c>
      <c r="J9499" s="10" t="str">
        <f>HYPERLINK("https://www.boe.es/gazeta/dias/1834/11/20/pdfs/GMD-1834-279.pdf#page=4","Abrir facsímil")</f>
        <v>Abrir facsímil</v>
      </c>
      <c r="K9499" s="10" t="s">
        <v>24</v>
      </c>
    </row>
    <row r="9500" spans="1:11" ht="54" customHeight="1">
      <c r="A9500" s="9" t="s">
        <v>19789</v>
      </c>
      <c r="B9500" s="9" t="s">
        <v>19789</v>
      </c>
      <c r="C9500" s="9" t="s">
        <v>122</v>
      </c>
      <c r="D9500" s="9" t="s">
        <v>18</v>
      </c>
      <c r="E9500" s="10" t="s">
        <v>304</v>
      </c>
      <c r="F9500" s="9" t="s">
        <v>305</v>
      </c>
      <c r="G9500" s="10" t="s">
        <v>86</v>
      </c>
      <c r="H9500" s="9" t="s">
        <v>22</v>
      </c>
      <c r="I9500" s="9" t="s">
        <v>20011</v>
      </c>
      <c r="J9500" s="10" t="str">
        <f>HYPERLINK("https://www.boe.es/gazeta/dias/1834/01/21/pdfs/GMD-1834-10.pdf#page=2","Abrir facsímil")</f>
        <v>Abrir facsímil</v>
      </c>
      <c r="K9500" s="10" t="s">
        <v>24</v>
      </c>
    </row>
    <row r="9501" spans="1:11" ht="54" customHeight="1">
      <c r="A9501" s="9" t="s">
        <v>19789</v>
      </c>
      <c r="B9501" s="9" t="s">
        <v>19789</v>
      </c>
      <c r="C9501" s="9" t="s">
        <v>17</v>
      </c>
      <c r="D9501" s="9" t="s">
        <v>40</v>
      </c>
      <c r="E9501" s="10" t="s">
        <v>304</v>
      </c>
      <c r="F9501" s="9" t="s">
        <v>305</v>
      </c>
      <c r="G9501" s="10" t="s">
        <v>28</v>
      </c>
      <c r="H9501" s="9" t="s">
        <v>22</v>
      </c>
      <c r="I9501" s="9" t="s">
        <v>20012</v>
      </c>
      <c r="J9501" s="10" t="str">
        <f>HYPERLINK("https://www.boe.es/gazeta/dias/1834/01/21/pdfs/GMD-1834-10.pdf#page=5","Abrir facsímil")</f>
        <v>Abrir facsímil</v>
      </c>
      <c r="K9501" s="10" t="s">
        <v>24</v>
      </c>
    </row>
    <row r="9502" spans="1:11" ht="54" customHeight="1">
      <c r="A9502" s="9" t="s">
        <v>19789</v>
      </c>
      <c r="B9502" s="9" t="s">
        <v>19789</v>
      </c>
      <c r="C9502" s="9" t="s">
        <v>17</v>
      </c>
      <c r="D9502" s="9" t="s">
        <v>18</v>
      </c>
      <c r="E9502" s="10" t="s">
        <v>304</v>
      </c>
      <c r="F9502" s="9" t="s">
        <v>305</v>
      </c>
      <c r="G9502" s="10" t="s">
        <v>176</v>
      </c>
      <c r="H9502" s="9" t="s">
        <v>22</v>
      </c>
      <c r="I9502" s="9" t="s">
        <v>20013</v>
      </c>
      <c r="J9502" s="10" t="str">
        <f>HYPERLINK("https://www.boe.es/gazeta/dias/1834/01/21/pdfs/GMD-1834-10.pdf#page=6","Abrir facsímil")</f>
        <v>Abrir facsímil</v>
      </c>
      <c r="K9502" s="10" t="s">
        <v>24</v>
      </c>
    </row>
    <row r="9503" spans="1:11" ht="54" customHeight="1">
      <c r="A9503" s="9" t="s">
        <v>19789</v>
      </c>
      <c r="B9503" s="9" t="s">
        <v>19789</v>
      </c>
      <c r="C9503" s="9" t="s">
        <v>66</v>
      </c>
      <c r="D9503" s="9" t="s">
        <v>67</v>
      </c>
      <c r="E9503" s="10" t="s">
        <v>753</v>
      </c>
      <c r="F9503" s="9" t="s">
        <v>754</v>
      </c>
      <c r="G9503" s="10" t="s">
        <v>34</v>
      </c>
      <c r="H9503" s="9" t="s">
        <v>22</v>
      </c>
      <c r="I9503" s="9" t="s">
        <v>20014</v>
      </c>
      <c r="J9503" s="10" t="str">
        <f>HYPERLINK("https://www.boe.es/gazeta/dias/1834/04/21/pdfs/GMD-1834-60.pdf#page=1","Abrir facsímil")</f>
        <v>Abrir facsímil</v>
      </c>
      <c r="K9503" s="10" t="s">
        <v>24</v>
      </c>
    </row>
    <row r="9504" spans="1:11" ht="54" customHeight="1">
      <c r="A9504" s="9" t="s">
        <v>19789</v>
      </c>
      <c r="B9504" s="9" t="s">
        <v>19789</v>
      </c>
      <c r="C9504" s="9" t="s">
        <v>90</v>
      </c>
      <c r="D9504" s="9" t="s">
        <v>67</v>
      </c>
      <c r="E9504" s="10" t="s">
        <v>753</v>
      </c>
      <c r="F9504" s="9" t="s">
        <v>754</v>
      </c>
      <c r="G9504" s="10" t="s">
        <v>75</v>
      </c>
      <c r="H9504" s="9" t="s">
        <v>22</v>
      </c>
      <c r="I9504" s="9" t="s">
        <v>20015</v>
      </c>
      <c r="J9504" s="10" t="str">
        <f>HYPERLINK("https://www.boe.es/gazeta/dias/1834/04/21/pdfs/GMD-1834-60.pdf#page=4","Abrir facsímil")</f>
        <v>Abrir facsímil</v>
      </c>
      <c r="K9504" s="10" t="s">
        <v>24</v>
      </c>
    </row>
    <row r="9505" spans="1:11" ht="54" customHeight="1">
      <c r="A9505" s="9" t="s">
        <v>19789</v>
      </c>
      <c r="B9505" s="9" t="s">
        <v>19789</v>
      </c>
      <c r="C9505" s="9" t="s">
        <v>66</v>
      </c>
      <c r="D9505" s="9" t="s">
        <v>18</v>
      </c>
      <c r="E9505" s="10" t="s">
        <v>535</v>
      </c>
      <c r="F9505" s="9" t="s">
        <v>536</v>
      </c>
      <c r="G9505" s="10" t="s">
        <v>34</v>
      </c>
      <c r="H9505" s="9" t="s">
        <v>22</v>
      </c>
      <c r="I9505" s="9" t="s">
        <v>20016</v>
      </c>
      <c r="J9505" s="10" t="str">
        <f>HYPERLINK("https://www.boe.es/gazeta/dias/1834/05/21/pdfs/GMD-1834-90.pdf#page=1","Abrir facsímil")</f>
        <v>Abrir facsímil</v>
      </c>
      <c r="K9505" s="10" t="s">
        <v>24</v>
      </c>
    </row>
    <row r="9506" spans="1:11" ht="54" customHeight="1">
      <c r="A9506" s="9" t="s">
        <v>19789</v>
      </c>
      <c r="B9506" s="9" t="s">
        <v>19789</v>
      </c>
      <c r="C9506" s="9" t="s">
        <v>122</v>
      </c>
      <c r="D9506" s="9" t="s">
        <v>18</v>
      </c>
      <c r="E9506" s="10" t="s">
        <v>849</v>
      </c>
      <c r="F9506" s="9" t="s">
        <v>850</v>
      </c>
      <c r="G9506" s="10" t="s">
        <v>34</v>
      </c>
      <c r="H9506" s="9" t="s">
        <v>22</v>
      </c>
      <c r="I9506" s="9" t="s">
        <v>20017</v>
      </c>
      <c r="J9506" s="10" t="str">
        <f>HYPERLINK("https://www.boe.es/gazeta/dias/1834/06/21/pdfs/GMD-1834-124.pdf#page=1","Abrir facsímil")</f>
        <v>Abrir facsímil</v>
      </c>
      <c r="K9506" s="10" t="s">
        <v>24</v>
      </c>
    </row>
    <row r="9507" spans="1:11" ht="54" customHeight="1">
      <c r="A9507" s="9" t="s">
        <v>19789</v>
      </c>
      <c r="B9507" s="9" t="s">
        <v>19789</v>
      </c>
      <c r="C9507" s="9" t="s">
        <v>17</v>
      </c>
      <c r="D9507" s="9" t="s">
        <v>18</v>
      </c>
      <c r="E9507" s="10" t="s">
        <v>849</v>
      </c>
      <c r="F9507" s="9" t="s">
        <v>850</v>
      </c>
      <c r="G9507" s="10" t="s">
        <v>86</v>
      </c>
      <c r="H9507" s="9" t="s">
        <v>22</v>
      </c>
      <c r="I9507" s="9" t="s">
        <v>20018</v>
      </c>
      <c r="J9507" s="10" t="str">
        <f>HYPERLINK("https://www.boe.es/gazeta/dias/1834/06/21/pdfs/GMD-1834-124.pdf#page=2","Abrir facsímil")</f>
        <v>Abrir facsímil</v>
      </c>
      <c r="K9507" s="10" t="s">
        <v>24</v>
      </c>
    </row>
    <row r="9508" spans="1:11" ht="54" customHeight="1">
      <c r="A9508" s="9" t="s">
        <v>19789</v>
      </c>
      <c r="B9508" s="9" t="s">
        <v>19789</v>
      </c>
      <c r="C9508" s="9" t="s">
        <v>66</v>
      </c>
      <c r="D9508" s="9" t="s">
        <v>67</v>
      </c>
      <c r="E9508" s="10" t="s">
        <v>117</v>
      </c>
      <c r="F9508" s="9" t="s">
        <v>118</v>
      </c>
      <c r="G9508" s="10" t="s">
        <v>21</v>
      </c>
      <c r="H9508" s="9" t="s">
        <v>22</v>
      </c>
      <c r="I9508" s="9" t="s">
        <v>20019</v>
      </c>
      <c r="J9508" s="10" t="str">
        <f>HYPERLINK("https://www.boe.es/gazeta/dias/1834/07/21/pdfs/GMD-1834-154.pdf#page=3","Abrir facsímil")</f>
        <v>Abrir facsímil</v>
      </c>
      <c r="K9508" s="10" t="s">
        <v>24</v>
      </c>
    </row>
    <row r="9509" spans="1:11" ht="54" customHeight="1">
      <c r="A9509" s="9" t="s">
        <v>19789</v>
      </c>
      <c r="B9509" s="9" t="s">
        <v>19789</v>
      </c>
      <c r="C9509" s="9" t="s">
        <v>17</v>
      </c>
      <c r="D9509" s="9" t="s">
        <v>18</v>
      </c>
      <c r="E9509" s="10" t="s">
        <v>981</v>
      </c>
      <c r="F9509" s="9" t="s">
        <v>3406</v>
      </c>
      <c r="G9509" s="10" t="s">
        <v>28</v>
      </c>
      <c r="H9509" s="9" t="s">
        <v>22</v>
      </c>
      <c r="I9509" s="9" t="s">
        <v>20020</v>
      </c>
      <c r="J9509" s="10" t="str">
        <f>HYPERLINK("https://www.boe.es/gazeta/dias/1834/09/21/pdfs/GMD-C-1834-219.pdf#page=5","Abrir facsímil")</f>
        <v>Abrir facsímil</v>
      </c>
      <c r="K9509" s="10" t="s">
        <v>24</v>
      </c>
    </row>
    <row r="9510" spans="1:11" ht="54" customHeight="1">
      <c r="A9510" s="9" t="s">
        <v>19789</v>
      </c>
      <c r="B9510" s="9" t="s">
        <v>19789</v>
      </c>
      <c r="C9510" s="9" t="s">
        <v>17</v>
      </c>
      <c r="D9510" s="9" t="s">
        <v>18</v>
      </c>
      <c r="E9510" s="10" t="s">
        <v>981</v>
      </c>
      <c r="F9510" s="9" t="s">
        <v>3406</v>
      </c>
      <c r="G9510" s="10" t="s">
        <v>176</v>
      </c>
      <c r="H9510" s="9" t="s">
        <v>22</v>
      </c>
      <c r="I9510" s="9" t="s">
        <v>20021</v>
      </c>
      <c r="J9510" s="10" t="str">
        <f>HYPERLINK("https://www.boe.es/gazeta/dias/1834/09/21/pdfs/GMD-C-1834-219.pdf#page=6","Abrir facsímil")</f>
        <v>Abrir facsímil</v>
      </c>
      <c r="K9510" s="10" t="s">
        <v>24</v>
      </c>
    </row>
    <row r="9511" spans="1:11" ht="54" customHeight="1">
      <c r="A9511" s="9" t="s">
        <v>19789</v>
      </c>
      <c r="B9511" s="9" t="s">
        <v>19789</v>
      </c>
      <c r="C9511" s="9" t="s">
        <v>46</v>
      </c>
      <c r="D9511" s="9" t="s">
        <v>18</v>
      </c>
      <c r="E9511" s="10" t="s">
        <v>647</v>
      </c>
      <c r="F9511" s="9" t="s">
        <v>2176</v>
      </c>
      <c r="G9511" s="10" t="s">
        <v>75</v>
      </c>
      <c r="H9511" s="9" t="s">
        <v>22</v>
      </c>
      <c r="I9511" s="9" t="s">
        <v>20022</v>
      </c>
      <c r="J9511" s="10" t="str">
        <f>HYPERLINK("https://www.boe.es/gazeta/dias/1834/10/21/pdfs/GMD-1834-249.pdf#page=4","Abrir facsímil")</f>
        <v>Abrir facsímil</v>
      </c>
      <c r="K9511" s="10" t="s">
        <v>24</v>
      </c>
    </row>
    <row r="9512" spans="1:11" ht="54" customHeight="1">
      <c r="A9512" s="9" t="s">
        <v>19789</v>
      </c>
      <c r="B9512" s="9" t="s">
        <v>19789</v>
      </c>
      <c r="C9512" s="9" t="s">
        <v>90</v>
      </c>
      <c r="D9512" s="9" t="s">
        <v>67</v>
      </c>
      <c r="E9512" s="10" t="s">
        <v>492</v>
      </c>
      <c r="F9512" s="9" t="s">
        <v>493</v>
      </c>
      <c r="G9512" s="10" t="s">
        <v>34</v>
      </c>
      <c r="H9512" s="9" t="s">
        <v>22</v>
      </c>
      <c r="I9512" s="9" t="s">
        <v>20023</v>
      </c>
      <c r="J9512" s="10" t="str">
        <f>HYPERLINK("https://www.boe.es/gazeta/dias/1834/11/21/pdfs/GMD-C-1834-280.pdf#page=1","Abrir facsímil")</f>
        <v>Abrir facsímil</v>
      </c>
      <c r="K9512" s="10" t="s">
        <v>24</v>
      </c>
    </row>
    <row r="9513" spans="1:11" ht="54" customHeight="1">
      <c r="A9513" s="9" t="s">
        <v>19789</v>
      </c>
      <c r="B9513" s="9" t="s">
        <v>19789</v>
      </c>
      <c r="C9513" s="9" t="s">
        <v>46</v>
      </c>
      <c r="D9513" s="9" t="s">
        <v>101</v>
      </c>
      <c r="E9513" s="10" t="s">
        <v>610</v>
      </c>
      <c r="F9513" s="9" t="s">
        <v>611</v>
      </c>
      <c r="G9513" s="10" t="s">
        <v>28</v>
      </c>
      <c r="H9513" s="9" t="s">
        <v>22</v>
      </c>
      <c r="I9513" s="9" t="s">
        <v>20024</v>
      </c>
      <c r="J9513" s="10" t="str">
        <f>HYPERLINK("https://www.boe.es/gazeta/dias/1834/12/21/pdfs/GMD-C-1834-311.pdf#page=5","Abrir facsímil")</f>
        <v>Abrir facsímil</v>
      </c>
      <c r="K9513" s="10" t="s">
        <v>24</v>
      </c>
    </row>
    <row r="9514" spans="1:11" ht="54" customHeight="1">
      <c r="A9514" s="9" t="s">
        <v>19789</v>
      </c>
      <c r="B9514" s="9" t="s">
        <v>19789</v>
      </c>
      <c r="C9514" s="9" t="s">
        <v>17</v>
      </c>
      <c r="D9514" s="9" t="s">
        <v>18</v>
      </c>
      <c r="E9514" s="10" t="s">
        <v>3952</v>
      </c>
      <c r="F9514" s="9" t="s">
        <v>3953</v>
      </c>
      <c r="G9514" s="10" t="s">
        <v>34</v>
      </c>
      <c r="H9514" s="9" t="s">
        <v>22</v>
      </c>
      <c r="I9514" s="9" t="s">
        <v>20025</v>
      </c>
      <c r="J9514" s="10" t="str">
        <f>HYPERLINK("https://www.boe.es/gazeta/dias/1834/02/22/pdfs/GMD-1834-24.pdf#page=1","Abrir facsímil")</f>
        <v>Abrir facsímil</v>
      </c>
      <c r="K9514" s="10" t="s">
        <v>24</v>
      </c>
    </row>
    <row r="9515" spans="1:11" ht="54" customHeight="1">
      <c r="A9515" s="9" t="s">
        <v>19789</v>
      </c>
      <c r="B9515" s="9" t="s">
        <v>19789</v>
      </c>
      <c r="C9515" s="9" t="s">
        <v>46</v>
      </c>
      <c r="D9515" s="9" t="s">
        <v>55</v>
      </c>
      <c r="E9515" s="10" t="s">
        <v>3952</v>
      </c>
      <c r="F9515" s="9" t="s">
        <v>3953</v>
      </c>
      <c r="G9515" s="10" t="s">
        <v>86</v>
      </c>
      <c r="H9515" s="9" t="s">
        <v>22</v>
      </c>
      <c r="I9515" s="9" t="s">
        <v>20026</v>
      </c>
      <c r="J9515" s="10" t="str">
        <f>HYPERLINK("https://www.boe.es/gazeta/dias/1834/02/22/pdfs/GMD-1834-24.pdf#page=2","Abrir facsímil")</f>
        <v>Abrir facsímil</v>
      </c>
      <c r="K9515" s="10" t="s">
        <v>24</v>
      </c>
    </row>
    <row r="9516" spans="1:11" ht="54" customHeight="1">
      <c r="A9516" s="9" t="s">
        <v>19789</v>
      </c>
      <c r="B9516" s="9" t="s">
        <v>19789</v>
      </c>
      <c r="C9516" s="9" t="s">
        <v>66</v>
      </c>
      <c r="D9516" s="9" t="s">
        <v>101</v>
      </c>
      <c r="E9516" s="10" t="s">
        <v>1918</v>
      </c>
      <c r="F9516" s="9" t="s">
        <v>1919</v>
      </c>
      <c r="G9516" s="10" t="s">
        <v>34</v>
      </c>
      <c r="H9516" s="9" t="s">
        <v>22</v>
      </c>
      <c r="I9516" s="9" t="s">
        <v>20027</v>
      </c>
      <c r="J9516" s="10" t="str">
        <f>HYPERLINK("https://www.boe.es/gazeta/dias/1834/03/22/pdfs/GMD-1834-36.pdf#page=1","Abrir facsímil")</f>
        <v>Abrir facsímil</v>
      </c>
      <c r="K9516" s="10" t="s">
        <v>24</v>
      </c>
    </row>
    <row r="9517" spans="1:11" ht="54" customHeight="1">
      <c r="A9517" s="9" t="s">
        <v>19789</v>
      </c>
      <c r="B9517" s="9" t="s">
        <v>19789</v>
      </c>
      <c r="C9517" s="9" t="s">
        <v>17</v>
      </c>
      <c r="D9517" s="9" t="s">
        <v>18</v>
      </c>
      <c r="E9517" s="10" t="s">
        <v>1918</v>
      </c>
      <c r="F9517" s="9" t="s">
        <v>1919</v>
      </c>
      <c r="G9517" s="10" t="s">
        <v>86</v>
      </c>
      <c r="H9517" s="9" t="s">
        <v>22</v>
      </c>
      <c r="I9517" s="9" t="s">
        <v>20028</v>
      </c>
      <c r="J9517" s="10" t="str">
        <f>HYPERLINK("https://www.boe.es/gazeta/dias/1834/03/22/pdfs/GMD-1834-36.pdf#page=2","Abrir facsímil")</f>
        <v>Abrir facsímil</v>
      </c>
      <c r="K9517" s="10" t="s">
        <v>24</v>
      </c>
    </row>
    <row r="9518" spans="1:11" ht="54" customHeight="1">
      <c r="A9518" s="9" t="s">
        <v>19789</v>
      </c>
      <c r="B9518" s="9" t="s">
        <v>19789</v>
      </c>
      <c r="C9518" s="9" t="s">
        <v>17</v>
      </c>
      <c r="D9518" s="9" t="s">
        <v>18</v>
      </c>
      <c r="E9518" s="10" t="s">
        <v>1918</v>
      </c>
      <c r="F9518" s="9" t="s">
        <v>1919</v>
      </c>
      <c r="G9518" s="10" t="s">
        <v>21</v>
      </c>
      <c r="H9518" s="9" t="s">
        <v>22</v>
      </c>
      <c r="I9518" s="9" t="s">
        <v>20029</v>
      </c>
      <c r="J9518" s="10" t="str">
        <f>HYPERLINK("https://www.boe.es/gazeta/dias/1834/03/22/pdfs/GMD-1834-36.pdf#page=3","Abrir facsímil")</f>
        <v>Abrir facsímil</v>
      </c>
      <c r="K9518" s="10" t="s">
        <v>24</v>
      </c>
    </row>
    <row r="9519" spans="1:11" ht="54" customHeight="1">
      <c r="A9519" s="9" t="s">
        <v>19789</v>
      </c>
      <c r="B9519" s="9" t="s">
        <v>19789</v>
      </c>
      <c r="C9519" s="9" t="s">
        <v>66</v>
      </c>
      <c r="D9519" s="9" t="s">
        <v>18</v>
      </c>
      <c r="E9519" s="10" t="s">
        <v>8279</v>
      </c>
      <c r="F9519" s="9" t="s">
        <v>8280</v>
      </c>
      <c r="G9519" s="10" t="s">
        <v>34</v>
      </c>
      <c r="H9519" s="9" t="s">
        <v>22</v>
      </c>
      <c r="I9519" s="9" t="s">
        <v>20030</v>
      </c>
      <c r="J9519" s="10" t="str">
        <f>HYPERLINK("https://www.boe.es/gazeta/dias/1834/04/22/pdfs/GMD-1834-61.pdf#page=1","Abrir facsímil")</f>
        <v>Abrir facsímil</v>
      </c>
      <c r="K9519" s="10" t="s">
        <v>24</v>
      </c>
    </row>
    <row r="9520" spans="1:11" ht="54" customHeight="1">
      <c r="A9520" s="9" t="s">
        <v>19789</v>
      </c>
      <c r="B9520" s="9" t="s">
        <v>19789</v>
      </c>
      <c r="C9520" s="9" t="s">
        <v>66</v>
      </c>
      <c r="D9520" s="9" t="s">
        <v>18</v>
      </c>
      <c r="E9520" s="10" t="s">
        <v>1323</v>
      </c>
      <c r="F9520" s="9" t="s">
        <v>1324</v>
      </c>
      <c r="G9520" s="10" t="s">
        <v>34</v>
      </c>
      <c r="H9520" s="9" t="s">
        <v>22</v>
      </c>
      <c r="I9520" s="9" t="s">
        <v>20031</v>
      </c>
      <c r="J9520" s="10" t="str">
        <f>HYPERLINK("https://www.boe.es/gazeta/dias/1834/05/22/pdfs/GMD-1834-91.pdf#page=1","Abrir facsímil")</f>
        <v>Abrir facsímil</v>
      </c>
      <c r="K9520" s="10" t="s">
        <v>24</v>
      </c>
    </row>
    <row r="9521" spans="1:11" ht="54" customHeight="1">
      <c r="A9521" s="9" t="s">
        <v>19789</v>
      </c>
      <c r="B9521" s="9" t="s">
        <v>19789</v>
      </c>
      <c r="C9521" s="9" t="s">
        <v>17</v>
      </c>
      <c r="D9521" s="9" t="s">
        <v>18</v>
      </c>
      <c r="E9521" s="10" t="s">
        <v>3488</v>
      </c>
      <c r="F9521" s="9" t="s">
        <v>3489</v>
      </c>
      <c r="G9521" s="10" t="s">
        <v>34</v>
      </c>
      <c r="H9521" s="9" t="s">
        <v>22</v>
      </c>
      <c r="I9521" s="9" t="s">
        <v>20032</v>
      </c>
      <c r="J9521" s="10" t="str">
        <f>HYPERLINK("https://www.boe.es/gazeta/dias/1834/06/22/pdfs/GMD-1834-125.pdf#page=1","Abrir facsímil")</f>
        <v>Abrir facsímil</v>
      </c>
      <c r="K9521" s="10" t="s">
        <v>24</v>
      </c>
    </row>
    <row r="9522" spans="1:11" ht="54" customHeight="1">
      <c r="A9522" s="9" t="s">
        <v>19789</v>
      </c>
      <c r="B9522" s="9" t="s">
        <v>19789</v>
      </c>
      <c r="C9522" s="9" t="s">
        <v>66</v>
      </c>
      <c r="D9522" s="9" t="s">
        <v>67</v>
      </c>
      <c r="E9522" s="10" t="s">
        <v>3488</v>
      </c>
      <c r="F9522" s="9" t="s">
        <v>3489</v>
      </c>
      <c r="G9522" s="10" t="s">
        <v>75</v>
      </c>
      <c r="H9522" s="9" t="s">
        <v>22</v>
      </c>
      <c r="I9522" s="9" t="s">
        <v>20033</v>
      </c>
      <c r="J9522" s="10" t="str">
        <f>HYPERLINK("https://www.boe.es/gazeta/dias/1834/06/22/pdfs/GMD-1834-125.pdf#page=4","Abrir facsímil")</f>
        <v>Abrir facsímil</v>
      </c>
      <c r="K9522" s="10" t="s">
        <v>24</v>
      </c>
    </row>
    <row r="9523" spans="1:11" ht="54" customHeight="1">
      <c r="A9523" s="9" t="s">
        <v>19789</v>
      </c>
      <c r="B9523" s="9" t="s">
        <v>19789</v>
      </c>
      <c r="C9523" s="9" t="s">
        <v>66</v>
      </c>
      <c r="D9523" s="9" t="s">
        <v>67</v>
      </c>
      <c r="E9523" s="10" t="s">
        <v>3225</v>
      </c>
      <c r="F9523" s="9" t="s">
        <v>3226</v>
      </c>
      <c r="G9523" s="10" t="s">
        <v>86</v>
      </c>
      <c r="H9523" s="9" t="s">
        <v>22</v>
      </c>
      <c r="I9523" s="9" t="s">
        <v>20034</v>
      </c>
      <c r="J9523" s="10" t="str">
        <f>HYPERLINK("https://www.boe.es/gazeta/dias/1834/08/22/pdfs/GMD-1834-188.pdf#page=2","Abrir facsímil")</f>
        <v>Abrir facsímil</v>
      </c>
      <c r="K9523" s="10" t="s">
        <v>24</v>
      </c>
    </row>
    <row r="9524" spans="1:11" ht="54" customHeight="1">
      <c r="A9524" s="9" t="s">
        <v>19789</v>
      </c>
      <c r="B9524" s="9" t="s">
        <v>19789</v>
      </c>
      <c r="C9524" s="9" t="s">
        <v>17</v>
      </c>
      <c r="D9524" s="9" t="s">
        <v>18</v>
      </c>
      <c r="E9524" s="10" t="s">
        <v>2596</v>
      </c>
      <c r="F9524" s="9" t="s">
        <v>2597</v>
      </c>
      <c r="G9524" s="10" t="s">
        <v>21</v>
      </c>
      <c r="H9524" s="9" t="s">
        <v>22</v>
      </c>
      <c r="I9524" s="9" t="s">
        <v>20035</v>
      </c>
      <c r="J9524" s="10" t="str">
        <f>HYPERLINK("https://www.boe.es/gazeta/dias/1834/10/22/pdfs/GMD-1834-250.pdf#page=3","Abrir facsímil")</f>
        <v>Abrir facsímil</v>
      </c>
      <c r="K9524" s="10" t="s">
        <v>24</v>
      </c>
    </row>
    <row r="9525" spans="1:11" ht="54" customHeight="1">
      <c r="A9525" s="9" t="s">
        <v>19789</v>
      </c>
      <c r="B9525" s="9" t="s">
        <v>19789</v>
      </c>
      <c r="C9525" s="9" t="s">
        <v>17</v>
      </c>
      <c r="D9525" s="9" t="s">
        <v>18</v>
      </c>
      <c r="E9525" s="10" t="s">
        <v>2888</v>
      </c>
      <c r="F9525" s="9" t="s">
        <v>2889</v>
      </c>
      <c r="G9525" s="10" t="s">
        <v>34</v>
      </c>
      <c r="H9525" s="9" t="s">
        <v>22</v>
      </c>
      <c r="I9525" s="9" t="s">
        <v>20036</v>
      </c>
      <c r="J9525" s="10" t="str">
        <f>HYPERLINK("https://www.boe.es/gazeta/dias/1834/12/22/pdfs/GMD-1834-312.pdf#page=1","Abrir facsímil")</f>
        <v>Abrir facsímil</v>
      </c>
      <c r="K9525" s="10" t="s">
        <v>24</v>
      </c>
    </row>
    <row r="9526" spans="1:11" ht="54" customHeight="1">
      <c r="A9526" s="9" t="s">
        <v>19789</v>
      </c>
      <c r="B9526" s="9" t="s">
        <v>19789</v>
      </c>
      <c r="C9526" s="9" t="s">
        <v>66</v>
      </c>
      <c r="D9526" s="9" t="s">
        <v>67</v>
      </c>
      <c r="E9526" s="10" t="s">
        <v>2888</v>
      </c>
      <c r="F9526" s="9" t="s">
        <v>2889</v>
      </c>
      <c r="G9526" s="10" t="s">
        <v>21</v>
      </c>
      <c r="H9526" s="9" t="s">
        <v>22</v>
      </c>
      <c r="I9526" s="9" t="s">
        <v>20037</v>
      </c>
      <c r="J9526" s="10" t="str">
        <f>HYPERLINK("https://www.boe.es/gazeta/dias/1834/12/22/pdfs/GMD-1834-312.pdf#page=3","Abrir facsímil")</f>
        <v>Abrir facsímil</v>
      </c>
      <c r="K9526" s="10" t="s">
        <v>24</v>
      </c>
    </row>
    <row r="9527" spans="1:11" ht="54" customHeight="1">
      <c r="A9527" s="9" t="s">
        <v>19789</v>
      </c>
      <c r="B9527" s="9" t="s">
        <v>19789</v>
      </c>
      <c r="C9527" s="9" t="s">
        <v>17</v>
      </c>
      <c r="D9527" s="9" t="s">
        <v>18</v>
      </c>
      <c r="E9527" s="10" t="s">
        <v>2153</v>
      </c>
      <c r="F9527" s="9" t="s">
        <v>2154</v>
      </c>
      <c r="G9527" s="10" t="s">
        <v>34</v>
      </c>
      <c r="H9527" s="9" t="s">
        <v>22</v>
      </c>
      <c r="I9527" s="9" t="s">
        <v>20038</v>
      </c>
      <c r="J9527" s="10" t="str">
        <f>HYPERLINK("https://www.boe.es/gazeta/dias/1834/01/23/pdfs/GMD-1834-11.pdf#page=1","Abrir facsímil")</f>
        <v>Abrir facsímil</v>
      </c>
      <c r="K9527" s="10" t="s">
        <v>24</v>
      </c>
    </row>
    <row r="9528" spans="1:11" ht="54" customHeight="1">
      <c r="A9528" s="9" t="s">
        <v>19789</v>
      </c>
      <c r="B9528" s="9" t="s">
        <v>19789</v>
      </c>
      <c r="C9528" s="9" t="s">
        <v>90</v>
      </c>
      <c r="D9528" s="9" t="s">
        <v>18</v>
      </c>
      <c r="E9528" s="10" t="s">
        <v>2153</v>
      </c>
      <c r="F9528" s="9" t="s">
        <v>2154</v>
      </c>
      <c r="G9528" s="10" t="s">
        <v>86</v>
      </c>
      <c r="H9528" s="9" t="s">
        <v>22</v>
      </c>
      <c r="I9528" s="9" t="s">
        <v>20039</v>
      </c>
      <c r="J9528" s="10" t="str">
        <f>HYPERLINK("https://www.boe.es/gazeta/dias/1834/01/23/pdfs/GMD-1834-11.pdf#page=2","Abrir facsímil")</f>
        <v>Abrir facsímil</v>
      </c>
      <c r="K9528" s="10" t="s">
        <v>24</v>
      </c>
    </row>
    <row r="9529" spans="1:11" ht="54" customHeight="1">
      <c r="A9529" s="9" t="s">
        <v>19789</v>
      </c>
      <c r="B9529" s="9" t="s">
        <v>19789</v>
      </c>
      <c r="C9529" s="9" t="s">
        <v>90</v>
      </c>
      <c r="D9529" s="9" t="s">
        <v>18</v>
      </c>
      <c r="E9529" s="10" t="s">
        <v>32</v>
      </c>
      <c r="F9529" s="9" t="s">
        <v>33</v>
      </c>
      <c r="G9529" s="10" t="s">
        <v>34</v>
      </c>
      <c r="H9529" s="9" t="s">
        <v>22</v>
      </c>
      <c r="I9529" s="9" t="s">
        <v>20040</v>
      </c>
      <c r="J9529" s="10" t="str">
        <f>HYPERLINK("https://www.boe.es/gazeta/dias/1834/04/23/pdfs/GMD-1834-62.pdf#page=1","Abrir facsímil")</f>
        <v>Abrir facsímil</v>
      </c>
      <c r="K9529" s="10" t="s">
        <v>24</v>
      </c>
    </row>
    <row r="9530" spans="1:11" ht="54" customHeight="1">
      <c r="A9530" s="9" t="s">
        <v>19789</v>
      </c>
      <c r="B9530" s="9" t="s">
        <v>19789</v>
      </c>
      <c r="C9530" s="9" t="s">
        <v>17</v>
      </c>
      <c r="D9530" s="9" t="s">
        <v>101</v>
      </c>
      <c r="E9530" s="10" t="s">
        <v>32</v>
      </c>
      <c r="F9530" s="9" t="s">
        <v>33</v>
      </c>
      <c r="G9530" s="10" t="s">
        <v>86</v>
      </c>
      <c r="H9530" s="9" t="s">
        <v>22</v>
      </c>
      <c r="I9530" s="9" t="s">
        <v>20041</v>
      </c>
      <c r="J9530" s="10" t="str">
        <f>HYPERLINK("https://www.boe.es/gazeta/dias/1834/04/23/pdfs/GMD-1834-62.pdf#page=2","Abrir facsímil")</f>
        <v>Abrir facsímil</v>
      </c>
      <c r="K9530" s="10" t="s">
        <v>24</v>
      </c>
    </row>
    <row r="9531" spans="1:11" ht="54" customHeight="1">
      <c r="A9531" s="9" t="s">
        <v>19789</v>
      </c>
      <c r="B9531" s="9" t="s">
        <v>19789</v>
      </c>
      <c r="C9531" s="9" t="s">
        <v>66</v>
      </c>
      <c r="D9531" s="9" t="s">
        <v>67</v>
      </c>
      <c r="E9531" s="10" t="s">
        <v>606</v>
      </c>
      <c r="F9531" s="9" t="s">
        <v>607</v>
      </c>
      <c r="G9531" s="10" t="s">
        <v>34</v>
      </c>
      <c r="H9531" s="9" t="s">
        <v>22</v>
      </c>
      <c r="I9531" s="9" t="s">
        <v>20042</v>
      </c>
      <c r="J9531" s="10" t="str">
        <f>HYPERLINK("https://www.boe.es/gazeta/dias/1834/06/23/pdfs/GMD-1834-126.pdf#page=1","Abrir facsímil")</f>
        <v>Abrir facsímil</v>
      </c>
      <c r="K9531" s="10" t="s">
        <v>24</v>
      </c>
    </row>
    <row r="9532" spans="1:11" ht="54" customHeight="1">
      <c r="A9532" s="9" t="s">
        <v>19789</v>
      </c>
      <c r="B9532" s="9" t="s">
        <v>19789</v>
      </c>
      <c r="C9532" s="9" t="s">
        <v>17</v>
      </c>
      <c r="D9532" s="9" t="s">
        <v>18</v>
      </c>
      <c r="E9532" s="10" t="s">
        <v>1812</v>
      </c>
      <c r="F9532" s="9" t="s">
        <v>1813</v>
      </c>
      <c r="G9532" s="10" t="s">
        <v>34</v>
      </c>
      <c r="H9532" s="9" t="s">
        <v>22</v>
      </c>
      <c r="I9532" s="9" t="s">
        <v>20043</v>
      </c>
      <c r="J9532" s="10" t="str">
        <f>HYPERLINK("https://www.boe.es/gazeta/dias/1834/10/23/pdfs/GMD-1834-251.pdf#page=1","Abrir facsímil")</f>
        <v>Abrir facsímil</v>
      </c>
      <c r="K9532" s="10" t="s">
        <v>24</v>
      </c>
    </row>
    <row r="9533" spans="1:11" ht="54" customHeight="1">
      <c r="A9533" s="9" t="s">
        <v>19789</v>
      </c>
      <c r="B9533" s="9" t="s">
        <v>19789</v>
      </c>
      <c r="C9533" s="9" t="s">
        <v>17</v>
      </c>
      <c r="D9533" s="9" t="s">
        <v>40</v>
      </c>
      <c r="E9533" s="10" t="s">
        <v>667</v>
      </c>
      <c r="F9533" s="9" t="s">
        <v>3347</v>
      </c>
      <c r="G9533" s="10" t="s">
        <v>75</v>
      </c>
      <c r="H9533" s="9" t="s">
        <v>22</v>
      </c>
      <c r="I9533" s="9" t="s">
        <v>20044</v>
      </c>
      <c r="J9533" s="10" t="str">
        <f>HYPERLINK("https://www.boe.es/gazeta/dias/1834/11/23/pdfs/GMD-1834-282.pdf#page=4","Abrir facsímil")</f>
        <v>Abrir facsímil</v>
      </c>
      <c r="K9533" s="10" t="s">
        <v>24</v>
      </c>
    </row>
    <row r="9534" spans="1:11" ht="54" customHeight="1">
      <c r="A9534" s="9" t="s">
        <v>19789</v>
      </c>
      <c r="B9534" s="9" t="s">
        <v>19789</v>
      </c>
      <c r="C9534" s="9" t="s">
        <v>46</v>
      </c>
      <c r="D9534" s="9" t="s">
        <v>101</v>
      </c>
      <c r="E9534" s="10" t="s">
        <v>394</v>
      </c>
      <c r="F9534" s="9" t="s">
        <v>459</v>
      </c>
      <c r="G9534" s="10" t="s">
        <v>75</v>
      </c>
      <c r="H9534" s="9" t="s">
        <v>22</v>
      </c>
      <c r="I9534" s="9" t="s">
        <v>20045</v>
      </c>
      <c r="J9534" s="10" t="str">
        <f>HYPERLINK("https://www.boe.es/gazeta/dias/1834/12/23/pdfs/GMD-C-1834-313.pdf#page=4","Abrir facsímil")</f>
        <v>Abrir facsímil</v>
      </c>
      <c r="K9534" s="10" t="s">
        <v>24</v>
      </c>
    </row>
    <row r="9535" spans="1:11" ht="54" customHeight="1">
      <c r="A9535" s="9" t="s">
        <v>19789</v>
      </c>
      <c r="B9535" s="9" t="s">
        <v>19789</v>
      </c>
      <c r="C9535" s="9" t="s">
        <v>66</v>
      </c>
      <c r="D9535" s="9" t="s">
        <v>101</v>
      </c>
      <c r="E9535" s="10" t="s">
        <v>1212</v>
      </c>
      <c r="F9535" s="9" t="s">
        <v>1213</v>
      </c>
      <c r="G9535" s="10" t="s">
        <v>34</v>
      </c>
      <c r="H9535" s="9" t="s">
        <v>22</v>
      </c>
      <c r="I9535" s="9" t="s">
        <v>20046</v>
      </c>
      <c r="J9535" s="10" t="str">
        <f>HYPERLINK("https://www.boe.es/gazeta/dias/1834/05/24/pdfs/GMD-1834-93.pdf#page=1","Abrir facsímil")</f>
        <v>Abrir facsímil</v>
      </c>
      <c r="K9535" s="10" t="s">
        <v>24</v>
      </c>
    </row>
    <row r="9536" spans="1:11" ht="54" customHeight="1">
      <c r="A9536" s="9" t="s">
        <v>19789</v>
      </c>
      <c r="B9536" s="9" t="s">
        <v>19789</v>
      </c>
      <c r="C9536" s="9" t="s">
        <v>122</v>
      </c>
      <c r="D9536" s="9" t="s">
        <v>18</v>
      </c>
      <c r="E9536" s="10" t="s">
        <v>919</v>
      </c>
      <c r="F9536" s="9" t="s">
        <v>920</v>
      </c>
      <c r="G9536" s="10" t="s">
        <v>34</v>
      </c>
      <c r="H9536" s="9" t="s">
        <v>22</v>
      </c>
      <c r="I9536" s="9" t="s">
        <v>20047</v>
      </c>
      <c r="J9536" s="10" t="str">
        <f>HYPERLINK("https://www.boe.es/gazeta/dias/1834/06/24/pdfs/GMD-1834-127.pdf#page=1","Abrir facsímil")</f>
        <v>Abrir facsímil</v>
      </c>
      <c r="K9536" s="10" t="s">
        <v>24</v>
      </c>
    </row>
    <row r="9537" spans="1:11" ht="54" customHeight="1">
      <c r="A9537" s="9" t="s">
        <v>19789</v>
      </c>
      <c r="B9537" s="9" t="s">
        <v>19789</v>
      </c>
      <c r="C9537" s="9" t="s">
        <v>122</v>
      </c>
      <c r="D9537" s="9" t="s">
        <v>18</v>
      </c>
      <c r="E9537" s="10" t="s">
        <v>1017</v>
      </c>
      <c r="F9537" s="9" t="s">
        <v>1018</v>
      </c>
      <c r="G9537" s="10" t="s">
        <v>86</v>
      </c>
      <c r="H9537" s="9" t="s">
        <v>22</v>
      </c>
      <c r="I9537" s="9" t="s">
        <v>20048</v>
      </c>
      <c r="J9537" s="10" t="str">
        <f>HYPERLINK("https://www.boe.es/gazeta/dias/1834/07/24/pdfs/GMD-1834-157.pdf#page=2","Abrir facsímil")</f>
        <v>Abrir facsímil</v>
      </c>
      <c r="K9537" s="10" t="s">
        <v>24</v>
      </c>
    </row>
    <row r="9538" spans="1:11" ht="54" customHeight="1">
      <c r="A9538" s="9" t="s">
        <v>19789</v>
      </c>
      <c r="B9538" s="9" t="s">
        <v>19789</v>
      </c>
      <c r="C9538" s="9" t="s">
        <v>17</v>
      </c>
      <c r="D9538" s="9" t="s">
        <v>18</v>
      </c>
      <c r="E9538" s="10" t="s">
        <v>378</v>
      </c>
      <c r="F9538" s="9" t="s">
        <v>379</v>
      </c>
      <c r="G9538" s="10" t="s">
        <v>75</v>
      </c>
      <c r="H9538" s="9" t="s">
        <v>22</v>
      </c>
      <c r="I9538" s="9" t="s">
        <v>20049</v>
      </c>
      <c r="J9538" s="10" t="str">
        <f>HYPERLINK("https://www.boe.es/gazeta/dias/1834/09/24/pdfs/GMD-1834-222.pdf#page=4","Abrir facsímil")</f>
        <v>Abrir facsímil</v>
      </c>
      <c r="K9538" s="10" t="s">
        <v>24</v>
      </c>
    </row>
    <row r="9539" spans="1:11" ht="54" customHeight="1">
      <c r="A9539" s="9" t="s">
        <v>19789</v>
      </c>
      <c r="B9539" s="9" t="s">
        <v>19789</v>
      </c>
      <c r="C9539" s="9" t="s">
        <v>17</v>
      </c>
      <c r="D9539" s="9" t="s">
        <v>101</v>
      </c>
      <c r="E9539" s="10" t="s">
        <v>2302</v>
      </c>
      <c r="F9539" s="9" t="s">
        <v>2303</v>
      </c>
      <c r="G9539" s="10" t="s">
        <v>34</v>
      </c>
      <c r="H9539" s="9" t="s">
        <v>22</v>
      </c>
      <c r="I9539" s="9" t="s">
        <v>20050</v>
      </c>
      <c r="J9539" s="10" t="str">
        <f>HYPERLINK("https://www.boe.es/gazeta/dias/1834/01/25/pdfs/GMD-1834-12.pdf#page=1","Abrir facsímil")</f>
        <v>Abrir facsímil</v>
      </c>
      <c r="K9539" s="10" t="s">
        <v>24</v>
      </c>
    </row>
    <row r="9540" spans="1:11" ht="54" customHeight="1">
      <c r="A9540" s="9" t="s">
        <v>19789</v>
      </c>
      <c r="B9540" s="9" t="s">
        <v>19789</v>
      </c>
      <c r="C9540" s="9" t="s">
        <v>17</v>
      </c>
      <c r="D9540" s="9" t="s">
        <v>55</v>
      </c>
      <c r="E9540" s="10" t="s">
        <v>2302</v>
      </c>
      <c r="F9540" s="9" t="s">
        <v>2303</v>
      </c>
      <c r="G9540" s="10" t="s">
        <v>21</v>
      </c>
      <c r="H9540" s="9" t="s">
        <v>22</v>
      </c>
      <c r="I9540" s="9" t="s">
        <v>20051</v>
      </c>
      <c r="J9540" s="10" t="str">
        <f>HYPERLINK("https://www.boe.es/gazeta/dias/1834/01/25/pdfs/GMD-1834-12.pdf#page=3","Abrir facsímil")</f>
        <v>Abrir facsímil</v>
      </c>
      <c r="K9540" s="10" t="s">
        <v>24</v>
      </c>
    </row>
    <row r="9541" spans="1:11" ht="54" customHeight="1">
      <c r="A9541" s="9" t="s">
        <v>19789</v>
      </c>
      <c r="B9541" s="9" t="s">
        <v>19789</v>
      </c>
      <c r="C9541" s="9" t="s">
        <v>122</v>
      </c>
      <c r="D9541" s="9" t="s">
        <v>18</v>
      </c>
      <c r="E9541" s="10" t="s">
        <v>1922</v>
      </c>
      <c r="F9541" s="9" t="s">
        <v>1923</v>
      </c>
      <c r="G9541" s="10" t="s">
        <v>34</v>
      </c>
      <c r="H9541" s="9" t="s">
        <v>22</v>
      </c>
      <c r="I9541" s="9" t="s">
        <v>20052</v>
      </c>
      <c r="J9541" s="10" t="str">
        <f>HYPERLINK("https://www.boe.es/gazeta/dias/1834/02/25/pdfs/GMD-1834-25.pdf#page=1","Abrir facsímil")</f>
        <v>Abrir facsímil</v>
      </c>
      <c r="K9541" s="10" t="s">
        <v>24</v>
      </c>
    </row>
    <row r="9542" spans="1:11" ht="54" customHeight="1">
      <c r="A9542" s="9" t="s">
        <v>19789</v>
      </c>
      <c r="B9542" s="9" t="s">
        <v>19789</v>
      </c>
      <c r="C9542" s="9" t="s">
        <v>17</v>
      </c>
      <c r="D9542" s="9" t="s">
        <v>18</v>
      </c>
      <c r="E9542" s="10" t="s">
        <v>1922</v>
      </c>
      <c r="F9542" s="9" t="s">
        <v>1923</v>
      </c>
      <c r="G9542" s="10" t="s">
        <v>86</v>
      </c>
      <c r="H9542" s="9" t="s">
        <v>22</v>
      </c>
      <c r="I9542" s="9" t="s">
        <v>20053</v>
      </c>
      <c r="J9542" s="10" t="str">
        <f>HYPERLINK("https://www.boe.es/gazeta/dias/1834/02/25/pdfs/GMD-1834-25.pdf#page=2","Abrir facsímil")</f>
        <v>Abrir facsímil</v>
      </c>
      <c r="K9542" s="10" t="s">
        <v>24</v>
      </c>
    </row>
    <row r="9543" spans="1:11" ht="54" customHeight="1">
      <c r="A9543" s="9" t="s">
        <v>19789</v>
      </c>
      <c r="B9543" s="9" t="s">
        <v>19789</v>
      </c>
      <c r="C9543" s="9" t="s">
        <v>17</v>
      </c>
      <c r="D9543" s="9" t="s">
        <v>18</v>
      </c>
      <c r="E9543" s="10" t="s">
        <v>739</v>
      </c>
      <c r="F9543" s="9" t="s">
        <v>17328</v>
      </c>
      <c r="G9543" s="10" t="s">
        <v>34</v>
      </c>
      <c r="H9543" s="9" t="s">
        <v>22</v>
      </c>
      <c r="I9543" s="9" t="s">
        <v>20054</v>
      </c>
      <c r="J9543" s="10" t="str">
        <f>HYPERLINK("https://www.boe.es/gazeta/dias/1834/03/25/pdfs/GMD-C-1834-37.pdf#page=1","Abrir facsímil")</f>
        <v>Abrir facsímil</v>
      </c>
      <c r="K9543" s="10" t="s">
        <v>24</v>
      </c>
    </row>
    <row r="9544" spans="1:11" ht="54" customHeight="1">
      <c r="A9544" s="9" t="s">
        <v>19789</v>
      </c>
      <c r="B9544" s="9" t="s">
        <v>19789</v>
      </c>
      <c r="C9544" s="9" t="s">
        <v>66</v>
      </c>
      <c r="D9544" s="9" t="s">
        <v>67</v>
      </c>
      <c r="E9544" s="10" t="s">
        <v>724</v>
      </c>
      <c r="F9544" s="9" t="s">
        <v>725</v>
      </c>
      <c r="G9544" s="10" t="s">
        <v>75</v>
      </c>
      <c r="H9544" s="9" t="s">
        <v>22</v>
      </c>
      <c r="I9544" s="9" t="s">
        <v>20055</v>
      </c>
      <c r="J9544" s="10" t="str">
        <f>HYPERLINK("https://www.boe.es/gazeta/dias/1834/04/25/pdfs/GMD-1834-64.pdf#page=4","Abrir facsímil")</f>
        <v>Abrir facsímil</v>
      </c>
      <c r="K9544" s="10" t="s">
        <v>24</v>
      </c>
    </row>
    <row r="9545" spans="1:11" ht="54" customHeight="1">
      <c r="A9545" s="9" t="s">
        <v>19789</v>
      </c>
      <c r="B9545" s="9" t="s">
        <v>19789</v>
      </c>
      <c r="C9545" s="9" t="s">
        <v>17</v>
      </c>
      <c r="D9545" s="9" t="s">
        <v>18</v>
      </c>
      <c r="E9545" s="10" t="s">
        <v>724</v>
      </c>
      <c r="F9545" s="9" t="s">
        <v>725</v>
      </c>
      <c r="G9545" s="10" t="s">
        <v>28</v>
      </c>
      <c r="H9545" s="9" t="s">
        <v>22</v>
      </c>
      <c r="I9545" s="9" t="s">
        <v>20056</v>
      </c>
      <c r="J9545" s="10" t="str">
        <f>HYPERLINK("https://www.boe.es/gazeta/dias/1834/04/25/pdfs/GMD-1834-64.pdf#page=5","Abrir facsímil")</f>
        <v>Abrir facsímil</v>
      </c>
      <c r="K9545" s="10" t="s">
        <v>24</v>
      </c>
    </row>
    <row r="9546" spans="1:11" ht="54" customHeight="1">
      <c r="A9546" s="9" t="s">
        <v>19789</v>
      </c>
      <c r="B9546" s="9" t="s">
        <v>19789</v>
      </c>
      <c r="C9546" s="9" t="s">
        <v>90</v>
      </c>
      <c r="D9546" s="9" t="s">
        <v>18</v>
      </c>
      <c r="E9546" s="10" t="s">
        <v>3025</v>
      </c>
      <c r="F9546" s="9" t="s">
        <v>3026</v>
      </c>
      <c r="G9546" s="10" t="s">
        <v>34</v>
      </c>
      <c r="H9546" s="9" t="s">
        <v>22</v>
      </c>
      <c r="I9546" s="9" t="s">
        <v>20057</v>
      </c>
      <c r="J9546" s="10" t="str">
        <f>HYPERLINK("https://www.boe.es/gazeta/dias/1834/05/25/pdfs/GMD-1834-94.pdf#page=1","Abrir facsímil")</f>
        <v>Abrir facsímil</v>
      </c>
      <c r="K9546" s="10" t="s">
        <v>24</v>
      </c>
    </row>
    <row r="9547" spans="1:11" ht="54" customHeight="1">
      <c r="A9547" s="9" t="s">
        <v>19789</v>
      </c>
      <c r="B9547" s="9" t="s">
        <v>19789</v>
      </c>
      <c r="C9547" s="9" t="s">
        <v>46</v>
      </c>
      <c r="D9547" s="9" t="s">
        <v>55</v>
      </c>
      <c r="E9547" s="10" t="s">
        <v>3025</v>
      </c>
      <c r="F9547" s="9" t="s">
        <v>3026</v>
      </c>
      <c r="G9547" s="10" t="s">
        <v>75</v>
      </c>
      <c r="H9547" s="9" t="s">
        <v>22</v>
      </c>
      <c r="I9547" s="9" t="s">
        <v>20058</v>
      </c>
      <c r="J9547" s="10" t="str">
        <f>HYPERLINK("https://www.boe.es/gazeta/dias/1834/05/25/pdfs/GMD-1834-94.pdf#page=4","Abrir facsímil")</f>
        <v>Abrir facsímil</v>
      </c>
      <c r="K9547" s="10" t="s">
        <v>24</v>
      </c>
    </row>
    <row r="9548" spans="1:11" ht="54" customHeight="1">
      <c r="A9548" s="9" t="s">
        <v>19789</v>
      </c>
      <c r="B9548" s="9" t="s">
        <v>19789</v>
      </c>
      <c r="C9548" s="9" t="s">
        <v>17</v>
      </c>
      <c r="D9548" s="9" t="s">
        <v>18</v>
      </c>
      <c r="E9548" s="10" t="s">
        <v>3025</v>
      </c>
      <c r="F9548" s="9" t="s">
        <v>3026</v>
      </c>
      <c r="G9548" s="10" t="s">
        <v>28</v>
      </c>
      <c r="H9548" s="9" t="s">
        <v>22</v>
      </c>
      <c r="I9548" s="9" t="s">
        <v>20059</v>
      </c>
      <c r="J9548" s="10" t="str">
        <f>HYPERLINK("https://www.boe.es/gazeta/dias/1834/05/25/pdfs/GMD-1834-94.pdf#page=5","Abrir facsímil")</f>
        <v>Abrir facsímil</v>
      </c>
      <c r="K9548" s="10" t="s">
        <v>24</v>
      </c>
    </row>
    <row r="9549" spans="1:11" ht="54" customHeight="1">
      <c r="A9549" s="9" t="s">
        <v>19789</v>
      </c>
      <c r="B9549" s="9" t="s">
        <v>19789</v>
      </c>
      <c r="C9549" s="9" t="s">
        <v>122</v>
      </c>
      <c r="D9549" s="9" t="s">
        <v>101</v>
      </c>
      <c r="E9549" s="10" t="s">
        <v>3025</v>
      </c>
      <c r="F9549" s="9" t="s">
        <v>3026</v>
      </c>
      <c r="G9549" s="10" t="s">
        <v>176</v>
      </c>
      <c r="H9549" s="9" t="s">
        <v>22</v>
      </c>
      <c r="I9549" s="9" t="s">
        <v>20060</v>
      </c>
      <c r="J9549" s="10" t="str">
        <f>HYPERLINK("https://www.boe.es/gazeta/dias/1834/05/25/pdfs/GMD-1834-94.pdf#page=6","Abrir facsímil")</f>
        <v>Abrir facsímil</v>
      </c>
      <c r="K9549" s="10" t="s">
        <v>24</v>
      </c>
    </row>
    <row r="9550" spans="1:11" ht="54" customHeight="1">
      <c r="A9550" s="9" t="s">
        <v>19789</v>
      </c>
      <c r="B9550" s="9" t="s">
        <v>19789</v>
      </c>
      <c r="C9550" s="9" t="s">
        <v>46</v>
      </c>
      <c r="D9550" s="9" t="s">
        <v>101</v>
      </c>
      <c r="E9550" s="10" t="s">
        <v>2937</v>
      </c>
      <c r="F9550" s="9" t="s">
        <v>2938</v>
      </c>
      <c r="G9550" s="10" t="s">
        <v>34</v>
      </c>
      <c r="H9550" s="9" t="s">
        <v>22</v>
      </c>
      <c r="I9550" s="9" t="s">
        <v>20061</v>
      </c>
      <c r="J9550" s="10" t="str">
        <f>HYPERLINK("https://www.boe.es/gazeta/dias/1834/06/25/pdfs/GMD-1834-128.pdf#page=1","Abrir facsímil")</f>
        <v>Abrir facsímil</v>
      </c>
      <c r="K9550" s="10" t="s">
        <v>24</v>
      </c>
    </row>
    <row r="9551" spans="1:11" ht="54" customHeight="1">
      <c r="A9551" s="9" t="s">
        <v>19789</v>
      </c>
      <c r="B9551" s="9" t="s">
        <v>19789</v>
      </c>
      <c r="C9551" s="9" t="s">
        <v>66</v>
      </c>
      <c r="D9551" s="9" t="s">
        <v>67</v>
      </c>
      <c r="E9551" s="10" t="s">
        <v>1307</v>
      </c>
      <c r="F9551" s="9" t="s">
        <v>1308</v>
      </c>
      <c r="G9551" s="10" t="s">
        <v>34</v>
      </c>
      <c r="H9551" s="9" t="s">
        <v>22</v>
      </c>
      <c r="I9551" s="9" t="s">
        <v>20062</v>
      </c>
      <c r="J9551" s="10" t="str">
        <f>HYPERLINK("https://www.boe.es/gazeta/dias/1834/08/25/pdfs/GMD-1834-191.pdf#page=1","Abrir facsímil")</f>
        <v>Abrir facsímil</v>
      </c>
      <c r="K9551" s="10" t="s">
        <v>24</v>
      </c>
    </row>
    <row r="9552" spans="1:11" ht="54" customHeight="1">
      <c r="A9552" s="9" t="s">
        <v>19789</v>
      </c>
      <c r="B9552" s="9" t="s">
        <v>19789</v>
      </c>
      <c r="C9552" s="9" t="s">
        <v>17</v>
      </c>
      <c r="D9552" s="9" t="s">
        <v>40</v>
      </c>
      <c r="E9552" s="10" t="s">
        <v>403</v>
      </c>
      <c r="F9552" s="9" t="s">
        <v>404</v>
      </c>
      <c r="G9552" s="10" t="s">
        <v>75</v>
      </c>
      <c r="H9552" s="9" t="s">
        <v>22</v>
      </c>
      <c r="I9552" s="9" t="s">
        <v>20063</v>
      </c>
      <c r="J9552" s="10" t="str">
        <f>HYPERLINK("https://www.boe.es/gazeta/dias/1834/09/25/pdfs/GMD-C-1834-223.pdf#page=4","Abrir facsímil")</f>
        <v>Abrir facsímil</v>
      </c>
      <c r="K9552" s="10" t="s">
        <v>24</v>
      </c>
    </row>
    <row r="9553" spans="1:11" ht="54" customHeight="1">
      <c r="A9553" s="9" t="s">
        <v>19789</v>
      </c>
      <c r="B9553" s="9" t="s">
        <v>19789</v>
      </c>
      <c r="C9553" s="9" t="s">
        <v>17</v>
      </c>
      <c r="D9553" s="9" t="s">
        <v>18</v>
      </c>
      <c r="E9553" s="10" t="s">
        <v>389</v>
      </c>
      <c r="F9553" s="9" t="s">
        <v>390</v>
      </c>
      <c r="G9553" s="10" t="s">
        <v>34</v>
      </c>
      <c r="H9553" s="9" t="s">
        <v>22</v>
      </c>
      <c r="I9553" s="9" t="s">
        <v>20064</v>
      </c>
      <c r="J9553" s="10" t="str">
        <f>HYPERLINK("https://www.boe.es/gazeta/dias/1834/10/25/pdfs/GMD-1834-253.pdf#page=1","Abrir facsímil")</f>
        <v>Abrir facsímil</v>
      </c>
      <c r="K9553" s="10" t="s">
        <v>24</v>
      </c>
    </row>
    <row r="9554" spans="1:11" ht="54" customHeight="1">
      <c r="A9554" s="9" t="s">
        <v>19789</v>
      </c>
      <c r="B9554" s="9" t="s">
        <v>19789</v>
      </c>
      <c r="C9554" s="9" t="s">
        <v>17</v>
      </c>
      <c r="D9554" s="9" t="s">
        <v>18</v>
      </c>
      <c r="E9554" s="10" t="s">
        <v>707</v>
      </c>
      <c r="F9554" s="9" t="s">
        <v>1359</v>
      </c>
      <c r="G9554" s="10" t="s">
        <v>34</v>
      </c>
      <c r="H9554" s="9" t="s">
        <v>22</v>
      </c>
      <c r="I9554" s="9" t="s">
        <v>20065</v>
      </c>
      <c r="J9554" s="10" t="str">
        <f>HYPERLINK("https://www.boe.es/gazeta/dias/1834/11/25/pdfs/GMD-1834-284.pdf#page=1","Abrir facsímil")</f>
        <v>Abrir facsímil</v>
      </c>
      <c r="K9554" s="10" t="s">
        <v>24</v>
      </c>
    </row>
    <row r="9555" spans="1:11" ht="54" customHeight="1">
      <c r="A9555" s="9" t="s">
        <v>19789</v>
      </c>
      <c r="B9555" s="9" t="s">
        <v>19789</v>
      </c>
      <c r="C9555" s="9" t="s">
        <v>90</v>
      </c>
      <c r="D9555" s="9" t="s">
        <v>101</v>
      </c>
      <c r="E9555" s="10" t="s">
        <v>2306</v>
      </c>
      <c r="F9555" s="9" t="s">
        <v>2307</v>
      </c>
      <c r="G9555" s="10" t="s">
        <v>34</v>
      </c>
      <c r="H9555" s="9" t="s">
        <v>22</v>
      </c>
      <c r="I9555" s="9" t="s">
        <v>20066</v>
      </c>
      <c r="J9555" s="10" t="str">
        <f>HYPERLINK("https://www.boe.es/gazeta/dias/1834/04/26/pdfs/GMD-1834-65.pdf#page=1","Abrir facsímil")</f>
        <v>Abrir facsímil</v>
      </c>
      <c r="K9555" s="10" t="s">
        <v>24</v>
      </c>
    </row>
    <row r="9556" spans="1:11" ht="54" customHeight="1">
      <c r="A9556" s="9" t="s">
        <v>19789</v>
      </c>
      <c r="B9556" s="9" t="s">
        <v>19789</v>
      </c>
      <c r="C9556" s="9" t="s">
        <v>66</v>
      </c>
      <c r="D9556" s="9" t="s">
        <v>18</v>
      </c>
      <c r="E9556" s="10" t="s">
        <v>658</v>
      </c>
      <c r="F9556" s="9" t="s">
        <v>659</v>
      </c>
      <c r="G9556" s="10" t="s">
        <v>34</v>
      </c>
      <c r="H9556" s="9" t="s">
        <v>22</v>
      </c>
      <c r="I9556" s="9" t="s">
        <v>20067</v>
      </c>
      <c r="J9556" s="10" t="str">
        <f>HYPERLINK("https://www.boe.es/gazeta/dias/1834/05/26/pdfs/GMD-1834-95.pdf#page=1","Abrir facsímil")</f>
        <v>Abrir facsímil</v>
      </c>
      <c r="K9556" s="10" t="s">
        <v>24</v>
      </c>
    </row>
    <row r="9557" spans="1:11" ht="54" customHeight="1">
      <c r="A9557" s="9" t="s">
        <v>19789</v>
      </c>
      <c r="B9557" s="9" t="s">
        <v>19789</v>
      </c>
      <c r="C9557" s="9" t="s">
        <v>17</v>
      </c>
      <c r="D9557" s="9" t="s">
        <v>18</v>
      </c>
      <c r="E9557" s="10" t="s">
        <v>1002</v>
      </c>
      <c r="F9557" s="9" t="s">
        <v>1003</v>
      </c>
      <c r="G9557" s="10" t="s">
        <v>34</v>
      </c>
      <c r="H9557" s="9" t="s">
        <v>22</v>
      </c>
      <c r="I9557" s="9" t="s">
        <v>20068</v>
      </c>
      <c r="J9557" s="10" t="str">
        <f>HYPERLINK("https://www.boe.es/gazeta/dias/1834/06/26/pdfs/GMD-1834-129.pdf#page=1","Abrir facsímil")</f>
        <v>Abrir facsímil</v>
      </c>
      <c r="K9557" s="10" t="s">
        <v>24</v>
      </c>
    </row>
    <row r="9558" spans="1:11" ht="54" customHeight="1">
      <c r="A9558" s="9" t="s">
        <v>19789</v>
      </c>
      <c r="B9558" s="9" t="s">
        <v>19789</v>
      </c>
      <c r="C9558" s="9" t="s">
        <v>66</v>
      </c>
      <c r="D9558" s="9" t="s">
        <v>18</v>
      </c>
      <c r="E9558" s="10" t="s">
        <v>1677</v>
      </c>
      <c r="F9558" s="9" t="s">
        <v>1678</v>
      </c>
      <c r="G9558" s="10" t="s">
        <v>34</v>
      </c>
      <c r="H9558" s="9" t="s">
        <v>22</v>
      </c>
      <c r="I9558" s="9" t="s">
        <v>20069</v>
      </c>
      <c r="J9558" s="10" t="str">
        <f>HYPERLINK("https://www.boe.es/gazeta/dias/1834/07/26/pdfs/GMD-1834-159.pdf#page=1","Abrir facsímil")</f>
        <v>Abrir facsímil</v>
      </c>
      <c r="K9558" s="10" t="s">
        <v>24</v>
      </c>
    </row>
    <row r="9559" spans="1:11" ht="54" customHeight="1">
      <c r="A9559" s="9" t="s">
        <v>19789</v>
      </c>
      <c r="B9559" s="9" t="s">
        <v>19789</v>
      </c>
      <c r="C9559" s="9" t="s">
        <v>122</v>
      </c>
      <c r="D9559" s="9" t="s">
        <v>101</v>
      </c>
      <c r="E9559" s="10" t="s">
        <v>1680</v>
      </c>
      <c r="F9559" s="9" t="s">
        <v>1681</v>
      </c>
      <c r="G9559" s="10" t="s">
        <v>34</v>
      </c>
      <c r="H9559" s="9" t="s">
        <v>22</v>
      </c>
      <c r="I9559" s="9" t="s">
        <v>20070</v>
      </c>
      <c r="J9559" s="10" t="str">
        <f>HYPERLINK("https://www.boe.es/gazeta/dias/1834/02/27/pdfs/GMD-1834-26.pdf#page=1","Abrir facsímil")</f>
        <v>Abrir facsímil</v>
      </c>
      <c r="K9559" s="10" t="s">
        <v>24</v>
      </c>
    </row>
    <row r="9560" spans="1:11" ht="54" customHeight="1">
      <c r="A9560" s="9" t="s">
        <v>19789</v>
      </c>
      <c r="B9560" s="9" t="s">
        <v>19789</v>
      </c>
      <c r="C9560" s="9" t="s">
        <v>66</v>
      </c>
      <c r="D9560" s="9" t="s">
        <v>18</v>
      </c>
      <c r="E9560" s="10" t="s">
        <v>174</v>
      </c>
      <c r="F9560" s="9" t="s">
        <v>175</v>
      </c>
      <c r="G9560" s="10" t="s">
        <v>34</v>
      </c>
      <c r="H9560" s="9" t="s">
        <v>22</v>
      </c>
      <c r="I9560" s="9" t="s">
        <v>20071</v>
      </c>
      <c r="J9560" s="10" t="str">
        <f>HYPERLINK("https://www.boe.es/gazeta/dias/1834/03/27/pdfs/GMD-1834-38.pdf#page=1","Abrir facsímil")</f>
        <v>Abrir facsímil</v>
      </c>
      <c r="K9560" s="10" t="s">
        <v>24</v>
      </c>
    </row>
    <row r="9561" spans="1:11" ht="54" customHeight="1">
      <c r="A9561" s="9" t="s">
        <v>19789</v>
      </c>
      <c r="B9561" s="9" t="s">
        <v>19789</v>
      </c>
      <c r="C9561" s="9" t="s">
        <v>17</v>
      </c>
      <c r="D9561" s="9" t="s">
        <v>18</v>
      </c>
      <c r="E9561" s="10" t="s">
        <v>174</v>
      </c>
      <c r="F9561" s="9" t="s">
        <v>175</v>
      </c>
      <c r="G9561" s="10" t="s">
        <v>75</v>
      </c>
      <c r="H9561" s="9" t="s">
        <v>22</v>
      </c>
      <c r="I9561" s="9" t="s">
        <v>20072</v>
      </c>
      <c r="J9561" s="10" t="str">
        <f>HYPERLINK("https://www.boe.es/gazeta/dias/1834/03/27/pdfs/GMD-1834-38.pdf#page=4","Abrir facsímil")</f>
        <v>Abrir facsímil</v>
      </c>
      <c r="K9561" s="10" t="s">
        <v>24</v>
      </c>
    </row>
    <row r="9562" spans="1:11" ht="54" customHeight="1">
      <c r="A9562" s="9" t="s">
        <v>19789</v>
      </c>
      <c r="B9562" s="9" t="s">
        <v>19789</v>
      </c>
      <c r="C9562" s="9" t="s">
        <v>66</v>
      </c>
      <c r="D9562" s="9" t="s">
        <v>18</v>
      </c>
      <c r="E9562" s="10" t="s">
        <v>513</v>
      </c>
      <c r="F9562" s="9" t="s">
        <v>514</v>
      </c>
      <c r="G9562" s="10" t="s">
        <v>34</v>
      </c>
      <c r="H9562" s="9" t="s">
        <v>22</v>
      </c>
      <c r="I9562" s="9" t="s">
        <v>20073</v>
      </c>
      <c r="J9562" s="10" t="str">
        <f>HYPERLINK("https://www.boe.es/gazeta/dias/1834/04/27/pdfs/GMD-1834-66.pdf#page=1","Abrir facsímil")</f>
        <v>Abrir facsímil</v>
      </c>
      <c r="K9562" s="10" t="s">
        <v>24</v>
      </c>
    </row>
    <row r="9563" spans="1:11" ht="54" customHeight="1">
      <c r="A9563" s="9" t="s">
        <v>19789</v>
      </c>
      <c r="B9563" s="9" t="s">
        <v>19789</v>
      </c>
      <c r="C9563" s="9" t="s">
        <v>17</v>
      </c>
      <c r="D9563" s="9" t="s">
        <v>18</v>
      </c>
      <c r="E9563" s="10" t="s">
        <v>513</v>
      </c>
      <c r="F9563" s="9" t="s">
        <v>514</v>
      </c>
      <c r="G9563" s="10" t="s">
        <v>75</v>
      </c>
      <c r="H9563" s="9" t="s">
        <v>22</v>
      </c>
      <c r="I9563" s="9" t="s">
        <v>20074</v>
      </c>
      <c r="J9563" s="10" t="str">
        <f>HYPERLINK("https://www.boe.es/gazeta/dias/1834/04/27/pdfs/GMD-1834-66.pdf#page=4","Abrir facsímil")</f>
        <v>Abrir facsímil</v>
      </c>
      <c r="K9563" s="10" t="s">
        <v>24</v>
      </c>
    </row>
    <row r="9564" spans="1:11" ht="54" customHeight="1">
      <c r="A9564" s="9" t="s">
        <v>19789</v>
      </c>
      <c r="B9564" s="9" t="s">
        <v>19789</v>
      </c>
      <c r="C9564" s="9" t="s">
        <v>122</v>
      </c>
      <c r="D9564" s="9" t="s">
        <v>18</v>
      </c>
      <c r="E9564" s="10" t="s">
        <v>513</v>
      </c>
      <c r="F9564" s="9" t="s">
        <v>514</v>
      </c>
      <c r="G9564" s="10" t="s">
        <v>176</v>
      </c>
      <c r="H9564" s="9" t="s">
        <v>22</v>
      </c>
      <c r="I9564" s="9" t="s">
        <v>20075</v>
      </c>
      <c r="J9564" s="10" t="str">
        <f>HYPERLINK("https://www.boe.es/gazeta/dias/1834/04/27/pdfs/GMD-1834-66.pdf#page=6","Abrir facsímil")</f>
        <v>Abrir facsímil</v>
      </c>
      <c r="K9564" s="10" t="s">
        <v>24</v>
      </c>
    </row>
    <row r="9565" spans="1:11" ht="54" customHeight="1">
      <c r="A9565" s="9" t="s">
        <v>19789</v>
      </c>
      <c r="B9565" s="9" t="s">
        <v>19789</v>
      </c>
      <c r="C9565" s="9" t="s">
        <v>66</v>
      </c>
      <c r="D9565" s="9" t="s">
        <v>18</v>
      </c>
      <c r="E9565" s="10" t="s">
        <v>371</v>
      </c>
      <c r="F9565" s="9" t="s">
        <v>372</v>
      </c>
      <c r="G9565" s="10" t="s">
        <v>34</v>
      </c>
      <c r="H9565" s="9" t="s">
        <v>22</v>
      </c>
      <c r="I9565" s="9" t="s">
        <v>20076</v>
      </c>
      <c r="J9565" s="10" t="str">
        <f>HYPERLINK("https://www.boe.es/gazeta/dias/1834/05/27/pdfs/GMD-1834-96.pdf#page=1","Abrir facsímil")</f>
        <v>Abrir facsímil</v>
      </c>
      <c r="K9565" s="10" t="s">
        <v>24</v>
      </c>
    </row>
    <row r="9566" spans="1:11" ht="54" customHeight="1">
      <c r="A9566" s="9" t="s">
        <v>19789</v>
      </c>
      <c r="B9566" s="9" t="s">
        <v>19789</v>
      </c>
      <c r="C9566" s="9" t="s">
        <v>17</v>
      </c>
      <c r="D9566" s="9" t="s">
        <v>40</v>
      </c>
      <c r="E9566" s="10" t="s">
        <v>1683</v>
      </c>
      <c r="F9566" s="9" t="s">
        <v>1684</v>
      </c>
      <c r="G9566" s="10" t="s">
        <v>75</v>
      </c>
      <c r="H9566" s="9" t="s">
        <v>22</v>
      </c>
      <c r="I9566" s="9" t="s">
        <v>20077</v>
      </c>
      <c r="J9566" s="10" t="str">
        <f>HYPERLINK("https://www.boe.es/gazeta/dias/1834/06/27/pdfs/GMD-1834-130.pdf#page=4","Abrir facsímil")</f>
        <v>Abrir facsímil</v>
      </c>
      <c r="K9566" s="10" t="s">
        <v>24</v>
      </c>
    </row>
    <row r="9567" spans="1:11" ht="54" customHeight="1">
      <c r="A9567" s="9" t="s">
        <v>19789</v>
      </c>
      <c r="B9567" s="9" t="s">
        <v>19789</v>
      </c>
      <c r="C9567" s="9" t="s">
        <v>66</v>
      </c>
      <c r="D9567" s="9" t="s">
        <v>18</v>
      </c>
      <c r="E9567" s="10" t="s">
        <v>1686</v>
      </c>
      <c r="F9567" s="9" t="s">
        <v>1687</v>
      </c>
      <c r="G9567" s="10" t="s">
        <v>34</v>
      </c>
      <c r="H9567" s="9" t="s">
        <v>22</v>
      </c>
      <c r="I9567" s="9" t="s">
        <v>20078</v>
      </c>
      <c r="J9567" s="10" t="str">
        <f>HYPERLINK("https://www.boe.es/gazeta/dias/1834/07/27/pdfs/GMD-1834-160.pdf#page=1","Abrir facsímil")</f>
        <v>Abrir facsímil</v>
      </c>
      <c r="K9567" s="10" t="s">
        <v>24</v>
      </c>
    </row>
    <row r="9568" spans="1:11" ht="54" customHeight="1">
      <c r="A9568" s="9" t="s">
        <v>19789</v>
      </c>
      <c r="B9568" s="9" t="s">
        <v>19789</v>
      </c>
      <c r="C9568" s="9" t="s">
        <v>17</v>
      </c>
      <c r="D9568" s="9" t="s">
        <v>18</v>
      </c>
      <c r="E9568" s="10" t="s">
        <v>462</v>
      </c>
      <c r="F9568" s="9" t="s">
        <v>463</v>
      </c>
      <c r="G9568" s="10" t="s">
        <v>21</v>
      </c>
      <c r="H9568" s="9" t="s">
        <v>22</v>
      </c>
      <c r="I9568" s="9" t="s">
        <v>20079</v>
      </c>
      <c r="J9568" s="10" t="str">
        <f>HYPERLINK("https://www.boe.es/gazeta/dias/1834/08/27/pdfs/GMD-C-1834-193.pdf#page=3","Abrir facsímil")</f>
        <v>Abrir facsímil</v>
      </c>
      <c r="K9568" s="10" t="s">
        <v>24</v>
      </c>
    </row>
    <row r="9569" spans="1:11" ht="54" customHeight="1">
      <c r="A9569" s="9" t="s">
        <v>19789</v>
      </c>
      <c r="B9569" s="9" t="s">
        <v>19789</v>
      </c>
      <c r="C9569" s="9" t="s">
        <v>17</v>
      </c>
      <c r="D9569" s="9" t="s">
        <v>40</v>
      </c>
      <c r="E9569" s="10" t="s">
        <v>294</v>
      </c>
      <c r="F9569" s="9" t="s">
        <v>295</v>
      </c>
      <c r="G9569" s="10" t="s">
        <v>75</v>
      </c>
      <c r="H9569" s="9" t="s">
        <v>22</v>
      </c>
      <c r="I9569" s="9" t="s">
        <v>20080</v>
      </c>
      <c r="J9569" s="10" t="str">
        <f>HYPERLINK("https://www.boe.es/gazeta/dias/1834/09/27/pdfs/GMD-1834-225.pdf#page=4","Abrir facsímil")</f>
        <v>Abrir facsímil</v>
      </c>
      <c r="K9569" s="10" t="s">
        <v>24</v>
      </c>
    </row>
    <row r="9570" spans="1:11" ht="54" customHeight="1">
      <c r="A9570" s="9" t="s">
        <v>19789</v>
      </c>
      <c r="B9570" s="9" t="s">
        <v>19789</v>
      </c>
      <c r="C9570" s="9" t="s">
        <v>66</v>
      </c>
      <c r="D9570" s="9" t="s">
        <v>67</v>
      </c>
      <c r="E9570" s="10" t="s">
        <v>2142</v>
      </c>
      <c r="F9570" s="9" t="s">
        <v>2143</v>
      </c>
      <c r="G9570" s="10" t="s">
        <v>34</v>
      </c>
      <c r="H9570" s="9" t="s">
        <v>22</v>
      </c>
      <c r="I9570" s="9" t="s">
        <v>20081</v>
      </c>
      <c r="J9570" s="10" t="str">
        <f>HYPERLINK("https://www.boe.es/gazeta/dias/1834/12/27/pdfs/GMD-1834-317.pdf#page=1","Abrir facsímil")</f>
        <v>Abrir facsímil</v>
      </c>
      <c r="K9570" s="10" t="s">
        <v>24</v>
      </c>
    </row>
    <row r="9571" spans="1:11" ht="54" customHeight="1">
      <c r="A9571" s="9" t="s">
        <v>19789</v>
      </c>
      <c r="B9571" s="9" t="s">
        <v>19789</v>
      </c>
      <c r="C9571" s="9" t="s">
        <v>66</v>
      </c>
      <c r="D9571" s="9" t="s">
        <v>101</v>
      </c>
      <c r="E9571" s="10" t="s">
        <v>3499</v>
      </c>
      <c r="F9571" s="9" t="s">
        <v>3500</v>
      </c>
      <c r="G9571" s="10" t="s">
        <v>34</v>
      </c>
      <c r="H9571" s="9" t="s">
        <v>22</v>
      </c>
      <c r="I9571" s="9" t="s">
        <v>20082</v>
      </c>
      <c r="J9571" s="10" t="str">
        <f>HYPERLINK("https://www.boe.es/gazeta/dias/1834/01/28/pdfs/GMD-1834-13.pdf#page=1","Abrir facsímil")</f>
        <v>Abrir facsímil</v>
      </c>
      <c r="K9571" s="10" t="s">
        <v>24</v>
      </c>
    </row>
    <row r="9572" spans="1:11" ht="54" customHeight="1">
      <c r="A9572" s="9" t="s">
        <v>19789</v>
      </c>
      <c r="B9572" s="9" t="s">
        <v>19789</v>
      </c>
      <c r="C9572" s="9" t="s">
        <v>66</v>
      </c>
      <c r="D9572" s="9" t="s">
        <v>18</v>
      </c>
      <c r="E9572" s="10" t="s">
        <v>408</v>
      </c>
      <c r="F9572" s="9" t="s">
        <v>409</v>
      </c>
      <c r="G9572" s="10" t="s">
        <v>34</v>
      </c>
      <c r="H9572" s="9" t="s">
        <v>22</v>
      </c>
      <c r="I9572" s="9" t="s">
        <v>20083</v>
      </c>
      <c r="J9572" s="10" t="str">
        <f>HYPERLINK("https://www.boe.es/gazeta/dias/1834/04/28/pdfs/GMD-1834-67.pdf#page=1","Abrir facsímil")</f>
        <v>Abrir facsímil</v>
      </c>
      <c r="K9572" s="10" t="s">
        <v>24</v>
      </c>
    </row>
    <row r="9573" spans="1:11" ht="54" customHeight="1">
      <c r="A9573" s="9" t="s">
        <v>19789</v>
      </c>
      <c r="B9573" s="9" t="s">
        <v>19789</v>
      </c>
      <c r="C9573" s="9" t="s">
        <v>17</v>
      </c>
      <c r="D9573" s="9" t="s">
        <v>18</v>
      </c>
      <c r="E9573" s="10" t="s">
        <v>408</v>
      </c>
      <c r="F9573" s="9" t="s">
        <v>409</v>
      </c>
      <c r="G9573" s="10" t="s">
        <v>21</v>
      </c>
      <c r="H9573" s="9" t="s">
        <v>22</v>
      </c>
      <c r="I9573" s="9" t="s">
        <v>20084</v>
      </c>
      <c r="J9573" s="10" t="str">
        <f>HYPERLINK("https://www.boe.es/gazeta/dias/1834/04/28/pdfs/GMD-1834-67.pdf#page=3","Abrir facsímil")</f>
        <v>Abrir facsímil</v>
      </c>
      <c r="K9573" s="10" t="s">
        <v>24</v>
      </c>
    </row>
    <row r="9574" spans="1:11" ht="54" customHeight="1">
      <c r="A9574" s="9" t="s">
        <v>19789</v>
      </c>
      <c r="B9574" s="9" t="s">
        <v>19789</v>
      </c>
      <c r="C9574" s="9" t="s">
        <v>17</v>
      </c>
      <c r="D9574" s="9" t="s">
        <v>18</v>
      </c>
      <c r="E9574" s="10" t="s">
        <v>408</v>
      </c>
      <c r="F9574" s="9" t="s">
        <v>409</v>
      </c>
      <c r="G9574" s="10" t="s">
        <v>75</v>
      </c>
      <c r="H9574" s="9" t="s">
        <v>22</v>
      </c>
      <c r="I9574" s="9" t="s">
        <v>20085</v>
      </c>
      <c r="J9574" s="10" t="str">
        <f>HYPERLINK("https://www.boe.es/gazeta/dias/1834/04/28/pdfs/GMD-1834-67.pdf#page=4","Abrir facsímil")</f>
        <v>Abrir facsímil</v>
      </c>
      <c r="K9574" s="10" t="s">
        <v>24</v>
      </c>
    </row>
    <row r="9575" spans="1:11" ht="54" customHeight="1">
      <c r="A9575" s="9" t="s">
        <v>19789</v>
      </c>
      <c r="B9575" s="9" t="s">
        <v>19789</v>
      </c>
      <c r="C9575" s="9" t="s">
        <v>122</v>
      </c>
      <c r="D9575" s="9" t="s">
        <v>18</v>
      </c>
      <c r="E9575" s="10" t="s">
        <v>8010</v>
      </c>
      <c r="F9575" s="9" t="s">
        <v>8011</v>
      </c>
      <c r="G9575" s="10" t="s">
        <v>34</v>
      </c>
      <c r="H9575" s="9" t="s">
        <v>22</v>
      </c>
      <c r="I9575" s="9" t="s">
        <v>20086</v>
      </c>
      <c r="J9575" s="10" t="str">
        <f>HYPERLINK("https://www.boe.es/gazeta/dias/1834/08/28/pdfs/GMD-1834-194.pdf#page=1","Abrir facsímil")</f>
        <v>Abrir facsímil</v>
      </c>
      <c r="K9575" s="10" t="s">
        <v>24</v>
      </c>
    </row>
    <row r="9576" spans="1:11" ht="54" customHeight="1">
      <c r="A9576" s="9" t="s">
        <v>19789</v>
      </c>
      <c r="B9576" s="9" t="s">
        <v>19789</v>
      </c>
      <c r="C9576" s="9" t="s">
        <v>17</v>
      </c>
      <c r="D9576" s="9" t="s">
        <v>18</v>
      </c>
      <c r="E9576" s="10" t="s">
        <v>1641</v>
      </c>
      <c r="F9576" s="9" t="s">
        <v>1642</v>
      </c>
      <c r="G9576" s="10" t="s">
        <v>34</v>
      </c>
      <c r="H9576" s="9" t="s">
        <v>22</v>
      </c>
      <c r="I9576" s="9" t="s">
        <v>20087</v>
      </c>
      <c r="J9576" s="10" t="str">
        <f>HYPERLINK("https://www.boe.es/gazeta/dias/1834/09/28/pdfs/GMD-C-1834-226.pdf#page=1","Abrir facsímil")</f>
        <v>Abrir facsímil</v>
      </c>
      <c r="K9576" s="10" t="s">
        <v>24</v>
      </c>
    </row>
    <row r="9577" spans="1:11" ht="54" customHeight="1">
      <c r="A9577" s="9" t="s">
        <v>19789</v>
      </c>
      <c r="B9577" s="9" t="s">
        <v>19789</v>
      </c>
      <c r="C9577" s="9" t="s">
        <v>17</v>
      </c>
      <c r="D9577" s="9" t="s">
        <v>18</v>
      </c>
      <c r="E9577" s="10" t="s">
        <v>1284</v>
      </c>
      <c r="F9577" s="9" t="s">
        <v>1285</v>
      </c>
      <c r="G9577" s="10" t="s">
        <v>21</v>
      </c>
      <c r="H9577" s="9" t="s">
        <v>22</v>
      </c>
      <c r="I9577" s="9" t="s">
        <v>20088</v>
      </c>
      <c r="J9577" s="10" t="str">
        <f>HYPERLINK("https://www.boe.es/gazeta/dias/1834/11/28/pdfs/GMD-1834-287.pdf#page=3","Abrir facsímil")</f>
        <v>Abrir facsímil</v>
      </c>
      <c r="K9577" s="10" t="s">
        <v>24</v>
      </c>
    </row>
    <row r="9578" spans="1:11" ht="54" customHeight="1">
      <c r="A9578" s="9" t="s">
        <v>19789</v>
      </c>
      <c r="B9578" s="9" t="s">
        <v>19789</v>
      </c>
      <c r="C9578" s="9" t="s">
        <v>17</v>
      </c>
      <c r="D9578" s="9" t="s">
        <v>18</v>
      </c>
      <c r="E9578" s="10" t="s">
        <v>468</v>
      </c>
      <c r="F9578" s="9" t="s">
        <v>11413</v>
      </c>
      <c r="G9578" s="10" t="s">
        <v>34</v>
      </c>
      <c r="H9578" s="9" t="s">
        <v>22</v>
      </c>
      <c r="I9578" s="9" t="s">
        <v>20089</v>
      </c>
      <c r="J9578" s="10" t="str">
        <f>HYPERLINK("https://www.boe.es/gazeta/dias/1834/12/28/pdfs/GMD-1834-318.pdf#page=1","Abrir facsímil")</f>
        <v>Abrir facsímil</v>
      </c>
      <c r="K9578" s="10" t="s">
        <v>24</v>
      </c>
    </row>
    <row r="9579" spans="1:11" ht="54" customHeight="1">
      <c r="A9579" s="9" t="s">
        <v>19789</v>
      </c>
      <c r="B9579" s="9" t="s">
        <v>19789</v>
      </c>
      <c r="C9579" s="9" t="s">
        <v>66</v>
      </c>
      <c r="D9579" s="9" t="s">
        <v>101</v>
      </c>
      <c r="E9579" s="10" t="s">
        <v>803</v>
      </c>
      <c r="F9579" s="9" t="s">
        <v>804</v>
      </c>
      <c r="G9579" s="10" t="s">
        <v>34</v>
      </c>
      <c r="H9579" s="9" t="s">
        <v>22</v>
      </c>
      <c r="I9579" s="9" t="s">
        <v>20090</v>
      </c>
      <c r="J9579" s="10" t="str">
        <f>HYPERLINK("https://www.boe.es/gazeta/dias/1834/03/29/pdfs/GMD-1834-39.pdf#page=1","Abrir facsímil")</f>
        <v>Abrir facsímil</v>
      </c>
      <c r="K9579" s="10" t="s">
        <v>24</v>
      </c>
    </row>
    <row r="9580" spans="1:11" ht="54" customHeight="1">
      <c r="A9580" s="9" t="s">
        <v>19789</v>
      </c>
      <c r="B9580" s="9" t="s">
        <v>19789</v>
      </c>
      <c r="C9580" s="9" t="s">
        <v>66</v>
      </c>
      <c r="D9580" s="9" t="s">
        <v>55</v>
      </c>
      <c r="E9580" s="10" t="s">
        <v>719</v>
      </c>
      <c r="F9580" s="9" t="s">
        <v>720</v>
      </c>
      <c r="G9580" s="10" t="s">
        <v>34</v>
      </c>
      <c r="H9580" s="9" t="s">
        <v>22</v>
      </c>
      <c r="I9580" s="9" t="s">
        <v>20091</v>
      </c>
      <c r="J9580" s="10" t="str">
        <f>HYPERLINK("https://www.boe.es/gazeta/dias/1834/04/29/pdfs/GMD-1834-68.pdf#page=1","Abrir facsímil")</f>
        <v>Abrir facsímil</v>
      </c>
      <c r="K9580" s="10" t="s">
        <v>24</v>
      </c>
    </row>
    <row r="9581" spans="1:11" ht="54" customHeight="1">
      <c r="A9581" s="9" t="s">
        <v>19789</v>
      </c>
      <c r="B9581" s="9" t="s">
        <v>19789</v>
      </c>
      <c r="C9581" s="9" t="s">
        <v>66</v>
      </c>
      <c r="D9581" s="9" t="s">
        <v>101</v>
      </c>
      <c r="E9581" s="10" t="s">
        <v>2945</v>
      </c>
      <c r="F9581" s="9" t="s">
        <v>2946</v>
      </c>
      <c r="G9581" s="10" t="s">
        <v>34</v>
      </c>
      <c r="H9581" s="9" t="s">
        <v>22</v>
      </c>
      <c r="I9581" s="9" t="s">
        <v>20092</v>
      </c>
      <c r="J9581" s="10" t="str">
        <f>HYPERLINK("https://www.boe.es/gazeta/dias/1834/05/29/pdfs/GMD-1834-98.pdf#page=1","Abrir facsímil")</f>
        <v>Abrir facsímil</v>
      </c>
      <c r="K9581" s="10" t="s">
        <v>24</v>
      </c>
    </row>
    <row r="9582" spans="1:11" ht="54" customHeight="1">
      <c r="A9582" s="9" t="s">
        <v>19789</v>
      </c>
      <c r="B9582" s="9" t="s">
        <v>19789</v>
      </c>
      <c r="C9582" s="9" t="s">
        <v>66</v>
      </c>
      <c r="D9582" s="9" t="s">
        <v>18</v>
      </c>
      <c r="E9582" s="10" t="s">
        <v>2945</v>
      </c>
      <c r="F9582" s="9" t="s">
        <v>2946</v>
      </c>
      <c r="G9582" s="10" t="s">
        <v>75</v>
      </c>
      <c r="H9582" s="9" t="s">
        <v>22</v>
      </c>
      <c r="I9582" s="9" t="s">
        <v>20093</v>
      </c>
      <c r="J9582" s="10" t="str">
        <f>HYPERLINK("https://www.boe.es/gazeta/dias/1834/05/29/pdfs/GMD-1834-98.pdf#page=4","Abrir facsímil")</f>
        <v>Abrir facsímil</v>
      </c>
      <c r="K9582" s="10" t="s">
        <v>24</v>
      </c>
    </row>
    <row r="9583" spans="1:11" ht="54" customHeight="1">
      <c r="A9583" s="9" t="s">
        <v>19789</v>
      </c>
      <c r="B9583" s="9" t="s">
        <v>19789</v>
      </c>
      <c r="C9583" s="9" t="s">
        <v>17</v>
      </c>
      <c r="D9583" s="9" t="s">
        <v>18</v>
      </c>
      <c r="E9583" s="10" t="s">
        <v>1747</v>
      </c>
      <c r="F9583" s="9" t="s">
        <v>1748</v>
      </c>
      <c r="G9583" s="10" t="s">
        <v>34</v>
      </c>
      <c r="H9583" s="9" t="s">
        <v>22</v>
      </c>
      <c r="I9583" s="9" t="s">
        <v>20094</v>
      </c>
      <c r="J9583" s="10" t="str">
        <f>HYPERLINK("https://www.boe.es/gazeta/dias/1834/06/29/pdfs/GMD-1834-132.pdf#page=1","Abrir facsímil")</f>
        <v>Abrir facsímil</v>
      </c>
      <c r="K9583" s="10" t="s">
        <v>24</v>
      </c>
    </row>
    <row r="9584" spans="1:11" ht="54" customHeight="1">
      <c r="A9584" s="9" t="s">
        <v>19789</v>
      </c>
      <c r="B9584" s="9" t="s">
        <v>19789</v>
      </c>
      <c r="C9584" s="9" t="s">
        <v>66</v>
      </c>
      <c r="D9584" s="9" t="s">
        <v>67</v>
      </c>
      <c r="E9584" s="10" t="s">
        <v>1692</v>
      </c>
      <c r="F9584" s="9" t="s">
        <v>1693</v>
      </c>
      <c r="G9584" s="10" t="s">
        <v>34</v>
      </c>
      <c r="H9584" s="9" t="s">
        <v>22</v>
      </c>
      <c r="I9584" s="9" t="s">
        <v>20095</v>
      </c>
      <c r="J9584" s="10" t="str">
        <f>HYPERLINK("https://www.boe.es/gazeta/dias/1834/07/29/pdfs/GMD-1834-162.pdf#page=1","Abrir facsímil")</f>
        <v>Abrir facsímil</v>
      </c>
      <c r="K9584" s="10" t="s">
        <v>24</v>
      </c>
    </row>
    <row r="9585" spans="1:11" ht="54" customHeight="1">
      <c r="A9585" s="9" t="s">
        <v>19789</v>
      </c>
      <c r="B9585" s="9" t="s">
        <v>19789</v>
      </c>
      <c r="C9585" s="9" t="s">
        <v>66</v>
      </c>
      <c r="D9585" s="9" t="s">
        <v>18</v>
      </c>
      <c r="E9585" s="10" t="s">
        <v>777</v>
      </c>
      <c r="F9585" s="9" t="s">
        <v>778</v>
      </c>
      <c r="G9585" s="10" t="s">
        <v>34</v>
      </c>
      <c r="H9585" s="9" t="s">
        <v>22</v>
      </c>
      <c r="I9585" s="9" t="s">
        <v>20096</v>
      </c>
      <c r="J9585" s="10" t="str">
        <f>HYPERLINK("https://www.boe.es/gazeta/dias/1834/10/29/pdfs/GMD-1834-257.pdf#page=1","Abrir facsímil")</f>
        <v>Abrir facsímil</v>
      </c>
      <c r="K9585" s="10" t="s">
        <v>24</v>
      </c>
    </row>
    <row r="9586" spans="1:11" ht="54" customHeight="1">
      <c r="A9586" s="9" t="s">
        <v>19789</v>
      </c>
      <c r="B9586" s="9" t="s">
        <v>19789</v>
      </c>
      <c r="C9586" s="9" t="s">
        <v>17</v>
      </c>
      <c r="D9586" s="9" t="s">
        <v>18</v>
      </c>
      <c r="E9586" s="10" t="s">
        <v>899</v>
      </c>
      <c r="F9586" s="9" t="s">
        <v>900</v>
      </c>
      <c r="G9586" s="10" t="s">
        <v>86</v>
      </c>
      <c r="H9586" s="9" t="s">
        <v>22</v>
      </c>
      <c r="I9586" s="9" t="s">
        <v>20097</v>
      </c>
      <c r="J9586" s="10" t="str">
        <f>HYPERLINK("https://www.boe.es/gazeta/dias/1834/01/30/pdfs/GMD-1834-14.pdf#page=2","Abrir facsímil")</f>
        <v>Abrir facsímil</v>
      </c>
      <c r="K9586" s="10" t="s">
        <v>24</v>
      </c>
    </row>
    <row r="9587" spans="1:11" ht="54" customHeight="1">
      <c r="A9587" s="9" t="s">
        <v>19789</v>
      </c>
      <c r="B9587" s="9" t="s">
        <v>19789</v>
      </c>
      <c r="C9587" s="9" t="s">
        <v>90</v>
      </c>
      <c r="D9587" s="9" t="s">
        <v>18</v>
      </c>
      <c r="E9587" s="10" t="s">
        <v>899</v>
      </c>
      <c r="F9587" s="9" t="s">
        <v>900</v>
      </c>
      <c r="G9587" s="10" t="s">
        <v>21</v>
      </c>
      <c r="H9587" s="9" t="s">
        <v>22</v>
      </c>
      <c r="I9587" s="9" t="s">
        <v>20098</v>
      </c>
      <c r="J9587" s="10" t="str">
        <f>HYPERLINK("https://www.boe.es/gazeta/dias/1834/01/30/pdfs/GMD-1834-14.pdf#page=3","Abrir facsímil")</f>
        <v>Abrir facsímil</v>
      </c>
      <c r="K9587" s="10" t="s">
        <v>24</v>
      </c>
    </row>
    <row r="9588" spans="1:11" ht="54" customHeight="1">
      <c r="A9588" s="9" t="s">
        <v>19789</v>
      </c>
      <c r="B9588" s="9" t="s">
        <v>19789</v>
      </c>
      <c r="C9588" s="9" t="s">
        <v>17</v>
      </c>
      <c r="D9588" s="9" t="s">
        <v>40</v>
      </c>
      <c r="E9588" s="10" t="s">
        <v>899</v>
      </c>
      <c r="F9588" s="9" t="s">
        <v>900</v>
      </c>
      <c r="G9588" s="10" t="s">
        <v>28</v>
      </c>
      <c r="H9588" s="9" t="s">
        <v>22</v>
      </c>
      <c r="I9588" s="9" t="s">
        <v>20099</v>
      </c>
      <c r="J9588" s="10" t="str">
        <f>HYPERLINK("https://www.boe.es/gazeta/dias/1834/01/30/pdfs/GMD-1834-14.pdf#page=5","Abrir facsímil")</f>
        <v>Abrir facsímil</v>
      </c>
      <c r="K9588" s="10" t="s">
        <v>24</v>
      </c>
    </row>
    <row r="9589" spans="1:11" ht="54" customHeight="1">
      <c r="A9589" s="9" t="s">
        <v>19789</v>
      </c>
      <c r="B9589" s="9" t="s">
        <v>19789</v>
      </c>
      <c r="C9589" s="9" t="s">
        <v>17</v>
      </c>
      <c r="D9589" s="9" t="s">
        <v>101</v>
      </c>
      <c r="E9589" s="10" t="s">
        <v>899</v>
      </c>
      <c r="F9589" s="9" t="s">
        <v>900</v>
      </c>
      <c r="G9589" s="10" t="s">
        <v>176</v>
      </c>
      <c r="H9589" s="9" t="s">
        <v>22</v>
      </c>
      <c r="I9589" s="9" t="s">
        <v>20100</v>
      </c>
      <c r="J9589" s="10" t="str">
        <f>HYPERLINK("https://www.boe.es/gazeta/dias/1834/01/30/pdfs/GMD-1834-14.pdf#page=6","Abrir facsímil")</f>
        <v>Abrir facsímil</v>
      </c>
      <c r="K9589" s="10" t="s">
        <v>24</v>
      </c>
    </row>
    <row r="9590" spans="1:11" ht="54" customHeight="1">
      <c r="A9590" s="9" t="s">
        <v>19789</v>
      </c>
      <c r="B9590" s="9" t="s">
        <v>19789</v>
      </c>
      <c r="C9590" s="9" t="s">
        <v>17</v>
      </c>
      <c r="D9590" s="9" t="s">
        <v>18</v>
      </c>
      <c r="E9590" s="10" t="s">
        <v>899</v>
      </c>
      <c r="F9590" s="9" t="s">
        <v>900</v>
      </c>
      <c r="G9590" s="10" t="s">
        <v>560</v>
      </c>
      <c r="H9590" s="9" t="s">
        <v>22</v>
      </c>
      <c r="I9590" s="9" t="s">
        <v>20101</v>
      </c>
      <c r="J9590" s="10" t="str">
        <f>HYPERLINK("https://www.boe.es/gazeta/dias/1834/01/30/pdfs/GMD-1834-14.pdf#page=7","Abrir facsímil")</f>
        <v>Abrir facsímil</v>
      </c>
      <c r="K9590" s="10" t="s">
        <v>24</v>
      </c>
    </row>
    <row r="9591" spans="1:11" ht="54" customHeight="1">
      <c r="A9591" s="9" t="s">
        <v>19789</v>
      </c>
      <c r="B9591" s="9" t="s">
        <v>19789</v>
      </c>
      <c r="C9591" s="9" t="s">
        <v>66</v>
      </c>
      <c r="D9591" s="9" t="s">
        <v>18</v>
      </c>
      <c r="E9591" s="10" t="s">
        <v>1141</v>
      </c>
      <c r="F9591" s="9" t="s">
        <v>1142</v>
      </c>
      <c r="G9591" s="10" t="s">
        <v>34</v>
      </c>
      <c r="H9591" s="9" t="s">
        <v>22</v>
      </c>
      <c r="I9591" s="9" t="s">
        <v>20102</v>
      </c>
      <c r="J9591" s="10" t="str">
        <f>HYPERLINK("https://www.boe.es/gazeta/dias/1834/04/30/pdfs/GMD-1834-69.pdf#page=1","Abrir facsímil")</f>
        <v>Abrir facsímil</v>
      </c>
      <c r="K9591" s="10" t="s">
        <v>24</v>
      </c>
    </row>
    <row r="9592" spans="1:11" ht="54" customHeight="1">
      <c r="A9592" s="9" t="s">
        <v>19789</v>
      </c>
      <c r="B9592" s="9" t="s">
        <v>19789</v>
      </c>
      <c r="C9592" s="9" t="s">
        <v>17</v>
      </c>
      <c r="D9592" s="9" t="s">
        <v>18</v>
      </c>
      <c r="E9592" s="10" t="s">
        <v>1141</v>
      </c>
      <c r="F9592" s="9" t="s">
        <v>1142</v>
      </c>
      <c r="G9592" s="10" t="s">
        <v>75</v>
      </c>
      <c r="H9592" s="9" t="s">
        <v>22</v>
      </c>
      <c r="I9592" s="9" t="s">
        <v>20103</v>
      </c>
      <c r="J9592" s="10" t="str">
        <f>HYPERLINK("https://www.boe.es/gazeta/dias/1834/04/30/pdfs/GMD-1834-69.pdf#page=4","Abrir facsímil")</f>
        <v>Abrir facsímil</v>
      </c>
      <c r="K9592" s="10" t="s">
        <v>24</v>
      </c>
    </row>
    <row r="9593" spans="1:11" ht="54" customHeight="1">
      <c r="A9593" s="9" t="s">
        <v>19789</v>
      </c>
      <c r="B9593" s="9" t="s">
        <v>19789</v>
      </c>
      <c r="C9593" s="9" t="s">
        <v>66</v>
      </c>
      <c r="D9593" s="9" t="s">
        <v>55</v>
      </c>
      <c r="E9593" s="10" t="s">
        <v>309</v>
      </c>
      <c r="F9593" s="9" t="s">
        <v>310</v>
      </c>
      <c r="G9593" s="10" t="s">
        <v>34</v>
      </c>
      <c r="H9593" s="9" t="s">
        <v>22</v>
      </c>
      <c r="I9593" s="9" t="s">
        <v>20104</v>
      </c>
      <c r="J9593" s="10" t="str">
        <f>HYPERLINK("https://www.boe.es/gazeta/dias/1834/05/30/pdfs/GMD-1834-99.pdf#page=1","Abrir facsímil")</f>
        <v>Abrir facsímil</v>
      </c>
      <c r="K9593" s="10" t="s">
        <v>24</v>
      </c>
    </row>
    <row r="9594" spans="1:11" ht="54" customHeight="1">
      <c r="A9594" s="9" t="s">
        <v>19789</v>
      </c>
      <c r="B9594" s="9" t="s">
        <v>19789</v>
      </c>
      <c r="C9594" s="9" t="s">
        <v>46</v>
      </c>
      <c r="D9594" s="9" t="s">
        <v>55</v>
      </c>
      <c r="E9594" s="10" t="s">
        <v>1695</v>
      </c>
      <c r="F9594" s="9" t="s">
        <v>1696</v>
      </c>
      <c r="G9594" s="10" t="s">
        <v>34</v>
      </c>
      <c r="H9594" s="9" t="s">
        <v>22</v>
      </c>
      <c r="I9594" s="9" t="s">
        <v>20105</v>
      </c>
      <c r="J9594" s="10" t="str">
        <f>HYPERLINK("https://www.boe.es/gazeta/dias/1834/06/30/pdfs/GMD-1834-133.pdf#page=1","Abrir facsímil")</f>
        <v>Abrir facsímil</v>
      </c>
      <c r="K9594" s="10" t="s">
        <v>24</v>
      </c>
    </row>
    <row r="9595" spans="1:11" ht="54" customHeight="1">
      <c r="A9595" s="9" t="s">
        <v>19789</v>
      </c>
      <c r="B9595" s="9" t="s">
        <v>19789</v>
      </c>
      <c r="C9595" s="9" t="s">
        <v>66</v>
      </c>
      <c r="D9595" s="9" t="s">
        <v>67</v>
      </c>
      <c r="E9595" s="10" t="s">
        <v>552</v>
      </c>
      <c r="F9595" s="9" t="s">
        <v>553</v>
      </c>
      <c r="G9595" s="10" t="s">
        <v>34</v>
      </c>
      <c r="H9595" s="9" t="s">
        <v>22</v>
      </c>
      <c r="I9595" s="9" t="s">
        <v>20106</v>
      </c>
      <c r="J9595" s="10" t="str">
        <f>HYPERLINK("https://www.boe.es/gazeta/dias/1834/07/30/pdfs/GMD-1834-163.pdf#page=1","Abrir facsímil")</f>
        <v>Abrir facsímil</v>
      </c>
      <c r="K9595" s="10" t="s">
        <v>24</v>
      </c>
    </row>
    <row r="9596" spans="1:11" ht="54" customHeight="1">
      <c r="A9596" s="9" t="s">
        <v>19789</v>
      </c>
      <c r="B9596" s="9" t="s">
        <v>19789</v>
      </c>
      <c r="C9596" s="9" t="s">
        <v>90</v>
      </c>
      <c r="D9596" s="9" t="s">
        <v>18</v>
      </c>
      <c r="E9596" s="10" t="s">
        <v>1789</v>
      </c>
      <c r="F9596" s="9" t="s">
        <v>1790</v>
      </c>
      <c r="G9596" s="10" t="s">
        <v>34</v>
      </c>
      <c r="H9596" s="9" t="s">
        <v>22</v>
      </c>
      <c r="I9596" s="9" t="s">
        <v>20107</v>
      </c>
      <c r="J9596" s="10" t="str">
        <f>HYPERLINK("https://www.boe.es/gazeta/dias/1834/05/31/pdfs/GMD-1834-100.pdf#page=1","Abrir facsímil")</f>
        <v>Abrir facsímil</v>
      </c>
      <c r="K9596" s="10" t="s">
        <v>24</v>
      </c>
    </row>
    <row r="9597" spans="1:11" ht="54" customHeight="1">
      <c r="A9597" s="9" t="s">
        <v>19789</v>
      </c>
      <c r="B9597" s="9" t="s">
        <v>19789</v>
      </c>
      <c r="C9597" s="9" t="s">
        <v>66</v>
      </c>
      <c r="D9597" s="9" t="s">
        <v>101</v>
      </c>
      <c r="E9597" s="10" t="s">
        <v>143</v>
      </c>
      <c r="F9597" s="9" t="s">
        <v>144</v>
      </c>
      <c r="G9597" s="10" t="s">
        <v>34</v>
      </c>
      <c r="H9597" s="9" t="s">
        <v>22</v>
      </c>
      <c r="I9597" s="9" t="s">
        <v>20108</v>
      </c>
      <c r="J9597" s="10" t="str">
        <f>HYPERLINK("https://www.boe.es/gazeta/dias/1834/07/31/pdfs/GMD-1834-164.pdf#page=1","Abrir facsímil")</f>
        <v>Abrir facsímil</v>
      </c>
      <c r="K9597" s="10" t="s">
        <v>24</v>
      </c>
    </row>
    <row r="9598" spans="1:11" ht="54" customHeight="1">
      <c r="A9598" s="9" t="s">
        <v>19789</v>
      </c>
      <c r="B9598" s="9" t="s">
        <v>19789</v>
      </c>
      <c r="C9598" s="9" t="s">
        <v>66</v>
      </c>
      <c r="D9598" s="9" t="s">
        <v>18</v>
      </c>
      <c r="E9598" s="10" t="s">
        <v>273</v>
      </c>
      <c r="F9598" s="9" t="s">
        <v>413</v>
      </c>
      <c r="G9598" s="10" t="s">
        <v>34</v>
      </c>
      <c r="H9598" s="9" t="s">
        <v>22</v>
      </c>
      <c r="I9598" s="9" t="s">
        <v>20109</v>
      </c>
      <c r="J9598" s="10" t="str">
        <f>HYPERLINK("https://www.boe.es/gazeta/dias/1834/08/31/pdfs/GMD-1834-198.pdf#page=1","Abrir facsímil")</f>
        <v>Abrir facsímil</v>
      </c>
      <c r="K9598" s="10" t="s">
        <v>24</v>
      </c>
    </row>
    <row r="9599" spans="1:11" ht="54" customHeight="1">
      <c r="A9599" s="9" t="s">
        <v>19789</v>
      </c>
      <c r="B9599" s="9" t="s">
        <v>19789</v>
      </c>
      <c r="C9599" s="9" t="s">
        <v>17</v>
      </c>
      <c r="D9599" s="9" t="s">
        <v>18</v>
      </c>
      <c r="E9599" s="10" t="s">
        <v>192</v>
      </c>
      <c r="F9599" s="9" t="s">
        <v>193</v>
      </c>
      <c r="G9599" s="10" t="s">
        <v>34</v>
      </c>
      <c r="H9599" s="9" t="s">
        <v>22</v>
      </c>
      <c r="I9599" s="9" t="s">
        <v>20110</v>
      </c>
      <c r="J9599" s="10" t="str">
        <f>HYPERLINK("https://www.boe.es/gazeta/dias/1834/12/31/pdfs/GMD-1834-321.pdf#page=1","Abrir facsímil")</f>
        <v>Abrir facsímil</v>
      </c>
      <c r="K9599" s="10" t="s">
        <v>24</v>
      </c>
    </row>
    <row r="9600" spans="1:11" ht="54" customHeight="1">
      <c r="A9600" s="9" t="s">
        <v>19789</v>
      </c>
      <c r="B9600" s="9" t="s">
        <v>19789</v>
      </c>
      <c r="C9600" s="9" t="s">
        <v>90</v>
      </c>
      <c r="D9600" s="9" t="s">
        <v>67</v>
      </c>
      <c r="E9600" s="10" t="s">
        <v>192</v>
      </c>
      <c r="F9600" s="9" t="s">
        <v>2713</v>
      </c>
      <c r="G9600" s="10" t="s">
        <v>34</v>
      </c>
      <c r="H9600" s="9" t="s">
        <v>22</v>
      </c>
      <c r="I9600" s="9" t="s">
        <v>20111</v>
      </c>
      <c r="J9600" s="10" t="str">
        <f>HYPERLINK("https://www.boe.es/gazeta/dias/1834/12/31/pdfs/GMD-D-1834-321.pdf#page=1","Abrir facsímil")</f>
        <v>Abrir facsímil</v>
      </c>
      <c r="K9600" s="10" t="s">
        <v>24</v>
      </c>
    </row>
    <row r="9601" spans="1:11" ht="54" customHeight="1">
      <c r="A9601" s="9" t="s">
        <v>19789</v>
      </c>
      <c r="B9601" s="9" t="s">
        <v>19789</v>
      </c>
      <c r="C9601" s="9" t="s">
        <v>66</v>
      </c>
      <c r="D9601" s="9" t="s">
        <v>18</v>
      </c>
      <c r="E9601" s="10" t="s">
        <v>192</v>
      </c>
      <c r="F9601" s="9" t="s">
        <v>2713</v>
      </c>
      <c r="G9601" s="10" t="s">
        <v>86</v>
      </c>
      <c r="H9601" s="9" t="s">
        <v>22</v>
      </c>
      <c r="I9601" s="9" t="s">
        <v>20112</v>
      </c>
      <c r="J9601" s="10" t="str">
        <f>HYPERLINK("https://www.boe.es/gazeta/dias/1834/12/31/pdfs/GMD-C-1834-321.pdf#page=2","Abrir facsímil")</f>
        <v>Abrir facsímil</v>
      </c>
      <c r="K9601" s="10" t="s">
        <v>24</v>
      </c>
    </row>
    <row r="9602" spans="1:11" ht="54" customHeight="1">
      <c r="A9602" s="9" t="s">
        <v>20113</v>
      </c>
      <c r="B9602" s="9" t="s">
        <v>20114</v>
      </c>
      <c r="C9602" s="9" t="s">
        <v>17</v>
      </c>
      <c r="D9602" s="9" t="s">
        <v>18</v>
      </c>
      <c r="E9602" s="10" t="s">
        <v>1273</v>
      </c>
      <c r="F9602" s="9" t="s">
        <v>1274</v>
      </c>
      <c r="G9602" s="10" t="s">
        <v>21</v>
      </c>
      <c r="H9602" s="9" t="s">
        <v>22</v>
      </c>
      <c r="I9602" s="9" t="s">
        <v>20115</v>
      </c>
      <c r="J9602" s="10" t="str">
        <f>HYPERLINK("https://www.boe.es/gazeta/dias/1834/05/14/pdfs/GMD-1834-83.pdf#page=3","Abrir facsímil")</f>
        <v>Abrir facsímil</v>
      </c>
      <c r="K9602" s="10" t="s">
        <v>24</v>
      </c>
    </row>
    <row r="9603" spans="1:11" ht="54" customHeight="1">
      <c r="A9603" s="9" t="s">
        <v>20116</v>
      </c>
      <c r="B9603" s="9" t="s">
        <v>20117</v>
      </c>
      <c r="C9603" s="9" t="s">
        <v>17</v>
      </c>
      <c r="D9603" s="9" t="s">
        <v>18</v>
      </c>
      <c r="E9603" s="10" t="s">
        <v>1262</v>
      </c>
      <c r="F9603" s="9" t="s">
        <v>1263</v>
      </c>
      <c r="G9603" s="10" t="s">
        <v>75</v>
      </c>
      <c r="H9603" s="9" t="s">
        <v>22</v>
      </c>
      <c r="I9603" s="9" t="s">
        <v>20118</v>
      </c>
      <c r="J9603" s="10" t="str">
        <f>HYPERLINK("https://www.boe.es/gazeta/dias/1834/02/01/pdfs/GMD-1834-15.pdf#page=4","Abrir facsímil")</f>
        <v>Abrir facsímil</v>
      </c>
      <c r="K9603" s="10" t="s">
        <v>24</v>
      </c>
    </row>
    <row r="9604" spans="1:11" ht="54" customHeight="1">
      <c r="A9604" s="9" t="s">
        <v>20119</v>
      </c>
      <c r="B9604" s="9" t="s">
        <v>20120</v>
      </c>
      <c r="C9604" s="9" t="s">
        <v>46</v>
      </c>
      <c r="D9604" s="9" t="s">
        <v>18</v>
      </c>
      <c r="E9604" s="10" t="s">
        <v>2087</v>
      </c>
      <c r="F9604" s="9" t="s">
        <v>2267</v>
      </c>
      <c r="G9604" s="10" t="s">
        <v>560</v>
      </c>
      <c r="H9604" s="9" t="s">
        <v>22</v>
      </c>
      <c r="I9604" s="9" t="s">
        <v>20121</v>
      </c>
      <c r="J9604" s="10" t="str">
        <f>HYPERLINK("https://www.boe.es/gazeta/dias/1834/12/14/pdfs/GMD-C-1834-303.pdf#page=7","Abrir facsímil")</f>
        <v>Abrir facsímil</v>
      </c>
      <c r="K9604" s="10" t="s">
        <v>24</v>
      </c>
    </row>
    <row r="9605" spans="1:11" ht="54" customHeight="1">
      <c r="A9605" s="9" t="s">
        <v>20119</v>
      </c>
      <c r="B9605" s="9" t="s">
        <v>20120</v>
      </c>
      <c r="C9605" s="9" t="s">
        <v>46</v>
      </c>
      <c r="D9605" s="9" t="s">
        <v>101</v>
      </c>
      <c r="E9605" s="10" t="s">
        <v>899</v>
      </c>
      <c r="F9605" s="9" t="s">
        <v>900</v>
      </c>
      <c r="G9605" s="10" t="s">
        <v>176</v>
      </c>
      <c r="H9605" s="9" t="s">
        <v>22</v>
      </c>
      <c r="I9605" s="9" t="s">
        <v>20122</v>
      </c>
      <c r="J9605" s="10" t="str">
        <f>HYPERLINK("https://www.boe.es/gazeta/dias/1834/01/30/pdfs/GMD-1834-14.pdf#page=6","Abrir facsímil")</f>
        <v>Abrir facsímil</v>
      </c>
      <c r="K9605" s="10" t="s">
        <v>24</v>
      </c>
    </row>
    <row r="9606" spans="1:11" ht="54" customHeight="1">
      <c r="A9606" s="9" t="s">
        <v>20123</v>
      </c>
      <c r="B9606" s="9" t="s">
        <v>20124</v>
      </c>
      <c r="C9606" s="9" t="s">
        <v>46</v>
      </c>
      <c r="D9606" s="9" t="s">
        <v>101</v>
      </c>
      <c r="E9606" s="10" t="s">
        <v>268</v>
      </c>
      <c r="F9606" s="9" t="s">
        <v>269</v>
      </c>
      <c r="G9606" s="10" t="s">
        <v>86</v>
      </c>
      <c r="H9606" s="9" t="s">
        <v>22</v>
      </c>
      <c r="I9606" s="9" t="s">
        <v>20125</v>
      </c>
      <c r="J9606" s="10" t="str">
        <f>HYPERLINK("https://www.boe.es/gazeta/dias/1834/12/19/pdfs/GMD-C-1834-309.pdf#page=2","Abrir facsímil")</f>
        <v>Abrir facsímil</v>
      </c>
      <c r="K9606" s="10" t="s">
        <v>24</v>
      </c>
    </row>
    <row r="9607" spans="1:11" ht="54" customHeight="1">
      <c r="A9607" s="9" t="s">
        <v>20126</v>
      </c>
      <c r="B9607" s="9" t="s">
        <v>20127</v>
      </c>
      <c r="C9607" s="9" t="s">
        <v>857</v>
      </c>
      <c r="D9607" s="9" t="s">
        <v>18</v>
      </c>
      <c r="E9607" s="10" t="s">
        <v>304</v>
      </c>
      <c r="F9607" s="9" t="s">
        <v>305</v>
      </c>
      <c r="G9607" s="10" t="s">
        <v>86</v>
      </c>
      <c r="H9607" s="9" t="s">
        <v>22</v>
      </c>
      <c r="I9607" s="9" t="s">
        <v>20128</v>
      </c>
      <c r="J9607" s="10" t="str">
        <f>HYPERLINK("https://www.boe.es/gazeta/dias/1834/01/21/pdfs/GMD-1834-10.pdf#page=2","Abrir facsímil")</f>
        <v>Abrir facsímil</v>
      </c>
      <c r="K9607" s="10" t="s">
        <v>24</v>
      </c>
    </row>
    <row r="9608" spans="1:11" ht="54" customHeight="1">
      <c r="A9608" s="9" t="s">
        <v>20129</v>
      </c>
      <c r="B9608" s="9" t="s">
        <v>20130</v>
      </c>
      <c r="C9608" s="9" t="s">
        <v>17</v>
      </c>
      <c r="D9608" s="9" t="s">
        <v>101</v>
      </c>
      <c r="E9608" s="10" t="s">
        <v>1922</v>
      </c>
      <c r="F9608" s="9" t="s">
        <v>1923</v>
      </c>
      <c r="G9608" s="10" t="s">
        <v>34</v>
      </c>
      <c r="H9608" s="9" t="s">
        <v>22</v>
      </c>
      <c r="I9608" s="9" t="s">
        <v>20131</v>
      </c>
      <c r="J9608" s="10" t="str">
        <f>HYPERLINK("https://www.boe.es/gazeta/dias/1834/02/25/pdfs/GMD-1834-25.pdf#page=1","Abrir facsímil")</f>
        <v>Abrir facsímil</v>
      </c>
      <c r="K9608" s="10" t="s">
        <v>24</v>
      </c>
    </row>
    <row r="9609" spans="1:11" ht="54" customHeight="1">
      <c r="A9609" s="9" t="s">
        <v>20132</v>
      </c>
      <c r="B9609" s="9" t="s">
        <v>20133</v>
      </c>
      <c r="C9609" s="9" t="s">
        <v>17</v>
      </c>
      <c r="D9609" s="9" t="s">
        <v>18</v>
      </c>
      <c r="E9609" s="10" t="s">
        <v>258</v>
      </c>
      <c r="F9609" s="9" t="s">
        <v>259</v>
      </c>
      <c r="G9609" s="10" t="s">
        <v>75</v>
      </c>
      <c r="H9609" s="9" t="s">
        <v>22</v>
      </c>
      <c r="I9609" s="9" t="s">
        <v>20134</v>
      </c>
      <c r="J9609" s="10" t="str">
        <f>HYPERLINK("https://www.boe.es/gazeta/dias/1834/10/09/pdfs/GMD-C-1834-237.pdf#page=4","Abrir facsímil")</f>
        <v>Abrir facsímil</v>
      </c>
      <c r="K9609" s="10" t="s">
        <v>24</v>
      </c>
    </row>
    <row r="9610" spans="1:11" ht="54" customHeight="1">
      <c r="A9610" s="9" t="s">
        <v>20135</v>
      </c>
      <c r="B9610" s="9" t="s">
        <v>20136</v>
      </c>
      <c r="C9610" s="9" t="s">
        <v>17</v>
      </c>
      <c r="D9610" s="9" t="s">
        <v>18</v>
      </c>
      <c r="E9610" s="10" t="s">
        <v>2087</v>
      </c>
      <c r="F9610" s="9" t="s">
        <v>2267</v>
      </c>
      <c r="G9610" s="10" t="s">
        <v>1343</v>
      </c>
      <c r="H9610" s="9" t="s">
        <v>22</v>
      </c>
      <c r="I9610" s="9" t="s">
        <v>20137</v>
      </c>
      <c r="J9610" s="10" t="str">
        <f>HYPERLINK("https://www.boe.es/gazeta/dias/1834/12/14/pdfs/GMD-C-1834-303.pdf#page=9","Abrir facsímil")</f>
        <v>Abrir facsímil</v>
      </c>
      <c r="K9610" s="10" t="s">
        <v>24</v>
      </c>
    </row>
    <row r="9611" spans="1:11" ht="54" customHeight="1">
      <c r="A9611" s="9" t="s">
        <v>20138</v>
      </c>
      <c r="B9611" s="9" t="s">
        <v>20139</v>
      </c>
      <c r="C9611" s="9" t="s">
        <v>17</v>
      </c>
      <c r="D9611" s="9" t="s">
        <v>55</v>
      </c>
      <c r="E9611" s="10" t="s">
        <v>79</v>
      </c>
      <c r="F9611" s="9" t="s">
        <v>80</v>
      </c>
      <c r="G9611" s="10" t="s">
        <v>21</v>
      </c>
      <c r="H9611" s="9" t="s">
        <v>22</v>
      </c>
      <c r="I9611" s="9" t="s">
        <v>20140</v>
      </c>
      <c r="J9611" s="10" t="str">
        <f>HYPERLINK("https://www.boe.es/gazeta/dias/1834/07/12/pdfs/GMD-1834-145.pdf#page=3","Abrir facsímil")</f>
        <v>Abrir facsímil</v>
      </c>
      <c r="K9611" s="10" t="s">
        <v>24</v>
      </c>
    </row>
    <row r="9612" spans="1:11" ht="54" customHeight="1">
      <c r="A9612" s="9" t="s">
        <v>20141</v>
      </c>
      <c r="B9612" s="9" t="s">
        <v>20142</v>
      </c>
      <c r="C9612" s="9" t="s">
        <v>17</v>
      </c>
      <c r="D9612" s="9" t="s">
        <v>18</v>
      </c>
      <c r="E9612" s="10" t="s">
        <v>10172</v>
      </c>
      <c r="F9612" s="9" t="s">
        <v>10173</v>
      </c>
      <c r="G9612" s="10" t="s">
        <v>75</v>
      </c>
      <c r="H9612" s="9" t="s">
        <v>22</v>
      </c>
      <c r="I9612" s="9" t="s">
        <v>20143</v>
      </c>
      <c r="J9612" s="10" t="str">
        <f>HYPERLINK("https://www.boe.es/gazeta/dias/1834/06/15/pdfs/GMD-1834-118.pdf#page=4","Abrir facsímil")</f>
        <v>Abrir facsímil</v>
      </c>
      <c r="K9612" s="10" t="s">
        <v>24</v>
      </c>
    </row>
    <row r="9613" spans="1:11" ht="54" customHeight="1">
      <c r="A9613" s="9" t="s">
        <v>20144</v>
      </c>
      <c r="B9613" s="9" t="s">
        <v>20145</v>
      </c>
      <c r="C9613" s="9" t="s">
        <v>17</v>
      </c>
      <c r="D9613" s="9" t="s">
        <v>18</v>
      </c>
      <c r="E9613" s="10" t="s">
        <v>243</v>
      </c>
      <c r="F9613" s="9" t="s">
        <v>244</v>
      </c>
      <c r="G9613" s="10" t="s">
        <v>34</v>
      </c>
      <c r="H9613" s="9" t="s">
        <v>22</v>
      </c>
      <c r="I9613" s="9" t="s">
        <v>20146</v>
      </c>
      <c r="J9613" s="10" t="str">
        <f>HYPERLINK("https://www.boe.es/gazeta/dias/1834/08/05/pdfs/GMD-C-1834-169.pdf#page=1","Abrir facsímil")</f>
        <v>Abrir facsímil</v>
      </c>
      <c r="K9613" s="10" t="s">
        <v>24</v>
      </c>
    </row>
    <row r="9614" spans="1:11" ht="54" customHeight="1">
      <c r="A9614" s="9" t="s">
        <v>20144</v>
      </c>
      <c r="B9614" s="9" t="s">
        <v>20145</v>
      </c>
      <c r="C9614" s="9" t="s">
        <v>66</v>
      </c>
      <c r="D9614" s="9" t="s">
        <v>55</v>
      </c>
      <c r="E9614" s="10" t="s">
        <v>939</v>
      </c>
      <c r="F9614" s="9" t="s">
        <v>940</v>
      </c>
      <c r="G9614" s="10" t="s">
        <v>34</v>
      </c>
      <c r="H9614" s="9" t="s">
        <v>22</v>
      </c>
      <c r="I9614" s="9" t="s">
        <v>20147</v>
      </c>
      <c r="J9614" s="10" t="str">
        <f>HYPERLINK("https://www.boe.es/gazeta/dias/1834/06/10/pdfs/GMD-1834-113.pdf#page=1","Abrir facsímil")</f>
        <v>Abrir facsímil</v>
      </c>
      <c r="K9614" s="10" t="s">
        <v>24</v>
      </c>
    </row>
    <row r="9615" spans="1:11" ht="54" customHeight="1">
      <c r="A9615" s="9" t="s">
        <v>20144</v>
      </c>
      <c r="B9615" s="9" t="s">
        <v>20145</v>
      </c>
      <c r="C9615" s="9" t="s">
        <v>17</v>
      </c>
      <c r="D9615" s="9" t="s">
        <v>18</v>
      </c>
      <c r="E9615" s="10" t="s">
        <v>41</v>
      </c>
      <c r="F9615" s="9" t="s">
        <v>42</v>
      </c>
      <c r="G9615" s="10" t="s">
        <v>75</v>
      </c>
      <c r="H9615" s="9" t="s">
        <v>22</v>
      </c>
      <c r="I9615" s="9" t="s">
        <v>20148</v>
      </c>
      <c r="J9615" s="10" t="str">
        <f>HYPERLINK("https://www.boe.es/gazeta/dias/1834/06/11/pdfs/GMD-1834-114.pdf#page=4","Abrir facsímil")</f>
        <v>Abrir facsímil</v>
      </c>
      <c r="K9615" s="10" t="s">
        <v>24</v>
      </c>
    </row>
    <row r="9616" spans="1:11" ht="54" customHeight="1">
      <c r="A9616" s="9" t="s">
        <v>20144</v>
      </c>
      <c r="B9616" s="9" t="s">
        <v>20145</v>
      </c>
      <c r="C9616" s="9" t="s">
        <v>46</v>
      </c>
      <c r="D9616" s="9" t="s">
        <v>101</v>
      </c>
      <c r="E9616" s="10" t="s">
        <v>912</v>
      </c>
      <c r="F9616" s="9" t="s">
        <v>913</v>
      </c>
      <c r="G9616" s="10" t="s">
        <v>28</v>
      </c>
      <c r="H9616" s="9" t="s">
        <v>22</v>
      </c>
      <c r="I9616" s="9" t="s">
        <v>20149</v>
      </c>
      <c r="J9616" s="10" t="str">
        <f>HYPERLINK("https://www.boe.es/gazeta/dias/1834/02/15/pdfs/GMD-1834-21.pdf#page=5","Abrir facsímil")</f>
        <v>Abrir facsímil</v>
      </c>
      <c r="K9616" s="10" t="s">
        <v>24</v>
      </c>
    </row>
    <row r="9617" spans="1:11" ht="54" customHeight="1">
      <c r="A9617" s="9" t="s">
        <v>20144</v>
      </c>
      <c r="B9617" s="9" t="s">
        <v>20145</v>
      </c>
      <c r="C9617" s="9" t="s">
        <v>17</v>
      </c>
      <c r="D9617" s="9" t="s">
        <v>18</v>
      </c>
      <c r="E9617" s="10" t="s">
        <v>2278</v>
      </c>
      <c r="F9617" s="9" t="s">
        <v>2279</v>
      </c>
      <c r="G9617" s="10" t="s">
        <v>28</v>
      </c>
      <c r="H9617" s="9" t="s">
        <v>22</v>
      </c>
      <c r="I9617" s="9" t="s">
        <v>20150</v>
      </c>
      <c r="J9617" s="10" t="str">
        <f>HYPERLINK("https://www.boe.es/gazeta/dias/1834/12/17/pdfs/GMD-C-1834-306.pdf#page=5","Abrir facsímil")</f>
        <v>Abrir facsímil</v>
      </c>
      <c r="K9617" s="10" t="s">
        <v>24</v>
      </c>
    </row>
    <row r="9618" spans="1:11" ht="54" customHeight="1">
      <c r="A9618" s="9" t="s">
        <v>20144</v>
      </c>
      <c r="B9618" s="9" t="s">
        <v>20145</v>
      </c>
      <c r="C9618" s="9" t="s">
        <v>17</v>
      </c>
      <c r="D9618" s="9" t="s">
        <v>18</v>
      </c>
      <c r="E9618" s="10" t="s">
        <v>3952</v>
      </c>
      <c r="F9618" s="9" t="s">
        <v>3953</v>
      </c>
      <c r="G9618" s="10" t="s">
        <v>86</v>
      </c>
      <c r="H9618" s="9" t="s">
        <v>22</v>
      </c>
      <c r="I9618" s="9" t="s">
        <v>20151</v>
      </c>
      <c r="J9618" s="10" t="str">
        <f>HYPERLINK("https://www.boe.es/gazeta/dias/1834/02/22/pdfs/GMD-1834-24.pdf#page=2","Abrir facsímil")</f>
        <v>Abrir facsímil</v>
      </c>
      <c r="K9618" s="10" t="s">
        <v>24</v>
      </c>
    </row>
    <row r="9619" spans="1:11" ht="54" customHeight="1">
      <c r="A9619" s="9" t="s">
        <v>20152</v>
      </c>
      <c r="B9619" s="9" t="s">
        <v>20153</v>
      </c>
      <c r="C9619" s="9" t="s">
        <v>17</v>
      </c>
      <c r="D9619" s="9" t="s">
        <v>101</v>
      </c>
      <c r="E9619" s="10" t="s">
        <v>707</v>
      </c>
      <c r="F9619" s="9" t="s">
        <v>708</v>
      </c>
      <c r="G9619" s="10" t="s">
        <v>470</v>
      </c>
      <c r="H9619" s="9" t="s">
        <v>22</v>
      </c>
      <c r="I9619" s="9" t="s">
        <v>20154</v>
      </c>
      <c r="J9619" s="10" t="str">
        <f>HYPERLINK("https://www.boe.es/gazeta/dias/1834/11/25/pdfs/GMD-C-1834-284.pdf#page=8","Abrir facsímil")</f>
        <v>Abrir facsímil</v>
      </c>
      <c r="K9619" s="10" t="s">
        <v>24</v>
      </c>
    </row>
    <row r="9620" spans="1:11" ht="54" customHeight="1">
      <c r="A9620" s="9" t="s">
        <v>20144</v>
      </c>
      <c r="B9620" s="9" t="s">
        <v>20145</v>
      </c>
      <c r="C9620" s="9" t="s">
        <v>17</v>
      </c>
      <c r="D9620" s="9" t="s">
        <v>18</v>
      </c>
      <c r="E9620" s="10" t="s">
        <v>1641</v>
      </c>
      <c r="F9620" s="9" t="s">
        <v>1729</v>
      </c>
      <c r="G9620" s="10" t="s">
        <v>34</v>
      </c>
      <c r="H9620" s="9" t="s">
        <v>22</v>
      </c>
      <c r="I9620" s="9" t="s">
        <v>20155</v>
      </c>
      <c r="J9620" s="10" t="str">
        <f>HYPERLINK("https://www.boe.es/gazeta/dias/1834/09/28/pdfs/GMD-1834-226.pdf#page=1","Abrir facsímil")</f>
        <v>Abrir facsímil</v>
      </c>
      <c r="K9620" s="10" t="s">
        <v>24</v>
      </c>
    </row>
    <row r="9621" spans="1:11" ht="54" customHeight="1">
      <c r="A9621" s="9" t="s">
        <v>20144</v>
      </c>
      <c r="B9621" s="9" t="s">
        <v>20145</v>
      </c>
      <c r="C9621" s="9" t="s">
        <v>66</v>
      </c>
      <c r="D9621" s="9" t="s">
        <v>18</v>
      </c>
      <c r="E9621" s="10" t="s">
        <v>286</v>
      </c>
      <c r="F9621" s="9" t="s">
        <v>548</v>
      </c>
      <c r="G9621" s="10" t="s">
        <v>34</v>
      </c>
      <c r="H9621" s="9" t="s">
        <v>22</v>
      </c>
      <c r="I9621" s="9" t="s">
        <v>20156</v>
      </c>
      <c r="J9621" s="10" t="str">
        <f>HYPERLINK("https://www.boe.es/gazeta/dias/1834/08/30/pdfs/GMD-1834-196.pdf#page=1","Abrir facsímil")</f>
        <v>Abrir facsímil</v>
      </c>
      <c r="K9621" s="10" t="s">
        <v>24</v>
      </c>
    </row>
    <row r="9622" spans="1:11" ht="54" customHeight="1">
      <c r="A9622" s="9" t="s">
        <v>20144</v>
      </c>
      <c r="B9622" s="9" t="s">
        <v>20145</v>
      </c>
      <c r="C9622" s="9" t="s">
        <v>17</v>
      </c>
      <c r="D9622" s="9" t="s">
        <v>18</v>
      </c>
      <c r="E9622" s="10" t="s">
        <v>590</v>
      </c>
      <c r="F9622" s="9" t="s">
        <v>591</v>
      </c>
      <c r="G9622" s="10" t="s">
        <v>21</v>
      </c>
      <c r="H9622" s="9" t="s">
        <v>22</v>
      </c>
      <c r="I9622" s="9" t="s">
        <v>20157</v>
      </c>
      <c r="J9622" s="10" t="str">
        <f>HYPERLINK("https://www.boe.es/gazeta/dias/1834/11/30/pdfs/GMD-1834-289.pdf#page=3","Abrir facsímil")</f>
        <v>Abrir facsímil</v>
      </c>
      <c r="K9622" s="10" t="s">
        <v>24</v>
      </c>
    </row>
    <row r="9623" spans="1:11" ht="54" customHeight="1">
      <c r="A9623" s="9" t="s">
        <v>20158</v>
      </c>
      <c r="B9623" s="9" t="s">
        <v>20159</v>
      </c>
      <c r="C9623" s="9" t="s">
        <v>66</v>
      </c>
      <c r="D9623" s="9" t="s">
        <v>67</v>
      </c>
      <c r="E9623" s="10" t="s">
        <v>860</v>
      </c>
      <c r="F9623" s="9" t="s">
        <v>861</v>
      </c>
      <c r="G9623" s="10" t="s">
        <v>34</v>
      </c>
      <c r="H9623" s="9" t="s">
        <v>22</v>
      </c>
      <c r="I9623" s="9" t="s">
        <v>20160</v>
      </c>
      <c r="J9623" s="10" t="str">
        <f>HYPERLINK("https://www.boe.es/gazeta/dias/1834/02/08/pdfs/GMD-1834-18.pdf#page=1","Abrir facsímil")</f>
        <v>Abrir facsímil</v>
      </c>
      <c r="K9623" s="10" t="s">
        <v>24</v>
      </c>
    </row>
    <row r="9624" spans="1:11" ht="54" customHeight="1">
      <c r="A9624" s="9" t="s">
        <v>20161</v>
      </c>
      <c r="B9624" s="9" t="s">
        <v>20162</v>
      </c>
      <c r="C9624" s="9" t="s">
        <v>46</v>
      </c>
      <c r="D9624" s="9" t="s">
        <v>18</v>
      </c>
      <c r="E9624" s="10" t="s">
        <v>3225</v>
      </c>
      <c r="F9624" s="9" t="s">
        <v>3226</v>
      </c>
      <c r="G9624" s="10" t="s">
        <v>21</v>
      </c>
      <c r="H9624" s="9" t="s">
        <v>22</v>
      </c>
      <c r="I9624" s="9" t="s">
        <v>20163</v>
      </c>
      <c r="J9624" s="10" t="str">
        <f>HYPERLINK("https://www.boe.es/gazeta/dias/1834/08/22/pdfs/GMD-1834-188.pdf#page=3","Abrir facsímil")</f>
        <v>Abrir facsímil</v>
      </c>
      <c r="K9624" s="10" t="s">
        <v>24</v>
      </c>
    </row>
    <row r="9625" spans="1:11" ht="54" customHeight="1">
      <c r="A9625" s="9" t="s">
        <v>20164</v>
      </c>
      <c r="B9625" s="9" t="s">
        <v>20165</v>
      </c>
      <c r="C9625" s="9" t="s">
        <v>66</v>
      </c>
      <c r="D9625" s="9" t="s">
        <v>18</v>
      </c>
      <c r="E9625" s="10" t="s">
        <v>2950</v>
      </c>
      <c r="F9625" s="9" t="s">
        <v>2951</v>
      </c>
      <c r="G9625" s="10" t="s">
        <v>21</v>
      </c>
      <c r="H9625" s="9" t="s">
        <v>22</v>
      </c>
      <c r="I9625" s="9" t="s">
        <v>20166</v>
      </c>
      <c r="J9625" s="10" t="str">
        <f>HYPERLINK("https://www.boe.es/gazeta/dias/1834/05/20/pdfs/GMD-1834-89.pdf#page=3","Abrir facsímil")</f>
        <v>Abrir facsímil</v>
      </c>
      <c r="K9625" s="10" t="s">
        <v>24</v>
      </c>
    </row>
    <row r="9626" spans="1:11" ht="54" customHeight="1">
      <c r="A9626" s="9" t="s">
        <v>20167</v>
      </c>
      <c r="B9626" s="9" t="s">
        <v>20168</v>
      </c>
      <c r="C9626" s="9" t="s">
        <v>17</v>
      </c>
      <c r="D9626" s="9" t="s">
        <v>18</v>
      </c>
      <c r="E9626" s="10" t="s">
        <v>408</v>
      </c>
      <c r="F9626" s="9" t="s">
        <v>409</v>
      </c>
      <c r="G9626" s="10" t="s">
        <v>21</v>
      </c>
      <c r="H9626" s="9" t="s">
        <v>35</v>
      </c>
      <c r="I9626" s="9" t="s">
        <v>20169</v>
      </c>
      <c r="J9626" s="10" t="str">
        <f>HYPERLINK("https://www.boe.es/gazeta/dias/1834/04/28/pdfs/GMD-1834-67.pdf#page=3","Abrir facsímil")</f>
        <v>Abrir facsímil</v>
      </c>
      <c r="K9626" s="10" t="s">
        <v>37</v>
      </c>
    </row>
    <row r="9627" spans="1:11" ht="54" customHeight="1">
      <c r="A9627" s="9" t="s">
        <v>20170</v>
      </c>
      <c r="B9627" s="9" t="s">
        <v>20171</v>
      </c>
      <c r="C9627" s="9" t="s">
        <v>66</v>
      </c>
      <c r="D9627" s="9" t="s">
        <v>67</v>
      </c>
      <c r="E9627" s="10" t="s">
        <v>912</v>
      </c>
      <c r="F9627" s="9" t="s">
        <v>913</v>
      </c>
      <c r="G9627" s="10" t="s">
        <v>86</v>
      </c>
      <c r="H9627" s="9" t="s">
        <v>22</v>
      </c>
      <c r="I9627" s="9" t="s">
        <v>20172</v>
      </c>
      <c r="J9627" s="10" t="str">
        <f>HYPERLINK("https://www.boe.es/gazeta/dias/1834/02/15/pdfs/GMD-1834-21.pdf#page=2","Abrir facsímil")</f>
        <v>Abrir facsímil</v>
      </c>
      <c r="K9627" s="10" t="s">
        <v>24</v>
      </c>
    </row>
    <row r="9628" spans="1:11" ht="54" customHeight="1">
      <c r="A9628" s="9" t="s">
        <v>20173</v>
      </c>
      <c r="B9628" s="9" t="s">
        <v>20174</v>
      </c>
      <c r="C9628" s="9" t="s">
        <v>17</v>
      </c>
      <c r="D9628" s="9" t="s">
        <v>55</v>
      </c>
      <c r="E9628" s="10" t="s">
        <v>179</v>
      </c>
      <c r="F9628" s="9" t="s">
        <v>180</v>
      </c>
      <c r="G9628" s="10" t="s">
        <v>86</v>
      </c>
      <c r="H9628" s="9" t="s">
        <v>22</v>
      </c>
      <c r="I9628" s="9" t="s">
        <v>20175</v>
      </c>
      <c r="J9628" s="10" t="str">
        <f>HYPERLINK("https://www.boe.es/gazeta/dias/1834/10/28/pdfs/GMD-1834-256.pdf#page=2","Abrir facsímil")</f>
        <v>Abrir facsímil</v>
      </c>
      <c r="K9628" s="10" t="s">
        <v>24</v>
      </c>
    </row>
    <row r="9629" spans="1:11" ht="54" customHeight="1">
      <c r="A9629" s="9" t="s">
        <v>20176</v>
      </c>
      <c r="B9629" s="9" t="s">
        <v>20177</v>
      </c>
      <c r="C9629" s="9" t="s">
        <v>17</v>
      </c>
      <c r="D9629" s="9" t="s">
        <v>55</v>
      </c>
      <c r="E9629" s="10" t="s">
        <v>1084</v>
      </c>
      <c r="F9629" s="9" t="s">
        <v>1085</v>
      </c>
      <c r="G9629" s="10" t="s">
        <v>75</v>
      </c>
      <c r="H9629" s="9" t="s">
        <v>22</v>
      </c>
      <c r="I9629" s="9" t="s">
        <v>20178</v>
      </c>
      <c r="J9629" s="10" t="str">
        <f>HYPERLINK("https://www.boe.es/gazeta/dias/1834/05/01/pdfs/GMD-1834-70.pdf#page=4","Abrir facsímil")</f>
        <v>Abrir facsímil</v>
      </c>
      <c r="K9629" s="10" t="s">
        <v>24</v>
      </c>
    </row>
    <row r="9630" spans="1:11" ht="54" customHeight="1">
      <c r="A9630" s="9" t="s">
        <v>20176</v>
      </c>
      <c r="B9630" s="9" t="s">
        <v>20177</v>
      </c>
      <c r="C9630" s="9" t="s">
        <v>17</v>
      </c>
      <c r="D9630" s="9" t="s">
        <v>18</v>
      </c>
      <c r="E9630" s="10" t="s">
        <v>690</v>
      </c>
      <c r="F9630" s="9" t="s">
        <v>691</v>
      </c>
      <c r="G9630" s="10" t="s">
        <v>75</v>
      </c>
      <c r="H9630" s="9" t="s">
        <v>22</v>
      </c>
      <c r="I9630" s="9" t="s">
        <v>20179</v>
      </c>
      <c r="J9630" s="10" t="str">
        <f>HYPERLINK("https://www.boe.es/gazeta/dias/1834/09/03/pdfs/GMD-C-1834-201.pdf#page=4","Abrir facsímil")</f>
        <v>Abrir facsímil</v>
      </c>
      <c r="K9630" s="10" t="s">
        <v>24</v>
      </c>
    </row>
    <row r="9631" spans="1:11" ht="54" customHeight="1">
      <c r="A9631" s="9" t="s">
        <v>20176</v>
      </c>
      <c r="B9631" s="9" t="s">
        <v>20177</v>
      </c>
      <c r="C9631" s="9" t="s">
        <v>17</v>
      </c>
      <c r="D9631" s="9" t="s">
        <v>101</v>
      </c>
      <c r="E9631" s="10" t="s">
        <v>844</v>
      </c>
      <c r="F9631" s="9" t="s">
        <v>845</v>
      </c>
      <c r="G9631" s="10" t="s">
        <v>86</v>
      </c>
      <c r="H9631" s="9" t="s">
        <v>22</v>
      </c>
      <c r="I9631" s="9" t="s">
        <v>20180</v>
      </c>
      <c r="J9631" s="10" t="str">
        <f>HYPERLINK("https://www.boe.es/gazeta/dias/1834/03/13/pdfs/GMD-1834-32.pdf#page=2","Abrir facsímil")</f>
        <v>Abrir facsímil</v>
      </c>
      <c r="K9631" s="10" t="s">
        <v>24</v>
      </c>
    </row>
    <row r="9632" spans="1:11" ht="54" customHeight="1">
      <c r="A9632" s="9" t="s">
        <v>20176</v>
      </c>
      <c r="B9632" s="9" t="s">
        <v>20177</v>
      </c>
      <c r="C9632" s="9" t="s">
        <v>17</v>
      </c>
      <c r="D9632" s="9" t="s">
        <v>18</v>
      </c>
      <c r="E9632" s="10" t="s">
        <v>343</v>
      </c>
      <c r="F9632" s="9" t="s">
        <v>344</v>
      </c>
      <c r="G9632" s="10" t="s">
        <v>21</v>
      </c>
      <c r="H9632" s="9" t="s">
        <v>22</v>
      </c>
      <c r="I9632" s="9" t="s">
        <v>20181</v>
      </c>
      <c r="J9632" s="10" t="str">
        <f>HYPERLINK("https://www.boe.es/gazeta/dias/1834/01/14/pdfs/GMD-1834-7.pdf#page=3","Abrir facsímil")</f>
        <v>Abrir facsímil</v>
      </c>
      <c r="K9632" s="10" t="s">
        <v>24</v>
      </c>
    </row>
    <row r="9633" spans="1:11" ht="54" customHeight="1">
      <c r="A9633" s="9" t="s">
        <v>20176</v>
      </c>
      <c r="B9633" s="9" t="s">
        <v>20177</v>
      </c>
      <c r="C9633" s="9" t="s">
        <v>90</v>
      </c>
      <c r="D9633" s="9" t="s">
        <v>18</v>
      </c>
      <c r="E9633" s="10" t="s">
        <v>32</v>
      </c>
      <c r="F9633" s="9" t="s">
        <v>33</v>
      </c>
      <c r="G9633" s="10" t="s">
        <v>34</v>
      </c>
      <c r="H9633" s="9" t="s">
        <v>22</v>
      </c>
      <c r="I9633" s="9" t="s">
        <v>20182</v>
      </c>
      <c r="J9633" s="10" t="str">
        <f>HYPERLINK("https://www.boe.es/gazeta/dias/1834/04/23/pdfs/GMD-1834-62.pdf#page=1","Abrir facsímil")</f>
        <v>Abrir facsímil</v>
      </c>
      <c r="K9633" s="10" t="s">
        <v>24</v>
      </c>
    </row>
    <row r="9634" spans="1:11" ht="54" customHeight="1">
      <c r="A9634" s="9" t="s">
        <v>20176</v>
      </c>
      <c r="B9634" s="9" t="s">
        <v>20177</v>
      </c>
      <c r="C9634" s="9" t="s">
        <v>17</v>
      </c>
      <c r="D9634" s="9" t="s">
        <v>18</v>
      </c>
      <c r="E9634" s="10" t="s">
        <v>719</v>
      </c>
      <c r="F9634" s="9" t="s">
        <v>720</v>
      </c>
      <c r="G9634" s="10" t="s">
        <v>21</v>
      </c>
      <c r="H9634" s="9" t="s">
        <v>22</v>
      </c>
      <c r="I9634" s="9" t="s">
        <v>20183</v>
      </c>
      <c r="J9634" s="10" t="str">
        <f>HYPERLINK("https://www.boe.es/gazeta/dias/1834/04/29/pdfs/GMD-1834-68.pdf#page=3","Abrir facsímil")</f>
        <v>Abrir facsímil</v>
      </c>
      <c r="K9634" s="10" t="s">
        <v>24</v>
      </c>
    </row>
    <row r="9635" spans="1:11" ht="54" customHeight="1">
      <c r="A9635" s="9" t="s">
        <v>20176</v>
      </c>
      <c r="B9635" s="9" t="s">
        <v>20177</v>
      </c>
      <c r="C9635" s="9" t="s">
        <v>122</v>
      </c>
      <c r="D9635" s="9" t="s">
        <v>18</v>
      </c>
      <c r="E9635" s="10" t="s">
        <v>1747</v>
      </c>
      <c r="F9635" s="9" t="s">
        <v>1748</v>
      </c>
      <c r="G9635" s="10" t="s">
        <v>34</v>
      </c>
      <c r="H9635" s="9" t="s">
        <v>22</v>
      </c>
      <c r="I9635" s="9" t="s">
        <v>20184</v>
      </c>
      <c r="J9635" s="10" t="str">
        <f>HYPERLINK("https://www.boe.es/gazeta/dias/1834/06/29/pdfs/GMD-1834-132.pdf#page=1","Abrir facsímil")</f>
        <v>Abrir facsímil</v>
      </c>
      <c r="K9635" s="10" t="s">
        <v>24</v>
      </c>
    </row>
    <row r="9636" spans="1:11" ht="54" customHeight="1">
      <c r="A9636" s="9" t="s">
        <v>20185</v>
      </c>
      <c r="B9636" s="9" t="s">
        <v>20186</v>
      </c>
      <c r="C9636" s="9" t="s">
        <v>17</v>
      </c>
      <c r="D9636" s="9" t="s">
        <v>18</v>
      </c>
      <c r="E9636" s="10" t="s">
        <v>1850</v>
      </c>
      <c r="F9636" s="9" t="s">
        <v>1851</v>
      </c>
      <c r="G9636" s="10" t="s">
        <v>34</v>
      </c>
      <c r="H9636" s="9" t="s">
        <v>22</v>
      </c>
      <c r="I9636" s="9" t="s">
        <v>20187</v>
      </c>
      <c r="J9636" s="10" t="str">
        <f>HYPERLINK("https://www.boe.es/gazeta/dias/1834/02/18/pdfs/GMD-1834-22.pdf#page=1","Abrir facsímil")</f>
        <v>Abrir facsímil</v>
      </c>
      <c r="K9636" s="10" t="s">
        <v>24</v>
      </c>
    </row>
    <row r="9637" spans="1:11" ht="54" customHeight="1">
      <c r="A9637" s="9" t="s">
        <v>20188</v>
      </c>
      <c r="B9637" s="9" t="s">
        <v>20188</v>
      </c>
      <c r="C9637" s="9" t="s">
        <v>17</v>
      </c>
      <c r="D9637" s="9" t="s">
        <v>18</v>
      </c>
      <c r="E9637" s="10" t="s">
        <v>2203</v>
      </c>
      <c r="F9637" s="9" t="s">
        <v>2204</v>
      </c>
      <c r="G9637" s="10" t="s">
        <v>34</v>
      </c>
      <c r="H9637" s="9" t="s">
        <v>22</v>
      </c>
      <c r="I9637" s="9" t="s">
        <v>20189</v>
      </c>
      <c r="J9637" s="10" t="str">
        <f>HYPERLINK("https://www.boe.es/gazeta/dias/1834/09/10/pdfs/GMD-C-1834-208.pdf#page=1","Abrir facsímil")</f>
        <v>Abrir facsímil</v>
      </c>
      <c r="K9637" s="10" t="s">
        <v>24</v>
      </c>
    </row>
    <row r="9638" spans="1:11" ht="54" customHeight="1">
      <c r="A9638" s="9" t="s">
        <v>20190</v>
      </c>
      <c r="B9638" s="9" t="s">
        <v>20190</v>
      </c>
      <c r="C9638" s="9" t="s">
        <v>17</v>
      </c>
      <c r="D9638" s="9" t="s">
        <v>18</v>
      </c>
      <c r="E9638" s="10" t="s">
        <v>2748</v>
      </c>
      <c r="F9638" s="9" t="s">
        <v>2749</v>
      </c>
      <c r="G9638" s="10" t="s">
        <v>34</v>
      </c>
      <c r="H9638" s="9" t="s">
        <v>22</v>
      </c>
      <c r="I9638" s="9" t="s">
        <v>20191</v>
      </c>
      <c r="J9638" s="10" t="str">
        <f>HYPERLINK("https://www.boe.es/gazeta/dias/1834/01/09/pdfs/GMD-1834-5.pdf#page=1","Abrir facsímil")</f>
        <v>Abrir facsímil</v>
      </c>
      <c r="K9638" s="10" t="s">
        <v>24</v>
      </c>
    </row>
    <row r="9639" spans="1:11" ht="54" customHeight="1">
      <c r="A9639" s="9" t="s">
        <v>20192</v>
      </c>
      <c r="B9639" s="9" t="s">
        <v>20192</v>
      </c>
      <c r="C9639" s="9" t="s">
        <v>66</v>
      </c>
      <c r="D9639" s="9" t="s">
        <v>18</v>
      </c>
      <c r="E9639" s="10" t="s">
        <v>2124</v>
      </c>
      <c r="F9639" s="9" t="s">
        <v>2125</v>
      </c>
      <c r="G9639" s="10" t="s">
        <v>34</v>
      </c>
      <c r="H9639" s="9" t="s">
        <v>22</v>
      </c>
      <c r="I9639" s="9" t="s">
        <v>20193</v>
      </c>
      <c r="J9639" s="10" t="str">
        <f>HYPERLINK("https://www.boe.es/gazeta/dias/1834/06/09/pdfs/GMD-1834-112.pdf#page=1","Abrir facsímil")</f>
        <v>Abrir facsímil</v>
      </c>
      <c r="K9639" s="10" t="s">
        <v>24</v>
      </c>
    </row>
    <row r="9640" spans="1:11" ht="54" customHeight="1">
      <c r="A9640" s="9" t="s">
        <v>20194</v>
      </c>
      <c r="B9640" s="9" t="s">
        <v>20194</v>
      </c>
      <c r="C9640" s="9" t="s">
        <v>66</v>
      </c>
      <c r="D9640" s="9" t="s">
        <v>67</v>
      </c>
      <c r="E9640" s="10" t="s">
        <v>4527</v>
      </c>
      <c r="F9640" s="9" t="s">
        <v>4528</v>
      </c>
      <c r="G9640" s="10" t="s">
        <v>34</v>
      </c>
      <c r="H9640" s="9" t="s">
        <v>22</v>
      </c>
      <c r="I9640" s="9" t="s">
        <v>20195</v>
      </c>
      <c r="J9640" s="10" t="str">
        <f>HYPERLINK("https://www.boe.es/gazeta/dias/1834/05/03/pdfs/GMD-1834-72.pdf#page=1","Abrir facsímil")</f>
        <v>Abrir facsímil</v>
      </c>
      <c r="K9640" s="10" t="s">
        <v>24</v>
      </c>
    </row>
    <row r="9641" spans="1:11" ht="54" customHeight="1">
      <c r="A9641" s="9" t="s">
        <v>20194</v>
      </c>
      <c r="B9641" s="9" t="s">
        <v>20194</v>
      </c>
      <c r="C9641" s="9" t="s">
        <v>66</v>
      </c>
      <c r="D9641" s="9" t="s">
        <v>18</v>
      </c>
      <c r="E9641" s="10" t="s">
        <v>813</v>
      </c>
      <c r="F9641" s="9" t="s">
        <v>814</v>
      </c>
      <c r="G9641" s="10" t="s">
        <v>34</v>
      </c>
      <c r="H9641" s="9" t="s">
        <v>22</v>
      </c>
      <c r="I9641" s="9" t="s">
        <v>20196</v>
      </c>
      <c r="J9641" s="10" t="str">
        <f>HYPERLINK("https://www.boe.es/gazeta/dias/1834/08/08/pdfs/GMD-1834-173.pdf#page=1","Abrir facsímil")</f>
        <v>Abrir facsímil</v>
      </c>
      <c r="K9641" s="10" t="s">
        <v>24</v>
      </c>
    </row>
    <row r="9642" spans="1:11" ht="54" customHeight="1">
      <c r="A9642" s="9" t="s">
        <v>20194</v>
      </c>
      <c r="B9642" s="9" t="s">
        <v>20194</v>
      </c>
      <c r="C9642" s="9" t="s">
        <v>17</v>
      </c>
      <c r="D9642" s="9" t="s">
        <v>18</v>
      </c>
      <c r="E9642" s="10" t="s">
        <v>1683</v>
      </c>
      <c r="F9642" s="9" t="s">
        <v>1684</v>
      </c>
      <c r="G9642" s="10" t="s">
        <v>34</v>
      </c>
      <c r="H9642" s="9" t="s">
        <v>22</v>
      </c>
      <c r="I9642" s="9" t="s">
        <v>20197</v>
      </c>
      <c r="J9642" s="10" t="str">
        <f>HYPERLINK("https://www.boe.es/gazeta/dias/1834/06/27/pdfs/GMD-1834-130.pdf#page=1","Abrir facsímil")</f>
        <v>Abrir facsímil</v>
      </c>
      <c r="K9642" s="10" t="s">
        <v>24</v>
      </c>
    </row>
    <row r="9643" spans="1:11" ht="54" customHeight="1">
      <c r="A9643" s="9" t="s">
        <v>20198</v>
      </c>
      <c r="B9643" s="9" t="s">
        <v>20198</v>
      </c>
      <c r="C9643" s="9" t="s">
        <v>90</v>
      </c>
      <c r="D9643" s="9" t="s">
        <v>101</v>
      </c>
      <c r="E9643" s="10" t="s">
        <v>326</v>
      </c>
      <c r="F9643" s="9" t="s">
        <v>327</v>
      </c>
      <c r="G9643" s="10" t="s">
        <v>34</v>
      </c>
      <c r="H9643" s="9" t="s">
        <v>22</v>
      </c>
      <c r="I9643" s="9" t="s">
        <v>20199</v>
      </c>
      <c r="J9643" s="10" t="str">
        <f>HYPERLINK("https://www.boe.es/gazeta/dias/1834/07/15/pdfs/GMD-1834-148.pdf#page=1","Abrir facsímil")</f>
        <v>Abrir facsímil</v>
      </c>
      <c r="K9643" s="10" t="s">
        <v>24</v>
      </c>
    </row>
    <row r="9644" spans="1:11" ht="54" customHeight="1">
      <c r="A9644" s="9" t="s">
        <v>20200</v>
      </c>
      <c r="B9644" s="9" t="s">
        <v>20200</v>
      </c>
      <c r="C9644" s="9" t="s">
        <v>66</v>
      </c>
      <c r="D9644" s="9" t="s">
        <v>67</v>
      </c>
      <c r="E9644" s="10" t="s">
        <v>243</v>
      </c>
      <c r="F9644" s="9" t="s">
        <v>1109</v>
      </c>
      <c r="G9644" s="10" t="s">
        <v>34</v>
      </c>
      <c r="H9644" s="9" t="s">
        <v>22</v>
      </c>
      <c r="I9644" s="9" t="s">
        <v>20201</v>
      </c>
      <c r="J9644" s="10" t="str">
        <f>HYPERLINK("https://www.boe.es/gazeta/dias/1834/08/05/pdfs/GMD-1834-169.pdf#page=1","Abrir facsímil")</f>
        <v>Abrir facsímil</v>
      </c>
      <c r="K9644" s="10" t="s">
        <v>24</v>
      </c>
    </row>
    <row r="9645" spans="1:11" ht="54" customHeight="1">
      <c r="A9645" s="9" t="s">
        <v>20202</v>
      </c>
      <c r="B9645" s="9" t="s">
        <v>20202</v>
      </c>
      <c r="C9645" s="9" t="s">
        <v>17</v>
      </c>
      <c r="D9645" s="9" t="s">
        <v>18</v>
      </c>
      <c r="E9645" s="10" t="s">
        <v>739</v>
      </c>
      <c r="F9645" s="9" t="s">
        <v>740</v>
      </c>
      <c r="G9645" s="10" t="s">
        <v>86</v>
      </c>
      <c r="H9645" s="9" t="s">
        <v>22</v>
      </c>
      <c r="I9645" s="9" t="s">
        <v>20203</v>
      </c>
      <c r="J9645" s="10" t="str">
        <f>HYPERLINK("https://www.boe.es/gazeta/dias/1834/03/25/pdfs/GMD-1834-37.pdf#page=2","Abrir facsímil")</f>
        <v>Abrir facsímil</v>
      </c>
      <c r="K9645" s="10" t="s">
        <v>24</v>
      </c>
    </row>
    <row r="9646" spans="1:11" ht="54" customHeight="1">
      <c r="A9646" s="9" t="s">
        <v>20204</v>
      </c>
      <c r="B9646" s="9" t="s">
        <v>20204</v>
      </c>
      <c r="C9646" s="9" t="s">
        <v>46</v>
      </c>
      <c r="D9646" s="9" t="s">
        <v>101</v>
      </c>
      <c r="E9646" s="10" t="s">
        <v>2748</v>
      </c>
      <c r="F9646" s="9" t="s">
        <v>2749</v>
      </c>
      <c r="G9646" s="10" t="s">
        <v>34</v>
      </c>
      <c r="H9646" s="9" t="s">
        <v>22</v>
      </c>
      <c r="I9646" s="9" t="s">
        <v>20205</v>
      </c>
      <c r="J9646" s="10" t="str">
        <f>HYPERLINK("https://www.boe.es/gazeta/dias/1834/01/09/pdfs/GMD-1834-5.pdf#page=1","Abrir facsímil")</f>
        <v>Abrir facsímil</v>
      </c>
      <c r="K9646" s="10" t="s">
        <v>24</v>
      </c>
    </row>
    <row r="9647" spans="1:11" ht="54" customHeight="1">
      <c r="A9647" s="9" t="s">
        <v>20206</v>
      </c>
      <c r="B9647" s="9" t="s">
        <v>20206</v>
      </c>
      <c r="C9647" s="9" t="s">
        <v>17</v>
      </c>
      <c r="D9647" s="9" t="s">
        <v>101</v>
      </c>
      <c r="E9647" s="10" t="s">
        <v>1402</v>
      </c>
      <c r="F9647" s="9" t="s">
        <v>1403</v>
      </c>
      <c r="G9647" s="10" t="s">
        <v>34</v>
      </c>
      <c r="H9647" s="9" t="s">
        <v>22</v>
      </c>
      <c r="I9647" s="9" t="s">
        <v>20207</v>
      </c>
      <c r="J9647" s="10" t="str">
        <f>HYPERLINK("https://www.boe.es/gazeta/dias/1834/05/05/pdfs/I00347-00348.pdf#page=1","Abrir facsímil")</f>
        <v>Abrir facsímil</v>
      </c>
      <c r="K9647" s="10" t="s">
        <v>24</v>
      </c>
    </row>
    <row r="9648" spans="1:11" ht="54" customHeight="1">
      <c r="A9648" s="9" t="s">
        <v>20208</v>
      </c>
      <c r="B9648" s="9" t="s">
        <v>20208</v>
      </c>
      <c r="C9648" s="9" t="s">
        <v>17</v>
      </c>
      <c r="D9648" s="9" t="s">
        <v>18</v>
      </c>
      <c r="E9648" s="10" t="s">
        <v>233</v>
      </c>
      <c r="F9648" s="9" t="s">
        <v>1810</v>
      </c>
      <c r="G9648" s="10" t="s">
        <v>176</v>
      </c>
      <c r="H9648" s="9" t="s">
        <v>22</v>
      </c>
      <c r="I9648" s="9" t="s">
        <v>20209</v>
      </c>
      <c r="J9648" s="10" t="str">
        <f>HYPERLINK("https://www.boe.es/gazeta/dias/1834/12/16/pdfs/GMD-C-1834-305.pdf#page=6","Abrir facsímil")</f>
        <v>Abrir facsímil</v>
      </c>
      <c r="K9648" s="10" t="s">
        <v>24</v>
      </c>
    </row>
    <row r="9649" spans="1:11" ht="54" customHeight="1">
      <c r="A9649" s="9" t="s">
        <v>20210</v>
      </c>
      <c r="B9649" s="9" t="s">
        <v>20210</v>
      </c>
      <c r="C9649" s="9" t="s">
        <v>17</v>
      </c>
      <c r="D9649" s="9" t="s">
        <v>101</v>
      </c>
      <c r="E9649" s="10" t="s">
        <v>601</v>
      </c>
      <c r="F9649" s="9" t="s">
        <v>602</v>
      </c>
      <c r="G9649" s="10" t="s">
        <v>34</v>
      </c>
      <c r="H9649" s="9" t="s">
        <v>22</v>
      </c>
      <c r="I9649" s="9" t="s">
        <v>20211</v>
      </c>
      <c r="J9649" s="10" t="str">
        <f>HYPERLINK("https://www.boe.es/gazeta/dias/1834/08/16/pdfs/GMD-1834-181.pdf#page=1","Abrir facsímil")</f>
        <v>Abrir facsímil</v>
      </c>
      <c r="K9649" s="10" t="s">
        <v>24</v>
      </c>
    </row>
    <row r="9650" spans="1:11" ht="54" customHeight="1">
      <c r="A9650" s="9" t="s">
        <v>20212</v>
      </c>
      <c r="B9650" s="9" t="s">
        <v>20212</v>
      </c>
      <c r="C9650" s="9" t="s">
        <v>17</v>
      </c>
      <c r="D9650" s="9" t="s">
        <v>101</v>
      </c>
      <c r="E9650" s="10" t="s">
        <v>1402</v>
      </c>
      <c r="F9650" s="9" t="s">
        <v>1403</v>
      </c>
      <c r="G9650" s="10" t="s">
        <v>28</v>
      </c>
      <c r="H9650" s="9" t="s">
        <v>22</v>
      </c>
      <c r="I9650" s="9" t="s">
        <v>20213</v>
      </c>
      <c r="J9650" s="10" t="str">
        <f>HYPERLINK("https://www.boe.es/gazeta/dias/1834/05/05/pdfs/GMD-1834-74.pdf#page=5","Abrir facsímil")</f>
        <v>Abrir facsímil</v>
      </c>
      <c r="K9650" s="10" t="s">
        <v>24</v>
      </c>
    </row>
    <row r="9651" spans="1:11" ht="54" customHeight="1">
      <c r="A9651" s="9" t="s">
        <v>20212</v>
      </c>
      <c r="B9651" s="9" t="s">
        <v>20212</v>
      </c>
      <c r="C9651" s="9" t="s">
        <v>857</v>
      </c>
      <c r="D9651" s="9" t="s">
        <v>67</v>
      </c>
      <c r="E9651" s="10" t="s">
        <v>3248</v>
      </c>
      <c r="F9651" s="9" t="s">
        <v>3249</v>
      </c>
      <c r="G9651" s="10" t="s">
        <v>21</v>
      </c>
      <c r="H9651" s="9" t="s">
        <v>22</v>
      </c>
      <c r="I9651" s="9" t="s">
        <v>20214</v>
      </c>
      <c r="J9651" s="10" t="str">
        <f>HYPERLINK("https://www.boe.es/gazeta/dias/1834/09/20/pdfs/GMD-1834-218.pdf#page=3","Abrir facsímil")</f>
        <v>Abrir facsímil</v>
      </c>
      <c r="K9651" s="10" t="s">
        <v>24</v>
      </c>
    </row>
    <row r="9652" spans="1:11" ht="54" customHeight="1">
      <c r="A9652" s="9" t="s">
        <v>20212</v>
      </c>
      <c r="B9652" s="9" t="s">
        <v>20212</v>
      </c>
      <c r="C9652" s="9" t="s">
        <v>66</v>
      </c>
      <c r="D9652" s="9" t="s">
        <v>67</v>
      </c>
      <c r="E9652" s="10" t="s">
        <v>803</v>
      </c>
      <c r="F9652" s="9" t="s">
        <v>804</v>
      </c>
      <c r="G9652" s="10" t="s">
        <v>34</v>
      </c>
      <c r="H9652" s="9" t="s">
        <v>22</v>
      </c>
      <c r="I9652" s="9" t="s">
        <v>20215</v>
      </c>
      <c r="J9652" s="10" t="str">
        <f>HYPERLINK("https://www.boe.es/gazeta/dias/1834/03/29/pdfs/GMD-1834-39.pdf#page=1","Abrir facsímil")</f>
        <v>Abrir facsímil</v>
      </c>
      <c r="K9652" s="10" t="s">
        <v>24</v>
      </c>
    </row>
    <row r="9653" spans="1:11" ht="54" customHeight="1">
      <c r="A9653" s="9" t="s">
        <v>20216</v>
      </c>
      <c r="B9653" s="9" t="s">
        <v>20216</v>
      </c>
      <c r="C9653" s="9" t="s">
        <v>17</v>
      </c>
      <c r="D9653" s="9" t="s">
        <v>18</v>
      </c>
      <c r="E9653" s="10" t="s">
        <v>3057</v>
      </c>
      <c r="F9653" s="9" t="s">
        <v>3058</v>
      </c>
      <c r="G9653" s="10" t="s">
        <v>21</v>
      </c>
      <c r="H9653" s="9" t="s">
        <v>22</v>
      </c>
      <c r="I9653" s="9" t="s">
        <v>20217</v>
      </c>
      <c r="J9653" s="10" t="str">
        <f>HYPERLINK("https://www.boe.es/gazeta/dias/1834/06/14/pdfs/GMD-1834-117.pdf#page=3","Abrir facsímil")</f>
        <v>Abrir facsímil</v>
      </c>
      <c r="K9653" s="10" t="s">
        <v>24</v>
      </c>
    </row>
    <row r="9654" spans="1:11" ht="54" customHeight="1">
      <c r="A9654" s="9" t="s">
        <v>20218</v>
      </c>
      <c r="B9654" s="9" t="s">
        <v>20218</v>
      </c>
      <c r="C9654" s="9" t="s">
        <v>17</v>
      </c>
      <c r="D9654" s="9" t="s">
        <v>18</v>
      </c>
      <c r="E9654" s="10" t="s">
        <v>2748</v>
      </c>
      <c r="F9654" s="9" t="s">
        <v>2749</v>
      </c>
      <c r="G9654" s="10" t="s">
        <v>21</v>
      </c>
      <c r="H9654" s="9" t="s">
        <v>22</v>
      </c>
      <c r="I9654" s="9" t="s">
        <v>20219</v>
      </c>
      <c r="J9654" s="10" t="str">
        <f>HYPERLINK("https://www.boe.es/gazeta/dias/1834/01/09/pdfs/GMD-1834-5.pdf#page=3","Abrir facsímil")</f>
        <v>Abrir facsímil</v>
      </c>
      <c r="K9654" s="10" t="s">
        <v>24</v>
      </c>
    </row>
    <row r="9655" spans="1:11" ht="54" customHeight="1">
      <c r="A9655" s="9" t="s">
        <v>20220</v>
      </c>
      <c r="B9655" s="9" t="s">
        <v>20220</v>
      </c>
      <c r="C9655" s="9" t="s">
        <v>46</v>
      </c>
      <c r="D9655" s="9" t="s">
        <v>101</v>
      </c>
      <c r="E9655" s="10" t="s">
        <v>233</v>
      </c>
      <c r="F9655" s="9" t="s">
        <v>1810</v>
      </c>
      <c r="G9655" s="10" t="s">
        <v>1343</v>
      </c>
      <c r="H9655" s="9" t="s">
        <v>22</v>
      </c>
      <c r="I9655" s="9" t="s">
        <v>20221</v>
      </c>
      <c r="J9655" s="10" t="str">
        <f>HYPERLINK("https://www.boe.es/gazeta/dias/1834/12/16/pdfs/GMD-C-1834-305.pdf#page=9","Abrir facsímil")</f>
        <v>Abrir facsímil</v>
      </c>
      <c r="K9655" s="10" t="s">
        <v>24</v>
      </c>
    </row>
    <row r="9656" spans="1:11" ht="54" customHeight="1">
      <c r="A9656" s="9" t="s">
        <v>20222</v>
      </c>
      <c r="B9656" s="9" t="s">
        <v>20222</v>
      </c>
      <c r="C9656" s="9" t="s">
        <v>46</v>
      </c>
      <c r="D9656" s="9" t="s">
        <v>55</v>
      </c>
      <c r="E9656" s="10" t="s">
        <v>1973</v>
      </c>
      <c r="F9656" s="9" t="s">
        <v>1974</v>
      </c>
      <c r="G9656" s="10" t="s">
        <v>176</v>
      </c>
      <c r="H9656" s="9" t="s">
        <v>22</v>
      </c>
      <c r="I9656" s="9" t="s">
        <v>20223</v>
      </c>
      <c r="J9656" s="10" t="str">
        <f>HYPERLINK("https://www.boe.es/gazeta/dias/1834/12/20/pdfs/GMD-C-1834-310.pdf#page=6","Abrir facsímil")</f>
        <v>Abrir facsímil</v>
      </c>
      <c r="K9656" s="10" t="s">
        <v>24</v>
      </c>
    </row>
    <row r="9657" spans="1:11" ht="54" customHeight="1">
      <c r="A9657" s="9" t="s">
        <v>20222</v>
      </c>
      <c r="B9657" s="9" t="s">
        <v>20222</v>
      </c>
      <c r="C9657" s="9" t="s">
        <v>122</v>
      </c>
      <c r="D9657" s="9" t="s">
        <v>18</v>
      </c>
      <c r="E9657" s="10" t="s">
        <v>1323</v>
      </c>
      <c r="F9657" s="9" t="s">
        <v>1324</v>
      </c>
      <c r="G9657" s="10" t="s">
        <v>75</v>
      </c>
      <c r="H9657" s="9" t="s">
        <v>22</v>
      </c>
      <c r="I9657" s="9" t="s">
        <v>20224</v>
      </c>
      <c r="J9657" s="10" t="str">
        <f>HYPERLINK("https://www.boe.es/gazeta/dias/1834/05/22/pdfs/GMD-1834-91.pdf#page=4","Abrir facsímil")</f>
        <v>Abrir facsímil</v>
      </c>
      <c r="K9657" s="10" t="s">
        <v>24</v>
      </c>
    </row>
    <row r="9658" spans="1:11" ht="54" customHeight="1">
      <c r="A9658" s="9" t="s">
        <v>20222</v>
      </c>
      <c r="B9658" s="9" t="s">
        <v>20222</v>
      </c>
      <c r="C9658" s="9" t="s">
        <v>17</v>
      </c>
      <c r="D9658" s="9" t="s">
        <v>18</v>
      </c>
      <c r="E9658" s="10" t="s">
        <v>739</v>
      </c>
      <c r="F9658" s="9" t="s">
        <v>740</v>
      </c>
      <c r="G9658" s="10" t="s">
        <v>21</v>
      </c>
      <c r="H9658" s="9" t="s">
        <v>22</v>
      </c>
      <c r="I9658" s="9" t="s">
        <v>20225</v>
      </c>
      <c r="J9658" s="10" t="str">
        <f>HYPERLINK("https://www.boe.es/gazeta/dias/1834/03/25/pdfs/GMD-1834-37.pdf#page=3","Abrir facsímil")</f>
        <v>Abrir facsímil</v>
      </c>
      <c r="K9658" s="10" t="s">
        <v>24</v>
      </c>
    </row>
    <row r="9659" spans="1:11" ht="54" customHeight="1">
      <c r="A9659" s="9" t="s">
        <v>20226</v>
      </c>
      <c r="B9659" s="9" t="s">
        <v>20227</v>
      </c>
      <c r="C9659" s="9" t="s">
        <v>66</v>
      </c>
      <c r="D9659" s="9" t="s">
        <v>18</v>
      </c>
      <c r="E9659" s="10" t="s">
        <v>12114</v>
      </c>
      <c r="F9659" s="9" t="s">
        <v>12115</v>
      </c>
      <c r="G9659" s="10" t="s">
        <v>34</v>
      </c>
      <c r="H9659" s="9" t="s">
        <v>22</v>
      </c>
      <c r="I9659" s="9" t="s">
        <v>20228</v>
      </c>
      <c r="J9659" s="10" t="str">
        <f>HYPERLINK("https://www.boe.es/gazeta/dias/1834/04/08/pdfs/GMD-1834-47.pdf#page=1","Abrir facsímil")</f>
        <v>Abrir facsímil</v>
      </c>
      <c r="K9659" s="10" t="s">
        <v>24</v>
      </c>
    </row>
    <row r="9660" spans="1:11" ht="54" customHeight="1">
      <c r="A9660" s="9" t="s">
        <v>20229</v>
      </c>
      <c r="B9660" s="9" t="s">
        <v>20229</v>
      </c>
      <c r="C9660" s="9" t="s">
        <v>66</v>
      </c>
      <c r="D9660" s="9" t="s">
        <v>18</v>
      </c>
      <c r="E9660" s="10" t="s">
        <v>1333</v>
      </c>
      <c r="F9660" s="9" t="s">
        <v>1334</v>
      </c>
      <c r="G9660" s="10" t="s">
        <v>34</v>
      </c>
      <c r="H9660" s="9" t="s">
        <v>22</v>
      </c>
      <c r="I9660" s="9" t="s">
        <v>20230</v>
      </c>
      <c r="J9660" s="10" t="str">
        <f>HYPERLINK("https://www.boe.es/gazeta/dias/1834/04/01/pdfs/GMD-1834-40.pdf#page=1","Abrir facsímil")</f>
        <v>Abrir facsímil</v>
      </c>
      <c r="K9660" s="10" t="s">
        <v>24</v>
      </c>
    </row>
    <row r="9661" spans="1:11" ht="54" customHeight="1">
      <c r="A9661" s="9" t="s">
        <v>20231</v>
      </c>
      <c r="B9661" s="9" t="s">
        <v>20231</v>
      </c>
      <c r="C9661" s="9" t="s">
        <v>17</v>
      </c>
      <c r="D9661" s="9" t="s">
        <v>18</v>
      </c>
      <c r="E9661" s="10" t="s">
        <v>1170</v>
      </c>
      <c r="F9661" s="9" t="s">
        <v>1171</v>
      </c>
      <c r="G9661" s="10" t="s">
        <v>176</v>
      </c>
      <c r="H9661" s="9" t="s">
        <v>22</v>
      </c>
      <c r="I9661" s="9" t="s">
        <v>20232</v>
      </c>
      <c r="J9661" s="10" t="str">
        <f>HYPERLINK("https://www.boe.es/gazeta/dias/1834/01/07/pdfs/GMD-1834-4.pdf#page=6","Abrir facsímil")</f>
        <v>Abrir facsímil</v>
      </c>
      <c r="K9661" s="10" t="s">
        <v>24</v>
      </c>
    </row>
    <row r="9662" spans="1:11" ht="54" customHeight="1">
      <c r="A9662" s="9" t="s">
        <v>20233</v>
      </c>
      <c r="B9662" s="9" t="s">
        <v>20233</v>
      </c>
      <c r="C9662" s="9" t="s">
        <v>66</v>
      </c>
      <c r="D9662" s="9" t="s">
        <v>67</v>
      </c>
      <c r="E9662" s="10" t="s">
        <v>56</v>
      </c>
      <c r="F9662" s="9" t="s">
        <v>57</v>
      </c>
      <c r="G9662" s="10" t="s">
        <v>86</v>
      </c>
      <c r="H9662" s="9" t="s">
        <v>22</v>
      </c>
      <c r="I9662" s="9" t="s">
        <v>20234</v>
      </c>
      <c r="J9662" s="10" t="str">
        <f>HYPERLINK("https://www.boe.es/gazeta/dias/1834/07/09/pdfs/GMD-1834-142.pdf#page=2","Abrir facsímil")</f>
        <v>Abrir facsímil</v>
      </c>
      <c r="K9662" s="10" t="s">
        <v>24</v>
      </c>
    </row>
    <row r="9663" spans="1:11" ht="54" customHeight="1">
      <c r="A9663" s="9" t="s">
        <v>20235</v>
      </c>
      <c r="B9663" s="9" t="s">
        <v>20235</v>
      </c>
      <c r="C9663" s="9" t="s">
        <v>17</v>
      </c>
      <c r="D9663" s="9" t="s">
        <v>18</v>
      </c>
      <c r="E9663" s="10" t="s">
        <v>433</v>
      </c>
      <c r="F9663" s="9" t="s">
        <v>434</v>
      </c>
      <c r="G9663" s="10" t="s">
        <v>86</v>
      </c>
      <c r="H9663" s="9" t="s">
        <v>22</v>
      </c>
      <c r="I9663" s="9" t="s">
        <v>20236</v>
      </c>
      <c r="J9663" s="10" t="str">
        <f>HYPERLINK("https://www.boe.es/gazeta/dias/1834/10/07/pdfs/GMD-C-1834-235.pdf#page=2","Abrir facsímil")</f>
        <v>Abrir facsímil</v>
      </c>
      <c r="K9663" s="10" t="s">
        <v>24</v>
      </c>
    </row>
    <row r="9664" spans="1:11" ht="54" customHeight="1">
      <c r="A9664" s="9" t="s">
        <v>20237</v>
      </c>
      <c r="B9664" s="9" t="s">
        <v>20237</v>
      </c>
      <c r="C9664" s="9" t="s">
        <v>46</v>
      </c>
      <c r="D9664" s="9" t="s">
        <v>101</v>
      </c>
      <c r="E9664" s="10" t="s">
        <v>258</v>
      </c>
      <c r="F9664" s="9" t="s">
        <v>259</v>
      </c>
      <c r="G9664" s="10" t="s">
        <v>86</v>
      </c>
      <c r="H9664" s="9" t="s">
        <v>22</v>
      </c>
      <c r="I9664" s="9" t="s">
        <v>20238</v>
      </c>
      <c r="J9664" s="10" t="str">
        <f>HYPERLINK("https://www.boe.es/gazeta/dias/1834/10/09/pdfs/GMD-C-1834-237.pdf#page=2","Abrir facsímil")</f>
        <v>Abrir facsímil</v>
      </c>
      <c r="K9664" s="10" t="s">
        <v>24</v>
      </c>
    </row>
    <row r="9665" spans="1:11" ht="54" customHeight="1">
      <c r="A9665" s="9" t="s">
        <v>20237</v>
      </c>
      <c r="B9665" s="9" t="s">
        <v>20237</v>
      </c>
      <c r="C9665" s="9" t="s">
        <v>17</v>
      </c>
      <c r="D9665" s="9" t="s">
        <v>18</v>
      </c>
      <c r="E9665" s="10" t="s">
        <v>2107</v>
      </c>
      <c r="F9665" s="9" t="s">
        <v>2108</v>
      </c>
      <c r="G9665" s="10" t="s">
        <v>34</v>
      </c>
      <c r="H9665" s="9" t="s">
        <v>22</v>
      </c>
      <c r="I9665" s="9" t="s">
        <v>20239</v>
      </c>
      <c r="J9665" s="10" t="str">
        <f>HYPERLINK("https://www.boe.es/gazeta/dias/1834/08/24/pdfs/GMD-1834-190.pdf#page=1","Abrir facsímil")</f>
        <v>Abrir facsímil</v>
      </c>
      <c r="K9665" s="10" t="s">
        <v>24</v>
      </c>
    </row>
    <row r="9666" spans="1:11" ht="54" customHeight="1">
      <c r="A9666" s="9" t="s">
        <v>20240</v>
      </c>
      <c r="B9666" s="9" t="s">
        <v>20240</v>
      </c>
      <c r="C9666" s="9" t="s">
        <v>66</v>
      </c>
      <c r="D9666" s="9" t="s">
        <v>67</v>
      </c>
      <c r="E9666" s="10" t="s">
        <v>1789</v>
      </c>
      <c r="F9666" s="9" t="s">
        <v>1790</v>
      </c>
      <c r="G9666" s="10" t="s">
        <v>21</v>
      </c>
      <c r="H9666" s="9" t="s">
        <v>22</v>
      </c>
      <c r="I9666" s="9" t="s">
        <v>20241</v>
      </c>
      <c r="J9666" s="10" t="str">
        <f>HYPERLINK("https://www.boe.es/gazeta/dias/1834/05/31/pdfs/GMD-1834-100.pdf#page=3","Abrir facsímil")</f>
        <v>Abrir facsímil</v>
      </c>
      <c r="K9666" s="10" t="s">
        <v>24</v>
      </c>
    </row>
    <row r="9667" spans="1:11" ht="54" customHeight="1">
      <c r="A9667" s="9" t="s">
        <v>20242</v>
      </c>
      <c r="B9667" s="9" t="s">
        <v>20242</v>
      </c>
      <c r="C9667" s="9" t="s">
        <v>17</v>
      </c>
      <c r="D9667" s="9" t="s">
        <v>18</v>
      </c>
      <c r="E9667" s="10" t="s">
        <v>2048</v>
      </c>
      <c r="F9667" s="9" t="s">
        <v>2049</v>
      </c>
      <c r="G9667" s="10" t="s">
        <v>34</v>
      </c>
      <c r="H9667" s="9" t="s">
        <v>22</v>
      </c>
      <c r="I9667" s="9" t="s">
        <v>20243</v>
      </c>
      <c r="J9667" s="10" t="str">
        <f>HYPERLINK("https://www.boe.es/gazeta/dias/1834/05/12/pdfs/GMD-1834-81.pdf#page=1","Abrir facsímil")</f>
        <v>Abrir facsímil</v>
      </c>
      <c r="K9667" s="10" t="s">
        <v>24</v>
      </c>
    </row>
    <row r="9668" spans="1:11" ht="54" customHeight="1">
      <c r="A9668" s="9" t="s">
        <v>20244</v>
      </c>
      <c r="B9668" s="9" t="s">
        <v>20244</v>
      </c>
      <c r="C9668" s="9" t="s">
        <v>857</v>
      </c>
      <c r="D9668" s="9" t="s">
        <v>18</v>
      </c>
      <c r="E9668" s="10" t="s">
        <v>2748</v>
      </c>
      <c r="F9668" s="9" t="s">
        <v>2749</v>
      </c>
      <c r="G9668" s="10" t="s">
        <v>86</v>
      </c>
      <c r="H9668" s="9" t="s">
        <v>22</v>
      </c>
      <c r="I9668" s="9" t="s">
        <v>20245</v>
      </c>
      <c r="J9668" s="10" t="str">
        <f>HYPERLINK("https://www.boe.es/gazeta/dias/1834/01/09/pdfs/GMD-1834-5.pdf#page=2","Abrir facsímil")</f>
        <v>Abrir facsímil</v>
      </c>
      <c r="K9668" s="10" t="s">
        <v>24</v>
      </c>
    </row>
    <row r="9669" spans="1:11" ht="54" customHeight="1">
      <c r="A9669" s="9" t="s">
        <v>20246</v>
      </c>
      <c r="B9669" s="9" t="s">
        <v>20246</v>
      </c>
      <c r="C9669" s="9" t="s">
        <v>66</v>
      </c>
      <c r="D9669" s="9" t="s">
        <v>18</v>
      </c>
      <c r="E9669" s="10" t="s">
        <v>3066</v>
      </c>
      <c r="F9669" s="9" t="s">
        <v>3188</v>
      </c>
      <c r="G9669" s="10" t="s">
        <v>34</v>
      </c>
      <c r="H9669" s="9" t="s">
        <v>22</v>
      </c>
      <c r="I9669" s="9" t="s">
        <v>20247</v>
      </c>
      <c r="J9669" s="10" t="str">
        <f>HYPERLINK("https://www.boe.es/gazeta/dias/1834/08/03/pdfs/GMD-1834-167.pdf#page=1","Abrir facsímil")</f>
        <v>Abrir facsímil</v>
      </c>
      <c r="K9669" s="10" t="s">
        <v>24</v>
      </c>
    </row>
    <row r="9670" spans="1:11" ht="54" customHeight="1">
      <c r="A9670" s="9" t="s">
        <v>20248</v>
      </c>
      <c r="B9670" s="9" t="s">
        <v>20248</v>
      </c>
      <c r="C9670" s="9" t="s">
        <v>66</v>
      </c>
      <c r="D9670" s="9" t="s">
        <v>18</v>
      </c>
      <c r="E9670" s="10" t="s">
        <v>563</v>
      </c>
      <c r="F9670" s="9" t="s">
        <v>564</v>
      </c>
      <c r="G9670" s="10" t="s">
        <v>34</v>
      </c>
      <c r="H9670" s="9" t="s">
        <v>22</v>
      </c>
      <c r="I9670" s="9" t="s">
        <v>20249</v>
      </c>
      <c r="J9670" s="10" t="str">
        <f>HYPERLINK("https://www.boe.es/gazeta/dias/1834/04/19/pdfs/GMD-1834-58.pdf#page=1","Abrir facsímil")</f>
        <v>Abrir facsímil</v>
      </c>
      <c r="K9670" s="10" t="s">
        <v>24</v>
      </c>
    </row>
    <row r="9671" spans="1:11" ht="54" customHeight="1">
      <c r="A9671" s="9" t="s">
        <v>20250</v>
      </c>
      <c r="B9671" s="9" t="s">
        <v>20250</v>
      </c>
      <c r="C9671" s="9" t="s">
        <v>17</v>
      </c>
      <c r="D9671" s="9" t="s">
        <v>18</v>
      </c>
      <c r="E9671" s="10" t="s">
        <v>91</v>
      </c>
      <c r="F9671" s="9" t="s">
        <v>92</v>
      </c>
      <c r="G9671" s="10" t="s">
        <v>34</v>
      </c>
      <c r="H9671" s="9" t="s">
        <v>22</v>
      </c>
      <c r="I9671" s="9" t="s">
        <v>20251</v>
      </c>
      <c r="J9671" s="10" t="str">
        <f>HYPERLINK("https://www.boe.es/gazeta/dias/1834/02/13/pdfs/GMD-1834-20.pdf#page=1","Abrir facsímil")</f>
        <v>Abrir facsímil</v>
      </c>
      <c r="K9671" s="10" t="s">
        <v>24</v>
      </c>
    </row>
    <row r="9672" spans="1:11" ht="54" customHeight="1">
      <c r="A9672" s="9" t="s">
        <v>20252</v>
      </c>
      <c r="B9672" s="9" t="s">
        <v>20252</v>
      </c>
      <c r="C9672" s="9" t="s">
        <v>90</v>
      </c>
      <c r="D9672" s="9" t="s">
        <v>18</v>
      </c>
      <c r="E9672" s="10" t="s">
        <v>1394</v>
      </c>
      <c r="F9672" s="9" t="s">
        <v>1395</v>
      </c>
      <c r="G9672" s="10" t="s">
        <v>34</v>
      </c>
      <c r="H9672" s="9" t="s">
        <v>22</v>
      </c>
      <c r="I9672" s="9" t="s">
        <v>20253</v>
      </c>
      <c r="J9672" s="10" t="str">
        <f>HYPERLINK("https://www.boe.es/gazeta/dias/1834/04/16/pdfs/GMD-1834-55.pdf#page=1","Abrir facsímil")</f>
        <v>Abrir facsímil</v>
      </c>
      <c r="K9672" s="10" t="s">
        <v>24</v>
      </c>
    </row>
    <row r="9673" spans="1:11" ht="54" customHeight="1">
      <c r="A9673" s="9" t="s">
        <v>20254</v>
      </c>
      <c r="B9673" s="9" t="s">
        <v>20254</v>
      </c>
      <c r="C9673" s="9" t="s">
        <v>17</v>
      </c>
      <c r="D9673" s="9" t="s">
        <v>18</v>
      </c>
      <c r="E9673" s="10" t="s">
        <v>1658</v>
      </c>
      <c r="F9673" s="9" t="s">
        <v>1659</v>
      </c>
      <c r="G9673" s="10" t="s">
        <v>34</v>
      </c>
      <c r="H9673" s="9" t="s">
        <v>22</v>
      </c>
      <c r="I9673" s="9" t="s">
        <v>20255</v>
      </c>
      <c r="J9673" s="10" t="str">
        <f>HYPERLINK("https://www.boe.es/gazeta/dias/1834/04/05/pdfs/GMD-1834-44.pdf#page=1","Abrir facsímil")</f>
        <v>Abrir facsímil</v>
      </c>
      <c r="K9673" s="10" t="s">
        <v>24</v>
      </c>
    </row>
    <row r="9674" spans="1:11" ht="54" customHeight="1">
      <c r="A9674" s="9" t="s">
        <v>20256</v>
      </c>
      <c r="B9674" s="9" t="s">
        <v>20256</v>
      </c>
      <c r="C9674" s="9" t="s">
        <v>66</v>
      </c>
      <c r="D9674" s="9" t="s">
        <v>67</v>
      </c>
      <c r="E9674" s="10" t="s">
        <v>2048</v>
      </c>
      <c r="F9674" s="9" t="s">
        <v>2049</v>
      </c>
      <c r="G9674" s="10" t="s">
        <v>34</v>
      </c>
      <c r="H9674" s="9" t="s">
        <v>22</v>
      </c>
      <c r="I9674" s="9" t="s">
        <v>20257</v>
      </c>
      <c r="J9674" s="10" t="str">
        <f>HYPERLINK("https://www.boe.es/gazeta/dias/1834/05/12/pdfs/GMD-1834-81.pdf#page=1","Abrir facsímil")</f>
        <v>Abrir facsímil</v>
      </c>
      <c r="K9674" s="10" t="s">
        <v>24</v>
      </c>
    </row>
    <row r="9675" spans="1:11" ht="54" customHeight="1">
      <c r="A9675" s="9" t="s">
        <v>20258</v>
      </c>
      <c r="B9675" s="9" t="s">
        <v>20258</v>
      </c>
      <c r="C9675" s="9" t="s">
        <v>66</v>
      </c>
      <c r="D9675" s="9" t="s">
        <v>18</v>
      </c>
      <c r="E9675" s="10" t="s">
        <v>2004</v>
      </c>
      <c r="F9675" s="9" t="s">
        <v>2005</v>
      </c>
      <c r="G9675" s="10" t="s">
        <v>34</v>
      </c>
      <c r="H9675" s="9" t="s">
        <v>22</v>
      </c>
      <c r="I9675" s="9" t="s">
        <v>20259</v>
      </c>
      <c r="J9675" s="10" t="str">
        <f>HYPERLINK("https://www.boe.es/gazeta/dias/1834/05/09/pdfs/GMD-1834-78.pdf#page=1","Abrir facsímil")</f>
        <v>Abrir facsímil</v>
      </c>
      <c r="K9675" s="10" t="s">
        <v>24</v>
      </c>
    </row>
    <row r="9676" spans="1:11" ht="54" customHeight="1">
      <c r="A9676" s="9" t="s">
        <v>20260</v>
      </c>
      <c r="B9676" s="9" t="s">
        <v>20260</v>
      </c>
      <c r="C9676" s="9" t="s">
        <v>90</v>
      </c>
      <c r="D9676" s="9" t="s">
        <v>18</v>
      </c>
      <c r="E9676" s="10" t="s">
        <v>1402</v>
      </c>
      <c r="F9676" s="9" t="s">
        <v>1403</v>
      </c>
      <c r="G9676" s="10" t="s">
        <v>34</v>
      </c>
      <c r="H9676" s="9" t="s">
        <v>22</v>
      </c>
      <c r="I9676" s="9" t="s">
        <v>20261</v>
      </c>
      <c r="J9676" s="10" t="str">
        <f>HYPERLINK("https://www.boe.es/gazeta/dias/1834/05/05/pdfs/GMD-1834-74.pdf#page=1","Abrir facsímil")</f>
        <v>Abrir facsímil</v>
      </c>
      <c r="K9676" s="10" t="s">
        <v>24</v>
      </c>
    </row>
    <row r="9677" spans="1:11" ht="54" customHeight="1">
      <c r="A9677" s="9" t="s">
        <v>20262</v>
      </c>
      <c r="B9677" s="9" t="s">
        <v>20262</v>
      </c>
      <c r="C9677" s="9" t="s">
        <v>17</v>
      </c>
      <c r="D9677" s="9" t="s">
        <v>40</v>
      </c>
      <c r="E9677" s="10" t="s">
        <v>4064</v>
      </c>
      <c r="F9677" s="9" t="s">
        <v>4065</v>
      </c>
      <c r="G9677" s="10" t="s">
        <v>75</v>
      </c>
      <c r="H9677" s="9" t="s">
        <v>22</v>
      </c>
      <c r="I9677" s="9" t="s">
        <v>20263</v>
      </c>
      <c r="J9677" s="10" t="str">
        <f>HYPERLINK("https://www.boe.es/gazeta/dias/1834/07/22/pdfs/GMD-1834-155.pdf#page=4","Abrir facsímil")</f>
        <v>Abrir facsímil</v>
      </c>
      <c r="K9677" s="10" t="s">
        <v>24</v>
      </c>
    </row>
    <row r="9678" spans="1:11" ht="54" customHeight="1">
      <c r="A9678" s="9" t="s">
        <v>20264</v>
      </c>
      <c r="B9678" s="9" t="s">
        <v>20264</v>
      </c>
      <c r="C9678" s="9" t="s">
        <v>90</v>
      </c>
      <c r="D9678" s="9" t="s">
        <v>67</v>
      </c>
      <c r="E9678" s="10" t="s">
        <v>2945</v>
      </c>
      <c r="F9678" s="9" t="s">
        <v>2946</v>
      </c>
      <c r="G9678" s="10" t="s">
        <v>21</v>
      </c>
      <c r="H9678" s="9" t="s">
        <v>22</v>
      </c>
      <c r="I9678" s="9" t="s">
        <v>20265</v>
      </c>
      <c r="J9678" s="10" t="str">
        <f>HYPERLINK("https://www.boe.es/gazeta/dias/1834/05/29/pdfs/GMD-1834-98.pdf#page=3","Abrir facsímil")</f>
        <v>Abrir facsímil</v>
      </c>
      <c r="K9678" s="10" t="s">
        <v>24</v>
      </c>
    </row>
    <row r="9679" spans="1:11" ht="54" customHeight="1">
      <c r="A9679" s="9" t="s">
        <v>20266</v>
      </c>
      <c r="B9679" s="9" t="s">
        <v>20266</v>
      </c>
      <c r="C9679" s="9" t="s">
        <v>17</v>
      </c>
      <c r="D9679" s="9" t="s">
        <v>18</v>
      </c>
      <c r="E9679" s="10" t="s">
        <v>981</v>
      </c>
      <c r="F9679" s="9" t="s">
        <v>982</v>
      </c>
      <c r="G9679" s="10" t="s">
        <v>34</v>
      </c>
      <c r="H9679" s="9" t="s">
        <v>22</v>
      </c>
      <c r="I9679" s="9" t="s">
        <v>20267</v>
      </c>
      <c r="J9679" s="10" t="str">
        <f>HYPERLINK("https://www.boe.es/gazeta/dias/1834/09/21/pdfs/GMD-1834-219.pdf#page=1","Abrir facsímil")</f>
        <v>Abrir facsímil</v>
      </c>
      <c r="K9679" s="10" t="s">
        <v>24</v>
      </c>
    </row>
    <row r="9680" spans="1:11" ht="54" customHeight="1">
      <c r="A9680" s="9" t="s">
        <v>20268</v>
      </c>
      <c r="B9680" s="9" t="s">
        <v>20268</v>
      </c>
      <c r="C9680" s="9" t="s">
        <v>17</v>
      </c>
      <c r="D9680" s="9" t="s">
        <v>55</v>
      </c>
      <c r="E9680" s="10" t="s">
        <v>61</v>
      </c>
      <c r="F9680" s="9" t="s">
        <v>62</v>
      </c>
      <c r="G9680" s="10" t="s">
        <v>34</v>
      </c>
      <c r="H9680" s="9" t="s">
        <v>22</v>
      </c>
      <c r="I9680" s="9" t="s">
        <v>20269</v>
      </c>
      <c r="J9680" s="10" t="str">
        <f>HYPERLINK("https://www.boe.es/gazeta/dias/1834/06/08/pdfs/GMD-1834-111E.pdf#page=1","Abrir facsímil")</f>
        <v>Abrir facsímil</v>
      </c>
      <c r="K9680" s="10" t="s">
        <v>24</v>
      </c>
    </row>
    <row r="9681" spans="1:11" ht="54" customHeight="1">
      <c r="A9681" s="9" t="s">
        <v>20270</v>
      </c>
      <c r="B9681" s="9" t="s">
        <v>20270</v>
      </c>
      <c r="C9681" s="9" t="s">
        <v>66</v>
      </c>
      <c r="D9681" s="9" t="s">
        <v>101</v>
      </c>
      <c r="E9681" s="10" t="s">
        <v>1125</v>
      </c>
      <c r="F9681" s="9" t="s">
        <v>2490</v>
      </c>
      <c r="G9681" s="10" t="s">
        <v>34</v>
      </c>
      <c r="H9681" s="9" t="s">
        <v>22</v>
      </c>
      <c r="I9681" s="9" t="s">
        <v>20271</v>
      </c>
      <c r="J9681" s="10" t="str">
        <f>HYPERLINK("https://www.boe.es/gazeta/dias/1834/04/17/pdfs/GMD-1834-56.pdf#page=1","Abrir facsímil")</f>
        <v>Abrir facsímil</v>
      </c>
      <c r="K9681" s="10" t="s">
        <v>24</v>
      </c>
    </row>
    <row r="9682" spans="1:11" ht="54" customHeight="1">
      <c r="A9682" s="9" t="s">
        <v>20270</v>
      </c>
      <c r="B9682" s="9" t="s">
        <v>20270</v>
      </c>
      <c r="C9682" s="9" t="s">
        <v>46</v>
      </c>
      <c r="D9682" s="9" t="s">
        <v>18</v>
      </c>
      <c r="E9682" s="10" t="s">
        <v>627</v>
      </c>
      <c r="F9682" s="9" t="s">
        <v>1013</v>
      </c>
      <c r="G9682" s="10" t="s">
        <v>86</v>
      </c>
      <c r="H9682" s="9" t="s">
        <v>22</v>
      </c>
      <c r="I9682" s="9" t="s">
        <v>20272</v>
      </c>
      <c r="J9682" s="10" t="str">
        <f>HYPERLINK("https://www.boe.es/gazeta/dias/1834/09/22/pdfs/GMD-1834-220.pdf#page=2","Abrir facsímil")</f>
        <v>Abrir facsímil</v>
      </c>
      <c r="K9682" s="10" t="s">
        <v>24</v>
      </c>
    </row>
    <row r="9683" spans="1:11" ht="54" customHeight="1">
      <c r="A9683" s="9" t="s">
        <v>20273</v>
      </c>
      <c r="B9683" s="9" t="s">
        <v>20273</v>
      </c>
      <c r="C9683" s="9" t="s">
        <v>90</v>
      </c>
      <c r="D9683" s="9" t="s">
        <v>18</v>
      </c>
      <c r="E9683" s="10" t="s">
        <v>506</v>
      </c>
      <c r="F9683" s="9" t="s">
        <v>507</v>
      </c>
      <c r="G9683" s="10" t="s">
        <v>86</v>
      </c>
      <c r="H9683" s="9" t="s">
        <v>22</v>
      </c>
      <c r="I9683" s="9" t="s">
        <v>20274</v>
      </c>
      <c r="J9683" s="10" t="str">
        <f>HYPERLINK("https://www.boe.es/gazeta/dias/1834/03/04/pdfs/GMD-1834-28.pdf#page=2","Abrir facsímil")</f>
        <v>Abrir facsímil</v>
      </c>
      <c r="K9683" s="10" t="s">
        <v>24</v>
      </c>
    </row>
    <row r="9684" spans="1:11" ht="54" customHeight="1">
      <c r="A9684" s="9" t="s">
        <v>20275</v>
      </c>
      <c r="B9684" s="9" t="s">
        <v>20275</v>
      </c>
      <c r="C9684" s="9" t="s">
        <v>66</v>
      </c>
      <c r="D9684" s="9" t="s">
        <v>18</v>
      </c>
      <c r="E9684" s="10" t="s">
        <v>844</v>
      </c>
      <c r="F9684" s="9" t="s">
        <v>845</v>
      </c>
      <c r="G9684" s="10" t="s">
        <v>34</v>
      </c>
      <c r="H9684" s="9" t="s">
        <v>22</v>
      </c>
      <c r="I9684" s="9" t="s">
        <v>20276</v>
      </c>
      <c r="J9684" s="10" t="str">
        <f>HYPERLINK("https://www.boe.es/gazeta/dias/1834/03/13/pdfs/GMD-1834-32.pdf#page=1","Abrir facsímil")</f>
        <v>Abrir facsímil</v>
      </c>
      <c r="K9684" s="10" t="s">
        <v>24</v>
      </c>
    </row>
    <row r="9685" spans="1:11" ht="54" customHeight="1">
      <c r="A9685" s="9" t="s">
        <v>20277</v>
      </c>
      <c r="B9685" s="9" t="s">
        <v>20277</v>
      </c>
      <c r="C9685" s="9" t="s">
        <v>17</v>
      </c>
      <c r="D9685" s="9" t="s">
        <v>18</v>
      </c>
      <c r="E9685" s="10" t="s">
        <v>2241</v>
      </c>
      <c r="F9685" s="9" t="s">
        <v>2242</v>
      </c>
      <c r="G9685" s="10" t="s">
        <v>21</v>
      </c>
      <c r="H9685" s="9" t="s">
        <v>22</v>
      </c>
      <c r="I9685" s="9" t="s">
        <v>20278</v>
      </c>
      <c r="J9685" s="10" t="str">
        <f>HYPERLINK("https://www.boe.es/gazeta/dias/1834/03/11/pdfs/GMD-1834-31.pdf#page=3","Abrir facsímil")</f>
        <v>Abrir facsímil</v>
      </c>
      <c r="K9685" s="10" t="s">
        <v>24</v>
      </c>
    </row>
    <row r="9686" spans="1:11" ht="54" customHeight="1">
      <c r="A9686" s="9" t="s">
        <v>20277</v>
      </c>
      <c r="B9686" s="9" t="s">
        <v>20277</v>
      </c>
      <c r="C9686" s="9" t="s">
        <v>17</v>
      </c>
      <c r="D9686" s="9" t="s">
        <v>18</v>
      </c>
      <c r="E9686" s="10" t="s">
        <v>1669</v>
      </c>
      <c r="F9686" s="9" t="s">
        <v>1670</v>
      </c>
      <c r="G9686" s="10" t="s">
        <v>21</v>
      </c>
      <c r="H9686" s="9" t="s">
        <v>22</v>
      </c>
      <c r="I9686" s="9" t="s">
        <v>20279</v>
      </c>
      <c r="J9686" s="10" t="str">
        <f>HYPERLINK("https://www.boe.es/gazeta/dias/1834/06/19/pdfs/GMD-1834-122.pdf#page=3","Abrir facsímil")</f>
        <v>Abrir facsímil</v>
      </c>
      <c r="K9686" s="10" t="s">
        <v>24</v>
      </c>
    </row>
    <row r="9687" spans="1:11" ht="54" customHeight="1">
      <c r="A9687" s="9" t="s">
        <v>20277</v>
      </c>
      <c r="B9687" s="9" t="s">
        <v>20277</v>
      </c>
      <c r="C9687" s="9" t="s">
        <v>17</v>
      </c>
      <c r="D9687" s="9" t="s">
        <v>18</v>
      </c>
      <c r="E9687" s="10" t="s">
        <v>1017</v>
      </c>
      <c r="F9687" s="9" t="s">
        <v>1018</v>
      </c>
      <c r="G9687" s="10" t="s">
        <v>21</v>
      </c>
      <c r="H9687" s="9" t="s">
        <v>22</v>
      </c>
      <c r="I9687" s="9" t="s">
        <v>20280</v>
      </c>
      <c r="J9687" s="10" t="str">
        <f>HYPERLINK("https://www.boe.es/gazeta/dias/1834/07/24/pdfs/GMD-1834-157.pdf#page=3","Abrir facsímil")</f>
        <v>Abrir facsímil</v>
      </c>
      <c r="K9687" s="10" t="s">
        <v>24</v>
      </c>
    </row>
    <row r="9688" spans="1:11" ht="54" customHeight="1">
      <c r="A9688" s="9" t="s">
        <v>20281</v>
      </c>
      <c r="B9688" s="9" t="s">
        <v>20281</v>
      </c>
      <c r="C9688" s="9" t="s">
        <v>17</v>
      </c>
      <c r="D9688" s="9" t="s">
        <v>18</v>
      </c>
      <c r="E9688" s="10" t="s">
        <v>1337</v>
      </c>
      <c r="F9688" s="9" t="s">
        <v>1906</v>
      </c>
      <c r="G9688" s="10" t="s">
        <v>34</v>
      </c>
      <c r="H9688" s="9" t="s">
        <v>22</v>
      </c>
      <c r="I9688" s="9" t="s">
        <v>20282</v>
      </c>
      <c r="J9688" s="10" t="str">
        <f>HYPERLINK("https://www.boe.es/gazeta/dias/1834/01/02/pdfs/GMD-1834-2E.pdf#page=1","Abrir facsímil")</f>
        <v>Abrir facsímil</v>
      </c>
      <c r="K9688" s="10" t="s">
        <v>24</v>
      </c>
    </row>
    <row r="9689" spans="1:11" ht="54" customHeight="1">
      <c r="A9689" s="9" t="s">
        <v>20281</v>
      </c>
      <c r="B9689" s="9" t="s">
        <v>20281</v>
      </c>
      <c r="C9689" s="9" t="s">
        <v>17</v>
      </c>
      <c r="D9689" s="9" t="s">
        <v>101</v>
      </c>
      <c r="E9689" s="10" t="s">
        <v>3699</v>
      </c>
      <c r="F9689" s="9" t="s">
        <v>3700</v>
      </c>
      <c r="G9689" s="10" t="s">
        <v>86</v>
      </c>
      <c r="H9689" s="9" t="s">
        <v>22</v>
      </c>
      <c r="I9689" s="9" t="s">
        <v>20283</v>
      </c>
      <c r="J9689" s="10" t="str">
        <f>HYPERLINK("https://www.boe.es/gazeta/dias/1834/02/06/pdfs/GMD-1834-17.pdf#page=2","Abrir facsímil")</f>
        <v>Abrir facsímil</v>
      </c>
      <c r="K9689" s="10" t="s">
        <v>24</v>
      </c>
    </row>
    <row r="9690" spans="1:11" ht="54" customHeight="1">
      <c r="A9690" s="9" t="s">
        <v>20281</v>
      </c>
      <c r="B9690" s="9" t="s">
        <v>20281</v>
      </c>
      <c r="C9690" s="9" t="s">
        <v>17</v>
      </c>
      <c r="D9690" s="9" t="s">
        <v>18</v>
      </c>
      <c r="E9690" s="10" t="s">
        <v>2153</v>
      </c>
      <c r="F9690" s="9" t="s">
        <v>2154</v>
      </c>
      <c r="G9690" s="10" t="s">
        <v>34</v>
      </c>
      <c r="H9690" s="9" t="s">
        <v>22</v>
      </c>
      <c r="I9690" s="9" t="s">
        <v>20284</v>
      </c>
      <c r="J9690" s="10" t="str">
        <f>HYPERLINK("https://www.boe.es/gazeta/dias/1834/01/23/pdfs/GMD-1834-11.pdf#page=1","Abrir facsímil")</f>
        <v>Abrir facsímil</v>
      </c>
      <c r="K9690" s="10" t="s">
        <v>24</v>
      </c>
    </row>
    <row r="9691" spans="1:11" ht="54" customHeight="1">
      <c r="A9691" s="9" t="s">
        <v>20281</v>
      </c>
      <c r="B9691" s="9" t="s">
        <v>20281</v>
      </c>
      <c r="C9691" s="9" t="s">
        <v>17</v>
      </c>
      <c r="D9691" s="9" t="s">
        <v>18</v>
      </c>
      <c r="E9691" s="10" t="s">
        <v>403</v>
      </c>
      <c r="F9691" s="9" t="s">
        <v>3456</v>
      </c>
      <c r="G9691" s="10" t="s">
        <v>21</v>
      </c>
      <c r="H9691" s="9" t="s">
        <v>22</v>
      </c>
      <c r="I9691" s="9" t="s">
        <v>20285</v>
      </c>
      <c r="J9691" s="10" t="str">
        <f>HYPERLINK("https://www.boe.es/gazeta/dias/1834/09/25/pdfs/GMD-1834-223.pdf#page=3","Abrir facsímil")</f>
        <v>Abrir facsímil</v>
      </c>
      <c r="K9691" s="10" t="s">
        <v>24</v>
      </c>
    </row>
    <row r="9692" spans="1:11" ht="54" customHeight="1">
      <c r="A9692" s="9" t="s">
        <v>20286</v>
      </c>
      <c r="B9692" s="9" t="s">
        <v>20286</v>
      </c>
      <c r="C9692" s="9" t="s">
        <v>17</v>
      </c>
      <c r="D9692" s="9" t="s">
        <v>18</v>
      </c>
      <c r="E9692" s="10" t="s">
        <v>3083</v>
      </c>
      <c r="F9692" s="9" t="s">
        <v>3084</v>
      </c>
      <c r="G9692" s="10" t="s">
        <v>21</v>
      </c>
      <c r="H9692" s="9" t="s">
        <v>22</v>
      </c>
      <c r="I9692" s="9" t="s">
        <v>20287</v>
      </c>
      <c r="J9692" s="10" t="str">
        <f>HYPERLINK("https://www.boe.es/gazeta/dias/1834/10/30/pdfs/GMD-1834-258.pdf#page=3","Abrir facsímil")</f>
        <v>Abrir facsímil</v>
      </c>
      <c r="K9692" s="10" t="s">
        <v>24</v>
      </c>
    </row>
    <row r="9693" spans="1:11" ht="54" customHeight="1">
      <c r="A9693" s="9" t="s">
        <v>20288</v>
      </c>
      <c r="B9693" s="9" t="s">
        <v>20288</v>
      </c>
      <c r="C9693" s="9" t="s">
        <v>17</v>
      </c>
      <c r="D9693" s="9" t="s">
        <v>18</v>
      </c>
      <c r="E9693" s="10" t="s">
        <v>1789</v>
      </c>
      <c r="F9693" s="9" t="s">
        <v>1790</v>
      </c>
      <c r="G9693" s="10" t="s">
        <v>21</v>
      </c>
      <c r="H9693" s="9" t="s">
        <v>22</v>
      </c>
      <c r="I9693" s="9" t="s">
        <v>20289</v>
      </c>
      <c r="J9693" s="10" t="str">
        <f>HYPERLINK("https://www.boe.es/gazeta/dias/1834/05/31/pdfs/GMD-1834-100.pdf#page=3","Abrir facsímil")</f>
        <v>Abrir facsímil</v>
      </c>
      <c r="K9693" s="10" t="s">
        <v>24</v>
      </c>
    </row>
    <row r="9694" spans="1:11" ht="54" customHeight="1">
      <c r="A9694" s="9" t="s">
        <v>20290</v>
      </c>
      <c r="B9694" s="9" t="s">
        <v>20290</v>
      </c>
      <c r="C9694" s="9" t="s">
        <v>66</v>
      </c>
      <c r="D9694" s="9" t="s">
        <v>67</v>
      </c>
      <c r="E9694" s="10" t="s">
        <v>2398</v>
      </c>
      <c r="F9694" s="9" t="s">
        <v>2399</v>
      </c>
      <c r="G9694" s="10" t="s">
        <v>75</v>
      </c>
      <c r="H9694" s="9" t="s">
        <v>22</v>
      </c>
      <c r="I9694" s="9" t="s">
        <v>20291</v>
      </c>
      <c r="J9694" s="10" t="str">
        <f>HYPERLINK("https://www.boe.es/gazeta/dias/1834/01/16/pdfs/GMD-1834-8.pdf#page=4","Abrir facsímil")</f>
        <v>Abrir facsímil</v>
      </c>
      <c r="K9694" s="10" t="s">
        <v>24</v>
      </c>
    </row>
    <row r="9695" spans="1:11" ht="54" customHeight="1">
      <c r="A9695" s="9" t="s">
        <v>20292</v>
      </c>
      <c r="B9695" s="9" t="s">
        <v>20292</v>
      </c>
      <c r="C9695" s="9" t="s">
        <v>122</v>
      </c>
      <c r="D9695" s="9" t="s">
        <v>18</v>
      </c>
      <c r="E9695" s="10" t="s">
        <v>304</v>
      </c>
      <c r="F9695" s="9" t="s">
        <v>305</v>
      </c>
      <c r="G9695" s="10" t="s">
        <v>34</v>
      </c>
      <c r="H9695" s="9" t="s">
        <v>22</v>
      </c>
      <c r="I9695" s="9" t="s">
        <v>20293</v>
      </c>
      <c r="J9695" s="10" t="str">
        <f>HYPERLINK("https://www.boe.es/gazeta/dias/1834/01/21/pdfs/GMD-1834-10.pdf#page=1","Abrir facsímil")</f>
        <v>Abrir facsímil</v>
      </c>
      <c r="K9695" s="10" t="s">
        <v>24</v>
      </c>
    </row>
    <row r="9696" spans="1:11" ht="54" customHeight="1">
      <c r="A9696" s="9" t="s">
        <v>20294</v>
      </c>
      <c r="B9696" s="9" t="s">
        <v>20294</v>
      </c>
      <c r="C9696" s="9" t="s">
        <v>90</v>
      </c>
      <c r="D9696" s="9" t="s">
        <v>67</v>
      </c>
      <c r="E9696" s="10" t="s">
        <v>1839</v>
      </c>
      <c r="F9696" s="9" t="s">
        <v>3598</v>
      </c>
      <c r="G9696" s="10" t="s">
        <v>34</v>
      </c>
      <c r="H9696" s="9" t="s">
        <v>22</v>
      </c>
      <c r="I9696" s="9" t="s">
        <v>20295</v>
      </c>
      <c r="J9696" s="10" t="str">
        <f>HYPERLINK("https://www.boe.es/gazeta/dias/1834/08/12/pdfs/GMD-1834-177.pdf#page=1","Abrir facsímil")</f>
        <v>Abrir facsímil</v>
      </c>
      <c r="K9696" s="10" t="s">
        <v>24</v>
      </c>
    </row>
    <row r="9697" spans="1:11" ht="54" customHeight="1">
      <c r="A9697" s="9" t="s">
        <v>20296</v>
      </c>
      <c r="B9697" s="9" t="s">
        <v>20296</v>
      </c>
      <c r="C9697" s="9" t="s">
        <v>46</v>
      </c>
      <c r="D9697" s="9" t="s">
        <v>101</v>
      </c>
      <c r="E9697" s="10" t="s">
        <v>123</v>
      </c>
      <c r="F9697" s="9" t="s">
        <v>124</v>
      </c>
      <c r="G9697" s="10" t="s">
        <v>34</v>
      </c>
      <c r="H9697" s="9" t="s">
        <v>22</v>
      </c>
      <c r="I9697" s="9" t="s">
        <v>20297</v>
      </c>
      <c r="J9697" s="10" t="str">
        <f>HYPERLINK("https://www.boe.es/gazeta/dias/1834/07/11/pdfs/GMD-1834-144.pdf#page=1","Abrir facsímil")</f>
        <v>Abrir facsímil</v>
      </c>
      <c r="K9697" s="10" t="s">
        <v>24</v>
      </c>
    </row>
    <row r="9698" spans="1:11" ht="54" customHeight="1">
      <c r="A9698" s="9" t="s">
        <v>20298</v>
      </c>
      <c r="B9698" s="9" t="s">
        <v>20298</v>
      </c>
      <c r="C9698" s="9" t="s">
        <v>17</v>
      </c>
      <c r="D9698" s="9" t="s">
        <v>55</v>
      </c>
      <c r="E9698" s="10" t="s">
        <v>866</v>
      </c>
      <c r="F9698" s="9" t="s">
        <v>867</v>
      </c>
      <c r="G9698" s="10" t="s">
        <v>21</v>
      </c>
      <c r="H9698" s="9" t="s">
        <v>22</v>
      </c>
      <c r="I9698" s="9" t="s">
        <v>20299</v>
      </c>
      <c r="J9698" s="10" t="str">
        <f>HYPERLINK("https://www.boe.es/gazeta/dias/1834/01/18/pdfs/GMD-1834-9.pdf#page=3","Abrir facsímil")</f>
        <v>Abrir facsímil</v>
      </c>
      <c r="K9698" s="10" t="s">
        <v>24</v>
      </c>
    </row>
    <row r="9699" spans="1:11" ht="54" customHeight="1">
      <c r="A9699" s="9" t="s">
        <v>20300</v>
      </c>
      <c r="B9699" s="9" t="s">
        <v>20300</v>
      </c>
      <c r="C9699" s="9" t="s">
        <v>17</v>
      </c>
      <c r="D9699" s="9" t="s">
        <v>18</v>
      </c>
      <c r="E9699" s="10" t="s">
        <v>426</v>
      </c>
      <c r="F9699" s="9" t="s">
        <v>694</v>
      </c>
      <c r="G9699" s="10" t="s">
        <v>34</v>
      </c>
      <c r="H9699" s="9" t="s">
        <v>22</v>
      </c>
      <c r="I9699" s="9" t="s">
        <v>20301</v>
      </c>
      <c r="J9699" s="10" t="str">
        <f>HYPERLINK("https://www.boe.es/gazeta/dias/1834/10/04/pdfs/GMD-C-1834-232.pdf#page=1","Abrir facsímil")</f>
        <v>Abrir facsímil</v>
      </c>
      <c r="K9699" s="10" t="s">
        <v>24</v>
      </c>
    </row>
    <row r="9700" spans="1:11" ht="54" customHeight="1">
      <c r="A9700" s="9" t="s">
        <v>20302</v>
      </c>
      <c r="B9700" s="9" t="s">
        <v>20302</v>
      </c>
      <c r="C9700" s="9" t="s">
        <v>66</v>
      </c>
      <c r="D9700" s="9" t="s">
        <v>67</v>
      </c>
      <c r="E9700" s="10" t="s">
        <v>2087</v>
      </c>
      <c r="F9700" s="9" t="s">
        <v>2088</v>
      </c>
      <c r="G9700" s="10" t="s">
        <v>21</v>
      </c>
      <c r="H9700" s="9" t="s">
        <v>22</v>
      </c>
      <c r="I9700" s="9" t="s">
        <v>20303</v>
      </c>
      <c r="J9700" s="10" t="str">
        <f>HYPERLINK("https://www.boe.es/gazeta/dias/1834/12/14/pdfs/GMD-1834-303.pdf#page=3","Abrir facsímil")</f>
        <v>Abrir facsímil</v>
      </c>
      <c r="K9700" s="10" t="s">
        <v>24</v>
      </c>
    </row>
    <row r="9701" spans="1:11" ht="54" customHeight="1">
      <c r="A9701" s="9" t="s">
        <v>20304</v>
      </c>
      <c r="B9701" s="9" t="s">
        <v>20304</v>
      </c>
      <c r="C9701" s="9" t="s">
        <v>17</v>
      </c>
      <c r="D9701" s="9" t="s">
        <v>18</v>
      </c>
      <c r="E9701" s="10" t="s">
        <v>143</v>
      </c>
      <c r="F9701" s="9" t="s">
        <v>144</v>
      </c>
      <c r="G9701" s="10" t="s">
        <v>21</v>
      </c>
      <c r="H9701" s="9" t="s">
        <v>22</v>
      </c>
      <c r="I9701" s="9" t="s">
        <v>20305</v>
      </c>
      <c r="J9701" s="10" t="str">
        <f>HYPERLINK("https://www.boe.es/gazeta/dias/1834/07/31/pdfs/GMD-1834-164.pdf#page=3","Abrir facsímil")</f>
        <v>Abrir facsímil</v>
      </c>
      <c r="K9701" s="10" t="s">
        <v>24</v>
      </c>
    </row>
    <row r="9702" spans="1:11" ht="54" customHeight="1">
      <c r="A9702" s="9" t="s">
        <v>20306</v>
      </c>
      <c r="B9702" s="9" t="s">
        <v>20306</v>
      </c>
      <c r="C9702" s="9" t="s">
        <v>17</v>
      </c>
      <c r="D9702" s="9" t="s">
        <v>18</v>
      </c>
      <c r="E9702" s="10" t="s">
        <v>2260</v>
      </c>
      <c r="F9702" s="9" t="s">
        <v>2263</v>
      </c>
      <c r="G9702" s="10" t="s">
        <v>560</v>
      </c>
      <c r="H9702" s="9" t="s">
        <v>22</v>
      </c>
      <c r="I9702" s="9" t="s">
        <v>20307</v>
      </c>
      <c r="J9702" s="10" t="str">
        <f>HYPERLINK("https://www.boe.es/gazeta/dias/1834/11/13/pdfs/GMD-C-1834-272.pdf#page=7","Abrir facsímil")</f>
        <v>Abrir facsímil</v>
      </c>
      <c r="K9702" s="10" t="s">
        <v>24</v>
      </c>
    </row>
    <row r="9703" spans="1:11" ht="54" customHeight="1">
      <c r="A9703" s="9" t="s">
        <v>20308</v>
      </c>
      <c r="B9703" s="9" t="s">
        <v>20308</v>
      </c>
      <c r="C9703" s="9" t="s">
        <v>46</v>
      </c>
      <c r="D9703" s="9" t="s">
        <v>101</v>
      </c>
      <c r="E9703" s="10" t="s">
        <v>233</v>
      </c>
      <c r="F9703" s="9" t="s">
        <v>1810</v>
      </c>
      <c r="G9703" s="10" t="s">
        <v>1099</v>
      </c>
      <c r="H9703" s="9" t="s">
        <v>22</v>
      </c>
      <c r="I9703" s="9" t="s">
        <v>20309</v>
      </c>
      <c r="J9703" s="10" t="str">
        <f>HYPERLINK("https://www.boe.es/gazeta/dias/1834/12/16/pdfs/GMD-C-1834-305.pdf#page=11","Abrir facsímil")</f>
        <v>Abrir facsímil</v>
      </c>
      <c r="K9703" s="10" t="s">
        <v>24</v>
      </c>
    </row>
    <row r="9704" spans="1:11" ht="54" customHeight="1">
      <c r="A9704" s="9" t="s">
        <v>20310</v>
      </c>
      <c r="B9704" s="9" t="s">
        <v>20310</v>
      </c>
      <c r="C9704" s="9" t="s">
        <v>122</v>
      </c>
      <c r="D9704" s="9" t="s">
        <v>101</v>
      </c>
      <c r="E9704" s="10" t="s">
        <v>860</v>
      </c>
      <c r="F9704" s="9" t="s">
        <v>861</v>
      </c>
      <c r="G9704" s="10" t="s">
        <v>34</v>
      </c>
      <c r="H9704" s="9" t="s">
        <v>22</v>
      </c>
      <c r="I9704" s="9" t="s">
        <v>20311</v>
      </c>
      <c r="J9704" s="10" t="str">
        <f>HYPERLINK("https://www.boe.es/gazeta/dias/1834/02/08/pdfs/GMD-1834-18.pdf#page=1","Abrir facsímil")</f>
        <v>Abrir facsímil</v>
      </c>
      <c r="K9704" s="10" t="s">
        <v>24</v>
      </c>
    </row>
    <row r="9705" spans="1:11" ht="54" customHeight="1">
      <c r="A9705" s="9" t="s">
        <v>20312</v>
      </c>
      <c r="B9705" s="9" t="s">
        <v>20312</v>
      </c>
      <c r="C9705" s="9" t="s">
        <v>17</v>
      </c>
      <c r="D9705" s="9" t="s">
        <v>18</v>
      </c>
      <c r="E9705" s="10" t="s">
        <v>623</v>
      </c>
      <c r="F9705" s="9" t="s">
        <v>624</v>
      </c>
      <c r="G9705" s="10" t="s">
        <v>34</v>
      </c>
      <c r="H9705" s="9" t="s">
        <v>22</v>
      </c>
      <c r="I9705" s="9" t="s">
        <v>20313</v>
      </c>
      <c r="J9705" s="10" t="str">
        <f>HYPERLINK("https://www.boe.es/gazeta/dias/1834/10/12/pdfs/GMD-D-1834-240.pdf#page=1","Abrir facsímil")</f>
        <v>Abrir facsímil</v>
      </c>
      <c r="K9705" s="10" t="s">
        <v>24</v>
      </c>
    </row>
    <row r="9706" spans="1:11" ht="54" customHeight="1">
      <c r="A9706" s="9" t="s">
        <v>20312</v>
      </c>
      <c r="B9706" s="9" t="s">
        <v>20312</v>
      </c>
      <c r="C9706" s="9" t="s">
        <v>17</v>
      </c>
      <c r="D9706" s="9" t="s">
        <v>18</v>
      </c>
      <c r="E9706" s="10" t="s">
        <v>1323</v>
      </c>
      <c r="F9706" s="9" t="s">
        <v>1324</v>
      </c>
      <c r="G9706" s="10" t="s">
        <v>21</v>
      </c>
      <c r="H9706" s="9" t="s">
        <v>22</v>
      </c>
      <c r="I9706" s="9" t="s">
        <v>20314</v>
      </c>
      <c r="J9706" s="10" t="str">
        <f>HYPERLINK("https://www.boe.es/gazeta/dias/1834/05/22/pdfs/GMD-1834-91.pdf#page=3","Abrir facsímil")</f>
        <v>Abrir facsímil</v>
      </c>
      <c r="K9706" s="10" t="s">
        <v>24</v>
      </c>
    </row>
    <row r="9707" spans="1:11" ht="54" customHeight="1">
      <c r="A9707" s="9" t="s">
        <v>20315</v>
      </c>
      <c r="B9707" s="9" t="s">
        <v>20315</v>
      </c>
      <c r="C9707" s="9" t="s">
        <v>17</v>
      </c>
      <c r="D9707" s="9" t="s">
        <v>18</v>
      </c>
      <c r="E9707" s="10" t="s">
        <v>183</v>
      </c>
      <c r="F9707" s="9" t="s">
        <v>184</v>
      </c>
      <c r="G9707" s="10" t="s">
        <v>34</v>
      </c>
      <c r="H9707" s="9" t="s">
        <v>22</v>
      </c>
      <c r="I9707" s="9" t="s">
        <v>20316</v>
      </c>
      <c r="J9707" s="10" t="str">
        <f>HYPERLINK("https://www.boe.es/gazeta/dias/1834/03/18/pdfs/GMD-1834-34.pdf#page=1","Abrir facsímil")</f>
        <v>Abrir facsímil</v>
      </c>
      <c r="K9707" s="10" t="s">
        <v>24</v>
      </c>
    </row>
    <row r="9708" spans="1:11" ht="54" customHeight="1">
      <c r="A9708" s="9" t="s">
        <v>20317</v>
      </c>
      <c r="B9708" s="9" t="s">
        <v>20318</v>
      </c>
      <c r="C9708" s="9" t="s">
        <v>66</v>
      </c>
      <c r="D9708" s="9" t="s">
        <v>18</v>
      </c>
      <c r="E9708" s="10" t="s">
        <v>1178</v>
      </c>
      <c r="F9708" s="9" t="s">
        <v>14853</v>
      </c>
      <c r="G9708" s="10" t="s">
        <v>34</v>
      </c>
      <c r="H9708" s="9" t="s">
        <v>22</v>
      </c>
      <c r="I9708" s="9" t="s">
        <v>20319</v>
      </c>
      <c r="J9708" s="10" t="str">
        <f>HYPERLINK("https://www.boe.es/gazeta/dias/1834/04/10/pdfs/GMD-1834-49.pdf#page=1","Abrir facsímil")</f>
        <v>Abrir facsímil</v>
      </c>
      <c r="K9708" s="10" t="s">
        <v>24</v>
      </c>
    </row>
    <row r="9709" spans="1:11" ht="54" customHeight="1">
      <c r="A9709" s="9" t="s">
        <v>20320</v>
      </c>
      <c r="B9709" s="9" t="s">
        <v>20320</v>
      </c>
      <c r="C9709" s="9" t="s">
        <v>66</v>
      </c>
      <c r="D9709" s="9" t="s">
        <v>67</v>
      </c>
      <c r="E9709" s="10" t="s">
        <v>1424</v>
      </c>
      <c r="F9709" s="9" t="s">
        <v>1425</v>
      </c>
      <c r="G9709" s="10" t="s">
        <v>75</v>
      </c>
      <c r="H9709" s="9" t="s">
        <v>22</v>
      </c>
      <c r="I9709" s="9" t="s">
        <v>20321</v>
      </c>
      <c r="J9709" s="10" t="str">
        <f>HYPERLINK("https://www.boe.es/gazeta/dias/1834/11/14/pdfs/GMD-C-1834-273.pdf#page=4","Abrir facsímil")</f>
        <v>Abrir facsímil</v>
      </c>
      <c r="K9709" s="10" t="s">
        <v>24</v>
      </c>
    </row>
    <row r="9710" spans="1:11" ht="54" customHeight="1">
      <c r="A9710" s="9" t="s">
        <v>20322</v>
      </c>
      <c r="B9710" s="9" t="s">
        <v>20323</v>
      </c>
      <c r="C9710" s="9" t="s">
        <v>66</v>
      </c>
      <c r="D9710" s="9" t="s">
        <v>67</v>
      </c>
      <c r="E9710" s="10" t="s">
        <v>3328</v>
      </c>
      <c r="F9710" s="9" t="s">
        <v>3329</v>
      </c>
      <c r="G9710" s="10" t="s">
        <v>21</v>
      </c>
      <c r="H9710" s="9" t="s">
        <v>22</v>
      </c>
      <c r="I9710" s="9" t="s">
        <v>20324</v>
      </c>
      <c r="J9710" s="10" t="str">
        <f>HYPERLINK("https://www.boe.es/gazeta/dias/1834/06/04/pdfs/GMD-1834-106.pdf#page=3","Abrir facsímil")</f>
        <v>Abrir facsímil</v>
      </c>
      <c r="K9710" s="10" t="s">
        <v>24</v>
      </c>
    </row>
    <row r="9711" spans="1:11" ht="54" customHeight="1">
      <c r="A9711" s="9" t="s">
        <v>20325</v>
      </c>
      <c r="B9711" s="9" t="s">
        <v>20325</v>
      </c>
      <c r="C9711" s="9" t="s">
        <v>17</v>
      </c>
      <c r="D9711" s="9" t="s">
        <v>18</v>
      </c>
      <c r="E9711" s="10" t="s">
        <v>1141</v>
      </c>
      <c r="F9711" s="9" t="s">
        <v>1142</v>
      </c>
      <c r="G9711" s="10" t="s">
        <v>34</v>
      </c>
      <c r="H9711" s="9" t="s">
        <v>22</v>
      </c>
      <c r="I9711" s="9" t="s">
        <v>20326</v>
      </c>
      <c r="J9711" s="10" t="str">
        <f>HYPERLINK("https://www.boe.es/gazeta/dias/1834/04/30/pdfs/GMD-1834-69.pdf#page=1","Abrir facsímil")</f>
        <v>Abrir facsímil</v>
      </c>
      <c r="K9711" s="10" t="s">
        <v>24</v>
      </c>
    </row>
    <row r="9712" spans="1:11" ht="54" customHeight="1">
      <c r="A9712" s="9" t="s">
        <v>20327</v>
      </c>
      <c r="B9712" s="9" t="s">
        <v>20328</v>
      </c>
      <c r="C9712" s="9" t="s">
        <v>17</v>
      </c>
      <c r="D9712" s="9" t="s">
        <v>55</v>
      </c>
      <c r="E9712" s="10" t="s">
        <v>258</v>
      </c>
      <c r="F9712" s="9" t="s">
        <v>259</v>
      </c>
      <c r="G9712" s="10" t="s">
        <v>75</v>
      </c>
      <c r="H9712" s="9" t="s">
        <v>22</v>
      </c>
      <c r="I9712" s="9" t="s">
        <v>20329</v>
      </c>
      <c r="J9712" s="10" t="str">
        <f>HYPERLINK("https://www.boe.es/gazeta/dias/1834/10/09/pdfs/GMD-C-1834-237.pdf#page=4","Abrir facsímil")</f>
        <v>Abrir facsímil</v>
      </c>
      <c r="K9712" s="10" t="s">
        <v>24</v>
      </c>
    </row>
    <row r="9713" spans="1:11" ht="54" customHeight="1">
      <c r="A9713" s="9" t="s">
        <v>20330</v>
      </c>
      <c r="B9713" s="9" t="s">
        <v>20331</v>
      </c>
      <c r="C9713" s="9" t="s">
        <v>66</v>
      </c>
      <c r="D9713" s="9" t="s">
        <v>67</v>
      </c>
      <c r="E9713" s="10" t="s">
        <v>479</v>
      </c>
      <c r="F9713" s="9" t="s">
        <v>2258</v>
      </c>
      <c r="G9713" s="10" t="s">
        <v>75</v>
      </c>
      <c r="H9713" s="9" t="s">
        <v>22</v>
      </c>
      <c r="I9713" s="9" t="s">
        <v>20332</v>
      </c>
      <c r="J9713" s="10" t="str">
        <f>HYPERLINK("https://www.boe.es/gazeta/dias/1834/08/13/pdfs/GMD-C-1834-178.pdf#page=4","Abrir facsímil")</f>
        <v>Abrir facsímil</v>
      </c>
      <c r="K9713" s="10" t="s">
        <v>24</v>
      </c>
    </row>
    <row r="9714" spans="1:11" ht="54" customHeight="1">
      <c r="A9714" s="9" t="s">
        <v>20330</v>
      </c>
      <c r="B9714" s="9" t="s">
        <v>20331</v>
      </c>
      <c r="C9714" s="9" t="s">
        <v>66</v>
      </c>
      <c r="D9714" s="9" t="s">
        <v>67</v>
      </c>
      <c r="E9714" s="10" t="s">
        <v>32</v>
      </c>
      <c r="F9714" s="9" t="s">
        <v>7431</v>
      </c>
      <c r="G9714" s="10" t="s">
        <v>34</v>
      </c>
      <c r="H9714" s="9" t="s">
        <v>22</v>
      </c>
      <c r="I9714" s="9" t="s">
        <v>20333</v>
      </c>
      <c r="J9714" s="10" t="str">
        <f>HYPERLINK("https://www.boe.es/gazeta/dias/1834/04/23/pdfs/GMD-C-1834-62.pdf#page=1","Abrir facsímil")</f>
        <v>Abrir facsímil</v>
      </c>
      <c r="K9714" s="10" t="s">
        <v>24</v>
      </c>
    </row>
    <row r="9715" spans="1:11" ht="54" customHeight="1">
      <c r="A9715" s="9" t="s">
        <v>20334</v>
      </c>
      <c r="B9715" s="9" t="s">
        <v>20335</v>
      </c>
      <c r="C9715" s="9" t="s">
        <v>17</v>
      </c>
      <c r="D9715" s="9" t="s">
        <v>18</v>
      </c>
      <c r="E9715" s="10" t="s">
        <v>433</v>
      </c>
      <c r="F9715" s="9" t="s">
        <v>434</v>
      </c>
      <c r="G9715" s="10" t="s">
        <v>86</v>
      </c>
      <c r="H9715" s="9" t="s">
        <v>22</v>
      </c>
      <c r="I9715" s="9" t="s">
        <v>20336</v>
      </c>
      <c r="J9715" s="10" t="str">
        <f>HYPERLINK("https://www.boe.es/gazeta/dias/1834/10/07/pdfs/GMD-C-1834-235.pdf#page=2","Abrir facsímil")</f>
        <v>Abrir facsímil</v>
      </c>
      <c r="K9715" s="10" t="s">
        <v>24</v>
      </c>
    </row>
    <row r="9716" spans="1:11" ht="54" customHeight="1">
      <c r="A9716" s="9" t="s">
        <v>20337</v>
      </c>
      <c r="B9716" s="9" t="s">
        <v>20338</v>
      </c>
      <c r="C9716" s="9" t="s">
        <v>46</v>
      </c>
      <c r="D9716" s="9" t="s">
        <v>55</v>
      </c>
      <c r="E9716" s="10" t="s">
        <v>1517</v>
      </c>
      <c r="F9716" s="9" t="s">
        <v>1518</v>
      </c>
      <c r="G9716" s="10" t="s">
        <v>86</v>
      </c>
      <c r="H9716" s="9" t="s">
        <v>22</v>
      </c>
      <c r="I9716" s="9" t="s">
        <v>20339</v>
      </c>
      <c r="J9716" s="10" t="str">
        <f>HYPERLINK("https://www.boe.es/gazeta/dias/1834/05/18/pdfs/GMD-1834-87.pdf#page=2","Abrir facsímil")</f>
        <v>Abrir facsímil</v>
      </c>
      <c r="K9716" s="10" t="s">
        <v>24</v>
      </c>
    </row>
    <row r="9717" spans="1:11" ht="54" customHeight="1">
      <c r="A9717" s="9" t="s">
        <v>20340</v>
      </c>
      <c r="B9717" s="9" t="s">
        <v>20341</v>
      </c>
      <c r="C9717" s="9" t="s">
        <v>90</v>
      </c>
      <c r="D9717" s="9" t="s">
        <v>18</v>
      </c>
      <c r="E9717" s="10" t="s">
        <v>1812</v>
      </c>
      <c r="F9717" s="9" t="s">
        <v>1813</v>
      </c>
      <c r="G9717" s="10" t="s">
        <v>21</v>
      </c>
      <c r="H9717" s="9" t="s">
        <v>22</v>
      </c>
      <c r="I9717" s="9" t="s">
        <v>20342</v>
      </c>
      <c r="J9717" s="10" t="str">
        <f>HYPERLINK("https://www.boe.es/gazeta/dias/1834/10/23/pdfs/GMD-1834-251.pdf#page=3","Abrir facsímil")</f>
        <v>Abrir facsímil</v>
      </c>
      <c r="K9717" s="10" t="s">
        <v>24</v>
      </c>
    </row>
    <row r="9718" spans="1:11" ht="54" customHeight="1">
      <c r="A9718" s="9" t="s">
        <v>20343</v>
      </c>
      <c r="B9718" s="9" t="s">
        <v>20343</v>
      </c>
      <c r="C9718" s="9" t="s">
        <v>122</v>
      </c>
      <c r="D9718" s="9" t="s">
        <v>18</v>
      </c>
      <c r="E9718" s="10" t="s">
        <v>849</v>
      </c>
      <c r="F9718" s="9" t="s">
        <v>850</v>
      </c>
      <c r="G9718" s="10" t="s">
        <v>34</v>
      </c>
      <c r="H9718" s="9" t="s">
        <v>22</v>
      </c>
      <c r="I9718" s="9" t="s">
        <v>20344</v>
      </c>
      <c r="J9718" s="10" t="str">
        <f>HYPERLINK("https://www.boe.es/gazeta/dias/1834/06/21/pdfs/GMD-1834-124.pdf#page=1","Abrir facsímil")</f>
        <v>Abrir facsímil</v>
      </c>
      <c r="K9718" s="10" t="s">
        <v>24</v>
      </c>
    </row>
    <row r="9719" spans="1:11" ht="54" customHeight="1">
      <c r="A9719" s="9" t="s">
        <v>20345</v>
      </c>
      <c r="B9719" s="9" t="s">
        <v>20345</v>
      </c>
      <c r="C9719" s="9" t="s">
        <v>17</v>
      </c>
      <c r="D9719" s="9" t="s">
        <v>18</v>
      </c>
      <c r="E9719" s="10" t="s">
        <v>128</v>
      </c>
      <c r="F9719" s="9" t="s">
        <v>129</v>
      </c>
      <c r="G9719" s="10" t="s">
        <v>28</v>
      </c>
      <c r="H9719" s="9" t="s">
        <v>22</v>
      </c>
      <c r="I9719" s="9" t="s">
        <v>20346</v>
      </c>
      <c r="J9719" s="10" t="str">
        <f>HYPERLINK("https://www.boe.es/gazeta/dias/1834/12/24/pdfs/GMD-C-1834-314.pdf#page=5","Abrir facsímil")</f>
        <v>Abrir facsímil</v>
      </c>
      <c r="K9719" s="10" t="s">
        <v>24</v>
      </c>
    </row>
    <row r="9720" spans="1:11" ht="54" customHeight="1">
      <c r="A9720" s="9" t="s">
        <v>20347</v>
      </c>
      <c r="B9720" s="9" t="s">
        <v>20347</v>
      </c>
      <c r="C9720" s="9" t="s">
        <v>17</v>
      </c>
      <c r="D9720" s="9" t="s">
        <v>18</v>
      </c>
      <c r="E9720" s="10" t="s">
        <v>200</v>
      </c>
      <c r="F9720" s="9" t="s">
        <v>2248</v>
      </c>
      <c r="G9720" s="10" t="s">
        <v>75</v>
      </c>
      <c r="H9720" s="9" t="s">
        <v>22</v>
      </c>
      <c r="I9720" s="9" t="s">
        <v>20348</v>
      </c>
      <c r="J9720" s="10" t="str">
        <f>HYPERLINK("https://www.boe.es/gazeta/dias/1834/12/11/pdfs/GMD-C-1834-300.pdf#page=4","Abrir facsímil")</f>
        <v>Abrir facsímil</v>
      </c>
      <c r="K9720" s="10" t="s">
        <v>24</v>
      </c>
    </row>
    <row r="9721" spans="1:11" ht="54" customHeight="1">
      <c r="A9721" s="9" t="s">
        <v>20347</v>
      </c>
      <c r="B9721" s="9" t="s">
        <v>20347</v>
      </c>
      <c r="C9721" s="9" t="s">
        <v>17</v>
      </c>
      <c r="D9721" s="9" t="s">
        <v>18</v>
      </c>
      <c r="E9721" s="10" t="s">
        <v>299</v>
      </c>
      <c r="F9721" s="9" t="s">
        <v>2255</v>
      </c>
      <c r="G9721" s="10" t="s">
        <v>176</v>
      </c>
      <c r="H9721" s="9" t="s">
        <v>22</v>
      </c>
      <c r="I9721" s="9" t="s">
        <v>20349</v>
      </c>
      <c r="J9721" s="10" t="str">
        <f>HYPERLINK("https://www.boe.es/gazeta/dias/1834/12/12/pdfs/GMD-C-1834-301.pdf#page=6","Abrir facsímil")</f>
        <v>Abrir facsímil</v>
      </c>
      <c r="K9721" s="10" t="s">
        <v>24</v>
      </c>
    </row>
    <row r="9722" spans="1:11" ht="54" customHeight="1">
      <c r="A9722" s="9" t="s">
        <v>20347</v>
      </c>
      <c r="B9722" s="9" t="s">
        <v>20347</v>
      </c>
      <c r="C9722" s="9" t="s">
        <v>46</v>
      </c>
      <c r="D9722" s="9" t="s">
        <v>18</v>
      </c>
      <c r="E9722" s="10" t="s">
        <v>299</v>
      </c>
      <c r="F9722" s="9" t="s">
        <v>2255</v>
      </c>
      <c r="G9722" s="10" t="s">
        <v>470</v>
      </c>
      <c r="H9722" s="9" t="s">
        <v>22</v>
      </c>
      <c r="I9722" s="9" t="s">
        <v>20350</v>
      </c>
      <c r="J9722" s="10" t="str">
        <f>HYPERLINK("https://www.boe.es/gazeta/dias/1834/12/12/pdfs/GMD-C-1834-301.pdf#page=8","Abrir facsímil")</f>
        <v>Abrir facsímil</v>
      </c>
      <c r="K9722" s="10" t="s">
        <v>24</v>
      </c>
    </row>
    <row r="9723" spans="1:11" ht="54" customHeight="1">
      <c r="A9723" s="9" t="s">
        <v>20347</v>
      </c>
      <c r="B9723" s="9" t="s">
        <v>20347</v>
      </c>
      <c r="C9723" s="9" t="s">
        <v>46</v>
      </c>
      <c r="D9723" s="9" t="s">
        <v>101</v>
      </c>
      <c r="E9723" s="10" t="s">
        <v>1981</v>
      </c>
      <c r="F9723" s="9" t="s">
        <v>2471</v>
      </c>
      <c r="G9723" s="10" t="s">
        <v>75</v>
      </c>
      <c r="H9723" s="9" t="s">
        <v>22</v>
      </c>
      <c r="I9723" s="9" t="s">
        <v>20351</v>
      </c>
      <c r="J9723" s="10" t="str">
        <f>HYPERLINK("https://www.boe.es/gazeta/dias/1834/12/13/pdfs/GMD-C-1834-302.pdf#page=4","Abrir facsímil")</f>
        <v>Abrir facsímil</v>
      </c>
      <c r="K9723" s="10" t="s">
        <v>24</v>
      </c>
    </row>
    <row r="9724" spans="1:11" ht="54" customHeight="1">
      <c r="A9724" s="9" t="s">
        <v>20347</v>
      </c>
      <c r="B9724" s="9" t="s">
        <v>20347</v>
      </c>
      <c r="C9724" s="9" t="s">
        <v>17</v>
      </c>
      <c r="D9724" s="9" t="s">
        <v>18</v>
      </c>
      <c r="E9724" s="10" t="s">
        <v>1981</v>
      </c>
      <c r="F9724" s="9" t="s">
        <v>2471</v>
      </c>
      <c r="G9724" s="10" t="s">
        <v>28</v>
      </c>
      <c r="H9724" s="9" t="s">
        <v>22</v>
      </c>
      <c r="I9724" s="9" t="s">
        <v>20352</v>
      </c>
      <c r="J9724" s="10" t="str">
        <f>HYPERLINK("https://www.boe.es/gazeta/dias/1834/12/13/pdfs/GMD-C-1834-302.pdf#page=5","Abrir facsímil")</f>
        <v>Abrir facsímil</v>
      </c>
      <c r="K9724" s="10" t="s">
        <v>24</v>
      </c>
    </row>
    <row r="9725" spans="1:11" ht="54" customHeight="1">
      <c r="A9725" s="9" t="s">
        <v>20347</v>
      </c>
      <c r="B9725" s="9" t="s">
        <v>20347</v>
      </c>
      <c r="C9725" s="9" t="s">
        <v>66</v>
      </c>
      <c r="D9725" s="9" t="s">
        <v>67</v>
      </c>
      <c r="E9725" s="10" t="s">
        <v>1424</v>
      </c>
      <c r="F9725" s="9" t="s">
        <v>1425</v>
      </c>
      <c r="G9725" s="10" t="s">
        <v>75</v>
      </c>
      <c r="H9725" s="9" t="s">
        <v>22</v>
      </c>
      <c r="I9725" s="9" t="s">
        <v>20353</v>
      </c>
      <c r="J9725" s="10" t="str">
        <f>HYPERLINK("https://www.boe.es/gazeta/dias/1834/11/14/pdfs/GMD-C-1834-273.pdf#page=4","Abrir facsímil")</f>
        <v>Abrir facsímil</v>
      </c>
      <c r="K9725" s="10" t="s">
        <v>24</v>
      </c>
    </row>
    <row r="9726" spans="1:11" ht="54" customHeight="1">
      <c r="A9726" s="9" t="s">
        <v>20347</v>
      </c>
      <c r="B9726" s="9" t="s">
        <v>20347</v>
      </c>
      <c r="C9726" s="9" t="s">
        <v>17</v>
      </c>
      <c r="D9726" s="9" t="s">
        <v>18</v>
      </c>
      <c r="E9726" s="10" t="s">
        <v>1424</v>
      </c>
      <c r="F9726" s="9" t="s">
        <v>1425</v>
      </c>
      <c r="G9726" s="10" t="s">
        <v>28</v>
      </c>
      <c r="H9726" s="9" t="s">
        <v>22</v>
      </c>
      <c r="I9726" s="9" t="s">
        <v>20354</v>
      </c>
      <c r="J9726" s="10" t="str">
        <f>HYPERLINK("https://www.boe.es/gazeta/dias/1834/11/14/pdfs/GMD-C-1834-273.pdf#page=5","Abrir facsímil")</f>
        <v>Abrir facsímil</v>
      </c>
      <c r="K9726" s="10" t="s">
        <v>24</v>
      </c>
    </row>
    <row r="9727" spans="1:11" ht="54" customHeight="1">
      <c r="A9727" s="9" t="s">
        <v>20347</v>
      </c>
      <c r="B9727" s="9" t="s">
        <v>20347</v>
      </c>
      <c r="C9727" s="9" t="s">
        <v>17</v>
      </c>
      <c r="D9727" s="9" t="s">
        <v>18</v>
      </c>
      <c r="E9727" s="10" t="s">
        <v>883</v>
      </c>
      <c r="F9727" s="9" t="s">
        <v>884</v>
      </c>
      <c r="G9727" s="10" t="s">
        <v>34</v>
      </c>
      <c r="H9727" s="9" t="s">
        <v>22</v>
      </c>
      <c r="I9727" s="9" t="s">
        <v>20355</v>
      </c>
      <c r="J9727" s="10" t="str">
        <f>HYPERLINK("https://www.boe.es/gazeta/dias/1834/11/16/pdfs/GMD-C-1834-275.pdf#page=1","Abrir facsímil")</f>
        <v>Abrir facsímil</v>
      </c>
      <c r="K9727" s="10" t="s">
        <v>24</v>
      </c>
    </row>
    <row r="9728" spans="1:11" ht="54" customHeight="1">
      <c r="A9728" s="9" t="s">
        <v>20347</v>
      </c>
      <c r="B9728" s="9" t="s">
        <v>20347</v>
      </c>
      <c r="C9728" s="9" t="s">
        <v>17</v>
      </c>
      <c r="D9728" s="9" t="s">
        <v>18</v>
      </c>
      <c r="E9728" s="10" t="s">
        <v>2278</v>
      </c>
      <c r="F9728" s="9" t="s">
        <v>2279</v>
      </c>
      <c r="G9728" s="10" t="s">
        <v>21</v>
      </c>
      <c r="H9728" s="9" t="s">
        <v>22</v>
      </c>
      <c r="I9728" s="9" t="s">
        <v>20356</v>
      </c>
      <c r="J9728" s="10" t="str">
        <f>HYPERLINK("https://www.boe.es/gazeta/dias/1834/12/17/pdfs/GMD-C-1834-306.pdf#page=3","Abrir facsímil")</f>
        <v>Abrir facsímil</v>
      </c>
      <c r="K9728" s="10" t="s">
        <v>24</v>
      </c>
    </row>
    <row r="9729" spans="1:11" ht="54" customHeight="1">
      <c r="A9729" s="9" t="s">
        <v>20357</v>
      </c>
      <c r="B9729" s="9" t="s">
        <v>20357</v>
      </c>
      <c r="C9729" s="9" t="s">
        <v>857</v>
      </c>
      <c r="D9729" s="9" t="s">
        <v>18</v>
      </c>
      <c r="E9729" s="10" t="s">
        <v>2287</v>
      </c>
      <c r="F9729" s="9" t="s">
        <v>2288</v>
      </c>
      <c r="G9729" s="10" t="s">
        <v>86</v>
      </c>
      <c r="H9729" s="9" t="s">
        <v>22</v>
      </c>
      <c r="I9729" s="9" t="s">
        <v>20358</v>
      </c>
      <c r="J9729" s="10" t="str">
        <f>HYPERLINK("https://www.boe.es/gazeta/dias/1834/12/18/pdfs/GMD-C-1834-308.pdf#page=2","Abrir facsímil")</f>
        <v>Abrir facsímil</v>
      </c>
      <c r="K9729" s="10" t="s">
        <v>24</v>
      </c>
    </row>
    <row r="9730" spans="1:11" ht="54" customHeight="1">
      <c r="A9730" s="9" t="s">
        <v>20357</v>
      </c>
      <c r="B9730" s="9" t="s">
        <v>20357</v>
      </c>
      <c r="C9730" s="9" t="s">
        <v>17</v>
      </c>
      <c r="D9730" s="9" t="s">
        <v>18</v>
      </c>
      <c r="E9730" s="10" t="s">
        <v>2287</v>
      </c>
      <c r="F9730" s="9" t="s">
        <v>2288</v>
      </c>
      <c r="G9730" s="10" t="s">
        <v>21</v>
      </c>
      <c r="H9730" s="9" t="s">
        <v>22</v>
      </c>
      <c r="I9730" s="9" t="s">
        <v>20359</v>
      </c>
      <c r="J9730" s="10" t="str">
        <f>HYPERLINK("https://www.boe.es/gazeta/dias/1834/12/18/pdfs/GMD-C-1834-308.pdf#page=3","Abrir facsímil")</f>
        <v>Abrir facsímil</v>
      </c>
      <c r="K9730" s="10" t="s">
        <v>24</v>
      </c>
    </row>
    <row r="9731" spans="1:11" ht="54" customHeight="1">
      <c r="A9731" s="9" t="s">
        <v>20347</v>
      </c>
      <c r="B9731" s="9" t="s">
        <v>20347</v>
      </c>
      <c r="C9731" s="9" t="s">
        <v>17</v>
      </c>
      <c r="D9731" s="9" t="s">
        <v>18</v>
      </c>
      <c r="E9731" s="10" t="s">
        <v>265</v>
      </c>
      <c r="F9731" s="9" t="s">
        <v>266</v>
      </c>
      <c r="G9731" s="10" t="s">
        <v>21</v>
      </c>
      <c r="H9731" s="9" t="s">
        <v>22</v>
      </c>
      <c r="I9731" s="9" t="s">
        <v>20360</v>
      </c>
      <c r="J9731" s="10" t="str">
        <f>HYPERLINK("https://www.boe.es/gazeta/dias/1834/11/19/pdfs/GMD-C-1834-278.pdf#page=3","Abrir facsímil")</f>
        <v>Abrir facsímil</v>
      </c>
      <c r="K9731" s="10" t="s">
        <v>24</v>
      </c>
    </row>
    <row r="9732" spans="1:11" ht="54" customHeight="1">
      <c r="A9732" s="9" t="s">
        <v>20347</v>
      </c>
      <c r="B9732" s="9" t="s">
        <v>20347</v>
      </c>
      <c r="C9732" s="9" t="s">
        <v>17</v>
      </c>
      <c r="D9732" s="9" t="s">
        <v>18</v>
      </c>
      <c r="E9732" s="10" t="s">
        <v>492</v>
      </c>
      <c r="F9732" s="9" t="s">
        <v>493</v>
      </c>
      <c r="G9732" s="10" t="s">
        <v>75</v>
      </c>
      <c r="H9732" s="9" t="s">
        <v>22</v>
      </c>
      <c r="I9732" s="9" t="s">
        <v>20361</v>
      </c>
      <c r="J9732" s="10" t="str">
        <f>HYPERLINK("https://www.boe.es/gazeta/dias/1834/11/21/pdfs/GMD-C-1834-280.pdf#page=4","Abrir facsímil")</f>
        <v>Abrir facsímil</v>
      </c>
      <c r="K9732" s="10" t="s">
        <v>24</v>
      </c>
    </row>
    <row r="9733" spans="1:11" ht="54" customHeight="1">
      <c r="A9733" s="9" t="s">
        <v>20347</v>
      </c>
      <c r="B9733" s="9" t="s">
        <v>20347</v>
      </c>
      <c r="C9733" s="9" t="s">
        <v>17</v>
      </c>
      <c r="D9733" s="9" t="s">
        <v>18</v>
      </c>
      <c r="E9733" s="10" t="s">
        <v>610</v>
      </c>
      <c r="F9733" s="9" t="s">
        <v>611</v>
      </c>
      <c r="G9733" s="10" t="s">
        <v>86</v>
      </c>
      <c r="H9733" s="9" t="s">
        <v>22</v>
      </c>
      <c r="I9733" s="9" t="s">
        <v>20362</v>
      </c>
      <c r="J9733" s="10" t="str">
        <f>HYPERLINK("https://www.boe.es/gazeta/dias/1834/12/21/pdfs/GMD-C-1834-311.pdf#page=2","Abrir facsímil")</f>
        <v>Abrir facsímil</v>
      </c>
      <c r="K9733" s="10" t="s">
        <v>24</v>
      </c>
    </row>
    <row r="9734" spans="1:11" ht="54" customHeight="1">
      <c r="A9734" s="9" t="s">
        <v>20347</v>
      </c>
      <c r="B9734" s="9" t="s">
        <v>20347</v>
      </c>
      <c r="C9734" s="9" t="s">
        <v>17</v>
      </c>
      <c r="D9734" s="9" t="s">
        <v>18</v>
      </c>
      <c r="E9734" s="10" t="s">
        <v>702</v>
      </c>
      <c r="F9734" s="9" t="s">
        <v>703</v>
      </c>
      <c r="G9734" s="10" t="s">
        <v>21</v>
      </c>
      <c r="H9734" s="9" t="s">
        <v>22</v>
      </c>
      <c r="I9734" s="9" t="s">
        <v>20363</v>
      </c>
      <c r="J9734" s="10" t="str">
        <f>HYPERLINK("https://www.boe.es/gazeta/dias/1834/11/22/pdfs/GMD-C-1834-281.pdf#page=3","Abrir facsímil")</f>
        <v>Abrir facsímil</v>
      </c>
      <c r="K9734" s="10" t="s">
        <v>24</v>
      </c>
    </row>
    <row r="9735" spans="1:11" ht="54" customHeight="1">
      <c r="A9735" s="9" t="s">
        <v>20347</v>
      </c>
      <c r="B9735" s="9" t="s">
        <v>20347</v>
      </c>
      <c r="C9735" s="9" t="s">
        <v>90</v>
      </c>
      <c r="D9735" s="9" t="s">
        <v>18</v>
      </c>
      <c r="E9735" s="10" t="s">
        <v>667</v>
      </c>
      <c r="F9735" s="9" t="s">
        <v>668</v>
      </c>
      <c r="G9735" s="10" t="s">
        <v>86</v>
      </c>
      <c r="H9735" s="9" t="s">
        <v>22</v>
      </c>
      <c r="I9735" s="9" t="s">
        <v>20364</v>
      </c>
      <c r="J9735" s="10" t="str">
        <f>HYPERLINK("https://www.boe.es/gazeta/dias/1834/11/23/pdfs/GMD-C-1834-282.pdf#page=2","Abrir facsímil")</f>
        <v>Abrir facsímil</v>
      </c>
      <c r="K9735" s="10" t="s">
        <v>24</v>
      </c>
    </row>
    <row r="9736" spans="1:11" ht="54" customHeight="1">
      <c r="A9736" s="9" t="s">
        <v>20347</v>
      </c>
      <c r="B9736" s="9" t="s">
        <v>20347</v>
      </c>
      <c r="C9736" s="9" t="s">
        <v>66</v>
      </c>
      <c r="D9736" s="9" t="s">
        <v>67</v>
      </c>
      <c r="E9736" s="10" t="s">
        <v>667</v>
      </c>
      <c r="F9736" s="9" t="s">
        <v>668</v>
      </c>
      <c r="G9736" s="10" t="s">
        <v>21</v>
      </c>
      <c r="H9736" s="9" t="s">
        <v>22</v>
      </c>
      <c r="I9736" s="9" t="s">
        <v>20365</v>
      </c>
      <c r="J9736" s="10" t="str">
        <f>HYPERLINK("https://www.boe.es/gazeta/dias/1834/11/23/pdfs/GMD-C-1834-282.pdf#page=3","Abrir facsímil")</f>
        <v>Abrir facsímil</v>
      </c>
      <c r="K9736" s="10" t="s">
        <v>24</v>
      </c>
    </row>
    <row r="9737" spans="1:11" ht="54" customHeight="1">
      <c r="A9737" s="9" t="s">
        <v>20347</v>
      </c>
      <c r="B9737" s="9" t="s">
        <v>20347</v>
      </c>
      <c r="C9737" s="9" t="s">
        <v>17</v>
      </c>
      <c r="D9737" s="9" t="s">
        <v>18</v>
      </c>
      <c r="E9737" s="10" t="s">
        <v>394</v>
      </c>
      <c r="F9737" s="9" t="s">
        <v>459</v>
      </c>
      <c r="G9737" s="10" t="s">
        <v>75</v>
      </c>
      <c r="H9737" s="9" t="s">
        <v>22</v>
      </c>
      <c r="I9737" s="9" t="s">
        <v>20366</v>
      </c>
      <c r="J9737" s="10" t="str">
        <f>HYPERLINK("https://www.boe.es/gazeta/dias/1834/12/23/pdfs/GMD-C-1834-313.pdf#page=4","Abrir facsímil")</f>
        <v>Abrir facsímil</v>
      </c>
      <c r="K9737" s="10" t="s">
        <v>24</v>
      </c>
    </row>
    <row r="9738" spans="1:11" ht="54" customHeight="1">
      <c r="A9738" s="9" t="s">
        <v>20347</v>
      </c>
      <c r="B9738" s="9" t="s">
        <v>20347</v>
      </c>
      <c r="C9738" s="9" t="s">
        <v>17</v>
      </c>
      <c r="D9738" s="9" t="s">
        <v>18</v>
      </c>
      <c r="E9738" s="10" t="s">
        <v>394</v>
      </c>
      <c r="F9738" s="9" t="s">
        <v>459</v>
      </c>
      <c r="G9738" s="10" t="s">
        <v>28</v>
      </c>
      <c r="H9738" s="9" t="s">
        <v>22</v>
      </c>
      <c r="I9738" s="9" t="s">
        <v>20367</v>
      </c>
      <c r="J9738" s="10" t="str">
        <f>HYPERLINK("https://www.boe.es/gazeta/dias/1834/12/23/pdfs/GMD-C-1834-313.pdf#page=5","Abrir facsímil")</f>
        <v>Abrir facsímil</v>
      </c>
      <c r="K9738" s="10" t="s">
        <v>24</v>
      </c>
    </row>
    <row r="9739" spans="1:11" ht="54" customHeight="1">
      <c r="A9739" s="9" t="s">
        <v>20347</v>
      </c>
      <c r="B9739" s="9" t="s">
        <v>20347</v>
      </c>
      <c r="C9739" s="9" t="s">
        <v>17</v>
      </c>
      <c r="D9739" s="9" t="s">
        <v>101</v>
      </c>
      <c r="E9739" s="10" t="s">
        <v>128</v>
      </c>
      <c r="F9739" s="9" t="s">
        <v>129</v>
      </c>
      <c r="G9739" s="10" t="s">
        <v>28</v>
      </c>
      <c r="H9739" s="9" t="s">
        <v>22</v>
      </c>
      <c r="I9739" s="9" t="s">
        <v>20368</v>
      </c>
      <c r="J9739" s="10" t="str">
        <f>HYPERLINK("https://www.boe.es/gazeta/dias/1834/12/24/pdfs/GMD-C-1834-314.pdf#page=5","Abrir facsímil")</f>
        <v>Abrir facsímil</v>
      </c>
      <c r="K9739" s="10" t="s">
        <v>24</v>
      </c>
    </row>
    <row r="9740" spans="1:11" ht="54" customHeight="1">
      <c r="A9740" s="9" t="s">
        <v>20347</v>
      </c>
      <c r="B9740" s="9" t="s">
        <v>20347</v>
      </c>
      <c r="C9740" s="9" t="s">
        <v>17</v>
      </c>
      <c r="D9740" s="9" t="s">
        <v>18</v>
      </c>
      <c r="E9740" s="10" t="s">
        <v>468</v>
      </c>
      <c r="F9740" s="9" t="s">
        <v>469</v>
      </c>
      <c r="G9740" s="10" t="s">
        <v>34</v>
      </c>
      <c r="H9740" s="9" t="s">
        <v>22</v>
      </c>
      <c r="I9740" s="9" t="s">
        <v>20369</v>
      </c>
      <c r="J9740" s="10" t="str">
        <f>HYPERLINK("https://www.boe.es/gazeta/dias/1834/12/28/pdfs/GMD-C-1834-318.pdf#page=1","Abrir facsímil")</f>
        <v>Abrir facsímil</v>
      </c>
      <c r="K9740" s="10" t="s">
        <v>24</v>
      </c>
    </row>
    <row r="9741" spans="1:11" ht="54" customHeight="1">
      <c r="A9741" s="9" t="s">
        <v>20370</v>
      </c>
      <c r="B9741" s="9" t="s">
        <v>20371</v>
      </c>
      <c r="C9741" s="9" t="s">
        <v>17</v>
      </c>
      <c r="D9741" s="9" t="s">
        <v>18</v>
      </c>
      <c r="E9741" s="10" t="s">
        <v>2278</v>
      </c>
      <c r="F9741" s="9" t="s">
        <v>2279</v>
      </c>
      <c r="G9741" s="10" t="s">
        <v>21</v>
      </c>
      <c r="H9741" s="9" t="s">
        <v>22</v>
      </c>
      <c r="I9741" s="9" t="s">
        <v>20372</v>
      </c>
      <c r="J9741" s="10" t="str">
        <f>HYPERLINK("https://www.boe.es/gazeta/dias/1834/12/17/pdfs/GMD-C-1834-306.pdf#page=3","Abrir facsímil")</f>
        <v>Abrir facsímil</v>
      </c>
      <c r="K9741" s="10" t="s">
        <v>24</v>
      </c>
    </row>
    <row r="9742" spans="1:11" ht="54" customHeight="1">
      <c r="A9742" s="9" t="s">
        <v>20373</v>
      </c>
      <c r="B9742" s="9" t="s">
        <v>20374</v>
      </c>
      <c r="C9742" s="9" t="s">
        <v>17</v>
      </c>
      <c r="D9742" s="9" t="s">
        <v>18</v>
      </c>
      <c r="E9742" s="10" t="s">
        <v>1008</v>
      </c>
      <c r="F9742" s="9" t="s">
        <v>1009</v>
      </c>
      <c r="G9742" s="10" t="s">
        <v>34</v>
      </c>
      <c r="H9742" s="9" t="s">
        <v>35</v>
      </c>
      <c r="I9742" s="9" t="s">
        <v>20375</v>
      </c>
      <c r="J9742" s="10" t="str">
        <f>HYPERLINK("https://www.boe.es/gazeta/dias/1834/11/08/pdfs/GMD-C-1834-267.pdf#page=1","Abrir facsímil")</f>
        <v>Abrir facsímil</v>
      </c>
      <c r="K9742" s="10" t="s">
        <v>37</v>
      </c>
    </row>
    <row r="9743" spans="1:11" ht="54" customHeight="1">
      <c r="A9743" s="9" t="s">
        <v>20373</v>
      </c>
      <c r="B9743" s="9" t="s">
        <v>20374</v>
      </c>
      <c r="C9743" s="9" t="s">
        <v>17</v>
      </c>
      <c r="D9743" s="9" t="s">
        <v>18</v>
      </c>
      <c r="E9743" s="10" t="s">
        <v>633</v>
      </c>
      <c r="F9743" s="9" t="s">
        <v>634</v>
      </c>
      <c r="G9743" s="10" t="s">
        <v>21</v>
      </c>
      <c r="H9743" s="9" t="s">
        <v>35</v>
      </c>
      <c r="I9743" s="9" t="s">
        <v>20376</v>
      </c>
      <c r="J9743" s="10" t="str">
        <f>HYPERLINK("https://www.boe.es/gazeta/dias/1834/10/24/pdfs/GMD-1834-252.pdf#page=3","Abrir facsímil")</f>
        <v>Abrir facsímil</v>
      </c>
      <c r="K9743" s="10" t="s">
        <v>37</v>
      </c>
    </row>
    <row r="9744" spans="1:11" ht="54" customHeight="1">
      <c r="A9744" s="9" t="s">
        <v>20377</v>
      </c>
      <c r="B9744" s="9" t="s">
        <v>20378</v>
      </c>
      <c r="C9744" s="9" t="s">
        <v>17</v>
      </c>
      <c r="D9744" s="9" t="s">
        <v>18</v>
      </c>
      <c r="E9744" s="10" t="s">
        <v>1008</v>
      </c>
      <c r="F9744" s="9" t="s">
        <v>1009</v>
      </c>
      <c r="G9744" s="10" t="s">
        <v>34</v>
      </c>
      <c r="H9744" s="9" t="s">
        <v>22</v>
      </c>
      <c r="I9744" s="9" t="s">
        <v>20379</v>
      </c>
      <c r="J9744" s="10" t="str">
        <f>HYPERLINK("https://www.boe.es/gazeta/dias/1834/11/08/pdfs/GMD-C-1834-267.pdf#page=1","Abrir facsímil")</f>
        <v>Abrir facsímil</v>
      </c>
      <c r="K9744" s="10" t="s">
        <v>24</v>
      </c>
    </row>
    <row r="9745" spans="1:11" ht="54" customHeight="1">
      <c r="A9745" s="9" t="s">
        <v>20377</v>
      </c>
      <c r="B9745" s="9" t="s">
        <v>20378</v>
      </c>
      <c r="C9745" s="9" t="s">
        <v>17</v>
      </c>
      <c r="D9745" s="9" t="s">
        <v>18</v>
      </c>
      <c r="E9745" s="10" t="s">
        <v>633</v>
      </c>
      <c r="F9745" s="9" t="s">
        <v>634</v>
      </c>
      <c r="G9745" s="10" t="s">
        <v>21</v>
      </c>
      <c r="H9745" s="9" t="s">
        <v>22</v>
      </c>
      <c r="I9745" s="9" t="s">
        <v>20380</v>
      </c>
      <c r="J9745" s="10" t="str">
        <f>HYPERLINK("https://www.boe.es/gazeta/dias/1834/10/24/pdfs/GMD-1834-252.pdf#page=3","Abrir facsímil")</f>
        <v>Abrir facsímil</v>
      </c>
      <c r="K9745" s="10" t="s">
        <v>24</v>
      </c>
    </row>
    <row r="9746" spans="1:11" ht="54" customHeight="1">
      <c r="A9746" s="9" t="s">
        <v>20381</v>
      </c>
      <c r="B9746" s="9" t="s">
        <v>20382</v>
      </c>
      <c r="C9746" s="9" t="s">
        <v>66</v>
      </c>
      <c r="D9746" s="9" t="s">
        <v>18</v>
      </c>
      <c r="E9746" s="10" t="s">
        <v>653</v>
      </c>
      <c r="F9746" s="9" t="s">
        <v>3369</v>
      </c>
      <c r="G9746" s="10" t="s">
        <v>34</v>
      </c>
      <c r="H9746" s="9" t="s">
        <v>22</v>
      </c>
      <c r="I9746" s="9" t="s">
        <v>20383</v>
      </c>
      <c r="J9746" s="10" t="str">
        <f>HYPERLINK("https://www.boe.es/gazeta/dias/1834/08/06/pdfs/GMD-1834-170.pdf#page=1","Abrir facsímil")</f>
        <v>Abrir facsímil</v>
      </c>
      <c r="K9746" s="10" t="s">
        <v>24</v>
      </c>
    </row>
    <row r="9747" spans="1:11" ht="54" customHeight="1">
      <c r="A9747" s="9" t="s">
        <v>20384</v>
      </c>
      <c r="B9747" s="9" t="s">
        <v>20385</v>
      </c>
      <c r="C9747" s="9" t="s">
        <v>46</v>
      </c>
      <c r="D9747" s="9" t="s">
        <v>18</v>
      </c>
      <c r="E9747" s="10" t="s">
        <v>343</v>
      </c>
      <c r="F9747" s="9" t="s">
        <v>344</v>
      </c>
      <c r="G9747" s="10" t="s">
        <v>21</v>
      </c>
      <c r="H9747" s="9" t="s">
        <v>22</v>
      </c>
      <c r="I9747" s="9" t="s">
        <v>20386</v>
      </c>
      <c r="J9747" s="10" t="str">
        <f>HYPERLINK("https://www.boe.es/gazeta/dias/1834/01/14/pdfs/GMD-1834-7.pdf#page=3","Abrir facsímil")</f>
        <v>Abrir facsímil</v>
      </c>
      <c r="K9747" s="10" t="s">
        <v>24</v>
      </c>
    </row>
    <row r="9748" spans="1:11" ht="54" customHeight="1">
      <c r="A9748" s="9" t="s">
        <v>20387</v>
      </c>
      <c r="B9748" s="9" t="s">
        <v>20387</v>
      </c>
      <c r="C9748" s="9" t="s">
        <v>17</v>
      </c>
      <c r="D9748" s="9" t="s">
        <v>55</v>
      </c>
      <c r="E9748" s="10" t="s">
        <v>823</v>
      </c>
      <c r="F9748" s="9" t="s">
        <v>824</v>
      </c>
      <c r="G9748" s="10" t="s">
        <v>21</v>
      </c>
      <c r="H9748" s="9" t="s">
        <v>22</v>
      </c>
      <c r="I9748" s="9" t="s">
        <v>20388</v>
      </c>
      <c r="J9748" s="10" t="str">
        <f>HYPERLINK("https://www.boe.es/gazeta/dias/1834/07/23/pdfs/GMD-1834-156.pdf#page=3","Abrir facsímil")</f>
        <v>Abrir facsímil</v>
      </c>
      <c r="K9748" s="10" t="s">
        <v>24</v>
      </c>
    </row>
    <row r="9749" spans="1:11" ht="54" customHeight="1">
      <c r="A9749" s="9" t="s">
        <v>20389</v>
      </c>
      <c r="B9749" s="9" t="s">
        <v>20390</v>
      </c>
      <c r="C9749" s="9" t="s">
        <v>122</v>
      </c>
      <c r="D9749" s="9" t="s">
        <v>18</v>
      </c>
      <c r="E9749" s="10" t="s">
        <v>3306</v>
      </c>
      <c r="F9749" s="9" t="s">
        <v>3307</v>
      </c>
      <c r="G9749" s="10" t="s">
        <v>21</v>
      </c>
      <c r="H9749" s="9" t="s">
        <v>35</v>
      </c>
      <c r="I9749" s="9" t="s">
        <v>20391</v>
      </c>
      <c r="J9749" s="10" t="str">
        <f>HYPERLINK("https://www.boe.es/gazeta/dias/1834/05/07/pdfs/GMD-1834-76.pdf#page=3","Abrir facsímil")</f>
        <v>Abrir facsímil</v>
      </c>
      <c r="K9749" s="10" t="s">
        <v>37</v>
      </c>
    </row>
    <row r="9750" spans="1:11" ht="54" customHeight="1">
      <c r="A9750" s="9" t="s">
        <v>20392</v>
      </c>
      <c r="B9750" s="9" t="s">
        <v>20393</v>
      </c>
      <c r="C9750" s="9" t="s">
        <v>122</v>
      </c>
      <c r="D9750" s="9" t="s">
        <v>18</v>
      </c>
      <c r="E9750" s="10" t="s">
        <v>3306</v>
      </c>
      <c r="F9750" s="9" t="s">
        <v>3307</v>
      </c>
      <c r="G9750" s="10" t="s">
        <v>21</v>
      </c>
      <c r="H9750" s="9" t="s">
        <v>22</v>
      </c>
      <c r="I9750" s="9" t="s">
        <v>20394</v>
      </c>
      <c r="J9750" s="10" t="str">
        <f>HYPERLINK("https://www.boe.es/gazeta/dias/1834/05/07/pdfs/GMD-1834-76.pdf#page=3","Abrir facsímil")</f>
        <v>Abrir facsímil</v>
      </c>
      <c r="K9750" s="10" t="s">
        <v>24</v>
      </c>
    </row>
    <row r="9751" spans="1:11" ht="54" customHeight="1">
      <c r="A9751" s="9" t="s">
        <v>20395</v>
      </c>
      <c r="B9751" s="9" t="s">
        <v>20395</v>
      </c>
      <c r="C9751" s="9" t="s">
        <v>17</v>
      </c>
      <c r="D9751" s="9" t="s">
        <v>18</v>
      </c>
      <c r="E9751" s="10" t="s">
        <v>394</v>
      </c>
      <c r="F9751" s="9" t="s">
        <v>459</v>
      </c>
      <c r="G9751" s="10" t="s">
        <v>28</v>
      </c>
      <c r="H9751" s="9" t="s">
        <v>22</v>
      </c>
      <c r="I9751" s="9" t="s">
        <v>20396</v>
      </c>
      <c r="J9751" s="10" t="str">
        <f>HYPERLINK("https://www.boe.es/gazeta/dias/1834/12/23/pdfs/GMD-C-1834-313.pdf#page=5","Abrir facsímil")</f>
        <v>Abrir facsímil</v>
      </c>
      <c r="K9751" s="10" t="s">
        <v>24</v>
      </c>
    </row>
    <row r="9752" spans="1:11" ht="54" customHeight="1">
      <c r="A9752" s="9" t="s">
        <v>20397</v>
      </c>
      <c r="B9752" s="9" t="s">
        <v>20398</v>
      </c>
      <c r="C9752" s="9" t="s">
        <v>46</v>
      </c>
      <c r="D9752" s="9" t="s">
        <v>55</v>
      </c>
      <c r="E9752" s="10" t="s">
        <v>1239</v>
      </c>
      <c r="F9752" s="9" t="s">
        <v>1240</v>
      </c>
      <c r="G9752" s="10" t="s">
        <v>34</v>
      </c>
      <c r="H9752" s="9" t="s">
        <v>22</v>
      </c>
      <c r="I9752" s="9" t="s">
        <v>20399</v>
      </c>
      <c r="J9752" s="10" t="str">
        <f>HYPERLINK("https://www.boe.es/gazeta/dias/1834/08/20/pdfs/GMD-1834-186.pdf#page=1","Abrir facsímil")</f>
        <v>Abrir facsímil</v>
      </c>
      <c r="K9752" s="10" t="s">
        <v>24</v>
      </c>
    </row>
    <row r="9753" spans="1:11" ht="54" customHeight="1">
      <c r="A9753" s="9" t="s">
        <v>20400</v>
      </c>
      <c r="B9753" s="9" t="s">
        <v>20401</v>
      </c>
      <c r="C9753" s="9" t="s">
        <v>17</v>
      </c>
      <c r="D9753" s="9" t="s">
        <v>18</v>
      </c>
      <c r="E9753" s="10" t="s">
        <v>222</v>
      </c>
      <c r="F9753" s="9" t="s">
        <v>223</v>
      </c>
      <c r="G9753" s="10" t="s">
        <v>75</v>
      </c>
      <c r="H9753" s="9" t="s">
        <v>22</v>
      </c>
      <c r="I9753" s="9" t="s">
        <v>20402</v>
      </c>
      <c r="J9753" s="10" t="str">
        <f>HYPERLINK("https://www.boe.es/gazeta/dias/1834/09/14/pdfs/GMD-1834-212.pdf#page=4","Abrir facsímil")</f>
        <v>Abrir facsímil</v>
      </c>
      <c r="K9753" s="10" t="s">
        <v>24</v>
      </c>
    </row>
    <row r="9754" spans="1:11" ht="54" customHeight="1">
      <c r="A9754" s="9" t="s">
        <v>20403</v>
      </c>
      <c r="B9754" s="9" t="s">
        <v>20404</v>
      </c>
      <c r="C9754" s="9" t="s">
        <v>90</v>
      </c>
      <c r="D9754" s="9" t="s">
        <v>18</v>
      </c>
      <c r="E9754" s="10" t="s">
        <v>19</v>
      </c>
      <c r="F9754" s="9" t="s">
        <v>1933</v>
      </c>
      <c r="G9754" s="10" t="s">
        <v>34</v>
      </c>
      <c r="H9754" s="9" t="s">
        <v>22</v>
      </c>
      <c r="I9754" s="9" t="s">
        <v>20405</v>
      </c>
      <c r="J9754" s="10" t="str">
        <f>HYPERLINK("https://www.boe.es/gazeta/dias/1834/08/17/pdfs/GMD-1834-183E.pdf#page=1","Abrir facsímil")</f>
        <v>Abrir facsímil</v>
      </c>
      <c r="K9754" s="10" t="s">
        <v>24</v>
      </c>
    </row>
    <row r="9755" spans="1:11" ht="54" customHeight="1">
      <c r="A9755" s="9" t="s">
        <v>20406</v>
      </c>
      <c r="B9755" s="9" t="s">
        <v>20406</v>
      </c>
      <c r="C9755" s="9" t="s">
        <v>90</v>
      </c>
      <c r="D9755" s="9" t="s">
        <v>18</v>
      </c>
      <c r="E9755" s="10" t="s">
        <v>3499</v>
      </c>
      <c r="F9755" s="9" t="s">
        <v>3500</v>
      </c>
      <c r="G9755" s="10" t="s">
        <v>34</v>
      </c>
      <c r="H9755" s="9" t="s">
        <v>22</v>
      </c>
      <c r="I9755" s="9" t="s">
        <v>20407</v>
      </c>
      <c r="J9755" s="10" t="str">
        <f>HYPERLINK("https://www.boe.es/gazeta/dias/1834/01/28/pdfs/GMD-1834-13.pdf#page=1","Abrir facsímil")</f>
        <v>Abrir facsímil</v>
      </c>
      <c r="K9755" s="10" t="s">
        <v>24</v>
      </c>
    </row>
    <row r="9756" spans="1:11" ht="54" customHeight="1">
      <c r="A9756" s="9" t="s">
        <v>20408</v>
      </c>
      <c r="B9756" s="9" t="s">
        <v>20409</v>
      </c>
      <c r="C9756" s="9" t="s">
        <v>90</v>
      </c>
      <c r="D9756" s="9" t="s">
        <v>18</v>
      </c>
      <c r="E9756" s="10" t="s">
        <v>3499</v>
      </c>
      <c r="F9756" s="9" t="s">
        <v>3500</v>
      </c>
      <c r="G9756" s="10" t="s">
        <v>34</v>
      </c>
      <c r="H9756" s="9" t="s">
        <v>22</v>
      </c>
      <c r="I9756" s="9" t="s">
        <v>20410</v>
      </c>
      <c r="J9756" s="10" t="str">
        <f>HYPERLINK("https://www.boe.es/gazeta/dias/1834/01/28/pdfs/GMD-1834-13.pdf#page=1","Abrir facsímil")</f>
        <v>Abrir facsímil</v>
      </c>
      <c r="K9756" s="10" t="s">
        <v>24</v>
      </c>
    </row>
    <row r="9757" spans="1:11" ht="54" customHeight="1">
      <c r="A9757" s="9" t="s">
        <v>20411</v>
      </c>
      <c r="B9757" s="9" t="s">
        <v>20412</v>
      </c>
      <c r="C9757" s="9" t="s">
        <v>66</v>
      </c>
      <c r="D9757" s="9" t="s">
        <v>67</v>
      </c>
      <c r="E9757" s="10" t="s">
        <v>1572</v>
      </c>
      <c r="F9757" s="9" t="s">
        <v>1573</v>
      </c>
      <c r="G9757" s="10" t="s">
        <v>75</v>
      </c>
      <c r="H9757" s="9" t="s">
        <v>22</v>
      </c>
      <c r="I9757" s="9" t="s">
        <v>20413</v>
      </c>
      <c r="J9757" s="10" t="str">
        <f>HYPERLINK("https://www.boe.es/gazeta/dias/1834/03/20/pdfs/GMD-1834-35.pdf#page=4","Abrir facsímil")</f>
        <v>Abrir facsímil</v>
      </c>
      <c r="K9757" s="10" t="s">
        <v>24</v>
      </c>
    </row>
    <row r="9758" spans="1:11" ht="54" customHeight="1">
      <c r="A9758" s="9" t="s">
        <v>20414</v>
      </c>
      <c r="B9758" s="9" t="s">
        <v>20415</v>
      </c>
      <c r="C9758" s="9" t="s">
        <v>66</v>
      </c>
      <c r="D9758" s="9" t="s">
        <v>67</v>
      </c>
      <c r="E9758" s="10" t="s">
        <v>753</v>
      </c>
      <c r="F9758" s="9" t="s">
        <v>754</v>
      </c>
      <c r="G9758" s="10" t="s">
        <v>34</v>
      </c>
      <c r="H9758" s="9" t="s">
        <v>22</v>
      </c>
      <c r="I9758" s="9" t="s">
        <v>20416</v>
      </c>
      <c r="J9758" s="10" t="str">
        <f>HYPERLINK("https://www.boe.es/gazeta/dias/1834/04/21/pdfs/GMD-1834-60.pdf#page=1","Abrir facsímil")</f>
        <v>Abrir facsímil</v>
      </c>
      <c r="K9758" s="10" t="s">
        <v>24</v>
      </c>
    </row>
    <row r="9759" spans="1:11" ht="54" customHeight="1">
      <c r="A9759" s="9" t="s">
        <v>20417</v>
      </c>
      <c r="B9759" s="9" t="s">
        <v>20418</v>
      </c>
      <c r="C9759" s="9" t="s">
        <v>17</v>
      </c>
      <c r="D9759" s="9" t="s">
        <v>40</v>
      </c>
      <c r="E9759" s="10" t="s">
        <v>1883</v>
      </c>
      <c r="F9759" s="9" t="s">
        <v>1884</v>
      </c>
      <c r="G9759" s="10" t="s">
        <v>75</v>
      </c>
      <c r="H9759" s="9" t="s">
        <v>22</v>
      </c>
      <c r="I9759" s="9" t="s">
        <v>20419</v>
      </c>
      <c r="J9759" s="10" t="str">
        <f>HYPERLINK("https://www.boe.es/gazeta/dias/1834/01/11/pdfs/GMD-1834-6.pdf#page=4","Abrir facsímil")</f>
        <v>Abrir facsímil</v>
      </c>
      <c r="K9759" s="10" t="s">
        <v>24</v>
      </c>
    </row>
    <row r="9760" spans="1:11" ht="54" customHeight="1">
      <c r="A9760" s="9" t="s">
        <v>20420</v>
      </c>
      <c r="B9760" s="9" t="s">
        <v>20421</v>
      </c>
      <c r="C9760" s="9" t="s">
        <v>17</v>
      </c>
      <c r="D9760" s="9" t="s">
        <v>18</v>
      </c>
      <c r="E9760" s="10" t="s">
        <v>563</v>
      </c>
      <c r="F9760" s="9" t="s">
        <v>564</v>
      </c>
      <c r="G9760" s="10" t="s">
        <v>28</v>
      </c>
      <c r="H9760" s="9" t="s">
        <v>22</v>
      </c>
      <c r="I9760" s="9" t="s">
        <v>20422</v>
      </c>
      <c r="J9760" s="10" t="str">
        <f>HYPERLINK("https://www.boe.es/gazeta/dias/1834/04/19/pdfs/GMD-1834-58.pdf#page=5","Abrir facsímil")</f>
        <v>Abrir facsímil</v>
      </c>
      <c r="K9760" s="10" t="s">
        <v>24</v>
      </c>
    </row>
    <row r="9761" spans="1:11" ht="54" customHeight="1">
      <c r="A9761" s="9" t="s">
        <v>20420</v>
      </c>
      <c r="B9761" s="9" t="s">
        <v>20421</v>
      </c>
      <c r="C9761" s="9" t="s">
        <v>17</v>
      </c>
      <c r="D9761" s="9" t="s">
        <v>18</v>
      </c>
      <c r="E9761" s="10" t="s">
        <v>833</v>
      </c>
      <c r="F9761" s="9" t="s">
        <v>834</v>
      </c>
      <c r="G9761" s="10" t="s">
        <v>21</v>
      </c>
      <c r="H9761" s="9" t="s">
        <v>22</v>
      </c>
      <c r="I9761" s="9" t="s">
        <v>20423</v>
      </c>
      <c r="J9761" s="10" t="str">
        <f>HYPERLINK("https://www.boe.es/gazeta/dias/1834/04/24/pdfs/GMD-1834-63.pdf#page=3","Abrir facsímil")</f>
        <v>Abrir facsímil</v>
      </c>
      <c r="K9761" s="10" t="s">
        <v>24</v>
      </c>
    </row>
    <row r="9762" spans="1:11" ht="54" customHeight="1">
      <c r="A9762" s="9" t="s">
        <v>20424</v>
      </c>
      <c r="B9762" s="9" t="s">
        <v>20425</v>
      </c>
      <c r="C9762" s="9" t="s">
        <v>122</v>
      </c>
      <c r="D9762" s="9" t="s">
        <v>40</v>
      </c>
      <c r="E9762" s="10" t="s">
        <v>3170</v>
      </c>
      <c r="F9762" s="9" t="s">
        <v>3171</v>
      </c>
      <c r="G9762" s="10" t="s">
        <v>75</v>
      </c>
      <c r="H9762" s="9" t="s">
        <v>22</v>
      </c>
      <c r="I9762" s="9" t="s">
        <v>20426</v>
      </c>
      <c r="J9762" s="10" t="str">
        <f>HYPERLINK("https://www.boe.es/gazeta/dias/1834/12/07/pdfs/GMD-1834-296.pdf#page=4","Abrir facsímil")</f>
        <v>Abrir facsímil</v>
      </c>
      <c r="K9762" s="10" t="s">
        <v>24</v>
      </c>
    </row>
    <row r="9763" spans="1:11" ht="54" customHeight="1">
      <c r="A9763" s="9" t="s">
        <v>20427</v>
      </c>
      <c r="B9763" s="9" t="s">
        <v>20428</v>
      </c>
      <c r="C9763" s="9" t="s">
        <v>17</v>
      </c>
      <c r="D9763" s="9" t="s">
        <v>18</v>
      </c>
      <c r="E9763" s="10" t="s">
        <v>299</v>
      </c>
      <c r="F9763" s="9" t="s">
        <v>300</v>
      </c>
      <c r="G9763" s="10" t="s">
        <v>75</v>
      </c>
      <c r="H9763" s="9" t="s">
        <v>22</v>
      </c>
      <c r="I9763" s="9" t="s">
        <v>20429</v>
      </c>
      <c r="J9763" s="10" t="str">
        <f>HYPERLINK("https://www.boe.es/gazeta/dias/1834/12/12/pdfs/GMD-1834-301.pdf#page=4","Abrir facsímil")</f>
        <v>Abrir facsímil</v>
      </c>
      <c r="K9763" s="10" t="s">
        <v>24</v>
      </c>
    </row>
    <row r="9764" spans="1:11" ht="54" customHeight="1">
      <c r="A9764" s="9" t="s">
        <v>20430</v>
      </c>
      <c r="B9764" s="9" t="s">
        <v>20431</v>
      </c>
      <c r="C9764" s="9" t="s">
        <v>17</v>
      </c>
      <c r="D9764" s="9" t="s">
        <v>101</v>
      </c>
      <c r="E9764" s="10" t="s">
        <v>833</v>
      </c>
      <c r="F9764" s="9" t="s">
        <v>834</v>
      </c>
      <c r="G9764" s="10" t="s">
        <v>75</v>
      </c>
      <c r="H9764" s="9" t="s">
        <v>22</v>
      </c>
      <c r="I9764" s="9" t="s">
        <v>20432</v>
      </c>
      <c r="J9764" s="10" t="str">
        <f>HYPERLINK("https://www.boe.es/gazeta/dias/1834/04/24/pdfs/GMD-1834-63.pdf#page=4","Abrir facsímil")</f>
        <v>Abrir facsímil</v>
      </c>
      <c r="K9764" s="10" t="s">
        <v>24</v>
      </c>
    </row>
    <row r="9765" spans="1:11" ht="54" customHeight="1">
      <c r="A9765" s="9" t="s">
        <v>20433</v>
      </c>
      <c r="B9765" s="9" t="s">
        <v>20434</v>
      </c>
      <c r="C9765" s="9" t="s">
        <v>66</v>
      </c>
      <c r="D9765" s="9" t="s">
        <v>67</v>
      </c>
      <c r="E9765" s="10" t="s">
        <v>785</v>
      </c>
      <c r="F9765" s="9" t="s">
        <v>786</v>
      </c>
      <c r="G9765" s="10" t="s">
        <v>75</v>
      </c>
      <c r="H9765" s="9" t="s">
        <v>35</v>
      </c>
      <c r="I9765" s="9" t="s">
        <v>20435</v>
      </c>
      <c r="J9765" s="10" t="str">
        <f>HYPERLINK("https://www.boe.es/gazeta/dias/1834/02/11/pdfs/GMD-1834-19.pdf#page=4","Abrir facsímil")</f>
        <v>Abrir facsímil</v>
      </c>
      <c r="K9765" s="10" t="s">
        <v>37</v>
      </c>
    </row>
    <row r="9766" spans="1:11" ht="54" customHeight="1">
      <c r="A9766" s="9" t="s">
        <v>20436</v>
      </c>
      <c r="B9766" s="9" t="s">
        <v>20437</v>
      </c>
      <c r="C9766" s="9" t="s">
        <v>46</v>
      </c>
      <c r="D9766" s="9" t="s">
        <v>101</v>
      </c>
      <c r="E9766" s="10" t="s">
        <v>1402</v>
      </c>
      <c r="F9766" s="9" t="s">
        <v>1403</v>
      </c>
      <c r="G9766" s="10" t="s">
        <v>86</v>
      </c>
      <c r="H9766" s="9" t="s">
        <v>35</v>
      </c>
      <c r="I9766" s="9" t="s">
        <v>20438</v>
      </c>
      <c r="J9766" s="10" t="str">
        <f>HYPERLINK("https://www.boe.es/gazeta/dias/1834/05/05/pdfs/I00347-00348.pdf#page=2","Abrir facsímil")</f>
        <v>Abrir facsímil</v>
      </c>
      <c r="K9766" s="10" t="s">
        <v>37</v>
      </c>
    </row>
    <row r="9767" spans="1:11" ht="54" customHeight="1">
      <c r="A9767" s="9" t="s">
        <v>20436</v>
      </c>
      <c r="B9767" s="9" t="s">
        <v>20437</v>
      </c>
      <c r="C9767" s="9" t="s">
        <v>46</v>
      </c>
      <c r="D9767" s="9" t="s">
        <v>101</v>
      </c>
      <c r="E9767" s="10" t="s">
        <v>1402</v>
      </c>
      <c r="F9767" s="9" t="s">
        <v>1403</v>
      </c>
      <c r="G9767" s="10" t="s">
        <v>176</v>
      </c>
      <c r="H9767" s="9" t="s">
        <v>35</v>
      </c>
      <c r="I9767" s="9" t="s">
        <v>20439</v>
      </c>
      <c r="J9767" s="10" t="str">
        <f>HYPERLINK("https://www.boe.es/gazeta/dias/1834/05/05/pdfs/GMD-1834-74.pdf#page=6","Abrir facsímil")</f>
        <v>Abrir facsímil</v>
      </c>
      <c r="K9767" s="10" t="s">
        <v>37</v>
      </c>
    </row>
    <row r="9768" spans="1:11" ht="54" customHeight="1">
      <c r="A9768" s="9" t="s">
        <v>20440</v>
      </c>
      <c r="B9768" s="9" t="s">
        <v>20441</v>
      </c>
      <c r="C9768" s="9" t="s">
        <v>66</v>
      </c>
      <c r="D9768" s="9" t="s">
        <v>67</v>
      </c>
      <c r="E9768" s="10" t="s">
        <v>785</v>
      </c>
      <c r="F9768" s="9" t="s">
        <v>786</v>
      </c>
      <c r="G9768" s="10" t="s">
        <v>75</v>
      </c>
      <c r="H9768" s="9" t="s">
        <v>35</v>
      </c>
      <c r="I9768" s="9" t="s">
        <v>20442</v>
      </c>
      <c r="J9768" s="10" t="str">
        <f>HYPERLINK("https://www.boe.es/gazeta/dias/1834/02/11/pdfs/GMD-1834-19.pdf#page=4","Abrir facsímil")</f>
        <v>Abrir facsímil</v>
      </c>
      <c r="K9768" s="10" t="s">
        <v>37</v>
      </c>
    </row>
    <row r="9769" spans="1:11" ht="54" customHeight="1">
      <c r="A9769" s="9" t="s">
        <v>20443</v>
      </c>
      <c r="B9769" s="9" t="s">
        <v>20444</v>
      </c>
      <c r="C9769" s="9" t="s">
        <v>46</v>
      </c>
      <c r="D9769" s="9" t="s">
        <v>101</v>
      </c>
      <c r="E9769" s="10" t="s">
        <v>1017</v>
      </c>
      <c r="F9769" s="9" t="s">
        <v>1018</v>
      </c>
      <c r="G9769" s="10" t="s">
        <v>21</v>
      </c>
      <c r="H9769" s="9" t="s">
        <v>35</v>
      </c>
      <c r="I9769" s="9" t="s">
        <v>20445</v>
      </c>
      <c r="J9769" s="10" t="str">
        <f>HYPERLINK("https://www.boe.es/gazeta/dias/1834/07/24/pdfs/GMD-1834-157.pdf#page=3","Abrir facsímil")</f>
        <v>Abrir facsímil</v>
      </c>
      <c r="K9769" s="10" t="s">
        <v>37</v>
      </c>
    </row>
    <row r="9770" spans="1:11" ht="54" customHeight="1">
      <c r="A9770" s="9" t="s">
        <v>20446</v>
      </c>
      <c r="B9770" s="9" t="s">
        <v>20447</v>
      </c>
      <c r="C9770" s="9" t="s">
        <v>46</v>
      </c>
      <c r="D9770" s="9" t="s">
        <v>55</v>
      </c>
      <c r="E9770" s="10" t="s">
        <v>3699</v>
      </c>
      <c r="F9770" s="9" t="s">
        <v>3700</v>
      </c>
      <c r="G9770" s="10" t="s">
        <v>86</v>
      </c>
      <c r="H9770" s="9" t="s">
        <v>35</v>
      </c>
      <c r="I9770" s="9" t="s">
        <v>20448</v>
      </c>
      <c r="J9770" s="10" t="str">
        <f>HYPERLINK("https://www.boe.es/gazeta/dias/1834/02/06/pdfs/GMD-1834-17.pdf#page=2","Abrir facsímil")</f>
        <v>Abrir facsímil</v>
      </c>
      <c r="K9770" s="10" t="s">
        <v>37</v>
      </c>
    </row>
    <row r="9771" spans="1:11" ht="54" customHeight="1">
      <c r="A9771" s="9" t="s">
        <v>20449</v>
      </c>
      <c r="B9771" s="9" t="s">
        <v>20450</v>
      </c>
      <c r="C9771" s="9" t="s">
        <v>46</v>
      </c>
      <c r="D9771" s="9" t="s">
        <v>18</v>
      </c>
      <c r="E9771" s="10" t="s">
        <v>4105</v>
      </c>
      <c r="F9771" s="9" t="s">
        <v>4106</v>
      </c>
      <c r="G9771" s="10" t="s">
        <v>176</v>
      </c>
      <c r="H9771" s="9" t="s">
        <v>35</v>
      </c>
      <c r="I9771" s="9" t="s">
        <v>20451</v>
      </c>
      <c r="J9771" s="10" t="str">
        <f>HYPERLINK("https://www.boe.es/gazeta/dias/1834/09/02/pdfs/GMD-C-1834-200.pdf#page=6","Abrir facsímil")</f>
        <v>Abrir facsímil</v>
      </c>
      <c r="K9771" s="10" t="s">
        <v>37</v>
      </c>
    </row>
    <row r="9772" spans="1:11" ht="54" customHeight="1">
      <c r="A9772" s="9" t="s">
        <v>20452</v>
      </c>
      <c r="B9772" s="9" t="s">
        <v>20453</v>
      </c>
      <c r="C9772" s="9" t="s">
        <v>17</v>
      </c>
      <c r="D9772" s="9" t="s">
        <v>18</v>
      </c>
      <c r="E9772" s="10" t="s">
        <v>576</v>
      </c>
      <c r="F9772" s="9" t="s">
        <v>5888</v>
      </c>
      <c r="G9772" s="10" t="s">
        <v>28</v>
      </c>
      <c r="H9772" s="9" t="s">
        <v>35</v>
      </c>
      <c r="I9772" s="9" t="s">
        <v>20454</v>
      </c>
      <c r="J9772" s="10" t="str">
        <f>HYPERLINK("https://www.boe.es/gazeta/dias/1834/09/23/pdfs/GMD-C-1834-221.pdf#page=5","Abrir facsímil")</f>
        <v>Abrir facsímil</v>
      </c>
      <c r="K9772" s="10" t="s">
        <v>37</v>
      </c>
    </row>
    <row r="9773" spans="1:11" ht="54" customHeight="1">
      <c r="A9773" s="9" t="s">
        <v>20455</v>
      </c>
      <c r="B9773" s="9" t="s">
        <v>20456</v>
      </c>
      <c r="C9773" s="9" t="s">
        <v>46</v>
      </c>
      <c r="D9773" s="9" t="s">
        <v>101</v>
      </c>
      <c r="E9773" s="10" t="s">
        <v>1402</v>
      </c>
      <c r="F9773" s="9" t="s">
        <v>1403</v>
      </c>
      <c r="G9773" s="10" t="s">
        <v>86</v>
      </c>
      <c r="H9773" s="9" t="s">
        <v>35</v>
      </c>
      <c r="I9773" s="9" t="s">
        <v>20457</v>
      </c>
      <c r="J9773" s="10" t="str">
        <f>HYPERLINK("https://www.boe.es/gazeta/dias/1834/05/05/pdfs/I00347-00348.pdf#page=2","Abrir facsímil")</f>
        <v>Abrir facsímil</v>
      </c>
      <c r="K9773" s="10" t="s">
        <v>37</v>
      </c>
    </row>
    <row r="9774" spans="1:11" ht="54" customHeight="1">
      <c r="A9774" s="9" t="s">
        <v>20455</v>
      </c>
      <c r="B9774" s="9" t="s">
        <v>20456</v>
      </c>
      <c r="C9774" s="9" t="s">
        <v>46</v>
      </c>
      <c r="D9774" s="9" t="s">
        <v>101</v>
      </c>
      <c r="E9774" s="10" t="s">
        <v>1402</v>
      </c>
      <c r="F9774" s="9" t="s">
        <v>1403</v>
      </c>
      <c r="G9774" s="10" t="s">
        <v>176</v>
      </c>
      <c r="H9774" s="9" t="s">
        <v>35</v>
      </c>
      <c r="I9774" s="9" t="s">
        <v>20458</v>
      </c>
      <c r="J9774" s="10" t="str">
        <f>HYPERLINK("https://www.boe.es/gazeta/dias/1834/05/05/pdfs/GMD-1834-74.pdf#page=6","Abrir facsímil")</f>
        <v>Abrir facsímil</v>
      </c>
      <c r="K9774" s="10" t="s">
        <v>37</v>
      </c>
    </row>
    <row r="9775" spans="1:11" ht="54" customHeight="1">
      <c r="A9775" s="9" t="s">
        <v>20459</v>
      </c>
      <c r="B9775" s="9" t="s">
        <v>20460</v>
      </c>
      <c r="C9775" s="9" t="s">
        <v>17</v>
      </c>
      <c r="D9775" s="9" t="s">
        <v>18</v>
      </c>
      <c r="E9775" s="10" t="s">
        <v>976</v>
      </c>
      <c r="F9775" s="9" t="s">
        <v>977</v>
      </c>
      <c r="G9775" s="10" t="s">
        <v>75</v>
      </c>
      <c r="H9775" s="9" t="s">
        <v>35</v>
      </c>
      <c r="I9775" s="9" t="s">
        <v>20461</v>
      </c>
      <c r="J9775" s="10" t="str">
        <f>HYPERLINK("https://www.boe.es/gazeta/dias/1834/04/02/pdfs/GMD-1834-41.pdf#page=4","Abrir facsímil")</f>
        <v>Abrir facsímil</v>
      </c>
      <c r="K9775" s="10" t="s">
        <v>37</v>
      </c>
    </row>
    <row r="9776" spans="1:11" ht="54" customHeight="1">
      <c r="A9776" s="9" t="s">
        <v>20459</v>
      </c>
      <c r="B9776" s="9" t="s">
        <v>20460</v>
      </c>
      <c r="C9776" s="9" t="s">
        <v>46</v>
      </c>
      <c r="D9776" s="9" t="s">
        <v>101</v>
      </c>
      <c r="E9776" s="10" t="s">
        <v>2379</v>
      </c>
      <c r="F9776" s="9" t="s">
        <v>2380</v>
      </c>
      <c r="G9776" s="10" t="s">
        <v>75</v>
      </c>
      <c r="H9776" s="9" t="s">
        <v>35</v>
      </c>
      <c r="I9776" s="9" t="s">
        <v>20462</v>
      </c>
      <c r="J9776" s="10" t="str">
        <f>HYPERLINK("https://www.boe.es/gazeta/dias/1834/04/03/pdfs/GMD-1834-42.pdf#page=4","Abrir facsímil")</f>
        <v>Abrir facsímil</v>
      </c>
      <c r="K9776" s="10" t="s">
        <v>37</v>
      </c>
    </row>
    <row r="9777" spans="1:11" ht="54" customHeight="1">
      <c r="A9777" s="9" t="s">
        <v>20463</v>
      </c>
      <c r="B9777" s="9" t="s">
        <v>20464</v>
      </c>
      <c r="C9777" s="9" t="s">
        <v>17</v>
      </c>
      <c r="D9777" s="9" t="s">
        <v>18</v>
      </c>
      <c r="E9777" s="10" t="s">
        <v>1973</v>
      </c>
      <c r="F9777" s="9" t="s">
        <v>1974</v>
      </c>
      <c r="G9777" s="10" t="s">
        <v>176</v>
      </c>
      <c r="H9777" s="9" t="s">
        <v>22</v>
      </c>
      <c r="I9777" s="9" t="s">
        <v>20465</v>
      </c>
      <c r="J9777" s="10" t="str">
        <f>HYPERLINK("https://www.boe.es/gazeta/dias/1834/12/20/pdfs/GMD-C-1834-310.pdf#page=6","Abrir facsímil")</f>
        <v>Abrir facsímil</v>
      </c>
      <c r="K9777" s="10" t="s">
        <v>24</v>
      </c>
    </row>
    <row r="9778" spans="1:11" ht="54" customHeight="1">
      <c r="A9778" s="9" t="s">
        <v>20466</v>
      </c>
      <c r="B9778" s="9" t="s">
        <v>20467</v>
      </c>
      <c r="C9778" s="9" t="s">
        <v>17</v>
      </c>
      <c r="D9778" s="9" t="s">
        <v>18</v>
      </c>
      <c r="E9778" s="10" t="s">
        <v>762</v>
      </c>
      <c r="F9778" s="9" t="s">
        <v>2227</v>
      </c>
      <c r="G9778" s="10" t="s">
        <v>34</v>
      </c>
      <c r="H9778" s="9" t="s">
        <v>35</v>
      </c>
      <c r="I9778" s="9" t="s">
        <v>20468</v>
      </c>
      <c r="J9778" s="10" t="str">
        <f>HYPERLINK("https://www.boe.es/gazeta/dias/1834/11/07/pdfs/GMD-C-1834-266.pdf#page=1","Abrir facsímil")</f>
        <v>Abrir facsímil</v>
      </c>
      <c r="K9778" s="10" t="s">
        <v>37</v>
      </c>
    </row>
    <row r="9779" spans="1:11" ht="54" customHeight="1">
      <c r="A9779" s="9" t="s">
        <v>20469</v>
      </c>
      <c r="B9779" s="9" t="s">
        <v>20470</v>
      </c>
      <c r="C9779" s="9" t="s">
        <v>17</v>
      </c>
      <c r="D9779" s="9" t="s">
        <v>55</v>
      </c>
      <c r="E9779" s="10" t="s">
        <v>1186</v>
      </c>
      <c r="F9779" s="9" t="s">
        <v>1187</v>
      </c>
      <c r="G9779" s="10" t="s">
        <v>34</v>
      </c>
      <c r="H9779" s="9" t="s">
        <v>22</v>
      </c>
      <c r="I9779" s="9" t="s">
        <v>20471</v>
      </c>
      <c r="J9779" s="10" t="str">
        <f>HYPERLINK("https://www.boe.es/gazeta/dias/1834/08/14/pdfs/GMD-1834-179.pdf#page=1","Abrir facsímil")</f>
        <v>Abrir facsímil</v>
      </c>
      <c r="K9779" s="10" t="s">
        <v>24</v>
      </c>
    </row>
    <row r="9780" spans="1:11" ht="54" customHeight="1">
      <c r="A9780" s="9" t="s">
        <v>20472</v>
      </c>
      <c r="B9780" s="9" t="s">
        <v>20473</v>
      </c>
      <c r="C9780" s="9" t="s">
        <v>17</v>
      </c>
      <c r="D9780" s="9" t="s">
        <v>18</v>
      </c>
      <c r="E9780" s="10" t="s">
        <v>762</v>
      </c>
      <c r="F9780" s="9" t="s">
        <v>2227</v>
      </c>
      <c r="G9780" s="10" t="s">
        <v>34</v>
      </c>
      <c r="H9780" s="9" t="s">
        <v>22</v>
      </c>
      <c r="I9780" s="9" t="s">
        <v>20474</v>
      </c>
      <c r="J9780" s="10" t="str">
        <f>HYPERLINK("https://www.boe.es/gazeta/dias/1834/11/07/pdfs/GMD-C-1834-266.pdf#page=1","Abrir facsímil")</f>
        <v>Abrir facsímil</v>
      </c>
      <c r="K9780" s="10" t="s">
        <v>24</v>
      </c>
    </row>
    <row r="9781" spans="1:11" ht="54" customHeight="1">
      <c r="A9781" s="9" t="s">
        <v>20475</v>
      </c>
      <c r="B9781" s="9" t="s">
        <v>20476</v>
      </c>
      <c r="C9781" s="9" t="s">
        <v>17</v>
      </c>
      <c r="D9781" s="9" t="s">
        <v>18</v>
      </c>
      <c r="E9781" s="10" t="s">
        <v>899</v>
      </c>
      <c r="F9781" s="9" t="s">
        <v>900</v>
      </c>
      <c r="G9781" s="10" t="s">
        <v>28</v>
      </c>
      <c r="H9781" s="9" t="s">
        <v>22</v>
      </c>
      <c r="I9781" s="9" t="s">
        <v>20477</v>
      </c>
      <c r="J9781" s="10" t="str">
        <f>HYPERLINK("https://www.boe.es/gazeta/dias/1834/01/30/pdfs/GMD-1834-14.pdf#page=5","Abrir facsímil")</f>
        <v>Abrir facsímil</v>
      </c>
      <c r="K9781" s="10" t="s">
        <v>24</v>
      </c>
    </row>
    <row r="9782" spans="1:11" ht="54" customHeight="1">
      <c r="A9782" s="9" t="s">
        <v>20478</v>
      </c>
      <c r="B9782" s="9" t="s">
        <v>20479</v>
      </c>
      <c r="C9782" s="9" t="s">
        <v>90</v>
      </c>
      <c r="D9782" s="9" t="s">
        <v>18</v>
      </c>
      <c r="E9782" s="10" t="s">
        <v>663</v>
      </c>
      <c r="F9782" s="9" t="s">
        <v>664</v>
      </c>
      <c r="G9782" s="10" t="s">
        <v>34</v>
      </c>
      <c r="H9782" s="9" t="s">
        <v>22</v>
      </c>
      <c r="I9782" s="9" t="s">
        <v>20480</v>
      </c>
      <c r="J9782" s="10" t="str">
        <f>HYPERLINK("https://www.boe.es/gazeta/dias/1834/07/16/pdfs/GMD-1834-149.pdf#page=1","Abrir facsímil")</f>
        <v>Abrir facsímil</v>
      </c>
      <c r="K9782" s="10" t="s">
        <v>24</v>
      </c>
    </row>
    <row r="9783" spans="1:11" ht="54" customHeight="1">
      <c r="A9783" s="9" t="s">
        <v>20481</v>
      </c>
      <c r="B9783" s="9" t="s">
        <v>20482</v>
      </c>
      <c r="C9783" s="9" t="s">
        <v>90</v>
      </c>
      <c r="D9783" s="9" t="s">
        <v>67</v>
      </c>
      <c r="E9783" s="10" t="s">
        <v>513</v>
      </c>
      <c r="F9783" s="9" t="s">
        <v>514</v>
      </c>
      <c r="G9783" s="10" t="s">
        <v>75</v>
      </c>
      <c r="H9783" s="9" t="s">
        <v>22</v>
      </c>
      <c r="I9783" s="9" t="s">
        <v>20483</v>
      </c>
      <c r="J9783" s="10" t="str">
        <f>HYPERLINK("https://www.boe.es/gazeta/dias/1834/04/27/pdfs/GMD-1834-66.pdf#page=4","Abrir facsímil")</f>
        <v>Abrir facsímil</v>
      </c>
      <c r="K9783" s="10" t="s">
        <v>24</v>
      </c>
    </row>
    <row r="9784" spans="1:11" ht="54" customHeight="1">
      <c r="A9784" s="9" t="s">
        <v>20484</v>
      </c>
      <c r="B9784" s="9" t="s">
        <v>20485</v>
      </c>
      <c r="C9784" s="9" t="s">
        <v>17</v>
      </c>
      <c r="D9784" s="9" t="s">
        <v>18</v>
      </c>
      <c r="E9784" s="10" t="s">
        <v>866</v>
      </c>
      <c r="F9784" s="9" t="s">
        <v>867</v>
      </c>
      <c r="G9784" s="10" t="s">
        <v>75</v>
      </c>
      <c r="H9784" s="9" t="s">
        <v>22</v>
      </c>
      <c r="I9784" s="9" t="s">
        <v>20486</v>
      </c>
      <c r="J9784" s="10" t="str">
        <f>HYPERLINK("https://www.boe.es/gazeta/dias/1834/01/18/pdfs/GMD-1834-9.pdf#page=4","Abrir facsímil")</f>
        <v>Abrir facsímil</v>
      </c>
      <c r="K9784" s="10" t="s">
        <v>24</v>
      </c>
    </row>
    <row r="9785" spans="1:11" ht="54" customHeight="1">
      <c r="A9785" s="9" t="s">
        <v>20487</v>
      </c>
      <c r="B9785" s="9" t="s">
        <v>20488</v>
      </c>
      <c r="C9785" s="9" t="s">
        <v>17</v>
      </c>
      <c r="D9785" s="9" t="s">
        <v>18</v>
      </c>
      <c r="E9785" s="10" t="s">
        <v>777</v>
      </c>
      <c r="F9785" s="9" t="s">
        <v>2535</v>
      </c>
      <c r="G9785" s="10" t="s">
        <v>21</v>
      </c>
      <c r="H9785" s="9" t="s">
        <v>22</v>
      </c>
      <c r="I9785" s="9" t="s">
        <v>20489</v>
      </c>
      <c r="J9785" s="10" t="str">
        <f>HYPERLINK("https://www.boe.es/gazeta/dias/1834/10/29/pdfs/GMD-C-1834-257.pdf#page=3","Abrir facsímil")</f>
        <v>Abrir facsímil</v>
      </c>
      <c r="K9785" s="10" t="s">
        <v>24</v>
      </c>
    </row>
    <row r="9786" spans="1:11" ht="54" customHeight="1">
      <c r="A9786" s="9" t="s">
        <v>20490</v>
      </c>
      <c r="B9786" s="9" t="s">
        <v>20490</v>
      </c>
      <c r="C9786" s="9" t="s">
        <v>17</v>
      </c>
      <c r="D9786" s="9" t="s">
        <v>18</v>
      </c>
      <c r="E9786" s="10" t="s">
        <v>1351</v>
      </c>
      <c r="F9786" s="9" t="s">
        <v>1352</v>
      </c>
      <c r="G9786" s="10" t="s">
        <v>75</v>
      </c>
      <c r="H9786" s="9" t="s">
        <v>22</v>
      </c>
      <c r="I9786" s="9" t="s">
        <v>20491</v>
      </c>
      <c r="J9786" s="10" t="str">
        <f>HYPERLINK("https://www.boe.es/gazeta/dias/1834/07/05/pdfs/GMD-1834-138.pdf#page=4","Abrir facsímil")</f>
        <v>Abrir facsímil</v>
      </c>
      <c r="K9786" s="10" t="s">
        <v>24</v>
      </c>
    </row>
    <row r="9787" spans="1:11" ht="54" customHeight="1">
      <c r="A9787" s="9" t="s">
        <v>20490</v>
      </c>
      <c r="B9787" s="9" t="s">
        <v>20490</v>
      </c>
      <c r="C9787" s="9" t="s">
        <v>66</v>
      </c>
      <c r="D9787" s="9" t="s">
        <v>67</v>
      </c>
      <c r="E9787" s="10" t="s">
        <v>143</v>
      </c>
      <c r="F9787" s="9" t="s">
        <v>144</v>
      </c>
      <c r="G9787" s="10" t="s">
        <v>21</v>
      </c>
      <c r="H9787" s="9" t="s">
        <v>22</v>
      </c>
      <c r="I9787" s="9" t="s">
        <v>20492</v>
      </c>
      <c r="J9787" s="10" t="str">
        <f>HYPERLINK("https://www.boe.es/gazeta/dias/1834/07/31/pdfs/GMD-1834-164.pdf#page=3","Abrir facsímil")</f>
        <v>Abrir facsímil</v>
      </c>
      <c r="K9787" s="10" t="s">
        <v>24</v>
      </c>
    </row>
    <row r="9788" spans="1:11" ht="54" customHeight="1">
      <c r="A9788" s="9" t="s">
        <v>20493</v>
      </c>
      <c r="B9788" s="9" t="s">
        <v>20494</v>
      </c>
      <c r="C9788" s="9" t="s">
        <v>66</v>
      </c>
      <c r="D9788" s="9" t="s">
        <v>67</v>
      </c>
      <c r="E9788" s="10" t="s">
        <v>143</v>
      </c>
      <c r="F9788" s="9" t="s">
        <v>144</v>
      </c>
      <c r="G9788" s="10" t="s">
        <v>21</v>
      </c>
      <c r="H9788" s="9" t="s">
        <v>35</v>
      </c>
      <c r="I9788" s="9" t="s">
        <v>20495</v>
      </c>
      <c r="J9788" s="10" t="str">
        <f>HYPERLINK("https://www.boe.es/gazeta/dias/1834/07/31/pdfs/GMD-1834-164.pdf#page=3","Abrir facsímil")</f>
        <v>Abrir facsímil</v>
      </c>
      <c r="K9788" s="10" t="s">
        <v>37</v>
      </c>
    </row>
    <row r="9789" spans="1:11" ht="54" customHeight="1">
      <c r="A9789" s="9" t="s">
        <v>20496</v>
      </c>
      <c r="B9789" s="9" t="s">
        <v>20496</v>
      </c>
      <c r="C9789" s="9" t="s">
        <v>17</v>
      </c>
      <c r="D9789" s="9" t="s">
        <v>18</v>
      </c>
      <c r="E9789" s="10" t="s">
        <v>128</v>
      </c>
      <c r="F9789" s="9" t="s">
        <v>1068</v>
      </c>
      <c r="G9789" s="10" t="s">
        <v>86</v>
      </c>
      <c r="H9789" s="9" t="s">
        <v>22</v>
      </c>
      <c r="I9789" s="9" t="s">
        <v>20497</v>
      </c>
      <c r="J9789" s="10" t="str">
        <f>HYPERLINK("https://www.boe.es/gazeta/dias/1834/12/24/pdfs/GMD-1834-314.pdf#page=2","Abrir facsímil")</f>
        <v>Abrir facsímil</v>
      </c>
      <c r="K9789" s="10" t="s">
        <v>24</v>
      </c>
    </row>
    <row r="9790" spans="1:11" ht="54" customHeight="1">
      <c r="A9790" s="9" t="s">
        <v>20498</v>
      </c>
      <c r="B9790" s="9" t="s">
        <v>20498</v>
      </c>
      <c r="C9790" s="9" t="s">
        <v>90</v>
      </c>
      <c r="D9790" s="9" t="s">
        <v>18</v>
      </c>
      <c r="E9790" s="10" t="s">
        <v>11991</v>
      </c>
      <c r="F9790" s="9" t="s">
        <v>17012</v>
      </c>
      <c r="G9790" s="10" t="s">
        <v>21</v>
      </c>
      <c r="H9790" s="9" t="s">
        <v>22</v>
      </c>
      <c r="I9790" s="9" t="s">
        <v>20499</v>
      </c>
      <c r="J9790" s="10" t="str">
        <f>HYPERLINK("https://www.boe.es/gazeta/dias/1834/12/05/pdfs/GMD-1834-294.pdf#page=3","Abrir facsímil")</f>
        <v>Abrir facsímil</v>
      </c>
      <c r="K9790" s="10" t="s">
        <v>24</v>
      </c>
    </row>
    <row r="9791" spans="1:11" ht="54" customHeight="1">
      <c r="A9791" s="9" t="s">
        <v>20498</v>
      </c>
      <c r="B9791" s="9" t="s">
        <v>20498</v>
      </c>
      <c r="C9791" s="9" t="s">
        <v>17</v>
      </c>
      <c r="D9791" s="9" t="s">
        <v>18</v>
      </c>
      <c r="E9791" s="10" t="s">
        <v>1999</v>
      </c>
      <c r="F9791" s="9" t="s">
        <v>2000</v>
      </c>
      <c r="G9791" s="10" t="s">
        <v>86</v>
      </c>
      <c r="H9791" s="9" t="s">
        <v>22</v>
      </c>
      <c r="I9791" s="9" t="s">
        <v>20500</v>
      </c>
      <c r="J9791" s="10" t="str">
        <f>HYPERLINK("https://www.boe.es/gazeta/dias/1834/04/09/pdfs/GMD-1834-48.pdf#page=2","Abrir facsímil")</f>
        <v>Abrir facsímil</v>
      </c>
      <c r="K9791" s="10" t="s">
        <v>24</v>
      </c>
    </row>
    <row r="9792" spans="1:11" ht="54" customHeight="1">
      <c r="A9792" s="9" t="s">
        <v>20498</v>
      </c>
      <c r="B9792" s="9" t="s">
        <v>20498</v>
      </c>
      <c r="C9792" s="9" t="s">
        <v>17</v>
      </c>
      <c r="D9792" s="9" t="s">
        <v>18</v>
      </c>
      <c r="E9792" s="10" t="s">
        <v>939</v>
      </c>
      <c r="F9792" s="9" t="s">
        <v>940</v>
      </c>
      <c r="G9792" s="10" t="s">
        <v>34</v>
      </c>
      <c r="H9792" s="9" t="s">
        <v>22</v>
      </c>
      <c r="I9792" s="9" t="s">
        <v>20501</v>
      </c>
      <c r="J9792" s="10" t="str">
        <f>HYPERLINK("https://www.boe.es/gazeta/dias/1834/06/10/pdfs/GMD-1834-113.pdf#page=1","Abrir facsímil")</f>
        <v>Abrir facsímil</v>
      </c>
      <c r="K9792" s="10" t="s">
        <v>24</v>
      </c>
    </row>
    <row r="9793" spans="1:11" ht="54" customHeight="1">
      <c r="A9793" s="9" t="s">
        <v>20498</v>
      </c>
      <c r="B9793" s="9" t="s">
        <v>20498</v>
      </c>
      <c r="C9793" s="9" t="s">
        <v>122</v>
      </c>
      <c r="D9793" s="9" t="s">
        <v>18</v>
      </c>
      <c r="E9793" s="10" t="s">
        <v>707</v>
      </c>
      <c r="F9793" s="9" t="s">
        <v>1359</v>
      </c>
      <c r="G9793" s="10" t="s">
        <v>75</v>
      </c>
      <c r="H9793" s="9" t="s">
        <v>22</v>
      </c>
      <c r="I9793" s="9" t="s">
        <v>20502</v>
      </c>
      <c r="J9793" s="10" t="str">
        <f>HYPERLINK("https://www.boe.es/gazeta/dias/1834/11/25/pdfs/GMD-1834-284.pdf#page=4","Abrir facsímil")</f>
        <v>Abrir facsímil</v>
      </c>
      <c r="K9793" s="10" t="s">
        <v>24</v>
      </c>
    </row>
    <row r="9794" spans="1:11" ht="54" customHeight="1">
      <c r="A9794" s="9" t="s">
        <v>20503</v>
      </c>
      <c r="B9794" s="9" t="s">
        <v>20503</v>
      </c>
      <c r="C9794" s="9" t="s">
        <v>17</v>
      </c>
      <c r="D9794" s="9" t="s">
        <v>55</v>
      </c>
      <c r="E9794" s="10" t="s">
        <v>883</v>
      </c>
      <c r="F9794" s="9" t="s">
        <v>3449</v>
      </c>
      <c r="G9794" s="10" t="s">
        <v>86</v>
      </c>
      <c r="H9794" s="9" t="s">
        <v>22</v>
      </c>
      <c r="I9794" s="9" t="s">
        <v>20504</v>
      </c>
      <c r="J9794" s="10" t="str">
        <f>HYPERLINK("https://www.boe.es/gazeta/dias/1834/11/16/pdfs/GMD-1834-275.pdf#page=2","Abrir facsímil")</f>
        <v>Abrir facsímil</v>
      </c>
      <c r="K9794" s="10" t="s">
        <v>24</v>
      </c>
    </row>
    <row r="9795" spans="1:11" ht="54" customHeight="1">
      <c r="A9795" s="9" t="s">
        <v>20503</v>
      </c>
      <c r="B9795" s="9" t="s">
        <v>20503</v>
      </c>
      <c r="C9795" s="9" t="s">
        <v>122</v>
      </c>
      <c r="D9795" s="9" t="s">
        <v>101</v>
      </c>
      <c r="E9795" s="10" t="s">
        <v>8200</v>
      </c>
      <c r="F9795" s="9" t="s">
        <v>8201</v>
      </c>
      <c r="G9795" s="10" t="s">
        <v>86</v>
      </c>
      <c r="H9795" s="9" t="s">
        <v>22</v>
      </c>
      <c r="I9795" s="9" t="s">
        <v>20505</v>
      </c>
      <c r="J9795" s="10" t="str">
        <f>HYPERLINK("https://www.boe.es/gazeta/dias/1834/11/17/pdfs/GMD-1834-276.pdf#page=2","Abrir facsímil")</f>
        <v>Abrir facsímil</v>
      </c>
      <c r="K9795" s="10" t="s">
        <v>24</v>
      </c>
    </row>
    <row r="9796" spans="1:11" ht="54" customHeight="1">
      <c r="A9796" s="9" t="s">
        <v>20503</v>
      </c>
      <c r="B9796" s="9" t="s">
        <v>20503</v>
      </c>
      <c r="C9796" s="9" t="s">
        <v>90</v>
      </c>
      <c r="D9796" s="9" t="s">
        <v>101</v>
      </c>
      <c r="E9796" s="10" t="s">
        <v>707</v>
      </c>
      <c r="F9796" s="9" t="s">
        <v>1359</v>
      </c>
      <c r="G9796" s="10" t="s">
        <v>86</v>
      </c>
      <c r="H9796" s="9" t="s">
        <v>22</v>
      </c>
      <c r="I9796" s="9" t="s">
        <v>20506</v>
      </c>
      <c r="J9796" s="10" t="str">
        <f>HYPERLINK("https://www.boe.es/gazeta/dias/1834/11/25/pdfs/GMD-1834-284.pdf#page=2","Abrir facsímil")</f>
        <v>Abrir facsímil</v>
      </c>
      <c r="K9796" s="10" t="s">
        <v>24</v>
      </c>
    </row>
    <row r="9797" spans="1:11" ht="54" customHeight="1">
      <c r="A9797" s="9" t="s">
        <v>20507</v>
      </c>
      <c r="B9797" s="9" t="s">
        <v>20507</v>
      </c>
      <c r="C9797" s="9" t="s">
        <v>17</v>
      </c>
      <c r="D9797" s="9" t="s">
        <v>18</v>
      </c>
      <c r="E9797" s="10" t="s">
        <v>1708</v>
      </c>
      <c r="F9797" s="9" t="s">
        <v>1709</v>
      </c>
      <c r="G9797" s="10" t="s">
        <v>75</v>
      </c>
      <c r="H9797" s="9" t="s">
        <v>22</v>
      </c>
      <c r="I9797" s="9" t="s">
        <v>20508</v>
      </c>
      <c r="J9797" s="10" t="str">
        <f>HYPERLINK("https://www.boe.es/gazeta/dias/1834/04/12/pdfs/GMD-1834-51.pdf#page=4","Abrir facsímil")</f>
        <v>Abrir facsímil</v>
      </c>
      <c r="K9797" s="10" t="s">
        <v>24</v>
      </c>
    </row>
    <row r="9798" spans="1:11" ht="54" customHeight="1">
      <c r="A9798" s="9" t="s">
        <v>20507</v>
      </c>
      <c r="B9798" s="9" t="s">
        <v>20507</v>
      </c>
      <c r="C9798" s="9" t="s">
        <v>17</v>
      </c>
      <c r="D9798" s="9" t="s">
        <v>40</v>
      </c>
      <c r="E9798" s="10" t="s">
        <v>1186</v>
      </c>
      <c r="F9798" s="9" t="s">
        <v>4286</v>
      </c>
      <c r="G9798" s="10" t="s">
        <v>86</v>
      </c>
      <c r="H9798" s="9" t="s">
        <v>22</v>
      </c>
      <c r="I9798" s="9" t="s">
        <v>20509</v>
      </c>
      <c r="J9798" s="10" t="str">
        <f>HYPERLINK("https://www.boe.es/gazeta/dias/1834/08/14/pdfs/GMD-C-1834-179.pdf#page=2","Abrir facsímil")</f>
        <v>Abrir facsímil</v>
      </c>
      <c r="K9798" s="10" t="s">
        <v>24</v>
      </c>
    </row>
    <row r="9799" spans="1:11" ht="54" customHeight="1">
      <c r="A9799" s="9" t="s">
        <v>20510</v>
      </c>
      <c r="B9799" s="9" t="s">
        <v>20511</v>
      </c>
      <c r="C9799" s="9" t="s">
        <v>17</v>
      </c>
      <c r="D9799" s="9" t="s">
        <v>40</v>
      </c>
      <c r="E9799" s="10" t="s">
        <v>1186</v>
      </c>
      <c r="F9799" s="9" t="s">
        <v>4286</v>
      </c>
      <c r="G9799" s="10" t="s">
        <v>86</v>
      </c>
      <c r="H9799" s="9" t="s">
        <v>35</v>
      </c>
      <c r="I9799" s="9" t="s">
        <v>20512</v>
      </c>
      <c r="J9799" s="10" t="str">
        <f>HYPERLINK("https://www.boe.es/gazeta/dias/1834/08/14/pdfs/GMD-C-1834-179.pdf#page=2","Abrir facsímil")</f>
        <v>Abrir facsímil</v>
      </c>
      <c r="K9799" s="10" t="s">
        <v>37</v>
      </c>
    </row>
    <row r="9800" spans="1:11" ht="54" customHeight="1">
      <c r="A9800" s="9" t="s">
        <v>20513</v>
      </c>
      <c r="B9800" s="9" t="s">
        <v>20514</v>
      </c>
      <c r="C9800" s="9" t="s">
        <v>17</v>
      </c>
      <c r="D9800" s="9" t="s">
        <v>18</v>
      </c>
      <c r="E9800" s="10" t="s">
        <v>808</v>
      </c>
      <c r="F9800" s="9" t="s">
        <v>809</v>
      </c>
      <c r="G9800" s="10" t="s">
        <v>75</v>
      </c>
      <c r="H9800" s="9" t="s">
        <v>35</v>
      </c>
      <c r="I9800" s="9" t="s">
        <v>20515</v>
      </c>
      <c r="J9800" s="10" t="str">
        <f>HYPERLINK("https://www.boe.es/gazeta/dias/1834/10/11/pdfs/GMD-1834-239.pdf#page=4","Abrir facsímil")</f>
        <v>Abrir facsímil</v>
      </c>
      <c r="K9800" s="10" t="s">
        <v>37</v>
      </c>
    </row>
    <row r="9801" spans="1:11" ht="54" customHeight="1">
      <c r="A9801" s="9" t="s">
        <v>20516</v>
      </c>
      <c r="B9801" s="9" t="s">
        <v>20517</v>
      </c>
      <c r="C9801" s="9" t="s">
        <v>46</v>
      </c>
      <c r="D9801" s="9" t="s">
        <v>18</v>
      </c>
      <c r="E9801" s="10" t="s">
        <v>808</v>
      </c>
      <c r="F9801" s="9" t="s">
        <v>809</v>
      </c>
      <c r="G9801" s="10" t="s">
        <v>21</v>
      </c>
      <c r="H9801" s="9" t="s">
        <v>22</v>
      </c>
      <c r="I9801" s="9" t="s">
        <v>20518</v>
      </c>
      <c r="J9801" s="10" t="str">
        <f>HYPERLINK("https://www.boe.es/gazeta/dias/1834/10/11/pdfs/GMD-1834-239.pdf#page=3","Abrir facsímil")</f>
        <v>Abrir facsímil</v>
      </c>
      <c r="K9801" s="10" t="s">
        <v>24</v>
      </c>
    </row>
    <row r="9802" spans="1:11" ht="54" customHeight="1">
      <c r="A9802" s="9" t="s">
        <v>20516</v>
      </c>
      <c r="B9802" s="9" t="s">
        <v>20517</v>
      </c>
      <c r="C9802" s="9" t="s">
        <v>17</v>
      </c>
      <c r="D9802" s="9" t="s">
        <v>18</v>
      </c>
      <c r="E9802" s="10" t="s">
        <v>808</v>
      </c>
      <c r="F9802" s="9" t="s">
        <v>809</v>
      </c>
      <c r="G9802" s="10" t="s">
        <v>75</v>
      </c>
      <c r="H9802" s="9" t="s">
        <v>22</v>
      </c>
      <c r="I9802" s="9" t="s">
        <v>20519</v>
      </c>
      <c r="J9802" s="10" t="str">
        <f>HYPERLINK("https://www.boe.es/gazeta/dias/1834/10/11/pdfs/GMD-1834-239.pdf#page=4","Abrir facsímil")</f>
        <v>Abrir facsímil</v>
      </c>
      <c r="K9802" s="10" t="s">
        <v>24</v>
      </c>
    </row>
    <row r="9803" spans="1:11" ht="54" customHeight="1">
      <c r="A9803" s="9" t="s">
        <v>20520</v>
      </c>
      <c r="B9803" s="9" t="s">
        <v>20520</v>
      </c>
      <c r="C9803" s="9" t="s">
        <v>90</v>
      </c>
      <c r="D9803" s="9" t="s">
        <v>18</v>
      </c>
      <c r="E9803" s="10" t="s">
        <v>1839</v>
      </c>
      <c r="F9803" s="9" t="s">
        <v>3598</v>
      </c>
      <c r="G9803" s="10" t="s">
        <v>21</v>
      </c>
      <c r="H9803" s="9" t="s">
        <v>22</v>
      </c>
      <c r="I9803" s="9" t="s">
        <v>20521</v>
      </c>
      <c r="J9803" s="10" t="str">
        <f>HYPERLINK("https://www.boe.es/gazeta/dias/1834/08/12/pdfs/GMD-1834-177.pdf#page=3","Abrir facsímil")</f>
        <v>Abrir facsímil</v>
      </c>
      <c r="K9803" s="10" t="s">
        <v>24</v>
      </c>
    </row>
    <row r="9804" spans="1:11" ht="54" customHeight="1">
      <c r="A9804" s="9" t="s">
        <v>20522</v>
      </c>
      <c r="B9804" s="9" t="s">
        <v>20522</v>
      </c>
      <c r="C9804" s="9" t="s">
        <v>46</v>
      </c>
      <c r="D9804" s="9" t="s">
        <v>101</v>
      </c>
      <c r="E9804" s="10" t="s">
        <v>167</v>
      </c>
      <c r="F9804" s="9" t="s">
        <v>1200</v>
      </c>
      <c r="G9804" s="10" t="s">
        <v>34</v>
      </c>
      <c r="H9804" s="9" t="s">
        <v>22</v>
      </c>
      <c r="I9804" s="9" t="s">
        <v>20523</v>
      </c>
      <c r="J9804" s="10" t="str">
        <f>HYPERLINK("https://www.boe.es/gazeta/dias/1834/09/07/pdfs/GMD-C-1834-205.pdf#page=1","Abrir facsímil")</f>
        <v>Abrir facsímil</v>
      </c>
      <c r="K9804" s="10" t="s">
        <v>24</v>
      </c>
    </row>
    <row r="9805" spans="1:11" ht="54" customHeight="1">
      <c r="A9805" s="9" t="s">
        <v>20524</v>
      </c>
      <c r="B9805" s="9" t="s">
        <v>20525</v>
      </c>
      <c r="C9805" s="9" t="s">
        <v>46</v>
      </c>
      <c r="D9805" s="9" t="s">
        <v>101</v>
      </c>
      <c r="E9805" s="10" t="s">
        <v>167</v>
      </c>
      <c r="F9805" s="9" t="s">
        <v>1200</v>
      </c>
      <c r="G9805" s="10" t="s">
        <v>34</v>
      </c>
      <c r="H9805" s="9" t="s">
        <v>35</v>
      </c>
      <c r="I9805" s="9" t="s">
        <v>20526</v>
      </c>
      <c r="J9805" s="10" t="str">
        <f>HYPERLINK("https://www.boe.es/gazeta/dias/1834/09/07/pdfs/GMD-C-1834-205.pdf#page=1","Abrir facsímil")</f>
        <v>Abrir facsímil</v>
      </c>
      <c r="K9805" s="10" t="s">
        <v>37</v>
      </c>
    </row>
    <row r="9806" spans="1:11" ht="54" customHeight="1">
      <c r="A9806" s="9" t="s">
        <v>20527</v>
      </c>
      <c r="B9806" s="9" t="s">
        <v>20527</v>
      </c>
      <c r="C9806" s="9" t="s">
        <v>17</v>
      </c>
      <c r="D9806" s="9" t="s">
        <v>18</v>
      </c>
      <c r="E9806" s="10" t="s">
        <v>506</v>
      </c>
      <c r="F9806" s="9" t="s">
        <v>507</v>
      </c>
      <c r="G9806" s="10" t="s">
        <v>75</v>
      </c>
      <c r="H9806" s="9" t="s">
        <v>22</v>
      </c>
      <c r="I9806" s="9" t="s">
        <v>20528</v>
      </c>
      <c r="J9806" s="10" t="str">
        <f>HYPERLINK("https://www.boe.es/gazeta/dias/1834/03/04/pdfs/GMD-1834-28.pdf#page=4","Abrir facsímil")</f>
        <v>Abrir facsímil</v>
      </c>
      <c r="K9806" s="10" t="s">
        <v>24</v>
      </c>
    </row>
    <row r="9807" spans="1:11" ht="54" customHeight="1">
      <c r="A9807" s="9" t="s">
        <v>20529</v>
      </c>
      <c r="B9807" s="9" t="s">
        <v>20529</v>
      </c>
      <c r="C9807" s="9" t="s">
        <v>46</v>
      </c>
      <c r="D9807" s="9" t="s">
        <v>18</v>
      </c>
      <c r="E9807" s="10" t="s">
        <v>1333</v>
      </c>
      <c r="F9807" s="9" t="s">
        <v>1334</v>
      </c>
      <c r="G9807" s="10" t="s">
        <v>75</v>
      </c>
      <c r="H9807" s="9" t="s">
        <v>22</v>
      </c>
      <c r="I9807" s="9" t="s">
        <v>20530</v>
      </c>
      <c r="J9807" s="10" t="str">
        <f>HYPERLINK("https://www.boe.es/gazeta/dias/1834/04/01/pdfs/GMD-1834-40.pdf#page=4","Abrir facsímil")</f>
        <v>Abrir facsímil</v>
      </c>
      <c r="K9807" s="10" t="s">
        <v>24</v>
      </c>
    </row>
    <row r="9808" spans="1:11" ht="54" customHeight="1">
      <c r="A9808" s="9" t="s">
        <v>20529</v>
      </c>
      <c r="B9808" s="9" t="s">
        <v>20529</v>
      </c>
      <c r="C9808" s="9" t="s">
        <v>17</v>
      </c>
      <c r="D9808" s="9" t="s">
        <v>55</v>
      </c>
      <c r="E9808" s="10" t="s">
        <v>793</v>
      </c>
      <c r="F9808" s="9" t="s">
        <v>794</v>
      </c>
      <c r="G9808" s="10" t="s">
        <v>34</v>
      </c>
      <c r="H9808" s="9" t="s">
        <v>22</v>
      </c>
      <c r="I9808" s="9" t="s">
        <v>20531</v>
      </c>
      <c r="J9808" s="10" t="str">
        <f>HYPERLINK("https://www.boe.es/gazeta/dias/1834/10/08/pdfs/GMD-1834-236.pdf#page=1","Abrir facsímil")</f>
        <v>Abrir facsímil</v>
      </c>
      <c r="K9808" s="10" t="s">
        <v>24</v>
      </c>
    </row>
    <row r="9809" spans="1:11" ht="54" customHeight="1">
      <c r="A9809" s="9" t="s">
        <v>20529</v>
      </c>
      <c r="B9809" s="9" t="s">
        <v>20529</v>
      </c>
      <c r="C9809" s="9" t="s">
        <v>17</v>
      </c>
      <c r="D9809" s="9" t="s">
        <v>18</v>
      </c>
      <c r="E9809" s="10" t="s">
        <v>739</v>
      </c>
      <c r="F9809" s="9" t="s">
        <v>740</v>
      </c>
      <c r="G9809" s="10" t="s">
        <v>21</v>
      </c>
      <c r="H9809" s="9" t="s">
        <v>22</v>
      </c>
      <c r="I9809" s="9" t="s">
        <v>20532</v>
      </c>
      <c r="J9809" s="10" t="str">
        <f>HYPERLINK("https://www.boe.es/gazeta/dias/1834/03/25/pdfs/GMD-1834-37.pdf#page=3","Abrir facsímil")</f>
        <v>Abrir facsímil</v>
      </c>
      <c r="K9809" s="10" t="s">
        <v>24</v>
      </c>
    </row>
    <row r="9810" spans="1:11" ht="54" customHeight="1">
      <c r="A9810" s="9" t="s">
        <v>20533</v>
      </c>
      <c r="B9810" s="9" t="s">
        <v>20533</v>
      </c>
      <c r="C9810" s="9" t="s">
        <v>122</v>
      </c>
      <c r="D9810" s="9" t="s">
        <v>101</v>
      </c>
      <c r="E9810" s="10" t="s">
        <v>3025</v>
      </c>
      <c r="F9810" s="9" t="s">
        <v>3026</v>
      </c>
      <c r="G9810" s="10" t="s">
        <v>21</v>
      </c>
      <c r="H9810" s="9" t="s">
        <v>22</v>
      </c>
      <c r="I9810" s="9" t="s">
        <v>20534</v>
      </c>
      <c r="J9810" s="10" t="str">
        <f>HYPERLINK("https://www.boe.es/gazeta/dias/1834/05/25/pdfs/GMD-1834-94.pdf#page=3","Abrir facsímil")</f>
        <v>Abrir facsímil</v>
      </c>
      <c r="K9810" s="10" t="s">
        <v>24</v>
      </c>
    </row>
    <row r="9811" spans="1:11" ht="54" customHeight="1">
      <c r="A9811" s="9" t="s">
        <v>20535</v>
      </c>
      <c r="B9811" s="9" t="s">
        <v>20536</v>
      </c>
      <c r="C9811" s="9" t="s">
        <v>17</v>
      </c>
      <c r="D9811" s="9" t="s">
        <v>18</v>
      </c>
      <c r="E9811" s="10" t="s">
        <v>258</v>
      </c>
      <c r="F9811" s="9" t="s">
        <v>1075</v>
      </c>
      <c r="G9811" s="10" t="s">
        <v>86</v>
      </c>
      <c r="H9811" s="9" t="s">
        <v>22</v>
      </c>
      <c r="I9811" s="9" t="s">
        <v>20537</v>
      </c>
      <c r="J9811" s="10" t="str">
        <f>HYPERLINK("https://www.boe.es/gazeta/dias/1834/10/09/pdfs/GMD-1834-237.pdf#page=2","Abrir facsímil")</f>
        <v>Abrir facsímil</v>
      </c>
      <c r="K9811" s="10" t="s">
        <v>24</v>
      </c>
    </row>
    <row r="9812" spans="1:11" ht="54" customHeight="1">
      <c r="A9812" s="9" t="s">
        <v>20538</v>
      </c>
      <c r="B9812" s="9" t="s">
        <v>20539</v>
      </c>
      <c r="C9812" s="9" t="s">
        <v>17</v>
      </c>
      <c r="D9812" s="9" t="s">
        <v>18</v>
      </c>
      <c r="E9812" s="10" t="s">
        <v>891</v>
      </c>
      <c r="F9812" s="9" t="s">
        <v>892</v>
      </c>
      <c r="G9812" s="10" t="s">
        <v>75</v>
      </c>
      <c r="H9812" s="9" t="s">
        <v>35</v>
      </c>
      <c r="I9812" s="9" t="s">
        <v>20540</v>
      </c>
      <c r="J9812" s="10" t="str">
        <f>HYPERLINK("https://www.boe.es/gazeta/dias/1834/10/31/pdfs/GMD-C-1834-259.pdf#page=4","Abrir facsímil")</f>
        <v>Abrir facsímil</v>
      </c>
      <c r="K9812" s="10" t="s">
        <v>37</v>
      </c>
    </row>
    <row r="9813" spans="1:11" ht="54" customHeight="1">
      <c r="A9813" s="9" t="s">
        <v>20541</v>
      </c>
      <c r="B9813" s="9" t="s">
        <v>20542</v>
      </c>
      <c r="C9813" s="9" t="s">
        <v>17</v>
      </c>
      <c r="D9813" s="9" t="s">
        <v>18</v>
      </c>
      <c r="E9813" s="10" t="s">
        <v>891</v>
      </c>
      <c r="F9813" s="9" t="s">
        <v>892</v>
      </c>
      <c r="G9813" s="10" t="s">
        <v>75</v>
      </c>
      <c r="H9813" s="9" t="s">
        <v>35</v>
      </c>
      <c r="I9813" s="9" t="s">
        <v>20543</v>
      </c>
      <c r="J9813" s="10" t="str">
        <f>HYPERLINK("https://www.boe.es/gazeta/dias/1834/10/31/pdfs/GMD-C-1834-259.pdf#page=4","Abrir facsímil")</f>
        <v>Abrir facsímil</v>
      </c>
      <c r="K9813" s="10" t="s">
        <v>37</v>
      </c>
    </row>
    <row r="9814" spans="1:11" ht="54" customHeight="1">
      <c r="A9814" s="9" t="s">
        <v>20544</v>
      </c>
      <c r="B9814" s="9" t="s">
        <v>20544</v>
      </c>
      <c r="C9814" s="9" t="s">
        <v>17</v>
      </c>
      <c r="D9814" s="9" t="s">
        <v>18</v>
      </c>
      <c r="E9814" s="10" t="s">
        <v>360</v>
      </c>
      <c r="F9814" s="9" t="s">
        <v>361</v>
      </c>
      <c r="G9814" s="10" t="s">
        <v>21</v>
      </c>
      <c r="H9814" s="9" t="s">
        <v>22</v>
      </c>
      <c r="I9814" s="9" t="s">
        <v>20545</v>
      </c>
      <c r="J9814" s="10" t="str">
        <f>HYPERLINK("https://www.boe.es/gazeta/dias/1834/04/07/pdfs/GMD-1834-46.pdf#page=3","Abrir facsímil")</f>
        <v>Abrir facsímil</v>
      </c>
      <c r="K9814" s="10" t="s">
        <v>24</v>
      </c>
    </row>
    <row r="9815" spans="1:11" ht="54" customHeight="1">
      <c r="A9815" s="9" t="s">
        <v>20544</v>
      </c>
      <c r="B9815" s="9" t="s">
        <v>20544</v>
      </c>
      <c r="C9815" s="9" t="s">
        <v>46</v>
      </c>
      <c r="D9815" s="9" t="s">
        <v>18</v>
      </c>
      <c r="E9815" s="10" t="s">
        <v>866</v>
      </c>
      <c r="F9815" s="9" t="s">
        <v>867</v>
      </c>
      <c r="G9815" s="10" t="s">
        <v>86</v>
      </c>
      <c r="H9815" s="9" t="s">
        <v>22</v>
      </c>
      <c r="I9815" s="9" t="s">
        <v>20546</v>
      </c>
      <c r="J9815" s="10" t="str">
        <f>HYPERLINK("https://www.boe.es/gazeta/dias/1834/01/18/pdfs/GMD-1834-9.pdf#page=2","Abrir facsímil")</f>
        <v>Abrir facsímil</v>
      </c>
      <c r="K9815" s="10" t="s">
        <v>24</v>
      </c>
    </row>
    <row r="9816" spans="1:11" ht="54" customHeight="1">
      <c r="A9816" s="9" t="s">
        <v>20544</v>
      </c>
      <c r="B9816" s="9" t="s">
        <v>20544</v>
      </c>
      <c r="C9816" s="9" t="s">
        <v>17</v>
      </c>
      <c r="D9816" s="9" t="s">
        <v>18</v>
      </c>
      <c r="E9816" s="10" t="s">
        <v>891</v>
      </c>
      <c r="F9816" s="9" t="s">
        <v>892</v>
      </c>
      <c r="G9816" s="10" t="s">
        <v>28</v>
      </c>
      <c r="H9816" s="9" t="s">
        <v>22</v>
      </c>
      <c r="I9816" s="9" t="s">
        <v>20547</v>
      </c>
      <c r="J9816" s="10" t="str">
        <f>HYPERLINK("https://www.boe.es/gazeta/dias/1834/10/31/pdfs/GMD-C-1834-259.pdf#page=5","Abrir facsímil")</f>
        <v>Abrir facsímil</v>
      </c>
      <c r="K9816" s="10" t="s">
        <v>24</v>
      </c>
    </row>
    <row r="9817" spans="1:11" ht="54" customHeight="1">
      <c r="A9817" s="9" t="s">
        <v>20548</v>
      </c>
      <c r="B9817" s="9" t="s">
        <v>20549</v>
      </c>
      <c r="C9817" s="9" t="s">
        <v>17</v>
      </c>
      <c r="D9817" s="9" t="s">
        <v>18</v>
      </c>
      <c r="E9817" s="10" t="s">
        <v>360</v>
      </c>
      <c r="F9817" s="9" t="s">
        <v>361</v>
      </c>
      <c r="G9817" s="10" t="s">
        <v>21</v>
      </c>
      <c r="H9817" s="9" t="s">
        <v>35</v>
      </c>
      <c r="I9817" s="9" t="s">
        <v>20550</v>
      </c>
      <c r="J9817" s="10" t="str">
        <f>HYPERLINK("https://www.boe.es/gazeta/dias/1834/04/07/pdfs/GMD-1834-46.pdf#page=3","Abrir facsímil")</f>
        <v>Abrir facsímil</v>
      </c>
      <c r="K9817" s="10" t="s">
        <v>37</v>
      </c>
    </row>
    <row r="9818" spans="1:11" ht="54" customHeight="1">
      <c r="A9818" s="9" t="s">
        <v>20548</v>
      </c>
      <c r="B9818" s="9" t="s">
        <v>20549</v>
      </c>
      <c r="C9818" s="9" t="s">
        <v>17</v>
      </c>
      <c r="D9818" s="9" t="s">
        <v>18</v>
      </c>
      <c r="E9818" s="10" t="s">
        <v>891</v>
      </c>
      <c r="F9818" s="9" t="s">
        <v>892</v>
      </c>
      <c r="G9818" s="10" t="s">
        <v>28</v>
      </c>
      <c r="H9818" s="9" t="s">
        <v>35</v>
      </c>
      <c r="I9818" s="9" t="s">
        <v>20551</v>
      </c>
      <c r="J9818" s="10" t="str">
        <f>HYPERLINK("https://www.boe.es/gazeta/dias/1834/10/31/pdfs/GMD-C-1834-259.pdf#page=5","Abrir facsímil")</f>
        <v>Abrir facsímil</v>
      </c>
      <c r="K9818" s="10" t="s">
        <v>37</v>
      </c>
    </row>
    <row r="9819" spans="1:11" ht="54" customHeight="1">
      <c r="A9819" s="9" t="s">
        <v>20552</v>
      </c>
      <c r="B9819" s="9" t="s">
        <v>20553</v>
      </c>
      <c r="C9819" s="9" t="s">
        <v>17</v>
      </c>
      <c r="D9819" s="9" t="s">
        <v>18</v>
      </c>
      <c r="E9819" s="10" t="s">
        <v>891</v>
      </c>
      <c r="F9819" s="9" t="s">
        <v>892</v>
      </c>
      <c r="G9819" s="10" t="s">
        <v>28</v>
      </c>
      <c r="H9819" s="9" t="s">
        <v>22</v>
      </c>
      <c r="I9819" s="9" t="s">
        <v>20554</v>
      </c>
      <c r="J9819" s="10" t="str">
        <f>HYPERLINK("https://www.boe.es/gazeta/dias/1834/10/31/pdfs/GMD-C-1834-259.pdf#page=5","Abrir facsímil")</f>
        <v>Abrir facsímil</v>
      </c>
      <c r="K9819" s="10" t="s">
        <v>24</v>
      </c>
    </row>
    <row r="9820" spans="1:11" ht="54" customHeight="1">
      <c r="A9820" s="9" t="s">
        <v>20555</v>
      </c>
      <c r="B9820" s="9" t="s">
        <v>20556</v>
      </c>
      <c r="C9820" s="9" t="s">
        <v>17</v>
      </c>
      <c r="D9820" s="9" t="s">
        <v>18</v>
      </c>
      <c r="E9820" s="10" t="s">
        <v>891</v>
      </c>
      <c r="F9820" s="9" t="s">
        <v>892</v>
      </c>
      <c r="G9820" s="10" t="s">
        <v>28</v>
      </c>
      <c r="H9820" s="9" t="s">
        <v>35</v>
      </c>
      <c r="I9820" s="9" t="s">
        <v>20557</v>
      </c>
      <c r="J9820" s="10" t="str">
        <f>HYPERLINK("https://www.boe.es/gazeta/dias/1834/10/31/pdfs/GMD-C-1834-259.pdf#page=5","Abrir facsímil")</f>
        <v>Abrir facsímil</v>
      </c>
      <c r="K9820" s="10" t="s">
        <v>37</v>
      </c>
    </row>
    <row r="9821" spans="1:11" ht="54" customHeight="1">
      <c r="A9821" s="9" t="s">
        <v>20558</v>
      </c>
      <c r="B9821" s="9" t="s">
        <v>20559</v>
      </c>
      <c r="C9821" s="9" t="s">
        <v>17</v>
      </c>
      <c r="D9821" s="9" t="s">
        <v>18</v>
      </c>
      <c r="E9821" s="10" t="s">
        <v>891</v>
      </c>
      <c r="F9821" s="9" t="s">
        <v>892</v>
      </c>
      <c r="G9821" s="10" t="s">
        <v>28</v>
      </c>
      <c r="H9821" s="9" t="s">
        <v>22</v>
      </c>
      <c r="I9821" s="9" t="s">
        <v>20560</v>
      </c>
      <c r="J9821" s="10" t="str">
        <f>HYPERLINK("https://www.boe.es/gazeta/dias/1834/10/31/pdfs/GMD-C-1834-259.pdf#page=5","Abrir facsímil")</f>
        <v>Abrir facsímil</v>
      </c>
      <c r="K9821" s="10" t="s">
        <v>24</v>
      </c>
    </row>
    <row r="9822" spans="1:11" ht="54" customHeight="1">
      <c r="A9822" s="9" t="s">
        <v>20561</v>
      </c>
      <c r="B9822" s="9" t="s">
        <v>20562</v>
      </c>
      <c r="C9822" s="9" t="s">
        <v>90</v>
      </c>
      <c r="D9822" s="9" t="s">
        <v>18</v>
      </c>
      <c r="E9822" s="10" t="s">
        <v>8010</v>
      </c>
      <c r="F9822" s="9" t="s">
        <v>8011</v>
      </c>
      <c r="G9822" s="10" t="s">
        <v>21</v>
      </c>
      <c r="H9822" s="9" t="s">
        <v>22</v>
      </c>
      <c r="I9822" s="9" t="s">
        <v>20563</v>
      </c>
      <c r="J9822" s="10" t="str">
        <f>HYPERLINK("https://www.boe.es/gazeta/dias/1834/08/28/pdfs/GMD-1834-194.pdf#page=3","Abrir facsímil")</f>
        <v>Abrir facsímil</v>
      </c>
      <c r="K9822" s="10" t="s">
        <v>24</v>
      </c>
    </row>
    <row r="9823" spans="1:11" ht="54" customHeight="1">
      <c r="A9823" s="9" t="s">
        <v>20564</v>
      </c>
      <c r="B9823" s="9" t="s">
        <v>20565</v>
      </c>
      <c r="C9823" s="9" t="s">
        <v>46</v>
      </c>
      <c r="D9823" s="9" t="s">
        <v>55</v>
      </c>
      <c r="E9823" s="10" t="s">
        <v>251</v>
      </c>
      <c r="F9823" s="9" t="s">
        <v>1278</v>
      </c>
      <c r="G9823" s="10" t="s">
        <v>86</v>
      </c>
      <c r="H9823" s="9" t="s">
        <v>22</v>
      </c>
      <c r="I9823" s="9" t="s">
        <v>20566</v>
      </c>
      <c r="J9823" s="10" t="str">
        <f>HYPERLINK("https://www.boe.es/gazeta/dias/1834/09/26/pdfs/GMD-1834-224.pdf#page=2","Abrir facsímil")</f>
        <v>Abrir facsímil</v>
      </c>
      <c r="K9823" s="10" t="s">
        <v>24</v>
      </c>
    </row>
    <row r="9824" spans="1:11" ht="54" customHeight="1">
      <c r="A9824" s="9" t="s">
        <v>20567</v>
      </c>
      <c r="B9824" s="9" t="s">
        <v>20568</v>
      </c>
      <c r="C9824" s="9" t="s">
        <v>17</v>
      </c>
      <c r="D9824" s="9" t="s">
        <v>18</v>
      </c>
      <c r="E9824" s="10" t="s">
        <v>348</v>
      </c>
      <c r="F9824" s="9" t="s">
        <v>501</v>
      </c>
      <c r="G9824" s="10" t="s">
        <v>34</v>
      </c>
      <c r="H9824" s="9" t="s">
        <v>22</v>
      </c>
      <c r="I9824" s="9" t="s">
        <v>20569</v>
      </c>
      <c r="J9824" s="10" t="str">
        <f>HYPERLINK("https://www.boe.es/gazeta/dias/1834/06/12/pdfs/GMD-1834-115.pdf#page=1","Abrir facsímil")</f>
        <v>Abrir facsímil</v>
      </c>
      <c r="K9824" s="10" t="s">
        <v>24</v>
      </c>
    </row>
    <row r="9825" spans="1:11" ht="54" customHeight="1">
      <c r="A9825" s="9" t="s">
        <v>20570</v>
      </c>
      <c r="B9825" s="9" t="s">
        <v>20570</v>
      </c>
      <c r="C9825" s="9" t="s">
        <v>17</v>
      </c>
      <c r="D9825" s="9" t="s">
        <v>18</v>
      </c>
      <c r="E9825" s="10" t="s">
        <v>5904</v>
      </c>
      <c r="F9825" s="9" t="s">
        <v>5905</v>
      </c>
      <c r="G9825" s="10" t="s">
        <v>86</v>
      </c>
      <c r="H9825" s="9" t="s">
        <v>22</v>
      </c>
      <c r="I9825" s="9" t="s">
        <v>20571</v>
      </c>
      <c r="J9825" s="10" t="str">
        <f>HYPERLINK("https://www.boe.es/gazeta/dias/1834/09/29/pdfs/GMD-1834-227.pdf#page=2","Abrir facsímil")</f>
        <v>Abrir facsímil</v>
      </c>
      <c r="K9825" s="10" t="s">
        <v>24</v>
      </c>
    </row>
    <row r="9826" spans="1:11" ht="54" customHeight="1">
      <c r="A9826" s="9" t="s">
        <v>20572</v>
      </c>
      <c r="B9826" s="9" t="s">
        <v>20572</v>
      </c>
      <c r="C9826" s="9" t="s">
        <v>17</v>
      </c>
      <c r="D9826" s="9" t="s">
        <v>18</v>
      </c>
      <c r="E9826" s="10" t="s">
        <v>1424</v>
      </c>
      <c r="F9826" s="9" t="s">
        <v>3445</v>
      </c>
      <c r="G9826" s="10" t="s">
        <v>86</v>
      </c>
      <c r="H9826" s="9" t="s">
        <v>22</v>
      </c>
      <c r="I9826" s="9" t="s">
        <v>20573</v>
      </c>
      <c r="J9826" s="10" t="str">
        <f>HYPERLINK("https://www.boe.es/gazeta/dias/1834/11/14/pdfs/GMD-1834-273.pdf#page=2","Abrir facsímil")</f>
        <v>Abrir facsímil</v>
      </c>
      <c r="K9826" s="10" t="s">
        <v>24</v>
      </c>
    </row>
    <row r="9827" spans="1:11" ht="54" customHeight="1">
      <c r="A9827" s="9" t="s">
        <v>20574</v>
      </c>
      <c r="B9827" s="9" t="s">
        <v>20575</v>
      </c>
      <c r="C9827" s="9" t="s">
        <v>66</v>
      </c>
      <c r="D9827" s="9" t="s">
        <v>67</v>
      </c>
      <c r="E9827" s="10" t="s">
        <v>3810</v>
      </c>
      <c r="F9827" s="9" t="s">
        <v>3811</v>
      </c>
      <c r="G9827" s="10" t="s">
        <v>21</v>
      </c>
      <c r="H9827" s="9" t="s">
        <v>22</v>
      </c>
      <c r="I9827" s="9" t="s">
        <v>20576</v>
      </c>
      <c r="J9827" s="10" t="str">
        <f>HYPERLINK("https://www.boe.es/gazeta/dias/1834/02/20/pdfs/GMD-1834-23.pdf#page=3","Abrir facsímil")</f>
        <v>Abrir facsímil</v>
      </c>
      <c r="K9827" s="10" t="s">
        <v>24</v>
      </c>
    </row>
    <row r="9828" spans="1:11" ht="54" customHeight="1">
      <c r="A9828" s="9" t="s">
        <v>20577</v>
      </c>
      <c r="B9828" s="9" t="s">
        <v>20578</v>
      </c>
      <c r="C9828" s="9" t="s">
        <v>90</v>
      </c>
      <c r="D9828" s="9" t="s">
        <v>67</v>
      </c>
      <c r="E9828" s="10" t="s">
        <v>339</v>
      </c>
      <c r="F9828" s="9" t="s">
        <v>340</v>
      </c>
      <c r="G9828" s="10" t="s">
        <v>21</v>
      </c>
      <c r="H9828" s="9" t="s">
        <v>35</v>
      </c>
      <c r="I9828" s="9" t="s">
        <v>20579</v>
      </c>
      <c r="J9828" s="10" t="str">
        <f>HYPERLINK("https://www.boe.es/gazeta/dias/1834/05/02/pdfs/GMD-1834-71.pdf#page=3","Abrir facsímil")</f>
        <v>Abrir facsímil</v>
      </c>
      <c r="K9828" s="10" t="s">
        <v>37</v>
      </c>
    </row>
    <row r="9829" spans="1:11" ht="54" customHeight="1">
      <c r="A9829" s="9" t="s">
        <v>20580</v>
      </c>
      <c r="B9829" s="9" t="s">
        <v>20581</v>
      </c>
      <c r="C9829" s="9" t="s">
        <v>90</v>
      </c>
      <c r="D9829" s="9" t="s">
        <v>67</v>
      </c>
      <c r="E9829" s="10" t="s">
        <v>339</v>
      </c>
      <c r="F9829" s="9" t="s">
        <v>340</v>
      </c>
      <c r="G9829" s="10" t="s">
        <v>21</v>
      </c>
      <c r="H9829" s="9" t="s">
        <v>22</v>
      </c>
      <c r="I9829" s="9" t="s">
        <v>20582</v>
      </c>
      <c r="J9829" s="10" t="str">
        <f>HYPERLINK("https://www.boe.es/gazeta/dias/1834/05/02/pdfs/GMD-1834-71.pdf#page=3","Abrir facsímil")</f>
        <v>Abrir facsímil</v>
      </c>
      <c r="K9829" s="10" t="s">
        <v>24</v>
      </c>
    </row>
    <row r="9830" spans="1:11" ht="54" customHeight="1">
      <c r="A9830" s="9" t="s">
        <v>20583</v>
      </c>
      <c r="B9830" s="9" t="s">
        <v>20583</v>
      </c>
      <c r="C9830" s="9" t="s">
        <v>66</v>
      </c>
      <c r="D9830" s="9" t="s">
        <v>67</v>
      </c>
      <c r="E9830" s="10" t="s">
        <v>3699</v>
      </c>
      <c r="F9830" s="9" t="s">
        <v>3700</v>
      </c>
      <c r="G9830" s="10" t="s">
        <v>86</v>
      </c>
      <c r="H9830" s="9" t="s">
        <v>22</v>
      </c>
      <c r="I9830" s="9" t="s">
        <v>20584</v>
      </c>
      <c r="J9830" s="10" t="str">
        <f>HYPERLINK("https://www.boe.es/gazeta/dias/1834/02/06/pdfs/GMD-1834-17.pdf#page=2","Abrir facsímil")</f>
        <v>Abrir facsímil</v>
      </c>
      <c r="K9830" s="10" t="s">
        <v>24</v>
      </c>
    </row>
    <row r="9831" spans="1:11" ht="54" customHeight="1">
      <c r="A9831" s="9" t="s">
        <v>20585</v>
      </c>
      <c r="B9831" s="9" t="s">
        <v>20586</v>
      </c>
      <c r="C9831" s="9" t="s">
        <v>90</v>
      </c>
      <c r="D9831" s="9" t="s">
        <v>18</v>
      </c>
      <c r="E9831" s="10" t="s">
        <v>5885</v>
      </c>
      <c r="F9831" s="9" t="s">
        <v>5886</v>
      </c>
      <c r="G9831" s="10" t="s">
        <v>21</v>
      </c>
      <c r="H9831" s="9" t="s">
        <v>22</v>
      </c>
      <c r="I9831" s="9" t="s">
        <v>20587</v>
      </c>
      <c r="J9831" s="10" t="str">
        <f>HYPERLINK("https://www.boe.es/gazeta/dias/1834/05/23/pdfs/GMD-1834-92.pdf#page=3","Abrir facsímil")</f>
        <v>Abrir facsímil</v>
      </c>
      <c r="K9831" s="10" t="s">
        <v>24</v>
      </c>
    </row>
    <row r="9832" spans="1:11" ht="54" customHeight="1">
      <c r="A9832" s="9" t="s">
        <v>20588</v>
      </c>
      <c r="B9832" s="9" t="s">
        <v>20589</v>
      </c>
      <c r="C9832" s="9" t="s">
        <v>122</v>
      </c>
      <c r="D9832" s="9" t="s">
        <v>40</v>
      </c>
      <c r="E9832" s="10" t="s">
        <v>753</v>
      </c>
      <c r="F9832" s="9" t="s">
        <v>754</v>
      </c>
      <c r="G9832" s="10" t="s">
        <v>28</v>
      </c>
      <c r="H9832" s="9" t="s">
        <v>22</v>
      </c>
      <c r="I9832" s="9" t="s">
        <v>20590</v>
      </c>
      <c r="J9832" s="10" t="str">
        <f>HYPERLINK("https://www.boe.es/gazeta/dias/1834/04/21/pdfs/GMD-1834-60.pdf#page=5","Abrir facsímil")</f>
        <v>Abrir facsímil</v>
      </c>
      <c r="K9832" s="10" t="s">
        <v>24</v>
      </c>
    </row>
    <row r="9833" spans="1:11" ht="54" customHeight="1">
      <c r="A9833" s="9" t="s">
        <v>20591</v>
      </c>
      <c r="B9833" s="9" t="s">
        <v>20592</v>
      </c>
      <c r="C9833" s="9" t="s">
        <v>17</v>
      </c>
      <c r="D9833" s="9" t="s">
        <v>101</v>
      </c>
      <c r="E9833" s="10" t="s">
        <v>61</v>
      </c>
      <c r="F9833" s="9" t="s">
        <v>205</v>
      </c>
      <c r="G9833" s="10" t="s">
        <v>75</v>
      </c>
      <c r="H9833" s="9" t="s">
        <v>22</v>
      </c>
      <c r="I9833" s="9" t="s">
        <v>20593</v>
      </c>
      <c r="J9833" s="10" t="str">
        <f>HYPERLINK("https://www.boe.es/gazeta/dias/1834/06/08/pdfs/GMD-1834-110.pdf#page=4","Abrir facsímil")</f>
        <v>Abrir facsímil</v>
      </c>
      <c r="K9833" s="10" t="s">
        <v>24</v>
      </c>
    </row>
    <row r="9834" spans="1:11" ht="54" customHeight="1">
      <c r="A9834" s="9" t="s">
        <v>20594</v>
      </c>
      <c r="B9834" s="9" t="s">
        <v>20594</v>
      </c>
      <c r="C9834" s="9" t="s">
        <v>46</v>
      </c>
      <c r="D9834" s="9" t="s">
        <v>101</v>
      </c>
      <c r="E9834" s="10" t="s">
        <v>1981</v>
      </c>
      <c r="F9834" s="9" t="s">
        <v>1982</v>
      </c>
      <c r="G9834" s="10" t="s">
        <v>34</v>
      </c>
      <c r="H9834" s="9" t="s">
        <v>22</v>
      </c>
      <c r="I9834" s="9" t="s">
        <v>20595</v>
      </c>
      <c r="J9834" s="10" t="str">
        <f>HYPERLINK("https://www.boe.es/gazeta/dias/1834/12/13/pdfs/GMD-1834-302.pdf#page=1","Abrir facsímil")</f>
        <v>Abrir facsímil</v>
      </c>
      <c r="K9834" s="10" t="s">
        <v>24</v>
      </c>
    </row>
    <row r="9835" spans="1:11" ht="54" customHeight="1">
      <c r="A9835" s="9" t="s">
        <v>20594</v>
      </c>
      <c r="B9835" s="9" t="s">
        <v>20594</v>
      </c>
      <c r="C9835" s="9" t="s">
        <v>17</v>
      </c>
      <c r="D9835" s="9" t="s">
        <v>18</v>
      </c>
      <c r="E9835" s="10" t="s">
        <v>233</v>
      </c>
      <c r="F9835" s="9" t="s">
        <v>1810</v>
      </c>
      <c r="G9835" s="10" t="s">
        <v>2274</v>
      </c>
      <c r="H9835" s="9" t="s">
        <v>22</v>
      </c>
      <c r="I9835" s="9" t="s">
        <v>20596</v>
      </c>
      <c r="J9835" s="10" t="str">
        <f>HYPERLINK("https://www.boe.es/gazeta/dias/1834/12/16/pdfs/GMD-C-1834-305.pdf#page=13","Abrir facsímil")</f>
        <v>Abrir facsímil</v>
      </c>
      <c r="K9835" s="10" t="s">
        <v>24</v>
      </c>
    </row>
    <row r="9836" spans="1:11" ht="54" customHeight="1">
      <c r="A9836" s="9" t="s">
        <v>20597</v>
      </c>
      <c r="B9836" s="9" t="s">
        <v>20597</v>
      </c>
      <c r="C9836" s="9" t="s">
        <v>46</v>
      </c>
      <c r="D9836" s="9" t="s">
        <v>18</v>
      </c>
      <c r="E9836" s="10" t="s">
        <v>3952</v>
      </c>
      <c r="F9836" s="9" t="s">
        <v>3953</v>
      </c>
      <c r="G9836" s="10" t="s">
        <v>86</v>
      </c>
      <c r="H9836" s="9" t="s">
        <v>22</v>
      </c>
      <c r="I9836" s="9" t="s">
        <v>20598</v>
      </c>
      <c r="J9836" s="10" t="str">
        <f>HYPERLINK("https://www.boe.es/gazeta/dias/1834/02/22/pdfs/GMD-1834-24.pdf#page=2","Abrir facsímil")</f>
        <v>Abrir facsímil</v>
      </c>
      <c r="K9836" s="10" t="s">
        <v>24</v>
      </c>
    </row>
    <row r="9837" spans="1:11" ht="54" customHeight="1">
      <c r="A9837" s="9" t="s">
        <v>20599</v>
      </c>
      <c r="B9837" s="9" t="s">
        <v>20599</v>
      </c>
      <c r="C9837" s="9" t="s">
        <v>17</v>
      </c>
      <c r="D9837" s="9" t="s">
        <v>18</v>
      </c>
      <c r="E9837" s="10" t="s">
        <v>860</v>
      </c>
      <c r="F9837" s="9" t="s">
        <v>861</v>
      </c>
      <c r="G9837" s="10" t="s">
        <v>75</v>
      </c>
      <c r="H9837" s="9" t="s">
        <v>22</v>
      </c>
      <c r="I9837" s="9" t="s">
        <v>20600</v>
      </c>
      <c r="J9837" s="10" t="str">
        <f>HYPERLINK("https://www.boe.es/gazeta/dias/1834/02/08/pdfs/GMD-1834-18.pdf#page=4","Abrir facsímil")</f>
        <v>Abrir facsímil</v>
      </c>
      <c r="K9837" s="10" t="s">
        <v>24</v>
      </c>
    </row>
    <row r="9838" spans="1:11" ht="54" customHeight="1">
      <c r="A9838" s="9" t="s">
        <v>20599</v>
      </c>
      <c r="B9838" s="9" t="s">
        <v>20599</v>
      </c>
      <c r="C9838" s="9" t="s">
        <v>122</v>
      </c>
      <c r="D9838" s="9" t="s">
        <v>55</v>
      </c>
      <c r="E9838" s="10" t="s">
        <v>518</v>
      </c>
      <c r="F9838" s="9" t="s">
        <v>519</v>
      </c>
      <c r="G9838" s="10" t="s">
        <v>86</v>
      </c>
      <c r="H9838" s="9" t="s">
        <v>22</v>
      </c>
      <c r="I9838" s="9" t="s">
        <v>20601</v>
      </c>
      <c r="J9838" s="10" t="str">
        <f>HYPERLINK("https://www.boe.es/gazeta/dias/1834/03/15/pdfs/GMD-1834-33.pdf#page=2","Abrir facsímil")</f>
        <v>Abrir facsímil</v>
      </c>
      <c r="K9838" s="10" t="s">
        <v>24</v>
      </c>
    </row>
    <row r="9839" spans="1:11" ht="54" customHeight="1">
      <c r="A9839" s="9" t="s">
        <v>20602</v>
      </c>
      <c r="B9839" s="9" t="s">
        <v>20603</v>
      </c>
      <c r="C9839" s="9" t="s">
        <v>122</v>
      </c>
      <c r="D9839" s="9" t="s">
        <v>101</v>
      </c>
      <c r="E9839" s="10" t="s">
        <v>844</v>
      </c>
      <c r="F9839" s="9" t="s">
        <v>845</v>
      </c>
      <c r="G9839" s="10" t="s">
        <v>86</v>
      </c>
      <c r="H9839" s="9" t="s">
        <v>22</v>
      </c>
      <c r="I9839" s="9" t="s">
        <v>20604</v>
      </c>
      <c r="J9839" s="10" t="str">
        <f>HYPERLINK("https://www.boe.es/gazeta/dias/1834/03/13/pdfs/GMD-1834-32.pdf#page=2","Abrir facsímil")</f>
        <v>Abrir facsímil</v>
      </c>
      <c r="K9839" s="10" t="s">
        <v>24</v>
      </c>
    </row>
    <row r="9840" spans="1:11" ht="54" customHeight="1">
      <c r="A9840" s="9" t="s">
        <v>20605</v>
      </c>
      <c r="B9840" s="9" t="s">
        <v>20605</v>
      </c>
      <c r="C9840" s="9" t="s">
        <v>66</v>
      </c>
      <c r="D9840" s="9" t="s">
        <v>67</v>
      </c>
      <c r="E9840" s="10" t="s">
        <v>364</v>
      </c>
      <c r="F9840" s="9" t="s">
        <v>2102</v>
      </c>
      <c r="G9840" s="10" t="s">
        <v>21</v>
      </c>
      <c r="H9840" s="9" t="s">
        <v>22</v>
      </c>
      <c r="I9840" s="9" t="s">
        <v>20606</v>
      </c>
      <c r="J9840" s="10" t="str">
        <f>HYPERLINK("https://www.boe.es/gazeta/dias/1834/09/06/pdfs/GMD-1834-204.pdf#page=3","Abrir facsímil")</f>
        <v>Abrir facsímil</v>
      </c>
      <c r="K9840" s="10" t="s">
        <v>24</v>
      </c>
    </row>
    <row r="9841" spans="1:11" ht="54" customHeight="1">
      <c r="A9841" s="9" t="s">
        <v>20607</v>
      </c>
      <c r="B9841" s="9" t="s">
        <v>20607</v>
      </c>
      <c r="C9841" s="9" t="s">
        <v>122</v>
      </c>
      <c r="D9841" s="9" t="s">
        <v>18</v>
      </c>
      <c r="E9841" s="10" t="s">
        <v>1297</v>
      </c>
      <c r="F9841" s="9" t="s">
        <v>1879</v>
      </c>
      <c r="G9841" s="10" t="s">
        <v>34</v>
      </c>
      <c r="H9841" s="9" t="s">
        <v>22</v>
      </c>
      <c r="I9841" s="9" t="s">
        <v>20608</v>
      </c>
      <c r="J9841" s="10" t="str">
        <f>HYPERLINK("https://www.boe.es/gazeta/dias/1834/08/01/pdfs/GMD-D-1834-165.pdf#page=1","Abrir facsímil")</f>
        <v>Abrir facsímil</v>
      </c>
      <c r="K9841" s="10" t="s">
        <v>24</v>
      </c>
    </row>
    <row r="9842" spans="1:11" ht="54" customHeight="1">
      <c r="A9842" s="9" t="s">
        <v>20607</v>
      </c>
      <c r="B9842" s="9" t="s">
        <v>20607</v>
      </c>
      <c r="C9842" s="9" t="s">
        <v>17</v>
      </c>
      <c r="D9842" s="9" t="s">
        <v>18</v>
      </c>
      <c r="E9842" s="10" t="s">
        <v>1862</v>
      </c>
      <c r="F9842" s="9" t="s">
        <v>1863</v>
      </c>
      <c r="G9842" s="10" t="s">
        <v>75</v>
      </c>
      <c r="H9842" s="9" t="s">
        <v>22</v>
      </c>
      <c r="I9842" s="9" t="s">
        <v>20609</v>
      </c>
      <c r="J9842" s="10" t="str">
        <f>HYPERLINK("https://www.boe.es/gazeta/dias/1834/02/04/pdfs/GMD-1834-16.pdf#page=4","Abrir facsímil")</f>
        <v>Abrir facsímil</v>
      </c>
      <c r="K9842" s="10" t="s">
        <v>24</v>
      </c>
    </row>
    <row r="9843" spans="1:11" ht="54" customHeight="1">
      <c r="A9843" s="9" t="s">
        <v>20607</v>
      </c>
      <c r="B9843" s="9" t="s">
        <v>20607</v>
      </c>
      <c r="C9843" s="9" t="s">
        <v>66</v>
      </c>
      <c r="D9843" s="9" t="s">
        <v>67</v>
      </c>
      <c r="E9843" s="10" t="s">
        <v>355</v>
      </c>
      <c r="F9843" s="9" t="s">
        <v>356</v>
      </c>
      <c r="G9843" s="10" t="s">
        <v>34</v>
      </c>
      <c r="H9843" s="9" t="s">
        <v>22</v>
      </c>
      <c r="I9843" s="9" t="s">
        <v>20610</v>
      </c>
      <c r="J9843" s="10" t="str">
        <f>HYPERLINK("https://www.boe.es/gazeta/dias/1834/07/04/pdfs/I00597-00598.pdf#page=1","Abrir facsímil")</f>
        <v>Abrir facsímil</v>
      </c>
      <c r="K9843" s="10" t="s">
        <v>24</v>
      </c>
    </row>
    <row r="9844" spans="1:11" ht="54" customHeight="1">
      <c r="A9844" s="9" t="s">
        <v>20607</v>
      </c>
      <c r="B9844" s="9" t="s">
        <v>20607</v>
      </c>
      <c r="C9844" s="9" t="s">
        <v>66</v>
      </c>
      <c r="D9844" s="9" t="s">
        <v>67</v>
      </c>
      <c r="E9844" s="10" t="s">
        <v>355</v>
      </c>
      <c r="F9844" s="9" t="s">
        <v>356</v>
      </c>
      <c r="G9844" s="10" t="s">
        <v>21</v>
      </c>
      <c r="H9844" s="9" t="s">
        <v>22</v>
      </c>
      <c r="I9844" s="9" t="s">
        <v>20610</v>
      </c>
      <c r="J9844" s="10" t="str">
        <f>HYPERLINK("https://www.boe.es/gazeta/dias/1834/07/04/pdfs/GMD-1834-137.pdf#page=3","Abrir facsímil")</f>
        <v>Abrir facsímil</v>
      </c>
      <c r="K9844" s="10" t="s">
        <v>24</v>
      </c>
    </row>
    <row r="9845" spans="1:11" ht="54" customHeight="1">
      <c r="A9845" s="9" t="s">
        <v>20611</v>
      </c>
      <c r="B9845" s="9" t="s">
        <v>20611</v>
      </c>
      <c r="C9845" s="9" t="s">
        <v>17</v>
      </c>
      <c r="D9845" s="9" t="s">
        <v>18</v>
      </c>
      <c r="E9845" s="10" t="s">
        <v>8346</v>
      </c>
      <c r="F9845" s="9" t="s">
        <v>8347</v>
      </c>
      <c r="G9845" s="10" t="s">
        <v>75</v>
      </c>
      <c r="H9845" s="9" t="s">
        <v>22</v>
      </c>
      <c r="I9845" s="9" t="s">
        <v>20612</v>
      </c>
      <c r="J9845" s="10" t="str">
        <f>HYPERLINK("https://www.boe.es/gazeta/dias/1834/12/04/pdfs/GMD-1834-293.pdf#page=4","Abrir facsímil")</f>
        <v>Abrir facsímil</v>
      </c>
      <c r="K9845" s="10" t="s">
        <v>24</v>
      </c>
    </row>
    <row r="9846" spans="1:11" ht="54" customHeight="1">
      <c r="A9846" s="9" t="s">
        <v>20613</v>
      </c>
      <c r="B9846" s="9" t="s">
        <v>20613</v>
      </c>
      <c r="C9846" s="9" t="s">
        <v>90</v>
      </c>
      <c r="D9846" s="9" t="s">
        <v>18</v>
      </c>
      <c r="E9846" s="10" t="s">
        <v>364</v>
      </c>
      <c r="F9846" s="9" t="s">
        <v>365</v>
      </c>
      <c r="G9846" s="10" t="s">
        <v>34</v>
      </c>
      <c r="H9846" s="9" t="s">
        <v>22</v>
      </c>
      <c r="I9846" s="9" t="s">
        <v>20614</v>
      </c>
      <c r="J9846" s="10" t="str">
        <f>HYPERLINK("https://www.boe.es/gazeta/dias/1834/09/06/pdfs/GMD-D-1834-204.pdf#page=1","Abrir facsímil")</f>
        <v>Abrir facsímil</v>
      </c>
      <c r="K9846" s="10" t="s">
        <v>24</v>
      </c>
    </row>
    <row r="9847" spans="1:11" ht="54" customHeight="1">
      <c r="A9847" s="9" t="s">
        <v>20607</v>
      </c>
      <c r="B9847" s="9" t="s">
        <v>20607</v>
      </c>
      <c r="C9847" s="9" t="s">
        <v>17</v>
      </c>
      <c r="D9847" s="9" t="s">
        <v>18</v>
      </c>
      <c r="E9847" s="10" t="s">
        <v>3306</v>
      </c>
      <c r="F9847" s="9" t="s">
        <v>3307</v>
      </c>
      <c r="G9847" s="10" t="s">
        <v>75</v>
      </c>
      <c r="H9847" s="9" t="s">
        <v>22</v>
      </c>
      <c r="I9847" s="9" t="s">
        <v>20615</v>
      </c>
      <c r="J9847" s="10" t="str">
        <f>HYPERLINK("https://www.boe.es/gazeta/dias/1834/05/07/pdfs/GMD-1834-76.pdf#page=4","Abrir facsímil")</f>
        <v>Abrir facsímil</v>
      </c>
      <c r="K9847" s="10" t="s">
        <v>24</v>
      </c>
    </row>
    <row r="9848" spans="1:11" ht="54" customHeight="1">
      <c r="A9848" s="9" t="s">
        <v>20607</v>
      </c>
      <c r="B9848" s="9" t="s">
        <v>20607</v>
      </c>
      <c r="C9848" s="9" t="s">
        <v>17</v>
      </c>
      <c r="D9848" s="9" t="s">
        <v>18</v>
      </c>
      <c r="E9848" s="10" t="s">
        <v>1268</v>
      </c>
      <c r="F9848" s="9" t="s">
        <v>1269</v>
      </c>
      <c r="G9848" s="10" t="s">
        <v>75</v>
      </c>
      <c r="H9848" s="9" t="s">
        <v>22</v>
      </c>
      <c r="I9848" s="9" t="s">
        <v>20616</v>
      </c>
      <c r="J9848" s="10" t="str">
        <f>HYPERLINK("https://www.boe.es/gazeta/dias/1834/12/09/pdfs/GMD-1834-298.pdf#page=4","Abrir facsímil")</f>
        <v>Abrir facsímil</v>
      </c>
      <c r="K9848" s="10" t="s">
        <v>24</v>
      </c>
    </row>
    <row r="9849" spans="1:11" ht="54" customHeight="1">
      <c r="A9849" s="9" t="s">
        <v>20607</v>
      </c>
      <c r="B9849" s="9" t="s">
        <v>20607</v>
      </c>
      <c r="C9849" s="9" t="s">
        <v>122</v>
      </c>
      <c r="D9849" s="9" t="s">
        <v>18</v>
      </c>
      <c r="E9849" s="10" t="s">
        <v>1883</v>
      </c>
      <c r="F9849" s="9" t="s">
        <v>1884</v>
      </c>
      <c r="G9849" s="10" t="s">
        <v>21</v>
      </c>
      <c r="H9849" s="9" t="s">
        <v>22</v>
      </c>
      <c r="I9849" s="9" t="s">
        <v>20617</v>
      </c>
      <c r="J9849" s="10" t="str">
        <f>HYPERLINK("https://www.boe.es/gazeta/dias/1834/01/11/pdfs/GMD-1834-6.pdf#page=3","Abrir facsímil")</f>
        <v>Abrir facsímil</v>
      </c>
      <c r="K9849" s="10" t="s">
        <v>24</v>
      </c>
    </row>
    <row r="9850" spans="1:11" ht="54" customHeight="1">
      <c r="A9850" s="9" t="s">
        <v>20613</v>
      </c>
      <c r="B9850" s="9" t="s">
        <v>20613</v>
      </c>
      <c r="C9850" s="9" t="s">
        <v>17</v>
      </c>
      <c r="D9850" s="9" t="s">
        <v>18</v>
      </c>
      <c r="E9850" s="10" t="s">
        <v>785</v>
      </c>
      <c r="F9850" s="9" t="s">
        <v>786</v>
      </c>
      <c r="G9850" s="10" t="s">
        <v>75</v>
      </c>
      <c r="H9850" s="9" t="s">
        <v>22</v>
      </c>
      <c r="I9850" s="9" t="s">
        <v>20618</v>
      </c>
      <c r="J9850" s="10" t="str">
        <f>HYPERLINK("https://www.boe.es/gazeta/dias/1834/02/11/pdfs/GMD-1834-19.pdf#page=4","Abrir facsímil")</f>
        <v>Abrir facsímil</v>
      </c>
      <c r="K9850" s="10" t="s">
        <v>24</v>
      </c>
    </row>
    <row r="9851" spans="1:11" ht="54" customHeight="1">
      <c r="A9851" s="9" t="s">
        <v>20607</v>
      </c>
      <c r="B9851" s="9" t="s">
        <v>20607</v>
      </c>
      <c r="C9851" s="9" t="s">
        <v>17</v>
      </c>
      <c r="D9851" s="9" t="s">
        <v>18</v>
      </c>
      <c r="E9851" s="10" t="s">
        <v>808</v>
      </c>
      <c r="F9851" s="9" t="s">
        <v>809</v>
      </c>
      <c r="G9851" s="10" t="s">
        <v>75</v>
      </c>
      <c r="H9851" s="9" t="s">
        <v>22</v>
      </c>
      <c r="I9851" s="9" t="s">
        <v>20619</v>
      </c>
      <c r="J9851" s="10" t="str">
        <f>HYPERLINK("https://www.boe.es/gazeta/dias/1834/10/11/pdfs/GMD-1834-239.pdf#page=4","Abrir facsímil")</f>
        <v>Abrir facsímil</v>
      </c>
      <c r="K9851" s="10" t="s">
        <v>24</v>
      </c>
    </row>
    <row r="9852" spans="1:11" ht="54" customHeight="1">
      <c r="A9852" s="9" t="s">
        <v>20607</v>
      </c>
      <c r="B9852" s="9" t="s">
        <v>20607</v>
      </c>
      <c r="C9852" s="9" t="s">
        <v>122</v>
      </c>
      <c r="D9852" s="9" t="s">
        <v>18</v>
      </c>
      <c r="E9852" s="10" t="s">
        <v>91</v>
      </c>
      <c r="F9852" s="9" t="s">
        <v>92</v>
      </c>
      <c r="G9852" s="10" t="s">
        <v>75</v>
      </c>
      <c r="H9852" s="9" t="s">
        <v>22</v>
      </c>
      <c r="I9852" s="9" t="s">
        <v>20620</v>
      </c>
      <c r="J9852" s="10" t="str">
        <f>HYPERLINK("https://www.boe.es/gazeta/dias/1834/02/13/pdfs/GMD-1834-20.pdf#page=4","Abrir facsímil")</f>
        <v>Abrir facsímil</v>
      </c>
      <c r="K9852" s="10" t="s">
        <v>24</v>
      </c>
    </row>
    <row r="9853" spans="1:11" ht="54" customHeight="1">
      <c r="A9853" s="9" t="s">
        <v>20607</v>
      </c>
      <c r="B9853" s="9" t="s">
        <v>20607</v>
      </c>
      <c r="C9853" s="9" t="s">
        <v>66</v>
      </c>
      <c r="D9853" s="9" t="s">
        <v>67</v>
      </c>
      <c r="E9853" s="10" t="s">
        <v>1394</v>
      </c>
      <c r="F9853" s="9" t="s">
        <v>2923</v>
      </c>
      <c r="G9853" s="10" t="s">
        <v>34</v>
      </c>
      <c r="H9853" s="9" t="s">
        <v>22</v>
      </c>
      <c r="I9853" s="9" t="s">
        <v>20621</v>
      </c>
      <c r="J9853" s="10" t="str">
        <f>HYPERLINK("https://www.boe.es/gazeta/dias/1834/04/16/pdfs/GMD-C-1834-55.pdf#page=1","Abrir facsímil")</f>
        <v>Abrir facsímil</v>
      </c>
      <c r="K9853" s="10" t="s">
        <v>24</v>
      </c>
    </row>
    <row r="9854" spans="1:11" ht="54" customHeight="1">
      <c r="A9854" s="9" t="s">
        <v>20611</v>
      </c>
      <c r="B9854" s="9" t="s">
        <v>20611</v>
      </c>
      <c r="C9854" s="9" t="s">
        <v>66</v>
      </c>
      <c r="D9854" s="9" t="s">
        <v>67</v>
      </c>
      <c r="E9854" s="10" t="s">
        <v>19</v>
      </c>
      <c r="F9854" s="9" t="s">
        <v>1933</v>
      </c>
      <c r="G9854" s="10" t="s">
        <v>34</v>
      </c>
      <c r="H9854" s="9" t="s">
        <v>22</v>
      </c>
      <c r="I9854" s="9" t="s">
        <v>20622</v>
      </c>
      <c r="J9854" s="10" t="str">
        <f>HYPERLINK("https://www.boe.es/gazeta/dias/1834/08/17/pdfs/GMD-1834-183E.pdf#page=1","Abrir facsímil")</f>
        <v>Abrir facsímil</v>
      </c>
      <c r="K9854" s="10" t="s">
        <v>24</v>
      </c>
    </row>
    <row r="9855" spans="1:11" ht="54" customHeight="1">
      <c r="A9855" s="9" t="s">
        <v>20613</v>
      </c>
      <c r="B9855" s="9" t="s">
        <v>20613</v>
      </c>
      <c r="C9855" s="9" t="s">
        <v>17</v>
      </c>
      <c r="D9855" s="9" t="s">
        <v>40</v>
      </c>
      <c r="E9855" s="10" t="s">
        <v>1517</v>
      </c>
      <c r="F9855" s="9" t="s">
        <v>1518</v>
      </c>
      <c r="G9855" s="10" t="s">
        <v>75</v>
      </c>
      <c r="H9855" s="9" t="s">
        <v>22</v>
      </c>
      <c r="I9855" s="9" t="s">
        <v>20623</v>
      </c>
      <c r="J9855" s="10" t="str">
        <f>HYPERLINK("https://www.boe.es/gazeta/dias/1834/05/18/pdfs/GMD-1834-87.pdf#page=4","Abrir facsímil")</f>
        <v>Abrir facsímil</v>
      </c>
      <c r="K9855" s="10" t="s">
        <v>24</v>
      </c>
    </row>
    <row r="9856" spans="1:11" ht="54" customHeight="1">
      <c r="A9856" s="9" t="s">
        <v>20607</v>
      </c>
      <c r="B9856" s="9" t="s">
        <v>20607</v>
      </c>
      <c r="C9856" s="9" t="s">
        <v>17</v>
      </c>
      <c r="D9856" s="9" t="s">
        <v>18</v>
      </c>
      <c r="E9856" s="10" t="s">
        <v>772</v>
      </c>
      <c r="F9856" s="9" t="s">
        <v>773</v>
      </c>
      <c r="G9856" s="10" t="s">
        <v>75</v>
      </c>
      <c r="H9856" s="9" t="s">
        <v>22</v>
      </c>
      <c r="I9856" s="9" t="s">
        <v>20624</v>
      </c>
      <c r="J9856" s="10" t="str">
        <f>HYPERLINK("https://www.boe.es/gazeta/dias/1834/09/18/pdfs/GMD-1834-216.pdf#page=4","Abrir facsímil")</f>
        <v>Abrir facsímil</v>
      </c>
      <c r="K9856" s="10" t="s">
        <v>24</v>
      </c>
    </row>
    <row r="9857" spans="1:11" ht="54" customHeight="1">
      <c r="A9857" s="9" t="s">
        <v>20607</v>
      </c>
      <c r="B9857" s="9" t="s">
        <v>20607</v>
      </c>
      <c r="C9857" s="9" t="s">
        <v>122</v>
      </c>
      <c r="D9857" s="9" t="s">
        <v>18</v>
      </c>
      <c r="E9857" s="10" t="s">
        <v>375</v>
      </c>
      <c r="F9857" s="9" t="s">
        <v>376</v>
      </c>
      <c r="G9857" s="10" t="s">
        <v>75</v>
      </c>
      <c r="H9857" s="9" t="s">
        <v>22</v>
      </c>
      <c r="I9857" s="9" t="s">
        <v>20625</v>
      </c>
      <c r="J9857" s="10" t="str">
        <f>HYPERLINK("https://www.boe.es/gazeta/dias/1834/08/21/pdfs/GMD-1834-187.pdf#page=4","Abrir facsímil")</f>
        <v>Abrir facsímil</v>
      </c>
      <c r="K9857" s="10" t="s">
        <v>24</v>
      </c>
    </row>
    <row r="9858" spans="1:11" ht="54" customHeight="1">
      <c r="A9858" s="9" t="s">
        <v>20607</v>
      </c>
      <c r="B9858" s="9" t="s">
        <v>20607</v>
      </c>
      <c r="C9858" s="9" t="s">
        <v>17</v>
      </c>
      <c r="D9858" s="9" t="s">
        <v>18</v>
      </c>
      <c r="E9858" s="10" t="s">
        <v>981</v>
      </c>
      <c r="F9858" s="9" t="s">
        <v>982</v>
      </c>
      <c r="G9858" s="10" t="s">
        <v>86</v>
      </c>
      <c r="H9858" s="9" t="s">
        <v>22</v>
      </c>
      <c r="I9858" s="9" t="s">
        <v>20626</v>
      </c>
      <c r="J9858" s="10" t="str">
        <f>HYPERLINK("https://www.boe.es/gazeta/dias/1834/09/21/pdfs/GMD-1834-219.pdf#page=2","Abrir facsímil")</f>
        <v>Abrir facsímil</v>
      </c>
      <c r="K9858" s="10" t="s">
        <v>24</v>
      </c>
    </row>
    <row r="9859" spans="1:11" ht="54" customHeight="1">
      <c r="A9859" s="9" t="s">
        <v>20607</v>
      </c>
      <c r="B9859" s="9" t="s">
        <v>20607</v>
      </c>
      <c r="C9859" s="9" t="s">
        <v>17</v>
      </c>
      <c r="D9859" s="9" t="s">
        <v>18</v>
      </c>
      <c r="E9859" s="10" t="s">
        <v>1641</v>
      </c>
      <c r="F9859" s="9" t="s">
        <v>1729</v>
      </c>
      <c r="G9859" s="10" t="s">
        <v>21</v>
      </c>
      <c r="H9859" s="9" t="s">
        <v>22</v>
      </c>
      <c r="I9859" s="9" t="s">
        <v>20627</v>
      </c>
      <c r="J9859" s="10" t="str">
        <f>HYPERLINK("https://www.boe.es/gazeta/dias/1834/09/28/pdfs/GMD-1834-226.pdf#page=3","Abrir facsímil")</f>
        <v>Abrir facsímil</v>
      </c>
      <c r="K9859" s="10" t="s">
        <v>24</v>
      </c>
    </row>
    <row r="9860" spans="1:11" ht="54" customHeight="1">
      <c r="A9860" s="9" t="s">
        <v>20607</v>
      </c>
      <c r="B9860" s="9" t="s">
        <v>20607</v>
      </c>
      <c r="C9860" s="9" t="s">
        <v>17</v>
      </c>
      <c r="D9860" s="9" t="s">
        <v>18</v>
      </c>
      <c r="E9860" s="10" t="s">
        <v>2945</v>
      </c>
      <c r="F9860" s="9" t="s">
        <v>2946</v>
      </c>
      <c r="G9860" s="10" t="s">
        <v>75</v>
      </c>
      <c r="H9860" s="9" t="s">
        <v>22</v>
      </c>
      <c r="I9860" s="9" t="s">
        <v>20628</v>
      </c>
      <c r="J9860" s="10" t="str">
        <f>HYPERLINK("https://www.boe.es/gazeta/dias/1834/05/29/pdfs/GMD-1834-98.pdf#page=4","Abrir facsímil")</f>
        <v>Abrir facsímil</v>
      </c>
      <c r="K9860" s="10" t="s">
        <v>24</v>
      </c>
    </row>
    <row r="9861" spans="1:11" ht="54" customHeight="1">
      <c r="A9861" s="9" t="s">
        <v>20607</v>
      </c>
      <c r="B9861" s="9" t="s">
        <v>20607</v>
      </c>
      <c r="C9861" s="9" t="s">
        <v>66</v>
      </c>
      <c r="D9861" s="9" t="s">
        <v>18</v>
      </c>
      <c r="E9861" s="10" t="s">
        <v>286</v>
      </c>
      <c r="F9861" s="9" t="s">
        <v>1928</v>
      </c>
      <c r="G9861" s="10" t="s">
        <v>34</v>
      </c>
      <c r="H9861" s="9" t="s">
        <v>22</v>
      </c>
      <c r="I9861" s="9" t="s">
        <v>20629</v>
      </c>
      <c r="J9861" s="10" t="str">
        <f>HYPERLINK("https://www.boe.es/gazeta/dias/1834/08/30/pdfs/GMD-1834-197E.pdf#page=1","Abrir facsímil")</f>
        <v>Abrir facsímil</v>
      </c>
      <c r="K9861" s="10" t="s">
        <v>24</v>
      </c>
    </row>
    <row r="9862" spans="1:11" ht="54" customHeight="1">
      <c r="A9862" s="9" t="s">
        <v>20630</v>
      </c>
      <c r="B9862" s="9" t="s">
        <v>20631</v>
      </c>
      <c r="C9862" s="9" t="s">
        <v>66</v>
      </c>
      <c r="D9862" s="9" t="s">
        <v>67</v>
      </c>
      <c r="E9862" s="10" t="s">
        <v>364</v>
      </c>
      <c r="F9862" s="9" t="s">
        <v>365</v>
      </c>
      <c r="G9862" s="10" t="s">
        <v>34</v>
      </c>
      <c r="H9862" s="9" t="s">
        <v>35</v>
      </c>
      <c r="I9862" s="9" t="s">
        <v>20632</v>
      </c>
      <c r="J9862" s="10" t="str">
        <f>HYPERLINK("https://www.boe.es/gazeta/dias/1834/09/06/pdfs/GMD-D-1834-204.pdf#page=1","Abrir facsímil")</f>
        <v>Abrir facsímil</v>
      </c>
      <c r="K9862" s="10" t="s">
        <v>37</v>
      </c>
    </row>
    <row r="9863" spans="1:11" ht="54" customHeight="1">
      <c r="A9863" s="9" t="s">
        <v>20633</v>
      </c>
      <c r="B9863" s="9" t="s">
        <v>20634</v>
      </c>
      <c r="C9863" s="9" t="s">
        <v>17</v>
      </c>
      <c r="D9863" s="9" t="s">
        <v>18</v>
      </c>
      <c r="E9863" s="10" t="s">
        <v>375</v>
      </c>
      <c r="F9863" s="9" t="s">
        <v>376</v>
      </c>
      <c r="G9863" s="10" t="s">
        <v>86</v>
      </c>
      <c r="H9863" s="9" t="s">
        <v>35</v>
      </c>
      <c r="I9863" s="9" t="s">
        <v>20635</v>
      </c>
      <c r="J9863" s="10" t="str">
        <f>HYPERLINK("https://www.boe.es/gazeta/dias/1834/08/21/pdfs/GMD-1834-187.pdf#page=2","Abrir facsímil")</f>
        <v>Abrir facsímil</v>
      </c>
      <c r="K9863" s="10" t="s">
        <v>37</v>
      </c>
    </row>
    <row r="9864" spans="1:11" ht="54" customHeight="1">
      <c r="A9864" s="9" t="s">
        <v>20633</v>
      </c>
      <c r="B9864" s="9" t="s">
        <v>20634</v>
      </c>
      <c r="C9864" s="9" t="s">
        <v>17</v>
      </c>
      <c r="D9864" s="9" t="s">
        <v>18</v>
      </c>
      <c r="E9864" s="10" t="s">
        <v>375</v>
      </c>
      <c r="F9864" s="9" t="s">
        <v>376</v>
      </c>
      <c r="G9864" s="10" t="s">
        <v>21</v>
      </c>
      <c r="H9864" s="9" t="s">
        <v>35</v>
      </c>
      <c r="I9864" s="9" t="s">
        <v>20636</v>
      </c>
      <c r="J9864" s="10" t="str">
        <f>HYPERLINK("https://www.boe.es/gazeta/dias/1834/08/21/pdfs/GMD-1834-187.pdf#page=3","Abrir facsímil")</f>
        <v>Abrir facsímil</v>
      </c>
      <c r="K9864" s="10" t="s">
        <v>37</v>
      </c>
    </row>
    <row r="9865" spans="1:11" ht="54" customHeight="1">
      <c r="A9865" s="9" t="s">
        <v>20633</v>
      </c>
      <c r="B9865" s="9" t="s">
        <v>20634</v>
      </c>
      <c r="C9865" s="9" t="s">
        <v>17</v>
      </c>
      <c r="D9865" s="9" t="s">
        <v>40</v>
      </c>
      <c r="E9865" s="10" t="s">
        <v>286</v>
      </c>
      <c r="F9865" s="9" t="s">
        <v>1928</v>
      </c>
      <c r="G9865" s="10" t="s">
        <v>34</v>
      </c>
      <c r="H9865" s="9" t="s">
        <v>35</v>
      </c>
      <c r="I9865" s="9" t="s">
        <v>20637</v>
      </c>
      <c r="J9865" s="10" t="str">
        <f>HYPERLINK("https://www.boe.es/gazeta/dias/1834/08/30/pdfs/GMD-1834-197E.pdf#page=1","Abrir facsímil")</f>
        <v>Abrir facsímil</v>
      </c>
      <c r="K9865" s="10" t="s">
        <v>37</v>
      </c>
    </row>
    <row r="9866" spans="1:11" ht="54" customHeight="1">
      <c r="A9866" s="9" t="s">
        <v>20638</v>
      </c>
      <c r="B9866" s="9" t="s">
        <v>20639</v>
      </c>
      <c r="C9866" s="9" t="s">
        <v>17</v>
      </c>
      <c r="D9866" s="9" t="s">
        <v>101</v>
      </c>
      <c r="E9866" s="10" t="s">
        <v>1402</v>
      </c>
      <c r="F9866" s="9" t="s">
        <v>1403</v>
      </c>
      <c r="G9866" s="10" t="s">
        <v>176</v>
      </c>
      <c r="H9866" s="9" t="s">
        <v>22</v>
      </c>
      <c r="I9866" s="9" t="s">
        <v>20640</v>
      </c>
      <c r="J9866" s="10" t="str">
        <f>HYPERLINK("https://www.boe.es/gazeta/dias/1834/05/05/pdfs/GMD-1834-74.pdf#page=6","Abrir facsímil")</f>
        <v>Abrir facsímil</v>
      </c>
      <c r="K9866" s="10" t="s">
        <v>24</v>
      </c>
    </row>
    <row r="9867" spans="1:11" ht="54" customHeight="1">
      <c r="A9867" s="9" t="s">
        <v>20641</v>
      </c>
      <c r="B9867" s="9" t="s">
        <v>20642</v>
      </c>
      <c r="C9867" s="9" t="s">
        <v>66</v>
      </c>
      <c r="D9867" s="9" t="s">
        <v>67</v>
      </c>
      <c r="E9867" s="10" t="s">
        <v>364</v>
      </c>
      <c r="F9867" s="9" t="s">
        <v>365</v>
      </c>
      <c r="G9867" s="10" t="s">
        <v>34</v>
      </c>
      <c r="H9867" s="9" t="s">
        <v>22</v>
      </c>
      <c r="I9867" s="9" t="s">
        <v>20643</v>
      </c>
      <c r="J9867" s="10" t="str">
        <f>HYPERLINK("https://www.boe.es/gazeta/dias/1834/09/06/pdfs/GMD-D-1834-204.pdf#page=1","Abrir facsímil")</f>
        <v>Abrir facsímil</v>
      </c>
      <c r="K9867" s="10" t="s">
        <v>24</v>
      </c>
    </row>
    <row r="9868" spans="1:11" ht="54" customHeight="1">
      <c r="A9868" s="9" t="s">
        <v>20638</v>
      </c>
      <c r="B9868" s="9" t="s">
        <v>20639</v>
      </c>
      <c r="C9868" s="9" t="s">
        <v>17</v>
      </c>
      <c r="D9868" s="9" t="s">
        <v>18</v>
      </c>
      <c r="E9868" s="10" t="s">
        <v>375</v>
      </c>
      <c r="F9868" s="9" t="s">
        <v>376</v>
      </c>
      <c r="G9868" s="10" t="s">
        <v>86</v>
      </c>
      <c r="H9868" s="9" t="s">
        <v>22</v>
      </c>
      <c r="I9868" s="9" t="s">
        <v>20644</v>
      </c>
      <c r="J9868" s="10" t="str">
        <f>HYPERLINK("https://www.boe.es/gazeta/dias/1834/08/21/pdfs/GMD-1834-187.pdf#page=2","Abrir facsímil")</f>
        <v>Abrir facsímil</v>
      </c>
      <c r="K9868" s="10" t="s">
        <v>24</v>
      </c>
    </row>
    <row r="9869" spans="1:11" ht="54" customHeight="1">
      <c r="A9869" s="9" t="s">
        <v>20638</v>
      </c>
      <c r="B9869" s="9" t="s">
        <v>20639</v>
      </c>
      <c r="C9869" s="9" t="s">
        <v>17</v>
      </c>
      <c r="D9869" s="9" t="s">
        <v>18</v>
      </c>
      <c r="E9869" s="10" t="s">
        <v>375</v>
      </c>
      <c r="F9869" s="9" t="s">
        <v>376</v>
      </c>
      <c r="G9869" s="10" t="s">
        <v>21</v>
      </c>
      <c r="H9869" s="9" t="s">
        <v>22</v>
      </c>
      <c r="I9869" s="9" t="s">
        <v>20645</v>
      </c>
      <c r="J9869" s="10" t="str">
        <f>HYPERLINK("https://www.boe.es/gazeta/dias/1834/08/21/pdfs/GMD-1834-187.pdf#page=3","Abrir facsímil")</f>
        <v>Abrir facsímil</v>
      </c>
      <c r="K9869" s="10" t="s">
        <v>24</v>
      </c>
    </row>
    <row r="9870" spans="1:11" ht="54" customHeight="1">
      <c r="A9870" s="9" t="s">
        <v>20638</v>
      </c>
      <c r="B9870" s="9" t="s">
        <v>20639</v>
      </c>
      <c r="C9870" s="9" t="s">
        <v>17</v>
      </c>
      <c r="D9870" s="9" t="s">
        <v>40</v>
      </c>
      <c r="E9870" s="10" t="s">
        <v>286</v>
      </c>
      <c r="F9870" s="9" t="s">
        <v>1928</v>
      </c>
      <c r="G9870" s="10" t="s">
        <v>34</v>
      </c>
      <c r="H9870" s="9" t="s">
        <v>22</v>
      </c>
      <c r="I9870" s="9" t="s">
        <v>20646</v>
      </c>
      <c r="J9870" s="10" t="str">
        <f>HYPERLINK("https://www.boe.es/gazeta/dias/1834/08/30/pdfs/GMD-1834-197E.pdf#page=1","Abrir facsímil")</f>
        <v>Abrir facsímil</v>
      </c>
      <c r="K9870" s="10" t="s">
        <v>24</v>
      </c>
    </row>
    <row r="9871" spans="1:11" ht="54" customHeight="1">
      <c r="A9871" s="9" t="s">
        <v>20647</v>
      </c>
      <c r="B9871" s="9" t="s">
        <v>20647</v>
      </c>
      <c r="C9871" s="9" t="s">
        <v>17</v>
      </c>
      <c r="D9871" s="9" t="s">
        <v>18</v>
      </c>
      <c r="E9871" s="10" t="s">
        <v>364</v>
      </c>
      <c r="F9871" s="9" t="s">
        <v>2102</v>
      </c>
      <c r="G9871" s="10" t="s">
        <v>21</v>
      </c>
      <c r="H9871" s="9" t="s">
        <v>22</v>
      </c>
      <c r="I9871" s="9" t="s">
        <v>20648</v>
      </c>
      <c r="J9871" s="10" t="str">
        <f>HYPERLINK("https://www.boe.es/gazeta/dias/1834/09/06/pdfs/GMD-1834-204.pdf#page=3","Abrir facsímil")</f>
        <v>Abrir facsímil</v>
      </c>
      <c r="K9871" s="10" t="s">
        <v>24</v>
      </c>
    </row>
    <row r="9872" spans="1:11" ht="54" customHeight="1">
      <c r="A9872" s="9" t="s">
        <v>20649</v>
      </c>
      <c r="B9872" s="9" t="s">
        <v>20649</v>
      </c>
      <c r="C9872" s="9" t="s">
        <v>66</v>
      </c>
      <c r="D9872" s="9" t="s">
        <v>67</v>
      </c>
      <c r="E9872" s="10" t="s">
        <v>552</v>
      </c>
      <c r="F9872" s="9" t="s">
        <v>553</v>
      </c>
      <c r="G9872" s="10" t="s">
        <v>21</v>
      </c>
      <c r="H9872" s="9" t="s">
        <v>22</v>
      </c>
      <c r="I9872" s="9" t="s">
        <v>20650</v>
      </c>
      <c r="J9872" s="10" t="str">
        <f>HYPERLINK("https://www.boe.es/gazeta/dias/1834/07/30/pdfs/GMD-1834-163.pdf#page=3","Abrir facsímil")</f>
        <v>Abrir facsímil</v>
      </c>
      <c r="K9872" s="10" t="s">
        <v>24</v>
      </c>
    </row>
    <row r="9873" spans="1:11" ht="54" customHeight="1">
      <c r="A9873" s="9" t="s">
        <v>20651</v>
      </c>
      <c r="B9873" s="9" t="s">
        <v>20652</v>
      </c>
      <c r="C9873" s="9" t="s">
        <v>90</v>
      </c>
      <c r="D9873" s="9" t="s">
        <v>18</v>
      </c>
      <c r="E9873" s="10" t="s">
        <v>375</v>
      </c>
      <c r="F9873" s="9" t="s">
        <v>376</v>
      </c>
      <c r="G9873" s="10" t="s">
        <v>21</v>
      </c>
      <c r="H9873" s="9" t="s">
        <v>35</v>
      </c>
      <c r="I9873" s="9" t="s">
        <v>20653</v>
      </c>
      <c r="J9873" s="10" t="str">
        <f>HYPERLINK("https://www.boe.es/gazeta/dias/1834/08/21/pdfs/GMD-1834-187.pdf#page=3","Abrir facsímil")</f>
        <v>Abrir facsímil</v>
      </c>
      <c r="K9873" s="10" t="s">
        <v>37</v>
      </c>
    </row>
    <row r="9874" spans="1:11" ht="54" customHeight="1">
      <c r="A9874" s="9" t="s">
        <v>20654</v>
      </c>
      <c r="B9874" s="9" t="s">
        <v>20654</v>
      </c>
      <c r="C9874" s="9" t="s">
        <v>17</v>
      </c>
      <c r="D9874" s="9" t="s">
        <v>18</v>
      </c>
      <c r="E9874" s="10" t="s">
        <v>571</v>
      </c>
      <c r="F9874" s="9" t="s">
        <v>620</v>
      </c>
      <c r="G9874" s="10" t="s">
        <v>470</v>
      </c>
      <c r="H9874" s="9" t="s">
        <v>22</v>
      </c>
      <c r="I9874" s="9" t="s">
        <v>20655</v>
      </c>
      <c r="J9874" s="10" t="str">
        <f>HYPERLINK("https://www.boe.es/gazeta/dias/1834/09/04/pdfs/GMD-C-1834-202.pdf#page=8","Abrir facsímil")</f>
        <v>Abrir facsímil</v>
      </c>
      <c r="K9874" s="10" t="s">
        <v>24</v>
      </c>
    </row>
    <row r="9875" spans="1:11" ht="54" customHeight="1">
      <c r="A9875" s="9" t="s">
        <v>20654</v>
      </c>
      <c r="B9875" s="9" t="s">
        <v>20654</v>
      </c>
      <c r="C9875" s="9" t="s">
        <v>17</v>
      </c>
      <c r="D9875" s="9" t="s">
        <v>18</v>
      </c>
      <c r="E9875" s="10" t="s">
        <v>672</v>
      </c>
      <c r="F9875" s="9" t="s">
        <v>1055</v>
      </c>
      <c r="G9875" s="10" t="s">
        <v>34</v>
      </c>
      <c r="H9875" s="9" t="s">
        <v>22</v>
      </c>
      <c r="I9875" s="9" t="s">
        <v>20656</v>
      </c>
      <c r="J9875" s="10" t="str">
        <f>HYPERLINK("https://www.boe.es/gazeta/dias/1834/09/19/pdfs/GMD-C-1834-217.pdf#page=1","Abrir facsímil")</f>
        <v>Abrir facsímil</v>
      </c>
      <c r="K9875" s="10" t="s">
        <v>24</v>
      </c>
    </row>
    <row r="9876" spans="1:11" ht="54" customHeight="1">
      <c r="A9876" s="9" t="s">
        <v>20657</v>
      </c>
      <c r="B9876" s="9" t="s">
        <v>20658</v>
      </c>
      <c r="C9876" s="9" t="s">
        <v>66</v>
      </c>
      <c r="D9876" s="9" t="s">
        <v>67</v>
      </c>
      <c r="E9876" s="10" t="s">
        <v>1708</v>
      </c>
      <c r="F9876" s="9" t="s">
        <v>1709</v>
      </c>
      <c r="G9876" s="10" t="s">
        <v>28</v>
      </c>
      <c r="H9876" s="9" t="s">
        <v>22</v>
      </c>
      <c r="I9876" s="9" t="s">
        <v>20659</v>
      </c>
      <c r="J9876" s="10" t="str">
        <f>HYPERLINK("https://www.boe.es/gazeta/dias/1834/04/12/pdfs/GMD-1834-51.pdf#page=5","Abrir facsímil")</f>
        <v>Abrir facsímil</v>
      </c>
      <c r="K9876" s="10" t="s">
        <v>24</v>
      </c>
    </row>
    <row r="9877" spans="1:11" ht="54" customHeight="1">
      <c r="A9877" s="9" t="s">
        <v>20660</v>
      </c>
      <c r="B9877" s="9" t="s">
        <v>20661</v>
      </c>
      <c r="C9877" s="9" t="s">
        <v>17</v>
      </c>
      <c r="D9877" s="9" t="s">
        <v>18</v>
      </c>
      <c r="E9877" s="10" t="s">
        <v>1766</v>
      </c>
      <c r="F9877" s="9" t="s">
        <v>1767</v>
      </c>
      <c r="G9877" s="10" t="s">
        <v>34</v>
      </c>
      <c r="H9877" s="9" t="s">
        <v>35</v>
      </c>
      <c r="I9877" s="9" t="s">
        <v>20662</v>
      </c>
      <c r="J9877" s="10" t="str">
        <f>HYPERLINK("https://www.boe.es/gazeta/dias/1834/10/26/pdfs/GMD-C-1834-254.pdf#page=1","Abrir facsímil")</f>
        <v>Abrir facsímil</v>
      </c>
      <c r="K9877" s="10" t="s">
        <v>37</v>
      </c>
    </row>
    <row r="9878" spans="1:11" ht="54" customHeight="1">
      <c r="A9878" s="9" t="s">
        <v>20663</v>
      </c>
      <c r="B9878" s="9" t="s">
        <v>20664</v>
      </c>
      <c r="C9878" s="9" t="s">
        <v>17</v>
      </c>
      <c r="D9878" s="9" t="s">
        <v>18</v>
      </c>
      <c r="E9878" s="10" t="s">
        <v>1766</v>
      </c>
      <c r="F9878" s="9" t="s">
        <v>1767</v>
      </c>
      <c r="G9878" s="10" t="s">
        <v>34</v>
      </c>
      <c r="H9878" s="9" t="s">
        <v>22</v>
      </c>
      <c r="I9878" s="9" t="s">
        <v>20665</v>
      </c>
      <c r="J9878" s="10" t="str">
        <f>HYPERLINK("https://www.boe.es/gazeta/dias/1834/10/26/pdfs/GMD-C-1834-254.pdf#page=1","Abrir facsímil")</f>
        <v>Abrir facsímil</v>
      </c>
      <c r="K9878" s="10" t="s">
        <v>24</v>
      </c>
    </row>
    <row r="9879" spans="1:11" ht="54" customHeight="1">
      <c r="A9879" s="9" t="s">
        <v>20666</v>
      </c>
      <c r="B9879" s="9" t="s">
        <v>20667</v>
      </c>
      <c r="C9879" s="9" t="s">
        <v>17</v>
      </c>
      <c r="D9879" s="9" t="s">
        <v>18</v>
      </c>
      <c r="E9879" s="10" t="s">
        <v>4105</v>
      </c>
      <c r="F9879" s="9" t="s">
        <v>4106</v>
      </c>
      <c r="G9879" s="10" t="s">
        <v>176</v>
      </c>
      <c r="H9879" s="9" t="s">
        <v>22</v>
      </c>
      <c r="I9879" s="9" t="s">
        <v>20668</v>
      </c>
      <c r="J9879" s="10" t="str">
        <f>HYPERLINK("https://www.boe.es/gazeta/dias/1834/09/02/pdfs/GMD-C-1834-200.pdf#page=6","Abrir facsímil")</f>
        <v>Abrir facsímil</v>
      </c>
      <c r="K9879" s="10" t="s">
        <v>24</v>
      </c>
    </row>
    <row r="9880" spans="1:11" ht="54" customHeight="1">
      <c r="A9880" s="9" t="s">
        <v>20669</v>
      </c>
      <c r="B9880" s="9" t="s">
        <v>20670</v>
      </c>
      <c r="C9880" s="9" t="s">
        <v>122</v>
      </c>
      <c r="D9880" s="9" t="s">
        <v>18</v>
      </c>
      <c r="E9880" s="10" t="s">
        <v>73</v>
      </c>
      <c r="F9880" s="9" t="s">
        <v>74</v>
      </c>
      <c r="G9880" s="10" t="s">
        <v>86</v>
      </c>
      <c r="H9880" s="9" t="s">
        <v>35</v>
      </c>
      <c r="I9880" s="9" t="s">
        <v>20671</v>
      </c>
      <c r="J9880" s="10" t="str">
        <f>HYPERLINK("https://www.boe.es/gazeta/dias/1834/11/04/pdfs/GMD-1834-263.pdf#page=2","Abrir facsímil")</f>
        <v>Abrir facsímil</v>
      </c>
      <c r="K9880" s="10" t="s">
        <v>37</v>
      </c>
    </row>
    <row r="9881" spans="1:11" ht="54" customHeight="1">
      <c r="A9881" s="9" t="s">
        <v>20672</v>
      </c>
      <c r="B9881" s="9" t="s">
        <v>20672</v>
      </c>
      <c r="C9881" s="9" t="s">
        <v>17</v>
      </c>
      <c r="D9881" s="9" t="s">
        <v>18</v>
      </c>
      <c r="E9881" s="10" t="s">
        <v>73</v>
      </c>
      <c r="F9881" s="9" t="s">
        <v>74</v>
      </c>
      <c r="G9881" s="10" t="s">
        <v>34</v>
      </c>
      <c r="H9881" s="9" t="s">
        <v>22</v>
      </c>
      <c r="I9881" s="9" t="s">
        <v>20673</v>
      </c>
      <c r="J9881" s="10" t="str">
        <f>HYPERLINK("https://www.boe.es/gazeta/dias/1834/11/04/pdfs/GMD-1834-263.pdf#page=1","Abrir facsímil")</f>
        <v>Abrir facsímil</v>
      </c>
      <c r="K9881" s="10" t="s">
        <v>24</v>
      </c>
    </row>
    <row r="9882" spans="1:11" ht="54" customHeight="1">
      <c r="A9882" s="9" t="s">
        <v>20674</v>
      </c>
      <c r="B9882" s="9" t="s">
        <v>20674</v>
      </c>
      <c r="C9882" s="9" t="s">
        <v>17</v>
      </c>
      <c r="D9882" s="9" t="s">
        <v>18</v>
      </c>
      <c r="E9882" s="10" t="s">
        <v>1922</v>
      </c>
      <c r="F9882" s="9" t="s">
        <v>1923</v>
      </c>
      <c r="G9882" s="10" t="s">
        <v>28</v>
      </c>
      <c r="H9882" s="9" t="s">
        <v>22</v>
      </c>
      <c r="I9882" s="9" t="s">
        <v>20675</v>
      </c>
      <c r="J9882" s="10" t="str">
        <f>HYPERLINK("https://www.boe.es/gazeta/dias/1834/02/25/pdfs/GMD-1834-25.pdf#page=5","Abrir facsímil")</f>
        <v>Abrir facsímil</v>
      </c>
      <c r="K9882" s="10" t="s">
        <v>24</v>
      </c>
    </row>
    <row r="9883" spans="1:11" ht="54" customHeight="1">
      <c r="A9883" s="9" t="s">
        <v>20676</v>
      </c>
      <c r="B9883" s="9" t="s">
        <v>20677</v>
      </c>
      <c r="C9883" s="9" t="s">
        <v>17</v>
      </c>
      <c r="D9883" s="9" t="s">
        <v>18</v>
      </c>
      <c r="E9883" s="10" t="s">
        <v>1922</v>
      </c>
      <c r="F9883" s="9" t="s">
        <v>1923</v>
      </c>
      <c r="G9883" s="10" t="s">
        <v>28</v>
      </c>
      <c r="H9883" s="9" t="s">
        <v>35</v>
      </c>
      <c r="I9883" s="9" t="s">
        <v>20678</v>
      </c>
      <c r="J9883" s="10" t="str">
        <f>HYPERLINK("https://www.boe.es/gazeta/dias/1834/02/25/pdfs/GMD-1834-25.pdf#page=5","Abrir facsímil")</f>
        <v>Abrir facsímil</v>
      </c>
      <c r="K9883" s="10" t="s">
        <v>37</v>
      </c>
    </row>
    <row r="9884" spans="1:11" ht="54" customHeight="1">
      <c r="A9884" s="9" t="s">
        <v>20679</v>
      </c>
      <c r="B9884" s="9" t="s">
        <v>20679</v>
      </c>
      <c r="C9884" s="9" t="s">
        <v>66</v>
      </c>
      <c r="D9884" s="9" t="s">
        <v>67</v>
      </c>
      <c r="E9884" s="10" t="s">
        <v>1862</v>
      </c>
      <c r="F9884" s="9" t="s">
        <v>1908</v>
      </c>
      <c r="G9884" s="10" t="s">
        <v>34</v>
      </c>
      <c r="H9884" s="9" t="s">
        <v>22</v>
      </c>
      <c r="I9884" s="9" t="s">
        <v>20680</v>
      </c>
      <c r="J9884" s="10" t="str">
        <f>HYPERLINK("https://www.boe.es/gazeta/dias/1834/02/04/pdfs/GMD-C-1834-16.pdf#page=1","Abrir facsímil")</f>
        <v>Abrir facsímil</v>
      </c>
      <c r="K9884" s="10" t="s">
        <v>24</v>
      </c>
    </row>
    <row r="9885" spans="1:11" ht="54" customHeight="1">
      <c r="A9885" s="9" t="s">
        <v>20681</v>
      </c>
      <c r="B9885" s="9" t="s">
        <v>20682</v>
      </c>
      <c r="C9885" s="9" t="s">
        <v>66</v>
      </c>
      <c r="D9885" s="9" t="s">
        <v>67</v>
      </c>
      <c r="E9885" s="10" t="s">
        <v>364</v>
      </c>
      <c r="F9885" s="9" t="s">
        <v>2102</v>
      </c>
      <c r="G9885" s="10" t="s">
        <v>21</v>
      </c>
      <c r="H9885" s="9" t="s">
        <v>22</v>
      </c>
      <c r="I9885" s="9" t="s">
        <v>20683</v>
      </c>
      <c r="J9885" s="10" t="str">
        <f>HYPERLINK("https://www.boe.es/gazeta/dias/1834/09/06/pdfs/GMD-1834-204.pdf#page=3","Abrir facsímil")</f>
        <v>Abrir facsímil</v>
      </c>
      <c r="K9885" s="10" t="s">
        <v>24</v>
      </c>
    </row>
    <row r="9886" spans="1:11" ht="54" customHeight="1">
      <c r="A9886" s="9" t="s">
        <v>20684</v>
      </c>
      <c r="B9886" s="9" t="s">
        <v>20684</v>
      </c>
      <c r="C9886" s="9" t="s">
        <v>66</v>
      </c>
      <c r="D9886" s="9" t="s">
        <v>67</v>
      </c>
      <c r="E9886" s="10" t="s">
        <v>1883</v>
      </c>
      <c r="F9886" s="9" t="s">
        <v>1884</v>
      </c>
      <c r="G9886" s="10" t="s">
        <v>21</v>
      </c>
      <c r="H9886" s="9" t="s">
        <v>22</v>
      </c>
      <c r="I9886" s="9" t="s">
        <v>20685</v>
      </c>
      <c r="J9886" s="10" t="str">
        <f>HYPERLINK("https://www.boe.es/gazeta/dias/1834/01/11/pdfs/GMD-1834-6.pdf#page=3","Abrir facsímil")</f>
        <v>Abrir facsímil</v>
      </c>
      <c r="K9886" s="10" t="s">
        <v>24</v>
      </c>
    </row>
    <row r="9887" spans="1:11" ht="54" customHeight="1">
      <c r="A9887" s="9" t="s">
        <v>20686</v>
      </c>
      <c r="B9887" s="9" t="s">
        <v>20687</v>
      </c>
      <c r="C9887" s="9" t="s">
        <v>66</v>
      </c>
      <c r="D9887" s="9" t="s">
        <v>67</v>
      </c>
      <c r="E9887" s="10" t="s">
        <v>1883</v>
      </c>
      <c r="F9887" s="9" t="s">
        <v>1884</v>
      </c>
      <c r="G9887" s="10" t="s">
        <v>21</v>
      </c>
      <c r="H9887" s="9" t="s">
        <v>35</v>
      </c>
      <c r="I9887" s="9" t="s">
        <v>20688</v>
      </c>
      <c r="J9887" s="10" t="str">
        <f>HYPERLINK("https://www.boe.es/gazeta/dias/1834/01/11/pdfs/GMD-1834-6.pdf#page=3","Abrir facsímil")</f>
        <v>Abrir facsímil</v>
      </c>
      <c r="K9887" s="10" t="s">
        <v>37</v>
      </c>
    </row>
    <row r="9888" spans="1:11" ht="54" customHeight="1">
      <c r="A9888" s="9" t="s">
        <v>20689</v>
      </c>
      <c r="B9888" s="9" t="s">
        <v>20689</v>
      </c>
      <c r="C9888" s="9" t="s">
        <v>66</v>
      </c>
      <c r="D9888" s="9" t="s">
        <v>67</v>
      </c>
      <c r="E9888" s="10" t="s">
        <v>1234</v>
      </c>
      <c r="F9888" s="9" t="s">
        <v>1455</v>
      </c>
      <c r="G9888" s="10" t="s">
        <v>21</v>
      </c>
      <c r="H9888" s="9" t="s">
        <v>22</v>
      </c>
      <c r="I9888" s="9" t="s">
        <v>20690</v>
      </c>
      <c r="J9888" s="10" t="str">
        <f>HYPERLINK("https://www.boe.es/gazeta/dias/1834/05/15/pdfs/GMD-1834-84.pdf#page=3","Abrir facsímil")</f>
        <v>Abrir facsímil</v>
      </c>
      <c r="K9888" s="10" t="s">
        <v>24</v>
      </c>
    </row>
    <row r="9889" spans="1:11" ht="54" customHeight="1">
      <c r="A9889" s="9" t="s">
        <v>20691</v>
      </c>
      <c r="B9889" s="9" t="s">
        <v>20692</v>
      </c>
      <c r="C9889" s="9" t="s">
        <v>17</v>
      </c>
      <c r="D9889" s="9" t="s">
        <v>18</v>
      </c>
      <c r="E9889" s="10" t="s">
        <v>1572</v>
      </c>
      <c r="F9889" s="9" t="s">
        <v>1573</v>
      </c>
      <c r="G9889" s="10" t="s">
        <v>75</v>
      </c>
      <c r="H9889" s="9" t="s">
        <v>35</v>
      </c>
      <c r="I9889" s="9" t="s">
        <v>20693</v>
      </c>
      <c r="J9889" s="10" t="str">
        <f>HYPERLINK("https://www.boe.es/gazeta/dias/1834/03/20/pdfs/GMD-1834-35.pdf#page=4","Abrir facsímil")</f>
        <v>Abrir facsímil</v>
      </c>
      <c r="K9889" s="10" t="s">
        <v>37</v>
      </c>
    </row>
    <row r="9890" spans="1:11" ht="54" customHeight="1">
      <c r="A9890" s="9" t="s">
        <v>20694</v>
      </c>
      <c r="B9890" s="9" t="s">
        <v>20695</v>
      </c>
      <c r="C9890" s="9" t="s">
        <v>17</v>
      </c>
      <c r="D9890" s="9" t="s">
        <v>18</v>
      </c>
      <c r="E9890" s="10" t="s">
        <v>1572</v>
      </c>
      <c r="F9890" s="9" t="s">
        <v>1573</v>
      </c>
      <c r="G9890" s="10" t="s">
        <v>75</v>
      </c>
      <c r="H9890" s="9" t="s">
        <v>22</v>
      </c>
      <c r="I9890" s="9" t="s">
        <v>20696</v>
      </c>
      <c r="J9890" s="10" t="str">
        <f>HYPERLINK("https://www.boe.es/gazeta/dias/1834/03/20/pdfs/GMD-1834-35.pdf#page=4","Abrir facsímil")</f>
        <v>Abrir facsímil</v>
      </c>
      <c r="K9890" s="10" t="s">
        <v>24</v>
      </c>
    </row>
    <row r="9891" spans="1:11" ht="54" customHeight="1">
      <c r="A9891" s="9" t="s">
        <v>20697</v>
      </c>
      <c r="B9891" s="9" t="s">
        <v>20697</v>
      </c>
      <c r="C9891" s="9" t="s">
        <v>17</v>
      </c>
      <c r="D9891" s="9" t="s">
        <v>18</v>
      </c>
      <c r="E9891" s="10" t="s">
        <v>8279</v>
      </c>
      <c r="F9891" s="9" t="s">
        <v>8280</v>
      </c>
      <c r="G9891" s="10" t="s">
        <v>86</v>
      </c>
      <c r="H9891" s="9" t="s">
        <v>22</v>
      </c>
      <c r="I9891" s="9" t="s">
        <v>20698</v>
      </c>
      <c r="J9891" s="10" t="str">
        <f>HYPERLINK("https://www.boe.es/gazeta/dias/1834/04/22/pdfs/GMD-1834-61.pdf#page=2","Abrir facsímil")</f>
        <v>Abrir facsímil</v>
      </c>
      <c r="K9891" s="10" t="s">
        <v>24</v>
      </c>
    </row>
    <row r="9892" spans="1:11" ht="54" customHeight="1">
      <c r="A9892" s="9" t="s">
        <v>20699</v>
      </c>
      <c r="B9892" s="9" t="s">
        <v>20700</v>
      </c>
      <c r="C9892" s="9" t="s">
        <v>17</v>
      </c>
      <c r="D9892" s="9" t="s">
        <v>18</v>
      </c>
      <c r="E9892" s="10" t="s">
        <v>192</v>
      </c>
      <c r="F9892" s="9" t="s">
        <v>193</v>
      </c>
      <c r="G9892" s="10" t="s">
        <v>34</v>
      </c>
      <c r="H9892" s="9" t="s">
        <v>22</v>
      </c>
      <c r="I9892" s="9" t="s">
        <v>20701</v>
      </c>
      <c r="J9892" s="10" t="str">
        <f>HYPERLINK("https://www.boe.es/gazeta/dias/1834/12/31/pdfs/GMD-1834-321.pdf#page=1","Abrir facsímil")</f>
        <v>Abrir facsímil</v>
      </c>
      <c r="K9892" s="10" t="s">
        <v>24</v>
      </c>
    </row>
    <row r="9893" spans="1:11" ht="54" customHeight="1">
      <c r="A9893" s="9" t="s">
        <v>20702</v>
      </c>
      <c r="B9893" s="9" t="s">
        <v>20703</v>
      </c>
      <c r="C9893" s="9" t="s">
        <v>17</v>
      </c>
      <c r="D9893" s="9" t="s">
        <v>18</v>
      </c>
      <c r="E9893" s="10" t="s">
        <v>576</v>
      </c>
      <c r="F9893" s="9" t="s">
        <v>5888</v>
      </c>
      <c r="G9893" s="10" t="s">
        <v>21</v>
      </c>
      <c r="H9893" s="9" t="s">
        <v>22</v>
      </c>
      <c r="I9893" s="9" t="s">
        <v>20704</v>
      </c>
      <c r="J9893" s="10" t="str">
        <f>HYPERLINK("https://www.boe.es/gazeta/dias/1834/09/23/pdfs/GMD-C-1834-221.pdf#page=3","Abrir facsímil")</f>
        <v>Abrir facsímil</v>
      </c>
      <c r="K9893" s="10" t="s">
        <v>24</v>
      </c>
    </row>
    <row r="9894" spans="1:11" ht="54" customHeight="1">
      <c r="A9894" s="9" t="s">
        <v>20705</v>
      </c>
      <c r="B9894" s="9" t="s">
        <v>20705</v>
      </c>
      <c r="C9894" s="9" t="s">
        <v>17</v>
      </c>
      <c r="D9894" s="9" t="s">
        <v>18</v>
      </c>
      <c r="E9894" s="10" t="s">
        <v>860</v>
      </c>
      <c r="F9894" s="9" t="s">
        <v>861</v>
      </c>
      <c r="G9894" s="10" t="s">
        <v>176</v>
      </c>
      <c r="H9894" s="9" t="s">
        <v>22</v>
      </c>
      <c r="I9894" s="9" t="s">
        <v>20706</v>
      </c>
      <c r="J9894" s="10" t="str">
        <f>HYPERLINK("https://www.boe.es/gazeta/dias/1834/02/08/pdfs/GMD-1834-18.pdf#page=6","Abrir facsímil")</f>
        <v>Abrir facsímil</v>
      </c>
      <c r="K9894" s="10" t="s">
        <v>24</v>
      </c>
    </row>
    <row r="9895" spans="1:11" ht="54" customHeight="1">
      <c r="A9895" s="9" t="s">
        <v>20707</v>
      </c>
      <c r="B9895" s="9" t="s">
        <v>20708</v>
      </c>
      <c r="C9895" s="9" t="s">
        <v>46</v>
      </c>
      <c r="D9895" s="9" t="s">
        <v>101</v>
      </c>
      <c r="E9895" s="10" t="s">
        <v>1839</v>
      </c>
      <c r="F9895" s="9" t="s">
        <v>1840</v>
      </c>
      <c r="G9895" s="10" t="s">
        <v>34</v>
      </c>
      <c r="H9895" s="9" t="s">
        <v>22</v>
      </c>
      <c r="I9895" s="9" t="s">
        <v>20709</v>
      </c>
      <c r="J9895" s="10" t="str">
        <f>HYPERLINK("https://www.boe.es/gazeta/dias/1834/08/12/pdfs/GMD-C-1834-177.pdf#page=1","Abrir facsímil")</f>
        <v>Abrir facsímil</v>
      </c>
      <c r="K9895" s="10" t="s">
        <v>24</v>
      </c>
    </row>
    <row r="9896" spans="1:11" ht="54" customHeight="1">
      <c r="A9896" s="9" t="s">
        <v>20710</v>
      </c>
      <c r="B9896" s="9" t="s">
        <v>20710</v>
      </c>
      <c r="C9896" s="9" t="s">
        <v>17</v>
      </c>
      <c r="D9896" s="9" t="s">
        <v>55</v>
      </c>
      <c r="E9896" s="10" t="s">
        <v>928</v>
      </c>
      <c r="F9896" s="9" t="s">
        <v>3338</v>
      </c>
      <c r="G9896" s="10" t="s">
        <v>34</v>
      </c>
      <c r="H9896" s="9" t="s">
        <v>22</v>
      </c>
      <c r="I9896" s="9" t="s">
        <v>20711</v>
      </c>
      <c r="J9896" s="10" t="str">
        <f>HYPERLINK("https://www.boe.es/gazeta/dias/1834/11/15/pdfs/GMD-1834-274.pdf#page=1","Abrir facsímil")</f>
        <v>Abrir facsímil</v>
      </c>
      <c r="K9896" s="10" t="s">
        <v>24</v>
      </c>
    </row>
    <row r="9897" spans="1:11" ht="54" customHeight="1">
      <c r="A9897" s="9" t="s">
        <v>20712</v>
      </c>
      <c r="B9897" s="9" t="s">
        <v>20712</v>
      </c>
      <c r="C9897" s="9" t="s">
        <v>17</v>
      </c>
      <c r="D9897" s="9" t="s">
        <v>55</v>
      </c>
      <c r="E9897" s="10" t="s">
        <v>1973</v>
      </c>
      <c r="F9897" s="9" t="s">
        <v>4832</v>
      </c>
      <c r="G9897" s="10" t="s">
        <v>21</v>
      </c>
      <c r="H9897" s="9" t="s">
        <v>22</v>
      </c>
      <c r="I9897" s="9" t="s">
        <v>20713</v>
      </c>
      <c r="J9897" s="10" t="str">
        <f>HYPERLINK("https://www.boe.es/gazeta/dias/1834/12/20/pdfs/GMD-1834-310.pdf#page=3","Abrir facsímil")</f>
        <v>Abrir facsímil</v>
      </c>
      <c r="K9897" s="10" t="s">
        <v>24</v>
      </c>
    </row>
    <row r="9898" spans="1:11" ht="54" customHeight="1">
      <c r="A9898" s="9" t="s">
        <v>20714</v>
      </c>
      <c r="B9898" s="9" t="s">
        <v>20714</v>
      </c>
      <c r="C9898" s="9" t="s">
        <v>17</v>
      </c>
      <c r="D9898" s="9" t="s">
        <v>18</v>
      </c>
      <c r="E9898" s="10" t="s">
        <v>3066</v>
      </c>
      <c r="F9898" s="9" t="s">
        <v>3067</v>
      </c>
      <c r="G9898" s="10" t="s">
        <v>75</v>
      </c>
      <c r="H9898" s="9" t="s">
        <v>22</v>
      </c>
      <c r="I9898" s="9" t="s">
        <v>20715</v>
      </c>
      <c r="J9898" s="10" t="str">
        <f>HYPERLINK("https://www.boe.es/gazeta/dias/1834/08/03/pdfs/GMD-C-1834-167.pdf#page=4","Abrir facsímil")</f>
        <v>Abrir facsímil</v>
      </c>
      <c r="K9898" s="10" t="s">
        <v>24</v>
      </c>
    </row>
    <row r="9899" spans="1:11" ht="54" customHeight="1">
      <c r="A9899" s="9" t="s">
        <v>20716</v>
      </c>
      <c r="B9899" s="9" t="s">
        <v>20716</v>
      </c>
      <c r="C9899" s="9" t="s">
        <v>17</v>
      </c>
      <c r="D9899" s="9" t="s">
        <v>18</v>
      </c>
      <c r="E9899" s="10" t="s">
        <v>860</v>
      </c>
      <c r="F9899" s="9" t="s">
        <v>1755</v>
      </c>
      <c r="G9899" s="10" t="s">
        <v>34</v>
      </c>
      <c r="H9899" s="9" t="s">
        <v>22</v>
      </c>
      <c r="I9899" s="9" t="s">
        <v>20717</v>
      </c>
      <c r="J9899" s="10" t="str">
        <f>HYPERLINK("https://www.boe.es/gazeta/dias/1834/02/08/pdfs/GMD-C-1834-18.pdf#page=1","Abrir facsímil")</f>
        <v>Abrir facsímil</v>
      </c>
      <c r="K9899" s="10" t="s">
        <v>24</v>
      </c>
    </row>
    <row r="9900" spans="1:11" ht="54" customHeight="1">
      <c r="A9900" s="9" t="s">
        <v>20716</v>
      </c>
      <c r="B9900" s="9" t="s">
        <v>20716</v>
      </c>
      <c r="C9900" s="9" t="s">
        <v>17</v>
      </c>
      <c r="D9900" s="9" t="s">
        <v>18</v>
      </c>
      <c r="E9900" s="10" t="s">
        <v>441</v>
      </c>
      <c r="F9900" s="9" t="s">
        <v>442</v>
      </c>
      <c r="G9900" s="10" t="s">
        <v>21</v>
      </c>
      <c r="H9900" s="9" t="s">
        <v>22</v>
      </c>
      <c r="I9900" s="9" t="s">
        <v>20718</v>
      </c>
      <c r="J9900" s="10" t="str">
        <f>HYPERLINK("https://www.boe.es/gazeta/dias/1834/11/10/pdfs/GMD-1834-269.pdf#page=3","Abrir facsímil")</f>
        <v>Abrir facsímil</v>
      </c>
      <c r="K9900" s="10" t="s">
        <v>24</v>
      </c>
    </row>
    <row r="9901" spans="1:11" ht="54" customHeight="1">
      <c r="A9901" s="9" t="s">
        <v>20716</v>
      </c>
      <c r="B9901" s="9" t="s">
        <v>20716</v>
      </c>
      <c r="C9901" s="9" t="s">
        <v>17</v>
      </c>
      <c r="D9901" s="9" t="s">
        <v>18</v>
      </c>
      <c r="E9901" s="10" t="s">
        <v>441</v>
      </c>
      <c r="F9901" s="9" t="s">
        <v>442</v>
      </c>
      <c r="G9901" s="10" t="s">
        <v>75</v>
      </c>
      <c r="H9901" s="9" t="s">
        <v>22</v>
      </c>
      <c r="I9901" s="9" t="s">
        <v>20719</v>
      </c>
      <c r="J9901" s="10" t="str">
        <f>HYPERLINK("https://www.boe.es/gazeta/dias/1834/11/10/pdfs/GMD-1834-269.pdf#page=4","Abrir facsímil")</f>
        <v>Abrir facsímil</v>
      </c>
      <c r="K9901" s="10" t="s">
        <v>24</v>
      </c>
    </row>
    <row r="9902" spans="1:11" ht="54" customHeight="1">
      <c r="A9902" s="9" t="s">
        <v>20720</v>
      </c>
      <c r="B9902" s="9" t="s">
        <v>20721</v>
      </c>
      <c r="C9902" s="9" t="s">
        <v>17</v>
      </c>
      <c r="D9902" s="9" t="s">
        <v>18</v>
      </c>
      <c r="E9902" s="10" t="s">
        <v>1170</v>
      </c>
      <c r="F9902" s="9" t="s">
        <v>1171</v>
      </c>
      <c r="G9902" s="10" t="s">
        <v>176</v>
      </c>
      <c r="H9902" s="9" t="s">
        <v>22</v>
      </c>
      <c r="I9902" s="9" t="s">
        <v>20722</v>
      </c>
      <c r="J9902" s="10" t="str">
        <f>HYPERLINK("https://www.boe.es/gazeta/dias/1834/01/07/pdfs/GMD-1834-4.pdf#page=6","Abrir facsímil")</f>
        <v>Abrir facsímil</v>
      </c>
      <c r="K9902" s="10" t="s">
        <v>24</v>
      </c>
    </row>
    <row r="9903" spans="1:11" ht="54" customHeight="1">
      <c r="A9903" s="9" t="s">
        <v>20723</v>
      </c>
      <c r="B9903" s="9" t="s">
        <v>20724</v>
      </c>
      <c r="C9903" s="9" t="s">
        <v>17</v>
      </c>
      <c r="D9903" s="9" t="s">
        <v>55</v>
      </c>
      <c r="E9903" s="10" t="s">
        <v>702</v>
      </c>
      <c r="F9903" s="9" t="s">
        <v>2427</v>
      </c>
      <c r="G9903" s="10" t="s">
        <v>75</v>
      </c>
      <c r="H9903" s="9" t="s">
        <v>22</v>
      </c>
      <c r="I9903" s="9" t="s">
        <v>20725</v>
      </c>
      <c r="J9903" s="10" t="str">
        <f>HYPERLINK("https://www.boe.es/gazeta/dias/1834/11/22/pdfs/GMD-1834-281.pdf#page=4","Abrir facsímil")</f>
        <v>Abrir facsímil</v>
      </c>
      <c r="K9903" s="10" t="s">
        <v>24</v>
      </c>
    </row>
    <row r="9904" spans="1:11" ht="54" customHeight="1">
      <c r="A9904" s="9" t="s">
        <v>20726</v>
      </c>
      <c r="B9904" s="9" t="s">
        <v>20726</v>
      </c>
      <c r="C9904" s="9" t="s">
        <v>122</v>
      </c>
      <c r="D9904" s="9" t="s">
        <v>18</v>
      </c>
      <c r="E9904" s="10" t="s">
        <v>3225</v>
      </c>
      <c r="F9904" s="9" t="s">
        <v>3226</v>
      </c>
      <c r="G9904" s="10" t="s">
        <v>75</v>
      </c>
      <c r="H9904" s="9" t="s">
        <v>22</v>
      </c>
      <c r="I9904" s="9" t="s">
        <v>20727</v>
      </c>
      <c r="J9904" s="10" t="str">
        <f>HYPERLINK("https://www.boe.es/gazeta/dias/1834/08/22/pdfs/GMD-1834-188.pdf#page=4","Abrir facsímil")</f>
        <v>Abrir facsímil</v>
      </c>
      <c r="K9904" s="10" t="s">
        <v>24</v>
      </c>
    </row>
    <row r="9905" spans="1:11" ht="54" customHeight="1">
      <c r="A9905" s="9" t="s">
        <v>20726</v>
      </c>
      <c r="B9905" s="9" t="s">
        <v>20726</v>
      </c>
      <c r="C9905" s="9" t="s">
        <v>17</v>
      </c>
      <c r="D9905" s="9" t="s">
        <v>40</v>
      </c>
      <c r="E9905" s="10" t="s">
        <v>606</v>
      </c>
      <c r="F9905" s="9" t="s">
        <v>607</v>
      </c>
      <c r="G9905" s="10" t="s">
        <v>86</v>
      </c>
      <c r="H9905" s="9" t="s">
        <v>22</v>
      </c>
      <c r="I9905" s="9" t="s">
        <v>20728</v>
      </c>
      <c r="J9905" s="10" t="str">
        <f>HYPERLINK("https://www.boe.es/gazeta/dias/1834/06/23/pdfs/GMD-1834-126.pdf#page=2","Abrir facsímil")</f>
        <v>Abrir facsímil</v>
      </c>
      <c r="K9905" s="10" t="s">
        <v>24</v>
      </c>
    </row>
    <row r="9906" spans="1:11" ht="54" customHeight="1">
      <c r="A9906" s="9" t="s">
        <v>20726</v>
      </c>
      <c r="B9906" s="9" t="s">
        <v>20726</v>
      </c>
      <c r="C9906" s="9" t="s">
        <v>17</v>
      </c>
      <c r="D9906" s="9" t="s">
        <v>18</v>
      </c>
      <c r="E9906" s="10" t="s">
        <v>128</v>
      </c>
      <c r="F9906" s="9" t="s">
        <v>1068</v>
      </c>
      <c r="G9906" s="10" t="s">
        <v>75</v>
      </c>
      <c r="H9906" s="9" t="s">
        <v>22</v>
      </c>
      <c r="I9906" s="9" t="s">
        <v>20729</v>
      </c>
      <c r="J9906" s="10" t="str">
        <f>HYPERLINK("https://www.boe.es/gazeta/dias/1834/12/24/pdfs/GMD-1834-314.pdf#page=4","Abrir facsímil")</f>
        <v>Abrir facsímil</v>
      </c>
      <c r="K9906" s="10" t="s">
        <v>24</v>
      </c>
    </row>
    <row r="9907" spans="1:11" ht="54" customHeight="1">
      <c r="A9907" s="9" t="s">
        <v>20726</v>
      </c>
      <c r="B9907" s="9" t="s">
        <v>20726</v>
      </c>
      <c r="C9907" s="9" t="s">
        <v>17</v>
      </c>
      <c r="D9907" s="9" t="s">
        <v>40</v>
      </c>
      <c r="E9907" s="10" t="s">
        <v>1922</v>
      </c>
      <c r="F9907" s="9" t="s">
        <v>1923</v>
      </c>
      <c r="G9907" s="10" t="s">
        <v>176</v>
      </c>
      <c r="H9907" s="9" t="s">
        <v>22</v>
      </c>
      <c r="I9907" s="9" t="s">
        <v>20730</v>
      </c>
      <c r="J9907" s="10" t="str">
        <f>HYPERLINK("https://www.boe.es/gazeta/dias/1834/02/25/pdfs/GMD-1834-25.pdf#page=6","Abrir facsímil")</f>
        <v>Abrir facsímil</v>
      </c>
      <c r="K9907" s="10" t="s">
        <v>24</v>
      </c>
    </row>
    <row r="9908" spans="1:11" ht="54" customHeight="1">
      <c r="A9908" s="9" t="s">
        <v>20731</v>
      </c>
      <c r="B9908" s="9" t="s">
        <v>20732</v>
      </c>
      <c r="C9908" s="9" t="s">
        <v>17</v>
      </c>
      <c r="D9908" s="9" t="s">
        <v>40</v>
      </c>
      <c r="E9908" s="10" t="s">
        <v>1922</v>
      </c>
      <c r="F9908" s="9" t="s">
        <v>1923</v>
      </c>
      <c r="G9908" s="10" t="s">
        <v>176</v>
      </c>
      <c r="H9908" s="9" t="s">
        <v>22</v>
      </c>
      <c r="I9908" s="9" t="s">
        <v>20733</v>
      </c>
      <c r="J9908" s="10" t="str">
        <f>HYPERLINK("https://www.boe.es/gazeta/dias/1834/02/25/pdfs/GMD-1834-25.pdf#page=6","Abrir facsímil")</f>
        <v>Abrir facsímil</v>
      </c>
      <c r="K9908" s="10" t="s">
        <v>24</v>
      </c>
    </row>
    <row r="9909" spans="1:11" ht="54" customHeight="1">
      <c r="A9909" s="9" t="s">
        <v>20734</v>
      </c>
      <c r="B9909" s="9" t="s">
        <v>20735</v>
      </c>
      <c r="C9909" s="9" t="s">
        <v>17</v>
      </c>
      <c r="D9909" s="9" t="s">
        <v>18</v>
      </c>
      <c r="E9909" s="10" t="s">
        <v>642</v>
      </c>
      <c r="F9909" s="9" t="s">
        <v>643</v>
      </c>
      <c r="G9909" s="10" t="s">
        <v>28</v>
      </c>
      <c r="H9909" s="9" t="s">
        <v>22</v>
      </c>
      <c r="I9909" s="9" t="s">
        <v>20736</v>
      </c>
      <c r="J9909" s="10" t="str">
        <f>HYPERLINK("https://www.boe.es/gazeta/dias/1834/11/12/pdfs/GMD-C-1834-271.pdf#page=5","Abrir facsímil")</f>
        <v>Abrir facsímil</v>
      </c>
      <c r="K9909" s="10" t="s">
        <v>24</v>
      </c>
    </row>
    <row r="9910" spans="1:11" ht="54" customHeight="1">
      <c r="A9910" s="9" t="s">
        <v>20737</v>
      </c>
      <c r="B9910" s="9" t="s">
        <v>20737</v>
      </c>
      <c r="C9910" s="9" t="s">
        <v>66</v>
      </c>
      <c r="D9910" s="9" t="s">
        <v>67</v>
      </c>
      <c r="E9910" s="10" t="s">
        <v>2278</v>
      </c>
      <c r="F9910" s="9" t="s">
        <v>3088</v>
      </c>
      <c r="G9910" s="10" t="s">
        <v>21</v>
      </c>
      <c r="H9910" s="9" t="s">
        <v>22</v>
      </c>
      <c r="I9910" s="9" t="s">
        <v>20738</v>
      </c>
      <c r="J9910" s="10" t="str">
        <f>HYPERLINK("https://www.boe.es/gazeta/dias/1834/12/17/pdfs/GMD-1834-306.pdf#page=3","Abrir facsímil")</f>
        <v>Abrir facsímil</v>
      </c>
      <c r="K9910" s="10" t="s">
        <v>24</v>
      </c>
    </row>
    <row r="9911" spans="1:11" ht="54" customHeight="1">
      <c r="A9911" s="9" t="s">
        <v>20739</v>
      </c>
      <c r="B9911" s="9" t="s">
        <v>20739</v>
      </c>
      <c r="C9911" s="9" t="s">
        <v>17</v>
      </c>
      <c r="D9911" s="9" t="s">
        <v>18</v>
      </c>
      <c r="E9911" s="10" t="s">
        <v>273</v>
      </c>
      <c r="F9911" s="9" t="s">
        <v>274</v>
      </c>
      <c r="G9911" s="10" t="s">
        <v>75</v>
      </c>
      <c r="H9911" s="9" t="s">
        <v>22</v>
      </c>
      <c r="I9911" s="9" t="s">
        <v>20740</v>
      </c>
      <c r="J9911" s="10" t="str">
        <f>HYPERLINK("https://www.boe.es/gazeta/dias/1834/08/31/pdfs/GMD-D-1834-198.pdf#page=4","Abrir facsímil")</f>
        <v>Abrir facsímil</v>
      </c>
      <c r="K9911" s="10" t="s">
        <v>24</v>
      </c>
    </row>
    <row r="9912" spans="1:11" ht="54" customHeight="1">
      <c r="A9912" s="9" t="s">
        <v>20741</v>
      </c>
      <c r="B9912" s="9" t="s">
        <v>20742</v>
      </c>
      <c r="C9912" s="9" t="s">
        <v>122</v>
      </c>
      <c r="D9912" s="9" t="s">
        <v>18</v>
      </c>
      <c r="E9912" s="10" t="s">
        <v>143</v>
      </c>
      <c r="F9912" s="9" t="s">
        <v>144</v>
      </c>
      <c r="G9912" s="10" t="s">
        <v>21</v>
      </c>
      <c r="H9912" s="9" t="s">
        <v>22</v>
      </c>
      <c r="I9912" s="9" t="s">
        <v>20743</v>
      </c>
      <c r="J9912" s="10" t="str">
        <f>HYPERLINK("https://www.boe.es/gazeta/dias/1834/07/31/pdfs/GMD-1834-164.pdf#page=3","Abrir facsímil")</f>
        <v>Abrir facsímil</v>
      </c>
      <c r="K9912" s="10" t="s">
        <v>24</v>
      </c>
    </row>
    <row r="9913" spans="1:11" ht="54" customHeight="1">
      <c r="A9913" s="9" t="s">
        <v>20744</v>
      </c>
      <c r="B9913" s="9" t="s">
        <v>20745</v>
      </c>
      <c r="C9913" s="9" t="s">
        <v>17</v>
      </c>
      <c r="D9913" s="9" t="s">
        <v>40</v>
      </c>
      <c r="E9913" s="10" t="s">
        <v>1365</v>
      </c>
      <c r="F9913" s="9" t="s">
        <v>1366</v>
      </c>
      <c r="G9913" s="10" t="s">
        <v>75</v>
      </c>
      <c r="H9913" s="9" t="s">
        <v>22</v>
      </c>
      <c r="I9913" s="9" t="s">
        <v>20746</v>
      </c>
      <c r="J9913" s="10" t="str">
        <f>HYPERLINK("https://www.boe.es/gazeta/dias/1834/06/20/pdfs/GMD-1834-123.pdf#page=4","Abrir facsímil")</f>
        <v>Abrir facsímil</v>
      </c>
      <c r="K9913" s="10" t="s">
        <v>24</v>
      </c>
    </row>
    <row r="9914" spans="1:11" ht="54" customHeight="1">
      <c r="A9914" s="9" t="s">
        <v>20747</v>
      </c>
      <c r="B9914" s="9" t="s">
        <v>20748</v>
      </c>
      <c r="C9914" s="9" t="s">
        <v>17</v>
      </c>
      <c r="D9914" s="9" t="s">
        <v>18</v>
      </c>
      <c r="E9914" s="10" t="s">
        <v>265</v>
      </c>
      <c r="F9914" s="9" t="s">
        <v>969</v>
      </c>
      <c r="G9914" s="10" t="s">
        <v>86</v>
      </c>
      <c r="H9914" s="9" t="s">
        <v>22</v>
      </c>
      <c r="I9914" s="9" t="s">
        <v>20749</v>
      </c>
      <c r="J9914" s="10" t="str">
        <f>HYPERLINK("https://www.boe.es/gazeta/dias/1834/11/19/pdfs/GMD-1834-278.pdf#page=2","Abrir facsímil")</f>
        <v>Abrir facsímil</v>
      </c>
      <c r="K9914" s="10" t="s">
        <v>24</v>
      </c>
    </row>
    <row r="9915" spans="1:11" ht="54" customHeight="1">
      <c r="A9915" s="9" t="s">
        <v>20750</v>
      </c>
      <c r="B9915" s="9" t="s">
        <v>20751</v>
      </c>
      <c r="C9915" s="9" t="s">
        <v>122</v>
      </c>
      <c r="D9915" s="9" t="s">
        <v>18</v>
      </c>
      <c r="E9915" s="10" t="s">
        <v>102</v>
      </c>
      <c r="F9915" s="9" t="s">
        <v>103</v>
      </c>
      <c r="G9915" s="10" t="s">
        <v>21</v>
      </c>
      <c r="H9915" s="9" t="s">
        <v>22</v>
      </c>
      <c r="I9915" s="9" t="s">
        <v>20752</v>
      </c>
      <c r="J9915" s="10" t="str">
        <f>HYPERLINK("https://www.boe.es/gazeta/dias/1834/07/19/pdfs/GMD-1834-152.pdf#page=3","Abrir facsímil")</f>
        <v>Abrir facsímil</v>
      </c>
      <c r="K9915" s="10" t="s">
        <v>24</v>
      </c>
    </row>
    <row r="9916" spans="1:11" ht="54" customHeight="1">
      <c r="A9916" s="9" t="s">
        <v>20753</v>
      </c>
      <c r="B9916" s="9" t="s">
        <v>20754</v>
      </c>
      <c r="C9916" s="9" t="s">
        <v>66</v>
      </c>
      <c r="D9916" s="9" t="s">
        <v>67</v>
      </c>
      <c r="E9916" s="10" t="s">
        <v>3810</v>
      </c>
      <c r="F9916" s="9" t="s">
        <v>3811</v>
      </c>
      <c r="G9916" s="10" t="s">
        <v>21</v>
      </c>
      <c r="H9916" s="9" t="s">
        <v>22</v>
      </c>
      <c r="I9916" s="9" t="s">
        <v>20755</v>
      </c>
      <c r="J9916" s="10" t="str">
        <f>HYPERLINK("https://www.boe.es/gazeta/dias/1834/02/20/pdfs/GMD-1834-23.pdf#page=3","Abrir facsímil")</f>
        <v>Abrir facsímil</v>
      </c>
      <c r="K9916" s="10" t="s">
        <v>24</v>
      </c>
    </row>
    <row r="9917" spans="1:11" ht="54" customHeight="1">
      <c r="A9917" s="9" t="s">
        <v>20756</v>
      </c>
      <c r="B9917" s="9" t="s">
        <v>20757</v>
      </c>
      <c r="C9917" s="9" t="s">
        <v>46</v>
      </c>
      <c r="D9917" s="9" t="s">
        <v>101</v>
      </c>
      <c r="E9917" s="10" t="s">
        <v>1234</v>
      </c>
      <c r="F9917" s="9" t="s">
        <v>1455</v>
      </c>
      <c r="G9917" s="10" t="s">
        <v>21</v>
      </c>
      <c r="H9917" s="9" t="s">
        <v>22</v>
      </c>
      <c r="I9917" s="9" t="s">
        <v>20758</v>
      </c>
      <c r="J9917" s="10" t="str">
        <f>HYPERLINK("https://www.boe.es/gazeta/dias/1834/05/15/pdfs/GMD-1834-84.pdf#page=3","Abrir facsímil")</f>
        <v>Abrir facsímil</v>
      </c>
      <c r="K9917" s="10" t="s">
        <v>24</v>
      </c>
    </row>
    <row r="9918" spans="1:11" ht="54" customHeight="1">
      <c r="A9918" s="9" t="s">
        <v>20759</v>
      </c>
      <c r="B9918" s="9" t="s">
        <v>20759</v>
      </c>
      <c r="C9918" s="9" t="s">
        <v>17</v>
      </c>
      <c r="D9918" s="9" t="s">
        <v>18</v>
      </c>
      <c r="E9918" s="10" t="s">
        <v>1922</v>
      </c>
      <c r="F9918" s="9" t="s">
        <v>1923</v>
      </c>
      <c r="G9918" s="10" t="s">
        <v>176</v>
      </c>
      <c r="H9918" s="9" t="s">
        <v>22</v>
      </c>
      <c r="I9918" s="9" t="s">
        <v>20760</v>
      </c>
      <c r="J9918" s="10" t="str">
        <f>HYPERLINK("https://www.boe.es/gazeta/dias/1834/02/25/pdfs/GMD-1834-25.pdf#page=6","Abrir facsímil")</f>
        <v>Abrir facsímil</v>
      </c>
      <c r="K9918" s="10" t="s">
        <v>24</v>
      </c>
    </row>
    <row r="9919" spans="1:11" ht="54" customHeight="1">
      <c r="A9919" s="9" t="s">
        <v>20761</v>
      </c>
      <c r="B9919" s="9" t="s">
        <v>20761</v>
      </c>
      <c r="C9919" s="9" t="s">
        <v>17</v>
      </c>
      <c r="D9919" s="9" t="s">
        <v>18</v>
      </c>
      <c r="E9919" s="10" t="s">
        <v>653</v>
      </c>
      <c r="F9919" s="9" t="s">
        <v>3369</v>
      </c>
      <c r="G9919" s="10" t="s">
        <v>86</v>
      </c>
      <c r="H9919" s="9" t="s">
        <v>22</v>
      </c>
      <c r="I9919" s="9" t="s">
        <v>20762</v>
      </c>
      <c r="J9919" s="10" t="str">
        <f>HYPERLINK("https://www.boe.es/gazeta/dias/1834/08/06/pdfs/GMD-1834-170.pdf#page=2","Abrir facsímil")</f>
        <v>Abrir facsímil</v>
      </c>
      <c r="K9919" s="10" t="s">
        <v>24</v>
      </c>
    </row>
    <row r="9920" spans="1:11" ht="54" customHeight="1">
      <c r="A9920" s="9" t="s">
        <v>20763</v>
      </c>
      <c r="B9920" s="9" t="s">
        <v>20763</v>
      </c>
      <c r="C9920" s="9" t="s">
        <v>17</v>
      </c>
      <c r="D9920" s="9" t="s">
        <v>18</v>
      </c>
      <c r="E9920" s="10" t="s">
        <v>262</v>
      </c>
      <c r="F9920" s="9" t="s">
        <v>263</v>
      </c>
      <c r="G9920" s="10" t="s">
        <v>28</v>
      </c>
      <c r="H9920" s="9" t="s">
        <v>22</v>
      </c>
      <c r="I9920" s="9" t="s">
        <v>20764</v>
      </c>
      <c r="J9920" s="10" t="str">
        <f>HYPERLINK("https://www.boe.es/gazeta/dias/1834/10/18/pdfs/GMD-C-1834-246.pdf#page=5","Abrir facsímil")</f>
        <v>Abrir facsímil</v>
      </c>
      <c r="K9920" s="10" t="s">
        <v>24</v>
      </c>
    </row>
    <row r="9921" spans="1:11" ht="54" customHeight="1">
      <c r="A9921" s="9" t="s">
        <v>20765</v>
      </c>
      <c r="B9921" s="9" t="s">
        <v>20765</v>
      </c>
      <c r="C9921" s="9" t="s">
        <v>17</v>
      </c>
      <c r="D9921" s="9" t="s">
        <v>18</v>
      </c>
      <c r="E9921" s="10" t="s">
        <v>899</v>
      </c>
      <c r="F9921" s="9" t="s">
        <v>900</v>
      </c>
      <c r="G9921" s="10" t="s">
        <v>470</v>
      </c>
      <c r="H9921" s="9" t="s">
        <v>22</v>
      </c>
      <c r="I9921" s="9" t="s">
        <v>20766</v>
      </c>
      <c r="J9921" s="10" t="str">
        <f>HYPERLINK("https://www.boe.es/gazeta/dias/1834/01/30/pdfs/GMD-1834-14.pdf#page=8","Abrir facsímil")</f>
        <v>Abrir facsímil</v>
      </c>
      <c r="K9921" s="10" t="s">
        <v>24</v>
      </c>
    </row>
    <row r="9922" spans="1:11" ht="54" customHeight="1">
      <c r="A9922" s="9" t="s">
        <v>20767</v>
      </c>
      <c r="B9922" s="9" t="s">
        <v>20768</v>
      </c>
      <c r="C9922" s="9" t="s">
        <v>17</v>
      </c>
      <c r="D9922" s="9" t="s">
        <v>18</v>
      </c>
      <c r="E9922" s="10" t="s">
        <v>2153</v>
      </c>
      <c r="F9922" s="9" t="s">
        <v>2154</v>
      </c>
      <c r="G9922" s="10" t="s">
        <v>21</v>
      </c>
      <c r="H9922" s="9" t="s">
        <v>22</v>
      </c>
      <c r="I9922" s="9" t="s">
        <v>20769</v>
      </c>
      <c r="J9922" s="10" t="str">
        <f>HYPERLINK("https://www.boe.es/gazeta/dias/1834/01/23/pdfs/GMD-1834-11.pdf#page=3","Abrir facsímil")</f>
        <v>Abrir facsímil</v>
      </c>
      <c r="K9922" s="10" t="s">
        <v>24</v>
      </c>
    </row>
    <row r="9923" spans="1:11" ht="54" customHeight="1">
      <c r="A9923" s="9" t="s">
        <v>20770</v>
      </c>
      <c r="B9923" s="9" t="s">
        <v>20771</v>
      </c>
      <c r="C9923" s="9" t="s">
        <v>17</v>
      </c>
      <c r="D9923" s="9" t="s">
        <v>18</v>
      </c>
      <c r="E9923" s="10" t="s">
        <v>19</v>
      </c>
      <c r="F9923" s="9" t="s">
        <v>107</v>
      </c>
      <c r="G9923" s="10" t="s">
        <v>75</v>
      </c>
      <c r="H9923" s="9" t="s">
        <v>22</v>
      </c>
      <c r="I9923" s="9" t="s">
        <v>20772</v>
      </c>
      <c r="J9923" s="10" t="str">
        <f>HYPERLINK("https://www.boe.es/gazeta/dias/1834/08/17/pdfs/GMD-1834-182.pdf#page=4","Abrir facsímil")</f>
        <v>Abrir facsímil</v>
      </c>
      <c r="K9923" s="10" t="s">
        <v>24</v>
      </c>
    </row>
    <row r="9924" spans="1:11" ht="54" customHeight="1">
      <c r="A9924" s="9" t="s">
        <v>20773</v>
      </c>
      <c r="B9924" s="9" t="s">
        <v>20773</v>
      </c>
      <c r="C9924" s="9" t="s">
        <v>122</v>
      </c>
      <c r="D9924" s="9" t="s">
        <v>18</v>
      </c>
      <c r="E9924" s="10" t="s">
        <v>1141</v>
      </c>
      <c r="F9924" s="9" t="s">
        <v>1142</v>
      </c>
      <c r="G9924" s="10" t="s">
        <v>21</v>
      </c>
      <c r="H9924" s="9" t="s">
        <v>22</v>
      </c>
      <c r="I9924" s="9" t="s">
        <v>20774</v>
      </c>
      <c r="J9924" s="10" t="str">
        <f>HYPERLINK("https://www.boe.es/gazeta/dias/1834/04/30/pdfs/GMD-1834-69.pdf#page=3","Abrir facsímil")</f>
        <v>Abrir facsímil</v>
      </c>
      <c r="K9924" s="10" t="s">
        <v>24</v>
      </c>
    </row>
    <row r="9925" spans="1:11" ht="54" customHeight="1">
      <c r="A9925" s="9" t="s">
        <v>20775</v>
      </c>
      <c r="B9925" s="9" t="s">
        <v>20776</v>
      </c>
      <c r="C9925" s="9" t="s">
        <v>46</v>
      </c>
      <c r="D9925" s="9" t="s">
        <v>101</v>
      </c>
      <c r="E9925" s="10" t="s">
        <v>1017</v>
      </c>
      <c r="F9925" s="9" t="s">
        <v>1018</v>
      </c>
      <c r="G9925" s="10" t="s">
        <v>86</v>
      </c>
      <c r="H9925" s="9" t="s">
        <v>22</v>
      </c>
      <c r="I9925" s="9" t="s">
        <v>20777</v>
      </c>
      <c r="J9925" s="10" t="str">
        <f>HYPERLINK("https://www.boe.es/gazeta/dias/1834/07/24/pdfs/GMD-1834-157.pdf#page=2","Abrir facsímil")</f>
        <v>Abrir facsímil</v>
      </c>
      <c r="K9925" s="10" t="s">
        <v>24</v>
      </c>
    </row>
    <row r="9926" spans="1:11" ht="54" customHeight="1">
      <c r="A9926" s="9" t="s">
        <v>20778</v>
      </c>
      <c r="B9926" s="9" t="s">
        <v>20778</v>
      </c>
      <c r="C9926" s="9" t="s">
        <v>17</v>
      </c>
      <c r="D9926" s="9" t="s">
        <v>18</v>
      </c>
      <c r="E9926" s="10" t="s">
        <v>633</v>
      </c>
      <c r="F9926" s="9" t="s">
        <v>634</v>
      </c>
      <c r="G9926" s="10" t="s">
        <v>21</v>
      </c>
      <c r="H9926" s="9" t="s">
        <v>22</v>
      </c>
      <c r="I9926" s="9" t="s">
        <v>20779</v>
      </c>
      <c r="J9926" s="10" t="str">
        <f>HYPERLINK("https://www.boe.es/gazeta/dias/1834/10/24/pdfs/GMD-1834-252.pdf#page=3","Abrir facsímil")</f>
        <v>Abrir facsímil</v>
      </c>
      <c r="K9926" s="10" t="s">
        <v>24</v>
      </c>
    </row>
    <row r="9927" spans="1:11" ht="54" customHeight="1">
      <c r="A9927" s="9" t="s">
        <v>20780</v>
      </c>
      <c r="B9927" s="9" t="s">
        <v>20780</v>
      </c>
      <c r="C9927" s="9" t="s">
        <v>17</v>
      </c>
      <c r="D9927" s="9" t="s">
        <v>18</v>
      </c>
      <c r="E9927" s="10" t="s">
        <v>627</v>
      </c>
      <c r="F9927" s="9" t="s">
        <v>628</v>
      </c>
      <c r="G9927" s="10" t="s">
        <v>34</v>
      </c>
      <c r="H9927" s="9" t="s">
        <v>22</v>
      </c>
      <c r="I9927" s="9" t="s">
        <v>20781</v>
      </c>
      <c r="J9927" s="10" t="str">
        <f>HYPERLINK("https://www.boe.es/gazeta/dias/1834/09/22/pdfs/GMD-C-1834-220.pdf#page=1","Abrir facsímil")</f>
        <v>Abrir facsímil</v>
      </c>
      <c r="K9927" s="10" t="s">
        <v>24</v>
      </c>
    </row>
    <row r="9928" spans="1:11" ht="54" customHeight="1">
      <c r="A9928" s="9" t="s">
        <v>20782</v>
      </c>
      <c r="B9928" s="9" t="s">
        <v>20783</v>
      </c>
      <c r="C9928" s="9" t="s">
        <v>17</v>
      </c>
      <c r="D9928" s="9" t="s">
        <v>18</v>
      </c>
      <c r="E9928" s="10" t="s">
        <v>627</v>
      </c>
      <c r="F9928" s="9" t="s">
        <v>628</v>
      </c>
      <c r="G9928" s="10" t="s">
        <v>34</v>
      </c>
      <c r="H9928" s="9" t="s">
        <v>22</v>
      </c>
      <c r="I9928" s="9" t="s">
        <v>20784</v>
      </c>
      <c r="J9928" s="10" t="str">
        <f>HYPERLINK("https://www.boe.es/gazeta/dias/1834/09/22/pdfs/GMD-C-1834-220.pdf#page=1","Abrir facsímil")</f>
        <v>Abrir facsímil</v>
      </c>
      <c r="K9928" s="10" t="s">
        <v>24</v>
      </c>
    </row>
    <row r="9929" spans="1:11" ht="54" customHeight="1">
      <c r="A9929" s="9" t="s">
        <v>20785</v>
      </c>
      <c r="B9929" s="9" t="s">
        <v>20786</v>
      </c>
      <c r="C9929" s="9" t="s">
        <v>122</v>
      </c>
      <c r="D9929" s="9" t="s">
        <v>18</v>
      </c>
      <c r="E9929" s="10" t="s">
        <v>637</v>
      </c>
      <c r="F9929" s="9" t="s">
        <v>638</v>
      </c>
      <c r="G9929" s="10" t="s">
        <v>34</v>
      </c>
      <c r="H9929" s="9" t="s">
        <v>22</v>
      </c>
      <c r="I9929" s="9" t="s">
        <v>20787</v>
      </c>
      <c r="J9929" s="10" t="str">
        <f>HYPERLINK("https://www.boe.es/gazeta/dias/1834/06/03/pdfs/I00469-00470.pdf#page=1","Abrir facsímil")</f>
        <v>Abrir facsímil</v>
      </c>
      <c r="K9929" s="10" t="s">
        <v>24</v>
      </c>
    </row>
    <row r="9930" spans="1:11" ht="54" customHeight="1">
      <c r="A9930" s="9" t="s">
        <v>20785</v>
      </c>
      <c r="B9930" s="9" t="s">
        <v>20786</v>
      </c>
      <c r="C9930" s="9" t="s">
        <v>122</v>
      </c>
      <c r="D9930" s="9" t="s">
        <v>18</v>
      </c>
      <c r="E9930" s="10" t="s">
        <v>637</v>
      </c>
      <c r="F9930" s="9" t="s">
        <v>638</v>
      </c>
      <c r="G9930" s="10" t="s">
        <v>21</v>
      </c>
      <c r="H9930" s="9" t="s">
        <v>22</v>
      </c>
      <c r="I9930" s="9" t="s">
        <v>20788</v>
      </c>
      <c r="J9930" s="10" t="str">
        <f>HYPERLINK("https://www.boe.es/gazeta/dias/1834/06/03/pdfs/GMD-1834-105.pdf#page=3","Abrir facsímil")</f>
        <v>Abrir facsímil</v>
      </c>
      <c r="K9930" s="10" t="s">
        <v>24</v>
      </c>
    </row>
    <row r="9931" spans="1:11" ht="54" customHeight="1">
      <c r="A9931" s="9" t="s">
        <v>20789</v>
      </c>
      <c r="B9931" s="9" t="s">
        <v>20790</v>
      </c>
      <c r="C9931" s="9" t="s">
        <v>122</v>
      </c>
      <c r="D9931" s="9" t="s">
        <v>18</v>
      </c>
      <c r="E9931" s="10" t="s">
        <v>637</v>
      </c>
      <c r="F9931" s="9" t="s">
        <v>638</v>
      </c>
      <c r="G9931" s="10" t="s">
        <v>34</v>
      </c>
      <c r="H9931" s="9" t="s">
        <v>22</v>
      </c>
      <c r="I9931" s="9" t="s">
        <v>20791</v>
      </c>
      <c r="J9931" s="10" t="str">
        <f>HYPERLINK("https://www.boe.es/gazeta/dias/1834/06/03/pdfs/I00469-00470.pdf#page=1","Abrir facsímil")</f>
        <v>Abrir facsímil</v>
      </c>
      <c r="K9931" s="10" t="s">
        <v>24</v>
      </c>
    </row>
    <row r="9932" spans="1:11" ht="54" customHeight="1">
      <c r="A9932" s="9" t="s">
        <v>20789</v>
      </c>
      <c r="B9932" s="9" t="s">
        <v>20790</v>
      </c>
      <c r="C9932" s="9" t="s">
        <v>122</v>
      </c>
      <c r="D9932" s="9" t="s">
        <v>18</v>
      </c>
      <c r="E9932" s="10" t="s">
        <v>637</v>
      </c>
      <c r="F9932" s="9" t="s">
        <v>638</v>
      </c>
      <c r="G9932" s="10" t="s">
        <v>21</v>
      </c>
      <c r="H9932" s="9" t="s">
        <v>22</v>
      </c>
      <c r="I9932" s="9" t="s">
        <v>20792</v>
      </c>
      <c r="J9932" s="10" t="str">
        <f>HYPERLINK("https://www.boe.es/gazeta/dias/1834/06/03/pdfs/GMD-1834-105.pdf#page=3","Abrir facsímil")</f>
        <v>Abrir facsímil</v>
      </c>
      <c r="K9932" s="10" t="s">
        <v>24</v>
      </c>
    </row>
    <row r="9933" spans="1:11" ht="54" customHeight="1">
      <c r="A9933" s="9" t="s">
        <v>20793</v>
      </c>
      <c r="B9933" s="9" t="s">
        <v>20794</v>
      </c>
      <c r="C9933" s="9" t="s">
        <v>17</v>
      </c>
      <c r="D9933" s="9" t="s">
        <v>18</v>
      </c>
      <c r="E9933" s="10" t="s">
        <v>334</v>
      </c>
      <c r="F9933" s="9" t="s">
        <v>567</v>
      </c>
      <c r="G9933" s="10" t="s">
        <v>75</v>
      </c>
      <c r="H9933" s="9" t="s">
        <v>22</v>
      </c>
      <c r="I9933" s="9" t="s">
        <v>20795</v>
      </c>
      <c r="J9933" s="10" t="str">
        <f>HYPERLINK("https://www.boe.es/gazeta/dias/1834/09/11/pdfs/GMD-1834-209.pdf#page=4","Abrir facsímil")</f>
        <v>Abrir facsímil</v>
      </c>
      <c r="K9933" s="10" t="s">
        <v>24</v>
      </c>
    </row>
    <row r="9934" spans="1:11" ht="54" customHeight="1">
      <c r="A9934" s="9" t="s">
        <v>20796</v>
      </c>
      <c r="B9934" s="9" t="s">
        <v>20797</v>
      </c>
      <c r="C9934" s="9" t="s">
        <v>66</v>
      </c>
      <c r="D9934" s="9" t="s">
        <v>18</v>
      </c>
      <c r="E9934" s="10" t="s">
        <v>1918</v>
      </c>
      <c r="F9934" s="9" t="s">
        <v>2024</v>
      </c>
      <c r="G9934" s="10" t="s">
        <v>86</v>
      </c>
      <c r="H9934" s="9" t="s">
        <v>22</v>
      </c>
      <c r="I9934" s="9" t="s">
        <v>20798</v>
      </c>
      <c r="J9934" s="10" t="str">
        <f>HYPERLINK("https://www.boe.es/gazeta/dias/1834/03/22/pdfs/GMD-C-1834-36.pdf#page=2","Abrir facsímil")</f>
        <v>Abrir facsímil</v>
      </c>
      <c r="K9934" s="10" t="s">
        <v>24</v>
      </c>
    </row>
    <row r="9935" spans="1:11" ht="54" customHeight="1">
      <c r="A9935" s="9" t="s">
        <v>20799</v>
      </c>
      <c r="B9935" s="9" t="s">
        <v>20800</v>
      </c>
      <c r="C9935" s="9" t="s">
        <v>17</v>
      </c>
      <c r="D9935" s="9" t="s">
        <v>18</v>
      </c>
      <c r="E9935" s="10" t="s">
        <v>454</v>
      </c>
      <c r="F9935" s="9" t="s">
        <v>455</v>
      </c>
      <c r="G9935" s="10" t="s">
        <v>34</v>
      </c>
      <c r="H9935" s="9" t="s">
        <v>22</v>
      </c>
      <c r="I9935" s="9" t="s">
        <v>20801</v>
      </c>
      <c r="J9935" s="10" t="str">
        <f>HYPERLINK("https://www.boe.es/gazeta/dias/1834/10/16/pdfs/GMD-C-1834-244.pdf#page=1","Abrir facsímil")</f>
        <v>Abrir facsímil</v>
      </c>
      <c r="K9935" s="10" t="s">
        <v>24</v>
      </c>
    </row>
    <row r="9936" spans="1:11" ht="54" customHeight="1">
      <c r="A9936" s="9" t="s">
        <v>20802</v>
      </c>
      <c r="B9936" s="9" t="s">
        <v>20803</v>
      </c>
      <c r="C9936" s="9" t="s">
        <v>46</v>
      </c>
      <c r="D9936" s="9" t="s">
        <v>101</v>
      </c>
      <c r="E9936" s="10" t="s">
        <v>3810</v>
      </c>
      <c r="F9936" s="9" t="s">
        <v>3811</v>
      </c>
      <c r="G9936" s="10" t="s">
        <v>34</v>
      </c>
      <c r="H9936" s="9" t="s">
        <v>35</v>
      </c>
      <c r="I9936" s="9" t="s">
        <v>20804</v>
      </c>
      <c r="J9936" s="10" t="str">
        <f>HYPERLINK("https://www.boe.es/gazeta/dias/1834/02/20/pdfs/GMD-1834-23.pdf#page=1","Abrir facsímil")</f>
        <v>Abrir facsímil</v>
      </c>
      <c r="K9936" s="10" t="s">
        <v>37</v>
      </c>
    </row>
    <row r="9937" spans="1:11" ht="54" customHeight="1">
      <c r="A9937" s="9" t="s">
        <v>20805</v>
      </c>
      <c r="B9937" s="9" t="s">
        <v>20806</v>
      </c>
      <c r="C9937" s="9" t="s">
        <v>46</v>
      </c>
      <c r="D9937" s="9" t="s">
        <v>101</v>
      </c>
      <c r="E9937" s="10" t="s">
        <v>3810</v>
      </c>
      <c r="F9937" s="9" t="s">
        <v>3811</v>
      </c>
      <c r="G9937" s="10" t="s">
        <v>34</v>
      </c>
      <c r="H9937" s="9" t="s">
        <v>22</v>
      </c>
      <c r="I9937" s="9" t="s">
        <v>20807</v>
      </c>
      <c r="J9937" s="10" t="str">
        <f>HYPERLINK("https://www.boe.es/gazeta/dias/1834/02/20/pdfs/GMD-1834-23.pdf#page=1","Abrir facsímil")</f>
        <v>Abrir facsímil</v>
      </c>
      <c r="K9937" s="10" t="s">
        <v>24</v>
      </c>
    </row>
    <row r="9938" spans="1:11" ht="54" customHeight="1">
      <c r="A9938" s="9" t="s">
        <v>20808</v>
      </c>
      <c r="B9938" s="9" t="s">
        <v>20809</v>
      </c>
      <c r="C9938" s="9" t="s">
        <v>17</v>
      </c>
      <c r="D9938" s="9" t="s">
        <v>18</v>
      </c>
      <c r="E9938" s="10" t="s">
        <v>1839</v>
      </c>
      <c r="F9938" s="9" t="s">
        <v>3598</v>
      </c>
      <c r="G9938" s="10" t="s">
        <v>21</v>
      </c>
      <c r="H9938" s="9" t="s">
        <v>22</v>
      </c>
      <c r="I9938" s="9" t="s">
        <v>20810</v>
      </c>
      <c r="J9938" s="10" t="str">
        <f>HYPERLINK("https://www.boe.es/gazeta/dias/1834/08/12/pdfs/GMD-1834-177.pdf#page=3","Abrir facsímil")</f>
        <v>Abrir facsímil</v>
      </c>
      <c r="K9938" s="10" t="s">
        <v>24</v>
      </c>
    </row>
    <row r="9939" spans="1:11" ht="54" customHeight="1">
      <c r="A9939" s="9" t="s">
        <v>20811</v>
      </c>
      <c r="B9939" s="9" t="s">
        <v>20812</v>
      </c>
      <c r="C9939" s="9" t="s">
        <v>17</v>
      </c>
      <c r="D9939" s="9" t="s">
        <v>18</v>
      </c>
      <c r="E9939" s="10" t="s">
        <v>642</v>
      </c>
      <c r="F9939" s="9" t="s">
        <v>643</v>
      </c>
      <c r="G9939" s="10" t="s">
        <v>34</v>
      </c>
      <c r="H9939" s="9" t="s">
        <v>22</v>
      </c>
      <c r="I9939" s="9" t="s">
        <v>20813</v>
      </c>
      <c r="J9939" s="10" t="str">
        <f>HYPERLINK("https://www.boe.es/gazeta/dias/1834/11/12/pdfs/GMD-C-1834-271.pdf#page=1","Abrir facsímil")</f>
        <v>Abrir facsímil</v>
      </c>
      <c r="K9939" s="10" t="s">
        <v>24</v>
      </c>
    </row>
    <row r="9940" spans="1:11" ht="54" customHeight="1">
      <c r="A9940" s="9" t="s">
        <v>20814</v>
      </c>
      <c r="B9940" s="9" t="s">
        <v>20815</v>
      </c>
      <c r="C9940" s="9" t="s">
        <v>17</v>
      </c>
      <c r="D9940" s="9" t="s">
        <v>18</v>
      </c>
      <c r="E9940" s="10" t="s">
        <v>1839</v>
      </c>
      <c r="F9940" s="9" t="s">
        <v>3598</v>
      </c>
      <c r="G9940" s="10" t="s">
        <v>21</v>
      </c>
      <c r="H9940" s="9" t="s">
        <v>35</v>
      </c>
      <c r="I9940" s="9" t="s">
        <v>20816</v>
      </c>
      <c r="J9940" s="10" t="str">
        <f>HYPERLINK("https://www.boe.es/gazeta/dias/1834/08/12/pdfs/GMD-1834-177.pdf#page=3","Abrir facsímil")</f>
        <v>Abrir facsímil</v>
      </c>
      <c r="K9940" s="10" t="s">
        <v>37</v>
      </c>
    </row>
    <row r="9941" spans="1:11" ht="54" customHeight="1">
      <c r="A9941" s="9" t="s">
        <v>20817</v>
      </c>
      <c r="B9941" s="9" t="s">
        <v>20818</v>
      </c>
      <c r="C9941" s="9" t="s">
        <v>17</v>
      </c>
      <c r="D9941" s="9" t="s">
        <v>18</v>
      </c>
      <c r="E9941" s="10" t="s">
        <v>5904</v>
      </c>
      <c r="F9941" s="9" t="s">
        <v>5905</v>
      </c>
      <c r="G9941" s="10" t="s">
        <v>21</v>
      </c>
      <c r="H9941" s="9" t="s">
        <v>22</v>
      </c>
      <c r="I9941" s="9" t="s">
        <v>20819</v>
      </c>
      <c r="J9941" s="10" t="str">
        <f>HYPERLINK("https://www.boe.es/gazeta/dias/1834/09/29/pdfs/GMD-1834-227.pdf#page=3","Abrir facsímil")</f>
        <v>Abrir facsímil</v>
      </c>
      <c r="K9941" s="10" t="s">
        <v>24</v>
      </c>
    </row>
    <row r="9942" spans="1:11" ht="54" customHeight="1">
      <c r="A9942" s="9" t="s">
        <v>20820</v>
      </c>
      <c r="B9942" s="9" t="s">
        <v>20820</v>
      </c>
      <c r="C9942" s="9" t="s">
        <v>17</v>
      </c>
      <c r="D9942" s="9" t="s">
        <v>18</v>
      </c>
      <c r="E9942" s="10" t="s">
        <v>1234</v>
      </c>
      <c r="F9942" s="9" t="s">
        <v>1455</v>
      </c>
      <c r="G9942" s="10" t="s">
        <v>21</v>
      </c>
      <c r="H9942" s="9" t="s">
        <v>22</v>
      </c>
      <c r="I9942" s="9" t="s">
        <v>20821</v>
      </c>
      <c r="J9942" s="10" t="str">
        <f>HYPERLINK("https://www.boe.es/gazeta/dias/1834/05/15/pdfs/GMD-1834-84.pdf#page=3","Abrir facsímil")</f>
        <v>Abrir facsímil</v>
      </c>
      <c r="K9942" s="10" t="s">
        <v>24</v>
      </c>
    </row>
    <row r="9943" spans="1:11" ht="54" customHeight="1">
      <c r="A9943" s="9" t="s">
        <v>20822</v>
      </c>
      <c r="B9943" s="9" t="s">
        <v>20823</v>
      </c>
      <c r="C9943" s="9" t="s">
        <v>17</v>
      </c>
      <c r="D9943" s="9" t="s">
        <v>18</v>
      </c>
      <c r="E9943" s="10" t="s">
        <v>1234</v>
      </c>
      <c r="F9943" s="9" t="s">
        <v>1455</v>
      </c>
      <c r="G9943" s="10" t="s">
        <v>21</v>
      </c>
      <c r="H9943" s="9" t="s">
        <v>35</v>
      </c>
      <c r="I9943" s="9" t="s">
        <v>20821</v>
      </c>
      <c r="J9943" s="10" t="str">
        <f>HYPERLINK("https://www.boe.es/gazeta/dias/1834/05/15/pdfs/GMD-1834-84.pdf#page=3","Abrir facsímil")</f>
        <v>Abrir facsímil</v>
      </c>
      <c r="K9943" s="10" t="s">
        <v>37</v>
      </c>
    </row>
    <row r="9944" spans="1:11" ht="54" customHeight="1">
      <c r="A9944" s="9" t="s">
        <v>20824</v>
      </c>
      <c r="B9944" s="9" t="s">
        <v>20824</v>
      </c>
      <c r="C9944" s="9" t="s">
        <v>17</v>
      </c>
      <c r="D9944" s="9" t="s">
        <v>18</v>
      </c>
      <c r="E9944" s="10" t="s">
        <v>408</v>
      </c>
      <c r="F9944" s="9" t="s">
        <v>409</v>
      </c>
      <c r="G9944" s="10" t="s">
        <v>75</v>
      </c>
      <c r="H9944" s="9" t="s">
        <v>22</v>
      </c>
      <c r="I9944" s="9" t="s">
        <v>20825</v>
      </c>
      <c r="J9944" s="10" t="str">
        <f>HYPERLINK("https://www.boe.es/gazeta/dias/1834/04/28/pdfs/GMD-1834-67.pdf#page=4","Abrir facsímil")</f>
        <v>Abrir facsímil</v>
      </c>
      <c r="K9944" s="10" t="s">
        <v>24</v>
      </c>
    </row>
    <row r="9945" spans="1:11" ht="54" customHeight="1">
      <c r="A9945" s="9" t="s">
        <v>20826</v>
      </c>
      <c r="B9945" s="9" t="s">
        <v>20826</v>
      </c>
      <c r="C9945" s="9" t="s">
        <v>17</v>
      </c>
      <c r="D9945" s="9" t="s">
        <v>18</v>
      </c>
      <c r="E9945" s="10" t="s">
        <v>1812</v>
      </c>
      <c r="F9945" s="9" t="s">
        <v>1813</v>
      </c>
      <c r="G9945" s="10" t="s">
        <v>21</v>
      </c>
      <c r="H9945" s="9" t="s">
        <v>22</v>
      </c>
      <c r="I9945" s="9" t="s">
        <v>20827</v>
      </c>
      <c r="J9945" s="10" t="str">
        <f>HYPERLINK("https://www.boe.es/gazeta/dias/1834/10/23/pdfs/GMD-1834-251.pdf#page=3","Abrir facsímil")</f>
        <v>Abrir facsímil</v>
      </c>
      <c r="K9945" s="10" t="s">
        <v>24</v>
      </c>
    </row>
    <row r="9946" spans="1:11" ht="54" customHeight="1">
      <c r="A9946" s="9" t="s">
        <v>20828</v>
      </c>
      <c r="B9946" s="9" t="s">
        <v>20829</v>
      </c>
      <c r="C9946" s="9" t="s">
        <v>17</v>
      </c>
      <c r="D9946" s="9" t="s">
        <v>18</v>
      </c>
      <c r="E9946" s="10" t="s">
        <v>1812</v>
      </c>
      <c r="F9946" s="9" t="s">
        <v>1813</v>
      </c>
      <c r="G9946" s="10" t="s">
        <v>21</v>
      </c>
      <c r="H9946" s="9" t="s">
        <v>35</v>
      </c>
      <c r="I9946" s="9" t="s">
        <v>20830</v>
      </c>
      <c r="J9946" s="10" t="str">
        <f>HYPERLINK("https://www.boe.es/gazeta/dias/1834/10/23/pdfs/GMD-1834-251.pdf#page=3","Abrir facsímil")</f>
        <v>Abrir facsímil</v>
      </c>
      <c r="K9946" s="10" t="s">
        <v>37</v>
      </c>
    </row>
    <row r="9947" spans="1:11" ht="54" customHeight="1">
      <c r="A9947" s="9" t="s">
        <v>20831</v>
      </c>
      <c r="B9947" s="9" t="s">
        <v>20831</v>
      </c>
      <c r="C9947" s="9" t="s">
        <v>90</v>
      </c>
      <c r="D9947" s="9" t="s">
        <v>18</v>
      </c>
      <c r="E9947" s="10" t="s">
        <v>863</v>
      </c>
      <c r="F9947" s="9" t="s">
        <v>864</v>
      </c>
      <c r="G9947" s="10" t="s">
        <v>86</v>
      </c>
      <c r="H9947" s="9" t="s">
        <v>22</v>
      </c>
      <c r="I9947" s="9" t="s">
        <v>20832</v>
      </c>
      <c r="J9947" s="10" t="str">
        <f>HYPERLINK("https://www.boe.es/gazeta/dias/1834/09/15/pdfs/GMD-1834-213.pdf#page=2","Abrir facsímil")</f>
        <v>Abrir facsímil</v>
      </c>
      <c r="K9947" s="10" t="s">
        <v>24</v>
      </c>
    </row>
    <row r="9948" spans="1:11" ht="54" customHeight="1">
      <c r="A9948" s="9" t="s">
        <v>20833</v>
      </c>
      <c r="B9948" s="9" t="s">
        <v>20834</v>
      </c>
      <c r="C9948" s="9" t="s">
        <v>90</v>
      </c>
      <c r="D9948" s="9" t="s">
        <v>18</v>
      </c>
      <c r="E9948" s="10" t="s">
        <v>863</v>
      </c>
      <c r="F9948" s="9" t="s">
        <v>864</v>
      </c>
      <c r="G9948" s="10" t="s">
        <v>86</v>
      </c>
      <c r="H9948" s="9" t="s">
        <v>35</v>
      </c>
      <c r="I9948" s="9" t="s">
        <v>20835</v>
      </c>
      <c r="J9948" s="10" t="str">
        <f>HYPERLINK("https://www.boe.es/gazeta/dias/1834/09/15/pdfs/GMD-1834-213.pdf#page=2","Abrir facsímil")</f>
        <v>Abrir facsímil</v>
      </c>
      <c r="K9948" s="10" t="s">
        <v>37</v>
      </c>
    </row>
    <row r="9949" spans="1:11" ht="54" customHeight="1">
      <c r="A9949" s="9" t="s">
        <v>20836</v>
      </c>
      <c r="B9949" s="9" t="s">
        <v>20837</v>
      </c>
      <c r="C9949" s="9" t="s">
        <v>17</v>
      </c>
      <c r="D9949" s="9" t="s">
        <v>18</v>
      </c>
      <c r="E9949" s="10" t="s">
        <v>47</v>
      </c>
      <c r="F9949" s="9" t="s">
        <v>1466</v>
      </c>
      <c r="G9949" s="10" t="s">
        <v>34</v>
      </c>
      <c r="H9949" s="9" t="s">
        <v>22</v>
      </c>
      <c r="I9949" s="9" t="s">
        <v>20838</v>
      </c>
      <c r="J9949" s="10" t="str">
        <f>HYPERLINK("https://www.boe.es/gazeta/dias/1834/09/05/pdfs/GMD-1834-203.pdf#page=1","Abrir facsímil")</f>
        <v>Abrir facsímil</v>
      </c>
      <c r="K9949" s="10" t="s">
        <v>24</v>
      </c>
    </row>
    <row r="9950" spans="1:11" ht="54" customHeight="1">
      <c r="A9950" s="9" t="s">
        <v>20839</v>
      </c>
      <c r="B9950" s="9" t="s">
        <v>20839</v>
      </c>
      <c r="C9950" s="9" t="s">
        <v>66</v>
      </c>
      <c r="D9950" s="9" t="s">
        <v>18</v>
      </c>
      <c r="E9950" s="10" t="s">
        <v>571</v>
      </c>
      <c r="F9950" s="9" t="s">
        <v>572</v>
      </c>
      <c r="G9950" s="10" t="s">
        <v>86</v>
      </c>
      <c r="H9950" s="9" t="s">
        <v>22</v>
      </c>
      <c r="I9950" s="9" t="s">
        <v>20840</v>
      </c>
      <c r="J9950" s="10" t="str">
        <f>HYPERLINK("https://www.boe.es/gazeta/dias/1834/09/04/pdfs/GMD-1834-202.pdf#page=2","Abrir facsímil")</f>
        <v>Abrir facsímil</v>
      </c>
      <c r="K9950" s="10" t="s">
        <v>24</v>
      </c>
    </row>
    <row r="9951" spans="1:11" ht="54" customHeight="1">
      <c r="A9951" s="9" t="s">
        <v>20839</v>
      </c>
      <c r="B9951" s="9" t="s">
        <v>20839</v>
      </c>
      <c r="C9951" s="9" t="s">
        <v>17</v>
      </c>
      <c r="D9951" s="9" t="s">
        <v>40</v>
      </c>
      <c r="E9951" s="10" t="s">
        <v>1402</v>
      </c>
      <c r="F9951" s="9" t="s">
        <v>1403</v>
      </c>
      <c r="G9951" s="10" t="s">
        <v>86</v>
      </c>
      <c r="H9951" s="9" t="s">
        <v>22</v>
      </c>
      <c r="I9951" s="9" t="s">
        <v>20841</v>
      </c>
      <c r="J9951" s="10" t="str">
        <f>HYPERLINK("https://www.boe.es/gazeta/dias/1834/05/05/pdfs/I00347-00348.pdf#page=2","Abrir facsímil")</f>
        <v>Abrir facsímil</v>
      </c>
      <c r="K9951" s="10" t="s">
        <v>24</v>
      </c>
    </row>
    <row r="9952" spans="1:11" ht="54" customHeight="1">
      <c r="A9952" s="9" t="s">
        <v>20839</v>
      </c>
      <c r="B9952" s="9" t="s">
        <v>20839</v>
      </c>
      <c r="C9952" s="9" t="s">
        <v>17</v>
      </c>
      <c r="D9952" s="9" t="s">
        <v>18</v>
      </c>
      <c r="E9952" s="10" t="s">
        <v>762</v>
      </c>
      <c r="F9952" s="9" t="s">
        <v>2227</v>
      </c>
      <c r="G9952" s="10" t="s">
        <v>176</v>
      </c>
      <c r="H9952" s="9" t="s">
        <v>22</v>
      </c>
      <c r="I9952" s="9" t="s">
        <v>20842</v>
      </c>
      <c r="J9952" s="10" t="str">
        <f>HYPERLINK("https://www.boe.es/gazeta/dias/1834/11/07/pdfs/GMD-C-1834-266.pdf#page=6","Abrir facsímil")</f>
        <v>Abrir facsímil</v>
      </c>
      <c r="K9952" s="10" t="s">
        <v>24</v>
      </c>
    </row>
    <row r="9953" spans="1:11" ht="54" customHeight="1">
      <c r="A9953" s="9" t="s">
        <v>20839</v>
      </c>
      <c r="B9953" s="9" t="s">
        <v>20839</v>
      </c>
      <c r="C9953" s="9" t="s">
        <v>66</v>
      </c>
      <c r="D9953" s="9" t="s">
        <v>18</v>
      </c>
      <c r="E9953" s="10" t="s">
        <v>1394</v>
      </c>
      <c r="F9953" s="9" t="s">
        <v>2923</v>
      </c>
      <c r="G9953" s="10" t="s">
        <v>34</v>
      </c>
      <c r="H9953" s="9" t="s">
        <v>22</v>
      </c>
      <c r="I9953" s="9" t="s">
        <v>20843</v>
      </c>
      <c r="J9953" s="10" t="str">
        <f>HYPERLINK("https://www.boe.es/gazeta/dias/1834/04/16/pdfs/GMD-C-1834-55.pdf#page=1","Abrir facsímil")</f>
        <v>Abrir facsímil</v>
      </c>
      <c r="K9953" s="10" t="s">
        <v>24</v>
      </c>
    </row>
    <row r="9954" spans="1:11" ht="54" customHeight="1">
      <c r="A9954" s="9" t="s">
        <v>20839</v>
      </c>
      <c r="B9954" s="9" t="s">
        <v>20839</v>
      </c>
      <c r="C9954" s="9" t="s">
        <v>17</v>
      </c>
      <c r="D9954" s="9" t="s">
        <v>18</v>
      </c>
      <c r="E9954" s="10" t="s">
        <v>19</v>
      </c>
      <c r="F9954" s="9" t="s">
        <v>107</v>
      </c>
      <c r="G9954" s="10" t="s">
        <v>75</v>
      </c>
      <c r="H9954" s="9" t="s">
        <v>22</v>
      </c>
      <c r="I9954" s="9" t="s">
        <v>20844</v>
      </c>
      <c r="J9954" s="10" t="str">
        <f>HYPERLINK("https://www.boe.es/gazeta/dias/1834/08/17/pdfs/GMD-1834-182.pdf#page=4","Abrir facsímil")</f>
        <v>Abrir facsímil</v>
      </c>
      <c r="K9954" s="10" t="s">
        <v>24</v>
      </c>
    </row>
    <row r="9955" spans="1:11" ht="54" customHeight="1">
      <c r="A9955" s="9" t="s">
        <v>20839</v>
      </c>
      <c r="B9955" s="9" t="s">
        <v>20839</v>
      </c>
      <c r="C9955" s="9" t="s">
        <v>66</v>
      </c>
      <c r="D9955" s="9" t="s">
        <v>67</v>
      </c>
      <c r="E9955" s="10" t="s">
        <v>772</v>
      </c>
      <c r="F9955" s="9" t="s">
        <v>773</v>
      </c>
      <c r="G9955" s="10" t="s">
        <v>21</v>
      </c>
      <c r="H9955" s="9" t="s">
        <v>22</v>
      </c>
      <c r="I9955" s="9" t="s">
        <v>20845</v>
      </c>
      <c r="J9955" s="10" t="str">
        <f>HYPERLINK("https://www.boe.es/gazeta/dias/1834/09/18/pdfs/GMD-1834-216.pdf#page=3","Abrir facsímil")</f>
        <v>Abrir facsímil</v>
      </c>
      <c r="K9955" s="10" t="s">
        <v>24</v>
      </c>
    </row>
    <row r="9956" spans="1:11" ht="54" customHeight="1">
      <c r="A9956" s="9" t="s">
        <v>20839</v>
      </c>
      <c r="B9956" s="9" t="s">
        <v>20839</v>
      </c>
      <c r="C9956" s="9" t="s">
        <v>17</v>
      </c>
      <c r="D9956" s="9" t="s">
        <v>18</v>
      </c>
      <c r="E9956" s="10" t="s">
        <v>3488</v>
      </c>
      <c r="F9956" s="9" t="s">
        <v>3489</v>
      </c>
      <c r="G9956" s="10" t="s">
        <v>75</v>
      </c>
      <c r="H9956" s="9" t="s">
        <v>22</v>
      </c>
      <c r="I9956" s="9" t="s">
        <v>20846</v>
      </c>
      <c r="J9956" s="10" t="str">
        <f>HYPERLINK("https://www.boe.es/gazeta/dias/1834/06/22/pdfs/GMD-1834-125.pdf#page=4","Abrir facsímil")</f>
        <v>Abrir facsímil</v>
      </c>
      <c r="K9956" s="10" t="s">
        <v>24</v>
      </c>
    </row>
    <row r="9957" spans="1:11" ht="54" customHeight="1">
      <c r="A9957" s="9" t="s">
        <v>20839</v>
      </c>
      <c r="B9957" s="9" t="s">
        <v>20839</v>
      </c>
      <c r="C9957" s="9" t="s">
        <v>90</v>
      </c>
      <c r="D9957" s="9" t="s">
        <v>18</v>
      </c>
      <c r="E9957" s="10" t="s">
        <v>576</v>
      </c>
      <c r="F9957" s="9" t="s">
        <v>577</v>
      </c>
      <c r="G9957" s="10" t="s">
        <v>86</v>
      </c>
      <c r="H9957" s="9" t="s">
        <v>22</v>
      </c>
      <c r="I9957" s="9" t="s">
        <v>20847</v>
      </c>
      <c r="J9957" s="10" t="str">
        <f>HYPERLINK("https://www.boe.es/gazeta/dias/1834/09/23/pdfs/GMD-1834-221.pdf#page=2","Abrir facsímil")</f>
        <v>Abrir facsímil</v>
      </c>
      <c r="K9957" s="10" t="s">
        <v>24</v>
      </c>
    </row>
    <row r="9958" spans="1:11" ht="54" customHeight="1">
      <c r="A9958" s="9" t="s">
        <v>20839</v>
      </c>
      <c r="B9958" s="9" t="s">
        <v>20839</v>
      </c>
      <c r="C9958" s="9" t="s">
        <v>66</v>
      </c>
      <c r="D9958" s="9" t="s">
        <v>67</v>
      </c>
      <c r="E9958" s="10" t="s">
        <v>919</v>
      </c>
      <c r="F9958" s="9" t="s">
        <v>920</v>
      </c>
      <c r="G9958" s="10" t="s">
        <v>86</v>
      </c>
      <c r="H9958" s="9" t="s">
        <v>22</v>
      </c>
      <c r="I9958" s="9" t="s">
        <v>20848</v>
      </c>
      <c r="J9958" s="10" t="str">
        <f>HYPERLINK("https://www.boe.es/gazeta/dias/1834/06/24/pdfs/GMD-1834-127.pdf#page=2","Abrir facsímil")</f>
        <v>Abrir facsímil</v>
      </c>
      <c r="K9958" s="10" t="s">
        <v>24</v>
      </c>
    </row>
    <row r="9959" spans="1:11" ht="54" customHeight="1">
      <c r="A9959" s="9" t="s">
        <v>20839</v>
      </c>
      <c r="B9959" s="9" t="s">
        <v>20839</v>
      </c>
      <c r="C9959" s="9" t="s">
        <v>122</v>
      </c>
      <c r="D9959" s="9" t="s">
        <v>18</v>
      </c>
      <c r="E9959" s="10" t="s">
        <v>719</v>
      </c>
      <c r="F9959" s="9" t="s">
        <v>720</v>
      </c>
      <c r="G9959" s="10" t="s">
        <v>75</v>
      </c>
      <c r="H9959" s="9" t="s">
        <v>22</v>
      </c>
      <c r="I9959" s="9" t="s">
        <v>20849</v>
      </c>
      <c r="J9959" s="10" t="str">
        <f>HYPERLINK("https://www.boe.es/gazeta/dias/1834/04/29/pdfs/GMD-1834-68.pdf#page=4","Abrir facsímil")</f>
        <v>Abrir facsímil</v>
      </c>
      <c r="K9959" s="10" t="s">
        <v>24</v>
      </c>
    </row>
    <row r="9960" spans="1:11" ht="54" customHeight="1">
      <c r="A9960" s="9" t="s">
        <v>20839</v>
      </c>
      <c r="B9960" s="9" t="s">
        <v>20839</v>
      </c>
      <c r="C9960" s="9" t="s">
        <v>17</v>
      </c>
      <c r="D9960" s="9" t="s">
        <v>40</v>
      </c>
      <c r="E9960" s="10" t="s">
        <v>590</v>
      </c>
      <c r="F9960" s="9" t="s">
        <v>591</v>
      </c>
      <c r="G9960" s="10" t="s">
        <v>75</v>
      </c>
      <c r="H9960" s="9" t="s">
        <v>22</v>
      </c>
      <c r="I9960" s="9" t="s">
        <v>20850</v>
      </c>
      <c r="J9960" s="10" t="str">
        <f>HYPERLINK("https://www.boe.es/gazeta/dias/1834/11/30/pdfs/GMD-1834-289.pdf#page=4","Abrir facsímil")</f>
        <v>Abrir facsímil</v>
      </c>
      <c r="K9960" s="10" t="s">
        <v>24</v>
      </c>
    </row>
    <row r="9961" spans="1:11" ht="54" customHeight="1">
      <c r="A9961" s="9" t="s">
        <v>20851</v>
      </c>
      <c r="B9961" s="9" t="s">
        <v>20852</v>
      </c>
      <c r="C9961" s="9" t="s">
        <v>66</v>
      </c>
      <c r="D9961" s="9" t="s">
        <v>18</v>
      </c>
      <c r="E9961" s="10" t="s">
        <v>571</v>
      </c>
      <c r="F9961" s="9" t="s">
        <v>572</v>
      </c>
      <c r="G9961" s="10" t="s">
        <v>86</v>
      </c>
      <c r="H9961" s="9" t="s">
        <v>35</v>
      </c>
      <c r="I9961" s="9" t="s">
        <v>20853</v>
      </c>
      <c r="J9961" s="10" t="str">
        <f>HYPERLINK("https://www.boe.es/gazeta/dias/1834/09/04/pdfs/GMD-1834-202.pdf#page=2","Abrir facsímil")</f>
        <v>Abrir facsímil</v>
      </c>
      <c r="K9961" s="10" t="s">
        <v>37</v>
      </c>
    </row>
    <row r="9962" spans="1:11" ht="54" customHeight="1">
      <c r="A9962" s="9" t="s">
        <v>20851</v>
      </c>
      <c r="B9962" s="9" t="s">
        <v>20852</v>
      </c>
      <c r="C9962" s="9" t="s">
        <v>66</v>
      </c>
      <c r="D9962" s="9" t="s">
        <v>67</v>
      </c>
      <c r="E9962" s="10" t="s">
        <v>772</v>
      </c>
      <c r="F9962" s="9" t="s">
        <v>773</v>
      </c>
      <c r="G9962" s="10" t="s">
        <v>21</v>
      </c>
      <c r="H9962" s="9" t="s">
        <v>35</v>
      </c>
      <c r="I9962" s="9" t="s">
        <v>20854</v>
      </c>
      <c r="J9962" s="10" t="str">
        <f>HYPERLINK("https://www.boe.es/gazeta/dias/1834/09/18/pdfs/GMD-1834-216.pdf#page=3","Abrir facsímil")</f>
        <v>Abrir facsímil</v>
      </c>
      <c r="K9962" s="10" t="s">
        <v>37</v>
      </c>
    </row>
    <row r="9963" spans="1:11" ht="54" customHeight="1">
      <c r="A9963" s="9" t="s">
        <v>20855</v>
      </c>
      <c r="B9963" s="9" t="s">
        <v>20856</v>
      </c>
      <c r="C9963" s="9" t="s">
        <v>46</v>
      </c>
      <c r="D9963" s="9" t="s">
        <v>101</v>
      </c>
      <c r="E9963" s="10" t="s">
        <v>465</v>
      </c>
      <c r="F9963" s="9" t="s">
        <v>466</v>
      </c>
      <c r="G9963" s="10" t="s">
        <v>176</v>
      </c>
      <c r="H9963" s="9" t="s">
        <v>22</v>
      </c>
      <c r="I9963" s="9" t="s">
        <v>20857</v>
      </c>
      <c r="J9963" s="10" t="str">
        <f>HYPERLINK("https://www.boe.es/gazeta/dias/1834/11/27/pdfs/GMD-C-1834-286.pdf#page=6","Abrir facsímil")</f>
        <v>Abrir facsímil</v>
      </c>
      <c r="K9963" s="10" t="s">
        <v>24</v>
      </c>
    </row>
    <row r="9964" spans="1:11" ht="54" customHeight="1">
      <c r="A9964" s="9" t="s">
        <v>20858</v>
      </c>
      <c r="B9964" s="9" t="s">
        <v>20859</v>
      </c>
      <c r="C9964" s="9" t="s">
        <v>90</v>
      </c>
      <c r="D9964" s="9" t="s">
        <v>55</v>
      </c>
      <c r="E9964" s="10" t="s">
        <v>251</v>
      </c>
      <c r="F9964" s="9" t="s">
        <v>1278</v>
      </c>
      <c r="G9964" s="10" t="s">
        <v>86</v>
      </c>
      <c r="H9964" s="9" t="s">
        <v>35</v>
      </c>
      <c r="I9964" s="9" t="s">
        <v>20860</v>
      </c>
      <c r="J9964" s="10" t="str">
        <f>HYPERLINK("https://www.boe.es/gazeta/dias/1834/09/26/pdfs/GMD-1834-224.pdf#page=2","Abrir facsímil")</f>
        <v>Abrir facsímil</v>
      </c>
      <c r="K9964" s="10" t="s">
        <v>37</v>
      </c>
    </row>
    <row r="9965" spans="1:11" ht="54" customHeight="1">
      <c r="A9965" s="9" t="s">
        <v>20861</v>
      </c>
      <c r="B9965" s="9" t="s">
        <v>20861</v>
      </c>
      <c r="C9965" s="9" t="s">
        <v>66</v>
      </c>
      <c r="D9965" s="9" t="s">
        <v>67</v>
      </c>
      <c r="E9965" s="10" t="s">
        <v>1850</v>
      </c>
      <c r="F9965" s="9" t="s">
        <v>1851</v>
      </c>
      <c r="G9965" s="10" t="s">
        <v>470</v>
      </c>
      <c r="H9965" s="9" t="s">
        <v>22</v>
      </c>
      <c r="I9965" s="9" t="s">
        <v>20862</v>
      </c>
      <c r="J9965" s="10" t="str">
        <f>HYPERLINK("https://www.boe.es/gazeta/dias/1834/02/18/pdfs/GMD-1834-22.pdf#page=8","Abrir facsímil")</f>
        <v>Abrir facsímil</v>
      </c>
      <c r="K9965" s="10" t="s">
        <v>24</v>
      </c>
    </row>
    <row r="9966" spans="1:11" ht="54" customHeight="1">
      <c r="A9966" s="9" t="s">
        <v>20863</v>
      </c>
      <c r="B9966" s="9" t="s">
        <v>20864</v>
      </c>
      <c r="C9966" s="9" t="s">
        <v>66</v>
      </c>
      <c r="D9966" s="9" t="s">
        <v>67</v>
      </c>
      <c r="E9966" s="10" t="s">
        <v>1850</v>
      </c>
      <c r="F9966" s="9" t="s">
        <v>1851</v>
      </c>
      <c r="G9966" s="10" t="s">
        <v>470</v>
      </c>
      <c r="H9966" s="9" t="s">
        <v>35</v>
      </c>
      <c r="I9966" s="9" t="s">
        <v>20865</v>
      </c>
      <c r="J9966" s="10" t="str">
        <f>HYPERLINK("https://www.boe.es/gazeta/dias/1834/02/18/pdfs/GMD-1834-22.pdf#page=8","Abrir facsímil")</f>
        <v>Abrir facsímil</v>
      </c>
      <c r="K9966" s="10" t="s">
        <v>37</v>
      </c>
    </row>
    <row r="9967" spans="1:11" ht="54" customHeight="1">
      <c r="A9967" s="9" t="s">
        <v>20866</v>
      </c>
      <c r="B9967" s="9" t="s">
        <v>20866</v>
      </c>
      <c r="C9967" s="9" t="s">
        <v>122</v>
      </c>
      <c r="D9967" s="9" t="s">
        <v>55</v>
      </c>
      <c r="E9967" s="10" t="s">
        <v>1333</v>
      </c>
      <c r="F9967" s="9" t="s">
        <v>1334</v>
      </c>
      <c r="G9967" s="10" t="s">
        <v>28</v>
      </c>
      <c r="H9967" s="9" t="s">
        <v>22</v>
      </c>
      <c r="I9967" s="9" t="s">
        <v>20867</v>
      </c>
      <c r="J9967" s="10" t="str">
        <f>HYPERLINK("https://www.boe.es/gazeta/dias/1834/04/01/pdfs/GMD-1834-40.pdf#page=5","Abrir facsímil")</f>
        <v>Abrir facsímil</v>
      </c>
      <c r="K9967" s="10" t="s">
        <v>24</v>
      </c>
    </row>
    <row r="9968" spans="1:11" ht="54" customHeight="1">
      <c r="A9968" s="9" t="s">
        <v>20868</v>
      </c>
      <c r="B9968" s="9" t="s">
        <v>20868</v>
      </c>
      <c r="C9968" s="9" t="s">
        <v>90</v>
      </c>
      <c r="D9968" s="9" t="s">
        <v>18</v>
      </c>
      <c r="E9968" s="10" t="s">
        <v>1747</v>
      </c>
      <c r="F9968" s="9" t="s">
        <v>1748</v>
      </c>
      <c r="G9968" s="10" t="s">
        <v>21</v>
      </c>
      <c r="H9968" s="9" t="s">
        <v>22</v>
      </c>
      <c r="I9968" s="9" t="s">
        <v>20869</v>
      </c>
      <c r="J9968" s="10" t="str">
        <f>HYPERLINK("https://www.boe.es/gazeta/dias/1834/06/29/pdfs/GMD-1834-132.pdf#page=3","Abrir facsímil")</f>
        <v>Abrir facsímil</v>
      </c>
      <c r="K9968" s="10" t="s">
        <v>24</v>
      </c>
    </row>
    <row r="9969" spans="1:11" ht="54" customHeight="1">
      <c r="A9969" s="9" t="s">
        <v>20870</v>
      </c>
      <c r="B9969" s="9" t="s">
        <v>20871</v>
      </c>
      <c r="C9969" s="9" t="s">
        <v>66</v>
      </c>
      <c r="D9969" s="9" t="s">
        <v>67</v>
      </c>
      <c r="E9969" s="10" t="s">
        <v>1323</v>
      </c>
      <c r="F9969" s="9" t="s">
        <v>1324</v>
      </c>
      <c r="G9969" s="10" t="s">
        <v>75</v>
      </c>
      <c r="H9969" s="9" t="s">
        <v>35</v>
      </c>
      <c r="I9969" s="9" t="s">
        <v>20872</v>
      </c>
      <c r="J9969" s="10" t="str">
        <f>HYPERLINK("https://www.boe.es/gazeta/dias/1834/05/22/pdfs/GMD-1834-91.pdf#page=4","Abrir facsímil")</f>
        <v>Abrir facsímil</v>
      </c>
      <c r="K9969" s="10" t="s">
        <v>37</v>
      </c>
    </row>
    <row r="9970" spans="1:11" ht="54" customHeight="1">
      <c r="A9970" s="9" t="s">
        <v>20873</v>
      </c>
      <c r="B9970" s="9" t="s">
        <v>20874</v>
      </c>
      <c r="C9970" s="9" t="s">
        <v>122</v>
      </c>
      <c r="D9970" s="9" t="s">
        <v>18</v>
      </c>
      <c r="E9970" s="10" t="s">
        <v>866</v>
      </c>
      <c r="F9970" s="9" t="s">
        <v>867</v>
      </c>
      <c r="G9970" s="10" t="s">
        <v>75</v>
      </c>
      <c r="H9970" s="9" t="s">
        <v>22</v>
      </c>
      <c r="I9970" s="9" t="s">
        <v>20875</v>
      </c>
      <c r="J9970" s="10" t="str">
        <f>HYPERLINK("https://www.boe.es/gazeta/dias/1834/01/18/pdfs/GMD-1834-9.pdf#page=4","Abrir facsímil")</f>
        <v>Abrir facsímil</v>
      </c>
      <c r="K9970" s="10" t="s">
        <v>24</v>
      </c>
    </row>
    <row r="9971" spans="1:11" ht="54" customHeight="1">
      <c r="A9971" s="9" t="s">
        <v>20876</v>
      </c>
      <c r="B9971" s="9" t="s">
        <v>20877</v>
      </c>
      <c r="C9971" s="9" t="s">
        <v>90</v>
      </c>
      <c r="D9971" s="9" t="s">
        <v>40</v>
      </c>
      <c r="E9971" s="10" t="s">
        <v>2865</v>
      </c>
      <c r="F9971" s="9" t="s">
        <v>2866</v>
      </c>
      <c r="G9971" s="10" t="s">
        <v>86</v>
      </c>
      <c r="H9971" s="9" t="s">
        <v>22</v>
      </c>
      <c r="I9971" s="9" t="s">
        <v>20878</v>
      </c>
      <c r="J9971" s="10" t="str">
        <f>HYPERLINK("https://www.boe.es/gazeta/dias/1834/07/06/pdfs/GMD-1834-139.pdf#page=2","Abrir facsímil")</f>
        <v>Abrir facsímil</v>
      </c>
      <c r="K9971" s="10" t="s">
        <v>24</v>
      </c>
    </row>
    <row r="9972" spans="1:11" ht="54" customHeight="1">
      <c r="A9972" s="9" t="s">
        <v>20879</v>
      </c>
      <c r="B9972" s="9" t="s">
        <v>20880</v>
      </c>
      <c r="C9972" s="9" t="s">
        <v>17</v>
      </c>
      <c r="D9972" s="9" t="s">
        <v>101</v>
      </c>
      <c r="E9972" s="10" t="s">
        <v>3066</v>
      </c>
      <c r="F9972" s="9" t="s">
        <v>3188</v>
      </c>
      <c r="G9972" s="10" t="s">
        <v>86</v>
      </c>
      <c r="H9972" s="9" t="s">
        <v>22</v>
      </c>
      <c r="I9972" s="9" t="s">
        <v>20881</v>
      </c>
      <c r="J9972" s="10" t="str">
        <f>HYPERLINK("https://www.boe.es/gazeta/dias/1834/08/03/pdfs/I00721-00722.pdf#page=2","Abrir facsímil")</f>
        <v>Abrir facsímil</v>
      </c>
      <c r="K9972" s="10" t="s">
        <v>24</v>
      </c>
    </row>
    <row r="9973" spans="1:11" ht="54" customHeight="1">
      <c r="A9973" s="9" t="s">
        <v>20879</v>
      </c>
      <c r="B9973" s="9" t="s">
        <v>20880</v>
      </c>
      <c r="C9973" s="9" t="s">
        <v>17</v>
      </c>
      <c r="D9973" s="9" t="s">
        <v>101</v>
      </c>
      <c r="E9973" s="10" t="s">
        <v>3066</v>
      </c>
      <c r="F9973" s="9" t="s">
        <v>3188</v>
      </c>
      <c r="G9973" s="10" t="s">
        <v>75</v>
      </c>
      <c r="H9973" s="9" t="s">
        <v>22</v>
      </c>
      <c r="I9973" s="9" t="s">
        <v>20882</v>
      </c>
      <c r="J9973" s="10" t="str">
        <f>HYPERLINK("https://www.boe.es/gazeta/dias/1834/08/03/pdfs/GMD-1834-167.pdf#page=4","Abrir facsímil")</f>
        <v>Abrir facsímil</v>
      </c>
      <c r="K9973" s="10" t="s">
        <v>24</v>
      </c>
    </row>
    <row r="9974" spans="1:11" ht="54" customHeight="1">
      <c r="A9974" s="9" t="s">
        <v>20883</v>
      </c>
      <c r="B9974" s="9" t="s">
        <v>20884</v>
      </c>
      <c r="C9974" s="9" t="s">
        <v>17</v>
      </c>
      <c r="D9974" s="9" t="s">
        <v>18</v>
      </c>
      <c r="E9974" s="10" t="s">
        <v>1226</v>
      </c>
      <c r="F9974" s="9" t="s">
        <v>1227</v>
      </c>
      <c r="G9974" s="10" t="s">
        <v>34</v>
      </c>
      <c r="H9974" s="9" t="s">
        <v>22</v>
      </c>
      <c r="I9974" s="9" t="s">
        <v>20885</v>
      </c>
      <c r="J9974" s="10" t="str">
        <f>HYPERLINK("https://www.boe.es/gazeta/dias/1834/07/14/pdfs/GMD-1834-147.pdf#page=1","Abrir facsímil")</f>
        <v>Abrir facsímil</v>
      </c>
      <c r="K9974" s="10" t="s">
        <v>24</v>
      </c>
    </row>
    <row r="9975" spans="1:11" ht="54" customHeight="1">
      <c r="A9975" s="9" t="s">
        <v>20886</v>
      </c>
      <c r="B9975" s="9" t="s">
        <v>20887</v>
      </c>
      <c r="C9975" s="9" t="s">
        <v>17</v>
      </c>
      <c r="D9975" s="9" t="s">
        <v>18</v>
      </c>
      <c r="E9975" s="10" t="s">
        <v>91</v>
      </c>
      <c r="F9975" s="9" t="s">
        <v>92</v>
      </c>
      <c r="G9975" s="10" t="s">
        <v>75</v>
      </c>
      <c r="H9975" s="9" t="s">
        <v>22</v>
      </c>
      <c r="I9975" s="9" t="s">
        <v>20888</v>
      </c>
      <c r="J9975" s="10" t="str">
        <f>HYPERLINK("https://www.boe.es/gazeta/dias/1834/02/13/pdfs/GMD-1834-20.pdf#page=4","Abrir facsímil")</f>
        <v>Abrir facsímil</v>
      </c>
      <c r="K9975" s="10" t="s">
        <v>24</v>
      </c>
    </row>
    <row r="9976" spans="1:11" ht="54" customHeight="1">
      <c r="A9976" s="9" t="s">
        <v>20889</v>
      </c>
      <c r="B9976" s="9" t="s">
        <v>20890</v>
      </c>
      <c r="C9976" s="9" t="s">
        <v>17</v>
      </c>
      <c r="D9976" s="9" t="s">
        <v>101</v>
      </c>
      <c r="E9976" s="10" t="s">
        <v>2945</v>
      </c>
      <c r="F9976" s="9" t="s">
        <v>2946</v>
      </c>
      <c r="G9976" s="10" t="s">
        <v>86</v>
      </c>
      <c r="H9976" s="9" t="s">
        <v>22</v>
      </c>
      <c r="I9976" s="9" t="s">
        <v>20891</v>
      </c>
      <c r="J9976" s="10" t="str">
        <f>HYPERLINK("https://www.boe.es/gazeta/dias/1834/05/29/pdfs/GMD-1834-98.pdf#page=2","Abrir facsímil")</f>
        <v>Abrir facsímil</v>
      </c>
      <c r="K9976" s="10" t="s">
        <v>24</v>
      </c>
    </row>
    <row r="9977" spans="1:11" ht="54" customHeight="1">
      <c r="A9977" s="9" t="s">
        <v>20892</v>
      </c>
      <c r="B9977" s="9" t="s">
        <v>20892</v>
      </c>
      <c r="C9977" s="9" t="s">
        <v>46</v>
      </c>
      <c r="D9977" s="9" t="s">
        <v>18</v>
      </c>
      <c r="E9977" s="10" t="s">
        <v>438</v>
      </c>
      <c r="F9977" s="9" t="s">
        <v>439</v>
      </c>
      <c r="G9977" s="10" t="s">
        <v>21</v>
      </c>
      <c r="H9977" s="9" t="s">
        <v>22</v>
      </c>
      <c r="I9977" s="9" t="s">
        <v>20893</v>
      </c>
      <c r="J9977" s="10" t="str">
        <f>HYPERLINK("https://www.boe.es/gazeta/dias/1834/11/09/pdfs/GMD-1834-268.pdf#page=3","Abrir facsímil")</f>
        <v>Abrir facsímil</v>
      </c>
      <c r="K9977" s="10" t="s">
        <v>24</v>
      </c>
    </row>
    <row r="9978" spans="1:11" ht="54" customHeight="1">
      <c r="A9978" s="9" t="s">
        <v>20892</v>
      </c>
      <c r="B9978" s="9" t="s">
        <v>20892</v>
      </c>
      <c r="C9978" s="9" t="s">
        <v>17</v>
      </c>
      <c r="D9978" s="9" t="s">
        <v>55</v>
      </c>
      <c r="E9978" s="10" t="s">
        <v>3025</v>
      </c>
      <c r="F9978" s="9" t="s">
        <v>3026</v>
      </c>
      <c r="G9978" s="10" t="s">
        <v>176</v>
      </c>
      <c r="H9978" s="9" t="s">
        <v>22</v>
      </c>
      <c r="I9978" s="9" t="s">
        <v>20894</v>
      </c>
      <c r="J9978" s="10" t="str">
        <f>HYPERLINK("https://www.boe.es/gazeta/dias/1834/05/25/pdfs/GMD-1834-94.pdf#page=6","Abrir facsímil")</f>
        <v>Abrir facsímil</v>
      </c>
      <c r="K9978" s="10" t="s">
        <v>24</v>
      </c>
    </row>
    <row r="9979" spans="1:11" ht="54" customHeight="1">
      <c r="A9979" s="9" t="s">
        <v>20892</v>
      </c>
      <c r="B9979" s="9" t="s">
        <v>20892</v>
      </c>
      <c r="C9979" s="9" t="s">
        <v>17</v>
      </c>
      <c r="D9979" s="9" t="s">
        <v>18</v>
      </c>
      <c r="E9979" s="10" t="s">
        <v>590</v>
      </c>
      <c r="F9979" s="9" t="s">
        <v>591</v>
      </c>
      <c r="G9979" s="10" t="s">
        <v>86</v>
      </c>
      <c r="H9979" s="9" t="s">
        <v>22</v>
      </c>
      <c r="I9979" s="9" t="s">
        <v>20895</v>
      </c>
      <c r="J9979" s="10" t="str">
        <f>HYPERLINK("https://www.boe.es/gazeta/dias/1834/11/30/pdfs/GMD-1834-289.pdf#page=2","Abrir facsímil")</f>
        <v>Abrir facsímil</v>
      </c>
      <c r="K9979" s="10" t="s">
        <v>24</v>
      </c>
    </row>
    <row r="9980" spans="1:11" ht="54" customHeight="1">
      <c r="A9980" s="9" t="s">
        <v>20896</v>
      </c>
      <c r="B9980" s="9" t="s">
        <v>20897</v>
      </c>
      <c r="C9980" s="9" t="s">
        <v>17</v>
      </c>
      <c r="D9980" s="9" t="s">
        <v>18</v>
      </c>
      <c r="E9980" s="10" t="s">
        <v>3810</v>
      </c>
      <c r="F9980" s="9" t="s">
        <v>3811</v>
      </c>
      <c r="G9980" s="10" t="s">
        <v>75</v>
      </c>
      <c r="H9980" s="9" t="s">
        <v>22</v>
      </c>
      <c r="I9980" s="9" t="s">
        <v>20898</v>
      </c>
      <c r="J9980" s="10" t="str">
        <f>HYPERLINK("https://www.boe.es/gazeta/dias/1834/02/20/pdfs/GMD-1834-23.pdf#page=4","Abrir facsímil")</f>
        <v>Abrir facsímil</v>
      </c>
      <c r="K9980" s="10" t="s">
        <v>24</v>
      </c>
    </row>
    <row r="9981" spans="1:11" ht="54" customHeight="1">
      <c r="A9981" s="9" t="s">
        <v>20899</v>
      </c>
      <c r="B9981" s="9" t="s">
        <v>20899</v>
      </c>
      <c r="C9981" s="9" t="s">
        <v>46</v>
      </c>
      <c r="D9981" s="9" t="s">
        <v>101</v>
      </c>
      <c r="E9981" s="10" t="s">
        <v>715</v>
      </c>
      <c r="F9981" s="9" t="s">
        <v>716</v>
      </c>
      <c r="G9981" s="10" t="s">
        <v>86</v>
      </c>
      <c r="H9981" s="9" t="s">
        <v>22</v>
      </c>
      <c r="I9981" s="9" t="s">
        <v>20900</v>
      </c>
      <c r="J9981" s="10" t="str">
        <f>HYPERLINK("https://www.boe.es/gazeta/dias/1834/09/17/pdfs/GMD-C-1834-215.pdf#page=2","Abrir facsímil")</f>
        <v>Abrir facsímil</v>
      </c>
      <c r="K9981" s="10" t="s">
        <v>24</v>
      </c>
    </row>
    <row r="9982" spans="1:11" ht="54" customHeight="1">
      <c r="A9982" s="9" t="s">
        <v>20901</v>
      </c>
      <c r="B9982" s="9" t="s">
        <v>20902</v>
      </c>
      <c r="C9982" s="9" t="s">
        <v>122</v>
      </c>
      <c r="D9982" s="9" t="s">
        <v>101</v>
      </c>
      <c r="E9982" s="10" t="s">
        <v>117</v>
      </c>
      <c r="F9982" s="9" t="s">
        <v>118</v>
      </c>
      <c r="G9982" s="10" t="s">
        <v>75</v>
      </c>
      <c r="H9982" s="9" t="s">
        <v>22</v>
      </c>
      <c r="I9982" s="9" t="s">
        <v>20903</v>
      </c>
      <c r="J9982" s="10" t="str">
        <f>HYPERLINK("https://www.boe.es/gazeta/dias/1834/07/21/pdfs/GMD-1834-154.pdf#page=4","Abrir facsímil")</f>
        <v>Abrir facsímil</v>
      </c>
      <c r="K9982" s="10" t="s">
        <v>24</v>
      </c>
    </row>
    <row r="9983" spans="1:11" ht="54" customHeight="1">
      <c r="A9983" s="9" t="s">
        <v>20904</v>
      </c>
      <c r="B9983" s="9" t="s">
        <v>20905</v>
      </c>
      <c r="C9983" s="9" t="s">
        <v>122</v>
      </c>
      <c r="D9983" s="9" t="s">
        <v>18</v>
      </c>
      <c r="E9983" s="10" t="s">
        <v>408</v>
      </c>
      <c r="F9983" s="9" t="s">
        <v>409</v>
      </c>
      <c r="G9983" s="10" t="s">
        <v>34</v>
      </c>
      <c r="H9983" s="9" t="s">
        <v>22</v>
      </c>
      <c r="I9983" s="9" t="s">
        <v>20906</v>
      </c>
      <c r="J9983" s="10" t="str">
        <f>HYPERLINK("https://www.boe.es/gazeta/dias/1834/04/28/pdfs/GMD-1834-67.pdf#page=1","Abrir facsímil")</f>
        <v>Abrir facsímil</v>
      </c>
      <c r="K9983" s="10" t="s">
        <v>24</v>
      </c>
    </row>
    <row r="9984" spans="1:11" ht="54" customHeight="1">
      <c r="A9984" s="9" t="s">
        <v>20907</v>
      </c>
      <c r="B9984" s="9" t="s">
        <v>20908</v>
      </c>
      <c r="C9984" s="9" t="s">
        <v>66</v>
      </c>
      <c r="D9984" s="9" t="s">
        <v>67</v>
      </c>
      <c r="E9984" s="10" t="s">
        <v>860</v>
      </c>
      <c r="F9984" s="9" t="s">
        <v>1755</v>
      </c>
      <c r="G9984" s="10" t="s">
        <v>34</v>
      </c>
      <c r="H9984" s="9" t="s">
        <v>22</v>
      </c>
      <c r="I9984" s="9" t="s">
        <v>20909</v>
      </c>
      <c r="J9984" s="10" t="str">
        <f>HYPERLINK("https://www.boe.es/gazeta/dias/1834/02/08/pdfs/GMD-C-1834-18.pdf#page=1","Abrir facsímil")</f>
        <v>Abrir facsímil</v>
      </c>
      <c r="K9984" s="10" t="s">
        <v>24</v>
      </c>
    </row>
    <row r="9985" spans="1:11" ht="54" customHeight="1">
      <c r="A9985" s="9" t="s">
        <v>20910</v>
      </c>
      <c r="B9985" s="9" t="s">
        <v>20911</v>
      </c>
      <c r="C9985" s="9" t="s">
        <v>66</v>
      </c>
      <c r="D9985" s="9" t="s">
        <v>67</v>
      </c>
      <c r="E9985" s="10" t="s">
        <v>1850</v>
      </c>
      <c r="F9985" s="9" t="s">
        <v>1851</v>
      </c>
      <c r="G9985" s="10" t="s">
        <v>470</v>
      </c>
      <c r="H9985" s="9" t="s">
        <v>22</v>
      </c>
      <c r="I9985" s="9" t="s">
        <v>20912</v>
      </c>
      <c r="J9985" s="10" t="str">
        <f>HYPERLINK("https://www.boe.es/gazeta/dias/1834/02/18/pdfs/GMD-1834-22.pdf#page=8","Abrir facsímil")</f>
        <v>Abrir facsímil</v>
      </c>
      <c r="K9985" s="10" t="s">
        <v>24</v>
      </c>
    </row>
    <row r="9986" spans="1:11" ht="54" customHeight="1">
      <c r="A9986" s="9" t="s">
        <v>20913</v>
      </c>
      <c r="B9986" s="9" t="s">
        <v>20913</v>
      </c>
      <c r="C9986" s="9" t="s">
        <v>90</v>
      </c>
      <c r="D9986" s="9" t="s">
        <v>18</v>
      </c>
      <c r="E9986" s="10" t="s">
        <v>1025</v>
      </c>
      <c r="F9986" s="9" t="s">
        <v>1026</v>
      </c>
      <c r="G9986" s="10" t="s">
        <v>34</v>
      </c>
      <c r="H9986" s="9" t="s">
        <v>22</v>
      </c>
      <c r="I9986" s="9" t="s">
        <v>20914</v>
      </c>
      <c r="J9986" s="10" t="str">
        <f>HYPERLINK("https://www.boe.es/gazeta/dias/1834/03/01/pdfs/GMD-1834-27.pdf#page=1","Abrir facsímil")</f>
        <v>Abrir facsímil</v>
      </c>
      <c r="K9986" s="10" t="s">
        <v>24</v>
      </c>
    </row>
    <row r="9987" spans="1:11" ht="54" customHeight="1">
      <c r="A9987" s="9" t="s">
        <v>20913</v>
      </c>
      <c r="B9987" s="9" t="s">
        <v>20913</v>
      </c>
      <c r="C9987" s="9" t="s">
        <v>90</v>
      </c>
      <c r="D9987" s="9" t="s">
        <v>18</v>
      </c>
      <c r="E9987" s="10" t="s">
        <v>1297</v>
      </c>
      <c r="F9987" s="9" t="s">
        <v>1879</v>
      </c>
      <c r="G9987" s="10" t="s">
        <v>34</v>
      </c>
      <c r="H9987" s="9" t="s">
        <v>22</v>
      </c>
      <c r="I9987" s="9" t="s">
        <v>20915</v>
      </c>
      <c r="J9987" s="10" t="str">
        <f>HYPERLINK("https://www.boe.es/gazeta/dias/1834/08/01/pdfs/GMD-D-1834-165.pdf#page=1","Abrir facsímil")</f>
        <v>Abrir facsímil</v>
      </c>
      <c r="K9987" s="10" t="s">
        <v>24</v>
      </c>
    </row>
    <row r="9988" spans="1:11" ht="54" customHeight="1">
      <c r="A9988" s="9" t="s">
        <v>20913</v>
      </c>
      <c r="B9988" s="9" t="s">
        <v>20913</v>
      </c>
      <c r="C9988" s="9" t="s">
        <v>66</v>
      </c>
      <c r="D9988" s="9" t="s">
        <v>67</v>
      </c>
      <c r="E9988" s="10" t="s">
        <v>68</v>
      </c>
      <c r="F9988" s="9" t="s">
        <v>69</v>
      </c>
      <c r="G9988" s="10" t="s">
        <v>21</v>
      </c>
      <c r="H9988" s="9" t="s">
        <v>22</v>
      </c>
      <c r="I9988" s="9" t="s">
        <v>20916</v>
      </c>
      <c r="J9988" s="10" t="str">
        <f>HYPERLINK("https://www.boe.es/gazeta/dias/1834/11/01/pdfs/GMD-1834-260.pdf#page=3","Abrir facsímil")</f>
        <v>Abrir facsímil</v>
      </c>
      <c r="K9988" s="10" t="s">
        <v>24</v>
      </c>
    </row>
    <row r="9989" spans="1:11" ht="54" customHeight="1">
      <c r="A9989" s="9" t="s">
        <v>20913</v>
      </c>
      <c r="B9989" s="9" t="s">
        <v>20913</v>
      </c>
      <c r="C9989" s="9" t="s">
        <v>17</v>
      </c>
      <c r="D9989" s="9" t="s">
        <v>18</v>
      </c>
      <c r="E9989" s="10" t="s">
        <v>976</v>
      </c>
      <c r="F9989" s="9" t="s">
        <v>1061</v>
      </c>
      <c r="G9989" s="10" t="s">
        <v>34</v>
      </c>
      <c r="H9989" s="9" t="s">
        <v>22</v>
      </c>
      <c r="I9989" s="9" t="s">
        <v>20917</v>
      </c>
      <c r="J9989" s="10" t="str">
        <f>HYPERLINK("https://www.boe.es/gazeta/dias/1834/04/02/pdfs/GMD-C-1834-41.pdf#page=1","Abrir facsímil")</f>
        <v>Abrir facsímil</v>
      </c>
      <c r="K9989" s="10" t="s">
        <v>24</v>
      </c>
    </row>
    <row r="9990" spans="1:11" ht="54" customHeight="1">
      <c r="A9990" s="9" t="s">
        <v>20913</v>
      </c>
      <c r="B9990" s="9" t="s">
        <v>20913</v>
      </c>
      <c r="C9990" s="9" t="s">
        <v>66</v>
      </c>
      <c r="D9990" s="9" t="s">
        <v>67</v>
      </c>
      <c r="E9990" s="10" t="s">
        <v>976</v>
      </c>
      <c r="F9990" s="9" t="s">
        <v>1061</v>
      </c>
      <c r="G9990" s="10" t="s">
        <v>86</v>
      </c>
      <c r="H9990" s="9" t="s">
        <v>22</v>
      </c>
      <c r="I9990" s="9" t="s">
        <v>20918</v>
      </c>
      <c r="J9990" s="10" t="str">
        <f>HYPERLINK("https://www.boe.es/gazeta/dias/1834/04/02/pdfs/GMD-C-1834-41.pdf#page=2","Abrir facsímil")</f>
        <v>Abrir facsímil</v>
      </c>
      <c r="K9990" s="10" t="s">
        <v>24</v>
      </c>
    </row>
    <row r="9991" spans="1:11" ht="54" customHeight="1">
      <c r="A9991" s="9" t="s">
        <v>20913</v>
      </c>
      <c r="B9991" s="9" t="s">
        <v>20913</v>
      </c>
      <c r="C9991" s="9" t="s">
        <v>17</v>
      </c>
      <c r="D9991" s="9" t="s">
        <v>18</v>
      </c>
      <c r="E9991" s="10" t="s">
        <v>339</v>
      </c>
      <c r="F9991" s="9" t="s">
        <v>340</v>
      </c>
      <c r="G9991" s="10" t="s">
        <v>21</v>
      </c>
      <c r="H9991" s="9" t="s">
        <v>22</v>
      </c>
      <c r="I9991" s="9" t="s">
        <v>20919</v>
      </c>
      <c r="J9991" s="10" t="str">
        <f>HYPERLINK("https://www.boe.es/gazeta/dias/1834/05/02/pdfs/GMD-1834-71.pdf#page=3","Abrir facsímil")</f>
        <v>Abrir facsímil</v>
      </c>
      <c r="K9991" s="10" t="s">
        <v>24</v>
      </c>
    </row>
    <row r="9992" spans="1:11" ht="54" customHeight="1">
      <c r="A9992" s="9" t="s">
        <v>20913</v>
      </c>
      <c r="B9992" s="9" t="s">
        <v>20913</v>
      </c>
      <c r="C9992" s="9" t="s">
        <v>90</v>
      </c>
      <c r="D9992" s="9" t="s">
        <v>101</v>
      </c>
      <c r="E9992" s="10" t="s">
        <v>506</v>
      </c>
      <c r="F9992" s="9" t="s">
        <v>507</v>
      </c>
      <c r="G9992" s="10" t="s">
        <v>34</v>
      </c>
      <c r="H9992" s="9" t="s">
        <v>22</v>
      </c>
      <c r="I9992" s="9" t="s">
        <v>20920</v>
      </c>
      <c r="J9992" s="10" t="str">
        <f>HYPERLINK("https://www.boe.es/gazeta/dias/1834/03/04/pdfs/GMD-1834-28.pdf#page=1","Abrir facsímil")</f>
        <v>Abrir facsímil</v>
      </c>
      <c r="K9992" s="10" t="s">
        <v>24</v>
      </c>
    </row>
    <row r="9993" spans="1:11" ht="54" customHeight="1">
      <c r="A9993" s="9" t="s">
        <v>20913</v>
      </c>
      <c r="B9993" s="9" t="s">
        <v>20913</v>
      </c>
      <c r="C9993" s="9" t="s">
        <v>17</v>
      </c>
      <c r="D9993" s="9" t="s">
        <v>18</v>
      </c>
      <c r="E9993" s="10" t="s">
        <v>73</v>
      </c>
      <c r="F9993" s="9" t="s">
        <v>74</v>
      </c>
      <c r="G9993" s="10" t="s">
        <v>75</v>
      </c>
      <c r="H9993" s="9" t="s">
        <v>22</v>
      </c>
      <c r="I9993" s="9" t="s">
        <v>20921</v>
      </c>
      <c r="J9993" s="10" t="str">
        <f>HYPERLINK("https://www.boe.es/gazeta/dias/1834/11/04/pdfs/GMD-1834-263.pdf#page=4","Abrir facsímil")</f>
        <v>Abrir facsímil</v>
      </c>
      <c r="K9993" s="10" t="s">
        <v>24</v>
      </c>
    </row>
    <row r="9994" spans="1:11" ht="54" customHeight="1">
      <c r="A9994" s="9" t="s">
        <v>20913</v>
      </c>
      <c r="B9994" s="9" t="s">
        <v>20913</v>
      </c>
      <c r="C9994" s="9" t="s">
        <v>17</v>
      </c>
      <c r="D9994" s="9" t="s">
        <v>55</v>
      </c>
      <c r="E9994" s="10" t="s">
        <v>243</v>
      </c>
      <c r="F9994" s="9" t="s">
        <v>1109</v>
      </c>
      <c r="G9994" s="10" t="s">
        <v>34</v>
      </c>
      <c r="H9994" s="9" t="s">
        <v>22</v>
      </c>
      <c r="I9994" s="9" t="s">
        <v>20922</v>
      </c>
      <c r="J9994" s="10" t="str">
        <f>HYPERLINK("https://www.boe.es/gazeta/dias/1834/08/05/pdfs/GMD-1834-169.pdf#page=1","Abrir facsímil")</f>
        <v>Abrir facsímil</v>
      </c>
      <c r="K9994" s="10" t="s">
        <v>24</v>
      </c>
    </row>
    <row r="9995" spans="1:11" ht="54" customHeight="1">
      <c r="A9995" s="9" t="s">
        <v>20913</v>
      </c>
      <c r="B9995" s="9" t="s">
        <v>20913</v>
      </c>
      <c r="C9995" s="9" t="s">
        <v>66</v>
      </c>
      <c r="D9995" s="9" t="s">
        <v>67</v>
      </c>
      <c r="E9995" s="10" t="s">
        <v>1661</v>
      </c>
      <c r="F9995" s="9" t="s">
        <v>1662</v>
      </c>
      <c r="G9995" s="10" t="s">
        <v>34</v>
      </c>
      <c r="H9995" s="9" t="s">
        <v>22</v>
      </c>
      <c r="I9995" s="9" t="s">
        <v>20923</v>
      </c>
      <c r="J9995" s="10" t="str">
        <f>HYPERLINK("https://www.boe.es/gazeta/dias/1834/04/06/pdfs/GMD-1834-45.pdf#page=1","Abrir facsímil")</f>
        <v>Abrir facsímil</v>
      </c>
      <c r="K9995" s="10" t="s">
        <v>24</v>
      </c>
    </row>
    <row r="9996" spans="1:11" ht="54" customHeight="1">
      <c r="A9996" s="9" t="s">
        <v>20913</v>
      </c>
      <c r="B9996" s="9" t="s">
        <v>20913</v>
      </c>
      <c r="C9996" s="9" t="s">
        <v>17</v>
      </c>
      <c r="D9996" s="9" t="s">
        <v>18</v>
      </c>
      <c r="E9996" s="10" t="s">
        <v>1661</v>
      </c>
      <c r="F9996" s="9" t="s">
        <v>1662</v>
      </c>
      <c r="G9996" s="10" t="s">
        <v>75</v>
      </c>
      <c r="H9996" s="9" t="s">
        <v>22</v>
      </c>
      <c r="I9996" s="9" t="s">
        <v>20924</v>
      </c>
      <c r="J9996" s="10" t="str">
        <f>HYPERLINK("https://www.boe.es/gazeta/dias/1834/04/06/pdfs/GMD-1834-45.pdf#page=4","Abrir facsímil")</f>
        <v>Abrir facsímil</v>
      </c>
      <c r="K9996" s="10" t="s">
        <v>24</v>
      </c>
    </row>
    <row r="9997" spans="1:11" ht="54" customHeight="1">
      <c r="A9997" s="9" t="s">
        <v>20913</v>
      </c>
      <c r="B9997" s="9" t="s">
        <v>20913</v>
      </c>
      <c r="C9997" s="9" t="s">
        <v>17</v>
      </c>
      <c r="D9997" s="9" t="s">
        <v>18</v>
      </c>
      <c r="E9997" s="10" t="s">
        <v>762</v>
      </c>
      <c r="F9997" s="9" t="s">
        <v>763</v>
      </c>
      <c r="G9997" s="10" t="s">
        <v>34</v>
      </c>
      <c r="H9997" s="9" t="s">
        <v>22</v>
      </c>
      <c r="I9997" s="9" t="s">
        <v>20925</v>
      </c>
      <c r="J9997" s="10" t="str">
        <f>HYPERLINK("https://www.boe.es/gazeta/dias/1834/11/07/pdfs/GMD-1834-266.pdf#page=1","Abrir facsímil")</f>
        <v>Abrir facsímil</v>
      </c>
      <c r="K9997" s="10" t="s">
        <v>24</v>
      </c>
    </row>
    <row r="9998" spans="1:11" ht="54" customHeight="1">
      <c r="A9998" s="9" t="s">
        <v>20913</v>
      </c>
      <c r="B9998" s="9" t="s">
        <v>20913</v>
      </c>
      <c r="C9998" s="9" t="s">
        <v>66</v>
      </c>
      <c r="D9998" s="9" t="s">
        <v>67</v>
      </c>
      <c r="E9998" s="10" t="s">
        <v>3170</v>
      </c>
      <c r="F9998" s="9" t="s">
        <v>3171</v>
      </c>
      <c r="G9998" s="10" t="s">
        <v>75</v>
      </c>
      <c r="H9998" s="9" t="s">
        <v>22</v>
      </c>
      <c r="I9998" s="9" t="s">
        <v>20926</v>
      </c>
      <c r="J9998" s="10" t="str">
        <f>HYPERLINK("https://www.boe.es/gazeta/dias/1834/12/07/pdfs/GMD-1834-296.pdf#page=4","Abrir facsímil")</f>
        <v>Abrir facsímil</v>
      </c>
      <c r="K9998" s="10" t="s">
        <v>24</v>
      </c>
    </row>
    <row r="9999" spans="1:11" ht="54" customHeight="1">
      <c r="A9999" s="9" t="s">
        <v>20913</v>
      </c>
      <c r="B9999" s="9" t="s">
        <v>20913</v>
      </c>
      <c r="C9999" s="9" t="s">
        <v>17</v>
      </c>
      <c r="D9999" s="9" t="s">
        <v>18</v>
      </c>
      <c r="E9999" s="10" t="s">
        <v>61</v>
      </c>
      <c r="F9999" s="9" t="s">
        <v>205</v>
      </c>
      <c r="G9999" s="10" t="s">
        <v>21</v>
      </c>
      <c r="H9999" s="9" t="s">
        <v>22</v>
      </c>
      <c r="I9999" s="9" t="s">
        <v>20927</v>
      </c>
      <c r="J9999" s="10" t="str">
        <f>HYPERLINK("https://www.boe.es/gazeta/dias/1834/06/08/pdfs/GMD-1834-110.pdf#page=3","Abrir facsímil")</f>
        <v>Abrir facsímil</v>
      </c>
      <c r="K9999" s="10" t="s">
        <v>24</v>
      </c>
    </row>
    <row r="10000" spans="1:11" ht="54" customHeight="1">
      <c r="A10000" s="9" t="s">
        <v>20913</v>
      </c>
      <c r="B10000" s="9" t="s">
        <v>20913</v>
      </c>
      <c r="C10000" s="9" t="s">
        <v>17</v>
      </c>
      <c r="D10000" s="9" t="s">
        <v>18</v>
      </c>
      <c r="E10000" s="10" t="s">
        <v>4637</v>
      </c>
      <c r="F10000" s="9" t="s">
        <v>4638</v>
      </c>
      <c r="G10000" s="10" t="s">
        <v>21</v>
      </c>
      <c r="H10000" s="9" t="s">
        <v>22</v>
      </c>
      <c r="I10000" s="9" t="s">
        <v>20928</v>
      </c>
      <c r="J10000" s="10" t="str">
        <f>HYPERLINK("https://www.boe.es/gazeta/dias/1834/12/08/pdfs/GMD-1834-297.pdf#page=3","Abrir facsímil")</f>
        <v>Abrir facsímil</v>
      </c>
      <c r="K10000" s="10" t="s">
        <v>24</v>
      </c>
    </row>
    <row r="10001" spans="1:11" ht="54" customHeight="1">
      <c r="A10001" s="9" t="s">
        <v>20913</v>
      </c>
      <c r="B10001" s="9" t="s">
        <v>20913</v>
      </c>
      <c r="C10001" s="9" t="s">
        <v>17</v>
      </c>
      <c r="D10001" s="9" t="s">
        <v>55</v>
      </c>
      <c r="E10001" s="10" t="s">
        <v>56</v>
      </c>
      <c r="F10001" s="9" t="s">
        <v>57</v>
      </c>
      <c r="G10001" s="10" t="s">
        <v>21</v>
      </c>
      <c r="H10001" s="9" t="s">
        <v>22</v>
      </c>
      <c r="I10001" s="9" t="s">
        <v>20929</v>
      </c>
      <c r="J10001" s="10" t="str">
        <f>HYPERLINK("https://www.boe.es/gazeta/dias/1834/07/09/pdfs/GMD-1834-142.pdf#page=3","Abrir facsímil")</f>
        <v>Abrir facsímil</v>
      </c>
      <c r="K10001" s="10" t="s">
        <v>24</v>
      </c>
    </row>
    <row r="10002" spans="1:11" ht="54" customHeight="1">
      <c r="A10002" s="9" t="s">
        <v>20913</v>
      </c>
      <c r="B10002" s="9" t="s">
        <v>20913</v>
      </c>
      <c r="C10002" s="9" t="s">
        <v>17</v>
      </c>
      <c r="D10002" s="9" t="s">
        <v>18</v>
      </c>
      <c r="E10002" s="10" t="s">
        <v>1178</v>
      </c>
      <c r="F10002" s="9" t="s">
        <v>14853</v>
      </c>
      <c r="G10002" s="10" t="s">
        <v>86</v>
      </c>
      <c r="H10002" s="9" t="s">
        <v>22</v>
      </c>
      <c r="I10002" s="9" t="s">
        <v>20930</v>
      </c>
      <c r="J10002" s="10" t="str">
        <f>HYPERLINK("https://www.boe.es/gazeta/dias/1834/04/10/pdfs/I00227-00228.pdf#page=2","Abrir facsímil")</f>
        <v>Abrir facsímil</v>
      </c>
      <c r="K10002" s="10" t="s">
        <v>24</v>
      </c>
    </row>
    <row r="10003" spans="1:11" ht="54" customHeight="1">
      <c r="A10003" s="9" t="s">
        <v>20913</v>
      </c>
      <c r="B10003" s="9" t="s">
        <v>20913</v>
      </c>
      <c r="C10003" s="9" t="s">
        <v>17</v>
      </c>
      <c r="D10003" s="9" t="s">
        <v>18</v>
      </c>
      <c r="E10003" s="10" t="s">
        <v>1178</v>
      </c>
      <c r="F10003" s="9" t="s">
        <v>14853</v>
      </c>
      <c r="G10003" s="10" t="s">
        <v>75</v>
      </c>
      <c r="H10003" s="9" t="s">
        <v>22</v>
      </c>
      <c r="I10003" s="9" t="s">
        <v>20930</v>
      </c>
      <c r="J10003" s="10" t="str">
        <f>HYPERLINK("https://www.boe.es/gazeta/dias/1834/04/10/pdfs/GMD-1834-49.pdf#page=4","Abrir facsímil")</f>
        <v>Abrir facsímil</v>
      </c>
      <c r="K10003" s="10" t="s">
        <v>24</v>
      </c>
    </row>
    <row r="10004" spans="1:11" ht="54" customHeight="1">
      <c r="A10004" s="9" t="s">
        <v>20913</v>
      </c>
      <c r="B10004" s="9" t="s">
        <v>20913</v>
      </c>
      <c r="C10004" s="9" t="s">
        <v>17</v>
      </c>
      <c r="D10004" s="9" t="s">
        <v>55</v>
      </c>
      <c r="E10004" s="10" t="s">
        <v>939</v>
      </c>
      <c r="F10004" s="9" t="s">
        <v>940</v>
      </c>
      <c r="G10004" s="10" t="s">
        <v>34</v>
      </c>
      <c r="H10004" s="9" t="s">
        <v>22</v>
      </c>
      <c r="I10004" s="9" t="s">
        <v>20931</v>
      </c>
      <c r="J10004" s="10" t="str">
        <f>HYPERLINK("https://www.boe.es/gazeta/dias/1834/06/10/pdfs/GMD-1834-113.pdf#page=1","Abrir facsímil")</f>
        <v>Abrir facsímil</v>
      </c>
      <c r="K10004" s="10" t="s">
        <v>24</v>
      </c>
    </row>
    <row r="10005" spans="1:11" ht="54" customHeight="1">
      <c r="A10005" s="9" t="s">
        <v>20913</v>
      </c>
      <c r="B10005" s="9" t="s">
        <v>20913</v>
      </c>
      <c r="C10005" s="9" t="s">
        <v>17</v>
      </c>
      <c r="D10005" s="9" t="s">
        <v>18</v>
      </c>
      <c r="E10005" s="10" t="s">
        <v>679</v>
      </c>
      <c r="F10005" s="9" t="s">
        <v>699</v>
      </c>
      <c r="G10005" s="10" t="s">
        <v>86</v>
      </c>
      <c r="H10005" s="9" t="s">
        <v>22</v>
      </c>
      <c r="I10005" s="9" t="s">
        <v>20932</v>
      </c>
      <c r="J10005" s="10" t="str">
        <f>HYPERLINK("https://www.boe.es/gazeta/dias/1834/12/10/pdfs/GMD-C-1834-299.pdf#page=2","Abrir facsímil")</f>
        <v>Abrir facsímil</v>
      </c>
      <c r="K10005" s="10" t="s">
        <v>24</v>
      </c>
    </row>
    <row r="10006" spans="1:11" ht="54" customHeight="1">
      <c r="A10006" s="9" t="s">
        <v>20913</v>
      </c>
      <c r="B10006" s="9" t="s">
        <v>20913</v>
      </c>
      <c r="C10006" s="9" t="s">
        <v>66</v>
      </c>
      <c r="D10006" s="9" t="s">
        <v>67</v>
      </c>
      <c r="E10006" s="10" t="s">
        <v>5435</v>
      </c>
      <c r="F10006" s="9" t="s">
        <v>5436</v>
      </c>
      <c r="G10006" s="10" t="s">
        <v>21</v>
      </c>
      <c r="H10006" s="9" t="s">
        <v>22</v>
      </c>
      <c r="I10006" s="9" t="s">
        <v>20933</v>
      </c>
      <c r="J10006" s="10" t="str">
        <f>HYPERLINK("https://www.boe.es/gazeta/dias/1834/05/11/pdfs/GMD-1834-80.pdf#page=3","Abrir facsímil")</f>
        <v>Abrir facsímil</v>
      </c>
      <c r="K10006" s="10" t="s">
        <v>24</v>
      </c>
    </row>
    <row r="10007" spans="1:11" ht="54" customHeight="1">
      <c r="A10007" s="9" t="s">
        <v>20913</v>
      </c>
      <c r="B10007" s="9" t="s">
        <v>20913</v>
      </c>
      <c r="C10007" s="9" t="s">
        <v>46</v>
      </c>
      <c r="D10007" s="9" t="s">
        <v>18</v>
      </c>
      <c r="E10007" s="10" t="s">
        <v>808</v>
      </c>
      <c r="F10007" s="9" t="s">
        <v>809</v>
      </c>
      <c r="G10007" s="10" t="s">
        <v>21</v>
      </c>
      <c r="H10007" s="9" t="s">
        <v>22</v>
      </c>
      <c r="I10007" s="9" t="s">
        <v>20934</v>
      </c>
      <c r="J10007" s="10" t="str">
        <f>HYPERLINK("https://www.boe.es/gazeta/dias/1834/10/11/pdfs/GMD-1834-239.pdf#page=3","Abrir facsímil")</f>
        <v>Abrir facsímil</v>
      </c>
      <c r="K10007" s="10" t="s">
        <v>24</v>
      </c>
    </row>
    <row r="10008" spans="1:11" ht="54" customHeight="1">
      <c r="A10008" s="9" t="s">
        <v>20913</v>
      </c>
      <c r="B10008" s="9" t="s">
        <v>20913</v>
      </c>
      <c r="C10008" s="9" t="s">
        <v>17</v>
      </c>
      <c r="D10008" s="9" t="s">
        <v>18</v>
      </c>
      <c r="E10008" s="10" t="s">
        <v>808</v>
      </c>
      <c r="F10008" s="9" t="s">
        <v>809</v>
      </c>
      <c r="G10008" s="10" t="s">
        <v>75</v>
      </c>
      <c r="H10008" s="9" t="s">
        <v>22</v>
      </c>
      <c r="I10008" s="9" t="s">
        <v>20935</v>
      </c>
      <c r="J10008" s="10" t="str">
        <f>HYPERLINK("https://www.boe.es/gazeta/dias/1834/10/11/pdfs/GMD-1834-239.pdf#page=4","Abrir facsímil")</f>
        <v>Abrir facsímil</v>
      </c>
      <c r="K10008" s="10" t="s">
        <v>24</v>
      </c>
    </row>
    <row r="10009" spans="1:11" ht="54" customHeight="1">
      <c r="A10009" s="9" t="s">
        <v>20913</v>
      </c>
      <c r="B10009" s="9" t="s">
        <v>20913</v>
      </c>
      <c r="C10009" s="9" t="s">
        <v>90</v>
      </c>
      <c r="D10009" s="9" t="s">
        <v>18</v>
      </c>
      <c r="E10009" s="10" t="s">
        <v>96</v>
      </c>
      <c r="F10009" s="9" t="s">
        <v>1725</v>
      </c>
      <c r="G10009" s="10" t="s">
        <v>75</v>
      </c>
      <c r="H10009" s="9" t="s">
        <v>22</v>
      </c>
      <c r="I10009" s="9" t="s">
        <v>20936</v>
      </c>
      <c r="J10009" s="10" t="str">
        <f>HYPERLINK("https://www.boe.es/gazeta/dias/1834/11/11/pdfs/GMD-1834-270.pdf#page=4","Abrir facsímil")</f>
        <v>Abrir facsímil</v>
      </c>
      <c r="K10009" s="10" t="s">
        <v>24</v>
      </c>
    </row>
    <row r="10010" spans="1:11" ht="54" customHeight="1">
      <c r="A10010" s="9" t="s">
        <v>20913</v>
      </c>
      <c r="B10010" s="9" t="s">
        <v>20913</v>
      </c>
      <c r="C10010" s="9" t="s">
        <v>122</v>
      </c>
      <c r="D10010" s="9" t="s">
        <v>40</v>
      </c>
      <c r="E10010" s="10" t="s">
        <v>348</v>
      </c>
      <c r="F10010" s="9" t="s">
        <v>501</v>
      </c>
      <c r="G10010" s="10" t="s">
        <v>21</v>
      </c>
      <c r="H10010" s="9" t="s">
        <v>22</v>
      </c>
      <c r="I10010" s="9" t="s">
        <v>20937</v>
      </c>
      <c r="J10010" s="10" t="str">
        <f>HYPERLINK("https://www.boe.es/gazeta/dias/1834/06/12/pdfs/GMD-1834-115.pdf#page=3","Abrir facsímil")</f>
        <v>Abrir facsímil</v>
      </c>
      <c r="K10010" s="10" t="s">
        <v>24</v>
      </c>
    </row>
    <row r="10011" spans="1:11" ht="54" customHeight="1">
      <c r="A10011" s="9" t="s">
        <v>20913</v>
      </c>
      <c r="B10011" s="9" t="s">
        <v>20913</v>
      </c>
      <c r="C10011" s="9" t="s">
        <v>17</v>
      </c>
      <c r="D10011" s="9" t="s">
        <v>18</v>
      </c>
      <c r="E10011" s="10" t="s">
        <v>642</v>
      </c>
      <c r="F10011" s="9" t="s">
        <v>643</v>
      </c>
      <c r="G10011" s="10" t="s">
        <v>21</v>
      </c>
      <c r="H10011" s="9" t="s">
        <v>22</v>
      </c>
      <c r="I10011" s="9" t="s">
        <v>20938</v>
      </c>
      <c r="J10011" s="10" t="str">
        <f>HYPERLINK("https://www.boe.es/gazeta/dias/1834/11/12/pdfs/GMD-C-1834-271.pdf#page=3","Abrir facsímil")</f>
        <v>Abrir facsímil</v>
      </c>
      <c r="K10011" s="10" t="s">
        <v>24</v>
      </c>
    </row>
    <row r="10012" spans="1:11" ht="54" customHeight="1">
      <c r="A10012" s="9" t="s">
        <v>20913</v>
      </c>
      <c r="B10012" s="9" t="s">
        <v>20913</v>
      </c>
      <c r="C10012" s="9" t="s">
        <v>17</v>
      </c>
      <c r="D10012" s="9" t="s">
        <v>40</v>
      </c>
      <c r="E10012" s="10" t="s">
        <v>844</v>
      </c>
      <c r="F10012" s="9" t="s">
        <v>845</v>
      </c>
      <c r="G10012" s="10" t="s">
        <v>75</v>
      </c>
      <c r="H10012" s="9" t="s">
        <v>22</v>
      </c>
      <c r="I10012" s="9" t="s">
        <v>20939</v>
      </c>
      <c r="J10012" s="10" t="str">
        <f>HYPERLINK("https://www.boe.es/gazeta/dias/1834/03/13/pdfs/GMD-1834-32.pdf#page=4","Abrir facsímil")</f>
        <v>Abrir facsímil</v>
      </c>
      <c r="K10012" s="10" t="s">
        <v>24</v>
      </c>
    </row>
    <row r="10013" spans="1:11" ht="54" customHeight="1">
      <c r="A10013" s="9" t="s">
        <v>20913</v>
      </c>
      <c r="B10013" s="9" t="s">
        <v>20913</v>
      </c>
      <c r="C10013" s="9" t="s">
        <v>90</v>
      </c>
      <c r="D10013" s="9" t="s">
        <v>18</v>
      </c>
      <c r="E10013" s="10" t="s">
        <v>1186</v>
      </c>
      <c r="F10013" s="9" t="s">
        <v>4286</v>
      </c>
      <c r="G10013" s="10" t="s">
        <v>86</v>
      </c>
      <c r="H10013" s="9" t="s">
        <v>22</v>
      </c>
      <c r="I10013" s="9" t="s">
        <v>20940</v>
      </c>
      <c r="J10013" s="10" t="str">
        <f>HYPERLINK("https://www.boe.es/gazeta/dias/1834/08/14/pdfs/GMD-C-1834-179.pdf#page=2","Abrir facsímil")</f>
        <v>Abrir facsímil</v>
      </c>
      <c r="K10013" s="10" t="s">
        <v>24</v>
      </c>
    </row>
    <row r="10014" spans="1:11" ht="54" customHeight="1">
      <c r="A10014" s="9" t="s">
        <v>20913</v>
      </c>
      <c r="B10014" s="9" t="s">
        <v>20913</v>
      </c>
      <c r="C10014" s="9" t="s">
        <v>122</v>
      </c>
      <c r="D10014" s="9" t="s">
        <v>101</v>
      </c>
      <c r="E10014" s="10" t="s">
        <v>601</v>
      </c>
      <c r="F10014" s="9" t="s">
        <v>14585</v>
      </c>
      <c r="G10014" s="10" t="s">
        <v>34</v>
      </c>
      <c r="H10014" s="9" t="s">
        <v>22</v>
      </c>
      <c r="I10014" s="9" t="s">
        <v>20941</v>
      </c>
      <c r="J10014" s="10" t="str">
        <f>HYPERLINK("https://www.boe.es/gazeta/dias/1834/08/16/pdfs/GMD-C-1834-181.pdf#page=1","Abrir facsímil")</f>
        <v>Abrir facsímil</v>
      </c>
      <c r="K10014" s="10" t="s">
        <v>24</v>
      </c>
    </row>
    <row r="10015" spans="1:11" ht="54" customHeight="1">
      <c r="A10015" s="9" t="s">
        <v>20913</v>
      </c>
      <c r="B10015" s="9" t="s">
        <v>20913</v>
      </c>
      <c r="C10015" s="9" t="s">
        <v>17</v>
      </c>
      <c r="D10015" s="9" t="s">
        <v>40</v>
      </c>
      <c r="E10015" s="10" t="s">
        <v>1125</v>
      </c>
      <c r="F10015" s="9" t="s">
        <v>2490</v>
      </c>
      <c r="G10015" s="10" t="s">
        <v>470</v>
      </c>
      <c r="H10015" s="9" t="s">
        <v>22</v>
      </c>
      <c r="I10015" s="9" t="s">
        <v>20942</v>
      </c>
      <c r="J10015" s="10" t="str">
        <f>HYPERLINK("https://www.boe.es/gazeta/dias/1834/04/17/pdfs/GMD-1834-56.pdf#page=8","Abrir facsímil")</f>
        <v>Abrir facsímil</v>
      </c>
      <c r="K10015" s="10" t="s">
        <v>24</v>
      </c>
    </row>
    <row r="10016" spans="1:11" ht="54" customHeight="1">
      <c r="A10016" s="9" t="s">
        <v>20913</v>
      </c>
      <c r="B10016" s="9" t="s">
        <v>20913</v>
      </c>
      <c r="C10016" s="9" t="s">
        <v>17</v>
      </c>
      <c r="D10016" s="9" t="s">
        <v>18</v>
      </c>
      <c r="E10016" s="10" t="s">
        <v>19</v>
      </c>
      <c r="F10016" s="9" t="s">
        <v>107</v>
      </c>
      <c r="G10016" s="10" t="s">
        <v>34</v>
      </c>
      <c r="H10016" s="9" t="s">
        <v>22</v>
      </c>
      <c r="I10016" s="9" t="s">
        <v>20943</v>
      </c>
      <c r="J10016" s="10" t="str">
        <f>HYPERLINK("https://www.boe.es/gazeta/dias/1834/08/17/pdfs/GMD-1834-182.pdf#page=1","Abrir facsímil")</f>
        <v>Abrir facsímil</v>
      </c>
      <c r="K10016" s="10" t="s">
        <v>24</v>
      </c>
    </row>
    <row r="10017" spans="1:11" ht="54" customHeight="1">
      <c r="A10017" s="9" t="s">
        <v>20913</v>
      </c>
      <c r="B10017" s="9" t="s">
        <v>20913</v>
      </c>
      <c r="C10017" s="9" t="s">
        <v>17</v>
      </c>
      <c r="D10017" s="9" t="s">
        <v>18</v>
      </c>
      <c r="E10017" s="10" t="s">
        <v>19</v>
      </c>
      <c r="F10017" s="9" t="s">
        <v>20</v>
      </c>
      <c r="G10017" s="10" t="s">
        <v>86</v>
      </c>
      <c r="H10017" s="9" t="s">
        <v>22</v>
      </c>
      <c r="I10017" s="9" t="s">
        <v>20944</v>
      </c>
      <c r="J10017" s="10" t="str">
        <f>HYPERLINK("https://www.boe.es/gazeta/dias/1834/08/17/pdfs/GMD-C-1834-182.pdf#page=2","Abrir facsímil")</f>
        <v>Abrir facsímil</v>
      </c>
      <c r="K10017" s="10" t="s">
        <v>24</v>
      </c>
    </row>
    <row r="10018" spans="1:11" ht="54" customHeight="1">
      <c r="A10018" s="9" t="s">
        <v>20913</v>
      </c>
      <c r="B10018" s="9" t="s">
        <v>20913</v>
      </c>
      <c r="C10018" s="9" t="s">
        <v>90</v>
      </c>
      <c r="D10018" s="9" t="s">
        <v>18</v>
      </c>
      <c r="E10018" s="10" t="s">
        <v>2278</v>
      </c>
      <c r="F10018" s="9" t="s">
        <v>2279</v>
      </c>
      <c r="G10018" s="10" t="s">
        <v>86</v>
      </c>
      <c r="H10018" s="9" t="s">
        <v>22</v>
      </c>
      <c r="I10018" s="9" t="s">
        <v>20945</v>
      </c>
      <c r="J10018" s="10" t="str">
        <f>HYPERLINK("https://www.boe.es/gazeta/dias/1834/12/17/pdfs/GMD-C-1834-306.pdf#page=2","Abrir facsímil")</f>
        <v>Abrir facsímil</v>
      </c>
      <c r="K10018" s="10" t="s">
        <v>24</v>
      </c>
    </row>
    <row r="10019" spans="1:11" ht="54" customHeight="1">
      <c r="A10019" s="9" t="s">
        <v>20913</v>
      </c>
      <c r="B10019" s="9" t="s">
        <v>20913</v>
      </c>
      <c r="C10019" s="9" t="s">
        <v>17</v>
      </c>
      <c r="D10019" s="9" t="s">
        <v>18</v>
      </c>
      <c r="E10019" s="10" t="s">
        <v>2278</v>
      </c>
      <c r="F10019" s="9" t="s">
        <v>2279</v>
      </c>
      <c r="G10019" s="10" t="s">
        <v>75</v>
      </c>
      <c r="H10019" s="9" t="s">
        <v>22</v>
      </c>
      <c r="I10019" s="9" t="s">
        <v>20946</v>
      </c>
      <c r="J10019" s="10" t="str">
        <f>HYPERLINK("https://www.boe.es/gazeta/dias/1834/12/17/pdfs/GMD-C-1834-306.pdf#page=4","Abrir facsímil")</f>
        <v>Abrir facsímil</v>
      </c>
      <c r="K10019" s="10" t="s">
        <v>24</v>
      </c>
    </row>
    <row r="10020" spans="1:11" ht="54" customHeight="1">
      <c r="A10020" s="9" t="s">
        <v>20913</v>
      </c>
      <c r="B10020" s="9" t="s">
        <v>20913</v>
      </c>
      <c r="C10020" s="9" t="s">
        <v>17</v>
      </c>
      <c r="D10020" s="9" t="s">
        <v>40</v>
      </c>
      <c r="E10020" s="10" t="s">
        <v>541</v>
      </c>
      <c r="F10020" s="9" t="s">
        <v>542</v>
      </c>
      <c r="G10020" s="10" t="s">
        <v>34</v>
      </c>
      <c r="H10020" s="9" t="s">
        <v>22</v>
      </c>
      <c r="I10020" s="9" t="s">
        <v>20947</v>
      </c>
      <c r="J10020" s="10" t="str">
        <f>HYPERLINK("https://www.boe.es/gazeta/dias/1834/04/18/pdfs/GMD-1834-57.pdf#page=1","Abrir facsímil")</f>
        <v>Abrir facsímil</v>
      </c>
      <c r="K10020" s="10" t="s">
        <v>24</v>
      </c>
    </row>
    <row r="10021" spans="1:11" ht="54" customHeight="1">
      <c r="A10021" s="9" t="s">
        <v>20913</v>
      </c>
      <c r="B10021" s="9" t="s">
        <v>20913</v>
      </c>
      <c r="C10021" s="9" t="s">
        <v>66</v>
      </c>
      <c r="D10021" s="9" t="s">
        <v>67</v>
      </c>
      <c r="E10021" s="10" t="s">
        <v>133</v>
      </c>
      <c r="F10021" s="9" t="s">
        <v>134</v>
      </c>
      <c r="G10021" s="10" t="s">
        <v>34</v>
      </c>
      <c r="H10021" s="9" t="s">
        <v>22</v>
      </c>
      <c r="I10021" s="9" t="s">
        <v>20948</v>
      </c>
      <c r="J10021" s="10" t="str">
        <f>HYPERLINK("https://www.boe.es/gazeta/dias/1834/06/18/pdfs/GMD-1834-121.pdf#page=1","Abrir facsímil")</f>
        <v>Abrir facsímil</v>
      </c>
      <c r="K10021" s="10" t="s">
        <v>24</v>
      </c>
    </row>
    <row r="10022" spans="1:11" ht="54" customHeight="1">
      <c r="A10022" s="9" t="s">
        <v>20913</v>
      </c>
      <c r="B10022" s="9" t="s">
        <v>20913</v>
      </c>
      <c r="C10022" s="9" t="s">
        <v>90</v>
      </c>
      <c r="D10022" s="9" t="s">
        <v>18</v>
      </c>
      <c r="E10022" s="10" t="s">
        <v>772</v>
      </c>
      <c r="F10022" s="9" t="s">
        <v>2284</v>
      </c>
      <c r="G10022" s="10" t="s">
        <v>34</v>
      </c>
      <c r="H10022" s="9" t="s">
        <v>22</v>
      </c>
      <c r="I10022" s="9" t="s">
        <v>20949</v>
      </c>
      <c r="J10022" s="10" t="str">
        <f>HYPERLINK("https://www.boe.es/gazeta/dias/1834/09/18/pdfs/GMD-C-1834-216.pdf#page=1","Abrir facsímil")</f>
        <v>Abrir facsímil</v>
      </c>
      <c r="K10022" s="10" t="s">
        <v>24</v>
      </c>
    </row>
    <row r="10023" spans="1:11" ht="54" customHeight="1">
      <c r="A10023" s="9" t="s">
        <v>20950</v>
      </c>
      <c r="B10023" s="9" t="s">
        <v>20950</v>
      </c>
      <c r="C10023" s="9" t="s">
        <v>122</v>
      </c>
      <c r="D10023" s="9" t="s">
        <v>18</v>
      </c>
      <c r="E10023" s="10" t="s">
        <v>2287</v>
      </c>
      <c r="F10023" s="9" t="s">
        <v>4741</v>
      </c>
      <c r="G10023" s="10" t="s">
        <v>75</v>
      </c>
      <c r="H10023" s="9" t="s">
        <v>22</v>
      </c>
      <c r="I10023" s="9" t="s">
        <v>20951</v>
      </c>
      <c r="J10023" s="10" t="str">
        <f>HYPERLINK("https://www.boe.es/gazeta/dias/1834/12/18/pdfs/GMD-1834-308.pdf#page=4","Abrir facsímil")</f>
        <v>Abrir facsímil</v>
      </c>
      <c r="K10023" s="10" t="s">
        <v>24</v>
      </c>
    </row>
    <row r="10024" spans="1:11" ht="54" customHeight="1">
      <c r="A10024" s="9" t="s">
        <v>20913</v>
      </c>
      <c r="B10024" s="9" t="s">
        <v>20913</v>
      </c>
      <c r="C10024" s="9" t="s">
        <v>17</v>
      </c>
      <c r="D10024" s="9" t="s">
        <v>18</v>
      </c>
      <c r="E10024" s="10" t="s">
        <v>2287</v>
      </c>
      <c r="F10024" s="9" t="s">
        <v>2288</v>
      </c>
      <c r="G10024" s="10" t="s">
        <v>75</v>
      </c>
      <c r="H10024" s="9" t="s">
        <v>22</v>
      </c>
      <c r="I10024" s="9" t="s">
        <v>20952</v>
      </c>
      <c r="J10024" s="10" t="str">
        <f>HYPERLINK("https://www.boe.es/gazeta/dias/1834/12/18/pdfs/GMD-C-1834-308.pdf#page=4","Abrir facsímil")</f>
        <v>Abrir facsímil</v>
      </c>
      <c r="K10024" s="10" t="s">
        <v>24</v>
      </c>
    </row>
    <row r="10025" spans="1:11" ht="54" customHeight="1">
      <c r="A10025" s="9" t="s">
        <v>20913</v>
      </c>
      <c r="B10025" s="9" t="s">
        <v>20913</v>
      </c>
      <c r="C10025" s="9" t="s">
        <v>66</v>
      </c>
      <c r="D10025" s="9" t="s">
        <v>67</v>
      </c>
      <c r="E10025" s="10" t="s">
        <v>563</v>
      </c>
      <c r="F10025" s="9" t="s">
        <v>5858</v>
      </c>
      <c r="G10025" s="10" t="s">
        <v>86</v>
      </c>
      <c r="H10025" s="9" t="s">
        <v>22</v>
      </c>
      <c r="I10025" s="9" t="s">
        <v>20953</v>
      </c>
      <c r="J10025" s="10" t="str">
        <f>HYPERLINK("https://www.boe.es/gazeta/dias/1834/04/19/pdfs/GMD-C-1834-58.pdf#page=2","Abrir facsímil")</f>
        <v>Abrir facsímil</v>
      </c>
      <c r="K10025" s="10" t="s">
        <v>24</v>
      </c>
    </row>
    <row r="10026" spans="1:11" ht="54" customHeight="1">
      <c r="A10026" s="9" t="s">
        <v>20913</v>
      </c>
      <c r="B10026" s="9" t="s">
        <v>20913</v>
      </c>
      <c r="C10026" s="9" t="s">
        <v>90</v>
      </c>
      <c r="D10026" s="9" t="s">
        <v>18</v>
      </c>
      <c r="E10026" s="10" t="s">
        <v>1669</v>
      </c>
      <c r="F10026" s="9" t="s">
        <v>1670</v>
      </c>
      <c r="G10026" s="10" t="s">
        <v>34</v>
      </c>
      <c r="H10026" s="9" t="s">
        <v>22</v>
      </c>
      <c r="I10026" s="9" t="s">
        <v>20954</v>
      </c>
      <c r="J10026" s="10" t="str">
        <f>HYPERLINK("https://www.boe.es/gazeta/dias/1834/06/19/pdfs/GMD-1834-122.pdf#page=1","Abrir facsímil")</f>
        <v>Abrir facsímil</v>
      </c>
      <c r="K10026" s="10" t="s">
        <v>24</v>
      </c>
    </row>
    <row r="10027" spans="1:11" ht="54" customHeight="1">
      <c r="A10027" s="9" t="s">
        <v>20913</v>
      </c>
      <c r="B10027" s="9" t="s">
        <v>20913</v>
      </c>
      <c r="C10027" s="9" t="s">
        <v>17</v>
      </c>
      <c r="D10027" s="9" t="s">
        <v>18</v>
      </c>
      <c r="E10027" s="10" t="s">
        <v>265</v>
      </c>
      <c r="F10027" s="9" t="s">
        <v>266</v>
      </c>
      <c r="G10027" s="10" t="s">
        <v>75</v>
      </c>
      <c r="H10027" s="9" t="s">
        <v>22</v>
      </c>
      <c r="I10027" s="9" t="s">
        <v>20955</v>
      </c>
      <c r="J10027" s="10" t="str">
        <f>HYPERLINK("https://www.boe.es/gazeta/dias/1834/11/19/pdfs/GMD-C-1834-278.pdf#page=4","Abrir facsímil")</f>
        <v>Abrir facsímil</v>
      </c>
      <c r="K10027" s="10" t="s">
        <v>24</v>
      </c>
    </row>
    <row r="10028" spans="1:11" ht="54" customHeight="1">
      <c r="A10028" s="9" t="s">
        <v>20913</v>
      </c>
      <c r="B10028" s="9" t="s">
        <v>20913</v>
      </c>
      <c r="C10028" s="9" t="s">
        <v>90</v>
      </c>
      <c r="D10028" s="9" t="s">
        <v>101</v>
      </c>
      <c r="E10028" s="10" t="s">
        <v>3248</v>
      </c>
      <c r="F10028" s="9" t="s">
        <v>3249</v>
      </c>
      <c r="G10028" s="10" t="s">
        <v>34</v>
      </c>
      <c r="H10028" s="9" t="s">
        <v>22</v>
      </c>
      <c r="I10028" s="9" t="s">
        <v>20956</v>
      </c>
      <c r="J10028" s="10" t="str">
        <f>HYPERLINK("https://www.boe.es/gazeta/dias/1834/09/20/pdfs/GMD-1834-218.pdf#page=1","Abrir facsímil")</f>
        <v>Abrir facsímil</v>
      </c>
      <c r="K10028" s="10" t="s">
        <v>24</v>
      </c>
    </row>
    <row r="10029" spans="1:11" ht="54" customHeight="1">
      <c r="A10029" s="9" t="s">
        <v>20913</v>
      </c>
      <c r="B10029" s="9" t="s">
        <v>20913</v>
      </c>
      <c r="C10029" s="9" t="s">
        <v>17</v>
      </c>
      <c r="D10029" s="9" t="s">
        <v>18</v>
      </c>
      <c r="E10029" s="10" t="s">
        <v>4169</v>
      </c>
      <c r="F10029" s="9" t="s">
        <v>4170</v>
      </c>
      <c r="G10029" s="10" t="s">
        <v>75</v>
      </c>
      <c r="H10029" s="9" t="s">
        <v>22</v>
      </c>
      <c r="I10029" s="9" t="s">
        <v>20957</v>
      </c>
      <c r="J10029" s="10" t="str">
        <f>HYPERLINK("https://www.boe.es/gazeta/dias/1834/11/20/pdfs/GMD-1834-279.pdf#page=4","Abrir facsímil")</f>
        <v>Abrir facsímil</v>
      </c>
      <c r="K10029" s="10" t="s">
        <v>24</v>
      </c>
    </row>
    <row r="10030" spans="1:11" ht="54" customHeight="1">
      <c r="A10030" s="9" t="s">
        <v>20913</v>
      </c>
      <c r="B10030" s="9" t="s">
        <v>20913</v>
      </c>
      <c r="C10030" s="9" t="s">
        <v>122</v>
      </c>
      <c r="D10030" s="9" t="s">
        <v>40</v>
      </c>
      <c r="E10030" s="10" t="s">
        <v>117</v>
      </c>
      <c r="F10030" s="9" t="s">
        <v>118</v>
      </c>
      <c r="G10030" s="10" t="s">
        <v>75</v>
      </c>
      <c r="H10030" s="9" t="s">
        <v>22</v>
      </c>
      <c r="I10030" s="9" t="s">
        <v>20958</v>
      </c>
      <c r="J10030" s="10" t="str">
        <f>HYPERLINK("https://www.boe.es/gazeta/dias/1834/07/21/pdfs/GMD-1834-154.pdf#page=4","Abrir facsímil")</f>
        <v>Abrir facsímil</v>
      </c>
      <c r="K10030" s="10" t="s">
        <v>24</v>
      </c>
    </row>
    <row r="10031" spans="1:11" ht="54" customHeight="1">
      <c r="A10031" s="9" t="s">
        <v>20913</v>
      </c>
      <c r="B10031" s="9" t="s">
        <v>20913</v>
      </c>
      <c r="C10031" s="9" t="s">
        <v>17</v>
      </c>
      <c r="D10031" s="9" t="s">
        <v>18</v>
      </c>
      <c r="E10031" s="10" t="s">
        <v>981</v>
      </c>
      <c r="F10031" s="9" t="s">
        <v>982</v>
      </c>
      <c r="G10031" s="10" t="s">
        <v>34</v>
      </c>
      <c r="H10031" s="9" t="s">
        <v>22</v>
      </c>
      <c r="I10031" s="9" t="s">
        <v>20959</v>
      </c>
      <c r="J10031" s="10" t="str">
        <f>HYPERLINK("https://www.boe.es/gazeta/dias/1834/09/21/pdfs/GMD-1834-219.pdf#page=1","Abrir facsímil")</f>
        <v>Abrir facsímil</v>
      </c>
      <c r="K10031" s="10" t="s">
        <v>24</v>
      </c>
    </row>
    <row r="10032" spans="1:11" ht="54" customHeight="1">
      <c r="A10032" s="9" t="s">
        <v>20913</v>
      </c>
      <c r="B10032" s="9" t="s">
        <v>20913</v>
      </c>
      <c r="C10032" s="9" t="s">
        <v>66</v>
      </c>
      <c r="D10032" s="9" t="s">
        <v>67</v>
      </c>
      <c r="E10032" s="10" t="s">
        <v>1918</v>
      </c>
      <c r="F10032" s="9" t="s">
        <v>2024</v>
      </c>
      <c r="G10032" s="10" t="s">
        <v>34</v>
      </c>
      <c r="H10032" s="9" t="s">
        <v>22</v>
      </c>
      <c r="I10032" s="9" t="s">
        <v>20960</v>
      </c>
      <c r="J10032" s="10" t="str">
        <f>HYPERLINK("https://www.boe.es/gazeta/dias/1834/03/22/pdfs/GMD-C-1834-36.pdf#page=1","Abrir facsímil")</f>
        <v>Abrir facsímil</v>
      </c>
      <c r="K10032" s="10" t="s">
        <v>24</v>
      </c>
    </row>
    <row r="10033" spans="1:11" ht="54" customHeight="1">
      <c r="A10033" s="9" t="s">
        <v>20913</v>
      </c>
      <c r="B10033" s="9" t="s">
        <v>20913</v>
      </c>
      <c r="C10033" s="9" t="s">
        <v>17</v>
      </c>
      <c r="D10033" s="9" t="s">
        <v>40</v>
      </c>
      <c r="E10033" s="10" t="s">
        <v>32</v>
      </c>
      <c r="F10033" s="9" t="s">
        <v>33</v>
      </c>
      <c r="G10033" s="10" t="s">
        <v>176</v>
      </c>
      <c r="H10033" s="9" t="s">
        <v>22</v>
      </c>
      <c r="I10033" s="9" t="s">
        <v>20961</v>
      </c>
      <c r="J10033" s="10" t="str">
        <f>HYPERLINK("https://www.boe.es/gazeta/dias/1834/04/23/pdfs/GMD-1834-62.pdf#page=6","Abrir facsímil")</f>
        <v>Abrir facsímil</v>
      </c>
      <c r="K10033" s="10" t="s">
        <v>24</v>
      </c>
    </row>
    <row r="10034" spans="1:11" ht="54" customHeight="1">
      <c r="A10034" s="9" t="s">
        <v>20913</v>
      </c>
      <c r="B10034" s="9" t="s">
        <v>20913</v>
      </c>
      <c r="C10034" s="9" t="s">
        <v>122</v>
      </c>
      <c r="D10034" s="9" t="s">
        <v>18</v>
      </c>
      <c r="E10034" s="10" t="s">
        <v>2937</v>
      </c>
      <c r="F10034" s="9" t="s">
        <v>2938</v>
      </c>
      <c r="G10034" s="10" t="s">
        <v>34</v>
      </c>
      <c r="H10034" s="9" t="s">
        <v>22</v>
      </c>
      <c r="I10034" s="9" t="s">
        <v>20962</v>
      </c>
      <c r="J10034" s="10" t="str">
        <f>HYPERLINK("https://www.boe.es/gazeta/dias/1834/06/25/pdfs/GMD-1834-128.pdf#page=1","Abrir facsímil")</f>
        <v>Abrir facsímil</v>
      </c>
      <c r="K10034" s="10" t="s">
        <v>24</v>
      </c>
    </row>
    <row r="10035" spans="1:11" ht="54" customHeight="1">
      <c r="A10035" s="9" t="s">
        <v>20913</v>
      </c>
      <c r="B10035" s="9" t="s">
        <v>20913</v>
      </c>
      <c r="C10035" s="9" t="s">
        <v>122</v>
      </c>
      <c r="D10035" s="9" t="s">
        <v>40</v>
      </c>
      <c r="E10035" s="10" t="s">
        <v>403</v>
      </c>
      <c r="F10035" s="9" t="s">
        <v>3456</v>
      </c>
      <c r="G10035" s="10" t="s">
        <v>75</v>
      </c>
      <c r="H10035" s="9" t="s">
        <v>22</v>
      </c>
      <c r="I10035" s="9" t="s">
        <v>20963</v>
      </c>
      <c r="J10035" s="10" t="str">
        <f>HYPERLINK("https://www.boe.es/gazeta/dias/1834/09/25/pdfs/GMD-1834-223.pdf#page=4","Abrir facsímil")</f>
        <v>Abrir facsímil</v>
      </c>
      <c r="K10035" s="10" t="s">
        <v>24</v>
      </c>
    </row>
    <row r="10036" spans="1:11" ht="54" customHeight="1">
      <c r="A10036" s="9" t="s">
        <v>20913</v>
      </c>
      <c r="B10036" s="9" t="s">
        <v>20913</v>
      </c>
      <c r="C10036" s="9" t="s">
        <v>17</v>
      </c>
      <c r="D10036" s="9" t="s">
        <v>18</v>
      </c>
      <c r="E10036" s="10" t="s">
        <v>707</v>
      </c>
      <c r="F10036" s="9" t="s">
        <v>708</v>
      </c>
      <c r="G10036" s="10" t="s">
        <v>34</v>
      </c>
      <c r="H10036" s="9" t="s">
        <v>22</v>
      </c>
      <c r="I10036" s="9" t="s">
        <v>20964</v>
      </c>
      <c r="J10036" s="10" t="str">
        <f>HYPERLINK("https://www.boe.es/gazeta/dias/1834/11/25/pdfs/GMD-C-1834-284.pdf#page=1","Abrir facsímil")</f>
        <v>Abrir facsímil</v>
      </c>
      <c r="K10036" s="10" t="s">
        <v>24</v>
      </c>
    </row>
    <row r="10037" spans="1:11" ht="54" customHeight="1">
      <c r="A10037" s="9" t="s">
        <v>20913</v>
      </c>
      <c r="B10037" s="9" t="s">
        <v>20913</v>
      </c>
      <c r="C10037" s="9" t="s">
        <v>17</v>
      </c>
      <c r="D10037" s="9" t="s">
        <v>18</v>
      </c>
      <c r="E10037" s="10" t="s">
        <v>2306</v>
      </c>
      <c r="F10037" s="9" t="s">
        <v>2307</v>
      </c>
      <c r="G10037" s="10" t="s">
        <v>75</v>
      </c>
      <c r="H10037" s="9" t="s">
        <v>22</v>
      </c>
      <c r="I10037" s="9" t="s">
        <v>20965</v>
      </c>
      <c r="J10037" s="10" t="str">
        <f>HYPERLINK("https://www.boe.es/gazeta/dias/1834/04/26/pdfs/GMD-1834-65.pdf#page=4","Abrir facsímil")</f>
        <v>Abrir facsímil</v>
      </c>
      <c r="K10037" s="10" t="s">
        <v>24</v>
      </c>
    </row>
    <row r="10038" spans="1:11" ht="54" customHeight="1">
      <c r="A10038" s="9" t="s">
        <v>20913</v>
      </c>
      <c r="B10038" s="9" t="s">
        <v>20913</v>
      </c>
      <c r="C10038" s="9" t="s">
        <v>46</v>
      </c>
      <c r="D10038" s="9" t="s">
        <v>101</v>
      </c>
      <c r="E10038" s="10" t="s">
        <v>7523</v>
      </c>
      <c r="F10038" s="9" t="s">
        <v>7524</v>
      </c>
      <c r="G10038" s="10" t="s">
        <v>21</v>
      </c>
      <c r="H10038" s="9" t="s">
        <v>22</v>
      </c>
      <c r="I10038" s="9" t="s">
        <v>20966</v>
      </c>
      <c r="J10038" s="10" t="str">
        <f>HYPERLINK("https://www.boe.es/gazeta/dias/1834/12/26/pdfs/GMD-1834-316.pdf#page=3","Abrir facsímil")</f>
        <v>Abrir facsímil</v>
      </c>
      <c r="K10038" s="10" t="s">
        <v>24</v>
      </c>
    </row>
    <row r="10039" spans="1:11" ht="54" customHeight="1">
      <c r="A10039" s="9" t="s">
        <v>20913</v>
      </c>
      <c r="B10039" s="9" t="s">
        <v>20913</v>
      </c>
      <c r="C10039" s="9" t="s">
        <v>122</v>
      </c>
      <c r="D10039" s="9" t="s">
        <v>101</v>
      </c>
      <c r="E10039" s="10" t="s">
        <v>513</v>
      </c>
      <c r="F10039" s="9" t="s">
        <v>514</v>
      </c>
      <c r="G10039" s="10" t="s">
        <v>176</v>
      </c>
      <c r="H10039" s="9" t="s">
        <v>22</v>
      </c>
      <c r="I10039" s="9" t="s">
        <v>20967</v>
      </c>
      <c r="J10039" s="10" t="str">
        <f>HYPERLINK("https://www.boe.es/gazeta/dias/1834/04/27/pdfs/GMD-1834-66.pdf#page=6","Abrir facsímil")</f>
        <v>Abrir facsímil</v>
      </c>
      <c r="K10039" s="10" t="s">
        <v>24</v>
      </c>
    </row>
    <row r="10040" spans="1:11" ht="54" customHeight="1">
      <c r="A10040" s="9" t="s">
        <v>20913</v>
      </c>
      <c r="B10040" s="9" t="s">
        <v>20913</v>
      </c>
      <c r="C10040" s="9" t="s">
        <v>17</v>
      </c>
      <c r="D10040" s="9" t="s">
        <v>18</v>
      </c>
      <c r="E10040" s="10" t="s">
        <v>1773</v>
      </c>
      <c r="F10040" s="9" t="s">
        <v>1774</v>
      </c>
      <c r="G10040" s="10" t="s">
        <v>21</v>
      </c>
      <c r="H10040" s="9" t="s">
        <v>22</v>
      </c>
      <c r="I10040" s="9" t="s">
        <v>20968</v>
      </c>
      <c r="J10040" s="10" t="str">
        <f>HYPERLINK("https://www.boe.es/gazeta/dias/1834/06/28/pdfs/GMD-1834-131.pdf#page=3","Abrir facsímil")</f>
        <v>Abrir facsímil</v>
      </c>
      <c r="K10040" s="10" t="s">
        <v>24</v>
      </c>
    </row>
    <row r="10041" spans="1:11" ht="54" customHeight="1">
      <c r="A10041" s="9" t="s">
        <v>20913</v>
      </c>
      <c r="B10041" s="9" t="s">
        <v>20913</v>
      </c>
      <c r="C10041" s="9" t="s">
        <v>17</v>
      </c>
      <c r="D10041" s="9" t="s">
        <v>18</v>
      </c>
      <c r="E10041" s="10" t="s">
        <v>468</v>
      </c>
      <c r="F10041" s="9" t="s">
        <v>469</v>
      </c>
      <c r="G10041" s="10" t="s">
        <v>34</v>
      </c>
      <c r="H10041" s="9" t="s">
        <v>22</v>
      </c>
      <c r="I10041" s="9" t="s">
        <v>20969</v>
      </c>
      <c r="J10041" s="10" t="str">
        <f>HYPERLINK("https://www.boe.es/gazeta/dias/1834/12/28/pdfs/GMD-C-1834-318.pdf#page=1","Abrir facsímil")</f>
        <v>Abrir facsímil</v>
      </c>
      <c r="K10041" s="10" t="s">
        <v>24</v>
      </c>
    </row>
    <row r="10042" spans="1:11" ht="54" customHeight="1">
      <c r="A10042" s="9" t="s">
        <v>20913</v>
      </c>
      <c r="B10042" s="9" t="s">
        <v>20913</v>
      </c>
      <c r="C10042" s="9" t="s">
        <v>17</v>
      </c>
      <c r="D10042" s="9" t="s">
        <v>18</v>
      </c>
      <c r="E10042" s="10" t="s">
        <v>1747</v>
      </c>
      <c r="F10042" s="9" t="s">
        <v>1748</v>
      </c>
      <c r="G10042" s="10" t="s">
        <v>34</v>
      </c>
      <c r="H10042" s="9" t="s">
        <v>22</v>
      </c>
      <c r="I10042" s="9" t="s">
        <v>20970</v>
      </c>
      <c r="J10042" s="10" t="str">
        <f>HYPERLINK("https://www.boe.es/gazeta/dias/1834/06/29/pdfs/GMD-1834-132.pdf#page=1","Abrir facsímil")</f>
        <v>Abrir facsímil</v>
      </c>
      <c r="K10042" s="10" t="s">
        <v>24</v>
      </c>
    </row>
    <row r="10043" spans="1:11" ht="54" customHeight="1">
      <c r="A10043" s="9" t="s">
        <v>20913</v>
      </c>
      <c r="B10043" s="9" t="s">
        <v>20913</v>
      </c>
      <c r="C10043" s="9" t="s">
        <v>17</v>
      </c>
      <c r="D10043" s="9" t="s">
        <v>18</v>
      </c>
      <c r="E10043" s="10" t="s">
        <v>273</v>
      </c>
      <c r="F10043" s="9" t="s">
        <v>274</v>
      </c>
      <c r="G10043" s="10" t="s">
        <v>21</v>
      </c>
      <c r="H10043" s="9" t="s">
        <v>22</v>
      </c>
      <c r="I10043" s="9" t="s">
        <v>20971</v>
      </c>
      <c r="J10043" s="10" t="str">
        <f>HYPERLINK("https://www.boe.es/gazeta/dias/1834/08/31/pdfs/GMD-D-1834-198.pdf#page=3","Abrir facsímil")</f>
        <v>Abrir facsímil</v>
      </c>
      <c r="K10043" s="10" t="s">
        <v>24</v>
      </c>
    </row>
    <row r="10044" spans="1:11" ht="54" customHeight="1">
      <c r="A10044" s="9" t="s">
        <v>20972</v>
      </c>
      <c r="B10044" s="9" t="s">
        <v>20972</v>
      </c>
      <c r="C10044" s="9" t="s">
        <v>66</v>
      </c>
      <c r="D10044" s="9" t="s">
        <v>67</v>
      </c>
      <c r="E10044" s="10" t="s">
        <v>2260</v>
      </c>
      <c r="F10044" s="9" t="s">
        <v>2261</v>
      </c>
      <c r="G10044" s="10" t="s">
        <v>34</v>
      </c>
      <c r="H10044" s="9" t="s">
        <v>22</v>
      </c>
      <c r="I10044" s="9" t="s">
        <v>20973</v>
      </c>
      <c r="J10044" s="10" t="str">
        <f>HYPERLINK("https://www.boe.es/gazeta/dias/1834/11/13/pdfs/GMD-1834-272.pdf#page=1","Abrir facsímil")</f>
        <v>Abrir facsímil</v>
      </c>
      <c r="K10044" s="10" t="s">
        <v>24</v>
      </c>
    </row>
    <row r="10045" spans="1:11" ht="54" customHeight="1">
      <c r="A10045" s="9" t="s">
        <v>20974</v>
      </c>
      <c r="B10045" s="9" t="s">
        <v>20974</v>
      </c>
      <c r="C10045" s="9" t="s">
        <v>17</v>
      </c>
      <c r="D10045" s="9" t="s">
        <v>18</v>
      </c>
      <c r="E10045" s="10" t="s">
        <v>1839</v>
      </c>
      <c r="F10045" s="9" t="s">
        <v>1840</v>
      </c>
      <c r="G10045" s="10" t="s">
        <v>86</v>
      </c>
      <c r="H10045" s="9" t="s">
        <v>22</v>
      </c>
      <c r="I10045" s="9" t="s">
        <v>20975</v>
      </c>
      <c r="J10045" s="10" t="str">
        <f>HYPERLINK("https://www.boe.es/gazeta/dias/1834/08/12/pdfs/GMD-C-1834-177.pdf#page=2","Abrir facsímil")</f>
        <v>Abrir facsímil</v>
      </c>
      <c r="K10045" s="10" t="s">
        <v>24</v>
      </c>
    </row>
    <row r="10046" spans="1:11" ht="54" customHeight="1">
      <c r="A10046" s="9" t="s">
        <v>20976</v>
      </c>
      <c r="B10046" s="9" t="s">
        <v>20977</v>
      </c>
      <c r="C10046" s="9" t="s">
        <v>90</v>
      </c>
      <c r="D10046" s="9" t="s">
        <v>18</v>
      </c>
      <c r="E10046" s="10" t="s">
        <v>1297</v>
      </c>
      <c r="F10046" s="9" t="s">
        <v>1879</v>
      </c>
      <c r="G10046" s="10" t="s">
        <v>34</v>
      </c>
      <c r="H10046" s="9" t="s">
        <v>35</v>
      </c>
      <c r="I10046" s="9" t="s">
        <v>20978</v>
      </c>
      <c r="J10046" s="10" t="str">
        <f>HYPERLINK("https://www.boe.es/gazeta/dias/1834/08/01/pdfs/GMD-D-1834-165.pdf#page=1","Abrir facsímil")</f>
        <v>Abrir facsímil</v>
      </c>
      <c r="K10046" s="10" t="s">
        <v>37</v>
      </c>
    </row>
    <row r="10047" spans="1:11" ht="54" customHeight="1">
      <c r="A10047" s="9" t="s">
        <v>20976</v>
      </c>
      <c r="B10047" s="9" t="s">
        <v>20977</v>
      </c>
      <c r="C10047" s="9" t="s">
        <v>17</v>
      </c>
      <c r="D10047" s="9" t="s">
        <v>18</v>
      </c>
      <c r="E10047" s="10" t="s">
        <v>679</v>
      </c>
      <c r="F10047" s="9" t="s">
        <v>699</v>
      </c>
      <c r="G10047" s="10" t="s">
        <v>86</v>
      </c>
      <c r="H10047" s="9" t="s">
        <v>35</v>
      </c>
      <c r="I10047" s="9" t="s">
        <v>20979</v>
      </c>
      <c r="J10047" s="10" t="str">
        <f>HYPERLINK("https://www.boe.es/gazeta/dias/1834/12/10/pdfs/GMD-C-1834-299.pdf#page=2","Abrir facsímil")</f>
        <v>Abrir facsímil</v>
      </c>
      <c r="K10047" s="10" t="s">
        <v>37</v>
      </c>
    </row>
    <row r="10048" spans="1:11" ht="54" customHeight="1">
      <c r="A10048" s="9" t="s">
        <v>20976</v>
      </c>
      <c r="B10048" s="9" t="s">
        <v>20977</v>
      </c>
      <c r="C10048" s="9" t="s">
        <v>90</v>
      </c>
      <c r="D10048" s="9" t="s">
        <v>18</v>
      </c>
      <c r="E10048" s="10" t="s">
        <v>1186</v>
      </c>
      <c r="F10048" s="9" t="s">
        <v>4286</v>
      </c>
      <c r="G10048" s="10" t="s">
        <v>86</v>
      </c>
      <c r="H10048" s="9" t="s">
        <v>35</v>
      </c>
      <c r="I10048" s="9" t="s">
        <v>20980</v>
      </c>
      <c r="J10048" s="10" t="str">
        <f>HYPERLINK("https://www.boe.es/gazeta/dias/1834/08/14/pdfs/GMD-C-1834-179.pdf#page=2","Abrir facsímil")</f>
        <v>Abrir facsímil</v>
      </c>
      <c r="K10048" s="10" t="s">
        <v>37</v>
      </c>
    </row>
    <row r="10049" spans="1:11" ht="54" customHeight="1">
      <c r="A10049" s="9" t="s">
        <v>20976</v>
      </c>
      <c r="B10049" s="9" t="s">
        <v>20977</v>
      </c>
      <c r="C10049" s="9" t="s">
        <v>90</v>
      </c>
      <c r="D10049" s="9" t="s">
        <v>18</v>
      </c>
      <c r="E10049" s="10" t="s">
        <v>2278</v>
      </c>
      <c r="F10049" s="9" t="s">
        <v>2279</v>
      </c>
      <c r="G10049" s="10" t="s">
        <v>86</v>
      </c>
      <c r="H10049" s="9" t="s">
        <v>35</v>
      </c>
      <c r="I10049" s="9" t="s">
        <v>20981</v>
      </c>
      <c r="J10049" s="10" t="str">
        <f>HYPERLINK("https://www.boe.es/gazeta/dias/1834/12/17/pdfs/GMD-C-1834-306.pdf#page=2","Abrir facsímil")</f>
        <v>Abrir facsímil</v>
      </c>
      <c r="K10049" s="10" t="s">
        <v>37</v>
      </c>
    </row>
    <row r="10050" spans="1:11" ht="54" customHeight="1">
      <c r="A10050" s="9" t="s">
        <v>20982</v>
      </c>
      <c r="B10050" s="9" t="s">
        <v>20983</v>
      </c>
      <c r="C10050" s="9" t="s">
        <v>122</v>
      </c>
      <c r="D10050" s="9" t="s">
        <v>18</v>
      </c>
      <c r="E10050" s="10" t="s">
        <v>2287</v>
      </c>
      <c r="F10050" s="9" t="s">
        <v>4741</v>
      </c>
      <c r="G10050" s="10" t="s">
        <v>75</v>
      </c>
      <c r="H10050" s="9" t="s">
        <v>35</v>
      </c>
      <c r="I10050" s="9" t="s">
        <v>20984</v>
      </c>
      <c r="J10050" s="10" t="str">
        <f>HYPERLINK("https://www.boe.es/gazeta/dias/1834/12/18/pdfs/GMD-1834-308.pdf#page=4","Abrir facsímil")</f>
        <v>Abrir facsímil</v>
      </c>
      <c r="K10050" s="10" t="s">
        <v>37</v>
      </c>
    </row>
    <row r="10051" spans="1:11" ht="54" customHeight="1">
      <c r="A10051" s="9" t="s">
        <v>20976</v>
      </c>
      <c r="B10051" s="9" t="s">
        <v>20977</v>
      </c>
      <c r="C10051" s="9" t="s">
        <v>17</v>
      </c>
      <c r="D10051" s="9" t="s">
        <v>18</v>
      </c>
      <c r="E10051" s="10" t="s">
        <v>707</v>
      </c>
      <c r="F10051" s="9" t="s">
        <v>708</v>
      </c>
      <c r="G10051" s="10" t="s">
        <v>34</v>
      </c>
      <c r="H10051" s="9" t="s">
        <v>35</v>
      </c>
      <c r="I10051" s="9" t="s">
        <v>20985</v>
      </c>
      <c r="J10051" s="10" t="str">
        <f>HYPERLINK("https://www.boe.es/gazeta/dias/1834/11/25/pdfs/GMD-C-1834-284.pdf#page=1","Abrir facsímil")</f>
        <v>Abrir facsímil</v>
      </c>
      <c r="K10051" s="10" t="s">
        <v>37</v>
      </c>
    </row>
    <row r="10052" spans="1:11" ht="54" customHeight="1">
      <c r="A10052" s="9" t="s">
        <v>20976</v>
      </c>
      <c r="B10052" s="9" t="s">
        <v>20977</v>
      </c>
      <c r="C10052" s="9" t="s">
        <v>17</v>
      </c>
      <c r="D10052" s="9" t="s">
        <v>18</v>
      </c>
      <c r="E10052" s="10" t="s">
        <v>273</v>
      </c>
      <c r="F10052" s="9" t="s">
        <v>274</v>
      </c>
      <c r="G10052" s="10" t="s">
        <v>21</v>
      </c>
      <c r="H10052" s="9" t="s">
        <v>35</v>
      </c>
      <c r="I10052" s="9" t="s">
        <v>20986</v>
      </c>
      <c r="J10052" s="10" t="str">
        <f>HYPERLINK("https://www.boe.es/gazeta/dias/1834/08/31/pdfs/GMD-D-1834-198.pdf#page=3","Abrir facsímil")</f>
        <v>Abrir facsímil</v>
      </c>
      <c r="K10052" s="10" t="s">
        <v>37</v>
      </c>
    </row>
    <row r="10053" spans="1:11" ht="54" customHeight="1">
      <c r="A10053" s="9" t="s">
        <v>20987</v>
      </c>
      <c r="B10053" s="9" t="s">
        <v>20988</v>
      </c>
      <c r="C10053" s="9" t="s">
        <v>17</v>
      </c>
      <c r="D10053" s="9" t="s">
        <v>18</v>
      </c>
      <c r="E10053" s="10" t="s">
        <v>56</v>
      </c>
      <c r="F10053" s="9" t="s">
        <v>57</v>
      </c>
      <c r="G10053" s="10" t="s">
        <v>75</v>
      </c>
      <c r="H10053" s="9" t="s">
        <v>35</v>
      </c>
      <c r="I10053" s="9" t="s">
        <v>20989</v>
      </c>
      <c r="J10053" s="10" t="str">
        <f>HYPERLINK("https://www.boe.es/gazeta/dias/1834/07/09/pdfs/GMD-1834-142.pdf#page=4","Abrir facsímil")</f>
        <v>Abrir facsímil</v>
      </c>
      <c r="K10053" s="10" t="s">
        <v>37</v>
      </c>
    </row>
    <row r="10054" spans="1:11" ht="54" customHeight="1">
      <c r="A10054" s="9" t="s">
        <v>20990</v>
      </c>
      <c r="B10054" s="9" t="s">
        <v>20991</v>
      </c>
      <c r="C10054" s="9" t="s">
        <v>17</v>
      </c>
      <c r="D10054" s="9" t="s">
        <v>18</v>
      </c>
      <c r="E10054" s="10" t="s">
        <v>61</v>
      </c>
      <c r="F10054" s="9" t="s">
        <v>205</v>
      </c>
      <c r="G10054" s="10" t="s">
        <v>75</v>
      </c>
      <c r="H10054" s="9" t="s">
        <v>22</v>
      </c>
      <c r="I10054" s="9" t="s">
        <v>20992</v>
      </c>
      <c r="J10054" s="10" t="str">
        <f>HYPERLINK("https://www.boe.es/gazeta/dias/1834/06/08/pdfs/GMD-1834-110.pdf#page=4","Abrir facsímil")</f>
        <v>Abrir facsímil</v>
      </c>
      <c r="K10054" s="10" t="s">
        <v>24</v>
      </c>
    </row>
    <row r="10055" spans="1:11" ht="54" customHeight="1">
      <c r="A10055" s="9" t="s">
        <v>20990</v>
      </c>
      <c r="B10055" s="9" t="s">
        <v>20991</v>
      </c>
      <c r="C10055" s="9" t="s">
        <v>17</v>
      </c>
      <c r="D10055" s="9" t="s">
        <v>18</v>
      </c>
      <c r="E10055" s="10" t="s">
        <v>1459</v>
      </c>
      <c r="F10055" s="9" t="s">
        <v>1460</v>
      </c>
      <c r="G10055" s="10" t="s">
        <v>21</v>
      </c>
      <c r="H10055" s="9" t="s">
        <v>22</v>
      </c>
      <c r="I10055" s="9" t="s">
        <v>20993</v>
      </c>
      <c r="J10055" s="10" t="str">
        <f>HYPERLINK("https://www.boe.es/gazeta/dias/1834/08/18/pdfs/GMD-1834-184.pdf#page=3","Abrir facsímil")</f>
        <v>Abrir facsímil</v>
      </c>
      <c r="K10055" s="10" t="s">
        <v>24</v>
      </c>
    </row>
    <row r="10056" spans="1:11" ht="54" customHeight="1">
      <c r="A10056" s="9" t="s">
        <v>20994</v>
      </c>
      <c r="B10056" s="9" t="s">
        <v>20995</v>
      </c>
      <c r="C10056" s="9" t="s">
        <v>17</v>
      </c>
      <c r="D10056" s="9" t="s">
        <v>18</v>
      </c>
      <c r="E10056" s="10" t="s">
        <v>2596</v>
      </c>
      <c r="F10056" s="9" t="s">
        <v>2597</v>
      </c>
      <c r="G10056" s="10" t="s">
        <v>86</v>
      </c>
      <c r="H10056" s="9" t="s">
        <v>22</v>
      </c>
      <c r="I10056" s="9" t="s">
        <v>20996</v>
      </c>
      <c r="J10056" s="10" t="str">
        <f>HYPERLINK("https://www.boe.es/gazeta/dias/1834/10/22/pdfs/GMD-1834-250.pdf#page=2","Abrir facsímil")</f>
        <v>Abrir facsímil</v>
      </c>
      <c r="K10056" s="10" t="s">
        <v>24</v>
      </c>
    </row>
    <row r="10057" spans="1:11" ht="54" customHeight="1">
      <c r="A10057" s="9" t="s">
        <v>20997</v>
      </c>
      <c r="B10057" s="9" t="s">
        <v>20998</v>
      </c>
      <c r="C10057" s="9" t="s">
        <v>90</v>
      </c>
      <c r="D10057" s="9" t="s">
        <v>55</v>
      </c>
      <c r="E10057" s="10" t="s">
        <v>1661</v>
      </c>
      <c r="F10057" s="9" t="s">
        <v>1662</v>
      </c>
      <c r="G10057" s="10" t="s">
        <v>34</v>
      </c>
      <c r="H10057" s="9" t="s">
        <v>22</v>
      </c>
      <c r="I10057" s="9" t="s">
        <v>20999</v>
      </c>
      <c r="J10057" s="10" t="str">
        <f>HYPERLINK("https://www.boe.es/gazeta/dias/1834/04/06/pdfs/GMD-1834-45.pdf#page=1","Abrir facsímil")</f>
        <v>Abrir facsímil</v>
      </c>
      <c r="K10057" s="10" t="s">
        <v>24</v>
      </c>
    </row>
    <row r="10058" spans="1:11" ht="54" customHeight="1">
      <c r="A10058" s="9" t="s">
        <v>20997</v>
      </c>
      <c r="B10058" s="9" t="s">
        <v>20998</v>
      </c>
      <c r="C10058" s="9" t="s">
        <v>66</v>
      </c>
      <c r="D10058" s="9" t="s">
        <v>67</v>
      </c>
      <c r="E10058" s="10" t="s">
        <v>360</v>
      </c>
      <c r="F10058" s="9" t="s">
        <v>361</v>
      </c>
      <c r="G10058" s="10" t="s">
        <v>34</v>
      </c>
      <c r="H10058" s="9" t="s">
        <v>22</v>
      </c>
      <c r="I10058" s="9" t="s">
        <v>21000</v>
      </c>
      <c r="J10058" s="10" t="str">
        <f>HYPERLINK("https://www.boe.es/gazeta/dias/1834/04/07/pdfs/GMD-1834-46.pdf#page=1","Abrir facsímil")</f>
        <v>Abrir facsímil</v>
      </c>
      <c r="K10058" s="10" t="s">
        <v>24</v>
      </c>
    </row>
    <row r="10059" spans="1:11" ht="54" customHeight="1">
      <c r="A10059" s="9" t="s">
        <v>21001</v>
      </c>
      <c r="B10059" s="9" t="s">
        <v>21002</v>
      </c>
      <c r="C10059" s="9" t="s">
        <v>17</v>
      </c>
      <c r="D10059" s="9" t="s">
        <v>18</v>
      </c>
      <c r="E10059" s="10" t="s">
        <v>518</v>
      </c>
      <c r="F10059" s="9" t="s">
        <v>519</v>
      </c>
      <c r="G10059" s="10" t="s">
        <v>75</v>
      </c>
      <c r="H10059" s="9" t="s">
        <v>35</v>
      </c>
      <c r="I10059" s="9" t="s">
        <v>21003</v>
      </c>
      <c r="J10059" s="10" t="str">
        <f>HYPERLINK("https://www.boe.es/gazeta/dias/1834/03/15/pdfs/GMD-1834-33.pdf#page=4","Abrir facsímil")</f>
        <v>Abrir facsímil</v>
      </c>
      <c r="K10059" s="10" t="s">
        <v>37</v>
      </c>
    </row>
    <row r="10060" spans="1:11" ht="54" customHeight="1">
      <c r="A10060" s="9" t="s">
        <v>21004</v>
      </c>
      <c r="B10060" s="9" t="s">
        <v>21005</v>
      </c>
      <c r="C10060" s="9" t="s">
        <v>17</v>
      </c>
      <c r="D10060" s="9" t="s">
        <v>18</v>
      </c>
      <c r="E10060" s="10" t="s">
        <v>808</v>
      </c>
      <c r="F10060" s="9" t="s">
        <v>809</v>
      </c>
      <c r="G10060" s="10" t="s">
        <v>21</v>
      </c>
      <c r="H10060" s="9" t="s">
        <v>35</v>
      </c>
      <c r="I10060" s="9" t="s">
        <v>21006</v>
      </c>
      <c r="J10060" s="10" t="str">
        <f>HYPERLINK("https://www.boe.es/gazeta/dias/1834/10/11/pdfs/GMD-1834-239.pdf#page=3","Abrir facsímil")</f>
        <v>Abrir facsímil</v>
      </c>
      <c r="K10060" s="10" t="s">
        <v>37</v>
      </c>
    </row>
    <row r="10061" spans="1:11" ht="54" customHeight="1">
      <c r="A10061" s="9" t="s">
        <v>21007</v>
      </c>
      <c r="B10061" s="9" t="s">
        <v>21008</v>
      </c>
      <c r="C10061" s="9" t="s">
        <v>90</v>
      </c>
      <c r="D10061" s="9" t="s">
        <v>18</v>
      </c>
      <c r="E10061" s="10" t="s">
        <v>1340</v>
      </c>
      <c r="F10061" s="9" t="s">
        <v>3300</v>
      </c>
      <c r="G10061" s="10" t="s">
        <v>34</v>
      </c>
      <c r="H10061" s="9" t="s">
        <v>22</v>
      </c>
      <c r="I10061" s="9" t="s">
        <v>21009</v>
      </c>
      <c r="J10061" s="10" t="str">
        <f>HYPERLINK("https://www.boe.es/gazeta/dias/1834/10/05/pdfs/GMD-1834-233.pdf#page=1","Abrir facsímil")</f>
        <v>Abrir facsímil</v>
      </c>
      <c r="K10061" s="10" t="s">
        <v>24</v>
      </c>
    </row>
    <row r="10062" spans="1:11" ht="54" customHeight="1">
      <c r="A10062" s="9" t="s">
        <v>21010</v>
      </c>
      <c r="B10062" s="9" t="s">
        <v>21011</v>
      </c>
      <c r="C10062" s="9" t="s">
        <v>17</v>
      </c>
      <c r="D10062" s="9" t="s">
        <v>18</v>
      </c>
      <c r="E10062" s="10" t="s">
        <v>233</v>
      </c>
      <c r="F10062" s="9" t="s">
        <v>1810</v>
      </c>
      <c r="G10062" s="10" t="s">
        <v>86</v>
      </c>
      <c r="H10062" s="9" t="s">
        <v>22</v>
      </c>
      <c r="I10062" s="9" t="s">
        <v>21012</v>
      </c>
      <c r="J10062" s="10" t="str">
        <f>HYPERLINK("https://www.boe.es/gazeta/dias/1834/12/16/pdfs/GMD-C-1834-305.pdf#page=2","Abrir facsímil")</f>
        <v>Abrir facsímil</v>
      </c>
      <c r="K10062" s="10" t="s">
        <v>24</v>
      </c>
    </row>
    <row r="10063" spans="1:11" ht="54" customHeight="1">
      <c r="A10063" s="9" t="s">
        <v>21013</v>
      </c>
      <c r="B10063" s="9" t="s">
        <v>21014</v>
      </c>
      <c r="C10063" s="9" t="s">
        <v>17</v>
      </c>
      <c r="D10063" s="9" t="s">
        <v>40</v>
      </c>
      <c r="E10063" s="10" t="s">
        <v>541</v>
      </c>
      <c r="F10063" s="9" t="s">
        <v>542</v>
      </c>
      <c r="G10063" s="10" t="s">
        <v>34</v>
      </c>
      <c r="H10063" s="9" t="s">
        <v>22</v>
      </c>
      <c r="I10063" s="9" t="s">
        <v>21015</v>
      </c>
      <c r="J10063" s="10" t="str">
        <f>HYPERLINK("https://www.boe.es/gazeta/dias/1834/04/18/pdfs/GMD-1834-57.pdf#page=1","Abrir facsímil")</f>
        <v>Abrir facsímil</v>
      </c>
      <c r="K10063" s="10" t="s">
        <v>24</v>
      </c>
    </row>
    <row r="10064" spans="1:11" ht="54" customHeight="1">
      <c r="A10064" s="9" t="s">
        <v>21016</v>
      </c>
      <c r="B10064" s="9" t="s">
        <v>21017</v>
      </c>
      <c r="C10064" s="9" t="s">
        <v>66</v>
      </c>
      <c r="D10064" s="9" t="s">
        <v>67</v>
      </c>
      <c r="E10064" s="10" t="s">
        <v>1505</v>
      </c>
      <c r="F10064" s="9" t="s">
        <v>1506</v>
      </c>
      <c r="G10064" s="10" t="s">
        <v>21</v>
      </c>
      <c r="H10064" s="9" t="s">
        <v>22</v>
      </c>
      <c r="I10064" s="9" t="s">
        <v>21018</v>
      </c>
      <c r="J10064" s="10" t="str">
        <f>HYPERLINK("https://www.boe.es/gazeta/dias/1834/05/08/pdfs/GMD-1834-77.pdf#page=3","Abrir facsímil")</f>
        <v>Abrir facsímil</v>
      </c>
      <c r="K10064" s="10" t="s">
        <v>24</v>
      </c>
    </row>
    <row r="10065" spans="1:11" ht="54" customHeight="1">
      <c r="A10065" s="9" t="s">
        <v>21019</v>
      </c>
      <c r="B10065" s="9" t="s">
        <v>21020</v>
      </c>
      <c r="C10065" s="9" t="s">
        <v>17</v>
      </c>
      <c r="D10065" s="9" t="s">
        <v>55</v>
      </c>
      <c r="E10065" s="10" t="s">
        <v>1742</v>
      </c>
      <c r="F10065" s="9" t="s">
        <v>1743</v>
      </c>
      <c r="G10065" s="10" t="s">
        <v>75</v>
      </c>
      <c r="H10065" s="9" t="s">
        <v>22</v>
      </c>
      <c r="I10065" s="9" t="s">
        <v>21021</v>
      </c>
      <c r="J10065" s="10" t="str">
        <f>HYPERLINK("https://www.boe.es/gazeta/dias/1834/11/06/pdfs/GMD-1834-265.pdf#page=4","Abrir facsímil")</f>
        <v>Abrir facsímil</v>
      </c>
      <c r="K10065" s="10" t="s">
        <v>24</v>
      </c>
    </row>
    <row r="10066" spans="1:11" ht="54" customHeight="1">
      <c r="A10066" s="9" t="s">
        <v>21022</v>
      </c>
      <c r="B10066" s="9" t="s">
        <v>21023</v>
      </c>
      <c r="C10066" s="9" t="s">
        <v>17</v>
      </c>
      <c r="D10066" s="9" t="s">
        <v>18</v>
      </c>
      <c r="E10066" s="10" t="s">
        <v>426</v>
      </c>
      <c r="F10066" s="9" t="s">
        <v>694</v>
      </c>
      <c r="G10066" s="10" t="s">
        <v>34</v>
      </c>
      <c r="H10066" s="9" t="s">
        <v>35</v>
      </c>
      <c r="I10066" s="9" t="s">
        <v>21024</v>
      </c>
      <c r="J10066" s="10" t="str">
        <f>HYPERLINK("https://www.boe.es/gazeta/dias/1834/10/04/pdfs/GMD-C-1834-232.pdf#page=1","Abrir facsímil")</f>
        <v>Abrir facsímil</v>
      </c>
      <c r="K10066" s="10" t="s">
        <v>37</v>
      </c>
    </row>
    <row r="10067" spans="1:11" ht="54" customHeight="1">
      <c r="A10067" s="9" t="s">
        <v>21025</v>
      </c>
      <c r="B10067" s="9" t="s">
        <v>21026</v>
      </c>
      <c r="C10067" s="9" t="s">
        <v>17</v>
      </c>
      <c r="D10067" s="9" t="s">
        <v>18</v>
      </c>
      <c r="E10067" s="10" t="s">
        <v>426</v>
      </c>
      <c r="F10067" s="9" t="s">
        <v>427</v>
      </c>
      <c r="G10067" s="10" t="s">
        <v>34</v>
      </c>
      <c r="H10067" s="9" t="s">
        <v>22</v>
      </c>
      <c r="I10067" s="9" t="s">
        <v>21027</v>
      </c>
      <c r="J10067" s="10" t="str">
        <f>HYPERLINK("https://www.boe.es/gazeta/dias/1834/10/04/pdfs/GMD-1834-232.pdf#page=1","Abrir facsímil")</f>
        <v>Abrir facsímil</v>
      </c>
      <c r="K10067" s="10" t="s">
        <v>24</v>
      </c>
    </row>
    <row r="10068" spans="1:11" ht="54" customHeight="1">
      <c r="A10068" s="9" t="s">
        <v>21028</v>
      </c>
      <c r="B10068" s="9" t="s">
        <v>21029</v>
      </c>
      <c r="C10068" s="9" t="s">
        <v>66</v>
      </c>
      <c r="D10068" s="9" t="s">
        <v>67</v>
      </c>
      <c r="E10068" s="10" t="s">
        <v>1002</v>
      </c>
      <c r="F10068" s="9" t="s">
        <v>1003</v>
      </c>
      <c r="G10068" s="10" t="s">
        <v>34</v>
      </c>
      <c r="H10068" s="9" t="s">
        <v>35</v>
      </c>
      <c r="I10068" s="9" t="s">
        <v>21030</v>
      </c>
      <c r="J10068" s="10" t="str">
        <f>HYPERLINK("https://www.boe.es/gazeta/dias/1834/06/26/pdfs/GMD-1834-129.pdf#page=1","Abrir facsímil")</f>
        <v>Abrir facsímil</v>
      </c>
      <c r="K10068" s="10" t="s">
        <v>37</v>
      </c>
    </row>
    <row r="10069" spans="1:11" ht="54" customHeight="1">
      <c r="A10069" s="9" t="s">
        <v>21031</v>
      </c>
      <c r="B10069" s="9" t="s">
        <v>21031</v>
      </c>
      <c r="C10069" s="9" t="s">
        <v>17</v>
      </c>
      <c r="D10069" s="9" t="s">
        <v>18</v>
      </c>
      <c r="E10069" s="10" t="s">
        <v>1402</v>
      </c>
      <c r="F10069" s="9" t="s">
        <v>1403</v>
      </c>
      <c r="G10069" s="10" t="s">
        <v>176</v>
      </c>
      <c r="H10069" s="9" t="s">
        <v>22</v>
      </c>
      <c r="I10069" s="9" t="s">
        <v>21032</v>
      </c>
      <c r="J10069" s="10" t="str">
        <f>HYPERLINK("https://www.boe.es/gazeta/dias/1834/05/05/pdfs/GMD-1834-74.pdf#page=6","Abrir facsímil")</f>
        <v>Abrir facsímil</v>
      </c>
      <c r="K10069" s="10" t="s">
        <v>24</v>
      </c>
    </row>
    <row r="10070" spans="1:11" ht="54" customHeight="1">
      <c r="A10070" s="9" t="s">
        <v>21033</v>
      </c>
      <c r="B10070" s="9" t="s">
        <v>21034</v>
      </c>
      <c r="C10070" s="9" t="s">
        <v>17</v>
      </c>
      <c r="D10070" s="9" t="s">
        <v>18</v>
      </c>
      <c r="E10070" s="10" t="s">
        <v>1402</v>
      </c>
      <c r="F10070" s="9" t="s">
        <v>1403</v>
      </c>
      <c r="G10070" s="10" t="s">
        <v>176</v>
      </c>
      <c r="H10070" s="9" t="s">
        <v>35</v>
      </c>
      <c r="I10070" s="9" t="s">
        <v>21035</v>
      </c>
      <c r="J10070" s="10" t="str">
        <f>HYPERLINK("https://www.boe.es/gazeta/dias/1834/05/05/pdfs/GMD-1834-74.pdf#page=6","Abrir facsímil")</f>
        <v>Abrir facsímil</v>
      </c>
      <c r="K10070" s="10" t="s">
        <v>37</v>
      </c>
    </row>
    <row r="10071" spans="1:11" ht="54" customHeight="1">
      <c r="A10071" s="9" t="s">
        <v>21036</v>
      </c>
      <c r="B10071" s="9" t="s">
        <v>21036</v>
      </c>
      <c r="C10071" s="9" t="s">
        <v>17</v>
      </c>
      <c r="D10071" s="9" t="s">
        <v>18</v>
      </c>
      <c r="E10071" s="10" t="s">
        <v>976</v>
      </c>
      <c r="F10071" s="9" t="s">
        <v>977</v>
      </c>
      <c r="G10071" s="10" t="s">
        <v>21</v>
      </c>
      <c r="H10071" s="9" t="s">
        <v>22</v>
      </c>
      <c r="I10071" s="9" t="s">
        <v>21037</v>
      </c>
      <c r="J10071" s="10" t="str">
        <f>HYPERLINK("https://www.boe.es/gazeta/dias/1834/04/02/pdfs/GMD-1834-41.pdf#page=3","Abrir facsímil")</f>
        <v>Abrir facsímil</v>
      </c>
      <c r="K10071" s="10" t="s">
        <v>24</v>
      </c>
    </row>
    <row r="10072" spans="1:11" ht="54" customHeight="1">
      <c r="A10072" s="9" t="s">
        <v>21038</v>
      </c>
      <c r="B10072" s="9" t="s">
        <v>21038</v>
      </c>
      <c r="C10072" s="9" t="s">
        <v>17</v>
      </c>
      <c r="D10072" s="9" t="s">
        <v>18</v>
      </c>
      <c r="E10072" s="10" t="s">
        <v>1641</v>
      </c>
      <c r="F10072" s="9" t="s">
        <v>1729</v>
      </c>
      <c r="G10072" s="10" t="s">
        <v>75</v>
      </c>
      <c r="H10072" s="9" t="s">
        <v>22</v>
      </c>
      <c r="I10072" s="9" t="s">
        <v>21039</v>
      </c>
      <c r="J10072" s="10" t="str">
        <f>HYPERLINK("https://www.boe.es/gazeta/dias/1834/09/28/pdfs/GMD-1834-226.pdf#page=4","Abrir facsímil")</f>
        <v>Abrir facsímil</v>
      </c>
      <c r="K10072" s="10" t="s">
        <v>24</v>
      </c>
    </row>
    <row r="10073" spans="1:11" ht="54" customHeight="1">
      <c r="A10073" s="9" t="s">
        <v>21040</v>
      </c>
      <c r="B10073" s="9" t="s">
        <v>21040</v>
      </c>
      <c r="C10073" s="9" t="s">
        <v>122</v>
      </c>
      <c r="D10073" s="9" t="s">
        <v>101</v>
      </c>
      <c r="E10073" s="10" t="s">
        <v>860</v>
      </c>
      <c r="F10073" s="9" t="s">
        <v>861</v>
      </c>
      <c r="G10073" s="10" t="s">
        <v>34</v>
      </c>
      <c r="H10073" s="9" t="s">
        <v>22</v>
      </c>
      <c r="I10073" s="9" t="s">
        <v>21041</v>
      </c>
      <c r="J10073" s="10" t="str">
        <f>HYPERLINK("https://www.boe.es/gazeta/dias/1834/02/08/pdfs/GMD-1834-18.pdf#page=1","Abrir facsímil")</f>
        <v>Abrir facsímil</v>
      </c>
      <c r="K10073" s="10" t="s">
        <v>24</v>
      </c>
    </row>
    <row r="10074" spans="1:11" ht="54" customHeight="1">
      <c r="A10074" s="9" t="s">
        <v>21040</v>
      </c>
      <c r="B10074" s="9" t="s">
        <v>21040</v>
      </c>
      <c r="C10074" s="9" t="s">
        <v>17</v>
      </c>
      <c r="D10074" s="9" t="s">
        <v>18</v>
      </c>
      <c r="E10074" s="10" t="s">
        <v>343</v>
      </c>
      <c r="F10074" s="9" t="s">
        <v>344</v>
      </c>
      <c r="G10074" s="10" t="s">
        <v>75</v>
      </c>
      <c r="H10074" s="9" t="s">
        <v>22</v>
      </c>
      <c r="I10074" s="9" t="s">
        <v>21042</v>
      </c>
      <c r="J10074" s="10" t="str">
        <f>HYPERLINK("https://www.boe.es/gazeta/dias/1834/01/14/pdfs/GMD-1834-7.pdf#page=4","Abrir facsímil")</f>
        <v>Abrir facsímil</v>
      </c>
      <c r="K10074" s="10" t="s">
        <v>24</v>
      </c>
    </row>
    <row r="10075" spans="1:11" ht="54" customHeight="1">
      <c r="A10075" s="9" t="s">
        <v>21040</v>
      </c>
      <c r="B10075" s="9" t="s">
        <v>21040</v>
      </c>
      <c r="C10075" s="9" t="s">
        <v>66</v>
      </c>
      <c r="D10075" s="9" t="s">
        <v>67</v>
      </c>
      <c r="E10075" s="10" t="s">
        <v>2398</v>
      </c>
      <c r="F10075" s="9" t="s">
        <v>2399</v>
      </c>
      <c r="G10075" s="10" t="s">
        <v>86</v>
      </c>
      <c r="H10075" s="9" t="s">
        <v>22</v>
      </c>
      <c r="I10075" s="9" t="s">
        <v>21043</v>
      </c>
      <c r="J10075" s="10" t="str">
        <f>HYPERLINK("https://www.boe.es/gazeta/dias/1834/01/16/pdfs/GMD-1834-8.pdf#page=2","Abrir facsímil")</f>
        <v>Abrir facsímil</v>
      </c>
      <c r="K10075" s="10" t="s">
        <v>24</v>
      </c>
    </row>
    <row r="10076" spans="1:11" ht="54" customHeight="1">
      <c r="A10076" s="9" t="s">
        <v>21040</v>
      </c>
      <c r="B10076" s="9" t="s">
        <v>21040</v>
      </c>
      <c r="C10076" s="9" t="s">
        <v>17</v>
      </c>
      <c r="D10076" s="9" t="s">
        <v>18</v>
      </c>
      <c r="E10076" s="10" t="s">
        <v>304</v>
      </c>
      <c r="F10076" s="9" t="s">
        <v>305</v>
      </c>
      <c r="G10076" s="10" t="s">
        <v>21</v>
      </c>
      <c r="H10076" s="9" t="s">
        <v>22</v>
      </c>
      <c r="I10076" s="9" t="s">
        <v>21044</v>
      </c>
      <c r="J10076" s="10" t="str">
        <f>HYPERLINK("https://www.boe.es/gazeta/dias/1834/01/21/pdfs/GMD-1834-10.pdf#page=3","Abrir facsímil")</f>
        <v>Abrir facsímil</v>
      </c>
      <c r="K10076" s="10" t="s">
        <v>24</v>
      </c>
    </row>
    <row r="10077" spans="1:11" ht="54" customHeight="1">
      <c r="A10077" s="9" t="s">
        <v>21040</v>
      </c>
      <c r="B10077" s="9" t="s">
        <v>21040</v>
      </c>
      <c r="C10077" s="9" t="s">
        <v>66</v>
      </c>
      <c r="D10077" s="9" t="s">
        <v>67</v>
      </c>
      <c r="E10077" s="10" t="s">
        <v>3952</v>
      </c>
      <c r="F10077" s="9" t="s">
        <v>3953</v>
      </c>
      <c r="G10077" s="10" t="s">
        <v>176</v>
      </c>
      <c r="H10077" s="9" t="s">
        <v>22</v>
      </c>
      <c r="I10077" s="9" t="s">
        <v>21045</v>
      </c>
      <c r="J10077" s="10" t="str">
        <f>HYPERLINK("https://www.boe.es/gazeta/dias/1834/02/22/pdfs/GMD-1834-24.pdf#page=6","Abrir facsímil")</f>
        <v>Abrir facsímil</v>
      </c>
      <c r="K10077" s="10" t="s">
        <v>24</v>
      </c>
    </row>
    <row r="10078" spans="1:11" ht="54" customHeight="1">
      <c r="A10078" s="9" t="s">
        <v>21046</v>
      </c>
      <c r="B10078" s="9" t="s">
        <v>21047</v>
      </c>
      <c r="C10078" s="9" t="s">
        <v>17</v>
      </c>
      <c r="D10078" s="9" t="s">
        <v>18</v>
      </c>
      <c r="E10078" s="10" t="s">
        <v>343</v>
      </c>
      <c r="F10078" s="9" t="s">
        <v>344</v>
      </c>
      <c r="G10078" s="10" t="s">
        <v>21</v>
      </c>
      <c r="H10078" s="9" t="s">
        <v>22</v>
      </c>
      <c r="I10078" s="9" t="s">
        <v>21048</v>
      </c>
      <c r="J10078" s="10" t="str">
        <f>HYPERLINK("https://www.boe.es/gazeta/dias/1834/01/14/pdfs/GMD-1834-7.pdf#page=3","Abrir facsímil")</f>
        <v>Abrir facsímil</v>
      </c>
      <c r="K10078" s="10" t="s">
        <v>24</v>
      </c>
    </row>
    <row r="10079" spans="1:11" ht="54" customHeight="1">
      <c r="A10079" s="9" t="s">
        <v>21049</v>
      </c>
      <c r="B10079" s="9" t="s">
        <v>21050</v>
      </c>
      <c r="C10079" s="9" t="s">
        <v>17</v>
      </c>
      <c r="D10079" s="9" t="s">
        <v>18</v>
      </c>
      <c r="E10079" s="10" t="s">
        <v>1170</v>
      </c>
      <c r="F10079" s="9" t="s">
        <v>1171</v>
      </c>
      <c r="G10079" s="10" t="s">
        <v>21</v>
      </c>
      <c r="H10079" s="9" t="s">
        <v>22</v>
      </c>
      <c r="I10079" s="9" t="s">
        <v>21051</v>
      </c>
      <c r="J10079" s="10" t="str">
        <f>HYPERLINK("https://www.boe.es/gazeta/dias/1834/01/07/pdfs/GMD-1834-4.pdf#page=3","Abrir facsímil")</f>
        <v>Abrir facsímil</v>
      </c>
      <c r="K10079" s="10" t="s">
        <v>24</v>
      </c>
    </row>
    <row r="10080" spans="1:11" ht="54" customHeight="1">
      <c r="A10080" s="9" t="s">
        <v>21052</v>
      </c>
      <c r="B10080" s="9" t="s">
        <v>21053</v>
      </c>
      <c r="C10080" s="9" t="s">
        <v>66</v>
      </c>
      <c r="D10080" s="9" t="s">
        <v>18</v>
      </c>
      <c r="E10080" s="10" t="s">
        <v>79</v>
      </c>
      <c r="F10080" s="9" t="s">
        <v>80</v>
      </c>
      <c r="G10080" s="10" t="s">
        <v>21</v>
      </c>
      <c r="H10080" s="9" t="s">
        <v>22</v>
      </c>
      <c r="I10080" s="9" t="s">
        <v>21054</v>
      </c>
      <c r="J10080" s="10" t="str">
        <f>HYPERLINK("https://www.boe.es/gazeta/dias/1834/07/12/pdfs/GMD-1834-145.pdf#page=3","Abrir facsímil")</f>
        <v>Abrir facsímil</v>
      </c>
      <c r="K10080" s="10" t="s">
        <v>24</v>
      </c>
    </row>
    <row r="10081" spans="1:11" ht="54" customHeight="1">
      <c r="A10081" s="9" t="s">
        <v>21055</v>
      </c>
      <c r="B10081" s="9" t="s">
        <v>21055</v>
      </c>
      <c r="C10081" s="9" t="s">
        <v>17</v>
      </c>
      <c r="D10081" s="9" t="s">
        <v>101</v>
      </c>
      <c r="E10081" s="10" t="s">
        <v>399</v>
      </c>
      <c r="F10081" s="9" t="s">
        <v>400</v>
      </c>
      <c r="G10081" s="10" t="s">
        <v>34</v>
      </c>
      <c r="H10081" s="9" t="s">
        <v>22</v>
      </c>
      <c r="I10081" s="9" t="s">
        <v>21056</v>
      </c>
      <c r="J10081" s="10" t="str">
        <f>HYPERLINK("https://www.boe.es/gazeta/dias/1834/07/08/pdfs/GMD-1834-141.pdf#page=1","Abrir facsímil")</f>
        <v>Abrir facsímil</v>
      </c>
      <c r="K10081" s="10" t="s">
        <v>24</v>
      </c>
    </row>
    <row r="10082" spans="1:11" ht="54" customHeight="1">
      <c r="A10082" s="9" t="s">
        <v>21057</v>
      </c>
      <c r="B10082" s="9" t="s">
        <v>21057</v>
      </c>
      <c r="C10082" s="9" t="s">
        <v>122</v>
      </c>
      <c r="D10082" s="9" t="s">
        <v>18</v>
      </c>
      <c r="E10082" s="10" t="s">
        <v>3225</v>
      </c>
      <c r="F10082" s="9" t="s">
        <v>3226</v>
      </c>
      <c r="G10082" s="10" t="s">
        <v>75</v>
      </c>
      <c r="H10082" s="9" t="s">
        <v>22</v>
      </c>
      <c r="I10082" s="9" t="s">
        <v>21058</v>
      </c>
      <c r="J10082" s="10" t="str">
        <f>HYPERLINK("https://www.boe.es/gazeta/dias/1834/08/22/pdfs/GMD-1834-188.pdf#page=4","Abrir facsímil")</f>
        <v>Abrir facsímil</v>
      </c>
      <c r="K10082" s="10" t="s">
        <v>24</v>
      </c>
    </row>
    <row r="10083" spans="1:11" ht="54" customHeight="1">
      <c r="A10083" s="9" t="s">
        <v>21059</v>
      </c>
      <c r="B10083" s="9" t="s">
        <v>21059</v>
      </c>
      <c r="C10083" s="9" t="s">
        <v>17</v>
      </c>
      <c r="D10083" s="9" t="s">
        <v>18</v>
      </c>
      <c r="E10083" s="10" t="s">
        <v>563</v>
      </c>
      <c r="F10083" s="9" t="s">
        <v>5858</v>
      </c>
      <c r="G10083" s="10" t="s">
        <v>86</v>
      </c>
      <c r="H10083" s="9" t="s">
        <v>22</v>
      </c>
      <c r="I10083" s="9" t="s">
        <v>21060</v>
      </c>
      <c r="J10083" s="10" t="str">
        <f>HYPERLINK("https://www.boe.es/gazeta/dias/1834/04/19/pdfs/GMD-C-1834-58.pdf#page=2","Abrir facsímil")</f>
        <v>Abrir facsímil</v>
      </c>
      <c r="K10083" s="10" t="s">
        <v>24</v>
      </c>
    </row>
    <row r="10084" spans="1:11" ht="54" customHeight="1">
      <c r="A10084" s="9" t="s">
        <v>21061</v>
      </c>
      <c r="B10084" s="9" t="s">
        <v>21061</v>
      </c>
      <c r="C10084" s="9" t="s">
        <v>90</v>
      </c>
      <c r="D10084" s="9" t="s">
        <v>18</v>
      </c>
      <c r="E10084" s="10" t="s">
        <v>813</v>
      </c>
      <c r="F10084" s="9" t="s">
        <v>16756</v>
      </c>
      <c r="G10084" s="10" t="s">
        <v>34</v>
      </c>
      <c r="H10084" s="9" t="s">
        <v>22</v>
      </c>
      <c r="I10084" s="9" t="s">
        <v>21062</v>
      </c>
      <c r="J10084" s="10" t="str">
        <f>HYPERLINK("https://www.boe.es/gazeta/dias/1834/08/08/pdfs/GMD-C-1834-173.pdf#page=1","Abrir facsímil")</f>
        <v>Abrir facsímil</v>
      </c>
      <c r="K10084" s="10" t="s">
        <v>24</v>
      </c>
    </row>
    <row r="10085" spans="1:11" ht="54" customHeight="1">
      <c r="A10085" s="9" t="s">
        <v>21063</v>
      </c>
      <c r="B10085" s="9" t="s">
        <v>21063</v>
      </c>
      <c r="C10085" s="9" t="s">
        <v>66</v>
      </c>
      <c r="D10085" s="9" t="s">
        <v>67</v>
      </c>
      <c r="E10085" s="10" t="s">
        <v>2398</v>
      </c>
      <c r="F10085" s="9" t="s">
        <v>2399</v>
      </c>
      <c r="G10085" s="10" t="s">
        <v>86</v>
      </c>
      <c r="H10085" s="9" t="s">
        <v>22</v>
      </c>
      <c r="I10085" s="9" t="s">
        <v>21064</v>
      </c>
      <c r="J10085" s="10" t="str">
        <f>HYPERLINK("https://www.boe.es/gazeta/dias/1834/01/16/pdfs/GMD-1834-8.pdf#page=2","Abrir facsímil")</f>
        <v>Abrir facsímil</v>
      </c>
      <c r="K10085" s="10" t="s">
        <v>24</v>
      </c>
    </row>
    <row r="10086" spans="1:11" ht="54" customHeight="1">
      <c r="A10086" s="9" t="s">
        <v>21065</v>
      </c>
      <c r="B10086" s="9" t="s">
        <v>21065</v>
      </c>
      <c r="C10086" s="9" t="s">
        <v>17</v>
      </c>
      <c r="D10086" s="9" t="s">
        <v>18</v>
      </c>
      <c r="E10086" s="10" t="s">
        <v>1812</v>
      </c>
      <c r="F10086" s="9" t="s">
        <v>1813</v>
      </c>
      <c r="G10086" s="10" t="s">
        <v>34</v>
      </c>
      <c r="H10086" s="9" t="s">
        <v>22</v>
      </c>
      <c r="I10086" s="9" t="s">
        <v>21066</v>
      </c>
      <c r="J10086" s="10" t="str">
        <f>HYPERLINK("https://www.boe.es/gazeta/dias/1834/10/23/pdfs/GMD-1834-251.pdf#page=1","Abrir facsímil")</f>
        <v>Abrir facsímil</v>
      </c>
      <c r="K10086" s="10" t="s">
        <v>24</v>
      </c>
    </row>
    <row r="10087" spans="1:11" ht="54" customHeight="1">
      <c r="A10087" s="9" t="s">
        <v>21067</v>
      </c>
      <c r="B10087" s="9" t="s">
        <v>21067</v>
      </c>
      <c r="C10087" s="9" t="s">
        <v>46</v>
      </c>
      <c r="D10087" s="9" t="s">
        <v>101</v>
      </c>
      <c r="E10087" s="10" t="s">
        <v>541</v>
      </c>
      <c r="F10087" s="9" t="s">
        <v>542</v>
      </c>
      <c r="G10087" s="10" t="s">
        <v>34</v>
      </c>
      <c r="H10087" s="9" t="s">
        <v>22</v>
      </c>
      <c r="I10087" s="9" t="s">
        <v>21068</v>
      </c>
      <c r="J10087" s="10" t="str">
        <f>HYPERLINK("https://www.boe.es/gazeta/dias/1834/04/18/pdfs/GMD-1834-57.pdf#page=1","Abrir facsímil")</f>
        <v>Abrir facsímil</v>
      </c>
      <c r="K10087" s="10" t="s">
        <v>24</v>
      </c>
    </row>
    <row r="10088" spans="1:11" ht="54" customHeight="1">
      <c r="A10088" s="9" t="s">
        <v>21069</v>
      </c>
      <c r="B10088" s="9" t="s">
        <v>21069</v>
      </c>
      <c r="C10088" s="9" t="s">
        <v>17</v>
      </c>
      <c r="D10088" s="9" t="s">
        <v>40</v>
      </c>
      <c r="E10088" s="10" t="s">
        <v>1402</v>
      </c>
      <c r="F10088" s="9" t="s">
        <v>1403</v>
      </c>
      <c r="G10088" s="10" t="s">
        <v>86</v>
      </c>
      <c r="H10088" s="9" t="s">
        <v>22</v>
      </c>
      <c r="I10088" s="9" t="s">
        <v>21070</v>
      </c>
      <c r="J10088" s="10" t="str">
        <f>HYPERLINK("https://www.boe.es/gazeta/dias/1834/05/05/pdfs/I00347-00348.pdf#page=2","Abrir facsímil")</f>
        <v>Abrir facsímil</v>
      </c>
      <c r="K10088" s="10" t="s">
        <v>24</v>
      </c>
    </row>
    <row r="10089" spans="1:11" ht="54" customHeight="1">
      <c r="A10089" s="9" t="s">
        <v>21069</v>
      </c>
      <c r="B10089" s="9" t="s">
        <v>21069</v>
      </c>
      <c r="C10089" s="9" t="s">
        <v>17</v>
      </c>
      <c r="D10089" s="9" t="s">
        <v>40</v>
      </c>
      <c r="E10089" s="10" t="s">
        <v>1402</v>
      </c>
      <c r="F10089" s="9" t="s">
        <v>1403</v>
      </c>
      <c r="G10089" s="10" t="s">
        <v>176</v>
      </c>
      <c r="H10089" s="9" t="s">
        <v>22</v>
      </c>
      <c r="I10089" s="9" t="s">
        <v>21071</v>
      </c>
      <c r="J10089" s="10" t="str">
        <f>HYPERLINK("https://www.boe.es/gazeta/dias/1834/05/05/pdfs/GMD-1834-74.pdf#page=6","Abrir facsímil")</f>
        <v>Abrir facsímil</v>
      </c>
      <c r="K10089" s="10" t="s">
        <v>24</v>
      </c>
    </row>
    <row r="10090" spans="1:11" ht="54" customHeight="1">
      <c r="A10090" s="9" t="s">
        <v>21072</v>
      </c>
      <c r="B10090" s="9" t="s">
        <v>21073</v>
      </c>
      <c r="C10090" s="9" t="s">
        <v>17</v>
      </c>
      <c r="D10090" s="9" t="s">
        <v>40</v>
      </c>
      <c r="E10090" s="10" t="s">
        <v>1402</v>
      </c>
      <c r="F10090" s="9" t="s">
        <v>1403</v>
      </c>
      <c r="G10090" s="10" t="s">
        <v>86</v>
      </c>
      <c r="H10090" s="9" t="s">
        <v>35</v>
      </c>
      <c r="I10090" s="9" t="s">
        <v>21074</v>
      </c>
      <c r="J10090" s="10" t="str">
        <f>HYPERLINK("https://www.boe.es/gazeta/dias/1834/05/05/pdfs/I00347-00348.pdf#page=2","Abrir facsímil")</f>
        <v>Abrir facsímil</v>
      </c>
      <c r="K10090" s="10" t="s">
        <v>37</v>
      </c>
    </row>
    <row r="10091" spans="1:11" ht="54" customHeight="1">
      <c r="A10091" s="9" t="s">
        <v>21075</v>
      </c>
      <c r="B10091" s="9" t="s">
        <v>21075</v>
      </c>
      <c r="C10091" s="9" t="s">
        <v>90</v>
      </c>
      <c r="D10091" s="9" t="s">
        <v>18</v>
      </c>
      <c r="E10091" s="10" t="s">
        <v>2865</v>
      </c>
      <c r="F10091" s="9" t="s">
        <v>2866</v>
      </c>
      <c r="G10091" s="10" t="s">
        <v>86</v>
      </c>
      <c r="H10091" s="9" t="s">
        <v>22</v>
      </c>
      <c r="I10091" s="9" t="s">
        <v>21076</v>
      </c>
      <c r="J10091" s="10" t="str">
        <f>HYPERLINK("https://www.boe.es/gazeta/dias/1834/07/06/pdfs/GMD-1834-139.pdf#page=2","Abrir facsímil")</f>
        <v>Abrir facsímil</v>
      </c>
      <c r="K10091" s="10" t="s">
        <v>24</v>
      </c>
    </row>
    <row r="10092" spans="1:11" ht="54" customHeight="1">
      <c r="A10092" s="9" t="s">
        <v>21077</v>
      </c>
      <c r="B10092" s="9" t="s">
        <v>21078</v>
      </c>
      <c r="C10092" s="9" t="s">
        <v>90</v>
      </c>
      <c r="D10092" s="9" t="s">
        <v>18</v>
      </c>
      <c r="E10092" s="10" t="s">
        <v>627</v>
      </c>
      <c r="F10092" s="9" t="s">
        <v>628</v>
      </c>
      <c r="G10092" s="10" t="s">
        <v>86</v>
      </c>
      <c r="H10092" s="9" t="s">
        <v>22</v>
      </c>
      <c r="I10092" s="9" t="s">
        <v>21079</v>
      </c>
      <c r="J10092" s="10" t="str">
        <f>HYPERLINK("https://www.boe.es/gazeta/dias/1834/09/22/pdfs/GMD-C-1834-220.pdf#page=2","Abrir facsímil")</f>
        <v>Abrir facsímil</v>
      </c>
      <c r="K10092" s="10" t="s">
        <v>24</v>
      </c>
    </row>
    <row r="10093" spans="1:11" ht="54" customHeight="1">
      <c r="A10093" s="9" t="s">
        <v>21080</v>
      </c>
      <c r="B10093" s="9" t="s">
        <v>21080</v>
      </c>
      <c r="C10093" s="9" t="s">
        <v>46</v>
      </c>
      <c r="D10093" s="9" t="s">
        <v>18</v>
      </c>
      <c r="E10093" s="10" t="s">
        <v>3699</v>
      </c>
      <c r="F10093" s="9" t="s">
        <v>3700</v>
      </c>
      <c r="G10093" s="10" t="s">
        <v>86</v>
      </c>
      <c r="H10093" s="9" t="s">
        <v>22</v>
      </c>
      <c r="I10093" s="9" t="s">
        <v>21081</v>
      </c>
      <c r="J10093" s="10" t="str">
        <f>HYPERLINK("https://www.boe.es/gazeta/dias/1834/02/06/pdfs/GMD-1834-17.pdf#page=2","Abrir facsímil")</f>
        <v>Abrir facsímil</v>
      </c>
      <c r="K10093" s="10" t="s">
        <v>24</v>
      </c>
    </row>
    <row r="10094" spans="1:11" ht="54" customHeight="1">
      <c r="A10094" s="9" t="s">
        <v>21082</v>
      </c>
      <c r="B10094" s="9" t="s">
        <v>21082</v>
      </c>
      <c r="C10094" s="9" t="s">
        <v>17</v>
      </c>
      <c r="D10094" s="9" t="s">
        <v>18</v>
      </c>
      <c r="E10094" s="10" t="s">
        <v>506</v>
      </c>
      <c r="F10094" s="9" t="s">
        <v>507</v>
      </c>
      <c r="G10094" s="10" t="s">
        <v>75</v>
      </c>
      <c r="H10094" s="9" t="s">
        <v>22</v>
      </c>
      <c r="I10094" s="9" t="s">
        <v>21083</v>
      </c>
      <c r="J10094" s="10" t="str">
        <f>HYPERLINK("https://www.boe.es/gazeta/dias/1834/03/04/pdfs/GMD-1834-28.pdf#page=4","Abrir facsímil")</f>
        <v>Abrir facsímil</v>
      </c>
      <c r="K10094" s="10" t="s">
        <v>24</v>
      </c>
    </row>
    <row r="10095" spans="1:11" ht="54" customHeight="1">
      <c r="A10095" s="9" t="s">
        <v>21082</v>
      </c>
      <c r="B10095" s="9" t="s">
        <v>21082</v>
      </c>
      <c r="C10095" s="9" t="s">
        <v>17</v>
      </c>
      <c r="D10095" s="9" t="s">
        <v>18</v>
      </c>
      <c r="E10095" s="10" t="s">
        <v>91</v>
      </c>
      <c r="F10095" s="9" t="s">
        <v>92</v>
      </c>
      <c r="G10095" s="10" t="s">
        <v>21</v>
      </c>
      <c r="H10095" s="9" t="s">
        <v>22</v>
      </c>
      <c r="I10095" s="9" t="s">
        <v>21084</v>
      </c>
      <c r="J10095" s="10" t="str">
        <f>HYPERLINK("https://www.boe.es/gazeta/dias/1834/02/13/pdfs/GMD-1834-20.pdf#page=3","Abrir facsímil")</f>
        <v>Abrir facsímil</v>
      </c>
      <c r="K10095" s="10" t="s">
        <v>24</v>
      </c>
    </row>
    <row r="10096" spans="1:11" ht="54" customHeight="1">
      <c r="A10096" s="9" t="s">
        <v>21082</v>
      </c>
      <c r="B10096" s="9" t="s">
        <v>21082</v>
      </c>
      <c r="C10096" s="9" t="s">
        <v>17</v>
      </c>
      <c r="D10096" s="9" t="s">
        <v>18</v>
      </c>
      <c r="E10096" s="10" t="s">
        <v>912</v>
      </c>
      <c r="F10096" s="9" t="s">
        <v>913</v>
      </c>
      <c r="G10096" s="10" t="s">
        <v>75</v>
      </c>
      <c r="H10096" s="9" t="s">
        <v>22</v>
      </c>
      <c r="I10096" s="9" t="s">
        <v>21085</v>
      </c>
      <c r="J10096" s="10" t="str">
        <f>HYPERLINK("https://www.boe.es/gazeta/dias/1834/02/15/pdfs/GMD-1834-21.pdf#page=4","Abrir facsímil")</f>
        <v>Abrir facsímil</v>
      </c>
      <c r="K10096" s="10" t="s">
        <v>24</v>
      </c>
    </row>
    <row r="10097" spans="1:11" ht="54" customHeight="1">
      <c r="A10097" s="9" t="s">
        <v>21082</v>
      </c>
      <c r="B10097" s="9" t="s">
        <v>21082</v>
      </c>
      <c r="C10097" s="9" t="s">
        <v>46</v>
      </c>
      <c r="D10097" s="9" t="s">
        <v>101</v>
      </c>
      <c r="E10097" s="10" t="s">
        <v>707</v>
      </c>
      <c r="F10097" s="9" t="s">
        <v>1359</v>
      </c>
      <c r="G10097" s="10" t="s">
        <v>86</v>
      </c>
      <c r="H10097" s="9" t="s">
        <v>22</v>
      </c>
      <c r="I10097" s="9" t="s">
        <v>21086</v>
      </c>
      <c r="J10097" s="10" t="str">
        <f>HYPERLINK("https://www.boe.es/gazeta/dias/1834/11/25/pdfs/GMD-1834-284.pdf#page=2","Abrir facsímil")</f>
        <v>Abrir facsímil</v>
      </c>
      <c r="K10097" s="10" t="s">
        <v>24</v>
      </c>
    </row>
    <row r="10098" spans="1:11" ht="54" customHeight="1">
      <c r="A10098" s="9" t="s">
        <v>21082</v>
      </c>
      <c r="B10098" s="9" t="s">
        <v>21082</v>
      </c>
      <c r="C10098" s="9" t="s">
        <v>46</v>
      </c>
      <c r="D10098" s="9" t="s">
        <v>18</v>
      </c>
      <c r="E10098" s="10" t="s">
        <v>1680</v>
      </c>
      <c r="F10098" s="9" t="s">
        <v>1681</v>
      </c>
      <c r="G10098" s="10" t="s">
        <v>21</v>
      </c>
      <c r="H10098" s="9" t="s">
        <v>22</v>
      </c>
      <c r="I10098" s="9" t="s">
        <v>21087</v>
      </c>
      <c r="J10098" s="10" t="str">
        <f>HYPERLINK("https://www.boe.es/gazeta/dias/1834/02/27/pdfs/GMD-1834-26.pdf#page=3","Abrir facsímil")</f>
        <v>Abrir facsímil</v>
      </c>
      <c r="K10098" s="10" t="s">
        <v>24</v>
      </c>
    </row>
    <row r="10099" spans="1:11" ht="54" customHeight="1">
      <c r="A10099" s="9" t="s">
        <v>21088</v>
      </c>
      <c r="B10099" s="9" t="s">
        <v>21089</v>
      </c>
      <c r="C10099" s="9" t="s">
        <v>17</v>
      </c>
      <c r="D10099" s="9" t="s">
        <v>18</v>
      </c>
      <c r="E10099" s="10" t="s">
        <v>912</v>
      </c>
      <c r="F10099" s="9" t="s">
        <v>913</v>
      </c>
      <c r="G10099" s="10" t="s">
        <v>75</v>
      </c>
      <c r="H10099" s="9" t="s">
        <v>22</v>
      </c>
      <c r="I10099" s="9" t="s">
        <v>21090</v>
      </c>
      <c r="J10099" s="10" t="str">
        <f>HYPERLINK("https://www.boe.es/gazeta/dias/1834/02/15/pdfs/GMD-1834-21.pdf#page=4","Abrir facsímil")</f>
        <v>Abrir facsímil</v>
      </c>
      <c r="K10099" s="10" t="s">
        <v>24</v>
      </c>
    </row>
    <row r="10100" spans="1:11" ht="54" customHeight="1">
      <c r="A10100" s="9" t="s">
        <v>21091</v>
      </c>
      <c r="B10100" s="9" t="s">
        <v>21091</v>
      </c>
      <c r="C10100" s="9" t="s">
        <v>17</v>
      </c>
      <c r="D10100" s="9" t="s">
        <v>18</v>
      </c>
      <c r="E10100" s="10" t="s">
        <v>174</v>
      </c>
      <c r="F10100" s="9" t="s">
        <v>175</v>
      </c>
      <c r="G10100" s="10" t="s">
        <v>21</v>
      </c>
      <c r="H10100" s="9" t="s">
        <v>22</v>
      </c>
      <c r="I10100" s="9" t="s">
        <v>21092</v>
      </c>
      <c r="J10100" s="10" t="str">
        <f>HYPERLINK("https://www.boe.es/gazeta/dias/1834/03/27/pdfs/GMD-1834-38.pdf#page=3","Abrir facsímil")</f>
        <v>Abrir facsímil</v>
      </c>
      <c r="K10100" s="10" t="s">
        <v>24</v>
      </c>
    </row>
    <row r="10101" spans="1:11" ht="54" customHeight="1">
      <c r="A10101" s="9" t="s">
        <v>21093</v>
      </c>
      <c r="B10101" s="9" t="s">
        <v>21094</v>
      </c>
      <c r="C10101" s="9" t="s">
        <v>66</v>
      </c>
      <c r="D10101" s="9" t="s">
        <v>67</v>
      </c>
      <c r="E10101" s="10" t="s">
        <v>772</v>
      </c>
      <c r="F10101" s="9" t="s">
        <v>773</v>
      </c>
      <c r="G10101" s="10" t="s">
        <v>21</v>
      </c>
      <c r="H10101" s="9" t="s">
        <v>35</v>
      </c>
      <c r="I10101" s="9" t="s">
        <v>21095</v>
      </c>
      <c r="J10101" s="10" t="str">
        <f>HYPERLINK("https://www.boe.es/gazeta/dias/1834/09/18/pdfs/GMD-1834-216.pdf#page=3","Abrir facsímil")</f>
        <v>Abrir facsímil</v>
      </c>
      <c r="K10101" s="10" t="s">
        <v>37</v>
      </c>
    </row>
    <row r="10102" spans="1:11" ht="54" customHeight="1">
      <c r="A10102" s="9" t="s">
        <v>21096</v>
      </c>
      <c r="B10102" s="9" t="s">
        <v>21097</v>
      </c>
      <c r="C10102" s="9" t="s">
        <v>66</v>
      </c>
      <c r="D10102" s="9" t="s">
        <v>67</v>
      </c>
      <c r="E10102" s="10" t="s">
        <v>772</v>
      </c>
      <c r="F10102" s="9" t="s">
        <v>773</v>
      </c>
      <c r="G10102" s="10" t="s">
        <v>21</v>
      </c>
      <c r="H10102" s="9" t="s">
        <v>22</v>
      </c>
      <c r="I10102" s="9" t="s">
        <v>21098</v>
      </c>
      <c r="J10102" s="10" t="str">
        <f>HYPERLINK("https://www.boe.es/gazeta/dias/1834/09/18/pdfs/GMD-1834-216.pdf#page=3","Abrir facsímil")</f>
        <v>Abrir facsímil</v>
      </c>
      <c r="K10102" s="10" t="s">
        <v>24</v>
      </c>
    </row>
    <row r="10103" spans="1:11" ht="54" customHeight="1">
      <c r="A10103" s="9" t="s">
        <v>21099</v>
      </c>
      <c r="B10103" s="9" t="s">
        <v>21099</v>
      </c>
      <c r="C10103" s="9" t="s">
        <v>122</v>
      </c>
      <c r="D10103" s="9" t="s">
        <v>18</v>
      </c>
      <c r="E10103" s="10" t="s">
        <v>772</v>
      </c>
      <c r="F10103" s="9" t="s">
        <v>773</v>
      </c>
      <c r="G10103" s="10" t="s">
        <v>21</v>
      </c>
      <c r="H10103" s="9" t="s">
        <v>22</v>
      </c>
      <c r="I10103" s="9" t="s">
        <v>21100</v>
      </c>
      <c r="J10103" s="10" t="str">
        <f>HYPERLINK("https://www.boe.es/gazeta/dias/1834/09/18/pdfs/GMD-1834-216.pdf#page=3","Abrir facsímil")</f>
        <v>Abrir facsímil</v>
      </c>
      <c r="K10103" s="10" t="s">
        <v>24</v>
      </c>
    </row>
    <row r="10104" spans="1:11" ht="54" customHeight="1">
      <c r="A10104" s="9" t="s">
        <v>21099</v>
      </c>
      <c r="B10104" s="9" t="s">
        <v>21099</v>
      </c>
      <c r="C10104" s="9" t="s">
        <v>17</v>
      </c>
      <c r="D10104" s="9" t="s">
        <v>18</v>
      </c>
      <c r="E10104" s="10" t="s">
        <v>389</v>
      </c>
      <c r="F10104" s="9" t="s">
        <v>390</v>
      </c>
      <c r="G10104" s="10" t="s">
        <v>75</v>
      </c>
      <c r="H10104" s="9" t="s">
        <v>22</v>
      </c>
      <c r="I10104" s="9" t="s">
        <v>21101</v>
      </c>
      <c r="J10104" s="10" t="str">
        <f>HYPERLINK("https://www.boe.es/gazeta/dias/1834/10/25/pdfs/GMD-1834-253.pdf#page=4","Abrir facsímil")</f>
        <v>Abrir facsímil</v>
      </c>
      <c r="K10104" s="10" t="s">
        <v>24</v>
      </c>
    </row>
    <row r="10105" spans="1:11" ht="54" customHeight="1">
      <c r="A10105" s="9" t="s">
        <v>21102</v>
      </c>
      <c r="B10105" s="9" t="s">
        <v>21103</v>
      </c>
      <c r="C10105" s="9" t="s">
        <v>857</v>
      </c>
      <c r="D10105" s="9" t="s">
        <v>18</v>
      </c>
      <c r="E10105" s="10" t="s">
        <v>690</v>
      </c>
      <c r="F10105" s="9" t="s">
        <v>5765</v>
      </c>
      <c r="G10105" s="10" t="s">
        <v>75</v>
      </c>
      <c r="H10105" s="9" t="s">
        <v>22</v>
      </c>
      <c r="I10105" s="9" t="s">
        <v>21104</v>
      </c>
      <c r="J10105" s="10" t="str">
        <f>HYPERLINK("https://www.boe.es/gazeta/dias/1834/09/03/pdfs/GMD-1834-201.pdf#page=4","Abrir facsímil")</f>
        <v>Abrir facsímil</v>
      </c>
      <c r="K10105" s="10" t="s">
        <v>24</v>
      </c>
    </row>
    <row r="10106" spans="1:11" ht="54" customHeight="1">
      <c r="A10106" s="9" t="s">
        <v>21105</v>
      </c>
      <c r="B10106" s="9" t="s">
        <v>21105</v>
      </c>
      <c r="C10106" s="9" t="s">
        <v>17</v>
      </c>
      <c r="D10106" s="9" t="s">
        <v>18</v>
      </c>
      <c r="E10106" s="10" t="s">
        <v>912</v>
      </c>
      <c r="F10106" s="9" t="s">
        <v>913</v>
      </c>
      <c r="G10106" s="10" t="s">
        <v>86</v>
      </c>
      <c r="H10106" s="9" t="s">
        <v>22</v>
      </c>
      <c r="I10106" s="9" t="s">
        <v>21106</v>
      </c>
      <c r="J10106" s="10" t="str">
        <f>HYPERLINK("https://www.boe.es/gazeta/dias/1834/02/15/pdfs/GMD-1834-21.pdf#page=2","Abrir facsímil")</f>
        <v>Abrir facsímil</v>
      </c>
      <c r="K10106" s="10" t="s">
        <v>24</v>
      </c>
    </row>
    <row r="10107" spans="1:11" ht="54" customHeight="1">
      <c r="A10107" s="9" t="s">
        <v>21107</v>
      </c>
      <c r="B10107" s="9" t="s">
        <v>21108</v>
      </c>
      <c r="C10107" s="9" t="s">
        <v>122</v>
      </c>
      <c r="D10107" s="9" t="s">
        <v>18</v>
      </c>
      <c r="E10107" s="10" t="s">
        <v>348</v>
      </c>
      <c r="F10107" s="9" t="s">
        <v>501</v>
      </c>
      <c r="G10107" s="10" t="s">
        <v>21</v>
      </c>
      <c r="H10107" s="9" t="s">
        <v>22</v>
      </c>
      <c r="I10107" s="9" t="s">
        <v>21109</v>
      </c>
      <c r="J10107" s="10" t="str">
        <f>HYPERLINK("https://www.boe.es/gazeta/dias/1834/06/12/pdfs/GMD-1834-115.pdf#page=3","Abrir facsímil")</f>
        <v>Abrir facsímil</v>
      </c>
      <c r="K10107" s="10" t="s">
        <v>24</v>
      </c>
    </row>
    <row r="10108" spans="1:11" ht="54" customHeight="1">
      <c r="A10108" s="9" t="s">
        <v>21110</v>
      </c>
      <c r="B10108" s="9" t="s">
        <v>21110</v>
      </c>
      <c r="C10108" s="9" t="s">
        <v>46</v>
      </c>
      <c r="D10108" s="9" t="s">
        <v>101</v>
      </c>
      <c r="E10108" s="10" t="s">
        <v>123</v>
      </c>
      <c r="F10108" s="9" t="s">
        <v>124</v>
      </c>
      <c r="G10108" s="10" t="s">
        <v>34</v>
      </c>
      <c r="H10108" s="9" t="s">
        <v>22</v>
      </c>
      <c r="I10108" s="9" t="s">
        <v>21111</v>
      </c>
      <c r="J10108" s="10" t="str">
        <f>HYPERLINK("https://www.boe.es/gazeta/dias/1834/07/11/pdfs/GMD-1834-144.pdf#page=1","Abrir facsímil")</f>
        <v>Abrir facsímil</v>
      </c>
      <c r="K10108" s="10" t="s">
        <v>24</v>
      </c>
    </row>
    <row r="10109" spans="1:11" ht="54" customHeight="1">
      <c r="A10109" s="9" t="s">
        <v>21112</v>
      </c>
      <c r="B10109" s="9" t="s">
        <v>21113</v>
      </c>
      <c r="C10109" s="9" t="s">
        <v>17</v>
      </c>
      <c r="D10109" s="9" t="s">
        <v>40</v>
      </c>
      <c r="E10109" s="10" t="s">
        <v>2748</v>
      </c>
      <c r="F10109" s="9" t="s">
        <v>2749</v>
      </c>
      <c r="G10109" s="10" t="s">
        <v>75</v>
      </c>
      <c r="H10109" s="9" t="s">
        <v>22</v>
      </c>
      <c r="I10109" s="9" t="s">
        <v>21114</v>
      </c>
      <c r="J10109" s="10" t="str">
        <f>HYPERLINK("https://www.boe.es/gazeta/dias/1834/01/09/pdfs/GMD-1834-5.pdf#page=4","Abrir facsímil")</f>
        <v>Abrir facsímil</v>
      </c>
      <c r="K10109" s="10" t="s">
        <v>24</v>
      </c>
    </row>
    <row r="10110" spans="1:11" ht="54" customHeight="1">
      <c r="A10110" s="9" t="s">
        <v>21115</v>
      </c>
      <c r="B10110" s="9" t="s">
        <v>21116</v>
      </c>
      <c r="C10110" s="9" t="s">
        <v>90</v>
      </c>
      <c r="D10110" s="9" t="s">
        <v>18</v>
      </c>
      <c r="E10110" s="10" t="s">
        <v>317</v>
      </c>
      <c r="F10110" s="9" t="s">
        <v>318</v>
      </c>
      <c r="G10110" s="10" t="s">
        <v>34</v>
      </c>
      <c r="H10110" s="9" t="s">
        <v>22</v>
      </c>
      <c r="I10110" s="9" t="s">
        <v>21117</v>
      </c>
      <c r="J10110" s="10" t="str">
        <f>HYPERLINK("https://www.boe.es/gazeta/dias/1834/03/06/pdfs/GMD-1834-29.pdf#page=1","Abrir facsímil")</f>
        <v>Abrir facsímil</v>
      </c>
      <c r="K10110" s="10" t="s">
        <v>24</v>
      </c>
    </row>
    <row r="10111" spans="1:11" ht="54" customHeight="1">
      <c r="A10111" s="9" t="s">
        <v>21118</v>
      </c>
      <c r="B10111" s="9" t="s">
        <v>21118</v>
      </c>
      <c r="C10111" s="9" t="s">
        <v>17</v>
      </c>
      <c r="D10111" s="9" t="s">
        <v>18</v>
      </c>
      <c r="E10111" s="10" t="s">
        <v>492</v>
      </c>
      <c r="F10111" s="9" t="s">
        <v>493</v>
      </c>
      <c r="G10111" s="10" t="s">
        <v>21</v>
      </c>
      <c r="H10111" s="9" t="s">
        <v>22</v>
      </c>
      <c r="I10111" s="9" t="s">
        <v>21119</v>
      </c>
      <c r="J10111" s="10" t="str">
        <f>HYPERLINK("https://www.boe.es/gazeta/dias/1834/11/21/pdfs/GMD-C-1834-280.pdf#page=3","Abrir facsímil")</f>
        <v>Abrir facsímil</v>
      </c>
      <c r="K10111" s="10" t="s">
        <v>24</v>
      </c>
    </row>
    <row r="10112" spans="1:11" ht="54" customHeight="1">
      <c r="A10112" s="9" t="s">
        <v>21120</v>
      </c>
      <c r="B10112" s="9" t="s">
        <v>21121</v>
      </c>
      <c r="C10112" s="9" t="s">
        <v>17</v>
      </c>
      <c r="D10112" s="9" t="s">
        <v>18</v>
      </c>
      <c r="E10112" s="10" t="s">
        <v>41</v>
      </c>
      <c r="F10112" s="9" t="s">
        <v>42</v>
      </c>
      <c r="G10112" s="10" t="s">
        <v>75</v>
      </c>
      <c r="H10112" s="9" t="s">
        <v>22</v>
      </c>
      <c r="I10112" s="9" t="s">
        <v>21122</v>
      </c>
      <c r="J10112" s="10" t="str">
        <f>HYPERLINK("https://www.boe.es/gazeta/dias/1834/06/11/pdfs/GMD-1834-114.pdf#page=4","Abrir facsímil")</f>
        <v>Abrir facsímil</v>
      </c>
      <c r="K10112" s="10" t="s">
        <v>24</v>
      </c>
    </row>
    <row r="10113" spans="1:11" ht="54" customHeight="1">
      <c r="A10113" s="9" t="s">
        <v>21123</v>
      </c>
      <c r="B10113" s="9" t="s">
        <v>21123</v>
      </c>
      <c r="C10113" s="9" t="s">
        <v>122</v>
      </c>
      <c r="D10113" s="9" t="s">
        <v>18</v>
      </c>
      <c r="E10113" s="10" t="s">
        <v>1850</v>
      </c>
      <c r="F10113" s="9" t="s">
        <v>1851</v>
      </c>
      <c r="G10113" s="10" t="s">
        <v>470</v>
      </c>
      <c r="H10113" s="9" t="s">
        <v>22</v>
      </c>
      <c r="I10113" s="9" t="s">
        <v>21124</v>
      </c>
      <c r="J10113" s="10" t="str">
        <f>HYPERLINK("https://www.boe.es/gazeta/dias/1834/02/18/pdfs/GMD-1834-22.pdf#page=8","Abrir facsímil")</f>
        <v>Abrir facsímil</v>
      </c>
      <c r="K10113" s="10" t="s">
        <v>24</v>
      </c>
    </row>
    <row r="10114" spans="1:11" ht="54" customHeight="1">
      <c r="A10114" s="9" t="s">
        <v>21125</v>
      </c>
      <c r="B10114" s="9" t="s">
        <v>21125</v>
      </c>
      <c r="C10114" s="9" t="s">
        <v>17</v>
      </c>
      <c r="D10114" s="9" t="s">
        <v>18</v>
      </c>
      <c r="E10114" s="10" t="s">
        <v>339</v>
      </c>
      <c r="F10114" s="9" t="s">
        <v>340</v>
      </c>
      <c r="G10114" s="10" t="s">
        <v>75</v>
      </c>
      <c r="H10114" s="9" t="s">
        <v>22</v>
      </c>
      <c r="I10114" s="9" t="s">
        <v>21126</v>
      </c>
      <c r="J10114" s="10" t="str">
        <f>HYPERLINK("https://www.boe.es/gazeta/dias/1834/05/02/pdfs/GMD-1834-71.pdf#page=4","Abrir facsímil")</f>
        <v>Abrir facsímil</v>
      </c>
      <c r="K10114" s="10" t="s">
        <v>24</v>
      </c>
    </row>
    <row r="10115" spans="1:11" ht="54" customHeight="1">
      <c r="A10115" s="9" t="s">
        <v>21125</v>
      </c>
      <c r="B10115" s="9" t="s">
        <v>21125</v>
      </c>
      <c r="C10115" s="9" t="s">
        <v>17</v>
      </c>
      <c r="D10115" s="9" t="s">
        <v>18</v>
      </c>
      <c r="E10115" s="10" t="s">
        <v>905</v>
      </c>
      <c r="F10115" s="9" t="s">
        <v>906</v>
      </c>
      <c r="G10115" s="10" t="s">
        <v>86</v>
      </c>
      <c r="H10115" s="9" t="s">
        <v>22</v>
      </c>
      <c r="I10115" s="9" t="s">
        <v>21127</v>
      </c>
      <c r="J10115" s="10" t="str">
        <f>HYPERLINK("https://www.boe.es/gazeta/dias/1834/08/02/pdfs/GMD-C-1834-166.pdf#page=2","Abrir facsímil")</f>
        <v>Abrir facsímil</v>
      </c>
      <c r="K10115" s="10" t="s">
        <v>24</v>
      </c>
    </row>
    <row r="10116" spans="1:11" ht="54" customHeight="1">
      <c r="A10116" s="9" t="s">
        <v>21125</v>
      </c>
      <c r="B10116" s="9" t="s">
        <v>21125</v>
      </c>
      <c r="C10116" s="9" t="s">
        <v>17</v>
      </c>
      <c r="D10116" s="9" t="s">
        <v>18</v>
      </c>
      <c r="E10116" s="10" t="s">
        <v>1704</v>
      </c>
      <c r="F10116" s="9" t="s">
        <v>1705</v>
      </c>
      <c r="G10116" s="10" t="s">
        <v>75</v>
      </c>
      <c r="H10116" s="9" t="s">
        <v>22</v>
      </c>
      <c r="I10116" s="9" t="s">
        <v>21128</v>
      </c>
      <c r="J10116" s="10" t="str">
        <f>HYPERLINK("https://www.boe.es/gazeta/dias/1834/12/02/pdfs/GMD-1834-291.pdf#page=4","Abrir facsímil")</f>
        <v>Abrir facsímil</v>
      </c>
      <c r="K10116" s="10" t="s">
        <v>24</v>
      </c>
    </row>
    <row r="10117" spans="1:11" ht="54" customHeight="1">
      <c r="A10117" s="9" t="s">
        <v>21125</v>
      </c>
      <c r="B10117" s="9" t="s">
        <v>21125</v>
      </c>
      <c r="C10117" s="9" t="s">
        <v>122</v>
      </c>
      <c r="D10117" s="9" t="s">
        <v>18</v>
      </c>
      <c r="E10117" s="10" t="s">
        <v>1597</v>
      </c>
      <c r="F10117" s="9" t="s">
        <v>1598</v>
      </c>
      <c r="G10117" s="10" t="s">
        <v>21</v>
      </c>
      <c r="H10117" s="9" t="s">
        <v>22</v>
      </c>
      <c r="I10117" s="9" t="s">
        <v>21129</v>
      </c>
      <c r="J10117" s="10" t="str">
        <f>HYPERLINK("https://www.boe.es/gazeta/dias/1834/10/03/pdfs/GMD-1834-231.pdf#page=3","Abrir facsímil")</f>
        <v>Abrir facsímil</v>
      </c>
      <c r="K10117" s="10" t="s">
        <v>24</v>
      </c>
    </row>
    <row r="10118" spans="1:11" ht="54" customHeight="1">
      <c r="A10118" s="9" t="s">
        <v>21125</v>
      </c>
      <c r="B10118" s="9" t="s">
        <v>21125</v>
      </c>
      <c r="C10118" s="9" t="s">
        <v>17</v>
      </c>
      <c r="D10118" s="9" t="s">
        <v>18</v>
      </c>
      <c r="E10118" s="10" t="s">
        <v>571</v>
      </c>
      <c r="F10118" s="9" t="s">
        <v>620</v>
      </c>
      <c r="G10118" s="10" t="s">
        <v>21</v>
      </c>
      <c r="H10118" s="9" t="s">
        <v>22</v>
      </c>
      <c r="I10118" s="9" t="s">
        <v>21130</v>
      </c>
      <c r="J10118" s="10" t="str">
        <f>HYPERLINK("https://www.boe.es/gazeta/dias/1834/09/04/pdfs/GMD-C-1834-202.pdf#page=3","Abrir facsímil")</f>
        <v>Abrir facsímil</v>
      </c>
      <c r="K10118" s="10" t="s">
        <v>24</v>
      </c>
    </row>
    <row r="10119" spans="1:11" ht="54" customHeight="1">
      <c r="A10119" s="9" t="s">
        <v>21125</v>
      </c>
      <c r="B10119" s="9" t="s">
        <v>21125</v>
      </c>
      <c r="C10119" s="9" t="s">
        <v>857</v>
      </c>
      <c r="D10119" s="9" t="s">
        <v>67</v>
      </c>
      <c r="E10119" s="10" t="s">
        <v>73</v>
      </c>
      <c r="F10119" s="9" t="s">
        <v>74</v>
      </c>
      <c r="G10119" s="10" t="s">
        <v>75</v>
      </c>
      <c r="H10119" s="9" t="s">
        <v>22</v>
      </c>
      <c r="I10119" s="9" t="s">
        <v>21131</v>
      </c>
      <c r="J10119" s="10" t="str">
        <f>HYPERLINK("https://www.boe.es/gazeta/dias/1834/11/04/pdfs/GMD-1834-263.pdf#page=4","Abrir facsímil")</f>
        <v>Abrir facsímil</v>
      </c>
      <c r="K10119" s="10" t="s">
        <v>24</v>
      </c>
    </row>
    <row r="10120" spans="1:11" ht="54" customHeight="1">
      <c r="A10120" s="9" t="s">
        <v>21125</v>
      </c>
      <c r="B10120" s="9" t="s">
        <v>21125</v>
      </c>
      <c r="C10120" s="9" t="s">
        <v>17</v>
      </c>
      <c r="D10120" s="9" t="s">
        <v>18</v>
      </c>
      <c r="E10120" s="10" t="s">
        <v>1340</v>
      </c>
      <c r="F10120" s="9" t="s">
        <v>1341</v>
      </c>
      <c r="G10120" s="10" t="s">
        <v>34</v>
      </c>
      <c r="H10120" s="9" t="s">
        <v>22</v>
      </c>
      <c r="I10120" s="9" t="s">
        <v>21132</v>
      </c>
      <c r="J10120" s="10" t="str">
        <f>HYPERLINK("https://www.boe.es/gazeta/dias/1834/10/05/pdfs/GMD-C-1834-233.pdf#page=1","Abrir facsímil")</f>
        <v>Abrir facsímil</v>
      </c>
      <c r="K10120" s="10" t="s">
        <v>24</v>
      </c>
    </row>
    <row r="10121" spans="1:11" ht="54" customHeight="1">
      <c r="A10121" s="9" t="s">
        <v>21125</v>
      </c>
      <c r="B10121" s="9" t="s">
        <v>21125</v>
      </c>
      <c r="C10121" s="9" t="s">
        <v>857</v>
      </c>
      <c r="D10121" s="9" t="s">
        <v>67</v>
      </c>
      <c r="E10121" s="10" t="s">
        <v>364</v>
      </c>
      <c r="F10121" s="9" t="s">
        <v>2102</v>
      </c>
      <c r="G10121" s="10" t="s">
        <v>34</v>
      </c>
      <c r="H10121" s="9" t="s">
        <v>22</v>
      </c>
      <c r="I10121" s="9" t="s">
        <v>21133</v>
      </c>
      <c r="J10121" s="10" t="str">
        <f>HYPERLINK("https://www.boe.es/gazeta/dias/1834/09/06/pdfs/GMD-1834-204.pdf#page=1","Abrir facsímil")</f>
        <v>Abrir facsímil</v>
      </c>
      <c r="K10121" s="10" t="s">
        <v>24</v>
      </c>
    </row>
    <row r="10122" spans="1:11" ht="54" customHeight="1">
      <c r="A10122" s="9" t="s">
        <v>21125</v>
      </c>
      <c r="B10122" s="9" t="s">
        <v>21125</v>
      </c>
      <c r="C10122" s="9" t="s">
        <v>90</v>
      </c>
      <c r="D10122" s="9" t="s">
        <v>101</v>
      </c>
      <c r="E10122" s="10" t="s">
        <v>696</v>
      </c>
      <c r="F10122" s="9" t="s">
        <v>854</v>
      </c>
      <c r="G10122" s="10" t="s">
        <v>75</v>
      </c>
      <c r="H10122" s="9" t="s">
        <v>22</v>
      </c>
      <c r="I10122" s="9" t="s">
        <v>21134</v>
      </c>
      <c r="J10122" s="10" t="str">
        <f>HYPERLINK("https://www.boe.es/gazeta/dias/1834/12/06/pdfs/GMD-1834-295.pdf#page=4","Abrir facsímil")</f>
        <v>Abrir facsímil</v>
      </c>
      <c r="K10122" s="10" t="s">
        <v>24</v>
      </c>
    </row>
    <row r="10123" spans="1:11" ht="54" customHeight="1">
      <c r="A10123" s="9" t="s">
        <v>21125</v>
      </c>
      <c r="B10123" s="9" t="s">
        <v>21125</v>
      </c>
      <c r="C10123" s="9" t="s">
        <v>66</v>
      </c>
      <c r="D10123" s="9" t="s">
        <v>67</v>
      </c>
      <c r="E10123" s="10" t="s">
        <v>360</v>
      </c>
      <c r="F10123" s="9" t="s">
        <v>361</v>
      </c>
      <c r="G10123" s="10" t="s">
        <v>34</v>
      </c>
      <c r="H10123" s="9" t="s">
        <v>22</v>
      </c>
      <c r="I10123" s="9" t="s">
        <v>21135</v>
      </c>
      <c r="J10123" s="10" t="str">
        <f>HYPERLINK("https://www.boe.es/gazeta/dias/1834/04/07/pdfs/GMD-1834-46.pdf#page=1","Abrir facsímil")</f>
        <v>Abrir facsímil</v>
      </c>
      <c r="K10123" s="10" t="s">
        <v>24</v>
      </c>
    </row>
    <row r="10124" spans="1:11" ht="54" customHeight="1">
      <c r="A10124" s="9" t="s">
        <v>21125</v>
      </c>
      <c r="B10124" s="9" t="s">
        <v>21125</v>
      </c>
      <c r="C10124" s="9" t="s">
        <v>17</v>
      </c>
      <c r="D10124" s="9" t="s">
        <v>18</v>
      </c>
      <c r="E10124" s="10" t="s">
        <v>167</v>
      </c>
      <c r="F10124" s="9" t="s">
        <v>1200</v>
      </c>
      <c r="G10124" s="10" t="s">
        <v>176</v>
      </c>
      <c r="H10124" s="9" t="s">
        <v>22</v>
      </c>
      <c r="I10124" s="9" t="s">
        <v>21136</v>
      </c>
      <c r="J10124" s="10" t="str">
        <f>HYPERLINK("https://www.boe.es/gazeta/dias/1834/09/07/pdfs/GMD-C-1834-205.pdf#page=6","Abrir facsímil")</f>
        <v>Abrir facsímil</v>
      </c>
      <c r="K10124" s="10" t="s">
        <v>24</v>
      </c>
    </row>
    <row r="10125" spans="1:11" ht="54" customHeight="1">
      <c r="A10125" s="9" t="s">
        <v>21125</v>
      </c>
      <c r="B10125" s="9" t="s">
        <v>21125</v>
      </c>
      <c r="C10125" s="9" t="s">
        <v>17</v>
      </c>
      <c r="D10125" s="9" t="s">
        <v>18</v>
      </c>
      <c r="E10125" s="10" t="s">
        <v>163</v>
      </c>
      <c r="F10125" s="9" t="s">
        <v>164</v>
      </c>
      <c r="G10125" s="10" t="s">
        <v>21</v>
      </c>
      <c r="H10125" s="9" t="s">
        <v>22</v>
      </c>
      <c r="I10125" s="9" t="s">
        <v>21137</v>
      </c>
      <c r="J10125" s="10" t="str">
        <f>HYPERLINK("https://www.boe.es/gazeta/dias/1834/08/09/pdfs/GMD-1834-174.pdf#page=3","Abrir facsímil")</f>
        <v>Abrir facsímil</v>
      </c>
      <c r="K10125" s="10" t="s">
        <v>24</v>
      </c>
    </row>
    <row r="10126" spans="1:11" ht="54" customHeight="1">
      <c r="A10126" s="9" t="s">
        <v>21125</v>
      </c>
      <c r="B10126" s="9" t="s">
        <v>21125</v>
      </c>
      <c r="C10126" s="9" t="s">
        <v>17</v>
      </c>
      <c r="D10126" s="9" t="s">
        <v>40</v>
      </c>
      <c r="E10126" s="10" t="s">
        <v>258</v>
      </c>
      <c r="F10126" s="9" t="s">
        <v>1075</v>
      </c>
      <c r="G10126" s="10" t="s">
        <v>34</v>
      </c>
      <c r="H10126" s="9" t="s">
        <v>22</v>
      </c>
      <c r="I10126" s="9" t="s">
        <v>21138</v>
      </c>
      <c r="J10126" s="10" t="str">
        <f>HYPERLINK("https://www.boe.es/gazeta/dias/1834/10/09/pdfs/GMD-1834-237.pdf#page=1","Abrir facsímil")</f>
        <v>Abrir facsímil</v>
      </c>
      <c r="K10126" s="10" t="s">
        <v>24</v>
      </c>
    </row>
    <row r="10127" spans="1:11" ht="54" customHeight="1">
      <c r="A10127" s="9" t="s">
        <v>21125</v>
      </c>
      <c r="B10127" s="9" t="s">
        <v>21125</v>
      </c>
      <c r="C10127" s="9" t="s">
        <v>17</v>
      </c>
      <c r="D10127" s="9" t="s">
        <v>18</v>
      </c>
      <c r="E10127" s="10" t="s">
        <v>258</v>
      </c>
      <c r="F10127" s="9" t="s">
        <v>1075</v>
      </c>
      <c r="G10127" s="10" t="s">
        <v>86</v>
      </c>
      <c r="H10127" s="9" t="s">
        <v>22</v>
      </c>
      <c r="I10127" s="9" t="s">
        <v>21139</v>
      </c>
      <c r="J10127" s="10" t="str">
        <f>HYPERLINK("https://www.boe.es/gazeta/dias/1834/10/09/pdfs/GMD-1834-237.pdf#page=2","Abrir facsímil")</f>
        <v>Abrir facsímil</v>
      </c>
      <c r="K10127" s="10" t="s">
        <v>24</v>
      </c>
    </row>
    <row r="10128" spans="1:11" ht="54" customHeight="1">
      <c r="A10128" s="9" t="s">
        <v>21125</v>
      </c>
      <c r="B10128" s="9" t="s">
        <v>21125</v>
      </c>
      <c r="C10128" s="9" t="s">
        <v>17</v>
      </c>
      <c r="D10128" s="9" t="s">
        <v>18</v>
      </c>
      <c r="E10128" s="10" t="s">
        <v>1318</v>
      </c>
      <c r="F10128" s="9" t="s">
        <v>1319</v>
      </c>
      <c r="G10128" s="10" t="s">
        <v>75</v>
      </c>
      <c r="H10128" s="9" t="s">
        <v>22</v>
      </c>
      <c r="I10128" s="9" t="s">
        <v>21140</v>
      </c>
      <c r="J10128" s="10" t="str">
        <f>HYPERLINK("https://www.boe.es/gazeta/dias/1834/05/10/pdfs/GMD-1834-79.pdf#page=4","Abrir facsímil")</f>
        <v>Abrir facsímil</v>
      </c>
      <c r="K10128" s="10" t="s">
        <v>24</v>
      </c>
    </row>
    <row r="10129" spans="1:11" ht="54" customHeight="1">
      <c r="A10129" s="9" t="s">
        <v>21125</v>
      </c>
      <c r="B10129" s="9" t="s">
        <v>21125</v>
      </c>
      <c r="C10129" s="9" t="s">
        <v>66</v>
      </c>
      <c r="D10129" s="9" t="s">
        <v>18</v>
      </c>
      <c r="E10129" s="10" t="s">
        <v>123</v>
      </c>
      <c r="F10129" s="9" t="s">
        <v>124</v>
      </c>
      <c r="G10129" s="10" t="s">
        <v>21</v>
      </c>
      <c r="H10129" s="9" t="s">
        <v>22</v>
      </c>
      <c r="I10129" s="9" t="s">
        <v>21141</v>
      </c>
      <c r="J10129" s="10" t="str">
        <f>HYPERLINK("https://www.boe.es/gazeta/dias/1834/07/11/pdfs/GMD-1834-144.pdf#page=3","Abrir facsímil")</f>
        <v>Abrir facsímil</v>
      </c>
      <c r="K10129" s="10" t="s">
        <v>24</v>
      </c>
    </row>
    <row r="10130" spans="1:11" ht="54" customHeight="1">
      <c r="A10130" s="9" t="s">
        <v>21125</v>
      </c>
      <c r="B10130" s="9" t="s">
        <v>21125</v>
      </c>
      <c r="C10130" s="9" t="s">
        <v>17</v>
      </c>
      <c r="D10130" s="9" t="s">
        <v>40</v>
      </c>
      <c r="E10130" s="10" t="s">
        <v>1708</v>
      </c>
      <c r="F10130" s="9" t="s">
        <v>1709</v>
      </c>
      <c r="G10130" s="10" t="s">
        <v>176</v>
      </c>
      <c r="H10130" s="9" t="s">
        <v>22</v>
      </c>
      <c r="I10130" s="9" t="s">
        <v>21142</v>
      </c>
      <c r="J10130" s="10" t="str">
        <f>HYPERLINK("https://www.boe.es/gazeta/dias/1834/04/12/pdfs/GMD-1834-51.pdf#page=6","Abrir facsímil")</f>
        <v>Abrir facsímil</v>
      </c>
      <c r="K10130" s="10" t="s">
        <v>24</v>
      </c>
    </row>
    <row r="10131" spans="1:11" ht="54" customHeight="1">
      <c r="A10131" s="9" t="s">
        <v>21125</v>
      </c>
      <c r="B10131" s="9" t="s">
        <v>21125</v>
      </c>
      <c r="C10131" s="9" t="s">
        <v>122</v>
      </c>
      <c r="D10131" s="9" t="s">
        <v>18</v>
      </c>
      <c r="E10131" s="10" t="s">
        <v>348</v>
      </c>
      <c r="F10131" s="9" t="s">
        <v>501</v>
      </c>
      <c r="G10131" s="10" t="s">
        <v>21</v>
      </c>
      <c r="H10131" s="9" t="s">
        <v>22</v>
      </c>
      <c r="I10131" s="9" t="s">
        <v>21143</v>
      </c>
      <c r="J10131" s="10" t="str">
        <f>HYPERLINK("https://www.boe.es/gazeta/dias/1834/06/12/pdfs/GMD-1834-115.pdf#page=3","Abrir facsímil")</f>
        <v>Abrir facsímil</v>
      </c>
      <c r="K10131" s="10" t="s">
        <v>24</v>
      </c>
    </row>
    <row r="10132" spans="1:11" ht="54" customHeight="1">
      <c r="A10132" s="9" t="s">
        <v>21125</v>
      </c>
      <c r="B10132" s="9" t="s">
        <v>21125</v>
      </c>
      <c r="C10132" s="9" t="s">
        <v>17</v>
      </c>
      <c r="D10132" s="9" t="s">
        <v>18</v>
      </c>
      <c r="E10132" s="10" t="s">
        <v>642</v>
      </c>
      <c r="F10132" s="9" t="s">
        <v>1843</v>
      </c>
      <c r="G10132" s="10" t="s">
        <v>34</v>
      </c>
      <c r="H10132" s="9" t="s">
        <v>22</v>
      </c>
      <c r="I10132" s="9" t="s">
        <v>21144</v>
      </c>
      <c r="J10132" s="10" t="str">
        <f>HYPERLINK("https://www.boe.es/gazeta/dias/1834/11/12/pdfs/GMD-1834-271.pdf#page=1","Abrir facsímil")</f>
        <v>Abrir facsímil</v>
      </c>
      <c r="K10132" s="10" t="s">
        <v>24</v>
      </c>
    </row>
    <row r="10133" spans="1:11" ht="54" customHeight="1">
      <c r="A10133" s="9" t="s">
        <v>21125</v>
      </c>
      <c r="B10133" s="9" t="s">
        <v>21125</v>
      </c>
      <c r="C10133" s="9" t="s">
        <v>17</v>
      </c>
      <c r="D10133" s="9" t="s">
        <v>18</v>
      </c>
      <c r="E10133" s="10" t="s">
        <v>642</v>
      </c>
      <c r="F10133" s="9" t="s">
        <v>643</v>
      </c>
      <c r="G10133" s="10" t="s">
        <v>21</v>
      </c>
      <c r="H10133" s="9" t="s">
        <v>22</v>
      </c>
      <c r="I10133" s="9" t="s">
        <v>21145</v>
      </c>
      <c r="J10133" s="10" t="str">
        <f>HYPERLINK("https://www.boe.es/gazeta/dias/1834/11/12/pdfs/GMD-C-1834-271.pdf#page=3","Abrir facsímil")</f>
        <v>Abrir facsímil</v>
      </c>
      <c r="K10133" s="10" t="s">
        <v>24</v>
      </c>
    </row>
    <row r="10134" spans="1:11" ht="54" customHeight="1">
      <c r="A10134" s="9" t="s">
        <v>21125</v>
      </c>
      <c r="B10134" s="9" t="s">
        <v>21125</v>
      </c>
      <c r="C10134" s="9" t="s">
        <v>17</v>
      </c>
      <c r="D10134" s="9" t="s">
        <v>55</v>
      </c>
      <c r="E10134" s="10" t="s">
        <v>299</v>
      </c>
      <c r="F10134" s="9" t="s">
        <v>300</v>
      </c>
      <c r="G10134" s="10" t="s">
        <v>21</v>
      </c>
      <c r="H10134" s="9" t="s">
        <v>22</v>
      </c>
      <c r="I10134" s="9" t="s">
        <v>21146</v>
      </c>
      <c r="J10134" s="10" t="str">
        <f>HYPERLINK("https://www.boe.es/gazeta/dias/1834/12/12/pdfs/GMD-1834-301.pdf#page=3","Abrir facsímil")</f>
        <v>Abrir facsímil</v>
      </c>
      <c r="K10134" s="10" t="s">
        <v>24</v>
      </c>
    </row>
    <row r="10135" spans="1:11" ht="54" customHeight="1">
      <c r="A10135" s="9" t="s">
        <v>21125</v>
      </c>
      <c r="B10135" s="9" t="s">
        <v>21125</v>
      </c>
      <c r="C10135" s="9" t="s">
        <v>17</v>
      </c>
      <c r="D10135" s="9" t="s">
        <v>18</v>
      </c>
      <c r="E10135" s="10" t="s">
        <v>299</v>
      </c>
      <c r="F10135" s="9" t="s">
        <v>2255</v>
      </c>
      <c r="G10135" s="10" t="s">
        <v>34</v>
      </c>
      <c r="H10135" s="9" t="s">
        <v>22</v>
      </c>
      <c r="I10135" s="9" t="s">
        <v>21147</v>
      </c>
      <c r="J10135" s="10" t="str">
        <f>HYPERLINK("https://www.boe.es/gazeta/dias/1834/12/12/pdfs/GMD-C-1834-301.pdf#page=1","Abrir facsímil")</f>
        <v>Abrir facsímil</v>
      </c>
      <c r="K10135" s="10" t="s">
        <v>24</v>
      </c>
    </row>
    <row r="10136" spans="1:11" ht="54" customHeight="1">
      <c r="A10136" s="9" t="s">
        <v>21125</v>
      </c>
      <c r="B10136" s="9" t="s">
        <v>21125</v>
      </c>
      <c r="C10136" s="9" t="s">
        <v>17</v>
      </c>
      <c r="D10136" s="9" t="s">
        <v>18</v>
      </c>
      <c r="E10136" s="10" t="s">
        <v>1438</v>
      </c>
      <c r="F10136" s="9" t="s">
        <v>1439</v>
      </c>
      <c r="G10136" s="10" t="s">
        <v>75</v>
      </c>
      <c r="H10136" s="9" t="s">
        <v>22</v>
      </c>
      <c r="I10136" s="9" t="s">
        <v>21148</v>
      </c>
      <c r="J10136" s="10" t="str">
        <f>HYPERLINK("https://www.boe.es/gazeta/dias/1834/05/13/pdfs/GMD-1834-82.pdf#page=4","Abrir facsímil")</f>
        <v>Abrir facsímil</v>
      </c>
      <c r="K10136" s="10" t="s">
        <v>24</v>
      </c>
    </row>
    <row r="10137" spans="1:11" ht="54" customHeight="1">
      <c r="A10137" s="9" t="s">
        <v>21125</v>
      </c>
      <c r="B10137" s="9" t="s">
        <v>21125</v>
      </c>
      <c r="C10137" s="9" t="s">
        <v>66</v>
      </c>
      <c r="D10137" s="9" t="s">
        <v>67</v>
      </c>
      <c r="E10137" s="10" t="s">
        <v>448</v>
      </c>
      <c r="F10137" s="9" t="s">
        <v>449</v>
      </c>
      <c r="G10137" s="10" t="s">
        <v>21</v>
      </c>
      <c r="H10137" s="9" t="s">
        <v>22</v>
      </c>
      <c r="I10137" s="9" t="s">
        <v>21149</v>
      </c>
      <c r="J10137" s="10" t="str">
        <f>HYPERLINK("https://www.boe.es/gazeta/dias/1834/10/14/pdfs/GMD-C-1834-242.pdf#page=3","Abrir facsímil")</f>
        <v>Abrir facsímil</v>
      </c>
      <c r="K10137" s="10" t="s">
        <v>24</v>
      </c>
    </row>
    <row r="10138" spans="1:11" ht="54" customHeight="1">
      <c r="A10138" s="9" t="s">
        <v>21125</v>
      </c>
      <c r="B10138" s="9" t="s">
        <v>21125</v>
      </c>
      <c r="C10138" s="9" t="s">
        <v>17</v>
      </c>
      <c r="D10138" s="9" t="s">
        <v>18</v>
      </c>
      <c r="E10138" s="10" t="s">
        <v>518</v>
      </c>
      <c r="F10138" s="9" t="s">
        <v>519</v>
      </c>
      <c r="G10138" s="10" t="s">
        <v>34</v>
      </c>
      <c r="H10138" s="9" t="s">
        <v>22</v>
      </c>
      <c r="I10138" s="9" t="s">
        <v>21150</v>
      </c>
      <c r="J10138" s="10" t="str">
        <f>HYPERLINK("https://www.boe.es/gazeta/dias/1834/03/15/pdfs/GMD-1834-33.pdf#page=1","Abrir facsímil")</f>
        <v>Abrir facsímil</v>
      </c>
      <c r="K10138" s="10" t="s">
        <v>24</v>
      </c>
    </row>
    <row r="10139" spans="1:11" ht="54" customHeight="1">
      <c r="A10139" s="9" t="s">
        <v>21125</v>
      </c>
      <c r="B10139" s="9" t="s">
        <v>21125</v>
      </c>
      <c r="C10139" s="9" t="s">
        <v>46</v>
      </c>
      <c r="D10139" s="9" t="s">
        <v>18</v>
      </c>
      <c r="E10139" s="10" t="s">
        <v>3282</v>
      </c>
      <c r="F10139" s="9" t="s">
        <v>3283</v>
      </c>
      <c r="G10139" s="10" t="s">
        <v>21</v>
      </c>
      <c r="H10139" s="9" t="s">
        <v>22</v>
      </c>
      <c r="I10139" s="9" t="s">
        <v>21151</v>
      </c>
      <c r="J10139" s="10" t="str">
        <f>HYPERLINK("https://www.boe.es/gazeta/dias/1834/04/15/pdfs/GMD-1834-54.pdf#page=3","Abrir facsímil")</f>
        <v>Abrir facsímil</v>
      </c>
      <c r="K10139" s="10" t="s">
        <v>24</v>
      </c>
    </row>
    <row r="10140" spans="1:11" ht="54" customHeight="1">
      <c r="A10140" s="9" t="s">
        <v>21125</v>
      </c>
      <c r="B10140" s="9" t="s">
        <v>21125</v>
      </c>
      <c r="C10140" s="9" t="s">
        <v>46</v>
      </c>
      <c r="D10140" s="9" t="s">
        <v>18</v>
      </c>
      <c r="E10140" s="10" t="s">
        <v>1234</v>
      </c>
      <c r="F10140" s="9" t="s">
        <v>1455</v>
      </c>
      <c r="G10140" s="10" t="s">
        <v>86</v>
      </c>
      <c r="H10140" s="9" t="s">
        <v>22</v>
      </c>
      <c r="I10140" s="9" t="s">
        <v>21152</v>
      </c>
      <c r="J10140" s="10" t="str">
        <f>HYPERLINK("https://www.boe.es/gazeta/dias/1834/05/15/pdfs/GMD-1834-84.pdf#page=2","Abrir facsímil")</f>
        <v>Abrir facsímil</v>
      </c>
      <c r="K10140" s="10" t="s">
        <v>24</v>
      </c>
    </row>
    <row r="10141" spans="1:11" ht="54" customHeight="1">
      <c r="A10141" s="9" t="s">
        <v>21125</v>
      </c>
      <c r="B10141" s="9" t="s">
        <v>21125</v>
      </c>
      <c r="C10141" s="9" t="s">
        <v>66</v>
      </c>
      <c r="D10141" s="9" t="s">
        <v>67</v>
      </c>
      <c r="E10141" s="10" t="s">
        <v>326</v>
      </c>
      <c r="F10141" s="9" t="s">
        <v>327</v>
      </c>
      <c r="G10141" s="10" t="s">
        <v>86</v>
      </c>
      <c r="H10141" s="9" t="s">
        <v>22</v>
      </c>
      <c r="I10141" s="9" t="s">
        <v>21153</v>
      </c>
      <c r="J10141" s="10" t="str">
        <f>HYPERLINK("https://www.boe.es/gazeta/dias/1834/07/15/pdfs/GMD-1834-148.pdf#page=2","Abrir facsímil")</f>
        <v>Abrir facsímil</v>
      </c>
      <c r="K10141" s="10" t="s">
        <v>24</v>
      </c>
    </row>
    <row r="10142" spans="1:11" ht="54" customHeight="1">
      <c r="A10142" s="9" t="s">
        <v>21125</v>
      </c>
      <c r="B10142" s="9" t="s">
        <v>21125</v>
      </c>
      <c r="C10142" s="9" t="s">
        <v>17</v>
      </c>
      <c r="D10142" s="9" t="s">
        <v>18</v>
      </c>
      <c r="E10142" s="10" t="s">
        <v>451</v>
      </c>
      <c r="F10142" s="9" t="s">
        <v>452</v>
      </c>
      <c r="G10142" s="10" t="s">
        <v>21</v>
      </c>
      <c r="H10142" s="9" t="s">
        <v>22</v>
      </c>
      <c r="I10142" s="9" t="s">
        <v>21154</v>
      </c>
      <c r="J10142" s="10" t="str">
        <f>HYPERLINK("https://www.boe.es/gazeta/dias/1834/10/15/pdfs/GMD-C-1834-243.pdf#page=3","Abrir facsímil")</f>
        <v>Abrir facsímil</v>
      </c>
      <c r="K10142" s="10" t="s">
        <v>24</v>
      </c>
    </row>
    <row r="10143" spans="1:11" ht="54" customHeight="1">
      <c r="A10143" s="9" t="s">
        <v>21125</v>
      </c>
      <c r="B10143" s="9" t="s">
        <v>21125</v>
      </c>
      <c r="C10143" s="9" t="s">
        <v>17</v>
      </c>
      <c r="D10143" s="9" t="s">
        <v>18</v>
      </c>
      <c r="E10143" s="10" t="s">
        <v>19</v>
      </c>
      <c r="F10143" s="9" t="s">
        <v>107</v>
      </c>
      <c r="G10143" s="10" t="s">
        <v>75</v>
      </c>
      <c r="H10143" s="9" t="s">
        <v>22</v>
      </c>
      <c r="I10143" s="9" t="s">
        <v>21155</v>
      </c>
      <c r="J10143" s="10" t="str">
        <f>HYPERLINK("https://www.boe.es/gazeta/dias/1834/08/17/pdfs/GMD-1834-182.pdf#page=4","Abrir facsímil")</f>
        <v>Abrir facsímil</v>
      </c>
      <c r="K10143" s="10" t="s">
        <v>24</v>
      </c>
    </row>
    <row r="10144" spans="1:11" ht="54" customHeight="1">
      <c r="A10144" s="9" t="s">
        <v>21125</v>
      </c>
      <c r="B10144" s="9" t="s">
        <v>21125</v>
      </c>
      <c r="C10144" s="9" t="s">
        <v>17</v>
      </c>
      <c r="D10144" s="9" t="s">
        <v>101</v>
      </c>
      <c r="E10144" s="10" t="s">
        <v>1850</v>
      </c>
      <c r="F10144" s="9" t="s">
        <v>1851</v>
      </c>
      <c r="G10144" s="10" t="s">
        <v>86</v>
      </c>
      <c r="H10144" s="9" t="s">
        <v>22</v>
      </c>
      <c r="I10144" s="9" t="s">
        <v>21156</v>
      </c>
      <c r="J10144" s="10" t="str">
        <f>HYPERLINK("https://www.boe.es/gazeta/dias/1834/02/18/pdfs/GMD-1834-22.pdf#page=2","Abrir facsímil")</f>
        <v>Abrir facsímil</v>
      </c>
      <c r="K10144" s="10" t="s">
        <v>24</v>
      </c>
    </row>
    <row r="10145" spans="1:11" ht="54" customHeight="1">
      <c r="A10145" s="9" t="s">
        <v>21125</v>
      </c>
      <c r="B10145" s="9" t="s">
        <v>21125</v>
      </c>
      <c r="C10145" s="9" t="s">
        <v>17</v>
      </c>
      <c r="D10145" s="9" t="s">
        <v>101</v>
      </c>
      <c r="E10145" s="10" t="s">
        <v>1850</v>
      </c>
      <c r="F10145" s="9" t="s">
        <v>1851</v>
      </c>
      <c r="G10145" s="10" t="s">
        <v>470</v>
      </c>
      <c r="H10145" s="9" t="s">
        <v>22</v>
      </c>
      <c r="I10145" s="9" t="s">
        <v>21157</v>
      </c>
      <c r="J10145" s="10" t="str">
        <f>HYPERLINK("https://www.boe.es/gazeta/dias/1834/02/18/pdfs/GMD-1834-22.pdf#page=8","Abrir facsímil")</f>
        <v>Abrir facsímil</v>
      </c>
      <c r="K10145" s="10" t="s">
        <v>24</v>
      </c>
    </row>
    <row r="10146" spans="1:11" ht="54" customHeight="1">
      <c r="A10146" s="9" t="s">
        <v>21125</v>
      </c>
      <c r="B10146" s="9" t="s">
        <v>21125</v>
      </c>
      <c r="C10146" s="9" t="s">
        <v>46</v>
      </c>
      <c r="D10146" s="9" t="s">
        <v>101</v>
      </c>
      <c r="E10146" s="10" t="s">
        <v>772</v>
      </c>
      <c r="F10146" s="9" t="s">
        <v>2284</v>
      </c>
      <c r="G10146" s="10" t="s">
        <v>75</v>
      </c>
      <c r="H10146" s="9" t="s">
        <v>22</v>
      </c>
      <c r="I10146" s="9" t="s">
        <v>21158</v>
      </c>
      <c r="J10146" s="10" t="str">
        <f>HYPERLINK("https://www.boe.es/gazeta/dias/1834/09/18/pdfs/GMD-C-1834-216.pdf#page=4","Abrir facsímil")</f>
        <v>Abrir facsímil</v>
      </c>
      <c r="K10146" s="10" t="s">
        <v>24</v>
      </c>
    </row>
    <row r="10147" spans="1:11" ht="54" customHeight="1">
      <c r="A10147" s="9" t="s">
        <v>21125</v>
      </c>
      <c r="B10147" s="9" t="s">
        <v>21125</v>
      </c>
      <c r="C10147" s="9" t="s">
        <v>66</v>
      </c>
      <c r="D10147" s="9" t="s">
        <v>67</v>
      </c>
      <c r="E10147" s="10" t="s">
        <v>367</v>
      </c>
      <c r="F10147" s="9" t="s">
        <v>368</v>
      </c>
      <c r="G10147" s="10" t="s">
        <v>21</v>
      </c>
      <c r="H10147" s="9" t="s">
        <v>22</v>
      </c>
      <c r="I10147" s="9" t="s">
        <v>21159</v>
      </c>
      <c r="J10147" s="10" t="str">
        <f>HYPERLINK("https://www.boe.es/gazeta/dias/1834/05/19/pdfs/GMD-1834-88.pdf#page=3","Abrir facsímil")</f>
        <v>Abrir facsímil</v>
      </c>
      <c r="K10147" s="10" t="s">
        <v>24</v>
      </c>
    </row>
    <row r="10148" spans="1:11" ht="54" customHeight="1">
      <c r="A10148" s="9" t="s">
        <v>21125</v>
      </c>
      <c r="B10148" s="9" t="s">
        <v>21125</v>
      </c>
      <c r="C10148" s="9" t="s">
        <v>17</v>
      </c>
      <c r="D10148" s="9" t="s">
        <v>101</v>
      </c>
      <c r="E10148" s="10" t="s">
        <v>1572</v>
      </c>
      <c r="F10148" s="9" t="s">
        <v>1573</v>
      </c>
      <c r="G10148" s="10" t="s">
        <v>34</v>
      </c>
      <c r="H10148" s="9" t="s">
        <v>22</v>
      </c>
      <c r="I10148" s="9" t="s">
        <v>21160</v>
      </c>
      <c r="J10148" s="10" t="str">
        <f>HYPERLINK("https://www.boe.es/gazeta/dias/1834/03/20/pdfs/GMD-1834-35.pdf#page=1","Abrir facsímil")</f>
        <v>Abrir facsímil</v>
      </c>
      <c r="K10148" s="10" t="s">
        <v>24</v>
      </c>
    </row>
    <row r="10149" spans="1:11" ht="54" customHeight="1">
      <c r="A10149" s="9" t="s">
        <v>21125</v>
      </c>
      <c r="B10149" s="9" t="s">
        <v>21125</v>
      </c>
      <c r="C10149" s="9" t="s">
        <v>17</v>
      </c>
      <c r="D10149" s="9" t="s">
        <v>55</v>
      </c>
      <c r="E10149" s="10" t="s">
        <v>148</v>
      </c>
      <c r="F10149" s="9" t="s">
        <v>149</v>
      </c>
      <c r="G10149" s="10" t="s">
        <v>86</v>
      </c>
      <c r="H10149" s="9" t="s">
        <v>22</v>
      </c>
      <c r="I10149" s="9" t="s">
        <v>21161</v>
      </c>
      <c r="J10149" s="10" t="str">
        <f>HYPERLINK("https://www.boe.es/gazeta/dias/1834/10/20/pdfs/GMD-1834-248.pdf#page=2","Abrir facsímil")</f>
        <v>Abrir facsímil</v>
      </c>
      <c r="K10149" s="10" t="s">
        <v>24</v>
      </c>
    </row>
    <row r="10150" spans="1:11" ht="54" customHeight="1">
      <c r="A10150" s="9" t="s">
        <v>21125</v>
      </c>
      <c r="B10150" s="9" t="s">
        <v>21125</v>
      </c>
      <c r="C10150" s="9" t="s">
        <v>17</v>
      </c>
      <c r="D10150" s="9" t="s">
        <v>18</v>
      </c>
      <c r="E10150" s="10" t="s">
        <v>981</v>
      </c>
      <c r="F10150" s="9" t="s">
        <v>982</v>
      </c>
      <c r="G10150" s="10" t="s">
        <v>75</v>
      </c>
      <c r="H10150" s="9" t="s">
        <v>22</v>
      </c>
      <c r="I10150" s="9" t="s">
        <v>21162</v>
      </c>
      <c r="J10150" s="10" t="str">
        <f>HYPERLINK("https://www.boe.es/gazeta/dias/1834/09/21/pdfs/GMD-1834-219.pdf#page=4","Abrir facsímil")</f>
        <v>Abrir facsímil</v>
      </c>
      <c r="K10150" s="10" t="s">
        <v>24</v>
      </c>
    </row>
    <row r="10151" spans="1:11" ht="54" customHeight="1">
      <c r="A10151" s="9" t="s">
        <v>21125</v>
      </c>
      <c r="B10151" s="9" t="s">
        <v>21125</v>
      </c>
      <c r="C10151" s="9" t="s">
        <v>122</v>
      </c>
      <c r="D10151" s="9" t="s">
        <v>18</v>
      </c>
      <c r="E10151" s="10" t="s">
        <v>981</v>
      </c>
      <c r="F10151" s="9" t="s">
        <v>3406</v>
      </c>
      <c r="G10151" s="10" t="s">
        <v>34</v>
      </c>
      <c r="H10151" s="9" t="s">
        <v>22</v>
      </c>
      <c r="I10151" s="9" t="s">
        <v>21163</v>
      </c>
      <c r="J10151" s="10" t="str">
        <f>HYPERLINK("https://www.boe.es/gazeta/dias/1834/09/21/pdfs/GMD-C-1834-219.pdf#page=1","Abrir facsímil")</f>
        <v>Abrir facsímil</v>
      </c>
      <c r="K10151" s="10" t="s">
        <v>24</v>
      </c>
    </row>
    <row r="10152" spans="1:11" ht="54" customHeight="1">
      <c r="A10152" s="9" t="s">
        <v>21125</v>
      </c>
      <c r="B10152" s="9" t="s">
        <v>21125</v>
      </c>
      <c r="C10152" s="9" t="s">
        <v>17</v>
      </c>
      <c r="D10152" s="9" t="s">
        <v>18</v>
      </c>
      <c r="E10152" s="10" t="s">
        <v>2596</v>
      </c>
      <c r="F10152" s="9" t="s">
        <v>2597</v>
      </c>
      <c r="G10152" s="10" t="s">
        <v>75</v>
      </c>
      <c r="H10152" s="9" t="s">
        <v>22</v>
      </c>
      <c r="I10152" s="9" t="s">
        <v>21164</v>
      </c>
      <c r="J10152" s="10" t="str">
        <f>HYPERLINK("https://www.boe.es/gazeta/dias/1834/10/22/pdfs/GMD-1834-250.pdf#page=4","Abrir facsímil")</f>
        <v>Abrir facsímil</v>
      </c>
      <c r="K10152" s="10" t="s">
        <v>24</v>
      </c>
    </row>
    <row r="10153" spans="1:11" ht="54" customHeight="1">
      <c r="A10153" s="9" t="s">
        <v>21125</v>
      </c>
      <c r="B10153" s="9" t="s">
        <v>21125</v>
      </c>
      <c r="C10153" s="9" t="s">
        <v>17</v>
      </c>
      <c r="D10153" s="9" t="s">
        <v>18</v>
      </c>
      <c r="E10153" s="10" t="s">
        <v>576</v>
      </c>
      <c r="F10153" s="9" t="s">
        <v>577</v>
      </c>
      <c r="G10153" s="10" t="s">
        <v>21</v>
      </c>
      <c r="H10153" s="9" t="s">
        <v>22</v>
      </c>
      <c r="I10153" s="9" t="s">
        <v>21165</v>
      </c>
      <c r="J10153" s="10" t="str">
        <f>HYPERLINK("https://www.boe.es/gazeta/dias/1834/09/23/pdfs/GMD-1834-221.pdf#page=3","Abrir facsímil")</f>
        <v>Abrir facsímil</v>
      </c>
      <c r="K10153" s="10" t="s">
        <v>24</v>
      </c>
    </row>
    <row r="10154" spans="1:11" ht="54" customHeight="1">
      <c r="A10154" s="9" t="s">
        <v>21125</v>
      </c>
      <c r="B10154" s="9" t="s">
        <v>21125</v>
      </c>
      <c r="C10154" s="9" t="s">
        <v>66</v>
      </c>
      <c r="D10154" s="9" t="s">
        <v>18</v>
      </c>
      <c r="E10154" s="10" t="s">
        <v>1212</v>
      </c>
      <c r="F10154" s="9" t="s">
        <v>1213</v>
      </c>
      <c r="G10154" s="10" t="s">
        <v>86</v>
      </c>
      <c r="H10154" s="9" t="s">
        <v>22</v>
      </c>
      <c r="I10154" s="9" t="s">
        <v>21166</v>
      </c>
      <c r="J10154" s="10" t="str">
        <f>HYPERLINK("https://www.boe.es/gazeta/dias/1834/05/24/pdfs/GMD-1834-93.pdf#page=2","Abrir facsímil")</f>
        <v>Abrir facsímil</v>
      </c>
      <c r="K10154" s="10" t="s">
        <v>24</v>
      </c>
    </row>
    <row r="10155" spans="1:11" ht="54" customHeight="1">
      <c r="A10155" s="9" t="s">
        <v>21125</v>
      </c>
      <c r="B10155" s="9" t="s">
        <v>21125</v>
      </c>
      <c r="C10155" s="9" t="s">
        <v>17</v>
      </c>
      <c r="D10155" s="9" t="s">
        <v>18</v>
      </c>
      <c r="E10155" s="10" t="s">
        <v>1922</v>
      </c>
      <c r="F10155" s="9" t="s">
        <v>1923</v>
      </c>
      <c r="G10155" s="10" t="s">
        <v>28</v>
      </c>
      <c r="H10155" s="9" t="s">
        <v>22</v>
      </c>
      <c r="I10155" s="9" t="s">
        <v>21167</v>
      </c>
      <c r="J10155" s="10" t="str">
        <f>HYPERLINK("https://www.boe.es/gazeta/dias/1834/02/25/pdfs/GMD-1834-25.pdf#page=5","Abrir facsímil")</f>
        <v>Abrir facsímil</v>
      </c>
      <c r="K10155" s="10" t="s">
        <v>24</v>
      </c>
    </row>
    <row r="10156" spans="1:11" ht="54" customHeight="1">
      <c r="A10156" s="9" t="s">
        <v>21125</v>
      </c>
      <c r="B10156" s="9" t="s">
        <v>21125</v>
      </c>
      <c r="C10156" s="9" t="s">
        <v>17</v>
      </c>
      <c r="D10156" s="9" t="s">
        <v>18</v>
      </c>
      <c r="E10156" s="10" t="s">
        <v>724</v>
      </c>
      <c r="F10156" s="9" t="s">
        <v>725</v>
      </c>
      <c r="G10156" s="10" t="s">
        <v>28</v>
      </c>
      <c r="H10156" s="9" t="s">
        <v>22</v>
      </c>
      <c r="I10156" s="9" t="s">
        <v>21168</v>
      </c>
      <c r="J10156" s="10" t="str">
        <f>HYPERLINK("https://www.boe.es/gazeta/dias/1834/04/25/pdfs/GMD-1834-64.pdf#page=5","Abrir facsímil")</f>
        <v>Abrir facsímil</v>
      </c>
      <c r="K10156" s="10" t="s">
        <v>24</v>
      </c>
    </row>
    <row r="10157" spans="1:11" ht="54" customHeight="1">
      <c r="A10157" s="9" t="s">
        <v>21125</v>
      </c>
      <c r="B10157" s="9" t="s">
        <v>21125</v>
      </c>
      <c r="C10157" s="9" t="s">
        <v>17</v>
      </c>
      <c r="D10157" s="9" t="s">
        <v>18</v>
      </c>
      <c r="E10157" s="10" t="s">
        <v>403</v>
      </c>
      <c r="F10157" s="9" t="s">
        <v>404</v>
      </c>
      <c r="G10157" s="10" t="s">
        <v>86</v>
      </c>
      <c r="H10157" s="9" t="s">
        <v>22</v>
      </c>
      <c r="I10157" s="9" t="s">
        <v>21169</v>
      </c>
      <c r="J10157" s="10" t="str">
        <f>HYPERLINK("https://www.boe.es/gazeta/dias/1834/09/25/pdfs/GMD-C-1834-223.pdf#page=2","Abrir facsímil")</f>
        <v>Abrir facsímil</v>
      </c>
      <c r="K10157" s="10" t="s">
        <v>24</v>
      </c>
    </row>
    <row r="10158" spans="1:11" ht="54" customHeight="1">
      <c r="A10158" s="9" t="s">
        <v>21125</v>
      </c>
      <c r="B10158" s="9" t="s">
        <v>21125</v>
      </c>
      <c r="C10158" s="9" t="s">
        <v>17</v>
      </c>
      <c r="D10158" s="9" t="s">
        <v>18</v>
      </c>
      <c r="E10158" s="10" t="s">
        <v>1686</v>
      </c>
      <c r="F10158" s="9" t="s">
        <v>1687</v>
      </c>
      <c r="G10158" s="10" t="s">
        <v>21</v>
      </c>
      <c r="H10158" s="9" t="s">
        <v>22</v>
      </c>
      <c r="I10158" s="9" t="s">
        <v>21170</v>
      </c>
      <c r="J10158" s="10" t="str">
        <f>HYPERLINK("https://www.boe.es/gazeta/dias/1834/07/27/pdfs/GMD-1834-160.pdf#page=3","Abrir facsímil")</f>
        <v>Abrir facsímil</v>
      </c>
      <c r="K10158" s="10" t="s">
        <v>24</v>
      </c>
    </row>
    <row r="10159" spans="1:11" ht="54" customHeight="1">
      <c r="A10159" s="9" t="s">
        <v>21125</v>
      </c>
      <c r="B10159" s="9" t="s">
        <v>21125</v>
      </c>
      <c r="C10159" s="9" t="s">
        <v>17</v>
      </c>
      <c r="D10159" s="9" t="s">
        <v>18</v>
      </c>
      <c r="E10159" s="10" t="s">
        <v>294</v>
      </c>
      <c r="F10159" s="9" t="s">
        <v>959</v>
      </c>
      <c r="G10159" s="10" t="s">
        <v>21</v>
      </c>
      <c r="H10159" s="9" t="s">
        <v>22</v>
      </c>
      <c r="I10159" s="9" t="s">
        <v>21171</v>
      </c>
      <c r="J10159" s="10" t="str">
        <f>HYPERLINK("https://www.boe.es/gazeta/dias/1834/09/27/pdfs/GMD-C-1834-225.pdf#page=3","Abrir facsímil")</f>
        <v>Abrir facsímil</v>
      </c>
      <c r="K10159" s="10" t="s">
        <v>24</v>
      </c>
    </row>
    <row r="10160" spans="1:11" ht="54" customHeight="1">
      <c r="A10160" s="9" t="s">
        <v>21125</v>
      </c>
      <c r="B10160" s="9" t="s">
        <v>21125</v>
      </c>
      <c r="C10160" s="9" t="s">
        <v>122</v>
      </c>
      <c r="D10160" s="9" t="s">
        <v>18</v>
      </c>
      <c r="E10160" s="10" t="s">
        <v>1747</v>
      </c>
      <c r="F10160" s="9" t="s">
        <v>1748</v>
      </c>
      <c r="G10160" s="10" t="s">
        <v>75</v>
      </c>
      <c r="H10160" s="9" t="s">
        <v>22</v>
      </c>
      <c r="I10160" s="9" t="s">
        <v>21172</v>
      </c>
      <c r="J10160" s="10" t="str">
        <f>HYPERLINK("https://www.boe.es/gazeta/dias/1834/06/29/pdfs/GMD-1834-132.pdf#page=4","Abrir facsímil")</f>
        <v>Abrir facsímil</v>
      </c>
      <c r="K10160" s="10" t="s">
        <v>24</v>
      </c>
    </row>
    <row r="10161" spans="1:11" ht="54" customHeight="1">
      <c r="A10161" s="9" t="s">
        <v>21125</v>
      </c>
      <c r="B10161" s="9" t="s">
        <v>21125</v>
      </c>
      <c r="C10161" s="9" t="s">
        <v>46</v>
      </c>
      <c r="D10161" s="9" t="s">
        <v>101</v>
      </c>
      <c r="E10161" s="10" t="s">
        <v>280</v>
      </c>
      <c r="F10161" s="9" t="s">
        <v>281</v>
      </c>
      <c r="G10161" s="10" t="s">
        <v>86</v>
      </c>
      <c r="H10161" s="9" t="s">
        <v>22</v>
      </c>
      <c r="I10161" s="9" t="s">
        <v>21173</v>
      </c>
      <c r="J10161" s="10" t="str">
        <f>HYPERLINK("https://www.boe.es/gazeta/dias/1834/08/29/pdfs/GMD-C-1834-195.pdf#page=2","Abrir facsímil")</f>
        <v>Abrir facsímil</v>
      </c>
      <c r="K10161" s="10" t="s">
        <v>24</v>
      </c>
    </row>
    <row r="10162" spans="1:11" ht="54" customHeight="1">
      <c r="A10162" s="9" t="s">
        <v>21125</v>
      </c>
      <c r="B10162" s="9" t="s">
        <v>21125</v>
      </c>
      <c r="C10162" s="9" t="s">
        <v>17</v>
      </c>
      <c r="D10162" s="9" t="s">
        <v>18</v>
      </c>
      <c r="E10162" s="10" t="s">
        <v>280</v>
      </c>
      <c r="F10162" s="9" t="s">
        <v>281</v>
      </c>
      <c r="G10162" s="10" t="s">
        <v>21</v>
      </c>
      <c r="H10162" s="9" t="s">
        <v>22</v>
      </c>
      <c r="I10162" s="9" t="s">
        <v>21174</v>
      </c>
      <c r="J10162" s="10" t="str">
        <f>HYPERLINK("https://www.boe.es/gazeta/dias/1834/08/29/pdfs/GMD-C-1834-195.pdf#page=3","Abrir facsímil")</f>
        <v>Abrir facsímil</v>
      </c>
      <c r="K10162" s="10" t="s">
        <v>24</v>
      </c>
    </row>
    <row r="10163" spans="1:11" ht="54" customHeight="1">
      <c r="A10163" s="9" t="s">
        <v>21125</v>
      </c>
      <c r="B10163" s="9" t="s">
        <v>21125</v>
      </c>
      <c r="C10163" s="9" t="s">
        <v>90</v>
      </c>
      <c r="D10163" s="9" t="s">
        <v>18</v>
      </c>
      <c r="E10163" s="10" t="s">
        <v>5904</v>
      </c>
      <c r="F10163" s="9" t="s">
        <v>5905</v>
      </c>
      <c r="G10163" s="10" t="s">
        <v>86</v>
      </c>
      <c r="H10163" s="9" t="s">
        <v>22</v>
      </c>
      <c r="I10163" s="9" t="s">
        <v>21175</v>
      </c>
      <c r="J10163" s="10" t="str">
        <f>HYPERLINK("https://www.boe.es/gazeta/dias/1834/09/29/pdfs/GMD-1834-227.pdf#page=2","Abrir facsímil")</f>
        <v>Abrir facsímil</v>
      </c>
      <c r="K10163" s="10" t="s">
        <v>24</v>
      </c>
    </row>
    <row r="10164" spans="1:11" ht="54" customHeight="1">
      <c r="A10164" s="9" t="s">
        <v>21125</v>
      </c>
      <c r="B10164" s="9" t="s">
        <v>21125</v>
      </c>
      <c r="C10164" s="9" t="s">
        <v>17</v>
      </c>
      <c r="D10164" s="9" t="s">
        <v>18</v>
      </c>
      <c r="E10164" s="10" t="s">
        <v>777</v>
      </c>
      <c r="F10164" s="9" t="s">
        <v>2535</v>
      </c>
      <c r="G10164" s="10" t="s">
        <v>75</v>
      </c>
      <c r="H10164" s="9" t="s">
        <v>22</v>
      </c>
      <c r="I10164" s="9" t="s">
        <v>21176</v>
      </c>
      <c r="J10164" s="10" t="str">
        <f>HYPERLINK("https://www.boe.es/gazeta/dias/1834/10/29/pdfs/GMD-C-1834-257.pdf#page=4","Abrir facsímil")</f>
        <v>Abrir facsímil</v>
      </c>
      <c r="K10164" s="10" t="s">
        <v>24</v>
      </c>
    </row>
    <row r="10165" spans="1:11" ht="54" customHeight="1">
      <c r="A10165" s="9" t="s">
        <v>21125</v>
      </c>
      <c r="B10165" s="9" t="s">
        <v>21125</v>
      </c>
      <c r="C10165" s="9" t="s">
        <v>17</v>
      </c>
      <c r="D10165" s="9" t="s">
        <v>18</v>
      </c>
      <c r="E10165" s="10" t="s">
        <v>3083</v>
      </c>
      <c r="F10165" s="9" t="s">
        <v>3084</v>
      </c>
      <c r="G10165" s="10" t="s">
        <v>75</v>
      </c>
      <c r="H10165" s="9" t="s">
        <v>22</v>
      </c>
      <c r="I10165" s="9" t="s">
        <v>21177</v>
      </c>
      <c r="J10165" s="10" t="str">
        <f>HYPERLINK("https://www.boe.es/gazeta/dias/1834/10/30/pdfs/GMD-1834-258.pdf#page=4","Abrir facsímil")</f>
        <v>Abrir facsímil</v>
      </c>
      <c r="K10165" s="10" t="s">
        <v>24</v>
      </c>
    </row>
    <row r="10166" spans="1:11" ht="54" customHeight="1">
      <c r="A10166" s="9" t="s">
        <v>21178</v>
      </c>
      <c r="B10166" s="9" t="s">
        <v>21179</v>
      </c>
      <c r="C10166" s="9" t="s">
        <v>17</v>
      </c>
      <c r="D10166" s="9" t="s">
        <v>18</v>
      </c>
      <c r="E10166" s="10" t="s">
        <v>32</v>
      </c>
      <c r="F10166" s="9" t="s">
        <v>33</v>
      </c>
      <c r="G10166" s="10" t="s">
        <v>75</v>
      </c>
      <c r="H10166" s="9" t="s">
        <v>35</v>
      </c>
      <c r="I10166" s="9" t="s">
        <v>21180</v>
      </c>
      <c r="J10166" s="10" t="str">
        <f>HYPERLINK("https://www.boe.es/gazeta/dias/1834/04/23/pdfs/GMD-1834-62.pdf#page=4","Abrir facsímil")</f>
        <v>Abrir facsímil</v>
      </c>
      <c r="K10166" s="10" t="s">
        <v>37</v>
      </c>
    </row>
    <row r="10167" spans="1:11" ht="54" customHeight="1">
      <c r="A10167" s="9" t="s">
        <v>21181</v>
      </c>
      <c r="B10167" s="9" t="s">
        <v>21182</v>
      </c>
      <c r="C10167" s="9" t="s">
        <v>66</v>
      </c>
      <c r="D10167" s="9" t="s">
        <v>101</v>
      </c>
      <c r="E10167" s="10" t="s">
        <v>3083</v>
      </c>
      <c r="F10167" s="9" t="s">
        <v>3084</v>
      </c>
      <c r="G10167" s="10" t="s">
        <v>34</v>
      </c>
      <c r="H10167" s="9" t="s">
        <v>22</v>
      </c>
      <c r="I10167" s="9" t="s">
        <v>21183</v>
      </c>
      <c r="J10167" s="10" t="str">
        <f>HYPERLINK("https://www.boe.es/gazeta/dias/1834/10/30/pdfs/GMD-1834-258.pdf#page=1","Abrir facsímil")</f>
        <v>Abrir facsímil</v>
      </c>
      <c r="K10167" s="10" t="s">
        <v>24</v>
      </c>
    </row>
    <row r="10168" spans="1:11" ht="54" customHeight="1">
      <c r="A10168" s="9" t="s">
        <v>21184</v>
      </c>
      <c r="B10168" s="9" t="s">
        <v>21185</v>
      </c>
      <c r="C10168" s="9" t="s">
        <v>17</v>
      </c>
      <c r="D10168" s="9" t="s">
        <v>18</v>
      </c>
      <c r="E10168" s="10" t="s">
        <v>905</v>
      </c>
      <c r="F10168" s="9" t="s">
        <v>906</v>
      </c>
      <c r="G10168" s="10" t="s">
        <v>86</v>
      </c>
      <c r="H10168" s="9" t="s">
        <v>35</v>
      </c>
      <c r="I10168" s="9" t="s">
        <v>21186</v>
      </c>
      <c r="J10168" s="10" t="str">
        <f>HYPERLINK("https://www.boe.es/gazeta/dias/1834/08/02/pdfs/GMD-C-1834-166.pdf#page=2","Abrir facsímil")</f>
        <v>Abrir facsímil</v>
      </c>
      <c r="K10168" s="10" t="s">
        <v>37</v>
      </c>
    </row>
    <row r="10169" spans="1:11" ht="54" customHeight="1">
      <c r="A10169" s="9" t="s">
        <v>21184</v>
      </c>
      <c r="B10169" s="9" t="s">
        <v>21185</v>
      </c>
      <c r="C10169" s="9" t="s">
        <v>122</v>
      </c>
      <c r="D10169" s="9" t="s">
        <v>18</v>
      </c>
      <c r="E10169" s="10" t="s">
        <v>1597</v>
      </c>
      <c r="F10169" s="9" t="s">
        <v>1598</v>
      </c>
      <c r="G10169" s="10" t="s">
        <v>21</v>
      </c>
      <c r="H10169" s="9" t="s">
        <v>35</v>
      </c>
      <c r="I10169" s="9" t="s">
        <v>21187</v>
      </c>
      <c r="J10169" s="10" t="str">
        <f>HYPERLINK("https://www.boe.es/gazeta/dias/1834/10/03/pdfs/GMD-1834-231.pdf#page=3","Abrir facsímil")</f>
        <v>Abrir facsímil</v>
      </c>
      <c r="K10169" s="10" t="s">
        <v>37</v>
      </c>
    </row>
    <row r="10170" spans="1:11" ht="54" customHeight="1">
      <c r="A10170" s="9" t="s">
        <v>21184</v>
      </c>
      <c r="B10170" s="9" t="s">
        <v>21185</v>
      </c>
      <c r="C10170" s="9" t="s">
        <v>17</v>
      </c>
      <c r="D10170" s="9" t="s">
        <v>18</v>
      </c>
      <c r="E10170" s="10" t="s">
        <v>163</v>
      </c>
      <c r="F10170" s="9" t="s">
        <v>164</v>
      </c>
      <c r="G10170" s="10" t="s">
        <v>21</v>
      </c>
      <c r="H10170" s="9" t="s">
        <v>35</v>
      </c>
      <c r="I10170" s="9" t="s">
        <v>21188</v>
      </c>
      <c r="J10170" s="10" t="str">
        <f>HYPERLINK("https://www.boe.es/gazeta/dias/1834/08/09/pdfs/GMD-1834-174.pdf#page=3","Abrir facsímil")</f>
        <v>Abrir facsímil</v>
      </c>
      <c r="K10170" s="10" t="s">
        <v>37</v>
      </c>
    </row>
    <row r="10171" spans="1:11" ht="54" customHeight="1">
      <c r="A10171" s="9" t="s">
        <v>21184</v>
      </c>
      <c r="B10171" s="9" t="s">
        <v>21185</v>
      </c>
      <c r="C10171" s="9" t="s">
        <v>17</v>
      </c>
      <c r="D10171" s="9" t="s">
        <v>18</v>
      </c>
      <c r="E10171" s="10" t="s">
        <v>258</v>
      </c>
      <c r="F10171" s="9" t="s">
        <v>1075</v>
      </c>
      <c r="G10171" s="10" t="s">
        <v>86</v>
      </c>
      <c r="H10171" s="9" t="s">
        <v>35</v>
      </c>
      <c r="I10171" s="9" t="s">
        <v>21189</v>
      </c>
      <c r="J10171" s="10" t="str">
        <f>HYPERLINK("https://www.boe.es/gazeta/dias/1834/10/09/pdfs/GMD-1834-237.pdf#page=2","Abrir facsímil")</f>
        <v>Abrir facsímil</v>
      </c>
      <c r="K10171" s="10" t="s">
        <v>37</v>
      </c>
    </row>
    <row r="10172" spans="1:11" ht="54" customHeight="1">
      <c r="A10172" s="9" t="s">
        <v>21184</v>
      </c>
      <c r="B10172" s="9" t="s">
        <v>21185</v>
      </c>
      <c r="C10172" s="9" t="s">
        <v>17</v>
      </c>
      <c r="D10172" s="9" t="s">
        <v>18</v>
      </c>
      <c r="E10172" s="10" t="s">
        <v>1438</v>
      </c>
      <c r="F10172" s="9" t="s">
        <v>1439</v>
      </c>
      <c r="G10172" s="10" t="s">
        <v>75</v>
      </c>
      <c r="H10172" s="9" t="s">
        <v>35</v>
      </c>
      <c r="I10172" s="9" t="s">
        <v>21190</v>
      </c>
      <c r="J10172" s="10" t="str">
        <f>HYPERLINK("https://www.boe.es/gazeta/dias/1834/05/13/pdfs/GMD-1834-82.pdf#page=4","Abrir facsímil")</f>
        <v>Abrir facsímil</v>
      </c>
      <c r="K10172" s="10" t="s">
        <v>37</v>
      </c>
    </row>
    <row r="10173" spans="1:11" ht="54" customHeight="1">
      <c r="A10173" s="9" t="s">
        <v>21184</v>
      </c>
      <c r="B10173" s="9" t="s">
        <v>21185</v>
      </c>
      <c r="C10173" s="9" t="s">
        <v>17</v>
      </c>
      <c r="D10173" s="9" t="s">
        <v>18</v>
      </c>
      <c r="E10173" s="10" t="s">
        <v>518</v>
      </c>
      <c r="F10173" s="9" t="s">
        <v>519</v>
      </c>
      <c r="G10173" s="10" t="s">
        <v>34</v>
      </c>
      <c r="H10173" s="9" t="s">
        <v>35</v>
      </c>
      <c r="I10173" s="9" t="s">
        <v>21191</v>
      </c>
      <c r="J10173" s="10" t="str">
        <f>HYPERLINK("https://www.boe.es/gazeta/dias/1834/03/15/pdfs/GMD-1834-33.pdf#page=1","Abrir facsímil")</f>
        <v>Abrir facsímil</v>
      </c>
      <c r="K10173" s="10" t="s">
        <v>37</v>
      </c>
    </row>
    <row r="10174" spans="1:11" ht="54" customHeight="1">
      <c r="A10174" s="9" t="s">
        <v>21184</v>
      </c>
      <c r="B10174" s="9" t="s">
        <v>21185</v>
      </c>
      <c r="C10174" s="9" t="s">
        <v>66</v>
      </c>
      <c r="D10174" s="9" t="s">
        <v>18</v>
      </c>
      <c r="E10174" s="10" t="s">
        <v>1212</v>
      </c>
      <c r="F10174" s="9" t="s">
        <v>1213</v>
      </c>
      <c r="G10174" s="10" t="s">
        <v>86</v>
      </c>
      <c r="H10174" s="9" t="s">
        <v>35</v>
      </c>
      <c r="I10174" s="9" t="s">
        <v>21192</v>
      </c>
      <c r="J10174" s="10" t="str">
        <f>HYPERLINK("https://www.boe.es/gazeta/dias/1834/05/24/pdfs/GMD-1834-93.pdf#page=2","Abrir facsímil")</f>
        <v>Abrir facsímil</v>
      </c>
      <c r="K10174" s="10" t="s">
        <v>37</v>
      </c>
    </row>
    <row r="10175" spans="1:11" ht="54" customHeight="1">
      <c r="A10175" s="9" t="s">
        <v>21184</v>
      </c>
      <c r="B10175" s="9" t="s">
        <v>21185</v>
      </c>
      <c r="C10175" s="9" t="s">
        <v>17</v>
      </c>
      <c r="D10175" s="9" t="s">
        <v>18</v>
      </c>
      <c r="E10175" s="10" t="s">
        <v>724</v>
      </c>
      <c r="F10175" s="9" t="s">
        <v>725</v>
      </c>
      <c r="G10175" s="10" t="s">
        <v>28</v>
      </c>
      <c r="H10175" s="9" t="s">
        <v>35</v>
      </c>
      <c r="I10175" s="9" t="s">
        <v>21193</v>
      </c>
      <c r="J10175" s="10" t="str">
        <f>HYPERLINK("https://www.boe.es/gazeta/dias/1834/04/25/pdfs/GMD-1834-64.pdf#page=5","Abrir facsímil")</f>
        <v>Abrir facsímil</v>
      </c>
      <c r="K10175" s="10" t="s">
        <v>37</v>
      </c>
    </row>
    <row r="10176" spans="1:11" ht="54" customHeight="1">
      <c r="A10176" s="9" t="s">
        <v>21194</v>
      </c>
      <c r="B10176" s="9" t="s">
        <v>21195</v>
      </c>
      <c r="C10176" s="9" t="s">
        <v>122</v>
      </c>
      <c r="D10176" s="9" t="s">
        <v>101</v>
      </c>
      <c r="E10176" s="10" t="s">
        <v>123</v>
      </c>
      <c r="F10176" s="9" t="s">
        <v>124</v>
      </c>
      <c r="G10176" s="10" t="s">
        <v>21</v>
      </c>
      <c r="H10176" s="9" t="s">
        <v>35</v>
      </c>
      <c r="I10176" s="9" t="s">
        <v>21196</v>
      </c>
      <c r="J10176" s="10" t="str">
        <f>HYPERLINK("https://www.boe.es/gazeta/dias/1834/07/11/pdfs/GMD-1834-144.pdf#page=3","Abrir facsímil")</f>
        <v>Abrir facsímil</v>
      </c>
      <c r="K10176" s="10" t="s">
        <v>37</v>
      </c>
    </row>
    <row r="10177" spans="1:11" ht="54" customHeight="1">
      <c r="A10177" s="9" t="s">
        <v>21197</v>
      </c>
      <c r="B10177" s="9" t="s">
        <v>21198</v>
      </c>
      <c r="C10177" s="9" t="s">
        <v>90</v>
      </c>
      <c r="D10177" s="9" t="s">
        <v>18</v>
      </c>
      <c r="E10177" s="10" t="s">
        <v>1135</v>
      </c>
      <c r="F10177" s="9" t="s">
        <v>1566</v>
      </c>
      <c r="G10177" s="10" t="s">
        <v>86</v>
      </c>
      <c r="H10177" s="9" t="s">
        <v>35</v>
      </c>
      <c r="I10177" s="9" t="s">
        <v>21199</v>
      </c>
      <c r="J10177" s="10" t="str">
        <f>HYPERLINK("https://www.boe.es/gazeta/dias/1834/08/26/pdfs/GMD-C-1834-192.pdf#page=2","Abrir facsímil")</f>
        <v>Abrir facsímil</v>
      </c>
      <c r="K10177" s="10" t="s">
        <v>37</v>
      </c>
    </row>
    <row r="10178" spans="1:11" ht="54" customHeight="1">
      <c r="A10178" s="9" t="s">
        <v>21200</v>
      </c>
      <c r="B10178" s="9" t="s">
        <v>21201</v>
      </c>
      <c r="C10178" s="9" t="s">
        <v>17</v>
      </c>
      <c r="D10178" s="9" t="s">
        <v>18</v>
      </c>
      <c r="E10178" s="10" t="s">
        <v>1351</v>
      </c>
      <c r="F10178" s="9" t="s">
        <v>1352</v>
      </c>
      <c r="G10178" s="10" t="s">
        <v>75</v>
      </c>
      <c r="H10178" s="9" t="s">
        <v>35</v>
      </c>
      <c r="I10178" s="9" t="s">
        <v>21202</v>
      </c>
      <c r="J10178" s="10" t="str">
        <f>HYPERLINK("https://www.boe.es/gazeta/dias/1834/07/05/pdfs/GMD-1834-138.pdf#page=4","Abrir facsímil")</f>
        <v>Abrir facsímil</v>
      </c>
      <c r="K10178" s="10" t="s">
        <v>37</v>
      </c>
    </row>
    <row r="10179" spans="1:11" ht="54" customHeight="1">
      <c r="A10179" s="9" t="s">
        <v>21203</v>
      </c>
      <c r="B10179" s="9" t="s">
        <v>21204</v>
      </c>
      <c r="C10179" s="9" t="s">
        <v>90</v>
      </c>
      <c r="D10179" s="9" t="s">
        <v>67</v>
      </c>
      <c r="E10179" s="10" t="s">
        <v>772</v>
      </c>
      <c r="F10179" s="9" t="s">
        <v>773</v>
      </c>
      <c r="G10179" s="10" t="s">
        <v>21</v>
      </c>
      <c r="H10179" s="9" t="s">
        <v>35</v>
      </c>
      <c r="I10179" s="9" t="s">
        <v>21205</v>
      </c>
      <c r="J10179" s="10" t="str">
        <f>HYPERLINK("https://www.boe.es/gazeta/dias/1834/09/18/pdfs/GMD-1834-216.pdf#page=3","Abrir facsímil")</f>
        <v>Abrir facsímil</v>
      </c>
      <c r="K10179" s="10" t="s">
        <v>37</v>
      </c>
    </row>
    <row r="10180" spans="1:11" ht="54" customHeight="1">
      <c r="A10180" s="9" t="s">
        <v>21206</v>
      </c>
      <c r="B10180" s="9" t="s">
        <v>21207</v>
      </c>
      <c r="C10180" s="9" t="s">
        <v>17</v>
      </c>
      <c r="D10180" s="9" t="s">
        <v>18</v>
      </c>
      <c r="E10180" s="10" t="s">
        <v>19</v>
      </c>
      <c r="F10180" s="9" t="s">
        <v>20</v>
      </c>
      <c r="G10180" s="10" t="s">
        <v>86</v>
      </c>
      <c r="H10180" s="9" t="s">
        <v>22</v>
      </c>
      <c r="I10180" s="9" t="s">
        <v>21208</v>
      </c>
      <c r="J10180" s="10" t="str">
        <f>HYPERLINK("https://www.boe.es/gazeta/dias/1834/08/17/pdfs/GMD-C-1834-182.pdf#page=2","Abrir facsímil")</f>
        <v>Abrir facsímil</v>
      </c>
      <c r="K10180" s="10" t="s">
        <v>24</v>
      </c>
    </row>
    <row r="10181" spans="1:11" ht="54" customHeight="1">
      <c r="A10181" s="9" t="s">
        <v>21209</v>
      </c>
      <c r="B10181" s="9" t="s">
        <v>21210</v>
      </c>
      <c r="C10181" s="9" t="s">
        <v>17</v>
      </c>
      <c r="D10181" s="9" t="s">
        <v>18</v>
      </c>
      <c r="E10181" s="10" t="s">
        <v>237</v>
      </c>
      <c r="F10181" s="9" t="s">
        <v>4609</v>
      </c>
      <c r="G10181" s="10" t="s">
        <v>21</v>
      </c>
      <c r="H10181" s="9" t="s">
        <v>35</v>
      </c>
      <c r="I10181" s="9" t="s">
        <v>21211</v>
      </c>
      <c r="J10181" s="10" t="str">
        <f>HYPERLINK("https://www.boe.es/gazeta/dias/1834/08/15/pdfs/GMD-1834-180.pdf#page=3","Abrir facsímil")</f>
        <v>Abrir facsímil</v>
      </c>
      <c r="K10181" s="10" t="s">
        <v>37</v>
      </c>
    </row>
    <row r="10182" spans="1:11" ht="54" customHeight="1">
      <c r="A10182" s="9" t="s">
        <v>21212</v>
      </c>
      <c r="B10182" s="9" t="s">
        <v>21213</v>
      </c>
      <c r="C10182" s="9" t="s">
        <v>90</v>
      </c>
      <c r="D10182" s="9" t="s">
        <v>18</v>
      </c>
      <c r="E10182" s="10" t="s">
        <v>1135</v>
      </c>
      <c r="F10182" s="9" t="s">
        <v>1566</v>
      </c>
      <c r="G10182" s="10" t="s">
        <v>86</v>
      </c>
      <c r="H10182" s="9" t="s">
        <v>22</v>
      </c>
      <c r="I10182" s="9" t="s">
        <v>21214</v>
      </c>
      <c r="J10182" s="10" t="str">
        <f>HYPERLINK("https://www.boe.es/gazeta/dias/1834/08/26/pdfs/GMD-C-1834-192.pdf#page=2","Abrir facsímil")</f>
        <v>Abrir facsímil</v>
      </c>
      <c r="K10182" s="10" t="s">
        <v>24</v>
      </c>
    </row>
    <row r="10183" spans="1:11" ht="54" customHeight="1">
      <c r="A10183" s="9" t="s">
        <v>21215</v>
      </c>
      <c r="B10183" s="9" t="s">
        <v>21216</v>
      </c>
      <c r="C10183" s="9" t="s">
        <v>17</v>
      </c>
      <c r="D10183" s="9" t="s">
        <v>55</v>
      </c>
      <c r="E10183" s="10" t="s">
        <v>79</v>
      </c>
      <c r="F10183" s="9" t="s">
        <v>80</v>
      </c>
      <c r="G10183" s="10" t="s">
        <v>21</v>
      </c>
      <c r="H10183" s="9" t="s">
        <v>35</v>
      </c>
      <c r="I10183" s="9" t="s">
        <v>21217</v>
      </c>
      <c r="J10183" s="10" t="str">
        <f>HYPERLINK("https://www.boe.es/gazeta/dias/1834/07/12/pdfs/GMD-1834-145.pdf#page=3","Abrir facsímil")</f>
        <v>Abrir facsímil</v>
      </c>
      <c r="K10183" s="10" t="s">
        <v>37</v>
      </c>
    </row>
    <row r="10184" spans="1:11" ht="54" customHeight="1">
      <c r="A10184" s="9" t="s">
        <v>21218</v>
      </c>
      <c r="B10184" s="9" t="s">
        <v>21219</v>
      </c>
      <c r="C10184" s="9" t="s">
        <v>17</v>
      </c>
      <c r="D10184" s="9" t="s">
        <v>18</v>
      </c>
      <c r="E10184" s="10" t="s">
        <v>167</v>
      </c>
      <c r="F10184" s="9" t="s">
        <v>1200</v>
      </c>
      <c r="G10184" s="10" t="s">
        <v>176</v>
      </c>
      <c r="H10184" s="9" t="s">
        <v>35</v>
      </c>
      <c r="I10184" s="9" t="s">
        <v>21220</v>
      </c>
      <c r="J10184" s="10" t="str">
        <f>HYPERLINK("https://www.boe.es/gazeta/dias/1834/09/07/pdfs/GMD-C-1834-205.pdf#page=6","Abrir facsímil")</f>
        <v>Abrir facsímil</v>
      </c>
      <c r="K10184" s="10" t="s">
        <v>37</v>
      </c>
    </row>
    <row r="10185" spans="1:11" ht="54" customHeight="1">
      <c r="A10185" s="9" t="s">
        <v>21221</v>
      </c>
      <c r="B10185" s="9" t="s">
        <v>21222</v>
      </c>
      <c r="C10185" s="9" t="s">
        <v>857</v>
      </c>
      <c r="D10185" s="9" t="s">
        <v>18</v>
      </c>
      <c r="E10185" s="10" t="s">
        <v>633</v>
      </c>
      <c r="F10185" s="9" t="s">
        <v>634</v>
      </c>
      <c r="G10185" s="10" t="s">
        <v>34</v>
      </c>
      <c r="H10185" s="9" t="s">
        <v>22</v>
      </c>
      <c r="I10185" s="9" t="s">
        <v>21223</v>
      </c>
      <c r="J10185" s="10" t="str">
        <f>HYPERLINK("https://www.boe.es/gazeta/dias/1834/10/24/pdfs/GMD-1834-252.pdf#page=1","Abrir facsímil")</f>
        <v>Abrir facsímil</v>
      </c>
      <c r="K10185" s="10" t="s">
        <v>24</v>
      </c>
    </row>
    <row r="10186" spans="1:11" ht="54" customHeight="1">
      <c r="A10186" s="9" t="s">
        <v>21224</v>
      </c>
      <c r="B10186" s="9" t="s">
        <v>21224</v>
      </c>
      <c r="C10186" s="9" t="s">
        <v>90</v>
      </c>
      <c r="D10186" s="9" t="s">
        <v>67</v>
      </c>
      <c r="E10186" s="10" t="s">
        <v>465</v>
      </c>
      <c r="F10186" s="9" t="s">
        <v>466</v>
      </c>
      <c r="G10186" s="10" t="s">
        <v>176</v>
      </c>
      <c r="H10186" s="9" t="s">
        <v>22</v>
      </c>
      <c r="I10186" s="9" t="s">
        <v>21225</v>
      </c>
      <c r="J10186" s="10" t="str">
        <f>HYPERLINK("https://www.boe.es/gazeta/dias/1834/11/27/pdfs/GMD-C-1834-286.pdf#page=6","Abrir facsímil")</f>
        <v>Abrir facsímil</v>
      </c>
      <c r="K10186" s="10" t="s">
        <v>24</v>
      </c>
    </row>
    <row r="10187" spans="1:11" ht="54" customHeight="1">
      <c r="A10187" s="9" t="s">
        <v>21226</v>
      </c>
      <c r="B10187" s="9" t="s">
        <v>21226</v>
      </c>
      <c r="C10187" s="9" t="s">
        <v>46</v>
      </c>
      <c r="D10187" s="9" t="s">
        <v>55</v>
      </c>
      <c r="E10187" s="10" t="s">
        <v>255</v>
      </c>
      <c r="F10187" s="9" t="s">
        <v>256</v>
      </c>
      <c r="G10187" s="10" t="s">
        <v>86</v>
      </c>
      <c r="H10187" s="9" t="s">
        <v>22</v>
      </c>
      <c r="I10187" s="9" t="s">
        <v>21227</v>
      </c>
      <c r="J10187" s="10" t="str">
        <f>HYPERLINK("https://www.boe.es/gazeta/dias/1834/09/01/pdfs/GMD-C-1834-199.pdf#page=2","Abrir facsímil")</f>
        <v>Abrir facsímil</v>
      </c>
      <c r="K10187" s="10" t="s">
        <v>24</v>
      </c>
    </row>
    <row r="10188" spans="1:11" ht="54" customHeight="1">
      <c r="A10188" s="9" t="s">
        <v>21226</v>
      </c>
      <c r="B10188" s="9" t="s">
        <v>21226</v>
      </c>
      <c r="C10188" s="9" t="s">
        <v>17</v>
      </c>
      <c r="D10188" s="9" t="s">
        <v>18</v>
      </c>
      <c r="E10188" s="10" t="s">
        <v>571</v>
      </c>
      <c r="F10188" s="9" t="s">
        <v>620</v>
      </c>
      <c r="G10188" s="10" t="s">
        <v>21</v>
      </c>
      <c r="H10188" s="9" t="s">
        <v>22</v>
      </c>
      <c r="I10188" s="9" t="s">
        <v>21228</v>
      </c>
      <c r="J10188" s="10" t="str">
        <f>HYPERLINK("https://www.boe.es/gazeta/dias/1834/09/04/pdfs/GMD-C-1834-202.pdf#page=3","Abrir facsímil")</f>
        <v>Abrir facsímil</v>
      </c>
      <c r="K10188" s="10" t="s">
        <v>24</v>
      </c>
    </row>
    <row r="10189" spans="1:11" ht="54" customHeight="1">
      <c r="A10189" s="9" t="s">
        <v>21226</v>
      </c>
      <c r="B10189" s="9" t="s">
        <v>21226</v>
      </c>
      <c r="C10189" s="9" t="s">
        <v>46</v>
      </c>
      <c r="D10189" s="9" t="s">
        <v>101</v>
      </c>
      <c r="E10189" s="10" t="s">
        <v>258</v>
      </c>
      <c r="F10189" s="9" t="s">
        <v>259</v>
      </c>
      <c r="G10189" s="10" t="s">
        <v>86</v>
      </c>
      <c r="H10189" s="9" t="s">
        <v>22</v>
      </c>
      <c r="I10189" s="9" t="s">
        <v>21229</v>
      </c>
      <c r="J10189" s="10" t="str">
        <f>HYPERLINK("https://www.boe.es/gazeta/dias/1834/10/09/pdfs/GMD-C-1834-237.pdf#page=2","Abrir facsímil")</f>
        <v>Abrir facsímil</v>
      </c>
      <c r="K10189" s="10" t="s">
        <v>24</v>
      </c>
    </row>
    <row r="10190" spans="1:11" ht="54" customHeight="1">
      <c r="A10190" s="9" t="s">
        <v>21226</v>
      </c>
      <c r="B10190" s="9" t="s">
        <v>21226</v>
      </c>
      <c r="C10190" s="9" t="s">
        <v>66</v>
      </c>
      <c r="D10190" s="9" t="s">
        <v>67</v>
      </c>
      <c r="E10190" s="10" t="s">
        <v>3025</v>
      </c>
      <c r="F10190" s="9" t="s">
        <v>3026</v>
      </c>
      <c r="G10190" s="10" t="s">
        <v>176</v>
      </c>
      <c r="H10190" s="9" t="s">
        <v>22</v>
      </c>
      <c r="I10190" s="9" t="s">
        <v>21230</v>
      </c>
      <c r="J10190" s="10" t="str">
        <f>HYPERLINK("https://www.boe.es/gazeta/dias/1834/05/25/pdfs/GMD-1834-94.pdf#page=6","Abrir facsímil")</f>
        <v>Abrir facsímil</v>
      </c>
      <c r="K10190" s="10" t="s">
        <v>24</v>
      </c>
    </row>
    <row r="10191" spans="1:11" ht="54" customHeight="1">
      <c r="A10191" s="9" t="s">
        <v>21231</v>
      </c>
      <c r="B10191" s="9" t="s">
        <v>21232</v>
      </c>
      <c r="C10191" s="9" t="s">
        <v>17</v>
      </c>
      <c r="D10191" s="9" t="s">
        <v>40</v>
      </c>
      <c r="E10191" s="10" t="s">
        <v>1186</v>
      </c>
      <c r="F10191" s="9" t="s">
        <v>1187</v>
      </c>
      <c r="G10191" s="10" t="s">
        <v>21</v>
      </c>
      <c r="H10191" s="9" t="s">
        <v>22</v>
      </c>
      <c r="I10191" s="9" t="s">
        <v>21233</v>
      </c>
      <c r="J10191" s="10" t="str">
        <f>HYPERLINK("https://www.boe.es/gazeta/dias/1834/08/14/pdfs/GMD-1834-179.pdf#page=3","Abrir facsímil")</f>
        <v>Abrir facsímil</v>
      </c>
      <c r="K10191" s="10" t="s">
        <v>24</v>
      </c>
    </row>
    <row r="10192" spans="1:11" ht="54" customHeight="1">
      <c r="A10192" s="9" t="s">
        <v>21234</v>
      </c>
      <c r="B10192" s="9" t="s">
        <v>21234</v>
      </c>
      <c r="C10192" s="9" t="s">
        <v>17</v>
      </c>
      <c r="D10192" s="9" t="s">
        <v>18</v>
      </c>
      <c r="E10192" s="10" t="s">
        <v>3499</v>
      </c>
      <c r="F10192" s="9" t="s">
        <v>3500</v>
      </c>
      <c r="G10192" s="10" t="s">
        <v>75</v>
      </c>
      <c r="H10192" s="9" t="s">
        <v>22</v>
      </c>
      <c r="I10192" s="9" t="s">
        <v>21235</v>
      </c>
      <c r="J10192" s="10" t="str">
        <f>HYPERLINK("https://www.boe.es/gazeta/dias/1834/01/28/pdfs/GMD-1834-13.pdf#page=4","Abrir facsímil")</f>
        <v>Abrir facsímil</v>
      </c>
      <c r="K10192" s="10" t="s">
        <v>24</v>
      </c>
    </row>
    <row r="10193" spans="1:11" ht="54" customHeight="1">
      <c r="A10193" s="9" t="s">
        <v>21236</v>
      </c>
      <c r="B10193" s="9" t="s">
        <v>21236</v>
      </c>
      <c r="C10193" s="9" t="s">
        <v>17</v>
      </c>
      <c r="D10193" s="9" t="s">
        <v>55</v>
      </c>
      <c r="E10193" s="10" t="s">
        <v>1695</v>
      </c>
      <c r="F10193" s="9" t="s">
        <v>1696</v>
      </c>
      <c r="G10193" s="10" t="s">
        <v>75</v>
      </c>
      <c r="H10193" s="9" t="s">
        <v>22</v>
      </c>
      <c r="I10193" s="9" t="s">
        <v>21237</v>
      </c>
      <c r="J10193" s="10" t="str">
        <f>HYPERLINK("https://www.boe.es/gazeta/dias/1834/06/30/pdfs/GMD-1834-133.pdf#page=4","Abrir facsímil")</f>
        <v>Abrir facsímil</v>
      </c>
      <c r="K10193" s="10" t="s">
        <v>24</v>
      </c>
    </row>
    <row r="10194" spans="1:11" ht="54" customHeight="1">
      <c r="A10194" s="9" t="s">
        <v>21238</v>
      </c>
      <c r="B10194" s="9" t="s">
        <v>21239</v>
      </c>
      <c r="C10194" s="9" t="s">
        <v>17</v>
      </c>
      <c r="D10194" s="9" t="s">
        <v>55</v>
      </c>
      <c r="E10194" s="10" t="s">
        <v>1695</v>
      </c>
      <c r="F10194" s="9" t="s">
        <v>1696</v>
      </c>
      <c r="G10194" s="10" t="s">
        <v>75</v>
      </c>
      <c r="H10194" s="9" t="s">
        <v>35</v>
      </c>
      <c r="I10194" s="9" t="s">
        <v>21240</v>
      </c>
      <c r="J10194" s="10" t="str">
        <f>HYPERLINK("https://www.boe.es/gazeta/dias/1834/06/30/pdfs/GMD-1834-133.pdf#page=4","Abrir facsímil")</f>
        <v>Abrir facsímil</v>
      </c>
      <c r="K10194" s="10" t="s">
        <v>37</v>
      </c>
    </row>
    <row r="10195" spans="1:11" ht="54" customHeight="1">
      <c r="A10195" s="9" t="s">
        <v>21241</v>
      </c>
      <c r="B10195" s="9" t="s">
        <v>21241</v>
      </c>
      <c r="C10195" s="9" t="s">
        <v>17</v>
      </c>
      <c r="D10195" s="9" t="s">
        <v>18</v>
      </c>
      <c r="E10195" s="10" t="s">
        <v>571</v>
      </c>
      <c r="F10195" s="9" t="s">
        <v>620</v>
      </c>
      <c r="G10195" s="10" t="s">
        <v>21</v>
      </c>
      <c r="H10195" s="9" t="s">
        <v>22</v>
      </c>
      <c r="I10195" s="9" t="s">
        <v>21242</v>
      </c>
      <c r="J10195" s="10" t="str">
        <f>HYPERLINK("https://www.boe.es/gazeta/dias/1834/09/04/pdfs/GMD-C-1834-202.pdf#page=3","Abrir facsímil")</f>
        <v>Abrir facsímil</v>
      </c>
      <c r="K10195" s="10" t="s">
        <v>24</v>
      </c>
    </row>
    <row r="10196" spans="1:11" ht="54" customHeight="1">
      <c r="A10196" s="9" t="s">
        <v>21243</v>
      </c>
      <c r="B10196" s="9" t="s">
        <v>21243</v>
      </c>
      <c r="C10196" s="9" t="s">
        <v>17</v>
      </c>
      <c r="D10196" s="9" t="s">
        <v>40</v>
      </c>
      <c r="E10196" s="10" t="s">
        <v>399</v>
      </c>
      <c r="F10196" s="9" t="s">
        <v>400</v>
      </c>
      <c r="G10196" s="10" t="s">
        <v>34</v>
      </c>
      <c r="H10196" s="9" t="s">
        <v>22</v>
      </c>
      <c r="I10196" s="9" t="s">
        <v>21244</v>
      </c>
      <c r="J10196" s="10" t="str">
        <f>HYPERLINK("https://www.boe.es/gazeta/dias/1834/07/08/pdfs/GMD-1834-141.pdf#page=1","Abrir facsímil")</f>
        <v>Abrir facsímil</v>
      </c>
      <c r="K10196" s="10" t="s">
        <v>24</v>
      </c>
    </row>
    <row r="10197" spans="1:11" ht="54" customHeight="1">
      <c r="A10197" s="9" t="s">
        <v>21245</v>
      </c>
      <c r="B10197" s="9" t="s">
        <v>21245</v>
      </c>
      <c r="C10197" s="9" t="s">
        <v>17</v>
      </c>
      <c r="D10197" s="9" t="s">
        <v>18</v>
      </c>
      <c r="E10197" s="10" t="s">
        <v>143</v>
      </c>
      <c r="F10197" s="9" t="s">
        <v>144</v>
      </c>
      <c r="G10197" s="10" t="s">
        <v>75</v>
      </c>
      <c r="H10197" s="9" t="s">
        <v>22</v>
      </c>
      <c r="I10197" s="9" t="s">
        <v>21246</v>
      </c>
      <c r="J10197" s="10" t="str">
        <f>HYPERLINK("https://www.boe.es/gazeta/dias/1834/07/31/pdfs/GMD-1834-164.pdf#page=4","Abrir facsímil")</f>
        <v>Abrir facsímil</v>
      </c>
      <c r="K10197" s="10" t="s">
        <v>24</v>
      </c>
    </row>
    <row r="10198" spans="1:11" ht="54" customHeight="1">
      <c r="A10198" s="9" t="s">
        <v>21247</v>
      </c>
      <c r="B10198" s="9" t="s">
        <v>21248</v>
      </c>
      <c r="C10198" s="9" t="s">
        <v>66</v>
      </c>
      <c r="D10198" s="9" t="s">
        <v>67</v>
      </c>
      <c r="E10198" s="10" t="s">
        <v>2142</v>
      </c>
      <c r="F10198" s="9" t="s">
        <v>2143</v>
      </c>
      <c r="G10198" s="10" t="s">
        <v>21</v>
      </c>
      <c r="H10198" s="9" t="s">
        <v>22</v>
      </c>
      <c r="I10198" s="9" t="s">
        <v>21249</v>
      </c>
      <c r="J10198" s="10" t="str">
        <f>HYPERLINK("https://www.boe.es/gazeta/dias/1834/12/27/pdfs/GMD-1834-317.pdf#page=3","Abrir facsímil")</f>
        <v>Abrir facsímil</v>
      </c>
      <c r="K10198" s="10" t="s">
        <v>24</v>
      </c>
    </row>
    <row r="10199" spans="1:11" ht="54" customHeight="1">
      <c r="A10199" s="9" t="s">
        <v>21250</v>
      </c>
      <c r="B10199" s="9" t="s">
        <v>21251</v>
      </c>
      <c r="C10199" s="9" t="s">
        <v>17</v>
      </c>
      <c r="D10199" s="9" t="s">
        <v>18</v>
      </c>
      <c r="E10199" s="10" t="s">
        <v>1017</v>
      </c>
      <c r="F10199" s="9" t="s">
        <v>1018</v>
      </c>
      <c r="G10199" s="10" t="s">
        <v>21</v>
      </c>
      <c r="H10199" s="9" t="s">
        <v>22</v>
      </c>
      <c r="I10199" s="9" t="s">
        <v>21252</v>
      </c>
      <c r="J10199" s="10" t="str">
        <f>HYPERLINK("https://www.boe.es/gazeta/dias/1834/07/24/pdfs/GMD-1834-157.pdf#page=3","Abrir facsímil")</f>
        <v>Abrir facsímil</v>
      </c>
      <c r="K10199" s="10" t="s">
        <v>24</v>
      </c>
    </row>
    <row r="10200" spans="1:11" ht="54" customHeight="1">
      <c r="A10200" s="9" t="s">
        <v>21253</v>
      </c>
      <c r="B10200" s="9" t="s">
        <v>21254</v>
      </c>
      <c r="C10200" s="9" t="s">
        <v>66</v>
      </c>
      <c r="D10200" s="9" t="s">
        <v>67</v>
      </c>
      <c r="E10200" s="10" t="s">
        <v>19</v>
      </c>
      <c r="F10200" s="9" t="s">
        <v>1933</v>
      </c>
      <c r="G10200" s="10" t="s">
        <v>34</v>
      </c>
      <c r="H10200" s="9" t="s">
        <v>22</v>
      </c>
      <c r="I10200" s="9" t="s">
        <v>21255</v>
      </c>
      <c r="J10200" s="10" t="str">
        <f>HYPERLINK("https://www.boe.es/gazeta/dias/1834/08/17/pdfs/GMD-1834-183E.pdf#page=1","Abrir facsímil")</f>
        <v>Abrir facsímil</v>
      </c>
      <c r="K10200" s="10" t="s">
        <v>24</v>
      </c>
    </row>
    <row r="10201" spans="1:11" ht="54" customHeight="1">
      <c r="A10201" s="9" t="s">
        <v>21256</v>
      </c>
      <c r="B10201" s="9" t="s">
        <v>21257</v>
      </c>
      <c r="C10201" s="9" t="s">
        <v>17</v>
      </c>
      <c r="D10201" s="9" t="s">
        <v>18</v>
      </c>
      <c r="E10201" s="10" t="s">
        <v>416</v>
      </c>
      <c r="F10201" s="9" t="s">
        <v>417</v>
      </c>
      <c r="G10201" s="10" t="s">
        <v>86</v>
      </c>
      <c r="H10201" s="9" t="s">
        <v>22</v>
      </c>
      <c r="I10201" s="9" t="s">
        <v>21258</v>
      </c>
      <c r="J10201" s="10" t="str">
        <f>HYPERLINK("https://www.boe.es/gazeta/dias/1834/10/02/pdfs/GMD-C-1834-230.pdf#page=2","Abrir facsímil")</f>
        <v>Abrir facsímil</v>
      </c>
      <c r="K10201" s="10" t="s">
        <v>24</v>
      </c>
    </row>
    <row r="10202" spans="1:11" ht="54" customHeight="1">
      <c r="A10202" s="9" t="s">
        <v>21259</v>
      </c>
      <c r="B10202" s="9" t="s">
        <v>21260</v>
      </c>
      <c r="C10202" s="9" t="s">
        <v>122</v>
      </c>
      <c r="D10202" s="9" t="s">
        <v>55</v>
      </c>
      <c r="E10202" s="10" t="s">
        <v>294</v>
      </c>
      <c r="F10202" s="9" t="s">
        <v>295</v>
      </c>
      <c r="G10202" s="10" t="s">
        <v>21</v>
      </c>
      <c r="H10202" s="9" t="s">
        <v>22</v>
      </c>
      <c r="I10202" s="9" t="s">
        <v>21261</v>
      </c>
      <c r="J10202" s="10" t="str">
        <f>HYPERLINK("https://www.boe.es/gazeta/dias/1834/09/27/pdfs/GMD-1834-225.pdf#page=3","Abrir facsímil")</f>
        <v>Abrir facsímil</v>
      </c>
      <c r="K10202" s="10" t="s">
        <v>24</v>
      </c>
    </row>
    <row r="10203" spans="1:11" ht="54" customHeight="1">
      <c r="A10203" s="9" t="s">
        <v>21262</v>
      </c>
      <c r="B10203" s="9" t="s">
        <v>21262</v>
      </c>
      <c r="C10203" s="9" t="s">
        <v>122</v>
      </c>
      <c r="D10203" s="9" t="s">
        <v>18</v>
      </c>
      <c r="E10203" s="10" t="s">
        <v>73</v>
      </c>
      <c r="F10203" s="9" t="s">
        <v>74</v>
      </c>
      <c r="G10203" s="10" t="s">
        <v>75</v>
      </c>
      <c r="H10203" s="9" t="s">
        <v>22</v>
      </c>
      <c r="I10203" s="9" t="s">
        <v>21263</v>
      </c>
      <c r="J10203" s="10" t="str">
        <f>HYPERLINK("https://www.boe.es/gazeta/dias/1834/11/04/pdfs/GMD-1834-263.pdf#page=4","Abrir facsímil")</f>
        <v>Abrir facsímil</v>
      </c>
      <c r="K10203" s="10" t="s">
        <v>24</v>
      </c>
    </row>
    <row r="10204" spans="1:11" ht="54" customHeight="1">
      <c r="A10204" s="9" t="s">
        <v>21262</v>
      </c>
      <c r="B10204" s="9" t="s">
        <v>21262</v>
      </c>
      <c r="C10204" s="9" t="s">
        <v>17</v>
      </c>
      <c r="D10204" s="9" t="s">
        <v>18</v>
      </c>
      <c r="E10204" s="10" t="s">
        <v>1424</v>
      </c>
      <c r="F10204" s="9" t="s">
        <v>1425</v>
      </c>
      <c r="G10204" s="10" t="s">
        <v>86</v>
      </c>
      <c r="H10204" s="9" t="s">
        <v>22</v>
      </c>
      <c r="I10204" s="9" t="s">
        <v>21264</v>
      </c>
      <c r="J10204" s="10" t="str">
        <f>HYPERLINK("https://www.boe.es/gazeta/dias/1834/11/14/pdfs/GMD-C-1834-273.pdf#page=2","Abrir facsímil")</f>
        <v>Abrir facsímil</v>
      </c>
      <c r="K10204" s="10" t="s">
        <v>24</v>
      </c>
    </row>
    <row r="10205" spans="1:11" ht="54" customHeight="1">
      <c r="A10205" s="9" t="s">
        <v>21262</v>
      </c>
      <c r="B10205" s="9" t="s">
        <v>21262</v>
      </c>
      <c r="C10205" s="9" t="s">
        <v>66</v>
      </c>
      <c r="D10205" s="9" t="s">
        <v>18</v>
      </c>
      <c r="E10205" s="10" t="s">
        <v>19</v>
      </c>
      <c r="F10205" s="9" t="s">
        <v>1933</v>
      </c>
      <c r="G10205" s="10" t="s">
        <v>34</v>
      </c>
      <c r="H10205" s="9" t="s">
        <v>22</v>
      </c>
      <c r="I10205" s="9" t="s">
        <v>21265</v>
      </c>
      <c r="J10205" s="10" t="str">
        <f>HYPERLINK("https://www.boe.es/gazeta/dias/1834/08/17/pdfs/GMD-1834-183E.pdf#page=1","Abrir facsímil")</f>
        <v>Abrir facsímil</v>
      </c>
      <c r="K10205" s="10" t="s">
        <v>24</v>
      </c>
    </row>
    <row r="10206" spans="1:11" ht="54" customHeight="1">
      <c r="A10206" s="9" t="s">
        <v>21266</v>
      </c>
      <c r="B10206" s="9" t="s">
        <v>21267</v>
      </c>
      <c r="C10206" s="9" t="s">
        <v>17</v>
      </c>
      <c r="D10206" s="9" t="s">
        <v>18</v>
      </c>
      <c r="E10206" s="10" t="s">
        <v>1510</v>
      </c>
      <c r="F10206" s="9" t="s">
        <v>1511</v>
      </c>
      <c r="G10206" s="10" t="s">
        <v>21</v>
      </c>
      <c r="H10206" s="9" t="s">
        <v>22</v>
      </c>
      <c r="I10206" s="9" t="s">
        <v>21268</v>
      </c>
      <c r="J10206" s="10" t="str">
        <f>HYPERLINK("https://www.boe.es/gazeta/dias/1834/06/13/pdfs/GMD-1834-116.pdf#page=3","Abrir facsímil")</f>
        <v>Abrir facsímil</v>
      </c>
      <c r="K10206" s="10" t="s">
        <v>24</v>
      </c>
    </row>
    <row r="10207" spans="1:11" ht="54" customHeight="1">
      <c r="A10207" s="9" t="s">
        <v>21269</v>
      </c>
      <c r="B10207" s="9" t="s">
        <v>21270</v>
      </c>
      <c r="C10207" s="9" t="s">
        <v>122</v>
      </c>
      <c r="D10207" s="9" t="s">
        <v>18</v>
      </c>
      <c r="E10207" s="10" t="s">
        <v>102</v>
      </c>
      <c r="F10207" s="9" t="s">
        <v>103</v>
      </c>
      <c r="G10207" s="10" t="s">
        <v>21</v>
      </c>
      <c r="H10207" s="9" t="s">
        <v>22</v>
      </c>
      <c r="I10207" s="9" t="s">
        <v>21271</v>
      </c>
      <c r="J10207" s="10" t="str">
        <f>HYPERLINK("https://www.boe.es/gazeta/dias/1834/07/19/pdfs/GMD-1834-152.pdf#page=3","Abrir facsímil")</f>
        <v>Abrir facsímil</v>
      </c>
      <c r="K10207" s="10" t="s">
        <v>24</v>
      </c>
    </row>
    <row r="10208" spans="1:11" ht="54" customHeight="1">
      <c r="A10208" s="9" t="s">
        <v>21272</v>
      </c>
      <c r="B10208" s="9" t="s">
        <v>21273</v>
      </c>
      <c r="C10208" s="9" t="s">
        <v>66</v>
      </c>
      <c r="D10208" s="9" t="s">
        <v>67</v>
      </c>
      <c r="E10208" s="10" t="s">
        <v>2287</v>
      </c>
      <c r="F10208" s="9" t="s">
        <v>4741</v>
      </c>
      <c r="G10208" s="10" t="s">
        <v>75</v>
      </c>
      <c r="H10208" s="9" t="s">
        <v>22</v>
      </c>
      <c r="I10208" s="9" t="s">
        <v>21274</v>
      </c>
      <c r="J10208" s="10" t="str">
        <f>HYPERLINK("https://www.boe.es/gazeta/dias/1834/12/18/pdfs/GMD-1834-308.pdf#page=4","Abrir facsímil")</f>
        <v>Abrir facsímil</v>
      </c>
      <c r="K10208" s="10" t="s">
        <v>24</v>
      </c>
    </row>
    <row r="10209" spans="1:11" ht="54" customHeight="1">
      <c r="A10209" s="9" t="s">
        <v>21275</v>
      </c>
      <c r="B10209" s="9" t="s">
        <v>21276</v>
      </c>
      <c r="C10209" s="9" t="s">
        <v>17</v>
      </c>
      <c r="D10209" s="9" t="s">
        <v>18</v>
      </c>
      <c r="E10209" s="10" t="s">
        <v>123</v>
      </c>
      <c r="F10209" s="9" t="s">
        <v>124</v>
      </c>
      <c r="G10209" s="10" t="s">
        <v>75</v>
      </c>
      <c r="H10209" s="9" t="s">
        <v>22</v>
      </c>
      <c r="I10209" s="9" t="s">
        <v>21277</v>
      </c>
      <c r="J10209" s="10" t="str">
        <f>HYPERLINK("https://www.boe.es/gazeta/dias/1834/07/11/pdfs/GMD-1834-144.pdf#page=4","Abrir facsímil")</f>
        <v>Abrir facsímil</v>
      </c>
      <c r="K10209" s="10" t="s">
        <v>24</v>
      </c>
    </row>
    <row r="10210" spans="1:11" ht="54" customHeight="1">
      <c r="A10210" s="9" t="s">
        <v>21278</v>
      </c>
      <c r="B10210" s="9" t="s">
        <v>21279</v>
      </c>
      <c r="C10210" s="9" t="s">
        <v>66</v>
      </c>
      <c r="D10210" s="9" t="s">
        <v>67</v>
      </c>
      <c r="E10210" s="10" t="s">
        <v>56</v>
      </c>
      <c r="F10210" s="9" t="s">
        <v>57</v>
      </c>
      <c r="G10210" s="10" t="s">
        <v>75</v>
      </c>
      <c r="H10210" s="9" t="s">
        <v>35</v>
      </c>
      <c r="I10210" s="9" t="s">
        <v>21280</v>
      </c>
      <c r="J10210" s="10" t="str">
        <f>HYPERLINK("https://www.boe.es/gazeta/dias/1834/07/09/pdfs/GMD-1834-142.pdf#page=4","Abrir facsímil")</f>
        <v>Abrir facsímil</v>
      </c>
      <c r="K10210" s="10" t="s">
        <v>37</v>
      </c>
    </row>
    <row r="10211" spans="1:11" ht="54" customHeight="1">
      <c r="A10211" s="9" t="s">
        <v>21281</v>
      </c>
      <c r="B10211" s="9" t="s">
        <v>21282</v>
      </c>
      <c r="C10211" s="9" t="s">
        <v>66</v>
      </c>
      <c r="D10211" s="9" t="s">
        <v>67</v>
      </c>
      <c r="E10211" s="10" t="s">
        <v>56</v>
      </c>
      <c r="F10211" s="9" t="s">
        <v>57</v>
      </c>
      <c r="G10211" s="10" t="s">
        <v>75</v>
      </c>
      <c r="H10211" s="9" t="s">
        <v>22</v>
      </c>
      <c r="I10211" s="9" t="s">
        <v>21283</v>
      </c>
      <c r="J10211" s="10" t="str">
        <f>HYPERLINK("https://www.boe.es/gazeta/dias/1834/07/09/pdfs/GMD-1834-142.pdf#page=4","Abrir facsímil")</f>
        <v>Abrir facsímil</v>
      </c>
      <c r="K10211" s="10" t="s">
        <v>24</v>
      </c>
    </row>
    <row r="10212" spans="1:11" ht="54" customHeight="1">
      <c r="A10212" s="9" t="s">
        <v>21284</v>
      </c>
      <c r="B10212" s="9" t="s">
        <v>21285</v>
      </c>
      <c r="C10212" s="9" t="s">
        <v>90</v>
      </c>
      <c r="D10212" s="9" t="s">
        <v>67</v>
      </c>
      <c r="E10212" s="10" t="s">
        <v>1297</v>
      </c>
      <c r="F10212" s="9" t="s">
        <v>1298</v>
      </c>
      <c r="G10212" s="10" t="s">
        <v>34</v>
      </c>
      <c r="H10212" s="9" t="s">
        <v>35</v>
      </c>
      <c r="I10212" s="9" t="s">
        <v>21286</v>
      </c>
      <c r="J10212" s="10" t="str">
        <f>HYPERLINK("https://www.boe.es/gazeta/dias/1834/08/01/pdfs/GMD-1834-165.pdf#page=1","Abrir facsímil")</f>
        <v>Abrir facsímil</v>
      </c>
      <c r="K10212" s="10" t="s">
        <v>37</v>
      </c>
    </row>
    <row r="10213" spans="1:11" ht="54" customHeight="1">
      <c r="A10213" s="9" t="s">
        <v>21287</v>
      </c>
      <c r="B10213" s="9" t="s">
        <v>21287</v>
      </c>
      <c r="C10213" s="9" t="s">
        <v>17</v>
      </c>
      <c r="D10213" s="9" t="s">
        <v>18</v>
      </c>
      <c r="E10213" s="10" t="s">
        <v>3170</v>
      </c>
      <c r="F10213" s="9" t="s">
        <v>3171</v>
      </c>
      <c r="G10213" s="10" t="s">
        <v>21</v>
      </c>
      <c r="H10213" s="9" t="s">
        <v>22</v>
      </c>
      <c r="I10213" s="9" t="s">
        <v>21288</v>
      </c>
      <c r="J10213" s="10" t="str">
        <f>HYPERLINK("https://www.boe.es/gazeta/dias/1834/12/07/pdfs/GMD-1834-296.pdf#page=3","Abrir facsímil")</f>
        <v>Abrir facsímil</v>
      </c>
      <c r="K10213" s="10" t="s">
        <v>24</v>
      </c>
    </row>
    <row r="10214" spans="1:11" ht="54" customHeight="1">
      <c r="A10214" s="9" t="s">
        <v>21287</v>
      </c>
      <c r="B10214" s="9" t="s">
        <v>21287</v>
      </c>
      <c r="C10214" s="9" t="s">
        <v>17</v>
      </c>
      <c r="D10214" s="9" t="s">
        <v>40</v>
      </c>
      <c r="E10214" s="10" t="s">
        <v>928</v>
      </c>
      <c r="F10214" s="9" t="s">
        <v>3338</v>
      </c>
      <c r="G10214" s="10" t="s">
        <v>21</v>
      </c>
      <c r="H10214" s="9" t="s">
        <v>22</v>
      </c>
      <c r="I10214" s="9" t="s">
        <v>21289</v>
      </c>
      <c r="J10214" s="10" t="str">
        <f>HYPERLINK("https://www.boe.es/gazeta/dias/1834/11/15/pdfs/GMD-1834-274.pdf#page=3","Abrir facsímil")</f>
        <v>Abrir facsímil</v>
      </c>
      <c r="K10214" s="10" t="s">
        <v>24</v>
      </c>
    </row>
    <row r="10215" spans="1:11" ht="54" customHeight="1">
      <c r="A10215" s="9" t="s">
        <v>21290</v>
      </c>
      <c r="B10215" s="9" t="s">
        <v>21291</v>
      </c>
      <c r="C10215" s="9" t="s">
        <v>17</v>
      </c>
      <c r="D10215" s="9" t="s">
        <v>18</v>
      </c>
      <c r="E10215" s="10" t="s">
        <v>1017</v>
      </c>
      <c r="F10215" s="9" t="s">
        <v>1018</v>
      </c>
      <c r="G10215" s="10" t="s">
        <v>21</v>
      </c>
      <c r="H10215" s="9" t="s">
        <v>22</v>
      </c>
      <c r="I10215" s="9" t="s">
        <v>21292</v>
      </c>
      <c r="J10215" s="10" t="str">
        <f>HYPERLINK("https://www.boe.es/gazeta/dias/1834/07/24/pdfs/GMD-1834-157.pdf#page=3","Abrir facsímil")</f>
        <v>Abrir facsímil</v>
      </c>
      <c r="K10215" s="10" t="s">
        <v>24</v>
      </c>
    </row>
    <row r="10216" spans="1:11" ht="54" customHeight="1">
      <c r="A10216" s="9" t="s">
        <v>21293</v>
      </c>
      <c r="B10216" s="9" t="s">
        <v>21294</v>
      </c>
      <c r="C10216" s="9" t="s">
        <v>17</v>
      </c>
      <c r="D10216" s="9" t="s">
        <v>18</v>
      </c>
      <c r="E10216" s="10" t="s">
        <v>339</v>
      </c>
      <c r="F10216" s="9" t="s">
        <v>340</v>
      </c>
      <c r="G10216" s="10" t="s">
        <v>21</v>
      </c>
      <c r="H10216" s="9" t="s">
        <v>22</v>
      </c>
      <c r="I10216" s="9" t="s">
        <v>21295</v>
      </c>
      <c r="J10216" s="10" t="str">
        <f>HYPERLINK("https://www.boe.es/gazeta/dias/1834/05/02/pdfs/GMD-1834-71.pdf#page=3","Abrir facsímil")</f>
        <v>Abrir facsímil</v>
      </c>
      <c r="K10216" s="10" t="s">
        <v>24</v>
      </c>
    </row>
    <row r="10217" spans="1:11" ht="54" customHeight="1">
      <c r="A10217" s="9" t="s">
        <v>21296</v>
      </c>
      <c r="B10217" s="9" t="s">
        <v>21297</v>
      </c>
      <c r="C10217" s="9" t="s">
        <v>90</v>
      </c>
      <c r="D10217" s="9" t="s">
        <v>18</v>
      </c>
      <c r="E10217" s="10" t="s">
        <v>153</v>
      </c>
      <c r="F10217" s="9" t="s">
        <v>154</v>
      </c>
      <c r="G10217" s="10" t="s">
        <v>34</v>
      </c>
      <c r="H10217" s="9" t="s">
        <v>35</v>
      </c>
      <c r="I10217" s="9" t="s">
        <v>21298</v>
      </c>
      <c r="J10217" s="10" t="str">
        <f>HYPERLINK("https://www.boe.es/gazeta/dias/1834/12/30/pdfs/GMD-C-1834-320.pdf#page=1","Abrir facsímil")</f>
        <v>Abrir facsímil</v>
      </c>
      <c r="K10217" s="10" t="s">
        <v>37</v>
      </c>
    </row>
    <row r="10218" spans="1:11" ht="54" customHeight="1">
      <c r="A10218" s="9" t="s">
        <v>21299</v>
      </c>
      <c r="B10218" s="9" t="s">
        <v>21300</v>
      </c>
      <c r="C10218" s="9" t="s">
        <v>17</v>
      </c>
      <c r="D10218" s="9" t="s">
        <v>18</v>
      </c>
      <c r="E10218" s="10" t="s">
        <v>2203</v>
      </c>
      <c r="F10218" s="9" t="s">
        <v>3917</v>
      </c>
      <c r="G10218" s="10" t="s">
        <v>75</v>
      </c>
      <c r="H10218" s="9" t="s">
        <v>35</v>
      </c>
      <c r="I10218" s="9" t="s">
        <v>21301</v>
      </c>
      <c r="J10218" s="10" t="str">
        <f>HYPERLINK("https://www.boe.es/gazeta/dias/1834/09/10/pdfs/GMD-1834-208.pdf#page=4","Abrir facsímil")</f>
        <v>Abrir facsímil</v>
      </c>
      <c r="K10218" s="10" t="s">
        <v>37</v>
      </c>
    </row>
    <row r="10219" spans="1:11" ht="54" customHeight="1">
      <c r="A10219" s="9" t="s">
        <v>21302</v>
      </c>
      <c r="B10219" s="9" t="s">
        <v>21303</v>
      </c>
      <c r="C10219" s="9" t="s">
        <v>90</v>
      </c>
      <c r="D10219" s="9" t="s">
        <v>18</v>
      </c>
      <c r="E10219" s="10" t="s">
        <v>153</v>
      </c>
      <c r="F10219" s="9" t="s">
        <v>154</v>
      </c>
      <c r="G10219" s="10" t="s">
        <v>34</v>
      </c>
      <c r="H10219" s="9" t="s">
        <v>35</v>
      </c>
      <c r="I10219" s="9" t="s">
        <v>21304</v>
      </c>
      <c r="J10219" s="10" t="str">
        <f>HYPERLINK("https://www.boe.es/gazeta/dias/1834/12/30/pdfs/GMD-C-1834-320.pdf#page=1","Abrir facsímil")</f>
        <v>Abrir facsímil</v>
      </c>
      <c r="K10219" s="10" t="s">
        <v>37</v>
      </c>
    </row>
    <row r="10220" spans="1:11" ht="54" customHeight="1">
      <c r="A10220" s="9" t="s">
        <v>21305</v>
      </c>
      <c r="B10220" s="9" t="s">
        <v>21306</v>
      </c>
      <c r="C10220" s="9" t="s">
        <v>17</v>
      </c>
      <c r="D10220" s="9" t="s">
        <v>18</v>
      </c>
      <c r="E10220" s="10" t="s">
        <v>2203</v>
      </c>
      <c r="F10220" s="9" t="s">
        <v>3917</v>
      </c>
      <c r="G10220" s="10" t="s">
        <v>75</v>
      </c>
      <c r="H10220" s="9" t="s">
        <v>22</v>
      </c>
      <c r="I10220" s="9" t="s">
        <v>21307</v>
      </c>
      <c r="J10220" s="10" t="str">
        <f>HYPERLINK("https://www.boe.es/gazeta/dias/1834/09/10/pdfs/GMD-1834-208.pdf#page=4","Abrir facsímil")</f>
        <v>Abrir facsímil</v>
      </c>
      <c r="K10220" s="10" t="s">
        <v>24</v>
      </c>
    </row>
    <row r="10221" spans="1:11" ht="54" customHeight="1">
      <c r="A10221" s="9" t="s">
        <v>21308</v>
      </c>
      <c r="B10221" s="9" t="s">
        <v>21309</v>
      </c>
      <c r="C10221" s="9" t="s">
        <v>46</v>
      </c>
      <c r="D10221" s="9" t="s">
        <v>18</v>
      </c>
      <c r="E10221" s="10" t="s">
        <v>1402</v>
      </c>
      <c r="F10221" s="9" t="s">
        <v>1403</v>
      </c>
      <c r="G10221" s="10" t="s">
        <v>86</v>
      </c>
      <c r="H10221" s="9" t="s">
        <v>22</v>
      </c>
      <c r="I10221" s="9" t="s">
        <v>21310</v>
      </c>
      <c r="J10221" s="10" t="str">
        <f>HYPERLINK("https://www.boe.es/gazeta/dias/1834/05/05/pdfs/GMD-1834-74.pdf#page=2","Abrir facsímil")</f>
        <v>Abrir facsímil</v>
      </c>
      <c r="K10221" s="10" t="s">
        <v>24</v>
      </c>
    </row>
    <row r="10222" spans="1:11" ht="54" customHeight="1">
      <c r="A10222" s="9" t="s">
        <v>21311</v>
      </c>
      <c r="B10222" s="9" t="s">
        <v>21312</v>
      </c>
      <c r="C10222" s="9" t="s">
        <v>17</v>
      </c>
      <c r="D10222" s="9" t="s">
        <v>18</v>
      </c>
      <c r="E10222" s="10" t="s">
        <v>394</v>
      </c>
      <c r="F10222" s="9" t="s">
        <v>459</v>
      </c>
      <c r="G10222" s="10" t="s">
        <v>86</v>
      </c>
      <c r="H10222" s="9" t="s">
        <v>22</v>
      </c>
      <c r="I10222" s="9" t="s">
        <v>21313</v>
      </c>
      <c r="J10222" s="10" t="str">
        <f>HYPERLINK("https://www.boe.es/gazeta/dias/1834/12/23/pdfs/GMD-C-1834-313.pdf#page=2","Abrir facsímil")</f>
        <v>Abrir facsímil</v>
      </c>
      <c r="K10222" s="10" t="s">
        <v>24</v>
      </c>
    </row>
    <row r="10223" spans="1:11" ht="54" customHeight="1">
      <c r="A10223" s="9" t="s">
        <v>21314</v>
      </c>
      <c r="B10223" s="9" t="s">
        <v>21315</v>
      </c>
      <c r="C10223" s="9" t="s">
        <v>17</v>
      </c>
      <c r="D10223" s="9" t="s">
        <v>18</v>
      </c>
      <c r="E10223" s="10" t="s">
        <v>1135</v>
      </c>
      <c r="F10223" s="9" t="s">
        <v>1566</v>
      </c>
      <c r="G10223" s="10" t="s">
        <v>34</v>
      </c>
      <c r="H10223" s="9" t="s">
        <v>22</v>
      </c>
      <c r="I10223" s="9" t="s">
        <v>21316</v>
      </c>
      <c r="J10223" s="10" t="str">
        <f>HYPERLINK("https://www.boe.es/gazeta/dias/1834/08/26/pdfs/GMD-C-1834-192.pdf#page=1","Abrir facsímil")</f>
        <v>Abrir facsímil</v>
      </c>
      <c r="K10223" s="10" t="s">
        <v>24</v>
      </c>
    </row>
    <row r="10224" spans="1:11" ht="54" customHeight="1">
      <c r="A10224" s="9" t="s">
        <v>21317</v>
      </c>
      <c r="B10224" s="9" t="s">
        <v>21318</v>
      </c>
      <c r="C10224" s="9" t="s">
        <v>66</v>
      </c>
      <c r="D10224" s="9" t="s">
        <v>67</v>
      </c>
      <c r="E10224" s="10" t="s">
        <v>1297</v>
      </c>
      <c r="F10224" s="9" t="s">
        <v>1879</v>
      </c>
      <c r="G10224" s="10" t="s">
        <v>34</v>
      </c>
      <c r="H10224" s="9" t="s">
        <v>22</v>
      </c>
      <c r="I10224" s="9" t="s">
        <v>21319</v>
      </c>
      <c r="J10224" s="10" t="str">
        <f>HYPERLINK("https://www.boe.es/gazeta/dias/1834/08/01/pdfs/GMD-D-1834-165.pdf#page=1","Abrir facsímil")</f>
        <v>Abrir facsímil</v>
      </c>
      <c r="K10224" s="10" t="s">
        <v>24</v>
      </c>
    </row>
    <row r="10225" spans="1:11" ht="54" customHeight="1">
      <c r="A10225" s="9" t="s">
        <v>21320</v>
      </c>
      <c r="B10225" s="9" t="s">
        <v>21321</v>
      </c>
      <c r="C10225" s="9" t="s">
        <v>17</v>
      </c>
      <c r="D10225" s="9" t="s">
        <v>18</v>
      </c>
      <c r="E10225" s="10" t="s">
        <v>2278</v>
      </c>
      <c r="F10225" s="9" t="s">
        <v>2279</v>
      </c>
      <c r="G10225" s="10" t="s">
        <v>21</v>
      </c>
      <c r="H10225" s="9" t="s">
        <v>22</v>
      </c>
      <c r="I10225" s="9" t="s">
        <v>21322</v>
      </c>
      <c r="J10225" s="10" t="str">
        <f>HYPERLINK("https://www.boe.es/gazeta/dias/1834/12/17/pdfs/GMD-C-1834-306.pdf#page=3","Abrir facsímil")</f>
        <v>Abrir facsímil</v>
      </c>
      <c r="K10225" s="10" t="s">
        <v>24</v>
      </c>
    </row>
    <row r="10226" spans="1:11" ht="54" customHeight="1">
      <c r="A10226" s="9" t="s">
        <v>21323</v>
      </c>
      <c r="B10226" s="9" t="s">
        <v>21324</v>
      </c>
      <c r="C10226" s="9" t="s">
        <v>17</v>
      </c>
      <c r="D10226" s="9" t="s">
        <v>18</v>
      </c>
      <c r="E10226" s="10" t="s">
        <v>2278</v>
      </c>
      <c r="F10226" s="9" t="s">
        <v>2279</v>
      </c>
      <c r="G10226" s="10" t="s">
        <v>21</v>
      </c>
      <c r="H10226" s="9" t="s">
        <v>22</v>
      </c>
      <c r="I10226" s="9" t="s">
        <v>21325</v>
      </c>
      <c r="J10226" s="10" t="str">
        <f>HYPERLINK("https://www.boe.es/gazeta/dias/1834/12/17/pdfs/GMD-C-1834-306.pdf#page=3","Abrir facsímil")</f>
        <v>Abrir facsímil</v>
      </c>
      <c r="K10226" s="10" t="s">
        <v>24</v>
      </c>
    </row>
    <row r="10227" spans="1:11" ht="54" customHeight="1">
      <c r="A10227" s="9" t="s">
        <v>21326</v>
      </c>
      <c r="B10227" s="9" t="s">
        <v>21327</v>
      </c>
      <c r="C10227" s="9" t="s">
        <v>17</v>
      </c>
      <c r="D10227" s="9" t="s">
        <v>40</v>
      </c>
      <c r="E10227" s="10" t="s">
        <v>1170</v>
      </c>
      <c r="F10227" s="9" t="s">
        <v>1171</v>
      </c>
      <c r="G10227" s="10" t="s">
        <v>176</v>
      </c>
      <c r="H10227" s="9" t="s">
        <v>22</v>
      </c>
      <c r="I10227" s="9" t="s">
        <v>21328</v>
      </c>
      <c r="J10227" s="10" t="str">
        <f>HYPERLINK("https://www.boe.es/gazeta/dias/1834/01/07/pdfs/GMD-1834-4.pdf#page=6","Abrir facsímil")</f>
        <v>Abrir facsímil</v>
      </c>
      <c r="K10227" s="10" t="s">
        <v>24</v>
      </c>
    </row>
    <row r="10228" spans="1:11" ht="54" customHeight="1">
      <c r="A10228" s="9" t="s">
        <v>21329</v>
      </c>
      <c r="B10228" s="9" t="s">
        <v>21330</v>
      </c>
      <c r="C10228" s="9" t="s">
        <v>17</v>
      </c>
      <c r="D10228" s="9" t="s">
        <v>18</v>
      </c>
      <c r="E10228" s="10" t="s">
        <v>3282</v>
      </c>
      <c r="F10228" s="9" t="s">
        <v>3283</v>
      </c>
      <c r="G10228" s="10" t="s">
        <v>34</v>
      </c>
      <c r="H10228" s="9" t="s">
        <v>22</v>
      </c>
      <c r="I10228" s="9" t="s">
        <v>21331</v>
      </c>
      <c r="J10228" s="10" t="str">
        <f>HYPERLINK("https://www.boe.es/gazeta/dias/1834/04/15/pdfs/GMD-1834-54.pdf#page=1","Abrir facsímil")</f>
        <v>Abrir facsímil</v>
      </c>
      <c r="K10228" s="10" t="s">
        <v>24</v>
      </c>
    </row>
    <row r="10229" spans="1:11" ht="54" customHeight="1">
      <c r="A10229" s="9" t="s">
        <v>21332</v>
      </c>
      <c r="B10229" s="9" t="s">
        <v>21333</v>
      </c>
      <c r="C10229" s="9" t="s">
        <v>122</v>
      </c>
      <c r="D10229" s="9" t="s">
        <v>18</v>
      </c>
      <c r="E10229" s="10" t="s">
        <v>8010</v>
      </c>
      <c r="F10229" s="9" t="s">
        <v>8011</v>
      </c>
      <c r="G10229" s="10" t="s">
        <v>86</v>
      </c>
      <c r="H10229" s="9" t="s">
        <v>35</v>
      </c>
      <c r="I10229" s="9" t="s">
        <v>21334</v>
      </c>
      <c r="J10229" s="10" t="str">
        <f>HYPERLINK("https://www.boe.es/gazeta/dias/1834/08/28/pdfs/GMD-1834-194.pdf#page=2","Abrir facsímil")</f>
        <v>Abrir facsímil</v>
      </c>
      <c r="K10229" s="10" t="s">
        <v>37</v>
      </c>
    </row>
    <row r="10230" spans="1:11" ht="54" customHeight="1">
      <c r="A10230" s="9" t="s">
        <v>21335</v>
      </c>
      <c r="B10230" s="9" t="s">
        <v>21336</v>
      </c>
      <c r="C10230" s="9" t="s">
        <v>122</v>
      </c>
      <c r="D10230" s="9" t="s">
        <v>18</v>
      </c>
      <c r="E10230" s="10" t="s">
        <v>8010</v>
      </c>
      <c r="F10230" s="9" t="s">
        <v>8011</v>
      </c>
      <c r="G10230" s="10" t="s">
        <v>86</v>
      </c>
      <c r="H10230" s="9" t="s">
        <v>22</v>
      </c>
      <c r="I10230" s="9" t="s">
        <v>21337</v>
      </c>
      <c r="J10230" s="10" t="str">
        <f>HYPERLINK("https://www.boe.es/gazeta/dias/1834/08/28/pdfs/GMD-1834-194.pdf#page=2","Abrir facsímil")</f>
        <v>Abrir facsímil</v>
      </c>
      <c r="K10230" s="10" t="s">
        <v>24</v>
      </c>
    </row>
    <row r="10231" spans="1:11" ht="54" customHeight="1">
      <c r="A10231" s="9" t="s">
        <v>21338</v>
      </c>
      <c r="B10231" s="9" t="s">
        <v>21339</v>
      </c>
      <c r="C10231" s="9" t="s">
        <v>46</v>
      </c>
      <c r="D10231" s="9" t="s">
        <v>101</v>
      </c>
      <c r="E10231" s="10" t="s">
        <v>1862</v>
      </c>
      <c r="F10231" s="9" t="s">
        <v>1863</v>
      </c>
      <c r="G10231" s="10" t="s">
        <v>34</v>
      </c>
      <c r="H10231" s="9" t="s">
        <v>35</v>
      </c>
      <c r="I10231" s="9" t="s">
        <v>21340</v>
      </c>
      <c r="J10231" s="10" t="str">
        <f>HYPERLINK("https://www.boe.es/gazeta/dias/1834/02/04/pdfs/GMD-1834-16.pdf#page=1","Abrir facsímil")</f>
        <v>Abrir facsímil</v>
      </c>
      <c r="K10231" s="10" t="s">
        <v>37</v>
      </c>
    </row>
    <row r="10232" spans="1:11" ht="54" customHeight="1">
      <c r="A10232" s="9" t="s">
        <v>21341</v>
      </c>
      <c r="B10232" s="9" t="s">
        <v>21341</v>
      </c>
      <c r="C10232" s="9" t="s">
        <v>46</v>
      </c>
      <c r="D10232" s="9" t="s">
        <v>101</v>
      </c>
      <c r="E10232" s="10" t="s">
        <v>2398</v>
      </c>
      <c r="F10232" s="9" t="s">
        <v>2399</v>
      </c>
      <c r="G10232" s="10" t="s">
        <v>21</v>
      </c>
      <c r="H10232" s="9" t="s">
        <v>22</v>
      </c>
      <c r="I10232" s="9" t="s">
        <v>21342</v>
      </c>
      <c r="J10232" s="10" t="str">
        <f>HYPERLINK("https://www.boe.es/gazeta/dias/1834/01/16/pdfs/GMD-1834-8.pdf#page=3","Abrir facsímil")</f>
        <v>Abrir facsímil</v>
      </c>
      <c r="K10232" s="10" t="s">
        <v>24</v>
      </c>
    </row>
    <row r="10233" spans="1:11" ht="54" customHeight="1">
      <c r="A10233" s="9" t="s">
        <v>21343</v>
      </c>
      <c r="B10233" s="9" t="s">
        <v>21344</v>
      </c>
      <c r="C10233" s="9" t="s">
        <v>90</v>
      </c>
      <c r="D10233" s="9" t="s">
        <v>18</v>
      </c>
      <c r="E10233" s="10" t="s">
        <v>143</v>
      </c>
      <c r="F10233" s="9" t="s">
        <v>144</v>
      </c>
      <c r="G10233" s="10" t="s">
        <v>21</v>
      </c>
      <c r="H10233" s="9" t="s">
        <v>22</v>
      </c>
      <c r="I10233" s="9" t="s">
        <v>21345</v>
      </c>
      <c r="J10233" s="10" t="str">
        <f>HYPERLINK("https://www.boe.es/gazeta/dias/1834/07/31/pdfs/GMD-1834-164.pdf#page=3","Abrir facsímil")</f>
        <v>Abrir facsímil</v>
      </c>
      <c r="K10233" s="10" t="s">
        <v>24</v>
      </c>
    </row>
    <row r="10234" spans="1:11" ht="54" customHeight="1">
      <c r="A10234" s="9" t="s">
        <v>21346</v>
      </c>
      <c r="B10234" s="9" t="s">
        <v>21346</v>
      </c>
      <c r="C10234" s="9" t="s">
        <v>17</v>
      </c>
      <c r="D10234" s="9" t="s">
        <v>18</v>
      </c>
      <c r="E10234" s="10" t="s">
        <v>860</v>
      </c>
      <c r="F10234" s="9" t="s">
        <v>861</v>
      </c>
      <c r="G10234" s="10" t="s">
        <v>21</v>
      </c>
      <c r="H10234" s="9" t="s">
        <v>22</v>
      </c>
      <c r="I10234" s="9" t="s">
        <v>21347</v>
      </c>
      <c r="J10234" s="10" t="str">
        <f>HYPERLINK("https://www.boe.es/gazeta/dias/1834/02/08/pdfs/GMD-1834-18.pdf#page=3","Abrir facsímil")</f>
        <v>Abrir facsímil</v>
      </c>
      <c r="K10234" s="10" t="s">
        <v>24</v>
      </c>
    </row>
    <row r="10235" spans="1:11" ht="54" customHeight="1">
      <c r="A10235" s="9" t="s">
        <v>21348</v>
      </c>
      <c r="B10235" s="9" t="s">
        <v>21348</v>
      </c>
      <c r="C10235" s="9" t="s">
        <v>66</v>
      </c>
      <c r="D10235" s="9" t="s">
        <v>67</v>
      </c>
      <c r="E10235" s="10" t="s">
        <v>849</v>
      </c>
      <c r="F10235" s="9" t="s">
        <v>850</v>
      </c>
      <c r="G10235" s="10" t="s">
        <v>34</v>
      </c>
      <c r="H10235" s="9" t="s">
        <v>22</v>
      </c>
      <c r="I10235" s="9" t="s">
        <v>21349</v>
      </c>
      <c r="J10235" s="10" t="str">
        <f>HYPERLINK("https://www.boe.es/gazeta/dias/1834/06/21/pdfs/GMD-1834-124.pdf#page=1","Abrir facsímil")</f>
        <v>Abrir facsímil</v>
      </c>
      <c r="K10235" s="10" t="s">
        <v>24</v>
      </c>
    </row>
    <row r="10236" spans="1:11" ht="54" customHeight="1">
      <c r="A10236" s="9" t="s">
        <v>21350</v>
      </c>
      <c r="B10236" s="9" t="s">
        <v>21350</v>
      </c>
      <c r="C10236" s="9" t="s">
        <v>66</v>
      </c>
      <c r="D10236" s="9" t="s">
        <v>67</v>
      </c>
      <c r="E10236" s="10" t="s">
        <v>1084</v>
      </c>
      <c r="F10236" s="9" t="s">
        <v>1085</v>
      </c>
      <c r="G10236" s="10" t="s">
        <v>34</v>
      </c>
      <c r="H10236" s="9" t="s">
        <v>22</v>
      </c>
      <c r="I10236" s="9" t="s">
        <v>21351</v>
      </c>
      <c r="J10236" s="10" t="str">
        <f>HYPERLINK("https://www.boe.es/gazeta/dias/1834/05/01/pdfs/GMD-1834-70.pdf#page=1","Abrir facsímil")</f>
        <v>Abrir facsímil</v>
      </c>
      <c r="K10236" s="10" t="s">
        <v>24</v>
      </c>
    </row>
    <row r="10237" spans="1:11" ht="54" customHeight="1">
      <c r="A10237" s="9" t="s">
        <v>21352</v>
      </c>
      <c r="B10237" s="9" t="s">
        <v>21352</v>
      </c>
      <c r="C10237" s="9" t="s">
        <v>17</v>
      </c>
      <c r="D10237" s="9" t="s">
        <v>18</v>
      </c>
      <c r="E10237" s="10" t="s">
        <v>928</v>
      </c>
      <c r="F10237" s="9" t="s">
        <v>3338</v>
      </c>
      <c r="G10237" s="10" t="s">
        <v>34</v>
      </c>
      <c r="H10237" s="9" t="s">
        <v>22</v>
      </c>
      <c r="I10237" s="9" t="s">
        <v>21353</v>
      </c>
      <c r="J10237" s="10" t="str">
        <f>HYPERLINK("https://www.boe.es/gazeta/dias/1834/11/15/pdfs/GMD-1834-274.pdf#page=1","Abrir facsímil")</f>
        <v>Abrir facsímil</v>
      </c>
      <c r="K10237" s="10" t="s">
        <v>24</v>
      </c>
    </row>
    <row r="10238" spans="1:11" ht="54" customHeight="1">
      <c r="A10238" s="9" t="s">
        <v>21354</v>
      </c>
      <c r="B10238" s="9" t="s">
        <v>21354</v>
      </c>
      <c r="C10238" s="9" t="s">
        <v>17</v>
      </c>
      <c r="D10238" s="9" t="s">
        <v>18</v>
      </c>
      <c r="E10238" s="10" t="s">
        <v>1340</v>
      </c>
      <c r="F10238" s="9" t="s">
        <v>3300</v>
      </c>
      <c r="G10238" s="10" t="s">
        <v>75</v>
      </c>
      <c r="H10238" s="9" t="s">
        <v>22</v>
      </c>
      <c r="I10238" s="9" t="s">
        <v>21355</v>
      </c>
      <c r="J10238" s="10" t="str">
        <f>HYPERLINK("https://www.boe.es/gazeta/dias/1834/10/05/pdfs/GMD-1834-233.pdf#page=4","Abrir facsímil")</f>
        <v>Abrir facsímil</v>
      </c>
      <c r="K10238" s="10" t="s">
        <v>24</v>
      </c>
    </row>
    <row r="10239" spans="1:11" ht="54" customHeight="1">
      <c r="A10239" s="9" t="s">
        <v>21356</v>
      </c>
      <c r="B10239" s="9" t="s">
        <v>21356</v>
      </c>
      <c r="C10239" s="9" t="s">
        <v>46</v>
      </c>
      <c r="D10239" s="9" t="s">
        <v>101</v>
      </c>
      <c r="E10239" s="10" t="s">
        <v>1119</v>
      </c>
      <c r="F10239" s="9" t="s">
        <v>1120</v>
      </c>
      <c r="G10239" s="10" t="s">
        <v>34</v>
      </c>
      <c r="H10239" s="9" t="s">
        <v>22</v>
      </c>
      <c r="I10239" s="9" t="s">
        <v>21357</v>
      </c>
      <c r="J10239" s="10" t="str">
        <f>HYPERLINK("https://www.boe.es/gazeta/dias/1834/07/17/pdfs/GMD-1834-150.pdf#page=1","Abrir facsímil")</f>
        <v>Abrir facsímil</v>
      </c>
      <c r="K10239" s="10" t="s">
        <v>24</v>
      </c>
    </row>
    <row r="10240" spans="1:11" ht="54" customHeight="1">
      <c r="A10240" s="9" t="s">
        <v>21358</v>
      </c>
      <c r="B10240" s="9" t="s">
        <v>21358</v>
      </c>
      <c r="C10240" s="9" t="s">
        <v>17</v>
      </c>
      <c r="D10240" s="9" t="s">
        <v>18</v>
      </c>
      <c r="E10240" s="10" t="s">
        <v>1084</v>
      </c>
      <c r="F10240" s="9" t="s">
        <v>1085</v>
      </c>
      <c r="G10240" s="10" t="s">
        <v>34</v>
      </c>
      <c r="H10240" s="9" t="s">
        <v>22</v>
      </c>
      <c r="I10240" s="9" t="s">
        <v>21359</v>
      </c>
      <c r="J10240" s="10" t="str">
        <f>HYPERLINK("https://www.boe.es/gazeta/dias/1834/05/01/pdfs/GMD-1834-70.pdf#page=1","Abrir facsímil")</f>
        <v>Abrir facsímil</v>
      </c>
      <c r="K10240" s="10" t="s">
        <v>24</v>
      </c>
    </row>
    <row r="10241" spans="1:11" ht="54" customHeight="1">
      <c r="A10241" s="9" t="s">
        <v>21360</v>
      </c>
      <c r="B10241" s="9" t="s">
        <v>21360</v>
      </c>
      <c r="C10241" s="9" t="s">
        <v>17</v>
      </c>
      <c r="D10241" s="9" t="s">
        <v>55</v>
      </c>
      <c r="E10241" s="10" t="s">
        <v>1862</v>
      </c>
      <c r="F10241" s="9" t="s">
        <v>1863</v>
      </c>
      <c r="G10241" s="10" t="s">
        <v>21</v>
      </c>
      <c r="H10241" s="9" t="s">
        <v>22</v>
      </c>
      <c r="I10241" s="9" t="s">
        <v>21361</v>
      </c>
      <c r="J10241" s="10" t="str">
        <f>HYPERLINK("https://www.boe.es/gazeta/dias/1834/02/04/pdfs/GMD-1834-16.pdf#page=3","Abrir facsímil")</f>
        <v>Abrir facsímil</v>
      </c>
      <c r="K10241" s="10" t="s">
        <v>24</v>
      </c>
    </row>
    <row r="10242" spans="1:11" ht="54" customHeight="1">
      <c r="A10242" s="9" t="s">
        <v>21362</v>
      </c>
      <c r="B10242" s="9" t="s">
        <v>21362</v>
      </c>
      <c r="C10242" s="9" t="s">
        <v>90</v>
      </c>
      <c r="D10242" s="9" t="s">
        <v>18</v>
      </c>
      <c r="E10242" s="10" t="s">
        <v>1424</v>
      </c>
      <c r="F10242" s="9" t="s">
        <v>3445</v>
      </c>
      <c r="G10242" s="10" t="s">
        <v>34</v>
      </c>
      <c r="H10242" s="9" t="s">
        <v>22</v>
      </c>
      <c r="I10242" s="9" t="s">
        <v>21363</v>
      </c>
      <c r="J10242" s="10" t="str">
        <f>HYPERLINK("https://www.boe.es/gazeta/dias/1834/11/14/pdfs/GMD-1834-273.pdf#page=1","Abrir facsímil")</f>
        <v>Abrir facsímil</v>
      </c>
      <c r="K10242" s="10" t="s">
        <v>24</v>
      </c>
    </row>
    <row r="10243" spans="1:11" ht="54" customHeight="1">
      <c r="A10243" s="9" t="s">
        <v>21364</v>
      </c>
      <c r="B10243" s="9" t="s">
        <v>21364</v>
      </c>
      <c r="C10243" s="9" t="s">
        <v>90</v>
      </c>
      <c r="D10243" s="9" t="s">
        <v>67</v>
      </c>
      <c r="E10243" s="10" t="s">
        <v>535</v>
      </c>
      <c r="F10243" s="9" t="s">
        <v>536</v>
      </c>
      <c r="G10243" s="10" t="s">
        <v>34</v>
      </c>
      <c r="H10243" s="9" t="s">
        <v>22</v>
      </c>
      <c r="I10243" s="9" t="s">
        <v>21365</v>
      </c>
      <c r="J10243" s="10" t="str">
        <f>HYPERLINK("https://www.boe.es/gazeta/dias/1834/05/21/pdfs/GMD-1834-90.pdf#page=1","Abrir facsímil")</f>
        <v>Abrir facsímil</v>
      </c>
      <c r="K10243" s="10" t="s">
        <v>24</v>
      </c>
    </row>
    <row r="10244" spans="1:11" ht="54" customHeight="1">
      <c r="A10244" s="9" t="s">
        <v>21366</v>
      </c>
      <c r="B10244" s="9" t="s">
        <v>21366</v>
      </c>
      <c r="C10244" s="9" t="s">
        <v>17</v>
      </c>
      <c r="D10244" s="9" t="s">
        <v>18</v>
      </c>
      <c r="E10244" s="10" t="s">
        <v>438</v>
      </c>
      <c r="F10244" s="9" t="s">
        <v>439</v>
      </c>
      <c r="G10244" s="10" t="s">
        <v>86</v>
      </c>
      <c r="H10244" s="9" t="s">
        <v>22</v>
      </c>
      <c r="I10244" s="9" t="s">
        <v>21367</v>
      </c>
      <c r="J10244" s="10" t="str">
        <f>HYPERLINK("https://www.boe.es/gazeta/dias/1834/11/09/pdfs/GMD-1834-268.pdf#page=2","Abrir facsímil")</f>
        <v>Abrir facsímil</v>
      </c>
      <c r="K10244" s="10" t="s">
        <v>24</v>
      </c>
    </row>
    <row r="10245" spans="1:11" ht="54" customHeight="1">
      <c r="A10245" s="9" t="s">
        <v>21368</v>
      </c>
      <c r="B10245" s="9" t="s">
        <v>21368</v>
      </c>
      <c r="C10245" s="9" t="s">
        <v>17</v>
      </c>
      <c r="D10245" s="9" t="s">
        <v>18</v>
      </c>
      <c r="E10245" s="10" t="s">
        <v>47</v>
      </c>
      <c r="F10245" s="9" t="s">
        <v>48</v>
      </c>
      <c r="G10245" s="10" t="s">
        <v>176</v>
      </c>
      <c r="H10245" s="9" t="s">
        <v>22</v>
      </c>
      <c r="I10245" s="9" t="s">
        <v>21369</v>
      </c>
      <c r="J10245" s="10" t="str">
        <f>HYPERLINK("https://www.boe.es/gazeta/dias/1834/09/05/pdfs/GMD-C-1834-203.pdf#page=6","Abrir facsímil")</f>
        <v>Abrir facsímil</v>
      </c>
      <c r="K10245" s="10" t="s">
        <v>24</v>
      </c>
    </row>
    <row r="10246" spans="1:11" ht="54" customHeight="1">
      <c r="A10246" s="9" t="s">
        <v>21370</v>
      </c>
      <c r="B10246" s="9" t="s">
        <v>21371</v>
      </c>
      <c r="C10246" s="9" t="s">
        <v>90</v>
      </c>
      <c r="D10246" s="9" t="s">
        <v>67</v>
      </c>
      <c r="E10246" s="10" t="s">
        <v>658</v>
      </c>
      <c r="F10246" s="9" t="s">
        <v>2167</v>
      </c>
      <c r="G10246" s="10" t="s">
        <v>34</v>
      </c>
      <c r="H10246" s="9" t="s">
        <v>22</v>
      </c>
      <c r="I10246" s="9" t="s">
        <v>21372</v>
      </c>
      <c r="J10246" s="10" t="str">
        <f>HYPERLINK("https://www.boe.es/gazeta/dias/1834/05/26/pdfs/C00001-00001.pdf#page=1","Abrir facsímil")</f>
        <v>Abrir facsímil</v>
      </c>
      <c r="K10246" s="10" t="s">
        <v>24</v>
      </c>
    </row>
    <row r="10247" spans="1:11" ht="54" customHeight="1">
      <c r="A10247" s="9" t="s">
        <v>21373</v>
      </c>
      <c r="B10247" s="9" t="s">
        <v>21373</v>
      </c>
      <c r="C10247" s="9" t="s">
        <v>17</v>
      </c>
      <c r="D10247" s="9" t="s">
        <v>18</v>
      </c>
      <c r="E10247" s="10" t="s">
        <v>294</v>
      </c>
      <c r="F10247" s="9" t="s">
        <v>295</v>
      </c>
      <c r="G10247" s="10" t="s">
        <v>75</v>
      </c>
      <c r="H10247" s="9" t="s">
        <v>22</v>
      </c>
      <c r="I10247" s="9" t="s">
        <v>21374</v>
      </c>
      <c r="J10247" s="10" t="str">
        <f>HYPERLINK("https://www.boe.es/gazeta/dias/1834/09/27/pdfs/GMD-1834-225.pdf#page=4","Abrir facsímil")</f>
        <v>Abrir facsímil</v>
      </c>
      <c r="K10247" s="10" t="s">
        <v>24</v>
      </c>
    </row>
    <row r="10248" spans="1:11" ht="54" customHeight="1">
      <c r="A10248" s="9" t="s">
        <v>21375</v>
      </c>
      <c r="B10248" s="9" t="s">
        <v>21375</v>
      </c>
      <c r="C10248" s="9" t="s">
        <v>90</v>
      </c>
      <c r="D10248" s="9" t="s">
        <v>67</v>
      </c>
      <c r="E10248" s="10" t="s">
        <v>163</v>
      </c>
      <c r="F10248" s="9" t="s">
        <v>164</v>
      </c>
      <c r="G10248" s="10" t="s">
        <v>34</v>
      </c>
      <c r="H10248" s="9" t="s">
        <v>22</v>
      </c>
      <c r="I10248" s="9" t="s">
        <v>21376</v>
      </c>
      <c r="J10248" s="10" t="str">
        <f>HYPERLINK("https://www.boe.es/gazeta/dias/1834/08/09/pdfs/GMD-1834-174.pdf#page=1","Abrir facsímil")</f>
        <v>Abrir facsímil</v>
      </c>
      <c r="K10248" s="10" t="s">
        <v>24</v>
      </c>
    </row>
    <row r="10249" spans="1:11" ht="54" customHeight="1">
      <c r="A10249" s="9" t="s">
        <v>21377</v>
      </c>
      <c r="B10249" s="9" t="s">
        <v>21378</v>
      </c>
      <c r="C10249" s="9" t="s">
        <v>17</v>
      </c>
      <c r="D10249" s="9" t="s">
        <v>18</v>
      </c>
      <c r="E10249" s="10" t="s">
        <v>615</v>
      </c>
      <c r="F10249" s="9" t="s">
        <v>1205</v>
      </c>
      <c r="G10249" s="10" t="s">
        <v>86</v>
      </c>
      <c r="H10249" s="9" t="s">
        <v>35</v>
      </c>
      <c r="I10249" s="9" t="s">
        <v>21379</v>
      </c>
      <c r="J10249" s="10" t="str">
        <f>HYPERLINK("https://www.boe.es/gazeta/dias/1834/08/19/pdfs/GMD-D-1834-185.pdf#page=2","Abrir facsímil")</f>
        <v>Abrir facsímil</v>
      </c>
      <c r="K10249" s="10" t="s">
        <v>37</v>
      </c>
    </row>
    <row r="10250" spans="1:11" ht="54" customHeight="1">
      <c r="A10250" s="9" t="s">
        <v>21380</v>
      </c>
      <c r="B10250" s="9" t="s">
        <v>21381</v>
      </c>
      <c r="C10250" s="9" t="s">
        <v>17</v>
      </c>
      <c r="D10250" s="9" t="s">
        <v>18</v>
      </c>
      <c r="E10250" s="10" t="s">
        <v>615</v>
      </c>
      <c r="F10250" s="9" t="s">
        <v>1205</v>
      </c>
      <c r="G10250" s="10" t="s">
        <v>86</v>
      </c>
      <c r="H10250" s="9" t="s">
        <v>22</v>
      </c>
      <c r="I10250" s="9" t="s">
        <v>21382</v>
      </c>
      <c r="J10250" s="10" t="str">
        <f>HYPERLINK("https://www.boe.es/gazeta/dias/1834/08/19/pdfs/GMD-D-1834-185.pdf#page=2","Abrir facsímil")</f>
        <v>Abrir facsímil</v>
      </c>
      <c r="K10250" s="10" t="s">
        <v>24</v>
      </c>
    </row>
    <row r="10251" spans="1:11" ht="54" customHeight="1">
      <c r="A10251" s="9" t="s">
        <v>21383</v>
      </c>
      <c r="B10251" s="9" t="s">
        <v>21383</v>
      </c>
      <c r="C10251" s="9" t="s">
        <v>90</v>
      </c>
      <c r="D10251" s="9" t="s">
        <v>55</v>
      </c>
      <c r="E10251" s="10" t="s">
        <v>3225</v>
      </c>
      <c r="F10251" s="9" t="s">
        <v>3226</v>
      </c>
      <c r="G10251" s="10" t="s">
        <v>21</v>
      </c>
      <c r="H10251" s="9" t="s">
        <v>22</v>
      </c>
      <c r="I10251" s="9" t="s">
        <v>21384</v>
      </c>
      <c r="J10251" s="10" t="str">
        <f>HYPERLINK("https://www.boe.es/gazeta/dias/1834/08/22/pdfs/GMD-1834-188.pdf#page=3","Abrir facsímil")</f>
        <v>Abrir facsímil</v>
      </c>
      <c r="K10251" s="10" t="s">
        <v>24</v>
      </c>
    </row>
    <row r="10252" spans="1:11" ht="54" customHeight="1">
      <c r="A10252" s="9" t="s">
        <v>21385</v>
      </c>
      <c r="B10252" s="9" t="s">
        <v>21385</v>
      </c>
      <c r="C10252" s="9" t="s">
        <v>17</v>
      </c>
      <c r="D10252" s="9" t="s">
        <v>18</v>
      </c>
      <c r="E10252" s="10" t="s">
        <v>1017</v>
      </c>
      <c r="F10252" s="9" t="s">
        <v>1018</v>
      </c>
      <c r="G10252" s="10" t="s">
        <v>21</v>
      </c>
      <c r="H10252" s="9" t="s">
        <v>22</v>
      </c>
      <c r="I10252" s="9" t="s">
        <v>21386</v>
      </c>
      <c r="J10252" s="10" t="str">
        <f>HYPERLINK("https://www.boe.es/gazeta/dias/1834/07/24/pdfs/GMD-1834-157.pdf#page=3","Abrir facsímil")</f>
        <v>Abrir facsímil</v>
      </c>
      <c r="K10252" s="10" t="s">
        <v>24</v>
      </c>
    </row>
    <row r="10253" spans="1:11" ht="54" customHeight="1">
      <c r="A10253" s="9" t="s">
        <v>21387</v>
      </c>
      <c r="B10253" s="9" t="s">
        <v>21387</v>
      </c>
      <c r="C10253" s="9" t="s">
        <v>90</v>
      </c>
      <c r="D10253" s="9" t="s">
        <v>18</v>
      </c>
      <c r="E10253" s="10" t="s">
        <v>2459</v>
      </c>
      <c r="F10253" s="9" t="s">
        <v>2460</v>
      </c>
      <c r="G10253" s="10" t="s">
        <v>34</v>
      </c>
      <c r="H10253" s="9" t="s">
        <v>22</v>
      </c>
      <c r="I10253" s="9" t="s">
        <v>21388</v>
      </c>
      <c r="J10253" s="10" t="str">
        <f>HYPERLINK("https://www.boe.es/gazeta/dias/1834/04/04/pdfs/GMD-1834-43.pdf#page=1","Abrir facsímil")</f>
        <v>Abrir facsímil</v>
      </c>
      <c r="K10253" s="10" t="s">
        <v>24</v>
      </c>
    </row>
    <row r="10254" spans="1:11" ht="54" customHeight="1">
      <c r="A10254" s="9" t="s">
        <v>21389</v>
      </c>
      <c r="B10254" s="9" t="s">
        <v>21389</v>
      </c>
      <c r="C10254" s="9" t="s">
        <v>66</v>
      </c>
      <c r="D10254" s="9" t="s">
        <v>18</v>
      </c>
      <c r="E10254" s="10" t="s">
        <v>1094</v>
      </c>
      <c r="F10254" s="9" t="s">
        <v>1095</v>
      </c>
      <c r="G10254" s="10" t="s">
        <v>21</v>
      </c>
      <c r="H10254" s="9" t="s">
        <v>22</v>
      </c>
      <c r="I10254" s="9" t="s">
        <v>21390</v>
      </c>
      <c r="J10254" s="10" t="str">
        <f>HYPERLINK("https://www.boe.es/gazeta/dias/1834/07/13/pdfs/GMD-1834-146.pdf#page=3","Abrir facsímil")</f>
        <v>Abrir facsímil</v>
      </c>
      <c r="K10254" s="10" t="s">
        <v>24</v>
      </c>
    </row>
    <row r="10255" spans="1:11" ht="54" customHeight="1">
      <c r="A10255" s="9" t="s">
        <v>21391</v>
      </c>
      <c r="B10255" s="9" t="s">
        <v>21391</v>
      </c>
      <c r="C10255" s="9" t="s">
        <v>17</v>
      </c>
      <c r="D10255" s="9" t="s">
        <v>18</v>
      </c>
      <c r="E10255" s="10" t="s">
        <v>1297</v>
      </c>
      <c r="F10255" s="9" t="s">
        <v>1879</v>
      </c>
      <c r="G10255" s="10" t="s">
        <v>86</v>
      </c>
      <c r="H10255" s="9" t="s">
        <v>22</v>
      </c>
      <c r="I10255" s="9" t="s">
        <v>21392</v>
      </c>
      <c r="J10255" s="10" t="str">
        <f>HYPERLINK("https://www.boe.es/gazeta/dias/1834/08/01/pdfs/GMD-C-1834-165.pdf#page=2","Abrir facsímil")</f>
        <v>Abrir facsímil</v>
      </c>
      <c r="K10255" s="10" t="s">
        <v>24</v>
      </c>
    </row>
    <row r="10256" spans="1:11" ht="54" customHeight="1">
      <c r="A10256" s="9" t="s">
        <v>21393</v>
      </c>
      <c r="B10256" s="9" t="s">
        <v>21393</v>
      </c>
      <c r="C10256" s="9" t="s">
        <v>17</v>
      </c>
      <c r="D10256" s="9" t="s">
        <v>18</v>
      </c>
      <c r="E10256" s="10" t="s">
        <v>26</v>
      </c>
      <c r="F10256" s="9" t="s">
        <v>818</v>
      </c>
      <c r="G10256" s="10" t="s">
        <v>86</v>
      </c>
      <c r="H10256" s="9" t="s">
        <v>22</v>
      </c>
      <c r="I10256" s="9" t="s">
        <v>21394</v>
      </c>
      <c r="J10256" s="10" t="str">
        <f>HYPERLINK("https://www.boe.es/gazeta/dias/1834/10/19/pdfs/GMD-1834-247.pdf#page=2","Abrir facsímil")</f>
        <v>Abrir facsímil</v>
      </c>
      <c r="K10256" s="10" t="s">
        <v>24</v>
      </c>
    </row>
    <row r="10257" spans="1:11" ht="54" customHeight="1">
      <c r="A10257" s="9" t="s">
        <v>21395</v>
      </c>
      <c r="B10257" s="9" t="s">
        <v>21395</v>
      </c>
      <c r="C10257" s="9" t="s">
        <v>17</v>
      </c>
      <c r="D10257" s="9" t="s">
        <v>55</v>
      </c>
      <c r="E10257" s="10" t="s">
        <v>1008</v>
      </c>
      <c r="F10257" s="9" t="s">
        <v>2991</v>
      </c>
      <c r="G10257" s="10" t="s">
        <v>21</v>
      </c>
      <c r="H10257" s="9" t="s">
        <v>22</v>
      </c>
      <c r="I10257" s="9" t="s">
        <v>21396</v>
      </c>
      <c r="J10257" s="10" t="str">
        <f>HYPERLINK("https://www.boe.es/gazeta/dias/1834/11/08/pdfs/GMD-1834-267.pdf#page=3","Abrir facsímil")</f>
        <v>Abrir facsímil</v>
      </c>
      <c r="K10257" s="10" t="s">
        <v>24</v>
      </c>
    </row>
    <row r="10258" spans="1:11" ht="54" customHeight="1">
      <c r="A10258" s="9" t="s">
        <v>21397</v>
      </c>
      <c r="B10258" s="9" t="s">
        <v>21398</v>
      </c>
      <c r="C10258" s="9" t="s">
        <v>90</v>
      </c>
      <c r="D10258" s="9" t="s">
        <v>18</v>
      </c>
      <c r="E10258" s="10" t="s">
        <v>1281</v>
      </c>
      <c r="F10258" s="9" t="s">
        <v>1282</v>
      </c>
      <c r="G10258" s="10" t="s">
        <v>21</v>
      </c>
      <c r="H10258" s="9" t="s">
        <v>35</v>
      </c>
      <c r="I10258" s="9" t="s">
        <v>21399</v>
      </c>
      <c r="J10258" s="10" t="str">
        <f>HYPERLINK("https://www.boe.es/gazeta/dias/1834/10/27/pdfs/GMD-1834-255.pdf#page=3","Abrir facsímil")</f>
        <v>Abrir facsímil</v>
      </c>
      <c r="K10258" s="10" t="s">
        <v>37</v>
      </c>
    </row>
    <row r="10259" spans="1:11" ht="54" customHeight="1">
      <c r="A10259" s="9" t="s">
        <v>21400</v>
      </c>
      <c r="B10259" s="9" t="s">
        <v>21401</v>
      </c>
      <c r="C10259" s="9" t="s">
        <v>66</v>
      </c>
      <c r="D10259" s="9" t="s">
        <v>67</v>
      </c>
      <c r="E10259" s="10" t="s">
        <v>1103</v>
      </c>
      <c r="F10259" s="9" t="s">
        <v>1259</v>
      </c>
      <c r="G10259" s="10" t="s">
        <v>21</v>
      </c>
      <c r="H10259" s="9" t="s">
        <v>22</v>
      </c>
      <c r="I10259" s="9" t="s">
        <v>21402</v>
      </c>
      <c r="J10259" s="10" t="str">
        <f>HYPERLINK("https://www.boe.es/gazeta/dias/1834/10/10/pdfs/GMD-1834-238.pdf#page=3","Abrir facsímil")</f>
        <v>Abrir facsímil</v>
      </c>
      <c r="K10259" s="10" t="s">
        <v>24</v>
      </c>
    </row>
    <row r="10260" spans="1:11" ht="54" customHeight="1">
      <c r="A10260" s="9" t="s">
        <v>21403</v>
      </c>
      <c r="B10260" s="9" t="s">
        <v>21404</v>
      </c>
      <c r="C10260" s="9" t="s">
        <v>17</v>
      </c>
      <c r="D10260" s="9" t="s">
        <v>40</v>
      </c>
      <c r="E10260" s="10" t="s">
        <v>11991</v>
      </c>
      <c r="F10260" s="9" t="s">
        <v>11992</v>
      </c>
      <c r="G10260" s="10" t="s">
        <v>34</v>
      </c>
      <c r="H10260" s="9" t="s">
        <v>35</v>
      </c>
      <c r="I10260" s="9" t="s">
        <v>21405</v>
      </c>
      <c r="J10260" s="10" t="str">
        <f>HYPERLINK("https://www.boe.es/gazeta/dias/1834/12/05/pdfs/GMD-C-1834-294.pdf#page=1","Abrir facsímil")</f>
        <v>Abrir facsímil</v>
      </c>
      <c r="K10260" s="10" t="s">
        <v>37</v>
      </c>
    </row>
    <row r="10261" spans="1:11" ht="54" customHeight="1">
      <c r="A10261" s="9" t="s">
        <v>21406</v>
      </c>
      <c r="B10261" s="9" t="s">
        <v>21407</v>
      </c>
      <c r="C10261" s="9" t="s">
        <v>17</v>
      </c>
      <c r="D10261" s="9" t="s">
        <v>55</v>
      </c>
      <c r="E10261" s="10" t="s">
        <v>1862</v>
      </c>
      <c r="F10261" s="9" t="s">
        <v>1863</v>
      </c>
      <c r="G10261" s="10" t="s">
        <v>21</v>
      </c>
      <c r="H10261" s="9" t="s">
        <v>35</v>
      </c>
      <c r="I10261" s="9" t="s">
        <v>21408</v>
      </c>
      <c r="J10261" s="10" t="str">
        <f>HYPERLINK("https://www.boe.es/gazeta/dias/1834/02/04/pdfs/GMD-1834-16.pdf#page=3","Abrir facsímil")</f>
        <v>Abrir facsímil</v>
      </c>
      <c r="K10261" s="10" t="s">
        <v>37</v>
      </c>
    </row>
    <row r="10262" spans="1:11" ht="54" customHeight="1">
      <c r="A10262" s="9" t="s">
        <v>21409</v>
      </c>
      <c r="B10262" s="9" t="s">
        <v>21410</v>
      </c>
      <c r="C10262" s="9" t="s">
        <v>17</v>
      </c>
      <c r="D10262" s="9" t="s">
        <v>40</v>
      </c>
      <c r="E10262" s="10" t="s">
        <v>11991</v>
      </c>
      <c r="F10262" s="9" t="s">
        <v>11992</v>
      </c>
      <c r="G10262" s="10" t="s">
        <v>34</v>
      </c>
      <c r="H10262" s="9" t="s">
        <v>35</v>
      </c>
      <c r="I10262" s="9" t="s">
        <v>21411</v>
      </c>
      <c r="J10262" s="10" t="str">
        <f>HYPERLINK("https://www.boe.es/gazeta/dias/1834/12/05/pdfs/GMD-C-1834-294.pdf#page=1","Abrir facsímil")</f>
        <v>Abrir facsímil</v>
      </c>
      <c r="K10262" s="10" t="s">
        <v>37</v>
      </c>
    </row>
    <row r="10263" spans="1:11" ht="54" customHeight="1">
      <c r="A10263" s="9" t="s">
        <v>21412</v>
      </c>
      <c r="B10263" s="9" t="s">
        <v>21412</v>
      </c>
      <c r="C10263" s="9" t="s">
        <v>17</v>
      </c>
      <c r="D10263" s="9" t="s">
        <v>18</v>
      </c>
      <c r="E10263" s="10" t="s">
        <v>3036</v>
      </c>
      <c r="F10263" s="9" t="s">
        <v>3037</v>
      </c>
      <c r="G10263" s="10" t="s">
        <v>28</v>
      </c>
      <c r="H10263" s="9" t="s">
        <v>22</v>
      </c>
      <c r="I10263" s="9" t="s">
        <v>21413</v>
      </c>
      <c r="J10263" s="10" t="str">
        <f>HYPERLINK("https://www.boe.es/gazeta/dias/1834/11/18/pdfs/GMD-C-1834-277.pdf#page=5","Abrir facsímil")</f>
        <v>Abrir facsímil</v>
      </c>
      <c r="K10263" s="10" t="s">
        <v>24</v>
      </c>
    </row>
    <row r="10264" spans="1:11" ht="54" customHeight="1">
      <c r="A10264" s="9" t="s">
        <v>21414</v>
      </c>
      <c r="B10264" s="9" t="s">
        <v>21415</v>
      </c>
      <c r="C10264" s="9" t="s">
        <v>66</v>
      </c>
      <c r="D10264" s="9" t="s">
        <v>67</v>
      </c>
      <c r="E10264" s="10" t="s">
        <v>61</v>
      </c>
      <c r="F10264" s="9" t="s">
        <v>205</v>
      </c>
      <c r="G10264" s="10" t="s">
        <v>21</v>
      </c>
      <c r="H10264" s="9" t="s">
        <v>22</v>
      </c>
      <c r="I10264" s="9" t="s">
        <v>21416</v>
      </c>
      <c r="J10264" s="10" t="str">
        <f>HYPERLINK("https://www.boe.es/gazeta/dias/1834/06/08/pdfs/GMD-1834-110.pdf#page=3","Abrir facsímil")</f>
        <v>Abrir facsímil</v>
      </c>
      <c r="K10264" s="10" t="s">
        <v>24</v>
      </c>
    </row>
    <row r="10265" spans="1:11" ht="54" customHeight="1">
      <c r="A10265" s="9" t="s">
        <v>21417</v>
      </c>
      <c r="B10265" s="9" t="s">
        <v>21418</v>
      </c>
      <c r="C10265" s="9" t="s">
        <v>66</v>
      </c>
      <c r="D10265" s="9" t="s">
        <v>67</v>
      </c>
      <c r="E10265" s="10" t="s">
        <v>535</v>
      </c>
      <c r="F10265" s="9" t="s">
        <v>536</v>
      </c>
      <c r="G10265" s="10" t="s">
        <v>21</v>
      </c>
      <c r="H10265" s="9" t="s">
        <v>22</v>
      </c>
      <c r="I10265" s="9" t="s">
        <v>21419</v>
      </c>
      <c r="J10265" s="10" t="str">
        <f>HYPERLINK("https://www.boe.es/gazeta/dias/1834/05/21/pdfs/GMD-1834-90.pdf#page=3","Abrir facsímil")</f>
        <v>Abrir facsímil</v>
      </c>
      <c r="K10265" s="10" t="s">
        <v>24</v>
      </c>
    </row>
    <row r="10266" spans="1:11" ht="54" customHeight="1">
      <c r="A10266" s="9" t="s">
        <v>21420</v>
      </c>
      <c r="B10266" s="9" t="s">
        <v>21421</v>
      </c>
      <c r="C10266" s="9" t="s">
        <v>66</v>
      </c>
      <c r="D10266" s="9" t="s">
        <v>67</v>
      </c>
      <c r="E10266" s="10" t="s">
        <v>535</v>
      </c>
      <c r="F10266" s="9" t="s">
        <v>536</v>
      </c>
      <c r="G10266" s="10" t="s">
        <v>21</v>
      </c>
      <c r="H10266" s="9" t="s">
        <v>35</v>
      </c>
      <c r="I10266" s="9" t="s">
        <v>21422</v>
      </c>
      <c r="J10266" s="10" t="str">
        <f>HYPERLINK("https://www.boe.es/gazeta/dias/1834/05/21/pdfs/GMD-1834-90.pdf#page=3","Abrir facsímil")</f>
        <v>Abrir facsímil</v>
      </c>
      <c r="K10266" s="10" t="s">
        <v>37</v>
      </c>
    </row>
    <row r="10267" spans="1:11" ht="54" customHeight="1">
      <c r="A10267" s="9" t="s">
        <v>21423</v>
      </c>
      <c r="B10267" s="9" t="s">
        <v>21423</v>
      </c>
      <c r="C10267" s="9" t="s">
        <v>17</v>
      </c>
      <c r="D10267" s="9" t="s">
        <v>18</v>
      </c>
      <c r="E10267" s="10" t="s">
        <v>448</v>
      </c>
      <c r="F10267" s="9" t="s">
        <v>449</v>
      </c>
      <c r="G10267" s="10" t="s">
        <v>28</v>
      </c>
      <c r="H10267" s="9" t="s">
        <v>22</v>
      </c>
      <c r="I10267" s="9" t="s">
        <v>21424</v>
      </c>
      <c r="J10267" s="10" t="str">
        <f>HYPERLINK("https://www.boe.es/gazeta/dias/1834/10/14/pdfs/GMD-C-1834-242.pdf#page=5","Abrir facsímil")</f>
        <v>Abrir facsímil</v>
      </c>
      <c r="K10267" s="10" t="s">
        <v>24</v>
      </c>
    </row>
    <row r="10268" spans="1:11" ht="54" customHeight="1">
      <c r="A10268" s="9" t="s">
        <v>21425</v>
      </c>
      <c r="B10268" s="9" t="s">
        <v>21425</v>
      </c>
      <c r="C10268" s="9" t="s">
        <v>17</v>
      </c>
      <c r="D10268" s="9" t="s">
        <v>18</v>
      </c>
      <c r="E10268" s="10" t="s">
        <v>451</v>
      </c>
      <c r="F10268" s="9" t="s">
        <v>452</v>
      </c>
      <c r="G10268" s="10" t="s">
        <v>21</v>
      </c>
      <c r="H10268" s="9" t="s">
        <v>22</v>
      </c>
      <c r="I10268" s="9" t="s">
        <v>21426</v>
      </c>
      <c r="J10268" s="10" t="str">
        <f>HYPERLINK("https://www.boe.es/gazeta/dias/1834/10/15/pdfs/GMD-C-1834-243.pdf#page=3","Abrir facsímil")</f>
        <v>Abrir facsímil</v>
      </c>
      <c r="K10268" s="10" t="s">
        <v>24</v>
      </c>
    </row>
    <row r="10269" spans="1:11" ht="54" customHeight="1">
      <c r="A10269" s="9" t="s">
        <v>21425</v>
      </c>
      <c r="B10269" s="9" t="s">
        <v>21425</v>
      </c>
      <c r="C10269" s="9" t="s">
        <v>17</v>
      </c>
      <c r="D10269" s="9" t="s">
        <v>18</v>
      </c>
      <c r="E10269" s="10" t="s">
        <v>610</v>
      </c>
      <c r="F10269" s="9" t="s">
        <v>611</v>
      </c>
      <c r="G10269" s="10" t="s">
        <v>34</v>
      </c>
      <c r="H10269" s="9" t="s">
        <v>22</v>
      </c>
      <c r="I10269" s="9" t="s">
        <v>21427</v>
      </c>
      <c r="J10269" s="10" t="str">
        <f>HYPERLINK("https://www.boe.es/gazeta/dias/1834/12/21/pdfs/GMD-C-1834-311.pdf#page=1","Abrir facsímil")</f>
        <v>Abrir facsímil</v>
      </c>
      <c r="K10269" s="10" t="s">
        <v>24</v>
      </c>
    </row>
    <row r="10270" spans="1:11" ht="54" customHeight="1">
      <c r="A10270" s="9" t="s">
        <v>21428</v>
      </c>
      <c r="B10270" s="9" t="s">
        <v>21429</v>
      </c>
      <c r="C10270" s="9" t="s">
        <v>17</v>
      </c>
      <c r="D10270" s="9" t="s">
        <v>18</v>
      </c>
      <c r="E10270" s="10" t="s">
        <v>610</v>
      </c>
      <c r="F10270" s="9" t="s">
        <v>611</v>
      </c>
      <c r="G10270" s="10" t="s">
        <v>34</v>
      </c>
      <c r="H10270" s="9" t="s">
        <v>22</v>
      </c>
      <c r="I10270" s="9" t="s">
        <v>21430</v>
      </c>
      <c r="J10270" s="10" t="str">
        <f>HYPERLINK("https://www.boe.es/gazeta/dias/1834/12/21/pdfs/GMD-C-1834-311.pdf#page=1","Abrir facsímil")</f>
        <v>Abrir facsímil</v>
      </c>
      <c r="K10270" s="10" t="s">
        <v>24</v>
      </c>
    </row>
    <row r="10271" spans="1:11" ht="54" customHeight="1">
      <c r="A10271" s="9" t="s">
        <v>21431</v>
      </c>
      <c r="B10271" s="9" t="s">
        <v>21432</v>
      </c>
      <c r="C10271" s="9" t="s">
        <v>17</v>
      </c>
      <c r="D10271" s="9" t="s">
        <v>18</v>
      </c>
      <c r="E10271" s="10" t="s">
        <v>610</v>
      </c>
      <c r="F10271" s="9" t="s">
        <v>611</v>
      </c>
      <c r="G10271" s="10" t="s">
        <v>34</v>
      </c>
      <c r="H10271" s="9" t="s">
        <v>35</v>
      </c>
      <c r="I10271" s="9" t="s">
        <v>21433</v>
      </c>
      <c r="J10271" s="10" t="str">
        <f>HYPERLINK("https://www.boe.es/gazeta/dias/1834/12/21/pdfs/GMD-C-1834-311.pdf#page=1","Abrir facsímil")</f>
        <v>Abrir facsímil</v>
      </c>
      <c r="K10271" s="10" t="s">
        <v>37</v>
      </c>
    </row>
    <row r="10272" spans="1:11" ht="54" customHeight="1">
      <c r="A10272" s="9" t="s">
        <v>21434</v>
      </c>
      <c r="B10272" s="9" t="s">
        <v>21434</v>
      </c>
      <c r="C10272" s="9" t="s">
        <v>17</v>
      </c>
      <c r="D10272" s="9" t="s">
        <v>55</v>
      </c>
      <c r="E10272" s="10" t="s">
        <v>2278</v>
      </c>
      <c r="F10272" s="9" t="s">
        <v>3088</v>
      </c>
      <c r="G10272" s="10" t="s">
        <v>75</v>
      </c>
      <c r="H10272" s="9" t="s">
        <v>22</v>
      </c>
      <c r="I10272" s="9" t="s">
        <v>21435</v>
      </c>
      <c r="J10272" s="10" t="str">
        <f>HYPERLINK("https://www.boe.es/gazeta/dias/1834/12/17/pdfs/GMD-1834-306.pdf#page=4","Abrir facsímil")</f>
        <v>Abrir facsímil</v>
      </c>
      <c r="K10272" s="10" t="s">
        <v>24</v>
      </c>
    </row>
    <row r="10273" spans="1:11" ht="54" customHeight="1">
      <c r="A10273" s="9" t="s">
        <v>21434</v>
      </c>
      <c r="B10273" s="9" t="s">
        <v>21434</v>
      </c>
      <c r="C10273" s="9" t="s">
        <v>17</v>
      </c>
      <c r="D10273" s="9" t="s">
        <v>101</v>
      </c>
      <c r="E10273" s="10" t="s">
        <v>707</v>
      </c>
      <c r="F10273" s="9" t="s">
        <v>708</v>
      </c>
      <c r="G10273" s="10" t="s">
        <v>470</v>
      </c>
      <c r="H10273" s="9" t="s">
        <v>22</v>
      </c>
      <c r="I10273" s="9" t="s">
        <v>21436</v>
      </c>
      <c r="J10273" s="10" t="str">
        <f>HYPERLINK("https://www.boe.es/gazeta/dias/1834/11/25/pdfs/GMD-C-1834-284.pdf#page=8","Abrir facsímil")</f>
        <v>Abrir facsímil</v>
      </c>
      <c r="K10273" s="10" t="s">
        <v>24</v>
      </c>
    </row>
    <row r="10274" spans="1:11" ht="54" customHeight="1">
      <c r="A10274" s="9" t="s">
        <v>21437</v>
      </c>
      <c r="B10274" s="9" t="s">
        <v>21438</v>
      </c>
      <c r="C10274" s="9" t="s">
        <v>17</v>
      </c>
      <c r="D10274" s="9" t="s">
        <v>18</v>
      </c>
      <c r="E10274" s="10" t="s">
        <v>777</v>
      </c>
      <c r="F10274" s="9" t="s">
        <v>778</v>
      </c>
      <c r="G10274" s="10" t="s">
        <v>75</v>
      </c>
      <c r="H10274" s="9" t="s">
        <v>22</v>
      </c>
      <c r="I10274" s="9" t="s">
        <v>21439</v>
      </c>
      <c r="J10274" s="10" t="str">
        <f>HYPERLINK("https://www.boe.es/gazeta/dias/1834/10/29/pdfs/GMD-1834-257.pdf#page=4","Abrir facsímil")</f>
        <v>Abrir facsímil</v>
      </c>
      <c r="K10274" s="10" t="s">
        <v>24</v>
      </c>
    </row>
    <row r="10275" spans="1:11" ht="54" customHeight="1">
      <c r="A10275" s="9" t="s">
        <v>21440</v>
      </c>
      <c r="B10275" s="9" t="s">
        <v>21441</v>
      </c>
      <c r="C10275" s="9" t="s">
        <v>17</v>
      </c>
      <c r="D10275" s="9" t="s">
        <v>55</v>
      </c>
      <c r="E10275" s="10" t="s">
        <v>610</v>
      </c>
      <c r="F10275" s="9" t="s">
        <v>1374</v>
      </c>
      <c r="G10275" s="10" t="s">
        <v>75</v>
      </c>
      <c r="H10275" s="9" t="s">
        <v>22</v>
      </c>
      <c r="I10275" s="9" t="s">
        <v>21442</v>
      </c>
      <c r="J10275" s="10" t="str">
        <f>HYPERLINK("https://www.boe.es/gazeta/dias/1834/12/21/pdfs/GMD-1834-311.pdf#page=4","Abrir facsímil")</f>
        <v>Abrir facsímil</v>
      </c>
      <c r="K10275" s="10" t="s">
        <v>24</v>
      </c>
    </row>
    <row r="10276" spans="1:11" ht="54" customHeight="1">
      <c r="A10276" s="9" t="s">
        <v>21443</v>
      </c>
      <c r="B10276" s="9" t="s">
        <v>21444</v>
      </c>
      <c r="C10276" s="9" t="s">
        <v>17</v>
      </c>
      <c r="D10276" s="9" t="s">
        <v>18</v>
      </c>
      <c r="E10276" s="10" t="s">
        <v>3248</v>
      </c>
      <c r="F10276" s="9" t="s">
        <v>3249</v>
      </c>
      <c r="G10276" s="10" t="s">
        <v>75</v>
      </c>
      <c r="H10276" s="9" t="s">
        <v>22</v>
      </c>
      <c r="I10276" s="9" t="s">
        <v>21445</v>
      </c>
      <c r="J10276" s="10" t="str">
        <f>HYPERLINK("https://www.boe.es/gazeta/dias/1834/09/20/pdfs/GMD-1834-218.pdf#page=4","Abrir facsímil")</f>
        <v>Abrir facsímil</v>
      </c>
      <c r="K10276" s="10" t="s">
        <v>24</v>
      </c>
    </row>
    <row r="10277" spans="1:11" ht="54" customHeight="1">
      <c r="A10277" s="9" t="s">
        <v>21446</v>
      </c>
      <c r="B10277" s="9" t="s">
        <v>21447</v>
      </c>
      <c r="C10277" s="9" t="s">
        <v>17</v>
      </c>
      <c r="D10277" s="9" t="s">
        <v>40</v>
      </c>
      <c r="E10277" s="10" t="s">
        <v>506</v>
      </c>
      <c r="F10277" s="9" t="s">
        <v>507</v>
      </c>
      <c r="G10277" s="10" t="s">
        <v>176</v>
      </c>
      <c r="H10277" s="9" t="s">
        <v>22</v>
      </c>
      <c r="I10277" s="9" t="s">
        <v>21448</v>
      </c>
      <c r="J10277" s="10" t="str">
        <f>HYPERLINK("https://www.boe.es/gazeta/dias/1834/03/04/pdfs/GMD-1834-28.pdf#page=6","Abrir facsímil")</f>
        <v>Abrir facsímil</v>
      </c>
      <c r="K10277" s="10" t="s">
        <v>24</v>
      </c>
    </row>
    <row r="10278" spans="1:11" ht="54" customHeight="1">
      <c r="A10278" s="9" t="s">
        <v>21449</v>
      </c>
      <c r="B10278" s="9" t="s">
        <v>21449</v>
      </c>
      <c r="C10278" s="9" t="s">
        <v>90</v>
      </c>
      <c r="D10278" s="9" t="s">
        <v>18</v>
      </c>
      <c r="E10278" s="10" t="s">
        <v>2241</v>
      </c>
      <c r="F10278" s="9" t="s">
        <v>2242</v>
      </c>
      <c r="G10278" s="10" t="s">
        <v>86</v>
      </c>
      <c r="H10278" s="9" t="s">
        <v>22</v>
      </c>
      <c r="I10278" s="9" t="s">
        <v>21450</v>
      </c>
      <c r="J10278" s="10" t="str">
        <f>HYPERLINK("https://www.boe.es/gazeta/dias/1834/03/11/pdfs/GMD-1834-31.pdf#page=2","Abrir facsímil")</f>
        <v>Abrir facsímil</v>
      </c>
      <c r="K10278" s="10" t="s">
        <v>24</v>
      </c>
    </row>
    <row r="10279" spans="1:11" ht="54" customHeight="1">
      <c r="A10279" s="9" t="s">
        <v>21449</v>
      </c>
      <c r="B10279" s="9" t="s">
        <v>21449</v>
      </c>
      <c r="C10279" s="9" t="s">
        <v>17</v>
      </c>
      <c r="D10279" s="9" t="s">
        <v>55</v>
      </c>
      <c r="E10279" s="10" t="s">
        <v>912</v>
      </c>
      <c r="F10279" s="9" t="s">
        <v>913</v>
      </c>
      <c r="G10279" s="10" t="s">
        <v>75</v>
      </c>
      <c r="H10279" s="9" t="s">
        <v>22</v>
      </c>
      <c r="I10279" s="9" t="s">
        <v>21451</v>
      </c>
      <c r="J10279" s="10" t="str">
        <f>HYPERLINK("https://www.boe.es/gazeta/dias/1834/02/15/pdfs/GMD-1834-21.pdf#page=4","Abrir facsímil")</f>
        <v>Abrir facsímil</v>
      </c>
      <c r="K10279" s="10" t="s">
        <v>24</v>
      </c>
    </row>
    <row r="10280" spans="1:11" ht="54" customHeight="1">
      <c r="A10280" s="9" t="s">
        <v>21452</v>
      </c>
      <c r="B10280" s="9" t="s">
        <v>21453</v>
      </c>
      <c r="C10280" s="9" t="s">
        <v>66</v>
      </c>
      <c r="D10280" s="9" t="s">
        <v>67</v>
      </c>
      <c r="E10280" s="10" t="s">
        <v>286</v>
      </c>
      <c r="F10280" s="9" t="s">
        <v>287</v>
      </c>
      <c r="G10280" s="10" t="s">
        <v>21</v>
      </c>
      <c r="H10280" s="9" t="s">
        <v>22</v>
      </c>
      <c r="I10280" s="9" t="s">
        <v>21454</v>
      </c>
      <c r="J10280" s="10" t="str">
        <f>HYPERLINK("https://www.boe.es/gazeta/dias/1834/08/30/pdfs/GMD-D-1834-196.pdf#page=3","Abrir facsímil")</f>
        <v>Abrir facsímil</v>
      </c>
      <c r="K10280" s="10" t="s">
        <v>24</v>
      </c>
    </row>
    <row r="10281" spans="1:11" ht="54" customHeight="1">
      <c r="A10281" s="9" t="s">
        <v>21455</v>
      </c>
      <c r="B10281" s="9" t="s">
        <v>21455</v>
      </c>
      <c r="C10281" s="9" t="s">
        <v>66</v>
      </c>
      <c r="D10281" s="9" t="s">
        <v>67</v>
      </c>
      <c r="E10281" s="10" t="s">
        <v>1273</v>
      </c>
      <c r="F10281" s="9" t="s">
        <v>1274</v>
      </c>
      <c r="G10281" s="10" t="s">
        <v>21</v>
      </c>
      <c r="H10281" s="9" t="s">
        <v>22</v>
      </c>
      <c r="I10281" s="9" t="s">
        <v>21456</v>
      </c>
      <c r="J10281" s="10" t="str">
        <f>HYPERLINK("https://www.boe.es/gazeta/dias/1834/05/14/pdfs/GMD-1834-83.pdf#page=3","Abrir facsímil")</f>
        <v>Abrir facsímil</v>
      </c>
      <c r="K10281" s="10" t="s">
        <v>24</v>
      </c>
    </row>
    <row r="10282" spans="1:11" ht="54" customHeight="1">
      <c r="A10282" s="9" t="s">
        <v>21457</v>
      </c>
      <c r="B10282" s="9" t="s">
        <v>21457</v>
      </c>
      <c r="C10282" s="9" t="s">
        <v>17</v>
      </c>
      <c r="D10282" s="9" t="s">
        <v>18</v>
      </c>
      <c r="E10282" s="10" t="s">
        <v>739</v>
      </c>
      <c r="F10282" s="9" t="s">
        <v>740</v>
      </c>
      <c r="G10282" s="10" t="s">
        <v>75</v>
      </c>
      <c r="H10282" s="9" t="s">
        <v>22</v>
      </c>
      <c r="I10282" s="9" t="s">
        <v>21458</v>
      </c>
      <c r="J10282" s="10" t="str">
        <f>HYPERLINK("https://www.boe.es/gazeta/dias/1834/03/25/pdfs/GMD-1834-37.pdf#page=4","Abrir facsímil")</f>
        <v>Abrir facsímil</v>
      </c>
      <c r="K10282" s="10" t="s">
        <v>24</v>
      </c>
    </row>
    <row r="10283" spans="1:11" ht="54" customHeight="1">
      <c r="A10283" s="9" t="s">
        <v>21459</v>
      </c>
      <c r="B10283" s="9" t="s">
        <v>21459</v>
      </c>
      <c r="C10283" s="9" t="s">
        <v>17</v>
      </c>
      <c r="D10283" s="9" t="s">
        <v>18</v>
      </c>
      <c r="E10283" s="10" t="s">
        <v>939</v>
      </c>
      <c r="F10283" s="9" t="s">
        <v>940</v>
      </c>
      <c r="G10283" s="10" t="s">
        <v>21</v>
      </c>
      <c r="H10283" s="9" t="s">
        <v>22</v>
      </c>
      <c r="I10283" s="9" t="s">
        <v>21460</v>
      </c>
      <c r="J10283" s="10" t="str">
        <f>HYPERLINK("https://www.boe.es/gazeta/dias/1834/06/10/pdfs/GMD-1834-113.pdf#page=3","Abrir facsímil")</f>
        <v>Abrir facsímil</v>
      </c>
      <c r="K10283" s="10" t="s">
        <v>24</v>
      </c>
    </row>
    <row r="10284" spans="1:11" ht="54" customHeight="1">
      <c r="A10284" s="9" t="s">
        <v>21461</v>
      </c>
      <c r="B10284" s="9" t="s">
        <v>21461</v>
      </c>
      <c r="C10284" s="9" t="s">
        <v>46</v>
      </c>
      <c r="D10284" s="9" t="s">
        <v>40</v>
      </c>
      <c r="E10284" s="10" t="s">
        <v>1262</v>
      </c>
      <c r="F10284" s="9" t="s">
        <v>1263</v>
      </c>
      <c r="G10284" s="10" t="s">
        <v>86</v>
      </c>
      <c r="H10284" s="9" t="s">
        <v>22</v>
      </c>
      <c r="I10284" s="9" t="s">
        <v>21462</v>
      </c>
      <c r="J10284" s="10" t="str">
        <f>HYPERLINK("https://www.boe.es/gazeta/dias/1834/02/01/pdfs/GMD-1834-15.pdf#page=2","Abrir facsímil")</f>
        <v>Abrir facsímil</v>
      </c>
      <c r="K10284" s="10" t="s">
        <v>24</v>
      </c>
    </row>
    <row r="10285" spans="1:11" ht="54" customHeight="1">
      <c r="A10285" s="9" t="s">
        <v>21461</v>
      </c>
      <c r="B10285" s="9" t="s">
        <v>21461</v>
      </c>
      <c r="C10285" s="9" t="s">
        <v>17</v>
      </c>
      <c r="D10285" s="9" t="s">
        <v>18</v>
      </c>
      <c r="E10285" s="10" t="s">
        <v>2459</v>
      </c>
      <c r="F10285" s="9" t="s">
        <v>2460</v>
      </c>
      <c r="G10285" s="10" t="s">
        <v>86</v>
      </c>
      <c r="H10285" s="9" t="s">
        <v>22</v>
      </c>
      <c r="I10285" s="9" t="s">
        <v>21463</v>
      </c>
      <c r="J10285" s="10" t="str">
        <f>HYPERLINK("https://www.boe.es/gazeta/dias/1834/04/04/pdfs/GMD-1834-43.pdf#page=2","Abrir facsímil")</f>
        <v>Abrir facsímil</v>
      </c>
      <c r="K10285" s="10" t="s">
        <v>24</v>
      </c>
    </row>
    <row r="10286" spans="1:11" ht="54" customHeight="1">
      <c r="A10286" s="9" t="s">
        <v>21461</v>
      </c>
      <c r="B10286" s="9" t="s">
        <v>21461</v>
      </c>
      <c r="C10286" s="9" t="s">
        <v>17</v>
      </c>
      <c r="D10286" s="9" t="s">
        <v>18</v>
      </c>
      <c r="E10286" s="10" t="s">
        <v>3328</v>
      </c>
      <c r="F10286" s="9" t="s">
        <v>3329</v>
      </c>
      <c r="G10286" s="10" t="s">
        <v>21</v>
      </c>
      <c r="H10286" s="9" t="s">
        <v>22</v>
      </c>
      <c r="I10286" s="9" t="s">
        <v>21464</v>
      </c>
      <c r="J10286" s="10" t="str">
        <f>HYPERLINK("https://www.boe.es/gazeta/dias/1834/06/04/pdfs/GMD-1834-106.pdf#page=3","Abrir facsímil")</f>
        <v>Abrir facsímil</v>
      </c>
      <c r="K10286" s="10" t="s">
        <v>24</v>
      </c>
    </row>
    <row r="10287" spans="1:11" ht="54" customHeight="1">
      <c r="A10287" s="9" t="s">
        <v>21461</v>
      </c>
      <c r="B10287" s="9" t="s">
        <v>21461</v>
      </c>
      <c r="C10287" s="9" t="s">
        <v>17</v>
      </c>
      <c r="D10287" s="9" t="s">
        <v>18</v>
      </c>
      <c r="E10287" s="10" t="s">
        <v>2865</v>
      </c>
      <c r="F10287" s="9" t="s">
        <v>2866</v>
      </c>
      <c r="G10287" s="10" t="s">
        <v>21</v>
      </c>
      <c r="H10287" s="9" t="s">
        <v>22</v>
      </c>
      <c r="I10287" s="9" t="s">
        <v>21465</v>
      </c>
      <c r="J10287" s="10" t="str">
        <f>HYPERLINK("https://www.boe.es/gazeta/dias/1834/07/06/pdfs/GMD-1834-139.pdf#page=3","Abrir facsímil")</f>
        <v>Abrir facsímil</v>
      </c>
      <c r="K10287" s="10" t="s">
        <v>24</v>
      </c>
    </row>
    <row r="10288" spans="1:11" ht="54" customHeight="1">
      <c r="A10288" s="9" t="s">
        <v>21461</v>
      </c>
      <c r="B10288" s="9" t="s">
        <v>21461</v>
      </c>
      <c r="C10288" s="9" t="s">
        <v>122</v>
      </c>
      <c r="D10288" s="9" t="s">
        <v>55</v>
      </c>
      <c r="E10288" s="10" t="s">
        <v>939</v>
      </c>
      <c r="F10288" s="9" t="s">
        <v>940</v>
      </c>
      <c r="G10288" s="10" t="s">
        <v>21</v>
      </c>
      <c r="H10288" s="9" t="s">
        <v>22</v>
      </c>
      <c r="I10288" s="9" t="s">
        <v>21466</v>
      </c>
      <c r="J10288" s="10" t="str">
        <f>HYPERLINK("https://www.boe.es/gazeta/dias/1834/06/10/pdfs/GMD-1834-113.pdf#page=3","Abrir facsímil")</f>
        <v>Abrir facsímil</v>
      </c>
      <c r="K10288" s="10" t="s">
        <v>24</v>
      </c>
    </row>
    <row r="10289" spans="1:11" ht="54" customHeight="1">
      <c r="A10289" s="9" t="s">
        <v>21461</v>
      </c>
      <c r="B10289" s="9" t="s">
        <v>21461</v>
      </c>
      <c r="C10289" s="9" t="s">
        <v>17</v>
      </c>
      <c r="D10289" s="9" t="s">
        <v>18</v>
      </c>
      <c r="E10289" s="10" t="s">
        <v>451</v>
      </c>
      <c r="F10289" s="9" t="s">
        <v>3350</v>
      </c>
      <c r="G10289" s="10" t="s">
        <v>21</v>
      </c>
      <c r="H10289" s="9" t="s">
        <v>22</v>
      </c>
      <c r="I10289" s="9" t="s">
        <v>21467</v>
      </c>
      <c r="J10289" s="10" t="str">
        <f>HYPERLINK("https://www.boe.es/gazeta/dias/1834/10/15/pdfs/GMD-1834-243.pdf#page=3","Abrir facsímil")</f>
        <v>Abrir facsímil</v>
      </c>
      <c r="K10289" s="10" t="s">
        <v>24</v>
      </c>
    </row>
    <row r="10290" spans="1:11" ht="54" customHeight="1">
      <c r="A10290" s="9" t="s">
        <v>21461</v>
      </c>
      <c r="B10290" s="9" t="s">
        <v>21461</v>
      </c>
      <c r="C10290" s="9" t="s">
        <v>66</v>
      </c>
      <c r="D10290" s="9" t="s">
        <v>67</v>
      </c>
      <c r="E10290" s="10" t="s">
        <v>601</v>
      </c>
      <c r="F10290" s="9" t="s">
        <v>602</v>
      </c>
      <c r="G10290" s="10" t="s">
        <v>34</v>
      </c>
      <c r="H10290" s="9" t="s">
        <v>22</v>
      </c>
      <c r="I10290" s="9" t="s">
        <v>21468</v>
      </c>
      <c r="J10290" s="10" t="str">
        <f>HYPERLINK("https://www.boe.es/gazeta/dias/1834/08/16/pdfs/GMD-1834-181.pdf#page=1","Abrir facsímil")</f>
        <v>Abrir facsímil</v>
      </c>
      <c r="K10290" s="10" t="s">
        <v>24</v>
      </c>
    </row>
    <row r="10291" spans="1:11" ht="54" customHeight="1">
      <c r="A10291" s="9" t="s">
        <v>21461</v>
      </c>
      <c r="B10291" s="9" t="s">
        <v>21461</v>
      </c>
      <c r="C10291" s="9" t="s">
        <v>122</v>
      </c>
      <c r="D10291" s="9" t="s">
        <v>18</v>
      </c>
      <c r="E10291" s="10" t="s">
        <v>719</v>
      </c>
      <c r="F10291" s="9" t="s">
        <v>720</v>
      </c>
      <c r="G10291" s="10" t="s">
        <v>86</v>
      </c>
      <c r="H10291" s="9" t="s">
        <v>22</v>
      </c>
      <c r="I10291" s="9" t="s">
        <v>21469</v>
      </c>
      <c r="J10291" s="10" t="str">
        <f>HYPERLINK("https://www.boe.es/gazeta/dias/1834/04/29/pdfs/GMD-1834-68.pdf#page=2","Abrir facsímil")</f>
        <v>Abrir facsímil</v>
      </c>
      <c r="K10291" s="10" t="s">
        <v>24</v>
      </c>
    </row>
    <row r="10292" spans="1:11" ht="54" customHeight="1">
      <c r="A10292" s="9" t="s">
        <v>21470</v>
      </c>
      <c r="B10292" s="9" t="s">
        <v>21470</v>
      </c>
      <c r="C10292" s="9" t="s">
        <v>17</v>
      </c>
      <c r="D10292" s="9" t="s">
        <v>55</v>
      </c>
      <c r="E10292" s="10" t="s">
        <v>91</v>
      </c>
      <c r="F10292" s="9" t="s">
        <v>92</v>
      </c>
      <c r="G10292" s="10" t="s">
        <v>21</v>
      </c>
      <c r="H10292" s="9" t="s">
        <v>22</v>
      </c>
      <c r="I10292" s="9" t="s">
        <v>21471</v>
      </c>
      <c r="J10292" s="10" t="str">
        <f>HYPERLINK("https://www.boe.es/gazeta/dias/1834/02/13/pdfs/GMD-1834-20.pdf#page=3","Abrir facsímil")</f>
        <v>Abrir facsímil</v>
      </c>
      <c r="K10292" s="10" t="s">
        <v>24</v>
      </c>
    </row>
    <row r="10293" spans="1:11" ht="54" customHeight="1">
      <c r="A10293" s="9" t="s">
        <v>21472</v>
      </c>
      <c r="B10293" s="9" t="s">
        <v>21472</v>
      </c>
      <c r="C10293" s="9" t="s">
        <v>17</v>
      </c>
      <c r="D10293" s="9" t="s">
        <v>18</v>
      </c>
      <c r="E10293" s="10" t="s">
        <v>3952</v>
      </c>
      <c r="F10293" s="9" t="s">
        <v>3953</v>
      </c>
      <c r="G10293" s="10" t="s">
        <v>86</v>
      </c>
      <c r="H10293" s="9" t="s">
        <v>22</v>
      </c>
      <c r="I10293" s="9" t="s">
        <v>21473</v>
      </c>
      <c r="J10293" s="10" t="str">
        <f>HYPERLINK("https://www.boe.es/gazeta/dias/1834/02/22/pdfs/GMD-1834-24.pdf#page=2","Abrir facsímil")</f>
        <v>Abrir facsímil</v>
      </c>
      <c r="K10293" s="10" t="s">
        <v>24</v>
      </c>
    </row>
    <row r="10294" spans="1:11" ht="54" customHeight="1">
      <c r="A10294" s="9" t="s">
        <v>21474</v>
      </c>
      <c r="B10294" s="9" t="s">
        <v>21475</v>
      </c>
      <c r="C10294" s="9" t="s">
        <v>857</v>
      </c>
      <c r="D10294" s="9" t="s">
        <v>18</v>
      </c>
      <c r="E10294" s="10" t="s">
        <v>73</v>
      </c>
      <c r="F10294" s="9" t="s">
        <v>74</v>
      </c>
      <c r="G10294" s="10" t="s">
        <v>75</v>
      </c>
      <c r="H10294" s="9" t="s">
        <v>22</v>
      </c>
      <c r="I10294" s="9" t="s">
        <v>21476</v>
      </c>
      <c r="J10294" s="10" t="str">
        <f>HYPERLINK("https://www.boe.es/gazeta/dias/1834/11/04/pdfs/GMD-1834-263.pdf#page=4","Abrir facsímil")</f>
        <v>Abrir facsímil</v>
      </c>
      <c r="K10294" s="10" t="s">
        <v>24</v>
      </c>
    </row>
    <row r="10295" spans="1:11" ht="54" customHeight="1">
      <c r="A10295" s="9" t="s">
        <v>21477</v>
      </c>
      <c r="B10295" s="9" t="s">
        <v>21477</v>
      </c>
      <c r="C10295" s="9" t="s">
        <v>17</v>
      </c>
      <c r="D10295" s="9" t="s">
        <v>18</v>
      </c>
      <c r="E10295" s="10" t="s">
        <v>510</v>
      </c>
      <c r="F10295" s="9" t="s">
        <v>511</v>
      </c>
      <c r="G10295" s="10" t="s">
        <v>21</v>
      </c>
      <c r="H10295" s="9" t="s">
        <v>22</v>
      </c>
      <c r="I10295" s="9" t="s">
        <v>21478</v>
      </c>
      <c r="J10295" s="10" t="str">
        <f>HYPERLINK("https://www.boe.es/gazeta/dias/1834/11/26/pdfs/GMD-1834-285.pdf#page=3","Abrir facsímil")</f>
        <v>Abrir facsímil</v>
      </c>
      <c r="K10295" s="10" t="s">
        <v>24</v>
      </c>
    </row>
    <row r="10296" spans="1:11" ht="54" customHeight="1">
      <c r="A10296" s="9" t="s">
        <v>21479</v>
      </c>
      <c r="B10296" s="9" t="s">
        <v>21480</v>
      </c>
      <c r="C10296" s="9" t="s">
        <v>122</v>
      </c>
      <c r="D10296" s="9" t="s">
        <v>18</v>
      </c>
      <c r="E10296" s="10" t="s">
        <v>2729</v>
      </c>
      <c r="F10296" s="9" t="s">
        <v>2730</v>
      </c>
      <c r="G10296" s="10" t="s">
        <v>34</v>
      </c>
      <c r="H10296" s="9" t="s">
        <v>22</v>
      </c>
      <c r="I10296" s="9" t="s">
        <v>21481</v>
      </c>
      <c r="J10296" s="10" t="str">
        <f>HYPERLINK("https://www.boe.es/gazeta/dias/1834/07/02/pdfs/GMD-1834-135.pdf#page=1","Abrir facsímil")</f>
        <v>Abrir facsímil</v>
      </c>
      <c r="K10296" s="10" t="s">
        <v>24</v>
      </c>
    </row>
    <row r="10297" spans="1:11" ht="54" customHeight="1">
      <c r="A10297" s="9" t="s">
        <v>21482</v>
      </c>
      <c r="B10297" s="9" t="s">
        <v>21483</v>
      </c>
      <c r="C10297" s="9" t="s">
        <v>17</v>
      </c>
      <c r="D10297" s="9" t="s">
        <v>40</v>
      </c>
      <c r="E10297" s="10" t="s">
        <v>262</v>
      </c>
      <c r="F10297" s="9" t="s">
        <v>7012</v>
      </c>
      <c r="G10297" s="10" t="s">
        <v>75</v>
      </c>
      <c r="H10297" s="9" t="s">
        <v>22</v>
      </c>
      <c r="I10297" s="9" t="s">
        <v>21484</v>
      </c>
      <c r="J10297" s="10" t="str">
        <f>HYPERLINK("https://www.boe.es/gazeta/dias/1834/10/18/pdfs/GMD-1834-246.pdf#page=4","Abrir facsímil")</f>
        <v>Abrir facsímil</v>
      </c>
      <c r="K10297" s="10" t="s">
        <v>24</v>
      </c>
    </row>
    <row r="10298" spans="1:11" ht="54" customHeight="1">
      <c r="A10298" s="9" t="s">
        <v>21485</v>
      </c>
      <c r="B10298" s="9" t="s">
        <v>21485</v>
      </c>
      <c r="C10298" s="9" t="s">
        <v>66</v>
      </c>
      <c r="D10298" s="9" t="s">
        <v>67</v>
      </c>
      <c r="E10298" s="10" t="s">
        <v>2091</v>
      </c>
      <c r="F10298" s="9" t="s">
        <v>2092</v>
      </c>
      <c r="G10298" s="10" t="s">
        <v>86</v>
      </c>
      <c r="H10298" s="9" t="s">
        <v>22</v>
      </c>
      <c r="I10298" s="9" t="s">
        <v>21486</v>
      </c>
      <c r="J10298" s="10" t="str">
        <f>HYPERLINK("https://www.boe.es/gazeta/dias/1834/03/08/pdfs/GMD-1834-30.pdf#page=2","Abrir facsímil")</f>
        <v>Abrir facsímil</v>
      </c>
      <c r="K10298" s="10" t="s">
        <v>24</v>
      </c>
    </row>
    <row r="10299" spans="1:11" ht="54" customHeight="1">
      <c r="A10299" s="9" t="s">
        <v>21487</v>
      </c>
      <c r="B10299" s="9" t="s">
        <v>21487</v>
      </c>
      <c r="C10299" s="9" t="s">
        <v>17</v>
      </c>
      <c r="D10299" s="9" t="s">
        <v>18</v>
      </c>
      <c r="E10299" s="10" t="s">
        <v>1262</v>
      </c>
      <c r="F10299" s="9" t="s">
        <v>1263</v>
      </c>
      <c r="G10299" s="10" t="s">
        <v>86</v>
      </c>
      <c r="H10299" s="9" t="s">
        <v>22</v>
      </c>
      <c r="I10299" s="9" t="s">
        <v>21488</v>
      </c>
      <c r="J10299" s="10" t="str">
        <f>HYPERLINK("https://www.boe.es/gazeta/dias/1834/02/01/pdfs/GMD-1834-15.pdf#page=2","Abrir facsímil")</f>
        <v>Abrir facsímil</v>
      </c>
      <c r="K10299" s="10" t="s">
        <v>24</v>
      </c>
    </row>
    <row r="10300" spans="1:11" ht="54" customHeight="1">
      <c r="A10300" s="9" t="s">
        <v>21489</v>
      </c>
      <c r="B10300" s="9" t="s">
        <v>21490</v>
      </c>
      <c r="C10300" s="9" t="s">
        <v>17</v>
      </c>
      <c r="D10300" s="9" t="s">
        <v>18</v>
      </c>
      <c r="E10300" s="10" t="s">
        <v>1262</v>
      </c>
      <c r="F10300" s="9" t="s">
        <v>1263</v>
      </c>
      <c r="G10300" s="10" t="s">
        <v>86</v>
      </c>
      <c r="H10300" s="9" t="s">
        <v>22</v>
      </c>
      <c r="I10300" s="9" t="s">
        <v>21491</v>
      </c>
      <c r="J10300" s="10" t="str">
        <f>HYPERLINK("https://www.boe.es/gazeta/dias/1834/02/01/pdfs/GMD-1834-15.pdf#page=2","Abrir facsímil")</f>
        <v>Abrir facsímil</v>
      </c>
      <c r="K10300" s="10" t="s">
        <v>24</v>
      </c>
    </row>
    <row r="10301" spans="1:11" ht="54" customHeight="1">
      <c r="A10301" s="9" t="s">
        <v>21492</v>
      </c>
      <c r="B10301" s="9" t="s">
        <v>21492</v>
      </c>
      <c r="C10301" s="9" t="s">
        <v>17</v>
      </c>
      <c r="D10301" s="9" t="s">
        <v>18</v>
      </c>
      <c r="E10301" s="10" t="s">
        <v>153</v>
      </c>
      <c r="F10301" s="9" t="s">
        <v>154</v>
      </c>
      <c r="G10301" s="10" t="s">
        <v>34</v>
      </c>
      <c r="H10301" s="9" t="s">
        <v>22</v>
      </c>
      <c r="I10301" s="9" t="s">
        <v>21493</v>
      </c>
      <c r="J10301" s="10" t="str">
        <f>HYPERLINK("https://www.boe.es/gazeta/dias/1834/12/30/pdfs/GMD-C-1834-320.pdf#page=1","Abrir facsímil")</f>
        <v>Abrir facsímil</v>
      </c>
      <c r="K10301" s="10" t="s">
        <v>24</v>
      </c>
    </row>
    <row r="10302" spans="1:11" ht="54" customHeight="1">
      <c r="A10302" s="9" t="s">
        <v>21494</v>
      </c>
      <c r="B10302" s="9" t="s">
        <v>21494</v>
      </c>
      <c r="C10302" s="9" t="s">
        <v>122</v>
      </c>
      <c r="D10302" s="9" t="s">
        <v>55</v>
      </c>
      <c r="E10302" s="10" t="s">
        <v>939</v>
      </c>
      <c r="F10302" s="9" t="s">
        <v>940</v>
      </c>
      <c r="G10302" s="10" t="s">
        <v>21</v>
      </c>
      <c r="H10302" s="9" t="s">
        <v>22</v>
      </c>
      <c r="I10302" s="9" t="s">
        <v>21495</v>
      </c>
      <c r="J10302" s="10" t="str">
        <f>HYPERLINK("https://www.boe.es/gazeta/dias/1834/06/10/pdfs/GMD-1834-113.pdf#page=3","Abrir facsímil")</f>
        <v>Abrir facsímil</v>
      </c>
      <c r="K10302" s="10" t="s">
        <v>24</v>
      </c>
    </row>
    <row r="10303" spans="1:11" ht="54" customHeight="1">
      <c r="A10303" s="9" t="s">
        <v>21494</v>
      </c>
      <c r="B10303" s="9" t="s">
        <v>21494</v>
      </c>
      <c r="C10303" s="9" t="s">
        <v>46</v>
      </c>
      <c r="D10303" s="9" t="s">
        <v>18</v>
      </c>
      <c r="E10303" s="10" t="s">
        <v>3036</v>
      </c>
      <c r="F10303" s="9" t="s">
        <v>3037</v>
      </c>
      <c r="G10303" s="10" t="s">
        <v>75</v>
      </c>
      <c r="H10303" s="9" t="s">
        <v>22</v>
      </c>
      <c r="I10303" s="9" t="s">
        <v>21496</v>
      </c>
      <c r="J10303" s="10" t="str">
        <f>HYPERLINK("https://www.boe.es/gazeta/dias/1834/11/18/pdfs/GMD-C-1834-277.pdf#page=4","Abrir facsímil")</f>
        <v>Abrir facsímil</v>
      </c>
      <c r="K10303" s="10" t="s">
        <v>24</v>
      </c>
    </row>
    <row r="10304" spans="1:11" ht="54" customHeight="1">
      <c r="A10304" s="9" t="s">
        <v>21494</v>
      </c>
      <c r="B10304" s="9" t="s">
        <v>21494</v>
      </c>
      <c r="C10304" s="9" t="s">
        <v>17</v>
      </c>
      <c r="D10304" s="9" t="s">
        <v>18</v>
      </c>
      <c r="E10304" s="10" t="s">
        <v>3036</v>
      </c>
      <c r="F10304" s="9" t="s">
        <v>3037</v>
      </c>
      <c r="G10304" s="10" t="s">
        <v>28</v>
      </c>
      <c r="H10304" s="9" t="s">
        <v>22</v>
      </c>
      <c r="I10304" s="9" t="s">
        <v>21497</v>
      </c>
      <c r="J10304" s="10" t="str">
        <f>HYPERLINK("https://www.boe.es/gazeta/dias/1834/11/18/pdfs/GMD-C-1834-277.pdf#page=5","Abrir facsímil")</f>
        <v>Abrir facsímil</v>
      </c>
      <c r="K10304" s="10" t="s">
        <v>24</v>
      </c>
    </row>
    <row r="10305" spans="1:11" ht="54" customHeight="1">
      <c r="A10305" s="9" t="s">
        <v>21498</v>
      </c>
      <c r="B10305" s="9" t="s">
        <v>21498</v>
      </c>
      <c r="C10305" s="9" t="s">
        <v>66</v>
      </c>
      <c r="D10305" s="9" t="s">
        <v>67</v>
      </c>
      <c r="E10305" s="10" t="s">
        <v>1862</v>
      </c>
      <c r="F10305" s="9" t="s">
        <v>1863</v>
      </c>
      <c r="G10305" s="10" t="s">
        <v>86</v>
      </c>
      <c r="H10305" s="9" t="s">
        <v>22</v>
      </c>
      <c r="I10305" s="9" t="s">
        <v>21499</v>
      </c>
      <c r="J10305" s="10" t="str">
        <f>HYPERLINK("https://www.boe.es/gazeta/dias/1834/02/04/pdfs/GMD-1834-16.pdf#page=2","Abrir facsímil")</f>
        <v>Abrir facsímil</v>
      </c>
      <c r="K10305" s="10" t="s">
        <v>24</v>
      </c>
    </row>
    <row r="10306" spans="1:11" ht="54" customHeight="1">
      <c r="A10306" s="9" t="s">
        <v>21498</v>
      </c>
      <c r="B10306" s="9" t="s">
        <v>21498</v>
      </c>
      <c r="C10306" s="9" t="s">
        <v>17</v>
      </c>
      <c r="D10306" s="9" t="s">
        <v>55</v>
      </c>
      <c r="E10306" s="10" t="s">
        <v>3810</v>
      </c>
      <c r="F10306" s="9" t="s">
        <v>3811</v>
      </c>
      <c r="G10306" s="10" t="s">
        <v>86</v>
      </c>
      <c r="H10306" s="9" t="s">
        <v>22</v>
      </c>
      <c r="I10306" s="9" t="s">
        <v>21500</v>
      </c>
      <c r="J10306" s="10" t="str">
        <f>HYPERLINK("https://www.boe.es/gazeta/dias/1834/02/20/pdfs/GMD-1834-23.pdf#page=2","Abrir facsímil")</f>
        <v>Abrir facsímil</v>
      </c>
      <c r="K10306" s="10" t="s">
        <v>24</v>
      </c>
    </row>
    <row r="10307" spans="1:11" ht="54" customHeight="1">
      <c r="A10307" s="9" t="s">
        <v>21498</v>
      </c>
      <c r="B10307" s="9" t="s">
        <v>21498</v>
      </c>
      <c r="C10307" s="9" t="s">
        <v>46</v>
      </c>
      <c r="D10307" s="9" t="s">
        <v>55</v>
      </c>
      <c r="E10307" s="10" t="s">
        <v>3499</v>
      </c>
      <c r="F10307" s="9" t="s">
        <v>3500</v>
      </c>
      <c r="G10307" s="10" t="s">
        <v>86</v>
      </c>
      <c r="H10307" s="9" t="s">
        <v>22</v>
      </c>
      <c r="I10307" s="9" t="s">
        <v>21501</v>
      </c>
      <c r="J10307" s="10" t="str">
        <f>HYPERLINK("https://www.boe.es/gazeta/dias/1834/01/28/pdfs/GMD-1834-13.pdf#page=2","Abrir facsímil")</f>
        <v>Abrir facsímil</v>
      </c>
      <c r="K10307" s="10" t="s">
        <v>24</v>
      </c>
    </row>
    <row r="10308" spans="1:11" ht="54" customHeight="1">
      <c r="A10308" s="9" t="s">
        <v>21502</v>
      </c>
      <c r="B10308" s="9" t="s">
        <v>21502</v>
      </c>
      <c r="C10308" s="9" t="s">
        <v>46</v>
      </c>
      <c r="D10308" s="9" t="s">
        <v>55</v>
      </c>
      <c r="E10308" s="10" t="s">
        <v>1002</v>
      </c>
      <c r="F10308" s="9" t="s">
        <v>1003</v>
      </c>
      <c r="G10308" s="10" t="s">
        <v>86</v>
      </c>
      <c r="H10308" s="9" t="s">
        <v>22</v>
      </c>
      <c r="I10308" s="9" t="s">
        <v>21503</v>
      </c>
      <c r="J10308" s="10" t="str">
        <f>HYPERLINK("https://www.boe.es/gazeta/dias/1834/06/26/pdfs/GMD-1834-129.pdf#page=2","Abrir facsímil")</f>
        <v>Abrir facsímil</v>
      </c>
      <c r="K10308" s="10" t="s">
        <v>24</v>
      </c>
    </row>
    <row r="10309" spans="1:11" ht="54" customHeight="1">
      <c r="A10309" s="9" t="s">
        <v>21504</v>
      </c>
      <c r="B10309" s="9" t="s">
        <v>21504</v>
      </c>
      <c r="C10309" s="9" t="s">
        <v>17</v>
      </c>
      <c r="D10309" s="9" t="s">
        <v>40</v>
      </c>
      <c r="E10309" s="10" t="s">
        <v>753</v>
      </c>
      <c r="F10309" s="9" t="s">
        <v>754</v>
      </c>
      <c r="G10309" s="10" t="s">
        <v>176</v>
      </c>
      <c r="H10309" s="9" t="s">
        <v>22</v>
      </c>
      <c r="I10309" s="9" t="s">
        <v>21505</v>
      </c>
      <c r="J10309" s="10" t="str">
        <f>HYPERLINK("https://www.boe.es/gazeta/dias/1834/04/21/pdfs/GMD-1834-60.pdf#page=6","Abrir facsímil")</f>
        <v>Abrir facsímil</v>
      </c>
      <c r="K10309" s="10" t="s">
        <v>24</v>
      </c>
    </row>
    <row r="10310" spans="1:11" ht="54" customHeight="1">
      <c r="A10310" s="9" t="s">
        <v>21506</v>
      </c>
      <c r="B10310" s="9" t="s">
        <v>21506</v>
      </c>
      <c r="C10310" s="9" t="s">
        <v>66</v>
      </c>
      <c r="D10310" s="9" t="s">
        <v>67</v>
      </c>
      <c r="E10310" s="10" t="s">
        <v>2278</v>
      </c>
      <c r="F10310" s="9" t="s">
        <v>3088</v>
      </c>
      <c r="G10310" s="10" t="s">
        <v>75</v>
      </c>
      <c r="H10310" s="9" t="s">
        <v>22</v>
      </c>
      <c r="I10310" s="9" t="s">
        <v>21507</v>
      </c>
      <c r="J10310" s="10" t="str">
        <f>HYPERLINK("https://www.boe.es/gazeta/dias/1834/12/17/pdfs/GMD-1834-306.pdf#page=4","Abrir facsímil")</f>
        <v>Abrir facsímil</v>
      </c>
      <c r="K10310" s="10" t="s">
        <v>24</v>
      </c>
    </row>
    <row r="10311" spans="1:11" ht="54" customHeight="1">
      <c r="A10311" s="9" t="s">
        <v>21508</v>
      </c>
      <c r="B10311" s="9" t="s">
        <v>21509</v>
      </c>
      <c r="C10311" s="9" t="s">
        <v>17</v>
      </c>
      <c r="D10311" s="9" t="s">
        <v>18</v>
      </c>
      <c r="E10311" s="10" t="s">
        <v>138</v>
      </c>
      <c r="F10311" s="9" t="s">
        <v>139</v>
      </c>
      <c r="G10311" s="10" t="s">
        <v>75</v>
      </c>
      <c r="H10311" s="9" t="s">
        <v>22</v>
      </c>
      <c r="I10311" s="9" t="s">
        <v>21510</v>
      </c>
      <c r="J10311" s="10" t="str">
        <f>HYPERLINK("https://www.boe.es/gazeta/dias/1834/05/17/pdfs/GMD-1834-86.pdf#page=4","Abrir facsímil")</f>
        <v>Abrir facsímil</v>
      </c>
      <c r="K10311" s="10" t="s">
        <v>24</v>
      </c>
    </row>
    <row r="10312" spans="1:11" ht="54" customHeight="1">
      <c r="A10312" s="9" t="s">
        <v>21511</v>
      </c>
      <c r="B10312" s="9" t="s">
        <v>21511</v>
      </c>
      <c r="C10312" s="9" t="s">
        <v>66</v>
      </c>
      <c r="D10312" s="9" t="s">
        <v>67</v>
      </c>
      <c r="E10312" s="10" t="s">
        <v>3054</v>
      </c>
      <c r="F10312" s="9" t="s">
        <v>3055</v>
      </c>
      <c r="G10312" s="10" t="s">
        <v>86</v>
      </c>
      <c r="H10312" s="9" t="s">
        <v>22</v>
      </c>
      <c r="I10312" s="9" t="s">
        <v>21512</v>
      </c>
      <c r="J10312" s="10" t="str">
        <f>HYPERLINK("https://www.boe.es/gazeta/dias/1834/10/06/pdfs/GMD-1834-234.pdf#page=2","Abrir facsímil")</f>
        <v>Abrir facsímil</v>
      </c>
      <c r="K10312" s="10" t="s">
        <v>24</v>
      </c>
    </row>
    <row r="10313" spans="1:11" ht="54" customHeight="1">
      <c r="A10313" s="9" t="s">
        <v>21513</v>
      </c>
      <c r="B10313" s="9" t="s">
        <v>21513</v>
      </c>
      <c r="C10313" s="9" t="s">
        <v>17</v>
      </c>
      <c r="D10313" s="9" t="s">
        <v>55</v>
      </c>
      <c r="E10313" s="10" t="s">
        <v>429</v>
      </c>
      <c r="F10313" s="9" t="s">
        <v>3421</v>
      </c>
      <c r="G10313" s="10" t="s">
        <v>21</v>
      </c>
      <c r="H10313" s="9" t="s">
        <v>22</v>
      </c>
      <c r="I10313" s="9" t="s">
        <v>21514</v>
      </c>
      <c r="J10313" s="10" t="str">
        <f>HYPERLINK("https://www.boe.es/gazeta/dias/1834/08/07/pdfs/GMD-1834-172.pdf#page=3","Abrir facsímil")</f>
        <v>Abrir facsímil</v>
      </c>
      <c r="K10313" s="10" t="s">
        <v>24</v>
      </c>
    </row>
    <row r="10314" spans="1:11" ht="54" customHeight="1">
      <c r="A10314" s="9" t="s">
        <v>21515</v>
      </c>
      <c r="B10314" s="9" t="s">
        <v>21515</v>
      </c>
      <c r="C10314" s="9" t="s">
        <v>17</v>
      </c>
      <c r="D10314" s="9" t="s">
        <v>18</v>
      </c>
      <c r="E10314" s="10" t="s">
        <v>1686</v>
      </c>
      <c r="F10314" s="9" t="s">
        <v>1687</v>
      </c>
      <c r="G10314" s="10" t="s">
        <v>86</v>
      </c>
      <c r="H10314" s="9" t="s">
        <v>22</v>
      </c>
      <c r="I10314" s="9" t="s">
        <v>21516</v>
      </c>
      <c r="J10314" s="10" t="str">
        <f>HYPERLINK("https://www.boe.es/gazeta/dias/1834/07/27/pdfs/GMD-1834-160.pdf#page=2","Abrir facsímil")</f>
        <v>Abrir facsímil</v>
      </c>
      <c r="K10314" s="10" t="s">
        <v>24</v>
      </c>
    </row>
    <row r="10315" spans="1:11" ht="54" customHeight="1">
      <c r="A10315" s="9" t="s">
        <v>21517</v>
      </c>
      <c r="B10315" s="9" t="s">
        <v>21517</v>
      </c>
      <c r="C10315" s="9" t="s">
        <v>66</v>
      </c>
      <c r="D10315" s="9" t="s">
        <v>67</v>
      </c>
      <c r="E10315" s="10" t="s">
        <v>1323</v>
      </c>
      <c r="F10315" s="9" t="s">
        <v>1324</v>
      </c>
      <c r="G10315" s="10" t="s">
        <v>86</v>
      </c>
      <c r="H10315" s="9" t="s">
        <v>22</v>
      </c>
      <c r="I10315" s="9" t="s">
        <v>21518</v>
      </c>
      <c r="J10315" s="10" t="str">
        <f>HYPERLINK("https://www.boe.es/gazeta/dias/1834/05/22/pdfs/GMD-1834-91.pdf#page=2","Abrir facsímil")</f>
        <v>Abrir facsímil</v>
      </c>
      <c r="K10315" s="10" t="s">
        <v>24</v>
      </c>
    </row>
    <row r="10316" spans="1:11" ht="54" customHeight="1">
      <c r="A10316" s="9" t="s">
        <v>21519</v>
      </c>
      <c r="B10316" s="9" t="s">
        <v>21520</v>
      </c>
      <c r="C10316" s="9" t="s">
        <v>66</v>
      </c>
      <c r="D10316" s="9" t="s">
        <v>18</v>
      </c>
      <c r="E10316" s="10" t="s">
        <v>606</v>
      </c>
      <c r="F10316" s="9" t="s">
        <v>607</v>
      </c>
      <c r="G10316" s="10" t="s">
        <v>21</v>
      </c>
      <c r="H10316" s="9" t="s">
        <v>22</v>
      </c>
      <c r="I10316" s="9" t="s">
        <v>21521</v>
      </c>
      <c r="J10316" s="10" t="str">
        <f>HYPERLINK("https://www.boe.es/gazeta/dias/1834/06/23/pdfs/GMD-1834-126.pdf#page=3","Abrir facsímil")</f>
        <v>Abrir facsímil</v>
      </c>
      <c r="K10316" s="10" t="s">
        <v>24</v>
      </c>
    </row>
    <row r="10317" spans="1:11" ht="54" customHeight="1">
      <c r="A10317" s="9" t="s">
        <v>21522</v>
      </c>
      <c r="B10317" s="9" t="s">
        <v>21523</v>
      </c>
      <c r="C10317" s="9" t="s">
        <v>66</v>
      </c>
      <c r="D10317" s="9" t="s">
        <v>18</v>
      </c>
      <c r="E10317" s="10" t="s">
        <v>606</v>
      </c>
      <c r="F10317" s="9" t="s">
        <v>607</v>
      </c>
      <c r="G10317" s="10" t="s">
        <v>21</v>
      </c>
      <c r="H10317" s="9" t="s">
        <v>35</v>
      </c>
      <c r="I10317" s="9" t="s">
        <v>21524</v>
      </c>
      <c r="J10317" s="10" t="str">
        <f>HYPERLINK("https://www.boe.es/gazeta/dias/1834/06/23/pdfs/GMD-1834-126.pdf#page=3","Abrir facsímil")</f>
        <v>Abrir facsímil</v>
      </c>
      <c r="K10317" s="10" t="s">
        <v>37</v>
      </c>
    </row>
    <row r="10318" spans="1:11" ht="54" customHeight="1">
      <c r="A10318" s="9" t="s">
        <v>21525</v>
      </c>
      <c r="B10318" s="9" t="s">
        <v>21525</v>
      </c>
      <c r="C10318" s="9" t="s">
        <v>17</v>
      </c>
      <c r="D10318" s="9" t="s">
        <v>18</v>
      </c>
      <c r="E10318" s="10" t="s">
        <v>1262</v>
      </c>
      <c r="F10318" s="9" t="s">
        <v>1263</v>
      </c>
      <c r="G10318" s="10" t="s">
        <v>86</v>
      </c>
      <c r="H10318" s="9" t="s">
        <v>22</v>
      </c>
      <c r="I10318" s="9" t="s">
        <v>21526</v>
      </c>
      <c r="J10318" s="10" t="str">
        <f>HYPERLINK("https://www.boe.es/gazeta/dias/1834/02/01/pdfs/GMD-1834-15.pdf#page=2","Abrir facsímil")</f>
        <v>Abrir facsímil</v>
      </c>
      <c r="K10318" s="10" t="s">
        <v>24</v>
      </c>
    </row>
    <row r="10319" spans="1:11" ht="54" customHeight="1">
      <c r="A10319" s="9" t="s">
        <v>21525</v>
      </c>
      <c r="B10319" s="9" t="s">
        <v>21525</v>
      </c>
      <c r="C10319" s="9" t="s">
        <v>66</v>
      </c>
      <c r="D10319" s="9" t="s">
        <v>67</v>
      </c>
      <c r="E10319" s="10" t="s">
        <v>506</v>
      </c>
      <c r="F10319" s="9" t="s">
        <v>507</v>
      </c>
      <c r="G10319" s="10" t="s">
        <v>75</v>
      </c>
      <c r="H10319" s="9" t="s">
        <v>22</v>
      </c>
      <c r="I10319" s="9" t="s">
        <v>21527</v>
      </c>
      <c r="J10319" s="10" t="str">
        <f>HYPERLINK("https://www.boe.es/gazeta/dias/1834/03/04/pdfs/GMD-1834-28.pdf#page=4","Abrir facsímil")</f>
        <v>Abrir facsímil</v>
      </c>
      <c r="K10319" s="10" t="s">
        <v>24</v>
      </c>
    </row>
    <row r="10320" spans="1:11" ht="54" customHeight="1">
      <c r="A10320" s="9" t="s">
        <v>21525</v>
      </c>
      <c r="B10320" s="9" t="s">
        <v>21525</v>
      </c>
      <c r="C10320" s="9" t="s">
        <v>17</v>
      </c>
      <c r="D10320" s="9" t="s">
        <v>55</v>
      </c>
      <c r="E10320" s="10" t="s">
        <v>3699</v>
      </c>
      <c r="F10320" s="9" t="s">
        <v>3700</v>
      </c>
      <c r="G10320" s="10" t="s">
        <v>86</v>
      </c>
      <c r="H10320" s="9" t="s">
        <v>22</v>
      </c>
      <c r="I10320" s="9" t="s">
        <v>21528</v>
      </c>
      <c r="J10320" s="10" t="str">
        <f>HYPERLINK("https://www.boe.es/gazeta/dias/1834/02/06/pdfs/GMD-1834-17.pdf#page=2","Abrir facsímil")</f>
        <v>Abrir facsímil</v>
      </c>
      <c r="K10320" s="10" t="s">
        <v>24</v>
      </c>
    </row>
    <row r="10321" spans="1:11" ht="54" customHeight="1">
      <c r="A10321" s="9" t="s">
        <v>21525</v>
      </c>
      <c r="B10321" s="9" t="s">
        <v>21525</v>
      </c>
      <c r="C10321" s="9" t="s">
        <v>46</v>
      </c>
      <c r="D10321" s="9" t="s">
        <v>18</v>
      </c>
      <c r="E10321" s="10" t="s">
        <v>91</v>
      </c>
      <c r="F10321" s="9" t="s">
        <v>92</v>
      </c>
      <c r="G10321" s="10" t="s">
        <v>21</v>
      </c>
      <c r="H10321" s="9" t="s">
        <v>22</v>
      </c>
      <c r="I10321" s="9" t="s">
        <v>21529</v>
      </c>
      <c r="J10321" s="10" t="str">
        <f>HYPERLINK("https://www.boe.es/gazeta/dias/1834/02/13/pdfs/GMD-1834-20.pdf#page=3","Abrir facsímil")</f>
        <v>Abrir facsímil</v>
      </c>
      <c r="K10321" s="10" t="s">
        <v>24</v>
      </c>
    </row>
    <row r="10322" spans="1:11" ht="54" customHeight="1">
      <c r="A10322" s="9" t="s">
        <v>21530</v>
      </c>
      <c r="B10322" s="9" t="s">
        <v>21530</v>
      </c>
      <c r="C10322" s="9" t="s">
        <v>17</v>
      </c>
      <c r="D10322" s="9" t="s">
        <v>18</v>
      </c>
      <c r="E10322" s="10" t="s">
        <v>576</v>
      </c>
      <c r="F10322" s="9" t="s">
        <v>577</v>
      </c>
      <c r="G10322" s="10" t="s">
        <v>34</v>
      </c>
      <c r="H10322" s="9" t="s">
        <v>22</v>
      </c>
      <c r="I10322" s="9" t="s">
        <v>21531</v>
      </c>
      <c r="J10322" s="10" t="str">
        <f>HYPERLINK("https://www.boe.es/gazeta/dias/1834/09/23/pdfs/GMD-1834-221.pdf#page=1","Abrir facsímil")</f>
        <v>Abrir facsímil</v>
      </c>
      <c r="K10322" s="10" t="s">
        <v>24</v>
      </c>
    </row>
    <row r="10323" spans="1:11" ht="54" customHeight="1">
      <c r="A10323" s="9" t="s">
        <v>21532</v>
      </c>
      <c r="B10323" s="9" t="s">
        <v>21533</v>
      </c>
      <c r="C10323" s="9" t="s">
        <v>17</v>
      </c>
      <c r="D10323" s="9" t="s">
        <v>18</v>
      </c>
      <c r="E10323" s="10" t="s">
        <v>96</v>
      </c>
      <c r="F10323" s="9" t="s">
        <v>1725</v>
      </c>
      <c r="G10323" s="10" t="s">
        <v>75</v>
      </c>
      <c r="H10323" s="9" t="s">
        <v>22</v>
      </c>
      <c r="I10323" s="9" t="s">
        <v>21534</v>
      </c>
      <c r="J10323" s="10" t="str">
        <f>HYPERLINK("https://www.boe.es/gazeta/dias/1834/11/11/pdfs/GMD-1834-270.pdf#page=4","Abrir facsímil")</f>
        <v>Abrir facsímil</v>
      </c>
      <c r="K10323" s="10" t="s">
        <v>24</v>
      </c>
    </row>
    <row r="10324" spans="1:11" ht="54" customHeight="1">
      <c r="A10324" s="9" t="s">
        <v>21535</v>
      </c>
      <c r="B10324" s="9" t="s">
        <v>21535</v>
      </c>
      <c r="C10324" s="9" t="s">
        <v>17</v>
      </c>
      <c r="D10324" s="9" t="s">
        <v>18</v>
      </c>
      <c r="E10324" s="10" t="s">
        <v>739</v>
      </c>
      <c r="F10324" s="9" t="s">
        <v>740</v>
      </c>
      <c r="G10324" s="10" t="s">
        <v>21</v>
      </c>
      <c r="H10324" s="9" t="s">
        <v>22</v>
      </c>
      <c r="I10324" s="9" t="s">
        <v>21536</v>
      </c>
      <c r="J10324" s="10" t="str">
        <f>HYPERLINK("https://www.boe.es/gazeta/dias/1834/03/25/pdfs/GMD-1834-37.pdf#page=3","Abrir facsímil")</f>
        <v>Abrir facsímil</v>
      </c>
      <c r="K10324" s="10" t="s">
        <v>24</v>
      </c>
    </row>
    <row r="10325" spans="1:11" ht="54" customHeight="1">
      <c r="A10325" s="9" t="s">
        <v>21537</v>
      </c>
      <c r="B10325" s="9" t="s">
        <v>21538</v>
      </c>
      <c r="C10325" s="9" t="s">
        <v>46</v>
      </c>
      <c r="D10325" s="9" t="s">
        <v>101</v>
      </c>
      <c r="E10325" s="10" t="s">
        <v>2241</v>
      </c>
      <c r="F10325" s="9" t="s">
        <v>2242</v>
      </c>
      <c r="G10325" s="10" t="s">
        <v>34</v>
      </c>
      <c r="H10325" s="9" t="s">
        <v>22</v>
      </c>
      <c r="I10325" s="9" t="s">
        <v>21539</v>
      </c>
      <c r="J10325" s="10" t="str">
        <f>HYPERLINK("https://www.boe.es/gazeta/dias/1834/03/11/pdfs/GMD-1834-31.pdf#page=1","Abrir facsímil")</f>
        <v>Abrir facsímil</v>
      </c>
      <c r="K10325" s="10" t="s">
        <v>24</v>
      </c>
    </row>
    <row r="10326" spans="1:11" ht="54" customHeight="1">
      <c r="A10326" s="9" t="s">
        <v>21540</v>
      </c>
      <c r="B10326" s="9" t="s">
        <v>21540</v>
      </c>
      <c r="C10326" s="9" t="s">
        <v>17</v>
      </c>
      <c r="D10326" s="9" t="s">
        <v>18</v>
      </c>
      <c r="E10326" s="10" t="s">
        <v>860</v>
      </c>
      <c r="F10326" s="9" t="s">
        <v>861</v>
      </c>
      <c r="G10326" s="10" t="s">
        <v>21</v>
      </c>
      <c r="H10326" s="9" t="s">
        <v>22</v>
      </c>
      <c r="I10326" s="9" t="s">
        <v>21541</v>
      </c>
      <c r="J10326" s="10" t="str">
        <f>HYPERLINK("https://www.boe.es/gazeta/dias/1834/02/08/pdfs/GMD-1834-18.pdf#page=3","Abrir facsímil")</f>
        <v>Abrir facsímil</v>
      </c>
      <c r="K10326" s="10" t="s">
        <v>24</v>
      </c>
    </row>
    <row r="10327" spans="1:11" ht="54" customHeight="1">
      <c r="A10327" s="9" t="s">
        <v>21542</v>
      </c>
      <c r="B10327" s="9" t="s">
        <v>21542</v>
      </c>
      <c r="C10327" s="9" t="s">
        <v>17</v>
      </c>
      <c r="D10327" s="9" t="s">
        <v>18</v>
      </c>
      <c r="E10327" s="10" t="s">
        <v>1973</v>
      </c>
      <c r="F10327" s="9" t="s">
        <v>1974</v>
      </c>
      <c r="G10327" s="10" t="s">
        <v>34</v>
      </c>
      <c r="H10327" s="9" t="s">
        <v>22</v>
      </c>
      <c r="I10327" s="9" t="s">
        <v>21543</v>
      </c>
      <c r="J10327" s="10" t="str">
        <f>HYPERLINK("https://www.boe.es/gazeta/dias/1834/12/20/pdfs/GMD-C-1834-310.pdf#page=1","Abrir facsímil")</f>
        <v>Abrir facsímil</v>
      </c>
      <c r="K10327" s="10" t="s">
        <v>24</v>
      </c>
    </row>
    <row r="10328" spans="1:11" ht="54" customHeight="1">
      <c r="A10328" s="9" t="s">
        <v>21544</v>
      </c>
      <c r="B10328" s="9" t="s">
        <v>21545</v>
      </c>
      <c r="C10328" s="9" t="s">
        <v>66</v>
      </c>
      <c r="D10328" s="9" t="s">
        <v>67</v>
      </c>
      <c r="E10328" s="10" t="s">
        <v>2107</v>
      </c>
      <c r="F10328" s="9" t="s">
        <v>2108</v>
      </c>
      <c r="G10328" s="10" t="s">
        <v>75</v>
      </c>
      <c r="H10328" s="9" t="s">
        <v>22</v>
      </c>
      <c r="I10328" s="9" t="s">
        <v>21546</v>
      </c>
      <c r="J10328" s="10" t="str">
        <f>HYPERLINK("https://www.boe.es/gazeta/dias/1834/08/24/pdfs/GMD-1834-190.pdf#page=4","Abrir facsímil")</f>
        <v>Abrir facsímil</v>
      </c>
      <c r="K10328" s="10" t="s">
        <v>24</v>
      </c>
    </row>
    <row r="10329" spans="1:11" ht="54" customHeight="1">
      <c r="A10329" s="9" t="s">
        <v>21547</v>
      </c>
      <c r="B10329" s="9" t="s">
        <v>21548</v>
      </c>
      <c r="C10329" s="9" t="s">
        <v>17</v>
      </c>
      <c r="D10329" s="9" t="s">
        <v>18</v>
      </c>
      <c r="E10329" s="10" t="s">
        <v>2048</v>
      </c>
      <c r="F10329" s="9" t="s">
        <v>2049</v>
      </c>
      <c r="G10329" s="10" t="s">
        <v>75</v>
      </c>
      <c r="H10329" s="9" t="s">
        <v>35</v>
      </c>
      <c r="I10329" s="9" t="s">
        <v>21549</v>
      </c>
      <c r="J10329" s="10" t="str">
        <f>HYPERLINK("https://www.boe.es/gazeta/dias/1834/05/12/pdfs/GMD-1834-81.pdf#page=4","Abrir facsímil")</f>
        <v>Abrir facsímil</v>
      </c>
      <c r="K10329" s="10" t="s">
        <v>37</v>
      </c>
    </row>
    <row r="10330" spans="1:11" ht="54" customHeight="1">
      <c r="A10330" s="9" t="s">
        <v>21550</v>
      </c>
      <c r="B10330" s="9" t="s">
        <v>21551</v>
      </c>
      <c r="C10330" s="9" t="s">
        <v>17</v>
      </c>
      <c r="D10330" s="9" t="s">
        <v>18</v>
      </c>
      <c r="E10330" s="10" t="s">
        <v>2048</v>
      </c>
      <c r="F10330" s="9" t="s">
        <v>2049</v>
      </c>
      <c r="G10330" s="10" t="s">
        <v>75</v>
      </c>
      <c r="H10330" s="9" t="s">
        <v>22</v>
      </c>
      <c r="I10330" s="9" t="s">
        <v>21552</v>
      </c>
      <c r="J10330" s="10" t="str">
        <f>HYPERLINK("https://www.boe.es/gazeta/dias/1834/05/12/pdfs/GMD-1834-81.pdf#page=4","Abrir facsímil")</f>
        <v>Abrir facsímil</v>
      </c>
      <c r="K10330" s="10" t="s">
        <v>24</v>
      </c>
    </row>
    <row r="10331" spans="1:11" ht="54" customHeight="1">
      <c r="A10331" s="9" t="s">
        <v>21553</v>
      </c>
      <c r="B10331" s="9" t="s">
        <v>21553</v>
      </c>
      <c r="C10331" s="9" t="s">
        <v>90</v>
      </c>
      <c r="D10331" s="9" t="s">
        <v>18</v>
      </c>
      <c r="E10331" s="10" t="s">
        <v>891</v>
      </c>
      <c r="F10331" s="9" t="s">
        <v>892</v>
      </c>
      <c r="G10331" s="10" t="s">
        <v>34</v>
      </c>
      <c r="H10331" s="9" t="s">
        <v>22</v>
      </c>
      <c r="I10331" s="9" t="s">
        <v>21554</v>
      </c>
      <c r="J10331" s="10" t="str">
        <f>HYPERLINK("https://www.boe.es/gazeta/dias/1834/10/31/pdfs/GMD-C-1834-259.pdf#page=1","Abrir facsímil")</f>
        <v>Abrir facsímil</v>
      </c>
      <c r="K10331" s="10" t="s">
        <v>24</v>
      </c>
    </row>
    <row r="10332" spans="1:11" ht="54" customHeight="1">
      <c r="A10332" s="9" t="s">
        <v>21555</v>
      </c>
      <c r="B10332" s="9" t="s">
        <v>21556</v>
      </c>
      <c r="C10332" s="9" t="s">
        <v>66</v>
      </c>
      <c r="D10332" s="9" t="s">
        <v>67</v>
      </c>
      <c r="E10332" s="10" t="s">
        <v>360</v>
      </c>
      <c r="F10332" s="9" t="s">
        <v>361</v>
      </c>
      <c r="G10332" s="10" t="s">
        <v>34</v>
      </c>
      <c r="H10332" s="9" t="s">
        <v>22</v>
      </c>
      <c r="I10332" s="9" t="s">
        <v>21557</v>
      </c>
      <c r="J10332" s="10" t="str">
        <f>HYPERLINK("https://www.boe.es/gazeta/dias/1834/04/07/pdfs/GMD-1834-46.pdf#page=1","Abrir facsímil")</f>
        <v>Abrir facsímil</v>
      </c>
      <c r="K10332" s="10" t="s">
        <v>24</v>
      </c>
    </row>
    <row r="10333" spans="1:11" ht="54" customHeight="1">
      <c r="A10333" s="9" t="s">
        <v>21558</v>
      </c>
      <c r="B10333" s="9" t="s">
        <v>21558</v>
      </c>
      <c r="C10333" s="9" t="s">
        <v>17</v>
      </c>
      <c r="D10333" s="9" t="s">
        <v>18</v>
      </c>
      <c r="E10333" s="10" t="s">
        <v>394</v>
      </c>
      <c r="F10333" s="9" t="s">
        <v>459</v>
      </c>
      <c r="G10333" s="10" t="s">
        <v>86</v>
      </c>
      <c r="H10333" s="9" t="s">
        <v>22</v>
      </c>
      <c r="I10333" s="9" t="s">
        <v>21559</v>
      </c>
      <c r="J10333" s="10" t="str">
        <f>HYPERLINK("https://www.boe.es/gazeta/dias/1834/12/23/pdfs/GMD-C-1834-313.pdf#page=2","Abrir facsímil")</f>
        <v>Abrir facsímil</v>
      </c>
      <c r="K10333" s="10" t="s">
        <v>24</v>
      </c>
    </row>
    <row r="10334" spans="1:11" ht="54" customHeight="1">
      <c r="A10334" s="9" t="s">
        <v>21560</v>
      </c>
      <c r="B10334" s="9" t="s">
        <v>21561</v>
      </c>
      <c r="C10334" s="9" t="s">
        <v>66</v>
      </c>
      <c r="D10334" s="9" t="s">
        <v>18</v>
      </c>
      <c r="E10334" s="10" t="s">
        <v>1297</v>
      </c>
      <c r="F10334" s="9" t="s">
        <v>1879</v>
      </c>
      <c r="G10334" s="10" t="s">
        <v>34</v>
      </c>
      <c r="H10334" s="9" t="s">
        <v>22</v>
      </c>
      <c r="I10334" s="9" t="s">
        <v>21562</v>
      </c>
      <c r="J10334" s="10" t="str">
        <f>HYPERLINK("https://www.boe.es/gazeta/dias/1834/08/01/pdfs/GMD-D-1834-165.pdf#page=1","Abrir facsímil")</f>
        <v>Abrir facsímil</v>
      </c>
      <c r="K10334" s="10" t="s">
        <v>24</v>
      </c>
    </row>
    <row r="10335" spans="1:11" ht="54" customHeight="1">
      <c r="A10335" s="9" t="s">
        <v>21560</v>
      </c>
      <c r="B10335" s="9" t="s">
        <v>21561</v>
      </c>
      <c r="C10335" s="9" t="s">
        <v>17</v>
      </c>
      <c r="D10335" s="9" t="s">
        <v>18</v>
      </c>
      <c r="E10335" s="10" t="s">
        <v>808</v>
      </c>
      <c r="F10335" s="9" t="s">
        <v>809</v>
      </c>
      <c r="G10335" s="10" t="s">
        <v>75</v>
      </c>
      <c r="H10335" s="9" t="s">
        <v>22</v>
      </c>
      <c r="I10335" s="9" t="s">
        <v>21563</v>
      </c>
      <c r="J10335" s="10" t="str">
        <f>HYPERLINK("https://www.boe.es/gazeta/dias/1834/10/11/pdfs/GMD-1834-239.pdf#page=4","Abrir facsímil")</f>
        <v>Abrir facsímil</v>
      </c>
      <c r="K10335" s="10" t="s">
        <v>24</v>
      </c>
    </row>
    <row r="10336" spans="1:11" ht="54" customHeight="1">
      <c r="A10336" s="9" t="s">
        <v>21564</v>
      </c>
      <c r="B10336" s="9" t="s">
        <v>21564</v>
      </c>
      <c r="C10336" s="9" t="s">
        <v>17</v>
      </c>
      <c r="D10336" s="9" t="s">
        <v>18</v>
      </c>
      <c r="E10336" s="10" t="s">
        <v>1340</v>
      </c>
      <c r="F10336" s="9" t="s">
        <v>1341</v>
      </c>
      <c r="G10336" s="10" t="s">
        <v>28</v>
      </c>
      <c r="H10336" s="9" t="s">
        <v>22</v>
      </c>
      <c r="I10336" s="9" t="s">
        <v>21565</v>
      </c>
      <c r="J10336" s="10" t="str">
        <f>HYPERLINK("https://www.boe.es/gazeta/dias/1834/10/05/pdfs/GMD-C-1834-233.pdf#page=5","Abrir facsímil")</f>
        <v>Abrir facsímil</v>
      </c>
      <c r="K10336" s="10" t="s">
        <v>24</v>
      </c>
    </row>
    <row r="10337" spans="1:11" ht="54" customHeight="1">
      <c r="A10337" s="9" t="s">
        <v>21566</v>
      </c>
      <c r="B10337" s="9" t="s">
        <v>21566</v>
      </c>
      <c r="C10337" s="9" t="s">
        <v>46</v>
      </c>
      <c r="D10337" s="9" t="s">
        <v>101</v>
      </c>
      <c r="E10337" s="10" t="s">
        <v>158</v>
      </c>
      <c r="F10337" s="9" t="s">
        <v>581</v>
      </c>
      <c r="G10337" s="10" t="s">
        <v>28</v>
      </c>
      <c r="H10337" s="9" t="s">
        <v>22</v>
      </c>
      <c r="I10337" s="9" t="s">
        <v>21567</v>
      </c>
      <c r="J10337" s="10" t="str">
        <f>HYPERLINK("https://www.boe.es/gazeta/dias/1834/10/01/pdfs/GMD-C-1834-229.pdf#page=5","Abrir facsímil")</f>
        <v>Abrir facsímil</v>
      </c>
      <c r="K10337" s="10" t="s">
        <v>24</v>
      </c>
    </row>
    <row r="10338" spans="1:11" ht="54" customHeight="1">
      <c r="A10338" s="9" t="s">
        <v>21566</v>
      </c>
      <c r="B10338" s="9" t="s">
        <v>21566</v>
      </c>
      <c r="C10338" s="9" t="s">
        <v>17</v>
      </c>
      <c r="D10338" s="9" t="s">
        <v>18</v>
      </c>
      <c r="E10338" s="10" t="s">
        <v>905</v>
      </c>
      <c r="F10338" s="9" t="s">
        <v>906</v>
      </c>
      <c r="G10338" s="10" t="s">
        <v>34</v>
      </c>
      <c r="H10338" s="9" t="s">
        <v>22</v>
      </c>
      <c r="I10338" s="9" t="s">
        <v>21568</v>
      </c>
      <c r="J10338" s="10" t="str">
        <f>HYPERLINK("https://www.boe.es/gazeta/dias/1834/08/02/pdfs/GMD-C-1834-166.pdf#page=1","Abrir facsímil")</f>
        <v>Abrir facsímil</v>
      </c>
      <c r="K10338" s="10" t="s">
        <v>24</v>
      </c>
    </row>
    <row r="10339" spans="1:11" ht="54" customHeight="1">
      <c r="A10339" s="9" t="s">
        <v>21566</v>
      </c>
      <c r="B10339" s="9" t="s">
        <v>21566</v>
      </c>
      <c r="C10339" s="9" t="s">
        <v>17</v>
      </c>
      <c r="D10339" s="9" t="s">
        <v>18</v>
      </c>
      <c r="E10339" s="10" t="s">
        <v>416</v>
      </c>
      <c r="F10339" s="9" t="s">
        <v>417</v>
      </c>
      <c r="G10339" s="10" t="s">
        <v>34</v>
      </c>
      <c r="H10339" s="9" t="s">
        <v>22</v>
      </c>
      <c r="I10339" s="9" t="s">
        <v>21569</v>
      </c>
      <c r="J10339" s="10" t="str">
        <f>HYPERLINK("https://www.boe.es/gazeta/dias/1834/10/02/pdfs/GMD-C-1834-230.pdf#page=1","Abrir facsímil")</f>
        <v>Abrir facsímil</v>
      </c>
      <c r="K10339" s="10" t="s">
        <v>24</v>
      </c>
    </row>
    <row r="10340" spans="1:11" ht="54" customHeight="1">
      <c r="A10340" s="9" t="s">
        <v>21566</v>
      </c>
      <c r="B10340" s="9" t="s">
        <v>21566</v>
      </c>
      <c r="C10340" s="9" t="s">
        <v>46</v>
      </c>
      <c r="D10340" s="9" t="s">
        <v>101</v>
      </c>
      <c r="E10340" s="10" t="s">
        <v>416</v>
      </c>
      <c r="F10340" s="9" t="s">
        <v>417</v>
      </c>
      <c r="G10340" s="10" t="s">
        <v>86</v>
      </c>
      <c r="H10340" s="9" t="s">
        <v>22</v>
      </c>
      <c r="I10340" s="9" t="s">
        <v>21570</v>
      </c>
      <c r="J10340" s="10" t="str">
        <f>HYPERLINK("https://www.boe.es/gazeta/dias/1834/10/02/pdfs/GMD-C-1834-230.pdf#page=2","Abrir facsímil")</f>
        <v>Abrir facsímil</v>
      </c>
      <c r="K10340" s="10" t="s">
        <v>24</v>
      </c>
    </row>
    <row r="10341" spans="1:11" ht="54" customHeight="1">
      <c r="A10341" s="9" t="s">
        <v>21566</v>
      </c>
      <c r="B10341" s="9" t="s">
        <v>21566</v>
      </c>
      <c r="C10341" s="9" t="s">
        <v>90</v>
      </c>
      <c r="D10341" s="9" t="s">
        <v>18</v>
      </c>
      <c r="E10341" s="10" t="s">
        <v>73</v>
      </c>
      <c r="F10341" s="9" t="s">
        <v>1416</v>
      </c>
      <c r="G10341" s="10" t="s">
        <v>86</v>
      </c>
      <c r="H10341" s="9" t="s">
        <v>22</v>
      </c>
      <c r="I10341" s="9" t="s">
        <v>21571</v>
      </c>
      <c r="J10341" s="10" t="str">
        <f>HYPERLINK("https://www.boe.es/gazeta/dias/1834/11/04/pdfs/GMD-C-1834-263.pdf#page=2","Abrir facsímil")</f>
        <v>Abrir facsímil</v>
      </c>
      <c r="K10341" s="10" t="s">
        <v>24</v>
      </c>
    </row>
    <row r="10342" spans="1:11" ht="54" customHeight="1">
      <c r="A10342" s="9" t="s">
        <v>21566</v>
      </c>
      <c r="B10342" s="9" t="s">
        <v>21566</v>
      </c>
      <c r="C10342" s="9" t="s">
        <v>46</v>
      </c>
      <c r="D10342" s="9" t="s">
        <v>101</v>
      </c>
      <c r="E10342" s="10" t="s">
        <v>364</v>
      </c>
      <c r="F10342" s="9" t="s">
        <v>365</v>
      </c>
      <c r="G10342" s="10" t="s">
        <v>75</v>
      </c>
      <c r="H10342" s="9" t="s">
        <v>22</v>
      </c>
      <c r="I10342" s="9" t="s">
        <v>21572</v>
      </c>
      <c r="J10342" s="10" t="str">
        <f>HYPERLINK("https://www.boe.es/gazeta/dias/1834/09/06/pdfs/GMD-C-1834-204.pdf#page=4","Abrir facsímil")</f>
        <v>Abrir facsímil</v>
      </c>
      <c r="K10342" s="10" t="s">
        <v>24</v>
      </c>
    </row>
    <row r="10343" spans="1:11" ht="54" customHeight="1">
      <c r="A10343" s="9" t="s">
        <v>21566</v>
      </c>
      <c r="B10343" s="9" t="s">
        <v>21566</v>
      </c>
      <c r="C10343" s="9" t="s">
        <v>17</v>
      </c>
      <c r="D10343" s="9" t="s">
        <v>55</v>
      </c>
      <c r="E10343" s="10" t="s">
        <v>364</v>
      </c>
      <c r="F10343" s="9" t="s">
        <v>365</v>
      </c>
      <c r="G10343" s="10" t="s">
        <v>28</v>
      </c>
      <c r="H10343" s="9" t="s">
        <v>22</v>
      </c>
      <c r="I10343" s="9" t="s">
        <v>21573</v>
      </c>
      <c r="J10343" s="10" t="str">
        <f>HYPERLINK("https://www.boe.es/gazeta/dias/1834/09/06/pdfs/GMD-C-1834-204.pdf#page=5","Abrir facsímil")</f>
        <v>Abrir facsímil</v>
      </c>
      <c r="K10343" s="10" t="s">
        <v>24</v>
      </c>
    </row>
    <row r="10344" spans="1:11" ht="54" customHeight="1">
      <c r="A10344" s="9" t="s">
        <v>21566</v>
      </c>
      <c r="B10344" s="9" t="s">
        <v>21566</v>
      </c>
      <c r="C10344" s="9" t="s">
        <v>90</v>
      </c>
      <c r="D10344" s="9" t="s">
        <v>18</v>
      </c>
      <c r="E10344" s="10" t="s">
        <v>793</v>
      </c>
      <c r="F10344" s="9" t="s">
        <v>1895</v>
      </c>
      <c r="G10344" s="10" t="s">
        <v>86</v>
      </c>
      <c r="H10344" s="9" t="s">
        <v>22</v>
      </c>
      <c r="I10344" s="9" t="s">
        <v>21574</v>
      </c>
      <c r="J10344" s="10" t="str">
        <f>HYPERLINK("https://www.boe.es/gazeta/dias/1834/10/08/pdfs/GMD-C-1834-236.pdf#page=2","Abrir facsímil")</f>
        <v>Abrir facsímil</v>
      </c>
      <c r="K10344" s="10" t="s">
        <v>24</v>
      </c>
    </row>
    <row r="10345" spans="1:11" ht="54" customHeight="1">
      <c r="A10345" s="9" t="s">
        <v>21566</v>
      </c>
      <c r="B10345" s="9" t="s">
        <v>21566</v>
      </c>
      <c r="C10345" s="9" t="s">
        <v>17</v>
      </c>
      <c r="D10345" s="9" t="s">
        <v>18</v>
      </c>
      <c r="E10345" s="10" t="s">
        <v>438</v>
      </c>
      <c r="F10345" s="9" t="s">
        <v>528</v>
      </c>
      <c r="G10345" s="10" t="s">
        <v>75</v>
      </c>
      <c r="H10345" s="9" t="s">
        <v>22</v>
      </c>
      <c r="I10345" s="9" t="s">
        <v>21575</v>
      </c>
      <c r="J10345" s="10" t="str">
        <f>HYPERLINK("https://www.boe.es/gazeta/dias/1834/11/09/pdfs/GMD-C-1834-268.pdf#page=4","Abrir facsímil")</f>
        <v>Abrir facsímil</v>
      </c>
      <c r="K10345" s="10" t="s">
        <v>24</v>
      </c>
    </row>
    <row r="10346" spans="1:11" ht="54" customHeight="1">
      <c r="A10346" s="9" t="s">
        <v>21566</v>
      </c>
      <c r="B10346" s="9" t="s">
        <v>21566</v>
      </c>
      <c r="C10346" s="9" t="s">
        <v>66</v>
      </c>
      <c r="D10346" s="9" t="s">
        <v>67</v>
      </c>
      <c r="E10346" s="10" t="s">
        <v>96</v>
      </c>
      <c r="F10346" s="9" t="s">
        <v>97</v>
      </c>
      <c r="G10346" s="10" t="s">
        <v>86</v>
      </c>
      <c r="H10346" s="9" t="s">
        <v>22</v>
      </c>
      <c r="I10346" s="9" t="s">
        <v>21576</v>
      </c>
      <c r="J10346" s="10" t="str">
        <f>HYPERLINK("https://www.boe.es/gazeta/dias/1834/11/11/pdfs/GMD-C-1834-270.pdf#page=2","Abrir facsímil")</f>
        <v>Abrir facsímil</v>
      </c>
      <c r="K10346" s="10" t="s">
        <v>24</v>
      </c>
    </row>
    <row r="10347" spans="1:11" ht="54" customHeight="1">
      <c r="A10347" s="9" t="s">
        <v>21566</v>
      </c>
      <c r="B10347" s="9" t="s">
        <v>21566</v>
      </c>
      <c r="C10347" s="9" t="s">
        <v>17</v>
      </c>
      <c r="D10347" s="9" t="s">
        <v>18</v>
      </c>
      <c r="E10347" s="10" t="s">
        <v>883</v>
      </c>
      <c r="F10347" s="9" t="s">
        <v>884</v>
      </c>
      <c r="G10347" s="10" t="s">
        <v>86</v>
      </c>
      <c r="H10347" s="9" t="s">
        <v>22</v>
      </c>
      <c r="I10347" s="9" t="s">
        <v>21577</v>
      </c>
      <c r="J10347" s="10" t="str">
        <f>HYPERLINK("https://www.boe.es/gazeta/dias/1834/11/16/pdfs/GMD-C-1834-275.pdf#page=2","Abrir facsímil")</f>
        <v>Abrir facsímil</v>
      </c>
      <c r="K10347" s="10" t="s">
        <v>24</v>
      </c>
    </row>
    <row r="10348" spans="1:11" ht="54" customHeight="1">
      <c r="A10348" s="9" t="s">
        <v>21566</v>
      </c>
      <c r="B10348" s="9" t="s">
        <v>21566</v>
      </c>
      <c r="C10348" s="9" t="s">
        <v>90</v>
      </c>
      <c r="D10348" s="9" t="s">
        <v>18</v>
      </c>
      <c r="E10348" s="10" t="s">
        <v>262</v>
      </c>
      <c r="F10348" s="9" t="s">
        <v>263</v>
      </c>
      <c r="G10348" s="10" t="s">
        <v>28</v>
      </c>
      <c r="H10348" s="9" t="s">
        <v>22</v>
      </c>
      <c r="I10348" s="9" t="s">
        <v>21578</v>
      </c>
      <c r="J10348" s="10" t="str">
        <f>HYPERLINK("https://www.boe.es/gazeta/dias/1834/10/18/pdfs/GMD-C-1834-246.pdf#page=5","Abrir facsímil")</f>
        <v>Abrir facsímil</v>
      </c>
      <c r="K10348" s="10" t="s">
        <v>24</v>
      </c>
    </row>
    <row r="10349" spans="1:11" ht="54" customHeight="1">
      <c r="A10349" s="9" t="s">
        <v>21566</v>
      </c>
      <c r="B10349" s="9" t="s">
        <v>21566</v>
      </c>
      <c r="C10349" s="9" t="s">
        <v>17</v>
      </c>
      <c r="D10349" s="9" t="s">
        <v>18</v>
      </c>
      <c r="E10349" s="10" t="s">
        <v>627</v>
      </c>
      <c r="F10349" s="9" t="s">
        <v>628</v>
      </c>
      <c r="G10349" s="10" t="s">
        <v>86</v>
      </c>
      <c r="H10349" s="9" t="s">
        <v>22</v>
      </c>
      <c r="I10349" s="9" t="s">
        <v>21579</v>
      </c>
      <c r="J10349" s="10" t="str">
        <f>HYPERLINK("https://www.boe.es/gazeta/dias/1834/09/22/pdfs/GMD-C-1834-220.pdf#page=2","Abrir facsímil")</f>
        <v>Abrir facsímil</v>
      </c>
      <c r="K10349" s="10" t="s">
        <v>24</v>
      </c>
    </row>
    <row r="10350" spans="1:11" ht="54" customHeight="1">
      <c r="A10350" s="9" t="s">
        <v>21566</v>
      </c>
      <c r="B10350" s="9" t="s">
        <v>21566</v>
      </c>
      <c r="C10350" s="9" t="s">
        <v>17</v>
      </c>
      <c r="D10350" s="9" t="s">
        <v>18</v>
      </c>
      <c r="E10350" s="10" t="s">
        <v>247</v>
      </c>
      <c r="F10350" s="9" t="s">
        <v>248</v>
      </c>
      <c r="G10350" s="10" t="s">
        <v>34</v>
      </c>
      <c r="H10350" s="9" t="s">
        <v>22</v>
      </c>
      <c r="I10350" s="9" t="s">
        <v>21580</v>
      </c>
      <c r="J10350" s="10" t="str">
        <f>HYPERLINK("https://www.boe.es/gazeta/dias/1834/08/23/pdfs/GMD-C-1834-189.pdf#page=1","Abrir facsímil")</f>
        <v>Abrir facsímil</v>
      </c>
      <c r="K10350" s="10" t="s">
        <v>24</v>
      </c>
    </row>
    <row r="10351" spans="1:11" ht="54" customHeight="1">
      <c r="A10351" s="9" t="s">
        <v>21566</v>
      </c>
      <c r="B10351" s="9" t="s">
        <v>21566</v>
      </c>
      <c r="C10351" s="9" t="s">
        <v>17</v>
      </c>
      <c r="D10351" s="9" t="s">
        <v>18</v>
      </c>
      <c r="E10351" s="10" t="s">
        <v>128</v>
      </c>
      <c r="F10351" s="9" t="s">
        <v>129</v>
      </c>
      <c r="G10351" s="10" t="s">
        <v>21</v>
      </c>
      <c r="H10351" s="9" t="s">
        <v>22</v>
      </c>
      <c r="I10351" s="9" t="s">
        <v>21581</v>
      </c>
      <c r="J10351" s="10" t="str">
        <f>HYPERLINK("https://www.boe.es/gazeta/dias/1834/12/24/pdfs/GMD-C-1834-314.pdf#page=3","Abrir facsímil")</f>
        <v>Abrir facsímil</v>
      </c>
      <c r="K10351" s="10" t="s">
        <v>24</v>
      </c>
    </row>
    <row r="10352" spans="1:11" ht="54" customHeight="1">
      <c r="A10352" s="9" t="s">
        <v>21566</v>
      </c>
      <c r="B10352" s="9" t="s">
        <v>21566</v>
      </c>
      <c r="C10352" s="9" t="s">
        <v>46</v>
      </c>
      <c r="D10352" s="9" t="s">
        <v>18</v>
      </c>
      <c r="E10352" s="10" t="s">
        <v>403</v>
      </c>
      <c r="F10352" s="9" t="s">
        <v>404</v>
      </c>
      <c r="G10352" s="10" t="s">
        <v>176</v>
      </c>
      <c r="H10352" s="9" t="s">
        <v>22</v>
      </c>
      <c r="I10352" s="9" t="s">
        <v>21582</v>
      </c>
      <c r="J10352" s="10" t="str">
        <f>HYPERLINK("https://www.boe.es/gazeta/dias/1834/09/25/pdfs/GMD-C-1834-223.pdf#page=6","Abrir facsímil")</f>
        <v>Abrir facsímil</v>
      </c>
      <c r="K10352" s="10" t="s">
        <v>24</v>
      </c>
    </row>
    <row r="10353" spans="1:11" ht="54" customHeight="1">
      <c r="A10353" s="9" t="s">
        <v>21566</v>
      </c>
      <c r="B10353" s="9" t="s">
        <v>21566</v>
      </c>
      <c r="C10353" s="9" t="s">
        <v>17</v>
      </c>
      <c r="D10353" s="9" t="s">
        <v>18</v>
      </c>
      <c r="E10353" s="10" t="s">
        <v>1677</v>
      </c>
      <c r="F10353" s="9" t="s">
        <v>2515</v>
      </c>
      <c r="G10353" s="10" t="s">
        <v>34</v>
      </c>
      <c r="H10353" s="9" t="s">
        <v>22</v>
      </c>
      <c r="I10353" s="9" t="s">
        <v>21583</v>
      </c>
      <c r="J10353" s="10" t="str">
        <f>HYPERLINK("https://www.boe.es/gazeta/dias/1834/07/26/pdfs/GMD-C-1834-159.pdf#page=1","Abrir facsímil")</f>
        <v>Abrir facsímil</v>
      </c>
      <c r="K10353" s="10" t="s">
        <v>24</v>
      </c>
    </row>
    <row r="10354" spans="1:11" ht="54" customHeight="1">
      <c r="A10354" s="9" t="s">
        <v>21566</v>
      </c>
      <c r="B10354" s="9" t="s">
        <v>21566</v>
      </c>
      <c r="C10354" s="9" t="s">
        <v>17</v>
      </c>
      <c r="D10354" s="9" t="s">
        <v>18</v>
      </c>
      <c r="E10354" s="10" t="s">
        <v>2142</v>
      </c>
      <c r="F10354" s="9" t="s">
        <v>2316</v>
      </c>
      <c r="G10354" s="10" t="s">
        <v>21</v>
      </c>
      <c r="H10354" s="9" t="s">
        <v>22</v>
      </c>
      <c r="I10354" s="9" t="s">
        <v>21584</v>
      </c>
      <c r="J10354" s="10" t="str">
        <f>HYPERLINK("https://www.boe.es/gazeta/dias/1834/12/27/pdfs/GMD-C-1834-317.pdf#page=3","Abrir facsímil")</f>
        <v>Abrir facsímil</v>
      </c>
      <c r="K10354" s="10" t="s">
        <v>24</v>
      </c>
    </row>
    <row r="10355" spans="1:11" ht="54" customHeight="1">
      <c r="A10355" s="9" t="s">
        <v>21566</v>
      </c>
      <c r="B10355" s="9" t="s">
        <v>21566</v>
      </c>
      <c r="C10355" s="9" t="s">
        <v>17</v>
      </c>
      <c r="D10355" s="9" t="s">
        <v>18</v>
      </c>
      <c r="E10355" s="10" t="s">
        <v>280</v>
      </c>
      <c r="F10355" s="9" t="s">
        <v>281</v>
      </c>
      <c r="G10355" s="10" t="s">
        <v>560</v>
      </c>
      <c r="H10355" s="9" t="s">
        <v>22</v>
      </c>
      <c r="I10355" s="9" t="s">
        <v>21585</v>
      </c>
      <c r="J10355" s="10" t="str">
        <f>HYPERLINK("https://www.boe.es/gazeta/dias/1834/08/29/pdfs/GMD-C-1834-195.pdf#page=7","Abrir facsímil")</f>
        <v>Abrir facsímil</v>
      </c>
      <c r="K10355" s="10" t="s">
        <v>24</v>
      </c>
    </row>
    <row r="10356" spans="1:11" ht="54" customHeight="1">
      <c r="A10356" s="9" t="s">
        <v>21566</v>
      </c>
      <c r="B10356" s="9" t="s">
        <v>21566</v>
      </c>
      <c r="C10356" s="9" t="s">
        <v>17</v>
      </c>
      <c r="D10356" s="9" t="s">
        <v>18</v>
      </c>
      <c r="E10356" s="10" t="s">
        <v>283</v>
      </c>
      <c r="F10356" s="9" t="s">
        <v>284</v>
      </c>
      <c r="G10356" s="10" t="s">
        <v>86</v>
      </c>
      <c r="H10356" s="9" t="s">
        <v>22</v>
      </c>
      <c r="I10356" s="9" t="s">
        <v>21586</v>
      </c>
      <c r="J10356" s="10" t="str">
        <f>HYPERLINK("https://www.boe.es/gazeta/dias/1834/11/29/pdfs/GMD-C-1834-288.pdf#page=2","Abrir facsímil")</f>
        <v>Abrir facsímil</v>
      </c>
      <c r="K10356" s="10" t="s">
        <v>24</v>
      </c>
    </row>
    <row r="10357" spans="1:11" ht="54" customHeight="1">
      <c r="A10357" s="9" t="s">
        <v>21566</v>
      </c>
      <c r="B10357" s="9" t="s">
        <v>21566</v>
      </c>
      <c r="C10357" s="9" t="s">
        <v>17</v>
      </c>
      <c r="D10357" s="9" t="s">
        <v>18</v>
      </c>
      <c r="E10357" s="10" t="s">
        <v>273</v>
      </c>
      <c r="F10357" s="9" t="s">
        <v>274</v>
      </c>
      <c r="G10357" s="10" t="s">
        <v>21</v>
      </c>
      <c r="H10357" s="9" t="s">
        <v>22</v>
      </c>
      <c r="I10357" s="9" t="s">
        <v>21587</v>
      </c>
      <c r="J10357" s="10" t="str">
        <f>HYPERLINK("https://www.boe.es/gazeta/dias/1834/08/31/pdfs/GMD-D-1834-198.pdf#page=3","Abrir facsímil")</f>
        <v>Abrir facsímil</v>
      </c>
      <c r="K10357" s="10" t="s">
        <v>24</v>
      </c>
    </row>
    <row r="10358" spans="1:11" ht="54" customHeight="1">
      <c r="A10358" s="9" t="s">
        <v>21566</v>
      </c>
      <c r="B10358" s="9" t="s">
        <v>21566</v>
      </c>
      <c r="C10358" s="9" t="s">
        <v>17</v>
      </c>
      <c r="D10358" s="9" t="s">
        <v>18</v>
      </c>
      <c r="E10358" s="10" t="s">
        <v>273</v>
      </c>
      <c r="F10358" s="9" t="s">
        <v>274</v>
      </c>
      <c r="G10358" s="10" t="s">
        <v>75</v>
      </c>
      <c r="H10358" s="9" t="s">
        <v>22</v>
      </c>
      <c r="I10358" s="9" t="s">
        <v>21588</v>
      </c>
      <c r="J10358" s="10" t="str">
        <f>HYPERLINK("https://www.boe.es/gazeta/dias/1834/08/31/pdfs/GMD-D-1834-198.pdf#page=4","Abrir facsímil")</f>
        <v>Abrir facsímil</v>
      </c>
      <c r="K10358" s="10" t="s">
        <v>24</v>
      </c>
    </row>
    <row r="10359" spans="1:11" ht="54" customHeight="1">
      <c r="A10359" s="9" t="s">
        <v>21566</v>
      </c>
      <c r="B10359" s="9" t="s">
        <v>21566</v>
      </c>
      <c r="C10359" s="9" t="s">
        <v>17</v>
      </c>
      <c r="D10359" s="9" t="s">
        <v>18</v>
      </c>
      <c r="E10359" s="10" t="s">
        <v>273</v>
      </c>
      <c r="F10359" s="9" t="s">
        <v>274</v>
      </c>
      <c r="G10359" s="10" t="s">
        <v>176</v>
      </c>
      <c r="H10359" s="9" t="s">
        <v>22</v>
      </c>
      <c r="I10359" s="9" t="s">
        <v>21589</v>
      </c>
      <c r="J10359" s="10" t="str">
        <f>HYPERLINK("https://www.boe.es/gazeta/dias/1834/08/31/pdfs/GMD-D-1834-198.pdf#page=6","Abrir facsímil")</f>
        <v>Abrir facsímil</v>
      </c>
      <c r="K10359" s="10" t="s">
        <v>24</v>
      </c>
    </row>
    <row r="10360" spans="1:11" ht="54" customHeight="1">
      <c r="A10360" s="9" t="s">
        <v>21590</v>
      </c>
      <c r="B10360" s="9" t="s">
        <v>21590</v>
      </c>
      <c r="C10360" s="9" t="s">
        <v>17</v>
      </c>
      <c r="D10360" s="9" t="s">
        <v>18</v>
      </c>
      <c r="E10360" s="10" t="s">
        <v>1195</v>
      </c>
      <c r="F10360" s="9" t="s">
        <v>1196</v>
      </c>
      <c r="G10360" s="10" t="s">
        <v>1343</v>
      </c>
      <c r="H10360" s="9" t="s">
        <v>22</v>
      </c>
      <c r="I10360" s="9" t="s">
        <v>21591</v>
      </c>
      <c r="J10360" s="10" t="str">
        <f>HYPERLINK("https://www.boe.es/gazeta/dias/1834/10/17/pdfs/GMD-C-1834-245.pdf#page=9","Abrir facsímil")</f>
        <v>Abrir facsímil</v>
      </c>
      <c r="K10360" s="10" t="s">
        <v>24</v>
      </c>
    </row>
    <row r="10361" spans="1:11" ht="54" customHeight="1">
      <c r="A10361" s="9" t="s">
        <v>21590</v>
      </c>
      <c r="B10361" s="9" t="s">
        <v>21590</v>
      </c>
      <c r="C10361" s="9" t="s">
        <v>17</v>
      </c>
      <c r="D10361" s="9" t="s">
        <v>18</v>
      </c>
      <c r="E10361" s="10" t="s">
        <v>247</v>
      </c>
      <c r="F10361" s="9" t="s">
        <v>248</v>
      </c>
      <c r="G10361" s="10" t="s">
        <v>34</v>
      </c>
      <c r="H10361" s="9" t="s">
        <v>22</v>
      </c>
      <c r="I10361" s="9" t="s">
        <v>21592</v>
      </c>
      <c r="J10361" s="10" t="str">
        <f>HYPERLINK("https://www.boe.es/gazeta/dias/1834/08/23/pdfs/GMD-C-1834-189.pdf#page=1","Abrir facsímil")</f>
        <v>Abrir facsímil</v>
      </c>
      <c r="K10361" s="10" t="s">
        <v>24</v>
      </c>
    </row>
    <row r="10362" spans="1:11" ht="54" customHeight="1">
      <c r="A10362" s="9" t="s">
        <v>21593</v>
      </c>
      <c r="B10362" s="9" t="s">
        <v>21593</v>
      </c>
      <c r="C10362" s="9" t="s">
        <v>46</v>
      </c>
      <c r="D10362" s="9" t="s">
        <v>101</v>
      </c>
      <c r="E10362" s="10" t="s">
        <v>237</v>
      </c>
      <c r="F10362" s="9" t="s">
        <v>238</v>
      </c>
      <c r="G10362" s="10" t="s">
        <v>75</v>
      </c>
      <c r="H10362" s="9" t="s">
        <v>22</v>
      </c>
      <c r="I10362" s="9" t="s">
        <v>21594</v>
      </c>
      <c r="J10362" s="10" t="str">
        <f>HYPERLINK("https://www.boe.es/gazeta/dias/1834/08/15/pdfs/GMD-C-1834-180.pdf#page=4","Abrir facsímil")</f>
        <v>Abrir facsímil</v>
      </c>
      <c r="K10362" s="10" t="s">
        <v>24</v>
      </c>
    </row>
    <row r="10363" spans="1:11" ht="54" customHeight="1">
      <c r="A10363" s="9" t="s">
        <v>21595</v>
      </c>
      <c r="B10363" s="9" t="s">
        <v>21595</v>
      </c>
      <c r="C10363" s="9" t="s">
        <v>17</v>
      </c>
      <c r="D10363" s="9" t="s">
        <v>18</v>
      </c>
      <c r="E10363" s="10" t="s">
        <v>610</v>
      </c>
      <c r="F10363" s="9" t="s">
        <v>611</v>
      </c>
      <c r="G10363" s="10" t="s">
        <v>28</v>
      </c>
      <c r="H10363" s="9" t="s">
        <v>22</v>
      </c>
      <c r="I10363" s="9" t="s">
        <v>21596</v>
      </c>
      <c r="J10363" s="10" t="str">
        <f>HYPERLINK("https://www.boe.es/gazeta/dias/1834/12/21/pdfs/GMD-C-1834-311.pdf#page=5","Abrir facsímil")</f>
        <v>Abrir facsímil</v>
      </c>
      <c r="K10363" s="10" t="s">
        <v>24</v>
      </c>
    </row>
    <row r="10364" spans="1:11" ht="54" customHeight="1">
      <c r="A10364" s="9" t="s">
        <v>21597</v>
      </c>
      <c r="B10364" s="9" t="s">
        <v>21598</v>
      </c>
      <c r="C10364" s="9" t="s">
        <v>17</v>
      </c>
      <c r="D10364" s="9" t="s">
        <v>55</v>
      </c>
      <c r="E10364" s="10" t="s">
        <v>3163</v>
      </c>
      <c r="F10364" s="9" t="s">
        <v>3164</v>
      </c>
      <c r="G10364" s="10" t="s">
        <v>75</v>
      </c>
      <c r="H10364" s="9" t="s">
        <v>22</v>
      </c>
      <c r="I10364" s="9" t="s">
        <v>21599</v>
      </c>
      <c r="J10364" s="10" t="str">
        <f>HYPERLINK("https://www.boe.es/gazeta/dias/1834/11/02/pdfs/GMD-1834-261.pdf#page=4","Abrir facsímil")</f>
        <v>Abrir facsímil</v>
      </c>
      <c r="K10364" s="10" t="s">
        <v>24</v>
      </c>
    </row>
    <row r="10365" spans="1:11" ht="54" customHeight="1">
      <c r="A10365" s="9" t="s">
        <v>21600</v>
      </c>
      <c r="B10365" s="9" t="s">
        <v>21600</v>
      </c>
      <c r="C10365" s="9" t="s">
        <v>17</v>
      </c>
      <c r="D10365" s="9" t="s">
        <v>18</v>
      </c>
      <c r="E10365" s="10" t="s">
        <v>1340</v>
      </c>
      <c r="F10365" s="9" t="s">
        <v>3300</v>
      </c>
      <c r="G10365" s="10" t="s">
        <v>75</v>
      </c>
      <c r="H10365" s="9" t="s">
        <v>22</v>
      </c>
      <c r="I10365" s="9" t="s">
        <v>21601</v>
      </c>
      <c r="J10365" s="10" t="str">
        <f>HYPERLINK("https://www.boe.es/gazeta/dias/1834/10/05/pdfs/GMD-1834-233.pdf#page=4","Abrir facsímil")</f>
        <v>Abrir facsímil</v>
      </c>
      <c r="K10365" s="10" t="s">
        <v>24</v>
      </c>
    </row>
    <row r="10366" spans="1:11" ht="54" customHeight="1">
      <c r="A10366" s="9" t="s">
        <v>21602</v>
      </c>
      <c r="B10366" s="9" t="s">
        <v>21602</v>
      </c>
      <c r="C10366" s="9" t="s">
        <v>17</v>
      </c>
      <c r="D10366" s="9" t="s">
        <v>18</v>
      </c>
      <c r="E10366" s="10" t="s">
        <v>928</v>
      </c>
      <c r="F10366" s="9" t="s">
        <v>3338</v>
      </c>
      <c r="G10366" s="10" t="s">
        <v>75</v>
      </c>
      <c r="H10366" s="9" t="s">
        <v>22</v>
      </c>
      <c r="I10366" s="9" t="s">
        <v>21603</v>
      </c>
      <c r="J10366" s="10" t="str">
        <f>HYPERLINK("https://www.boe.es/gazeta/dias/1834/11/15/pdfs/GMD-1834-274.pdf#page=4","Abrir facsímil")</f>
        <v>Abrir facsímil</v>
      </c>
      <c r="K10366" s="10" t="s">
        <v>24</v>
      </c>
    </row>
    <row r="10367" spans="1:11" ht="54" customHeight="1">
      <c r="A10367" s="9" t="s">
        <v>21604</v>
      </c>
      <c r="B10367" s="9" t="s">
        <v>21605</v>
      </c>
      <c r="C10367" s="9" t="s">
        <v>17</v>
      </c>
      <c r="D10367" s="9" t="s">
        <v>18</v>
      </c>
      <c r="E10367" s="10" t="s">
        <v>912</v>
      </c>
      <c r="F10367" s="9" t="s">
        <v>913</v>
      </c>
      <c r="G10367" s="10" t="s">
        <v>28</v>
      </c>
      <c r="H10367" s="9" t="s">
        <v>22</v>
      </c>
      <c r="I10367" s="9" t="s">
        <v>21606</v>
      </c>
      <c r="J10367" s="10" t="str">
        <f>HYPERLINK("https://www.boe.es/gazeta/dias/1834/02/15/pdfs/GMD-1834-21.pdf#page=5","Abrir facsímil")</f>
        <v>Abrir facsímil</v>
      </c>
      <c r="K10367" s="10" t="s">
        <v>24</v>
      </c>
    </row>
    <row r="10368" spans="1:11" ht="54" customHeight="1">
      <c r="A10368" s="9" t="s">
        <v>21607</v>
      </c>
      <c r="B10368" s="9" t="s">
        <v>21607</v>
      </c>
      <c r="C10368" s="9" t="s">
        <v>17</v>
      </c>
      <c r="D10368" s="9" t="s">
        <v>18</v>
      </c>
      <c r="E10368" s="10" t="s">
        <v>981</v>
      </c>
      <c r="F10368" s="9" t="s">
        <v>3406</v>
      </c>
      <c r="G10368" s="10" t="s">
        <v>34</v>
      </c>
      <c r="H10368" s="9" t="s">
        <v>22</v>
      </c>
      <c r="I10368" s="9" t="s">
        <v>21608</v>
      </c>
      <c r="J10368" s="10" t="str">
        <f>HYPERLINK("https://www.boe.es/gazeta/dias/1834/09/21/pdfs/GMD-C-1834-219.pdf#page=1","Abrir facsímil")</f>
        <v>Abrir facsímil</v>
      </c>
      <c r="K10368" s="10" t="s">
        <v>24</v>
      </c>
    </row>
    <row r="10369" spans="1:11" ht="54" customHeight="1">
      <c r="A10369" s="9" t="s">
        <v>21609</v>
      </c>
      <c r="B10369" s="9" t="s">
        <v>21609</v>
      </c>
      <c r="C10369" s="9" t="s">
        <v>90</v>
      </c>
      <c r="D10369" s="9" t="s">
        <v>18</v>
      </c>
      <c r="E10369" s="10" t="s">
        <v>905</v>
      </c>
      <c r="F10369" s="9" t="s">
        <v>906</v>
      </c>
      <c r="G10369" s="10" t="s">
        <v>34</v>
      </c>
      <c r="H10369" s="9" t="s">
        <v>22</v>
      </c>
      <c r="I10369" s="9" t="s">
        <v>21610</v>
      </c>
      <c r="J10369" s="10" t="str">
        <f>HYPERLINK("https://www.boe.es/gazeta/dias/1834/08/02/pdfs/GMD-C-1834-166.pdf#page=1","Abrir facsímil")</f>
        <v>Abrir facsímil</v>
      </c>
      <c r="K10369" s="10" t="s">
        <v>24</v>
      </c>
    </row>
    <row r="10370" spans="1:11" ht="54" customHeight="1">
      <c r="A10370" s="9" t="s">
        <v>21609</v>
      </c>
      <c r="B10370" s="9" t="s">
        <v>21609</v>
      </c>
      <c r="C10370" s="9" t="s">
        <v>46</v>
      </c>
      <c r="D10370" s="9" t="s">
        <v>101</v>
      </c>
      <c r="E10370" s="10" t="s">
        <v>707</v>
      </c>
      <c r="F10370" s="9" t="s">
        <v>708</v>
      </c>
      <c r="G10370" s="10" t="s">
        <v>28</v>
      </c>
      <c r="H10370" s="9" t="s">
        <v>22</v>
      </c>
      <c r="I10370" s="9" t="s">
        <v>21611</v>
      </c>
      <c r="J10370" s="10" t="str">
        <f>HYPERLINK("https://www.boe.es/gazeta/dias/1834/11/25/pdfs/GMD-C-1834-284.pdf#page=5","Abrir facsímil")</f>
        <v>Abrir facsímil</v>
      </c>
      <c r="K10370" s="10" t="s">
        <v>24</v>
      </c>
    </row>
    <row r="10371" spans="1:11" ht="54" customHeight="1">
      <c r="A10371" s="9" t="s">
        <v>21612</v>
      </c>
      <c r="B10371" s="9" t="s">
        <v>21612</v>
      </c>
      <c r="C10371" s="9" t="s">
        <v>17</v>
      </c>
      <c r="D10371" s="9" t="s">
        <v>18</v>
      </c>
      <c r="E10371" s="10" t="s">
        <v>905</v>
      </c>
      <c r="F10371" s="9" t="s">
        <v>906</v>
      </c>
      <c r="G10371" s="10" t="s">
        <v>86</v>
      </c>
      <c r="H10371" s="9" t="s">
        <v>22</v>
      </c>
      <c r="I10371" s="9" t="s">
        <v>21613</v>
      </c>
      <c r="J10371" s="10" t="str">
        <f>HYPERLINK("https://www.boe.es/gazeta/dias/1834/08/02/pdfs/GMD-C-1834-166.pdf#page=2","Abrir facsímil")</f>
        <v>Abrir facsímil</v>
      </c>
      <c r="K10371" s="10" t="s">
        <v>24</v>
      </c>
    </row>
    <row r="10372" spans="1:11" ht="54" customHeight="1">
      <c r="A10372" s="9" t="s">
        <v>21612</v>
      </c>
      <c r="B10372" s="9" t="s">
        <v>21612</v>
      </c>
      <c r="C10372" s="9" t="s">
        <v>46</v>
      </c>
      <c r="D10372" s="9" t="s">
        <v>101</v>
      </c>
      <c r="E10372" s="10" t="s">
        <v>690</v>
      </c>
      <c r="F10372" s="9" t="s">
        <v>691</v>
      </c>
      <c r="G10372" s="10" t="s">
        <v>34</v>
      </c>
      <c r="H10372" s="9" t="s">
        <v>22</v>
      </c>
      <c r="I10372" s="9" t="s">
        <v>21614</v>
      </c>
      <c r="J10372" s="10" t="str">
        <f>HYPERLINK("https://www.boe.es/gazeta/dias/1834/09/03/pdfs/GMD-C-1834-201.pdf#page=1","Abrir facsímil")</f>
        <v>Abrir facsímil</v>
      </c>
      <c r="K10372" s="10" t="s">
        <v>24</v>
      </c>
    </row>
    <row r="10373" spans="1:11" ht="54" customHeight="1">
      <c r="A10373" s="9" t="s">
        <v>21612</v>
      </c>
      <c r="B10373" s="9" t="s">
        <v>21612</v>
      </c>
      <c r="C10373" s="9" t="s">
        <v>17</v>
      </c>
      <c r="D10373" s="9" t="s">
        <v>18</v>
      </c>
      <c r="E10373" s="10" t="s">
        <v>690</v>
      </c>
      <c r="F10373" s="9" t="s">
        <v>691</v>
      </c>
      <c r="G10373" s="10" t="s">
        <v>28</v>
      </c>
      <c r="H10373" s="9" t="s">
        <v>22</v>
      </c>
      <c r="I10373" s="9" t="s">
        <v>21615</v>
      </c>
      <c r="J10373" s="10" t="str">
        <f>HYPERLINK("https://www.boe.es/gazeta/dias/1834/09/03/pdfs/GMD-C-1834-201.pdf#page=5","Abrir facsímil")</f>
        <v>Abrir facsímil</v>
      </c>
      <c r="K10373" s="10" t="s">
        <v>24</v>
      </c>
    </row>
    <row r="10374" spans="1:11" ht="54" customHeight="1">
      <c r="A10374" s="9" t="s">
        <v>21616</v>
      </c>
      <c r="B10374" s="9" t="s">
        <v>21616</v>
      </c>
      <c r="C10374" s="9" t="s">
        <v>46</v>
      </c>
      <c r="D10374" s="9" t="s">
        <v>101</v>
      </c>
      <c r="E10374" s="10" t="s">
        <v>690</v>
      </c>
      <c r="F10374" s="9" t="s">
        <v>691</v>
      </c>
      <c r="G10374" s="10" t="s">
        <v>176</v>
      </c>
      <c r="H10374" s="9" t="s">
        <v>22</v>
      </c>
      <c r="I10374" s="9" t="s">
        <v>21617</v>
      </c>
      <c r="J10374" s="10" t="str">
        <f>HYPERLINK("https://www.boe.es/gazeta/dias/1834/09/03/pdfs/GMD-C-1834-201.pdf#page=6","Abrir facsímil")</f>
        <v>Abrir facsímil</v>
      </c>
      <c r="K10374" s="10" t="s">
        <v>24</v>
      </c>
    </row>
    <row r="10375" spans="1:11" ht="54" customHeight="1">
      <c r="A10375" s="9" t="s">
        <v>21612</v>
      </c>
      <c r="B10375" s="9" t="s">
        <v>21612</v>
      </c>
      <c r="C10375" s="9" t="s">
        <v>17</v>
      </c>
      <c r="D10375" s="9" t="s">
        <v>18</v>
      </c>
      <c r="E10375" s="10" t="s">
        <v>167</v>
      </c>
      <c r="F10375" s="9" t="s">
        <v>1200</v>
      </c>
      <c r="G10375" s="10" t="s">
        <v>176</v>
      </c>
      <c r="H10375" s="9" t="s">
        <v>22</v>
      </c>
      <c r="I10375" s="9" t="s">
        <v>21618</v>
      </c>
      <c r="J10375" s="10" t="str">
        <f>HYPERLINK("https://www.boe.es/gazeta/dias/1834/09/07/pdfs/GMD-C-1834-205.pdf#page=6","Abrir facsímil")</f>
        <v>Abrir facsímil</v>
      </c>
      <c r="K10375" s="10" t="s">
        <v>24</v>
      </c>
    </row>
    <row r="10376" spans="1:11" ht="54" customHeight="1">
      <c r="A10376" s="9" t="s">
        <v>21612</v>
      </c>
      <c r="B10376" s="9" t="s">
        <v>21612</v>
      </c>
      <c r="C10376" s="9" t="s">
        <v>17</v>
      </c>
      <c r="D10376" s="9" t="s">
        <v>18</v>
      </c>
      <c r="E10376" s="10" t="s">
        <v>19</v>
      </c>
      <c r="F10376" s="9" t="s">
        <v>20</v>
      </c>
      <c r="G10376" s="10" t="s">
        <v>21</v>
      </c>
      <c r="H10376" s="9" t="s">
        <v>22</v>
      </c>
      <c r="I10376" s="9" t="s">
        <v>21619</v>
      </c>
      <c r="J10376" s="10" t="str">
        <f>HYPERLINK("https://www.boe.es/gazeta/dias/1834/08/17/pdfs/GMD-D-1834-182.pdf#page=3","Abrir facsímil")</f>
        <v>Abrir facsímil</v>
      </c>
      <c r="K10376" s="10" t="s">
        <v>24</v>
      </c>
    </row>
    <row r="10377" spans="1:11" ht="54" customHeight="1">
      <c r="A10377" s="9" t="s">
        <v>21612</v>
      </c>
      <c r="B10377" s="9" t="s">
        <v>21612</v>
      </c>
      <c r="C10377" s="9" t="s">
        <v>17</v>
      </c>
      <c r="D10377" s="9" t="s">
        <v>18</v>
      </c>
      <c r="E10377" s="10" t="s">
        <v>268</v>
      </c>
      <c r="F10377" s="9" t="s">
        <v>269</v>
      </c>
      <c r="G10377" s="10" t="s">
        <v>21</v>
      </c>
      <c r="H10377" s="9" t="s">
        <v>22</v>
      </c>
      <c r="I10377" s="9" t="s">
        <v>21620</v>
      </c>
      <c r="J10377" s="10" t="str">
        <f>HYPERLINK("https://www.boe.es/gazeta/dias/1834/12/19/pdfs/GMD-C-1834-309.pdf#page=3","Abrir facsímil")</f>
        <v>Abrir facsímil</v>
      </c>
      <c r="K10377" s="10" t="s">
        <v>24</v>
      </c>
    </row>
    <row r="10378" spans="1:11" ht="54" customHeight="1">
      <c r="A10378" s="9" t="s">
        <v>21612</v>
      </c>
      <c r="B10378" s="9" t="s">
        <v>21612</v>
      </c>
      <c r="C10378" s="9" t="s">
        <v>46</v>
      </c>
      <c r="D10378" s="9" t="s">
        <v>55</v>
      </c>
      <c r="E10378" s="10" t="s">
        <v>610</v>
      </c>
      <c r="F10378" s="9" t="s">
        <v>611</v>
      </c>
      <c r="G10378" s="10" t="s">
        <v>75</v>
      </c>
      <c r="H10378" s="9" t="s">
        <v>22</v>
      </c>
      <c r="I10378" s="9" t="s">
        <v>21621</v>
      </c>
      <c r="J10378" s="10" t="str">
        <f>HYPERLINK("https://www.boe.es/gazeta/dias/1834/12/21/pdfs/GMD-C-1834-311.pdf#page=4","Abrir facsímil")</f>
        <v>Abrir facsímil</v>
      </c>
      <c r="K10378" s="10" t="s">
        <v>24</v>
      </c>
    </row>
    <row r="10379" spans="1:11" ht="54" customHeight="1">
      <c r="A10379" s="9" t="s">
        <v>21612</v>
      </c>
      <c r="B10379" s="9" t="s">
        <v>21612</v>
      </c>
      <c r="C10379" s="9" t="s">
        <v>46</v>
      </c>
      <c r="D10379" s="9" t="s">
        <v>101</v>
      </c>
      <c r="E10379" s="10" t="s">
        <v>247</v>
      </c>
      <c r="F10379" s="9" t="s">
        <v>248</v>
      </c>
      <c r="G10379" s="10" t="s">
        <v>34</v>
      </c>
      <c r="H10379" s="9" t="s">
        <v>22</v>
      </c>
      <c r="I10379" s="9" t="s">
        <v>21622</v>
      </c>
      <c r="J10379" s="10" t="str">
        <f>HYPERLINK("https://www.boe.es/gazeta/dias/1834/08/23/pdfs/GMD-C-1834-189.pdf#page=1","Abrir facsímil")</f>
        <v>Abrir facsímil</v>
      </c>
      <c r="K10379" s="10" t="s">
        <v>24</v>
      </c>
    </row>
    <row r="10380" spans="1:11" ht="54" customHeight="1">
      <c r="A10380" s="9" t="s">
        <v>21612</v>
      </c>
      <c r="B10380" s="9" t="s">
        <v>21612</v>
      </c>
      <c r="C10380" s="9" t="s">
        <v>17</v>
      </c>
      <c r="D10380" s="9" t="s">
        <v>55</v>
      </c>
      <c r="E10380" s="10" t="s">
        <v>247</v>
      </c>
      <c r="F10380" s="9" t="s">
        <v>248</v>
      </c>
      <c r="G10380" s="10" t="s">
        <v>86</v>
      </c>
      <c r="H10380" s="9" t="s">
        <v>22</v>
      </c>
      <c r="I10380" s="9" t="s">
        <v>21623</v>
      </c>
      <c r="J10380" s="10" t="str">
        <f>HYPERLINK("https://www.boe.es/gazeta/dias/1834/08/23/pdfs/GMD-C-1834-189.pdf#page=2","Abrir facsímil")</f>
        <v>Abrir facsímil</v>
      </c>
      <c r="K10380" s="10" t="s">
        <v>24</v>
      </c>
    </row>
    <row r="10381" spans="1:11" ht="54" customHeight="1">
      <c r="A10381" s="9" t="s">
        <v>21612</v>
      </c>
      <c r="B10381" s="9" t="s">
        <v>21612</v>
      </c>
      <c r="C10381" s="9" t="s">
        <v>17</v>
      </c>
      <c r="D10381" s="9" t="s">
        <v>18</v>
      </c>
      <c r="E10381" s="10" t="s">
        <v>378</v>
      </c>
      <c r="F10381" s="9" t="s">
        <v>888</v>
      </c>
      <c r="G10381" s="10" t="s">
        <v>34</v>
      </c>
      <c r="H10381" s="9" t="s">
        <v>22</v>
      </c>
      <c r="I10381" s="9" t="s">
        <v>21624</v>
      </c>
      <c r="J10381" s="10" t="str">
        <f>HYPERLINK("https://www.boe.es/gazeta/dias/1834/09/24/pdfs/GMD-C-1834-222.pdf#page=1","Abrir facsímil")</f>
        <v>Abrir facsímil</v>
      </c>
      <c r="K10381" s="10" t="s">
        <v>24</v>
      </c>
    </row>
    <row r="10382" spans="1:11" ht="54" customHeight="1">
      <c r="A10382" s="9" t="s">
        <v>21612</v>
      </c>
      <c r="B10382" s="9" t="s">
        <v>21612</v>
      </c>
      <c r="C10382" s="9" t="s">
        <v>17</v>
      </c>
      <c r="D10382" s="9" t="s">
        <v>18</v>
      </c>
      <c r="E10382" s="10" t="s">
        <v>403</v>
      </c>
      <c r="F10382" s="9" t="s">
        <v>404</v>
      </c>
      <c r="G10382" s="10" t="s">
        <v>34</v>
      </c>
      <c r="H10382" s="9" t="s">
        <v>22</v>
      </c>
      <c r="I10382" s="9" t="s">
        <v>21625</v>
      </c>
      <c r="J10382" s="10" t="str">
        <f>HYPERLINK("https://www.boe.es/gazeta/dias/1834/09/25/pdfs/GMD-C-1834-223.pdf#page=1","Abrir facsímil")</f>
        <v>Abrir facsímil</v>
      </c>
      <c r="K10382" s="10" t="s">
        <v>24</v>
      </c>
    </row>
    <row r="10383" spans="1:11" ht="54" customHeight="1">
      <c r="A10383" s="9" t="s">
        <v>21612</v>
      </c>
      <c r="B10383" s="9" t="s">
        <v>21612</v>
      </c>
      <c r="C10383" s="9" t="s">
        <v>46</v>
      </c>
      <c r="D10383" s="9" t="s">
        <v>101</v>
      </c>
      <c r="E10383" s="10" t="s">
        <v>251</v>
      </c>
      <c r="F10383" s="9" t="s">
        <v>252</v>
      </c>
      <c r="G10383" s="10" t="s">
        <v>34</v>
      </c>
      <c r="H10383" s="9" t="s">
        <v>22</v>
      </c>
      <c r="I10383" s="9" t="s">
        <v>21626</v>
      </c>
      <c r="J10383" s="10" t="str">
        <f>HYPERLINK("https://www.boe.es/gazeta/dias/1834/09/26/pdfs/GMD-C-1834-224.pdf#page=1","Abrir facsímil")</f>
        <v>Abrir facsímil</v>
      </c>
      <c r="K10383" s="10" t="s">
        <v>24</v>
      </c>
    </row>
    <row r="10384" spans="1:11" ht="54" customHeight="1">
      <c r="A10384" s="9" t="s">
        <v>21612</v>
      </c>
      <c r="B10384" s="9" t="s">
        <v>21612</v>
      </c>
      <c r="C10384" s="9" t="s">
        <v>17</v>
      </c>
      <c r="D10384" s="9" t="s">
        <v>18</v>
      </c>
      <c r="E10384" s="10" t="s">
        <v>1686</v>
      </c>
      <c r="F10384" s="9" t="s">
        <v>2311</v>
      </c>
      <c r="G10384" s="10" t="s">
        <v>34</v>
      </c>
      <c r="H10384" s="9" t="s">
        <v>22</v>
      </c>
      <c r="I10384" s="9" t="s">
        <v>21627</v>
      </c>
      <c r="J10384" s="10" t="str">
        <f>HYPERLINK("https://www.boe.es/gazeta/dias/1834/07/27/pdfs/GMD-C-1834-160.pdf#page=1","Abrir facsímil")</f>
        <v>Abrir facsímil</v>
      </c>
      <c r="K10384" s="10" t="s">
        <v>24</v>
      </c>
    </row>
    <row r="10385" spans="1:11" ht="54" customHeight="1">
      <c r="A10385" s="9" t="s">
        <v>21628</v>
      </c>
      <c r="B10385" s="9" t="s">
        <v>21628</v>
      </c>
      <c r="C10385" s="9" t="s">
        <v>17</v>
      </c>
      <c r="D10385" s="9" t="s">
        <v>18</v>
      </c>
      <c r="E10385" s="10" t="s">
        <v>3170</v>
      </c>
      <c r="F10385" s="9" t="s">
        <v>3171</v>
      </c>
      <c r="G10385" s="10" t="s">
        <v>21</v>
      </c>
      <c r="H10385" s="9" t="s">
        <v>22</v>
      </c>
      <c r="I10385" s="9" t="s">
        <v>21629</v>
      </c>
      <c r="J10385" s="10" t="str">
        <f>HYPERLINK("https://www.boe.es/gazeta/dias/1834/12/07/pdfs/GMD-1834-296.pdf#page=3","Abrir facsímil")</f>
        <v>Abrir facsímil</v>
      </c>
      <c r="K10385" s="10" t="s">
        <v>24</v>
      </c>
    </row>
    <row r="10386" spans="1:11" ht="54" customHeight="1">
      <c r="A10386" s="9" t="s">
        <v>21630</v>
      </c>
      <c r="B10386" s="9" t="s">
        <v>21630</v>
      </c>
      <c r="C10386" s="9" t="s">
        <v>66</v>
      </c>
      <c r="D10386" s="9" t="s">
        <v>18</v>
      </c>
      <c r="E10386" s="10" t="s">
        <v>2037</v>
      </c>
      <c r="F10386" s="9" t="s">
        <v>2038</v>
      </c>
      <c r="G10386" s="10" t="s">
        <v>21</v>
      </c>
      <c r="H10386" s="9" t="s">
        <v>22</v>
      </c>
      <c r="I10386" s="9" t="s">
        <v>21631</v>
      </c>
      <c r="J10386" s="10" t="str">
        <f>HYPERLINK("https://www.boe.es/gazeta/dias/1834/12/01/pdfs/GMD-1834-290.pdf#page=3","Abrir facsímil")</f>
        <v>Abrir facsímil</v>
      </c>
      <c r="K10386" s="10" t="s">
        <v>24</v>
      </c>
    </row>
    <row r="10387" spans="1:11" ht="54" customHeight="1">
      <c r="A10387" s="9" t="s">
        <v>21630</v>
      </c>
      <c r="B10387" s="9" t="s">
        <v>21630</v>
      </c>
      <c r="C10387" s="9" t="s">
        <v>66</v>
      </c>
      <c r="D10387" s="9" t="s">
        <v>67</v>
      </c>
      <c r="E10387" s="10" t="s">
        <v>1704</v>
      </c>
      <c r="F10387" s="9" t="s">
        <v>1705</v>
      </c>
      <c r="G10387" s="10" t="s">
        <v>21</v>
      </c>
      <c r="H10387" s="9" t="s">
        <v>22</v>
      </c>
      <c r="I10387" s="9" t="s">
        <v>21632</v>
      </c>
      <c r="J10387" s="10" t="str">
        <f>HYPERLINK("https://www.boe.es/gazeta/dias/1834/12/02/pdfs/GMD-1834-291.pdf#page=3","Abrir facsímil")</f>
        <v>Abrir facsímil</v>
      </c>
      <c r="K10387" s="10" t="s">
        <v>24</v>
      </c>
    </row>
    <row r="10388" spans="1:11" ht="54" customHeight="1">
      <c r="A10388" s="9" t="s">
        <v>21630</v>
      </c>
      <c r="B10388" s="9" t="s">
        <v>21630</v>
      </c>
      <c r="C10388" s="9" t="s">
        <v>17</v>
      </c>
      <c r="D10388" s="9" t="s">
        <v>18</v>
      </c>
      <c r="E10388" s="10" t="s">
        <v>1955</v>
      </c>
      <c r="F10388" s="9" t="s">
        <v>1956</v>
      </c>
      <c r="G10388" s="10" t="s">
        <v>75</v>
      </c>
      <c r="H10388" s="9" t="s">
        <v>22</v>
      </c>
      <c r="I10388" s="9" t="s">
        <v>21633</v>
      </c>
      <c r="J10388" s="10" t="str">
        <f>HYPERLINK("https://www.boe.es/gazeta/dias/1834/05/04/pdfs/GMD-1834-73.pdf#page=4","Abrir facsímil")</f>
        <v>Abrir facsímil</v>
      </c>
      <c r="K10388" s="10" t="s">
        <v>24</v>
      </c>
    </row>
    <row r="10389" spans="1:11" ht="54" customHeight="1">
      <c r="A10389" s="9" t="s">
        <v>21630</v>
      </c>
      <c r="B10389" s="9" t="s">
        <v>21630</v>
      </c>
      <c r="C10389" s="9" t="s">
        <v>17</v>
      </c>
      <c r="D10389" s="9" t="s">
        <v>18</v>
      </c>
      <c r="E10389" s="10" t="s">
        <v>3170</v>
      </c>
      <c r="F10389" s="9" t="s">
        <v>3171</v>
      </c>
      <c r="G10389" s="10" t="s">
        <v>21</v>
      </c>
      <c r="H10389" s="9" t="s">
        <v>22</v>
      </c>
      <c r="I10389" s="9" t="s">
        <v>21634</v>
      </c>
      <c r="J10389" s="10" t="str">
        <f>HYPERLINK("https://www.boe.es/gazeta/dias/1834/12/07/pdfs/GMD-1834-296.pdf#page=3","Abrir facsímil")</f>
        <v>Abrir facsímil</v>
      </c>
      <c r="K10389" s="10" t="s">
        <v>24</v>
      </c>
    </row>
    <row r="10390" spans="1:11" ht="54" customHeight="1">
      <c r="A10390" s="9" t="s">
        <v>21630</v>
      </c>
      <c r="B10390" s="9" t="s">
        <v>21630</v>
      </c>
      <c r="C10390" s="9" t="s">
        <v>90</v>
      </c>
      <c r="D10390" s="9" t="s">
        <v>18</v>
      </c>
      <c r="E10390" s="10" t="s">
        <v>448</v>
      </c>
      <c r="F10390" s="9" t="s">
        <v>2058</v>
      </c>
      <c r="G10390" s="10" t="s">
        <v>86</v>
      </c>
      <c r="H10390" s="9" t="s">
        <v>22</v>
      </c>
      <c r="I10390" s="9" t="s">
        <v>21635</v>
      </c>
      <c r="J10390" s="10" t="str">
        <f>HYPERLINK("https://www.boe.es/gazeta/dias/1834/10/14/pdfs/GMD-1834-242.pdf#page=2","Abrir facsímil")</f>
        <v>Abrir facsímil</v>
      </c>
      <c r="K10390" s="10" t="s">
        <v>24</v>
      </c>
    </row>
    <row r="10391" spans="1:11" ht="54" customHeight="1">
      <c r="A10391" s="9" t="s">
        <v>21630</v>
      </c>
      <c r="B10391" s="9" t="s">
        <v>21630</v>
      </c>
      <c r="C10391" s="9" t="s">
        <v>17</v>
      </c>
      <c r="D10391" s="9" t="s">
        <v>18</v>
      </c>
      <c r="E10391" s="10" t="s">
        <v>1234</v>
      </c>
      <c r="F10391" s="9" t="s">
        <v>1455</v>
      </c>
      <c r="G10391" s="10" t="s">
        <v>21</v>
      </c>
      <c r="H10391" s="9" t="s">
        <v>22</v>
      </c>
      <c r="I10391" s="9" t="s">
        <v>21636</v>
      </c>
      <c r="J10391" s="10" t="str">
        <f>HYPERLINK("https://www.boe.es/gazeta/dias/1834/05/15/pdfs/GMD-1834-84.pdf#page=3","Abrir facsímil")</f>
        <v>Abrir facsímil</v>
      </c>
      <c r="K10391" s="10" t="s">
        <v>24</v>
      </c>
    </row>
    <row r="10392" spans="1:11" ht="54" customHeight="1">
      <c r="A10392" s="9" t="s">
        <v>21637</v>
      </c>
      <c r="B10392" s="9" t="s">
        <v>21637</v>
      </c>
      <c r="C10392" s="9" t="s">
        <v>46</v>
      </c>
      <c r="D10392" s="9" t="s">
        <v>18</v>
      </c>
      <c r="E10392" s="10" t="s">
        <v>138</v>
      </c>
      <c r="F10392" s="9" t="s">
        <v>139</v>
      </c>
      <c r="G10392" s="10" t="s">
        <v>86</v>
      </c>
      <c r="H10392" s="9" t="s">
        <v>22</v>
      </c>
      <c r="I10392" s="9" t="s">
        <v>21638</v>
      </c>
      <c r="J10392" s="10" t="str">
        <f>HYPERLINK("https://www.boe.es/gazeta/dias/1834/05/17/pdfs/GMD-1834-86.pdf#page=2","Abrir facsímil")</f>
        <v>Abrir facsímil</v>
      </c>
      <c r="K10392" s="10" t="s">
        <v>24</v>
      </c>
    </row>
    <row r="10393" spans="1:11" ht="54" customHeight="1">
      <c r="A10393" s="9" t="s">
        <v>21630</v>
      </c>
      <c r="B10393" s="9" t="s">
        <v>21630</v>
      </c>
      <c r="C10393" s="9" t="s">
        <v>17</v>
      </c>
      <c r="D10393" s="9" t="s">
        <v>18</v>
      </c>
      <c r="E10393" s="10" t="s">
        <v>1517</v>
      </c>
      <c r="F10393" s="9" t="s">
        <v>1518</v>
      </c>
      <c r="G10393" s="10" t="s">
        <v>75</v>
      </c>
      <c r="H10393" s="9" t="s">
        <v>22</v>
      </c>
      <c r="I10393" s="9" t="s">
        <v>21639</v>
      </c>
      <c r="J10393" s="10" t="str">
        <f>HYPERLINK("https://www.boe.es/gazeta/dias/1834/05/18/pdfs/GMD-1834-87.pdf#page=4","Abrir facsímil")</f>
        <v>Abrir facsímil</v>
      </c>
      <c r="K10393" s="10" t="s">
        <v>24</v>
      </c>
    </row>
    <row r="10394" spans="1:11" ht="54" customHeight="1">
      <c r="A10394" s="9" t="s">
        <v>21640</v>
      </c>
      <c r="B10394" s="9" t="s">
        <v>21641</v>
      </c>
      <c r="C10394" s="9" t="s">
        <v>66</v>
      </c>
      <c r="D10394" s="9" t="s">
        <v>67</v>
      </c>
      <c r="E10394" s="10" t="s">
        <v>899</v>
      </c>
      <c r="F10394" s="9" t="s">
        <v>900</v>
      </c>
      <c r="G10394" s="10" t="s">
        <v>560</v>
      </c>
      <c r="H10394" s="9" t="s">
        <v>22</v>
      </c>
      <c r="I10394" s="9" t="s">
        <v>21642</v>
      </c>
      <c r="J10394" s="10" t="str">
        <f>HYPERLINK("https://www.boe.es/gazeta/dias/1834/01/30/pdfs/GMD-1834-14.pdf#page=7","Abrir facsímil")</f>
        <v>Abrir facsímil</v>
      </c>
      <c r="K10394" s="10" t="s">
        <v>24</v>
      </c>
    </row>
    <row r="10395" spans="1:11" ht="54" customHeight="1">
      <c r="A10395" s="9" t="s">
        <v>21643</v>
      </c>
      <c r="B10395" s="9" t="s">
        <v>21643</v>
      </c>
      <c r="C10395" s="9" t="s">
        <v>46</v>
      </c>
      <c r="D10395" s="9" t="s">
        <v>55</v>
      </c>
      <c r="E10395" s="10" t="s">
        <v>1340</v>
      </c>
      <c r="F10395" s="9" t="s">
        <v>1341</v>
      </c>
      <c r="G10395" s="10" t="s">
        <v>560</v>
      </c>
      <c r="H10395" s="9" t="s">
        <v>22</v>
      </c>
      <c r="I10395" s="9" t="s">
        <v>21644</v>
      </c>
      <c r="J10395" s="10" t="str">
        <f>HYPERLINK("https://www.boe.es/gazeta/dias/1834/10/05/pdfs/GMD-C-1834-233.pdf#page=7","Abrir facsímil")</f>
        <v>Abrir facsímil</v>
      </c>
      <c r="K10395" s="10" t="s">
        <v>24</v>
      </c>
    </row>
    <row r="10396" spans="1:11" ht="54" customHeight="1">
      <c r="A10396" s="9" t="s">
        <v>21645</v>
      </c>
      <c r="B10396" s="9" t="s">
        <v>21645</v>
      </c>
      <c r="C10396" s="9" t="s">
        <v>46</v>
      </c>
      <c r="D10396" s="9" t="s">
        <v>101</v>
      </c>
      <c r="E10396" s="10" t="s">
        <v>416</v>
      </c>
      <c r="F10396" s="9" t="s">
        <v>417</v>
      </c>
      <c r="G10396" s="10" t="s">
        <v>21</v>
      </c>
      <c r="H10396" s="9" t="s">
        <v>22</v>
      </c>
      <c r="I10396" s="9" t="s">
        <v>21646</v>
      </c>
      <c r="J10396" s="10" t="str">
        <f>HYPERLINK("https://www.boe.es/gazeta/dias/1834/10/02/pdfs/GMD-C-1834-230.pdf#page=3","Abrir facsímil")</f>
        <v>Abrir facsímil</v>
      </c>
      <c r="K10396" s="10" t="s">
        <v>24</v>
      </c>
    </row>
    <row r="10397" spans="1:11" ht="54" customHeight="1">
      <c r="A10397" s="9" t="s">
        <v>21647</v>
      </c>
      <c r="B10397" s="9" t="s">
        <v>21647</v>
      </c>
      <c r="C10397" s="9" t="s">
        <v>17</v>
      </c>
      <c r="D10397" s="9" t="s">
        <v>18</v>
      </c>
      <c r="E10397" s="10" t="s">
        <v>389</v>
      </c>
      <c r="F10397" s="9" t="s">
        <v>390</v>
      </c>
      <c r="G10397" s="10" t="s">
        <v>75</v>
      </c>
      <c r="H10397" s="9" t="s">
        <v>22</v>
      </c>
      <c r="I10397" s="9" t="s">
        <v>21648</v>
      </c>
      <c r="J10397" s="10" t="str">
        <f>HYPERLINK("https://www.boe.es/gazeta/dias/1834/10/25/pdfs/GMD-1834-253.pdf#page=4","Abrir facsímil")</f>
        <v>Abrir facsímil</v>
      </c>
      <c r="K10397" s="10" t="s">
        <v>24</v>
      </c>
    </row>
    <row r="10398" spans="1:11" ht="54" customHeight="1">
      <c r="A10398" s="9" t="s">
        <v>21649</v>
      </c>
      <c r="B10398" s="9" t="s">
        <v>21649</v>
      </c>
      <c r="C10398" s="9" t="s">
        <v>17</v>
      </c>
      <c r="D10398" s="9" t="s">
        <v>18</v>
      </c>
      <c r="E10398" s="10" t="s">
        <v>183</v>
      </c>
      <c r="F10398" s="9" t="s">
        <v>184</v>
      </c>
      <c r="G10398" s="10" t="s">
        <v>21</v>
      </c>
      <c r="H10398" s="9" t="s">
        <v>22</v>
      </c>
      <c r="I10398" s="9" t="s">
        <v>21650</v>
      </c>
      <c r="J10398" s="10" t="str">
        <f>HYPERLINK("https://www.boe.es/gazeta/dias/1834/03/18/pdfs/GMD-1834-34.pdf#page=3","Abrir facsímil")</f>
        <v>Abrir facsímil</v>
      </c>
      <c r="K10398" s="10" t="s">
        <v>24</v>
      </c>
    </row>
    <row r="10399" spans="1:11" ht="54" customHeight="1">
      <c r="A10399" s="9" t="s">
        <v>21649</v>
      </c>
      <c r="B10399" s="9" t="s">
        <v>21649</v>
      </c>
      <c r="C10399" s="9" t="s">
        <v>46</v>
      </c>
      <c r="D10399" s="9" t="s">
        <v>55</v>
      </c>
      <c r="E10399" s="10" t="s">
        <v>1307</v>
      </c>
      <c r="F10399" s="9" t="s">
        <v>1308</v>
      </c>
      <c r="G10399" s="10" t="s">
        <v>86</v>
      </c>
      <c r="H10399" s="9" t="s">
        <v>22</v>
      </c>
      <c r="I10399" s="9" t="s">
        <v>21651</v>
      </c>
      <c r="J10399" s="10" t="str">
        <f>HYPERLINK("https://www.boe.es/gazeta/dias/1834/08/25/pdfs/GMD-1834-191.pdf#page=2","Abrir facsímil")</f>
        <v>Abrir facsímil</v>
      </c>
      <c r="K10399" s="10" t="s">
        <v>24</v>
      </c>
    </row>
    <row r="10400" spans="1:11" ht="54" customHeight="1">
      <c r="A10400" s="9" t="s">
        <v>21652</v>
      </c>
      <c r="B10400" s="9" t="s">
        <v>21652</v>
      </c>
      <c r="C10400" s="9" t="s">
        <v>66</v>
      </c>
      <c r="D10400" s="9" t="s">
        <v>67</v>
      </c>
      <c r="E10400" s="10" t="s">
        <v>4736</v>
      </c>
      <c r="F10400" s="9" t="s">
        <v>4737</v>
      </c>
      <c r="G10400" s="10" t="s">
        <v>86</v>
      </c>
      <c r="H10400" s="9" t="s">
        <v>22</v>
      </c>
      <c r="I10400" s="9" t="s">
        <v>21653</v>
      </c>
      <c r="J10400" s="10" t="str">
        <f>HYPERLINK("https://www.boe.es/gazeta/dias/1834/09/16/pdfs/GMD-1834-214.pdf#page=2","Abrir facsímil")</f>
        <v>Abrir facsímil</v>
      </c>
      <c r="K10400" s="10" t="s">
        <v>24</v>
      </c>
    </row>
    <row r="10401" spans="1:11" ht="54" customHeight="1">
      <c r="A10401" s="9" t="s">
        <v>21654</v>
      </c>
      <c r="B10401" s="9" t="s">
        <v>21655</v>
      </c>
      <c r="C10401" s="9" t="s">
        <v>122</v>
      </c>
      <c r="D10401" s="9" t="s">
        <v>18</v>
      </c>
      <c r="E10401" s="10" t="s">
        <v>823</v>
      </c>
      <c r="F10401" s="9" t="s">
        <v>824</v>
      </c>
      <c r="G10401" s="10" t="s">
        <v>176</v>
      </c>
      <c r="H10401" s="9" t="s">
        <v>35</v>
      </c>
      <c r="I10401" s="9" t="s">
        <v>21656</v>
      </c>
      <c r="J10401" s="10" t="str">
        <f>HYPERLINK("https://www.boe.es/gazeta/dias/1834/07/23/pdfs/GMD-1834-156.pdf#page=6","Abrir facsímil")</f>
        <v>Abrir facsímil</v>
      </c>
      <c r="K10401" s="10" t="s">
        <v>37</v>
      </c>
    </row>
    <row r="10402" spans="1:11" ht="54" customHeight="1">
      <c r="A10402" s="9" t="s">
        <v>21657</v>
      </c>
      <c r="B10402" s="9" t="s">
        <v>21658</v>
      </c>
      <c r="C10402" s="9" t="s">
        <v>122</v>
      </c>
      <c r="D10402" s="9" t="s">
        <v>18</v>
      </c>
      <c r="E10402" s="10" t="s">
        <v>823</v>
      </c>
      <c r="F10402" s="9" t="s">
        <v>824</v>
      </c>
      <c r="G10402" s="10" t="s">
        <v>176</v>
      </c>
      <c r="H10402" s="9" t="s">
        <v>22</v>
      </c>
      <c r="I10402" s="9" t="s">
        <v>21659</v>
      </c>
      <c r="J10402" s="10" t="str">
        <f>HYPERLINK("https://www.boe.es/gazeta/dias/1834/07/23/pdfs/GMD-1834-156.pdf#page=6","Abrir facsímil")</f>
        <v>Abrir facsímil</v>
      </c>
      <c r="K10402" s="10" t="s">
        <v>24</v>
      </c>
    </row>
    <row r="10403" spans="1:11" ht="54" customHeight="1">
      <c r="A10403" s="9" t="s">
        <v>21660</v>
      </c>
      <c r="B10403" s="9" t="s">
        <v>21661</v>
      </c>
      <c r="C10403" s="9" t="s">
        <v>66</v>
      </c>
      <c r="D10403" s="9" t="s">
        <v>67</v>
      </c>
      <c r="E10403" s="10" t="s">
        <v>524</v>
      </c>
      <c r="F10403" s="9" t="s">
        <v>4743</v>
      </c>
      <c r="G10403" s="10" t="s">
        <v>75</v>
      </c>
      <c r="H10403" s="9" t="s">
        <v>22</v>
      </c>
      <c r="I10403" s="9" t="s">
        <v>21662</v>
      </c>
      <c r="J10403" s="10" t="str">
        <f>HYPERLINK("https://www.boe.es/gazeta/dias/1834/12/25/pdfs/GMD-1834-315.pdf#page=4","Abrir facsímil")</f>
        <v>Abrir facsímil</v>
      </c>
      <c r="K10403" s="10" t="s">
        <v>24</v>
      </c>
    </row>
    <row r="10404" spans="1:11" ht="54" customHeight="1">
      <c r="A10404" s="9" t="s">
        <v>21663</v>
      </c>
      <c r="B10404" s="9" t="s">
        <v>21663</v>
      </c>
      <c r="C10404" s="9" t="s">
        <v>122</v>
      </c>
      <c r="D10404" s="9" t="s">
        <v>18</v>
      </c>
      <c r="E10404" s="10" t="s">
        <v>1918</v>
      </c>
      <c r="F10404" s="9" t="s">
        <v>2024</v>
      </c>
      <c r="G10404" s="10" t="s">
        <v>86</v>
      </c>
      <c r="H10404" s="9" t="s">
        <v>22</v>
      </c>
      <c r="I10404" s="9" t="s">
        <v>21664</v>
      </c>
      <c r="J10404" s="10" t="str">
        <f>HYPERLINK("https://www.boe.es/gazeta/dias/1834/03/22/pdfs/GMD-C-1834-36.pdf#page=2","Abrir facsímil")</f>
        <v>Abrir facsímil</v>
      </c>
      <c r="K10404" s="10" t="s">
        <v>24</v>
      </c>
    </row>
    <row r="10405" spans="1:11" ht="54" customHeight="1">
      <c r="A10405" s="9" t="s">
        <v>21665</v>
      </c>
      <c r="B10405" s="9" t="s">
        <v>21666</v>
      </c>
      <c r="C10405" s="9" t="s">
        <v>17</v>
      </c>
      <c r="D10405" s="9" t="s">
        <v>18</v>
      </c>
      <c r="E10405" s="10" t="s">
        <v>237</v>
      </c>
      <c r="F10405" s="9" t="s">
        <v>4609</v>
      </c>
      <c r="G10405" s="10" t="s">
        <v>34</v>
      </c>
      <c r="H10405" s="9" t="s">
        <v>22</v>
      </c>
      <c r="I10405" s="9" t="s">
        <v>21667</v>
      </c>
      <c r="J10405" s="10" t="str">
        <f>HYPERLINK("https://www.boe.es/gazeta/dias/1834/08/15/pdfs/GMD-1834-180.pdf#page=1","Abrir facsímil")</f>
        <v>Abrir facsímil</v>
      </c>
      <c r="K10405" s="10" t="s">
        <v>24</v>
      </c>
    </row>
    <row r="10406" spans="1:11" ht="54" customHeight="1">
      <c r="A10406" s="9" t="s">
        <v>21668</v>
      </c>
      <c r="B10406" s="9" t="s">
        <v>21669</v>
      </c>
      <c r="C10406" s="9" t="s">
        <v>17</v>
      </c>
      <c r="D10406" s="9" t="s">
        <v>18</v>
      </c>
      <c r="E10406" s="10" t="s">
        <v>1402</v>
      </c>
      <c r="F10406" s="9" t="s">
        <v>1403</v>
      </c>
      <c r="G10406" s="10" t="s">
        <v>86</v>
      </c>
      <c r="H10406" s="9" t="s">
        <v>22</v>
      </c>
      <c r="I10406" s="9" t="s">
        <v>21670</v>
      </c>
      <c r="J10406" s="10" t="str">
        <f>HYPERLINK("https://www.boe.es/gazeta/dias/1834/05/05/pdfs/I00347-00348.pdf#page=2","Abrir facsímil")</f>
        <v>Abrir facsímil</v>
      </c>
      <c r="K10406" s="10" t="s">
        <v>24</v>
      </c>
    </row>
    <row r="10407" spans="1:11" ht="54" customHeight="1">
      <c r="A10407" s="9" t="s">
        <v>21668</v>
      </c>
      <c r="B10407" s="9" t="s">
        <v>21669</v>
      </c>
      <c r="C10407" s="9" t="s">
        <v>17</v>
      </c>
      <c r="D10407" s="9" t="s">
        <v>18</v>
      </c>
      <c r="E10407" s="10" t="s">
        <v>1402</v>
      </c>
      <c r="F10407" s="9" t="s">
        <v>1403</v>
      </c>
      <c r="G10407" s="10" t="s">
        <v>176</v>
      </c>
      <c r="H10407" s="9" t="s">
        <v>22</v>
      </c>
      <c r="I10407" s="9" t="s">
        <v>21671</v>
      </c>
      <c r="J10407" s="10" t="str">
        <f>HYPERLINK("https://www.boe.es/gazeta/dias/1834/05/05/pdfs/GMD-1834-74.pdf#page=6","Abrir facsímil")</f>
        <v>Abrir facsímil</v>
      </c>
      <c r="K10407" s="10" t="s">
        <v>24</v>
      </c>
    </row>
    <row r="10408" spans="1:11" ht="54" customHeight="1">
      <c r="A10408" s="9" t="s">
        <v>21668</v>
      </c>
      <c r="B10408" s="9" t="s">
        <v>21669</v>
      </c>
      <c r="C10408" s="9" t="s">
        <v>90</v>
      </c>
      <c r="D10408" s="9" t="s">
        <v>18</v>
      </c>
      <c r="E10408" s="10" t="s">
        <v>724</v>
      </c>
      <c r="F10408" s="9" t="s">
        <v>725</v>
      </c>
      <c r="G10408" s="10" t="s">
        <v>34</v>
      </c>
      <c r="H10408" s="9" t="s">
        <v>22</v>
      </c>
      <c r="I10408" s="9" t="s">
        <v>21672</v>
      </c>
      <c r="J10408" s="10" t="str">
        <f>HYPERLINK("https://www.boe.es/gazeta/dias/1834/04/25/pdfs/GMD-1834-64.pdf#page=1","Abrir facsímil")</f>
        <v>Abrir facsímil</v>
      </c>
      <c r="K10408" s="10" t="s">
        <v>24</v>
      </c>
    </row>
    <row r="10409" spans="1:11" ht="54" customHeight="1">
      <c r="A10409" s="9" t="s">
        <v>21668</v>
      </c>
      <c r="B10409" s="9" t="s">
        <v>21669</v>
      </c>
      <c r="C10409" s="9" t="s">
        <v>17</v>
      </c>
      <c r="D10409" s="9" t="s">
        <v>101</v>
      </c>
      <c r="E10409" s="10" t="s">
        <v>7523</v>
      </c>
      <c r="F10409" s="9" t="s">
        <v>7524</v>
      </c>
      <c r="G10409" s="10" t="s">
        <v>34</v>
      </c>
      <c r="H10409" s="9" t="s">
        <v>22</v>
      </c>
      <c r="I10409" s="9" t="s">
        <v>21673</v>
      </c>
      <c r="J10409" s="10" t="str">
        <f>HYPERLINK("https://www.boe.es/gazeta/dias/1834/12/26/pdfs/GMD-1834-316.pdf#page=1","Abrir facsímil")</f>
        <v>Abrir facsímil</v>
      </c>
      <c r="K10409" s="10" t="s">
        <v>24</v>
      </c>
    </row>
    <row r="10410" spans="1:11" ht="54" customHeight="1">
      <c r="A10410" s="9" t="s">
        <v>21674</v>
      </c>
      <c r="B10410" s="9" t="s">
        <v>21674</v>
      </c>
      <c r="C10410" s="9" t="s">
        <v>17</v>
      </c>
      <c r="D10410" s="9" t="s">
        <v>18</v>
      </c>
      <c r="E10410" s="10" t="s">
        <v>438</v>
      </c>
      <c r="F10410" s="9" t="s">
        <v>528</v>
      </c>
      <c r="G10410" s="10" t="s">
        <v>75</v>
      </c>
      <c r="H10410" s="9" t="s">
        <v>22</v>
      </c>
      <c r="I10410" s="9" t="s">
        <v>21675</v>
      </c>
      <c r="J10410" s="10" t="str">
        <f>HYPERLINK("https://www.boe.es/gazeta/dias/1834/11/09/pdfs/GMD-C-1834-268.pdf#page=4","Abrir facsímil")</f>
        <v>Abrir facsímil</v>
      </c>
      <c r="K10410" s="10" t="s">
        <v>24</v>
      </c>
    </row>
    <row r="10411" spans="1:11" ht="54" customHeight="1">
      <c r="A10411" s="9" t="s">
        <v>21676</v>
      </c>
      <c r="B10411" s="9" t="s">
        <v>21676</v>
      </c>
      <c r="C10411" s="9" t="s">
        <v>17</v>
      </c>
      <c r="D10411" s="9" t="s">
        <v>18</v>
      </c>
      <c r="E10411" s="10" t="s">
        <v>367</v>
      </c>
      <c r="F10411" s="9" t="s">
        <v>368</v>
      </c>
      <c r="G10411" s="10" t="s">
        <v>21</v>
      </c>
      <c r="H10411" s="9" t="s">
        <v>22</v>
      </c>
      <c r="I10411" s="9" t="s">
        <v>21677</v>
      </c>
      <c r="J10411" s="10" t="str">
        <f>HYPERLINK("https://www.boe.es/gazeta/dias/1834/05/19/pdfs/GMD-1834-88.pdf#page=3","Abrir facsímil")</f>
        <v>Abrir facsímil</v>
      </c>
      <c r="K10411" s="10" t="s">
        <v>24</v>
      </c>
    </row>
    <row r="10412" spans="1:11" ht="54" customHeight="1">
      <c r="A10412" s="9" t="s">
        <v>21678</v>
      </c>
      <c r="B10412" s="9" t="s">
        <v>21679</v>
      </c>
      <c r="C10412" s="9" t="s">
        <v>17</v>
      </c>
      <c r="D10412" s="9" t="s">
        <v>18</v>
      </c>
      <c r="E10412" s="10" t="s">
        <v>1394</v>
      </c>
      <c r="F10412" s="9" t="s">
        <v>1395</v>
      </c>
      <c r="G10412" s="10" t="s">
        <v>75</v>
      </c>
      <c r="H10412" s="9" t="s">
        <v>22</v>
      </c>
      <c r="I10412" s="9" t="s">
        <v>21680</v>
      </c>
      <c r="J10412" s="10" t="str">
        <f>HYPERLINK("https://www.boe.es/gazeta/dias/1834/04/16/pdfs/GMD-1834-55.pdf#page=4","Abrir facsímil")</f>
        <v>Abrir facsímil</v>
      </c>
      <c r="K10412" s="10" t="s">
        <v>24</v>
      </c>
    </row>
    <row r="10413" spans="1:11" ht="54" customHeight="1">
      <c r="A10413" s="9" t="s">
        <v>21681</v>
      </c>
      <c r="B10413" s="9" t="s">
        <v>21681</v>
      </c>
      <c r="C10413" s="9" t="s">
        <v>66</v>
      </c>
      <c r="D10413" s="9" t="s">
        <v>67</v>
      </c>
      <c r="E10413" s="10" t="s">
        <v>1918</v>
      </c>
      <c r="F10413" s="9" t="s">
        <v>2024</v>
      </c>
      <c r="G10413" s="10" t="s">
        <v>34</v>
      </c>
      <c r="H10413" s="9" t="s">
        <v>22</v>
      </c>
      <c r="I10413" s="9" t="s">
        <v>21682</v>
      </c>
      <c r="J10413" s="10" t="str">
        <f>HYPERLINK("https://www.boe.es/gazeta/dias/1834/03/22/pdfs/GMD-C-1834-36.pdf#page=1","Abrir facsímil")</f>
        <v>Abrir facsímil</v>
      </c>
      <c r="K10413" s="10" t="s">
        <v>24</v>
      </c>
    </row>
    <row r="10414" spans="1:11" ht="54" customHeight="1">
      <c r="A10414" s="9" t="s">
        <v>21683</v>
      </c>
      <c r="B10414" s="9" t="s">
        <v>21683</v>
      </c>
      <c r="C10414" s="9" t="s">
        <v>90</v>
      </c>
      <c r="D10414" s="9" t="s">
        <v>18</v>
      </c>
      <c r="E10414" s="10" t="s">
        <v>2203</v>
      </c>
      <c r="F10414" s="9" t="s">
        <v>2204</v>
      </c>
      <c r="G10414" s="10" t="s">
        <v>34</v>
      </c>
      <c r="H10414" s="9" t="s">
        <v>22</v>
      </c>
      <c r="I10414" s="9" t="s">
        <v>21684</v>
      </c>
      <c r="J10414" s="10" t="str">
        <f>HYPERLINK("https://www.boe.es/gazeta/dias/1834/09/10/pdfs/GMD-C-1834-208.pdf#page=1","Abrir facsímil")</f>
        <v>Abrir facsímil</v>
      </c>
      <c r="K10414" s="10" t="s">
        <v>24</v>
      </c>
    </row>
    <row r="10415" spans="1:11" ht="54" customHeight="1">
      <c r="A10415" s="9" t="s">
        <v>21685</v>
      </c>
      <c r="B10415" s="9" t="s">
        <v>21686</v>
      </c>
      <c r="C10415" s="9" t="s">
        <v>17</v>
      </c>
      <c r="D10415" s="9" t="s">
        <v>55</v>
      </c>
      <c r="E10415" s="10" t="s">
        <v>571</v>
      </c>
      <c r="F10415" s="9" t="s">
        <v>572</v>
      </c>
      <c r="G10415" s="10" t="s">
        <v>21</v>
      </c>
      <c r="H10415" s="9" t="s">
        <v>35</v>
      </c>
      <c r="I10415" s="9" t="s">
        <v>21687</v>
      </c>
      <c r="J10415" s="10" t="str">
        <f>HYPERLINK("https://www.boe.es/gazeta/dias/1834/09/04/pdfs/GMD-1834-202.pdf#page=3","Abrir facsímil")</f>
        <v>Abrir facsímil</v>
      </c>
      <c r="K10415" s="10" t="s">
        <v>37</v>
      </c>
    </row>
    <row r="10416" spans="1:11" ht="54" customHeight="1">
      <c r="A10416" s="9" t="s">
        <v>21688</v>
      </c>
      <c r="B10416" s="9" t="s">
        <v>21689</v>
      </c>
      <c r="C10416" s="9" t="s">
        <v>17</v>
      </c>
      <c r="D10416" s="9" t="s">
        <v>55</v>
      </c>
      <c r="E10416" s="10" t="s">
        <v>571</v>
      </c>
      <c r="F10416" s="9" t="s">
        <v>572</v>
      </c>
      <c r="G10416" s="10" t="s">
        <v>21</v>
      </c>
      <c r="H10416" s="9" t="s">
        <v>22</v>
      </c>
      <c r="I10416" s="9" t="s">
        <v>21690</v>
      </c>
      <c r="J10416" s="10" t="str">
        <f>HYPERLINK("https://www.boe.es/gazeta/dias/1834/09/04/pdfs/GMD-1834-202.pdf#page=3","Abrir facsímil")</f>
        <v>Abrir facsímil</v>
      </c>
      <c r="K10416" s="10" t="s">
        <v>24</v>
      </c>
    </row>
    <row r="10417" spans="1:11" ht="54" customHeight="1">
      <c r="A10417" s="9" t="s">
        <v>21688</v>
      </c>
      <c r="B10417" s="9" t="s">
        <v>21689</v>
      </c>
      <c r="C10417" s="9" t="s">
        <v>17</v>
      </c>
      <c r="D10417" s="9" t="s">
        <v>18</v>
      </c>
      <c r="E10417" s="10" t="s">
        <v>2203</v>
      </c>
      <c r="F10417" s="9" t="s">
        <v>2204</v>
      </c>
      <c r="G10417" s="10" t="s">
        <v>34</v>
      </c>
      <c r="H10417" s="9" t="s">
        <v>22</v>
      </c>
      <c r="I10417" s="9" t="s">
        <v>21691</v>
      </c>
      <c r="J10417" s="10" t="str">
        <f>HYPERLINK("https://www.boe.es/gazeta/dias/1834/09/10/pdfs/GMD-C-1834-208.pdf#page=1","Abrir facsímil")</f>
        <v>Abrir facsímil</v>
      </c>
      <c r="K10417" s="10" t="s">
        <v>24</v>
      </c>
    </row>
    <row r="10418" spans="1:11" ht="54" customHeight="1">
      <c r="A10418" s="9" t="s">
        <v>21692</v>
      </c>
      <c r="B10418" s="9" t="s">
        <v>21692</v>
      </c>
      <c r="C10418" s="9" t="s">
        <v>17</v>
      </c>
      <c r="D10418" s="9" t="s">
        <v>18</v>
      </c>
      <c r="E10418" s="10" t="s">
        <v>348</v>
      </c>
      <c r="F10418" s="9" t="s">
        <v>501</v>
      </c>
      <c r="G10418" s="10" t="s">
        <v>86</v>
      </c>
      <c r="H10418" s="9" t="s">
        <v>22</v>
      </c>
      <c r="I10418" s="9" t="s">
        <v>21693</v>
      </c>
      <c r="J10418" s="10" t="str">
        <f>HYPERLINK("https://www.boe.es/gazeta/dias/1834/06/12/pdfs/GMD-1834-115.pdf#page=2","Abrir facsímil")</f>
        <v>Abrir facsímil</v>
      </c>
      <c r="K10418" s="10" t="s">
        <v>24</v>
      </c>
    </row>
    <row r="10419" spans="1:11" ht="54" customHeight="1">
      <c r="A10419" s="9" t="s">
        <v>21694</v>
      </c>
      <c r="B10419" s="9" t="s">
        <v>21694</v>
      </c>
      <c r="C10419" s="9" t="s">
        <v>46</v>
      </c>
      <c r="D10419" s="9" t="s">
        <v>55</v>
      </c>
      <c r="E10419" s="10" t="s">
        <v>394</v>
      </c>
      <c r="F10419" s="9" t="s">
        <v>395</v>
      </c>
      <c r="G10419" s="10" t="s">
        <v>86</v>
      </c>
      <c r="H10419" s="9" t="s">
        <v>22</v>
      </c>
      <c r="I10419" s="9" t="s">
        <v>21695</v>
      </c>
      <c r="J10419" s="10" t="str">
        <f>HYPERLINK("https://www.boe.es/gazeta/dias/1834/12/23/pdfs/GMD-1834-313.pdf#page=2","Abrir facsímil")</f>
        <v>Abrir facsímil</v>
      </c>
      <c r="K10419" s="10" t="s">
        <v>24</v>
      </c>
    </row>
    <row r="10420" spans="1:11" ht="54" customHeight="1">
      <c r="A10420" s="9" t="s">
        <v>21696</v>
      </c>
      <c r="B10420" s="9" t="s">
        <v>21696</v>
      </c>
      <c r="C10420" s="9" t="s">
        <v>90</v>
      </c>
      <c r="D10420" s="9" t="s">
        <v>18</v>
      </c>
      <c r="E10420" s="10" t="s">
        <v>912</v>
      </c>
      <c r="F10420" s="9" t="s">
        <v>913</v>
      </c>
      <c r="G10420" s="10" t="s">
        <v>75</v>
      </c>
      <c r="H10420" s="9" t="s">
        <v>22</v>
      </c>
      <c r="I10420" s="9" t="s">
        <v>21697</v>
      </c>
      <c r="J10420" s="10" t="str">
        <f>HYPERLINK("https://www.boe.es/gazeta/dias/1834/02/15/pdfs/GMD-1834-21.pdf#page=4","Abrir facsímil")</f>
        <v>Abrir facsímil</v>
      </c>
      <c r="K10420" s="10" t="s">
        <v>24</v>
      </c>
    </row>
    <row r="10421" spans="1:11" ht="54" customHeight="1">
      <c r="A10421" s="9" t="s">
        <v>21698</v>
      </c>
      <c r="B10421" s="9" t="s">
        <v>21699</v>
      </c>
      <c r="C10421" s="9" t="s">
        <v>17</v>
      </c>
      <c r="D10421" s="9" t="s">
        <v>55</v>
      </c>
      <c r="E10421" s="10" t="s">
        <v>102</v>
      </c>
      <c r="F10421" s="9" t="s">
        <v>103</v>
      </c>
      <c r="G10421" s="10" t="s">
        <v>21</v>
      </c>
      <c r="H10421" s="9" t="s">
        <v>35</v>
      </c>
      <c r="I10421" s="9" t="s">
        <v>21700</v>
      </c>
      <c r="J10421" s="10" t="str">
        <f>HYPERLINK("https://www.boe.es/gazeta/dias/1834/07/19/pdfs/GMD-1834-152.pdf#page=3","Abrir facsímil")</f>
        <v>Abrir facsímil</v>
      </c>
      <c r="K10421" s="10" t="s">
        <v>37</v>
      </c>
    </row>
    <row r="10422" spans="1:11" ht="54" customHeight="1">
      <c r="A10422" s="9" t="s">
        <v>21701</v>
      </c>
      <c r="B10422" s="9" t="s">
        <v>21702</v>
      </c>
      <c r="C10422" s="9" t="s">
        <v>17</v>
      </c>
      <c r="D10422" s="9" t="s">
        <v>55</v>
      </c>
      <c r="E10422" s="10" t="s">
        <v>102</v>
      </c>
      <c r="F10422" s="9" t="s">
        <v>103</v>
      </c>
      <c r="G10422" s="10" t="s">
        <v>21</v>
      </c>
      <c r="H10422" s="9" t="s">
        <v>22</v>
      </c>
      <c r="I10422" s="9" t="s">
        <v>21703</v>
      </c>
      <c r="J10422" s="10" t="str">
        <f>HYPERLINK("https://www.boe.es/gazeta/dias/1834/07/19/pdfs/GMD-1834-152.pdf#page=3","Abrir facsímil")</f>
        <v>Abrir facsímil</v>
      </c>
      <c r="K10422" s="10" t="s">
        <v>24</v>
      </c>
    </row>
    <row r="10423" spans="1:11" ht="54" customHeight="1">
      <c r="A10423" s="9" t="s">
        <v>21704</v>
      </c>
      <c r="B10423" s="9" t="s">
        <v>21704</v>
      </c>
      <c r="C10423" s="9" t="s">
        <v>17</v>
      </c>
      <c r="D10423" s="9" t="s">
        <v>55</v>
      </c>
      <c r="E10423" s="10" t="s">
        <v>1677</v>
      </c>
      <c r="F10423" s="9" t="s">
        <v>1678</v>
      </c>
      <c r="G10423" s="10" t="s">
        <v>21</v>
      </c>
      <c r="H10423" s="9" t="s">
        <v>22</v>
      </c>
      <c r="I10423" s="9" t="s">
        <v>21705</v>
      </c>
      <c r="J10423" s="10" t="str">
        <f>HYPERLINK("https://www.boe.es/gazeta/dias/1834/07/26/pdfs/GMD-1834-159.pdf#page=3","Abrir facsímil")</f>
        <v>Abrir facsímil</v>
      </c>
      <c r="K10423" s="10" t="s">
        <v>24</v>
      </c>
    </row>
    <row r="10424" spans="1:11" ht="54" customHeight="1">
      <c r="A10424" s="9" t="s">
        <v>21706</v>
      </c>
      <c r="B10424" s="9" t="s">
        <v>21706</v>
      </c>
      <c r="C10424" s="9" t="s">
        <v>17</v>
      </c>
      <c r="D10424" s="9" t="s">
        <v>55</v>
      </c>
      <c r="E10424" s="10" t="s">
        <v>3810</v>
      </c>
      <c r="F10424" s="9" t="s">
        <v>3811</v>
      </c>
      <c r="G10424" s="10" t="s">
        <v>86</v>
      </c>
      <c r="H10424" s="9" t="s">
        <v>22</v>
      </c>
      <c r="I10424" s="9" t="s">
        <v>21707</v>
      </c>
      <c r="J10424" s="10" t="str">
        <f>HYPERLINK("https://www.boe.es/gazeta/dias/1834/02/20/pdfs/GMD-1834-23.pdf#page=2","Abrir facsímil")</f>
        <v>Abrir facsímil</v>
      </c>
      <c r="K10424" s="10" t="s">
        <v>24</v>
      </c>
    </row>
    <row r="10425" spans="1:11" ht="54" customHeight="1">
      <c r="A10425" s="9" t="s">
        <v>21708</v>
      </c>
      <c r="B10425" s="9" t="s">
        <v>21708</v>
      </c>
      <c r="C10425" s="9" t="s">
        <v>46</v>
      </c>
      <c r="D10425" s="9" t="s">
        <v>18</v>
      </c>
      <c r="E10425" s="10" t="s">
        <v>3810</v>
      </c>
      <c r="F10425" s="9" t="s">
        <v>3811</v>
      </c>
      <c r="G10425" s="10" t="s">
        <v>86</v>
      </c>
      <c r="H10425" s="9" t="s">
        <v>22</v>
      </c>
      <c r="I10425" s="9" t="s">
        <v>21709</v>
      </c>
      <c r="J10425" s="10" t="str">
        <f>HYPERLINK("https://www.boe.es/gazeta/dias/1834/02/20/pdfs/GMD-1834-23.pdf#page=2","Abrir facsímil")</f>
        <v>Abrir facsímil</v>
      </c>
      <c r="K10425" s="10" t="s">
        <v>24</v>
      </c>
    </row>
    <row r="10426" spans="1:11" ht="54" customHeight="1">
      <c r="A10426" s="9" t="s">
        <v>21710</v>
      </c>
      <c r="B10426" s="9" t="s">
        <v>21711</v>
      </c>
      <c r="C10426" s="9" t="s">
        <v>66</v>
      </c>
      <c r="D10426" s="9" t="s">
        <v>67</v>
      </c>
      <c r="E10426" s="10" t="s">
        <v>3471</v>
      </c>
      <c r="F10426" s="9" t="s">
        <v>3472</v>
      </c>
      <c r="G10426" s="10" t="s">
        <v>21</v>
      </c>
      <c r="H10426" s="9" t="s">
        <v>22</v>
      </c>
      <c r="I10426" s="9" t="s">
        <v>21712</v>
      </c>
      <c r="J10426" s="10" t="str">
        <f>HYPERLINK("https://www.boe.es/gazeta/dias/1834/07/07/pdfs/GMD-1834-140.pdf#page=3","Abrir facsímil")</f>
        <v>Abrir facsímil</v>
      </c>
      <c r="K10426" s="10" t="s">
        <v>24</v>
      </c>
    </row>
    <row r="10427" spans="1:11" ht="54" customHeight="1">
      <c r="A10427" s="9" t="s">
        <v>21713</v>
      </c>
      <c r="B10427" s="9" t="s">
        <v>21713</v>
      </c>
      <c r="C10427" s="9" t="s">
        <v>46</v>
      </c>
      <c r="D10427" s="9" t="s">
        <v>101</v>
      </c>
      <c r="E10427" s="10" t="s">
        <v>1438</v>
      </c>
      <c r="F10427" s="9" t="s">
        <v>1439</v>
      </c>
      <c r="G10427" s="10" t="s">
        <v>86</v>
      </c>
      <c r="H10427" s="9" t="s">
        <v>22</v>
      </c>
      <c r="I10427" s="9" t="s">
        <v>21714</v>
      </c>
      <c r="J10427" s="10" t="str">
        <f>HYPERLINK("https://www.boe.es/gazeta/dias/1834/05/13/pdfs/GMD-1834-82.pdf#page=2","Abrir facsímil")</f>
        <v>Abrir facsímil</v>
      </c>
      <c r="K10427" s="10" t="s">
        <v>24</v>
      </c>
    </row>
    <row r="10428" spans="1:11" ht="54" customHeight="1">
      <c r="A10428" s="9" t="s">
        <v>21715</v>
      </c>
      <c r="B10428" s="9" t="s">
        <v>21715</v>
      </c>
      <c r="C10428" s="9" t="s">
        <v>17</v>
      </c>
      <c r="D10428" s="9" t="s">
        <v>18</v>
      </c>
      <c r="E10428" s="10" t="s">
        <v>348</v>
      </c>
      <c r="F10428" s="9" t="s">
        <v>501</v>
      </c>
      <c r="G10428" s="10" t="s">
        <v>34</v>
      </c>
      <c r="H10428" s="9" t="s">
        <v>22</v>
      </c>
      <c r="I10428" s="9" t="s">
        <v>21716</v>
      </c>
      <c r="J10428" s="10" t="str">
        <f>HYPERLINK("https://www.boe.es/gazeta/dias/1834/06/12/pdfs/GMD-1834-115.pdf#page=1","Abrir facsímil")</f>
        <v>Abrir facsímil</v>
      </c>
      <c r="K10428" s="10" t="s">
        <v>24</v>
      </c>
    </row>
    <row r="10429" spans="1:11" ht="54" customHeight="1">
      <c r="A10429" s="9" t="s">
        <v>21717</v>
      </c>
      <c r="B10429" s="9" t="s">
        <v>21718</v>
      </c>
      <c r="C10429" s="9" t="s">
        <v>17</v>
      </c>
      <c r="D10429" s="9" t="s">
        <v>18</v>
      </c>
      <c r="E10429" s="10" t="s">
        <v>200</v>
      </c>
      <c r="F10429" s="9" t="s">
        <v>2248</v>
      </c>
      <c r="G10429" s="10" t="s">
        <v>28</v>
      </c>
      <c r="H10429" s="9" t="s">
        <v>22</v>
      </c>
      <c r="I10429" s="9" t="s">
        <v>21719</v>
      </c>
      <c r="J10429" s="10" t="str">
        <f>HYPERLINK("https://www.boe.es/gazeta/dias/1834/12/11/pdfs/GMD-C-1834-300.pdf#page=5","Abrir facsímil")</f>
        <v>Abrir facsímil</v>
      </c>
      <c r="K10429" s="10" t="s">
        <v>24</v>
      </c>
    </row>
    <row r="10430" spans="1:11" ht="54" customHeight="1">
      <c r="A10430" s="9" t="s">
        <v>21720</v>
      </c>
      <c r="B10430" s="9" t="s">
        <v>21721</v>
      </c>
      <c r="C10430" s="9" t="s">
        <v>17</v>
      </c>
      <c r="D10430" s="9" t="s">
        <v>18</v>
      </c>
      <c r="E10430" s="10" t="s">
        <v>222</v>
      </c>
      <c r="F10430" s="9" t="s">
        <v>223</v>
      </c>
      <c r="G10430" s="10" t="s">
        <v>21</v>
      </c>
      <c r="H10430" s="9" t="s">
        <v>22</v>
      </c>
      <c r="I10430" s="9" t="s">
        <v>21722</v>
      </c>
      <c r="J10430" s="10" t="str">
        <f>HYPERLINK("https://www.boe.es/gazeta/dias/1834/09/14/pdfs/GMD-1834-212.pdf#page=3","Abrir facsímil")</f>
        <v>Abrir facsímil</v>
      </c>
      <c r="K10430" s="10" t="s">
        <v>24</v>
      </c>
    </row>
    <row r="10431" spans="1:11" ht="54" customHeight="1">
      <c r="A10431" s="9" t="s">
        <v>21723</v>
      </c>
      <c r="B10431" s="9" t="s">
        <v>21723</v>
      </c>
      <c r="C10431" s="9" t="s">
        <v>17</v>
      </c>
      <c r="D10431" s="9" t="s">
        <v>18</v>
      </c>
      <c r="E10431" s="10" t="s">
        <v>2937</v>
      </c>
      <c r="F10431" s="9" t="s">
        <v>2938</v>
      </c>
      <c r="G10431" s="10" t="s">
        <v>86</v>
      </c>
      <c r="H10431" s="9" t="s">
        <v>22</v>
      </c>
      <c r="I10431" s="9" t="s">
        <v>21724</v>
      </c>
      <c r="J10431" s="10" t="str">
        <f>HYPERLINK("https://www.boe.es/gazeta/dias/1834/06/25/pdfs/GMD-1834-128.pdf#page=2","Abrir facsímil")</f>
        <v>Abrir facsímil</v>
      </c>
      <c r="K10431" s="10" t="s">
        <v>24</v>
      </c>
    </row>
    <row r="10432" spans="1:11" ht="54" customHeight="1">
      <c r="A10432" s="9" t="s">
        <v>21725</v>
      </c>
      <c r="B10432" s="9" t="s">
        <v>21725</v>
      </c>
      <c r="C10432" s="9" t="s">
        <v>66</v>
      </c>
      <c r="D10432" s="9" t="s">
        <v>67</v>
      </c>
      <c r="E10432" s="10" t="s">
        <v>2459</v>
      </c>
      <c r="F10432" s="9" t="s">
        <v>2460</v>
      </c>
      <c r="G10432" s="10" t="s">
        <v>86</v>
      </c>
      <c r="H10432" s="9" t="s">
        <v>22</v>
      </c>
      <c r="I10432" s="9" t="s">
        <v>21726</v>
      </c>
      <c r="J10432" s="10" t="str">
        <f>HYPERLINK("https://www.boe.es/gazeta/dias/1834/04/04/pdfs/GMD-1834-43.pdf#page=2","Abrir facsímil")</f>
        <v>Abrir facsímil</v>
      </c>
      <c r="K10432" s="10" t="s">
        <v>24</v>
      </c>
    </row>
    <row r="10433" spans="1:11" ht="54" customHeight="1">
      <c r="A10433" s="9" t="s">
        <v>21727</v>
      </c>
      <c r="B10433" s="9" t="s">
        <v>21728</v>
      </c>
      <c r="C10433" s="9" t="s">
        <v>17</v>
      </c>
      <c r="D10433" s="9" t="s">
        <v>18</v>
      </c>
      <c r="E10433" s="10" t="s">
        <v>19</v>
      </c>
      <c r="F10433" s="9" t="s">
        <v>107</v>
      </c>
      <c r="G10433" s="10" t="s">
        <v>75</v>
      </c>
      <c r="H10433" s="9" t="s">
        <v>22</v>
      </c>
      <c r="I10433" s="9" t="s">
        <v>21729</v>
      </c>
      <c r="J10433" s="10" t="str">
        <f>HYPERLINK("https://www.boe.es/gazeta/dias/1834/08/17/pdfs/GMD-1834-182.pdf#page=4","Abrir facsímil")</f>
        <v>Abrir facsímil</v>
      </c>
      <c r="K10433" s="10" t="s">
        <v>24</v>
      </c>
    </row>
    <row r="10434" spans="1:11" ht="54" customHeight="1">
      <c r="A10434" s="9" t="s">
        <v>21730</v>
      </c>
      <c r="B10434" s="9" t="s">
        <v>21730</v>
      </c>
      <c r="C10434" s="9" t="s">
        <v>66</v>
      </c>
      <c r="D10434" s="9" t="s">
        <v>18</v>
      </c>
      <c r="E10434" s="10" t="s">
        <v>317</v>
      </c>
      <c r="F10434" s="9" t="s">
        <v>318</v>
      </c>
      <c r="G10434" s="10" t="s">
        <v>86</v>
      </c>
      <c r="H10434" s="9" t="s">
        <v>22</v>
      </c>
      <c r="I10434" s="9" t="s">
        <v>21731</v>
      </c>
      <c r="J10434" s="10" t="str">
        <f>HYPERLINK("https://www.boe.es/gazeta/dias/1834/03/06/pdfs/GMD-1834-29.pdf#page=2","Abrir facsímil")</f>
        <v>Abrir facsímil</v>
      </c>
      <c r="K10434" s="10" t="s">
        <v>24</v>
      </c>
    </row>
    <row r="10435" spans="1:11" ht="54" customHeight="1">
      <c r="A10435" s="9" t="s">
        <v>21732</v>
      </c>
      <c r="B10435" s="9" t="s">
        <v>21732</v>
      </c>
      <c r="C10435" s="9" t="s">
        <v>17</v>
      </c>
      <c r="D10435" s="9" t="s">
        <v>18</v>
      </c>
      <c r="E10435" s="10" t="s">
        <v>2241</v>
      </c>
      <c r="F10435" s="9" t="s">
        <v>2242</v>
      </c>
      <c r="G10435" s="10" t="s">
        <v>86</v>
      </c>
      <c r="H10435" s="9" t="s">
        <v>22</v>
      </c>
      <c r="I10435" s="9" t="s">
        <v>21733</v>
      </c>
      <c r="J10435" s="10" t="str">
        <f>HYPERLINK("https://www.boe.es/gazeta/dias/1834/03/11/pdfs/GMD-1834-31.pdf#page=2","Abrir facsímil")</f>
        <v>Abrir facsímil</v>
      </c>
      <c r="K10435" s="10" t="s">
        <v>24</v>
      </c>
    </row>
    <row r="10436" spans="1:11" ht="54" customHeight="1">
      <c r="A10436" s="9" t="s">
        <v>21734</v>
      </c>
      <c r="B10436" s="9" t="s">
        <v>21735</v>
      </c>
      <c r="C10436" s="9" t="s">
        <v>122</v>
      </c>
      <c r="D10436" s="9" t="s">
        <v>18</v>
      </c>
      <c r="E10436" s="10" t="s">
        <v>2260</v>
      </c>
      <c r="F10436" s="9" t="s">
        <v>2261</v>
      </c>
      <c r="G10436" s="10" t="s">
        <v>86</v>
      </c>
      <c r="H10436" s="9" t="s">
        <v>22</v>
      </c>
      <c r="I10436" s="9" t="s">
        <v>21736</v>
      </c>
      <c r="J10436" s="10" t="str">
        <f>HYPERLINK("https://www.boe.es/gazeta/dias/1834/11/13/pdfs/GMD-1834-272.pdf#page=2","Abrir facsímil")</f>
        <v>Abrir facsímil</v>
      </c>
      <c r="K10436" s="10" t="s">
        <v>24</v>
      </c>
    </row>
    <row r="10437" spans="1:11" ht="54" customHeight="1">
      <c r="A10437" s="9" t="s">
        <v>21737</v>
      </c>
      <c r="B10437" s="9" t="s">
        <v>21737</v>
      </c>
      <c r="C10437" s="9" t="s">
        <v>17</v>
      </c>
      <c r="D10437" s="9" t="s">
        <v>18</v>
      </c>
      <c r="E10437" s="10" t="s">
        <v>84</v>
      </c>
      <c r="F10437" s="9" t="s">
        <v>1223</v>
      </c>
      <c r="G10437" s="10" t="s">
        <v>21</v>
      </c>
      <c r="H10437" s="9" t="s">
        <v>22</v>
      </c>
      <c r="I10437" s="9" t="s">
        <v>21738</v>
      </c>
      <c r="J10437" s="10" t="str">
        <f>HYPERLINK("https://www.boe.es/gazeta/dias/1834/06/07/pdfs/GMD-1834-109.pdf#page=3","Abrir facsímil")</f>
        <v>Abrir facsímil</v>
      </c>
      <c r="K10437" s="10" t="s">
        <v>24</v>
      </c>
    </row>
    <row r="10438" spans="1:11" ht="54" customHeight="1">
      <c r="A10438" s="9" t="s">
        <v>21739</v>
      </c>
      <c r="B10438" s="9" t="s">
        <v>21740</v>
      </c>
      <c r="C10438" s="9" t="s">
        <v>17</v>
      </c>
      <c r="D10438" s="9" t="s">
        <v>18</v>
      </c>
      <c r="E10438" s="10" t="s">
        <v>1402</v>
      </c>
      <c r="F10438" s="9" t="s">
        <v>1403</v>
      </c>
      <c r="G10438" s="10" t="s">
        <v>75</v>
      </c>
      <c r="H10438" s="9" t="s">
        <v>22</v>
      </c>
      <c r="I10438" s="9" t="s">
        <v>21741</v>
      </c>
      <c r="J10438" s="10" t="str">
        <f>HYPERLINK("https://www.boe.es/gazeta/dias/1834/05/05/pdfs/GMD-1834-74.pdf#page=4","Abrir facsímil")</f>
        <v>Abrir facsímil</v>
      </c>
      <c r="K10438" s="10" t="s">
        <v>24</v>
      </c>
    </row>
    <row r="10439" spans="1:11" ht="54" customHeight="1">
      <c r="A10439" s="9" t="s">
        <v>21742</v>
      </c>
      <c r="B10439" s="9" t="s">
        <v>21742</v>
      </c>
      <c r="C10439" s="9" t="s">
        <v>122</v>
      </c>
      <c r="D10439" s="9" t="s">
        <v>18</v>
      </c>
      <c r="E10439" s="10" t="s">
        <v>326</v>
      </c>
      <c r="F10439" s="9" t="s">
        <v>327</v>
      </c>
      <c r="G10439" s="10" t="s">
        <v>86</v>
      </c>
      <c r="H10439" s="9" t="s">
        <v>22</v>
      </c>
      <c r="I10439" s="9" t="s">
        <v>21743</v>
      </c>
      <c r="J10439" s="10" t="str">
        <f>HYPERLINK("https://www.boe.es/gazeta/dias/1834/07/15/pdfs/GMD-1834-148.pdf#page=2","Abrir facsímil")</f>
        <v>Abrir facsímil</v>
      </c>
      <c r="K10439" s="10" t="s">
        <v>24</v>
      </c>
    </row>
    <row r="10440" spans="1:11" ht="54" customHeight="1">
      <c r="A10440" s="9" t="s">
        <v>21744</v>
      </c>
      <c r="B10440" s="9" t="s">
        <v>21745</v>
      </c>
      <c r="C10440" s="9" t="s">
        <v>17</v>
      </c>
      <c r="D10440" s="9" t="s">
        <v>18</v>
      </c>
      <c r="E10440" s="10" t="s">
        <v>1186</v>
      </c>
      <c r="F10440" s="9" t="s">
        <v>1187</v>
      </c>
      <c r="G10440" s="10" t="s">
        <v>34</v>
      </c>
      <c r="H10440" s="9" t="s">
        <v>35</v>
      </c>
      <c r="I10440" s="9" t="s">
        <v>21746</v>
      </c>
      <c r="J10440" s="10" t="str">
        <f>HYPERLINK("https://www.boe.es/gazeta/dias/1834/08/14/pdfs/GMD-1834-179.pdf#page=1","Abrir facsímil")</f>
        <v>Abrir facsímil</v>
      </c>
      <c r="K10440" s="10" t="s">
        <v>37</v>
      </c>
    </row>
    <row r="10441" spans="1:11" ht="54" customHeight="1">
      <c r="A10441" s="9" t="s">
        <v>21747</v>
      </c>
      <c r="B10441" s="9" t="s">
        <v>21747</v>
      </c>
      <c r="C10441" s="9" t="s">
        <v>66</v>
      </c>
      <c r="D10441" s="9" t="s">
        <v>67</v>
      </c>
      <c r="E10441" s="10" t="s">
        <v>758</v>
      </c>
      <c r="F10441" s="9" t="s">
        <v>759</v>
      </c>
      <c r="G10441" s="10" t="s">
        <v>75</v>
      </c>
      <c r="H10441" s="9" t="s">
        <v>22</v>
      </c>
      <c r="I10441" s="9" t="s">
        <v>21748</v>
      </c>
      <c r="J10441" s="10" t="str">
        <f>HYPERLINK("https://www.boe.es/gazeta/dias/1834/01/04/pdfs/GMD-1834-3.pdf#page=4","Abrir facsímil")</f>
        <v>Abrir facsímil</v>
      </c>
      <c r="K10441" s="10" t="s">
        <v>24</v>
      </c>
    </row>
    <row r="10442" spans="1:11" ht="54" customHeight="1">
      <c r="A10442" s="9" t="s">
        <v>21747</v>
      </c>
      <c r="B10442" s="9" t="s">
        <v>21747</v>
      </c>
      <c r="C10442" s="9" t="s">
        <v>17</v>
      </c>
      <c r="D10442" s="9" t="s">
        <v>40</v>
      </c>
      <c r="E10442" s="10" t="s">
        <v>433</v>
      </c>
      <c r="F10442" s="9" t="s">
        <v>2773</v>
      </c>
      <c r="G10442" s="10" t="s">
        <v>86</v>
      </c>
      <c r="H10442" s="9" t="s">
        <v>22</v>
      </c>
      <c r="I10442" s="9" t="s">
        <v>21749</v>
      </c>
      <c r="J10442" s="10" t="str">
        <f>HYPERLINK("https://www.boe.es/gazeta/dias/1834/10/07/pdfs/I00986-00987.pdf#page=2","Abrir facsímil")</f>
        <v>Abrir facsímil</v>
      </c>
      <c r="K10442" s="10" t="s">
        <v>24</v>
      </c>
    </row>
    <row r="10443" spans="1:11" ht="54" customHeight="1">
      <c r="A10443" s="9" t="s">
        <v>21747</v>
      </c>
      <c r="B10443" s="9" t="s">
        <v>21747</v>
      </c>
      <c r="C10443" s="9" t="s">
        <v>17</v>
      </c>
      <c r="D10443" s="9" t="s">
        <v>40</v>
      </c>
      <c r="E10443" s="10" t="s">
        <v>433</v>
      </c>
      <c r="F10443" s="9" t="s">
        <v>2773</v>
      </c>
      <c r="G10443" s="10" t="s">
        <v>21</v>
      </c>
      <c r="H10443" s="9" t="s">
        <v>22</v>
      </c>
      <c r="I10443" s="9" t="s">
        <v>21749</v>
      </c>
      <c r="J10443" s="10" t="str">
        <f>HYPERLINK("https://www.boe.es/gazeta/dias/1834/10/07/pdfs/GMD-1834-235.pdf#page=3","Abrir facsímil")</f>
        <v>Abrir facsímil</v>
      </c>
      <c r="K10443" s="10" t="s">
        <v>24</v>
      </c>
    </row>
    <row r="10444" spans="1:11" ht="54" customHeight="1">
      <c r="A10444" s="9" t="s">
        <v>21747</v>
      </c>
      <c r="B10444" s="9" t="s">
        <v>21747</v>
      </c>
      <c r="C10444" s="9" t="s">
        <v>17</v>
      </c>
      <c r="D10444" s="9" t="s">
        <v>18</v>
      </c>
      <c r="E10444" s="10" t="s">
        <v>1268</v>
      </c>
      <c r="F10444" s="9" t="s">
        <v>1269</v>
      </c>
      <c r="G10444" s="10" t="s">
        <v>75</v>
      </c>
      <c r="H10444" s="9" t="s">
        <v>22</v>
      </c>
      <c r="I10444" s="9" t="s">
        <v>21750</v>
      </c>
      <c r="J10444" s="10" t="str">
        <f>HYPERLINK("https://www.boe.es/gazeta/dias/1834/12/09/pdfs/GMD-1834-298.pdf#page=4","Abrir facsímil")</f>
        <v>Abrir facsímil</v>
      </c>
      <c r="K10444" s="10" t="s">
        <v>24</v>
      </c>
    </row>
    <row r="10445" spans="1:11" ht="54" customHeight="1">
      <c r="A10445" s="9" t="s">
        <v>21747</v>
      </c>
      <c r="B10445" s="9" t="s">
        <v>21747</v>
      </c>
      <c r="C10445" s="9" t="s">
        <v>17</v>
      </c>
      <c r="D10445" s="9" t="s">
        <v>40</v>
      </c>
      <c r="E10445" s="10" t="s">
        <v>1695</v>
      </c>
      <c r="F10445" s="9" t="s">
        <v>1696</v>
      </c>
      <c r="G10445" s="10" t="s">
        <v>75</v>
      </c>
      <c r="H10445" s="9" t="s">
        <v>22</v>
      </c>
      <c r="I10445" s="9" t="s">
        <v>21751</v>
      </c>
      <c r="J10445" s="10" t="str">
        <f>HYPERLINK("https://www.boe.es/gazeta/dias/1834/06/30/pdfs/GMD-1834-133.pdf#page=4","Abrir facsímil")</f>
        <v>Abrir facsímil</v>
      </c>
      <c r="K10445" s="10" t="s">
        <v>24</v>
      </c>
    </row>
    <row r="10446" spans="1:11" ht="54" customHeight="1">
      <c r="A10446" s="9" t="s">
        <v>21752</v>
      </c>
      <c r="B10446" s="9" t="s">
        <v>21753</v>
      </c>
      <c r="C10446" s="9" t="s">
        <v>17</v>
      </c>
      <c r="D10446" s="9" t="s">
        <v>55</v>
      </c>
      <c r="E10446" s="10" t="s">
        <v>939</v>
      </c>
      <c r="F10446" s="9" t="s">
        <v>940</v>
      </c>
      <c r="G10446" s="10" t="s">
        <v>34</v>
      </c>
      <c r="H10446" s="9" t="s">
        <v>22</v>
      </c>
      <c r="I10446" s="9" t="s">
        <v>21754</v>
      </c>
      <c r="J10446" s="10" t="str">
        <f>HYPERLINK("https://www.boe.es/gazeta/dias/1834/06/10/pdfs/GMD-1834-113.pdf#page=1","Abrir facsímil")</f>
        <v>Abrir facsímil</v>
      </c>
      <c r="K10446" s="10" t="s">
        <v>24</v>
      </c>
    </row>
    <row r="10447" spans="1:11" ht="54" customHeight="1">
      <c r="A10447" s="9" t="s">
        <v>21755</v>
      </c>
      <c r="B10447" s="9" t="s">
        <v>21756</v>
      </c>
      <c r="C10447" s="9" t="s">
        <v>17</v>
      </c>
      <c r="D10447" s="9" t="s">
        <v>18</v>
      </c>
      <c r="E10447" s="10" t="s">
        <v>1103</v>
      </c>
      <c r="F10447" s="9" t="s">
        <v>1259</v>
      </c>
      <c r="G10447" s="10" t="s">
        <v>21</v>
      </c>
      <c r="H10447" s="9" t="s">
        <v>22</v>
      </c>
      <c r="I10447" s="9" t="s">
        <v>21757</v>
      </c>
      <c r="J10447" s="10" t="str">
        <f>HYPERLINK("https://www.boe.es/gazeta/dias/1834/10/10/pdfs/GMD-1834-238.pdf#page=3","Abrir facsímil")</f>
        <v>Abrir facsímil</v>
      </c>
      <c r="K10447" s="10" t="s">
        <v>24</v>
      </c>
    </row>
    <row r="10448" spans="1:11" ht="54" customHeight="1">
      <c r="A10448" s="9" t="s">
        <v>21758</v>
      </c>
      <c r="B10448" s="9" t="s">
        <v>21759</v>
      </c>
      <c r="C10448" s="9" t="s">
        <v>17</v>
      </c>
      <c r="D10448" s="9" t="s">
        <v>40</v>
      </c>
      <c r="E10448" s="10" t="s">
        <v>84</v>
      </c>
      <c r="F10448" s="9" t="s">
        <v>1223</v>
      </c>
      <c r="G10448" s="10" t="s">
        <v>75</v>
      </c>
      <c r="H10448" s="9" t="s">
        <v>22</v>
      </c>
      <c r="I10448" s="9" t="s">
        <v>21760</v>
      </c>
      <c r="J10448" s="10" t="str">
        <f>HYPERLINK("https://www.boe.es/gazeta/dias/1834/06/07/pdfs/GMD-1834-109.pdf#page=4","Abrir facsímil")</f>
        <v>Abrir facsímil</v>
      </c>
      <c r="K10448" s="10" t="s">
        <v>24</v>
      </c>
    </row>
    <row r="10449" spans="1:11" ht="54" customHeight="1">
      <c r="A10449" s="9" t="s">
        <v>21761</v>
      </c>
      <c r="B10449" s="9" t="s">
        <v>21761</v>
      </c>
      <c r="C10449" s="9" t="s">
        <v>90</v>
      </c>
      <c r="D10449" s="9" t="s">
        <v>67</v>
      </c>
      <c r="E10449" s="10" t="s">
        <v>833</v>
      </c>
      <c r="F10449" s="9" t="s">
        <v>834</v>
      </c>
      <c r="G10449" s="10" t="s">
        <v>75</v>
      </c>
      <c r="H10449" s="9" t="s">
        <v>22</v>
      </c>
      <c r="I10449" s="9" t="s">
        <v>21762</v>
      </c>
      <c r="J10449" s="10" t="str">
        <f>HYPERLINK("https://www.boe.es/gazeta/dias/1834/04/24/pdfs/GMD-1834-63.pdf#page=4","Abrir facsímil")</f>
        <v>Abrir facsímil</v>
      </c>
      <c r="K10449" s="10" t="s">
        <v>24</v>
      </c>
    </row>
    <row r="10450" spans="1:11" ht="54" customHeight="1">
      <c r="A10450" s="9" t="s">
        <v>21763</v>
      </c>
      <c r="B10450" s="9" t="s">
        <v>21763</v>
      </c>
      <c r="C10450" s="9" t="s">
        <v>66</v>
      </c>
      <c r="D10450" s="9" t="s">
        <v>67</v>
      </c>
      <c r="E10450" s="10" t="s">
        <v>3163</v>
      </c>
      <c r="F10450" s="9" t="s">
        <v>3164</v>
      </c>
      <c r="G10450" s="10" t="s">
        <v>75</v>
      </c>
      <c r="H10450" s="9" t="s">
        <v>22</v>
      </c>
      <c r="I10450" s="9" t="s">
        <v>21764</v>
      </c>
      <c r="J10450" s="10" t="str">
        <f>HYPERLINK("https://www.boe.es/gazeta/dias/1834/11/02/pdfs/GMD-1834-261.pdf#page=4","Abrir facsímil")</f>
        <v>Abrir facsímil</v>
      </c>
      <c r="K10450" s="10" t="s">
        <v>24</v>
      </c>
    </row>
    <row r="10451" spans="1:11" ht="54" customHeight="1">
      <c r="A10451" s="9" t="s">
        <v>21763</v>
      </c>
      <c r="B10451" s="9" t="s">
        <v>21763</v>
      </c>
      <c r="C10451" s="9" t="s">
        <v>66</v>
      </c>
      <c r="D10451" s="9" t="s">
        <v>67</v>
      </c>
      <c r="E10451" s="10" t="s">
        <v>441</v>
      </c>
      <c r="F10451" s="9" t="s">
        <v>442</v>
      </c>
      <c r="G10451" s="10" t="s">
        <v>86</v>
      </c>
      <c r="H10451" s="9" t="s">
        <v>22</v>
      </c>
      <c r="I10451" s="9" t="s">
        <v>21765</v>
      </c>
      <c r="J10451" s="10" t="str">
        <f>HYPERLINK("https://www.boe.es/gazeta/dias/1834/11/10/pdfs/GMD-1834-269.pdf#page=2","Abrir facsímil")</f>
        <v>Abrir facsímil</v>
      </c>
      <c r="K10451" s="10" t="s">
        <v>24</v>
      </c>
    </row>
    <row r="10452" spans="1:11" ht="54" customHeight="1">
      <c r="A10452" s="9" t="s">
        <v>21763</v>
      </c>
      <c r="B10452" s="9" t="s">
        <v>21763</v>
      </c>
      <c r="C10452" s="9" t="s">
        <v>17</v>
      </c>
      <c r="D10452" s="9" t="s">
        <v>18</v>
      </c>
      <c r="E10452" s="10" t="s">
        <v>441</v>
      </c>
      <c r="F10452" s="9" t="s">
        <v>442</v>
      </c>
      <c r="G10452" s="10" t="s">
        <v>75</v>
      </c>
      <c r="H10452" s="9" t="s">
        <v>22</v>
      </c>
      <c r="I10452" s="9" t="s">
        <v>21766</v>
      </c>
      <c r="J10452" s="10" t="str">
        <f>HYPERLINK("https://www.boe.es/gazeta/dias/1834/11/10/pdfs/GMD-1834-269.pdf#page=4","Abrir facsímil")</f>
        <v>Abrir facsímil</v>
      </c>
      <c r="K10452" s="10" t="s">
        <v>24</v>
      </c>
    </row>
    <row r="10453" spans="1:11" ht="54" customHeight="1">
      <c r="A10453" s="9" t="s">
        <v>21767</v>
      </c>
      <c r="B10453" s="9" t="s">
        <v>21767</v>
      </c>
      <c r="C10453" s="9" t="s">
        <v>46</v>
      </c>
      <c r="D10453" s="9" t="s">
        <v>18</v>
      </c>
      <c r="E10453" s="10" t="s">
        <v>696</v>
      </c>
      <c r="F10453" s="9" t="s">
        <v>854</v>
      </c>
      <c r="G10453" s="10" t="s">
        <v>75</v>
      </c>
      <c r="H10453" s="9" t="s">
        <v>22</v>
      </c>
      <c r="I10453" s="9" t="s">
        <v>21768</v>
      </c>
      <c r="J10453" s="10" t="str">
        <f>HYPERLINK("https://www.boe.es/gazeta/dias/1834/12/06/pdfs/GMD-1834-295.pdf#page=4","Abrir facsímil")</f>
        <v>Abrir facsímil</v>
      </c>
      <c r="K10453" s="10" t="s">
        <v>24</v>
      </c>
    </row>
    <row r="10454" spans="1:11" ht="54" customHeight="1">
      <c r="A10454" s="9" t="s">
        <v>21769</v>
      </c>
      <c r="B10454" s="9" t="s">
        <v>21770</v>
      </c>
      <c r="C10454" s="9" t="s">
        <v>46</v>
      </c>
      <c r="D10454" s="9" t="s">
        <v>55</v>
      </c>
      <c r="E10454" s="10" t="s">
        <v>200</v>
      </c>
      <c r="F10454" s="9" t="s">
        <v>201</v>
      </c>
      <c r="G10454" s="10" t="s">
        <v>21</v>
      </c>
      <c r="H10454" s="9" t="s">
        <v>22</v>
      </c>
      <c r="I10454" s="9" t="s">
        <v>21771</v>
      </c>
      <c r="J10454" s="10" t="str">
        <f>HYPERLINK("https://www.boe.es/gazeta/dias/1834/12/11/pdfs/GMD-1834-300.pdf#page=3","Abrir facsímil")</f>
        <v>Abrir facsímil</v>
      </c>
      <c r="K10454" s="10" t="s">
        <v>24</v>
      </c>
    </row>
    <row r="10455" spans="1:11" ht="54" customHeight="1">
      <c r="A10455" s="9" t="s">
        <v>21772</v>
      </c>
      <c r="B10455" s="9" t="s">
        <v>21773</v>
      </c>
      <c r="C10455" s="9" t="s">
        <v>17</v>
      </c>
      <c r="D10455" s="9" t="s">
        <v>55</v>
      </c>
      <c r="E10455" s="10" t="s">
        <v>258</v>
      </c>
      <c r="F10455" s="9" t="s">
        <v>1075</v>
      </c>
      <c r="G10455" s="10" t="s">
        <v>86</v>
      </c>
      <c r="H10455" s="9" t="s">
        <v>22</v>
      </c>
      <c r="I10455" s="9" t="s">
        <v>21774</v>
      </c>
      <c r="J10455" s="10" t="str">
        <f>HYPERLINK("https://www.boe.es/gazeta/dias/1834/10/09/pdfs/GMD-1834-237.pdf#page=2","Abrir facsímil")</f>
        <v>Abrir facsímil</v>
      </c>
      <c r="K10455" s="10" t="s">
        <v>24</v>
      </c>
    </row>
    <row r="10456" spans="1:11" ht="54" customHeight="1">
      <c r="A10456" s="9" t="s">
        <v>21775</v>
      </c>
      <c r="B10456" s="9" t="s">
        <v>21775</v>
      </c>
      <c r="C10456" s="9" t="s">
        <v>46</v>
      </c>
      <c r="D10456" s="9" t="s">
        <v>101</v>
      </c>
      <c r="E10456" s="10" t="s">
        <v>255</v>
      </c>
      <c r="F10456" s="9" t="s">
        <v>2368</v>
      </c>
      <c r="G10456" s="10" t="s">
        <v>86</v>
      </c>
      <c r="H10456" s="9" t="s">
        <v>22</v>
      </c>
      <c r="I10456" s="9" t="s">
        <v>21776</v>
      </c>
      <c r="J10456" s="10" t="str">
        <f>HYPERLINK("https://www.boe.es/gazeta/dias/1834/09/01/pdfs/GMD-1834-199.pdf#page=2","Abrir facsímil")</f>
        <v>Abrir facsímil</v>
      </c>
      <c r="K10456" s="10" t="s">
        <v>24</v>
      </c>
    </row>
    <row r="10457" spans="1:11" ht="54" customHeight="1">
      <c r="A10457" s="9" t="s">
        <v>21775</v>
      </c>
      <c r="B10457" s="9" t="s">
        <v>21775</v>
      </c>
      <c r="C10457" s="9" t="s">
        <v>17</v>
      </c>
      <c r="D10457" s="9" t="s">
        <v>18</v>
      </c>
      <c r="E10457" s="10" t="s">
        <v>68</v>
      </c>
      <c r="F10457" s="9" t="s">
        <v>69</v>
      </c>
      <c r="G10457" s="10" t="s">
        <v>34</v>
      </c>
      <c r="H10457" s="9" t="s">
        <v>22</v>
      </c>
      <c r="I10457" s="9" t="s">
        <v>21777</v>
      </c>
      <c r="J10457" s="10" t="str">
        <f>HYPERLINK("https://www.boe.es/gazeta/dias/1834/11/01/pdfs/GMD-1834-260.pdf#page=1","Abrir facsímil")</f>
        <v>Abrir facsímil</v>
      </c>
      <c r="K10457" s="10" t="s">
        <v>24</v>
      </c>
    </row>
    <row r="10458" spans="1:11" ht="54" customHeight="1">
      <c r="A10458" s="9" t="s">
        <v>21775</v>
      </c>
      <c r="B10458" s="9" t="s">
        <v>21775</v>
      </c>
      <c r="C10458" s="9" t="s">
        <v>17</v>
      </c>
      <c r="D10458" s="9" t="s">
        <v>18</v>
      </c>
      <c r="E10458" s="10" t="s">
        <v>2124</v>
      </c>
      <c r="F10458" s="9" t="s">
        <v>2125</v>
      </c>
      <c r="G10458" s="10" t="s">
        <v>34</v>
      </c>
      <c r="H10458" s="9" t="s">
        <v>22</v>
      </c>
      <c r="I10458" s="9" t="s">
        <v>21778</v>
      </c>
      <c r="J10458" s="10" t="str">
        <f>HYPERLINK("https://www.boe.es/gazeta/dias/1834/06/09/pdfs/GMD-1834-112.pdf#page=1","Abrir facsímil")</f>
        <v>Abrir facsímil</v>
      </c>
      <c r="K10458" s="10" t="s">
        <v>24</v>
      </c>
    </row>
    <row r="10459" spans="1:11" ht="54" customHeight="1">
      <c r="A10459" s="9" t="s">
        <v>21775</v>
      </c>
      <c r="B10459" s="9" t="s">
        <v>21775</v>
      </c>
      <c r="C10459" s="9" t="s">
        <v>122</v>
      </c>
      <c r="D10459" s="9" t="s">
        <v>55</v>
      </c>
      <c r="E10459" s="10" t="s">
        <v>956</v>
      </c>
      <c r="F10459" s="9" t="s">
        <v>957</v>
      </c>
      <c r="G10459" s="10" t="s">
        <v>21</v>
      </c>
      <c r="H10459" s="9" t="s">
        <v>22</v>
      </c>
      <c r="I10459" s="9" t="s">
        <v>21779</v>
      </c>
      <c r="J10459" s="10" t="str">
        <f>HYPERLINK("https://www.boe.es/gazeta/dias/1834/08/10/pdfs/GMD-C-1834-175.pdf#page=3","Abrir facsímil")</f>
        <v>Abrir facsímil</v>
      </c>
      <c r="K10459" s="10" t="s">
        <v>24</v>
      </c>
    </row>
    <row r="10460" spans="1:11" ht="54" customHeight="1">
      <c r="A10460" s="9" t="s">
        <v>21775</v>
      </c>
      <c r="B10460" s="9" t="s">
        <v>21775</v>
      </c>
      <c r="C10460" s="9" t="s">
        <v>17</v>
      </c>
      <c r="D10460" s="9" t="s">
        <v>18</v>
      </c>
      <c r="E10460" s="10" t="s">
        <v>41</v>
      </c>
      <c r="F10460" s="9" t="s">
        <v>42</v>
      </c>
      <c r="G10460" s="10" t="s">
        <v>86</v>
      </c>
      <c r="H10460" s="9" t="s">
        <v>22</v>
      </c>
      <c r="I10460" s="9" t="s">
        <v>21780</v>
      </c>
      <c r="J10460" s="10" t="str">
        <f>HYPERLINK("https://www.boe.es/gazeta/dias/1834/06/11/pdfs/GMD-1834-114.pdf#page=2","Abrir facsímil")</f>
        <v>Abrir facsímil</v>
      </c>
      <c r="K10460" s="10" t="s">
        <v>24</v>
      </c>
    </row>
    <row r="10461" spans="1:11" ht="54" customHeight="1">
      <c r="A10461" s="9" t="s">
        <v>21775</v>
      </c>
      <c r="B10461" s="9" t="s">
        <v>21775</v>
      </c>
      <c r="C10461" s="9" t="s">
        <v>17</v>
      </c>
      <c r="D10461" s="9" t="s">
        <v>55</v>
      </c>
      <c r="E10461" s="10" t="s">
        <v>1708</v>
      </c>
      <c r="F10461" s="9" t="s">
        <v>1709</v>
      </c>
      <c r="G10461" s="10" t="s">
        <v>86</v>
      </c>
      <c r="H10461" s="9" t="s">
        <v>22</v>
      </c>
      <c r="I10461" s="9" t="s">
        <v>21781</v>
      </c>
      <c r="J10461" s="10" t="str">
        <f>HYPERLINK("https://www.boe.es/gazeta/dias/1834/04/12/pdfs/GMD-1834-51.pdf#page=2","Abrir facsímil")</f>
        <v>Abrir facsímil</v>
      </c>
      <c r="K10461" s="10" t="s">
        <v>24</v>
      </c>
    </row>
    <row r="10462" spans="1:11" ht="54" customHeight="1">
      <c r="A10462" s="9" t="s">
        <v>21775</v>
      </c>
      <c r="B10462" s="9" t="s">
        <v>21775</v>
      </c>
      <c r="C10462" s="9" t="s">
        <v>17</v>
      </c>
      <c r="D10462" s="9" t="s">
        <v>55</v>
      </c>
      <c r="E10462" s="10" t="s">
        <v>663</v>
      </c>
      <c r="F10462" s="9" t="s">
        <v>664</v>
      </c>
      <c r="G10462" s="10" t="s">
        <v>86</v>
      </c>
      <c r="H10462" s="9" t="s">
        <v>22</v>
      </c>
      <c r="I10462" s="9" t="s">
        <v>21782</v>
      </c>
      <c r="J10462" s="10" t="str">
        <f>HYPERLINK("https://www.boe.es/gazeta/dias/1834/07/16/pdfs/GMD-1834-149.pdf#page=2","Abrir facsímil")</f>
        <v>Abrir facsímil</v>
      </c>
      <c r="K10462" s="10" t="s">
        <v>24</v>
      </c>
    </row>
    <row r="10463" spans="1:11" ht="54" customHeight="1">
      <c r="A10463" s="9" t="s">
        <v>21775</v>
      </c>
      <c r="B10463" s="9" t="s">
        <v>21775</v>
      </c>
      <c r="C10463" s="9" t="s">
        <v>122</v>
      </c>
      <c r="D10463" s="9" t="s">
        <v>55</v>
      </c>
      <c r="E10463" s="10" t="s">
        <v>3036</v>
      </c>
      <c r="F10463" s="9" t="s">
        <v>3372</v>
      </c>
      <c r="G10463" s="10" t="s">
        <v>21</v>
      </c>
      <c r="H10463" s="9" t="s">
        <v>22</v>
      </c>
      <c r="I10463" s="9" t="s">
        <v>21783</v>
      </c>
      <c r="J10463" s="10" t="str">
        <f>HYPERLINK("https://www.boe.es/gazeta/dias/1834/11/18/pdfs/GMD-1834-277.pdf#page=3","Abrir facsímil")</f>
        <v>Abrir facsímil</v>
      </c>
      <c r="K10463" s="10" t="s">
        <v>24</v>
      </c>
    </row>
    <row r="10464" spans="1:11" ht="54" customHeight="1">
      <c r="A10464" s="9" t="s">
        <v>21775</v>
      </c>
      <c r="B10464" s="9" t="s">
        <v>21775</v>
      </c>
      <c r="C10464" s="9" t="s">
        <v>66</v>
      </c>
      <c r="D10464" s="9" t="s">
        <v>67</v>
      </c>
      <c r="E10464" s="10" t="s">
        <v>2596</v>
      </c>
      <c r="F10464" s="9" t="s">
        <v>2597</v>
      </c>
      <c r="G10464" s="10" t="s">
        <v>86</v>
      </c>
      <c r="H10464" s="9" t="s">
        <v>22</v>
      </c>
      <c r="I10464" s="9" t="s">
        <v>21784</v>
      </c>
      <c r="J10464" s="10" t="str">
        <f>HYPERLINK("https://www.boe.es/gazeta/dias/1834/10/22/pdfs/GMD-1834-250.pdf#page=2","Abrir facsímil")</f>
        <v>Abrir facsímil</v>
      </c>
      <c r="K10464" s="10" t="s">
        <v>24</v>
      </c>
    </row>
    <row r="10465" spans="1:11" ht="54" customHeight="1">
      <c r="A10465" s="9" t="s">
        <v>21775</v>
      </c>
      <c r="B10465" s="9" t="s">
        <v>21775</v>
      </c>
      <c r="C10465" s="9" t="s">
        <v>17</v>
      </c>
      <c r="D10465" s="9" t="s">
        <v>55</v>
      </c>
      <c r="E10465" s="10" t="s">
        <v>179</v>
      </c>
      <c r="F10465" s="9" t="s">
        <v>180</v>
      </c>
      <c r="G10465" s="10" t="s">
        <v>34</v>
      </c>
      <c r="H10465" s="9" t="s">
        <v>22</v>
      </c>
      <c r="I10465" s="9" t="s">
        <v>21785</v>
      </c>
      <c r="J10465" s="10" t="str">
        <f>HYPERLINK("https://www.boe.es/gazeta/dias/1834/10/28/pdfs/GMD-1834-256.pdf#page=1","Abrir facsímil")</f>
        <v>Abrir facsímil</v>
      </c>
      <c r="K10465" s="10" t="s">
        <v>24</v>
      </c>
    </row>
    <row r="10466" spans="1:11" ht="54" customHeight="1">
      <c r="A10466" s="9" t="s">
        <v>21786</v>
      </c>
      <c r="B10466" s="9" t="s">
        <v>21786</v>
      </c>
      <c r="C10466" s="9" t="s">
        <v>46</v>
      </c>
      <c r="D10466" s="9" t="s">
        <v>55</v>
      </c>
      <c r="E10466" s="10" t="s">
        <v>143</v>
      </c>
      <c r="F10466" s="9" t="s">
        <v>144</v>
      </c>
      <c r="G10466" s="10" t="s">
        <v>86</v>
      </c>
      <c r="H10466" s="9" t="s">
        <v>22</v>
      </c>
      <c r="I10466" s="9" t="s">
        <v>21787</v>
      </c>
      <c r="J10466" s="10" t="str">
        <f>HYPERLINK("https://www.boe.es/gazeta/dias/1834/07/31/pdfs/GMD-1834-164.pdf#page=2","Abrir facsímil")</f>
        <v>Abrir facsímil</v>
      </c>
      <c r="K10466" s="10" t="s">
        <v>24</v>
      </c>
    </row>
    <row r="10467" spans="1:11" ht="54" customHeight="1">
      <c r="A10467" s="9" t="s">
        <v>21788</v>
      </c>
      <c r="B10467" s="9" t="s">
        <v>21789</v>
      </c>
      <c r="C10467" s="9" t="s">
        <v>66</v>
      </c>
      <c r="D10467" s="9" t="s">
        <v>67</v>
      </c>
      <c r="E10467" s="10" t="s">
        <v>2241</v>
      </c>
      <c r="F10467" s="9" t="s">
        <v>2242</v>
      </c>
      <c r="G10467" s="10" t="s">
        <v>21</v>
      </c>
      <c r="H10467" s="9" t="s">
        <v>22</v>
      </c>
      <c r="I10467" s="9" t="s">
        <v>21790</v>
      </c>
      <c r="J10467" s="10" t="str">
        <f>HYPERLINK("https://www.boe.es/gazeta/dias/1834/03/11/pdfs/GMD-1834-31.pdf#page=3","Abrir facsímil")</f>
        <v>Abrir facsímil</v>
      </c>
      <c r="K10467" s="10" t="s">
        <v>24</v>
      </c>
    </row>
    <row r="10468" spans="1:11" ht="54" customHeight="1">
      <c r="A10468" s="9" t="s">
        <v>21791</v>
      </c>
      <c r="B10468" s="9" t="s">
        <v>21792</v>
      </c>
      <c r="C10468" s="9" t="s">
        <v>17</v>
      </c>
      <c r="D10468" s="9" t="s">
        <v>18</v>
      </c>
      <c r="E10468" s="10" t="s">
        <v>41</v>
      </c>
      <c r="F10468" s="9" t="s">
        <v>42</v>
      </c>
      <c r="G10468" s="10" t="s">
        <v>21</v>
      </c>
      <c r="H10468" s="9" t="s">
        <v>35</v>
      </c>
      <c r="I10468" s="9" t="s">
        <v>21793</v>
      </c>
      <c r="J10468" s="10" t="str">
        <f>HYPERLINK("https://www.boe.es/gazeta/dias/1834/06/11/pdfs/GMD-1834-114.pdf#page=3","Abrir facsímil")</f>
        <v>Abrir facsímil</v>
      </c>
      <c r="K10468" s="10" t="s">
        <v>37</v>
      </c>
    </row>
    <row r="10469" spans="1:11" ht="54" customHeight="1">
      <c r="A10469" s="9" t="s">
        <v>21794</v>
      </c>
      <c r="B10469" s="9" t="s">
        <v>21795</v>
      </c>
      <c r="C10469" s="9" t="s">
        <v>90</v>
      </c>
      <c r="D10469" s="9" t="s">
        <v>18</v>
      </c>
      <c r="E10469" s="10" t="s">
        <v>2124</v>
      </c>
      <c r="F10469" s="9" t="s">
        <v>2125</v>
      </c>
      <c r="G10469" s="10" t="s">
        <v>21</v>
      </c>
      <c r="H10469" s="9" t="s">
        <v>22</v>
      </c>
      <c r="I10469" s="9" t="s">
        <v>21796</v>
      </c>
      <c r="J10469" s="10" t="str">
        <f>HYPERLINK("https://www.boe.es/gazeta/dias/1834/06/09/pdfs/GMD-1834-112.pdf#page=3","Abrir facsímil")</f>
        <v>Abrir facsímil</v>
      </c>
      <c r="K10469" s="10" t="s">
        <v>24</v>
      </c>
    </row>
    <row r="10470" spans="1:11" ht="54" customHeight="1">
      <c r="A10470" s="9" t="s">
        <v>21797</v>
      </c>
      <c r="B10470" s="9" t="s">
        <v>21798</v>
      </c>
      <c r="C10470" s="9" t="s">
        <v>90</v>
      </c>
      <c r="D10470" s="9" t="s">
        <v>55</v>
      </c>
      <c r="E10470" s="10" t="s">
        <v>1883</v>
      </c>
      <c r="F10470" s="9" t="s">
        <v>1884</v>
      </c>
      <c r="G10470" s="10" t="s">
        <v>86</v>
      </c>
      <c r="H10470" s="9" t="s">
        <v>22</v>
      </c>
      <c r="I10470" s="9" t="s">
        <v>21799</v>
      </c>
      <c r="J10470" s="10" t="str">
        <f>HYPERLINK("https://www.boe.es/gazeta/dias/1834/01/11/pdfs/GMD-1834-6.pdf#page=2","Abrir facsímil")</f>
        <v>Abrir facsímil</v>
      </c>
      <c r="K10470" s="10" t="s">
        <v>24</v>
      </c>
    </row>
    <row r="10471" spans="1:11" ht="54" customHeight="1">
      <c r="A10471" s="9" t="s">
        <v>21800</v>
      </c>
      <c r="B10471" s="9" t="s">
        <v>21800</v>
      </c>
      <c r="C10471" s="9" t="s">
        <v>46</v>
      </c>
      <c r="D10471" s="9" t="s">
        <v>18</v>
      </c>
      <c r="E10471" s="10" t="s">
        <v>1922</v>
      </c>
      <c r="F10471" s="9" t="s">
        <v>1923</v>
      </c>
      <c r="G10471" s="10" t="s">
        <v>21</v>
      </c>
      <c r="H10471" s="9" t="s">
        <v>22</v>
      </c>
      <c r="I10471" s="9" t="s">
        <v>21801</v>
      </c>
      <c r="J10471" s="10" t="str">
        <f>HYPERLINK("https://www.boe.es/gazeta/dias/1834/02/25/pdfs/GMD-1834-25.pdf#page=3","Abrir facsímil")</f>
        <v>Abrir facsímil</v>
      </c>
      <c r="K10471" s="10" t="s">
        <v>24</v>
      </c>
    </row>
    <row r="10472" spans="1:11" ht="54" customHeight="1">
      <c r="A10472" s="9" t="s">
        <v>21802</v>
      </c>
      <c r="B10472" s="9" t="s">
        <v>21802</v>
      </c>
      <c r="C10472" s="9" t="s">
        <v>66</v>
      </c>
      <c r="D10472" s="9" t="s">
        <v>101</v>
      </c>
      <c r="E10472" s="10" t="s">
        <v>3471</v>
      </c>
      <c r="F10472" s="9" t="s">
        <v>3472</v>
      </c>
      <c r="G10472" s="10" t="s">
        <v>86</v>
      </c>
      <c r="H10472" s="9" t="s">
        <v>22</v>
      </c>
      <c r="I10472" s="9" t="s">
        <v>21803</v>
      </c>
      <c r="J10472" s="10" t="str">
        <f>HYPERLINK("https://www.boe.es/gazeta/dias/1834/07/07/pdfs/GMD-1834-140.pdf#page=2","Abrir facsímil")</f>
        <v>Abrir facsímil</v>
      </c>
      <c r="K10472" s="10" t="s">
        <v>24</v>
      </c>
    </row>
    <row r="10473" spans="1:11" ht="54" customHeight="1">
      <c r="A10473" s="9" t="s">
        <v>21804</v>
      </c>
      <c r="B10473" s="9" t="s">
        <v>21804</v>
      </c>
      <c r="C10473" s="9" t="s">
        <v>90</v>
      </c>
      <c r="D10473" s="9" t="s">
        <v>67</v>
      </c>
      <c r="E10473" s="10" t="s">
        <v>4814</v>
      </c>
      <c r="F10473" s="9" t="s">
        <v>4815</v>
      </c>
      <c r="G10473" s="10" t="s">
        <v>21</v>
      </c>
      <c r="H10473" s="9" t="s">
        <v>22</v>
      </c>
      <c r="I10473" s="9" t="s">
        <v>21805</v>
      </c>
      <c r="J10473" s="10" t="str">
        <f>HYPERLINK("https://www.boe.es/gazeta/dias/1834/06/05/pdfs/GMD-1834-107.pdf#page=3","Abrir facsímil")</f>
        <v>Abrir facsímil</v>
      </c>
      <c r="K10473" s="10" t="s">
        <v>24</v>
      </c>
    </row>
    <row r="10474" spans="1:11" ht="54" customHeight="1">
      <c r="A10474" s="9" t="s">
        <v>21804</v>
      </c>
      <c r="B10474" s="9" t="s">
        <v>21804</v>
      </c>
      <c r="C10474" s="9" t="s">
        <v>122</v>
      </c>
      <c r="D10474" s="9" t="s">
        <v>101</v>
      </c>
      <c r="E10474" s="10" t="s">
        <v>734</v>
      </c>
      <c r="F10474" s="9" t="s">
        <v>735</v>
      </c>
      <c r="G10474" s="10" t="s">
        <v>34</v>
      </c>
      <c r="H10474" s="9" t="s">
        <v>22</v>
      </c>
      <c r="I10474" s="9" t="s">
        <v>21806</v>
      </c>
      <c r="J10474" s="10" t="str">
        <f>HYPERLINK("https://www.boe.es/gazeta/dias/1834/05/06/pdfs/GMD-1834-75.pdf#page=1","Abrir facsímil")</f>
        <v>Abrir facsímil</v>
      </c>
      <c r="K10474" s="10" t="s">
        <v>24</v>
      </c>
    </row>
    <row r="10475" spans="1:11" ht="54" customHeight="1">
      <c r="A10475" s="9" t="s">
        <v>21807</v>
      </c>
      <c r="B10475" s="9" t="s">
        <v>21807</v>
      </c>
      <c r="C10475" s="9" t="s">
        <v>17</v>
      </c>
      <c r="D10475" s="9" t="s">
        <v>18</v>
      </c>
      <c r="E10475" s="10" t="s">
        <v>1922</v>
      </c>
      <c r="F10475" s="9" t="s">
        <v>1923</v>
      </c>
      <c r="G10475" s="10" t="s">
        <v>21</v>
      </c>
      <c r="H10475" s="9" t="s">
        <v>22</v>
      </c>
      <c r="I10475" s="9" t="s">
        <v>21808</v>
      </c>
      <c r="J10475" s="10" t="str">
        <f>HYPERLINK("https://www.boe.es/gazeta/dias/1834/02/25/pdfs/GMD-1834-25.pdf#page=3","Abrir facsímil")</f>
        <v>Abrir facsímil</v>
      </c>
      <c r="K10475" s="10" t="s">
        <v>24</v>
      </c>
    </row>
    <row r="10476" spans="1:11" ht="54" customHeight="1">
      <c r="A10476" s="9" t="s">
        <v>21807</v>
      </c>
      <c r="B10476" s="9" t="s">
        <v>21807</v>
      </c>
      <c r="C10476" s="9" t="s">
        <v>17</v>
      </c>
      <c r="D10476" s="9" t="s">
        <v>18</v>
      </c>
      <c r="E10476" s="10" t="s">
        <v>1922</v>
      </c>
      <c r="F10476" s="9" t="s">
        <v>1923</v>
      </c>
      <c r="G10476" s="10" t="s">
        <v>75</v>
      </c>
      <c r="H10476" s="9" t="s">
        <v>22</v>
      </c>
      <c r="I10476" s="9" t="s">
        <v>21809</v>
      </c>
      <c r="J10476" s="10" t="str">
        <f>HYPERLINK("https://www.boe.es/gazeta/dias/1834/02/25/pdfs/GMD-1834-25.pdf#page=4","Abrir facsímil")</f>
        <v>Abrir facsímil</v>
      </c>
      <c r="K10476" s="10" t="s">
        <v>24</v>
      </c>
    </row>
    <row r="10477" spans="1:11" ht="54" customHeight="1">
      <c r="A10477" s="9" t="s">
        <v>21810</v>
      </c>
      <c r="B10477" s="9" t="s">
        <v>21811</v>
      </c>
      <c r="C10477" s="9" t="s">
        <v>17</v>
      </c>
      <c r="D10477" s="9" t="s">
        <v>18</v>
      </c>
      <c r="E10477" s="10" t="s">
        <v>1410</v>
      </c>
      <c r="F10477" s="9" t="s">
        <v>2231</v>
      </c>
      <c r="G10477" s="10" t="s">
        <v>86</v>
      </c>
      <c r="H10477" s="9" t="s">
        <v>22</v>
      </c>
      <c r="I10477" s="9" t="s">
        <v>21812</v>
      </c>
      <c r="J10477" s="10" t="str">
        <f>HYPERLINK("https://www.boe.es/gazeta/dias/1834/09/09/pdfs/GMD-C-1834-207.pdf#page=2","Abrir facsímil")</f>
        <v>Abrir facsímil</v>
      </c>
      <c r="K10477" s="10" t="s">
        <v>24</v>
      </c>
    </row>
    <row r="10478" spans="1:11" ht="54" customHeight="1">
      <c r="A10478" s="9" t="s">
        <v>21813</v>
      </c>
      <c r="B10478" s="9" t="s">
        <v>21814</v>
      </c>
      <c r="C10478" s="9" t="s">
        <v>66</v>
      </c>
      <c r="D10478" s="9" t="s">
        <v>67</v>
      </c>
      <c r="E10478" s="10" t="s">
        <v>535</v>
      </c>
      <c r="F10478" s="9" t="s">
        <v>536</v>
      </c>
      <c r="G10478" s="10" t="s">
        <v>21</v>
      </c>
      <c r="H10478" s="9" t="s">
        <v>22</v>
      </c>
      <c r="I10478" s="9" t="s">
        <v>21815</v>
      </c>
      <c r="J10478" s="10" t="str">
        <f>HYPERLINK("https://www.boe.es/gazeta/dias/1834/05/21/pdfs/GMD-1834-90.pdf#page=3","Abrir facsímil")</f>
        <v>Abrir facsímil</v>
      </c>
      <c r="K10478" s="10" t="s">
        <v>24</v>
      </c>
    </row>
    <row r="10479" spans="1:11" ht="54" customHeight="1">
      <c r="A10479" s="9" t="s">
        <v>21816</v>
      </c>
      <c r="B10479" s="9" t="s">
        <v>21817</v>
      </c>
      <c r="C10479" s="9" t="s">
        <v>66</v>
      </c>
      <c r="D10479" s="9" t="s">
        <v>67</v>
      </c>
      <c r="E10479" s="10" t="s">
        <v>696</v>
      </c>
      <c r="F10479" s="9" t="s">
        <v>697</v>
      </c>
      <c r="G10479" s="10" t="s">
        <v>34</v>
      </c>
      <c r="H10479" s="9" t="s">
        <v>22</v>
      </c>
      <c r="I10479" s="9" t="s">
        <v>21818</v>
      </c>
      <c r="J10479" s="10" t="str">
        <f>HYPERLINK("https://www.boe.es/gazeta/dias/1834/12/06/pdfs/GMD-C-1834-295.pdf#page=1","Abrir facsímil")</f>
        <v>Abrir facsímil</v>
      </c>
      <c r="K10479" s="10" t="s">
        <v>24</v>
      </c>
    </row>
    <row r="10480" spans="1:11" ht="54" customHeight="1">
      <c r="A10480" s="9" t="s">
        <v>21819</v>
      </c>
      <c r="B10480" s="9" t="s">
        <v>21820</v>
      </c>
      <c r="C10480" s="9" t="s">
        <v>122</v>
      </c>
      <c r="D10480" s="9" t="s">
        <v>18</v>
      </c>
      <c r="E10480" s="10" t="s">
        <v>647</v>
      </c>
      <c r="F10480" s="9" t="s">
        <v>2176</v>
      </c>
      <c r="G10480" s="10" t="s">
        <v>34</v>
      </c>
      <c r="H10480" s="9" t="s">
        <v>22</v>
      </c>
      <c r="I10480" s="9" t="s">
        <v>21821</v>
      </c>
      <c r="J10480" s="10" t="str">
        <f>HYPERLINK("https://www.boe.es/gazeta/dias/1834/10/21/pdfs/GMD-1834-249.pdf#page=1","Abrir facsímil")</f>
        <v>Abrir facsímil</v>
      </c>
      <c r="K10480" s="10" t="s">
        <v>24</v>
      </c>
    </row>
    <row r="10481" spans="1:11" ht="54" customHeight="1">
      <c r="A10481" s="9" t="s">
        <v>21822</v>
      </c>
      <c r="B10481" s="9" t="s">
        <v>21822</v>
      </c>
      <c r="C10481" s="9" t="s">
        <v>17</v>
      </c>
      <c r="D10481" s="9" t="s">
        <v>101</v>
      </c>
      <c r="E10481" s="10" t="s">
        <v>1273</v>
      </c>
      <c r="F10481" s="9" t="s">
        <v>1274</v>
      </c>
      <c r="G10481" s="10" t="s">
        <v>21</v>
      </c>
      <c r="H10481" s="9" t="s">
        <v>22</v>
      </c>
      <c r="I10481" s="9" t="s">
        <v>21823</v>
      </c>
      <c r="J10481" s="10" t="str">
        <f>HYPERLINK("https://www.boe.es/gazeta/dias/1834/05/14/pdfs/GMD-1834-83.pdf#page=3","Abrir facsímil")</f>
        <v>Abrir facsímil</v>
      </c>
      <c r="K10481" s="10" t="s">
        <v>24</v>
      </c>
    </row>
    <row r="10482" spans="1:11" ht="54" customHeight="1">
      <c r="A10482" s="9" t="s">
        <v>21824</v>
      </c>
      <c r="B10482" s="9" t="s">
        <v>21824</v>
      </c>
      <c r="C10482" s="9" t="s">
        <v>17</v>
      </c>
      <c r="D10482" s="9" t="s">
        <v>18</v>
      </c>
      <c r="E10482" s="10" t="s">
        <v>304</v>
      </c>
      <c r="F10482" s="9" t="s">
        <v>305</v>
      </c>
      <c r="G10482" s="10" t="s">
        <v>28</v>
      </c>
      <c r="H10482" s="9" t="s">
        <v>22</v>
      </c>
      <c r="I10482" s="9" t="s">
        <v>21825</v>
      </c>
      <c r="J10482" s="10" t="str">
        <f>HYPERLINK("https://www.boe.es/gazeta/dias/1834/01/21/pdfs/GMD-1834-10.pdf#page=5","Abrir facsímil")</f>
        <v>Abrir facsímil</v>
      </c>
      <c r="K10482" s="10" t="s">
        <v>24</v>
      </c>
    </row>
    <row r="10483" spans="1:11" ht="54" customHeight="1">
      <c r="A10483" s="9" t="s">
        <v>21826</v>
      </c>
      <c r="B10483" s="9" t="s">
        <v>21827</v>
      </c>
      <c r="C10483" s="9" t="s">
        <v>90</v>
      </c>
      <c r="D10483" s="9" t="s">
        <v>67</v>
      </c>
      <c r="E10483" s="10" t="s">
        <v>1424</v>
      </c>
      <c r="F10483" s="9" t="s">
        <v>3445</v>
      </c>
      <c r="G10483" s="10" t="s">
        <v>34</v>
      </c>
      <c r="H10483" s="9" t="s">
        <v>22</v>
      </c>
      <c r="I10483" s="9" t="s">
        <v>21828</v>
      </c>
      <c r="J10483" s="10" t="str">
        <f>HYPERLINK("https://www.boe.es/gazeta/dias/1834/11/14/pdfs/GMD-1834-273.pdf#page=1","Abrir facsímil")</f>
        <v>Abrir facsímil</v>
      </c>
      <c r="K10483" s="10" t="s">
        <v>24</v>
      </c>
    </row>
    <row r="10484" spans="1:11" ht="54" customHeight="1">
      <c r="A10484" s="9" t="s">
        <v>21829</v>
      </c>
      <c r="B10484" s="9" t="s">
        <v>21829</v>
      </c>
      <c r="C10484" s="9" t="s">
        <v>17</v>
      </c>
      <c r="D10484" s="9" t="s">
        <v>18</v>
      </c>
      <c r="E10484" s="10" t="s">
        <v>1406</v>
      </c>
      <c r="F10484" s="9" t="s">
        <v>1407</v>
      </c>
      <c r="G10484" s="10" t="s">
        <v>21</v>
      </c>
      <c r="H10484" s="9" t="s">
        <v>22</v>
      </c>
      <c r="I10484" s="9" t="s">
        <v>21830</v>
      </c>
      <c r="J10484" s="10" t="str">
        <f>HYPERLINK("https://www.boe.es/gazeta/dias/1834/11/03/pdfs/GMD-1834-262.pdf#page=3","Abrir facsímil")</f>
        <v>Abrir facsímil</v>
      </c>
      <c r="K10484" s="10" t="s">
        <v>24</v>
      </c>
    </row>
    <row r="10485" spans="1:11" ht="54" customHeight="1">
      <c r="A10485" s="9" t="s">
        <v>21829</v>
      </c>
      <c r="B10485" s="9" t="s">
        <v>21829</v>
      </c>
      <c r="C10485" s="9" t="s">
        <v>17</v>
      </c>
      <c r="D10485" s="9" t="s">
        <v>18</v>
      </c>
      <c r="E10485" s="10" t="s">
        <v>441</v>
      </c>
      <c r="F10485" s="9" t="s">
        <v>442</v>
      </c>
      <c r="G10485" s="10" t="s">
        <v>75</v>
      </c>
      <c r="H10485" s="9" t="s">
        <v>22</v>
      </c>
      <c r="I10485" s="9" t="s">
        <v>21831</v>
      </c>
      <c r="J10485" s="10" t="str">
        <f>HYPERLINK("https://www.boe.es/gazeta/dias/1834/11/10/pdfs/GMD-1834-269.pdf#page=4","Abrir facsímil")</f>
        <v>Abrir facsímil</v>
      </c>
      <c r="K10485" s="10" t="s">
        <v>24</v>
      </c>
    </row>
    <row r="10486" spans="1:11" ht="54" customHeight="1">
      <c r="A10486" s="9" t="s">
        <v>21832</v>
      </c>
      <c r="B10486" s="9" t="s">
        <v>21833</v>
      </c>
      <c r="C10486" s="9" t="s">
        <v>90</v>
      </c>
      <c r="D10486" s="9" t="s">
        <v>67</v>
      </c>
      <c r="E10486" s="10" t="s">
        <v>273</v>
      </c>
      <c r="F10486" s="9" t="s">
        <v>274</v>
      </c>
      <c r="G10486" s="10" t="s">
        <v>28</v>
      </c>
      <c r="H10486" s="9" t="s">
        <v>35</v>
      </c>
      <c r="I10486" s="9" t="s">
        <v>21834</v>
      </c>
      <c r="J10486" s="10" t="str">
        <f>HYPERLINK("https://www.boe.es/gazeta/dias/1834/08/31/pdfs/GMD-C-1834-198.pdf#page=5","Abrir facsímil")</f>
        <v>Abrir facsímil</v>
      </c>
      <c r="K10486" s="10" t="s">
        <v>37</v>
      </c>
    </row>
    <row r="10487" spans="1:11" ht="54" customHeight="1">
      <c r="A10487" s="9" t="s">
        <v>21835</v>
      </c>
      <c r="B10487" s="9" t="s">
        <v>21836</v>
      </c>
      <c r="C10487" s="9" t="s">
        <v>90</v>
      </c>
      <c r="D10487" s="9" t="s">
        <v>67</v>
      </c>
      <c r="E10487" s="10" t="s">
        <v>273</v>
      </c>
      <c r="F10487" s="9" t="s">
        <v>274</v>
      </c>
      <c r="G10487" s="10" t="s">
        <v>28</v>
      </c>
      <c r="H10487" s="9" t="s">
        <v>22</v>
      </c>
      <c r="I10487" s="9" t="s">
        <v>21837</v>
      </c>
      <c r="J10487" s="10" t="str">
        <f>HYPERLINK("https://www.boe.es/gazeta/dias/1834/08/31/pdfs/GMD-C-1834-198.pdf#page=5","Abrir facsímil")</f>
        <v>Abrir facsímil</v>
      </c>
      <c r="K10487" s="10" t="s">
        <v>24</v>
      </c>
    </row>
    <row r="10488" spans="1:11" ht="54" customHeight="1">
      <c r="A10488" s="9" t="s">
        <v>21838</v>
      </c>
      <c r="B10488" s="9" t="s">
        <v>21839</v>
      </c>
      <c r="C10488" s="9" t="s">
        <v>17</v>
      </c>
      <c r="D10488" s="9" t="s">
        <v>18</v>
      </c>
      <c r="E10488" s="10" t="s">
        <v>1186</v>
      </c>
      <c r="F10488" s="9" t="s">
        <v>1187</v>
      </c>
      <c r="G10488" s="10" t="s">
        <v>21</v>
      </c>
      <c r="H10488" s="9" t="s">
        <v>22</v>
      </c>
      <c r="I10488" s="9" t="s">
        <v>21840</v>
      </c>
      <c r="J10488" s="10" t="str">
        <f>HYPERLINK("https://www.boe.es/gazeta/dias/1834/08/14/pdfs/GMD-1834-179.pdf#page=3","Abrir facsímil")</f>
        <v>Abrir facsímil</v>
      </c>
      <c r="K10488" s="10" t="s">
        <v>24</v>
      </c>
    </row>
    <row r="10489" spans="1:11" ht="54" customHeight="1">
      <c r="A10489" s="9" t="s">
        <v>21841</v>
      </c>
      <c r="B10489" s="9" t="s">
        <v>21841</v>
      </c>
      <c r="C10489" s="9" t="s">
        <v>17</v>
      </c>
      <c r="D10489" s="9" t="s">
        <v>18</v>
      </c>
      <c r="E10489" s="10" t="s">
        <v>663</v>
      </c>
      <c r="F10489" s="9" t="s">
        <v>664</v>
      </c>
      <c r="G10489" s="10" t="s">
        <v>21</v>
      </c>
      <c r="H10489" s="9" t="s">
        <v>22</v>
      </c>
      <c r="I10489" s="9" t="s">
        <v>21842</v>
      </c>
      <c r="J10489" s="10" t="str">
        <f>HYPERLINK("https://www.boe.es/gazeta/dias/1834/07/16/pdfs/GMD-1834-149.pdf#page=3","Abrir facsímil")</f>
        <v>Abrir facsímil</v>
      </c>
      <c r="K10489" s="10" t="s">
        <v>24</v>
      </c>
    </row>
    <row r="10490" spans="1:11" ht="54" customHeight="1">
      <c r="A10490" s="9" t="s">
        <v>21843</v>
      </c>
      <c r="B10490" s="9" t="s">
        <v>21843</v>
      </c>
      <c r="C10490" s="9" t="s">
        <v>90</v>
      </c>
      <c r="D10490" s="9" t="s">
        <v>55</v>
      </c>
      <c r="E10490" s="10" t="s">
        <v>715</v>
      </c>
      <c r="F10490" s="9" t="s">
        <v>7773</v>
      </c>
      <c r="G10490" s="10" t="s">
        <v>21</v>
      </c>
      <c r="H10490" s="9" t="s">
        <v>22</v>
      </c>
      <c r="I10490" s="9" t="s">
        <v>21844</v>
      </c>
      <c r="J10490" s="10" t="str">
        <f>HYPERLINK("https://www.boe.es/gazeta/dias/1834/09/17/pdfs/GMD-1834-215.pdf#page=3","Abrir facsímil")</f>
        <v>Abrir facsímil</v>
      </c>
      <c r="K10490" s="10" t="s">
        <v>24</v>
      </c>
    </row>
    <row r="10491" spans="1:11" ht="54" customHeight="1">
      <c r="A10491" s="9" t="s">
        <v>21845</v>
      </c>
      <c r="B10491" s="9" t="s">
        <v>21845</v>
      </c>
      <c r="C10491" s="9" t="s">
        <v>66</v>
      </c>
      <c r="D10491" s="9" t="s">
        <v>67</v>
      </c>
      <c r="E10491" s="10" t="s">
        <v>1265</v>
      </c>
      <c r="F10491" s="9" t="s">
        <v>1266</v>
      </c>
      <c r="G10491" s="10" t="s">
        <v>34</v>
      </c>
      <c r="H10491" s="9" t="s">
        <v>22</v>
      </c>
      <c r="I10491" s="9" t="s">
        <v>21846</v>
      </c>
      <c r="J10491" s="10" t="str">
        <f>HYPERLINK("https://www.boe.es/gazeta/dias/1834/09/08/pdfs/GMD-1834-206.pdf#page=1","Abrir facsímil")</f>
        <v>Abrir facsímil</v>
      </c>
      <c r="K10491" s="10" t="s">
        <v>24</v>
      </c>
    </row>
    <row r="10492" spans="1:11" ht="54" customHeight="1">
      <c r="A10492" s="9" t="s">
        <v>21847</v>
      </c>
      <c r="B10492" s="9" t="s">
        <v>21847</v>
      </c>
      <c r="C10492" s="9" t="s">
        <v>90</v>
      </c>
      <c r="D10492" s="9" t="s">
        <v>55</v>
      </c>
      <c r="E10492" s="10" t="s">
        <v>642</v>
      </c>
      <c r="F10492" s="9" t="s">
        <v>643</v>
      </c>
      <c r="G10492" s="10" t="s">
        <v>28</v>
      </c>
      <c r="H10492" s="9" t="s">
        <v>22</v>
      </c>
      <c r="I10492" s="9" t="s">
        <v>21848</v>
      </c>
      <c r="J10492" s="10" t="str">
        <f>HYPERLINK("https://www.boe.es/gazeta/dias/1834/11/12/pdfs/GMD-C-1834-271.pdf#page=5","Abrir facsímil")</f>
        <v>Abrir facsímil</v>
      </c>
      <c r="K10492" s="10" t="s">
        <v>24</v>
      </c>
    </row>
    <row r="10493" spans="1:11" ht="54" customHeight="1">
      <c r="A10493" s="9" t="s">
        <v>21847</v>
      </c>
      <c r="B10493" s="9" t="s">
        <v>21847</v>
      </c>
      <c r="C10493" s="9" t="s">
        <v>90</v>
      </c>
      <c r="D10493" s="9" t="s">
        <v>18</v>
      </c>
      <c r="E10493" s="10" t="s">
        <v>702</v>
      </c>
      <c r="F10493" s="9" t="s">
        <v>703</v>
      </c>
      <c r="G10493" s="10" t="s">
        <v>28</v>
      </c>
      <c r="H10493" s="9" t="s">
        <v>22</v>
      </c>
      <c r="I10493" s="9" t="s">
        <v>21849</v>
      </c>
      <c r="J10493" s="10" t="str">
        <f>HYPERLINK("https://www.boe.es/gazeta/dias/1834/11/22/pdfs/GMD-C-1834-281.pdf#page=5","Abrir facsímil")</f>
        <v>Abrir facsímil</v>
      </c>
      <c r="K10493" s="10" t="s">
        <v>24</v>
      </c>
    </row>
    <row r="10494" spans="1:11" ht="54" customHeight="1">
      <c r="A10494" s="9" t="s">
        <v>21850</v>
      </c>
      <c r="B10494" s="9" t="s">
        <v>21850</v>
      </c>
      <c r="C10494" s="9" t="s">
        <v>66</v>
      </c>
      <c r="D10494" s="9" t="s">
        <v>67</v>
      </c>
      <c r="E10494" s="10" t="s">
        <v>84</v>
      </c>
      <c r="F10494" s="9" t="s">
        <v>1223</v>
      </c>
      <c r="G10494" s="10" t="s">
        <v>86</v>
      </c>
      <c r="H10494" s="9" t="s">
        <v>22</v>
      </c>
      <c r="I10494" s="9" t="s">
        <v>21851</v>
      </c>
      <c r="J10494" s="10" t="str">
        <f>HYPERLINK("https://www.boe.es/gazeta/dias/1834/06/07/pdfs/GMD-1834-109.pdf#page=2","Abrir facsímil")</f>
        <v>Abrir facsímil</v>
      </c>
      <c r="K10494" s="10" t="s">
        <v>24</v>
      </c>
    </row>
    <row r="10495" spans="1:11" ht="54" customHeight="1">
      <c r="A10495" s="9" t="s">
        <v>21850</v>
      </c>
      <c r="B10495" s="9" t="s">
        <v>21850</v>
      </c>
      <c r="C10495" s="9" t="s">
        <v>90</v>
      </c>
      <c r="D10495" s="9" t="s">
        <v>55</v>
      </c>
      <c r="E10495" s="10" t="s">
        <v>1265</v>
      </c>
      <c r="F10495" s="9" t="s">
        <v>1266</v>
      </c>
      <c r="G10495" s="10" t="s">
        <v>34</v>
      </c>
      <c r="H10495" s="9" t="s">
        <v>22</v>
      </c>
      <c r="I10495" s="9" t="s">
        <v>21852</v>
      </c>
      <c r="J10495" s="10" t="str">
        <f>HYPERLINK("https://www.boe.es/gazeta/dias/1834/09/08/pdfs/GMD-1834-206.pdf#page=1","Abrir facsímil")</f>
        <v>Abrir facsímil</v>
      </c>
      <c r="K10495" s="10" t="s">
        <v>24</v>
      </c>
    </row>
    <row r="10496" spans="1:11" ht="54" customHeight="1">
      <c r="A10496" s="9" t="s">
        <v>21850</v>
      </c>
      <c r="B10496" s="9" t="s">
        <v>21850</v>
      </c>
      <c r="C10496" s="9" t="s">
        <v>90</v>
      </c>
      <c r="D10496" s="9" t="s">
        <v>67</v>
      </c>
      <c r="E10496" s="10" t="s">
        <v>623</v>
      </c>
      <c r="F10496" s="9" t="s">
        <v>3442</v>
      </c>
      <c r="G10496" s="10" t="s">
        <v>86</v>
      </c>
      <c r="H10496" s="9" t="s">
        <v>22</v>
      </c>
      <c r="I10496" s="9" t="s">
        <v>21853</v>
      </c>
      <c r="J10496" s="10" t="str">
        <f>HYPERLINK("https://www.boe.es/gazeta/dias/1834/10/12/pdfs/GMD-1834-240.pdf#page=2","Abrir facsímil")</f>
        <v>Abrir facsímil</v>
      </c>
      <c r="K10496" s="10" t="s">
        <v>24</v>
      </c>
    </row>
    <row r="10497" spans="1:11" ht="54" customHeight="1">
      <c r="A10497" s="9" t="s">
        <v>21850</v>
      </c>
      <c r="B10497" s="9" t="s">
        <v>21850</v>
      </c>
      <c r="C10497" s="9" t="s">
        <v>46</v>
      </c>
      <c r="D10497" s="9" t="s">
        <v>55</v>
      </c>
      <c r="E10497" s="10" t="s">
        <v>1094</v>
      </c>
      <c r="F10497" s="9" t="s">
        <v>1095</v>
      </c>
      <c r="G10497" s="10" t="s">
        <v>34</v>
      </c>
      <c r="H10497" s="9" t="s">
        <v>22</v>
      </c>
      <c r="I10497" s="9" t="s">
        <v>21854</v>
      </c>
      <c r="J10497" s="10" t="str">
        <f>HYPERLINK("https://www.boe.es/gazeta/dias/1834/07/13/pdfs/GMD-1834-146.pdf#page=1","Abrir facsímil")</f>
        <v>Abrir facsímil</v>
      </c>
      <c r="K10497" s="10" t="s">
        <v>24</v>
      </c>
    </row>
    <row r="10498" spans="1:11" ht="54" customHeight="1">
      <c r="A10498" s="9" t="s">
        <v>21855</v>
      </c>
      <c r="B10498" s="9" t="s">
        <v>21856</v>
      </c>
      <c r="C10498" s="9" t="s">
        <v>90</v>
      </c>
      <c r="D10498" s="9" t="s">
        <v>67</v>
      </c>
      <c r="E10498" s="10" t="s">
        <v>615</v>
      </c>
      <c r="F10498" s="9" t="s">
        <v>1205</v>
      </c>
      <c r="G10498" s="10" t="s">
        <v>34</v>
      </c>
      <c r="H10498" s="9" t="s">
        <v>35</v>
      </c>
      <c r="I10498" s="9" t="s">
        <v>21857</v>
      </c>
      <c r="J10498" s="10" t="str">
        <f>HYPERLINK("https://www.boe.es/gazeta/dias/1834/08/19/pdfs/GMD-D-1834-185.pdf#page=1","Abrir facsímil")</f>
        <v>Abrir facsímil</v>
      </c>
      <c r="K10498" s="10" t="s">
        <v>37</v>
      </c>
    </row>
    <row r="10499" spans="1:11" ht="54" customHeight="1">
      <c r="A10499" s="9" t="s">
        <v>21858</v>
      </c>
      <c r="B10499" s="9" t="s">
        <v>21859</v>
      </c>
      <c r="C10499" s="9" t="s">
        <v>90</v>
      </c>
      <c r="D10499" s="9" t="s">
        <v>67</v>
      </c>
      <c r="E10499" s="10" t="s">
        <v>615</v>
      </c>
      <c r="F10499" s="9" t="s">
        <v>1205</v>
      </c>
      <c r="G10499" s="10" t="s">
        <v>34</v>
      </c>
      <c r="H10499" s="9" t="s">
        <v>22</v>
      </c>
      <c r="I10499" s="9" t="s">
        <v>21860</v>
      </c>
      <c r="J10499" s="10" t="str">
        <f>HYPERLINK("https://www.boe.es/gazeta/dias/1834/08/19/pdfs/GMD-D-1834-185.pdf#page=1","Abrir facsímil")</f>
        <v>Abrir facsímil</v>
      </c>
      <c r="K10499" s="10" t="s">
        <v>24</v>
      </c>
    </row>
    <row r="10500" spans="1:11" ht="54" customHeight="1">
      <c r="A10500" s="9" t="s">
        <v>21861</v>
      </c>
      <c r="B10500" s="9" t="s">
        <v>21862</v>
      </c>
      <c r="C10500" s="9" t="s">
        <v>17</v>
      </c>
      <c r="D10500" s="9" t="s">
        <v>18</v>
      </c>
      <c r="E10500" s="10" t="s">
        <v>243</v>
      </c>
      <c r="F10500" s="9" t="s">
        <v>1109</v>
      </c>
      <c r="G10500" s="10" t="s">
        <v>21</v>
      </c>
      <c r="H10500" s="9" t="s">
        <v>22</v>
      </c>
      <c r="I10500" s="9" t="s">
        <v>21863</v>
      </c>
      <c r="J10500" s="10" t="str">
        <f>HYPERLINK("https://www.boe.es/gazeta/dias/1834/08/05/pdfs/GMD-1834-169.pdf#page=3","Abrir facsímil")</f>
        <v>Abrir facsímil</v>
      </c>
      <c r="K10500" s="10" t="s">
        <v>24</v>
      </c>
    </row>
    <row r="10501" spans="1:11" ht="54" customHeight="1">
      <c r="A10501" s="9" t="s">
        <v>21861</v>
      </c>
      <c r="B10501" s="9" t="s">
        <v>21862</v>
      </c>
      <c r="C10501" s="9" t="s">
        <v>17</v>
      </c>
      <c r="D10501" s="9" t="s">
        <v>18</v>
      </c>
      <c r="E10501" s="10" t="s">
        <v>734</v>
      </c>
      <c r="F10501" s="9" t="s">
        <v>735</v>
      </c>
      <c r="G10501" s="10" t="s">
        <v>75</v>
      </c>
      <c r="H10501" s="9" t="s">
        <v>22</v>
      </c>
      <c r="I10501" s="9" t="s">
        <v>21864</v>
      </c>
      <c r="J10501" s="10" t="str">
        <f>HYPERLINK("https://www.boe.es/gazeta/dias/1834/05/06/pdfs/GMD-1834-75.pdf#page=4","Abrir facsímil")</f>
        <v>Abrir facsímil</v>
      </c>
      <c r="K10501" s="10" t="s">
        <v>24</v>
      </c>
    </row>
    <row r="10502" spans="1:11" ht="54" customHeight="1">
      <c r="A10502" s="9" t="s">
        <v>21861</v>
      </c>
      <c r="B10502" s="9" t="s">
        <v>21862</v>
      </c>
      <c r="C10502" s="9" t="s">
        <v>90</v>
      </c>
      <c r="D10502" s="9" t="s">
        <v>67</v>
      </c>
      <c r="E10502" s="10" t="s">
        <v>541</v>
      </c>
      <c r="F10502" s="9" t="s">
        <v>542</v>
      </c>
      <c r="G10502" s="10" t="s">
        <v>86</v>
      </c>
      <c r="H10502" s="9" t="s">
        <v>22</v>
      </c>
      <c r="I10502" s="9" t="s">
        <v>21865</v>
      </c>
      <c r="J10502" s="10" t="str">
        <f>HYPERLINK("https://www.boe.es/gazeta/dias/1834/04/18/pdfs/GMD-1834-57.pdf#page=2","Abrir facsímil")</f>
        <v>Abrir facsímil</v>
      </c>
      <c r="K10502" s="10" t="s">
        <v>24</v>
      </c>
    </row>
    <row r="10503" spans="1:11" ht="54" customHeight="1">
      <c r="A10503" s="9" t="s">
        <v>21866</v>
      </c>
      <c r="B10503" s="9" t="s">
        <v>21867</v>
      </c>
      <c r="C10503" s="9" t="s">
        <v>17</v>
      </c>
      <c r="D10503" s="9" t="s">
        <v>55</v>
      </c>
      <c r="E10503" s="10" t="s">
        <v>2937</v>
      </c>
      <c r="F10503" s="9" t="s">
        <v>2938</v>
      </c>
      <c r="G10503" s="10" t="s">
        <v>75</v>
      </c>
      <c r="H10503" s="9" t="s">
        <v>22</v>
      </c>
      <c r="I10503" s="9" t="s">
        <v>21868</v>
      </c>
      <c r="J10503" s="10" t="str">
        <f>HYPERLINK("https://www.boe.es/gazeta/dias/1834/06/25/pdfs/GMD-1834-128.pdf#page=4","Abrir facsímil")</f>
        <v>Abrir facsímil</v>
      </c>
      <c r="K10503" s="10" t="s">
        <v>24</v>
      </c>
    </row>
    <row r="10504" spans="1:11" ht="54" customHeight="1">
      <c r="A10504" s="9" t="s">
        <v>21869</v>
      </c>
      <c r="B10504" s="9" t="s">
        <v>21869</v>
      </c>
      <c r="C10504" s="9" t="s">
        <v>46</v>
      </c>
      <c r="D10504" s="9" t="s">
        <v>55</v>
      </c>
      <c r="E10504" s="10" t="s">
        <v>1597</v>
      </c>
      <c r="F10504" s="9" t="s">
        <v>1598</v>
      </c>
      <c r="G10504" s="10" t="s">
        <v>75</v>
      </c>
      <c r="H10504" s="9" t="s">
        <v>22</v>
      </c>
      <c r="I10504" s="9" t="s">
        <v>21870</v>
      </c>
      <c r="J10504" s="10" t="str">
        <f>HYPERLINK("https://www.boe.es/gazeta/dias/1834/10/03/pdfs/GMD-1834-231.pdf#page=4","Abrir facsímil")</f>
        <v>Abrir facsímil</v>
      </c>
      <c r="K10504" s="10" t="s">
        <v>24</v>
      </c>
    </row>
    <row r="10505" spans="1:11" ht="54" customHeight="1">
      <c r="A10505" s="9" t="s">
        <v>21871</v>
      </c>
      <c r="B10505" s="9" t="s">
        <v>21871</v>
      </c>
      <c r="C10505" s="9" t="s">
        <v>90</v>
      </c>
      <c r="D10505" s="9" t="s">
        <v>55</v>
      </c>
      <c r="E10505" s="10" t="s">
        <v>1008</v>
      </c>
      <c r="F10505" s="9" t="s">
        <v>1009</v>
      </c>
      <c r="G10505" s="10" t="s">
        <v>86</v>
      </c>
      <c r="H10505" s="9" t="s">
        <v>22</v>
      </c>
      <c r="I10505" s="9" t="s">
        <v>21872</v>
      </c>
      <c r="J10505" s="10" t="str">
        <f>HYPERLINK("https://www.boe.es/gazeta/dias/1834/11/08/pdfs/GMD-C-1834-267.pdf#page=2","Abrir facsímil")</f>
        <v>Abrir facsímil</v>
      </c>
      <c r="K10505" s="10" t="s">
        <v>24</v>
      </c>
    </row>
    <row r="10506" spans="1:11" ht="54" customHeight="1">
      <c r="A10506" s="9" t="s">
        <v>21873</v>
      </c>
      <c r="B10506" s="9" t="s">
        <v>21874</v>
      </c>
      <c r="C10506" s="9" t="s">
        <v>17</v>
      </c>
      <c r="D10506" s="9" t="s">
        <v>18</v>
      </c>
      <c r="E10506" s="10" t="s">
        <v>2004</v>
      </c>
      <c r="F10506" s="9" t="s">
        <v>2005</v>
      </c>
      <c r="G10506" s="10" t="s">
        <v>75</v>
      </c>
      <c r="H10506" s="9" t="s">
        <v>22</v>
      </c>
      <c r="I10506" s="9" t="s">
        <v>21875</v>
      </c>
      <c r="J10506" s="10" t="str">
        <f>HYPERLINK("https://www.boe.es/gazeta/dias/1834/05/09/pdfs/GMD-1834-78.pdf#page=4","Abrir facsímil")</f>
        <v>Abrir facsímil</v>
      </c>
      <c r="K10506" s="10" t="s">
        <v>24</v>
      </c>
    </row>
    <row r="10507" spans="1:11" ht="54" customHeight="1">
      <c r="A10507" s="9" t="s">
        <v>21876</v>
      </c>
      <c r="B10507" s="9" t="s">
        <v>21877</v>
      </c>
      <c r="C10507" s="9" t="s">
        <v>17</v>
      </c>
      <c r="D10507" s="9" t="s">
        <v>18</v>
      </c>
      <c r="E10507" s="10" t="s">
        <v>367</v>
      </c>
      <c r="F10507" s="9" t="s">
        <v>368</v>
      </c>
      <c r="G10507" s="10" t="s">
        <v>75</v>
      </c>
      <c r="H10507" s="9" t="s">
        <v>22</v>
      </c>
      <c r="I10507" s="9" t="s">
        <v>21878</v>
      </c>
      <c r="J10507" s="10" t="str">
        <f>HYPERLINK("https://www.boe.es/gazeta/dias/1834/05/19/pdfs/GMD-1834-88.pdf#page=4","Abrir facsímil")</f>
        <v>Abrir facsímil</v>
      </c>
      <c r="K10507" s="10" t="s">
        <v>24</v>
      </c>
    </row>
    <row r="10508" spans="1:11" ht="54" customHeight="1">
      <c r="A10508" s="9" t="s">
        <v>21879</v>
      </c>
      <c r="B10508" s="9" t="s">
        <v>21879</v>
      </c>
      <c r="C10508" s="9" t="s">
        <v>46</v>
      </c>
      <c r="D10508" s="9" t="s">
        <v>40</v>
      </c>
      <c r="E10508" s="10" t="s">
        <v>1262</v>
      </c>
      <c r="F10508" s="9" t="s">
        <v>1263</v>
      </c>
      <c r="G10508" s="10" t="s">
        <v>86</v>
      </c>
      <c r="H10508" s="9" t="s">
        <v>22</v>
      </c>
      <c r="I10508" s="9" t="s">
        <v>21880</v>
      </c>
      <c r="J10508" s="10" t="str">
        <f>HYPERLINK("https://www.boe.es/gazeta/dias/1834/02/01/pdfs/GMD-1834-15.pdf#page=2","Abrir facsímil")</f>
        <v>Abrir facsímil</v>
      </c>
      <c r="K10508" s="10" t="s">
        <v>24</v>
      </c>
    </row>
    <row r="10509" spans="1:11" ht="54" customHeight="1">
      <c r="A10509" s="9" t="s">
        <v>21879</v>
      </c>
      <c r="B10509" s="9" t="s">
        <v>21879</v>
      </c>
      <c r="C10509" s="9" t="s">
        <v>46</v>
      </c>
      <c r="D10509" s="9" t="s">
        <v>55</v>
      </c>
      <c r="E10509" s="10" t="s">
        <v>899</v>
      </c>
      <c r="F10509" s="9" t="s">
        <v>900</v>
      </c>
      <c r="G10509" s="10" t="s">
        <v>21</v>
      </c>
      <c r="H10509" s="9" t="s">
        <v>22</v>
      </c>
      <c r="I10509" s="9" t="s">
        <v>21881</v>
      </c>
      <c r="J10509" s="10" t="str">
        <f>HYPERLINK("https://www.boe.es/gazeta/dias/1834/01/30/pdfs/GMD-1834-14.pdf#page=3","Abrir facsímil")</f>
        <v>Abrir facsímil</v>
      </c>
      <c r="K10509" s="10" t="s">
        <v>24</v>
      </c>
    </row>
    <row r="10510" spans="1:11" ht="54" customHeight="1">
      <c r="A10510" s="9" t="s">
        <v>21882</v>
      </c>
      <c r="B10510" s="9" t="s">
        <v>21883</v>
      </c>
      <c r="C10510" s="9" t="s">
        <v>17</v>
      </c>
      <c r="D10510" s="9" t="s">
        <v>18</v>
      </c>
      <c r="E10510" s="10" t="s">
        <v>615</v>
      </c>
      <c r="F10510" s="9" t="s">
        <v>616</v>
      </c>
      <c r="G10510" s="10" t="s">
        <v>21</v>
      </c>
      <c r="H10510" s="9" t="s">
        <v>35</v>
      </c>
      <c r="I10510" s="9" t="s">
        <v>21884</v>
      </c>
      <c r="J10510" s="10" t="str">
        <f>HYPERLINK("https://www.boe.es/gazeta/dias/1834/08/19/pdfs/GMD-1834-185.pdf#page=3","Abrir facsímil")</f>
        <v>Abrir facsímil</v>
      </c>
      <c r="K10510" s="10" t="s">
        <v>37</v>
      </c>
    </row>
    <row r="10511" spans="1:11" ht="54" customHeight="1">
      <c r="A10511" s="9" t="s">
        <v>21885</v>
      </c>
      <c r="B10511" s="9" t="s">
        <v>21886</v>
      </c>
      <c r="C10511" s="9" t="s">
        <v>46</v>
      </c>
      <c r="D10511" s="9" t="s">
        <v>101</v>
      </c>
      <c r="E10511" s="10" t="s">
        <v>615</v>
      </c>
      <c r="F10511" s="9" t="s">
        <v>616</v>
      </c>
      <c r="G10511" s="10" t="s">
        <v>86</v>
      </c>
      <c r="H10511" s="9" t="s">
        <v>22</v>
      </c>
      <c r="I10511" s="9" t="s">
        <v>21887</v>
      </c>
      <c r="J10511" s="10" t="str">
        <f>HYPERLINK("https://www.boe.es/gazeta/dias/1834/08/19/pdfs/GMD-1834-185.pdf#page=2","Abrir facsímil")</f>
        <v>Abrir facsímil</v>
      </c>
      <c r="K10511" s="10" t="s">
        <v>24</v>
      </c>
    </row>
    <row r="10512" spans="1:11" ht="54" customHeight="1">
      <c r="A10512" s="9" t="s">
        <v>21888</v>
      </c>
      <c r="B10512" s="9" t="s">
        <v>21889</v>
      </c>
      <c r="C10512" s="9" t="s">
        <v>17</v>
      </c>
      <c r="D10512" s="9" t="s">
        <v>18</v>
      </c>
      <c r="E10512" s="10" t="s">
        <v>1459</v>
      </c>
      <c r="F10512" s="9" t="s">
        <v>1460</v>
      </c>
      <c r="G10512" s="10" t="s">
        <v>21</v>
      </c>
      <c r="H10512" s="9" t="s">
        <v>22</v>
      </c>
      <c r="I10512" s="9" t="s">
        <v>21890</v>
      </c>
      <c r="J10512" s="10" t="str">
        <f>HYPERLINK("https://www.boe.es/gazeta/dias/1834/08/18/pdfs/GMD-1834-184.pdf#page=3","Abrir facsímil")</f>
        <v>Abrir facsímil</v>
      </c>
      <c r="K10512" s="10" t="s">
        <v>24</v>
      </c>
    </row>
    <row r="10513" spans="1:11" ht="54" customHeight="1">
      <c r="A10513" s="9" t="s">
        <v>21888</v>
      </c>
      <c r="B10513" s="9" t="s">
        <v>21889</v>
      </c>
      <c r="C10513" s="9" t="s">
        <v>17</v>
      </c>
      <c r="D10513" s="9" t="s">
        <v>18</v>
      </c>
      <c r="E10513" s="10" t="s">
        <v>615</v>
      </c>
      <c r="F10513" s="9" t="s">
        <v>616</v>
      </c>
      <c r="G10513" s="10" t="s">
        <v>21</v>
      </c>
      <c r="H10513" s="9" t="s">
        <v>22</v>
      </c>
      <c r="I10513" s="9" t="s">
        <v>21891</v>
      </c>
      <c r="J10513" s="10" t="str">
        <f>HYPERLINK("https://www.boe.es/gazeta/dias/1834/08/19/pdfs/GMD-1834-185.pdf#page=3","Abrir facsímil")</f>
        <v>Abrir facsímil</v>
      </c>
      <c r="K10513" s="10" t="s">
        <v>24</v>
      </c>
    </row>
    <row r="10514" spans="1:11" ht="54" customHeight="1">
      <c r="A10514" s="9" t="s">
        <v>21892</v>
      </c>
      <c r="B10514" s="9" t="s">
        <v>21893</v>
      </c>
      <c r="C10514" s="9" t="s">
        <v>122</v>
      </c>
      <c r="D10514" s="9" t="s">
        <v>101</v>
      </c>
      <c r="E10514" s="10" t="s">
        <v>905</v>
      </c>
      <c r="F10514" s="9" t="s">
        <v>1651</v>
      </c>
      <c r="G10514" s="10" t="s">
        <v>21</v>
      </c>
      <c r="H10514" s="9" t="s">
        <v>22</v>
      </c>
      <c r="I10514" s="9" t="s">
        <v>21894</v>
      </c>
      <c r="J10514" s="10" t="str">
        <f>HYPERLINK("https://www.boe.es/gazeta/dias/1834/08/02/pdfs/GMD-1834-166.pdf#page=3","Abrir facsímil")</f>
        <v>Abrir facsímil</v>
      </c>
      <c r="K10514" s="10" t="s">
        <v>24</v>
      </c>
    </row>
    <row r="10515" spans="1:11" ht="54" customHeight="1">
      <c r="A10515" s="9" t="s">
        <v>21895</v>
      </c>
      <c r="B10515" s="9" t="s">
        <v>21896</v>
      </c>
      <c r="C10515" s="9" t="s">
        <v>122</v>
      </c>
      <c r="D10515" s="9" t="s">
        <v>18</v>
      </c>
      <c r="E10515" s="10" t="s">
        <v>1575</v>
      </c>
      <c r="F10515" s="9" t="s">
        <v>1576</v>
      </c>
      <c r="G10515" s="10" t="s">
        <v>75</v>
      </c>
      <c r="H10515" s="9" t="s">
        <v>35</v>
      </c>
      <c r="I10515" s="9" t="s">
        <v>21897</v>
      </c>
      <c r="J10515" s="10" t="str">
        <f>HYPERLINK("https://www.boe.es/gazeta/dias/1834/11/24/pdfs/GMD-1834-283.pdf#page=4","Abrir facsímil")</f>
        <v>Abrir facsímil</v>
      </c>
      <c r="K10515" s="10" t="s">
        <v>37</v>
      </c>
    </row>
    <row r="10516" spans="1:11" ht="54" customHeight="1">
      <c r="A10516" s="9" t="s">
        <v>21895</v>
      </c>
      <c r="B10516" s="9" t="s">
        <v>21896</v>
      </c>
      <c r="C10516" s="9" t="s">
        <v>66</v>
      </c>
      <c r="D10516" s="9" t="s">
        <v>67</v>
      </c>
      <c r="E10516" s="10" t="s">
        <v>803</v>
      </c>
      <c r="F10516" s="9" t="s">
        <v>804</v>
      </c>
      <c r="G10516" s="10" t="s">
        <v>75</v>
      </c>
      <c r="H10516" s="9" t="s">
        <v>35</v>
      </c>
      <c r="I10516" s="9" t="s">
        <v>21898</v>
      </c>
      <c r="J10516" s="10" t="str">
        <f>HYPERLINK("https://www.boe.es/gazeta/dias/1834/03/29/pdfs/GMD-1834-39.pdf#page=4","Abrir facsímil")</f>
        <v>Abrir facsímil</v>
      </c>
      <c r="K10516" s="10" t="s">
        <v>37</v>
      </c>
    </row>
    <row r="10517" spans="1:11" ht="54" customHeight="1">
      <c r="A10517" s="9" t="s">
        <v>21899</v>
      </c>
      <c r="B10517" s="9" t="s">
        <v>21900</v>
      </c>
      <c r="C10517" s="9" t="s">
        <v>17</v>
      </c>
      <c r="D10517" s="9" t="s">
        <v>18</v>
      </c>
      <c r="E10517" s="10" t="s">
        <v>1575</v>
      </c>
      <c r="F10517" s="9" t="s">
        <v>1576</v>
      </c>
      <c r="G10517" s="10" t="s">
        <v>75</v>
      </c>
      <c r="H10517" s="9" t="s">
        <v>35</v>
      </c>
      <c r="I10517" s="9" t="s">
        <v>21901</v>
      </c>
      <c r="J10517" s="10" t="str">
        <f>HYPERLINK("https://www.boe.es/gazeta/dias/1834/11/24/pdfs/GMD-1834-283.pdf#page=4","Abrir facsímil")</f>
        <v>Abrir facsímil</v>
      </c>
      <c r="K10517" s="10" t="s">
        <v>37</v>
      </c>
    </row>
    <row r="10518" spans="1:11" ht="54" customHeight="1">
      <c r="A10518" s="9" t="s">
        <v>21902</v>
      </c>
      <c r="B10518" s="9" t="s">
        <v>21903</v>
      </c>
      <c r="C10518" s="9" t="s">
        <v>122</v>
      </c>
      <c r="D10518" s="9" t="s">
        <v>18</v>
      </c>
      <c r="E10518" s="10" t="s">
        <v>1575</v>
      </c>
      <c r="F10518" s="9" t="s">
        <v>1576</v>
      </c>
      <c r="G10518" s="10" t="s">
        <v>75</v>
      </c>
      <c r="H10518" s="9" t="s">
        <v>22</v>
      </c>
      <c r="I10518" s="9" t="s">
        <v>21904</v>
      </c>
      <c r="J10518" s="10" t="str">
        <f>HYPERLINK("https://www.boe.es/gazeta/dias/1834/11/24/pdfs/GMD-1834-283.pdf#page=4","Abrir facsímil")</f>
        <v>Abrir facsímil</v>
      </c>
      <c r="K10518" s="10" t="s">
        <v>24</v>
      </c>
    </row>
    <row r="10519" spans="1:11" ht="54" customHeight="1">
      <c r="A10519" s="9" t="s">
        <v>21902</v>
      </c>
      <c r="B10519" s="9" t="s">
        <v>21903</v>
      </c>
      <c r="C10519" s="9" t="s">
        <v>66</v>
      </c>
      <c r="D10519" s="9" t="s">
        <v>67</v>
      </c>
      <c r="E10519" s="10" t="s">
        <v>803</v>
      </c>
      <c r="F10519" s="9" t="s">
        <v>804</v>
      </c>
      <c r="G10519" s="10" t="s">
        <v>75</v>
      </c>
      <c r="H10519" s="9" t="s">
        <v>22</v>
      </c>
      <c r="I10519" s="9" t="s">
        <v>21905</v>
      </c>
      <c r="J10519" s="10" t="str">
        <f>HYPERLINK("https://www.boe.es/gazeta/dias/1834/03/29/pdfs/GMD-1834-39.pdf#page=4","Abrir facsímil")</f>
        <v>Abrir facsímil</v>
      </c>
      <c r="K10519" s="10" t="s">
        <v>24</v>
      </c>
    </row>
    <row r="10520" spans="1:11" ht="54" customHeight="1">
      <c r="A10520" s="9" t="s">
        <v>21906</v>
      </c>
      <c r="B10520" s="9" t="s">
        <v>21907</v>
      </c>
      <c r="C10520" s="9" t="s">
        <v>17</v>
      </c>
      <c r="D10520" s="9" t="s">
        <v>18</v>
      </c>
      <c r="E10520" s="10" t="s">
        <v>1575</v>
      </c>
      <c r="F10520" s="9" t="s">
        <v>1576</v>
      </c>
      <c r="G10520" s="10" t="s">
        <v>75</v>
      </c>
      <c r="H10520" s="9" t="s">
        <v>22</v>
      </c>
      <c r="I10520" s="9" t="s">
        <v>21901</v>
      </c>
      <c r="J10520" s="10" t="str">
        <f>HYPERLINK("https://www.boe.es/gazeta/dias/1834/11/24/pdfs/GMD-1834-283.pdf#page=4","Abrir facsímil")</f>
        <v>Abrir facsímil</v>
      </c>
      <c r="K10520" s="10" t="s">
        <v>24</v>
      </c>
    </row>
    <row r="10521" spans="1:11" ht="54" customHeight="1">
      <c r="A10521" s="9" t="s">
        <v>21908</v>
      </c>
      <c r="B10521" s="9" t="s">
        <v>21908</v>
      </c>
      <c r="C10521" s="9" t="s">
        <v>17</v>
      </c>
      <c r="D10521" s="9" t="s">
        <v>18</v>
      </c>
      <c r="E10521" s="10" t="s">
        <v>707</v>
      </c>
      <c r="F10521" s="9" t="s">
        <v>708</v>
      </c>
      <c r="G10521" s="10" t="s">
        <v>75</v>
      </c>
      <c r="H10521" s="9" t="s">
        <v>22</v>
      </c>
      <c r="I10521" s="9" t="s">
        <v>21909</v>
      </c>
      <c r="J10521" s="10" t="str">
        <f>HYPERLINK("https://www.boe.es/gazeta/dias/1834/11/25/pdfs/GMD-C-1834-284.pdf#page=4","Abrir facsímil")</f>
        <v>Abrir facsímil</v>
      </c>
      <c r="K10521" s="10" t="s">
        <v>24</v>
      </c>
    </row>
    <row r="10522" spans="1:11" ht="54" customHeight="1">
      <c r="A10522" s="9" t="s">
        <v>21910</v>
      </c>
      <c r="B10522" s="9" t="s">
        <v>21911</v>
      </c>
      <c r="C10522" s="9" t="s">
        <v>66</v>
      </c>
      <c r="D10522" s="9" t="s">
        <v>18</v>
      </c>
      <c r="E10522" s="10" t="s">
        <v>813</v>
      </c>
      <c r="F10522" s="9" t="s">
        <v>814</v>
      </c>
      <c r="G10522" s="10" t="s">
        <v>21</v>
      </c>
      <c r="H10522" s="9" t="s">
        <v>35</v>
      </c>
      <c r="I10522" s="9" t="s">
        <v>21912</v>
      </c>
      <c r="J10522" s="10" t="str">
        <f>HYPERLINK("https://www.boe.es/gazeta/dias/1834/08/08/pdfs/GMD-1834-173.pdf#page=3","Abrir facsímil")</f>
        <v>Abrir facsímil</v>
      </c>
      <c r="K10522" s="10" t="s">
        <v>37</v>
      </c>
    </row>
    <row r="10523" spans="1:11" ht="54" customHeight="1">
      <c r="A10523" s="9" t="s">
        <v>21913</v>
      </c>
      <c r="B10523" s="9" t="s">
        <v>21914</v>
      </c>
      <c r="C10523" s="9" t="s">
        <v>17</v>
      </c>
      <c r="D10523" s="9" t="s">
        <v>18</v>
      </c>
      <c r="E10523" s="10" t="s">
        <v>571</v>
      </c>
      <c r="F10523" s="9" t="s">
        <v>620</v>
      </c>
      <c r="G10523" s="10" t="s">
        <v>34</v>
      </c>
      <c r="H10523" s="9" t="s">
        <v>22</v>
      </c>
      <c r="I10523" s="9" t="s">
        <v>21915</v>
      </c>
      <c r="J10523" s="10" t="str">
        <f>HYPERLINK("https://www.boe.es/gazeta/dias/1834/09/04/pdfs/GMD-C-1834-202.pdf#page=1","Abrir facsímil")</f>
        <v>Abrir facsímil</v>
      </c>
      <c r="K10523" s="10" t="s">
        <v>24</v>
      </c>
    </row>
    <row r="10524" spans="1:11" ht="54" customHeight="1">
      <c r="A10524" s="9" t="s">
        <v>21913</v>
      </c>
      <c r="B10524" s="9" t="s">
        <v>21914</v>
      </c>
      <c r="C10524" s="9" t="s">
        <v>66</v>
      </c>
      <c r="D10524" s="9" t="s">
        <v>18</v>
      </c>
      <c r="E10524" s="10" t="s">
        <v>408</v>
      </c>
      <c r="F10524" s="9" t="s">
        <v>409</v>
      </c>
      <c r="G10524" s="10" t="s">
        <v>34</v>
      </c>
      <c r="H10524" s="9" t="s">
        <v>22</v>
      </c>
      <c r="I10524" s="9" t="s">
        <v>21916</v>
      </c>
      <c r="J10524" s="10" t="str">
        <f>HYPERLINK("https://www.boe.es/gazeta/dias/1834/04/28/pdfs/GMD-1834-67.pdf#page=1","Abrir facsímil")</f>
        <v>Abrir facsímil</v>
      </c>
      <c r="K10524" s="10" t="s">
        <v>24</v>
      </c>
    </row>
    <row r="10525" spans="1:11" ht="54" customHeight="1">
      <c r="A10525" s="9" t="s">
        <v>21913</v>
      </c>
      <c r="B10525" s="9" t="s">
        <v>21914</v>
      </c>
      <c r="C10525" s="9" t="s">
        <v>66</v>
      </c>
      <c r="D10525" s="9" t="s">
        <v>101</v>
      </c>
      <c r="E10525" s="10" t="s">
        <v>1641</v>
      </c>
      <c r="F10525" s="9" t="s">
        <v>1729</v>
      </c>
      <c r="G10525" s="10" t="s">
        <v>34</v>
      </c>
      <c r="H10525" s="9" t="s">
        <v>22</v>
      </c>
      <c r="I10525" s="9" t="s">
        <v>21917</v>
      </c>
      <c r="J10525" s="10" t="str">
        <f>HYPERLINK("https://www.boe.es/gazeta/dias/1834/09/28/pdfs/GMD-1834-226.pdf#page=1","Abrir facsímil")</f>
        <v>Abrir facsímil</v>
      </c>
      <c r="K10525" s="10" t="s">
        <v>24</v>
      </c>
    </row>
    <row r="10526" spans="1:11" ht="54" customHeight="1">
      <c r="A10526" s="9" t="s">
        <v>21918</v>
      </c>
      <c r="B10526" s="9" t="s">
        <v>21919</v>
      </c>
      <c r="C10526" s="9" t="s">
        <v>66</v>
      </c>
      <c r="D10526" s="9" t="s">
        <v>18</v>
      </c>
      <c r="E10526" s="10" t="s">
        <v>813</v>
      </c>
      <c r="F10526" s="9" t="s">
        <v>814</v>
      </c>
      <c r="G10526" s="10" t="s">
        <v>21</v>
      </c>
      <c r="H10526" s="9" t="s">
        <v>22</v>
      </c>
      <c r="I10526" s="9" t="s">
        <v>21920</v>
      </c>
      <c r="J10526" s="10" t="str">
        <f>HYPERLINK("https://www.boe.es/gazeta/dias/1834/08/08/pdfs/GMD-1834-173.pdf#page=3","Abrir facsímil")</f>
        <v>Abrir facsímil</v>
      </c>
      <c r="K10526" s="10" t="s">
        <v>24</v>
      </c>
    </row>
    <row r="10527" spans="1:11" ht="54" customHeight="1">
      <c r="A10527" s="9" t="s">
        <v>21921</v>
      </c>
      <c r="B10527" s="9" t="s">
        <v>21921</v>
      </c>
      <c r="C10527" s="9" t="s">
        <v>17</v>
      </c>
      <c r="D10527" s="9" t="s">
        <v>18</v>
      </c>
      <c r="E10527" s="10" t="s">
        <v>19</v>
      </c>
      <c r="F10527" s="9" t="s">
        <v>1933</v>
      </c>
      <c r="G10527" s="10" t="s">
        <v>86</v>
      </c>
      <c r="H10527" s="9" t="s">
        <v>22</v>
      </c>
      <c r="I10527" s="9" t="s">
        <v>21922</v>
      </c>
      <c r="J10527" s="10" t="str">
        <f>HYPERLINK("https://www.boe.es/gazeta/dias/1834/08/17/pdfs/GMD-1834-183E.pdf#page=2","Abrir facsímil")</f>
        <v>Abrir facsímil</v>
      </c>
      <c r="K10527" s="10" t="s">
        <v>24</v>
      </c>
    </row>
    <row r="10528" spans="1:11" ht="54" customHeight="1">
      <c r="A10528" s="9" t="s">
        <v>21923</v>
      </c>
      <c r="B10528" s="9" t="s">
        <v>21923</v>
      </c>
      <c r="C10528" s="9" t="s">
        <v>66</v>
      </c>
      <c r="D10528" s="9" t="s">
        <v>67</v>
      </c>
      <c r="E10528" s="10" t="s">
        <v>1025</v>
      </c>
      <c r="F10528" s="9" t="s">
        <v>1026</v>
      </c>
      <c r="G10528" s="10" t="s">
        <v>28</v>
      </c>
      <c r="H10528" s="9" t="s">
        <v>22</v>
      </c>
      <c r="I10528" s="9" t="s">
        <v>21924</v>
      </c>
      <c r="J10528" s="10" t="str">
        <f>HYPERLINK("https://www.boe.es/gazeta/dias/1834/03/01/pdfs/GMD-1834-27.pdf#page=5","Abrir facsímil")</f>
        <v>Abrir facsímil</v>
      </c>
      <c r="K10528" s="10" t="s">
        <v>24</v>
      </c>
    </row>
    <row r="10529" spans="1:11" ht="54" customHeight="1">
      <c r="A10529" s="9" t="s">
        <v>21923</v>
      </c>
      <c r="B10529" s="9" t="s">
        <v>21923</v>
      </c>
      <c r="C10529" s="9" t="s">
        <v>66</v>
      </c>
      <c r="D10529" s="9" t="s">
        <v>67</v>
      </c>
      <c r="E10529" s="10" t="s">
        <v>1084</v>
      </c>
      <c r="F10529" s="9" t="s">
        <v>1085</v>
      </c>
      <c r="G10529" s="10" t="s">
        <v>28</v>
      </c>
      <c r="H10529" s="9" t="s">
        <v>22</v>
      </c>
      <c r="I10529" s="9" t="s">
        <v>21925</v>
      </c>
      <c r="J10529" s="10" t="str">
        <f>HYPERLINK("https://www.boe.es/gazeta/dias/1834/05/01/pdfs/GMD-1834-70.pdf#page=5","Abrir facsímil")</f>
        <v>Abrir facsímil</v>
      </c>
      <c r="K10529" s="10" t="s">
        <v>24</v>
      </c>
    </row>
    <row r="10530" spans="1:11" ht="54" customHeight="1">
      <c r="A10530" s="9" t="s">
        <v>21923</v>
      </c>
      <c r="B10530" s="9" t="s">
        <v>21923</v>
      </c>
      <c r="C10530" s="9" t="s">
        <v>66</v>
      </c>
      <c r="D10530" s="9" t="s">
        <v>67</v>
      </c>
      <c r="E10530" s="10" t="s">
        <v>364</v>
      </c>
      <c r="F10530" s="9" t="s">
        <v>2102</v>
      </c>
      <c r="G10530" s="10" t="s">
        <v>21</v>
      </c>
      <c r="H10530" s="9" t="s">
        <v>22</v>
      </c>
      <c r="I10530" s="9" t="s">
        <v>21926</v>
      </c>
      <c r="J10530" s="10" t="str">
        <f>HYPERLINK("https://www.boe.es/gazeta/dias/1834/09/06/pdfs/GMD-1834-204.pdf#page=3","Abrir facsímil")</f>
        <v>Abrir facsímil</v>
      </c>
      <c r="K10530" s="10" t="s">
        <v>24</v>
      </c>
    </row>
    <row r="10531" spans="1:11" ht="54" customHeight="1">
      <c r="A10531" s="9" t="s">
        <v>21923</v>
      </c>
      <c r="B10531" s="9" t="s">
        <v>21923</v>
      </c>
      <c r="C10531" s="9" t="s">
        <v>90</v>
      </c>
      <c r="D10531" s="9" t="s">
        <v>67</v>
      </c>
      <c r="E10531" s="10" t="s">
        <v>3306</v>
      </c>
      <c r="F10531" s="9" t="s">
        <v>3307</v>
      </c>
      <c r="G10531" s="10" t="s">
        <v>75</v>
      </c>
      <c r="H10531" s="9" t="s">
        <v>22</v>
      </c>
      <c r="I10531" s="9" t="s">
        <v>21927</v>
      </c>
      <c r="J10531" s="10" t="str">
        <f>HYPERLINK("https://www.boe.es/gazeta/dias/1834/05/07/pdfs/GMD-1834-76.pdf#page=4","Abrir facsímil")</f>
        <v>Abrir facsímil</v>
      </c>
      <c r="K10531" s="10" t="s">
        <v>24</v>
      </c>
    </row>
    <row r="10532" spans="1:11" ht="54" customHeight="1">
      <c r="A10532" s="9" t="s">
        <v>21923</v>
      </c>
      <c r="B10532" s="9" t="s">
        <v>21923</v>
      </c>
      <c r="C10532" s="9" t="s">
        <v>17</v>
      </c>
      <c r="D10532" s="9" t="s">
        <v>18</v>
      </c>
      <c r="E10532" s="10" t="s">
        <v>3170</v>
      </c>
      <c r="F10532" s="9" t="s">
        <v>3171</v>
      </c>
      <c r="G10532" s="10" t="s">
        <v>21</v>
      </c>
      <c r="H10532" s="9" t="s">
        <v>22</v>
      </c>
      <c r="I10532" s="9" t="s">
        <v>21928</v>
      </c>
      <c r="J10532" s="10" t="str">
        <f>HYPERLINK("https://www.boe.es/gazeta/dias/1834/12/07/pdfs/GMD-1834-296.pdf#page=3","Abrir facsímil")</f>
        <v>Abrir facsímil</v>
      </c>
      <c r="K10532" s="10" t="s">
        <v>24</v>
      </c>
    </row>
    <row r="10533" spans="1:11" ht="54" customHeight="1">
      <c r="A10533" s="9" t="s">
        <v>21923</v>
      </c>
      <c r="B10533" s="9" t="s">
        <v>21923</v>
      </c>
      <c r="C10533" s="9" t="s">
        <v>66</v>
      </c>
      <c r="D10533" s="9" t="s">
        <v>67</v>
      </c>
      <c r="E10533" s="10" t="s">
        <v>2091</v>
      </c>
      <c r="F10533" s="9" t="s">
        <v>2092</v>
      </c>
      <c r="G10533" s="10" t="s">
        <v>21</v>
      </c>
      <c r="H10533" s="9" t="s">
        <v>22</v>
      </c>
      <c r="I10533" s="9" t="s">
        <v>21929</v>
      </c>
      <c r="J10533" s="10" t="str">
        <f>HYPERLINK("https://www.boe.es/gazeta/dias/1834/03/08/pdfs/GMD-1834-30.pdf#page=3","Abrir facsímil")</f>
        <v>Abrir facsímil</v>
      </c>
      <c r="K10533" s="10" t="s">
        <v>24</v>
      </c>
    </row>
    <row r="10534" spans="1:11" ht="54" customHeight="1">
      <c r="A10534" s="9" t="s">
        <v>21923</v>
      </c>
      <c r="B10534" s="9" t="s">
        <v>21923</v>
      </c>
      <c r="C10534" s="9" t="s">
        <v>66</v>
      </c>
      <c r="D10534" s="9" t="s">
        <v>18</v>
      </c>
      <c r="E10534" s="10" t="s">
        <v>61</v>
      </c>
      <c r="F10534" s="9" t="s">
        <v>205</v>
      </c>
      <c r="G10534" s="10" t="s">
        <v>86</v>
      </c>
      <c r="H10534" s="9" t="s">
        <v>22</v>
      </c>
      <c r="I10534" s="9" t="s">
        <v>21930</v>
      </c>
      <c r="J10534" s="10" t="str">
        <f>HYPERLINK("https://www.boe.es/gazeta/dias/1834/06/08/pdfs/GMD-1834-110.pdf#page=2","Abrir facsímil")</f>
        <v>Abrir facsímil</v>
      </c>
      <c r="K10534" s="10" t="s">
        <v>24</v>
      </c>
    </row>
    <row r="10535" spans="1:11" ht="54" customHeight="1">
      <c r="A10535" s="9" t="s">
        <v>21923</v>
      </c>
      <c r="B10535" s="9" t="s">
        <v>21923</v>
      </c>
      <c r="C10535" s="9" t="s">
        <v>17</v>
      </c>
      <c r="D10535" s="9" t="s">
        <v>18</v>
      </c>
      <c r="E10535" s="10" t="s">
        <v>61</v>
      </c>
      <c r="F10535" s="9" t="s">
        <v>205</v>
      </c>
      <c r="G10535" s="10" t="s">
        <v>21</v>
      </c>
      <c r="H10535" s="9" t="s">
        <v>22</v>
      </c>
      <c r="I10535" s="9" t="s">
        <v>21931</v>
      </c>
      <c r="J10535" s="10" t="str">
        <f>HYPERLINK("https://www.boe.es/gazeta/dias/1834/06/08/pdfs/GMD-1834-110.pdf#page=3","Abrir facsímil")</f>
        <v>Abrir facsímil</v>
      </c>
      <c r="K10535" s="10" t="s">
        <v>24</v>
      </c>
    </row>
    <row r="10536" spans="1:11" ht="54" customHeight="1">
      <c r="A10536" s="9" t="s">
        <v>21923</v>
      </c>
      <c r="B10536" s="9" t="s">
        <v>21923</v>
      </c>
      <c r="C10536" s="9" t="s">
        <v>17</v>
      </c>
      <c r="D10536" s="9" t="s">
        <v>18</v>
      </c>
      <c r="E10536" s="10" t="s">
        <v>1999</v>
      </c>
      <c r="F10536" s="9" t="s">
        <v>2000</v>
      </c>
      <c r="G10536" s="10" t="s">
        <v>75</v>
      </c>
      <c r="H10536" s="9" t="s">
        <v>22</v>
      </c>
      <c r="I10536" s="9" t="s">
        <v>21932</v>
      </c>
      <c r="J10536" s="10" t="str">
        <f>HYPERLINK("https://www.boe.es/gazeta/dias/1834/04/09/pdfs/GMD-1834-48.pdf#page=4","Abrir facsímil")</f>
        <v>Abrir facsímil</v>
      </c>
      <c r="K10536" s="10" t="s">
        <v>24</v>
      </c>
    </row>
    <row r="10537" spans="1:11" ht="54" customHeight="1">
      <c r="A10537" s="9" t="s">
        <v>21923</v>
      </c>
      <c r="B10537" s="9" t="s">
        <v>21923</v>
      </c>
      <c r="C10537" s="9" t="s">
        <v>90</v>
      </c>
      <c r="D10537" s="9" t="s">
        <v>67</v>
      </c>
      <c r="E10537" s="10" t="s">
        <v>438</v>
      </c>
      <c r="F10537" s="9" t="s">
        <v>439</v>
      </c>
      <c r="G10537" s="10" t="s">
        <v>75</v>
      </c>
      <c r="H10537" s="9" t="s">
        <v>22</v>
      </c>
      <c r="I10537" s="9" t="s">
        <v>21933</v>
      </c>
      <c r="J10537" s="10" t="str">
        <f>HYPERLINK("https://www.boe.es/gazeta/dias/1834/11/09/pdfs/GMD-1834-268.pdf#page=4","Abrir facsímil")</f>
        <v>Abrir facsímil</v>
      </c>
      <c r="K10537" s="10" t="s">
        <v>24</v>
      </c>
    </row>
    <row r="10538" spans="1:11" ht="54" customHeight="1">
      <c r="A10538" s="9" t="s">
        <v>21923</v>
      </c>
      <c r="B10538" s="9" t="s">
        <v>21923</v>
      </c>
      <c r="C10538" s="9" t="s">
        <v>66</v>
      </c>
      <c r="D10538" s="9" t="s">
        <v>67</v>
      </c>
      <c r="E10538" s="10" t="s">
        <v>5435</v>
      </c>
      <c r="F10538" s="9" t="s">
        <v>5436</v>
      </c>
      <c r="G10538" s="10" t="s">
        <v>21</v>
      </c>
      <c r="H10538" s="9" t="s">
        <v>22</v>
      </c>
      <c r="I10538" s="9" t="s">
        <v>21934</v>
      </c>
      <c r="J10538" s="10" t="str">
        <f>HYPERLINK("https://www.boe.es/gazeta/dias/1834/05/11/pdfs/GMD-1834-80.pdf#page=3","Abrir facsímil")</f>
        <v>Abrir facsímil</v>
      </c>
      <c r="K10538" s="10" t="s">
        <v>24</v>
      </c>
    </row>
    <row r="10539" spans="1:11" ht="54" customHeight="1">
      <c r="A10539" s="9" t="s">
        <v>21923</v>
      </c>
      <c r="B10539" s="9" t="s">
        <v>21923</v>
      </c>
      <c r="C10539" s="9" t="s">
        <v>17</v>
      </c>
      <c r="D10539" s="9" t="s">
        <v>18</v>
      </c>
      <c r="E10539" s="10" t="s">
        <v>2098</v>
      </c>
      <c r="F10539" s="9" t="s">
        <v>2099</v>
      </c>
      <c r="G10539" s="10" t="s">
        <v>21</v>
      </c>
      <c r="H10539" s="9" t="s">
        <v>22</v>
      </c>
      <c r="I10539" s="9" t="s">
        <v>21935</v>
      </c>
      <c r="J10539" s="10" t="str">
        <f>HYPERLINK("https://www.boe.es/gazeta/dias/1834/08/11/pdfs/GMD-1834-176.pdf#page=3","Abrir facsímil")</f>
        <v>Abrir facsímil</v>
      </c>
      <c r="K10539" s="10" t="s">
        <v>24</v>
      </c>
    </row>
    <row r="10540" spans="1:11" ht="54" customHeight="1">
      <c r="A10540" s="9" t="s">
        <v>21923</v>
      </c>
      <c r="B10540" s="9" t="s">
        <v>21923</v>
      </c>
      <c r="C10540" s="9" t="s">
        <v>17</v>
      </c>
      <c r="D10540" s="9" t="s">
        <v>18</v>
      </c>
      <c r="E10540" s="10" t="s">
        <v>348</v>
      </c>
      <c r="F10540" s="9" t="s">
        <v>349</v>
      </c>
      <c r="G10540" s="10" t="s">
        <v>34</v>
      </c>
      <c r="H10540" s="9" t="s">
        <v>22</v>
      </c>
      <c r="I10540" s="9" t="s">
        <v>21936</v>
      </c>
      <c r="J10540" s="10" t="str">
        <f>HYPERLINK("https://www.boe.es/gazeta/dias/1834/06/12/pdfs/GMD-C-1834-115.pdf#page=1","Abrir facsímil")</f>
        <v>Abrir facsímil</v>
      </c>
      <c r="K10540" s="10" t="s">
        <v>24</v>
      </c>
    </row>
    <row r="10541" spans="1:11" ht="54" customHeight="1">
      <c r="A10541" s="9" t="s">
        <v>21923</v>
      </c>
      <c r="B10541" s="9" t="s">
        <v>21923</v>
      </c>
      <c r="C10541" s="9" t="s">
        <v>17</v>
      </c>
      <c r="D10541" s="9" t="s">
        <v>18</v>
      </c>
      <c r="E10541" s="10" t="s">
        <v>299</v>
      </c>
      <c r="F10541" s="9" t="s">
        <v>300</v>
      </c>
      <c r="G10541" s="10" t="s">
        <v>75</v>
      </c>
      <c r="H10541" s="9" t="s">
        <v>22</v>
      </c>
      <c r="I10541" s="9" t="s">
        <v>21937</v>
      </c>
      <c r="J10541" s="10" t="str">
        <f>HYPERLINK("https://www.boe.es/gazeta/dias/1834/12/12/pdfs/GMD-1834-301.pdf#page=4","Abrir facsímil")</f>
        <v>Abrir facsímil</v>
      </c>
      <c r="K10541" s="10" t="s">
        <v>24</v>
      </c>
    </row>
    <row r="10542" spans="1:11" ht="54" customHeight="1">
      <c r="A10542" s="9" t="s">
        <v>21923</v>
      </c>
      <c r="B10542" s="9" t="s">
        <v>21923</v>
      </c>
      <c r="C10542" s="9" t="s">
        <v>66</v>
      </c>
      <c r="D10542" s="9" t="s">
        <v>67</v>
      </c>
      <c r="E10542" s="10" t="s">
        <v>1113</v>
      </c>
      <c r="F10542" s="9" t="s">
        <v>1114</v>
      </c>
      <c r="G10542" s="10" t="s">
        <v>75</v>
      </c>
      <c r="H10542" s="9" t="s">
        <v>22</v>
      </c>
      <c r="I10542" s="9" t="s">
        <v>21938</v>
      </c>
      <c r="J10542" s="10" t="str">
        <f>HYPERLINK("https://www.boe.es/gazeta/dias/1834/04/14/pdfs/GMD-1834-53.pdf#page=4","Abrir facsímil")</f>
        <v>Abrir facsímil</v>
      </c>
      <c r="K10542" s="10" t="s">
        <v>24</v>
      </c>
    </row>
    <row r="10543" spans="1:11" ht="54" customHeight="1">
      <c r="A10543" s="9" t="s">
        <v>21923</v>
      </c>
      <c r="B10543" s="9" t="s">
        <v>21923</v>
      </c>
      <c r="C10543" s="9" t="s">
        <v>17</v>
      </c>
      <c r="D10543" s="9" t="s">
        <v>18</v>
      </c>
      <c r="E10543" s="10" t="s">
        <v>912</v>
      </c>
      <c r="F10543" s="9" t="s">
        <v>913</v>
      </c>
      <c r="G10543" s="10" t="s">
        <v>28</v>
      </c>
      <c r="H10543" s="9" t="s">
        <v>22</v>
      </c>
      <c r="I10543" s="9" t="s">
        <v>21939</v>
      </c>
      <c r="J10543" s="10" t="str">
        <f>HYPERLINK("https://www.boe.es/gazeta/dias/1834/02/15/pdfs/GMD-1834-21.pdf#page=5","Abrir facsímil")</f>
        <v>Abrir facsímil</v>
      </c>
      <c r="K10543" s="10" t="s">
        <v>24</v>
      </c>
    </row>
    <row r="10544" spans="1:11" ht="54" customHeight="1">
      <c r="A10544" s="9" t="s">
        <v>21923</v>
      </c>
      <c r="B10544" s="9" t="s">
        <v>21923</v>
      </c>
      <c r="C10544" s="9" t="s">
        <v>66</v>
      </c>
      <c r="D10544" s="9" t="s">
        <v>67</v>
      </c>
      <c r="E10544" s="10" t="s">
        <v>1234</v>
      </c>
      <c r="F10544" s="9" t="s">
        <v>1455</v>
      </c>
      <c r="G10544" s="10" t="s">
        <v>21</v>
      </c>
      <c r="H10544" s="9" t="s">
        <v>22</v>
      </c>
      <c r="I10544" s="9" t="s">
        <v>21940</v>
      </c>
      <c r="J10544" s="10" t="str">
        <f>HYPERLINK("https://www.boe.es/gazeta/dias/1834/05/15/pdfs/GMD-1834-84.pdf#page=3","Abrir facsímil")</f>
        <v>Abrir facsímil</v>
      </c>
      <c r="K10544" s="10" t="s">
        <v>24</v>
      </c>
    </row>
    <row r="10545" spans="1:11" ht="54" customHeight="1">
      <c r="A10545" s="9" t="s">
        <v>21923</v>
      </c>
      <c r="B10545" s="9" t="s">
        <v>21923</v>
      </c>
      <c r="C10545" s="9" t="s">
        <v>66</v>
      </c>
      <c r="D10545" s="9" t="s">
        <v>67</v>
      </c>
      <c r="E10545" s="10" t="s">
        <v>863</v>
      </c>
      <c r="F10545" s="9" t="s">
        <v>864</v>
      </c>
      <c r="G10545" s="10" t="s">
        <v>86</v>
      </c>
      <c r="H10545" s="9" t="s">
        <v>22</v>
      </c>
      <c r="I10545" s="9" t="s">
        <v>21941</v>
      </c>
      <c r="J10545" s="10" t="str">
        <f>HYPERLINK("https://www.boe.es/gazeta/dias/1834/09/15/pdfs/GMD-1834-213.pdf#page=2","Abrir facsímil")</f>
        <v>Abrir facsímil</v>
      </c>
      <c r="K10545" s="10" t="s">
        <v>24</v>
      </c>
    </row>
    <row r="10546" spans="1:11" ht="54" customHeight="1">
      <c r="A10546" s="9" t="s">
        <v>21923</v>
      </c>
      <c r="B10546" s="9" t="s">
        <v>21923</v>
      </c>
      <c r="C10546" s="9" t="s">
        <v>122</v>
      </c>
      <c r="D10546" s="9" t="s">
        <v>18</v>
      </c>
      <c r="E10546" s="10" t="s">
        <v>1394</v>
      </c>
      <c r="F10546" s="9" t="s">
        <v>2923</v>
      </c>
      <c r="G10546" s="10" t="s">
        <v>34</v>
      </c>
      <c r="H10546" s="9" t="s">
        <v>22</v>
      </c>
      <c r="I10546" s="9" t="s">
        <v>21942</v>
      </c>
      <c r="J10546" s="10" t="str">
        <f>HYPERLINK("https://www.boe.es/gazeta/dias/1834/04/16/pdfs/GMD-C-1834-55.pdf#page=1","Abrir facsímil")</f>
        <v>Abrir facsímil</v>
      </c>
      <c r="K10546" s="10" t="s">
        <v>24</v>
      </c>
    </row>
    <row r="10547" spans="1:11" ht="54" customHeight="1">
      <c r="A10547" s="9" t="s">
        <v>21923</v>
      </c>
      <c r="B10547" s="9" t="s">
        <v>21923</v>
      </c>
      <c r="C10547" s="9" t="s">
        <v>17</v>
      </c>
      <c r="D10547" s="9" t="s">
        <v>40</v>
      </c>
      <c r="E10547" s="10" t="s">
        <v>1116</v>
      </c>
      <c r="F10547" s="9" t="s">
        <v>1117</v>
      </c>
      <c r="G10547" s="10" t="s">
        <v>21</v>
      </c>
      <c r="H10547" s="9" t="s">
        <v>22</v>
      </c>
      <c r="I10547" s="9" t="s">
        <v>21943</v>
      </c>
      <c r="J10547" s="10" t="str">
        <f>HYPERLINK("https://www.boe.es/gazeta/dias/1834/05/16/pdfs/GMD-1834-85.pdf#page=3","Abrir facsímil")</f>
        <v>Abrir facsímil</v>
      </c>
      <c r="K10547" s="10" t="s">
        <v>24</v>
      </c>
    </row>
    <row r="10548" spans="1:11" ht="54" customHeight="1">
      <c r="A10548" s="9" t="s">
        <v>21923</v>
      </c>
      <c r="B10548" s="9" t="s">
        <v>21923</v>
      </c>
      <c r="C10548" s="9" t="s">
        <v>66</v>
      </c>
      <c r="D10548" s="9" t="s">
        <v>67</v>
      </c>
      <c r="E10548" s="10" t="s">
        <v>5574</v>
      </c>
      <c r="F10548" s="9" t="s">
        <v>5575</v>
      </c>
      <c r="G10548" s="10" t="s">
        <v>21</v>
      </c>
      <c r="H10548" s="9" t="s">
        <v>22</v>
      </c>
      <c r="I10548" s="9" t="s">
        <v>21944</v>
      </c>
      <c r="J10548" s="10" t="str">
        <f>HYPERLINK("https://www.boe.es/gazeta/dias/1834/06/16/pdfs/GMD-1834-119.pdf#page=3","Abrir facsímil")</f>
        <v>Abrir facsímil</v>
      </c>
      <c r="K10548" s="10" t="s">
        <v>24</v>
      </c>
    </row>
    <row r="10549" spans="1:11" ht="54" customHeight="1">
      <c r="A10549" s="9" t="s">
        <v>21923</v>
      </c>
      <c r="B10549" s="9" t="s">
        <v>21923</v>
      </c>
      <c r="C10549" s="9" t="s">
        <v>17</v>
      </c>
      <c r="D10549" s="9" t="s">
        <v>40</v>
      </c>
      <c r="E10549" s="10" t="s">
        <v>1119</v>
      </c>
      <c r="F10549" s="9" t="s">
        <v>1120</v>
      </c>
      <c r="G10549" s="10" t="s">
        <v>75</v>
      </c>
      <c r="H10549" s="9" t="s">
        <v>22</v>
      </c>
      <c r="I10549" s="9" t="s">
        <v>21945</v>
      </c>
      <c r="J10549" s="10" t="str">
        <f>HYPERLINK("https://www.boe.es/gazeta/dias/1834/07/17/pdfs/GMD-1834-150.pdf#page=4","Abrir facsímil")</f>
        <v>Abrir facsímil</v>
      </c>
      <c r="K10549" s="10" t="s">
        <v>24</v>
      </c>
    </row>
    <row r="10550" spans="1:11" ht="54" customHeight="1">
      <c r="A10550" s="9" t="s">
        <v>21923</v>
      </c>
      <c r="B10550" s="9" t="s">
        <v>21923</v>
      </c>
      <c r="C10550" s="9" t="s">
        <v>66</v>
      </c>
      <c r="D10550" s="9" t="s">
        <v>67</v>
      </c>
      <c r="E10550" s="10" t="s">
        <v>1850</v>
      </c>
      <c r="F10550" s="9" t="s">
        <v>1851</v>
      </c>
      <c r="G10550" s="10" t="s">
        <v>176</v>
      </c>
      <c r="H10550" s="9" t="s">
        <v>22</v>
      </c>
      <c r="I10550" s="9" t="s">
        <v>21946</v>
      </c>
      <c r="J10550" s="10" t="str">
        <f>HYPERLINK("https://www.boe.es/gazeta/dias/1834/02/18/pdfs/GMD-1834-22.pdf#page=6","Abrir facsímil")</f>
        <v>Abrir facsímil</v>
      </c>
      <c r="K10550" s="10" t="s">
        <v>24</v>
      </c>
    </row>
    <row r="10551" spans="1:11" ht="54" customHeight="1">
      <c r="A10551" s="9" t="s">
        <v>21923</v>
      </c>
      <c r="B10551" s="9" t="s">
        <v>21923</v>
      </c>
      <c r="C10551" s="9" t="s">
        <v>90</v>
      </c>
      <c r="D10551" s="9" t="s">
        <v>67</v>
      </c>
      <c r="E10551" s="10" t="s">
        <v>753</v>
      </c>
      <c r="F10551" s="9" t="s">
        <v>754</v>
      </c>
      <c r="G10551" s="10" t="s">
        <v>176</v>
      </c>
      <c r="H10551" s="9" t="s">
        <v>22</v>
      </c>
      <c r="I10551" s="9" t="s">
        <v>21947</v>
      </c>
      <c r="J10551" s="10" t="str">
        <f>HYPERLINK("https://www.boe.es/gazeta/dias/1834/04/21/pdfs/GMD-1834-60.pdf#page=6","Abrir facsímil")</f>
        <v>Abrir facsímil</v>
      </c>
      <c r="K10551" s="10" t="s">
        <v>24</v>
      </c>
    </row>
    <row r="10552" spans="1:11" ht="54" customHeight="1">
      <c r="A10552" s="9" t="s">
        <v>21923</v>
      </c>
      <c r="B10552" s="9" t="s">
        <v>21923</v>
      </c>
      <c r="C10552" s="9" t="s">
        <v>66</v>
      </c>
      <c r="D10552" s="9" t="s">
        <v>67</v>
      </c>
      <c r="E10552" s="10" t="s">
        <v>535</v>
      </c>
      <c r="F10552" s="9" t="s">
        <v>536</v>
      </c>
      <c r="G10552" s="10" t="s">
        <v>21</v>
      </c>
      <c r="H10552" s="9" t="s">
        <v>22</v>
      </c>
      <c r="I10552" s="9" t="s">
        <v>21948</v>
      </c>
      <c r="J10552" s="10" t="str">
        <f>HYPERLINK("https://www.boe.es/gazeta/dias/1834/05/21/pdfs/GMD-1834-90.pdf#page=3","Abrir facsímil")</f>
        <v>Abrir facsímil</v>
      </c>
      <c r="K10552" s="10" t="s">
        <v>24</v>
      </c>
    </row>
    <row r="10553" spans="1:11" ht="54" customHeight="1">
      <c r="A10553" s="9" t="s">
        <v>21923</v>
      </c>
      <c r="B10553" s="9" t="s">
        <v>21923</v>
      </c>
      <c r="C10553" s="9" t="s">
        <v>66</v>
      </c>
      <c r="D10553" s="9" t="s">
        <v>18</v>
      </c>
      <c r="E10553" s="10" t="s">
        <v>849</v>
      </c>
      <c r="F10553" s="9" t="s">
        <v>850</v>
      </c>
      <c r="G10553" s="10" t="s">
        <v>21</v>
      </c>
      <c r="H10553" s="9" t="s">
        <v>22</v>
      </c>
      <c r="I10553" s="9" t="s">
        <v>21949</v>
      </c>
      <c r="J10553" s="10" t="str">
        <f>HYPERLINK("https://www.boe.es/gazeta/dias/1834/06/21/pdfs/GMD-1834-124.pdf#page=3","Abrir facsímil")</f>
        <v>Abrir facsímil</v>
      </c>
      <c r="K10553" s="10" t="s">
        <v>24</v>
      </c>
    </row>
    <row r="10554" spans="1:11" ht="54" customHeight="1">
      <c r="A10554" s="9" t="s">
        <v>21923</v>
      </c>
      <c r="B10554" s="9" t="s">
        <v>21923</v>
      </c>
      <c r="C10554" s="9" t="s">
        <v>17</v>
      </c>
      <c r="D10554" s="9" t="s">
        <v>18</v>
      </c>
      <c r="E10554" s="10" t="s">
        <v>117</v>
      </c>
      <c r="F10554" s="9" t="s">
        <v>118</v>
      </c>
      <c r="G10554" s="10" t="s">
        <v>75</v>
      </c>
      <c r="H10554" s="9" t="s">
        <v>22</v>
      </c>
      <c r="I10554" s="9" t="s">
        <v>21950</v>
      </c>
      <c r="J10554" s="10" t="str">
        <f>HYPERLINK("https://www.boe.es/gazeta/dias/1834/07/21/pdfs/GMD-1834-154.pdf#page=4","Abrir facsímil")</f>
        <v>Abrir facsímil</v>
      </c>
      <c r="K10554" s="10" t="s">
        <v>24</v>
      </c>
    </row>
    <row r="10555" spans="1:11" ht="54" customHeight="1">
      <c r="A10555" s="9" t="s">
        <v>21923</v>
      </c>
      <c r="B10555" s="9" t="s">
        <v>21923</v>
      </c>
      <c r="C10555" s="9" t="s">
        <v>66</v>
      </c>
      <c r="D10555" s="9" t="s">
        <v>67</v>
      </c>
      <c r="E10555" s="10" t="s">
        <v>981</v>
      </c>
      <c r="F10555" s="9" t="s">
        <v>982</v>
      </c>
      <c r="G10555" s="10" t="s">
        <v>21</v>
      </c>
      <c r="H10555" s="9" t="s">
        <v>22</v>
      </c>
      <c r="I10555" s="9" t="s">
        <v>21951</v>
      </c>
      <c r="J10555" s="10" t="str">
        <f>HYPERLINK("https://www.boe.es/gazeta/dias/1834/09/21/pdfs/GMD-1834-219.pdf#page=3","Abrir facsímil")</f>
        <v>Abrir facsímil</v>
      </c>
      <c r="K10555" s="10" t="s">
        <v>24</v>
      </c>
    </row>
    <row r="10556" spans="1:11" ht="54" customHeight="1">
      <c r="A10556" s="9" t="s">
        <v>21923</v>
      </c>
      <c r="B10556" s="9" t="s">
        <v>21923</v>
      </c>
      <c r="C10556" s="9" t="s">
        <v>90</v>
      </c>
      <c r="D10556" s="9" t="s">
        <v>67</v>
      </c>
      <c r="E10556" s="10" t="s">
        <v>1323</v>
      </c>
      <c r="F10556" s="9" t="s">
        <v>1324</v>
      </c>
      <c r="G10556" s="10" t="s">
        <v>21</v>
      </c>
      <c r="H10556" s="9" t="s">
        <v>22</v>
      </c>
      <c r="I10556" s="9" t="s">
        <v>21952</v>
      </c>
      <c r="J10556" s="10" t="str">
        <f>HYPERLINK("https://www.boe.es/gazeta/dias/1834/05/22/pdfs/GMD-1834-91.pdf#page=3","Abrir facsímil")</f>
        <v>Abrir facsímil</v>
      </c>
      <c r="K10556" s="10" t="s">
        <v>24</v>
      </c>
    </row>
    <row r="10557" spans="1:11" ht="54" customHeight="1">
      <c r="A10557" s="9" t="s">
        <v>21923</v>
      </c>
      <c r="B10557" s="9" t="s">
        <v>21923</v>
      </c>
      <c r="C10557" s="9" t="s">
        <v>17</v>
      </c>
      <c r="D10557" s="9" t="s">
        <v>18</v>
      </c>
      <c r="E10557" s="10" t="s">
        <v>247</v>
      </c>
      <c r="F10557" s="9" t="s">
        <v>2805</v>
      </c>
      <c r="G10557" s="10" t="s">
        <v>75</v>
      </c>
      <c r="H10557" s="9" t="s">
        <v>22</v>
      </c>
      <c r="I10557" s="9" t="s">
        <v>21953</v>
      </c>
      <c r="J10557" s="10" t="str">
        <f>HYPERLINK("https://www.boe.es/gazeta/dias/1834/08/23/pdfs/GMD-1834-189.pdf#page=4","Abrir facsímil")</f>
        <v>Abrir facsímil</v>
      </c>
      <c r="K10557" s="10" t="s">
        <v>24</v>
      </c>
    </row>
    <row r="10558" spans="1:11" ht="54" customHeight="1">
      <c r="A10558" s="9" t="s">
        <v>21923</v>
      </c>
      <c r="B10558" s="9" t="s">
        <v>21923</v>
      </c>
      <c r="C10558" s="9" t="s">
        <v>17</v>
      </c>
      <c r="D10558" s="9" t="s">
        <v>18</v>
      </c>
      <c r="E10558" s="10" t="s">
        <v>833</v>
      </c>
      <c r="F10558" s="9" t="s">
        <v>834</v>
      </c>
      <c r="G10558" s="10" t="s">
        <v>75</v>
      </c>
      <c r="H10558" s="9" t="s">
        <v>22</v>
      </c>
      <c r="I10558" s="9" t="s">
        <v>21954</v>
      </c>
      <c r="J10558" s="10" t="str">
        <f>HYPERLINK("https://www.boe.es/gazeta/dias/1834/04/24/pdfs/GMD-1834-63.pdf#page=4","Abrir facsímil")</f>
        <v>Abrir facsímil</v>
      </c>
      <c r="K10558" s="10" t="s">
        <v>24</v>
      </c>
    </row>
    <row r="10559" spans="1:11" ht="54" customHeight="1">
      <c r="A10559" s="9" t="s">
        <v>21923</v>
      </c>
      <c r="B10559" s="9" t="s">
        <v>21923</v>
      </c>
      <c r="C10559" s="9" t="s">
        <v>90</v>
      </c>
      <c r="D10559" s="9" t="s">
        <v>18</v>
      </c>
      <c r="E10559" s="10" t="s">
        <v>1002</v>
      </c>
      <c r="F10559" s="9" t="s">
        <v>6383</v>
      </c>
      <c r="G10559" s="10" t="s">
        <v>34</v>
      </c>
      <c r="H10559" s="9" t="s">
        <v>22</v>
      </c>
      <c r="I10559" s="9" t="s">
        <v>21955</v>
      </c>
      <c r="J10559" s="10" t="str">
        <f>HYPERLINK("https://www.boe.es/gazeta/dias/1834/06/26/pdfs/GMD-C-1834-129.pdf#page=1","Abrir facsímil")</f>
        <v>Abrir facsímil</v>
      </c>
      <c r="K10559" s="10" t="s">
        <v>24</v>
      </c>
    </row>
    <row r="10560" spans="1:11" ht="54" customHeight="1">
      <c r="A10560" s="9" t="s">
        <v>21923</v>
      </c>
      <c r="B10560" s="9" t="s">
        <v>21923</v>
      </c>
      <c r="C10560" s="9" t="s">
        <v>17</v>
      </c>
      <c r="D10560" s="9" t="s">
        <v>18</v>
      </c>
      <c r="E10560" s="10" t="s">
        <v>462</v>
      </c>
      <c r="F10560" s="9" t="s">
        <v>2110</v>
      </c>
      <c r="G10560" s="10" t="s">
        <v>21</v>
      </c>
      <c r="H10560" s="9" t="s">
        <v>22</v>
      </c>
      <c r="I10560" s="9" t="s">
        <v>21956</v>
      </c>
      <c r="J10560" s="10" t="str">
        <f>HYPERLINK("https://www.boe.es/gazeta/dias/1834/08/27/pdfs/GMD-1834-193.pdf#page=3","Abrir facsímil")</f>
        <v>Abrir facsímil</v>
      </c>
      <c r="K10560" s="10" t="s">
        <v>24</v>
      </c>
    </row>
    <row r="10561" spans="1:11" ht="54" customHeight="1">
      <c r="A10561" s="9" t="s">
        <v>21923</v>
      </c>
      <c r="B10561" s="9" t="s">
        <v>21923</v>
      </c>
      <c r="C10561" s="9" t="s">
        <v>66</v>
      </c>
      <c r="D10561" s="9" t="s">
        <v>67</v>
      </c>
      <c r="E10561" s="10" t="s">
        <v>870</v>
      </c>
      <c r="F10561" s="9" t="s">
        <v>871</v>
      </c>
      <c r="G10561" s="10" t="s">
        <v>75</v>
      </c>
      <c r="H10561" s="9" t="s">
        <v>22</v>
      </c>
      <c r="I10561" s="9" t="s">
        <v>21957</v>
      </c>
      <c r="J10561" s="10" t="str">
        <f>HYPERLINK("https://www.boe.es/gazeta/dias/1834/05/28/pdfs/GMD-1834-97.pdf#page=4","Abrir facsímil")</f>
        <v>Abrir facsímil</v>
      </c>
      <c r="K10561" s="10" t="s">
        <v>24</v>
      </c>
    </row>
    <row r="10562" spans="1:11" ht="54" customHeight="1">
      <c r="A10562" s="9" t="s">
        <v>21923</v>
      </c>
      <c r="B10562" s="9" t="s">
        <v>21923</v>
      </c>
      <c r="C10562" s="9" t="s">
        <v>66</v>
      </c>
      <c r="D10562" s="9" t="s">
        <v>67</v>
      </c>
      <c r="E10562" s="10" t="s">
        <v>8010</v>
      </c>
      <c r="F10562" s="9" t="s">
        <v>8011</v>
      </c>
      <c r="G10562" s="10" t="s">
        <v>21</v>
      </c>
      <c r="H10562" s="9" t="s">
        <v>22</v>
      </c>
      <c r="I10562" s="9" t="s">
        <v>21958</v>
      </c>
      <c r="J10562" s="10" t="str">
        <f>HYPERLINK("https://www.boe.es/gazeta/dias/1834/08/28/pdfs/GMD-1834-194.pdf#page=3","Abrir facsímil")</f>
        <v>Abrir facsímil</v>
      </c>
      <c r="K10562" s="10" t="s">
        <v>24</v>
      </c>
    </row>
    <row r="10563" spans="1:11" ht="54" customHeight="1">
      <c r="A10563" s="9" t="s">
        <v>21923</v>
      </c>
      <c r="B10563" s="9" t="s">
        <v>21923</v>
      </c>
      <c r="C10563" s="9" t="s">
        <v>66</v>
      </c>
      <c r="D10563" s="9" t="s">
        <v>67</v>
      </c>
      <c r="E10563" s="10" t="s">
        <v>1695</v>
      </c>
      <c r="F10563" s="9" t="s">
        <v>1696</v>
      </c>
      <c r="G10563" s="10" t="s">
        <v>21</v>
      </c>
      <c r="H10563" s="9" t="s">
        <v>22</v>
      </c>
      <c r="I10563" s="9" t="s">
        <v>21959</v>
      </c>
      <c r="J10563" s="10" t="str">
        <f>HYPERLINK("https://www.boe.es/gazeta/dias/1834/06/30/pdfs/GMD-1834-133.pdf#page=3","Abrir facsímil")</f>
        <v>Abrir facsímil</v>
      </c>
      <c r="K10563" s="10" t="s">
        <v>24</v>
      </c>
    </row>
    <row r="10564" spans="1:11" ht="54" customHeight="1">
      <c r="A10564" s="9" t="s">
        <v>21923</v>
      </c>
      <c r="B10564" s="9" t="s">
        <v>21923</v>
      </c>
      <c r="C10564" s="9" t="s">
        <v>17</v>
      </c>
      <c r="D10564" s="9" t="s">
        <v>18</v>
      </c>
      <c r="E10564" s="10" t="s">
        <v>286</v>
      </c>
      <c r="F10564" s="9" t="s">
        <v>548</v>
      </c>
      <c r="G10564" s="10" t="s">
        <v>21</v>
      </c>
      <c r="H10564" s="9" t="s">
        <v>22</v>
      </c>
      <c r="I10564" s="9" t="s">
        <v>21960</v>
      </c>
      <c r="J10564" s="10" t="str">
        <f>HYPERLINK("https://www.boe.es/gazeta/dias/1834/08/30/pdfs/GMD-1834-196.pdf#page=3","Abrir facsímil")</f>
        <v>Abrir facsímil</v>
      </c>
      <c r="K10564" s="10" t="s">
        <v>24</v>
      </c>
    </row>
    <row r="10565" spans="1:11" ht="54" customHeight="1">
      <c r="A10565" s="9" t="s">
        <v>21961</v>
      </c>
      <c r="B10565" s="9" t="s">
        <v>21962</v>
      </c>
      <c r="C10565" s="9" t="s">
        <v>17</v>
      </c>
      <c r="D10565" s="9" t="s">
        <v>18</v>
      </c>
      <c r="E10565" s="10" t="s">
        <v>61</v>
      </c>
      <c r="F10565" s="9" t="s">
        <v>205</v>
      </c>
      <c r="G10565" s="10" t="s">
        <v>21</v>
      </c>
      <c r="H10565" s="9" t="s">
        <v>22</v>
      </c>
      <c r="I10565" s="9" t="s">
        <v>21963</v>
      </c>
      <c r="J10565" s="10" t="str">
        <f>HYPERLINK("https://www.boe.es/gazeta/dias/1834/06/08/pdfs/GMD-1834-110.pdf#page=3","Abrir facsímil")</f>
        <v>Abrir facsímil</v>
      </c>
      <c r="K10565" s="10" t="s">
        <v>24</v>
      </c>
    </row>
    <row r="10566" spans="1:11" ht="54" customHeight="1">
      <c r="A10566" s="9" t="s">
        <v>21961</v>
      </c>
      <c r="B10566" s="9" t="s">
        <v>21962</v>
      </c>
      <c r="C10566" s="9" t="s">
        <v>66</v>
      </c>
      <c r="D10566" s="9" t="s">
        <v>18</v>
      </c>
      <c r="E10566" s="10" t="s">
        <v>1002</v>
      </c>
      <c r="F10566" s="9" t="s">
        <v>6383</v>
      </c>
      <c r="G10566" s="10" t="s">
        <v>34</v>
      </c>
      <c r="H10566" s="9" t="s">
        <v>22</v>
      </c>
      <c r="I10566" s="9" t="s">
        <v>21964</v>
      </c>
      <c r="J10566" s="10" t="str">
        <f>HYPERLINK("https://www.boe.es/gazeta/dias/1834/06/26/pdfs/GMD-C-1834-129.pdf#page=1","Abrir facsímil")</f>
        <v>Abrir facsímil</v>
      </c>
      <c r="K10566" s="10" t="s">
        <v>24</v>
      </c>
    </row>
    <row r="10567" spans="1:11" ht="54" customHeight="1">
      <c r="A10567" s="9" t="s">
        <v>21965</v>
      </c>
      <c r="B10567" s="9" t="s">
        <v>21966</v>
      </c>
      <c r="C10567" s="9" t="s">
        <v>66</v>
      </c>
      <c r="D10567" s="9" t="s">
        <v>67</v>
      </c>
      <c r="E10567" s="10" t="s">
        <v>571</v>
      </c>
      <c r="F10567" s="9" t="s">
        <v>572</v>
      </c>
      <c r="G10567" s="10" t="s">
        <v>34</v>
      </c>
      <c r="H10567" s="9" t="s">
        <v>22</v>
      </c>
      <c r="I10567" s="9" t="s">
        <v>21967</v>
      </c>
      <c r="J10567" s="10" t="str">
        <f>HYPERLINK("https://www.boe.es/gazeta/dias/1834/09/04/pdfs/GMD-1834-202.pdf#page=1","Abrir facsímil")</f>
        <v>Abrir facsímil</v>
      </c>
      <c r="K10567" s="10" t="s">
        <v>24</v>
      </c>
    </row>
    <row r="10568" spans="1:11" ht="54" customHeight="1">
      <c r="A10568" s="9" t="s">
        <v>21968</v>
      </c>
      <c r="B10568" s="9" t="s">
        <v>21969</v>
      </c>
      <c r="C10568" s="9" t="s">
        <v>122</v>
      </c>
      <c r="D10568" s="9" t="s">
        <v>18</v>
      </c>
      <c r="E10568" s="10" t="s">
        <v>378</v>
      </c>
      <c r="F10568" s="9" t="s">
        <v>379</v>
      </c>
      <c r="G10568" s="10" t="s">
        <v>75</v>
      </c>
      <c r="H10568" s="9" t="s">
        <v>22</v>
      </c>
      <c r="I10568" s="9" t="s">
        <v>21970</v>
      </c>
      <c r="J10568" s="10" t="str">
        <f>HYPERLINK("https://www.boe.es/gazeta/dias/1834/09/24/pdfs/GMD-1834-222.pdf#page=4","Abrir facsímil")</f>
        <v>Abrir facsímil</v>
      </c>
      <c r="K10568" s="10" t="s">
        <v>24</v>
      </c>
    </row>
    <row r="10569" spans="1:11" ht="54" customHeight="1">
      <c r="A10569" s="9" t="s">
        <v>21971</v>
      </c>
      <c r="B10569" s="9" t="s">
        <v>21971</v>
      </c>
      <c r="C10569" s="9" t="s">
        <v>17</v>
      </c>
      <c r="D10569" s="9" t="s">
        <v>55</v>
      </c>
      <c r="E10569" s="10" t="s">
        <v>510</v>
      </c>
      <c r="F10569" s="9" t="s">
        <v>511</v>
      </c>
      <c r="G10569" s="10" t="s">
        <v>21</v>
      </c>
      <c r="H10569" s="9" t="s">
        <v>22</v>
      </c>
      <c r="I10569" s="9" t="s">
        <v>21972</v>
      </c>
      <c r="J10569" s="10" t="str">
        <f>HYPERLINK("https://www.boe.es/gazeta/dias/1834/11/26/pdfs/GMD-1834-285.pdf#page=3","Abrir facsímil")</f>
        <v>Abrir facsímil</v>
      </c>
      <c r="K10569" s="10" t="s">
        <v>24</v>
      </c>
    </row>
    <row r="10570" spans="1:11" ht="54" customHeight="1">
      <c r="A10570" s="9" t="s">
        <v>21973</v>
      </c>
      <c r="B10570" s="9" t="s">
        <v>21973</v>
      </c>
      <c r="C10570" s="9" t="s">
        <v>17</v>
      </c>
      <c r="D10570" s="9" t="s">
        <v>55</v>
      </c>
      <c r="E10570" s="10" t="s">
        <v>524</v>
      </c>
      <c r="F10570" s="9" t="s">
        <v>4743</v>
      </c>
      <c r="G10570" s="10" t="s">
        <v>21</v>
      </c>
      <c r="H10570" s="9" t="s">
        <v>22</v>
      </c>
      <c r="I10570" s="9" t="s">
        <v>21974</v>
      </c>
      <c r="J10570" s="10" t="str">
        <f>HYPERLINK("https://www.boe.es/gazeta/dias/1834/12/25/pdfs/GMD-1834-315.pdf#page=3","Abrir facsímil")</f>
        <v>Abrir facsímil</v>
      </c>
      <c r="K10570" s="10" t="s">
        <v>24</v>
      </c>
    </row>
    <row r="10571" spans="1:11" ht="54" customHeight="1">
      <c r="A10571" s="9" t="s">
        <v>21975</v>
      </c>
      <c r="B10571" s="9" t="s">
        <v>21975</v>
      </c>
      <c r="C10571" s="9" t="s">
        <v>66</v>
      </c>
      <c r="D10571" s="9" t="s">
        <v>18</v>
      </c>
      <c r="E10571" s="10" t="s">
        <v>1284</v>
      </c>
      <c r="F10571" s="9" t="s">
        <v>1285</v>
      </c>
      <c r="G10571" s="10" t="s">
        <v>34</v>
      </c>
      <c r="H10571" s="9" t="s">
        <v>22</v>
      </c>
      <c r="I10571" s="9" t="s">
        <v>21976</v>
      </c>
      <c r="J10571" s="10" t="str">
        <f>HYPERLINK("https://www.boe.es/gazeta/dias/1834/11/28/pdfs/GMD-1834-287.pdf#page=1","Abrir facsímil")</f>
        <v>Abrir facsímil</v>
      </c>
      <c r="K10571" s="10" t="s">
        <v>24</v>
      </c>
    </row>
    <row r="10572" spans="1:11" ht="54" customHeight="1">
      <c r="A10572" s="9" t="s">
        <v>21977</v>
      </c>
      <c r="B10572" s="9" t="s">
        <v>21978</v>
      </c>
      <c r="C10572" s="9" t="s">
        <v>17</v>
      </c>
      <c r="D10572" s="9" t="s">
        <v>40</v>
      </c>
      <c r="E10572" s="10" t="s">
        <v>576</v>
      </c>
      <c r="F10572" s="9" t="s">
        <v>577</v>
      </c>
      <c r="G10572" s="10" t="s">
        <v>75</v>
      </c>
      <c r="H10572" s="9" t="s">
        <v>22</v>
      </c>
      <c r="I10572" s="9" t="s">
        <v>21979</v>
      </c>
      <c r="J10572" s="10" t="str">
        <f>HYPERLINK("https://www.boe.es/gazeta/dias/1834/09/23/pdfs/GMD-1834-221.pdf#page=4","Abrir facsímil")</f>
        <v>Abrir facsímil</v>
      </c>
      <c r="K10572" s="10" t="s">
        <v>24</v>
      </c>
    </row>
    <row r="10573" spans="1:11" ht="54" customHeight="1">
      <c r="A10573" s="9" t="s">
        <v>21980</v>
      </c>
      <c r="B10573" s="9" t="s">
        <v>21981</v>
      </c>
      <c r="C10573" s="9" t="s">
        <v>17</v>
      </c>
      <c r="D10573" s="9" t="s">
        <v>18</v>
      </c>
      <c r="E10573" s="10" t="s">
        <v>606</v>
      </c>
      <c r="F10573" s="9" t="s">
        <v>607</v>
      </c>
      <c r="G10573" s="10" t="s">
        <v>21</v>
      </c>
      <c r="H10573" s="9" t="s">
        <v>22</v>
      </c>
      <c r="I10573" s="9" t="s">
        <v>21982</v>
      </c>
      <c r="J10573" s="10" t="str">
        <f>HYPERLINK("https://www.boe.es/gazeta/dias/1834/06/23/pdfs/GMD-1834-126.pdf#page=3","Abrir facsímil")</f>
        <v>Abrir facsímil</v>
      </c>
      <c r="K10573" s="10" t="s">
        <v>24</v>
      </c>
    </row>
    <row r="10574" spans="1:11" ht="54" customHeight="1">
      <c r="A10574" s="9" t="s">
        <v>21983</v>
      </c>
      <c r="B10574" s="9" t="s">
        <v>21983</v>
      </c>
      <c r="C10574" s="9" t="s">
        <v>66</v>
      </c>
      <c r="D10574" s="9" t="s">
        <v>18</v>
      </c>
      <c r="E10574" s="10" t="s">
        <v>729</v>
      </c>
      <c r="F10574" s="9" t="s">
        <v>730</v>
      </c>
      <c r="G10574" s="10" t="s">
        <v>75</v>
      </c>
      <c r="H10574" s="9" t="s">
        <v>22</v>
      </c>
      <c r="I10574" s="9" t="s">
        <v>21984</v>
      </c>
      <c r="J10574" s="10" t="str">
        <f>HYPERLINK("https://www.boe.es/gazeta/dias/1834/04/13/pdfs/GMD-1834-52.pdf#page=4","Abrir facsímil")</f>
        <v>Abrir facsímil</v>
      </c>
      <c r="K10574" s="10" t="s">
        <v>24</v>
      </c>
    </row>
    <row r="10575" spans="1:11" ht="54" customHeight="1">
      <c r="A10575" s="9" t="s">
        <v>21985</v>
      </c>
      <c r="B10575" s="9" t="s">
        <v>21986</v>
      </c>
      <c r="C10575" s="9" t="s">
        <v>17</v>
      </c>
      <c r="D10575" s="9" t="s">
        <v>18</v>
      </c>
      <c r="E10575" s="10" t="s">
        <v>148</v>
      </c>
      <c r="F10575" s="9" t="s">
        <v>149</v>
      </c>
      <c r="G10575" s="10" t="s">
        <v>21</v>
      </c>
      <c r="H10575" s="9" t="s">
        <v>35</v>
      </c>
      <c r="I10575" s="9" t="s">
        <v>21987</v>
      </c>
      <c r="J10575" s="10" t="str">
        <f>HYPERLINK("https://www.boe.es/gazeta/dias/1834/10/20/pdfs/GMD-1834-248.pdf#page=3","Abrir facsímil")</f>
        <v>Abrir facsímil</v>
      </c>
      <c r="K10575" s="10" t="s">
        <v>37</v>
      </c>
    </row>
    <row r="10576" spans="1:11" ht="54" customHeight="1">
      <c r="A10576" s="9" t="s">
        <v>21988</v>
      </c>
      <c r="B10576" s="9" t="s">
        <v>21989</v>
      </c>
      <c r="C10576" s="9" t="s">
        <v>17</v>
      </c>
      <c r="D10576" s="9" t="s">
        <v>18</v>
      </c>
      <c r="E10576" s="10" t="s">
        <v>148</v>
      </c>
      <c r="F10576" s="9" t="s">
        <v>149</v>
      </c>
      <c r="G10576" s="10" t="s">
        <v>21</v>
      </c>
      <c r="H10576" s="9" t="s">
        <v>22</v>
      </c>
      <c r="I10576" s="9" t="s">
        <v>21990</v>
      </c>
      <c r="J10576" s="10" t="str">
        <f>HYPERLINK("https://www.boe.es/gazeta/dias/1834/10/20/pdfs/GMD-1834-248.pdf#page=3","Abrir facsímil")</f>
        <v>Abrir facsímil</v>
      </c>
      <c r="K10576" s="10" t="s">
        <v>24</v>
      </c>
    </row>
    <row r="10577" spans="1:11" ht="54" customHeight="1">
      <c r="A10577" s="9" t="s">
        <v>21991</v>
      </c>
      <c r="B10577" s="9" t="s">
        <v>21992</v>
      </c>
      <c r="C10577" s="9" t="s">
        <v>66</v>
      </c>
      <c r="D10577" s="9" t="s">
        <v>67</v>
      </c>
      <c r="E10577" s="10" t="s">
        <v>2945</v>
      </c>
      <c r="F10577" s="9" t="s">
        <v>2946</v>
      </c>
      <c r="G10577" s="10" t="s">
        <v>21</v>
      </c>
      <c r="H10577" s="9" t="s">
        <v>22</v>
      </c>
      <c r="I10577" s="9" t="s">
        <v>21993</v>
      </c>
      <c r="J10577" s="10" t="str">
        <f>HYPERLINK("https://www.boe.es/gazeta/dias/1834/05/29/pdfs/GMD-1834-98.pdf#page=3","Abrir facsímil")</f>
        <v>Abrir facsímil</v>
      </c>
      <c r="K10577" s="10" t="s">
        <v>24</v>
      </c>
    </row>
    <row r="10578" spans="1:11" ht="54" customHeight="1">
      <c r="A10578" s="9" t="s">
        <v>21994</v>
      </c>
      <c r="B10578" s="9" t="s">
        <v>21994</v>
      </c>
      <c r="C10578" s="9" t="s">
        <v>66</v>
      </c>
      <c r="D10578" s="9" t="s">
        <v>18</v>
      </c>
      <c r="E10578" s="10" t="s">
        <v>1297</v>
      </c>
      <c r="F10578" s="9" t="s">
        <v>1879</v>
      </c>
      <c r="G10578" s="10" t="s">
        <v>34</v>
      </c>
      <c r="H10578" s="9" t="s">
        <v>22</v>
      </c>
      <c r="I10578" s="9" t="s">
        <v>21995</v>
      </c>
      <c r="J10578" s="10" t="str">
        <f>HYPERLINK("https://www.boe.es/gazeta/dias/1834/08/01/pdfs/GMD-D-1834-165.pdf#page=1","Abrir facsímil")</f>
        <v>Abrir facsímil</v>
      </c>
      <c r="K10578" s="10" t="s">
        <v>24</v>
      </c>
    </row>
    <row r="10579" spans="1:11" ht="54" customHeight="1">
      <c r="A10579" s="9" t="s">
        <v>21996</v>
      </c>
      <c r="B10579" s="9" t="s">
        <v>21997</v>
      </c>
      <c r="C10579" s="9" t="s">
        <v>66</v>
      </c>
      <c r="D10579" s="9" t="s">
        <v>67</v>
      </c>
      <c r="E10579" s="10" t="s">
        <v>1572</v>
      </c>
      <c r="F10579" s="9" t="s">
        <v>1573</v>
      </c>
      <c r="G10579" s="10" t="s">
        <v>176</v>
      </c>
      <c r="H10579" s="9" t="s">
        <v>22</v>
      </c>
      <c r="I10579" s="9" t="s">
        <v>21998</v>
      </c>
      <c r="J10579" s="10" t="str">
        <f>HYPERLINK("https://www.boe.es/gazeta/dias/1834/03/20/pdfs/GMD-1834-35.pdf#page=6","Abrir facsímil")</f>
        <v>Abrir facsímil</v>
      </c>
      <c r="K10579" s="10" t="s">
        <v>24</v>
      </c>
    </row>
    <row r="10580" spans="1:11" ht="54" customHeight="1">
      <c r="A10580" s="9" t="s">
        <v>21999</v>
      </c>
      <c r="B10580" s="9" t="s">
        <v>21999</v>
      </c>
      <c r="C10580" s="9" t="s">
        <v>90</v>
      </c>
      <c r="D10580" s="9" t="s">
        <v>18</v>
      </c>
      <c r="E10580" s="10" t="s">
        <v>4169</v>
      </c>
      <c r="F10580" s="9" t="s">
        <v>4170</v>
      </c>
      <c r="G10580" s="10" t="s">
        <v>86</v>
      </c>
      <c r="H10580" s="9" t="s">
        <v>22</v>
      </c>
      <c r="I10580" s="9" t="s">
        <v>22000</v>
      </c>
      <c r="J10580" s="10" t="str">
        <f>HYPERLINK("https://www.boe.es/gazeta/dias/1834/11/20/pdfs/GMD-1834-279.pdf#page=2","Abrir facsímil")</f>
        <v>Abrir facsímil</v>
      </c>
      <c r="K10580" s="10" t="s">
        <v>24</v>
      </c>
    </row>
    <row r="10581" spans="1:11" ht="54" customHeight="1">
      <c r="A10581" s="9" t="s">
        <v>22001</v>
      </c>
      <c r="B10581" s="9" t="s">
        <v>22001</v>
      </c>
      <c r="C10581" s="9" t="s">
        <v>66</v>
      </c>
      <c r="D10581" s="9" t="s">
        <v>67</v>
      </c>
      <c r="E10581" s="10" t="s">
        <v>715</v>
      </c>
      <c r="F10581" s="9" t="s">
        <v>7773</v>
      </c>
      <c r="G10581" s="10" t="s">
        <v>34</v>
      </c>
      <c r="H10581" s="9" t="s">
        <v>22</v>
      </c>
      <c r="I10581" s="9" t="s">
        <v>22002</v>
      </c>
      <c r="J10581" s="10" t="str">
        <f>HYPERLINK("https://www.boe.es/gazeta/dias/1834/09/17/pdfs/GMD-1834-215.pdf#page=1","Abrir facsímil")</f>
        <v>Abrir facsímil</v>
      </c>
      <c r="K10581" s="10" t="s">
        <v>24</v>
      </c>
    </row>
    <row r="10582" spans="1:11" ht="54" customHeight="1">
      <c r="A10582" s="9" t="s">
        <v>22003</v>
      </c>
      <c r="B10582" s="9" t="s">
        <v>22003</v>
      </c>
      <c r="C10582" s="9" t="s">
        <v>66</v>
      </c>
      <c r="D10582" s="9" t="s">
        <v>67</v>
      </c>
      <c r="E10582" s="10" t="s">
        <v>47</v>
      </c>
      <c r="F10582" s="9" t="s">
        <v>1466</v>
      </c>
      <c r="G10582" s="10" t="s">
        <v>86</v>
      </c>
      <c r="H10582" s="9" t="s">
        <v>22</v>
      </c>
      <c r="I10582" s="9" t="s">
        <v>22004</v>
      </c>
      <c r="J10582" s="10" t="str">
        <f>HYPERLINK("https://www.boe.es/gazeta/dias/1834/09/05/pdfs/GMD-1834-203.pdf#page=2","Abrir facsímil")</f>
        <v>Abrir facsímil</v>
      </c>
      <c r="K10582" s="10" t="s">
        <v>24</v>
      </c>
    </row>
    <row r="10583" spans="1:11" ht="54" customHeight="1">
      <c r="A10583" s="9" t="s">
        <v>22005</v>
      </c>
      <c r="B10583" s="9" t="s">
        <v>22005</v>
      </c>
      <c r="C10583" s="9" t="s">
        <v>46</v>
      </c>
      <c r="D10583" s="9" t="s">
        <v>55</v>
      </c>
      <c r="E10583" s="10" t="s">
        <v>905</v>
      </c>
      <c r="F10583" s="9" t="s">
        <v>1651</v>
      </c>
      <c r="G10583" s="10" t="s">
        <v>86</v>
      </c>
      <c r="H10583" s="9" t="s">
        <v>22</v>
      </c>
      <c r="I10583" s="9" t="s">
        <v>22006</v>
      </c>
      <c r="J10583" s="10" t="str">
        <f>HYPERLINK("https://www.boe.es/gazeta/dias/1834/08/02/pdfs/GMD-1834-166.pdf#page=2","Abrir facsímil")</f>
        <v>Abrir facsímil</v>
      </c>
      <c r="K10583" s="10" t="s">
        <v>24</v>
      </c>
    </row>
    <row r="10584" spans="1:11" ht="54" customHeight="1">
      <c r="A10584" s="9" t="s">
        <v>22007</v>
      </c>
      <c r="B10584" s="9" t="s">
        <v>22008</v>
      </c>
      <c r="C10584" s="9" t="s">
        <v>122</v>
      </c>
      <c r="D10584" s="9" t="s">
        <v>101</v>
      </c>
      <c r="E10584" s="10" t="s">
        <v>724</v>
      </c>
      <c r="F10584" s="9" t="s">
        <v>725</v>
      </c>
      <c r="G10584" s="10" t="s">
        <v>34</v>
      </c>
      <c r="H10584" s="9" t="s">
        <v>22</v>
      </c>
      <c r="I10584" s="9" t="s">
        <v>22009</v>
      </c>
      <c r="J10584" s="10" t="str">
        <f>HYPERLINK("https://www.boe.es/gazeta/dias/1834/04/25/pdfs/GMD-1834-64.pdf#page=1","Abrir facsímil")</f>
        <v>Abrir facsímil</v>
      </c>
      <c r="K10584" s="10" t="s">
        <v>24</v>
      </c>
    </row>
    <row r="10585" spans="1:11" ht="54" customHeight="1">
      <c r="A10585" s="9" t="s">
        <v>22010</v>
      </c>
      <c r="B10585" s="9" t="s">
        <v>22011</v>
      </c>
      <c r="C10585" s="9" t="s">
        <v>90</v>
      </c>
      <c r="D10585" s="9" t="s">
        <v>18</v>
      </c>
      <c r="E10585" s="10" t="s">
        <v>304</v>
      </c>
      <c r="F10585" s="9" t="s">
        <v>305</v>
      </c>
      <c r="G10585" s="10" t="s">
        <v>176</v>
      </c>
      <c r="H10585" s="9" t="s">
        <v>22</v>
      </c>
      <c r="I10585" s="9" t="s">
        <v>22012</v>
      </c>
      <c r="J10585" s="10" t="str">
        <f>HYPERLINK("https://www.boe.es/gazeta/dias/1834/01/21/pdfs/GMD-1834-10.pdf#page=6","Abrir facsímil")</f>
        <v>Abrir facsímil</v>
      </c>
      <c r="K10585" s="10" t="s">
        <v>24</v>
      </c>
    </row>
    <row r="10586" spans="1:11" ht="54" customHeight="1">
      <c r="A10586" s="9" t="s">
        <v>22013</v>
      </c>
      <c r="B10586" s="9" t="s">
        <v>22014</v>
      </c>
      <c r="C10586" s="9" t="s">
        <v>46</v>
      </c>
      <c r="D10586" s="9" t="s">
        <v>101</v>
      </c>
      <c r="E10586" s="10" t="s">
        <v>571</v>
      </c>
      <c r="F10586" s="9" t="s">
        <v>620</v>
      </c>
      <c r="G10586" s="10" t="s">
        <v>34</v>
      </c>
      <c r="H10586" s="9" t="s">
        <v>35</v>
      </c>
      <c r="I10586" s="9" t="s">
        <v>22015</v>
      </c>
      <c r="J10586" s="10" t="str">
        <f>HYPERLINK("https://www.boe.es/gazeta/dias/1834/09/04/pdfs/GMD-C-1834-202.pdf#page=1","Abrir facsímil")</f>
        <v>Abrir facsímil</v>
      </c>
      <c r="K10586" s="10" t="s">
        <v>37</v>
      </c>
    </row>
    <row r="10587" spans="1:11" ht="54" customHeight="1">
      <c r="A10587" s="9" t="s">
        <v>22016</v>
      </c>
      <c r="B10587" s="9" t="s">
        <v>22016</v>
      </c>
      <c r="C10587" s="9" t="s">
        <v>46</v>
      </c>
      <c r="D10587" s="9" t="s">
        <v>55</v>
      </c>
      <c r="E10587" s="10" t="s">
        <v>1839</v>
      </c>
      <c r="F10587" s="9" t="s">
        <v>3598</v>
      </c>
      <c r="G10587" s="10" t="s">
        <v>86</v>
      </c>
      <c r="H10587" s="9" t="s">
        <v>22</v>
      </c>
      <c r="I10587" s="9" t="s">
        <v>22017</v>
      </c>
      <c r="J10587" s="10" t="str">
        <f>HYPERLINK("https://www.boe.es/gazeta/dias/1834/08/12/pdfs/GMD-1834-177.pdf#page=2","Abrir facsímil")</f>
        <v>Abrir facsímil</v>
      </c>
      <c r="K10587" s="10" t="s">
        <v>24</v>
      </c>
    </row>
    <row r="10588" spans="1:11" ht="54" customHeight="1">
      <c r="A10588" s="9" t="s">
        <v>22016</v>
      </c>
      <c r="B10588" s="9" t="s">
        <v>22016</v>
      </c>
      <c r="C10588" s="9" t="s">
        <v>90</v>
      </c>
      <c r="D10588" s="9" t="s">
        <v>18</v>
      </c>
      <c r="E10588" s="10" t="s">
        <v>2287</v>
      </c>
      <c r="F10588" s="9" t="s">
        <v>4741</v>
      </c>
      <c r="G10588" s="10" t="s">
        <v>86</v>
      </c>
      <c r="H10588" s="9" t="s">
        <v>22</v>
      </c>
      <c r="I10588" s="9" t="s">
        <v>22018</v>
      </c>
      <c r="J10588" s="10" t="str">
        <f>HYPERLINK("https://www.boe.es/gazeta/dias/1834/12/18/pdfs/GMD-1834-308.pdf#page=2","Abrir facsímil")</f>
        <v>Abrir facsímil</v>
      </c>
      <c r="K10588" s="10" t="s">
        <v>24</v>
      </c>
    </row>
    <row r="10589" spans="1:11" ht="54" customHeight="1">
      <c r="A10589" s="9" t="s">
        <v>22019</v>
      </c>
      <c r="B10589" s="9" t="s">
        <v>22020</v>
      </c>
      <c r="C10589" s="9" t="s">
        <v>122</v>
      </c>
      <c r="D10589" s="9" t="s">
        <v>18</v>
      </c>
      <c r="E10589" s="10" t="s">
        <v>2398</v>
      </c>
      <c r="F10589" s="9" t="s">
        <v>2399</v>
      </c>
      <c r="G10589" s="10" t="s">
        <v>75</v>
      </c>
      <c r="H10589" s="9" t="s">
        <v>22</v>
      </c>
      <c r="I10589" s="9" t="s">
        <v>22021</v>
      </c>
      <c r="J10589" s="10" t="str">
        <f>HYPERLINK("https://www.boe.es/gazeta/dias/1834/01/16/pdfs/GMD-1834-8.pdf#page=4","Abrir facsímil")</f>
        <v>Abrir facsímil</v>
      </c>
      <c r="K10589" s="10" t="s">
        <v>24</v>
      </c>
    </row>
    <row r="10590" spans="1:11" ht="54" customHeight="1">
      <c r="A10590" s="9" t="s">
        <v>22022</v>
      </c>
      <c r="B10590" s="9" t="s">
        <v>22022</v>
      </c>
      <c r="C10590" s="9" t="s">
        <v>17</v>
      </c>
      <c r="D10590" s="9" t="s">
        <v>18</v>
      </c>
      <c r="E10590" s="10" t="s">
        <v>1766</v>
      </c>
      <c r="F10590" s="9" t="s">
        <v>1767</v>
      </c>
      <c r="G10590" s="10" t="s">
        <v>34</v>
      </c>
      <c r="H10590" s="9" t="s">
        <v>22</v>
      </c>
      <c r="I10590" s="9" t="s">
        <v>22023</v>
      </c>
      <c r="J10590" s="10" t="str">
        <f>HYPERLINK("https://www.boe.es/gazeta/dias/1834/10/26/pdfs/GMD-C-1834-254.pdf#page=1","Abrir facsímil")</f>
        <v>Abrir facsímil</v>
      </c>
      <c r="K10590" s="10" t="s">
        <v>24</v>
      </c>
    </row>
    <row r="10591" spans="1:11" ht="54" customHeight="1">
      <c r="A10591" s="9" t="s">
        <v>22024</v>
      </c>
      <c r="B10591" s="9" t="s">
        <v>22025</v>
      </c>
      <c r="C10591" s="9" t="s">
        <v>66</v>
      </c>
      <c r="D10591" s="9" t="s">
        <v>67</v>
      </c>
      <c r="E10591" s="10" t="s">
        <v>32</v>
      </c>
      <c r="F10591" s="9" t="s">
        <v>7431</v>
      </c>
      <c r="G10591" s="10" t="s">
        <v>34</v>
      </c>
      <c r="H10591" s="9" t="s">
        <v>22</v>
      </c>
      <c r="I10591" s="9" t="s">
        <v>22026</v>
      </c>
      <c r="J10591" s="10" t="str">
        <f>HYPERLINK("https://www.boe.es/gazeta/dias/1834/04/23/pdfs/GMD-C-1834-62.pdf#page=1","Abrir facsímil")</f>
        <v>Abrir facsímil</v>
      </c>
      <c r="K10591" s="10" t="s">
        <v>24</v>
      </c>
    </row>
    <row r="10592" spans="1:11" ht="54" customHeight="1">
      <c r="A10592" s="9" t="s">
        <v>22027</v>
      </c>
      <c r="B10592" s="9" t="s">
        <v>22028</v>
      </c>
      <c r="C10592" s="9" t="s">
        <v>66</v>
      </c>
      <c r="D10592" s="9" t="s">
        <v>67</v>
      </c>
      <c r="E10592" s="10" t="s">
        <v>2596</v>
      </c>
      <c r="F10592" s="9" t="s">
        <v>2597</v>
      </c>
      <c r="G10592" s="10" t="s">
        <v>86</v>
      </c>
      <c r="H10592" s="9" t="s">
        <v>22</v>
      </c>
      <c r="I10592" s="9" t="s">
        <v>22029</v>
      </c>
      <c r="J10592" s="10" t="str">
        <f>HYPERLINK("https://www.boe.es/gazeta/dias/1834/10/22/pdfs/GMD-1834-250.pdf#page=2","Abrir facsímil")</f>
        <v>Abrir facsímil</v>
      </c>
      <c r="K10592" s="10" t="s">
        <v>24</v>
      </c>
    </row>
    <row r="10593" spans="1:11" ht="54" customHeight="1">
      <c r="A10593" s="9" t="s">
        <v>22030</v>
      </c>
      <c r="B10593" s="9" t="s">
        <v>22031</v>
      </c>
      <c r="C10593" s="9" t="s">
        <v>90</v>
      </c>
      <c r="D10593" s="9" t="s">
        <v>18</v>
      </c>
      <c r="E10593" s="10" t="s">
        <v>454</v>
      </c>
      <c r="F10593" s="9" t="s">
        <v>2009</v>
      </c>
      <c r="G10593" s="10" t="s">
        <v>21</v>
      </c>
      <c r="H10593" s="9" t="s">
        <v>22</v>
      </c>
      <c r="I10593" s="9" t="s">
        <v>22032</v>
      </c>
      <c r="J10593" s="10" t="str">
        <f>HYPERLINK("https://www.boe.es/gazeta/dias/1834/10/16/pdfs/GMD-1834-244.pdf#page=3","Abrir facsímil")</f>
        <v>Abrir facsímil</v>
      </c>
      <c r="K10593" s="10" t="s">
        <v>24</v>
      </c>
    </row>
    <row r="10594" spans="1:11" ht="54" customHeight="1">
      <c r="A10594" s="9" t="s">
        <v>22033</v>
      </c>
      <c r="B10594" s="9" t="s">
        <v>22034</v>
      </c>
      <c r="C10594" s="9" t="s">
        <v>90</v>
      </c>
      <c r="D10594" s="9" t="s">
        <v>101</v>
      </c>
      <c r="E10594" s="10" t="s">
        <v>326</v>
      </c>
      <c r="F10594" s="9" t="s">
        <v>327</v>
      </c>
      <c r="G10594" s="10" t="s">
        <v>34</v>
      </c>
      <c r="H10594" s="9" t="s">
        <v>22</v>
      </c>
      <c r="I10594" s="9" t="s">
        <v>22035</v>
      </c>
      <c r="J10594" s="10" t="str">
        <f>HYPERLINK("https://www.boe.es/gazeta/dias/1834/07/15/pdfs/GMD-1834-148.pdf#page=1","Abrir facsímil")</f>
        <v>Abrir facsímil</v>
      </c>
      <c r="K10594" s="10" t="s">
        <v>24</v>
      </c>
    </row>
    <row r="10595" spans="1:11" ht="54" customHeight="1">
      <c r="A10595" s="9" t="s">
        <v>22036</v>
      </c>
      <c r="B10595" s="9" t="s">
        <v>22037</v>
      </c>
      <c r="C10595" s="9" t="s">
        <v>17</v>
      </c>
      <c r="D10595" s="9" t="s">
        <v>18</v>
      </c>
      <c r="E10595" s="10" t="s">
        <v>444</v>
      </c>
      <c r="F10595" s="9" t="s">
        <v>445</v>
      </c>
      <c r="G10595" s="10" t="s">
        <v>34</v>
      </c>
      <c r="H10595" s="9" t="s">
        <v>22</v>
      </c>
      <c r="I10595" s="9" t="s">
        <v>22038</v>
      </c>
      <c r="J10595" s="10" t="str">
        <f>HYPERLINK("https://www.boe.es/gazeta/dias/1834/09/12/pdfs/GMD-C-1834-210.pdf#page=1","Abrir facsímil")</f>
        <v>Abrir facsímil</v>
      </c>
      <c r="K10595" s="10" t="s">
        <v>24</v>
      </c>
    </row>
    <row r="10596" spans="1:11" ht="54" customHeight="1">
      <c r="A10596" s="9" t="s">
        <v>22039</v>
      </c>
      <c r="B10596" s="9" t="s">
        <v>22040</v>
      </c>
      <c r="C10596" s="9" t="s">
        <v>66</v>
      </c>
      <c r="D10596" s="9" t="s">
        <v>67</v>
      </c>
      <c r="E10596" s="10" t="s">
        <v>339</v>
      </c>
      <c r="F10596" s="9" t="s">
        <v>340</v>
      </c>
      <c r="G10596" s="10" t="s">
        <v>75</v>
      </c>
      <c r="H10596" s="9" t="s">
        <v>35</v>
      </c>
      <c r="I10596" s="9" t="s">
        <v>22041</v>
      </c>
      <c r="J10596" s="10" t="str">
        <f>HYPERLINK("https://www.boe.es/gazeta/dias/1834/05/02/pdfs/GMD-1834-71.pdf#page=4","Abrir facsímil")</f>
        <v>Abrir facsímil</v>
      </c>
      <c r="K10596" s="10" t="s">
        <v>37</v>
      </c>
    </row>
    <row r="10597" spans="1:11" ht="54" customHeight="1">
      <c r="A10597" s="9" t="s">
        <v>22042</v>
      </c>
      <c r="B10597" s="9" t="s">
        <v>22043</v>
      </c>
      <c r="C10597" s="9" t="s">
        <v>122</v>
      </c>
      <c r="D10597" s="9" t="s">
        <v>18</v>
      </c>
      <c r="E10597" s="10" t="s">
        <v>2037</v>
      </c>
      <c r="F10597" s="9" t="s">
        <v>2038</v>
      </c>
      <c r="G10597" s="10" t="s">
        <v>34</v>
      </c>
      <c r="H10597" s="9" t="s">
        <v>22</v>
      </c>
      <c r="I10597" s="9" t="s">
        <v>22044</v>
      </c>
      <c r="J10597" s="10" t="str">
        <f>HYPERLINK("https://www.boe.es/gazeta/dias/1834/12/01/pdfs/I01208-01208.pdf#page=1","Abrir facsímil")</f>
        <v>Abrir facsímil</v>
      </c>
      <c r="K10597" s="10" t="s">
        <v>24</v>
      </c>
    </row>
    <row r="10598" spans="1:11" ht="54" customHeight="1">
      <c r="A10598" s="9" t="s">
        <v>22042</v>
      </c>
      <c r="B10598" s="9" t="s">
        <v>22043</v>
      </c>
      <c r="C10598" s="9" t="s">
        <v>122</v>
      </c>
      <c r="D10598" s="9" t="s">
        <v>18</v>
      </c>
      <c r="E10598" s="10" t="s">
        <v>2037</v>
      </c>
      <c r="F10598" s="9" t="s">
        <v>2038</v>
      </c>
      <c r="G10598" s="10" t="s">
        <v>75</v>
      </c>
      <c r="H10598" s="9" t="s">
        <v>22</v>
      </c>
      <c r="I10598" s="9" t="s">
        <v>22044</v>
      </c>
      <c r="J10598" s="10" t="str">
        <f>HYPERLINK("https://www.boe.es/gazeta/dias/1834/12/01/pdfs/GMD-1834-290.pdf#page=4","Abrir facsímil")</f>
        <v>Abrir facsímil</v>
      </c>
      <c r="K10598" s="10" t="s">
        <v>24</v>
      </c>
    </row>
    <row r="10599" spans="1:11" ht="54" customHeight="1">
      <c r="A10599" s="9" t="s">
        <v>22042</v>
      </c>
      <c r="B10599" s="9" t="s">
        <v>22043</v>
      </c>
      <c r="C10599" s="9" t="s">
        <v>66</v>
      </c>
      <c r="D10599" s="9" t="s">
        <v>67</v>
      </c>
      <c r="E10599" s="10" t="s">
        <v>339</v>
      </c>
      <c r="F10599" s="9" t="s">
        <v>340</v>
      </c>
      <c r="G10599" s="10" t="s">
        <v>75</v>
      </c>
      <c r="H10599" s="9" t="s">
        <v>22</v>
      </c>
      <c r="I10599" s="9" t="s">
        <v>22045</v>
      </c>
      <c r="J10599" s="10" t="str">
        <f>HYPERLINK("https://www.boe.es/gazeta/dias/1834/05/02/pdfs/GMD-1834-71.pdf#page=4","Abrir facsímil")</f>
        <v>Abrir facsímil</v>
      </c>
      <c r="K10599" s="10" t="s">
        <v>24</v>
      </c>
    </row>
    <row r="10600" spans="1:11" ht="54" customHeight="1">
      <c r="A10600" s="9" t="s">
        <v>22046</v>
      </c>
      <c r="B10600" s="9" t="s">
        <v>22047</v>
      </c>
      <c r="C10600" s="9" t="s">
        <v>90</v>
      </c>
      <c r="D10600" s="9" t="s">
        <v>18</v>
      </c>
      <c r="E10600" s="10" t="s">
        <v>2087</v>
      </c>
      <c r="F10600" s="9" t="s">
        <v>2267</v>
      </c>
      <c r="G10600" s="10" t="s">
        <v>75</v>
      </c>
      <c r="H10600" s="9" t="s">
        <v>35</v>
      </c>
      <c r="I10600" s="9" t="s">
        <v>22048</v>
      </c>
      <c r="J10600" s="10" t="str">
        <f>HYPERLINK("https://www.boe.es/gazeta/dias/1834/12/14/pdfs/GMD-C-1834-303.pdf#page=4","Abrir facsímil")</f>
        <v>Abrir facsímil</v>
      </c>
      <c r="K10600" s="10" t="s">
        <v>37</v>
      </c>
    </row>
    <row r="10601" spans="1:11" ht="54" customHeight="1">
      <c r="A10601" s="9" t="s">
        <v>22046</v>
      </c>
      <c r="B10601" s="9" t="s">
        <v>22047</v>
      </c>
      <c r="C10601" s="9" t="s">
        <v>66</v>
      </c>
      <c r="D10601" s="9" t="s">
        <v>67</v>
      </c>
      <c r="E10601" s="10" t="s">
        <v>1234</v>
      </c>
      <c r="F10601" s="9" t="s">
        <v>1235</v>
      </c>
      <c r="G10601" s="10" t="s">
        <v>34</v>
      </c>
      <c r="H10601" s="9" t="s">
        <v>35</v>
      </c>
      <c r="I10601" s="9" t="s">
        <v>22049</v>
      </c>
      <c r="J10601" s="10" t="str">
        <f>HYPERLINK("https://www.boe.es/gazeta/dias/1834/05/15/pdfs/GMD-C-1834-84.pdf#page=1","Abrir facsímil")</f>
        <v>Abrir facsímil</v>
      </c>
      <c r="K10601" s="10" t="s">
        <v>37</v>
      </c>
    </row>
    <row r="10602" spans="1:11" ht="54" customHeight="1">
      <c r="A10602" s="9" t="s">
        <v>22050</v>
      </c>
      <c r="B10602" s="9" t="s">
        <v>22051</v>
      </c>
      <c r="C10602" s="9" t="s">
        <v>122</v>
      </c>
      <c r="D10602" s="9" t="s">
        <v>40</v>
      </c>
      <c r="E10602" s="10" t="s">
        <v>273</v>
      </c>
      <c r="F10602" s="9" t="s">
        <v>413</v>
      </c>
      <c r="G10602" s="10" t="s">
        <v>75</v>
      </c>
      <c r="H10602" s="9" t="s">
        <v>35</v>
      </c>
      <c r="I10602" s="9" t="s">
        <v>22052</v>
      </c>
      <c r="J10602" s="10" t="str">
        <f>HYPERLINK("https://www.boe.es/gazeta/dias/1834/08/31/pdfs/GMD-1834-198.pdf#page=4","Abrir facsímil")</f>
        <v>Abrir facsímil</v>
      </c>
      <c r="K10602" s="10" t="s">
        <v>37</v>
      </c>
    </row>
    <row r="10603" spans="1:11" ht="54" customHeight="1">
      <c r="A10603" s="9" t="s">
        <v>22053</v>
      </c>
      <c r="B10603" s="9" t="s">
        <v>22054</v>
      </c>
      <c r="C10603" s="9" t="s">
        <v>17</v>
      </c>
      <c r="D10603" s="9" t="s">
        <v>18</v>
      </c>
      <c r="E10603" s="10" t="s">
        <v>1839</v>
      </c>
      <c r="F10603" s="9" t="s">
        <v>1840</v>
      </c>
      <c r="G10603" s="10" t="s">
        <v>34</v>
      </c>
      <c r="H10603" s="9" t="s">
        <v>22</v>
      </c>
      <c r="I10603" s="9" t="s">
        <v>22055</v>
      </c>
      <c r="J10603" s="10" t="str">
        <f>HYPERLINK("https://www.boe.es/gazeta/dias/1834/08/12/pdfs/GMD-C-1834-177.pdf#page=1","Abrir facsímil")</f>
        <v>Abrir facsímil</v>
      </c>
      <c r="K10603" s="10" t="s">
        <v>24</v>
      </c>
    </row>
    <row r="10604" spans="1:11" ht="54" customHeight="1">
      <c r="A10604" s="9" t="s">
        <v>22053</v>
      </c>
      <c r="B10604" s="9" t="s">
        <v>22054</v>
      </c>
      <c r="C10604" s="9" t="s">
        <v>46</v>
      </c>
      <c r="D10604" s="9" t="s">
        <v>101</v>
      </c>
      <c r="E10604" s="10" t="s">
        <v>1981</v>
      </c>
      <c r="F10604" s="9" t="s">
        <v>1982</v>
      </c>
      <c r="G10604" s="10" t="s">
        <v>34</v>
      </c>
      <c r="H10604" s="9" t="s">
        <v>22</v>
      </c>
      <c r="I10604" s="9" t="s">
        <v>22056</v>
      </c>
      <c r="J10604" s="10" t="str">
        <f>HYPERLINK("https://www.boe.es/gazeta/dias/1834/12/13/pdfs/GMD-1834-302.pdf#page=1","Abrir facsímil")</f>
        <v>Abrir facsímil</v>
      </c>
      <c r="K10604" s="10" t="s">
        <v>24</v>
      </c>
    </row>
    <row r="10605" spans="1:11" ht="54" customHeight="1">
      <c r="A10605" s="9" t="s">
        <v>22053</v>
      </c>
      <c r="B10605" s="9" t="s">
        <v>22054</v>
      </c>
      <c r="C10605" s="9" t="s">
        <v>90</v>
      </c>
      <c r="D10605" s="9" t="s">
        <v>18</v>
      </c>
      <c r="E10605" s="10" t="s">
        <v>2087</v>
      </c>
      <c r="F10605" s="9" t="s">
        <v>2267</v>
      </c>
      <c r="G10605" s="10" t="s">
        <v>75</v>
      </c>
      <c r="H10605" s="9" t="s">
        <v>22</v>
      </c>
      <c r="I10605" s="9" t="s">
        <v>22057</v>
      </c>
      <c r="J10605" s="10" t="str">
        <f>HYPERLINK("https://www.boe.es/gazeta/dias/1834/12/14/pdfs/GMD-C-1834-303.pdf#page=4","Abrir facsímil")</f>
        <v>Abrir facsímil</v>
      </c>
      <c r="K10605" s="10" t="s">
        <v>24</v>
      </c>
    </row>
    <row r="10606" spans="1:11" ht="54" customHeight="1">
      <c r="A10606" s="9" t="s">
        <v>22053</v>
      </c>
      <c r="B10606" s="9" t="s">
        <v>22054</v>
      </c>
      <c r="C10606" s="9" t="s">
        <v>66</v>
      </c>
      <c r="D10606" s="9" t="s">
        <v>67</v>
      </c>
      <c r="E10606" s="10" t="s">
        <v>1234</v>
      </c>
      <c r="F10606" s="9" t="s">
        <v>1235</v>
      </c>
      <c r="G10606" s="10" t="s">
        <v>34</v>
      </c>
      <c r="H10606" s="9" t="s">
        <v>22</v>
      </c>
      <c r="I10606" s="9" t="s">
        <v>22058</v>
      </c>
      <c r="J10606" s="10" t="str">
        <f>HYPERLINK("https://www.boe.es/gazeta/dias/1834/05/15/pdfs/GMD-C-1834-84.pdf#page=1","Abrir facsímil")</f>
        <v>Abrir facsímil</v>
      </c>
      <c r="K10606" s="10" t="s">
        <v>24</v>
      </c>
    </row>
    <row r="10607" spans="1:11" ht="54" customHeight="1">
      <c r="A10607" s="9" t="s">
        <v>22053</v>
      </c>
      <c r="B10607" s="9" t="s">
        <v>22054</v>
      </c>
      <c r="C10607" s="9" t="s">
        <v>17</v>
      </c>
      <c r="D10607" s="9" t="s">
        <v>18</v>
      </c>
      <c r="E10607" s="10" t="s">
        <v>866</v>
      </c>
      <c r="F10607" s="9" t="s">
        <v>867</v>
      </c>
      <c r="G10607" s="10" t="s">
        <v>75</v>
      </c>
      <c r="H10607" s="9" t="s">
        <v>22</v>
      </c>
      <c r="I10607" s="9" t="s">
        <v>22059</v>
      </c>
      <c r="J10607" s="10" t="str">
        <f>HYPERLINK("https://www.boe.es/gazeta/dias/1834/01/18/pdfs/GMD-1834-9.pdf#page=4","Abrir facsímil")</f>
        <v>Abrir facsímil</v>
      </c>
      <c r="K10607" s="10" t="s">
        <v>24</v>
      </c>
    </row>
    <row r="10608" spans="1:11" ht="54" customHeight="1">
      <c r="A10608" s="9" t="s">
        <v>22060</v>
      </c>
      <c r="B10608" s="9" t="s">
        <v>22061</v>
      </c>
      <c r="C10608" s="9" t="s">
        <v>17</v>
      </c>
      <c r="D10608" s="9" t="s">
        <v>18</v>
      </c>
      <c r="E10608" s="10" t="s">
        <v>8279</v>
      </c>
      <c r="F10608" s="9" t="s">
        <v>8280</v>
      </c>
      <c r="G10608" s="10" t="s">
        <v>75</v>
      </c>
      <c r="H10608" s="9" t="s">
        <v>22</v>
      </c>
      <c r="I10608" s="9" t="s">
        <v>22062</v>
      </c>
      <c r="J10608" s="10" t="str">
        <f>HYPERLINK("https://www.boe.es/gazeta/dias/1834/04/22/pdfs/GMD-1834-61.pdf#page=4","Abrir facsímil")</f>
        <v>Abrir facsímil</v>
      </c>
      <c r="K10608" s="10" t="s">
        <v>24</v>
      </c>
    </row>
    <row r="10609" spans="1:11" ht="54" customHeight="1">
      <c r="A10609" s="9" t="s">
        <v>22063</v>
      </c>
      <c r="B10609" s="9" t="s">
        <v>22063</v>
      </c>
      <c r="C10609" s="9" t="s">
        <v>46</v>
      </c>
      <c r="D10609" s="9" t="s">
        <v>101</v>
      </c>
      <c r="E10609" s="10" t="s">
        <v>1981</v>
      </c>
      <c r="F10609" s="9" t="s">
        <v>2471</v>
      </c>
      <c r="G10609" s="10" t="s">
        <v>75</v>
      </c>
      <c r="H10609" s="9" t="s">
        <v>22</v>
      </c>
      <c r="I10609" s="9" t="s">
        <v>22064</v>
      </c>
      <c r="J10609" s="10" t="str">
        <f>HYPERLINK("https://www.boe.es/gazeta/dias/1834/12/13/pdfs/GMD-C-1834-302.pdf#page=4","Abrir facsímil")</f>
        <v>Abrir facsímil</v>
      </c>
      <c r="K10609" s="10" t="s">
        <v>24</v>
      </c>
    </row>
    <row r="10610" spans="1:11" ht="54" customHeight="1">
      <c r="A10610" s="9" t="s">
        <v>22065</v>
      </c>
      <c r="B10610" s="9" t="s">
        <v>22066</v>
      </c>
      <c r="C10610" s="9" t="s">
        <v>66</v>
      </c>
      <c r="D10610" s="9" t="s">
        <v>18</v>
      </c>
      <c r="E10610" s="10" t="s">
        <v>601</v>
      </c>
      <c r="F10610" s="9" t="s">
        <v>602</v>
      </c>
      <c r="G10610" s="10" t="s">
        <v>75</v>
      </c>
      <c r="H10610" s="9" t="s">
        <v>22</v>
      </c>
      <c r="I10610" s="9" t="s">
        <v>22067</v>
      </c>
      <c r="J10610" s="10" t="str">
        <f>HYPERLINK("https://www.boe.es/gazeta/dias/1834/08/16/pdfs/GMD-1834-181.pdf#page=4","Abrir facsímil")</f>
        <v>Abrir facsímil</v>
      </c>
      <c r="K10610" s="10" t="s">
        <v>24</v>
      </c>
    </row>
    <row r="10611" spans="1:11" ht="54" customHeight="1">
      <c r="A10611" s="9" t="s">
        <v>22068</v>
      </c>
      <c r="B10611" s="9" t="s">
        <v>22069</v>
      </c>
      <c r="C10611" s="9" t="s">
        <v>66</v>
      </c>
      <c r="D10611" s="9" t="s">
        <v>18</v>
      </c>
      <c r="E10611" s="10" t="s">
        <v>601</v>
      </c>
      <c r="F10611" s="9" t="s">
        <v>602</v>
      </c>
      <c r="G10611" s="10" t="s">
        <v>75</v>
      </c>
      <c r="H10611" s="9" t="s">
        <v>22</v>
      </c>
      <c r="I10611" s="9" t="s">
        <v>22070</v>
      </c>
      <c r="J10611" s="10" t="str">
        <f>HYPERLINK("https://www.boe.es/gazeta/dias/1834/08/16/pdfs/GMD-1834-181.pdf#page=4","Abrir facsímil")</f>
        <v>Abrir facsímil</v>
      </c>
      <c r="K10611" s="10" t="s">
        <v>24</v>
      </c>
    </row>
    <row r="10612" spans="1:11" ht="54" customHeight="1">
      <c r="A10612" s="9" t="s">
        <v>22071</v>
      </c>
      <c r="B10612" s="9" t="s">
        <v>22072</v>
      </c>
      <c r="C10612" s="9" t="s">
        <v>90</v>
      </c>
      <c r="D10612" s="9" t="s">
        <v>18</v>
      </c>
      <c r="E10612" s="10" t="s">
        <v>479</v>
      </c>
      <c r="F10612" s="9" t="s">
        <v>2258</v>
      </c>
      <c r="G10612" s="10" t="s">
        <v>21</v>
      </c>
      <c r="H10612" s="9" t="s">
        <v>22</v>
      </c>
      <c r="I10612" s="9" t="s">
        <v>22073</v>
      </c>
      <c r="J10612" s="10" t="str">
        <f>HYPERLINK("https://www.boe.es/gazeta/dias/1834/08/13/pdfs/GMD-C-1834-178.pdf#page=3","Abrir facsímil")</f>
        <v>Abrir facsímil</v>
      </c>
      <c r="K10612" s="10" t="s">
        <v>24</v>
      </c>
    </row>
    <row r="10613" spans="1:11" ht="54" customHeight="1">
      <c r="A10613" s="9" t="s">
        <v>22074</v>
      </c>
      <c r="B10613" s="9" t="s">
        <v>22075</v>
      </c>
      <c r="C10613" s="9" t="s">
        <v>17</v>
      </c>
      <c r="D10613" s="9" t="s">
        <v>40</v>
      </c>
      <c r="E10613" s="10" t="s">
        <v>61</v>
      </c>
      <c r="F10613" s="9" t="s">
        <v>205</v>
      </c>
      <c r="G10613" s="10" t="s">
        <v>21</v>
      </c>
      <c r="H10613" s="9" t="s">
        <v>22</v>
      </c>
      <c r="I10613" s="9" t="s">
        <v>22076</v>
      </c>
      <c r="J10613" s="10" t="str">
        <f>HYPERLINK("https://www.boe.es/gazeta/dias/1834/06/08/pdfs/GMD-1834-110.pdf#page=3","Abrir facsímil")</f>
        <v>Abrir facsímil</v>
      </c>
      <c r="K10613" s="10" t="s">
        <v>24</v>
      </c>
    </row>
    <row r="10614" spans="1:11" ht="54" customHeight="1">
      <c r="A10614" s="9" t="s">
        <v>22077</v>
      </c>
      <c r="B10614" s="9" t="s">
        <v>22078</v>
      </c>
      <c r="C10614" s="9" t="s">
        <v>17</v>
      </c>
      <c r="D10614" s="9" t="s">
        <v>40</v>
      </c>
      <c r="E10614" s="10" t="s">
        <v>61</v>
      </c>
      <c r="F10614" s="9" t="s">
        <v>205</v>
      </c>
      <c r="G10614" s="10" t="s">
        <v>21</v>
      </c>
      <c r="H10614" s="9" t="s">
        <v>35</v>
      </c>
      <c r="I10614" s="9" t="s">
        <v>22079</v>
      </c>
      <c r="J10614" s="10" t="str">
        <f>HYPERLINK("https://www.boe.es/gazeta/dias/1834/06/08/pdfs/GMD-1834-110.pdf#page=3","Abrir facsímil")</f>
        <v>Abrir facsímil</v>
      </c>
      <c r="K10614" s="10" t="s">
        <v>37</v>
      </c>
    </row>
    <row r="10615" spans="1:11" ht="54" customHeight="1">
      <c r="A10615" s="9" t="s">
        <v>22080</v>
      </c>
      <c r="B10615" s="9" t="s">
        <v>22081</v>
      </c>
      <c r="C10615" s="9" t="s">
        <v>17</v>
      </c>
      <c r="D10615" s="9" t="s">
        <v>18</v>
      </c>
      <c r="E10615" s="10" t="s">
        <v>785</v>
      </c>
      <c r="F10615" s="9" t="s">
        <v>786</v>
      </c>
      <c r="G10615" s="10" t="s">
        <v>86</v>
      </c>
      <c r="H10615" s="9" t="s">
        <v>22</v>
      </c>
      <c r="I10615" s="9" t="s">
        <v>22082</v>
      </c>
      <c r="J10615" s="10" t="str">
        <f>HYPERLINK("https://www.boe.es/gazeta/dias/1834/02/11/pdfs/GMD-1834-19.pdf#page=2","Abrir facsímil")</f>
        <v>Abrir facsímil</v>
      </c>
      <c r="K10615" s="10" t="s">
        <v>24</v>
      </c>
    </row>
    <row r="10616" spans="1:11" ht="54" customHeight="1">
      <c r="A10616" s="9" t="s">
        <v>22083</v>
      </c>
      <c r="B10616" s="9" t="s">
        <v>22084</v>
      </c>
      <c r="C10616" s="9" t="s">
        <v>46</v>
      </c>
      <c r="D10616" s="9" t="s">
        <v>18</v>
      </c>
      <c r="E10616" s="10" t="s">
        <v>262</v>
      </c>
      <c r="F10616" s="9" t="s">
        <v>263</v>
      </c>
      <c r="G10616" s="10" t="s">
        <v>34</v>
      </c>
      <c r="H10616" s="9" t="s">
        <v>35</v>
      </c>
      <c r="I10616" s="9" t="s">
        <v>22085</v>
      </c>
      <c r="J10616" s="10" t="str">
        <f>HYPERLINK("https://www.boe.es/gazeta/dias/1834/10/18/pdfs/GMD-C-1834-246.pdf#page=1","Abrir facsímil")</f>
        <v>Abrir facsímil</v>
      </c>
      <c r="K10616" s="10" t="s">
        <v>37</v>
      </c>
    </row>
    <row r="10617" spans="1:11" ht="54" customHeight="1">
      <c r="A10617" s="9" t="s">
        <v>22086</v>
      </c>
      <c r="B10617" s="9" t="s">
        <v>22087</v>
      </c>
      <c r="C10617" s="9" t="s">
        <v>46</v>
      </c>
      <c r="D10617" s="9" t="s">
        <v>18</v>
      </c>
      <c r="E10617" s="10" t="s">
        <v>262</v>
      </c>
      <c r="F10617" s="9" t="s">
        <v>263</v>
      </c>
      <c r="G10617" s="10" t="s">
        <v>34</v>
      </c>
      <c r="H10617" s="9" t="s">
        <v>22</v>
      </c>
      <c r="I10617" s="9" t="s">
        <v>22088</v>
      </c>
      <c r="J10617" s="10" t="str">
        <f>HYPERLINK("https://www.boe.es/gazeta/dias/1834/10/18/pdfs/GMD-C-1834-246.pdf#page=1","Abrir facsímil")</f>
        <v>Abrir facsímil</v>
      </c>
      <c r="K10617" s="10" t="s">
        <v>24</v>
      </c>
    </row>
    <row r="10618" spans="1:11" ht="54" customHeight="1">
      <c r="A10618" s="9" t="s">
        <v>22089</v>
      </c>
      <c r="B10618" s="9" t="s">
        <v>22089</v>
      </c>
      <c r="C10618" s="9" t="s">
        <v>46</v>
      </c>
      <c r="D10618" s="9" t="s">
        <v>101</v>
      </c>
      <c r="E10618" s="10" t="s">
        <v>251</v>
      </c>
      <c r="F10618" s="9" t="s">
        <v>252</v>
      </c>
      <c r="G10618" s="10" t="s">
        <v>28</v>
      </c>
      <c r="H10618" s="9" t="s">
        <v>22</v>
      </c>
      <c r="I10618" s="9" t="s">
        <v>22090</v>
      </c>
      <c r="J10618" s="10" t="str">
        <f>HYPERLINK("https://www.boe.es/gazeta/dias/1834/09/26/pdfs/GMD-C-1834-224.pdf#page=5","Abrir facsímil")</f>
        <v>Abrir facsímil</v>
      </c>
      <c r="K10618" s="10" t="s">
        <v>24</v>
      </c>
    </row>
    <row r="10619" spans="1:11" ht="54" customHeight="1">
      <c r="A10619" s="9" t="s">
        <v>22091</v>
      </c>
      <c r="B10619" s="9" t="s">
        <v>22092</v>
      </c>
      <c r="C10619" s="9" t="s">
        <v>17</v>
      </c>
      <c r="D10619" s="9" t="s">
        <v>18</v>
      </c>
      <c r="E10619" s="10" t="s">
        <v>158</v>
      </c>
      <c r="F10619" s="9" t="s">
        <v>159</v>
      </c>
      <c r="G10619" s="10" t="s">
        <v>21</v>
      </c>
      <c r="H10619" s="9" t="s">
        <v>22</v>
      </c>
      <c r="I10619" s="9" t="s">
        <v>22093</v>
      </c>
      <c r="J10619" s="10" t="str">
        <f>HYPERLINK("https://www.boe.es/gazeta/dias/1834/10/01/pdfs/GMD-1834-229.pdf#page=3","Abrir facsímil")</f>
        <v>Abrir facsímil</v>
      </c>
      <c r="K10619" s="10" t="s">
        <v>24</v>
      </c>
    </row>
    <row r="10620" spans="1:11" ht="54" customHeight="1">
      <c r="A10620" s="9" t="s">
        <v>22094</v>
      </c>
      <c r="B10620" s="9" t="s">
        <v>22095</v>
      </c>
      <c r="C10620" s="9" t="s">
        <v>122</v>
      </c>
      <c r="D10620" s="9" t="s">
        <v>55</v>
      </c>
      <c r="E10620" s="10" t="s">
        <v>158</v>
      </c>
      <c r="F10620" s="9" t="s">
        <v>159</v>
      </c>
      <c r="G10620" s="10" t="s">
        <v>21</v>
      </c>
      <c r="H10620" s="9" t="s">
        <v>22</v>
      </c>
      <c r="I10620" s="9" t="s">
        <v>22096</v>
      </c>
      <c r="J10620" s="10" t="str">
        <f>HYPERLINK("https://www.boe.es/gazeta/dias/1834/10/01/pdfs/GMD-1834-229.pdf#page=3","Abrir facsímil")</f>
        <v>Abrir facsímil</v>
      </c>
      <c r="K10620" s="10" t="s">
        <v>24</v>
      </c>
    </row>
    <row r="10621" spans="1:11" ht="54" customHeight="1">
      <c r="A10621" s="9" t="s">
        <v>22097</v>
      </c>
      <c r="B10621" s="9" t="s">
        <v>22098</v>
      </c>
      <c r="C10621" s="9" t="s">
        <v>17</v>
      </c>
      <c r="D10621" s="9" t="s">
        <v>101</v>
      </c>
      <c r="E10621" s="10" t="s">
        <v>863</v>
      </c>
      <c r="F10621" s="9" t="s">
        <v>864</v>
      </c>
      <c r="G10621" s="10" t="s">
        <v>75</v>
      </c>
      <c r="H10621" s="9" t="s">
        <v>22</v>
      </c>
      <c r="I10621" s="9" t="s">
        <v>22099</v>
      </c>
      <c r="J10621" s="10" t="str">
        <f>HYPERLINK("https://www.boe.es/gazeta/dias/1834/09/15/pdfs/GMD-1834-213.pdf#page=4","Abrir facsímil")</f>
        <v>Abrir facsímil</v>
      </c>
      <c r="K10621" s="10" t="s">
        <v>24</v>
      </c>
    </row>
    <row r="10622" spans="1:11" ht="54" customHeight="1">
      <c r="A10622" s="9" t="s">
        <v>22100</v>
      </c>
      <c r="B10622" s="9" t="s">
        <v>22101</v>
      </c>
      <c r="C10622" s="9" t="s">
        <v>90</v>
      </c>
      <c r="D10622" s="9" t="s">
        <v>18</v>
      </c>
      <c r="E10622" s="10" t="s">
        <v>1410</v>
      </c>
      <c r="F10622" s="9" t="s">
        <v>1411</v>
      </c>
      <c r="G10622" s="10" t="s">
        <v>34</v>
      </c>
      <c r="H10622" s="9" t="s">
        <v>22</v>
      </c>
      <c r="I10622" s="9" t="s">
        <v>22102</v>
      </c>
      <c r="J10622" s="10" t="str">
        <f>HYPERLINK("https://www.boe.es/gazeta/dias/1834/09/09/pdfs/GMD-1834-207.pdf#page=1","Abrir facsímil")</f>
        <v>Abrir facsímil</v>
      </c>
      <c r="K10622" s="10" t="s">
        <v>24</v>
      </c>
    </row>
    <row r="10623" spans="1:11" ht="54" customHeight="1">
      <c r="A10623" s="9" t="s">
        <v>22103</v>
      </c>
      <c r="B10623" s="9" t="s">
        <v>22103</v>
      </c>
      <c r="C10623" s="9" t="s">
        <v>17</v>
      </c>
      <c r="D10623" s="9" t="s">
        <v>18</v>
      </c>
      <c r="E10623" s="10" t="s">
        <v>653</v>
      </c>
      <c r="F10623" s="9" t="s">
        <v>3369</v>
      </c>
      <c r="G10623" s="10" t="s">
        <v>86</v>
      </c>
      <c r="H10623" s="9" t="s">
        <v>22</v>
      </c>
      <c r="I10623" s="9" t="s">
        <v>22104</v>
      </c>
      <c r="J10623" s="10" t="str">
        <f>HYPERLINK("https://www.boe.es/gazeta/dias/1834/08/06/pdfs/GMD-1834-170.pdf#page=2","Abrir facsímil")</f>
        <v>Abrir facsímil</v>
      </c>
      <c r="K10623" s="10" t="s">
        <v>24</v>
      </c>
    </row>
    <row r="10624" spans="1:11" ht="54" customHeight="1">
      <c r="A10624" s="9" t="s">
        <v>22105</v>
      </c>
      <c r="B10624" s="9" t="s">
        <v>22106</v>
      </c>
      <c r="C10624" s="9" t="s">
        <v>122</v>
      </c>
      <c r="D10624" s="9" t="s">
        <v>101</v>
      </c>
      <c r="E10624" s="10" t="s">
        <v>348</v>
      </c>
      <c r="F10624" s="9" t="s">
        <v>501</v>
      </c>
      <c r="G10624" s="10" t="s">
        <v>86</v>
      </c>
      <c r="H10624" s="9" t="s">
        <v>22</v>
      </c>
      <c r="I10624" s="9" t="s">
        <v>22107</v>
      </c>
      <c r="J10624" s="10" t="str">
        <f>HYPERLINK("https://www.boe.es/gazeta/dias/1834/06/12/pdfs/GMD-1834-115.pdf#page=2","Abrir facsímil")</f>
        <v>Abrir facsímil</v>
      </c>
      <c r="K10624" s="10" t="s">
        <v>24</v>
      </c>
    </row>
    <row r="10625" spans="1:11" ht="54" customHeight="1">
      <c r="A10625" s="9" t="s">
        <v>22108</v>
      </c>
      <c r="B10625" s="9" t="s">
        <v>22109</v>
      </c>
      <c r="C10625" s="9" t="s">
        <v>122</v>
      </c>
      <c r="D10625" s="9" t="s">
        <v>101</v>
      </c>
      <c r="E10625" s="10" t="s">
        <v>348</v>
      </c>
      <c r="F10625" s="9" t="s">
        <v>501</v>
      </c>
      <c r="G10625" s="10" t="s">
        <v>86</v>
      </c>
      <c r="H10625" s="9" t="s">
        <v>35</v>
      </c>
      <c r="I10625" s="9" t="s">
        <v>22110</v>
      </c>
      <c r="J10625" s="10" t="str">
        <f>HYPERLINK("https://www.boe.es/gazeta/dias/1834/06/12/pdfs/GMD-1834-115.pdf#page=2","Abrir facsímil")</f>
        <v>Abrir facsímil</v>
      </c>
      <c r="K10625" s="10" t="s">
        <v>37</v>
      </c>
    </row>
    <row r="10626" spans="1:11" ht="54" customHeight="1">
      <c r="A10626" s="9" t="s">
        <v>22111</v>
      </c>
      <c r="B10626" s="9" t="s">
        <v>22112</v>
      </c>
      <c r="C10626" s="9" t="s">
        <v>17</v>
      </c>
      <c r="D10626" s="9" t="s">
        <v>101</v>
      </c>
      <c r="E10626" s="10" t="s">
        <v>360</v>
      </c>
      <c r="F10626" s="9" t="s">
        <v>361</v>
      </c>
      <c r="G10626" s="10" t="s">
        <v>34</v>
      </c>
      <c r="H10626" s="9" t="s">
        <v>35</v>
      </c>
      <c r="I10626" s="9" t="s">
        <v>22113</v>
      </c>
      <c r="J10626" s="10" t="str">
        <f>HYPERLINK("https://www.boe.es/gazeta/dias/1834/04/07/pdfs/GMD-1834-46.pdf#page=1","Abrir facsímil")</f>
        <v>Abrir facsímil</v>
      </c>
      <c r="K10626" s="10" t="s">
        <v>37</v>
      </c>
    </row>
    <row r="10627" spans="1:11" ht="54" customHeight="1">
      <c r="A10627" s="9" t="s">
        <v>22114</v>
      </c>
      <c r="B10627" s="9" t="s">
        <v>22115</v>
      </c>
      <c r="C10627" s="9" t="s">
        <v>17</v>
      </c>
      <c r="D10627" s="9" t="s">
        <v>18</v>
      </c>
      <c r="E10627" s="10" t="s">
        <v>1981</v>
      </c>
      <c r="F10627" s="9" t="s">
        <v>2471</v>
      </c>
      <c r="G10627" s="10" t="s">
        <v>75</v>
      </c>
      <c r="H10627" s="9" t="s">
        <v>22</v>
      </c>
      <c r="I10627" s="9" t="s">
        <v>22116</v>
      </c>
      <c r="J10627" s="10" t="str">
        <f>HYPERLINK("https://www.boe.es/gazeta/dias/1834/12/13/pdfs/GMD-C-1834-302.pdf#page=4","Abrir facsímil")</f>
        <v>Abrir facsímil</v>
      </c>
      <c r="K10627" s="10" t="s">
        <v>24</v>
      </c>
    </row>
    <row r="10628" spans="1:11" ht="54" customHeight="1">
      <c r="A10628" s="9" t="s">
        <v>22117</v>
      </c>
      <c r="B10628" s="9" t="s">
        <v>22118</v>
      </c>
      <c r="C10628" s="9" t="s">
        <v>17</v>
      </c>
      <c r="D10628" s="9" t="s">
        <v>18</v>
      </c>
      <c r="E10628" s="10" t="s">
        <v>777</v>
      </c>
      <c r="F10628" s="9" t="s">
        <v>778</v>
      </c>
      <c r="G10628" s="10" t="s">
        <v>21</v>
      </c>
      <c r="H10628" s="9" t="s">
        <v>22</v>
      </c>
      <c r="I10628" s="9" t="s">
        <v>22119</v>
      </c>
      <c r="J10628" s="10" t="str">
        <f>HYPERLINK("https://www.boe.es/gazeta/dias/1834/10/29/pdfs/GMD-1834-257.pdf#page=3","Abrir facsímil")</f>
        <v>Abrir facsímil</v>
      </c>
      <c r="K10628" s="10" t="s">
        <v>24</v>
      </c>
    </row>
    <row r="10629" spans="1:11" ht="54" customHeight="1">
      <c r="A10629" s="9" t="s">
        <v>22120</v>
      </c>
      <c r="B10629" s="9" t="s">
        <v>22121</v>
      </c>
      <c r="C10629" s="9" t="s">
        <v>857</v>
      </c>
      <c r="D10629" s="9" t="s">
        <v>18</v>
      </c>
      <c r="E10629" s="10" t="s">
        <v>1234</v>
      </c>
      <c r="F10629" s="9" t="s">
        <v>1455</v>
      </c>
      <c r="G10629" s="10" t="s">
        <v>75</v>
      </c>
      <c r="H10629" s="9" t="s">
        <v>22</v>
      </c>
      <c r="I10629" s="9" t="s">
        <v>22122</v>
      </c>
      <c r="J10629" s="10" t="str">
        <f>HYPERLINK("https://www.boe.es/gazeta/dias/1834/05/15/pdfs/GMD-1834-84.pdf#page=4","Abrir facsímil")</f>
        <v>Abrir facsímil</v>
      </c>
      <c r="K10629" s="10" t="s">
        <v>24</v>
      </c>
    </row>
    <row r="10630" spans="1:11" ht="54" customHeight="1">
      <c r="A10630" s="9" t="s">
        <v>22123</v>
      </c>
      <c r="B10630" s="9" t="s">
        <v>22124</v>
      </c>
      <c r="C10630" s="9" t="s">
        <v>17</v>
      </c>
      <c r="D10630" s="9" t="s">
        <v>18</v>
      </c>
      <c r="E10630" s="10" t="s">
        <v>863</v>
      </c>
      <c r="F10630" s="9" t="s">
        <v>864</v>
      </c>
      <c r="G10630" s="10" t="s">
        <v>21</v>
      </c>
      <c r="H10630" s="9" t="s">
        <v>22</v>
      </c>
      <c r="I10630" s="9" t="s">
        <v>22125</v>
      </c>
      <c r="J10630" s="10" t="str">
        <f>HYPERLINK("https://www.boe.es/gazeta/dias/1834/09/15/pdfs/GMD-1834-213.pdf#page=3","Abrir facsímil")</f>
        <v>Abrir facsímil</v>
      </c>
      <c r="K10630" s="10" t="s">
        <v>24</v>
      </c>
    </row>
    <row r="10631" spans="1:11" ht="54" customHeight="1">
      <c r="A10631" s="9" t="s">
        <v>22126</v>
      </c>
      <c r="B10631" s="9" t="s">
        <v>22127</v>
      </c>
      <c r="C10631" s="9" t="s">
        <v>66</v>
      </c>
      <c r="D10631" s="9" t="s">
        <v>67</v>
      </c>
      <c r="E10631" s="10" t="s">
        <v>1669</v>
      </c>
      <c r="F10631" s="9" t="s">
        <v>1670</v>
      </c>
      <c r="G10631" s="10" t="s">
        <v>86</v>
      </c>
      <c r="H10631" s="9" t="s">
        <v>22</v>
      </c>
      <c r="I10631" s="9" t="s">
        <v>22128</v>
      </c>
      <c r="J10631" s="10" t="str">
        <f>HYPERLINK("https://www.boe.es/gazeta/dias/1834/06/19/pdfs/GMD-1834-122.pdf#page=2","Abrir facsímil")</f>
        <v>Abrir facsímil</v>
      </c>
      <c r="K10631" s="10" t="s">
        <v>24</v>
      </c>
    </row>
    <row r="10632" spans="1:11" ht="54" customHeight="1">
      <c r="A10632" s="9" t="s">
        <v>22129</v>
      </c>
      <c r="B10632" s="9" t="s">
        <v>22130</v>
      </c>
      <c r="C10632" s="9" t="s">
        <v>17</v>
      </c>
      <c r="D10632" s="9" t="s">
        <v>18</v>
      </c>
      <c r="E10632" s="10" t="s">
        <v>280</v>
      </c>
      <c r="F10632" s="9" t="s">
        <v>281</v>
      </c>
      <c r="G10632" s="10" t="s">
        <v>176</v>
      </c>
      <c r="H10632" s="9" t="s">
        <v>22</v>
      </c>
      <c r="I10632" s="9" t="s">
        <v>22131</v>
      </c>
      <c r="J10632" s="10" t="str">
        <f>HYPERLINK("https://www.boe.es/gazeta/dias/1834/08/29/pdfs/GMD-C-1834-195.pdf#page=6","Abrir facsímil")</f>
        <v>Abrir facsímil</v>
      </c>
      <c r="K10632" s="10" t="s">
        <v>24</v>
      </c>
    </row>
    <row r="10633" spans="1:11" ht="54" customHeight="1">
      <c r="A10633" s="9" t="s">
        <v>22132</v>
      </c>
      <c r="B10633" s="9" t="s">
        <v>22133</v>
      </c>
      <c r="C10633" s="9" t="s">
        <v>17</v>
      </c>
      <c r="D10633" s="9" t="s">
        <v>18</v>
      </c>
      <c r="E10633" s="10" t="s">
        <v>1839</v>
      </c>
      <c r="F10633" s="9" t="s">
        <v>1840</v>
      </c>
      <c r="G10633" s="10" t="s">
        <v>34</v>
      </c>
      <c r="H10633" s="9" t="s">
        <v>22</v>
      </c>
      <c r="I10633" s="9" t="s">
        <v>22134</v>
      </c>
      <c r="J10633" s="10" t="str">
        <f>HYPERLINK("https://www.boe.es/gazeta/dias/1834/08/12/pdfs/GMD-C-1834-177.pdf#page=1","Abrir facsímil")</f>
        <v>Abrir facsímil</v>
      </c>
      <c r="K10633" s="10" t="s">
        <v>24</v>
      </c>
    </row>
    <row r="10634" spans="1:11" ht="54" customHeight="1">
      <c r="A10634" s="9" t="s">
        <v>22135</v>
      </c>
      <c r="B10634" s="9" t="s">
        <v>22136</v>
      </c>
      <c r="C10634" s="9" t="s">
        <v>17</v>
      </c>
      <c r="D10634" s="9" t="s">
        <v>101</v>
      </c>
      <c r="E10634" s="10" t="s">
        <v>360</v>
      </c>
      <c r="F10634" s="9" t="s">
        <v>361</v>
      </c>
      <c r="G10634" s="10" t="s">
        <v>34</v>
      </c>
      <c r="H10634" s="9" t="s">
        <v>22</v>
      </c>
      <c r="I10634" s="9" t="s">
        <v>22137</v>
      </c>
      <c r="J10634" s="10" t="str">
        <f>HYPERLINK("https://www.boe.es/gazeta/dias/1834/04/07/pdfs/GMD-1834-46.pdf#page=1","Abrir facsímil")</f>
        <v>Abrir facsímil</v>
      </c>
      <c r="K10634" s="10" t="s">
        <v>24</v>
      </c>
    </row>
    <row r="10635" spans="1:11" ht="54" customHeight="1">
      <c r="A10635" s="9" t="s">
        <v>22138</v>
      </c>
      <c r="B10635" s="9" t="s">
        <v>22139</v>
      </c>
      <c r="C10635" s="9" t="s">
        <v>17</v>
      </c>
      <c r="D10635" s="9" t="s">
        <v>18</v>
      </c>
      <c r="E10635" s="10" t="s">
        <v>928</v>
      </c>
      <c r="F10635" s="9" t="s">
        <v>3338</v>
      </c>
      <c r="G10635" s="10" t="s">
        <v>21</v>
      </c>
      <c r="H10635" s="9" t="s">
        <v>22</v>
      </c>
      <c r="I10635" s="9" t="s">
        <v>22140</v>
      </c>
      <c r="J10635" s="10" t="str">
        <f>HYPERLINK("https://www.boe.es/gazeta/dias/1834/11/15/pdfs/GMD-1834-274.pdf#page=3","Abrir facsímil")</f>
        <v>Abrir facsímil</v>
      </c>
      <c r="K10635" s="10" t="s">
        <v>24</v>
      </c>
    </row>
    <row r="10636" spans="1:11" ht="54" customHeight="1">
      <c r="A10636" s="9" t="s">
        <v>22141</v>
      </c>
      <c r="B10636" s="9" t="s">
        <v>22141</v>
      </c>
      <c r="C10636" s="9" t="s">
        <v>66</v>
      </c>
      <c r="D10636" s="9" t="s">
        <v>67</v>
      </c>
      <c r="E10636" s="10" t="s">
        <v>286</v>
      </c>
      <c r="F10636" s="9" t="s">
        <v>548</v>
      </c>
      <c r="G10636" s="10" t="s">
        <v>86</v>
      </c>
      <c r="H10636" s="9" t="s">
        <v>22</v>
      </c>
      <c r="I10636" s="9" t="s">
        <v>22142</v>
      </c>
      <c r="J10636" s="10" t="str">
        <f>HYPERLINK("https://www.boe.es/gazeta/dias/1834/08/30/pdfs/GMD-1834-196.pdf#page=2","Abrir facsímil")</f>
        <v>Abrir facsímil</v>
      </c>
      <c r="K10636" s="10" t="s">
        <v>24</v>
      </c>
    </row>
    <row r="10637" spans="1:11" ht="54" customHeight="1">
      <c r="A10637" s="9" t="s">
        <v>22143</v>
      </c>
      <c r="B10637" s="9" t="s">
        <v>22144</v>
      </c>
      <c r="C10637" s="9" t="s">
        <v>122</v>
      </c>
      <c r="D10637" s="9" t="s">
        <v>18</v>
      </c>
      <c r="E10637" s="10" t="s">
        <v>283</v>
      </c>
      <c r="F10637" s="9" t="s">
        <v>2969</v>
      </c>
      <c r="G10637" s="10" t="s">
        <v>75</v>
      </c>
      <c r="H10637" s="9" t="s">
        <v>22</v>
      </c>
      <c r="I10637" s="9" t="s">
        <v>22145</v>
      </c>
      <c r="J10637" s="10" t="str">
        <f>HYPERLINK("https://www.boe.es/gazeta/dias/1834/11/29/pdfs/GMD-1834-288.pdf#page=4","Abrir facsímil")</f>
        <v>Abrir facsímil</v>
      </c>
      <c r="K10637" s="10" t="s">
        <v>24</v>
      </c>
    </row>
    <row r="10638" spans="1:11" ht="54" customHeight="1">
      <c r="A10638" s="9" t="s">
        <v>22146</v>
      </c>
      <c r="B10638" s="9" t="s">
        <v>22146</v>
      </c>
      <c r="C10638" s="9" t="s">
        <v>17</v>
      </c>
      <c r="D10638" s="9" t="s">
        <v>55</v>
      </c>
      <c r="E10638" s="10" t="s">
        <v>1170</v>
      </c>
      <c r="F10638" s="9" t="s">
        <v>1171</v>
      </c>
      <c r="G10638" s="10" t="s">
        <v>75</v>
      </c>
      <c r="H10638" s="9" t="s">
        <v>22</v>
      </c>
      <c r="I10638" s="9" t="s">
        <v>22147</v>
      </c>
      <c r="J10638" s="10" t="str">
        <f>HYPERLINK("https://www.boe.es/gazeta/dias/1834/01/07/pdfs/GMD-1834-4.pdf#page=4","Abrir facsímil")</f>
        <v>Abrir facsímil</v>
      </c>
      <c r="K10638" s="10" t="s">
        <v>24</v>
      </c>
    </row>
    <row r="10639" spans="1:11" ht="54" customHeight="1">
      <c r="A10639" s="9" t="s">
        <v>22146</v>
      </c>
      <c r="B10639" s="9" t="s">
        <v>22146</v>
      </c>
      <c r="C10639" s="9" t="s">
        <v>66</v>
      </c>
      <c r="D10639" s="9" t="s">
        <v>67</v>
      </c>
      <c r="E10639" s="10" t="s">
        <v>1141</v>
      </c>
      <c r="F10639" s="9" t="s">
        <v>1142</v>
      </c>
      <c r="G10639" s="10" t="s">
        <v>86</v>
      </c>
      <c r="H10639" s="9" t="s">
        <v>22</v>
      </c>
      <c r="I10639" s="9" t="s">
        <v>22148</v>
      </c>
      <c r="J10639" s="10" t="str">
        <f>HYPERLINK("https://www.boe.es/gazeta/dias/1834/04/30/pdfs/GMD-1834-69.pdf#page=2","Abrir facsímil")</f>
        <v>Abrir facsímil</v>
      </c>
      <c r="K10639" s="10" t="s">
        <v>24</v>
      </c>
    </row>
    <row r="10640" spans="1:11" ht="54" customHeight="1">
      <c r="A10640" s="9" t="s">
        <v>22146</v>
      </c>
      <c r="B10640" s="9" t="s">
        <v>22146</v>
      </c>
      <c r="C10640" s="9" t="s">
        <v>90</v>
      </c>
      <c r="D10640" s="9" t="s">
        <v>40</v>
      </c>
      <c r="E10640" s="10" t="s">
        <v>286</v>
      </c>
      <c r="F10640" s="9" t="s">
        <v>548</v>
      </c>
      <c r="G10640" s="10" t="s">
        <v>86</v>
      </c>
      <c r="H10640" s="9" t="s">
        <v>22</v>
      </c>
      <c r="I10640" s="9" t="s">
        <v>22149</v>
      </c>
      <c r="J10640" s="10" t="str">
        <f>HYPERLINK("https://www.boe.es/gazeta/dias/1834/08/30/pdfs/GMD-1834-196.pdf#page=2","Abrir facsímil")</f>
        <v>Abrir facsímil</v>
      </c>
      <c r="K10640" s="10" t="s">
        <v>24</v>
      </c>
    </row>
    <row r="10641" spans="1:11" ht="54" customHeight="1">
      <c r="A10641" s="9" t="s">
        <v>22150</v>
      </c>
      <c r="B10641" s="9" t="s">
        <v>22150</v>
      </c>
      <c r="C10641" s="9" t="s">
        <v>17</v>
      </c>
      <c r="D10641" s="9" t="s">
        <v>55</v>
      </c>
      <c r="E10641" s="10" t="s">
        <v>429</v>
      </c>
      <c r="F10641" s="9" t="s">
        <v>3421</v>
      </c>
      <c r="G10641" s="10" t="s">
        <v>21</v>
      </c>
      <c r="H10641" s="9" t="s">
        <v>22</v>
      </c>
      <c r="I10641" s="9" t="s">
        <v>22151</v>
      </c>
      <c r="J10641" s="10" t="str">
        <f>HYPERLINK("https://www.boe.es/gazeta/dias/1834/08/07/pdfs/GMD-1834-172.pdf#page=3","Abrir facsímil")</f>
        <v>Abrir facsímil</v>
      </c>
      <c r="K10641" s="10" t="s">
        <v>24</v>
      </c>
    </row>
    <row r="10642" spans="1:11" ht="54" customHeight="1">
      <c r="A10642" s="9" t="s">
        <v>22152</v>
      </c>
      <c r="B10642" s="9" t="s">
        <v>22152</v>
      </c>
      <c r="C10642" s="9" t="s">
        <v>17</v>
      </c>
      <c r="D10642" s="9" t="s">
        <v>55</v>
      </c>
      <c r="E10642" s="10" t="s">
        <v>1981</v>
      </c>
      <c r="F10642" s="9" t="s">
        <v>1982</v>
      </c>
      <c r="G10642" s="10" t="s">
        <v>86</v>
      </c>
      <c r="H10642" s="9" t="s">
        <v>22</v>
      </c>
      <c r="I10642" s="9" t="s">
        <v>22153</v>
      </c>
      <c r="J10642" s="10" t="str">
        <f>HYPERLINK("https://www.boe.es/gazeta/dias/1834/12/13/pdfs/GMD-1834-302.pdf#page=2","Abrir facsímil")</f>
        <v>Abrir facsímil</v>
      </c>
      <c r="K10642" s="10" t="s">
        <v>24</v>
      </c>
    </row>
    <row r="10643" spans="1:11" ht="54" customHeight="1">
      <c r="A10643" s="9" t="s">
        <v>22154</v>
      </c>
      <c r="B10643" s="9" t="s">
        <v>22155</v>
      </c>
      <c r="C10643" s="9" t="s">
        <v>46</v>
      </c>
      <c r="D10643" s="9" t="s">
        <v>101</v>
      </c>
      <c r="E10643" s="10" t="s">
        <v>360</v>
      </c>
      <c r="F10643" s="9" t="s">
        <v>361</v>
      </c>
      <c r="G10643" s="10" t="s">
        <v>34</v>
      </c>
      <c r="H10643" s="9" t="s">
        <v>35</v>
      </c>
      <c r="I10643" s="9" t="s">
        <v>22156</v>
      </c>
      <c r="J10643" s="10" t="str">
        <f>HYPERLINK("https://www.boe.es/gazeta/dias/1834/04/07/pdfs/GMD-1834-46.pdf#page=1","Abrir facsímil")</f>
        <v>Abrir facsímil</v>
      </c>
      <c r="K10643" s="10" t="s">
        <v>37</v>
      </c>
    </row>
    <row r="10644" spans="1:11" ht="54" customHeight="1">
      <c r="A10644" s="9" t="s">
        <v>22157</v>
      </c>
      <c r="B10644" s="9" t="s">
        <v>22158</v>
      </c>
      <c r="C10644" s="9" t="s">
        <v>46</v>
      </c>
      <c r="D10644" s="9" t="s">
        <v>101</v>
      </c>
      <c r="E10644" s="10" t="s">
        <v>360</v>
      </c>
      <c r="F10644" s="9" t="s">
        <v>361</v>
      </c>
      <c r="G10644" s="10" t="s">
        <v>34</v>
      </c>
      <c r="H10644" s="9" t="s">
        <v>22</v>
      </c>
      <c r="I10644" s="9" t="s">
        <v>22159</v>
      </c>
      <c r="J10644" s="10" t="str">
        <f>HYPERLINK("https://www.boe.es/gazeta/dias/1834/04/07/pdfs/GMD-1834-46.pdf#page=1","Abrir facsímil")</f>
        <v>Abrir facsímil</v>
      </c>
      <c r="K10644" s="10" t="s">
        <v>24</v>
      </c>
    </row>
    <row r="10645" spans="1:11" ht="54" customHeight="1">
      <c r="A10645" s="9" t="s">
        <v>22160</v>
      </c>
      <c r="B10645" s="9" t="s">
        <v>22161</v>
      </c>
      <c r="C10645" s="9" t="s">
        <v>857</v>
      </c>
      <c r="D10645" s="9" t="s">
        <v>55</v>
      </c>
      <c r="E10645" s="10" t="s">
        <v>2218</v>
      </c>
      <c r="F10645" s="9" t="s">
        <v>2219</v>
      </c>
      <c r="G10645" s="10" t="s">
        <v>34</v>
      </c>
      <c r="H10645" s="9" t="s">
        <v>22</v>
      </c>
      <c r="I10645" s="9" t="s">
        <v>22162</v>
      </c>
      <c r="J10645" s="10" t="str">
        <f>HYPERLINK("https://www.boe.es/gazeta/dias/1834/11/05/pdfs/GMD-1834-264.pdf#page=1","Abrir facsímil")</f>
        <v>Abrir facsímil</v>
      </c>
      <c r="K10645" s="10" t="s">
        <v>24</v>
      </c>
    </row>
    <row r="10646" spans="1:11" ht="54" customHeight="1">
      <c r="A10646" s="9" t="s">
        <v>22163</v>
      </c>
      <c r="B10646" s="9" t="s">
        <v>22164</v>
      </c>
      <c r="C10646" s="9" t="s">
        <v>46</v>
      </c>
      <c r="D10646" s="9" t="s">
        <v>101</v>
      </c>
      <c r="E10646" s="10" t="s">
        <v>183</v>
      </c>
      <c r="F10646" s="9" t="s">
        <v>184</v>
      </c>
      <c r="G10646" s="10" t="s">
        <v>34</v>
      </c>
      <c r="H10646" s="9" t="s">
        <v>22</v>
      </c>
      <c r="I10646" s="9" t="s">
        <v>22165</v>
      </c>
      <c r="J10646" s="10" t="str">
        <f>HYPERLINK("https://www.boe.es/gazeta/dias/1834/03/18/pdfs/GMD-1834-34.pdf#page=1","Abrir facsímil")</f>
        <v>Abrir facsímil</v>
      </c>
      <c r="K10646" s="10" t="s">
        <v>24</v>
      </c>
    </row>
    <row r="10647" spans="1:11" ht="54" customHeight="1">
      <c r="A10647" s="9" t="s">
        <v>22160</v>
      </c>
      <c r="B10647" s="9" t="s">
        <v>22161</v>
      </c>
      <c r="C10647" s="9" t="s">
        <v>46</v>
      </c>
      <c r="D10647" s="9" t="s">
        <v>101</v>
      </c>
      <c r="E10647" s="10" t="s">
        <v>724</v>
      </c>
      <c r="F10647" s="9" t="s">
        <v>725</v>
      </c>
      <c r="G10647" s="10" t="s">
        <v>34</v>
      </c>
      <c r="H10647" s="9" t="s">
        <v>22</v>
      </c>
      <c r="I10647" s="9" t="s">
        <v>22166</v>
      </c>
      <c r="J10647" s="10" t="str">
        <f>HYPERLINK("https://www.boe.es/gazeta/dias/1834/04/25/pdfs/GMD-1834-64.pdf#page=1","Abrir facsímil")</f>
        <v>Abrir facsímil</v>
      </c>
      <c r="K10647" s="10" t="s">
        <v>24</v>
      </c>
    </row>
    <row r="10648" spans="1:11" ht="54" customHeight="1">
      <c r="A10648" s="9" t="s">
        <v>22167</v>
      </c>
      <c r="B10648" s="9" t="s">
        <v>22168</v>
      </c>
      <c r="C10648" s="9" t="s">
        <v>17</v>
      </c>
      <c r="D10648" s="9" t="s">
        <v>18</v>
      </c>
      <c r="E10648" s="10" t="s">
        <v>1922</v>
      </c>
      <c r="F10648" s="9" t="s">
        <v>1923</v>
      </c>
      <c r="G10648" s="10" t="s">
        <v>176</v>
      </c>
      <c r="H10648" s="9" t="s">
        <v>22</v>
      </c>
      <c r="I10648" s="9" t="s">
        <v>22169</v>
      </c>
      <c r="J10648" s="10" t="str">
        <f>HYPERLINK("https://www.boe.es/gazeta/dias/1834/02/25/pdfs/GMD-1834-25.pdf#page=6","Abrir facsímil")</f>
        <v>Abrir facsímil</v>
      </c>
      <c r="K10648" s="10" t="s">
        <v>24</v>
      </c>
    </row>
    <row r="10649" spans="1:11" ht="54" customHeight="1">
      <c r="A10649" s="9" t="s">
        <v>22170</v>
      </c>
      <c r="B10649" s="9" t="s">
        <v>22170</v>
      </c>
      <c r="C10649" s="9" t="s">
        <v>66</v>
      </c>
      <c r="D10649" s="9" t="s">
        <v>18</v>
      </c>
      <c r="E10649" s="10" t="s">
        <v>448</v>
      </c>
      <c r="F10649" s="9" t="s">
        <v>2058</v>
      </c>
      <c r="G10649" s="10" t="s">
        <v>21</v>
      </c>
      <c r="H10649" s="9" t="s">
        <v>22</v>
      </c>
      <c r="I10649" s="9" t="s">
        <v>22171</v>
      </c>
      <c r="J10649" s="10" t="str">
        <f>HYPERLINK("https://www.boe.es/gazeta/dias/1834/10/14/pdfs/GMD-1834-242.pdf#page=3","Abrir facsímil")</f>
        <v>Abrir facsímil</v>
      </c>
      <c r="K10649" s="10" t="s">
        <v>24</v>
      </c>
    </row>
    <row r="10650" spans="1:11" ht="54" customHeight="1">
      <c r="A10650" s="9" t="s">
        <v>22172</v>
      </c>
      <c r="B10650" s="9" t="s">
        <v>22173</v>
      </c>
      <c r="C10650" s="9" t="s">
        <v>66</v>
      </c>
      <c r="D10650" s="9" t="s">
        <v>67</v>
      </c>
      <c r="E10650" s="10" t="s">
        <v>123</v>
      </c>
      <c r="F10650" s="9" t="s">
        <v>124</v>
      </c>
      <c r="G10650" s="10" t="s">
        <v>21</v>
      </c>
      <c r="H10650" s="9" t="s">
        <v>22</v>
      </c>
      <c r="I10650" s="9" t="s">
        <v>22174</v>
      </c>
      <c r="J10650" s="10" t="str">
        <f>HYPERLINK("https://www.boe.es/gazeta/dias/1834/07/11/pdfs/GMD-1834-144.pdf#page=3","Abrir facsímil")</f>
        <v>Abrir facsímil</v>
      </c>
      <c r="K10650" s="10" t="s">
        <v>24</v>
      </c>
    </row>
    <row r="10651" spans="1:11" ht="54" customHeight="1">
      <c r="A10651" s="9" t="s">
        <v>22175</v>
      </c>
      <c r="B10651" s="9" t="s">
        <v>22176</v>
      </c>
      <c r="C10651" s="9" t="s">
        <v>17</v>
      </c>
      <c r="D10651" s="9" t="s">
        <v>18</v>
      </c>
      <c r="E10651" s="10" t="s">
        <v>808</v>
      </c>
      <c r="F10651" s="9" t="s">
        <v>809</v>
      </c>
      <c r="G10651" s="10" t="s">
        <v>75</v>
      </c>
      <c r="H10651" s="9" t="s">
        <v>35</v>
      </c>
      <c r="I10651" s="9" t="s">
        <v>22177</v>
      </c>
      <c r="J10651" s="10" t="str">
        <f>HYPERLINK("https://www.boe.es/gazeta/dias/1834/10/11/pdfs/GMD-1834-239.pdf#page=4","Abrir facsímil")</f>
        <v>Abrir facsímil</v>
      </c>
      <c r="K10651" s="10" t="s">
        <v>37</v>
      </c>
    </row>
    <row r="10652" spans="1:11" ht="54" customHeight="1">
      <c r="A10652" s="9" t="s">
        <v>22178</v>
      </c>
      <c r="B10652" s="9" t="s">
        <v>22179</v>
      </c>
      <c r="C10652" s="9" t="s">
        <v>17</v>
      </c>
      <c r="D10652" s="9" t="s">
        <v>18</v>
      </c>
      <c r="E10652" s="10" t="s">
        <v>808</v>
      </c>
      <c r="F10652" s="9" t="s">
        <v>809</v>
      </c>
      <c r="G10652" s="10" t="s">
        <v>75</v>
      </c>
      <c r="H10652" s="9" t="s">
        <v>22</v>
      </c>
      <c r="I10652" s="9" t="s">
        <v>22180</v>
      </c>
      <c r="J10652" s="10" t="str">
        <f>HYPERLINK("https://www.boe.es/gazeta/dias/1834/10/11/pdfs/GMD-1834-239.pdf#page=4","Abrir facsímil")</f>
        <v>Abrir facsímil</v>
      </c>
      <c r="K10652" s="10" t="s">
        <v>24</v>
      </c>
    </row>
    <row r="10653" spans="1:11" ht="54" customHeight="1">
      <c r="A10653" s="9" t="s">
        <v>22181</v>
      </c>
      <c r="B10653" s="9" t="s">
        <v>22182</v>
      </c>
      <c r="C10653" s="9" t="s">
        <v>66</v>
      </c>
      <c r="D10653" s="9" t="s">
        <v>67</v>
      </c>
      <c r="E10653" s="10" t="s">
        <v>919</v>
      </c>
      <c r="F10653" s="9" t="s">
        <v>920</v>
      </c>
      <c r="G10653" s="10" t="s">
        <v>75</v>
      </c>
      <c r="H10653" s="9" t="s">
        <v>22</v>
      </c>
      <c r="I10653" s="9" t="s">
        <v>22183</v>
      </c>
      <c r="J10653" s="10" t="str">
        <f>HYPERLINK("https://www.boe.es/gazeta/dias/1834/06/24/pdfs/GMD-1834-127.pdf#page=4","Abrir facsímil")</f>
        <v>Abrir facsímil</v>
      </c>
      <c r="K10653" s="10" t="s">
        <v>24</v>
      </c>
    </row>
    <row r="10654" spans="1:11" ht="54" customHeight="1">
      <c r="A10654" s="9" t="s">
        <v>22184</v>
      </c>
      <c r="B10654" s="9" t="s">
        <v>22184</v>
      </c>
      <c r="C10654" s="9" t="s">
        <v>46</v>
      </c>
      <c r="D10654" s="9" t="s">
        <v>101</v>
      </c>
      <c r="E10654" s="10" t="s">
        <v>394</v>
      </c>
      <c r="F10654" s="9" t="s">
        <v>395</v>
      </c>
      <c r="G10654" s="10" t="s">
        <v>86</v>
      </c>
      <c r="H10654" s="9" t="s">
        <v>22</v>
      </c>
      <c r="I10654" s="9" t="s">
        <v>22185</v>
      </c>
      <c r="J10654" s="10" t="str">
        <f>HYPERLINK("https://www.boe.es/gazeta/dias/1834/12/23/pdfs/GMD-1834-313.pdf#page=2","Abrir facsímil")</f>
        <v>Abrir facsímil</v>
      </c>
      <c r="K10654" s="10" t="s">
        <v>24</v>
      </c>
    </row>
    <row r="10655" spans="1:11" ht="54" customHeight="1">
      <c r="A10655" s="9" t="s">
        <v>22186</v>
      </c>
      <c r="B10655" s="9" t="s">
        <v>22187</v>
      </c>
      <c r="C10655" s="9" t="s">
        <v>17</v>
      </c>
      <c r="D10655" s="9" t="s">
        <v>18</v>
      </c>
      <c r="E10655" s="10" t="s">
        <v>1424</v>
      </c>
      <c r="F10655" s="9" t="s">
        <v>3445</v>
      </c>
      <c r="G10655" s="10" t="s">
        <v>34</v>
      </c>
      <c r="H10655" s="9" t="s">
        <v>22</v>
      </c>
      <c r="I10655" s="9" t="s">
        <v>22188</v>
      </c>
      <c r="J10655" s="10" t="str">
        <f>HYPERLINK("https://www.boe.es/gazeta/dias/1834/11/14/pdfs/GMD-1834-273.pdf#page=1","Abrir facsímil")</f>
        <v>Abrir facsímil</v>
      </c>
      <c r="K10655" s="10" t="s">
        <v>24</v>
      </c>
    </row>
    <row r="10656" spans="1:11" ht="54" customHeight="1">
      <c r="A10656" s="9" t="s">
        <v>22189</v>
      </c>
      <c r="B10656" s="9" t="s">
        <v>22189</v>
      </c>
      <c r="C10656" s="9" t="s">
        <v>17</v>
      </c>
      <c r="D10656" s="9" t="s">
        <v>18</v>
      </c>
      <c r="E10656" s="10" t="s">
        <v>4814</v>
      </c>
      <c r="F10656" s="9" t="s">
        <v>4815</v>
      </c>
      <c r="G10656" s="10" t="s">
        <v>75</v>
      </c>
      <c r="H10656" s="9" t="s">
        <v>22</v>
      </c>
      <c r="I10656" s="9" t="s">
        <v>22190</v>
      </c>
      <c r="J10656" s="10" t="str">
        <f>HYPERLINK("https://www.boe.es/gazeta/dias/1834/06/05/pdfs/GMD-1834-107.pdf#page=4","Abrir facsímil")</f>
        <v>Abrir facsímil</v>
      </c>
      <c r="K10656" s="10" t="s">
        <v>24</v>
      </c>
    </row>
    <row r="10657" spans="1:11" ht="54" customHeight="1">
      <c r="A10657" s="9" t="s">
        <v>22191</v>
      </c>
      <c r="B10657" s="9" t="s">
        <v>22192</v>
      </c>
      <c r="C10657" s="9" t="s">
        <v>17</v>
      </c>
      <c r="D10657" s="9" t="s">
        <v>18</v>
      </c>
      <c r="E10657" s="10" t="s">
        <v>4814</v>
      </c>
      <c r="F10657" s="9" t="s">
        <v>4815</v>
      </c>
      <c r="G10657" s="10" t="s">
        <v>75</v>
      </c>
      <c r="H10657" s="9" t="s">
        <v>35</v>
      </c>
      <c r="I10657" s="9" t="s">
        <v>22193</v>
      </c>
      <c r="J10657" s="10" t="str">
        <f>HYPERLINK("https://www.boe.es/gazeta/dias/1834/06/05/pdfs/GMD-1834-107.pdf#page=4","Abrir facsímil")</f>
        <v>Abrir facsímil</v>
      </c>
      <c r="K10657" s="10" t="s">
        <v>37</v>
      </c>
    </row>
    <row r="10658" spans="1:11" ht="54" customHeight="1">
      <c r="A10658" s="9" t="s">
        <v>22194</v>
      </c>
      <c r="B10658" s="9" t="s">
        <v>22195</v>
      </c>
      <c r="C10658" s="9" t="s">
        <v>17</v>
      </c>
      <c r="D10658" s="9" t="s">
        <v>18</v>
      </c>
      <c r="E10658" s="10" t="s">
        <v>4814</v>
      </c>
      <c r="F10658" s="9" t="s">
        <v>4815</v>
      </c>
      <c r="G10658" s="10" t="s">
        <v>75</v>
      </c>
      <c r="H10658" s="9" t="s">
        <v>22</v>
      </c>
      <c r="I10658" s="9" t="s">
        <v>22196</v>
      </c>
      <c r="J10658" s="10" t="str">
        <f>HYPERLINK("https://www.boe.es/gazeta/dias/1834/06/05/pdfs/GMD-1834-107.pdf#page=4","Abrir facsímil")</f>
        <v>Abrir facsímil</v>
      </c>
      <c r="K10658" s="10" t="s">
        <v>24</v>
      </c>
    </row>
    <row r="10659" spans="1:11" ht="54" customHeight="1">
      <c r="A10659" s="9" t="s">
        <v>22197</v>
      </c>
      <c r="B10659" s="9" t="s">
        <v>22197</v>
      </c>
      <c r="C10659" s="9" t="s">
        <v>17</v>
      </c>
      <c r="D10659" s="9" t="s">
        <v>18</v>
      </c>
      <c r="E10659" s="10" t="s">
        <v>1653</v>
      </c>
      <c r="F10659" s="9" t="s">
        <v>1654</v>
      </c>
      <c r="G10659" s="10" t="s">
        <v>75</v>
      </c>
      <c r="H10659" s="9" t="s">
        <v>22</v>
      </c>
      <c r="I10659" s="9" t="s">
        <v>22198</v>
      </c>
      <c r="J10659" s="10" t="str">
        <f>HYPERLINK("https://www.boe.es/gazeta/dias/1834/07/03/pdfs/GMD-1834-136.pdf#page=4","Abrir facsímil")</f>
        <v>Abrir facsímil</v>
      </c>
      <c r="K10659" s="10" t="s">
        <v>24</v>
      </c>
    </row>
    <row r="10660" spans="1:11" ht="54" customHeight="1">
      <c r="A10660" s="9" t="s">
        <v>22199</v>
      </c>
      <c r="B10660" s="9" t="s">
        <v>22200</v>
      </c>
      <c r="C10660" s="9" t="s">
        <v>46</v>
      </c>
      <c r="D10660" s="9" t="s">
        <v>55</v>
      </c>
      <c r="E10660" s="10" t="s">
        <v>696</v>
      </c>
      <c r="F10660" s="9" t="s">
        <v>854</v>
      </c>
      <c r="G10660" s="10" t="s">
        <v>86</v>
      </c>
      <c r="H10660" s="9" t="s">
        <v>22</v>
      </c>
      <c r="I10660" s="9" t="s">
        <v>22201</v>
      </c>
      <c r="J10660" s="10" t="str">
        <f>HYPERLINK("https://www.boe.es/gazeta/dias/1834/12/06/pdfs/GMD-1834-295.pdf#page=2","Abrir facsímil")</f>
        <v>Abrir facsímil</v>
      </c>
      <c r="K10660" s="10" t="s">
        <v>24</v>
      </c>
    </row>
    <row r="10661" spans="1:11" ht="54" customHeight="1">
      <c r="A10661" s="9" t="s">
        <v>22202</v>
      </c>
      <c r="B10661" s="9" t="s">
        <v>22202</v>
      </c>
      <c r="C10661" s="9" t="s">
        <v>17</v>
      </c>
      <c r="D10661" s="9" t="s">
        <v>18</v>
      </c>
      <c r="E10661" s="10" t="s">
        <v>32</v>
      </c>
      <c r="F10661" s="9" t="s">
        <v>33</v>
      </c>
      <c r="G10661" s="10" t="s">
        <v>176</v>
      </c>
      <c r="H10661" s="9" t="s">
        <v>22</v>
      </c>
      <c r="I10661" s="9" t="s">
        <v>22203</v>
      </c>
      <c r="J10661" s="10" t="str">
        <f>HYPERLINK("https://www.boe.es/gazeta/dias/1834/04/23/pdfs/GMD-1834-62.pdf#page=6","Abrir facsímil")</f>
        <v>Abrir facsímil</v>
      </c>
      <c r="K10661" s="10" t="s">
        <v>24</v>
      </c>
    </row>
    <row r="10662" spans="1:11" ht="54" customHeight="1">
      <c r="A10662" s="9" t="s">
        <v>22204</v>
      </c>
      <c r="B10662" s="9" t="s">
        <v>22204</v>
      </c>
      <c r="C10662" s="9" t="s">
        <v>46</v>
      </c>
      <c r="D10662" s="9" t="s">
        <v>55</v>
      </c>
      <c r="E10662" s="10" t="s">
        <v>47</v>
      </c>
      <c r="F10662" s="9" t="s">
        <v>48</v>
      </c>
      <c r="G10662" s="10" t="s">
        <v>75</v>
      </c>
      <c r="H10662" s="9" t="s">
        <v>22</v>
      </c>
      <c r="I10662" s="9" t="s">
        <v>22205</v>
      </c>
      <c r="J10662" s="10" t="str">
        <f>HYPERLINK("https://www.boe.es/gazeta/dias/1834/09/05/pdfs/GMD-C-1834-203.pdf#page=4","Abrir facsímil")</f>
        <v>Abrir facsímil</v>
      </c>
      <c r="K10662" s="10" t="s">
        <v>24</v>
      </c>
    </row>
    <row r="10663" spans="1:11" ht="54" customHeight="1">
      <c r="A10663" s="9" t="s">
        <v>22206</v>
      </c>
      <c r="B10663" s="9" t="s">
        <v>22207</v>
      </c>
      <c r="C10663" s="9" t="s">
        <v>17</v>
      </c>
      <c r="D10663" s="9" t="s">
        <v>18</v>
      </c>
      <c r="E10663" s="10" t="s">
        <v>707</v>
      </c>
      <c r="F10663" s="9" t="s">
        <v>1359</v>
      </c>
      <c r="G10663" s="10" t="s">
        <v>75</v>
      </c>
      <c r="H10663" s="9" t="s">
        <v>22</v>
      </c>
      <c r="I10663" s="9" t="s">
        <v>22208</v>
      </c>
      <c r="J10663" s="10" t="str">
        <f>HYPERLINK("https://www.boe.es/gazeta/dias/1834/11/25/pdfs/GMD-1834-284.pdf#page=4","Abrir facsímil")</f>
        <v>Abrir facsímil</v>
      </c>
      <c r="K10663" s="10" t="s">
        <v>24</v>
      </c>
    </row>
    <row r="10664" spans="1:11" ht="54" customHeight="1">
      <c r="A10664" s="9" t="s">
        <v>22209</v>
      </c>
      <c r="B10664" s="9" t="s">
        <v>22209</v>
      </c>
      <c r="C10664" s="9" t="s">
        <v>17</v>
      </c>
      <c r="D10664" s="9" t="s">
        <v>55</v>
      </c>
      <c r="E10664" s="10" t="s">
        <v>653</v>
      </c>
      <c r="F10664" s="9" t="s">
        <v>654</v>
      </c>
      <c r="G10664" s="10" t="s">
        <v>21</v>
      </c>
      <c r="H10664" s="9" t="s">
        <v>22</v>
      </c>
      <c r="I10664" s="9" t="s">
        <v>22210</v>
      </c>
      <c r="J10664" s="10" t="str">
        <f>HYPERLINK("https://www.boe.es/gazeta/dias/1834/08/06/pdfs/GMD-C-1834-170.pdf#page=3","Abrir facsímil")</f>
        <v>Abrir facsímil</v>
      </c>
      <c r="K10664" s="10" t="s">
        <v>24</v>
      </c>
    </row>
    <row r="10665" spans="1:11" ht="54" customHeight="1">
      <c r="A10665" s="9" t="s">
        <v>22211</v>
      </c>
      <c r="B10665" s="9" t="s">
        <v>22211</v>
      </c>
      <c r="C10665" s="9" t="s">
        <v>90</v>
      </c>
      <c r="D10665" s="9" t="s">
        <v>18</v>
      </c>
      <c r="E10665" s="10" t="s">
        <v>2278</v>
      </c>
      <c r="F10665" s="9" t="s">
        <v>2279</v>
      </c>
      <c r="G10665" s="10" t="s">
        <v>28</v>
      </c>
      <c r="H10665" s="9" t="s">
        <v>22</v>
      </c>
      <c r="I10665" s="9" t="s">
        <v>22212</v>
      </c>
      <c r="J10665" s="10" t="str">
        <f>HYPERLINK("https://www.boe.es/gazeta/dias/1834/12/17/pdfs/GMD-C-1834-306.pdf#page=5","Abrir facsímil")</f>
        <v>Abrir facsímil</v>
      </c>
      <c r="K10665" s="10" t="s">
        <v>24</v>
      </c>
    </row>
    <row r="10666" spans="1:11" ht="54" customHeight="1">
      <c r="A10666" s="9" t="s">
        <v>22213</v>
      </c>
      <c r="B10666" s="9" t="s">
        <v>22214</v>
      </c>
      <c r="C10666" s="9" t="s">
        <v>17</v>
      </c>
      <c r="D10666" s="9" t="s">
        <v>18</v>
      </c>
      <c r="E10666" s="10" t="s">
        <v>174</v>
      </c>
      <c r="F10666" s="9" t="s">
        <v>175</v>
      </c>
      <c r="G10666" s="10" t="s">
        <v>176</v>
      </c>
      <c r="H10666" s="9" t="s">
        <v>22</v>
      </c>
      <c r="I10666" s="9" t="s">
        <v>22215</v>
      </c>
      <c r="J10666" s="10" t="str">
        <f>HYPERLINK("https://www.boe.es/gazeta/dias/1834/03/27/pdfs/GMD-1834-38.pdf#page=6","Abrir facsímil")</f>
        <v>Abrir facsímil</v>
      </c>
      <c r="K10666" s="10" t="s">
        <v>24</v>
      </c>
    </row>
    <row r="10667" spans="1:11" ht="54" customHeight="1">
      <c r="A10667" s="9" t="s">
        <v>22216</v>
      </c>
      <c r="B10667" s="9" t="s">
        <v>22216</v>
      </c>
      <c r="C10667" s="9" t="s">
        <v>17</v>
      </c>
      <c r="D10667" s="9" t="s">
        <v>18</v>
      </c>
      <c r="E10667" s="10" t="s">
        <v>4105</v>
      </c>
      <c r="F10667" s="9" t="s">
        <v>4106</v>
      </c>
      <c r="G10667" s="10" t="s">
        <v>28</v>
      </c>
      <c r="H10667" s="9" t="s">
        <v>22</v>
      </c>
      <c r="I10667" s="9" t="s">
        <v>22217</v>
      </c>
      <c r="J10667" s="10" t="str">
        <f>HYPERLINK("https://www.boe.es/gazeta/dias/1834/09/02/pdfs/GMD-C-1834-200.pdf#page=5","Abrir facsímil")</f>
        <v>Abrir facsímil</v>
      </c>
      <c r="K10667" s="10" t="s">
        <v>24</v>
      </c>
    </row>
    <row r="10668" spans="1:11" ht="54" customHeight="1">
      <c r="A10668" s="9" t="s">
        <v>22216</v>
      </c>
      <c r="B10668" s="9" t="s">
        <v>22216</v>
      </c>
      <c r="C10668" s="9" t="s">
        <v>46</v>
      </c>
      <c r="D10668" s="9" t="s">
        <v>101</v>
      </c>
      <c r="E10668" s="10" t="s">
        <v>1981</v>
      </c>
      <c r="F10668" s="9" t="s">
        <v>2471</v>
      </c>
      <c r="G10668" s="10" t="s">
        <v>86</v>
      </c>
      <c r="H10668" s="9" t="s">
        <v>22</v>
      </c>
      <c r="I10668" s="9" t="s">
        <v>22218</v>
      </c>
      <c r="J10668" s="10" t="str">
        <f>HYPERLINK("https://www.boe.es/gazeta/dias/1834/12/13/pdfs/GMD-C-1834-302.pdf#page=2","Abrir facsímil")</f>
        <v>Abrir facsímil</v>
      </c>
      <c r="K10668" s="10" t="s">
        <v>24</v>
      </c>
    </row>
    <row r="10669" spans="1:11" ht="54" customHeight="1">
      <c r="A10669" s="9" t="s">
        <v>22216</v>
      </c>
      <c r="B10669" s="9" t="s">
        <v>22216</v>
      </c>
      <c r="C10669" s="9" t="s">
        <v>90</v>
      </c>
      <c r="D10669" s="9" t="s">
        <v>18</v>
      </c>
      <c r="E10669" s="10" t="s">
        <v>222</v>
      </c>
      <c r="F10669" s="9" t="s">
        <v>4015</v>
      </c>
      <c r="G10669" s="10" t="s">
        <v>34</v>
      </c>
      <c r="H10669" s="9" t="s">
        <v>22</v>
      </c>
      <c r="I10669" s="9" t="s">
        <v>22219</v>
      </c>
      <c r="J10669" s="10" t="str">
        <f>HYPERLINK("https://www.boe.es/gazeta/dias/1834/09/14/pdfs/GMD-C-1834-212.pdf#page=1","Abrir facsímil")</f>
        <v>Abrir facsímil</v>
      </c>
      <c r="K10669" s="10" t="s">
        <v>24</v>
      </c>
    </row>
    <row r="10670" spans="1:11" ht="54" customHeight="1">
      <c r="A10670" s="9" t="s">
        <v>22216</v>
      </c>
      <c r="B10670" s="9" t="s">
        <v>22216</v>
      </c>
      <c r="C10670" s="9" t="s">
        <v>17</v>
      </c>
      <c r="D10670" s="9" t="s">
        <v>18</v>
      </c>
      <c r="E10670" s="10" t="s">
        <v>403</v>
      </c>
      <c r="F10670" s="9" t="s">
        <v>404</v>
      </c>
      <c r="G10670" s="10" t="s">
        <v>34</v>
      </c>
      <c r="H10670" s="9" t="s">
        <v>22</v>
      </c>
      <c r="I10670" s="9" t="s">
        <v>22220</v>
      </c>
      <c r="J10670" s="10" t="str">
        <f>HYPERLINK("https://www.boe.es/gazeta/dias/1834/09/25/pdfs/GMD-C-1834-223.pdf#page=1","Abrir facsímil")</f>
        <v>Abrir facsímil</v>
      </c>
      <c r="K10670" s="10" t="s">
        <v>24</v>
      </c>
    </row>
    <row r="10671" spans="1:11" ht="54" customHeight="1">
      <c r="A10671" s="9" t="s">
        <v>22221</v>
      </c>
      <c r="B10671" s="9" t="s">
        <v>22221</v>
      </c>
      <c r="C10671" s="9" t="s">
        <v>857</v>
      </c>
      <c r="D10671" s="9" t="s">
        <v>18</v>
      </c>
      <c r="E10671" s="10" t="s">
        <v>2037</v>
      </c>
      <c r="F10671" s="9" t="s">
        <v>2038</v>
      </c>
      <c r="G10671" s="10" t="s">
        <v>21</v>
      </c>
      <c r="H10671" s="9" t="s">
        <v>22</v>
      </c>
      <c r="I10671" s="9" t="s">
        <v>22222</v>
      </c>
      <c r="J10671" s="10" t="str">
        <f>HYPERLINK("https://www.boe.es/gazeta/dias/1834/12/01/pdfs/GMD-1834-290.pdf#page=3","Abrir facsímil")</f>
        <v>Abrir facsímil</v>
      </c>
      <c r="K10671" s="10" t="s">
        <v>24</v>
      </c>
    </row>
    <row r="10672" spans="1:11" ht="54" customHeight="1">
      <c r="A10672" s="9" t="s">
        <v>22221</v>
      </c>
      <c r="B10672" s="9" t="s">
        <v>22221</v>
      </c>
      <c r="C10672" s="9" t="s">
        <v>17</v>
      </c>
      <c r="D10672" s="9" t="s">
        <v>18</v>
      </c>
      <c r="E10672" s="10" t="s">
        <v>905</v>
      </c>
      <c r="F10672" s="9" t="s">
        <v>906</v>
      </c>
      <c r="G10672" s="10" t="s">
        <v>86</v>
      </c>
      <c r="H10672" s="9" t="s">
        <v>22</v>
      </c>
      <c r="I10672" s="9" t="s">
        <v>22223</v>
      </c>
      <c r="J10672" s="10" t="str">
        <f>HYPERLINK("https://www.boe.es/gazeta/dias/1834/08/02/pdfs/GMD-C-1834-166.pdf#page=2","Abrir facsímil")</f>
        <v>Abrir facsímil</v>
      </c>
      <c r="K10672" s="10" t="s">
        <v>24</v>
      </c>
    </row>
    <row r="10673" spans="1:11" ht="54" customHeight="1">
      <c r="A10673" s="9" t="s">
        <v>22221</v>
      </c>
      <c r="B10673" s="9" t="s">
        <v>22221</v>
      </c>
      <c r="C10673" s="9" t="s">
        <v>17</v>
      </c>
      <c r="D10673" s="9" t="s">
        <v>18</v>
      </c>
      <c r="E10673" s="10" t="s">
        <v>4105</v>
      </c>
      <c r="F10673" s="9" t="s">
        <v>4106</v>
      </c>
      <c r="G10673" s="10" t="s">
        <v>21</v>
      </c>
      <c r="H10673" s="9" t="s">
        <v>22</v>
      </c>
      <c r="I10673" s="9" t="s">
        <v>22224</v>
      </c>
      <c r="J10673" s="10" t="str">
        <f>HYPERLINK("https://www.boe.es/gazeta/dias/1834/09/02/pdfs/GMD-C-1834-200.pdf#page=3","Abrir facsímil")</f>
        <v>Abrir facsímil</v>
      </c>
      <c r="K10673" s="10" t="s">
        <v>24</v>
      </c>
    </row>
    <row r="10674" spans="1:11" ht="54" customHeight="1">
      <c r="A10674" s="9" t="s">
        <v>22221</v>
      </c>
      <c r="B10674" s="9" t="s">
        <v>22221</v>
      </c>
      <c r="C10674" s="9" t="s">
        <v>46</v>
      </c>
      <c r="D10674" s="9" t="s">
        <v>101</v>
      </c>
      <c r="E10674" s="10" t="s">
        <v>4105</v>
      </c>
      <c r="F10674" s="9" t="s">
        <v>4106</v>
      </c>
      <c r="G10674" s="10" t="s">
        <v>75</v>
      </c>
      <c r="H10674" s="9" t="s">
        <v>22</v>
      </c>
      <c r="I10674" s="9" t="s">
        <v>22225</v>
      </c>
      <c r="J10674" s="10" t="str">
        <f>HYPERLINK("https://www.boe.es/gazeta/dias/1834/09/02/pdfs/GMD-C-1834-200.pdf#page=4","Abrir facsímil")</f>
        <v>Abrir facsímil</v>
      </c>
      <c r="K10674" s="10" t="s">
        <v>24</v>
      </c>
    </row>
    <row r="10675" spans="1:11" ht="54" customHeight="1">
      <c r="A10675" s="9" t="s">
        <v>22221</v>
      </c>
      <c r="B10675" s="9" t="s">
        <v>22221</v>
      </c>
      <c r="C10675" s="9" t="s">
        <v>17</v>
      </c>
      <c r="D10675" s="9" t="s">
        <v>18</v>
      </c>
      <c r="E10675" s="10" t="s">
        <v>4105</v>
      </c>
      <c r="F10675" s="9" t="s">
        <v>4106</v>
      </c>
      <c r="G10675" s="10" t="s">
        <v>28</v>
      </c>
      <c r="H10675" s="9" t="s">
        <v>22</v>
      </c>
      <c r="I10675" s="9" t="s">
        <v>22226</v>
      </c>
      <c r="J10675" s="10" t="str">
        <f>HYPERLINK("https://www.boe.es/gazeta/dias/1834/09/02/pdfs/GMD-C-1834-200.pdf#page=5","Abrir facsímil")</f>
        <v>Abrir facsímil</v>
      </c>
      <c r="K10675" s="10" t="s">
        <v>24</v>
      </c>
    </row>
    <row r="10676" spans="1:11" ht="54" customHeight="1">
      <c r="A10676" s="9" t="s">
        <v>22221</v>
      </c>
      <c r="B10676" s="9" t="s">
        <v>22221</v>
      </c>
      <c r="C10676" s="9" t="s">
        <v>17</v>
      </c>
      <c r="D10676" s="9" t="s">
        <v>18</v>
      </c>
      <c r="E10676" s="10" t="s">
        <v>1704</v>
      </c>
      <c r="F10676" s="9" t="s">
        <v>1705</v>
      </c>
      <c r="G10676" s="10" t="s">
        <v>21</v>
      </c>
      <c r="H10676" s="9" t="s">
        <v>22</v>
      </c>
      <c r="I10676" s="9" t="s">
        <v>22227</v>
      </c>
      <c r="J10676" s="10" t="str">
        <f>HYPERLINK("https://www.boe.es/gazeta/dias/1834/12/02/pdfs/GMD-1834-291.pdf#page=3","Abrir facsímil")</f>
        <v>Abrir facsímil</v>
      </c>
      <c r="K10676" s="10" t="s">
        <v>24</v>
      </c>
    </row>
    <row r="10677" spans="1:11" ht="54" customHeight="1">
      <c r="A10677" s="9" t="s">
        <v>22221</v>
      </c>
      <c r="B10677" s="9" t="s">
        <v>22221</v>
      </c>
      <c r="C10677" s="9" t="s">
        <v>17</v>
      </c>
      <c r="D10677" s="9" t="s">
        <v>18</v>
      </c>
      <c r="E10677" s="10" t="s">
        <v>690</v>
      </c>
      <c r="F10677" s="9" t="s">
        <v>691</v>
      </c>
      <c r="G10677" s="10" t="s">
        <v>28</v>
      </c>
      <c r="H10677" s="9" t="s">
        <v>22</v>
      </c>
      <c r="I10677" s="9" t="s">
        <v>22228</v>
      </c>
      <c r="J10677" s="10" t="str">
        <f>HYPERLINK("https://www.boe.es/gazeta/dias/1834/09/03/pdfs/GMD-C-1834-201.pdf#page=5","Abrir facsímil")</f>
        <v>Abrir facsímil</v>
      </c>
      <c r="K10677" s="10" t="s">
        <v>24</v>
      </c>
    </row>
    <row r="10678" spans="1:11" ht="54" customHeight="1">
      <c r="A10678" s="9" t="s">
        <v>22221</v>
      </c>
      <c r="B10678" s="9" t="s">
        <v>22221</v>
      </c>
      <c r="C10678" s="9" t="s">
        <v>17</v>
      </c>
      <c r="D10678" s="9" t="s">
        <v>18</v>
      </c>
      <c r="E10678" s="10" t="s">
        <v>690</v>
      </c>
      <c r="F10678" s="9" t="s">
        <v>691</v>
      </c>
      <c r="G10678" s="10" t="s">
        <v>176</v>
      </c>
      <c r="H10678" s="9" t="s">
        <v>22</v>
      </c>
      <c r="I10678" s="9" t="s">
        <v>22229</v>
      </c>
      <c r="J10678" s="10" t="str">
        <f>HYPERLINK("https://www.boe.es/gazeta/dias/1834/09/03/pdfs/GMD-C-1834-201.pdf#page=6","Abrir facsímil")</f>
        <v>Abrir facsímil</v>
      </c>
      <c r="K10678" s="10" t="s">
        <v>24</v>
      </c>
    </row>
    <row r="10679" spans="1:11" ht="54" customHeight="1">
      <c r="A10679" s="9" t="s">
        <v>22221</v>
      </c>
      <c r="B10679" s="9" t="s">
        <v>22221</v>
      </c>
      <c r="C10679" s="9" t="s">
        <v>17</v>
      </c>
      <c r="D10679" s="9" t="s">
        <v>18</v>
      </c>
      <c r="E10679" s="10" t="s">
        <v>690</v>
      </c>
      <c r="F10679" s="9" t="s">
        <v>691</v>
      </c>
      <c r="G10679" s="10" t="s">
        <v>560</v>
      </c>
      <c r="H10679" s="9" t="s">
        <v>22</v>
      </c>
      <c r="I10679" s="9" t="s">
        <v>22230</v>
      </c>
      <c r="J10679" s="10" t="str">
        <f>HYPERLINK("https://www.boe.es/gazeta/dias/1834/09/03/pdfs/GMD-C-1834-201.pdf#page=7","Abrir facsímil")</f>
        <v>Abrir facsímil</v>
      </c>
      <c r="K10679" s="10" t="s">
        <v>24</v>
      </c>
    </row>
    <row r="10680" spans="1:11" ht="54" customHeight="1">
      <c r="A10680" s="9" t="s">
        <v>22221</v>
      </c>
      <c r="B10680" s="9" t="s">
        <v>22221</v>
      </c>
      <c r="C10680" s="9" t="s">
        <v>17</v>
      </c>
      <c r="D10680" s="9" t="s">
        <v>18</v>
      </c>
      <c r="E10680" s="10" t="s">
        <v>2212</v>
      </c>
      <c r="F10680" s="9" t="s">
        <v>2213</v>
      </c>
      <c r="G10680" s="10" t="s">
        <v>34</v>
      </c>
      <c r="H10680" s="9" t="s">
        <v>22</v>
      </c>
      <c r="I10680" s="9" t="s">
        <v>22231</v>
      </c>
      <c r="J10680" s="10" t="str">
        <f>HYPERLINK("https://www.boe.es/gazeta/dias/1834/08/04/pdfs/GMD-C-1834-168.pdf#page=1","Abrir facsímil")</f>
        <v>Abrir facsímil</v>
      </c>
      <c r="K10680" s="10" t="s">
        <v>24</v>
      </c>
    </row>
    <row r="10681" spans="1:11" ht="54" customHeight="1">
      <c r="A10681" s="9" t="s">
        <v>22221</v>
      </c>
      <c r="B10681" s="9" t="s">
        <v>22221</v>
      </c>
      <c r="C10681" s="9" t="s">
        <v>17</v>
      </c>
      <c r="D10681" s="9" t="s">
        <v>55</v>
      </c>
      <c r="E10681" s="10" t="s">
        <v>2212</v>
      </c>
      <c r="F10681" s="9" t="s">
        <v>2213</v>
      </c>
      <c r="G10681" s="10" t="s">
        <v>28</v>
      </c>
      <c r="H10681" s="9" t="s">
        <v>22</v>
      </c>
      <c r="I10681" s="9" t="s">
        <v>22232</v>
      </c>
      <c r="J10681" s="10" t="str">
        <f>HYPERLINK("https://www.boe.es/gazeta/dias/1834/08/04/pdfs/GMD-C-1834-168.pdf#page=5","Abrir facsímil")</f>
        <v>Abrir facsímil</v>
      </c>
      <c r="K10681" s="10" t="s">
        <v>24</v>
      </c>
    </row>
    <row r="10682" spans="1:11" ht="54" customHeight="1">
      <c r="A10682" s="9" t="s">
        <v>22221</v>
      </c>
      <c r="B10682" s="9" t="s">
        <v>22221</v>
      </c>
      <c r="C10682" s="9" t="s">
        <v>90</v>
      </c>
      <c r="D10682" s="9" t="s">
        <v>67</v>
      </c>
      <c r="E10682" s="10" t="s">
        <v>243</v>
      </c>
      <c r="F10682" s="9" t="s">
        <v>244</v>
      </c>
      <c r="G10682" s="10" t="s">
        <v>86</v>
      </c>
      <c r="H10682" s="9" t="s">
        <v>22</v>
      </c>
      <c r="I10682" s="9" t="s">
        <v>22233</v>
      </c>
      <c r="J10682" s="10" t="str">
        <f>HYPERLINK("https://www.boe.es/gazeta/dias/1834/08/05/pdfs/GMD-C-1834-169.pdf#page=2","Abrir facsímil")</f>
        <v>Abrir facsímil</v>
      </c>
      <c r="K10682" s="10" t="s">
        <v>24</v>
      </c>
    </row>
    <row r="10683" spans="1:11" ht="54" customHeight="1">
      <c r="A10683" s="9" t="s">
        <v>22221</v>
      </c>
      <c r="B10683" s="9" t="s">
        <v>22221</v>
      </c>
      <c r="C10683" s="9" t="s">
        <v>17</v>
      </c>
      <c r="D10683" s="9" t="s">
        <v>18</v>
      </c>
      <c r="E10683" s="10" t="s">
        <v>243</v>
      </c>
      <c r="F10683" s="9" t="s">
        <v>244</v>
      </c>
      <c r="G10683" s="10" t="s">
        <v>21</v>
      </c>
      <c r="H10683" s="9" t="s">
        <v>22</v>
      </c>
      <c r="I10683" s="9" t="s">
        <v>22234</v>
      </c>
      <c r="J10683" s="10" t="str">
        <f>HYPERLINK("https://www.boe.es/gazeta/dias/1834/08/05/pdfs/GMD-C-1834-169.pdf#page=3","Abrir facsímil")</f>
        <v>Abrir facsímil</v>
      </c>
      <c r="K10683" s="10" t="s">
        <v>24</v>
      </c>
    </row>
    <row r="10684" spans="1:11" ht="54" customHeight="1">
      <c r="A10684" s="9" t="s">
        <v>22221</v>
      </c>
      <c r="B10684" s="9" t="s">
        <v>22221</v>
      </c>
      <c r="C10684" s="9" t="s">
        <v>17</v>
      </c>
      <c r="D10684" s="9" t="s">
        <v>18</v>
      </c>
      <c r="E10684" s="10" t="s">
        <v>47</v>
      </c>
      <c r="F10684" s="9" t="s">
        <v>48</v>
      </c>
      <c r="G10684" s="10" t="s">
        <v>34</v>
      </c>
      <c r="H10684" s="9" t="s">
        <v>22</v>
      </c>
      <c r="I10684" s="9" t="s">
        <v>22235</v>
      </c>
      <c r="J10684" s="10" t="str">
        <f>HYPERLINK("https://www.boe.es/gazeta/dias/1834/09/05/pdfs/GMD-C-1834-203.pdf#page=1","Abrir facsímil")</f>
        <v>Abrir facsímil</v>
      </c>
      <c r="K10684" s="10" t="s">
        <v>24</v>
      </c>
    </row>
    <row r="10685" spans="1:11" ht="54" customHeight="1">
      <c r="A10685" s="9" t="s">
        <v>22221</v>
      </c>
      <c r="B10685" s="9" t="s">
        <v>22221</v>
      </c>
      <c r="C10685" s="9" t="s">
        <v>17</v>
      </c>
      <c r="D10685" s="9" t="s">
        <v>18</v>
      </c>
      <c r="E10685" s="10" t="s">
        <v>653</v>
      </c>
      <c r="F10685" s="9" t="s">
        <v>654</v>
      </c>
      <c r="G10685" s="10" t="s">
        <v>86</v>
      </c>
      <c r="H10685" s="9" t="s">
        <v>22</v>
      </c>
      <c r="I10685" s="9" t="s">
        <v>22236</v>
      </c>
      <c r="J10685" s="10" t="str">
        <f>HYPERLINK("https://www.boe.es/gazeta/dias/1834/08/06/pdfs/GMD-C-1834-170.pdf#page=2","Abrir facsímil")</f>
        <v>Abrir facsímil</v>
      </c>
      <c r="K10685" s="10" t="s">
        <v>24</v>
      </c>
    </row>
    <row r="10686" spans="1:11" ht="54" customHeight="1">
      <c r="A10686" s="9" t="s">
        <v>22221</v>
      </c>
      <c r="B10686" s="9" t="s">
        <v>22221</v>
      </c>
      <c r="C10686" s="9" t="s">
        <v>17</v>
      </c>
      <c r="D10686" s="9" t="s">
        <v>18</v>
      </c>
      <c r="E10686" s="10" t="s">
        <v>653</v>
      </c>
      <c r="F10686" s="9" t="s">
        <v>654</v>
      </c>
      <c r="G10686" s="10" t="s">
        <v>21</v>
      </c>
      <c r="H10686" s="9" t="s">
        <v>22</v>
      </c>
      <c r="I10686" s="9" t="s">
        <v>22237</v>
      </c>
      <c r="J10686" s="10" t="str">
        <f>HYPERLINK("https://www.boe.es/gazeta/dias/1834/08/06/pdfs/GMD-C-1834-170.pdf#page=3","Abrir facsímil")</f>
        <v>Abrir facsímil</v>
      </c>
      <c r="K10686" s="10" t="s">
        <v>24</v>
      </c>
    </row>
    <row r="10687" spans="1:11" ht="54" customHeight="1">
      <c r="A10687" s="9" t="s">
        <v>22221</v>
      </c>
      <c r="B10687" s="9" t="s">
        <v>22221</v>
      </c>
      <c r="C10687" s="9" t="s">
        <v>17</v>
      </c>
      <c r="D10687" s="9" t="s">
        <v>18</v>
      </c>
      <c r="E10687" s="10" t="s">
        <v>364</v>
      </c>
      <c r="F10687" s="9" t="s">
        <v>365</v>
      </c>
      <c r="G10687" s="10" t="s">
        <v>176</v>
      </c>
      <c r="H10687" s="9" t="s">
        <v>22</v>
      </c>
      <c r="I10687" s="9" t="s">
        <v>22238</v>
      </c>
      <c r="J10687" s="10" t="str">
        <f>HYPERLINK("https://www.boe.es/gazeta/dias/1834/09/06/pdfs/GMD-C-1834-204.pdf#page=6","Abrir facsímil")</f>
        <v>Abrir facsímil</v>
      </c>
      <c r="K10687" s="10" t="s">
        <v>24</v>
      </c>
    </row>
    <row r="10688" spans="1:11" ht="54" customHeight="1">
      <c r="A10688" s="9" t="s">
        <v>22221</v>
      </c>
      <c r="B10688" s="9" t="s">
        <v>22221</v>
      </c>
      <c r="C10688" s="9" t="s">
        <v>17</v>
      </c>
      <c r="D10688" s="9" t="s">
        <v>18</v>
      </c>
      <c r="E10688" s="10" t="s">
        <v>364</v>
      </c>
      <c r="F10688" s="9" t="s">
        <v>365</v>
      </c>
      <c r="G10688" s="10" t="s">
        <v>470</v>
      </c>
      <c r="H10688" s="9" t="s">
        <v>22</v>
      </c>
      <c r="I10688" s="9" t="s">
        <v>22239</v>
      </c>
      <c r="J10688" s="10" t="str">
        <f>HYPERLINK("https://www.boe.es/gazeta/dias/1834/09/06/pdfs/GMD-C-1834-204.pdf#page=8","Abrir facsímil")</f>
        <v>Abrir facsímil</v>
      </c>
      <c r="K10688" s="10" t="s">
        <v>24</v>
      </c>
    </row>
    <row r="10689" spans="1:11" ht="54" customHeight="1">
      <c r="A10689" s="9" t="s">
        <v>22221</v>
      </c>
      <c r="B10689" s="9" t="s">
        <v>22221</v>
      </c>
      <c r="C10689" s="9" t="s">
        <v>46</v>
      </c>
      <c r="D10689" s="9" t="s">
        <v>101</v>
      </c>
      <c r="E10689" s="10" t="s">
        <v>429</v>
      </c>
      <c r="F10689" s="9" t="s">
        <v>430</v>
      </c>
      <c r="G10689" s="10" t="s">
        <v>34</v>
      </c>
      <c r="H10689" s="9" t="s">
        <v>22</v>
      </c>
      <c r="I10689" s="9" t="s">
        <v>22240</v>
      </c>
      <c r="J10689" s="10" t="str">
        <f>HYPERLINK("https://www.boe.es/gazeta/dias/1834/08/07/pdfs/GMD-C-1834-172.pdf#page=1","Abrir facsímil")</f>
        <v>Abrir facsímil</v>
      </c>
      <c r="K10689" s="10" t="s">
        <v>24</v>
      </c>
    </row>
    <row r="10690" spans="1:11" ht="54" customHeight="1">
      <c r="A10690" s="9" t="s">
        <v>22221</v>
      </c>
      <c r="B10690" s="9" t="s">
        <v>22221</v>
      </c>
      <c r="C10690" s="9" t="s">
        <v>17</v>
      </c>
      <c r="D10690" s="9" t="s">
        <v>18</v>
      </c>
      <c r="E10690" s="10" t="s">
        <v>429</v>
      </c>
      <c r="F10690" s="9" t="s">
        <v>430</v>
      </c>
      <c r="G10690" s="10" t="s">
        <v>86</v>
      </c>
      <c r="H10690" s="9" t="s">
        <v>22</v>
      </c>
      <c r="I10690" s="9" t="s">
        <v>22241</v>
      </c>
      <c r="J10690" s="10" t="str">
        <f>HYPERLINK("https://www.boe.es/gazeta/dias/1834/08/07/pdfs/GMD-C-1834-172.pdf#page=2","Abrir facsímil")</f>
        <v>Abrir facsímil</v>
      </c>
      <c r="K10690" s="10" t="s">
        <v>24</v>
      </c>
    </row>
    <row r="10691" spans="1:11" ht="54" customHeight="1">
      <c r="A10691" s="9" t="s">
        <v>22221</v>
      </c>
      <c r="B10691" s="9" t="s">
        <v>22221</v>
      </c>
      <c r="C10691" s="9" t="s">
        <v>17</v>
      </c>
      <c r="D10691" s="9" t="s">
        <v>18</v>
      </c>
      <c r="E10691" s="10" t="s">
        <v>429</v>
      </c>
      <c r="F10691" s="9" t="s">
        <v>430</v>
      </c>
      <c r="G10691" s="10" t="s">
        <v>75</v>
      </c>
      <c r="H10691" s="9" t="s">
        <v>22</v>
      </c>
      <c r="I10691" s="9" t="s">
        <v>22242</v>
      </c>
      <c r="J10691" s="10" t="str">
        <f>HYPERLINK("https://www.boe.es/gazeta/dias/1834/08/07/pdfs/GMD-C-1834-172.pdf#page=4","Abrir facsímil")</f>
        <v>Abrir facsímil</v>
      </c>
      <c r="K10691" s="10" t="s">
        <v>24</v>
      </c>
    </row>
    <row r="10692" spans="1:11" ht="54" customHeight="1">
      <c r="A10692" s="9" t="s">
        <v>22221</v>
      </c>
      <c r="B10692" s="9" t="s">
        <v>22221</v>
      </c>
      <c r="C10692" s="9" t="s">
        <v>66</v>
      </c>
      <c r="D10692" s="9" t="s">
        <v>67</v>
      </c>
      <c r="E10692" s="10" t="s">
        <v>3170</v>
      </c>
      <c r="F10692" s="9" t="s">
        <v>3171</v>
      </c>
      <c r="G10692" s="10" t="s">
        <v>21</v>
      </c>
      <c r="H10692" s="9" t="s">
        <v>22</v>
      </c>
      <c r="I10692" s="9" t="s">
        <v>22243</v>
      </c>
      <c r="J10692" s="10" t="str">
        <f>HYPERLINK("https://www.boe.es/gazeta/dias/1834/12/07/pdfs/GMD-1834-296.pdf#page=3","Abrir facsímil")</f>
        <v>Abrir facsímil</v>
      </c>
      <c r="K10692" s="10" t="s">
        <v>24</v>
      </c>
    </row>
    <row r="10693" spans="1:11" ht="54" customHeight="1">
      <c r="A10693" s="9" t="s">
        <v>22221</v>
      </c>
      <c r="B10693" s="9" t="s">
        <v>22221</v>
      </c>
      <c r="C10693" s="9" t="s">
        <v>17</v>
      </c>
      <c r="D10693" s="9" t="s">
        <v>18</v>
      </c>
      <c r="E10693" s="10" t="s">
        <v>793</v>
      </c>
      <c r="F10693" s="9" t="s">
        <v>1895</v>
      </c>
      <c r="G10693" s="10" t="s">
        <v>34</v>
      </c>
      <c r="H10693" s="9" t="s">
        <v>22</v>
      </c>
      <c r="I10693" s="9" t="s">
        <v>22244</v>
      </c>
      <c r="J10693" s="10" t="str">
        <f>HYPERLINK("https://www.boe.es/gazeta/dias/1834/10/08/pdfs/GMD-C-1834-236.pdf#page=1","Abrir facsímil")</f>
        <v>Abrir facsímil</v>
      </c>
      <c r="K10693" s="10" t="s">
        <v>24</v>
      </c>
    </row>
    <row r="10694" spans="1:11" ht="54" customHeight="1">
      <c r="A10694" s="9" t="s">
        <v>22221</v>
      </c>
      <c r="B10694" s="9" t="s">
        <v>22221</v>
      </c>
      <c r="C10694" s="9" t="s">
        <v>17</v>
      </c>
      <c r="D10694" s="9" t="s">
        <v>18</v>
      </c>
      <c r="E10694" s="10" t="s">
        <v>793</v>
      </c>
      <c r="F10694" s="9" t="s">
        <v>1895</v>
      </c>
      <c r="G10694" s="10" t="s">
        <v>21</v>
      </c>
      <c r="H10694" s="9" t="s">
        <v>22</v>
      </c>
      <c r="I10694" s="9" t="s">
        <v>22245</v>
      </c>
      <c r="J10694" s="10" t="str">
        <f>HYPERLINK("https://www.boe.es/gazeta/dias/1834/10/08/pdfs/GMD-C-1834-236.pdf#page=3","Abrir facsímil")</f>
        <v>Abrir facsímil</v>
      </c>
      <c r="K10694" s="10" t="s">
        <v>24</v>
      </c>
    </row>
    <row r="10695" spans="1:11" ht="54" customHeight="1">
      <c r="A10695" s="9" t="s">
        <v>22221</v>
      </c>
      <c r="B10695" s="9" t="s">
        <v>22221</v>
      </c>
      <c r="C10695" s="9" t="s">
        <v>17</v>
      </c>
      <c r="D10695" s="9" t="s">
        <v>18</v>
      </c>
      <c r="E10695" s="10" t="s">
        <v>1410</v>
      </c>
      <c r="F10695" s="9" t="s">
        <v>2231</v>
      </c>
      <c r="G10695" s="10" t="s">
        <v>75</v>
      </c>
      <c r="H10695" s="9" t="s">
        <v>22</v>
      </c>
      <c r="I10695" s="9" t="s">
        <v>22246</v>
      </c>
      <c r="J10695" s="10" t="str">
        <f>HYPERLINK("https://www.boe.es/gazeta/dias/1834/09/09/pdfs/GMD-C-1834-207.pdf#page=4","Abrir facsímil")</f>
        <v>Abrir facsímil</v>
      </c>
      <c r="K10695" s="10" t="s">
        <v>24</v>
      </c>
    </row>
    <row r="10696" spans="1:11" ht="54" customHeight="1">
      <c r="A10696" s="9" t="s">
        <v>22221</v>
      </c>
      <c r="B10696" s="9" t="s">
        <v>22221</v>
      </c>
      <c r="C10696" s="9" t="s">
        <v>17</v>
      </c>
      <c r="D10696" s="9" t="s">
        <v>18</v>
      </c>
      <c r="E10696" s="10" t="s">
        <v>642</v>
      </c>
      <c r="F10696" s="9" t="s">
        <v>643</v>
      </c>
      <c r="G10696" s="10" t="s">
        <v>21</v>
      </c>
      <c r="H10696" s="9" t="s">
        <v>22</v>
      </c>
      <c r="I10696" s="9" t="s">
        <v>22247</v>
      </c>
      <c r="J10696" s="10" t="str">
        <f>HYPERLINK("https://www.boe.es/gazeta/dias/1834/11/12/pdfs/GMD-C-1834-271.pdf#page=3","Abrir facsímil")</f>
        <v>Abrir facsímil</v>
      </c>
      <c r="K10696" s="10" t="s">
        <v>24</v>
      </c>
    </row>
    <row r="10697" spans="1:11" ht="54" customHeight="1">
      <c r="A10697" s="9" t="s">
        <v>22221</v>
      </c>
      <c r="B10697" s="9" t="s">
        <v>22221</v>
      </c>
      <c r="C10697" s="9" t="s">
        <v>17</v>
      </c>
      <c r="D10697" s="9" t="s">
        <v>18</v>
      </c>
      <c r="E10697" s="10" t="s">
        <v>642</v>
      </c>
      <c r="F10697" s="9" t="s">
        <v>643</v>
      </c>
      <c r="G10697" s="10" t="s">
        <v>28</v>
      </c>
      <c r="H10697" s="9" t="s">
        <v>22</v>
      </c>
      <c r="I10697" s="9" t="s">
        <v>22248</v>
      </c>
      <c r="J10697" s="10" t="str">
        <f>HYPERLINK("https://www.boe.es/gazeta/dias/1834/11/12/pdfs/GMD-C-1834-271.pdf#page=5","Abrir facsímil")</f>
        <v>Abrir facsímil</v>
      </c>
      <c r="K10697" s="10" t="s">
        <v>24</v>
      </c>
    </row>
    <row r="10698" spans="1:11" ht="54" customHeight="1">
      <c r="A10698" s="9" t="s">
        <v>22221</v>
      </c>
      <c r="B10698" s="9" t="s">
        <v>22221</v>
      </c>
      <c r="C10698" s="9" t="s">
        <v>46</v>
      </c>
      <c r="D10698" s="9" t="s">
        <v>101</v>
      </c>
      <c r="E10698" s="10" t="s">
        <v>2260</v>
      </c>
      <c r="F10698" s="9" t="s">
        <v>2263</v>
      </c>
      <c r="G10698" s="10" t="s">
        <v>176</v>
      </c>
      <c r="H10698" s="9" t="s">
        <v>22</v>
      </c>
      <c r="I10698" s="9" t="s">
        <v>22249</v>
      </c>
      <c r="J10698" s="10" t="str">
        <f>HYPERLINK("https://www.boe.es/gazeta/dias/1834/11/13/pdfs/GMD-C-1834-272.pdf#page=6","Abrir facsímil")</f>
        <v>Abrir facsímil</v>
      </c>
      <c r="K10698" s="10" t="s">
        <v>24</v>
      </c>
    </row>
    <row r="10699" spans="1:11" ht="54" customHeight="1">
      <c r="A10699" s="9" t="s">
        <v>22221</v>
      </c>
      <c r="B10699" s="9" t="s">
        <v>22221</v>
      </c>
      <c r="C10699" s="9" t="s">
        <v>17</v>
      </c>
      <c r="D10699" s="9" t="s">
        <v>18</v>
      </c>
      <c r="E10699" s="10" t="s">
        <v>1981</v>
      </c>
      <c r="F10699" s="9" t="s">
        <v>2471</v>
      </c>
      <c r="G10699" s="10" t="s">
        <v>75</v>
      </c>
      <c r="H10699" s="9" t="s">
        <v>22</v>
      </c>
      <c r="I10699" s="9" t="s">
        <v>22250</v>
      </c>
      <c r="J10699" s="10" t="str">
        <f>HYPERLINK("https://www.boe.es/gazeta/dias/1834/12/13/pdfs/GMD-C-1834-302.pdf#page=4","Abrir facsímil")</f>
        <v>Abrir facsímil</v>
      </c>
      <c r="K10699" s="10" t="s">
        <v>24</v>
      </c>
    </row>
    <row r="10700" spans="1:11" ht="54" customHeight="1">
      <c r="A10700" s="9" t="s">
        <v>22221</v>
      </c>
      <c r="B10700" s="9" t="s">
        <v>22221</v>
      </c>
      <c r="C10700" s="9" t="s">
        <v>17</v>
      </c>
      <c r="D10700" s="9" t="s">
        <v>18</v>
      </c>
      <c r="E10700" s="10" t="s">
        <v>222</v>
      </c>
      <c r="F10700" s="9" t="s">
        <v>223</v>
      </c>
      <c r="G10700" s="10" t="s">
        <v>21</v>
      </c>
      <c r="H10700" s="9" t="s">
        <v>22</v>
      </c>
      <c r="I10700" s="9" t="s">
        <v>22251</v>
      </c>
      <c r="J10700" s="10" t="str">
        <f>HYPERLINK("https://www.boe.es/gazeta/dias/1834/09/14/pdfs/GMD-1834-212.pdf#page=3","Abrir facsímil")</f>
        <v>Abrir facsímil</v>
      </c>
      <c r="K10700" s="10" t="s">
        <v>24</v>
      </c>
    </row>
    <row r="10701" spans="1:11" ht="54" customHeight="1">
      <c r="A10701" s="9" t="s">
        <v>22221</v>
      </c>
      <c r="B10701" s="9" t="s">
        <v>22221</v>
      </c>
      <c r="C10701" s="9" t="s">
        <v>17</v>
      </c>
      <c r="D10701" s="9" t="s">
        <v>18</v>
      </c>
      <c r="E10701" s="10" t="s">
        <v>222</v>
      </c>
      <c r="F10701" s="9" t="s">
        <v>4015</v>
      </c>
      <c r="G10701" s="10" t="s">
        <v>34</v>
      </c>
      <c r="H10701" s="9" t="s">
        <v>22</v>
      </c>
      <c r="I10701" s="9" t="s">
        <v>22252</v>
      </c>
      <c r="J10701" s="10" t="str">
        <f>HYPERLINK("https://www.boe.es/gazeta/dias/1834/09/14/pdfs/GMD-C-1834-212.pdf#page=1","Abrir facsímil")</f>
        <v>Abrir facsímil</v>
      </c>
      <c r="K10701" s="10" t="s">
        <v>24</v>
      </c>
    </row>
    <row r="10702" spans="1:11" ht="54" customHeight="1">
      <c r="A10702" s="9" t="s">
        <v>22221</v>
      </c>
      <c r="B10702" s="9" t="s">
        <v>22221</v>
      </c>
      <c r="C10702" s="9" t="s">
        <v>66</v>
      </c>
      <c r="D10702" s="9" t="s">
        <v>55</v>
      </c>
      <c r="E10702" s="10" t="s">
        <v>448</v>
      </c>
      <c r="F10702" s="9" t="s">
        <v>2058</v>
      </c>
      <c r="G10702" s="10" t="s">
        <v>86</v>
      </c>
      <c r="H10702" s="9" t="s">
        <v>22</v>
      </c>
      <c r="I10702" s="9" t="s">
        <v>22253</v>
      </c>
      <c r="J10702" s="10" t="str">
        <f>HYPERLINK("https://www.boe.es/gazeta/dias/1834/10/14/pdfs/GMD-1834-242.pdf#page=2","Abrir facsímil")</f>
        <v>Abrir facsímil</v>
      </c>
      <c r="K10702" s="10" t="s">
        <v>24</v>
      </c>
    </row>
    <row r="10703" spans="1:11" ht="54" customHeight="1">
      <c r="A10703" s="9" t="s">
        <v>22221</v>
      </c>
      <c r="B10703" s="9" t="s">
        <v>22221</v>
      </c>
      <c r="C10703" s="9" t="s">
        <v>17</v>
      </c>
      <c r="D10703" s="9" t="s">
        <v>18</v>
      </c>
      <c r="E10703" s="10" t="s">
        <v>1424</v>
      </c>
      <c r="F10703" s="9" t="s">
        <v>1425</v>
      </c>
      <c r="G10703" s="10" t="s">
        <v>28</v>
      </c>
      <c r="H10703" s="9" t="s">
        <v>22</v>
      </c>
      <c r="I10703" s="9" t="s">
        <v>22254</v>
      </c>
      <c r="J10703" s="10" t="str">
        <f>HYPERLINK("https://www.boe.es/gazeta/dias/1834/11/14/pdfs/GMD-C-1834-273.pdf#page=5","Abrir facsímil")</f>
        <v>Abrir facsímil</v>
      </c>
      <c r="K10703" s="10" t="s">
        <v>24</v>
      </c>
    </row>
    <row r="10704" spans="1:11" ht="54" customHeight="1">
      <c r="A10704" s="9" t="s">
        <v>22221</v>
      </c>
      <c r="B10704" s="9" t="s">
        <v>22221</v>
      </c>
      <c r="C10704" s="9" t="s">
        <v>17</v>
      </c>
      <c r="D10704" s="9" t="s">
        <v>18</v>
      </c>
      <c r="E10704" s="10" t="s">
        <v>237</v>
      </c>
      <c r="F10704" s="9" t="s">
        <v>238</v>
      </c>
      <c r="G10704" s="10" t="s">
        <v>86</v>
      </c>
      <c r="H10704" s="9" t="s">
        <v>22</v>
      </c>
      <c r="I10704" s="9" t="s">
        <v>22255</v>
      </c>
      <c r="J10704" s="10" t="str">
        <f>HYPERLINK("https://www.boe.es/gazeta/dias/1834/08/15/pdfs/GMD-C-1834-180.pdf#page=2","Abrir facsímil")</f>
        <v>Abrir facsímil</v>
      </c>
      <c r="K10704" s="10" t="s">
        <v>24</v>
      </c>
    </row>
    <row r="10705" spans="1:11" ht="54" customHeight="1">
      <c r="A10705" s="9" t="s">
        <v>22221</v>
      </c>
      <c r="B10705" s="9" t="s">
        <v>22221</v>
      </c>
      <c r="C10705" s="9" t="s">
        <v>17</v>
      </c>
      <c r="D10705" s="9" t="s">
        <v>18</v>
      </c>
      <c r="E10705" s="10" t="s">
        <v>237</v>
      </c>
      <c r="F10705" s="9" t="s">
        <v>238</v>
      </c>
      <c r="G10705" s="10" t="s">
        <v>75</v>
      </c>
      <c r="H10705" s="9" t="s">
        <v>22</v>
      </c>
      <c r="I10705" s="9" t="s">
        <v>22256</v>
      </c>
      <c r="J10705" s="10" t="str">
        <f>HYPERLINK("https://www.boe.es/gazeta/dias/1834/08/15/pdfs/GMD-C-1834-180.pdf#page=4","Abrir facsímil")</f>
        <v>Abrir facsímil</v>
      </c>
      <c r="K10705" s="10" t="s">
        <v>24</v>
      </c>
    </row>
    <row r="10706" spans="1:11" ht="54" customHeight="1">
      <c r="A10706" s="9" t="s">
        <v>22221</v>
      </c>
      <c r="B10706" s="9" t="s">
        <v>22221</v>
      </c>
      <c r="C10706" s="9" t="s">
        <v>17</v>
      </c>
      <c r="D10706" s="9" t="s">
        <v>18</v>
      </c>
      <c r="E10706" s="10" t="s">
        <v>928</v>
      </c>
      <c r="F10706" s="9" t="s">
        <v>3338</v>
      </c>
      <c r="G10706" s="10" t="s">
        <v>21</v>
      </c>
      <c r="H10706" s="9" t="s">
        <v>22</v>
      </c>
      <c r="I10706" s="9" t="s">
        <v>22257</v>
      </c>
      <c r="J10706" s="10" t="str">
        <f>HYPERLINK("https://www.boe.es/gazeta/dias/1834/11/15/pdfs/GMD-1834-274.pdf#page=3","Abrir facsímil")</f>
        <v>Abrir facsímil</v>
      </c>
      <c r="K10706" s="10" t="s">
        <v>24</v>
      </c>
    </row>
    <row r="10707" spans="1:11" ht="54" customHeight="1">
      <c r="A10707" s="9" t="s">
        <v>22221</v>
      </c>
      <c r="B10707" s="9" t="s">
        <v>22221</v>
      </c>
      <c r="C10707" s="9" t="s">
        <v>17</v>
      </c>
      <c r="D10707" s="9" t="s">
        <v>18</v>
      </c>
      <c r="E10707" s="10" t="s">
        <v>454</v>
      </c>
      <c r="F10707" s="9" t="s">
        <v>455</v>
      </c>
      <c r="G10707" s="10" t="s">
        <v>86</v>
      </c>
      <c r="H10707" s="9" t="s">
        <v>22</v>
      </c>
      <c r="I10707" s="9" t="s">
        <v>22258</v>
      </c>
      <c r="J10707" s="10" t="str">
        <f>HYPERLINK("https://www.boe.es/gazeta/dias/1834/10/16/pdfs/GMD-C-1834-244.pdf#page=2","Abrir facsímil")</f>
        <v>Abrir facsímil</v>
      </c>
      <c r="K10707" s="10" t="s">
        <v>24</v>
      </c>
    </row>
    <row r="10708" spans="1:11" ht="54" customHeight="1">
      <c r="A10708" s="9" t="s">
        <v>22221</v>
      </c>
      <c r="B10708" s="9" t="s">
        <v>22221</v>
      </c>
      <c r="C10708" s="9" t="s">
        <v>66</v>
      </c>
      <c r="D10708" s="9" t="s">
        <v>67</v>
      </c>
      <c r="E10708" s="10" t="s">
        <v>1195</v>
      </c>
      <c r="F10708" s="9" t="s">
        <v>1916</v>
      </c>
      <c r="G10708" s="10" t="s">
        <v>21</v>
      </c>
      <c r="H10708" s="9" t="s">
        <v>22</v>
      </c>
      <c r="I10708" s="9" t="s">
        <v>22259</v>
      </c>
      <c r="J10708" s="10" t="str">
        <f>HYPERLINK("https://www.boe.es/gazeta/dias/1834/10/17/pdfs/GMD-1834-245.pdf#page=3","Abrir facsímil")</f>
        <v>Abrir facsímil</v>
      </c>
      <c r="K10708" s="10" t="s">
        <v>24</v>
      </c>
    </row>
    <row r="10709" spans="1:11" ht="54" customHeight="1">
      <c r="A10709" s="9" t="s">
        <v>22221</v>
      </c>
      <c r="B10709" s="9" t="s">
        <v>22221</v>
      </c>
      <c r="C10709" s="9" t="s">
        <v>17</v>
      </c>
      <c r="D10709" s="9" t="s">
        <v>18</v>
      </c>
      <c r="E10709" s="10" t="s">
        <v>1195</v>
      </c>
      <c r="F10709" s="9" t="s">
        <v>1196</v>
      </c>
      <c r="G10709" s="10" t="s">
        <v>176</v>
      </c>
      <c r="H10709" s="9" t="s">
        <v>22</v>
      </c>
      <c r="I10709" s="9" t="s">
        <v>22260</v>
      </c>
      <c r="J10709" s="10" t="str">
        <f>HYPERLINK("https://www.boe.es/gazeta/dias/1834/10/17/pdfs/GMD-C-1834-245.pdf#page=6","Abrir facsímil")</f>
        <v>Abrir facsímil</v>
      </c>
      <c r="K10709" s="10" t="s">
        <v>24</v>
      </c>
    </row>
    <row r="10710" spans="1:11" ht="54" customHeight="1">
      <c r="A10710" s="9" t="s">
        <v>22221</v>
      </c>
      <c r="B10710" s="9" t="s">
        <v>22221</v>
      </c>
      <c r="C10710" s="9" t="s">
        <v>90</v>
      </c>
      <c r="D10710" s="9" t="s">
        <v>18</v>
      </c>
      <c r="E10710" s="10" t="s">
        <v>1195</v>
      </c>
      <c r="F10710" s="9" t="s">
        <v>1196</v>
      </c>
      <c r="G10710" s="10" t="s">
        <v>560</v>
      </c>
      <c r="H10710" s="9" t="s">
        <v>22</v>
      </c>
      <c r="I10710" s="9" t="s">
        <v>22261</v>
      </c>
      <c r="J10710" s="10" t="str">
        <f>HYPERLINK("https://www.boe.es/gazeta/dias/1834/10/17/pdfs/GMD-C-1834-245.pdf#page=7","Abrir facsímil")</f>
        <v>Abrir facsímil</v>
      </c>
      <c r="K10710" s="10" t="s">
        <v>24</v>
      </c>
    </row>
    <row r="10711" spans="1:11" ht="54" customHeight="1">
      <c r="A10711" s="9" t="s">
        <v>22221</v>
      </c>
      <c r="B10711" s="9" t="s">
        <v>22221</v>
      </c>
      <c r="C10711" s="9" t="s">
        <v>17</v>
      </c>
      <c r="D10711" s="9" t="s">
        <v>18</v>
      </c>
      <c r="E10711" s="10" t="s">
        <v>1195</v>
      </c>
      <c r="F10711" s="9" t="s">
        <v>1196</v>
      </c>
      <c r="G10711" s="10" t="s">
        <v>470</v>
      </c>
      <c r="H10711" s="9" t="s">
        <v>22</v>
      </c>
      <c r="I10711" s="9" t="s">
        <v>22262</v>
      </c>
      <c r="J10711" s="10" t="str">
        <f>HYPERLINK("https://www.boe.es/gazeta/dias/1834/10/17/pdfs/GMD-C-1834-245.pdf#page=8","Abrir facsímil")</f>
        <v>Abrir facsímil</v>
      </c>
      <c r="K10711" s="10" t="s">
        <v>24</v>
      </c>
    </row>
    <row r="10712" spans="1:11" ht="54" customHeight="1">
      <c r="A10712" s="9" t="s">
        <v>22221</v>
      </c>
      <c r="B10712" s="9" t="s">
        <v>22221</v>
      </c>
      <c r="C10712" s="9" t="s">
        <v>66</v>
      </c>
      <c r="D10712" s="9" t="s">
        <v>18</v>
      </c>
      <c r="E10712" s="10" t="s">
        <v>2278</v>
      </c>
      <c r="F10712" s="9" t="s">
        <v>3687</v>
      </c>
      <c r="G10712" s="10" t="s">
        <v>34</v>
      </c>
      <c r="H10712" s="9" t="s">
        <v>22</v>
      </c>
      <c r="I10712" s="9" t="s">
        <v>22263</v>
      </c>
      <c r="J10712" s="10" t="str">
        <f>HYPERLINK("https://www.boe.es/gazeta/dias/1834/12/17/pdfs/GMD-1834-307E.pdf#page=1","Abrir facsímil")</f>
        <v>Abrir facsímil</v>
      </c>
      <c r="K10712" s="10" t="s">
        <v>24</v>
      </c>
    </row>
    <row r="10713" spans="1:11" ht="54" customHeight="1">
      <c r="A10713" s="9" t="s">
        <v>22221</v>
      </c>
      <c r="B10713" s="9" t="s">
        <v>22221</v>
      </c>
      <c r="C10713" s="9" t="s">
        <v>17</v>
      </c>
      <c r="D10713" s="9" t="s">
        <v>18</v>
      </c>
      <c r="E10713" s="10" t="s">
        <v>3036</v>
      </c>
      <c r="F10713" s="9" t="s">
        <v>3037</v>
      </c>
      <c r="G10713" s="10" t="s">
        <v>86</v>
      </c>
      <c r="H10713" s="9" t="s">
        <v>22</v>
      </c>
      <c r="I10713" s="9" t="s">
        <v>22264</v>
      </c>
      <c r="J10713" s="10" t="str">
        <f>HYPERLINK("https://www.boe.es/gazeta/dias/1834/11/18/pdfs/GMD-C-1834-277.pdf#page=2","Abrir facsímil")</f>
        <v>Abrir facsímil</v>
      </c>
      <c r="K10713" s="10" t="s">
        <v>24</v>
      </c>
    </row>
    <row r="10714" spans="1:11" ht="54" customHeight="1">
      <c r="A10714" s="9" t="s">
        <v>22221</v>
      </c>
      <c r="B10714" s="9" t="s">
        <v>22221</v>
      </c>
      <c r="C10714" s="9" t="s">
        <v>17</v>
      </c>
      <c r="D10714" s="9" t="s">
        <v>18</v>
      </c>
      <c r="E10714" s="10" t="s">
        <v>3036</v>
      </c>
      <c r="F10714" s="9" t="s">
        <v>3037</v>
      </c>
      <c r="G10714" s="10" t="s">
        <v>75</v>
      </c>
      <c r="H10714" s="9" t="s">
        <v>22</v>
      </c>
      <c r="I10714" s="9" t="s">
        <v>22265</v>
      </c>
      <c r="J10714" s="10" t="str">
        <f>HYPERLINK("https://www.boe.es/gazeta/dias/1834/11/18/pdfs/GMD-C-1834-277.pdf#page=4","Abrir facsímil")</f>
        <v>Abrir facsímil</v>
      </c>
      <c r="K10714" s="10" t="s">
        <v>24</v>
      </c>
    </row>
    <row r="10715" spans="1:11" ht="54" customHeight="1">
      <c r="A10715" s="9" t="s">
        <v>22221</v>
      </c>
      <c r="B10715" s="9" t="s">
        <v>22221</v>
      </c>
      <c r="C10715" s="9" t="s">
        <v>17</v>
      </c>
      <c r="D10715" s="9" t="s">
        <v>18</v>
      </c>
      <c r="E10715" s="10" t="s">
        <v>3036</v>
      </c>
      <c r="F10715" s="9" t="s">
        <v>3037</v>
      </c>
      <c r="G10715" s="10" t="s">
        <v>28</v>
      </c>
      <c r="H10715" s="9" t="s">
        <v>22</v>
      </c>
      <c r="I10715" s="9" t="s">
        <v>22266</v>
      </c>
      <c r="J10715" s="10" t="str">
        <f>HYPERLINK("https://www.boe.es/gazeta/dias/1834/11/18/pdfs/GMD-C-1834-277.pdf#page=5","Abrir facsímil")</f>
        <v>Abrir facsímil</v>
      </c>
      <c r="K10715" s="10" t="s">
        <v>24</v>
      </c>
    </row>
    <row r="10716" spans="1:11" ht="54" customHeight="1">
      <c r="A10716" s="9" t="s">
        <v>22221</v>
      </c>
      <c r="B10716" s="9" t="s">
        <v>22221</v>
      </c>
      <c r="C10716" s="9" t="s">
        <v>66</v>
      </c>
      <c r="D10716" s="9" t="s">
        <v>18</v>
      </c>
      <c r="E10716" s="10" t="s">
        <v>2287</v>
      </c>
      <c r="F10716" s="9" t="s">
        <v>4741</v>
      </c>
      <c r="G10716" s="10" t="s">
        <v>21</v>
      </c>
      <c r="H10716" s="9" t="s">
        <v>22</v>
      </c>
      <c r="I10716" s="9" t="s">
        <v>22267</v>
      </c>
      <c r="J10716" s="10" t="str">
        <f>HYPERLINK("https://www.boe.es/gazeta/dias/1834/12/18/pdfs/GMD-1834-308.pdf#page=3","Abrir facsímil")</f>
        <v>Abrir facsímil</v>
      </c>
      <c r="K10716" s="10" t="s">
        <v>24</v>
      </c>
    </row>
    <row r="10717" spans="1:11" ht="54" customHeight="1">
      <c r="A10717" s="9" t="s">
        <v>22221</v>
      </c>
      <c r="B10717" s="9" t="s">
        <v>22221</v>
      </c>
      <c r="C10717" s="9" t="s">
        <v>17</v>
      </c>
      <c r="D10717" s="9" t="s">
        <v>18</v>
      </c>
      <c r="E10717" s="10" t="s">
        <v>2287</v>
      </c>
      <c r="F10717" s="9" t="s">
        <v>2288</v>
      </c>
      <c r="G10717" s="10" t="s">
        <v>176</v>
      </c>
      <c r="H10717" s="9" t="s">
        <v>22</v>
      </c>
      <c r="I10717" s="9" t="s">
        <v>22268</v>
      </c>
      <c r="J10717" s="10" t="str">
        <f>HYPERLINK("https://www.boe.es/gazeta/dias/1834/12/18/pdfs/GMD-C-1834-308.pdf#page=6","Abrir facsímil")</f>
        <v>Abrir facsímil</v>
      </c>
      <c r="K10717" s="10" t="s">
        <v>24</v>
      </c>
    </row>
    <row r="10718" spans="1:11" ht="54" customHeight="1">
      <c r="A10718" s="9" t="s">
        <v>22221</v>
      </c>
      <c r="B10718" s="9" t="s">
        <v>22221</v>
      </c>
      <c r="C10718" s="9" t="s">
        <v>66</v>
      </c>
      <c r="D10718" s="9" t="s">
        <v>67</v>
      </c>
      <c r="E10718" s="10" t="s">
        <v>265</v>
      </c>
      <c r="F10718" s="9" t="s">
        <v>969</v>
      </c>
      <c r="G10718" s="10" t="s">
        <v>21</v>
      </c>
      <c r="H10718" s="9" t="s">
        <v>22</v>
      </c>
      <c r="I10718" s="9" t="s">
        <v>22269</v>
      </c>
      <c r="J10718" s="10" t="str">
        <f>HYPERLINK("https://www.boe.es/gazeta/dias/1834/11/19/pdfs/GMD-1834-278.pdf#page=3","Abrir facsímil")</f>
        <v>Abrir facsímil</v>
      </c>
      <c r="K10718" s="10" t="s">
        <v>24</v>
      </c>
    </row>
    <row r="10719" spans="1:11" ht="54" customHeight="1">
      <c r="A10719" s="9" t="s">
        <v>22221</v>
      </c>
      <c r="B10719" s="9" t="s">
        <v>22221</v>
      </c>
      <c r="C10719" s="9" t="s">
        <v>66</v>
      </c>
      <c r="D10719" s="9" t="s">
        <v>18</v>
      </c>
      <c r="E10719" s="10" t="s">
        <v>4169</v>
      </c>
      <c r="F10719" s="9" t="s">
        <v>4170</v>
      </c>
      <c r="G10719" s="10" t="s">
        <v>21</v>
      </c>
      <c r="H10719" s="9" t="s">
        <v>22</v>
      </c>
      <c r="I10719" s="9" t="s">
        <v>22270</v>
      </c>
      <c r="J10719" s="10" t="str">
        <f>HYPERLINK("https://www.boe.es/gazeta/dias/1834/11/20/pdfs/GMD-1834-279.pdf#page=3","Abrir facsímil")</f>
        <v>Abrir facsímil</v>
      </c>
      <c r="K10719" s="10" t="s">
        <v>24</v>
      </c>
    </row>
    <row r="10720" spans="1:11" ht="54" customHeight="1">
      <c r="A10720" s="9" t="s">
        <v>22221</v>
      </c>
      <c r="B10720" s="9" t="s">
        <v>22221</v>
      </c>
      <c r="C10720" s="9" t="s">
        <v>17</v>
      </c>
      <c r="D10720" s="9" t="s">
        <v>18</v>
      </c>
      <c r="E10720" s="10" t="s">
        <v>1973</v>
      </c>
      <c r="F10720" s="9" t="s">
        <v>1974</v>
      </c>
      <c r="G10720" s="10" t="s">
        <v>34</v>
      </c>
      <c r="H10720" s="9" t="s">
        <v>22</v>
      </c>
      <c r="I10720" s="9" t="s">
        <v>22271</v>
      </c>
      <c r="J10720" s="10" t="str">
        <f>HYPERLINK("https://www.boe.es/gazeta/dias/1834/12/20/pdfs/GMD-C-1834-310.pdf#page=1","Abrir facsímil")</f>
        <v>Abrir facsímil</v>
      </c>
      <c r="K10720" s="10" t="s">
        <v>24</v>
      </c>
    </row>
    <row r="10721" spans="1:11" ht="54" customHeight="1">
      <c r="A10721" s="9" t="s">
        <v>22272</v>
      </c>
      <c r="B10721" s="9" t="s">
        <v>22272</v>
      </c>
      <c r="C10721" s="9" t="s">
        <v>17</v>
      </c>
      <c r="D10721" s="9" t="s">
        <v>18</v>
      </c>
      <c r="E10721" s="10" t="s">
        <v>627</v>
      </c>
      <c r="F10721" s="9" t="s">
        <v>628</v>
      </c>
      <c r="G10721" s="10" t="s">
        <v>75</v>
      </c>
      <c r="H10721" s="9" t="s">
        <v>22</v>
      </c>
      <c r="I10721" s="9" t="s">
        <v>22273</v>
      </c>
      <c r="J10721" s="10" t="str">
        <f>HYPERLINK("https://www.boe.es/gazeta/dias/1834/09/22/pdfs/GMD-C-1834-220.pdf#page=4","Abrir facsímil")</f>
        <v>Abrir facsímil</v>
      </c>
      <c r="K10721" s="10" t="s">
        <v>24</v>
      </c>
    </row>
    <row r="10722" spans="1:11" ht="54" customHeight="1">
      <c r="A10722" s="9" t="s">
        <v>22221</v>
      </c>
      <c r="B10722" s="9" t="s">
        <v>22221</v>
      </c>
      <c r="C10722" s="9" t="s">
        <v>17</v>
      </c>
      <c r="D10722" s="9" t="s">
        <v>18</v>
      </c>
      <c r="E10722" s="10" t="s">
        <v>627</v>
      </c>
      <c r="F10722" s="9" t="s">
        <v>628</v>
      </c>
      <c r="G10722" s="10" t="s">
        <v>28</v>
      </c>
      <c r="H10722" s="9" t="s">
        <v>22</v>
      </c>
      <c r="I10722" s="9" t="s">
        <v>22274</v>
      </c>
      <c r="J10722" s="10" t="str">
        <f>HYPERLINK("https://www.boe.es/gazeta/dias/1834/09/22/pdfs/GMD-C-1834-220.pdf#page=5","Abrir facsímil")</f>
        <v>Abrir facsímil</v>
      </c>
      <c r="K10722" s="10" t="s">
        <v>24</v>
      </c>
    </row>
    <row r="10723" spans="1:11" ht="54" customHeight="1">
      <c r="A10723" s="9" t="s">
        <v>22221</v>
      </c>
      <c r="B10723" s="9" t="s">
        <v>22221</v>
      </c>
      <c r="C10723" s="9" t="s">
        <v>46</v>
      </c>
      <c r="D10723" s="9" t="s">
        <v>101</v>
      </c>
      <c r="E10723" s="10" t="s">
        <v>576</v>
      </c>
      <c r="F10723" s="9" t="s">
        <v>5888</v>
      </c>
      <c r="G10723" s="10" t="s">
        <v>34</v>
      </c>
      <c r="H10723" s="9" t="s">
        <v>22</v>
      </c>
      <c r="I10723" s="9" t="s">
        <v>22275</v>
      </c>
      <c r="J10723" s="10" t="str">
        <f>HYPERLINK("https://www.boe.es/gazeta/dias/1834/09/23/pdfs/GMD-C-1834-221.pdf#page=1","Abrir facsímil")</f>
        <v>Abrir facsímil</v>
      </c>
      <c r="K10723" s="10" t="s">
        <v>24</v>
      </c>
    </row>
    <row r="10724" spans="1:11" ht="54" customHeight="1">
      <c r="A10724" s="9" t="s">
        <v>22221</v>
      </c>
      <c r="B10724" s="9" t="s">
        <v>22221</v>
      </c>
      <c r="C10724" s="9" t="s">
        <v>66</v>
      </c>
      <c r="D10724" s="9" t="s">
        <v>67</v>
      </c>
      <c r="E10724" s="10" t="s">
        <v>667</v>
      </c>
      <c r="F10724" s="9" t="s">
        <v>668</v>
      </c>
      <c r="G10724" s="10" t="s">
        <v>28</v>
      </c>
      <c r="H10724" s="9" t="s">
        <v>22</v>
      </c>
      <c r="I10724" s="9" t="s">
        <v>22276</v>
      </c>
      <c r="J10724" s="10" t="str">
        <f>HYPERLINK("https://www.boe.es/gazeta/dias/1834/11/23/pdfs/GMD-C-1834-282.pdf#page=5","Abrir facsímil")</f>
        <v>Abrir facsímil</v>
      </c>
      <c r="K10724" s="10" t="s">
        <v>24</v>
      </c>
    </row>
    <row r="10725" spans="1:11" ht="54" customHeight="1">
      <c r="A10725" s="9" t="s">
        <v>22221</v>
      </c>
      <c r="B10725" s="9" t="s">
        <v>22221</v>
      </c>
      <c r="C10725" s="9" t="s">
        <v>17</v>
      </c>
      <c r="D10725" s="9" t="s">
        <v>18</v>
      </c>
      <c r="E10725" s="10" t="s">
        <v>378</v>
      </c>
      <c r="F10725" s="9" t="s">
        <v>888</v>
      </c>
      <c r="G10725" s="10" t="s">
        <v>28</v>
      </c>
      <c r="H10725" s="9" t="s">
        <v>22</v>
      </c>
      <c r="I10725" s="9" t="s">
        <v>22277</v>
      </c>
      <c r="J10725" s="10" t="str">
        <f>HYPERLINK("https://www.boe.es/gazeta/dias/1834/09/24/pdfs/GMD-C-1834-222.pdf#page=5","Abrir facsímil")</f>
        <v>Abrir facsímil</v>
      </c>
      <c r="K10725" s="10" t="s">
        <v>24</v>
      </c>
    </row>
    <row r="10726" spans="1:11" ht="54" customHeight="1">
      <c r="A10726" s="9" t="s">
        <v>22221</v>
      </c>
      <c r="B10726" s="9" t="s">
        <v>22221</v>
      </c>
      <c r="C10726" s="9" t="s">
        <v>17</v>
      </c>
      <c r="D10726" s="9" t="s">
        <v>18</v>
      </c>
      <c r="E10726" s="10" t="s">
        <v>378</v>
      </c>
      <c r="F10726" s="9" t="s">
        <v>888</v>
      </c>
      <c r="G10726" s="10" t="s">
        <v>176</v>
      </c>
      <c r="H10726" s="9" t="s">
        <v>22</v>
      </c>
      <c r="I10726" s="9" t="s">
        <v>22278</v>
      </c>
      <c r="J10726" s="10" t="str">
        <f>HYPERLINK("https://www.boe.es/gazeta/dias/1834/09/24/pdfs/GMD-C-1834-222.pdf#page=6","Abrir facsímil")</f>
        <v>Abrir facsímil</v>
      </c>
      <c r="K10726" s="10" t="s">
        <v>24</v>
      </c>
    </row>
    <row r="10727" spans="1:11" ht="54" customHeight="1">
      <c r="A10727" s="9" t="s">
        <v>22221</v>
      </c>
      <c r="B10727" s="9" t="s">
        <v>22221</v>
      </c>
      <c r="C10727" s="9" t="s">
        <v>46</v>
      </c>
      <c r="D10727" s="9" t="s">
        <v>101</v>
      </c>
      <c r="E10727" s="10" t="s">
        <v>403</v>
      </c>
      <c r="F10727" s="9" t="s">
        <v>404</v>
      </c>
      <c r="G10727" s="10" t="s">
        <v>34</v>
      </c>
      <c r="H10727" s="9" t="s">
        <v>22</v>
      </c>
      <c r="I10727" s="9" t="s">
        <v>22279</v>
      </c>
      <c r="J10727" s="10" t="str">
        <f>HYPERLINK("https://www.boe.es/gazeta/dias/1834/09/25/pdfs/GMD-C-1834-223.pdf#page=1","Abrir facsímil")</f>
        <v>Abrir facsímil</v>
      </c>
      <c r="K10727" s="10" t="s">
        <v>24</v>
      </c>
    </row>
    <row r="10728" spans="1:11" ht="54" customHeight="1">
      <c r="A10728" s="9" t="s">
        <v>22221</v>
      </c>
      <c r="B10728" s="9" t="s">
        <v>22221</v>
      </c>
      <c r="C10728" s="9" t="s">
        <v>17</v>
      </c>
      <c r="D10728" s="9" t="s">
        <v>18</v>
      </c>
      <c r="E10728" s="10" t="s">
        <v>1135</v>
      </c>
      <c r="F10728" s="9" t="s">
        <v>1566</v>
      </c>
      <c r="G10728" s="10" t="s">
        <v>34</v>
      </c>
      <c r="H10728" s="9" t="s">
        <v>22</v>
      </c>
      <c r="I10728" s="9" t="s">
        <v>22280</v>
      </c>
      <c r="J10728" s="10" t="str">
        <f>HYPERLINK("https://www.boe.es/gazeta/dias/1834/08/26/pdfs/GMD-C-1834-192.pdf#page=1","Abrir facsímil")</f>
        <v>Abrir facsímil</v>
      </c>
      <c r="K10728" s="10" t="s">
        <v>24</v>
      </c>
    </row>
    <row r="10729" spans="1:11" ht="54" customHeight="1">
      <c r="A10729" s="9" t="s">
        <v>22221</v>
      </c>
      <c r="B10729" s="9" t="s">
        <v>22221</v>
      </c>
      <c r="C10729" s="9" t="s">
        <v>17</v>
      </c>
      <c r="D10729" s="9" t="s">
        <v>18</v>
      </c>
      <c r="E10729" s="10" t="s">
        <v>465</v>
      </c>
      <c r="F10729" s="9" t="s">
        <v>466</v>
      </c>
      <c r="G10729" s="10" t="s">
        <v>28</v>
      </c>
      <c r="H10729" s="9" t="s">
        <v>22</v>
      </c>
      <c r="I10729" s="9" t="s">
        <v>22281</v>
      </c>
      <c r="J10729" s="10" t="str">
        <f>HYPERLINK("https://www.boe.es/gazeta/dias/1834/11/27/pdfs/GMD-C-1834-286.pdf#page=5","Abrir facsímil")</f>
        <v>Abrir facsímil</v>
      </c>
      <c r="K10729" s="10" t="s">
        <v>24</v>
      </c>
    </row>
    <row r="10730" spans="1:11" ht="54" customHeight="1">
      <c r="A10730" s="9" t="s">
        <v>22221</v>
      </c>
      <c r="B10730" s="9" t="s">
        <v>22221</v>
      </c>
      <c r="C10730" s="9" t="s">
        <v>17</v>
      </c>
      <c r="D10730" s="9" t="s">
        <v>18</v>
      </c>
      <c r="E10730" s="10" t="s">
        <v>2142</v>
      </c>
      <c r="F10730" s="9" t="s">
        <v>2316</v>
      </c>
      <c r="G10730" s="10" t="s">
        <v>86</v>
      </c>
      <c r="H10730" s="9" t="s">
        <v>22</v>
      </c>
      <c r="I10730" s="9" t="s">
        <v>22282</v>
      </c>
      <c r="J10730" s="10" t="str">
        <f>HYPERLINK("https://www.boe.es/gazeta/dias/1834/12/27/pdfs/GMD-C-1834-317.pdf#page=2","Abrir facsímil")</f>
        <v>Abrir facsímil</v>
      </c>
      <c r="K10730" s="10" t="s">
        <v>24</v>
      </c>
    </row>
    <row r="10731" spans="1:11" ht="54" customHeight="1">
      <c r="A10731" s="9" t="s">
        <v>22221</v>
      </c>
      <c r="B10731" s="9" t="s">
        <v>22221</v>
      </c>
      <c r="C10731" s="9" t="s">
        <v>17</v>
      </c>
      <c r="D10731" s="9" t="s">
        <v>18</v>
      </c>
      <c r="E10731" s="10" t="s">
        <v>280</v>
      </c>
      <c r="F10731" s="9" t="s">
        <v>281</v>
      </c>
      <c r="G10731" s="10" t="s">
        <v>28</v>
      </c>
      <c r="H10731" s="9" t="s">
        <v>22</v>
      </c>
      <c r="I10731" s="9" t="s">
        <v>22283</v>
      </c>
      <c r="J10731" s="10" t="str">
        <f>HYPERLINK("https://www.boe.es/gazeta/dias/1834/08/29/pdfs/GMD-C-1834-195.pdf#page=5","Abrir facsímil")</f>
        <v>Abrir facsímil</v>
      </c>
      <c r="K10731" s="10" t="s">
        <v>24</v>
      </c>
    </row>
    <row r="10732" spans="1:11" ht="54" customHeight="1">
      <c r="A10732" s="9" t="s">
        <v>22221</v>
      </c>
      <c r="B10732" s="9" t="s">
        <v>22221</v>
      </c>
      <c r="C10732" s="9" t="s">
        <v>66</v>
      </c>
      <c r="D10732" s="9" t="s">
        <v>67</v>
      </c>
      <c r="E10732" s="10" t="s">
        <v>280</v>
      </c>
      <c r="F10732" s="9" t="s">
        <v>281</v>
      </c>
      <c r="G10732" s="10" t="s">
        <v>176</v>
      </c>
      <c r="H10732" s="9" t="s">
        <v>22</v>
      </c>
      <c r="I10732" s="9" t="s">
        <v>22284</v>
      </c>
      <c r="J10732" s="10" t="str">
        <f>HYPERLINK("https://www.boe.es/gazeta/dias/1834/08/29/pdfs/GMD-C-1834-195.pdf#page=6","Abrir facsímil")</f>
        <v>Abrir facsímil</v>
      </c>
      <c r="K10732" s="10" t="s">
        <v>24</v>
      </c>
    </row>
    <row r="10733" spans="1:11" ht="54" customHeight="1">
      <c r="A10733" s="9" t="s">
        <v>22221</v>
      </c>
      <c r="B10733" s="9" t="s">
        <v>22221</v>
      </c>
      <c r="C10733" s="9" t="s">
        <v>17</v>
      </c>
      <c r="D10733" s="9" t="s">
        <v>40</v>
      </c>
      <c r="E10733" s="10" t="s">
        <v>777</v>
      </c>
      <c r="F10733" s="9" t="s">
        <v>2535</v>
      </c>
      <c r="G10733" s="10" t="s">
        <v>86</v>
      </c>
      <c r="H10733" s="9" t="s">
        <v>22</v>
      </c>
      <c r="I10733" s="9" t="s">
        <v>22285</v>
      </c>
      <c r="J10733" s="10" t="str">
        <f>HYPERLINK("https://www.boe.es/gazeta/dias/1834/10/29/pdfs/GMD-C-1834-257.pdf#page=2","Abrir facsímil")</f>
        <v>Abrir facsímil</v>
      </c>
      <c r="K10733" s="10" t="s">
        <v>24</v>
      </c>
    </row>
    <row r="10734" spans="1:11" ht="54" customHeight="1">
      <c r="A10734" s="9" t="s">
        <v>22221</v>
      </c>
      <c r="B10734" s="9" t="s">
        <v>22221</v>
      </c>
      <c r="C10734" s="9" t="s">
        <v>90</v>
      </c>
      <c r="D10734" s="9" t="s">
        <v>18</v>
      </c>
      <c r="E10734" s="10" t="s">
        <v>552</v>
      </c>
      <c r="F10734" s="9" t="s">
        <v>1478</v>
      </c>
      <c r="G10734" s="10" t="s">
        <v>34</v>
      </c>
      <c r="H10734" s="9" t="s">
        <v>22</v>
      </c>
      <c r="I10734" s="9" t="s">
        <v>22286</v>
      </c>
      <c r="J10734" s="10" t="str">
        <f>HYPERLINK("https://www.boe.es/gazeta/dias/1834/07/30/pdfs/GMD-C-1834-163.pdf#page=1","Abrir facsímil")</f>
        <v>Abrir facsímil</v>
      </c>
      <c r="K10734" s="10" t="s">
        <v>24</v>
      </c>
    </row>
    <row r="10735" spans="1:11" ht="54" customHeight="1">
      <c r="A10735" s="9" t="s">
        <v>22221</v>
      </c>
      <c r="B10735" s="9" t="s">
        <v>22221</v>
      </c>
      <c r="C10735" s="9" t="s">
        <v>66</v>
      </c>
      <c r="D10735" s="9" t="s">
        <v>40</v>
      </c>
      <c r="E10735" s="10" t="s">
        <v>590</v>
      </c>
      <c r="F10735" s="9" t="s">
        <v>591</v>
      </c>
      <c r="G10735" s="10" t="s">
        <v>75</v>
      </c>
      <c r="H10735" s="9" t="s">
        <v>22</v>
      </c>
      <c r="I10735" s="9" t="s">
        <v>22287</v>
      </c>
      <c r="J10735" s="10" t="str">
        <f>HYPERLINK("https://www.boe.es/gazeta/dias/1834/11/30/pdfs/GMD-1834-289.pdf#page=4","Abrir facsímil")</f>
        <v>Abrir facsímil</v>
      </c>
      <c r="K10735" s="10" t="s">
        <v>24</v>
      </c>
    </row>
    <row r="10736" spans="1:11" ht="54" customHeight="1">
      <c r="A10736" s="9" t="s">
        <v>22221</v>
      </c>
      <c r="B10736" s="9" t="s">
        <v>22221</v>
      </c>
      <c r="C10736" s="9" t="s">
        <v>46</v>
      </c>
      <c r="D10736" s="9" t="s">
        <v>101</v>
      </c>
      <c r="E10736" s="10" t="s">
        <v>273</v>
      </c>
      <c r="F10736" s="9" t="s">
        <v>274</v>
      </c>
      <c r="G10736" s="10" t="s">
        <v>75</v>
      </c>
      <c r="H10736" s="9" t="s">
        <v>22</v>
      </c>
      <c r="I10736" s="9" t="s">
        <v>22288</v>
      </c>
      <c r="J10736" s="10" t="str">
        <f>HYPERLINK("https://www.boe.es/gazeta/dias/1834/08/31/pdfs/GMD-D-1834-198.pdf#page=4","Abrir facsímil")</f>
        <v>Abrir facsímil</v>
      </c>
      <c r="K10736" s="10" t="s">
        <v>24</v>
      </c>
    </row>
    <row r="10737" spans="1:11" ht="54" customHeight="1">
      <c r="A10737" s="9" t="s">
        <v>22289</v>
      </c>
      <c r="B10737" s="9" t="s">
        <v>22290</v>
      </c>
      <c r="C10737" s="9" t="s">
        <v>17</v>
      </c>
      <c r="D10737" s="9" t="s">
        <v>18</v>
      </c>
      <c r="E10737" s="10" t="s">
        <v>3471</v>
      </c>
      <c r="F10737" s="9" t="s">
        <v>3472</v>
      </c>
      <c r="G10737" s="10" t="s">
        <v>21</v>
      </c>
      <c r="H10737" s="9" t="s">
        <v>22</v>
      </c>
      <c r="I10737" s="9" t="s">
        <v>22291</v>
      </c>
      <c r="J10737" s="10" t="str">
        <f>HYPERLINK("https://www.boe.es/gazeta/dias/1834/07/07/pdfs/GMD-1834-140.pdf#page=3","Abrir facsímil")</f>
        <v>Abrir facsímil</v>
      </c>
      <c r="K10737" s="10" t="s">
        <v>24</v>
      </c>
    </row>
    <row r="10738" spans="1:11" ht="54" customHeight="1">
      <c r="A10738" s="9" t="s">
        <v>22292</v>
      </c>
      <c r="B10738" s="9" t="s">
        <v>22293</v>
      </c>
      <c r="C10738" s="9" t="s">
        <v>17</v>
      </c>
      <c r="D10738" s="9" t="s">
        <v>18</v>
      </c>
      <c r="E10738" s="10" t="s">
        <v>73</v>
      </c>
      <c r="F10738" s="9" t="s">
        <v>74</v>
      </c>
      <c r="G10738" s="10" t="s">
        <v>75</v>
      </c>
      <c r="H10738" s="9" t="s">
        <v>22</v>
      </c>
      <c r="I10738" s="9" t="s">
        <v>22294</v>
      </c>
      <c r="J10738" s="10" t="str">
        <f>HYPERLINK("https://www.boe.es/gazeta/dias/1834/11/04/pdfs/GMD-1834-263.pdf#page=4","Abrir facsímil")</f>
        <v>Abrir facsímil</v>
      </c>
      <c r="K10738" s="10" t="s">
        <v>24</v>
      </c>
    </row>
    <row r="10739" spans="1:11" ht="54" customHeight="1">
      <c r="A10739" s="9" t="s">
        <v>22295</v>
      </c>
      <c r="B10739" s="9" t="s">
        <v>22296</v>
      </c>
      <c r="C10739" s="9" t="s">
        <v>17</v>
      </c>
      <c r="D10739" s="9" t="s">
        <v>55</v>
      </c>
      <c r="E10739" s="10" t="s">
        <v>47</v>
      </c>
      <c r="F10739" s="9" t="s">
        <v>1466</v>
      </c>
      <c r="G10739" s="10" t="s">
        <v>34</v>
      </c>
      <c r="H10739" s="9" t="s">
        <v>22</v>
      </c>
      <c r="I10739" s="9" t="s">
        <v>22297</v>
      </c>
      <c r="J10739" s="10" t="str">
        <f>HYPERLINK("https://www.boe.es/gazeta/dias/1834/09/05/pdfs/GMD-1834-203.pdf#page=1","Abrir facsímil")</f>
        <v>Abrir facsímil</v>
      </c>
      <c r="K10739" s="10" t="s">
        <v>24</v>
      </c>
    </row>
    <row r="10740" spans="1:11" ht="54" customHeight="1">
      <c r="A10740" s="9" t="s">
        <v>22295</v>
      </c>
      <c r="B10740" s="9" t="s">
        <v>22296</v>
      </c>
      <c r="C10740" s="9" t="s">
        <v>17</v>
      </c>
      <c r="D10740" s="9" t="s">
        <v>18</v>
      </c>
      <c r="E10740" s="10" t="s">
        <v>2260</v>
      </c>
      <c r="F10740" s="9" t="s">
        <v>2261</v>
      </c>
      <c r="G10740" s="10" t="s">
        <v>86</v>
      </c>
      <c r="H10740" s="9" t="s">
        <v>22</v>
      </c>
      <c r="I10740" s="9" t="s">
        <v>22298</v>
      </c>
      <c r="J10740" s="10" t="str">
        <f>HYPERLINK("https://www.boe.es/gazeta/dias/1834/11/13/pdfs/GMD-1834-272.pdf#page=2","Abrir facsímil")</f>
        <v>Abrir facsímil</v>
      </c>
      <c r="K10740" s="10" t="s">
        <v>24</v>
      </c>
    </row>
    <row r="10741" spans="1:11" ht="54" customHeight="1">
      <c r="A10741" s="9" t="s">
        <v>22299</v>
      </c>
      <c r="B10741" s="9" t="s">
        <v>22300</v>
      </c>
      <c r="C10741" s="9" t="s">
        <v>46</v>
      </c>
      <c r="D10741" s="9" t="s">
        <v>101</v>
      </c>
      <c r="E10741" s="10" t="s">
        <v>19</v>
      </c>
      <c r="F10741" s="9" t="s">
        <v>107</v>
      </c>
      <c r="G10741" s="10" t="s">
        <v>75</v>
      </c>
      <c r="H10741" s="9" t="s">
        <v>22</v>
      </c>
      <c r="I10741" s="9" t="s">
        <v>22301</v>
      </c>
      <c r="J10741" s="10" t="str">
        <f>HYPERLINK("https://www.boe.es/gazeta/dias/1834/08/17/pdfs/GMD-1834-182.pdf#page=4","Abrir facsímil")</f>
        <v>Abrir facsímil</v>
      </c>
      <c r="K10741" s="10" t="s">
        <v>24</v>
      </c>
    </row>
    <row r="10742" spans="1:11" ht="54" customHeight="1">
      <c r="A10742" s="9" t="s">
        <v>22302</v>
      </c>
      <c r="B10742" s="9" t="s">
        <v>22303</v>
      </c>
      <c r="C10742" s="9" t="s">
        <v>17</v>
      </c>
      <c r="D10742" s="9" t="s">
        <v>18</v>
      </c>
      <c r="E10742" s="10" t="s">
        <v>1438</v>
      </c>
      <c r="F10742" s="9" t="s">
        <v>1439</v>
      </c>
      <c r="G10742" s="10" t="s">
        <v>21</v>
      </c>
      <c r="H10742" s="9" t="s">
        <v>22</v>
      </c>
      <c r="I10742" s="9" t="s">
        <v>22304</v>
      </c>
      <c r="J10742" s="10" t="str">
        <f>HYPERLINK("https://www.boe.es/gazeta/dias/1834/05/13/pdfs/GMD-1834-82.pdf#page=3","Abrir facsímil")</f>
        <v>Abrir facsímil</v>
      </c>
      <c r="K10742" s="10" t="s">
        <v>24</v>
      </c>
    </row>
    <row r="10743" spans="1:11" ht="54" customHeight="1">
      <c r="A10743" s="9" t="s">
        <v>22305</v>
      </c>
      <c r="B10743" s="9" t="s">
        <v>22306</v>
      </c>
      <c r="C10743" s="9" t="s">
        <v>17</v>
      </c>
      <c r="D10743" s="9" t="s">
        <v>55</v>
      </c>
      <c r="E10743" s="10" t="s">
        <v>47</v>
      </c>
      <c r="F10743" s="9" t="s">
        <v>1466</v>
      </c>
      <c r="G10743" s="10" t="s">
        <v>34</v>
      </c>
      <c r="H10743" s="9" t="s">
        <v>35</v>
      </c>
      <c r="I10743" s="9" t="s">
        <v>22307</v>
      </c>
      <c r="J10743" s="10" t="str">
        <f>HYPERLINK("https://www.boe.es/gazeta/dias/1834/09/05/pdfs/GMD-1834-203.pdf#page=1","Abrir facsímil")</f>
        <v>Abrir facsímil</v>
      </c>
      <c r="K10743" s="10" t="s">
        <v>37</v>
      </c>
    </row>
    <row r="10744" spans="1:11" ht="54" customHeight="1">
      <c r="A10744" s="9" t="s">
        <v>22305</v>
      </c>
      <c r="B10744" s="9" t="s">
        <v>22306</v>
      </c>
      <c r="C10744" s="9" t="s">
        <v>17</v>
      </c>
      <c r="D10744" s="9" t="s">
        <v>18</v>
      </c>
      <c r="E10744" s="10" t="s">
        <v>2260</v>
      </c>
      <c r="F10744" s="9" t="s">
        <v>2261</v>
      </c>
      <c r="G10744" s="10" t="s">
        <v>86</v>
      </c>
      <c r="H10744" s="9" t="s">
        <v>35</v>
      </c>
      <c r="I10744" s="9" t="s">
        <v>22308</v>
      </c>
      <c r="J10744" s="10" t="str">
        <f>HYPERLINK("https://www.boe.es/gazeta/dias/1834/11/13/pdfs/GMD-1834-272.pdf#page=2","Abrir facsímil")</f>
        <v>Abrir facsímil</v>
      </c>
      <c r="K10744" s="10" t="s">
        <v>37</v>
      </c>
    </row>
    <row r="10745" spans="1:11" ht="54" customHeight="1">
      <c r="A10745" s="9" t="s">
        <v>22309</v>
      </c>
      <c r="B10745" s="9" t="s">
        <v>22310</v>
      </c>
      <c r="C10745" s="9" t="s">
        <v>66</v>
      </c>
      <c r="D10745" s="9" t="s">
        <v>67</v>
      </c>
      <c r="E10745" s="10" t="s">
        <v>642</v>
      </c>
      <c r="F10745" s="9" t="s">
        <v>1843</v>
      </c>
      <c r="G10745" s="10" t="s">
        <v>21</v>
      </c>
      <c r="H10745" s="9" t="s">
        <v>35</v>
      </c>
      <c r="I10745" s="9" t="s">
        <v>22311</v>
      </c>
      <c r="J10745" s="10" t="str">
        <f>HYPERLINK("https://www.boe.es/gazeta/dias/1834/11/12/pdfs/GMD-1834-271.pdf#page=3","Abrir facsímil")</f>
        <v>Abrir facsímil</v>
      </c>
      <c r="K10745" s="10" t="s">
        <v>37</v>
      </c>
    </row>
    <row r="10746" spans="1:11" ht="54" customHeight="1">
      <c r="A10746" s="9" t="s">
        <v>22309</v>
      </c>
      <c r="B10746" s="9" t="s">
        <v>22310</v>
      </c>
      <c r="C10746" s="9" t="s">
        <v>17</v>
      </c>
      <c r="D10746" s="9" t="s">
        <v>55</v>
      </c>
      <c r="E10746" s="10" t="s">
        <v>222</v>
      </c>
      <c r="F10746" s="9" t="s">
        <v>223</v>
      </c>
      <c r="G10746" s="10" t="s">
        <v>86</v>
      </c>
      <c r="H10746" s="9" t="s">
        <v>35</v>
      </c>
      <c r="I10746" s="9" t="s">
        <v>22312</v>
      </c>
      <c r="J10746" s="10" t="str">
        <f>HYPERLINK("https://www.boe.es/gazeta/dias/1834/09/14/pdfs/GMD-1834-212.pdf#page=2","Abrir facsímil")</f>
        <v>Abrir facsímil</v>
      </c>
      <c r="K10746" s="10" t="s">
        <v>37</v>
      </c>
    </row>
    <row r="10747" spans="1:11" ht="54" customHeight="1">
      <c r="A10747" s="9" t="s">
        <v>22309</v>
      </c>
      <c r="B10747" s="9" t="s">
        <v>22310</v>
      </c>
      <c r="C10747" s="9" t="s">
        <v>66</v>
      </c>
      <c r="D10747" s="9" t="s">
        <v>67</v>
      </c>
      <c r="E10747" s="10" t="s">
        <v>222</v>
      </c>
      <c r="F10747" s="9" t="s">
        <v>223</v>
      </c>
      <c r="G10747" s="10" t="s">
        <v>21</v>
      </c>
      <c r="H10747" s="9" t="s">
        <v>35</v>
      </c>
      <c r="I10747" s="9" t="s">
        <v>22313</v>
      </c>
      <c r="J10747" s="10" t="str">
        <f>HYPERLINK("https://www.boe.es/gazeta/dias/1834/09/14/pdfs/GMD-1834-212.pdf#page=3","Abrir facsímil")</f>
        <v>Abrir facsímil</v>
      </c>
      <c r="K10747" s="10" t="s">
        <v>37</v>
      </c>
    </row>
    <row r="10748" spans="1:11" ht="54" customHeight="1">
      <c r="A10748" s="9" t="s">
        <v>22314</v>
      </c>
      <c r="B10748" s="9" t="s">
        <v>22315</v>
      </c>
      <c r="C10748" s="9" t="s">
        <v>17</v>
      </c>
      <c r="D10748" s="9" t="s">
        <v>18</v>
      </c>
      <c r="E10748" s="10" t="s">
        <v>860</v>
      </c>
      <c r="F10748" s="9" t="s">
        <v>861</v>
      </c>
      <c r="G10748" s="10" t="s">
        <v>176</v>
      </c>
      <c r="H10748" s="9" t="s">
        <v>22</v>
      </c>
      <c r="I10748" s="9" t="s">
        <v>22316</v>
      </c>
      <c r="J10748" s="10" t="str">
        <f>HYPERLINK("https://www.boe.es/gazeta/dias/1834/02/08/pdfs/GMD-1834-18.pdf#page=6","Abrir facsímil")</f>
        <v>Abrir facsímil</v>
      </c>
      <c r="K10748" s="10" t="s">
        <v>24</v>
      </c>
    </row>
    <row r="10749" spans="1:11" ht="54" customHeight="1">
      <c r="A10749" s="9" t="s">
        <v>22317</v>
      </c>
      <c r="B10749" s="9" t="s">
        <v>22318</v>
      </c>
      <c r="C10749" s="9" t="s">
        <v>17</v>
      </c>
      <c r="D10749" s="9" t="s">
        <v>18</v>
      </c>
      <c r="E10749" s="10" t="s">
        <v>222</v>
      </c>
      <c r="F10749" s="9" t="s">
        <v>223</v>
      </c>
      <c r="G10749" s="10" t="s">
        <v>21</v>
      </c>
      <c r="H10749" s="9" t="s">
        <v>22</v>
      </c>
      <c r="I10749" s="9" t="s">
        <v>22319</v>
      </c>
      <c r="J10749" s="10" t="str">
        <f>HYPERLINK("https://www.boe.es/gazeta/dias/1834/09/14/pdfs/GMD-1834-212.pdf#page=3","Abrir facsímil")</f>
        <v>Abrir facsímil</v>
      </c>
      <c r="K10749" s="10" t="s">
        <v>24</v>
      </c>
    </row>
    <row r="10750" spans="1:11" ht="54" customHeight="1">
      <c r="A10750" s="9" t="s">
        <v>22320</v>
      </c>
      <c r="B10750" s="9" t="s">
        <v>22321</v>
      </c>
      <c r="C10750" s="9" t="s">
        <v>17</v>
      </c>
      <c r="D10750" s="9" t="s">
        <v>18</v>
      </c>
      <c r="E10750" s="10" t="s">
        <v>863</v>
      </c>
      <c r="F10750" s="9" t="s">
        <v>864</v>
      </c>
      <c r="G10750" s="10" t="s">
        <v>75</v>
      </c>
      <c r="H10750" s="9" t="s">
        <v>22</v>
      </c>
      <c r="I10750" s="9" t="s">
        <v>22322</v>
      </c>
      <c r="J10750" s="10" t="str">
        <f>HYPERLINK("https://www.boe.es/gazeta/dias/1834/09/15/pdfs/GMD-1834-213.pdf#page=4","Abrir facsímil")</f>
        <v>Abrir facsímil</v>
      </c>
      <c r="K10750" s="10" t="s">
        <v>24</v>
      </c>
    </row>
    <row r="10751" spans="1:11" ht="54" customHeight="1">
      <c r="A10751" s="9" t="s">
        <v>22323</v>
      </c>
      <c r="B10751" s="9" t="s">
        <v>22324</v>
      </c>
      <c r="C10751" s="9" t="s">
        <v>17</v>
      </c>
      <c r="D10751" s="9" t="s">
        <v>18</v>
      </c>
      <c r="E10751" s="10" t="s">
        <v>1517</v>
      </c>
      <c r="F10751" s="9" t="s">
        <v>1518</v>
      </c>
      <c r="G10751" s="10" t="s">
        <v>75</v>
      </c>
      <c r="H10751" s="9" t="s">
        <v>22</v>
      </c>
      <c r="I10751" s="9" t="s">
        <v>22325</v>
      </c>
      <c r="J10751" s="10" t="str">
        <f>HYPERLINK("https://www.boe.es/gazeta/dias/1834/05/18/pdfs/GMD-1834-87.pdf#page=4","Abrir facsímil")</f>
        <v>Abrir facsímil</v>
      </c>
      <c r="K10751" s="10" t="s">
        <v>24</v>
      </c>
    </row>
    <row r="10752" spans="1:11" ht="54" customHeight="1">
      <c r="A10752" s="9" t="s">
        <v>22326</v>
      </c>
      <c r="B10752" s="9" t="s">
        <v>22327</v>
      </c>
      <c r="C10752" s="9" t="s">
        <v>17</v>
      </c>
      <c r="D10752" s="9" t="s">
        <v>18</v>
      </c>
      <c r="E10752" s="10" t="s">
        <v>416</v>
      </c>
      <c r="F10752" s="9" t="s">
        <v>1130</v>
      </c>
      <c r="G10752" s="10" t="s">
        <v>21</v>
      </c>
      <c r="H10752" s="9" t="s">
        <v>22</v>
      </c>
      <c r="I10752" s="9" t="s">
        <v>22328</v>
      </c>
      <c r="J10752" s="10" t="str">
        <f>HYPERLINK("https://www.boe.es/gazeta/dias/1834/10/02/pdfs/GMD-1834-230.pdf#page=3","Abrir facsímil")</f>
        <v>Abrir facsímil</v>
      </c>
      <c r="K10752" s="10" t="s">
        <v>24</v>
      </c>
    </row>
    <row r="10753" spans="1:11" ht="54" customHeight="1">
      <c r="A10753" s="9" t="s">
        <v>22326</v>
      </c>
      <c r="B10753" s="9" t="s">
        <v>22327</v>
      </c>
      <c r="C10753" s="9" t="s">
        <v>17</v>
      </c>
      <c r="D10753" s="9" t="s">
        <v>18</v>
      </c>
      <c r="E10753" s="10" t="s">
        <v>3207</v>
      </c>
      <c r="F10753" s="9" t="s">
        <v>3208</v>
      </c>
      <c r="G10753" s="10" t="s">
        <v>75</v>
      </c>
      <c r="H10753" s="9" t="s">
        <v>22</v>
      </c>
      <c r="I10753" s="9" t="s">
        <v>22329</v>
      </c>
      <c r="J10753" s="10" t="str">
        <f>HYPERLINK("https://www.boe.es/gazeta/dias/1834/10/13/pdfs/GMD-1834-241.pdf#page=4","Abrir facsímil")</f>
        <v>Abrir facsímil</v>
      </c>
      <c r="K10753" s="10" t="s">
        <v>24</v>
      </c>
    </row>
    <row r="10754" spans="1:11" ht="54" customHeight="1">
      <c r="A10754" s="9" t="s">
        <v>22330</v>
      </c>
      <c r="B10754" s="9" t="s">
        <v>22331</v>
      </c>
      <c r="C10754" s="9" t="s">
        <v>857</v>
      </c>
      <c r="D10754" s="9" t="s">
        <v>67</v>
      </c>
      <c r="E10754" s="10" t="s">
        <v>1394</v>
      </c>
      <c r="F10754" s="9" t="s">
        <v>1395</v>
      </c>
      <c r="G10754" s="10" t="s">
        <v>75</v>
      </c>
      <c r="H10754" s="9" t="s">
        <v>22</v>
      </c>
      <c r="I10754" s="9" t="s">
        <v>22332</v>
      </c>
      <c r="J10754" s="10" t="str">
        <f>HYPERLINK("https://www.boe.es/gazeta/dias/1834/04/16/pdfs/GMD-1834-55.pdf#page=4","Abrir facsímil")</f>
        <v>Abrir facsímil</v>
      </c>
      <c r="K10754" s="10" t="s">
        <v>24</v>
      </c>
    </row>
    <row r="10755" spans="1:11" ht="54" customHeight="1">
      <c r="A10755" s="9" t="s">
        <v>22333</v>
      </c>
      <c r="B10755" s="9" t="s">
        <v>22334</v>
      </c>
      <c r="C10755" s="9" t="s">
        <v>66</v>
      </c>
      <c r="D10755" s="9" t="s">
        <v>67</v>
      </c>
      <c r="E10755" s="10" t="s">
        <v>339</v>
      </c>
      <c r="F10755" s="9" t="s">
        <v>340</v>
      </c>
      <c r="G10755" s="10" t="s">
        <v>21</v>
      </c>
      <c r="H10755" s="9" t="s">
        <v>22</v>
      </c>
      <c r="I10755" s="9" t="s">
        <v>22335</v>
      </c>
      <c r="J10755" s="10" t="str">
        <f>HYPERLINK("https://www.boe.es/gazeta/dias/1834/05/02/pdfs/GMD-1834-71.pdf#page=3","Abrir facsímil")</f>
        <v>Abrir facsímil</v>
      </c>
      <c r="K10755" s="10" t="s">
        <v>24</v>
      </c>
    </row>
    <row r="10756" spans="1:11" ht="54" customHeight="1">
      <c r="A10756" s="9" t="s">
        <v>22336</v>
      </c>
      <c r="B10756" s="9" t="s">
        <v>22337</v>
      </c>
      <c r="C10756" s="9" t="s">
        <v>66</v>
      </c>
      <c r="D10756" s="9" t="s">
        <v>18</v>
      </c>
      <c r="E10756" s="10" t="s">
        <v>222</v>
      </c>
      <c r="F10756" s="9" t="s">
        <v>223</v>
      </c>
      <c r="G10756" s="10" t="s">
        <v>21</v>
      </c>
      <c r="H10756" s="9" t="s">
        <v>35</v>
      </c>
      <c r="I10756" s="9" t="s">
        <v>22338</v>
      </c>
      <c r="J10756" s="10" t="str">
        <f>HYPERLINK("https://www.boe.es/gazeta/dias/1834/09/14/pdfs/GMD-1834-212.pdf#page=3","Abrir facsímil")</f>
        <v>Abrir facsímil</v>
      </c>
      <c r="K10756" s="10" t="s">
        <v>37</v>
      </c>
    </row>
    <row r="10757" spans="1:11" ht="54" customHeight="1">
      <c r="A10757" s="9" t="s">
        <v>22339</v>
      </c>
      <c r="B10757" s="9" t="s">
        <v>22340</v>
      </c>
      <c r="C10757" s="9" t="s">
        <v>66</v>
      </c>
      <c r="D10757" s="9" t="s">
        <v>67</v>
      </c>
      <c r="E10757" s="10" t="s">
        <v>1234</v>
      </c>
      <c r="F10757" s="9" t="s">
        <v>1235</v>
      </c>
      <c r="G10757" s="10" t="s">
        <v>34</v>
      </c>
      <c r="H10757" s="9" t="s">
        <v>35</v>
      </c>
      <c r="I10757" s="9" t="s">
        <v>22341</v>
      </c>
      <c r="J10757" s="10" t="str">
        <f>HYPERLINK("https://www.boe.es/gazeta/dias/1834/05/15/pdfs/GMD-C-1834-84.pdf#page=1","Abrir facsímil")</f>
        <v>Abrir facsímil</v>
      </c>
      <c r="K10757" s="10" t="s">
        <v>37</v>
      </c>
    </row>
    <row r="10758" spans="1:11" ht="54" customHeight="1">
      <c r="A10758" s="9" t="s">
        <v>22342</v>
      </c>
      <c r="B10758" s="9" t="s">
        <v>22343</v>
      </c>
      <c r="C10758" s="9" t="s">
        <v>17</v>
      </c>
      <c r="D10758" s="9" t="s">
        <v>18</v>
      </c>
      <c r="E10758" s="10" t="s">
        <v>2053</v>
      </c>
      <c r="F10758" s="9" t="s">
        <v>2054</v>
      </c>
      <c r="G10758" s="10" t="s">
        <v>21</v>
      </c>
      <c r="H10758" s="9" t="s">
        <v>22</v>
      </c>
      <c r="I10758" s="9" t="s">
        <v>22344</v>
      </c>
      <c r="J10758" s="10" t="str">
        <f>HYPERLINK("https://www.boe.es/gazeta/dias/1834/06/02/pdfs/GMD-1834-103.pdf#page=3","Abrir facsímil")</f>
        <v>Abrir facsímil</v>
      </c>
      <c r="K10758" s="10" t="s">
        <v>24</v>
      </c>
    </row>
    <row r="10759" spans="1:11" ht="54" customHeight="1">
      <c r="A10759" s="9" t="s">
        <v>22342</v>
      </c>
      <c r="B10759" s="9" t="s">
        <v>22343</v>
      </c>
      <c r="C10759" s="9" t="s">
        <v>17</v>
      </c>
      <c r="D10759" s="9" t="s">
        <v>18</v>
      </c>
      <c r="E10759" s="10" t="s">
        <v>1119</v>
      </c>
      <c r="F10759" s="9" t="s">
        <v>1120</v>
      </c>
      <c r="G10759" s="10" t="s">
        <v>21</v>
      </c>
      <c r="H10759" s="9" t="s">
        <v>22</v>
      </c>
      <c r="I10759" s="9" t="s">
        <v>22345</v>
      </c>
      <c r="J10759" s="10" t="str">
        <f>HYPERLINK("https://www.boe.es/gazeta/dias/1834/07/17/pdfs/GMD-1834-150.pdf#page=3","Abrir facsímil")</f>
        <v>Abrir facsímil</v>
      </c>
      <c r="K10759" s="10" t="s">
        <v>24</v>
      </c>
    </row>
    <row r="10760" spans="1:11" ht="54" customHeight="1">
      <c r="A10760" s="9" t="s">
        <v>22342</v>
      </c>
      <c r="B10760" s="9" t="s">
        <v>22343</v>
      </c>
      <c r="C10760" s="9" t="s">
        <v>66</v>
      </c>
      <c r="D10760" s="9" t="s">
        <v>67</v>
      </c>
      <c r="E10760" s="10" t="s">
        <v>286</v>
      </c>
      <c r="F10760" s="9" t="s">
        <v>548</v>
      </c>
      <c r="G10760" s="10" t="s">
        <v>21</v>
      </c>
      <c r="H10760" s="9" t="s">
        <v>22</v>
      </c>
      <c r="I10760" s="9" t="s">
        <v>22346</v>
      </c>
      <c r="J10760" s="10" t="str">
        <f>HYPERLINK("https://www.boe.es/gazeta/dias/1834/08/30/pdfs/GMD-1834-196.pdf#page=3","Abrir facsímil")</f>
        <v>Abrir facsímil</v>
      </c>
      <c r="K10760" s="10" t="s">
        <v>24</v>
      </c>
    </row>
    <row r="10761" spans="1:11" ht="54" customHeight="1">
      <c r="A10761" s="9" t="s">
        <v>22347</v>
      </c>
      <c r="B10761" s="9" t="s">
        <v>22348</v>
      </c>
      <c r="C10761" s="9" t="s">
        <v>17</v>
      </c>
      <c r="D10761" s="9" t="s">
        <v>18</v>
      </c>
      <c r="E10761" s="10" t="s">
        <v>803</v>
      </c>
      <c r="F10761" s="9" t="s">
        <v>804</v>
      </c>
      <c r="G10761" s="10" t="s">
        <v>75</v>
      </c>
      <c r="H10761" s="9" t="s">
        <v>22</v>
      </c>
      <c r="I10761" s="9" t="s">
        <v>22349</v>
      </c>
      <c r="J10761" s="10" t="str">
        <f>HYPERLINK("https://www.boe.es/gazeta/dias/1834/03/29/pdfs/GMD-1834-39.pdf#page=4","Abrir facsímil")</f>
        <v>Abrir facsímil</v>
      </c>
      <c r="K10761" s="10" t="s">
        <v>24</v>
      </c>
    </row>
    <row r="10762" spans="1:11" ht="54" customHeight="1">
      <c r="A10762" s="9" t="s">
        <v>22350</v>
      </c>
      <c r="B10762" s="9" t="s">
        <v>22351</v>
      </c>
      <c r="C10762" s="9" t="s">
        <v>90</v>
      </c>
      <c r="D10762" s="9" t="s">
        <v>55</v>
      </c>
      <c r="E10762" s="10" t="s">
        <v>339</v>
      </c>
      <c r="F10762" s="9" t="s">
        <v>340</v>
      </c>
      <c r="G10762" s="10" t="s">
        <v>34</v>
      </c>
      <c r="H10762" s="9" t="s">
        <v>22</v>
      </c>
      <c r="I10762" s="9" t="s">
        <v>22352</v>
      </c>
      <c r="J10762" s="10" t="str">
        <f>HYPERLINK("https://www.boe.es/gazeta/dias/1834/05/02/pdfs/GMD-1834-71.pdf#page=1","Abrir facsímil")</f>
        <v>Abrir facsímil</v>
      </c>
      <c r="K10762" s="10" t="s">
        <v>24</v>
      </c>
    </row>
    <row r="10763" spans="1:11" ht="54" customHeight="1">
      <c r="A10763" s="9" t="s">
        <v>22353</v>
      </c>
      <c r="B10763" s="9" t="s">
        <v>22354</v>
      </c>
      <c r="C10763" s="9" t="s">
        <v>66</v>
      </c>
      <c r="D10763" s="9" t="s">
        <v>67</v>
      </c>
      <c r="E10763" s="10" t="s">
        <v>1234</v>
      </c>
      <c r="F10763" s="9" t="s">
        <v>1235</v>
      </c>
      <c r="G10763" s="10" t="s">
        <v>34</v>
      </c>
      <c r="H10763" s="9" t="s">
        <v>22</v>
      </c>
      <c r="I10763" s="9" t="s">
        <v>22355</v>
      </c>
      <c r="J10763" s="10" t="str">
        <f>HYPERLINK("https://www.boe.es/gazeta/dias/1834/05/15/pdfs/GMD-C-1834-84.pdf#page=1","Abrir facsímil")</f>
        <v>Abrir facsímil</v>
      </c>
      <c r="K10763" s="10" t="s">
        <v>24</v>
      </c>
    </row>
    <row r="10764" spans="1:11" ht="54" customHeight="1">
      <c r="A10764" s="9" t="s">
        <v>22356</v>
      </c>
      <c r="B10764" s="9" t="s">
        <v>22357</v>
      </c>
      <c r="C10764" s="9" t="s">
        <v>90</v>
      </c>
      <c r="D10764" s="9" t="s">
        <v>18</v>
      </c>
      <c r="E10764" s="10" t="s">
        <v>653</v>
      </c>
      <c r="F10764" s="9" t="s">
        <v>654</v>
      </c>
      <c r="G10764" s="10" t="s">
        <v>34</v>
      </c>
      <c r="H10764" s="9" t="s">
        <v>22</v>
      </c>
      <c r="I10764" s="9" t="s">
        <v>22358</v>
      </c>
      <c r="J10764" s="10" t="str">
        <f>HYPERLINK("https://www.boe.es/gazeta/dias/1834/08/06/pdfs/GMD-C-1834-170.pdf#page=1","Abrir facsímil")</f>
        <v>Abrir facsímil</v>
      </c>
      <c r="K10764" s="10" t="s">
        <v>24</v>
      </c>
    </row>
    <row r="10765" spans="1:11" ht="54" customHeight="1">
      <c r="A10765" s="9" t="s">
        <v>22359</v>
      </c>
      <c r="B10765" s="9" t="s">
        <v>22360</v>
      </c>
      <c r="C10765" s="9" t="s">
        <v>66</v>
      </c>
      <c r="D10765" s="9" t="s">
        <v>67</v>
      </c>
      <c r="E10765" s="10" t="s">
        <v>1234</v>
      </c>
      <c r="F10765" s="9" t="s">
        <v>1235</v>
      </c>
      <c r="G10765" s="10" t="s">
        <v>34</v>
      </c>
      <c r="H10765" s="9" t="s">
        <v>35</v>
      </c>
      <c r="I10765" s="9" t="s">
        <v>22361</v>
      </c>
      <c r="J10765" s="10" t="str">
        <f>HYPERLINK("https://www.boe.es/gazeta/dias/1834/05/15/pdfs/GMD-C-1834-84.pdf#page=1","Abrir facsímil")</f>
        <v>Abrir facsímil</v>
      </c>
      <c r="K10765" s="10" t="s">
        <v>37</v>
      </c>
    </row>
    <row r="10766" spans="1:11" ht="54" customHeight="1">
      <c r="A10766" s="9" t="s">
        <v>22362</v>
      </c>
      <c r="B10766" s="9" t="s">
        <v>22363</v>
      </c>
      <c r="C10766" s="9" t="s">
        <v>66</v>
      </c>
      <c r="D10766" s="9" t="s">
        <v>67</v>
      </c>
      <c r="E10766" s="10" t="s">
        <v>642</v>
      </c>
      <c r="F10766" s="9" t="s">
        <v>1843</v>
      </c>
      <c r="G10766" s="10" t="s">
        <v>21</v>
      </c>
      <c r="H10766" s="9" t="s">
        <v>22</v>
      </c>
      <c r="I10766" s="9" t="s">
        <v>22364</v>
      </c>
      <c r="J10766" s="10" t="str">
        <f>HYPERLINK("https://www.boe.es/gazeta/dias/1834/11/12/pdfs/GMD-1834-271.pdf#page=3","Abrir facsímil")</f>
        <v>Abrir facsímil</v>
      </c>
      <c r="K10766" s="10" t="s">
        <v>24</v>
      </c>
    </row>
    <row r="10767" spans="1:11" ht="54" customHeight="1">
      <c r="A10767" s="9" t="s">
        <v>22362</v>
      </c>
      <c r="B10767" s="9" t="s">
        <v>22363</v>
      </c>
      <c r="C10767" s="9" t="s">
        <v>17</v>
      </c>
      <c r="D10767" s="9" t="s">
        <v>55</v>
      </c>
      <c r="E10767" s="10" t="s">
        <v>222</v>
      </c>
      <c r="F10767" s="9" t="s">
        <v>223</v>
      </c>
      <c r="G10767" s="10" t="s">
        <v>86</v>
      </c>
      <c r="H10767" s="9" t="s">
        <v>22</v>
      </c>
      <c r="I10767" s="9" t="s">
        <v>22365</v>
      </c>
      <c r="J10767" s="10" t="str">
        <f>HYPERLINK("https://www.boe.es/gazeta/dias/1834/09/14/pdfs/GMD-1834-212.pdf#page=2","Abrir facsímil")</f>
        <v>Abrir facsímil</v>
      </c>
      <c r="K10767" s="10" t="s">
        <v>24</v>
      </c>
    </row>
    <row r="10768" spans="1:11" ht="54" customHeight="1">
      <c r="A10768" s="9" t="s">
        <v>22362</v>
      </c>
      <c r="B10768" s="9" t="s">
        <v>22363</v>
      </c>
      <c r="C10768" s="9" t="s">
        <v>66</v>
      </c>
      <c r="D10768" s="9" t="s">
        <v>67</v>
      </c>
      <c r="E10768" s="10" t="s">
        <v>222</v>
      </c>
      <c r="F10768" s="9" t="s">
        <v>223</v>
      </c>
      <c r="G10768" s="10" t="s">
        <v>21</v>
      </c>
      <c r="H10768" s="9" t="s">
        <v>22</v>
      </c>
      <c r="I10768" s="9" t="s">
        <v>22366</v>
      </c>
      <c r="J10768" s="10" t="str">
        <f>HYPERLINK("https://www.boe.es/gazeta/dias/1834/09/14/pdfs/GMD-1834-212.pdf#page=3","Abrir facsímil")</f>
        <v>Abrir facsímil</v>
      </c>
      <c r="K10768" s="10" t="s">
        <v>24</v>
      </c>
    </row>
    <row r="10769" spans="1:11" ht="54" customHeight="1">
      <c r="A10769" s="9" t="s">
        <v>22367</v>
      </c>
      <c r="B10769" s="9" t="s">
        <v>22368</v>
      </c>
      <c r="C10769" s="9" t="s">
        <v>66</v>
      </c>
      <c r="D10769" s="9" t="s">
        <v>55</v>
      </c>
      <c r="E10769" s="10" t="s">
        <v>2287</v>
      </c>
      <c r="F10769" s="9" t="s">
        <v>4741</v>
      </c>
      <c r="G10769" s="10" t="s">
        <v>21</v>
      </c>
      <c r="H10769" s="9" t="s">
        <v>22</v>
      </c>
      <c r="I10769" s="9" t="s">
        <v>22369</v>
      </c>
      <c r="J10769" s="10" t="str">
        <f>HYPERLINK("https://www.boe.es/gazeta/dias/1834/12/18/pdfs/GMD-1834-308.pdf#page=3","Abrir facsímil")</f>
        <v>Abrir facsímil</v>
      </c>
      <c r="K10769" s="10" t="s">
        <v>24</v>
      </c>
    </row>
    <row r="10770" spans="1:11" ht="54" customHeight="1">
      <c r="A10770" s="9" t="s">
        <v>22370</v>
      </c>
      <c r="B10770" s="9" t="s">
        <v>22371</v>
      </c>
      <c r="C10770" s="9" t="s">
        <v>66</v>
      </c>
      <c r="D10770" s="9" t="s">
        <v>67</v>
      </c>
      <c r="E10770" s="10" t="s">
        <v>1351</v>
      </c>
      <c r="F10770" s="9" t="s">
        <v>1352</v>
      </c>
      <c r="G10770" s="10" t="s">
        <v>75</v>
      </c>
      <c r="H10770" s="9" t="s">
        <v>35</v>
      </c>
      <c r="I10770" s="9" t="s">
        <v>22372</v>
      </c>
      <c r="J10770" s="10" t="str">
        <f>HYPERLINK("https://www.boe.es/gazeta/dias/1834/07/05/pdfs/GMD-1834-138.pdf#page=4","Abrir facsímil")</f>
        <v>Abrir facsímil</v>
      </c>
      <c r="K10770" s="10" t="s">
        <v>37</v>
      </c>
    </row>
    <row r="10771" spans="1:11" ht="54" customHeight="1">
      <c r="A10771" s="9" t="s">
        <v>22373</v>
      </c>
      <c r="B10771" s="9" t="s">
        <v>22374</v>
      </c>
      <c r="C10771" s="9" t="s">
        <v>17</v>
      </c>
      <c r="D10771" s="9" t="s">
        <v>18</v>
      </c>
      <c r="E10771" s="10" t="s">
        <v>299</v>
      </c>
      <c r="F10771" s="9" t="s">
        <v>300</v>
      </c>
      <c r="G10771" s="10" t="s">
        <v>21</v>
      </c>
      <c r="H10771" s="9" t="s">
        <v>22</v>
      </c>
      <c r="I10771" s="9" t="s">
        <v>22375</v>
      </c>
      <c r="J10771" s="10" t="str">
        <f>HYPERLINK("https://www.boe.es/gazeta/dias/1834/12/12/pdfs/GMD-1834-301.pdf#page=3","Abrir facsímil")</f>
        <v>Abrir facsímil</v>
      </c>
      <c r="K10771" s="10" t="s">
        <v>24</v>
      </c>
    </row>
    <row r="10772" spans="1:11" ht="54" customHeight="1">
      <c r="A10772" s="9" t="s">
        <v>22376</v>
      </c>
      <c r="B10772" s="9" t="s">
        <v>22377</v>
      </c>
      <c r="C10772" s="9" t="s">
        <v>17</v>
      </c>
      <c r="D10772" s="9" t="s">
        <v>40</v>
      </c>
      <c r="E10772" s="10" t="s">
        <v>715</v>
      </c>
      <c r="F10772" s="9" t="s">
        <v>716</v>
      </c>
      <c r="G10772" s="10" t="s">
        <v>34</v>
      </c>
      <c r="H10772" s="9" t="s">
        <v>22</v>
      </c>
      <c r="I10772" s="9" t="s">
        <v>22378</v>
      </c>
      <c r="J10772" s="10" t="str">
        <f>HYPERLINK("https://www.boe.es/gazeta/dias/1834/09/17/pdfs/GMD-C-1834-215.pdf#page=1","Abrir facsímil")</f>
        <v>Abrir facsímil</v>
      </c>
      <c r="K10772" s="10" t="s">
        <v>24</v>
      </c>
    </row>
    <row r="10773" spans="1:11" ht="54" customHeight="1">
      <c r="A10773" s="9" t="s">
        <v>22379</v>
      </c>
      <c r="B10773" s="9" t="s">
        <v>22379</v>
      </c>
      <c r="C10773" s="9" t="s">
        <v>17</v>
      </c>
      <c r="D10773" s="9" t="s">
        <v>18</v>
      </c>
      <c r="E10773" s="10" t="s">
        <v>237</v>
      </c>
      <c r="F10773" s="9" t="s">
        <v>238</v>
      </c>
      <c r="G10773" s="10" t="s">
        <v>75</v>
      </c>
      <c r="H10773" s="9" t="s">
        <v>22</v>
      </c>
      <c r="I10773" s="9" t="s">
        <v>22380</v>
      </c>
      <c r="J10773" s="10" t="str">
        <f>HYPERLINK("https://www.boe.es/gazeta/dias/1834/08/15/pdfs/GMD-C-1834-180.pdf#page=4","Abrir facsímil")</f>
        <v>Abrir facsímil</v>
      </c>
      <c r="K10773" s="10" t="s">
        <v>24</v>
      </c>
    </row>
    <row r="10774" spans="1:11" ht="54" customHeight="1">
      <c r="A10774" s="9" t="s">
        <v>22381</v>
      </c>
      <c r="B10774" s="9" t="s">
        <v>22381</v>
      </c>
      <c r="C10774" s="9" t="s">
        <v>90</v>
      </c>
      <c r="D10774" s="9" t="s">
        <v>18</v>
      </c>
      <c r="E10774" s="10" t="s">
        <v>653</v>
      </c>
      <c r="F10774" s="9" t="s">
        <v>3167</v>
      </c>
      <c r="G10774" s="10" t="s">
        <v>34</v>
      </c>
      <c r="H10774" s="9" t="s">
        <v>22</v>
      </c>
      <c r="I10774" s="9" t="s">
        <v>22382</v>
      </c>
      <c r="J10774" s="10" t="str">
        <f>HYPERLINK("https://www.boe.es/gazeta/dias/1834/08/06/pdfs/GMD-1834-171E.pdf#page=1","Abrir facsímil")</f>
        <v>Abrir facsímil</v>
      </c>
      <c r="K10774" s="10" t="s">
        <v>24</v>
      </c>
    </row>
    <row r="10775" spans="1:11" ht="54" customHeight="1">
      <c r="A10775" s="9" t="s">
        <v>22381</v>
      </c>
      <c r="B10775" s="9" t="s">
        <v>22381</v>
      </c>
      <c r="C10775" s="9" t="s">
        <v>17</v>
      </c>
      <c r="D10775" s="9" t="s">
        <v>18</v>
      </c>
      <c r="E10775" s="10" t="s">
        <v>1394</v>
      </c>
      <c r="F10775" s="9" t="s">
        <v>1395</v>
      </c>
      <c r="G10775" s="10" t="s">
        <v>75</v>
      </c>
      <c r="H10775" s="9" t="s">
        <v>22</v>
      </c>
      <c r="I10775" s="9" t="s">
        <v>22383</v>
      </c>
      <c r="J10775" s="10" t="str">
        <f>HYPERLINK("https://www.boe.es/gazeta/dias/1834/04/16/pdfs/GMD-1834-55.pdf#page=4","Abrir facsímil")</f>
        <v>Abrir facsímil</v>
      </c>
      <c r="K10775" s="10" t="s">
        <v>24</v>
      </c>
    </row>
    <row r="10776" spans="1:11" ht="54" customHeight="1">
      <c r="A10776" s="9" t="s">
        <v>22384</v>
      </c>
      <c r="B10776" s="9" t="s">
        <v>22384</v>
      </c>
      <c r="C10776" s="9" t="s">
        <v>17</v>
      </c>
      <c r="D10776" s="9" t="s">
        <v>18</v>
      </c>
      <c r="E10776" s="10" t="s">
        <v>1025</v>
      </c>
      <c r="F10776" s="9" t="s">
        <v>1026</v>
      </c>
      <c r="G10776" s="10" t="s">
        <v>28</v>
      </c>
      <c r="H10776" s="9" t="s">
        <v>22</v>
      </c>
      <c r="I10776" s="9" t="s">
        <v>22385</v>
      </c>
      <c r="J10776" s="10" t="str">
        <f>HYPERLINK("https://www.boe.es/gazeta/dias/1834/03/01/pdfs/GMD-1834-27.pdf#page=5","Abrir facsímil")</f>
        <v>Abrir facsímil</v>
      </c>
      <c r="K10776" s="10" t="s">
        <v>24</v>
      </c>
    </row>
    <row r="10777" spans="1:11" ht="54" customHeight="1">
      <c r="A10777" s="9" t="s">
        <v>22384</v>
      </c>
      <c r="B10777" s="9" t="s">
        <v>22384</v>
      </c>
      <c r="C10777" s="9" t="s">
        <v>66</v>
      </c>
      <c r="D10777" s="9" t="s">
        <v>67</v>
      </c>
      <c r="E10777" s="10" t="s">
        <v>1297</v>
      </c>
      <c r="F10777" s="9" t="s">
        <v>1879</v>
      </c>
      <c r="G10777" s="10" t="s">
        <v>34</v>
      </c>
      <c r="H10777" s="9" t="s">
        <v>22</v>
      </c>
      <c r="I10777" s="9" t="s">
        <v>22386</v>
      </c>
      <c r="J10777" s="10" t="str">
        <f>HYPERLINK("https://www.boe.es/gazeta/dias/1834/08/01/pdfs/GMD-D-1834-165.pdf#page=1","Abrir facsímil")</f>
        <v>Abrir facsímil</v>
      </c>
      <c r="K10777" s="10" t="s">
        <v>24</v>
      </c>
    </row>
    <row r="10778" spans="1:11" ht="54" customHeight="1">
      <c r="A10778" s="9" t="s">
        <v>22384</v>
      </c>
      <c r="B10778" s="9" t="s">
        <v>22384</v>
      </c>
      <c r="C10778" s="9" t="s">
        <v>66</v>
      </c>
      <c r="D10778" s="9" t="s">
        <v>67</v>
      </c>
      <c r="E10778" s="10" t="s">
        <v>1337</v>
      </c>
      <c r="F10778" s="9" t="s">
        <v>1338</v>
      </c>
      <c r="G10778" s="10" t="s">
        <v>21</v>
      </c>
      <c r="H10778" s="9" t="s">
        <v>22</v>
      </c>
      <c r="I10778" s="9" t="s">
        <v>22387</v>
      </c>
      <c r="J10778" s="10" t="str">
        <f>HYPERLINK("https://www.boe.es/gazeta/dias/1834/01/02/pdfs/GMD-1834-1.pdf#page=3","Abrir facsímil")</f>
        <v>Abrir facsímil</v>
      </c>
      <c r="K10778" s="10" t="s">
        <v>24</v>
      </c>
    </row>
    <row r="10779" spans="1:11" ht="54" customHeight="1">
      <c r="A10779" s="9" t="s">
        <v>22384</v>
      </c>
      <c r="B10779" s="9" t="s">
        <v>22384</v>
      </c>
      <c r="C10779" s="9" t="s">
        <v>66</v>
      </c>
      <c r="D10779" s="9" t="s">
        <v>67</v>
      </c>
      <c r="E10779" s="10" t="s">
        <v>976</v>
      </c>
      <c r="F10779" s="9" t="s">
        <v>1061</v>
      </c>
      <c r="G10779" s="10" t="s">
        <v>86</v>
      </c>
      <c r="H10779" s="9" t="s">
        <v>22</v>
      </c>
      <c r="I10779" s="9" t="s">
        <v>22388</v>
      </c>
      <c r="J10779" s="10" t="str">
        <f>HYPERLINK("https://www.boe.es/gazeta/dias/1834/04/02/pdfs/GMD-C-1834-41.pdf#page=2","Abrir facsímil")</f>
        <v>Abrir facsímil</v>
      </c>
      <c r="K10779" s="10" t="s">
        <v>24</v>
      </c>
    </row>
    <row r="10780" spans="1:11" ht="54" customHeight="1">
      <c r="A10780" s="9" t="s">
        <v>22384</v>
      </c>
      <c r="B10780" s="9" t="s">
        <v>22384</v>
      </c>
      <c r="C10780" s="9" t="s">
        <v>17</v>
      </c>
      <c r="D10780" s="9" t="s">
        <v>40</v>
      </c>
      <c r="E10780" s="10" t="s">
        <v>1406</v>
      </c>
      <c r="F10780" s="9" t="s">
        <v>1407</v>
      </c>
      <c r="G10780" s="10" t="s">
        <v>75</v>
      </c>
      <c r="H10780" s="9" t="s">
        <v>22</v>
      </c>
      <c r="I10780" s="9" t="s">
        <v>22389</v>
      </c>
      <c r="J10780" s="10" t="str">
        <f>HYPERLINK("https://www.boe.es/gazeta/dias/1834/11/03/pdfs/GMD-1834-262.pdf#page=4","Abrir facsímil")</f>
        <v>Abrir facsímil</v>
      </c>
      <c r="K10780" s="10" t="s">
        <v>24</v>
      </c>
    </row>
    <row r="10781" spans="1:11" ht="54" customHeight="1">
      <c r="A10781" s="9" t="s">
        <v>22384</v>
      </c>
      <c r="B10781" s="9" t="s">
        <v>22384</v>
      </c>
      <c r="C10781" s="9" t="s">
        <v>122</v>
      </c>
      <c r="D10781" s="9" t="s">
        <v>40</v>
      </c>
      <c r="E10781" s="10" t="s">
        <v>1862</v>
      </c>
      <c r="F10781" s="9" t="s">
        <v>1863</v>
      </c>
      <c r="G10781" s="10" t="s">
        <v>75</v>
      </c>
      <c r="H10781" s="9" t="s">
        <v>22</v>
      </c>
      <c r="I10781" s="9" t="s">
        <v>22390</v>
      </c>
      <c r="J10781" s="10" t="str">
        <f>HYPERLINK("https://www.boe.es/gazeta/dias/1834/02/04/pdfs/GMD-1834-16.pdf#page=4","Abrir facsímil")</f>
        <v>Abrir facsímil</v>
      </c>
      <c r="K10781" s="10" t="s">
        <v>24</v>
      </c>
    </row>
    <row r="10782" spans="1:11" ht="54" customHeight="1">
      <c r="A10782" s="9" t="s">
        <v>22384</v>
      </c>
      <c r="B10782" s="9" t="s">
        <v>22384</v>
      </c>
      <c r="C10782" s="9" t="s">
        <v>17</v>
      </c>
      <c r="D10782" s="9" t="s">
        <v>18</v>
      </c>
      <c r="E10782" s="10" t="s">
        <v>1862</v>
      </c>
      <c r="F10782" s="9" t="s">
        <v>1908</v>
      </c>
      <c r="G10782" s="10" t="s">
        <v>34</v>
      </c>
      <c r="H10782" s="9" t="s">
        <v>22</v>
      </c>
      <c r="I10782" s="9" t="s">
        <v>22391</v>
      </c>
      <c r="J10782" s="10" t="str">
        <f>HYPERLINK("https://www.boe.es/gazeta/dias/1834/02/04/pdfs/GMD-C-1834-16.pdf#page=1","Abrir facsímil")</f>
        <v>Abrir facsímil</v>
      </c>
      <c r="K10782" s="10" t="s">
        <v>24</v>
      </c>
    </row>
    <row r="10783" spans="1:11" ht="54" customHeight="1">
      <c r="A10783" s="9" t="s">
        <v>22384</v>
      </c>
      <c r="B10783" s="9" t="s">
        <v>22384</v>
      </c>
      <c r="C10783" s="9" t="s">
        <v>17</v>
      </c>
      <c r="D10783" s="9" t="s">
        <v>18</v>
      </c>
      <c r="E10783" s="10" t="s">
        <v>506</v>
      </c>
      <c r="F10783" s="9" t="s">
        <v>507</v>
      </c>
      <c r="G10783" s="10" t="s">
        <v>28</v>
      </c>
      <c r="H10783" s="9" t="s">
        <v>22</v>
      </c>
      <c r="I10783" s="9" t="s">
        <v>22392</v>
      </c>
      <c r="J10783" s="10" t="str">
        <f>HYPERLINK("https://www.boe.es/gazeta/dias/1834/03/04/pdfs/GMD-1834-28.pdf#page=5","Abrir facsímil")</f>
        <v>Abrir facsímil</v>
      </c>
      <c r="K10783" s="10" t="s">
        <v>24</v>
      </c>
    </row>
    <row r="10784" spans="1:11" ht="54" customHeight="1">
      <c r="A10784" s="9" t="s">
        <v>22384</v>
      </c>
      <c r="B10784" s="9" t="s">
        <v>22384</v>
      </c>
      <c r="C10784" s="9" t="s">
        <v>17</v>
      </c>
      <c r="D10784" s="9" t="s">
        <v>18</v>
      </c>
      <c r="E10784" s="10" t="s">
        <v>426</v>
      </c>
      <c r="F10784" s="9" t="s">
        <v>427</v>
      </c>
      <c r="G10784" s="10" t="s">
        <v>21</v>
      </c>
      <c r="H10784" s="9" t="s">
        <v>22</v>
      </c>
      <c r="I10784" s="9" t="s">
        <v>22393</v>
      </c>
      <c r="J10784" s="10" t="str">
        <f>HYPERLINK("https://www.boe.es/gazeta/dias/1834/10/04/pdfs/GMD-1834-232.pdf#page=3","Abrir facsímil")</f>
        <v>Abrir facsímil</v>
      </c>
      <c r="K10784" s="10" t="s">
        <v>24</v>
      </c>
    </row>
    <row r="10785" spans="1:11" ht="54" customHeight="1">
      <c r="A10785" s="9" t="s">
        <v>22384</v>
      </c>
      <c r="B10785" s="9" t="s">
        <v>22384</v>
      </c>
      <c r="C10785" s="9" t="s">
        <v>66</v>
      </c>
      <c r="D10785" s="9" t="s">
        <v>67</v>
      </c>
      <c r="E10785" s="10" t="s">
        <v>2218</v>
      </c>
      <c r="F10785" s="9" t="s">
        <v>2219</v>
      </c>
      <c r="G10785" s="10" t="s">
        <v>21</v>
      </c>
      <c r="H10785" s="9" t="s">
        <v>22</v>
      </c>
      <c r="I10785" s="9" t="s">
        <v>22394</v>
      </c>
      <c r="J10785" s="10" t="str">
        <f>HYPERLINK("https://www.boe.es/gazeta/dias/1834/11/05/pdfs/GMD-1834-264.pdf#page=3","Abrir facsímil")</f>
        <v>Abrir facsímil</v>
      </c>
      <c r="K10785" s="10" t="s">
        <v>24</v>
      </c>
    </row>
    <row r="10786" spans="1:11" ht="54" customHeight="1">
      <c r="A10786" s="9" t="s">
        <v>22384</v>
      </c>
      <c r="B10786" s="9" t="s">
        <v>22384</v>
      </c>
      <c r="C10786" s="9" t="s">
        <v>17</v>
      </c>
      <c r="D10786" s="9" t="s">
        <v>18</v>
      </c>
      <c r="E10786" s="10" t="s">
        <v>1661</v>
      </c>
      <c r="F10786" s="9" t="s">
        <v>1662</v>
      </c>
      <c r="G10786" s="10" t="s">
        <v>75</v>
      </c>
      <c r="H10786" s="9" t="s">
        <v>22</v>
      </c>
      <c r="I10786" s="9" t="s">
        <v>22395</v>
      </c>
      <c r="J10786" s="10" t="str">
        <f>HYPERLINK("https://www.boe.es/gazeta/dias/1834/04/06/pdfs/GMD-1834-45.pdf#page=4","Abrir facsímil")</f>
        <v>Abrir facsímil</v>
      </c>
      <c r="K10786" s="10" t="s">
        <v>24</v>
      </c>
    </row>
    <row r="10787" spans="1:11" ht="54" customHeight="1">
      <c r="A10787" s="9" t="s">
        <v>22384</v>
      </c>
      <c r="B10787" s="9" t="s">
        <v>22384</v>
      </c>
      <c r="C10787" s="9" t="s">
        <v>66</v>
      </c>
      <c r="D10787" s="9" t="s">
        <v>18</v>
      </c>
      <c r="E10787" s="10" t="s">
        <v>653</v>
      </c>
      <c r="F10787" s="9" t="s">
        <v>3167</v>
      </c>
      <c r="G10787" s="10" t="s">
        <v>34</v>
      </c>
      <c r="H10787" s="9" t="s">
        <v>22</v>
      </c>
      <c r="I10787" s="9" t="s">
        <v>22396</v>
      </c>
      <c r="J10787" s="10" t="str">
        <f>HYPERLINK("https://www.boe.es/gazeta/dias/1834/08/06/pdfs/GMD-1834-171E.pdf#page=1","Abrir facsímil")</f>
        <v>Abrir facsímil</v>
      </c>
      <c r="K10787" s="10" t="s">
        <v>24</v>
      </c>
    </row>
    <row r="10788" spans="1:11" ht="54" customHeight="1">
      <c r="A10788" s="9" t="s">
        <v>22384</v>
      </c>
      <c r="B10788" s="9" t="s">
        <v>22384</v>
      </c>
      <c r="C10788" s="9" t="s">
        <v>66</v>
      </c>
      <c r="D10788" s="9" t="s">
        <v>18</v>
      </c>
      <c r="E10788" s="10" t="s">
        <v>364</v>
      </c>
      <c r="F10788" s="9" t="s">
        <v>365</v>
      </c>
      <c r="G10788" s="10" t="s">
        <v>86</v>
      </c>
      <c r="H10788" s="9" t="s">
        <v>22</v>
      </c>
      <c r="I10788" s="9" t="s">
        <v>22397</v>
      </c>
      <c r="J10788" s="10" t="str">
        <f>HYPERLINK("https://www.boe.es/gazeta/dias/1834/09/06/pdfs/GMD-D-1834-204.pdf#page=2","Abrir facsímil")</f>
        <v>Abrir facsímil</v>
      </c>
      <c r="K10788" s="10" t="s">
        <v>24</v>
      </c>
    </row>
    <row r="10789" spans="1:11" ht="54" customHeight="1">
      <c r="A10789" s="9" t="s">
        <v>22384</v>
      </c>
      <c r="B10789" s="9" t="s">
        <v>22384</v>
      </c>
      <c r="C10789" s="9" t="s">
        <v>66</v>
      </c>
      <c r="D10789" s="9" t="s">
        <v>67</v>
      </c>
      <c r="E10789" s="10" t="s">
        <v>1883</v>
      </c>
      <c r="F10789" s="9" t="s">
        <v>1884</v>
      </c>
      <c r="G10789" s="10" t="s">
        <v>21</v>
      </c>
      <c r="H10789" s="9" t="s">
        <v>22</v>
      </c>
      <c r="I10789" s="9" t="s">
        <v>22398</v>
      </c>
      <c r="J10789" s="10" t="str">
        <f>HYPERLINK("https://www.boe.es/gazeta/dias/1834/01/11/pdfs/GMD-1834-6.pdf#page=3","Abrir facsímil")</f>
        <v>Abrir facsímil</v>
      </c>
      <c r="K10789" s="10" t="s">
        <v>24</v>
      </c>
    </row>
    <row r="10790" spans="1:11" ht="54" customHeight="1">
      <c r="A10790" s="9" t="s">
        <v>22384</v>
      </c>
      <c r="B10790" s="9" t="s">
        <v>22384</v>
      </c>
      <c r="C10790" s="9" t="s">
        <v>66</v>
      </c>
      <c r="D10790" s="9" t="s">
        <v>67</v>
      </c>
      <c r="E10790" s="10" t="s">
        <v>1113</v>
      </c>
      <c r="F10790" s="9" t="s">
        <v>1114</v>
      </c>
      <c r="G10790" s="10" t="s">
        <v>75</v>
      </c>
      <c r="H10790" s="9" t="s">
        <v>22</v>
      </c>
      <c r="I10790" s="9" t="s">
        <v>22399</v>
      </c>
      <c r="J10790" s="10" t="str">
        <f>HYPERLINK("https://www.boe.es/gazeta/dias/1834/04/14/pdfs/GMD-1834-53.pdf#page=4","Abrir facsímil")</f>
        <v>Abrir facsímil</v>
      </c>
      <c r="K10790" s="10" t="s">
        <v>24</v>
      </c>
    </row>
    <row r="10791" spans="1:11" ht="54" customHeight="1">
      <c r="A10791" s="9" t="s">
        <v>22384</v>
      </c>
      <c r="B10791" s="9" t="s">
        <v>22384</v>
      </c>
      <c r="C10791" s="9" t="s">
        <v>17</v>
      </c>
      <c r="D10791" s="9" t="s">
        <v>18</v>
      </c>
      <c r="E10791" s="10" t="s">
        <v>222</v>
      </c>
      <c r="F10791" s="9" t="s">
        <v>223</v>
      </c>
      <c r="G10791" s="10" t="s">
        <v>75</v>
      </c>
      <c r="H10791" s="9" t="s">
        <v>22</v>
      </c>
      <c r="I10791" s="9" t="s">
        <v>22400</v>
      </c>
      <c r="J10791" s="10" t="str">
        <f>HYPERLINK("https://www.boe.es/gazeta/dias/1834/09/14/pdfs/GMD-1834-212.pdf#page=4","Abrir facsímil")</f>
        <v>Abrir facsímil</v>
      </c>
      <c r="K10791" s="10" t="s">
        <v>24</v>
      </c>
    </row>
    <row r="10792" spans="1:11" ht="54" customHeight="1">
      <c r="A10792" s="9" t="s">
        <v>22384</v>
      </c>
      <c r="B10792" s="9" t="s">
        <v>22384</v>
      </c>
      <c r="C10792" s="9" t="s">
        <v>66</v>
      </c>
      <c r="D10792" s="9" t="s">
        <v>101</v>
      </c>
      <c r="E10792" s="10" t="s">
        <v>448</v>
      </c>
      <c r="F10792" s="9" t="s">
        <v>2058</v>
      </c>
      <c r="G10792" s="10" t="s">
        <v>86</v>
      </c>
      <c r="H10792" s="9" t="s">
        <v>22</v>
      </c>
      <c r="I10792" s="9" t="s">
        <v>22401</v>
      </c>
      <c r="J10792" s="10" t="str">
        <f>HYPERLINK("https://www.boe.es/gazeta/dias/1834/10/14/pdfs/GMD-1834-242.pdf#page=2","Abrir facsímil")</f>
        <v>Abrir facsímil</v>
      </c>
      <c r="K10792" s="10" t="s">
        <v>24</v>
      </c>
    </row>
    <row r="10793" spans="1:11" ht="54" customHeight="1">
      <c r="A10793" s="9" t="s">
        <v>22384</v>
      </c>
      <c r="B10793" s="9" t="s">
        <v>22384</v>
      </c>
      <c r="C10793" s="9" t="s">
        <v>66</v>
      </c>
      <c r="D10793" s="9" t="s">
        <v>67</v>
      </c>
      <c r="E10793" s="10" t="s">
        <v>1234</v>
      </c>
      <c r="F10793" s="9" t="s">
        <v>1455</v>
      </c>
      <c r="G10793" s="10" t="s">
        <v>21</v>
      </c>
      <c r="H10793" s="9" t="s">
        <v>22</v>
      </c>
      <c r="I10793" s="9" t="s">
        <v>22402</v>
      </c>
      <c r="J10793" s="10" t="str">
        <f>HYPERLINK("https://www.boe.es/gazeta/dias/1834/05/15/pdfs/GMD-1834-84.pdf#page=3","Abrir facsímil")</f>
        <v>Abrir facsímil</v>
      </c>
      <c r="K10793" s="10" t="s">
        <v>24</v>
      </c>
    </row>
    <row r="10794" spans="1:11" ht="54" customHeight="1">
      <c r="A10794" s="9" t="s">
        <v>22384</v>
      </c>
      <c r="B10794" s="9" t="s">
        <v>22384</v>
      </c>
      <c r="C10794" s="9" t="s">
        <v>66</v>
      </c>
      <c r="D10794" s="9" t="s">
        <v>67</v>
      </c>
      <c r="E10794" s="10" t="s">
        <v>2398</v>
      </c>
      <c r="F10794" s="9" t="s">
        <v>2399</v>
      </c>
      <c r="G10794" s="10" t="s">
        <v>75</v>
      </c>
      <c r="H10794" s="9" t="s">
        <v>22</v>
      </c>
      <c r="I10794" s="9" t="s">
        <v>22403</v>
      </c>
      <c r="J10794" s="10" t="str">
        <f>HYPERLINK("https://www.boe.es/gazeta/dias/1834/01/16/pdfs/GMD-1834-8.pdf#page=4","Abrir facsímil")</f>
        <v>Abrir facsímil</v>
      </c>
      <c r="K10794" s="10" t="s">
        <v>24</v>
      </c>
    </row>
    <row r="10795" spans="1:11" ht="54" customHeight="1">
      <c r="A10795" s="9" t="s">
        <v>22384</v>
      </c>
      <c r="B10795" s="9" t="s">
        <v>22384</v>
      </c>
      <c r="C10795" s="9" t="s">
        <v>122</v>
      </c>
      <c r="D10795" s="9" t="s">
        <v>40</v>
      </c>
      <c r="E10795" s="10" t="s">
        <v>1125</v>
      </c>
      <c r="F10795" s="9" t="s">
        <v>1126</v>
      </c>
      <c r="G10795" s="10" t="s">
        <v>34</v>
      </c>
      <c r="H10795" s="9" t="s">
        <v>22</v>
      </c>
      <c r="I10795" s="9" t="s">
        <v>22404</v>
      </c>
      <c r="J10795" s="10" t="str">
        <f>HYPERLINK("https://www.boe.es/gazeta/dias/1834/04/17/pdfs/GMD-C-1834-56.pdf#page=1","Abrir facsímil")</f>
        <v>Abrir facsímil</v>
      </c>
      <c r="K10795" s="10" t="s">
        <v>24</v>
      </c>
    </row>
    <row r="10796" spans="1:11" ht="54" customHeight="1">
      <c r="A10796" s="9" t="s">
        <v>22384</v>
      </c>
      <c r="B10796" s="9" t="s">
        <v>22384</v>
      </c>
      <c r="C10796" s="9" t="s">
        <v>66</v>
      </c>
      <c r="D10796" s="9" t="s">
        <v>67</v>
      </c>
      <c r="E10796" s="10" t="s">
        <v>1119</v>
      </c>
      <c r="F10796" s="9" t="s">
        <v>1120</v>
      </c>
      <c r="G10796" s="10" t="s">
        <v>21</v>
      </c>
      <c r="H10796" s="9" t="s">
        <v>22</v>
      </c>
      <c r="I10796" s="9" t="s">
        <v>22405</v>
      </c>
      <c r="J10796" s="10" t="str">
        <f>HYPERLINK("https://www.boe.es/gazeta/dias/1834/07/17/pdfs/GMD-1834-150.pdf#page=3","Abrir facsímil")</f>
        <v>Abrir facsímil</v>
      </c>
      <c r="K10796" s="10" t="s">
        <v>24</v>
      </c>
    </row>
    <row r="10797" spans="1:11" ht="54" customHeight="1">
      <c r="A10797" s="9" t="s">
        <v>22384</v>
      </c>
      <c r="B10797" s="9" t="s">
        <v>22384</v>
      </c>
      <c r="C10797" s="9" t="s">
        <v>66</v>
      </c>
      <c r="D10797" s="9" t="s">
        <v>67</v>
      </c>
      <c r="E10797" s="10" t="s">
        <v>19</v>
      </c>
      <c r="F10797" s="9" t="s">
        <v>1933</v>
      </c>
      <c r="G10797" s="10" t="s">
        <v>34</v>
      </c>
      <c r="H10797" s="9" t="s">
        <v>22</v>
      </c>
      <c r="I10797" s="9" t="s">
        <v>22406</v>
      </c>
      <c r="J10797" s="10" t="str">
        <f>HYPERLINK("https://www.boe.es/gazeta/dias/1834/08/17/pdfs/GMD-1834-183E.pdf#page=1","Abrir facsímil")</f>
        <v>Abrir facsímil</v>
      </c>
      <c r="K10797" s="10" t="s">
        <v>24</v>
      </c>
    </row>
    <row r="10798" spans="1:11" ht="54" customHeight="1">
      <c r="A10798" s="9" t="s">
        <v>22384</v>
      </c>
      <c r="B10798" s="9" t="s">
        <v>22384</v>
      </c>
      <c r="C10798" s="9" t="s">
        <v>90</v>
      </c>
      <c r="D10798" s="9" t="s">
        <v>18</v>
      </c>
      <c r="E10798" s="10" t="s">
        <v>8200</v>
      </c>
      <c r="F10798" s="9" t="s">
        <v>8201</v>
      </c>
      <c r="G10798" s="10" t="s">
        <v>86</v>
      </c>
      <c r="H10798" s="9" t="s">
        <v>22</v>
      </c>
      <c r="I10798" s="9" t="s">
        <v>22407</v>
      </c>
      <c r="J10798" s="10" t="str">
        <f>HYPERLINK("https://www.boe.es/gazeta/dias/1834/11/17/pdfs/GMD-1834-276.pdf#page=2","Abrir facsímil")</f>
        <v>Abrir facsímil</v>
      </c>
      <c r="K10798" s="10" t="s">
        <v>24</v>
      </c>
    </row>
    <row r="10799" spans="1:11" ht="54" customHeight="1">
      <c r="A10799" s="9" t="s">
        <v>22384</v>
      </c>
      <c r="B10799" s="9" t="s">
        <v>22384</v>
      </c>
      <c r="C10799" s="9" t="s">
        <v>17</v>
      </c>
      <c r="D10799" s="9" t="s">
        <v>18</v>
      </c>
      <c r="E10799" s="10" t="s">
        <v>2278</v>
      </c>
      <c r="F10799" s="9" t="s">
        <v>3687</v>
      </c>
      <c r="G10799" s="10" t="s">
        <v>34</v>
      </c>
      <c r="H10799" s="9" t="s">
        <v>22</v>
      </c>
      <c r="I10799" s="9" t="s">
        <v>22408</v>
      </c>
      <c r="J10799" s="10" t="str">
        <f>HYPERLINK("https://www.boe.es/gazeta/dias/1834/12/17/pdfs/GMD-1834-307E.pdf#page=1","Abrir facsímil")</f>
        <v>Abrir facsímil</v>
      </c>
      <c r="K10799" s="10" t="s">
        <v>24</v>
      </c>
    </row>
    <row r="10800" spans="1:11" ht="54" customHeight="1">
      <c r="A10800" s="9" t="s">
        <v>22384</v>
      </c>
      <c r="B10800" s="9" t="s">
        <v>22384</v>
      </c>
      <c r="C10800" s="9" t="s">
        <v>90</v>
      </c>
      <c r="D10800" s="9" t="s">
        <v>18</v>
      </c>
      <c r="E10800" s="10" t="s">
        <v>1850</v>
      </c>
      <c r="F10800" s="9" t="s">
        <v>1851</v>
      </c>
      <c r="G10800" s="10" t="s">
        <v>28</v>
      </c>
      <c r="H10800" s="9" t="s">
        <v>22</v>
      </c>
      <c r="I10800" s="9" t="s">
        <v>22409</v>
      </c>
      <c r="J10800" s="10" t="str">
        <f>HYPERLINK("https://www.boe.es/gazeta/dias/1834/02/18/pdfs/GMD-1834-22.pdf#page=5","Abrir facsímil")</f>
        <v>Abrir facsímil</v>
      </c>
      <c r="K10800" s="10" t="s">
        <v>24</v>
      </c>
    </row>
    <row r="10801" spans="1:11" ht="54" customHeight="1">
      <c r="A10801" s="9" t="s">
        <v>22384</v>
      </c>
      <c r="B10801" s="9" t="s">
        <v>22384</v>
      </c>
      <c r="C10801" s="9" t="s">
        <v>66</v>
      </c>
      <c r="D10801" s="9" t="s">
        <v>67</v>
      </c>
      <c r="E10801" s="10" t="s">
        <v>1850</v>
      </c>
      <c r="F10801" s="9" t="s">
        <v>1851</v>
      </c>
      <c r="G10801" s="10" t="s">
        <v>176</v>
      </c>
      <c r="H10801" s="9" t="s">
        <v>22</v>
      </c>
      <c r="I10801" s="9" t="s">
        <v>22410</v>
      </c>
      <c r="J10801" s="10" t="str">
        <f>HYPERLINK("https://www.boe.es/gazeta/dias/1834/02/18/pdfs/GMD-1834-22.pdf#page=6","Abrir facsímil")</f>
        <v>Abrir facsímil</v>
      </c>
      <c r="K10801" s="10" t="s">
        <v>24</v>
      </c>
    </row>
    <row r="10802" spans="1:11" ht="54" customHeight="1">
      <c r="A10802" s="9" t="s">
        <v>22384</v>
      </c>
      <c r="B10802" s="9" t="s">
        <v>22384</v>
      </c>
      <c r="C10802" s="9" t="s">
        <v>122</v>
      </c>
      <c r="D10802" s="9" t="s">
        <v>18</v>
      </c>
      <c r="E10802" s="10" t="s">
        <v>2287</v>
      </c>
      <c r="F10802" s="9" t="s">
        <v>4741</v>
      </c>
      <c r="G10802" s="10" t="s">
        <v>21</v>
      </c>
      <c r="H10802" s="9" t="s">
        <v>22</v>
      </c>
      <c r="I10802" s="9" t="s">
        <v>22411</v>
      </c>
      <c r="J10802" s="10" t="str">
        <f>HYPERLINK("https://www.boe.es/gazeta/dias/1834/12/18/pdfs/GMD-1834-308.pdf#page=3","Abrir facsímil")</f>
        <v>Abrir facsímil</v>
      </c>
      <c r="K10802" s="10" t="s">
        <v>24</v>
      </c>
    </row>
    <row r="10803" spans="1:11" ht="54" customHeight="1">
      <c r="A10803" s="9" t="s">
        <v>22384</v>
      </c>
      <c r="B10803" s="9" t="s">
        <v>22384</v>
      </c>
      <c r="C10803" s="9" t="s">
        <v>17</v>
      </c>
      <c r="D10803" s="9" t="s">
        <v>18</v>
      </c>
      <c r="E10803" s="10" t="s">
        <v>3248</v>
      </c>
      <c r="F10803" s="9" t="s">
        <v>3249</v>
      </c>
      <c r="G10803" s="10" t="s">
        <v>21</v>
      </c>
      <c r="H10803" s="9" t="s">
        <v>22</v>
      </c>
      <c r="I10803" s="9" t="s">
        <v>22412</v>
      </c>
      <c r="J10803" s="10" t="str">
        <f>HYPERLINK("https://www.boe.es/gazeta/dias/1834/09/20/pdfs/GMD-1834-218.pdf#page=3","Abrir facsímil")</f>
        <v>Abrir facsímil</v>
      </c>
      <c r="K10803" s="10" t="s">
        <v>24</v>
      </c>
    </row>
    <row r="10804" spans="1:11" ht="54" customHeight="1">
      <c r="A10804" s="9" t="s">
        <v>22384</v>
      </c>
      <c r="B10804" s="9" t="s">
        <v>22384</v>
      </c>
      <c r="C10804" s="9" t="s">
        <v>66</v>
      </c>
      <c r="D10804" s="9" t="s">
        <v>40</v>
      </c>
      <c r="E10804" s="10" t="s">
        <v>535</v>
      </c>
      <c r="F10804" s="9" t="s">
        <v>536</v>
      </c>
      <c r="G10804" s="10" t="s">
        <v>21</v>
      </c>
      <c r="H10804" s="9" t="s">
        <v>22</v>
      </c>
      <c r="I10804" s="9" t="s">
        <v>22413</v>
      </c>
      <c r="J10804" s="10" t="str">
        <f>HYPERLINK("https://www.boe.es/gazeta/dias/1834/05/21/pdfs/GMD-1834-90.pdf#page=3","Abrir facsímil")</f>
        <v>Abrir facsímil</v>
      </c>
      <c r="K10804" s="10" t="s">
        <v>24</v>
      </c>
    </row>
    <row r="10805" spans="1:11" ht="54" customHeight="1">
      <c r="A10805" s="9" t="s">
        <v>22384</v>
      </c>
      <c r="B10805" s="9" t="s">
        <v>22384</v>
      </c>
      <c r="C10805" s="9" t="s">
        <v>66</v>
      </c>
      <c r="D10805" s="9" t="s">
        <v>67</v>
      </c>
      <c r="E10805" s="10" t="s">
        <v>981</v>
      </c>
      <c r="F10805" s="9" t="s">
        <v>982</v>
      </c>
      <c r="G10805" s="10" t="s">
        <v>21</v>
      </c>
      <c r="H10805" s="9" t="s">
        <v>22</v>
      </c>
      <c r="I10805" s="9" t="s">
        <v>22414</v>
      </c>
      <c r="J10805" s="10" t="str">
        <f>HYPERLINK("https://www.boe.es/gazeta/dias/1834/09/21/pdfs/GMD-1834-219.pdf#page=3","Abrir facsímil")</f>
        <v>Abrir facsímil</v>
      </c>
      <c r="K10805" s="10" t="s">
        <v>24</v>
      </c>
    </row>
    <row r="10806" spans="1:11" ht="54" customHeight="1">
      <c r="A10806" s="9" t="s">
        <v>22384</v>
      </c>
      <c r="B10806" s="9" t="s">
        <v>22384</v>
      </c>
      <c r="C10806" s="9" t="s">
        <v>17</v>
      </c>
      <c r="D10806" s="9" t="s">
        <v>18</v>
      </c>
      <c r="E10806" s="10" t="s">
        <v>1918</v>
      </c>
      <c r="F10806" s="9" t="s">
        <v>1919</v>
      </c>
      <c r="G10806" s="10" t="s">
        <v>75</v>
      </c>
      <c r="H10806" s="9" t="s">
        <v>22</v>
      </c>
      <c r="I10806" s="9" t="s">
        <v>22415</v>
      </c>
      <c r="J10806" s="10" t="str">
        <f>HYPERLINK("https://www.boe.es/gazeta/dias/1834/03/22/pdfs/GMD-1834-36.pdf#page=4","Abrir facsímil")</f>
        <v>Abrir facsímil</v>
      </c>
      <c r="K10806" s="10" t="s">
        <v>24</v>
      </c>
    </row>
    <row r="10807" spans="1:11" ht="54" customHeight="1">
      <c r="A10807" s="9" t="s">
        <v>22384</v>
      </c>
      <c r="B10807" s="9" t="s">
        <v>22384</v>
      </c>
      <c r="C10807" s="9" t="s">
        <v>122</v>
      </c>
      <c r="D10807" s="9" t="s">
        <v>18</v>
      </c>
      <c r="E10807" s="10" t="s">
        <v>1918</v>
      </c>
      <c r="F10807" s="9" t="s">
        <v>2024</v>
      </c>
      <c r="G10807" s="10" t="s">
        <v>86</v>
      </c>
      <c r="H10807" s="9" t="s">
        <v>22</v>
      </c>
      <c r="I10807" s="9" t="s">
        <v>22416</v>
      </c>
      <c r="J10807" s="10" t="str">
        <f>HYPERLINK("https://www.boe.es/gazeta/dias/1834/03/22/pdfs/GMD-C-1834-36.pdf#page=2","Abrir facsímil")</f>
        <v>Abrir facsímil</v>
      </c>
      <c r="K10807" s="10" t="s">
        <v>24</v>
      </c>
    </row>
    <row r="10808" spans="1:11" ht="54" customHeight="1">
      <c r="A10808" s="9" t="s">
        <v>22384</v>
      </c>
      <c r="B10808" s="9" t="s">
        <v>22384</v>
      </c>
      <c r="C10808" s="9" t="s">
        <v>66</v>
      </c>
      <c r="D10808" s="9" t="s">
        <v>18</v>
      </c>
      <c r="E10808" s="10" t="s">
        <v>8279</v>
      </c>
      <c r="F10808" s="9" t="s">
        <v>8280</v>
      </c>
      <c r="G10808" s="10" t="s">
        <v>75</v>
      </c>
      <c r="H10808" s="9" t="s">
        <v>22</v>
      </c>
      <c r="I10808" s="9" t="s">
        <v>22417</v>
      </c>
      <c r="J10808" s="10" t="str">
        <f>HYPERLINK("https://www.boe.es/gazeta/dias/1834/04/22/pdfs/GMD-1834-61.pdf#page=4","Abrir facsímil")</f>
        <v>Abrir facsímil</v>
      </c>
      <c r="K10808" s="10" t="s">
        <v>24</v>
      </c>
    </row>
    <row r="10809" spans="1:11" ht="54" customHeight="1">
      <c r="A10809" s="9" t="s">
        <v>22384</v>
      </c>
      <c r="B10809" s="9" t="s">
        <v>22384</v>
      </c>
      <c r="C10809" s="9" t="s">
        <v>66</v>
      </c>
      <c r="D10809" s="9" t="s">
        <v>55</v>
      </c>
      <c r="E10809" s="10" t="s">
        <v>1323</v>
      </c>
      <c r="F10809" s="9" t="s">
        <v>1324</v>
      </c>
      <c r="G10809" s="10" t="s">
        <v>21</v>
      </c>
      <c r="H10809" s="9" t="s">
        <v>22</v>
      </c>
      <c r="I10809" s="9" t="s">
        <v>22418</v>
      </c>
      <c r="J10809" s="10" t="str">
        <f>HYPERLINK("https://www.boe.es/gazeta/dias/1834/05/22/pdfs/GMD-1834-91.pdf#page=3","Abrir facsímil")</f>
        <v>Abrir facsímil</v>
      </c>
      <c r="K10809" s="10" t="s">
        <v>24</v>
      </c>
    </row>
    <row r="10810" spans="1:11" ht="54" customHeight="1">
      <c r="A10810" s="9" t="s">
        <v>22384</v>
      </c>
      <c r="B10810" s="9" t="s">
        <v>22384</v>
      </c>
      <c r="C10810" s="9" t="s">
        <v>17</v>
      </c>
      <c r="D10810" s="9" t="s">
        <v>18</v>
      </c>
      <c r="E10810" s="10" t="s">
        <v>2302</v>
      </c>
      <c r="F10810" s="9" t="s">
        <v>2303</v>
      </c>
      <c r="G10810" s="10" t="s">
        <v>75</v>
      </c>
      <c r="H10810" s="9" t="s">
        <v>22</v>
      </c>
      <c r="I10810" s="9" t="s">
        <v>22419</v>
      </c>
      <c r="J10810" s="10" t="str">
        <f>HYPERLINK("https://www.boe.es/gazeta/dias/1834/01/25/pdfs/GMD-1834-12.pdf#page=4","Abrir facsímil")</f>
        <v>Abrir facsímil</v>
      </c>
      <c r="K10810" s="10" t="s">
        <v>24</v>
      </c>
    </row>
    <row r="10811" spans="1:11" ht="54" customHeight="1">
      <c r="A10811" s="9" t="s">
        <v>22384</v>
      </c>
      <c r="B10811" s="9" t="s">
        <v>22384</v>
      </c>
      <c r="C10811" s="9" t="s">
        <v>66</v>
      </c>
      <c r="D10811" s="9" t="s">
        <v>67</v>
      </c>
      <c r="E10811" s="10" t="s">
        <v>3499</v>
      </c>
      <c r="F10811" s="9" t="s">
        <v>3500</v>
      </c>
      <c r="G10811" s="10" t="s">
        <v>75</v>
      </c>
      <c r="H10811" s="9" t="s">
        <v>22</v>
      </c>
      <c r="I10811" s="9" t="s">
        <v>22420</v>
      </c>
      <c r="J10811" s="10" t="str">
        <f>HYPERLINK("https://www.boe.es/gazeta/dias/1834/01/28/pdfs/GMD-1834-13.pdf#page=4","Abrir facsímil")</f>
        <v>Abrir facsímil</v>
      </c>
      <c r="K10811" s="10" t="s">
        <v>24</v>
      </c>
    </row>
    <row r="10812" spans="1:11" ht="54" customHeight="1">
      <c r="A10812" s="9" t="s">
        <v>22384</v>
      </c>
      <c r="B10812" s="9" t="s">
        <v>22384</v>
      </c>
      <c r="C10812" s="9" t="s">
        <v>66</v>
      </c>
      <c r="D10812" s="9" t="s">
        <v>67</v>
      </c>
      <c r="E10812" s="10" t="s">
        <v>870</v>
      </c>
      <c r="F10812" s="9" t="s">
        <v>871</v>
      </c>
      <c r="G10812" s="10" t="s">
        <v>75</v>
      </c>
      <c r="H10812" s="9" t="s">
        <v>22</v>
      </c>
      <c r="I10812" s="9" t="s">
        <v>22421</v>
      </c>
      <c r="J10812" s="10" t="str">
        <f>HYPERLINK("https://www.boe.es/gazeta/dias/1834/05/28/pdfs/GMD-1834-97.pdf#page=4","Abrir facsímil")</f>
        <v>Abrir facsímil</v>
      </c>
      <c r="K10812" s="10" t="s">
        <v>24</v>
      </c>
    </row>
    <row r="10813" spans="1:11" ht="54" customHeight="1">
      <c r="A10813" s="9" t="s">
        <v>22384</v>
      </c>
      <c r="B10813" s="9" t="s">
        <v>22384</v>
      </c>
      <c r="C10813" s="9" t="s">
        <v>17</v>
      </c>
      <c r="D10813" s="9" t="s">
        <v>18</v>
      </c>
      <c r="E10813" s="10" t="s">
        <v>5904</v>
      </c>
      <c r="F10813" s="9" t="s">
        <v>5905</v>
      </c>
      <c r="G10813" s="10" t="s">
        <v>21</v>
      </c>
      <c r="H10813" s="9" t="s">
        <v>22</v>
      </c>
      <c r="I10813" s="9" t="s">
        <v>22422</v>
      </c>
      <c r="J10813" s="10" t="str">
        <f>HYPERLINK("https://www.boe.es/gazeta/dias/1834/09/29/pdfs/GMD-1834-227.pdf#page=3","Abrir facsímil")</f>
        <v>Abrir facsímil</v>
      </c>
      <c r="K10813" s="10" t="s">
        <v>24</v>
      </c>
    </row>
    <row r="10814" spans="1:11" ht="54" customHeight="1">
      <c r="A10814" s="9" t="s">
        <v>22384</v>
      </c>
      <c r="B10814" s="9" t="s">
        <v>22384</v>
      </c>
      <c r="C10814" s="9" t="s">
        <v>17</v>
      </c>
      <c r="D10814" s="9" t="s">
        <v>40</v>
      </c>
      <c r="E10814" s="10" t="s">
        <v>5904</v>
      </c>
      <c r="F10814" s="9" t="s">
        <v>5905</v>
      </c>
      <c r="G10814" s="10" t="s">
        <v>75</v>
      </c>
      <c r="H10814" s="9" t="s">
        <v>22</v>
      </c>
      <c r="I10814" s="9" t="s">
        <v>22423</v>
      </c>
      <c r="J10814" s="10" t="str">
        <f>HYPERLINK("https://www.boe.es/gazeta/dias/1834/09/29/pdfs/GMD-1834-227.pdf#page=4","Abrir facsímil")</f>
        <v>Abrir facsímil</v>
      </c>
      <c r="K10814" s="10" t="s">
        <v>24</v>
      </c>
    </row>
    <row r="10815" spans="1:11" ht="54" customHeight="1">
      <c r="A10815" s="9" t="s">
        <v>22384</v>
      </c>
      <c r="B10815" s="9" t="s">
        <v>22384</v>
      </c>
      <c r="C10815" s="9" t="s">
        <v>66</v>
      </c>
      <c r="D10815" s="9" t="s">
        <v>18</v>
      </c>
      <c r="E10815" s="10" t="s">
        <v>1695</v>
      </c>
      <c r="F10815" s="9" t="s">
        <v>1696</v>
      </c>
      <c r="G10815" s="10" t="s">
        <v>21</v>
      </c>
      <c r="H10815" s="9" t="s">
        <v>22</v>
      </c>
      <c r="I10815" s="9" t="s">
        <v>22424</v>
      </c>
      <c r="J10815" s="10" t="str">
        <f>HYPERLINK("https://www.boe.es/gazeta/dias/1834/06/30/pdfs/GMD-1834-133.pdf#page=3","Abrir facsímil")</f>
        <v>Abrir facsímil</v>
      </c>
      <c r="K10815" s="10" t="s">
        <v>24</v>
      </c>
    </row>
    <row r="10816" spans="1:11" ht="54" customHeight="1">
      <c r="A10816" s="9" t="s">
        <v>22384</v>
      </c>
      <c r="B10816" s="9" t="s">
        <v>22384</v>
      </c>
      <c r="C10816" s="9" t="s">
        <v>66</v>
      </c>
      <c r="D10816" s="9" t="s">
        <v>67</v>
      </c>
      <c r="E10816" s="10" t="s">
        <v>286</v>
      </c>
      <c r="F10816" s="9" t="s">
        <v>287</v>
      </c>
      <c r="G10816" s="10" t="s">
        <v>21</v>
      </c>
      <c r="H10816" s="9" t="s">
        <v>22</v>
      </c>
      <c r="I10816" s="9" t="s">
        <v>22425</v>
      </c>
      <c r="J10816" s="10" t="str">
        <f>HYPERLINK("https://www.boe.es/gazeta/dias/1834/08/30/pdfs/GMD-D-1834-196.pdf#page=3","Abrir facsímil")</f>
        <v>Abrir facsímil</v>
      </c>
      <c r="K10816" s="10" t="s">
        <v>24</v>
      </c>
    </row>
    <row r="10817" spans="1:11" ht="54" customHeight="1">
      <c r="A10817" s="9" t="s">
        <v>22426</v>
      </c>
      <c r="B10817" s="9" t="s">
        <v>22426</v>
      </c>
      <c r="C10817" s="9" t="s">
        <v>46</v>
      </c>
      <c r="D10817" s="9" t="s">
        <v>18</v>
      </c>
      <c r="E10817" s="10" t="s">
        <v>891</v>
      </c>
      <c r="F10817" s="9" t="s">
        <v>892</v>
      </c>
      <c r="G10817" s="10" t="s">
        <v>21</v>
      </c>
      <c r="H10817" s="9" t="s">
        <v>22</v>
      </c>
      <c r="I10817" s="9" t="s">
        <v>22427</v>
      </c>
      <c r="J10817" s="10" t="str">
        <f>HYPERLINK("https://www.boe.es/gazeta/dias/1834/10/31/pdfs/GMD-C-1834-259.pdf#page=3","Abrir facsímil")</f>
        <v>Abrir facsímil</v>
      </c>
      <c r="K10817" s="10" t="s">
        <v>24</v>
      </c>
    </row>
    <row r="10818" spans="1:11" ht="54" customHeight="1">
      <c r="A10818" s="9" t="s">
        <v>22428</v>
      </c>
      <c r="B10818" s="9" t="s">
        <v>22428</v>
      </c>
      <c r="C10818" s="9" t="s">
        <v>66</v>
      </c>
      <c r="D10818" s="9" t="s">
        <v>67</v>
      </c>
      <c r="E10818" s="10" t="s">
        <v>833</v>
      </c>
      <c r="F10818" s="9" t="s">
        <v>834</v>
      </c>
      <c r="G10818" s="10" t="s">
        <v>75</v>
      </c>
      <c r="H10818" s="9" t="s">
        <v>22</v>
      </c>
      <c r="I10818" s="9" t="s">
        <v>22429</v>
      </c>
      <c r="J10818" s="10" t="str">
        <f>HYPERLINK("https://www.boe.es/gazeta/dias/1834/04/24/pdfs/GMD-1834-63.pdf#page=4","Abrir facsímil")</f>
        <v>Abrir facsímil</v>
      </c>
      <c r="K10818" s="10" t="s">
        <v>24</v>
      </c>
    </row>
    <row r="10819" spans="1:11" ht="54" customHeight="1">
      <c r="A10819" s="9" t="s">
        <v>22430</v>
      </c>
      <c r="B10819" s="9" t="s">
        <v>22431</v>
      </c>
      <c r="C10819" s="9" t="s">
        <v>17</v>
      </c>
      <c r="D10819" s="9" t="s">
        <v>40</v>
      </c>
      <c r="E10819" s="10" t="s">
        <v>426</v>
      </c>
      <c r="F10819" s="9" t="s">
        <v>694</v>
      </c>
      <c r="G10819" s="10" t="s">
        <v>34</v>
      </c>
      <c r="H10819" s="9" t="s">
        <v>35</v>
      </c>
      <c r="I10819" s="9" t="s">
        <v>22432</v>
      </c>
      <c r="J10819" s="10" t="str">
        <f>HYPERLINK("https://www.boe.es/gazeta/dias/1834/10/04/pdfs/GMD-C-1834-232.pdf#page=1","Abrir facsímil")</f>
        <v>Abrir facsímil</v>
      </c>
      <c r="K10819" s="10" t="s">
        <v>37</v>
      </c>
    </row>
    <row r="10820" spans="1:11" ht="54" customHeight="1">
      <c r="A10820" s="9" t="s">
        <v>22433</v>
      </c>
      <c r="B10820" s="9" t="s">
        <v>22434</v>
      </c>
      <c r="C10820" s="9" t="s">
        <v>17</v>
      </c>
      <c r="D10820" s="9" t="s">
        <v>55</v>
      </c>
      <c r="E10820" s="10" t="s">
        <v>364</v>
      </c>
      <c r="F10820" s="9" t="s">
        <v>365</v>
      </c>
      <c r="G10820" s="10" t="s">
        <v>34</v>
      </c>
      <c r="H10820" s="9" t="s">
        <v>35</v>
      </c>
      <c r="I10820" s="9" t="s">
        <v>22435</v>
      </c>
      <c r="J10820" s="10" t="str">
        <f>HYPERLINK("https://www.boe.es/gazeta/dias/1834/09/06/pdfs/GMD-D-1834-204.pdf#page=1","Abrir facsímil")</f>
        <v>Abrir facsímil</v>
      </c>
      <c r="K10820" s="10" t="s">
        <v>37</v>
      </c>
    </row>
    <row r="10821" spans="1:11" ht="54" customHeight="1">
      <c r="A10821" s="9" t="s">
        <v>22433</v>
      </c>
      <c r="B10821" s="9" t="s">
        <v>22434</v>
      </c>
      <c r="C10821" s="9" t="s">
        <v>46</v>
      </c>
      <c r="D10821" s="9" t="s">
        <v>101</v>
      </c>
      <c r="E10821" s="10" t="s">
        <v>1178</v>
      </c>
      <c r="F10821" s="9" t="s">
        <v>1179</v>
      </c>
      <c r="G10821" s="10" t="s">
        <v>34</v>
      </c>
      <c r="H10821" s="9" t="s">
        <v>35</v>
      </c>
      <c r="I10821" s="9" t="s">
        <v>22436</v>
      </c>
      <c r="J10821" s="10" t="str">
        <f>HYPERLINK("https://www.boe.es/gazeta/dias/1834/04/10/pdfs/GMD-C-1834-49.pdf#page=1","Abrir facsímil")</f>
        <v>Abrir facsímil</v>
      </c>
      <c r="K10821" s="10" t="s">
        <v>37</v>
      </c>
    </row>
    <row r="10822" spans="1:11" ht="54" customHeight="1">
      <c r="A10822" s="9" t="s">
        <v>22433</v>
      </c>
      <c r="B10822" s="9" t="s">
        <v>22434</v>
      </c>
      <c r="C10822" s="9" t="s">
        <v>90</v>
      </c>
      <c r="D10822" s="9" t="s">
        <v>67</v>
      </c>
      <c r="E10822" s="10" t="s">
        <v>808</v>
      </c>
      <c r="F10822" s="9" t="s">
        <v>809</v>
      </c>
      <c r="G10822" s="10" t="s">
        <v>21</v>
      </c>
      <c r="H10822" s="9" t="s">
        <v>35</v>
      </c>
      <c r="I10822" s="9" t="s">
        <v>22437</v>
      </c>
      <c r="J10822" s="10" t="str">
        <f>HYPERLINK("https://www.boe.es/gazeta/dias/1834/10/11/pdfs/GMD-1834-239.pdf#page=3","Abrir facsímil")</f>
        <v>Abrir facsímil</v>
      </c>
      <c r="K10822" s="10" t="s">
        <v>37</v>
      </c>
    </row>
    <row r="10823" spans="1:11" ht="54" customHeight="1">
      <c r="A10823" s="9" t="s">
        <v>22433</v>
      </c>
      <c r="B10823" s="9" t="s">
        <v>22434</v>
      </c>
      <c r="C10823" s="9" t="s">
        <v>122</v>
      </c>
      <c r="D10823" s="9" t="s">
        <v>18</v>
      </c>
      <c r="E10823" s="10" t="s">
        <v>1394</v>
      </c>
      <c r="F10823" s="9" t="s">
        <v>2923</v>
      </c>
      <c r="G10823" s="10" t="s">
        <v>34</v>
      </c>
      <c r="H10823" s="9" t="s">
        <v>35</v>
      </c>
      <c r="I10823" s="9" t="s">
        <v>22438</v>
      </c>
      <c r="J10823" s="10" t="str">
        <f>HYPERLINK("https://www.boe.es/gazeta/dias/1834/04/16/pdfs/GMD-C-1834-55.pdf#page=1","Abrir facsímil")</f>
        <v>Abrir facsímil</v>
      </c>
      <c r="K10823" s="10" t="s">
        <v>37</v>
      </c>
    </row>
    <row r="10824" spans="1:11" ht="54" customHeight="1">
      <c r="A10824" s="9" t="s">
        <v>22433</v>
      </c>
      <c r="B10824" s="9" t="s">
        <v>22434</v>
      </c>
      <c r="C10824" s="9" t="s">
        <v>17</v>
      </c>
      <c r="D10824" s="9" t="s">
        <v>18</v>
      </c>
      <c r="E10824" s="10" t="s">
        <v>1125</v>
      </c>
      <c r="F10824" s="9" t="s">
        <v>1126</v>
      </c>
      <c r="G10824" s="10" t="s">
        <v>34</v>
      </c>
      <c r="H10824" s="9" t="s">
        <v>35</v>
      </c>
      <c r="I10824" s="9" t="s">
        <v>22439</v>
      </c>
      <c r="J10824" s="10" t="str">
        <f>HYPERLINK("https://www.boe.es/gazeta/dias/1834/04/17/pdfs/GMD-C-1834-56.pdf#page=1","Abrir facsímil")</f>
        <v>Abrir facsímil</v>
      </c>
      <c r="K10824" s="10" t="s">
        <v>37</v>
      </c>
    </row>
    <row r="10825" spans="1:11" ht="54" customHeight="1">
      <c r="A10825" s="9" t="s">
        <v>22433</v>
      </c>
      <c r="B10825" s="9" t="s">
        <v>22434</v>
      </c>
      <c r="C10825" s="9" t="s">
        <v>90</v>
      </c>
      <c r="D10825" s="9" t="s">
        <v>67</v>
      </c>
      <c r="E10825" s="10" t="s">
        <v>524</v>
      </c>
      <c r="F10825" s="9" t="s">
        <v>525</v>
      </c>
      <c r="G10825" s="10" t="s">
        <v>34</v>
      </c>
      <c r="H10825" s="9" t="s">
        <v>35</v>
      </c>
      <c r="I10825" s="9" t="s">
        <v>22440</v>
      </c>
      <c r="J10825" s="10" t="str">
        <f>HYPERLINK("https://www.boe.es/gazeta/dias/1834/12/25/pdfs/GMD-C-1834-315.pdf#page=1","Abrir facsímil")</f>
        <v>Abrir facsímil</v>
      </c>
      <c r="K10825" s="10" t="s">
        <v>37</v>
      </c>
    </row>
    <row r="10826" spans="1:11" ht="54" customHeight="1">
      <c r="A10826" s="9" t="s">
        <v>22433</v>
      </c>
      <c r="B10826" s="9" t="s">
        <v>22434</v>
      </c>
      <c r="C10826" s="9" t="s">
        <v>66</v>
      </c>
      <c r="D10826" s="9" t="s">
        <v>67</v>
      </c>
      <c r="E10826" s="10" t="s">
        <v>2142</v>
      </c>
      <c r="F10826" s="9" t="s">
        <v>2143</v>
      </c>
      <c r="G10826" s="10" t="s">
        <v>21</v>
      </c>
      <c r="H10826" s="9" t="s">
        <v>35</v>
      </c>
      <c r="I10826" s="9" t="s">
        <v>22441</v>
      </c>
      <c r="J10826" s="10" t="str">
        <f>HYPERLINK("https://www.boe.es/gazeta/dias/1834/12/27/pdfs/GMD-1834-317.pdf#page=3","Abrir facsímil")</f>
        <v>Abrir facsímil</v>
      </c>
      <c r="K10826" s="10" t="s">
        <v>37</v>
      </c>
    </row>
    <row r="10827" spans="1:11" ht="54" customHeight="1">
      <c r="A10827" s="9" t="s">
        <v>22433</v>
      </c>
      <c r="B10827" s="9" t="s">
        <v>22434</v>
      </c>
      <c r="C10827" s="9" t="s">
        <v>17</v>
      </c>
      <c r="D10827" s="9" t="s">
        <v>101</v>
      </c>
      <c r="E10827" s="10" t="s">
        <v>468</v>
      </c>
      <c r="F10827" s="9" t="s">
        <v>11413</v>
      </c>
      <c r="G10827" s="10" t="s">
        <v>21</v>
      </c>
      <c r="H10827" s="9" t="s">
        <v>35</v>
      </c>
      <c r="I10827" s="9" t="s">
        <v>22442</v>
      </c>
      <c r="J10827" s="10" t="str">
        <f>HYPERLINK("https://www.boe.es/gazeta/dias/1834/12/28/pdfs/GMD-1834-318.pdf#page=3","Abrir facsímil")</f>
        <v>Abrir facsímil</v>
      </c>
      <c r="K10827" s="10" t="s">
        <v>37</v>
      </c>
    </row>
    <row r="10828" spans="1:11" ht="54" customHeight="1">
      <c r="A10828" s="9" t="s">
        <v>22443</v>
      </c>
      <c r="B10828" s="9" t="s">
        <v>22444</v>
      </c>
      <c r="C10828" s="9" t="s">
        <v>17</v>
      </c>
      <c r="D10828" s="9" t="s">
        <v>40</v>
      </c>
      <c r="E10828" s="10" t="s">
        <v>426</v>
      </c>
      <c r="F10828" s="9" t="s">
        <v>694</v>
      </c>
      <c r="G10828" s="10" t="s">
        <v>34</v>
      </c>
      <c r="H10828" s="9" t="s">
        <v>22</v>
      </c>
      <c r="I10828" s="9" t="s">
        <v>22445</v>
      </c>
      <c r="J10828" s="10" t="str">
        <f>HYPERLINK("https://www.boe.es/gazeta/dias/1834/10/04/pdfs/GMD-C-1834-232.pdf#page=1","Abrir facsímil")</f>
        <v>Abrir facsímil</v>
      </c>
      <c r="K10828" s="10" t="s">
        <v>24</v>
      </c>
    </row>
    <row r="10829" spans="1:11" ht="54" customHeight="1">
      <c r="A10829" s="9" t="s">
        <v>22446</v>
      </c>
      <c r="B10829" s="9" t="s">
        <v>22447</v>
      </c>
      <c r="C10829" s="9" t="s">
        <v>66</v>
      </c>
      <c r="D10829" s="9" t="s">
        <v>18</v>
      </c>
      <c r="E10829" s="10" t="s">
        <v>1297</v>
      </c>
      <c r="F10829" s="9" t="s">
        <v>1879</v>
      </c>
      <c r="G10829" s="10" t="s">
        <v>34</v>
      </c>
      <c r="H10829" s="9" t="s">
        <v>22</v>
      </c>
      <c r="I10829" s="9" t="s">
        <v>22448</v>
      </c>
      <c r="J10829" s="10" t="str">
        <f>HYPERLINK("https://www.boe.es/gazeta/dias/1834/08/01/pdfs/GMD-D-1834-165.pdf#page=1","Abrir facsímil")</f>
        <v>Abrir facsímil</v>
      </c>
      <c r="K10829" s="10" t="s">
        <v>24</v>
      </c>
    </row>
    <row r="10830" spans="1:11" ht="54" customHeight="1">
      <c r="A10830" s="9" t="s">
        <v>22446</v>
      </c>
      <c r="B10830" s="9" t="s">
        <v>22447</v>
      </c>
      <c r="C10830" s="9" t="s">
        <v>66</v>
      </c>
      <c r="D10830" s="9" t="s">
        <v>67</v>
      </c>
      <c r="E10830" s="10" t="s">
        <v>1337</v>
      </c>
      <c r="F10830" s="9" t="s">
        <v>1906</v>
      </c>
      <c r="G10830" s="10" t="s">
        <v>34</v>
      </c>
      <c r="H10830" s="9" t="s">
        <v>22</v>
      </c>
      <c r="I10830" s="9" t="s">
        <v>22449</v>
      </c>
      <c r="J10830" s="10" t="str">
        <f>HYPERLINK("https://www.boe.es/gazeta/dias/1834/01/02/pdfs/GMD-1834-2E.pdf#page=1","Abrir facsímil")</f>
        <v>Abrir facsímil</v>
      </c>
      <c r="K10830" s="10" t="s">
        <v>24</v>
      </c>
    </row>
    <row r="10831" spans="1:11" ht="54" customHeight="1">
      <c r="A10831" s="9" t="s">
        <v>22450</v>
      </c>
      <c r="B10831" s="9" t="s">
        <v>22451</v>
      </c>
      <c r="C10831" s="9" t="s">
        <v>66</v>
      </c>
      <c r="D10831" s="9" t="s">
        <v>67</v>
      </c>
      <c r="E10831" s="10" t="s">
        <v>1337</v>
      </c>
      <c r="F10831" s="9" t="s">
        <v>1906</v>
      </c>
      <c r="G10831" s="10" t="s">
        <v>86</v>
      </c>
      <c r="H10831" s="9" t="s">
        <v>22</v>
      </c>
      <c r="I10831" s="9" t="s">
        <v>22452</v>
      </c>
      <c r="J10831" s="10" t="str">
        <f>HYPERLINK("https://www.boe.es/gazeta/dias/1834/01/02/pdfs/GMD-1834-2E.pdf#page=2","Abrir facsímil")</f>
        <v>Abrir facsímil</v>
      </c>
      <c r="K10831" s="10" t="s">
        <v>24</v>
      </c>
    </row>
    <row r="10832" spans="1:11" ht="54" customHeight="1">
      <c r="A10832" s="9" t="s">
        <v>22446</v>
      </c>
      <c r="B10832" s="9" t="s">
        <v>22447</v>
      </c>
      <c r="C10832" s="9" t="s">
        <v>17</v>
      </c>
      <c r="D10832" s="9" t="s">
        <v>55</v>
      </c>
      <c r="E10832" s="10" t="s">
        <v>364</v>
      </c>
      <c r="F10832" s="9" t="s">
        <v>365</v>
      </c>
      <c r="G10832" s="10" t="s">
        <v>34</v>
      </c>
      <c r="H10832" s="9" t="s">
        <v>22</v>
      </c>
      <c r="I10832" s="9" t="s">
        <v>22453</v>
      </c>
      <c r="J10832" s="10" t="str">
        <f>HYPERLINK("https://www.boe.es/gazeta/dias/1834/09/06/pdfs/GMD-D-1834-204.pdf#page=1","Abrir facsímil")</f>
        <v>Abrir facsímil</v>
      </c>
      <c r="K10832" s="10" t="s">
        <v>24</v>
      </c>
    </row>
    <row r="10833" spans="1:11" ht="54" customHeight="1">
      <c r="A10833" s="9" t="s">
        <v>22446</v>
      </c>
      <c r="B10833" s="9" t="s">
        <v>22447</v>
      </c>
      <c r="C10833" s="9" t="s">
        <v>66</v>
      </c>
      <c r="D10833" s="9" t="s">
        <v>18</v>
      </c>
      <c r="E10833" s="10" t="s">
        <v>438</v>
      </c>
      <c r="F10833" s="9" t="s">
        <v>439</v>
      </c>
      <c r="G10833" s="10" t="s">
        <v>75</v>
      </c>
      <c r="H10833" s="9" t="s">
        <v>22</v>
      </c>
      <c r="I10833" s="9" t="s">
        <v>22454</v>
      </c>
      <c r="J10833" s="10" t="str">
        <f>HYPERLINK("https://www.boe.es/gazeta/dias/1834/11/09/pdfs/GMD-1834-268.pdf#page=4","Abrir facsímil")</f>
        <v>Abrir facsímil</v>
      </c>
      <c r="K10833" s="10" t="s">
        <v>24</v>
      </c>
    </row>
    <row r="10834" spans="1:11" ht="54" customHeight="1">
      <c r="A10834" s="9" t="s">
        <v>22446</v>
      </c>
      <c r="B10834" s="9" t="s">
        <v>22447</v>
      </c>
      <c r="C10834" s="9" t="s">
        <v>46</v>
      </c>
      <c r="D10834" s="9" t="s">
        <v>101</v>
      </c>
      <c r="E10834" s="10" t="s">
        <v>1178</v>
      </c>
      <c r="F10834" s="9" t="s">
        <v>1179</v>
      </c>
      <c r="G10834" s="10" t="s">
        <v>34</v>
      </c>
      <c r="H10834" s="9" t="s">
        <v>22</v>
      </c>
      <c r="I10834" s="9" t="s">
        <v>22455</v>
      </c>
      <c r="J10834" s="10" t="str">
        <f>HYPERLINK("https://www.boe.es/gazeta/dias/1834/04/10/pdfs/GMD-C-1834-49.pdf#page=1","Abrir facsímil")</f>
        <v>Abrir facsímil</v>
      </c>
      <c r="K10834" s="10" t="s">
        <v>24</v>
      </c>
    </row>
    <row r="10835" spans="1:11" ht="54" customHeight="1">
      <c r="A10835" s="9" t="s">
        <v>22446</v>
      </c>
      <c r="B10835" s="9" t="s">
        <v>22447</v>
      </c>
      <c r="C10835" s="9" t="s">
        <v>90</v>
      </c>
      <c r="D10835" s="9" t="s">
        <v>67</v>
      </c>
      <c r="E10835" s="10" t="s">
        <v>1103</v>
      </c>
      <c r="F10835" s="9" t="s">
        <v>1259</v>
      </c>
      <c r="G10835" s="10" t="s">
        <v>21</v>
      </c>
      <c r="H10835" s="9" t="s">
        <v>22</v>
      </c>
      <c r="I10835" s="9" t="s">
        <v>22456</v>
      </c>
      <c r="J10835" s="10" t="str">
        <f>HYPERLINK("https://www.boe.es/gazeta/dias/1834/10/10/pdfs/GMD-1834-238.pdf#page=3","Abrir facsímil")</f>
        <v>Abrir facsímil</v>
      </c>
      <c r="K10835" s="10" t="s">
        <v>24</v>
      </c>
    </row>
    <row r="10836" spans="1:11" ht="54" customHeight="1">
      <c r="A10836" s="9" t="s">
        <v>22446</v>
      </c>
      <c r="B10836" s="9" t="s">
        <v>22447</v>
      </c>
      <c r="C10836" s="9" t="s">
        <v>90</v>
      </c>
      <c r="D10836" s="9" t="s">
        <v>67</v>
      </c>
      <c r="E10836" s="10" t="s">
        <v>808</v>
      </c>
      <c r="F10836" s="9" t="s">
        <v>809</v>
      </c>
      <c r="G10836" s="10" t="s">
        <v>21</v>
      </c>
      <c r="H10836" s="9" t="s">
        <v>22</v>
      </c>
      <c r="I10836" s="9" t="s">
        <v>22457</v>
      </c>
      <c r="J10836" s="10" t="str">
        <f>HYPERLINK("https://www.boe.es/gazeta/dias/1834/10/11/pdfs/GMD-1834-239.pdf#page=3","Abrir facsímil")</f>
        <v>Abrir facsímil</v>
      </c>
      <c r="K10836" s="10" t="s">
        <v>24</v>
      </c>
    </row>
    <row r="10837" spans="1:11" ht="54" customHeight="1">
      <c r="A10837" s="9" t="s">
        <v>22446</v>
      </c>
      <c r="B10837" s="9" t="s">
        <v>22447</v>
      </c>
      <c r="C10837" s="9" t="s">
        <v>17</v>
      </c>
      <c r="D10837" s="9" t="s">
        <v>18</v>
      </c>
      <c r="E10837" s="10" t="s">
        <v>299</v>
      </c>
      <c r="F10837" s="9" t="s">
        <v>300</v>
      </c>
      <c r="G10837" s="10" t="s">
        <v>75</v>
      </c>
      <c r="H10837" s="9" t="s">
        <v>22</v>
      </c>
      <c r="I10837" s="9" t="s">
        <v>22458</v>
      </c>
      <c r="J10837" s="10" t="str">
        <f>HYPERLINK("https://www.boe.es/gazeta/dias/1834/12/12/pdfs/GMD-1834-301.pdf#page=4","Abrir facsímil")</f>
        <v>Abrir facsímil</v>
      </c>
      <c r="K10837" s="10" t="s">
        <v>24</v>
      </c>
    </row>
    <row r="10838" spans="1:11" ht="54" customHeight="1">
      <c r="A10838" s="9" t="s">
        <v>22446</v>
      </c>
      <c r="B10838" s="9" t="s">
        <v>22447</v>
      </c>
      <c r="C10838" s="9" t="s">
        <v>90</v>
      </c>
      <c r="D10838" s="9" t="s">
        <v>67</v>
      </c>
      <c r="E10838" s="10" t="s">
        <v>451</v>
      </c>
      <c r="F10838" s="9" t="s">
        <v>3350</v>
      </c>
      <c r="G10838" s="10" t="s">
        <v>21</v>
      </c>
      <c r="H10838" s="9" t="s">
        <v>22</v>
      </c>
      <c r="I10838" s="9" t="s">
        <v>22459</v>
      </c>
      <c r="J10838" s="10" t="str">
        <f>HYPERLINK("https://www.boe.es/gazeta/dias/1834/10/15/pdfs/GMD-1834-243.pdf#page=3","Abrir facsímil")</f>
        <v>Abrir facsímil</v>
      </c>
      <c r="K10838" s="10" t="s">
        <v>24</v>
      </c>
    </row>
    <row r="10839" spans="1:11" ht="54" customHeight="1">
      <c r="A10839" s="9" t="s">
        <v>22446</v>
      </c>
      <c r="B10839" s="9" t="s">
        <v>22447</v>
      </c>
      <c r="C10839" s="9" t="s">
        <v>122</v>
      </c>
      <c r="D10839" s="9" t="s">
        <v>18</v>
      </c>
      <c r="E10839" s="10" t="s">
        <v>1394</v>
      </c>
      <c r="F10839" s="9" t="s">
        <v>2923</v>
      </c>
      <c r="G10839" s="10" t="s">
        <v>34</v>
      </c>
      <c r="H10839" s="9" t="s">
        <v>22</v>
      </c>
      <c r="I10839" s="9" t="s">
        <v>22460</v>
      </c>
      <c r="J10839" s="10" t="str">
        <f>HYPERLINK("https://www.boe.es/gazeta/dias/1834/04/16/pdfs/GMD-C-1834-55.pdf#page=1","Abrir facsímil")</f>
        <v>Abrir facsímil</v>
      </c>
      <c r="K10839" s="10" t="s">
        <v>24</v>
      </c>
    </row>
    <row r="10840" spans="1:11" ht="54" customHeight="1">
      <c r="A10840" s="9" t="s">
        <v>22446</v>
      </c>
      <c r="B10840" s="9" t="s">
        <v>22447</v>
      </c>
      <c r="C10840" s="9" t="s">
        <v>17</v>
      </c>
      <c r="D10840" s="9" t="s">
        <v>18</v>
      </c>
      <c r="E10840" s="10" t="s">
        <v>1125</v>
      </c>
      <c r="F10840" s="9" t="s">
        <v>1126</v>
      </c>
      <c r="G10840" s="10" t="s">
        <v>34</v>
      </c>
      <c r="H10840" s="9" t="s">
        <v>22</v>
      </c>
      <c r="I10840" s="9" t="s">
        <v>22461</v>
      </c>
      <c r="J10840" s="10" t="str">
        <f>HYPERLINK("https://www.boe.es/gazeta/dias/1834/04/17/pdfs/GMD-C-1834-56.pdf#page=1","Abrir facsímil")</f>
        <v>Abrir facsímil</v>
      </c>
      <c r="K10840" s="10" t="s">
        <v>24</v>
      </c>
    </row>
    <row r="10841" spans="1:11" ht="54" customHeight="1">
      <c r="A10841" s="9" t="s">
        <v>22446</v>
      </c>
      <c r="B10841" s="9" t="s">
        <v>22447</v>
      </c>
      <c r="C10841" s="9" t="s">
        <v>90</v>
      </c>
      <c r="D10841" s="9" t="s">
        <v>67</v>
      </c>
      <c r="E10841" s="10" t="s">
        <v>524</v>
      </c>
      <c r="F10841" s="9" t="s">
        <v>525</v>
      </c>
      <c r="G10841" s="10" t="s">
        <v>34</v>
      </c>
      <c r="H10841" s="9" t="s">
        <v>22</v>
      </c>
      <c r="I10841" s="9" t="s">
        <v>22462</v>
      </c>
      <c r="J10841" s="10" t="str">
        <f>HYPERLINK("https://www.boe.es/gazeta/dias/1834/12/25/pdfs/GMD-C-1834-315.pdf#page=1","Abrir facsímil")</f>
        <v>Abrir facsímil</v>
      </c>
      <c r="K10841" s="10" t="s">
        <v>24</v>
      </c>
    </row>
    <row r="10842" spans="1:11" ht="54" customHeight="1">
      <c r="A10842" s="9" t="s">
        <v>22446</v>
      </c>
      <c r="B10842" s="9" t="s">
        <v>22447</v>
      </c>
      <c r="C10842" s="9" t="s">
        <v>66</v>
      </c>
      <c r="D10842" s="9" t="s">
        <v>67</v>
      </c>
      <c r="E10842" s="10" t="s">
        <v>2142</v>
      </c>
      <c r="F10842" s="9" t="s">
        <v>2143</v>
      </c>
      <c r="G10842" s="10" t="s">
        <v>21</v>
      </c>
      <c r="H10842" s="9" t="s">
        <v>22</v>
      </c>
      <c r="I10842" s="9" t="s">
        <v>22463</v>
      </c>
      <c r="J10842" s="10" t="str">
        <f>HYPERLINK("https://www.boe.es/gazeta/dias/1834/12/27/pdfs/GMD-1834-317.pdf#page=3","Abrir facsímil")</f>
        <v>Abrir facsímil</v>
      </c>
      <c r="K10842" s="10" t="s">
        <v>24</v>
      </c>
    </row>
    <row r="10843" spans="1:11" ht="54" customHeight="1">
      <c r="A10843" s="9" t="s">
        <v>22446</v>
      </c>
      <c r="B10843" s="9" t="s">
        <v>22447</v>
      </c>
      <c r="C10843" s="9" t="s">
        <v>17</v>
      </c>
      <c r="D10843" s="9" t="s">
        <v>101</v>
      </c>
      <c r="E10843" s="10" t="s">
        <v>468</v>
      </c>
      <c r="F10843" s="9" t="s">
        <v>11413</v>
      </c>
      <c r="G10843" s="10" t="s">
        <v>21</v>
      </c>
      <c r="H10843" s="9" t="s">
        <v>22</v>
      </c>
      <c r="I10843" s="9" t="s">
        <v>22464</v>
      </c>
      <c r="J10843" s="10" t="str">
        <f>HYPERLINK("https://www.boe.es/gazeta/dias/1834/12/28/pdfs/GMD-1834-318.pdf#page=3","Abrir facsímil")</f>
        <v>Abrir facsímil</v>
      </c>
      <c r="K10843" s="10" t="s">
        <v>24</v>
      </c>
    </row>
    <row r="10844" spans="1:11" ht="54" customHeight="1">
      <c r="A10844" s="9" t="s">
        <v>22465</v>
      </c>
      <c r="B10844" s="9" t="s">
        <v>22465</v>
      </c>
      <c r="C10844" s="9" t="s">
        <v>66</v>
      </c>
      <c r="D10844" s="9" t="s">
        <v>67</v>
      </c>
      <c r="E10844" s="10" t="s">
        <v>772</v>
      </c>
      <c r="F10844" s="9" t="s">
        <v>773</v>
      </c>
      <c r="G10844" s="10" t="s">
        <v>75</v>
      </c>
      <c r="H10844" s="9" t="s">
        <v>22</v>
      </c>
      <c r="I10844" s="9" t="s">
        <v>22466</v>
      </c>
      <c r="J10844" s="10" t="str">
        <f>HYPERLINK("https://www.boe.es/gazeta/dias/1834/09/18/pdfs/GMD-1834-216.pdf#page=4","Abrir facsímil")</f>
        <v>Abrir facsímil</v>
      </c>
      <c r="K10844" s="10" t="s">
        <v>24</v>
      </c>
    </row>
    <row r="10845" spans="1:11" ht="54" customHeight="1">
      <c r="A10845" s="9" t="s">
        <v>22467</v>
      </c>
      <c r="B10845" s="9" t="s">
        <v>22468</v>
      </c>
      <c r="C10845" s="9" t="s">
        <v>66</v>
      </c>
      <c r="D10845" s="9" t="s">
        <v>67</v>
      </c>
      <c r="E10845" s="10" t="s">
        <v>1337</v>
      </c>
      <c r="F10845" s="9" t="s">
        <v>1906</v>
      </c>
      <c r="G10845" s="10" t="s">
        <v>34</v>
      </c>
      <c r="H10845" s="9" t="s">
        <v>22</v>
      </c>
      <c r="I10845" s="9" t="s">
        <v>22469</v>
      </c>
      <c r="J10845" s="10" t="str">
        <f>HYPERLINK("https://www.boe.es/gazeta/dias/1834/01/02/pdfs/GMD-1834-2E.pdf#page=1","Abrir facsímil")</f>
        <v>Abrir facsímil</v>
      </c>
      <c r="K10845" s="10" t="s">
        <v>24</v>
      </c>
    </row>
    <row r="10846" spans="1:11" ht="54" customHeight="1">
      <c r="A10846" s="9" t="s">
        <v>22470</v>
      </c>
      <c r="B10846" s="9" t="s">
        <v>22471</v>
      </c>
      <c r="C10846" s="9" t="s">
        <v>66</v>
      </c>
      <c r="D10846" s="9" t="s">
        <v>67</v>
      </c>
      <c r="E10846" s="10" t="s">
        <v>1297</v>
      </c>
      <c r="F10846" s="9" t="s">
        <v>1879</v>
      </c>
      <c r="G10846" s="10" t="s">
        <v>34</v>
      </c>
      <c r="H10846" s="9" t="s">
        <v>22</v>
      </c>
      <c r="I10846" s="9" t="s">
        <v>22472</v>
      </c>
      <c r="J10846" s="10" t="str">
        <f>HYPERLINK("https://www.boe.es/gazeta/dias/1834/08/01/pdfs/GMD-D-1834-165.pdf#page=1","Abrir facsímil")</f>
        <v>Abrir facsímil</v>
      </c>
      <c r="K10846" s="10" t="s">
        <v>24</v>
      </c>
    </row>
    <row r="10847" spans="1:11" ht="54" customHeight="1">
      <c r="A10847" s="9" t="s">
        <v>22473</v>
      </c>
      <c r="B10847" s="9" t="s">
        <v>22473</v>
      </c>
      <c r="C10847" s="9" t="s">
        <v>17</v>
      </c>
      <c r="D10847" s="9" t="s">
        <v>101</v>
      </c>
      <c r="E10847" s="10" t="s">
        <v>976</v>
      </c>
      <c r="F10847" s="9" t="s">
        <v>1061</v>
      </c>
      <c r="G10847" s="10" t="s">
        <v>34</v>
      </c>
      <c r="H10847" s="9" t="s">
        <v>22</v>
      </c>
      <c r="I10847" s="9" t="s">
        <v>22474</v>
      </c>
      <c r="J10847" s="10" t="str">
        <f>HYPERLINK("https://www.boe.es/gazeta/dias/1834/04/02/pdfs/GMD-C-1834-41.pdf#page=1","Abrir facsímil")</f>
        <v>Abrir facsímil</v>
      </c>
      <c r="K10847" s="10" t="s">
        <v>24</v>
      </c>
    </row>
    <row r="10848" spans="1:11" ht="54" customHeight="1">
      <c r="A10848" s="9" t="s">
        <v>22475</v>
      </c>
      <c r="B10848" s="9" t="s">
        <v>22476</v>
      </c>
      <c r="C10848" s="9" t="s">
        <v>17</v>
      </c>
      <c r="D10848" s="9" t="s">
        <v>101</v>
      </c>
      <c r="E10848" s="10" t="s">
        <v>11991</v>
      </c>
      <c r="F10848" s="9" t="s">
        <v>17012</v>
      </c>
      <c r="G10848" s="10" t="s">
        <v>21</v>
      </c>
      <c r="H10848" s="9" t="s">
        <v>22</v>
      </c>
      <c r="I10848" s="9" t="s">
        <v>22477</v>
      </c>
      <c r="J10848" s="10" t="str">
        <f>HYPERLINK("https://www.boe.es/gazeta/dias/1834/12/05/pdfs/GMD-1834-294.pdf#page=3","Abrir facsímil")</f>
        <v>Abrir facsímil</v>
      </c>
      <c r="K10848" s="10" t="s">
        <v>24</v>
      </c>
    </row>
    <row r="10849" spans="1:11" ht="54" customHeight="1">
      <c r="A10849" s="9" t="s">
        <v>22478</v>
      </c>
      <c r="B10849" s="9" t="s">
        <v>22479</v>
      </c>
      <c r="C10849" s="9" t="s">
        <v>46</v>
      </c>
      <c r="D10849" s="9" t="s">
        <v>18</v>
      </c>
      <c r="E10849" s="10" t="s">
        <v>1424</v>
      </c>
      <c r="F10849" s="9" t="s">
        <v>3445</v>
      </c>
      <c r="G10849" s="10" t="s">
        <v>34</v>
      </c>
      <c r="H10849" s="9" t="s">
        <v>22</v>
      </c>
      <c r="I10849" s="9" t="s">
        <v>22480</v>
      </c>
      <c r="J10849" s="10" t="str">
        <f>HYPERLINK("https://www.boe.es/gazeta/dias/1834/11/14/pdfs/GMD-1834-273.pdf#page=1","Abrir facsímil")</f>
        <v>Abrir facsímil</v>
      </c>
      <c r="K10849" s="10" t="s">
        <v>24</v>
      </c>
    </row>
    <row r="10850" spans="1:11" ht="54" customHeight="1">
      <c r="A10850" s="9" t="s">
        <v>22478</v>
      </c>
      <c r="B10850" s="9" t="s">
        <v>22479</v>
      </c>
      <c r="C10850" s="9" t="s">
        <v>90</v>
      </c>
      <c r="D10850" s="9" t="s">
        <v>18</v>
      </c>
      <c r="E10850" s="10" t="s">
        <v>541</v>
      </c>
      <c r="F10850" s="9" t="s">
        <v>542</v>
      </c>
      <c r="G10850" s="10" t="s">
        <v>86</v>
      </c>
      <c r="H10850" s="9" t="s">
        <v>22</v>
      </c>
      <c r="I10850" s="9" t="s">
        <v>22481</v>
      </c>
      <c r="J10850" s="10" t="str">
        <f>HYPERLINK("https://www.boe.es/gazeta/dias/1834/04/18/pdfs/GMD-1834-57.pdf#page=2","Abrir facsímil")</f>
        <v>Abrir facsímil</v>
      </c>
      <c r="K10850" s="10" t="s">
        <v>24</v>
      </c>
    </row>
    <row r="10851" spans="1:11" ht="54" customHeight="1">
      <c r="A10851" s="9" t="s">
        <v>22478</v>
      </c>
      <c r="B10851" s="9" t="s">
        <v>22479</v>
      </c>
      <c r="C10851" s="9" t="s">
        <v>66</v>
      </c>
      <c r="D10851" s="9" t="s">
        <v>67</v>
      </c>
      <c r="E10851" s="10" t="s">
        <v>535</v>
      </c>
      <c r="F10851" s="9" t="s">
        <v>536</v>
      </c>
      <c r="G10851" s="10" t="s">
        <v>21</v>
      </c>
      <c r="H10851" s="9" t="s">
        <v>22</v>
      </c>
      <c r="I10851" s="9" t="s">
        <v>22482</v>
      </c>
      <c r="J10851" s="10" t="str">
        <f>HYPERLINK("https://www.boe.es/gazeta/dias/1834/05/21/pdfs/GMD-1834-90.pdf#page=3","Abrir facsímil")</f>
        <v>Abrir facsímil</v>
      </c>
      <c r="K10851" s="10" t="s">
        <v>24</v>
      </c>
    </row>
    <row r="10852" spans="1:11" ht="54" customHeight="1">
      <c r="A10852" s="9" t="s">
        <v>22478</v>
      </c>
      <c r="B10852" s="9" t="s">
        <v>22479</v>
      </c>
      <c r="C10852" s="9" t="s">
        <v>17</v>
      </c>
      <c r="D10852" s="9" t="s">
        <v>18</v>
      </c>
      <c r="E10852" s="10" t="s">
        <v>823</v>
      </c>
      <c r="F10852" s="9" t="s">
        <v>824</v>
      </c>
      <c r="G10852" s="10" t="s">
        <v>75</v>
      </c>
      <c r="H10852" s="9" t="s">
        <v>22</v>
      </c>
      <c r="I10852" s="9" t="s">
        <v>22483</v>
      </c>
      <c r="J10852" s="10" t="str">
        <f>HYPERLINK("https://www.boe.es/gazeta/dias/1834/07/23/pdfs/GMD-1834-156.pdf#page=4","Abrir facsímil")</f>
        <v>Abrir facsímil</v>
      </c>
      <c r="K10852" s="10" t="s">
        <v>24</v>
      </c>
    </row>
    <row r="10853" spans="1:11" ht="54" customHeight="1">
      <c r="A10853" s="9" t="s">
        <v>22478</v>
      </c>
      <c r="B10853" s="9" t="s">
        <v>22479</v>
      </c>
      <c r="C10853" s="9" t="s">
        <v>66</v>
      </c>
      <c r="D10853" s="9" t="s">
        <v>67</v>
      </c>
      <c r="E10853" s="10" t="s">
        <v>2937</v>
      </c>
      <c r="F10853" s="9" t="s">
        <v>2938</v>
      </c>
      <c r="G10853" s="10" t="s">
        <v>75</v>
      </c>
      <c r="H10853" s="9" t="s">
        <v>22</v>
      </c>
      <c r="I10853" s="9" t="s">
        <v>22484</v>
      </c>
      <c r="J10853" s="10" t="str">
        <f>HYPERLINK("https://www.boe.es/gazeta/dias/1834/06/25/pdfs/GMD-1834-128.pdf#page=4","Abrir facsímil")</f>
        <v>Abrir facsímil</v>
      </c>
      <c r="K10853" s="10" t="s">
        <v>24</v>
      </c>
    </row>
    <row r="10854" spans="1:11" ht="54" customHeight="1">
      <c r="A10854" s="9" t="s">
        <v>22485</v>
      </c>
      <c r="B10854" s="9" t="s">
        <v>22486</v>
      </c>
      <c r="C10854" s="9" t="s">
        <v>46</v>
      </c>
      <c r="D10854" s="9" t="s">
        <v>18</v>
      </c>
      <c r="E10854" s="10" t="s">
        <v>1424</v>
      </c>
      <c r="F10854" s="9" t="s">
        <v>3445</v>
      </c>
      <c r="G10854" s="10" t="s">
        <v>34</v>
      </c>
      <c r="H10854" s="9" t="s">
        <v>35</v>
      </c>
      <c r="I10854" s="9" t="s">
        <v>22487</v>
      </c>
      <c r="J10854" s="10" t="str">
        <f>HYPERLINK("https://www.boe.es/gazeta/dias/1834/11/14/pdfs/GMD-1834-273.pdf#page=1","Abrir facsímil")</f>
        <v>Abrir facsímil</v>
      </c>
      <c r="K10854" s="10" t="s">
        <v>37</v>
      </c>
    </row>
    <row r="10855" spans="1:11" ht="54" customHeight="1">
      <c r="A10855" s="9" t="s">
        <v>22488</v>
      </c>
      <c r="B10855" s="9" t="s">
        <v>22489</v>
      </c>
      <c r="C10855" s="9" t="s">
        <v>90</v>
      </c>
      <c r="D10855" s="9" t="s">
        <v>18</v>
      </c>
      <c r="E10855" s="10" t="s">
        <v>454</v>
      </c>
      <c r="F10855" s="9" t="s">
        <v>2009</v>
      </c>
      <c r="G10855" s="10" t="s">
        <v>21</v>
      </c>
      <c r="H10855" s="9" t="s">
        <v>22</v>
      </c>
      <c r="I10855" s="9" t="s">
        <v>22490</v>
      </c>
      <c r="J10855" s="10" t="str">
        <f>HYPERLINK("https://www.boe.es/gazeta/dias/1834/10/16/pdfs/GMD-1834-244.pdf#page=3","Abrir facsímil")</f>
        <v>Abrir facsímil</v>
      </c>
      <c r="K10855" s="10" t="s">
        <v>24</v>
      </c>
    </row>
    <row r="10856" spans="1:11" ht="54" customHeight="1">
      <c r="A10856" s="9" t="s">
        <v>22491</v>
      </c>
      <c r="B10856" s="9" t="s">
        <v>22492</v>
      </c>
      <c r="C10856" s="9" t="s">
        <v>17</v>
      </c>
      <c r="D10856" s="9" t="s">
        <v>40</v>
      </c>
      <c r="E10856" s="10" t="s">
        <v>739</v>
      </c>
      <c r="F10856" s="9" t="s">
        <v>740</v>
      </c>
      <c r="G10856" s="10" t="s">
        <v>75</v>
      </c>
      <c r="H10856" s="9" t="s">
        <v>22</v>
      </c>
      <c r="I10856" s="9" t="s">
        <v>22493</v>
      </c>
      <c r="J10856" s="10" t="str">
        <f>HYPERLINK("https://www.boe.es/gazeta/dias/1834/03/25/pdfs/GMD-1834-37.pdf#page=4","Abrir facsímil")</f>
        <v>Abrir facsímil</v>
      </c>
      <c r="K10856" s="10" t="s">
        <v>24</v>
      </c>
    </row>
    <row r="10857" spans="1:11" ht="54" customHeight="1">
      <c r="A10857" s="9" t="s">
        <v>22494</v>
      </c>
      <c r="B10857" s="9" t="s">
        <v>22494</v>
      </c>
      <c r="C10857" s="9" t="s">
        <v>66</v>
      </c>
      <c r="D10857" s="9" t="s">
        <v>18</v>
      </c>
      <c r="E10857" s="10" t="s">
        <v>317</v>
      </c>
      <c r="F10857" s="9" t="s">
        <v>318</v>
      </c>
      <c r="G10857" s="10" t="s">
        <v>86</v>
      </c>
      <c r="H10857" s="9" t="s">
        <v>22</v>
      </c>
      <c r="I10857" s="9" t="s">
        <v>22495</v>
      </c>
      <c r="J10857" s="10" t="str">
        <f>HYPERLINK("https://www.boe.es/gazeta/dias/1834/03/06/pdfs/GMD-1834-29.pdf#page=2","Abrir facsímil")</f>
        <v>Abrir facsímil</v>
      </c>
      <c r="K10857" s="10" t="s">
        <v>24</v>
      </c>
    </row>
    <row r="10858" spans="1:11" ht="54" customHeight="1">
      <c r="A10858" s="9" t="s">
        <v>22496</v>
      </c>
      <c r="B10858" s="9" t="s">
        <v>22497</v>
      </c>
      <c r="C10858" s="9" t="s">
        <v>66</v>
      </c>
      <c r="D10858" s="9" t="s">
        <v>67</v>
      </c>
      <c r="E10858" s="10" t="s">
        <v>32</v>
      </c>
      <c r="F10858" s="9" t="s">
        <v>33</v>
      </c>
      <c r="G10858" s="10" t="s">
        <v>86</v>
      </c>
      <c r="H10858" s="9" t="s">
        <v>22</v>
      </c>
      <c r="I10858" s="9" t="s">
        <v>22498</v>
      </c>
      <c r="J10858" s="10" t="str">
        <f>HYPERLINK("https://www.boe.es/gazeta/dias/1834/04/23/pdfs/GMD-1834-62.pdf#page=2","Abrir facsímil")</f>
        <v>Abrir facsímil</v>
      </c>
      <c r="K10858" s="10" t="s">
        <v>24</v>
      </c>
    </row>
    <row r="10859" spans="1:11" ht="54" customHeight="1">
      <c r="A10859" s="9" t="s">
        <v>22499</v>
      </c>
      <c r="B10859" s="9" t="s">
        <v>22500</v>
      </c>
      <c r="C10859" s="9" t="s">
        <v>17</v>
      </c>
      <c r="D10859" s="9" t="s">
        <v>40</v>
      </c>
      <c r="E10859" s="10" t="s">
        <v>128</v>
      </c>
      <c r="F10859" s="9" t="s">
        <v>1068</v>
      </c>
      <c r="G10859" s="10" t="s">
        <v>75</v>
      </c>
      <c r="H10859" s="9" t="s">
        <v>22</v>
      </c>
      <c r="I10859" s="9" t="s">
        <v>22501</v>
      </c>
      <c r="J10859" s="10" t="str">
        <f>HYPERLINK("https://www.boe.es/gazeta/dias/1834/12/24/pdfs/GMD-1834-314.pdf#page=4","Abrir facsímil")</f>
        <v>Abrir facsímil</v>
      </c>
      <c r="K10859" s="10" t="s">
        <v>24</v>
      </c>
    </row>
    <row r="10860" spans="1:11" ht="54" customHeight="1">
      <c r="A10860" s="9" t="s">
        <v>22502</v>
      </c>
      <c r="B10860" s="9" t="s">
        <v>22503</v>
      </c>
      <c r="C10860" s="9" t="s">
        <v>17</v>
      </c>
      <c r="D10860" s="9" t="s">
        <v>40</v>
      </c>
      <c r="E10860" s="10" t="s">
        <v>128</v>
      </c>
      <c r="F10860" s="9" t="s">
        <v>1068</v>
      </c>
      <c r="G10860" s="10" t="s">
        <v>75</v>
      </c>
      <c r="H10860" s="9" t="s">
        <v>35</v>
      </c>
      <c r="I10860" s="9" t="s">
        <v>22504</v>
      </c>
      <c r="J10860" s="10" t="str">
        <f>HYPERLINK("https://www.boe.es/gazeta/dias/1834/12/24/pdfs/GMD-1834-314.pdf#page=4","Abrir facsímil")</f>
        <v>Abrir facsímil</v>
      </c>
      <c r="K10860" s="10" t="s">
        <v>37</v>
      </c>
    </row>
    <row r="10861" spans="1:11" ht="54" customHeight="1">
      <c r="A10861" s="9" t="s">
        <v>22505</v>
      </c>
      <c r="B10861" s="9" t="s">
        <v>22506</v>
      </c>
      <c r="C10861" s="9" t="s">
        <v>17</v>
      </c>
      <c r="D10861" s="9" t="s">
        <v>18</v>
      </c>
      <c r="E10861" s="10" t="s">
        <v>73</v>
      </c>
      <c r="F10861" s="9" t="s">
        <v>1416</v>
      </c>
      <c r="G10861" s="10" t="s">
        <v>86</v>
      </c>
      <c r="H10861" s="9" t="s">
        <v>35</v>
      </c>
      <c r="I10861" s="9" t="s">
        <v>22507</v>
      </c>
      <c r="J10861" s="10" t="str">
        <f>HYPERLINK("https://www.boe.es/gazeta/dias/1834/11/04/pdfs/GMD-C-1834-263.pdf#page=2","Abrir facsímil")</f>
        <v>Abrir facsímil</v>
      </c>
      <c r="K10861" s="10" t="s">
        <v>37</v>
      </c>
    </row>
    <row r="10862" spans="1:11" ht="54" customHeight="1">
      <c r="A10862" s="9" t="s">
        <v>22508</v>
      </c>
      <c r="B10862" s="9" t="s">
        <v>22509</v>
      </c>
      <c r="C10862" s="9" t="s">
        <v>66</v>
      </c>
      <c r="D10862" s="9" t="s">
        <v>67</v>
      </c>
      <c r="E10862" s="10" t="s">
        <v>448</v>
      </c>
      <c r="F10862" s="9" t="s">
        <v>2058</v>
      </c>
      <c r="G10862" s="10" t="s">
        <v>21</v>
      </c>
      <c r="H10862" s="9" t="s">
        <v>22</v>
      </c>
      <c r="I10862" s="9" t="s">
        <v>22510</v>
      </c>
      <c r="J10862" s="10" t="str">
        <f>HYPERLINK("https://www.boe.es/gazeta/dias/1834/10/14/pdfs/GMD-1834-242.pdf#page=3","Abrir facsímil")</f>
        <v>Abrir facsímil</v>
      </c>
      <c r="K10862" s="10" t="s">
        <v>24</v>
      </c>
    </row>
    <row r="10863" spans="1:11" ht="54" customHeight="1">
      <c r="A10863" s="9" t="s">
        <v>22511</v>
      </c>
      <c r="B10863" s="9" t="s">
        <v>22512</v>
      </c>
      <c r="C10863" s="9" t="s">
        <v>17</v>
      </c>
      <c r="D10863" s="9" t="s">
        <v>18</v>
      </c>
      <c r="E10863" s="10" t="s">
        <v>73</v>
      </c>
      <c r="F10863" s="9" t="s">
        <v>1416</v>
      </c>
      <c r="G10863" s="10" t="s">
        <v>86</v>
      </c>
      <c r="H10863" s="9" t="s">
        <v>22</v>
      </c>
      <c r="I10863" s="9" t="s">
        <v>22513</v>
      </c>
      <c r="J10863" s="10" t="str">
        <f>HYPERLINK("https://www.boe.es/gazeta/dias/1834/11/04/pdfs/GMD-C-1834-263.pdf#page=2","Abrir facsímil")</f>
        <v>Abrir facsímil</v>
      </c>
      <c r="K10863" s="10" t="s">
        <v>24</v>
      </c>
    </row>
    <row r="10864" spans="1:11" ht="54" customHeight="1">
      <c r="A10864" s="9" t="s">
        <v>22514</v>
      </c>
      <c r="B10864" s="9" t="s">
        <v>22514</v>
      </c>
      <c r="C10864" s="9" t="s">
        <v>66</v>
      </c>
      <c r="D10864" s="9" t="s">
        <v>18</v>
      </c>
      <c r="E10864" s="10" t="s">
        <v>200</v>
      </c>
      <c r="F10864" s="9" t="s">
        <v>201</v>
      </c>
      <c r="G10864" s="10" t="s">
        <v>75</v>
      </c>
      <c r="H10864" s="9" t="s">
        <v>22</v>
      </c>
      <c r="I10864" s="9" t="s">
        <v>22515</v>
      </c>
      <c r="J10864" s="10" t="str">
        <f>HYPERLINK("https://www.boe.es/gazeta/dias/1834/12/11/pdfs/GMD-1834-300.pdf#page=4","Abrir facsímil")</f>
        <v>Abrir facsímil</v>
      </c>
      <c r="K10864" s="10" t="s">
        <v>24</v>
      </c>
    </row>
    <row r="10865" spans="1:11" ht="54" customHeight="1">
      <c r="A10865" s="9" t="s">
        <v>22516</v>
      </c>
      <c r="B10865" s="9" t="s">
        <v>22517</v>
      </c>
      <c r="C10865" s="9" t="s">
        <v>17</v>
      </c>
      <c r="D10865" s="9" t="s">
        <v>18</v>
      </c>
      <c r="E10865" s="10" t="s">
        <v>2203</v>
      </c>
      <c r="F10865" s="9" t="s">
        <v>3917</v>
      </c>
      <c r="G10865" s="10" t="s">
        <v>21</v>
      </c>
      <c r="H10865" s="9" t="s">
        <v>22</v>
      </c>
      <c r="I10865" s="9" t="s">
        <v>22518</v>
      </c>
      <c r="J10865" s="10" t="str">
        <f>HYPERLINK("https://www.boe.es/gazeta/dias/1834/09/10/pdfs/GMD-1834-208.pdf#page=3","Abrir facsímil")</f>
        <v>Abrir facsímil</v>
      </c>
      <c r="K10865" s="10" t="s">
        <v>24</v>
      </c>
    </row>
    <row r="10866" spans="1:11" ht="54" customHeight="1">
      <c r="A10866" s="9" t="s">
        <v>22519</v>
      </c>
      <c r="B10866" s="9" t="s">
        <v>22519</v>
      </c>
      <c r="C10866" s="9" t="s">
        <v>122</v>
      </c>
      <c r="D10866" s="9" t="s">
        <v>101</v>
      </c>
      <c r="E10866" s="10" t="s">
        <v>2004</v>
      </c>
      <c r="F10866" s="9" t="s">
        <v>2005</v>
      </c>
      <c r="G10866" s="10" t="s">
        <v>34</v>
      </c>
      <c r="H10866" s="9" t="s">
        <v>22</v>
      </c>
      <c r="I10866" s="9" t="s">
        <v>22520</v>
      </c>
      <c r="J10866" s="10" t="str">
        <f>HYPERLINK("https://www.boe.es/gazeta/dias/1834/05/09/pdfs/GMD-1834-78.pdf#page=1","Abrir facsímil")</f>
        <v>Abrir facsímil</v>
      </c>
      <c r="K10866" s="10" t="s">
        <v>24</v>
      </c>
    </row>
    <row r="10867" spans="1:11" ht="54" customHeight="1">
      <c r="A10867" s="9" t="s">
        <v>22521</v>
      </c>
      <c r="B10867" s="9" t="s">
        <v>22521</v>
      </c>
      <c r="C10867" s="9" t="s">
        <v>17</v>
      </c>
      <c r="D10867" s="9" t="s">
        <v>18</v>
      </c>
      <c r="E10867" s="10" t="s">
        <v>1572</v>
      </c>
      <c r="F10867" s="9" t="s">
        <v>1573</v>
      </c>
      <c r="G10867" s="10" t="s">
        <v>21</v>
      </c>
      <c r="H10867" s="9" t="s">
        <v>22</v>
      </c>
      <c r="I10867" s="9" t="s">
        <v>22522</v>
      </c>
      <c r="J10867" s="10" t="str">
        <f>HYPERLINK("https://www.boe.es/gazeta/dias/1834/03/20/pdfs/GMD-1834-35.pdf#page=3","Abrir facsímil")</f>
        <v>Abrir facsímil</v>
      </c>
      <c r="K10867" s="10" t="s">
        <v>24</v>
      </c>
    </row>
    <row r="10868" spans="1:11" ht="54" customHeight="1">
      <c r="A10868" s="9" t="s">
        <v>22523</v>
      </c>
      <c r="B10868" s="9" t="s">
        <v>22523</v>
      </c>
      <c r="C10868" s="9" t="s">
        <v>17</v>
      </c>
      <c r="D10868" s="9" t="s">
        <v>55</v>
      </c>
      <c r="E10868" s="10" t="s">
        <v>793</v>
      </c>
      <c r="F10868" s="9" t="s">
        <v>794</v>
      </c>
      <c r="G10868" s="10" t="s">
        <v>34</v>
      </c>
      <c r="H10868" s="9" t="s">
        <v>22</v>
      </c>
      <c r="I10868" s="9" t="s">
        <v>22524</v>
      </c>
      <c r="J10868" s="10" t="str">
        <f>HYPERLINK("https://www.boe.es/gazeta/dias/1834/10/08/pdfs/GMD-1834-236.pdf#page=1","Abrir facsímil")</f>
        <v>Abrir facsímil</v>
      </c>
      <c r="K10868" s="10" t="s">
        <v>24</v>
      </c>
    </row>
    <row r="10869" spans="1:11" ht="54" customHeight="1">
      <c r="A10869" s="9" t="s">
        <v>22525</v>
      </c>
      <c r="B10869" s="9" t="s">
        <v>22525</v>
      </c>
      <c r="C10869" s="9" t="s">
        <v>66</v>
      </c>
      <c r="D10869" s="9" t="s">
        <v>67</v>
      </c>
      <c r="E10869" s="10" t="s">
        <v>294</v>
      </c>
      <c r="F10869" s="9" t="s">
        <v>295</v>
      </c>
      <c r="G10869" s="10" t="s">
        <v>34</v>
      </c>
      <c r="H10869" s="9" t="s">
        <v>22</v>
      </c>
      <c r="I10869" s="9" t="s">
        <v>22526</v>
      </c>
      <c r="J10869" s="10" t="str">
        <f>HYPERLINK("https://www.boe.es/gazeta/dias/1834/09/27/pdfs/GMD-1834-225.pdf#page=1","Abrir facsímil")</f>
        <v>Abrir facsímil</v>
      </c>
      <c r="K10869" s="10" t="s">
        <v>24</v>
      </c>
    </row>
    <row r="10870" spans="1:11" ht="54" customHeight="1">
      <c r="A10870" s="9" t="s">
        <v>22527</v>
      </c>
      <c r="B10870" s="9" t="s">
        <v>22527</v>
      </c>
      <c r="C10870" s="9" t="s">
        <v>17</v>
      </c>
      <c r="D10870" s="9" t="s">
        <v>18</v>
      </c>
      <c r="E10870" s="10" t="s">
        <v>4565</v>
      </c>
      <c r="F10870" s="9" t="s">
        <v>4566</v>
      </c>
      <c r="G10870" s="10" t="s">
        <v>21</v>
      </c>
      <c r="H10870" s="9" t="s">
        <v>22</v>
      </c>
      <c r="I10870" s="9" t="s">
        <v>22528</v>
      </c>
      <c r="J10870" s="10" t="str">
        <f>HYPERLINK("https://www.boe.es/gazeta/dias/1834/07/10/pdfs/GMD-1834-143.pdf#page=3","Abrir facsímil")</f>
        <v>Abrir facsímil</v>
      </c>
      <c r="K10870" s="10" t="s">
        <v>24</v>
      </c>
    </row>
    <row r="10871" spans="1:11" ht="54" customHeight="1">
      <c r="A10871" s="9" t="s">
        <v>22527</v>
      </c>
      <c r="B10871" s="9" t="s">
        <v>22527</v>
      </c>
      <c r="C10871" s="9" t="s">
        <v>17</v>
      </c>
      <c r="D10871" s="9" t="s">
        <v>18</v>
      </c>
      <c r="E10871" s="10" t="s">
        <v>262</v>
      </c>
      <c r="F10871" s="9" t="s">
        <v>7012</v>
      </c>
      <c r="G10871" s="10" t="s">
        <v>86</v>
      </c>
      <c r="H10871" s="9" t="s">
        <v>22</v>
      </c>
      <c r="I10871" s="9" t="s">
        <v>22529</v>
      </c>
      <c r="J10871" s="10" t="str">
        <f>HYPERLINK("https://www.boe.es/gazeta/dias/1834/10/18/pdfs/GMD-1834-246.pdf#page=2","Abrir facsímil")</f>
        <v>Abrir facsímil</v>
      </c>
      <c r="K10871" s="10" t="s">
        <v>24</v>
      </c>
    </row>
    <row r="10872" spans="1:11" ht="54" customHeight="1">
      <c r="A10872" s="9" t="s">
        <v>22530</v>
      </c>
      <c r="B10872" s="9" t="s">
        <v>22530</v>
      </c>
      <c r="C10872" s="9" t="s">
        <v>90</v>
      </c>
      <c r="D10872" s="9" t="s">
        <v>18</v>
      </c>
      <c r="E10872" s="10" t="s">
        <v>3163</v>
      </c>
      <c r="F10872" s="9" t="s">
        <v>3164</v>
      </c>
      <c r="G10872" s="10" t="s">
        <v>34</v>
      </c>
      <c r="H10872" s="9" t="s">
        <v>22</v>
      </c>
      <c r="I10872" s="9" t="s">
        <v>22531</v>
      </c>
      <c r="J10872" s="10" t="str">
        <f>HYPERLINK("https://www.boe.es/gazeta/dias/1834/11/02/pdfs/GMD-1834-261.pdf#page=1","Abrir facsímil")</f>
        <v>Abrir facsímil</v>
      </c>
      <c r="K10872" s="10" t="s">
        <v>24</v>
      </c>
    </row>
    <row r="10873" spans="1:11" ht="54" customHeight="1">
      <c r="A10873" s="9" t="s">
        <v>22532</v>
      </c>
      <c r="B10873" s="9" t="s">
        <v>22532</v>
      </c>
      <c r="C10873" s="9" t="s">
        <v>66</v>
      </c>
      <c r="D10873" s="9" t="s">
        <v>67</v>
      </c>
      <c r="E10873" s="10" t="s">
        <v>1340</v>
      </c>
      <c r="F10873" s="9" t="s">
        <v>3300</v>
      </c>
      <c r="G10873" s="10" t="s">
        <v>86</v>
      </c>
      <c r="H10873" s="9" t="s">
        <v>22</v>
      </c>
      <c r="I10873" s="9" t="s">
        <v>22533</v>
      </c>
      <c r="J10873" s="10" t="str">
        <f>HYPERLINK("https://www.boe.es/gazeta/dias/1834/10/05/pdfs/GMD-1834-233.pdf#page=2","Abrir facsímil")</f>
        <v>Abrir facsímil</v>
      </c>
      <c r="K10873" s="10" t="s">
        <v>24</v>
      </c>
    </row>
    <row r="10874" spans="1:11" ht="54" customHeight="1">
      <c r="A10874" s="9" t="s">
        <v>22534</v>
      </c>
      <c r="B10874" s="9" t="s">
        <v>22534</v>
      </c>
      <c r="C10874" s="9" t="s">
        <v>90</v>
      </c>
      <c r="D10874" s="9" t="s">
        <v>18</v>
      </c>
      <c r="E10874" s="10" t="s">
        <v>3471</v>
      </c>
      <c r="F10874" s="9" t="s">
        <v>3472</v>
      </c>
      <c r="G10874" s="10" t="s">
        <v>34</v>
      </c>
      <c r="H10874" s="9" t="s">
        <v>22</v>
      </c>
      <c r="I10874" s="9" t="s">
        <v>22535</v>
      </c>
      <c r="J10874" s="10" t="str">
        <f>HYPERLINK("https://www.boe.es/gazeta/dias/1834/07/07/pdfs/GMD-1834-140.pdf#page=1","Abrir facsímil")</f>
        <v>Abrir facsímil</v>
      </c>
      <c r="K10874" s="10" t="s">
        <v>24</v>
      </c>
    </row>
    <row r="10875" spans="1:11" ht="54" customHeight="1">
      <c r="A10875" s="9" t="s">
        <v>22536</v>
      </c>
      <c r="B10875" s="9" t="s">
        <v>22537</v>
      </c>
      <c r="C10875" s="9" t="s">
        <v>46</v>
      </c>
      <c r="D10875" s="9" t="s">
        <v>101</v>
      </c>
      <c r="E10875" s="10" t="s">
        <v>1850</v>
      </c>
      <c r="F10875" s="9" t="s">
        <v>1851</v>
      </c>
      <c r="G10875" s="10" t="s">
        <v>470</v>
      </c>
      <c r="H10875" s="9" t="s">
        <v>22</v>
      </c>
      <c r="I10875" s="9" t="s">
        <v>22538</v>
      </c>
      <c r="J10875" s="10" t="str">
        <f>HYPERLINK("https://www.boe.es/gazeta/dias/1834/02/18/pdfs/GMD-1834-22.pdf#page=8","Abrir facsímil")</f>
        <v>Abrir facsímil</v>
      </c>
      <c r="K10875" s="10" t="s">
        <v>24</v>
      </c>
    </row>
    <row r="10876" spans="1:11" ht="54" customHeight="1">
      <c r="A10876" s="9" t="s">
        <v>22539</v>
      </c>
      <c r="B10876" s="9" t="s">
        <v>22540</v>
      </c>
      <c r="C10876" s="9" t="s">
        <v>17</v>
      </c>
      <c r="D10876" s="9" t="s">
        <v>18</v>
      </c>
      <c r="E10876" s="10" t="s">
        <v>506</v>
      </c>
      <c r="F10876" s="9" t="s">
        <v>507</v>
      </c>
      <c r="G10876" s="10" t="s">
        <v>28</v>
      </c>
      <c r="H10876" s="9" t="s">
        <v>35</v>
      </c>
      <c r="I10876" s="9" t="s">
        <v>22541</v>
      </c>
      <c r="J10876" s="10" t="str">
        <f>HYPERLINK("https://www.boe.es/gazeta/dias/1834/03/04/pdfs/GMD-1834-28.pdf#page=5","Abrir facsímil")</f>
        <v>Abrir facsímil</v>
      </c>
      <c r="K10876" s="10" t="s">
        <v>37</v>
      </c>
    </row>
    <row r="10877" spans="1:11" ht="54" customHeight="1">
      <c r="A10877" s="9" t="s">
        <v>22542</v>
      </c>
      <c r="B10877" s="9" t="s">
        <v>22543</v>
      </c>
      <c r="C10877" s="9" t="s">
        <v>17</v>
      </c>
      <c r="D10877" s="9" t="s">
        <v>18</v>
      </c>
      <c r="E10877" s="10" t="s">
        <v>506</v>
      </c>
      <c r="F10877" s="9" t="s">
        <v>507</v>
      </c>
      <c r="G10877" s="10" t="s">
        <v>28</v>
      </c>
      <c r="H10877" s="9" t="s">
        <v>22</v>
      </c>
      <c r="I10877" s="9" t="s">
        <v>22544</v>
      </c>
      <c r="J10877" s="10" t="str">
        <f>HYPERLINK("https://www.boe.es/gazeta/dias/1834/03/04/pdfs/GMD-1834-28.pdf#page=5","Abrir facsímil")</f>
        <v>Abrir facsímil</v>
      </c>
      <c r="K10877" s="10" t="s">
        <v>24</v>
      </c>
    </row>
    <row r="10878" spans="1:11" ht="54" customHeight="1">
      <c r="A10878" s="9" t="s">
        <v>22545</v>
      </c>
      <c r="B10878" s="9" t="s">
        <v>22546</v>
      </c>
      <c r="C10878" s="9" t="s">
        <v>17</v>
      </c>
      <c r="D10878" s="9" t="s">
        <v>18</v>
      </c>
      <c r="E10878" s="10" t="s">
        <v>2124</v>
      </c>
      <c r="F10878" s="9" t="s">
        <v>2125</v>
      </c>
      <c r="G10878" s="10" t="s">
        <v>21</v>
      </c>
      <c r="H10878" s="9" t="s">
        <v>22</v>
      </c>
      <c r="I10878" s="9" t="s">
        <v>22547</v>
      </c>
      <c r="J10878" s="10" t="str">
        <f>HYPERLINK("https://www.boe.es/gazeta/dias/1834/06/09/pdfs/GMD-1834-112.pdf#page=3","Abrir facsímil")</f>
        <v>Abrir facsímil</v>
      </c>
      <c r="K10878" s="10" t="s">
        <v>24</v>
      </c>
    </row>
    <row r="10879" spans="1:11" ht="54" customHeight="1">
      <c r="A10879" s="9" t="s">
        <v>22548</v>
      </c>
      <c r="B10879" s="9" t="s">
        <v>22549</v>
      </c>
      <c r="C10879" s="9" t="s">
        <v>66</v>
      </c>
      <c r="D10879" s="9" t="s">
        <v>67</v>
      </c>
      <c r="E10879" s="10" t="s">
        <v>339</v>
      </c>
      <c r="F10879" s="9" t="s">
        <v>340</v>
      </c>
      <c r="G10879" s="10" t="s">
        <v>21</v>
      </c>
      <c r="H10879" s="9" t="s">
        <v>22</v>
      </c>
      <c r="I10879" s="9" t="s">
        <v>22550</v>
      </c>
      <c r="J10879" s="10" t="str">
        <f>HYPERLINK("https://www.boe.es/gazeta/dias/1834/05/02/pdfs/GMD-1834-71.pdf#page=3","Abrir facsímil")</f>
        <v>Abrir facsímil</v>
      </c>
      <c r="K10879" s="10" t="s">
        <v>24</v>
      </c>
    </row>
    <row r="10880" spans="1:11" ht="54" customHeight="1">
      <c r="A10880" s="9" t="s">
        <v>22551</v>
      </c>
      <c r="B10880" s="9" t="s">
        <v>22552</v>
      </c>
      <c r="C10880" s="9" t="s">
        <v>17</v>
      </c>
      <c r="D10880" s="9" t="s">
        <v>55</v>
      </c>
      <c r="E10880" s="10" t="s">
        <v>1692</v>
      </c>
      <c r="F10880" s="9" t="s">
        <v>1693</v>
      </c>
      <c r="G10880" s="10" t="s">
        <v>86</v>
      </c>
      <c r="H10880" s="9" t="s">
        <v>22</v>
      </c>
      <c r="I10880" s="9" t="s">
        <v>22553</v>
      </c>
      <c r="J10880" s="10" t="str">
        <f>HYPERLINK("https://www.boe.es/gazeta/dias/1834/07/29/pdfs/GMD-1834-162.pdf#page=2","Abrir facsímil")</f>
        <v>Abrir facsímil</v>
      </c>
      <c r="K10880" s="10" t="s">
        <v>24</v>
      </c>
    </row>
    <row r="10881" spans="1:11" ht="54" customHeight="1">
      <c r="A10881" s="9" t="s">
        <v>22554</v>
      </c>
      <c r="B10881" s="9" t="s">
        <v>22554</v>
      </c>
      <c r="C10881" s="9" t="s">
        <v>46</v>
      </c>
      <c r="D10881" s="9" t="s">
        <v>55</v>
      </c>
      <c r="E10881" s="10" t="s">
        <v>2260</v>
      </c>
      <c r="F10881" s="9" t="s">
        <v>2261</v>
      </c>
      <c r="G10881" s="10" t="s">
        <v>21</v>
      </c>
      <c r="H10881" s="9" t="s">
        <v>22</v>
      </c>
      <c r="I10881" s="9" t="s">
        <v>22555</v>
      </c>
      <c r="J10881" s="10" t="str">
        <f>HYPERLINK("https://www.boe.es/gazeta/dias/1834/11/13/pdfs/GMD-1834-272.pdf#page=3","Abrir facsímil")</f>
        <v>Abrir facsímil</v>
      </c>
      <c r="K10881" s="10" t="s">
        <v>24</v>
      </c>
    </row>
    <row r="10882" spans="1:11" ht="54" customHeight="1">
      <c r="A10882" s="9" t="s">
        <v>22556</v>
      </c>
      <c r="B10882" s="9" t="s">
        <v>22556</v>
      </c>
      <c r="C10882" s="9" t="s">
        <v>17</v>
      </c>
      <c r="D10882" s="9" t="s">
        <v>55</v>
      </c>
      <c r="E10882" s="10" t="s">
        <v>309</v>
      </c>
      <c r="F10882" s="9" t="s">
        <v>310</v>
      </c>
      <c r="G10882" s="10" t="s">
        <v>21</v>
      </c>
      <c r="H10882" s="9" t="s">
        <v>22</v>
      </c>
      <c r="I10882" s="9" t="s">
        <v>22557</v>
      </c>
      <c r="J10882" s="10" t="str">
        <f>HYPERLINK("https://www.boe.es/gazeta/dias/1834/05/30/pdfs/GMD-1834-99.pdf#page=3","Abrir facsímil")</f>
        <v>Abrir facsímil</v>
      </c>
      <c r="K10882" s="10" t="s">
        <v>24</v>
      </c>
    </row>
    <row r="10883" spans="1:11" ht="54" customHeight="1">
      <c r="A10883" s="9" t="s">
        <v>22558</v>
      </c>
      <c r="B10883" s="9" t="s">
        <v>22558</v>
      </c>
      <c r="C10883" s="9" t="s">
        <v>17</v>
      </c>
      <c r="D10883" s="9" t="s">
        <v>18</v>
      </c>
      <c r="E10883" s="10" t="s">
        <v>2748</v>
      </c>
      <c r="F10883" s="9" t="s">
        <v>2749</v>
      </c>
      <c r="G10883" s="10" t="s">
        <v>86</v>
      </c>
      <c r="H10883" s="9" t="s">
        <v>22</v>
      </c>
      <c r="I10883" s="9" t="s">
        <v>22559</v>
      </c>
      <c r="J10883" s="10" t="str">
        <f>HYPERLINK("https://www.boe.es/gazeta/dias/1834/01/09/pdfs/GMD-1834-5.pdf#page=2","Abrir facsímil")</f>
        <v>Abrir facsímil</v>
      </c>
      <c r="K10883" s="10" t="s">
        <v>24</v>
      </c>
    </row>
    <row r="10884" spans="1:11" ht="54" customHeight="1">
      <c r="A10884" s="9" t="s">
        <v>22558</v>
      </c>
      <c r="B10884" s="9" t="s">
        <v>22558</v>
      </c>
      <c r="C10884" s="9" t="s">
        <v>66</v>
      </c>
      <c r="D10884" s="9" t="s">
        <v>67</v>
      </c>
      <c r="E10884" s="10" t="s">
        <v>32</v>
      </c>
      <c r="F10884" s="9" t="s">
        <v>33</v>
      </c>
      <c r="G10884" s="10" t="s">
        <v>75</v>
      </c>
      <c r="H10884" s="9" t="s">
        <v>22</v>
      </c>
      <c r="I10884" s="9" t="s">
        <v>22560</v>
      </c>
      <c r="J10884" s="10" t="str">
        <f>HYPERLINK("https://www.boe.es/gazeta/dias/1834/04/23/pdfs/GMD-1834-62.pdf#page=4","Abrir facsímil")</f>
        <v>Abrir facsímil</v>
      </c>
      <c r="K10884" s="10" t="s">
        <v>24</v>
      </c>
    </row>
    <row r="10885" spans="1:11" ht="54" customHeight="1">
      <c r="A10885" s="9" t="s">
        <v>22561</v>
      </c>
      <c r="B10885" s="9" t="s">
        <v>22562</v>
      </c>
      <c r="C10885" s="9" t="s">
        <v>17</v>
      </c>
      <c r="D10885" s="9" t="s">
        <v>18</v>
      </c>
      <c r="E10885" s="10" t="s">
        <v>715</v>
      </c>
      <c r="F10885" s="9" t="s">
        <v>716</v>
      </c>
      <c r="G10885" s="10" t="s">
        <v>34</v>
      </c>
      <c r="H10885" s="9" t="s">
        <v>22</v>
      </c>
      <c r="I10885" s="9" t="s">
        <v>22563</v>
      </c>
      <c r="J10885" s="10" t="str">
        <f>HYPERLINK("https://www.boe.es/gazeta/dias/1834/09/17/pdfs/GMD-C-1834-215.pdf#page=1","Abrir facsímil")</f>
        <v>Abrir facsímil</v>
      </c>
      <c r="K10885" s="10" t="s">
        <v>24</v>
      </c>
    </row>
    <row r="10886" spans="1:11" ht="54" customHeight="1">
      <c r="A10886" s="9" t="s">
        <v>22564</v>
      </c>
      <c r="B10886" s="9" t="s">
        <v>22565</v>
      </c>
      <c r="C10886" s="9" t="s">
        <v>90</v>
      </c>
      <c r="D10886" s="9" t="s">
        <v>18</v>
      </c>
      <c r="E10886" s="10" t="s">
        <v>454</v>
      </c>
      <c r="F10886" s="9" t="s">
        <v>2009</v>
      </c>
      <c r="G10886" s="10" t="s">
        <v>21</v>
      </c>
      <c r="H10886" s="9" t="s">
        <v>22</v>
      </c>
      <c r="I10886" s="9" t="s">
        <v>22566</v>
      </c>
      <c r="J10886" s="10" t="str">
        <f>HYPERLINK("https://www.boe.es/gazeta/dias/1834/10/16/pdfs/GMD-1834-244.pdf#page=3","Abrir facsímil")</f>
        <v>Abrir facsímil</v>
      </c>
      <c r="K10886" s="10" t="s">
        <v>24</v>
      </c>
    </row>
    <row r="10887" spans="1:11" ht="54" customHeight="1">
      <c r="A10887" s="9" t="s">
        <v>22567</v>
      </c>
      <c r="B10887" s="9" t="s">
        <v>22567</v>
      </c>
      <c r="C10887" s="9" t="s">
        <v>17</v>
      </c>
      <c r="D10887" s="9" t="s">
        <v>18</v>
      </c>
      <c r="E10887" s="10" t="s">
        <v>1084</v>
      </c>
      <c r="F10887" s="9" t="s">
        <v>1085</v>
      </c>
      <c r="G10887" s="10" t="s">
        <v>28</v>
      </c>
      <c r="H10887" s="9" t="s">
        <v>22</v>
      </c>
      <c r="I10887" s="9" t="s">
        <v>22568</v>
      </c>
      <c r="J10887" s="10" t="str">
        <f>HYPERLINK("https://www.boe.es/gazeta/dias/1834/05/01/pdfs/GMD-1834-70.pdf#page=5","Abrir facsímil")</f>
        <v>Abrir facsímil</v>
      </c>
      <c r="K10887" s="10" t="s">
        <v>24</v>
      </c>
    </row>
    <row r="10888" spans="1:11" ht="54" customHeight="1">
      <c r="A10888" s="9" t="s">
        <v>22567</v>
      </c>
      <c r="B10888" s="9" t="s">
        <v>22567</v>
      </c>
      <c r="C10888" s="9" t="s">
        <v>17</v>
      </c>
      <c r="D10888" s="9" t="s">
        <v>18</v>
      </c>
      <c r="E10888" s="10" t="s">
        <v>976</v>
      </c>
      <c r="F10888" s="9" t="s">
        <v>977</v>
      </c>
      <c r="G10888" s="10" t="s">
        <v>21</v>
      </c>
      <c r="H10888" s="9" t="s">
        <v>22</v>
      </c>
      <c r="I10888" s="9" t="s">
        <v>22569</v>
      </c>
      <c r="J10888" s="10" t="str">
        <f>HYPERLINK("https://www.boe.es/gazeta/dias/1834/04/02/pdfs/GMD-1834-41.pdf#page=3","Abrir facsímil")</f>
        <v>Abrir facsímil</v>
      </c>
      <c r="K10888" s="10" t="s">
        <v>24</v>
      </c>
    </row>
    <row r="10889" spans="1:11" ht="54" customHeight="1">
      <c r="A10889" s="9" t="s">
        <v>22567</v>
      </c>
      <c r="B10889" s="9" t="s">
        <v>22567</v>
      </c>
      <c r="C10889" s="9" t="s">
        <v>17</v>
      </c>
      <c r="D10889" s="9" t="s">
        <v>18</v>
      </c>
      <c r="E10889" s="10" t="s">
        <v>330</v>
      </c>
      <c r="F10889" s="9" t="s">
        <v>331</v>
      </c>
      <c r="G10889" s="10" t="s">
        <v>86</v>
      </c>
      <c r="H10889" s="9" t="s">
        <v>22</v>
      </c>
      <c r="I10889" s="9" t="s">
        <v>22570</v>
      </c>
      <c r="J10889" s="10" t="str">
        <f>HYPERLINK("https://www.boe.es/gazeta/dias/1834/12/03/pdfs/GMD-1834-292.pdf#page=2","Abrir facsímil")</f>
        <v>Abrir facsímil</v>
      </c>
      <c r="K10889" s="10" t="s">
        <v>24</v>
      </c>
    </row>
    <row r="10890" spans="1:11" ht="54" customHeight="1">
      <c r="A10890" s="9" t="s">
        <v>22567</v>
      </c>
      <c r="B10890" s="9" t="s">
        <v>22567</v>
      </c>
      <c r="C10890" s="9" t="s">
        <v>17</v>
      </c>
      <c r="D10890" s="9" t="s">
        <v>18</v>
      </c>
      <c r="E10890" s="10" t="s">
        <v>563</v>
      </c>
      <c r="F10890" s="9" t="s">
        <v>5858</v>
      </c>
      <c r="G10890" s="10" t="s">
        <v>86</v>
      </c>
      <c r="H10890" s="9" t="s">
        <v>22</v>
      </c>
      <c r="I10890" s="9" t="s">
        <v>22571</v>
      </c>
      <c r="J10890" s="10" t="str">
        <f>HYPERLINK("https://www.boe.es/gazeta/dias/1834/04/19/pdfs/GMD-C-1834-58.pdf#page=2","Abrir facsímil")</f>
        <v>Abrir facsímil</v>
      </c>
      <c r="K10890" s="10" t="s">
        <v>24</v>
      </c>
    </row>
    <row r="10891" spans="1:11" ht="54" customHeight="1">
      <c r="A10891" s="9" t="s">
        <v>22572</v>
      </c>
      <c r="B10891" s="9" t="s">
        <v>22572</v>
      </c>
      <c r="C10891" s="9" t="s">
        <v>17</v>
      </c>
      <c r="D10891" s="9" t="s">
        <v>18</v>
      </c>
      <c r="E10891" s="10" t="s">
        <v>3488</v>
      </c>
      <c r="F10891" s="9" t="s">
        <v>3489</v>
      </c>
      <c r="G10891" s="10" t="s">
        <v>21</v>
      </c>
      <c r="H10891" s="9" t="s">
        <v>22</v>
      </c>
      <c r="I10891" s="9" t="s">
        <v>22573</v>
      </c>
      <c r="J10891" s="10" t="str">
        <f>HYPERLINK("https://www.boe.es/gazeta/dias/1834/06/22/pdfs/GMD-1834-125.pdf#page=3","Abrir facsímil")</f>
        <v>Abrir facsímil</v>
      </c>
      <c r="K10891" s="10" t="s">
        <v>24</v>
      </c>
    </row>
    <row r="10892" spans="1:11" ht="54" customHeight="1">
      <c r="A10892" s="9" t="s">
        <v>22567</v>
      </c>
      <c r="B10892" s="9" t="s">
        <v>22567</v>
      </c>
      <c r="C10892" s="9" t="s">
        <v>17</v>
      </c>
      <c r="D10892" s="9" t="s">
        <v>18</v>
      </c>
      <c r="E10892" s="10" t="s">
        <v>128</v>
      </c>
      <c r="F10892" s="9" t="s">
        <v>1068</v>
      </c>
      <c r="G10892" s="10" t="s">
        <v>34</v>
      </c>
      <c r="H10892" s="9" t="s">
        <v>22</v>
      </c>
      <c r="I10892" s="9" t="s">
        <v>22574</v>
      </c>
      <c r="J10892" s="10" t="str">
        <f>HYPERLINK("https://www.boe.es/gazeta/dias/1834/12/24/pdfs/GMD-1834-314.pdf#page=1","Abrir facsímil")</f>
        <v>Abrir facsímil</v>
      </c>
      <c r="K10892" s="10" t="s">
        <v>24</v>
      </c>
    </row>
    <row r="10893" spans="1:11" ht="54" customHeight="1">
      <c r="A10893" s="9" t="s">
        <v>22567</v>
      </c>
      <c r="B10893" s="9" t="s">
        <v>22567</v>
      </c>
      <c r="C10893" s="9" t="s">
        <v>66</v>
      </c>
      <c r="D10893" s="9" t="s">
        <v>67</v>
      </c>
      <c r="E10893" s="10" t="s">
        <v>2937</v>
      </c>
      <c r="F10893" s="9" t="s">
        <v>2938</v>
      </c>
      <c r="G10893" s="10" t="s">
        <v>21</v>
      </c>
      <c r="H10893" s="9" t="s">
        <v>22</v>
      </c>
      <c r="I10893" s="9" t="s">
        <v>22575</v>
      </c>
      <c r="J10893" s="10" t="str">
        <f>HYPERLINK("https://www.boe.es/gazeta/dias/1834/06/25/pdfs/GMD-1834-128.pdf#page=3","Abrir facsímil")</f>
        <v>Abrir facsímil</v>
      </c>
      <c r="K10893" s="10" t="s">
        <v>24</v>
      </c>
    </row>
    <row r="10894" spans="1:11" ht="54" customHeight="1">
      <c r="A10894" s="9" t="s">
        <v>22567</v>
      </c>
      <c r="B10894" s="9" t="s">
        <v>22567</v>
      </c>
      <c r="C10894" s="9" t="s">
        <v>46</v>
      </c>
      <c r="D10894" s="9" t="s">
        <v>101</v>
      </c>
      <c r="E10894" s="10" t="s">
        <v>707</v>
      </c>
      <c r="F10894" s="9" t="s">
        <v>1359</v>
      </c>
      <c r="G10894" s="10" t="s">
        <v>86</v>
      </c>
      <c r="H10894" s="9" t="s">
        <v>22</v>
      </c>
      <c r="I10894" s="9" t="s">
        <v>22576</v>
      </c>
      <c r="J10894" s="10" t="str">
        <f>HYPERLINK("https://www.boe.es/gazeta/dias/1834/11/25/pdfs/GMD-1834-284.pdf#page=2","Abrir facsímil")</f>
        <v>Abrir facsímil</v>
      </c>
      <c r="K10894" s="10" t="s">
        <v>24</v>
      </c>
    </row>
    <row r="10895" spans="1:11" ht="54" customHeight="1">
      <c r="A10895" s="9" t="s">
        <v>22567</v>
      </c>
      <c r="B10895" s="9" t="s">
        <v>22567</v>
      </c>
      <c r="C10895" s="9" t="s">
        <v>17</v>
      </c>
      <c r="D10895" s="9" t="s">
        <v>18</v>
      </c>
      <c r="E10895" s="10" t="s">
        <v>719</v>
      </c>
      <c r="F10895" s="9" t="s">
        <v>720</v>
      </c>
      <c r="G10895" s="10" t="s">
        <v>21</v>
      </c>
      <c r="H10895" s="9" t="s">
        <v>22</v>
      </c>
      <c r="I10895" s="9" t="s">
        <v>22577</v>
      </c>
      <c r="J10895" s="10" t="str">
        <f>HYPERLINK("https://www.boe.es/gazeta/dias/1834/04/29/pdfs/GMD-1834-68.pdf#page=3","Abrir facsímil")</f>
        <v>Abrir facsímil</v>
      </c>
      <c r="K10895" s="10" t="s">
        <v>24</v>
      </c>
    </row>
    <row r="10896" spans="1:11" ht="54" customHeight="1">
      <c r="A10896" s="9" t="s">
        <v>22567</v>
      </c>
      <c r="B10896" s="9" t="s">
        <v>22567</v>
      </c>
      <c r="C10896" s="9" t="s">
        <v>66</v>
      </c>
      <c r="D10896" s="9" t="s">
        <v>67</v>
      </c>
      <c r="E10896" s="10" t="s">
        <v>286</v>
      </c>
      <c r="F10896" s="9" t="s">
        <v>548</v>
      </c>
      <c r="G10896" s="10" t="s">
        <v>21</v>
      </c>
      <c r="H10896" s="9" t="s">
        <v>22</v>
      </c>
      <c r="I10896" s="9" t="s">
        <v>22578</v>
      </c>
      <c r="J10896" s="10" t="str">
        <f>HYPERLINK("https://www.boe.es/gazeta/dias/1834/08/30/pdfs/GMD-1834-196.pdf#page=3","Abrir facsímil")</f>
        <v>Abrir facsímil</v>
      </c>
      <c r="K10896" s="10" t="s">
        <v>24</v>
      </c>
    </row>
    <row r="10897" spans="1:11" ht="54" customHeight="1">
      <c r="A10897" s="9" t="s">
        <v>22567</v>
      </c>
      <c r="B10897" s="9" t="s">
        <v>22567</v>
      </c>
      <c r="C10897" s="9" t="s">
        <v>17</v>
      </c>
      <c r="D10897" s="9" t="s">
        <v>18</v>
      </c>
      <c r="E10897" s="10" t="s">
        <v>3083</v>
      </c>
      <c r="F10897" s="9" t="s">
        <v>3084</v>
      </c>
      <c r="G10897" s="10" t="s">
        <v>86</v>
      </c>
      <c r="H10897" s="9" t="s">
        <v>22</v>
      </c>
      <c r="I10897" s="9" t="s">
        <v>22579</v>
      </c>
      <c r="J10897" s="10" t="str">
        <f>HYPERLINK("https://www.boe.es/gazeta/dias/1834/10/30/pdfs/GMD-1834-258.pdf#page=2","Abrir facsímil")</f>
        <v>Abrir facsímil</v>
      </c>
      <c r="K10897" s="10" t="s">
        <v>24</v>
      </c>
    </row>
    <row r="10898" spans="1:11" ht="54" customHeight="1">
      <c r="A10898" s="9" t="s">
        <v>22580</v>
      </c>
      <c r="B10898" s="9" t="s">
        <v>22581</v>
      </c>
      <c r="C10898" s="9" t="s">
        <v>17</v>
      </c>
      <c r="D10898" s="9" t="s">
        <v>18</v>
      </c>
      <c r="E10898" s="10" t="s">
        <v>719</v>
      </c>
      <c r="F10898" s="9" t="s">
        <v>720</v>
      </c>
      <c r="G10898" s="10" t="s">
        <v>21</v>
      </c>
      <c r="H10898" s="9" t="s">
        <v>35</v>
      </c>
      <c r="I10898" s="9" t="s">
        <v>22582</v>
      </c>
      <c r="J10898" s="10" t="str">
        <f>HYPERLINK("https://www.boe.es/gazeta/dias/1834/04/29/pdfs/GMD-1834-68.pdf#page=3","Abrir facsímil")</f>
        <v>Abrir facsímil</v>
      </c>
      <c r="K10898" s="10" t="s">
        <v>37</v>
      </c>
    </row>
    <row r="10899" spans="1:11" ht="54" customHeight="1">
      <c r="A10899" s="9" t="s">
        <v>22580</v>
      </c>
      <c r="B10899" s="9" t="s">
        <v>22581</v>
      </c>
      <c r="C10899" s="9" t="s">
        <v>66</v>
      </c>
      <c r="D10899" s="9" t="s">
        <v>67</v>
      </c>
      <c r="E10899" s="10" t="s">
        <v>286</v>
      </c>
      <c r="F10899" s="9" t="s">
        <v>548</v>
      </c>
      <c r="G10899" s="10" t="s">
        <v>21</v>
      </c>
      <c r="H10899" s="9" t="s">
        <v>35</v>
      </c>
      <c r="I10899" s="9" t="s">
        <v>22583</v>
      </c>
      <c r="J10899" s="10" t="str">
        <f>HYPERLINK("https://www.boe.es/gazeta/dias/1834/08/30/pdfs/GMD-1834-196.pdf#page=3","Abrir facsímil")</f>
        <v>Abrir facsímil</v>
      </c>
      <c r="K10899" s="10" t="s">
        <v>37</v>
      </c>
    </row>
    <row r="10900" spans="1:11" ht="54" customHeight="1">
      <c r="A10900" s="9" t="s">
        <v>22584</v>
      </c>
      <c r="B10900" s="9" t="s">
        <v>22585</v>
      </c>
      <c r="C10900" s="9" t="s">
        <v>17</v>
      </c>
      <c r="D10900" s="9" t="s">
        <v>40</v>
      </c>
      <c r="E10900" s="10" t="s">
        <v>11991</v>
      </c>
      <c r="F10900" s="9" t="s">
        <v>17012</v>
      </c>
      <c r="G10900" s="10" t="s">
        <v>75</v>
      </c>
      <c r="H10900" s="9" t="s">
        <v>22</v>
      </c>
      <c r="I10900" s="9" t="s">
        <v>22586</v>
      </c>
      <c r="J10900" s="10" t="str">
        <f>HYPERLINK("https://www.boe.es/gazeta/dias/1834/12/05/pdfs/GMD-1834-294.pdf#page=4","Abrir facsímil")</f>
        <v>Abrir facsímil</v>
      </c>
      <c r="K10900" s="10" t="s">
        <v>24</v>
      </c>
    </row>
    <row r="10901" spans="1:11" ht="54" customHeight="1">
      <c r="A10901" s="9" t="s">
        <v>22587</v>
      </c>
      <c r="B10901" s="9" t="s">
        <v>22588</v>
      </c>
      <c r="C10901" s="9" t="s">
        <v>17</v>
      </c>
      <c r="D10901" s="9" t="s">
        <v>18</v>
      </c>
      <c r="E10901" s="10" t="s">
        <v>1839</v>
      </c>
      <c r="F10901" s="9" t="s">
        <v>3598</v>
      </c>
      <c r="G10901" s="10" t="s">
        <v>86</v>
      </c>
      <c r="H10901" s="9" t="s">
        <v>22</v>
      </c>
      <c r="I10901" s="9" t="s">
        <v>22589</v>
      </c>
      <c r="J10901" s="10" t="str">
        <f>HYPERLINK("https://www.boe.es/gazeta/dias/1834/08/12/pdfs/GMD-1834-177.pdf#page=2","Abrir facsímil")</f>
        <v>Abrir facsímil</v>
      </c>
      <c r="K10901" s="10" t="s">
        <v>24</v>
      </c>
    </row>
    <row r="10902" spans="1:11" ht="54" customHeight="1">
      <c r="A10902" s="9" t="s">
        <v>22590</v>
      </c>
      <c r="B10902" s="9" t="s">
        <v>22591</v>
      </c>
      <c r="C10902" s="9" t="s">
        <v>66</v>
      </c>
      <c r="D10902" s="9" t="s">
        <v>18</v>
      </c>
      <c r="E10902" s="10" t="s">
        <v>653</v>
      </c>
      <c r="F10902" s="9" t="s">
        <v>3369</v>
      </c>
      <c r="G10902" s="10" t="s">
        <v>34</v>
      </c>
      <c r="H10902" s="9" t="s">
        <v>22</v>
      </c>
      <c r="I10902" s="9" t="s">
        <v>22592</v>
      </c>
      <c r="J10902" s="10" t="str">
        <f>HYPERLINK("https://www.boe.es/gazeta/dias/1834/08/06/pdfs/GMD-1834-170.pdf#page=1","Abrir facsímil")</f>
        <v>Abrir facsímil</v>
      </c>
      <c r="K10902" s="10" t="s">
        <v>24</v>
      </c>
    </row>
    <row r="10903" spans="1:11" ht="54" customHeight="1">
      <c r="A10903" s="9" t="s">
        <v>22593</v>
      </c>
      <c r="B10903" s="9" t="s">
        <v>22594</v>
      </c>
      <c r="C10903" s="9" t="s">
        <v>66</v>
      </c>
      <c r="D10903" s="9" t="s">
        <v>18</v>
      </c>
      <c r="E10903" s="10" t="s">
        <v>8346</v>
      </c>
      <c r="F10903" s="9" t="s">
        <v>8347</v>
      </c>
      <c r="G10903" s="10" t="s">
        <v>34</v>
      </c>
      <c r="H10903" s="9" t="s">
        <v>22</v>
      </c>
      <c r="I10903" s="9" t="s">
        <v>22595</v>
      </c>
      <c r="J10903" s="10" t="str">
        <f>HYPERLINK("https://www.boe.es/gazeta/dias/1834/12/04/pdfs/GMD-1834-293.pdf#page=1","Abrir facsímil")</f>
        <v>Abrir facsímil</v>
      </c>
      <c r="K10903" s="10" t="s">
        <v>24</v>
      </c>
    </row>
    <row r="10904" spans="1:11" ht="54" customHeight="1">
      <c r="A10904" s="9" t="s">
        <v>22593</v>
      </c>
      <c r="B10904" s="9" t="s">
        <v>22594</v>
      </c>
      <c r="C10904" s="9" t="s">
        <v>66</v>
      </c>
      <c r="D10904" s="9" t="s">
        <v>67</v>
      </c>
      <c r="E10904" s="10" t="s">
        <v>4736</v>
      </c>
      <c r="F10904" s="9" t="s">
        <v>4737</v>
      </c>
      <c r="G10904" s="10" t="s">
        <v>34</v>
      </c>
      <c r="H10904" s="9" t="s">
        <v>22</v>
      </c>
      <c r="I10904" s="9" t="s">
        <v>22596</v>
      </c>
      <c r="J10904" s="10" t="str">
        <f>HYPERLINK("https://www.boe.es/gazeta/dias/1834/09/16/pdfs/GMD-1834-214.pdf#page=1","Abrir facsímil")</f>
        <v>Abrir facsímil</v>
      </c>
      <c r="K10904" s="10" t="s">
        <v>24</v>
      </c>
    </row>
    <row r="10905" spans="1:11" ht="54" customHeight="1">
      <c r="A10905" s="9" t="s">
        <v>22593</v>
      </c>
      <c r="B10905" s="9" t="s">
        <v>22594</v>
      </c>
      <c r="C10905" s="9" t="s">
        <v>17</v>
      </c>
      <c r="D10905" s="9" t="s">
        <v>18</v>
      </c>
      <c r="E10905" s="10" t="s">
        <v>7523</v>
      </c>
      <c r="F10905" s="9" t="s">
        <v>7524</v>
      </c>
      <c r="G10905" s="10" t="s">
        <v>34</v>
      </c>
      <c r="H10905" s="9" t="s">
        <v>22</v>
      </c>
      <c r="I10905" s="9" t="s">
        <v>22597</v>
      </c>
      <c r="J10905" s="10" t="str">
        <f>HYPERLINK("https://www.boe.es/gazeta/dias/1834/12/26/pdfs/GMD-1834-316.pdf#page=1","Abrir facsímil")</f>
        <v>Abrir facsímil</v>
      </c>
      <c r="K10905" s="10" t="s">
        <v>24</v>
      </c>
    </row>
    <row r="10906" spans="1:11" ht="54" customHeight="1">
      <c r="A10906" s="9" t="s">
        <v>22598</v>
      </c>
      <c r="B10906" s="9" t="s">
        <v>22599</v>
      </c>
      <c r="C10906" s="9" t="s">
        <v>122</v>
      </c>
      <c r="D10906" s="9" t="s">
        <v>40</v>
      </c>
      <c r="E10906" s="10" t="s">
        <v>844</v>
      </c>
      <c r="F10906" s="9" t="s">
        <v>845</v>
      </c>
      <c r="G10906" s="10" t="s">
        <v>75</v>
      </c>
      <c r="H10906" s="9" t="s">
        <v>22</v>
      </c>
      <c r="I10906" s="9" t="s">
        <v>22600</v>
      </c>
      <c r="J10906" s="10" t="str">
        <f>HYPERLINK("https://www.boe.es/gazeta/dias/1834/03/13/pdfs/GMD-1834-32.pdf#page=4","Abrir facsímil")</f>
        <v>Abrir facsímil</v>
      </c>
      <c r="K10906" s="10" t="s">
        <v>24</v>
      </c>
    </row>
    <row r="10907" spans="1:11" ht="54" customHeight="1">
      <c r="A10907" s="9" t="s">
        <v>22601</v>
      </c>
      <c r="B10907" s="9" t="s">
        <v>22602</v>
      </c>
      <c r="C10907" s="9" t="s">
        <v>17</v>
      </c>
      <c r="D10907" s="9" t="s">
        <v>18</v>
      </c>
      <c r="E10907" s="10" t="s">
        <v>5435</v>
      </c>
      <c r="F10907" s="9" t="s">
        <v>5436</v>
      </c>
      <c r="G10907" s="10" t="s">
        <v>75</v>
      </c>
      <c r="H10907" s="9" t="s">
        <v>22</v>
      </c>
      <c r="I10907" s="9" t="s">
        <v>22603</v>
      </c>
      <c r="J10907" s="10" t="str">
        <f>HYPERLINK("https://www.boe.es/gazeta/dias/1834/05/11/pdfs/GMD-1834-80.pdf#page=4","Abrir facsímil")</f>
        <v>Abrir facsímil</v>
      </c>
      <c r="K10907" s="10" t="s">
        <v>24</v>
      </c>
    </row>
    <row r="10908" spans="1:11" ht="54" customHeight="1">
      <c r="A10908" s="9" t="s">
        <v>22604</v>
      </c>
      <c r="B10908" s="9" t="s">
        <v>22605</v>
      </c>
      <c r="C10908" s="9" t="s">
        <v>66</v>
      </c>
      <c r="D10908" s="9" t="s">
        <v>67</v>
      </c>
      <c r="E10908" s="10" t="s">
        <v>4736</v>
      </c>
      <c r="F10908" s="9" t="s">
        <v>4737</v>
      </c>
      <c r="G10908" s="10" t="s">
        <v>34</v>
      </c>
      <c r="H10908" s="9" t="s">
        <v>22</v>
      </c>
      <c r="I10908" s="9" t="s">
        <v>22606</v>
      </c>
      <c r="J10908" s="10" t="str">
        <f>HYPERLINK("https://www.boe.es/gazeta/dias/1834/09/16/pdfs/GMD-1834-214.pdf#page=1","Abrir facsímil")</f>
        <v>Abrir facsímil</v>
      </c>
      <c r="K10908" s="10" t="s">
        <v>24</v>
      </c>
    </row>
    <row r="10909" spans="1:11" ht="54" customHeight="1">
      <c r="A10909" s="9" t="s">
        <v>22607</v>
      </c>
      <c r="B10909" s="9" t="s">
        <v>22608</v>
      </c>
      <c r="C10909" s="9" t="s">
        <v>66</v>
      </c>
      <c r="D10909" s="9" t="s">
        <v>18</v>
      </c>
      <c r="E10909" s="10" t="s">
        <v>793</v>
      </c>
      <c r="F10909" s="9" t="s">
        <v>794</v>
      </c>
      <c r="G10909" s="10" t="s">
        <v>34</v>
      </c>
      <c r="H10909" s="9" t="s">
        <v>22</v>
      </c>
      <c r="I10909" s="9" t="s">
        <v>22609</v>
      </c>
      <c r="J10909" s="10" t="str">
        <f>HYPERLINK("https://www.boe.es/gazeta/dias/1834/10/08/pdfs/GMD-1834-236.pdf#page=1","Abrir facsímil")</f>
        <v>Abrir facsímil</v>
      </c>
      <c r="K10909" s="10" t="s">
        <v>24</v>
      </c>
    </row>
    <row r="10910" spans="1:11" ht="54" customHeight="1">
      <c r="A10910" s="9" t="s">
        <v>22607</v>
      </c>
      <c r="B10910" s="9" t="s">
        <v>22608</v>
      </c>
      <c r="C10910" s="9" t="s">
        <v>66</v>
      </c>
      <c r="D10910" s="9" t="s">
        <v>55</v>
      </c>
      <c r="E10910" s="10" t="s">
        <v>283</v>
      </c>
      <c r="F10910" s="9" t="s">
        <v>2969</v>
      </c>
      <c r="G10910" s="10" t="s">
        <v>34</v>
      </c>
      <c r="H10910" s="9" t="s">
        <v>22</v>
      </c>
      <c r="I10910" s="9" t="s">
        <v>22610</v>
      </c>
      <c r="J10910" s="10" t="str">
        <f>HYPERLINK("https://www.boe.es/gazeta/dias/1834/11/29/pdfs/GMD-1834-288.pdf#page=1","Abrir facsímil")</f>
        <v>Abrir facsímil</v>
      </c>
      <c r="K10910" s="10" t="s">
        <v>24</v>
      </c>
    </row>
    <row r="10911" spans="1:11" ht="54" customHeight="1">
      <c r="A10911" s="9" t="s">
        <v>22611</v>
      </c>
      <c r="B10911" s="9" t="s">
        <v>22612</v>
      </c>
      <c r="C10911" s="9" t="s">
        <v>66</v>
      </c>
      <c r="D10911" s="9" t="s">
        <v>40</v>
      </c>
      <c r="E10911" s="10" t="s">
        <v>883</v>
      </c>
      <c r="F10911" s="9" t="s">
        <v>3449</v>
      </c>
      <c r="G10911" s="10" t="s">
        <v>34</v>
      </c>
      <c r="H10911" s="9" t="s">
        <v>22</v>
      </c>
      <c r="I10911" s="9" t="s">
        <v>22613</v>
      </c>
      <c r="J10911" s="10" t="str">
        <f>HYPERLINK("https://www.boe.es/gazeta/dias/1834/11/16/pdfs/GMD-1834-275.pdf#page=1","Abrir facsímil")</f>
        <v>Abrir facsímil</v>
      </c>
      <c r="K10911" s="10" t="s">
        <v>24</v>
      </c>
    </row>
    <row r="10912" spans="1:11" ht="54" customHeight="1">
      <c r="A10912" s="9" t="s">
        <v>22614</v>
      </c>
      <c r="B10912" s="9" t="s">
        <v>22615</v>
      </c>
      <c r="C10912" s="9" t="s">
        <v>66</v>
      </c>
      <c r="D10912" s="9" t="s">
        <v>18</v>
      </c>
      <c r="E10912" s="10" t="s">
        <v>653</v>
      </c>
      <c r="F10912" s="9" t="s">
        <v>3369</v>
      </c>
      <c r="G10912" s="10" t="s">
        <v>34</v>
      </c>
      <c r="H10912" s="9" t="s">
        <v>22</v>
      </c>
      <c r="I10912" s="9" t="s">
        <v>22616</v>
      </c>
      <c r="J10912" s="10" t="str">
        <f>HYPERLINK("https://www.boe.es/gazeta/dias/1834/08/06/pdfs/GMD-1834-170.pdf#page=1","Abrir facsímil")</f>
        <v>Abrir facsímil</v>
      </c>
      <c r="K10912" s="10" t="s">
        <v>24</v>
      </c>
    </row>
    <row r="10913" spans="1:11" ht="54" customHeight="1">
      <c r="A10913" s="9" t="s">
        <v>22617</v>
      </c>
      <c r="B10913" s="9" t="s">
        <v>22618</v>
      </c>
      <c r="C10913" s="9" t="s">
        <v>66</v>
      </c>
      <c r="D10913" s="9" t="s">
        <v>18</v>
      </c>
      <c r="E10913" s="10" t="s">
        <v>8346</v>
      </c>
      <c r="F10913" s="9" t="s">
        <v>8347</v>
      </c>
      <c r="G10913" s="10" t="s">
        <v>34</v>
      </c>
      <c r="H10913" s="9" t="s">
        <v>22</v>
      </c>
      <c r="I10913" s="9" t="s">
        <v>22619</v>
      </c>
      <c r="J10913" s="10" t="str">
        <f>HYPERLINK("https://www.boe.es/gazeta/dias/1834/12/04/pdfs/GMD-1834-293.pdf#page=1","Abrir facsímil")</f>
        <v>Abrir facsímil</v>
      </c>
      <c r="K10913" s="10" t="s">
        <v>24</v>
      </c>
    </row>
    <row r="10914" spans="1:11" ht="54" customHeight="1">
      <c r="A10914" s="9" t="s">
        <v>22617</v>
      </c>
      <c r="B10914" s="9" t="s">
        <v>22618</v>
      </c>
      <c r="C10914" s="9" t="s">
        <v>17</v>
      </c>
      <c r="D10914" s="9" t="s">
        <v>18</v>
      </c>
      <c r="E10914" s="10" t="s">
        <v>7523</v>
      </c>
      <c r="F10914" s="9" t="s">
        <v>7524</v>
      </c>
      <c r="G10914" s="10" t="s">
        <v>34</v>
      </c>
      <c r="H10914" s="9" t="s">
        <v>22</v>
      </c>
      <c r="I10914" s="9" t="s">
        <v>22620</v>
      </c>
      <c r="J10914" s="10" t="str">
        <f>HYPERLINK("https://www.boe.es/gazeta/dias/1834/12/26/pdfs/GMD-1834-316.pdf#page=1","Abrir facsímil")</f>
        <v>Abrir facsímil</v>
      </c>
      <c r="K10914" s="10" t="s">
        <v>24</v>
      </c>
    </row>
    <row r="10915" spans="1:11" ht="54" customHeight="1">
      <c r="A10915" s="9" t="s">
        <v>22621</v>
      </c>
      <c r="B10915" s="9" t="s">
        <v>22622</v>
      </c>
      <c r="C10915" s="9" t="s">
        <v>66</v>
      </c>
      <c r="D10915" s="9" t="s">
        <v>55</v>
      </c>
      <c r="E10915" s="10" t="s">
        <v>1103</v>
      </c>
      <c r="F10915" s="9" t="s">
        <v>1259</v>
      </c>
      <c r="G10915" s="10" t="s">
        <v>34</v>
      </c>
      <c r="H10915" s="9" t="s">
        <v>22</v>
      </c>
      <c r="I10915" s="9" t="s">
        <v>22623</v>
      </c>
      <c r="J10915" s="10" t="str">
        <f>HYPERLINK("https://www.boe.es/gazeta/dias/1834/10/10/pdfs/GMD-1834-238.pdf#page=1","Abrir facsímil")</f>
        <v>Abrir facsímil</v>
      </c>
      <c r="K10915" s="10" t="s">
        <v>24</v>
      </c>
    </row>
    <row r="10916" spans="1:11" ht="54" customHeight="1">
      <c r="A10916" s="9" t="s">
        <v>22624</v>
      </c>
      <c r="B10916" s="9" t="s">
        <v>22625</v>
      </c>
      <c r="C10916" s="9" t="s">
        <v>90</v>
      </c>
      <c r="D10916" s="9" t="s">
        <v>101</v>
      </c>
      <c r="E10916" s="10" t="s">
        <v>1297</v>
      </c>
      <c r="F10916" s="9" t="s">
        <v>1298</v>
      </c>
      <c r="G10916" s="10" t="s">
        <v>34</v>
      </c>
      <c r="H10916" s="9" t="s">
        <v>22</v>
      </c>
      <c r="I10916" s="9" t="s">
        <v>22626</v>
      </c>
      <c r="J10916" s="10" t="str">
        <f>HYPERLINK("https://www.boe.es/gazeta/dias/1834/08/01/pdfs/GMD-1834-165.pdf#page=1","Abrir facsímil")</f>
        <v>Abrir facsímil</v>
      </c>
      <c r="K10916" s="10" t="s">
        <v>24</v>
      </c>
    </row>
    <row r="10917" spans="1:11" ht="54" customHeight="1">
      <c r="A10917" s="9" t="s">
        <v>22624</v>
      </c>
      <c r="B10917" s="9" t="s">
        <v>22625</v>
      </c>
      <c r="C10917" s="9" t="s">
        <v>66</v>
      </c>
      <c r="D10917" s="9" t="s">
        <v>18</v>
      </c>
      <c r="E10917" s="10" t="s">
        <v>255</v>
      </c>
      <c r="F10917" s="9" t="s">
        <v>2368</v>
      </c>
      <c r="G10917" s="10" t="s">
        <v>34</v>
      </c>
      <c r="H10917" s="9" t="s">
        <v>22</v>
      </c>
      <c r="I10917" s="9" t="s">
        <v>22627</v>
      </c>
      <c r="J10917" s="10" t="str">
        <f>HYPERLINK("https://www.boe.es/gazeta/dias/1834/09/01/pdfs/GMD-1834-199.pdf#page=1","Abrir facsímil")</f>
        <v>Abrir facsímil</v>
      </c>
      <c r="K10917" s="10" t="s">
        <v>24</v>
      </c>
    </row>
    <row r="10918" spans="1:11" ht="54" customHeight="1">
      <c r="A10918" s="9" t="s">
        <v>22624</v>
      </c>
      <c r="B10918" s="9" t="s">
        <v>22625</v>
      </c>
      <c r="C10918" s="9" t="s">
        <v>66</v>
      </c>
      <c r="D10918" s="9" t="s">
        <v>67</v>
      </c>
      <c r="E10918" s="10" t="s">
        <v>158</v>
      </c>
      <c r="F10918" s="9" t="s">
        <v>159</v>
      </c>
      <c r="G10918" s="10" t="s">
        <v>34</v>
      </c>
      <c r="H10918" s="9" t="s">
        <v>22</v>
      </c>
      <c r="I10918" s="9" t="s">
        <v>22628</v>
      </c>
      <c r="J10918" s="10" t="str">
        <f>HYPERLINK("https://www.boe.es/gazeta/dias/1834/10/01/pdfs/GMD-1834-229.pdf#page=1","Abrir facsímil")</f>
        <v>Abrir facsímil</v>
      </c>
      <c r="K10918" s="10" t="s">
        <v>24</v>
      </c>
    </row>
    <row r="10919" spans="1:11" ht="54" customHeight="1">
      <c r="A10919" s="9" t="s">
        <v>22624</v>
      </c>
      <c r="B10919" s="9" t="s">
        <v>22625</v>
      </c>
      <c r="C10919" s="9" t="s">
        <v>66</v>
      </c>
      <c r="D10919" s="9" t="s">
        <v>18</v>
      </c>
      <c r="E10919" s="10" t="s">
        <v>68</v>
      </c>
      <c r="F10919" s="9" t="s">
        <v>69</v>
      </c>
      <c r="G10919" s="10" t="s">
        <v>34</v>
      </c>
      <c r="H10919" s="9" t="s">
        <v>22</v>
      </c>
      <c r="I10919" s="9" t="s">
        <v>22629</v>
      </c>
      <c r="J10919" s="10" t="str">
        <f>HYPERLINK("https://www.boe.es/gazeta/dias/1834/11/01/pdfs/GMD-1834-260.pdf#page=1","Abrir facsímil")</f>
        <v>Abrir facsímil</v>
      </c>
      <c r="K10919" s="10" t="s">
        <v>24</v>
      </c>
    </row>
    <row r="10920" spans="1:11" ht="54" customHeight="1">
      <c r="A10920" s="9" t="s">
        <v>22624</v>
      </c>
      <c r="B10920" s="9" t="s">
        <v>22625</v>
      </c>
      <c r="C10920" s="9" t="s">
        <v>66</v>
      </c>
      <c r="D10920" s="9" t="s">
        <v>18</v>
      </c>
      <c r="E10920" s="10" t="s">
        <v>2037</v>
      </c>
      <c r="F10920" s="9" t="s">
        <v>2038</v>
      </c>
      <c r="G10920" s="10" t="s">
        <v>34</v>
      </c>
      <c r="H10920" s="9" t="s">
        <v>22</v>
      </c>
      <c r="I10920" s="9" t="s">
        <v>22630</v>
      </c>
      <c r="J10920" s="10" t="str">
        <f>HYPERLINK("https://www.boe.es/gazeta/dias/1834/12/01/pdfs/GMD-1834-290.pdf#page=1","Abrir facsímil")</f>
        <v>Abrir facsímil</v>
      </c>
      <c r="K10920" s="10" t="s">
        <v>24</v>
      </c>
    </row>
    <row r="10921" spans="1:11" ht="54" customHeight="1">
      <c r="A10921" s="9" t="s">
        <v>22624</v>
      </c>
      <c r="B10921" s="9" t="s">
        <v>22625</v>
      </c>
      <c r="C10921" s="9" t="s">
        <v>66</v>
      </c>
      <c r="D10921" s="9" t="s">
        <v>18</v>
      </c>
      <c r="E10921" s="10" t="s">
        <v>905</v>
      </c>
      <c r="F10921" s="9" t="s">
        <v>1651</v>
      </c>
      <c r="G10921" s="10" t="s">
        <v>34</v>
      </c>
      <c r="H10921" s="9" t="s">
        <v>22</v>
      </c>
      <c r="I10921" s="9" t="s">
        <v>22631</v>
      </c>
      <c r="J10921" s="10" t="str">
        <f>HYPERLINK("https://www.boe.es/gazeta/dias/1834/08/02/pdfs/GMD-1834-166.pdf#page=1","Abrir facsímil")</f>
        <v>Abrir facsímil</v>
      </c>
      <c r="K10921" s="10" t="s">
        <v>24</v>
      </c>
    </row>
    <row r="10922" spans="1:11" ht="54" customHeight="1">
      <c r="A10922" s="9" t="s">
        <v>22624</v>
      </c>
      <c r="B10922" s="9" t="s">
        <v>22625</v>
      </c>
      <c r="C10922" s="9" t="s">
        <v>46</v>
      </c>
      <c r="D10922" s="9" t="s">
        <v>101</v>
      </c>
      <c r="E10922" s="10" t="s">
        <v>4105</v>
      </c>
      <c r="F10922" s="9" t="s">
        <v>8942</v>
      </c>
      <c r="G10922" s="10" t="s">
        <v>34</v>
      </c>
      <c r="H10922" s="9" t="s">
        <v>22</v>
      </c>
      <c r="I10922" s="9" t="s">
        <v>22632</v>
      </c>
      <c r="J10922" s="10" t="str">
        <f>HYPERLINK("https://www.boe.es/gazeta/dias/1834/09/02/pdfs/GMD-1834-200.pdf#page=1","Abrir facsímil")</f>
        <v>Abrir facsímil</v>
      </c>
      <c r="K10922" s="10" t="s">
        <v>24</v>
      </c>
    </row>
    <row r="10923" spans="1:11" ht="54" customHeight="1">
      <c r="A10923" s="9" t="s">
        <v>22624</v>
      </c>
      <c r="B10923" s="9" t="s">
        <v>22625</v>
      </c>
      <c r="C10923" s="9" t="s">
        <v>66</v>
      </c>
      <c r="D10923" s="9" t="s">
        <v>18</v>
      </c>
      <c r="E10923" s="10" t="s">
        <v>416</v>
      </c>
      <c r="F10923" s="9" t="s">
        <v>1130</v>
      </c>
      <c r="G10923" s="10" t="s">
        <v>34</v>
      </c>
      <c r="H10923" s="9" t="s">
        <v>22</v>
      </c>
      <c r="I10923" s="9" t="s">
        <v>22633</v>
      </c>
      <c r="J10923" s="10" t="str">
        <f>HYPERLINK("https://www.boe.es/gazeta/dias/1834/10/02/pdfs/GMD-1834-230.pdf#page=1","Abrir facsímil")</f>
        <v>Abrir facsímil</v>
      </c>
      <c r="K10923" s="10" t="s">
        <v>24</v>
      </c>
    </row>
    <row r="10924" spans="1:11" ht="54" customHeight="1">
      <c r="A10924" s="9" t="s">
        <v>22624</v>
      </c>
      <c r="B10924" s="9" t="s">
        <v>22625</v>
      </c>
      <c r="C10924" s="9" t="s">
        <v>90</v>
      </c>
      <c r="D10924" s="9" t="s">
        <v>18</v>
      </c>
      <c r="E10924" s="10" t="s">
        <v>3163</v>
      </c>
      <c r="F10924" s="9" t="s">
        <v>3164</v>
      </c>
      <c r="G10924" s="10" t="s">
        <v>34</v>
      </c>
      <c r="H10924" s="9" t="s">
        <v>22</v>
      </c>
      <c r="I10924" s="9" t="s">
        <v>22634</v>
      </c>
      <c r="J10924" s="10" t="str">
        <f>HYPERLINK("https://www.boe.es/gazeta/dias/1834/11/02/pdfs/GMD-1834-261.pdf#page=1","Abrir facsímil")</f>
        <v>Abrir facsímil</v>
      </c>
      <c r="K10924" s="10" t="s">
        <v>24</v>
      </c>
    </row>
    <row r="10925" spans="1:11" ht="54" customHeight="1">
      <c r="A10925" s="9" t="s">
        <v>22624</v>
      </c>
      <c r="B10925" s="9" t="s">
        <v>22625</v>
      </c>
      <c r="C10925" s="9" t="s">
        <v>66</v>
      </c>
      <c r="D10925" s="9" t="s">
        <v>55</v>
      </c>
      <c r="E10925" s="10" t="s">
        <v>1704</v>
      </c>
      <c r="F10925" s="9" t="s">
        <v>1705</v>
      </c>
      <c r="G10925" s="10" t="s">
        <v>34</v>
      </c>
      <c r="H10925" s="9" t="s">
        <v>22</v>
      </c>
      <c r="I10925" s="9" t="s">
        <v>22635</v>
      </c>
      <c r="J10925" s="10" t="str">
        <f>HYPERLINK("https://www.boe.es/gazeta/dias/1834/12/02/pdfs/GMD-1834-291.pdf#page=1","Abrir facsímil")</f>
        <v>Abrir facsímil</v>
      </c>
      <c r="K10925" s="10" t="s">
        <v>24</v>
      </c>
    </row>
    <row r="10926" spans="1:11" ht="54" customHeight="1">
      <c r="A10926" s="9" t="s">
        <v>22624</v>
      </c>
      <c r="B10926" s="9" t="s">
        <v>22625</v>
      </c>
      <c r="C10926" s="9" t="s">
        <v>17</v>
      </c>
      <c r="D10926" s="9" t="s">
        <v>101</v>
      </c>
      <c r="E10926" s="10" t="s">
        <v>1653</v>
      </c>
      <c r="F10926" s="9" t="s">
        <v>1654</v>
      </c>
      <c r="G10926" s="10" t="s">
        <v>34</v>
      </c>
      <c r="H10926" s="9" t="s">
        <v>22</v>
      </c>
      <c r="I10926" s="9" t="s">
        <v>22636</v>
      </c>
      <c r="J10926" s="10" t="str">
        <f>HYPERLINK("https://www.boe.es/gazeta/dias/1834/07/03/pdfs/GMD-1834-136.pdf#page=1","Abrir facsímil")</f>
        <v>Abrir facsímil</v>
      </c>
      <c r="K10926" s="10" t="s">
        <v>24</v>
      </c>
    </row>
    <row r="10927" spans="1:11" ht="54" customHeight="1">
      <c r="A10927" s="9" t="s">
        <v>22624</v>
      </c>
      <c r="B10927" s="9" t="s">
        <v>22625</v>
      </c>
      <c r="C10927" s="9" t="s">
        <v>66</v>
      </c>
      <c r="D10927" s="9" t="s">
        <v>18</v>
      </c>
      <c r="E10927" s="10" t="s">
        <v>690</v>
      </c>
      <c r="F10927" s="9" t="s">
        <v>5765</v>
      </c>
      <c r="G10927" s="10" t="s">
        <v>34</v>
      </c>
      <c r="H10927" s="9" t="s">
        <v>22</v>
      </c>
      <c r="I10927" s="9" t="s">
        <v>22637</v>
      </c>
      <c r="J10927" s="10" t="str">
        <f>HYPERLINK("https://www.boe.es/gazeta/dias/1834/09/03/pdfs/GMD-1834-201.pdf#page=1","Abrir facsímil")</f>
        <v>Abrir facsímil</v>
      </c>
      <c r="K10927" s="10" t="s">
        <v>24</v>
      </c>
    </row>
    <row r="10928" spans="1:11" ht="54" customHeight="1">
      <c r="A10928" s="9" t="s">
        <v>22624</v>
      </c>
      <c r="B10928" s="9" t="s">
        <v>22625</v>
      </c>
      <c r="C10928" s="9" t="s">
        <v>66</v>
      </c>
      <c r="D10928" s="9" t="s">
        <v>55</v>
      </c>
      <c r="E10928" s="10" t="s">
        <v>1597</v>
      </c>
      <c r="F10928" s="9" t="s">
        <v>1598</v>
      </c>
      <c r="G10928" s="10" t="s">
        <v>34</v>
      </c>
      <c r="H10928" s="9" t="s">
        <v>22</v>
      </c>
      <c r="I10928" s="9" t="s">
        <v>22638</v>
      </c>
      <c r="J10928" s="10" t="str">
        <f>HYPERLINK("https://www.boe.es/gazeta/dias/1834/10/03/pdfs/GMD-1834-231.pdf#page=1","Abrir facsímil")</f>
        <v>Abrir facsímil</v>
      </c>
      <c r="K10928" s="10" t="s">
        <v>24</v>
      </c>
    </row>
    <row r="10929" spans="1:11" ht="54" customHeight="1">
      <c r="A10929" s="9" t="s">
        <v>22624</v>
      </c>
      <c r="B10929" s="9" t="s">
        <v>22625</v>
      </c>
      <c r="C10929" s="9" t="s">
        <v>66</v>
      </c>
      <c r="D10929" s="9" t="s">
        <v>18</v>
      </c>
      <c r="E10929" s="10" t="s">
        <v>330</v>
      </c>
      <c r="F10929" s="9" t="s">
        <v>331</v>
      </c>
      <c r="G10929" s="10" t="s">
        <v>34</v>
      </c>
      <c r="H10929" s="9" t="s">
        <v>22</v>
      </c>
      <c r="I10929" s="9" t="s">
        <v>22639</v>
      </c>
      <c r="J10929" s="10" t="str">
        <f>HYPERLINK("https://www.boe.es/gazeta/dias/1834/12/03/pdfs/GMD-1834-292.pdf#page=1","Abrir facsímil")</f>
        <v>Abrir facsímil</v>
      </c>
      <c r="K10929" s="10" t="s">
        <v>24</v>
      </c>
    </row>
    <row r="10930" spans="1:11" ht="54" customHeight="1">
      <c r="A10930" s="9" t="s">
        <v>22624</v>
      </c>
      <c r="B10930" s="9" t="s">
        <v>22625</v>
      </c>
      <c r="C10930" s="9" t="s">
        <v>17</v>
      </c>
      <c r="D10930" s="9" t="s">
        <v>101</v>
      </c>
      <c r="E10930" s="10" t="s">
        <v>355</v>
      </c>
      <c r="F10930" s="9" t="s">
        <v>356</v>
      </c>
      <c r="G10930" s="10" t="s">
        <v>34</v>
      </c>
      <c r="H10930" s="9" t="s">
        <v>22</v>
      </c>
      <c r="I10930" s="9" t="s">
        <v>22640</v>
      </c>
      <c r="J10930" s="10" t="str">
        <f>HYPERLINK("https://www.boe.es/gazeta/dias/1834/07/04/pdfs/GMD-1834-137.pdf#page=1","Abrir facsímil")</f>
        <v>Abrir facsímil</v>
      </c>
      <c r="K10930" s="10" t="s">
        <v>24</v>
      </c>
    </row>
    <row r="10931" spans="1:11" ht="54" customHeight="1">
      <c r="A10931" s="9" t="s">
        <v>22624</v>
      </c>
      <c r="B10931" s="9" t="s">
        <v>22625</v>
      </c>
      <c r="C10931" s="9" t="s">
        <v>66</v>
      </c>
      <c r="D10931" s="9" t="s">
        <v>18</v>
      </c>
      <c r="E10931" s="10" t="s">
        <v>2212</v>
      </c>
      <c r="F10931" s="9" t="s">
        <v>5450</v>
      </c>
      <c r="G10931" s="10" t="s">
        <v>34</v>
      </c>
      <c r="H10931" s="9" t="s">
        <v>22</v>
      </c>
      <c r="I10931" s="9" t="s">
        <v>22641</v>
      </c>
      <c r="J10931" s="10" t="str">
        <f>HYPERLINK("https://www.boe.es/gazeta/dias/1834/08/04/pdfs/GMD-1834-168.pdf#page=1","Abrir facsímil")</f>
        <v>Abrir facsímil</v>
      </c>
      <c r="K10931" s="10" t="s">
        <v>24</v>
      </c>
    </row>
    <row r="10932" spans="1:11" ht="54" customHeight="1">
      <c r="A10932" s="9" t="s">
        <v>22624</v>
      </c>
      <c r="B10932" s="9" t="s">
        <v>22625</v>
      </c>
      <c r="C10932" s="9" t="s">
        <v>66</v>
      </c>
      <c r="D10932" s="9" t="s">
        <v>18</v>
      </c>
      <c r="E10932" s="10" t="s">
        <v>571</v>
      </c>
      <c r="F10932" s="9" t="s">
        <v>572</v>
      </c>
      <c r="G10932" s="10" t="s">
        <v>34</v>
      </c>
      <c r="H10932" s="9" t="s">
        <v>22</v>
      </c>
      <c r="I10932" s="9" t="s">
        <v>22642</v>
      </c>
      <c r="J10932" s="10" t="str">
        <f>HYPERLINK("https://www.boe.es/gazeta/dias/1834/09/04/pdfs/GMD-1834-202.pdf#page=1","Abrir facsímil")</f>
        <v>Abrir facsímil</v>
      </c>
      <c r="K10932" s="10" t="s">
        <v>24</v>
      </c>
    </row>
    <row r="10933" spans="1:11" ht="54" customHeight="1">
      <c r="A10933" s="9" t="s">
        <v>22624</v>
      </c>
      <c r="B10933" s="9" t="s">
        <v>22625</v>
      </c>
      <c r="C10933" s="9" t="s">
        <v>66</v>
      </c>
      <c r="D10933" s="9" t="s">
        <v>18</v>
      </c>
      <c r="E10933" s="10" t="s">
        <v>426</v>
      </c>
      <c r="F10933" s="9" t="s">
        <v>427</v>
      </c>
      <c r="G10933" s="10" t="s">
        <v>34</v>
      </c>
      <c r="H10933" s="9" t="s">
        <v>22</v>
      </c>
      <c r="I10933" s="9" t="s">
        <v>22643</v>
      </c>
      <c r="J10933" s="10" t="str">
        <f>HYPERLINK("https://www.boe.es/gazeta/dias/1834/10/04/pdfs/GMD-1834-232.pdf#page=1","Abrir facsímil")</f>
        <v>Abrir facsímil</v>
      </c>
      <c r="K10933" s="10" t="s">
        <v>24</v>
      </c>
    </row>
    <row r="10934" spans="1:11" ht="54" customHeight="1">
      <c r="A10934" s="9" t="s">
        <v>22624</v>
      </c>
      <c r="B10934" s="9" t="s">
        <v>22625</v>
      </c>
      <c r="C10934" s="9" t="s">
        <v>90</v>
      </c>
      <c r="D10934" s="9" t="s">
        <v>18</v>
      </c>
      <c r="E10934" s="10" t="s">
        <v>73</v>
      </c>
      <c r="F10934" s="9" t="s">
        <v>74</v>
      </c>
      <c r="G10934" s="10" t="s">
        <v>34</v>
      </c>
      <c r="H10934" s="9" t="s">
        <v>22</v>
      </c>
      <c r="I10934" s="9" t="s">
        <v>22644</v>
      </c>
      <c r="J10934" s="10" t="str">
        <f>HYPERLINK("https://www.boe.es/gazeta/dias/1834/11/04/pdfs/GMD-1834-263.pdf#page=1","Abrir facsímil")</f>
        <v>Abrir facsímil</v>
      </c>
      <c r="K10934" s="10" t="s">
        <v>24</v>
      </c>
    </row>
    <row r="10935" spans="1:11" ht="54" customHeight="1">
      <c r="A10935" s="9" t="s">
        <v>22624</v>
      </c>
      <c r="B10935" s="9" t="s">
        <v>22625</v>
      </c>
      <c r="C10935" s="9" t="s">
        <v>66</v>
      </c>
      <c r="D10935" s="9" t="s">
        <v>67</v>
      </c>
      <c r="E10935" s="10" t="s">
        <v>243</v>
      </c>
      <c r="F10935" s="9" t="s">
        <v>1109</v>
      </c>
      <c r="G10935" s="10" t="s">
        <v>34</v>
      </c>
      <c r="H10935" s="9" t="s">
        <v>22</v>
      </c>
      <c r="I10935" s="9" t="s">
        <v>22645</v>
      </c>
      <c r="J10935" s="10" t="str">
        <f>HYPERLINK("https://www.boe.es/gazeta/dias/1834/08/05/pdfs/GMD-1834-169.pdf#page=1","Abrir facsímil")</f>
        <v>Abrir facsímil</v>
      </c>
      <c r="K10935" s="10" t="s">
        <v>24</v>
      </c>
    </row>
    <row r="10936" spans="1:11" ht="54" customHeight="1">
      <c r="A10936" s="9" t="s">
        <v>22624</v>
      </c>
      <c r="B10936" s="9" t="s">
        <v>22625</v>
      </c>
      <c r="C10936" s="9" t="s">
        <v>66</v>
      </c>
      <c r="D10936" s="9" t="s">
        <v>18</v>
      </c>
      <c r="E10936" s="10" t="s">
        <v>47</v>
      </c>
      <c r="F10936" s="9" t="s">
        <v>1466</v>
      </c>
      <c r="G10936" s="10" t="s">
        <v>34</v>
      </c>
      <c r="H10936" s="9" t="s">
        <v>22</v>
      </c>
      <c r="I10936" s="9" t="s">
        <v>22646</v>
      </c>
      <c r="J10936" s="10" t="str">
        <f>HYPERLINK("https://www.boe.es/gazeta/dias/1834/09/05/pdfs/GMD-1834-203.pdf#page=1","Abrir facsímil")</f>
        <v>Abrir facsímil</v>
      </c>
      <c r="K10936" s="10" t="s">
        <v>24</v>
      </c>
    </row>
    <row r="10937" spans="1:11" ht="54" customHeight="1">
      <c r="A10937" s="9" t="s">
        <v>22624</v>
      </c>
      <c r="B10937" s="9" t="s">
        <v>22625</v>
      </c>
      <c r="C10937" s="9" t="s">
        <v>66</v>
      </c>
      <c r="D10937" s="9" t="s">
        <v>18</v>
      </c>
      <c r="E10937" s="10" t="s">
        <v>1340</v>
      </c>
      <c r="F10937" s="9" t="s">
        <v>3300</v>
      </c>
      <c r="G10937" s="10" t="s">
        <v>34</v>
      </c>
      <c r="H10937" s="9" t="s">
        <v>22</v>
      </c>
      <c r="I10937" s="9" t="s">
        <v>22647</v>
      </c>
      <c r="J10937" s="10" t="str">
        <f>HYPERLINK("https://www.boe.es/gazeta/dias/1834/10/05/pdfs/GMD-1834-233.pdf#page=1","Abrir facsímil")</f>
        <v>Abrir facsímil</v>
      </c>
      <c r="K10937" s="10" t="s">
        <v>24</v>
      </c>
    </row>
    <row r="10938" spans="1:11" ht="54" customHeight="1">
      <c r="A10938" s="9" t="s">
        <v>22624</v>
      </c>
      <c r="B10938" s="9" t="s">
        <v>22625</v>
      </c>
      <c r="C10938" s="9" t="s">
        <v>66</v>
      </c>
      <c r="D10938" s="9" t="s">
        <v>40</v>
      </c>
      <c r="E10938" s="10" t="s">
        <v>11991</v>
      </c>
      <c r="F10938" s="9" t="s">
        <v>17012</v>
      </c>
      <c r="G10938" s="10" t="s">
        <v>34</v>
      </c>
      <c r="H10938" s="9" t="s">
        <v>22</v>
      </c>
      <c r="I10938" s="9" t="s">
        <v>22648</v>
      </c>
      <c r="J10938" s="10" t="str">
        <f>HYPERLINK("https://www.boe.es/gazeta/dias/1834/12/05/pdfs/GMD-1834-294.pdf#page=1","Abrir facsímil")</f>
        <v>Abrir facsímil</v>
      </c>
      <c r="K10938" s="10" t="s">
        <v>24</v>
      </c>
    </row>
    <row r="10939" spans="1:11" ht="54" customHeight="1">
      <c r="A10939" s="9" t="s">
        <v>22624</v>
      </c>
      <c r="B10939" s="9" t="s">
        <v>22625</v>
      </c>
      <c r="C10939" s="9" t="s">
        <v>66</v>
      </c>
      <c r="D10939" s="9" t="s">
        <v>101</v>
      </c>
      <c r="E10939" s="10" t="s">
        <v>364</v>
      </c>
      <c r="F10939" s="9" t="s">
        <v>2102</v>
      </c>
      <c r="G10939" s="10" t="s">
        <v>34</v>
      </c>
      <c r="H10939" s="9" t="s">
        <v>22</v>
      </c>
      <c r="I10939" s="9" t="s">
        <v>22649</v>
      </c>
      <c r="J10939" s="10" t="str">
        <f>HYPERLINK("https://www.boe.es/gazeta/dias/1834/09/06/pdfs/GMD-1834-204.pdf#page=1","Abrir facsímil")</f>
        <v>Abrir facsímil</v>
      </c>
      <c r="K10939" s="10" t="s">
        <v>24</v>
      </c>
    </row>
    <row r="10940" spans="1:11" ht="54" customHeight="1">
      <c r="A10940" s="9" t="s">
        <v>22624</v>
      </c>
      <c r="B10940" s="9" t="s">
        <v>22625</v>
      </c>
      <c r="C10940" s="9" t="s">
        <v>66</v>
      </c>
      <c r="D10940" s="9" t="s">
        <v>18</v>
      </c>
      <c r="E10940" s="10" t="s">
        <v>1742</v>
      </c>
      <c r="F10940" s="9" t="s">
        <v>1743</v>
      </c>
      <c r="G10940" s="10" t="s">
        <v>34</v>
      </c>
      <c r="H10940" s="9" t="s">
        <v>22</v>
      </c>
      <c r="I10940" s="9" t="s">
        <v>22650</v>
      </c>
      <c r="J10940" s="10" t="str">
        <f>HYPERLINK("https://www.boe.es/gazeta/dias/1834/11/06/pdfs/GMD-1834-265.pdf#page=1","Abrir facsímil")</f>
        <v>Abrir facsímil</v>
      </c>
      <c r="K10940" s="10" t="s">
        <v>24</v>
      </c>
    </row>
    <row r="10941" spans="1:11" ht="54" customHeight="1">
      <c r="A10941" s="9" t="s">
        <v>22624</v>
      </c>
      <c r="B10941" s="9" t="s">
        <v>22625</v>
      </c>
      <c r="C10941" s="9" t="s">
        <v>66</v>
      </c>
      <c r="D10941" s="9" t="s">
        <v>18</v>
      </c>
      <c r="E10941" s="10" t="s">
        <v>696</v>
      </c>
      <c r="F10941" s="9" t="s">
        <v>854</v>
      </c>
      <c r="G10941" s="10" t="s">
        <v>34</v>
      </c>
      <c r="H10941" s="9" t="s">
        <v>22</v>
      </c>
      <c r="I10941" s="9" t="s">
        <v>22651</v>
      </c>
      <c r="J10941" s="10" t="str">
        <f>HYPERLINK("https://www.boe.es/gazeta/dias/1834/12/06/pdfs/GMD-1834-295.pdf#page=1","Abrir facsímil")</f>
        <v>Abrir facsímil</v>
      </c>
      <c r="K10941" s="10" t="s">
        <v>24</v>
      </c>
    </row>
    <row r="10942" spans="1:11" ht="54" customHeight="1">
      <c r="A10942" s="9" t="s">
        <v>22624</v>
      </c>
      <c r="B10942" s="9" t="s">
        <v>22625</v>
      </c>
      <c r="C10942" s="9" t="s">
        <v>66</v>
      </c>
      <c r="D10942" s="9" t="s">
        <v>18</v>
      </c>
      <c r="E10942" s="10" t="s">
        <v>167</v>
      </c>
      <c r="F10942" s="9" t="s">
        <v>168</v>
      </c>
      <c r="G10942" s="10" t="s">
        <v>34</v>
      </c>
      <c r="H10942" s="9" t="s">
        <v>22</v>
      </c>
      <c r="I10942" s="9" t="s">
        <v>22652</v>
      </c>
      <c r="J10942" s="10" t="str">
        <f>HYPERLINK("https://www.boe.es/gazeta/dias/1834/09/07/pdfs/GMD-1834-205.pdf#page=1","Abrir facsímil")</f>
        <v>Abrir facsímil</v>
      </c>
      <c r="K10942" s="10" t="s">
        <v>24</v>
      </c>
    </row>
    <row r="10943" spans="1:11" ht="54" customHeight="1">
      <c r="A10943" s="9" t="s">
        <v>22624</v>
      </c>
      <c r="B10943" s="9" t="s">
        <v>22625</v>
      </c>
      <c r="C10943" s="9" t="s">
        <v>66</v>
      </c>
      <c r="D10943" s="9" t="s">
        <v>18</v>
      </c>
      <c r="E10943" s="10" t="s">
        <v>433</v>
      </c>
      <c r="F10943" s="9" t="s">
        <v>2773</v>
      </c>
      <c r="G10943" s="10" t="s">
        <v>34</v>
      </c>
      <c r="H10943" s="9" t="s">
        <v>22</v>
      </c>
      <c r="I10943" s="9" t="s">
        <v>22653</v>
      </c>
      <c r="J10943" s="10" t="str">
        <f>HYPERLINK("https://www.boe.es/gazeta/dias/1834/10/07/pdfs/GMD-1834-235.pdf#page=1","Abrir facsímil")</f>
        <v>Abrir facsímil</v>
      </c>
      <c r="K10943" s="10" t="s">
        <v>24</v>
      </c>
    </row>
    <row r="10944" spans="1:11" ht="54" customHeight="1">
      <c r="A10944" s="9" t="s">
        <v>22624</v>
      </c>
      <c r="B10944" s="9" t="s">
        <v>22625</v>
      </c>
      <c r="C10944" s="9" t="s">
        <v>66</v>
      </c>
      <c r="D10944" s="9" t="s">
        <v>18</v>
      </c>
      <c r="E10944" s="10" t="s">
        <v>762</v>
      </c>
      <c r="F10944" s="9" t="s">
        <v>763</v>
      </c>
      <c r="G10944" s="10" t="s">
        <v>34</v>
      </c>
      <c r="H10944" s="9" t="s">
        <v>22</v>
      </c>
      <c r="I10944" s="9" t="s">
        <v>22654</v>
      </c>
      <c r="J10944" s="10" t="str">
        <f>HYPERLINK("https://www.boe.es/gazeta/dias/1834/11/07/pdfs/GMD-1834-266.pdf#page=1","Abrir facsímil")</f>
        <v>Abrir facsímil</v>
      </c>
      <c r="K10944" s="10" t="s">
        <v>24</v>
      </c>
    </row>
    <row r="10945" spans="1:11" ht="54" customHeight="1">
      <c r="A10945" s="9" t="s">
        <v>22624</v>
      </c>
      <c r="B10945" s="9" t="s">
        <v>22625</v>
      </c>
      <c r="C10945" s="9" t="s">
        <v>66</v>
      </c>
      <c r="D10945" s="9" t="s">
        <v>18</v>
      </c>
      <c r="E10945" s="10" t="s">
        <v>1008</v>
      </c>
      <c r="F10945" s="9" t="s">
        <v>2991</v>
      </c>
      <c r="G10945" s="10" t="s">
        <v>34</v>
      </c>
      <c r="H10945" s="9" t="s">
        <v>22</v>
      </c>
      <c r="I10945" s="9" t="s">
        <v>22655</v>
      </c>
      <c r="J10945" s="10" t="str">
        <f>HYPERLINK("https://www.boe.es/gazeta/dias/1834/11/08/pdfs/GMD-1834-267.pdf#page=1","Abrir facsímil")</f>
        <v>Abrir facsímil</v>
      </c>
      <c r="K10945" s="10" t="s">
        <v>24</v>
      </c>
    </row>
    <row r="10946" spans="1:11" ht="54" customHeight="1">
      <c r="A10946" s="9" t="s">
        <v>22624</v>
      </c>
      <c r="B10946" s="9" t="s">
        <v>22625</v>
      </c>
      <c r="C10946" s="9" t="s">
        <v>66</v>
      </c>
      <c r="D10946" s="9" t="s">
        <v>18</v>
      </c>
      <c r="E10946" s="10" t="s">
        <v>4637</v>
      </c>
      <c r="F10946" s="9" t="s">
        <v>4638</v>
      </c>
      <c r="G10946" s="10" t="s">
        <v>34</v>
      </c>
      <c r="H10946" s="9" t="s">
        <v>22</v>
      </c>
      <c r="I10946" s="9" t="s">
        <v>22656</v>
      </c>
      <c r="J10946" s="10" t="str">
        <f>HYPERLINK("https://www.boe.es/gazeta/dias/1834/12/08/pdfs/GMD-1834-297.pdf#page=1","Abrir facsímil")</f>
        <v>Abrir facsímil</v>
      </c>
      <c r="K10946" s="10" t="s">
        <v>24</v>
      </c>
    </row>
    <row r="10947" spans="1:11" ht="54" customHeight="1">
      <c r="A10947" s="9" t="s">
        <v>22624</v>
      </c>
      <c r="B10947" s="9" t="s">
        <v>22625</v>
      </c>
      <c r="C10947" s="9" t="s">
        <v>66</v>
      </c>
      <c r="D10947" s="9" t="s">
        <v>18</v>
      </c>
      <c r="E10947" s="10" t="s">
        <v>258</v>
      </c>
      <c r="F10947" s="9" t="s">
        <v>1075</v>
      </c>
      <c r="G10947" s="10" t="s">
        <v>34</v>
      </c>
      <c r="H10947" s="9" t="s">
        <v>22</v>
      </c>
      <c r="I10947" s="9" t="s">
        <v>22657</v>
      </c>
      <c r="J10947" s="10" t="str">
        <f>HYPERLINK("https://www.boe.es/gazeta/dias/1834/10/09/pdfs/GMD-1834-237.pdf#page=1","Abrir facsímil")</f>
        <v>Abrir facsímil</v>
      </c>
      <c r="K10947" s="10" t="s">
        <v>24</v>
      </c>
    </row>
    <row r="10948" spans="1:11" ht="54" customHeight="1">
      <c r="A10948" s="9" t="s">
        <v>22624</v>
      </c>
      <c r="B10948" s="9" t="s">
        <v>22625</v>
      </c>
      <c r="C10948" s="9" t="s">
        <v>66</v>
      </c>
      <c r="D10948" s="9" t="s">
        <v>18</v>
      </c>
      <c r="E10948" s="10" t="s">
        <v>438</v>
      </c>
      <c r="F10948" s="9" t="s">
        <v>439</v>
      </c>
      <c r="G10948" s="10" t="s">
        <v>34</v>
      </c>
      <c r="H10948" s="9" t="s">
        <v>22</v>
      </c>
      <c r="I10948" s="9" t="s">
        <v>22658</v>
      </c>
      <c r="J10948" s="10" t="str">
        <f>HYPERLINK("https://www.boe.es/gazeta/dias/1834/11/09/pdfs/GMD-1834-268.pdf#page=1","Abrir facsímil")</f>
        <v>Abrir facsímil</v>
      </c>
      <c r="K10948" s="10" t="s">
        <v>24</v>
      </c>
    </row>
    <row r="10949" spans="1:11" ht="54" customHeight="1">
      <c r="A10949" s="9" t="s">
        <v>22624</v>
      </c>
      <c r="B10949" s="9" t="s">
        <v>22625</v>
      </c>
      <c r="C10949" s="9" t="s">
        <v>66</v>
      </c>
      <c r="D10949" s="9" t="s">
        <v>55</v>
      </c>
      <c r="E10949" s="10" t="s">
        <v>1268</v>
      </c>
      <c r="F10949" s="9" t="s">
        <v>1269</v>
      </c>
      <c r="G10949" s="10" t="s">
        <v>34</v>
      </c>
      <c r="H10949" s="9" t="s">
        <v>22</v>
      </c>
      <c r="I10949" s="9" t="s">
        <v>22659</v>
      </c>
      <c r="J10949" s="10" t="str">
        <f>HYPERLINK("https://www.boe.es/gazeta/dias/1834/12/09/pdfs/GMD-1834-298.pdf#page=1","Abrir facsímil")</f>
        <v>Abrir facsímil</v>
      </c>
      <c r="K10949" s="10" t="s">
        <v>24</v>
      </c>
    </row>
    <row r="10950" spans="1:11" ht="54" customHeight="1">
      <c r="A10950" s="9" t="s">
        <v>22624</v>
      </c>
      <c r="B10950" s="9" t="s">
        <v>22625</v>
      </c>
      <c r="C10950" s="9" t="s">
        <v>66</v>
      </c>
      <c r="D10950" s="9" t="s">
        <v>18</v>
      </c>
      <c r="E10950" s="10" t="s">
        <v>956</v>
      </c>
      <c r="F10950" s="9" t="s">
        <v>1508</v>
      </c>
      <c r="G10950" s="10" t="s">
        <v>34</v>
      </c>
      <c r="H10950" s="9" t="s">
        <v>22</v>
      </c>
      <c r="I10950" s="9" t="s">
        <v>22660</v>
      </c>
      <c r="J10950" s="10" t="str">
        <f>HYPERLINK("https://www.boe.es/gazeta/dias/1834/08/10/pdfs/GMD-1834-175.pdf#page=1","Abrir facsímil")</f>
        <v>Abrir facsímil</v>
      </c>
      <c r="K10950" s="10" t="s">
        <v>24</v>
      </c>
    </row>
    <row r="10951" spans="1:11" ht="54" customHeight="1">
      <c r="A10951" s="9" t="s">
        <v>22624</v>
      </c>
      <c r="B10951" s="9" t="s">
        <v>22625</v>
      </c>
      <c r="C10951" s="9" t="s">
        <v>66</v>
      </c>
      <c r="D10951" s="9" t="s">
        <v>18</v>
      </c>
      <c r="E10951" s="10" t="s">
        <v>2203</v>
      </c>
      <c r="F10951" s="9" t="s">
        <v>3917</v>
      </c>
      <c r="G10951" s="10" t="s">
        <v>34</v>
      </c>
      <c r="H10951" s="9" t="s">
        <v>22</v>
      </c>
      <c r="I10951" s="9" t="s">
        <v>22661</v>
      </c>
      <c r="J10951" s="10" t="str">
        <f>HYPERLINK("https://www.boe.es/gazeta/dias/1834/09/10/pdfs/GMD-1834-208.pdf#page=1","Abrir facsímil")</f>
        <v>Abrir facsímil</v>
      </c>
      <c r="K10951" s="10" t="s">
        <v>24</v>
      </c>
    </row>
    <row r="10952" spans="1:11" ht="54" customHeight="1">
      <c r="A10952" s="9" t="s">
        <v>22624</v>
      </c>
      <c r="B10952" s="9" t="s">
        <v>22625</v>
      </c>
      <c r="C10952" s="9" t="s">
        <v>66</v>
      </c>
      <c r="D10952" s="9" t="s">
        <v>67</v>
      </c>
      <c r="E10952" s="10" t="s">
        <v>679</v>
      </c>
      <c r="F10952" s="9" t="s">
        <v>680</v>
      </c>
      <c r="G10952" s="10" t="s">
        <v>34</v>
      </c>
      <c r="H10952" s="9" t="s">
        <v>22</v>
      </c>
      <c r="I10952" s="9" t="s">
        <v>22662</v>
      </c>
      <c r="J10952" s="10" t="str">
        <f>HYPERLINK("https://www.boe.es/gazeta/dias/1834/12/10/pdfs/GMD-1834-299.pdf#page=1","Abrir facsímil")</f>
        <v>Abrir facsímil</v>
      </c>
      <c r="K10952" s="10" t="s">
        <v>24</v>
      </c>
    </row>
    <row r="10953" spans="1:11" ht="54" customHeight="1">
      <c r="A10953" s="9" t="s">
        <v>22624</v>
      </c>
      <c r="B10953" s="9" t="s">
        <v>22625</v>
      </c>
      <c r="C10953" s="9" t="s">
        <v>66</v>
      </c>
      <c r="D10953" s="9" t="s">
        <v>101</v>
      </c>
      <c r="E10953" s="10" t="s">
        <v>334</v>
      </c>
      <c r="F10953" s="9" t="s">
        <v>567</v>
      </c>
      <c r="G10953" s="10" t="s">
        <v>34</v>
      </c>
      <c r="H10953" s="9" t="s">
        <v>22</v>
      </c>
      <c r="I10953" s="9" t="s">
        <v>22663</v>
      </c>
      <c r="J10953" s="10" t="str">
        <f>HYPERLINK("https://www.boe.es/gazeta/dias/1834/09/11/pdfs/GMD-1834-209.pdf#page=1","Abrir facsímil")</f>
        <v>Abrir facsímil</v>
      </c>
      <c r="K10953" s="10" t="s">
        <v>24</v>
      </c>
    </row>
    <row r="10954" spans="1:11" ht="54" customHeight="1">
      <c r="A10954" s="9" t="s">
        <v>22624</v>
      </c>
      <c r="B10954" s="9" t="s">
        <v>22625</v>
      </c>
      <c r="C10954" s="9" t="s">
        <v>66</v>
      </c>
      <c r="D10954" s="9" t="s">
        <v>18</v>
      </c>
      <c r="E10954" s="10" t="s">
        <v>808</v>
      </c>
      <c r="F10954" s="9" t="s">
        <v>809</v>
      </c>
      <c r="G10954" s="10" t="s">
        <v>34</v>
      </c>
      <c r="H10954" s="9" t="s">
        <v>22</v>
      </c>
      <c r="I10954" s="9" t="s">
        <v>22664</v>
      </c>
      <c r="J10954" s="10" t="str">
        <f>HYPERLINK("https://www.boe.es/gazeta/dias/1834/10/11/pdfs/GMD-1834-239.pdf#page=1","Abrir facsímil")</f>
        <v>Abrir facsímil</v>
      </c>
      <c r="K10954" s="10" t="s">
        <v>24</v>
      </c>
    </row>
    <row r="10955" spans="1:11" ht="54" customHeight="1">
      <c r="A10955" s="9" t="s">
        <v>22624</v>
      </c>
      <c r="B10955" s="9" t="s">
        <v>22625</v>
      </c>
      <c r="C10955" s="9" t="s">
        <v>66</v>
      </c>
      <c r="D10955" s="9" t="s">
        <v>18</v>
      </c>
      <c r="E10955" s="10" t="s">
        <v>96</v>
      </c>
      <c r="F10955" s="9" t="s">
        <v>1725</v>
      </c>
      <c r="G10955" s="10" t="s">
        <v>34</v>
      </c>
      <c r="H10955" s="9" t="s">
        <v>22</v>
      </c>
      <c r="I10955" s="9" t="s">
        <v>22665</v>
      </c>
      <c r="J10955" s="10" t="str">
        <f>HYPERLINK("https://www.boe.es/gazeta/dias/1834/11/11/pdfs/GMD-1834-270.pdf#page=1","Abrir facsímil")</f>
        <v>Abrir facsímil</v>
      </c>
      <c r="K10955" s="10" t="s">
        <v>24</v>
      </c>
    </row>
    <row r="10956" spans="1:11" ht="54" customHeight="1">
      <c r="A10956" s="9" t="s">
        <v>22624</v>
      </c>
      <c r="B10956" s="9" t="s">
        <v>22625</v>
      </c>
      <c r="C10956" s="9" t="s">
        <v>66</v>
      </c>
      <c r="D10956" s="9" t="s">
        <v>101</v>
      </c>
      <c r="E10956" s="10" t="s">
        <v>444</v>
      </c>
      <c r="F10956" s="9" t="s">
        <v>2412</v>
      </c>
      <c r="G10956" s="10" t="s">
        <v>34</v>
      </c>
      <c r="H10956" s="9" t="s">
        <v>22</v>
      </c>
      <c r="I10956" s="9" t="s">
        <v>22666</v>
      </c>
      <c r="J10956" s="10" t="str">
        <f>HYPERLINK("https://www.boe.es/gazeta/dias/1834/09/12/pdfs/GMD-1834-210.pdf#page=1","Abrir facsímil")</f>
        <v>Abrir facsímil</v>
      </c>
      <c r="K10956" s="10" t="s">
        <v>24</v>
      </c>
    </row>
    <row r="10957" spans="1:11" ht="54" customHeight="1">
      <c r="A10957" s="9" t="s">
        <v>22624</v>
      </c>
      <c r="B10957" s="9" t="s">
        <v>22625</v>
      </c>
      <c r="C10957" s="9" t="s">
        <v>66</v>
      </c>
      <c r="D10957" s="9" t="s">
        <v>18</v>
      </c>
      <c r="E10957" s="10" t="s">
        <v>642</v>
      </c>
      <c r="F10957" s="9" t="s">
        <v>1843</v>
      </c>
      <c r="G10957" s="10" t="s">
        <v>34</v>
      </c>
      <c r="H10957" s="9" t="s">
        <v>22</v>
      </c>
      <c r="I10957" s="9" t="s">
        <v>22667</v>
      </c>
      <c r="J10957" s="10" t="str">
        <f>HYPERLINK("https://www.boe.es/gazeta/dias/1834/11/12/pdfs/GMD-1834-271.pdf#page=1","Abrir facsímil")</f>
        <v>Abrir facsímil</v>
      </c>
      <c r="K10957" s="10" t="s">
        <v>24</v>
      </c>
    </row>
    <row r="10958" spans="1:11" ht="54" customHeight="1">
      <c r="A10958" s="9" t="s">
        <v>22624</v>
      </c>
      <c r="B10958" s="9" t="s">
        <v>22625</v>
      </c>
      <c r="C10958" s="9" t="s">
        <v>66</v>
      </c>
      <c r="D10958" s="9" t="s">
        <v>18</v>
      </c>
      <c r="E10958" s="10" t="s">
        <v>299</v>
      </c>
      <c r="F10958" s="9" t="s">
        <v>300</v>
      </c>
      <c r="G10958" s="10" t="s">
        <v>34</v>
      </c>
      <c r="H10958" s="9" t="s">
        <v>22</v>
      </c>
      <c r="I10958" s="9" t="s">
        <v>22668</v>
      </c>
      <c r="J10958" s="10" t="str">
        <f>HYPERLINK("https://www.boe.es/gazeta/dias/1834/12/12/pdfs/GMD-1834-301.pdf#page=1","Abrir facsímil")</f>
        <v>Abrir facsímil</v>
      </c>
      <c r="K10958" s="10" t="s">
        <v>24</v>
      </c>
    </row>
    <row r="10959" spans="1:11" ht="54" customHeight="1">
      <c r="A10959" s="9" t="s">
        <v>22624</v>
      </c>
      <c r="B10959" s="9" t="s">
        <v>22625</v>
      </c>
      <c r="C10959" s="9" t="s">
        <v>66</v>
      </c>
      <c r="D10959" s="9" t="s">
        <v>18</v>
      </c>
      <c r="E10959" s="10" t="s">
        <v>1981</v>
      </c>
      <c r="F10959" s="9" t="s">
        <v>1982</v>
      </c>
      <c r="G10959" s="10" t="s">
        <v>34</v>
      </c>
      <c r="H10959" s="9" t="s">
        <v>22</v>
      </c>
      <c r="I10959" s="9" t="s">
        <v>22669</v>
      </c>
      <c r="J10959" s="10" t="str">
        <f>HYPERLINK("https://www.boe.es/gazeta/dias/1834/12/13/pdfs/GMD-1834-302.pdf#page=1","Abrir facsímil")</f>
        <v>Abrir facsímil</v>
      </c>
      <c r="K10959" s="10" t="s">
        <v>24</v>
      </c>
    </row>
    <row r="10960" spans="1:11" ht="54" customHeight="1">
      <c r="A10960" s="9" t="s">
        <v>22624</v>
      </c>
      <c r="B10960" s="9" t="s">
        <v>22625</v>
      </c>
      <c r="C10960" s="9" t="s">
        <v>66</v>
      </c>
      <c r="D10960" s="9" t="s">
        <v>18</v>
      </c>
      <c r="E10960" s="10" t="s">
        <v>1186</v>
      </c>
      <c r="F10960" s="9" t="s">
        <v>1187</v>
      </c>
      <c r="G10960" s="10" t="s">
        <v>34</v>
      </c>
      <c r="H10960" s="9" t="s">
        <v>22</v>
      </c>
      <c r="I10960" s="9" t="s">
        <v>22670</v>
      </c>
      <c r="J10960" s="10" t="str">
        <f>HYPERLINK("https://www.boe.es/gazeta/dias/1834/08/14/pdfs/GMD-1834-179.pdf#page=1","Abrir facsímil")</f>
        <v>Abrir facsímil</v>
      </c>
      <c r="K10960" s="10" t="s">
        <v>24</v>
      </c>
    </row>
    <row r="10961" spans="1:11" ht="54" customHeight="1">
      <c r="A10961" s="9" t="s">
        <v>22624</v>
      </c>
      <c r="B10961" s="9" t="s">
        <v>22625</v>
      </c>
      <c r="C10961" s="9" t="s">
        <v>66</v>
      </c>
      <c r="D10961" s="9" t="s">
        <v>55</v>
      </c>
      <c r="E10961" s="10" t="s">
        <v>222</v>
      </c>
      <c r="F10961" s="9" t="s">
        <v>223</v>
      </c>
      <c r="G10961" s="10" t="s">
        <v>34</v>
      </c>
      <c r="H10961" s="9" t="s">
        <v>22</v>
      </c>
      <c r="I10961" s="9" t="s">
        <v>22671</v>
      </c>
      <c r="J10961" s="10" t="str">
        <f>HYPERLINK("https://www.boe.es/gazeta/dias/1834/09/14/pdfs/GMD-1834-212.pdf#page=1","Abrir facsímil")</f>
        <v>Abrir facsímil</v>
      </c>
      <c r="K10961" s="10" t="s">
        <v>24</v>
      </c>
    </row>
    <row r="10962" spans="1:11" ht="54" customHeight="1">
      <c r="A10962" s="9" t="s">
        <v>22624</v>
      </c>
      <c r="B10962" s="9" t="s">
        <v>22625</v>
      </c>
      <c r="C10962" s="9" t="s">
        <v>66</v>
      </c>
      <c r="D10962" s="9" t="s">
        <v>18</v>
      </c>
      <c r="E10962" s="10" t="s">
        <v>448</v>
      </c>
      <c r="F10962" s="9" t="s">
        <v>2058</v>
      </c>
      <c r="G10962" s="10" t="s">
        <v>34</v>
      </c>
      <c r="H10962" s="9" t="s">
        <v>22</v>
      </c>
      <c r="I10962" s="9" t="s">
        <v>22672</v>
      </c>
      <c r="J10962" s="10" t="str">
        <f>HYPERLINK("https://www.boe.es/gazeta/dias/1834/10/14/pdfs/GMD-1834-242.pdf#page=1","Abrir facsímil")</f>
        <v>Abrir facsímil</v>
      </c>
      <c r="K10962" s="10" t="s">
        <v>24</v>
      </c>
    </row>
    <row r="10963" spans="1:11" ht="54" customHeight="1">
      <c r="A10963" s="9" t="s">
        <v>22624</v>
      </c>
      <c r="B10963" s="9" t="s">
        <v>22625</v>
      </c>
      <c r="C10963" s="9" t="s">
        <v>66</v>
      </c>
      <c r="D10963" s="9" t="s">
        <v>18</v>
      </c>
      <c r="E10963" s="10" t="s">
        <v>1424</v>
      </c>
      <c r="F10963" s="9" t="s">
        <v>3445</v>
      </c>
      <c r="G10963" s="10" t="s">
        <v>34</v>
      </c>
      <c r="H10963" s="9" t="s">
        <v>22</v>
      </c>
      <c r="I10963" s="9" t="s">
        <v>22673</v>
      </c>
      <c r="J10963" s="10" t="str">
        <f>HYPERLINK("https://www.boe.es/gazeta/dias/1834/11/14/pdfs/GMD-1834-273.pdf#page=1","Abrir facsímil")</f>
        <v>Abrir facsímil</v>
      </c>
      <c r="K10963" s="10" t="s">
        <v>24</v>
      </c>
    </row>
    <row r="10964" spans="1:11" ht="54" customHeight="1">
      <c r="A10964" s="9" t="s">
        <v>22624</v>
      </c>
      <c r="B10964" s="9" t="s">
        <v>22625</v>
      </c>
      <c r="C10964" s="9" t="s">
        <v>66</v>
      </c>
      <c r="D10964" s="9" t="s">
        <v>18</v>
      </c>
      <c r="E10964" s="10" t="s">
        <v>2087</v>
      </c>
      <c r="F10964" s="9" t="s">
        <v>2088</v>
      </c>
      <c r="G10964" s="10" t="s">
        <v>34</v>
      </c>
      <c r="H10964" s="9" t="s">
        <v>22</v>
      </c>
      <c r="I10964" s="9" t="s">
        <v>22674</v>
      </c>
      <c r="J10964" s="10" t="str">
        <f>HYPERLINK("https://www.boe.es/gazeta/dias/1834/12/14/pdfs/GMD-1834-303.pdf#page=1","Abrir facsímil")</f>
        <v>Abrir facsímil</v>
      </c>
      <c r="K10964" s="10" t="s">
        <v>24</v>
      </c>
    </row>
    <row r="10965" spans="1:11" ht="54" customHeight="1">
      <c r="A10965" s="9" t="s">
        <v>22624</v>
      </c>
      <c r="B10965" s="9" t="s">
        <v>22625</v>
      </c>
      <c r="C10965" s="9" t="s">
        <v>66</v>
      </c>
      <c r="D10965" s="9" t="s">
        <v>101</v>
      </c>
      <c r="E10965" s="10" t="s">
        <v>237</v>
      </c>
      <c r="F10965" s="9" t="s">
        <v>4609</v>
      </c>
      <c r="G10965" s="10" t="s">
        <v>34</v>
      </c>
      <c r="H10965" s="9" t="s">
        <v>22</v>
      </c>
      <c r="I10965" s="9" t="s">
        <v>22675</v>
      </c>
      <c r="J10965" s="10" t="str">
        <f>HYPERLINK("https://www.boe.es/gazeta/dias/1834/08/15/pdfs/GMD-1834-180.pdf#page=1","Abrir facsímil")</f>
        <v>Abrir facsímil</v>
      </c>
      <c r="K10965" s="10" t="s">
        <v>24</v>
      </c>
    </row>
    <row r="10966" spans="1:11" ht="54" customHeight="1">
      <c r="A10966" s="9" t="s">
        <v>22624</v>
      </c>
      <c r="B10966" s="9" t="s">
        <v>22625</v>
      </c>
      <c r="C10966" s="9" t="s">
        <v>66</v>
      </c>
      <c r="D10966" s="9" t="s">
        <v>18</v>
      </c>
      <c r="E10966" s="10" t="s">
        <v>863</v>
      </c>
      <c r="F10966" s="9" t="s">
        <v>864</v>
      </c>
      <c r="G10966" s="10" t="s">
        <v>34</v>
      </c>
      <c r="H10966" s="9" t="s">
        <v>22</v>
      </c>
      <c r="I10966" s="9" t="s">
        <v>22676</v>
      </c>
      <c r="J10966" s="10" t="str">
        <f>HYPERLINK("https://www.boe.es/gazeta/dias/1834/09/15/pdfs/GMD-1834-213.pdf#page=1","Abrir facsímil")</f>
        <v>Abrir facsímil</v>
      </c>
      <c r="K10966" s="10" t="s">
        <v>24</v>
      </c>
    </row>
    <row r="10967" spans="1:11" ht="54" customHeight="1">
      <c r="A10967" s="9" t="s">
        <v>22624</v>
      </c>
      <c r="B10967" s="9" t="s">
        <v>22625</v>
      </c>
      <c r="C10967" s="9" t="s">
        <v>66</v>
      </c>
      <c r="D10967" s="9" t="s">
        <v>67</v>
      </c>
      <c r="E10967" s="10" t="s">
        <v>451</v>
      </c>
      <c r="F10967" s="9" t="s">
        <v>3350</v>
      </c>
      <c r="G10967" s="10" t="s">
        <v>34</v>
      </c>
      <c r="H10967" s="9" t="s">
        <v>22</v>
      </c>
      <c r="I10967" s="9" t="s">
        <v>22677</v>
      </c>
      <c r="J10967" s="10" t="str">
        <f>HYPERLINK("https://www.boe.es/gazeta/dias/1834/10/15/pdfs/GMD-1834-243.pdf#page=1","Abrir facsímil")</f>
        <v>Abrir facsímil</v>
      </c>
      <c r="K10967" s="10" t="s">
        <v>24</v>
      </c>
    </row>
    <row r="10968" spans="1:11" ht="54" customHeight="1">
      <c r="A10968" s="9" t="s">
        <v>22624</v>
      </c>
      <c r="B10968" s="9" t="s">
        <v>22625</v>
      </c>
      <c r="C10968" s="9" t="s">
        <v>66</v>
      </c>
      <c r="D10968" s="9" t="s">
        <v>18</v>
      </c>
      <c r="E10968" s="10" t="s">
        <v>928</v>
      </c>
      <c r="F10968" s="9" t="s">
        <v>3338</v>
      </c>
      <c r="G10968" s="10" t="s">
        <v>34</v>
      </c>
      <c r="H10968" s="9" t="s">
        <v>22</v>
      </c>
      <c r="I10968" s="9" t="s">
        <v>22678</v>
      </c>
      <c r="J10968" s="10" t="str">
        <f>HYPERLINK("https://www.boe.es/gazeta/dias/1834/11/15/pdfs/GMD-1834-274.pdf#page=1","Abrir facsímil")</f>
        <v>Abrir facsímil</v>
      </c>
      <c r="K10968" s="10" t="s">
        <v>24</v>
      </c>
    </row>
    <row r="10969" spans="1:11" ht="54" customHeight="1">
      <c r="A10969" s="9" t="s">
        <v>22624</v>
      </c>
      <c r="B10969" s="9" t="s">
        <v>22625</v>
      </c>
      <c r="C10969" s="9" t="s">
        <v>17</v>
      </c>
      <c r="D10969" s="9" t="s">
        <v>18</v>
      </c>
      <c r="E10969" s="10" t="s">
        <v>13660</v>
      </c>
      <c r="F10969" s="9" t="s">
        <v>13661</v>
      </c>
      <c r="G10969" s="10" t="s">
        <v>34</v>
      </c>
      <c r="H10969" s="9" t="s">
        <v>22</v>
      </c>
      <c r="I10969" s="9" t="s">
        <v>22679</v>
      </c>
      <c r="J10969" s="10" t="str">
        <f>HYPERLINK("https://www.boe.es/gazeta/dias/1834/12/15/pdfs/GMD-1834-304.pdf#page=1","Abrir facsímil")</f>
        <v>Abrir facsímil</v>
      </c>
      <c r="K10969" s="10" t="s">
        <v>24</v>
      </c>
    </row>
    <row r="10970" spans="1:11" ht="54" customHeight="1">
      <c r="A10970" s="9" t="s">
        <v>22624</v>
      </c>
      <c r="B10970" s="9" t="s">
        <v>22625</v>
      </c>
      <c r="C10970" s="9" t="s">
        <v>66</v>
      </c>
      <c r="D10970" s="9" t="s">
        <v>67</v>
      </c>
      <c r="E10970" s="10" t="s">
        <v>663</v>
      </c>
      <c r="F10970" s="9" t="s">
        <v>664</v>
      </c>
      <c r="G10970" s="10" t="s">
        <v>34</v>
      </c>
      <c r="H10970" s="9" t="s">
        <v>22</v>
      </c>
      <c r="I10970" s="9" t="s">
        <v>22680</v>
      </c>
      <c r="J10970" s="10" t="str">
        <f>HYPERLINK("https://www.boe.es/gazeta/dias/1834/07/16/pdfs/GMD-1834-149.pdf#page=1","Abrir facsímil")</f>
        <v>Abrir facsímil</v>
      </c>
      <c r="K10970" s="10" t="s">
        <v>24</v>
      </c>
    </row>
    <row r="10971" spans="1:11" ht="54" customHeight="1">
      <c r="A10971" s="9" t="s">
        <v>22624</v>
      </c>
      <c r="B10971" s="9" t="s">
        <v>22625</v>
      </c>
      <c r="C10971" s="9" t="s">
        <v>66</v>
      </c>
      <c r="D10971" s="9" t="s">
        <v>55</v>
      </c>
      <c r="E10971" s="10" t="s">
        <v>454</v>
      </c>
      <c r="F10971" s="9" t="s">
        <v>2009</v>
      </c>
      <c r="G10971" s="10" t="s">
        <v>34</v>
      </c>
      <c r="H10971" s="9" t="s">
        <v>22</v>
      </c>
      <c r="I10971" s="9" t="s">
        <v>22681</v>
      </c>
      <c r="J10971" s="10" t="str">
        <f>HYPERLINK("https://www.boe.es/gazeta/dias/1834/10/16/pdfs/GMD-1834-244.pdf#page=1","Abrir facsímil")</f>
        <v>Abrir facsímil</v>
      </c>
      <c r="K10971" s="10" t="s">
        <v>24</v>
      </c>
    </row>
    <row r="10972" spans="1:11" ht="54" customHeight="1">
      <c r="A10972" s="9" t="s">
        <v>22624</v>
      </c>
      <c r="B10972" s="9" t="s">
        <v>22625</v>
      </c>
      <c r="C10972" s="9" t="s">
        <v>122</v>
      </c>
      <c r="D10972" s="9" t="s">
        <v>18</v>
      </c>
      <c r="E10972" s="10" t="s">
        <v>233</v>
      </c>
      <c r="F10972" s="9" t="s">
        <v>234</v>
      </c>
      <c r="G10972" s="10" t="s">
        <v>34</v>
      </c>
      <c r="H10972" s="9" t="s">
        <v>22</v>
      </c>
      <c r="I10972" s="9" t="s">
        <v>22682</v>
      </c>
      <c r="J10972" s="10" t="str">
        <f>HYPERLINK("https://www.boe.es/gazeta/dias/1834/12/16/pdfs/GMD-1834-305.pdf#page=1","Abrir facsímil")</f>
        <v>Abrir facsímil</v>
      </c>
      <c r="K10972" s="10" t="s">
        <v>24</v>
      </c>
    </row>
    <row r="10973" spans="1:11" ht="54" customHeight="1">
      <c r="A10973" s="9" t="s">
        <v>22624</v>
      </c>
      <c r="B10973" s="9" t="s">
        <v>22625</v>
      </c>
      <c r="C10973" s="9" t="s">
        <v>857</v>
      </c>
      <c r="D10973" s="9" t="s">
        <v>18</v>
      </c>
      <c r="E10973" s="10" t="s">
        <v>19</v>
      </c>
      <c r="F10973" s="9" t="s">
        <v>107</v>
      </c>
      <c r="G10973" s="10" t="s">
        <v>34</v>
      </c>
      <c r="H10973" s="9" t="s">
        <v>22</v>
      </c>
      <c r="I10973" s="9" t="s">
        <v>22683</v>
      </c>
      <c r="J10973" s="10" t="str">
        <f>HYPERLINK("https://www.boe.es/gazeta/dias/1834/08/17/pdfs/GMD-1834-182.pdf#page=1","Abrir facsímil")</f>
        <v>Abrir facsímil</v>
      </c>
      <c r="K10973" s="10" t="s">
        <v>24</v>
      </c>
    </row>
    <row r="10974" spans="1:11" ht="54" customHeight="1">
      <c r="A10974" s="9" t="s">
        <v>22624</v>
      </c>
      <c r="B10974" s="9" t="s">
        <v>22625</v>
      </c>
      <c r="C10974" s="9" t="s">
        <v>17</v>
      </c>
      <c r="D10974" s="9" t="s">
        <v>18</v>
      </c>
      <c r="E10974" s="10" t="s">
        <v>715</v>
      </c>
      <c r="F10974" s="9" t="s">
        <v>7773</v>
      </c>
      <c r="G10974" s="10" t="s">
        <v>34</v>
      </c>
      <c r="H10974" s="9" t="s">
        <v>22</v>
      </c>
      <c r="I10974" s="9" t="s">
        <v>22684</v>
      </c>
      <c r="J10974" s="10" t="str">
        <f>HYPERLINK("https://www.boe.es/gazeta/dias/1834/09/17/pdfs/GMD-1834-215.pdf#page=1","Abrir facsímil")</f>
        <v>Abrir facsímil</v>
      </c>
      <c r="K10974" s="10" t="s">
        <v>24</v>
      </c>
    </row>
    <row r="10975" spans="1:11" ht="54" customHeight="1">
      <c r="A10975" s="9" t="s">
        <v>22624</v>
      </c>
      <c r="B10975" s="9" t="s">
        <v>22625</v>
      </c>
      <c r="C10975" s="9" t="s">
        <v>66</v>
      </c>
      <c r="D10975" s="9" t="s">
        <v>67</v>
      </c>
      <c r="E10975" s="10" t="s">
        <v>1195</v>
      </c>
      <c r="F10975" s="9" t="s">
        <v>1916</v>
      </c>
      <c r="G10975" s="10" t="s">
        <v>34</v>
      </c>
      <c r="H10975" s="9" t="s">
        <v>22</v>
      </c>
      <c r="I10975" s="9" t="s">
        <v>22685</v>
      </c>
      <c r="J10975" s="10" t="str">
        <f>HYPERLINK("https://www.boe.es/gazeta/dias/1834/10/17/pdfs/GMD-1834-245.pdf#page=1","Abrir facsímil")</f>
        <v>Abrir facsímil</v>
      </c>
      <c r="K10975" s="10" t="s">
        <v>24</v>
      </c>
    </row>
    <row r="10976" spans="1:11" ht="54" customHeight="1">
      <c r="A10976" s="9" t="s">
        <v>22624</v>
      </c>
      <c r="B10976" s="9" t="s">
        <v>22625</v>
      </c>
      <c r="C10976" s="9" t="s">
        <v>66</v>
      </c>
      <c r="D10976" s="9" t="s">
        <v>18</v>
      </c>
      <c r="E10976" s="10" t="s">
        <v>2278</v>
      </c>
      <c r="F10976" s="9" t="s">
        <v>3088</v>
      </c>
      <c r="G10976" s="10" t="s">
        <v>34</v>
      </c>
      <c r="H10976" s="9" t="s">
        <v>22</v>
      </c>
      <c r="I10976" s="9" t="s">
        <v>22686</v>
      </c>
      <c r="J10976" s="10" t="str">
        <f>HYPERLINK("https://www.boe.es/gazeta/dias/1834/12/17/pdfs/GMD-1834-306.pdf#page=1","Abrir facsímil")</f>
        <v>Abrir facsímil</v>
      </c>
      <c r="K10976" s="10" t="s">
        <v>24</v>
      </c>
    </row>
    <row r="10977" spans="1:11" ht="54" customHeight="1">
      <c r="A10977" s="9" t="s">
        <v>22624</v>
      </c>
      <c r="B10977" s="9" t="s">
        <v>22625</v>
      </c>
      <c r="C10977" s="9" t="s">
        <v>66</v>
      </c>
      <c r="D10977" s="9" t="s">
        <v>18</v>
      </c>
      <c r="E10977" s="10" t="s">
        <v>1459</v>
      </c>
      <c r="F10977" s="9" t="s">
        <v>1460</v>
      </c>
      <c r="G10977" s="10" t="s">
        <v>34</v>
      </c>
      <c r="H10977" s="9" t="s">
        <v>22</v>
      </c>
      <c r="I10977" s="9" t="s">
        <v>22687</v>
      </c>
      <c r="J10977" s="10" t="str">
        <f>HYPERLINK("https://www.boe.es/gazeta/dias/1834/08/18/pdfs/GMD-1834-184.pdf#page=1","Abrir facsímil")</f>
        <v>Abrir facsímil</v>
      </c>
      <c r="K10977" s="10" t="s">
        <v>24</v>
      </c>
    </row>
    <row r="10978" spans="1:11" ht="54" customHeight="1">
      <c r="A10978" s="9" t="s">
        <v>22624</v>
      </c>
      <c r="B10978" s="9" t="s">
        <v>22625</v>
      </c>
      <c r="C10978" s="9" t="s">
        <v>66</v>
      </c>
      <c r="D10978" s="9" t="s">
        <v>18</v>
      </c>
      <c r="E10978" s="10" t="s">
        <v>772</v>
      </c>
      <c r="F10978" s="9" t="s">
        <v>773</v>
      </c>
      <c r="G10978" s="10" t="s">
        <v>34</v>
      </c>
      <c r="H10978" s="9" t="s">
        <v>22</v>
      </c>
      <c r="I10978" s="9" t="s">
        <v>22688</v>
      </c>
      <c r="J10978" s="10" t="str">
        <f>HYPERLINK("https://www.boe.es/gazeta/dias/1834/09/18/pdfs/GMD-1834-216.pdf#page=1","Abrir facsímil")</f>
        <v>Abrir facsímil</v>
      </c>
      <c r="K10978" s="10" t="s">
        <v>24</v>
      </c>
    </row>
    <row r="10979" spans="1:11" ht="54" customHeight="1">
      <c r="A10979" s="9" t="s">
        <v>22624</v>
      </c>
      <c r="B10979" s="9" t="s">
        <v>22625</v>
      </c>
      <c r="C10979" s="9" t="s">
        <v>66</v>
      </c>
      <c r="D10979" s="9" t="s">
        <v>101</v>
      </c>
      <c r="E10979" s="10" t="s">
        <v>262</v>
      </c>
      <c r="F10979" s="9" t="s">
        <v>7012</v>
      </c>
      <c r="G10979" s="10" t="s">
        <v>34</v>
      </c>
      <c r="H10979" s="9" t="s">
        <v>22</v>
      </c>
      <c r="I10979" s="9" t="s">
        <v>22689</v>
      </c>
      <c r="J10979" s="10" t="str">
        <f>HYPERLINK("https://www.boe.es/gazeta/dias/1834/10/18/pdfs/GMD-1834-246.pdf#page=1","Abrir facsímil")</f>
        <v>Abrir facsímil</v>
      </c>
      <c r="K10979" s="10" t="s">
        <v>24</v>
      </c>
    </row>
    <row r="10980" spans="1:11" ht="54" customHeight="1">
      <c r="A10980" s="9" t="s">
        <v>22624</v>
      </c>
      <c r="B10980" s="9" t="s">
        <v>22625</v>
      </c>
      <c r="C10980" s="9" t="s">
        <v>66</v>
      </c>
      <c r="D10980" s="9" t="s">
        <v>18</v>
      </c>
      <c r="E10980" s="10" t="s">
        <v>3036</v>
      </c>
      <c r="F10980" s="9" t="s">
        <v>3372</v>
      </c>
      <c r="G10980" s="10" t="s">
        <v>34</v>
      </c>
      <c r="H10980" s="9" t="s">
        <v>22</v>
      </c>
      <c r="I10980" s="9" t="s">
        <v>22690</v>
      </c>
      <c r="J10980" s="10" t="str">
        <f>HYPERLINK("https://www.boe.es/gazeta/dias/1834/11/18/pdfs/GMD-1834-277.pdf#page=1","Abrir facsímil")</f>
        <v>Abrir facsímil</v>
      </c>
      <c r="K10980" s="10" t="s">
        <v>24</v>
      </c>
    </row>
    <row r="10981" spans="1:11" ht="54" customHeight="1">
      <c r="A10981" s="9" t="s">
        <v>22624</v>
      </c>
      <c r="B10981" s="9" t="s">
        <v>22625</v>
      </c>
      <c r="C10981" s="9" t="s">
        <v>66</v>
      </c>
      <c r="D10981" s="9" t="s">
        <v>18</v>
      </c>
      <c r="E10981" s="10" t="s">
        <v>615</v>
      </c>
      <c r="F10981" s="9" t="s">
        <v>616</v>
      </c>
      <c r="G10981" s="10" t="s">
        <v>34</v>
      </c>
      <c r="H10981" s="9" t="s">
        <v>22</v>
      </c>
      <c r="I10981" s="9" t="s">
        <v>22691</v>
      </c>
      <c r="J10981" s="10" t="str">
        <f>HYPERLINK("https://www.boe.es/gazeta/dias/1834/08/19/pdfs/GMD-1834-185.pdf#page=1","Abrir facsímil")</f>
        <v>Abrir facsímil</v>
      </c>
      <c r="K10981" s="10" t="s">
        <v>24</v>
      </c>
    </row>
    <row r="10982" spans="1:11" ht="54" customHeight="1">
      <c r="A10982" s="9" t="s">
        <v>22624</v>
      </c>
      <c r="B10982" s="9" t="s">
        <v>22625</v>
      </c>
      <c r="C10982" s="9" t="s">
        <v>66</v>
      </c>
      <c r="D10982" s="9" t="s">
        <v>18</v>
      </c>
      <c r="E10982" s="10" t="s">
        <v>672</v>
      </c>
      <c r="F10982" s="9" t="s">
        <v>673</v>
      </c>
      <c r="G10982" s="10" t="s">
        <v>34</v>
      </c>
      <c r="H10982" s="9" t="s">
        <v>22</v>
      </c>
      <c r="I10982" s="9" t="s">
        <v>22692</v>
      </c>
      <c r="J10982" s="10" t="str">
        <f>HYPERLINK("https://www.boe.es/gazeta/dias/1834/09/19/pdfs/GMD-1834-217.pdf#page=1","Abrir facsímil")</f>
        <v>Abrir facsímil</v>
      </c>
      <c r="K10982" s="10" t="s">
        <v>24</v>
      </c>
    </row>
    <row r="10983" spans="1:11" ht="54" customHeight="1">
      <c r="A10983" s="9" t="s">
        <v>22624</v>
      </c>
      <c r="B10983" s="9" t="s">
        <v>22625</v>
      </c>
      <c r="C10983" s="9" t="s">
        <v>66</v>
      </c>
      <c r="D10983" s="9" t="s">
        <v>18</v>
      </c>
      <c r="E10983" s="10" t="s">
        <v>265</v>
      </c>
      <c r="F10983" s="9" t="s">
        <v>969</v>
      </c>
      <c r="G10983" s="10" t="s">
        <v>34</v>
      </c>
      <c r="H10983" s="9" t="s">
        <v>22</v>
      </c>
      <c r="I10983" s="9" t="s">
        <v>22693</v>
      </c>
      <c r="J10983" s="10" t="str">
        <f>HYPERLINK("https://www.boe.es/gazeta/dias/1834/11/19/pdfs/GMD-1834-278.pdf#page=1","Abrir facsímil")</f>
        <v>Abrir facsímil</v>
      </c>
      <c r="K10983" s="10" t="s">
        <v>24</v>
      </c>
    </row>
    <row r="10984" spans="1:11" ht="54" customHeight="1">
      <c r="A10984" s="9" t="s">
        <v>22624</v>
      </c>
      <c r="B10984" s="9" t="s">
        <v>22625</v>
      </c>
      <c r="C10984" s="9" t="s">
        <v>17</v>
      </c>
      <c r="D10984" s="9" t="s">
        <v>18</v>
      </c>
      <c r="E10984" s="10" t="s">
        <v>268</v>
      </c>
      <c r="F10984" s="9" t="s">
        <v>3529</v>
      </c>
      <c r="G10984" s="10" t="s">
        <v>34</v>
      </c>
      <c r="H10984" s="9" t="s">
        <v>22</v>
      </c>
      <c r="I10984" s="9" t="s">
        <v>22694</v>
      </c>
      <c r="J10984" s="10" t="str">
        <f>HYPERLINK("https://www.boe.es/gazeta/dias/1834/12/19/pdfs/GMD-1834-309.pdf#page=1","Abrir facsímil")</f>
        <v>Abrir facsímil</v>
      </c>
      <c r="K10984" s="10" t="s">
        <v>24</v>
      </c>
    </row>
    <row r="10985" spans="1:11" ht="54" customHeight="1">
      <c r="A10985" s="9" t="s">
        <v>22624</v>
      </c>
      <c r="B10985" s="9" t="s">
        <v>22625</v>
      </c>
      <c r="C10985" s="9" t="s">
        <v>66</v>
      </c>
      <c r="D10985" s="9" t="s">
        <v>18</v>
      </c>
      <c r="E10985" s="10" t="s">
        <v>1239</v>
      </c>
      <c r="F10985" s="9" t="s">
        <v>1240</v>
      </c>
      <c r="G10985" s="10" t="s">
        <v>34</v>
      </c>
      <c r="H10985" s="9" t="s">
        <v>22</v>
      </c>
      <c r="I10985" s="9" t="s">
        <v>22695</v>
      </c>
      <c r="J10985" s="10" t="str">
        <f>HYPERLINK("https://www.boe.es/gazeta/dias/1834/08/20/pdfs/GMD-1834-186.pdf#page=1","Abrir facsímil")</f>
        <v>Abrir facsímil</v>
      </c>
      <c r="K10985" s="10" t="s">
        <v>24</v>
      </c>
    </row>
    <row r="10986" spans="1:11" ht="54" customHeight="1">
      <c r="A10986" s="9" t="s">
        <v>22624</v>
      </c>
      <c r="B10986" s="9" t="s">
        <v>22625</v>
      </c>
      <c r="C10986" s="9" t="s">
        <v>66</v>
      </c>
      <c r="D10986" s="9" t="s">
        <v>18</v>
      </c>
      <c r="E10986" s="10" t="s">
        <v>3248</v>
      </c>
      <c r="F10986" s="9" t="s">
        <v>3249</v>
      </c>
      <c r="G10986" s="10" t="s">
        <v>34</v>
      </c>
      <c r="H10986" s="9" t="s">
        <v>22</v>
      </c>
      <c r="I10986" s="9" t="s">
        <v>22696</v>
      </c>
      <c r="J10986" s="10" t="str">
        <f>HYPERLINK("https://www.boe.es/gazeta/dias/1834/09/20/pdfs/GMD-1834-218.pdf#page=1","Abrir facsímil")</f>
        <v>Abrir facsímil</v>
      </c>
      <c r="K10986" s="10" t="s">
        <v>24</v>
      </c>
    </row>
    <row r="10987" spans="1:11" ht="54" customHeight="1">
      <c r="A10987" s="9" t="s">
        <v>22624</v>
      </c>
      <c r="B10987" s="9" t="s">
        <v>22625</v>
      </c>
      <c r="C10987" s="9" t="s">
        <v>66</v>
      </c>
      <c r="D10987" s="9" t="s">
        <v>55</v>
      </c>
      <c r="E10987" s="10" t="s">
        <v>148</v>
      </c>
      <c r="F10987" s="9" t="s">
        <v>149</v>
      </c>
      <c r="G10987" s="10" t="s">
        <v>34</v>
      </c>
      <c r="H10987" s="9" t="s">
        <v>22</v>
      </c>
      <c r="I10987" s="9" t="s">
        <v>22697</v>
      </c>
      <c r="J10987" s="10" t="str">
        <f>HYPERLINK("https://www.boe.es/gazeta/dias/1834/10/20/pdfs/GMD-1834-248.pdf#page=1","Abrir facsímil")</f>
        <v>Abrir facsímil</v>
      </c>
      <c r="K10987" s="10" t="s">
        <v>24</v>
      </c>
    </row>
    <row r="10988" spans="1:11" ht="54" customHeight="1">
      <c r="A10988" s="9" t="s">
        <v>22624</v>
      </c>
      <c r="B10988" s="9" t="s">
        <v>22625</v>
      </c>
      <c r="C10988" s="9" t="s">
        <v>66</v>
      </c>
      <c r="D10988" s="9" t="s">
        <v>101</v>
      </c>
      <c r="E10988" s="10" t="s">
        <v>4169</v>
      </c>
      <c r="F10988" s="9" t="s">
        <v>4170</v>
      </c>
      <c r="G10988" s="10" t="s">
        <v>34</v>
      </c>
      <c r="H10988" s="9" t="s">
        <v>22</v>
      </c>
      <c r="I10988" s="9" t="s">
        <v>22698</v>
      </c>
      <c r="J10988" s="10" t="str">
        <f>HYPERLINK("https://www.boe.es/gazeta/dias/1834/11/20/pdfs/GMD-1834-279.pdf#page=1","Abrir facsímil")</f>
        <v>Abrir facsímil</v>
      </c>
      <c r="K10988" s="10" t="s">
        <v>24</v>
      </c>
    </row>
    <row r="10989" spans="1:11" ht="54" customHeight="1">
      <c r="A10989" s="9" t="s">
        <v>22624</v>
      </c>
      <c r="B10989" s="9" t="s">
        <v>22625</v>
      </c>
      <c r="C10989" s="9" t="s">
        <v>66</v>
      </c>
      <c r="D10989" s="9" t="s">
        <v>55</v>
      </c>
      <c r="E10989" s="10" t="s">
        <v>375</v>
      </c>
      <c r="F10989" s="9" t="s">
        <v>376</v>
      </c>
      <c r="G10989" s="10" t="s">
        <v>34</v>
      </c>
      <c r="H10989" s="9" t="s">
        <v>22</v>
      </c>
      <c r="I10989" s="9" t="s">
        <v>22699</v>
      </c>
      <c r="J10989" s="10" t="str">
        <f>HYPERLINK("https://www.boe.es/gazeta/dias/1834/08/21/pdfs/GMD-1834-187.pdf#page=1","Abrir facsímil")</f>
        <v>Abrir facsímil</v>
      </c>
      <c r="K10989" s="10" t="s">
        <v>24</v>
      </c>
    </row>
    <row r="10990" spans="1:11" ht="54" customHeight="1">
      <c r="A10990" s="9" t="s">
        <v>22624</v>
      </c>
      <c r="B10990" s="9" t="s">
        <v>22625</v>
      </c>
      <c r="C10990" s="9" t="s">
        <v>66</v>
      </c>
      <c r="D10990" s="9" t="s">
        <v>18</v>
      </c>
      <c r="E10990" s="10" t="s">
        <v>981</v>
      </c>
      <c r="F10990" s="9" t="s">
        <v>982</v>
      </c>
      <c r="G10990" s="10" t="s">
        <v>34</v>
      </c>
      <c r="H10990" s="9" t="s">
        <v>22</v>
      </c>
      <c r="I10990" s="9" t="s">
        <v>22700</v>
      </c>
      <c r="J10990" s="10" t="str">
        <f>HYPERLINK("https://www.boe.es/gazeta/dias/1834/09/21/pdfs/GMD-1834-219.pdf#page=1","Abrir facsímil")</f>
        <v>Abrir facsímil</v>
      </c>
      <c r="K10990" s="10" t="s">
        <v>24</v>
      </c>
    </row>
    <row r="10991" spans="1:11" ht="54" customHeight="1">
      <c r="A10991" s="9" t="s">
        <v>22624</v>
      </c>
      <c r="B10991" s="9" t="s">
        <v>22625</v>
      </c>
      <c r="C10991" s="9" t="s">
        <v>66</v>
      </c>
      <c r="D10991" s="9" t="s">
        <v>67</v>
      </c>
      <c r="E10991" s="10" t="s">
        <v>647</v>
      </c>
      <c r="F10991" s="9" t="s">
        <v>2176</v>
      </c>
      <c r="G10991" s="10" t="s">
        <v>34</v>
      </c>
      <c r="H10991" s="9" t="s">
        <v>22</v>
      </c>
      <c r="I10991" s="9" t="s">
        <v>22701</v>
      </c>
      <c r="J10991" s="10" t="str">
        <f>HYPERLINK("https://www.boe.es/gazeta/dias/1834/10/21/pdfs/GMD-1834-249.pdf#page=1","Abrir facsímil")</f>
        <v>Abrir facsímil</v>
      </c>
      <c r="K10991" s="10" t="s">
        <v>24</v>
      </c>
    </row>
    <row r="10992" spans="1:11" ht="54" customHeight="1">
      <c r="A10992" s="9" t="s">
        <v>22624</v>
      </c>
      <c r="B10992" s="9" t="s">
        <v>22625</v>
      </c>
      <c r="C10992" s="9" t="s">
        <v>66</v>
      </c>
      <c r="D10992" s="9" t="s">
        <v>55</v>
      </c>
      <c r="E10992" s="10" t="s">
        <v>492</v>
      </c>
      <c r="F10992" s="9" t="s">
        <v>1672</v>
      </c>
      <c r="G10992" s="10" t="s">
        <v>34</v>
      </c>
      <c r="H10992" s="9" t="s">
        <v>22</v>
      </c>
      <c r="I10992" s="9" t="s">
        <v>22702</v>
      </c>
      <c r="J10992" s="10" t="str">
        <f>HYPERLINK("https://www.boe.es/gazeta/dias/1834/11/21/pdfs/GMD-1834-280.pdf#page=1","Abrir facsímil")</f>
        <v>Abrir facsímil</v>
      </c>
      <c r="K10992" s="10" t="s">
        <v>24</v>
      </c>
    </row>
    <row r="10993" spans="1:11" ht="54" customHeight="1">
      <c r="A10993" s="9" t="s">
        <v>22624</v>
      </c>
      <c r="B10993" s="9" t="s">
        <v>22625</v>
      </c>
      <c r="C10993" s="9" t="s">
        <v>66</v>
      </c>
      <c r="D10993" s="9" t="s">
        <v>101</v>
      </c>
      <c r="E10993" s="10" t="s">
        <v>3225</v>
      </c>
      <c r="F10993" s="9" t="s">
        <v>3226</v>
      </c>
      <c r="G10993" s="10" t="s">
        <v>34</v>
      </c>
      <c r="H10993" s="9" t="s">
        <v>22</v>
      </c>
      <c r="I10993" s="9" t="s">
        <v>22703</v>
      </c>
      <c r="J10993" s="10" t="str">
        <f>HYPERLINK("https://www.boe.es/gazeta/dias/1834/08/22/pdfs/GMD-1834-188.pdf#page=1","Abrir facsímil")</f>
        <v>Abrir facsímil</v>
      </c>
      <c r="K10993" s="10" t="s">
        <v>24</v>
      </c>
    </row>
    <row r="10994" spans="1:11" ht="54" customHeight="1">
      <c r="A10994" s="9" t="s">
        <v>22624</v>
      </c>
      <c r="B10994" s="9" t="s">
        <v>22625</v>
      </c>
      <c r="C10994" s="9" t="s">
        <v>66</v>
      </c>
      <c r="D10994" s="9" t="s">
        <v>67</v>
      </c>
      <c r="E10994" s="10" t="s">
        <v>627</v>
      </c>
      <c r="F10994" s="9" t="s">
        <v>1013</v>
      </c>
      <c r="G10994" s="10" t="s">
        <v>34</v>
      </c>
      <c r="H10994" s="9" t="s">
        <v>22</v>
      </c>
      <c r="I10994" s="9" t="s">
        <v>22704</v>
      </c>
      <c r="J10994" s="10" t="str">
        <f>HYPERLINK("https://www.boe.es/gazeta/dias/1834/09/22/pdfs/GMD-1834-220.pdf#page=1","Abrir facsímil")</f>
        <v>Abrir facsímil</v>
      </c>
      <c r="K10994" s="10" t="s">
        <v>24</v>
      </c>
    </row>
    <row r="10995" spans="1:11" ht="54" customHeight="1">
      <c r="A10995" s="9" t="s">
        <v>22624</v>
      </c>
      <c r="B10995" s="9" t="s">
        <v>22625</v>
      </c>
      <c r="C10995" s="9" t="s">
        <v>66</v>
      </c>
      <c r="D10995" s="9" t="s">
        <v>18</v>
      </c>
      <c r="E10995" s="10" t="s">
        <v>2596</v>
      </c>
      <c r="F10995" s="9" t="s">
        <v>2597</v>
      </c>
      <c r="G10995" s="10" t="s">
        <v>34</v>
      </c>
      <c r="H10995" s="9" t="s">
        <v>22</v>
      </c>
      <c r="I10995" s="9" t="s">
        <v>22705</v>
      </c>
      <c r="J10995" s="10" t="str">
        <f>HYPERLINK("https://www.boe.es/gazeta/dias/1834/10/22/pdfs/GMD-1834-250.pdf#page=1","Abrir facsímil")</f>
        <v>Abrir facsímil</v>
      </c>
      <c r="K10995" s="10" t="s">
        <v>24</v>
      </c>
    </row>
    <row r="10996" spans="1:11" ht="54" customHeight="1">
      <c r="A10996" s="9" t="s">
        <v>22624</v>
      </c>
      <c r="B10996" s="9" t="s">
        <v>22625</v>
      </c>
      <c r="C10996" s="9" t="s">
        <v>66</v>
      </c>
      <c r="D10996" s="9" t="s">
        <v>18</v>
      </c>
      <c r="E10996" s="10" t="s">
        <v>702</v>
      </c>
      <c r="F10996" s="9" t="s">
        <v>2427</v>
      </c>
      <c r="G10996" s="10" t="s">
        <v>34</v>
      </c>
      <c r="H10996" s="9" t="s">
        <v>22</v>
      </c>
      <c r="I10996" s="9" t="s">
        <v>22706</v>
      </c>
      <c r="J10996" s="10" t="str">
        <f>HYPERLINK("https://www.boe.es/gazeta/dias/1834/11/22/pdfs/GMD-1834-281.pdf#page=1","Abrir facsímil")</f>
        <v>Abrir facsímil</v>
      </c>
      <c r="K10996" s="10" t="s">
        <v>24</v>
      </c>
    </row>
    <row r="10997" spans="1:11" ht="54" customHeight="1">
      <c r="A10997" s="9" t="s">
        <v>22624</v>
      </c>
      <c r="B10997" s="9" t="s">
        <v>22625</v>
      </c>
      <c r="C10997" s="9" t="s">
        <v>17</v>
      </c>
      <c r="D10997" s="9" t="s">
        <v>18</v>
      </c>
      <c r="E10997" s="10" t="s">
        <v>2888</v>
      </c>
      <c r="F10997" s="9" t="s">
        <v>2889</v>
      </c>
      <c r="G10997" s="10" t="s">
        <v>34</v>
      </c>
      <c r="H10997" s="9" t="s">
        <v>22</v>
      </c>
      <c r="I10997" s="9" t="s">
        <v>22707</v>
      </c>
      <c r="J10997" s="10" t="str">
        <f>HYPERLINK("https://www.boe.es/gazeta/dias/1834/12/22/pdfs/GMD-1834-312.pdf#page=1","Abrir facsímil")</f>
        <v>Abrir facsímil</v>
      </c>
      <c r="K10997" s="10" t="s">
        <v>24</v>
      </c>
    </row>
    <row r="10998" spans="1:11" ht="54" customHeight="1">
      <c r="A10998" s="9" t="s">
        <v>22624</v>
      </c>
      <c r="B10998" s="9" t="s">
        <v>22625</v>
      </c>
      <c r="C10998" s="9" t="s">
        <v>66</v>
      </c>
      <c r="D10998" s="9" t="s">
        <v>101</v>
      </c>
      <c r="E10998" s="10" t="s">
        <v>247</v>
      </c>
      <c r="F10998" s="9" t="s">
        <v>2805</v>
      </c>
      <c r="G10998" s="10" t="s">
        <v>34</v>
      </c>
      <c r="H10998" s="9" t="s">
        <v>22</v>
      </c>
      <c r="I10998" s="9" t="s">
        <v>22708</v>
      </c>
      <c r="J10998" s="10" t="str">
        <f>HYPERLINK("https://www.boe.es/gazeta/dias/1834/08/23/pdfs/GMD-1834-189.pdf#page=1","Abrir facsímil")</f>
        <v>Abrir facsímil</v>
      </c>
      <c r="K10998" s="10" t="s">
        <v>24</v>
      </c>
    </row>
    <row r="10999" spans="1:11" ht="54" customHeight="1">
      <c r="A10999" s="9" t="s">
        <v>22624</v>
      </c>
      <c r="B10999" s="9" t="s">
        <v>22625</v>
      </c>
      <c r="C10999" s="9" t="s">
        <v>66</v>
      </c>
      <c r="D10999" s="9" t="s">
        <v>55</v>
      </c>
      <c r="E10999" s="10" t="s">
        <v>576</v>
      </c>
      <c r="F10999" s="9" t="s">
        <v>577</v>
      </c>
      <c r="G10999" s="10" t="s">
        <v>34</v>
      </c>
      <c r="H10999" s="9" t="s">
        <v>22</v>
      </c>
      <c r="I10999" s="9" t="s">
        <v>22709</v>
      </c>
      <c r="J10999" s="10" t="str">
        <f>HYPERLINK("https://www.boe.es/gazeta/dias/1834/09/23/pdfs/GMD-1834-221.pdf#page=1","Abrir facsímil")</f>
        <v>Abrir facsímil</v>
      </c>
      <c r="K10999" s="10" t="s">
        <v>24</v>
      </c>
    </row>
    <row r="11000" spans="1:11" ht="54" customHeight="1">
      <c r="A11000" s="9" t="s">
        <v>22624</v>
      </c>
      <c r="B11000" s="9" t="s">
        <v>22625</v>
      </c>
      <c r="C11000" s="9" t="s">
        <v>66</v>
      </c>
      <c r="D11000" s="9" t="s">
        <v>18</v>
      </c>
      <c r="E11000" s="10" t="s">
        <v>667</v>
      </c>
      <c r="F11000" s="9" t="s">
        <v>3347</v>
      </c>
      <c r="G11000" s="10" t="s">
        <v>34</v>
      </c>
      <c r="H11000" s="9" t="s">
        <v>22</v>
      </c>
      <c r="I11000" s="9" t="s">
        <v>22710</v>
      </c>
      <c r="J11000" s="10" t="str">
        <f>HYPERLINK("https://www.boe.es/gazeta/dias/1834/11/23/pdfs/GMD-1834-282.pdf#page=1","Abrir facsímil")</f>
        <v>Abrir facsímil</v>
      </c>
      <c r="K11000" s="10" t="s">
        <v>24</v>
      </c>
    </row>
    <row r="11001" spans="1:11" ht="54" customHeight="1">
      <c r="A11001" s="9" t="s">
        <v>22624</v>
      </c>
      <c r="B11001" s="9" t="s">
        <v>22625</v>
      </c>
      <c r="C11001" s="9" t="s">
        <v>66</v>
      </c>
      <c r="D11001" s="9" t="s">
        <v>67</v>
      </c>
      <c r="E11001" s="10" t="s">
        <v>394</v>
      </c>
      <c r="F11001" s="9" t="s">
        <v>395</v>
      </c>
      <c r="G11001" s="10" t="s">
        <v>34</v>
      </c>
      <c r="H11001" s="9" t="s">
        <v>22</v>
      </c>
      <c r="I11001" s="9" t="s">
        <v>22711</v>
      </c>
      <c r="J11001" s="10" t="str">
        <f>HYPERLINK("https://www.boe.es/gazeta/dias/1834/12/23/pdfs/GMD-1834-313.pdf#page=1","Abrir facsímil")</f>
        <v>Abrir facsímil</v>
      </c>
      <c r="K11001" s="10" t="s">
        <v>24</v>
      </c>
    </row>
    <row r="11002" spans="1:11" ht="54" customHeight="1">
      <c r="A11002" s="9" t="s">
        <v>22624</v>
      </c>
      <c r="B11002" s="9" t="s">
        <v>22625</v>
      </c>
      <c r="C11002" s="9" t="s">
        <v>66</v>
      </c>
      <c r="D11002" s="9" t="s">
        <v>101</v>
      </c>
      <c r="E11002" s="10" t="s">
        <v>2107</v>
      </c>
      <c r="F11002" s="9" t="s">
        <v>2108</v>
      </c>
      <c r="G11002" s="10" t="s">
        <v>34</v>
      </c>
      <c r="H11002" s="9" t="s">
        <v>22</v>
      </c>
      <c r="I11002" s="9" t="s">
        <v>22712</v>
      </c>
      <c r="J11002" s="10" t="str">
        <f>HYPERLINK("https://www.boe.es/gazeta/dias/1834/08/24/pdfs/GMD-1834-190.pdf#page=1","Abrir facsímil")</f>
        <v>Abrir facsímil</v>
      </c>
      <c r="K11002" s="10" t="s">
        <v>24</v>
      </c>
    </row>
    <row r="11003" spans="1:11" ht="54" customHeight="1">
      <c r="A11003" s="9" t="s">
        <v>22624</v>
      </c>
      <c r="B11003" s="9" t="s">
        <v>22625</v>
      </c>
      <c r="C11003" s="9" t="s">
        <v>66</v>
      </c>
      <c r="D11003" s="9" t="s">
        <v>67</v>
      </c>
      <c r="E11003" s="10" t="s">
        <v>378</v>
      </c>
      <c r="F11003" s="9" t="s">
        <v>379</v>
      </c>
      <c r="G11003" s="10" t="s">
        <v>34</v>
      </c>
      <c r="H11003" s="9" t="s">
        <v>22</v>
      </c>
      <c r="I11003" s="9" t="s">
        <v>22713</v>
      </c>
      <c r="J11003" s="10" t="str">
        <f>HYPERLINK("https://www.boe.es/gazeta/dias/1834/09/24/pdfs/GMD-1834-222.pdf#page=1","Abrir facsímil")</f>
        <v>Abrir facsímil</v>
      </c>
      <c r="K11003" s="10" t="s">
        <v>24</v>
      </c>
    </row>
    <row r="11004" spans="1:11" ht="54" customHeight="1">
      <c r="A11004" s="9" t="s">
        <v>22624</v>
      </c>
      <c r="B11004" s="9" t="s">
        <v>22625</v>
      </c>
      <c r="C11004" s="9" t="s">
        <v>66</v>
      </c>
      <c r="D11004" s="9" t="s">
        <v>18</v>
      </c>
      <c r="E11004" s="10" t="s">
        <v>633</v>
      </c>
      <c r="F11004" s="9" t="s">
        <v>634</v>
      </c>
      <c r="G11004" s="10" t="s">
        <v>34</v>
      </c>
      <c r="H11004" s="9" t="s">
        <v>22</v>
      </c>
      <c r="I11004" s="9" t="s">
        <v>22714</v>
      </c>
      <c r="J11004" s="10" t="str">
        <f>HYPERLINK("https://www.boe.es/gazeta/dias/1834/10/24/pdfs/GMD-1834-252.pdf#page=1","Abrir facsímil")</f>
        <v>Abrir facsímil</v>
      </c>
      <c r="K11004" s="10" t="s">
        <v>24</v>
      </c>
    </row>
    <row r="11005" spans="1:11" ht="54" customHeight="1">
      <c r="A11005" s="9" t="s">
        <v>22624</v>
      </c>
      <c r="B11005" s="9" t="s">
        <v>22625</v>
      </c>
      <c r="C11005" s="9" t="s">
        <v>66</v>
      </c>
      <c r="D11005" s="9" t="s">
        <v>101</v>
      </c>
      <c r="E11005" s="10" t="s">
        <v>1575</v>
      </c>
      <c r="F11005" s="9" t="s">
        <v>1576</v>
      </c>
      <c r="G11005" s="10" t="s">
        <v>34</v>
      </c>
      <c r="H11005" s="9" t="s">
        <v>22</v>
      </c>
      <c r="I11005" s="9" t="s">
        <v>22715</v>
      </c>
      <c r="J11005" s="10" t="str">
        <f>HYPERLINK("https://www.boe.es/gazeta/dias/1834/11/24/pdfs/GMD-1834-283.pdf#page=1","Abrir facsímil")</f>
        <v>Abrir facsímil</v>
      </c>
      <c r="K11005" s="10" t="s">
        <v>24</v>
      </c>
    </row>
    <row r="11006" spans="1:11" ht="54" customHeight="1">
      <c r="A11006" s="9" t="s">
        <v>22624</v>
      </c>
      <c r="B11006" s="9" t="s">
        <v>22625</v>
      </c>
      <c r="C11006" s="9" t="s">
        <v>17</v>
      </c>
      <c r="D11006" s="9" t="s">
        <v>18</v>
      </c>
      <c r="E11006" s="10" t="s">
        <v>128</v>
      </c>
      <c r="F11006" s="9" t="s">
        <v>1068</v>
      </c>
      <c r="G11006" s="10" t="s">
        <v>34</v>
      </c>
      <c r="H11006" s="9" t="s">
        <v>22</v>
      </c>
      <c r="I11006" s="9" t="s">
        <v>22716</v>
      </c>
      <c r="J11006" s="10" t="str">
        <f>HYPERLINK("https://www.boe.es/gazeta/dias/1834/12/24/pdfs/GMD-1834-314.pdf#page=1","Abrir facsímil")</f>
        <v>Abrir facsímil</v>
      </c>
      <c r="K11006" s="10" t="s">
        <v>24</v>
      </c>
    </row>
    <row r="11007" spans="1:11" ht="54" customHeight="1">
      <c r="A11007" s="9" t="s">
        <v>22624</v>
      </c>
      <c r="B11007" s="9" t="s">
        <v>22625</v>
      </c>
      <c r="C11007" s="9" t="s">
        <v>66</v>
      </c>
      <c r="D11007" s="9" t="s">
        <v>67</v>
      </c>
      <c r="E11007" s="10" t="s">
        <v>1307</v>
      </c>
      <c r="F11007" s="9" t="s">
        <v>1308</v>
      </c>
      <c r="G11007" s="10" t="s">
        <v>34</v>
      </c>
      <c r="H11007" s="9" t="s">
        <v>22</v>
      </c>
      <c r="I11007" s="9" t="s">
        <v>22717</v>
      </c>
      <c r="J11007" s="10" t="str">
        <f>HYPERLINK("https://www.boe.es/gazeta/dias/1834/08/25/pdfs/GMD-1834-191.pdf#page=1","Abrir facsímil")</f>
        <v>Abrir facsímil</v>
      </c>
      <c r="K11007" s="10" t="s">
        <v>24</v>
      </c>
    </row>
    <row r="11008" spans="1:11" ht="54" customHeight="1">
      <c r="A11008" s="9" t="s">
        <v>22624</v>
      </c>
      <c r="B11008" s="9" t="s">
        <v>22625</v>
      </c>
      <c r="C11008" s="9" t="s">
        <v>66</v>
      </c>
      <c r="D11008" s="9" t="s">
        <v>18</v>
      </c>
      <c r="E11008" s="10" t="s">
        <v>389</v>
      </c>
      <c r="F11008" s="9" t="s">
        <v>390</v>
      </c>
      <c r="G11008" s="10" t="s">
        <v>34</v>
      </c>
      <c r="H11008" s="9" t="s">
        <v>22</v>
      </c>
      <c r="I11008" s="9" t="s">
        <v>22718</v>
      </c>
      <c r="J11008" s="10" t="str">
        <f>HYPERLINK("https://www.boe.es/gazeta/dias/1834/10/25/pdfs/GMD-1834-253.pdf#page=1","Abrir facsímil")</f>
        <v>Abrir facsímil</v>
      </c>
      <c r="K11008" s="10" t="s">
        <v>24</v>
      </c>
    </row>
    <row r="11009" spans="1:11" ht="54" customHeight="1">
      <c r="A11009" s="9" t="s">
        <v>22624</v>
      </c>
      <c r="B11009" s="9" t="s">
        <v>22625</v>
      </c>
      <c r="C11009" s="9" t="s">
        <v>66</v>
      </c>
      <c r="D11009" s="9" t="s">
        <v>55</v>
      </c>
      <c r="E11009" s="10" t="s">
        <v>707</v>
      </c>
      <c r="F11009" s="9" t="s">
        <v>1359</v>
      </c>
      <c r="G11009" s="10" t="s">
        <v>34</v>
      </c>
      <c r="H11009" s="9" t="s">
        <v>22</v>
      </c>
      <c r="I11009" s="9" t="s">
        <v>22719</v>
      </c>
      <c r="J11009" s="10" t="str">
        <f>HYPERLINK("https://www.boe.es/gazeta/dias/1834/11/25/pdfs/GMD-1834-284.pdf#page=1","Abrir facsímil")</f>
        <v>Abrir facsímil</v>
      </c>
      <c r="K11009" s="10" t="s">
        <v>24</v>
      </c>
    </row>
    <row r="11010" spans="1:11" ht="54" customHeight="1">
      <c r="A11010" s="9" t="s">
        <v>22624</v>
      </c>
      <c r="B11010" s="9" t="s">
        <v>22625</v>
      </c>
      <c r="C11010" s="9" t="s">
        <v>66</v>
      </c>
      <c r="D11010" s="9" t="s">
        <v>101</v>
      </c>
      <c r="E11010" s="10" t="s">
        <v>524</v>
      </c>
      <c r="F11010" s="9" t="s">
        <v>4743</v>
      </c>
      <c r="G11010" s="10" t="s">
        <v>34</v>
      </c>
      <c r="H11010" s="9" t="s">
        <v>22</v>
      </c>
      <c r="I11010" s="9" t="s">
        <v>22720</v>
      </c>
      <c r="J11010" s="10" t="str">
        <f>HYPERLINK("https://www.boe.es/gazeta/dias/1834/12/25/pdfs/GMD-1834-315.pdf#page=1","Abrir facsímil")</f>
        <v>Abrir facsímil</v>
      </c>
      <c r="K11010" s="10" t="s">
        <v>24</v>
      </c>
    </row>
    <row r="11011" spans="1:11" ht="54" customHeight="1">
      <c r="A11011" s="9" t="s">
        <v>22624</v>
      </c>
      <c r="B11011" s="9" t="s">
        <v>22625</v>
      </c>
      <c r="C11011" s="9" t="s">
        <v>66</v>
      </c>
      <c r="D11011" s="9" t="s">
        <v>40</v>
      </c>
      <c r="E11011" s="10" t="s">
        <v>1135</v>
      </c>
      <c r="F11011" s="9" t="s">
        <v>1136</v>
      </c>
      <c r="G11011" s="10" t="s">
        <v>34</v>
      </c>
      <c r="H11011" s="9" t="s">
        <v>22</v>
      </c>
      <c r="I11011" s="9" t="s">
        <v>22721</v>
      </c>
      <c r="J11011" s="10" t="str">
        <f>HYPERLINK("https://www.boe.es/gazeta/dias/1834/08/26/pdfs/GMD-1834-192.pdf#page=1","Abrir facsímil")</f>
        <v>Abrir facsímil</v>
      </c>
      <c r="K11011" s="10" t="s">
        <v>24</v>
      </c>
    </row>
    <row r="11012" spans="1:11" ht="54" customHeight="1">
      <c r="A11012" s="9" t="s">
        <v>22624</v>
      </c>
      <c r="B11012" s="9" t="s">
        <v>22625</v>
      </c>
      <c r="C11012" s="9" t="s">
        <v>66</v>
      </c>
      <c r="D11012" s="9" t="s">
        <v>18</v>
      </c>
      <c r="E11012" s="10" t="s">
        <v>1766</v>
      </c>
      <c r="F11012" s="9" t="s">
        <v>5600</v>
      </c>
      <c r="G11012" s="10" t="s">
        <v>34</v>
      </c>
      <c r="H11012" s="9" t="s">
        <v>22</v>
      </c>
      <c r="I11012" s="9" t="s">
        <v>22722</v>
      </c>
      <c r="J11012" s="10" t="str">
        <f>HYPERLINK("https://www.boe.es/gazeta/dias/1834/10/26/pdfs/GMD-1834-254.pdf#page=1","Abrir facsímil")</f>
        <v>Abrir facsímil</v>
      </c>
      <c r="K11012" s="10" t="s">
        <v>24</v>
      </c>
    </row>
    <row r="11013" spans="1:11" ht="54" customHeight="1">
      <c r="A11013" s="9" t="s">
        <v>22624</v>
      </c>
      <c r="B11013" s="9" t="s">
        <v>22625</v>
      </c>
      <c r="C11013" s="9" t="s">
        <v>66</v>
      </c>
      <c r="D11013" s="9" t="s">
        <v>18</v>
      </c>
      <c r="E11013" s="10" t="s">
        <v>510</v>
      </c>
      <c r="F11013" s="9" t="s">
        <v>511</v>
      </c>
      <c r="G11013" s="10" t="s">
        <v>34</v>
      </c>
      <c r="H11013" s="9" t="s">
        <v>22</v>
      </c>
      <c r="I11013" s="9" t="s">
        <v>22723</v>
      </c>
      <c r="J11013" s="10" t="str">
        <f>HYPERLINK("https://www.boe.es/gazeta/dias/1834/11/26/pdfs/GMD-1834-285.pdf#page=1","Abrir facsímil")</f>
        <v>Abrir facsímil</v>
      </c>
      <c r="K11013" s="10" t="s">
        <v>24</v>
      </c>
    </row>
    <row r="11014" spans="1:11" ht="54" customHeight="1">
      <c r="A11014" s="9" t="s">
        <v>22624</v>
      </c>
      <c r="B11014" s="9" t="s">
        <v>22625</v>
      </c>
      <c r="C11014" s="9" t="s">
        <v>66</v>
      </c>
      <c r="D11014" s="9" t="s">
        <v>101</v>
      </c>
      <c r="E11014" s="10" t="s">
        <v>462</v>
      </c>
      <c r="F11014" s="9" t="s">
        <v>2110</v>
      </c>
      <c r="G11014" s="10" t="s">
        <v>34</v>
      </c>
      <c r="H11014" s="9" t="s">
        <v>22</v>
      </c>
      <c r="I11014" s="9" t="s">
        <v>22724</v>
      </c>
      <c r="J11014" s="10" t="str">
        <f>HYPERLINK("https://www.boe.es/gazeta/dias/1834/08/27/pdfs/GMD-1834-193.pdf#page=1","Abrir facsímil")</f>
        <v>Abrir facsímil</v>
      </c>
      <c r="K11014" s="10" t="s">
        <v>24</v>
      </c>
    </row>
    <row r="11015" spans="1:11" ht="54" customHeight="1">
      <c r="A11015" s="9" t="s">
        <v>22624</v>
      </c>
      <c r="B11015" s="9" t="s">
        <v>22625</v>
      </c>
      <c r="C11015" s="9" t="s">
        <v>66</v>
      </c>
      <c r="D11015" s="9" t="s">
        <v>67</v>
      </c>
      <c r="E11015" s="10" t="s">
        <v>294</v>
      </c>
      <c r="F11015" s="9" t="s">
        <v>295</v>
      </c>
      <c r="G11015" s="10" t="s">
        <v>34</v>
      </c>
      <c r="H11015" s="9" t="s">
        <v>22</v>
      </c>
      <c r="I11015" s="9" t="s">
        <v>22725</v>
      </c>
      <c r="J11015" s="10" t="str">
        <f>HYPERLINK("https://www.boe.es/gazeta/dias/1834/09/27/pdfs/GMD-1834-225.pdf#page=1","Abrir facsímil")</f>
        <v>Abrir facsímil</v>
      </c>
      <c r="K11015" s="10" t="s">
        <v>24</v>
      </c>
    </row>
    <row r="11016" spans="1:11" ht="54" customHeight="1">
      <c r="A11016" s="9" t="s">
        <v>22624</v>
      </c>
      <c r="B11016" s="9" t="s">
        <v>22625</v>
      </c>
      <c r="C11016" s="9" t="s">
        <v>66</v>
      </c>
      <c r="D11016" s="9" t="s">
        <v>18</v>
      </c>
      <c r="E11016" s="10" t="s">
        <v>1281</v>
      </c>
      <c r="F11016" s="9" t="s">
        <v>1282</v>
      </c>
      <c r="G11016" s="10" t="s">
        <v>34</v>
      </c>
      <c r="H11016" s="9" t="s">
        <v>22</v>
      </c>
      <c r="I11016" s="9" t="s">
        <v>22726</v>
      </c>
      <c r="J11016" s="10" t="str">
        <f>HYPERLINK("https://www.boe.es/gazeta/dias/1834/10/27/pdfs/GMD-1834-255.pdf#page=1","Abrir facsímil")</f>
        <v>Abrir facsímil</v>
      </c>
      <c r="K11016" s="10" t="s">
        <v>24</v>
      </c>
    </row>
    <row r="11017" spans="1:11" ht="54" customHeight="1">
      <c r="A11017" s="9" t="s">
        <v>22624</v>
      </c>
      <c r="B11017" s="9" t="s">
        <v>22625</v>
      </c>
      <c r="C11017" s="9" t="s">
        <v>66</v>
      </c>
      <c r="D11017" s="9" t="s">
        <v>55</v>
      </c>
      <c r="E11017" s="10" t="s">
        <v>465</v>
      </c>
      <c r="F11017" s="9" t="s">
        <v>1361</v>
      </c>
      <c r="G11017" s="10" t="s">
        <v>34</v>
      </c>
      <c r="H11017" s="9" t="s">
        <v>22</v>
      </c>
      <c r="I11017" s="9" t="s">
        <v>22727</v>
      </c>
      <c r="J11017" s="10" t="str">
        <f>HYPERLINK("https://www.boe.es/gazeta/dias/1834/11/27/pdfs/GMD-1834-286.pdf#page=1","Abrir facsímil")</f>
        <v>Abrir facsímil</v>
      </c>
      <c r="K11017" s="10" t="s">
        <v>24</v>
      </c>
    </row>
    <row r="11018" spans="1:11" ht="54" customHeight="1">
      <c r="A11018" s="9" t="s">
        <v>22624</v>
      </c>
      <c r="B11018" s="9" t="s">
        <v>22625</v>
      </c>
      <c r="C11018" s="9" t="s">
        <v>857</v>
      </c>
      <c r="D11018" s="9" t="s">
        <v>18</v>
      </c>
      <c r="E11018" s="10" t="s">
        <v>2142</v>
      </c>
      <c r="F11018" s="9" t="s">
        <v>2143</v>
      </c>
      <c r="G11018" s="10" t="s">
        <v>34</v>
      </c>
      <c r="H11018" s="9" t="s">
        <v>22</v>
      </c>
      <c r="I11018" s="9" t="s">
        <v>22728</v>
      </c>
      <c r="J11018" s="10" t="str">
        <f>HYPERLINK("https://www.boe.es/gazeta/dias/1834/12/27/pdfs/GMD-1834-317.pdf#page=1","Abrir facsímil")</f>
        <v>Abrir facsímil</v>
      </c>
      <c r="K11018" s="10" t="s">
        <v>24</v>
      </c>
    </row>
    <row r="11019" spans="1:11" ht="54" customHeight="1">
      <c r="A11019" s="9" t="s">
        <v>22624</v>
      </c>
      <c r="B11019" s="9" t="s">
        <v>22625</v>
      </c>
      <c r="C11019" s="9" t="s">
        <v>17</v>
      </c>
      <c r="D11019" s="9" t="s">
        <v>18</v>
      </c>
      <c r="E11019" s="10" t="s">
        <v>1689</v>
      </c>
      <c r="F11019" s="9" t="s">
        <v>1690</v>
      </c>
      <c r="G11019" s="10" t="s">
        <v>34</v>
      </c>
      <c r="H11019" s="9" t="s">
        <v>22</v>
      </c>
      <c r="I11019" s="9" t="s">
        <v>22729</v>
      </c>
      <c r="J11019" s="10" t="str">
        <f>HYPERLINK("https://www.boe.es/gazeta/dias/1834/07/28/pdfs/GMD-1834-161.pdf#page=1","Abrir facsímil")</f>
        <v>Abrir facsímil</v>
      </c>
      <c r="K11019" s="10" t="s">
        <v>24</v>
      </c>
    </row>
    <row r="11020" spans="1:11" ht="54" customHeight="1">
      <c r="A11020" s="9" t="s">
        <v>22624</v>
      </c>
      <c r="B11020" s="9" t="s">
        <v>22625</v>
      </c>
      <c r="C11020" s="9" t="s">
        <v>66</v>
      </c>
      <c r="D11020" s="9" t="s">
        <v>18</v>
      </c>
      <c r="E11020" s="10" t="s">
        <v>8010</v>
      </c>
      <c r="F11020" s="9" t="s">
        <v>8011</v>
      </c>
      <c r="G11020" s="10" t="s">
        <v>34</v>
      </c>
      <c r="H11020" s="9" t="s">
        <v>22</v>
      </c>
      <c r="I11020" s="9" t="s">
        <v>22730</v>
      </c>
      <c r="J11020" s="10" t="str">
        <f>HYPERLINK("https://www.boe.es/gazeta/dias/1834/08/28/pdfs/GMD-1834-194.pdf#page=1","Abrir facsímil")</f>
        <v>Abrir facsímil</v>
      </c>
      <c r="K11020" s="10" t="s">
        <v>24</v>
      </c>
    </row>
    <row r="11021" spans="1:11" ht="54" customHeight="1">
      <c r="A11021" s="9" t="s">
        <v>22624</v>
      </c>
      <c r="B11021" s="9" t="s">
        <v>22625</v>
      </c>
      <c r="C11021" s="9" t="s">
        <v>66</v>
      </c>
      <c r="D11021" s="9" t="s">
        <v>18</v>
      </c>
      <c r="E11021" s="10" t="s">
        <v>1641</v>
      </c>
      <c r="F11021" s="9" t="s">
        <v>1729</v>
      </c>
      <c r="G11021" s="10" t="s">
        <v>34</v>
      </c>
      <c r="H11021" s="9" t="s">
        <v>22</v>
      </c>
      <c r="I11021" s="9" t="s">
        <v>22731</v>
      </c>
      <c r="J11021" s="10" t="str">
        <f>HYPERLINK("https://www.boe.es/gazeta/dias/1834/09/28/pdfs/GMD-1834-226.pdf#page=1","Abrir facsímil")</f>
        <v>Abrir facsímil</v>
      </c>
      <c r="K11021" s="10" t="s">
        <v>24</v>
      </c>
    </row>
    <row r="11022" spans="1:11" ht="54" customHeight="1">
      <c r="A11022" s="9" t="s">
        <v>22624</v>
      </c>
      <c r="B11022" s="9" t="s">
        <v>22625</v>
      </c>
      <c r="C11022" s="9" t="s">
        <v>66</v>
      </c>
      <c r="D11022" s="9" t="s">
        <v>18</v>
      </c>
      <c r="E11022" s="10" t="s">
        <v>179</v>
      </c>
      <c r="F11022" s="9" t="s">
        <v>180</v>
      </c>
      <c r="G11022" s="10" t="s">
        <v>34</v>
      </c>
      <c r="H11022" s="9" t="s">
        <v>22</v>
      </c>
      <c r="I11022" s="9" t="s">
        <v>22732</v>
      </c>
      <c r="J11022" s="10" t="str">
        <f>HYPERLINK("https://www.boe.es/gazeta/dias/1834/10/28/pdfs/GMD-1834-256.pdf#page=1","Abrir facsímil")</f>
        <v>Abrir facsímil</v>
      </c>
      <c r="K11022" s="10" t="s">
        <v>24</v>
      </c>
    </row>
    <row r="11023" spans="1:11" ht="54" customHeight="1">
      <c r="A11023" s="9" t="s">
        <v>22624</v>
      </c>
      <c r="B11023" s="9" t="s">
        <v>22625</v>
      </c>
      <c r="C11023" s="9" t="s">
        <v>46</v>
      </c>
      <c r="D11023" s="9" t="s">
        <v>18</v>
      </c>
      <c r="E11023" s="10" t="s">
        <v>468</v>
      </c>
      <c r="F11023" s="9" t="s">
        <v>11413</v>
      </c>
      <c r="G11023" s="10" t="s">
        <v>34</v>
      </c>
      <c r="H11023" s="9" t="s">
        <v>22</v>
      </c>
      <c r="I11023" s="9" t="s">
        <v>22733</v>
      </c>
      <c r="J11023" s="10" t="str">
        <f>HYPERLINK("https://www.boe.es/gazeta/dias/1834/12/28/pdfs/GMD-1834-318.pdf#page=1","Abrir facsímil")</f>
        <v>Abrir facsímil</v>
      </c>
      <c r="K11023" s="10" t="s">
        <v>24</v>
      </c>
    </row>
    <row r="11024" spans="1:11" ht="54" customHeight="1">
      <c r="A11024" s="9" t="s">
        <v>22624</v>
      </c>
      <c r="B11024" s="9" t="s">
        <v>22625</v>
      </c>
      <c r="C11024" s="9" t="s">
        <v>90</v>
      </c>
      <c r="D11024" s="9" t="s">
        <v>18</v>
      </c>
      <c r="E11024" s="10" t="s">
        <v>1692</v>
      </c>
      <c r="F11024" s="9" t="s">
        <v>1693</v>
      </c>
      <c r="G11024" s="10" t="s">
        <v>34</v>
      </c>
      <c r="H11024" s="9" t="s">
        <v>22</v>
      </c>
      <c r="I11024" s="9" t="s">
        <v>22734</v>
      </c>
      <c r="J11024" s="10" t="str">
        <f>HYPERLINK("https://www.boe.es/gazeta/dias/1834/07/29/pdfs/GMD-1834-162.pdf#page=1","Abrir facsímil")</f>
        <v>Abrir facsímil</v>
      </c>
      <c r="K11024" s="10" t="s">
        <v>24</v>
      </c>
    </row>
    <row r="11025" spans="1:11" ht="54" customHeight="1">
      <c r="A11025" s="9" t="s">
        <v>22624</v>
      </c>
      <c r="B11025" s="9" t="s">
        <v>22625</v>
      </c>
      <c r="C11025" s="9" t="s">
        <v>66</v>
      </c>
      <c r="D11025" s="9" t="s">
        <v>18</v>
      </c>
      <c r="E11025" s="10" t="s">
        <v>280</v>
      </c>
      <c r="F11025" s="9" t="s">
        <v>3217</v>
      </c>
      <c r="G11025" s="10" t="s">
        <v>34</v>
      </c>
      <c r="H11025" s="9" t="s">
        <v>22</v>
      </c>
      <c r="I11025" s="9" t="s">
        <v>22735</v>
      </c>
      <c r="J11025" s="10" t="str">
        <f>HYPERLINK("https://www.boe.es/gazeta/dias/1834/08/29/pdfs/GMD-1834-195.pdf#page=1","Abrir facsímil")</f>
        <v>Abrir facsímil</v>
      </c>
      <c r="K11025" s="10" t="s">
        <v>24</v>
      </c>
    </row>
    <row r="11026" spans="1:11" ht="54" customHeight="1">
      <c r="A11026" s="9" t="s">
        <v>22624</v>
      </c>
      <c r="B11026" s="9" t="s">
        <v>22625</v>
      </c>
      <c r="C11026" s="9" t="s">
        <v>66</v>
      </c>
      <c r="D11026" s="9" t="s">
        <v>18</v>
      </c>
      <c r="E11026" s="10" t="s">
        <v>5904</v>
      </c>
      <c r="F11026" s="9" t="s">
        <v>5905</v>
      </c>
      <c r="G11026" s="10" t="s">
        <v>34</v>
      </c>
      <c r="H11026" s="9" t="s">
        <v>22</v>
      </c>
      <c r="I11026" s="9" t="s">
        <v>22736</v>
      </c>
      <c r="J11026" s="10" t="str">
        <f>HYPERLINK("https://www.boe.es/gazeta/dias/1834/09/29/pdfs/GMD-1834-227.pdf#page=1","Abrir facsímil")</f>
        <v>Abrir facsímil</v>
      </c>
      <c r="K11026" s="10" t="s">
        <v>24</v>
      </c>
    </row>
    <row r="11027" spans="1:11" ht="54" customHeight="1">
      <c r="A11027" s="9" t="s">
        <v>22624</v>
      </c>
      <c r="B11027" s="9" t="s">
        <v>22625</v>
      </c>
      <c r="C11027" s="9" t="s">
        <v>66</v>
      </c>
      <c r="D11027" s="9" t="s">
        <v>18</v>
      </c>
      <c r="E11027" s="10" t="s">
        <v>777</v>
      </c>
      <c r="F11027" s="9" t="s">
        <v>778</v>
      </c>
      <c r="G11027" s="10" t="s">
        <v>34</v>
      </c>
      <c r="H11027" s="9" t="s">
        <v>22</v>
      </c>
      <c r="I11027" s="9" t="s">
        <v>22737</v>
      </c>
      <c r="J11027" s="10" t="str">
        <f>HYPERLINK("https://www.boe.es/gazeta/dias/1834/10/29/pdfs/GMD-1834-257.pdf#page=1","Abrir facsímil")</f>
        <v>Abrir facsímil</v>
      </c>
      <c r="K11027" s="10" t="s">
        <v>24</v>
      </c>
    </row>
    <row r="11028" spans="1:11" ht="54" customHeight="1">
      <c r="A11028" s="9" t="s">
        <v>22624</v>
      </c>
      <c r="B11028" s="9" t="s">
        <v>22625</v>
      </c>
      <c r="C11028" s="9" t="s">
        <v>66</v>
      </c>
      <c r="D11028" s="9" t="s">
        <v>101</v>
      </c>
      <c r="E11028" s="10" t="s">
        <v>552</v>
      </c>
      <c r="F11028" s="9" t="s">
        <v>553</v>
      </c>
      <c r="G11028" s="10" t="s">
        <v>34</v>
      </c>
      <c r="H11028" s="9" t="s">
        <v>22</v>
      </c>
      <c r="I11028" s="9" t="s">
        <v>22738</v>
      </c>
      <c r="J11028" s="10" t="str">
        <f>HYPERLINK("https://www.boe.es/gazeta/dias/1834/07/30/pdfs/GMD-1834-163.pdf#page=1","Abrir facsímil")</f>
        <v>Abrir facsímil</v>
      </c>
      <c r="K11028" s="10" t="s">
        <v>24</v>
      </c>
    </row>
    <row r="11029" spans="1:11" ht="54" customHeight="1">
      <c r="A11029" s="9" t="s">
        <v>22624</v>
      </c>
      <c r="B11029" s="9" t="s">
        <v>22625</v>
      </c>
      <c r="C11029" s="9" t="s">
        <v>66</v>
      </c>
      <c r="D11029" s="9" t="s">
        <v>18</v>
      </c>
      <c r="E11029" s="10" t="s">
        <v>187</v>
      </c>
      <c r="F11029" s="9" t="s">
        <v>188</v>
      </c>
      <c r="G11029" s="10" t="s">
        <v>34</v>
      </c>
      <c r="H11029" s="9" t="s">
        <v>22</v>
      </c>
      <c r="I11029" s="9" t="s">
        <v>22739</v>
      </c>
      <c r="J11029" s="10" t="str">
        <f>HYPERLINK("https://www.boe.es/gazeta/dias/1834/09/30/pdfs/GMD-1834-228.pdf#page=1","Abrir facsímil")</f>
        <v>Abrir facsímil</v>
      </c>
      <c r="K11029" s="10" t="s">
        <v>24</v>
      </c>
    </row>
    <row r="11030" spans="1:11" ht="54" customHeight="1">
      <c r="A11030" s="9" t="s">
        <v>22624</v>
      </c>
      <c r="B11030" s="9" t="s">
        <v>22625</v>
      </c>
      <c r="C11030" s="9" t="s">
        <v>66</v>
      </c>
      <c r="D11030" s="9" t="s">
        <v>55</v>
      </c>
      <c r="E11030" s="10" t="s">
        <v>3083</v>
      </c>
      <c r="F11030" s="9" t="s">
        <v>3084</v>
      </c>
      <c r="G11030" s="10" t="s">
        <v>34</v>
      </c>
      <c r="H11030" s="9" t="s">
        <v>22</v>
      </c>
      <c r="I11030" s="9" t="s">
        <v>22740</v>
      </c>
      <c r="J11030" s="10" t="str">
        <f>HYPERLINK("https://www.boe.es/gazeta/dias/1834/10/30/pdfs/GMD-1834-258.pdf#page=1","Abrir facsímil")</f>
        <v>Abrir facsímil</v>
      </c>
      <c r="K11030" s="10" t="s">
        <v>24</v>
      </c>
    </row>
    <row r="11031" spans="1:11" ht="54" customHeight="1">
      <c r="A11031" s="9" t="s">
        <v>22624</v>
      </c>
      <c r="B11031" s="9" t="s">
        <v>22625</v>
      </c>
      <c r="C11031" s="9" t="s">
        <v>66</v>
      </c>
      <c r="D11031" s="9" t="s">
        <v>18</v>
      </c>
      <c r="E11031" s="10" t="s">
        <v>590</v>
      </c>
      <c r="F11031" s="9" t="s">
        <v>591</v>
      </c>
      <c r="G11031" s="10" t="s">
        <v>34</v>
      </c>
      <c r="H11031" s="9" t="s">
        <v>22</v>
      </c>
      <c r="I11031" s="9" t="s">
        <v>22741</v>
      </c>
      <c r="J11031" s="10" t="str">
        <f>HYPERLINK("https://www.boe.es/gazeta/dias/1834/11/30/pdfs/GMD-1834-289.pdf#page=1","Abrir facsímil")</f>
        <v>Abrir facsímil</v>
      </c>
      <c r="K11031" s="10" t="s">
        <v>24</v>
      </c>
    </row>
    <row r="11032" spans="1:11" ht="54" customHeight="1">
      <c r="A11032" s="9" t="s">
        <v>22624</v>
      </c>
      <c r="B11032" s="9" t="s">
        <v>22625</v>
      </c>
      <c r="C11032" s="9" t="s">
        <v>46</v>
      </c>
      <c r="D11032" s="9" t="s">
        <v>101</v>
      </c>
      <c r="E11032" s="10" t="s">
        <v>153</v>
      </c>
      <c r="F11032" s="9" t="s">
        <v>1294</v>
      </c>
      <c r="G11032" s="10" t="s">
        <v>34</v>
      </c>
      <c r="H11032" s="9" t="s">
        <v>22</v>
      </c>
      <c r="I11032" s="9" t="s">
        <v>22742</v>
      </c>
      <c r="J11032" s="10" t="str">
        <f>HYPERLINK("https://www.boe.es/gazeta/dias/1834/12/30/pdfs/GMD-1834-320.pdf#page=1","Abrir facsímil")</f>
        <v>Abrir facsímil</v>
      </c>
      <c r="K11032" s="10" t="s">
        <v>24</v>
      </c>
    </row>
    <row r="11033" spans="1:11" ht="54" customHeight="1">
      <c r="A11033" s="9" t="s">
        <v>22624</v>
      </c>
      <c r="B11033" s="9" t="s">
        <v>22625</v>
      </c>
      <c r="C11033" s="9" t="s">
        <v>66</v>
      </c>
      <c r="D11033" s="9" t="s">
        <v>101</v>
      </c>
      <c r="E11033" s="10" t="s">
        <v>143</v>
      </c>
      <c r="F11033" s="9" t="s">
        <v>144</v>
      </c>
      <c r="G11033" s="10" t="s">
        <v>34</v>
      </c>
      <c r="H11033" s="9" t="s">
        <v>22</v>
      </c>
      <c r="I11033" s="9" t="s">
        <v>22743</v>
      </c>
      <c r="J11033" s="10" t="str">
        <f>HYPERLINK("https://www.boe.es/gazeta/dias/1834/07/31/pdfs/GMD-1834-164.pdf#page=1","Abrir facsímil")</f>
        <v>Abrir facsímil</v>
      </c>
      <c r="K11033" s="10" t="s">
        <v>24</v>
      </c>
    </row>
    <row r="11034" spans="1:11" ht="54" customHeight="1">
      <c r="A11034" s="9" t="s">
        <v>22624</v>
      </c>
      <c r="B11034" s="9" t="s">
        <v>22625</v>
      </c>
      <c r="C11034" s="9" t="s">
        <v>66</v>
      </c>
      <c r="D11034" s="9" t="s">
        <v>18</v>
      </c>
      <c r="E11034" s="10" t="s">
        <v>891</v>
      </c>
      <c r="F11034" s="9" t="s">
        <v>3608</v>
      </c>
      <c r="G11034" s="10" t="s">
        <v>34</v>
      </c>
      <c r="H11034" s="9" t="s">
        <v>22</v>
      </c>
      <c r="I11034" s="9" t="s">
        <v>22744</v>
      </c>
      <c r="J11034" s="10" t="str">
        <f>HYPERLINK("https://www.boe.es/gazeta/dias/1834/10/31/pdfs/GMD-1834-259.pdf#page=1","Abrir facsímil")</f>
        <v>Abrir facsímil</v>
      </c>
      <c r="K11034" s="10" t="s">
        <v>24</v>
      </c>
    </row>
    <row r="11035" spans="1:11" ht="54" customHeight="1">
      <c r="A11035" s="9" t="s">
        <v>22624</v>
      </c>
      <c r="B11035" s="9" t="s">
        <v>22625</v>
      </c>
      <c r="C11035" s="9" t="s">
        <v>17</v>
      </c>
      <c r="D11035" s="9" t="s">
        <v>18</v>
      </c>
      <c r="E11035" s="10" t="s">
        <v>192</v>
      </c>
      <c r="F11035" s="9" t="s">
        <v>193</v>
      </c>
      <c r="G11035" s="10" t="s">
        <v>34</v>
      </c>
      <c r="H11035" s="9" t="s">
        <v>22</v>
      </c>
      <c r="I11035" s="9" t="s">
        <v>22745</v>
      </c>
      <c r="J11035" s="10" t="str">
        <f>HYPERLINK("https://www.boe.es/gazeta/dias/1834/12/31/pdfs/GMD-1834-321.pdf#page=1","Abrir facsímil")</f>
        <v>Abrir facsímil</v>
      </c>
      <c r="K11035" s="10" t="s">
        <v>24</v>
      </c>
    </row>
    <row r="11036" spans="1:11" ht="54" customHeight="1">
      <c r="A11036" s="9" t="s">
        <v>22746</v>
      </c>
      <c r="B11036" s="9" t="s">
        <v>22747</v>
      </c>
      <c r="C11036" s="9" t="s">
        <v>66</v>
      </c>
      <c r="D11036" s="9" t="s">
        <v>101</v>
      </c>
      <c r="E11036" s="10" t="s">
        <v>3054</v>
      </c>
      <c r="F11036" s="9" t="s">
        <v>3055</v>
      </c>
      <c r="G11036" s="10" t="s">
        <v>34</v>
      </c>
      <c r="H11036" s="9" t="s">
        <v>22</v>
      </c>
      <c r="I11036" s="9" t="s">
        <v>22748</v>
      </c>
      <c r="J11036" s="10" t="str">
        <f>HYPERLINK("https://www.boe.es/gazeta/dias/1834/10/06/pdfs/GMD-1834-234.pdf#page=1","Abrir facsímil")</f>
        <v>Abrir facsímil</v>
      </c>
      <c r="K11036" s="10" t="s">
        <v>24</v>
      </c>
    </row>
    <row r="11037" spans="1:11" ht="54" customHeight="1">
      <c r="A11037" s="9" t="s">
        <v>22749</v>
      </c>
      <c r="B11037" s="9" t="s">
        <v>22750</v>
      </c>
      <c r="C11037" s="9" t="s">
        <v>66</v>
      </c>
      <c r="D11037" s="9" t="s">
        <v>101</v>
      </c>
      <c r="E11037" s="10" t="s">
        <v>1265</v>
      </c>
      <c r="F11037" s="9" t="s">
        <v>1266</v>
      </c>
      <c r="G11037" s="10" t="s">
        <v>34</v>
      </c>
      <c r="H11037" s="9" t="s">
        <v>22</v>
      </c>
      <c r="I11037" s="9" t="s">
        <v>22751</v>
      </c>
      <c r="J11037" s="10" t="str">
        <f>HYPERLINK("https://www.boe.es/gazeta/dias/1834/09/08/pdfs/GMD-1834-206.pdf#page=1","Abrir facsímil")</f>
        <v>Abrir facsímil</v>
      </c>
      <c r="K11037" s="10" t="s">
        <v>24</v>
      </c>
    </row>
    <row r="11038" spans="1:11" ht="54" customHeight="1">
      <c r="A11038" s="9" t="s">
        <v>22749</v>
      </c>
      <c r="B11038" s="9" t="s">
        <v>22750</v>
      </c>
      <c r="C11038" s="9" t="s">
        <v>66</v>
      </c>
      <c r="D11038" s="9" t="s">
        <v>18</v>
      </c>
      <c r="E11038" s="10" t="s">
        <v>623</v>
      </c>
      <c r="F11038" s="9" t="s">
        <v>3442</v>
      </c>
      <c r="G11038" s="10" t="s">
        <v>34</v>
      </c>
      <c r="H11038" s="9" t="s">
        <v>22</v>
      </c>
      <c r="I11038" s="9" t="s">
        <v>22752</v>
      </c>
      <c r="J11038" s="10" t="str">
        <f>HYPERLINK("https://www.boe.es/gazeta/dias/1834/10/12/pdfs/GMD-1834-240.pdf#page=1","Abrir facsímil")</f>
        <v>Abrir facsímil</v>
      </c>
      <c r="K11038" s="10" t="s">
        <v>24</v>
      </c>
    </row>
    <row r="11039" spans="1:11" ht="54" customHeight="1">
      <c r="A11039" s="9" t="s">
        <v>22753</v>
      </c>
      <c r="B11039" s="9" t="s">
        <v>22754</v>
      </c>
      <c r="C11039" s="9" t="s">
        <v>66</v>
      </c>
      <c r="D11039" s="9" t="s">
        <v>18</v>
      </c>
      <c r="E11039" s="10" t="s">
        <v>403</v>
      </c>
      <c r="F11039" s="9" t="s">
        <v>3456</v>
      </c>
      <c r="G11039" s="10" t="s">
        <v>34</v>
      </c>
      <c r="H11039" s="9" t="s">
        <v>22</v>
      </c>
      <c r="I11039" s="9" t="s">
        <v>22755</v>
      </c>
      <c r="J11039" s="10" t="str">
        <f>HYPERLINK("https://www.boe.es/gazeta/dias/1834/09/25/pdfs/GMD-1834-223.pdf#page=1","Abrir facsímil")</f>
        <v>Abrir facsímil</v>
      </c>
      <c r="K11039" s="10" t="s">
        <v>24</v>
      </c>
    </row>
    <row r="11040" spans="1:11" ht="54" customHeight="1">
      <c r="A11040" s="9" t="s">
        <v>22756</v>
      </c>
      <c r="B11040" s="9" t="s">
        <v>22757</v>
      </c>
      <c r="C11040" s="9" t="s">
        <v>90</v>
      </c>
      <c r="D11040" s="9" t="s">
        <v>67</v>
      </c>
      <c r="E11040" s="10" t="s">
        <v>1094</v>
      </c>
      <c r="F11040" s="9" t="s">
        <v>1095</v>
      </c>
      <c r="G11040" s="10" t="s">
        <v>34</v>
      </c>
      <c r="H11040" s="9" t="s">
        <v>22</v>
      </c>
      <c r="I11040" s="9" t="s">
        <v>22758</v>
      </c>
      <c r="J11040" s="10" t="str">
        <f>HYPERLINK("https://www.boe.es/gazeta/dias/1834/07/13/pdfs/GMD-1834-146.pdf#page=1","Abrir facsímil")</f>
        <v>Abrir facsímil</v>
      </c>
      <c r="K11040" s="10" t="s">
        <v>24</v>
      </c>
    </row>
    <row r="11041" spans="1:11" ht="54" customHeight="1">
      <c r="A11041" s="9" t="s">
        <v>22759</v>
      </c>
      <c r="B11041" s="9" t="s">
        <v>22760</v>
      </c>
      <c r="C11041" s="9" t="s">
        <v>66</v>
      </c>
      <c r="D11041" s="9" t="s">
        <v>18</v>
      </c>
      <c r="E11041" s="10" t="s">
        <v>2260</v>
      </c>
      <c r="F11041" s="9" t="s">
        <v>2261</v>
      </c>
      <c r="G11041" s="10" t="s">
        <v>34</v>
      </c>
      <c r="H11041" s="9" t="s">
        <v>22</v>
      </c>
      <c r="I11041" s="9" t="s">
        <v>22761</v>
      </c>
      <c r="J11041" s="10" t="str">
        <f>HYPERLINK("https://www.boe.es/gazeta/dias/1834/11/13/pdfs/GMD-1834-272.pdf#page=1","Abrir facsímil")</f>
        <v>Abrir facsímil</v>
      </c>
      <c r="K11041" s="10" t="s">
        <v>24</v>
      </c>
    </row>
    <row r="11042" spans="1:11" ht="54" customHeight="1">
      <c r="A11042" s="9" t="s">
        <v>22762</v>
      </c>
      <c r="B11042" s="9" t="s">
        <v>22763</v>
      </c>
      <c r="C11042" s="9" t="s">
        <v>66</v>
      </c>
      <c r="D11042" s="9" t="s">
        <v>18</v>
      </c>
      <c r="E11042" s="10" t="s">
        <v>1406</v>
      </c>
      <c r="F11042" s="9" t="s">
        <v>1407</v>
      </c>
      <c r="G11042" s="10" t="s">
        <v>34</v>
      </c>
      <c r="H11042" s="9" t="s">
        <v>22</v>
      </c>
      <c r="I11042" s="9" t="s">
        <v>22764</v>
      </c>
      <c r="J11042" s="10" t="str">
        <f>HYPERLINK("https://www.boe.es/gazeta/dias/1834/11/03/pdfs/GMD-1834-262.pdf#page=1","Abrir facsímil")</f>
        <v>Abrir facsímil</v>
      </c>
      <c r="K11042" s="10" t="s">
        <v>24</v>
      </c>
    </row>
    <row r="11043" spans="1:11" ht="54" customHeight="1">
      <c r="A11043" s="9" t="s">
        <v>22765</v>
      </c>
      <c r="B11043" s="9" t="s">
        <v>22766</v>
      </c>
      <c r="C11043" s="9" t="s">
        <v>90</v>
      </c>
      <c r="D11043" s="9" t="s">
        <v>101</v>
      </c>
      <c r="E11043" s="10" t="s">
        <v>1812</v>
      </c>
      <c r="F11043" s="9" t="s">
        <v>1813</v>
      </c>
      <c r="G11043" s="10" t="s">
        <v>34</v>
      </c>
      <c r="H11043" s="9" t="s">
        <v>22</v>
      </c>
      <c r="I11043" s="9" t="s">
        <v>22767</v>
      </c>
      <c r="J11043" s="10" t="str">
        <f>HYPERLINK("https://www.boe.es/gazeta/dias/1834/10/23/pdfs/GMD-1834-251.pdf#page=1","Abrir facsímil")</f>
        <v>Abrir facsímil</v>
      </c>
      <c r="K11043" s="10" t="s">
        <v>24</v>
      </c>
    </row>
    <row r="11044" spans="1:11" ht="54" customHeight="1">
      <c r="A11044" s="9" t="s">
        <v>22768</v>
      </c>
      <c r="B11044" s="9" t="s">
        <v>22769</v>
      </c>
      <c r="C11044" s="9" t="s">
        <v>17</v>
      </c>
      <c r="D11044" s="9" t="s">
        <v>55</v>
      </c>
      <c r="E11044" s="10" t="s">
        <v>1742</v>
      </c>
      <c r="F11044" s="9" t="s">
        <v>1743</v>
      </c>
      <c r="G11044" s="10" t="s">
        <v>75</v>
      </c>
      <c r="H11044" s="9" t="s">
        <v>22</v>
      </c>
      <c r="I11044" s="9" t="s">
        <v>22770</v>
      </c>
      <c r="J11044" s="10" t="str">
        <f>HYPERLINK("https://www.boe.es/gazeta/dias/1834/11/06/pdfs/GMD-1834-265.pdf#page=4","Abrir facsímil")</f>
        <v>Abrir facsímil</v>
      </c>
      <c r="K11044" s="10" t="s">
        <v>24</v>
      </c>
    </row>
    <row r="11045" spans="1:11" ht="54" customHeight="1">
      <c r="A11045" s="9" t="s">
        <v>22771</v>
      </c>
      <c r="B11045" s="9" t="s">
        <v>22772</v>
      </c>
      <c r="C11045" s="9" t="s">
        <v>90</v>
      </c>
      <c r="D11045" s="9" t="s">
        <v>18</v>
      </c>
      <c r="E11045" s="10" t="s">
        <v>117</v>
      </c>
      <c r="F11045" s="9" t="s">
        <v>118</v>
      </c>
      <c r="G11045" s="10" t="s">
        <v>34</v>
      </c>
      <c r="H11045" s="9" t="s">
        <v>22</v>
      </c>
      <c r="I11045" s="9" t="s">
        <v>22773</v>
      </c>
      <c r="J11045" s="10" t="str">
        <f>HYPERLINK("https://www.boe.es/gazeta/dias/1834/07/21/pdfs/GMD-1834-154.pdf#page=1","Abrir facsímil")</f>
        <v>Abrir facsímil</v>
      </c>
      <c r="K11045" s="10" t="s">
        <v>24</v>
      </c>
    </row>
    <row r="11046" spans="1:11" ht="54" customHeight="1">
      <c r="A11046" s="9" t="s">
        <v>22774</v>
      </c>
      <c r="B11046" s="9" t="s">
        <v>22775</v>
      </c>
      <c r="C11046" s="9" t="s">
        <v>66</v>
      </c>
      <c r="D11046" s="9" t="s">
        <v>55</v>
      </c>
      <c r="E11046" s="10" t="s">
        <v>1103</v>
      </c>
      <c r="F11046" s="9" t="s">
        <v>1259</v>
      </c>
      <c r="G11046" s="10" t="s">
        <v>34</v>
      </c>
      <c r="H11046" s="9" t="s">
        <v>22</v>
      </c>
      <c r="I11046" s="9" t="s">
        <v>22776</v>
      </c>
      <c r="J11046" s="10" t="str">
        <f>HYPERLINK("https://www.boe.es/gazeta/dias/1834/10/10/pdfs/GMD-1834-238.pdf#page=1","Abrir facsímil")</f>
        <v>Abrir facsímil</v>
      </c>
      <c r="K11046" s="10" t="s">
        <v>24</v>
      </c>
    </row>
    <row r="11047" spans="1:11" ht="54" customHeight="1">
      <c r="A11047" s="9" t="s">
        <v>22777</v>
      </c>
      <c r="B11047" s="9" t="s">
        <v>22778</v>
      </c>
      <c r="C11047" s="9" t="s">
        <v>90</v>
      </c>
      <c r="D11047" s="9" t="s">
        <v>101</v>
      </c>
      <c r="E11047" s="10" t="s">
        <v>1297</v>
      </c>
      <c r="F11047" s="9" t="s">
        <v>1298</v>
      </c>
      <c r="G11047" s="10" t="s">
        <v>34</v>
      </c>
      <c r="H11047" s="9" t="s">
        <v>22</v>
      </c>
      <c r="I11047" s="9" t="s">
        <v>22779</v>
      </c>
      <c r="J11047" s="10" t="str">
        <f>HYPERLINK("https://www.boe.es/gazeta/dias/1834/08/01/pdfs/GMD-1834-165.pdf#page=1","Abrir facsímil")</f>
        <v>Abrir facsímil</v>
      </c>
      <c r="K11047" s="10" t="s">
        <v>24</v>
      </c>
    </row>
    <row r="11048" spans="1:11" ht="54" customHeight="1">
      <c r="A11048" s="9" t="s">
        <v>22777</v>
      </c>
      <c r="B11048" s="9" t="s">
        <v>22778</v>
      </c>
      <c r="C11048" s="9" t="s">
        <v>66</v>
      </c>
      <c r="D11048" s="9" t="s">
        <v>18</v>
      </c>
      <c r="E11048" s="10" t="s">
        <v>255</v>
      </c>
      <c r="F11048" s="9" t="s">
        <v>2368</v>
      </c>
      <c r="G11048" s="10" t="s">
        <v>34</v>
      </c>
      <c r="H11048" s="9" t="s">
        <v>22</v>
      </c>
      <c r="I11048" s="9" t="s">
        <v>22780</v>
      </c>
      <c r="J11048" s="10" t="str">
        <f>HYPERLINK("https://www.boe.es/gazeta/dias/1834/09/01/pdfs/GMD-1834-199.pdf#page=1","Abrir facsímil")</f>
        <v>Abrir facsímil</v>
      </c>
      <c r="K11048" s="10" t="s">
        <v>24</v>
      </c>
    </row>
    <row r="11049" spans="1:11" ht="54" customHeight="1">
      <c r="A11049" s="9" t="s">
        <v>22777</v>
      </c>
      <c r="B11049" s="9" t="s">
        <v>22778</v>
      </c>
      <c r="C11049" s="9" t="s">
        <v>66</v>
      </c>
      <c r="D11049" s="9" t="s">
        <v>67</v>
      </c>
      <c r="E11049" s="10" t="s">
        <v>158</v>
      </c>
      <c r="F11049" s="9" t="s">
        <v>159</v>
      </c>
      <c r="G11049" s="10" t="s">
        <v>34</v>
      </c>
      <c r="H11049" s="9" t="s">
        <v>22</v>
      </c>
      <c r="I11049" s="9" t="s">
        <v>22781</v>
      </c>
      <c r="J11049" s="10" t="str">
        <f>HYPERLINK("https://www.boe.es/gazeta/dias/1834/10/01/pdfs/GMD-1834-229.pdf#page=1","Abrir facsímil")</f>
        <v>Abrir facsímil</v>
      </c>
      <c r="K11049" s="10" t="s">
        <v>24</v>
      </c>
    </row>
    <row r="11050" spans="1:11" ht="54" customHeight="1">
      <c r="A11050" s="9" t="s">
        <v>22777</v>
      </c>
      <c r="B11050" s="9" t="s">
        <v>22778</v>
      </c>
      <c r="C11050" s="9" t="s">
        <v>66</v>
      </c>
      <c r="D11050" s="9" t="s">
        <v>18</v>
      </c>
      <c r="E11050" s="10" t="s">
        <v>68</v>
      </c>
      <c r="F11050" s="9" t="s">
        <v>69</v>
      </c>
      <c r="G11050" s="10" t="s">
        <v>34</v>
      </c>
      <c r="H11050" s="9" t="s">
        <v>22</v>
      </c>
      <c r="I11050" s="9" t="s">
        <v>22782</v>
      </c>
      <c r="J11050" s="10" t="str">
        <f>HYPERLINK("https://www.boe.es/gazeta/dias/1834/11/01/pdfs/GMD-1834-260.pdf#page=1","Abrir facsímil")</f>
        <v>Abrir facsímil</v>
      </c>
      <c r="K11050" s="10" t="s">
        <v>24</v>
      </c>
    </row>
    <row r="11051" spans="1:11" ht="54" customHeight="1">
      <c r="A11051" s="9" t="s">
        <v>22777</v>
      </c>
      <c r="B11051" s="9" t="s">
        <v>22778</v>
      </c>
      <c r="C11051" s="9" t="s">
        <v>66</v>
      </c>
      <c r="D11051" s="9" t="s">
        <v>18</v>
      </c>
      <c r="E11051" s="10" t="s">
        <v>2037</v>
      </c>
      <c r="F11051" s="9" t="s">
        <v>2038</v>
      </c>
      <c r="G11051" s="10" t="s">
        <v>34</v>
      </c>
      <c r="H11051" s="9" t="s">
        <v>22</v>
      </c>
      <c r="I11051" s="9" t="s">
        <v>22783</v>
      </c>
      <c r="J11051" s="10" t="str">
        <f>HYPERLINK("https://www.boe.es/gazeta/dias/1834/12/01/pdfs/GMD-1834-290.pdf#page=1","Abrir facsímil")</f>
        <v>Abrir facsímil</v>
      </c>
      <c r="K11051" s="10" t="s">
        <v>24</v>
      </c>
    </row>
    <row r="11052" spans="1:11" ht="54" customHeight="1">
      <c r="A11052" s="9" t="s">
        <v>22777</v>
      </c>
      <c r="B11052" s="9" t="s">
        <v>22778</v>
      </c>
      <c r="C11052" s="9" t="s">
        <v>17</v>
      </c>
      <c r="D11052" s="9" t="s">
        <v>101</v>
      </c>
      <c r="E11052" s="10" t="s">
        <v>2729</v>
      </c>
      <c r="F11052" s="9" t="s">
        <v>2730</v>
      </c>
      <c r="G11052" s="10" t="s">
        <v>34</v>
      </c>
      <c r="H11052" s="9" t="s">
        <v>22</v>
      </c>
      <c r="I11052" s="9" t="s">
        <v>22784</v>
      </c>
      <c r="J11052" s="10" t="str">
        <f>HYPERLINK("https://www.boe.es/gazeta/dias/1834/07/02/pdfs/GMD-1834-135.pdf#page=1","Abrir facsímil")</f>
        <v>Abrir facsímil</v>
      </c>
      <c r="K11052" s="10" t="s">
        <v>24</v>
      </c>
    </row>
    <row r="11053" spans="1:11" ht="54" customHeight="1">
      <c r="A11053" s="9" t="s">
        <v>22777</v>
      </c>
      <c r="B11053" s="9" t="s">
        <v>22778</v>
      </c>
      <c r="C11053" s="9" t="s">
        <v>66</v>
      </c>
      <c r="D11053" s="9" t="s">
        <v>18</v>
      </c>
      <c r="E11053" s="10" t="s">
        <v>905</v>
      </c>
      <c r="F11053" s="9" t="s">
        <v>1651</v>
      </c>
      <c r="G11053" s="10" t="s">
        <v>34</v>
      </c>
      <c r="H11053" s="9" t="s">
        <v>22</v>
      </c>
      <c r="I11053" s="9" t="s">
        <v>22785</v>
      </c>
      <c r="J11053" s="10" t="str">
        <f>HYPERLINK("https://www.boe.es/gazeta/dias/1834/08/02/pdfs/GMD-1834-166.pdf#page=1","Abrir facsímil")</f>
        <v>Abrir facsímil</v>
      </c>
      <c r="K11053" s="10" t="s">
        <v>24</v>
      </c>
    </row>
    <row r="11054" spans="1:11" ht="54" customHeight="1">
      <c r="A11054" s="9" t="s">
        <v>22777</v>
      </c>
      <c r="B11054" s="9" t="s">
        <v>22778</v>
      </c>
      <c r="C11054" s="9" t="s">
        <v>46</v>
      </c>
      <c r="D11054" s="9" t="s">
        <v>101</v>
      </c>
      <c r="E11054" s="10" t="s">
        <v>4105</v>
      </c>
      <c r="F11054" s="9" t="s">
        <v>8942</v>
      </c>
      <c r="G11054" s="10" t="s">
        <v>34</v>
      </c>
      <c r="H11054" s="9" t="s">
        <v>22</v>
      </c>
      <c r="I11054" s="9" t="s">
        <v>22786</v>
      </c>
      <c r="J11054" s="10" t="str">
        <f>HYPERLINK("https://www.boe.es/gazeta/dias/1834/09/02/pdfs/GMD-1834-200.pdf#page=1","Abrir facsímil")</f>
        <v>Abrir facsímil</v>
      </c>
      <c r="K11054" s="10" t="s">
        <v>24</v>
      </c>
    </row>
    <row r="11055" spans="1:11" ht="54" customHeight="1">
      <c r="A11055" s="9" t="s">
        <v>22777</v>
      </c>
      <c r="B11055" s="9" t="s">
        <v>22778</v>
      </c>
      <c r="C11055" s="9" t="s">
        <v>66</v>
      </c>
      <c r="D11055" s="9" t="s">
        <v>18</v>
      </c>
      <c r="E11055" s="10" t="s">
        <v>416</v>
      </c>
      <c r="F11055" s="9" t="s">
        <v>1130</v>
      </c>
      <c r="G11055" s="10" t="s">
        <v>34</v>
      </c>
      <c r="H11055" s="9" t="s">
        <v>22</v>
      </c>
      <c r="I11055" s="9" t="s">
        <v>22787</v>
      </c>
      <c r="J11055" s="10" t="str">
        <f>HYPERLINK("https://www.boe.es/gazeta/dias/1834/10/02/pdfs/GMD-1834-230.pdf#page=1","Abrir facsímil")</f>
        <v>Abrir facsímil</v>
      </c>
      <c r="K11055" s="10" t="s">
        <v>24</v>
      </c>
    </row>
    <row r="11056" spans="1:11" ht="54" customHeight="1">
      <c r="A11056" s="9" t="s">
        <v>22777</v>
      </c>
      <c r="B11056" s="9" t="s">
        <v>22778</v>
      </c>
      <c r="C11056" s="9" t="s">
        <v>90</v>
      </c>
      <c r="D11056" s="9" t="s">
        <v>18</v>
      </c>
      <c r="E11056" s="10" t="s">
        <v>3163</v>
      </c>
      <c r="F11056" s="9" t="s">
        <v>3164</v>
      </c>
      <c r="G11056" s="10" t="s">
        <v>34</v>
      </c>
      <c r="H11056" s="9" t="s">
        <v>22</v>
      </c>
      <c r="I11056" s="9" t="s">
        <v>22788</v>
      </c>
      <c r="J11056" s="10" t="str">
        <f>HYPERLINK("https://www.boe.es/gazeta/dias/1834/11/02/pdfs/GMD-1834-261.pdf#page=1","Abrir facsímil")</f>
        <v>Abrir facsímil</v>
      </c>
      <c r="K11056" s="10" t="s">
        <v>24</v>
      </c>
    </row>
    <row r="11057" spans="1:11" ht="54" customHeight="1">
      <c r="A11057" s="9" t="s">
        <v>22777</v>
      </c>
      <c r="B11057" s="9" t="s">
        <v>22778</v>
      </c>
      <c r="C11057" s="9" t="s">
        <v>66</v>
      </c>
      <c r="D11057" s="9" t="s">
        <v>55</v>
      </c>
      <c r="E11057" s="10" t="s">
        <v>1704</v>
      </c>
      <c r="F11057" s="9" t="s">
        <v>1705</v>
      </c>
      <c r="G11057" s="10" t="s">
        <v>34</v>
      </c>
      <c r="H11057" s="9" t="s">
        <v>22</v>
      </c>
      <c r="I11057" s="9" t="s">
        <v>22789</v>
      </c>
      <c r="J11057" s="10" t="str">
        <f>HYPERLINK("https://www.boe.es/gazeta/dias/1834/12/02/pdfs/GMD-1834-291.pdf#page=1","Abrir facsímil")</f>
        <v>Abrir facsímil</v>
      </c>
      <c r="K11057" s="10" t="s">
        <v>24</v>
      </c>
    </row>
    <row r="11058" spans="1:11" ht="54" customHeight="1">
      <c r="A11058" s="9" t="s">
        <v>22777</v>
      </c>
      <c r="B11058" s="9" t="s">
        <v>22778</v>
      </c>
      <c r="C11058" s="9" t="s">
        <v>17</v>
      </c>
      <c r="D11058" s="9" t="s">
        <v>101</v>
      </c>
      <c r="E11058" s="10" t="s">
        <v>1653</v>
      </c>
      <c r="F11058" s="9" t="s">
        <v>1654</v>
      </c>
      <c r="G11058" s="10" t="s">
        <v>34</v>
      </c>
      <c r="H11058" s="9" t="s">
        <v>22</v>
      </c>
      <c r="I11058" s="9" t="s">
        <v>22790</v>
      </c>
      <c r="J11058" s="10" t="str">
        <f>HYPERLINK("https://www.boe.es/gazeta/dias/1834/07/03/pdfs/GMD-1834-136.pdf#page=1","Abrir facsímil")</f>
        <v>Abrir facsímil</v>
      </c>
      <c r="K11058" s="10" t="s">
        <v>24</v>
      </c>
    </row>
    <row r="11059" spans="1:11" ht="54" customHeight="1">
      <c r="A11059" s="9" t="s">
        <v>22777</v>
      </c>
      <c r="B11059" s="9" t="s">
        <v>22778</v>
      </c>
      <c r="C11059" s="9" t="s">
        <v>66</v>
      </c>
      <c r="D11059" s="9" t="s">
        <v>18</v>
      </c>
      <c r="E11059" s="10" t="s">
        <v>690</v>
      </c>
      <c r="F11059" s="9" t="s">
        <v>5765</v>
      </c>
      <c r="G11059" s="10" t="s">
        <v>34</v>
      </c>
      <c r="H11059" s="9" t="s">
        <v>22</v>
      </c>
      <c r="I11059" s="9" t="s">
        <v>22791</v>
      </c>
      <c r="J11059" s="10" t="str">
        <f>HYPERLINK("https://www.boe.es/gazeta/dias/1834/09/03/pdfs/GMD-1834-201.pdf#page=1","Abrir facsímil")</f>
        <v>Abrir facsímil</v>
      </c>
      <c r="K11059" s="10" t="s">
        <v>24</v>
      </c>
    </row>
    <row r="11060" spans="1:11" ht="54" customHeight="1">
      <c r="A11060" s="9" t="s">
        <v>22777</v>
      </c>
      <c r="B11060" s="9" t="s">
        <v>22778</v>
      </c>
      <c r="C11060" s="9" t="s">
        <v>66</v>
      </c>
      <c r="D11060" s="9" t="s">
        <v>55</v>
      </c>
      <c r="E11060" s="10" t="s">
        <v>1597</v>
      </c>
      <c r="F11060" s="9" t="s">
        <v>1598</v>
      </c>
      <c r="G11060" s="10" t="s">
        <v>34</v>
      </c>
      <c r="H11060" s="9" t="s">
        <v>22</v>
      </c>
      <c r="I11060" s="9" t="s">
        <v>22792</v>
      </c>
      <c r="J11060" s="10" t="str">
        <f>HYPERLINK("https://www.boe.es/gazeta/dias/1834/10/03/pdfs/GMD-1834-231.pdf#page=1","Abrir facsímil")</f>
        <v>Abrir facsímil</v>
      </c>
      <c r="K11060" s="10" t="s">
        <v>24</v>
      </c>
    </row>
    <row r="11061" spans="1:11" ht="54" customHeight="1">
      <c r="A11061" s="9" t="s">
        <v>22777</v>
      </c>
      <c r="B11061" s="9" t="s">
        <v>22778</v>
      </c>
      <c r="C11061" s="9" t="s">
        <v>66</v>
      </c>
      <c r="D11061" s="9" t="s">
        <v>18</v>
      </c>
      <c r="E11061" s="10" t="s">
        <v>330</v>
      </c>
      <c r="F11061" s="9" t="s">
        <v>331</v>
      </c>
      <c r="G11061" s="10" t="s">
        <v>34</v>
      </c>
      <c r="H11061" s="9" t="s">
        <v>22</v>
      </c>
      <c r="I11061" s="9" t="s">
        <v>22793</v>
      </c>
      <c r="J11061" s="10" t="str">
        <f>HYPERLINK("https://www.boe.es/gazeta/dias/1834/12/03/pdfs/GMD-1834-292.pdf#page=1","Abrir facsímil")</f>
        <v>Abrir facsímil</v>
      </c>
      <c r="K11061" s="10" t="s">
        <v>24</v>
      </c>
    </row>
    <row r="11062" spans="1:11" ht="54" customHeight="1">
      <c r="A11062" s="9" t="s">
        <v>22777</v>
      </c>
      <c r="B11062" s="9" t="s">
        <v>22778</v>
      </c>
      <c r="C11062" s="9" t="s">
        <v>17</v>
      </c>
      <c r="D11062" s="9" t="s">
        <v>101</v>
      </c>
      <c r="E11062" s="10" t="s">
        <v>355</v>
      </c>
      <c r="F11062" s="9" t="s">
        <v>356</v>
      </c>
      <c r="G11062" s="10" t="s">
        <v>34</v>
      </c>
      <c r="H11062" s="9" t="s">
        <v>22</v>
      </c>
      <c r="I11062" s="9" t="s">
        <v>22794</v>
      </c>
      <c r="J11062" s="10" t="str">
        <f>HYPERLINK("https://www.boe.es/gazeta/dias/1834/07/04/pdfs/GMD-1834-137.pdf#page=1","Abrir facsímil")</f>
        <v>Abrir facsímil</v>
      </c>
      <c r="K11062" s="10" t="s">
        <v>24</v>
      </c>
    </row>
    <row r="11063" spans="1:11" ht="54" customHeight="1">
      <c r="A11063" s="9" t="s">
        <v>22777</v>
      </c>
      <c r="B11063" s="9" t="s">
        <v>22778</v>
      </c>
      <c r="C11063" s="9" t="s">
        <v>66</v>
      </c>
      <c r="D11063" s="9" t="s">
        <v>18</v>
      </c>
      <c r="E11063" s="10" t="s">
        <v>2212</v>
      </c>
      <c r="F11063" s="9" t="s">
        <v>5450</v>
      </c>
      <c r="G11063" s="10" t="s">
        <v>34</v>
      </c>
      <c r="H11063" s="9" t="s">
        <v>22</v>
      </c>
      <c r="I11063" s="9" t="s">
        <v>22795</v>
      </c>
      <c r="J11063" s="10" t="str">
        <f>HYPERLINK("https://www.boe.es/gazeta/dias/1834/08/04/pdfs/GMD-1834-168.pdf#page=1","Abrir facsímil")</f>
        <v>Abrir facsímil</v>
      </c>
      <c r="K11063" s="10" t="s">
        <v>24</v>
      </c>
    </row>
    <row r="11064" spans="1:11" ht="54" customHeight="1">
      <c r="A11064" s="9" t="s">
        <v>22777</v>
      </c>
      <c r="B11064" s="9" t="s">
        <v>22778</v>
      </c>
      <c r="C11064" s="9" t="s">
        <v>66</v>
      </c>
      <c r="D11064" s="9" t="s">
        <v>18</v>
      </c>
      <c r="E11064" s="10" t="s">
        <v>571</v>
      </c>
      <c r="F11064" s="9" t="s">
        <v>572</v>
      </c>
      <c r="G11064" s="10" t="s">
        <v>34</v>
      </c>
      <c r="H11064" s="9" t="s">
        <v>22</v>
      </c>
      <c r="I11064" s="9" t="s">
        <v>22796</v>
      </c>
      <c r="J11064" s="10" t="str">
        <f>HYPERLINK("https://www.boe.es/gazeta/dias/1834/09/04/pdfs/GMD-1834-202.pdf#page=1","Abrir facsímil")</f>
        <v>Abrir facsímil</v>
      </c>
      <c r="K11064" s="10" t="s">
        <v>24</v>
      </c>
    </row>
    <row r="11065" spans="1:11" ht="54" customHeight="1">
      <c r="A11065" s="9" t="s">
        <v>22777</v>
      </c>
      <c r="B11065" s="9" t="s">
        <v>22778</v>
      </c>
      <c r="C11065" s="9" t="s">
        <v>66</v>
      </c>
      <c r="D11065" s="9" t="s">
        <v>18</v>
      </c>
      <c r="E11065" s="10" t="s">
        <v>426</v>
      </c>
      <c r="F11065" s="9" t="s">
        <v>427</v>
      </c>
      <c r="G11065" s="10" t="s">
        <v>34</v>
      </c>
      <c r="H11065" s="9" t="s">
        <v>22</v>
      </c>
      <c r="I11065" s="9" t="s">
        <v>22797</v>
      </c>
      <c r="J11065" s="10" t="str">
        <f>HYPERLINK("https://www.boe.es/gazeta/dias/1834/10/04/pdfs/GMD-1834-232.pdf#page=1","Abrir facsímil")</f>
        <v>Abrir facsímil</v>
      </c>
      <c r="K11065" s="10" t="s">
        <v>24</v>
      </c>
    </row>
    <row r="11066" spans="1:11" ht="54" customHeight="1">
      <c r="A11066" s="9" t="s">
        <v>22777</v>
      </c>
      <c r="B11066" s="9" t="s">
        <v>22778</v>
      </c>
      <c r="C11066" s="9" t="s">
        <v>90</v>
      </c>
      <c r="D11066" s="9" t="s">
        <v>18</v>
      </c>
      <c r="E11066" s="10" t="s">
        <v>73</v>
      </c>
      <c r="F11066" s="9" t="s">
        <v>74</v>
      </c>
      <c r="G11066" s="10" t="s">
        <v>34</v>
      </c>
      <c r="H11066" s="9" t="s">
        <v>22</v>
      </c>
      <c r="I11066" s="9" t="s">
        <v>22798</v>
      </c>
      <c r="J11066" s="10" t="str">
        <f>HYPERLINK("https://www.boe.es/gazeta/dias/1834/11/04/pdfs/GMD-1834-263.pdf#page=1","Abrir facsímil")</f>
        <v>Abrir facsímil</v>
      </c>
      <c r="K11066" s="10" t="s">
        <v>24</v>
      </c>
    </row>
    <row r="11067" spans="1:11" ht="54" customHeight="1">
      <c r="A11067" s="9" t="s">
        <v>22777</v>
      </c>
      <c r="B11067" s="9" t="s">
        <v>22778</v>
      </c>
      <c r="C11067" s="9" t="s">
        <v>90</v>
      </c>
      <c r="D11067" s="9" t="s">
        <v>67</v>
      </c>
      <c r="E11067" s="10" t="s">
        <v>1351</v>
      </c>
      <c r="F11067" s="9" t="s">
        <v>1352</v>
      </c>
      <c r="G11067" s="10" t="s">
        <v>34</v>
      </c>
      <c r="H11067" s="9" t="s">
        <v>22</v>
      </c>
      <c r="I11067" s="9" t="s">
        <v>22799</v>
      </c>
      <c r="J11067" s="10" t="str">
        <f>HYPERLINK("https://www.boe.es/gazeta/dias/1834/07/05/pdfs/GMD-1834-138.pdf#page=1","Abrir facsímil")</f>
        <v>Abrir facsímil</v>
      </c>
      <c r="K11067" s="10" t="s">
        <v>24</v>
      </c>
    </row>
    <row r="11068" spans="1:11" ht="54" customHeight="1">
      <c r="A11068" s="9" t="s">
        <v>22777</v>
      </c>
      <c r="B11068" s="9" t="s">
        <v>22778</v>
      </c>
      <c r="C11068" s="9" t="s">
        <v>66</v>
      </c>
      <c r="D11068" s="9" t="s">
        <v>67</v>
      </c>
      <c r="E11068" s="10" t="s">
        <v>243</v>
      </c>
      <c r="F11068" s="9" t="s">
        <v>1109</v>
      </c>
      <c r="G11068" s="10" t="s">
        <v>34</v>
      </c>
      <c r="H11068" s="9" t="s">
        <v>22</v>
      </c>
      <c r="I11068" s="9" t="s">
        <v>22800</v>
      </c>
      <c r="J11068" s="10" t="str">
        <f>HYPERLINK("https://www.boe.es/gazeta/dias/1834/08/05/pdfs/GMD-1834-169.pdf#page=1","Abrir facsímil")</f>
        <v>Abrir facsímil</v>
      </c>
      <c r="K11068" s="10" t="s">
        <v>24</v>
      </c>
    </row>
    <row r="11069" spans="1:11" ht="54" customHeight="1">
      <c r="A11069" s="9" t="s">
        <v>22777</v>
      </c>
      <c r="B11069" s="9" t="s">
        <v>22778</v>
      </c>
      <c r="C11069" s="9" t="s">
        <v>66</v>
      </c>
      <c r="D11069" s="9" t="s">
        <v>18</v>
      </c>
      <c r="E11069" s="10" t="s">
        <v>47</v>
      </c>
      <c r="F11069" s="9" t="s">
        <v>1466</v>
      </c>
      <c r="G11069" s="10" t="s">
        <v>34</v>
      </c>
      <c r="H11069" s="9" t="s">
        <v>22</v>
      </c>
      <c r="I11069" s="9" t="s">
        <v>22801</v>
      </c>
      <c r="J11069" s="10" t="str">
        <f>HYPERLINK("https://www.boe.es/gazeta/dias/1834/09/05/pdfs/GMD-1834-203.pdf#page=1","Abrir facsímil")</f>
        <v>Abrir facsímil</v>
      </c>
      <c r="K11069" s="10" t="s">
        <v>24</v>
      </c>
    </row>
    <row r="11070" spans="1:11" ht="54" customHeight="1">
      <c r="A11070" s="9" t="s">
        <v>22777</v>
      </c>
      <c r="B11070" s="9" t="s">
        <v>22778</v>
      </c>
      <c r="C11070" s="9" t="s">
        <v>66</v>
      </c>
      <c r="D11070" s="9" t="s">
        <v>18</v>
      </c>
      <c r="E11070" s="10" t="s">
        <v>1340</v>
      </c>
      <c r="F11070" s="9" t="s">
        <v>3300</v>
      </c>
      <c r="G11070" s="10" t="s">
        <v>34</v>
      </c>
      <c r="H11070" s="9" t="s">
        <v>22</v>
      </c>
      <c r="I11070" s="9" t="s">
        <v>22802</v>
      </c>
      <c r="J11070" s="10" t="str">
        <f>HYPERLINK("https://www.boe.es/gazeta/dias/1834/10/05/pdfs/GMD-1834-233.pdf#page=1","Abrir facsímil")</f>
        <v>Abrir facsímil</v>
      </c>
      <c r="K11070" s="10" t="s">
        <v>24</v>
      </c>
    </row>
    <row r="11071" spans="1:11" ht="54" customHeight="1">
      <c r="A11071" s="9" t="s">
        <v>22777</v>
      </c>
      <c r="B11071" s="9" t="s">
        <v>22778</v>
      </c>
      <c r="C11071" s="9" t="s">
        <v>66</v>
      </c>
      <c r="D11071" s="9" t="s">
        <v>40</v>
      </c>
      <c r="E11071" s="10" t="s">
        <v>11991</v>
      </c>
      <c r="F11071" s="9" t="s">
        <v>17012</v>
      </c>
      <c r="G11071" s="10" t="s">
        <v>34</v>
      </c>
      <c r="H11071" s="9" t="s">
        <v>22</v>
      </c>
      <c r="I11071" s="9" t="s">
        <v>22803</v>
      </c>
      <c r="J11071" s="10" t="str">
        <f>HYPERLINK("https://www.boe.es/gazeta/dias/1834/12/05/pdfs/GMD-1834-294.pdf#page=1","Abrir facsímil")</f>
        <v>Abrir facsímil</v>
      </c>
      <c r="K11071" s="10" t="s">
        <v>24</v>
      </c>
    </row>
    <row r="11072" spans="1:11" ht="54" customHeight="1">
      <c r="A11072" s="9" t="s">
        <v>22777</v>
      </c>
      <c r="B11072" s="9" t="s">
        <v>22778</v>
      </c>
      <c r="C11072" s="9" t="s">
        <v>17</v>
      </c>
      <c r="D11072" s="9" t="s">
        <v>18</v>
      </c>
      <c r="E11072" s="10" t="s">
        <v>2865</v>
      </c>
      <c r="F11072" s="9" t="s">
        <v>2866</v>
      </c>
      <c r="G11072" s="10" t="s">
        <v>34</v>
      </c>
      <c r="H11072" s="9" t="s">
        <v>22</v>
      </c>
      <c r="I11072" s="9" t="s">
        <v>22804</v>
      </c>
      <c r="J11072" s="10" t="str">
        <f>HYPERLINK("https://www.boe.es/gazeta/dias/1834/07/06/pdfs/GMD-1834-139.pdf#page=1","Abrir facsímil")</f>
        <v>Abrir facsímil</v>
      </c>
      <c r="K11072" s="10" t="s">
        <v>24</v>
      </c>
    </row>
    <row r="11073" spans="1:11" ht="54" customHeight="1">
      <c r="A11073" s="9" t="s">
        <v>22777</v>
      </c>
      <c r="B11073" s="9" t="s">
        <v>22778</v>
      </c>
      <c r="C11073" s="9" t="s">
        <v>66</v>
      </c>
      <c r="D11073" s="9" t="s">
        <v>101</v>
      </c>
      <c r="E11073" s="10" t="s">
        <v>364</v>
      </c>
      <c r="F11073" s="9" t="s">
        <v>2102</v>
      </c>
      <c r="G11073" s="10" t="s">
        <v>34</v>
      </c>
      <c r="H11073" s="9" t="s">
        <v>22</v>
      </c>
      <c r="I11073" s="9" t="s">
        <v>22805</v>
      </c>
      <c r="J11073" s="10" t="str">
        <f>HYPERLINK("https://www.boe.es/gazeta/dias/1834/09/06/pdfs/GMD-1834-204.pdf#page=1","Abrir facsímil")</f>
        <v>Abrir facsímil</v>
      </c>
      <c r="K11073" s="10" t="s">
        <v>24</v>
      </c>
    </row>
    <row r="11074" spans="1:11" ht="54" customHeight="1">
      <c r="A11074" s="9" t="s">
        <v>22777</v>
      </c>
      <c r="B11074" s="9" t="s">
        <v>22778</v>
      </c>
      <c r="C11074" s="9" t="s">
        <v>66</v>
      </c>
      <c r="D11074" s="9" t="s">
        <v>18</v>
      </c>
      <c r="E11074" s="10" t="s">
        <v>1742</v>
      </c>
      <c r="F11074" s="9" t="s">
        <v>1743</v>
      </c>
      <c r="G11074" s="10" t="s">
        <v>34</v>
      </c>
      <c r="H11074" s="9" t="s">
        <v>22</v>
      </c>
      <c r="I11074" s="9" t="s">
        <v>22806</v>
      </c>
      <c r="J11074" s="10" t="str">
        <f>HYPERLINK("https://www.boe.es/gazeta/dias/1834/11/06/pdfs/GMD-1834-265.pdf#page=1","Abrir facsímil")</f>
        <v>Abrir facsímil</v>
      </c>
      <c r="K11074" s="10" t="s">
        <v>24</v>
      </c>
    </row>
    <row r="11075" spans="1:11" ht="54" customHeight="1">
      <c r="A11075" s="9" t="s">
        <v>22777</v>
      </c>
      <c r="B11075" s="9" t="s">
        <v>22778</v>
      </c>
      <c r="C11075" s="9" t="s">
        <v>66</v>
      </c>
      <c r="D11075" s="9" t="s">
        <v>18</v>
      </c>
      <c r="E11075" s="10" t="s">
        <v>696</v>
      </c>
      <c r="F11075" s="9" t="s">
        <v>854</v>
      </c>
      <c r="G11075" s="10" t="s">
        <v>34</v>
      </c>
      <c r="H11075" s="9" t="s">
        <v>22</v>
      </c>
      <c r="I11075" s="9" t="s">
        <v>22807</v>
      </c>
      <c r="J11075" s="10" t="str">
        <f>HYPERLINK("https://www.boe.es/gazeta/dias/1834/12/06/pdfs/GMD-1834-295.pdf#page=1","Abrir facsímil")</f>
        <v>Abrir facsímil</v>
      </c>
      <c r="K11075" s="10" t="s">
        <v>24</v>
      </c>
    </row>
    <row r="11076" spans="1:11" ht="54" customHeight="1">
      <c r="A11076" s="9" t="s">
        <v>22777</v>
      </c>
      <c r="B11076" s="9" t="s">
        <v>22778</v>
      </c>
      <c r="C11076" s="9" t="s">
        <v>46</v>
      </c>
      <c r="D11076" s="9" t="s">
        <v>101</v>
      </c>
      <c r="E11076" s="10" t="s">
        <v>3471</v>
      </c>
      <c r="F11076" s="9" t="s">
        <v>3472</v>
      </c>
      <c r="G11076" s="10" t="s">
        <v>34</v>
      </c>
      <c r="H11076" s="9" t="s">
        <v>22</v>
      </c>
      <c r="I11076" s="9" t="s">
        <v>22808</v>
      </c>
      <c r="J11076" s="10" t="str">
        <f>HYPERLINK("https://www.boe.es/gazeta/dias/1834/07/07/pdfs/GMD-1834-140.pdf#page=1","Abrir facsímil")</f>
        <v>Abrir facsímil</v>
      </c>
      <c r="K11076" s="10" t="s">
        <v>24</v>
      </c>
    </row>
    <row r="11077" spans="1:11" ht="54" customHeight="1">
      <c r="A11077" s="9" t="s">
        <v>22777</v>
      </c>
      <c r="B11077" s="9" t="s">
        <v>22778</v>
      </c>
      <c r="C11077" s="9" t="s">
        <v>66</v>
      </c>
      <c r="D11077" s="9" t="s">
        <v>18</v>
      </c>
      <c r="E11077" s="10" t="s">
        <v>167</v>
      </c>
      <c r="F11077" s="9" t="s">
        <v>168</v>
      </c>
      <c r="G11077" s="10" t="s">
        <v>34</v>
      </c>
      <c r="H11077" s="9" t="s">
        <v>22</v>
      </c>
      <c r="I11077" s="9" t="s">
        <v>22809</v>
      </c>
      <c r="J11077" s="10" t="str">
        <f>HYPERLINK("https://www.boe.es/gazeta/dias/1834/09/07/pdfs/GMD-1834-205.pdf#page=1","Abrir facsímil")</f>
        <v>Abrir facsímil</v>
      </c>
      <c r="K11077" s="10" t="s">
        <v>24</v>
      </c>
    </row>
    <row r="11078" spans="1:11" ht="54" customHeight="1">
      <c r="A11078" s="9" t="s">
        <v>22777</v>
      </c>
      <c r="B11078" s="9" t="s">
        <v>22778</v>
      </c>
      <c r="C11078" s="9" t="s">
        <v>66</v>
      </c>
      <c r="D11078" s="9" t="s">
        <v>18</v>
      </c>
      <c r="E11078" s="10" t="s">
        <v>433</v>
      </c>
      <c r="F11078" s="9" t="s">
        <v>2773</v>
      </c>
      <c r="G11078" s="10" t="s">
        <v>34</v>
      </c>
      <c r="H11078" s="9" t="s">
        <v>22</v>
      </c>
      <c r="I11078" s="9" t="s">
        <v>22810</v>
      </c>
      <c r="J11078" s="10" t="str">
        <f>HYPERLINK("https://www.boe.es/gazeta/dias/1834/10/07/pdfs/GMD-1834-235.pdf#page=1","Abrir facsímil")</f>
        <v>Abrir facsímil</v>
      </c>
      <c r="K11078" s="10" t="s">
        <v>24</v>
      </c>
    </row>
    <row r="11079" spans="1:11" ht="54" customHeight="1">
      <c r="A11079" s="9" t="s">
        <v>22777</v>
      </c>
      <c r="B11079" s="9" t="s">
        <v>22778</v>
      </c>
      <c r="C11079" s="9" t="s">
        <v>66</v>
      </c>
      <c r="D11079" s="9" t="s">
        <v>18</v>
      </c>
      <c r="E11079" s="10" t="s">
        <v>762</v>
      </c>
      <c r="F11079" s="9" t="s">
        <v>763</v>
      </c>
      <c r="G11079" s="10" t="s">
        <v>34</v>
      </c>
      <c r="H11079" s="9" t="s">
        <v>22</v>
      </c>
      <c r="I11079" s="9" t="s">
        <v>22811</v>
      </c>
      <c r="J11079" s="10" t="str">
        <f>HYPERLINK("https://www.boe.es/gazeta/dias/1834/11/07/pdfs/GMD-1834-266.pdf#page=1","Abrir facsímil")</f>
        <v>Abrir facsímil</v>
      </c>
      <c r="K11079" s="10" t="s">
        <v>24</v>
      </c>
    </row>
    <row r="11080" spans="1:11" ht="54" customHeight="1">
      <c r="A11080" s="9" t="s">
        <v>22777</v>
      </c>
      <c r="B11080" s="9" t="s">
        <v>22778</v>
      </c>
      <c r="C11080" s="9" t="s">
        <v>66</v>
      </c>
      <c r="D11080" s="9" t="s">
        <v>55</v>
      </c>
      <c r="E11080" s="10" t="s">
        <v>3170</v>
      </c>
      <c r="F11080" s="9" t="s">
        <v>3171</v>
      </c>
      <c r="G11080" s="10" t="s">
        <v>34</v>
      </c>
      <c r="H11080" s="9" t="s">
        <v>22</v>
      </c>
      <c r="I11080" s="9" t="s">
        <v>22812</v>
      </c>
      <c r="J11080" s="10" t="str">
        <f>HYPERLINK("https://www.boe.es/gazeta/dias/1834/12/07/pdfs/GMD-1834-296.pdf#page=1","Abrir facsímil")</f>
        <v>Abrir facsímil</v>
      </c>
      <c r="K11080" s="10" t="s">
        <v>24</v>
      </c>
    </row>
    <row r="11081" spans="1:11" ht="54" customHeight="1">
      <c r="A11081" s="9" t="s">
        <v>22777</v>
      </c>
      <c r="B11081" s="9" t="s">
        <v>22778</v>
      </c>
      <c r="C11081" s="9" t="s">
        <v>66</v>
      </c>
      <c r="D11081" s="9" t="s">
        <v>18</v>
      </c>
      <c r="E11081" s="10" t="s">
        <v>793</v>
      </c>
      <c r="F11081" s="9" t="s">
        <v>794</v>
      </c>
      <c r="G11081" s="10" t="s">
        <v>34</v>
      </c>
      <c r="H11081" s="9" t="s">
        <v>22</v>
      </c>
      <c r="I11081" s="9" t="s">
        <v>22813</v>
      </c>
      <c r="J11081" s="10" t="str">
        <f>HYPERLINK("https://www.boe.es/gazeta/dias/1834/10/08/pdfs/GMD-1834-236.pdf#page=1","Abrir facsímil")</f>
        <v>Abrir facsímil</v>
      </c>
      <c r="K11081" s="10" t="s">
        <v>24</v>
      </c>
    </row>
    <row r="11082" spans="1:11" ht="54" customHeight="1">
      <c r="A11082" s="9" t="s">
        <v>22777</v>
      </c>
      <c r="B11082" s="9" t="s">
        <v>22778</v>
      </c>
      <c r="C11082" s="9" t="s">
        <v>66</v>
      </c>
      <c r="D11082" s="9" t="s">
        <v>18</v>
      </c>
      <c r="E11082" s="10" t="s">
        <v>1008</v>
      </c>
      <c r="F11082" s="9" t="s">
        <v>2991</v>
      </c>
      <c r="G11082" s="10" t="s">
        <v>34</v>
      </c>
      <c r="H11082" s="9" t="s">
        <v>22</v>
      </c>
      <c r="I11082" s="9" t="s">
        <v>22814</v>
      </c>
      <c r="J11082" s="10" t="str">
        <f>HYPERLINK("https://www.boe.es/gazeta/dias/1834/11/08/pdfs/GMD-1834-267.pdf#page=1","Abrir facsímil")</f>
        <v>Abrir facsímil</v>
      </c>
      <c r="K11082" s="10" t="s">
        <v>24</v>
      </c>
    </row>
    <row r="11083" spans="1:11" ht="54" customHeight="1">
      <c r="A11083" s="9" t="s">
        <v>22777</v>
      </c>
      <c r="B11083" s="9" t="s">
        <v>22778</v>
      </c>
      <c r="C11083" s="9" t="s">
        <v>66</v>
      </c>
      <c r="D11083" s="9" t="s">
        <v>18</v>
      </c>
      <c r="E11083" s="10" t="s">
        <v>4637</v>
      </c>
      <c r="F11083" s="9" t="s">
        <v>4638</v>
      </c>
      <c r="G11083" s="10" t="s">
        <v>34</v>
      </c>
      <c r="H11083" s="9" t="s">
        <v>22</v>
      </c>
      <c r="I11083" s="9" t="s">
        <v>22815</v>
      </c>
      <c r="J11083" s="10" t="str">
        <f>HYPERLINK("https://www.boe.es/gazeta/dias/1834/12/08/pdfs/GMD-1834-297.pdf#page=1","Abrir facsímil")</f>
        <v>Abrir facsímil</v>
      </c>
      <c r="K11083" s="10" t="s">
        <v>24</v>
      </c>
    </row>
    <row r="11084" spans="1:11" ht="54" customHeight="1">
      <c r="A11084" s="9" t="s">
        <v>22777</v>
      </c>
      <c r="B11084" s="9" t="s">
        <v>22778</v>
      </c>
      <c r="C11084" s="9" t="s">
        <v>66</v>
      </c>
      <c r="D11084" s="9" t="s">
        <v>18</v>
      </c>
      <c r="E11084" s="10" t="s">
        <v>258</v>
      </c>
      <c r="F11084" s="9" t="s">
        <v>1075</v>
      </c>
      <c r="G11084" s="10" t="s">
        <v>34</v>
      </c>
      <c r="H11084" s="9" t="s">
        <v>22</v>
      </c>
      <c r="I11084" s="9" t="s">
        <v>22816</v>
      </c>
      <c r="J11084" s="10" t="str">
        <f>HYPERLINK("https://www.boe.es/gazeta/dias/1834/10/09/pdfs/GMD-1834-237.pdf#page=1","Abrir facsímil")</f>
        <v>Abrir facsímil</v>
      </c>
      <c r="K11084" s="10" t="s">
        <v>24</v>
      </c>
    </row>
    <row r="11085" spans="1:11" ht="54" customHeight="1">
      <c r="A11085" s="9" t="s">
        <v>22777</v>
      </c>
      <c r="B11085" s="9" t="s">
        <v>22778</v>
      </c>
      <c r="C11085" s="9" t="s">
        <v>66</v>
      </c>
      <c r="D11085" s="9" t="s">
        <v>18</v>
      </c>
      <c r="E11085" s="10" t="s">
        <v>438</v>
      </c>
      <c r="F11085" s="9" t="s">
        <v>439</v>
      </c>
      <c r="G11085" s="10" t="s">
        <v>34</v>
      </c>
      <c r="H11085" s="9" t="s">
        <v>22</v>
      </c>
      <c r="I11085" s="9" t="s">
        <v>22817</v>
      </c>
      <c r="J11085" s="10" t="str">
        <f>HYPERLINK("https://www.boe.es/gazeta/dias/1834/11/09/pdfs/GMD-1834-268.pdf#page=1","Abrir facsímil")</f>
        <v>Abrir facsímil</v>
      </c>
      <c r="K11085" s="10" t="s">
        <v>24</v>
      </c>
    </row>
    <row r="11086" spans="1:11" ht="54" customHeight="1">
      <c r="A11086" s="9" t="s">
        <v>22777</v>
      </c>
      <c r="B11086" s="9" t="s">
        <v>22778</v>
      </c>
      <c r="C11086" s="9" t="s">
        <v>66</v>
      </c>
      <c r="D11086" s="9" t="s">
        <v>55</v>
      </c>
      <c r="E11086" s="10" t="s">
        <v>1268</v>
      </c>
      <c r="F11086" s="9" t="s">
        <v>1269</v>
      </c>
      <c r="G11086" s="10" t="s">
        <v>34</v>
      </c>
      <c r="H11086" s="9" t="s">
        <v>22</v>
      </c>
      <c r="I11086" s="9" t="s">
        <v>22818</v>
      </c>
      <c r="J11086" s="10" t="str">
        <f>HYPERLINK("https://www.boe.es/gazeta/dias/1834/12/09/pdfs/GMD-1834-298.pdf#page=1","Abrir facsímil")</f>
        <v>Abrir facsímil</v>
      </c>
      <c r="K11086" s="10" t="s">
        <v>24</v>
      </c>
    </row>
    <row r="11087" spans="1:11" ht="54" customHeight="1">
      <c r="A11087" s="9" t="s">
        <v>22777</v>
      </c>
      <c r="B11087" s="9" t="s">
        <v>22778</v>
      </c>
      <c r="C11087" s="9" t="s">
        <v>66</v>
      </c>
      <c r="D11087" s="9" t="s">
        <v>18</v>
      </c>
      <c r="E11087" s="10" t="s">
        <v>956</v>
      </c>
      <c r="F11087" s="9" t="s">
        <v>1508</v>
      </c>
      <c r="G11087" s="10" t="s">
        <v>34</v>
      </c>
      <c r="H11087" s="9" t="s">
        <v>22</v>
      </c>
      <c r="I11087" s="9" t="s">
        <v>22819</v>
      </c>
      <c r="J11087" s="10" t="str">
        <f>HYPERLINK("https://www.boe.es/gazeta/dias/1834/08/10/pdfs/GMD-1834-175.pdf#page=1","Abrir facsímil")</f>
        <v>Abrir facsímil</v>
      </c>
      <c r="K11087" s="10" t="s">
        <v>24</v>
      </c>
    </row>
    <row r="11088" spans="1:11" ht="54" customHeight="1">
      <c r="A11088" s="9" t="s">
        <v>22777</v>
      </c>
      <c r="B11088" s="9" t="s">
        <v>22778</v>
      </c>
      <c r="C11088" s="9" t="s">
        <v>66</v>
      </c>
      <c r="D11088" s="9" t="s">
        <v>18</v>
      </c>
      <c r="E11088" s="10" t="s">
        <v>2203</v>
      </c>
      <c r="F11088" s="9" t="s">
        <v>3917</v>
      </c>
      <c r="G11088" s="10" t="s">
        <v>34</v>
      </c>
      <c r="H11088" s="9" t="s">
        <v>22</v>
      </c>
      <c r="I11088" s="9" t="s">
        <v>22820</v>
      </c>
      <c r="J11088" s="10" t="str">
        <f>HYPERLINK("https://www.boe.es/gazeta/dias/1834/09/10/pdfs/GMD-1834-208.pdf#page=1","Abrir facsímil")</f>
        <v>Abrir facsímil</v>
      </c>
      <c r="K11088" s="10" t="s">
        <v>24</v>
      </c>
    </row>
    <row r="11089" spans="1:11" ht="54" customHeight="1">
      <c r="A11089" s="9" t="s">
        <v>22777</v>
      </c>
      <c r="B11089" s="9" t="s">
        <v>22778</v>
      </c>
      <c r="C11089" s="9" t="s">
        <v>66</v>
      </c>
      <c r="D11089" s="9" t="s">
        <v>67</v>
      </c>
      <c r="E11089" s="10" t="s">
        <v>679</v>
      </c>
      <c r="F11089" s="9" t="s">
        <v>680</v>
      </c>
      <c r="G11089" s="10" t="s">
        <v>34</v>
      </c>
      <c r="H11089" s="9" t="s">
        <v>22</v>
      </c>
      <c r="I11089" s="9" t="s">
        <v>22821</v>
      </c>
      <c r="J11089" s="10" t="str">
        <f>HYPERLINK("https://www.boe.es/gazeta/dias/1834/12/10/pdfs/GMD-1834-299.pdf#page=1","Abrir facsímil")</f>
        <v>Abrir facsímil</v>
      </c>
      <c r="K11089" s="10" t="s">
        <v>24</v>
      </c>
    </row>
    <row r="11090" spans="1:11" ht="54" customHeight="1">
      <c r="A11090" s="9" t="s">
        <v>22777</v>
      </c>
      <c r="B11090" s="9" t="s">
        <v>22778</v>
      </c>
      <c r="C11090" s="9" t="s">
        <v>17</v>
      </c>
      <c r="D11090" s="9" t="s">
        <v>18</v>
      </c>
      <c r="E11090" s="10" t="s">
        <v>2098</v>
      </c>
      <c r="F11090" s="9" t="s">
        <v>2099</v>
      </c>
      <c r="G11090" s="10" t="s">
        <v>34</v>
      </c>
      <c r="H11090" s="9" t="s">
        <v>22</v>
      </c>
      <c r="I11090" s="9" t="s">
        <v>22822</v>
      </c>
      <c r="J11090" s="10" t="str">
        <f>HYPERLINK("https://www.boe.es/gazeta/dias/1834/08/11/pdfs/GMD-1834-176.pdf#page=1","Abrir facsímil")</f>
        <v>Abrir facsímil</v>
      </c>
      <c r="K11090" s="10" t="s">
        <v>24</v>
      </c>
    </row>
    <row r="11091" spans="1:11" ht="54" customHeight="1">
      <c r="A11091" s="9" t="s">
        <v>22777</v>
      </c>
      <c r="B11091" s="9" t="s">
        <v>22778</v>
      </c>
      <c r="C11091" s="9" t="s">
        <v>66</v>
      </c>
      <c r="D11091" s="9" t="s">
        <v>101</v>
      </c>
      <c r="E11091" s="10" t="s">
        <v>334</v>
      </c>
      <c r="F11091" s="9" t="s">
        <v>567</v>
      </c>
      <c r="G11091" s="10" t="s">
        <v>34</v>
      </c>
      <c r="H11091" s="9" t="s">
        <v>22</v>
      </c>
      <c r="I11091" s="9" t="s">
        <v>22823</v>
      </c>
      <c r="J11091" s="10" t="str">
        <f>HYPERLINK("https://www.boe.es/gazeta/dias/1834/09/11/pdfs/GMD-1834-209.pdf#page=1","Abrir facsímil")</f>
        <v>Abrir facsímil</v>
      </c>
      <c r="K11091" s="10" t="s">
        <v>24</v>
      </c>
    </row>
    <row r="11092" spans="1:11" ht="54" customHeight="1">
      <c r="A11092" s="9" t="s">
        <v>22777</v>
      </c>
      <c r="B11092" s="9" t="s">
        <v>22778</v>
      </c>
      <c r="C11092" s="9" t="s">
        <v>66</v>
      </c>
      <c r="D11092" s="9" t="s">
        <v>18</v>
      </c>
      <c r="E11092" s="10" t="s">
        <v>808</v>
      </c>
      <c r="F11092" s="9" t="s">
        <v>809</v>
      </c>
      <c r="G11092" s="10" t="s">
        <v>34</v>
      </c>
      <c r="H11092" s="9" t="s">
        <v>22</v>
      </c>
      <c r="I11092" s="9" t="s">
        <v>22824</v>
      </c>
      <c r="J11092" s="10" t="str">
        <f>HYPERLINK("https://www.boe.es/gazeta/dias/1834/10/11/pdfs/GMD-1834-239.pdf#page=1","Abrir facsímil")</f>
        <v>Abrir facsímil</v>
      </c>
      <c r="K11092" s="10" t="s">
        <v>24</v>
      </c>
    </row>
    <row r="11093" spans="1:11" ht="54" customHeight="1">
      <c r="A11093" s="9" t="s">
        <v>22777</v>
      </c>
      <c r="B11093" s="9" t="s">
        <v>22778</v>
      </c>
      <c r="C11093" s="9" t="s">
        <v>66</v>
      </c>
      <c r="D11093" s="9" t="s">
        <v>18</v>
      </c>
      <c r="E11093" s="10" t="s">
        <v>96</v>
      </c>
      <c r="F11093" s="9" t="s">
        <v>1725</v>
      </c>
      <c r="G11093" s="10" t="s">
        <v>34</v>
      </c>
      <c r="H11093" s="9" t="s">
        <v>22</v>
      </c>
      <c r="I11093" s="9" t="s">
        <v>22825</v>
      </c>
      <c r="J11093" s="10" t="str">
        <f>HYPERLINK("https://www.boe.es/gazeta/dias/1834/11/11/pdfs/GMD-1834-270.pdf#page=1","Abrir facsímil")</f>
        <v>Abrir facsímil</v>
      </c>
      <c r="K11093" s="10" t="s">
        <v>24</v>
      </c>
    </row>
    <row r="11094" spans="1:11" ht="54" customHeight="1">
      <c r="A11094" s="9" t="s">
        <v>22777</v>
      </c>
      <c r="B11094" s="9" t="s">
        <v>22778</v>
      </c>
      <c r="C11094" s="9" t="s">
        <v>66</v>
      </c>
      <c r="D11094" s="9" t="s">
        <v>67</v>
      </c>
      <c r="E11094" s="10" t="s">
        <v>200</v>
      </c>
      <c r="F11094" s="9" t="s">
        <v>201</v>
      </c>
      <c r="G11094" s="10" t="s">
        <v>34</v>
      </c>
      <c r="H11094" s="9" t="s">
        <v>22</v>
      </c>
      <c r="I11094" s="9" t="s">
        <v>22826</v>
      </c>
      <c r="J11094" s="10" t="str">
        <f>HYPERLINK("https://www.boe.es/gazeta/dias/1834/12/11/pdfs/GMD-1834-300.pdf#page=1","Abrir facsímil")</f>
        <v>Abrir facsímil</v>
      </c>
      <c r="K11094" s="10" t="s">
        <v>24</v>
      </c>
    </row>
    <row r="11095" spans="1:11" ht="54" customHeight="1">
      <c r="A11095" s="9" t="s">
        <v>22777</v>
      </c>
      <c r="B11095" s="9" t="s">
        <v>22778</v>
      </c>
      <c r="C11095" s="9" t="s">
        <v>17</v>
      </c>
      <c r="D11095" s="9" t="s">
        <v>101</v>
      </c>
      <c r="E11095" s="10" t="s">
        <v>79</v>
      </c>
      <c r="F11095" s="9" t="s">
        <v>80</v>
      </c>
      <c r="G11095" s="10" t="s">
        <v>34</v>
      </c>
      <c r="H11095" s="9" t="s">
        <v>22</v>
      </c>
      <c r="I11095" s="9" t="s">
        <v>22827</v>
      </c>
      <c r="J11095" s="10" t="str">
        <f>HYPERLINK("https://www.boe.es/gazeta/dias/1834/07/12/pdfs/GMD-1834-145.pdf#page=1","Abrir facsímil")</f>
        <v>Abrir facsímil</v>
      </c>
      <c r="K11095" s="10" t="s">
        <v>24</v>
      </c>
    </row>
    <row r="11096" spans="1:11" ht="54" customHeight="1">
      <c r="A11096" s="9" t="s">
        <v>22777</v>
      </c>
      <c r="B11096" s="9" t="s">
        <v>22778</v>
      </c>
      <c r="C11096" s="9" t="s">
        <v>17</v>
      </c>
      <c r="D11096" s="9" t="s">
        <v>101</v>
      </c>
      <c r="E11096" s="10" t="s">
        <v>1839</v>
      </c>
      <c r="F11096" s="9" t="s">
        <v>3598</v>
      </c>
      <c r="G11096" s="10" t="s">
        <v>34</v>
      </c>
      <c r="H11096" s="9" t="s">
        <v>22</v>
      </c>
      <c r="I11096" s="9" t="s">
        <v>22828</v>
      </c>
      <c r="J11096" s="10" t="str">
        <f>HYPERLINK("https://www.boe.es/gazeta/dias/1834/08/12/pdfs/GMD-1834-177.pdf#page=1","Abrir facsímil")</f>
        <v>Abrir facsímil</v>
      </c>
      <c r="K11096" s="10" t="s">
        <v>24</v>
      </c>
    </row>
    <row r="11097" spans="1:11" ht="54" customHeight="1">
      <c r="A11097" s="9" t="s">
        <v>22777</v>
      </c>
      <c r="B11097" s="9" t="s">
        <v>22778</v>
      </c>
      <c r="C11097" s="9" t="s">
        <v>66</v>
      </c>
      <c r="D11097" s="9" t="s">
        <v>101</v>
      </c>
      <c r="E11097" s="10" t="s">
        <v>444</v>
      </c>
      <c r="F11097" s="9" t="s">
        <v>2412</v>
      </c>
      <c r="G11097" s="10" t="s">
        <v>34</v>
      </c>
      <c r="H11097" s="9" t="s">
        <v>22</v>
      </c>
      <c r="I11097" s="9" t="s">
        <v>22829</v>
      </c>
      <c r="J11097" s="10" t="str">
        <f>HYPERLINK("https://www.boe.es/gazeta/dias/1834/09/12/pdfs/GMD-1834-210.pdf#page=1","Abrir facsímil")</f>
        <v>Abrir facsímil</v>
      </c>
      <c r="K11097" s="10" t="s">
        <v>24</v>
      </c>
    </row>
    <row r="11098" spans="1:11" ht="54" customHeight="1">
      <c r="A11098" s="9" t="s">
        <v>22777</v>
      </c>
      <c r="B11098" s="9" t="s">
        <v>22778</v>
      </c>
      <c r="C11098" s="9" t="s">
        <v>66</v>
      </c>
      <c r="D11098" s="9" t="s">
        <v>18</v>
      </c>
      <c r="E11098" s="10" t="s">
        <v>642</v>
      </c>
      <c r="F11098" s="9" t="s">
        <v>1843</v>
      </c>
      <c r="G11098" s="10" t="s">
        <v>34</v>
      </c>
      <c r="H11098" s="9" t="s">
        <v>22</v>
      </c>
      <c r="I11098" s="9" t="s">
        <v>22830</v>
      </c>
      <c r="J11098" s="10" t="str">
        <f>HYPERLINK("https://www.boe.es/gazeta/dias/1834/11/12/pdfs/GMD-1834-271.pdf#page=1","Abrir facsímil")</f>
        <v>Abrir facsímil</v>
      </c>
      <c r="K11098" s="10" t="s">
        <v>24</v>
      </c>
    </row>
    <row r="11099" spans="1:11" ht="54" customHeight="1">
      <c r="A11099" s="9" t="s">
        <v>22777</v>
      </c>
      <c r="B11099" s="9" t="s">
        <v>22778</v>
      </c>
      <c r="C11099" s="9" t="s">
        <v>66</v>
      </c>
      <c r="D11099" s="9" t="s">
        <v>18</v>
      </c>
      <c r="E11099" s="10" t="s">
        <v>299</v>
      </c>
      <c r="F11099" s="9" t="s">
        <v>300</v>
      </c>
      <c r="G11099" s="10" t="s">
        <v>34</v>
      </c>
      <c r="H11099" s="9" t="s">
        <v>22</v>
      </c>
      <c r="I11099" s="9" t="s">
        <v>22831</v>
      </c>
      <c r="J11099" s="10" t="str">
        <f>HYPERLINK("https://www.boe.es/gazeta/dias/1834/12/12/pdfs/GMD-1834-301.pdf#page=1","Abrir facsímil")</f>
        <v>Abrir facsímil</v>
      </c>
      <c r="K11099" s="10" t="s">
        <v>24</v>
      </c>
    </row>
    <row r="11100" spans="1:11" ht="54" customHeight="1">
      <c r="A11100" s="9" t="s">
        <v>22777</v>
      </c>
      <c r="B11100" s="9" t="s">
        <v>22778</v>
      </c>
      <c r="C11100" s="9" t="s">
        <v>66</v>
      </c>
      <c r="D11100" s="9" t="s">
        <v>18</v>
      </c>
      <c r="E11100" s="10" t="s">
        <v>3207</v>
      </c>
      <c r="F11100" s="9" t="s">
        <v>3208</v>
      </c>
      <c r="G11100" s="10" t="s">
        <v>34</v>
      </c>
      <c r="H11100" s="9" t="s">
        <v>22</v>
      </c>
      <c r="I11100" s="9" t="s">
        <v>22832</v>
      </c>
      <c r="J11100" s="10" t="str">
        <f>HYPERLINK("https://www.boe.es/gazeta/dias/1834/10/13/pdfs/GMD-1834-241.pdf#page=1","Abrir facsímil")</f>
        <v>Abrir facsímil</v>
      </c>
      <c r="K11100" s="10" t="s">
        <v>24</v>
      </c>
    </row>
    <row r="11101" spans="1:11" ht="54" customHeight="1">
      <c r="A11101" s="9" t="s">
        <v>22777</v>
      </c>
      <c r="B11101" s="9" t="s">
        <v>22778</v>
      </c>
      <c r="C11101" s="9" t="s">
        <v>66</v>
      </c>
      <c r="D11101" s="9" t="s">
        <v>18</v>
      </c>
      <c r="E11101" s="10" t="s">
        <v>2260</v>
      </c>
      <c r="F11101" s="9" t="s">
        <v>2261</v>
      </c>
      <c r="G11101" s="10" t="s">
        <v>34</v>
      </c>
      <c r="H11101" s="9" t="s">
        <v>22</v>
      </c>
      <c r="I11101" s="9" t="s">
        <v>22833</v>
      </c>
      <c r="J11101" s="10" t="str">
        <f>HYPERLINK("https://www.boe.es/gazeta/dias/1834/11/13/pdfs/GMD-1834-272.pdf#page=1","Abrir facsímil")</f>
        <v>Abrir facsímil</v>
      </c>
      <c r="K11101" s="10" t="s">
        <v>24</v>
      </c>
    </row>
    <row r="11102" spans="1:11" ht="54" customHeight="1">
      <c r="A11102" s="9" t="s">
        <v>22777</v>
      </c>
      <c r="B11102" s="9" t="s">
        <v>22778</v>
      </c>
      <c r="C11102" s="9" t="s">
        <v>66</v>
      </c>
      <c r="D11102" s="9" t="s">
        <v>18</v>
      </c>
      <c r="E11102" s="10" t="s">
        <v>1981</v>
      </c>
      <c r="F11102" s="9" t="s">
        <v>1982</v>
      </c>
      <c r="G11102" s="10" t="s">
        <v>34</v>
      </c>
      <c r="H11102" s="9" t="s">
        <v>22</v>
      </c>
      <c r="I11102" s="9" t="s">
        <v>22834</v>
      </c>
      <c r="J11102" s="10" t="str">
        <f>HYPERLINK("https://www.boe.es/gazeta/dias/1834/12/13/pdfs/GMD-1834-302.pdf#page=1","Abrir facsímil")</f>
        <v>Abrir facsímil</v>
      </c>
      <c r="K11102" s="10" t="s">
        <v>24</v>
      </c>
    </row>
    <row r="11103" spans="1:11" ht="54" customHeight="1">
      <c r="A11103" s="9" t="s">
        <v>22777</v>
      </c>
      <c r="B11103" s="9" t="s">
        <v>22778</v>
      </c>
      <c r="C11103" s="9" t="s">
        <v>17</v>
      </c>
      <c r="D11103" s="9" t="s">
        <v>55</v>
      </c>
      <c r="E11103" s="10" t="s">
        <v>1226</v>
      </c>
      <c r="F11103" s="9" t="s">
        <v>1227</v>
      </c>
      <c r="G11103" s="10" t="s">
        <v>34</v>
      </c>
      <c r="H11103" s="9" t="s">
        <v>22</v>
      </c>
      <c r="I11103" s="9" t="s">
        <v>22835</v>
      </c>
      <c r="J11103" s="10" t="str">
        <f>HYPERLINK("https://www.boe.es/gazeta/dias/1834/07/14/pdfs/GMD-1834-147.pdf#page=1","Abrir facsímil")</f>
        <v>Abrir facsímil</v>
      </c>
      <c r="K11103" s="10" t="s">
        <v>24</v>
      </c>
    </row>
    <row r="11104" spans="1:11" ht="54" customHeight="1">
      <c r="A11104" s="9" t="s">
        <v>22777</v>
      </c>
      <c r="B11104" s="9" t="s">
        <v>22778</v>
      </c>
      <c r="C11104" s="9" t="s">
        <v>66</v>
      </c>
      <c r="D11104" s="9" t="s">
        <v>18</v>
      </c>
      <c r="E11104" s="10" t="s">
        <v>1186</v>
      </c>
      <c r="F11104" s="9" t="s">
        <v>1187</v>
      </c>
      <c r="G11104" s="10" t="s">
        <v>34</v>
      </c>
      <c r="H11104" s="9" t="s">
        <v>22</v>
      </c>
      <c r="I11104" s="9" t="s">
        <v>22836</v>
      </c>
      <c r="J11104" s="10" t="str">
        <f>HYPERLINK("https://www.boe.es/gazeta/dias/1834/08/14/pdfs/GMD-1834-179.pdf#page=1","Abrir facsímil")</f>
        <v>Abrir facsímil</v>
      </c>
      <c r="K11104" s="10" t="s">
        <v>24</v>
      </c>
    </row>
    <row r="11105" spans="1:11" ht="54" customHeight="1">
      <c r="A11105" s="9" t="s">
        <v>22777</v>
      </c>
      <c r="B11105" s="9" t="s">
        <v>22778</v>
      </c>
      <c r="C11105" s="9" t="s">
        <v>66</v>
      </c>
      <c r="D11105" s="9" t="s">
        <v>55</v>
      </c>
      <c r="E11105" s="10" t="s">
        <v>222</v>
      </c>
      <c r="F11105" s="9" t="s">
        <v>223</v>
      </c>
      <c r="G11105" s="10" t="s">
        <v>34</v>
      </c>
      <c r="H11105" s="9" t="s">
        <v>22</v>
      </c>
      <c r="I11105" s="9" t="s">
        <v>22837</v>
      </c>
      <c r="J11105" s="10" t="str">
        <f>HYPERLINK("https://www.boe.es/gazeta/dias/1834/09/14/pdfs/GMD-1834-212.pdf#page=1","Abrir facsímil")</f>
        <v>Abrir facsímil</v>
      </c>
      <c r="K11105" s="10" t="s">
        <v>24</v>
      </c>
    </row>
    <row r="11106" spans="1:11" ht="54" customHeight="1">
      <c r="A11106" s="9" t="s">
        <v>22777</v>
      </c>
      <c r="B11106" s="9" t="s">
        <v>22778</v>
      </c>
      <c r="C11106" s="9" t="s">
        <v>66</v>
      </c>
      <c r="D11106" s="9" t="s">
        <v>18</v>
      </c>
      <c r="E11106" s="10" t="s">
        <v>448</v>
      </c>
      <c r="F11106" s="9" t="s">
        <v>2058</v>
      </c>
      <c r="G11106" s="10" t="s">
        <v>34</v>
      </c>
      <c r="H11106" s="9" t="s">
        <v>22</v>
      </c>
      <c r="I11106" s="9" t="s">
        <v>22838</v>
      </c>
      <c r="J11106" s="10" t="str">
        <f>HYPERLINK("https://www.boe.es/gazeta/dias/1834/10/14/pdfs/GMD-1834-242.pdf#page=1","Abrir facsímil")</f>
        <v>Abrir facsímil</v>
      </c>
      <c r="K11106" s="10" t="s">
        <v>24</v>
      </c>
    </row>
    <row r="11107" spans="1:11" ht="54" customHeight="1">
      <c r="A11107" s="9" t="s">
        <v>22777</v>
      </c>
      <c r="B11107" s="9" t="s">
        <v>22778</v>
      </c>
      <c r="C11107" s="9" t="s">
        <v>66</v>
      </c>
      <c r="D11107" s="9" t="s">
        <v>18</v>
      </c>
      <c r="E11107" s="10" t="s">
        <v>1424</v>
      </c>
      <c r="F11107" s="9" t="s">
        <v>3445</v>
      </c>
      <c r="G11107" s="10" t="s">
        <v>34</v>
      </c>
      <c r="H11107" s="9" t="s">
        <v>22</v>
      </c>
      <c r="I11107" s="9" t="s">
        <v>22839</v>
      </c>
      <c r="J11107" s="10" t="str">
        <f>HYPERLINK("https://www.boe.es/gazeta/dias/1834/11/14/pdfs/GMD-1834-273.pdf#page=1","Abrir facsímil")</f>
        <v>Abrir facsímil</v>
      </c>
      <c r="K11107" s="10" t="s">
        <v>24</v>
      </c>
    </row>
    <row r="11108" spans="1:11" ht="54" customHeight="1">
      <c r="A11108" s="9" t="s">
        <v>22777</v>
      </c>
      <c r="B11108" s="9" t="s">
        <v>22778</v>
      </c>
      <c r="C11108" s="9" t="s">
        <v>66</v>
      </c>
      <c r="D11108" s="9" t="s">
        <v>18</v>
      </c>
      <c r="E11108" s="10" t="s">
        <v>2087</v>
      </c>
      <c r="F11108" s="9" t="s">
        <v>2088</v>
      </c>
      <c r="G11108" s="10" t="s">
        <v>34</v>
      </c>
      <c r="H11108" s="9" t="s">
        <v>22</v>
      </c>
      <c r="I11108" s="9" t="s">
        <v>22840</v>
      </c>
      <c r="J11108" s="10" t="str">
        <f>HYPERLINK("https://www.boe.es/gazeta/dias/1834/12/14/pdfs/GMD-1834-303.pdf#page=1","Abrir facsímil")</f>
        <v>Abrir facsímil</v>
      </c>
      <c r="K11108" s="10" t="s">
        <v>24</v>
      </c>
    </row>
    <row r="11109" spans="1:11" ht="54" customHeight="1">
      <c r="A11109" s="9" t="s">
        <v>22777</v>
      </c>
      <c r="B11109" s="9" t="s">
        <v>22778</v>
      </c>
      <c r="C11109" s="9" t="s">
        <v>66</v>
      </c>
      <c r="D11109" s="9" t="s">
        <v>101</v>
      </c>
      <c r="E11109" s="10" t="s">
        <v>237</v>
      </c>
      <c r="F11109" s="9" t="s">
        <v>4609</v>
      </c>
      <c r="G11109" s="10" t="s">
        <v>34</v>
      </c>
      <c r="H11109" s="9" t="s">
        <v>22</v>
      </c>
      <c r="I11109" s="9" t="s">
        <v>22841</v>
      </c>
      <c r="J11109" s="10" t="str">
        <f>HYPERLINK("https://www.boe.es/gazeta/dias/1834/08/15/pdfs/GMD-1834-180.pdf#page=1","Abrir facsímil")</f>
        <v>Abrir facsímil</v>
      </c>
      <c r="K11109" s="10" t="s">
        <v>24</v>
      </c>
    </row>
    <row r="11110" spans="1:11" ht="54" customHeight="1">
      <c r="A11110" s="9" t="s">
        <v>22777</v>
      </c>
      <c r="B11110" s="9" t="s">
        <v>22778</v>
      </c>
      <c r="C11110" s="9" t="s">
        <v>66</v>
      </c>
      <c r="D11110" s="9" t="s">
        <v>18</v>
      </c>
      <c r="E11110" s="10" t="s">
        <v>863</v>
      </c>
      <c r="F11110" s="9" t="s">
        <v>864</v>
      </c>
      <c r="G11110" s="10" t="s">
        <v>34</v>
      </c>
      <c r="H11110" s="9" t="s">
        <v>22</v>
      </c>
      <c r="I11110" s="9" t="s">
        <v>22842</v>
      </c>
      <c r="J11110" s="10" t="str">
        <f>HYPERLINK("https://www.boe.es/gazeta/dias/1834/09/15/pdfs/GMD-1834-213.pdf#page=1","Abrir facsímil")</f>
        <v>Abrir facsímil</v>
      </c>
      <c r="K11110" s="10" t="s">
        <v>24</v>
      </c>
    </row>
    <row r="11111" spans="1:11" ht="54" customHeight="1">
      <c r="A11111" s="9" t="s">
        <v>22777</v>
      </c>
      <c r="B11111" s="9" t="s">
        <v>22778</v>
      </c>
      <c r="C11111" s="9" t="s">
        <v>66</v>
      </c>
      <c r="D11111" s="9" t="s">
        <v>67</v>
      </c>
      <c r="E11111" s="10" t="s">
        <v>451</v>
      </c>
      <c r="F11111" s="9" t="s">
        <v>3350</v>
      </c>
      <c r="G11111" s="10" t="s">
        <v>34</v>
      </c>
      <c r="H11111" s="9" t="s">
        <v>22</v>
      </c>
      <c r="I11111" s="9" t="s">
        <v>22843</v>
      </c>
      <c r="J11111" s="10" t="str">
        <f>HYPERLINK("https://www.boe.es/gazeta/dias/1834/10/15/pdfs/GMD-1834-243.pdf#page=1","Abrir facsímil")</f>
        <v>Abrir facsímil</v>
      </c>
      <c r="K11111" s="10" t="s">
        <v>24</v>
      </c>
    </row>
    <row r="11112" spans="1:11" ht="54" customHeight="1">
      <c r="A11112" s="9" t="s">
        <v>22777</v>
      </c>
      <c r="B11112" s="9" t="s">
        <v>22778</v>
      </c>
      <c r="C11112" s="9" t="s">
        <v>66</v>
      </c>
      <c r="D11112" s="9" t="s">
        <v>18</v>
      </c>
      <c r="E11112" s="10" t="s">
        <v>928</v>
      </c>
      <c r="F11112" s="9" t="s">
        <v>3338</v>
      </c>
      <c r="G11112" s="10" t="s">
        <v>34</v>
      </c>
      <c r="H11112" s="9" t="s">
        <v>22</v>
      </c>
      <c r="I11112" s="9" t="s">
        <v>22844</v>
      </c>
      <c r="J11112" s="10" t="str">
        <f>HYPERLINK("https://www.boe.es/gazeta/dias/1834/11/15/pdfs/GMD-1834-274.pdf#page=1","Abrir facsímil")</f>
        <v>Abrir facsímil</v>
      </c>
      <c r="K11112" s="10" t="s">
        <v>24</v>
      </c>
    </row>
    <row r="11113" spans="1:11" ht="54" customHeight="1">
      <c r="A11113" s="9" t="s">
        <v>22777</v>
      </c>
      <c r="B11113" s="9" t="s">
        <v>22778</v>
      </c>
      <c r="C11113" s="9" t="s">
        <v>17</v>
      </c>
      <c r="D11113" s="9" t="s">
        <v>18</v>
      </c>
      <c r="E11113" s="10" t="s">
        <v>13660</v>
      </c>
      <c r="F11113" s="9" t="s">
        <v>13661</v>
      </c>
      <c r="G11113" s="10" t="s">
        <v>34</v>
      </c>
      <c r="H11113" s="9" t="s">
        <v>22</v>
      </c>
      <c r="I11113" s="9" t="s">
        <v>22845</v>
      </c>
      <c r="J11113" s="10" t="str">
        <f>HYPERLINK("https://www.boe.es/gazeta/dias/1834/12/15/pdfs/GMD-1834-304.pdf#page=1","Abrir facsímil")</f>
        <v>Abrir facsímil</v>
      </c>
      <c r="K11113" s="10" t="s">
        <v>24</v>
      </c>
    </row>
    <row r="11114" spans="1:11" ht="54" customHeight="1">
      <c r="A11114" s="9" t="s">
        <v>22777</v>
      </c>
      <c r="B11114" s="9" t="s">
        <v>22778</v>
      </c>
      <c r="C11114" s="9" t="s">
        <v>66</v>
      </c>
      <c r="D11114" s="9" t="s">
        <v>67</v>
      </c>
      <c r="E11114" s="10" t="s">
        <v>663</v>
      </c>
      <c r="F11114" s="9" t="s">
        <v>664</v>
      </c>
      <c r="G11114" s="10" t="s">
        <v>34</v>
      </c>
      <c r="H11114" s="9" t="s">
        <v>22</v>
      </c>
      <c r="I11114" s="9" t="s">
        <v>22846</v>
      </c>
      <c r="J11114" s="10" t="str">
        <f>HYPERLINK("https://www.boe.es/gazeta/dias/1834/07/16/pdfs/GMD-1834-149.pdf#page=1","Abrir facsímil")</f>
        <v>Abrir facsímil</v>
      </c>
      <c r="K11114" s="10" t="s">
        <v>24</v>
      </c>
    </row>
    <row r="11115" spans="1:11" ht="54" customHeight="1">
      <c r="A11115" s="9" t="s">
        <v>22777</v>
      </c>
      <c r="B11115" s="9" t="s">
        <v>22778</v>
      </c>
      <c r="C11115" s="9" t="s">
        <v>66</v>
      </c>
      <c r="D11115" s="9" t="s">
        <v>55</v>
      </c>
      <c r="E11115" s="10" t="s">
        <v>454</v>
      </c>
      <c r="F11115" s="9" t="s">
        <v>2009</v>
      </c>
      <c r="G11115" s="10" t="s">
        <v>34</v>
      </c>
      <c r="H11115" s="9" t="s">
        <v>22</v>
      </c>
      <c r="I11115" s="9" t="s">
        <v>22847</v>
      </c>
      <c r="J11115" s="10" t="str">
        <f>HYPERLINK("https://www.boe.es/gazeta/dias/1834/10/16/pdfs/GMD-1834-244.pdf#page=1","Abrir facsímil")</f>
        <v>Abrir facsímil</v>
      </c>
      <c r="K11115" s="10" t="s">
        <v>24</v>
      </c>
    </row>
    <row r="11116" spans="1:11" ht="54" customHeight="1">
      <c r="A11116" s="9" t="s">
        <v>22777</v>
      </c>
      <c r="B11116" s="9" t="s">
        <v>22778</v>
      </c>
      <c r="C11116" s="9" t="s">
        <v>122</v>
      </c>
      <c r="D11116" s="9" t="s">
        <v>18</v>
      </c>
      <c r="E11116" s="10" t="s">
        <v>233</v>
      </c>
      <c r="F11116" s="9" t="s">
        <v>234</v>
      </c>
      <c r="G11116" s="10" t="s">
        <v>34</v>
      </c>
      <c r="H11116" s="9" t="s">
        <v>22</v>
      </c>
      <c r="I11116" s="9" t="s">
        <v>22848</v>
      </c>
      <c r="J11116" s="10" t="str">
        <f>HYPERLINK("https://www.boe.es/gazeta/dias/1834/12/16/pdfs/GMD-1834-305.pdf#page=1","Abrir facsímil")</f>
        <v>Abrir facsímil</v>
      </c>
      <c r="K11116" s="10" t="s">
        <v>24</v>
      </c>
    </row>
    <row r="11117" spans="1:11" ht="54" customHeight="1">
      <c r="A11117" s="9" t="s">
        <v>22777</v>
      </c>
      <c r="B11117" s="9" t="s">
        <v>22778</v>
      </c>
      <c r="C11117" s="9" t="s">
        <v>857</v>
      </c>
      <c r="D11117" s="9" t="s">
        <v>18</v>
      </c>
      <c r="E11117" s="10" t="s">
        <v>19</v>
      </c>
      <c r="F11117" s="9" t="s">
        <v>107</v>
      </c>
      <c r="G11117" s="10" t="s">
        <v>34</v>
      </c>
      <c r="H11117" s="9" t="s">
        <v>22</v>
      </c>
      <c r="I11117" s="9" t="s">
        <v>22849</v>
      </c>
      <c r="J11117" s="10" t="str">
        <f>HYPERLINK("https://www.boe.es/gazeta/dias/1834/08/17/pdfs/GMD-1834-182.pdf#page=1","Abrir facsímil")</f>
        <v>Abrir facsímil</v>
      </c>
      <c r="K11117" s="10" t="s">
        <v>24</v>
      </c>
    </row>
    <row r="11118" spans="1:11" ht="54" customHeight="1">
      <c r="A11118" s="9" t="s">
        <v>22777</v>
      </c>
      <c r="B11118" s="9" t="s">
        <v>22778</v>
      </c>
      <c r="C11118" s="9" t="s">
        <v>17</v>
      </c>
      <c r="D11118" s="9" t="s">
        <v>18</v>
      </c>
      <c r="E11118" s="10" t="s">
        <v>715</v>
      </c>
      <c r="F11118" s="9" t="s">
        <v>7773</v>
      </c>
      <c r="G11118" s="10" t="s">
        <v>34</v>
      </c>
      <c r="H11118" s="9" t="s">
        <v>22</v>
      </c>
      <c r="I11118" s="9" t="s">
        <v>22850</v>
      </c>
      <c r="J11118" s="10" t="str">
        <f>HYPERLINK("https://www.boe.es/gazeta/dias/1834/09/17/pdfs/GMD-1834-215.pdf#page=1","Abrir facsímil")</f>
        <v>Abrir facsímil</v>
      </c>
      <c r="K11118" s="10" t="s">
        <v>24</v>
      </c>
    </row>
    <row r="11119" spans="1:11" ht="54" customHeight="1">
      <c r="A11119" s="9" t="s">
        <v>22777</v>
      </c>
      <c r="B11119" s="9" t="s">
        <v>22778</v>
      </c>
      <c r="C11119" s="9" t="s">
        <v>66</v>
      </c>
      <c r="D11119" s="9" t="s">
        <v>67</v>
      </c>
      <c r="E11119" s="10" t="s">
        <v>1195</v>
      </c>
      <c r="F11119" s="9" t="s">
        <v>1916</v>
      </c>
      <c r="G11119" s="10" t="s">
        <v>34</v>
      </c>
      <c r="H11119" s="9" t="s">
        <v>22</v>
      </c>
      <c r="I11119" s="9" t="s">
        <v>22851</v>
      </c>
      <c r="J11119" s="10" t="str">
        <f>HYPERLINK("https://www.boe.es/gazeta/dias/1834/10/17/pdfs/GMD-1834-245.pdf#page=1","Abrir facsímil")</f>
        <v>Abrir facsímil</v>
      </c>
      <c r="K11119" s="10" t="s">
        <v>24</v>
      </c>
    </row>
    <row r="11120" spans="1:11" ht="54" customHeight="1">
      <c r="A11120" s="9" t="s">
        <v>22777</v>
      </c>
      <c r="B11120" s="9" t="s">
        <v>22778</v>
      </c>
      <c r="C11120" s="9" t="s">
        <v>90</v>
      </c>
      <c r="D11120" s="9" t="s">
        <v>18</v>
      </c>
      <c r="E11120" s="10" t="s">
        <v>8200</v>
      </c>
      <c r="F11120" s="9" t="s">
        <v>8201</v>
      </c>
      <c r="G11120" s="10" t="s">
        <v>34</v>
      </c>
      <c r="H11120" s="9" t="s">
        <v>22</v>
      </c>
      <c r="I11120" s="9" t="s">
        <v>22852</v>
      </c>
      <c r="J11120" s="10" t="str">
        <f>HYPERLINK("https://www.boe.es/gazeta/dias/1834/11/17/pdfs/GMD-1834-276.pdf#page=1","Abrir facsímil")</f>
        <v>Abrir facsímil</v>
      </c>
      <c r="K11120" s="10" t="s">
        <v>24</v>
      </c>
    </row>
    <row r="11121" spans="1:11" ht="54" customHeight="1">
      <c r="A11121" s="9" t="s">
        <v>22777</v>
      </c>
      <c r="B11121" s="9" t="s">
        <v>22778</v>
      </c>
      <c r="C11121" s="9" t="s">
        <v>66</v>
      </c>
      <c r="D11121" s="9" t="s">
        <v>18</v>
      </c>
      <c r="E11121" s="10" t="s">
        <v>2278</v>
      </c>
      <c r="F11121" s="9" t="s">
        <v>3088</v>
      </c>
      <c r="G11121" s="10" t="s">
        <v>34</v>
      </c>
      <c r="H11121" s="9" t="s">
        <v>22</v>
      </c>
      <c r="I11121" s="9" t="s">
        <v>22853</v>
      </c>
      <c r="J11121" s="10" t="str">
        <f>HYPERLINK("https://www.boe.es/gazeta/dias/1834/12/17/pdfs/GMD-1834-306.pdf#page=1","Abrir facsímil")</f>
        <v>Abrir facsímil</v>
      </c>
      <c r="K11121" s="10" t="s">
        <v>24</v>
      </c>
    </row>
    <row r="11122" spans="1:11" ht="54" customHeight="1">
      <c r="A11122" s="9" t="s">
        <v>22777</v>
      </c>
      <c r="B11122" s="9" t="s">
        <v>22778</v>
      </c>
      <c r="C11122" s="9" t="s">
        <v>17</v>
      </c>
      <c r="D11122" s="9" t="s">
        <v>101</v>
      </c>
      <c r="E11122" s="10" t="s">
        <v>838</v>
      </c>
      <c r="F11122" s="9" t="s">
        <v>839</v>
      </c>
      <c r="G11122" s="10" t="s">
        <v>34</v>
      </c>
      <c r="H11122" s="9" t="s">
        <v>22</v>
      </c>
      <c r="I11122" s="9" t="s">
        <v>22854</v>
      </c>
      <c r="J11122" s="10" t="str">
        <f>HYPERLINK("https://www.boe.es/gazeta/dias/1834/07/18/pdfs/GMD-1834-151.pdf#page=1","Abrir facsímil")</f>
        <v>Abrir facsímil</v>
      </c>
      <c r="K11122" s="10" t="s">
        <v>24</v>
      </c>
    </row>
    <row r="11123" spans="1:11" ht="54" customHeight="1">
      <c r="A11123" s="9" t="s">
        <v>22777</v>
      </c>
      <c r="B11123" s="9" t="s">
        <v>22778</v>
      </c>
      <c r="C11123" s="9" t="s">
        <v>66</v>
      </c>
      <c r="D11123" s="9" t="s">
        <v>18</v>
      </c>
      <c r="E11123" s="10" t="s">
        <v>1459</v>
      </c>
      <c r="F11123" s="9" t="s">
        <v>1460</v>
      </c>
      <c r="G11123" s="10" t="s">
        <v>34</v>
      </c>
      <c r="H11123" s="9" t="s">
        <v>22</v>
      </c>
      <c r="I11123" s="9" t="s">
        <v>22855</v>
      </c>
      <c r="J11123" s="10" t="str">
        <f>HYPERLINK("https://www.boe.es/gazeta/dias/1834/08/18/pdfs/GMD-1834-184.pdf#page=1","Abrir facsímil")</f>
        <v>Abrir facsímil</v>
      </c>
      <c r="K11123" s="10" t="s">
        <v>24</v>
      </c>
    </row>
    <row r="11124" spans="1:11" ht="54" customHeight="1">
      <c r="A11124" s="9" t="s">
        <v>22777</v>
      </c>
      <c r="B11124" s="9" t="s">
        <v>22778</v>
      </c>
      <c r="C11124" s="9" t="s">
        <v>66</v>
      </c>
      <c r="D11124" s="9" t="s">
        <v>18</v>
      </c>
      <c r="E11124" s="10" t="s">
        <v>772</v>
      </c>
      <c r="F11124" s="9" t="s">
        <v>773</v>
      </c>
      <c r="G11124" s="10" t="s">
        <v>34</v>
      </c>
      <c r="H11124" s="9" t="s">
        <v>22</v>
      </c>
      <c r="I11124" s="9" t="s">
        <v>22856</v>
      </c>
      <c r="J11124" s="10" t="str">
        <f>HYPERLINK("https://www.boe.es/gazeta/dias/1834/09/18/pdfs/GMD-1834-216.pdf#page=1","Abrir facsímil")</f>
        <v>Abrir facsímil</v>
      </c>
      <c r="K11124" s="10" t="s">
        <v>24</v>
      </c>
    </row>
    <row r="11125" spans="1:11" ht="54" customHeight="1">
      <c r="A11125" s="9" t="s">
        <v>22777</v>
      </c>
      <c r="B11125" s="9" t="s">
        <v>22778</v>
      </c>
      <c r="C11125" s="9" t="s">
        <v>66</v>
      </c>
      <c r="D11125" s="9" t="s">
        <v>101</v>
      </c>
      <c r="E11125" s="10" t="s">
        <v>262</v>
      </c>
      <c r="F11125" s="9" t="s">
        <v>7012</v>
      </c>
      <c r="G11125" s="10" t="s">
        <v>34</v>
      </c>
      <c r="H11125" s="9" t="s">
        <v>22</v>
      </c>
      <c r="I11125" s="9" t="s">
        <v>22857</v>
      </c>
      <c r="J11125" s="10" t="str">
        <f>HYPERLINK("https://www.boe.es/gazeta/dias/1834/10/18/pdfs/GMD-1834-246.pdf#page=1","Abrir facsímil")</f>
        <v>Abrir facsímil</v>
      </c>
      <c r="K11125" s="10" t="s">
        <v>24</v>
      </c>
    </row>
    <row r="11126" spans="1:11" ht="54" customHeight="1">
      <c r="A11126" s="9" t="s">
        <v>22777</v>
      </c>
      <c r="B11126" s="9" t="s">
        <v>22778</v>
      </c>
      <c r="C11126" s="9" t="s">
        <v>66</v>
      </c>
      <c r="D11126" s="9" t="s">
        <v>18</v>
      </c>
      <c r="E11126" s="10" t="s">
        <v>3036</v>
      </c>
      <c r="F11126" s="9" t="s">
        <v>3372</v>
      </c>
      <c r="G11126" s="10" t="s">
        <v>34</v>
      </c>
      <c r="H11126" s="9" t="s">
        <v>22</v>
      </c>
      <c r="I11126" s="9" t="s">
        <v>22858</v>
      </c>
      <c r="J11126" s="10" t="str">
        <f>HYPERLINK("https://www.boe.es/gazeta/dias/1834/11/18/pdfs/GMD-1834-277.pdf#page=1","Abrir facsímil")</f>
        <v>Abrir facsímil</v>
      </c>
      <c r="K11126" s="10" t="s">
        <v>24</v>
      </c>
    </row>
    <row r="11127" spans="1:11" ht="54" customHeight="1">
      <c r="A11127" s="9" t="s">
        <v>22777</v>
      </c>
      <c r="B11127" s="9" t="s">
        <v>22778</v>
      </c>
      <c r="C11127" s="9" t="s">
        <v>66</v>
      </c>
      <c r="D11127" s="9" t="s">
        <v>18</v>
      </c>
      <c r="E11127" s="10" t="s">
        <v>615</v>
      </c>
      <c r="F11127" s="9" t="s">
        <v>616</v>
      </c>
      <c r="G11127" s="10" t="s">
        <v>34</v>
      </c>
      <c r="H11127" s="9" t="s">
        <v>22</v>
      </c>
      <c r="I11127" s="9" t="s">
        <v>22859</v>
      </c>
      <c r="J11127" s="10" t="str">
        <f>HYPERLINK("https://www.boe.es/gazeta/dias/1834/08/19/pdfs/GMD-1834-185.pdf#page=1","Abrir facsímil")</f>
        <v>Abrir facsímil</v>
      </c>
      <c r="K11127" s="10" t="s">
        <v>24</v>
      </c>
    </row>
    <row r="11128" spans="1:11" ht="54" customHeight="1">
      <c r="A11128" s="9" t="s">
        <v>22777</v>
      </c>
      <c r="B11128" s="9" t="s">
        <v>22778</v>
      </c>
      <c r="C11128" s="9" t="s">
        <v>66</v>
      </c>
      <c r="D11128" s="9" t="s">
        <v>18</v>
      </c>
      <c r="E11128" s="10" t="s">
        <v>672</v>
      </c>
      <c r="F11128" s="9" t="s">
        <v>673</v>
      </c>
      <c r="G11128" s="10" t="s">
        <v>34</v>
      </c>
      <c r="H11128" s="9" t="s">
        <v>22</v>
      </c>
      <c r="I11128" s="9" t="s">
        <v>22860</v>
      </c>
      <c r="J11128" s="10" t="str">
        <f>HYPERLINK("https://www.boe.es/gazeta/dias/1834/09/19/pdfs/GMD-1834-217.pdf#page=1","Abrir facsímil")</f>
        <v>Abrir facsímil</v>
      </c>
      <c r="K11128" s="10" t="s">
        <v>24</v>
      </c>
    </row>
    <row r="11129" spans="1:11" ht="54" customHeight="1">
      <c r="A11129" s="9" t="s">
        <v>22777</v>
      </c>
      <c r="B11129" s="9" t="s">
        <v>22778</v>
      </c>
      <c r="C11129" s="9" t="s">
        <v>66</v>
      </c>
      <c r="D11129" s="9" t="s">
        <v>18</v>
      </c>
      <c r="E11129" s="10" t="s">
        <v>265</v>
      </c>
      <c r="F11129" s="9" t="s">
        <v>969</v>
      </c>
      <c r="G11129" s="10" t="s">
        <v>34</v>
      </c>
      <c r="H11129" s="9" t="s">
        <v>22</v>
      </c>
      <c r="I11129" s="9" t="s">
        <v>22861</v>
      </c>
      <c r="J11129" s="10" t="str">
        <f>HYPERLINK("https://www.boe.es/gazeta/dias/1834/11/19/pdfs/GMD-1834-278.pdf#page=1","Abrir facsímil")</f>
        <v>Abrir facsímil</v>
      </c>
      <c r="K11129" s="10" t="s">
        <v>24</v>
      </c>
    </row>
    <row r="11130" spans="1:11" ht="54" customHeight="1">
      <c r="A11130" s="9" t="s">
        <v>22777</v>
      </c>
      <c r="B11130" s="9" t="s">
        <v>22778</v>
      </c>
      <c r="C11130" s="9" t="s">
        <v>17</v>
      </c>
      <c r="D11130" s="9" t="s">
        <v>18</v>
      </c>
      <c r="E11130" s="10" t="s">
        <v>268</v>
      </c>
      <c r="F11130" s="9" t="s">
        <v>3529</v>
      </c>
      <c r="G11130" s="10" t="s">
        <v>34</v>
      </c>
      <c r="H11130" s="9" t="s">
        <v>22</v>
      </c>
      <c r="I11130" s="9" t="s">
        <v>22862</v>
      </c>
      <c r="J11130" s="10" t="str">
        <f>HYPERLINK("https://www.boe.es/gazeta/dias/1834/12/19/pdfs/GMD-1834-309.pdf#page=1","Abrir facsímil")</f>
        <v>Abrir facsímil</v>
      </c>
      <c r="K11130" s="10" t="s">
        <v>24</v>
      </c>
    </row>
    <row r="11131" spans="1:11" ht="54" customHeight="1">
      <c r="A11131" s="9" t="s">
        <v>22777</v>
      </c>
      <c r="B11131" s="9" t="s">
        <v>22778</v>
      </c>
      <c r="C11131" s="9" t="s">
        <v>66</v>
      </c>
      <c r="D11131" s="9" t="s">
        <v>18</v>
      </c>
      <c r="E11131" s="10" t="s">
        <v>1239</v>
      </c>
      <c r="F11131" s="9" t="s">
        <v>1240</v>
      </c>
      <c r="G11131" s="10" t="s">
        <v>34</v>
      </c>
      <c r="H11131" s="9" t="s">
        <v>22</v>
      </c>
      <c r="I11131" s="9" t="s">
        <v>22863</v>
      </c>
      <c r="J11131" s="10" t="str">
        <f>HYPERLINK("https://www.boe.es/gazeta/dias/1834/08/20/pdfs/GMD-1834-186.pdf#page=1","Abrir facsímil")</f>
        <v>Abrir facsímil</v>
      </c>
      <c r="K11131" s="10" t="s">
        <v>24</v>
      </c>
    </row>
    <row r="11132" spans="1:11" ht="54" customHeight="1">
      <c r="A11132" s="9" t="s">
        <v>22777</v>
      </c>
      <c r="B11132" s="9" t="s">
        <v>22778</v>
      </c>
      <c r="C11132" s="9" t="s">
        <v>66</v>
      </c>
      <c r="D11132" s="9" t="s">
        <v>18</v>
      </c>
      <c r="E11132" s="10" t="s">
        <v>3248</v>
      </c>
      <c r="F11132" s="9" t="s">
        <v>3249</v>
      </c>
      <c r="G11132" s="10" t="s">
        <v>34</v>
      </c>
      <c r="H11132" s="9" t="s">
        <v>22</v>
      </c>
      <c r="I11132" s="9" t="s">
        <v>22864</v>
      </c>
      <c r="J11132" s="10" t="str">
        <f>HYPERLINK("https://www.boe.es/gazeta/dias/1834/09/20/pdfs/GMD-1834-218.pdf#page=1","Abrir facsímil")</f>
        <v>Abrir facsímil</v>
      </c>
      <c r="K11132" s="10" t="s">
        <v>24</v>
      </c>
    </row>
    <row r="11133" spans="1:11" ht="54" customHeight="1">
      <c r="A11133" s="9" t="s">
        <v>22777</v>
      </c>
      <c r="B11133" s="9" t="s">
        <v>22778</v>
      </c>
      <c r="C11133" s="9" t="s">
        <v>66</v>
      </c>
      <c r="D11133" s="9" t="s">
        <v>55</v>
      </c>
      <c r="E11133" s="10" t="s">
        <v>148</v>
      </c>
      <c r="F11133" s="9" t="s">
        <v>149</v>
      </c>
      <c r="G11133" s="10" t="s">
        <v>34</v>
      </c>
      <c r="H11133" s="9" t="s">
        <v>22</v>
      </c>
      <c r="I11133" s="9" t="s">
        <v>22865</v>
      </c>
      <c r="J11133" s="10" t="str">
        <f>HYPERLINK("https://www.boe.es/gazeta/dias/1834/10/20/pdfs/GMD-1834-248.pdf#page=1","Abrir facsímil")</f>
        <v>Abrir facsímil</v>
      </c>
      <c r="K11133" s="10" t="s">
        <v>24</v>
      </c>
    </row>
    <row r="11134" spans="1:11" ht="54" customHeight="1">
      <c r="A11134" s="9" t="s">
        <v>22777</v>
      </c>
      <c r="B11134" s="9" t="s">
        <v>22778</v>
      </c>
      <c r="C11134" s="9" t="s">
        <v>66</v>
      </c>
      <c r="D11134" s="9" t="s">
        <v>101</v>
      </c>
      <c r="E11134" s="10" t="s">
        <v>4169</v>
      </c>
      <c r="F11134" s="9" t="s">
        <v>4170</v>
      </c>
      <c r="G11134" s="10" t="s">
        <v>34</v>
      </c>
      <c r="H11134" s="9" t="s">
        <v>22</v>
      </c>
      <c r="I11134" s="9" t="s">
        <v>22866</v>
      </c>
      <c r="J11134" s="10" t="str">
        <f>HYPERLINK("https://www.boe.es/gazeta/dias/1834/11/20/pdfs/GMD-1834-279.pdf#page=1","Abrir facsímil")</f>
        <v>Abrir facsímil</v>
      </c>
      <c r="K11134" s="10" t="s">
        <v>24</v>
      </c>
    </row>
    <row r="11135" spans="1:11" ht="54" customHeight="1">
      <c r="A11135" s="9" t="s">
        <v>22777</v>
      </c>
      <c r="B11135" s="9" t="s">
        <v>22778</v>
      </c>
      <c r="C11135" s="9" t="s">
        <v>66</v>
      </c>
      <c r="D11135" s="9" t="s">
        <v>55</v>
      </c>
      <c r="E11135" s="10" t="s">
        <v>375</v>
      </c>
      <c r="F11135" s="9" t="s">
        <v>376</v>
      </c>
      <c r="G11135" s="10" t="s">
        <v>34</v>
      </c>
      <c r="H11135" s="9" t="s">
        <v>22</v>
      </c>
      <c r="I11135" s="9" t="s">
        <v>22867</v>
      </c>
      <c r="J11135" s="10" t="str">
        <f>HYPERLINK("https://www.boe.es/gazeta/dias/1834/08/21/pdfs/GMD-1834-187.pdf#page=1","Abrir facsímil")</f>
        <v>Abrir facsímil</v>
      </c>
      <c r="K11135" s="10" t="s">
        <v>24</v>
      </c>
    </row>
    <row r="11136" spans="1:11" ht="54" customHeight="1">
      <c r="A11136" s="9" t="s">
        <v>22777</v>
      </c>
      <c r="B11136" s="9" t="s">
        <v>22778</v>
      </c>
      <c r="C11136" s="9" t="s">
        <v>66</v>
      </c>
      <c r="D11136" s="9" t="s">
        <v>18</v>
      </c>
      <c r="E11136" s="10" t="s">
        <v>981</v>
      </c>
      <c r="F11136" s="9" t="s">
        <v>982</v>
      </c>
      <c r="G11136" s="10" t="s">
        <v>34</v>
      </c>
      <c r="H11136" s="9" t="s">
        <v>22</v>
      </c>
      <c r="I11136" s="9" t="s">
        <v>22868</v>
      </c>
      <c r="J11136" s="10" t="str">
        <f>HYPERLINK("https://www.boe.es/gazeta/dias/1834/09/21/pdfs/GMD-1834-219.pdf#page=1","Abrir facsímil")</f>
        <v>Abrir facsímil</v>
      </c>
      <c r="K11136" s="10" t="s">
        <v>24</v>
      </c>
    </row>
    <row r="11137" spans="1:11" ht="54" customHeight="1">
      <c r="A11137" s="9" t="s">
        <v>22777</v>
      </c>
      <c r="B11137" s="9" t="s">
        <v>22778</v>
      </c>
      <c r="C11137" s="9" t="s">
        <v>66</v>
      </c>
      <c r="D11137" s="9" t="s">
        <v>67</v>
      </c>
      <c r="E11137" s="10" t="s">
        <v>647</v>
      </c>
      <c r="F11137" s="9" t="s">
        <v>2176</v>
      </c>
      <c r="G11137" s="10" t="s">
        <v>34</v>
      </c>
      <c r="H11137" s="9" t="s">
        <v>22</v>
      </c>
      <c r="I11137" s="9" t="s">
        <v>22869</v>
      </c>
      <c r="J11137" s="10" t="str">
        <f>HYPERLINK("https://www.boe.es/gazeta/dias/1834/10/21/pdfs/GMD-1834-249.pdf#page=1","Abrir facsímil")</f>
        <v>Abrir facsímil</v>
      </c>
      <c r="K11137" s="10" t="s">
        <v>24</v>
      </c>
    </row>
    <row r="11138" spans="1:11" ht="54" customHeight="1">
      <c r="A11138" s="9" t="s">
        <v>22777</v>
      </c>
      <c r="B11138" s="9" t="s">
        <v>22778</v>
      </c>
      <c r="C11138" s="9" t="s">
        <v>66</v>
      </c>
      <c r="D11138" s="9" t="s">
        <v>55</v>
      </c>
      <c r="E11138" s="10" t="s">
        <v>492</v>
      </c>
      <c r="F11138" s="9" t="s">
        <v>1672</v>
      </c>
      <c r="G11138" s="10" t="s">
        <v>34</v>
      </c>
      <c r="H11138" s="9" t="s">
        <v>22</v>
      </c>
      <c r="I11138" s="9" t="s">
        <v>22870</v>
      </c>
      <c r="J11138" s="10" t="str">
        <f>HYPERLINK("https://www.boe.es/gazeta/dias/1834/11/21/pdfs/GMD-1834-280.pdf#page=1","Abrir facsímil")</f>
        <v>Abrir facsímil</v>
      </c>
      <c r="K11138" s="10" t="s">
        <v>24</v>
      </c>
    </row>
    <row r="11139" spans="1:11" ht="54" customHeight="1">
      <c r="A11139" s="9" t="s">
        <v>22777</v>
      </c>
      <c r="B11139" s="9" t="s">
        <v>22778</v>
      </c>
      <c r="C11139" s="9" t="s">
        <v>17</v>
      </c>
      <c r="D11139" s="9" t="s">
        <v>101</v>
      </c>
      <c r="E11139" s="10" t="s">
        <v>4064</v>
      </c>
      <c r="F11139" s="9" t="s">
        <v>4065</v>
      </c>
      <c r="G11139" s="10" t="s">
        <v>34</v>
      </c>
      <c r="H11139" s="9" t="s">
        <v>22</v>
      </c>
      <c r="I11139" s="9" t="s">
        <v>22871</v>
      </c>
      <c r="J11139" s="10" t="str">
        <f>HYPERLINK("https://www.boe.es/gazeta/dias/1834/07/22/pdfs/GMD-1834-155.pdf#page=1","Abrir facsímil")</f>
        <v>Abrir facsímil</v>
      </c>
      <c r="K11139" s="10" t="s">
        <v>24</v>
      </c>
    </row>
    <row r="11140" spans="1:11" ht="54" customHeight="1">
      <c r="A11140" s="9" t="s">
        <v>22777</v>
      </c>
      <c r="B11140" s="9" t="s">
        <v>22778</v>
      </c>
      <c r="C11140" s="9" t="s">
        <v>66</v>
      </c>
      <c r="D11140" s="9" t="s">
        <v>101</v>
      </c>
      <c r="E11140" s="10" t="s">
        <v>3225</v>
      </c>
      <c r="F11140" s="9" t="s">
        <v>3226</v>
      </c>
      <c r="G11140" s="10" t="s">
        <v>34</v>
      </c>
      <c r="H11140" s="9" t="s">
        <v>22</v>
      </c>
      <c r="I11140" s="9" t="s">
        <v>22872</v>
      </c>
      <c r="J11140" s="10" t="str">
        <f>HYPERLINK("https://www.boe.es/gazeta/dias/1834/08/22/pdfs/GMD-1834-188.pdf#page=1","Abrir facsímil")</f>
        <v>Abrir facsímil</v>
      </c>
      <c r="K11140" s="10" t="s">
        <v>24</v>
      </c>
    </row>
    <row r="11141" spans="1:11" ht="54" customHeight="1">
      <c r="A11141" s="9" t="s">
        <v>22777</v>
      </c>
      <c r="B11141" s="9" t="s">
        <v>22778</v>
      </c>
      <c r="C11141" s="9" t="s">
        <v>66</v>
      </c>
      <c r="D11141" s="9" t="s">
        <v>67</v>
      </c>
      <c r="E11141" s="10" t="s">
        <v>627</v>
      </c>
      <c r="F11141" s="9" t="s">
        <v>1013</v>
      </c>
      <c r="G11141" s="10" t="s">
        <v>34</v>
      </c>
      <c r="H11141" s="9" t="s">
        <v>22</v>
      </c>
      <c r="I11141" s="9" t="s">
        <v>22873</v>
      </c>
      <c r="J11141" s="10" t="str">
        <f>HYPERLINK("https://www.boe.es/gazeta/dias/1834/09/22/pdfs/GMD-1834-220.pdf#page=1","Abrir facsímil")</f>
        <v>Abrir facsímil</v>
      </c>
      <c r="K11141" s="10" t="s">
        <v>24</v>
      </c>
    </row>
    <row r="11142" spans="1:11" ht="54" customHeight="1">
      <c r="A11142" s="9" t="s">
        <v>22777</v>
      </c>
      <c r="B11142" s="9" t="s">
        <v>22778</v>
      </c>
      <c r="C11142" s="9" t="s">
        <v>66</v>
      </c>
      <c r="D11142" s="9" t="s">
        <v>18</v>
      </c>
      <c r="E11142" s="10" t="s">
        <v>2596</v>
      </c>
      <c r="F11142" s="9" t="s">
        <v>2597</v>
      </c>
      <c r="G11142" s="10" t="s">
        <v>34</v>
      </c>
      <c r="H11142" s="9" t="s">
        <v>22</v>
      </c>
      <c r="I11142" s="9" t="s">
        <v>22874</v>
      </c>
      <c r="J11142" s="10" t="str">
        <f>HYPERLINK("https://www.boe.es/gazeta/dias/1834/10/22/pdfs/GMD-1834-250.pdf#page=1","Abrir facsímil")</f>
        <v>Abrir facsímil</v>
      </c>
      <c r="K11142" s="10" t="s">
        <v>24</v>
      </c>
    </row>
    <row r="11143" spans="1:11" ht="54" customHeight="1">
      <c r="A11143" s="9" t="s">
        <v>22777</v>
      </c>
      <c r="B11143" s="9" t="s">
        <v>22778</v>
      </c>
      <c r="C11143" s="9" t="s">
        <v>66</v>
      </c>
      <c r="D11143" s="9" t="s">
        <v>18</v>
      </c>
      <c r="E11143" s="10" t="s">
        <v>702</v>
      </c>
      <c r="F11143" s="9" t="s">
        <v>2427</v>
      </c>
      <c r="G11143" s="10" t="s">
        <v>34</v>
      </c>
      <c r="H11143" s="9" t="s">
        <v>22</v>
      </c>
      <c r="I11143" s="9" t="s">
        <v>22875</v>
      </c>
      <c r="J11143" s="10" t="str">
        <f>HYPERLINK("https://www.boe.es/gazeta/dias/1834/11/22/pdfs/GMD-1834-281.pdf#page=1","Abrir facsímil")</f>
        <v>Abrir facsímil</v>
      </c>
      <c r="K11143" s="10" t="s">
        <v>24</v>
      </c>
    </row>
    <row r="11144" spans="1:11" ht="54" customHeight="1">
      <c r="A11144" s="9" t="s">
        <v>22777</v>
      </c>
      <c r="B11144" s="9" t="s">
        <v>22778</v>
      </c>
      <c r="C11144" s="9" t="s">
        <v>17</v>
      </c>
      <c r="D11144" s="9" t="s">
        <v>18</v>
      </c>
      <c r="E11144" s="10" t="s">
        <v>2888</v>
      </c>
      <c r="F11144" s="9" t="s">
        <v>2889</v>
      </c>
      <c r="G11144" s="10" t="s">
        <v>34</v>
      </c>
      <c r="H11144" s="9" t="s">
        <v>22</v>
      </c>
      <c r="I11144" s="9" t="s">
        <v>22876</v>
      </c>
      <c r="J11144" s="10" t="str">
        <f>HYPERLINK("https://www.boe.es/gazeta/dias/1834/12/22/pdfs/GMD-1834-312.pdf#page=1","Abrir facsímil")</f>
        <v>Abrir facsímil</v>
      </c>
      <c r="K11144" s="10" t="s">
        <v>24</v>
      </c>
    </row>
    <row r="11145" spans="1:11" ht="54" customHeight="1">
      <c r="A11145" s="9" t="s">
        <v>22777</v>
      </c>
      <c r="B11145" s="9" t="s">
        <v>22778</v>
      </c>
      <c r="C11145" s="9" t="s">
        <v>66</v>
      </c>
      <c r="D11145" s="9" t="s">
        <v>101</v>
      </c>
      <c r="E11145" s="10" t="s">
        <v>247</v>
      </c>
      <c r="F11145" s="9" t="s">
        <v>2805</v>
      </c>
      <c r="G11145" s="10" t="s">
        <v>34</v>
      </c>
      <c r="H11145" s="9" t="s">
        <v>22</v>
      </c>
      <c r="I11145" s="9" t="s">
        <v>22877</v>
      </c>
      <c r="J11145" s="10" t="str">
        <f>HYPERLINK("https://www.boe.es/gazeta/dias/1834/08/23/pdfs/GMD-1834-189.pdf#page=1","Abrir facsímil")</f>
        <v>Abrir facsímil</v>
      </c>
      <c r="K11145" s="10" t="s">
        <v>24</v>
      </c>
    </row>
    <row r="11146" spans="1:11" ht="54" customHeight="1">
      <c r="A11146" s="9" t="s">
        <v>22777</v>
      </c>
      <c r="B11146" s="9" t="s">
        <v>22778</v>
      </c>
      <c r="C11146" s="9" t="s">
        <v>66</v>
      </c>
      <c r="D11146" s="9" t="s">
        <v>55</v>
      </c>
      <c r="E11146" s="10" t="s">
        <v>576</v>
      </c>
      <c r="F11146" s="9" t="s">
        <v>577</v>
      </c>
      <c r="G11146" s="10" t="s">
        <v>34</v>
      </c>
      <c r="H11146" s="9" t="s">
        <v>22</v>
      </c>
      <c r="I11146" s="9" t="s">
        <v>22878</v>
      </c>
      <c r="J11146" s="10" t="str">
        <f>HYPERLINK("https://www.boe.es/gazeta/dias/1834/09/23/pdfs/GMD-1834-221.pdf#page=1","Abrir facsímil")</f>
        <v>Abrir facsímil</v>
      </c>
      <c r="K11146" s="10" t="s">
        <v>24</v>
      </c>
    </row>
    <row r="11147" spans="1:11" ht="54" customHeight="1">
      <c r="A11147" s="9" t="s">
        <v>22777</v>
      </c>
      <c r="B11147" s="9" t="s">
        <v>22778</v>
      </c>
      <c r="C11147" s="9" t="s">
        <v>66</v>
      </c>
      <c r="D11147" s="9" t="s">
        <v>18</v>
      </c>
      <c r="E11147" s="10" t="s">
        <v>667</v>
      </c>
      <c r="F11147" s="9" t="s">
        <v>3347</v>
      </c>
      <c r="G11147" s="10" t="s">
        <v>34</v>
      </c>
      <c r="H11147" s="9" t="s">
        <v>22</v>
      </c>
      <c r="I11147" s="9" t="s">
        <v>22879</v>
      </c>
      <c r="J11147" s="10" t="str">
        <f>HYPERLINK("https://www.boe.es/gazeta/dias/1834/11/23/pdfs/GMD-1834-282.pdf#page=1","Abrir facsímil")</f>
        <v>Abrir facsímil</v>
      </c>
      <c r="K11147" s="10" t="s">
        <v>24</v>
      </c>
    </row>
    <row r="11148" spans="1:11" ht="54" customHeight="1">
      <c r="A11148" s="9" t="s">
        <v>22777</v>
      </c>
      <c r="B11148" s="9" t="s">
        <v>22778</v>
      </c>
      <c r="C11148" s="9" t="s">
        <v>66</v>
      </c>
      <c r="D11148" s="9" t="s">
        <v>67</v>
      </c>
      <c r="E11148" s="10" t="s">
        <v>394</v>
      </c>
      <c r="F11148" s="9" t="s">
        <v>395</v>
      </c>
      <c r="G11148" s="10" t="s">
        <v>34</v>
      </c>
      <c r="H11148" s="9" t="s">
        <v>22</v>
      </c>
      <c r="I11148" s="9" t="s">
        <v>22880</v>
      </c>
      <c r="J11148" s="10" t="str">
        <f>HYPERLINK("https://www.boe.es/gazeta/dias/1834/12/23/pdfs/GMD-1834-313.pdf#page=1","Abrir facsímil")</f>
        <v>Abrir facsímil</v>
      </c>
      <c r="K11148" s="10" t="s">
        <v>24</v>
      </c>
    </row>
    <row r="11149" spans="1:11" ht="54" customHeight="1">
      <c r="A11149" s="9" t="s">
        <v>22777</v>
      </c>
      <c r="B11149" s="9" t="s">
        <v>22778</v>
      </c>
      <c r="C11149" s="9" t="s">
        <v>17</v>
      </c>
      <c r="D11149" s="9" t="s">
        <v>101</v>
      </c>
      <c r="E11149" s="10" t="s">
        <v>1017</v>
      </c>
      <c r="F11149" s="9" t="s">
        <v>1018</v>
      </c>
      <c r="G11149" s="10" t="s">
        <v>34</v>
      </c>
      <c r="H11149" s="9" t="s">
        <v>22</v>
      </c>
      <c r="I11149" s="9" t="s">
        <v>22881</v>
      </c>
      <c r="J11149" s="10" t="str">
        <f>HYPERLINK("https://www.boe.es/gazeta/dias/1834/07/24/pdfs/GMD-1834-157.pdf#page=1","Abrir facsímil")</f>
        <v>Abrir facsímil</v>
      </c>
      <c r="K11149" s="10" t="s">
        <v>24</v>
      </c>
    </row>
    <row r="11150" spans="1:11" ht="54" customHeight="1">
      <c r="A11150" s="9" t="s">
        <v>22777</v>
      </c>
      <c r="B11150" s="9" t="s">
        <v>22778</v>
      </c>
      <c r="C11150" s="9" t="s">
        <v>66</v>
      </c>
      <c r="D11150" s="9" t="s">
        <v>101</v>
      </c>
      <c r="E11150" s="10" t="s">
        <v>2107</v>
      </c>
      <c r="F11150" s="9" t="s">
        <v>2108</v>
      </c>
      <c r="G11150" s="10" t="s">
        <v>34</v>
      </c>
      <c r="H11150" s="9" t="s">
        <v>22</v>
      </c>
      <c r="I11150" s="9" t="s">
        <v>22882</v>
      </c>
      <c r="J11150" s="10" t="str">
        <f>HYPERLINK("https://www.boe.es/gazeta/dias/1834/08/24/pdfs/GMD-1834-190.pdf#page=1","Abrir facsímil")</f>
        <v>Abrir facsímil</v>
      </c>
      <c r="K11150" s="10" t="s">
        <v>24</v>
      </c>
    </row>
    <row r="11151" spans="1:11" ht="54" customHeight="1">
      <c r="A11151" s="9" t="s">
        <v>22777</v>
      </c>
      <c r="B11151" s="9" t="s">
        <v>22778</v>
      </c>
      <c r="C11151" s="9" t="s">
        <v>66</v>
      </c>
      <c r="D11151" s="9" t="s">
        <v>67</v>
      </c>
      <c r="E11151" s="10" t="s">
        <v>378</v>
      </c>
      <c r="F11151" s="9" t="s">
        <v>379</v>
      </c>
      <c r="G11151" s="10" t="s">
        <v>34</v>
      </c>
      <c r="H11151" s="9" t="s">
        <v>22</v>
      </c>
      <c r="I11151" s="9" t="s">
        <v>22883</v>
      </c>
      <c r="J11151" s="10" t="str">
        <f>HYPERLINK("https://www.boe.es/gazeta/dias/1834/09/24/pdfs/GMD-1834-222.pdf#page=1","Abrir facsímil")</f>
        <v>Abrir facsímil</v>
      </c>
      <c r="K11151" s="10" t="s">
        <v>24</v>
      </c>
    </row>
    <row r="11152" spans="1:11" ht="54" customHeight="1">
      <c r="A11152" s="9" t="s">
        <v>22777</v>
      </c>
      <c r="B11152" s="9" t="s">
        <v>22778</v>
      </c>
      <c r="C11152" s="9" t="s">
        <v>66</v>
      </c>
      <c r="D11152" s="9" t="s">
        <v>18</v>
      </c>
      <c r="E11152" s="10" t="s">
        <v>633</v>
      </c>
      <c r="F11152" s="9" t="s">
        <v>634</v>
      </c>
      <c r="G11152" s="10" t="s">
        <v>34</v>
      </c>
      <c r="H11152" s="9" t="s">
        <v>22</v>
      </c>
      <c r="I11152" s="9" t="s">
        <v>22884</v>
      </c>
      <c r="J11152" s="10" t="str">
        <f>HYPERLINK("https://www.boe.es/gazeta/dias/1834/10/24/pdfs/GMD-1834-252.pdf#page=1","Abrir facsímil")</f>
        <v>Abrir facsímil</v>
      </c>
      <c r="K11152" s="10" t="s">
        <v>24</v>
      </c>
    </row>
    <row r="11153" spans="1:11" ht="54" customHeight="1">
      <c r="A11153" s="9" t="s">
        <v>22777</v>
      </c>
      <c r="B11153" s="9" t="s">
        <v>22778</v>
      </c>
      <c r="C11153" s="9" t="s">
        <v>66</v>
      </c>
      <c r="D11153" s="9" t="s">
        <v>101</v>
      </c>
      <c r="E11153" s="10" t="s">
        <v>1575</v>
      </c>
      <c r="F11153" s="9" t="s">
        <v>1576</v>
      </c>
      <c r="G11153" s="10" t="s">
        <v>34</v>
      </c>
      <c r="H11153" s="9" t="s">
        <v>22</v>
      </c>
      <c r="I11153" s="9" t="s">
        <v>22885</v>
      </c>
      <c r="J11153" s="10" t="str">
        <f>HYPERLINK("https://www.boe.es/gazeta/dias/1834/11/24/pdfs/GMD-1834-283.pdf#page=1","Abrir facsímil")</f>
        <v>Abrir facsímil</v>
      </c>
      <c r="K11153" s="10" t="s">
        <v>24</v>
      </c>
    </row>
    <row r="11154" spans="1:11" ht="54" customHeight="1">
      <c r="A11154" s="9" t="s">
        <v>22777</v>
      </c>
      <c r="B11154" s="9" t="s">
        <v>22778</v>
      </c>
      <c r="C11154" s="9" t="s">
        <v>17</v>
      </c>
      <c r="D11154" s="9" t="s">
        <v>18</v>
      </c>
      <c r="E11154" s="10" t="s">
        <v>128</v>
      </c>
      <c r="F11154" s="9" t="s">
        <v>1068</v>
      </c>
      <c r="G11154" s="10" t="s">
        <v>34</v>
      </c>
      <c r="H11154" s="9" t="s">
        <v>22</v>
      </c>
      <c r="I11154" s="9" t="s">
        <v>22886</v>
      </c>
      <c r="J11154" s="10" t="str">
        <f>HYPERLINK("https://www.boe.es/gazeta/dias/1834/12/24/pdfs/GMD-1834-314.pdf#page=1","Abrir facsímil")</f>
        <v>Abrir facsímil</v>
      </c>
      <c r="K11154" s="10" t="s">
        <v>24</v>
      </c>
    </row>
    <row r="11155" spans="1:11" ht="54" customHeight="1">
      <c r="A11155" s="9" t="s">
        <v>22777</v>
      </c>
      <c r="B11155" s="9" t="s">
        <v>22778</v>
      </c>
      <c r="C11155" s="9" t="s">
        <v>66</v>
      </c>
      <c r="D11155" s="9" t="s">
        <v>67</v>
      </c>
      <c r="E11155" s="10" t="s">
        <v>1307</v>
      </c>
      <c r="F11155" s="9" t="s">
        <v>1308</v>
      </c>
      <c r="G11155" s="10" t="s">
        <v>34</v>
      </c>
      <c r="H11155" s="9" t="s">
        <v>22</v>
      </c>
      <c r="I11155" s="9" t="s">
        <v>22887</v>
      </c>
      <c r="J11155" s="10" t="str">
        <f>HYPERLINK("https://www.boe.es/gazeta/dias/1834/08/25/pdfs/GMD-1834-191.pdf#page=1","Abrir facsímil")</f>
        <v>Abrir facsímil</v>
      </c>
      <c r="K11155" s="10" t="s">
        <v>24</v>
      </c>
    </row>
    <row r="11156" spans="1:11" ht="54" customHeight="1">
      <c r="A11156" s="9" t="s">
        <v>22777</v>
      </c>
      <c r="B11156" s="9" t="s">
        <v>22778</v>
      </c>
      <c r="C11156" s="9" t="s">
        <v>66</v>
      </c>
      <c r="D11156" s="9" t="s">
        <v>18</v>
      </c>
      <c r="E11156" s="10" t="s">
        <v>389</v>
      </c>
      <c r="F11156" s="9" t="s">
        <v>390</v>
      </c>
      <c r="G11156" s="10" t="s">
        <v>34</v>
      </c>
      <c r="H11156" s="9" t="s">
        <v>22</v>
      </c>
      <c r="I11156" s="9" t="s">
        <v>22888</v>
      </c>
      <c r="J11156" s="10" t="str">
        <f>HYPERLINK("https://www.boe.es/gazeta/dias/1834/10/25/pdfs/GMD-1834-253.pdf#page=1","Abrir facsímil")</f>
        <v>Abrir facsímil</v>
      </c>
      <c r="K11156" s="10" t="s">
        <v>24</v>
      </c>
    </row>
    <row r="11157" spans="1:11" ht="54" customHeight="1">
      <c r="A11157" s="9" t="s">
        <v>22777</v>
      </c>
      <c r="B11157" s="9" t="s">
        <v>22778</v>
      </c>
      <c r="C11157" s="9" t="s">
        <v>66</v>
      </c>
      <c r="D11157" s="9" t="s">
        <v>55</v>
      </c>
      <c r="E11157" s="10" t="s">
        <v>707</v>
      </c>
      <c r="F11157" s="9" t="s">
        <v>1359</v>
      </c>
      <c r="G11157" s="10" t="s">
        <v>34</v>
      </c>
      <c r="H11157" s="9" t="s">
        <v>22</v>
      </c>
      <c r="I11157" s="9" t="s">
        <v>22889</v>
      </c>
      <c r="J11157" s="10" t="str">
        <f>HYPERLINK("https://www.boe.es/gazeta/dias/1834/11/25/pdfs/GMD-1834-284.pdf#page=1","Abrir facsímil")</f>
        <v>Abrir facsímil</v>
      </c>
      <c r="K11157" s="10" t="s">
        <v>24</v>
      </c>
    </row>
    <row r="11158" spans="1:11" ht="54" customHeight="1">
      <c r="A11158" s="9" t="s">
        <v>22777</v>
      </c>
      <c r="B11158" s="9" t="s">
        <v>22778</v>
      </c>
      <c r="C11158" s="9" t="s">
        <v>66</v>
      </c>
      <c r="D11158" s="9" t="s">
        <v>101</v>
      </c>
      <c r="E11158" s="10" t="s">
        <v>524</v>
      </c>
      <c r="F11158" s="9" t="s">
        <v>4743</v>
      </c>
      <c r="G11158" s="10" t="s">
        <v>34</v>
      </c>
      <c r="H11158" s="9" t="s">
        <v>22</v>
      </c>
      <c r="I11158" s="9" t="s">
        <v>22890</v>
      </c>
      <c r="J11158" s="10" t="str">
        <f>HYPERLINK("https://www.boe.es/gazeta/dias/1834/12/25/pdfs/GMD-1834-315.pdf#page=1","Abrir facsímil")</f>
        <v>Abrir facsímil</v>
      </c>
      <c r="K11158" s="10" t="s">
        <v>24</v>
      </c>
    </row>
    <row r="11159" spans="1:11" ht="54" customHeight="1">
      <c r="A11159" s="9" t="s">
        <v>22777</v>
      </c>
      <c r="B11159" s="9" t="s">
        <v>22778</v>
      </c>
      <c r="C11159" s="9" t="s">
        <v>66</v>
      </c>
      <c r="D11159" s="9" t="s">
        <v>40</v>
      </c>
      <c r="E11159" s="10" t="s">
        <v>1135</v>
      </c>
      <c r="F11159" s="9" t="s">
        <v>1136</v>
      </c>
      <c r="G11159" s="10" t="s">
        <v>34</v>
      </c>
      <c r="H11159" s="9" t="s">
        <v>22</v>
      </c>
      <c r="I11159" s="9" t="s">
        <v>22891</v>
      </c>
      <c r="J11159" s="10" t="str">
        <f>HYPERLINK("https://www.boe.es/gazeta/dias/1834/08/26/pdfs/GMD-1834-192.pdf#page=1","Abrir facsímil")</f>
        <v>Abrir facsímil</v>
      </c>
      <c r="K11159" s="10" t="s">
        <v>24</v>
      </c>
    </row>
    <row r="11160" spans="1:11" ht="54" customHeight="1">
      <c r="A11160" s="9" t="s">
        <v>22777</v>
      </c>
      <c r="B11160" s="9" t="s">
        <v>22778</v>
      </c>
      <c r="C11160" s="9" t="s">
        <v>66</v>
      </c>
      <c r="D11160" s="9" t="s">
        <v>18</v>
      </c>
      <c r="E11160" s="10" t="s">
        <v>1766</v>
      </c>
      <c r="F11160" s="9" t="s">
        <v>5600</v>
      </c>
      <c r="G11160" s="10" t="s">
        <v>34</v>
      </c>
      <c r="H11160" s="9" t="s">
        <v>22</v>
      </c>
      <c r="I11160" s="9" t="s">
        <v>22892</v>
      </c>
      <c r="J11160" s="10" t="str">
        <f>HYPERLINK("https://www.boe.es/gazeta/dias/1834/10/26/pdfs/GMD-1834-254.pdf#page=1","Abrir facsímil")</f>
        <v>Abrir facsímil</v>
      </c>
      <c r="K11160" s="10" t="s">
        <v>24</v>
      </c>
    </row>
    <row r="11161" spans="1:11" ht="54" customHeight="1">
      <c r="A11161" s="9" t="s">
        <v>22777</v>
      </c>
      <c r="B11161" s="9" t="s">
        <v>22778</v>
      </c>
      <c r="C11161" s="9" t="s">
        <v>66</v>
      </c>
      <c r="D11161" s="9" t="s">
        <v>18</v>
      </c>
      <c r="E11161" s="10" t="s">
        <v>510</v>
      </c>
      <c r="F11161" s="9" t="s">
        <v>511</v>
      </c>
      <c r="G11161" s="10" t="s">
        <v>34</v>
      </c>
      <c r="H11161" s="9" t="s">
        <v>22</v>
      </c>
      <c r="I11161" s="9" t="s">
        <v>22893</v>
      </c>
      <c r="J11161" s="10" t="str">
        <f>HYPERLINK("https://www.boe.es/gazeta/dias/1834/11/26/pdfs/GMD-1834-285.pdf#page=1","Abrir facsímil")</f>
        <v>Abrir facsímil</v>
      </c>
      <c r="K11161" s="10" t="s">
        <v>24</v>
      </c>
    </row>
    <row r="11162" spans="1:11" ht="54" customHeight="1">
      <c r="A11162" s="9" t="s">
        <v>22777</v>
      </c>
      <c r="B11162" s="9" t="s">
        <v>22778</v>
      </c>
      <c r="C11162" s="9" t="s">
        <v>66</v>
      </c>
      <c r="D11162" s="9" t="s">
        <v>101</v>
      </c>
      <c r="E11162" s="10" t="s">
        <v>462</v>
      </c>
      <c r="F11162" s="9" t="s">
        <v>2110</v>
      </c>
      <c r="G11162" s="10" t="s">
        <v>34</v>
      </c>
      <c r="H11162" s="9" t="s">
        <v>22</v>
      </c>
      <c r="I11162" s="9" t="s">
        <v>22894</v>
      </c>
      <c r="J11162" s="10" t="str">
        <f>HYPERLINK("https://www.boe.es/gazeta/dias/1834/08/27/pdfs/GMD-1834-193.pdf#page=1","Abrir facsímil")</f>
        <v>Abrir facsímil</v>
      </c>
      <c r="K11162" s="10" t="s">
        <v>24</v>
      </c>
    </row>
    <row r="11163" spans="1:11" ht="54" customHeight="1">
      <c r="A11163" s="9" t="s">
        <v>22777</v>
      </c>
      <c r="B11163" s="9" t="s">
        <v>22778</v>
      </c>
      <c r="C11163" s="9" t="s">
        <v>66</v>
      </c>
      <c r="D11163" s="9" t="s">
        <v>67</v>
      </c>
      <c r="E11163" s="10" t="s">
        <v>294</v>
      </c>
      <c r="F11163" s="9" t="s">
        <v>295</v>
      </c>
      <c r="G11163" s="10" t="s">
        <v>34</v>
      </c>
      <c r="H11163" s="9" t="s">
        <v>22</v>
      </c>
      <c r="I11163" s="9" t="s">
        <v>22895</v>
      </c>
      <c r="J11163" s="10" t="str">
        <f>HYPERLINK("https://www.boe.es/gazeta/dias/1834/09/27/pdfs/GMD-1834-225.pdf#page=1","Abrir facsímil")</f>
        <v>Abrir facsímil</v>
      </c>
      <c r="K11163" s="10" t="s">
        <v>24</v>
      </c>
    </row>
    <row r="11164" spans="1:11" ht="54" customHeight="1">
      <c r="A11164" s="9" t="s">
        <v>22777</v>
      </c>
      <c r="B11164" s="9" t="s">
        <v>22778</v>
      </c>
      <c r="C11164" s="9" t="s">
        <v>66</v>
      </c>
      <c r="D11164" s="9" t="s">
        <v>18</v>
      </c>
      <c r="E11164" s="10" t="s">
        <v>1281</v>
      </c>
      <c r="F11164" s="9" t="s">
        <v>1282</v>
      </c>
      <c r="G11164" s="10" t="s">
        <v>34</v>
      </c>
      <c r="H11164" s="9" t="s">
        <v>22</v>
      </c>
      <c r="I11164" s="9" t="s">
        <v>22896</v>
      </c>
      <c r="J11164" s="10" t="str">
        <f>HYPERLINK("https://www.boe.es/gazeta/dias/1834/10/27/pdfs/GMD-1834-255.pdf#page=1","Abrir facsímil")</f>
        <v>Abrir facsímil</v>
      </c>
      <c r="K11164" s="10" t="s">
        <v>24</v>
      </c>
    </row>
    <row r="11165" spans="1:11" ht="54" customHeight="1">
      <c r="A11165" s="9" t="s">
        <v>22777</v>
      </c>
      <c r="B11165" s="9" t="s">
        <v>22778</v>
      </c>
      <c r="C11165" s="9" t="s">
        <v>66</v>
      </c>
      <c r="D11165" s="9" t="s">
        <v>55</v>
      </c>
      <c r="E11165" s="10" t="s">
        <v>465</v>
      </c>
      <c r="F11165" s="9" t="s">
        <v>1361</v>
      </c>
      <c r="G11165" s="10" t="s">
        <v>34</v>
      </c>
      <c r="H11165" s="9" t="s">
        <v>22</v>
      </c>
      <c r="I11165" s="9" t="s">
        <v>22897</v>
      </c>
      <c r="J11165" s="10" t="str">
        <f>HYPERLINK("https://www.boe.es/gazeta/dias/1834/11/27/pdfs/GMD-1834-286.pdf#page=1","Abrir facsímil")</f>
        <v>Abrir facsímil</v>
      </c>
      <c r="K11165" s="10" t="s">
        <v>24</v>
      </c>
    </row>
    <row r="11166" spans="1:11" ht="54" customHeight="1">
      <c r="A11166" s="9" t="s">
        <v>22777</v>
      </c>
      <c r="B11166" s="9" t="s">
        <v>22778</v>
      </c>
      <c r="C11166" s="9" t="s">
        <v>857</v>
      </c>
      <c r="D11166" s="9" t="s">
        <v>18</v>
      </c>
      <c r="E11166" s="10" t="s">
        <v>2142</v>
      </c>
      <c r="F11166" s="9" t="s">
        <v>2143</v>
      </c>
      <c r="G11166" s="10" t="s">
        <v>34</v>
      </c>
      <c r="H11166" s="9" t="s">
        <v>22</v>
      </c>
      <c r="I11166" s="9" t="s">
        <v>22898</v>
      </c>
      <c r="J11166" s="10" t="str">
        <f>HYPERLINK("https://www.boe.es/gazeta/dias/1834/12/27/pdfs/GMD-1834-317.pdf#page=1","Abrir facsímil")</f>
        <v>Abrir facsímil</v>
      </c>
      <c r="K11166" s="10" t="s">
        <v>24</v>
      </c>
    </row>
    <row r="11167" spans="1:11" ht="54" customHeight="1">
      <c r="A11167" s="9" t="s">
        <v>22777</v>
      </c>
      <c r="B11167" s="9" t="s">
        <v>22778</v>
      </c>
      <c r="C11167" s="9" t="s">
        <v>17</v>
      </c>
      <c r="D11167" s="9" t="s">
        <v>18</v>
      </c>
      <c r="E11167" s="10" t="s">
        <v>1689</v>
      </c>
      <c r="F11167" s="9" t="s">
        <v>1690</v>
      </c>
      <c r="G11167" s="10" t="s">
        <v>34</v>
      </c>
      <c r="H11167" s="9" t="s">
        <v>22</v>
      </c>
      <c r="I11167" s="9" t="s">
        <v>22899</v>
      </c>
      <c r="J11167" s="10" t="str">
        <f>HYPERLINK("https://www.boe.es/gazeta/dias/1834/07/28/pdfs/GMD-1834-161.pdf#page=1","Abrir facsímil")</f>
        <v>Abrir facsímil</v>
      </c>
      <c r="K11167" s="10" t="s">
        <v>24</v>
      </c>
    </row>
    <row r="11168" spans="1:11" ht="54" customHeight="1">
      <c r="A11168" s="9" t="s">
        <v>22777</v>
      </c>
      <c r="B11168" s="9" t="s">
        <v>22778</v>
      </c>
      <c r="C11168" s="9" t="s">
        <v>66</v>
      </c>
      <c r="D11168" s="9" t="s">
        <v>18</v>
      </c>
      <c r="E11168" s="10" t="s">
        <v>8010</v>
      </c>
      <c r="F11168" s="9" t="s">
        <v>8011</v>
      </c>
      <c r="G11168" s="10" t="s">
        <v>34</v>
      </c>
      <c r="H11168" s="9" t="s">
        <v>22</v>
      </c>
      <c r="I11168" s="9" t="s">
        <v>22900</v>
      </c>
      <c r="J11168" s="10" t="str">
        <f>HYPERLINK("https://www.boe.es/gazeta/dias/1834/08/28/pdfs/GMD-1834-194.pdf#page=1","Abrir facsímil")</f>
        <v>Abrir facsímil</v>
      </c>
      <c r="K11168" s="10" t="s">
        <v>24</v>
      </c>
    </row>
    <row r="11169" spans="1:11" ht="54" customHeight="1">
      <c r="A11169" s="9" t="s">
        <v>22777</v>
      </c>
      <c r="B11169" s="9" t="s">
        <v>22778</v>
      </c>
      <c r="C11169" s="9" t="s">
        <v>66</v>
      </c>
      <c r="D11169" s="9" t="s">
        <v>18</v>
      </c>
      <c r="E11169" s="10" t="s">
        <v>1641</v>
      </c>
      <c r="F11169" s="9" t="s">
        <v>1729</v>
      </c>
      <c r="G11169" s="10" t="s">
        <v>34</v>
      </c>
      <c r="H11169" s="9" t="s">
        <v>22</v>
      </c>
      <c r="I11169" s="9" t="s">
        <v>22901</v>
      </c>
      <c r="J11169" s="10" t="str">
        <f>HYPERLINK("https://www.boe.es/gazeta/dias/1834/09/28/pdfs/GMD-1834-226.pdf#page=1","Abrir facsímil")</f>
        <v>Abrir facsímil</v>
      </c>
      <c r="K11169" s="10" t="s">
        <v>24</v>
      </c>
    </row>
    <row r="11170" spans="1:11" ht="54" customHeight="1">
      <c r="A11170" s="9" t="s">
        <v>22777</v>
      </c>
      <c r="B11170" s="9" t="s">
        <v>22778</v>
      </c>
      <c r="C11170" s="9" t="s">
        <v>66</v>
      </c>
      <c r="D11170" s="9" t="s">
        <v>18</v>
      </c>
      <c r="E11170" s="10" t="s">
        <v>179</v>
      </c>
      <c r="F11170" s="9" t="s">
        <v>180</v>
      </c>
      <c r="G11170" s="10" t="s">
        <v>34</v>
      </c>
      <c r="H11170" s="9" t="s">
        <v>22</v>
      </c>
      <c r="I11170" s="9" t="s">
        <v>22902</v>
      </c>
      <c r="J11170" s="10" t="str">
        <f>HYPERLINK("https://www.boe.es/gazeta/dias/1834/10/28/pdfs/GMD-1834-256.pdf#page=1","Abrir facsímil")</f>
        <v>Abrir facsímil</v>
      </c>
      <c r="K11170" s="10" t="s">
        <v>24</v>
      </c>
    </row>
    <row r="11171" spans="1:11" ht="54" customHeight="1">
      <c r="A11171" s="9" t="s">
        <v>22777</v>
      </c>
      <c r="B11171" s="9" t="s">
        <v>22778</v>
      </c>
      <c r="C11171" s="9" t="s">
        <v>66</v>
      </c>
      <c r="D11171" s="9" t="s">
        <v>55</v>
      </c>
      <c r="E11171" s="10" t="s">
        <v>1284</v>
      </c>
      <c r="F11171" s="9" t="s">
        <v>1285</v>
      </c>
      <c r="G11171" s="10" t="s">
        <v>34</v>
      </c>
      <c r="H11171" s="9" t="s">
        <v>22</v>
      </c>
      <c r="I11171" s="9" t="s">
        <v>22903</v>
      </c>
      <c r="J11171" s="10" t="str">
        <f>HYPERLINK("https://www.boe.es/gazeta/dias/1834/11/28/pdfs/GMD-1834-287.pdf#page=1","Abrir facsímil")</f>
        <v>Abrir facsímil</v>
      </c>
      <c r="K11171" s="10" t="s">
        <v>24</v>
      </c>
    </row>
    <row r="11172" spans="1:11" ht="54" customHeight="1">
      <c r="A11172" s="9" t="s">
        <v>22777</v>
      </c>
      <c r="B11172" s="9" t="s">
        <v>22778</v>
      </c>
      <c r="C11172" s="9" t="s">
        <v>46</v>
      </c>
      <c r="D11172" s="9" t="s">
        <v>18</v>
      </c>
      <c r="E11172" s="10" t="s">
        <v>468</v>
      </c>
      <c r="F11172" s="9" t="s">
        <v>11413</v>
      </c>
      <c r="G11172" s="10" t="s">
        <v>34</v>
      </c>
      <c r="H11172" s="9" t="s">
        <v>22</v>
      </c>
      <c r="I11172" s="9" t="s">
        <v>22904</v>
      </c>
      <c r="J11172" s="10" t="str">
        <f>HYPERLINK("https://www.boe.es/gazeta/dias/1834/12/28/pdfs/GMD-1834-318.pdf#page=1","Abrir facsímil")</f>
        <v>Abrir facsímil</v>
      </c>
      <c r="K11172" s="10" t="s">
        <v>24</v>
      </c>
    </row>
    <row r="11173" spans="1:11" ht="54" customHeight="1">
      <c r="A11173" s="9" t="s">
        <v>22777</v>
      </c>
      <c r="B11173" s="9" t="s">
        <v>22778</v>
      </c>
      <c r="C11173" s="9" t="s">
        <v>90</v>
      </c>
      <c r="D11173" s="9" t="s">
        <v>18</v>
      </c>
      <c r="E11173" s="10" t="s">
        <v>1692</v>
      </c>
      <c r="F11173" s="9" t="s">
        <v>1693</v>
      </c>
      <c r="G11173" s="10" t="s">
        <v>34</v>
      </c>
      <c r="H11173" s="9" t="s">
        <v>22</v>
      </c>
      <c r="I11173" s="9" t="s">
        <v>22905</v>
      </c>
      <c r="J11173" s="10" t="str">
        <f>HYPERLINK("https://www.boe.es/gazeta/dias/1834/07/29/pdfs/GMD-1834-162.pdf#page=1","Abrir facsímil")</f>
        <v>Abrir facsímil</v>
      </c>
      <c r="K11173" s="10" t="s">
        <v>24</v>
      </c>
    </row>
    <row r="11174" spans="1:11" ht="54" customHeight="1">
      <c r="A11174" s="9" t="s">
        <v>22777</v>
      </c>
      <c r="B11174" s="9" t="s">
        <v>22778</v>
      </c>
      <c r="C11174" s="9" t="s">
        <v>66</v>
      </c>
      <c r="D11174" s="9" t="s">
        <v>18</v>
      </c>
      <c r="E11174" s="10" t="s">
        <v>280</v>
      </c>
      <c r="F11174" s="9" t="s">
        <v>3217</v>
      </c>
      <c r="G11174" s="10" t="s">
        <v>34</v>
      </c>
      <c r="H11174" s="9" t="s">
        <v>22</v>
      </c>
      <c r="I11174" s="9" t="s">
        <v>22906</v>
      </c>
      <c r="J11174" s="10" t="str">
        <f>HYPERLINK("https://www.boe.es/gazeta/dias/1834/08/29/pdfs/GMD-1834-195.pdf#page=1","Abrir facsímil")</f>
        <v>Abrir facsímil</v>
      </c>
      <c r="K11174" s="10" t="s">
        <v>24</v>
      </c>
    </row>
    <row r="11175" spans="1:11" ht="54" customHeight="1">
      <c r="A11175" s="9" t="s">
        <v>22777</v>
      </c>
      <c r="B11175" s="9" t="s">
        <v>22778</v>
      </c>
      <c r="C11175" s="9" t="s">
        <v>66</v>
      </c>
      <c r="D11175" s="9" t="s">
        <v>18</v>
      </c>
      <c r="E11175" s="10" t="s">
        <v>5904</v>
      </c>
      <c r="F11175" s="9" t="s">
        <v>5905</v>
      </c>
      <c r="G11175" s="10" t="s">
        <v>34</v>
      </c>
      <c r="H11175" s="9" t="s">
        <v>22</v>
      </c>
      <c r="I11175" s="9" t="s">
        <v>22907</v>
      </c>
      <c r="J11175" s="10" t="str">
        <f>HYPERLINK("https://www.boe.es/gazeta/dias/1834/09/29/pdfs/GMD-1834-227.pdf#page=1","Abrir facsímil")</f>
        <v>Abrir facsímil</v>
      </c>
      <c r="K11175" s="10" t="s">
        <v>24</v>
      </c>
    </row>
    <row r="11176" spans="1:11" ht="54" customHeight="1">
      <c r="A11176" s="9" t="s">
        <v>22777</v>
      </c>
      <c r="B11176" s="9" t="s">
        <v>22778</v>
      </c>
      <c r="C11176" s="9" t="s">
        <v>66</v>
      </c>
      <c r="D11176" s="9" t="s">
        <v>18</v>
      </c>
      <c r="E11176" s="10" t="s">
        <v>777</v>
      </c>
      <c r="F11176" s="9" t="s">
        <v>778</v>
      </c>
      <c r="G11176" s="10" t="s">
        <v>34</v>
      </c>
      <c r="H11176" s="9" t="s">
        <v>22</v>
      </c>
      <c r="I11176" s="9" t="s">
        <v>22908</v>
      </c>
      <c r="J11176" s="10" t="str">
        <f>HYPERLINK("https://www.boe.es/gazeta/dias/1834/10/29/pdfs/GMD-1834-257.pdf#page=1","Abrir facsímil")</f>
        <v>Abrir facsímil</v>
      </c>
      <c r="K11176" s="10" t="s">
        <v>24</v>
      </c>
    </row>
    <row r="11177" spans="1:11" ht="54" customHeight="1">
      <c r="A11177" s="9" t="s">
        <v>22777</v>
      </c>
      <c r="B11177" s="9" t="s">
        <v>22778</v>
      </c>
      <c r="C11177" s="9" t="s">
        <v>66</v>
      </c>
      <c r="D11177" s="9" t="s">
        <v>55</v>
      </c>
      <c r="E11177" s="10" t="s">
        <v>283</v>
      </c>
      <c r="F11177" s="9" t="s">
        <v>2969</v>
      </c>
      <c r="G11177" s="10" t="s">
        <v>34</v>
      </c>
      <c r="H11177" s="9" t="s">
        <v>22</v>
      </c>
      <c r="I11177" s="9" t="s">
        <v>22909</v>
      </c>
      <c r="J11177" s="10" t="str">
        <f>HYPERLINK("https://www.boe.es/gazeta/dias/1834/11/29/pdfs/GMD-1834-288.pdf#page=1","Abrir facsímil")</f>
        <v>Abrir facsímil</v>
      </c>
      <c r="K11177" s="10" t="s">
        <v>24</v>
      </c>
    </row>
    <row r="11178" spans="1:11" ht="54" customHeight="1">
      <c r="A11178" s="9" t="s">
        <v>22777</v>
      </c>
      <c r="B11178" s="9" t="s">
        <v>22778</v>
      </c>
      <c r="C11178" s="9" t="s">
        <v>66</v>
      </c>
      <c r="D11178" s="9" t="s">
        <v>101</v>
      </c>
      <c r="E11178" s="10" t="s">
        <v>552</v>
      </c>
      <c r="F11178" s="9" t="s">
        <v>553</v>
      </c>
      <c r="G11178" s="10" t="s">
        <v>34</v>
      </c>
      <c r="H11178" s="9" t="s">
        <v>22</v>
      </c>
      <c r="I11178" s="9" t="s">
        <v>22910</v>
      </c>
      <c r="J11178" s="10" t="str">
        <f>HYPERLINK("https://www.boe.es/gazeta/dias/1834/07/30/pdfs/GMD-1834-163.pdf#page=1","Abrir facsímil")</f>
        <v>Abrir facsímil</v>
      </c>
      <c r="K11178" s="10" t="s">
        <v>24</v>
      </c>
    </row>
    <row r="11179" spans="1:11" ht="54" customHeight="1">
      <c r="A11179" s="9" t="s">
        <v>22777</v>
      </c>
      <c r="B11179" s="9" t="s">
        <v>22778</v>
      </c>
      <c r="C11179" s="9" t="s">
        <v>66</v>
      </c>
      <c r="D11179" s="9" t="s">
        <v>18</v>
      </c>
      <c r="E11179" s="10" t="s">
        <v>187</v>
      </c>
      <c r="F11179" s="9" t="s">
        <v>188</v>
      </c>
      <c r="G11179" s="10" t="s">
        <v>34</v>
      </c>
      <c r="H11179" s="9" t="s">
        <v>22</v>
      </c>
      <c r="I11179" s="9" t="s">
        <v>22911</v>
      </c>
      <c r="J11179" s="10" t="str">
        <f>HYPERLINK("https://www.boe.es/gazeta/dias/1834/09/30/pdfs/GMD-1834-228.pdf#page=1","Abrir facsímil")</f>
        <v>Abrir facsímil</v>
      </c>
      <c r="K11179" s="10" t="s">
        <v>24</v>
      </c>
    </row>
    <row r="11180" spans="1:11" ht="54" customHeight="1">
      <c r="A11180" s="9" t="s">
        <v>22777</v>
      </c>
      <c r="B11180" s="9" t="s">
        <v>22778</v>
      </c>
      <c r="C11180" s="9" t="s">
        <v>66</v>
      </c>
      <c r="D11180" s="9" t="s">
        <v>55</v>
      </c>
      <c r="E11180" s="10" t="s">
        <v>3083</v>
      </c>
      <c r="F11180" s="9" t="s">
        <v>3084</v>
      </c>
      <c r="G11180" s="10" t="s">
        <v>34</v>
      </c>
      <c r="H11180" s="9" t="s">
        <v>22</v>
      </c>
      <c r="I11180" s="9" t="s">
        <v>22912</v>
      </c>
      <c r="J11180" s="10" t="str">
        <f>HYPERLINK("https://www.boe.es/gazeta/dias/1834/10/30/pdfs/GMD-1834-258.pdf#page=1","Abrir facsímil")</f>
        <v>Abrir facsímil</v>
      </c>
      <c r="K11180" s="10" t="s">
        <v>24</v>
      </c>
    </row>
    <row r="11181" spans="1:11" ht="54" customHeight="1">
      <c r="A11181" s="9" t="s">
        <v>22777</v>
      </c>
      <c r="B11181" s="9" t="s">
        <v>22778</v>
      </c>
      <c r="C11181" s="9" t="s">
        <v>66</v>
      </c>
      <c r="D11181" s="9" t="s">
        <v>18</v>
      </c>
      <c r="E11181" s="10" t="s">
        <v>590</v>
      </c>
      <c r="F11181" s="9" t="s">
        <v>591</v>
      </c>
      <c r="G11181" s="10" t="s">
        <v>34</v>
      </c>
      <c r="H11181" s="9" t="s">
        <v>22</v>
      </c>
      <c r="I11181" s="9" t="s">
        <v>22913</v>
      </c>
      <c r="J11181" s="10" t="str">
        <f>HYPERLINK("https://www.boe.es/gazeta/dias/1834/11/30/pdfs/GMD-1834-289.pdf#page=1","Abrir facsímil")</f>
        <v>Abrir facsímil</v>
      </c>
      <c r="K11181" s="10" t="s">
        <v>24</v>
      </c>
    </row>
    <row r="11182" spans="1:11" ht="54" customHeight="1">
      <c r="A11182" s="9" t="s">
        <v>22777</v>
      </c>
      <c r="B11182" s="9" t="s">
        <v>22778</v>
      </c>
      <c r="C11182" s="9" t="s">
        <v>46</v>
      </c>
      <c r="D11182" s="9" t="s">
        <v>101</v>
      </c>
      <c r="E11182" s="10" t="s">
        <v>153</v>
      </c>
      <c r="F11182" s="9" t="s">
        <v>1294</v>
      </c>
      <c r="G11182" s="10" t="s">
        <v>34</v>
      </c>
      <c r="H11182" s="9" t="s">
        <v>22</v>
      </c>
      <c r="I11182" s="9" t="s">
        <v>22914</v>
      </c>
      <c r="J11182" s="10" t="str">
        <f>HYPERLINK("https://www.boe.es/gazeta/dias/1834/12/30/pdfs/GMD-1834-320.pdf#page=1","Abrir facsímil")</f>
        <v>Abrir facsímil</v>
      </c>
      <c r="K11182" s="10" t="s">
        <v>24</v>
      </c>
    </row>
    <row r="11183" spans="1:11" ht="54" customHeight="1">
      <c r="A11183" s="9" t="s">
        <v>22777</v>
      </c>
      <c r="B11183" s="9" t="s">
        <v>22778</v>
      </c>
      <c r="C11183" s="9" t="s">
        <v>66</v>
      </c>
      <c r="D11183" s="9" t="s">
        <v>101</v>
      </c>
      <c r="E11183" s="10" t="s">
        <v>143</v>
      </c>
      <c r="F11183" s="9" t="s">
        <v>144</v>
      </c>
      <c r="G11183" s="10" t="s">
        <v>34</v>
      </c>
      <c r="H11183" s="9" t="s">
        <v>22</v>
      </c>
      <c r="I11183" s="9" t="s">
        <v>22915</v>
      </c>
      <c r="J11183" s="10" t="str">
        <f>HYPERLINK("https://www.boe.es/gazeta/dias/1834/07/31/pdfs/GMD-1834-164.pdf#page=1","Abrir facsímil")</f>
        <v>Abrir facsímil</v>
      </c>
      <c r="K11183" s="10" t="s">
        <v>24</v>
      </c>
    </row>
    <row r="11184" spans="1:11" ht="54" customHeight="1">
      <c r="A11184" s="9" t="s">
        <v>22777</v>
      </c>
      <c r="B11184" s="9" t="s">
        <v>22778</v>
      </c>
      <c r="C11184" s="9" t="s">
        <v>66</v>
      </c>
      <c r="D11184" s="9" t="s">
        <v>18</v>
      </c>
      <c r="E11184" s="10" t="s">
        <v>891</v>
      </c>
      <c r="F11184" s="9" t="s">
        <v>3608</v>
      </c>
      <c r="G11184" s="10" t="s">
        <v>34</v>
      </c>
      <c r="H11184" s="9" t="s">
        <v>22</v>
      </c>
      <c r="I11184" s="9" t="s">
        <v>22916</v>
      </c>
      <c r="J11184" s="10" t="str">
        <f>HYPERLINK("https://www.boe.es/gazeta/dias/1834/10/31/pdfs/GMD-1834-259.pdf#page=1","Abrir facsímil")</f>
        <v>Abrir facsímil</v>
      </c>
      <c r="K11184" s="10" t="s">
        <v>24</v>
      </c>
    </row>
    <row r="11185" spans="1:11" ht="54" customHeight="1">
      <c r="A11185" s="9" t="s">
        <v>22777</v>
      </c>
      <c r="B11185" s="9" t="s">
        <v>22778</v>
      </c>
      <c r="C11185" s="9" t="s">
        <v>17</v>
      </c>
      <c r="D11185" s="9" t="s">
        <v>18</v>
      </c>
      <c r="E11185" s="10" t="s">
        <v>192</v>
      </c>
      <c r="F11185" s="9" t="s">
        <v>193</v>
      </c>
      <c r="G11185" s="10" t="s">
        <v>34</v>
      </c>
      <c r="H11185" s="9" t="s">
        <v>22</v>
      </c>
      <c r="I11185" s="9" t="s">
        <v>22917</v>
      </c>
      <c r="J11185" s="10" t="str">
        <f>HYPERLINK("https://www.boe.es/gazeta/dias/1834/12/31/pdfs/GMD-1834-321.pdf#page=1","Abrir facsímil")</f>
        <v>Abrir facsímil</v>
      </c>
      <c r="K11185" s="10" t="s">
        <v>24</v>
      </c>
    </row>
    <row r="11186" spans="1:11" ht="54" customHeight="1">
      <c r="A11186" s="9" t="s">
        <v>22918</v>
      </c>
      <c r="B11186" s="9" t="s">
        <v>22919</v>
      </c>
      <c r="C11186" s="9" t="s">
        <v>17</v>
      </c>
      <c r="D11186" s="9" t="s">
        <v>18</v>
      </c>
      <c r="E11186" s="10" t="s">
        <v>1505</v>
      </c>
      <c r="F11186" s="9" t="s">
        <v>1506</v>
      </c>
      <c r="G11186" s="10" t="s">
        <v>86</v>
      </c>
      <c r="H11186" s="9" t="s">
        <v>22</v>
      </c>
      <c r="I11186" s="9" t="s">
        <v>22920</v>
      </c>
      <c r="J11186" s="10" t="str">
        <f>HYPERLINK("https://www.boe.es/gazeta/dias/1834/05/08/pdfs/GMD-1834-77.pdf#page=2","Abrir facsímil")</f>
        <v>Abrir facsímil</v>
      </c>
      <c r="K11186" s="10" t="s">
        <v>24</v>
      </c>
    </row>
    <row r="11187" spans="1:11" ht="54" customHeight="1">
      <c r="A11187" s="9" t="s">
        <v>22918</v>
      </c>
      <c r="B11187" s="9" t="s">
        <v>22919</v>
      </c>
      <c r="C11187" s="9" t="s">
        <v>17</v>
      </c>
      <c r="D11187" s="9" t="s">
        <v>55</v>
      </c>
      <c r="E11187" s="10" t="s">
        <v>91</v>
      </c>
      <c r="F11187" s="9" t="s">
        <v>92</v>
      </c>
      <c r="G11187" s="10" t="s">
        <v>86</v>
      </c>
      <c r="H11187" s="9" t="s">
        <v>22</v>
      </c>
      <c r="I11187" s="9" t="s">
        <v>22921</v>
      </c>
      <c r="J11187" s="10" t="str">
        <f>HYPERLINK("https://www.boe.es/gazeta/dias/1834/02/13/pdfs/GMD-1834-20.pdf#page=2","Abrir facsímil")</f>
        <v>Abrir facsímil</v>
      </c>
      <c r="K11187" s="10" t="s">
        <v>24</v>
      </c>
    </row>
    <row r="11188" spans="1:11" ht="54" customHeight="1">
      <c r="A11188" s="9" t="s">
        <v>22918</v>
      </c>
      <c r="B11188" s="9" t="s">
        <v>22919</v>
      </c>
      <c r="C11188" s="9" t="s">
        <v>46</v>
      </c>
      <c r="D11188" s="9" t="s">
        <v>55</v>
      </c>
      <c r="E11188" s="10" t="s">
        <v>343</v>
      </c>
      <c r="F11188" s="9" t="s">
        <v>344</v>
      </c>
      <c r="G11188" s="10" t="s">
        <v>86</v>
      </c>
      <c r="H11188" s="9" t="s">
        <v>22</v>
      </c>
      <c r="I11188" s="9" t="s">
        <v>22922</v>
      </c>
      <c r="J11188" s="10" t="str">
        <f>HYPERLINK("https://www.boe.es/gazeta/dias/1834/01/14/pdfs/GMD-1834-7.pdf#page=2","Abrir facsímil")</f>
        <v>Abrir facsímil</v>
      </c>
      <c r="K11188" s="10" t="s">
        <v>24</v>
      </c>
    </row>
    <row r="11189" spans="1:11" ht="54" customHeight="1">
      <c r="A11189" s="9" t="s">
        <v>22923</v>
      </c>
      <c r="B11189" s="9" t="s">
        <v>22924</v>
      </c>
      <c r="C11189" s="9" t="s">
        <v>17</v>
      </c>
      <c r="D11189" s="9" t="s">
        <v>18</v>
      </c>
      <c r="E11189" s="10" t="s">
        <v>343</v>
      </c>
      <c r="F11189" s="9" t="s">
        <v>344</v>
      </c>
      <c r="G11189" s="10" t="s">
        <v>86</v>
      </c>
      <c r="H11189" s="9" t="s">
        <v>22</v>
      </c>
      <c r="I11189" s="9" t="s">
        <v>22925</v>
      </c>
      <c r="J11189" s="10" t="str">
        <f>HYPERLINK("https://www.boe.es/gazeta/dias/1834/01/14/pdfs/GMD-1834-7.pdf#page=2","Abrir facsímil")</f>
        <v>Abrir facsímil</v>
      </c>
      <c r="K11189" s="10" t="s">
        <v>24</v>
      </c>
    </row>
    <row r="11190" spans="1:11" ht="54" customHeight="1">
      <c r="A11190" s="9" t="s">
        <v>22926</v>
      </c>
      <c r="B11190" s="9" t="s">
        <v>22927</v>
      </c>
      <c r="C11190" s="9" t="s">
        <v>66</v>
      </c>
      <c r="D11190" s="9" t="s">
        <v>101</v>
      </c>
      <c r="E11190" s="10" t="s">
        <v>3054</v>
      </c>
      <c r="F11190" s="9" t="s">
        <v>3055</v>
      </c>
      <c r="G11190" s="10" t="s">
        <v>34</v>
      </c>
      <c r="H11190" s="9" t="s">
        <v>22</v>
      </c>
      <c r="I11190" s="9" t="s">
        <v>22928</v>
      </c>
      <c r="J11190" s="10" t="str">
        <f>HYPERLINK("https://www.boe.es/gazeta/dias/1834/10/06/pdfs/GMD-1834-234.pdf#page=1","Abrir facsímil")</f>
        <v>Abrir facsímil</v>
      </c>
      <c r="K11190" s="10" t="s">
        <v>24</v>
      </c>
    </row>
    <row r="11191" spans="1:11" ht="54" customHeight="1">
      <c r="A11191" s="9" t="s">
        <v>22929</v>
      </c>
      <c r="B11191" s="9" t="s">
        <v>22930</v>
      </c>
      <c r="C11191" s="9" t="s">
        <v>66</v>
      </c>
      <c r="D11191" s="9" t="s">
        <v>101</v>
      </c>
      <c r="E11191" s="10" t="s">
        <v>1265</v>
      </c>
      <c r="F11191" s="9" t="s">
        <v>1266</v>
      </c>
      <c r="G11191" s="10" t="s">
        <v>34</v>
      </c>
      <c r="H11191" s="9" t="s">
        <v>22</v>
      </c>
      <c r="I11191" s="9" t="s">
        <v>22931</v>
      </c>
      <c r="J11191" s="10" t="str">
        <f>HYPERLINK("https://www.boe.es/gazeta/dias/1834/09/08/pdfs/GMD-1834-206.pdf#page=1","Abrir facsímil")</f>
        <v>Abrir facsímil</v>
      </c>
      <c r="K11191" s="10" t="s">
        <v>24</v>
      </c>
    </row>
    <row r="11192" spans="1:11" ht="54" customHeight="1">
      <c r="A11192" s="9" t="s">
        <v>22929</v>
      </c>
      <c r="B11192" s="9" t="s">
        <v>22930</v>
      </c>
      <c r="C11192" s="9" t="s">
        <v>66</v>
      </c>
      <c r="D11192" s="9" t="s">
        <v>18</v>
      </c>
      <c r="E11192" s="10" t="s">
        <v>623</v>
      </c>
      <c r="F11192" s="9" t="s">
        <v>3442</v>
      </c>
      <c r="G11192" s="10" t="s">
        <v>34</v>
      </c>
      <c r="H11192" s="9" t="s">
        <v>22</v>
      </c>
      <c r="I11192" s="9" t="s">
        <v>22932</v>
      </c>
      <c r="J11192" s="10" t="str">
        <f>HYPERLINK("https://www.boe.es/gazeta/dias/1834/10/12/pdfs/GMD-1834-240.pdf#page=1","Abrir facsímil")</f>
        <v>Abrir facsímil</v>
      </c>
      <c r="K11192" s="10" t="s">
        <v>24</v>
      </c>
    </row>
    <row r="11193" spans="1:11" ht="54" customHeight="1">
      <c r="A11193" s="9" t="s">
        <v>22933</v>
      </c>
      <c r="B11193" s="9" t="s">
        <v>22934</v>
      </c>
      <c r="C11193" s="9" t="s">
        <v>66</v>
      </c>
      <c r="D11193" s="9" t="s">
        <v>18</v>
      </c>
      <c r="E11193" s="10" t="s">
        <v>403</v>
      </c>
      <c r="F11193" s="9" t="s">
        <v>3456</v>
      </c>
      <c r="G11193" s="10" t="s">
        <v>34</v>
      </c>
      <c r="H11193" s="9" t="s">
        <v>22</v>
      </c>
      <c r="I11193" s="9" t="s">
        <v>22935</v>
      </c>
      <c r="J11193" s="10" t="str">
        <f>HYPERLINK("https://www.boe.es/gazeta/dias/1834/09/25/pdfs/GMD-1834-223.pdf#page=1","Abrir facsímil")</f>
        <v>Abrir facsímil</v>
      </c>
      <c r="K11193" s="10" t="s">
        <v>24</v>
      </c>
    </row>
    <row r="11194" spans="1:11" ht="54" customHeight="1">
      <c r="A11194" s="9" t="s">
        <v>22936</v>
      </c>
      <c r="B11194" s="9" t="s">
        <v>22937</v>
      </c>
      <c r="C11194" s="9" t="s">
        <v>90</v>
      </c>
      <c r="D11194" s="9" t="s">
        <v>67</v>
      </c>
      <c r="E11194" s="10" t="s">
        <v>1094</v>
      </c>
      <c r="F11194" s="9" t="s">
        <v>1095</v>
      </c>
      <c r="G11194" s="10" t="s">
        <v>34</v>
      </c>
      <c r="H11194" s="9" t="s">
        <v>22</v>
      </c>
      <c r="I11194" s="9" t="s">
        <v>22938</v>
      </c>
      <c r="J11194" s="10" t="str">
        <f>HYPERLINK("https://www.boe.es/gazeta/dias/1834/07/13/pdfs/GMD-1834-146.pdf#page=1","Abrir facsímil")</f>
        <v>Abrir facsímil</v>
      </c>
      <c r="K11194" s="10" t="s">
        <v>24</v>
      </c>
    </row>
    <row r="11195" spans="1:11" ht="54" customHeight="1">
      <c r="A11195" s="9" t="s">
        <v>22939</v>
      </c>
      <c r="B11195" s="9" t="s">
        <v>22939</v>
      </c>
      <c r="C11195" s="9" t="s">
        <v>17</v>
      </c>
      <c r="D11195" s="9" t="s">
        <v>18</v>
      </c>
      <c r="E11195" s="10" t="s">
        <v>1406</v>
      </c>
      <c r="F11195" s="9" t="s">
        <v>1407</v>
      </c>
      <c r="G11195" s="10" t="s">
        <v>86</v>
      </c>
      <c r="H11195" s="9" t="s">
        <v>22</v>
      </c>
      <c r="I11195" s="9" t="s">
        <v>22940</v>
      </c>
      <c r="J11195" s="10" t="str">
        <f>HYPERLINK("https://www.boe.es/gazeta/dias/1834/11/03/pdfs/GMD-1834-262.pdf#page=2","Abrir facsímil")</f>
        <v>Abrir facsímil</v>
      </c>
      <c r="K11195" s="10" t="s">
        <v>24</v>
      </c>
    </row>
    <row r="11196" spans="1:11" ht="54" customHeight="1">
      <c r="A11196" s="9" t="s">
        <v>22941</v>
      </c>
      <c r="B11196" s="9" t="s">
        <v>22942</v>
      </c>
      <c r="C11196" s="9" t="s">
        <v>122</v>
      </c>
      <c r="D11196" s="9" t="s">
        <v>18</v>
      </c>
      <c r="E11196" s="10" t="s">
        <v>280</v>
      </c>
      <c r="F11196" s="9" t="s">
        <v>3217</v>
      </c>
      <c r="G11196" s="10" t="s">
        <v>75</v>
      </c>
      <c r="H11196" s="9" t="s">
        <v>22</v>
      </c>
      <c r="I11196" s="9" t="s">
        <v>22943</v>
      </c>
      <c r="J11196" s="10" t="str">
        <f>HYPERLINK("https://www.boe.es/gazeta/dias/1834/08/29/pdfs/GMD-1834-195.pdf#page=4","Abrir facsímil")</f>
        <v>Abrir facsímil</v>
      </c>
      <c r="K11196" s="10" t="s">
        <v>24</v>
      </c>
    </row>
    <row r="11197" spans="1:11" ht="54" customHeight="1">
      <c r="A11197" s="9" t="s">
        <v>22944</v>
      </c>
      <c r="B11197" s="9" t="s">
        <v>22944</v>
      </c>
      <c r="C11197" s="9" t="s">
        <v>17</v>
      </c>
      <c r="D11197" s="9" t="s">
        <v>18</v>
      </c>
      <c r="E11197" s="10" t="s">
        <v>679</v>
      </c>
      <c r="F11197" s="9" t="s">
        <v>699</v>
      </c>
      <c r="G11197" s="10" t="s">
        <v>75</v>
      </c>
      <c r="H11197" s="9" t="s">
        <v>22</v>
      </c>
      <c r="I11197" s="9" t="s">
        <v>22945</v>
      </c>
      <c r="J11197" s="10" t="str">
        <f>HYPERLINK("https://www.boe.es/gazeta/dias/1834/12/10/pdfs/GMD-C-1834-299.pdf#page=4","Abrir facsímil")</f>
        <v>Abrir facsímil</v>
      </c>
      <c r="K11197" s="10" t="s">
        <v>24</v>
      </c>
    </row>
    <row r="11198" spans="1:11" ht="54" customHeight="1">
      <c r="A11198" s="9" t="s">
        <v>22946</v>
      </c>
      <c r="B11198" s="9" t="s">
        <v>22947</v>
      </c>
      <c r="C11198" s="9" t="s">
        <v>17</v>
      </c>
      <c r="D11198" s="9" t="s">
        <v>18</v>
      </c>
      <c r="E11198" s="10" t="s">
        <v>679</v>
      </c>
      <c r="F11198" s="9" t="s">
        <v>699</v>
      </c>
      <c r="G11198" s="10" t="s">
        <v>75</v>
      </c>
      <c r="H11198" s="9" t="s">
        <v>35</v>
      </c>
      <c r="I11198" s="9" t="s">
        <v>22948</v>
      </c>
      <c r="J11198" s="10" t="str">
        <f>HYPERLINK("https://www.boe.es/gazeta/dias/1834/12/10/pdfs/GMD-C-1834-299.pdf#page=4","Abrir facsímil")</f>
        <v>Abrir facsímil</v>
      </c>
      <c r="K11198" s="10" t="s">
        <v>37</v>
      </c>
    </row>
    <row r="11199" spans="1:11" ht="54" customHeight="1">
      <c r="A11199" s="9" t="s">
        <v>22949</v>
      </c>
      <c r="B11199" s="9" t="s">
        <v>22950</v>
      </c>
      <c r="C11199" s="9" t="s">
        <v>17</v>
      </c>
      <c r="D11199" s="9" t="s">
        <v>18</v>
      </c>
      <c r="E11199" s="10" t="s">
        <v>1459</v>
      </c>
      <c r="F11199" s="9" t="s">
        <v>1460</v>
      </c>
      <c r="G11199" s="10" t="s">
        <v>21</v>
      </c>
      <c r="H11199" s="9" t="s">
        <v>22</v>
      </c>
      <c r="I11199" s="9" t="s">
        <v>22951</v>
      </c>
      <c r="J11199" s="10" t="str">
        <f>HYPERLINK("https://www.boe.es/gazeta/dias/1834/08/18/pdfs/GMD-1834-184.pdf#page=3","Abrir facsímil")</f>
        <v>Abrir facsímil</v>
      </c>
      <c r="K11199" s="10" t="s">
        <v>24</v>
      </c>
    </row>
    <row r="11200" spans="1:11" ht="54" customHeight="1">
      <c r="A11200" s="9" t="s">
        <v>22952</v>
      </c>
      <c r="B11200" s="9" t="s">
        <v>22953</v>
      </c>
      <c r="C11200" s="9" t="s">
        <v>46</v>
      </c>
      <c r="D11200" s="9" t="s">
        <v>18</v>
      </c>
      <c r="E11200" s="10" t="s">
        <v>41</v>
      </c>
      <c r="F11200" s="9" t="s">
        <v>42</v>
      </c>
      <c r="G11200" s="10" t="s">
        <v>21</v>
      </c>
      <c r="H11200" s="9" t="s">
        <v>35</v>
      </c>
      <c r="I11200" s="9" t="s">
        <v>22954</v>
      </c>
      <c r="J11200" s="10" t="str">
        <f>HYPERLINK("https://www.boe.es/gazeta/dias/1834/06/11/pdfs/GMD-1834-114.pdf#page=3","Abrir facsímil")</f>
        <v>Abrir facsímil</v>
      </c>
      <c r="K11200" s="10" t="s">
        <v>37</v>
      </c>
    </row>
    <row r="11201" spans="1:11" ht="54" customHeight="1">
      <c r="A11201" s="9" t="s">
        <v>22955</v>
      </c>
      <c r="B11201" s="9" t="s">
        <v>22956</v>
      </c>
      <c r="C11201" s="9" t="s">
        <v>122</v>
      </c>
      <c r="D11201" s="9" t="s">
        <v>40</v>
      </c>
      <c r="E11201" s="10" t="s">
        <v>1084</v>
      </c>
      <c r="F11201" s="9" t="s">
        <v>1085</v>
      </c>
      <c r="G11201" s="10" t="s">
        <v>28</v>
      </c>
      <c r="H11201" s="9" t="s">
        <v>35</v>
      </c>
      <c r="I11201" s="9" t="s">
        <v>22957</v>
      </c>
      <c r="J11201" s="10" t="str">
        <f>HYPERLINK("https://www.boe.es/gazeta/dias/1834/05/01/pdfs/GMD-1834-70.pdf#page=5","Abrir facsímil")</f>
        <v>Abrir facsímil</v>
      </c>
      <c r="K11201" s="10" t="s">
        <v>37</v>
      </c>
    </row>
    <row r="11202" spans="1:11" ht="54" customHeight="1">
      <c r="A11202" s="9" t="s">
        <v>22958</v>
      </c>
      <c r="B11202" s="9" t="s">
        <v>22959</v>
      </c>
      <c r="C11202" s="9" t="s">
        <v>122</v>
      </c>
      <c r="D11202" s="9" t="s">
        <v>40</v>
      </c>
      <c r="E11202" s="10" t="s">
        <v>1084</v>
      </c>
      <c r="F11202" s="9" t="s">
        <v>1085</v>
      </c>
      <c r="G11202" s="10" t="s">
        <v>28</v>
      </c>
      <c r="H11202" s="9" t="s">
        <v>22</v>
      </c>
      <c r="I11202" s="9" t="s">
        <v>22960</v>
      </c>
      <c r="J11202" s="10" t="str">
        <f>HYPERLINK("https://www.boe.es/gazeta/dias/1834/05/01/pdfs/GMD-1834-70.pdf#page=5","Abrir facsímil")</f>
        <v>Abrir facsímil</v>
      </c>
      <c r="K11202" s="10" t="s">
        <v>24</v>
      </c>
    </row>
    <row r="11203" spans="1:11" ht="54" customHeight="1">
      <c r="A11203" s="9" t="s">
        <v>22961</v>
      </c>
      <c r="B11203" s="9" t="s">
        <v>22962</v>
      </c>
      <c r="C11203" s="9" t="s">
        <v>46</v>
      </c>
      <c r="D11203" s="9" t="s">
        <v>101</v>
      </c>
      <c r="E11203" s="10" t="s">
        <v>844</v>
      </c>
      <c r="F11203" s="9" t="s">
        <v>845</v>
      </c>
      <c r="G11203" s="10" t="s">
        <v>21</v>
      </c>
      <c r="H11203" s="9" t="s">
        <v>22</v>
      </c>
      <c r="I11203" s="9" t="s">
        <v>22963</v>
      </c>
      <c r="J11203" s="10" t="str">
        <f>HYPERLINK("https://www.boe.es/gazeta/dias/1834/03/13/pdfs/GMD-1834-32.pdf#page=3","Abrir facsímil")</f>
        <v>Abrir facsímil</v>
      </c>
      <c r="K11203" s="10" t="s">
        <v>24</v>
      </c>
    </row>
    <row r="11204" spans="1:11" ht="54" customHeight="1">
      <c r="A11204" s="9" t="s">
        <v>22964</v>
      </c>
      <c r="B11204" s="9" t="s">
        <v>22965</v>
      </c>
      <c r="C11204" s="9" t="s">
        <v>66</v>
      </c>
      <c r="D11204" s="9" t="s">
        <v>67</v>
      </c>
      <c r="E11204" s="10" t="s">
        <v>866</v>
      </c>
      <c r="F11204" s="9" t="s">
        <v>867</v>
      </c>
      <c r="G11204" s="10" t="s">
        <v>34</v>
      </c>
      <c r="H11204" s="9" t="s">
        <v>22</v>
      </c>
      <c r="I11204" s="9" t="s">
        <v>22966</v>
      </c>
      <c r="J11204" s="10" t="str">
        <f>HYPERLINK("https://www.boe.es/gazeta/dias/1834/01/18/pdfs/GMD-1834-9.pdf#page=1","Abrir facsímil")</f>
        <v>Abrir facsímil</v>
      </c>
      <c r="K11204" s="10" t="s">
        <v>24</v>
      </c>
    </row>
    <row r="11205" spans="1:11" ht="54" customHeight="1">
      <c r="A11205" s="9" t="s">
        <v>22967</v>
      </c>
      <c r="B11205" s="9" t="s">
        <v>22967</v>
      </c>
      <c r="C11205" s="9" t="s">
        <v>17</v>
      </c>
      <c r="D11205" s="9" t="s">
        <v>55</v>
      </c>
      <c r="E11205" s="10" t="s">
        <v>956</v>
      </c>
      <c r="F11205" s="9" t="s">
        <v>1508</v>
      </c>
      <c r="G11205" s="10" t="s">
        <v>86</v>
      </c>
      <c r="H11205" s="9" t="s">
        <v>22</v>
      </c>
      <c r="I11205" s="9" t="s">
        <v>22968</v>
      </c>
      <c r="J11205" s="10" t="str">
        <f>HYPERLINK("https://www.boe.es/gazeta/dias/1834/08/10/pdfs/GMD-1834-175.pdf#page=2","Abrir facsímil")</f>
        <v>Abrir facsímil</v>
      </c>
      <c r="K11205" s="10" t="s">
        <v>24</v>
      </c>
    </row>
    <row r="11206" spans="1:11" ht="54" customHeight="1">
      <c r="A11206" s="9" t="s">
        <v>22969</v>
      </c>
      <c r="B11206" s="9" t="s">
        <v>22970</v>
      </c>
      <c r="C11206" s="9" t="s">
        <v>122</v>
      </c>
      <c r="D11206" s="9" t="s">
        <v>18</v>
      </c>
      <c r="E11206" s="10" t="s">
        <v>19</v>
      </c>
      <c r="F11206" s="9" t="s">
        <v>20</v>
      </c>
      <c r="G11206" s="10" t="s">
        <v>34</v>
      </c>
      <c r="H11206" s="9" t="s">
        <v>22</v>
      </c>
      <c r="I11206" s="9" t="s">
        <v>22971</v>
      </c>
      <c r="J11206" s="10" t="str">
        <f>HYPERLINK("https://www.boe.es/gazeta/dias/1834/08/17/pdfs/GMD-C-1834-182.pdf#page=1","Abrir facsímil")</f>
        <v>Abrir facsímil</v>
      </c>
      <c r="K11206" s="10" t="s">
        <v>24</v>
      </c>
    </row>
    <row r="11207" spans="1:11" ht="54" customHeight="1">
      <c r="A11207" s="9" t="s">
        <v>22972</v>
      </c>
      <c r="B11207" s="9" t="s">
        <v>22973</v>
      </c>
      <c r="C11207" s="9" t="s">
        <v>17</v>
      </c>
      <c r="D11207" s="9" t="s">
        <v>18</v>
      </c>
      <c r="E11207" s="10" t="s">
        <v>1653</v>
      </c>
      <c r="F11207" s="9" t="s">
        <v>1654</v>
      </c>
      <c r="G11207" s="10" t="s">
        <v>75</v>
      </c>
      <c r="H11207" s="9" t="s">
        <v>22</v>
      </c>
      <c r="I11207" s="9" t="s">
        <v>22974</v>
      </c>
      <c r="J11207" s="10" t="str">
        <f>HYPERLINK("https://www.boe.es/gazeta/dias/1834/07/03/pdfs/GMD-1834-136.pdf#page=4","Abrir facsímil")</f>
        <v>Abrir facsímil</v>
      </c>
      <c r="K11207" s="10" t="s">
        <v>24</v>
      </c>
    </row>
    <row r="11208" spans="1:11" ht="54" customHeight="1">
      <c r="A11208" s="9" t="s">
        <v>22975</v>
      </c>
      <c r="B11208" s="9" t="s">
        <v>22975</v>
      </c>
      <c r="C11208" s="9" t="s">
        <v>17</v>
      </c>
      <c r="D11208" s="9" t="s">
        <v>55</v>
      </c>
      <c r="E11208" s="10" t="s">
        <v>192</v>
      </c>
      <c r="F11208" s="9" t="s">
        <v>193</v>
      </c>
      <c r="G11208" s="10" t="s">
        <v>86</v>
      </c>
      <c r="H11208" s="9" t="s">
        <v>22</v>
      </c>
      <c r="I11208" s="9" t="s">
        <v>22976</v>
      </c>
      <c r="J11208" s="10" t="str">
        <f>HYPERLINK("https://www.boe.es/gazeta/dias/1834/12/31/pdfs/GMD-1834-321.pdf#page=2","Abrir facsímil")</f>
        <v>Abrir facsímil</v>
      </c>
      <c r="K11208" s="10" t="s">
        <v>24</v>
      </c>
    </row>
    <row r="11209" spans="1:11" ht="54" customHeight="1">
      <c r="A11209" s="9" t="s">
        <v>22977</v>
      </c>
      <c r="B11209" s="9" t="s">
        <v>22977</v>
      </c>
      <c r="C11209" s="9" t="s">
        <v>46</v>
      </c>
      <c r="D11209" s="9" t="s">
        <v>18</v>
      </c>
      <c r="E11209" s="10" t="s">
        <v>7523</v>
      </c>
      <c r="F11209" s="9" t="s">
        <v>7524</v>
      </c>
      <c r="G11209" s="10" t="s">
        <v>34</v>
      </c>
      <c r="H11209" s="9" t="s">
        <v>22</v>
      </c>
      <c r="I11209" s="9" t="s">
        <v>22978</v>
      </c>
      <c r="J11209" s="10" t="str">
        <f>HYPERLINK("https://www.boe.es/gazeta/dias/1834/12/26/pdfs/GMD-1834-316.pdf#page=1","Abrir facsímil")</f>
        <v>Abrir facsímil</v>
      </c>
      <c r="K11209" s="10" t="s">
        <v>24</v>
      </c>
    </row>
    <row r="11210" spans="1:11" ht="54" customHeight="1">
      <c r="A11210" s="9" t="s">
        <v>22979</v>
      </c>
      <c r="B11210" s="9" t="s">
        <v>22979</v>
      </c>
      <c r="C11210" s="9" t="s">
        <v>17</v>
      </c>
      <c r="D11210" s="9" t="s">
        <v>18</v>
      </c>
      <c r="E11210" s="10" t="s">
        <v>299</v>
      </c>
      <c r="F11210" s="9" t="s">
        <v>300</v>
      </c>
      <c r="G11210" s="10" t="s">
        <v>86</v>
      </c>
      <c r="H11210" s="9" t="s">
        <v>22</v>
      </c>
      <c r="I11210" s="9" t="s">
        <v>22980</v>
      </c>
      <c r="J11210" s="10" t="str">
        <f>HYPERLINK("https://www.boe.es/gazeta/dias/1834/12/12/pdfs/GMD-1834-301.pdf#page=2","Abrir facsímil")</f>
        <v>Abrir facsímil</v>
      </c>
      <c r="K11210" s="10" t="s">
        <v>24</v>
      </c>
    </row>
    <row r="11211" spans="1:11" ht="54" customHeight="1">
      <c r="A11211" s="9" t="s">
        <v>22979</v>
      </c>
      <c r="B11211" s="9" t="s">
        <v>22979</v>
      </c>
      <c r="C11211" s="9" t="s">
        <v>17</v>
      </c>
      <c r="D11211" s="9" t="s">
        <v>18</v>
      </c>
      <c r="E11211" s="10" t="s">
        <v>268</v>
      </c>
      <c r="F11211" s="9" t="s">
        <v>3529</v>
      </c>
      <c r="G11211" s="10" t="s">
        <v>21</v>
      </c>
      <c r="H11211" s="9" t="s">
        <v>22</v>
      </c>
      <c r="I11211" s="9" t="s">
        <v>22981</v>
      </c>
      <c r="J11211" s="10" t="str">
        <f>HYPERLINK("https://www.boe.es/gazeta/dias/1834/12/19/pdfs/GMD-1834-309.pdf#page=3","Abrir facsímil")</f>
        <v>Abrir facsímil</v>
      </c>
      <c r="K11211" s="10" t="s">
        <v>24</v>
      </c>
    </row>
    <row r="11212" spans="1:11" ht="54" customHeight="1">
      <c r="A11212" s="9" t="s">
        <v>22979</v>
      </c>
      <c r="B11212" s="9" t="s">
        <v>22979</v>
      </c>
      <c r="C11212" s="9" t="s">
        <v>46</v>
      </c>
      <c r="D11212" s="9" t="s">
        <v>101</v>
      </c>
      <c r="E11212" s="10" t="s">
        <v>1284</v>
      </c>
      <c r="F11212" s="9" t="s">
        <v>1285</v>
      </c>
      <c r="G11212" s="10" t="s">
        <v>34</v>
      </c>
      <c r="H11212" s="9" t="s">
        <v>22</v>
      </c>
      <c r="I11212" s="9" t="s">
        <v>22982</v>
      </c>
      <c r="J11212" s="10" t="str">
        <f>HYPERLINK("https://www.boe.es/gazeta/dias/1834/11/28/pdfs/GMD-1834-287.pdf#page=1","Abrir facsímil")</f>
        <v>Abrir facsímil</v>
      </c>
      <c r="K11212" s="10" t="s">
        <v>24</v>
      </c>
    </row>
    <row r="11213" spans="1:11" ht="54" customHeight="1">
      <c r="A11213" s="9" t="s">
        <v>22979</v>
      </c>
      <c r="B11213" s="9" t="s">
        <v>22979</v>
      </c>
      <c r="C11213" s="9" t="s">
        <v>90</v>
      </c>
      <c r="D11213" s="9" t="s">
        <v>55</v>
      </c>
      <c r="E11213" s="10" t="s">
        <v>283</v>
      </c>
      <c r="F11213" s="9" t="s">
        <v>2969</v>
      </c>
      <c r="G11213" s="10" t="s">
        <v>34</v>
      </c>
      <c r="H11213" s="9" t="s">
        <v>22</v>
      </c>
      <c r="I11213" s="9" t="s">
        <v>22983</v>
      </c>
      <c r="J11213" s="10" t="str">
        <f>HYPERLINK("https://www.boe.es/gazeta/dias/1834/11/29/pdfs/GMD-1834-288.pdf#page=1","Abrir facsímil")</f>
        <v>Abrir facsímil</v>
      </c>
      <c r="K11213" s="10" t="s">
        <v>24</v>
      </c>
    </row>
    <row r="11214" spans="1:11" ht="54" customHeight="1">
      <c r="A11214" s="9" t="s">
        <v>22984</v>
      </c>
      <c r="B11214" s="9" t="s">
        <v>22984</v>
      </c>
      <c r="C11214" s="9" t="s">
        <v>66</v>
      </c>
      <c r="D11214" s="9" t="s">
        <v>67</v>
      </c>
      <c r="E11214" s="10" t="s">
        <v>1262</v>
      </c>
      <c r="F11214" s="9" t="s">
        <v>1263</v>
      </c>
      <c r="G11214" s="10" t="s">
        <v>86</v>
      </c>
      <c r="H11214" s="9" t="s">
        <v>22</v>
      </c>
      <c r="I11214" s="9" t="s">
        <v>22985</v>
      </c>
      <c r="J11214" s="10" t="str">
        <f>HYPERLINK("https://www.boe.es/gazeta/dias/1834/02/01/pdfs/GMD-1834-15.pdf#page=2","Abrir facsímil")</f>
        <v>Abrir facsímil</v>
      </c>
      <c r="K11214" s="10" t="s">
        <v>24</v>
      </c>
    </row>
    <row r="11215" spans="1:11" ht="54" customHeight="1">
      <c r="A11215" s="9" t="s">
        <v>22984</v>
      </c>
      <c r="B11215" s="9" t="s">
        <v>22984</v>
      </c>
      <c r="C11215" s="9" t="s">
        <v>17</v>
      </c>
      <c r="D11215" s="9" t="s">
        <v>18</v>
      </c>
      <c r="E11215" s="10" t="s">
        <v>1680</v>
      </c>
      <c r="F11215" s="9" t="s">
        <v>1681</v>
      </c>
      <c r="G11215" s="10" t="s">
        <v>21</v>
      </c>
      <c r="H11215" s="9" t="s">
        <v>22</v>
      </c>
      <c r="I11215" s="9" t="s">
        <v>22986</v>
      </c>
      <c r="J11215" s="10" t="str">
        <f>HYPERLINK("https://www.boe.es/gazeta/dias/1834/02/27/pdfs/GMD-1834-26.pdf#page=3","Abrir facsímil")</f>
        <v>Abrir facsímil</v>
      </c>
      <c r="K11215" s="10" t="s">
        <v>24</v>
      </c>
    </row>
    <row r="11216" spans="1:11" ht="54" customHeight="1">
      <c r="A11216" s="9" t="s">
        <v>22987</v>
      </c>
      <c r="B11216" s="9" t="s">
        <v>22988</v>
      </c>
      <c r="C11216" s="9" t="s">
        <v>66</v>
      </c>
      <c r="D11216" s="9" t="s">
        <v>18</v>
      </c>
      <c r="E11216" s="10" t="s">
        <v>3163</v>
      </c>
      <c r="F11216" s="9" t="s">
        <v>3164</v>
      </c>
      <c r="G11216" s="10" t="s">
        <v>75</v>
      </c>
      <c r="H11216" s="9" t="s">
        <v>22</v>
      </c>
      <c r="I11216" s="9" t="s">
        <v>22989</v>
      </c>
      <c r="J11216" s="10" t="str">
        <f>HYPERLINK("https://www.boe.es/gazeta/dias/1834/11/02/pdfs/GMD-1834-261.pdf#page=4","Abrir facsímil")</f>
        <v>Abrir facsímil</v>
      </c>
      <c r="K11216" s="10" t="s">
        <v>24</v>
      </c>
    </row>
    <row r="11217" spans="1:11" ht="54" customHeight="1">
      <c r="A11217" s="9" t="s">
        <v>22990</v>
      </c>
      <c r="B11217" s="9" t="s">
        <v>22990</v>
      </c>
      <c r="C11217" s="9" t="s">
        <v>66</v>
      </c>
      <c r="D11217" s="9" t="s">
        <v>67</v>
      </c>
      <c r="E11217" s="10" t="s">
        <v>1125</v>
      </c>
      <c r="F11217" s="9" t="s">
        <v>2490</v>
      </c>
      <c r="G11217" s="10" t="s">
        <v>560</v>
      </c>
      <c r="H11217" s="9" t="s">
        <v>22</v>
      </c>
      <c r="I11217" s="9" t="s">
        <v>22991</v>
      </c>
      <c r="J11217" s="10" t="str">
        <f>HYPERLINK("https://www.boe.es/gazeta/dias/1834/04/17/pdfs/GMD-1834-56.pdf#page=7","Abrir facsímil")</f>
        <v>Abrir facsímil</v>
      </c>
      <c r="K11217" s="10" t="s">
        <v>24</v>
      </c>
    </row>
    <row r="11218" spans="1:11" ht="54" customHeight="1">
      <c r="A11218" s="9" t="s">
        <v>22992</v>
      </c>
      <c r="B11218" s="9" t="s">
        <v>22992</v>
      </c>
      <c r="C11218" s="9" t="s">
        <v>46</v>
      </c>
      <c r="D11218" s="9" t="s">
        <v>55</v>
      </c>
      <c r="E11218" s="10" t="s">
        <v>1234</v>
      </c>
      <c r="F11218" s="9" t="s">
        <v>1455</v>
      </c>
      <c r="G11218" s="10" t="s">
        <v>34</v>
      </c>
      <c r="H11218" s="9" t="s">
        <v>22</v>
      </c>
      <c r="I11218" s="9" t="s">
        <v>22993</v>
      </c>
      <c r="J11218" s="10" t="str">
        <f>HYPERLINK("https://www.boe.es/gazeta/dias/1834/05/15/pdfs/GMD-1834-84.pdf#page=1","Abrir facsímil")</f>
        <v>Abrir facsímil</v>
      </c>
      <c r="K11218" s="10" t="s">
        <v>24</v>
      </c>
    </row>
    <row r="11219" spans="1:11" ht="54" customHeight="1">
      <c r="A11219" s="9" t="s">
        <v>22994</v>
      </c>
      <c r="B11219" s="9" t="s">
        <v>22995</v>
      </c>
      <c r="C11219" s="9" t="s">
        <v>17</v>
      </c>
      <c r="D11219" s="9" t="s">
        <v>18</v>
      </c>
      <c r="E11219" s="10" t="s">
        <v>1337</v>
      </c>
      <c r="F11219" s="9" t="s">
        <v>1338</v>
      </c>
      <c r="G11219" s="10" t="s">
        <v>34</v>
      </c>
      <c r="H11219" s="9" t="s">
        <v>35</v>
      </c>
      <c r="I11219" s="9" t="s">
        <v>22996</v>
      </c>
      <c r="J11219" s="10" t="str">
        <f>HYPERLINK("https://www.boe.es/gazeta/dias/1834/01/02/pdfs/GMD-1834-1.pdf#page=1","Abrir facsímil")</f>
        <v>Abrir facsímil</v>
      </c>
      <c r="K11219" s="10" t="s">
        <v>37</v>
      </c>
    </row>
    <row r="11220" spans="1:11" ht="54" customHeight="1">
      <c r="A11220" s="9" t="s">
        <v>22997</v>
      </c>
      <c r="B11220" s="9" t="s">
        <v>22998</v>
      </c>
      <c r="C11220" s="9" t="s">
        <v>17</v>
      </c>
      <c r="D11220" s="9" t="s">
        <v>18</v>
      </c>
      <c r="E11220" s="10" t="s">
        <v>1025</v>
      </c>
      <c r="F11220" s="9" t="s">
        <v>1026</v>
      </c>
      <c r="G11220" s="10" t="s">
        <v>34</v>
      </c>
      <c r="H11220" s="9" t="s">
        <v>35</v>
      </c>
      <c r="I11220" s="9" t="s">
        <v>22999</v>
      </c>
      <c r="J11220" s="10" t="str">
        <f>HYPERLINK("https://www.boe.es/gazeta/dias/1834/03/01/pdfs/GMD-1834-27.pdf#page=1","Abrir facsímil")</f>
        <v>Abrir facsímil</v>
      </c>
      <c r="K11220" s="10" t="s">
        <v>37</v>
      </c>
    </row>
    <row r="11221" spans="1:11" ht="54" customHeight="1">
      <c r="A11221" s="9" t="s">
        <v>22997</v>
      </c>
      <c r="B11221" s="9" t="s">
        <v>22998</v>
      </c>
      <c r="C11221" s="9" t="s">
        <v>17</v>
      </c>
      <c r="D11221" s="9" t="s">
        <v>18</v>
      </c>
      <c r="E11221" s="10" t="s">
        <v>758</v>
      </c>
      <c r="F11221" s="9" t="s">
        <v>759</v>
      </c>
      <c r="G11221" s="10" t="s">
        <v>86</v>
      </c>
      <c r="H11221" s="9" t="s">
        <v>35</v>
      </c>
      <c r="I11221" s="9" t="s">
        <v>23000</v>
      </c>
      <c r="J11221" s="10" t="str">
        <f>HYPERLINK("https://www.boe.es/gazeta/dias/1834/01/04/pdfs/GMD-1834-3.pdf#page=2","Abrir facsímil")</f>
        <v>Abrir facsímil</v>
      </c>
      <c r="K11221" s="10" t="s">
        <v>37</v>
      </c>
    </row>
    <row r="11222" spans="1:11" ht="54" customHeight="1">
      <c r="A11222" s="9" t="s">
        <v>22997</v>
      </c>
      <c r="B11222" s="9" t="s">
        <v>22998</v>
      </c>
      <c r="C11222" s="9" t="s">
        <v>17</v>
      </c>
      <c r="D11222" s="9" t="s">
        <v>18</v>
      </c>
      <c r="E11222" s="10" t="s">
        <v>762</v>
      </c>
      <c r="F11222" s="9" t="s">
        <v>763</v>
      </c>
      <c r="G11222" s="10" t="s">
        <v>86</v>
      </c>
      <c r="H11222" s="9" t="s">
        <v>35</v>
      </c>
      <c r="I11222" s="9" t="s">
        <v>23001</v>
      </c>
      <c r="J11222" s="10" t="str">
        <f>HYPERLINK("https://www.boe.es/gazeta/dias/1834/11/07/pdfs/GMD-1834-266.pdf#page=2","Abrir facsímil")</f>
        <v>Abrir facsímil</v>
      </c>
      <c r="K11222" s="10" t="s">
        <v>37</v>
      </c>
    </row>
    <row r="11223" spans="1:11" ht="54" customHeight="1">
      <c r="A11223" s="9" t="s">
        <v>22997</v>
      </c>
      <c r="B11223" s="9" t="s">
        <v>22998</v>
      </c>
      <c r="C11223" s="9" t="s">
        <v>17</v>
      </c>
      <c r="D11223" s="9" t="s">
        <v>18</v>
      </c>
      <c r="E11223" s="10" t="s">
        <v>3170</v>
      </c>
      <c r="F11223" s="9" t="s">
        <v>3171</v>
      </c>
      <c r="G11223" s="10" t="s">
        <v>21</v>
      </c>
      <c r="H11223" s="9" t="s">
        <v>35</v>
      </c>
      <c r="I11223" s="9" t="s">
        <v>23002</v>
      </c>
      <c r="J11223" s="10" t="str">
        <f>HYPERLINK("https://www.boe.es/gazeta/dias/1834/12/07/pdfs/GMD-1834-296.pdf#page=3","Abrir facsímil")</f>
        <v>Abrir facsímil</v>
      </c>
      <c r="K11223" s="10" t="s">
        <v>37</v>
      </c>
    </row>
    <row r="11224" spans="1:11" ht="54" customHeight="1">
      <c r="A11224" s="9" t="s">
        <v>22997</v>
      </c>
      <c r="B11224" s="9" t="s">
        <v>22998</v>
      </c>
      <c r="C11224" s="9" t="s">
        <v>122</v>
      </c>
      <c r="D11224" s="9" t="s">
        <v>18</v>
      </c>
      <c r="E11224" s="10" t="s">
        <v>2004</v>
      </c>
      <c r="F11224" s="9" t="s">
        <v>2005</v>
      </c>
      <c r="G11224" s="10" t="s">
        <v>34</v>
      </c>
      <c r="H11224" s="9" t="s">
        <v>35</v>
      </c>
      <c r="I11224" s="9" t="s">
        <v>23003</v>
      </c>
      <c r="J11224" s="10" t="str">
        <f>HYPERLINK("https://www.boe.es/gazeta/dias/1834/05/09/pdfs/GMD-1834-78.pdf#page=1","Abrir facsímil")</f>
        <v>Abrir facsímil</v>
      </c>
      <c r="K11224" s="10" t="s">
        <v>37</v>
      </c>
    </row>
    <row r="11225" spans="1:11" ht="54" customHeight="1">
      <c r="A11225" s="9" t="s">
        <v>22997</v>
      </c>
      <c r="B11225" s="9" t="s">
        <v>22998</v>
      </c>
      <c r="C11225" s="9" t="s">
        <v>17</v>
      </c>
      <c r="D11225" s="9" t="s">
        <v>101</v>
      </c>
      <c r="E11225" s="10" t="s">
        <v>1883</v>
      </c>
      <c r="F11225" s="9" t="s">
        <v>1884</v>
      </c>
      <c r="G11225" s="10" t="s">
        <v>34</v>
      </c>
      <c r="H11225" s="9" t="s">
        <v>35</v>
      </c>
      <c r="I11225" s="9" t="s">
        <v>23004</v>
      </c>
      <c r="J11225" s="10" t="str">
        <f>HYPERLINK("https://www.boe.es/gazeta/dias/1834/01/11/pdfs/GMD-1834-6.pdf#page=1","Abrir facsímil")</f>
        <v>Abrir facsímil</v>
      </c>
      <c r="K11225" s="10" t="s">
        <v>37</v>
      </c>
    </row>
    <row r="11226" spans="1:11" ht="54" customHeight="1">
      <c r="A11226" s="9" t="s">
        <v>22997</v>
      </c>
      <c r="B11226" s="9" t="s">
        <v>22998</v>
      </c>
      <c r="C11226" s="9" t="s">
        <v>17</v>
      </c>
      <c r="D11226" s="9" t="s">
        <v>18</v>
      </c>
      <c r="E11226" s="10" t="s">
        <v>808</v>
      </c>
      <c r="F11226" s="9" t="s">
        <v>809</v>
      </c>
      <c r="G11226" s="10" t="s">
        <v>86</v>
      </c>
      <c r="H11226" s="9" t="s">
        <v>35</v>
      </c>
      <c r="I11226" s="9" t="s">
        <v>23005</v>
      </c>
      <c r="J11226" s="10" t="str">
        <f>HYPERLINK("https://www.boe.es/gazeta/dias/1834/10/11/pdfs/GMD-1834-239.pdf#page=2","Abrir facsímil")</f>
        <v>Abrir facsímil</v>
      </c>
      <c r="K11226" s="10" t="s">
        <v>37</v>
      </c>
    </row>
    <row r="11227" spans="1:11" ht="54" customHeight="1">
      <c r="A11227" s="9" t="s">
        <v>22997</v>
      </c>
      <c r="B11227" s="9" t="s">
        <v>22998</v>
      </c>
      <c r="C11227" s="9" t="s">
        <v>66</v>
      </c>
      <c r="D11227" s="9" t="s">
        <v>67</v>
      </c>
      <c r="E11227" s="10" t="s">
        <v>2048</v>
      </c>
      <c r="F11227" s="9" t="s">
        <v>2049</v>
      </c>
      <c r="G11227" s="10" t="s">
        <v>34</v>
      </c>
      <c r="H11227" s="9" t="s">
        <v>35</v>
      </c>
      <c r="I11227" s="9" t="s">
        <v>23006</v>
      </c>
      <c r="J11227" s="10" t="str">
        <f>HYPERLINK("https://www.boe.es/gazeta/dias/1834/05/12/pdfs/GMD-1834-81.pdf#page=1","Abrir facsímil")</f>
        <v>Abrir facsímil</v>
      </c>
      <c r="K11227" s="10" t="s">
        <v>37</v>
      </c>
    </row>
    <row r="11228" spans="1:11" ht="54" customHeight="1">
      <c r="A11228" s="9" t="s">
        <v>22997</v>
      </c>
      <c r="B11228" s="9" t="s">
        <v>22998</v>
      </c>
      <c r="C11228" s="9" t="s">
        <v>90</v>
      </c>
      <c r="D11228" s="9" t="s">
        <v>18</v>
      </c>
      <c r="E11228" s="10" t="s">
        <v>91</v>
      </c>
      <c r="F11228" s="9" t="s">
        <v>92</v>
      </c>
      <c r="G11228" s="10" t="s">
        <v>86</v>
      </c>
      <c r="H11228" s="9" t="s">
        <v>35</v>
      </c>
      <c r="I11228" s="9" t="s">
        <v>23007</v>
      </c>
      <c r="J11228" s="10" t="str">
        <f>HYPERLINK("https://www.boe.es/gazeta/dias/1834/02/13/pdfs/GMD-1834-20.pdf#page=2","Abrir facsímil")</f>
        <v>Abrir facsímil</v>
      </c>
      <c r="K11228" s="10" t="s">
        <v>37</v>
      </c>
    </row>
    <row r="11229" spans="1:11" ht="54" customHeight="1">
      <c r="A11229" s="9" t="s">
        <v>22997</v>
      </c>
      <c r="B11229" s="9" t="s">
        <v>22998</v>
      </c>
      <c r="C11229" s="9" t="s">
        <v>17</v>
      </c>
      <c r="D11229" s="9" t="s">
        <v>55</v>
      </c>
      <c r="E11229" s="10" t="s">
        <v>343</v>
      </c>
      <c r="F11229" s="9" t="s">
        <v>344</v>
      </c>
      <c r="G11229" s="10" t="s">
        <v>86</v>
      </c>
      <c r="H11229" s="9" t="s">
        <v>35</v>
      </c>
      <c r="I11229" s="9" t="s">
        <v>23008</v>
      </c>
      <c r="J11229" s="10" t="str">
        <f>HYPERLINK("https://www.boe.es/gazeta/dias/1834/01/14/pdfs/GMD-1834-7.pdf#page=2","Abrir facsímil")</f>
        <v>Abrir facsímil</v>
      </c>
      <c r="K11229" s="10" t="s">
        <v>37</v>
      </c>
    </row>
    <row r="11230" spans="1:11" ht="54" customHeight="1">
      <c r="A11230" s="9" t="s">
        <v>22997</v>
      </c>
      <c r="B11230" s="9" t="s">
        <v>22998</v>
      </c>
      <c r="C11230" s="9" t="s">
        <v>46</v>
      </c>
      <c r="D11230" s="9" t="s">
        <v>18</v>
      </c>
      <c r="E11230" s="10" t="s">
        <v>1113</v>
      </c>
      <c r="F11230" s="9" t="s">
        <v>1114</v>
      </c>
      <c r="G11230" s="10" t="s">
        <v>34</v>
      </c>
      <c r="H11230" s="9" t="s">
        <v>35</v>
      </c>
      <c r="I11230" s="9" t="s">
        <v>23009</v>
      </c>
      <c r="J11230" s="10" t="str">
        <f>HYPERLINK("https://www.boe.es/gazeta/dias/1834/04/14/pdfs/GMD-1834-53.pdf#page=1","Abrir facsímil")</f>
        <v>Abrir facsímil</v>
      </c>
      <c r="K11230" s="10" t="s">
        <v>37</v>
      </c>
    </row>
    <row r="11231" spans="1:11" ht="54" customHeight="1">
      <c r="A11231" s="9" t="s">
        <v>22997</v>
      </c>
      <c r="B11231" s="9" t="s">
        <v>22998</v>
      </c>
      <c r="C11231" s="9" t="s">
        <v>17</v>
      </c>
      <c r="D11231" s="9" t="s">
        <v>18</v>
      </c>
      <c r="E11231" s="10" t="s">
        <v>448</v>
      </c>
      <c r="F11231" s="9" t="s">
        <v>449</v>
      </c>
      <c r="G11231" s="10" t="s">
        <v>21</v>
      </c>
      <c r="H11231" s="9" t="s">
        <v>35</v>
      </c>
      <c r="I11231" s="9" t="s">
        <v>23010</v>
      </c>
      <c r="J11231" s="10" t="str">
        <f>HYPERLINK("https://www.boe.es/gazeta/dias/1834/10/14/pdfs/GMD-C-1834-242.pdf#page=3","Abrir facsímil")</f>
        <v>Abrir facsímil</v>
      </c>
      <c r="K11231" s="10" t="s">
        <v>37</v>
      </c>
    </row>
    <row r="11232" spans="1:11" ht="54" customHeight="1">
      <c r="A11232" s="9" t="s">
        <v>22997</v>
      </c>
      <c r="B11232" s="9" t="s">
        <v>22998</v>
      </c>
      <c r="C11232" s="9" t="s">
        <v>90</v>
      </c>
      <c r="D11232" s="9" t="s">
        <v>18</v>
      </c>
      <c r="E11232" s="10" t="s">
        <v>448</v>
      </c>
      <c r="F11232" s="9" t="s">
        <v>449</v>
      </c>
      <c r="G11232" s="10" t="s">
        <v>75</v>
      </c>
      <c r="H11232" s="9" t="s">
        <v>35</v>
      </c>
      <c r="I11232" s="9" t="s">
        <v>23011</v>
      </c>
      <c r="J11232" s="10" t="str">
        <f>HYPERLINK("https://www.boe.es/gazeta/dias/1834/10/14/pdfs/GMD-C-1834-242.pdf#page=4","Abrir facsímil")</f>
        <v>Abrir facsímil</v>
      </c>
      <c r="K11232" s="10" t="s">
        <v>37</v>
      </c>
    </row>
    <row r="11233" spans="1:11" ht="54" customHeight="1">
      <c r="A11233" s="9" t="s">
        <v>22997</v>
      </c>
      <c r="B11233" s="9" t="s">
        <v>22998</v>
      </c>
      <c r="C11233" s="9" t="s">
        <v>17</v>
      </c>
      <c r="D11233" s="9" t="s">
        <v>18</v>
      </c>
      <c r="E11233" s="10" t="s">
        <v>2398</v>
      </c>
      <c r="F11233" s="9" t="s">
        <v>2399</v>
      </c>
      <c r="G11233" s="10" t="s">
        <v>34</v>
      </c>
      <c r="H11233" s="9" t="s">
        <v>35</v>
      </c>
      <c r="I11233" s="9" t="s">
        <v>23012</v>
      </c>
      <c r="J11233" s="10" t="str">
        <f>HYPERLINK("https://www.boe.es/gazeta/dias/1834/01/16/pdfs/GMD-1834-8.pdf#page=1","Abrir facsímil")</f>
        <v>Abrir facsímil</v>
      </c>
      <c r="K11233" s="10" t="s">
        <v>37</v>
      </c>
    </row>
    <row r="11234" spans="1:11" ht="54" customHeight="1">
      <c r="A11234" s="9" t="s">
        <v>22997</v>
      </c>
      <c r="B11234" s="9" t="s">
        <v>22998</v>
      </c>
      <c r="C11234" s="9" t="s">
        <v>46</v>
      </c>
      <c r="D11234" s="9" t="s">
        <v>18</v>
      </c>
      <c r="E11234" s="10" t="s">
        <v>3810</v>
      </c>
      <c r="F11234" s="9" t="s">
        <v>3811</v>
      </c>
      <c r="G11234" s="10" t="s">
        <v>86</v>
      </c>
      <c r="H11234" s="9" t="s">
        <v>35</v>
      </c>
      <c r="I11234" s="9" t="s">
        <v>23013</v>
      </c>
      <c r="J11234" s="10" t="str">
        <f>HYPERLINK("https://www.boe.es/gazeta/dias/1834/02/20/pdfs/GMD-1834-23.pdf#page=2","Abrir facsímil")</f>
        <v>Abrir facsímil</v>
      </c>
      <c r="K11234" s="10" t="s">
        <v>37</v>
      </c>
    </row>
    <row r="11235" spans="1:11" ht="54" customHeight="1">
      <c r="A11235" s="9" t="s">
        <v>22997</v>
      </c>
      <c r="B11235" s="9" t="s">
        <v>22998</v>
      </c>
      <c r="C11235" s="9" t="s">
        <v>17</v>
      </c>
      <c r="D11235" s="9" t="s">
        <v>101</v>
      </c>
      <c r="E11235" s="10" t="s">
        <v>2860</v>
      </c>
      <c r="F11235" s="9" t="s">
        <v>2861</v>
      </c>
      <c r="G11235" s="10" t="s">
        <v>86</v>
      </c>
      <c r="H11235" s="9" t="s">
        <v>35</v>
      </c>
      <c r="I11235" s="9" t="s">
        <v>23014</v>
      </c>
      <c r="J11235" s="10" t="str">
        <f>HYPERLINK("https://www.boe.es/gazeta/dias/1834/07/20/pdfs/GMD-1834-153.pdf#page=2","Abrir facsímil")</f>
        <v>Abrir facsímil</v>
      </c>
      <c r="K11235" s="10" t="s">
        <v>37</v>
      </c>
    </row>
    <row r="11236" spans="1:11" ht="54" customHeight="1">
      <c r="A11236" s="9" t="s">
        <v>22997</v>
      </c>
      <c r="B11236" s="9" t="s">
        <v>22998</v>
      </c>
      <c r="C11236" s="9" t="s">
        <v>17</v>
      </c>
      <c r="D11236" s="9" t="s">
        <v>18</v>
      </c>
      <c r="E11236" s="10" t="s">
        <v>465</v>
      </c>
      <c r="F11236" s="9" t="s">
        <v>466</v>
      </c>
      <c r="G11236" s="10" t="s">
        <v>21</v>
      </c>
      <c r="H11236" s="9" t="s">
        <v>35</v>
      </c>
      <c r="I11236" s="9" t="s">
        <v>23015</v>
      </c>
      <c r="J11236" s="10" t="str">
        <f>HYPERLINK("https://www.boe.es/gazeta/dias/1834/11/27/pdfs/GMD-C-1834-286.pdf#page=3","Abrir facsímil")</f>
        <v>Abrir facsímil</v>
      </c>
      <c r="K11236" s="10" t="s">
        <v>37</v>
      </c>
    </row>
    <row r="11237" spans="1:11" ht="54" customHeight="1">
      <c r="A11237" s="9" t="s">
        <v>22997</v>
      </c>
      <c r="B11237" s="9" t="s">
        <v>22998</v>
      </c>
      <c r="C11237" s="9" t="s">
        <v>17</v>
      </c>
      <c r="D11237" s="9" t="s">
        <v>18</v>
      </c>
      <c r="E11237" s="10" t="s">
        <v>286</v>
      </c>
      <c r="F11237" s="9" t="s">
        <v>287</v>
      </c>
      <c r="G11237" s="10" t="s">
        <v>86</v>
      </c>
      <c r="H11237" s="9" t="s">
        <v>35</v>
      </c>
      <c r="I11237" s="9" t="s">
        <v>23016</v>
      </c>
      <c r="J11237" s="10" t="str">
        <f>HYPERLINK("https://www.boe.es/gazeta/dias/1834/08/30/pdfs/GMD-C-1834-196.pdf#page=2","Abrir facsímil")</f>
        <v>Abrir facsímil</v>
      </c>
      <c r="K11237" s="10" t="s">
        <v>37</v>
      </c>
    </row>
    <row r="11238" spans="1:11" ht="54" customHeight="1">
      <c r="A11238" s="9" t="s">
        <v>23017</v>
      </c>
      <c r="B11238" s="9" t="s">
        <v>23018</v>
      </c>
      <c r="C11238" s="9" t="s">
        <v>17</v>
      </c>
      <c r="D11238" s="9" t="s">
        <v>18</v>
      </c>
      <c r="E11238" s="10" t="s">
        <v>524</v>
      </c>
      <c r="F11238" s="9" t="s">
        <v>4743</v>
      </c>
      <c r="G11238" s="10" t="s">
        <v>86</v>
      </c>
      <c r="H11238" s="9" t="s">
        <v>35</v>
      </c>
      <c r="I11238" s="9" t="s">
        <v>23019</v>
      </c>
      <c r="J11238" s="10" t="str">
        <f>HYPERLINK("https://www.boe.es/gazeta/dias/1834/12/25/pdfs/GMD-1834-315.pdf#page=2","Abrir facsímil")</f>
        <v>Abrir facsímil</v>
      </c>
      <c r="K11238" s="10" t="s">
        <v>37</v>
      </c>
    </row>
    <row r="11239" spans="1:11" ht="54" customHeight="1">
      <c r="A11239" s="9" t="s">
        <v>23020</v>
      </c>
      <c r="B11239" s="9" t="s">
        <v>23021</v>
      </c>
      <c r="C11239" s="9" t="s">
        <v>90</v>
      </c>
      <c r="D11239" s="9" t="s">
        <v>101</v>
      </c>
      <c r="E11239" s="10" t="s">
        <v>280</v>
      </c>
      <c r="F11239" s="9" t="s">
        <v>3217</v>
      </c>
      <c r="G11239" s="10" t="s">
        <v>34</v>
      </c>
      <c r="H11239" s="9" t="s">
        <v>35</v>
      </c>
      <c r="I11239" s="9" t="s">
        <v>23022</v>
      </c>
      <c r="J11239" s="10" t="str">
        <f>HYPERLINK("https://www.boe.es/gazeta/dias/1834/08/29/pdfs/GMD-1834-195.pdf#page=1","Abrir facsímil")</f>
        <v>Abrir facsímil</v>
      </c>
      <c r="K11239" s="10" t="s">
        <v>37</v>
      </c>
    </row>
    <row r="11240" spans="1:11" ht="54" customHeight="1">
      <c r="A11240" s="9" t="s">
        <v>23023</v>
      </c>
      <c r="B11240" s="9" t="s">
        <v>23024</v>
      </c>
      <c r="C11240" s="9" t="s">
        <v>17</v>
      </c>
      <c r="D11240" s="9" t="s">
        <v>101</v>
      </c>
      <c r="E11240" s="10" t="s">
        <v>552</v>
      </c>
      <c r="F11240" s="9" t="s">
        <v>553</v>
      </c>
      <c r="G11240" s="10" t="s">
        <v>21</v>
      </c>
      <c r="H11240" s="9" t="s">
        <v>35</v>
      </c>
      <c r="I11240" s="9" t="s">
        <v>23025</v>
      </c>
      <c r="J11240" s="10" t="str">
        <f>HYPERLINK("https://www.boe.es/gazeta/dias/1834/07/30/pdfs/GMD-1834-163.pdf#page=3","Abrir facsímil")</f>
        <v>Abrir facsímil</v>
      </c>
      <c r="K11240" s="10" t="s">
        <v>37</v>
      </c>
    </row>
    <row r="11241" spans="1:11" ht="54" customHeight="1">
      <c r="A11241" s="9" t="s">
        <v>23026</v>
      </c>
      <c r="B11241" s="9" t="s">
        <v>23027</v>
      </c>
      <c r="C11241" s="9" t="s">
        <v>17</v>
      </c>
      <c r="D11241" s="9" t="s">
        <v>55</v>
      </c>
      <c r="E11241" s="10" t="s">
        <v>653</v>
      </c>
      <c r="F11241" s="9" t="s">
        <v>654</v>
      </c>
      <c r="G11241" s="10" t="s">
        <v>21</v>
      </c>
      <c r="H11241" s="9" t="s">
        <v>35</v>
      </c>
      <c r="I11241" s="9" t="s">
        <v>23028</v>
      </c>
      <c r="J11241" s="10" t="str">
        <f>HYPERLINK("https://www.boe.es/gazeta/dias/1834/08/06/pdfs/GMD-C-1834-170.pdf#page=3","Abrir facsímil")</f>
        <v>Abrir facsímil</v>
      </c>
      <c r="K11241" s="10" t="s">
        <v>37</v>
      </c>
    </row>
    <row r="11242" spans="1:11" ht="54" customHeight="1">
      <c r="A11242" s="9" t="s">
        <v>23029</v>
      </c>
      <c r="B11242" s="9" t="s">
        <v>23030</v>
      </c>
      <c r="C11242" s="9" t="s">
        <v>66</v>
      </c>
      <c r="D11242" s="9" t="s">
        <v>67</v>
      </c>
      <c r="E11242" s="10" t="s">
        <v>1402</v>
      </c>
      <c r="F11242" s="9" t="s">
        <v>1403</v>
      </c>
      <c r="G11242" s="10" t="s">
        <v>34</v>
      </c>
      <c r="H11242" s="9" t="s">
        <v>35</v>
      </c>
      <c r="I11242" s="9" t="s">
        <v>23031</v>
      </c>
      <c r="J11242" s="10" t="str">
        <f>HYPERLINK("https://www.boe.es/gazeta/dias/1834/05/05/pdfs/I00347-00348.pdf#page=1","Abrir facsímil")</f>
        <v>Abrir facsímil</v>
      </c>
      <c r="K11242" s="10" t="s">
        <v>37</v>
      </c>
    </row>
    <row r="11243" spans="1:11" ht="54" customHeight="1">
      <c r="A11243" s="9" t="s">
        <v>23029</v>
      </c>
      <c r="B11243" s="9" t="s">
        <v>23030</v>
      </c>
      <c r="C11243" s="9" t="s">
        <v>66</v>
      </c>
      <c r="D11243" s="9" t="s">
        <v>67</v>
      </c>
      <c r="E11243" s="10" t="s">
        <v>1402</v>
      </c>
      <c r="F11243" s="9" t="s">
        <v>1403</v>
      </c>
      <c r="G11243" s="10" t="s">
        <v>28</v>
      </c>
      <c r="H11243" s="9" t="s">
        <v>35</v>
      </c>
      <c r="I11243" s="9" t="s">
        <v>23032</v>
      </c>
      <c r="J11243" s="10" t="str">
        <f>HYPERLINK("https://www.boe.es/gazeta/dias/1834/05/05/pdfs/GMD-1834-74.pdf#page=5","Abrir facsímil")</f>
        <v>Abrir facsímil</v>
      </c>
      <c r="K11243" s="10" t="s">
        <v>37</v>
      </c>
    </row>
    <row r="11244" spans="1:11" ht="54" customHeight="1">
      <c r="A11244" s="9" t="s">
        <v>23033</v>
      </c>
      <c r="B11244" s="9" t="s">
        <v>23034</v>
      </c>
      <c r="C11244" s="9" t="s">
        <v>122</v>
      </c>
      <c r="D11244" s="9" t="s">
        <v>18</v>
      </c>
      <c r="E11244" s="10" t="s">
        <v>758</v>
      </c>
      <c r="F11244" s="9" t="s">
        <v>759</v>
      </c>
      <c r="G11244" s="10" t="s">
        <v>34</v>
      </c>
      <c r="H11244" s="9" t="s">
        <v>35</v>
      </c>
      <c r="I11244" s="9" t="s">
        <v>23035</v>
      </c>
      <c r="J11244" s="10" t="str">
        <f>HYPERLINK("https://www.boe.es/gazeta/dias/1834/01/04/pdfs/GMD-1834-3.pdf#page=1","Abrir facsímil")</f>
        <v>Abrir facsímil</v>
      </c>
      <c r="K11244" s="10" t="s">
        <v>37</v>
      </c>
    </row>
    <row r="11245" spans="1:11" ht="54" customHeight="1">
      <c r="A11245" s="9" t="s">
        <v>23036</v>
      </c>
      <c r="B11245" s="9" t="s">
        <v>23037</v>
      </c>
      <c r="C11245" s="9" t="s">
        <v>17</v>
      </c>
      <c r="D11245" s="9" t="s">
        <v>101</v>
      </c>
      <c r="E11245" s="10" t="s">
        <v>355</v>
      </c>
      <c r="F11245" s="9" t="s">
        <v>356</v>
      </c>
      <c r="G11245" s="10" t="s">
        <v>34</v>
      </c>
      <c r="H11245" s="9" t="s">
        <v>35</v>
      </c>
      <c r="I11245" s="9" t="s">
        <v>23038</v>
      </c>
      <c r="J11245" s="10" t="str">
        <f>HYPERLINK("https://www.boe.es/gazeta/dias/1834/07/04/pdfs/I00597-00598.pdf#page=1","Abrir facsímil")</f>
        <v>Abrir facsímil</v>
      </c>
      <c r="K11245" s="10" t="s">
        <v>37</v>
      </c>
    </row>
    <row r="11246" spans="1:11" ht="54" customHeight="1">
      <c r="A11246" s="9" t="s">
        <v>23036</v>
      </c>
      <c r="B11246" s="9" t="s">
        <v>23037</v>
      </c>
      <c r="C11246" s="9" t="s">
        <v>17</v>
      </c>
      <c r="D11246" s="9" t="s">
        <v>101</v>
      </c>
      <c r="E11246" s="10" t="s">
        <v>355</v>
      </c>
      <c r="F11246" s="9" t="s">
        <v>356</v>
      </c>
      <c r="G11246" s="10" t="s">
        <v>21</v>
      </c>
      <c r="H11246" s="9" t="s">
        <v>35</v>
      </c>
      <c r="I11246" s="9" t="s">
        <v>23039</v>
      </c>
      <c r="J11246" s="10" t="str">
        <f>HYPERLINK("https://www.boe.es/gazeta/dias/1834/07/04/pdfs/GMD-1834-137.pdf#page=3","Abrir facsímil")</f>
        <v>Abrir facsímil</v>
      </c>
      <c r="K11246" s="10" t="s">
        <v>37</v>
      </c>
    </row>
    <row r="11247" spans="1:11" ht="54" customHeight="1">
      <c r="A11247" s="9" t="s">
        <v>23040</v>
      </c>
      <c r="B11247" s="9" t="s">
        <v>23041</v>
      </c>
      <c r="C11247" s="9" t="s">
        <v>17</v>
      </c>
      <c r="D11247" s="9" t="s">
        <v>18</v>
      </c>
      <c r="E11247" s="10" t="s">
        <v>13660</v>
      </c>
      <c r="F11247" s="9" t="s">
        <v>13661</v>
      </c>
      <c r="G11247" s="10" t="s">
        <v>34</v>
      </c>
      <c r="H11247" s="9" t="s">
        <v>35</v>
      </c>
      <c r="I11247" s="9" t="s">
        <v>23042</v>
      </c>
      <c r="J11247" s="10" t="str">
        <f>HYPERLINK("https://www.boe.es/gazeta/dias/1834/12/15/pdfs/GMD-1834-304.pdf#page=1","Abrir facsímil")</f>
        <v>Abrir facsímil</v>
      </c>
      <c r="K11247" s="10" t="s">
        <v>37</v>
      </c>
    </row>
    <row r="11248" spans="1:11" ht="54" customHeight="1">
      <c r="A11248" s="9" t="s">
        <v>23043</v>
      </c>
      <c r="B11248" s="9" t="s">
        <v>23044</v>
      </c>
      <c r="C11248" s="9" t="s">
        <v>90</v>
      </c>
      <c r="D11248" s="9" t="s">
        <v>55</v>
      </c>
      <c r="E11248" s="10" t="s">
        <v>690</v>
      </c>
      <c r="F11248" s="9" t="s">
        <v>5765</v>
      </c>
      <c r="G11248" s="10" t="s">
        <v>34</v>
      </c>
      <c r="H11248" s="9" t="s">
        <v>35</v>
      </c>
      <c r="I11248" s="9" t="s">
        <v>23045</v>
      </c>
      <c r="J11248" s="10" t="str">
        <f>HYPERLINK("https://www.boe.es/gazeta/dias/1834/09/03/pdfs/GMD-1834-201.pdf#page=1","Abrir facsímil")</f>
        <v>Abrir facsímil</v>
      </c>
      <c r="K11248" s="10" t="s">
        <v>37</v>
      </c>
    </row>
    <row r="11249" spans="1:11" ht="54" customHeight="1">
      <c r="A11249" s="9" t="s">
        <v>23046</v>
      </c>
      <c r="B11249" s="9" t="s">
        <v>23047</v>
      </c>
      <c r="C11249" s="9" t="s">
        <v>17</v>
      </c>
      <c r="D11249" s="9" t="s">
        <v>18</v>
      </c>
      <c r="E11249" s="10" t="s">
        <v>1510</v>
      </c>
      <c r="F11249" s="9" t="s">
        <v>1511</v>
      </c>
      <c r="G11249" s="10" t="s">
        <v>86</v>
      </c>
      <c r="H11249" s="9" t="s">
        <v>35</v>
      </c>
      <c r="I11249" s="9" t="s">
        <v>23048</v>
      </c>
      <c r="J11249" s="10" t="str">
        <f>HYPERLINK("https://www.boe.es/gazeta/dias/1834/06/13/pdfs/GMD-1834-116.pdf#page=2","Abrir facsímil")</f>
        <v>Abrir facsímil</v>
      </c>
      <c r="K11249" s="10" t="s">
        <v>37</v>
      </c>
    </row>
    <row r="11250" spans="1:11" ht="54" customHeight="1">
      <c r="A11250" s="9" t="s">
        <v>23049</v>
      </c>
      <c r="B11250" s="9" t="s">
        <v>23050</v>
      </c>
      <c r="C11250" s="9" t="s">
        <v>90</v>
      </c>
      <c r="D11250" s="9" t="s">
        <v>18</v>
      </c>
      <c r="E11250" s="10" t="s">
        <v>91</v>
      </c>
      <c r="F11250" s="9" t="s">
        <v>92</v>
      </c>
      <c r="G11250" s="10" t="s">
        <v>34</v>
      </c>
      <c r="H11250" s="9" t="s">
        <v>35</v>
      </c>
      <c r="I11250" s="9" t="s">
        <v>23051</v>
      </c>
      <c r="J11250" s="10" t="str">
        <f>HYPERLINK("https://www.boe.es/gazeta/dias/1834/02/13/pdfs/GMD-1834-20.pdf#page=1","Abrir facsímil")</f>
        <v>Abrir facsímil</v>
      </c>
      <c r="K11250" s="10" t="s">
        <v>37</v>
      </c>
    </row>
    <row r="11251" spans="1:11" ht="54" customHeight="1">
      <c r="A11251" s="9" t="s">
        <v>23052</v>
      </c>
      <c r="B11251" s="9" t="s">
        <v>23053</v>
      </c>
      <c r="C11251" s="9" t="s">
        <v>17</v>
      </c>
      <c r="D11251" s="9" t="s">
        <v>101</v>
      </c>
      <c r="E11251" s="10" t="s">
        <v>355</v>
      </c>
      <c r="F11251" s="9" t="s">
        <v>356</v>
      </c>
      <c r="G11251" s="10" t="s">
        <v>34</v>
      </c>
      <c r="H11251" s="9" t="s">
        <v>35</v>
      </c>
      <c r="I11251" s="9" t="s">
        <v>23054</v>
      </c>
      <c r="J11251" s="10" t="str">
        <f>HYPERLINK("https://www.boe.es/gazeta/dias/1834/07/04/pdfs/I00597-00598.pdf#page=1","Abrir facsímil")</f>
        <v>Abrir facsímil</v>
      </c>
      <c r="K11251" s="10" t="s">
        <v>37</v>
      </c>
    </row>
    <row r="11252" spans="1:11" ht="54" customHeight="1">
      <c r="A11252" s="9" t="s">
        <v>23052</v>
      </c>
      <c r="B11252" s="9" t="s">
        <v>23053</v>
      </c>
      <c r="C11252" s="9" t="s">
        <v>17</v>
      </c>
      <c r="D11252" s="9" t="s">
        <v>101</v>
      </c>
      <c r="E11252" s="10" t="s">
        <v>355</v>
      </c>
      <c r="F11252" s="9" t="s">
        <v>356</v>
      </c>
      <c r="G11252" s="10" t="s">
        <v>21</v>
      </c>
      <c r="H11252" s="9" t="s">
        <v>35</v>
      </c>
      <c r="I11252" s="9" t="s">
        <v>23055</v>
      </c>
      <c r="J11252" s="10" t="str">
        <f>HYPERLINK("https://www.boe.es/gazeta/dias/1834/07/04/pdfs/GMD-1834-137.pdf#page=3","Abrir facsímil")</f>
        <v>Abrir facsímil</v>
      </c>
      <c r="K11252" s="10" t="s">
        <v>37</v>
      </c>
    </row>
    <row r="11253" spans="1:11" ht="54" customHeight="1">
      <c r="A11253" s="9" t="s">
        <v>23056</v>
      </c>
      <c r="B11253" s="9" t="s">
        <v>23057</v>
      </c>
      <c r="C11253" s="9" t="s">
        <v>17</v>
      </c>
      <c r="D11253" s="9" t="s">
        <v>18</v>
      </c>
      <c r="E11253" s="10" t="s">
        <v>2526</v>
      </c>
      <c r="F11253" s="9" t="s">
        <v>8236</v>
      </c>
      <c r="G11253" s="10" t="s">
        <v>34</v>
      </c>
      <c r="H11253" s="9" t="s">
        <v>35</v>
      </c>
      <c r="I11253" s="9" t="s">
        <v>23058</v>
      </c>
      <c r="J11253" s="10" t="str">
        <f>HYPERLINK("https://www.boe.es/gazeta/dias/1834/12/29/pdfs/GMD-1834-319.pdf#page=1","Abrir facsímil")</f>
        <v>Abrir facsímil</v>
      </c>
      <c r="K11253" s="10" t="s">
        <v>37</v>
      </c>
    </row>
    <row r="11254" spans="1:11" ht="54" customHeight="1">
      <c r="A11254" s="9" t="s">
        <v>23059</v>
      </c>
      <c r="B11254" s="9" t="s">
        <v>23060</v>
      </c>
      <c r="C11254" s="9" t="s">
        <v>17</v>
      </c>
      <c r="D11254" s="9" t="s">
        <v>18</v>
      </c>
      <c r="E11254" s="10" t="s">
        <v>3066</v>
      </c>
      <c r="F11254" s="9" t="s">
        <v>3188</v>
      </c>
      <c r="G11254" s="10" t="s">
        <v>86</v>
      </c>
      <c r="H11254" s="9" t="s">
        <v>35</v>
      </c>
      <c r="I11254" s="9" t="s">
        <v>23061</v>
      </c>
      <c r="J11254" s="10" t="str">
        <f>HYPERLINK("https://www.boe.es/gazeta/dias/1834/08/03/pdfs/I00721-00722.pdf#page=2","Abrir facsímil")</f>
        <v>Abrir facsímil</v>
      </c>
      <c r="K11254" s="10" t="s">
        <v>37</v>
      </c>
    </row>
    <row r="11255" spans="1:11" ht="54" customHeight="1">
      <c r="A11255" s="9" t="s">
        <v>23059</v>
      </c>
      <c r="B11255" s="9" t="s">
        <v>23060</v>
      </c>
      <c r="C11255" s="9" t="s">
        <v>17</v>
      </c>
      <c r="D11255" s="9" t="s">
        <v>18</v>
      </c>
      <c r="E11255" s="10" t="s">
        <v>3066</v>
      </c>
      <c r="F11255" s="9" t="s">
        <v>3188</v>
      </c>
      <c r="G11255" s="10" t="s">
        <v>75</v>
      </c>
      <c r="H11255" s="9" t="s">
        <v>35</v>
      </c>
      <c r="I11255" s="9" t="s">
        <v>23061</v>
      </c>
      <c r="J11255" s="10" t="str">
        <f>HYPERLINK("https://www.boe.es/gazeta/dias/1834/08/03/pdfs/GMD-1834-167.pdf#page=4","Abrir facsímil")</f>
        <v>Abrir facsímil</v>
      </c>
      <c r="K11255" s="10" t="s">
        <v>37</v>
      </c>
    </row>
    <row r="11256" spans="1:11" ht="54" customHeight="1">
      <c r="A11256" s="9" t="s">
        <v>23062</v>
      </c>
      <c r="B11256" s="9" t="s">
        <v>23063</v>
      </c>
      <c r="C11256" s="9" t="s">
        <v>90</v>
      </c>
      <c r="D11256" s="9" t="s">
        <v>18</v>
      </c>
      <c r="E11256" s="10" t="s">
        <v>454</v>
      </c>
      <c r="F11256" s="9" t="s">
        <v>2009</v>
      </c>
      <c r="G11256" s="10" t="s">
        <v>21</v>
      </c>
      <c r="H11256" s="9" t="s">
        <v>35</v>
      </c>
      <c r="I11256" s="9" t="s">
        <v>23064</v>
      </c>
      <c r="J11256" s="10" t="str">
        <f>HYPERLINK("https://www.boe.es/gazeta/dias/1834/10/16/pdfs/GMD-1834-244.pdf#page=3","Abrir facsímil")</f>
        <v>Abrir facsímil</v>
      </c>
      <c r="K11256" s="10" t="s">
        <v>37</v>
      </c>
    </row>
    <row r="11257" spans="1:11" ht="54" customHeight="1">
      <c r="A11257" s="9" t="s">
        <v>23065</v>
      </c>
      <c r="B11257" s="9" t="s">
        <v>23066</v>
      </c>
      <c r="C11257" s="9" t="s">
        <v>90</v>
      </c>
      <c r="D11257" s="9" t="s">
        <v>67</v>
      </c>
      <c r="E11257" s="10" t="s">
        <v>128</v>
      </c>
      <c r="F11257" s="9" t="s">
        <v>1068</v>
      </c>
      <c r="G11257" s="10" t="s">
        <v>34</v>
      </c>
      <c r="H11257" s="9" t="s">
        <v>35</v>
      </c>
      <c r="I11257" s="9" t="s">
        <v>23067</v>
      </c>
      <c r="J11257" s="10" t="str">
        <f>HYPERLINK("https://www.boe.es/gazeta/dias/1834/12/24/pdfs/GMD-1834-314.pdf#page=1","Abrir facsímil")</f>
        <v>Abrir facsímil</v>
      </c>
      <c r="K11257" s="10" t="s">
        <v>37</v>
      </c>
    </row>
    <row r="11258" spans="1:11" ht="54" customHeight="1">
      <c r="A11258" s="9" t="s">
        <v>23068</v>
      </c>
      <c r="B11258" s="9" t="s">
        <v>23069</v>
      </c>
      <c r="C11258" s="9" t="s">
        <v>66</v>
      </c>
      <c r="D11258" s="9" t="s">
        <v>67</v>
      </c>
      <c r="E11258" s="10" t="s">
        <v>255</v>
      </c>
      <c r="F11258" s="9" t="s">
        <v>256</v>
      </c>
      <c r="G11258" s="10" t="s">
        <v>34</v>
      </c>
      <c r="H11258" s="9" t="s">
        <v>35</v>
      </c>
      <c r="I11258" s="9" t="s">
        <v>23070</v>
      </c>
      <c r="J11258" s="10" t="str">
        <f>HYPERLINK("https://www.boe.es/gazeta/dias/1834/09/01/pdfs/GMD-C-1834-199.pdf#page=1","Abrir facsímil")</f>
        <v>Abrir facsímil</v>
      </c>
      <c r="K11258" s="10" t="s">
        <v>37</v>
      </c>
    </row>
    <row r="11259" spans="1:11" ht="54" customHeight="1">
      <c r="A11259" s="9" t="s">
        <v>23071</v>
      </c>
      <c r="B11259" s="9" t="s">
        <v>23072</v>
      </c>
      <c r="C11259" s="9" t="s">
        <v>46</v>
      </c>
      <c r="D11259" s="9" t="s">
        <v>55</v>
      </c>
      <c r="E11259" s="10" t="s">
        <v>2087</v>
      </c>
      <c r="F11259" s="9" t="s">
        <v>2088</v>
      </c>
      <c r="G11259" s="10" t="s">
        <v>34</v>
      </c>
      <c r="H11259" s="9" t="s">
        <v>35</v>
      </c>
      <c r="I11259" s="9" t="s">
        <v>23073</v>
      </c>
      <c r="J11259" s="10" t="str">
        <f>HYPERLINK("https://www.boe.es/gazeta/dias/1834/12/14/pdfs/GMD-1834-303.pdf#page=1","Abrir facsímil")</f>
        <v>Abrir facsímil</v>
      </c>
      <c r="K11259" s="10" t="s">
        <v>37</v>
      </c>
    </row>
    <row r="11260" spans="1:11" ht="54" customHeight="1">
      <c r="A11260" s="9" t="s">
        <v>23074</v>
      </c>
      <c r="B11260" s="9" t="s">
        <v>23075</v>
      </c>
      <c r="C11260" s="9" t="s">
        <v>17</v>
      </c>
      <c r="D11260" s="9" t="s">
        <v>18</v>
      </c>
      <c r="E11260" s="10" t="s">
        <v>753</v>
      </c>
      <c r="F11260" s="9" t="s">
        <v>754</v>
      </c>
      <c r="G11260" s="10" t="s">
        <v>28</v>
      </c>
      <c r="H11260" s="9" t="s">
        <v>35</v>
      </c>
      <c r="I11260" s="9" t="s">
        <v>23076</v>
      </c>
      <c r="J11260" s="10" t="str">
        <f>HYPERLINK("https://www.boe.es/gazeta/dias/1834/04/21/pdfs/GMD-1834-60.pdf#page=5","Abrir facsímil")</f>
        <v>Abrir facsímil</v>
      </c>
      <c r="K11260" s="10" t="s">
        <v>37</v>
      </c>
    </row>
    <row r="11261" spans="1:11" ht="54" customHeight="1">
      <c r="A11261" s="9" t="s">
        <v>23077</v>
      </c>
      <c r="B11261" s="9" t="s">
        <v>23078</v>
      </c>
      <c r="C11261" s="9" t="s">
        <v>17</v>
      </c>
      <c r="D11261" s="9" t="s">
        <v>18</v>
      </c>
      <c r="E11261" s="10" t="s">
        <v>47</v>
      </c>
      <c r="F11261" s="9" t="s">
        <v>1466</v>
      </c>
      <c r="G11261" s="10" t="s">
        <v>86</v>
      </c>
      <c r="H11261" s="9" t="s">
        <v>35</v>
      </c>
      <c r="I11261" s="9" t="s">
        <v>23079</v>
      </c>
      <c r="J11261" s="10" t="str">
        <f>HYPERLINK("https://www.boe.es/gazeta/dias/1834/09/05/pdfs/GMD-1834-203.pdf#page=2","Abrir facsímil")</f>
        <v>Abrir facsímil</v>
      </c>
      <c r="K11261" s="10" t="s">
        <v>37</v>
      </c>
    </row>
    <row r="11262" spans="1:11" ht="54" customHeight="1">
      <c r="A11262" s="9" t="s">
        <v>23080</v>
      </c>
      <c r="B11262" s="9" t="s">
        <v>23081</v>
      </c>
      <c r="C11262" s="9" t="s">
        <v>17</v>
      </c>
      <c r="D11262" s="9" t="s">
        <v>18</v>
      </c>
      <c r="E11262" s="10" t="s">
        <v>3699</v>
      </c>
      <c r="F11262" s="9" t="s">
        <v>3700</v>
      </c>
      <c r="G11262" s="10" t="s">
        <v>34</v>
      </c>
      <c r="H11262" s="9" t="s">
        <v>35</v>
      </c>
      <c r="I11262" s="9" t="s">
        <v>23082</v>
      </c>
      <c r="J11262" s="10" t="str">
        <f>HYPERLINK("https://www.boe.es/gazeta/dias/1834/02/06/pdfs/GMD-1834-17.pdf#page=1","Abrir facsímil")</f>
        <v>Abrir facsímil</v>
      </c>
      <c r="K11262" s="10" t="s">
        <v>37</v>
      </c>
    </row>
    <row r="11263" spans="1:11" ht="54" customHeight="1">
      <c r="A11263" s="9" t="s">
        <v>23083</v>
      </c>
      <c r="B11263" s="9" t="s">
        <v>23084</v>
      </c>
      <c r="C11263" s="9" t="s">
        <v>66</v>
      </c>
      <c r="D11263" s="9" t="s">
        <v>67</v>
      </c>
      <c r="E11263" s="10" t="s">
        <v>2260</v>
      </c>
      <c r="F11263" s="9" t="s">
        <v>2263</v>
      </c>
      <c r="G11263" s="10" t="s">
        <v>21</v>
      </c>
      <c r="H11263" s="9" t="s">
        <v>35</v>
      </c>
      <c r="I11263" s="9" t="s">
        <v>23085</v>
      </c>
      <c r="J11263" s="10" t="str">
        <f>HYPERLINK("https://www.boe.es/gazeta/dias/1834/11/13/pdfs/GMD-C-1834-272.pdf#page=3","Abrir facsímil")</f>
        <v>Abrir facsímil</v>
      </c>
      <c r="K11263" s="10" t="s">
        <v>37</v>
      </c>
    </row>
    <row r="11264" spans="1:11" ht="54" customHeight="1">
      <c r="A11264" s="9" t="s">
        <v>23086</v>
      </c>
      <c r="B11264" s="9" t="s">
        <v>23087</v>
      </c>
      <c r="C11264" s="9" t="s">
        <v>66</v>
      </c>
      <c r="D11264" s="9" t="s">
        <v>67</v>
      </c>
      <c r="E11264" s="10" t="s">
        <v>3499</v>
      </c>
      <c r="F11264" s="9" t="s">
        <v>3500</v>
      </c>
      <c r="G11264" s="10" t="s">
        <v>75</v>
      </c>
      <c r="H11264" s="9" t="s">
        <v>35</v>
      </c>
      <c r="I11264" s="9" t="s">
        <v>23088</v>
      </c>
      <c r="J11264" s="10" t="str">
        <f>HYPERLINK("https://www.boe.es/gazeta/dias/1834/01/28/pdfs/GMD-1834-13.pdf#page=4","Abrir facsímil")</f>
        <v>Abrir facsímil</v>
      </c>
      <c r="K11264" s="10" t="s">
        <v>37</v>
      </c>
    </row>
    <row r="11265" spans="1:11" ht="54" customHeight="1">
      <c r="A11265" s="9" t="s">
        <v>23089</v>
      </c>
      <c r="B11265" s="9" t="s">
        <v>23090</v>
      </c>
      <c r="C11265" s="9" t="s">
        <v>17</v>
      </c>
      <c r="D11265" s="9" t="s">
        <v>18</v>
      </c>
      <c r="E11265" s="10" t="s">
        <v>8346</v>
      </c>
      <c r="F11265" s="9" t="s">
        <v>8347</v>
      </c>
      <c r="G11265" s="10" t="s">
        <v>34</v>
      </c>
      <c r="H11265" s="9" t="s">
        <v>35</v>
      </c>
      <c r="I11265" s="9" t="s">
        <v>23091</v>
      </c>
      <c r="J11265" s="10" t="str">
        <f>HYPERLINK("https://www.boe.es/gazeta/dias/1834/12/04/pdfs/GMD-1834-293.pdf#page=1","Abrir facsímil")</f>
        <v>Abrir facsímil</v>
      </c>
      <c r="K11265" s="10" t="s">
        <v>37</v>
      </c>
    </row>
    <row r="11266" spans="1:11" ht="54" customHeight="1">
      <c r="A11266" s="9" t="s">
        <v>23092</v>
      </c>
      <c r="B11266" s="9" t="s">
        <v>23093</v>
      </c>
      <c r="C11266" s="9" t="s">
        <v>17</v>
      </c>
      <c r="D11266" s="9" t="s">
        <v>18</v>
      </c>
      <c r="E11266" s="10" t="s">
        <v>1170</v>
      </c>
      <c r="F11266" s="9" t="s">
        <v>1171</v>
      </c>
      <c r="G11266" s="10" t="s">
        <v>21</v>
      </c>
      <c r="H11266" s="9" t="s">
        <v>35</v>
      </c>
      <c r="I11266" s="9" t="s">
        <v>23094</v>
      </c>
      <c r="J11266" s="10" t="str">
        <f>HYPERLINK("https://www.boe.es/gazeta/dias/1834/01/07/pdfs/GMD-1834-4.pdf#page=3","Abrir facsímil")</f>
        <v>Abrir facsímil</v>
      </c>
      <c r="K11266" s="10" t="s">
        <v>37</v>
      </c>
    </row>
    <row r="11267" spans="1:11" ht="54" customHeight="1">
      <c r="A11267" s="9" t="s">
        <v>23095</v>
      </c>
      <c r="B11267" s="9" t="s">
        <v>23096</v>
      </c>
      <c r="C11267" s="9" t="s">
        <v>90</v>
      </c>
      <c r="D11267" s="9" t="s">
        <v>18</v>
      </c>
      <c r="E11267" s="10" t="s">
        <v>3810</v>
      </c>
      <c r="F11267" s="9" t="s">
        <v>3811</v>
      </c>
      <c r="G11267" s="10" t="s">
        <v>34</v>
      </c>
      <c r="H11267" s="9" t="s">
        <v>35</v>
      </c>
      <c r="I11267" s="9" t="s">
        <v>23097</v>
      </c>
      <c r="J11267" s="10" t="str">
        <f>HYPERLINK("https://www.boe.es/gazeta/dias/1834/02/20/pdfs/GMD-1834-23.pdf#page=1","Abrir facsímil")</f>
        <v>Abrir facsímil</v>
      </c>
      <c r="K11267" s="10" t="s">
        <v>37</v>
      </c>
    </row>
    <row r="11268" spans="1:11" ht="54" customHeight="1">
      <c r="A11268" s="9" t="s">
        <v>23098</v>
      </c>
      <c r="B11268" s="9" t="s">
        <v>23099</v>
      </c>
      <c r="C11268" s="9" t="s">
        <v>17</v>
      </c>
      <c r="D11268" s="9" t="s">
        <v>18</v>
      </c>
      <c r="E11268" s="10" t="s">
        <v>84</v>
      </c>
      <c r="F11268" s="9" t="s">
        <v>1223</v>
      </c>
      <c r="G11268" s="10" t="s">
        <v>75</v>
      </c>
      <c r="H11268" s="9" t="s">
        <v>35</v>
      </c>
      <c r="I11268" s="9" t="s">
        <v>23100</v>
      </c>
      <c r="J11268" s="10" t="str">
        <f>HYPERLINK("https://www.boe.es/gazeta/dias/1834/06/07/pdfs/GMD-1834-109.pdf#page=4","Abrir facsímil")</f>
        <v>Abrir facsímil</v>
      </c>
      <c r="K11268" s="10" t="s">
        <v>37</v>
      </c>
    </row>
    <row r="11269" spans="1:11" ht="54" customHeight="1">
      <c r="A11269" s="9" t="s">
        <v>23101</v>
      </c>
      <c r="B11269" s="9" t="s">
        <v>23102</v>
      </c>
      <c r="C11269" s="9" t="s">
        <v>17</v>
      </c>
      <c r="D11269" s="9" t="s">
        <v>18</v>
      </c>
      <c r="E11269" s="10" t="s">
        <v>84</v>
      </c>
      <c r="F11269" s="9" t="s">
        <v>1223</v>
      </c>
      <c r="G11269" s="10" t="s">
        <v>75</v>
      </c>
      <c r="H11269" s="9" t="s">
        <v>22</v>
      </c>
      <c r="I11269" s="9" t="s">
        <v>23103</v>
      </c>
      <c r="J11269" s="10" t="str">
        <f>HYPERLINK("https://www.boe.es/gazeta/dias/1834/06/07/pdfs/GMD-1834-109.pdf#page=4","Abrir facsímil")</f>
        <v>Abrir facsímil</v>
      </c>
      <c r="K11269" s="10" t="s">
        <v>24</v>
      </c>
    </row>
    <row r="11270" spans="1:11" ht="54" customHeight="1">
      <c r="A11270" s="9" t="s">
        <v>23104</v>
      </c>
      <c r="B11270" s="9" t="s">
        <v>23105</v>
      </c>
      <c r="C11270" s="9" t="s">
        <v>66</v>
      </c>
      <c r="D11270" s="9" t="s">
        <v>67</v>
      </c>
      <c r="E11270" s="10" t="s">
        <v>91</v>
      </c>
      <c r="F11270" s="9" t="s">
        <v>92</v>
      </c>
      <c r="G11270" s="10" t="s">
        <v>86</v>
      </c>
      <c r="H11270" s="9" t="s">
        <v>35</v>
      </c>
      <c r="I11270" s="9" t="s">
        <v>23106</v>
      </c>
      <c r="J11270" s="10" t="str">
        <f>HYPERLINK("https://www.boe.es/gazeta/dias/1834/02/13/pdfs/GMD-1834-20.pdf#page=2","Abrir facsímil")</f>
        <v>Abrir facsímil</v>
      </c>
      <c r="K11270" s="10" t="s">
        <v>37</v>
      </c>
    </row>
    <row r="11271" spans="1:11" ht="54" customHeight="1">
      <c r="A11271" s="9" t="s">
        <v>23107</v>
      </c>
      <c r="B11271" s="9" t="s">
        <v>23107</v>
      </c>
      <c r="C11271" s="9" t="s">
        <v>66</v>
      </c>
      <c r="D11271" s="9" t="s">
        <v>18</v>
      </c>
      <c r="E11271" s="10" t="s">
        <v>1186</v>
      </c>
      <c r="F11271" s="9" t="s">
        <v>1187</v>
      </c>
      <c r="G11271" s="10" t="s">
        <v>34</v>
      </c>
      <c r="H11271" s="9" t="s">
        <v>22</v>
      </c>
      <c r="I11271" s="9" t="s">
        <v>23108</v>
      </c>
      <c r="J11271" s="10" t="str">
        <f>HYPERLINK("https://www.boe.es/gazeta/dias/1834/08/14/pdfs/GMD-1834-179.pdf#page=1","Abrir facsímil")</f>
        <v>Abrir facsímil</v>
      </c>
      <c r="K11271" s="10" t="s">
        <v>24</v>
      </c>
    </row>
    <row r="11272" spans="1:11" ht="54" customHeight="1">
      <c r="A11272" s="9" t="s">
        <v>23109</v>
      </c>
      <c r="B11272" s="9" t="s">
        <v>23110</v>
      </c>
      <c r="C11272" s="9" t="s">
        <v>66</v>
      </c>
      <c r="D11272" s="9" t="s">
        <v>18</v>
      </c>
      <c r="E11272" s="10" t="s">
        <v>364</v>
      </c>
      <c r="F11272" s="9" t="s">
        <v>365</v>
      </c>
      <c r="G11272" s="10" t="s">
        <v>86</v>
      </c>
      <c r="H11272" s="9" t="s">
        <v>35</v>
      </c>
      <c r="I11272" s="9" t="s">
        <v>23111</v>
      </c>
      <c r="J11272" s="10" t="str">
        <f>HYPERLINK("https://www.boe.es/gazeta/dias/1834/09/06/pdfs/GMD-D-1834-204.pdf#page=2","Abrir facsímil")</f>
        <v>Abrir facsímil</v>
      </c>
      <c r="K11272" s="10" t="s">
        <v>37</v>
      </c>
    </row>
    <row r="11273" spans="1:11" ht="54" customHeight="1">
      <c r="A11273" s="9" t="s">
        <v>23112</v>
      </c>
      <c r="B11273" s="9" t="s">
        <v>23113</v>
      </c>
      <c r="C11273" s="9" t="s">
        <v>66</v>
      </c>
      <c r="D11273" s="9" t="s">
        <v>67</v>
      </c>
      <c r="E11273" s="10" t="s">
        <v>2241</v>
      </c>
      <c r="F11273" s="9" t="s">
        <v>2242</v>
      </c>
      <c r="G11273" s="10" t="s">
        <v>21</v>
      </c>
      <c r="H11273" s="9" t="s">
        <v>35</v>
      </c>
      <c r="I11273" s="9" t="s">
        <v>23114</v>
      </c>
      <c r="J11273" s="10" t="str">
        <f>HYPERLINK("https://www.boe.es/gazeta/dias/1834/03/11/pdfs/GMD-1834-31.pdf#page=3","Abrir facsímil")</f>
        <v>Abrir facsímil</v>
      </c>
      <c r="K11273" s="10" t="s">
        <v>37</v>
      </c>
    </row>
    <row r="11274" spans="1:11" ht="54" customHeight="1">
      <c r="A11274" s="9" t="s">
        <v>23112</v>
      </c>
      <c r="B11274" s="9" t="s">
        <v>23113</v>
      </c>
      <c r="C11274" s="9" t="s">
        <v>17</v>
      </c>
      <c r="D11274" s="9" t="s">
        <v>18</v>
      </c>
      <c r="E11274" s="10" t="s">
        <v>448</v>
      </c>
      <c r="F11274" s="9" t="s">
        <v>449</v>
      </c>
      <c r="G11274" s="10" t="s">
        <v>34</v>
      </c>
      <c r="H11274" s="9" t="s">
        <v>35</v>
      </c>
      <c r="I11274" s="9" t="s">
        <v>23115</v>
      </c>
      <c r="J11274" s="10" t="str">
        <f>HYPERLINK("https://www.boe.es/gazeta/dias/1834/10/14/pdfs/GMD-C-1834-242.pdf#page=1","Abrir facsímil")</f>
        <v>Abrir facsímil</v>
      </c>
      <c r="K11274" s="10" t="s">
        <v>37</v>
      </c>
    </row>
    <row r="11275" spans="1:11" ht="54" customHeight="1">
      <c r="A11275" s="9" t="s">
        <v>23116</v>
      </c>
      <c r="B11275" s="9" t="s">
        <v>23117</v>
      </c>
      <c r="C11275" s="9" t="s">
        <v>17</v>
      </c>
      <c r="D11275" s="9" t="s">
        <v>40</v>
      </c>
      <c r="E11275" s="10" t="s">
        <v>153</v>
      </c>
      <c r="F11275" s="9" t="s">
        <v>1294</v>
      </c>
      <c r="G11275" s="10" t="s">
        <v>75</v>
      </c>
      <c r="H11275" s="9" t="s">
        <v>35</v>
      </c>
      <c r="I11275" s="9" t="s">
        <v>23118</v>
      </c>
      <c r="J11275" s="10" t="str">
        <f>HYPERLINK("https://www.boe.es/gazeta/dias/1834/12/30/pdfs/GMD-1834-320.pdf#page=4","Abrir facsímil")</f>
        <v>Abrir facsímil</v>
      </c>
      <c r="K11275" s="10" t="s">
        <v>37</v>
      </c>
    </row>
    <row r="11276" spans="1:11" ht="54" customHeight="1">
      <c r="A11276" s="9" t="s">
        <v>23119</v>
      </c>
      <c r="B11276" s="9" t="s">
        <v>23120</v>
      </c>
      <c r="C11276" s="9" t="s">
        <v>90</v>
      </c>
      <c r="D11276" s="9" t="s">
        <v>18</v>
      </c>
      <c r="E11276" s="10" t="s">
        <v>273</v>
      </c>
      <c r="F11276" s="9" t="s">
        <v>274</v>
      </c>
      <c r="G11276" s="10" t="s">
        <v>21</v>
      </c>
      <c r="H11276" s="9" t="s">
        <v>35</v>
      </c>
      <c r="I11276" s="9" t="s">
        <v>23121</v>
      </c>
      <c r="J11276" s="10" t="str">
        <f>HYPERLINK("https://www.boe.es/gazeta/dias/1834/08/31/pdfs/GMD-D-1834-198.pdf#page=3","Abrir facsímil")</f>
        <v>Abrir facsímil</v>
      </c>
      <c r="K11276" s="10" t="s">
        <v>37</v>
      </c>
    </row>
    <row r="11277" spans="1:11" ht="54" customHeight="1">
      <c r="A11277" s="9" t="s">
        <v>23122</v>
      </c>
      <c r="B11277" s="9" t="s">
        <v>23123</v>
      </c>
      <c r="C11277" s="9" t="s">
        <v>17</v>
      </c>
      <c r="D11277" s="9" t="s">
        <v>40</v>
      </c>
      <c r="E11277" s="10" t="s">
        <v>11991</v>
      </c>
      <c r="F11277" s="9" t="s">
        <v>11992</v>
      </c>
      <c r="G11277" s="10" t="s">
        <v>34</v>
      </c>
      <c r="H11277" s="9" t="s">
        <v>35</v>
      </c>
      <c r="I11277" s="9" t="s">
        <v>23124</v>
      </c>
      <c r="J11277" s="10" t="str">
        <f>HYPERLINK("https://www.boe.es/gazeta/dias/1834/12/05/pdfs/GMD-C-1834-294.pdf#page=1","Abrir facsímil")</f>
        <v>Abrir facsímil</v>
      </c>
      <c r="K11277" s="10" t="s">
        <v>37</v>
      </c>
    </row>
    <row r="11278" spans="1:11" ht="54" customHeight="1">
      <c r="A11278" s="9" t="s">
        <v>23125</v>
      </c>
      <c r="B11278" s="9" t="s">
        <v>23126</v>
      </c>
      <c r="C11278" s="9" t="s">
        <v>66</v>
      </c>
      <c r="D11278" s="9" t="s">
        <v>18</v>
      </c>
      <c r="E11278" s="10" t="s">
        <v>364</v>
      </c>
      <c r="F11278" s="9" t="s">
        <v>365</v>
      </c>
      <c r="G11278" s="10" t="s">
        <v>86</v>
      </c>
      <c r="H11278" s="9" t="s">
        <v>22</v>
      </c>
      <c r="I11278" s="9" t="s">
        <v>23127</v>
      </c>
      <c r="J11278" s="10" t="str">
        <f>HYPERLINK("https://www.boe.es/gazeta/dias/1834/09/06/pdfs/GMD-D-1834-204.pdf#page=2","Abrir facsímil")</f>
        <v>Abrir facsímil</v>
      </c>
      <c r="K11278" s="10" t="s">
        <v>24</v>
      </c>
    </row>
    <row r="11279" spans="1:11" ht="54" customHeight="1">
      <c r="A11279" s="9" t="s">
        <v>23128</v>
      </c>
      <c r="B11279" s="9" t="s">
        <v>23129</v>
      </c>
      <c r="C11279" s="9" t="s">
        <v>17</v>
      </c>
      <c r="D11279" s="9" t="s">
        <v>18</v>
      </c>
      <c r="E11279" s="10" t="s">
        <v>61</v>
      </c>
      <c r="F11279" s="9" t="s">
        <v>205</v>
      </c>
      <c r="G11279" s="10" t="s">
        <v>21</v>
      </c>
      <c r="H11279" s="9" t="s">
        <v>22</v>
      </c>
      <c r="I11279" s="9" t="s">
        <v>23130</v>
      </c>
      <c r="J11279" s="10" t="str">
        <f>HYPERLINK("https://www.boe.es/gazeta/dias/1834/06/08/pdfs/GMD-1834-110.pdf#page=3","Abrir facsímil")</f>
        <v>Abrir facsímil</v>
      </c>
      <c r="K11279" s="10" t="s">
        <v>24</v>
      </c>
    </row>
    <row r="11280" spans="1:11" ht="54" customHeight="1">
      <c r="A11280" s="9" t="s">
        <v>23131</v>
      </c>
      <c r="B11280" s="9" t="s">
        <v>23132</v>
      </c>
      <c r="C11280" s="9" t="s">
        <v>17</v>
      </c>
      <c r="D11280" s="9" t="s">
        <v>18</v>
      </c>
      <c r="E11280" s="10" t="s">
        <v>448</v>
      </c>
      <c r="F11280" s="9" t="s">
        <v>449</v>
      </c>
      <c r="G11280" s="10" t="s">
        <v>34</v>
      </c>
      <c r="H11280" s="9" t="s">
        <v>22</v>
      </c>
      <c r="I11280" s="9" t="s">
        <v>23133</v>
      </c>
      <c r="J11280" s="10" t="str">
        <f>HYPERLINK("https://www.boe.es/gazeta/dias/1834/10/14/pdfs/GMD-C-1834-242.pdf#page=1","Abrir facsímil")</f>
        <v>Abrir facsímil</v>
      </c>
      <c r="K11280" s="10" t="s">
        <v>24</v>
      </c>
    </row>
    <row r="11281" spans="1:11" ht="54" customHeight="1">
      <c r="A11281" s="9" t="s">
        <v>23134</v>
      </c>
      <c r="B11281" s="9" t="s">
        <v>23135</v>
      </c>
      <c r="C11281" s="9" t="s">
        <v>46</v>
      </c>
      <c r="D11281" s="9" t="s">
        <v>18</v>
      </c>
      <c r="E11281" s="10" t="s">
        <v>571</v>
      </c>
      <c r="F11281" s="9" t="s">
        <v>572</v>
      </c>
      <c r="G11281" s="10" t="s">
        <v>75</v>
      </c>
      <c r="H11281" s="9" t="s">
        <v>22</v>
      </c>
      <c r="I11281" s="9" t="s">
        <v>23136</v>
      </c>
      <c r="J11281" s="10" t="str">
        <f>HYPERLINK("https://www.boe.es/gazeta/dias/1834/09/04/pdfs/GMD-1834-202.pdf#page=4","Abrir facsímil")</f>
        <v>Abrir facsímil</v>
      </c>
      <c r="K11281" s="10" t="s">
        <v>24</v>
      </c>
    </row>
    <row r="11282" spans="1:11" ht="54" customHeight="1">
      <c r="A11282" s="9" t="s">
        <v>23134</v>
      </c>
      <c r="B11282" s="9" t="s">
        <v>23135</v>
      </c>
      <c r="C11282" s="9" t="s">
        <v>46</v>
      </c>
      <c r="D11282" s="9" t="s">
        <v>55</v>
      </c>
      <c r="E11282" s="10" t="s">
        <v>696</v>
      </c>
      <c r="F11282" s="9" t="s">
        <v>854</v>
      </c>
      <c r="G11282" s="10" t="s">
        <v>86</v>
      </c>
      <c r="H11282" s="9" t="s">
        <v>22</v>
      </c>
      <c r="I11282" s="9" t="s">
        <v>23137</v>
      </c>
      <c r="J11282" s="10" t="str">
        <f>HYPERLINK("https://www.boe.es/gazeta/dias/1834/12/06/pdfs/GMD-1834-295.pdf#page=2","Abrir facsímil")</f>
        <v>Abrir facsímil</v>
      </c>
      <c r="K11282" s="10" t="s">
        <v>24</v>
      </c>
    </row>
    <row r="11283" spans="1:11" ht="54" customHeight="1">
      <c r="A11283" s="9" t="s">
        <v>23134</v>
      </c>
      <c r="B11283" s="9" t="s">
        <v>23135</v>
      </c>
      <c r="C11283" s="9" t="s">
        <v>90</v>
      </c>
      <c r="D11283" s="9" t="s">
        <v>101</v>
      </c>
      <c r="E11283" s="10" t="s">
        <v>1572</v>
      </c>
      <c r="F11283" s="9" t="s">
        <v>1573</v>
      </c>
      <c r="G11283" s="10" t="s">
        <v>34</v>
      </c>
      <c r="H11283" s="9" t="s">
        <v>22</v>
      </c>
      <c r="I11283" s="9" t="s">
        <v>23138</v>
      </c>
      <c r="J11283" s="10" t="str">
        <f>HYPERLINK("https://www.boe.es/gazeta/dias/1834/03/20/pdfs/GMD-1834-35.pdf#page=1","Abrir facsímil")</f>
        <v>Abrir facsímil</v>
      </c>
      <c r="K11283" s="10" t="s">
        <v>24</v>
      </c>
    </row>
    <row r="11284" spans="1:11" ht="54" customHeight="1">
      <c r="A11284" s="9" t="s">
        <v>23139</v>
      </c>
      <c r="B11284" s="9" t="s">
        <v>23140</v>
      </c>
      <c r="C11284" s="9" t="s">
        <v>17</v>
      </c>
      <c r="D11284" s="9" t="s">
        <v>18</v>
      </c>
      <c r="E11284" s="10" t="s">
        <v>222</v>
      </c>
      <c r="F11284" s="9" t="s">
        <v>223</v>
      </c>
      <c r="G11284" s="10" t="s">
        <v>21</v>
      </c>
      <c r="H11284" s="9" t="s">
        <v>22</v>
      </c>
      <c r="I11284" s="9" t="s">
        <v>23141</v>
      </c>
      <c r="J11284" s="10" t="str">
        <f>HYPERLINK("https://www.boe.es/gazeta/dias/1834/09/14/pdfs/GMD-1834-212.pdf#page=3","Abrir facsímil")</f>
        <v>Abrir facsímil</v>
      </c>
      <c r="K11284" s="10" t="s">
        <v>24</v>
      </c>
    </row>
    <row r="11285" spans="1:11" ht="54" customHeight="1">
      <c r="A11285" s="9" t="s">
        <v>23139</v>
      </c>
      <c r="B11285" s="9" t="s">
        <v>23140</v>
      </c>
      <c r="C11285" s="9" t="s">
        <v>17</v>
      </c>
      <c r="D11285" s="9" t="s">
        <v>40</v>
      </c>
      <c r="E11285" s="10" t="s">
        <v>153</v>
      </c>
      <c r="F11285" s="9" t="s">
        <v>1294</v>
      </c>
      <c r="G11285" s="10" t="s">
        <v>75</v>
      </c>
      <c r="H11285" s="9" t="s">
        <v>22</v>
      </c>
      <c r="I11285" s="9" t="s">
        <v>23142</v>
      </c>
      <c r="J11285" s="10" t="str">
        <f>HYPERLINK("https://www.boe.es/gazeta/dias/1834/12/30/pdfs/GMD-1834-320.pdf#page=4","Abrir facsímil")</f>
        <v>Abrir facsímil</v>
      </c>
      <c r="K11285" s="10" t="s">
        <v>24</v>
      </c>
    </row>
    <row r="11286" spans="1:11" ht="54" customHeight="1">
      <c r="A11286" s="9" t="s">
        <v>23143</v>
      </c>
      <c r="B11286" s="9" t="s">
        <v>23144</v>
      </c>
      <c r="C11286" s="9" t="s">
        <v>90</v>
      </c>
      <c r="D11286" s="9" t="s">
        <v>18</v>
      </c>
      <c r="E11286" s="10" t="s">
        <v>273</v>
      </c>
      <c r="F11286" s="9" t="s">
        <v>274</v>
      </c>
      <c r="G11286" s="10" t="s">
        <v>21</v>
      </c>
      <c r="H11286" s="9" t="s">
        <v>22</v>
      </c>
      <c r="I11286" s="9" t="s">
        <v>23145</v>
      </c>
      <c r="J11286" s="10" t="str">
        <f>HYPERLINK("https://www.boe.es/gazeta/dias/1834/08/31/pdfs/GMD-D-1834-198.pdf#page=3","Abrir facsímil")</f>
        <v>Abrir facsímil</v>
      </c>
      <c r="K11286" s="10" t="s">
        <v>24</v>
      </c>
    </row>
    <row r="11287" spans="1:11" ht="54" customHeight="1">
      <c r="A11287" s="9" t="s">
        <v>23146</v>
      </c>
      <c r="B11287" s="9" t="s">
        <v>23147</v>
      </c>
      <c r="C11287" s="9" t="s">
        <v>17</v>
      </c>
      <c r="D11287" s="9" t="s">
        <v>101</v>
      </c>
      <c r="E11287" s="10" t="s">
        <v>2860</v>
      </c>
      <c r="F11287" s="9" t="s">
        <v>2861</v>
      </c>
      <c r="G11287" s="10" t="s">
        <v>34</v>
      </c>
      <c r="H11287" s="9" t="s">
        <v>22</v>
      </c>
      <c r="I11287" s="9" t="s">
        <v>23148</v>
      </c>
      <c r="J11287" s="10" t="str">
        <f>HYPERLINK("https://www.boe.es/gazeta/dias/1834/07/20/pdfs/GMD-1834-153.pdf#page=1","Abrir facsímil")</f>
        <v>Abrir facsímil</v>
      </c>
      <c r="K11287" s="10" t="s">
        <v>24</v>
      </c>
    </row>
    <row r="11288" spans="1:11" ht="54" customHeight="1">
      <c r="A11288" s="9" t="s">
        <v>23149</v>
      </c>
      <c r="B11288" s="9" t="s">
        <v>23150</v>
      </c>
      <c r="C11288" s="9" t="s">
        <v>17</v>
      </c>
      <c r="D11288" s="9" t="s">
        <v>18</v>
      </c>
      <c r="E11288" s="10" t="s">
        <v>777</v>
      </c>
      <c r="F11288" s="9" t="s">
        <v>778</v>
      </c>
      <c r="G11288" s="10" t="s">
        <v>34</v>
      </c>
      <c r="H11288" s="9" t="s">
        <v>22</v>
      </c>
      <c r="I11288" s="9" t="s">
        <v>23151</v>
      </c>
      <c r="J11288" s="10" t="str">
        <f>HYPERLINK("https://www.boe.es/gazeta/dias/1834/10/29/pdfs/GMD-1834-257.pdf#page=1","Abrir facsímil")</f>
        <v>Abrir facsímil</v>
      </c>
      <c r="K11288" s="10" t="s">
        <v>24</v>
      </c>
    </row>
    <row r="11289" spans="1:11" ht="54" customHeight="1">
      <c r="A11289" s="9" t="s">
        <v>23152</v>
      </c>
      <c r="B11289" s="9" t="s">
        <v>23153</v>
      </c>
      <c r="C11289" s="9" t="s">
        <v>17</v>
      </c>
      <c r="D11289" s="9" t="s">
        <v>40</v>
      </c>
      <c r="E11289" s="10" t="s">
        <v>11991</v>
      </c>
      <c r="F11289" s="9" t="s">
        <v>11992</v>
      </c>
      <c r="G11289" s="10" t="s">
        <v>34</v>
      </c>
      <c r="H11289" s="9" t="s">
        <v>22</v>
      </c>
      <c r="I11289" s="9" t="s">
        <v>23154</v>
      </c>
      <c r="J11289" s="10" t="str">
        <f>HYPERLINK("https://www.boe.es/gazeta/dias/1834/12/05/pdfs/GMD-C-1834-294.pdf#page=1","Abrir facsímil")</f>
        <v>Abrir facsímil</v>
      </c>
      <c r="K11289" s="10" t="s">
        <v>24</v>
      </c>
    </row>
    <row r="11290" spans="1:11" ht="54" customHeight="1">
      <c r="A11290" s="9" t="s">
        <v>23155</v>
      </c>
      <c r="B11290" s="9" t="s">
        <v>23156</v>
      </c>
      <c r="C11290" s="9" t="s">
        <v>46</v>
      </c>
      <c r="D11290" s="9" t="s">
        <v>101</v>
      </c>
      <c r="E11290" s="10" t="s">
        <v>280</v>
      </c>
      <c r="F11290" s="9" t="s">
        <v>3217</v>
      </c>
      <c r="G11290" s="10" t="s">
        <v>34</v>
      </c>
      <c r="H11290" s="9" t="s">
        <v>22</v>
      </c>
      <c r="I11290" s="9" t="s">
        <v>23157</v>
      </c>
      <c r="J11290" s="10" t="str">
        <f>HYPERLINK("https://www.boe.es/gazeta/dias/1834/08/29/pdfs/GMD-1834-195.pdf#page=1","Abrir facsímil")</f>
        <v>Abrir facsímil</v>
      </c>
      <c r="K11290" s="10" t="s">
        <v>24</v>
      </c>
    </row>
    <row r="11291" spans="1:11" ht="54" customHeight="1">
      <c r="A11291" s="9" t="s">
        <v>23158</v>
      </c>
      <c r="B11291" s="9" t="s">
        <v>23159</v>
      </c>
      <c r="C11291" s="9" t="s">
        <v>17</v>
      </c>
      <c r="D11291" s="9" t="s">
        <v>18</v>
      </c>
      <c r="E11291" s="10" t="s">
        <v>1402</v>
      </c>
      <c r="F11291" s="9" t="s">
        <v>1403</v>
      </c>
      <c r="G11291" s="10" t="s">
        <v>86</v>
      </c>
      <c r="H11291" s="9" t="s">
        <v>35</v>
      </c>
      <c r="I11291" s="9" t="s">
        <v>23160</v>
      </c>
      <c r="J11291" s="10" t="str">
        <f>HYPERLINK("https://www.boe.es/gazeta/dias/1834/05/05/pdfs/I00347-00348.pdf#page=2","Abrir facsímil")</f>
        <v>Abrir facsímil</v>
      </c>
      <c r="K11291" s="10" t="s">
        <v>37</v>
      </c>
    </row>
    <row r="11292" spans="1:11" ht="54" customHeight="1">
      <c r="A11292" s="9" t="s">
        <v>23161</v>
      </c>
      <c r="B11292" s="9" t="s">
        <v>23162</v>
      </c>
      <c r="C11292" s="9" t="s">
        <v>17</v>
      </c>
      <c r="D11292" s="9" t="s">
        <v>40</v>
      </c>
      <c r="E11292" s="10" t="s">
        <v>1195</v>
      </c>
      <c r="F11292" s="9" t="s">
        <v>1916</v>
      </c>
      <c r="G11292" s="10" t="s">
        <v>21</v>
      </c>
      <c r="H11292" s="9" t="s">
        <v>22</v>
      </c>
      <c r="I11292" s="9" t="s">
        <v>23163</v>
      </c>
      <c r="J11292" s="10" t="str">
        <f>HYPERLINK("https://www.boe.es/gazeta/dias/1834/10/17/pdfs/GMD-1834-245.pdf#page=3","Abrir facsímil")</f>
        <v>Abrir facsímil</v>
      </c>
      <c r="K11292" s="10" t="s">
        <v>24</v>
      </c>
    </row>
    <row r="11293" spans="1:11" ht="54" customHeight="1">
      <c r="A11293" s="9" t="s">
        <v>23164</v>
      </c>
      <c r="B11293" s="9" t="s">
        <v>23165</v>
      </c>
      <c r="C11293" s="9" t="s">
        <v>17</v>
      </c>
      <c r="D11293" s="9" t="s">
        <v>18</v>
      </c>
      <c r="E11293" s="10" t="s">
        <v>1402</v>
      </c>
      <c r="F11293" s="9" t="s">
        <v>1403</v>
      </c>
      <c r="G11293" s="10" t="s">
        <v>86</v>
      </c>
      <c r="H11293" s="9" t="s">
        <v>22</v>
      </c>
      <c r="I11293" s="9" t="s">
        <v>23166</v>
      </c>
      <c r="J11293" s="10" t="str">
        <f>HYPERLINK("https://www.boe.es/gazeta/dias/1834/05/05/pdfs/I00347-00348.pdf#page=2","Abrir facsímil")</f>
        <v>Abrir facsímil</v>
      </c>
      <c r="K11293" s="10" t="s">
        <v>24</v>
      </c>
    </row>
    <row r="11294" spans="1:11" ht="54" customHeight="1">
      <c r="A11294" s="9" t="s">
        <v>23167</v>
      </c>
      <c r="B11294" s="9" t="s">
        <v>23167</v>
      </c>
      <c r="C11294" s="9" t="s">
        <v>17</v>
      </c>
      <c r="D11294" s="9" t="s">
        <v>18</v>
      </c>
      <c r="E11294" s="10" t="s">
        <v>96</v>
      </c>
      <c r="F11294" s="9" t="s">
        <v>1725</v>
      </c>
      <c r="G11294" s="10" t="s">
        <v>21</v>
      </c>
      <c r="H11294" s="9" t="s">
        <v>22</v>
      </c>
      <c r="I11294" s="9" t="s">
        <v>23168</v>
      </c>
      <c r="J11294" s="10" t="str">
        <f>HYPERLINK("https://www.boe.es/gazeta/dias/1834/11/11/pdfs/GMD-1834-270.pdf#page=3","Abrir facsímil")</f>
        <v>Abrir facsímil</v>
      </c>
      <c r="K11294" s="10" t="s">
        <v>24</v>
      </c>
    </row>
    <row r="11295" spans="1:11" ht="54" customHeight="1">
      <c r="A11295" s="9" t="s">
        <v>23169</v>
      </c>
      <c r="B11295" s="9" t="s">
        <v>23170</v>
      </c>
      <c r="C11295" s="9" t="s">
        <v>17</v>
      </c>
      <c r="D11295" s="9" t="s">
        <v>18</v>
      </c>
      <c r="E11295" s="10" t="s">
        <v>1281</v>
      </c>
      <c r="F11295" s="9" t="s">
        <v>1282</v>
      </c>
      <c r="G11295" s="10" t="s">
        <v>21</v>
      </c>
      <c r="H11295" s="9" t="s">
        <v>22</v>
      </c>
      <c r="I11295" s="9" t="s">
        <v>23171</v>
      </c>
      <c r="J11295" s="10" t="str">
        <f>HYPERLINK("https://www.boe.es/gazeta/dias/1834/10/27/pdfs/GMD-1834-255.pdf#page=3","Abrir facsímil")</f>
        <v>Abrir facsímil</v>
      </c>
      <c r="K11295" s="10" t="s">
        <v>24</v>
      </c>
    </row>
    <row r="11296" spans="1:11" ht="54" customHeight="1">
      <c r="A11296" s="9" t="s">
        <v>23172</v>
      </c>
      <c r="B11296" s="9" t="s">
        <v>23173</v>
      </c>
      <c r="C11296" s="9" t="s">
        <v>17</v>
      </c>
      <c r="D11296" s="9" t="s">
        <v>18</v>
      </c>
      <c r="E11296" s="10" t="s">
        <v>1281</v>
      </c>
      <c r="F11296" s="9" t="s">
        <v>1282</v>
      </c>
      <c r="G11296" s="10" t="s">
        <v>21</v>
      </c>
      <c r="H11296" s="9" t="s">
        <v>35</v>
      </c>
      <c r="I11296" s="9" t="s">
        <v>23174</v>
      </c>
      <c r="J11296" s="10" t="str">
        <f>HYPERLINK("https://www.boe.es/gazeta/dias/1834/10/27/pdfs/GMD-1834-255.pdf#page=3","Abrir facsímil")</f>
        <v>Abrir facsímil</v>
      </c>
      <c r="K11296" s="10" t="s">
        <v>37</v>
      </c>
    </row>
    <row r="11297" spans="1:11" ht="54" customHeight="1">
      <c r="A11297" s="9" t="s">
        <v>23175</v>
      </c>
      <c r="B11297" s="9" t="s">
        <v>23175</v>
      </c>
      <c r="C11297" s="9" t="s">
        <v>66</v>
      </c>
      <c r="D11297" s="9" t="s">
        <v>18</v>
      </c>
      <c r="E11297" s="10" t="s">
        <v>606</v>
      </c>
      <c r="F11297" s="9" t="s">
        <v>607</v>
      </c>
      <c r="G11297" s="10" t="s">
        <v>75</v>
      </c>
      <c r="H11297" s="9" t="s">
        <v>22</v>
      </c>
      <c r="I11297" s="9" t="s">
        <v>23176</v>
      </c>
      <c r="J11297" s="10" t="str">
        <f>HYPERLINK("https://www.boe.es/gazeta/dias/1834/06/23/pdfs/GMD-1834-126.pdf#page=4","Abrir facsímil")</f>
        <v>Abrir facsímil</v>
      </c>
      <c r="K11297" s="10" t="s">
        <v>24</v>
      </c>
    </row>
    <row r="11298" spans="1:11" ht="54" customHeight="1">
      <c r="A11298" s="9" t="s">
        <v>23177</v>
      </c>
      <c r="B11298" s="9" t="s">
        <v>23178</v>
      </c>
      <c r="C11298" s="9" t="s">
        <v>90</v>
      </c>
      <c r="D11298" s="9" t="s">
        <v>101</v>
      </c>
      <c r="E11298" s="10" t="s">
        <v>117</v>
      </c>
      <c r="F11298" s="9" t="s">
        <v>118</v>
      </c>
      <c r="G11298" s="10" t="s">
        <v>75</v>
      </c>
      <c r="H11298" s="9" t="s">
        <v>22</v>
      </c>
      <c r="I11298" s="9" t="s">
        <v>23179</v>
      </c>
      <c r="J11298" s="10" t="str">
        <f>HYPERLINK("https://www.boe.es/gazeta/dias/1834/07/21/pdfs/GMD-1834-154.pdf#page=4","Abrir facsímil")</f>
        <v>Abrir facsímil</v>
      </c>
      <c r="K11298" s="10" t="s">
        <v>24</v>
      </c>
    </row>
    <row r="11299" spans="1:11" ht="54" customHeight="1">
      <c r="A11299" s="9" t="s">
        <v>23180</v>
      </c>
      <c r="B11299" s="9" t="s">
        <v>23181</v>
      </c>
      <c r="C11299" s="9" t="s">
        <v>17</v>
      </c>
      <c r="D11299" s="9" t="s">
        <v>18</v>
      </c>
      <c r="E11299" s="10" t="s">
        <v>32</v>
      </c>
      <c r="F11299" s="9" t="s">
        <v>7431</v>
      </c>
      <c r="G11299" s="10" t="s">
        <v>34</v>
      </c>
      <c r="H11299" s="9" t="s">
        <v>22</v>
      </c>
      <c r="I11299" s="9" t="s">
        <v>23182</v>
      </c>
      <c r="J11299" s="10" t="str">
        <f>HYPERLINK("https://www.boe.es/gazeta/dias/1834/04/23/pdfs/GMD-C-1834-62.pdf#page=1","Abrir facsímil")</f>
        <v>Abrir facsímil</v>
      </c>
      <c r="K11299" s="10" t="s">
        <v>24</v>
      </c>
    </row>
    <row r="11300" spans="1:11" ht="54" customHeight="1">
      <c r="A11300" s="9" t="s">
        <v>23183</v>
      </c>
      <c r="B11300" s="9" t="s">
        <v>23183</v>
      </c>
      <c r="C11300" s="9" t="s">
        <v>17</v>
      </c>
      <c r="D11300" s="9" t="s">
        <v>18</v>
      </c>
      <c r="E11300" s="10" t="s">
        <v>8200</v>
      </c>
      <c r="F11300" s="9" t="s">
        <v>8201</v>
      </c>
      <c r="G11300" s="10" t="s">
        <v>86</v>
      </c>
      <c r="H11300" s="9" t="s">
        <v>22</v>
      </c>
      <c r="I11300" s="9" t="s">
        <v>23184</v>
      </c>
      <c r="J11300" s="10" t="str">
        <f>HYPERLINK("https://www.boe.es/gazeta/dias/1834/11/17/pdfs/GMD-1834-276.pdf#page=2","Abrir facsímil")</f>
        <v>Abrir facsímil</v>
      </c>
      <c r="K11300" s="10" t="s">
        <v>24</v>
      </c>
    </row>
    <row r="11301" spans="1:11" ht="54" customHeight="1">
      <c r="A11301" s="9" t="s">
        <v>23183</v>
      </c>
      <c r="B11301" s="9" t="s">
        <v>23183</v>
      </c>
      <c r="C11301" s="9" t="s">
        <v>122</v>
      </c>
      <c r="D11301" s="9" t="s">
        <v>18</v>
      </c>
      <c r="E11301" s="10" t="s">
        <v>1747</v>
      </c>
      <c r="F11301" s="9" t="s">
        <v>1748</v>
      </c>
      <c r="G11301" s="10" t="s">
        <v>21</v>
      </c>
      <c r="H11301" s="9" t="s">
        <v>22</v>
      </c>
      <c r="I11301" s="9" t="s">
        <v>23185</v>
      </c>
      <c r="J11301" s="10" t="str">
        <f>HYPERLINK("https://www.boe.es/gazeta/dias/1834/06/29/pdfs/GMD-1834-132.pdf#page=3","Abrir facsímil")</f>
        <v>Abrir facsímil</v>
      </c>
      <c r="K11301" s="10" t="s">
        <v>24</v>
      </c>
    </row>
    <row r="11302" spans="1:11" ht="54" customHeight="1">
      <c r="A11302" s="9" t="s">
        <v>23183</v>
      </c>
      <c r="B11302" s="9" t="s">
        <v>23183</v>
      </c>
      <c r="C11302" s="9" t="s">
        <v>17</v>
      </c>
      <c r="D11302" s="9" t="s">
        <v>55</v>
      </c>
      <c r="E11302" s="10" t="s">
        <v>153</v>
      </c>
      <c r="F11302" s="9" t="s">
        <v>1294</v>
      </c>
      <c r="G11302" s="10" t="s">
        <v>21</v>
      </c>
      <c r="H11302" s="9" t="s">
        <v>22</v>
      </c>
      <c r="I11302" s="9" t="s">
        <v>23186</v>
      </c>
      <c r="J11302" s="10" t="str">
        <f>HYPERLINK("https://www.boe.es/gazeta/dias/1834/12/30/pdfs/GMD-1834-320.pdf#page=3","Abrir facsímil")</f>
        <v>Abrir facsímil</v>
      </c>
      <c r="K11302" s="10" t="s">
        <v>24</v>
      </c>
    </row>
    <row r="11303" spans="1:11" ht="54" customHeight="1">
      <c r="A11303" s="9" t="s">
        <v>23187</v>
      </c>
      <c r="B11303" s="9" t="s">
        <v>23188</v>
      </c>
      <c r="C11303" s="9" t="s">
        <v>17</v>
      </c>
      <c r="D11303" s="9" t="s">
        <v>18</v>
      </c>
      <c r="E11303" s="10" t="s">
        <v>339</v>
      </c>
      <c r="F11303" s="9" t="s">
        <v>340</v>
      </c>
      <c r="G11303" s="10" t="s">
        <v>21</v>
      </c>
      <c r="H11303" s="9" t="s">
        <v>22</v>
      </c>
      <c r="I11303" s="9" t="s">
        <v>23189</v>
      </c>
      <c r="J11303" s="10" t="str">
        <f>HYPERLINK("https://www.boe.es/gazeta/dias/1834/05/02/pdfs/GMD-1834-71.pdf#page=3","Abrir facsímil")</f>
        <v>Abrir facsímil</v>
      </c>
      <c r="K11303" s="10" t="s">
        <v>24</v>
      </c>
    </row>
    <row r="11304" spans="1:11" ht="54" customHeight="1">
      <c r="A11304" s="9" t="s">
        <v>23190</v>
      </c>
      <c r="B11304" s="9" t="s">
        <v>23190</v>
      </c>
      <c r="C11304" s="9" t="s">
        <v>17</v>
      </c>
      <c r="D11304" s="9" t="s">
        <v>18</v>
      </c>
      <c r="E11304" s="10" t="s">
        <v>1337</v>
      </c>
      <c r="F11304" s="9" t="s">
        <v>1338</v>
      </c>
      <c r="G11304" s="10" t="s">
        <v>21</v>
      </c>
      <c r="H11304" s="9" t="s">
        <v>22</v>
      </c>
      <c r="I11304" s="9" t="s">
        <v>23191</v>
      </c>
      <c r="J11304" s="10" t="str">
        <f>HYPERLINK("https://www.boe.es/gazeta/dias/1834/01/02/pdfs/GMD-1834-1.pdf#page=3","Abrir facsímil")</f>
        <v>Abrir facsímil</v>
      </c>
      <c r="K11304" s="10" t="s">
        <v>24</v>
      </c>
    </row>
    <row r="11305" spans="1:11" ht="54" customHeight="1">
      <c r="A11305" s="9" t="s">
        <v>23192</v>
      </c>
      <c r="B11305" s="9" t="s">
        <v>23192</v>
      </c>
      <c r="C11305" s="9" t="s">
        <v>66</v>
      </c>
      <c r="D11305" s="9" t="s">
        <v>67</v>
      </c>
      <c r="E11305" s="10" t="s">
        <v>601</v>
      </c>
      <c r="F11305" s="9" t="s">
        <v>602</v>
      </c>
      <c r="G11305" s="10" t="s">
        <v>34</v>
      </c>
      <c r="H11305" s="9" t="s">
        <v>22</v>
      </c>
      <c r="I11305" s="9" t="s">
        <v>23193</v>
      </c>
      <c r="J11305" s="10" t="str">
        <f>HYPERLINK("https://www.boe.es/gazeta/dias/1834/08/16/pdfs/GMD-1834-181.pdf#page=1","Abrir facsímil")</f>
        <v>Abrir facsímil</v>
      </c>
      <c r="K11305" s="10" t="s">
        <v>24</v>
      </c>
    </row>
    <row r="11306" spans="1:11" ht="54" customHeight="1">
      <c r="A11306" s="9" t="s">
        <v>23194</v>
      </c>
      <c r="B11306" s="9" t="s">
        <v>23195</v>
      </c>
      <c r="C11306" s="9" t="s">
        <v>17</v>
      </c>
      <c r="D11306" s="9" t="s">
        <v>55</v>
      </c>
      <c r="E11306" s="10" t="s">
        <v>2860</v>
      </c>
      <c r="F11306" s="9" t="s">
        <v>2861</v>
      </c>
      <c r="G11306" s="10" t="s">
        <v>21</v>
      </c>
      <c r="H11306" s="9" t="s">
        <v>22</v>
      </c>
      <c r="I11306" s="9" t="s">
        <v>23196</v>
      </c>
      <c r="J11306" s="10" t="str">
        <f>HYPERLINK("https://www.boe.es/gazeta/dias/1834/07/20/pdfs/GMD-1834-153.pdf#page=3","Abrir facsímil")</f>
        <v>Abrir facsímil</v>
      </c>
      <c r="K11306" s="10" t="s">
        <v>24</v>
      </c>
    </row>
    <row r="11307" spans="1:11" ht="54" customHeight="1">
      <c r="A11307" s="9" t="s">
        <v>23197</v>
      </c>
      <c r="B11307" s="9" t="s">
        <v>23198</v>
      </c>
      <c r="C11307" s="9" t="s">
        <v>17</v>
      </c>
      <c r="D11307" s="9" t="s">
        <v>18</v>
      </c>
      <c r="E11307" s="10" t="s">
        <v>1922</v>
      </c>
      <c r="F11307" s="9" t="s">
        <v>1923</v>
      </c>
      <c r="G11307" s="10" t="s">
        <v>28</v>
      </c>
      <c r="H11307" s="9" t="s">
        <v>22</v>
      </c>
      <c r="I11307" s="9" t="s">
        <v>23199</v>
      </c>
      <c r="J11307" s="10" t="str">
        <f>HYPERLINK("https://www.boe.es/gazeta/dias/1834/02/25/pdfs/GMD-1834-25.pdf#page=5","Abrir facsímil")</f>
        <v>Abrir facsímil</v>
      </c>
      <c r="K11307" s="10" t="s">
        <v>24</v>
      </c>
    </row>
    <row r="11308" spans="1:11" ht="54" customHeight="1">
      <c r="A11308" s="9" t="s">
        <v>23200</v>
      </c>
      <c r="B11308" s="9" t="s">
        <v>23200</v>
      </c>
      <c r="C11308" s="9" t="s">
        <v>17</v>
      </c>
      <c r="D11308" s="9" t="s">
        <v>55</v>
      </c>
      <c r="E11308" s="10" t="s">
        <v>68</v>
      </c>
      <c r="F11308" s="9" t="s">
        <v>69</v>
      </c>
      <c r="G11308" s="10" t="s">
        <v>34</v>
      </c>
      <c r="H11308" s="9" t="s">
        <v>22</v>
      </c>
      <c r="I11308" s="9" t="s">
        <v>23201</v>
      </c>
      <c r="J11308" s="10" t="str">
        <f>HYPERLINK("https://www.boe.es/gazeta/dias/1834/11/01/pdfs/GMD-1834-260.pdf#page=1","Abrir facsímil")</f>
        <v>Abrir facsímil</v>
      </c>
      <c r="K11308" s="10" t="s">
        <v>24</v>
      </c>
    </row>
    <row r="11309" spans="1:11" ht="54" customHeight="1">
      <c r="A11309" s="9" t="s">
        <v>23200</v>
      </c>
      <c r="B11309" s="9" t="s">
        <v>23200</v>
      </c>
      <c r="C11309" s="9" t="s">
        <v>17</v>
      </c>
      <c r="D11309" s="9" t="s">
        <v>18</v>
      </c>
      <c r="E11309" s="10" t="s">
        <v>68</v>
      </c>
      <c r="F11309" s="9" t="s">
        <v>69</v>
      </c>
      <c r="G11309" s="10" t="s">
        <v>86</v>
      </c>
      <c r="H11309" s="9" t="s">
        <v>22</v>
      </c>
      <c r="I11309" s="9" t="s">
        <v>23202</v>
      </c>
      <c r="J11309" s="10" t="str">
        <f>HYPERLINK("https://www.boe.es/gazeta/dias/1834/11/01/pdfs/GMD-1834-260.pdf#page=2","Abrir facsímil")</f>
        <v>Abrir facsímil</v>
      </c>
      <c r="K11309" s="10" t="s">
        <v>24</v>
      </c>
    </row>
    <row r="11310" spans="1:11" ht="54" customHeight="1">
      <c r="A11310" s="9" t="s">
        <v>23203</v>
      </c>
      <c r="B11310" s="9" t="s">
        <v>23204</v>
      </c>
      <c r="C11310" s="9" t="s">
        <v>17</v>
      </c>
      <c r="D11310" s="9" t="s">
        <v>18</v>
      </c>
      <c r="E11310" s="10" t="s">
        <v>1918</v>
      </c>
      <c r="F11310" s="9" t="s">
        <v>1919</v>
      </c>
      <c r="G11310" s="10" t="s">
        <v>75</v>
      </c>
      <c r="H11310" s="9" t="s">
        <v>22</v>
      </c>
      <c r="I11310" s="9" t="s">
        <v>23205</v>
      </c>
      <c r="J11310" s="10" t="str">
        <f>HYPERLINK("https://www.boe.es/gazeta/dias/1834/03/22/pdfs/GMD-1834-36.pdf#page=4","Abrir facsímil")</f>
        <v>Abrir facsímil</v>
      </c>
      <c r="K11310" s="10" t="s">
        <v>24</v>
      </c>
    </row>
    <row r="11311" spans="1:11" ht="54" customHeight="1">
      <c r="A11311" s="9" t="s">
        <v>23206</v>
      </c>
      <c r="B11311" s="9" t="s">
        <v>23207</v>
      </c>
      <c r="C11311" s="9" t="s">
        <v>122</v>
      </c>
      <c r="D11311" s="9" t="s">
        <v>18</v>
      </c>
      <c r="E11311" s="10" t="s">
        <v>283</v>
      </c>
      <c r="F11311" s="9" t="s">
        <v>2969</v>
      </c>
      <c r="G11311" s="10" t="s">
        <v>75</v>
      </c>
      <c r="H11311" s="9" t="s">
        <v>22</v>
      </c>
      <c r="I11311" s="9" t="s">
        <v>23208</v>
      </c>
      <c r="J11311" s="10" t="str">
        <f>HYPERLINK("https://www.boe.es/gazeta/dias/1834/11/29/pdfs/GMD-1834-288.pdf#page=4","Abrir facsímil")</f>
        <v>Abrir facsímil</v>
      </c>
      <c r="K11311" s="10" t="s">
        <v>24</v>
      </c>
    </row>
    <row r="11312" spans="1:11" ht="54" customHeight="1">
      <c r="A11312" s="9" t="s">
        <v>23209</v>
      </c>
      <c r="B11312" s="9" t="s">
        <v>23209</v>
      </c>
      <c r="C11312" s="9" t="s">
        <v>17</v>
      </c>
      <c r="D11312" s="9" t="s">
        <v>18</v>
      </c>
      <c r="E11312" s="10" t="s">
        <v>1337</v>
      </c>
      <c r="F11312" s="9" t="s">
        <v>1338</v>
      </c>
      <c r="G11312" s="10" t="s">
        <v>34</v>
      </c>
      <c r="H11312" s="9" t="s">
        <v>22</v>
      </c>
      <c r="I11312" s="9" t="s">
        <v>23210</v>
      </c>
      <c r="J11312" s="10" t="str">
        <f>HYPERLINK("https://www.boe.es/gazeta/dias/1834/01/02/pdfs/GMD-1834-1.pdf#page=1","Abrir facsímil")</f>
        <v>Abrir facsímil</v>
      </c>
      <c r="K11312" s="10" t="s">
        <v>24</v>
      </c>
    </row>
    <row r="11313" spans="1:11" ht="54" customHeight="1">
      <c r="A11313" s="9" t="s">
        <v>23209</v>
      </c>
      <c r="B11313" s="9" t="s">
        <v>23209</v>
      </c>
      <c r="C11313" s="9" t="s">
        <v>857</v>
      </c>
      <c r="D11313" s="9" t="s">
        <v>18</v>
      </c>
      <c r="E11313" s="10" t="s">
        <v>1337</v>
      </c>
      <c r="F11313" s="9" t="s">
        <v>1338</v>
      </c>
      <c r="G11313" s="10" t="s">
        <v>21</v>
      </c>
      <c r="H11313" s="9" t="s">
        <v>22</v>
      </c>
      <c r="I11313" s="9" t="s">
        <v>23211</v>
      </c>
      <c r="J11313" s="10" t="str">
        <f>HYPERLINK("https://www.boe.es/gazeta/dias/1834/01/02/pdfs/GMD-1834-1.pdf#page=3","Abrir facsímil")</f>
        <v>Abrir facsímil</v>
      </c>
      <c r="K11313" s="10" t="s">
        <v>24</v>
      </c>
    </row>
    <row r="11314" spans="1:11" ht="54" customHeight="1">
      <c r="A11314" s="9" t="s">
        <v>23209</v>
      </c>
      <c r="B11314" s="9" t="s">
        <v>23209</v>
      </c>
      <c r="C11314" s="9" t="s">
        <v>17</v>
      </c>
      <c r="D11314" s="9" t="s">
        <v>55</v>
      </c>
      <c r="E11314" s="10" t="s">
        <v>2748</v>
      </c>
      <c r="F11314" s="9" t="s">
        <v>2749</v>
      </c>
      <c r="G11314" s="10" t="s">
        <v>86</v>
      </c>
      <c r="H11314" s="9" t="s">
        <v>22</v>
      </c>
      <c r="I11314" s="9" t="s">
        <v>23212</v>
      </c>
      <c r="J11314" s="10" t="str">
        <f>HYPERLINK("https://www.boe.es/gazeta/dias/1834/01/09/pdfs/GMD-1834-5.pdf#page=2","Abrir facsímil")</f>
        <v>Abrir facsímil</v>
      </c>
      <c r="K11314" s="10" t="s">
        <v>24</v>
      </c>
    </row>
    <row r="11315" spans="1:11" ht="54" customHeight="1">
      <c r="A11315" s="9" t="s">
        <v>23209</v>
      </c>
      <c r="B11315" s="9" t="s">
        <v>23209</v>
      </c>
      <c r="C11315" s="9" t="s">
        <v>17</v>
      </c>
      <c r="D11315" s="9" t="s">
        <v>40</v>
      </c>
      <c r="E11315" s="10" t="s">
        <v>1683</v>
      </c>
      <c r="F11315" s="9" t="s">
        <v>1684</v>
      </c>
      <c r="G11315" s="10" t="s">
        <v>75</v>
      </c>
      <c r="H11315" s="9" t="s">
        <v>22</v>
      </c>
      <c r="I11315" s="9" t="s">
        <v>23213</v>
      </c>
      <c r="J11315" s="10" t="str">
        <f>HYPERLINK("https://www.boe.es/gazeta/dias/1834/06/27/pdfs/GMD-1834-130.pdf#page=4","Abrir facsímil")</f>
        <v>Abrir facsímil</v>
      </c>
      <c r="K11315" s="10" t="s">
        <v>24</v>
      </c>
    </row>
    <row r="11316" spans="1:11" ht="54" customHeight="1">
      <c r="A11316" s="9" t="s">
        <v>23214</v>
      </c>
      <c r="B11316" s="9" t="s">
        <v>23215</v>
      </c>
      <c r="C11316" s="9" t="s">
        <v>66</v>
      </c>
      <c r="D11316" s="9" t="s">
        <v>67</v>
      </c>
      <c r="E11316" s="10" t="s">
        <v>479</v>
      </c>
      <c r="F11316" s="9" t="s">
        <v>480</v>
      </c>
      <c r="G11316" s="10" t="s">
        <v>75</v>
      </c>
      <c r="H11316" s="9" t="s">
        <v>22</v>
      </c>
      <c r="I11316" s="9" t="s">
        <v>23216</v>
      </c>
      <c r="J11316" s="10" t="str">
        <f>HYPERLINK("https://www.boe.es/gazeta/dias/1834/08/13/pdfs/GMD-1834-178.pdf#page=4","Abrir facsímil")</f>
        <v>Abrir facsímil</v>
      </c>
      <c r="K11316" s="10" t="s">
        <v>24</v>
      </c>
    </row>
    <row r="11317" spans="1:11" ht="54" customHeight="1">
      <c r="A11317" s="9" t="s">
        <v>23217</v>
      </c>
      <c r="B11317" s="9" t="s">
        <v>23218</v>
      </c>
      <c r="C11317" s="9" t="s">
        <v>17</v>
      </c>
      <c r="D11317" s="9" t="s">
        <v>18</v>
      </c>
      <c r="E11317" s="10" t="s">
        <v>3471</v>
      </c>
      <c r="F11317" s="9" t="s">
        <v>3472</v>
      </c>
      <c r="G11317" s="10" t="s">
        <v>21</v>
      </c>
      <c r="H11317" s="9" t="s">
        <v>22</v>
      </c>
      <c r="I11317" s="9" t="s">
        <v>23219</v>
      </c>
      <c r="J11317" s="10" t="str">
        <f>HYPERLINK("https://www.boe.es/gazeta/dias/1834/07/07/pdfs/GMD-1834-140.pdf#page=3","Abrir facsímil")</f>
        <v>Abrir facsímil</v>
      </c>
      <c r="K11317" s="10" t="s">
        <v>24</v>
      </c>
    </row>
    <row r="11318" spans="1:11" ht="54" customHeight="1">
      <c r="A11318" s="9" t="s">
        <v>23220</v>
      </c>
      <c r="B11318" s="9" t="s">
        <v>23221</v>
      </c>
      <c r="C11318" s="9" t="s">
        <v>17</v>
      </c>
      <c r="D11318" s="9" t="s">
        <v>18</v>
      </c>
      <c r="E11318" s="10" t="s">
        <v>1170</v>
      </c>
      <c r="F11318" s="9" t="s">
        <v>1171</v>
      </c>
      <c r="G11318" s="10" t="s">
        <v>176</v>
      </c>
      <c r="H11318" s="9" t="s">
        <v>22</v>
      </c>
      <c r="I11318" s="9" t="s">
        <v>23222</v>
      </c>
      <c r="J11318" s="10" t="str">
        <f>HYPERLINK("https://www.boe.es/gazeta/dias/1834/01/07/pdfs/GMD-1834-4.pdf#page=6","Abrir facsímil")</f>
        <v>Abrir facsímil</v>
      </c>
      <c r="K11318" s="10" t="s">
        <v>24</v>
      </c>
    </row>
    <row r="11319" spans="1:11" ht="54" customHeight="1">
      <c r="A11319" s="9" t="s">
        <v>23223</v>
      </c>
      <c r="B11319" s="9" t="s">
        <v>23224</v>
      </c>
      <c r="C11319" s="9" t="s">
        <v>122</v>
      </c>
      <c r="D11319" s="9" t="s">
        <v>18</v>
      </c>
      <c r="E11319" s="10" t="s">
        <v>294</v>
      </c>
      <c r="F11319" s="9" t="s">
        <v>295</v>
      </c>
      <c r="G11319" s="10" t="s">
        <v>75</v>
      </c>
      <c r="H11319" s="9" t="s">
        <v>22</v>
      </c>
      <c r="I11319" s="9" t="s">
        <v>23225</v>
      </c>
      <c r="J11319" s="10" t="str">
        <f>HYPERLINK("https://www.boe.es/gazeta/dias/1834/09/27/pdfs/GMD-1834-225.pdf#page=4","Abrir facsímil")</f>
        <v>Abrir facsímil</v>
      </c>
      <c r="K11319" s="10" t="s">
        <v>24</v>
      </c>
    </row>
    <row r="11320" spans="1:11" ht="54" customHeight="1">
      <c r="A11320" s="9" t="s">
        <v>23226</v>
      </c>
      <c r="B11320" s="9" t="s">
        <v>23226</v>
      </c>
      <c r="C11320" s="9" t="s">
        <v>46</v>
      </c>
      <c r="D11320" s="9" t="s">
        <v>18</v>
      </c>
      <c r="E11320" s="10" t="s">
        <v>426</v>
      </c>
      <c r="F11320" s="9" t="s">
        <v>427</v>
      </c>
      <c r="G11320" s="10" t="s">
        <v>21</v>
      </c>
      <c r="H11320" s="9" t="s">
        <v>22</v>
      </c>
      <c r="I11320" s="9" t="s">
        <v>23227</v>
      </c>
      <c r="J11320" s="10" t="str">
        <f>HYPERLINK("https://www.boe.es/gazeta/dias/1834/10/04/pdfs/GMD-1834-232.pdf#page=3","Abrir facsímil")</f>
        <v>Abrir facsímil</v>
      </c>
      <c r="K11320" s="10" t="s">
        <v>24</v>
      </c>
    </row>
    <row r="11321" spans="1:11" ht="54" customHeight="1">
      <c r="A11321" s="9" t="s">
        <v>23228</v>
      </c>
      <c r="B11321" s="9" t="s">
        <v>23228</v>
      </c>
      <c r="C11321" s="9" t="s">
        <v>66</v>
      </c>
      <c r="D11321" s="9" t="s">
        <v>18</v>
      </c>
      <c r="E11321" s="10" t="s">
        <v>3163</v>
      </c>
      <c r="F11321" s="9" t="s">
        <v>3164</v>
      </c>
      <c r="G11321" s="10" t="s">
        <v>75</v>
      </c>
      <c r="H11321" s="9" t="s">
        <v>22</v>
      </c>
      <c r="I11321" s="9" t="s">
        <v>23229</v>
      </c>
      <c r="J11321" s="10" t="str">
        <f>HYPERLINK("https://www.boe.es/gazeta/dias/1834/11/02/pdfs/GMD-1834-261.pdf#page=4","Abrir facsímil")</f>
        <v>Abrir facsímil</v>
      </c>
      <c r="K11321" s="10" t="s">
        <v>24</v>
      </c>
    </row>
    <row r="11322" spans="1:11" ht="54" customHeight="1">
      <c r="A11322" s="9" t="s">
        <v>23228</v>
      </c>
      <c r="B11322" s="9" t="s">
        <v>23228</v>
      </c>
      <c r="C11322" s="9" t="s">
        <v>17</v>
      </c>
      <c r="D11322" s="9" t="s">
        <v>18</v>
      </c>
      <c r="E11322" s="10" t="s">
        <v>762</v>
      </c>
      <c r="F11322" s="9" t="s">
        <v>763</v>
      </c>
      <c r="G11322" s="10" t="s">
        <v>21</v>
      </c>
      <c r="H11322" s="9" t="s">
        <v>22</v>
      </c>
      <c r="I11322" s="9" t="s">
        <v>23230</v>
      </c>
      <c r="J11322" s="10" t="str">
        <f>HYPERLINK("https://www.boe.es/gazeta/dias/1834/11/07/pdfs/GMD-1834-266.pdf#page=3","Abrir facsímil")</f>
        <v>Abrir facsímil</v>
      </c>
      <c r="K11322" s="10" t="s">
        <v>24</v>
      </c>
    </row>
    <row r="11323" spans="1:11" ht="54" customHeight="1">
      <c r="A11323" s="9" t="s">
        <v>23228</v>
      </c>
      <c r="B11323" s="9" t="s">
        <v>23228</v>
      </c>
      <c r="C11323" s="9" t="s">
        <v>17</v>
      </c>
      <c r="D11323" s="9" t="s">
        <v>18</v>
      </c>
      <c r="E11323" s="10" t="s">
        <v>441</v>
      </c>
      <c r="F11323" s="9" t="s">
        <v>442</v>
      </c>
      <c r="G11323" s="10" t="s">
        <v>21</v>
      </c>
      <c r="H11323" s="9" t="s">
        <v>22</v>
      </c>
      <c r="I11323" s="9" t="s">
        <v>23231</v>
      </c>
      <c r="J11323" s="10" t="str">
        <f>HYPERLINK("https://www.boe.es/gazeta/dias/1834/11/10/pdfs/GMD-1834-269.pdf#page=3","Abrir facsímil")</f>
        <v>Abrir facsímil</v>
      </c>
      <c r="K11323" s="10" t="s">
        <v>24</v>
      </c>
    </row>
    <row r="11324" spans="1:11" ht="54" customHeight="1">
      <c r="A11324" s="9" t="s">
        <v>23228</v>
      </c>
      <c r="B11324" s="9" t="s">
        <v>23228</v>
      </c>
      <c r="C11324" s="9" t="s">
        <v>17</v>
      </c>
      <c r="D11324" s="9" t="s">
        <v>18</v>
      </c>
      <c r="E11324" s="10" t="s">
        <v>441</v>
      </c>
      <c r="F11324" s="9" t="s">
        <v>442</v>
      </c>
      <c r="G11324" s="10" t="s">
        <v>75</v>
      </c>
      <c r="H11324" s="9" t="s">
        <v>22</v>
      </c>
      <c r="I11324" s="9" t="s">
        <v>23232</v>
      </c>
      <c r="J11324" s="10" t="str">
        <f>HYPERLINK("https://www.boe.es/gazeta/dias/1834/11/10/pdfs/GMD-1834-269.pdf#page=4","Abrir facsímil")</f>
        <v>Abrir facsímil</v>
      </c>
      <c r="K11324" s="10" t="s">
        <v>24</v>
      </c>
    </row>
    <row r="11325" spans="1:11" ht="54" customHeight="1">
      <c r="A11325" s="9" t="s">
        <v>23228</v>
      </c>
      <c r="B11325" s="9" t="s">
        <v>23228</v>
      </c>
      <c r="C11325" s="9" t="s">
        <v>17</v>
      </c>
      <c r="D11325" s="9" t="s">
        <v>18</v>
      </c>
      <c r="E11325" s="10" t="s">
        <v>96</v>
      </c>
      <c r="F11325" s="9" t="s">
        <v>1725</v>
      </c>
      <c r="G11325" s="10" t="s">
        <v>21</v>
      </c>
      <c r="H11325" s="9" t="s">
        <v>22</v>
      </c>
      <c r="I11325" s="9" t="s">
        <v>23233</v>
      </c>
      <c r="J11325" s="10" t="str">
        <f>HYPERLINK("https://www.boe.es/gazeta/dias/1834/11/11/pdfs/GMD-1834-270.pdf#page=3","Abrir facsímil")</f>
        <v>Abrir facsímil</v>
      </c>
      <c r="K11325" s="10" t="s">
        <v>24</v>
      </c>
    </row>
    <row r="11326" spans="1:11" ht="54" customHeight="1">
      <c r="A11326" s="9" t="s">
        <v>23234</v>
      </c>
      <c r="B11326" s="9" t="s">
        <v>23234</v>
      </c>
      <c r="C11326" s="9" t="s">
        <v>17</v>
      </c>
      <c r="D11326" s="9" t="s">
        <v>18</v>
      </c>
      <c r="E11326" s="10" t="s">
        <v>803</v>
      </c>
      <c r="F11326" s="9" t="s">
        <v>804</v>
      </c>
      <c r="G11326" s="10" t="s">
        <v>21</v>
      </c>
      <c r="H11326" s="9" t="s">
        <v>22</v>
      </c>
      <c r="I11326" s="9" t="s">
        <v>23235</v>
      </c>
      <c r="J11326" s="10" t="str">
        <f>HYPERLINK("https://www.boe.es/gazeta/dias/1834/03/29/pdfs/GMD-1834-39.pdf#page=3","Abrir facsímil")</f>
        <v>Abrir facsímil</v>
      </c>
      <c r="K11326" s="10" t="s">
        <v>24</v>
      </c>
    </row>
    <row r="11327" spans="1:11" ht="54" customHeight="1">
      <c r="A11327" s="9" t="s">
        <v>23236</v>
      </c>
      <c r="B11327" s="9" t="s">
        <v>23237</v>
      </c>
      <c r="C11327" s="9" t="s">
        <v>122</v>
      </c>
      <c r="D11327" s="9" t="s">
        <v>18</v>
      </c>
      <c r="E11327" s="10" t="s">
        <v>2379</v>
      </c>
      <c r="F11327" s="9" t="s">
        <v>2380</v>
      </c>
      <c r="G11327" s="10" t="s">
        <v>75</v>
      </c>
      <c r="H11327" s="9" t="s">
        <v>22</v>
      </c>
      <c r="I11327" s="9" t="s">
        <v>23238</v>
      </c>
      <c r="J11327" s="10" t="str">
        <f>HYPERLINK("https://www.boe.es/gazeta/dias/1834/04/03/pdfs/GMD-1834-42.pdf#page=4","Abrir facsímil")</f>
        <v>Abrir facsímil</v>
      </c>
      <c r="K11327" s="10" t="s">
        <v>24</v>
      </c>
    </row>
    <row r="11328" spans="1:11" ht="54" customHeight="1">
      <c r="A11328" s="9" t="s">
        <v>23236</v>
      </c>
      <c r="B11328" s="9" t="s">
        <v>23237</v>
      </c>
      <c r="C11328" s="9" t="s">
        <v>122</v>
      </c>
      <c r="D11328" s="9" t="s">
        <v>18</v>
      </c>
      <c r="E11328" s="10" t="s">
        <v>3328</v>
      </c>
      <c r="F11328" s="9" t="s">
        <v>3329</v>
      </c>
      <c r="G11328" s="10" t="s">
        <v>75</v>
      </c>
      <c r="H11328" s="9" t="s">
        <v>22</v>
      </c>
      <c r="I11328" s="9" t="s">
        <v>23239</v>
      </c>
      <c r="J11328" s="10" t="str">
        <f>HYPERLINK("https://www.boe.es/gazeta/dias/1834/06/04/pdfs/GMD-1834-106.pdf#page=4","Abrir facsímil")</f>
        <v>Abrir facsímil</v>
      </c>
      <c r="K11328" s="10" t="s">
        <v>24</v>
      </c>
    </row>
    <row r="11329" spans="1:11" ht="54" customHeight="1">
      <c r="A11329" s="9" t="s">
        <v>23240</v>
      </c>
      <c r="B11329" s="9" t="s">
        <v>23240</v>
      </c>
      <c r="C11329" s="9" t="s">
        <v>122</v>
      </c>
      <c r="D11329" s="9" t="s">
        <v>18</v>
      </c>
      <c r="E11329" s="10" t="s">
        <v>1704</v>
      </c>
      <c r="F11329" s="9" t="s">
        <v>1705</v>
      </c>
      <c r="G11329" s="10" t="s">
        <v>34</v>
      </c>
      <c r="H11329" s="9" t="s">
        <v>22</v>
      </c>
      <c r="I11329" s="9" t="s">
        <v>23241</v>
      </c>
      <c r="J11329" s="10" t="str">
        <f>HYPERLINK("https://www.boe.es/gazeta/dias/1834/12/02/pdfs/GMD-1834-291.pdf#page=1","Abrir facsímil")</f>
        <v>Abrir facsímil</v>
      </c>
      <c r="K11329" s="10" t="s">
        <v>24</v>
      </c>
    </row>
    <row r="11330" spans="1:11" ht="54" customHeight="1">
      <c r="A11330" s="9" t="s">
        <v>23242</v>
      </c>
      <c r="B11330" s="9" t="s">
        <v>23242</v>
      </c>
      <c r="C11330" s="9" t="s">
        <v>46</v>
      </c>
      <c r="D11330" s="9" t="s">
        <v>55</v>
      </c>
      <c r="E11330" s="10" t="s">
        <v>1922</v>
      </c>
      <c r="F11330" s="9" t="s">
        <v>1923</v>
      </c>
      <c r="G11330" s="10" t="s">
        <v>21</v>
      </c>
      <c r="H11330" s="9" t="s">
        <v>22</v>
      </c>
      <c r="I11330" s="9" t="s">
        <v>23243</v>
      </c>
      <c r="J11330" s="10" t="str">
        <f>HYPERLINK("https://www.boe.es/gazeta/dias/1834/02/25/pdfs/GMD-1834-25.pdf#page=3","Abrir facsímil")</f>
        <v>Abrir facsímil</v>
      </c>
      <c r="K11330" s="10" t="s">
        <v>24</v>
      </c>
    </row>
    <row r="11331" spans="1:11" ht="54" customHeight="1">
      <c r="A11331" s="9" t="s">
        <v>23244</v>
      </c>
      <c r="B11331" s="9" t="s">
        <v>23245</v>
      </c>
      <c r="C11331" s="9" t="s">
        <v>17</v>
      </c>
      <c r="D11331" s="9" t="s">
        <v>18</v>
      </c>
      <c r="E11331" s="10" t="s">
        <v>808</v>
      </c>
      <c r="F11331" s="9" t="s">
        <v>809</v>
      </c>
      <c r="G11331" s="10" t="s">
        <v>21</v>
      </c>
      <c r="H11331" s="9" t="s">
        <v>22</v>
      </c>
      <c r="I11331" s="9" t="s">
        <v>23246</v>
      </c>
      <c r="J11331" s="10" t="str">
        <f>HYPERLINK("https://www.boe.es/gazeta/dias/1834/10/11/pdfs/GMD-1834-239.pdf#page=3","Abrir facsímil")</f>
        <v>Abrir facsímil</v>
      </c>
      <c r="K11331" s="10" t="s">
        <v>24</v>
      </c>
    </row>
    <row r="11332" spans="1:11" ht="54" customHeight="1">
      <c r="A11332" s="9" t="s">
        <v>23247</v>
      </c>
      <c r="B11332" s="9" t="s">
        <v>23248</v>
      </c>
      <c r="C11332" s="9" t="s">
        <v>66</v>
      </c>
      <c r="D11332" s="9" t="s">
        <v>67</v>
      </c>
      <c r="E11332" s="10" t="s">
        <v>2087</v>
      </c>
      <c r="F11332" s="9" t="s">
        <v>2088</v>
      </c>
      <c r="G11332" s="10" t="s">
        <v>75</v>
      </c>
      <c r="H11332" s="9" t="s">
        <v>22</v>
      </c>
      <c r="I11332" s="9" t="s">
        <v>23249</v>
      </c>
      <c r="J11332" s="10" t="str">
        <f>HYPERLINK("https://www.boe.es/gazeta/dias/1834/12/14/pdfs/GMD-1834-303.pdf#page=4","Abrir facsímil")</f>
        <v>Abrir facsímil</v>
      </c>
      <c r="K11332" s="10" t="s">
        <v>24</v>
      </c>
    </row>
    <row r="11333" spans="1:11" ht="54" customHeight="1">
      <c r="A11333" s="9" t="s">
        <v>23250</v>
      </c>
      <c r="B11333" s="9" t="s">
        <v>23250</v>
      </c>
      <c r="C11333" s="9" t="s">
        <v>17</v>
      </c>
      <c r="D11333" s="9" t="s">
        <v>18</v>
      </c>
      <c r="E11333" s="10" t="s">
        <v>330</v>
      </c>
      <c r="F11333" s="9" t="s">
        <v>331</v>
      </c>
      <c r="G11333" s="10" t="s">
        <v>86</v>
      </c>
      <c r="H11333" s="9" t="s">
        <v>22</v>
      </c>
      <c r="I11333" s="9" t="s">
        <v>23251</v>
      </c>
      <c r="J11333" s="10" t="str">
        <f>HYPERLINK("https://www.boe.es/gazeta/dias/1834/12/03/pdfs/GMD-1834-292.pdf#page=2","Abrir facsímil")</f>
        <v>Abrir facsímil</v>
      </c>
      <c r="K11333" s="10" t="s">
        <v>24</v>
      </c>
    </row>
    <row r="11334" spans="1:11" ht="54" customHeight="1">
      <c r="A11334" s="9" t="s">
        <v>23250</v>
      </c>
      <c r="B11334" s="9" t="s">
        <v>23250</v>
      </c>
      <c r="C11334" s="9" t="s">
        <v>46</v>
      </c>
      <c r="D11334" s="9" t="s">
        <v>18</v>
      </c>
      <c r="E11334" s="10" t="s">
        <v>860</v>
      </c>
      <c r="F11334" s="9" t="s">
        <v>861</v>
      </c>
      <c r="G11334" s="10" t="s">
        <v>21</v>
      </c>
      <c r="H11334" s="9" t="s">
        <v>22</v>
      </c>
      <c r="I11334" s="9" t="s">
        <v>23252</v>
      </c>
      <c r="J11334" s="10" t="str">
        <f>HYPERLINK("https://www.boe.es/gazeta/dias/1834/02/08/pdfs/GMD-1834-18.pdf#page=3","Abrir facsímil")</f>
        <v>Abrir facsímil</v>
      </c>
      <c r="K11334" s="10" t="s">
        <v>24</v>
      </c>
    </row>
    <row r="11335" spans="1:11" ht="54" customHeight="1">
      <c r="A11335" s="9" t="s">
        <v>23250</v>
      </c>
      <c r="B11335" s="9" t="s">
        <v>23250</v>
      </c>
      <c r="C11335" s="9" t="s">
        <v>46</v>
      </c>
      <c r="D11335" s="9" t="s">
        <v>18</v>
      </c>
      <c r="E11335" s="10" t="s">
        <v>91</v>
      </c>
      <c r="F11335" s="9" t="s">
        <v>92</v>
      </c>
      <c r="G11335" s="10" t="s">
        <v>21</v>
      </c>
      <c r="H11335" s="9" t="s">
        <v>22</v>
      </c>
      <c r="I11335" s="9" t="s">
        <v>23253</v>
      </c>
      <c r="J11335" s="10" t="str">
        <f>HYPERLINK("https://www.boe.es/gazeta/dias/1834/02/13/pdfs/GMD-1834-20.pdf#page=3","Abrir facsímil")</f>
        <v>Abrir facsímil</v>
      </c>
      <c r="K11335" s="10" t="s">
        <v>24</v>
      </c>
    </row>
    <row r="11336" spans="1:11" ht="54" customHeight="1">
      <c r="A11336" s="9" t="s">
        <v>23250</v>
      </c>
      <c r="B11336" s="9" t="s">
        <v>23250</v>
      </c>
      <c r="C11336" s="9" t="s">
        <v>90</v>
      </c>
      <c r="D11336" s="9" t="s">
        <v>18</v>
      </c>
      <c r="E11336" s="10" t="s">
        <v>3225</v>
      </c>
      <c r="F11336" s="9" t="s">
        <v>3226</v>
      </c>
      <c r="G11336" s="10" t="s">
        <v>21</v>
      </c>
      <c r="H11336" s="9" t="s">
        <v>22</v>
      </c>
      <c r="I11336" s="9" t="s">
        <v>23254</v>
      </c>
      <c r="J11336" s="10" t="str">
        <f>HYPERLINK("https://www.boe.es/gazeta/dias/1834/08/22/pdfs/GMD-1834-188.pdf#page=3","Abrir facsímil")</f>
        <v>Abrir facsímil</v>
      </c>
      <c r="K11336" s="10" t="s">
        <v>24</v>
      </c>
    </row>
    <row r="11337" spans="1:11" ht="54" customHeight="1">
      <c r="A11337" s="9" t="s">
        <v>23250</v>
      </c>
      <c r="B11337" s="9" t="s">
        <v>23250</v>
      </c>
      <c r="C11337" s="9" t="s">
        <v>46</v>
      </c>
      <c r="D11337" s="9" t="s">
        <v>55</v>
      </c>
      <c r="E11337" s="10" t="s">
        <v>899</v>
      </c>
      <c r="F11337" s="9" t="s">
        <v>900</v>
      </c>
      <c r="G11337" s="10" t="s">
        <v>21</v>
      </c>
      <c r="H11337" s="9" t="s">
        <v>22</v>
      </c>
      <c r="I11337" s="9" t="s">
        <v>23255</v>
      </c>
      <c r="J11337" s="10" t="str">
        <f>HYPERLINK("https://www.boe.es/gazeta/dias/1834/01/30/pdfs/GMD-1834-14.pdf#page=3","Abrir facsímil")</f>
        <v>Abrir facsímil</v>
      </c>
      <c r="K11337" s="10" t="s">
        <v>24</v>
      </c>
    </row>
    <row r="11338" spans="1:11" ht="54" customHeight="1">
      <c r="A11338" s="9" t="s">
        <v>23250</v>
      </c>
      <c r="B11338" s="9" t="s">
        <v>23250</v>
      </c>
      <c r="C11338" s="9" t="s">
        <v>46</v>
      </c>
      <c r="D11338" s="9" t="s">
        <v>55</v>
      </c>
      <c r="E11338" s="10" t="s">
        <v>286</v>
      </c>
      <c r="F11338" s="9" t="s">
        <v>548</v>
      </c>
      <c r="G11338" s="10" t="s">
        <v>86</v>
      </c>
      <c r="H11338" s="9" t="s">
        <v>22</v>
      </c>
      <c r="I11338" s="9" t="s">
        <v>23256</v>
      </c>
      <c r="J11338" s="10" t="str">
        <f>HYPERLINK("https://www.boe.es/gazeta/dias/1834/08/30/pdfs/GMD-1834-196.pdf#page=2","Abrir facsímil")</f>
        <v>Abrir facsímil</v>
      </c>
      <c r="K11338" s="10" t="s">
        <v>24</v>
      </c>
    </row>
    <row r="11339" spans="1:11" ht="54" customHeight="1">
      <c r="A11339" s="9" t="s">
        <v>23257</v>
      </c>
      <c r="B11339" s="9" t="s">
        <v>23257</v>
      </c>
      <c r="C11339" s="9" t="s">
        <v>17</v>
      </c>
      <c r="D11339" s="9" t="s">
        <v>18</v>
      </c>
      <c r="E11339" s="10" t="s">
        <v>637</v>
      </c>
      <c r="F11339" s="9" t="s">
        <v>638</v>
      </c>
      <c r="G11339" s="10" t="s">
        <v>86</v>
      </c>
      <c r="H11339" s="9" t="s">
        <v>22</v>
      </c>
      <c r="I11339" s="9" t="s">
        <v>23258</v>
      </c>
      <c r="J11339" s="10" t="str">
        <f>HYPERLINK("https://www.boe.es/gazeta/dias/1834/06/03/pdfs/I00469-00470.pdf#page=2","Abrir facsímil")</f>
        <v>Abrir facsímil</v>
      </c>
      <c r="K11339" s="10" t="s">
        <v>24</v>
      </c>
    </row>
    <row r="11340" spans="1:11" ht="54" customHeight="1">
      <c r="A11340" s="9" t="s">
        <v>23257</v>
      </c>
      <c r="B11340" s="9" t="s">
        <v>23257</v>
      </c>
      <c r="C11340" s="9" t="s">
        <v>17</v>
      </c>
      <c r="D11340" s="9" t="s">
        <v>18</v>
      </c>
      <c r="E11340" s="10" t="s">
        <v>637</v>
      </c>
      <c r="F11340" s="9" t="s">
        <v>638</v>
      </c>
      <c r="G11340" s="10" t="s">
        <v>75</v>
      </c>
      <c r="H11340" s="9" t="s">
        <v>22</v>
      </c>
      <c r="I11340" s="9" t="s">
        <v>23258</v>
      </c>
      <c r="J11340" s="10" t="str">
        <f>HYPERLINK("https://www.boe.es/gazeta/dias/1834/06/03/pdfs/GMD-1834-105.pdf#page=4","Abrir facsímil")</f>
        <v>Abrir facsímil</v>
      </c>
      <c r="K11340" s="10" t="s">
        <v>24</v>
      </c>
    </row>
    <row r="11341" spans="1:11" ht="54" customHeight="1">
      <c r="A11341" s="9" t="s">
        <v>23257</v>
      </c>
      <c r="B11341" s="9" t="s">
        <v>23257</v>
      </c>
      <c r="C11341" s="9" t="s">
        <v>17</v>
      </c>
      <c r="D11341" s="9" t="s">
        <v>18</v>
      </c>
      <c r="E11341" s="10" t="s">
        <v>3066</v>
      </c>
      <c r="F11341" s="9" t="s">
        <v>3188</v>
      </c>
      <c r="G11341" s="10" t="s">
        <v>86</v>
      </c>
      <c r="H11341" s="9" t="s">
        <v>22</v>
      </c>
      <c r="I11341" s="9" t="s">
        <v>23259</v>
      </c>
      <c r="J11341" s="10" t="str">
        <f>HYPERLINK("https://www.boe.es/gazeta/dias/1834/08/03/pdfs/I00721-00722.pdf#page=2","Abrir facsímil")</f>
        <v>Abrir facsímil</v>
      </c>
      <c r="K11341" s="10" t="s">
        <v>24</v>
      </c>
    </row>
    <row r="11342" spans="1:11" ht="54" customHeight="1">
      <c r="A11342" s="9" t="s">
        <v>23257</v>
      </c>
      <c r="B11342" s="9" t="s">
        <v>23257</v>
      </c>
      <c r="C11342" s="9" t="s">
        <v>17</v>
      </c>
      <c r="D11342" s="9" t="s">
        <v>18</v>
      </c>
      <c r="E11342" s="10" t="s">
        <v>3066</v>
      </c>
      <c r="F11342" s="9" t="s">
        <v>3188</v>
      </c>
      <c r="G11342" s="10" t="s">
        <v>75</v>
      </c>
      <c r="H11342" s="9" t="s">
        <v>22</v>
      </c>
      <c r="I11342" s="9" t="s">
        <v>23259</v>
      </c>
      <c r="J11342" s="10" t="str">
        <f>HYPERLINK("https://www.boe.es/gazeta/dias/1834/08/03/pdfs/GMD-1834-167.pdf#page=4","Abrir facsímil")</f>
        <v>Abrir facsímil</v>
      </c>
      <c r="K11342" s="10" t="s">
        <v>24</v>
      </c>
    </row>
    <row r="11343" spans="1:11" ht="54" customHeight="1">
      <c r="A11343" s="9" t="s">
        <v>23260</v>
      </c>
      <c r="B11343" s="9" t="s">
        <v>23260</v>
      </c>
      <c r="C11343" s="9" t="s">
        <v>17</v>
      </c>
      <c r="D11343" s="9" t="s">
        <v>18</v>
      </c>
      <c r="E11343" s="10" t="s">
        <v>1661</v>
      </c>
      <c r="F11343" s="9" t="s">
        <v>1662</v>
      </c>
      <c r="G11343" s="10" t="s">
        <v>75</v>
      </c>
      <c r="H11343" s="9" t="s">
        <v>22</v>
      </c>
      <c r="I11343" s="9" t="s">
        <v>23261</v>
      </c>
      <c r="J11343" s="10" t="str">
        <f>HYPERLINK("https://www.boe.es/gazeta/dias/1834/04/06/pdfs/GMD-1834-45.pdf#page=4","Abrir facsímil")</f>
        <v>Abrir facsímil</v>
      </c>
      <c r="K11343" s="10" t="s">
        <v>24</v>
      </c>
    </row>
    <row r="11344" spans="1:11" ht="54" customHeight="1">
      <c r="A11344" s="9" t="s">
        <v>23260</v>
      </c>
      <c r="B11344" s="9" t="s">
        <v>23260</v>
      </c>
      <c r="C11344" s="9" t="s">
        <v>122</v>
      </c>
      <c r="D11344" s="9" t="s">
        <v>18</v>
      </c>
      <c r="E11344" s="10" t="s">
        <v>12114</v>
      </c>
      <c r="F11344" s="9" t="s">
        <v>12115</v>
      </c>
      <c r="G11344" s="10" t="s">
        <v>176</v>
      </c>
      <c r="H11344" s="9" t="s">
        <v>22</v>
      </c>
      <c r="I11344" s="9" t="s">
        <v>23262</v>
      </c>
      <c r="J11344" s="10" t="str">
        <f>HYPERLINK("https://www.boe.es/gazeta/dias/1834/04/08/pdfs/GMD-1834-47.pdf#page=6","Abrir facsímil")</f>
        <v>Abrir facsímil</v>
      </c>
      <c r="K11344" s="10" t="s">
        <v>24</v>
      </c>
    </row>
    <row r="11345" spans="1:11" ht="54" customHeight="1">
      <c r="A11345" s="9" t="s">
        <v>23260</v>
      </c>
      <c r="B11345" s="9" t="s">
        <v>23260</v>
      </c>
      <c r="C11345" s="9" t="s">
        <v>17</v>
      </c>
      <c r="D11345" s="9" t="s">
        <v>18</v>
      </c>
      <c r="E11345" s="10" t="s">
        <v>1999</v>
      </c>
      <c r="F11345" s="9" t="s">
        <v>2000</v>
      </c>
      <c r="G11345" s="10" t="s">
        <v>75</v>
      </c>
      <c r="H11345" s="9" t="s">
        <v>22</v>
      </c>
      <c r="I11345" s="9" t="s">
        <v>23263</v>
      </c>
      <c r="J11345" s="10" t="str">
        <f>HYPERLINK("https://www.boe.es/gazeta/dias/1834/04/09/pdfs/GMD-1834-48.pdf#page=4","Abrir facsímil")</f>
        <v>Abrir facsímil</v>
      </c>
      <c r="K11345" s="10" t="s">
        <v>24</v>
      </c>
    </row>
    <row r="11346" spans="1:11" ht="54" customHeight="1">
      <c r="A11346" s="9" t="s">
        <v>23260</v>
      </c>
      <c r="B11346" s="9" t="s">
        <v>23260</v>
      </c>
      <c r="C11346" s="9" t="s">
        <v>17</v>
      </c>
      <c r="D11346" s="9" t="s">
        <v>18</v>
      </c>
      <c r="E11346" s="10" t="s">
        <v>163</v>
      </c>
      <c r="F11346" s="9" t="s">
        <v>164</v>
      </c>
      <c r="G11346" s="10" t="s">
        <v>75</v>
      </c>
      <c r="H11346" s="9" t="s">
        <v>22</v>
      </c>
      <c r="I11346" s="9" t="s">
        <v>23264</v>
      </c>
      <c r="J11346" s="10" t="str">
        <f>HYPERLINK("https://www.boe.es/gazeta/dias/1834/08/09/pdfs/GMD-1834-174.pdf#page=4","Abrir facsímil")</f>
        <v>Abrir facsímil</v>
      </c>
      <c r="K11346" s="10" t="s">
        <v>24</v>
      </c>
    </row>
    <row r="11347" spans="1:11" ht="54" customHeight="1">
      <c r="A11347" s="9" t="s">
        <v>23260</v>
      </c>
      <c r="B11347" s="9" t="s">
        <v>23260</v>
      </c>
      <c r="C11347" s="9" t="s">
        <v>17</v>
      </c>
      <c r="D11347" s="9" t="s">
        <v>18</v>
      </c>
      <c r="E11347" s="10" t="s">
        <v>1178</v>
      </c>
      <c r="F11347" s="9" t="s">
        <v>14853</v>
      </c>
      <c r="G11347" s="10" t="s">
        <v>86</v>
      </c>
      <c r="H11347" s="9" t="s">
        <v>22</v>
      </c>
      <c r="I11347" s="9" t="s">
        <v>23265</v>
      </c>
      <c r="J11347" s="10" t="str">
        <f>HYPERLINK("https://www.boe.es/gazeta/dias/1834/04/10/pdfs/I00227-00228.pdf#page=2","Abrir facsímil")</f>
        <v>Abrir facsímil</v>
      </c>
      <c r="K11347" s="10" t="s">
        <v>24</v>
      </c>
    </row>
    <row r="11348" spans="1:11" ht="54" customHeight="1">
      <c r="A11348" s="9" t="s">
        <v>23260</v>
      </c>
      <c r="B11348" s="9" t="s">
        <v>23260</v>
      </c>
      <c r="C11348" s="9" t="s">
        <v>17</v>
      </c>
      <c r="D11348" s="9" t="s">
        <v>18</v>
      </c>
      <c r="E11348" s="10" t="s">
        <v>1178</v>
      </c>
      <c r="F11348" s="9" t="s">
        <v>14853</v>
      </c>
      <c r="G11348" s="10" t="s">
        <v>75</v>
      </c>
      <c r="H11348" s="9" t="s">
        <v>22</v>
      </c>
      <c r="I11348" s="9" t="s">
        <v>23265</v>
      </c>
      <c r="J11348" s="10" t="str">
        <f>HYPERLINK("https://www.boe.es/gazeta/dias/1834/04/10/pdfs/GMD-1834-49.pdf#page=4","Abrir facsímil")</f>
        <v>Abrir facsímil</v>
      </c>
      <c r="K11348" s="10" t="s">
        <v>24</v>
      </c>
    </row>
    <row r="11349" spans="1:11" ht="54" customHeight="1">
      <c r="A11349" s="9" t="s">
        <v>23260</v>
      </c>
      <c r="B11349" s="9" t="s">
        <v>23260</v>
      </c>
      <c r="C11349" s="9" t="s">
        <v>17</v>
      </c>
      <c r="D11349" s="9" t="s">
        <v>18</v>
      </c>
      <c r="E11349" s="10" t="s">
        <v>11736</v>
      </c>
      <c r="F11349" s="9" t="s">
        <v>11737</v>
      </c>
      <c r="G11349" s="10" t="s">
        <v>75</v>
      </c>
      <c r="H11349" s="9" t="s">
        <v>22</v>
      </c>
      <c r="I11349" s="9" t="s">
        <v>23266</v>
      </c>
      <c r="J11349" s="10" t="str">
        <f>HYPERLINK("https://www.boe.es/gazeta/dias/1834/04/11/pdfs/GMD-1834-50.pdf#page=4","Abrir facsímil")</f>
        <v>Abrir facsímil</v>
      </c>
      <c r="K11349" s="10" t="s">
        <v>24</v>
      </c>
    </row>
    <row r="11350" spans="1:11" ht="54" customHeight="1">
      <c r="A11350" s="9" t="s">
        <v>23260</v>
      </c>
      <c r="B11350" s="9" t="s">
        <v>23260</v>
      </c>
      <c r="C11350" s="9" t="s">
        <v>17</v>
      </c>
      <c r="D11350" s="9" t="s">
        <v>18</v>
      </c>
      <c r="E11350" s="10" t="s">
        <v>1708</v>
      </c>
      <c r="F11350" s="9" t="s">
        <v>1709</v>
      </c>
      <c r="G11350" s="10" t="s">
        <v>176</v>
      </c>
      <c r="H11350" s="9" t="s">
        <v>22</v>
      </c>
      <c r="I11350" s="9" t="s">
        <v>23267</v>
      </c>
      <c r="J11350" s="10" t="str">
        <f>HYPERLINK("https://www.boe.es/gazeta/dias/1834/04/12/pdfs/GMD-1834-51.pdf#page=6","Abrir facsímil")</f>
        <v>Abrir facsímil</v>
      </c>
      <c r="K11350" s="10" t="s">
        <v>24</v>
      </c>
    </row>
    <row r="11351" spans="1:11" ht="54" customHeight="1">
      <c r="A11351" s="9" t="s">
        <v>23260</v>
      </c>
      <c r="B11351" s="9" t="s">
        <v>23260</v>
      </c>
      <c r="C11351" s="9" t="s">
        <v>17</v>
      </c>
      <c r="D11351" s="9" t="s">
        <v>18</v>
      </c>
      <c r="E11351" s="10" t="s">
        <v>729</v>
      </c>
      <c r="F11351" s="9" t="s">
        <v>730</v>
      </c>
      <c r="G11351" s="10" t="s">
        <v>75</v>
      </c>
      <c r="H11351" s="9" t="s">
        <v>22</v>
      </c>
      <c r="I11351" s="9" t="s">
        <v>23268</v>
      </c>
      <c r="J11351" s="10" t="str">
        <f>HYPERLINK("https://www.boe.es/gazeta/dias/1834/04/13/pdfs/GMD-1834-52.pdf#page=4","Abrir facsímil")</f>
        <v>Abrir facsímil</v>
      </c>
      <c r="K11351" s="10" t="s">
        <v>24</v>
      </c>
    </row>
    <row r="11352" spans="1:11" ht="54" customHeight="1">
      <c r="A11352" s="9" t="s">
        <v>23260</v>
      </c>
      <c r="B11352" s="9" t="s">
        <v>23260</v>
      </c>
      <c r="C11352" s="9" t="s">
        <v>17</v>
      </c>
      <c r="D11352" s="9" t="s">
        <v>18</v>
      </c>
      <c r="E11352" s="10" t="s">
        <v>237</v>
      </c>
      <c r="F11352" s="9" t="s">
        <v>4609</v>
      </c>
      <c r="G11352" s="10" t="s">
        <v>75</v>
      </c>
      <c r="H11352" s="9" t="s">
        <v>22</v>
      </c>
      <c r="I11352" s="9" t="s">
        <v>23269</v>
      </c>
      <c r="J11352" s="10" t="str">
        <f>HYPERLINK("https://www.boe.es/gazeta/dias/1834/08/15/pdfs/GMD-1834-180.pdf#page=4","Abrir facsímil")</f>
        <v>Abrir facsímil</v>
      </c>
      <c r="K11352" s="10" t="s">
        <v>24</v>
      </c>
    </row>
    <row r="11353" spans="1:11" ht="54" customHeight="1">
      <c r="A11353" s="9" t="s">
        <v>23260</v>
      </c>
      <c r="B11353" s="9" t="s">
        <v>23260</v>
      </c>
      <c r="C11353" s="9" t="s">
        <v>17</v>
      </c>
      <c r="D11353" s="9" t="s">
        <v>18</v>
      </c>
      <c r="E11353" s="10" t="s">
        <v>217</v>
      </c>
      <c r="F11353" s="9" t="s">
        <v>218</v>
      </c>
      <c r="G11353" s="10" t="s">
        <v>75</v>
      </c>
      <c r="H11353" s="9" t="s">
        <v>22</v>
      </c>
      <c r="I11353" s="9" t="s">
        <v>23270</v>
      </c>
      <c r="J11353" s="10" t="str">
        <f>HYPERLINK("https://www.boe.es/gazeta/dias/1834/04/20/pdfs/GMD-1834-59.pdf#page=4","Abrir facsímil")</f>
        <v>Abrir facsímil</v>
      </c>
      <c r="K11353" s="10" t="s">
        <v>24</v>
      </c>
    </row>
    <row r="11354" spans="1:11" ht="54" customHeight="1">
      <c r="A11354" s="9" t="s">
        <v>23260</v>
      </c>
      <c r="B11354" s="9" t="s">
        <v>23260</v>
      </c>
      <c r="C11354" s="9" t="s">
        <v>17</v>
      </c>
      <c r="D11354" s="9" t="s">
        <v>40</v>
      </c>
      <c r="E11354" s="10" t="s">
        <v>8279</v>
      </c>
      <c r="F11354" s="9" t="s">
        <v>8280</v>
      </c>
      <c r="G11354" s="10" t="s">
        <v>75</v>
      </c>
      <c r="H11354" s="9" t="s">
        <v>22</v>
      </c>
      <c r="I11354" s="9" t="s">
        <v>23271</v>
      </c>
      <c r="J11354" s="10" t="str">
        <f>HYPERLINK("https://www.boe.es/gazeta/dias/1834/04/22/pdfs/GMD-1834-61.pdf#page=4","Abrir facsímil")</f>
        <v>Abrir facsímil</v>
      </c>
      <c r="K11354" s="10" t="s">
        <v>24</v>
      </c>
    </row>
    <row r="11355" spans="1:11" ht="54" customHeight="1">
      <c r="A11355" s="9" t="s">
        <v>23260</v>
      </c>
      <c r="B11355" s="9" t="s">
        <v>23260</v>
      </c>
      <c r="C11355" s="9" t="s">
        <v>17</v>
      </c>
      <c r="D11355" s="9" t="s">
        <v>18</v>
      </c>
      <c r="E11355" s="10" t="s">
        <v>32</v>
      </c>
      <c r="F11355" s="9" t="s">
        <v>33</v>
      </c>
      <c r="G11355" s="10" t="s">
        <v>176</v>
      </c>
      <c r="H11355" s="9" t="s">
        <v>22</v>
      </c>
      <c r="I11355" s="9" t="s">
        <v>23272</v>
      </c>
      <c r="J11355" s="10" t="str">
        <f>HYPERLINK("https://www.boe.es/gazeta/dias/1834/04/23/pdfs/GMD-1834-62.pdf#page=6","Abrir facsímil")</f>
        <v>Abrir facsímil</v>
      </c>
      <c r="K11355" s="10" t="s">
        <v>24</v>
      </c>
    </row>
    <row r="11356" spans="1:11" ht="54" customHeight="1">
      <c r="A11356" s="9" t="s">
        <v>23260</v>
      </c>
      <c r="B11356" s="9" t="s">
        <v>23260</v>
      </c>
      <c r="C11356" s="9" t="s">
        <v>66</v>
      </c>
      <c r="D11356" s="9" t="s">
        <v>67</v>
      </c>
      <c r="E11356" s="10" t="s">
        <v>833</v>
      </c>
      <c r="F11356" s="9" t="s">
        <v>834</v>
      </c>
      <c r="G11356" s="10" t="s">
        <v>75</v>
      </c>
      <c r="H11356" s="9" t="s">
        <v>22</v>
      </c>
      <c r="I11356" s="9" t="s">
        <v>23273</v>
      </c>
      <c r="J11356" s="10" t="str">
        <f>HYPERLINK("https://www.boe.es/gazeta/dias/1834/04/24/pdfs/GMD-1834-63.pdf#page=4","Abrir facsímil")</f>
        <v>Abrir facsímil</v>
      </c>
      <c r="K11356" s="10" t="s">
        <v>24</v>
      </c>
    </row>
    <row r="11357" spans="1:11" ht="54" customHeight="1">
      <c r="A11357" s="9" t="s">
        <v>23260</v>
      </c>
      <c r="B11357" s="9" t="s">
        <v>23260</v>
      </c>
      <c r="C11357" s="9" t="s">
        <v>17</v>
      </c>
      <c r="D11357" s="9" t="s">
        <v>101</v>
      </c>
      <c r="E11357" s="10" t="s">
        <v>724</v>
      </c>
      <c r="F11357" s="9" t="s">
        <v>725</v>
      </c>
      <c r="G11357" s="10" t="s">
        <v>176</v>
      </c>
      <c r="H11357" s="9" t="s">
        <v>22</v>
      </c>
      <c r="I11357" s="9" t="s">
        <v>23274</v>
      </c>
      <c r="J11357" s="10" t="str">
        <f>HYPERLINK("https://www.boe.es/gazeta/dias/1834/04/25/pdfs/GMD-1834-64.pdf#page=6","Abrir facsímil")</f>
        <v>Abrir facsímil</v>
      </c>
      <c r="K11357" s="10" t="s">
        <v>24</v>
      </c>
    </row>
    <row r="11358" spans="1:11" ht="54" customHeight="1">
      <c r="A11358" s="9" t="s">
        <v>23260</v>
      </c>
      <c r="B11358" s="9" t="s">
        <v>23260</v>
      </c>
      <c r="C11358" s="9" t="s">
        <v>17</v>
      </c>
      <c r="D11358" s="9" t="s">
        <v>18</v>
      </c>
      <c r="E11358" s="10" t="s">
        <v>2306</v>
      </c>
      <c r="F11358" s="9" t="s">
        <v>2307</v>
      </c>
      <c r="G11358" s="10" t="s">
        <v>75</v>
      </c>
      <c r="H11358" s="9" t="s">
        <v>22</v>
      </c>
      <c r="I11358" s="9" t="s">
        <v>23275</v>
      </c>
      <c r="J11358" s="10" t="str">
        <f>HYPERLINK("https://www.boe.es/gazeta/dias/1834/04/26/pdfs/GMD-1834-65.pdf#page=4","Abrir facsímil")</f>
        <v>Abrir facsímil</v>
      </c>
      <c r="K11358" s="10" t="s">
        <v>24</v>
      </c>
    </row>
    <row r="11359" spans="1:11" ht="54" customHeight="1">
      <c r="A11359" s="9" t="s">
        <v>23276</v>
      </c>
      <c r="B11359" s="9" t="s">
        <v>23277</v>
      </c>
      <c r="C11359" s="9" t="s">
        <v>17</v>
      </c>
      <c r="D11359" s="9" t="s">
        <v>18</v>
      </c>
      <c r="E11359" s="10" t="s">
        <v>658</v>
      </c>
      <c r="F11359" s="9" t="s">
        <v>659</v>
      </c>
      <c r="G11359" s="10" t="s">
        <v>75</v>
      </c>
      <c r="H11359" s="9" t="s">
        <v>22</v>
      </c>
      <c r="I11359" s="9" t="s">
        <v>23278</v>
      </c>
      <c r="J11359" s="10" t="str">
        <f>HYPERLINK("https://www.boe.es/gazeta/dias/1834/05/26/pdfs/GMD-1834-95.pdf#page=4","Abrir facsímil")</f>
        <v>Abrir facsímil</v>
      </c>
      <c r="K11359" s="10" t="s">
        <v>24</v>
      </c>
    </row>
    <row r="11360" spans="1:11" ht="54" customHeight="1">
      <c r="A11360" s="9" t="s">
        <v>23279</v>
      </c>
      <c r="B11360" s="9" t="s">
        <v>23280</v>
      </c>
      <c r="C11360" s="9" t="s">
        <v>66</v>
      </c>
      <c r="D11360" s="9" t="s">
        <v>67</v>
      </c>
      <c r="E11360" s="10" t="s">
        <v>19</v>
      </c>
      <c r="F11360" s="9" t="s">
        <v>20</v>
      </c>
      <c r="G11360" s="10" t="s">
        <v>34</v>
      </c>
      <c r="H11360" s="9" t="s">
        <v>22</v>
      </c>
      <c r="I11360" s="9" t="s">
        <v>23281</v>
      </c>
      <c r="J11360" s="10" t="str">
        <f>HYPERLINK("https://www.boe.es/gazeta/dias/1834/08/17/pdfs/GMD-C-1834-182.pdf#page=1","Abrir facsímil")</f>
        <v>Abrir facsímil</v>
      </c>
      <c r="K11360" s="10" t="s">
        <v>24</v>
      </c>
    </row>
    <row r="11361" spans="1:11" ht="54" customHeight="1">
      <c r="A11361" s="9" t="s">
        <v>23282</v>
      </c>
      <c r="B11361" s="9" t="s">
        <v>23283</v>
      </c>
      <c r="C11361" s="9" t="s">
        <v>66</v>
      </c>
      <c r="D11361" s="9" t="s">
        <v>67</v>
      </c>
      <c r="E11361" s="10" t="s">
        <v>1262</v>
      </c>
      <c r="F11361" s="9" t="s">
        <v>1263</v>
      </c>
      <c r="G11361" s="10" t="s">
        <v>21</v>
      </c>
      <c r="H11361" s="9" t="s">
        <v>22</v>
      </c>
      <c r="I11361" s="9" t="s">
        <v>23284</v>
      </c>
      <c r="J11361" s="10" t="str">
        <f>HYPERLINK("https://www.boe.es/gazeta/dias/1834/02/01/pdfs/GMD-1834-15.pdf#page=3","Abrir facsímil")</f>
        <v>Abrir facsímil</v>
      </c>
      <c r="K11361" s="10" t="s">
        <v>24</v>
      </c>
    </row>
    <row r="11362" spans="1:11" ht="54" customHeight="1">
      <c r="A11362" s="9" t="s">
        <v>23285</v>
      </c>
      <c r="B11362" s="9" t="s">
        <v>23285</v>
      </c>
      <c r="C11362" s="9" t="s">
        <v>122</v>
      </c>
      <c r="D11362" s="9" t="s">
        <v>18</v>
      </c>
      <c r="E11362" s="10" t="s">
        <v>1337</v>
      </c>
      <c r="F11362" s="9" t="s">
        <v>1338</v>
      </c>
      <c r="G11362" s="10" t="s">
        <v>86</v>
      </c>
      <c r="H11362" s="9" t="s">
        <v>22</v>
      </c>
      <c r="I11362" s="9" t="s">
        <v>23286</v>
      </c>
      <c r="J11362" s="10" t="str">
        <f>HYPERLINK("https://www.boe.es/gazeta/dias/1834/01/02/pdfs/GMD-1834-1.pdf#page=2","Abrir facsímil")</f>
        <v>Abrir facsímil</v>
      </c>
      <c r="K11362" s="10" t="s">
        <v>24</v>
      </c>
    </row>
    <row r="11363" spans="1:11" ht="54" customHeight="1">
      <c r="A11363" s="9" t="s">
        <v>23285</v>
      </c>
      <c r="B11363" s="9" t="s">
        <v>23285</v>
      </c>
      <c r="C11363" s="9" t="s">
        <v>46</v>
      </c>
      <c r="D11363" s="9" t="s">
        <v>55</v>
      </c>
      <c r="E11363" s="10" t="s">
        <v>1170</v>
      </c>
      <c r="F11363" s="9" t="s">
        <v>1171</v>
      </c>
      <c r="G11363" s="10" t="s">
        <v>75</v>
      </c>
      <c r="H11363" s="9" t="s">
        <v>22</v>
      </c>
      <c r="I11363" s="9" t="s">
        <v>23287</v>
      </c>
      <c r="J11363" s="10" t="str">
        <f>HYPERLINK("https://www.boe.es/gazeta/dias/1834/01/07/pdfs/GMD-1834-4.pdf#page=4","Abrir facsímil")</f>
        <v>Abrir facsímil</v>
      </c>
      <c r="K11363" s="10" t="s">
        <v>24</v>
      </c>
    </row>
    <row r="11364" spans="1:11" ht="54" customHeight="1">
      <c r="A11364" s="9" t="s">
        <v>23288</v>
      </c>
      <c r="B11364" s="9" t="s">
        <v>23289</v>
      </c>
      <c r="C11364" s="9" t="s">
        <v>17</v>
      </c>
      <c r="D11364" s="9" t="s">
        <v>18</v>
      </c>
      <c r="E11364" s="10" t="s">
        <v>1025</v>
      </c>
      <c r="F11364" s="9" t="s">
        <v>1026</v>
      </c>
      <c r="G11364" s="10" t="s">
        <v>28</v>
      </c>
      <c r="H11364" s="9" t="s">
        <v>22</v>
      </c>
      <c r="I11364" s="9" t="s">
        <v>23290</v>
      </c>
      <c r="J11364" s="10" t="str">
        <f>HYPERLINK("https://www.boe.es/gazeta/dias/1834/03/01/pdfs/GMD-1834-27.pdf#page=5","Abrir facsímil")</f>
        <v>Abrir facsímil</v>
      </c>
      <c r="K11364" s="10" t="s">
        <v>24</v>
      </c>
    </row>
    <row r="11365" spans="1:11" ht="54" customHeight="1">
      <c r="A11365" s="9" t="s">
        <v>23291</v>
      </c>
      <c r="B11365" s="9" t="s">
        <v>23292</v>
      </c>
      <c r="C11365" s="9" t="s">
        <v>66</v>
      </c>
      <c r="D11365" s="9" t="s">
        <v>67</v>
      </c>
      <c r="E11365" s="10" t="s">
        <v>2048</v>
      </c>
      <c r="F11365" s="9" t="s">
        <v>2049</v>
      </c>
      <c r="G11365" s="10" t="s">
        <v>75</v>
      </c>
      <c r="H11365" s="9" t="s">
        <v>22</v>
      </c>
      <c r="I11365" s="9" t="s">
        <v>23293</v>
      </c>
      <c r="J11365" s="10" t="str">
        <f>HYPERLINK("https://www.boe.es/gazeta/dias/1834/05/12/pdfs/GMD-1834-81.pdf#page=4","Abrir facsímil")</f>
        <v>Abrir facsímil</v>
      </c>
      <c r="K11365" s="10" t="s">
        <v>24</v>
      </c>
    </row>
    <row r="11366" spans="1:11" ht="54" customHeight="1">
      <c r="A11366" s="9" t="s">
        <v>23294</v>
      </c>
      <c r="B11366" s="9" t="s">
        <v>23295</v>
      </c>
      <c r="C11366" s="9" t="s">
        <v>66</v>
      </c>
      <c r="D11366" s="9" t="s">
        <v>67</v>
      </c>
      <c r="E11366" s="10" t="s">
        <v>1572</v>
      </c>
      <c r="F11366" s="9" t="s">
        <v>1573</v>
      </c>
      <c r="G11366" s="10" t="s">
        <v>34</v>
      </c>
      <c r="H11366" s="9" t="s">
        <v>22</v>
      </c>
      <c r="I11366" s="9" t="s">
        <v>23296</v>
      </c>
      <c r="J11366" s="10" t="str">
        <f>HYPERLINK("https://www.boe.es/gazeta/dias/1834/03/20/pdfs/GMD-1834-35.pdf#page=1","Abrir facsímil")</f>
        <v>Abrir facsímil</v>
      </c>
      <c r="K11366" s="10" t="s">
        <v>24</v>
      </c>
    </row>
    <row r="11367" spans="1:11" ht="54" customHeight="1">
      <c r="A11367" s="9" t="s">
        <v>23297</v>
      </c>
      <c r="B11367" s="9" t="s">
        <v>23297</v>
      </c>
      <c r="C11367" s="9" t="s">
        <v>66</v>
      </c>
      <c r="D11367" s="9" t="s">
        <v>18</v>
      </c>
      <c r="E11367" s="10" t="s">
        <v>3163</v>
      </c>
      <c r="F11367" s="9" t="s">
        <v>3164</v>
      </c>
      <c r="G11367" s="10" t="s">
        <v>75</v>
      </c>
      <c r="H11367" s="9" t="s">
        <v>22</v>
      </c>
      <c r="I11367" s="9" t="s">
        <v>23298</v>
      </c>
      <c r="J11367" s="10" t="str">
        <f>HYPERLINK("https://www.boe.es/gazeta/dias/1834/11/02/pdfs/GMD-1834-261.pdf#page=4","Abrir facsímil")</f>
        <v>Abrir facsímil</v>
      </c>
      <c r="K11367" s="10" t="s">
        <v>24</v>
      </c>
    </row>
    <row r="11368" spans="1:11" ht="54" customHeight="1">
      <c r="A11368" s="9" t="s">
        <v>23299</v>
      </c>
      <c r="B11368" s="9" t="s">
        <v>23299</v>
      </c>
      <c r="C11368" s="9" t="s">
        <v>66</v>
      </c>
      <c r="D11368" s="9" t="s">
        <v>18</v>
      </c>
      <c r="E11368" s="10" t="s">
        <v>448</v>
      </c>
      <c r="F11368" s="9" t="s">
        <v>2058</v>
      </c>
      <c r="G11368" s="10" t="s">
        <v>21</v>
      </c>
      <c r="H11368" s="9" t="s">
        <v>22</v>
      </c>
      <c r="I11368" s="9" t="s">
        <v>23300</v>
      </c>
      <c r="J11368" s="10" t="str">
        <f>HYPERLINK("https://www.boe.es/gazeta/dias/1834/10/14/pdfs/GMD-1834-242.pdf#page=3","Abrir facsímil")</f>
        <v>Abrir facsímil</v>
      </c>
      <c r="K11368" s="10" t="s">
        <v>24</v>
      </c>
    </row>
    <row r="11369" spans="1:11" ht="54" customHeight="1">
      <c r="A11369" s="9" t="s">
        <v>23301</v>
      </c>
      <c r="B11369" s="9" t="s">
        <v>23301</v>
      </c>
      <c r="C11369" s="9" t="s">
        <v>17</v>
      </c>
      <c r="D11369" s="9" t="s">
        <v>18</v>
      </c>
      <c r="E11369" s="10" t="s">
        <v>3248</v>
      </c>
      <c r="F11369" s="9" t="s">
        <v>3249</v>
      </c>
      <c r="G11369" s="10" t="s">
        <v>21</v>
      </c>
      <c r="H11369" s="9" t="s">
        <v>22</v>
      </c>
      <c r="I11369" s="9" t="s">
        <v>23302</v>
      </c>
      <c r="J11369" s="10" t="str">
        <f>HYPERLINK("https://www.boe.es/gazeta/dias/1834/09/20/pdfs/GMD-1834-218.pdf#page=3","Abrir facsímil")</f>
        <v>Abrir facsímil</v>
      </c>
      <c r="K11369" s="10" t="s">
        <v>24</v>
      </c>
    </row>
    <row r="11370" spans="1:11" ht="54" customHeight="1">
      <c r="A11370" s="9" t="s">
        <v>23303</v>
      </c>
      <c r="B11370" s="9" t="s">
        <v>23303</v>
      </c>
      <c r="C11370" s="9" t="s">
        <v>17</v>
      </c>
      <c r="D11370" s="9" t="s">
        <v>18</v>
      </c>
      <c r="E11370" s="10" t="s">
        <v>2098</v>
      </c>
      <c r="F11370" s="9" t="s">
        <v>5817</v>
      </c>
      <c r="G11370" s="10" t="s">
        <v>86</v>
      </c>
      <c r="H11370" s="9" t="s">
        <v>22</v>
      </c>
      <c r="I11370" s="9" t="s">
        <v>23304</v>
      </c>
      <c r="J11370" s="10" t="str">
        <f>HYPERLINK("https://www.boe.es/gazeta/dias/1834/08/11/pdfs/GMD-C-1834-176.pdf#page=2","Abrir facsímil")</f>
        <v>Abrir facsímil</v>
      </c>
      <c r="K11370" s="10" t="s">
        <v>24</v>
      </c>
    </row>
    <row r="11371" spans="1:11" ht="54" customHeight="1">
      <c r="A11371" s="9" t="s">
        <v>23305</v>
      </c>
      <c r="B11371" s="9" t="s">
        <v>23306</v>
      </c>
      <c r="C11371" s="9" t="s">
        <v>17</v>
      </c>
      <c r="D11371" s="9" t="s">
        <v>18</v>
      </c>
      <c r="E11371" s="10" t="s">
        <v>433</v>
      </c>
      <c r="F11371" s="9" t="s">
        <v>434</v>
      </c>
      <c r="G11371" s="10" t="s">
        <v>86</v>
      </c>
      <c r="H11371" s="9" t="s">
        <v>22</v>
      </c>
      <c r="I11371" s="9" t="s">
        <v>23307</v>
      </c>
      <c r="J11371" s="10" t="str">
        <f>HYPERLINK("https://www.boe.es/gazeta/dias/1834/10/07/pdfs/GMD-C-1834-235.pdf#page=2","Abrir facsímil")</f>
        <v>Abrir facsímil</v>
      </c>
      <c r="K11371" s="10" t="s">
        <v>24</v>
      </c>
    </row>
    <row r="11372" spans="1:11" ht="54" customHeight="1">
      <c r="A11372" s="9" t="s">
        <v>23308</v>
      </c>
      <c r="B11372" s="9" t="s">
        <v>23309</v>
      </c>
      <c r="C11372" s="9" t="s">
        <v>17</v>
      </c>
      <c r="D11372" s="9" t="s">
        <v>55</v>
      </c>
      <c r="E11372" s="10" t="s">
        <v>294</v>
      </c>
      <c r="F11372" s="9" t="s">
        <v>295</v>
      </c>
      <c r="G11372" s="10" t="s">
        <v>75</v>
      </c>
      <c r="H11372" s="9" t="s">
        <v>22</v>
      </c>
      <c r="I11372" s="9" t="s">
        <v>23310</v>
      </c>
      <c r="J11372" s="10" t="str">
        <f>HYPERLINK("https://www.boe.es/gazeta/dias/1834/09/27/pdfs/GMD-1834-225.pdf#page=4","Abrir facsímil")</f>
        <v>Abrir facsímil</v>
      </c>
      <c r="K11372" s="10" t="s">
        <v>24</v>
      </c>
    </row>
    <row r="11373" spans="1:11" ht="54" customHeight="1">
      <c r="A11373" s="9" t="s">
        <v>23311</v>
      </c>
      <c r="B11373" s="9" t="s">
        <v>23312</v>
      </c>
      <c r="C11373" s="9" t="s">
        <v>17</v>
      </c>
      <c r="D11373" s="9" t="s">
        <v>18</v>
      </c>
      <c r="E11373" s="10" t="s">
        <v>3810</v>
      </c>
      <c r="F11373" s="9" t="s">
        <v>3811</v>
      </c>
      <c r="G11373" s="10" t="s">
        <v>75</v>
      </c>
      <c r="H11373" s="9" t="s">
        <v>22</v>
      </c>
      <c r="I11373" s="9" t="s">
        <v>23313</v>
      </c>
      <c r="J11373" s="10" t="str">
        <f>HYPERLINK("https://www.boe.es/gazeta/dias/1834/02/20/pdfs/GMD-1834-23.pdf#page=4","Abrir facsímil")</f>
        <v>Abrir facsímil</v>
      </c>
      <c r="K11373" s="10" t="s">
        <v>24</v>
      </c>
    </row>
    <row r="11374" spans="1:11" ht="54" customHeight="1">
      <c r="A11374" s="9" t="s">
        <v>23314</v>
      </c>
      <c r="B11374" s="9" t="s">
        <v>23314</v>
      </c>
      <c r="C11374" s="9" t="s">
        <v>46</v>
      </c>
      <c r="D11374" s="9" t="s">
        <v>101</v>
      </c>
      <c r="E11374" s="10" t="s">
        <v>762</v>
      </c>
      <c r="F11374" s="9" t="s">
        <v>2227</v>
      </c>
      <c r="G11374" s="10" t="s">
        <v>75</v>
      </c>
      <c r="H11374" s="9" t="s">
        <v>22</v>
      </c>
      <c r="I11374" s="9" t="s">
        <v>23315</v>
      </c>
      <c r="J11374" s="10" t="str">
        <f>HYPERLINK("https://www.boe.es/gazeta/dias/1834/11/07/pdfs/GMD-C-1834-266.pdf#page=4","Abrir facsímil")</f>
        <v>Abrir facsímil</v>
      </c>
      <c r="K11374" s="10" t="s">
        <v>24</v>
      </c>
    </row>
    <row r="11375" spans="1:11" ht="54" customHeight="1">
      <c r="A11375" s="9" t="s">
        <v>23314</v>
      </c>
      <c r="B11375" s="9" t="s">
        <v>23314</v>
      </c>
      <c r="C11375" s="9" t="s">
        <v>90</v>
      </c>
      <c r="D11375" s="9" t="s">
        <v>18</v>
      </c>
      <c r="E11375" s="10" t="s">
        <v>348</v>
      </c>
      <c r="F11375" s="9" t="s">
        <v>349</v>
      </c>
      <c r="G11375" s="10" t="s">
        <v>34</v>
      </c>
      <c r="H11375" s="9" t="s">
        <v>22</v>
      </c>
      <c r="I11375" s="9" t="s">
        <v>23316</v>
      </c>
      <c r="J11375" s="10" t="str">
        <f>HYPERLINK("https://www.boe.es/gazeta/dias/1834/06/12/pdfs/GMD-C-1834-115.pdf#page=1","Abrir facsímil")</f>
        <v>Abrir facsímil</v>
      </c>
      <c r="K11375" s="10" t="s">
        <v>24</v>
      </c>
    </row>
    <row r="11376" spans="1:11" ht="54" customHeight="1">
      <c r="A11376" s="9" t="s">
        <v>23317</v>
      </c>
      <c r="B11376" s="9" t="s">
        <v>23318</v>
      </c>
      <c r="C11376" s="9" t="s">
        <v>46</v>
      </c>
      <c r="D11376" s="9" t="s">
        <v>101</v>
      </c>
      <c r="E11376" s="10" t="s">
        <v>378</v>
      </c>
      <c r="F11376" s="9" t="s">
        <v>888</v>
      </c>
      <c r="G11376" s="10" t="s">
        <v>176</v>
      </c>
      <c r="H11376" s="9" t="s">
        <v>22</v>
      </c>
      <c r="I11376" s="9" t="s">
        <v>23319</v>
      </c>
      <c r="J11376" s="10" t="str">
        <f>HYPERLINK("https://www.boe.es/gazeta/dias/1834/09/24/pdfs/GMD-C-1834-222.pdf#page=6","Abrir facsímil")</f>
        <v>Abrir facsímil</v>
      </c>
      <c r="K11376" s="10" t="s">
        <v>24</v>
      </c>
    </row>
    <row r="11377" spans="1:11" ht="54" customHeight="1">
      <c r="A11377" s="9" t="s">
        <v>23320</v>
      </c>
      <c r="B11377" s="9" t="s">
        <v>23321</v>
      </c>
      <c r="C11377" s="9" t="s">
        <v>17</v>
      </c>
      <c r="D11377" s="9" t="s">
        <v>40</v>
      </c>
      <c r="E11377" s="10" t="s">
        <v>1113</v>
      </c>
      <c r="F11377" s="9" t="s">
        <v>1114</v>
      </c>
      <c r="G11377" s="10" t="s">
        <v>75</v>
      </c>
      <c r="H11377" s="9" t="s">
        <v>22</v>
      </c>
      <c r="I11377" s="9" t="s">
        <v>23322</v>
      </c>
      <c r="J11377" s="10" t="str">
        <f>HYPERLINK("https://www.boe.es/gazeta/dias/1834/04/14/pdfs/GMD-1834-53.pdf#page=4","Abrir facsímil")</f>
        <v>Abrir facsímil</v>
      </c>
      <c r="K11377" s="10" t="s">
        <v>24</v>
      </c>
    </row>
    <row r="11378" spans="1:11" ht="54" customHeight="1">
      <c r="A11378" s="9" t="s">
        <v>23323</v>
      </c>
      <c r="B11378" s="9" t="s">
        <v>23323</v>
      </c>
      <c r="C11378" s="9" t="s">
        <v>122</v>
      </c>
      <c r="D11378" s="9" t="s">
        <v>40</v>
      </c>
      <c r="E11378" s="10" t="s">
        <v>462</v>
      </c>
      <c r="F11378" s="9" t="s">
        <v>2110</v>
      </c>
      <c r="G11378" s="10" t="s">
        <v>75</v>
      </c>
      <c r="H11378" s="9" t="s">
        <v>22</v>
      </c>
      <c r="I11378" s="9" t="s">
        <v>23324</v>
      </c>
      <c r="J11378" s="10" t="str">
        <f>HYPERLINK("https://www.boe.es/gazeta/dias/1834/08/27/pdfs/GMD-1834-193.pdf#page=4","Abrir facsímil")</f>
        <v>Abrir facsímil</v>
      </c>
      <c r="K11378" s="10" t="s">
        <v>24</v>
      </c>
    </row>
    <row r="11379" spans="1:11" ht="54" customHeight="1">
      <c r="A11379" s="9" t="s">
        <v>23325</v>
      </c>
      <c r="B11379" s="9" t="s">
        <v>23326</v>
      </c>
      <c r="C11379" s="9" t="s">
        <v>17</v>
      </c>
      <c r="D11379" s="9" t="s">
        <v>40</v>
      </c>
      <c r="E11379" s="10" t="s">
        <v>594</v>
      </c>
      <c r="F11379" s="9" t="s">
        <v>595</v>
      </c>
      <c r="G11379" s="10" t="s">
        <v>75</v>
      </c>
      <c r="H11379" s="9" t="s">
        <v>22</v>
      </c>
      <c r="I11379" s="9" t="s">
        <v>23327</v>
      </c>
      <c r="J11379" s="10" t="str">
        <f>HYPERLINK("https://www.boe.es/gazeta/dias/1834/06/01/pdfs/GMD-1834-102.pdf#page=4","Abrir facsímil")</f>
        <v>Abrir facsímil</v>
      </c>
      <c r="K11379" s="10" t="s">
        <v>24</v>
      </c>
    </row>
    <row r="11380" spans="1:11" ht="54" customHeight="1">
      <c r="A11380" s="9" t="s">
        <v>23328</v>
      </c>
      <c r="B11380" s="9" t="s">
        <v>23328</v>
      </c>
      <c r="C11380" s="9" t="s">
        <v>122</v>
      </c>
      <c r="D11380" s="9" t="s">
        <v>18</v>
      </c>
      <c r="E11380" s="10" t="s">
        <v>729</v>
      </c>
      <c r="F11380" s="9" t="s">
        <v>730</v>
      </c>
      <c r="G11380" s="10" t="s">
        <v>75</v>
      </c>
      <c r="H11380" s="9" t="s">
        <v>22</v>
      </c>
      <c r="I11380" s="9" t="s">
        <v>23329</v>
      </c>
      <c r="J11380" s="10" t="str">
        <f>HYPERLINK("https://www.boe.es/gazeta/dias/1834/04/13/pdfs/GMD-1834-52.pdf#page=4","Abrir facsímil")</f>
        <v>Abrir facsímil</v>
      </c>
      <c r="K11380" s="10" t="s">
        <v>24</v>
      </c>
    </row>
    <row r="11381" spans="1:11" ht="54" customHeight="1">
      <c r="A11381" s="9" t="s">
        <v>23330</v>
      </c>
      <c r="B11381" s="9" t="s">
        <v>23331</v>
      </c>
      <c r="C11381" s="9" t="s">
        <v>17</v>
      </c>
      <c r="D11381" s="9" t="s">
        <v>18</v>
      </c>
      <c r="E11381" s="10" t="s">
        <v>454</v>
      </c>
      <c r="F11381" s="9" t="s">
        <v>2009</v>
      </c>
      <c r="G11381" s="10" t="s">
        <v>21</v>
      </c>
      <c r="H11381" s="9" t="s">
        <v>22</v>
      </c>
      <c r="I11381" s="9" t="s">
        <v>23332</v>
      </c>
      <c r="J11381" s="10" t="str">
        <f>HYPERLINK("https://www.boe.es/gazeta/dias/1834/10/16/pdfs/GMD-1834-244.pdf#page=3","Abrir facsímil")</f>
        <v>Abrir facsímil</v>
      </c>
      <c r="K11381" s="10" t="s">
        <v>24</v>
      </c>
    </row>
    <row r="11382" spans="1:11" ht="54" customHeight="1">
      <c r="A11382" s="9" t="s">
        <v>23333</v>
      </c>
      <c r="B11382" s="9" t="s">
        <v>23334</v>
      </c>
      <c r="C11382" s="9" t="s">
        <v>17</v>
      </c>
      <c r="D11382" s="9" t="s">
        <v>18</v>
      </c>
      <c r="E11382" s="10" t="s">
        <v>1572</v>
      </c>
      <c r="F11382" s="9" t="s">
        <v>1573</v>
      </c>
      <c r="G11382" s="10" t="s">
        <v>34</v>
      </c>
      <c r="H11382" s="9" t="s">
        <v>22</v>
      </c>
      <c r="I11382" s="9" t="s">
        <v>23335</v>
      </c>
      <c r="J11382" s="10" t="str">
        <f>HYPERLINK("https://www.boe.es/gazeta/dias/1834/03/20/pdfs/GMD-1834-35.pdf#page=1","Abrir facsímil")</f>
        <v>Abrir facsímil</v>
      </c>
      <c r="K11382" s="10" t="s">
        <v>24</v>
      </c>
    </row>
    <row r="11383" spans="1:11" ht="54" customHeight="1">
      <c r="A11383" s="9" t="s">
        <v>23333</v>
      </c>
      <c r="B11383" s="9" t="s">
        <v>23334</v>
      </c>
      <c r="C11383" s="9" t="s">
        <v>46</v>
      </c>
      <c r="D11383" s="9" t="s">
        <v>101</v>
      </c>
      <c r="E11383" s="10" t="s">
        <v>3225</v>
      </c>
      <c r="F11383" s="9" t="s">
        <v>3226</v>
      </c>
      <c r="G11383" s="10" t="s">
        <v>86</v>
      </c>
      <c r="H11383" s="9" t="s">
        <v>22</v>
      </c>
      <c r="I11383" s="9" t="s">
        <v>23336</v>
      </c>
      <c r="J11383" s="10" t="str">
        <f>HYPERLINK("https://www.boe.es/gazeta/dias/1834/08/22/pdfs/GMD-1834-188.pdf#page=2","Abrir facsímil")</f>
        <v>Abrir facsímil</v>
      </c>
      <c r="K11383" s="10" t="s">
        <v>24</v>
      </c>
    </row>
    <row r="11384" spans="1:11" ht="54" customHeight="1">
      <c r="A11384" s="9" t="s">
        <v>23333</v>
      </c>
      <c r="B11384" s="9" t="s">
        <v>23334</v>
      </c>
      <c r="C11384" s="9" t="s">
        <v>46</v>
      </c>
      <c r="D11384" s="9" t="s">
        <v>101</v>
      </c>
      <c r="E11384" s="10" t="s">
        <v>251</v>
      </c>
      <c r="F11384" s="9" t="s">
        <v>1278</v>
      </c>
      <c r="G11384" s="10" t="s">
        <v>86</v>
      </c>
      <c r="H11384" s="9" t="s">
        <v>22</v>
      </c>
      <c r="I11384" s="9" t="s">
        <v>23337</v>
      </c>
      <c r="J11384" s="10" t="str">
        <f>HYPERLINK("https://www.boe.es/gazeta/dias/1834/09/26/pdfs/GMD-1834-224.pdf#page=2","Abrir facsímil")</f>
        <v>Abrir facsímil</v>
      </c>
      <c r="K11384" s="10" t="s">
        <v>24</v>
      </c>
    </row>
    <row r="11385" spans="1:11" ht="54" customHeight="1">
      <c r="A11385" s="9" t="s">
        <v>23338</v>
      </c>
      <c r="B11385" s="9" t="s">
        <v>23339</v>
      </c>
      <c r="C11385" s="9" t="s">
        <v>17</v>
      </c>
      <c r="D11385" s="9" t="s">
        <v>18</v>
      </c>
      <c r="E11385" s="10" t="s">
        <v>808</v>
      </c>
      <c r="F11385" s="9" t="s">
        <v>809</v>
      </c>
      <c r="G11385" s="10" t="s">
        <v>75</v>
      </c>
      <c r="H11385" s="9" t="s">
        <v>35</v>
      </c>
      <c r="I11385" s="9" t="s">
        <v>23340</v>
      </c>
      <c r="J11385" s="10" t="str">
        <f>HYPERLINK("https://www.boe.es/gazeta/dias/1834/10/11/pdfs/GMD-1834-239.pdf#page=4","Abrir facsímil")</f>
        <v>Abrir facsímil</v>
      </c>
      <c r="K11385" s="10" t="s">
        <v>37</v>
      </c>
    </row>
    <row r="11386" spans="1:11" ht="54" customHeight="1">
      <c r="A11386" s="9" t="s">
        <v>23341</v>
      </c>
      <c r="B11386" s="9" t="s">
        <v>23342</v>
      </c>
      <c r="C11386" s="9" t="s">
        <v>17</v>
      </c>
      <c r="D11386" s="9" t="s">
        <v>18</v>
      </c>
      <c r="E11386" s="10" t="s">
        <v>808</v>
      </c>
      <c r="F11386" s="9" t="s">
        <v>809</v>
      </c>
      <c r="G11386" s="10" t="s">
        <v>75</v>
      </c>
      <c r="H11386" s="9" t="s">
        <v>22</v>
      </c>
      <c r="I11386" s="9" t="s">
        <v>23343</v>
      </c>
      <c r="J11386" s="10" t="str">
        <f>HYPERLINK("https://www.boe.es/gazeta/dias/1834/10/11/pdfs/GMD-1834-239.pdf#page=4","Abrir facsímil")</f>
        <v>Abrir facsímil</v>
      </c>
      <c r="K11386" s="10" t="s">
        <v>24</v>
      </c>
    </row>
    <row r="11387" spans="1:11" ht="54" customHeight="1">
      <c r="A11387" s="9" t="s">
        <v>23344</v>
      </c>
      <c r="B11387" s="9" t="s">
        <v>23345</v>
      </c>
      <c r="C11387" s="9" t="s">
        <v>17</v>
      </c>
      <c r="D11387" s="9" t="s">
        <v>40</v>
      </c>
      <c r="E11387" s="10" t="s">
        <v>1575</v>
      </c>
      <c r="F11387" s="9" t="s">
        <v>1576</v>
      </c>
      <c r="G11387" s="10" t="s">
        <v>75</v>
      </c>
      <c r="H11387" s="9" t="s">
        <v>22</v>
      </c>
      <c r="I11387" s="9" t="s">
        <v>23346</v>
      </c>
      <c r="J11387" s="10" t="str">
        <f>HYPERLINK("https://www.boe.es/gazeta/dias/1834/11/24/pdfs/GMD-1834-283.pdf#page=4","Abrir facsímil")</f>
        <v>Abrir facsímil</v>
      </c>
      <c r="K11387" s="10" t="s">
        <v>24</v>
      </c>
    </row>
    <row r="11388" spans="1:11" ht="54" customHeight="1">
      <c r="A11388" s="9" t="s">
        <v>23347</v>
      </c>
      <c r="B11388" s="9" t="s">
        <v>23347</v>
      </c>
      <c r="C11388" s="9" t="s">
        <v>17</v>
      </c>
      <c r="D11388" s="9" t="s">
        <v>18</v>
      </c>
      <c r="E11388" s="10" t="s">
        <v>2203</v>
      </c>
      <c r="F11388" s="9" t="s">
        <v>2204</v>
      </c>
      <c r="G11388" s="10" t="s">
        <v>75</v>
      </c>
      <c r="H11388" s="9" t="s">
        <v>22</v>
      </c>
      <c r="I11388" s="9" t="s">
        <v>23348</v>
      </c>
      <c r="J11388" s="10" t="str">
        <f>HYPERLINK("https://www.boe.es/gazeta/dias/1834/09/10/pdfs/GMD-C-1834-208.pdf#page=4","Abrir facsímil")</f>
        <v>Abrir facsímil</v>
      </c>
      <c r="K11388" s="10" t="s">
        <v>24</v>
      </c>
    </row>
    <row r="11389" spans="1:11" ht="54" customHeight="1">
      <c r="A11389" s="9" t="s">
        <v>23349</v>
      </c>
      <c r="B11389" s="9" t="s">
        <v>23349</v>
      </c>
      <c r="C11389" s="9" t="s">
        <v>17</v>
      </c>
      <c r="D11389" s="9" t="s">
        <v>55</v>
      </c>
      <c r="E11389" s="10" t="s">
        <v>690</v>
      </c>
      <c r="F11389" s="9" t="s">
        <v>691</v>
      </c>
      <c r="G11389" s="10" t="s">
        <v>21</v>
      </c>
      <c r="H11389" s="9" t="s">
        <v>22</v>
      </c>
      <c r="I11389" s="9" t="s">
        <v>23350</v>
      </c>
      <c r="J11389" s="10" t="str">
        <f>HYPERLINK("https://www.boe.es/gazeta/dias/1834/09/03/pdfs/GMD-C-1834-201.pdf#page=3","Abrir facsímil")</f>
        <v>Abrir facsímil</v>
      </c>
      <c r="K11389" s="10" t="s">
        <v>24</v>
      </c>
    </row>
    <row r="11390" spans="1:11" ht="54" customHeight="1">
      <c r="A11390" s="9" t="s">
        <v>23351</v>
      </c>
      <c r="B11390" s="9" t="s">
        <v>23352</v>
      </c>
      <c r="C11390" s="9" t="s">
        <v>17</v>
      </c>
      <c r="D11390" s="9" t="s">
        <v>101</v>
      </c>
      <c r="E11390" s="10" t="s">
        <v>255</v>
      </c>
      <c r="F11390" s="9" t="s">
        <v>2368</v>
      </c>
      <c r="G11390" s="10" t="s">
        <v>86</v>
      </c>
      <c r="H11390" s="9" t="s">
        <v>22</v>
      </c>
      <c r="I11390" s="9" t="s">
        <v>23353</v>
      </c>
      <c r="J11390" s="10" t="str">
        <f>HYPERLINK("https://www.boe.es/gazeta/dias/1834/09/01/pdfs/I00843-00844.pdf#page=2","Abrir facsímil")</f>
        <v>Abrir facsímil</v>
      </c>
      <c r="K11390" s="10" t="s">
        <v>24</v>
      </c>
    </row>
    <row r="11391" spans="1:11" ht="54" customHeight="1">
      <c r="A11391" s="9" t="s">
        <v>23351</v>
      </c>
      <c r="B11391" s="9" t="s">
        <v>23352</v>
      </c>
      <c r="C11391" s="9" t="s">
        <v>17</v>
      </c>
      <c r="D11391" s="9" t="s">
        <v>101</v>
      </c>
      <c r="E11391" s="10" t="s">
        <v>255</v>
      </c>
      <c r="F11391" s="9" t="s">
        <v>2368</v>
      </c>
      <c r="G11391" s="10" t="s">
        <v>75</v>
      </c>
      <c r="H11391" s="9" t="s">
        <v>22</v>
      </c>
      <c r="I11391" s="9" t="s">
        <v>23353</v>
      </c>
      <c r="J11391" s="10" t="str">
        <f>HYPERLINK("https://www.boe.es/gazeta/dias/1834/09/01/pdfs/GMD-1834-199.pdf#page=4","Abrir facsímil")</f>
        <v>Abrir facsímil</v>
      </c>
      <c r="K11391" s="10" t="s">
        <v>24</v>
      </c>
    </row>
    <row r="11392" spans="1:11" ht="54" customHeight="1">
      <c r="A11392" s="9" t="s">
        <v>23354</v>
      </c>
      <c r="B11392" s="9" t="s">
        <v>23355</v>
      </c>
      <c r="C11392" s="9" t="s">
        <v>66</v>
      </c>
      <c r="D11392" s="9" t="s">
        <v>67</v>
      </c>
      <c r="E11392" s="10" t="s">
        <v>309</v>
      </c>
      <c r="F11392" s="9" t="s">
        <v>310</v>
      </c>
      <c r="G11392" s="10" t="s">
        <v>75</v>
      </c>
      <c r="H11392" s="9" t="s">
        <v>22</v>
      </c>
      <c r="I11392" s="9" t="s">
        <v>23356</v>
      </c>
      <c r="J11392" s="10" t="str">
        <f>HYPERLINK("https://www.boe.es/gazeta/dias/1834/05/30/pdfs/GMD-1834-99.pdf#page=4","Abrir facsímil")</f>
        <v>Abrir facsímil</v>
      </c>
      <c r="K11392" s="10" t="s">
        <v>24</v>
      </c>
    </row>
    <row r="11393" spans="1:11" ht="54" customHeight="1">
      <c r="A11393" s="9" t="s">
        <v>23357</v>
      </c>
      <c r="B11393" s="9" t="s">
        <v>23357</v>
      </c>
      <c r="C11393" s="9" t="s">
        <v>17</v>
      </c>
      <c r="D11393" s="9" t="s">
        <v>18</v>
      </c>
      <c r="E11393" s="10" t="s">
        <v>375</v>
      </c>
      <c r="F11393" s="9" t="s">
        <v>4983</v>
      </c>
      <c r="G11393" s="10" t="s">
        <v>86</v>
      </c>
      <c r="H11393" s="9" t="s">
        <v>22</v>
      </c>
      <c r="I11393" s="9" t="s">
        <v>23358</v>
      </c>
      <c r="J11393" s="10" t="str">
        <f>HYPERLINK("https://www.boe.es/gazeta/dias/1834/08/21/pdfs/GMD-C-1834-187.pdf#page=2","Abrir facsímil")</f>
        <v>Abrir facsímil</v>
      </c>
      <c r="K11393" s="10" t="s">
        <v>24</v>
      </c>
    </row>
    <row r="11394" spans="1:11" ht="54" customHeight="1">
      <c r="A11394" s="9" t="s">
        <v>23359</v>
      </c>
      <c r="B11394" s="9" t="s">
        <v>23360</v>
      </c>
      <c r="C11394" s="9" t="s">
        <v>17</v>
      </c>
      <c r="D11394" s="9" t="s">
        <v>55</v>
      </c>
      <c r="E11394" s="10" t="s">
        <v>138</v>
      </c>
      <c r="F11394" s="9" t="s">
        <v>139</v>
      </c>
      <c r="G11394" s="10" t="s">
        <v>34</v>
      </c>
      <c r="H11394" s="9" t="s">
        <v>22</v>
      </c>
      <c r="I11394" s="9" t="s">
        <v>23361</v>
      </c>
      <c r="J11394" s="10" t="str">
        <f>HYPERLINK("https://www.boe.es/gazeta/dias/1834/05/17/pdfs/GMD-1834-86.pdf#page=1","Abrir facsímil")</f>
        <v>Abrir facsímil</v>
      </c>
      <c r="K11394" s="10" t="s">
        <v>24</v>
      </c>
    </row>
    <row r="11395" spans="1:11" ht="54" customHeight="1">
      <c r="A11395" s="9" t="s">
        <v>23362</v>
      </c>
      <c r="B11395" s="9" t="s">
        <v>23363</v>
      </c>
      <c r="C11395" s="9" t="s">
        <v>17</v>
      </c>
      <c r="D11395" s="9" t="s">
        <v>18</v>
      </c>
      <c r="E11395" s="10" t="s">
        <v>375</v>
      </c>
      <c r="F11395" s="9" t="s">
        <v>4983</v>
      </c>
      <c r="G11395" s="10" t="s">
        <v>86</v>
      </c>
      <c r="H11395" s="9" t="s">
        <v>35</v>
      </c>
      <c r="I11395" s="9" t="s">
        <v>23364</v>
      </c>
      <c r="J11395" s="10" t="str">
        <f>HYPERLINK("https://www.boe.es/gazeta/dias/1834/08/21/pdfs/GMD-C-1834-187.pdf#page=2","Abrir facsímil")</f>
        <v>Abrir facsímil</v>
      </c>
      <c r="K11395" s="10" t="s">
        <v>37</v>
      </c>
    </row>
    <row r="11396" spans="1:11" ht="54" customHeight="1">
      <c r="A11396" s="9" t="s">
        <v>23365</v>
      </c>
      <c r="B11396" s="9" t="s">
        <v>23366</v>
      </c>
      <c r="C11396" s="9" t="s">
        <v>122</v>
      </c>
      <c r="D11396" s="9" t="s">
        <v>40</v>
      </c>
      <c r="E11396" s="10" t="s">
        <v>5885</v>
      </c>
      <c r="F11396" s="9" t="s">
        <v>5886</v>
      </c>
      <c r="G11396" s="10" t="s">
        <v>21</v>
      </c>
      <c r="H11396" s="9" t="s">
        <v>22</v>
      </c>
      <c r="I11396" s="9" t="s">
        <v>23367</v>
      </c>
      <c r="J11396" s="10" t="str">
        <f>HYPERLINK("https://www.boe.es/gazeta/dias/1834/05/23/pdfs/GMD-1834-92.pdf#page=3","Abrir facsímil")</f>
        <v>Abrir facsímil</v>
      </c>
      <c r="K11396" s="10" t="s">
        <v>24</v>
      </c>
    </row>
    <row r="11397" spans="1:11" ht="54" customHeight="1">
      <c r="A11397" s="9" t="s">
        <v>23368</v>
      </c>
      <c r="B11397" s="9" t="s">
        <v>23369</v>
      </c>
      <c r="C11397" s="9" t="s">
        <v>66</v>
      </c>
      <c r="D11397" s="9" t="s">
        <v>67</v>
      </c>
      <c r="E11397" s="10" t="s">
        <v>4527</v>
      </c>
      <c r="F11397" s="9" t="s">
        <v>4528</v>
      </c>
      <c r="G11397" s="10" t="s">
        <v>75</v>
      </c>
      <c r="H11397" s="9" t="s">
        <v>22</v>
      </c>
      <c r="I11397" s="9" t="s">
        <v>23370</v>
      </c>
      <c r="J11397" s="10" t="str">
        <f>HYPERLINK("https://www.boe.es/gazeta/dias/1834/05/03/pdfs/GMD-1834-72.pdf#page=4","Abrir facsímil")</f>
        <v>Abrir facsímil</v>
      </c>
      <c r="K11397" s="10" t="s">
        <v>24</v>
      </c>
    </row>
    <row r="11398" spans="1:11" ht="54" customHeight="1">
      <c r="A11398" s="9" t="s">
        <v>23368</v>
      </c>
      <c r="B11398" s="9" t="s">
        <v>23369</v>
      </c>
      <c r="C11398" s="9" t="s">
        <v>17</v>
      </c>
      <c r="D11398" s="9" t="s">
        <v>55</v>
      </c>
      <c r="E11398" s="10" t="s">
        <v>849</v>
      </c>
      <c r="F11398" s="9" t="s">
        <v>850</v>
      </c>
      <c r="G11398" s="10" t="s">
        <v>21</v>
      </c>
      <c r="H11398" s="9" t="s">
        <v>22</v>
      </c>
      <c r="I11398" s="9" t="s">
        <v>23371</v>
      </c>
      <c r="J11398" s="10" t="str">
        <f>HYPERLINK("https://www.boe.es/gazeta/dias/1834/06/21/pdfs/GMD-1834-124.pdf#page=3","Abrir facsímil")</f>
        <v>Abrir facsímil</v>
      </c>
      <c r="K11398" s="10" t="s">
        <v>24</v>
      </c>
    </row>
    <row r="11399" spans="1:11" ht="54" customHeight="1">
      <c r="A11399" s="9" t="s">
        <v>23372</v>
      </c>
      <c r="B11399" s="9" t="s">
        <v>23373</v>
      </c>
      <c r="C11399" s="9" t="s">
        <v>17</v>
      </c>
      <c r="D11399" s="9" t="s">
        <v>18</v>
      </c>
      <c r="E11399" s="10" t="s">
        <v>1337</v>
      </c>
      <c r="F11399" s="9" t="s">
        <v>1338</v>
      </c>
      <c r="G11399" s="10" t="s">
        <v>86</v>
      </c>
      <c r="H11399" s="9" t="s">
        <v>22</v>
      </c>
      <c r="I11399" s="9" t="s">
        <v>23374</v>
      </c>
      <c r="J11399" s="10" t="str">
        <f>HYPERLINK("https://www.boe.es/gazeta/dias/1834/01/02/pdfs/GMD-1834-1.pdf#page=2","Abrir facsímil")</f>
        <v>Abrir facsímil</v>
      </c>
      <c r="K11399" s="10" t="s">
        <v>24</v>
      </c>
    </row>
    <row r="11400" spans="1:11" ht="54" customHeight="1">
      <c r="A11400" s="9" t="s">
        <v>23375</v>
      </c>
      <c r="B11400" s="9" t="s">
        <v>23375</v>
      </c>
      <c r="C11400" s="9" t="s">
        <v>90</v>
      </c>
      <c r="D11400" s="9" t="s">
        <v>55</v>
      </c>
      <c r="E11400" s="10" t="s">
        <v>1981</v>
      </c>
      <c r="F11400" s="9" t="s">
        <v>1982</v>
      </c>
      <c r="G11400" s="10" t="s">
        <v>86</v>
      </c>
      <c r="H11400" s="9" t="s">
        <v>22</v>
      </c>
      <c r="I11400" s="9" t="s">
        <v>23376</v>
      </c>
      <c r="J11400" s="10" t="str">
        <f>HYPERLINK("https://www.boe.es/gazeta/dias/1834/12/13/pdfs/GMD-1834-302.pdf#page=2","Abrir facsímil")</f>
        <v>Abrir facsímil</v>
      </c>
      <c r="K11400" s="10" t="s">
        <v>24</v>
      </c>
    </row>
    <row r="11401" spans="1:11" ht="54" customHeight="1">
      <c r="A11401" s="9" t="s">
        <v>23377</v>
      </c>
      <c r="B11401" s="9" t="s">
        <v>23377</v>
      </c>
      <c r="C11401" s="9" t="s">
        <v>66</v>
      </c>
      <c r="D11401" s="9" t="s">
        <v>67</v>
      </c>
      <c r="E11401" s="10" t="s">
        <v>1297</v>
      </c>
      <c r="F11401" s="9" t="s">
        <v>1879</v>
      </c>
      <c r="G11401" s="10" t="s">
        <v>34</v>
      </c>
      <c r="H11401" s="9" t="s">
        <v>22</v>
      </c>
      <c r="I11401" s="9" t="s">
        <v>23378</v>
      </c>
      <c r="J11401" s="10" t="str">
        <f>HYPERLINK("https://www.boe.es/gazeta/dias/1834/08/01/pdfs/GMD-D-1834-165.pdf#page=1","Abrir facsímil")</f>
        <v>Abrir facsímil</v>
      </c>
      <c r="K11401" s="10" t="s">
        <v>24</v>
      </c>
    </row>
    <row r="11402" spans="1:11" ht="54" customHeight="1">
      <c r="A11402" s="9" t="s">
        <v>23377</v>
      </c>
      <c r="B11402" s="9" t="s">
        <v>23377</v>
      </c>
      <c r="C11402" s="9" t="s">
        <v>66</v>
      </c>
      <c r="D11402" s="9" t="s">
        <v>67</v>
      </c>
      <c r="E11402" s="10" t="s">
        <v>734</v>
      </c>
      <c r="F11402" s="9" t="s">
        <v>735</v>
      </c>
      <c r="G11402" s="10" t="s">
        <v>21</v>
      </c>
      <c r="H11402" s="9" t="s">
        <v>22</v>
      </c>
      <c r="I11402" s="9" t="s">
        <v>23379</v>
      </c>
      <c r="J11402" s="10" t="str">
        <f>HYPERLINK("https://www.boe.es/gazeta/dias/1834/05/06/pdfs/GMD-1834-75.pdf#page=3","Abrir facsímil")</f>
        <v>Abrir facsímil</v>
      </c>
      <c r="K11402" s="10" t="s">
        <v>24</v>
      </c>
    </row>
    <row r="11403" spans="1:11" ht="54" customHeight="1">
      <c r="A11403" s="9" t="s">
        <v>23377</v>
      </c>
      <c r="B11403" s="9" t="s">
        <v>23377</v>
      </c>
      <c r="C11403" s="9" t="s">
        <v>17</v>
      </c>
      <c r="D11403" s="9" t="s">
        <v>101</v>
      </c>
      <c r="E11403" s="10" t="s">
        <v>2004</v>
      </c>
      <c r="F11403" s="9" t="s">
        <v>2005</v>
      </c>
      <c r="G11403" s="10" t="s">
        <v>75</v>
      </c>
      <c r="H11403" s="9" t="s">
        <v>22</v>
      </c>
      <c r="I11403" s="9" t="s">
        <v>23380</v>
      </c>
      <c r="J11403" s="10" t="str">
        <f>HYPERLINK("https://www.boe.es/gazeta/dias/1834/05/09/pdfs/GMD-1834-78.pdf#page=4","Abrir facsímil")</f>
        <v>Abrir facsímil</v>
      </c>
      <c r="K11403" s="10" t="s">
        <v>24</v>
      </c>
    </row>
    <row r="11404" spans="1:11" ht="54" customHeight="1">
      <c r="A11404" s="9" t="s">
        <v>23377</v>
      </c>
      <c r="B11404" s="9" t="s">
        <v>23377</v>
      </c>
      <c r="C11404" s="9" t="s">
        <v>17</v>
      </c>
      <c r="D11404" s="9" t="s">
        <v>18</v>
      </c>
      <c r="E11404" s="10" t="s">
        <v>642</v>
      </c>
      <c r="F11404" s="9" t="s">
        <v>1843</v>
      </c>
      <c r="G11404" s="10" t="s">
        <v>21</v>
      </c>
      <c r="H11404" s="9" t="s">
        <v>22</v>
      </c>
      <c r="I11404" s="9" t="s">
        <v>23381</v>
      </c>
      <c r="J11404" s="10" t="str">
        <f>HYPERLINK("https://www.boe.es/gazeta/dias/1834/11/12/pdfs/GMD-1834-271.pdf#page=3","Abrir facsímil")</f>
        <v>Abrir facsímil</v>
      </c>
      <c r="K11404" s="10" t="s">
        <v>24</v>
      </c>
    </row>
    <row r="11405" spans="1:11" ht="54" customHeight="1">
      <c r="A11405" s="9" t="s">
        <v>23377</v>
      </c>
      <c r="B11405" s="9" t="s">
        <v>23377</v>
      </c>
      <c r="C11405" s="9" t="s">
        <v>66</v>
      </c>
      <c r="D11405" s="9" t="s">
        <v>67</v>
      </c>
      <c r="E11405" s="10" t="s">
        <v>448</v>
      </c>
      <c r="F11405" s="9" t="s">
        <v>2058</v>
      </c>
      <c r="G11405" s="10" t="s">
        <v>86</v>
      </c>
      <c r="H11405" s="9" t="s">
        <v>22</v>
      </c>
      <c r="I11405" s="9" t="s">
        <v>23382</v>
      </c>
      <c r="J11405" s="10" t="str">
        <f>HYPERLINK("https://www.boe.es/gazeta/dias/1834/10/14/pdfs/GMD-1834-242.pdf#page=2","Abrir facsímil")</f>
        <v>Abrir facsímil</v>
      </c>
      <c r="K11405" s="10" t="s">
        <v>24</v>
      </c>
    </row>
    <row r="11406" spans="1:11" ht="54" customHeight="1">
      <c r="A11406" s="9" t="s">
        <v>23377</v>
      </c>
      <c r="B11406" s="9" t="s">
        <v>23377</v>
      </c>
      <c r="C11406" s="9" t="s">
        <v>90</v>
      </c>
      <c r="D11406" s="9" t="s">
        <v>18</v>
      </c>
      <c r="E11406" s="10" t="s">
        <v>715</v>
      </c>
      <c r="F11406" s="9" t="s">
        <v>7773</v>
      </c>
      <c r="G11406" s="10" t="s">
        <v>21</v>
      </c>
      <c r="H11406" s="9" t="s">
        <v>22</v>
      </c>
      <c r="I11406" s="9" t="s">
        <v>23383</v>
      </c>
      <c r="J11406" s="10" t="str">
        <f>HYPERLINK("https://www.boe.es/gazeta/dias/1834/09/17/pdfs/GMD-1834-215.pdf#page=3","Abrir facsímil")</f>
        <v>Abrir facsímil</v>
      </c>
      <c r="K11406" s="10" t="s">
        <v>24</v>
      </c>
    </row>
    <row r="11407" spans="1:11" ht="54" customHeight="1">
      <c r="A11407" s="9" t="s">
        <v>23377</v>
      </c>
      <c r="B11407" s="9" t="s">
        <v>23377</v>
      </c>
      <c r="C11407" s="9" t="s">
        <v>66</v>
      </c>
      <c r="D11407" s="9" t="s">
        <v>67</v>
      </c>
      <c r="E11407" s="10" t="s">
        <v>772</v>
      </c>
      <c r="F11407" s="9" t="s">
        <v>773</v>
      </c>
      <c r="G11407" s="10" t="s">
        <v>75</v>
      </c>
      <c r="H11407" s="9" t="s">
        <v>22</v>
      </c>
      <c r="I11407" s="9" t="s">
        <v>23384</v>
      </c>
      <c r="J11407" s="10" t="str">
        <f>HYPERLINK("https://www.boe.es/gazeta/dias/1834/09/18/pdfs/GMD-1834-216.pdf#page=4","Abrir facsímil")</f>
        <v>Abrir facsímil</v>
      </c>
      <c r="K11407" s="10" t="s">
        <v>24</v>
      </c>
    </row>
    <row r="11408" spans="1:11" ht="54" customHeight="1">
      <c r="A11408" s="9" t="s">
        <v>23377</v>
      </c>
      <c r="B11408" s="9" t="s">
        <v>23377</v>
      </c>
      <c r="C11408" s="9" t="s">
        <v>66</v>
      </c>
      <c r="D11408" s="9" t="s">
        <v>67</v>
      </c>
      <c r="E11408" s="10" t="s">
        <v>981</v>
      </c>
      <c r="F11408" s="9" t="s">
        <v>982</v>
      </c>
      <c r="G11408" s="10" t="s">
        <v>21</v>
      </c>
      <c r="H11408" s="9" t="s">
        <v>22</v>
      </c>
      <c r="I11408" s="9" t="s">
        <v>23385</v>
      </c>
      <c r="J11408" s="10" t="str">
        <f>HYPERLINK("https://www.boe.es/gazeta/dias/1834/09/21/pdfs/GMD-1834-219.pdf#page=3","Abrir facsímil")</f>
        <v>Abrir facsímil</v>
      </c>
      <c r="K11408" s="10" t="s">
        <v>24</v>
      </c>
    </row>
    <row r="11409" spans="1:11" ht="54" customHeight="1">
      <c r="A11409" s="9" t="s">
        <v>23386</v>
      </c>
      <c r="B11409" s="9" t="s">
        <v>23387</v>
      </c>
      <c r="C11409" s="9" t="s">
        <v>66</v>
      </c>
      <c r="D11409" s="9" t="s">
        <v>67</v>
      </c>
      <c r="E11409" s="10" t="s">
        <v>863</v>
      </c>
      <c r="F11409" s="9" t="s">
        <v>864</v>
      </c>
      <c r="G11409" s="10" t="s">
        <v>21</v>
      </c>
      <c r="H11409" s="9" t="s">
        <v>35</v>
      </c>
      <c r="I11409" s="9" t="s">
        <v>23388</v>
      </c>
      <c r="J11409" s="10" t="str">
        <f>HYPERLINK("https://www.boe.es/gazeta/dias/1834/09/15/pdfs/GMD-1834-213.pdf#page=3","Abrir facsímil")</f>
        <v>Abrir facsímil</v>
      </c>
      <c r="K11409" s="10" t="s">
        <v>37</v>
      </c>
    </row>
    <row r="11410" spans="1:11" ht="54" customHeight="1">
      <c r="A11410" s="9" t="s">
        <v>23389</v>
      </c>
      <c r="B11410" s="9" t="s">
        <v>23390</v>
      </c>
      <c r="C11410" s="9" t="s">
        <v>17</v>
      </c>
      <c r="D11410" s="9" t="s">
        <v>18</v>
      </c>
      <c r="E11410" s="10" t="s">
        <v>1116</v>
      </c>
      <c r="F11410" s="9" t="s">
        <v>1117</v>
      </c>
      <c r="G11410" s="10" t="s">
        <v>75</v>
      </c>
      <c r="H11410" s="9" t="s">
        <v>22</v>
      </c>
      <c r="I11410" s="9" t="s">
        <v>23391</v>
      </c>
      <c r="J11410" s="10" t="str">
        <f>HYPERLINK("https://www.boe.es/gazeta/dias/1834/05/16/pdfs/GMD-1834-85.pdf#page=4","Abrir facsímil")</f>
        <v>Abrir facsímil</v>
      </c>
      <c r="K11410" s="10" t="s">
        <v>24</v>
      </c>
    </row>
    <row r="11411" spans="1:11" ht="54" customHeight="1">
      <c r="A11411" s="9" t="s">
        <v>23389</v>
      </c>
      <c r="B11411" s="9" t="s">
        <v>23390</v>
      </c>
      <c r="C11411" s="9" t="s">
        <v>66</v>
      </c>
      <c r="D11411" s="9" t="s">
        <v>67</v>
      </c>
      <c r="E11411" s="10" t="s">
        <v>367</v>
      </c>
      <c r="F11411" s="9" t="s">
        <v>368</v>
      </c>
      <c r="G11411" s="10" t="s">
        <v>75</v>
      </c>
      <c r="H11411" s="9" t="s">
        <v>22</v>
      </c>
      <c r="I11411" s="9" t="s">
        <v>23392</v>
      </c>
      <c r="J11411" s="10" t="str">
        <f>HYPERLINK("https://www.boe.es/gazeta/dias/1834/05/19/pdfs/GMD-1834-88.pdf#page=4","Abrir facsímil")</f>
        <v>Abrir facsímil</v>
      </c>
      <c r="K11411" s="10" t="s">
        <v>24</v>
      </c>
    </row>
    <row r="11412" spans="1:11" ht="54" customHeight="1">
      <c r="A11412" s="9" t="s">
        <v>23393</v>
      </c>
      <c r="B11412" s="9" t="s">
        <v>23394</v>
      </c>
      <c r="C11412" s="9" t="s">
        <v>17</v>
      </c>
      <c r="D11412" s="9" t="s">
        <v>18</v>
      </c>
      <c r="E11412" s="10" t="s">
        <v>1094</v>
      </c>
      <c r="F11412" s="9" t="s">
        <v>1095</v>
      </c>
      <c r="G11412" s="10" t="s">
        <v>75</v>
      </c>
      <c r="H11412" s="9" t="s">
        <v>22</v>
      </c>
      <c r="I11412" s="9" t="s">
        <v>23395</v>
      </c>
      <c r="J11412" s="10" t="str">
        <f>HYPERLINK("https://www.boe.es/gazeta/dias/1834/07/13/pdfs/GMD-1834-146.pdf#page=4","Abrir facsímil")</f>
        <v>Abrir facsímil</v>
      </c>
      <c r="K11412" s="10" t="s">
        <v>24</v>
      </c>
    </row>
    <row r="11413" spans="1:11" ht="54" customHeight="1">
      <c r="A11413" s="9" t="s">
        <v>23393</v>
      </c>
      <c r="B11413" s="9" t="s">
        <v>23394</v>
      </c>
      <c r="C11413" s="9" t="s">
        <v>17</v>
      </c>
      <c r="D11413" s="9" t="s">
        <v>18</v>
      </c>
      <c r="E11413" s="10" t="s">
        <v>863</v>
      </c>
      <c r="F11413" s="9" t="s">
        <v>864</v>
      </c>
      <c r="G11413" s="10" t="s">
        <v>21</v>
      </c>
      <c r="H11413" s="9" t="s">
        <v>22</v>
      </c>
      <c r="I11413" s="9" t="s">
        <v>23396</v>
      </c>
      <c r="J11413" s="10" t="str">
        <f>HYPERLINK("https://www.boe.es/gazeta/dias/1834/09/15/pdfs/GMD-1834-213.pdf#page=3","Abrir facsímil")</f>
        <v>Abrir facsímil</v>
      </c>
      <c r="K11413" s="10" t="s">
        <v>24</v>
      </c>
    </row>
    <row r="11414" spans="1:11" ht="54" customHeight="1">
      <c r="A11414" s="9" t="s">
        <v>23393</v>
      </c>
      <c r="B11414" s="9" t="s">
        <v>23394</v>
      </c>
      <c r="C11414" s="9" t="s">
        <v>90</v>
      </c>
      <c r="D11414" s="9" t="s">
        <v>67</v>
      </c>
      <c r="E11414" s="10" t="s">
        <v>849</v>
      </c>
      <c r="F11414" s="9" t="s">
        <v>850</v>
      </c>
      <c r="G11414" s="10" t="s">
        <v>34</v>
      </c>
      <c r="H11414" s="9" t="s">
        <v>22</v>
      </c>
      <c r="I11414" s="9" t="s">
        <v>23397</v>
      </c>
      <c r="J11414" s="10" t="str">
        <f>HYPERLINK("https://www.boe.es/gazeta/dias/1834/06/21/pdfs/GMD-1834-124.pdf#page=1","Abrir facsímil")</f>
        <v>Abrir facsímil</v>
      </c>
      <c r="K11414" s="10" t="s">
        <v>24</v>
      </c>
    </row>
    <row r="11415" spans="1:11" ht="54" customHeight="1">
      <c r="A11415" s="9" t="s">
        <v>23393</v>
      </c>
      <c r="B11415" s="9" t="s">
        <v>23394</v>
      </c>
      <c r="C11415" s="9" t="s">
        <v>17</v>
      </c>
      <c r="D11415" s="9" t="s">
        <v>18</v>
      </c>
      <c r="E11415" s="10" t="s">
        <v>378</v>
      </c>
      <c r="F11415" s="9" t="s">
        <v>379</v>
      </c>
      <c r="G11415" s="10" t="s">
        <v>75</v>
      </c>
      <c r="H11415" s="9" t="s">
        <v>22</v>
      </c>
      <c r="I11415" s="9" t="s">
        <v>23398</v>
      </c>
      <c r="J11415" s="10" t="str">
        <f>HYPERLINK("https://www.boe.es/gazeta/dias/1834/09/24/pdfs/GMD-1834-222.pdf#page=4","Abrir facsímil")</f>
        <v>Abrir facsímil</v>
      </c>
      <c r="K11415" s="10" t="s">
        <v>24</v>
      </c>
    </row>
    <row r="11416" spans="1:11" ht="54" customHeight="1">
      <c r="A11416" s="9" t="s">
        <v>23393</v>
      </c>
      <c r="B11416" s="9" t="s">
        <v>23394</v>
      </c>
      <c r="C11416" s="9" t="s">
        <v>17</v>
      </c>
      <c r="D11416" s="9" t="s">
        <v>18</v>
      </c>
      <c r="E11416" s="10" t="s">
        <v>3083</v>
      </c>
      <c r="F11416" s="9" t="s">
        <v>3084</v>
      </c>
      <c r="G11416" s="10" t="s">
        <v>21</v>
      </c>
      <c r="H11416" s="9" t="s">
        <v>22</v>
      </c>
      <c r="I11416" s="9" t="s">
        <v>23399</v>
      </c>
      <c r="J11416" s="10" t="str">
        <f>HYPERLINK("https://www.boe.es/gazeta/dias/1834/10/30/pdfs/GMD-1834-258.pdf#page=3","Abrir facsímil")</f>
        <v>Abrir facsímil</v>
      </c>
      <c r="K11416" s="10" t="s">
        <v>24</v>
      </c>
    </row>
    <row r="11417" spans="1:11" ht="54" customHeight="1">
      <c r="A11417" s="9" t="s">
        <v>23400</v>
      </c>
      <c r="B11417" s="9" t="s">
        <v>23401</v>
      </c>
      <c r="C11417" s="9" t="s">
        <v>17</v>
      </c>
      <c r="D11417" s="9" t="s">
        <v>18</v>
      </c>
      <c r="E11417" s="10" t="s">
        <v>371</v>
      </c>
      <c r="F11417" s="9" t="s">
        <v>372</v>
      </c>
      <c r="G11417" s="10" t="s">
        <v>75</v>
      </c>
      <c r="H11417" s="9" t="s">
        <v>22</v>
      </c>
      <c r="I11417" s="9" t="s">
        <v>23402</v>
      </c>
      <c r="J11417" s="10" t="str">
        <f>HYPERLINK("https://www.boe.es/gazeta/dias/1834/05/27/pdfs/GMD-1834-96.pdf#page=4","Abrir facsímil")</f>
        <v>Abrir facsímil</v>
      </c>
      <c r="K11417" s="10" t="s">
        <v>24</v>
      </c>
    </row>
    <row r="11418" spans="1:11" ht="54" customHeight="1">
      <c r="A11418" s="9" t="s">
        <v>23403</v>
      </c>
      <c r="B11418" s="9" t="s">
        <v>23403</v>
      </c>
      <c r="C11418" s="9" t="s">
        <v>17</v>
      </c>
      <c r="D11418" s="9" t="s">
        <v>18</v>
      </c>
      <c r="E11418" s="10" t="s">
        <v>222</v>
      </c>
      <c r="F11418" s="9" t="s">
        <v>223</v>
      </c>
      <c r="G11418" s="10" t="s">
        <v>21</v>
      </c>
      <c r="H11418" s="9" t="s">
        <v>22</v>
      </c>
      <c r="I11418" s="9" t="s">
        <v>23404</v>
      </c>
      <c r="J11418" s="10" t="str">
        <f>HYPERLINK("https://www.boe.es/gazeta/dias/1834/09/14/pdfs/GMD-1834-212.pdf#page=3","Abrir facsímil")</f>
        <v>Abrir facsímil</v>
      </c>
      <c r="K11418" s="10" t="s">
        <v>24</v>
      </c>
    </row>
    <row r="11419" spans="1:11" ht="54" customHeight="1">
      <c r="A11419" s="9" t="s">
        <v>23405</v>
      </c>
      <c r="B11419" s="9" t="s">
        <v>23406</v>
      </c>
      <c r="C11419" s="9" t="s">
        <v>66</v>
      </c>
      <c r="D11419" s="9" t="s">
        <v>67</v>
      </c>
      <c r="E11419" s="10" t="s">
        <v>772</v>
      </c>
      <c r="F11419" s="9" t="s">
        <v>2284</v>
      </c>
      <c r="G11419" s="10" t="s">
        <v>21</v>
      </c>
      <c r="H11419" s="9" t="s">
        <v>22</v>
      </c>
      <c r="I11419" s="9" t="s">
        <v>23407</v>
      </c>
      <c r="J11419" s="10" t="str">
        <f>HYPERLINK("https://www.boe.es/gazeta/dias/1834/09/18/pdfs/GMD-C-1834-216.pdf#page=3","Abrir facsímil")</f>
        <v>Abrir facsímil</v>
      </c>
      <c r="K11419" s="10" t="s">
        <v>24</v>
      </c>
    </row>
    <row r="11420" spans="1:11" ht="54" customHeight="1">
      <c r="A11420" s="9" t="s">
        <v>23408</v>
      </c>
      <c r="B11420" s="9" t="s">
        <v>23408</v>
      </c>
      <c r="C11420" s="9" t="s">
        <v>17</v>
      </c>
      <c r="D11420" s="9" t="s">
        <v>18</v>
      </c>
      <c r="E11420" s="10" t="s">
        <v>426</v>
      </c>
      <c r="F11420" s="9" t="s">
        <v>694</v>
      </c>
      <c r="G11420" s="10" t="s">
        <v>21</v>
      </c>
      <c r="H11420" s="9" t="s">
        <v>22</v>
      </c>
      <c r="I11420" s="9" t="s">
        <v>23409</v>
      </c>
      <c r="J11420" s="10" t="str">
        <f>HYPERLINK("https://www.boe.es/gazeta/dias/1834/10/04/pdfs/GMD-C-1834-232.pdf#page=3","Abrir facsímil")</f>
        <v>Abrir facsímil</v>
      </c>
      <c r="K11420" s="10" t="s">
        <v>24</v>
      </c>
    </row>
    <row r="11421" spans="1:11" ht="54" customHeight="1">
      <c r="A11421" s="9" t="s">
        <v>23408</v>
      </c>
      <c r="B11421" s="9" t="s">
        <v>23408</v>
      </c>
      <c r="C11421" s="9" t="s">
        <v>90</v>
      </c>
      <c r="D11421" s="9" t="s">
        <v>18</v>
      </c>
      <c r="E11421" s="10" t="s">
        <v>47</v>
      </c>
      <c r="F11421" s="9" t="s">
        <v>48</v>
      </c>
      <c r="G11421" s="10" t="s">
        <v>34</v>
      </c>
      <c r="H11421" s="9" t="s">
        <v>22</v>
      </c>
      <c r="I11421" s="9" t="s">
        <v>23410</v>
      </c>
      <c r="J11421" s="10" t="str">
        <f>HYPERLINK("https://www.boe.es/gazeta/dias/1834/09/05/pdfs/GMD-C-1834-203.pdf#page=1","Abrir facsímil")</f>
        <v>Abrir facsímil</v>
      </c>
      <c r="K11421" s="10" t="s">
        <v>24</v>
      </c>
    </row>
    <row r="11422" spans="1:11" ht="54" customHeight="1">
      <c r="A11422" s="9" t="s">
        <v>23408</v>
      </c>
      <c r="B11422" s="9" t="s">
        <v>23408</v>
      </c>
      <c r="C11422" s="9" t="s">
        <v>17</v>
      </c>
      <c r="D11422" s="9" t="s">
        <v>18</v>
      </c>
      <c r="E11422" s="10" t="s">
        <v>793</v>
      </c>
      <c r="F11422" s="9" t="s">
        <v>1895</v>
      </c>
      <c r="G11422" s="10" t="s">
        <v>21</v>
      </c>
      <c r="H11422" s="9" t="s">
        <v>22</v>
      </c>
      <c r="I11422" s="9" t="s">
        <v>23411</v>
      </c>
      <c r="J11422" s="10" t="str">
        <f>HYPERLINK("https://www.boe.es/gazeta/dias/1834/10/08/pdfs/GMD-C-1834-236.pdf#page=3","Abrir facsímil")</f>
        <v>Abrir facsímil</v>
      </c>
      <c r="K11422" s="10" t="s">
        <v>24</v>
      </c>
    </row>
    <row r="11423" spans="1:11" ht="54" customHeight="1">
      <c r="A11423" s="9" t="s">
        <v>23408</v>
      </c>
      <c r="B11423" s="9" t="s">
        <v>23408</v>
      </c>
      <c r="C11423" s="9" t="s">
        <v>17</v>
      </c>
      <c r="D11423" s="9" t="s">
        <v>18</v>
      </c>
      <c r="E11423" s="10" t="s">
        <v>2203</v>
      </c>
      <c r="F11423" s="9" t="s">
        <v>2204</v>
      </c>
      <c r="G11423" s="10" t="s">
        <v>75</v>
      </c>
      <c r="H11423" s="9" t="s">
        <v>22</v>
      </c>
      <c r="I11423" s="9" t="s">
        <v>23412</v>
      </c>
      <c r="J11423" s="10" t="str">
        <f>HYPERLINK("https://www.boe.es/gazeta/dias/1834/09/10/pdfs/GMD-C-1834-208.pdf#page=4","Abrir facsímil")</f>
        <v>Abrir facsímil</v>
      </c>
      <c r="K11423" s="10" t="s">
        <v>24</v>
      </c>
    </row>
    <row r="11424" spans="1:11" ht="54" customHeight="1">
      <c r="A11424" s="9" t="s">
        <v>23408</v>
      </c>
      <c r="B11424" s="9" t="s">
        <v>23408</v>
      </c>
      <c r="C11424" s="9" t="s">
        <v>17</v>
      </c>
      <c r="D11424" s="9" t="s">
        <v>18</v>
      </c>
      <c r="E11424" s="10" t="s">
        <v>623</v>
      </c>
      <c r="F11424" s="9" t="s">
        <v>624</v>
      </c>
      <c r="G11424" s="10" t="s">
        <v>34</v>
      </c>
      <c r="H11424" s="9" t="s">
        <v>22</v>
      </c>
      <c r="I11424" s="9" t="s">
        <v>23413</v>
      </c>
      <c r="J11424" s="10" t="str">
        <f>HYPERLINK("https://www.boe.es/gazeta/dias/1834/10/12/pdfs/GMD-C-1834-240.pdf#page=1","Abrir facsímil")</f>
        <v>Abrir facsímil</v>
      </c>
      <c r="K11424" s="10" t="s">
        <v>24</v>
      </c>
    </row>
    <row r="11425" spans="1:11" ht="54" customHeight="1">
      <c r="A11425" s="9" t="s">
        <v>23408</v>
      </c>
      <c r="B11425" s="9" t="s">
        <v>23408</v>
      </c>
      <c r="C11425" s="9" t="s">
        <v>17</v>
      </c>
      <c r="D11425" s="9" t="s">
        <v>18</v>
      </c>
      <c r="E11425" s="10" t="s">
        <v>299</v>
      </c>
      <c r="F11425" s="9" t="s">
        <v>2255</v>
      </c>
      <c r="G11425" s="10" t="s">
        <v>86</v>
      </c>
      <c r="H11425" s="9" t="s">
        <v>22</v>
      </c>
      <c r="I11425" s="9" t="s">
        <v>23414</v>
      </c>
      <c r="J11425" s="10" t="str">
        <f>HYPERLINK("https://www.boe.es/gazeta/dias/1834/12/12/pdfs/GMD-C-1834-301.pdf#page=2","Abrir facsímil")</f>
        <v>Abrir facsímil</v>
      </c>
      <c r="K11425" s="10" t="s">
        <v>24</v>
      </c>
    </row>
    <row r="11426" spans="1:11" ht="54" customHeight="1">
      <c r="A11426" s="9" t="s">
        <v>23408</v>
      </c>
      <c r="B11426" s="9" t="s">
        <v>23408</v>
      </c>
      <c r="C11426" s="9" t="s">
        <v>17</v>
      </c>
      <c r="D11426" s="9" t="s">
        <v>18</v>
      </c>
      <c r="E11426" s="10" t="s">
        <v>2278</v>
      </c>
      <c r="F11426" s="9" t="s">
        <v>2279</v>
      </c>
      <c r="G11426" s="10" t="s">
        <v>21</v>
      </c>
      <c r="H11426" s="9" t="s">
        <v>22</v>
      </c>
      <c r="I11426" s="9" t="s">
        <v>23415</v>
      </c>
      <c r="J11426" s="10" t="str">
        <f>HYPERLINK("https://www.boe.es/gazeta/dias/1834/12/17/pdfs/GMD-C-1834-306.pdf#page=3","Abrir facsímil")</f>
        <v>Abrir facsímil</v>
      </c>
      <c r="K11426" s="10" t="s">
        <v>24</v>
      </c>
    </row>
    <row r="11427" spans="1:11" ht="54" customHeight="1">
      <c r="A11427" s="9" t="s">
        <v>23408</v>
      </c>
      <c r="B11427" s="9" t="s">
        <v>23408</v>
      </c>
      <c r="C11427" s="9" t="s">
        <v>17</v>
      </c>
      <c r="D11427" s="9" t="s">
        <v>40</v>
      </c>
      <c r="E11427" s="10" t="s">
        <v>262</v>
      </c>
      <c r="F11427" s="9" t="s">
        <v>263</v>
      </c>
      <c r="G11427" s="10" t="s">
        <v>21</v>
      </c>
      <c r="H11427" s="9" t="s">
        <v>22</v>
      </c>
      <c r="I11427" s="9" t="s">
        <v>23416</v>
      </c>
      <c r="J11427" s="10" t="str">
        <f>HYPERLINK("https://www.boe.es/gazeta/dias/1834/10/18/pdfs/GMD-C-1834-246.pdf#page=3","Abrir facsímil")</f>
        <v>Abrir facsímil</v>
      </c>
      <c r="K11427" s="10" t="s">
        <v>24</v>
      </c>
    </row>
    <row r="11428" spans="1:11" ht="54" customHeight="1">
      <c r="A11428" s="9" t="s">
        <v>23408</v>
      </c>
      <c r="B11428" s="9" t="s">
        <v>23408</v>
      </c>
      <c r="C11428" s="9" t="s">
        <v>17</v>
      </c>
      <c r="D11428" s="9" t="s">
        <v>18</v>
      </c>
      <c r="E11428" s="10" t="s">
        <v>3036</v>
      </c>
      <c r="F11428" s="9" t="s">
        <v>3037</v>
      </c>
      <c r="G11428" s="10" t="s">
        <v>21</v>
      </c>
      <c r="H11428" s="9" t="s">
        <v>22</v>
      </c>
      <c r="I11428" s="9" t="s">
        <v>23417</v>
      </c>
      <c r="J11428" s="10" t="str">
        <f>HYPERLINK("https://www.boe.es/gazeta/dias/1834/11/18/pdfs/GMD-C-1834-277.pdf#page=3","Abrir facsímil")</f>
        <v>Abrir facsímil</v>
      </c>
      <c r="K11428" s="10" t="s">
        <v>24</v>
      </c>
    </row>
    <row r="11429" spans="1:11" ht="54" customHeight="1">
      <c r="A11429" s="9" t="s">
        <v>23408</v>
      </c>
      <c r="B11429" s="9" t="s">
        <v>23408</v>
      </c>
      <c r="C11429" s="9" t="s">
        <v>17</v>
      </c>
      <c r="D11429" s="9" t="s">
        <v>18</v>
      </c>
      <c r="E11429" s="10" t="s">
        <v>627</v>
      </c>
      <c r="F11429" s="9" t="s">
        <v>628</v>
      </c>
      <c r="G11429" s="10" t="s">
        <v>21</v>
      </c>
      <c r="H11429" s="9" t="s">
        <v>22</v>
      </c>
      <c r="I11429" s="9" t="s">
        <v>23418</v>
      </c>
      <c r="J11429" s="10" t="str">
        <f>HYPERLINK("https://www.boe.es/gazeta/dias/1834/09/22/pdfs/GMD-C-1834-220.pdf#page=3","Abrir facsímil")</f>
        <v>Abrir facsímil</v>
      </c>
      <c r="K11429" s="10" t="s">
        <v>24</v>
      </c>
    </row>
    <row r="11430" spans="1:11" ht="54" customHeight="1">
      <c r="A11430" s="9" t="s">
        <v>23408</v>
      </c>
      <c r="B11430" s="9" t="s">
        <v>23408</v>
      </c>
      <c r="C11430" s="9" t="s">
        <v>90</v>
      </c>
      <c r="D11430" s="9" t="s">
        <v>18</v>
      </c>
      <c r="E11430" s="10" t="s">
        <v>524</v>
      </c>
      <c r="F11430" s="9" t="s">
        <v>525</v>
      </c>
      <c r="G11430" s="10" t="s">
        <v>34</v>
      </c>
      <c r="H11430" s="9" t="s">
        <v>22</v>
      </c>
      <c r="I11430" s="9" t="s">
        <v>23419</v>
      </c>
      <c r="J11430" s="10" t="str">
        <f>HYPERLINK("https://www.boe.es/gazeta/dias/1834/12/25/pdfs/GMD-C-1834-315.pdf#page=1","Abrir facsímil")</f>
        <v>Abrir facsímil</v>
      </c>
      <c r="K11430" s="10" t="s">
        <v>24</v>
      </c>
    </row>
    <row r="11431" spans="1:11" ht="54" customHeight="1">
      <c r="A11431" s="9" t="s">
        <v>23408</v>
      </c>
      <c r="B11431" s="9" t="s">
        <v>23408</v>
      </c>
      <c r="C11431" s="9" t="s">
        <v>46</v>
      </c>
      <c r="D11431" s="9" t="s">
        <v>101</v>
      </c>
      <c r="E11431" s="10" t="s">
        <v>280</v>
      </c>
      <c r="F11431" s="9" t="s">
        <v>281</v>
      </c>
      <c r="G11431" s="10" t="s">
        <v>75</v>
      </c>
      <c r="H11431" s="9" t="s">
        <v>22</v>
      </c>
      <c r="I11431" s="9" t="s">
        <v>23420</v>
      </c>
      <c r="J11431" s="10" t="str">
        <f>HYPERLINK("https://www.boe.es/gazeta/dias/1834/08/29/pdfs/GMD-C-1834-195.pdf#page=4","Abrir facsímil")</f>
        <v>Abrir facsímil</v>
      </c>
      <c r="K11431" s="10" t="s">
        <v>24</v>
      </c>
    </row>
    <row r="11432" spans="1:11" ht="54" customHeight="1">
      <c r="A11432" s="9" t="s">
        <v>23408</v>
      </c>
      <c r="B11432" s="9" t="s">
        <v>23408</v>
      </c>
      <c r="C11432" s="9" t="s">
        <v>17</v>
      </c>
      <c r="D11432" s="9" t="s">
        <v>18</v>
      </c>
      <c r="E11432" s="10" t="s">
        <v>777</v>
      </c>
      <c r="F11432" s="9" t="s">
        <v>2535</v>
      </c>
      <c r="G11432" s="10" t="s">
        <v>28</v>
      </c>
      <c r="H11432" s="9" t="s">
        <v>22</v>
      </c>
      <c r="I11432" s="9" t="s">
        <v>23421</v>
      </c>
      <c r="J11432" s="10" t="str">
        <f>HYPERLINK("https://www.boe.es/gazeta/dias/1834/10/29/pdfs/GMD-C-1834-257.pdf#page=5","Abrir facsímil")</f>
        <v>Abrir facsímil</v>
      </c>
      <c r="K11432" s="10" t="s">
        <v>24</v>
      </c>
    </row>
    <row r="11433" spans="1:11" ht="54" customHeight="1">
      <c r="A11433" s="9" t="s">
        <v>23422</v>
      </c>
      <c r="B11433" s="9" t="s">
        <v>23423</v>
      </c>
      <c r="C11433" s="9" t="s">
        <v>17</v>
      </c>
      <c r="D11433" s="9" t="s">
        <v>18</v>
      </c>
      <c r="E11433" s="10" t="s">
        <v>222</v>
      </c>
      <c r="F11433" s="9" t="s">
        <v>223</v>
      </c>
      <c r="G11433" s="10" t="s">
        <v>21</v>
      </c>
      <c r="H11433" s="9" t="s">
        <v>22</v>
      </c>
      <c r="I11433" s="9" t="s">
        <v>23424</v>
      </c>
      <c r="J11433" s="10" t="str">
        <f>HYPERLINK("https://www.boe.es/gazeta/dias/1834/09/14/pdfs/GMD-1834-212.pdf#page=3","Abrir facsímil")</f>
        <v>Abrir facsímil</v>
      </c>
      <c r="K11433" s="10" t="s">
        <v>24</v>
      </c>
    </row>
    <row r="11434" spans="1:11" ht="54" customHeight="1">
      <c r="A11434" s="9" t="s">
        <v>23425</v>
      </c>
      <c r="B11434" s="9" t="s">
        <v>23425</v>
      </c>
      <c r="C11434" s="9" t="s">
        <v>17</v>
      </c>
      <c r="D11434" s="9" t="s">
        <v>18</v>
      </c>
      <c r="E11434" s="10" t="s">
        <v>1683</v>
      </c>
      <c r="F11434" s="9" t="s">
        <v>1684</v>
      </c>
      <c r="G11434" s="10" t="s">
        <v>75</v>
      </c>
      <c r="H11434" s="9" t="s">
        <v>22</v>
      </c>
      <c r="I11434" s="9" t="s">
        <v>23426</v>
      </c>
      <c r="J11434" s="10" t="str">
        <f>HYPERLINK("https://www.boe.es/gazeta/dias/1834/06/27/pdfs/GMD-1834-130.pdf#page=4","Abrir facsímil")</f>
        <v>Abrir facsímil</v>
      </c>
      <c r="K11434" s="10" t="s">
        <v>24</v>
      </c>
    </row>
    <row r="11435" spans="1:11" ht="54" customHeight="1">
      <c r="A11435" s="9" t="s">
        <v>23427</v>
      </c>
      <c r="B11435" s="9" t="s">
        <v>23427</v>
      </c>
      <c r="C11435" s="9" t="s">
        <v>17</v>
      </c>
      <c r="D11435" s="9" t="s">
        <v>18</v>
      </c>
      <c r="E11435" s="10" t="s">
        <v>1333</v>
      </c>
      <c r="F11435" s="9" t="s">
        <v>1334</v>
      </c>
      <c r="G11435" s="10" t="s">
        <v>34</v>
      </c>
      <c r="H11435" s="9" t="s">
        <v>22</v>
      </c>
      <c r="I11435" s="9" t="s">
        <v>23428</v>
      </c>
      <c r="J11435" s="10" t="str">
        <f>HYPERLINK("https://www.boe.es/gazeta/dias/1834/04/01/pdfs/GMD-1834-40.pdf#page=1","Abrir facsímil")</f>
        <v>Abrir facsímil</v>
      </c>
      <c r="K11435" s="10" t="s">
        <v>24</v>
      </c>
    </row>
    <row r="11436" spans="1:11" ht="54" customHeight="1">
      <c r="A11436" s="9" t="s">
        <v>23427</v>
      </c>
      <c r="B11436" s="9" t="s">
        <v>23427</v>
      </c>
      <c r="C11436" s="9" t="s">
        <v>90</v>
      </c>
      <c r="D11436" s="9" t="s">
        <v>67</v>
      </c>
      <c r="E11436" s="10" t="s">
        <v>2379</v>
      </c>
      <c r="F11436" s="9" t="s">
        <v>2380</v>
      </c>
      <c r="G11436" s="10" t="s">
        <v>75</v>
      </c>
      <c r="H11436" s="9" t="s">
        <v>22</v>
      </c>
      <c r="I11436" s="9" t="s">
        <v>23429</v>
      </c>
      <c r="J11436" s="10" t="str">
        <f>HYPERLINK("https://www.boe.es/gazeta/dias/1834/04/03/pdfs/GMD-1834-42.pdf#page=4","Abrir facsímil")</f>
        <v>Abrir facsímil</v>
      </c>
      <c r="K11436" s="10" t="s">
        <v>24</v>
      </c>
    </row>
    <row r="11437" spans="1:11" ht="54" customHeight="1">
      <c r="A11437" s="9" t="s">
        <v>23427</v>
      </c>
      <c r="B11437" s="9" t="s">
        <v>23427</v>
      </c>
      <c r="C11437" s="9" t="s">
        <v>46</v>
      </c>
      <c r="D11437" s="9" t="s">
        <v>55</v>
      </c>
      <c r="E11437" s="10" t="s">
        <v>571</v>
      </c>
      <c r="F11437" s="9" t="s">
        <v>620</v>
      </c>
      <c r="G11437" s="10" t="s">
        <v>176</v>
      </c>
      <c r="H11437" s="9" t="s">
        <v>22</v>
      </c>
      <c r="I11437" s="9" t="s">
        <v>23430</v>
      </c>
      <c r="J11437" s="10" t="str">
        <f>HYPERLINK("https://www.boe.es/gazeta/dias/1834/09/04/pdfs/GMD-C-1834-202.pdf#page=6","Abrir facsímil")</f>
        <v>Abrir facsímil</v>
      </c>
      <c r="K11437" s="10" t="s">
        <v>24</v>
      </c>
    </row>
    <row r="11438" spans="1:11" ht="54" customHeight="1">
      <c r="A11438" s="9" t="s">
        <v>23427</v>
      </c>
      <c r="B11438" s="9" t="s">
        <v>23427</v>
      </c>
      <c r="C11438" s="9" t="s">
        <v>90</v>
      </c>
      <c r="D11438" s="9" t="s">
        <v>18</v>
      </c>
      <c r="E11438" s="10" t="s">
        <v>84</v>
      </c>
      <c r="F11438" s="9" t="s">
        <v>85</v>
      </c>
      <c r="G11438" s="10" t="s">
        <v>86</v>
      </c>
      <c r="H11438" s="9" t="s">
        <v>22</v>
      </c>
      <c r="I11438" s="9" t="s">
        <v>23431</v>
      </c>
      <c r="J11438" s="10" t="str">
        <f>HYPERLINK("https://www.boe.es/gazeta/dias/1834/06/07/pdfs/GMD-C-1834-109.pdf#page=2","Abrir facsímil")</f>
        <v>Abrir facsímil</v>
      </c>
      <c r="K11438" s="10" t="s">
        <v>24</v>
      </c>
    </row>
    <row r="11439" spans="1:11" ht="54" customHeight="1">
      <c r="A11439" s="9" t="s">
        <v>23427</v>
      </c>
      <c r="B11439" s="9" t="s">
        <v>23427</v>
      </c>
      <c r="C11439" s="9" t="s">
        <v>90</v>
      </c>
      <c r="D11439" s="9" t="s">
        <v>18</v>
      </c>
      <c r="E11439" s="10" t="s">
        <v>123</v>
      </c>
      <c r="F11439" s="9" t="s">
        <v>124</v>
      </c>
      <c r="G11439" s="10" t="s">
        <v>34</v>
      </c>
      <c r="H11439" s="9" t="s">
        <v>22</v>
      </c>
      <c r="I11439" s="9" t="s">
        <v>23432</v>
      </c>
      <c r="J11439" s="10" t="str">
        <f>HYPERLINK("https://www.boe.es/gazeta/dias/1834/07/11/pdfs/GMD-1834-144.pdf#page=1","Abrir facsímil")</f>
        <v>Abrir facsímil</v>
      </c>
      <c r="K11439" s="10" t="s">
        <v>24</v>
      </c>
    </row>
    <row r="11440" spans="1:11" ht="54" customHeight="1">
      <c r="A11440" s="9" t="s">
        <v>23427</v>
      </c>
      <c r="B11440" s="9" t="s">
        <v>23427</v>
      </c>
      <c r="C11440" s="9" t="s">
        <v>17</v>
      </c>
      <c r="D11440" s="9" t="s">
        <v>18</v>
      </c>
      <c r="E11440" s="10" t="s">
        <v>1839</v>
      </c>
      <c r="F11440" s="9" t="s">
        <v>1840</v>
      </c>
      <c r="G11440" s="10" t="s">
        <v>34</v>
      </c>
      <c r="H11440" s="9" t="s">
        <v>22</v>
      </c>
      <c r="I11440" s="9" t="s">
        <v>23433</v>
      </c>
      <c r="J11440" s="10" t="str">
        <f>HYPERLINK("https://www.boe.es/gazeta/dias/1834/08/12/pdfs/GMD-C-1834-177.pdf#page=1","Abrir facsímil")</f>
        <v>Abrir facsímil</v>
      </c>
      <c r="K11440" s="10" t="s">
        <v>24</v>
      </c>
    </row>
    <row r="11441" spans="1:11" ht="54" customHeight="1">
      <c r="A11441" s="9" t="s">
        <v>23427</v>
      </c>
      <c r="B11441" s="9" t="s">
        <v>23427</v>
      </c>
      <c r="C11441" s="9" t="s">
        <v>17</v>
      </c>
      <c r="D11441" s="9" t="s">
        <v>18</v>
      </c>
      <c r="E11441" s="10" t="s">
        <v>2260</v>
      </c>
      <c r="F11441" s="9" t="s">
        <v>2263</v>
      </c>
      <c r="G11441" s="10" t="s">
        <v>34</v>
      </c>
      <c r="H11441" s="9" t="s">
        <v>22</v>
      </c>
      <c r="I11441" s="9" t="s">
        <v>23434</v>
      </c>
      <c r="J11441" s="10" t="str">
        <f>HYPERLINK("https://www.boe.es/gazeta/dias/1834/11/13/pdfs/GMD-C-1834-272.pdf#page=1","Abrir facsímil")</f>
        <v>Abrir facsímil</v>
      </c>
      <c r="K11441" s="10" t="s">
        <v>24</v>
      </c>
    </row>
    <row r="11442" spans="1:11" ht="54" customHeight="1">
      <c r="A11442" s="9" t="s">
        <v>23427</v>
      </c>
      <c r="B11442" s="9" t="s">
        <v>23427</v>
      </c>
      <c r="C11442" s="9" t="s">
        <v>17</v>
      </c>
      <c r="D11442" s="9" t="s">
        <v>18</v>
      </c>
      <c r="E11442" s="10" t="s">
        <v>343</v>
      </c>
      <c r="F11442" s="9" t="s">
        <v>344</v>
      </c>
      <c r="G11442" s="10" t="s">
        <v>21</v>
      </c>
      <c r="H11442" s="9" t="s">
        <v>22</v>
      </c>
      <c r="I11442" s="9" t="s">
        <v>23435</v>
      </c>
      <c r="J11442" s="10" t="str">
        <f>HYPERLINK("https://www.boe.es/gazeta/dias/1834/01/14/pdfs/GMD-1834-7.pdf#page=3","Abrir facsímil")</f>
        <v>Abrir facsímil</v>
      </c>
      <c r="K11442" s="10" t="s">
        <v>24</v>
      </c>
    </row>
    <row r="11443" spans="1:11" ht="54" customHeight="1">
      <c r="A11443" s="9" t="s">
        <v>23427</v>
      </c>
      <c r="B11443" s="9" t="s">
        <v>23427</v>
      </c>
      <c r="C11443" s="9" t="s">
        <v>17</v>
      </c>
      <c r="D11443" s="9" t="s">
        <v>18</v>
      </c>
      <c r="E11443" s="10" t="s">
        <v>222</v>
      </c>
      <c r="F11443" s="9" t="s">
        <v>223</v>
      </c>
      <c r="G11443" s="10" t="s">
        <v>21</v>
      </c>
      <c r="H11443" s="9" t="s">
        <v>22</v>
      </c>
      <c r="I11443" s="9" t="s">
        <v>23436</v>
      </c>
      <c r="J11443" s="10" t="str">
        <f>HYPERLINK("https://www.boe.es/gazeta/dias/1834/09/14/pdfs/GMD-1834-212.pdf#page=3","Abrir facsímil")</f>
        <v>Abrir facsímil</v>
      </c>
      <c r="K11443" s="10" t="s">
        <v>24</v>
      </c>
    </row>
    <row r="11444" spans="1:11" ht="54" customHeight="1">
      <c r="A11444" s="9" t="s">
        <v>23427</v>
      </c>
      <c r="B11444" s="9" t="s">
        <v>23427</v>
      </c>
      <c r="C11444" s="9" t="s">
        <v>66</v>
      </c>
      <c r="D11444" s="9" t="s">
        <v>67</v>
      </c>
      <c r="E11444" s="10" t="s">
        <v>2398</v>
      </c>
      <c r="F11444" s="9" t="s">
        <v>2399</v>
      </c>
      <c r="G11444" s="10" t="s">
        <v>86</v>
      </c>
      <c r="H11444" s="9" t="s">
        <v>22</v>
      </c>
      <c r="I11444" s="9" t="s">
        <v>23437</v>
      </c>
      <c r="J11444" s="10" t="str">
        <f>HYPERLINK("https://www.boe.es/gazeta/dias/1834/01/16/pdfs/GMD-1834-8.pdf#page=2","Abrir facsímil")</f>
        <v>Abrir facsímil</v>
      </c>
      <c r="K11444" s="10" t="s">
        <v>24</v>
      </c>
    </row>
    <row r="11445" spans="1:11" ht="54" customHeight="1">
      <c r="A11445" s="9" t="s">
        <v>23427</v>
      </c>
      <c r="B11445" s="9" t="s">
        <v>23427</v>
      </c>
      <c r="C11445" s="9" t="s">
        <v>17</v>
      </c>
      <c r="D11445" s="9" t="s">
        <v>18</v>
      </c>
      <c r="E11445" s="10" t="s">
        <v>2278</v>
      </c>
      <c r="F11445" s="9" t="s">
        <v>2279</v>
      </c>
      <c r="G11445" s="10" t="s">
        <v>86</v>
      </c>
      <c r="H11445" s="9" t="s">
        <v>22</v>
      </c>
      <c r="I11445" s="9" t="s">
        <v>23438</v>
      </c>
      <c r="J11445" s="10" t="str">
        <f>HYPERLINK("https://www.boe.es/gazeta/dias/1834/12/17/pdfs/GMD-C-1834-306.pdf#page=2","Abrir facsímil")</f>
        <v>Abrir facsímil</v>
      </c>
      <c r="K11445" s="10" t="s">
        <v>24</v>
      </c>
    </row>
    <row r="11446" spans="1:11" ht="54" customHeight="1">
      <c r="A11446" s="9" t="s">
        <v>23427</v>
      </c>
      <c r="B11446" s="9" t="s">
        <v>23427</v>
      </c>
      <c r="C11446" s="9" t="s">
        <v>17</v>
      </c>
      <c r="D11446" s="9" t="s">
        <v>18</v>
      </c>
      <c r="E11446" s="10" t="s">
        <v>133</v>
      </c>
      <c r="F11446" s="9" t="s">
        <v>134</v>
      </c>
      <c r="G11446" s="10" t="s">
        <v>75</v>
      </c>
      <c r="H11446" s="9" t="s">
        <v>22</v>
      </c>
      <c r="I11446" s="9" t="s">
        <v>23439</v>
      </c>
      <c r="J11446" s="10" t="str">
        <f>HYPERLINK("https://www.boe.es/gazeta/dias/1834/06/18/pdfs/GMD-1834-121.pdf#page=4","Abrir facsímil")</f>
        <v>Abrir facsímil</v>
      </c>
      <c r="K11446" s="10" t="s">
        <v>24</v>
      </c>
    </row>
    <row r="11447" spans="1:11" ht="54" customHeight="1">
      <c r="A11447" s="9" t="s">
        <v>23427</v>
      </c>
      <c r="B11447" s="9" t="s">
        <v>23427</v>
      </c>
      <c r="C11447" s="9" t="s">
        <v>66</v>
      </c>
      <c r="D11447" s="9" t="s">
        <v>55</v>
      </c>
      <c r="E11447" s="10" t="s">
        <v>1669</v>
      </c>
      <c r="F11447" s="9" t="s">
        <v>1670</v>
      </c>
      <c r="G11447" s="10" t="s">
        <v>21</v>
      </c>
      <c r="H11447" s="9" t="s">
        <v>22</v>
      </c>
      <c r="I11447" s="9" t="s">
        <v>23440</v>
      </c>
      <c r="J11447" s="10" t="str">
        <f>HYPERLINK("https://www.boe.es/gazeta/dias/1834/06/19/pdfs/GMD-1834-122.pdf#page=3","Abrir facsímil")</f>
        <v>Abrir facsímil</v>
      </c>
      <c r="K11447" s="10" t="s">
        <v>24</v>
      </c>
    </row>
    <row r="11448" spans="1:11" ht="54" customHeight="1">
      <c r="A11448" s="9" t="s">
        <v>23427</v>
      </c>
      <c r="B11448" s="9" t="s">
        <v>23427</v>
      </c>
      <c r="C11448" s="9" t="s">
        <v>66</v>
      </c>
      <c r="D11448" s="9" t="s">
        <v>67</v>
      </c>
      <c r="E11448" s="10" t="s">
        <v>1239</v>
      </c>
      <c r="F11448" s="9" t="s">
        <v>1240</v>
      </c>
      <c r="G11448" s="10" t="s">
        <v>34</v>
      </c>
      <c r="H11448" s="9" t="s">
        <v>22</v>
      </c>
      <c r="I11448" s="9" t="s">
        <v>23441</v>
      </c>
      <c r="J11448" s="10" t="str">
        <f>HYPERLINK("https://www.boe.es/gazeta/dias/1834/08/20/pdfs/GMD-1834-186.pdf#page=1","Abrir facsímil")</f>
        <v>Abrir facsímil</v>
      </c>
      <c r="K11448" s="10" t="s">
        <v>24</v>
      </c>
    </row>
    <row r="11449" spans="1:11" ht="54" customHeight="1">
      <c r="A11449" s="9" t="s">
        <v>23427</v>
      </c>
      <c r="B11449" s="9" t="s">
        <v>23427</v>
      </c>
      <c r="C11449" s="9" t="s">
        <v>17</v>
      </c>
      <c r="D11449" s="9" t="s">
        <v>18</v>
      </c>
      <c r="E11449" s="10" t="s">
        <v>304</v>
      </c>
      <c r="F11449" s="9" t="s">
        <v>305</v>
      </c>
      <c r="G11449" s="10" t="s">
        <v>21</v>
      </c>
      <c r="H11449" s="9" t="s">
        <v>22</v>
      </c>
      <c r="I11449" s="9" t="s">
        <v>23442</v>
      </c>
      <c r="J11449" s="10" t="str">
        <f>HYPERLINK("https://www.boe.es/gazeta/dias/1834/01/21/pdfs/GMD-1834-10.pdf#page=3","Abrir facsímil")</f>
        <v>Abrir facsímil</v>
      </c>
      <c r="K11449" s="10" t="s">
        <v>24</v>
      </c>
    </row>
    <row r="11450" spans="1:11" ht="54" customHeight="1">
      <c r="A11450" s="9" t="s">
        <v>23427</v>
      </c>
      <c r="B11450" s="9" t="s">
        <v>23427</v>
      </c>
      <c r="C11450" s="9" t="s">
        <v>17</v>
      </c>
      <c r="D11450" s="9" t="s">
        <v>18</v>
      </c>
      <c r="E11450" s="10" t="s">
        <v>492</v>
      </c>
      <c r="F11450" s="9" t="s">
        <v>1672</v>
      </c>
      <c r="G11450" s="10" t="s">
        <v>75</v>
      </c>
      <c r="H11450" s="9" t="s">
        <v>22</v>
      </c>
      <c r="I11450" s="9" t="s">
        <v>23443</v>
      </c>
      <c r="J11450" s="10" t="str">
        <f>HYPERLINK("https://www.boe.es/gazeta/dias/1834/11/21/pdfs/GMD-1834-280.pdf#page=4","Abrir facsímil")</f>
        <v>Abrir facsímil</v>
      </c>
      <c r="K11450" s="10" t="s">
        <v>24</v>
      </c>
    </row>
    <row r="11451" spans="1:11" ht="54" customHeight="1">
      <c r="A11451" s="9" t="s">
        <v>23427</v>
      </c>
      <c r="B11451" s="9" t="s">
        <v>23427</v>
      </c>
      <c r="C11451" s="9" t="s">
        <v>66</v>
      </c>
      <c r="D11451" s="9" t="s">
        <v>67</v>
      </c>
      <c r="E11451" s="10" t="s">
        <v>2596</v>
      </c>
      <c r="F11451" s="9" t="s">
        <v>2597</v>
      </c>
      <c r="G11451" s="10" t="s">
        <v>21</v>
      </c>
      <c r="H11451" s="9" t="s">
        <v>22</v>
      </c>
      <c r="I11451" s="9" t="s">
        <v>23444</v>
      </c>
      <c r="J11451" s="10" t="str">
        <f>HYPERLINK("https://www.boe.es/gazeta/dias/1834/10/22/pdfs/GMD-1834-250.pdf#page=3","Abrir facsímil")</f>
        <v>Abrir facsímil</v>
      </c>
      <c r="K11451" s="10" t="s">
        <v>24</v>
      </c>
    </row>
    <row r="11452" spans="1:11" ht="54" customHeight="1">
      <c r="A11452" s="9" t="s">
        <v>23427</v>
      </c>
      <c r="B11452" s="9" t="s">
        <v>23427</v>
      </c>
      <c r="C11452" s="9" t="s">
        <v>17</v>
      </c>
      <c r="D11452" s="9" t="s">
        <v>101</v>
      </c>
      <c r="E11452" s="10" t="s">
        <v>32</v>
      </c>
      <c r="F11452" s="9" t="s">
        <v>33</v>
      </c>
      <c r="G11452" s="10" t="s">
        <v>86</v>
      </c>
      <c r="H11452" s="9" t="s">
        <v>22</v>
      </c>
      <c r="I11452" s="9" t="s">
        <v>23445</v>
      </c>
      <c r="J11452" s="10" t="str">
        <f>HYPERLINK("https://www.boe.es/gazeta/dias/1834/04/23/pdfs/GMD-1834-62.pdf#page=2","Abrir facsímil")</f>
        <v>Abrir facsímil</v>
      </c>
      <c r="K11452" s="10" t="s">
        <v>24</v>
      </c>
    </row>
    <row r="11453" spans="1:11" ht="54" customHeight="1">
      <c r="A11453" s="9" t="s">
        <v>23427</v>
      </c>
      <c r="B11453" s="9" t="s">
        <v>23427</v>
      </c>
      <c r="C11453" s="9" t="s">
        <v>17</v>
      </c>
      <c r="D11453" s="9" t="s">
        <v>18</v>
      </c>
      <c r="E11453" s="10" t="s">
        <v>1017</v>
      </c>
      <c r="F11453" s="9" t="s">
        <v>1018</v>
      </c>
      <c r="G11453" s="10" t="s">
        <v>75</v>
      </c>
      <c r="H11453" s="9" t="s">
        <v>22</v>
      </c>
      <c r="I11453" s="9" t="s">
        <v>23446</v>
      </c>
      <c r="J11453" s="10" t="str">
        <f>HYPERLINK("https://www.boe.es/gazeta/dias/1834/07/24/pdfs/GMD-1834-157.pdf#page=4","Abrir facsímil")</f>
        <v>Abrir facsímil</v>
      </c>
      <c r="K11453" s="10" t="s">
        <v>24</v>
      </c>
    </row>
    <row r="11454" spans="1:11" ht="54" customHeight="1">
      <c r="A11454" s="9" t="s">
        <v>23427</v>
      </c>
      <c r="B11454" s="9" t="s">
        <v>23427</v>
      </c>
      <c r="C11454" s="9" t="s">
        <v>122</v>
      </c>
      <c r="D11454" s="9" t="s">
        <v>18</v>
      </c>
      <c r="E11454" s="10" t="s">
        <v>128</v>
      </c>
      <c r="F11454" s="9" t="s">
        <v>1068</v>
      </c>
      <c r="G11454" s="10" t="s">
        <v>75</v>
      </c>
      <c r="H11454" s="9" t="s">
        <v>22</v>
      </c>
      <c r="I11454" s="9" t="s">
        <v>23447</v>
      </c>
      <c r="J11454" s="10" t="str">
        <f>HYPERLINK("https://www.boe.es/gazeta/dias/1834/12/24/pdfs/GMD-1834-314.pdf#page=4","Abrir facsímil")</f>
        <v>Abrir facsímil</v>
      </c>
      <c r="K11454" s="10" t="s">
        <v>24</v>
      </c>
    </row>
    <row r="11455" spans="1:11" ht="54" customHeight="1">
      <c r="A11455" s="9" t="s">
        <v>23427</v>
      </c>
      <c r="B11455" s="9" t="s">
        <v>23427</v>
      </c>
      <c r="C11455" s="9" t="s">
        <v>17</v>
      </c>
      <c r="D11455" s="9" t="s">
        <v>18</v>
      </c>
      <c r="E11455" s="10" t="s">
        <v>1641</v>
      </c>
      <c r="F11455" s="9" t="s">
        <v>1729</v>
      </c>
      <c r="G11455" s="10" t="s">
        <v>86</v>
      </c>
      <c r="H11455" s="9" t="s">
        <v>22</v>
      </c>
      <c r="I11455" s="9" t="s">
        <v>23448</v>
      </c>
      <c r="J11455" s="10" t="str">
        <f>HYPERLINK("https://www.boe.es/gazeta/dias/1834/09/28/pdfs/GMD-1834-226.pdf#page=2","Abrir facsímil")</f>
        <v>Abrir facsímil</v>
      </c>
      <c r="K11455" s="10" t="s">
        <v>24</v>
      </c>
    </row>
    <row r="11456" spans="1:11" ht="54" customHeight="1">
      <c r="A11456" s="9" t="s">
        <v>23427</v>
      </c>
      <c r="B11456" s="9" t="s">
        <v>23427</v>
      </c>
      <c r="C11456" s="9" t="s">
        <v>857</v>
      </c>
      <c r="D11456" s="9" t="s">
        <v>18</v>
      </c>
      <c r="E11456" s="10" t="s">
        <v>283</v>
      </c>
      <c r="F11456" s="9" t="s">
        <v>2969</v>
      </c>
      <c r="G11456" s="10" t="s">
        <v>75</v>
      </c>
      <c r="H11456" s="9" t="s">
        <v>22</v>
      </c>
      <c r="I11456" s="9" t="s">
        <v>23449</v>
      </c>
      <c r="J11456" s="10" t="str">
        <f>HYPERLINK("https://www.boe.es/gazeta/dias/1834/11/29/pdfs/GMD-1834-288.pdf#page=4","Abrir facsímil")</f>
        <v>Abrir facsímil</v>
      </c>
      <c r="K11456" s="10" t="s">
        <v>24</v>
      </c>
    </row>
    <row r="11457" spans="1:11" ht="54" customHeight="1">
      <c r="A11457" s="9" t="s">
        <v>23450</v>
      </c>
      <c r="B11457" s="9" t="s">
        <v>23451</v>
      </c>
      <c r="C11457" s="9" t="s">
        <v>17</v>
      </c>
      <c r="D11457" s="9" t="s">
        <v>18</v>
      </c>
      <c r="E11457" s="10" t="s">
        <v>1839</v>
      </c>
      <c r="F11457" s="9" t="s">
        <v>1840</v>
      </c>
      <c r="G11457" s="10" t="s">
        <v>34</v>
      </c>
      <c r="H11457" s="9" t="s">
        <v>22</v>
      </c>
      <c r="I11457" s="9" t="s">
        <v>23452</v>
      </c>
      <c r="J11457" s="10" t="str">
        <f>HYPERLINK("https://www.boe.es/gazeta/dias/1834/08/12/pdfs/GMD-C-1834-177.pdf#page=1","Abrir facsímil")</f>
        <v>Abrir facsímil</v>
      </c>
      <c r="K11457" s="10" t="s">
        <v>24</v>
      </c>
    </row>
    <row r="11458" spans="1:11" ht="54" customHeight="1">
      <c r="A11458" s="9" t="s">
        <v>23453</v>
      </c>
      <c r="B11458" s="9" t="s">
        <v>23454</v>
      </c>
      <c r="C11458" s="9" t="s">
        <v>66</v>
      </c>
      <c r="D11458" s="9" t="s">
        <v>67</v>
      </c>
      <c r="E11458" s="10" t="s">
        <v>1340</v>
      </c>
      <c r="F11458" s="9" t="s">
        <v>1341</v>
      </c>
      <c r="G11458" s="10" t="s">
        <v>86</v>
      </c>
      <c r="H11458" s="9" t="s">
        <v>22</v>
      </c>
      <c r="I11458" s="9" t="s">
        <v>23455</v>
      </c>
      <c r="J11458" s="10" t="str">
        <f>HYPERLINK("https://www.boe.es/gazeta/dias/1834/10/05/pdfs/GMD-C-1834-233.pdf#page=2","Abrir facsímil")</f>
        <v>Abrir facsímil</v>
      </c>
      <c r="K11458" s="10" t="s">
        <v>24</v>
      </c>
    </row>
    <row r="11459" spans="1:11" ht="54" customHeight="1">
      <c r="A11459" s="9" t="s">
        <v>23453</v>
      </c>
      <c r="B11459" s="9" t="s">
        <v>23454</v>
      </c>
      <c r="C11459" s="9" t="s">
        <v>17</v>
      </c>
      <c r="D11459" s="9" t="s">
        <v>18</v>
      </c>
      <c r="E11459" s="10" t="s">
        <v>19</v>
      </c>
      <c r="F11459" s="9" t="s">
        <v>20</v>
      </c>
      <c r="G11459" s="10" t="s">
        <v>34</v>
      </c>
      <c r="H11459" s="9" t="s">
        <v>22</v>
      </c>
      <c r="I11459" s="9" t="s">
        <v>23456</v>
      </c>
      <c r="J11459" s="10" t="str">
        <f>HYPERLINK("https://www.boe.es/gazeta/dias/1834/08/17/pdfs/GMD-D-1834-182.pdf#page=1","Abrir facsímil")</f>
        <v>Abrir facsímil</v>
      </c>
      <c r="K11459" s="10" t="s">
        <v>24</v>
      </c>
    </row>
    <row r="11460" spans="1:11" ht="54" customHeight="1">
      <c r="A11460" s="9" t="s">
        <v>23453</v>
      </c>
      <c r="B11460" s="9" t="s">
        <v>23454</v>
      </c>
      <c r="C11460" s="9" t="s">
        <v>66</v>
      </c>
      <c r="D11460" s="9" t="s">
        <v>67</v>
      </c>
      <c r="E11460" s="10" t="s">
        <v>133</v>
      </c>
      <c r="F11460" s="9" t="s">
        <v>134</v>
      </c>
      <c r="G11460" s="10" t="s">
        <v>34</v>
      </c>
      <c r="H11460" s="9" t="s">
        <v>22</v>
      </c>
      <c r="I11460" s="9" t="s">
        <v>23457</v>
      </c>
      <c r="J11460" s="10" t="str">
        <f>HYPERLINK("https://www.boe.es/gazeta/dias/1834/06/18/pdfs/GMD-1834-121.pdf#page=1","Abrir facsímil")</f>
        <v>Abrir facsímil</v>
      </c>
      <c r="K11460" s="10" t="s">
        <v>24</v>
      </c>
    </row>
    <row r="11461" spans="1:11" ht="54" customHeight="1">
      <c r="A11461" s="9" t="s">
        <v>23453</v>
      </c>
      <c r="B11461" s="9" t="s">
        <v>23454</v>
      </c>
      <c r="C11461" s="9" t="s">
        <v>17</v>
      </c>
      <c r="D11461" s="9" t="s">
        <v>18</v>
      </c>
      <c r="E11461" s="10" t="s">
        <v>1674</v>
      </c>
      <c r="F11461" s="9" t="s">
        <v>3233</v>
      </c>
      <c r="G11461" s="10" t="s">
        <v>86</v>
      </c>
      <c r="H11461" s="9" t="s">
        <v>22</v>
      </c>
      <c r="I11461" s="9" t="s">
        <v>23458</v>
      </c>
      <c r="J11461" s="10" t="str">
        <f>HYPERLINK("https://www.boe.es/gazeta/dias/1834/07/25/pdfs/GMD-C-1834-158.pdf#page=2","Abrir facsímil")</f>
        <v>Abrir facsímil</v>
      </c>
      <c r="K11461" s="10" t="s">
        <v>24</v>
      </c>
    </row>
    <row r="11462" spans="1:11" ht="54" customHeight="1">
      <c r="A11462" s="9" t="s">
        <v>23453</v>
      </c>
      <c r="B11462" s="9" t="s">
        <v>23454</v>
      </c>
      <c r="C11462" s="9" t="s">
        <v>46</v>
      </c>
      <c r="D11462" s="9" t="s">
        <v>101</v>
      </c>
      <c r="E11462" s="10" t="s">
        <v>1692</v>
      </c>
      <c r="F11462" s="9" t="s">
        <v>3985</v>
      </c>
      <c r="G11462" s="10" t="s">
        <v>34</v>
      </c>
      <c r="H11462" s="9" t="s">
        <v>22</v>
      </c>
      <c r="I11462" s="9" t="s">
        <v>23459</v>
      </c>
      <c r="J11462" s="10" t="str">
        <f>HYPERLINK("https://www.boe.es/gazeta/dias/1834/07/29/pdfs/GMD-C-1834-162.pdf#page=1","Abrir facsímil")</f>
        <v>Abrir facsímil</v>
      </c>
      <c r="K11462" s="10" t="s">
        <v>24</v>
      </c>
    </row>
    <row r="11463" spans="1:11" ht="54" customHeight="1">
      <c r="A11463" s="9" t="s">
        <v>23460</v>
      </c>
      <c r="B11463" s="9" t="s">
        <v>23461</v>
      </c>
      <c r="C11463" s="9" t="s">
        <v>17</v>
      </c>
      <c r="D11463" s="9" t="s">
        <v>18</v>
      </c>
      <c r="E11463" s="10" t="s">
        <v>158</v>
      </c>
      <c r="F11463" s="9" t="s">
        <v>581</v>
      </c>
      <c r="G11463" s="10" t="s">
        <v>176</v>
      </c>
      <c r="H11463" s="9" t="s">
        <v>22</v>
      </c>
      <c r="I11463" s="9" t="s">
        <v>23462</v>
      </c>
      <c r="J11463" s="10" t="str">
        <f>HYPERLINK("https://www.boe.es/gazeta/dias/1834/10/01/pdfs/GMD-C-1834-229.pdf#page=6","Abrir facsímil")</f>
        <v>Abrir facsímil</v>
      </c>
      <c r="K11463" s="10" t="s">
        <v>24</v>
      </c>
    </row>
    <row r="11464" spans="1:11" ht="54" customHeight="1">
      <c r="A11464" s="9" t="s">
        <v>23460</v>
      </c>
      <c r="B11464" s="9" t="s">
        <v>23461</v>
      </c>
      <c r="C11464" s="9" t="s">
        <v>17</v>
      </c>
      <c r="D11464" s="9" t="s">
        <v>18</v>
      </c>
      <c r="E11464" s="10" t="s">
        <v>3066</v>
      </c>
      <c r="F11464" s="9" t="s">
        <v>3067</v>
      </c>
      <c r="G11464" s="10" t="s">
        <v>34</v>
      </c>
      <c r="H11464" s="9" t="s">
        <v>22</v>
      </c>
      <c r="I11464" s="9" t="s">
        <v>23463</v>
      </c>
      <c r="J11464" s="10" t="str">
        <f>HYPERLINK("https://www.boe.es/gazeta/dias/1834/08/03/pdfs/GMD-C-1834-167.pdf#page=1","Abrir facsímil")</f>
        <v>Abrir facsímil</v>
      </c>
      <c r="K11464" s="10" t="s">
        <v>24</v>
      </c>
    </row>
    <row r="11465" spans="1:11" ht="54" customHeight="1">
      <c r="A11465" s="9" t="s">
        <v>23460</v>
      </c>
      <c r="B11465" s="9" t="s">
        <v>23461</v>
      </c>
      <c r="C11465" s="9" t="s">
        <v>17</v>
      </c>
      <c r="D11465" s="9" t="s">
        <v>55</v>
      </c>
      <c r="E11465" s="10" t="s">
        <v>3066</v>
      </c>
      <c r="F11465" s="9" t="s">
        <v>3067</v>
      </c>
      <c r="G11465" s="10" t="s">
        <v>21</v>
      </c>
      <c r="H11465" s="9" t="s">
        <v>22</v>
      </c>
      <c r="I11465" s="9" t="s">
        <v>23464</v>
      </c>
      <c r="J11465" s="10" t="str">
        <f>HYPERLINK("https://www.boe.es/gazeta/dias/1834/08/03/pdfs/GMD-C-1834-167.pdf#page=3","Abrir facsímil")</f>
        <v>Abrir facsímil</v>
      </c>
      <c r="K11465" s="10" t="s">
        <v>24</v>
      </c>
    </row>
    <row r="11466" spans="1:11" ht="54" customHeight="1">
      <c r="A11466" s="9" t="s">
        <v>23460</v>
      </c>
      <c r="B11466" s="9" t="s">
        <v>23461</v>
      </c>
      <c r="C11466" s="9" t="s">
        <v>90</v>
      </c>
      <c r="D11466" s="9" t="s">
        <v>18</v>
      </c>
      <c r="E11466" s="10" t="s">
        <v>73</v>
      </c>
      <c r="F11466" s="9" t="s">
        <v>1416</v>
      </c>
      <c r="G11466" s="10" t="s">
        <v>86</v>
      </c>
      <c r="H11466" s="9" t="s">
        <v>22</v>
      </c>
      <c r="I11466" s="9" t="s">
        <v>23465</v>
      </c>
      <c r="J11466" s="10" t="str">
        <f>HYPERLINK("https://www.boe.es/gazeta/dias/1834/11/04/pdfs/GMD-C-1834-263.pdf#page=2","Abrir facsímil")</f>
        <v>Abrir facsímil</v>
      </c>
      <c r="K11466" s="10" t="s">
        <v>24</v>
      </c>
    </row>
    <row r="11467" spans="1:11" ht="54" customHeight="1">
      <c r="A11467" s="9" t="s">
        <v>23460</v>
      </c>
      <c r="B11467" s="9" t="s">
        <v>23461</v>
      </c>
      <c r="C11467" s="9" t="s">
        <v>46</v>
      </c>
      <c r="D11467" s="9" t="s">
        <v>101</v>
      </c>
      <c r="E11467" s="10" t="s">
        <v>163</v>
      </c>
      <c r="F11467" s="9" t="s">
        <v>4896</v>
      </c>
      <c r="G11467" s="10" t="s">
        <v>34</v>
      </c>
      <c r="H11467" s="9" t="s">
        <v>22</v>
      </c>
      <c r="I11467" s="9" t="s">
        <v>23466</v>
      </c>
      <c r="J11467" s="10" t="str">
        <f>HYPERLINK("https://www.boe.es/gazeta/dias/1834/08/09/pdfs/GMD-C-1834-174.pdf#page=1","Abrir facsímil")</f>
        <v>Abrir facsímil</v>
      </c>
      <c r="K11467" s="10" t="s">
        <v>24</v>
      </c>
    </row>
    <row r="11468" spans="1:11" ht="54" customHeight="1">
      <c r="A11468" s="9" t="s">
        <v>23460</v>
      </c>
      <c r="B11468" s="9" t="s">
        <v>23461</v>
      </c>
      <c r="C11468" s="9" t="s">
        <v>90</v>
      </c>
      <c r="D11468" s="9" t="s">
        <v>18</v>
      </c>
      <c r="E11468" s="10" t="s">
        <v>444</v>
      </c>
      <c r="F11468" s="9" t="s">
        <v>445</v>
      </c>
      <c r="G11468" s="10" t="s">
        <v>34</v>
      </c>
      <c r="H11468" s="9" t="s">
        <v>22</v>
      </c>
      <c r="I11468" s="9" t="s">
        <v>23467</v>
      </c>
      <c r="J11468" s="10" t="str">
        <f>HYPERLINK("https://www.boe.es/gazeta/dias/1834/09/12/pdfs/GMD-C-1834-210.pdf#page=1","Abrir facsímil")</f>
        <v>Abrir facsímil</v>
      </c>
      <c r="K11468" s="10" t="s">
        <v>24</v>
      </c>
    </row>
    <row r="11469" spans="1:11" ht="54" customHeight="1">
      <c r="A11469" s="9" t="s">
        <v>23460</v>
      </c>
      <c r="B11469" s="9" t="s">
        <v>23461</v>
      </c>
      <c r="C11469" s="9" t="s">
        <v>17</v>
      </c>
      <c r="D11469" s="9" t="s">
        <v>18</v>
      </c>
      <c r="E11469" s="10" t="s">
        <v>233</v>
      </c>
      <c r="F11469" s="9" t="s">
        <v>1810</v>
      </c>
      <c r="G11469" s="10" t="s">
        <v>2274</v>
      </c>
      <c r="H11469" s="9" t="s">
        <v>22</v>
      </c>
      <c r="I11469" s="9" t="s">
        <v>23468</v>
      </c>
      <c r="J11469" s="10" t="str">
        <f>HYPERLINK("https://www.boe.es/gazeta/dias/1834/12/16/pdfs/GMD-C-1834-305.pdf#page=13","Abrir facsímil")</f>
        <v>Abrir facsímil</v>
      </c>
      <c r="K11469" s="10" t="s">
        <v>24</v>
      </c>
    </row>
    <row r="11470" spans="1:11" ht="54" customHeight="1">
      <c r="A11470" s="9" t="s">
        <v>23460</v>
      </c>
      <c r="B11470" s="9" t="s">
        <v>23461</v>
      </c>
      <c r="C11470" s="9" t="s">
        <v>17</v>
      </c>
      <c r="D11470" s="9" t="s">
        <v>18</v>
      </c>
      <c r="E11470" s="10" t="s">
        <v>19</v>
      </c>
      <c r="F11470" s="9" t="s">
        <v>20</v>
      </c>
      <c r="G11470" s="10" t="s">
        <v>86</v>
      </c>
      <c r="H11470" s="9" t="s">
        <v>22</v>
      </c>
      <c r="I11470" s="9" t="s">
        <v>23469</v>
      </c>
      <c r="J11470" s="10" t="str">
        <f>HYPERLINK("https://www.boe.es/gazeta/dias/1834/08/17/pdfs/GMD-D-1834-182.pdf#page=2","Abrir facsímil")</f>
        <v>Abrir facsímil</v>
      </c>
      <c r="K11470" s="10" t="s">
        <v>24</v>
      </c>
    </row>
    <row r="11471" spans="1:11" ht="54" customHeight="1">
      <c r="A11471" s="9" t="s">
        <v>23460</v>
      </c>
      <c r="B11471" s="9" t="s">
        <v>23461</v>
      </c>
      <c r="C11471" s="9" t="s">
        <v>17</v>
      </c>
      <c r="D11471" s="9" t="s">
        <v>18</v>
      </c>
      <c r="E11471" s="10" t="s">
        <v>615</v>
      </c>
      <c r="F11471" s="9" t="s">
        <v>1205</v>
      </c>
      <c r="G11471" s="10" t="s">
        <v>34</v>
      </c>
      <c r="H11471" s="9" t="s">
        <v>22</v>
      </c>
      <c r="I11471" s="9" t="s">
        <v>23470</v>
      </c>
      <c r="J11471" s="10" t="str">
        <f>HYPERLINK("https://www.boe.es/gazeta/dias/1834/08/19/pdfs/GMD-D-1834-185.pdf#page=1","Abrir facsímil")</f>
        <v>Abrir facsímil</v>
      </c>
      <c r="K11471" s="10" t="s">
        <v>24</v>
      </c>
    </row>
    <row r="11472" spans="1:11" ht="54" customHeight="1">
      <c r="A11472" s="9" t="s">
        <v>23460</v>
      </c>
      <c r="B11472" s="9" t="s">
        <v>23461</v>
      </c>
      <c r="C11472" s="9" t="s">
        <v>17</v>
      </c>
      <c r="D11472" s="9" t="s">
        <v>18</v>
      </c>
      <c r="E11472" s="10" t="s">
        <v>672</v>
      </c>
      <c r="F11472" s="9" t="s">
        <v>1055</v>
      </c>
      <c r="G11472" s="10" t="s">
        <v>75</v>
      </c>
      <c r="H11472" s="9" t="s">
        <v>22</v>
      </c>
      <c r="I11472" s="9" t="s">
        <v>23471</v>
      </c>
      <c r="J11472" s="10" t="str">
        <f>HYPERLINK("https://www.boe.es/gazeta/dias/1834/09/19/pdfs/GMD-C-1834-217.pdf#page=4","Abrir facsímil")</f>
        <v>Abrir facsímil</v>
      </c>
      <c r="K11472" s="10" t="s">
        <v>24</v>
      </c>
    </row>
    <row r="11473" spans="1:11" ht="54" customHeight="1">
      <c r="A11473" s="9" t="s">
        <v>23460</v>
      </c>
      <c r="B11473" s="9" t="s">
        <v>23461</v>
      </c>
      <c r="C11473" s="9" t="s">
        <v>17</v>
      </c>
      <c r="D11473" s="9" t="s">
        <v>18</v>
      </c>
      <c r="E11473" s="10" t="s">
        <v>378</v>
      </c>
      <c r="F11473" s="9" t="s">
        <v>888</v>
      </c>
      <c r="G11473" s="10" t="s">
        <v>176</v>
      </c>
      <c r="H11473" s="9" t="s">
        <v>22</v>
      </c>
      <c r="I11473" s="9" t="s">
        <v>23472</v>
      </c>
      <c r="J11473" s="10" t="str">
        <f>HYPERLINK("https://www.boe.es/gazeta/dias/1834/09/24/pdfs/GMD-C-1834-222.pdf#page=6","Abrir facsímil")</f>
        <v>Abrir facsímil</v>
      </c>
      <c r="K11473" s="10" t="s">
        <v>24</v>
      </c>
    </row>
    <row r="11474" spans="1:11" ht="54" customHeight="1">
      <c r="A11474" s="9" t="s">
        <v>23460</v>
      </c>
      <c r="B11474" s="9" t="s">
        <v>23461</v>
      </c>
      <c r="C11474" s="9" t="s">
        <v>17</v>
      </c>
      <c r="D11474" s="9" t="s">
        <v>18</v>
      </c>
      <c r="E11474" s="10" t="s">
        <v>1677</v>
      </c>
      <c r="F11474" s="9" t="s">
        <v>2515</v>
      </c>
      <c r="G11474" s="10" t="s">
        <v>34</v>
      </c>
      <c r="H11474" s="9" t="s">
        <v>22</v>
      </c>
      <c r="I11474" s="9" t="s">
        <v>23473</v>
      </c>
      <c r="J11474" s="10" t="str">
        <f>HYPERLINK("https://www.boe.es/gazeta/dias/1834/07/26/pdfs/GMD-C-1834-159.pdf#page=1","Abrir facsímil")</f>
        <v>Abrir facsímil</v>
      </c>
      <c r="K11474" s="10" t="s">
        <v>24</v>
      </c>
    </row>
    <row r="11475" spans="1:11" ht="54" customHeight="1">
      <c r="A11475" s="9" t="s">
        <v>23460</v>
      </c>
      <c r="B11475" s="9" t="s">
        <v>23461</v>
      </c>
      <c r="C11475" s="9" t="s">
        <v>17</v>
      </c>
      <c r="D11475" s="9" t="s">
        <v>18</v>
      </c>
      <c r="E11475" s="10" t="s">
        <v>251</v>
      </c>
      <c r="F11475" s="9" t="s">
        <v>252</v>
      </c>
      <c r="G11475" s="10" t="s">
        <v>470</v>
      </c>
      <c r="H11475" s="9" t="s">
        <v>22</v>
      </c>
      <c r="I11475" s="9" t="s">
        <v>23474</v>
      </c>
      <c r="J11475" s="10" t="str">
        <f>HYPERLINK("https://www.boe.es/gazeta/dias/1834/09/26/pdfs/GMD-C-1834-224.pdf#page=8","Abrir facsímil")</f>
        <v>Abrir facsímil</v>
      </c>
      <c r="K11475" s="10" t="s">
        <v>24</v>
      </c>
    </row>
    <row r="11476" spans="1:11" ht="54" customHeight="1">
      <c r="A11476" s="9" t="s">
        <v>23475</v>
      </c>
      <c r="B11476" s="9" t="s">
        <v>23476</v>
      </c>
      <c r="C11476" s="9" t="s">
        <v>17</v>
      </c>
      <c r="D11476" s="9" t="s">
        <v>18</v>
      </c>
      <c r="E11476" s="10" t="s">
        <v>1839</v>
      </c>
      <c r="F11476" s="9" t="s">
        <v>1840</v>
      </c>
      <c r="G11476" s="10" t="s">
        <v>34</v>
      </c>
      <c r="H11476" s="9" t="s">
        <v>35</v>
      </c>
      <c r="I11476" s="9" t="s">
        <v>23477</v>
      </c>
      <c r="J11476" s="10" t="str">
        <f>HYPERLINK("https://www.boe.es/gazeta/dias/1834/08/12/pdfs/GMD-C-1834-177.pdf#page=1","Abrir facsímil")</f>
        <v>Abrir facsímil</v>
      </c>
      <c r="K11476" s="10" t="s">
        <v>37</v>
      </c>
    </row>
    <row r="11477" spans="1:11" ht="54" customHeight="1">
      <c r="A11477" s="9" t="s">
        <v>23475</v>
      </c>
      <c r="B11477" s="9" t="s">
        <v>23476</v>
      </c>
      <c r="C11477" s="9" t="s">
        <v>17</v>
      </c>
      <c r="D11477" s="9" t="s">
        <v>18</v>
      </c>
      <c r="E11477" s="10" t="s">
        <v>2260</v>
      </c>
      <c r="F11477" s="9" t="s">
        <v>2263</v>
      </c>
      <c r="G11477" s="10" t="s">
        <v>34</v>
      </c>
      <c r="H11477" s="9" t="s">
        <v>35</v>
      </c>
      <c r="I11477" s="9" t="s">
        <v>23478</v>
      </c>
      <c r="J11477" s="10" t="str">
        <f>HYPERLINK("https://www.boe.es/gazeta/dias/1834/11/13/pdfs/GMD-C-1834-272.pdf#page=1","Abrir facsímil")</f>
        <v>Abrir facsímil</v>
      </c>
      <c r="K11477" s="10" t="s">
        <v>37</v>
      </c>
    </row>
    <row r="11478" spans="1:11" ht="54" customHeight="1">
      <c r="A11478" s="9" t="s">
        <v>23475</v>
      </c>
      <c r="B11478" s="9" t="s">
        <v>23476</v>
      </c>
      <c r="C11478" s="9" t="s">
        <v>17</v>
      </c>
      <c r="D11478" s="9" t="s">
        <v>18</v>
      </c>
      <c r="E11478" s="10" t="s">
        <v>222</v>
      </c>
      <c r="F11478" s="9" t="s">
        <v>223</v>
      </c>
      <c r="G11478" s="10" t="s">
        <v>21</v>
      </c>
      <c r="H11478" s="9" t="s">
        <v>35</v>
      </c>
      <c r="I11478" s="9" t="s">
        <v>23436</v>
      </c>
      <c r="J11478" s="10" t="str">
        <f>HYPERLINK("https://www.boe.es/gazeta/dias/1834/09/14/pdfs/GMD-1834-212.pdf#page=3","Abrir facsímil")</f>
        <v>Abrir facsímil</v>
      </c>
      <c r="K11478" s="10" t="s">
        <v>37</v>
      </c>
    </row>
    <row r="11479" spans="1:11" ht="54" customHeight="1">
      <c r="A11479" s="9" t="s">
        <v>23475</v>
      </c>
      <c r="B11479" s="9" t="s">
        <v>23476</v>
      </c>
      <c r="C11479" s="9" t="s">
        <v>66</v>
      </c>
      <c r="D11479" s="9" t="s">
        <v>67</v>
      </c>
      <c r="E11479" s="10" t="s">
        <v>2398</v>
      </c>
      <c r="F11479" s="9" t="s">
        <v>2399</v>
      </c>
      <c r="G11479" s="10" t="s">
        <v>86</v>
      </c>
      <c r="H11479" s="9" t="s">
        <v>35</v>
      </c>
      <c r="I11479" s="9" t="s">
        <v>23479</v>
      </c>
      <c r="J11479" s="10" t="str">
        <f>HYPERLINK("https://www.boe.es/gazeta/dias/1834/01/16/pdfs/GMD-1834-8.pdf#page=2","Abrir facsímil")</f>
        <v>Abrir facsímil</v>
      </c>
      <c r="K11479" s="10" t="s">
        <v>37</v>
      </c>
    </row>
    <row r="11480" spans="1:11" ht="54" customHeight="1">
      <c r="A11480" s="9" t="s">
        <v>23475</v>
      </c>
      <c r="B11480" s="9" t="s">
        <v>23476</v>
      </c>
      <c r="C11480" s="9" t="s">
        <v>17</v>
      </c>
      <c r="D11480" s="9" t="s">
        <v>18</v>
      </c>
      <c r="E11480" s="10" t="s">
        <v>133</v>
      </c>
      <c r="F11480" s="9" t="s">
        <v>134</v>
      </c>
      <c r="G11480" s="10" t="s">
        <v>75</v>
      </c>
      <c r="H11480" s="9" t="s">
        <v>35</v>
      </c>
      <c r="I11480" s="9" t="s">
        <v>23480</v>
      </c>
      <c r="J11480" s="10" t="str">
        <f>HYPERLINK("https://www.boe.es/gazeta/dias/1834/06/18/pdfs/GMD-1834-121.pdf#page=4","Abrir facsímil")</f>
        <v>Abrir facsímil</v>
      </c>
      <c r="K11480" s="10" t="s">
        <v>37</v>
      </c>
    </row>
    <row r="11481" spans="1:11" ht="54" customHeight="1">
      <c r="A11481" s="9" t="s">
        <v>23475</v>
      </c>
      <c r="B11481" s="9" t="s">
        <v>23476</v>
      </c>
      <c r="C11481" s="9" t="s">
        <v>17</v>
      </c>
      <c r="D11481" s="9" t="s">
        <v>18</v>
      </c>
      <c r="E11481" s="10" t="s">
        <v>304</v>
      </c>
      <c r="F11481" s="9" t="s">
        <v>305</v>
      </c>
      <c r="G11481" s="10" t="s">
        <v>21</v>
      </c>
      <c r="H11481" s="9" t="s">
        <v>35</v>
      </c>
      <c r="I11481" s="9" t="s">
        <v>23481</v>
      </c>
      <c r="J11481" s="10" t="str">
        <f>HYPERLINK("https://www.boe.es/gazeta/dias/1834/01/21/pdfs/GMD-1834-10.pdf#page=3","Abrir facsímil")</f>
        <v>Abrir facsímil</v>
      </c>
      <c r="K11481" s="10" t="s">
        <v>37</v>
      </c>
    </row>
    <row r="11482" spans="1:11" ht="54" customHeight="1">
      <c r="A11482" s="9" t="s">
        <v>23482</v>
      </c>
      <c r="B11482" s="9" t="s">
        <v>23483</v>
      </c>
      <c r="C11482" s="9" t="s">
        <v>66</v>
      </c>
      <c r="D11482" s="9" t="s">
        <v>67</v>
      </c>
      <c r="E11482" s="10" t="s">
        <v>1340</v>
      </c>
      <c r="F11482" s="9" t="s">
        <v>1341</v>
      </c>
      <c r="G11482" s="10" t="s">
        <v>86</v>
      </c>
      <c r="H11482" s="9" t="s">
        <v>35</v>
      </c>
      <c r="I11482" s="9" t="s">
        <v>23484</v>
      </c>
      <c r="J11482" s="10" t="str">
        <f>HYPERLINK("https://www.boe.es/gazeta/dias/1834/10/05/pdfs/GMD-C-1834-233.pdf#page=2","Abrir facsímil")</f>
        <v>Abrir facsímil</v>
      </c>
      <c r="K11482" s="10" t="s">
        <v>37</v>
      </c>
    </row>
    <row r="11483" spans="1:11" ht="54" customHeight="1">
      <c r="A11483" s="9" t="s">
        <v>23482</v>
      </c>
      <c r="B11483" s="9" t="s">
        <v>23483</v>
      </c>
      <c r="C11483" s="9" t="s">
        <v>46</v>
      </c>
      <c r="D11483" s="9" t="s">
        <v>101</v>
      </c>
      <c r="E11483" s="10" t="s">
        <v>1692</v>
      </c>
      <c r="F11483" s="9" t="s">
        <v>3985</v>
      </c>
      <c r="G11483" s="10" t="s">
        <v>34</v>
      </c>
      <c r="H11483" s="9" t="s">
        <v>35</v>
      </c>
      <c r="I11483" s="9" t="s">
        <v>23485</v>
      </c>
      <c r="J11483" s="10" t="str">
        <f>HYPERLINK("https://www.boe.es/gazeta/dias/1834/07/29/pdfs/GMD-C-1834-162.pdf#page=1","Abrir facsímil")</f>
        <v>Abrir facsímil</v>
      </c>
      <c r="K11483" s="10" t="s">
        <v>37</v>
      </c>
    </row>
    <row r="11484" spans="1:11" ht="54" customHeight="1">
      <c r="A11484" s="9" t="s">
        <v>23486</v>
      </c>
      <c r="B11484" s="9" t="s">
        <v>23487</v>
      </c>
      <c r="C11484" s="9" t="s">
        <v>17</v>
      </c>
      <c r="D11484" s="9" t="s">
        <v>18</v>
      </c>
      <c r="E11484" s="10" t="s">
        <v>237</v>
      </c>
      <c r="F11484" s="9" t="s">
        <v>4609</v>
      </c>
      <c r="G11484" s="10" t="s">
        <v>21</v>
      </c>
      <c r="H11484" s="9" t="s">
        <v>35</v>
      </c>
      <c r="I11484" s="9" t="s">
        <v>23488</v>
      </c>
      <c r="J11484" s="10" t="str">
        <f>HYPERLINK("https://www.boe.es/gazeta/dias/1834/08/15/pdfs/GMD-1834-180.pdf#page=3","Abrir facsímil")</f>
        <v>Abrir facsímil</v>
      </c>
      <c r="K11484" s="10" t="s">
        <v>37</v>
      </c>
    </row>
    <row r="11485" spans="1:11" ht="54" customHeight="1">
      <c r="A11485" s="9" t="s">
        <v>23489</v>
      </c>
      <c r="B11485" s="9" t="s">
        <v>23490</v>
      </c>
      <c r="C11485" s="9" t="s">
        <v>17</v>
      </c>
      <c r="D11485" s="9" t="s">
        <v>18</v>
      </c>
      <c r="E11485" s="10" t="s">
        <v>262</v>
      </c>
      <c r="F11485" s="9" t="s">
        <v>7012</v>
      </c>
      <c r="G11485" s="10" t="s">
        <v>21</v>
      </c>
      <c r="H11485" s="9" t="s">
        <v>35</v>
      </c>
      <c r="I11485" s="9" t="s">
        <v>23491</v>
      </c>
      <c r="J11485" s="10" t="str">
        <f>HYPERLINK("https://www.boe.es/gazeta/dias/1834/10/18/pdfs/GMD-1834-246.pdf#page=3","Abrir facsímil")</f>
        <v>Abrir facsímil</v>
      </c>
      <c r="K11485" s="10" t="s">
        <v>37</v>
      </c>
    </row>
    <row r="11486" spans="1:11" ht="54" customHeight="1">
      <c r="A11486" s="9" t="s">
        <v>23492</v>
      </c>
      <c r="B11486" s="9" t="s">
        <v>23493</v>
      </c>
      <c r="C11486" s="9" t="s">
        <v>66</v>
      </c>
      <c r="D11486" s="9" t="s">
        <v>67</v>
      </c>
      <c r="E11486" s="10" t="s">
        <v>1351</v>
      </c>
      <c r="F11486" s="9" t="s">
        <v>1352</v>
      </c>
      <c r="G11486" s="10" t="s">
        <v>75</v>
      </c>
      <c r="H11486" s="9" t="s">
        <v>35</v>
      </c>
      <c r="I11486" s="9" t="s">
        <v>23494</v>
      </c>
      <c r="J11486" s="10" t="str">
        <f>HYPERLINK("https://www.boe.es/gazeta/dias/1834/07/05/pdfs/GMD-1834-138.pdf#page=4","Abrir facsímil")</f>
        <v>Abrir facsímil</v>
      </c>
      <c r="K11486" s="10" t="s">
        <v>37</v>
      </c>
    </row>
    <row r="11487" spans="1:11" ht="54" customHeight="1">
      <c r="A11487" s="9" t="s">
        <v>23492</v>
      </c>
      <c r="B11487" s="9" t="s">
        <v>23493</v>
      </c>
      <c r="C11487" s="9" t="s">
        <v>90</v>
      </c>
      <c r="D11487" s="9" t="s">
        <v>18</v>
      </c>
      <c r="E11487" s="10" t="s">
        <v>956</v>
      </c>
      <c r="F11487" s="9" t="s">
        <v>957</v>
      </c>
      <c r="G11487" s="10" t="s">
        <v>34</v>
      </c>
      <c r="H11487" s="9" t="s">
        <v>35</v>
      </c>
      <c r="I11487" s="9" t="s">
        <v>23495</v>
      </c>
      <c r="J11487" s="10" t="str">
        <f>HYPERLINK("https://www.boe.es/gazeta/dias/1834/08/10/pdfs/GMD-C-1834-175.pdf#page=1","Abrir facsímil")</f>
        <v>Abrir facsímil</v>
      </c>
      <c r="K11487" s="10" t="s">
        <v>37</v>
      </c>
    </row>
    <row r="11488" spans="1:11" ht="54" customHeight="1">
      <c r="A11488" s="9" t="s">
        <v>23496</v>
      </c>
      <c r="B11488" s="9" t="s">
        <v>23497</v>
      </c>
      <c r="C11488" s="9" t="s">
        <v>66</v>
      </c>
      <c r="D11488" s="9" t="s">
        <v>67</v>
      </c>
      <c r="E11488" s="10" t="s">
        <v>1297</v>
      </c>
      <c r="F11488" s="9" t="s">
        <v>1879</v>
      </c>
      <c r="G11488" s="10" t="s">
        <v>34</v>
      </c>
      <c r="H11488" s="9" t="s">
        <v>35</v>
      </c>
      <c r="I11488" s="9" t="s">
        <v>23498</v>
      </c>
      <c r="J11488" s="10" t="str">
        <f>HYPERLINK("https://www.boe.es/gazeta/dias/1834/08/01/pdfs/GMD-D-1834-165.pdf#page=1","Abrir facsímil")</f>
        <v>Abrir facsímil</v>
      </c>
      <c r="K11488" s="10" t="s">
        <v>37</v>
      </c>
    </row>
    <row r="11489" spans="1:11" ht="54" customHeight="1">
      <c r="A11489" s="9" t="s">
        <v>23499</v>
      </c>
      <c r="B11489" s="9" t="s">
        <v>23500</v>
      </c>
      <c r="C11489" s="9" t="s">
        <v>66</v>
      </c>
      <c r="D11489" s="9" t="s">
        <v>67</v>
      </c>
      <c r="E11489" s="10" t="s">
        <v>833</v>
      </c>
      <c r="F11489" s="9" t="s">
        <v>834</v>
      </c>
      <c r="G11489" s="10" t="s">
        <v>75</v>
      </c>
      <c r="H11489" s="9" t="s">
        <v>22</v>
      </c>
      <c r="I11489" s="9" t="s">
        <v>23501</v>
      </c>
      <c r="J11489" s="10" t="str">
        <f>HYPERLINK("https://www.boe.es/gazeta/dias/1834/04/24/pdfs/GMD-1834-63.pdf#page=4","Abrir facsímil")</f>
        <v>Abrir facsímil</v>
      </c>
      <c r="K11489" s="10" t="s">
        <v>24</v>
      </c>
    </row>
    <row r="11490" spans="1:11" ht="54" customHeight="1">
      <c r="A11490" s="9" t="s">
        <v>23502</v>
      </c>
      <c r="B11490" s="9" t="s">
        <v>23503</v>
      </c>
      <c r="C11490" s="9" t="s">
        <v>46</v>
      </c>
      <c r="D11490" s="9" t="s">
        <v>18</v>
      </c>
      <c r="E11490" s="10" t="s">
        <v>468</v>
      </c>
      <c r="F11490" s="9" t="s">
        <v>11413</v>
      </c>
      <c r="G11490" s="10" t="s">
        <v>21</v>
      </c>
      <c r="H11490" s="9" t="s">
        <v>22</v>
      </c>
      <c r="I11490" s="9" t="s">
        <v>23504</v>
      </c>
      <c r="J11490" s="10" t="str">
        <f>HYPERLINK("https://www.boe.es/gazeta/dias/1834/12/28/pdfs/GMD-1834-318.pdf#page=3","Abrir facsímil")</f>
        <v>Abrir facsímil</v>
      </c>
      <c r="K11490" s="10" t="s">
        <v>24</v>
      </c>
    </row>
    <row r="11491" spans="1:11" ht="54" customHeight="1">
      <c r="A11491" s="9" t="s">
        <v>23505</v>
      </c>
      <c r="B11491" s="9" t="s">
        <v>23506</v>
      </c>
      <c r="C11491" s="9" t="s">
        <v>90</v>
      </c>
      <c r="D11491" s="9" t="s">
        <v>18</v>
      </c>
      <c r="E11491" s="10" t="s">
        <v>3328</v>
      </c>
      <c r="F11491" s="9" t="s">
        <v>3329</v>
      </c>
      <c r="G11491" s="10" t="s">
        <v>75</v>
      </c>
      <c r="H11491" s="9" t="s">
        <v>22</v>
      </c>
      <c r="I11491" s="9" t="s">
        <v>23507</v>
      </c>
      <c r="J11491" s="10" t="str">
        <f>HYPERLINK("https://www.boe.es/gazeta/dias/1834/06/04/pdfs/GMD-1834-106.pdf#page=4","Abrir facsímil")</f>
        <v>Abrir facsímil</v>
      </c>
      <c r="K11491" s="10" t="s">
        <v>24</v>
      </c>
    </row>
    <row r="11492" spans="1:11" ht="54" customHeight="1">
      <c r="A11492" s="9" t="s">
        <v>23508</v>
      </c>
      <c r="B11492" s="9" t="s">
        <v>23509</v>
      </c>
      <c r="C11492" s="9" t="s">
        <v>90</v>
      </c>
      <c r="D11492" s="9" t="s">
        <v>55</v>
      </c>
      <c r="E11492" s="10" t="s">
        <v>1297</v>
      </c>
      <c r="F11492" s="9" t="s">
        <v>1298</v>
      </c>
      <c r="G11492" s="10" t="s">
        <v>34</v>
      </c>
      <c r="H11492" s="9" t="s">
        <v>22</v>
      </c>
      <c r="I11492" s="9" t="s">
        <v>23510</v>
      </c>
      <c r="J11492" s="10" t="str">
        <f>HYPERLINK("https://www.boe.es/gazeta/dias/1834/08/01/pdfs/GMD-1834-165.pdf#page=1","Abrir facsímil")</f>
        <v>Abrir facsímil</v>
      </c>
      <c r="K11492" s="10" t="s">
        <v>24</v>
      </c>
    </row>
    <row r="11493" spans="1:11" ht="54" customHeight="1">
      <c r="A11493" s="9" t="s">
        <v>23508</v>
      </c>
      <c r="B11493" s="9" t="s">
        <v>23509</v>
      </c>
      <c r="C11493" s="9" t="s">
        <v>66</v>
      </c>
      <c r="D11493" s="9" t="s">
        <v>67</v>
      </c>
      <c r="E11493" s="10" t="s">
        <v>1351</v>
      </c>
      <c r="F11493" s="9" t="s">
        <v>1352</v>
      </c>
      <c r="G11493" s="10" t="s">
        <v>75</v>
      </c>
      <c r="H11493" s="9" t="s">
        <v>22</v>
      </c>
      <c r="I11493" s="9" t="s">
        <v>23494</v>
      </c>
      <c r="J11493" s="10" t="str">
        <f>HYPERLINK("https://www.boe.es/gazeta/dias/1834/07/05/pdfs/GMD-1834-138.pdf#page=4","Abrir facsímil")</f>
        <v>Abrir facsímil</v>
      </c>
      <c r="K11493" s="10" t="s">
        <v>24</v>
      </c>
    </row>
    <row r="11494" spans="1:11" ht="54" customHeight="1">
      <c r="A11494" s="9" t="s">
        <v>23508</v>
      </c>
      <c r="B11494" s="9" t="s">
        <v>23509</v>
      </c>
      <c r="C11494" s="9" t="s">
        <v>90</v>
      </c>
      <c r="D11494" s="9" t="s">
        <v>18</v>
      </c>
      <c r="E11494" s="10" t="s">
        <v>956</v>
      </c>
      <c r="F11494" s="9" t="s">
        <v>957</v>
      </c>
      <c r="G11494" s="10" t="s">
        <v>34</v>
      </c>
      <c r="H11494" s="9" t="s">
        <v>22</v>
      </c>
      <c r="I11494" s="9" t="s">
        <v>23511</v>
      </c>
      <c r="J11494" s="10" t="str">
        <f>HYPERLINK("https://www.boe.es/gazeta/dias/1834/08/10/pdfs/GMD-C-1834-175.pdf#page=1","Abrir facsímil")</f>
        <v>Abrir facsímil</v>
      </c>
      <c r="K11494" s="10" t="s">
        <v>24</v>
      </c>
    </row>
    <row r="11495" spans="1:11" ht="54" customHeight="1">
      <c r="A11495" s="9" t="s">
        <v>23508</v>
      </c>
      <c r="B11495" s="9" t="s">
        <v>23509</v>
      </c>
      <c r="C11495" s="9" t="s">
        <v>90</v>
      </c>
      <c r="D11495" s="9" t="s">
        <v>101</v>
      </c>
      <c r="E11495" s="10" t="s">
        <v>606</v>
      </c>
      <c r="F11495" s="9" t="s">
        <v>607</v>
      </c>
      <c r="G11495" s="10" t="s">
        <v>34</v>
      </c>
      <c r="H11495" s="9" t="s">
        <v>22</v>
      </c>
      <c r="I11495" s="9" t="s">
        <v>23512</v>
      </c>
      <c r="J11495" s="10" t="str">
        <f>HYPERLINK("https://www.boe.es/gazeta/dias/1834/06/23/pdfs/GMD-1834-126.pdf#page=1","Abrir facsímil")</f>
        <v>Abrir facsímil</v>
      </c>
      <c r="K11495" s="10" t="s">
        <v>24</v>
      </c>
    </row>
    <row r="11496" spans="1:11" ht="54" customHeight="1">
      <c r="A11496" s="9" t="s">
        <v>23513</v>
      </c>
      <c r="B11496" s="9" t="s">
        <v>23514</v>
      </c>
      <c r="C11496" s="9" t="s">
        <v>90</v>
      </c>
      <c r="D11496" s="9" t="s">
        <v>101</v>
      </c>
      <c r="E11496" s="10" t="s">
        <v>163</v>
      </c>
      <c r="F11496" s="9" t="s">
        <v>164</v>
      </c>
      <c r="G11496" s="10" t="s">
        <v>34</v>
      </c>
      <c r="H11496" s="9" t="s">
        <v>22</v>
      </c>
      <c r="I11496" s="9" t="s">
        <v>23515</v>
      </c>
      <c r="J11496" s="10" t="str">
        <f>HYPERLINK("https://www.boe.es/gazeta/dias/1834/08/09/pdfs/GMD-1834-174.pdf#page=1","Abrir facsímil")</f>
        <v>Abrir facsímil</v>
      </c>
      <c r="K11496" s="10" t="s">
        <v>24</v>
      </c>
    </row>
    <row r="11497" spans="1:11" ht="54" customHeight="1">
      <c r="A11497" s="9" t="s">
        <v>23516</v>
      </c>
      <c r="B11497" s="9" t="s">
        <v>23517</v>
      </c>
      <c r="C11497" s="9" t="s">
        <v>17</v>
      </c>
      <c r="D11497" s="9" t="s">
        <v>101</v>
      </c>
      <c r="E11497" s="10" t="s">
        <v>32</v>
      </c>
      <c r="F11497" s="9" t="s">
        <v>33</v>
      </c>
      <c r="G11497" s="10" t="s">
        <v>86</v>
      </c>
      <c r="H11497" s="9" t="s">
        <v>22</v>
      </c>
      <c r="I11497" s="9" t="s">
        <v>23518</v>
      </c>
      <c r="J11497" s="10" t="str">
        <f>HYPERLINK("https://www.boe.es/gazeta/dias/1834/04/23/pdfs/GMD-1834-62.pdf#page=2","Abrir facsímil")</f>
        <v>Abrir facsímil</v>
      </c>
      <c r="K11497" s="10" t="s">
        <v>24</v>
      </c>
    </row>
    <row r="11498" spans="1:11" ht="54" customHeight="1">
      <c r="A11498" s="9" t="s">
        <v>23519</v>
      </c>
      <c r="B11498" s="9" t="s">
        <v>23519</v>
      </c>
      <c r="C11498" s="9" t="s">
        <v>17</v>
      </c>
      <c r="D11498" s="9" t="s">
        <v>18</v>
      </c>
      <c r="E11498" s="10" t="s">
        <v>3248</v>
      </c>
      <c r="F11498" s="9" t="s">
        <v>3249</v>
      </c>
      <c r="G11498" s="10" t="s">
        <v>21</v>
      </c>
      <c r="H11498" s="9" t="s">
        <v>22</v>
      </c>
      <c r="I11498" s="9" t="s">
        <v>23520</v>
      </c>
      <c r="J11498" s="10" t="str">
        <f>HYPERLINK("https://www.boe.es/gazeta/dias/1834/09/20/pdfs/GMD-1834-218.pdf#page=3","Abrir facsímil")</f>
        <v>Abrir facsímil</v>
      </c>
      <c r="K11498" s="10" t="s">
        <v>24</v>
      </c>
    </row>
    <row r="11499" spans="1:11" ht="54" customHeight="1">
      <c r="A11499" s="9" t="s">
        <v>23521</v>
      </c>
      <c r="B11499" s="9" t="s">
        <v>23522</v>
      </c>
      <c r="C11499" s="9" t="s">
        <v>90</v>
      </c>
      <c r="D11499" s="9" t="s">
        <v>55</v>
      </c>
      <c r="E11499" s="10" t="s">
        <v>571</v>
      </c>
      <c r="F11499" s="9" t="s">
        <v>572</v>
      </c>
      <c r="G11499" s="10" t="s">
        <v>86</v>
      </c>
      <c r="H11499" s="9" t="s">
        <v>35</v>
      </c>
      <c r="I11499" s="9" t="s">
        <v>23523</v>
      </c>
      <c r="J11499" s="10" t="str">
        <f>HYPERLINK("https://www.boe.es/gazeta/dias/1834/09/04/pdfs/GMD-1834-202.pdf#page=2","Abrir facsímil")</f>
        <v>Abrir facsímil</v>
      </c>
      <c r="K11499" s="10" t="s">
        <v>37</v>
      </c>
    </row>
    <row r="11500" spans="1:11" ht="54" customHeight="1">
      <c r="A11500" s="9" t="s">
        <v>23524</v>
      </c>
      <c r="B11500" s="9" t="s">
        <v>23525</v>
      </c>
      <c r="C11500" s="9" t="s">
        <v>90</v>
      </c>
      <c r="D11500" s="9" t="s">
        <v>55</v>
      </c>
      <c r="E11500" s="10" t="s">
        <v>571</v>
      </c>
      <c r="F11500" s="9" t="s">
        <v>572</v>
      </c>
      <c r="G11500" s="10" t="s">
        <v>86</v>
      </c>
      <c r="H11500" s="9" t="s">
        <v>22</v>
      </c>
      <c r="I11500" s="9" t="s">
        <v>23526</v>
      </c>
      <c r="J11500" s="10" t="str">
        <f>HYPERLINK("https://www.boe.es/gazeta/dias/1834/09/04/pdfs/GMD-1834-202.pdf#page=2","Abrir facsímil")</f>
        <v>Abrir facsímil</v>
      </c>
      <c r="K11500" s="10" t="s">
        <v>24</v>
      </c>
    </row>
    <row r="11501" spans="1:11" ht="54" customHeight="1">
      <c r="A11501" s="9" t="s">
        <v>23527</v>
      </c>
      <c r="B11501" s="9" t="s">
        <v>23527</v>
      </c>
      <c r="C11501" s="9" t="s">
        <v>66</v>
      </c>
      <c r="D11501" s="9" t="s">
        <v>67</v>
      </c>
      <c r="E11501" s="10" t="s">
        <v>2526</v>
      </c>
      <c r="F11501" s="9" t="s">
        <v>8236</v>
      </c>
      <c r="G11501" s="10" t="s">
        <v>86</v>
      </c>
      <c r="H11501" s="9" t="s">
        <v>22</v>
      </c>
      <c r="I11501" s="9" t="s">
        <v>23528</v>
      </c>
      <c r="J11501" s="10" t="str">
        <f>HYPERLINK("https://www.boe.es/gazeta/dias/1834/12/29/pdfs/GMD-1834-319.pdf#page=2","Abrir facsímil")</f>
        <v>Abrir facsímil</v>
      </c>
      <c r="K11501" s="10" t="s">
        <v>24</v>
      </c>
    </row>
    <row r="11502" spans="1:11" ht="54" customHeight="1">
      <c r="A11502" s="9" t="s">
        <v>23529</v>
      </c>
      <c r="B11502" s="9" t="s">
        <v>23530</v>
      </c>
      <c r="C11502" s="9" t="s">
        <v>46</v>
      </c>
      <c r="D11502" s="9" t="s">
        <v>101</v>
      </c>
      <c r="E11502" s="10" t="s">
        <v>138</v>
      </c>
      <c r="F11502" s="9" t="s">
        <v>139</v>
      </c>
      <c r="G11502" s="10" t="s">
        <v>34</v>
      </c>
      <c r="H11502" s="9" t="s">
        <v>22</v>
      </c>
      <c r="I11502" s="9" t="s">
        <v>23531</v>
      </c>
      <c r="J11502" s="10" t="str">
        <f>HYPERLINK("https://www.boe.es/gazeta/dias/1834/05/17/pdfs/GMD-1834-86.pdf#page=1","Abrir facsímil")</f>
        <v>Abrir facsímil</v>
      </c>
      <c r="K11502" s="10" t="s">
        <v>24</v>
      </c>
    </row>
    <row r="11503" spans="1:11" ht="54" customHeight="1">
      <c r="A11503" s="9" t="s">
        <v>23532</v>
      </c>
      <c r="B11503" s="9" t="s">
        <v>23533</v>
      </c>
      <c r="C11503" s="9" t="s">
        <v>66</v>
      </c>
      <c r="D11503" s="9" t="s">
        <v>67</v>
      </c>
      <c r="E11503" s="10" t="s">
        <v>1178</v>
      </c>
      <c r="F11503" s="9" t="s">
        <v>1179</v>
      </c>
      <c r="G11503" s="10" t="s">
        <v>86</v>
      </c>
      <c r="H11503" s="9" t="s">
        <v>35</v>
      </c>
      <c r="I11503" s="9" t="s">
        <v>23534</v>
      </c>
      <c r="J11503" s="10" t="str">
        <f>HYPERLINK("https://www.boe.es/gazeta/dias/1834/04/10/pdfs/GMD-C-1834-49.pdf#page=2","Abrir facsímil")</f>
        <v>Abrir facsímil</v>
      </c>
      <c r="K11503" s="10" t="s">
        <v>37</v>
      </c>
    </row>
    <row r="11504" spans="1:11" ht="54" customHeight="1">
      <c r="A11504" s="9" t="s">
        <v>23532</v>
      </c>
      <c r="B11504" s="9" t="s">
        <v>23533</v>
      </c>
      <c r="C11504" s="9" t="s">
        <v>122</v>
      </c>
      <c r="D11504" s="9" t="s">
        <v>18</v>
      </c>
      <c r="E11504" s="10" t="s">
        <v>772</v>
      </c>
      <c r="F11504" s="9" t="s">
        <v>773</v>
      </c>
      <c r="G11504" s="10" t="s">
        <v>21</v>
      </c>
      <c r="H11504" s="9" t="s">
        <v>35</v>
      </c>
      <c r="I11504" s="9" t="s">
        <v>23535</v>
      </c>
      <c r="J11504" s="10" t="str">
        <f>HYPERLINK("https://www.boe.es/gazeta/dias/1834/09/18/pdfs/GMD-1834-216.pdf#page=3","Abrir facsímil")</f>
        <v>Abrir facsímil</v>
      </c>
      <c r="K11504" s="10" t="s">
        <v>37</v>
      </c>
    </row>
    <row r="11505" spans="1:11" ht="54" customHeight="1">
      <c r="A11505" s="9" t="s">
        <v>23536</v>
      </c>
      <c r="B11505" s="9" t="s">
        <v>23537</v>
      </c>
      <c r="C11505" s="9" t="s">
        <v>17</v>
      </c>
      <c r="D11505" s="9" t="s">
        <v>18</v>
      </c>
      <c r="E11505" s="10" t="s">
        <v>163</v>
      </c>
      <c r="F11505" s="9" t="s">
        <v>4896</v>
      </c>
      <c r="G11505" s="10" t="s">
        <v>34</v>
      </c>
      <c r="H11505" s="9" t="s">
        <v>35</v>
      </c>
      <c r="I11505" s="9" t="s">
        <v>23538</v>
      </c>
      <c r="J11505" s="10" t="str">
        <f>HYPERLINK("https://www.boe.es/gazeta/dias/1834/08/09/pdfs/GMD-C-1834-174.pdf#page=1","Abrir facsímil")</f>
        <v>Abrir facsímil</v>
      </c>
      <c r="K11505" s="10" t="s">
        <v>37</v>
      </c>
    </row>
    <row r="11506" spans="1:11" ht="54" customHeight="1">
      <c r="A11506" s="9" t="s">
        <v>23539</v>
      </c>
      <c r="B11506" s="9" t="s">
        <v>23540</v>
      </c>
      <c r="C11506" s="9" t="s">
        <v>17</v>
      </c>
      <c r="D11506" s="9" t="s">
        <v>18</v>
      </c>
      <c r="E11506" s="10" t="s">
        <v>2526</v>
      </c>
      <c r="F11506" s="9" t="s">
        <v>2527</v>
      </c>
      <c r="G11506" s="10" t="s">
        <v>34</v>
      </c>
      <c r="H11506" s="9" t="s">
        <v>35</v>
      </c>
      <c r="I11506" s="9" t="s">
        <v>23541</v>
      </c>
      <c r="J11506" s="10" t="str">
        <f>HYPERLINK("https://www.boe.es/gazeta/dias/1834/12/29/pdfs/GMD-C-1834-319.pdf#page=1","Abrir facsímil")</f>
        <v>Abrir facsímil</v>
      </c>
      <c r="K11506" s="10" t="s">
        <v>37</v>
      </c>
    </row>
    <row r="11507" spans="1:11" ht="54" customHeight="1">
      <c r="A11507" s="9" t="s">
        <v>23542</v>
      </c>
      <c r="B11507" s="9" t="s">
        <v>23543</v>
      </c>
      <c r="C11507" s="9" t="s">
        <v>17</v>
      </c>
      <c r="D11507" s="9" t="s">
        <v>18</v>
      </c>
      <c r="E11507" s="10" t="s">
        <v>416</v>
      </c>
      <c r="F11507" s="9" t="s">
        <v>1130</v>
      </c>
      <c r="G11507" s="10" t="s">
        <v>86</v>
      </c>
      <c r="H11507" s="9" t="s">
        <v>22</v>
      </c>
      <c r="I11507" s="9" t="s">
        <v>23544</v>
      </c>
      <c r="J11507" s="10" t="str">
        <f>HYPERLINK("https://www.boe.es/gazeta/dias/1834/10/02/pdfs/GMD-1834-230.pdf#page=2","Abrir facsímil")</f>
        <v>Abrir facsímil</v>
      </c>
      <c r="K11507" s="10" t="s">
        <v>24</v>
      </c>
    </row>
    <row r="11508" spans="1:11" ht="54" customHeight="1">
      <c r="A11508" s="9" t="s">
        <v>23545</v>
      </c>
      <c r="B11508" s="9" t="s">
        <v>23546</v>
      </c>
      <c r="C11508" s="9" t="s">
        <v>90</v>
      </c>
      <c r="D11508" s="9" t="s">
        <v>101</v>
      </c>
      <c r="E11508" s="10" t="s">
        <v>10172</v>
      </c>
      <c r="F11508" s="9" t="s">
        <v>10173</v>
      </c>
      <c r="G11508" s="10" t="s">
        <v>34</v>
      </c>
      <c r="H11508" s="9" t="s">
        <v>22</v>
      </c>
      <c r="I11508" s="9" t="s">
        <v>23547</v>
      </c>
      <c r="J11508" s="10" t="str">
        <f>HYPERLINK("https://www.boe.es/gazeta/dias/1834/06/15/pdfs/GMD-1834-118.pdf#page=1","Abrir facsímil")</f>
        <v>Abrir facsímil</v>
      </c>
      <c r="K11508" s="10" t="s">
        <v>24</v>
      </c>
    </row>
    <row r="11509" spans="1:11" ht="54" customHeight="1">
      <c r="A11509" s="9" t="s">
        <v>23548</v>
      </c>
      <c r="B11509" s="9" t="s">
        <v>23549</v>
      </c>
      <c r="C11509" s="9" t="s">
        <v>17</v>
      </c>
      <c r="D11509" s="9" t="s">
        <v>18</v>
      </c>
      <c r="E11509" s="10" t="s">
        <v>163</v>
      </c>
      <c r="F11509" s="9" t="s">
        <v>4896</v>
      </c>
      <c r="G11509" s="10" t="s">
        <v>34</v>
      </c>
      <c r="H11509" s="9" t="s">
        <v>22</v>
      </c>
      <c r="I11509" s="9" t="s">
        <v>23550</v>
      </c>
      <c r="J11509" s="10" t="str">
        <f>HYPERLINK("https://www.boe.es/gazeta/dias/1834/08/09/pdfs/GMD-C-1834-174.pdf#page=1","Abrir facsímil")</f>
        <v>Abrir facsímil</v>
      </c>
      <c r="K11509" s="10" t="s">
        <v>24</v>
      </c>
    </row>
    <row r="11510" spans="1:11" ht="54" customHeight="1">
      <c r="A11510" s="9" t="s">
        <v>23551</v>
      </c>
      <c r="B11510" s="9" t="s">
        <v>23552</v>
      </c>
      <c r="C11510" s="9" t="s">
        <v>17</v>
      </c>
      <c r="D11510" s="9" t="s">
        <v>18</v>
      </c>
      <c r="E11510" s="10" t="s">
        <v>2596</v>
      </c>
      <c r="F11510" s="9" t="s">
        <v>2597</v>
      </c>
      <c r="G11510" s="10" t="s">
        <v>21</v>
      </c>
      <c r="H11510" s="9" t="s">
        <v>22</v>
      </c>
      <c r="I11510" s="9" t="s">
        <v>23553</v>
      </c>
      <c r="J11510" s="10" t="str">
        <f>HYPERLINK("https://www.boe.es/gazeta/dias/1834/10/22/pdfs/GMD-1834-250.pdf#page=3","Abrir facsímil")</f>
        <v>Abrir facsímil</v>
      </c>
      <c r="K11510" s="10" t="s">
        <v>24</v>
      </c>
    </row>
    <row r="11511" spans="1:11" ht="54" customHeight="1">
      <c r="A11511" s="9" t="s">
        <v>23554</v>
      </c>
      <c r="B11511" s="9" t="s">
        <v>23555</v>
      </c>
      <c r="C11511" s="9" t="s">
        <v>17</v>
      </c>
      <c r="D11511" s="9" t="s">
        <v>18</v>
      </c>
      <c r="E11511" s="10" t="s">
        <v>2526</v>
      </c>
      <c r="F11511" s="9" t="s">
        <v>2527</v>
      </c>
      <c r="G11511" s="10" t="s">
        <v>34</v>
      </c>
      <c r="H11511" s="9" t="s">
        <v>22</v>
      </c>
      <c r="I11511" s="9" t="s">
        <v>23556</v>
      </c>
      <c r="J11511" s="10" t="str">
        <f>HYPERLINK("https://www.boe.es/gazeta/dias/1834/12/29/pdfs/GMD-C-1834-319.pdf#page=1","Abrir facsímil")</f>
        <v>Abrir facsímil</v>
      </c>
      <c r="K11511" s="10" t="s">
        <v>24</v>
      </c>
    </row>
    <row r="11512" spans="1:11" ht="54" customHeight="1">
      <c r="A11512" s="9" t="s">
        <v>23557</v>
      </c>
      <c r="B11512" s="9" t="s">
        <v>23558</v>
      </c>
      <c r="C11512" s="9" t="s">
        <v>66</v>
      </c>
      <c r="D11512" s="9" t="s">
        <v>101</v>
      </c>
      <c r="E11512" s="10" t="s">
        <v>658</v>
      </c>
      <c r="F11512" s="9" t="s">
        <v>659</v>
      </c>
      <c r="G11512" s="10" t="s">
        <v>34</v>
      </c>
      <c r="H11512" s="9" t="s">
        <v>22</v>
      </c>
      <c r="I11512" s="9" t="s">
        <v>23559</v>
      </c>
      <c r="J11512" s="10" t="str">
        <f>HYPERLINK("https://www.boe.es/gazeta/dias/1834/05/26/pdfs/GMD-1834-95.pdf#page=1","Abrir facsímil")</f>
        <v>Abrir facsímil</v>
      </c>
      <c r="K11512" s="10" t="s">
        <v>24</v>
      </c>
    </row>
    <row r="11513" spans="1:11" ht="54" customHeight="1">
      <c r="A11513" s="9" t="s">
        <v>23560</v>
      </c>
      <c r="B11513" s="9" t="s">
        <v>23561</v>
      </c>
      <c r="C11513" s="9" t="s">
        <v>17</v>
      </c>
      <c r="D11513" s="9" t="s">
        <v>18</v>
      </c>
      <c r="E11513" s="10" t="s">
        <v>309</v>
      </c>
      <c r="F11513" s="9" t="s">
        <v>310</v>
      </c>
      <c r="G11513" s="10" t="s">
        <v>34</v>
      </c>
      <c r="H11513" s="9" t="s">
        <v>22</v>
      </c>
      <c r="I11513" s="9" t="s">
        <v>23562</v>
      </c>
      <c r="J11513" s="10" t="str">
        <f>HYPERLINK("https://www.boe.es/gazeta/dias/1834/05/30/pdfs/GMD-1834-99.pdf#page=1","Abrir facsímil")</f>
        <v>Abrir facsímil</v>
      </c>
      <c r="K11513" s="10" t="s">
        <v>24</v>
      </c>
    </row>
    <row r="11514" spans="1:11" ht="54" customHeight="1">
      <c r="A11514" s="9" t="s">
        <v>23563</v>
      </c>
      <c r="B11514" s="9" t="s">
        <v>23563</v>
      </c>
      <c r="C11514" s="9" t="s">
        <v>17</v>
      </c>
      <c r="D11514" s="9" t="s">
        <v>18</v>
      </c>
      <c r="E11514" s="10" t="s">
        <v>167</v>
      </c>
      <c r="F11514" s="9" t="s">
        <v>1200</v>
      </c>
      <c r="G11514" s="10" t="s">
        <v>21</v>
      </c>
      <c r="H11514" s="9" t="s">
        <v>22</v>
      </c>
      <c r="I11514" s="9" t="s">
        <v>23564</v>
      </c>
      <c r="J11514" s="10" t="str">
        <f>HYPERLINK("https://www.boe.es/gazeta/dias/1834/09/07/pdfs/GMD-C-1834-205.pdf#page=3","Abrir facsímil")</f>
        <v>Abrir facsímil</v>
      </c>
      <c r="K11514" s="10" t="s">
        <v>24</v>
      </c>
    </row>
    <row r="11515" spans="1:11" ht="54" customHeight="1">
      <c r="A11515" s="9" t="s">
        <v>23565</v>
      </c>
      <c r="B11515" s="9" t="s">
        <v>23566</v>
      </c>
      <c r="C11515" s="9" t="s">
        <v>17</v>
      </c>
      <c r="D11515" s="9" t="s">
        <v>18</v>
      </c>
      <c r="E11515" s="10" t="s">
        <v>167</v>
      </c>
      <c r="F11515" s="9" t="s">
        <v>1200</v>
      </c>
      <c r="G11515" s="10" t="s">
        <v>21</v>
      </c>
      <c r="H11515" s="9" t="s">
        <v>22</v>
      </c>
      <c r="I11515" s="9" t="s">
        <v>23567</v>
      </c>
      <c r="J11515" s="10" t="str">
        <f>HYPERLINK("https://www.boe.es/gazeta/dias/1834/09/07/pdfs/GMD-C-1834-205.pdf#page=3","Abrir facsímil")</f>
        <v>Abrir facsímil</v>
      </c>
      <c r="K11515" s="10" t="s">
        <v>24</v>
      </c>
    </row>
    <row r="11516" spans="1:11" ht="54" customHeight="1">
      <c r="A11516" s="9" t="s">
        <v>23568</v>
      </c>
      <c r="B11516" s="9" t="s">
        <v>23568</v>
      </c>
      <c r="C11516" s="9" t="s">
        <v>66</v>
      </c>
      <c r="D11516" s="9" t="s">
        <v>18</v>
      </c>
      <c r="E11516" s="10" t="s">
        <v>1170</v>
      </c>
      <c r="F11516" s="9" t="s">
        <v>1171</v>
      </c>
      <c r="G11516" s="10" t="s">
        <v>28</v>
      </c>
      <c r="H11516" s="9" t="s">
        <v>22</v>
      </c>
      <c r="I11516" s="9" t="s">
        <v>23569</v>
      </c>
      <c r="J11516" s="10" t="str">
        <f>HYPERLINK("https://www.boe.es/gazeta/dias/1834/01/07/pdfs/GMD-1834-4.pdf#page=5","Abrir facsímil")</f>
        <v>Abrir facsímil</v>
      </c>
      <c r="K11516" s="10" t="s">
        <v>24</v>
      </c>
    </row>
    <row r="11517" spans="1:11" ht="54" customHeight="1">
      <c r="A11517" s="9" t="s">
        <v>23570</v>
      </c>
      <c r="B11517" s="9" t="s">
        <v>23571</v>
      </c>
      <c r="C11517" s="9" t="s">
        <v>66</v>
      </c>
      <c r="D11517" s="9" t="s">
        <v>18</v>
      </c>
      <c r="E11517" s="10" t="s">
        <v>1170</v>
      </c>
      <c r="F11517" s="9" t="s">
        <v>1171</v>
      </c>
      <c r="G11517" s="10" t="s">
        <v>28</v>
      </c>
      <c r="H11517" s="9" t="s">
        <v>35</v>
      </c>
      <c r="I11517" s="9" t="s">
        <v>23572</v>
      </c>
      <c r="J11517" s="10" t="str">
        <f>HYPERLINK("https://www.boe.es/gazeta/dias/1834/01/07/pdfs/GMD-1834-4.pdf#page=5","Abrir facsímil")</f>
        <v>Abrir facsímil</v>
      </c>
      <c r="K11517" s="10" t="s">
        <v>37</v>
      </c>
    </row>
    <row r="11518" spans="1:11" ht="54" customHeight="1">
      <c r="A11518" s="9" t="s">
        <v>23573</v>
      </c>
      <c r="B11518" s="9" t="s">
        <v>23573</v>
      </c>
      <c r="C11518" s="9" t="s">
        <v>66</v>
      </c>
      <c r="D11518" s="9" t="s">
        <v>18</v>
      </c>
      <c r="E11518" s="10" t="s">
        <v>222</v>
      </c>
      <c r="F11518" s="9" t="s">
        <v>223</v>
      </c>
      <c r="G11518" s="10" t="s">
        <v>21</v>
      </c>
      <c r="H11518" s="9" t="s">
        <v>22</v>
      </c>
      <c r="I11518" s="9" t="s">
        <v>23574</v>
      </c>
      <c r="J11518" s="10" t="str">
        <f>HYPERLINK("https://www.boe.es/gazeta/dias/1834/09/14/pdfs/GMD-1834-212.pdf#page=3","Abrir facsímil")</f>
        <v>Abrir facsímil</v>
      </c>
      <c r="K11518" s="10" t="s">
        <v>24</v>
      </c>
    </row>
    <row r="11519" spans="1:11" ht="54" customHeight="1">
      <c r="A11519" s="9" t="s">
        <v>23573</v>
      </c>
      <c r="B11519" s="9" t="s">
        <v>23573</v>
      </c>
      <c r="C11519" s="9" t="s">
        <v>66</v>
      </c>
      <c r="D11519" s="9" t="s">
        <v>40</v>
      </c>
      <c r="E11519" s="10" t="s">
        <v>286</v>
      </c>
      <c r="F11519" s="9" t="s">
        <v>1928</v>
      </c>
      <c r="G11519" s="10" t="s">
        <v>86</v>
      </c>
      <c r="H11519" s="9" t="s">
        <v>22</v>
      </c>
      <c r="I11519" s="9" t="s">
        <v>23575</v>
      </c>
      <c r="J11519" s="10" t="str">
        <f>HYPERLINK("https://www.boe.es/gazeta/dias/1834/08/30/pdfs/GMD-1834-197E.pdf#page=2","Abrir facsímil")</f>
        <v>Abrir facsímil</v>
      </c>
      <c r="K11519" s="10" t="s">
        <v>24</v>
      </c>
    </row>
    <row r="11520" spans="1:11" ht="54" customHeight="1">
      <c r="A11520" s="9" t="s">
        <v>23576</v>
      </c>
      <c r="B11520" s="9" t="s">
        <v>23577</v>
      </c>
      <c r="C11520" s="9" t="s">
        <v>17</v>
      </c>
      <c r="D11520" s="9" t="s">
        <v>18</v>
      </c>
      <c r="E11520" s="10" t="s">
        <v>222</v>
      </c>
      <c r="F11520" s="9" t="s">
        <v>223</v>
      </c>
      <c r="G11520" s="10" t="s">
        <v>21</v>
      </c>
      <c r="H11520" s="9" t="s">
        <v>22</v>
      </c>
      <c r="I11520" s="9" t="s">
        <v>23578</v>
      </c>
      <c r="J11520" s="10" t="str">
        <f>HYPERLINK("https://www.boe.es/gazeta/dias/1834/09/14/pdfs/GMD-1834-212.pdf#page=3","Abrir facsímil")</f>
        <v>Abrir facsímil</v>
      </c>
      <c r="K11520" s="10" t="s">
        <v>24</v>
      </c>
    </row>
    <row r="11521" spans="1:11" ht="54" customHeight="1">
      <c r="A11521" s="9" t="s">
        <v>23579</v>
      </c>
      <c r="B11521" s="9" t="s">
        <v>23579</v>
      </c>
      <c r="C11521" s="9" t="s">
        <v>17</v>
      </c>
      <c r="D11521" s="9" t="s">
        <v>18</v>
      </c>
      <c r="E11521" s="10" t="s">
        <v>364</v>
      </c>
      <c r="F11521" s="9" t="s">
        <v>365</v>
      </c>
      <c r="G11521" s="10" t="s">
        <v>86</v>
      </c>
      <c r="H11521" s="9" t="s">
        <v>22</v>
      </c>
      <c r="I11521" s="9" t="s">
        <v>23580</v>
      </c>
      <c r="J11521" s="10" t="str">
        <f>HYPERLINK("https://www.boe.es/gazeta/dias/1834/09/06/pdfs/GMD-D-1834-204.pdf#page=2","Abrir facsímil")</f>
        <v>Abrir facsímil</v>
      </c>
      <c r="K11521" s="10" t="s">
        <v>24</v>
      </c>
    </row>
    <row r="11522" spans="1:11" ht="54" customHeight="1">
      <c r="A11522" s="9" t="s">
        <v>23581</v>
      </c>
      <c r="B11522" s="9" t="s">
        <v>23582</v>
      </c>
      <c r="C11522" s="9" t="s">
        <v>17</v>
      </c>
      <c r="D11522" s="9" t="s">
        <v>18</v>
      </c>
      <c r="E11522" s="10" t="s">
        <v>1141</v>
      </c>
      <c r="F11522" s="9" t="s">
        <v>1142</v>
      </c>
      <c r="G11522" s="10" t="s">
        <v>75</v>
      </c>
      <c r="H11522" s="9" t="s">
        <v>22</v>
      </c>
      <c r="I11522" s="9" t="s">
        <v>23583</v>
      </c>
      <c r="J11522" s="10" t="str">
        <f>HYPERLINK("https://www.boe.es/gazeta/dias/1834/04/30/pdfs/GMD-1834-69.pdf#page=4","Abrir facsímil")</f>
        <v>Abrir facsímil</v>
      </c>
      <c r="K11522" s="10" t="s">
        <v>24</v>
      </c>
    </row>
    <row r="11523" spans="1:11" ht="54" customHeight="1">
      <c r="A11523" s="9" t="s">
        <v>23584</v>
      </c>
      <c r="B11523" s="9" t="s">
        <v>23585</v>
      </c>
      <c r="C11523" s="9" t="s">
        <v>66</v>
      </c>
      <c r="D11523" s="9" t="s">
        <v>67</v>
      </c>
      <c r="E11523" s="10" t="s">
        <v>1234</v>
      </c>
      <c r="F11523" s="9" t="s">
        <v>1455</v>
      </c>
      <c r="G11523" s="10" t="s">
        <v>21</v>
      </c>
      <c r="H11523" s="9" t="s">
        <v>35</v>
      </c>
      <c r="I11523" s="9" t="s">
        <v>23586</v>
      </c>
      <c r="J11523" s="10" t="str">
        <f>HYPERLINK("https://www.boe.es/gazeta/dias/1834/05/15/pdfs/GMD-1834-84.pdf#page=3","Abrir facsímil")</f>
        <v>Abrir facsímil</v>
      </c>
      <c r="K11523" s="10" t="s">
        <v>37</v>
      </c>
    </row>
    <row r="11524" spans="1:11" ht="54" customHeight="1">
      <c r="A11524" s="9" t="s">
        <v>23587</v>
      </c>
      <c r="B11524" s="9" t="s">
        <v>23588</v>
      </c>
      <c r="C11524" s="9" t="s">
        <v>66</v>
      </c>
      <c r="D11524" s="9" t="s">
        <v>67</v>
      </c>
      <c r="E11524" s="10" t="s">
        <v>1234</v>
      </c>
      <c r="F11524" s="9" t="s">
        <v>1455</v>
      </c>
      <c r="G11524" s="10" t="s">
        <v>21</v>
      </c>
      <c r="H11524" s="9" t="s">
        <v>22</v>
      </c>
      <c r="I11524" s="9" t="s">
        <v>23589</v>
      </c>
      <c r="J11524" s="10" t="str">
        <f>HYPERLINK("https://www.boe.es/gazeta/dias/1834/05/15/pdfs/GMD-1834-84.pdf#page=3","Abrir facsímil")</f>
        <v>Abrir facsímil</v>
      </c>
      <c r="K11524" s="10" t="s">
        <v>24</v>
      </c>
    </row>
    <row r="11525" spans="1:11" ht="54" customHeight="1">
      <c r="A11525" s="9" t="s">
        <v>23590</v>
      </c>
      <c r="B11525" s="9" t="s">
        <v>23591</v>
      </c>
      <c r="C11525" s="9" t="s">
        <v>17</v>
      </c>
      <c r="D11525" s="9" t="s">
        <v>18</v>
      </c>
      <c r="E11525" s="10" t="s">
        <v>860</v>
      </c>
      <c r="F11525" s="9" t="s">
        <v>861</v>
      </c>
      <c r="G11525" s="10" t="s">
        <v>176</v>
      </c>
      <c r="H11525" s="9" t="s">
        <v>22</v>
      </c>
      <c r="I11525" s="9" t="s">
        <v>23592</v>
      </c>
      <c r="J11525" s="10" t="str">
        <f>HYPERLINK("https://www.boe.es/gazeta/dias/1834/02/08/pdfs/GMD-1834-18.pdf#page=6","Abrir facsímil")</f>
        <v>Abrir facsímil</v>
      </c>
      <c r="K11525" s="10" t="s">
        <v>24</v>
      </c>
    </row>
    <row r="11526" spans="1:11" ht="54" customHeight="1">
      <c r="A11526" s="9" t="s">
        <v>23593</v>
      </c>
      <c r="B11526" s="9" t="s">
        <v>23593</v>
      </c>
      <c r="C11526" s="9" t="s">
        <v>17</v>
      </c>
      <c r="D11526" s="9" t="s">
        <v>18</v>
      </c>
      <c r="E11526" s="10" t="s">
        <v>653</v>
      </c>
      <c r="F11526" s="9" t="s">
        <v>3369</v>
      </c>
      <c r="G11526" s="10" t="s">
        <v>75</v>
      </c>
      <c r="H11526" s="9" t="s">
        <v>22</v>
      </c>
      <c r="I11526" s="9" t="s">
        <v>23594</v>
      </c>
      <c r="J11526" s="10" t="str">
        <f>HYPERLINK("https://www.boe.es/gazeta/dias/1834/08/06/pdfs/GMD-1834-170.pdf#page=4","Abrir facsímil")</f>
        <v>Abrir facsímil</v>
      </c>
      <c r="K11526" s="10" t="s">
        <v>24</v>
      </c>
    </row>
    <row r="11527" spans="1:11" ht="54" customHeight="1">
      <c r="A11527" s="9" t="s">
        <v>23595</v>
      </c>
      <c r="B11527" s="9" t="s">
        <v>23596</v>
      </c>
      <c r="C11527" s="9" t="s">
        <v>66</v>
      </c>
      <c r="D11527" s="9" t="s">
        <v>18</v>
      </c>
      <c r="E11527" s="10" t="s">
        <v>1170</v>
      </c>
      <c r="F11527" s="9" t="s">
        <v>1171</v>
      </c>
      <c r="G11527" s="10" t="s">
        <v>176</v>
      </c>
      <c r="H11527" s="9" t="s">
        <v>35</v>
      </c>
      <c r="I11527" s="9" t="s">
        <v>23597</v>
      </c>
      <c r="J11527" s="10" t="str">
        <f>HYPERLINK("https://www.boe.es/gazeta/dias/1834/01/07/pdfs/GMD-1834-4.pdf#page=6","Abrir facsímil")</f>
        <v>Abrir facsímil</v>
      </c>
      <c r="K11527" s="10" t="s">
        <v>37</v>
      </c>
    </row>
    <row r="11528" spans="1:11" ht="54" customHeight="1">
      <c r="A11528" s="9" t="s">
        <v>23598</v>
      </c>
      <c r="B11528" s="9" t="s">
        <v>23599</v>
      </c>
      <c r="C11528" s="9" t="s">
        <v>66</v>
      </c>
      <c r="D11528" s="9" t="s">
        <v>18</v>
      </c>
      <c r="E11528" s="10" t="s">
        <v>1170</v>
      </c>
      <c r="F11528" s="9" t="s">
        <v>1171</v>
      </c>
      <c r="G11528" s="10" t="s">
        <v>176</v>
      </c>
      <c r="H11528" s="9" t="s">
        <v>22</v>
      </c>
      <c r="I11528" s="9" t="s">
        <v>23600</v>
      </c>
      <c r="J11528" s="10" t="str">
        <f>HYPERLINK("https://www.boe.es/gazeta/dias/1834/01/07/pdfs/GMD-1834-4.pdf#page=6","Abrir facsímil")</f>
        <v>Abrir facsímil</v>
      </c>
      <c r="K11528" s="10" t="s">
        <v>24</v>
      </c>
    </row>
    <row r="11529" spans="1:11" ht="54" customHeight="1">
      <c r="A11529" s="9" t="s">
        <v>23601</v>
      </c>
      <c r="B11529" s="9" t="s">
        <v>23601</v>
      </c>
      <c r="C11529" s="9" t="s">
        <v>46</v>
      </c>
      <c r="D11529" s="9" t="s">
        <v>101</v>
      </c>
      <c r="E11529" s="10" t="s">
        <v>1262</v>
      </c>
      <c r="F11529" s="9" t="s">
        <v>1263</v>
      </c>
      <c r="G11529" s="10" t="s">
        <v>86</v>
      </c>
      <c r="H11529" s="9" t="s">
        <v>22</v>
      </c>
      <c r="I11529" s="9" t="s">
        <v>23602</v>
      </c>
      <c r="J11529" s="10" t="str">
        <f>HYPERLINK("https://www.boe.es/gazeta/dias/1834/02/01/pdfs/GMD-1834-15.pdf#page=2","Abrir facsímil")</f>
        <v>Abrir facsímil</v>
      </c>
      <c r="K11529" s="10" t="s">
        <v>24</v>
      </c>
    </row>
    <row r="11530" spans="1:11" ht="54" customHeight="1">
      <c r="A11530" s="9" t="s">
        <v>23601</v>
      </c>
      <c r="B11530" s="9" t="s">
        <v>23601</v>
      </c>
      <c r="C11530" s="9" t="s">
        <v>90</v>
      </c>
      <c r="D11530" s="9" t="s">
        <v>55</v>
      </c>
      <c r="E11530" s="10" t="s">
        <v>1084</v>
      </c>
      <c r="F11530" s="9" t="s">
        <v>1085</v>
      </c>
      <c r="G11530" s="10" t="s">
        <v>75</v>
      </c>
      <c r="H11530" s="9" t="s">
        <v>22</v>
      </c>
      <c r="I11530" s="9" t="s">
        <v>23603</v>
      </c>
      <c r="J11530" s="10" t="str">
        <f>HYPERLINK("https://www.boe.es/gazeta/dias/1834/05/01/pdfs/GMD-1834-70.pdf#page=4","Abrir facsímil")</f>
        <v>Abrir facsímil</v>
      </c>
      <c r="K11530" s="10" t="s">
        <v>24</v>
      </c>
    </row>
    <row r="11531" spans="1:11" ht="54" customHeight="1">
      <c r="A11531" s="9" t="s">
        <v>23601</v>
      </c>
      <c r="B11531" s="9" t="s">
        <v>23601</v>
      </c>
      <c r="C11531" s="9" t="s">
        <v>90</v>
      </c>
      <c r="D11531" s="9" t="s">
        <v>18</v>
      </c>
      <c r="E11531" s="10" t="s">
        <v>1297</v>
      </c>
      <c r="F11531" s="9" t="s">
        <v>1879</v>
      </c>
      <c r="G11531" s="10" t="s">
        <v>34</v>
      </c>
      <c r="H11531" s="9" t="s">
        <v>22</v>
      </c>
      <c r="I11531" s="9" t="s">
        <v>23604</v>
      </c>
      <c r="J11531" s="10" t="str">
        <f>HYPERLINK("https://www.boe.es/gazeta/dias/1834/08/01/pdfs/GMD-C-1834-165.pdf#page=1","Abrir facsímil")</f>
        <v>Abrir facsímil</v>
      </c>
      <c r="K11531" s="10" t="s">
        <v>24</v>
      </c>
    </row>
    <row r="11532" spans="1:11" ht="54" customHeight="1">
      <c r="A11532" s="9" t="s">
        <v>23601</v>
      </c>
      <c r="B11532" s="9" t="s">
        <v>23601</v>
      </c>
      <c r="C11532" s="9" t="s">
        <v>122</v>
      </c>
      <c r="D11532" s="9" t="s">
        <v>55</v>
      </c>
      <c r="E11532" s="10" t="s">
        <v>158</v>
      </c>
      <c r="F11532" s="9" t="s">
        <v>159</v>
      </c>
      <c r="G11532" s="10" t="s">
        <v>21</v>
      </c>
      <c r="H11532" s="9" t="s">
        <v>22</v>
      </c>
      <c r="I11532" s="9" t="s">
        <v>23605</v>
      </c>
      <c r="J11532" s="10" t="str">
        <f>HYPERLINK("https://www.boe.es/gazeta/dias/1834/10/01/pdfs/GMD-1834-229.pdf#page=3","Abrir facsímil")</f>
        <v>Abrir facsímil</v>
      </c>
      <c r="K11532" s="10" t="s">
        <v>24</v>
      </c>
    </row>
    <row r="11533" spans="1:11" ht="54" customHeight="1">
      <c r="A11533" s="9" t="s">
        <v>23601</v>
      </c>
      <c r="B11533" s="9" t="s">
        <v>23601</v>
      </c>
      <c r="C11533" s="9" t="s">
        <v>17</v>
      </c>
      <c r="D11533" s="9" t="s">
        <v>101</v>
      </c>
      <c r="E11533" s="10" t="s">
        <v>68</v>
      </c>
      <c r="F11533" s="9" t="s">
        <v>69</v>
      </c>
      <c r="G11533" s="10" t="s">
        <v>34</v>
      </c>
      <c r="H11533" s="9" t="s">
        <v>22</v>
      </c>
      <c r="I11533" s="9" t="s">
        <v>23606</v>
      </c>
      <c r="J11533" s="10" t="str">
        <f>HYPERLINK("https://www.boe.es/gazeta/dias/1834/11/01/pdfs/I01088-01088.pdf#page=1","Abrir facsímil")</f>
        <v>Abrir facsímil</v>
      </c>
      <c r="K11533" s="10" t="s">
        <v>24</v>
      </c>
    </row>
    <row r="11534" spans="1:11" ht="54" customHeight="1">
      <c r="A11534" s="9" t="s">
        <v>23607</v>
      </c>
      <c r="B11534" s="9" t="s">
        <v>23607</v>
      </c>
      <c r="C11534" s="9" t="s">
        <v>17</v>
      </c>
      <c r="D11534" s="9" t="s">
        <v>18</v>
      </c>
      <c r="E11534" s="10" t="s">
        <v>976</v>
      </c>
      <c r="F11534" s="9" t="s">
        <v>977</v>
      </c>
      <c r="G11534" s="10" t="s">
        <v>75</v>
      </c>
      <c r="H11534" s="9" t="s">
        <v>22</v>
      </c>
      <c r="I11534" s="9" t="s">
        <v>23608</v>
      </c>
      <c r="J11534" s="10" t="str">
        <f>HYPERLINK("https://www.boe.es/gazeta/dias/1834/04/02/pdfs/GMD-1834-41.pdf#page=4","Abrir facsímil")</f>
        <v>Abrir facsímil</v>
      </c>
      <c r="K11534" s="10" t="s">
        <v>24</v>
      </c>
    </row>
    <row r="11535" spans="1:11" ht="54" customHeight="1">
      <c r="A11535" s="9" t="s">
        <v>23601</v>
      </c>
      <c r="B11535" s="9" t="s">
        <v>23601</v>
      </c>
      <c r="C11535" s="9" t="s">
        <v>122</v>
      </c>
      <c r="D11535" s="9" t="s">
        <v>55</v>
      </c>
      <c r="E11535" s="10" t="s">
        <v>339</v>
      </c>
      <c r="F11535" s="9" t="s">
        <v>340</v>
      </c>
      <c r="G11535" s="10" t="s">
        <v>75</v>
      </c>
      <c r="H11535" s="9" t="s">
        <v>22</v>
      </c>
      <c r="I11535" s="9" t="s">
        <v>23609</v>
      </c>
      <c r="J11535" s="10" t="str">
        <f>HYPERLINK("https://www.boe.es/gazeta/dias/1834/05/02/pdfs/GMD-1834-71.pdf#page=4","Abrir facsímil")</f>
        <v>Abrir facsímil</v>
      </c>
      <c r="K11535" s="10" t="s">
        <v>24</v>
      </c>
    </row>
    <row r="11536" spans="1:11" ht="54" customHeight="1">
      <c r="A11536" s="9" t="s">
        <v>23601</v>
      </c>
      <c r="B11536" s="9" t="s">
        <v>23601</v>
      </c>
      <c r="C11536" s="9" t="s">
        <v>17</v>
      </c>
      <c r="D11536" s="9" t="s">
        <v>18</v>
      </c>
      <c r="E11536" s="10" t="s">
        <v>2053</v>
      </c>
      <c r="F11536" s="9" t="s">
        <v>2912</v>
      </c>
      <c r="G11536" s="10" t="s">
        <v>34</v>
      </c>
      <c r="H11536" s="9" t="s">
        <v>22</v>
      </c>
      <c r="I11536" s="9" t="s">
        <v>23610</v>
      </c>
      <c r="J11536" s="10" t="str">
        <f>HYPERLINK("https://www.boe.es/gazeta/dias/1834/06/02/pdfs/GMD-1834-104E.pdf#page=1","Abrir facsímil")</f>
        <v>Abrir facsímil</v>
      </c>
      <c r="K11536" s="10" t="s">
        <v>24</v>
      </c>
    </row>
    <row r="11537" spans="1:11" ht="54" customHeight="1">
      <c r="A11537" s="9" t="s">
        <v>23601</v>
      </c>
      <c r="B11537" s="9" t="s">
        <v>23601</v>
      </c>
      <c r="C11537" s="9" t="s">
        <v>66</v>
      </c>
      <c r="D11537" s="9" t="s">
        <v>67</v>
      </c>
      <c r="E11537" s="10" t="s">
        <v>2729</v>
      </c>
      <c r="F11537" s="9" t="s">
        <v>2730</v>
      </c>
      <c r="G11537" s="10" t="s">
        <v>86</v>
      </c>
      <c r="H11537" s="9" t="s">
        <v>22</v>
      </c>
      <c r="I11537" s="9" t="s">
        <v>23611</v>
      </c>
      <c r="J11537" s="10" t="str">
        <f>HYPERLINK("https://www.boe.es/gazeta/dias/1834/07/02/pdfs/GMD-1834-135.pdf#page=2","Abrir facsímil")</f>
        <v>Abrir facsímil</v>
      </c>
      <c r="K11537" s="10" t="s">
        <v>24</v>
      </c>
    </row>
    <row r="11538" spans="1:11" ht="54" customHeight="1">
      <c r="A11538" s="9" t="s">
        <v>23601</v>
      </c>
      <c r="B11538" s="9" t="s">
        <v>23601</v>
      </c>
      <c r="C11538" s="9" t="s">
        <v>90</v>
      </c>
      <c r="D11538" s="9" t="s">
        <v>67</v>
      </c>
      <c r="E11538" s="10" t="s">
        <v>2379</v>
      </c>
      <c r="F11538" s="9" t="s">
        <v>2380</v>
      </c>
      <c r="G11538" s="10" t="s">
        <v>75</v>
      </c>
      <c r="H11538" s="9" t="s">
        <v>22</v>
      </c>
      <c r="I11538" s="9" t="s">
        <v>23612</v>
      </c>
      <c r="J11538" s="10" t="str">
        <f>HYPERLINK("https://www.boe.es/gazeta/dias/1834/04/03/pdfs/GMD-1834-42.pdf#page=4","Abrir facsímil")</f>
        <v>Abrir facsímil</v>
      </c>
      <c r="K11538" s="10" t="s">
        <v>24</v>
      </c>
    </row>
    <row r="11539" spans="1:11" ht="54" customHeight="1">
      <c r="A11539" s="9" t="s">
        <v>23601</v>
      </c>
      <c r="B11539" s="9" t="s">
        <v>23601</v>
      </c>
      <c r="C11539" s="9" t="s">
        <v>17</v>
      </c>
      <c r="D11539" s="9" t="s">
        <v>18</v>
      </c>
      <c r="E11539" s="10" t="s">
        <v>3066</v>
      </c>
      <c r="F11539" s="9" t="s">
        <v>3067</v>
      </c>
      <c r="G11539" s="10" t="s">
        <v>75</v>
      </c>
      <c r="H11539" s="9" t="s">
        <v>22</v>
      </c>
      <c r="I11539" s="9" t="s">
        <v>23613</v>
      </c>
      <c r="J11539" s="10" t="str">
        <f>HYPERLINK("https://www.boe.es/gazeta/dias/1834/08/03/pdfs/GMD-C-1834-167.pdf#page=4","Abrir facsímil")</f>
        <v>Abrir facsímil</v>
      </c>
      <c r="K11539" s="10" t="s">
        <v>24</v>
      </c>
    </row>
    <row r="11540" spans="1:11" ht="54" customHeight="1">
      <c r="A11540" s="9" t="s">
        <v>23601</v>
      </c>
      <c r="B11540" s="9" t="s">
        <v>23601</v>
      </c>
      <c r="C11540" s="9" t="s">
        <v>17</v>
      </c>
      <c r="D11540" s="9" t="s">
        <v>18</v>
      </c>
      <c r="E11540" s="10" t="s">
        <v>690</v>
      </c>
      <c r="F11540" s="9" t="s">
        <v>5765</v>
      </c>
      <c r="G11540" s="10" t="s">
        <v>34</v>
      </c>
      <c r="H11540" s="9" t="s">
        <v>22</v>
      </c>
      <c r="I11540" s="9" t="s">
        <v>23614</v>
      </c>
      <c r="J11540" s="10" t="str">
        <f>HYPERLINK("https://www.boe.es/gazeta/dias/1834/09/03/pdfs/GMD-1834-201.pdf#page=1","Abrir facsímil")</f>
        <v>Abrir facsímil</v>
      </c>
      <c r="K11540" s="10" t="s">
        <v>24</v>
      </c>
    </row>
    <row r="11541" spans="1:11" ht="54" customHeight="1">
      <c r="A11541" s="9" t="s">
        <v>23601</v>
      </c>
      <c r="B11541" s="9" t="s">
        <v>23601</v>
      </c>
      <c r="C11541" s="9" t="s">
        <v>46</v>
      </c>
      <c r="D11541" s="9" t="s">
        <v>55</v>
      </c>
      <c r="E11541" s="10" t="s">
        <v>758</v>
      </c>
      <c r="F11541" s="9" t="s">
        <v>759</v>
      </c>
      <c r="G11541" s="10" t="s">
        <v>86</v>
      </c>
      <c r="H11541" s="9" t="s">
        <v>22</v>
      </c>
      <c r="I11541" s="9" t="s">
        <v>23615</v>
      </c>
      <c r="J11541" s="10" t="str">
        <f>HYPERLINK("https://www.boe.es/gazeta/dias/1834/01/04/pdfs/GMD-1834-3.pdf#page=2","Abrir facsímil")</f>
        <v>Abrir facsímil</v>
      </c>
      <c r="K11541" s="10" t="s">
        <v>24</v>
      </c>
    </row>
    <row r="11542" spans="1:11" ht="54" customHeight="1">
      <c r="A11542" s="9" t="s">
        <v>23601</v>
      </c>
      <c r="B11542" s="9" t="s">
        <v>23601</v>
      </c>
      <c r="C11542" s="9" t="s">
        <v>66</v>
      </c>
      <c r="D11542" s="9" t="s">
        <v>67</v>
      </c>
      <c r="E11542" s="10" t="s">
        <v>2459</v>
      </c>
      <c r="F11542" s="9" t="s">
        <v>2460</v>
      </c>
      <c r="G11542" s="10" t="s">
        <v>86</v>
      </c>
      <c r="H11542" s="9" t="s">
        <v>22</v>
      </c>
      <c r="I11542" s="9" t="s">
        <v>23616</v>
      </c>
      <c r="J11542" s="10" t="str">
        <f>HYPERLINK("https://www.boe.es/gazeta/dias/1834/04/04/pdfs/GMD-1834-43.pdf#page=2","Abrir facsímil")</f>
        <v>Abrir facsímil</v>
      </c>
      <c r="K11542" s="10" t="s">
        <v>24</v>
      </c>
    </row>
    <row r="11543" spans="1:11" ht="54" customHeight="1">
      <c r="A11543" s="9" t="s">
        <v>23601</v>
      </c>
      <c r="B11543" s="9" t="s">
        <v>23601</v>
      </c>
      <c r="C11543" s="9" t="s">
        <v>66</v>
      </c>
      <c r="D11543" s="9" t="s">
        <v>67</v>
      </c>
      <c r="E11543" s="10" t="s">
        <v>3328</v>
      </c>
      <c r="F11543" s="9" t="s">
        <v>3329</v>
      </c>
      <c r="G11543" s="10" t="s">
        <v>21</v>
      </c>
      <c r="H11543" s="9" t="s">
        <v>22</v>
      </c>
      <c r="I11543" s="9" t="s">
        <v>23617</v>
      </c>
      <c r="J11543" s="10" t="str">
        <f>HYPERLINK("https://www.boe.es/gazeta/dias/1834/06/04/pdfs/GMD-1834-106.pdf#page=3","Abrir facsímil")</f>
        <v>Abrir facsímil</v>
      </c>
      <c r="K11543" s="10" t="s">
        <v>24</v>
      </c>
    </row>
    <row r="11544" spans="1:11" ht="54" customHeight="1">
      <c r="A11544" s="9" t="s">
        <v>23601</v>
      </c>
      <c r="B11544" s="9" t="s">
        <v>23601</v>
      </c>
      <c r="C11544" s="9" t="s">
        <v>17</v>
      </c>
      <c r="D11544" s="9" t="s">
        <v>18</v>
      </c>
      <c r="E11544" s="10" t="s">
        <v>1658</v>
      </c>
      <c r="F11544" s="9" t="s">
        <v>1659</v>
      </c>
      <c r="G11544" s="10" t="s">
        <v>34</v>
      </c>
      <c r="H11544" s="9" t="s">
        <v>22</v>
      </c>
      <c r="I11544" s="9" t="s">
        <v>23618</v>
      </c>
      <c r="J11544" s="10" t="str">
        <f>HYPERLINK("https://www.boe.es/gazeta/dias/1834/04/05/pdfs/GMD-1834-44.pdf#page=1","Abrir facsímil")</f>
        <v>Abrir facsímil</v>
      </c>
      <c r="K11544" s="10" t="s">
        <v>24</v>
      </c>
    </row>
    <row r="11545" spans="1:11" ht="54" customHeight="1">
      <c r="A11545" s="9" t="s">
        <v>23601</v>
      </c>
      <c r="B11545" s="9" t="s">
        <v>23601</v>
      </c>
      <c r="C11545" s="9" t="s">
        <v>46</v>
      </c>
      <c r="D11545" s="9" t="s">
        <v>55</v>
      </c>
      <c r="E11545" s="10" t="s">
        <v>3699</v>
      </c>
      <c r="F11545" s="9" t="s">
        <v>3700</v>
      </c>
      <c r="G11545" s="10" t="s">
        <v>86</v>
      </c>
      <c r="H11545" s="9" t="s">
        <v>22</v>
      </c>
      <c r="I11545" s="9" t="s">
        <v>23619</v>
      </c>
      <c r="J11545" s="10" t="str">
        <f>HYPERLINK("https://www.boe.es/gazeta/dias/1834/02/06/pdfs/GMD-1834-17.pdf#page=2","Abrir facsímil")</f>
        <v>Abrir facsímil</v>
      </c>
      <c r="K11545" s="10" t="s">
        <v>24</v>
      </c>
    </row>
    <row r="11546" spans="1:11" ht="54" customHeight="1">
      <c r="A11546" s="9" t="s">
        <v>23601</v>
      </c>
      <c r="B11546" s="9" t="s">
        <v>23601</v>
      </c>
      <c r="C11546" s="9" t="s">
        <v>66</v>
      </c>
      <c r="D11546" s="9" t="s">
        <v>67</v>
      </c>
      <c r="E11546" s="10" t="s">
        <v>1661</v>
      </c>
      <c r="F11546" s="9" t="s">
        <v>1662</v>
      </c>
      <c r="G11546" s="10" t="s">
        <v>75</v>
      </c>
      <c r="H11546" s="9" t="s">
        <v>22</v>
      </c>
      <c r="I11546" s="9" t="s">
        <v>23620</v>
      </c>
      <c r="J11546" s="10" t="str">
        <f>HYPERLINK("https://www.boe.es/gazeta/dias/1834/04/06/pdfs/GMD-1834-45.pdf#page=4","Abrir facsímil")</f>
        <v>Abrir facsímil</v>
      </c>
      <c r="K11546" s="10" t="s">
        <v>24</v>
      </c>
    </row>
    <row r="11547" spans="1:11" ht="54" customHeight="1">
      <c r="A11547" s="9" t="s">
        <v>23601</v>
      </c>
      <c r="B11547" s="9" t="s">
        <v>23601</v>
      </c>
      <c r="C11547" s="9" t="s">
        <v>66</v>
      </c>
      <c r="D11547" s="9" t="s">
        <v>67</v>
      </c>
      <c r="E11547" s="10" t="s">
        <v>1556</v>
      </c>
      <c r="F11547" s="9" t="s">
        <v>1557</v>
      </c>
      <c r="G11547" s="10" t="s">
        <v>86</v>
      </c>
      <c r="H11547" s="9" t="s">
        <v>22</v>
      </c>
      <c r="I11547" s="9" t="s">
        <v>23621</v>
      </c>
      <c r="J11547" s="10" t="str">
        <f>HYPERLINK("https://www.boe.es/gazeta/dias/1834/06/06/pdfs/GMD-1834-108.pdf#page=2","Abrir facsímil")</f>
        <v>Abrir facsímil</v>
      </c>
      <c r="K11547" s="10" t="s">
        <v>24</v>
      </c>
    </row>
    <row r="11548" spans="1:11" ht="54" customHeight="1">
      <c r="A11548" s="9" t="s">
        <v>23601</v>
      </c>
      <c r="B11548" s="9" t="s">
        <v>23601</v>
      </c>
      <c r="C11548" s="9" t="s">
        <v>17</v>
      </c>
      <c r="D11548" s="9" t="s">
        <v>18</v>
      </c>
      <c r="E11548" s="10" t="s">
        <v>167</v>
      </c>
      <c r="F11548" s="9" t="s">
        <v>168</v>
      </c>
      <c r="G11548" s="10" t="s">
        <v>86</v>
      </c>
      <c r="H11548" s="9" t="s">
        <v>22</v>
      </c>
      <c r="I11548" s="9" t="s">
        <v>23622</v>
      </c>
      <c r="J11548" s="10" t="str">
        <f>HYPERLINK("https://www.boe.es/gazeta/dias/1834/09/07/pdfs/GMD-1834-205.pdf#page=2","Abrir facsímil")</f>
        <v>Abrir facsímil</v>
      </c>
      <c r="K11548" s="10" t="s">
        <v>24</v>
      </c>
    </row>
    <row r="11549" spans="1:11" ht="54" customHeight="1">
      <c r="A11549" s="9" t="s">
        <v>23601</v>
      </c>
      <c r="B11549" s="9" t="s">
        <v>23601</v>
      </c>
      <c r="C11549" s="9" t="s">
        <v>17</v>
      </c>
      <c r="D11549" s="9" t="s">
        <v>18</v>
      </c>
      <c r="E11549" s="10" t="s">
        <v>61</v>
      </c>
      <c r="F11549" s="9" t="s">
        <v>62</v>
      </c>
      <c r="G11549" s="10" t="s">
        <v>34</v>
      </c>
      <c r="H11549" s="9" t="s">
        <v>22</v>
      </c>
      <c r="I11549" s="9" t="s">
        <v>23623</v>
      </c>
      <c r="J11549" s="10" t="str">
        <f>HYPERLINK("https://www.boe.es/gazeta/dias/1834/06/08/pdfs/GMD-1834-111E.pdf#page=1","Abrir facsímil")</f>
        <v>Abrir facsímil</v>
      </c>
      <c r="K11549" s="10" t="s">
        <v>24</v>
      </c>
    </row>
    <row r="11550" spans="1:11" ht="54" customHeight="1">
      <c r="A11550" s="9" t="s">
        <v>23601</v>
      </c>
      <c r="B11550" s="9" t="s">
        <v>23601</v>
      </c>
      <c r="C11550" s="9" t="s">
        <v>17</v>
      </c>
      <c r="D11550" s="9" t="s">
        <v>55</v>
      </c>
      <c r="E11550" s="10" t="s">
        <v>793</v>
      </c>
      <c r="F11550" s="9" t="s">
        <v>794</v>
      </c>
      <c r="G11550" s="10" t="s">
        <v>86</v>
      </c>
      <c r="H11550" s="9" t="s">
        <v>22</v>
      </c>
      <c r="I11550" s="9" t="s">
        <v>23624</v>
      </c>
      <c r="J11550" s="10" t="str">
        <f>HYPERLINK("https://www.boe.es/gazeta/dias/1834/10/08/pdfs/GMD-1834-236.pdf#page=2","Abrir facsímil")</f>
        <v>Abrir facsímil</v>
      </c>
      <c r="K11550" s="10" t="s">
        <v>24</v>
      </c>
    </row>
    <row r="11551" spans="1:11" ht="54" customHeight="1">
      <c r="A11551" s="9" t="s">
        <v>23601</v>
      </c>
      <c r="B11551" s="9" t="s">
        <v>23601</v>
      </c>
      <c r="C11551" s="9" t="s">
        <v>17</v>
      </c>
      <c r="D11551" s="9" t="s">
        <v>18</v>
      </c>
      <c r="E11551" s="10" t="s">
        <v>2748</v>
      </c>
      <c r="F11551" s="9" t="s">
        <v>2749</v>
      </c>
      <c r="G11551" s="10" t="s">
        <v>86</v>
      </c>
      <c r="H11551" s="9" t="s">
        <v>22</v>
      </c>
      <c r="I11551" s="9" t="s">
        <v>23625</v>
      </c>
      <c r="J11551" s="10" t="str">
        <f>HYPERLINK("https://www.boe.es/gazeta/dias/1834/01/09/pdfs/GMD-1834-5.pdf#page=2","Abrir facsímil")</f>
        <v>Abrir facsímil</v>
      </c>
      <c r="K11551" s="10" t="s">
        <v>24</v>
      </c>
    </row>
    <row r="11552" spans="1:11" ht="54" customHeight="1">
      <c r="A11552" s="9" t="s">
        <v>23601</v>
      </c>
      <c r="B11552" s="9" t="s">
        <v>23601</v>
      </c>
      <c r="C11552" s="9" t="s">
        <v>66</v>
      </c>
      <c r="D11552" s="9" t="s">
        <v>67</v>
      </c>
      <c r="E11552" s="10" t="s">
        <v>56</v>
      </c>
      <c r="F11552" s="9" t="s">
        <v>57</v>
      </c>
      <c r="G11552" s="10" t="s">
        <v>21</v>
      </c>
      <c r="H11552" s="9" t="s">
        <v>22</v>
      </c>
      <c r="I11552" s="9" t="s">
        <v>23626</v>
      </c>
      <c r="J11552" s="10" t="str">
        <f>HYPERLINK("https://www.boe.es/gazeta/dias/1834/07/09/pdfs/GMD-1834-142.pdf#page=3","Abrir facsímil")</f>
        <v>Abrir facsímil</v>
      </c>
      <c r="K11552" s="10" t="s">
        <v>24</v>
      </c>
    </row>
    <row r="11553" spans="1:11" ht="54" customHeight="1">
      <c r="A11553" s="9" t="s">
        <v>23601</v>
      </c>
      <c r="B11553" s="9" t="s">
        <v>23601</v>
      </c>
      <c r="C11553" s="9" t="s">
        <v>17</v>
      </c>
      <c r="D11553" s="9" t="s">
        <v>18</v>
      </c>
      <c r="E11553" s="10" t="s">
        <v>258</v>
      </c>
      <c r="F11553" s="9" t="s">
        <v>1075</v>
      </c>
      <c r="G11553" s="10" t="s">
        <v>86</v>
      </c>
      <c r="H11553" s="9" t="s">
        <v>22</v>
      </c>
      <c r="I11553" s="9" t="s">
        <v>23627</v>
      </c>
      <c r="J11553" s="10" t="str">
        <f>HYPERLINK("https://www.boe.es/gazeta/dias/1834/10/09/pdfs/GMD-1834-237.pdf#page=2","Abrir facsímil")</f>
        <v>Abrir facsímil</v>
      </c>
      <c r="K11553" s="10" t="s">
        <v>24</v>
      </c>
    </row>
    <row r="11554" spans="1:11" ht="54" customHeight="1">
      <c r="A11554" s="9" t="s">
        <v>23601</v>
      </c>
      <c r="B11554" s="9" t="s">
        <v>23601</v>
      </c>
      <c r="C11554" s="9" t="s">
        <v>17</v>
      </c>
      <c r="D11554" s="9" t="s">
        <v>55</v>
      </c>
      <c r="E11554" s="10" t="s">
        <v>939</v>
      </c>
      <c r="F11554" s="9" t="s">
        <v>940</v>
      </c>
      <c r="G11554" s="10" t="s">
        <v>21</v>
      </c>
      <c r="H11554" s="9" t="s">
        <v>22</v>
      </c>
      <c r="I11554" s="9" t="s">
        <v>23628</v>
      </c>
      <c r="J11554" s="10" t="str">
        <f>HYPERLINK("https://www.boe.es/gazeta/dias/1834/06/10/pdfs/GMD-1834-113.pdf#page=3","Abrir facsímil")</f>
        <v>Abrir facsímil</v>
      </c>
      <c r="K11554" s="10" t="s">
        <v>24</v>
      </c>
    </row>
    <row r="11555" spans="1:11" ht="54" customHeight="1">
      <c r="A11555" s="9" t="s">
        <v>23601</v>
      </c>
      <c r="B11555" s="9" t="s">
        <v>23601</v>
      </c>
      <c r="C11555" s="9" t="s">
        <v>17</v>
      </c>
      <c r="D11555" s="9" t="s">
        <v>101</v>
      </c>
      <c r="E11555" s="10" t="s">
        <v>4565</v>
      </c>
      <c r="F11555" s="9" t="s">
        <v>4566</v>
      </c>
      <c r="G11555" s="10" t="s">
        <v>34</v>
      </c>
      <c r="H11555" s="9" t="s">
        <v>22</v>
      </c>
      <c r="I11555" s="9" t="s">
        <v>23629</v>
      </c>
      <c r="J11555" s="10" t="str">
        <f>HYPERLINK("https://www.boe.es/gazeta/dias/1834/07/10/pdfs/GMD-1834-143.pdf#page=1","Abrir facsímil")</f>
        <v>Abrir facsímil</v>
      </c>
      <c r="K11555" s="10" t="s">
        <v>24</v>
      </c>
    </row>
    <row r="11556" spans="1:11" ht="54" customHeight="1">
      <c r="A11556" s="9" t="s">
        <v>23601</v>
      </c>
      <c r="B11556" s="9" t="s">
        <v>23601</v>
      </c>
      <c r="C11556" s="9" t="s">
        <v>122</v>
      </c>
      <c r="D11556" s="9" t="s">
        <v>18</v>
      </c>
      <c r="E11556" s="10" t="s">
        <v>956</v>
      </c>
      <c r="F11556" s="9" t="s">
        <v>1508</v>
      </c>
      <c r="G11556" s="10" t="s">
        <v>21</v>
      </c>
      <c r="H11556" s="9" t="s">
        <v>22</v>
      </c>
      <c r="I11556" s="9" t="s">
        <v>23630</v>
      </c>
      <c r="J11556" s="10" t="str">
        <f>HYPERLINK("https://www.boe.es/gazeta/dias/1834/08/10/pdfs/GMD-1834-175.pdf#page=3","Abrir facsímil")</f>
        <v>Abrir facsímil</v>
      </c>
      <c r="K11556" s="10" t="s">
        <v>24</v>
      </c>
    </row>
    <row r="11557" spans="1:11" ht="54" customHeight="1">
      <c r="A11557" s="9" t="s">
        <v>23601</v>
      </c>
      <c r="B11557" s="9" t="s">
        <v>23601</v>
      </c>
      <c r="C11557" s="9" t="s">
        <v>66</v>
      </c>
      <c r="D11557" s="9" t="s">
        <v>67</v>
      </c>
      <c r="E11557" s="10" t="s">
        <v>956</v>
      </c>
      <c r="F11557" s="9" t="s">
        <v>957</v>
      </c>
      <c r="G11557" s="10" t="s">
        <v>86</v>
      </c>
      <c r="H11557" s="9" t="s">
        <v>22</v>
      </c>
      <c r="I11557" s="9" t="s">
        <v>23631</v>
      </c>
      <c r="J11557" s="10" t="str">
        <f>HYPERLINK("https://www.boe.es/gazeta/dias/1834/08/10/pdfs/GMD-C-1834-175.pdf#page=2","Abrir facsímil")</f>
        <v>Abrir facsímil</v>
      </c>
      <c r="K11557" s="10" t="s">
        <v>24</v>
      </c>
    </row>
    <row r="11558" spans="1:11" ht="54" customHeight="1">
      <c r="A11558" s="9" t="s">
        <v>23607</v>
      </c>
      <c r="B11558" s="9" t="s">
        <v>23607</v>
      </c>
      <c r="C11558" s="9" t="s">
        <v>17</v>
      </c>
      <c r="D11558" s="9" t="s">
        <v>18</v>
      </c>
      <c r="E11558" s="10" t="s">
        <v>1103</v>
      </c>
      <c r="F11558" s="9" t="s">
        <v>1259</v>
      </c>
      <c r="G11558" s="10" t="s">
        <v>21</v>
      </c>
      <c r="H11558" s="9" t="s">
        <v>22</v>
      </c>
      <c r="I11558" s="9" t="s">
        <v>23632</v>
      </c>
      <c r="J11558" s="10" t="str">
        <f>HYPERLINK("https://www.boe.es/gazeta/dias/1834/10/10/pdfs/GMD-1834-238.pdf#page=3","Abrir facsímil")</f>
        <v>Abrir facsímil</v>
      </c>
      <c r="K11558" s="10" t="s">
        <v>24</v>
      </c>
    </row>
    <row r="11559" spans="1:11" ht="54" customHeight="1">
      <c r="A11559" s="9" t="s">
        <v>23601</v>
      </c>
      <c r="B11559" s="9" t="s">
        <v>23601</v>
      </c>
      <c r="C11559" s="9" t="s">
        <v>17</v>
      </c>
      <c r="D11559" s="9" t="s">
        <v>55</v>
      </c>
      <c r="E11559" s="10" t="s">
        <v>679</v>
      </c>
      <c r="F11559" s="9" t="s">
        <v>680</v>
      </c>
      <c r="G11559" s="10" t="s">
        <v>75</v>
      </c>
      <c r="H11559" s="9" t="s">
        <v>22</v>
      </c>
      <c r="I11559" s="9" t="s">
        <v>23633</v>
      </c>
      <c r="J11559" s="10" t="str">
        <f>HYPERLINK("https://www.boe.es/gazeta/dias/1834/12/10/pdfs/GMD-1834-299.pdf#page=4","Abrir facsímil")</f>
        <v>Abrir facsímil</v>
      </c>
      <c r="K11559" s="10" t="s">
        <v>24</v>
      </c>
    </row>
    <row r="11560" spans="1:11" ht="54" customHeight="1">
      <c r="A11560" s="9" t="s">
        <v>23601</v>
      </c>
      <c r="B11560" s="9" t="s">
        <v>23601</v>
      </c>
      <c r="C11560" s="9" t="s">
        <v>66</v>
      </c>
      <c r="D11560" s="9" t="s">
        <v>67</v>
      </c>
      <c r="E11560" s="10" t="s">
        <v>2241</v>
      </c>
      <c r="F11560" s="9" t="s">
        <v>2242</v>
      </c>
      <c r="G11560" s="10" t="s">
        <v>21</v>
      </c>
      <c r="H11560" s="9" t="s">
        <v>22</v>
      </c>
      <c r="I11560" s="9" t="s">
        <v>23634</v>
      </c>
      <c r="J11560" s="10" t="str">
        <f>HYPERLINK("https://www.boe.es/gazeta/dias/1834/03/11/pdfs/GMD-1834-31.pdf#page=3","Abrir facsímil")</f>
        <v>Abrir facsímil</v>
      </c>
      <c r="K11560" s="10" t="s">
        <v>24</v>
      </c>
    </row>
    <row r="11561" spans="1:11" ht="54" customHeight="1">
      <c r="A11561" s="9" t="s">
        <v>23601</v>
      </c>
      <c r="B11561" s="9" t="s">
        <v>23601</v>
      </c>
      <c r="C11561" s="9" t="s">
        <v>46</v>
      </c>
      <c r="D11561" s="9" t="s">
        <v>55</v>
      </c>
      <c r="E11561" s="10" t="s">
        <v>5435</v>
      </c>
      <c r="F11561" s="9" t="s">
        <v>5436</v>
      </c>
      <c r="G11561" s="10" t="s">
        <v>86</v>
      </c>
      <c r="H11561" s="9" t="s">
        <v>22</v>
      </c>
      <c r="I11561" s="9" t="s">
        <v>23635</v>
      </c>
      <c r="J11561" s="10" t="str">
        <f>HYPERLINK("https://www.boe.es/gazeta/dias/1834/05/11/pdfs/GMD-1834-80.pdf#page=2","Abrir facsímil")</f>
        <v>Abrir facsímil</v>
      </c>
      <c r="K11561" s="10" t="s">
        <v>24</v>
      </c>
    </row>
    <row r="11562" spans="1:11" ht="54" customHeight="1">
      <c r="A11562" s="9" t="s">
        <v>23601</v>
      </c>
      <c r="B11562" s="9" t="s">
        <v>23601</v>
      </c>
      <c r="C11562" s="9" t="s">
        <v>46</v>
      </c>
      <c r="D11562" s="9" t="s">
        <v>55</v>
      </c>
      <c r="E11562" s="10" t="s">
        <v>2098</v>
      </c>
      <c r="F11562" s="9" t="s">
        <v>5817</v>
      </c>
      <c r="G11562" s="10" t="s">
        <v>86</v>
      </c>
      <c r="H11562" s="9" t="s">
        <v>22</v>
      </c>
      <c r="I11562" s="9" t="s">
        <v>23636</v>
      </c>
      <c r="J11562" s="10" t="str">
        <f>HYPERLINK("https://www.boe.es/gazeta/dias/1834/08/11/pdfs/GMD-C-1834-176.pdf#page=2","Abrir facsímil")</f>
        <v>Abrir facsímil</v>
      </c>
      <c r="K11562" s="10" t="s">
        <v>24</v>
      </c>
    </row>
    <row r="11563" spans="1:11" ht="54" customHeight="1">
      <c r="A11563" s="9" t="s">
        <v>23601</v>
      </c>
      <c r="B11563" s="9" t="s">
        <v>23601</v>
      </c>
      <c r="C11563" s="9" t="s">
        <v>17</v>
      </c>
      <c r="D11563" s="9" t="s">
        <v>55</v>
      </c>
      <c r="E11563" s="10" t="s">
        <v>334</v>
      </c>
      <c r="F11563" s="9" t="s">
        <v>567</v>
      </c>
      <c r="G11563" s="10" t="s">
        <v>21</v>
      </c>
      <c r="H11563" s="9" t="s">
        <v>22</v>
      </c>
      <c r="I11563" s="9" t="s">
        <v>23637</v>
      </c>
      <c r="J11563" s="10" t="str">
        <f>HYPERLINK("https://www.boe.es/gazeta/dias/1834/09/11/pdfs/GMD-1834-209.pdf#page=3","Abrir facsímil")</f>
        <v>Abrir facsímil</v>
      </c>
      <c r="K11563" s="10" t="s">
        <v>24</v>
      </c>
    </row>
    <row r="11564" spans="1:11" ht="54" customHeight="1">
      <c r="A11564" s="9" t="s">
        <v>23601</v>
      </c>
      <c r="B11564" s="9" t="s">
        <v>23601</v>
      </c>
      <c r="C11564" s="9" t="s">
        <v>46</v>
      </c>
      <c r="D11564" s="9" t="s">
        <v>55</v>
      </c>
      <c r="E11564" s="10" t="s">
        <v>200</v>
      </c>
      <c r="F11564" s="9" t="s">
        <v>201</v>
      </c>
      <c r="G11564" s="10" t="s">
        <v>21</v>
      </c>
      <c r="H11564" s="9" t="s">
        <v>22</v>
      </c>
      <c r="I11564" s="9" t="s">
        <v>23638</v>
      </c>
      <c r="J11564" s="10" t="str">
        <f>HYPERLINK("https://www.boe.es/gazeta/dias/1834/12/11/pdfs/GMD-1834-300.pdf#page=3","Abrir facsímil")</f>
        <v>Abrir facsímil</v>
      </c>
      <c r="K11564" s="10" t="s">
        <v>24</v>
      </c>
    </row>
    <row r="11565" spans="1:11" ht="54" customHeight="1">
      <c r="A11565" s="9" t="s">
        <v>23601</v>
      </c>
      <c r="B11565" s="9" t="s">
        <v>23601</v>
      </c>
      <c r="C11565" s="9" t="s">
        <v>17</v>
      </c>
      <c r="D11565" s="9" t="s">
        <v>55</v>
      </c>
      <c r="E11565" s="10" t="s">
        <v>200</v>
      </c>
      <c r="F11565" s="9" t="s">
        <v>201</v>
      </c>
      <c r="G11565" s="10" t="s">
        <v>75</v>
      </c>
      <c r="H11565" s="9" t="s">
        <v>22</v>
      </c>
      <c r="I11565" s="9" t="s">
        <v>23639</v>
      </c>
      <c r="J11565" s="10" t="str">
        <f>HYPERLINK("https://www.boe.es/gazeta/dias/1834/12/11/pdfs/GMD-1834-300.pdf#page=4","Abrir facsímil")</f>
        <v>Abrir facsímil</v>
      </c>
      <c r="K11565" s="10" t="s">
        <v>24</v>
      </c>
    </row>
    <row r="11566" spans="1:11" ht="54" customHeight="1">
      <c r="A11566" s="9" t="s">
        <v>23601</v>
      </c>
      <c r="B11566" s="9" t="s">
        <v>23601</v>
      </c>
      <c r="C11566" s="9" t="s">
        <v>17</v>
      </c>
      <c r="D11566" s="9" t="s">
        <v>18</v>
      </c>
      <c r="E11566" s="10" t="s">
        <v>2048</v>
      </c>
      <c r="F11566" s="9" t="s">
        <v>2049</v>
      </c>
      <c r="G11566" s="10" t="s">
        <v>86</v>
      </c>
      <c r="H11566" s="9" t="s">
        <v>22</v>
      </c>
      <c r="I11566" s="9" t="s">
        <v>23640</v>
      </c>
      <c r="J11566" s="10" t="str">
        <f>HYPERLINK("https://www.boe.es/gazeta/dias/1834/05/12/pdfs/GMD-1834-81.pdf#page=2","Abrir facsímil")</f>
        <v>Abrir facsímil</v>
      </c>
      <c r="K11566" s="10" t="s">
        <v>24</v>
      </c>
    </row>
    <row r="11567" spans="1:11" ht="54" customHeight="1">
      <c r="A11567" s="9" t="s">
        <v>23601</v>
      </c>
      <c r="B11567" s="9" t="s">
        <v>23601</v>
      </c>
      <c r="C11567" s="9" t="s">
        <v>66</v>
      </c>
      <c r="D11567" s="9" t="s">
        <v>67</v>
      </c>
      <c r="E11567" s="10" t="s">
        <v>79</v>
      </c>
      <c r="F11567" s="9" t="s">
        <v>80</v>
      </c>
      <c r="G11567" s="10" t="s">
        <v>86</v>
      </c>
      <c r="H11567" s="9" t="s">
        <v>22</v>
      </c>
      <c r="I11567" s="9" t="s">
        <v>23641</v>
      </c>
      <c r="J11567" s="10" t="str">
        <f>HYPERLINK("https://www.boe.es/gazeta/dias/1834/07/12/pdfs/GMD-1834-145.pdf#page=2","Abrir facsímil")</f>
        <v>Abrir facsímil</v>
      </c>
      <c r="K11567" s="10" t="s">
        <v>24</v>
      </c>
    </row>
    <row r="11568" spans="1:11" ht="54" customHeight="1">
      <c r="A11568" s="9" t="s">
        <v>23601</v>
      </c>
      <c r="B11568" s="9" t="s">
        <v>23601</v>
      </c>
      <c r="C11568" s="9" t="s">
        <v>17</v>
      </c>
      <c r="D11568" s="9" t="s">
        <v>18</v>
      </c>
      <c r="E11568" s="10" t="s">
        <v>343</v>
      </c>
      <c r="F11568" s="9" t="s">
        <v>344</v>
      </c>
      <c r="G11568" s="10" t="s">
        <v>75</v>
      </c>
      <c r="H11568" s="9" t="s">
        <v>22</v>
      </c>
      <c r="I11568" s="9" t="s">
        <v>23642</v>
      </c>
      <c r="J11568" s="10" t="str">
        <f>HYPERLINK("https://www.boe.es/gazeta/dias/1834/01/14/pdfs/GMD-1834-7.pdf#page=4","Abrir facsímil")</f>
        <v>Abrir facsímil</v>
      </c>
      <c r="K11568" s="10" t="s">
        <v>24</v>
      </c>
    </row>
    <row r="11569" spans="1:11" ht="54" customHeight="1">
      <c r="A11569" s="9" t="s">
        <v>23601</v>
      </c>
      <c r="B11569" s="9" t="s">
        <v>23601</v>
      </c>
      <c r="C11569" s="9" t="s">
        <v>66</v>
      </c>
      <c r="D11569" s="9" t="s">
        <v>67</v>
      </c>
      <c r="E11569" s="10" t="s">
        <v>1113</v>
      </c>
      <c r="F11569" s="9" t="s">
        <v>1114</v>
      </c>
      <c r="G11569" s="10" t="s">
        <v>75</v>
      </c>
      <c r="H11569" s="9" t="s">
        <v>22</v>
      </c>
      <c r="I11569" s="9" t="s">
        <v>23643</v>
      </c>
      <c r="J11569" s="10" t="str">
        <f>HYPERLINK("https://www.boe.es/gazeta/dias/1834/04/14/pdfs/GMD-1834-53.pdf#page=4","Abrir facsímil")</f>
        <v>Abrir facsímil</v>
      </c>
      <c r="K11569" s="10" t="s">
        <v>24</v>
      </c>
    </row>
    <row r="11570" spans="1:11" ht="54" customHeight="1">
      <c r="A11570" s="9" t="s">
        <v>23601</v>
      </c>
      <c r="B11570" s="9" t="s">
        <v>23601</v>
      </c>
      <c r="C11570" s="9" t="s">
        <v>17</v>
      </c>
      <c r="D11570" s="9" t="s">
        <v>18</v>
      </c>
      <c r="E11570" s="10" t="s">
        <v>1273</v>
      </c>
      <c r="F11570" s="9" t="s">
        <v>1274</v>
      </c>
      <c r="G11570" s="10" t="s">
        <v>21</v>
      </c>
      <c r="H11570" s="9" t="s">
        <v>22</v>
      </c>
      <c r="I11570" s="9" t="s">
        <v>23644</v>
      </c>
      <c r="J11570" s="10" t="str">
        <f>HYPERLINK("https://www.boe.es/gazeta/dias/1834/05/14/pdfs/GMD-1834-83.pdf#page=3","Abrir facsímil")</f>
        <v>Abrir facsímil</v>
      </c>
      <c r="K11570" s="10" t="s">
        <v>24</v>
      </c>
    </row>
    <row r="11571" spans="1:11" ht="54" customHeight="1">
      <c r="A11571" s="9" t="s">
        <v>23601</v>
      </c>
      <c r="B11571" s="9" t="s">
        <v>23601</v>
      </c>
      <c r="C11571" s="9" t="s">
        <v>17</v>
      </c>
      <c r="D11571" s="9" t="s">
        <v>55</v>
      </c>
      <c r="E11571" s="10" t="s">
        <v>2087</v>
      </c>
      <c r="F11571" s="9" t="s">
        <v>2267</v>
      </c>
      <c r="G11571" s="10" t="s">
        <v>1343</v>
      </c>
      <c r="H11571" s="9" t="s">
        <v>22</v>
      </c>
      <c r="I11571" s="9" t="s">
        <v>23645</v>
      </c>
      <c r="J11571" s="10" t="str">
        <f>HYPERLINK("https://www.boe.es/gazeta/dias/1834/12/14/pdfs/GMD-C-1834-303.pdf#page=9","Abrir facsímil")</f>
        <v>Abrir facsímil</v>
      </c>
      <c r="K11571" s="10" t="s">
        <v>24</v>
      </c>
    </row>
    <row r="11572" spans="1:11" ht="54" customHeight="1">
      <c r="A11572" s="9" t="s">
        <v>23601</v>
      </c>
      <c r="B11572" s="9" t="s">
        <v>23601</v>
      </c>
      <c r="C11572" s="9" t="s">
        <v>17</v>
      </c>
      <c r="D11572" s="9" t="s">
        <v>101</v>
      </c>
      <c r="E11572" s="10" t="s">
        <v>928</v>
      </c>
      <c r="F11572" s="9" t="s">
        <v>3338</v>
      </c>
      <c r="G11572" s="10" t="s">
        <v>86</v>
      </c>
      <c r="H11572" s="9" t="s">
        <v>22</v>
      </c>
      <c r="I11572" s="9" t="s">
        <v>23646</v>
      </c>
      <c r="J11572" s="10" t="str">
        <f>HYPERLINK("https://www.boe.es/gazeta/dias/1834/11/15/pdfs/GMD-1834-274.pdf#page=2","Abrir facsímil")</f>
        <v>Abrir facsímil</v>
      </c>
      <c r="K11572" s="10" t="s">
        <v>24</v>
      </c>
    </row>
    <row r="11573" spans="1:11" ht="54" customHeight="1">
      <c r="A11573" s="9" t="s">
        <v>23601</v>
      </c>
      <c r="B11573" s="9" t="s">
        <v>23601</v>
      </c>
      <c r="C11573" s="9" t="s">
        <v>857</v>
      </c>
      <c r="D11573" s="9" t="s">
        <v>18</v>
      </c>
      <c r="E11573" s="10" t="s">
        <v>2398</v>
      </c>
      <c r="F11573" s="9" t="s">
        <v>2399</v>
      </c>
      <c r="G11573" s="10" t="s">
        <v>86</v>
      </c>
      <c r="H11573" s="9" t="s">
        <v>22</v>
      </c>
      <c r="I11573" s="9" t="s">
        <v>23647</v>
      </c>
      <c r="J11573" s="10" t="str">
        <f>HYPERLINK("https://www.boe.es/gazeta/dias/1834/01/16/pdfs/GMD-1834-8.pdf#page=2","Abrir facsímil")</f>
        <v>Abrir facsímil</v>
      </c>
      <c r="K11573" s="10" t="s">
        <v>24</v>
      </c>
    </row>
    <row r="11574" spans="1:11" ht="54" customHeight="1">
      <c r="A11574" s="9" t="s">
        <v>23601</v>
      </c>
      <c r="B11574" s="9" t="s">
        <v>23601</v>
      </c>
      <c r="C11574" s="9" t="s">
        <v>46</v>
      </c>
      <c r="D11574" s="9" t="s">
        <v>55</v>
      </c>
      <c r="E11574" s="10" t="s">
        <v>1116</v>
      </c>
      <c r="F11574" s="9" t="s">
        <v>1117</v>
      </c>
      <c r="G11574" s="10" t="s">
        <v>86</v>
      </c>
      <c r="H11574" s="9" t="s">
        <v>22</v>
      </c>
      <c r="I11574" s="9" t="s">
        <v>23648</v>
      </c>
      <c r="J11574" s="10" t="str">
        <f>HYPERLINK("https://www.boe.es/gazeta/dias/1834/05/16/pdfs/GMD-1834-85.pdf#page=2","Abrir facsímil")</f>
        <v>Abrir facsímil</v>
      </c>
      <c r="K11574" s="10" t="s">
        <v>24</v>
      </c>
    </row>
    <row r="11575" spans="1:11" ht="54" customHeight="1">
      <c r="A11575" s="9" t="s">
        <v>23601</v>
      </c>
      <c r="B11575" s="9" t="s">
        <v>23601</v>
      </c>
      <c r="C11575" s="9" t="s">
        <v>17</v>
      </c>
      <c r="D11575" s="9" t="s">
        <v>55</v>
      </c>
      <c r="E11575" s="10" t="s">
        <v>5574</v>
      </c>
      <c r="F11575" s="9" t="s">
        <v>5575</v>
      </c>
      <c r="G11575" s="10" t="s">
        <v>86</v>
      </c>
      <c r="H11575" s="9" t="s">
        <v>22</v>
      </c>
      <c r="I11575" s="9" t="s">
        <v>23649</v>
      </c>
      <c r="J11575" s="10" t="str">
        <f>HYPERLINK("https://www.boe.es/gazeta/dias/1834/06/16/pdfs/GMD-1834-119.pdf#page=2","Abrir facsímil")</f>
        <v>Abrir facsímil</v>
      </c>
      <c r="K11575" s="10" t="s">
        <v>24</v>
      </c>
    </row>
    <row r="11576" spans="1:11" ht="54" customHeight="1">
      <c r="A11576" s="9" t="s">
        <v>23601</v>
      </c>
      <c r="B11576" s="9" t="s">
        <v>23601</v>
      </c>
      <c r="C11576" s="9" t="s">
        <v>66</v>
      </c>
      <c r="D11576" s="9" t="s">
        <v>67</v>
      </c>
      <c r="E11576" s="10" t="s">
        <v>601</v>
      </c>
      <c r="F11576" s="9" t="s">
        <v>602</v>
      </c>
      <c r="G11576" s="10" t="s">
        <v>34</v>
      </c>
      <c r="H11576" s="9" t="s">
        <v>22</v>
      </c>
      <c r="I11576" s="9" t="s">
        <v>23650</v>
      </c>
      <c r="J11576" s="10" t="str">
        <f>HYPERLINK("https://www.boe.es/gazeta/dias/1834/08/16/pdfs/GMD-1834-181.pdf#page=1","Abrir facsímil")</f>
        <v>Abrir facsímil</v>
      </c>
      <c r="K11576" s="10" t="s">
        <v>24</v>
      </c>
    </row>
    <row r="11577" spans="1:11" ht="54" customHeight="1">
      <c r="A11577" s="9" t="s">
        <v>23601</v>
      </c>
      <c r="B11577" s="9" t="s">
        <v>23601</v>
      </c>
      <c r="C11577" s="9" t="s">
        <v>17</v>
      </c>
      <c r="D11577" s="9" t="s">
        <v>55</v>
      </c>
      <c r="E11577" s="10" t="s">
        <v>454</v>
      </c>
      <c r="F11577" s="9" t="s">
        <v>2009</v>
      </c>
      <c r="G11577" s="10" t="s">
        <v>86</v>
      </c>
      <c r="H11577" s="9" t="s">
        <v>22</v>
      </c>
      <c r="I11577" s="9" t="s">
        <v>23651</v>
      </c>
      <c r="J11577" s="10" t="str">
        <f>HYPERLINK("https://www.boe.es/gazeta/dias/1834/10/16/pdfs/GMD-1834-244.pdf#page=2","Abrir facsímil")</f>
        <v>Abrir facsímil</v>
      </c>
      <c r="K11577" s="10" t="s">
        <v>24</v>
      </c>
    </row>
    <row r="11578" spans="1:11" ht="54" customHeight="1">
      <c r="A11578" s="9" t="s">
        <v>23601</v>
      </c>
      <c r="B11578" s="9" t="s">
        <v>23601</v>
      </c>
      <c r="C11578" s="9" t="s">
        <v>17</v>
      </c>
      <c r="D11578" s="9" t="s">
        <v>18</v>
      </c>
      <c r="E11578" s="10" t="s">
        <v>233</v>
      </c>
      <c r="F11578" s="9" t="s">
        <v>1810</v>
      </c>
      <c r="G11578" s="10" t="s">
        <v>1099</v>
      </c>
      <c r="H11578" s="9" t="s">
        <v>22</v>
      </c>
      <c r="I11578" s="9" t="s">
        <v>23652</v>
      </c>
      <c r="J11578" s="10" t="str">
        <f>HYPERLINK("https://www.boe.es/gazeta/dias/1834/12/16/pdfs/GMD-C-1834-305.pdf#page=11","Abrir facsímil")</f>
        <v>Abrir facsímil</v>
      </c>
      <c r="K11578" s="10" t="s">
        <v>24</v>
      </c>
    </row>
    <row r="11579" spans="1:11" ht="54" customHeight="1">
      <c r="A11579" s="9" t="s">
        <v>23601</v>
      </c>
      <c r="B11579" s="9" t="s">
        <v>23601</v>
      </c>
      <c r="C11579" s="9" t="s">
        <v>66</v>
      </c>
      <c r="D11579" s="9" t="s">
        <v>67</v>
      </c>
      <c r="E11579" s="10" t="s">
        <v>138</v>
      </c>
      <c r="F11579" s="9" t="s">
        <v>139</v>
      </c>
      <c r="G11579" s="10" t="s">
        <v>86</v>
      </c>
      <c r="H11579" s="9" t="s">
        <v>22</v>
      </c>
      <c r="I11579" s="9" t="s">
        <v>23653</v>
      </c>
      <c r="J11579" s="10" t="str">
        <f>HYPERLINK("https://www.boe.es/gazeta/dias/1834/05/17/pdfs/GMD-1834-86.pdf#page=2","Abrir facsímil")</f>
        <v>Abrir facsímil</v>
      </c>
      <c r="K11579" s="10" t="s">
        <v>24</v>
      </c>
    </row>
    <row r="11580" spans="1:11" ht="54" customHeight="1">
      <c r="A11580" s="9" t="s">
        <v>23601</v>
      </c>
      <c r="B11580" s="9" t="s">
        <v>23601</v>
      </c>
      <c r="C11580" s="9" t="s">
        <v>122</v>
      </c>
      <c r="D11580" s="9" t="s">
        <v>101</v>
      </c>
      <c r="E11580" s="10" t="s">
        <v>1119</v>
      </c>
      <c r="F11580" s="9" t="s">
        <v>1120</v>
      </c>
      <c r="G11580" s="10" t="s">
        <v>34</v>
      </c>
      <c r="H11580" s="9" t="s">
        <v>22</v>
      </c>
      <c r="I11580" s="9" t="s">
        <v>23654</v>
      </c>
      <c r="J11580" s="10" t="str">
        <f>HYPERLINK("https://www.boe.es/gazeta/dias/1834/07/17/pdfs/GMD-1834-150.pdf#page=1","Abrir facsímil")</f>
        <v>Abrir facsímil</v>
      </c>
      <c r="K11580" s="10" t="s">
        <v>24</v>
      </c>
    </row>
    <row r="11581" spans="1:11" ht="54" customHeight="1">
      <c r="A11581" s="9" t="s">
        <v>23601</v>
      </c>
      <c r="B11581" s="9" t="s">
        <v>23601</v>
      </c>
      <c r="C11581" s="9" t="s">
        <v>17</v>
      </c>
      <c r="D11581" s="9" t="s">
        <v>55</v>
      </c>
      <c r="E11581" s="10" t="s">
        <v>866</v>
      </c>
      <c r="F11581" s="9" t="s">
        <v>867</v>
      </c>
      <c r="G11581" s="10" t="s">
        <v>21</v>
      </c>
      <c r="H11581" s="9" t="s">
        <v>22</v>
      </c>
      <c r="I11581" s="9" t="s">
        <v>23655</v>
      </c>
      <c r="J11581" s="10" t="str">
        <f>HYPERLINK("https://www.boe.es/gazeta/dias/1834/01/18/pdfs/GMD-1834-9.pdf#page=3","Abrir facsímil")</f>
        <v>Abrir facsímil</v>
      </c>
      <c r="K11581" s="10" t="s">
        <v>24</v>
      </c>
    </row>
    <row r="11582" spans="1:11" ht="54" customHeight="1">
      <c r="A11582" s="9" t="s">
        <v>23601</v>
      </c>
      <c r="B11582" s="9" t="s">
        <v>23601</v>
      </c>
      <c r="C11582" s="9" t="s">
        <v>46</v>
      </c>
      <c r="D11582" s="9" t="s">
        <v>55</v>
      </c>
      <c r="E11582" s="10" t="s">
        <v>1517</v>
      </c>
      <c r="F11582" s="9" t="s">
        <v>1518</v>
      </c>
      <c r="G11582" s="10" t="s">
        <v>21</v>
      </c>
      <c r="H11582" s="9" t="s">
        <v>22</v>
      </c>
      <c r="I11582" s="9" t="s">
        <v>23656</v>
      </c>
      <c r="J11582" s="10" t="str">
        <f>HYPERLINK("https://www.boe.es/gazeta/dias/1834/05/18/pdfs/GMD-1834-87.pdf#page=3","Abrir facsímil")</f>
        <v>Abrir facsímil</v>
      </c>
      <c r="K11582" s="10" t="s">
        <v>24</v>
      </c>
    </row>
    <row r="11583" spans="1:11" ht="54" customHeight="1">
      <c r="A11583" s="9" t="s">
        <v>23601</v>
      </c>
      <c r="B11583" s="9" t="s">
        <v>23601</v>
      </c>
      <c r="C11583" s="9" t="s">
        <v>17</v>
      </c>
      <c r="D11583" s="9" t="s">
        <v>55</v>
      </c>
      <c r="E11583" s="10" t="s">
        <v>1669</v>
      </c>
      <c r="F11583" s="9" t="s">
        <v>1670</v>
      </c>
      <c r="G11583" s="10" t="s">
        <v>86</v>
      </c>
      <c r="H11583" s="9" t="s">
        <v>22</v>
      </c>
      <c r="I11583" s="9" t="s">
        <v>23657</v>
      </c>
      <c r="J11583" s="10" t="str">
        <f>HYPERLINK("https://www.boe.es/gazeta/dias/1834/06/19/pdfs/GMD-1834-122.pdf#page=2","Abrir facsímil")</f>
        <v>Abrir facsímil</v>
      </c>
      <c r="K11583" s="10" t="s">
        <v>24</v>
      </c>
    </row>
    <row r="11584" spans="1:11" ht="54" customHeight="1">
      <c r="A11584" s="9" t="s">
        <v>23601</v>
      </c>
      <c r="B11584" s="9" t="s">
        <v>23601</v>
      </c>
      <c r="C11584" s="9" t="s">
        <v>66</v>
      </c>
      <c r="D11584" s="9" t="s">
        <v>67</v>
      </c>
      <c r="E11584" s="10" t="s">
        <v>753</v>
      </c>
      <c r="F11584" s="9" t="s">
        <v>754</v>
      </c>
      <c r="G11584" s="10" t="s">
        <v>21</v>
      </c>
      <c r="H11584" s="9" t="s">
        <v>22</v>
      </c>
      <c r="I11584" s="9" t="s">
        <v>23658</v>
      </c>
      <c r="J11584" s="10" t="str">
        <f>HYPERLINK("https://www.boe.es/gazeta/dias/1834/04/21/pdfs/GMD-1834-60.pdf#page=3","Abrir facsímil")</f>
        <v>Abrir facsímil</v>
      </c>
      <c r="K11584" s="10" t="s">
        <v>24</v>
      </c>
    </row>
    <row r="11585" spans="1:11" ht="54" customHeight="1">
      <c r="A11585" s="9" t="s">
        <v>23601</v>
      </c>
      <c r="B11585" s="9" t="s">
        <v>23601</v>
      </c>
      <c r="C11585" s="9" t="s">
        <v>17</v>
      </c>
      <c r="D11585" s="9" t="s">
        <v>18</v>
      </c>
      <c r="E11585" s="10" t="s">
        <v>610</v>
      </c>
      <c r="F11585" s="9" t="s">
        <v>1374</v>
      </c>
      <c r="G11585" s="10" t="s">
        <v>21</v>
      </c>
      <c r="H11585" s="9" t="s">
        <v>22</v>
      </c>
      <c r="I11585" s="9" t="s">
        <v>23659</v>
      </c>
      <c r="J11585" s="10" t="str">
        <f>HYPERLINK("https://www.boe.es/gazeta/dias/1834/12/21/pdfs/GMD-1834-311.pdf#page=3","Abrir facsímil")</f>
        <v>Abrir facsímil</v>
      </c>
      <c r="K11585" s="10" t="s">
        <v>24</v>
      </c>
    </row>
    <row r="11586" spans="1:11" ht="54" customHeight="1">
      <c r="A11586" s="9" t="s">
        <v>23601</v>
      </c>
      <c r="B11586" s="9" t="s">
        <v>23601</v>
      </c>
      <c r="C11586" s="9" t="s">
        <v>66</v>
      </c>
      <c r="D11586" s="9" t="s">
        <v>67</v>
      </c>
      <c r="E11586" s="10" t="s">
        <v>3952</v>
      </c>
      <c r="F11586" s="9" t="s">
        <v>3953</v>
      </c>
      <c r="G11586" s="10" t="s">
        <v>21</v>
      </c>
      <c r="H11586" s="9" t="s">
        <v>22</v>
      </c>
      <c r="I11586" s="9" t="s">
        <v>23660</v>
      </c>
      <c r="J11586" s="10" t="str">
        <f>HYPERLINK("https://www.boe.es/gazeta/dias/1834/02/22/pdfs/GMD-1834-24.pdf#page=3","Abrir facsímil")</f>
        <v>Abrir facsímil</v>
      </c>
      <c r="K11586" s="10" t="s">
        <v>24</v>
      </c>
    </row>
    <row r="11587" spans="1:11" ht="54" customHeight="1">
      <c r="A11587" s="9" t="s">
        <v>23601</v>
      </c>
      <c r="B11587" s="9" t="s">
        <v>23601</v>
      </c>
      <c r="C11587" s="9" t="s">
        <v>90</v>
      </c>
      <c r="D11587" s="9" t="s">
        <v>101</v>
      </c>
      <c r="E11587" s="10" t="s">
        <v>3952</v>
      </c>
      <c r="F11587" s="9" t="s">
        <v>3953</v>
      </c>
      <c r="G11587" s="10" t="s">
        <v>75</v>
      </c>
      <c r="H11587" s="9" t="s">
        <v>22</v>
      </c>
      <c r="I11587" s="9" t="s">
        <v>23661</v>
      </c>
      <c r="J11587" s="10" t="str">
        <f>HYPERLINK("https://www.boe.es/gazeta/dias/1834/02/22/pdfs/GMD-1834-24.pdf#page=4","Abrir facsímil")</f>
        <v>Abrir facsímil</v>
      </c>
      <c r="K11587" s="10" t="s">
        <v>24</v>
      </c>
    </row>
    <row r="11588" spans="1:11" ht="54" customHeight="1">
      <c r="A11588" s="9" t="s">
        <v>23601</v>
      </c>
      <c r="B11588" s="9" t="s">
        <v>23601</v>
      </c>
      <c r="C11588" s="9" t="s">
        <v>66</v>
      </c>
      <c r="D11588" s="9" t="s">
        <v>67</v>
      </c>
      <c r="E11588" s="10" t="s">
        <v>1918</v>
      </c>
      <c r="F11588" s="9" t="s">
        <v>1919</v>
      </c>
      <c r="G11588" s="10" t="s">
        <v>21</v>
      </c>
      <c r="H11588" s="9" t="s">
        <v>22</v>
      </c>
      <c r="I11588" s="9" t="s">
        <v>23662</v>
      </c>
      <c r="J11588" s="10" t="str">
        <f>HYPERLINK("https://www.boe.es/gazeta/dias/1834/03/22/pdfs/GMD-1834-36.pdf#page=3","Abrir facsímil")</f>
        <v>Abrir facsímil</v>
      </c>
      <c r="K11588" s="10" t="s">
        <v>24</v>
      </c>
    </row>
    <row r="11589" spans="1:11" ht="54" customHeight="1">
      <c r="A11589" s="9" t="s">
        <v>23601</v>
      </c>
      <c r="B11589" s="9" t="s">
        <v>23601</v>
      </c>
      <c r="C11589" s="9" t="s">
        <v>90</v>
      </c>
      <c r="D11589" s="9" t="s">
        <v>67</v>
      </c>
      <c r="E11589" s="10" t="s">
        <v>32</v>
      </c>
      <c r="F11589" s="9" t="s">
        <v>7431</v>
      </c>
      <c r="G11589" s="10" t="s">
        <v>86</v>
      </c>
      <c r="H11589" s="9" t="s">
        <v>22</v>
      </c>
      <c r="I11589" s="9" t="s">
        <v>23663</v>
      </c>
      <c r="J11589" s="10" t="str">
        <f>HYPERLINK("https://www.boe.es/gazeta/dias/1834/04/23/pdfs/GMD-C-1834-62.pdf#page=2","Abrir facsímil")</f>
        <v>Abrir facsímil</v>
      </c>
      <c r="K11589" s="10" t="s">
        <v>24</v>
      </c>
    </row>
    <row r="11590" spans="1:11" ht="54" customHeight="1">
      <c r="A11590" s="9" t="s">
        <v>23601</v>
      </c>
      <c r="B11590" s="9" t="s">
        <v>23601</v>
      </c>
      <c r="C11590" s="9" t="s">
        <v>46</v>
      </c>
      <c r="D11590" s="9" t="s">
        <v>101</v>
      </c>
      <c r="E11590" s="10" t="s">
        <v>394</v>
      </c>
      <c r="F11590" s="9" t="s">
        <v>395</v>
      </c>
      <c r="G11590" s="10" t="s">
        <v>21</v>
      </c>
      <c r="H11590" s="9" t="s">
        <v>22</v>
      </c>
      <c r="I11590" s="9" t="s">
        <v>23664</v>
      </c>
      <c r="J11590" s="10" t="str">
        <f>HYPERLINK("https://www.boe.es/gazeta/dias/1834/12/23/pdfs/GMD-1834-313.pdf#page=3","Abrir facsímil")</f>
        <v>Abrir facsímil</v>
      </c>
      <c r="K11590" s="10" t="s">
        <v>24</v>
      </c>
    </row>
    <row r="11591" spans="1:11" ht="54" customHeight="1">
      <c r="A11591" s="9" t="s">
        <v>23601</v>
      </c>
      <c r="B11591" s="9" t="s">
        <v>23601</v>
      </c>
      <c r="C11591" s="9" t="s">
        <v>17</v>
      </c>
      <c r="D11591" s="9" t="s">
        <v>55</v>
      </c>
      <c r="E11591" s="10" t="s">
        <v>128</v>
      </c>
      <c r="F11591" s="9" t="s">
        <v>1068</v>
      </c>
      <c r="G11591" s="10" t="s">
        <v>21</v>
      </c>
      <c r="H11591" s="9" t="s">
        <v>22</v>
      </c>
      <c r="I11591" s="9" t="s">
        <v>23665</v>
      </c>
      <c r="J11591" s="10" t="str">
        <f>HYPERLINK("https://www.boe.es/gazeta/dias/1834/12/24/pdfs/GMD-1834-314.pdf#page=3","Abrir facsímil")</f>
        <v>Abrir facsímil</v>
      </c>
      <c r="K11591" s="10" t="s">
        <v>24</v>
      </c>
    </row>
    <row r="11592" spans="1:11" ht="54" customHeight="1">
      <c r="A11592" s="9" t="s">
        <v>23601</v>
      </c>
      <c r="B11592" s="9" t="s">
        <v>23601</v>
      </c>
      <c r="C11592" s="9" t="s">
        <v>66</v>
      </c>
      <c r="D11592" s="9" t="s">
        <v>67</v>
      </c>
      <c r="E11592" s="10" t="s">
        <v>3025</v>
      </c>
      <c r="F11592" s="9" t="s">
        <v>3026</v>
      </c>
      <c r="G11592" s="10" t="s">
        <v>75</v>
      </c>
      <c r="H11592" s="9" t="s">
        <v>22</v>
      </c>
      <c r="I11592" s="9" t="s">
        <v>23666</v>
      </c>
      <c r="J11592" s="10" t="str">
        <f>HYPERLINK("https://www.boe.es/gazeta/dias/1834/05/25/pdfs/GMD-1834-94.pdf#page=4","Abrir facsímil")</f>
        <v>Abrir facsímil</v>
      </c>
      <c r="K11592" s="10" t="s">
        <v>24</v>
      </c>
    </row>
    <row r="11593" spans="1:11" ht="54" customHeight="1">
      <c r="A11593" s="9" t="s">
        <v>23601</v>
      </c>
      <c r="B11593" s="9" t="s">
        <v>23601</v>
      </c>
      <c r="C11593" s="9" t="s">
        <v>17</v>
      </c>
      <c r="D11593" s="9" t="s">
        <v>18</v>
      </c>
      <c r="E11593" s="10" t="s">
        <v>1674</v>
      </c>
      <c r="F11593" s="9" t="s">
        <v>3233</v>
      </c>
      <c r="G11593" s="10" t="s">
        <v>34</v>
      </c>
      <c r="H11593" s="9" t="s">
        <v>22</v>
      </c>
      <c r="I11593" s="9" t="s">
        <v>23667</v>
      </c>
      <c r="J11593" s="10" t="str">
        <f>HYPERLINK("https://www.boe.es/gazeta/dias/1834/07/25/pdfs/GMD-C-1834-158.pdf#page=1","Abrir facsímil")</f>
        <v>Abrir facsímil</v>
      </c>
      <c r="K11593" s="10" t="s">
        <v>24</v>
      </c>
    </row>
    <row r="11594" spans="1:11" ht="54" customHeight="1">
      <c r="A11594" s="9" t="s">
        <v>23601</v>
      </c>
      <c r="B11594" s="9" t="s">
        <v>23601</v>
      </c>
      <c r="C11594" s="9" t="s">
        <v>46</v>
      </c>
      <c r="D11594" s="9" t="s">
        <v>101</v>
      </c>
      <c r="E11594" s="10" t="s">
        <v>403</v>
      </c>
      <c r="F11594" s="9" t="s">
        <v>3456</v>
      </c>
      <c r="G11594" s="10" t="s">
        <v>86</v>
      </c>
      <c r="H11594" s="9" t="s">
        <v>22</v>
      </c>
      <c r="I11594" s="9" t="s">
        <v>23668</v>
      </c>
      <c r="J11594" s="10" t="str">
        <f>HYPERLINK("https://www.boe.es/gazeta/dias/1834/09/25/pdfs/GMD-1834-223.pdf#page=2","Abrir facsímil")</f>
        <v>Abrir facsímil</v>
      </c>
      <c r="K11594" s="10" t="s">
        <v>24</v>
      </c>
    </row>
    <row r="11595" spans="1:11" ht="54" customHeight="1">
      <c r="A11595" s="9" t="s">
        <v>23601</v>
      </c>
      <c r="B11595" s="9" t="s">
        <v>23601</v>
      </c>
      <c r="C11595" s="9" t="s">
        <v>90</v>
      </c>
      <c r="D11595" s="9" t="s">
        <v>18</v>
      </c>
      <c r="E11595" s="10" t="s">
        <v>403</v>
      </c>
      <c r="F11595" s="9" t="s">
        <v>404</v>
      </c>
      <c r="G11595" s="10" t="s">
        <v>75</v>
      </c>
      <c r="H11595" s="9" t="s">
        <v>22</v>
      </c>
      <c r="I11595" s="9" t="s">
        <v>23669</v>
      </c>
      <c r="J11595" s="10" t="str">
        <f>HYPERLINK("https://www.boe.es/gazeta/dias/1834/09/25/pdfs/GMD-C-1834-223.pdf#page=4","Abrir facsímil")</f>
        <v>Abrir facsímil</v>
      </c>
      <c r="K11595" s="10" t="s">
        <v>24</v>
      </c>
    </row>
    <row r="11596" spans="1:11" ht="54" customHeight="1">
      <c r="A11596" s="9" t="s">
        <v>23601</v>
      </c>
      <c r="B11596" s="9" t="s">
        <v>23601</v>
      </c>
      <c r="C11596" s="9" t="s">
        <v>46</v>
      </c>
      <c r="D11596" s="9" t="s">
        <v>55</v>
      </c>
      <c r="E11596" s="10" t="s">
        <v>389</v>
      </c>
      <c r="F11596" s="9" t="s">
        <v>390</v>
      </c>
      <c r="G11596" s="10" t="s">
        <v>34</v>
      </c>
      <c r="H11596" s="9" t="s">
        <v>22</v>
      </c>
      <c r="I11596" s="9" t="s">
        <v>23670</v>
      </c>
      <c r="J11596" s="10" t="str">
        <f>HYPERLINK("https://www.boe.es/gazeta/dias/1834/10/25/pdfs/GMD-1834-253.pdf#page=1","Abrir facsímil")</f>
        <v>Abrir facsímil</v>
      </c>
      <c r="K11596" s="10" t="s">
        <v>24</v>
      </c>
    </row>
    <row r="11597" spans="1:11" ht="54" customHeight="1">
      <c r="A11597" s="9" t="s">
        <v>23601</v>
      </c>
      <c r="B11597" s="9" t="s">
        <v>23601</v>
      </c>
      <c r="C11597" s="9" t="s">
        <v>17</v>
      </c>
      <c r="D11597" s="9" t="s">
        <v>55</v>
      </c>
      <c r="E11597" s="10" t="s">
        <v>658</v>
      </c>
      <c r="F11597" s="9" t="s">
        <v>659</v>
      </c>
      <c r="G11597" s="10" t="s">
        <v>86</v>
      </c>
      <c r="H11597" s="9" t="s">
        <v>22</v>
      </c>
      <c r="I11597" s="9" t="s">
        <v>23671</v>
      </c>
      <c r="J11597" s="10" t="str">
        <f>HYPERLINK("https://www.boe.es/gazeta/dias/1834/05/26/pdfs/GMD-1834-95.pdf#page=2","Abrir facsímil")</f>
        <v>Abrir facsímil</v>
      </c>
      <c r="K11597" s="10" t="s">
        <v>24</v>
      </c>
    </row>
    <row r="11598" spans="1:11" ht="54" customHeight="1">
      <c r="A11598" s="9" t="s">
        <v>23601</v>
      </c>
      <c r="B11598" s="9" t="s">
        <v>23601</v>
      </c>
      <c r="C11598" s="9" t="s">
        <v>66</v>
      </c>
      <c r="D11598" s="9" t="s">
        <v>18</v>
      </c>
      <c r="E11598" s="10" t="s">
        <v>658</v>
      </c>
      <c r="F11598" s="9" t="s">
        <v>2167</v>
      </c>
      <c r="G11598" s="10" t="s">
        <v>34</v>
      </c>
      <c r="H11598" s="9" t="s">
        <v>22</v>
      </c>
      <c r="I11598" s="9" t="s">
        <v>23672</v>
      </c>
      <c r="J11598" s="10" t="str">
        <f>HYPERLINK("https://www.boe.es/gazeta/dias/1834/05/26/pdfs/C00001-00001.pdf#page=1","Abrir facsímil")</f>
        <v>Abrir facsímil</v>
      </c>
      <c r="K11598" s="10" t="s">
        <v>24</v>
      </c>
    </row>
    <row r="11599" spans="1:11" ht="54" customHeight="1">
      <c r="A11599" s="9" t="s">
        <v>23601</v>
      </c>
      <c r="B11599" s="9" t="s">
        <v>23601</v>
      </c>
      <c r="C11599" s="9" t="s">
        <v>66</v>
      </c>
      <c r="D11599" s="9" t="s">
        <v>67</v>
      </c>
      <c r="E11599" s="10" t="s">
        <v>1002</v>
      </c>
      <c r="F11599" s="9" t="s">
        <v>1003</v>
      </c>
      <c r="G11599" s="10" t="s">
        <v>86</v>
      </c>
      <c r="H11599" s="9" t="s">
        <v>22</v>
      </c>
      <c r="I11599" s="9" t="s">
        <v>23673</v>
      </c>
      <c r="J11599" s="10" t="str">
        <f>HYPERLINK("https://www.boe.es/gazeta/dias/1834/06/26/pdfs/GMD-1834-129.pdf#page=2","Abrir facsímil")</f>
        <v>Abrir facsímil</v>
      </c>
      <c r="K11599" s="10" t="s">
        <v>24</v>
      </c>
    </row>
    <row r="11600" spans="1:11" ht="54" customHeight="1">
      <c r="A11600" s="9" t="s">
        <v>23601</v>
      </c>
      <c r="B11600" s="9" t="s">
        <v>23601</v>
      </c>
      <c r="C11600" s="9" t="s">
        <v>17</v>
      </c>
      <c r="D11600" s="9" t="s">
        <v>18</v>
      </c>
      <c r="E11600" s="10" t="s">
        <v>7523</v>
      </c>
      <c r="F11600" s="9" t="s">
        <v>7524</v>
      </c>
      <c r="G11600" s="10" t="s">
        <v>86</v>
      </c>
      <c r="H11600" s="9" t="s">
        <v>22</v>
      </c>
      <c r="I11600" s="9" t="s">
        <v>23674</v>
      </c>
      <c r="J11600" s="10" t="str">
        <f>HYPERLINK("https://www.boe.es/gazeta/dias/1834/12/26/pdfs/GMD-1834-316.pdf#page=2","Abrir facsímil")</f>
        <v>Abrir facsímil</v>
      </c>
      <c r="K11600" s="10" t="s">
        <v>24</v>
      </c>
    </row>
    <row r="11601" spans="1:11" ht="54" customHeight="1">
      <c r="A11601" s="9" t="s">
        <v>23601</v>
      </c>
      <c r="B11601" s="9" t="s">
        <v>23601</v>
      </c>
      <c r="C11601" s="9" t="s">
        <v>17</v>
      </c>
      <c r="D11601" s="9" t="s">
        <v>55</v>
      </c>
      <c r="E11601" s="10" t="s">
        <v>513</v>
      </c>
      <c r="F11601" s="9" t="s">
        <v>514</v>
      </c>
      <c r="G11601" s="10" t="s">
        <v>28</v>
      </c>
      <c r="H11601" s="9" t="s">
        <v>22</v>
      </c>
      <c r="I11601" s="9" t="s">
        <v>23675</v>
      </c>
      <c r="J11601" s="10" t="str">
        <f>HYPERLINK("https://www.boe.es/gazeta/dias/1834/04/27/pdfs/GMD-1834-66.pdf#page=5","Abrir facsímil")</f>
        <v>Abrir facsímil</v>
      </c>
      <c r="K11601" s="10" t="s">
        <v>24</v>
      </c>
    </row>
    <row r="11602" spans="1:11" ht="54" customHeight="1">
      <c r="A11602" s="9" t="s">
        <v>23601</v>
      </c>
      <c r="B11602" s="9" t="s">
        <v>23601</v>
      </c>
      <c r="C11602" s="9" t="s">
        <v>66</v>
      </c>
      <c r="D11602" s="9" t="s">
        <v>67</v>
      </c>
      <c r="E11602" s="10" t="s">
        <v>1686</v>
      </c>
      <c r="F11602" s="9" t="s">
        <v>1687</v>
      </c>
      <c r="G11602" s="10" t="s">
        <v>86</v>
      </c>
      <c r="H11602" s="9" t="s">
        <v>22</v>
      </c>
      <c r="I11602" s="9" t="s">
        <v>23676</v>
      </c>
      <c r="J11602" s="10" t="str">
        <f>HYPERLINK("https://www.boe.es/gazeta/dias/1834/07/27/pdfs/GMD-1834-160.pdf#page=2","Abrir facsímil")</f>
        <v>Abrir facsímil</v>
      </c>
      <c r="K11602" s="10" t="s">
        <v>24</v>
      </c>
    </row>
    <row r="11603" spans="1:11" ht="54" customHeight="1">
      <c r="A11603" s="9" t="s">
        <v>23601</v>
      </c>
      <c r="B11603" s="9" t="s">
        <v>23601</v>
      </c>
      <c r="C11603" s="9" t="s">
        <v>66</v>
      </c>
      <c r="D11603" s="9" t="s">
        <v>67</v>
      </c>
      <c r="E11603" s="10" t="s">
        <v>2142</v>
      </c>
      <c r="F11603" s="9" t="s">
        <v>2143</v>
      </c>
      <c r="G11603" s="10" t="s">
        <v>34</v>
      </c>
      <c r="H11603" s="9" t="s">
        <v>22</v>
      </c>
      <c r="I11603" s="9" t="s">
        <v>23677</v>
      </c>
      <c r="J11603" s="10" t="str">
        <f>HYPERLINK("https://www.boe.es/gazeta/dias/1834/12/27/pdfs/GMD-1834-317.pdf#page=1","Abrir facsímil")</f>
        <v>Abrir facsímil</v>
      </c>
      <c r="K11603" s="10" t="s">
        <v>24</v>
      </c>
    </row>
    <row r="11604" spans="1:11" ht="54" customHeight="1">
      <c r="A11604" s="9" t="s">
        <v>23601</v>
      </c>
      <c r="B11604" s="9" t="s">
        <v>23601</v>
      </c>
      <c r="C11604" s="9" t="s">
        <v>17</v>
      </c>
      <c r="D11604" s="9" t="s">
        <v>18</v>
      </c>
      <c r="E11604" s="10" t="s">
        <v>1641</v>
      </c>
      <c r="F11604" s="9" t="s">
        <v>1729</v>
      </c>
      <c r="G11604" s="10" t="s">
        <v>21</v>
      </c>
      <c r="H11604" s="9" t="s">
        <v>22</v>
      </c>
      <c r="I11604" s="9" t="s">
        <v>23678</v>
      </c>
      <c r="J11604" s="10" t="str">
        <f>HYPERLINK("https://www.boe.es/gazeta/dias/1834/09/28/pdfs/GMD-1834-226.pdf#page=3","Abrir facsímil")</f>
        <v>Abrir facsímil</v>
      </c>
      <c r="K11604" s="10" t="s">
        <v>24</v>
      </c>
    </row>
    <row r="11605" spans="1:11" ht="54" customHeight="1">
      <c r="A11605" s="9" t="s">
        <v>23601</v>
      </c>
      <c r="B11605" s="9" t="s">
        <v>23601</v>
      </c>
      <c r="C11605" s="9" t="s">
        <v>66</v>
      </c>
      <c r="D11605" s="9" t="s">
        <v>67</v>
      </c>
      <c r="E11605" s="10" t="s">
        <v>2945</v>
      </c>
      <c r="F11605" s="9" t="s">
        <v>2946</v>
      </c>
      <c r="G11605" s="10" t="s">
        <v>21</v>
      </c>
      <c r="H11605" s="9" t="s">
        <v>22</v>
      </c>
      <c r="I11605" s="9" t="s">
        <v>23679</v>
      </c>
      <c r="J11605" s="10" t="str">
        <f>HYPERLINK("https://www.boe.es/gazeta/dias/1834/05/29/pdfs/GMD-1834-98.pdf#page=3","Abrir facsímil")</f>
        <v>Abrir facsímil</v>
      </c>
      <c r="K11605" s="10" t="s">
        <v>24</v>
      </c>
    </row>
    <row r="11606" spans="1:11" ht="54" customHeight="1">
      <c r="A11606" s="9" t="s">
        <v>23601</v>
      </c>
      <c r="B11606" s="9" t="s">
        <v>23601</v>
      </c>
      <c r="C11606" s="9" t="s">
        <v>122</v>
      </c>
      <c r="D11606" s="9" t="s">
        <v>18</v>
      </c>
      <c r="E11606" s="10" t="s">
        <v>1747</v>
      </c>
      <c r="F11606" s="9" t="s">
        <v>1748</v>
      </c>
      <c r="G11606" s="10" t="s">
        <v>86</v>
      </c>
      <c r="H11606" s="9" t="s">
        <v>22</v>
      </c>
      <c r="I11606" s="9" t="s">
        <v>23680</v>
      </c>
      <c r="J11606" s="10" t="str">
        <f>HYPERLINK("https://www.boe.es/gazeta/dias/1834/06/29/pdfs/GMD-1834-132.pdf#page=2","Abrir facsímil")</f>
        <v>Abrir facsímil</v>
      </c>
      <c r="K11606" s="10" t="s">
        <v>24</v>
      </c>
    </row>
    <row r="11607" spans="1:11" ht="54" customHeight="1">
      <c r="A11607" s="9" t="s">
        <v>23601</v>
      </c>
      <c r="B11607" s="9" t="s">
        <v>23601</v>
      </c>
      <c r="C11607" s="9" t="s">
        <v>17</v>
      </c>
      <c r="D11607" s="9" t="s">
        <v>18</v>
      </c>
      <c r="E11607" s="10" t="s">
        <v>1692</v>
      </c>
      <c r="F11607" s="9" t="s">
        <v>1693</v>
      </c>
      <c r="G11607" s="10" t="s">
        <v>34</v>
      </c>
      <c r="H11607" s="9" t="s">
        <v>22</v>
      </c>
      <c r="I11607" s="9" t="s">
        <v>23681</v>
      </c>
      <c r="J11607" s="10" t="str">
        <f>HYPERLINK("https://www.boe.es/gazeta/dias/1834/07/29/pdfs/GMD-1834-162.pdf#page=1","Abrir facsímil")</f>
        <v>Abrir facsímil</v>
      </c>
      <c r="K11607" s="10" t="s">
        <v>24</v>
      </c>
    </row>
    <row r="11608" spans="1:11" ht="54" customHeight="1">
      <c r="A11608" s="9" t="s">
        <v>23601</v>
      </c>
      <c r="B11608" s="9" t="s">
        <v>23601</v>
      </c>
      <c r="C11608" s="9" t="s">
        <v>66</v>
      </c>
      <c r="D11608" s="9" t="s">
        <v>18</v>
      </c>
      <c r="E11608" s="10" t="s">
        <v>777</v>
      </c>
      <c r="F11608" s="9" t="s">
        <v>778</v>
      </c>
      <c r="G11608" s="10" t="s">
        <v>34</v>
      </c>
      <c r="H11608" s="9" t="s">
        <v>22</v>
      </c>
      <c r="I11608" s="9" t="s">
        <v>23682</v>
      </c>
      <c r="J11608" s="10" t="str">
        <f>HYPERLINK("https://www.boe.es/gazeta/dias/1834/10/29/pdfs/GMD-1834-257.pdf#page=1","Abrir facsímil")</f>
        <v>Abrir facsímil</v>
      </c>
      <c r="K11608" s="10" t="s">
        <v>24</v>
      </c>
    </row>
    <row r="11609" spans="1:11" ht="54" customHeight="1">
      <c r="A11609" s="9" t="s">
        <v>23601</v>
      </c>
      <c r="B11609" s="9" t="s">
        <v>23601</v>
      </c>
      <c r="C11609" s="9" t="s">
        <v>17</v>
      </c>
      <c r="D11609" s="9" t="s">
        <v>18</v>
      </c>
      <c r="E11609" s="10" t="s">
        <v>286</v>
      </c>
      <c r="F11609" s="9" t="s">
        <v>548</v>
      </c>
      <c r="G11609" s="10" t="s">
        <v>21</v>
      </c>
      <c r="H11609" s="9" t="s">
        <v>22</v>
      </c>
      <c r="I11609" s="9" t="s">
        <v>23683</v>
      </c>
      <c r="J11609" s="10" t="str">
        <f>HYPERLINK("https://www.boe.es/gazeta/dias/1834/08/30/pdfs/GMD-1834-196.pdf#page=3","Abrir facsímil")</f>
        <v>Abrir facsímil</v>
      </c>
      <c r="K11609" s="10" t="s">
        <v>24</v>
      </c>
    </row>
    <row r="11610" spans="1:11" ht="54" customHeight="1">
      <c r="A11610" s="9" t="s">
        <v>23684</v>
      </c>
      <c r="B11610" s="9" t="s">
        <v>23685</v>
      </c>
      <c r="C11610" s="9" t="s">
        <v>17</v>
      </c>
      <c r="D11610" s="9" t="s">
        <v>18</v>
      </c>
      <c r="E11610" s="10" t="s">
        <v>905</v>
      </c>
      <c r="F11610" s="9" t="s">
        <v>1651</v>
      </c>
      <c r="G11610" s="10" t="s">
        <v>86</v>
      </c>
      <c r="H11610" s="9" t="s">
        <v>35</v>
      </c>
      <c r="I11610" s="9" t="s">
        <v>23686</v>
      </c>
      <c r="J11610" s="10" t="str">
        <f>HYPERLINK("https://www.boe.es/gazeta/dias/1834/08/02/pdfs/GMD-1834-166.pdf#page=2","Abrir facsímil")</f>
        <v>Abrir facsímil</v>
      </c>
      <c r="K11610" s="10" t="s">
        <v>37</v>
      </c>
    </row>
    <row r="11611" spans="1:11" ht="54" customHeight="1">
      <c r="A11611" s="9" t="s">
        <v>23687</v>
      </c>
      <c r="B11611" s="9" t="s">
        <v>23688</v>
      </c>
      <c r="C11611" s="9" t="s">
        <v>17</v>
      </c>
      <c r="D11611" s="9" t="s">
        <v>18</v>
      </c>
      <c r="E11611" s="10" t="s">
        <v>2124</v>
      </c>
      <c r="F11611" s="9" t="s">
        <v>2125</v>
      </c>
      <c r="G11611" s="10" t="s">
        <v>75</v>
      </c>
      <c r="H11611" s="9" t="s">
        <v>22</v>
      </c>
      <c r="I11611" s="9" t="s">
        <v>23689</v>
      </c>
      <c r="J11611" s="10" t="str">
        <f>HYPERLINK("https://www.boe.es/gazeta/dias/1834/06/09/pdfs/GMD-1834-112.pdf#page=4","Abrir facsímil")</f>
        <v>Abrir facsímil</v>
      </c>
      <c r="K11611" s="10" t="s">
        <v>24</v>
      </c>
    </row>
    <row r="11612" spans="1:11" ht="54" customHeight="1">
      <c r="A11612" s="9" t="s">
        <v>23690</v>
      </c>
      <c r="B11612" s="9" t="s">
        <v>23691</v>
      </c>
      <c r="C11612" s="9" t="s">
        <v>17</v>
      </c>
      <c r="D11612" s="9" t="s">
        <v>18</v>
      </c>
      <c r="E11612" s="10" t="s">
        <v>258</v>
      </c>
      <c r="F11612" s="9" t="s">
        <v>259</v>
      </c>
      <c r="G11612" s="10" t="s">
        <v>75</v>
      </c>
      <c r="H11612" s="9" t="s">
        <v>22</v>
      </c>
      <c r="I11612" s="9" t="s">
        <v>23692</v>
      </c>
      <c r="J11612" s="10" t="str">
        <f>HYPERLINK("https://www.boe.es/gazeta/dias/1834/10/09/pdfs/GMD-C-1834-237.pdf#page=4","Abrir facsímil")</f>
        <v>Abrir facsímil</v>
      </c>
      <c r="K11612" s="10" t="s">
        <v>24</v>
      </c>
    </row>
    <row r="11613" spans="1:11" ht="54" customHeight="1">
      <c r="A11613" s="9" t="s">
        <v>23693</v>
      </c>
      <c r="B11613" s="9" t="s">
        <v>23694</v>
      </c>
      <c r="C11613" s="9" t="s">
        <v>17</v>
      </c>
      <c r="D11613" s="9" t="s">
        <v>18</v>
      </c>
      <c r="E11613" s="10" t="s">
        <v>258</v>
      </c>
      <c r="F11613" s="9" t="s">
        <v>259</v>
      </c>
      <c r="G11613" s="10" t="s">
        <v>75</v>
      </c>
      <c r="H11613" s="9" t="s">
        <v>22</v>
      </c>
      <c r="I11613" s="9" t="s">
        <v>23695</v>
      </c>
      <c r="J11613" s="10" t="str">
        <f>HYPERLINK("https://www.boe.es/gazeta/dias/1834/10/09/pdfs/GMD-C-1834-237.pdf#page=4","Abrir facsímil")</f>
        <v>Abrir facsímil</v>
      </c>
      <c r="K11613" s="10" t="s">
        <v>24</v>
      </c>
    </row>
    <row r="11614" spans="1:11" ht="54" customHeight="1">
      <c r="A11614" s="9" t="s">
        <v>23696</v>
      </c>
      <c r="B11614" s="9" t="s">
        <v>23697</v>
      </c>
      <c r="C11614" s="9" t="s">
        <v>17</v>
      </c>
      <c r="D11614" s="9" t="s">
        <v>18</v>
      </c>
      <c r="E11614" s="10" t="s">
        <v>375</v>
      </c>
      <c r="F11614" s="9" t="s">
        <v>4983</v>
      </c>
      <c r="G11614" s="10" t="s">
        <v>34</v>
      </c>
      <c r="H11614" s="9" t="s">
        <v>35</v>
      </c>
      <c r="I11614" s="9" t="s">
        <v>23698</v>
      </c>
      <c r="J11614" s="10" t="str">
        <f>HYPERLINK("https://www.boe.es/gazeta/dias/1834/08/21/pdfs/GMD-C-1834-187.pdf#page=1","Abrir facsímil")</f>
        <v>Abrir facsímil</v>
      </c>
      <c r="K11614" s="10" t="s">
        <v>37</v>
      </c>
    </row>
    <row r="11615" spans="1:11" ht="54" customHeight="1">
      <c r="A11615" s="9" t="s">
        <v>23699</v>
      </c>
      <c r="B11615" s="9" t="s">
        <v>23700</v>
      </c>
      <c r="C11615" s="9" t="s">
        <v>90</v>
      </c>
      <c r="D11615" s="9" t="s">
        <v>18</v>
      </c>
      <c r="E11615" s="10" t="s">
        <v>905</v>
      </c>
      <c r="F11615" s="9" t="s">
        <v>906</v>
      </c>
      <c r="G11615" s="10" t="s">
        <v>34</v>
      </c>
      <c r="H11615" s="9" t="s">
        <v>35</v>
      </c>
      <c r="I11615" s="9" t="s">
        <v>23701</v>
      </c>
      <c r="J11615" s="10" t="str">
        <f>HYPERLINK("https://www.boe.es/gazeta/dias/1834/08/02/pdfs/GMD-C-1834-166.pdf#page=1","Abrir facsímil")</f>
        <v>Abrir facsímil</v>
      </c>
      <c r="K11615" s="10" t="s">
        <v>37</v>
      </c>
    </row>
    <row r="11616" spans="1:11" ht="54" customHeight="1">
      <c r="A11616" s="9" t="s">
        <v>23702</v>
      </c>
      <c r="B11616" s="9" t="s">
        <v>23703</v>
      </c>
      <c r="C11616" s="9" t="s">
        <v>17</v>
      </c>
      <c r="D11616" s="9" t="s">
        <v>18</v>
      </c>
      <c r="E11616" s="10" t="s">
        <v>3248</v>
      </c>
      <c r="F11616" s="9" t="s">
        <v>3249</v>
      </c>
      <c r="G11616" s="10" t="s">
        <v>75</v>
      </c>
      <c r="H11616" s="9" t="s">
        <v>22</v>
      </c>
      <c r="I11616" s="9" t="s">
        <v>23704</v>
      </c>
      <c r="J11616" s="10" t="str">
        <f>HYPERLINK("https://www.boe.es/gazeta/dias/1834/09/20/pdfs/GMD-1834-218.pdf#page=4","Abrir facsímil")</f>
        <v>Abrir facsímil</v>
      </c>
      <c r="K11616" s="10" t="s">
        <v>24</v>
      </c>
    </row>
    <row r="11617" spans="1:11" ht="54" customHeight="1">
      <c r="A11617" s="9" t="s">
        <v>23705</v>
      </c>
      <c r="B11617" s="9" t="s">
        <v>23706</v>
      </c>
      <c r="C11617" s="9" t="s">
        <v>17</v>
      </c>
      <c r="D11617" s="9" t="s">
        <v>18</v>
      </c>
      <c r="E11617" s="10" t="s">
        <v>258</v>
      </c>
      <c r="F11617" s="9" t="s">
        <v>1075</v>
      </c>
      <c r="G11617" s="10" t="s">
        <v>86</v>
      </c>
      <c r="H11617" s="9" t="s">
        <v>22</v>
      </c>
      <c r="I11617" s="9" t="s">
        <v>23707</v>
      </c>
      <c r="J11617" s="10" t="str">
        <f>HYPERLINK("https://www.boe.es/gazeta/dias/1834/10/09/pdfs/GMD-1834-237.pdf#page=2","Abrir facsímil")</f>
        <v>Abrir facsímil</v>
      </c>
      <c r="K11617" s="10" t="s">
        <v>24</v>
      </c>
    </row>
    <row r="11618" spans="1:11" ht="54" customHeight="1">
      <c r="A11618" s="9" t="s">
        <v>23708</v>
      </c>
      <c r="B11618" s="9" t="s">
        <v>23709</v>
      </c>
      <c r="C11618" s="9" t="s">
        <v>122</v>
      </c>
      <c r="D11618" s="9" t="s">
        <v>18</v>
      </c>
      <c r="E11618" s="10" t="s">
        <v>1747</v>
      </c>
      <c r="F11618" s="9" t="s">
        <v>1748</v>
      </c>
      <c r="G11618" s="10" t="s">
        <v>86</v>
      </c>
      <c r="H11618" s="9" t="s">
        <v>22</v>
      </c>
      <c r="I11618" s="9" t="s">
        <v>23710</v>
      </c>
      <c r="J11618" s="10" t="str">
        <f>HYPERLINK("https://www.boe.es/gazeta/dias/1834/06/29/pdfs/GMD-1834-132.pdf#page=2","Abrir facsímil")</f>
        <v>Abrir facsímil</v>
      </c>
      <c r="K11618" s="10" t="s">
        <v>24</v>
      </c>
    </row>
    <row r="11619" spans="1:11" ht="54" customHeight="1">
      <c r="A11619" s="9" t="s">
        <v>23711</v>
      </c>
      <c r="B11619" s="9" t="s">
        <v>23712</v>
      </c>
      <c r="C11619" s="9" t="s">
        <v>66</v>
      </c>
      <c r="D11619" s="9" t="s">
        <v>67</v>
      </c>
      <c r="E11619" s="10" t="s">
        <v>73</v>
      </c>
      <c r="F11619" s="9" t="s">
        <v>74</v>
      </c>
      <c r="G11619" s="10" t="s">
        <v>75</v>
      </c>
      <c r="H11619" s="9" t="s">
        <v>22</v>
      </c>
      <c r="I11619" s="9" t="s">
        <v>23713</v>
      </c>
      <c r="J11619" s="10" t="str">
        <f>HYPERLINK("https://www.boe.es/gazeta/dias/1834/11/04/pdfs/GMD-1834-263.pdf#page=4","Abrir facsímil")</f>
        <v>Abrir facsímil</v>
      </c>
      <c r="K11619" s="10" t="s">
        <v>24</v>
      </c>
    </row>
    <row r="11620" spans="1:11" ht="54" customHeight="1">
      <c r="A11620" s="9" t="s">
        <v>23714</v>
      </c>
      <c r="B11620" s="9" t="s">
        <v>23715</v>
      </c>
      <c r="C11620" s="9" t="s">
        <v>17</v>
      </c>
      <c r="D11620" s="9" t="s">
        <v>18</v>
      </c>
      <c r="E11620" s="10" t="s">
        <v>3328</v>
      </c>
      <c r="F11620" s="9" t="s">
        <v>3329</v>
      </c>
      <c r="G11620" s="10" t="s">
        <v>21</v>
      </c>
      <c r="H11620" s="9" t="s">
        <v>22</v>
      </c>
      <c r="I11620" s="9" t="s">
        <v>23716</v>
      </c>
      <c r="J11620" s="10" t="str">
        <f>HYPERLINK("https://www.boe.es/gazeta/dias/1834/06/04/pdfs/GMD-1834-106.pdf#page=3","Abrir facsímil")</f>
        <v>Abrir facsímil</v>
      </c>
      <c r="K11620" s="10" t="s">
        <v>24</v>
      </c>
    </row>
    <row r="11621" spans="1:11" ht="54" customHeight="1">
      <c r="A11621" s="9" t="s">
        <v>23717</v>
      </c>
      <c r="B11621" s="9" t="s">
        <v>23718</v>
      </c>
      <c r="C11621" s="9" t="s">
        <v>17</v>
      </c>
      <c r="D11621" s="9" t="s">
        <v>101</v>
      </c>
      <c r="E11621" s="10" t="s">
        <v>4565</v>
      </c>
      <c r="F11621" s="9" t="s">
        <v>4566</v>
      </c>
      <c r="G11621" s="10" t="s">
        <v>34</v>
      </c>
      <c r="H11621" s="9" t="s">
        <v>22</v>
      </c>
      <c r="I11621" s="9" t="s">
        <v>23719</v>
      </c>
      <c r="J11621" s="10" t="str">
        <f>HYPERLINK("https://www.boe.es/gazeta/dias/1834/07/10/pdfs/GMD-1834-143.pdf#page=1","Abrir facsímil")</f>
        <v>Abrir facsímil</v>
      </c>
      <c r="K11621" s="10" t="s">
        <v>24</v>
      </c>
    </row>
    <row r="11622" spans="1:11" ht="54" customHeight="1">
      <c r="A11622" s="9" t="s">
        <v>23717</v>
      </c>
      <c r="B11622" s="9" t="s">
        <v>23718</v>
      </c>
      <c r="C11622" s="9" t="s">
        <v>66</v>
      </c>
      <c r="D11622" s="9" t="s">
        <v>67</v>
      </c>
      <c r="E11622" s="10" t="s">
        <v>601</v>
      </c>
      <c r="F11622" s="9" t="s">
        <v>602</v>
      </c>
      <c r="G11622" s="10" t="s">
        <v>34</v>
      </c>
      <c r="H11622" s="9" t="s">
        <v>22</v>
      </c>
      <c r="I11622" s="9" t="s">
        <v>23720</v>
      </c>
      <c r="J11622" s="10" t="str">
        <f>HYPERLINK("https://www.boe.es/gazeta/dias/1834/08/16/pdfs/GMD-1834-181.pdf#page=1","Abrir facsímil")</f>
        <v>Abrir facsímil</v>
      </c>
      <c r="K11622" s="10" t="s">
        <v>24</v>
      </c>
    </row>
    <row r="11623" spans="1:11" ht="54" customHeight="1">
      <c r="A11623" s="9" t="s">
        <v>23717</v>
      </c>
      <c r="B11623" s="9" t="s">
        <v>23718</v>
      </c>
      <c r="C11623" s="9" t="s">
        <v>122</v>
      </c>
      <c r="D11623" s="9" t="s">
        <v>101</v>
      </c>
      <c r="E11623" s="10" t="s">
        <v>1119</v>
      </c>
      <c r="F11623" s="9" t="s">
        <v>1120</v>
      </c>
      <c r="G11623" s="10" t="s">
        <v>34</v>
      </c>
      <c r="H11623" s="9" t="s">
        <v>22</v>
      </c>
      <c r="I11623" s="9" t="s">
        <v>23721</v>
      </c>
      <c r="J11623" s="10" t="str">
        <f>HYPERLINK("https://www.boe.es/gazeta/dias/1834/07/17/pdfs/GMD-1834-150.pdf#page=1","Abrir facsímil")</f>
        <v>Abrir facsímil</v>
      </c>
      <c r="K11623" s="10" t="s">
        <v>24</v>
      </c>
    </row>
    <row r="11624" spans="1:11" ht="54" customHeight="1">
      <c r="A11624" s="9" t="s">
        <v>23722</v>
      </c>
      <c r="B11624" s="9" t="s">
        <v>23723</v>
      </c>
      <c r="C11624" s="9" t="s">
        <v>17</v>
      </c>
      <c r="D11624" s="9" t="s">
        <v>18</v>
      </c>
      <c r="E11624" s="10" t="s">
        <v>3328</v>
      </c>
      <c r="F11624" s="9" t="s">
        <v>3329</v>
      </c>
      <c r="G11624" s="10" t="s">
        <v>21</v>
      </c>
      <c r="H11624" s="9" t="s">
        <v>22</v>
      </c>
      <c r="I11624" s="9" t="s">
        <v>23724</v>
      </c>
      <c r="J11624" s="10" t="str">
        <f>HYPERLINK("https://www.boe.es/gazeta/dias/1834/06/04/pdfs/GMD-1834-106.pdf#page=3","Abrir facsímil")</f>
        <v>Abrir facsímil</v>
      </c>
      <c r="K11624" s="10" t="s">
        <v>24</v>
      </c>
    </row>
    <row r="11625" spans="1:11" ht="54" customHeight="1">
      <c r="A11625" s="9" t="s">
        <v>23722</v>
      </c>
      <c r="B11625" s="9" t="s">
        <v>23723</v>
      </c>
      <c r="C11625" s="9" t="s">
        <v>17</v>
      </c>
      <c r="D11625" s="9" t="s">
        <v>18</v>
      </c>
      <c r="E11625" s="10" t="s">
        <v>601</v>
      </c>
      <c r="F11625" s="9" t="s">
        <v>602</v>
      </c>
      <c r="G11625" s="10" t="s">
        <v>75</v>
      </c>
      <c r="H11625" s="9" t="s">
        <v>22</v>
      </c>
      <c r="I11625" s="9" t="s">
        <v>23725</v>
      </c>
      <c r="J11625" s="10" t="str">
        <f>HYPERLINK("https://www.boe.es/gazeta/dias/1834/08/16/pdfs/GMD-1834-181.pdf#page=4","Abrir facsímil")</f>
        <v>Abrir facsímil</v>
      </c>
      <c r="K11625" s="10" t="s">
        <v>24</v>
      </c>
    </row>
    <row r="11626" spans="1:11" ht="54" customHeight="1">
      <c r="A11626" s="9" t="s">
        <v>23726</v>
      </c>
      <c r="B11626" s="9" t="s">
        <v>23727</v>
      </c>
      <c r="C11626" s="9" t="s">
        <v>17</v>
      </c>
      <c r="D11626" s="9" t="s">
        <v>55</v>
      </c>
      <c r="E11626" s="10" t="s">
        <v>3328</v>
      </c>
      <c r="F11626" s="9" t="s">
        <v>3329</v>
      </c>
      <c r="G11626" s="10" t="s">
        <v>21</v>
      </c>
      <c r="H11626" s="9" t="s">
        <v>22</v>
      </c>
      <c r="I11626" s="9" t="s">
        <v>23728</v>
      </c>
      <c r="J11626" s="10" t="str">
        <f>HYPERLINK("https://www.boe.es/gazeta/dias/1834/06/04/pdfs/GMD-1834-106.pdf#page=3","Abrir facsímil")</f>
        <v>Abrir facsímil</v>
      </c>
      <c r="K11626" s="10" t="s">
        <v>24</v>
      </c>
    </row>
    <row r="11627" spans="1:11" ht="54" customHeight="1">
      <c r="A11627" s="9" t="s">
        <v>23726</v>
      </c>
      <c r="B11627" s="9" t="s">
        <v>23727</v>
      </c>
      <c r="C11627" s="9" t="s">
        <v>17</v>
      </c>
      <c r="D11627" s="9" t="s">
        <v>18</v>
      </c>
      <c r="E11627" s="10" t="s">
        <v>601</v>
      </c>
      <c r="F11627" s="9" t="s">
        <v>602</v>
      </c>
      <c r="G11627" s="10" t="s">
        <v>75</v>
      </c>
      <c r="H11627" s="9" t="s">
        <v>22</v>
      </c>
      <c r="I11627" s="9" t="s">
        <v>23729</v>
      </c>
      <c r="J11627" s="10" t="str">
        <f>HYPERLINK("https://www.boe.es/gazeta/dias/1834/08/16/pdfs/GMD-1834-181.pdf#page=4","Abrir facsímil")</f>
        <v>Abrir facsímil</v>
      </c>
      <c r="K11627" s="10" t="s">
        <v>24</v>
      </c>
    </row>
    <row r="11628" spans="1:11" ht="54" customHeight="1">
      <c r="A11628" s="9" t="s">
        <v>23730</v>
      </c>
      <c r="B11628" s="9" t="s">
        <v>23731</v>
      </c>
      <c r="C11628" s="9" t="s">
        <v>66</v>
      </c>
      <c r="D11628" s="9" t="s">
        <v>67</v>
      </c>
      <c r="E11628" s="10" t="s">
        <v>2048</v>
      </c>
      <c r="F11628" s="9" t="s">
        <v>2049</v>
      </c>
      <c r="G11628" s="10" t="s">
        <v>86</v>
      </c>
      <c r="H11628" s="9" t="s">
        <v>22</v>
      </c>
      <c r="I11628" s="9" t="s">
        <v>23732</v>
      </c>
      <c r="J11628" s="10" t="str">
        <f>HYPERLINK("https://www.boe.es/gazeta/dias/1834/05/12/pdfs/GMD-1834-81.pdf#page=2","Abrir facsímil")</f>
        <v>Abrir facsímil</v>
      </c>
      <c r="K11628" s="10" t="s">
        <v>24</v>
      </c>
    </row>
    <row r="11629" spans="1:11" ht="54" customHeight="1">
      <c r="A11629" s="9" t="s">
        <v>23733</v>
      </c>
      <c r="B11629" s="9" t="s">
        <v>23734</v>
      </c>
      <c r="C11629" s="9" t="s">
        <v>46</v>
      </c>
      <c r="D11629" s="9" t="s">
        <v>55</v>
      </c>
      <c r="E11629" s="10" t="s">
        <v>1116</v>
      </c>
      <c r="F11629" s="9" t="s">
        <v>1117</v>
      </c>
      <c r="G11629" s="10" t="s">
        <v>86</v>
      </c>
      <c r="H11629" s="9" t="s">
        <v>22</v>
      </c>
      <c r="I11629" s="9" t="s">
        <v>23735</v>
      </c>
      <c r="J11629" s="10" t="str">
        <f>HYPERLINK("https://www.boe.es/gazeta/dias/1834/05/16/pdfs/GMD-1834-85.pdf#page=2","Abrir facsímil")</f>
        <v>Abrir facsímil</v>
      </c>
      <c r="K11629" s="10" t="s">
        <v>24</v>
      </c>
    </row>
    <row r="11630" spans="1:11" ht="54" customHeight="1">
      <c r="A11630" s="9" t="s">
        <v>23736</v>
      </c>
      <c r="B11630" s="9" t="s">
        <v>23737</v>
      </c>
      <c r="C11630" s="9" t="s">
        <v>17</v>
      </c>
      <c r="D11630" s="9" t="s">
        <v>18</v>
      </c>
      <c r="E11630" s="10" t="s">
        <v>375</v>
      </c>
      <c r="F11630" s="9" t="s">
        <v>4983</v>
      </c>
      <c r="G11630" s="10" t="s">
        <v>34</v>
      </c>
      <c r="H11630" s="9" t="s">
        <v>22</v>
      </c>
      <c r="I11630" s="9" t="s">
        <v>23738</v>
      </c>
      <c r="J11630" s="10" t="str">
        <f>HYPERLINK("https://www.boe.es/gazeta/dias/1834/08/21/pdfs/GMD-C-1834-187.pdf#page=1","Abrir facsímil")</f>
        <v>Abrir facsímil</v>
      </c>
      <c r="K11630" s="10" t="s">
        <v>24</v>
      </c>
    </row>
    <row r="11631" spans="1:11" ht="54" customHeight="1">
      <c r="A11631" s="9" t="s">
        <v>23736</v>
      </c>
      <c r="B11631" s="9" t="s">
        <v>23737</v>
      </c>
      <c r="C11631" s="9" t="s">
        <v>17</v>
      </c>
      <c r="D11631" s="9" t="s">
        <v>18</v>
      </c>
      <c r="E11631" s="10" t="s">
        <v>32</v>
      </c>
      <c r="F11631" s="9" t="s">
        <v>33</v>
      </c>
      <c r="G11631" s="10" t="s">
        <v>34</v>
      </c>
      <c r="H11631" s="9" t="s">
        <v>22</v>
      </c>
      <c r="I11631" s="9" t="s">
        <v>23739</v>
      </c>
      <c r="J11631" s="10" t="str">
        <f>HYPERLINK("https://www.boe.es/gazeta/dias/1834/04/23/pdfs/GMD-1834-62.pdf#page=1","Abrir facsímil")</f>
        <v>Abrir facsímil</v>
      </c>
      <c r="K11631" s="10" t="s">
        <v>24</v>
      </c>
    </row>
    <row r="11632" spans="1:11" ht="54" customHeight="1">
      <c r="A11632" s="9" t="s">
        <v>23740</v>
      </c>
      <c r="B11632" s="9" t="s">
        <v>23741</v>
      </c>
      <c r="C11632" s="9" t="s">
        <v>17</v>
      </c>
      <c r="D11632" s="9" t="s">
        <v>18</v>
      </c>
      <c r="E11632" s="10" t="s">
        <v>403</v>
      </c>
      <c r="F11632" s="9" t="s">
        <v>404</v>
      </c>
      <c r="G11632" s="10" t="s">
        <v>34</v>
      </c>
      <c r="H11632" s="9" t="s">
        <v>22</v>
      </c>
      <c r="I11632" s="9" t="s">
        <v>23742</v>
      </c>
      <c r="J11632" s="10" t="str">
        <f>HYPERLINK("https://www.boe.es/gazeta/dias/1834/09/25/pdfs/GMD-C-1834-223.pdf#page=1","Abrir facsímil")</f>
        <v>Abrir facsímil</v>
      </c>
      <c r="K11632" s="10" t="s">
        <v>24</v>
      </c>
    </row>
    <row r="11633" spans="1:11" ht="54" customHeight="1">
      <c r="A11633" s="9" t="s">
        <v>23743</v>
      </c>
      <c r="B11633" s="9" t="s">
        <v>23744</v>
      </c>
      <c r="C11633" s="9" t="s">
        <v>66</v>
      </c>
      <c r="D11633" s="9" t="s">
        <v>67</v>
      </c>
      <c r="E11633" s="10" t="s">
        <v>304</v>
      </c>
      <c r="F11633" s="9" t="s">
        <v>305</v>
      </c>
      <c r="G11633" s="10" t="s">
        <v>176</v>
      </c>
      <c r="H11633" s="9" t="s">
        <v>22</v>
      </c>
      <c r="I11633" s="9" t="s">
        <v>23745</v>
      </c>
      <c r="J11633" s="10" t="str">
        <f>HYPERLINK("https://www.boe.es/gazeta/dias/1834/01/21/pdfs/GMD-1834-10.pdf#page=6","Abrir facsímil")</f>
        <v>Abrir facsímil</v>
      </c>
      <c r="K11633" s="10" t="s">
        <v>24</v>
      </c>
    </row>
    <row r="11634" spans="1:11" ht="54" customHeight="1">
      <c r="A11634" s="9" t="s">
        <v>23746</v>
      </c>
      <c r="B11634" s="9" t="s">
        <v>23747</v>
      </c>
      <c r="C11634" s="9" t="s">
        <v>90</v>
      </c>
      <c r="D11634" s="9" t="s">
        <v>18</v>
      </c>
      <c r="E11634" s="10" t="s">
        <v>905</v>
      </c>
      <c r="F11634" s="9" t="s">
        <v>906</v>
      </c>
      <c r="G11634" s="10" t="s">
        <v>34</v>
      </c>
      <c r="H11634" s="9" t="s">
        <v>22</v>
      </c>
      <c r="I11634" s="9" t="s">
        <v>23748</v>
      </c>
      <c r="J11634" s="10" t="str">
        <f>HYPERLINK("https://www.boe.es/gazeta/dias/1834/08/02/pdfs/GMD-C-1834-166.pdf#page=1","Abrir facsímil")</f>
        <v>Abrir facsímil</v>
      </c>
      <c r="K11634" s="10" t="s">
        <v>24</v>
      </c>
    </row>
    <row r="11635" spans="1:11" ht="54" customHeight="1">
      <c r="A11635" s="9" t="s">
        <v>23746</v>
      </c>
      <c r="B11635" s="9" t="s">
        <v>23747</v>
      </c>
      <c r="C11635" s="9" t="s">
        <v>17</v>
      </c>
      <c r="D11635" s="9" t="s">
        <v>18</v>
      </c>
      <c r="E11635" s="10" t="s">
        <v>1708</v>
      </c>
      <c r="F11635" s="9" t="s">
        <v>1709</v>
      </c>
      <c r="G11635" s="10" t="s">
        <v>34</v>
      </c>
      <c r="H11635" s="9" t="s">
        <v>22</v>
      </c>
      <c r="I11635" s="9" t="s">
        <v>23749</v>
      </c>
      <c r="J11635" s="10" t="str">
        <f>HYPERLINK("https://www.boe.es/gazeta/dias/1834/04/12/pdfs/GMD-1834-51.pdf#page=1","Abrir facsímil")</f>
        <v>Abrir facsímil</v>
      </c>
      <c r="K11635" s="10" t="s">
        <v>24</v>
      </c>
    </row>
    <row r="11636" spans="1:11" ht="54" customHeight="1">
      <c r="A11636" s="9" t="s">
        <v>23746</v>
      </c>
      <c r="B11636" s="9" t="s">
        <v>23747</v>
      </c>
      <c r="C11636" s="9" t="s">
        <v>17</v>
      </c>
      <c r="D11636" s="9" t="s">
        <v>18</v>
      </c>
      <c r="E11636" s="10" t="s">
        <v>1572</v>
      </c>
      <c r="F11636" s="9" t="s">
        <v>1573</v>
      </c>
      <c r="G11636" s="10" t="s">
        <v>75</v>
      </c>
      <c r="H11636" s="9" t="s">
        <v>22</v>
      </c>
      <c r="I11636" s="9" t="s">
        <v>23750</v>
      </c>
      <c r="J11636" s="10" t="str">
        <f>HYPERLINK("https://www.boe.es/gazeta/dias/1834/03/20/pdfs/GMD-1834-35.pdf#page=4","Abrir facsímil")</f>
        <v>Abrir facsímil</v>
      </c>
      <c r="K11636" s="10" t="s">
        <v>24</v>
      </c>
    </row>
    <row r="11637" spans="1:11" ht="54" customHeight="1">
      <c r="A11637" s="9" t="s">
        <v>23751</v>
      </c>
      <c r="B11637" s="9" t="s">
        <v>23752</v>
      </c>
      <c r="C11637" s="9" t="s">
        <v>17</v>
      </c>
      <c r="D11637" s="9" t="s">
        <v>18</v>
      </c>
      <c r="E11637" s="10" t="s">
        <v>61</v>
      </c>
      <c r="F11637" s="9" t="s">
        <v>205</v>
      </c>
      <c r="G11637" s="10" t="s">
        <v>21</v>
      </c>
      <c r="H11637" s="9" t="s">
        <v>22</v>
      </c>
      <c r="I11637" s="9" t="s">
        <v>23753</v>
      </c>
      <c r="J11637" s="10" t="str">
        <f>HYPERLINK("https://www.boe.es/gazeta/dias/1834/06/08/pdfs/GMD-1834-110.pdf#page=3","Abrir facsímil")</f>
        <v>Abrir facsímil</v>
      </c>
      <c r="K11637" s="10" t="s">
        <v>24</v>
      </c>
    </row>
    <row r="11638" spans="1:11" ht="54" customHeight="1">
      <c r="A11638" s="9" t="s">
        <v>23754</v>
      </c>
      <c r="B11638" s="9" t="s">
        <v>23755</v>
      </c>
      <c r="C11638" s="9" t="s">
        <v>17</v>
      </c>
      <c r="D11638" s="9" t="s">
        <v>18</v>
      </c>
      <c r="E11638" s="10" t="s">
        <v>813</v>
      </c>
      <c r="F11638" s="9" t="s">
        <v>814</v>
      </c>
      <c r="G11638" s="10" t="s">
        <v>75</v>
      </c>
      <c r="H11638" s="9" t="s">
        <v>22</v>
      </c>
      <c r="I11638" s="9" t="s">
        <v>23756</v>
      </c>
      <c r="J11638" s="10" t="str">
        <f>HYPERLINK("https://www.boe.es/gazeta/dias/1834/08/08/pdfs/GMD-1834-173.pdf#page=4","Abrir facsímil")</f>
        <v>Abrir facsímil</v>
      </c>
      <c r="K11638" s="10" t="s">
        <v>24</v>
      </c>
    </row>
    <row r="11639" spans="1:11" ht="54" customHeight="1">
      <c r="A11639" s="9" t="s">
        <v>23754</v>
      </c>
      <c r="B11639" s="9" t="s">
        <v>23755</v>
      </c>
      <c r="C11639" s="9" t="s">
        <v>66</v>
      </c>
      <c r="D11639" s="9" t="s">
        <v>67</v>
      </c>
      <c r="E11639" s="10" t="s">
        <v>928</v>
      </c>
      <c r="F11639" s="9" t="s">
        <v>3338</v>
      </c>
      <c r="G11639" s="10" t="s">
        <v>21</v>
      </c>
      <c r="H11639" s="9" t="s">
        <v>22</v>
      </c>
      <c r="I11639" s="9" t="s">
        <v>23757</v>
      </c>
      <c r="J11639" s="10" t="str">
        <f>HYPERLINK("https://www.boe.es/gazeta/dias/1834/11/15/pdfs/GMD-1834-274.pdf#page=3","Abrir facsímil")</f>
        <v>Abrir facsímil</v>
      </c>
      <c r="K11639" s="10" t="s">
        <v>24</v>
      </c>
    </row>
    <row r="11640" spans="1:11" ht="54" customHeight="1">
      <c r="A11640" s="9" t="s">
        <v>23758</v>
      </c>
      <c r="B11640" s="9" t="s">
        <v>23759</v>
      </c>
      <c r="C11640" s="9" t="s">
        <v>17</v>
      </c>
      <c r="D11640" s="9" t="s">
        <v>55</v>
      </c>
      <c r="E11640" s="10" t="s">
        <v>5574</v>
      </c>
      <c r="F11640" s="9" t="s">
        <v>5575</v>
      </c>
      <c r="G11640" s="10" t="s">
        <v>86</v>
      </c>
      <c r="H11640" s="9" t="s">
        <v>22</v>
      </c>
      <c r="I11640" s="9" t="s">
        <v>23760</v>
      </c>
      <c r="J11640" s="10" t="str">
        <f>HYPERLINK("https://www.boe.es/gazeta/dias/1834/06/16/pdfs/GMD-1834-119.pdf#page=2","Abrir facsímil")</f>
        <v>Abrir facsímil</v>
      </c>
      <c r="K11640" s="10" t="s">
        <v>24</v>
      </c>
    </row>
    <row r="11641" spans="1:11" ht="54" customHeight="1">
      <c r="A11641" s="9" t="s">
        <v>23761</v>
      </c>
      <c r="B11641" s="9" t="s">
        <v>23762</v>
      </c>
      <c r="C11641" s="9" t="s">
        <v>46</v>
      </c>
      <c r="D11641" s="9" t="s">
        <v>101</v>
      </c>
      <c r="E11641" s="10" t="s">
        <v>762</v>
      </c>
      <c r="F11641" s="9" t="s">
        <v>763</v>
      </c>
      <c r="G11641" s="10" t="s">
        <v>34</v>
      </c>
      <c r="H11641" s="9" t="s">
        <v>22</v>
      </c>
      <c r="I11641" s="9" t="s">
        <v>23763</v>
      </c>
      <c r="J11641" s="10" t="str">
        <f>HYPERLINK("https://www.boe.es/gazeta/dias/1834/11/07/pdfs/GMD-1834-266.pdf#page=1","Abrir facsímil")</f>
        <v>Abrir facsímil</v>
      </c>
      <c r="K11641" s="10" t="s">
        <v>24</v>
      </c>
    </row>
    <row r="11642" spans="1:11" ht="54" customHeight="1">
      <c r="A11642" s="9" t="s">
        <v>23761</v>
      </c>
      <c r="B11642" s="9" t="s">
        <v>23762</v>
      </c>
      <c r="C11642" s="9" t="s">
        <v>90</v>
      </c>
      <c r="D11642" s="9" t="s">
        <v>18</v>
      </c>
      <c r="E11642" s="10" t="s">
        <v>61</v>
      </c>
      <c r="F11642" s="9" t="s">
        <v>205</v>
      </c>
      <c r="G11642" s="10" t="s">
        <v>34</v>
      </c>
      <c r="H11642" s="9" t="s">
        <v>22</v>
      </c>
      <c r="I11642" s="9" t="s">
        <v>23764</v>
      </c>
      <c r="J11642" s="10" t="str">
        <f>HYPERLINK("https://www.boe.es/gazeta/dias/1834/06/08/pdfs/GMD-1834-110.pdf#page=1","Abrir facsímil")</f>
        <v>Abrir facsímil</v>
      </c>
      <c r="K11642" s="10" t="s">
        <v>24</v>
      </c>
    </row>
    <row r="11643" spans="1:11" ht="54" customHeight="1">
      <c r="A11643" s="9" t="s">
        <v>23761</v>
      </c>
      <c r="B11643" s="9" t="s">
        <v>23762</v>
      </c>
      <c r="C11643" s="9" t="s">
        <v>17</v>
      </c>
      <c r="D11643" s="9" t="s">
        <v>18</v>
      </c>
      <c r="E11643" s="10" t="s">
        <v>785</v>
      </c>
      <c r="F11643" s="9" t="s">
        <v>786</v>
      </c>
      <c r="G11643" s="10" t="s">
        <v>34</v>
      </c>
      <c r="H11643" s="9" t="s">
        <v>22</v>
      </c>
      <c r="I11643" s="9" t="s">
        <v>23765</v>
      </c>
      <c r="J11643" s="10" t="str">
        <f>HYPERLINK("https://www.boe.es/gazeta/dias/1834/02/11/pdfs/GMD-1834-19.pdf#page=1","Abrir facsímil")</f>
        <v>Abrir facsímil</v>
      </c>
      <c r="K11643" s="10" t="s">
        <v>24</v>
      </c>
    </row>
    <row r="11644" spans="1:11" ht="54" customHeight="1">
      <c r="A11644" s="9" t="s">
        <v>23761</v>
      </c>
      <c r="B11644" s="9" t="s">
        <v>23762</v>
      </c>
      <c r="C11644" s="9" t="s">
        <v>17</v>
      </c>
      <c r="D11644" s="9" t="s">
        <v>101</v>
      </c>
      <c r="E11644" s="10" t="s">
        <v>1572</v>
      </c>
      <c r="F11644" s="9" t="s">
        <v>1573</v>
      </c>
      <c r="G11644" s="10" t="s">
        <v>34</v>
      </c>
      <c r="H11644" s="9" t="s">
        <v>22</v>
      </c>
      <c r="I11644" s="9" t="s">
        <v>23766</v>
      </c>
      <c r="J11644" s="10" t="str">
        <f>HYPERLINK("https://www.boe.es/gazeta/dias/1834/03/20/pdfs/GMD-1834-35.pdf#page=1","Abrir facsímil")</f>
        <v>Abrir facsímil</v>
      </c>
      <c r="K11644" s="10" t="s">
        <v>24</v>
      </c>
    </row>
    <row r="11645" spans="1:11" ht="54" customHeight="1">
      <c r="A11645" s="9" t="s">
        <v>23761</v>
      </c>
      <c r="B11645" s="9" t="s">
        <v>23762</v>
      </c>
      <c r="C11645" s="9" t="s">
        <v>17</v>
      </c>
      <c r="D11645" s="9" t="s">
        <v>18</v>
      </c>
      <c r="E11645" s="10" t="s">
        <v>1812</v>
      </c>
      <c r="F11645" s="9" t="s">
        <v>1813</v>
      </c>
      <c r="G11645" s="10" t="s">
        <v>34</v>
      </c>
      <c r="H11645" s="9" t="s">
        <v>22</v>
      </c>
      <c r="I11645" s="9" t="s">
        <v>23767</v>
      </c>
      <c r="J11645" s="10" t="str">
        <f>HYPERLINK("https://www.boe.es/gazeta/dias/1834/10/23/pdfs/GMD-1834-251.pdf#page=1","Abrir facsímil")</f>
        <v>Abrir facsímil</v>
      </c>
      <c r="K11645" s="10" t="s">
        <v>24</v>
      </c>
    </row>
    <row r="11646" spans="1:11" ht="54" customHeight="1">
      <c r="A11646" s="9" t="s">
        <v>23768</v>
      </c>
      <c r="B11646" s="9" t="s">
        <v>23769</v>
      </c>
      <c r="C11646" s="9" t="s">
        <v>17</v>
      </c>
      <c r="D11646" s="9" t="s">
        <v>18</v>
      </c>
      <c r="E11646" s="10" t="s">
        <v>777</v>
      </c>
      <c r="F11646" s="9" t="s">
        <v>778</v>
      </c>
      <c r="G11646" s="10" t="s">
        <v>34</v>
      </c>
      <c r="H11646" s="9" t="s">
        <v>22</v>
      </c>
      <c r="I11646" s="9" t="s">
        <v>23770</v>
      </c>
      <c r="J11646" s="10" t="str">
        <f>HYPERLINK("https://www.boe.es/gazeta/dias/1834/10/29/pdfs/GMD-1834-257.pdf#page=1","Abrir facsímil")</f>
        <v>Abrir facsímil</v>
      </c>
      <c r="K11646" s="10" t="s">
        <v>24</v>
      </c>
    </row>
    <row r="11647" spans="1:11" ht="54" customHeight="1">
      <c r="A11647" s="9" t="s">
        <v>23771</v>
      </c>
      <c r="B11647" s="9" t="s">
        <v>23772</v>
      </c>
      <c r="C11647" s="9" t="s">
        <v>17</v>
      </c>
      <c r="D11647" s="9" t="s">
        <v>18</v>
      </c>
      <c r="E11647" s="10" t="s">
        <v>1002</v>
      </c>
      <c r="F11647" s="9" t="s">
        <v>1003</v>
      </c>
      <c r="G11647" s="10" t="s">
        <v>86</v>
      </c>
      <c r="H11647" s="9" t="s">
        <v>22</v>
      </c>
      <c r="I11647" s="9" t="s">
        <v>23773</v>
      </c>
      <c r="J11647" s="10" t="str">
        <f>HYPERLINK("https://www.boe.es/gazeta/dias/1834/06/26/pdfs/GMD-1834-129.pdf#page=2","Abrir facsímil")</f>
        <v>Abrir facsímil</v>
      </c>
      <c r="K11647" s="10" t="s">
        <v>24</v>
      </c>
    </row>
    <row r="11648" spans="1:11" ht="54" customHeight="1">
      <c r="A11648" s="9" t="s">
        <v>23774</v>
      </c>
      <c r="B11648" s="9" t="s">
        <v>23775</v>
      </c>
      <c r="C11648" s="9" t="s">
        <v>17</v>
      </c>
      <c r="D11648" s="9" t="s">
        <v>18</v>
      </c>
      <c r="E11648" s="10" t="s">
        <v>304</v>
      </c>
      <c r="F11648" s="9" t="s">
        <v>305</v>
      </c>
      <c r="G11648" s="10" t="s">
        <v>176</v>
      </c>
      <c r="H11648" s="9" t="s">
        <v>22</v>
      </c>
      <c r="I11648" s="9" t="s">
        <v>23776</v>
      </c>
      <c r="J11648" s="10" t="str">
        <f>HYPERLINK("https://www.boe.es/gazeta/dias/1834/01/21/pdfs/GMD-1834-10.pdf#page=6","Abrir facsímil")</f>
        <v>Abrir facsímil</v>
      </c>
      <c r="K11648" s="10" t="s">
        <v>24</v>
      </c>
    </row>
    <row r="11649" spans="1:11" ht="54" customHeight="1">
      <c r="A11649" s="9" t="s">
        <v>23777</v>
      </c>
      <c r="B11649" s="9" t="s">
        <v>23778</v>
      </c>
      <c r="C11649" s="9" t="s">
        <v>17</v>
      </c>
      <c r="D11649" s="9" t="s">
        <v>18</v>
      </c>
      <c r="E11649" s="10" t="s">
        <v>4169</v>
      </c>
      <c r="F11649" s="9" t="s">
        <v>4170</v>
      </c>
      <c r="G11649" s="10" t="s">
        <v>75</v>
      </c>
      <c r="H11649" s="9" t="s">
        <v>35</v>
      </c>
      <c r="I11649" s="9" t="s">
        <v>23779</v>
      </c>
      <c r="J11649" s="10" t="str">
        <f>HYPERLINK("https://www.boe.es/gazeta/dias/1834/11/20/pdfs/GMD-1834-279.pdf#page=4","Abrir facsímil")</f>
        <v>Abrir facsímil</v>
      </c>
      <c r="K11649" s="10" t="s">
        <v>37</v>
      </c>
    </row>
    <row r="11650" spans="1:11" ht="54" customHeight="1">
      <c r="A11650" s="9" t="s">
        <v>23780</v>
      </c>
      <c r="B11650" s="9" t="s">
        <v>23780</v>
      </c>
      <c r="C11650" s="9" t="s">
        <v>66</v>
      </c>
      <c r="D11650" s="9" t="s">
        <v>67</v>
      </c>
      <c r="E11650" s="10" t="s">
        <v>1406</v>
      </c>
      <c r="F11650" s="9" t="s">
        <v>1407</v>
      </c>
      <c r="G11650" s="10" t="s">
        <v>86</v>
      </c>
      <c r="H11650" s="9" t="s">
        <v>22</v>
      </c>
      <c r="I11650" s="9" t="s">
        <v>23781</v>
      </c>
      <c r="J11650" s="10" t="str">
        <f>HYPERLINK("https://www.boe.es/gazeta/dias/1834/11/03/pdfs/GMD-1834-262.pdf#page=2","Abrir facsímil")</f>
        <v>Abrir facsímil</v>
      </c>
      <c r="K11650" s="10" t="s">
        <v>24</v>
      </c>
    </row>
    <row r="11651" spans="1:11" ht="54" customHeight="1">
      <c r="A11651" s="9" t="s">
        <v>23780</v>
      </c>
      <c r="B11651" s="9" t="s">
        <v>23780</v>
      </c>
      <c r="C11651" s="9" t="s">
        <v>17</v>
      </c>
      <c r="D11651" s="9" t="s">
        <v>18</v>
      </c>
      <c r="E11651" s="10" t="s">
        <v>2398</v>
      </c>
      <c r="F11651" s="9" t="s">
        <v>2399</v>
      </c>
      <c r="G11651" s="10" t="s">
        <v>75</v>
      </c>
      <c r="H11651" s="9" t="s">
        <v>22</v>
      </c>
      <c r="I11651" s="9" t="s">
        <v>23782</v>
      </c>
      <c r="J11651" s="10" t="str">
        <f>HYPERLINK("https://www.boe.es/gazeta/dias/1834/01/16/pdfs/GMD-1834-8.pdf#page=4","Abrir facsímil")</f>
        <v>Abrir facsímil</v>
      </c>
      <c r="K11651" s="10" t="s">
        <v>24</v>
      </c>
    </row>
    <row r="11652" spans="1:11" ht="54" customHeight="1">
      <c r="A11652" s="9" t="s">
        <v>23780</v>
      </c>
      <c r="B11652" s="9" t="s">
        <v>23780</v>
      </c>
      <c r="C11652" s="9" t="s">
        <v>90</v>
      </c>
      <c r="D11652" s="9" t="s">
        <v>18</v>
      </c>
      <c r="E11652" s="10" t="s">
        <v>2860</v>
      </c>
      <c r="F11652" s="9" t="s">
        <v>2861</v>
      </c>
      <c r="G11652" s="10" t="s">
        <v>21</v>
      </c>
      <c r="H11652" s="9" t="s">
        <v>22</v>
      </c>
      <c r="I11652" s="9" t="s">
        <v>23783</v>
      </c>
      <c r="J11652" s="10" t="str">
        <f>HYPERLINK("https://www.boe.es/gazeta/dias/1834/07/20/pdfs/GMD-1834-153.pdf#page=3","Abrir facsímil")</f>
        <v>Abrir facsímil</v>
      </c>
      <c r="K11652" s="10" t="s">
        <v>24</v>
      </c>
    </row>
    <row r="11653" spans="1:11" ht="54" customHeight="1">
      <c r="A11653" s="9" t="s">
        <v>23780</v>
      </c>
      <c r="B11653" s="9" t="s">
        <v>23780</v>
      </c>
      <c r="C11653" s="9" t="s">
        <v>17</v>
      </c>
      <c r="D11653" s="9" t="s">
        <v>18</v>
      </c>
      <c r="E11653" s="10" t="s">
        <v>1239</v>
      </c>
      <c r="F11653" s="9" t="s">
        <v>1240</v>
      </c>
      <c r="G11653" s="10" t="s">
        <v>34</v>
      </c>
      <c r="H11653" s="9" t="s">
        <v>22</v>
      </c>
      <c r="I11653" s="9" t="s">
        <v>23784</v>
      </c>
      <c r="J11653" s="10" t="str">
        <f>HYPERLINK("https://www.boe.es/gazeta/dias/1834/08/20/pdfs/GMD-1834-186.pdf#page=1","Abrir facsímil")</f>
        <v>Abrir facsímil</v>
      </c>
      <c r="K11653" s="10" t="s">
        <v>24</v>
      </c>
    </row>
    <row r="11654" spans="1:11" ht="54" customHeight="1">
      <c r="A11654" s="9" t="s">
        <v>23780</v>
      </c>
      <c r="B11654" s="9" t="s">
        <v>23780</v>
      </c>
      <c r="C11654" s="9" t="s">
        <v>17</v>
      </c>
      <c r="D11654" s="9" t="s">
        <v>55</v>
      </c>
      <c r="E11654" s="10" t="s">
        <v>32</v>
      </c>
      <c r="F11654" s="9" t="s">
        <v>33</v>
      </c>
      <c r="G11654" s="10" t="s">
        <v>86</v>
      </c>
      <c r="H11654" s="9" t="s">
        <v>22</v>
      </c>
      <c r="I11654" s="9" t="s">
        <v>23785</v>
      </c>
      <c r="J11654" s="10" t="str">
        <f>HYPERLINK("https://www.boe.es/gazeta/dias/1834/04/23/pdfs/GMD-1834-62.pdf#page=2","Abrir facsímil")</f>
        <v>Abrir facsímil</v>
      </c>
      <c r="K11654" s="10" t="s">
        <v>24</v>
      </c>
    </row>
    <row r="11655" spans="1:11" ht="54" customHeight="1">
      <c r="A11655" s="9" t="s">
        <v>23786</v>
      </c>
      <c r="B11655" s="9" t="s">
        <v>23787</v>
      </c>
      <c r="C11655" s="9" t="s">
        <v>66</v>
      </c>
      <c r="D11655" s="9" t="s">
        <v>18</v>
      </c>
      <c r="E11655" s="10" t="s">
        <v>1999</v>
      </c>
      <c r="F11655" s="9" t="s">
        <v>2000</v>
      </c>
      <c r="G11655" s="10" t="s">
        <v>75</v>
      </c>
      <c r="H11655" s="9" t="s">
        <v>22</v>
      </c>
      <c r="I11655" s="9" t="s">
        <v>23788</v>
      </c>
      <c r="J11655" s="10" t="str">
        <f>HYPERLINK("https://www.boe.es/gazeta/dias/1834/04/09/pdfs/GMD-1834-48.pdf#page=4","Abrir facsímil")</f>
        <v>Abrir facsímil</v>
      </c>
      <c r="K11655" s="10" t="s">
        <v>24</v>
      </c>
    </row>
    <row r="11656" spans="1:11" ht="54" customHeight="1">
      <c r="A11656" s="9" t="s">
        <v>23789</v>
      </c>
      <c r="B11656" s="9" t="s">
        <v>23790</v>
      </c>
      <c r="C11656" s="9" t="s">
        <v>90</v>
      </c>
      <c r="D11656" s="9" t="s">
        <v>18</v>
      </c>
      <c r="E11656" s="10" t="s">
        <v>615</v>
      </c>
      <c r="F11656" s="9" t="s">
        <v>616</v>
      </c>
      <c r="G11656" s="10" t="s">
        <v>21</v>
      </c>
      <c r="H11656" s="9" t="s">
        <v>22</v>
      </c>
      <c r="I11656" s="9" t="s">
        <v>23791</v>
      </c>
      <c r="J11656" s="10" t="str">
        <f>HYPERLINK("https://www.boe.es/gazeta/dias/1834/08/19/pdfs/GMD-1834-185.pdf#page=3","Abrir facsímil")</f>
        <v>Abrir facsímil</v>
      </c>
      <c r="K11656" s="10" t="s">
        <v>24</v>
      </c>
    </row>
    <row r="11657" spans="1:11" ht="54" customHeight="1">
      <c r="A11657" s="9" t="s">
        <v>23792</v>
      </c>
      <c r="B11657" s="9" t="s">
        <v>23793</v>
      </c>
      <c r="C11657" s="9" t="s">
        <v>46</v>
      </c>
      <c r="D11657" s="9" t="s">
        <v>101</v>
      </c>
      <c r="E11657" s="10" t="s">
        <v>2107</v>
      </c>
      <c r="F11657" s="9" t="s">
        <v>2108</v>
      </c>
      <c r="G11657" s="10" t="s">
        <v>21</v>
      </c>
      <c r="H11657" s="9" t="s">
        <v>22</v>
      </c>
      <c r="I11657" s="9" t="s">
        <v>23794</v>
      </c>
      <c r="J11657" s="10" t="str">
        <f>HYPERLINK("https://www.boe.es/gazeta/dias/1834/08/24/pdfs/GMD-1834-190.pdf#page=3","Abrir facsímil")</f>
        <v>Abrir facsímil</v>
      </c>
      <c r="K11657" s="10" t="s">
        <v>24</v>
      </c>
    </row>
    <row r="11658" spans="1:11" ht="54" customHeight="1">
      <c r="A11658" s="9" t="s">
        <v>23795</v>
      </c>
      <c r="B11658" s="9" t="s">
        <v>23795</v>
      </c>
      <c r="C11658" s="9" t="s">
        <v>66</v>
      </c>
      <c r="D11658" s="9" t="s">
        <v>18</v>
      </c>
      <c r="E11658" s="10" t="s">
        <v>251</v>
      </c>
      <c r="F11658" s="9" t="s">
        <v>1278</v>
      </c>
      <c r="G11658" s="10" t="s">
        <v>34</v>
      </c>
      <c r="H11658" s="9" t="s">
        <v>22</v>
      </c>
      <c r="I11658" s="9" t="s">
        <v>23796</v>
      </c>
      <c r="J11658" s="10" t="str">
        <f>HYPERLINK("https://www.boe.es/gazeta/dias/1834/09/26/pdfs/GMD-1834-224.pdf#page=1","Abrir facsímil")</f>
        <v>Abrir facsímil</v>
      </c>
      <c r="K11658" s="10" t="s">
        <v>24</v>
      </c>
    </row>
    <row r="11659" spans="1:11" ht="54" customHeight="1">
      <c r="A11659" s="9" t="s">
        <v>23797</v>
      </c>
      <c r="B11659" s="9" t="s">
        <v>23798</v>
      </c>
      <c r="C11659" s="9" t="s">
        <v>66</v>
      </c>
      <c r="D11659" s="9" t="s">
        <v>18</v>
      </c>
      <c r="E11659" s="10" t="s">
        <v>251</v>
      </c>
      <c r="F11659" s="9" t="s">
        <v>1278</v>
      </c>
      <c r="G11659" s="10" t="s">
        <v>34</v>
      </c>
      <c r="H11659" s="9" t="s">
        <v>22</v>
      </c>
      <c r="I11659" s="9" t="s">
        <v>23799</v>
      </c>
      <c r="J11659" s="10" t="str">
        <f>HYPERLINK("https://www.boe.es/gazeta/dias/1834/09/26/pdfs/GMD-1834-224.pdf#page=1","Abrir facsímil")</f>
        <v>Abrir facsímil</v>
      </c>
      <c r="K11659" s="10" t="s">
        <v>24</v>
      </c>
    </row>
    <row r="11660" spans="1:11" ht="54" customHeight="1">
      <c r="A11660" s="9" t="s">
        <v>23800</v>
      </c>
      <c r="B11660" s="9" t="s">
        <v>23801</v>
      </c>
      <c r="C11660" s="9" t="s">
        <v>17</v>
      </c>
      <c r="D11660" s="9" t="s">
        <v>18</v>
      </c>
      <c r="E11660" s="10" t="s">
        <v>73</v>
      </c>
      <c r="F11660" s="9" t="s">
        <v>1416</v>
      </c>
      <c r="G11660" s="10" t="s">
        <v>86</v>
      </c>
      <c r="H11660" s="9" t="s">
        <v>35</v>
      </c>
      <c r="I11660" s="9" t="s">
        <v>23802</v>
      </c>
      <c r="J11660" s="10" t="str">
        <f>HYPERLINK("https://www.boe.es/gazeta/dias/1834/11/04/pdfs/GMD-C-1834-263.pdf#page=2","Abrir facsímil")</f>
        <v>Abrir facsímil</v>
      </c>
      <c r="K11660" s="10" t="s">
        <v>37</v>
      </c>
    </row>
    <row r="11661" spans="1:11" ht="54" customHeight="1">
      <c r="A11661" s="9" t="s">
        <v>23803</v>
      </c>
      <c r="B11661" s="9" t="s">
        <v>23804</v>
      </c>
      <c r="C11661" s="9" t="s">
        <v>17</v>
      </c>
      <c r="D11661" s="9" t="s">
        <v>18</v>
      </c>
      <c r="E11661" s="10" t="s">
        <v>73</v>
      </c>
      <c r="F11661" s="9" t="s">
        <v>1416</v>
      </c>
      <c r="G11661" s="10" t="s">
        <v>86</v>
      </c>
      <c r="H11661" s="9" t="s">
        <v>22</v>
      </c>
      <c r="I11661" s="9" t="s">
        <v>23805</v>
      </c>
      <c r="J11661" s="10" t="str">
        <f>HYPERLINK("https://www.boe.es/gazeta/dias/1834/11/04/pdfs/GMD-C-1834-263.pdf#page=2","Abrir facsímil")</f>
        <v>Abrir facsímil</v>
      </c>
      <c r="K11661" s="10" t="s">
        <v>24</v>
      </c>
    </row>
    <row r="11662" spans="1:11" ht="54" customHeight="1">
      <c r="A11662" s="9" t="s">
        <v>23806</v>
      </c>
      <c r="B11662" s="9" t="s">
        <v>23807</v>
      </c>
      <c r="C11662" s="9" t="s">
        <v>66</v>
      </c>
      <c r="D11662" s="9" t="s">
        <v>67</v>
      </c>
      <c r="E11662" s="10" t="s">
        <v>3083</v>
      </c>
      <c r="F11662" s="9" t="s">
        <v>3084</v>
      </c>
      <c r="G11662" s="10" t="s">
        <v>21</v>
      </c>
      <c r="H11662" s="9" t="s">
        <v>35</v>
      </c>
      <c r="I11662" s="9" t="s">
        <v>23808</v>
      </c>
      <c r="J11662" s="10" t="str">
        <f>HYPERLINK("https://www.boe.es/gazeta/dias/1834/10/30/pdfs/GMD-1834-258.pdf#page=3","Abrir facsímil")</f>
        <v>Abrir facsímil</v>
      </c>
      <c r="K11662" s="10" t="s">
        <v>37</v>
      </c>
    </row>
    <row r="11663" spans="1:11" ht="54" customHeight="1">
      <c r="A11663" s="9" t="s">
        <v>23809</v>
      </c>
      <c r="B11663" s="9" t="s">
        <v>23810</v>
      </c>
      <c r="C11663" s="9" t="s">
        <v>66</v>
      </c>
      <c r="D11663" s="9" t="s">
        <v>67</v>
      </c>
      <c r="E11663" s="10" t="s">
        <v>3083</v>
      </c>
      <c r="F11663" s="9" t="s">
        <v>3084</v>
      </c>
      <c r="G11663" s="10" t="s">
        <v>21</v>
      </c>
      <c r="H11663" s="9" t="s">
        <v>22</v>
      </c>
      <c r="I11663" s="9" t="s">
        <v>23811</v>
      </c>
      <c r="J11663" s="10" t="str">
        <f>HYPERLINK("https://www.boe.es/gazeta/dias/1834/10/30/pdfs/GMD-1834-258.pdf#page=3","Abrir facsímil")</f>
        <v>Abrir facsímil</v>
      </c>
      <c r="K11663" s="10" t="s">
        <v>24</v>
      </c>
    </row>
    <row r="11664" spans="1:11" ht="54" customHeight="1">
      <c r="A11664" s="9" t="s">
        <v>23812</v>
      </c>
      <c r="B11664" s="9" t="s">
        <v>23813</v>
      </c>
      <c r="C11664" s="9" t="s">
        <v>17</v>
      </c>
      <c r="D11664" s="9" t="s">
        <v>18</v>
      </c>
      <c r="E11664" s="10" t="s">
        <v>367</v>
      </c>
      <c r="F11664" s="9" t="s">
        <v>368</v>
      </c>
      <c r="G11664" s="10" t="s">
        <v>34</v>
      </c>
      <c r="H11664" s="9" t="s">
        <v>35</v>
      </c>
      <c r="I11664" s="9" t="s">
        <v>23814</v>
      </c>
      <c r="J11664" s="10" t="str">
        <f>HYPERLINK("https://www.boe.es/gazeta/dias/1834/05/19/pdfs/GMD-1834-88.pdf#page=1","Abrir facsímil")</f>
        <v>Abrir facsímil</v>
      </c>
      <c r="K11664" s="10" t="s">
        <v>37</v>
      </c>
    </row>
    <row r="11665" spans="1:11" ht="54" customHeight="1">
      <c r="A11665" s="9" t="s">
        <v>23815</v>
      </c>
      <c r="B11665" s="9" t="s">
        <v>23816</v>
      </c>
      <c r="C11665" s="9" t="s">
        <v>66</v>
      </c>
      <c r="D11665" s="9" t="s">
        <v>67</v>
      </c>
      <c r="E11665" s="10" t="s">
        <v>1351</v>
      </c>
      <c r="F11665" s="9" t="s">
        <v>1352</v>
      </c>
      <c r="G11665" s="10" t="s">
        <v>75</v>
      </c>
      <c r="H11665" s="9" t="s">
        <v>35</v>
      </c>
      <c r="I11665" s="9" t="s">
        <v>23817</v>
      </c>
      <c r="J11665" s="10" t="str">
        <f>HYPERLINK("https://www.boe.es/gazeta/dias/1834/07/05/pdfs/GMD-1834-138.pdf#page=4","Abrir facsímil")</f>
        <v>Abrir facsímil</v>
      </c>
      <c r="K11665" s="10" t="s">
        <v>37</v>
      </c>
    </row>
    <row r="11666" spans="1:11" ht="54" customHeight="1">
      <c r="A11666" s="9" t="s">
        <v>23818</v>
      </c>
      <c r="B11666" s="9" t="s">
        <v>23819</v>
      </c>
      <c r="C11666" s="9" t="s">
        <v>17</v>
      </c>
      <c r="D11666" s="9" t="s">
        <v>18</v>
      </c>
      <c r="E11666" s="10" t="s">
        <v>367</v>
      </c>
      <c r="F11666" s="9" t="s">
        <v>368</v>
      </c>
      <c r="G11666" s="10" t="s">
        <v>34</v>
      </c>
      <c r="H11666" s="9" t="s">
        <v>22</v>
      </c>
      <c r="I11666" s="9" t="s">
        <v>23820</v>
      </c>
      <c r="J11666" s="10" t="str">
        <f>HYPERLINK("https://www.boe.es/gazeta/dias/1834/05/19/pdfs/GMD-1834-88.pdf#page=1","Abrir facsímil")</f>
        <v>Abrir facsímil</v>
      </c>
      <c r="K11666" s="10" t="s">
        <v>24</v>
      </c>
    </row>
    <row r="11667" spans="1:11" ht="54" customHeight="1">
      <c r="A11667" s="9" t="s">
        <v>23821</v>
      </c>
      <c r="B11667" s="9" t="s">
        <v>23822</v>
      </c>
      <c r="C11667" s="9" t="s">
        <v>66</v>
      </c>
      <c r="D11667" s="9" t="s">
        <v>67</v>
      </c>
      <c r="E11667" s="10" t="s">
        <v>222</v>
      </c>
      <c r="F11667" s="9" t="s">
        <v>223</v>
      </c>
      <c r="G11667" s="10" t="s">
        <v>21</v>
      </c>
      <c r="H11667" s="9" t="s">
        <v>22</v>
      </c>
      <c r="I11667" s="9" t="s">
        <v>23823</v>
      </c>
      <c r="J11667" s="10" t="str">
        <f>HYPERLINK("https://www.boe.es/gazeta/dias/1834/09/14/pdfs/GMD-1834-212.pdf#page=3","Abrir facsímil")</f>
        <v>Abrir facsímil</v>
      </c>
      <c r="K11667" s="10" t="s">
        <v>24</v>
      </c>
    </row>
    <row r="11668" spans="1:11" ht="54" customHeight="1">
      <c r="A11668" s="9" t="s">
        <v>23824</v>
      </c>
      <c r="B11668" s="9" t="s">
        <v>23825</v>
      </c>
      <c r="C11668" s="9" t="s">
        <v>66</v>
      </c>
      <c r="D11668" s="9" t="s">
        <v>67</v>
      </c>
      <c r="E11668" s="10" t="s">
        <v>1351</v>
      </c>
      <c r="F11668" s="9" t="s">
        <v>1352</v>
      </c>
      <c r="G11668" s="10" t="s">
        <v>75</v>
      </c>
      <c r="H11668" s="9" t="s">
        <v>22</v>
      </c>
      <c r="I11668" s="9" t="s">
        <v>23826</v>
      </c>
      <c r="J11668" s="10" t="str">
        <f>HYPERLINK("https://www.boe.es/gazeta/dias/1834/07/05/pdfs/GMD-1834-138.pdf#page=4","Abrir facsímil")</f>
        <v>Abrir facsímil</v>
      </c>
      <c r="K11668" s="10" t="s">
        <v>24</v>
      </c>
    </row>
    <row r="11669" spans="1:11" ht="54" customHeight="1">
      <c r="A11669" s="9" t="s">
        <v>23827</v>
      </c>
      <c r="B11669" s="9" t="s">
        <v>23828</v>
      </c>
      <c r="C11669" s="9" t="s">
        <v>17</v>
      </c>
      <c r="D11669" s="9" t="s">
        <v>18</v>
      </c>
      <c r="E11669" s="10" t="s">
        <v>1281</v>
      </c>
      <c r="F11669" s="9" t="s">
        <v>1282</v>
      </c>
      <c r="G11669" s="10" t="s">
        <v>21</v>
      </c>
      <c r="H11669" s="9" t="s">
        <v>22</v>
      </c>
      <c r="I11669" s="9" t="s">
        <v>23829</v>
      </c>
      <c r="J11669" s="10" t="str">
        <f>HYPERLINK("https://www.boe.es/gazeta/dias/1834/10/27/pdfs/GMD-1834-255.pdf#page=3","Abrir facsímil")</f>
        <v>Abrir facsímil</v>
      </c>
      <c r="K11669" s="10" t="s">
        <v>24</v>
      </c>
    </row>
    <row r="11670" spans="1:11" ht="54" customHeight="1">
      <c r="A11670" s="9" t="s">
        <v>23830</v>
      </c>
      <c r="B11670" s="9" t="s">
        <v>23831</v>
      </c>
      <c r="C11670" s="9" t="s">
        <v>66</v>
      </c>
      <c r="D11670" s="9" t="s">
        <v>18</v>
      </c>
      <c r="E11670" s="10" t="s">
        <v>813</v>
      </c>
      <c r="F11670" s="9" t="s">
        <v>814</v>
      </c>
      <c r="G11670" s="10" t="s">
        <v>21</v>
      </c>
      <c r="H11670" s="9" t="s">
        <v>22</v>
      </c>
      <c r="I11670" s="9" t="s">
        <v>23832</v>
      </c>
      <c r="J11670" s="10" t="str">
        <f>HYPERLINK("https://www.boe.es/gazeta/dias/1834/08/08/pdfs/GMD-1834-173.pdf#page=3","Abrir facsímil")</f>
        <v>Abrir facsímil</v>
      </c>
      <c r="K11670" s="10" t="s">
        <v>24</v>
      </c>
    </row>
    <row r="11671" spans="1:11" ht="54" customHeight="1">
      <c r="A11671" s="9" t="s">
        <v>23833</v>
      </c>
      <c r="B11671" s="9" t="s">
        <v>23834</v>
      </c>
      <c r="C11671" s="9" t="s">
        <v>17</v>
      </c>
      <c r="D11671" s="9" t="s">
        <v>18</v>
      </c>
      <c r="E11671" s="10" t="s">
        <v>128</v>
      </c>
      <c r="F11671" s="9" t="s">
        <v>1068</v>
      </c>
      <c r="G11671" s="10" t="s">
        <v>75</v>
      </c>
      <c r="H11671" s="9" t="s">
        <v>35</v>
      </c>
      <c r="I11671" s="9" t="s">
        <v>23835</v>
      </c>
      <c r="J11671" s="10" t="str">
        <f>HYPERLINK("https://www.boe.es/gazeta/dias/1834/12/24/pdfs/GMD-1834-314.pdf#page=4","Abrir facsímil")</f>
        <v>Abrir facsímil</v>
      </c>
      <c r="K11671" s="10" t="s">
        <v>37</v>
      </c>
    </row>
    <row r="11672" spans="1:11" ht="54" customHeight="1">
      <c r="A11672" s="9" t="s">
        <v>23836</v>
      </c>
      <c r="B11672" s="9" t="s">
        <v>23837</v>
      </c>
      <c r="C11672" s="9" t="s">
        <v>17</v>
      </c>
      <c r="D11672" s="9" t="s">
        <v>18</v>
      </c>
      <c r="E11672" s="10" t="s">
        <v>128</v>
      </c>
      <c r="F11672" s="9" t="s">
        <v>1068</v>
      </c>
      <c r="G11672" s="10" t="s">
        <v>75</v>
      </c>
      <c r="H11672" s="9" t="s">
        <v>22</v>
      </c>
      <c r="I11672" s="9" t="s">
        <v>23838</v>
      </c>
      <c r="J11672" s="10" t="str">
        <f>HYPERLINK("https://www.boe.es/gazeta/dias/1834/12/24/pdfs/GMD-1834-314.pdf#page=4","Abrir facsímil")</f>
        <v>Abrir facsímil</v>
      </c>
      <c r="K11672" s="10" t="s">
        <v>24</v>
      </c>
    </row>
    <row r="11673" spans="1:11" ht="54" customHeight="1">
      <c r="A11673" s="9" t="s">
        <v>23839</v>
      </c>
      <c r="B11673" s="9" t="s">
        <v>23840</v>
      </c>
      <c r="C11673" s="9" t="s">
        <v>17</v>
      </c>
      <c r="D11673" s="9" t="s">
        <v>18</v>
      </c>
      <c r="E11673" s="10" t="s">
        <v>1008</v>
      </c>
      <c r="F11673" s="9" t="s">
        <v>2991</v>
      </c>
      <c r="G11673" s="10" t="s">
        <v>75</v>
      </c>
      <c r="H11673" s="9" t="s">
        <v>22</v>
      </c>
      <c r="I11673" s="9" t="s">
        <v>23841</v>
      </c>
      <c r="J11673" s="10" t="str">
        <f>HYPERLINK("https://www.boe.es/gazeta/dias/1834/11/08/pdfs/GMD-1834-267.pdf#page=4","Abrir facsímil")</f>
        <v>Abrir facsímil</v>
      </c>
      <c r="K11673" s="10" t="s">
        <v>24</v>
      </c>
    </row>
    <row r="11674" spans="1:11" ht="54" customHeight="1">
      <c r="A11674" s="9" t="s">
        <v>23842</v>
      </c>
      <c r="B11674" s="9" t="s">
        <v>23842</v>
      </c>
      <c r="C11674" s="9" t="s">
        <v>66</v>
      </c>
      <c r="D11674" s="9" t="s">
        <v>67</v>
      </c>
      <c r="E11674" s="10" t="s">
        <v>3248</v>
      </c>
      <c r="F11674" s="9" t="s">
        <v>3249</v>
      </c>
      <c r="G11674" s="10" t="s">
        <v>21</v>
      </c>
      <c r="H11674" s="9" t="s">
        <v>22</v>
      </c>
      <c r="I11674" s="9" t="s">
        <v>23843</v>
      </c>
      <c r="J11674" s="10" t="str">
        <f>HYPERLINK("https://www.boe.es/gazeta/dias/1834/09/20/pdfs/GMD-1834-218.pdf#page=3","Abrir facsímil")</f>
        <v>Abrir facsímil</v>
      </c>
      <c r="K11674" s="10" t="s">
        <v>24</v>
      </c>
    </row>
    <row r="11675" spans="1:11" ht="54" customHeight="1">
      <c r="A11675" s="9" t="s">
        <v>23842</v>
      </c>
      <c r="B11675" s="9" t="s">
        <v>23842</v>
      </c>
      <c r="C11675" s="9" t="s">
        <v>17</v>
      </c>
      <c r="D11675" s="9" t="s">
        <v>18</v>
      </c>
      <c r="E11675" s="10" t="s">
        <v>3248</v>
      </c>
      <c r="F11675" s="9" t="s">
        <v>3249</v>
      </c>
      <c r="G11675" s="10" t="s">
        <v>75</v>
      </c>
      <c r="H11675" s="9" t="s">
        <v>22</v>
      </c>
      <c r="I11675" s="9" t="s">
        <v>23844</v>
      </c>
      <c r="J11675" s="10" t="str">
        <f>HYPERLINK("https://www.boe.es/gazeta/dias/1834/09/20/pdfs/GMD-1834-218.pdf#page=4","Abrir facsímil")</f>
        <v>Abrir facsímil</v>
      </c>
      <c r="K11675" s="10" t="s">
        <v>24</v>
      </c>
    </row>
    <row r="11676" spans="1:11" ht="54" customHeight="1">
      <c r="A11676" s="9" t="s">
        <v>23845</v>
      </c>
      <c r="B11676" s="9" t="s">
        <v>23845</v>
      </c>
      <c r="C11676" s="9" t="s">
        <v>17</v>
      </c>
      <c r="D11676" s="9" t="s">
        <v>18</v>
      </c>
      <c r="E11676" s="10" t="s">
        <v>571</v>
      </c>
      <c r="F11676" s="9" t="s">
        <v>572</v>
      </c>
      <c r="G11676" s="10" t="s">
        <v>34</v>
      </c>
      <c r="H11676" s="9" t="s">
        <v>22</v>
      </c>
      <c r="I11676" s="9" t="s">
        <v>23846</v>
      </c>
      <c r="J11676" s="10" t="str">
        <f>HYPERLINK("https://www.boe.es/gazeta/dias/1834/09/04/pdfs/GMD-1834-202.pdf#page=1","Abrir facsímil")</f>
        <v>Abrir facsímil</v>
      </c>
      <c r="K11676" s="10" t="s">
        <v>24</v>
      </c>
    </row>
    <row r="11677" spans="1:11" ht="54" customHeight="1">
      <c r="A11677" s="9" t="s">
        <v>23845</v>
      </c>
      <c r="B11677" s="9" t="s">
        <v>23845</v>
      </c>
      <c r="C11677" s="9" t="s">
        <v>17</v>
      </c>
      <c r="D11677" s="9" t="s">
        <v>18</v>
      </c>
      <c r="E11677" s="10" t="s">
        <v>41</v>
      </c>
      <c r="F11677" s="9" t="s">
        <v>42</v>
      </c>
      <c r="G11677" s="10" t="s">
        <v>86</v>
      </c>
      <c r="H11677" s="9" t="s">
        <v>22</v>
      </c>
      <c r="I11677" s="9" t="s">
        <v>23847</v>
      </c>
      <c r="J11677" s="10" t="str">
        <f>HYPERLINK("https://www.boe.es/gazeta/dias/1834/06/11/pdfs/GMD-1834-114.pdf#page=2","Abrir facsímil")</f>
        <v>Abrir facsímil</v>
      </c>
      <c r="K11677" s="10" t="s">
        <v>24</v>
      </c>
    </row>
    <row r="11678" spans="1:11" ht="54" customHeight="1">
      <c r="A11678" s="9" t="s">
        <v>23845</v>
      </c>
      <c r="B11678" s="9" t="s">
        <v>23845</v>
      </c>
      <c r="C11678" s="9" t="s">
        <v>17</v>
      </c>
      <c r="D11678" s="9" t="s">
        <v>55</v>
      </c>
      <c r="E11678" s="10" t="s">
        <v>334</v>
      </c>
      <c r="F11678" s="9" t="s">
        <v>567</v>
      </c>
      <c r="G11678" s="10" t="s">
        <v>86</v>
      </c>
      <c r="H11678" s="9" t="s">
        <v>22</v>
      </c>
      <c r="I11678" s="9" t="s">
        <v>23848</v>
      </c>
      <c r="J11678" s="10" t="str">
        <f>HYPERLINK("https://www.boe.es/gazeta/dias/1834/09/11/pdfs/GMD-1834-209.pdf#page=2","Abrir facsímil")</f>
        <v>Abrir facsímil</v>
      </c>
      <c r="K11678" s="10" t="s">
        <v>24</v>
      </c>
    </row>
    <row r="11679" spans="1:11" ht="54" customHeight="1">
      <c r="A11679" s="9" t="s">
        <v>23845</v>
      </c>
      <c r="B11679" s="9" t="s">
        <v>23845</v>
      </c>
      <c r="C11679" s="9" t="s">
        <v>17</v>
      </c>
      <c r="D11679" s="9" t="s">
        <v>55</v>
      </c>
      <c r="E11679" s="10" t="s">
        <v>1438</v>
      </c>
      <c r="F11679" s="9" t="s">
        <v>1439</v>
      </c>
      <c r="G11679" s="10" t="s">
        <v>86</v>
      </c>
      <c r="H11679" s="9" t="s">
        <v>22</v>
      </c>
      <c r="I11679" s="9" t="s">
        <v>23849</v>
      </c>
      <c r="J11679" s="10" t="str">
        <f>HYPERLINK("https://www.boe.es/gazeta/dias/1834/05/13/pdfs/GMD-1834-82.pdf#page=2","Abrir facsímil")</f>
        <v>Abrir facsímil</v>
      </c>
      <c r="K11679" s="10" t="s">
        <v>24</v>
      </c>
    </row>
    <row r="11680" spans="1:11" ht="54" customHeight="1">
      <c r="A11680" s="9" t="s">
        <v>23845</v>
      </c>
      <c r="B11680" s="9" t="s">
        <v>23845</v>
      </c>
      <c r="C11680" s="9" t="s">
        <v>17</v>
      </c>
      <c r="D11680" s="9" t="s">
        <v>18</v>
      </c>
      <c r="E11680" s="10" t="s">
        <v>2888</v>
      </c>
      <c r="F11680" s="9" t="s">
        <v>2889</v>
      </c>
      <c r="G11680" s="10" t="s">
        <v>86</v>
      </c>
      <c r="H11680" s="9" t="s">
        <v>22</v>
      </c>
      <c r="I11680" s="9" t="s">
        <v>23850</v>
      </c>
      <c r="J11680" s="10" t="str">
        <f>HYPERLINK("https://www.boe.es/gazeta/dias/1834/12/22/pdfs/GMD-1834-312.pdf#page=2","Abrir facsímil")</f>
        <v>Abrir facsímil</v>
      </c>
      <c r="K11680" s="10" t="s">
        <v>24</v>
      </c>
    </row>
    <row r="11681" spans="1:11" ht="54" customHeight="1">
      <c r="A11681" s="9" t="s">
        <v>23845</v>
      </c>
      <c r="B11681" s="9" t="s">
        <v>23845</v>
      </c>
      <c r="C11681" s="9" t="s">
        <v>90</v>
      </c>
      <c r="D11681" s="9" t="s">
        <v>18</v>
      </c>
      <c r="E11681" s="10" t="s">
        <v>1307</v>
      </c>
      <c r="F11681" s="9" t="s">
        <v>1308</v>
      </c>
      <c r="G11681" s="10" t="s">
        <v>34</v>
      </c>
      <c r="H11681" s="9" t="s">
        <v>22</v>
      </c>
      <c r="I11681" s="9" t="s">
        <v>23851</v>
      </c>
      <c r="J11681" s="10" t="str">
        <f>HYPERLINK("https://www.boe.es/gazeta/dias/1834/08/25/pdfs/GMD-1834-191.pdf#page=1","Abrir facsímil")</f>
        <v>Abrir facsímil</v>
      </c>
      <c r="K11681" s="10" t="s">
        <v>24</v>
      </c>
    </row>
    <row r="11682" spans="1:11" ht="54" customHeight="1">
      <c r="A11682" s="9" t="s">
        <v>23845</v>
      </c>
      <c r="B11682" s="9" t="s">
        <v>23845</v>
      </c>
      <c r="C11682" s="9" t="s">
        <v>17</v>
      </c>
      <c r="D11682" s="9" t="s">
        <v>18</v>
      </c>
      <c r="E11682" s="10" t="s">
        <v>1677</v>
      </c>
      <c r="F11682" s="9" t="s">
        <v>1678</v>
      </c>
      <c r="G11682" s="10" t="s">
        <v>86</v>
      </c>
      <c r="H11682" s="9" t="s">
        <v>22</v>
      </c>
      <c r="I11682" s="9" t="s">
        <v>23852</v>
      </c>
      <c r="J11682" s="10" t="str">
        <f>HYPERLINK("https://www.boe.es/gazeta/dias/1834/07/26/pdfs/GMD-1834-159.pdf#page=2","Abrir facsímil")</f>
        <v>Abrir facsímil</v>
      </c>
      <c r="K11682" s="10" t="s">
        <v>24</v>
      </c>
    </row>
    <row r="11683" spans="1:11" ht="54" customHeight="1">
      <c r="A11683" s="9" t="s">
        <v>23853</v>
      </c>
      <c r="B11683" s="9" t="s">
        <v>23854</v>
      </c>
      <c r="C11683" s="9" t="s">
        <v>17</v>
      </c>
      <c r="D11683" s="9" t="s">
        <v>18</v>
      </c>
      <c r="E11683" s="10" t="s">
        <v>615</v>
      </c>
      <c r="F11683" s="9" t="s">
        <v>616</v>
      </c>
      <c r="G11683" s="10" t="s">
        <v>21</v>
      </c>
      <c r="H11683" s="9" t="s">
        <v>22</v>
      </c>
      <c r="I11683" s="9" t="s">
        <v>23855</v>
      </c>
      <c r="J11683" s="10" t="str">
        <f>HYPERLINK("https://www.boe.es/gazeta/dias/1834/08/19/pdfs/GMD-1834-185.pdf#page=3","Abrir facsímil")</f>
        <v>Abrir facsímil</v>
      </c>
      <c r="K11683" s="10" t="s">
        <v>24</v>
      </c>
    </row>
    <row r="11684" spans="1:11" ht="54" customHeight="1">
      <c r="A11684" s="9" t="s">
        <v>23856</v>
      </c>
      <c r="B11684" s="9" t="s">
        <v>23856</v>
      </c>
      <c r="C11684" s="9" t="s">
        <v>66</v>
      </c>
      <c r="D11684" s="9" t="s">
        <v>67</v>
      </c>
      <c r="E11684" s="10" t="s">
        <v>286</v>
      </c>
      <c r="F11684" s="9" t="s">
        <v>548</v>
      </c>
      <c r="G11684" s="10" t="s">
        <v>86</v>
      </c>
      <c r="H11684" s="9" t="s">
        <v>22</v>
      </c>
      <c r="I11684" s="9" t="s">
        <v>23857</v>
      </c>
      <c r="J11684" s="10" t="str">
        <f>HYPERLINK("https://www.boe.es/gazeta/dias/1834/08/30/pdfs/GMD-1834-196.pdf#page=2","Abrir facsímil")</f>
        <v>Abrir facsímil</v>
      </c>
      <c r="K11684" s="10" t="s">
        <v>24</v>
      </c>
    </row>
    <row r="11685" spans="1:11" ht="54" customHeight="1">
      <c r="A11685" s="9" t="s">
        <v>23858</v>
      </c>
      <c r="B11685" s="9" t="s">
        <v>23859</v>
      </c>
      <c r="C11685" s="9" t="s">
        <v>17</v>
      </c>
      <c r="D11685" s="9" t="s">
        <v>18</v>
      </c>
      <c r="E11685" s="10" t="s">
        <v>4565</v>
      </c>
      <c r="F11685" s="9" t="s">
        <v>4566</v>
      </c>
      <c r="G11685" s="10" t="s">
        <v>75</v>
      </c>
      <c r="H11685" s="9" t="s">
        <v>35</v>
      </c>
      <c r="I11685" s="9" t="s">
        <v>23860</v>
      </c>
      <c r="J11685" s="10" t="str">
        <f>HYPERLINK("https://www.boe.es/gazeta/dias/1834/07/10/pdfs/GMD-1834-143.pdf#page=4","Abrir facsímil")</f>
        <v>Abrir facsímil</v>
      </c>
      <c r="K11685" s="10" t="s">
        <v>37</v>
      </c>
    </row>
    <row r="11686" spans="1:11" ht="54" customHeight="1">
      <c r="A11686" s="9" t="s">
        <v>23861</v>
      </c>
      <c r="B11686" s="9" t="s">
        <v>23862</v>
      </c>
      <c r="C11686" s="9" t="s">
        <v>66</v>
      </c>
      <c r="D11686" s="9" t="s">
        <v>67</v>
      </c>
      <c r="E11686" s="10" t="s">
        <v>2107</v>
      </c>
      <c r="F11686" s="9" t="s">
        <v>2108</v>
      </c>
      <c r="G11686" s="10" t="s">
        <v>75</v>
      </c>
      <c r="H11686" s="9" t="s">
        <v>22</v>
      </c>
      <c r="I11686" s="9" t="s">
        <v>23863</v>
      </c>
      <c r="J11686" s="10" t="str">
        <f>HYPERLINK("https://www.boe.es/gazeta/dias/1834/08/24/pdfs/GMD-1834-190.pdf#page=4","Abrir facsímil")</f>
        <v>Abrir facsímil</v>
      </c>
      <c r="K11686" s="10" t="s">
        <v>24</v>
      </c>
    </row>
    <row r="11687" spans="1:11" ht="54" customHeight="1">
      <c r="A11687" s="9" t="s">
        <v>23864</v>
      </c>
      <c r="B11687" s="9" t="s">
        <v>23864</v>
      </c>
      <c r="C11687" s="9" t="s">
        <v>66</v>
      </c>
      <c r="D11687" s="9" t="s">
        <v>67</v>
      </c>
      <c r="E11687" s="10" t="s">
        <v>286</v>
      </c>
      <c r="F11687" s="9" t="s">
        <v>548</v>
      </c>
      <c r="G11687" s="10" t="s">
        <v>86</v>
      </c>
      <c r="H11687" s="9" t="s">
        <v>22</v>
      </c>
      <c r="I11687" s="9" t="s">
        <v>23865</v>
      </c>
      <c r="J11687" s="10" t="str">
        <f>HYPERLINK("https://www.boe.es/gazeta/dias/1834/08/30/pdfs/GMD-1834-196.pdf#page=2","Abrir facsímil")</f>
        <v>Abrir facsímil</v>
      </c>
      <c r="K11687" s="10" t="s">
        <v>24</v>
      </c>
    </row>
    <row r="11688" spans="1:11" ht="54" customHeight="1">
      <c r="A11688" s="9" t="s">
        <v>23866</v>
      </c>
      <c r="B11688" s="9" t="s">
        <v>23867</v>
      </c>
      <c r="C11688" s="9" t="s">
        <v>17</v>
      </c>
      <c r="D11688" s="9" t="s">
        <v>18</v>
      </c>
      <c r="E11688" s="10" t="s">
        <v>479</v>
      </c>
      <c r="F11688" s="9" t="s">
        <v>480</v>
      </c>
      <c r="G11688" s="10" t="s">
        <v>86</v>
      </c>
      <c r="H11688" s="9" t="s">
        <v>22</v>
      </c>
      <c r="I11688" s="9" t="s">
        <v>23868</v>
      </c>
      <c r="J11688" s="10" t="str">
        <f>HYPERLINK("https://www.boe.es/gazeta/dias/1834/08/13/pdfs/GMD-1834-178.pdf#page=2","Abrir facsímil")</f>
        <v>Abrir facsímil</v>
      </c>
      <c r="K11688" s="10" t="s">
        <v>24</v>
      </c>
    </row>
    <row r="11689" spans="1:11" ht="54" customHeight="1">
      <c r="A11689" s="9" t="s">
        <v>23869</v>
      </c>
      <c r="B11689" s="9" t="s">
        <v>23869</v>
      </c>
      <c r="C11689" s="9" t="s">
        <v>46</v>
      </c>
      <c r="D11689" s="9" t="s">
        <v>18</v>
      </c>
      <c r="E11689" s="10" t="s">
        <v>3952</v>
      </c>
      <c r="F11689" s="9" t="s">
        <v>3953</v>
      </c>
      <c r="G11689" s="10" t="s">
        <v>21</v>
      </c>
      <c r="H11689" s="9" t="s">
        <v>22</v>
      </c>
      <c r="I11689" s="9" t="s">
        <v>23870</v>
      </c>
      <c r="J11689" s="10" t="str">
        <f>HYPERLINK("https://www.boe.es/gazeta/dias/1834/02/22/pdfs/GMD-1834-24.pdf#page=3","Abrir facsímil")</f>
        <v>Abrir facsímil</v>
      </c>
      <c r="K11689" s="10" t="s">
        <v>24</v>
      </c>
    </row>
    <row r="11690" spans="1:11" ht="54" customHeight="1">
      <c r="A11690" s="9" t="s">
        <v>23871</v>
      </c>
      <c r="B11690" s="9" t="s">
        <v>23872</v>
      </c>
      <c r="C11690" s="9" t="s">
        <v>17</v>
      </c>
      <c r="D11690" s="9" t="s">
        <v>18</v>
      </c>
      <c r="E11690" s="10" t="s">
        <v>258</v>
      </c>
      <c r="F11690" s="9" t="s">
        <v>1075</v>
      </c>
      <c r="G11690" s="10" t="s">
        <v>21</v>
      </c>
      <c r="H11690" s="9" t="s">
        <v>22</v>
      </c>
      <c r="I11690" s="9" t="s">
        <v>23873</v>
      </c>
      <c r="J11690" s="10" t="str">
        <f>HYPERLINK("https://www.boe.es/gazeta/dias/1834/10/09/pdfs/GMD-1834-237.pdf#page=3","Abrir facsímil")</f>
        <v>Abrir facsímil</v>
      </c>
      <c r="K11690" s="10" t="s">
        <v>24</v>
      </c>
    </row>
    <row r="11691" spans="1:11" ht="54" customHeight="1">
      <c r="A11691" s="9" t="s">
        <v>23874</v>
      </c>
      <c r="B11691" s="9" t="s">
        <v>23874</v>
      </c>
      <c r="C11691" s="9" t="s">
        <v>66</v>
      </c>
      <c r="D11691" s="9" t="s">
        <v>67</v>
      </c>
      <c r="E11691" s="10" t="s">
        <v>863</v>
      </c>
      <c r="F11691" s="9" t="s">
        <v>864</v>
      </c>
      <c r="G11691" s="10" t="s">
        <v>21</v>
      </c>
      <c r="H11691" s="9" t="s">
        <v>22</v>
      </c>
      <c r="I11691" s="9" t="s">
        <v>23875</v>
      </c>
      <c r="J11691" s="10" t="str">
        <f>HYPERLINK("https://www.boe.es/gazeta/dias/1834/09/15/pdfs/GMD-1834-213.pdf#page=3","Abrir facsímil")</f>
        <v>Abrir facsímil</v>
      </c>
      <c r="K11691" s="10" t="s">
        <v>24</v>
      </c>
    </row>
    <row r="11692" spans="1:11" ht="54" customHeight="1">
      <c r="A11692" s="9" t="s">
        <v>23876</v>
      </c>
      <c r="B11692" s="9" t="s">
        <v>23877</v>
      </c>
      <c r="C11692" s="9" t="s">
        <v>90</v>
      </c>
      <c r="D11692" s="9" t="s">
        <v>18</v>
      </c>
      <c r="E11692" s="10" t="s">
        <v>1661</v>
      </c>
      <c r="F11692" s="9" t="s">
        <v>1662</v>
      </c>
      <c r="G11692" s="10" t="s">
        <v>34</v>
      </c>
      <c r="H11692" s="9" t="s">
        <v>22</v>
      </c>
      <c r="I11692" s="9" t="s">
        <v>23878</v>
      </c>
      <c r="J11692" s="10" t="str">
        <f>HYPERLINK("https://www.boe.es/gazeta/dias/1834/04/06/pdfs/GMD-1834-45.pdf#page=1","Abrir facsímil")</f>
        <v>Abrir facsímil</v>
      </c>
      <c r="K11692" s="10" t="s">
        <v>24</v>
      </c>
    </row>
    <row r="11693" spans="1:11" ht="54" customHeight="1">
      <c r="A11693" s="9" t="s">
        <v>23876</v>
      </c>
      <c r="B11693" s="9" t="s">
        <v>23877</v>
      </c>
      <c r="C11693" s="9" t="s">
        <v>90</v>
      </c>
      <c r="D11693" s="9" t="s">
        <v>67</v>
      </c>
      <c r="E11693" s="10" t="s">
        <v>273</v>
      </c>
      <c r="F11693" s="9" t="s">
        <v>274</v>
      </c>
      <c r="G11693" s="10" t="s">
        <v>28</v>
      </c>
      <c r="H11693" s="9" t="s">
        <v>22</v>
      </c>
      <c r="I11693" s="9" t="s">
        <v>23879</v>
      </c>
      <c r="J11693" s="10" t="str">
        <f>HYPERLINK("https://www.boe.es/gazeta/dias/1834/08/31/pdfs/GMD-C-1834-198.pdf#page=5","Abrir facsímil")</f>
        <v>Abrir facsímil</v>
      </c>
      <c r="K11693" s="10" t="s">
        <v>24</v>
      </c>
    </row>
    <row r="11694" spans="1:11" ht="54" customHeight="1">
      <c r="A11694" s="9" t="s">
        <v>23880</v>
      </c>
      <c r="B11694" s="9" t="s">
        <v>23880</v>
      </c>
      <c r="C11694" s="9" t="s">
        <v>17</v>
      </c>
      <c r="D11694" s="9" t="s">
        <v>18</v>
      </c>
      <c r="E11694" s="10" t="s">
        <v>200</v>
      </c>
      <c r="F11694" s="9" t="s">
        <v>201</v>
      </c>
      <c r="G11694" s="10" t="s">
        <v>21</v>
      </c>
      <c r="H11694" s="9" t="s">
        <v>22</v>
      </c>
      <c r="I11694" s="9" t="s">
        <v>23881</v>
      </c>
      <c r="J11694" s="10" t="str">
        <f>HYPERLINK("https://www.boe.es/gazeta/dias/1834/12/11/pdfs/GMD-1834-300.pdf#page=3","Abrir facsímil")</f>
        <v>Abrir facsímil</v>
      </c>
      <c r="K11694" s="10" t="s">
        <v>24</v>
      </c>
    </row>
    <row r="11695" spans="1:11" ht="54" customHeight="1">
      <c r="A11695" s="9" t="s">
        <v>23882</v>
      </c>
      <c r="B11695" s="9" t="s">
        <v>23883</v>
      </c>
      <c r="C11695" s="9" t="s">
        <v>66</v>
      </c>
      <c r="D11695" s="9" t="s">
        <v>18</v>
      </c>
      <c r="E11695" s="10" t="s">
        <v>1297</v>
      </c>
      <c r="F11695" s="9" t="s">
        <v>1879</v>
      </c>
      <c r="G11695" s="10" t="s">
        <v>34</v>
      </c>
      <c r="H11695" s="9" t="s">
        <v>35</v>
      </c>
      <c r="I11695" s="9" t="s">
        <v>23884</v>
      </c>
      <c r="J11695" s="10" t="str">
        <f>HYPERLINK("https://www.boe.es/gazeta/dias/1834/08/01/pdfs/GMD-D-1834-165.pdf#page=1","Abrir facsímil")</f>
        <v>Abrir facsímil</v>
      </c>
      <c r="K11695" s="10" t="s">
        <v>37</v>
      </c>
    </row>
    <row r="11696" spans="1:11" ht="54" customHeight="1">
      <c r="A11696" s="9" t="s">
        <v>23885</v>
      </c>
      <c r="B11696" s="9" t="s">
        <v>23886</v>
      </c>
      <c r="C11696" s="9" t="s">
        <v>66</v>
      </c>
      <c r="D11696" s="9" t="s">
        <v>18</v>
      </c>
      <c r="E11696" s="10" t="s">
        <v>1297</v>
      </c>
      <c r="F11696" s="9" t="s">
        <v>1879</v>
      </c>
      <c r="G11696" s="10" t="s">
        <v>34</v>
      </c>
      <c r="H11696" s="9" t="s">
        <v>22</v>
      </c>
      <c r="I11696" s="9" t="s">
        <v>23887</v>
      </c>
      <c r="J11696" s="10" t="str">
        <f>HYPERLINK("https://www.boe.es/gazeta/dias/1834/08/01/pdfs/GMD-D-1834-165.pdf#page=1","Abrir facsímil")</f>
        <v>Abrir facsímil</v>
      </c>
      <c r="K11696" s="10" t="s">
        <v>24</v>
      </c>
    </row>
    <row r="11697" spans="1:11" ht="54" customHeight="1">
      <c r="A11697" s="9" t="s">
        <v>23888</v>
      </c>
      <c r="B11697" s="9" t="s">
        <v>23889</v>
      </c>
      <c r="C11697" s="9" t="s">
        <v>17</v>
      </c>
      <c r="D11697" s="9" t="s">
        <v>18</v>
      </c>
      <c r="E11697" s="10" t="s">
        <v>200</v>
      </c>
      <c r="F11697" s="9" t="s">
        <v>201</v>
      </c>
      <c r="G11697" s="10" t="s">
        <v>21</v>
      </c>
      <c r="H11697" s="9" t="s">
        <v>22</v>
      </c>
      <c r="I11697" s="9" t="s">
        <v>23881</v>
      </c>
      <c r="J11697" s="10" t="str">
        <f>HYPERLINK("https://www.boe.es/gazeta/dias/1834/12/11/pdfs/GMD-1834-300.pdf#page=3","Abrir facsímil")</f>
        <v>Abrir facsímil</v>
      </c>
      <c r="K11697" s="10" t="s">
        <v>24</v>
      </c>
    </row>
    <row r="11698" spans="1:11" ht="54" customHeight="1">
      <c r="A11698" s="9" t="s">
        <v>23890</v>
      </c>
      <c r="B11698" s="9" t="s">
        <v>23890</v>
      </c>
      <c r="C11698" s="9" t="s">
        <v>17</v>
      </c>
      <c r="D11698" s="9" t="s">
        <v>18</v>
      </c>
      <c r="E11698" s="10" t="s">
        <v>715</v>
      </c>
      <c r="F11698" s="9" t="s">
        <v>716</v>
      </c>
      <c r="G11698" s="10" t="s">
        <v>34</v>
      </c>
      <c r="H11698" s="9" t="s">
        <v>22</v>
      </c>
      <c r="I11698" s="9" t="s">
        <v>23891</v>
      </c>
      <c r="J11698" s="10" t="str">
        <f>HYPERLINK("https://www.boe.es/gazeta/dias/1834/09/17/pdfs/GMD-C-1834-215.pdf#page=1","Abrir facsímil")</f>
        <v>Abrir facsímil</v>
      </c>
      <c r="K11698" s="10" t="s">
        <v>24</v>
      </c>
    </row>
    <row r="11699" spans="1:11" ht="54" customHeight="1">
      <c r="A11699" s="9" t="s">
        <v>23892</v>
      </c>
      <c r="B11699" s="9" t="s">
        <v>23892</v>
      </c>
      <c r="C11699" s="9" t="s">
        <v>46</v>
      </c>
      <c r="D11699" s="9" t="s">
        <v>101</v>
      </c>
      <c r="E11699" s="10" t="s">
        <v>1424</v>
      </c>
      <c r="F11699" s="9" t="s">
        <v>1425</v>
      </c>
      <c r="G11699" s="10" t="s">
        <v>28</v>
      </c>
      <c r="H11699" s="9" t="s">
        <v>22</v>
      </c>
      <c r="I11699" s="9" t="s">
        <v>23893</v>
      </c>
      <c r="J11699" s="10" t="str">
        <f>HYPERLINK("https://www.boe.es/gazeta/dias/1834/11/14/pdfs/GMD-C-1834-273.pdf#page=5","Abrir facsímil")</f>
        <v>Abrir facsímil</v>
      </c>
      <c r="K11699" s="10" t="s">
        <v>24</v>
      </c>
    </row>
    <row r="11700" spans="1:11" ht="54" customHeight="1">
      <c r="A11700" s="9" t="s">
        <v>23892</v>
      </c>
      <c r="B11700" s="9" t="s">
        <v>23892</v>
      </c>
      <c r="C11700" s="9" t="s">
        <v>90</v>
      </c>
      <c r="D11700" s="9" t="s">
        <v>18</v>
      </c>
      <c r="E11700" s="10" t="s">
        <v>1766</v>
      </c>
      <c r="F11700" s="9" t="s">
        <v>1767</v>
      </c>
      <c r="G11700" s="10" t="s">
        <v>86</v>
      </c>
      <c r="H11700" s="9" t="s">
        <v>22</v>
      </c>
      <c r="I11700" s="9" t="s">
        <v>23894</v>
      </c>
      <c r="J11700" s="10" t="str">
        <f>HYPERLINK("https://www.boe.es/gazeta/dias/1834/10/26/pdfs/GMD-C-1834-254.pdf#page=2","Abrir facsímil")</f>
        <v>Abrir facsímil</v>
      </c>
      <c r="K11700" s="10" t="s">
        <v>24</v>
      </c>
    </row>
    <row r="11701" spans="1:11" ht="54" customHeight="1">
      <c r="A11701" s="9" t="s">
        <v>23895</v>
      </c>
      <c r="B11701" s="9" t="s">
        <v>23895</v>
      </c>
      <c r="C11701" s="9" t="s">
        <v>17</v>
      </c>
      <c r="D11701" s="9" t="s">
        <v>18</v>
      </c>
      <c r="E11701" s="10" t="s">
        <v>1686</v>
      </c>
      <c r="F11701" s="9" t="s">
        <v>2311</v>
      </c>
      <c r="G11701" s="10" t="s">
        <v>34</v>
      </c>
      <c r="H11701" s="9" t="s">
        <v>22</v>
      </c>
      <c r="I11701" s="9" t="s">
        <v>23896</v>
      </c>
      <c r="J11701" s="10" t="str">
        <f>HYPERLINK("https://www.boe.es/gazeta/dias/1834/07/27/pdfs/GMD-C-1834-160.pdf#page=1","Abrir facsímil")</f>
        <v>Abrir facsímil</v>
      </c>
      <c r="K11701" s="10" t="s">
        <v>24</v>
      </c>
    </row>
    <row r="11702" spans="1:11" ht="54" customHeight="1">
      <c r="A11702" s="9" t="s">
        <v>23897</v>
      </c>
      <c r="B11702" s="9" t="s">
        <v>23898</v>
      </c>
      <c r="C11702" s="9" t="s">
        <v>17</v>
      </c>
      <c r="D11702" s="9" t="s">
        <v>18</v>
      </c>
      <c r="E11702" s="10" t="s">
        <v>19</v>
      </c>
      <c r="F11702" s="9" t="s">
        <v>107</v>
      </c>
      <c r="G11702" s="10" t="s">
        <v>75</v>
      </c>
      <c r="H11702" s="9" t="s">
        <v>22</v>
      </c>
      <c r="I11702" s="9" t="s">
        <v>23899</v>
      </c>
      <c r="J11702" s="10" t="str">
        <f>HYPERLINK("https://www.boe.es/gazeta/dias/1834/08/17/pdfs/GMD-1834-182.pdf#page=4","Abrir facsímil")</f>
        <v>Abrir facsímil</v>
      </c>
      <c r="K11702" s="10" t="s">
        <v>24</v>
      </c>
    </row>
    <row r="11703" spans="1:11" ht="54" customHeight="1">
      <c r="A11703" s="9" t="s">
        <v>23900</v>
      </c>
      <c r="B11703" s="9" t="s">
        <v>23901</v>
      </c>
      <c r="C11703" s="9" t="s">
        <v>17</v>
      </c>
      <c r="D11703" s="9" t="s">
        <v>18</v>
      </c>
      <c r="E11703" s="10" t="s">
        <v>32</v>
      </c>
      <c r="F11703" s="9" t="s">
        <v>33</v>
      </c>
      <c r="G11703" s="10" t="s">
        <v>75</v>
      </c>
      <c r="H11703" s="9" t="s">
        <v>35</v>
      </c>
      <c r="I11703" s="9" t="s">
        <v>23902</v>
      </c>
      <c r="J11703" s="10" t="str">
        <f>HYPERLINK("https://www.boe.es/gazeta/dias/1834/04/23/pdfs/GMD-1834-62.pdf#page=4","Abrir facsímil")</f>
        <v>Abrir facsímil</v>
      </c>
      <c r="K11703" s="10" t="s">
        <v>37</v>
      </c>
    </row>
    <row r="11704" spans="1:11" ht="54" customHeight="1">
      <c r="A11704" s="9" t="s">
        <v>23903</v>
      </c>
      <c r="B11704" s="9" t="s">
        <v>23904</v>
      </c>
      <c r="C11704" s="9" t="s">
        <v>122</v>
      </c>
      <c r="D11704" s="9" t="s">
        <v>18</v>
      </c>
      <c r="E11704" s="10" t="s">
        <v>117</v>
      </c>
      <c r="F11704" s="9" t="s">
        <v>118</v>
      </c>
      <c r="G11704" s="10" t="s">
        <v>21</v>
      </c>
      <c r="H11704" s="9" t="s">
        <v>22</v>
      </c>
      <c r="I11704" s="9" t="s">
        <v>23905</v>
      </c>
      <c r="J11704" s="10" t="str">
        <f>HYPERLINK("https://www.boe.es/gazeta/dias/1834/07/21/pdfs/GMD-1834-154.pdf#page=3","Abrir facsímil")</f>
        <v>Abrir facsímil</v>
      </c>
      <c r="K11704" s="10" t="s">
        <v>24</v>
      </c>
    </row>
    <row r="11705" spans="1:11" ht="54" customHeight="1">
      <c r="A11705" s="9" t="s">
        <v>23906</v>
      </c>
      <c r="B11705" s="9" t="s">
        <v>23907</v>
      </c>
      <c r="C11705" s="9" t="s">
        <v>17</v>
      </c>
      <c r="D11705" s="9" t="s">
        <v>40</v>
      </c>
      <c r="E11705" s="10" t="s">
        <v>12114</v>
      </c>
      <c r="F11705" s="9" t="s">
        <v>12115</v>
      </c>
      <c r="G11705" s="10" t="s">
        <v>176</v>
      </c>
      <c r="H11705" s="9" t="s">
        <v>22</v>
      </c>
      <c r="I11705" s="9" t="s">
        <v>23908</v>
      </c>
      <c r="J11705" s="10" t="str">
        <f>HYPERLINK("https://www.boe.es/gazeta/dias/1834/04/08/pdfs/GMD-1834-47.pdf#page=6","Abrir facsímil")</f>
        <v>Abrir facsímil</v>
      </c>
      <c r="K11705" s="10" t="s">
        <v>24</v>
      </c>
    </row>
    <row r="11706" spans="1:11" ht="54" customHeight="1">
      <c r="A11706" s="9" t="s">
        <v>23909</v>
      </c>
      <c r="B11706" s="9" t="s">
        <v>23910</v>
      </c>
      <c r="C11706" s="9" t="s">
        <v>17</v>
      </c>
      <c r="D11706" s="9" t="s">
        <v>18</v>
      </c>
      <c r="E11706" s="10" t="s">
        <v>167</v>
      </c>
      <c r="F11706" s="9" t="s">
        <v>1200</v>
      </c>
      <c r="G11706" s="10" t="s">
        <v>86</v>
      </c>
      <c r="H11706" s="9" t="s">
        <v>22</v>
      </c>
      <c r="I11706" s="9" t="s">
        <v>23911</v>
      </c>
      <c r="J11706" s="10" t="str">
        <f>HYPERLINK("https://www.boe.es/gazeta/dias/1834/09/07/pdfs/GMD-C-1834-205.pdf#page=2","Abrir facsímil")</f>
        <v>Abrir facsímil</v>
      </c>
      <c r="K11706" s="10" t="s">
        <v>24</v>
      </c>
    </row>
    <row r="11707" spans="1:11" ht="54" customHeight="1">
      <c r="A11707" s="9" t="s">
        <v>23909</v>
      </c>
      <c r="B11707" s="9" t="s">
        <v>23910</v>
      </c>
      <c r="C11707" s="9" t="s">
        <v>90</v>
      </c>
      <c r="D11707" s="9" t="s">
        <v>67</v>
      </c>
      <c r="E11707" s="10" t="s">
        <v>1103</v>
      </c>
      <c r="F11707" s="9" t="s">
        <v>1104</v>
      </c>
      <c r="G11707" s="10" t="s">
        <v>86</v>
      </c>
      <c r="H11707" s="9" t="s">
        <v>22</v>
      </c>
      <c r="I11707" s="9" t="s">
        <v>23912</v>
      </c>
      <c r="J11707" s="10" t="str">
        <f>HYPERLINK("https://www.boe.es/gazeta/dias/1834/10/10/pdfs/GMD-C-1834-238.pdf#page=2","Abrir facsímil")</f>
        <v>Abrir facsímil</v>
      </c>
      <c r="K11707" s="10" t="s">
        <v>24</v>
      </c>
    </row>
    <row r="11708" spans="1:11" ht="54" customHeight="1">
      <c r="A11708" s="9" t="s">
        <v>23913</v>
      </c>
      <c r="B11708" s="9" t="s">
        <v>23914</v>
      </c>
      <c r="C11708" s="9" t="s">
        <v>17</v>
      </c>
      <c r="D11708" s="9" t="s">
        <v>18</v>
      </c>
      <c r="E11708" s="10" t="s">
        <v>715</v>
      </c>
      <c r="F11708" s="9" t="s">
        <v>716</v>
      </c>
      <c r="G11708" s="10" t="s">
        <v>34</v>
      </c>
      <c r="H11708" s="9" t="s">
        <v>22</v>
      </c>
      <c r="I11708" s="9" t="s">
        <v>23915</v>
      </c>
      <c r="J11708" s="10" t="str">
        <f>HYPERLINK("https://www.boe.es/gazeta/dias/1834/09/17/pdfs/GMD-C-1834-215.pdf#page=1","Abrir facsímil")</f>
        <v>Abrir facsímil</v>
      </c>
      <c r="K11708" s="10" t="s">
        <v>24</v>
      </c>
    </row>
    <row r="11709" spans="1:11" ht="54" customHeight="1">
      <c r="A11709" s="9" t="s">
        <v>23913</v>
      </c>
      <c r="B11709" s="9" t="s">
        <v>23914</v>
      </c>
      <c r="C11709" s="9" t="s">
        <v>17</v>
      </c>
      <c r="D11709" s="9" t="s">
        <v>18</v>
      </c>
      <c r="E11709" s="10" t="s">
        <v>1766</v>
      </c>
      <c r="F11709" s="9" t="s">
        <v>1767</v>
      </c>
      <c r="G11709" s="10" t="s">
        <v>86</v>
      </c>
      <c r="H11709" s="9" t="s">
        <v>22</v>
      </c>
      <c r="I11709" s="9" t="s">
        <v>23916</v>
      </c>
      <c r="J11709" s="10" t="str">
        <f>HYPERLINK("https://www.boe.es/gazeta/dias/1834/10/26/pdfs/GMD-C-1834-254.pdf#page=2","Abrir facsímil")</f>
        <v>Abrir facsímil</v>
      </c>
      <c r="K11709" s="10" t="s">
        <v>24</v>
      </c>
    </row>
    <row r="11710" spans="1:11" ht="54" customHeight="1">
      <c r="A11710" s="9" t="s">
        <v>23909</v>
      </c>
      <c r="B11710" s="9" t="s">
        <v>23910</v>
      </c>
      <c r="C11710" s="9" t="s">
        <v>17</v>
      </c>
      <c r="D11710" s="9" t="s">
        <v>18</v>
      </c>
      <c r="E11710" s="10" t="s">
        <v>777</v>
      </c>
      <c r="F11710" s="9" t="s">
        <v>2535</v>
      </c>
      <c r="G11710" s="10" t="s">
        <v>86</v>
      </c>
      <c r="H11710" s="9" t="s">
        <v>22</v>
      </c>
      <c r="I11710" s="9" t="s">
        <v>23917</v>
      </c>
      <c r="J11710" s="10" t="str">
        <f>HYPERLINK("https://www.boe.es/gazeta/dias/1834/10/29/pdfs/GMD-C-1834-257.pdf#page=2","Abrir facsímil")</f>
        <v>Abrir facsímil</v>
      </c>
      <c r="K11710" s="10" t="s">
        <v>24</v>
      </c>
    </row>
    <row r="11711" spans="1:11" ht="54" customHeight="1">
      <c r="A11711" s="9" t="s">
        <v>23918</v>
      </c>
      <c r="B11711" s="9" t="s">
        <v>23919</v>
      </c>
      <c r="C11711" s="9" t="s">
        <v>17</v>
      </c>
      <c r="D11711" s="9" t="s">
        <v>18</v>
      </c>
      <c r="E11711" s="10" t="s">
        <v>32</v>
      </c>
      <c r="F11711" s="9" t="s">
        <v>33</v>
      </c>
      <c r="G11711" s="10" t="s">
        <v>75</v>
      </c>
      <c r="H11711" s="9" t="s">
        <v>22</v>
      </c>
      <c r="I11711" s="9" t="s">
        <v>23920</v>
      </c>
      <c r="J11711" s="10" t="str">
        <f>HYPERLINK("https://www.boe.es/gazeta/dias/1834/04/23/pdfs/GMD-1834-62.pdf#page=4","Abrir facsímil")</f>
        <v>Abrir facsímil</v>
      </c>
      <c r="K11711" s="10" t="s">
        <v>24</v>
      </c>
    </row>
    <row r="11712" spans="1:11" ht="54" customHeight="1">
      <c r="A11712" s="9" t="s">
        <v>23921</v>
      </c>
      <c r="B11712" s="9" t="s">
        <v>23922</v>
      </c>
      <c r="C11712" s="9" t="s">
        <v>17</v>
      </c>
      <c r="D11712" s="9" t="s">
        <v>18</v>
      </c>
      <c r="E11712" s="10" t="s">
        <v>1281</v>
      </c>
      <c r="F11712" s="9" t="s">
        <v>1282</v>
      </c>
      <c r="G11712" s="10" t="s">
        <v>75</v>
      </c>
      <c r="H11712" s="9" t="s">
        <v>22</v>
      </c>
      <c r="I11712" s="9" t="s">
        <v>23923</v>
      </c>
      <c r="J11712" s="10" t="str">
        <f>HYPERLINK("https://www.boe.es/gazeta/dias/1834/10/27/pdfs/GMD-1834-255.pdf#page=4","Abrir facsímil")</f>
        <v>Abrir facsímil</v>
      </c>
      <c r="K11712" s="10" t="s">
        <v>24</v>
      </c>
    </row>
    <row r="11713" spans="1:11" ht="54" customHeight="1">
      <c r="A11713" s="9" t="s">
        <v>23924</v>
      </c>
      <c r="B11713" s="9" t="s">
        <v>23925</v>
      </c>
      <c r="C11713" s="9" t="s">
        <v>17</v>
      </c>
      <c r="D11713" s="9" t="s">
        <v>18</v>
      </c>
      <c r="E11713" s="10" t="s">
        <v>1883</v>
      </c>
      <c r="F11713" s="9" t="s">
        <v>1884</v>
      </c>
      <c r="G11713" s="10" t="s">
        <v>21</v>
      </c>
      <c r="H11713" s="9" t="s">
        <v>22</v>
      </c>
      <c r="I11713" s="9" t="s">
        <v>23926</v>
      </c>
      <c r="J11713" s="10" t="str">
        <f>HYPERLINK("https://www.boe.es/gazeta/dias/1834/01/11/pdfs/GMD-1834-6.pdf#page=3","Abrir facsímil")</f>
        <v>Abrir facsímil</v>
      </c>
      <c r="K11713" s="10" t="s">
        <v>24</v>
      </c>
    </row>
    <row r="11714" spans="1:11" ht="54" customHeight="1">
      <c r="A11714" s="9" t="s">
        <v>23927</v>
      </c>
      <c r="B11714" s="9" t="s">
        <v>23927</v>
      </c>
      <c r="C11714" s="9" t="s">
        <v>17</v>
      </c>
      <c r="D11714" s="9" t="s">
        <v>18</v>
      </c>
      <c r="E11714" s="10" t="s">
        <v>1084</v>
      </c>
      <c r="F11714" s="9" t="s">
        <v>1085</v>
      </c>
      <c r="G11714" s="10" t="s">
        <v>86</v>
      </c>
      <c r="H11714" s="9" t="s">
        <v>22</v>
      </c>
      <c r="I11714" s="9" t="s">
        <v>23928</v>
      </c>
      <c r="J11714" s="10" t="str">
        <f>HYPERLINK("https://www.boe.es/gazeta/dias/1834/05/01/pdfs/GMD-1834-70.pdf#page=2","Abrir facsímil")</f>
        <v>Abrir facsímil</v>
      </c>
      <c r="K11714" s="10" t="s">
        <v>24</v>
      </c>
    </row>
    <row r="11715" spans="1:11" ht="54" customHeight="1">
      <c r="A11715" s="9" t="s">
        <v>23927</v>
      </c>
      <c r="B11715" s="9" t="s">
        <v>23927</v>
      </c>
      <c r="C11715" s="9" t="s">
        <v>46</v>
      </c>
      <c r="D11715" s="9" t="s">
        <v>101</v>
      </c>
      <c r="E11715" s="10" t="s">
        <v>1340</v>
      </c>
      <c r="F11715" s="9" t="s">
        <v>1341</v>
      </c>
      <c r="G11715" s="10" t="s">
        <v>176</v>
      </c>
      <c r="H11715" s="9" t="s">
        <v>22</v>
      </c>
      <c r="I11715" s="9" t="s">
        <v>23929</v>
      </c>
      <c r="J11715" s="10" t="str">
        <f>HYPERLINK("https://www.boe.es/gazeta/dias/1834/10/05/pdfs/GMD-C-1834-233.pdf#page=6","Abrir facsímil")</f>
        <v>Abrir facsímil</v>
      </c>
      <c r="K11715" s="10" t="s">
        <v>24</v>
      </c>
    </row>
    <row r="11716" spans="1:11" ht="54" customHeight="1">
      <c r="A11716" s="9" t="s">
        <v>23927</v>
      </c>
      <c r="B11716" s="9" t="s">
        <v>23927</v>
      </c>
      <c r="C11716" s="9" t="s">
        <v>17</v>
      </c>
      <c r="D11716" s="9" t="s">
        <v>40</v>
      </c>
      <c r="E11716" s="10" t="s">
        <v>399</v>
      </c>
      <c r="F11716" s="9" t="s">
        <v>400</v>
      </c>
      <c r="G11716" s="10" t="s">
        <v>34</v>
      </c>
      <c r="H11716" s="9" t="s">
        <v>22</v>
      </c>
      <c r="I11716" s="9" t="s">
        <v>23930</v>
      </c>
      <c r="J11716" s="10" t="str">
        <f>HYPERLINK("https://www.boe.es/gazeta/dias/1834/07/08/pdfs/GMD-1834-141.pdf#page=1","Abrir facsímil")</f>
        <v>Abrir facsímil</v>
      </c>
      <c r="K11716" s="10" t="s">
        <v>24</v>
      </c>
    </row>
    <row r="11717" spans="1:11" ht="54" customHeight="1">
      <c r="A11717" s="9" t="s">
        <v>23927</v>
      </c>
      <c r="B11717" s="9" t="s">
        <v>23927</v>
      </c>
      <c r="C11717" s="9" t="s">
        <v>17</v>
      </c>
      <c r="D11717" s="9" t="s">
        <v>18</v>
      </c>
      <c r="E11717" s="10" t="s">
        <v>1510</v>
      </c>
      <c r="F11717" s="9" t="s">
        <v>1511</v>
      </c>
      <c r="G11717" s="10" t="s">
        <v>21</v>
      </c>
      <c r="H11717" s="9" t="s">
        <v>22</v>
      </c>
      <c r="I11717" s="9" t="s">
        <v>23931</v>
      </c>
      <c r="J11717" s="10" t="str">
        <f>HYPERLINK("https://www.boe.es/gazeta/dias/1834/06/13/pdfs/GMD-1834-116.pdf#page=3","Abrir facsímil")</f>
        <v>Abrir facsímil</v>
      </c>
      <c r="K11717" s="10" t="s">
        <v>24</v>
      </c>
    </row>
    <row r="11718" spans="1:11" ht="54" customHeight="1">
      <c r="A11718" s="9" t="s">
        <v>23932</v>
      </c>
      <c r="B11718" s="9" t="s">
        <v>23932</v>
      </c>
      <c r="C11718" s="9" t="s">
        <v>46</v>
      </c>
      <c r="D11718" s="9" t="s">
        <v>40</v>
      </c>
      <c r="E11718" s="10" t="s">
        <v>518</v>
      </c>
      <c r="F11718" s="9" t="s">
        <v>519</v>
      </c>
      <c r="G11718" s="10" t="s">
        <v>75</v>
      </c>
      <c r="H11718" s="9" t="s">
        <v>22</v>
      </c>
      <c r="I11718" s="9" t="s">
        <v>23933</v>
      </c>
      <c r="J11718" s="10" t="str">
        <f>HYPERLINK("https://www.boe.es/gazeta/dias/1834/03/15/pdfs/GMD-1834-33.pdf#page=4","Abrir facsímil")</f>
        <v>Abrir facsímil</v>
      </c>
      <c r="K11718" s="10" t="s">
        <v>24</v>
      </c>
    </row>
    <row r="11719" spans="1:11" ht="54" customHeight="1">
      <c r="A11719" s="9" t="s">
        <v>23927</v>
      </c>
      <c r="B11719" s="9" t="s">
        <v>23927</v>
      </c>
      <c r="C11719" s="9" t="s">
        <v>122</v>
      </c>
      <c r="D11719" s="9" t="s">
        <v>101</v>
      </c>
      <c r="E11719" s="10" t="s">
        <v>375</v>
      </c>
      <c r="F11719" s="9" t="s">
        <v>376</v>
      </c>
      <c r="G11719" s="10" t="s">
        <v>75</v>
      </c>
      <c r="H11719" s="9" t="s">
        <v>22</v>
      </c>
      <c r="I11719" s="9" t="s">
        <v>23934</v>
      </c>
      <c r="J11719" s="10" t="str">
        <f>HYPERLINK("https://www.boe.es/gazeta/dias/1834/08/21/pdfs/GMD-1834-187.pdf#page=4","Abrir facsímil")</f>
        <v>Abrir facsímil</v>
      </c>
      <c r="K11719" s="10" t="s">
        <v>24</v>
      </c>
    </row>
    <row r="11720" spans="1:11" ht="54" customHeight="1">
      <c r="A11720" s="9" t="s">
        <v>23927</v>
      </c>
      <c r="B11720" s="9" t="s">
        <v>23927</v>
      </c>
      <c r="C11720" s="9" t="s">
        <v>46</v>
      </c>
      <c r="D11720" s="9" t="s">
        <v>18</v>
      </c>
      <c r="E11720" s="10" t="s">
        <v>739</v>
      </c>
      <c r="F11720" s="9" t="s">
        <v>740</v>
      </c>
      <c r="G11720" s="10" t="s">
        <v>86</v>
      </c>
      <c r="H11720" s="9" t="s">
        <v>22</v>
      </c>
      <c r="I11720" s="9" t="s">
        <v>23935</v>
      </c>
      <c r="J11720" s="10" t="str">
        <f>HYPERLINK("https://www.boe.es/gazeta/dias/1834/03/25/pdfs/GMD-1834-37.pdf#page=2","Abrir facsímil")</f>
        <v>Abrir facsímil</v>
      </c>
      <c r="K11720" s="10" t="s">
        <v>24</v>
      </c>
    </row>
    <row r="11721" spans="1:11" ht="54" customHeight="1">
      <c r="A11721" s="9" t="s">
        <v>23936</v>
      </c>
      <c r="B11721" s="9" t="s">
        <v>23937</v>
      </c>
      <c r="C11721" s="9" t="s">
        <v>66</v>
      </c>
      <c r="D11721" s="9" t="s">
        <v>67</v>
      </c>
      <c r="E11721" s="10" t="s">
        <v>1955</v>
      </c>
      <c r="F11721" s="9" t="s">
        <v>1956</v>
      </c>
      <c r="G11721" s="10" t="s">
        <v>21</v>
      </c>
      <c r="H11721" s="9" t="s">
        <v>22</v>
      </c>
      <c r="I11721" s="9" t="s">
        <v>23938</v>
      </c>
      <c r="J11721" s="10" t="str">
        <f>HYPERLINK("https://www.boe.es/gazeta/dias/1834/05/04/pdfs/GMD-1834-73.pdf#page=3","Abrir facsímil")</f>
        <v>Abrir facsímil</v>
      </c>
      <c r="K11721" s="10" t="s">
        <v>24</v>
      </c>
    </row>
    <row r="11722" spans="1:11" ht="54" customHeight="1">
      <c r="A11722" s="9" t="s">
        <v>23939</v>
      </c>
      <c r="B11722" s="9" t="s">
        <v>23940</v>
      </c>
      <c r="C11722" s="9" t="s">
        <v>90</v>
      </c>
      <c r="D11722" s="9" t="s">
        <v>101</v>
      </c>
      <c r="E11722" s="10" t="s">
        <v>5574</v>
      </c>
      <c r="F11722" s="9" t="s">
        <v>5575</v>
      </c>
      <c r="G11722" s="10" t="s">
        <v>21</v>
      </c>
      <c r="H11722" s="9" t="s">
        <v>22</v>
      </c>
      <c r="I11722" s="9" t="s">
        <v>23941</v>
      </c>
      <c r="J11722" s="10" t="str">
        <f>HYPERLINK("https://www.boe.es/gazeta/dias/1834/06/16/pdfs/GMD-1834-119.pdf#page=3","Abrir facsímil")</f>
        <v>Abrir facsímil</v>
      </c>
      <c r="K11722" s="10" t="s">
        <v>24</v>
      </c>
    </row>
    <row r="11723" spans="1:11" ht="54" customHeight="1">
      <c r="A11723" s="9" t="s">
        <v>23942</v>
      </c>
      <c r="B11723" s="9" t="s">
        <v>23943</v>
      </c>
      <c r="C11723" s="9" t="s">
        <v>17</v>
      </c>
      <c r="D11723" s="9" t="s">
        <v>18</v>
      </c>
      <c r="E11723" s="10" t="s">
        <v>981</v>
      </c>
      <c r="F11723" s="9" t="s">
        <v>982</v>
      </c>
      <c r="G11723" s="10" t="s">
        <v>86</v>
      </c>
      <c r="H11723" s="9" t="s">
        <v>22</v>
      </c>
      <c r="I11723" s="9" t="s">
        <v>23944</v>
      </c>
      <c r="J11723" s="10" t="str">
        <f>HYPERLINK("https://www.boe.es/gazeta/dias/1834/09/21/pdfs/GMD-1834-219.pdf#page=2","Abrir facsímil")</f>
        <v>Abrir facsímil</v>
      </c>
      <c r="K11723" s="10" t="s">
        <v>24</v>
      </c>
    </row>
    <row r="11724" spans="1:11" ht="54" customHeight="1">
      <c r="A11724" s="9" t="s">
        <v>23945</v>
      </c>
      <c r="B11724" s="9" t="s">
        <v>23946</v>
      </c>
      <c r="C11724" s="9" t="s">
        <v>90</v>
      </c>
      <c r="D11724" s="9" t="s">
        <v>101</v>
      </c>
      <c r="E11724" s="10" t="s">
        <v>4064</v>
      </c>
      <c r="F11724" s="9" t="s">
        <v>4065</v>
      </c>
      <c r="G11724" s="10" t="s">
        <v>86</v>
      </c>
      <c r="H11724" s="9" t="s">
        <v>35</v>
      </c>
      <c r="I11724" s="9" t="s">
        <v>23947</v>
      </c>
      <c r="J11724" s="10" t="str">
        <f>HYPERLINK("https://www.boe.es/gazeta/dias/1834/07/22/pdfs/GMD-1834-155.pdf#page=2","Abrir facsímil")</f>
        <v>Abrir facsímil</v>
      </c>
      <c r="K11724" s="10" t="s">
        <v>37</v>
      </c>
    </row>
    <row r="11725" spans="1:11" ht="54" customHeight="1">
      <c r="A11725" s="9" t="s">
        <v>23948</v>
      </c>
      <c r="B11725" s="9" t="s">
        <v>23949</v>
      </c>
      <c r="C11725" s="9" t="s">
        <v>17</v>
      </c>
      <c r="D11725" s="9" t="s">
        <v>55</v>
      </c>
      <c r="E11725" s="10" t="s">
        <v>209</v>
      </c>
      <c r="F11725" s="9" t="s">
        <v>210</v>
      </c>
      <c r="G11725" s="10" t="s">
        <v>21</v>
      </c>
      <c r="H11725" s="9" t="s">
        <v>35</v>
      </c>
      <c r="I11725" s="9" t="s">
        <v>23950</v>
      </c>
      <c r="J11725" s="10" t="str">
        <f>HYPERLINK("https://www.boe.es/gazeta/dias/1834/07/01/pdfs/GMD-1834-134.pdf#page=3","Abrir facsímil")</f>
        <v>Abrir facsímil</v>
      </c>
      <c r="K11725" s="10" t="s">
        <v>37</v>
      </c>
    </row>
    <row r="11726" spans="1:11" ht="54" customHeight="1">
      <c r="A11726" s="9" t="s">
        <v>23951</v>
      </c>
      <c r="B11726" s="9" t="s">
        <v>23952</v>
      </c>
      <c r="C11726" s="9" t="s">
        <v>17</v>
      </c>
      <c r="D11726" s="9" t="s">
        <v>18</v>
      </c>
      <c r="E11726" s="10" t="s">
        <v>860</v>
      </c>
      <c r="F11726" s="9" t="s">
        <v>861</v>
      </c>
      <c r="G11726" s="10" t="s">
        <v>176</v>
      </c>
      <c r="H11726" s="9" t="s">
        <v>35</v>
      </c>
      <c r="I11726" s="9" t="s">
        <v>23953</v>
      </c>
      <c r="J11726" s="10" t="str">
        <f>HYPERLINK("https://www.boe.es/gazeta/dias/1834/02/08/pdfs/GMD-1834-18.pdf#page=6","Abrir facsímil")</f>
        <v>Abrir facsímil</v>
      </c>
      <c r="K11726" s="10" t="s">
        <v>37</v>
      </c>
    </row>
    <row r="11727" spans="1:11" ht="54" customHeight="1">
      <c r="A11727" s="9" t="s">
        <v>23954</v>
      </c>
      <c r="B11727" s="9" t="s">
        <v>23955</v>
      </c>
      <c r="C11727" s="9" t="s">
        <v>46</v>
      </c>
      <c r="D11727" s="9" t="s">
        <v>101</v>
      </c>
      <c r="E11727" s="10" t="s">
        <v>637</v>
      </c>
      <c r="F11727" s="9" t="s">
        <v>638</v>
      </c>
      <c r="G11727" s="10" t="s">
        <v>86</v>
      </c>
      <c r="H11727" s="9" t="s">
        <v>22</v>
      </c>
      <c r="I11727" s="9" t="s">
        <v>23956</v>
      </c>
      <c r="J11727" s="10" t="str">
        <f>HYPERLINK("https://www.boe.es/gazeta/dias/1834/06/03/pdfs/I00469-00470.pdf#page=2","Abrir facsímil")</f>
        <v>Abrir facsímil</v>
      </c>
      <c r="K11727" s="10" t="s">
        <v>24</v>
      </c>
    </row>
    <row r="11728" spans="1:11" ht="54" customHeight="1">
      <c r="A11728" s="9" t="s">
        <v>23954</v>
      </c>
      <c r="B11728" s="9" t="s">
        <v>23955</v>
      </c>
      <c r="C11728" s="9" t="s">
        <v>46</v>
      </c>
      <c r="D11728" s="9" t="s">
        <v>101</v>
      </c>
      <c r="E11728" s="10" t="s">
        <v>637</v>
      </c>
      <c r="F11728" s="9" t="s">
        <v>638</v>
      </c>
      <c r="G11728" s="10" t="s">
        <v>75</v>
      </c>
      <c r="H11728" s="9" t="s">
        <v>22</v>
      </c>
      <c r="I11728" s="9" t="s">
        <v>23956</v>
      </c>
      <c r="J11728" s="10" t="str">
        <f>HYPERLINK("https://www.boe.es/gazeta/dias/1834/06/03/pdfs/GMD-1834-105.pdf#page=4","Abrir facsímil")</f>
        <v>Abrir facsímil</v>
      </c>
      <c r="K11728" s="10" t="s">
        <v>24</v>
      </c>
    </row>
    <row r="11729" spans="1:11" ht="54" customHeight="1">
      <c r="A11729" s="9" t="s">
        <v>23957</v>
      </c>
      <c r="B11729" s="9" t="s">
        <v>23958</v>
      </c>
      <c r="C11729" s="9" t="s">
        <v>66</v>
      </c>
      <c r="D11729" s="9" t="s">
        <v>67</v>
      </c>
      <c r="E11729" s="10" t="s">
        <v>133</v>
      </c>
      <c r="F11729" s="9" t="s">
        <v>134</v>
      </c>
      <c r="G11729" s="10" t="s">
        <v>34</v>
      </c>
      <c r="H11729" s="9" t="s">
        <v>35</v>
      </c>
      <c r="I11729" s="9" t="s">
        <v>23959</v>
      </c>
      <c r="J11729" s="10" t="str">
        <f>HYPERLINK("https://www.boe.es/gazeta/dias/1834/06/18/pdfs/GMD-1834-121.pdf#page=1","Abrir facsímil")</f>
        <v>Abrir facsímil</v>
      </c>
      <c r="K11729" s="10" t="s">
        <v>37</v>
      </c>
    </row>
    <row r="11730" spans="1:11" ht="54" customHeight="1">
      <c r="A11730" s="9" t="s">
        <v>23960</v>
      </c>
      <c r="B11730" s="9" t="s">
        <v>23961</v>
      </c>
      <c r="C11730" s="9" t="s">
        <v>90</v>
      </c>
      <c r="D11730" s="9" t="s">
        <v>101</v>
      </c>
      <c r="E11730" s="10" t="s">
        <v>4064</v>
      </c>
      <c r="F11730" s="9" t="s">
        <v>4065</v>
      </c>
      <c r="G11730" s="10" t="s">
        <v>86</v>
      </c>
      <c r="H11730" s="9" t="s">
        <v>22</v>
      </c>
      <c r="I11730" s="9" t="s">
        <v>23962</v>
      </c>
      <c r="J11730" s="10" t="str">
        <f>HYPERLINK("https://www.boe.es/gazeta/dias/1834/07/22/pdfs/GMD-1834-155.pdf#page=2","Abrir facsímil")</f>
        <v>Abrir facsímil</v>
      </c>
      <c r="K11730" s="10" t="s">
        <v>24</v>
      </c>
    </row>
    <row r="11731" spans="1:11" ht="54" customHeight="1">
      <c r="A11731" s="9" t="s">
        <v>23963</v>
      </c>
      <c r="B11731" s="9" t="s">
        <v>23964</v>
      </c>
      <c r="C11731" s="9" t="s">
        <v>17</v>
      </c>
      <c r="D11731" s="9" t="s">
        <v>18</v>
      </c>
      <c r="E11731" s="10" t="s">
        <v>1695</v>
      </c>
      <c r="F11731" s="9" t="s">
        <v>1696</v>
      </c>
      <c r="G11731" s="10" t="s">
        <v>75</v>
      </c>
      <c r="H11731" s="9" t="s">
        <v>35</v>
      </c>
      <c r="I11731" s="9" t="s">
        <v>23965</v>
      </c>
      <c r="J11731" s="10" t="str">
        <f>HYPERLINK("https://www.boe.es/gazeta/dias/1834/06/30/pdfs/GMD-1834-133.pdf#page=4","Abrir facsímil")</f>
        <v>Abrir facsímil</v>
      </c>
      <c r="K11731" s="10" t="s">
        <v>37</v>
      </c>
    </row>
    <row r="11732" spans="1:11" ht="54" customHeight="1">
      <c r="A11732" s="9" t="s">
        <v>23966</v>
      </c>
      <c r="B11732" s="9" t="s">
        <v>23967</v>
      </c>
      <c r="C11732" s="9" t="s">
        <v>17</v>
      </c>
      <c r="D11732" s="9" t="s">
        <v>55</v>
      </c>
      <c r="E11732" s="10" t="s">
        <v>209</v>
      </c>
      <c r="F11732" s="9" t="s">
        <v>210</v>
      </c>
      <c r="G11732" s="10" t="s">
        <v>21</v>
      </c>
      <c r="H11732" s="9" t="s">
        <v>22</v>
      </c>
      <c r="I11732" s="9" t="s">
        <v>23968</v>
      </c>
      <c r="J11732" s="10" t="str">
        <f>HYPERLINK("https://www.boe.es/gazeta/dias/1834/07/01/pdfs/GMD-1834-134.pdf#page=3","Abrir facsímil")</f>
        <v>Abrir facsímil</v>
      </c>
      <c r="K11732" s="10" t="s">
        <v>24</v>
      </c>
    </row>
    <row r="11733" spans="1:11" ht="54" customHeight="1">
      <c r="A11733" s="9" t="s">
        <v>23969</v>
      </c>
      <c r="B11733" s="9" t="s">
        <v>23970</v>
      </c>
      <c r="C11733" s="9" t="s">
        <v>46</v>
      </c>
      <c r="D11733" s="9" t="s">
        <v>40</v>
      </c>
      <c r="E11733" s="10" t="s">
        <v>518</v>
      </c>
      <c r="F11733" s="9" t="s">
        <v>519</v>
      </c>
      <c r="G11733" s="10" t="s">
        <v>75</v>
      </c>
      <c r="H11733" s="9" t="s">
        <v>35</v>
      </c>
      <c r="I11733" s="9" t="s">
        <v>23971</v>
      </c>
      <c r="J11733" s="10" t="str">
        <f>HYPERLINK("https://www.boe.es/gazeta/dias/1834/03/15/pdfs/GMD-1834-33.pdf#page=4","Abrir facsímil")</f>
        <v>Abrir facsímil</v>
      </c>
      <c r="K11733" s="10" t="s">
        <v>37</v>
      </c>
    </row>
    <row r="11734" spans="1:11" ht="54" customHeight="1">
      <c r="A11734" s="9" t="s">
        <v>23972</v>
      </c>
      <c r="B11734" s="9" t="s">
        <v>23973</v>
      </c>
      <c r="C11734" s="9" t="s">
        <v>17</v>
      </c>
      <c r="D11734" s="9" t="s">
        <v>18</v>
      </c>
      <c r="E11734" s="10" t="s">
        <v>1351</v>
      </c>
      <c r="F11734" s="9" t="s">
        <v>1352</v>
      </c>
      <c r="G11734" s="10" t="s">
        <v>28</v>
      </c>
      <c r="H11734" s="9" t="s">
        <v>22</v>
      </c>
      <c r="I11734" s="9" t="s">
        <v>23974</v>
      </c>
      <c r="J11734" s="10" t="str">
        <f>HYPERLINK("https://www.boe.es/gazeta/dias/1834/07/05/pdfs/GMD-1834-138.pdf#page=5","Abrir facsímil")</f>
        <v>Abrir facsímil</v>
      </c>
      <c r="K11734" s="10" t="s">
        <v>24</v>
      </c>
    </row>
    <row r="11735" spans="1:11" ht="54" customHeight="1">
      <c r="A11735" s="9" t="s">
        <v>23975</v>
      </c>
      <c r="B11735" s="9" t="s">
        <v>23976</v>
      </c>
      <c r="C11735" s="9" t="s">
        <v>66</v>
      </c>
      <c r="D11735" s="9" t="s">
        <v>67</v>
      </c>
      <c r="E11735" s="10" t="s">
        <v>133</v>
      </c>
      <c r="F11735" s="9" t="s">
        <v>134</v>
      </c>
      <c r="G11735" s="10" t="s">
        <v>34</v>
      </c>
      <c r="H11735" s="9" t="s">
        <v>35</v>
      </c>
      <c r="I11735" s="9" t="s">
        <v>23977</v>
      </c>
      <c r="J11735" s="10" t="str">
        <f>HYPERLINK("https://www.boe.es/gazeta/dias/1834/06/18/pdfs/GMD-1834-121.pdf#page=1","Abrir facsímil")</f>
        <v>Abrir facsímil</v>
      </c>
      <c r="K11735" s="10" t="s">
        <v>37</v>
      </c>
    </row>
    <row r="11736" spans="1:11" ht="54" customHeight="1">
      <c r="A11736" s="9" t="s">
        <v>23978</v>
      </c>
      <c r="B11736" s="9" t="s">
        <v>23979</v>
      </c>
      <c r="C11736" s="9" t="s">
        <v>17</v>
      </c>
      <c r="D11736" s="9" t="s">
        <v>18</v>
      </c>
      <c r="E11736" s="10" t="s">
        <v>762</v>
      </c>
      <c r="F11736" s="9" t="s">
        <v>763</v>
      </c>
      <c r="G11736" s="10" t="s">
        <v>34</v>
      </c>
      <c r="H11736" s="9" t="s">
        <v>22</v>
      </c>
      <c r="I11736" s="9" t="s">
        <v>23980</v>
      </c>
      <c r="J11736" s="10" t="str">
        <f>HYPERLINK("https://www.boe.es/gazeta/dias/1834/11/07/pdfs/GMD-1834-266.pdf#page=1","Abrir facsímil")</f>
        <v>Abrir facsímil</v>
      </c>
      <c r="K11736" s="10" t="s">
        <v>24</v>
      </c>
    </row>
    <row r="11737" spans="1:11" ht="54" customHeight="1">
      <c r="A11737" s="9" t="s">
        <v>23981</v>
      </c>
      <c r="B11737" s="9" t="s">
        <v>23981</v>
      </c>
      <c r="C11737" s="9" t="s">
        <v>17</v>
      </c>
      <c r="D11737" s="9" t="s">
        <v>18</v>
      </c>
      <c r="E11737" s="10" t="s">
        <v>3066</v>
      </c>
      <c r="F11737" s="9" t="s">
        <v>3067</v>
      </c>
      <c r="G11737" s="10" t="s">
        <v>21</v>
      </c>
      <c r="H11737" s="9" t="s">
        <v>22</v>
      </c>
      <c r="I11737" s="9" t="s">
        <v>23982</v>
      </c>
      <c r="J11737" s="10" t="str">
        <f>HYPERLINK("https://www.boe.es/gazeta/dias/1834/08/03/pdfs/GMD-C-1834-167.pdf#page=3","Abrir facsímil")</f>
        <v>Abrir facsímil</v>
      </c>
      <c r="K11737" s="10" t="s">
        <v>24</v>
      </c>
    </row>
    <row r="11738" spans="1:11" ht="54" customHeight="1">
      <c r="A11738" s="9" t="s">
        <v>23981</v>
      </c>
      <c r="B11738" s="9" t="s">
        <v>23981</v>
      </c>
      <c r="C11738" s="9" t="s">
        <v>46</v>
      </c>
      <c r="D11738" s="9" t="s">
        <v>101</v>
      </c>
      <c r="E11738" s="10" t="s">
        <v>2212</v>
      </c>
      <c r="F11738" s="9" t="s">
        <v>2213</v>
      </c>
      <c r="G11738" s="10" t="s">
        <v>75</v>
      </c>
      <c r="H11738" s="9" t="s">
        <v>22</v>
      </c>
      <c r="I11738" s="9" t="s">
        <v>23983</v>
      </c>
      <c r="J11738" s="10" t="str">
        <f>HYPERLINK("https://www.boe.es/gazeta/dias/1834/08/04/pdfs/GMD-C-1834-168.pdf#page=4","Abrir facsímil")</f>
        <v>Abrir facsímil</v>
      </c>
      <c r="K11738" s="10" t="s">
        <v>24</v>
      </c>
    </row>
    <row r="11739" spans="1:11" ht="54" customHeight="1">
      <c r="A11739" s="9" t="s">
        <v>23981</v>
      </c>
      <c r="B11739" s="9" t="s">
        <v>23981</v>
      </c>
      <c r="C11739" s="9" t="s">
        <v>17</v>
      </c>
      <c r="D11739" s="9" t="s">
        <v>40</v>
      </c>
      <c r="E11739" s="10" t="s">
        <v>364</v>
      </c>
      <c r="F11739" s="9" t="s">
        <v>365</v>
      </c>
      <c r="G11739" s="10" t="s">
        <v>28</v>
      </c>
      <c r="H11739" s="9" t="s">
        <v>22</v>
      </c>
      <c r="I11739" s="9" t="s">
        <v>23984</v>
      </c>
      <c r="J11739" s="10" t="str">
        <f>HYPERLINK("https://www.boe.es/gazeta/dias/1834/09/06/pdfs/GMD-C-1834-204.pdf#page=5","Abrir facsímil")</f>
        <v>Abrir facsímil</v>
      </c>
      <c r="K11739" s="10" t="s">
        <v>24</v>
      </c>
    </row>
    <row r="11740" spans="1:11" ht="54" customHeight="1">
      <c r="A11740" s="9" t="s">
        <v>23981</v>
      </c>
      <c r="B11740" s="9" t="s">
        <v>23981</v>
      </c>
      <c r="C11740" s="9" t="s">
        <v>17</v>
      </c>
      <c r="D11740" s="9" t="s">
        <v>18</v>
      </c>
      <c r="E11740" s="10" t="s">
        <v>1742</v>
      </c>
      <c r="F11740" s="9" t="s">
        <v>1743</v>
      </c>
      <c r="G11740" s="10" t="s">
        <v>21</v>
      </c>
      <c r="H11740" s="9" t="s">
        <v>22</v>
      </c>
      <c r="I11740" s="9" t="s">
        <v>23985</v>
      </c>
      <c r="J11740" s="10" t="str">
        <f>HYPERLINK("https://www.boe.es/gazeta/dias/1834/11/06/pdfs/GMD-1834-265.pdf#page=3","Abrir facsímil")</f>
        <v>Abrir facsímil</v>
      </c>
      <c r="K11740" s="10" t="s">
        <v>24</v>
      </c>
    </row>
    <row r="11741" spans="1:11" ht="54" customHeight="1">
      <c r="A11741" s="9" t="s">
        <v>23981</v>
      </c>
      <c r="B11741" s="9" t="s">
        <v>23981</v>
      </c>
      <c r="C11741" s="9" t="s">
        <v>17</v>
      </c>
      <c r="D11741" s="9" t="s">
        <v>18</v>
      </c>
      <c r="E11741" s="10" t="s">
        <v>167</v>
      </c>
      <c r="F11741" s="9" t="s">
        <v>1200</v>
      </c>
      <c r="G11741" s="10" t="s">
        <v>2174</v>
      </c>
      <c r="H11741" s="9" t="s">
        <v>22</v>
      </c>
      <c r="I11741" s="9" t="s">
        <v>23986</v>
      </c>
      <c r="J11741" s="10" t="str">
        <f>HYPERLINK("https://www.boe.es/gazeta/dias/1834/09/07/pdfs/GMD-C-1834-205.pdf#page=10","Abrir facsímil")</f>
        <v>Abrir facsímil</v>
      </c>
      <c r="K11741" s="10" t="s">
        <v>24</v>
      </c>
    </row>
    <row r="11742" spans="1:11" ht="54" customHeight="1">
      <c r="A11742" s="9" t="s">
        <v>23981</v>
      </c>
      <c r="B11742" s="9" t="s">
        <v>23981</v>
      </c>
      <c r="C11742" s="9" t="s">
        <v>17</v>
      </c>
      <c r="D11742" s="9" t="s">
        <v>18</v>
      </c>
      <c r="E11742" s="10" t="s">
        <v>813</v>
      </c>
      <c r="F11742" s="9" t="s">
        <v>16756</v>
      </c>
      <c r="G11742" s="10" t="s">
        <v>34</v>
      </c>
      <c r="H11742" s="9" t="s">
        <v>22</v>
      </c>
      <c r="I11742" s="9" t="s">
        <v>23987</v>
      </c>
      <c r="J11742" s="10" t="str">
        <f>HYPERLINK("https://www.boe.es/gazeta/dias/1834/08/08/pdfs/GMD-C-1834-173.pdf#page=1","Abrir facsímil")</f>
        <v>Abrir facsímil</v>
      </c>
      <c r="K11742" s="10" t="s">
        <v>24</v>
      </c>
    </row>
    <row r="11743" spans="1:11" ht="54" customHeight="1">
      <c r="A11743" s="9" t="s">
        <v>23981</v>
      </c>
      <c r="B11743" s="9" t="s">
        <v>23981</v>
      </c>
      <c r="C11743" s="9" t="s">
        <v>17</v>
      </c>
      <c r="D11743" s="9" t="s">
        <v>18</v>
      </c>
      <c r="E11743" s="10" t="s">
        <v>163</v>
      </c>
      <c r="F11743" s="9" t="s">
        <v>4896</v>
      </c>
      <c r="G11743" s="10" t="s">
        <v>34</v>
      </c>
      <c r="H11743" s="9" t="s">
        <v>22</v>
      </c>
      <c r="I11743" s="9" t="s">
        <v>23988</v>
      </c>
      <c r="J11743" s="10" t="str">
        <f>HYPERLINK("https://www.boe.es/gazeta/dias/1834/08/09/pdfs/GMD-C-1834-174.pdf#page=1","Abrir facsímil")</f>
        <v>Abrir facsímil</v>
      </c>
      <c r="K11743" s="10" t="s">
        <v>24</v>
      </c>
    </row>
    <row r="11744" spans="1:11" ht="54" customHeight="1">
      <c r="A11744" s="9" t="s">
        <v>23981</v>
      </c>
      <c r="B11744" s="9" t="s">
        <v>23981</v>
      </c>
      <c r="C11744" s="9" t="s">
        <v>90</v>
      </c>
      <c r="D11744" s="9" t="s">
        <v>18</v>
      </c>
      <c r="E11744" s="10" t="s">
        <v>163</v>
      </c>
      <c r="F11744" s="9" t="s">
        <v>4896</v>
      </c>
      <c r="G11744" s="10" t="s">
        <v>86</v>
      </c>
      <c r="H11744" s="9" t="s">
        <v>22</v>
      </c>
      <c r="I11744" s="9" t="s">
        <v>23989</v>
      </c>
      <c r="J11744" s="10" t="str">
        <f>HYPERLINK("https://www.boe.es/gazeta/dias/1834/08/09/pdfs/GMD-C-1834-174.pdf#page=2","Abrir facsímil")</f>
        <v>Abrir facsímil</v>
      </c>
      <c r="K11744" s="10" t="s">
        <v>24</v>
      </c>
    </row>
    <row r="11745" spans="1:11" ht="54" customHeight="1">
      <c r="A11745" s="9" t="s">
        <v>23990</v>
      </c>
      <c r="B11745" s="9" t="s">
        <v>23990</v>
      </c>
      <c r="C11745" s="9" t="s">
        <v>17</v>
      </c>
      <c r="D11745" s="9" t="s">
        <v>18</v>
      </c>
      <c r="E11745" s="10" t="s">
        <v>1410</v>
      </c>
      <c r="F11745" s="9" t="s">
        <v>2231</v>
      </c>
      <c r="G11745" s="10" t="s">
        <v>28</v>
      </c>
      <c r="H11745" s="9" t="s">
        <v>22</v>
      </c>
      <c r="I11745" s="9" t="s">
        <v>23991</v>
      </c>
      <c r="J11745" s="10" t="str">
        <f>HYPERLINK("https://www.boe.es/gazeta/dias/1834/09/09/pdfs/GMD-C-1834-207.pdf#page=5","Abrir facsímil")</f>
        <v>Abrir facsímil</v>
      </c>
      <c r="K11745" s="10" t="s">
        <v>24</v>
      </c>
    </row>
    <row r="11746" spans="1:11" ht="54" customHeight="1">
      <c r="A11746" s="9" t="s">
        <v>23981</v>
      </c>
      <c r="B11746" s="9" t="s">
        <v>23981</v>
      </c>
      <c r="C11746" s="9" t="s">
        <v>17</v>
      </c>
      <c r="D11746" s="9" t="s">
        <v>18</v>
      </c>
      <c r="E11746" s="10" t="s">
        <v>1195</v>
      </c>
      <c r="F11746" s="9" t="s">
        <v>1196</v>
      </c>
      <c r="G11746" s="10" t="s">
        <v>560</v>
      </c>
      <c r="H11746" s="9" t="s">
        <v>22</v>
      </c>
      <c r="I11746" s="9" t="s">
        <v>23992</v>
      </c>
      <c r="J11746" s="10" t="str">
        <f>HYPERLINK("https://www.boe.es/gazeta/dias/1834/10/17/pdfs/GMD-C-1834-245.pdf#page=7","Abrir facsímil")</f>
        <v>Abrir facsímil</v>
      </c>
      <c r="K11746" s="10" t="s">
        <v>24</v>
      </c>
    </row>
    <row r="11747" spans="1:11" ht="54" customHeight="1">
      <c r="A11747" s="9" t="s">
        <v>23981</v>
      </c>
      <c r="B11747" s="9" t="s">
        <v>23981</v>
      </c>
      <c r="C11747" s="9" t="s">
        <v>17</v>
      </c>
      <c r="D11747" s="9" t="s">
        <v>18</v>
      </c>
      <c r="E11747" s="10" t="s">
        <v>672</v>
      </c>
      <c r="F11747" s="9" t="s">
        <v>1055</v>
      </c>
      <c r="G11747" s="10" t="s">
        <v>75</v>
      </c>
      <c r="H11747" s="9" t="s">
        <v>22</v>
      </c>
      <c r="I11747" s="9" t="s">
        <v>23993</v>
      </c>
      <c r="J11747" s="10" t="str">
        <f>HYPERLINK("https://www.boe.es/gazeta/dias/1834/09/19/pdfs/GMD-C-1834-217.pdf#page=4","Abrir facsímil")</f>
        <v>Abrir facsímil</v>
      </c>
      <c r="K11747" s="10" t="s">
        <v>24</v>
      </c>
    </row>
    <row r="11748" spans="1:11" ht="54" customHeight="1">
      <c r="A11748" s="9" t="s">
        <v>23981</v>
      </c>
      <c r="B11748" s="9" t="s">
        <v>23981</v>
      </c>
      <c r="C11748" s="9" t="s">
        <v>17</v>
      </c>
      <c r="D11748" s="9" t="s">
        <v>18</v>
      </c>
      <c r="E11748" s="10" t="s">
        <v>981</v>
      </c>
      <c r="F11748" s="9" t="s">
        <v>3406</v>
      </c>
      <c r="G11748" s="10" t="s">
        <v>28</v>
      </c>
      <c r="H11748" s="9" t="s">
        <v>22</v>
      </c>
      <c r="I11748" s="9" t="s">
        <v>23994</v>
      </c>
      <c r="J11748" s="10" t="str">
        <f>HYPERLINK("https://www.boe.es/gazeta/dias/1834/09/21/pdfs/GMD-C-1834-219.pdf#page=5","Abrir facsímil")</f>
        <v>Abrir facsímil</v>
      </c>
      <c r="K11748" s="10" t="s">
        <v>24</v>
      </c>
    </row>
    <row r="11749" spans="1:11" ht="54" customHeight="1">
      <c r="A11749" s="9" t="s">
        <v>23990</v>
      </c>
      <c r="B11749" s="9" t="s">
        <v>23990</v>
      </c>
      <c r="C11749" s="9" t="s">
        <v>17</v>
      </c>
      <c r="D11749" s="9" t="s">
        <v>18</v>
      </c>
      <c r="E11749" s="10" t="s">
        <v>1677</v>
      </c>
      <c r="F11749" s="9" t="s">
        <v>2515</v>
      </c>
      <c r="G11749" s="10" t="s">
        <v>34</v>
      </c>
      <c r="H11749" s="9" t="s">
        <v>22</v>
      </c>
      <c r="I11749" s="9" t="s">
        <v>23995</v>
      </c>
      <c r="J11749" s="10" t="str">
        <f>HYPERLINK("https://www.boe.es/gazeta/dias/1834/07/26/pdfs/GMD-C-1834-159.pdf#page=1","Abrir facsímil")</f>
        <v>Abrir facsímil</v>
      </c>
      <c r="K11749" s="10" t="s">
        <v>24</v>
      </c>
    </row>
    <row r="11750" spans="1:11" ht="54" customHeight="1">
      <c r="A11750" s="9" t="s">
        <v>23981</v>
      </c>
      <c r="B11750" s="9" t="s">
        <v>23981</v>
      </c>
      <c r="C11750" s="9" t="s">
        <v>66</v>
      </c>
      <c r="D11750" s="9" t="s">
        <v>67</v>
      </c>
      <c r="E11750" s="10" t="s">
        <v>174</v>
      </c>
      <c r="F11750" s="9" t="s">
        <v>175</v>
      </c>
      <c r="G11750" s="10" t="s">
        <v>28</v>
      </c>
      <c r="H11750" s="9" t="s">
        <v>22</v>
      </c>
      <c r="I11750" s="9" t="s">
        <v>23996</v>
      </c>
      <c r="J11750" s="10" t="str">
        <f>HYPERLINK("https://www.boe.es/gazeta/dias/1834/03/27/pdfs/GMD-1834-38.pdf#page=5","Abrir facsímil")</f>
        <v>Abrir facsímil</v>
      </c>
      <c r="K11750" s="10" t="s">
        <v>24</v>
      </c>
    </row>
    <row r="11751" spans="1:11" ht="54" customHeight="1">
      <c r="A11751" s="9" t="s">
        <v>23997</v>
      </c>
      <c r="B11751" s="9" t="s">
        <v>23998</v>
      </c>
      <c r="C11751" s="9" t="s">
        <v>17</v>
      </c>
      <c r="D11751" s="9" t="s">
        <v>18</v>
      </c>
      <c r="E11751" s="10" t="s">
        <v>563</v>
      </c>
      <c r="F11751" s="9" t="s">
        <v>564</v>
      </c>
      <c r="G11751" s="10" t="s">
        <v>34</v>
      </c>
      <c r="H11751" s="9" t="s">
        <v>35</v>
      </c>
      <c r="I11751" s="9" t="s">
        <v>23999</v>
      </c>
      <c r="J11751" s="10" t="str">
        <f>HYPERLINK("https://www.boe.es/gazeta/dias/1834/04/19/pdfs/GMD-1834-58.pdf#page=1","Abrir facsímil")</f>
        <v>Abrir facsímil</v>
      </c>
      <c r="K11751" s="10" t="s">
        <v>37</v>
      </c>
    </row>
    <row r="11752" spans="1:11" ht="54" customHeight="1">
      <c r="A11752" s="9" t="s">
        <v>24000</v>
      </c>
      <c r="B11752" s="9" t="s">
        <v>24001</v>
      </c>
      <c r="C11752" s="9" t="s">
        <v>17</v>
      </c>
      <c r="D11752" s="9" t="s">
        <v>18</v>
      </c>
      <c r="E11752" s="10" t="s">
        <v>1402</v>
      </c>
      <c r="F11752" s="9" t="s">
        <v>1403</v>
      </c>
      <c r="G11752" s="10" t="s">
        <v>86</v>
      </c>
      <c r="H11752" s="9" t="s">
        <v>22</v>
      </c>
      <c r="I11752" s="9" t="s">
        <v>24002</v>
      </c>
      <c r="J11752" s="10" t="str">
        <f>HYPERLINK("https://www.boe.es/gazeta/dias/1834/05/05/pdfs/I00347-00348.pdf#page=2","Abrir facsímil")</f>
        <v>Abrir facsímil</v>
      </c>
      <c r="K11752" s="10" t="s">
        <v>24</v>
      </c>
    </row>
    <row r="11753" spans="1:11" ht="54" customHeight="1">
      <c r="A11753" s="9" t="s">
        <v>24000</v>
      </c>
      <c r="B11753" s="9" t="s">
        <v>24001</v>
      </c>
      <c r="C11753" s="9" t="s">
        <v>17</v>
      </c>
      <c r="D11753" s="9" t="s">
        <v>18</v>
      </c>
      <c r="E11753" s="10" t="s">
        <v>1402</v>
      </c>
      <c r="F11753" s="9" t="s">
        <v>1403</v>
      </c>
      <c r="G11753" s="10" t="s">
        <v>176</v>
      </c>
      <c r="H11753" s="9" t="s">
        <v>22</v>
      </c>
      <c r="I11753" s="9" t="s">
        <v>24003</v>
      </c>
      <c r="J11753" s="10" t="str">
        <f>HYPERLINK("https://www.boe.es/gazeta/dias/1834/05/05/pdfs/GMD-1834-74.pdf#page=6","Abrir facsímil")</f>
        <v>Abrir facsímil</v>
      </c>
      <c r="K11753" s="10" t="s">
        <v>24</v>
      </c>
    </row>
    <row r="11754" spans="1:11" ht="54" customHeight="1">
      <c r="A11754" s="9" t="s">
        <v>24000</v>
      </c>
      <c r="B11754" s="9" t="s">
        <v>24001</v>
      </c>
      <c r="C11754" s="9" t="s">
        <v>17</v>
      </c>
      <c r="D11754" s="9" t="s">
        <v>18</v>
      </c>
      <c r="E11754" s="10" t="s">
        <v>133</v>
      </c>
      <c r="F11754" s="9" t="s">
        <v>134</v>
      </c>
      <c r="G11754" s="10" t="s">
        <v>34</v>
      </c>
      <c r="H11754" s="9" t="s">
        <v>22</v>
      </c>
      <c r="I11754" s="9" t="s">
        <v>24004</v>
      </c>
      <c r="J11754" s="10" t="str">
        <f>HYPERLINK("https://www.boe.es/gazeta/dias/1834/06/18/pdfs/GMD-1834-121.pdf#page=1","Abrir facsímil")</f>
        <v>Abrir facsímil</v>
      </c>
      <c r="K11754" s="10" t="s">
        <v>24</v>
      </c>
    </row>
    <row r="11755" spans="1:11" ht="54" customHeight="1">
      <c r="A11755" s="9" t="s">
        <v>24000</v>
      </c>
      <c r="B11755" s="9" t="s">
        <v>24001</v>
      </c>
      <c r="C11755" s="9" t="s">
        <v>122</v>
      </c>
      <c r="D11755" s="9" t="s">
        <v>18</v>
      </c>
      <c r="E11755" s="10" t="s">
        <v>647</v>
      </c>
      <c r="F11755" s="9" t="s">
        <v>2176</v>
      </c>
      <c r="G11755" s="10" t="s">
        <v>34</v>
      </c>
      <c r="H11755" s="9" t="s">
        <v>22</v>
      </c>
      <c r="I11755" s="9" t="s">
        <v>24005</v>
      </c>
      <c r="J11755" s="10" t="str">
        <f>HYPERLINK("https://www.boe.es/gazeta/dias/1834/10/21/pdfs/GMD-1834-249.pdf#page=1","Abrir facsímil")</f>
        <v>Abrir facsímil</v>
      </c>
      <c r="K11755" s="10" t="s">
        <v>24</v>
      </c>
    </row>
    <row r="11756" spans="1:11" ht="54" customHeight="1">
      <c r="A11756" s="9" t="s">
        <v>24000</v>
      </c>
      <c r="B11756" s="9" t="s">
        <v>24001</v>
      </c>
      <c r="C11756" s="9" t="s">
        <v>90</v>
      </c>
      <c r="D11756" s="9" t="s">
        <v>18</v>
      </c>
      <c r="E11756" s="10" t="s">
        <v>32</v>
      </c>
      <c r="F11756" s="9" t="s">
        <v>33</v>
      </c>
      <c r="G11756" s="10" t="s">
        <v>34</v>
      </c>
      <c r="H11756" s="9" t="s">
        <v>22</v>
      </c>
      <c r="I11756" s="9" t="s">
        <v>24006</v>
      </c>
      <c r="J11756" s="10" t="str">
        <f>HYPERLINK("https://www.boe.es/gazeta/dias/1834/04/23/pdfs/GMD-1834-62.pdf#page=1","Abrir facsímil")</f>
        <v>Abrir facsímil</v>
      </c>
      <c r="K11756" s="10" t="s">
        <v>24</v>
      </c>
    </row>
    <row r="11757" spans="1:11" ht="54" customHeight="1">
      <c r="A11757" s="9" t="s">
        <v>24007</v>
      </c>
      <c r="B11757" s="9" t="s">
        <v>24008</v>
      </c>
      <c r="C11757" s="9" t="s">
        <v>46</v>
      </c>
      <c r="D11757" s="9" t="s">
        <v>55</v>
      </c>
      <c r="E11757" s="10" t="s">
        <v>32</v>
      </c>
      <c r="F11757" s="9" t="s">
        <v>33</v>
      </c>
      <c r="G11757" s="10" t="s">
        <v>86</v>
      </c>
      <c r="H11757" s="9" t="s">
        <v>22</v>
      </c>
      <c r="I11757" s="9" t="s">
        <v>24009</v>
      </c>
      <c r="J11757" s="10" t="str">
        <f>HYPERLINK("https://www.boe.es/gazeta/dias/1834/04/23/pdfs/GMD-1834-62.pdf#page=2","Abrir facsímil")</f>
        <v>Abrir facsímil</v>
      </c>
      <c r="K11757" s="10" t="s">
        <v>24</v>
      </c>
    </row>
    <row r="11758" spans="1:11" ht="54" customHeight="1">
      <c r="A11758" s="9" t="s">
        <v>24010</v>
      </c>
      <c r="B11758" s="9" t="s">
        <v>24011</v>
      </c>
      <c r="C11758" s="9" t="s">
        <v>17</v>
      </c>
      <c r="D11758" s="9" t="s">
        <v>101</v>
      </c>
      <c r="E11758" s="10" t="s">
        <v>905</v>
      </c>
      <c r="F11758" s="9" t="s">
        <v>1651</v>
      </c>
      <c r="G11758" s="10" t="s">
        <v>21</v>
      </c>
      <c r="H11758" s="9" t="s">
        <v>35</v>
      </c>
      <c r="I11758" s="9" t="s">
        <v>24012</v>
      </c>
      <c r="J11758" s="10" t="str">
        <f>HYPERLINK("https://www.boe.es/gazeta/dias/1834/08/02/pdfs/GMD-1834-166.pdf#page=3","Abrir facsímil")</f>
        <v>Abrir facsímil</v>
      </c>
      <c r="K11758" s="10" t="s">
        <v>37</v>
      </c>
    </row>
    <row r="11759" spans="1:11" ht="54" customHeight="1">
      <c r="A11759" s="9" t="s">
        <v>24013</v>
      </c>
      <c r="B11759" s="9" t="s">
        <v>24014</v>
      </c>
      <c r="C11759" s="9" t="s">
        <v>17</v>
      </c>
      <c r="D11759" s="9" t="s">
        <v>18</v>
      </c>
      <c r="E11759" s="10" t="s">
        <v>3471</v>
      </c>
      <c r="F11759" s="9" t="s">
        <v>3472</v>
      </c>
      <c r="G11759" s="10" t="s">
        <v>21</v>
      </c>
      <c r="H11759" s="9" t="s">
        <v>35</v>
      </c>
      <c r="I11759" s="9" t="s">
        <v>24015</v>
      </c>
      <c r="J11759" s="10" t="str">
        <f>HYPERLINK("https://www.boe.es/gazeta/dias/1834/07/07/pdfs/GMD-1834-140.pdf#page=3","Abrir facsímil")</f>
        <v>Abrir facsímil</v>
      </c>
      <c r="K11759" s="10" t="s">
        <v>37</v>
      </c>
    </row>
    <row r="11760" spans="1:11" ht="54" customHeight="1">
      <c r="A11760" s="9" t="s">
        <v>24016</v>
      </c>
      <c r="B11760" s="9" t="s">
        <v>24017</v>
      </c>
      <c r="C11760" s="9" t="s">
        <v>122</v>
      </c>
      <c r="D11760" s="9" t="s">
        <v>18</v>
      </c>
      <c r="E11760" s="10" t="s">
        <v>3066</v>
      </c>
      <c r="F11760" s="9" t="s">
        <v>3188</v>
      </c>
      <c r="G11760" s="10" t="s">
        <v>86</v>
      </c>
      <c r="H11760" s="9" t="s">
        <v>35</v>
      </c>
      <c r="I11760" s="9" t="s">
        <v>24018</v>
      </c>
      <c r="J11760" s="10" t="str">
        <f>HYPERLINK("https://www.boe.es/gazeta/dias/1834/08/03/pdfs/GMD-1834-167.pdf#page=2","Abrir facsímil")</f>
        <v>Abrir facsímil</v>
      </c>
      <c r="K11760" s="10" t="s">
        <v>37</v>
      </c>
    </row>
    <row r="11761" spans="1:11" ht="54" customHeight="1">
      <c r="A11761" s="9" t="s">
        <v>24019</v>
      </c>
      <c r="B11761" s="9" t="s">
        <v>24020</v>
      </c>
      <c r="C11761" s="9" t="s">
        <v>17</v>
      </c>
      <c r="D11761" s="9" t="s">
        <v>18</v>
      </c>
      <c r="E11761" s="10" t="s">
        <v>454</v>
      </c>
      <c r="F11761" s="9" t="s">
        <v>455</v>
      </c>
      <c r="G11761" s="10" t="s">
        <v>34</v>
      </c>
      <c r="H11761" s="9" t="s">
        <v>35</v>
      </c>
      <c r="I11761" s="9" t="s">
        <v>24021</v>
      </c>
      <c r="J11761" s="10" t="str">
        <f>HYPERLINK("https://www.boe.es/gazeta/dias/1834/10/16/pdfs/GMD-C-1834-244.pdf#page=1","Abrir facsímil")</f>
        <v>Abrir facsímil</v>
      </c>
      <c r="K11761" s="10" t="s">
        <v>37</v>
      </c>
    </row>
    <row r="11762" spans="1:11" ht="54" customHeight="1">
      <c r="A11762" s="9" t="s">
        <v>24022</v>
      </c>
      <c r="B11762" s="9" t="s">
        <v>24023</v>
      </c>
      <c r="C11762" s="9" t="s">
        <v>17</v>
      </c>
      <c r="D11762" s="9" t="s">
        <v>101</v>
      </c>
      <c r="E11762" s="10" t="s">
        <v>2729</v>
      </c>
      <c r="F11762" s="9" t="s">
        <v>2730</v>
      </c>
      <c r="G11762" s="10" t="s">
        <v>34</v>
      </c>
      <c r="H11762" s="9" t="s">
        <v>22</v>
      </c>
      <c r="I11762" s="9" t="s">
        <v>24024</v>
      </c>
      <c r="J11762" s="10" t="str">
        <f>HYPERLINK("https://www.boe.es/gazeta/dias/1834/07/02/pdfs/GMD-1834-135.pdf#page=1","Abrir facsímil")</f>
        <v>Abrir facsímil</v>
      </c>
      <c r="K11762" s="10" t="s">
        <v>24</v>
      </c>
    </row>
    <row r="11763" spans="1:11" ht="54" customHeight="1">
      <c r="A11763" s="9" t="s">
        <v>24022</v>
      </c>
      <c r="B11763" s="9" t="s">
        <v>24023</v>
      </c>
      <c r="C11763" s="9" t="s">
        <v>122</v>
      </c>
      <c r="D11763" s="9" t="s">
        <v>18</v>
      </c>
      <c r="E11763" s="10" t="s">
        <v>355</v>
      </c>
      <c r="F11763" s="9" t="s">
        <v>356</v>
      </c>
      <c r="G11763" s="10" t="s">
        <v>86</v>
      </c>
      <c r="H11763" s="9" t="s">
        <v>22</v>
      </c>
      <c r="I11763" s="9" t="s">
        <v>24025</v>
      </c>
      <c r="J11763" s="10" t="str">
        <f>HYPERLINK("https://www.boe.es/gazeta/dias/1834/07/04/pdfs/I00597-00598.pdf#page=2","Abrir facsímil")</f>
        <v>Abrir facsímil</v>
      </c>
      <c r="K11763" s="10" t="s">
        <v>24</v>
      </c>
    </row>
    <row r="11764" spans="1:11" ht="54" customHeight="1">
      <c r="A11764" s="9" t="s">
        <v>24022</v>
      </c>
      <c r="B11764" s="9" t="s">
        <v>24023</v>
      </c>
      <c r="C11764" s="9" t="s">
        <v>122</v>
      </c>
      <c r="D11764" s="9" t="s">
        <v>18</v>
      </c>
      <c r="E11764" s="10" t="s">
        <v>355</v>
      </c>
      <c r="F11764" s="9" t="s">
        <v>356</v>
      </c>
      <c r="G11764" s="10" t="s">
        <v>75</v>
      </c>
      <c r="H11764" s="9" t="s">
        <v>22</v>
      </c>
      <c r="I11764" s="9" t="s">
        <v>24025</v>
      </c>
      <c r="J11764" s="10" t="str">
        <f>HYPERLINK("https://www.boe.es/gazeta/dias/1834/07/04/pdfs/GMD-1834-137.pdf#page=4","Abrir facsímil")</f>
        <v>Abrir facsímil</v>
      </c>
      <c r="K11764" s="10" t="s">
        <v>24</v>
      </c>
    </row>
    <row r="11765" spans="1:11" ht="54" customHeight="1">
      <c r="A11765" s="9" t="s">
        <v>24026</v>
      </c>
      <c r="B11765" s="9" t="s">
        <v>24027</v>
      </c>
      <c r="C11765" s="9" t="s">
        <v>90</v>
      </c>
      <c r="D11765" s="9" t="s">
        <v>18</v>
      </c>
      <c r="E11765" s="10" t="s">
        <v>84</v>
      </c>
      <c r="F11765" s="9" t="s">
        <v>85</v>
      </c>
      <c r="G11765" s="10" t="s">
        <v>86</v>
      </c>
      <c r="H11765" s="9" t="s">
        <v>22</v>
      </c>
      <c r="I11765" s="9" t="s">
        <v>24028</v>
      </c>
      <c r="J11765" s="10" t="str">
        <f>HYPERLINK("https://www.boe.es/gazeta/dias/1834/06/07/pdfs/GMD-C-1834-109.pdf#page=2","Abrir facsímil")</f>
        <v>Abrir facsímil</v>
      </c>
      <c r="K11765" s="10" t="s">
        <v>24</v>
      </c>
    </row>
    <row r="11766" spans="1:11" ht="54" customHeight="1">
      <c r="A11766" s="9" t="s">
        <v>24022</v>
      </c>
      <c r="B11766" s="9" t="s">
        <v>24023</v>
      </c>
      <c r="C11766" s="9" t="s">
        <v>17</v>
      </c>
      <c r="D11766" s="9" t="s">
        <v>18</v>
      </c>
      <c r="E11766" s="10" t="s">
        <v>3471</v>
      </c>
      <c r="F11766" s="9" t="s">
        <v>3472</v>
      </c>
      <c r="G11766" s="10" t="s">
        <v>21</v>
      </c>
      <c r="H11766" s="9" t="s">
        <v>22</v>
      </c>
      <c r="I11766" s="9" t="s">
        <v>24029</v>
      </c>
      <c r="J11766" s="10" t="str">
        <f>HYPERLINK("https://www.boe.es/gazeta/dias/1834/07/07/pdfs/GMD-1834-140.pdf#page=3","Abrir facsímil")</f>
        <v>Abrir facsímil</v>
      </c>
      <c r="K11766" s="10" t="s">
        <v>24</v>
      </c>
    </row>
    <row r="11767" spans="1:11" ht="54" customHeight="1">
      <c r="A11767" s="9" t="s">
        <v>24022</v>
      </c>
      <c r="B11767" s="9" t="s">
        <v>24023</v>
      </c>
      <c r="C11767" s="9" t="s">
        <v>66</v>
      </c>
      <c r="D11767" s="9" t="s">
        <v>67</v>
      </c>
      <c r="E11767" s="10" t="s">
        <v>860</v>
      </c>
      <c r="F11767" s="9" t="s">
        <v>861</v>
      </c>
      <c r="G11767" s="10" t="s">
        <v>34</v>
      </c>
      <c r="H11767" s="9" t="s">
        <v>22</v>
      </c>
      <c r="I11767" s="9" t="s">
        <v>24030</v>
      </c>
      <c r="J11767" s="10" t="str">
        <f>HYPERLINK("https://www.boe.es/gazeta/dias/1834/02/08/pdfs/GMD-1834-18.pdf#page=1","Abrir facsímil")</f>
        <v>Abrir facsímil</v>
      </c>
      <c r="K11767" s="10" t="s">
        <v>24</v>
      </c>
    </row>
    <row r="11768" spans="1:11" ht="54" customHeight="1">
      <c r="A11768" s="9" t="s">
        <v>24022</v>
      </c>
      <c r="B11768" s="9" t="s">
        <v>24023</v>
      </c>
      <c r="C11768" s="9" t="s">
        <v>17</v>
      </c>
      <c r="D11768" s="9" t="s">
        <v>18</v>
      </c>
      <c r="E11768" s="10" t="s">
        <v>2091</v>
      </c>
      <c r="F11768" s="9" t="s">
        <v>2092</v>
      </c>
      <c r="G11768" s="10" t="s">
        <v>34</v>
      </c>
      <c r="H11768" s="9" t="s">
        <v>22</v>
      </c>
      <c r="I11768" s="9" t="s">
        <v>24031</v>
      </c>
      <c r="J11768" s="10" t="str">
        <f>HYPERLINK("https://www.boe.es/gazeta/dias/1834/03/08/pdfs/GMD-1834-30.pdf#page=1","Abrir facsímil")</f>
        <v>Abrir facsímil</v>
      </c>
      <c r="K11768" s="10" t="s">
        <v>24</v>
      </c>
    </row>
    <row r="11769" spans="1:11" ht="54" customHeight="1">
      <c r="A11769" s="9" t="s">
        <v>24022</v>
      </c>
      <c r="B11769" s="9" t="s">
        <v>24023</v>
      </c>
      <c r="C11769" s="9" t="s">
        <v>17</v>
      </c>
      <c r="D11769" s="9" t="s">
        <v>18</v>
      </c>
      <c r="E11769" s="10" t="s">
        <v>163</v>
      </c>
      <c r="F11769" s="9" t="s">
        <v>164</v>
      </c>
      <c r="G11769" s="10" t="s">
        <v>21</v>
      </c>
      <c r="H11769" s="9" t="s">
        <v>22</v>
      </c>
      <c r="I11769" s="9" t="s">
        <v>24032</v>
      </c>
      <c r="J11769" s="10" t="str">
        <f>HYPERLINK("https://www.boe.es/gazeta/dias/1834/08/09/pdfs/GMD-1834-174.pdf#page=3","Abrir facsímil")</f>
        <v>Abrir facsímil</v>
      </c>
      <c r="K11769" s="10" t="s">
        <v>24</v>
      </c>
    </row>
    <row r="11770" spans="1:11" ht="54" customHeight="1">
      <c r="A11770" s="9" t="s">
        <v>24022</v>
      </c>
      <c r="B11770" s="9" t="s">
        <v>24023</v>
      </c>
      <c r="C11770" s="9" t="s">
        <v>17</v>
      </c>
      <c r="D11770" s="9" t="s">
        <v>18</v>
      </c>
      <c r="E11770" s="10" t="s">
        <v>715</v>
      </c>
      <c r="F11770" s="9" t="s">
        <v>7773</v>
      </c>
      <c r="G11770" s="10" t="s">
        <v>34</v>
      </c>
      <c r="H11770" s="9" t="s">
        <v>22</v>
      </c>
      <c r="I11770" s="9" t="s">
        <v>24033</v>
      </c>
      <c r="J11770" s="10" t="str">
        <f>HYPERLINK("https://www.boe.es/gazeta/dias/1834/09/17/pdfs/GMD-1834-215.pdf#page=1","Abrir facsímil")</f>
        <v>Abrir facsímil</v>
      </c>
      <c r="K11770" s="10" t="s">
        <v>24</v>
      </c>
    </row>
    <row r="11771" spans="1:11" ht="54" customHeight="1">
      <c r="A11771" s="9" t="s">
        <v>24022</v>
      </c>
      <c r="B11771" s="9" t="s">
        <v>24023</v>
      </c>
      <c r="C11771" s="9" t="s">
        <v>17</v>
      </c>
      <c r="D11771" s="9" t="s">
        <v>40</v>
      </c>
      <c r="E11771" s="10" t="s">
        <v>1195</v>
      </c>
      <c r="F11771" s="9" t="s">
        <v>1196</v>
      </c>
      <c r="G11771" s="10" t="s">
        <v>34</v>
      </c>
      <c r="H11771" s="9" t="s">
        <v>22</v>
      </c>
      <c r="I11771" s="9" t="s">
        <v>24034</v>
      </c>
      <c r="J11771" s="10" t="str">
        <f>HYPERLINK("https://www.boe.es/gazeta/dias/1834/10/17/pdfs/GMD-C-1834-245.pdf#page=1","Abrir facsímil")</f>
        <v>Abrir facsímil</v>
      </c>
      <c r="K11771" s="10" t="s">
        <v>24</v>
      </c>
    </row>
    <row r="11772" spans="1:11" ht="54" customHeight="1">
      <c r="A11772" s="9" t="s">
        <v>24022</v>
      </c>
      <c r="B11772" s="9" t="s">
        <v>24023</v>
      </c>
      <c r="C11772" s="9" t="s">
        <v>17</v>
      </c>
      <c r="D11772" s="9" t="s">
        <v>18</v>
      </c>
      <c r="E11772" s="10" t="s">
        <v>133</v>
      </c>
      <c r="F11772" s="9" t="s">
        <v>134</v>
      </c>
      <c r="G11772" s="10" t="s">
        <v>34</v>
      </c>
      <c r="H11772" s="9" t="s">
        <v>22</v>
      </c>
      <c r="I11772" s="9" t="s">
        <v>24035</v>
      </c>
      <c r="J11772" s="10" t="str">
        <f>HYPERLINK("https://www.boe.es/gazeta/dias/1834/06/18/pdfs/GMD-1834-121.pdf#page=1","Abrir facsímil")</f>
        <v>Abrir facsímil</v>
      </c>
      <c r="K11772" s="10" t="s">
        <v>24</v>
      </c>
    </row>
    <row r="11773" spans="1:11" ht="54" customHeight="1">
      <c r="A11773" s="9" t="s">
        <v>24022</v>
      </c>
      <c r="B11773" s="9" t="s">
        <v>24023</v>
      </c>
      <c r="C11773" s="9" t="s">
        <v>66</v>
      </c>
      <c r="D11773" s="9" t="s">
        <v>101</v>
      </c>
      <c r="E11773" s="10" t="s">
        <v>1212</v>
      </c>
      <c r="F11773" s="9" t="s">
        <v>1213</v>
      </c>
      <c r="G11773" s="10" t="s">
        <v>34</v>
      </c>
      <c r="H11773" s="9" t="s">
        <v>22</v>
      </c>
      <c r="I11773" s="9" t="s">
        <v>24036</v>
      </c>
      <c r="J11773" s="10" t="str">
        <f>HYPERLINK("https://www.boe.es/gazeta/dias/1834/05/24/pdfs/GMD-1834-93.pdf#page=1","Abrir facsímil")</f>
        <v>Abrir facsímil</v>
      </c>
      <c r="K11773" s="10" t="s">
        <v>24</v>
      </c>
    </row>
    <row r="11774" spans="1:11" ht="54" customHeight="1">
      <c r="A11774" s="9" t="s">
        <v>24022</v>
      </c>
      <c r="B11774" s="9" t="s">
        <v>24023</v>
      </c>
      <c r="C11774" s="9" t="s">
        <v>17</v>
      </c>
      <c r="D11774" s="9" t="s">
        <v>55</v>
      </c>
      <c r="E11774" s="10" t="s">
        <v>2107</v>
      </c>
      <c r="F11774" s="9" t="s">
        <v>2108</v>
      </c>
      <c r="G11774" s="10" t="s">
        <v>34</v>
      </c>
      <c r="H11774" s="9" t="s">
        <v>22</v>
      </c>
      <c r="I11774" s="9" t="s">
        <v>24037</v>
      </c>
      <c r="J11774" s="10" t="str">
        <f>HYPERLINK("https://www.boe.es/gazeta/dias/1834/08/24/pdfs/GMD-1834-190.pdf#page=1","Abrir facsímil")</f>
        <v>Abrir facsímil</v>
      </c>
      <c r="K11774" s="10" t="s">
        <v>24</v>
      </c>
    </row>
    <row r="11775" spans="1:11" ht="54" customHeight="1">
      <c r="A11775" s="9" t="s">
        <v>24022</v>
      </c>
      <c r="B11775" s="9" t="s">
        <v>24023</v>
      </c>
      <c r="C11775" s="9" t="s">
        <v>46</v>
      </c>
      <c r="D11775" s="9" t="s">
        <v>18</v>
      </c>
      <c r="E11775" s="10" t="s">
        <v>707</v>
      </c>
      <c r="F11775" s="9" t="s">
        <v>1359</v>
      </c>
      <c r="G11775" s="10" t="s">
        <v>34</v>
      </c>
      <c r="H11775" s="9" t="s">
        <v>22</v>
      </c>
      <c r="I11775" s="9" t="s">
        <v>24038</v>
      </c>
      <c r="J11775" s="10" t="str">
        <f>HYPERLINK("https://www.boe.es/gazeta/dias/1834/11/25/pdfs/GMD-1834-284.pdf#page=1","Abrir facsímil")</f>
        <v>Abrir facsímil</v>
      </c>
      <c r="K11775" s="10" t="s">
        <v>24</v>
      </c>
    </row>
    <row r="11776" spans="1:11" ht="54" customHeight="1">
      <c r="A11776" s="9" t="s">
        <v>24039</v>
      </c>
      <c r="B11776" s="9" t="s">
        <v>24040</v>
      </c>
      <c r="C11776" s="9" t="s">
        <v>122</v>
      </c>
      <c r="D11776" s="9" t="s">
        <v>18</v>
      </c>
      <c r="E11776" s="10" t="s">
        <v>3066</v>
      </c>
      <c r="F11776" s="9" t="s">
        <v>3188</v>
      </c>
      <c r="G11776" s="10" t="s">
        <v>86</v>
      </c>
      <c r="H11776" s="9" t="s">
        <v>22</v>
      </c>
      <c r="I11776" s="9" t="s">
        <v>24041</v>
      </c>
      <c r="J11776" s="10" t="str">
        <f>HYPERLINK("https://www.boe.es/gazeta/dias/1834/08/03/pdfs/GMD-1834-167.pdf#page=2","Abrir facsímil")</f>
        <v>Abrir facsímil</v>
      </c>
      <c r="K11776" s="10" t="s">
        <v>24</v>
      </c>
    </row>
    <row r="11777" spans="1:11" ht="54" customHeight="1">
      <c r="A11777" s="9" t="s">
        <v>24042</v>
      </c>
      <c r="B11777" s="9" t="s">
        <v>24043</v>
      </c>
      <c r="C11777" s="9" t="s">
        <v>90</v>
      </c>
      <c r="D11777" s="9" t="s">
        <v>18</v>
      </c>
      <c r="E11777" s="10" t="s">
        <v>563</v>
      </c>
      <c r="F11777" s="9" t="s">
        <v>564</v>
      </c>
      <c r="G11777" s="10" t="s">
        <v>34</v>
      </c>
      <c r="H11777" s="9" t="s">
        <v>22</v>
      </c>
      <c r="I11777" s="9" t="s">
        <v>24044</v>
      </c>
      <c r="J11777" s="10" t="str">
        <f>HYPERLINK("https://www.boe.es/gazeta/dias/1834/04/19/pdfs/GMD-1834-58.pdf#page=1","Abrir facsímil")</f>
        <v>Abrir facsímil</v>
      </c>
      <c r="K11777" s="10" t="s">
        <v>24</v>
      </c>
    </row>
    <row r="11778" spans="1:11" ht="54" customHeight="1">
      <c r="A11778" s="9" t="s">
        <v>24045</v>
      </c>
      <c r="B11778" s="9" t="s">
        <v>24046</v>
      </c>
      <c r="C11778" s="9" t="s">
        <v>17</v>
      </c>
      <c r="D11778" s="9" t="s">
        <v>18</v>
      </c>
      <c r="E11778" s="10" t="s">
        <v>158</v>
      </c>
      <c r="F11778" s="9" t="s">
        <v>159</v>
      </c>
      <c r="G11778" s="10" t="s">
        <v>21</v>
      </c>
      <c r="H11778" s="9" t="s">
        <v>22</v>
      </c>
      <c r="I11778" s="9" t="s">
        <v>24047</v>
      </c>
      <c r="J11778" s="10" t="str">
        <f>HYPERLINK("https://www.boe.es/gazeta/dias/1834/10/01/pdfs/GMD-1834-229.pdf#page=3","Abrir facsímil")</f>
        <v>Abrir facsímil</v>
      </c>
      <c r="K11778" s="10" t="s">
        <v>24</v>
      </c>
    </row>
    <row r="11779" spans="1:11" ht="54" customHeight="1">
      <c r="A11779" s="9" t="s">
        <v>24048</v>
      </c>
      <c r="B11779" s="9" t="s">
        <v>24049</v>
      </c>
      <c r="C11779" s="9" t="s">
        <v>17</v>
      </c>
      <c r="D11779" s="9" t="s">
        <v>18</v>
      </c>
      <c r="E11779" s="10" t="s">
        <v>808</v>
      </c>
      <c r="F11779" s="9" t="s">
        <v>809</v>
      </c>
      <c r="G11779" s="10" t="s">
        <v>75</v>
      </c>
      <c r="H11779" s="9" t="s">
        <v>22</v>
      </c>
      <c r="I11779" s="9" t="s">
        <v>24050</v>
      </c>
      <c r="J11779" s="10" t="str">
        <f>HYPERLINK("https://www.boe.es/gazeta/dias/1834/10/11/pdfs/GMD-1834-239.pdf#page=4","Abrir facsímil")</f>
        <v>Abrir facsímil</v>
      </c>
      <c r="K11779" s="10" t="s">
        <v>24</v>
      </c>
    </row>
    <row r="11780" spans="1:11" ht="54" customHeight="1">
      <c r="A11780" s="9" t="s">
        <v>24051</v>
      </c>
      <c r="B11780" s="9" t="s">
        <v>24052</v>
      </c>
      <c r="C11780" s="9" t="s">
        <v>17</v>
      </c>
      <c r="D11780" s="9" t="s">
        <v>18</v>
      </c>
      <c r="E11780" s="10" t="s">
        <v>448</v>
      </c>
      <c r="F11780" s="9" t="s">
        <v>449</v>
      </c>
      <c r="G11780" s="10" t="s">
        <v>86</v>
      </c>
      <c r="H11780" s="9" t="s">
        <v>22</v>
      </c>
      <c r="I11780" s="9" t="s">
        <v>24053</v>
      </c>
      <c r="J11780" s="10" t="str">
        <f>HYPERLINK("https://www.boe.es/gazeta/dias/1834/10/14/pdfs/GMD-C-1834-242.pdf#page=2","Abrir facsímil")</f>
        <v>Abrir facsímil</v>
      </c>
      <c r="K11780" s="10" t="s">
        <v>24</v>
      </c>
    </row>
    <row r="11781" spans="1:11" ht="54" customHeight="1">
      <c r="A11781" s="9" t="s">
        <v>24054</v>
      </c>
      <c r="B11781" s="9" t="s">
        <v>24055</v>
      </c>
      <c r="C11781" s="9" t="s">
        <v>66</v>
      </c>
      <c r="D11781" s="9" t="s">
        <v>67</v>
      </c>
      <c r="E11781" s="10" t="s">
        <v>1025</v>
      </c>
      <c r="F11781" s="9" t="s">
        <v>1026</v>
      </c>
      <c r="G11781" s="10" t="s">
        <v>34</v>
      </c>
      <c r="H11781" s="9" t="s">
        <v>22</v>
      </c>
      <c r="I11781" s="9" t="s">
        <v>24056</v>
      </c>
      <c r="J11781" s="10" t="str">
        <f>HYPERLINK("https://www.boe.es/gazeta/dias/1834/03/01/pdfs/GMD-1834-27.pdf#page=1","Abrir facsímil")</f>
        <v>Abrir facsímil</v>
      </c>
      <c r="K11781" s="10" t="s">
        <v>24</v>
      </c>
    </row>
    <row r="11782" spans="1:11" ht="54" customHeight="1">
      <c r="A11782" s="9" t="s">
        <v>24054</v>
      </c>
      <c r="B11782" s="9" t="s">
        <v>24055</v>
      </c>
      <c r="C11782" s="9" t="s">
        <v>46</v>
      </c>
      <c r="D11782" s="9" t="s">
        <v>18</v>
      </c>
      <c r="E11782" s="10" t="s">
        <v>4637</v>
      </c>
      <c r="F11782" s="9" t="s">
        <v>4638</v>
      </c>
      <c r="G11782" s="10" t="s">
        <v>21</v>
      </c>
      <c r="H11782" s="9" t="s">
        <v>22</v>
      </c>
      <c r="I11782" s="9" t="s">
        <v>24057</v>
      </c>
      <c r="J11782" s="10" t="str">
        <f>HYPERLINK("https://www.boe.es/gazeta/dias/1834/12/08/pdfs/GMD-1834-297.pdf#page=3","Abrir facsímil")</f>
        <v>Abrir facsímil</v>
      </c>
      <c r="K11782" s="10" t="s">
        <v>24</v>
      </c>
    </row>
    <row r="11783" spans="1:11" ht="54" customHeight="1">
      <c r="A11783" s="9" t="s">
        <v>24058</v>
      </c>
      <c r="B11783" s="9" t="s">
        <v>24059</v>
      </c>
      <c r="C11783" s="9" t="s">
        <v>17</v>
      </c>
      <c r="D11783" s="9" t="s">
        <v>55</v>
      </c>
      <c r="E11783" s="10" t="s">
        <v>61</v>
      </c>
      <c r="F11783" s="9" t="s">
        <v>205</v>
      </c>
      <c r="G11783" s="10" t="s">
        <v>34</v>
      </c>
      <c r="H11783" s="9" t="s">
        <v>22</v>
      </c>
      <c r="I11783" s="9" t="s">
        <v>24060</v>
      </c>
      <c r="J11783" s="10" t="str">
        <f>HYPERLINK("https://www.boe.es/gazeta/dias/1834/06/08/pdfs/GMD-1834-110.pdf#page=1","Abrir facsímil")</f>
        <v>Abrir facsímil</v>
      </c>
      <c r="K11783" s="10" t="s">
        <v>24</v>
      </c>
    </row>
    <row r="11784" spans="1:11" ht="54" customHeight="1">
      <c r="A11784" s="9" t="s">
        <v>24061</v>
      </c>
      <c r="B11784" s="9" t="s">
        <v>24062</v>
      </c>
      <c r="C11784" s="9" t="s">
        <v>17</v>
      </c>
      <c r="D11784" s="9" t="s">
        <v>18</v>
      </c>
      <c r="E11784" s="10" t="s">
        <v>2142</v>
      </c>
      <c r="F11784" s="9" t="s">
        <v>2143</v>
      </c>
      <c r="G11784" s="10" t="s">
        <v>21</v>
      </c>
      <c r="H11784" s="9" t="s">
        <v>22</v>
      </c>
      <c r="I11784" s="9" t="s">
        <v>24063</v>
      </c>
      <c r="J11784" s="10" t="str">
        <f>HYPERLINK("https://www.boe.es/gazeta/dias/1834/12/27/pdfs/GMD-1834-317.pdf#page=3","Abrir facsímil")</f>
        <v>Abrir facsímil</v>
      </c>
      <c r="K11784" s="10" t="s">
        <v>24</v>
      </c>
    </row>
    <row r="11785" spans="1:11" ht="54" customHeight="1">
      <c r="A11785" s="9" t="s">
        <v>24064</v>
      </c>
      <c r="B11785" s="9" t="s">
        <v>24065</v>
      </c>
      <c r="C11785" s="9" t="s">
        <v>17</v>
      </c>
      <c r="D11785" s="9" t="s">
        <v>18</v>
      </c>
      <c r="E11785" s="10" t="s">
        <v>1017</v>
      </c>
      <c r="F11785" s="9" t="s">
        <v>1018</v>
      </c>
      <c r="G11785" s="10" t="s">
        <v>21</v>
      </c>
      <c r="H11785" s="9" t="s">
        <v>22</v>
      </c>
      <c r="I11785" s="9" t="s">
        <v>24066</v>
      </c>
      <c r="J11785" s="10" t="str">
        <f>HYPERLINK("https://www.boe.es/gazeta/dias/1834/07/24/pdfs/GMD-1834-157.pdf#page=3","Abrir facsímil")</f>
        <v>Abrir facsímil</v>
      </c>
      <c r="K11785" s="10" t="s">
        <v>24</v>
      </c>
    </row>
    <row r="11786" spans="1:11" ht="54" customHeight="1">
      <c r="A11786" s="9" t="s">
        <v>24067</v>
      </c>
      <c r="B11786" s="9" t="s">
        <v>24068</v>
      </c>
      <c r="C11786" s="9" t="s">
        <v>66</v>
      </c>
      <c r="D11786" s="9" t="s">
        <v>67</v>
      </c>
      <c r="E11786" s="10" t="s">
        <v>32</v>
      </c>
      <c r="F11786" s="9" t="s">
        <v>33</v>
      </c>
      <c r="G11786" s="10" t="s">
        <v>86</v>
      </c>
      <c r="H11786" s="9" t="s">
        <v>22</v>
      </c>
      <c r="I11786" s="9" t="s">
        <v>24069</v>
      </c>
      <c r="J11786" s="10" t="str">
        <f>HYPERLINK("https://www.boe.es/gazeta/dias/1834/04/23/pdfs/GMD-1834-62.pdf#page=2","Abrir facsímil")</f>
        <v>Abrir facsímil</v>
      </c>
      <c r="K11786" s="10" t="s">
        <v>24</v>
      </c>
    </row>
    <row r="11787" spans="1:11" ht="54" customHeight="1">
      <c r="A11787" s="9" t="s">
        <v>24070</v>
      </c>
      <c r="B11787" s="9" t="s">
        <v>24071</v>
      </c>
      <c r="C11787" s="9" t="s">
        <v>17</v>
      </c>
      <c r="D11787" s="9" t="s">
        <v>18</v>
      </c>
      <c r="E11787" s="10" t="s">
        <v>813</v>
      </c>
      <c r="F11787" s="9" t="s">
        <v>814</v>
      </c>
      <c r="G11787" s="10" t="s">
        <v>21</v>
      </c>
      <c r="H11787" s="9" t="s">
        <v>22</v>
      </c>
      <c r="I11787" s="9" t="s">
        <v>24072</v>
      </c>
      <c r="J11787" s="10" t="str">
        <f>HYPERLINK("https://www.boe.es/gazeta/dias/1834/08/08/pdfs/GMD-1834-173.pdf#page=3","Abrir facsímil")</f>
        <v>Abrir facsímil</v>
      </c>
      <c r="K11787" s="10" t="s">
        <v>24</v>
      </c>
    </row>
    <row r="11788" spans="1:11" ht="54" customHeight="1">
      <c r="A11788" s="9" t="s">
        <v>24073</v>
      </c>
      <c r="B11788" s="9" t="s">
        <v>24074</v>
      </c>
      <c r="C11788" s="9" t="s">
        <v>90</v>
      </c>
      <c r="D11788" s="9" t="s">
        <v>18</v>
      </c>
      <c r="E11788" s="10" t="s">
        <v>73</v>
      </c>
      <c r="F11788" s="9" t="s">
        <v>74</v>
      </c>
      <c r="G11788" s="10" t="s">
        <v>75</v>
      </c>
      <c r="H11788" s="9" t="s">
        <v>22</v>
      </c>
      <c r="I11788" s="9" t="s">
        <v>24075</v>
      </c>
      <c r="J11788" s="10" t="str">
        <f>HYPERLINK("https://www.boe.es/gazeta/dias/1834/11/04/pdfs/GMD-1834-263.pdf#page=4","Abrir facsímil")</f>
        <v>Abrir facsímil</v>
      </c>
      <c r="K11788" s="10" t="s">
        <v>24</v>
      </c>
    </row>
    <row r="11789" spans="1:11" ht="54" customHeight="1">
      <c r="A11789" s="9" t="s">
        <v>24073</v>
      </c>
      <c r="B11789" s="9" t="s">
        <v>24074</v>
      </c>
      <c r="C11789" s="9" t="s">
        <v>17</v>
      </c>
      <c r="D11789" s="9" t="s">
        <v>55</v>
      </c>
      <c r="E11789" s="10" t="s">
        <v>299</v>
      </c>
      <c r="F11789" s="9" t="s">
        <v>300</v>
      </c>
      <c r="G11789" s="10" t="s">
        <v>21</v>
      </c>
      <c r="H11789" s="9" t="s">
        <v>22</v>
      </c>
      <c r="I11789" s="9" t="s">
        <v>24076</v>
      </c>
      <c r="J11789" s="10" t="str">
        <f>HYPERLINK("https://www.boe.es/gazeta/dias/1834/12/12/pdfs/GMD-1834-301.pdf#page=3","Abrir facsímil")</f>
        <v>Abrir facsímil</v>
      </c>
      <c r="K11789" s="10" t="s">
        <v>24</v>
      </c>
    </row>
    <row r="11790" spans="1:11" ht="54" customHeight="1">
      <c r="A11790" s="9" t="s">
        <v>24077</v>
      </c>
      <c r="B11790" s="9" t="s">
        <v>24078</v>
      </c>
      <c r="C11790" s="9" t="s">
        <v>17</v>
      </c>
      <c r="D11790" s="9" t="s">
        <v>18</v>
      </c>
      <c r="E11790" s="10" t="s">
        <v>454</v>
      </c>
      <c r="F11790" s="9" t="s">
        <v>455</v>
      </c>
      <c r="G11790" s="10" t="s">
        <v>34</v>
      </c>
      <c r="H11790" s="9" t="s">
        <v>22</v>
      </c>
      <c r="I11790" s="9" t="s">
        <v>24079</v>
      </c>
      <c r="J11790" s="10" t="str">
        <f>HYPERLINK("https://www.boe.es/gazeta/dias/1834/10/16/pdfs/GMD-C-1834-244.pdf#page=1","Abrir facsímil")</f>
        <v>Abrir facsímil</v>
      </c>
      <c r="K11790" s="10" t="s">
        <v>24</v>
      </c>
    </row>
    <row r="11791" spans="1:11" ht="54" customHeight="1">
      <c r="A11791" s="9" t="s">
        <v>24080</v>
      </c>
      <c r="B11791" s="9" t="s">
        <v>24081</v>
      </c>
      <c r="C11791" s="9" t="s">
        <v>66</v>
      </c>
      <c r="D11791" s="9" t="s">
        <v>67</v>
      </c>
      <c r="E11791" s="10" t="s">
        <v>772</v>
      </c>
      <c r="F11791" s="9" t="s">
        <v>773</v>
      </c>
      <c r="G11791" s="10" t="s">
        <v>75</v>
      </c>
      <c r="H11791" s="9" t="s">
        <v>22</v>
      </c>
      <c r="I11791" s="9" t="s">
        <v>24082</v>
      </c>
      <c r="J11791" s="10" t="str">
        <f>HYPERLINK("https://www.boe.es/gazeta/dias/1834/09/18/pdfs/GMD-1834-216.pdf#page=4","Abrir facsímil")</f>
        <v>Abrir facsímil</v>
      </c>
      <c r="K11791" s="10" t="s">
        <v>24</v>
      </c>
    </row>
    <row r="11792" spans="1:11" ht="54" customHeight="1">
      <c r="A11792" s="9" t="s">
        <v>24083</v>
      </c>
      <c r="B11792" s="9" t="s">
        <v>24084</v>
      </c>
      <c r="C11792" s="9" t="s">
        <v>17</v>
      </c>
      <c r="D11792" s="9" t="s">
        <v>18</v>
      </c>
      <c r="E11792" s="10" t="s">
        <v>2950</v>
      </c>
      <c r="F11792" s="9" t="s">
        <v>2951</v>
      </c>
      <c r="G11792" s="10" t="s">
        <v>75</v>
      </c>
      <c r="H11792" s="9" t="s">
        <v>22</v>
      </c>
      <c r="I11792" s="9" t="s">
        <v>24085</v>
      </c>
      <c r="J11792" s="10" t="str">
        <f>HYPERLINK("https://www.boe.es/gazeta/dias/1834/05/20/pdfs/GMD-1834-89.pdf#page=4","Abrir facsímil")</f>
        <v>Abrir facsímil</v>
      </c>
      <c r="K11792" s="10" t="s">
        <v>24</v>
      </c>
    </row>
    <row r="11793" spans="1:11" ht="54" customHeight="1">
      <c r="A11793" s="9" t="s">
        <v>24086</v>
      </c>
      <c r="B11793" s="9" t="s">
        <v>24087</v>
      </c>
      <c r="C11793" s="9" t="s">
        <v>66</v>
      </c>
      <c r="D11793" s="9" t="s">
        <v>67</v>
      </c>
      <c r="E11793" s="10" t="s">
        <v>61</v>
      </c>
      <c r="F11793" s="9" t="s">
        <v>205</v>
      </c>
      <c r="G11793" s="10" t="s">
        <v>75</v>
      </c>
      <c r="H11793" s="9" t="s">
        <v>22</v>
      </c>
      <c r="I11793" s="9" t="s">
        <v>24088</v>
      </c>
      <c r="J11793" s="10" t="str">
        <f>HYPERLINK("https://www.boe.es/gazeta/dias/1834/06/08/pdfs/GMD-1834-110.pdf#page=4","Abrir facsímil")</f>
        <v>Abrir facsímil</v>
      </c>
      <c r="K11793" s="10" t="s">
        <v>24</v>
      </c>
    </row>
    <row r="11794" spans="1:11" ht="54" customHeight="1">
      <c r="A11794" s="9" t="s">
        <v>24089</v>
      </c>
      <c r="B11794" s="9" t="s">
        <v>24089</v>
      </c>
      <c r="C11794" s="9" t="s">
        <v>122</v>
      </c>
      <c r="D11794" s="9" t="s">
        <v>55</v>
      </c>
      <c r="E11794" s="10" t="s">
        <v>2278</v>
      </c>
      <c r="F11794" s="9" t="s">
        <v>3088</v>
      </c>
      <c r="G11794" s="10" t="s">
        <v>75</v>
      </c>
      <c r="H11794" s="9" t="s">
        <v>22</v>
      </c>
      <c r="I11794" s="9" t="s">
        <v>24090</v>
      </c>
      <c r="J11794" s="10" t="str">
        <f>HYPERLINK("https://www.boe.es/gazeta/dias/1834/12/17/pdfs/GMD-1834-306.pdf#page=4","Abrir facsímil")</f>
        <v>Abrir facsímil</v>
      </c>
      <c r="K11794" s="10" t="s">
        <v>24</v>
      </c>
    </row>
    <row r="11795" spans="1:11" ht="54" customHeight="1">
      <c r="A11795" s="9" t="s">
        <v>24091</v>
      </c>
      <c r="B11795" s="9" t="s">
        <v>24092</v>
      </c>
      <c r="C11795" s="9" t="s">
        <v>17</v>
      </c>
      <c r="D11795" s="9" t="s">
        <v>18</v>
      </c>
      <c r="E11795" s="10" t="s">
        <v>777</v>
      </c>
      <c r="F11795" s="9" t="s">
        <v>778</v>
      </c>
      <c r="G11795" s="10" t="s">
        <v>21</v>
      </c>
      <c r="H11795" s="9" t="s">
        <v>22</v>
      </c>
      <c r="I11795" s="9" t="s">
        <v>24093</v>
      </c>
      <c r="J11795" s="10" t="str">
        <f>HYPERLINK("https://www.boe.es/gazeta/dias/1834/10/29/pdfs/GMD-1834-257.pdf#page=3","Abrir facsímil")</f>
        <v>Abrir facsímil</v>
      </c>
      <c r="K11795" s="10" t="s">
        <v>24</v>
      </c>
    </row>
    <row r="11796" spans="1:11" ht="54" customHeight="1">
      <c r="A11796" s="9" t="s">
        <v>24094</v>
      </c>
      <c r="B11796" s="9" t="s">
        <v>24095</v>
      </c>
      <c r="C11796" s="9" t="s">
        <v>17</v>
      </c>
      <c r="D11796" s="9" t="s">
        <v>18</v>
      </c>
      <c r="E11796" s="10" t="s">
        <v>510</v>
      </c>
      <c r="F11796" s="9" t="s">
        <v>511</v>
      </c>
      <c r="G11796" s="10" t="s">
        <v>75</v>
      </c>
      <c r="H11796" s="9" t="s">
        <v>22</v>
      </c>
      <c r="I11796" s="9" t="s">
        <v>24096</v>
      </c>
      <c r="J11796" s="10" t="str">
        <f>HYPERLINK("https://www.boe.es/gazeta/dias/1834/11/26/pdfs/GMD-1834-285.pdf#page=4","Abrir facsímil")</f>
        <v>Abrir facsímil</v>
      </c>
      <c r="K11796" s="10" t="s">
        <v>24</v>
      </c>
    </row>
    <row r="11797" spans="1:11" ht="54" customHeight="1">
      <c r="A11797" s="9" t="s">
        <v>24097</v>
      </c>
      <c r="B11797" s="9" t="s">
        <v>24097</v>
      </c>
      <c r="C11797" s="9" t="s">
        <v>17</v>
      </c>
      <c r="D11797" s="9" t="s">
        <v>18</v>
      </c>
      <c r="E11797" s="10" t="s">
        <v>1284</v>
      </c>
      <c r="F11797" s="9" t="s">
        <v>1285</v>
      </c>
      <c r="G11797" s="10" t="s">
        <v>34</v>
      </c>
      <c r="H11797" s="9" t="s">
        <v>22</v>
      </c>
      <c r="I11797" s="9" t="s">
        <v>24098</v>
      </c>
      <c r="J11797" s="10" t="str">
        <f>HYPERLINK("https://www.boe.es/gazeta/dias/1834/11/28/pdfs/GMD-1834-287.pdf#page=1","Abrir facsímil")</f>
        <v>Abrir facsímil</v>
      </c>
      <c r="K11797" s="10" t="s">
        <v>24</v>
      </c>
    </row>
    <row r="11798" spans="1:11" ht="54" customHeight="1">
      <c r="A11798" s="9" t="s">
        <v>24097</v>
      </c>
      <c r="B11798" s="9" t="s">
        <v>24097</v>
      </c>
      <c r="C11798" s="9" t="s">
        <v>122</v>
      </c>
      <c r="D11798" s="9" t="s">
        <v>55</v>
      </c>
      <c r="E11798" s="10" t="s">
        <v>283</v>
      </c>
      <c r="F11798" s="9" t="s">
        <v>2969</v>
      </c>
      <c r="G11798" s="10" t="s">
        <v>86</v>
      </c>
      <c r="H11798" s="9" t="s">
        <v>22</v>
      </c>
      <c r="I11798" s="9" t="s">
        <v>24099</v>
      </c>
      <c r="J11798" s="10" t="str">
        <f>HYPERLINK("https://www.boe.es/gazeta/dias/1834/11/29/pdfs/GMD-1834-288.pdf#page=2","Abrir facsímil")</f>
        <v>Abrir facsímil</v>
      </c>
      <c r="K11798" s="10" t="s">
        <v>24</v>
      </c>
    </row>
    <row r="11799" spans="1:11" ht="54" customHeight="1">
      <c r="A11799" s="9" t="s">
        <v>24100</v>
      </c>
      <c r="B11799" s="9" t="s">
        <v>24101</v>
      </c>
      <c r="C11799" s="9" t="s">
        <v>46</v>
      </c>
      <c r="D11799" s="9" t="s">
        <v>101</v>
      </c>
      <c r="E11799" s="10" t="s">
        <v>330</v>
      </c>
      <c r="F11799" s="9" t="s">
        <v>331</v>
      </c>
      <c r="G11799" s="10" t="s">
        <v>86</v>
      </c>
      <c r="H11799" s="9" t="s">
        <v>22</v>
      </c>
      <c r="I11799" s="9" t="s">
        <v>24102</v>
      </c>
      <c r="J11799" s="10" t="str">
        <f>HYPERLINK("https://www.boe.es/gazeta/dias/1834/12/03/pdfs/GMD-1834-292.pdf#page=2","Abrir facsímil")</f>
        <v>Abrir facsímil</v>
      </c>
      <c r="K11799" s="10" t="s">
        <v>24</v>
      </c>
    </row>
    <row r="11800" spans="1:11" ht="54" customHeight="1">
      <c r="A11800" s="9" t="s">
        <v>24103</v>
      </c>
      <c r="B11800" s="9" t="s">
        <v>24104</v>
      </c>
      <c r="C11800" s="9" t="s">
        <v>46</v>
      </c>
      <c r="D11800" s="9" t="s">
        <v>101</v>
      </c>
      <c r="E11800" s="10" t="s">
        <v>133</v>
      </c>
      <c r="F11800" s="9" t="s">
        <v>134</v>
      </c>
      <c r="G11800" s="10" t="s">
        <v>21</v>
      </c>
      <c r="H11800" s="9" t="s">
        <v>22</v>
      </c>
      <c r="I11800" s="9" t="s">
        <v>24105</v>
      </c>
      <c r="J11800" s="10" t="str">
        <f>HYPERLINK("https://www.boe.es/gazeta/dias/1834/06/18/pdfs/GMD-1834-121.pdf#page=3","Abrir facsímil")</f>
        <v>Abrir facsímil</v>
      </c>
      <c r="K11800" s="10" t="s">
        <v>24</v>
      </c>
    </row>
    <row r="11801" spans="1:11" ht="54" customHeight="1">
      <c r="A11801" s="9" t="s">
        <v>24106</v>
      </c>
      <c r="B11801" s="9" t="s">
        <v>24107</v>
      </c>
      <c r="C11801" s="9" t="s">
        <v>17</v>
      </c>
      <c r="D11801" s="9" t="s">
        <v>55</v>
      </c>
      <c r="E11801" s="10" t="s">
        <v>627</v>
      </c>
      <c r="F11801" s="9" t="s">
        <v>628</v>
      </c>
      <c r="G11801" s="10" t="s">
        <v>176</v>
      </c>
      <c r="H11801" s="9" t="s">
        <v>22</v>
      </c>
      <c r="I11801" s="9" t="s">
        <v>24108</v>
      </c>
      <c r="J11801" s="10" t="str">
        <f>HYPERLINK("https://www.boe.es/gazeta/dias/1834/09/22/pdfs/GMD-C-1834-220.pdf#page=6","Abrir facsímil")</f>
        <v>Abrir facsímil</v>
      </c>
      <c r="K11801" s="10" t="s">
        <v>24</v>
      </c>
    </row>
    <row r="11802" spans="1:11" ht="54" customHeight="1">
      <c r="A11802" s="9" t="s">
        <v>24109</v>
      </c>
      <c r="B11802" s="9" t="s">
        <v>24110</v>
      </c>
      <c r="C11802" s="9" t="s">
        <v>17</v>
      </c>
      <c r="D11802" s="9" t="s">
        <v>18</v>
      </c>
      <c r="E11802" s="10" t="s">
        <v>1084</v>
      </c>
      <c r="F11802" s="9" t="s">
        <v>1085</v>
      </c>
      <c r="G11802" s="10" t="s">
        <v>28</v>
      </c>
      <c r="H11802" s="9" t="s">
        <v>35</v>
      </c>
      <c r="I11802" s="9" t="s">
        <v>24111</v>
      </c>
      <c r="J11802" s="10" t="str">
        <f>HYPERLINK("https://www.boe.es/gazeta/dias/1834/05/01/pdfs/GMD-1834-70.pdf#page=5","Abrir facsímil")</f>
        <v>Abrir facsímil</v>
      </c>
      <c r="K11802" s="10" t="s">
        <v>37</v>
      </c>
    </row>
    <row r="11803" spans="1:11" ht="54" customHeight="1">
      <c r="A11803" s="9" t="s">
        <v>24112</v>
      </c>
      <c r="B11803" s="9" t="s">
        <v>24113</v>
      </c>
      <c r="C11803" s="9" t="s">
        <v>17</v>
      </c>
      <c r="D11803" s="9" t="s">
        <v>18</v>
      </c>
      <c r="E11803" s="10" t="s">
        <v>563</v>
      </c>
      <c r="F11803" s="9" t="s">
        <v>564</v>
      </c>
      <c r="G11803" s="10" t="s">
        <v>176</v>
      </c>
      <c r="H11803" s="9" t="s">
        <v>22</v>
      </c>
      <c r="I11803" s="9" t="s">
        <v>24114</v>
      </c>
      <c r="J11803" s="10" t="str">
        <f>HYPERLINK("https://www.boe.es/gazeta/dias/1834/04/19/pdfs/GMD-1834-58.pdf#page=6","Abrir facsímil")</f>
        <v>Abrir facsímil</v>
      </c>
      <c r="K11803" s="10" t="s">
        <v>24</v>
      </c>
    </row>
    <row r="11804" spans="1:11" ht="54" customHeight="1">
      <c r="A11804" s="9" t="s">
        <v>24115</v>
      </c>
      <c r="B11804" s="9" t="s">
        <v>24116</v>
      </c>
      <c r="C11804" s="9" t="s">
        <v>17</v>
      </c>
      <c r="D11804" s="9" t="s">
        <v>18</v>
      </c>
      <c r="E11804" s="10" t="s">
        <v>939</v>
      </c>
      <c r="F11804" s="9" t="s">
        <v>940</v>
      </c>
      <c r="G11804" s="10" t="s">
        <v>21</v>
      </c>
      <c r="H11804" s="9" t="s">
        <v>22</v>
      </c>
      <c r="I11804" s="9" t="s">
        <v>24117</v>
      </c>
      <c r="J11804" s="10" t="str">
        <f>HYPERLINK("https://www.boe.es/gazeta/dias/1834/06/10/pdfs/GMD-1834-113.pdf#page=3","Abrir facsímil")</f>
        <v>Abrir facsímil</v>
      </c>
      <c r="K11804" s="10" t="s">
        <v>24</v>
      </c>
    </row>
    <row r="11805" spans="1:11" ht="54" customHeight="1">
      <c r="A11805" s="9" t="s">
        <v>24118</v>
      </c>
      <c r="B11805" s="9" t="s">
        <v>24119</v>
      </c>
      <c r="C11805" s="9" t="s">
        <v>17</v>
      </c>
      <c r="D11805" s="9" t="s">
        <v>18</v>
      </c>
      <c r="E11805" s="10" t="s">
        <v>1084</v>
      </c>
      <c r="F11805" s="9" t="s">
        <v>1085</v>
      </c>
      <c r="G11805" s="10" t="s">
        <v>28</v>
      </c>
      <c r="H11805" s="9" t="s">
        <v>22</v>
      </c>
      <c r="I11805" s="9" t="s">
        <v>24120</v>
      </c>
      <c r="J11805" s="10" t="str">
        <f>HYPERLINK("https://www.boe.es/gazeta/dias/1834/05/01/pdfs/GMD-1834-70.pdf#page=5","Abrir facsímil")</f>
        <v>Abrir facsímil</v>
      </c>
      <c r="K11805" s="10" t="s">
        <v>24</v>
      </c>
    </row>
    <row r="11806" spans="1:11" ht="54" customHeight="1">
      <c r="A11806" s="9" t="s">
        <v>24121</v>
      </c>
      <c r="B11806" s="9" t="s">
        <v>24122</v>
      </c>
      <c r="C11806" s="9" t="s">
        <v>46</v>
      </c>
      <c r="D11806" s="9" t="s">
        <v>18</v>
      </c>
      <c r="E11806" s="10" t="s">
        <v>262</v>
      </c>
      <c r="F11806" s="9" t="s">
        <v>263</v>
      </c>
      <c r="G11806" s="10" t="s">
        <v>86</v>
      </c>
      <c r="H11806" s="9" t="s">
        <v>22</v>
      </c>
      <c r="I11806" s="9" t="s">
        <v>24123</v>
      </c>
      <c r="J11806" s="10" t="str">
        <f>HYPERLINK("https://www.boe.es/gazeta/dias/1834/10/18/pdfs/GMD-C-1834-246.pdf#page=2","Abrir facsímil")</f>
        <v>Abrir facsímil</v>
      </c>
      <c r="K11806" s="10" t="s">
        <v>24</v>
      </c>
    </row>
    <row r="11807" spans="1:11" ht="54" customHeight="1">
      <c r="A11807" s="9" t="s">
        <v>24124</v>
      </c>
      <c r="B11807" s="9" t="s">
        <v>24125</v>
      </c>
      <c r="C11807" s="9" t="s">
        <v>17</v>
      </c>
      <c r="D11807" s="9" t="s">
        <v>18</v>
      </c>
      <c r="E11807" s="10" t="s">
        <v>454</v>
      </c>
      <c r="F11807" s="9" t="s">
        <v>2009</v>
      </c>
      <c r="G11807" s="10" t="s">
        <v>21</v>
      </c>
      <c r="H11807" s="9" t="s">
        <v>22</v>
      </c>
      <c r="I11807" s="9" t="s">
        <v>24126</v>
      </c>
      <c r="J11807" s="10" t="str">
        <f>HYPERLINK("https://www.boe.es/gazeta/dias/1834/10/16/pdfs/GMD-1834-244.pdf#page=3","Abrir facsímil")</f>
        <v>Abrir facsímil</v>
      </c>
      <c r="K11807" s="10" t="s">
        <v>24</v>
      </c>
    </row>
    <row r="11808" spans="1:11" ht="54" customHeight="1">
      <c r="A11808" s="9" t="s">
        <v>24127</v>
      </c>
      <c r="B11808" s="9" t="s">
        <v>24128</v>
      </c>
      <c r="C11808" s="9" t="s">
        <v>17</v>
      </c>
      <c r="D11808" s="9" t="s">
        <v>18</v>
      </c>
      <c r="E11808" s="10" t="s">
        <v>981</v>
      </c>
      <c r="F11808" s="9" t="s">
        <v>982</v>
      </c>
      <c r="G11808" s="10" t="s">
        <v>34</v>
      </c>
      <c r="H11808" s="9" t="s">
        <v>22</v>
      </c>
      <c r="I11808" s="9" t="s">
        <v>24129</v>
      </c>
      <c r="J11808" s="10" t="str">
        <f>HYPERLINK("https://www.boe.es/gazeta/dias/1834/09/21/pdfs/GMD-1834-219.pdf#page=1","Abrir facsímil")</f>
        <v>Abrir facsímil</v>
      </c>
      <c r="K11808" s="10" t="s">
        <v>24</v>
      </c>
    </row>
    <row r="11809" spans="1:11" ht="54" customHeight="1">
      <c r="A11809" s="9" t="s">
        <v>24130</v>
      </c>
      <c r="B11809" s="9" t="s">
        <v>24131</v>
      </c>
      <c r="C11809" s="9" t="s">
        <v>66</v>
      </c>
      <c r="D11809" s="9" t="s">
        <v>67</v>
      </c>
      <c r="E11809" s="10" t="s">
        <v>378</v>
      </c>
      <c r="F11809" s="9" t="s">
        <v>379</v>
      </c>
      <c r="G11809" s="10" t="s">
        <v>75</v>
      </c>
      <c r="H11809" s="9" t="s">
        <v>22</v>
      </c>
      <c r="I11809" s="9" t="s">
        <v>24132</v>
      </c>
      <c r="J11809" s="10" t="str">
        <f>HYPERLINK("https://www.boe.es/gazeta/dias/1834/09/24/pdfs/GMD-1834-222.pdf#page=4","Abrir facsímil")</f>
        <v>Abrir facsímil</v>
      </c>
      <c r="K11809" s="10" t="s">
        <v>24</v>
      </c>
    </row>
    <row r="11810" spans="1:11" ht="54" customHeight="1">
      <c r="A11810" s="9" t="s">
        <v>24133</v>
      </c>
      <c r="B11810" s="9" t="s">
        <v>24134</v>
      </c>
      <c r="C11810" s="9" t="s">
        <v>66</v>
      </c>
      <c r="D11810" s="9" t="s">
        <v>67</v>
      </c>
      <c r="E11810" s="10" t="s">
        <v>833</v>
      </c>
      <c r="F11810" s="9" t="s">
        <v>834</v>
      </c>
      <c r="G11810" s="10" t="s">
        <v>86</v>
      </c>
      <c r="H11810" s="9" t="s">
        <v>22</v>
      </c>
      <c r="I11810" s="9" t="s">
        <v>24135</v>
      </c>
      <c r="J11810" s="10" t="str">
        <f>HYPERLINK("https://www.boe.es/gazeta/dias/1834/04/24/pdfs/GMD-1834-63.pdf#page=2","Abrir facsímil")</f>
        <v>Abrir facsímil</v>
      </c>
      <c r="K11810" s="10" t="s">
        <v>24</v>
      </c>
    </row>
    <row r="11811" spans="1:11" ht="54" customHeight="1">
      <c r="A11811" s="9" t="s">
        <v>24136</v>
      </c>
      <c r="B11811" s="9" t="s">
        <v>24137</v>
      </c>
      <c r="C11811" s="9" t="s">
        <v>17</v>
      </c>
      <c r="D11811" s="9" t="s">
        <v>18</v>
      </c>
      <c r="E11811" s="10" t="s">
        <v>563</v>
      </c>
      <c r="F11811" s="9" t="s">
        <v>564</v>
      </c>
      <c r="G11811" s="10" t="s">
        <v>34</v>
      </c>
      <c r="H11811" s="9" t="s">
        <v>22</v>
      </c>
      <c r="I11811" s="9" t="s">
        <v>24138</v>
      </c>
      <c r="J11811" s="10" t="str">
        <f>HYPERLINK("https://www.boe.es/gazeta/dias/1834/04/19/pdfs/GMD-1834-58.pdf#page=1","Abrir facsímil")</f>
        <v>Abrir facsímil</v>
      </c>
      <c r="K11811" s="10" t="s">
        <v>24</v>
      </c>
    </row>
    <row r="11812" spans="1:11" ht="54" customHeight="1">
      <c r="A11812" s="9" t="s">
        <v>24139</v>
      </c>
      <c r="B11812" s="9" t="s">
        <v>24140</v>
      </c>
      <c r="C11812" s="9" t="s">
        <v>17</v>
      </c>
      <c r="D11812" s="9" t="s">
        <v>18</v>
      </c>
      <c r="E11812" s="10" t="s">
        <v>1922</v>
      </c>
      <c r="F11812" s="9" t="s">
        <v>1923</v>
      </c>
      <c r="G11812" s="10" t="s">
        <v>176</v>
      </c>
      <c r="H11812" s="9" t="s">
        <v>35</v>
      </c>
      <c r="I11812" s="9" t="s">
        <v>24141</v>
      </c>
      <c r="J11812" s="10" t="str">
        <f>HYPERLINK("https://www.boe.es/gazeta/dias/1834/02/25/pdfs/GMD-1834-25.pdf#page=6","Abrir facsímil")</f>
        <v>Abrir facsímil</v>
      </c>
      <c r="K11812" s="10" t="s">
        <v>37</v>
      </c>
    </row>
    <row r="11813" spans="1:11" ht="54" customHeight="1">
      <c r="A11813" s="9" t="s">
        <v>24142</v>
      </c>
      <c r="B11813" s="9" t="s">
        <v>24143</v>
      </c>
      <c r="C11813" s="9" t="s">
        <v>17</v>
      </c>
      <c r="D11813" s="9" t="s">
        <v>18</v>
      </c>
      <c r="E11813" s="10" t="s">
        <v>1922</v>
      </c>
      <c r="F11813" s="9" t="s">
        <v>1923</v>
      </c>
      <c r="G11813" s="10" t="s">
        <v>176</v>
      </c>
      <c r="H11813" s="9" t="s">
        <v>22</v>
      </c>
      <c r="I11813" s="9" t="s">
        <v>24144</v>
      </c>
      <c r="J11813" s="10" t="str">
        <f>HYPERLINK("https://www.boe.es/gazeta/dias/1834/02/25/pdfs/GMD-1834-25.pdf#page=6","Abrir facsímil")</f>
        <v>Abrir facsímil</v>
      </c>
      <c r="K11813" s="10" t="s">
        <v>24</v>
      </c>
    </row>
    <row r="11814" spans="1:11" ht="54" customHeight="1">
      <c r="A11814" s="9" t="s">
        <v>24145</v>
      </c>
      <c r="B11814" s="9" t="s">
        <v>24146</v>
      </c>
      <c r="C11814" s="9" t="s">
        <v>17</v>
      </c>
      <c r="D11814" s="9" t="s">
        <v>18</v>
      </c>
      <c r="E11814" s="10" t="s">
        <v>91</v>
      </c>
      <c r="F11814" s="9" t="s">
        <v>92</v>
      </c>
      <c r="G11814" s="10" t="s">
        <v>75</v>
      </c>
      <c r="H11814" s="9" t="s">
        <v>35</v>
      </c>
      <c r="I11814" s="9" t="s">
        <v>24147</v>
      </c>
      <c r="J11814" s="10" t="str">
        <f>HYPERLINK("https://www.boe.es/gazeta/dias/1834/02/13/pdfs/GMD-1834-20.pdf#page=4","Abrir facsímil")</f>
        <v>Abrir facsímil</v>
      </c>
      <c r="K11814" s="10" t="s">
        <v>37</v>
      </c>
    </row>
    <row r="11815" spans="1:11" ht="54" customHeight="1">
      <c r="A11815" s="9" t="s">
        <v>24148</v>
      </c>
      <c r="B11815" s="9" t="s">
        <v>24149</v>
      </c>
      <c r="C11815" s="9" t="s">
        <v>17</v>
      </c>
      <c r="D11815" s="9" t="s">
        <v>18</v>
      </c>
      <c r="E11815" s="10" t="s">
        <v>91</v>
      </c>
      <c r="F11815" s="9" t="s">
        <v>92</v>
      </c>
      <c r="G11815" s="10" t="s">
        <v>75</v>
      </c>
      <c r="H11815" s="9" t="s">
        <v>22</v>
      </c>
      <c r="I11815" s="9" t="s">
        <v>24150</v>
      </c>
      <c r="J11815" s="10" t="str">
        <f>HYPERLINK("https://www.boe.es/gazeta/dias/1834/02/13/pdfs/GMD-1834-20.pdf#page=4","Abrir facsímil")</f>
        <v>Abrir facsímil</v>
      </c>
      <c r="K11815" s="10" t="s">
        <v>24</v>
      </c>
    </row>
    <row r="11816" spans="1:11" ht="54" customHeight="1">
      <c r="A11816" s="9" t="s">
        <v>24151</v>
      </c>
      <c r="B11816" s="9" t="s">
        <v>24152</v>
      </c>
      <c r="C11816" s="9" t="s">
        <v>122</v>
      </c>
      <c r="D11816" s="9" t="s">
        <v>101</v>
      </c>
      <c r="E11816" s="10" t="s">
        <v>1234</v>
      </c>
      <c r="F11816" s="9" t="s">
        <v>1455</v>
      </c>
      <c r="G11816" s="10" t="s">
        <v>21</v>
      </c>
      <c r="H11816" s="9" t="s">
        <v>22</v>
      </c>
      <c r="I11816" s="9" t="s">
        <v>24153</v>
      </c>
      <c r="J11816" s="10" t="str">
        <f>HYPERLINK("https://www.boe.es/gazeta/dias/1834/05/15/pdfs/GMD-1834-84.pdf#page=3","Abrir facsímil")</f>
        <v>Abrir facsímil</v>
      </c>
      <c r="K11816" s="10" t="s">
        <v>24</v>
      </c>
    </row>
    <row r="11817" spans="1:11" ht="54" customHeight="1">
      <c r="A11817" s="9" t="s">
        <v>24154</v>
      </c>
      <c r="B11817" s="9" t="s">
        <v>24155</v>
      </c>
      <c r="C11817" s="9" t="s">
        <v>122</v>
      </c>
      <c r="D11817" s="9" t="s">
        <v>101</v>
      </c>
      <c r="E11817" s="10" t="s">
        <v>1234</v>
      </c>
      <c r="F11817" s="9" t="s">
        <v>1455</v>
      </c>
      <c r="G11817" s="10" t="s">
        <v>21</v>
      </c>
      <c r="H11817" s="9" t="s">
        <v>35</v>
      </c>
      <c r="I11817" s="9" t="s">
        <v>24156</v>
      </c>
      <c r="J11817" s="10" t="str">
        <f>HYPERLINK("https://www.boe.es/gazeta/dias/1834/05/15/pdfs/GMD-1834-84.pdf#page=3","Abrir facsímil")</f>
        <v>Abrir facsímil</v>
      </c>
      <c r="K11817" s="10" t="s">
        <v>37</v>
      </c>
    </row>
    <row r="11818" spans="1:11" ht="54" customHeight="1">
      <c r="A11818" s="9" t="s">
        <v>24157</v>
      </c>
      <c r="B11818" s="9" t="s">
        <v>24157</v>
      </c>
      <c r="C11818" s="9" t="s">
        <v>122</v>
      </c>
      <c r="D11818" s="9" t="s">
        <v>55</v>
      </c>
      <c r="E11818" s="10" t="s">
        <v>4736</v>
      </c>
      <c r="F11818" s="9" t="s">
        <v>4737</v>
      </c>
      <c r="G11818" s="10" t="s">
        <v>86</v>
      </c>
      <c r="H11818" s="9" t="s">
        <v>22</v>
      </c>
      <c r="I11818" s="9" t="s">
        <v>24158</v>
      </c>
      <c r="J11818" s="10" t="str">
        <f>HYPERLINK("https://www.boe.es/gazeta/dias/1834/09/16/pdfs/GMD-1834-214.pdf#page=2","Abrir facsímil")</f>
        <v>Abrir facsímil</v>
      </c>
      <c r="K11818" s="10" t="s">
        <v>24</v>
      </c>
    </row>
    <row r="11819" spans="1:11" ht="54" customHeight="1">
      <c r="A11819" s="9" t="s">
        <v>24159</v>
      </c>
      <c r="B11819" s="9" t="s">
        <v>24160</v>
      </c>
      <c r="C11819" s="9" t="s">
        <v>17</v>
      </c>
      <c r="D11819" s="9" t="s">
        <v>101</v>
      </c>
      <c r="E11819" s="10" t="s">
        <v>444</v>
      </c>
      <c r="F11819" s="9" t="s">
        <v>2412</v>
      </c>
      <c r="G11819" s="10" t="s">
        <v>86</v>
      </c>
      <c r="H11819" s="9" t="s">
        <v>22</v>
      </c>
      <c r="I11819" s="9" t="s">
        <v>24161</v>
      </c>
      <c r="J11819" s="10" t="str">
        <f>HYPERLINK("https://www.boe.es/gazeta/dias/1834/09/12/pdfs/GMD-1834-210.pdf#page=2","Abrir facsímil")</f>
        <v>Abrir facsímil</v>
      </c>
      <c r="K11819" s="10" t="s">
        <v>24</v>
      </c>
    </row>
    <row r="11820" spans="1:11" ht="54" customHeight="1">
      <c r="A11820" s="9" t="s">
        <v>24162</v>
      </c>
      <c r="B11820" s="9" t="s">
        <v>24163</v>
      </c>
      <c r="C11820" s="9" t="s">
        <v>17</v>
      </c>
      <c r="D11820" s="9" t="s">
        <v>18</v>
      </c>
      <c r="E11820" s="10" t="s">
        <v>2596</v>
      </c>
      <c r="F11820" s="9" t="s">
        <v>2597</v>
      </c>
      <c r="G11820" s="10" t="s">
        <v>86</v>
      </c>
      <c r="H11820" s="9" t="s">
        <v>22</v>
      </c>
      <c r="I11820" s="9" t="s">
        <v>24164</v>
      </c>
      <c r="J11820" s="10" t="str">
        <f>HYPERLINK("https://www.boe.es/gazeta/dias/1834/10/22/pdfs/GMD-1834-250.pdf#page=2","Abrir facsímil")</f>
        <v>Abrir facsímil</v>
      </c>
      <c r="K11820" s="10" t="s">
        <v>24</v>
      </c>
    </row>
    <row r="11821" spans="1:11" ht="54" customHeight="1">
      <c r="A11821" s="9" t="s">
        <v>24165</v>
      </c>
      <c r="B11821" s="9" t="s">
        <v>24165</v>
      </c>
      <c r="C11821" s="9" t="s">
        <v>17</v>
      </c>
      <c r="D11821" s="9" t="s">
        <v>18</v>
      </c>
      <c r="E11821" s="10" t="s">
        <v>79</v>
      </c>
      <c r="F11821" s="9" t="s">
        <v>80</v>
      </c>
      <c r="G11821" s="10" t="s">
        <v>86</v>
      </c>
      <c r="H11821" s="9" t="s">
        <v>22</v>
      </c>
      <c r="I11821" s="9" t="s">
        <v>24166</v>
      </c>
      <c r="J11821" s="10" t="str">
        <f>HYPERLINK("https://www.boe.es/gazeta/dias/1834/07/12/pdfs/GMD-1834-145.pdf#page=2","Abrir facsímil")</f>
        <v>Abrir facsímil</v>
      </c>
      <c r="K11821" s="10" t="s">
        <v>24</v>
      </c>
    </row>
    <row r="11822" spans="1:11" ht="54" customHeight="1">
      <c r="A11822" s="9" t="s">
        <v>24167</v>
      </c>
      <c r="B11822" s="9" t="s">
        <v>24168</v>
      </c>
      <c r="C11822" s="9" t="s">
        <v>17</v>
      </c>
      <c r="D11822" s="9" t="s">
        <v>18</v>
      </c>
      <c r="E11822" s="10" t="s">
        <v>348</v>
      </c>
      <c r="F11822" s="9" t="s">
        <v>501</v>
      </c>
      <c r="G11822" s="10" t="s">
        <v>21</v>
      </c>
      <c r="H11822" s="9" t="s">
        <v>35</v>
      </c>
      <c r="I11822" s="9" t="s">
        <v>24169</v>
      </c>
      <c r="J11822" s="10" t="str">
        <f>HYPERLINK("https://www.boe.es/gazeta/dias/1834/06/12/pdfs/GMD-1834-115.pdf#page=3","Abrir facsímil")</f>
        <v>Abrir facsímil</v>
      </c>
      <c r="K11822" s="10" t="s">
        <v>37</v>
      </c>
    </row>
    <row r="11823" spans="1:11" ht="54" customHeight="1">
      <c r="A11823" s="9" t="s">
        <v>24170</v>
      </c>
      <c r="B11823" s="9" t="s">
        <v>24171</v>
      </c>
      <c r="C11823" s="9" t="s">
        <v>17</v>
      </c>
      <c r="D11823" s="9" t="s">
        <v>18</v>
      </c>
      <c r="E11823" s="10" t="s">
        <v>5885</v>
      </c>
      <c r="F11823" s="9" t="s">
        <v>5886</v>
      </c>
      <c r="G11823" s="10" t="s">
        <v>75</v>
      </c>
      <c r="H11823" s="9" t="s">
        <v>22</v>
      </c>
      <c r="I11823" s="9" t="s">
        <v>24172</v>
      </c>
      <c r="J11823" s="10" t="str">
        <f>HYPERLINK("https://www.boe.es/gazeta/dias/1834/05/23/pdfs/GMD-1834-92.pdf#page=4","Abrir facsímil")</f>
        <v>Abrir facsímil</v>
      </c>
      <c r="K11823" s="10" t="s">
        <v>24</v>
      </c>
    </row>
    <row r="11824" spans="1:11" ht="54" customHeight="1">
      <c r="A11824" s="9" t="s">
        <v>24173</v>
      </c>
      <c r="B11824" s="9" t="s">
        <v>24174</v>
      </c>
      <c r="C11824" s="9" t="s">
        <v>90</v>
      </c>
      <c r="D11824" s="9" t="s">
        <v>18</v>
      </c>
      <c r="E11824" s="10" t="s">
        <v>247</v>
      </c>
      <c r="F11824" s="9" t="s">
        <v>248</v>
      </c>
      <c r="G11824" s="10" t="s">
        <v>34</v>
      </c>
      <c r="H11824" s="9" t="s">
        <v>22</v>
      </c>
      <c r="I11824" s="9" t="s">
        <v>24175</v>
      </c>
      <c r="J11824" s="10" t="str">
        <f>HYPERLINK("https://www.boe.es/gazeta/dias/1834/08/23/pdfs/GMD-C-1834-189.pdf#page=1","Abrir facsímil")</f>
        <v>Abrir facsímil</v>
      </c>
      <c r="K11824" s="10" t="s">
        <v>24</v>
      </c>
    </row>
    <row r="11825" spans="1:11" ht="54" customHeight="1">
      <c r="A11825" s="9" t="s">
        <v>24176</v>
      </c>
      <c r="B11825" s="9" t="s">
        <v>24177</v>
      </c>
      <c r="C11825" s="9" t="s">
        <v>17</v>
      </c>
      <c r="D11825" s="9" t="s">
        <v>18</v>
      </c>
      <c r="E11825" s="10" t="s">
        <v>348</v>
      </c>
      <c r="F11825" s="9" t="s">
        <v>501</v>
      </c>
      <c r="G11825" s="10" t="s">
        <v>21</v>
      </c>
      <c r="H11825" s="9" t="s">
        <v>22</v>
      </c>
      <c r="I11825" s="9" t="s">
        <v>24178</v>
      </c>
      <c r="J11825" s="10" t="str">
        <f>HYPERLINK("https://www.boe.es/gazeta/dias/1834/06/12/pdfs/GMD-1834-115.pdf#page=3","Abrir facsímil")</f>
        <v>Abrir facsímil</v>
      </c>
      <c r="K11825" s="10" t="s">
        <v>24</v>
      </c>
    </row>
    <row r="11826" spans="1:11" ht="54" customHeight="1">
      <c r="A11826" s="9" t="s">
        <v>24179</v>
      </c>
      <c r="B11826" s="9" t="s">
        <v>24180</v>
      </c>
      <c r="C11826" s="9" t="s">
        <v>66</v>
      </c>
      <c r="D11826" s="9" t="s">
        <v>18</v>
      </c>
      <c r="E11826" s="10" t="s">
        <v>1402</v>
      </c>
      <c r="F11826" s="9" t="s">
        <v>1403</v>
      </c>
      <c r="G11826" s="10" t="s">
        <v>75</v>
      </c>
      <c r="H11826" s="9" t="s">
        <v>22</v>
      </c>
      <c r="I11826" s="9" t="s">
        <v>24181</v>
      </c>
      <c r="J11826" s="10" t="str">
        <f>HYPERLINK("https://www.boe.es/gazeta/dias/1834/05/05/pdfs/GMD-1834-74.pdf#page=4","Abrir facsímil")</f>
        <v>Abrir facsímil</v>
      </c>
      <c r="K11826" s="10" t="s">
        <v>24</v>
      </c>
    </row>
    <row r="11827" spans="1:11" ht="54" customHeight="1">
      <c r="A11827" s="9" t="s">
        <v>24182</v>
      </c>
      <c r="B11827" s="9" t="s">
        <v>24182</v>
      </c>
      <c r="C11827" s="9" t="s">
        <v>66</v>
      </c>
      <c r="D11827" s="9" t="s">
        <v>18</v>
      </c>
      <c r="E11827" s="10" t="s">
        <v>3810</v>
      </c>
      <c r="F11827" s="9" t="s">
        <v>3811</v>
      </c>
      <c r="G11827" s="10" t="s">
        <v>86</v>
      </c>
      <c r="H11827" s="9" t="s">
        <v>22</v>
      </c>
      <c r="I11827" s="9" t="s">
        <v>24183</v>
      </c>
      <c r="J11827" s="10" t="str">
        <f>HYPERLINK("https://www.boe.es/gazeta/dias/1834/02/20/pdfs/GMD-1834-23.pdf#page=2","Abrir facsímil")</f>
        <v>Abrir facsímil</v>
      </c>
      <c r="K11827" s="10" t="s">
        <v>24</v>
      </c>
    </row>
    <row r="11828" spans="1:11" ht="54" customHeight="1">
      <c r="A11828" s="9" t="s">
        <v>24184</v>
      </c>
      <c r="B11828" s="9" t="s">
        <v>24184</v>
      </c>
      <c r="C11828" s="9" t="s">
        <v>122</v>
      </c>
      <c r="D11828" s="9" t="s">
        <v>18</v>
      </c>
      <c r="E11828" s="10" t="s">
        <v>209</v>
      </c>
      <c r="F11828" s="9" t="s">
        <v>210</v>
      </c>
      <c r="G11828" s="10" t="s">
        <v>75</v>
      </c>
      <c r="H11828" s="9" t="s">
        <v>22</v>
      </c>
      <c r="I11828" s="9" t="s">
        <v>24185</v>
      </c>
      <c r="J11828" s="10" t="str">
        <f>HYPERLINK("https://www.boe.es/gazeta/dias/1834/07/01/pdfs/GMD-1834-134.pdf#page=4","Abrir facsímil")</f>
        <v>Abrir facsímil</v>
      </c>
      <c r="K11828" s="10" t="s">
        <v>24</v>
      </c>
    </row>
    <row r="11829" spans="1:11" ht="54" customHeight="1">
      <c r="A11829" s="9" t="s">
        <v>24184</v>
      </c>
      <c r="B11829" s="9" t="s">
        <v>24184</v>
      </c>
      <c r="C11829" s="9" t="s">
        <v>122</v>
      </c>
      <c r="D11829" s="9" t="s">
        <v>18</v>
      </c>
      <c r="E11829" s="10" t="s">
        <v>1505</v>
      </c>
      <c r="F11829" s="9" t="s">
        <v>1506</v>
      </c>
      <c r="G11829" s="10" t="s">
        <v>75</v>
      </c>
      <c r="H11829" s="9" t="s">
        <v>22</v>
      </c>
      <c r="I11829" s="9" t="s">
        <v>24186</v>
      </c>
      <c r="J11829" s="10" t="str">
        <f>HYPERLINK("https://www.boe.es/gazeta/dias/1834/05/08/pdfs/GMD-1834-77.pdf#page=4","Abrir facsímil")</f>
        <v>Abrir facsímil</v>
      </c>
      <c r="K11829" s="10" t="s">
        <v>24</v>
      </c>
    </row>
    <row r="11830" spans="1:11" ht="54" customHeight="1">
      <c r="A11830" s="9" t="s">
        <v>24187</v>
      </c>
      <c r="B11830" s="9" t="s">
        <v>24188</v>
      </c>
      <c r="C11830" s="9" t="s">
        <v>122</v>
      </c>
      <c r="D11830" s="9" t="s">
        <v>18</v>
      </c>
      <c r="E11830" s="10" t="s">
        <v>1505</v>
      </c>
      <c r="F11830" s="9" t="s">
        <v>1506</v>
      </c>
      <c r="G11830" s="10" t="s">
        <v>75</v>
      </c>
      <c r="H11830" s="9" t="s">
        <v>35</v>
      </c>
      <c r="I11830" s="9" t="s">
        <v>24189</v>
      </c>
      <c r="J11830" s="10" t="str">
        <f>HYPERLINK("https://www.boe.es/gazeta/dias/1834/05/08/pdfs/GMD-1834-77.pdf#page=4","Abrir facsímil")</f>
        <v>Abrir facsímil</v>
      </c>
      <c r="K11830" s="10" t="s">
        <v>37</v>
      </c>
    </row>
    <row r="11831" spans="1:11" ht="54" customHeight="1">
      <c r="A11831" s="9" t="s">
        <v>24190</v>
      </c>
      <c r="B11831" s="9" t="s">
        <v>24191</v>
      </c>
      <c r="C11831" s="9" t="s">
        <v>90</v>
      </c>
      <c r="D11831" s="9" t="s">
        <v>18</v>
      </c>
      <c r="E11831" s="10" t="s">
        <v>777</v>
      </c>
      <c r="F11831" s="9" t="s">
        <v>778</v>
      </c>
      <c r="G11831" s="10" t="s">
        <v>75</v>
      </c>
      <c r="H11831" s="9" t="s">
        <v>22</v>
      </c>
      <c r="I11831" s="9" t="s">
        <v>24192</v>
      </c>
      <c r="J11831" s="10" t="str">
        <f>HYPERLINK("https://www.boe.es/gazeta/dias/1834/10/29/pdfs/GMD-1834-257.pdf#page=4","Abrir facsímil")</f>
        <v>Abrir facsímil</v>
      </c>
      <c r="K11831" s="10" t="s">
        <v>24</v>
      </c>
    </row>
    <row r="11832" spans="1:11" ht="54" customHeight="1">
      <c r="A11832" s="9" t="s">
        <v>24193</v>
      </c>
      <c r="B11832" s="9" t="s">
        <v>24194</v>
      </c>
      <c r="C11832" s="9" t="s">
        <v>66</v>
      </c>
      <c r="D11832" s="9" t="s">
        <v>67</v>
      </c>
      <c r="E11832" s="10" t="s">
        <v>1234</v>
      </c>
      <c r="F11832" s="9" t="s">
        <v>1455</v>
      </c>
      <c r="G11832" s="10" t="s">
        <v>21</v>
      </c>
      <c r="H11832" s="9" t="s">
        <v>22</v>
      </c>
      <c r="I11832" s="9" t="s">
        <v>24195</v>
      </c>
      <c r="J11832" s="10" t="str">
        <f>HYPERLINK("https://www.boe.es/gazeta/dias/1834/05/15/pdfs/GMD-1834-84.pdf#page=3","Abrir facsímil")</f>
        <v>Abrir facsímil</v>
      </c>
      <c r="K11832" s="10" t="s">
        <v>24</v>
      </c>
    </row>
    <row r="11833" spans="1:11" ht="54" customHeight="1">
      <c r="A11833" s="9" t="s">
        <v>24196</v>
      </c>
      <c r="B11833" s="9" t="s">
        <v>24196</v>
      </c>
      <c r="C11833" s="9" t="s">
        <v>122</v>
      </c>
      <c r="D11833" s="9" t="s">
        <v>18</v>
      </c>
      <c r="E11833" s="10" t="s">
        <v>866</v>
      </c>
      <c r="F11833" s="9" t="s">
        <v>867</v>
      </c>
      <c r="G11833" s="10" t="s">
        <v>75</v>
      </c>
      <c r="H11833" s="9" t="s">
        <v>22</v>
      </c>
      <c r="I11833" s="9" t="s">
        <v>24197</v>
      </c>
      <c r="J11833" s="10" t="str">
        <f>HYPERLINK("https://www.boe.es/gazeta/dias/1834/01/18/pdfs/GMD-1834-9.pdf#page=4","Abrir facsímil")</f>
        <v>Abrir facsímil</v>
      </c>
      <c r="K11833" s="10" t="s">
        <v>24</v>
      </c>
    </row>
    <row r="11834" spans="1:11" ht="54" customHeight="1">
      <c r="A11834" s="9" t="s">
        <v>24198</v>
      </c>
      <c r="B11834" s="9" t="s">
        <v>24199</v>
      </c>
      <c r="C11834" s="9" t="s">
        <v>122</v>
      </c>
      <c r="D11834" s="9" t="s">
        <v>55</v>
      </c>
      <c r="E11834" s="10" t="s">
        <v>2203</v>
      </c>
      <c r="F11834" s="9" t="s">
        <v>3917</v>
      </c>
      <c r="G11834" s="10" t="s">
        <v>75</v>
      </c>
      <c r="H11834" s="9" t="s">
        <v>22</v>
      </c>
      <c r="I11834" s="9" t="s">
        <v>24200</v>
      </c>
      <c r="J11834" s="10" t="str">
        <f>HYPERLINK("https://www.boe.es/gazeta/dias/1834/09/10/pdfs/GMD-1834-208.pdf#page=4","Abrir facsímil")</f>
        <v>Abrir facsímil</v>
      </c>
      <c r="K11834" s="10" t="s">
        <v>24</v>
      </c>
    </row>
    <row r="11835" spans="1:11" ht="54" customHeight="1">
      <c r="A11835" s="9" t="s">
        <v>24201</v>
      </c>
      <c r="B11835" s="9" t="s">
        <v>24201</v>
      </c>
      <c r="C11835" s="9" t="s">
        <v>17</v>
      </c>
      <c r="D11835" s="9" t="s">
        <v>55</v>
      </c>
      <c r="E11835" s="10" t="s">
        <v>3225</v>
      </c>
      <c r="F11835" s="9" t="s">
        <v>3226</v>
      </c>
      <c r="G11835" s="10" t="s">
        <v>21</v>
      </c>
      <c r="H11835" s="9" t="s">
        <v>22</v>
      </c>
      <c r="I11835" s="9" t="s">
        <v>24202</v>
      </c>
      <c r="J11835" s="10" t="str">
        <f>HYPERLINK("https://www.boe.es/gazeta/dias/1834/08/22/pdfs/GMD-1834-188.pdf#page=3","Abrir facsímil")</f>
        <v>Abrir facsímil</v>
      </c>
      <c r="K11835" s="10" t="s">
        <v>24</v>
      </c>
    </row>
    <row r="11836" spans="1:11" ht="54" customHeight="1">
      <c r="A11836" s="9" t="s">
        <v>24203</v>
      </c>
      <c r="B11836" s="9" t="s">
        <v>24204</v>
      </c>
      <c r="C11836" s="9" t="s">
        <v>17</v>
      </c>
      <c r="D11836" s="9" t="s">
        <v>18</v>
      </c>
      <c r="E11836" s="10" t="s">
        <v>571</v>
      </c>
      <c r="F11836" s="9" t="s">
        <v>620</v>
      </c>
      <c r="G11836" s="10" t="s">
        <v>470</v>
      </c>
      <c r="H11836" s="9" t="s">
        <v>22</v>
      </c>
      <c r="I11836" s="9" t="s">
        <v>24205</v>
      </c>
      <c r="J11836" s="10" t="str">
        <f>HYPERLINK("https://www.boe.es/gazeta/dias/1834/09/04/pdfs/GMD-C-1834-202.pdf#page=8","Abrir facsímil")</f>
        <v>Abrir facsímil</v>
      </c>
      <c r="K11836" s="10" t="s">
        <v>24</v>
      </c>
    </row>
    <row r="11837" spans="1:11" ht="54" customHeight="1">
      <c r="A11837" s="9" t="s">
        <v>24206</v>
      </c>
      <c r="B11837" s="9" t="s">
        <v>24206</v>
      </c>
      <c r="C11837" s="9" t="s">
        <v>46</v>
      </c>
      <c r="D11837" s="9" t="s">
        <v>55</v>
      </c>
      <c r="E11837" s="10" t="s">
        <v>1862</v>
      </c>
      <c r="F11837" s="9" t="s">
        <v>1863</v>
      </c>
      <c r="G11837" s="10" t="s">
        <v>21</v>
      </c>
      <c r="H11837" s="9" t="s">
        <v>22</v>
      </c>
      <c r="I11837" s="9" t="s">
        <v>24207</v>
      </c>
      <c r="J11837" s="10" t="str">
        <f>HYPERLINK("https://www.boe.es/gazeta/dias/1834/02/04/pdfs/GMD-1834-16.pdf#page=3","Abrir facsímil")</f>
        <v>Abrir facsímil</v>
      </c>
      <c r="K11837" s="10" t="s">
        <v>24</v>
      </c>
    </row>
    <row r="11838" spans="1:11" ht="54" customHeight="1">
      <c r="A11838" s="9" t="s">
        <v>24208</v>
      </c>
      <c r="B11838" s="9" t="s">
        <v>24208</v>
      </c>
      <c r="C11838" s="9" t="s">
        <v>90</v>
      </c>
      <c r="D11838" s="9" t="s">
        <v>55</v>
      </c>
      <c r="E11838" s="10" t="s">
        <v>1862</v>
      </c>
      <c r="F11838" s="9" t="s">
        <v>1863</v>
      </c>
      <c r="G11838" s="10" t="s">
        <v>86</v>
      </c>
      <c r="H11838" s="9" t="s">
        <v>22</v>
      </c>
      <c r="I11838" s="9" t="s">
        <v>24209</v>
      </c>
      <c r="J11838" s="10" t="str">
        <f>HYPERLINK("https://www.boe.es/gazeta/dias/1834/02/04/pdfs/GMD-1834-16.pdf#page=2","Abrir facsímil")</f>
        <v>Abrir facsímil</v>
      </c>
      <c r="K11838" s="10" t="s">
        <v>24</v>
      </c>
    </row>
    <row r="11839" spans="1:11" ht="54" customHeight="1">
      <c r="A11839" s="9" t="s">
        <v>24208</v>
      </c>
      <c r="B11839" s="9" t="s">
        <v>24208</v>
      </c>
      <c r="C11839" s="9" t="s">
        <v>17</v>
      </c>
      <c r="D11839" s="9" t="s">
        <v>55</v>
      </c>
      <c r="E11839" s="10" t="s">
        <v>1862</v>
      </c>
      <c r="F11839" s="9" t="s">
        <v>1863</v>
      </c>
      <c r="G11839" s="10" t="s">
        <v>21</v>
      </c>
      <c r="H11839" s="9" t="s">
        <v>22</v>
      </c>
      <c r="I11839" s="9" t="s">
        <v>24210</v>
      </c>
      <c r="J11839" s="10" t="str">
        <f>HYPERLINK("https://www.boe.es/gazeta/dias/1834/02/04/pdfs/GMD-1834-16.pdf#page=3","Abrir facsímil")</f>
        <v>Abrir facsímil</v>
      </c>
      <c r="K11839" s="10" t="s">
        <v>24</v>
      </c>
    </row>
    <row r="11840" spans="1:11" ht="54" customHeight="1">
      <c r="A11840" s="9" t="s">
        <v>24211</v>
      </c>
      <c r="B11840" s="9" t="s">
        <v>24211</v>
      </c>
      <c r="C11840" s="9" t="s">
        <v>66</v>
      </c>
      <c r="D11840" s="9" t="s">
        <v>67</v>
      </c>
      <c r="E11840" s="10" t="s">
        <v>912</v>
      </c>
      <c r="F11840" s="9" t="s">
        <v>913</v>
      </c>
      <c r="G11840" s="10" t="s">
        <v>75</v>
      </c>
      <c r="H11840" s="9" t="s">
        <v>22</v>
      </c>
      <c r="I11840" s="9" t="s">
        <v>24212</v>
      </c>
      <c r="J11840" s="10" t="str">
        <f>HYPERLINK("https://www.boe.es/gazeta/dias/1834/02/15/pdfs/GMD-1834-21.pdf#page=4","Abrir facsímil")</f>
        <v>Abrir facsímil</v>
      </c>
      <c r="K11840" s="10" t="s">
        <v>24</v>
      </c>
    </row>
    <row r="11841" spans="1:11" ht="54" customHeight="1">
      <c r="A11841" s="9" t="s">
        <v>24213</v>
      </c>
      <c r="B11841" s="9" t="s">
        <v>24213</v>
      </c>
      <c r="C11841" s="9" t="s">
        <v>46</v>
      </c>
      <c r="D11841" s="9" t="s">
        <v>18</v>
      </c>
      <c r="E11841" s="10" t="s">
        <v>1918</v>
      </c>
      <c r="F11841" s="9" t="s">
        <v>1919</v>
      </c>
      <c r="G11841" s="10" t="s">
        <v>21</v>
      </c>
      <c r="H11841" s="9" t="s">
        <v>22</v>
      </c>
      <c r="I11841" s="9" t="s">
        <v>24214</v>
      </c>
      <c r="J11841" s="10" t="str">
        <f>HYPERLINK("https://www.boe.es/gazeta/dias/1834/03/22/pdfs/GMD-1834-36.pdf#page=3","Abrir facsímil")</f>
        <v>Abrir facsímil</v>
      </c>
      <c r="K11841" s="10" t="s">
        <v>24</v>
      </c>
    </row>
    <row r="11842" spans="1:11" ht="54" customHeight="1">
      <c r="A11842" s="9" t="s">
        <v>24211</v>
      </c>
      <c r="B11842" s="9" t="s">
        <v>24211</v>
      </c>
      <c r="C11842" s="9" t="s">
        <v>17</v>
      </c>
      <c r="D11842" s="9" t="s">
        <v>18</v>
      </c>
      <c r="E11842" s="10" t="s">
        <v>2302</v>
      </c>
      <c r="F11842" s="9" t="s">
        <v>2303</v>
      </c>
      <c r="G11842" s="10" t="s">
        <v>86</v>
      </c>
      <c r="H11842" s="9" t="s">
        <v>22</v>
      </c>
      <c r="I11842" s="9" t="s">
        <v>24215</v>
      </c>
      <c r="J11842" s="10" t="str">
        <f>HYPERLINK("https://www.boe.es/gazeta/dias/1834/01/25/pdfs/GMD-1834-12.pdf#page=2","Abrir facsímil")</f>
        <v>Abrir facsímil</v>
      </c>
      <c r="K11842" s="10" t="s">
        <v>24</v>
      </c>
    </row>
    <row r="11843" spans="1:11" ht="54" customHeight="1">
      <c r="A11843" s="9" t="s">
        <v>24211</v>
      </c>
      <c r="B11843" s="9" t="s">
        <v>24211</v>
      </c>
      <c r="C11843" s="9" t="s">
        <v>17</v>
      </c>
      <c r="D11843" s="9" t="s">
        <v>55</v>
      </c>
      <c r="E11843" s="10" t="s">
        <v>2302</v>
      </c>
      <c r="F11843" s="9" t="s">
        <v>2303</v>
      </c>
      <c r="G11843" s="10" t="s">
        <v>21</v>
      </c>
      <c r="H11843" s="9" t="s">
        <v>22</v>
      </c>
      <c r="I11843" s="9" t="s">
        <v>24216</v>
      </c>
      <c r="J11843" s="10" t="str">
        <f>HYPERLINK("https://www.boe.es/gazeta/dias/1834/01/25/pdfs/GMD-1834-12.pdf#page=3","Abrir facsímil")</f>
        <v>Abrir facsímil</v>
      </c>
      <c r="K11843" s="10" t="s">
        <v>24</v>
      </c>
    </row>
    <row r="11844" spans="1:11" ht="54" customHeight="1">
      <c r="A11844" s="9" t="s">
        <v>24211</v>
      </c>
      <c r="B11844" s="9" t="s">
        <v>24211</v>
      </c>
      <c r="C11844" s="9" t="s">
        <v>90</v>
      </c>
      <c r="D11844" s="9" t="s">
        <v>55</v>
      </c>
      <c r="E11844" s="10" t="s">
        <v>3499</v>
      </c>
      <c r="F11844" s="9" t="s">
        <v>3500</v>
      </c>
      <c r="G11844" s="10" t="s">
        <v>21</v>
      </c>
      <c r="H11844" s="9" t="s">
        <v>22</v>
      </c>
      <c r="I11844" s="9" t="s">
        <v>24217</v>
      </c>
      <c r="J11844" s="10" t="str">
        <f>HYPERLINK("https://www.boe.es/gazeta/dias/1834/01/28/pdfs/GMD-1834-13.pdf#page=3","Abrir facsímil")</f>
        <v>Abrir facsímil</v>
      </c>
      <c r="K11844" s="10" t="s">
        <v>24</v>
      </c>
    </row>
    <row r="11845" spans="1:11" ht="54" customHeight="1">
      <c r="A11845" s="9" t="s">
        <v>24218</v>
      </c>
      <c r="B11845" s="9" t="s">
        <v>24219</v>
      </c>
      <c r="C11845" s="9" t="s">
        <v>46</v>
      </c>
      <c r="D11845" s="9" t="s">
        <v>18</v>
      </c>
      <c r="E11845" s="10" t="s">
        <v>408</v>
      </c>
      <c r="F11845" s="9" t="s">
        <v>409</v>
      </c>
      <c r="G11845" s="10" t="s">
        <v>86</v>
      </c>
      <c r="H11845" s="9" t="s">
        <v>35</v>
      </c>
      <c r="I11845" s="9" t="s">
        <v>24220</v>
      </c>
      <c r="J11845" s="10" t="str">
        <f>HYPERLINK("https://www.boe.es/gazeta/dias/1834/04/28/pdfs/GMD-1834-67.pdf#page=2","Abrir facsímil")</f>
        <v>Abrir facsímil</v>
      </c>
      <c r="K11845" s="10" t="s">
        <v>37</v>
      </c>
    </row>
    <row r="11846" spans="1:11" ht="54" customHeight="1">
      <c r="A11846" s="9" t="s">
        <v>24221</v>
      </c>
      <c r="B11846" s="9" t="s">
        <v>24222</v>
      </c>
      <c r="C11846" s="9" t="s">
        <v>46</v>
      </c>
      <c r="D11846" s="9" t="s">
        <v>18</v>
      </c>
      <c r="E11846" s="10" t="s">
        <v>1918</v>
      </c>
      <c r="F11846" s="9" t="s">
        <v>1919</v>
      </c>
      <c r="G11846" s="10" t="s">
        <v>21</v>
      </c>
      <c r="H11846" s="9" t="s">
        <v>22</v>
      </c>
      <c r="I11846" s="9" t="s">
        <v>24223</v>
      </c>
      <c r="J11846" s="10" t="str">
        <f>HYPERLINK("https://www.boe.es/gazeta/dias/1834/03/22/pdfs/GMD-1834-36.pdf#page=3","Abrir facsímil")</f>
        <v>Abrir facsímil</v>
      </c>
      <c r="K11846" s="10" t="s">
        <v>24</v>
      </c>
    </row>
    <row r="11847" spans="1:11" ht="54" customHeight="1">
      <c r="A11847" s="9" t="s">
        <v>24224</v>
      </c>
      <c r="B11847" s="9" t="s">
        <v>24224</v>
      </c>
      <c r="C11847" s="9" t="s">
        <v>90</v>
      </c>
      <c r="D11847" s="9" t="s">
        <v>67</v>
      </c>
      <c r="E11847" s="10" t="s">
        <v>912</v>
      </c>
      <c r="F11847" s="9" t="s">
        <v>913</v>
      </c>
      <c r="G11847" s="10" t="s">
        <v>75</v>
      </c>
      <c r="H11847" s="9" t="s">
        <v>22</v>
      </c>
      <c r="I11847" s="9" t="s">
        <v>24225</v>
      </c>
      <c r="J11847" s="10" t="str">
        <f>HYPERLINK("https://www.boe.es/gazeta/dias/1834/02/15/pdfs/GMD-1834-21.pdf#page=4","Abrir facsímil")</f>
        <v>Abrir facsímil</v>
      </c>
      <c r="K11847" s="10" t="s">
        <v>24</v>
      </c>
    </row>
    <row r="11848" spans="1:11" ht="54" customHeight="1">
      <c r="A11848" s="9" t="s">
        <v>24226</v>
      </c>
      <c r="B11848" s="9" t="s">
        <v>24227</v>
      </c>
      <c r="C11848" s="9" t="s">
        <v>90</v>
      </c>
      <c r="D11848" s="9" t="s">
        <v>67</v>
      </c>
      <c r="E11848" s="10" t="s">
        <v>912</v>
      </c>
      <c r="F11848" s="9" t="s">
        <v>913</v>
      </c>
      <c r="G11848" s="10" t="s">
        <v>75</v>
      </c>
      <c r="H11848" s="9" t="s">
        <v>22</v>
      </c>
      <c r="I11848" s="9" t="s">
        <v>24228</v>
      </c>
      <c r="J11848" s="10" t="str">
        <f>HYPERLINK("https://www.boe.es/gazeta/dias/1834/02/15/pdfs/GMD-1834-21.pdf#page=4","Abrir facsímil")</f>
        <v>Abrir facsímil</v>
      </c>
      <c r="K11848" s="10" t="s">
        <v>24</v>
      </c>
    </row>
    <row r="11849" spans="1:11" ht="54" customHeight="1">
      <c r="A11849" s="9" t="s">
        <v>24229</v>
      </c>
      <c r="B11849" s="9" t="s">
        <v>24230</v>
      </c>
      <c r="C11849" s="9" t="s">
        <v>17</v>
      </c>
      <c r="D11849" s="9" t="s">
        <v>18</v>
      </c>
      <c r="E11849" s="10" t="s">
        <v>1839</v>
      </c>
      <c r="F11849" s="9" t="s">
        <v>3598</v>
      </c>
      <c r="G11849" s="10" t="s">
        <v>75</v>
      </c>
      <c r="H11849" s="9" t="s">
        <v>22</v>
      </c>
      <c r="I11849" s="9" t="s">
        <v>24231</v>
      </c>
      <c r="J11849" s="10" t="str">
        <f>HYPERLINK("https://www.boe.es/gazeta/dias/1834/08/12/pdfs/GMD-1834-177.pdf#page=4","Abrir facsímil")</f>
        <v>Abrir facsímil</v>
      </c>
      <c r="K11849" s="10" t="s">
        <v>24</v>
      </c>
    </row>
    <row r="11850" spans="1:11" ht="54" customHeight="1">
      <c r="A11850" s="9" t="s">
        <v>24232</v>
      </c>
      <c r="B11850" s="9" t="s">
        <v>24233</v>
      </c>
      <c r="C11850" s="9" t="s">
        <v>66</v>
      </c>
      <c r="D11850" s="9" t="s">
        <v>67</v>
      </c>
      <c r="E11850" s="10" t="s">
        <v>4565</v>
      </c>
      <c r="F11850" s="9" t="s">
        <v>4566</v>
      </c>
      <c r="G11850" s="10" t="s">
        <v>75</v>
      </c>
      <c r="H11850" s="9" t="s">
        <v>22</v>
      </c>
      <c r="I11850" s="9" t="s">
        <v>24234</v>
      </c>
      <c r="J11850" s="10" t="str">
        <f>HYPERLINK("https://www.boe.es/gazeta/dias/1834/07/10/pdfs/GMD-1834-143.pdf#page=4","Abrir facsímil")</f>
        <v>Abrir facsímil</v>
      </c>
      <c r="K11850" s="10" t="s">
        <v>24</v>
      </c>
    </row>
    <row r="11851" spans="1:11" ht="54" customHeight="1">
      <c r="A11851" s="9" t="s">
        <v>24235</v>
      </c>
      <c r="B11851" s="9" t="s">
        <v>24236</v>
      </c>
      <c r="C11851" s="9" t="s">
        <v>17</v>
      </c>
      <c r="D11851" s="9" t="s">
        <v>18</v>
      </c>
      <c r="E11851" s="10" t="s">
        <v>343</v>
      </c>
      <c r="F11851" s="9" t="s">
        <v>344</v>
      </c>
      <c r="G11851" s="10" t="s">
        <v>34</v>
      </c>
      <c r="H11851" s="9" t="s">
        <v>22</v>
      </c>
      <c r="I11851" s="9" t="s">
        <v>24237</v>
      </c>
      <c r="J11851" s="10" t="str">
        <f>HYPERLINK("https://www.boe.es/gazeta/dias/1834/01/14/pdfs/GMD-1834-7.pdf#page=1","Abrir facsímil")</f>
        <v>Abrir facsímil</v>
      </c>
      <c r="K11851" s="10" t="s">
        <v>24</v>
      </c>
    </row>
    <row r="11852" spans="1:11" ht="54" customHeight="1">
      <c r="A11852" s="9" t="s">
        <v>24238</v>
      </c>
      <c r="B11852" s="9" t="s">
        <v>24238</v>
      </c>
      <c r="C11852" s="9" t="s">
        <v>90</v>
      </c>
      <c r="D11852" s="9" t="s">
        <v>18</v>
      </c>
      <c r="E11852" s="10" t="s">
        <v>448</v>
      </c>
      <c r="F11852" s="9" t="s">
        <v>2058</v>
      </c>
      <c r="G11852" s="10" t="s">
        <v>21</v>
      </c>
      <c r="H11852" s="9" t="s">
        <v>22</v>
      </c>
      <c r="I11852" s="9" t="s">
        <v>24239</v>
      </c>
      <c r="J11852" s="10" t="str">
        <f>HYPERLINK("https://www.boe.es/gazeta/dias/1834/10/14/pdfs/GMD-1834-242.pdf#page=3","Abrir facsímil")</f>
        <v>Abrir facsímil</v>
      </c>
      <c r="K11852" s="10" t="s">
        <v>24</v>
      </c>
    </row>
    <row r="11853" spans="1:11" ht="54" customHeight="1">
      <c r="A11853" s="9" t="s">
        <v>24240</v>
      </c>
      <c r="B11853" s="9" t="s">
        <v>24240</v>
      </c>
      <c r="C11853" s="9" t="s">
        <v>46</v>
      </c>
      <c r="D11853" s="9" t="s">
        <v>18</v>
      </c>
      <c r="E11853" s="10" t="s">
        <v>330</v>
      </c>
      <c r="F11853" s="9" t="s">
        <v>331</v>
      </c>
      <c r="G11853" s="10" t="s">
        <v>21</v>
      </c>
      <c r="H11853" s="9" t="s">
        <v>22</v>
      </c>
      <c r="I11853" s="9" t="s">
        <v>24241</v>
      </c>
      <c r="J11853" s="10" t="str">
        <f>HYPERLINK("https://www.boe.es/gazeta/dias/1834/12/03/pdfs/GMD-1834-292.pdf#page=3","Abrir facsímil")</f>
        <v>Abrir facsímil</v>
      </c>
      <c r="K11853" s="10" t="s">
        <v>24</v>
      </c>
    </row>
    <row r="11854" spans="1:11" ht="54" customHeight="1">
      <c r="A11854" s="9" t="s">
        <v>24240</v>
      </c>
      <c r="B11854" s="9" t="s">
        <v>24240</v>
      </c>
      <c r="C11854" s="9" t="s">
        <v>17</v>
      </c>
      <c r="D11854" s="9" t="s">
        <v>55</v>
      </c>
      <c r="E11854" s="10" t="s">
        <v>4565</v>
      </c>
      <c r="F11854" s="9" t="s">
        <v>4566</v>
      </c>
      <c r="G11854" s="10" t="s">
        <v>75</v>
      </c>
      <c r="H11854" s="9" t="s">
        <v>22</v>
      </c>
      <c r="I11854" s="9" t="s">
        <v>24242</v>
      </c>
      <c r="J11854" s="10" t="str">
        <f>HYPERLINK("https://www.boe.es/gazeta/dias/1834/07/10/pdfs/GMD-1834-143.pdf#page=4","Abrir facsímil")</f>
        <v>Abrir facsímil</v>
      </c>
      <c r="K11854" s="10" t="s">
        <v>24</v>
      </c>
    </row>
    <row r="11855" spans="1:11" ht="54" customHeight="1">
      <c r="A11855" s="9" t="s">
        <v>24243</v>
      </c>
      <c r="B11855" s="9" t="s">
        <v>24243</v>
      </c>
      <c r="C11855" s="9" t="s">
        <v>46</v>
      </c>
      <c r="D11855" s="9" t="s">
        <v>55</v>
      </c>
      <c r="E11855" s="10" t="s">
        <v>883</v>
      </c>
      <c r="F11855" s="9" t="s">
        <v>3449</v>
      </c>
      <c r="G11855" s="10" t="s">
        <v>86</v>
      </c>
      <c r="H11855" s="9" t="s">
        <v>22</v>
      </c>
      <c r="I11855" s="9" t="s">
        <v>24244</v>
      </c>
      <c r="J11855" s="10" t="str">
        <f>HYPERLINK("https://www.boe.es/gazeta/dias/1834/11/16/pdfs/GMD-1834-275.pdf#page=2","Abrir facsímil")</f>
        <v>Abrir facsímil</v>
      </c>
      <c r="K11855" s="10" t="s">
        <v>24</v>
      </c>
    </row>
    <row r="11856" spans="1:11" ht="54" customHeight="1">
      <c r="A11856" s="9" t="s">
        <v>24245</v>
      </c>
      <c r="B11856" s="9" t="s">
        <v>24245</v>
      </c>
      <c r="C11856" s="9" t="s">
        <v>46</v>
      </c>
      <c r="D11856" s="9" t="s">
        <v>40</v>
      </c>
      <c r="E11856" s="10" t="s">
        <v>433</v>
      </c>
      <c r="F11856" s="9" t="s">
        <v>2773</v>
      </c>
      <c r="G11856" s="10" t="s">
        <v>34</v>
      </c>
      <c r="H11856" s="9" t="s">
        <v>22</v>
      </c>
      <c r="I11856" s="9" t="s">
        <v>24246</v>
      </c>
      <c r="J11856" s="10" t="str">
        <f>HYPERLINK("https://www.boe.es/gazeta/dias/1834/10/07/pdfs/GMD-1834-235.pdf#page=1","Abrir facsímil")</f>
        <v>Abrir facsímil</v>
      </c>
      <c r="K11856" s="10" t="s">
        <v>24</v>
      </c>
    </row>
    <row r="11857" spans="1:11" ht="54" customHeight="1">
      <c r="A11857" s="9" t="s">
        <v>24245</v>
      </c>
      <c r="B11857" s="9" t="s">
        <v>24245</v>
      </c>
      <c r="C11857" s="9" t="s">
        <v>90</v>
      </c>
      <c r="D11857" s="9" t="s">
        <v>101</v>
      </c>
      <c r="E11857" s="10" t="s">
        <v>163</v>
      </c>
      <c r="F11857" s="9" t="s">
        <v>164</v>
      </c>
      <c r="G11857" s="10" t="s">
        <v>34</v>
      </c>
      <c r="H11857" s="9" t="s">
        <v>22</v>
      </c>
      <c r="I11857" s="9" t="s">
        <v>24247</v>
      </c>
      <c r="J11857" s="10" t="str">
        <f>HYPERLINK("https://www.boe.es/gazeta/dias/1834/08/09/pdfs/GMD-1834-174.pdf#page=1","Abrir facsímil")</f>
        <v>Abrir facsímil</v>
      </c>
      <c r="K11857" s="10" t="s">
        <v>24</v>
      </c>
    </row>
    <row r="11858" spans="1:11" ht="54" customHeight="1">
      <c r="A11858" s="9" t="s">
        <v>24245</v>
      </c>
      <c r="B11858" s="9" t="s">
        <v>24245</v>
      </c>
      <c r="C11858" s="9" t="s">
        <v>17</v>
      </c>
      <c r="D11858" s="9" t="s">
        <v>18</v>
      </c>
      <c r="E11858" s="10" t="s">
        <v>3248</v>
      </c>
      <c r="F11858" s="9" t="s">
        <v>3249</v>
      </c>
      <c r="G11858" s="10" t="s">
        <v>86</v>
      </c>
      <c r="H11858" s="9" t="s">
        <v>22</v>
      </c>
      <c r="I11858" s="9" t="s">
        <v>24248</v>
      </c>
      <c r="J11858" s="10" t="str">
        <f>HYPERLINK("https://www.boe.es/gazeta/dias/1834/09/20/pdfs/GMD-1834-218.pdf#page=2","Abrir facsímil")</f>
        <v>Abrir facsímil</v>
      </c>
      <c r="K11858" s="10" t="s">
        <v>24</v>
      </c>
    </row>
    <row r="11859" spans="1:11" ht="54" customHeight="1">
      <c r="A11859" s="9" t="s">
        <v>24245</v>
      </c>
      <c r="B11859" s="9" t="s">
        <v>24245</v>
      </c>
      <c r="C11859" s="9" t="s">
        <v>66</v>
      </c>
      <c r="D11859" s="9" t="s">
        <v>67</v>
      </c>
      <c r="E11859" s="10" t="s">
        <v>510</v>
      </c>
      <c r="F11859" s="9" t="s">
        <v>511</v>
      </c>
      <c r="G11859" s="10" t="s">
        <v>75</v>
      </c>
      <c r="H11859" s="9" t="s">
        <v>22</v>
      </c>
      <c r="I11859" s="9" t="s">
        <v>24249</v>
      </c>
      <c r="J11859" s="10" t="str">
        <f>HYPERLINK("https://www.boe.es/gazeta/dias/1834/11/26/pdfs/GMD-1834-285.pdf#page=4","Abrir facsímil")</f>
        <v>Abrir facsímil</v>
      </c>
      <c r="K11859" s="10" t="s">
        <v>24</v>
      </c>
    </row>
    <row r="11860" spans="1:11" ht="54" customHeight="1">
      <c r="A11860" s="9" t="s">
        <v>24250</v>
      </c>
      <c r="B11860" s="9" t="s">
        <v>24250</v>
      </c>
      <c r="C11860" s="9" t="s">
        <v>17</v>
      </c>
      <c r="D11860" s="9" t="s">
        <v>55</v>
      </c>
      <c r="E11860" s="10" t="s">
        <v>148</v>
      </c>
      <c r="F11860" s="9" t="s">
        <v>149</v>
      </c>
      <c r="G11860" s="10" t="s">
        <v>86</v>
      </c>
      <c r="H11860" s="9" t="s">
        <v>22</v>
      </c>
      <c r="I11860" s="9" t="s">
        <v>24251</v>
      </c>
      <c r="J11860" s="10" t="str">
        <f>HYPERLINK("https://www.boe.es/gazeta/dias/1834/10/20/pdfs/GMD-1834-248.pdf#page=2","Abrir facsímil")</f>
        <v>Abrir facsímil</v>
      </c>
      <c r="K11860" s="10" t="s">
        <v>24</v>
      </c>
    </row>
    <row r="11861" spans="1:11" ht="54" customHeight="1">
      <c r="A11861" s="9" t="s">
        <v>24252</v>
      </c>
      <c r="B11861" s="9" t="s">
        <v>24252</v>
      </c>
      <c r="C11861" s="9" t="s">
        <v>17</v>
      </c>
      <c r="D11861" s="9" t="s">
        <v>18</v>
      </c>
      <c r="E11861" s="10" t="s">
        <v>912</v>
      </c>
      <c r="F11861" s="9" t="s">
        <v>913</v>
      </c>
      <c r="G11861" s="10" t="s">
        <v>75</v>
      </c>
      <c r="H11861" s="9" t="s">
        <v>22</v>
      </c>
      <c r="I11861" s="9" t="s">
        <v>24253</v>
      </c>
      <c r="J11861" s="10" t="str">
        <f>HYPERLINK("https://www.boe.es/gazeta/dias/1834/02/15/pdfs/GMD-1834-21.pdf#page=4","Abrir facsímil")</f>
        <v>Abrir facsímil</v>
      </c>
      <c r="K11861" s="10" t="s">
        <v>24</v>
      </c>
    </row>
    <row r="11862" spans="1:11" ht="54" customHeight="1">
      <c r="A11862" s="9" t="s">
        <v>24254</v>
      </c>
      <c r="B11862" s="9" t="s">
        <v>24255</v>
      </c>
      <c r="C11862" s="9" t="s">
        <v>17</v>
      </c>
      <c r="D11862" s="9" t="s">
        <v>18</v>
      </c>
      <c r="E11862" s="10" t="s">
        <v>408</v>
      </c>
      <c r="F11862" s="9" t="s">
        <v>409</v>
      </c>
      <c r="G11862" s="10" t="s">
        <v>75</v>
      </c>
      <c r="H11862" s="9" t="s">
        <v>22</v>
      </c>
      <c r="I11862" s="9" t="s">
        <v>24256</v>
      </c>
      <c r="J11862" s="10" t="str">
        <f>HYPERLINK("https://www.boe.es/gazeta/dias/1834/04/28/pdfs/GMD-1834-67.pdf#page=4","Abrir facsímil")</f>
        <v>Abrir facsímil</v>
      </c>
      <c r="K11862" s="10" t="s">
        <v>24</v>
      </c>
    </row>
    <row r="11863" spans="1:11" ht="54" customHeight="1">
      <c r="A11863" s="9" t="s">
        <v>24257</v>
      </c>
      <c r="B11863" s="9" t="s">
        <v>24258</v>
      </c>
      <c r="C11863" s="9" t="s">
        <v>17</v>
      </c>
      <c r="D11863" s="9" t="s">
        <v>18</v>
      </c>
      <c r="E11863" s="10" t="s">
        <v>647</v>
      </c>
      <c r="F11863" s="9" t="s">
        <v>2176</v>
      </c>
      <c r="G11863" s="10" t="s">
        <v>75</v>
      </c>
      <c r="H11863" s="9" t="s">
        <v>22</v>
      </c>
      <c r="I11863" s="9" t="s">
        <v>24259</v>
      </c>
      <c r="J11863" s="10" t="str">
        <f>HYPERLINK("https://www.boe.es/gazeta/dias/1834/10/21/pdfs/GMD-1834-249.pdf#page=4","Abrir facsímil")</f>
        <v>Abrir facsímil</v>
      </c>
      <c r="K11863" s="10" t="s">
        <v>24</v>
      </c>
    </row>
    <row r="11864" spans="1:11" ht="54" customHeight="1">
      <c r="A11864" s="9" t="s">
        <v>24260</v>
      </c>
      <c r="B11864" s="9" t="s">
        <v>24261</v>
      </c>
      <c r="C11864" s="9" t="s">
        <v>90</v>
      </c>
      <c r="D11864" s="9" t="s">
        <v>18</v>
      </c>
      <c r="E11864" s="10" t="s">
        <v>153</v>
      </c>
      <c r="F11864" s="9" t="s">
        <v>1294</v>
      </c>
      <c r="G11864" s="10" t="s">
        <v>21</v>
      </c>
      <c r="H11864" s="9" t="s">
        <v>22</v>
      </c>
      <c r="I11864" s="9" t="s">
        <v>24262</v>
      </c>
      <c r="J11864" s="10" t="str">
        <f>HYPERLINK("https://www.boe.es/gazeta/dias/1834/12/30/pdfs/GMD-1834-320.pdf#page=3","Abrir facsímil")</f>
        <v>Abrir facsímil</v>
      </c>
      <c r="K11864" s="10" t="s">
        <v>24</v>
      </c>
    </row>
    <row r="11865" spans="1:11" ht="54" customHeight="1">
      <c r="A11865" s="9" t="s">
        <v>24263</v>
      </c>
      <c r="B11865" s="9" t="s">
        <v>24264</v>
      </c>
      <c r="C11865" s="9" t="s">
        <v>66</v>
      </c>
      <c r="D11865" s="9" t="s">
        <v>67</v>
      </c>
      <c r="E11865" s="10" t="s">
        <v>696</v>
      </c>
      <c r="F11865" s="9" t="s">
        <v>854</v>
      </c>
      <c r="G11865" s="10" t="s">
        <v>21</v>
      </c>
      <c r="H11865" s="9" t="s">
        <v>22</v>
      </c>
      <c r="I11865" s="9" t="s">
        <v>24265</v>
      </c>
      <c r="J11865" s="10" t="str">
        <f>HYPERLINK("https://www.boe.es/gazeta/dias/1834/12/06/pdfs/GMD-1834-295.pdf#page=3","Abrir facsímil")</f>
        <v>Abrir facsímil</v>
      </c>
      <c r="K11865" s="10" t="s">
        <v>24</v>
      </c>
    </row>
    <row r="11866" spans="1:11" ht="54" customHeight="1">
      <c r="A11866" s="9" t="s">
        <v>24266</v>
      </c>
      <c r="B11866" s="9" t="s">
        <v>24267</v>
      </c>
      <c r="C11866" s="9" t="s">
        <v>66</v>
      </c>
      <c r="D11866" s="9" t="s">
        <v>67</v>
      </c>
      <c r="E11866" s="10" t="s">
        <v>696</v>
      </c>
      <c r="F11866" s="9" t="s">
        <v>854</v>
      </c>
      <c r="G11866" s="10" t="s">
        <v>21</v>
      </c>
      <c r="H11866" s="9" t="s">
        <v>35</v>
      </c>
      <c r="I11866" s="9" t="s">
        <v>24268</v>
      </c>
      <c r="J11866" s="10" t="str">
        <f>HYPERLINK("https://www.boe.es/gazeta/dias/1834/12/06/pdfs/GMD-1834-295.pdf#page=3","Abrir facsímil")</f>
        <v>Abrir facsímil</v>
      </c>
      <c r="K11866" s="10" t="s">
        <v>37</v>
      </c>
    </row>
    <row r="11867" spans="1:11" ht="54" customHeight="1">
      <c r="A11867" s="9" t="s">
        <v>24269</v>
      </c>
      <c r="B11867" s="9" t="s">
        <v>24270</v>
      </c>
      <c r="C11867" s="9" t="s">
        <v>90</v>
      </c>
      <c r="D11867" s="9" t="s">
        <v>18</v>
      </c>
      <c r="E11867" s="10" t="s">
        <v>255</v>
      </c>
      <c r="F11867" s="9" t="s">
        <v>2368</v>
      </c>
      <c r="G11867" s="10" t="s">
        <v>34</v>
      </c>
      <c r="H11867" s="9" t="s">
        <v>22</v>
      </c>
      <c r="I11867" s="9" t="s">
        <v>24271</v>
      </c>
      <c r="J11867" s="10" t="str">
        <f>HYPERLINK("https://www.boe.es/gazeta/dias/1834/09/01/pdfs/GMD-1834-199.pdf#page=1","Abrir facsímil")</f>
        <v>Abrir facsímil</v>
      </c>
      <c r="K11867" s="10" t="s">
        <v>24</v>
      </c>
    </row>
    <row r="11868" spans="1:11" ht="54" customHeight="1">
      <c r="A11868" s="9" t="s">
        <v>24272</v>
      </c>
      <c r="B11868" s="9" t="s">
        <v>24273</v>
      </c>
      <c r="C11868" s="9" t="s">
        <v>46</v>
      </c>
      <c r="D11868" s="9" t="s">
        <v>18</v>
      </c>
      <c r="E11868" s="10" t="s">
        <v>813</v>
      </c>
      <c r="F11868" s="9" t="s">
        <v>814</v>
      </c>
      <c r="G11868" s="10" t="s">
        <v>21</v>
      </c>
      <c r="H11868" s="9" t="s">
        <v>22</v>
      </c>
      <c r="I11868" s="9" t="s">
        <v>24274</v>
      </c>
      <c r="J11868" s="10" t="str">
        <f>HYPERLINK("https://www.boe.es/gazeta/dias/1834/08/08/pdfs/GMD-1834-173.pdf#page=3","Abrir facsímil")</f>
        <v>Abrir facsímil</v>
      </c>
      <c r="K11868" s="10" t="s">
        <v>24</v>
      </c>
    </row>
    <row r="11869" spans="1:11" ht="54" customHeight="1">
      <c r="A11869" s="9" t="s">
        <v>24275</v>
      </c>
      <c r="B11869" s="9" t="s">
        <v>24276</v>
      </c>
      <c r="C11869" s="9" t="s">
        <v>17</v>
      </c>
      <c r="D11869" s="9" t="s">
        <v>18</v>
      </c>
      <c r="E11869" s="10" t="s">
        <v>623</v>
      </c>
      <c r="F11869" s="9" t="s">
        <v>624</v>
      </c>
      <c r="G11869" s="10" t="s">
        <v>34</v>
      </c>
      <c r="H11869" s="9" t="s">
        <v>35</v>
      </c>
      <c r="I11869" s="9" t="s">
        <v>24277</v>
      </c>
      <c r="J11869" s="10" t="str">
        <f>HYPERLINK("https://www.boe.es/gazeta/dias/1834/10/12/pdfs/GMD-C-1834-240.pdf#page=1","Abrir facsímil")</f>
        <v>Abrir facsímil</v>
      </c>
      <c r="K11869" s="10" t="s">
        <v>37</v>
      </c>
    </row>
    <row r="11870" spans="1:11" ht="54" customHeight="1">
      <c r="A11870" s="9" t="s">
        <v>24275</v>
      </c>
      <c r="B11870" s="9" t="s">
        <v>24276</v>
      </c>
      <c r="C11870" s="9" t="s">
        <v>17</v>
      </c>
      <c r="D11870" s="9" t="s">
        <v>40</v>
      </c>
      <c r="E11870" s="10" t="s">
        <v>283</v>
      </c>
      <c r="F11870" s="9" t="s">
        <v>284</v>
      </c>
      <c r="G11870" s="10" t="s">
        <v>34</v>
      </c>
      <c r="H11870" s="9" t="s">
        <v>35</v>
      </c>
      <c r="I11870" s="9" t="s">
        <v>24278</v>
      </c>
      <c r="J11870" s="10" t="str">
        <f>HYPERLINK("https://www.boe.es/gazeta/dias/1834/11/29/pdfs/GMD-C-1834-288.pdf#page=1","Abrir facsímil")</f>
        <v>Abrir facsímil</v>
      </c>
      <c r="K11870" s="10" t="s">
        <v>37</v>
      </c>
    </row>
    <row r="11871" spans="1:11" ht="54" customHeight="1">
      <c r="A11871" s="9" t="s">
        <v>24279</v>
      </c>
      <c r="B11871" s="9" t="s">
        <v>24280</v>
      </c>
      <c r="C11871" s="9" t="s">
        <v>90</v>
      </c>
      <c r="D11871" s="9" t="s">
        <v>18</v>
      </c>
      <c r="E11871" s="10" t="s">
        <v>606</v>
      </c>
      <c r="F11871" s="9" t="s">
        <v>607</v>
      </c>
      <c r="G11871" s="10" t="s">
        <v>75</v>
      </c>
      <c r="H11871" s="9" t="s">
        <v>22</v>
      </c>
      <c r="I11871" s="9" t="s">
        <v>24281</v>
      </c>
      <c r="J11871" s="10" t="str">
        <f>HYPERLINK("https://www.boe.es/gazeta/dias/1834/06/23/pdfs/GMD-1834-126.pdf#page=4","Abrir facsímil")</f>
        <v>Abrir facsímil</v>
      </c>
      <c r="K11871" s="10" t="s">
        <v>24</v>
      </c>
    </row>
    <row r="11872" spans="1:11" ht="54" customHeight="1">
      <c r="A11872" s="9" t="s">
        <v>24282</v>
      </c>
      <c r="B11872" s="9" t="s">
        <v>24283</v>
      </c>
      <c r="C11872" s="9" t="s">
        <v>17</v>
      </c>
      <c r="D11872" s="9" t="s">
        <v>18</v>
      </c>
      <c r="E11872" s="10" t="s">
        <v>258</v>
      </c>
      <c r="F11872" s="9" t="s">
        <v>1075</v>
      </c>
      <c r="G11872" s="10" t="s">
        <v>21</v>
      </c>
      <c r="H11872" s="9" t="s">
        <v>22</v>
      </c>
      <c r="I11872" s="9" t="s">
        <v>24284</v>
      </c>
      <c r="J11872" s="10" t="str">
        <f>HYPERLINK("https://www.boe.es/gazeta/dias/1834/10/09/pdfs/GMD-1834-237.pdf#page=3","Abrir facsímil")</f>
        <v>Abrir facsímil</v>
      </c>
      <c r="K11872" s="10" t="s">
        <v>24</v>
      </c>
    </row>
    <row r="11873" spans="1:11" ht="54" customHeight="1">
      <c r="A11873" s="9" t="s">
        <v>24285</v>
      </c>
      <c r="B11873" s="9" t="s">
        <v>24286</v>
      </c>
      <c r="C11873" s="9" t="s">
        <v>66</v>
      </c>
      <c r="D11873" s="9" t="s">
        <v>67</v>
      </c>
      <c r="E11873" s="10" t="s">
        <v>133</v>
      </c>
      <c r="F11873" s="9" t="s">
        <v>134</v>
      </c>
      <c r="G11873" s="10" t="s">
        <v>34</v>
      </c>
      <c r="H11873" s="9" t="s">
        <v>22</v>
      </c>
      <c r="I11873" s="9" t="s">
        <v>24287</v>
      </c>
      <c r="J11873" s="10" t="str">
        <f>HYPERLINK("https://www.boe.es/gazeta/dias/1834/06/18/pdfs/GMD-1834-121.pdf#page=1","Abrir facsímil")</f>
        <v>Abrir facsímil</v>
      </c>
      <c r="K11873" s="10" t="s">
        <v>24</v>
      </c>
    </row>
    <row r="11874" spans="1:11" ht="54" customHeight="1">
      <c r="A11874" s="9" t="s">
        <v>24288</v>
      </c>
      <c r="B11874" s="9" t="s">
        <v>24289</v>
      </c>
      <c r="C11874" s="9" t="s">
        <v>17</v>
      </c>
      <c r="D11874" s="9" t="s">
        <v>18</v>
      </c>
      <c r="E11874" s="10" t="s">
        <v>623</v>
      </c>
      <c r="F11874" s="9" t="s">
        <v>624</v>
      </c>
      <c r="G11874" s="10" t="s">
        <v>34</v>
      </c>
      <c r="H11874" s="9" t="s">
        <v>22</v>
      </c>
      <c r="I11874" s="9" t="s">
        <v>24290</v>
      </c>
      <c r="J11874" s="10" t="str">
        <f>HYPERLINK("https://www.boe.es/gazeta/dias/1834/10/12/pdfs/GMD-C-1834-240.pdf#page=1","Abrir facsímil")</f>
        <v>Abrir facsímil</v>
      </c>
      <c r="K11874" s="10" t="s">
        <v>24</v>
      </c>
    </row>
    <row r="11875" spans="1:11" ht="54" customHeight="1">
      <c r="A11875" s="9" t="s">
        <v>24288</v>
      </c>
      <c r="B11875" s="9" t="s">
        <v>24289</v>
      </c>
      <c r="C11875" s="9" t="s">
        <v>17</v>
      </c>
      <c r="D11875" s="9" t="s">
        <v>40</v>
      </c>
      <c r="E11875" s="10" t="s">
        <v>283</v>
      </c>
      <c r="F11875" s="9" t="s">
        <v>284</v>
      </c>
      <c r="G11875" s="10" t="s">
        <v>34</v>
      </c>
      <c r="H11875" s="9" t="s">
        <v>22</v>
      </c>
      <c r="I11875" s="9" t="s">
        <v>24291</v>
      </c>
      <c r="J11875" s="10" t="str">
        <f>HYPERLINK("https://www.boe.es/gazeta/dias/1834/11/29/pdfs/GMD-C-1834-288.pdf#page=1","Abrir facsímil")</f>
        <v>Abrir facsímil</v>
      </c>
      <c r="K11875" s="10" t="s">
        <v>24</v>
      </c>
    </row>
    <row r="11876" spans="1:11" ht="54" customHeight="1">
      <c r="A11876" s="9" t="s">
        <v>24292</v>
      </c>
      <c r="B11876" s="9" t="s">
        <v>24293</v>
      </c>
      <c r="C11876" s="9" t="s">
        <v>90</v>
      </c>
      <c r="D11876" s="9" t="s">
        <v>18</v>
      </c>
      <c r="E11876" s="10" t="s">
        <v>606</v>
      </c>
      <c r="F11876" s="9" t="s">
        <v>607</v>
      </c>
      <c r="G11876" s="10" t="s">
        <v>75</v>
      </c>
      <c r="H11876" s="9" t="s">
        <v>22</v>
      </c>
      <c r="I11876" s="9" t="s">
        <v>24294</v>
      </c>
      <c r="J11876" s="10" t="str">
        <f>HYPERLINK("https://www.boe.es/gazeta/dias/1834/06/23/pdfs/GMD-1834-126.pdf#page=4","Abrir facsímil")</f>
        <v>Abrir facsímil</v>
      </c>
      <c r="K11876" s="10" t="s">
        <v>24</v>
      </c>
    </row>
    <row r="11877" spans="1:11" ht="54" customHeight="1">
      <c r="A11877" s="9" t="s">
        <v>24295</v>
      </c>
      <c r="B11877" s="9" t="s">
        <v>24295</v>
      </c>
      <c r="C11877" s="9" t="s">
        <v>17</v>
      </c>
      <c r="D11877" s="9" t="s">
        <v>18</v>
      </c>
      <c r="E11877" s="10" t="s">
        <v>690</v>
      </c>
      <c r="F11877" s="9" t="s">
        <v>691</v>
      </c>
      <c r="G11877" s="10" t="s">
        <v>560</v>
      </c>
      <c r="H11877" s="9" t="s">
        <v>22</v>
      </c>
      <c r="I11877" s="9" t="s">
        <v>24296</v>
      </c>
      <c r="J11877" s="10" t="str">
        <f>HYPERLINK("https://www.boe.es/gazeta/dias/1834/09/03/pdfs/GMD-C-1834-201.pdf#page=7","Abrir facsímil")</f>
        <v>Abrir facsímil</v>
      </c>
      <c r="K11877" s="10" t="s">
        <v>24</v>
      </c>
    </row>
    <row r="11878" spans="1:11" ht="54" customHeight="1">
      <c r="A11878" s="9" t="s">
        <v>24297</v>
      </c>
      <c r="B11878" s="9" t="s">
        <v>24298</v>
      </c>
      <c r="C11878" s="9" t="s">
        <v>17</v>
      </c>
      <c r="D11878" s="9" t="s">
        <v>18</v>
      </c>
      <c r="E11878" s="10" t="s">
        <v>1653</v>
      </c>
      <c r="F11878" s="9" t="s">
        <v>1654</v>
      </c>
      <c r="G11878" s="10" t="s">
        <v>21</v>
      </c>
      <c r="H11878" s="9" t="s">
        <v>22</v>
      </c>
      <c r="I11878" s="9" t="s">
        <v>24299</v>
      </c>
      <c r="J11878" s="10" t="str">
        <f>HYPERLINK("https://www.boe.es/gazeta/dias/1834/07/03/pdfs/GMD-1834-136.pdf#page=3","Abrir facsímil")</f>
        <v>Abrir facsímil</v>
      </c>
      <c r="K11878" s="10" t="s">
        <v>24</v>
      </c>
    </row>
    <row r="11879" spans="1:11" ht="54" customHeight="1">
      <c r="A11879" s="9" t="s">
        <v>24300</v>
      </c>
      <c r="B11879" s="9" t="s">
        <v>24301</v>
      </c>
      <c r="C11879" s="9" t="s">
        <v>17</v>
      </c>
      <c r="D11879" s="9" t="s">
        <v>18</v>
      </c>
      <c r="E11879" s="10" t="s">
        <v>1653</v>
      </c>
      <c r="F11879" s="9" t="s">
        <v>1654</v>
      </c>
      <c r="G11879" s="10" t="s">
        <v>21</v>
      </c>
      <c r="H11879" s="9" t="s">
        <v>35</v>
      </c>
      <c r="I11879" s="9" t="s">
        <v>24302</v>
      </c>
      <c r="J11879" s="10" t="str">
        <f>HYPERLINK("https://www.boe.es/gazeta/dias/1834/07/03/pdfs/GMD-1834-136.pdf#page=3","Abrir facsímil")</f>
        <v>Abrir facsímil</v>
      </c>
      <c r="K11879" s="10" t="s">
        <v>37</v>
      </c>
    </row>
    <row r="11880" spans="1:11" ht="54" customHeight="1">
      <c r="A11880" s="9" t="s">
        <v>24303</v>
      </c>
      <c r="B11880" s="9" t="s">
        <v>24304</v>
      </c>
      <c r="C11880" s="9" t="s">
        <v>17</v>
      </c>
      <c r="D11880" s="9" t="s">
        <v>18</v>
      </c>
      <c r="E11880" s="10" t="s">
        <v>623</v>
      </c>
      <c r="F11880" s="9" t="s">
        <v>624</v>
      </c>
      <c r="G11880" s="10" t="s">
        <v>34</v>
      </c>
      <c r="H11880" s="9" t="s">
        <v>22</v>
      </c>
      <c r="I11880" s="9" t="s">
        <v>24305</v>
      </c>
      <c r="J11880" s="10" t="str">
        <f>HYPERLINK("https://www.boe.es/gazeta/dias/1834/10/12/pdfs/GMD-C-1834-240.pdf#page=1","Abrir facsímil")</f>
        <v>Abrir facsímil</v>
      </c>
      <c r="K11880" s="10" t="s">
        <v>24</v>
      </c>
    </row>
    <row r="11881" spans="1:11" ht="54" customHeight="1">
      <c r="A11881" s="9" t="s">
        <v>24306</v>
      </c>
      <c r="B11881" s="9" t="s">
        <v>24307</v>
      </c>
      <c r="C11881" s="9" t="s">
        <v>17</v>
      </c>
      <c r="D11881" s="9" t="s">
        <v>18</v>
      </c>
      <c r="E11881" s="10" t="s">
        <v>981</v>
      </c>
      <c r="F11881" s="9" t="s">
        <v>982</v>
      </c>
      <c r="G11881" s="10" t="s">
        <v>86</v>
      </c>
      <c r="H11881" s="9" t="s">
        <v>22</v>
      </c>
      <c r="I11881" s="9" t="s">
        <v>24308</v>
      </c>
      <c r="J11881" s="10" t="str">
        <f>HYPERLINK("https://www.boe.es/gazeta/dias/1834/09/21/pdfs/GMD-1834-219.pdf#page=2","Abrir facsímil")</f>
        <v>Abrir facsímil</v>
      </c>
      <c r="K11881" s="10" t="s">
        <v>24</v>
      </c>
    </row>
    <row r="11882" spans="1:11" ht="54" customHeight="1">
      <c r="A11882" s="9" t="s">
        <v>24309</v>
      </c>
      <c r="B11882" s="9" t="s">
        <v>24310</v>
      </c>
      <c r="C11882" s="9" t="s">
        <v>17</v>
      </c>
      <c r="D11882" s="9" t="s">
        <v>18</v>
      </c>
      <c r="E11882" s="10" t="s">
        <v>1141</v>
      </c>
      <c r="F11882" s="9" t="s">
        <v>1142</v>
      </c>
      <c r="G11882" s="10" t="s">
        <v>75</v>
      </c>
      <c r="H11882" s="9" t="s">
        <v>22</v>
      </c>
      <c r="I11882" s="9" t="s">
        <v>24311</v>
      </c>
      <c r="J11882" s="10" t="str">
        <f>HYPERLINK("https://www.boe.es/gazeta/dias/1834/04/30/pdfs/GMD-1834-69.pdf#page=4","Abrir facsímil")</f>
        <v>Abrir facsímil</v>
      </c>
      <c r="K11882" s="10" t="s">
        <v>24</v>
      </c>
    </row>
    <row r="11883" spans="1:11" ht="54" customHeight="1">
      <c r="A11883" s="9" t="s">
        <v>24312</v>
      </c>
      <c r="B11883" s="9" t="s">
        <v>24312</v>
      </c>
      <c r="C11883" s="9" t="s">
        <v>46</v>
      </c>
      <c r="D11883" s="9" t="s">
        <v>18</v>
      </c>
      <c r="E11883" s="10" t="s">
        <v>3328</v>
      </c>
      <c r="F11883" s="9" t="s">
        <v>3329</v>
      </c>
      <c r="G11883" s="10" t="s">
        <v>86</v>
      </c>
      <c r="H11883" s="9" t="s">
        <v>22</v>
      </c>
      <c r="I11883" s="9" t="s">
        <v>24313</v>
      </c>
      <c r="J11883" s="10" t="str">
        <f>HYPERLINK("https://www.boe.es/gazeta/dias/1834/06/04/pdfs/GMD-1834-106.pdf#page=2","Abrir facsímil")</f>
        <v>Abrir facsímil</v>
      </c>
      <c r="K11883" s="10" t="s">
        <v>24</v>
      </c>
    </row>
    <row r="11884" spans="1:11" ht="54" customHeight="1">
      <c r="A11884" s="9" t="s">
        <v>24314</v>
      </c>
      <c r="B11884" s="9" t="s">
        <v>24314</v>
      </c>
      <c r="C11884" s="9" t="s">
        <v>66</v>
      </c>
      <c r="D11884" s="9" t="s">
        <v>67</v>
      </c>
      <c r="E11884" s="10" t="s">
        <v>734</v>
      </c>
      <c r="F11884" s="9" t="s">
        <v>735</v>
      </c>
      <c r="G11884" s="10" t="s">
        <v>21</v>
      </c>
      <c r="H11884" s="9" t="s">
        <v>22</v>
      </c>
      <c r="I11884" s="9" t="s">
        <v>24315</v>
      </c>
      <c r="J11884" s="10" t="str">
        <f>HYPERLINK("https://www.boe.es/gazeta/dias/1834/05/06/pdfs/GMD-1834-75.pdf#page=3","Abrir facsímil")</f>
        <v>Abrir facsímil</v>
      </c>
      <c r="K11884" s="10" t="s">
        <v>24</v>
      </c>
    </row>
    <row r="11885" spans="1:11" ht="54" customHeight="1">
      <c r="A11885" s="9" t="s">
        <v>24314</v>
      </c>
      <c r="B11885" s="9" t="s">
        <v>24314</v>
      </c>
      <c r="C11885" s="9" t="s">
        <v>17</v>
      </c>
      <c r="D11885" s="9" t="s">
        <v>18</v>
      </c>
      <c r="E11885" s="10" t="s">
        <v>1505</v>
      </c>
      <c r="F11885" s="9" t="s">
        <v>1506</v>
      </c>
      <c r="G11885" s="10" t="s">
        <v>21</v>
      </c>
      <c r="H11885" s="9" t="s">
        <v>22</v>
      </c>
      <c r="I11885" s="9" t="s">
        <v>24316</v>
      </c>
      <c r="J11885" s="10" t="str">
        <f>HYPERLINK("https://www.boe.es/gazeta/dias/1834/05/08/pdfs/GMD-1834-77.pdf#page=3","Abrir facsímil")</f>
        <v>Abrir facsímil</v>
      </c>
      <c r="K11885" s="10" t="s">
        <v>24</v>
      </c>
    </row>
    <row r="11886" spans="1:11" ht="54" customHeight="1">
      <c r="A11886" s="9" t="s">
        <v>24314</v>
      </c>
      <c r="B11886" s="9" t="s">
        <v>24314</v>
      </c>
      <c r="C11886" s="9" t="s">
        <v>17</v>
      </c>
      <c r="D11886" s="9" t="s">
        <v>18</v>
      </c>
      <c r="E11886" s="10" t="s">
        <v>32</v>
      </c>
      <c r="F11886" s="9" t="s">
        <v>33</v>
      </c>
      <c r="G11886" s="10" t="s">
        <v>75</v>
      </c>
      <c r="H11886" s="9" t="s">
        <v>22</v>
      </c>
      <c r="I11886" s="9" t="s">
        <v>24317</v>
      </c>
      <c r="J11886" s="10" t="str">
        <f>HYPERLINK("https://www.boe.es/gazeta/dias/1834/04/23/pdfs/GMD-1834-62.pdf#page=4","Abrir facsímil")</f>
        <v>Abrir facsímil</v>
      </c>
      <c r="K11886" s="10" t="s">
        <v>24</v>
      </c>
    </row>
    <row r="11887" spans="1:11" ht="54" customHeight="1">
      <c r="A11887" s="9" t="s">
        <v>24314</v>
      </c>
      <c r="B11887" s="9" t="s">
        <v>24314</v>
      </c>
      <c r="C11887" s="9" t="s">
        <v>17</v>
      </c>
      <c r="D11887" s="9" t="s">
        <v>18</v>
      </c>
      <c r="E11887" s="10" t="s">
        <v>2945</v>
      </c>
      <c r="F11887" s="9" t="s">
        <v>2946</v>
      </c>
      <c r="G11887" s="10" t="s">
        <v>75</v>
      </c>
      <c r="H11887" s="9" t="s">
        <v>22</v>
      </c>
      <c r="I11887" s="9" t="s">
        <v>24318</v>
      </c>
      <c r="J11887" s="10" t="str">
        <f>HYPERLINK("https://www.boe.es/gazeta/dias/1834/05/29/pdfs/GMD-1834-98.pdf#page=4","Abrir facsímil")</f>
        <v>Abrir facsímil</v>
      </c>
      <c r="K11887" s="10" t="s">
        <v>24</v>
      </c>
    </row>
    <row r="11888" spans="1:11" ht="54" customHeight="1">
      <c r="A11888" s="9" t="s">
        <v>24319</v>
      </c>
      <c r="B11888" s="9" t="s">
        <v>24320</v>
      </c>
      <c r="C11888" s="9" t="s">
        <v>17</v>
      </c>
      <c r="D11888" s="9" t="s">
        <v>18</v>
      </c>
      <c r="E11888" s="10" t="s">
        <v>2124</v>
      </c>
      <c r="F11888" s="9" t="s">
        <v>2125</v>
      </c>
      <c r="G11888" s="10" t="s">
        <v>75</v>
      </c>
      <c r="H11888" s="9" t="s">
        <v>35</v>
      </c>
      <c r="I11888" s="9" t="s">
        <v>24321</v>
      </c>
      <c r="J11888" s="10" t="str">
        <f>HYPERLINK("https://www.boe.es/gazeta/dias/1834/06/09/pdfs/GMD-1834-112.pdf#page=4","Abrir facsímil")</f>
        <v>Abrir facsímil</v>
      </c>
      <c r="K11888" s="10" t="s">
        <v>37</v>
      </c>
    </row>
    <row r="11889" spans="1:11" ht="54" customHeight="1">
      <c r="A11889" s="9" t="s">
        <v>24322</v>
      </c>
      <c r="B11889" s="9" t="s">
        <v>24323</v>
      </c>
      <c r="C11889" s="9" t="s">
        <v>17</v>
      </c>
      <c r="D11889" s="9" t="s">
        <v>18</v>
      </c>
      <c r="E11889" s="10" t="s">
        <v>2124</v>
      </c>
      <c r="F11889" s="9" t="s">
        <v>2125</v>
      </c>
      <c r="G11889" s="10" t="s">
        <v>75</v>
      </c>
      <c r="H11889" s="9" t="s">
        <v>22</v>
      </c>
      <c r="I11889" s="9" t="s">
        <v>24324</v>
      </c>
      <c r="J11889" s="10" t="str">
        <f>HYPERLINK("https://www.boe.es/gazeta/dias/1834/06/09/pdfs/GMD-1834-112.pdf#page=4","Abrir facsímil")</f>
        <v>Abrir facsímil</v>
      </c>
      <c r="K11889" s="10" t="s">
        <v>24</v>
      </c>
    </row>
    <row r="11890" spans="1:11" ht="54" customHeight="1">
      <c r="A11890" s="9" t="s">
        <v>24325</v>
      </c>
      <c r="B11890" s="9" t="s">
        <v>24325</v>
      </c>
      <c r="C11890" s="9" t="s">
        <v>46</v>
      </c>
      <c r="D11890" s="9" t="s">
        <v>18</v>
      </c>
      <c r="E11890" s="10" t="s">
        <v>448</v>
      </c>
      <c r="F11890" s="9" t="s">
        <v>449</v>
      </c>
      <c r="G11890" s="10" t="s">
        <v>86</v>
      </c>
      <c r="H11890" s="9" t="s">
        <v>22</v>
      </c>
      <c r="I11890" s="9" t="s">
        <v>24326</v>
      </c>
      <c r="J11890" s="10" t="str">
        <f>HYPERLINK("https://www.boe.es/gazeta/dias/1834/10/14/pdfs/GMD-C-1834-242.pdf#page=2","Abrir facsímil")</f>
        <v>Abrir facsímil</v>
      </c>
      <c r="K11890" s="10" t="s">
        <v>24</v>
      </c>
    </row>
    <row r="11891" spans="1:11" ht="54" customHeight="1">
      <c r="A11891" s="9" t="s">
        <v>24325</v>
      </c>
      <c r="B11891" s="9" t="s">
        <v>24325</v>
      </c>
      <c r="C11891" s="9" t="s">
        <v>17</v>
      </c>
      <c r="D11891" s="9" t="s">
        <v>18</v>
      </c>
      <c r="E11891" s="10" t="s">
        <v>454</v>
      </c>
      <c r="F11891" s="9" t="s">
        <v>455</v>
      </c>
      <c r="G11891" s="10" t="s">
        <v>34</v>
      </c>
      <c r="H11891" s="9" t="s">
        <v>22</v>
      </c>
      <c r="I11891" s="9" t="s">
        <v>24327</v>
      </c>
      <c r="J11891" s="10" t="str">
        <f>HYPERLINK("https://www.boe.es/gazeta/dias/1834/10/16/pdfs/GMD-C-1834-244.pdf#page=1","Abrir facsímil")</f>
        <v>Abrir facsímil</v>
      </c>
      <c r="K11891" s="10" t="s">
        <v>24</v>
      </c>
    </row>
    <row r="11892" spans="1:11" ht="54" customHeight="1">
      <c r="A11892" s="9" t="s">
        <v>24325</v>
      </c>
      <c r="B11892" s="9" t="s">
        <v>24325</v>
      </c>
      <c r="C11892" s="9" t="s">
        <v>17</v>
      </c>
      <c r="D11892" s="9" t="s">
        <v>18</v>
      </c>
      <c r="E11892" s="10" t="s">
        <v>454</v>
      </c>
      <c r="F11892" s="9" t="s">
        <v>455</v>
      </c>
      <c r="G11892" s="10" t="s">
        <v>86</v>
      </c>
      <c r="H11892" s="9" t="s">
        <v>22</v>
      </c>
      <c r="I11892" s="9" t="s">
        <v>24328</v>
      </c>
      <c r="J11892" s="10" t="str">
        <f>HYPERLINK("https://www.boe.es/gazeta/dias/1834/10/16/pdfs/GMD-C-1834-244.pdf#page=2","Abrir facsímil")</f>
        <v>Abrir facsímil</v>
      </c>
      <c r="K11892" s="10" t="s">
        <v>24</v>
      </c>
    </row>
    <row r="11893" spans="1:11" ht="54" customHeight="1">
      <c r="A11893" s="9" t="s">
        <v>24325</v>
      </c>
      <c r="B11893" s="9" t="s">
        <v>24325</v>
      </c>
      <c r="C11893" s="9" t="s">
        <v>90</v>
      </c>
      <c r="D11893" s="9" t="s">
        <v>18</v>
      </c>
      <c r="E11893" s="10" t="s">
        <v>265</v>
      </c>
      <c r="F11893" s="9" t="s">
        <v>266</v>
      </c>
      <c r="G11893" s="10" t="s">
        <v>34</v>
      </c>
      <c r="H11893" s="9" t="s">
        <v>22</v>
      </c>
      <c r="I11893" s="9" t="s">
        <v>24329</v>
      </c>
      <c r="J11893" s="10" t="str">
        <f>HYPERLINK("https://www.boe.es/gazeta/dias/1834/11/19/pdfs/GMD-C-1834-278.pdf#page=1","Abrir facsímil")</f>
        <v>Abrir facsímil</v>
      </c>
      <c r="K11893" s="10" t="s">
        <v>24</v>
      </c>
    </row>
    <row r="11894" spans="1:11" ht="54" customHeight="1">
      <c r="A11894" s="9" t="s">
        <v>24330</v>
      </c>
      <c r="B11894" s="9" t="s">
        <v>24331</v>
      </c>
      <c r="C11894" s="9" t="s">
        <v>90</v>
      </c>
      <c r="D11894" s="9" t="s">
        <v>18</v>
      </c>
      <c r="E11894" s="10" t="s">
        <v>552</v>
      </c>
      <c r="F11894" s="9" t="s">
        <v>1478</v>
      </c>
      <c r="G11894" s="10" t="s">
        <v>34</v>
      </c>
      <c r="H11894" s="9" t="s">
        <v>35</v>
      </c>
      <c r="I11894" s="9" t="s">
        <v>24332</v>
      </c>
      <c r="J11894" s="10" t="str">
        <f>HYPERLINK("https://www.boe.es/gazeta/dias/1834/07/30/pdfs/GMD-C-1834-163.pdf#page=1","Abrir facsímil")</f>
        <v>Abrir facsímil</v>
      </c>
      <c r="K11894" s="10" t="s">
        <v>37</v>
      </c>
    </row>
    <row r="11895" spans="1:11" ht="54" customHeight="1">
      <c r="A11895" s="9" t="s">
        <v>24333</v>
      </c>
      <c r="B11895" s="9" t="s">
        <v>24334</v>
      </c>
      <c r="C11895" s="9" t="s">
        <v>90</v>
      </c>
      <c r="D11895" s="9" t="s">
        <v>18</v>
      </c>
      <c r="E11895" s="10" t="s">
        <v>552</v>
      </c>
      <c r="F11895" s="9" t="s">
        <v>1478</v>
      </c>
      <c r="G11895" s="10" t="s">
        <v>34</v>
      </c>
      <c r="H11895" s="9" t="s">
        <v>22</v>
      </c>
      <c r="I11895" s="9" t="s">
        <v>24335</v>
      </c>
      <c r="J11895" s="10" t="str">
        <f>HYPERLINK("https://www.boe.es/gazeta/dias/1834/07/30/pdfs/GMD-C-1834-163.pdf#page=1","Abrir facsímil")</f>
        <v>Abrir facsímil</v>
      </c>
      <c r="K11895" s="10" t="s">
        <v>24</v>
      </c>
    </row>
    <row r="11896" spans="1:11" ht="54" customHeight="1">
      <c r="A11896" s="9" t="s">
        <v>24336</v>
      </c>
      <c r="B11896" s="9" t="s">
        <v>24336</v>
      </c>
      <c r="C11896" s="9" t="s">
        <v>17</v>
      </c>
      <c r="D11896" s="9" t="s">
        <v>18</v>
      </c>
      <c r="E11896" s="10" t="s">
        <v>1226</v>
      </c>
      <c r="F11896" s="9" t="s">
        <v>1227</v>
      </c>
      <c r="G11896" s="10" t="s">
        <v>86</v>
      </c>
      <c r="H11896" s="9" t="s">
        <v>22</v>
      </c>
      <c r="I11896" s="9" t="s">
        <v>24337</v>
      </c>
      <c r="J11896" s="10" t="str">
        <f>HYPERLINK("https://www.boe.es/gazeta/dias/1834/07/14/pdfs/GMD-1834-147.pdf#page=2","Abrir facsímil")</f>
        <v>Abrir facsímil</v>
      </c>
      <c r="K11896" s="10" t="s">
        <v>24</v>
      </c>
    </row>
    <row r="11897" spans="1:11" ht="54" customHeight="1">
      <c r="A11897" s="9" t="s">
        <v>24338</v>
      </c>
      <c r="B11897" s="9" t="s">
        <v>24338</v>
      </c>
      <c r="C11897" s="9" t="s">
        <v>90</v>
      </c>
      <c r="D11897" s="9" t="s">
        <v>18</v>
      </c>
      <c r="E11897" s="10" t="s">
        <v>813</v>
      </c>
      <c r="F11897" s="9" t="s">
        <v>814</v>
      </c>
      <c r="G11897" s="10" t="s">
        <v>34</v>
      </c>
      <c r="H11897" s="9" t="s">
        <v>22</v>
      </c>
      <c r="I11897" s="9" t="s">
        <v>24339</v>
      </c>
      <c r="J11897" s="10" t="str">
        <f>HYPERLINK("https://www.boe.es/gazeta/dias/1834/08/08/pdfs/GMD-1834-173.pdf#page=1","Abrir facsímil")</f>
        <v>Abrir facsímil</v>
      </c>
      <c r="K11897" s="10" t="s">
        <v>24</v>
      </c>
    </row>
    <row r="11898" spans="1:11" ht="54" customHeight="1">
      <c r="A11898" s="9" t="s">
        <v>24340</v>
      </c>
      <c r="B11898" s="9" t="s">
        <v>24340</v>
      </c>
      <c r="C11898" s="9" t="s">
        <v>46</v>
      </c>
      <c r="D11898" s="9" t="s">
        <v>18</v>
      </c>
      <c r="E11898" s="10" t="s">
        <v>163</v>
      </c>
      <c r="F11898" s="9" t="s">
        <v>164</v>
      </c>
      <c r="G11898" s="10" t="s">
        <v>86</v>
      </c>
      <c r="H11898" s="9" t="s">
        <v>22</v>
      </c>
      <c r="I11898" s="9" t="s">
        <v>24341</v>
      </c>
      <c r="J11898" s="10" t="str">
        <f>HYPERLINK("https://www.boe.es/gazeta/dias/1834/08/09/pdfs/GMD-1834-174.pdf#page=2","Abrir facsímil")</f>
        <v>Abrir facsímil</v>
      </c>
      <c r="K11898" s="10" t="s">
        <v>24</v>
      </c>
    </row>
    <row r="11899" spans="1:11" ht="54" customHeight="1">
      <c r="A11899" s="9" t="s">
        <v>24340</v>
      </c>
      <c r="B11899" s="9" t="s">
        <v>24340</v>
      </c>
      <c r="C11899" s="9" t="s">
        <v>17</v>
      </c>
      <c r="D11899" s="9" t="s">
        <v>18</v>
      </c>
      <c r="E11899" s="10" t="s">
        <v>601</v>
      </c>
      <c r="F11899" s="9" t="s">
        <v>602</v>
      </c>
      <c r="G11899" s="10" t="s">
        <v>86</v>
      </c>
      <c r="H11899" s="9" t="s">
        <v>22</v>
      </c>
      <c r="I11899" s="9" t="s">
        <v>24342</v>
      </c>
      <c r="J11899" s="10" t="str">
        <f>HYPERLINK("https://www.boe.es/gazeta/dias/1834/08/16/pdfs/GMD-1834-181.pdf#page=2","Abrir facsímil")</f>
        <v>Abrir facsímil</v>
      </c>
      <c r="K11899" s="10" t="s">
        <v>24</v>
      </c>
    </row>
    <row r="11900" spans="1:11" ht="54" customHeight="1">
      <c r="A11900" s="9" t="s">
        <v>24343</v>
      </c>
      <c r="B11900" s="9" t="s">
        <v>24344</v>
      </c>
      <c r="C11900" s="9" t="s">
        <v>66</v>
      </c>
      <c r="D11900" s="9" t="s">
        <v>67</v>
      </c>
      <c r="E11900" s="10" t="s">
        <v>758</v>
      </c>
      <c r="F11900" s="9" t="s">
        <v>759</v>
      </c>
      <c r="G11900" s="10" t="s">
        <v>21</v>
      </c>
      <c r="H11900" s="9" t="s">
        <v>35</v>
      </c>
      <c r="I11900" s="9" t="s">
        <v>24345</v>
      </c>
      <c r="J11900" s="10" t="str">
        <f>HYPERLINK("https://www.boe.es/gazeta/dias/1834/01/04/pdfs/GMD-1834-3.pdf#page=3","Abrir facsímil")</f>
        <v>Abrir facsímil</v>
      </c>
      <c r="K11900" s="10" t="s">
        <v>37</v>
      </c>
    </row>
    <row r="11901" spans="1:11" ht="54" customHeight="1">
      <c r="A11901" s="9" t="s">
        <v>24346</v>
      </c>
      <c r="B11901" s="9" t="s">
        <v>24347</v>
      </c>
      <c r="C11901" s="9" t="s">
        <v>66</v>
      </c>
      <c r="D11901" s="9" t="s">
        <v>67</v>
      </c>
      <c r="E11901" s="10" t="s">
        <v>758</v>
      </c>
      <c r="F11901" s="9" t="s">
        <v>759</v>
      </c>
      <c r="G11901" s="10" t="s">
        <v>21</v>
      </c>
      <c r="H11901" s="9" t="s">
        <v>35</v>
      </c>
      <c r="I11901" s="9" t="s">
        <v>24348</v>
      </c>
      <c r="J11901" s="10" t="str">
        <f>HYPERLINK("https://www.boe.es/gazeta/dias/1834/01/04/pdfs/GMD-1834-3.pdf#page=3","Abrir facsímil")</f>
        <v>Abrir facsímil</v>
      </c>
      <c r="K11901" s="10" t="s">
        <v>37</v>
      </c>
    </row>
    <row r="11902" spans="1:11" ht="54" customHeight="1">
      <c r="A11902" s="9" t="s">
        <v>24349</v>
      </c>
      <c r="B11902" s="9" t="s">
        <v>24350</v>
      </c>
      <c r="C11902" s="9" t="s">
        <v>66</v>
      </c>
      <c r="D11902" s="9" t="s">
        <v>67</v>
      </c>
      <c r="E11902" s="10" t="s">
        <v>299</v>
      </c>
      <c r="F11902" s="9" t="s">
        <v>300</v>
      </c>
      <c r="G11902" s="10" t="s">
        <v>75</v>
      </c>
      <c r="H11902" s="9" t="s">
        <v>22</v>
      </c>
      <c r="I11902" s="9" t="s">
        <v>24351</v>
      </c>
      <c r="J11902" s="10" t="str">
        <f>HYPERLINK("https://www.boe.es/gazeta/dias/1834/12/12/pdfs/GMD-1834-301.pdf#page=4","Abrir facsímil")</f>
        <v>Abrir facsímil</v>
      </c>
      <c r="K11902" s="10" t="s">
        <v>24</v>
      </c>
    </row>
    <row r="11903" spans="1:11" ht="54" customHeight="1">
      <c r="A11903" s="9" t="s">
        <v>24352</v>
      </c>
      <c r="B11903" s="9" t="s">
        <v>24353</v>
      </c>
      <c r="C11903" s="9" t="s">
        <v>46</v>
      </c>
      <c r="D11903" s="9" t="s">
        <v>18</v>
      </c>
      <c r="E11903" s="10" t="s">
        <v>492</v>
      </c>
      <c r="F11903" s="9" t="s">
        <v>493</v>
      </c>
      <c r="G11903" s="10" t="s">
        <v>86</v>
      </c>
      <c r="H11903" s="9" t="s">
        <v>22</v>
      </c>
      <c r="I11903" s="9" t="s">
        <v>24354</v>
      </c>
      <c r="J11903" s="10" t="str">
        <f>HYPERLINK("https://www.boe.es/gazeta/dias/1834/11/21/pdfs/GMD-C-1834-280.pdf#page=2","Abrir facsímil")</f>
        <v>Abrir facsímil</v>
      </c>
      <c r="K11903" s="10" t="s">
        <v>24</v>
      </c>
    </row>
    <row r="11904" spans="1:11" ht="54" customHeight="1">
      <c r="A11904" s="9" t="s">
        <v>24355</v>
      </c>
      <c r="B11904" s="9" t="s">
        <v>24356</v>
      </c>
      <c r="C11904" s="9" t="s">
        <v>17</v>
      </c>
      <c r="D11904" s="9" t="s">
        <v>18</v>
      </c>
      <c r="E11904" s="10" t="s">
        <v>518</v>
      </c>
      <c r="F11904" s="9" t="s">
        <v>519</v>
      </c>
      <c r="G11904" s="10" t="s">
        <v>75</v>
      </c>
      <c r="H11904" s="9" t="s">
        <v>22</v>
      </c>
      <c r="I11904" s="9" t="s">
        <v>24357</v>
      </c>
      <c r="J11904" s="10" t="str">
        <f>HYPERLINK("https://www.boe.es/gazeta/dias/1834/03/15/pdfs/GMD-1834-33.pdf#page=4","Abrir facsímil")</f>
        <v>Abrir facsímil</v>
      </c>
      <c r="K11904" s="10" t="s">
        <v>24</v>
      </c>
    </row>
    <row r="11905" spans="1:11" ht="54" customHeight="1">
      <c r="A11905" s="9" t="s">
        <v>24358</v>
      </c>
      <c r="B11905" s="9" t="s">
        <v>24359</v>
      </c>
      <c r="C11905" s="9" t="s">
        <v>66</v>
      </c>
      <c r="D11905" s="9" t="s">
        <v>55</v>
      </c>
      <c r="E11905" s="10" t="s">
        <v>1234</v>
      </c>
      <c r="F11905" s="9" t="s">
        <v>1235</v>
      </c>
      <c r="G11905" s="10" t="s">
        <v>34</v>
      </c>
      <c r="H11905" s="9" t="s">
        <v>35</v>
      </c>
      <c r="I11905" s="9" t="s">
        <v>24360</v>
      </c>
      <c r="J11905" s="10" t="str">
        <f>HYPERLINK("https://www.boe.es/gazeta/dias/1834/05/15/pdfs/GMD-C-1834-84.pdf#page=1","Abrir facsímil")</f>
        <v>Abrir facsímil</v>
      </c>
      <c r="K11905" s="10" t="s">
        <v>37</v>
      </c>
    </row>
    <row r="11906" spans="1:11" ht="54" customHeight="1">
      <c r="A11906" s="9" t="s">
        <v>24361</v>
      </c>
      <c r="B11906" s="9" t="s">
        <v>24362</v>
      </c>
      <c r="C11906" s="9" t="s">
        <v>66</v>
      </c>
      <c r="D11906" s="9" t="s">
        <v>55</v>
      </c>
      <c r="E11906" s="10" t="s">
        <v>1234</v>
      </c>
      <c r="F11906" s="9" t="s">
        <v>1235</v>
      </c>
      <c r="G11906" s="10" t="s">
        <v>34</v>
      </c>
      <c r="H11906" s="9" t="s">
        <v>22</v>
      </c>
      <c r="I11906" s="9" t="s">
        <v>24360</v>
      </c>
      <c r="J11906" s="10" t="str">
        <f>HYPERLINK("https://www.boe.es/gazeta/dias/1834/05/15/pdfs/GMD-C-1834-84.pdf#page=1","Abrir facsímil")</f>
        <v>Abrir facsímil</v>
      </c>
      <c r="K11906" s="10" t="s">
        <v>24</v>
      </c>
    </row>
    <row r="11907" spans="1:11" ht="54" customHeight="1">
      <c r="A11907" s="9" t="s">
        <v>24363</v>
      </c>
      <c r="B11907" s="9" t="s">
        <v>24363</v>
      </c>
      <c r="C11907" s="9" t="s">
        <v>122</v>
      </c>
      <c r="D11907" s="9" t="s">
        <v>101</v>
      </c>
      <c r="E11907" s="10" t="s">
        <v>5904</v>
      </c>
      <c r="F11907" s="9" t="s">
        <v>5905</v>
      </c>
      <c r="G11907" s="10" t="s">
        <v>86</v>
      </c>
      <c r="H11907" s="9" t="s">
        <v>22</v>
      </c>
      <c r="I11907" s="9" t="s">
        <v>24364</v>
      </c>
      <c r="J11907" s="10" t="str">
        <f>HYPERLINK("https://www.boe.es/gazeta/dias/1834/09/29/pdfs/GMD-1834-227.pdf#page=2","Abrir facsímil")</f>
        <v>Abrir facsímil</v>
      </c>
      <c r="K11907" s="10" t="s">
        <v>24</v>
      </c>
    </row>
    <row r="11908" spans="1:11" ht="54" customHeight="1">
      <c r="A11908" s="9" t="s">
        <v>24365</v>
      </c>
      <c r="B11908" s="9" t="s">
        <v>24365</v>
      </c>
      <c r="C11908" s="9" t="s">
        <v>17</v>
      </c>
      <c r="D11908" s="9" t="s">
        <v>18</v>
      </c>
      <c r="E11908" s="10" t="s">
        <v>1708</v>
      </c>
      <c r="F11908" s="9" t="s">
        <v>1709</v>
      </c>
      <c r="G11908" s="10" t="s">
        <v>86</v>
      </c>
      <c r="H11908" s="9" t="s">
        <v>22</v>
      </c>
      <c r="I11908" s="9" t="s">
        <v>24366</v>
      </c>
      <c r="J11908" s="10" t="str">
        <f>HYPERLINK("https://www.boe.es/gazeta/dias/1834/04/12/pdfs/GMD-1834-51.pdf#page=2","Abrir facsímil")</f>
        <v>Abrir facsímil</v>
      </c>
      <c r="K11908" s="10" t="s">
        <v>24</v>
      </c>
    </row>
    <row r="11909" spans="1:11" ht="54" customHeight="1">
      <c r="A11909" s="9" t="s">
        <v>24367</v>
      </c>
      <c r="B11909" s="9" t="s">
        <v>24368</v>
      </c>
      <c r="C11909" s="9" t="s">
        <v>17</v>
      </c>
      <c r="D11909" s="9" t="s">
        <v>18</v>
      </c>
      <c r="E11909" s="10" t="s">
        <v>251</v>
      </c>
      <c r="F11909" s="9" t="s">
        <v>252</v>
      </c>
      <c r="G11909" s="10" t="s">
        <v>75</v>
      </c>
      <c r="H11909" s="9" t="s">
        <v>22</v>
      </c>
      <c r="I11909" s="9" t="s">
        <v>24369</v>
      </c>
      <c r="J11909" s="10" t="str">
        <f>HYPERLINK("https://www.boe.es/gazeta/dias/1834/09/26/pdfs/GMD-C-1834-224.pdf#page=4","Abrir facsímil")</f>
        <v>Abrir facsímil</v>
      </c>
      <c r="K11909" s="10" t="s">
        <v>24</v>
      </c>
    </row>
    <row r="11910" spans="1:11" ht="54" customHeight="1">
      <c r="A11910" s="9" t="s">
        <v>24370</v>
      </c>
      <c r="B11910" s="9" t="s">
        <v>24371</v>
      </c>
      <c r="C11910" s="9" t="s">
        <v>66</v>
      </c>
      <c r="D11910" s="9" t="s">
        <v>67</v>
      </c>
      <c r="E11910" s="10" t="s">
        <v>153</v>
      </c>
      <c r="F11910" s="9" t="s">
        <v>154</v>
      </c>
      <c r="G11910" s="10" t="s">
        <v>86</v>
      </c>
      <c r="H11910" s="9" t="s">
        <v>22</v>
      </c>
      <c r="I11910" s="9" t="s">
        <v>24372</v>
      </c>
      <c r="J11910" s="10" t="str">
        <f>HYPERLINK("https://www.boe.es/gazeta/dias/1834/12/30/pdfs/GMD-C-1834-320.pdf#page=2","Abrir facsímil")</f>
        <v>Abrir facsímil</v>
      </c>
      <c r="K11910" s="10" t="s">
        <v>24</v>
      </c>
    </row>
    <row r="11911" spans="1:11" ht="54" customHeight="1">
      <c r="A11911" s="9" t="s">
        <v>24373</v>
      </c>
      <c r="B11911" s="9" t="s">
        <v>24374</v>
      </c>
      <c r="C11911" s="9" t="s">
        <v>66</v>
      </c>
      <c r="D11911" s="9" t="s">
        <v>67</v>
      </c>
      <c r="E11911" s="10" t="s">
        <v>2860</v>
      </c>
      <c r="F11911" s="9" t="s">
        <v>2861</v>
      </c>
      <c r="G11911" s="10" t="s">
        <v>21</v>
      </c>
      <c r="H11911" s="9" t="s">
        <v>22</v>
      </c>
      <c r="I11911" s="9" t="s">
        <v>24375</v>
      </c>
      <c r="J11911" s="10" t="str">
        <f>HYPERLINK("https://www.boe.es/gazeta/dias/1834/07/20/pdfs/GMD-1834-153.pdf#page=3","Abrir facsímil")</f>
        <v>Abrir facsímil</v>
      </c>
      <c r="K11911" s="10" t="s">
        <v>24</v>
      </c>
    </row>
    <row r="11912" spans="1:11" ht="54" customHeight="1">
      <c r="A11912" s="9" t="s">
        <v>24376</v>
      </c>
      <c r="B11912" s="9" t="s">
        <v>24377</v>
      </c>
      <c r="C11912" s="9" t="s">
        <v>17</v>
      </c>
      <c r="D11912" s="9" t="s">
        <v>18</v>
      </c>
      <c r="E11912" s="10" t="s">
        <v>2302</v>
      </c>
      <c r="F11912" s="9" t="s">
        <v>2303</v>
      </c>
      <c r="G11912" s="10" t="s">
        <v>34</v>
      </c>
      <c r="H11912" s="9" t="s">
        <v>22</v>
      </c>
      <c r="I11912" s="9" t="s">
        <v>24378</v>
      </c>
      <c r="J11912" s="10" t="str">
        <f>HYPERLINK("https://www.boe.es/gazeta/dias/1834/01/25/pdfs/GMD-1834-12.pdf#page=1","Abrir facsímil")</f>
        <v>Abrir facsímil</v>
      </c>
      <c r="K11912" s="10" t="s">
        <v>24</v>
      </c>
    </row>
    <row r="11913" spans="1:11" ht="54" customHeight="1">
      <c r="A11913" s="9" t="s">
        <v>24379</v>
      </c>
      <c r="B11913" s="9" t="s">
        <v>24380</v>
      </c>
      <c r="C11913" s="9" t="s">
        <v>66</v>
      </c>
      <c r="D11913" s="9" t="s">
        <v>67</v>
      </c>
      <c r="E11913" s="10" t="s">
        <v>448</v>
      </c>
      <c r="F11913" s="9" t="s">
        <v>449</v>
      </c>
      <c r="G11913" s="10" t="s">
        <v>86</v>
      </c>
      <c r="H11913" s="9" t="s">
        <v>22</v>
      </c>
      <c r="I11913" s="9" t="s">
        <v>24381</v>
      </c>
      <c r="J11913" s="10" t="str">
        <f>HYPERLINK("https://www.boe.es/gazeta/dias/1834/10/14/pdfs/GMD-C-1834-242.pdf#page=2","Abrir facsímil")</f>
        <v>Abrir facsímil</v>
      </c>
      <c r="K11913" s="10" t="s">
        <v>24</v>
      </c>
    </row>
    <row r="11914" spans="1:11" ht="54" customHeight="1">
      <c r="A11914" s="9" t="s">
        <v>24382</v>
      </c>
      <c r="B11914" s="9" t="s">
        <v>24383</v>
      </c>
      <c r="C11914" s="9" t="s">
        <v>90</v>
      </c>
      <c r="D11914" s="9" t="s">
        <v>18</v>
      </c>
      <c r="E11914" s="10" t="s">
        <v>647</v>
      </c>
      <c r="F11914" s="9" t="s">
        <v>648</v>
      </c>
      <c r="G11914" s="10" t="s">
        <v>86</v>
      </c>
      <c r="H11914" s="9" t="s">
        <v>22</v>
      </c>
      <c r="I11914" s="9" t="s">
        <v>24384</v>
      </c>
      <c r="J11914" s="10" t="str">
        <f>HYPERLINK("https://www.boe.es/gazeta/dias/1834/10/21/pdfs/GMD-C-1834-249.pdf#page=2","Abrir facsímil")</f>
        <v>Abrir facsímil</v>
      </c>
      <c r="K11914" s="10" t="s">
        <v>24</v>
      </c>
    </row>
    <row r="11915" spans="1:11" ht="54" customHeight="1">
      <c r="A11915" s="9" t="s">
        <v>24385</v>
      </c>
      <c r="B11915" s="9" t="s">
        <v>24386</v>
      </c>
      <c r="C11915" s="9" t="s">
        <v>90</v>
      </c>
      <c r="D11915" s="9" t="s">
        <v>101</v>
      </c>
      <c r="E11915" s="10" t="s">
        <v>153</v>
      </c>
      <c r="F11915" s="9" t="s">
        <v>154</v>
      </c>
      <c r="G11915" s="10" t="s">
        <v>34</v>
      </c>
      <c r="H11915" s="9" t="s">
        <v>22</v>
      </c>
      <c r="I11915" s="9" t="s">
        <v>24387</v>
      </c>
      <c r="J11915" s="10" t="str">
        <f>HYPERLINK("https://www.boe.es/gazeta/dias/1834/12/30/pdfs/GMD-C-1834-320.pdf#page=1","Abrir facsímil")</f>
        <v>Abrir facsímil</v>
      </c>
      <c r="K11915" s="10" t="s">
        <v>24</v>
      </c>
    </row>
    <row r="11916" spans="1:11" ht="54" customHeight="1">
      <c r="A11916" s="9" t="s">
        <v>24388</v>
      </c>
      <c r="B11916" s="9" t="s">
        <v>24389</v>
      </c>
      <c r="C11916" s="9" t="s">
        <v>17</v>
      </c>
      <c r="D11916" s="9" t="s">
        <v>18</v>
      </c>
      <c r="E11916" s="10" t="s">
        <v>448</v>
      </c>
      <c r="F11916" s="9" t="s">
        <v>449</v>
      </c>
      <c r="G11916" s="10" t="s">
        <v>86</v>
      </c>
      <c r="H11916" s="9" t="s">
        <v>22</v>
      </c>
      <c r="I11916" s="9" t="s">
        <v>24390</v>
      </c>
      <c r="J11916" s="10" t="str">
        <f>HYPERLINK("https://www.boe.es/gazeta/dias/1834/10/14/pdfs/GMD-C-1834-242.pdf#page=2","Abrir facsímil")</f>
        <v>Abrir facsímil</v>
      </c>
      <c r="K11916" s="10" t="s">
        <v>24</v>
      </c>
    </row>
    <row r="11917" spans="1:11" ht="54" customHeight="1">
      <c r="A11917" s="9" t="s">
        <v>24391</v>
      </c>
      <c r="B11917" s="9" t="s">
        <v>24391</v>
      </c>
      <c r="C11917" s="9" t="s">
        <v>122</v>
      </c>
      <c r="D11917" s="9" t="s">
        <v>55</v>
      </c>
      <c r="E11917" s="10" t="s">
        <v>79</v>
      </c>
      <c r="F11917" s="9" t="s">
        <v>80</v>
      </c>
      <c r="G11917" s="10" t="s">
        <v>86</v>
      </c>
      <c r="H11917" s="9" t="s">
        <v>22</v>
      </c>
      <c r="I11917" s="9" t="s">
        <v>24392</v>
      </c>
      <c r="J11917" s="10" t="str">
        <f>HYPERLINK("https://www.boe.es/gazeta/dias/1834/07/12/pdfs/GMD-1834-145.pdf#page=2","Abrir facsímil")</f>
        <v>Abrir facsímil</v>
      </c>
      <c r="K11917" s="10" t="s">
        <v>24</v>
      </c>
    </row>
    <row r="11918" spans="1:11" ht="54" customHeight="1">
      <c r="A11918" s="9" t="s">
        <v>24393</v>
      </c>
      <c r="B11918" s="9" t="s">
        <v>24393</v>
      </c>
      <c r="C11918" s="9" t="s">
        <v>17</v>
      </c>
      <c r="D11918" s="9" t="s">
        <v>18</v>
      </c>
      <c r="E11918" s="10" t="s">
        <v>2212</v>
      </c>
      <c r="F11918" s="9" t="s">
        <v>2213</v>
      </c>
      <c r="G11918" s="10" t="s">
        <v>86</v>
      </c>
      <c r="H11918" s="9" t="s">
        <v>22</v>
      </c>
      <c r="I11918" s="9" t="s">
        <v>24394</v>
      </c>
      <c r="J11918" s="10" t="str">
        <f>HYPERLINK("https://www.boe.es/gazeta/dias/1834/08/04/pdfs/GMD-C-1834-168.pdf#page=2","Abrir facsímil")</f>
        <v>Abrir facsímil</v>
      </c>
      <c r="K11918" s="10" t="s">
        <v>24</v>
      </c>
    </row>
    <row r="11919" spans="1:11" ht="54" customHeight="1">
      <c r="A11919" s="9" t="s">
        <v>24395</v>
      </c>
      <c r="B11919" s="9" t="s">
        <v>24395</v>
      </c>
      <c r="C11919" s="9" t="s">
        <v>90</v>
      </c>
      <c r="D11919" s="9" t="s">
        <v>18</v>
      </c>
      <c r="E11919" s="10" t="s">
        <v>905</v>
      </c>
      <c r="F11919" s="9" t="s">
        <v>906</v>
      </c>
      <c r="G11919" s="10" t="s">
        <v>34</v>
      </c>
      <c r="H11919" s="9" t="s">
        <v>22</v>
      </c>
      <c r="I11919" s="9" t="s">
        <v>24396</v>
      </c>
      <c r="J11919" s="10" t="str">
        <f>HYPERLINK("https://www.boe.es/gazeta/dias/1834/08/02/pdfs/GMD-C-1834-166.pdf#page=1","Abrir facsímil")</f>
        <v>Abrir facsímil</v>
      </c>
      <c r="K11919" s="10" t="s">
        <v>24</v>
      </c>
    </row>
    <row r="11920" spans="1:11" ht="54" customHeight="1">
      <c r="A11920" s="9" t="s">
        <v>24395</v>
      </c>
      <c r="B11920" s="9" t="s">
        <v>24395</v>
      </c>
      <c r="C11920" s="9" t="s">
        <v>17</v>
      </c>
      <c r="D11920" s="9" t="s">
        <v>18</v>
      </c>
      <c r="E11920" s="10" t="s">
        <v>2260</v>
      </c>
      <c r="F11920" s="9" t="s">
        <v>2263</v>
      </c>
      <c r="G11920" s="10" t="s">
        <v>86</v>
      </c>
      <c r="H11920" s="9" t="s">
        <v>22</v>
      </c>
      <c r="I11920" s="9" t="s">
        <v>24397</v>
      </c>
      <c r="J11920" s="10" t="str">
        <f>HYPERLINK("https://www.boe.es/gazeta/dias/1834/11/13/pdfs/GMD-C-1834-272.pdf#page=2","Abrir facsímil")</f>
        <v>Abrir facsímil</v>
      </c>
      <c r="K11920" s="10" t="s">
        <v>24</v>
      </c>
    </row>
    <row r="11921" spans="1:11" ht="54" customHeight="1">
      <c r="A11921" s="9" t="s">
        <v>24395</v>
      </c>
      <c r="B11921" s="9" t="s">
        <v>24395</v>
      </c>
      <c r="C11921" s="9" t="s">
        <v>46</v>
      </c>
      <c r="D11921" s="9" t="s">
        <v>101</v>
      </c>
      <c r="E11921" s="10" t="s">
        <v>448</v>
      </c>
      <c r="F11921" s="9" t="s">
        <v>449</v>
      </c>
      <c r="G11921" s="10" t="s">
        <v>86</v>
      </c>
      <c r="H11921" s="9" t="s">
        <v>22</v>
      </c>
      <c r="I11921" s="9" t="s">
        <v>24398</v>
      </c>
      <c r="J11921" s="10" t="str">
        <f>HYPERLINK("https://www.boe.es/gazeta/dias/1834/10/14/pdfs/GMD-C-1834-242.pdf#page=2","Abrir facsímil")</f>
        <v>Abrir facsímil</v>
      </c>
      <c r="K11921" s="10" t="s">
        <v>24</v>
      </c>
    </row>
    <row r="11922" spans="1:11" ht="54" customHeight="1">
      <c r="A11922" s="9" t="s">
        <v>24395</v>
      </c>
      <c r="B11922" s="9" t="s">
        <v>24395</v>
      </c>
      <c r="C11922" s="9" t="s">
        <v>17</v>
      </c>
      <c r="D11922" s="9" t="s">
        <v>18</v>
      </c>
      <c r="E11922" s="10" t="s">
        <v>237</v>
      </c>
      <c r="F11922" s="9" t="s">
        <v>238</v>
      </c>
      <c r="G11922" s="10" t="s">
        <v>75</v>
      </c>
      <c r="H11922" s="9" t="s">
        <v>22</v>
      </c>
      <c r="I11922" s="9" t="s">
        <v>24399</v>
      </c>
      <c r="J11922" s="10" t="str">
        <f>HYPERLINK("https://www.boe.es/gazeta/dias/1834/08/15/pdfs/GMD-C-1834-180.pdf#page=4","Abrir facsímil")</f>
        <v>Abrir facsímil</v>
      </c>
      <c r="K11922" s="10" t="s">
        <v>24</v>
      </c>
    </row>
    <row r="11923" spans="1:11" ht="54" customHeight="1">
      <c r="A11923" s="9" t="s">
        <v>24395</v>
      </c>
      <c r="B11923" s="9" t="s">
        <v>24395</v>
      </c>
      <c r="C11923" s="9" t="s">
        <v>17</v>
      </c>
      <c r="D11923" s="9" t="s">
        <v>18</v>
      </c>
      <c r="E11923" s="10" t="s">
        <v>262</v>
      </c>
      <c r="F11923" s="9" t="s">
        <v>263</v>
      </c>
      <c r="G11923" s="10" t="s">
        <v>86</v>
      </c>
      <c r="H11923" s="9" t="s">
        <v>22</v>
      </c>
      <c r="I11923" s="9" t="s">
        <v>24400</v>
      </c>
      <c r="J11923" s="10" t="str">
        <f>HYPERLINK("https://www.boe.es/gazeta/dias/1834/10/18/pdfs/GMD-C-1834-246.pdf#page=2","Abrir facsímil")</f>
        <v>Abrir facsímil</v>
      </c>
      <c r="K11923" s="10" t="s">
        <v>24</v>
      </c>
    </row>
    <row r="11924" spans="1:11" ht="54" customHeight="1">
      <c r="A11924" s="9" t="s">
        <v>24395</v>
      </c>
      <c r="B11924" s="9" t="s">
        <v>24395</v>
      </c>
      <c r="C11924" s="9" t="s">
        <v>17</v>
      </c>
      <c r="D11924" s="9" t="s">
        <v>18</v>
      </c>
      <c r="E11924" s="10" t="s">
        <v>576</v>
      </c>
      <c r="F11924" s="9" t="s">
        <v>5888</v>
      </c>
      <c r="G11924" s="10" t="s">
        <v>34</v>
      </c>
      <c r="H11924" s="9" t="s">
        <v>22</v>
      </c>
      <c r="I11924" s="9" t="s">
        <v>24401</v>
      </c>
      <c r="J11924" s="10" t="str">
        <f>HYPERLINK("https://www.boe.es/gazeta/dias/1834/09/23/pdfs/GMD-C-1834-221.pdf#page=1","Abrir facsímil")</f>
        <v>Abrir facsímil</v>
      </c>
      <c r="K11924" s="10" t="s">
        <v>24</v>
      </c>
    </row>
    <row r="11925" spans="1:11" ht="54" customHeight="1">
      <c r="A11925" s="9" t="s">
        <v>24402</v>
      </c>
      <c r="B11925" s="9" t="s">
        <v>24403</v>
      </c>
      <c r="C11925" s="9" t="s">
        <v>66</v>
      </c>
      <c r="D11925" s="9" t="s">
        <v>67</v>
      </c>
      <c r="E11925" s="10" t="s">
        <v>299</v>
      </c>
      <c r="F11925" s="9" t="s">
        <v>300</v>
      </c>
      <c r="G11925" s="10" t="s">
        <v>75</v>
      </c>
      <c r="H11925" s="9" t="s">
        <v>22</v>
      </c>
      <c r="I11925" s="9" t="s">
        <v>24404</v>
      </c>
      <c r="J11925" s="10" t="str">
        <f>HYPERLINK("https://www.boe.es/gazeta/dias/1834/12/12/pdfs/GMD-1834-301.pdf#page=4","Abrir facsímil")</f>
        <v>Abrir facsímil</v>
      </c>
      <c r="K11925" s="10" t="s">
        <v>24</v>
      </c>
    </row>
    <row r="11926" spans="1:11" ht="54" customHeight="1">
      <c r="A11926" s="9" t="s">
        <v>24402</v>
      </c>
      <c r="B11926" s="9" t="s">
        <v>24403</v>
      </c>
      <c r="C11926" s="9" t="s">
        <v>17</v>
      </c>
      <c r="D11926" s="9" t="s">
        <v>18</v>
      </c>
      <c r="E11926" s="10" t="s">
        <v>91</v>
      </c>
      <c r="F11926" s="9" t="s">
        <v>92</v>
      </c>
      <c r="G11926" s="10" t="s">
        <v>75</v>
      </c>
      <c r="H11926" s="9" t="s">
        <v>22</v>
      </c>
      <c r="I11926" s="9" t="s">
        <v>24405</v>
      </c>
      <c r="J11926" s="10" t="str">
        <f>HYPERLINK("https://www.boe.es/gazeta/dias/1834/02/13/pdfs/GMD-1834-20.pdf#page=4","Abrir facsímil")</f>
        <v>Abrir facsímil</v>
      </c>
      <c r="K11926" s="10" t="s">
        <v>24</v>
      </c>
    </row>
    <row r="11927" spans="1:11" ht="54" customHeight="1">
      <c r="A11927" s="9" t="s">
        <v>24402</v>
      </c>
      <c r="B11927" s="9" t="s">
        <v>24403</v>
      </c>
      <c r="C11927" s="9" t="s">
        <v>17</v>
      </c>
      <c r="D11927" s="9" t="s">
        <v>40</v>
      </c>
      <c r="E11927" s="10" t="s">
        <v>343</v>
      </c>
      <c r="F11927" s="9" t="s">
        <v>344</v>
      </c>
      <c r="G11927" s="10" t="s">
        <v>21</v>
      </c>
      <c r="H11927" s="9" t="s">
        <v>22</v>
      </c>
      <c r="I11927" s="9" t="s">
        <v>24406</v>
      </c>
      <c r="J11927" s="10" t="str">
        <f>HYPERLINK("https://www.boe.es/gazeta/dias/1834/01/14/pdfs/GMD-1834-7.pdf#page=3","Abrir facsímil")</f>
        <v>Abrir facsímil</v>
      </c>
      <c r="K11927" s="10" t="s">
        <v>24</v>
      </c>
    </row>
    <row r="11928" spans="1:11" ht="54" customHeight="1">
      <c r="A11928" s="9" t="s">
        <v>24402</v>
      </c>
      <c r="B11928" s="9" t="s">
        <v>24403</v>
      </c>
      <c r="C11928" s="9" t="s">
        <v>17</v>
      </c>
      <c r="D11928" s="9" t="s">
        <v>18</v>
      </c>
      <c r="E11928" s="10" t="s">
        <v>1195</v>
      </c>
      <c r="F11928" s="9" t="s">
        <v>1916</v>
      </c>
      <c r="G11928" s="10" t="s">
        <v>21</v>
      </c>
      <c r="H11928" s="9" t="s">
        <v>22</v>
      </c>
      <c r="I11928" s="9" t="s">
        <v>24407</v>
      </c>
      <c r="J11928" s="10" t="str">
        <f>HYPERLINK("https://www.boe.es/gazeta/dias/1834/10/17/pdfs/GMD-1834-245.pdf#page=3","Abrir facsímil")</f>
        <v>Abrir facsímil</v>
      </c>
      <c r="K11928" s="10" t="s">
        <v>24</v>
      </c>
    </row>
    <row r="11929" spans="1:11" ht="54" customHeight="1">
      <c r="A11929" s="9" t="s">
        <v>24408</v>
      </c>
      <c r="B11929" s="9" t="s">
        <v>24409</v>
      </c>
      <c r="C11929" s="9" t="s">
        <v>17</v>
      </c>
      <c r="D11929" s="9" t="s">
        <v>18</v>
      </c>
      <c r="E11929" s="10" t="s">
        <v>719</v>
      </c>
      <c r="F11929" s="9" t="s">
        <v>720</v>
      </c>
      <c r="G11929" s="10" t="s">
        <v>21</v>
      </c>
      <c r="H11929" s="9" t="s">
        <v>22</v>
      </c>
      <c r="I11929" s="9" t="s">
        <v>24410</v>
      </c>
      <c r="J11929" s="10" t="str">
        <f>HYPERLINK("https://www.boe.es/gazeta/dias/1834/04/29/pdfs/GMD-1834-68.pdf#page=3","Abrir facsímil")</f>
        <v>Abrir facsímil</v>
      </c>
      <c r="K11929" s="10" t="s">
        <v>24</v>
      </c>
    </row>
    <row r="11930" spans="1:11" ht="54" customHeight="1">
      <c r="A11930" s="9" t="s">
        <v>24411</v>
      </c>
      <c r="B11930" s="9" t="s">
        <v>24411</v>
      </c>
      <c r="C11930" s="9" t="s">
        <v>17</v>
      </c>
      <c r="D11930" s="9" t="s">
        <v>18</v>
      </c>
      <c r="E11930" s="10" t="s">
        <v>13660</v>
      </c>
      <c r="F11930" s="9" t="s">
        <v>13661</v>
      </c>
      <c r="G11930" s="10" t="s">
        <v>34</v>
      </c>
      <c r="H11930" s="9" t="s">
        <v>22</v>
      </c>
      <c r="I11930" s="9" t="s">
        <v>24412</v>
      </c>
      <c r="J11930" s="10" t="str">
        <f>HYPERLINK("https://www.boe.es/gazeta/dias/1834/12/15/pdfs/GMD-1834-304.pdf#page=1","Abrir facsímil")</f>
        <v>Abrir facsímil</v>
      </c>
      <c r="K11930" s="10" t="s">
        <v>24</v>
      </c>
    </row>
    <row r="11931" spans="1:11" ht="54" customHeight="1">
      <c r="A11931" s="9" t="s">
        <v>24413</v>
      </c>
      <c r="B11931" s="9" t="s">
        <v>24413</v>
      </c>
      <c r="C11931" s="9" t="s">
        <v>17</v>
      </c>
      <c r="D11931" s="9" t="s">
        <v>18</v>
      </c>
      <c r="E11931" s="10" t="s">
        <v>891</v>
      </c>
      <c r="F11931" s="9" t="s">
        <v>892</v>
      </c>
      <c r="G11931" s="10" t="s">
        <v>28</v>
      </c>
      <c r="H11931" s="9" t="s">
        <v>22</v>
      </c>
      <c r="I11931" s="9" t="s">
        <v>24414</v>
      </c>
      <c r="J11931" s="10" t="str">
        <f>HYPERLINK("https://www.boe.es/gazeta/dias/1834/10/31/pdfs/GMD-C-1834-259.pdf#page=5","Abrir facsímil")</f>
        <v>Abrir facsímil</v>
      </c>
      <c r="K11931" s="10" t="s">
        <v>24</v>
      </c>
    </row>
    <row r="11932" spans="1:11" ht="54" customHeight="1">
      <c r="A11932" s="9" t="s">
        <v>24415</v>
      </c>
      <c r="B11932" s="9" t="s">
        <v>24415</v>
      </c>
      <c r="C11932" s="9" t="s">
        <v>17</v>
      </c>
      <c r="D11932" s="9" t="s">
        <v>18</v>
      </c>
      <c r="E11932" s="10" t="s">
        <v>454</v>
      </c>
      <c r="F11932" s="9" t="s">
        <v>455</v>
      </c>
      <c r="G11932" s="10" t="s">
        <v>34</v>
      </c>
      <c r="H11932" s="9" t="s">
        <v>22</v>
      </c>
      <c r="I11932" s="9" t="s">
        <v>24416</v>
      </c>
      <c r="J11932" s="10" t="str">
        <f>HYPERLINK("https://www.boe.es/gazeta/dias/1834/10/16/pdfs/GMD-C-1834-244.pdf#page=1","Abrir facsímil")</f>
        <v>Abrir facsímil</v>
      </c>
      <c r="K11932" s="10" t="s">
        <v>24</v>
      </c>
    </row>
    <row r="11933" spans="1:11" ht="54" customHeight="1">
      <c r="A11933" s="9" t="s">
        <v>24415</v>
      </c>
      <c r="B11933" s="9" t="s">
        <v>24415</v>
      </c>
      <c r="C11933" s="9" t="s">
        <v>122</v>
      </c>
      <c r="D11933" s="9" t="s">
        <v>18</v>
      </c>
      <c r="E11933" s="10" t="s">
        <v>19</v>
      </c>
      <c r="F11933" s="9" t="s">
        <v>20</v>
      </c>
      <c r="G11933" s="10" t="s">
        <v>21</v>
      </c>
      <c r="H11933" s="9" t="s">
        <v>22</v>
      </c>
      <c r="I11933" s="9" t="s">
        <v>24417</v>
      </c>
      <c r="J11933" s="10" t="str">
        <f>HYPERLINK("https://www.boe.es/gazeta/dias/1834/08/17/pdfs/GMD-D-1834-182.pdf#page=3","Abrir facsímil")</f>
        <v>Abrir facsímil</v>
      </c>
      <c r="K11933" s="10" t="s">
        <v>24</v>
      </c>
    </row>
    <row r="11934" spans="1:11" ht="54" customHeight="1">
      <c r="A11934" s="9" t="s">
        <v>24418</v>
      </c>
      <c r="B11934" s="9" t="s">
        <v>24418</v>
      </c>
      <c r="C11934" s="9" t="s">
        <v>90</v>
      </c>
      <c r="D11934" s="9" t="s">
        <v>18</v>
      </c>
      <c r="E11934" s="10" t="s">
        <v>707</v>
      </c>
      <c r="F11934" s="9" t="s">
        <v>708</v>
      </c>
      <c r="G11934" s="10" t="s">
        <v>176</v>
      </c>
      <c r="H11934" s="9" t="s">
        <v>22</v>
      </c>
      <c r="I11934" s="9" t="s">
        <v>24419</v>
      </c>
      <c r="J11934" s="10" t="str">
        <f>HYPERLINK("https://www.boe.es/gazeta/dias/1834/11/25/pdfs/GMD-C-1834-284.pdf#page=6","Abrir facsímil")</f>
        <v>Abrir facsímil</v>
      </c>
      <c r="K11934" s="10" t="s">
        <v>24</v>
      </c>
    </row>
    <row r="11935" spans="1:11" ht="54" customHeight="1">
      <c r="A11935" s="9" t="s">
        <v>24420</v>
      </c>
      <c r="B11935" s="9" t="s">
        <v>24420</v>
      </c>
      <c r="C11935" s="9" t="s">
        <v>17</v>
      </c>
      <c r="D11935" s="9" t="s">
        <v>18</v>
      </c>
      <c r="E11935" s="10" t="s">
        <v>2087</v>
      </c>
      <c r="F11935" s="9" t="s">
        <v>2267</v>
      </c>
      <c r="G11935" s="10" t="s">
        <v>75</v>
      </c>
      <c r="H11935" s="9" t="s">
        <v>22</v>
      </c>
      <c r="I11935" s="9" t="s">
        <v>24421</v>
      </c>
      <c r="J11935" s="10" t="str">
        <f>HYPERLINK("https://www.boe.es/gazeta/dias/1834/12/14/pdfs/GMD-C-1834-303.pdf#page=4","Abrir facsímil")</f>
        <v>Abrir facsímil</v>
      </c>
      <c r="K11935" s="10" t="s">
        <v>24</v>
      </c>
    </row>
    <row r="11936" spans="1:11" ht="54" customHeight="1">
      <c r="A11936" s="9" t="s">
        <v>24422</v>
      </c>
      <c r="B11936" s="9" t="s">
        <v>24422</v>
      </c>
      <c r="C11936" s="9" t="s">
        <v>90</v>
      </c>
      <c r="D11936" s="9" t="s">
        <v>18</v>
      </c>
      <c r="E11936" s="10" t="s">
        <v>905</v>
      </c>
      <c r="F11936" s="9" t="s">
        <v>906</v>
      </c>
      <c r="G11936" s="10" t="s">
        <v>86</v>
      </c>
      <c r="H11936" s="9" t="s">
        <v>22</v>
      </c>
      <c r="I11936" s="9" t="s">
        <v>24423</v>
      </c>
      <c r="J11936" s="10" t="str">
        <f>HYPERLINK("https://www.boe.es/gazeta/dias/1834/08/02/pdfs/GMD-C-1834-166.pdf#page=2","Abrir facsímil")</f>
        <v>Abrir facsímil</v>
      </c>
      <c r="K11936" s="10" t="s">
        <v>24</v>
      </c>
    </row>
    <row r="11937" spans="1:11" ht="54" customHeight="1">
      <c r="A11937" s="9" t="s">
        <v>24422</v>
      </c>
      <c r="B11937" s="9" t="s">
        <v>24422</v>
      </c>
      <c r="C11937" s="9" t="s">
        <v>46</v>
      </c>
      <c r="D11937" s="9" t="s">
        <v>18</v>
      </c>
      <c r="E11937" s="10" t="s">
        <v>793</v>
      </c>
      <c r="F11937" s="9" t="s">
        <v>1895</v>
      </c>
      <c r="G11937" s="10" t="s">
        <v>34</v>
      </c>
      <c r="H11937" s="9" t="s">
        <v>22</v>
      </c>
      <c r="I11937" s="9" t="s">
        <v>24424</v>
      </c>
      <c r="J11937" s="10" t="str">
        <f>HYPERLINK("https://www.boe.es/gazeta/dias/1834/10/08/pdfs/GMD-C-1834-236.pdf#page=1","Abrir facsímil")</f>
        <v>Abrir facsímil</v>
      </c>
      <c r="K11937" s="10" t="s">
        <v>24</v>
      </c>
    </row>
    <row r="11938" spans="1:11" ht="54" customHeight="1">
      <c r="A11938" s="9" t="s">
        <v>24422</v>
      </c>
      <c r="B11938" s="9" t="s">
        <v>24422</v>
      </c>
      <c r="C11938" s="9" t="s">
        <v>17</v>
      </c>
      <c r="D11938" s="9" t="s">
        <v>18</v>
      </c>
      <c r="E11938" s="10" t="s">
        <v>444</v>
      </c>
      <c r="F11938" s="9" t="s">
        <v>445</v>
      </c>
      <c r="G11938" s="10" t="s">
        <v>34</v>
      </c>
      <c r="H11938" s="9" t="s">
        <v>22</v>
      </c>
      <c r="I11938" s="9" t="s">
        <v>24425</v>
      </c>
      <c r="J11938" s="10" t="str">
        <f>HYPERLINK("https://www.boe.es/gazeta/dias/1834/09/12/pdfs/GMD-C-1834-210.pdf#page=1","Abrir facsímil")</f>
        <v>Abrir facsímil</v>
      </c>
      <c r="K11938" s="10" t="s">
        <v>24</v>
      </c>
    </row>
    <row r="11939" spans="1:11" ht="54" customHeight="1">
      <c r="A11939" s="9" t="s">
        <v>24422</v>
      </c>
      <c r="B11939" s="9" t="s">
        <v>24422</v>
      </c>
      <c r="C11939" s="9" t="s">
        <v>17</v>
      </c>
      <c r="D11939" s="9" t="s">
        <v>18</v>
      </c>
      <c r="E11939" s="10" t="s">
        <v>2260</v>
      </c>
      <c r="F11939" s="9" t="s">
        <v>2263</v>
      </c>
      <c r="G11939" s="10" t="s">
        <v>86</v>
      </c>
      <c r="H11939" s="9" t="s">
        <v>22</v>
      </c>
      <c r="I11939" s="9" t="s">
        <v>24426</v>
      </c>
      <c r="J11939" s="10" t="str">
        <f>HYPERLINK("https://www.boe.es/gazeta/dias/1834/11/13/pdfs/GMD-C-1834-272.pdf#page=2","Abrir facsímil")</f>
        <v>Abrir facsímil</v>
      </c>
      <c r="K11939" s="10" t="s">
        <v>24</v>
      </c>
    </row>
    <row r="11940" spans="1:11" ht="54" customHeight="1">
      <c r="A11940" s="9" t="s">
        <v>24422</v>
      </c>
      <c r="B11940" s="9" t="s">
        <v>24422</v>
      </c>
      <c r="C11940" s="9" t="s">
        <v>90</v>
      </c>
      <c r="D11940" s="9" t="s">
        <v>18</v>
      </c>
      <c r="E11940" s="10" t="s">
        <v>222</v>
      </c>
      <c r="F11940" s="9" t="s">
        <v>4015</v>
      </c>
      <c r="G11940" s="10" t="s">
        <v>34</v>
      </c>
      <c r="H11940" s="9" t="s">
        <v>22</v>
      </c>
      <c r="I11940" s="9" t="s">
        <v>24427</v>
      </c>
      <c r="J11940" s="10" t="str">
        <f>HYPERLINK("https://www.boe.es/gazeta/dias/1834/09/14/pdfs/GMD-C-1834-212.pdf#page=1","Abrir facsímil")</f>
        <v>Abrir facsímil</v>
      </c>
      <c r="K11940" s="10" t="s">
        <v>24</v>
      </c>
    </row>
    <row r="11941" spans="1:11" ht="54" customHeight="1">
      <c r="A11941" s="9" t="s">
        <v>24422</v>
      </c>
      <c r="B11941" s="9" t="s">
        <v>24422</v>
      </c>
      <c r="C11941" s="9" t="s">
        <v>17</v>
      </c>
      <c r="D11941" s="9" t="s">
        <v>18</v>
      </c>
      <c r="E11941" s="10" t="s">
        <v>448</v>
      </c>
      <c r="F11941" s="9" t="s">
        <v>449</v>
      </c>
      <c r="G11941" s="10" t="s">
        <v>75</v>
      </c>
      <c r="H11941" s="9" t="s">
        <v>22</v>
      </c>
      <c r="I11941" s="9" t="s">
        <v>24428</v>
      </c>
      <c r="J11941" s="10" t="str">
        <f>HYPERLINK("https://www.boe.es/gazeta/dias/1834/10/14/pdfs/GMD-C-1834-242.pdf#page=4","Abrir facsímil")</f>
        <v>Abrir facsímil</v>
      </c>
      <c r="K11941" s="10" t="s">
        <v>24</v>
      </c>
    </row>
    <row r="11942" spans="1:11" ht="54" customHeight="1">
      <c r="A11942" s="9" t="s">
        <v>24422</v>
      </c>
      <c r="B11942" s="9" t="s">
        <v>24422</v>
      </c>
      <c r="C11942" s="9" t="s">
        <v>17</v>
      </c>
      <c r="D11942" s="9" t="s">
        <v>18</v>
      </c>
      <c r="E11942" s="10" t="s">
        <v>451</v>
      </c>
      <c r="F11942" s="9" t="s">
        <v>452</v>
      </c>
      <c r="G11942" s="10" t="s">
        <v>86</v>
      </c>
      <c r="H11942" s="9" t="s">
        <v>22</v>
      </c>
      <c r="I11942" s="9" t="s">
        <v>24429</v>
      </c>
      <c r="J11942" s="10" t="str">
        <f>HYPERLINK("https://www.boe.es/gazeta/dias/1834/10/15/pdfs/GMD-C-1834-243.pdf#page=2","Abrir facsímil")</f>
        <v>Abrir facsímil</v>
      </c>
      <c r="K11942" s="10" t="s">
        <v>24</v>
      </c>
    </row>
    <row r="11943" spans="1:11" ht="54" customHeight="1">
      <c r="A11943" s="9" t="s">
        <v>24422</v>
      </c>
      <c r="B11943" s="9" t="s">
        <v>24422</v>
      </c>
      <c r="C11943" s="9" t="s">
        <v>17</v>
      </c>
      <c r="D11943" s="9" t="s">
        <v>40</v>
      </c>
      <c r="E11943" s="10" t="s">
        <v>454</v>
      </c>
      <c r="F11943" s="9" t="s">
        <v>455</v>
      </c>
      <c r="G11943" s="10" t="s">
        <v>34</v>
      </c>
      <c r="H11943" s="9" t="s">
        <v>22</v>
      </c>
      <c r="I11943" s="9" t="s">
        <v>24430</v>
      </c>
      <c r="J11943" s="10" t="str">
        <f>HYPERLINK("https://www.boe.es/gazeta/dias/1834/10/16/pdfs/GMD-C-1834-244.pdf#page=1","Abrir facsímil")</f>
        <v>Abrir facsímil</v>
      </c>
      <c r="K11943" s="10" t="s">
        <v>24</v>
      </c>
    </row>
    <row r="11944" spans="1:11" ht="54" customHeight="1">
      <c r="A11944" s="9" t="s">
        <v>24422</v>
      </c>
      <c r="B11944" s="9" t="s">
        <v>24422</v>
      </c>
      <c r="C11944" s="9" t="s">
        <v>46</v>
      </c>
      <c r="D11944" s="9" t="s">
        <v>18</v>
      </c>
      <c r="E11944" s="10" t="s">
        <v>454</v>
      </c>
      <c r="F11944" s="9" t="s">
        <v>455</v>
      </c>
      <c r="G11944" s="10" t="s">
        <v>86</v>
      </c>
      <c r="H11944" s="9" t="s">
        <v>22</v>
      </c>
      <c r="I11944" s="9" t="s">
        <v>24431</v>
      </c>
      <c r="J11944" s="10" t="str">
        <f>HYPERLINK("https://www.boe.es/gazeta/dias/1834/10/16/pdfs/GMD-C-1834-244.pdf#page=2","Abrir facsímil")</f>
        <v>Abrir facsímil</v>
      </c>
      <c r="K11944" s="10" t="s">
        <v>24</v>
      </c>
    </row>
    <row r="11945" spans="1:11" ht="54" customHeight="1">
      <c r="A11945" s="9" t="s">
        <v>24422</v>
      </c>
      <c r="B11945" s="9" t="s">
        <v>24422</v>
      </c>
      <c r="C11945" s="9" t="s">
        <v>17</v>
      </c>
      <c r="D11945" s="9" t="s">
        <v>18</v>
      </c>
      <c r="E11945" s="10" t="s">
        <v>883</v>
      </c>
      <c r="F11945" s="9" t="s">
        <v>884</v>
      </c>
      <c r="G11945" s="10" t="s">
        <v>86</v>
      </c>
      <c r="H11945" s="9" t="s">
        <v>22</v>
      </c>
      <c r="I11945" s="9" t="s">
        <v>24432</v>
      </c>
      <c r="J11945" s="10" t="str">
        <f>HYPERLINK("https://www.boe.es/gazeta/dias/1834/11/16/pdfs/GMD-C-1834-275.pdf#page=2","Abrir facsímil")</f>
        <v>Abrir facsímil</v>
      </c>
      <c r="K11945" s="10" t="s">
        <v>24</v>
      </c>
    </row>
    <row r="11946" spans="1:11" ht="54" customHeight="1">
      <c r="A11946" s="9" t="s">
        <v>24422</v>
      </c>
      <c r="B11946" s="9" t="s">
        <v>24422</v>
      </c>
      <c r="C11946" s="9" t="s">
        <v>17</v>
      </c>
      <c r="D11946" s="9" t="s">
        <v>18</v>
      </c>
      <c r="E11946" s="10" t="s">
        <v>715</v>
      </c>
      <c r="F11946" s="9" t="s">
        <v>716</v>
      </c>
      <c r="G11946" s="10" t="s">
        <v>34</v>
      </c>
      <c r="H11946" s="9" t="s">
        <v>22</v>
      </c>
      <c r="I11946" s="9" t="s">
        <v>24433</v>
      </c>
      <c r="J11946" s="10" t="str">
        <f>HYPERLINK("https://www.boe.es/gazeta/dias/1834/09/17/pdfs/GMD-C-1834-215.pdf#page=1","Abrir facsímil")</f>
        <v>Abrir facsímil</v>
      </c>
      <c r="K11946" s="10" t="s">
        <v>24</v>
      </c>
    </row>
    <row r="11947" spans="1:11" ht="54" customHeight="1">
      <c r="A11947" s="9" t="s">
        <v>24422</v>
      </c>
      <c r="B11947" s="9" t="s">
        <v>24422</v>
      </c>
      <c r="C11947" s="9" t="s">
        <v>17</v>
      </c>
      <c r="D11947" s="9" t="s">
        <v>18</v>
      </c>
      <c r="E11947" s="10" t="s">
        <v>707</v>
      </c>
      <c r="F11947" s="9" t="s">
        <v>708</v>
      </c>
      <c r="G11947" s="10" t="s">
        <v>28</v>
      </c>
      <c r="H11947" s="9" t="s">
        <v>22</v>
      </c>
      <c r="I11947" s="9" t="s">
        <v>24434</v>
      </c>
      <c r="J11947" s="10" t="str">
        <f>HYPERLINK("https://www.boe.es/gazeta/dias/1834/11/25/pdfs/GMD-C-1834-284.pdf#page=5","Abrir facsímil")</f>
        <v>Abrir facsímil</v>
      </c>
      <c r="K11947" s="10" t="s">
        <v>24</v>
      </c>
    </row>
    <row r="11948" spans="1:11" ht="54" customHeight="1">
      <c r="A11948" s="9" t="s">
        <v>24422</v>
      </c>
      <c r="B11948" s="9" t="s">
        <v>24422</v>
      </c>
      <c r="C11948" s="9" t="s">
        <v>66</v>
      </c>
      <c r="D11948" s="9" t="s">
        <v>67</v>
      </c>
      <c r="E11948" s="10" t="s">
        <v>707</v>
      </c>
      <c r="F11948" s="9" t="s">
        <v>708</v>
      </c>
      <c r="G11948" s="10" t="s">
        <v>176</v>
      </c>
      <c r="H11948" s="9" t="s">
        <v>22</v>
      </c>
      <c r="I11948" s="9" t="s">
        <v>24435</v>
      </c>
      <c r="J11948" s="10" t="str">
        <f>HYPERLINK("https://www.boe.es/gazeta/dias/1834/11/25/pdfs/GMD-C-1834-284.pdf#page=6","Abrir facsímil")</f>
        <v>Abrir facsímil</v>
      </c>
      <c r="K11948" s="10" t="s">
        <v>24</v>
      </c>
    </row>
    <row r="11949" spans="1:11" ht="54" customHeight="1">
      <c r="A11949" s="9" t="s">
        <v>24422</v>
      </c>
      <c r="B11949" s="9" t="s">
        <v>24422</v>
      </c>
      <c r="C11949" s="9" t="s">
        <v>90</v>
      </c>
      <c r="D11949" s="9" t="s">
        <v>18</v>
      </c>
      <c r="E11949" s="10" t="s">
        <v>462</v>
      </c>
      <c r="F11949" s="9" t="s">
        <v>463</v>
      </c>
      <c r="G11949" s="10" t="s">
        <v>34</v>
      </c>
      <c r="H11949" s="9" t="s">
        <v>22</v>
      </c>
      <c r="I11949" s="9" t="s">
        <v>24436</v>
      </c>
      <c r="J11949" s="10" t="str">
        <f>HYPERLINK("https://www.boe.es/gazeta/dias/1834/08/27/pdfs/GMD-C-1834-193.pdf#page=1","Abrir facsímil")</f>
        <v>Abrir facsímil</v>
      </c>
      <c r="K11949" s="10" t="s">
        <v>24</v>
      </c>
    </row>
    <row r="11950" spans="1:11" ht="54" customHeight="1">
      <c r="A11950" s="9" t="s">
        <v>24422</v>
      </c>
      <c r="B11950" s="9" t="s">
        <v>24422</v>
      </c>
      <c r="C11950" s="9" t="s">
        <v>17</v>
      </c>
      <c r="D11950" s="9" t="s">
        <v>18</v>
      </c>
      <c r="E11950" s="10" t="s">
        <v>1641</v>
      </c>
      <c r="F11950" s="9" t="s">
        <v>1642</v>
      </c>
      <c r="G11950" s="10" t="s">
        <v>34</v>
      </c>
      <c r="H11950" s="9" t="s">
        <v>22</v>
      </c>
      <c r="I11950" s="9" t="s">
        <v>24437</v>
      </c>
      <c r="J11950" s="10" t="str">
        <f>HYPERLINK("https://www.boe.es/gazeta/dias/1834/09/28/pdfs/GMD-C-1834-226.pdf#page=1","Abrir facsímil")</f>
        <v>Abrir facsímil</v>
      </c>
      <c r="K11950" s="10" t="s">
        <v>24</v>
      </c>
    </row>
    <row r="11951" spans="1:11" ht="54" customHeight="1">
      <c r="A11951" s="9" t="s">
        <v>24422</v>
      </c>
      <c r="B11951" s="9" t="s">
        <v>24422</v>
      </c>
      <c r="C11951" s="9" t="s">
        <v>17</v>
      </c>
      <c r="D11951" s="9" t="s">
        <v>18</v>
      </c>
      <c r="E11951" s="10" t="s">
        <v>891</v>
      </c>
      <c r="F11951" s="9" t="s">
        <v>892</v>
      </c>
      <c r="G11951" s="10" t="s">
        <v>86</v>
      </c>
      <c r="H11951" s="9" t="s">
        <v>22</v>
      </c>
      <c r="I11951" s="9" t="s">
        <v>24438</v>
      </c>
      <c r="J11951" s="10" t="str">
        <f>HYPERLINK("https://www.boe.es/gazeta/dias/1834/10/31/pdfs/GMD-C-1834-259.pdf#page=2","Abrir facsímil")</f>
        <v>Abrir facsímil</v>
      </c>
      <c r="K11951" s="10" t="s">
        <v>24</v>
      </c>
    </row>
    <row r="11952" spans="1:11" ht="54" customHeight="1">
      <c r="A11952" s="9" t="s">
        <v>24439</v>
      </c>
      <c r="B11952" s="9" t="s">
        <v>24439</v>
      </c>
      <c r="C11952" s="9" t="s">
        <v>122</v>
      </c>
      <c r="D11952" s="9" t="s">
        <v>40</v>
      </c>
      <c r="E11952" s="10" t="s">
        <v>2596</v>
      </c>
      <c r="F11952" s="9" t="s">
        <v>5480</v>
      </c>
      <c r="G11952" s="10" t="s">
        <v>86</v>
      </c>
      <c r="H11952" s="9" t="s">
        <v>22</v>
      </c>
      <c r="I11952" s="9" t="s">
        <v>24440</v>
      </c>
      <c r="J11952" s="10" t="str">
        <f>HYPERLINK("https://www.boe.es/gazeta/dias/1834/10/22/pdfs/GMD-C-1834-250.pdf#page=2","Abrir facsímil")</f>
        <v>Abrir facsímil</v>
      </c>
      <c r="K11952" s="10" t="s">
        <v>24</v>
      </c>
    </row>
    <row r="11953" spans="1:11" ht="54" customHeight="1">
      <c r="A11953" s="9" t="s">
        <v>24441</v>
      </c>
      <c r="B11953" s="9" t="s">
        <v>24441</v>
      </c>
      <c r="C11953" s="9" t="s">
        <v>17</v>
      </c>
      <c r="D11953" s="9" t="s">
        <v>18</v>
      </c>
      <c r="E11953" s="10" t="s">
        <v>255</v>
      </c>
      <c r="F11953" s="9" t="s">
        <v>256</v>
      </c>
      <c r="G11953" s="10" t="s">
        <v>34</v>
      </c>
      <c r="H11953" s="9" t="s">
        <v>22</v>
      </c>
      <c r="I11953" s="9" t="s">
        <v>24442</v>
      </c>
      <c r="J11953" s="10" t="str">
        <f>HYPERLINK("https://www.boe.es/gazeta/dias/1834/09/01/pdfs/GMD-D-1834-199.pdf#page=1","Abrir facsímil")</f>
        <v>Abrir facsímil</v>
      </c>
      <c r="K11953" s="10" t="s">
        <v>24</v>
      </c>
    </row>
    <row r="11954" spans="1:11" ht="54" customHeight="1">
      <c r="A11954" s="9" t="s">
        <v>24441</v>
      </c>
      <c r="B11954" s="9" t="s">
        <v>24441</v>
      </c>
      <c r="C11954" s="9" t="s">
        <v>90</v>
      </c>
      <c r="D11954" s="9" t="s">
        <v>18</v>
      </c>
      <c r="E11954" s="10" t="s">
        <v>158</v>
      </c>
      <c r="F11954" s="9" t="s">
        <v>581</v>
      </c>
      <c r="G11954" s="10" t="s">
        <v>34</v>
      </c>
      <c r="H11954" s="9" t="s">
        <v>22</v>
      </c>
      <c r="I11954" s="9" t="s">
        <v>24443</v>
      </c>
      <c r="J11954" s="10" t="str">
        <f>HYPERLINK("https://www.boe.es/gazeta/dias/1834/10/01/pdfs/GMD-C-1834-229.pdf#page=1","Abrir facsímil")</f>
        <v>Abrir facsímil</v>
      </c>
      <c r="K11954" s="10" t="s">
        <v>24</v>
      </c>
    </row>
    <row r="11955" spans="1:11" ht="54" customHeight="1">
      <c r="A11955" s="9" t="s">
        <v>24441</v>
      </c>
      <c r="B11955" s="9" t="s">
        <v>24441</v>
      </c>
      <c r="C11955" s="9" t="s">
        <v>17</v>
      </c>
      <c r="D11955" s="9" t="s">
        <v>18</v>
      </c>
      <c r="E11955" s="10" t="s">
        <v>158</v>
      </c>
      <c r="F11955" s="9" t="s">
        <v>581</v>
      </c>
      <c r="G11955" s="10" t="s">
        <v>86</v>
      </c>
      <c r="H11955" s="9" t="s">
        <v>22</v>
      </c>
      <c r="I11955" s="9" t="s">
        <v>24444</v>
      </c>
      <c r="J11955" s="10" t="str">
        <f>HYPERLINK("https://www.boe.es/gazeta/dias/1834/10/01/pdfs/GMD-C-1834-229.pdf#page=2","Abrir facsímil")</f>
        <v>Abrir facsímil</v>
      </c>
      <c r="K11955" s="10" t="s">
        <v>24</v>
      </c>
    </row>
    <row r="11956" spans="1:11" ht="54" customHeight="1">
      <c r="A11956" s="9" t="s">
        <v>24441</v>
      </c>
      <c r="B11956" s="9" t="s">
        <v>24441</v>
      </c>
      <c r="C11956" s="9" t="s">
        <v>17</v>
      </c>
      <c r="D11956" s="9" t="s">
        <v>18</v>
      </c>
      <c r="E11956" s="10" t="s">
        <v>905</v>
      </c>
      <c r="F11956" s="9" t="s">
        <v>906</v>
      </c>
      <c r="G11956" s="10" t="s">
        <v>86</v>
      </c>
      <c r="H11956" s="9" t="s">
        <v>22</v>
      </c>
      <c r="I11956" s="9" t="s">
        <v>24445</v>
      </c>
      <c r="J11956" s="10" t="str">
        <f>HYPERLINK("https://www.boe.es/gazeta/dias/1834/08/02/pdfs/GMD-C-1834-166.pdf#page=2","Abrir facsímil")</f>
        <v>Abrir facsímil</v>
      </c>
      <c r="K11956" s="10" t="s">
        <v>24</v>
      </c>
    </row>
    <row r="11957" spans="1:11" ht="54" customHeight="1">
      <c r="A11957" s="9" t="s">
        <v>24441</v>
      </c>
      <c r="B11957" s="9" t="s">
        <v>24441</v>
      </c>
      <c r="C11957" s="9" t="s">
        <v>90</v>
      </c>
      <c r="D11957" s="9" t="s">
        <v>18</v>
      </c>
      <c r="E11957" s="10" t="s">
        <v>416</v>
      </c>
      <c r="F11957" s="9" t="s">
        <v>417</v>
      </c>
      <c r="G11957" s="10" t="s">
        <v>34</v>
      </c>
      <c r="H11957" s="9" t="s">
        <v>22</v>
      </c>
      <c r="I11957" s="9" t="s">
        <v>24446</v>
      </c>
      <c r="J11957" s="10" t="str">
        <f>HYPERLINK("https://www.boe.es/gazeta/dias/1834/10/02/pdfs/GMD-C-1834-230.pdf#page=1","Abrir facsímil")</f>
        <v>Abrir facsímil</v>
      </c>
      <c r="K11957" s="10" t="s">
        <v>24</v>
      </c>
    </row>
    <row r="11958" spans="1:11" ht="54" customHeight="1">
      <c r="A11958" s="9" t="s">
        <v>24441</v>
      </c>
      <c r="B11958" s="9" t="s">
        <v>24441</v>
      </c>
      <c r="C11958" s="9" t="s">
        <v>17</v>
      </c>
      <c r="D11958" s="9" t="s">
        <v>18</v>
      </c>
      <c r="E11958" s="10" t="s">
        <v>2212</v>
      </c>
      <c r="F11958" s="9" t="s">
        <v>2213</v>
      </c>
      <c r="G11958" s="10" t="s">
        <v>86</v>
      </c>
      <c r="H11958" s="9" t="s">
        <v>22</v>
      </c>
      <c r="I11958" s="9" t="s">
        <v>24447</v>
      </c>
      <c r="J11958" s="10" t="str">
        <f>HYPERLINK("https://www.boe.es/gazeta/dias/1834/08/04/pdfs/GMD-C-1834-168.pdf#page=2","Abrir facsímil")</f>
        <v>Abrir facsímil</v>
      </c>
      <c r="K11958" s="10" t="s">
        <v>24</v>
      </c>
    </row>
    <row r="11959" spans="1:11" ht="54" customHeight="1">
      <c r="A11959" s="9" t="s">
        <v>24441</v>
      </c>
      <c r="B11959" s="9" t="s">
        <v>24441</v>
      </c>
      <c r="C11959" s="9" t="s">
        <v>17</v>
      </c>
      <c r="D11959" s="9" t="s">
        <v>18</v>
      </c>
      <c r="E11959" s="10" t="s">
        <v>426</v>
      </c>
      <c r="F11959" s="9" t="s">
        <v>694</v>
      </c>
      <c r="G11959" s="10" t="s">
        <v>86</v>
      </c>
      <c r="H11959" s="9" t="s">
        <v>22</v>
      </c>
      <c r="I11959" s="9" t="s">
        <v>24448</v>
      </c>
      <c r="J11959" s="10" t="str">
        <f>HYPERLINK("https://www.boe.es/gazeta/dias/1834/10/04/pdfs/GMD-C-1834-232.pdf#page=2","Abrir facsímil")</f>
        <v>Abrir facsímil</v>
      </c>
      <c r="K11959" s="10" t="s">
        <v>24</v>
      </c>
    </row>
    <row r="11960" spans="1:11" ht="54" customHeight="1">
      <c r="A11960" s="9" t="s">
        <v>24441</v>
      </c>
      <c r="B11960" s="9" t="s">
        <v>24441</v>
      </c>
      <c r="C11960" s="9" t="s">
        <v>46</v>
      </c>
      <c r="D11960" s="9" t="s">
        <v>101</v>
      </c>
      <c r="E11960" s="10" t="s">
        <v>426</v>
      </c>
      <c r="F11960" s="9" t="s">
        <v>694</v>
      </c>
      <c r="G11960" s="10" t="s">
        <v>75</v>
      </c>
      <c r="H11960" s="9" t="s">
        <v>22</v>
      </c>
      <c r="I11960" s="9" t="s">
        <v>24449</v>
      </c>
      <c r="J11960" s="10" t="str">
        <f>HYPERLINK("https://www.boe.es/gazeta/dias/1834/10/04/pdfs/GMD-C-1834-232.pdf#page=4","Abrir facsímil")</f>
        <v>Abrir facsímil</v>
      </c>
      <c r="K11960" s="10" t="s">
        <v>24</v>
      </c>
    </row>
    <row r="11961" spans="1:11" ht="54" customHeight="1">
      <c r="A11961" s="9" t="s">
        <v>24441</v>
      </c>
      <c r="B11961" s="9" t="s">
        <v>24441</v>
      </c>
      <c r="C11961" s="9" t="s">
        <v>17</v>
      </c>
      <c r="D11961" s="9" t="s">
        <v>18</v>
      </c>
      <c r="E11961" s="10" t="s">
        <v>426</v>
      </c>
      <c r="F11961" s="9" t="s">
        <v>694</v>
      </c>
      <c r="G11961" s="10" t="s">
        <v>28</v>
      </c>
      <c r="H11961" s="9" t="s">
        <v>22</v>
      </c>
      <c r="I11961" s="9" t="s">
        <v>24450</v>
      </c>
      <c r="J11961" s="10" t="str">
        <f>HYPERLINK("https://www.boe.es/gazeta/dias/1834/10/04/pdfs/GMD-C-1834-232.pdf#page=5","Abrir facsímil")</f>
        <v>Abrir facsímil</v>
      </c>
      <c r="K11961" s="10" t="s">
        <v>24</v>
      </c>
    </row>
    <row r="11962" spans="1:11" ht="54" customHeight="1">
      <c r="A11962" s="9" t="s">
        <v>24441</v>
      </c>
      <c r="B11962" s="9" t="s">
        <v>24441</v>
      </c>
      <c r="C11962" s="9" t="s">
        <v>17</v>
      </c>
      <c r="D11962" s="9" t="s">
        <v>18</v>
      </c>
      <c r="E11962" s="10" t="s">
        <v>73</v>
      </c>
      <c r="F11962" s="9" t="s">
        <v>1416</v>
      </c>
      <c r="G11962" s="10" t="s">
        <v>86</v>
      </c>
      <c r="H11962" s="9" t="s">
        <v>22</v>
      </c>
      <c r="I11962" s="9" t="s">
        <v>24451</v>
      </c>
      <c r="J11962" s="10" t="str">
        <f>HYPERLINK("https://www.boe.es/gazeta/dias/1834/11/04/pdfs/GMD-C-1834-263.pdf#page=2","Abrir facsímil")</f>
        <v>Abrir facsímil</v>
      </c>
      <c r="K11962" s="10" t="s">
        <v>24</v>
      </c>
    </row>
    <row r="11963" spans="1:11" ht="54" customHeight="1">
      <c r="A11963" s="9" t="s">
        <v>24441</v>
      </c>
      <c r="B11963" s="9" t="s">
        <v>24441</v>
      </c>
      <c r="C11963" s="9" t="s">
        <v>46</v>
      </c>
      <c r="D11963" s="9" t="s">
        <v>18</v>
      </c>
      <c r="E11963" s="10" t="s">
        <v>1340</v>
      </c>
      <c r="F11963" s="9" t="s">
        <v>1341</v>
      </c>
      <c r="G11963" s="10" t="s">
        <v>75</v>
      </c>
      <c r="H11963" s="9" t="s">
        <v>22</v>
      </c>
      <c r="I11963" s="9" t="s">
        <v>24452</v>
      </c>
      <c r="J11963" s="10" t="str">
        <f>HYPERLINK("https://www.boe.es/gazeta/dias/1834/10/05/pdfs/GMD-C-1834-233.pdf#page=4","Abrir facsímil")</f>
        <v>Abrir facsímil</v>
      </c>
      <c r="K11963" s="10" t="s">
        <v>24</v>
      </c>
    </row>
    <row r="11964" spans="1:11" ht="54" customHeight="1">
      <c r="A11964" s="9" t="s">
        <v>24441</v>
      </c>
      <c r="B11964" s="9" t="s">
        <v>24441</v>
      </c>
      <c r="C11964" s="9" t="s">
        <v>17</v>
      </c>
      <c r="D11964" s="9" t="s">
        <v>18</v>
      </c>
      <c r="E11964" s="10" t="s">
        <v>429</v>
      </c>
      <c r="F11964" s="9" t="s">
        <v>430</v>
      </c>
      <c r="G11964" s="10" t="s">
        <v>21</v>
      </c>
      <c r="H11964" s="9" t="s">
        <v>22</v>
      </c>
      <c r="I11964" s="9" t="s">
        <v>24453</v>
      </c>
      <c r="J11964" s="10" t="str">
        <f>HYPERLINK("https://www.boe.es/gazeta/dias/1834/08/07/pdfs/GMD-C-1834-172.pdf#page=3","Abrir facsímil")</f>
        <v>Abrir facsímil</v>
      </c>
      <c r="K11964" s="10" t="s">
        <v>24</v>
      </c>
    </row>
    <row r="11965" spans="1:11" ht="54" customHeight="1">
      <c r="A11965" s="9" t="s">
        <v>24441</v>
      </c>
      <c r="B11965" s="9" t="s">
        <v>24441</v>
      </c>
      <c r="C11965" s="9" t="s">
        <v>17</v>
      </c>
      <c r="D11965" s="9" t="s">
        <v>18</v>
      </c>
      <c r="E11965" s="10" t="s">
        <v>167</v>
      </c>
      <c r="F11965" s="9" t="s">
        <v>1200</v>
      </c>
      <c r="G11965" s="10" t="s">
        <v>2174</v>
      </c>
      <c r="H11965" s="9" t="s">
        <v>22</v>
      </c>
      <c r="I11965" s="9" t="s">
        <v>24454</v>
      </c>
      <c r="J11965" s="10" t="str">
        <f>HYPERLINK("https://www.boe.es/gazeta/dias/1834/09/07/pdfs/GMD-C-1834-205.pdf#page=10","Abrir facsímil")</f>
        <v>Abrir facsímil</v>
      </c>
      <c r="K11965" s="10" t="s">
        <v>24</v>
      </c>
    </row>
    <row r="11966" spans="1:11" ht="54" customHeight="1">
      <c r="A11966" s="9" t="s">
        <v>24441</v>
      </c>
      <c r="B11966" s="9" t="s">
        <v>24441</v>
      </c>
      <c r="C11966" s="9" t="s">
        <v>122</v>
      </c>
      <c r="D11966" s="9" t="s">
        <v>18</v>
      </c>
      <c r="E11966" s="10" t="s">
        <v>167</v>
      </c>
      <c r="F11966" s="9" t="s">
        <v>1200</v>
      </c>
      <c r="G11966" s="10" t="s">
        <v>86</v>
      </c>
      <c r="H11966" s="9" t="s">
        <v>22</v>
      </c>
      <c r="I11966" s="9" t="s">
        <v>24455</v>
      </c>
      <c r="J11966" s="10" t="str">
        <f>HYPERLINK("https://www.boe.es/gazeta/dias/1834/09/07/pdfs/GMD-C-1834-205.pdf#page=2","Abrir facsímil")</f>
        <v>Abrir facsímil</v>
      </c>
      <c r="K11966" s="10" t="s">
        <v>24</v>
      </c>
    </row>
    <row r="11967" spans="1:11" ht="54" customHeight="1">
      <c r="A11967" s="9" t="s">
        <v>24441</v>
      </c>
      <c r="B11967" s="9" t="s">
        <v>24441</v>
      </c>
      <c r="C11967" s="9" t="s">
        <v>17</v>
      </c>
      <c r="D11967" s="9" t="s">
        <v>55</v>
      </c>
      <c r="E11967" s="10" t="s">
        <v>167</v>
      </c>
      <c r="F11967" s="9" t="s">
        <v>1200</v>
      </c>
      <c r="G11967" s="10" t="s">
        <v>21</v>
      </c>
      <c r="H11967" s="9" t="s">
        <v>22</v>
      </c>
      <c r="I11967" s="9" t="s">
        <v>24456</v>
      </c>
      <c r="J11967" s="10" t="str">
        <f>HYPERLINK("https://www.boe.es/gazeta/dias/1834/09/07/pdfs/GMD-C-1834-205.pdf#page=3","Abrir facsímil")</f>
        <v>Abrir facsímil</v>
      </c>
      <c r="K11967" s="10" t="s">
        <v>24</v>
      </c>
    </row>
    <row r="11968" spans="1:11" ht="54" customHeight="1">
      <c r="A11968" s="9" t="s">
        <v>24441</v>
      </c>
      <c r="B11968" s="9" t="s">
        <v>24441</v>
      </c>
      <c r="C11968" s="9" t="s">
        <v>17</v>
      </c>
      <c r="D11968" s="9" t="s">
        <v>18</v>
      </c>
      <c r="E11968" s="10" t="s">
        <v>793</v>
      </c>
      <c r="F11968" s="9" t="s">
        <v>1895</v>
      </c>
      <c r="G11968" s="10" t="s">
        <v>34</v>
      </c>
      <c r="H11968" s="9" t="s">
        <v>22</v>
      </c>
      <c r="I11968" s="9" t="s">
        <v>24457</v>
      </c>
      <c r="J11968" s="10" t="str">
        <f>HYPERLINK("https://www.boe.es/gazeta/dias/1834/10/08/pdfs/GMD-C-1834-236.pdf#page=1","Abrir facsímil")</f>
        <v>Abrir facsímil</v>
      </c>
      <c r="K11968" s="10" t="s">
        <v>24</v>
      </c>
    </row>
    <row r="11969" spans="1:11" ht="54" customHeight="1">
      <c r="A11969" s="9" t="s">
        <v>24441</v>
      </c>
      <c r="B11969" s="9" t="s">
        <v>24441</v>
      </c>
      <c r="C11969" s="9" t="s">
        <v>17</v>
      </c>
      <c r="D11969" s="9" t="s">
        <v>18</v>
      </c>
      <c r="E11969" s="10" t="s">
        <v>793</v>
      </c>
      <c r="F11969" s="9" t="s">
        <v>1895</v>
      </c>
      <c r="G11969" s="10" t="s">
        <v>86</v>
      </c>
      <c r="H11969" s="9" t="s">
        <v>22</v>
      </c>
      <c r="I11969" s="9" t="s">
        <v>24458</v>
      </c>
      <c r="J11969" s="10" t="str">
        <f>HYPERLINK("https://www.boe.es/gazeta/dias/1834/10/08/pdfs/GMD-C-1834-236.pdf#page=2","Abrir facsímil")</f>
        <v>Abrir facsímil</v>
      </c>
      <c r="K11969" s="10" t="s">
        <v>24</v>
      </c>
    </row>
    <row r="11970" spans="1:11" ht="54" customHeight="1">
      <c r="A11970" s="9" t="s">
        <v>24441</v>
      </c>
      <c r="B11970" s="9" t="s">
        <v>24441</v>
      </c>
      <c r="C11970" s="9" t="s">
        <v>17</v>
      </c>
      <c r="D11970" s="9" t="s">
        <v>18</v>
      </c>
      <c r="E11970" s="10" t="s">
        <v>1410</v>
      </c>
      <c r="F11970" s="9" t="s">
        <v>2231</v>
      </c>
      <c r="G11970" s="10" t="s">
        <v>34</v>
      </c>
      <c r="H11970" s="9" t="s">
        <v>22</v>
      </c>
      <c r="I11970" s="9" t="s">
        <v>24459</v>
      </c>
      <c r="J11970" s="10" t="str">
        <f>HYPERLINK("https://www.boe.es/gazeta/dias/1834/09/09/pdfs/GMD-C-1834-207.pdf#page=1","Abrir facsímil")</f>
        <v>Abrir facsímil</v>
      </c>
      <c r="K11970" s="10" t="s">
        <v>24</v>
      </c>
    </row>
    <row r="11971" spans="1:11" ht="54" customHeight="1">
      <c r="A11971" s="9" t="s">
        <v>24441</v>
      </c>
      <c r="B11971" s="9" t="s">
        <v>24441</v>
      </c>
      <c r="C11971" s="9" t="s">
        <v>66</v>
      </c>
      <c r="D11971" s="9" t="s">
        <v>67</v>
      </c>
      <c r="E11971" s="10" t="s">
        <v>1103</v>
      </c>
      <c r="F11971" s="9" t="s">
        <v>1104</v>
      </c>
      <c r="G11971" s="10" t="s">
        <v>86</v>
      </c>
      <c r="H11971" s="9" t="s">
        <v>22</v>
      </c>
      <c r="I11971" s="9" t="s">
        <v>24460</v>
      </c>
      <c r="J11971" s="10" t="str">
        <f>HYPERLINK("https://www.boe.es/gazeta/dias/1834/10/10/pdfs/GMD-C-1834-238.pdf#page=2","Abrir facsímil")</f>
        <v>Abrir facsímil</v>
      </c>
      <c r="K11971" s="10" t="s">
        <v>24</v>
      </c>
    </row>
    <row r="11972" spans="1:11" ht="54" customHeight="1">
      <c r="A11972" s="9" t="s">
        <v>24441</v>
      </c>
      <c r="B11972" s="9" t="s">
        <v>24441</v>
      </c>
      <c r="C11972" s="9" t="s">
        <v>17</v>
      </c>
      <c r="D11972" s="9" t="s">
        <v>18</v>
      </c>
      <c r="E11972" s="10" t="s">
        <v>334</v>
      </c>
      <c r="F11972" s="9" t="s">
        <v>335</v>
      </c>
      <c r="G11972" s="10" t="s">
        <v>75</v>
      </c>
      <c r="H11972" s="9" t="s">
        <v>22</v>
      </c>
      <c r="I11972" s="9" t="s">
        <v>24461</v>
      </c>
      <c r="J11972" s="10" t="str">
        <f>HYPERLINK("https://www.boe.es/gazeta/dias/1834/09/11/pdfs/GMD-C-1834-209.pdf#page=4","Abrir facsímil")</f>
        <v>Abrir facsímil</v>
      </c>
      <c r="K11972" s="10" t="s">
        <v>24</v>
      </c>
    </row>
    <row r="11973" spans="1:11" ht="54" customHeight="1">
      <c r="A11973" s="9" t="s">
        <v>24441</v>
      </c>
      <c r="B11973" s="9" t="s">
        <v>24441</v>
      </c>
      <c r="C11973" s="9" t="s">
        <v>17</v>
      </c>
      <c r="D11973" s="9" t="s">
        <v>18</v>
      </c>
      <c r="E11973" s="10" t="s">
        <v>444</v>
      </c>
      <c r="F11973" s="9" t="s">
        <v>445</v>
      </c>
      <c r="G11973" s="10" t="s">
        <v>34</v>
      </c>
      <c r="H11973" s="9" t="s">
        <v>22</v>
      </c>
      <c r="I11973" s="9" t="s">
        <v>24462</v>
      </c>
      <c r="J11973" s="10" t="str">
        <f>HYPERLINK("https://www.boe.es/gazeta/dias/1834/09/12/pdfs/GMD-C-1834-210.pdf#page=1","Abrir facsímil")</f>
        <v>Abrir facsímil</v>
      </c>
      <c r="K11973" s="10" t="s">
        <v>24</v>
      </c>
    </row>
    <row r="11974" spans="1:11" ht="54" customHeight="1">
      <c r="A11974" s="9" t="s">
        <v>24441</v>
      </c>
      <c r="B11974" s="9" t="s">
        <v>24441</v>
      </c>
      <c r="C11974" s="9" t="s">
        <v>122</v>
      </c>
      <c r="D11974" s="9" t="s">
        <v>18</v>
      </c>
      <c r="E11974" s="10" t="s">
        <v>444</v>
      </c>
      <c r="F11974" s="9" t="s">
        <v>445</v>
      </c>
      <c r="G11974" s="10" t="s">
        <v>21</v>
      </c>
      <c r="H11974" s="9" t="s">
        <v>22</v>
      </c>
      <c r="I11974" s="9" t="s">
        <v>24463</v>
      </c>
      <c r="J11974" s="10" t="str">
        <f>HYPERLINK("https://www.boe.es/gazeta/dias/1834/09/12/pdfs/GMD-C-1834-210.pdf#page=3","Abrir facsímil")</f>
        <v>Abrir facsímil</v>
      </c>
      <c r="K11974" s="10" t="s">
        <v>24</v>
      </c>
    </row>
    <row r="11975" spans="1:11" ht="54" customHeight="1">
      <c r="A11975" s="9" t="s">
        <v>24441</v>
      </c>
      <c r="B11975" s="9" t="s">
        <v>24441</v>
      </c>
      <c r="C11975" s="9" t="s">
        <v>90</v>
      </c>
      <c r="D11975" s="9" t="s">
        <v>18</v>
      </c>
      <c r="E11975" s="10" t="s">
        <v>444</v>
      </c>
      <c r="F11975" s="9" t="s">
        <v>445</v>
      </c>
      <c r="G11975" s="10" t="s">
        <v>75</v>
      </c>
      <c r="H11975" s="9" t="s">
        <v>22</v>
      </c>
      <c r="I11975" s="9" t="s">
        <v>24464</v>
      </c>
      <c r="J11975" s="10" t="str">
        <f>HYPERLINK("https://www.boe.es/gazeta/dias/1834/09/12/pdfs/GMD-C-1834-210.pdf#page=4","Abrir facsímil")</f>
        <v>Abrir facsímil</v>
      </c>
      <c r="K11975" s="10" t="s">
        <v>24</v>
      </c>
    </row>
    <row r="11976" spans="1:11" ht="54" customHeight="1">
      <c r="A11976" s="9" t="s">
        <v>24465</v>
      </c>
      <c r="B11976" s="9" t="s">
        <v>24465</v>
      </c>
      <c r="C11976" s="9" t="s">
        <v>17</v>
      </c>
      <c r="D11976" s="9" t="s">
        <v>18</v>
      </c>
      <c r="E11976" s="10" t="s">
        <v>1981</v>
      </c>
      <c r="F11976" s="9" t="s">
        <v>2471</v>
      </c>
      <c r="G11976" s="10" t="s">
        <v>75</v>
      </c>
      <c r="H11976" s="9" t="s">
        <v>22</v>
      </c>
      <c r="I11976" s="9" t="s">
        <v>24466</v>
      </c>
      <c r="J11976" s="10" t="str">
        <f>HYPERLINK("https://www.boe.es/gazeta/dias/1834/12/13/pdfs/GMD-C-1834-302.pdf#page=4","Abrir facsímil")</f>
        <v>Abrir facsímil</v>
      </c>
      <c r="K11976" s="10" t="s">
        <v>24</v>
      </c>
    </row>
    <row r="11977" spans="1:11" ht="54" customHeight="1">
      <c r="A11977" s="9" t="s">
        <v>24441</v>
      </c>
      <c r="B11977" s="9" t="s">
        <v>24441</v>
      </c>
      <c r="C11977" s="9" t="s">
        <v>17</v>
      </c>
      <c r="D11977" s="9" t="s">
        <v>18</v>
      </c>
      <c r="E11977" s="10" t="s">
        <v>222</v>
      </c>
      <c r="F11977" s="9" t="s">
        <v>4015</v>
      </c>
      <c r="G11977" s="10" t="s">
        <v>34</v>
      </c>
      <c r="H11977" s="9" t="s">
        <v>22</v>
      </c>
      <c r="I11977" s="9" t="s">
        <v>24467</v>
      </c>
      <c r="J11977" s="10" t="str">
        <f>HYPERLINK("https://www.boe.es/gazeta/dias/1834/09/14/pdfs/GMD-C-1834-212.pdf#page=1","Abrir facsímil")</f>
        <v>Abrir facsímil</v>
      </c>
      <c r="K11977" s="10" t="s">
        <v>24</v>
      </c>
    </row>
    <row r="11978" spans="1:11" ht="54" customHeight="1">
      <c r="A11978" s="9" t="s">
        <v>24441</v>
      </c>
      <c r="B11978" s="9" t="s">
        <v>24441</v>
      </c>
      <c r="C11978" s="9" t="s">
        <v>17</v>
      </c>
      <c r="D11978" s="9" t="s">
        <v>18</v>
      </c>
      <c r="E11978" s="10" t="s">
        <v>448</v>
      </c>
      <c r="F11978" s="9" t="s">
        <v>449</v>
      </c>
      <c r="G11978" s="10" t="s">
        <v>34</v>
      </c>
      <c r="H11978" s="9" t="s">
        <v>22</v>
      </c>
      <c r="I11978" s="9" t="s">
        <v>24468</v>
      </c>
      <c r="J11978" s="10" t="str">
        <f>HYPERLINK("https://www.boe.es/gazeta/dias/1834/10/14/pdfs/GMD-C-1834-242.pdf#page=1","Abrir facsímil")</f>
        <v>Abrir facsímil</v>
      </c>
      <c r="K11978" s="10" t="s">
        <v>24</v>
      </c>
    </row>
    <row r="11979" spans="1:11" ht="54" customHeight="1">
      <c r="A11979" s="9" t="s">
        <v>24441</v>
      </c>
      <c r="B11979" s="9" t="s">
        <v>24441</v>
      </c>
      <c r="C11979" s="9" t="s">
        <v>46</v>
      </c>
      <c r="D11979" s="9" t="s">
        <v>101</v>
      </c>
      <c r="E11979" s="10" t="s">
        <v>448</v>
      </c>
      <c r="F11979" s="9" t="s">
        <v>449</v>
      </c>
      <c r="G11979" s="10" t="s">
        <v>86</v>
      </c>
      <c r="H11979" s="9" t="s">
        <v>22</v>
      </c>
      <c r="I11979" s="9" t="s">
        <v>24469</v>
      </c>
      <c r="J11979" s="10" t="str">
        <f>HYPERLINK("https://www.boe.es/gazeta/dias/1834/10/14/pdfs/GMD-C-1834-242.pdf#page=2","Abrir facsímil")</f>
        <v>Abrir facsímil</v>
      </c>
      <c r="K11979" s="10" t="s">
        <v>24</v>
      </c>
    </row>
    <row r="11980" spans="1:11" ht="54" customHeight="1">
      <c r="A11980" s="9" t="s">
        <v>24441</v>
      </c>
      <c r="B11980" s="9" t="s">
        <v>24441</v>
      </c>
      <c r="C11980" s="9" t="s">
        <v>46</v>
      </c>
      <c r="D11980" s="9" t="s">
        <v>101</v>
      </c>
      <c r="E11980" s="10" t="s">
        <v>2087</v>
      </c>
      <c r="F11980" s="9" t="s">
        <v>2267</v>
      </c>
      <c r="G11980" s="10" t="s">
        <v>75</v>
      </c>
      <c r="H11980" s="9" t="s">
        <v>22</v>
      </c>
      <c r="I11980" s="9" t="s">
        <v>24470</v>
      </c>
      <c r="J11980" s="10" t="str">
        <f>HYPERLINK("https://www.boe.es/gazeta/dias/1834/12/14/pdfs/GMD-C-1834-303.pdf#page=4","Abrir facsímil")</f>
        <v>Abrir facsímil</v>
      </c>
      <c r="K11980" s="10" t="s">
        <v>24</v>
      </c>
    </row>
    <row r="11981" spans="1:11" ht="54" customHeight="1">
      <c r="A11981" s="9" t="s">
        <v>24441</v>
      </c>
      <c r="B11981" s="9" t="s">
        <v>24441</v>
      </c>
      <c r="C11981" s="9" t="s">
        <v>17</v>
      </c>
      <c r="D11981" s="9" t="s">
        <v>18</v>
      </c>
      <c r="E11981" s="10" t="s">
        <v>451</v>
      </c>
      <c r="F11981" s="9" t="s">
        <v>452</v>
      </c>
      <c r="G11981" s="10" t="s">
        <v>21</v>
      </c>
      <c r="H11981" s="9" t="s">
        <v>22</v>
      </c>
      <c r="I11981" s="9" t="s">
        <v>24471</v>
      </c>
      <c r="J11981" s="10" t="str">
        <f>HYPERLINK("https://www.boe.es/gazeta/dias/1834/10/15/pdfs/GMD-C-1834-243.pdf#page=3","Abrir facsímil")</f>
        <v>Abrir facsímil</v>
      </c>
      <c r="K11981" s="10" t="s">
        <v>24</v>
      </c>
    </row>
    <row r="11982" spans="1:11" ht="54" customHeight="1">
      <c r="A11982" s="9" t="s">
        <v>24441</v>
      </c>
      <c r="B11982" s="9" t="s">
        <v>24441</v>
      </c>
      <c r="C11982" s="9" t="s">
        <v>17</v>
      </c>
      <c r="D11982" s="9" t="s">
        <v>18</v>
      </c>
      <c r="E11982" s="10" t="s">
        <v>454</v>
      </c>
      <c r="F11982" s="9" t="s">
        <v>455</v>
      </c>
      <c r="G11982" s="10" t="s">
        <v>86</v>
      </c>
      <c r="H11982" s="9" t="s">
        <v>22</v>
      </c>
      <c r="I11982" s="9" t="s">
        <v>24472</v>
      </c>
      <c r="J11982" s="10" t="str">
        <f>HYPERLINK("https://www.boe.es/gazeta/dias/1834/10/16/pdfs/GMD-C-1834-244.pdf#page=2","Abrir facsímil")</f>
        <v>Abrir facsímil</v>
      </c>
      <c r="K11982" s="10" t="s">
        <v>24</v>
      </c>
    </row>
    <row r="11983" spans="1:11" ht="54" customHeight="1">
      <c r="A11983" s="9" t="s">
        <v>24441</v>
      </c>
      <c r="B11983" s="9" t="s">
        <v>24441</v>
      </c>
      <c r="C11983" s="9" t="s">
        <v>17</v>
      </c>
      <c r="D11983" s="9" t="s">
        <v>18</v>
      </c>
      <c r="E11983" s="10" t="s">
        <v>262</v>
      </c>
      <c r="F11983" s="9" t="s">
        <v>263</v>
      </c>
      <c r="G11983" s="10" t="s">
        <v>21</v>
      </c>
      <c r="H11983" s="9" t="s">
        <v>22</v>
      </c>
      <c r="I11983" s="9" t="s">
        <v>24473</v>
      </c>
      <c r="J11983" s="10" t="str">
        <f>HYPERLINK("https://www.boe.es/gazeta/dias/1834/10/18/pdfs/GMD-C-1834-246.pdf#page=3","Abrir facsímil")</f>
        <v>Abrir facsímil</v>
      </c>
      <c r="K11983" s="10" t="s">
        <v>24</v>
      </c>
    </row>
    <row r="11984" spans="1:11" ht="54" customHeight="1">
      <c r="A11984" s="9" t="s">
        <v>24441</v>
      </c>
      <c r="B11984" s="9" t="s">
        <v>24441</v>
      </c>
      <c r="C11984" s="9" t="s">
        <v>17</v>
      </c>
      <c r="D11984" s="9" t="s">
        <v>18</v>
      </c>
      <c r="E11984" s="10" t="s">
        <v>265</v>
      </c>
      <c r="F11984" s="9" t="s">
        <v>266</v>
      </c>
      <c r="G11984" s="10" t="s">
        <v>21</v>
      </c>
      <c r="H11984" s="9" t="s">
        <v>22</v>
      </c>
      <c r="I11984" s="9" t="s">
        <v>24474</v>
      </c>
      <c r="J11984" s="10" t="str">
        <f>HYPERLINK("https://www.boe.es/gazeta/dias/1834/11/19/pdfs/GMD-C-1834-278.pdf#page=3","Abrir facsímil")</f>
        <v>Abrir facsímil</v>
      </c>
      <c r="K11984" s="10" t="s">
        <v>24</v>
      </c>
    </row>
    <row r="11985" spans="1:11" ht="54" customHeight="1">
      <c r="A11985" s="9" t="s">
        <v>24441</v>
      </c>
      <c r="B11985" s="9" t="s">
        <v>24441</v>
      </c>
      <c r="C11985" s="9" t="s">
        <v>17</v>
      </c>
      <c r="D11985" s="9" t="s">
        <v>18</v>
      </c>
      <c r="E11985" s="10" t="s">
        <v>492</v>
      </c>
      <c r="F11985" s="9" t="s">
        <v>493</v>
      </c>
      <c r="G11985" s="10" t="s">
        <v>34</v>
      </c>
      <c r="H11985" s="9" t="s">
        <v>22</v>
      </c>
      <c r="I11985" s="9" t="s">
        <v>24475</v>
      </c>
      <c r="J11985" s="10" t="str">
        <f>HYPERLINK("https://www.boe.es/gazeta/dias/1834/11/21/pdfs/GMD-C-1834-280.pdf#page=1","Abrir facsímil")</f>
        <v>Abrir facsímil</v>
      </c>
      <c r="K11985" s="10" t="s">
        <v>24</v>
      </c>
    </row>
    <row r="11986" spans="1:11" ht="54" customHeight="1">
      <c r="A11986" s="9" t="s">
        <v>24441</v>
      </c>
      <c r="B11986" s="9" t="s">
        <v>24441</v>
      </c>
      <c r="C11986" s="9" t="s">
        <v>17</v>
      </c>
      <c r="D11986" s="9" t="s">
        <v>18</v>
      </c>
      <c r="E11986" s="10" t="s">
        <v>492</v>
      </c>
      <c r="F11986" s="9" t="s">
        <v>493</v>
      </c>
      <c r="G11986" s="10" t="s">
        <v>28</v>
      </c>
      <c r="H11986" s="9" t="s">
        <v>22</v>
      </c>
      <c r="I11986" s="9" t="s">
        <v>24476</v>
      </c>
      <c r="J11986" s="10" t="str">
        <f>HYPERLINK("https://www.boe.es/gazeta/dias/1834/11/21/pdfs/GMD-C-1834-280.pdf#page=5","Abrir facsímil")</f>
        <v>Abrir facsímil</v>
      </c>
      <c r="K11986" s="10" t="s">
        <v>24</v>
      </c>
    </row>
    <row r="11987" spans="1:11" ht="54" customHeight="1">
      <c r="A11987" s="9" t="s">
        <v>24441</v>
      </c>
      <c r="B11987" s="9" t="s">
        <v>24441</v>
      </c>
      <c r="C11987" s="9" t="s">
        <v>46</v>
      </c>
      <c r="D11987" s="9" t="s">
        <v>101</v>
      </c>
      <c r="E11987" s="10" t="s">
        <v>2596</v>
      </c>
      <c r="F11987" s="9" t="s">
        <v>5480</v>
      </c>
      <c r="G11987" s="10" t="s">
        <v>86</v>
      </c>
      <c r="H11987" s="9" t="s">
        <v>22</v>
      </c>
      <c r="I11987" s="9" t="s">
        <v>24477</v>
      </c>
      <c r="J11987" s="10" t="str">
        <f>HYPERLINK("https://www.boe.es/gazeta/dias/1834/10/22/pdfs/GMD-C-1834-250.pdf#page=2","Abrir facsímil")</f>
        <v>Abrir facsímil</v>
      </c>
      <c r="K11987" s="10" t="s">
        <v>24</v>
      </c>
    </row>
    <row r="11988" spans="1:11" ht="54" customHeight="1">
      <c r="A11988" s="9" t="s">
        <v>24441</v>
      </c>
      <c r="B11988" s="9" t="s">
        <v>24441</v>
      </c>
      <c r="C11988" s="9" t="s">
        <v>17</v>
      </c>
      <c r="D11988" s="9" t="s">
        <v>18</v>
      </c>
      <c r="E11988" s="10" t="s">
        <v>702</v>
      </c>
      <c r="F11988" s="9" t="s">
        <v>703</v>
      </c>
      <c r="G11988" s="10" t="s">
        <v>86</v>
      </c>
      <c r="H11988" s="9" t="s">
        <v>22</v>
      </c>
      <c r="I11988" s="9" t="s">
        <v>24478</v>
      </c>
      <c r="J11988" s="10" t="str">
        <f>HYPERLINK("https://www.boe.es/gazeta/dias/1834/11/22/pdfs/GMD-C-1834-281.pdf#page=2","Abrir facsímil")</f>
        <v>Abrir facsímil</v>
      </c>
      <c r="K11988" s="10" t="s">
        <v>24</v>
      </c>
    </row>
    <row r="11989" spans="1:11" ht="54" customHeight="1">
      <c r="A11989" s="9" t="s">
        <v>24441</v>
      </c>
      <c r="B11989" s="9" t="s">
        <v>24441</v>
      </c>
      <c r="C11989" s="9" t="s">
        <v>17</v>
      </c>
      <c r="D11989" s="9" t="s">
        <v>18</v>
      </c>
      <c r="E11989" s="10" t="s">
        <v>247</v>
      </c>
      <c r="F11989" s="9" t="s">
        <v>248</v>
      </c>
      <c r="G11989" s="10" t="s">
        <v>34</v>
      </c>
      <c r="H11989" s="9" t="s">
        <v>22</v>
      </c>
      <c r="I11989" s="9" t="s">
        <v>24479</v>
      </c>
      <c r="J11989" s="10" t="str">
        <f>HYPERLINK("https://www.boe.es/gazeta/dias/1834/08/23/pdfs/GMD-C-1834-189.pdf#page=1","Abrir facsímil")</f>
        <v>Abrir facsímil</v>
      </c>
      <c r="K11989" s="10" t="s">
        <v>24</v>
      </c>
    </row>
    <row r="11990" spans="1:11" ht="54" customHeight="1">
      <c r="A11990" s="9" t="s">
        <v>24441</v>
      </c>
      <c r="B11990" s="9" t="s">
        <v>24441</v>
      </c>
      <c r="C11990" s="9" t="s">
        <v>90</v>
      </c>
      <c r="D11990" s="9" t="s">
        <v>18</v>
      </c>
      <c r="E11990" s="10" t="s">
        <v>247</v>
      </c>
      <c r="F11990" s="9" t="s">
        <v>248</v>
      </c>
      <c r="G11990" s="10" t="s">
        <v>86</v>
      </c>
      <c r="H11990" s="9" t="s">
        <v>22</v>
      </c>
      <c r="I11990" s="9" t="s">
        <v>24480</v>
      </c>
      <c r="J11990" s="10" t="str">
        <f>HYPERLINK("https://www.boe.es/gazeta/dias/1834/08/23/pdfs/GMD-C-1834-189.pdf#page=2","Abrir facsímil")</f>
        <v>Abrir facsímil</v>
      </c>
      <c r="K11990" s="10" t="s">
        <v>24</v>
      </c>
    </row>
    <row r="11991" spans="1:11" ht="54" customHeight="1">
      <c r="A11991" s="9" t="s">
        <v>24441</v>
      </c>
      <c r="B11991" s="9" t="s">
        <v>24441</v>
      </c>
      <c r="C11991" s="9" t="s">
        <v>17</v>
      </c>
      <c r="D11991" s="9" t="s">
        <v>18</v>
      </c>
      <c r="E11991" s="10" t="s">
        <v>667</v>
      </c>
      <c r="F11991" s="9" t="s">
        <v>668</v>
      </c>
      <c r="G11991" s="10" t="s">
        <v>34</v>
      </c>
      <c r="H11991" s="9" t="s">
        <v>22</v>
      </c>
      <c r="I11991" s="9" t="s">
        <v>24481</v>
      </c>
      <c r="J11991" s="10" t="str">
        <f>HYPERLINK("https://www.boe.es/gazeta/dias/1834/11/23/pdfs/GMD-C-1834-282.pdf#page=1","Abrir facsímil")</f>
        <v>Abrir facsímil</v>
      </c>
      <c r="K11991" s="10" t="s">
        <v>24</v>
      </c>
    </row>
    <row r="11992" spans="1:11" ht="54" customHeight="1">
      <c r="A11992" s="9" t="s">
        <v>24441</v>
      </c>
      <c r="B11992" s="9" t="s">
        <v>24441</v>
      </c>
      <c r="C11992" s="9" t="s">
        <v>46</v>
      </c>
      <c r="D11992" s="9" t="s">
        <v>101</v>
      </c>
      <c r="E11992" s="10" t="s">
        <v>667</v>
      </c>
      <c r="F11992" s="9" t="s">
        <v>668</v>
      </c>
      <c r="G11992" s="10" t="s">
        <v>86</v>
      </c>
      <c r="H11992" s="9" t="s">
        <v>22</v>
      </c>
      <c r="I11992" s="9" t="s">
        <v>24482</v>
      </c>
      <c r="J11992" s="10" t="str">
        <f>HYPERLINK("https://www.boe.es/gazeta/dias/1834/11/23/pdfs/GMD-C-1834-282.pdf#page=2","Abrir facsímil")</f>
        <v>Abrir facsímil</v>
      </c>
      <c r="K11992" s="10" t="s">
        <v>24</v>
      </c>
    </row>
    <row r="11993" spans="1:11" ht="54" customHeight="1">
      <c r="A11993" s="9" t="s">
        <v>24441</v>
      </c>
      <c r="B11993" s="9" t="s">
        <v>24441</v>
      </c>
      <c r="C11993" s="9" t="s">
        <v>17</v>
      </c>
      <c r="D11993" s="9" t="s">
        <v>18</v>
      </c>
      <c r="E11993" s="10" t="s">
        <v>378</v>
      </c>
      <c r="F11993" s="9" t="s">
        <v>888</v>
      </c>
      <c r="G11993" s="10" t="s">
        <v>86</v>
      </c>
      <c r="H11993" s="9" t="s">
        <v>22</v>
      </c>
      <c r="I11993" s="9" t="s">
        <v>24483</v>
      </c>
      <c r="J11993" s="10" t="str">
        <f>HYPERLINK("https://www.boe.es/gazeta/dias/1834/09/24/pdfs/GMD-C-1834-222.pdf#page=2","Abrir facsímil")</f>
        <v>Abrir facsímil</v>
      </c>
      <c r="K11993" s="10" t="s">
        <v>24</v>
      </c>
    </row>
    <row r="11994" spans="1:11" ht="54" customHeight="1">
      <c r="A11994" s="9" t="s">
        <v>24441</v>
      </c>
      <c r="B11994" s="9" t="s">
        <v>24441</v>
      </c>
      <c r="C11994" s="9" t="s">
        <v>17</v>
      </c>
      <c r="D11994" s="9" t="s">
        <v>18</v>
      </c>
      <c r="E11994" s="10" t="s">
        <v>378</v>
      </c>
      <c r="F11994" s="9" t="s">
        <v>888</v>
      </c>
      <c r="G11994" s="10" t="s">
        <v>21</v>
      </c>
      <c r="H11994" s="9" t="s">
        <v>22</v>
      </c>
      <c r="I11994" s="9" t="s">
        <v>24484</v>
      </c>
      <c r="J11994" s="10" t="str">
        <f>HYPERLINK("https://www.boe.es/gazeta/dias/1834/09/24/pdfs/GMD-C-1834-222.pdf#page=3","Abrir facsímil")</f>
        <v>Abrir facsímil</v>
      </c>
      <c r="K11994" s="10" t="s">
        <v>24</v>
      </c>
    </row>
    <row r="11995" spans="1:11" ht="54" customHeight="1">
      <c r="A11995" s="9" t="s">
        <v>24441</v>
      </c>
      <c r="B11995" s="9" t="s">
        <v>24441</v>
      </c>
      <c r="C11995" s="9" t="s">
        <v>17</v>
      </c>
      <c r="D11995" s="9" t="s">
        <v>18</v>
      </c>
      <c r="E11995" s="10" t="s">
        <v>378</v>
      </c>
      <c r="F11995" s="9" t="s">
        <v>888</v>
      </c>
      <c r="G11995" s="10" t="s">
        <v>75</v>
      </c>
      <c r="H11995" s="9" t="s">
        <v>22</v>
      </c>
      <c r="I11995" s="9" t="s">
        <v>24485</v>
      </c>
      <c r="J11995" s="10" t="str">
        <f>HYPERLINK("https://www.boe.es/gazeta/dias/1834/09/24/pdfs/GMD-C-1834-222.pdf#page=4","Abrir facsímil")</f>
        <v>Abrir facsímil</v>
      </c>
      <c r="K11995" s="10" t="s">
        <v>24</v>
      </c>
    </row>
    <row r="11996" spans="1:11" ht="54" customHeight="1">
      <c r="A11996" s="9" t="s">
        <v>24441</v>
      </c>
      <c r="B11996" s="9" t="s">
        <v>24441</v>
      </c>
      <c r="C11996" s="9" t="s">
        <v>17</v>
      </c>
      <c r="D11996" s="9" t="s">
        <v>18</v>
      </c>
      <c r="E11996" s="10" t="s">
        <v>378</v>
      </c>
      <c r="F11996" s="9" t="s">
        <v>888</v>
      </c>
      <c r="G11996" s="10" t="s">
        <v>28</v>
      </c>
      <c r="H11996" s="9" t="s">
        <v>22</v>
      </c>
      <c r="I11996" s="9" t="s">
        <v>24486</v>
      </c>
      <c r="J11996" s="10" t="str">
        <f>HYPERLINK("https://www.boe.es/gazeta/dias/1834/09/24/pdfs/GMD-C-1834-222.pdf#page=5","Abrir facsímil")</f>
        <v>Abrir facsímil</v>
      </c>
      <c r="K11996" s="10" t="s">
        <v>24</v>
      </c>
    </row>
    <row r="11997" spans="1:11" ht="54" customHeight="1">
      <c r="A11997" s="9" t="s">
        <v>24441</v>
      </c>
      <c r="B11997" s="9" t="s">
        <v>24441</v>
      </c>
      <c r="C11997" s="9" t="s">
        <v>17</v>
      </c>
      <c r="D11997" s="9" t="s">
        <v>18</v>
      </c>
      <c r="E11997" s="10" t="s">
        <v>378</v>
      </c>
      <c r="F11997" s="9" t="s">
        <v>888</v>
      </c>
      <c r="G11997" s="10" t="s">
        <v>176</v>
      </c>
      <c r="H11997" s="9" t="s">
        <v>22</v>
      </c>
      <c r="I11997" s="9" t="s">
        <v>24487</v>
      </c>
      <c r="J11997" s="10" t="str">
        <f>HYPERLINK("https://www.boe.es/gazeta/dias/1834/09/24/pdfs/GMD-C-1834-222.pdf#page=6","Abrir facsímil")</f>
        <v>Abrir facsímil</v>
      </c>
      <c r="K11997" s="10" t="s">
        <v>24</v>
      </c>
    </row>
    <row r="11998" spans="1:11" ht="54" customHeight="1">
      <c r="A11998" s="9" t="s">
        <v>24441</v>
      </c>
      <c r="B11998" s="9" t="s">
        <v>24441</v>
      </c>
      <c r="C11998" s="9" t="s">
        <v>17</v>
      </c>
      <c r="D11998" s="9" t="s">
        <v>18</v>
      </c>
      <c r="E11998" s="10" t="s">
        <v>403</v>
      </c>
      <c r="F11998" s="9" t="s">
        <v>404</v>
      </c>
      <c r="G11998" s="10" t="s">
        <v>34</v>
      </c>
      <c r="H11998" s="9" t="s">
        <v>22</v>
      </c>
      <c r="I11998" s="9" t="s">
        <v>24488</v>
      </c>
      <c r="J11998" s="10" t="str">
        <f>HYPERLINK("https://www.boe.es/gazeta/dias/1834/09/25/pdfs/GMD-C-1834-223.pdf#page=1","Abrir facsímil")</f>
        <v>Abrir facsímil</v>
      </c>
      <c r="K11998" s="10" t="s">
        <v>24</v>
      </c>
    </row>
    <row r="11999" spans="1:11" ht="54" customHeight="1">
      <c r="A11999" s="9" t="s">
        <v>24441</v>
      </c>
      <c r="B11999" s="9" t="s">
        <v>24441</v>
      </c>
      <c r="C11999" s="9" t="s">
        <v>17</v>
      </c>
      <c r="D11999" s="9" t="s">
        <v>18</v>
      </c>
      <c r="E11999" s="10" t="s">
        <v>1677</v>
      </c>
      <c r="F11999" s="9" t="s">
        <v>2515</v>
      </c>
      <c r="G11999" s="10" t="s">
        <v>34</v>
      </c>
      <c r="H11999" s="9" t="s">
        <v>22</v>
      </c>
      <c r="I11999" s="9" t="s">
        <v>24489</v>
      </c>
      <c r="J11999" s="10" t="str">
        <f>HYPERLINK("https://www.boe.es/gazeta/dias/1834/07/26/pdfs/GMD-C-1834-159.pdf#page=1","Abrir facsímil")</f>
        <v>Abrir facsímil</v>
      </c>
      <c r="K11999" s="10" t="s">
        <v>24</v>
      </c>
    </row>
    <row r="12000" spans="1:11" ht="54" customHeight="1">
      <c r="A12000" s="9" t="s">
        <v>24441</v>
      </c>
      <c r="B12000" s="9" t="s">
        <v>24441</v>
      </c>
      <c r="C12000" s="9" t="s">
        <v>17</v>
      </c>
      <c r="D12000" s="9" t="s">
        <v>18</v>
      </c>
      <c r="E12000" s="10" t="s">
        <v>1135</v>
      </c>
      <c r="F12000" s="9" t="s">
        <v>1566</v>
      </c>
      <c r="G12000" s="10" t="s">
        <v>86</v>
      </c>
      <c r="H12000" s="9" t="s">
        <v>22</v>
      </c>
      <c r="I12000" s="9" t="s">
        <v>24490</v>
      </c>
      <c r="J12000" s="10" t="str">
        <f>HYPERLINK("https://www.boe.es/gazeta/dias/1834/08/26/pdfs/GMD-C-1834-192.pdf#page=2","Abrir facsímil")</f>
        <v>Abrir facsímil</v>
      </c>
      <c r="K12000" s="10" t="s">
        <v>24</v>
      </c>
    </row>
    <row r="12001" spans="1:11" ht="54" customHeight="1">
      <c r="A12001" s="9" t="s">
        <v>24441</v>
      </c>
      <c r="B12001" s="9" t="s">
        <v>24441</v>
      </c>
      <c r="C12001" s="9" t="s">
        <v>90</v>
      </c>
      <c r="D12001" s="9" t="s">
        <v>55</v>
      </c>
      <c r="E12001" s="10" t="s">
        <v>251</v>
      </c>
      <c r="F12001" s="9" t="s">
        <v>252</v>
      </c>
      <c r="G12001" s="10" t="s">
        <v>34</v>
      </c>
      <c r="H12001" s="9" t="s">
        <v>22</v>
      </c>
      <c r="I12001" s="9" t="s">
        <v>24491</v>
      </c>
      <c r="J12001" s="10" t="str">
        <f>HYPERLINK("https://www.boe.es/gazeta/dias/1834/09/26/pdfs/GMD-C-1834-224.pdf#page=1","Abrir facsímil")</f>
        <v>Abrir facsímil</v>
      </c>
      <c r="K12001" s="10" t="s">
        <v>24</v>
      </c>
    </row>
    <row r="12002" spans="1:11" ht="54" customHeight="1">
      <c r="A12002" s="9" t="s">
        <v>24441</v>
      </c>
      <c r="B12002" s="9" t="s">
        <v>24441</v>
      </c>
      <c r="C12002" s="9" t="s">
        <v>17</v>
      </c>
      <c r="D12002" s="9" t="s">
        <v>18</v>
      </c>
      <c r="E12002" s="10" t="s">
        <v>286</v>
      </c>
      <c r="F12002" s="9" t="s">
        <v>287</v>
      </c>
      <c r="G12002" s="10" t="s">
        <v>86</v>
      </c>
      <c r="H12002" s="9" t="s">
        <v>22</v>
      </c>
      <c r="I12002" s="9" t="s">
        <v>24492</v>
      </c>
      <c r="J12002" s="10" t="str">
        <f>HYPERLINK("https://www.boe.es/gazeta/dias/1834/08/30/pdfs/GMD-C-1834-196.pdf#page=2","Abrir facsímil")</f>
        <v>Abrir facsímil</v>
      </c>
      <c r="K12002" s="10" t="s">
        <v>24</v>
      </c>
    </row>
    <row r="12003" spans="1:11" ht="54" customHeight="1">
      <c r="A12003" s="9" t="s">
        <v>24441</v>
      </c>
      <c r="B12003" s="9" t="s">
        <v>24441</v>
      </c>
      <c r="C12003" s="9" t="s">
        <v>17</v>
      </c>
      <c r="D12003" s="9" t="s">
        <v>18</v>
      </c>
      <c r="E12003" s="10" t="s">
        <v>273</v>
      </c>
      <c r="F12003" s="9" t="s">
        <v>274</v>
      </c>
      <c r="G12003" s="10" t="s">
        <v>21</v>
      </c>
      <c r="H12003" s="9" t="s">
        <v>22</v>
      </c>
      <c r="I12003" s="9" t="s">
        <v>24493</v>
      </c>
      <c r="J12003" s="10" t="str">
        <f>HYPERLINK("https://www.boe.es/gazeta/dias/1834/08/31/pdfs/GMD-D-1834-198.pdf#page=3","Abrir facsímil")</f>
        <v>Abrir facsímil</v>
      </c>
      <c r="K12003" s="10" t="s">
        <v>24</v>
      </c>
    </row>
    <row r="12004" spans="1:11" ht="54" customHeight="1">
      <c r="A12004" s="9" t="s">
        <v>24441</v>
      </c>
      <c r="B12004" s="9" t="s">
        <v>24441</v>
      </c>
      <c r="C12004" s="9" t="s">
        <v>17</v>
      </c>
      <c r="D12004" s="9" t="s">
        <v>18</v>
      </c>
      <c r="E12004" s="10" t="s">
        <v>891</v>
      </c>
      <c r="F12004" s="9" t="s">
        <v>892</v>
      </c>
      <c r="G12004" s="10" t="s">
        <v>86</v>
      </c>
      <c r="H12004" s="9" t="s">
        <v>22</v>
      </c>
      <c r="I12004" s="9" t="s">
        <v>24494</v>
      </c>
      <c r="J12004" s="10" t="str">
        <f>HYPERLINK("https://www.boe.es/gazeta/dias/1834/10/31/pdfs/GMD-C-1834-259.pdf#page=2","Abrir facsímil")</f>
        <v>Abrir facsímil</v>
      </c>
      <c r="K12004" s="10" t="s">
        <v>24</v>
      </c>
    </row>
    <row r="12005" spans="1:11" ht="54" customHeight="1">
      <c r="A12005" s="9" t="s">
        <v>24495</v>
      </c>
      <c r="B12005" s="9" t="s">
        <v>24495</v>
      </c>
      <c r="C12005" s="9" t="s">
        <v>17</v>
      </c>
      <c r="D12005" s="9" t="s">
        <v>18</v>
      </c>
      <c r="E12005" s="10" t="s">
        <v>19</v>
      </c>
      <c r="F12005" s="9" t="s">
        <v>20</v>
      </c>
      <c r="G12005" s="10" t="s">
        <v>21</v>
      </c>
      <c r="H12005" s="9" t="s">
        <v>22</v>
      </c>
      <c r="I12005" s="9" t="s">
        <v>24496</v>
      </c>
      <c r="J12005" s="10" t="str">
        <f>HYPERLINK("https://www.boe.es/gazeta/dias/1834/08/17/pdfs/GMD-D-1834-182.pdf#page=3","Abrir facsímil")</f>
        <v>Abrir facsímil</v>
      </c>
      <c r="K12005" s="10" t="s">
        <v>24</v>
      </c>
    </row>
    <row r="12006" spans="1:11" ht="54" customHeight="1">
      <c r="A12006" s="9" t="s">
        <v>24497</v>
      </c>
      <c r="B12006" s="9" t="s">
        <v>24498</v>
      </c>
      <c r="C12006" s="9" t="s">
        <v>17</v>
      </c>
      <c r="D12006" s="9" t="s">
        <v>40</v>
      </c>
      <c r="E12006" s="10" t="s">
        <v>753</v>
      </c>
      <c r="F12006" s="9" t="s">
        <v>754</v>
      </c>
      <c r="G12006" s="10" t="s">
        <v>176</v>
      </c>
      <c r="H12006" s="9" t="s">
        <v>22</v>
      </c>
      <c r="I12006" s="9" t="s">
        <v>24499</v>
      </c>
      <c r="J12006" s="10" t="str">
        <f>HYPERLINK("https://www.boe.es/gazeta/dias/1834/04/21/pdfs/GMD-1834-60.pdf#page=6","Abrir facsímil")</f>
        <v>Abrir facsímil</v>
      </c>
      <c r="K12006" s="10" t="s">
        <v>24</v>
      </c>
    </row>
    <row r="12007" spans="1:11" ht="54" customHeight="1">
      <c r="A12007" s="9" t="s">
        <v>24500</v>
      </c>
      <c r="B12007" s="9" t="s">
        <v>24501</v>
      </c>
      <c r="C12007" s="9" t="s">
        <v>90</v>
      </c>
      <c r="D12007" s="9" t="s">
        <v>18</v>
      </c>
      <c r="E12007" s="10" t="s">
        <v>158</v>
      </c>
      <c r="F12007" s="9" t="s">
        <v>581</v>
      </c>
      <c r="G12007" s="10" t="s">
        <v>34</v>
      </c>
      <c r="H12007" s="9" t="s">
        <v>22</v>
      </c>
      <c r="I12007" s="9" t="s">
        <v>24502</v>
      </c>
      <c r="J12007" s="10" t="str">
        <f>HYPERLINK("https://www.boe.es/gazeta/dias/1834/10/01/pdfs/GMD-C-1834-229.pdf#page=1","Abrir facsímil")</f>
        <v>Abrir facsímil</v>
      </c>
      <c r="K12007" s="10" t="s">
        <v>24</v>
      </c>
    </row>
    <row r="12008" spans="1:11" ht="54" customHeight="1">
      <c r="A12008" s="9" t="s">
        <v>24503</v>
      </c>
      <c r="B12008" s="9" t="s">
        <v>24503</v>
      </c>
      <c r="C12008" s="9" t="s">
        <v>90</v>
      </c>
      <c r="D12008" s="9" t="s">
        <v>18</v>
      </c>
      <c r="E12008" s="10" t="s">
        <v>2596</v>
      </c>
      <c r="F12008" s="9" t="s">
        <v>5480</v>
      </c>
      <c r="G12008" s="10" t="s">
        <v>34</v>
      </c>
      <c r="H12008" s="9" t="s">
        <v>22</v>
      </c>
      <c r="I12008" s="9" t="s">
        <v>24504</v>
      </c>
      <c r="J12008" s="10" t="str">
        <f>HYPERLINK("https://www.boe.es/gazeta/dias/1834/10/22/pdfs/GMD-C-1834-250.pdf#page=1","Abrir facsímil")</f>
        <v>Abrir facsímil</v>
      </c>
      <c r="K12008" s="10" t="s">
        <v>24</v>
      </c>
    </row>
    <row r="12009" spans="1:11" ht="54" customHeight="1">
      <c r="A12009" s="9" t="s">
        <v>24505</v>
      </c>
      <c r="B12009" s="9" t="s">
        <v>24505</v>
      </c>
      <c r="C12009" s="9" t="s">
        <v>17</v>
      </c>
      <c r="D12009" s="9" t="s">
        <v>18</v>
      </c>
      <c r="E12009" s="10" t="s">
        <v>429</v>
      </c>
      <c r="F12009" s="9" t="s">
        <v>430</v>
      </c>
      <c r="G12009" s="10" t="s">
        <v>28</v>
      </c>
      <c r="H12009" s="9" t="s">
        <v>22</v>
      </c>
      <c r="I12009" s="9" t="s">
        <v>24506</v>
      </c>
      <c r="J12009" s="10" t="str">
        <f>HYPERLINK("https://www.boe.es/gazeta/dias/1834/08/07/pdfs/GMD-C-1834-172.pdf#page=5","Abrir facsímil")</f>
        <v>Abrir facsímil</v>
      </c>
      <c r="K12009" s="10" t="s">
        <v>24</v>
      </c>
    </row>
    <row r="12010" spans="1:11" ht="54" customHeight="1">
      <c r="A12010" s="9" t="s">
        <v>24507</v>
      </c>
      <c r="B12010" s="9" t="s">
        <v>24507</v>
      </c>
      <c r="C12010" s="9" t="s">
        <v>90</v>
      </c>
      <c r="D12010" s="9" t="s">
        <v>18</v>
      </c>
      <c r="E12010" s="10" t="s">
        <v>454</v>
      </c>
      <c r="F12010" s="9" t="s">
        <v>455</v>
      </c>
      <c r="G12010" s="10" t="s">
        <v>86</v>
      </c>
      <c r="H12010" s="9" t="s">
        <v>22</v>
      </c>
      <c r="I12010" s="9" t="s">
        <v>24508</v>
      </c>
      <c r="J12010" s="10" t="str">
        <f>HYPERLINK("https://www.boe.es/gazeta/dias/1834/10/16/pdfs/GMD-C-1834-244.pdf#page=2","Abrir facsímil")</f>
        <v>Abrir facsímil</v>
      </c>
      <c r="K12010" s="10" t="s">
        <v>24</v>
      </c>
    </row>
    <row r="12011" spans="1:11" ht="54" customHeight="1">
      <c r="A12011" s="9" t="s">
        <v>24509</v>
      </c>
      <c r="B12011" s="9" t="s">
        <v>24509</v>
      </c>
      <c r="C12011" s="9" t="s">
        <v>17</v>
      </c>
      <c r="D12011" s="9" t="s">
        <v>18</v>
      </c>
      <c r="E12011" s="10" t="s">
        <v>448</v>
      </c>
      <c r="F12011" s="9" t="s">
        <v>449</v>
      </c>
      <c r="G12011" s="10" t="s">
        <v>86</v>
      </c>
      <c r="H12011" s="9" t="s">
        <v>22</v>
      </c>
      <c r="I12011" s="9" t="s">
        <v>24510</v>
      </c>
      <c r="J12011" s="10" t="str">
        <f>HYPERLINK("https://www.boe.es/gazeta/dias/1834/10/14/pdfs/GMD-C-1834-242.pdf#page=2","Abrir facsímil")</f>
        <v>Abrir facsímil</v>
      </c>
      <c r="K12011" s="10" t="s">
        <v>24</v>
      </c>
    </row>
    <row r="12012" spans="1:11" ht="54" customHeight="1">
      <c r="A12012" s="9" t="s">
        <v>24511</v>
      </c>
      <c r="B12012" s="9" t="s">
        <v>24511</v>
      </c>
      <c r="C12012" s="9" t="s">
        <v>17</v>
      </c>
      <c r="D12012" s="9" t="s">
        <v>18</v>
      </c>
      <c r="E12012" s="10" t="s">
        <v>19</v>
      </c>
      <c r="F12012" s="9" t="s">
        <v>20</v>
      </c>
      <c r="G12012" s="10" t="s">
        <v>21</v>
      </c>
      <c r="H12012" s="9" t="s">
        <v>22</v>
      </c>
      <c r="I12012" s="9" t="s">
        <v>24512</v>
      </c>
      <c r="J12012" s="10" t="str">
        <f>HYPERLINK("https://www.boe.es/gazeta/dias/1834/08/17/pdfs/GMD-D-1834-182.pdf#page=3","Abrir facsímil")</f>
        <v>Abrir facsímil</v>
      </c>
      <c r="K12012" s="10" t="s">
        <v>24</v>
      </c>
    </row>
    <row r="12013" spans="1:11" ht="54" customHeight="1">
      <c r="A12013" s="9" t="s">
        <v>24513</v>
      </c>
      <c r="B12013" s="9" t="s">
        <v>24513</v>
      </c>
      <c r="C12013" s="9" t="s">
        <v>17</v>
      </c>
      <c r="D12013" s="9" t="s">
        <v>18</v>
      </c>
      <c r="E12013" s="10" t="s">
        <v>426</v>
      </c>
      <c r="F12013" s="9" t="s">
        <v>694</v>
      </c>
      <c r="G12013" s="10" t="s">
        <v>28</v>
      </c>
      <c r="H12013" s="9" t="s">
        <v>22</v>
      </c>
      <c r="I12013" s="9" t="s">
        <v>24514</v>
      </c>
      <c r="J12013" s="10" t="str">
        <f>HYPERLINK("https://www.boe.es/gazeta/dias/1834/10/04/pdfs/GMD-C-1834-232.pdf#page=5","Abrir facsímil")</f>
        <v>Abrir facsímil</v>
      </c>
      <c r="K12013" s="10" t="s">
        <v>24</v>
      </c>
    </row>
    <row r="12014" spans="1:11" ht="54" customHeight="1">
      <c r="A12014" s="9" t="s">
        <v>24515</v>
      </c>
      <c r="B12014" s="9" t="s">
        <v>24515</v>
      </c>
      <c r="C12014" s="9" t="s">
        <v>17</v>
      </c>
      <c r="D12014" s="9" t="s">
        <v>40</v>
      </c>
      <c r="E12014" s="10" t="s">
        <v>891</v>
      </c>
      <c r="F12014" s="9" t="s">
        <v>892</v>
      </c>
      <c r="G12014" s="10" t="s">
        <v>86</v>
      </c>
      <c r="H12014" s="9" t="s">
        <v>22</v>
      </c>
      <c r="I12014" s="9" t="s">
        <v>24516</v>
      </c>
      <c r="J12014" s="10" t="str">
        <f>HYPERLINK("https://www.boe.es/gazeta/dias/1834/10/31/pdfs/GMD-C-1834-259.pdf#page=2","Abrir facsímil")</f>
        <v>Abrir facsímil</v>
      </c>
      <c r="K12014" s="10" t="s">
        <v>24</v>
      </c>
    </row>
    <row r="12015" spans="1:11" ht="54" customHeight="1">
      <c r="A12015" s="9" t="s">
        <v>24517</v>
      </c>
      <c r="B12015" s="9" t="s">
        <v>24517</v>
      </c>
      <c r="C12015" s="9" t="s">
        <v>46</v>
      </c>
      <c r="D12015" s="9" t="s">
        <v>101</v>
      </c>
      <c r="E12015" s="10" t="s">
        <v>2596</v>
      </c>
      <c r="F12015" s="9" t="s">
        <v>5480</v>
      </c>
      <c r="G12015" s="10" t="s">
        <v>34</v>
      </c>
      <c r="H12015" s="9" t="s">
        <v>22</v>
      </c>
      <c r="I12015" s="9" t="s">
        <v>24518</v>
      </c>
      <c r="J12015" s="10" t="str">
        <f>HYPERLINK("https://www.boe.es/gazeta/dias/1834/10/22/pdfs/GMD-C-1834-250.pdf#page=1","Abrir facsímil")</f>
        <v>Abrir facsímil</v>
      </c>
      <c r="K12015" s="10" t="s">
        <v>24</v>
      </c>
    </row>
    <row r="12016" spans="1:11" ht="54" customHeight="1">
      <c r="A12016" s="9" t="s">
        <v>24519</v>
      </c>
      <c r="B12016" s="9" t="s">
        <v>24519</v>
      </c>
      <c r="C12016" s="9" t="s">
        <v>90</v>
      </c>
      <c r="D12016" s="9" t="s">
        <v>55</v>
      </c>
      <c r="E12016" s="10" t="s">
        <v>1284</v>
      </c>
      <c r="F12016" s="9" t="s">
        <v>1285</v>
      </c>
      <c r="G12016" s="10" t="s">
        <v>34</v>
      </c>
      <c r="H12016" s="9" t="s">
        <v>22</v>
      </c>
      <c r="I12016" s="9" t="s">
        <v>24520</v>
      </c>
      <c r="J12016" s="10" t="str">
        <f>HYPERLINK("https://www.boe.es/gazeta/dias/1834/11/28/pdfs/GMD-1834-287.pdf#page=1","Abrir facsímil")</f>
        <v>Abrir facsímil</v>
      </c>
      <c r="K12016" s="10" t="s">
        <v>24</v>
      </c>
    </row>
    <row r="12017" spans="1:11" ht="54" customHeight="1">
      <c r="A12017" s="9" t="s">
        <v>24521</v>
      </c>
      <c r="B12017" s="9" t="s">
        <v>24521</v>
      </c>
      <c r="C12017" s="9" t="s">
        <v>17</v>
      </c>
      <c r="D12017" s="9" t="s">
        <v>18</v>
      </c>
      <c r="E12017" s="10" t="s">
        <v>330</v>
      </c>
      <c r="F12017" s="9" t="s">
        <v>331</v>
      </c>
      <c r="G12017" s="10" t="s">
        <v>34</v>
      </c>
      <c r="H12017" s="9" t="s">
        <v>22</v>
      </c>
      <c r="I12017" s="9" t="s">
        <v>24522</v>
      </c>
      <c r="J12017" s="10" t="str">
        <f>HYPERLINK("https://www.boe.es/gazeta/dias/1834/12/03/pdfs/GMD-1834-292.pdf#page=1","Abrir facsímil")</f>
        <v>Abrir facsímil</v>
      </c>
      <c r="K12017" s="10" t="s">
        <v>24</v>
      </c>
    </row>
    <row r="12018" spans="1:11" ht="54" customHeight="1">
      <c r="A12018" s="9" t="s">
        <v>24523</v>
      </c>
      <c r="B12018" s="9" t="s">
        <v>24523</v>
      </c>
      <c r="C12018" s="9" t="s">
        <v>46</v>
      </c>
      <c r="D12018" s="9" t="s">
        <v>18</v>
      </c>
      <c r="E12018" s="10" t="s">
        <v>2278</v>
      </c>
      <c r="F12018" s="9" t="s">
        <v>3088</v>
      </c>
      <c r="G12018" s="10" t="s">
        <v>86</v>
      </c>
      <c r="H12018" s="9" t="s">
        <v>22</v>
      </c>
      <c r="I12018" s="9" t="s">
        <v>24524</v>
      </c>
      <c r="J12018" s="10" t="str">
        <f>HYPERLINK("https://www.boe.es/gazeta/dias/1834/12/17/pdfs/GMD-1834-306.pdf#page=2","Abrir facsímil")</f>
        <v>Abrir facsímil</v>
      </c>
      <c r="K12018" s="10" t="s">
        <v>24</v>
      </c>
    </row>
    <row r="12019" spans="1:11" ht="54" customHeight="1">
      <c r="A12019" s="9" t="s">
        <v>24525</v>
      </c>
      <c r="B12019" s="9" t="s">
        <v>24525</v>
      </c>
      <c r="C12019" s="9" t="s">
        <v>90</v>
      </c>
      <c r="D12019" s="9" t="s">
        <v>101</v>
      </c>
      <c r="E12019" s="10" t="s">
        <v>1402</v>
      </c>
      <c r="F12019" s="9" t="s">
        <v>1403</v>
      </c>
      <c r="G12019" s="10" t="s">
        <v>34</v>
      </c>
      <c r="H12019" s="9" t="s">
        <v>22</v>
      </c>
      <c r="I12019" s="9" t="s">
        <v>24526</v>
      </c>
      <c r="J12019" s="10" t="str">
        <f>HYPERLINK("https://www.boe.es/gazeta/dias/1834/05/05/pdfs/I00347-00348.pdf#page=1","Abrir facsímil")</f>
        <v>Abrir facsímil</v>
      </c>
      <c r="K12019" s="10" t="s">
        <v>24</v>
      </c>
    </row>
    <row r="12020" spans="1:11" ht="54" customHeight="1">
      <c r="A12020" s="9" t="s">
        <v>24525</v>
      </c>
      <c r="B12020" s="9" t="s">
        <v>24525</v>
      </c>
      <c r="C12020" s="9" t="s">
        <v>90</v>
      </c>
      <c r="D12020" s="9" t="s">
        <v>101</v>
      </c>
      <c r="E12020" s="10" t="s">
        <v>1402</v>
      </c>
      <c r="F12020" s="9" t="s">
        <v>1403</v>
      </c>
      <c r="G12020" s="10" t="s">
        <v>28</v>
      </c>
      <c r="H12020" s="9" t="s">
        <v>22</v>
      </c>
      <c r="I12020" s="9" t="s">
        <v>24527</v>
      </c>
      <c r="J12020" s="10" t="str">
        <f>HYPERLINK("https://www.boe.es/gazeta/dias/1834/05/05/pdfs/GMD-1834-74.pdf#page=5","Abrir facsímil")</f>
        <v>Abrir facsímil</v>
      </c>
      <c r="K12020" s="10" t="s">
        <v>24</v>
      </c>
    </row>
    <row r="12021" spans="1:11" ht="54" customHeight="1">
      <c r="A12021" s="9" t="s">
        <v>24528</v>
      </c>
      <c r="B12021" s="9" t="s">
        <v>24528</v>
      </c>
      <c r="C12021" s="9" t="s">
        <v>17</v>
      </c>
      <c r="D12021" s="9" t="s">
        <v>18</v>
      </c>
      <c r="E12021" s="10" t="s">
        <v>200</v>
      </c>
      <c r="F12021" s="9" t="s">
        <v>201</v>
      </c>
      <c r="G12021" s="10" t="s">
        <v>75</v>
      </c>
      <c r="H12021" s="9" t="s">
        <v>22</v>
      </c>
      <c r="I12021" s="9" t="s">
        <v>24529</v>
      </c>
      <c r="J12021" s="10" t="str">
        <f>HYPERLINK("https://www.boe.es/gazeta/dias/1834/12/11/pdfs/GMD-1834-300.pdf#page=4","Abrir facsímil")</f>
        <v>Abrir facsímil</v>
      </c>
      <c r="K12021" s="10" t="s">
        <v>24</v>
      </c>
    </row>
    <row r="12022" spans="1:11" ht="54" customHeight="1">
      <c r="A12022" s="9" t="s">
        <v>24530</v>
      </c>
      <c r="B12022" s="9" t="s">
        <v>24530</v>
      </c>
      <c r="C12022" s="9" t="s">
        <v>46</v>
      </c>
      <c r="D12022" s="9" t="s">
        <v>55</v>
      </c>
      <c r="E12022" s="10" t="s">
        <v>2212</v>
      </c>
      <c r="F12022" s="9" t="s">
        <v>5450</v>
      </c>
      <c r="G12022" s="10" t="s">
        <v>21</v>
      </c>
      <c r="H12022" s="9" t="s">
        <v>22</v>
      </c>
      <c r="I12022" s="9" t="s">
        <v>24531</v>
      </c>
      <c r="J12022" s="10" t="str">
        <f>HYPERLINK("https://www.boe.es/gazeta/dias/1834/08/04/pdfs/GMD-1834-168.pdf#page=3","Abrir facsímil")</f>
        <v>Abrir facsímil</v>
      </c>
      <c r="K12022" s="10" t="s">
        <v>24</v>
      </c>
    </row>
    <row r="12023" spans="1:11" ht="54" customHeight="1">
      <c r="A12023" s="9" t="s">
        <v>24532</v>
      </c>
      <c r="B12023" s="9" t="s">
        <v>24532</v>
      </c>
      <c r="C12023" s="9" t="s">
        <v>90</v>
      </c>
      <c r="D12023" s="9" t="s">
        <v>55</v>
      </c>
      <c r="E12023" s="10" t="s">
        <v>1704</v>
      </c>
      <c r="F12023" s="9" t="s">
        <v>1705</v>
      </c>
      <c r="G12023" s="10" t="s">
        <v>34</v>
      </c>
      <c r="H12023" s="9" t="s">
        <v>22</v>
      </c>
      <c r="I12023" s="9" t="s">
        <v>24533</v>
      </c>
      <c r="J12023" s="10" t="str">
        <f>HYPERLINK("https://www.boe.es/gazeta/dias/1834/12/02/pdfs/GMD-1834-291.pdf#page=1","Abrir facsímil")</f>
        <v>Abrir facsímil</v>
      </c>
      <c r="K12023" s="10" t="s">
        <v>24</v>
      </c>
    </row>
    <row r="12024" spans="1:11" ht="54" customHeight="1">
      <c r="A12024" s="9" t="s">
        <v>24532</v>
      </c>
      <c r="B12024" s="9" t="s">
        <v>24532</v>
      </c>
      <c r="C12024" s="9" t="s">
        <v>66</v>
      </c>
      <c r="D12024" s="9" t="s">
        <v>67</v>
      </c>
      <c r="E12024" s="10" t="s">
        <v>2107</v>
      </c>
      <c r="F12024" s="9" t="s">
        <v>2108</v>
      </c>
      <c r="G12024" s="10" t="s">
        <v>34</v>
      </c>
      <c r="H12024" s="9" t="s">
        <v>22</v>
      </c>
      <c r="I12024" s="9" t="s">
        <v>24534</v>
      </c>
      <c r="J12024" s="10" t="str">
        <f>HYPERLINK("https://www.boe.es/gazeta/dias/1834/08/24/pdfs/GMD-1834-190.pdf#page=1","Abrir facsímil")</f>
        <v>Abrir facsímil</v>
      </c>
      <c r="K12024" s="10" t="s">
        <v>24</v>
      </c>
    </row>
    <row r="12025" spans="1:11" ht="54" customHeight="1">
      <c r="A12025" s="9" t="s">
        <v>24532</v>
      </c>
      <c r="B12025" s="9" t="s">
        <v>24532</v>
      </c>
      <c r="C12025" s="9" t="s">
        <v>17</v>
      </c>
      <c r="D12025" s="9" t="s">
        <v>18</v>
      </c>
      <c r="E12025" s="10" t="s">
        <v>658</v>
      </c>
      <c r="F12025" s="9" t="s">
        <v>659</v>
      </c>
      <c r="G12025" s="10" t="s">
        <v>86</v>
      </c>
      <c r="H12025" s="9" t="s">
        <v>22</v>
      </c>
      <c r="I12025" s="9" t="s">
        <v>24535</v>
      </c>
      <c r="J12025" s="10" t="str">
        <f>HYPERLINK("https://www.boe.es/gazeta/dias/1834/05/26/pdfs/GMD-1834-95.pdf#page=2","Abrir facsímil")</f>
        <v>Abrir facsímil</v>
      </c>
      <c r="K12025" s="10" t="s">
        <v>24</v>
      </c>
    </row>
    <row r="12026" spans="1:11" ht="54" customHeight="1">
      <c r="A12026" s="9" t="s">
        <v>24536</v>
      </c>
      <c r="B12026" s="9" t="s">
        <v>24537</v>
      </c>
      <c r="C12026" s="9" t="s">
        <v>17</v>
      </c>
      <c r="D12026" s="9" t="s">
        <v>18</v>
      </c>
      <c r="E12026" s="10" t="s">
        <v>981</v>
      </c>
      <c r="F12026" s="9" t="s">
        <v>982</v>
      </c>
      <c r="G12026" s="10" t="s">
        <v>86</v>
      </c>
      <c r="H12026" s="9" t="s">
        <v>22</v>
      </c>
      <c r="I12026" s="9" t="s">
        <v>24538</v>
      </c>
      <c r="J12026" s="10" t="str">
        <f>HYPERLINK("https://www.boe.es/gazeta/dias/1834/09/21/pdfs/GMD-1834-219.pdf#page=2","Abrir facsímil")</f>
        <v>Abrir facsímil</v>
      </c>
      <c r="K12026" s="10" t="s">
        <v>24</v>
      </c>
    </row>
    <row r="12027" spans="1:11" ht="54" customHeight="1">
      <c r="A12027" s="9" t="s">
        <v>24539</v>
      </c>
      <c r="B12027" s="9" t="s">
        <v>24540</v>
      </c>
      <c r="C12027" s="9" t="s">
        <v>17</v>
      </c>
      <c r="D12027" s="9" t="s">
        <v>18</v>
      </c>
      <c r="E12027" s="10" t="s">
        <v>981</v>
      </c>
      <c r="F12027" s="9" t="s">
        <v>982</v>
      </c>
      <c r="G12027" s="10" t="s">
        <v>86</v>
      </c>
      <c r="H12027" s="9" t="s">
        <v>35</v>
      </c>
      <c r="I12027" s="9" t="s">
        <v>24541</v>
      </c>
      <c r="J12027" s="10" t="str">
        <f>HYPERLINK("https://www.boe.es/gazeta/dias/1834/09/21/pdfs/GMD-1834-219.pdf#page=2","Abrir facsímil")</f>
        <v>Abrir facsímil</v>
      </c>
      <c r="K12027" s="10" t="s">
        <v>37</v>
      </c>
    </row>
    <row r="12028" spans="1:11" ht="54" customHeight="1">
      <c r="A12028" s="9" t="s">
        <v>24542</v>
      </c>
      <c r="B12028" s="9" t="s">
        <v>24542</v>
      </c>
      <c r="C12028" s="9" t="s">
        <v>46</v>
      </c>
      <c r="D12028" s="9" t="s">
        <v>18</v>
      </c>
      <c r="E12028" s="10" t="s">
        <v>128</v>
      </c>
      <c r="F12028" s="9" t="s">
        <v>1068</v>
      </c>
      <c r="G12028" s="10" t="s">
        <v>86</v>
      </c>
      <c r="H12028" s="9" t="s">
        <v>22</v>
      </c>
      <c r="I12028" s="9" t="s">
        <v>24543</v>
      </c>
      <c r="J12028" s="10" t="str">
        <f>HYPERLINK("https://www.boe.es/gazeta/dias/1834/12/24/pdfs/GMD-1834-314.pdf#page=2","Abrir facsímil")</f>
        <v>Abrir facsímil</v>
      </c>
      <c r="K12028" s="10" t="s">
        <v>24</v>
      </c>
    </row>
    <row r="12029" spans="1:11" ht="54" customHeight="1">
      <c r="A12029" s="9" t="s">
        <v>24544</v>
      </c>
      <c r="B12029" s="9" t="s">
        <v>24544</v>
      </c>
      <c r="C12029" s="9" t="s">
        <v>46</v>
      </c>
      <c r="D12029" s="9" t="s">
        <v>101</v>
      </c>
      <c r="E12029" s="10" t="s">
        <v>2212</v>
      </c>
      <c r="F12029" s="9" t="s">
        <v>5450</v>
      </c>
      <c r="G12029" s="10" t="s">
        <v>21</v>
      </c>
      <c r="H12029" s="9" t="s">
        <v>22</v>
      </c>
      <c r="I12029" s="9" t="s">
        <v>24545</v>
      </c>
      <c r="J12029" s="10" t="str">
        <f>HYPERLINK("https://www.boe.es/gazeta/dias/1834/08/04/pdfs/GMD-1834-168.pdf#page=3","Abrir facsímil")</f>
        <v>Abrir facsímil</v>
      </c>
      <c r="K12029" s="10" t="s">
        <v>24</v>
      </c>
    </row>
    <row r="12030" spans="1:11" ht="54" customHeight="1">
      <c r="A12030" s="9" t="s">
        <v>24546</v>
      </c>
      <c r="B12030" s="9" t="s">
        <v>24546</v>
      </c>
      <c r="C12030" s="9" t="s">
        <v>46</v>
      </c>
      <c r="D12030" s="9" t="s">
        <v>55</v>
      </c>
      <c r="E12030" s="10" t="s">
        <v>3054</v>
      </c>
      <c r="F12030" s="9" t="s">
        <v>3055</v>
      </c>
      <c r="G12030" s="10" t="s">
        <v>86</v>
      </c>
      <c r="H12030" s="9" t="s">
        <v>22</v>
      </c>
      <c r="I12030" s="9" t="s">
        <v>24547</v>
      </c>
      <c r="J12030" s="10" t="str">
        <f>HYPERLINK("https://www.boe.es/gazeta/dias/1834/10/06/pdfs/GMD-1834-234.pdf#page=2","Abrir facsímil")</f>
        <v>Abrir facsímil</v>
      </c>
      <c r="K12030" s="10" t="s">
        <v>24</v>
      </c>
    </row>
    <row r="12031" spans="1:11" ht="54" customHeight="1">
      <c r="A12031" s="9" t="s">
        <v>24548</v>
      </c>
      <c r="B12031" s="9" t="s">
        <v>24548</v>
      </c>
      <c r="C12031" s="9" t="s">
        <v>122</v>
      </c>
      <c r="D12031" s="9" t="s">
        <v>18</v>
      </c>
      <c r="E12031" s="10" t="s">
        <v>1641</v>
      </c>
      <c r="F12031" s="9" t="s">
        <v>1729</v>
      </c>
      <c r="G12031" s="10" t="s">
        <v>21</v>
      </c>
      <c r="H12031" s="9" t="s">
        <v>22</v>
      </c>
      <c r="I12031" s="9" t="s">
        <v>24549</v>
      </c>
      <c r="J12031" s="10" t="str">
        <f>HYPERLINK("https://www.boe.es/gazeta/dias/1834/09/28/pdfs/GMD-1834-226.pdf#page=3","Abrir facsímil")</f>
        <v>Abrir facsímil</v>
      </c>
      <c r="K12031" s="10" t="s">
        <v>24</v>
      </c>
    </row>
    <row r="12032" spans="1:11" ht="54" customHeight="1">
      <c r="A12032" s="9" t="s">
        <v>24550</v>
      </c>
      <c r="B12032" s="9" t="s">
        <v>24550</v>
      </c>
      <c r="C12032" s="9" t="s">
        <v>17</v>
      </c>
      <c r="D12032" s="9" t="s">
        <v>18</v>
      </c>
      <c r="E12032" s="10" t="s">
        <v>462</v>
      </c>
      <c r="F12032" s="9" t="s">
        <v>2110</v>
      </c>
      <c r="G12032" s="10" t="s">
        <v>34</v>
      </c>
      <c r="H12032" s="9" t="s">
        <v>22</v>
      </c>
      <c r="I12032" s="9" t="s">
        <v>24551</v>
      </c>
      <c r="J12032" s="10" t="str">
        <f>HYPERLINK("https://www.boe.es/gazeta/dias/1834/08/27/pdfs/GMD-1834-193.pdf#page=1","Abrir facsímil")</f>
        <v>Abrir facsímil</v>
      </c>
      <c r="K12032" s="10" t="s">
        <v>24</v>
      </c>
    </row>
    <row r="12033" spans="1:11" ht="54" customHeight="1">
      <c r="A12033" s="9" t="s">
        <v>24552</v>
      </c>
      <c r="B12033" s="9" t="s">
        <v>24552</v>
      </c>
      <c r="C12033" s="9" t="s">
        <v>17</v>
      </c>
      <c r="D12033" s="9" t="s">
        <v>18</v>
      </c>
      <c r="E12033" s="10" t="s">
        <v>1297</v>
      </c>
      <c r="F12033" s="9" t="s">
        <v>1298</v>
      </c>
      <c r="G12033" s="10" t="s">
        <v>86</v>
      </c>
      <c r="H12033" s="9" t="s">
        <v>22</v>
      </c>
      <c r="I12033" s="9" t="s">
        <v>24553</v>
      </c>
      <c r="J12033" s="10" t="str">
        <f>HYPERLINK("https://www.boe.es/gazeta/dias/1834/08/01/pdfs/GMD-1834-165.pdf#page=2","Abrir facsímil")</f>
        <v>Abrir facsímil</v>
      </c>
      <c r="K12033" s="10" t="s">
        <v>24</v>
      </c>
    </row>
    <row r="12034" spans="1:11" ht="54" customHeight="1">
      <c r="A12034" s="9" t="s">
        <v>24552</v>
      </c>
      <c r="B12034" s="9" t="s">
        <v>24552</v>
      </c>
      <c r="C12034" s="9" t="s">
        <v>46</v>
      </c>
      <c r="D12034" s="9" t="s">
        <v>101</v>
      </c>
      <c r="E12034" s="10" t="s">
        <v>1704</v>
      </c>
      <c r="F12034" s="9" t="s">
        <v>1705</v>
      </c>
      <c r="G12034" s="10" t="s">
        <v>21</v>
      </c>
      <c r="H12034" s="9" t="s">
        <v>22</v>
      </c>
      <c r="I12034" s="9" t="s">
        <v>24554</v>
      </c>
      <c r="J12034" s="10" t="str">
        <f>HYPERLINK("https://www.boe.es/gazeta/dias/1834/12/02/pdfs/GMD-1834-291.pdf#page=3","Abrir facsímil")</f>
        <v>Abrir facsímil</v>
      </c>
      <c r="K12034" s="10" t="s">
        <v>24</v>
      </c>
    </row>
    <row r="12035" spans="1:11" ht="54" customHeight="1">
      <c r="A12035" s="9" t="s">
        <v>24552</v>
      </c>
      <c r="B12035" s="9" t="s">
        <v>24552</v>
      </c>
      <c r="C12035" s="9" t="s">
        <v>17</v>
      </c>
      <c r="D12035" s="9" t="s">
        <v>55</v>
      </c>
      <c r="E12035" s="10" t="s">
        <v>1653</v>
      </c>
      <c r="F12035" s="9" t="s">
        <v>1654</v>
      </c>
      <c r="G12035" s="10" t="s">
        <v>86</v>
      </c>
      <c r="H12035" s="9" t="s">
        <v>22</v>
      </c>
      <c r="I12035" s="9" t="s">
        <v>24555</v>
      </c>
      <c r="J12035" s="10" t="str">
        <f>HYPERLINK("https://www.boe.es/gazeta/dias/1834/07/03/pdfs/GMD-1834-136.pdf#page=2","Abrir facsímil")</f>
        <v>Abrir facsímil</v>
      </c>
      <c r="K12035" s="10" t="s">
        <v>24</v>
      </c>
    </row>
    <row r="12036" spans="1:11" ht="54" customHeight="1">
      <c r="A12036" s="9" t="s">
        <v>24552</v>
      </c>
      <c r="B12036" s="9" t="s">
        <v>24552</v>
      </c>
      <c r="C12036" s="9" t="s">
        <v>17</v>
      </c>
      <c r="D12036" s="9" t="s">
        <v>18</v>
      </c>
      <c r="E12036" s="10" t="s">
        <v>47</v>
      </c>
      <c r="F12036" s="9" t="s">
        <v>1466</v>
      </c>
      <c r="G12036" s="10" t="s">
        <v>86</v>
      </c>
      <c r="H12036" s="9" t="s">
        <v>22</v>
      </c>
      <c r="I12036" s="9" t="s">
        <v>24556</v>
      </c>
      <c r="J12036" s="10" t="str">
        <f>HYPERLINK("https://www.boe.es/gazeta/dias/1834/09/05/pdfs/GMD-1834-203.pdf#page=2","Abrir facsímil")</f>
        <v>Abrir facsímil</v>
      </c>
      <c r="K12036" s="10" t="s">
        <v>24</v>
      </c>
    </row>
    <row r="12037" spans="1:11" ht="54" customHeight="1">
      <c r="A12037" s="9" t="s">
        <v>24552</v>
      </c>
      <c r="B12037" s="9" t="s">
        <v>24552</v>
      </c>
      <c r="C12037" s="9" t="s">
        <v>17</v>
      </c>
      <c r="D12037" s="9" t="s">
        <v>55</v>
      </c>
      <c r="E12037" s="10" t="s">
        <v>258</v>
      </c>
      <c r="F12037" s="9" t="s">
        <v>1075</v>
      </c>
      <c r="G12037" s="10" t="s">
        <v>34</v>
      </c>
      <c r="H12037" s="9" t="s">
        <v>22</v>
      </c>
      <c r="I12037" s="9" t="s">
        <v>24557</v>
      </c>
      <c r="J12037" s="10" t="str">
        <f>HYPERLINK("https://www.boe.es/gazeta/dias/1834/10/09/pdfs/GMD-1834-237.pdf#page=1","Abrir facsímil")</f>
        <v>Abrir facsímil</v>
      </c>
      <c r="K12037" s="10" t="s">
        <v>24</v>
      </c>
    </row>
    <row r="12038" spans="1:11" ht="54" customHeight="1">
      <c r="A12038" s="9" t="s">
        <v>24552</v>
      </c>
      <c r="B12038" s="9" t="s">
        <v>24552</v>
      </c>
      <c r="C12038" s="9" t="s">
        <v>17</v>
      </c>
      <c r="D12038" s="9" t="s">
        <v>18</v>
      </c>
      <c r="E12038" s="10" t="s">
        <v>5435</v>
      </c>
      <c r="F12038" s="9" t="s">
        <v>5436</v>
      </c>
      <c r="G12038" s="10" t="s">
        <v>86</v>
      </c>
      <c r="H12038" s="9" t="s">
        <v>22</v>
      </c>
      <c r="I12038" s="9" t="s">
        <v>24558</v>
      </c>
      <c r="J12038" s="10" t="str">
        <f>HYPERLINK("https://www.boe.es/gazeta/dias/1834/05/11/pdfs/GMD-1834-80.pdf#page=2","Abrir facsímil")</f>
        <v>Abrir facsímil</v>
      </c>
      <c r="K12038" s="10" t="s">
        <v>24</v>
      </c>
    </row>
    <row r="12039" spans="1:11" ht="54" customHeight="1">
      <c r="A12039" s="9" t="s">
        <v>24552</v>
      </c>
      <c r="B12039" s="9" t="s">
        <v>24552</v>
      </c>
      <c r="C12039" s="9" t="s">
        <v>17</v>
      </c>
      <c r="D12039" s="9" t="s">
        <v>18</v>
      </c>
      <c r="E12039" s="10" t="s">
        <v>1226</v>
      </c>
      <c r="F12039" s="9" t="s">
        <v>1227</v>
      </c>
      <c r="G12039" s="10" t="s">
        <v>86</v>
      </c>
      <c r="H12039" s="9" t="s">
        <v>22</v>
      </c>
      <c r="I12039" s="9" t="s">
        <v>24559</v>
      </c>
      <c r="J12039" s="10" t="str">
        <f>HYPERLINK("https://www.boe.es/gazeta/dias/1834/07/14/pdfs/GMD-1834-147.pdf#page=2","Abrir facsímil")</f>
        <v>Abrir facsímil</v>
      </c>
      <c r="K12039" s="10" t="s">
        <v>24</v>
      </c>
    </row>
    <row r="12040" spans="1:11" ht="54" customHeight="1">
      <c r="A12040" s="9" t="s">
        <v>24552</v>
      </c>
      <c r="B12040" s="9" t="s">
        <v>24552</v>
      </c>
      <c r="C12040" s="9" t="s">
        <v>17</v>
      </c>
      <c r="D12040" s="9" t="s">
        <v>18</v>
      </c>
      <c r="E12040" s="10" t="s">
        <v>1186</v>
      </c>
      <c r="F12040" s="9" t="s">
        <v>1187</v>
      </c>
      <c r="G12040" s="10" t="s">
        <v>34</v>
      </c>
      <c r="H12040" s="9" t="s">
        <v>22</v>
      </c>
      <c r="I12040" s="9" t="s">
        <v>24560</v>
      </c>
      <c r="J12040" s="10" t="str">
        <f>HYPERLINK("https://www.boe.es/gazeta/dias/1834/08/14/pdfs/GMD-1834-179.pdf#page=1","Abrir facsímil")</f>
        <v>Abrir facsímil</v>
      </c>
      <c r="K12040" s="10" t="s">
        <v>24</v>
      </c>
    </row>
    <row r="12041" spans="1:11" ht="54" customHeight="1">
      <c r="A12041" s="9" t="s">
        <v>24552</v>
      </c>
      <c r="B12041" s="9" t="s">
        <v>24552</v>
      </c>
      <c r="C12041" s="9" t="s">
        <v>17</v>
      </c>
      <c r="D12041" s="9" t="s">
        <v>18</v>
      </c>
      <c r="E12041" s="10" t="s">
        <v>138</v>
      </c>
      <c r="F12041" s="9" t="s">
        <v>139</v>
      </c>
      <c r="G12041" s="10" t="s">
        <v>34</v>
      </c>
      <c r="H12041" s="9" t="s">
        <v>22</v>
      </c>
      <c r="I12041" s="9" t="s">
        <v>24561</v>
      </c>
      <c r="J12041" s="10" t="str">
        <f>HYPERLINK("https://www.boe.es/gazeta/dias/1834/05/17/pdfs/GMD-1834-86.pdf#page=1","Abrir facsímil")</f>
        <v>Abrir facsímil</v>
      </c>
      <c r="K12041" s="10" t="s">
        <v>24</v>
      </c>
    </row>
    <row r="12042" spans="1:11" ht="54" customHeight="1">
      <c r="A12042" s="9" t="s">
        <v>24552</v>
      </c>
      <c r="B12042" s="9" t="s">
        <v>24552</v>
      </c>
      <c r="C12042" s="9" t="s">
        <v>17</v>
      </c>
      <c r="D12042" s="9" t="s">
        <v>40</v>
      </c>
      <c r="E12042" s="10" t="s">
        <v>715</v>
      </c>
      <c r="F12042" s="9" t="s">
        <v>7773</v>
      </c>
      <c r="G12042" s="10" t="s">
        <v>21</v>
      </c>
      <c r="H12042" s="9" t="s">
        <v>22</v>
      </c>
      <c r="I12042" s="9" t="s">
        <v>24562</v>
      </c>
      <c r="J12042" s="10" t="str">
        <f>HYPERLINK("https://www.boe.es/gazeta/dias/1834/09/17/pdfs/GMD-1834-215.pdf#page=3","Abrir facsímil")</f>
        <v>Abrir facsímil</v>
      </c>
      <c r="K12042" s="10" t="s">
        <v>24</v>
      </c>
    </row>
    <row r="12043" spans="1:11" ht="54" customHeight="1">
      <c r="A12043" s="9" t="s">
        <v>24552</v>
      </c>
      <c r="B12043" s="9" t="s">
        <v>24552</v>
      </c>
      <c r="C12043" s="9" t="s">
        <v>90</v>
      </c>
      <c r="D12043" s="9" t="s">
        <v>101</v>
      </c>
      <c r="E12043" s="10" t="s">
        <v>117</v>
      </c>
      <c r="F12043" s="9" t="s">
        <v>118</v>
      </c>
      <c r="G12043" s="10" t="s">
        <v>75</v>
      </c>
      <c r="H12043" s="9" t="s">
        <v>22</v>
      </c>
      <c r="I12043" s="9" t="s">
        <v>24563</v>
      </c>
      <c r="J12043" s="10" t="str">
        <f>HYPERLINK("https://www.boe.es/gazeta/dias/1834/07/21/pdfs/GMD-1834-154.pdf#page=4","Abrir facsímil")</f>
        <v>Abrir facsímil</v>
      </c>
      <c r="K12043" s="10" t="s">
        <v>24</v>
      </c>
    </row>
    <row r="12044" spans="1:11" ht="54" customHeight="1">
      <c r="A12044" s="9" t="s">
        <v>24552</v>
      </c>
      <c r="B12044" s="9" t="s">
        <v>24552</v>
      </c>
      <c r="C12044" s="9" t="s">
        <v>122</v>
      </c>
      <c r="D12044" s="9" t="s">
        <v>18</v>
      </c>
      <c r="E12044" s="10" t="s">
        <v>1575</v>
      </c>
      <c r="F12044" s="9" t="s">
        <v>1576</v>
      </c>
      <c r="G12044" s="10" t="s">
        <v>86</v>
      </c>
      <c r="H12044" s="9" t="s">
        <v>22</v>
      </c>
      <c r="I12044" s="9" t="s">
        <v>24564</v>
      </c>
      <c r="J12044" s="10" t="str">
        <f>HYPERLINK("https://www.boe.es/gazeta/dias/1834/11/24/pdfs/GMD-1834-283.pdf#page=2","Abrir facsímil")</f>
        <v>Abrir facsímil</v>
      </c>
      <c r="K12044" s="10" t="s">
        <v>24</v>
      </c>
    </row>
    <row r="12045" spans="1:11" ht="54" customHeight="1">
      <c r="A12045" s="9" t="s">
        <v>24552</v>
      </c>
      <c r="B12045" s="9" t="s">
        <v>24552</v>
      </c>
      <c r="C12045" s="9" t="s">
        <v>46</v>
      </c>
      <c r="D12045" s="9" t="s">
        <v>101</v>
      </c>
      <c r="E12045" s="10" t="s">
        <v>1674</v>
      </c>
      <c r="F12045" s="9" t="s">
        <v>1675</v>
      </c>
      <c r="G12045" s="10" t="s">
        <v>21</v>
      </c>
      <c r="H12045" s="9" t="s">
        <v>22</v>
      </c>
      <c r="I12045" s="9" t="s">
        <v>24565</v>
      </c>
      <c r="J12045" s="10" t="str">
        <f>HYPERLINK("https://www.boe.es/gazeta/dias/1834/07/25/pdfs/GMD-1834-158.pdf#page=3","Abrir facsímil")</f>
        <v>Abrir facsímil</v>
      </c>
      <c r="K12045" s="10" t="s">
        <v>24</v>
      </c>
    </row>
    <row r="12046" spans="1:11" ht="54" customHeight="1">
      <c r="A12046" s="9" t="s">
        <v>24552</v>
      </c>
      <c r="B12046" s="9" t="s">
        <v>24552</v>
      </c>
      <c r="C12046" s="9" t="s">
        <v>46</v>
      </c>
      <c r="D12046" s="9" t="s">
        <v>55</v>
      </c>
      <c r="E12046" s="10" t="s">
        <v>707</v>
      </c>
      <c r="F12046" s="9" t="s">
        <v>1359</v>
      </c>
      <c r="G12046" s="10" t="s">
        <v>86</v>
      </c>
      <c r="H12046" s="9" t="s">
        <v>22</v>
      </c>
      <c r="I12046" s="9" t="s">
        <v>24566</v>
      </c>
      <c r="J12046" s="10" t="str">
        <f>HYPERLINK("https://www.boe.es/gazeta/dias/1834/11/25/pdfs/GMD-1834-284.pdf#page=2","Abrir facsímil")</f>
        <v>Abrir facsímil</v>
      </c>
      <c r="K12046" s="10" t="s">
        <v>24</v>
      </c>
    </row>
    <row r="12047" spans="1:11" ht="54" customHeight="1">
      <c r="A12047" s="9" t="s">
        <v>24552</v>
      </c>
      <c r="B12047" s="9" t="s">
        <v>24552</v>
      </c>
      <c r="C12047" s="9" t="s">
        <v>17</v>
      </c>
      <c r="D12047" s="9" t="s">
        <v>55</v>
      </c>
      <c r="E12047" s="10" t="s">
        <v>524</v>
      </c>
      <c r="F12047" s="9" t="s">
        <v>4743</v>
      </c>
      <c r="G12047" s="10" t="s">
        <v>21</v>
      </c>
      <c r="H12047" s="9" t="s">
        <v>22</v>
      </c>
      <c r="I12047" s="9" t="s">
        <v>24567</v>
      </c>
      <c r="J12047" s="10" t="str">
        <f>HYPERLINK("https://www.boe.es/gazeta/dias/1834/12/25/pdfs/GMD-1834-315.pdf#page=3","Abrir facsímil")</f>
        <v>Abrir facsímil</v>
      </c>
      <c r="K12047" s="10" t="s">
        <v>24</v>
      </c>
    </row>
    <row r="12048" spans="1:11" ht="54" customHeight="1">
      <c r="A12048" s="9" t="s">
        <v>24552</v>
      </c>
      <c r="B12048" s="9" t="s">
        <v>24552</v>
      </c>
      <c r="C12048" s="9" t="s">
        <v>46</v>
      </c>
      <c r="D12048" s="9" t="s">
        <v>18</v>
      </c>
      <c r="E12048" s="10" t="s">
        <v>1135</v>
      </c>
      <c r="F12048" s="9" t="s">
        <v>1136</v>
      </c>
      <c r="G12048" s="10" t="s">
        <v>86</v>
      </c>
      <c r="H12048" s="9" t="s">
        <v>22</v>
      </c>
      <c r="I12048" s="9" t="s">
        <v>24568</v>
      </c>
      <c r="J12048" s="10" t="str">
        <f>HYPERLINK("https://www.boe.es/gazeta/dias/1834/08/26/pdfs/GMD-1834-192.pdf#page=2","Abrir facsímil")</f>
        <v>Abrir facsímil</v>
      </c>
      <c r="K12048" s="10" t="s">
        <v>24</v>
      </c>
    </row>
    <row r="12049" spans="1:11" ht="54" customHeight="1">
      <c r="A12049" s="9" t="s">
        <v>24552</v>
      </c>
      <c r="B12049" s="9" t="s">
        <v>24552</v>
      </c>
      <c r="C12049" s="9" t="s">
        <v>46</v>
      </c>
      <c r="D12049" s="9" t="s">
        <v>18</v>
      </c>
      <c r="E12049" s="10" t="s">
        <v>1284</v>
      </c>
      <c r="F12049" s="9" t="s">
        <v>1285</v>
      </c>
      <c r="G12049" s="10" t="s">
        <v>34</v>
      </c>
      <c r="H12049" s="9" t="s">
        <v>22</v>
      </c>
      <c r="I12049" s="9" t="s">
        <v>24569</v>
      </c>
      <c r="J12049" s="10" t="str">
        <f>HYPERLINK("https://www.boe.es/gazeta/dias/1834/11/28/pdfs/GMD-1834-287.pdf#page=1","Abrir facsímil")</f>
        <v>Abrir facsímil</v>
      </c>
      <c r="K12049" s="10" t="s">
        <v>24</v>
      </c>
    </row>
    <row r="12050" spans="1:11" ht="54" customHeight="1">
      <c r="A12050" s="9" t="s">
        <v>24552</v>
      </c>
      <c r="B12050" s="9" t="s">
        <v>24552</v>
      </c>
      <c r="C12050" s="9" t="s">
        <v>17</v>
      </c>
      <c r="D12050" s="9" t="s">
        <v>18</v>
      </c>
      <c r="E12050" s="10" t="s">
        <v>283</v>
      </c>
      <c r="F12050" s="9" t="s">
        <v>2969</v>
      </c>
      <c r="G12050" s="10" t="s">
        <v>86</v>
      </c>
      <c r="H12050" s="9" t="s">
        <v>22</v>
      </c>
      <c r="I12050" s="9" t="s">
        <v>24570</v>
      </c>
      <c r="J12050" s="10" t="str">
        <f>HYPERLINK("https://www.boe.es/gazeta/dias/1834/11/29/pdfs/GMD-1834-288.pdf#page=2","Abrir facsímil")</f>
        <v>Abrir facsímil</v>
      </c>
      <c r="K12050" s="10" t="s">
        <v>24</v>
      </c>
    </row>
    <row r="12051" spans="1:11" ht="54" customHeight="1">
      <c r="A12051" s="9" t="s">
        <v>24571</v>
      </c>
      <c r="B12051" s="9" t="s">
        <v>24571</v>
      </c>
      <c r="C12051" s="9" t="s">
        <v>17</v>
      </c>
      <c r="D12051" s="9" t="s">
        <v>55</v>
      </c>
      <c r="E12051" s="10" t="s">
        <v>1268</v>
      </c>
      <c r="F12051" s="9" t="s">
        <v>1269</v>
      </c>
      <c r="G12051" s="10" t="s">
        <v>21</v>
      </c>
      <c r="H12051" s="9" t="s">
        <v>22</v>
      </c>
      <c r="I12051" s="9" t="s">
        <v>24572</v>
      </c>
      <c r="J12051" s="10" t="str">
        <f>HYPERLINK("https://www.boe.es/gazeta/dias/1834/12/09/pdfs/GMD-1834-298.pdf#page=3","Abrir facsímil")</f>
        <v>Abrir facsímil</v>
      </c>
      <c r="K12051" s="10" t="s">
        <v>24</v>
      </c>
    </row>
    <row r="12052" spans="1:11" ht="54" customHeight="1">
      <c r="A12052" s="9" t="s">
        <v>24573</v>
      </c>
      <c r="B12052" s="9" t="s">
        <v>24573</v>
      </c>
      <c r="C12052" s="9" t="s">
        <v>17</v>
      </c>
      <c r="D12052" s="9" t="s">
        <v>18</v>
      </c>
      <c r="E12052" s="10" t="s">
        <v>1141</v>
      </c>
      <c r="F12052" s="9" t="s">
        <v>1142</v>
      </c>
      <c r="G12052" s="10" t="s">
        <v>34</v>
      </c>
      <c r="H12052" s="9" t="s">
        <v>22</v>
      </c>
      <c r="I12052" s="9" t="s">
        <v>24574</v>
      </c>
      <c r="J12052" s="10" t="str">
        <f>HYPERLINK("https://www.boe.es/gazeta/dias/1834/04/30/pdfs/GMD-1834-69.pdf#page=1","Abrir facsímil")</f>
        <v>Abrir facsímil</v>
      </c>
      <c r="K12052" s="10" t="s">
        <v>24</v>
      </c>
    </row>
    <row r="12053" spans="1:11" ht="54" customHeight="1">
      <c r="A12053" s="9" t="s">
        <v>24575</v>
      </c>
      <c r="B12053" s="9" t="s">
        <v>24576</v>
      </c>
      <c r="C12053" s="9" t="s">
        <v>17</v>
      </c>
      <c r="D12053" s="9" t="s">
        <v>40</v>
      </c>
      <c r="E12053" s="10" t="s">
        <v>3066</v>
      </c>
      <c r="F12053" s="9" t="s">
        <v>3188</v>
      </c>
      <c r="G12053" s="10" t="s">
        <v>86</v>
      </c>
      <c r="H12053" s="9" t="s">
        <v>22</v>
      </c>
      <c r="I12053" s="9" t="s">
        <v>24577</v>
      </c>
      <c r="J12053" s="10" t="str">
        <f>HYPERLINK("https://www.boe.es/gazeta/dias/1834/08/03/pdfs/I00721-00722.pdf#page=2","Abrir facsímil")</f>
        <v>Abrir facsímil</v>
      </c>
      <c r="K12053" s="10" t="s">
        <v>24</v>
      </c>
    </row>
    <row r="12054" spans="1:11" ht="54" customHeight="1">
      <c r="A12054" s="9" t="s">
        <v>24575</v>
      </c>
      <c r="B12054" s="9" t="s">
        <v>24576</v>
      </c>
      <c r="C12054" s="9" t="s">
        <v>17</v>
      </c>
      <c r="D12054" s="9" t="s">
        <v>40</v>
      </c>
      <c r="E12054" s="10" t="s">
        <v>3066</v>
      </c>
      <c r="F12054" s="9" t="s">
        <v>3188</v>
      </c>
      <c r="G12054" s="10" t="s">
        <v>75</v>
      </c>
      <c r="H12054" s="9" t="s">
        <v>22</v>
      </c>
      <c r="I12054" s="9" t="s">
        <v>24578</v>
      </c>
      <c r="J12054" s="10" t="str">
        <f>HYPERLINK("https://www.boe.es/gazeta/dias/1834/08/03/pdfs/GMD-1834-167.pdf#page=4","Abrir facsímil")</f>
        <v>Abrir facsímil</v>
      </c>
      <c r="K12054" s="10" t="s">
        <v>24</v>
      </c>
    </row>
    <row r="12055" spans="1:11" ht="54" customHeight="1">
      <c r="A12055" s="9" t="s">
        <v>24579</v>
      </c>
      <c r="B12055" s="9" t="s">
        <v>24580</v>
      </c>
      <c r="C12055" s="9" t="s">
        <v>66</v>
      </c>
      <c r="D12055" s="9" t="s">
        <v>67</v>
      </c>
      <c r="E12055" s="10" t="s">
        <v>696</v>
      </c>
      <c r="F12055" s="9" t="s">
        <v>854</v>
      </c>
      <c r="G12055" s="10" t="s">
        <v>21</v>
      </c>
      <c r="H12055" s="9" t="s">
        <v>22</v>
      </c>
      <c r="I12055" s="9" t="s">
        <v>24581</v>
      </c>
      <c r="J12055" s="10" t="str">
        <f>HYPERLINK("https://www.boe.es/gazeta/dias/1834/12/06/pdfs/GMD-1834-295.pdf#page=3","Abrir facsímil")</f>
        <v>Abrir facsímil</v>
      </c>
      <c r="K12055" s="10" t="s">
        <v>24</v>
      </c>
    </row>
    <row r="12056" spans="1:11" ht="54" customHeight="1">
      <c r="A12056" s="9" t="s">
        <v>24582</v>
      </c>
      <c r="B12056" s="9" t="s">
        <v>24583</v>
      </c>
      <c r="C12056" s="9" t="s">
        <v>66</v>
      </c>
      <c r="D12056" s="9" t="s">
        <v>67</v>
      </c>
      <c r="E12056" s="10" t="s">
        <v>696</v>
      </c>
      <c r="F12056" s="9" t="s">
        <v>854</v>
      </c>
      <c r="G12056" s="10" t="s">
        <v>21</v>
      </c>
      <c r="H12056" s="9" t="s">
        <v>35</v>
      </c>
      <c r="I12056" s="9" t="s">
        <v>24584</v>
      </c>
      <c r="J12056" s="10" t="str">
        <f>HYPERLINK("https://www.boe.es/gazeta/dias/1834/12/06/pdfs/GMD-1834-295.pdf#page=3","Abrir facsímil")</f>
        <v>Abrir facsímil</v>
      </c>
      <c r="K12056" s="10" t="s">
        <v>37</v>
      </c>
    </row>
    <row r="12057" spans="1:11" ht="54" customHeight="1">
      <c r="A12057" s="9" t="s">
        <v>24585</v>
      </c>
      <c r="B12057" s="9" t="s">
        <v>24586</v>
      </c>
      <c r="C12057" s="9" t="s">
        <v>90</v>
      </c>
      <c r="D12057" s="9" t="s">
        <v>67</v>
      </c>
      <c r="E12057" s="10" t="s">
        <v>1351</v>
      </c>
      <c r="F12057" s="9" t="s">
        <v>1352</v>
      </c>
      <c r="G12057" s="10" t="s">
        <v>75</v>
      </c>
      <c r="H12057" s="9" t="s">
        <v>22</v>
      </c>
      <c r="I12057" s="9" t="s">
        <v>24587</v>
      </c>
      <c r="J12057" s="10" t="str">
        <f>HYPERLINK("https://www.boe.es/gazeta/dias/1834/07/05/pdfs/GMD-1834-138.pdf#page=4","Abrir facsímil")</f>
        <v>Abrir facsímil</v>
      </c>
      <c r="K12057" s="10" t="s">
        <v>24</v>
      </c>
    </row>
    <row r="12058" spans="1:11" ht="54" customHeight="1">
      <c r="A12058" s="9" t="s">
        <v>24588</v>
      </c>
      <c r="B12058" s="9" t="s">
        <v>24589</v>
      </c>
      <c r="C12058" s="9" t="s">
        <v>17</v>
      </c>
      <c r="D12058" s="9" t="s">
        <v>18</v>
      </c>
      <c r="E12058" s="10" t="s">
        <v>403</v>
      </c>
      <c r="F12058" s="9" t="s">
        <v>3456</v>
      </c>
      <c r="G12058" s="10" t="s">
        <v>75</v>
      </c>
      <c r="H12058" s="9" t="s">
        <v>22</v>
      </c>
      <c r="I12058" s="9" t="s">
        <v>24590</v>
      </c>
      <c r="J12058" s="10" t="str">
        <f>HYPERLINK("https://www.boe.es/gazeta/dias/1834/09/25/pdfs/GMD-1834-223.pdf#page=4","Abrir facsímil")</f>
        <v>Abrir facsímil</v>
      </c>
      <c r="K12058" s="10" t="s">
        <v>24</v>
      </c>
    </row>
    <row r="12059" spans="1:11" ht="54" customHeight="1">
      <c r="A12059" s="9" t="s">
        <v>24591</v>
      </c>
      <c r="B12059" s="9" t="s">
        <v>24592</v>
      </c>
      <c r="C12059" s="9" t="s">
        <v>90</v>
      </c>
      <c r="D12059" s="9" t="s">
        <v>67</v>
      </c>
      <c r="E12059" s="10" t="s">
        <v>1351</v>
      </c>
      <c r="F12059" s="9" t="s">
        <v>1352</v>
      </c>
      <c r="G12059" s="10" t="s">
        <v>75</v>
      </c>
      <c r="H12059" s="9" t="s">
        <v>35</v>
      </c>
      <c r="I12059" s="9" t="s">
        <v>24593</v>
      </c>
      <c r="J12059" s="10" t="str">
        <f>HYPERLINK("https://www.boe.es/gazeta/dias/1834/07/05/pdfs/GMD-1834-138.pdf#page=4","Abrir facsímil")</f>
        <v>Abrir facsímil</v>
      </c>
      <c r="K12059" s="10" t="s">
        <v>37</v>
      </c>
    </row>
    <row r="12060" spans="1:11" ht="54" customHeight="1">
      <c r="A12060" s="9" t="s">
        <v>24594</v>
      </c>
      <c r="B12060" s="9" t="s">
        <v>24595</v>
      </c>
      <c r="C12060" s="9" t="s">
        <v>17</v>
      </c>
      <c r="D12060" s="9" t="s">
        <v>40</v>
      </c>
      <c r="E12060" s="10" t="s">
        <v>403</v>
      </c>
      <c r="F12060" s="9" t="s">
        <v>3456</v>
      </c>
      <c r="G12060" s="10" t="s">
        <v>75</v>
      </c>
      <c r="H12060" s="9" t="s">
        <v>35</v>
      </c>
      <c r="I12060" s="9" t="s">
        <v>24596</v>
      </c>
      <c r="J12060" s="10" t="str">
        <f>HYPERLINK("https://www.boe.es/gazeta/dias/1834/09/25/pdfs/GMD-1834-223.pdf#page=4","Abrir facsímil")</f>
        <v>Abrir facsímil</v>
      </c>
      <c r="K12060" s="10" t="s">
        <v>37</v>
      </c>
    </row>
    <row r="12061" spans="1:11" ht="54" customHeight="1">
      <c r="A12061" s="9" t="s">
        <v>24597</v>
      </c>
      <c r="B12061" s="9" t="s">
        <v>24598</v>
      </c>
      <c r="C12061" s="9" t="s">
        <v>17</v>
      </c>
      <c r="D12061" s="9" t="s">
        <v>40</v>
      </c>
      <c r="E12061" s="10" t="s">
        <v>403</v>
      </c>
      <c r="F12061" s="9" t="s">
        <v>3456</v>
      </c>
      <c r="G12061" s="10" t="s">
        <v>75</v>
      </c>
      <c r="H12061" s="9" t="s">
        <v>22</v>
      </c>
      <c r="I12061" s="9" t="s">
        <v>24599</v>
      </c>
      <c r="J12061" s="10" t="str">
        <f>HYPERLINK("https://www.boe.es/gazeta/dias/1834/09/25/pdfs/GMD-1834-223.pdf#page=4","Abrir facsímil")</f>
        <v>Abrir facsímil</v>
      </c>
      <c r="K12061" s="10" t="s">
        <v>24</v>
      </c>
    </row>
    <row r="12062" spans="1:11" ht="54" customHeight="1">
      <c r="A12062" s="9" t="s">
        <v>24600</v>
      </c>
      <c r="B12062" s="9" t="s">
        <v>24600</v>
      </c>
      <c r="C12062" s="9" t="s">
        <v>17</v>
      </c>
      <c r="D12062" s="9" t="s">
        <v>18</v>
      </c>
      <c r="E12062" s="10" t="s">
        <v>454</v>
      </c>
      <c r="F12062" s="9" t="s">
        <v>455</v>
      </c>
      <c r="G12062" s="10" t="s">
        <v>86</v>
      </c>
      <c r="H12062" s="9" t="s">
        <v>22</v>
      </c>
      <c r="I12062" s="9" t="s">
        <v>24601</v>
      </c>
      <c r="J12062" s="10" t="str">
        <f>HYPERLINK("https://www.boe.es/gazeta/dias/1834/10/16/pdfs/GMD-C-1834-244.pdf#page=2","Abrir facsímil")</f>
        <v>Abrir facsímil</v>
      </c>
      <c r="K12062" s="10" t="s">
        <v>24</v>
      </c>
    </row>
    <row r="12063" spans="1:11" ht="54" customHeight="1">
      <c r="A12063" s="9" t="s">
        <v>24602</v>
      </c>
      <c r="B12063" s="9" t="s">
        <v>24603</v>
      </c>
      <c r="C12063" s="9" t="s">
        <v>122</v>
      </c>
      <c r="D12063" s="9" t="s">
        <v>55</v>
      </c>
      <c r="E12063" s="10" t="s">
        <v>294</v>
      </c>
      <c r="F12063" s="9" t="s">
        <v>295</v>
      </c>
      <c r="G12063" s="10" t="s">
        <v>21</v>
      </c>
      <c r="H12063" s="9" t="s">
        <v>22</v>
      </c>
      <c r="I12063" s="9" t="s">
        <v>24604</v>
      </c>
      <c r="J12063" s="10" t="str">
        <f>HYPERLINK("https://www.boe.es/gazeta/dias/1834/09/27/pdfs/GMD-1834-225.pdf#page=3","Abrir facsímil")</f>
        <v>Abrir facsímil</v>
      </c>
      <c r="K12063" s="10" t="s">
        <v>24</v>
      </c>
    </row>
    <row r="12064" spans="1:11" ht="54" customHeight="1">
      <c r="A12064" s="9" t="s">
        <v>24605</v>
      </c>
      <c r="B12064" s="9" t="s">
        <v>24606</v>
      </c>
      <c r="C12064" s="9" t="s">
        <v>122</v>
      </c>
      <c r="D12064" s="9" t="s">
        <v>55</v>
      </c>
      <c r="E12064" s="10" t="s">
        <v>294</v>
      </c>
      <c r="F12064" s="9" t="s">
        <v>295</v>
      </c>
      <c r="G12064" s="10" t="s">
        <v>21</v>
      </c>
      <c r="H12064" s="9" t="s">
        <v>35</v>
      </c>
      <c r="I12064" s="9" t="s">
        <v>24607</v>
      </c>
      <c r="J12064" s="10" t="str">
        <f>HYPERLINK("https://www.boe.es/gazeta/dias/1834/09/27/pdfs/GMD-1834-225.pdf#page=3","Abrir facsímil")</f>
        <v>Abrir facsímil</v>
      </c>
      <c r="K12064" s="10" t="s">
        <v>37</v>
      </c>
    </row>
    <row r="12065" spans="1:11" ht="54" customHeight="1">
      <c r="A12065" s="9" t="s">
        <v>24608</v>
      </c>
      <c r="B12065" s="9" t="s">
        <v>24609</v>
      </c>
      <c r="C12065" s="9" t="s">
        <v>17</v>
      </c>
      <c r="D12065" s="9" t="s">
        <v>18</v>
      </c>
      <c r="E12065" s="10" t="s">
        <v>343</v>
      </c>
      <c r="F12065" s="9" t="s">
        <v>344</v>
      </c>
      <c r="G12065" s="10" t="s">
        <v>75</v>
      </c>
      <c r="H12065" s="9" t="s">
        <v>22</v>
      </c>
      <c r="I12065" s="9" t="s">
        <v>24610</v>
      </c>
      <c r="J12065" s="10" t="str">
        <f>HYPERLINK("https://www.boe.es/gazeta/dias/1834/01/14/pdfs/GMD-1834-7.pdf#page=4","Abrir facsímil")</f>
        <v>Abrir facsímil</v>
      </c>
      <c r="K12065" s="10" t="s">
        <v>24</v>
      </c>
    </row>
    <row r="12066" spans="1:11" ht="54" customHeight="1">
      <c r="A12066" s="9" t="s">
        <v>24611</v>
      </c>
      <c r="B12066" s="9" t="s">
        <v>24611</v>
      </c>
      <c r="C12066" s="9" t="s">
        <v>90</v>
      </c>
      <c r="D12066" s="9" t="s">
        <v>55</v>
      </c>
      <c r="E12066" s="10" t="s">
        <v>823</v>
      </c>
      <c r="F12066" s="9" t="s">
        <v>824</v>
      </c>
      <c r="G12066" s="10" t="s">
        <v>75</v>
      </c>
      <c r="H12066" s="9" t="s">
        <v>22</v>
      </c>
      <c r="I12066" s="9" t="s">
        <v>24612</v>
      </c>
      <c r="J12066" s="10" t="str">
        <f>HYPERLINK("https://www.boe.es/gazeta/dias/1834/07/23/pdfs/GMD-1834-156.pdf#page=4","Abrir facsímil")</f>
        <v>Abrir facsímil</v>
      </c>
      <c r="K12066" s="10" t="s">
        <v>24</v>
      </c>
    </row>
    <row r="12067" spans="1:11" ht="54" customHeight="1">
      <c r="A12067" s="9" t="s">
        <v>24613</v>
      </c>
      <c r="B12067" s="9" t="s">
        <v>24613</v>
      </c>
      <c r="C12067" s="9" t="s">
        <v>17</v>
      </c>
      <c r="D12067" s="9" t="s">
        <v>18</v>
      </c>
      <c r="E12067" s="10" t="s">
        <v>1297</v>
      </c>
      <c r="F12067" s="9" t="s">
        <v>1298</v>
      </c>
      <c r="G12067" s="10" t="s">
        <v>34</v>
      </c>
      <c r="H12067" s="9" t="s">
        <v>22</v>
      </c>
      <c r="I12067" s="9" t="s">
        <v>24614</v>
      </c>
      <c r="J12067" s="10" t="str">
        <f>HYPERLINK("https://www.boe.es/gazeta/dias/1834/08/01/pdfs/GMD-1834-165.pdf#page=1","Abrir facsímil")</f>
        <v>Abrir facsímil</v>
      </c>
      <c r="K12067" s="10" t="s">
        <v>24</v>
      </c>
    </row>
    <row r="12068" spans="1:11" ht="54" customHeight="1">
      <c r="A12068" s="9" t="s">
        <v>24615</v>
      </c>
      <c r="B12068" s="9" t="s">
        <v>24616</v>
      </c>
      <c r="C12068" s="9" t="s">
        <v>17</v>
      </c>
      <c r="D12068" s="9" t="s">
        <v>18</v>
      </c>
      <c r="E12068" s="10" t="s">
        <v>4814</v>
      </c>
      <c r="F12068" s="9" t="s">
        <v>4815</v>
      </c>
      <c r="G12068" s="10" t="s">
        <v>34</v>
      </c>
      <c r="H12068" s="9" t="s">
        <v>22</v>
      </c>
      <c r="I12068" s="9" t="s">
        <v>24617</v>
      </c>
      <c r="J12068" s="10" t="str">
        <f>HYPERLINK("https://www.boe.es/gazeta/dias/1834/06/05/pdfs/GMD-1834-107.pdf#page=1","Abrir facsímil")</f>
        <v>Abrir facsímil</v>
      </c>
      <c r="K12068" s="10" t="s">
        <v>24</v>
      </c>
    </row>
    <row r="12069" spans="1:11" ht="54" customHeight="1">
      <c r="A12069" s="9" t="s">
        <v>24618</v>
      </c>
      <c r="B12069" s="9" t="s">
        <v>24618</v>
      </c>
      <c r="C12069" s="9" t="s">
        <v>46</v>
      </c>
      <c r="D12069" s="9" t="s">
        <v>101</v>
      </c>
      <c r="E12069" s="10" t="s">
        <v>7523</v>
      </c>
      <c r="F12069" s="9" t="s">
        <v>7524</v>
      </c>
      <c r="G12069" s="10" t="s">
        <v>34</v>
      </c>
      <c r="H12069" s="9" t="s">
        <v>22</v>
      </c>
      <c r="I12069" s="9" t="s">
        <v>24619</v>
      </c>
      <c r="J12069" s="10" t="str">
        <f>HYPERLINK("https://www.boe.es/gazeta/dias/1834/12/26/pdfs/GMD-1834-316.pdf#page=1","Abrir facsímil")</f>
        <v>Abrir facsímil</v>
      </c>
      <c r="K12069" s="10" t="s">
        <v>24</v>
      </c>
    </row>
    <row r="12070" spans="1:11" ht="54" customHeight="1">
      <c r="A12070" s="9" t="s">
        <v>24620</v>
      </c>
      <c r="B12070" s="9" t="s">
        <v>24621</v>
      </c>
      <c r="C12070" s="9" t="s">
        <v>46</v>
      </c>
      <c r="D12070" s="9" t="s">
        <v>18</v>
      </c>
      <c r="E12070" s="10" t="s">
        <v>696</v>
      </c>
      <c r="F12070" s="9" t="s">
        <v>854</v>
      </c>
      <c r="G12070" s="10" t="s">
        <v>86</v>
      </c>
      <c r="H12070" s="9" t="s">
        <v>22</v>
      </c>
      <c r="I12070" s="9" t="s">
        <v>24622</v>
      </c>
      <c r="J12070" s="10" t="str">
        <f>HYPERLINK("https://www.boe.es/gazeta/dias/1834/12/06/pdfs/GMD-1834-295.pdf#page=2","Abrir facsímil")</f>
        <v>Abrir facsímil</v>
      </c>
      <c r="K12070" s="10" t="s">
        <v>24</v>
      </c>
    </row>
    <row r="12071" spans="1:11" ht="54" customHeight="1">
      <c r="A12071" s="9" t="s">
        <v>24623</v>
      </c>
      <c r="B12071" s="9" t="s">
        <v>24624</v>
      </c>
      <c r="C12071" s="9" t="s">
        <v>66</v>
      </c>
      <c r="D12071" s="9" t="s">
        <v>67</v>
      </c>
      <c r="E12071" s="10" t="s">
        <v>1351</v>
      </c>
      <c r="F12071" s="9" t="s">
        <v>1352</v>
      </c>
      <c r="G12071" s="10" t="s">
        <v>75</v>
      </c>
      <c r="H12071" s="9" t="s">
        <v>35</v>
      </c>
      <c r="I12071" s="9" t="s">
        <v>24625</v>
      </c>
      <c r="J12071" s="10" t="str">
        <f>HYPERLINK("https://www.boe.es/gazeta/dias/1834/07/05/pdfs/GMD-1834-138.pdf#page=4","Abrir facsímil")</f>
        <v>Abrir facsímil</v>
      </c>
      <c r="K12071" s="10" t="s">
        <v>37</v>
      </c>
    </row>
    <row r="12072" spans="1:11" ht="54" customHeight="1">
      <c r="A12072" s="9" t="s">
        <v>24626</v>
      </c>
      <c r="B12072" s="9" t="s">
        <v>24627</v>
      </c>
      <c r="C12072" s="9" t="s">
        <v>17</v>
      </c>
      <c r="D12072" s="9" t="s">
        <v>18</v>
      </c>
      <c r="E12072" s="10" t="s">
        <v>19</v>
      </c>
      <c r="F12072" s="9" t="s">
        <v>107</v>
      </c>
      <c r="G12072" s="10" t="s">
        <v>75</v>
      </c>
      <c r="H12072" s="9" t="s">
        <v>22</v>
      </c>
      <c r="I12072" s="9" t="s">
        <v>24628</v>
      </c>
      <c r="J12072" s="10" t="str">
        <f>HYPERLINK("https://www.boe.es/gazeta/dias/1834/08/17/pdfs/GMD-1834-182.pdf#page=4","Abrir facsímil")</f>
        <v>Abrir facsímil</v>
      </c>
      <c r="K12072" s="10" t="s">
        <v>24</v>
      </c>
    </row>
    <row r="12073" spans="1:11" ht="54" customHeight="1">
      <c r="A12073" s="9" t="s">
        <v>24629</v>
      </c>
      <c r="B12073" s="9" t="s">
        <v>24630</v>
      </c>
      <c r="C12073" s="9" t="s">
        <v>66</v>
      </c>
      <c r="D12073" s="9" t="s">
        <v>67</v>
      </c>
      <c r="E12073" s="10" t="s">
        <v>1351</v>
      </c>
      <c r="F12073" s="9" t="s">
        <v>1352</v>
      </c>
      <c r="G12073" s="10" t="s">
        <v>75</v>
      </c>
      <c r="H12073" s="9" t="s">
        <v>22</v>
      </c>
      <c r="I12073" s="9" t="s">
        <v>24631</v>
      </c>
      <c r="J12073" s="10" t="str">
        <f>HYPERLINK("https://www.boe.es/gazeta/dias/1834/07/05/pdfs/GMD-1834-138.pdf#page=4","Abrir facsímil")</f>
        <v>Abrir facsímil</v>
      </c>
      <c r="K12073" s="10" t="s">
        <v>24</v>
      </c>
    </row>
    <row r="12074" spans="1:11" ht="54" customHeight="1">
      <c r="A12074" s="9" t="s">
        <v>24632</v>
      </c>
      <c r="B12074" s="9" t="s">
        <v>24633</v>
      </c>
      <c r="C12074" s="9" t="s">
        <v>17</v>
      </c>
      <c r="D12074" s="9" t="s">
        <v>18</v>
      </c>
      <c r="E12074" s="10" t="s">
        <v>1170</v>
      </c>
      <c r="F12074" s="9" t="s">
        <v>1171</v>
      </c>
      <c r="G12074" s="10" t="s">
        <v>28</v>
      </c>
      <c r="H12074" s="9" t="s">
        <v>35</v>
      </c>
      <c r="I12074" s="9" t="s">
        <v>24634</v>
      </c>
      <c r="J12074" s="10" t="str">
        <f>HYPERLINK("https://www.boe.es/gazeta/dias/1834/01/07/pdfs/GMD-1834-4.pdf#page=5","Abrir facsímil")</f>
        <v>Abrir facsímil</v>
      </c>
      <c r="K12074" s="10" t="s">
        <v>37</v>
      </c>
    </row>
    <row r="12075" spans="1:11" ht="54" customHeight="1">
      <c r="A12075" s="9" t="s">
        <v>24635</v>
      </c>
      <c r="B12075" s="9" t="s">
        <v>24636</v>
      </c>
      <c r="C12075" s="9" t="s">
        <v>17</v>
      </c>
      <c r="D12075" s="9" t="s">
        <v>18</v>
      </c>
      <c r="E12075" s="10" t="s">
        <v>1170</v>
      </c>
      <c r="F12075" s="9" t="s">
        <v>1171</v>
      </c>
      <c r="G12075" s="10" t="s">
        <v>28</v>
      </c>
      <c r="H12075" s="9" t="s">
        <v>22</v>
      </c>
      <c r="I12075" s="9" t="s">
        <v>24637</v>
      </c>
      <c r="J12075" s="10" t="str">
        <f>HYPERLINK("https://www.boe.es/gazeta/dias/1834/01/07/pdfs/GMD-1834-4.pdf#page=5","Abrir facsímil")</f>
        <v>Abrir facsímil</v>
      </c>
      <c r="K12075" s="10" t="s">
        <v>24</v>
      </c>
    </row>
    <row r="12076" spans="1:11" ht="54" customHeight="1">
      <c r="A12076" s="9" t="s">
        <v>24635</v>
      </c>
      <c r="B12076" s="9" t="s">
        <v>24636</v>
      </c>
      <c r="C12076" s="9" t="s">
        <v>66</v>
      </c>
      <c r="D12076" s="9" t="s">
        <v>67</v>
      </c>
      <c r="E12076" s="10" t="s">
        <v>808</v>
      </c>
      <c r="F12076" s="9" t="s">
        <v>809</v>
      </c>
      <c r="G12076" s="10" t="s">
        <v>75</v>
      </c>
      <c r="H12076" s="9" t="s">
        <v>22</v>
      </c>
      <c r="I12076" s="9" t="s">
        <v>24638</v>
      </c>
      <c r="J12076" s="10" t="str">
        <f>HYPERLINK("https://www.boe.es/gazeta/dias/1834/10/11/pdfs/GMD-1834-239.pdf#page=4","Abrir facsímil")</f>
        <v>Abrir facsímil</v>
      </c>
      <c r="K12076" s="10" t="s">
        <v>24</v>
      </c>
    </row>
    <row r="12077" spans="1:11" ht="54" customHeight="1">
      <c r="A12077" s="9" t="s">
        <v>24639</v>
      </c>
      <c r="B12077" s="9" t="s">
        <v>24640</v>
      </c>
      <c r="C12077" s="9" t="s">
        <v>17</v>
      </c>
      <c r="D12077" s="9" t="s">
        <v>18</v>
      </c>
      <c r="E12077" s="10" t="s">
        <v>1402</v>
      </c>
      <c r="F12077" s="9" t="s">
        <v>1403</v>
      </c>
      <c r="G12077" s="10" t="s">
        <v>75</v>
      </c>
      <c r="H12077" s="9" t="s">
        <v>22</v>
      </c>
      <c r="I12077" s="9" t="s">
        <v>24641</v>
      </c>
      <c r="J12077" s="10" t="str">
        <f>HYPERLINK("https://www.boe.es/gazeta/dias/1834/05/05/pdfs/GMD-1834-74.pdf#page=4","Abrir facsímil")</f>
        <v>Abrir facsímil</v>
      </c>
      <c r="K12077" s="10" t="s">
        <v>24</v>
      </c>
    </row>
    <row r="12078" spans="1:11" ht="54" customHeight="1">
      <c r="A12078" s="9" t="s">
        <v>24642</v>
      </c>
      <c r="B12078" s="9" t="s">
        <v>24642</v>
      </c>
      <c r="C12078" s="9" t="s">
        <v>17</v>
      </c>
      <c r="D12078" s="9" t="s">
        <v>101</v>
      </c>
      <c r="E12078" s="10" t="s">
        <v>1653</v>
      </c>
      <c r="F12078" s="9" t="s">
        <v>1654</v>
      </c>
      <c r="G12078" s="10" t="s">
        <v>21</v>
      </c>
      <c r="H12078" s="9" t="s">
        <v>22</v>
      </c>
      <c r="I12078" s="9" t="s">
        <v>24643</v>
      </c>
      <c r="J12078" s="10" t="str">
        <f>HYPERLINK("https://www.boe.es/gazeta/dias/1834/07/03/pdfs/GMD-1834-136.pdf#page=3","Abrir facsímil")</f>
        <v>Abrir facsímil</v>
      </c>
      <c r="K12078" s="10" t="s">
        <v>24</v>
      </c>
    </row>
    <row r="12079" spans="1:11" ht="54" customHeight="1">
      <c r="A12079" s="9" t="s">
        <v>24644</v>
      </c>
      <c r="B12079" s="9" t="s">
        <v>24644</v>
      </c>
      <c r="C12079" s="9" t="s">
        <v>17</v>
      </c>
      <c r="D12079" s="9" t="s">
        <v>18</v>
      </c>
      <c r="E12079" s="10" t="s">
        <v>3471</v>
      </c>
      <c r="F12079" s="9" t="s">
        <v>3472</v>
      </c>
      <c r="G12079" s="10" t="s">
        <v>75</v>
      </c>
      <c r="H12079" s="9" t="s">
        <v>22</v>
      </c>
      <c r="I12079" s="9" t="s">
        <v>24645</v>
      </c>
      <c r="J12079" s="10" t="str">
        <f>HYPERLINK("https://www.boe.es/gazeta/dias/1834/07/07/pdfs/GMD-1834-140.pdf#page=4","Abrir facsímil")</f>
        <v>Abrir facsímil</v>
      </c>
      <c r="K12079" s="10" t="s">
        <v>24</v>
      </c>
    </row>
    <row r="12080" spans="1:11" ht="54" customHeight="1">
      <c r="A12080" s="9" t="s">
        <v>24642</v>
      </c>
      <c r="B12080" s="9" t="s">
        <v>24642</v>
      </c>
      <c r="C12080" s="9" t="s">
        <v>66</v>
      </c>
      <c r="D12080" s="9" t="s">
        <v>67</v>
      </c>
      <c r="E12080" s="10" t="s">
        <v>1226</v>
      </c>
      <c r="F12080" s="9" t="s">
        <v>1227</v>
      </c>
      <c r="G12080" s="10" t="s">
        <v>75</v>
      </c>
      <c r="H12080" s="9" t="s">
        <v>22</v>
      </c>
      <c r="I12080" s="9" t="s">
        <v>24646</v>
      </c>
      <c r="J12080" s="10" t="str">
        <f>HYPERLINK("https://www.boe.es/gazeta/dias/1834/07/14/pdfs/GMD-1834-147.pdf#page=4","Abrir facsímil")</f>
        <v>Abrir facsímil</v>
      </c>
      <c r="K12080" s="10" t="s">
        <v>24</v>
      </c>
    </row>
    <row r="12081" spans="1:11" ht="54" customHeight="1">
      <c r="A12081" s="9" t="s">
        <v>24642</v>
      </c>
      <c r="B12081" s="9" t="s">
        <v>24642</v>
      </c>
      <c r="C12081" s="9" t="s">
        <v>17</v>
      </c>
      <c r="D12081" s="9" t="s">
        <v>18</v>
      </c>
      <c r="E12081" s="10" t="s">
        <v>1683</v>
      </c>
      <c r="F12081" s="9" t="s">
        <v>1684</v>
      </c>
      <c r="G12081" s="10" t="s">
        <v>75</v>
      </c>
      <c r="H12081" s="9" t="s">
        <v>22</v>
      </c>
      <c r="I12081" s="9" t="s">
        <v>24647</v>
      </c>
      <c r="J12081" s="10" t="str">
        <f>HYPERLINK("https://www.boe.es/gazeta/dias/1834/06/27/pdfs/GMD-1834-130.pdf#page=4","Abrir facsímil")</f>
        <v>Abrir facsímil</v>
      </c>
      <c r="K12081" s="10" t="s">
        <v>24</v>
      </c>
    </row>
    <row r="12082" spans="1:11" ht="54" customHeight="1">
      <c r="A12082" s="9" t="s">
        <v>24648</v>
      </c>
      <c r="B12082" s="9" t="s">
        <v>24649</v>
      </c>
      <c r="C12082" s="9" t="s">
        <v>90</v>
      </c>
      <c r="D12082" s="9" t="s">
        <v>18</v>
      </c>
      <c r="E12082" s="10" t="s">
        <v>1226</v>
      </c>
      <c r="F12082" s="9" t="s">
        <v>1227</v>
      </c>
      <c r="G12082" s="10" t="s">
        <v>21</v>
      </c>
      <c r="H12082" s="9" t="s">
        <v>22</v>
      </c>
      <c r="I12082" s="9" t="s">
        <v>24650</v>
      </c>
      <c r="J12082" s="10" t="str">
        <f>HYPERLINK("https://www.boe.es/gazeta/dias/1834/07/14/pdfs/GMD-1834-147.pdf#page=3","Abrir facsímil")</f>
        <v>Abrir facsímil</v>
      </c>
      <c r="K12082" s="10" t="s">
        <v>24</v>
      </c>
    </row>
    <row r="12083" spans="1:11" ht="54" customHeight="1">
      <c r="A12083" s="9" t="s">
        <v>24651</v>
      </c>
      <c r="B12083" s="9" t="s">
        <v>24652</v>
      </c>
      <c r="C12083" s="9" t="s">
        <v>17</v>
      </c>
      <c r="D12083" s="9" t="s">
        <v>18</v>
      </c>
      <c r="E12083" s="10" t="s">
        <v>1239</v>
      </c>
      <c r="F12083" s="9" t="s">
        <v>1240</v>
      </c>
      <c r="G12083" s="10" t="s">
        <v>75</v>
      </c>
      <c r="H12083" s="9" t="s">
        <v>22</v>
      </c>
      <c r="I12083" s="9" t="s">
        <v>24653</v>
      </c>
      <c r="J12083" s="10" t="str">
        <f>HYPERLINK("https://www.boe.es/gazeta/dias/1834/08/20/pdfs/GMD-1834-186.pdf#page=4","Abrir facsímil")</f>
        <v>Abrir facsímil</v>
      </c>
      <c r="K12083" s="10" t="s">
        <v>24</v>
      </c>
    </row>
    <row r="12084" spans="1:11" ht="54" customHeight="1">
      <c r="A12084" s="9" t="s">
        <v>24654</v>
      </c>
      <c r="B12084" s="9" t="s">
        <v>24654</v>
      </c>
      <c r="C12084" s="9" t="s">
        <v>17</v>
      </c>
      <c r="D12084" s="9" t="s">
        <v>18</v>
      </c>
      <c r="E12084" s="10" t="s">
        <v>1677</v>
      </c>
      <c r="F12084" s="9" t="s">
        <v>1678</v>
      </c>
      <c r="G12084" s="10" t="s">
        <v>21</v>
      </c>
      <c r="H12084" s="9" t="s">
        <v>22</v>
      </c>
      <c r="I12084" s="9" t="s">
        <v>24655</v>
      </c>
      <c r="J12084" s="10" t="str">
        <f>HYPERLINK("https://www.boe.es/gazeta/dias/1834/07/26/pdfs/GMD-1834-159.pdf#page=3","Abrir facsímil")</f>
        <v>Abrir facsímil</v>
      </c>
      <c r="K12084" s="10" t="s">
        <v>24</v>
      </c>
    </row>
    <row r="12085" spans="1:11" ht="54" customHeight="1">
      <c r="A12085" s="9" t="s">
        <v>24656</v>
      </c>
      <c r="B12085" s="9" t="s">
        <v>24656</v>
      </c>
      <c r="C12085" s="9" t="s">
        <v>17</v>
      </c>
      <c r="D12085" s="9" t="s">
        <v>18</v>
      </c>
      <c r="E12085" s="10" t="s">
        <v>1850</v>
      </c>
      <c r="F12085" s="9" t="s">
        <v>1851</v>
      </c>
      <c r="G12085" s="10" t="s">
        <v>176</v>
      </c>
      <c r="H12085" s="9" t="s">
        <v>22</v>
      </c>
      <c r="I12085" s="9" t="s">
        <v>24657</v>
      </c>
      <c r="J12085" s="10" t="str">
        <f>HYPERLINK("https://www.boe.es/gazeta/dias/1834/02/18/pdfs/GMD-1834-22.pdf#page=6","Abrir facsímil")</f>
        <v>Abrir facsímil</v>
      </c>
      <c r="K12085" s="10" t="s">
        <v>24</v>
      </c>
    </row>
    <row r="12086" spans="1:11" ht="54" customHeight="1">
      <c r="A12086" s="9" t="s">
        <v>24658</v>
      </c>
      <c r="B12086" s="9" t="s">
        <v>24658</v>
      </c>
      <c r="C12086" s="9" t="s">
        <v>17</v>
      </c>
      <c r="D12086" s="9" t="s">
        <v>18</v>
      </c>
      <c r="E12086" s="10" t="s">
        <v>606</v>
      </c>
      <c r="F12086" s="9" t="s">
        <v>607</v>
      </c>
      <c r="G12086" s="10" t="s">
        <v>75</v>
      </c>
      <c r="H12086" s="9" t="s">
        <v>22</v>
      </c>
      <c r="I12086" s="9" t="s">
        <v>24659</v>
      </c>
      <c r="J12086" s="10" t="str">
        <f>HYPERLINK("https://www.boe.es/gazeta/dias/1834/06/23/pdfs/GMD-1834-126.pdf#page=4","Abrir facsímil")</f>
        <v>Abrir facsímil</v>
      </c>
      <c r="K12086" s="10" t="s">
        <v>24</v>
      </c>
    </row>
    <row r="12087" spans="1:11" ht="54" customHeight="1">
      <c r="A12087" s="9" t="s">
        <v>24660</v>
      </c>
      <c r="B12087" s="9" t="s">
        <v>24661</v>
      </c>
      <c r="C12087" s="9" t="s">
        <v>66</v>
      </c>
      <c r="D12087" s="9" t="s">
        <v>18</v>
      </c>
      <c r="E12087" s="10" t="s">
        <v>1661</v>
      </c>
      <c r="F12087" s="9" t="s">
        <v>1662</v>
      </c>
      <c r="G12087" s="10" t="s">
        <v>75</v>
      </c>
      <c r="H12087" s="9" t="s">
        <v>22</v>
      </c>
      <c r="I12087" s="9" t="s">
        <v>24662</v>
      </c>
      <c r="J12087" s="10" t="str">
        <f>HYPERLINK("https://www.boe.es/gazeta/dias/1834/04/06/pdfs/GMD-1834-45.pdf#page=4","Abrir facsímil")</f>
        <v>Abrir facsímil</v>
      </c>
      <c r="K12087" s="10" t="s">
        <v>24</v>
      </c>
    </row>
    <row r="12088" spans="1:11" ht="54" customHeight="1">
      <c r="A12088" s="9" t="s">
        <v>24663</v>
      </c>
      <c r="B12088" s="9" t="s">
        <v>24664</v>
      </c>
      <c r="C12088" s="9" t="s">
        <v>46</v>
      </c>
      <c r="D12088" s="9" t="s">
        <v>101</v>
      </c>
      <c r="E12088" s="10" t="s">
        <v>552</v>
      </c>
      <c r="F12088" s="9" t="s">
        <v>1478</v>
      </c>
      <c r="G12088" s="10" t="s">
        <v>34</v>
      </c>
      <c r="H12088" s="9" t="s">
        <v>22</v>
      </c>
      <c r="I12088" s="9" t="s">
        <v>24665</v>
      </c>
      <c r="J12088" s="10" t="str">
        <f>HYPERLINK("https://www.boe.es/gazeta/dias/1834/07/30/pdfs/GMD-C-1834-163.pdf#page=1","Abrir facsímil")</f>
        <v>Abrir facsímil</v>
      </c>
      <c r="K12088" s="10" t="s">
        <v>24</v>
      </c>
    </row>
    <row r="12089" spans="1:11" ht="54" customHeight="1">
      <c r="A12089" s="9" t="s">
        <v>24666</v>
      </c>
      <c r="B12089" s="9" t="s">
        <v>24667</v>
      </c>
      <c r="C12089" s="9" t="s">
        <v>17</v>
      </c>
      <c r="D12089" s="9" t="s">
        <v>18</v>
      </c>
      <c r="E12089" s="10" t="s">
        <v>606</v>
      </c>
      <c r="F12089" s="9" t="s">
        <v>607</v>
      </c>
      <c r="G12089" s="10" t="s">
        <v>75</v>
      </c>
      <c r="H12089" s="9" t="s">
        <v>22</v>
      </c>
      <c r="I12089" s="9" t="s">
        <v>24668</v>
      </c>
      <c r="J12089" s="10" t="str">
        <f>HYPERLINK("https://www.boe.es/gazeta/dias/1834/06/23/pdfs/GMD-1834-126.pdf#page=4","Abrir facsímil")</f>
        <v>Abrir facsímil</v>
      </c>
      <c r="K12089" s="10" t="s">
        <v>24</v>
      </c>
    </row>
    <row r="12090" spans="1:11" ht="54" customHeight="1">
      <c r="A12090" s="9" t="s">
        <v>24669</v>
      </c>
      <c r="B12090" s="9" t="s">
        <v>24670</v>
      </c>
      <c r="C12090" s="9" t="s">
        <v>17</v>
      </c>
      <c r="D12090" s="9" t="s">
        <v>18</v>
      </c>
      <c r="E12090" s="10" t="s">
        <v>803</v>
      </c>
      <c r="F12090" s="9" t="s">
        <v>804</v>
      </c>
      <c r="G12090" s="10" t="s">
        <v>75</v>
      </c>
      <c r="H12090" s="9" t="s">
        <v>35</v>
      </c>
      <c r="I12090" s="9" t="s">
        <v>24671</v>
      </c>
      <c r="J12090" s="10" t="str">
        <f>HYPERLINK("https://www.boe.es/gazeta/dias/1834/03/29/pdfs/GMD-1834-39.pdf#page=4","Abrir facsímil")</f>
        <v>Abrir facsímil</v>
      </c>
      <c r="K12090" s="10" t="s">
        <v>37</v>
      </c>
    </row>
    <row r="12091" spans="1:11" ht="54" customHeight="1">
      <c r="A12091" s="9" t="s">
        <v>24672</v>
      </c>
      <c r="B12091" s="9" t="s">
        <v>24673</v>
      </c>
      <c r="C12091" s="9" t="s">
        <v>17</v>
      </c>
      <c r="D12091" s="9" t="s">
        <v>18</v>
      </c>
      <c r="E12091" s="10" t="s">
        <v>563</v>
      </c>
      <c r="F12091" s="9" t="s">
        <v>564</v>
      </c>
      <c r="G12091" s="10" t="s">
        <v>28</v>
      </c>
      <c r="H12091" s="9" t="s">
        <v>35</v>
      </c>
      <c r="I12091" s="9" t="s">
        <v>24674</v>
      </c>
      <c r="J12091" s="10" t="str">
        <f>HYPERLINK("https://www.boe.es/gazeta/dias/1834/04/19/pdfs/GMD-1834-58.pdf#page=5","Abrir facsímil")</f>
        <v>Abrir facsímil</v>
      </c>
      <c r="K12091" s="10" t="s">
        <v>37</v>
      </c>
    </row>
    <row r="12092" spans="1:11" ht="54" customHeight="1">
      <c r="A12092" s="9" t="s">
        <v>24675</v>
      </c>
      <c r="B12092" s="9" t="s">
        <v>24676</v>
      </c>
      <c r="C12092" s="9" t="s">
        <v>17</v>
      </c>
      <c r="D12092" s="9" t="s">
        <v>18</v>
      </c>
      <c r="E12092" s="10" t="s">
        <v>8346</v>
      </c>
      <c r="F12092" s="9" t="s">
        <v>8347</v>
      </c>
      <c r="G12092" s="10" t="s">
        <v>21</v>
      </c>
      <c r="H12092" s="9" t="s">
        <v>22</v>
      </c>
      <c r="I12092" s="9" t="s">
        <v>24677</v>
      </c>
      <c r="J12092" s="10" t="str">
        <f>HYPERLINK("https://www.boe.es/gazeta/dias/1834/12/04/pdfs/GMD-1834-293.pdf#page=3","Abrir facsímil")</f>
        <v>Abrir facsímil</v>
      </c>
      <c r="K12092" s="10" t="s">
        <v>24</v>
      </c>
    </row>
    <row r="12093" spans="1:11" ht="54" customHeight="1">
      <c r="A12093" s="9" t="s">
        <v>24678</v>
      </c>
      <c r="B12093" s="9" t="s">
        <v>24679</v>
      </c>
      <c r="C12093" s="9" t="s">
        <v>17</v>
      </c>
      <c r="D12093" s="9" t="s">
        <v>18</v>
      </c>
      <c r="E12093" s="10" t="s">
        <v>1226</v>
      </c>
      <c r="F12093" s="9" t="s">
        <v>1227</v>
      </c>
      <c r="G12093" s="10" t="s">
        <v>21</v>
      </c>
      <c r="H12093" s="9" t="s">
        <v>22</v>
      </c>
      <c r="I12093" s="9" t="s">
        <v>24680</v>
      </c>
      <c r="J12093" s="10" t="str">
        <f>HYPERLINK("https://www.boe.es/gazeta/dias/1834/07/14/pdfs/GMD-1834-147.pdf#page=3","Abrir facsímil")</f>
        <v>Abrir facsímil</v>
      </c>
      <c r="K12093" s="10" t="s">
        <v>24</v>
      </c>
    </row>
    <row r="12094" spans="1:11" ht="54" customHeight="1">
      <c r="A12094" s="9" t="s">
        <v>24681</v>
      </c>
      <c r="B12094" s="9" t="s">
        <v>24682</v>
      </c>
      <c r="C12094" s="9" t="s">
        <v>17</v>
      </c>
      <c r="D12094" s="9" t="s">
        <v>18</v>
      </c>
      <c r="E12094" s="10" t="s">
        <v>803</v>
      </c>
      <c r="F12094" s="9" t="s">
        <v>804</v>
      </c>
      <c r="G12094" s="10" t="s">
        <v>75</v>
      </c>
      <c r="H12094" s="9" t="s">
        <v>22</v>
      </c>
      <c r="I12094" s="9" t="s">
        <v>24683</v>
      </c>
      <c r="J12094" s="10" t="str">
        <f>HYPERLINK("https://www.boe.es/gazeta/dias/1834/03/29/pdfs/GMD-1834-39.pdf#page=4","Abrir facsímil")</f>
        <v>Abrir facsímil</v>
      </c>
      <c r="K12094" s="10" t="s">
        <v>24</v>
      </c>
    </row>
    <row r="12095" spans="1:11" ht="54" customHeight="1">
      <c r="A12095" s="9" t="s">
        <v>24684</v>
      </c>
      <c r="B12095" s="9" t="s">
        <v>24685</v>
      </c>
      <c r="C12095" s="9" t="s">
        <v>17</v>
      </c>
      <c r="D12095" s="9" t="s">
        <v>101</v>
      </c>
      <c r="E12095" s="10" t="s">
        <v>863</v>
      </c>
      <c r="F12095" s="9" t="s">
        <v>864</v>
      </c>
      <c r="G12095" s="10" t="s">
        <v>75</v>
      </c>
      <c r="H12095" s="9" t="s">
        <v>22</v>
      </c>
      <c r="I12095" s="9" t="s">
        <v>24686</v>
      </c>
      <c r="J12095" s="10" t="str">
        <f>HYPERLINK("https://www.boe.es/gazeta/dias/1834/09/15/pdfs/GMD-1834-213.pdf#page=4","Abrir facsímil")</f>
        <v>Abrir facsímil</v>
      </c>
      <c r="K12095" s="10" t="s">
        <v>24</v>
      </c>
    </row>
    <row r="12096" spans="1:11" ht="54" customHeight="1">
      <c r="A12096" s="9" t="s">
        <v>24684</v>
      </c>
      <c r="B12096" s="9" t="s">
        <v>24685</v>
      </c>
      <c r="C12096" s="9" t="s">
        <v>17</v>
      </c>
      <c r="D12096" s="9" t="s">
        <v>18</v>
      </c>
      <c r="E12096" s="10" t="s">
        <v>563</v>
      </c>
      <c r="F12096" s="9" t="s">
        <v>564</v>
      </c>
      <c r="G12096" s="10" t="s">
        <v>28</v>
      </c>
      <c r="H12096" s="9" t="s">
        <v>22</v>
      </c>
      <c r="I12096" s="9" t="s">
        <v>24687</v>
      </c>
      <c r="J12096" s="10" t="str">
        <f>HYPERLINK("https://www.boe.es/gazeta/dias/1834/04/19/pdfs/GMD-1834-58.pdf#page=5","Abrir facsímil")</f>
        <v>Abrir facsímil</v>
      </c>
      <c r="K12096" s="10" t="s">
        <v>24</v>
      </c>
    </row>
    <row r="12097" spans="1:11" ht="54" customHeight="1">
      <c r="A12097" s="9" t="s">
        <v>24688</v>
      </c>
      <c r="B12097" s="9" t="s">
        <v>24689</v>
      </c>
      <c r="C12097" s="9" t="s">
        <v>17</v>
      </c>
      <c r="D12097" s="9" t="s">
        <v>18</v>
      </c>
      <c r="E12097" s="10" t="s">
        <v>334</v>
      </c>
      <c r="F12097" s="9" t="s">
        <v>335</v>
      </c>
      <c r="G12097" s="10" t="s">
        <v>21</v>
      </c>
      <c r="H12097" s="9" t="s">
        <v>22</v>
      </c>
      <c r="I12097" s="9" t="s">
        <v>24690</v>
      </c>
      <c r="J12097" s="10" t="str">
        <f>HYPERLINK("https://www.boe.es/gazeta/dias/1834/09/11/pdfs/GMD-C-1834-209.pdf#page=3","Abrir facsímil")</f>
        <v>Abrir facsímil</v>
      </c>
      <c r="K12097" s="10" t="s">
        <v>24</v>
      </c>
    </row>
    <row r="12098" spans="1:11" ht="54" customHeight="1">
      <c r="A12098" s="9" t="s">
        <v>24691</v>
      </c>
      <c r="B12098" s="9" t="s">
        <v>24691</v>
      </c>
      <c r="C12098" s="9" t="s">
        <v>17</v>
      </c>
      <c r="D12098" s="9" t="s">
        <v>55</v>
      </c>
      <c r="E12098" s="10" t="s">
        <v>444</v>
      </c>
      <c r="F12098" s="9" t="s">
        <v>2412</v>
      </c>
      <c r="G12098" s="10" t="s">
        <v>34</v>
      </c>
      <c r="H12098" s="9" t="s">
        <v>22</v>
      </c>
      <c r="I12098" s="9" t="s">
        <v>24692</v>
      </c>
      <c r="J12098" s="10" t="str">
        <f>HYPERLINK("https://www.boe.es/gazeta/dias/1834/09/12/pdfs/GMD-1834-210.pdf#page=1","Abrir facsímil")</f>
        <v>Abrir facsímil</v>
      </c>
      <c r="K12098" s="10" t="s">
        <v>24</v>
      </c>
    </row>
    <row r="12099" spans="1:11" ht="54" customHeight="1">
      <c r="A12099" s="9" t="s">
        <v>24693</v>
      </c>
      <c r="B12099" s="9" t="s">
        <v>24693</v>
      </c>
      <c r="C12099" s="9" t="s">
        <v>66</v>
      </c>
      <c r="D12099" s="9" t="s">
        <v>67</v>
      </c>
      <c r="E12099" s="10" t="s">
        <v>3810</v>
      </c>
      <c r="F12099" s="9" t="s">
        <v>3811</v>
      </c>
      <c r="G12099" s="10" t="s">
        <v>21</v>
      </c>
      <c r="H12099" s="9" t="s">
        <v>22</v>
      </c>
      <c r="I12099" s="9" t="s">
        <v>24694</v>
      </c>
      <c r="J12099" s="10" t="str">
        <f>HYPERLINK("https://www.boe.es/gazeta/dias/1834/02/20/pdfs/GMD-1834-23.pdf#page=3","Abrir facsímil")</f>
        <v>Abrir facsímil</v>
      </c>
      <c r="K12099" s="10" t="s">
        <v>24</v>
      </c>
    </row>
    <row r="12100" spans="1:11" ht="54" customHeight="1">
      <c r="A12100" s="9" t="s">
        <v>24695</v>
      </c>
      <c r="B12100" s="9" t="s">
        <v>24695</v>
      </c>
      <c r="C12100" s="9" t="s">
        <v>46</v>
      </c>
      <c r="D12100" s="9" t="s">
        <v>18</v>
      </c>
      <c r="E12100" s="10" t="s">
        <v>976</v>
      </c>
      <c r="F12100" s="9" t="s">
        <v>977</v>
      </c>
      <c r="G12100" s="10" t="s">
        <v>21</v>
      </c>
      <c r="H12100" s="9" t="s">
        <v>22</v>
      </c>
      <c r="I12100" s="9" t="s">
        <v>24696</v>
      </c>
      <c r="J12100" s="10" t="str">
        <f>HYPERLINK("https://www.boe.es/gazeta/dias/1834/04/02/pdfs/GMD-1834-41.pdf#page=3","Abrir facsímil")</f>
        <v>Abrir facsímil</v>
      </c>
      <c r="K12100" s="10" t="s">
        <v>24</v>
      </c>
    </row>
    <row r="12101" spans="1:11" ht="54" customHeight="1">
      <c r="A12101" s="9" t="s">
        <v>24697</v>
      </c>
      <c r="B12101" s="9" t="s">
        <v>24697</v>
      </c>
      <c r="C12101" s="9" t="s">
        <v>17</v>
      </c>
      <c r="D12101" s="9" t="s">
        <v>55</v>
      </c>
      <c r="E12101" s="10" t="s">
        <v>179</v>
      </c>
      <c r="F12101" s="9" t="s">
        <v>180</v>
      </c>
      <c r="G12101" s="10" t="s">
        <v>86</v>
      </c>
      <c r="H12101" s="9" t="s">
        <v>22</v>
      </c>
      <c r="I12101" s="9" t="s">
        <v>24698</v>
      </c>
      <c r="J12101" s="10" t="str">
        <f>HYPERLINK("https://www.boe.es/gazeta/dias/1834/10/28/pdfs/GMD-1834-256.pdf#page=2","Abrir facsímil")</f>
        <v>Abrir facsímil</v>
      </c>
      <c r="K12101" s="10" t="s">
        <v>24</v>
      </c>
    </row>
    <row r="12102" spans="1:11" ht="54" customHeight="1">
      <c r="A12102" s="9" t="s">
        <v>24699</v>
      </c>
      <c r="B12102" s="9" t="s">
        <v>24699</v>
      </c>
      <c r="C12102" s="9" t="s">
        <v>90</v>
      </c>
      <c r="D12102" s="9" t="s">
        <v>18</v>
      </c>
      <c r="E12102" s="10" t="s">
        <v>702</v>
      </c>
      <c r="F12102" s="9" t="s">
        <v>2427</v>
      </c>
      <c r="G12102" s="10" t="s">
        <v>34</v>
      </c>
      <c r="H12102" s="9" t="s">
        <v>22</v>
      </c>
      <c r="I12102" s="9" t="s">
        <v>24700</v>
      </c>
      <c r="J12102" s="10" t="str">
        <f>HYPERLINK("https://www.boe.es/gazeta/dias/1834/11/22/pdfs/GMD-1834-281.pdf#page=1","Abrir facsímil")</f>
        <v>Abrir facsímil</v>
      </c>
      <c r="K12102" s="10" t="s">
        <v>24</v>
      </c>
    </row>
    <row r="12103" spans="1:11" ht="54" customHeight="1">
      <c r="A12103" s="9" t="s">
        <v>24701</v>
      </c>
      <c r="B12103" s="9" t="s">
        <v>24701</v>
      </c>
      <c r="C12103" s="9" t="s">
        <v>66</v>
      </c>
      <c r="D12103" s="9" t="s">
        <v>55</v>
      </c>
      <c r="E12103" s="10" t="s">
        <v>3083</v>
      </c>
      <c r="F12103" s="9" t="s">
        <v>3084</v>
      </c>
      <c r="G12103" s="10" t="s">
        <v>34</v>
      </c>
      <c r="H12103" s="9" t="s">
        <v>22</v>
      </c>
      <c r="I12103" s="9" t="s">
        <v>24702</v>
      </c>
      <c r="J12103" s="10" t="str">
        <f>HYPERLINK("https://www.boe.es/gazeta/dias/1834/10/30/pdfs/GMD-1834-258.pdf#page=1","Abrir facsímil")</f>
        <v>Abrir facsímil</v>
      </c>
      <c r="K12103" s="10" t="s">
        <v>24</v>
      </c>
    </row>
    <row r="12104" spans="1:11" ht="54" customHeight="1">
      <c r="A12104" s="9" t="s">
        <v>24703</v>
      </c>
      <c r="B12104" s="9" t="s">
        <v>24703</v>
      </c>
      <c r="C12104" s="9" t="s">
        <v>66</v>
      </c>
      <c r="D12104" s="9" t="s">
        <v>67</v>
      </c>
      <c r="E12104" s="10" t="s">
        <v>1178</v>
      </c>
      <c r="F12104" s="9" t="s">
        <v>1179</v>
      </c>
      <c r="G12104" s="10" t="s">
        <v>86</v>
      </c>
      <c r="H12104" s="9" t="s">
        <v>22</v>
      </c>
      <c r="I12104" s="9" t="s">
        <v>24704</v>
      </c>
      <c r="J12104" s="10" t="str">
        <f>HYPERLINK("https://www.boe.es/gazeta/dias/1834/04/10/pdfs/GMD-C-1834-49.pdf#page=2","Abrir facsímil")</f>
        <v>Abrir facsímil</v>
      </c>
      <c r="K12104" s="10" t="s">
        <v>24</v>
      </c>
    </row>
    <row r="12105" spans="1:11" ht="54" customHeight="1">
      <c r="A12105" s="9" t="s">
        <v>24705</v>
      </c>
      <c r="B12105" s="9" t="s">
        <v>24706</v>
      </c>
      <c r="C12105" s="9" t="s">
        <v>17</v>
      </c>
      <c r="D12105" s="9" t="s">
        <v>55</v>
      </c>
      <c r="E12105" s="10" t="s">
        <v>1178</v>
      </c>
      <c r="F12105" s="9" t="s">
        <v>1179</v>
      </c>
      <c r="G12105" s="10" t="s">
        <v>86</v>
      </c>
      <c r="H12105" s="9" t="s">
        <v>35</v>
      </c>
      <c r="I12105" s="9" t="s">
        <v>24707</v>
      </c>
      <c r="J12105" s="10" t="str">
        <f>HYPERLINK("https://www.boe.es/gazeta/dias/1834/04/10/pdfs/GMD-C-1834-49.pdf#page=2","Abrir facsímil")</f>
        <v>Abrir facsímil</v>
      </c>
      <c r="K12105" s="10" t="s">
        <v>37</v>
      </c>
    </row>
    <row r="12106" spans="1:11" ht="54" customHeight="1">
      <c r="A12106" s="9" t="s">
        <v>24708</v>
      </c>
      <c r="B12106" s="9" t="s">
        <v>24709</v>
      </c>
      <c r="C12106" s="9" t="s">
        <v>17</v>
      </c>
      <c r="D12106" s="9" t="s">
        <v>55</v>
      </c>
      <c r="E12106" s="10" t="s">
        <v>1178</v>
      </c>
      <c r="F12106" s="9" t="s">
        <v>1179</v>
      </c>
      <c r="G12106" s="10" t="s">
        <v>86</v>
      </c>
      <c r="H12106" s="9" t="s">
        <v>22</v>
      </c>
      <c r="I12106" s="9" t="s">
        <v>24710</v>
      </c>
      <c r="J12106" s="10" t="str">
        <f>HYPERLINK("https://www.boe.es/gazeta/dias/1834/04/10/pdfs/GMD-C-1834-49.pdf#page=2","Abrir facsímil")</f>
        <v>Abrir facsímil</v>
      </c>
      <c r="K12106" s="10" t="s">
        <v>24</v>
      </c>
    </row>
    <row r="12107" spans="1:11" ht="54" customHeight="1">
      <c r="A12107" s="9" t="s">
        <v>24711</v>
      </c>
      <c r="B12107" s="9" t="s">
        <v>24712</v>
      </c>
      <c r="C12107" s="9" t="s">
        <v>122</v>
      </c>
      <c r="D12107" s="9" t="s">
        <v>18</v>
      </c>
      <c r="E12107" s="10" t="s">
        <v>513</v>
      </c>
      <c r="F12107" s="9" t="s">
        <v>514</v>
      </c>
      <c r="G12107" s="10" t="s">
        <v>34</v>
      </c>
      <c r="H12107" s="9" t="s">
        <v>35</v>
      </c>
      <c r="I12107" s="9" t="s">
        <v>24713</v>
      </c>
      <c r="J12107" s="10" t="str">
        <f>HYPERLINK("https://www.boe.es/gazeta/dias/1834/04/27/pdfs/GMD-1834-66.pdf#page=1","Abrir facsímil")</f>
        <v>Abrir facsímil</v>
      </c>
      <c r="K12107" s="10" t="s">
        <v>37</v>
      </c>
    </row>
    <row r="12108" spans="1:11" ht="54" customHeight="1">
      <c r="A12108" s="9" t="s">
        <v>24711</v>
      </c>
      <c r="B12108" s="9" t="s">
        <v>24712</v>
      </c>
      <c r="C12108" s="9" t="s">
        <v>122</v>
      </c>
      <c r="D12108" s="9" t="s">
        <v>18</v>
      </c>
      <c r="E12108" s="10" t="s">
        <v>513</v>
      </c>
      <c r="F12108" s="9" t="s">
        <v>514</v>
      </c>
      <c r="G12108" s="10" t="s">
        <v>75</v>
      </c>
      <c r="H12108" s="9" t="s">
        <v>35</v>
      </c>
      <c r="I12108" s="9" t="s">
        <v>24714</v>
      </c>
      <c r="J12108" s="10" t="str">
        <f>HYPERLINK("https://www.boe.es/gazeta/dias/1834/04/27/pdfs/GMD-1834-66.pdf#page=4","Abrir facsímil")</f>
        <v>Abrir facsímil</v>
      </c>
      <c r="K12108" s="10" t="s">
        <v>37</v>
      </c>
    </row>
    <row r="12109" spans="1:11" ht="54" customHeight="1">
      <c r="A12109" s="9" t="s">
        <v>24715</v>
      </c>
      <c r="B12109" s="9" t="s">
        <v>24716</v>
      </c>
      <c r="C12109" s="9" t="s">
        <v>122</v>
      </c>
      <c r="D12109" s="9" t="s">
        <v>18</v>
      </c>
      <c r="E12109" s="10" t="s">
        <v>513</v>
      </c>
      <c r="F12109" s="9" t="s">
        <v>514</v>
      </c>
      <c r="G12109" s="10" t="s">
        <v>34</v>
      </c>
      <c r="H12109" s="9" t="s">
        <v>22</v>
      </c>
      <c r="I12109" s="9" t="s">
        <v>24717</v>
      </c>
      <c r="J12109" s="10" t="str">
        <f>HYPERLINK("https://www.boe.es/gazeta/dias/1834/04/27/pdfs/GMD-1834-66.pdf#page=1","Abrir facsímil")</f>
        <v>Abrir facsímil</v>
      </c>
      <c r="K12109" s="10" t="s">
        <v>24</v>
      </c>
    </row>
    <row r="12110" spans="1:11" ht="54" customHeight="1">
      <c r="A12110" s="9" t="s">
        <v>24715</v>
      </c>
      <c r="B12110" s="9" t="s">
        <v>24716</v>
      </c>
      <c r="C12110" s="9" t="s">
        <v>122</v>
      </c>
      <c r="D12110" s="9" t="s">
        <v>18</v>
      </c>
      <c r="E12110" s="10" t="s">
        <v>513</v>
      </c>
      <c r="F12110" s="9" t="s">
        <v>514</v>
      </c>
      <c r="G12110" s="10" t="s">
        <v>75</v>
      </c>
      <c r="H12110" s="9" t="s">
        <v>22</v>
      </c>
      <c r="I12110" s="9" t="s">
        <v>24718</v>
      </c>
      <c r="J12110" s="10" t="str">
        <f>HYPERLINK("https://www.boe.es/gazeta/dias/1834/04/27/pdfs/GMD-1834-66.pdf#page=4","Abrir facsímil")</f>
        <v>Abrir facsímil</v>
      </c>
      <c r="K12110" s="10" t="s">
        <v>24</v>
      </c>
    </row>
    <row r="12111" spans="1:11" ht="54" customHeight="1">
      <c r="A12111" s="9" t="s">
        <v>24719</v>
      </c>
      <c r="B12111" s="9" t="s">
        <v>24719</v>
      </c>
      <c r="C12111" s="9" t="s">
        <v>66</v>
      </c>
      <c r="D12111" s="9" t="s">
        <v>67</v>
      </c>
      <c r="E12111" s="10" t="s">
        <v>734</v>
      </c>
      <c r="F12111" s="9" t="s">
        <v>735</v>
      </c>
      <c r="G12111" s="10" t="s">
        <v>86</v>
      </c>
      <c r="H12111" s="9" t="s">
        <v>22</v>
      </c>
      <c r="I12111" s="9" t="s">
        <v>24720</v>
      </c>
      <c r="J12111" s="10" t="str">
        <f>HYPERLINK("https://www.boe.es/gazeta/dias/1834/05/06/pdfs/GMD-1834-75.pdf#page=2","Abrir facsímil")</f>
        <v>Abrir facsímil</v>
      </c>
      <c r="K12111" s="10" t="s">
        <v>24</v>
      </c>
    </row>
    <row r="12112" spans="1:11" ht="54" customHeight="1">
      <c r="A12112" s="9" t="s">
        <v>24719</v>
      </c>
      <c r="B12112" s="9" t="s">
        <v>24719</v>
      </c>
      <c r="C12112" s="9" t="s">
        <v>46</v>
      </c>
      <c r="D12112" s="9" t="s">
        <v>55</v>
      </c>
      <c r="E12112" s="10" t="s">
        <v>518</v>
      </c>
      <c r="F12112" s="9" t="s">
        <v>519</v>
      </c>
      <c r="G12112" s="10" t="s">
        <v>86</v>
      </c>
      <c r="H12112" s="9" t="s">
        <v>22</v>
      </c>
      <c r="I12112" s="9" t="s">
        <v>24721</v>
      </c>
      <c r="J12112" s="10" t="str">
        <f>HYPERLINK("https://www.boe.es/gazeta/dias/1834/03/15/pdfs/GMD-1834-33.pdf#page=2","Abrir facsímil")</f>
        <v>Abrir facsímil</v>
      </c>
      <c r="K12112" s="10" t="s">
        <v>24</v>
      </c>
    </row>
    <row r="12113" spans="1:11" ht="54" customHeight="1">
      <c r="A12113" s="9" t="s">
        <v>24722</v>
      </c>
      <c r="B12113" s="9" t="s">
        <v>24722</v>
      </c>
      <c r="C12113" s="9" t="s">
        <v>90</v>
      </c>
      <c r="D12113" s="9" t="s">
        <v>55</v>
      </c>
      <c r="E12113" s="10" t="s">
        <v>3810</v>
      </c>
      <c r="F12113" s="9" t="s">
        <v>3811</v>
      </c>
      <c r="G12113" s="10" t="s">
        <v>86</v>
      </c>
      <c r="H12113" s="9" t="s">
        <v>22</v>
      </c>
      <c r="I12113" s="9" t="s">
        <v>24723</v>
      </c>
      <c r="J12113" s="10" t="str">
        <f>HYPERLINK("https://www.boe.es/gazeta/dias/1834/02/20/pdfs/GMD-1834-23.pdf#page=2","Abrir facsímil")</f>
        <v>Abrir facsímil</v>
      </c>
      <c r="K12113" s="10" t="s">
        <v>24</v>
      </c>
    </row>
    <row r="12114" spans="1:11" ht="54" customHeight="1">
      <c r="A12114" s="9" t="s">
        <v>24724</v>
      </c>
      <c r="B12114" s="9" t="s">
        <v>24724</v>
      </c>
      <c r="C12114" s="9" t="s">
        <v>17</v>
      </c>
      <c r="D12114" s="9" t="s">
        <v>18</v>
      </c>
      <c r="E12114" s="10" t="s">
        <v>1922</v>
      </c>
      <c r="F12114" s="9" t="s">
        <v>1923</v>
      </c>
      <c r="G12114" s="10" t="s">
        <v>75</v>
      </c>
      <c r="H12114" s="9" t="s">
        <v>22</v>
      </c>
      <c r="I12114" s="9" t="s">
        <v>24725</v>
      </c>
      <c r="J12114" s="10" t="str">
        <f>HYPERLINK("https://www.boe.es/gazeta/dias/1834/02/25/pdfs/GMD-1834-25.pdf#page=4","Abrir facsímil")</f>
        <v>Abrir facsímil</v>
      </c>
      <c r="K12114" s="10" t="s">
        <v>24</v>
      </c>
    </row>
    <row r="12115" spans="1:11" ht="54" customHeight="1">
      <c r="A12115" s="9" t="s">
        <v>24726</v>
      </c>
      <c r="B12115" s="9" t="s">
        <v>24727</v>
      </c>
      <c r="C12115" s="9" t="s">
        <v>46</v>
      </c>
      <c r="D12115" s="9" t="s">
        <v>40</v>
      </c>
      <c r="E12115" s="10" t="s">
        <v>2037</v>
      </c>
      <c r="F12115" s="9" t="s">
        <v>2038</v>
      </c>
      <c r="G12115" s="10" t="s">
        <v>34</v>
      </c>
      <c r="H12115" s="9" t="s">
        <v>22</v>
      </c>
      <c r="I12115" s="9" t="s">
        <v>24728</v>
      </c>
      <c r="J12115" s="10" t="str">
        <f>HYPERLINK("https://www.boe.es/gazeta/dias/1834/12/01/pdfs/I01208-01208.pdf#page=1","Abrir facsímil")</f>
        <v>Abrir facsímil</v>
      </c>
      <c r="K12115" s="10" t="s">
        <v>24</v>
      </c>
    </row>
    <row r="12116" spans="1:11" ht="54" customHeight="1">
      <c r="A12116" s="9" t="s">
        <v>24726</v>
      </c>
      <c r="B12116" s="9" t="s">
        <v>24727</v>
      </c>
      <c r="C12116" s="9" t="s">
        <v>46</v>
      </c>
      <c r="D12116" s="9" t="s">
        <v>40</v>
      </c>
      <c r="E12116" s="10" t="s">
        <v>2037</v>
      </c>
      <c r="F12116" s="9" t="s">
        <v>2038</v>
      </c>
      <c r="G12116" s="10" t="s">
        <v>75</v>
      </c>
      <c r="H12116" s="9" t="s">
        <v>22</v>
      </c>
      <c r="I12116" s="9" t="s">
        <v>24728</v>
      </c>
      <c r="J12116" s="10" t="str">
        <f>HYPERLINK("https://www.boe.es/gazeta/dias/1834/12/01/pdfs/GMD-1834-290.pdf#page=4","Abrir facsímil")</f>
        <v>Abrir facsímil</v>
      </c>
      <c r="K12116" s="10" t="s">
        <v>24</v>
      </c>
    </row>
    <row r="12117" spans="1:11" ht="54" customHeight="1">
      <c r="A12117" s="9" t="s">
        <v>24729</v>
      </c>
      <c r="B12117" s="9" t="s">
        <v>24729</v>
      </c>
      <c r="C12117" s="9" t="s">
        <v>17</v>
      </c>
      <c r="D12117" s="9" t="s">
        <v>55</v>
      </c>
      <c r="E12117" s="10" t="s">
        <v>1025</v>
      </c>
      <c r="F12117" s="9" t="s">
        <v>1026</v>
      </c>
      <c r="G12117" s="10" t="s">
        <v>86</v>
      </c>
      <c r="H12117" s="9" t="s">
        <v>22</v>
      </c>
      <c r="I12117" s="9" t="s">
        <v>24730</v>
      </c>
      <c r="J12117" s="10" t="str">
        <f>HYPERLINK("https://www.boe.es/gazeta/dias/1834/03/01/pdfs/GMD-1834-27.pdf#page=2","Abrir facsímil")</f>
        <v>Abrir facsímil</v>
      </c>
      <c r="K12117" s="10" t="s">
        <v>24</v>
      </c>
    </row>
    <row r="12118" spans="1:11" ht="54" customHeight="1">
      <c r="A12118" s="9" t="s">
        <v>24731</v>
      </c>
      <c r="B12118" s="9" t="s">
        <v>24731</v>
      </c>
      <c r="C12118" s="9" t="s">
        <v>17</v>
      </c>
      <c r="D12118" s="9" t="s">
        <v>18</v>
      </c>
      <c r="E12118" s="10" t="s">
        <v>813</v>
      </c>
      <c r="F12118" s="9" t="s">
        <v>814</v>
      </c>
      <c r="G12118" s="10" t="s">
        <v>21</v>
      </c>
      <c r="H12118" s="9" t="s">
        <v>22</v>
      </c>
      <c r="I12118" s="9" t="s">
        <v>24732</v>
      </c>
      <c r="J12118" s="10" t="str">
        <f>HYPERLINK("https://www.boe.es/gazeta/dias/1834/08/08/pdfs/GMD-1834-173.pdf#page=3","Abrir facsímil")</f>
        <v>Abrir facsímil</v>
      </c>
      <c r="K12118" s="10" t="s">
        <v>24</v>
      </c>
    </row>
    <row r="12119" spans="1:11" ht="54" customHeight="1">
      <c r="A12119" s="9" t="s">
        <v>24731</v>
      </c>
      <c r="B12119" s="9" t="s">
        <v>24731</v>
      </c>
      <c r="C12119" s="9" t="s">
        <v>66</v>
      </c>
      <c r="D12119" s="9" t="s">
        <v>67</v>
      </c>
      <c r="E12119" s="10" t="s">
        <v>138</v>
      </c>
      <c r="F12119" s="9" t="s">
        <v>139</v>
      </c>
      <c r="G12119" s="10" t="s">
        <v>21</v>
      </c>
      <c r="H12119" s="9" t="s">
        <v>22</v>
      </c>
      <c r="I12119" s="9" t="s">
        <v>24733</v>
      </c>
      <c r="J12119" s="10" t="str">
        <f>HYPERLINK("https://www.boe.es/gazeta/dias/1834/05/17/pdfs/GMD-1834-86.pdf#page=3","Abrir facsímil")</f>
        <v>Abrir facsímil</v>
      </c>
      <c r="K12119" s="10" t="s">
        <v>24</v>
      </c>
    </row>
    <row r="12120" spans="1:11" ht="54" customHeight="1">
      <c r="A12120" s="9" t="s">
        <v>24731</v>
      </c>
      <c r="B12120" s="9" t="s">
        <v>24731</v>
      </c>
      <c r="C12120" s="9" t="s">
        <v>66</v>
      </c>
      <c r="D12120" s="9" t="s">
        <v>18</v>
      </c>
      <c r="E12120" s="10" t="s">
        <v>4169</v>
      </c>
      <c r="F12120" s="9" t="s">
        <v>4170</v>
      </c>
      <c r="G12120" s="10" t="s">
        <v>21</v>
      </c>
      <c r="H12120" s="9" t="s">
        <v>22</v>
      </c>
      <c r="I12120" s="9" t="s">
        <v>24734</v>
      </c>
      <c r="J12120" s="10" t="str">
        <f>HYPERLINK("https://www.boe.es/gazeta/dias/1834/11/20/pdfs/GMD-1834-279.pdf#page=3","Abrir facsímil")</f>
        <v>Abrir facsímil</v>
      </c>
      <c r="K12120" s="10" t="s">
        <v>24</v>
      </c>
    </row>
    <row r="12121" spans="1:11" ht="54" customHeight="1">
      <c r="A12121" s="9" t="s">
        <v>24731</v>
      </c>
      <c r="B12121" s="9" t="s">
        <v>24731</v>
      </c>
      <c r="C12121" s="9" t="s">
        <v>17</v>
      </c>
      <c r="D12121" s="9" t="s">
        <v>18</v>
      </c>
      <c r="E12121" s="10" t="s">
        <v>492</v>
      </c>
      <c r="F12121" s="9" t="s">
        <v>1672</v>
      </c>
      <c r="G12121" s="10" t="s">
        <v>75</v>
      </c>
      <c r="H12121" s="9" t="s">
        <v>22</v>
      </c>
      <c r="I12121" s="9" t="s">
        <v>24735</v>
      </c>
      <c r="J12121" s="10" t="str">
        <f>HYPERLINK("https://www.boe.es/gazeta/dias/1834/11/21/pdfs/GMD-1834-280.pdf#page=4","Abrir facsímil")</f>
        <v>Abrir facsímil</v>
      </c>
      <c r="K12121" s="10" t="s">
        <v>24</v>
      </c>
    </row>
    <row r="12122" spans="1:11" ht="54" customHeight="1">
      <c r="A12122" s="9" t="s">
        <v>24731</v>
      </c>
      <c r="B12122" s="9" t="s">
        <v>24731</v>
      </c>
      <c r="C12122" s="9" t="s">
        <v>66</v>
      </c>
      <c r="D12122" s="9" t="s">
        <v>67</v>
      </c>
      <c r="E12122" s="10" t="s">
        <v>606</v>
      </c>
      <c r="F12122" s="9" t="s">
        <v>607</v>
      </c>
      <c r="G12122" s="10" t="s">
        <v>75</v>
      </c>
      <c r="H12122" s="9" t="s">
        <v>22</v>
      </c>
      <c r="I12122" s="9" t="s">
        <v>24736</v>
      </c>
      <c r="J12122" s="10" t="str">
        <f>HYPERLINK("https://www.boe.es/gazeta/dias/1834/06/23/pdfs/GMD-1834-126.pdf#page=4","Abrir facsímil")</f>
        <v>Abrir facsímil</v>
      </c>
      <c r="K12122" s="10" t="s">
        <v>24</v>
      </c>
    </row>
    <row r="12123" spans="1:11" ht="54" customHeight="1">
      <c r="A12123" s="9" t="s">
        <v>24731</v>
      </c>
      <c r="B12123" s="9" t="s">
        <v>24731</v>
      </c>
      <c r="C12123" s="9" t="s">
        <v>17</v>
      </c>
      <c r="D12123" s="9" t="s">
        <v>18</v>
      </c>
      <c r="E12123" s="10" t="s">
        <v>1002</v>
      </c>
      <c r="F12123" s="9" t="s">
        <v>1003</v>
      </c>
      <c r="G12123" s="10" t="s">
        <v>21</v>
      </c>
      <c r="H12123" s="9" t="s">
        <v>22</v>
      </c>
      <c r="I12123" s="9" t="s">
        <v>24737</v>
      </c>
      <c r="J12123" s="10" t="str">
        <f>HYPERLINK("https://www.boe.es/gazeta/dias/1834/06/26/pdfs/GMD-1834-129.pdf#page=3","Abrir facsímil")</f>
        <v>Abrir facsímil</v>
      </c>
      <c r="K12123" s="10" t="s">
        <v>24</v>
      </c>
    </row>
    <row r="12124" spans="1:11" ht="54" customHeight="1">
      <c r="A12124" s="9" t="s">
        <v>24731</v>
      </c>
      <c r="B12124" s="9" t="s">
        <v>24731</v>
      </c>
      <c r="C12124" s="9" t="s">
        <v>17</v>
      </c>
      <c r="D12124" s="9" t="s">
        <v>18</v>
      </c>
      <c r="E12124" s="10" t="s">
        <v>719</v>
      </c>
      <c r="F12124" s="9" t="s">
        <v>720</v>
      </c>
      <c r="G12124" s="10" t="s">
        <v>75</v>
      </c>
      <c r="H12124" s="9" t="s">
        <v>22</v>
      </c>
      <c r="I12124" s="9" t="s">
        <v>24738</v>
      </c>
      <c r="J12124" s="10" t="str">
        <f>HYPERLINK("https://www.boe.es/gazeta/dias/1834/04/29/pdfs/GMD-1834-68.pdf#page=4","Abrir facsímil")</f>
        <v>Abrir facsímil</v>
      </c>
      <c r="K12124" s="10" t="s">
        <v>24</v>
      </c>
    </row>
    <row r="12125" spans="1:11" ht="54" customHeight="1">
      <c r="A12125" s="9" t="s">
        <v>24739</v>
      </c>
      <c r="B12125" s="9" t="s">
        <v>24740</v>
      </c>
      <c r="C12125" s="9" t="s">
        <v>17</v>
      </c>
      <c r="D12125" s="9" t="s">
        <v>18</v>
      </c>
      <c r="E12125" s="10" t="s">
        <v>905</v>
      </c>
      <c r="F12125" s="9" t="s">
        <v>1651</v>
      </c>
      <c r="G12125" s="10" t="s">
        <v>21</v>
      </c>
      <c r="H12125" s="9" t="s">
        <v>22</v>
      </c>
      <c r="I12125" s="9" t="s">
        <v>24741</v>
      </c>
      <c r="J12125" s="10" t="str">
        <f>HYPERLINK("https://www.boe.es/gazeta/dias/1834/08/02/pdfs/GMD-1834-166.pdf#page=3","Abrir facsímil")</f>
        <v>Abrir facsímil</v>
      </c>
      <c r="K12125" s="10" t="s">
        <v>24</v>
      </c>
    </row>
    <row r="12126" spans="1:11" ht="54" customHeight="1">
      <c r="A12126" s="9" t="s">
        <v>24742</v>
      </c>
      <c r="B12126" s="9" t="s">
        <v>24742</v>
      </c>
      <c r="C12126" s="9" t="s">
        <v>17</v>
      </c>
      <c r="D12126" s="9" t="s">
        <v>55</v>
      </c>
      <c r="E12126" s="10" t="s">
        <v>518</v>
      </c>
      <c r="F12126" s="9" t="s">
        <v>519</v>
      </c>
      <c r="G12126" s="10" t="s">
        <v>86</v>
      </c>
      <c r="H12126" s="9" t="s">
        <v>22</v>
      </c>
      <c r="I12126" s="9" t="s">
        <v>24743</v>
      </c>
      <c r="J12126" s="10" t="str">
        <f>HYPERLINK("https://www.boe.es/gazeta/dias/1834/03/15/pdfs/GMD-1834-33.pdf#page=2","Abrir facsímil")</f>
        <v>Abrir facsímil</v>
      </c>
      <c r="K12126" s="10" t="s">
        <v>24</v>
      </c>
    </row>
    <row r="12127" spans="1:11" ht="54" customHeight="1">
      <c r="A12127" s="9" t="s">
        <v>24742</v>
      </c>
      <c r="B12127" s="9" t="s">
        <v>24742</v>
      </c>
      <c r="C12127" s="9" t="s">
        <v>17</v>
      </c>
      <c r="D12127" s="9" t="s">
        <v>18</v>
      </c>
      <c r="E12127" s="10" t="s">
        <v>247</v>
      </c>
      <c r="F12127" s="9" t="s">
        <v>2805</v>
      </c>
      <c r="G12127" s="10" t="s">
        <v>34</v>
      </c>
      <c r="H12127" s="9" t="s">
        <v>22</v>
      </c>
      <c r="I12127" s="9" t="s">
        <v>24744</v>
      </c>
      <c r="J12127" s="10" t="str">
        <f>HYPERLINK("https://www.boe.es/gazeta/dias/1834/08/23/pdfs/GMD-1834-189.pdf#page=1","Abrir facsímil")</f>
        <v>Abrir facsímil</v>
      </c>
      <c r="K12127" s="10" t="s">
        <v>24</v>
      </c>
    </row>
    <row r="12128" spans="1:11" ht="54" customHeight="1">
      <c r="A12128" s="9" t="s">
        <v>24745</v>
      </c>
      <c r="B12128" s="9" t="s">
        <v>24745</v>
      </c>
      <c r="C12128" s="9" t="s">
        <v>46</v>
      </c>
      <c r="D12128" s="9" t="s">
        <v>101</v>
      </c>
      <c r="E12128" s="10" t="s">
        <v>183</v>
      </c>
      <c r="F12128" s="9" t="s">
        <v>184</v>
      </c>
      <c r="G12128" s="10" t="s">
        <v>86</v>
      </c>
      <c r="H12128" s="9" t="s">
        <v>22</v>
      </c>
      <c r="I12128" s="9" t="s">
        <v>24746</v>
      </c>
      <c r="J12128" s="10" t="str">
        <f>HYPERLINK("https://www.boe.es/gazeta/dias/1834/03/18/pdfs/GMD-1834-34.pdf#page=2","Abrir facsímil")</f>
        <v>Abrir facsímil</v>
      </c>
      <c r="K12128" s="10" t="s">
        <v>24</v>
      </c>
    </row>
    <row r="12129" spans="1:11" ht="54" customHeight="1">
      <c r="A12129" s="9" t="s">
        <v>24747</v>
      </c>
      <c r="B12129" s="9" t="s">
        <v>24747</v>
      </c>
      <c r="C12129" s="9" t="s">
        <v>122</v>
      </c>
      <c r="D12129" s="9" t="s">
        <v>18</v>
      </c>
      <c r="E12129" s="10" t="s">
        <v>283</v>
      </c>
      <c r="F12129" s="9" t="s">
        <v>2969</v>
      </c>
      <c r="G12129" s="10" t="s">
        <v>86</v>
      </c>
      <c r="H12129" s="9" t="s">
        <v>22</v>
      </c>
      <c r="I12129" s="9" t="s">
        <v>24748</v>
      </c>
      <c r="J12129" s="10" t="str">
        <f>HYPERLINK("https://www.boe.es/gazeta/dias/1834/11/29/pdfs/GMD-1834-288.pdf#page=2","Abrir facsímil")</f>
        <v>Abrir facsímil</v>
      </c>
      <c r="K12129" s="10" t="s">
        <v>24</v>
      </c>
    </row>
    <row r="12130" spans="1:11" ht="54" customHeight="1">
      <c r="A12130" s="9" t="s">
        <v>24749</v>
      </c>
      <c r="B12130" s="9" t="s">
        <v>24750</v>
      </c>
      <c r="C12130" s="9" t="s">
        <v>17</v>
      </c>
      <c r="D12130" s="9" t="s">
        <v>18</v>
      </c>
      <c r="E12130" s="10" t="s">
        <v>2860</v>
      </c>
      <c r="F12130" s="9" t="s">
        <v>2861</v>
      </c>
      <c r="G12130" s="10" t="s">
        <v>75</v>
      </c>
      <c r="H12130" s="9" t="s">
        <v>22</v>
      </c>
      <c r="I12130" s="9" t="s">
        <v>24751</v>
      </c>
      <c r="J12130" s="10" t="str">
        <f>HYPERLINK("https://www.boe.es/gazeta/dias/1834/07/20/pdfs/GMD-1834-153.pdf#page=4","Abrir facsímil")</f>
        <v>Abrir facsímil</v>
      </c>
      <c r="K12130" s="10" t="s">
        <v>24</v>
      </c>
    </row>
    <row r="12131" spans="1:11" ht="54" customHeight="1">
      <c r="A12131" s="9" t="s">
        <v>24752</v>
      </c>
      <c r="B12131" s="9" t="s">
        <v>24753</v>
      </c>
      <c r="C12131" s="9" t="s">
        <v>17</v>
      </c>
      <c r="D12131" s="9" t="s">
        <v>18</v>
      </c>
      <c r="E12131" s="10" t="s">
        <v>1337</v>
      </c>
      <c r="F12131" s="9" t="s">
        <v>1338</v>
      </c>
      <c r="G12131" s="10" t="s">
        <v>21</v>
      </c>
      <c r="H12131" s="9" t="s">
        <v>35</v>
      </c>
      <c r="I12131" s="9" t="s">
        <v>24754</v>
      </c>
      <c r="J12131" s="10" t="str">
        <f>HYPERLINK("https://www.boe.es/gazeta/dias/1834/01/02/pdfs/GMD-1834-1.pdf#page=3","Abrir facsímil")</f>
        <v>Abrir facsímil</v>
      </c>
      <c r="K12131" s="10" t="s">
        <v>37</v>
      </c>
    </row>
    <row r="12132" spans="1:11" ht="54" customHeight="1">
      <c r="A12132" s="9" t="s">
        <v>24755</v>
      </c>
      <c r="B12132" s="9" t="s">
        <v>24756</v>
      </c>
      <c r="C12132" s="9" t="s">
        <v>17</v>
      </c>
      <c r="D12132" s="9" t="s">
        <v>18</v>
      </c>
      <c r="E12132" s="10" t="s">
        <v>1337</v>
      </c>
      <c r="F12132" s="9" t="s">
        <v>1338</v>
      </c>
      <c r="G12132" s="10" t="s">
        <v>21</v>
      </c>
      <c r="H12132" s="9" t="s">
        <v>22</v>
      </c>
      <c r="I12132" s="9" t="s">
        <v>24757</v>
      </c>
      <c r="J12132" s="10" t="str">
        <f>HYPERLINK("https://www.boe.es/gazeta/dias/1834/01/02/pdfs/GMD-1834-1.pdf#page=3","Abrir facsímil")</f>
        <v>Abrir facsímil</v>
      </c>
      <c r="K12132" s="10" t="s">
        <v>24</v>
      </c>
    </row>
    <row r="12133" spans="1:11" ht="54" customHeight="1">
      <c r="A12133" s="9" t="s">
        <v>24758</v>
      </c>
      <c r="B12133" s="9" t="s">
        <v>24759</v>
      </c>
      <c r="C12133" s="9" t="s">
        <v>17</v>
      </c>
      <c r="D12133" s="9" t="s">
        <v>18</v>
      </c>
      <c r="E12133" s="10" t="s">
        <v>2048</v>
      </c>
      <c r="F12133" s="9" t="s">
        <v>2049</v>
      </c>
      <c r="G12133" s="10" t="s">
        <v>75</v>
      </c>
      <c r="H12133" s="9" t="s">
        <v>22</v>
      </c>
      <c r="I12133" s="9" t="s">
        <v>24760</v>
      </c>
      <c r="J12133" s="10" t="str">
        <f>HYPERLINK("https://www.boe.es/gazeta/dias/1834/05/12/pdfs/GMD-1834-81.pdf#page=4","Abrir facsímil")</f>
        <v>Abrir facsímil</v>
      </c>
      <c r="K12133" s="10" t="s">
        <v>24</v>
      </c>
    </row>
    <row r="12134" spans="1:11" ht="54" customHeight="1">
      <c r="A12134" s="9" t="s">
        <v>24761</v>
      </c>
      <c r="B12134" s="9" t="s">
        <v>24762</v>
      </c>
      <c r="C12134" s="9" t="s">
        <v>17</v>
      </c>
      <c r="D12134" s="9" t="s">
        <v>18</v>
      </c>
      <c r="E12134" s="10" t="s">
        <v>283</v>
      </c>
      <c r="F12134" s="9" t="s">
        <v>284</v>
      </c>
      <c r="G12134" s="10" t="s">
        <v>75</v>
      </c>
      <c r="H12134" s="9" t="s">
        <v>22</v>
      </c>
      <c r="I12134" s="9" t="s">
        <v>24763</v>
      </c>
      <c r="J12134" s="10" t="str">
        <f>HYPERLINK("https://www.boe.es/gazeta/dias/1834/11/29/pdfs/GMD-C-1834-288.pdf#page=4","Abrir facsímil")</f>
        <v>Abrir facsímil</v>
      </c>
      <c r="K12134" s="10" t="s">
        <v>24</v>
      </c>
    </row>
    <row r="12135" spans="1:11" ht="54" customHeight="1">
      <c r="A12135" s="9" t="s">
        <v>24764</v>
      </c>
      <c r="B12135" s="9" t="s">
        <v>24765</v>
      </c>
      <c r="C12135" s="9" t="s">
        <v>66</v>
      </c>
      <c r="D12135" s="9" t="s">
        <v>67</v>
      </c>
      <c r="E12135" s="10" t="s">
        <v>1918</v>
      </c>
      <c r="F12135" s="9" t="s">
        <v>2024</v>
      </c>
      <c r="G12135" s="10" t="s">
        <v>86</v>
      </c>
      <c r="H12135" s="9" t="s">
        <v>22</v>
      </c>
      <c r="I12135" s="9" t="s">
        <v>24766</v>
      </c>
      <c r="J12135" s="10" t="str">
        <f>HYPERLINK("https://www.boe.es/gazeta/dias/1834/03/22/pdfs/GMD-C-1834-36.pdf#page=2","Abrir facsímil")</f>
        <v>Abrir facsímil</v>
      </c>
      <c r="K12135" s="10" t="s">
        <v>24</v>
      </c>
    </row>
    <row r="12136" spans="1:11" ht="54" customHeight="1">
      <c r="A12136" s="9" t="s">
        <v>24767</v>
      </c>
      <c r="B12136" s="9" t="s">
        <v>24767</v>
      </c>
      <c r="C12136" s="9" t="s">
        <v>66</v>
      </c>
      <c r="D12136" s="9" t="s">
        <v>18</v>
      </c>
      <c r="E12136" s="10" t="s">
        <v>11991</v>
      </c>
      <c r="F12136" s="9" t="s">
        <v>17012</v>
      </c>
      <c r="G12136" s="10" t="s">
        <v>75</v>
      </c>
      <c r="H12136" s="9" t="s">
        <v>22</v>
      </c>
      <c r="I12136" s="9" t="s">
        <v>24768</v>
      </c>
      <c r="J12136" s="10" t="str">
        <f>HYPERLINK("https://www.boe.es/gazeta/dias/1834/12/05/pdfs/GMD-1834-294.pdf#page=4","Abrir facsímil")</f>
        <v>Abrir facsímil</v>
      </c>
      <c r="K12136" s="10" t="s">
        <v>24</v>
      </c>
    </row>
    <row r="12137" spans="1:11" ht="54" customHeight="1">
      <c r="A12137" s="9" t="s">
        <v>24769</v>
      </c>
      <c r="B12137" s="9" t="s">
        <v>24769</v>
      </c>
      <c r="C12137" s="9" t="s">
        <v>17</v>
      </c>
      <c r="D12137" s="9" t="s">
        <v>18</v>
      </c>
      <c r="E12137" s="10" t="s">
        <v>2142</v>
      </c>
      <c r="F12137" s="9" t="s">
        <v>2143</v>
      </c>
      <c r="G12137" s="10" t="s">
        <v>86</v>
      </c>
      <c r="H12137" s="9" t="s">
        <v>22</v>
      </c>
      <c r="I12137" s="9" t="s">
        <v>24770</v>
      </c>
      <c r="J12137" s="10" t="str">
        <f>HYPERLINK("https://www.boe.es/gazeta/dias/1834/12/27/pdfs/GMD-1834-317.pdf#page=2","Abrir facsímil")</f>
        <v>Abrir facsímil</v>
      </c>
      <c r="K12137" s="10" t="s">
        <v>24</v>
      </c>
    </row>
    <row r="12138" spans="1:11" ht="54" customHeight="1">
      <c r="A12138" s="9" t="s">
        <v>24771</v>
      </c>
      <c r="B12138" s="9" t="s">
        <v>24771</v>
      </c>
      <c r="C12138" s="9" t="s">
        <v>66</v>
      </c>
      <c r="D12138" s="9" t="s">
        <v>18</v>
      </c>
      <c r="E12138" s="10" t="s">
        <v>1708</v>
      </c>
      <c r="F12138" s="9" t="s">
        <v>1709</v>
      </c>
      <c r="G12138" s="10" t="s">
        <v>86</v>
      </c>
      <c r="H12138" s="9" t="s">
        <v>22</v>
      </c>
      <c r="I12138" s="9" t="s">
        <v>24772</v>
      </c>
      <c r="J12138" s="10" t="str">
        <f>HYPERLINK("https://www.boe.es/gazeta/dias/1834/04/12/pdfs/GMD-1834-51.pdf#page=2","Abrir facsímil")</f>
        <v>Abrir facsímil</v>
      </c>
      <c r="K12138" s="10" t="s">
        <v>24</v>
      </c>
    </row>
    <row r="12139" spans="1:11" ht="54" customHeight="1">
      <c r="A12139" s="9" t="s">
        <v>24773</v>
      </c>
      <c r="B12139" s="9" t="s">
        <v>24774</v>
      </c>
      <c r="C12139" s="9" t="s">
        <v>17</v>
      </c>
      <c r="D12139" s="9" t="s">
        <v>18</v>
      </c>
      <c r="E12139" s="10" t="s">
        <v>808</v>
      </c>
      <c r="F12139" s="9" t="s">
        <v>809</v>
      </c>
      <c r="G12139" s="10" t="s">
        <v>75</v>
      </c>
      <c r="H12139" s="9" t="s">
        <v>22</v>
      </c>
      <c r="I12139" s="9" t="s">
        <v>24775</v>
      </c>
      <c r="J12139" s="10" t="str">
        <f>HYPERLINK("https://www.boe.es/gazeta/dias/1834/10/11/pdfs/GMD-1834-239.pdf#page=4","Abrir facsímil")</f>
        <v>Abrir facsímil</v>
      </c>
      <c r="K12139" s="10" t="s">
        <v>24</v>
      </c>
    </row>
    <row r="12140" spans="1:11" ht="54" customHeight="1">
      <c r="A12140" s="9" t="s">
        <v>24776</v>
      </c>
      <c r="B12140" s="9" t="s">
        <v>24776</v>
      </c>
      <c r="C12140" s="9" t="s">
        <v>46</v>
      </c>
      <c r="D12140" s="9" t="s">
        <v>101</v>
      </c>
      <c r="E12140" s="10" t="s">
        <v>403</v>
      </c>
      <c r="F12140" s="9" t="s">
        <v>404</v>
      </c>
      <c r="G12140" s="10" t="s">
        <v>34</v>
      </c>
      <c r="H12140" s="9" t="s">
        <v>22</v>
      </c>
      <c r="I12140" s="9" t="s">
        <v>24777</v>
      </c>
      <c r="J12140" s="10" t="str">
        <f>HYPERLINK("https://www.boe.es/gazeta/dias/1834/09/25/pdfs/GMD-C-1834-223.pdf#page=1","Abrir facsímil")</f>
        <v>Abrir facsímil</v>
      </c>
      <c r="K12140" s="10" t="s">
        <v>24</v>
      </c>
    </row>
    <row r="12141" spans="1:11" ht="54" customHeight="1">
      <c r="A12141" s="9" t="s">
        <v>24778</v>
      </c>
      <c r="B12141" s="9" t="s">
        <v>24779</v>
      </c>
      <c r="C12141" s="9" t="s">
        <v>17</v>
      </c>
      <c r="D12141" s="9" t="s">
        <v>55</v>
      </c>
      <c r="E12141" s="10" t="s">
        <v>299</v>
      </c>
      <c r="F12141" s="9" t="s">
        <v>2255</v>
      </c>
      <c r="G12141" s="10" t="s">
        <v>470</v>
      </c>
      <c r="H12141" s="9" t="s">
        <v>22</v>
      </c>
      <c r="I12141" s="9" t="s">
        <v>24780</v>
      </c>
      <c r="J12141" s="10" t="str">
        <f>HYPERLINK("https://www.boe.es/gazeta/dias/1834/12/12/pdfs/GMD-C-1834-301.pdf#page=8","Abrir facsímil")</f>
        <v>Abrir facsímil</v>
      </c>
      <c r="K12141" s="10" t="s">
        <v>24</v>
      </c>
    </row>
    <row r="12142" spans="1:11" ht="54" customHeight="1">
      <c r="A12142" s="9" t="s">
        <v>24781</v>
      </c>
      <c r="B12142" s="9" t="s">
        <v>24782</v>
      </c>
      <c r="C12142" s="9" t="s">
        <v>122</v>
      </c>
      <c r="D12142" s="9" t="s">
        <v>101</v>
      </c>
      <c r="E12142" s="10" t="s">
        <v>772</v>
      </c>
      <c r="F12142" s="9" t="s">
        <v>773</v>
      </c>
      <c r="G12142" s="10" t="s">
        <v>34</v>
      </c>
      <c r="H12142" s="9" t="s">
        <v>22</v>
      </c>
      <c r="I12142" s="9" t="s">
        <v>24783</v>
      </c>
      <c r="J12142" s="10" t="str">
        <f>HYPERLINK("https://www.boe.es/gazeta/dias/1834/09/18/pdfs/GMD-1834-216.pdf#page=1","Abrir facsímil")</f>
        <v>Abrir facsímil</v>
      </c>
      <c r="K12142" s="10" t="s">
        <v>24</v>
      </c>
    </row>
    <row r="12143" spans="1:11" ht="54" customHeight="1">
      <c r="A12143" s="9" t="s">
        <v>24784</v>
      </c>
      <c r="B12143" s="9" t="s">
        <v>24785</v>
      </c>
      <c r="C12143" s="9" t="s">
        <v>90</v>
      </c>
      <c r="D12143" s="9" t="s">
        <v>67</v>
      </c>
      <c r="E12143" s="10" t="s">
        <v>753</v>
      </c>
      <c r="F12143" s="9" t="s">
        <v>754</v>
      </c>
      <c r="G12143" s="10" t="s">
        <v>75</v>
      </c>
      <c r="H12143" s="9" t="s">
        <v>22</v>
      </c>
      <c r="I12143" s="9" t="s">
        <v>24786</v>
      </c>
      <c r="J12143" s="10" t="str">
        <f>HYPERLINK("https://www.boe.es/gazeta/dias/1834/04/21/pdfs/GMD-1834-60.pdf#page=4","Abrir facsímil")</f>
        <v>Abrir facsímil</v>
      </c>
      <c r="K12143" s="10" t="s">
        <v>24</v>
      </c>
    </row>
    <row r="12144" spans="1:11" ht="54" customHeight="1">
      <c r="A12144" s="9" t="s">
        <v>24787</v>
      </c>
      <c r="B12144" s="9" t="s">
        <v>24788</v>
      </c>
      <c r="C12144" s="9" t="s">
        <v>66</v>
      </c>
      <c r="D12144" s="9" t="s">
        <v>67</v>
      </c>
      <c r="E12144" s="10" t="s">
        <v>61</v>
      </c>
      <c r="F12144" s="9" t="s">
        <v>205</v>
      </c>
      <c r="G12144" s="10" t="s">
        <v>86</v>
      </c>
      <c r="H12144" s="9" t="s">
        <v>22</v>
      </c>
      <c r="I12144" s="9" t="s">
        <v>24789</v>
      </c>
      <c r="J12144" s="10" t="str">
        <f>HYPERLINK("https://www.boe.es/gazeta/dias/1834/06/08/pdfs/GMD-1834-110.pdf#page=2","Abrir facsímil")</f>
        <v>Abrir facsímil</v>
      </c>
      <c r="K12144" s="10" t="s">
        <v>24</v>
      </c>
    </row>
    <row r="12145" spans="1:11" ht="54" customHeight="1">
      <c r="A12145" s="9" t="s">
        <v>24790</v>
      </c>
      <c r="B12145" s="9" t="s">
        <v>24791</v>
      </c>
      <c r="C12145" s="9" t="s">
        <v>90</v>
      </c>
      <c r="D12145" s="9" t="s">
        <v>18</v>
      </c>
      <c r="E12145" s="10" t="s">
        <v>3066</v>
      </c>
      <c r="F12145" s="9" t="s">
        <v>3188</v>
      </c>
      <c r="G12145" s="10" t="s">
        <v>86</v>
      </c>
      <c r="H12145" s="9" t="s">
        <v>22</v>
      </c>
      <c r="I12145" s="9" t="s">
        <v>24792</v>
      </c>
      <c r="J12145" s="10" t="str">
        <f>HYPERLINK("https://www.boe.es/gazeta/dias/1834/08/03/pdfs/I00721-00722.pdf#page=2","Abrir facsímil")</f>
        <v>Abrir facsímil</v>
      </c>
      <c r="K12145" s="10" t="s">
        <v>24</v>
      </c>
    </row>
    <row r="12146" spans="1:11" ht="54" customHeight="1">
      <c r="A12146" s="9" t="s">
        <v>24790</v>
      </c>
      <c r="B12146" s="9" t="s">
        <v>24791</v>
      </c>
      <c r="C12146" s="9" t="s">
        <v>90</v>
      </c>
      <c r="D12146" s="9" t="s">
        <v>18</v>
      </c>
      <c r="E12146" s="10" t="s">
        <v>3066</v>
      </c>
      <c r="F12146" s="9" t="s">
        <v>3188</v>
      </c>
      <c r="G12146" s="10" t="s">
        <v>75</v>
      </c>
      <c r="H12146" s="9" t="s">
        <v>22</v>
      </c>
      <c r="I12146" s="9" t="s">
        <v>24792</v>
      </c>
      <c r="J12146" s="10" t="str">
        <f>HYPERLINK("https://www.boe.es/gazeta/dias/1834/08/03/pdfs/GMD-1834-167.pdf#page=4","Abrir facsímil")</f>
        <v>Abrir facsímil</v>
      </c>
      <c r="K12146" s="10" t="s">
        <v>24</v>
      </c>
    </row>
    <row r="12147" spans="1:11" ht="54" customHeight="1">
      <c r="A12147" s="9" t="s">
        <v>24793</v>
      </c>
      <c r="B12147" s="9" t="s">
        <v>24794</v>
      </c>
      <c r="C12147" s="9" t="s">
        <v>66</v>
      </c>
      <c r="D12147" s="9" t="s">
        <v>18</v>
      </c>
      <c r="E12147" s="10" t="s">
        <v>2860</v>
      </c>
      <c r="F12147" s="9" t="s">
        <v>2861</v>
      </c>
      <c r="G12147" s="10" t="s">
        <v>21</v>
      </c>
      <c r="H12147" s="9" t="s">
        <v>35</v>
      </c>
      <c r="I12147" s="9" t="s">
        <v>24795</v>
      </c>
      <c r="J12147" s="10" t="str">
        <f>HYPERLINK("https://www.boe.es/gazeta/dias/1834/07/20/pdfs/GMD-1834-153.pdf#page=3","Abrir facsímil")</f>
        <v>Abrir facsímil</v>
      </c>
      <c r="K12147" s="10" t="s">
        <v>37</v>
      </c>
    </row>
    <row r="12148" spans="1:11" ht="54" customHeight="1">
      <c r="A12148" s="9" t="s">
        <v>24796</v>
      </c>
      <c r="B12148" s="9" t="s">
        <v>24797</v>
      </c>
      <c r="C12148" s="9" t="s">
        <v>66</v>
      </c>
      <c r="D12148" s="9" t="s">
        <v>67</v>
      </c>
      <c r="E12148" s="10" t="s">
        <v>956</v>
      </c>
      <c r="F12148" s="9" t="s">
        <v>1508</v>
      </c>
      <c r="G12148" s="10" t="s">
        <v>86</v>
      </c>
      <c r="H12148" s="9" t="s">
        <v>22</v>
      </c>
      <c r="I12148" s="9" t="s">
        <v>24798</v>
      </c>
      <c r="J12148" s="10" t="str">
        <f>HYPERLINK("https://www.boe.es/gazeta/dias/1834/08/10/pdfs/GMD-1834-175.pdf#page=2","Abrir facsímil")</f>
        <v>Abrir facsímil</v>
      </c>
      <c r="K12148" s="10" t="s">
        <v>24</v>
      </c>
    </row>
    <row r="12149" spans="1:11" ht="54" customHeight="1">
      <c r="A12149" s="9" t="s">
        <v>24799</v>
      </c>
      <c r="B12149" s="9" t="s">
        <v>24800</v>
      </c>
      <c r="C12149" s="9" t="s">
        <v>66</v>
      </c>
      <c r="D12149" s="9" t="s">
        <v>18</v>
      </c>
      <c r="E12149" s="10" t="s">
        <v>928</v>
      </c>
      <c r="F12149" s="9" t="s">
        <v>3338</v>
      </c>
      <c r="G12149" s="10" t="s">
        <v>21</v>
      </c>
      <c r="H12149" s="9" t="s">
        <v>22</v>
      </c>
      <c r="I12149" s="9" t="s">
        <v>24801</v>
      </c>
      <c r="J12149" s="10" t="str">
        <f>HYPERLINK("https://www.boe.es/gazeta/dias/1834/11/15/pdfs/GMD-1834-274.pdf#page=3","Abrir facsímil")</f>
        <v>Abrir facsímil</v>
      </c>
      <c r="K12149" s="10" t="s">
        <v>24</v>
      </c>
    </row>
    <row r="12150" spans="1:11" ht="54" customHeight="1">
      <c r="A12150" s="9" t="s">
        <v>24802</v>
      </c>
      <c r="B12150" s="9" t="s">
        <v>24803</v>
      </c>
      <c r="C12150" s="9" t="s">
        <v>17</v>
      </c>
      <c r="D12150" s="9" t="s">
        <v>18</v>
      </c>
      <c r="E12150" s="10" t="s">
        <v>375</v>
      </c>
      <c r="F12150" s="9" t="s">
        <v>4983</v>
      </c>
      <c r="G12150" s="10" t="s">
        <v>34</v>
      </c>
      <c r="H12150" s="9" t="s">
        <v>35</v>
      </c>
      <c r="I12150" s="9" t="s">
        <v>24804</v>
      </c>
      <c r="J12150" s="10" t="str">
        <f>HYPERLINK("https://www.boe.es/gazeta/dias/1834/08/21/pdfs/GMD-C-1834-187.pdf#page=1","Abrir facsímil")</f>
        <v>Abrir facsímil</v>
      </c>
      <c r="K12150" s="10" t="s">
        <v>37</v>
      </c>
    </row>
    <row r="12151" spans="1:11" ht="54" customHeight="1">
      <c r="A12151" s="9" t="s">
        <v>24805</v>
      </c>
      <c r="B12151" s="9" t="s">
        <v>24806</v>
      </c>
      <c r="C12151" s="9" t="s">
        <v>17</v>
      </c>
      <c r="D12151" s="9" t="s">
        <v>18</v>
      </c>
      <c r="E12151" s="10" t="s">
        <v>375</v>
      </c>
      <c r="F12151" s="9" t="s">
        <v>4983</v>
      </c>
      <c r="G12151" s="10" t="s">
        <v>34</v>
      </c>
      <c r="H12151" s="9" t="s">
        <v>22</v>
      </c>
      <c r="I12151" s="9" t="s">
        <v>24807</v>
      </c>
      <c r="J12151" s="10" t="str">
        <f>HYPERLINK("https://www.boe.es/gazeta/dias/1834/08/21/pdfs/GMD-C-1834-187.pdf#page=1","Abrir facsímil")</f>
        <v>Abrir facsímil</v>
      </c>
      <c r="K12151" s="10" t="s">
        <v>24</v>
      </c>
    </row>
    <row r="12152" spans="1:11" ht="54" customHeight="1">
      <c r="A12152" s="9" t="s">
        <v>24808</v>
      </c>
      <c r="B12152" s="9" t="s">
        <v>24808</v>
      </c>
      <c r="C12152" s="9" t="s">
        <v>90</v>
      </c>
      <c r="D12152" s="9" t="s">
        <v>18</v>
      </c>
      <c r="E12152" s="10" t="s">
        <v>91</v>
      </c>
      <c r="F12152" s="9" t="s">
        <v>92</v>
      </c>
      <c r="G12152" s="10" t="s">
        <v>86</v>
      </c>
      <c r="H12152" s="9" t="s">
        <v>22</v>
      </c>
      <c r="I12152" s="9" t="s">
        <v>24809</v>
      </c>
      <c r="J12152" s="10" t="str">
        <f>HYPERLINK("https://www.boe.es/gazeta/dias/1834/02/13/pdfs/GMD-1834-20.pdf#page=2","Abrir facsímil")</f>
        <v>Abrir facsímil</v>
      </c>
      <c r="K12152" s="10" t="s">
        <v>24</v>
      </c>
    </row>
    <row r="12153" spans="1:11" ht="54" customHeight="1">
      <c r="A12153" s="9" t="s">
        <v>24810</v>
      </c>
      <c r="B12153" s="9" t="s">
        <v>24810</v>
      </c>
      <c r="C12153" s="9" t="s">
        <v>90</v>
      </c>
      <c r="D12153" s="9" t="s">
        <v>55</v>
      </c>
      <c r="E12153" s="10" t="s">
        <v>715</v>
      </c>
      <c r="F12153" s="9" t="s">
        <v>7773</v>
      </c>
      <c r="G12153" s="10" t="s">
        <v>86</v>
      </c>
      <c r="H12153" s="9" t="s">
        <v>22</v>
      </c>
      <c r="I12153" s="9" t="s">
        <v>24811</v>
      </c>
      <c r="J12153" s="10" t="str">
        <f>HYPERLINK("https://www.boe.es/gazeta/dias/1834/09/17/pdfs/GMD-1834-215.pdf#page=2","Abrir facsímil")</f>
        <v>Abrir facsímil</v>
      </c>
      <c r="K12153" s="10" t="s">
        <v>24</v>
      </c>
    </row>
    <row r="12154" spans="1:11" ht="54" customHeight="1">
      <c r="A12154" s="9" t="s">
        <v>24812</v>
      </c>
      <c r="B12154" s="9" t="s">
        <v>24812</v>
      </c>
      <c r="C12154" s="9" t="s">
        <v>46</v>
      </c>
      <c r="D12154" s="9" t="s">
        <v>101</v>
      </c>
      <c r="E12154" s="10" t="s">
        <v>26</v>
      </c>
      <c r="F12154" s="9" t="s">
        <v>818</v>
      </c>
      <c r="G12154" s="10" t="s">
        <v>34</v>
      </c>
      <c r="H12154" s="9" t="s">
        <v>22</v>
      </c>
      <c r="I12154" s="9" t="s">
        <v>24813</v>
      </c>
      <c r="J12154" s="10" t="str">
        <f>HYPERLINK("https://www.boe.es/gazeta/dias/1834/10/19/pdfs/GMD-1834-247.pdf#page=1","Abrir facsímil")</f>
        <v>Abrir facsímil</v>
      </c>
      <c r="K12154" s="10" t="s">
        <v>24</v>
      </c>
    </row>
    <row r="12155" spans="1:11" ht="54" customHeight="1">
      <c r="A12155" s="9" t="s">
        <v>24814</v>
      </c>
      <c r="B12155" s="9" t="s">
        <v>24815</v>
      </c>
      <c r="C12155" s="9" t="s">
        <v>122</v>
      </c>
      <c r="D12155" s="9" t="s">
        <v>18</v>
      </c>
      <c r="E12155" s="10" t="s">
        <v>84</v>
      </c>
      <c r="F12155" s="9" t="s">
        <v>85</v>
      </c>
      <c r="G12155" s="10" t="s">
        <v>86</v>
      </c>
      <c r="H12155" s="9" t="s">
        <v>22</v>
      </c>
      <c r="I12155" s="9" t="s">
        <v>24816</v>
      </c>
      <c r="J12155" s="10" t="str">
        <f>HYPERLINK("https://www.boe.es/gazeta/dias/1834/06/07/pdfs/GMD-C-1834-109.pdf#page=2","Abrir facsímil")</f>
        <v>Abrir facsímil</v>
      </c>
      <c r="K12155" s="10" t="s">
        <v>24</v>
      </c>
    </row>
    <row r="12156" spans="1:11" ht="54" customHeight="1">
      <c r="A12156" s="9" t="s">
        <v>24817</v>
      </c>
      <c r="B12156" s="9" t="s">
        <v>24818</v>
      </c>
      <c r="C12156" s="9" t="s">
        <v>17</v>
      </c>
      <c r="D12156" s="9" t="s">
        <v>18</v>
      </c>
      <c r="E12156" s="10" t="s">
        <v>513</v>
      </c>
      <c r="F12156" s="9" t="s">
        <v>514</v>
      </c>
      <c r="G12156" s="10" t="s">
        <v>176</v>
      </c>
      <c r="H12156" s="9" t="s">
        <v>35</v>
      </c>
      <c r="I12156" s="9" t="s">
        <v>24819</v>
      </c>
      <c r="J12156" s="10" t="str">
        <f>HYPERLINK("https://www.boe.es/gazeta/dias/1834/04/27/pdfs/GMD-1834-66.pdf#page=6","Abrir facsímil")</f>
        <v>Abrir facsímil</v>
      </c>
      <c r="K12156" s="10" t="s">
        <v>37</v>
      </c>
    </row>
    <row r="12157" spans="1:11" ht="54" customHeight="1">
      <c r="A12157" s="9" t="s">
        <v>24817</v>
      </c>
      <c r="B12157" s="9" t="s">
        <v>24818</v>
      </c>
      <c r="C12157" s="9" t="s">
        <v>122</v>
      </c>
      <c r="D12157" s="9" t="s">
        <v>18</v>
      </c>
      <c r="E12157" s="10" t="s">
        <v>899</v>
      </c>
      <c r="F12157" s="9" t="s">
        <v>900</v>
      </c>
      <c r="G12157" s="10" t="s">
        <v>470</v>
      </c>
      <c r="H12157" s="9" t="s">
        <v>35</v>
      </c>
      <c r="I12157" s="9" t="s">
        <v>24820</v>
      </c>
      <c r="J12157" s="10" t="str">
        <f>HYPERLINK("https://www.boe.es/gazeta/dias/1834/01/30/pdfs/GMD-1834-14.pdf#page=8","Abrir facsímil")</f>
        <v>Abrir facsímil</v>
      </c>
      <c r="K12157" s="10" t="s">
        <v>37</v>
      </c>
    </row>
    <row r="12158" spans="1:11" ht="54" customHeight="1">
      <c r="A12158" s="9" t="s">
        <v>24821</v>
      </c>
      <c r="B12158" s="9" t="s">
        <v>24822</v>
      </c>
      <c r="C12158" s="9" t="s">
        <v>17</v>
      </c>
      <c r="D12158" s="9" t="s">
        <v>18</v>
      </c>
      <c r="E12158" s="10" t="s">
        <v>513</v>
      </c>
      <c r="F12158" s="9" t="s">
        <v>514</v>
      </c>
      <c r="G12158" s="10" t="s">
        <v>176</v>
      </c>
      <c r="H12158" s="9" t="s">
        <v>35</v>
      </c>
      <c r="I12158" s="9" t="s">
        <v>24823</v>
      </c>
      <c r="J12158" s="10" t="str">
        <f>HYPERLINK("https://www.boe.es/gazeta/dias/1834/04/27/pdfs/GMD-1834-66.pdf#page=6","Abrir facsímil")</f>
        <v>Abrir facsímil</v>
      </c>
      <c r="K12158" s="10" t="s">
        <v>37</v>
      </c>
    </row>
    <row r="12159" spans="1:11" ht="54" customHeight="1">
      <c r="A12159" s="9" t="s">
        <v>24824</v>
      </c>
      <c r="B12159" s="9" t="s">
        <v>24825</v>
      </c>
      <c r="C12159" s="9" t="s">
        <v>122</v>
      </c>
      <c r="D12159" s="9" t="s">
        <v>18</v>
      </c>
      <c r="E12159" s="10" t="s">
        <v>117</v>
      </c>
      <c r="F12159" s="9" t="s">
        <v>118</v>
      </c>
      <c r="G12159" s="10" t="s">
        <v>75</v>
      </c>
      <c r="H12159" s="9" t="s">
        <v>22</v>
      </c>
      <c r="I12159" s="9" t="s">
        <v>24826</v>
      </c>
      <c r="J12159" s="10" t="str">
        <f>HYPERLINK("https://www.boe.es/gazeta/dias/1834/07/21/pdfs/GMD-1834-154.pdf#page=4","Abrir facsímil")</f>
        <v>Abrir facsímil</v>
      </c>
      <c r="K12159" s="10" t="s">
        <v>24</v>
      </c>
    </row>
    <row r="12160" spans="1:11" ht="54" customHeight="1">
      <c r="A12160" s="9" t="s">
        <v>24824</v>
      </c>
      <c r="B12160" s="9" t="s">
        <v>24825</v>
      </c>
      <c r="C12160" s="9" t="s">
        <v>17</v>
      </c>
      <c r="D12160" s="9" t="s">
        <v>18</v>
      </c>
      <c r="E12160" s="10" t="s">
        <v>513</v>
      </c>
      <c r="F12160" s="9" t="s">
        <v>514</v>
      </c>
      <c r="G12160" s="10" t="s">
        <v>176</v>
      </c>
      <c r="H12160" s="9" t="s">
        <v>22</v>
      </c>
      <c r="I12160" s="9" t="s">
        <v>24827</v>
      </c>
      <c r="J12160" s="10" t="str">
        <f>HYPERLINK("https://www.boe.es/gazeta/dias/1834/04/27/pdfs/GMD-1834-66.pdf#page=6","Abrir facsímil")</f>
        <v>Abrir facsímil</v>
      </c>
      <c r="K12160" s="10" t="s">
        <v>24</v>
      </c>
    </row>
    <row r="12161" spans="1:11" ht="54" customHeight="1">
      <c r="A12161" s="9" t="s">
        <v>24824</v>
      </c>
      <c r="B12161" s="9" t="s">
        <v>24825</v>
      </c>
      <c r="C12161" s="9" t="s">
        <v>122</v>
      </c>
      <c r="D12161" s="9" t="s">
        <v>18</v>
      </c>
      <c r="E12161" s="10" t="s">
        <v>899</v>
      </c>
      <c r="F12161" s="9" t="s">
        <v>900</v>
      </c>
      <c r="G12161" s="10" t="s">
        <v>470</v>
      </c>
      <c r="H12161" s="9" t="s">
        <v>22</v>
      </c>
      <c r="I12161" s="9" t="s">
        <v>24828</v>
      </c>
      <c r="J12161" s="10" t="str">
        <f>HYPERLINK("https://www.boe.es/gazeta/dias/1834/01/30/pdfs/GMD-1834-14.pdf#page=8","Abrir facsímil")</f>
        <v>Abrir facsímil</v>
      </c>
      <c r="K12161" s="10" t="s">
        <v>24</v>
      </c>
    </row>
    <row r="12162" spans="1:11" ht="54" customHeight="1">
      <c r="A12162" s="9" t="s">
        <v>24829</v>
      </c>
      <c r="B12162" s="9" t="s">
        <v>24829</v>
      </c>
      <c r="C12162" s="9" t="s">
        <v>17</v>
      </c>
      <c r="D12162" s="9" t="s">
        <v>40</v>
      </c>
      <c r="E12162" s="10" t="s">
        <v>981</v>
      </c>
      <c r="F12162" s="9" t="s">
        <v>3406</v>
      </c>
      <c r="G12162" s="10" t="s">
        <v>34</v>
      </c>
      <c r="H12162" s="9" t="s">
        <v>22</v>
      </c>
      <c r="I12162" s="9" t="s">
        <v>24830</v>
      </c>
      <c r="J12162" s="10" t="str">
        <f>HYPERLINK("https://www.boe.es/gazeta/dias/1834/09/21/pdfs/GMD-C-1834-219.pdf#page=1","Abrir facsímil")</f>
        <v>Abrir facsímil</v>
      </c>
      <c r="K12162" s="10" t="s">
        <v>24</v>
      </c>
    </row>
    <row r="12163" spans="1:11" ht="54" customHeight="1">
      <c r="A12163" s="9" t="s">
        <v>24831</v>
      </c>
      <c r="B12163" s="9" t="s">
        <v>24832</v>
      </c>
      <c r="C12163" s="9" t="s">
        <v>17</v>
      </c>
      <c r="D12163" s="9" t="s">
        <v>18</v>
      </c>
      <c r="E12163" s="10" t="s">
        <v>976</v>
      </c>
      <c r="F12163" s="9" t="s">
        <v>1061</v>
      </c>
      <c r="G12163" s="10" t="s">
        <v>34</v>
      </c>
      <c r="H12163" s="9" t="s">
        <v>22</v>
      </c>
      <c r="I12163" s="9" t="s">
        <v>24833</v>
      </c>
      <c r="J12163" s="10" t="str">
        <f>HYPERLINK("https://www.boe.es/gazeta/dias/1834/04/02/pdfs/GMD-C-1834-41.pdf#page=1","Abrir facsímil")</f>
        <v>Abrir facsímil</v>
      </c>
      <c r="K12163" s="10" t="s">
        <v>24</v>
      </c>
    </row>
    <row r="12164" spans="1:11" ht="54" customHeight="1">
      <c r="A12164" s="9" t="s">
        <v>24834</v>
      </c>
      <c r="B12164" s="9" t="s">
        <v>24835</v>
      </c>
      <c r="C12164" s="9" t="s">
        <v>17</v>
      </c>
      <c r="D12164" s="9" t="s">
        <v>18</v>
      </c>
      <c r="E12164" s="10" t="s">
        <v>84</v>
      </c>
      <c r="F12164" s="9" t="s">
        <v>1223</v>
      </c>
      <c r="G12164" s="10" t="s">
        <v>75</v>
      </c>
      <c r="H12164" s="9" t="s">
        <v>22</v>
      </c>
      <c r="I12164" s="9" t="s">
        <v>24836</v>
      </c>
      <c r="J12164" s="10" t="str">
        <f>HYPERLINK("https://www.boe.es/gazeta/dias/1834/06/07/pdfs/GMD-1834-109.pdf#page=4","Abrir facsímil")</f>
        <v>Abrir facsímil</v>
      </c>
      <c r="K12164" s="10" t="s">
        <v>24</v>
      </c>
    </row>
    <row r="12165" spans="1:11" ht="54" customHeight="1">
      <c r="A12165" s="9" t="s">
        <v>24837</v>
      </c>
      <c r="B12165" s="9" t="s">
        <v>24837</v>
      </c>
      <c r="C12165" s="9" t="s">
        <v>90</v>
      </c>
      <c r="D12165" s="9" t="s">
        <v>18</v>
      </c>
      <c r="E12165" s="10" t="s">
        <v>4736</v>
      </c>
      <c r="F12165" s="9" t="s">
        <v>4737</v>
      </c>
      <c r="G12165" s="10" t="s">
        <v>86</v>
      </c>
      <c r="H12165" s="9" t="s">
        <v>22</v>
      </c>
      <c r="I12165" s="9" t="s">
        <v>24838</v>
      </c>
      <c r="J12165" s="10" t="str">
        <f>HYPERLINK("https://www.boe.es/gazeta/dias/1834/09/16/pdfs/GMD-1834-214.pdf#page=2","Abrir facsímil")</f>
        <v>Abrir facsímil</v>
      </c>
      <c r="K12165" s="10" t="s">
        <v>24</v>
      </c>
    </row>
    <row r="12166" spans="1:11" ht="54" customHeight="1">
      <c r="A12166" s="9" t="s">
        <v>24839</v>
      </c>
      <c r="B12166" s="9" t="s">
        <v>24839</v>
      </c>
      <c r="C12166" s="9" t="s">
        <v>17</v>
      </c>
      <c r="D12166" s="9" t="s">
        <v>55</v>
      </c>
      <c r="E12166" s="10" t="s">
        <v>1747</v>
      </c>
      <c r="F12166" s="9" t="s">
        <v>1748</v>
      </c>
      <c r="G12166" s="10" t="s">
        <v>86</v>
      </c>
      <c r="H12166" s="9" t="s">
        <v>22</v>
      </c>
      <c r="I12166" s="9" t="s">
        <v>24840</v>
      </c>
      <c r="J12166" s="10" t="str">
        <f>HYPERLINK("https://www.boe.es/gazeta/dias/1834/06/29/pdfs/GMD-1834-132.pdf#page=2","Abrir facsímil")</f>
        <v>Abrir facsímil</v>
      </c>
      <c r="K12166" s="10" t="s">
        <v>24</v>
      </c>
    </row>
    <row r="12167" spans="1:11" ht="54" customHeight="1">
      <c r="A12167" s="9" t="s">
        <v>24841</v>
      </c>
      <c r="B12167" s="9" t="s">
        <v>24841</v>
      </c>
      <c r="C12167" s="9" t="s">
        <v>17</v>
      </c>
      <c r="D12167" s="9" t="s">
        <v>55</v>
      </c>
      <c r="E12167" s="10" t="s">
        <v>1281</v>
      </c>
      <c r="F12167" s="9" t="s">
        <v>1282</v>
      </c>
      <c r="G12167" s="10" t="s">
        <v>86</v>
      </c>
      <c r="H12167" s="9" t="s">
        <v>22</v>
      </c>
      <c r="I12167" s="9" t="s">
        <v>24842</v>
      </c>
      <c r="J12167" s="10" t="str">
        <f>HYPERLINK("https://www.boe.es/gazeta/dias/1834/10/27/pdfs/GMD-1834-255.pdf#page=2","Abrir facsímil")</f>
        <v>Abrir facsímil</v>
      </c>
      <c r="K12167" s="10" t="s">
        <v>24</v>
      </c>
    </row>
    <row r="12168" spans="1:11" ht="54" customHeight="1">
      <c r="A12168" s="9" t="s">
        <v>24843</v>
      </c>
      <c r="B12168" s="9" t="s">
        <v>24843</v>
      </c>
      <c r="C12168" s="9" t="s">
        <v>17</v>
      </c>
      <c r="D12168" s="9" t="s">
        <v>18</v>
      </c>
      <c r="E12168" s="10" t="s">
        <v>1517</v>
      </c>
      <c r="F12168" s="9" t="s">
        <v>1518</v>
      </c>
      <c r="G12168" s="10" t="s">
        <v>21</v>
      </c>
      <c r="H12168" s="9" t="s">
        <v>22</v>
      </c>
      <c r="I12168" s="9" t="s">
        <v>24844</v>
      </c>
      <c r="J12168" s="10" t="str">
        <f>HYPERLINK("https://www.boe.es/gazeta/dias/1834/05/18/pdfs/GMD-1834-87.pdf#page=3","Abrir facsímil")</f>
        <v>Abrir facsímil</v>
      </c>
      <c r="K12168" s="10" t="s">
        <v>24</v>
      </c>
    </row>
    <row r="12169" spans="1:11" ht="54" customHeight="1">
      <c r="A12169" s="9" t="s">
        <v>24845</v>
      </c>
      <c r="B12169" s="9" t="s">
        <v>24845</v>
      </c>
      <c r="C12169" s="9" t="s">
        <v>90</v>
      </c>
      <c r="D12169" s="9" t="s">
        <v>18</v>
      </c>
      <c r="E12169" s="10" t="s">
        <v>813</v>
      </c>
      <c r="F12169" s="9" t="s">
        <v>16756</v>
      </c>
      <c r="G12169" s="10" t="s">
        <v>34</v>
      </c>
      <c r="H12169" s="9" t="s">
        <v>22</v>
      </c>
      <c r="I12169" s="9" t="s">
        <v>24846</v>
      </c>
      <c r="J12169" s="10" t="str">
        <f>HYPERLINK("https://www.boe.es/gazeta/dias/1834/08/08/pdfs/GMD-C-1834-173.pdf#page=1","Abrir facsímil")</f>
        <v>Abrir facsímil</v>
      </c>
      <c r="K12169" s="10" t="s">
        <v>24</v>
      </c>
    </row>
    <row r="12170" spans="1:11" ht="54" customHeight="1">
      <c r="A12170" s="9" t="s">
        <v>24845</v>
      </c>
      <c r="B12170" s="9" t="s">
        <v>24845</v>
      </c>
      <c r="C12170" s="9" t="s">
        <v>17</v>
      </c>
      <c r="D12170" s="9" t="s">
        <v>55</v>
      </c>
      <c r="E12170" s="10" t="s">
        <v>1517</v>
      </c>
      <c r="F12170" s="9" t="s">
        <v>1518</v>
      </c>
      <c r="G12170" s="10" t="s">
        <v>21</v>
      </c>
      <c r="H12170" s="9" t="s">
        <v>22</v>
      </c>
      <c r="I12170" s="9" t="s">
        <v>24847</v>
      </c>
      <c r="J12170" s="10" t="str">
        <f>HYPERLINK("https://www.boe.es/gazeta/dias/1834/05/18/pdfs/GMD-1834-87.pdf#page=3","Abrir facsímil")</f>
        <v>Abrir facsímil</v>
      </c>
      <c r="K12170" s="10" t="s">
        <v>24</v>
      </c>
    </row>
    <row r="12171" spans="1:11" ht="54" customHeight="1">
      <c r="A12171" s="9" t="s">
        <v>24848</v>
      </c>
      <c r="B12171" s="9" t="s">
        <v>24849</v>
      </c>
      <c r="C12171" s="9" t="s">
        <v>90</v>
      </c>
      <c r="D12171" s="9" t="s">
        <v>18</v>
      </c>
      <c r="E12171" s="10" t="s">
        <v>1459</v>
      </c>
      <c r="F12171" s="9" t="s">
        <v>1460</v>
      </c>
      <c r="G12171" s="10" t="s">
        <v>75</v>
      </c>
      <c r="H12171" s="9" t="s">
        <v>35</v>
      </c>
      <c r="I12171" s="9" t="s">
        <v>24850</v>
      </c>
      <c r="J12171" s="10" t="str">
        <f>HYPERLINK("https://www.boe.es/gazeta/dias/1834/08/18/pdfs/GMD-1834-184.pdf#page=4","Abrir facsímil")</f>
        <v>Abrir facsímil</v>
      </c>
      <c r="K12171" s="10" t="s">
        <v>37</v>
      </c>
    </row>
    <row r="12172" spans="1:11" ht="54" customHeight="1">
      <c r="A12172" s="9" t="s">
        <v>24851</v>
      </c>
      <c r="B12172" s="9" t="s">
        <v>24851</v>
      </c>
      <c r="C12172" s="9" t="s">
        <v>17</v>
      </c>
      <c r="D12172" s="9" t="s">
        <v>18</v>
      </c>
      <c r="E12172" s="10" t="s">
        <v>1084</v>
      </c>
      <c r="F12172" s="9" t="s">
        <v>1085</v>
      </c>
      <c r="G12172" s="10" t="s">
        <v>28</v>
      </c>
      <c r="H12172" s="9" t="s">
        <v>22</v>
      </c>
      <c r="I12172" s="9" t="s">
        <v>24852</v>
      </c>
      <c r="J12172" s="10" t="str">
        <f>HYPERLINK("https://www.boe.es/gazeta/dias/1834/05/01/pdfs/GMD-1834-70.pdf#page=5","Abrir facsímil")</f>
        <v>Abrir facsímil</v>
      </c>
      <c r="K12172" s="10" t="s">
        <v>24</v>
      </c>
    </row>
    <row r="12173" spans="1:11" ht="54" customHeight="1">
      <c r="A12173" s="9" t="s">
        <v>24851</v>
      </c>
      <c r="B12173" s="9" t="s">
        <v>24851</v>
      </c>
      <c r="C12173" s="9" t="s">
        <v>17</v>
      </c>
      <c r="D12173" s="9" t="s">
        <v>18</v>
      </c>
      <c r="E12173" s="10" t="s">
        <v>255</v>
      </c>
      <c r="F12173" s="9" t="s">
        <v>256</v>
      </c>
      <c r="G12173" s="10" t="s">
        <v>34</v>
      </c>
      <c r="H12173" s="9" t="s">
        <v>22</v>
      </c>
      <c r="I12173" s="9" t="s">
        <v>24853</v>
      </c>
      <c r="J12173" s="10" t="str">
        <f>HYPERLINK("https://www.boe.es/gazeta/dias/1834/09/01/pdfs/GMD-C-1834-199.pdf#page=1","Abrir facsímil")</f>
        <v>Abrir facsímil</v>
      </c>
      <c r="K12173" s="10" t="s">
        <v>24</v>
      </c>
    </row>
    <row r="12174" spans="1:11" ht="54" customHeight="1">
      <c r="A12174" s="9" t="s">
        <v>24851</v>
      </c>
      <c r="B12174" s="9" t="s">
        <v>24851</v>
      </c>
      <c r="C12174" s="9" t="s">
        <v>17</v>
      </c>
      <c r="D12174" s="9" t="s">
        <v>101</v>
      </c>
      <c r="E12174" s="10" t="s">
        <v>2037</v>
      </c>
      <c r="F12174" s="9" t="s">
        <v>2038</v>
      </c>
      <c r="G12174" s="10" t="s">
        <v>34</v>
      </c>
      <c r="H12174" s="9" t="s">
        <v>22</v>
      </c>
      <c r="I12174" s="9" t="s">
        <v>24854</v>
      </c>
      <c r="J12174" s="10" t="str">
        <f>HYPERLINK("https://www.boe.es/gazeta/dias/1834/12/01/pdfs/I01208-01208.pdf#page=1","Abrir facsímil")</f>
        <v>Abrir facsímil</v>
      </c>
      <c r="K12174" s="10" t="s">
        <v>24</v>
      </c>
    </row>
    <row r="12175" spans="1:11" ht="54" customHeight="1">
      <c r="A12175" s="9" t="s">
        <v>24851</v>
      </c>
      <c r="B12175" s="9" t="s">
        <v>24851</v>
      </c>
      <c r="C12175" s="9" t="s">
        <v>17</v>
      </c>
      <c r="D12175" s="9" t="s">
        <v>101</v>
      </c>
      <c r="E12175" s="10" t="s">
        <v>2037</v>
      </c>
      <c r="F12175" s="9" t="s">
        <v>2038</v>
      </c>
      <c r="G12175" s="10" t="s">
        <v>75</v>
      </c>
      <c r="H12175" s="9" t="s">
        <v>22</v>
      </c>
      <c r="I12175" s="9" t="s">
        <v>24854</v>
      </c>
      <c r="J12175" s="10" t="str">
        <f>HYPERLINK("https://www.boe.es/gazeta/dias/1834/12/01/pdfs/GMD-1834-290.pdf#page=4","Abrir facsímil")</f>
        <v>Abrir facsímil</v>
      </c>
      <c r="K12175" s="10" t="s">
        <v>24</v>
      </c>
    </row>
    <row r="12176" spans="1:11" ht="54" customHeight="1">
      <c r="A12176" s="9" t="s">
        <v>24851</v>
      </c>
      <c r="B12176" s="9" t="s">
        <v>24851</v>
      </c>
      <c r="C12176" s="9" t="s">
        <v>122</v>
      </c>
      <c r="D12176" s="9" t="s">
        <v>55</v>
      </c>
      <c r="E12176" s="10" t="s">
        <v>339</v>
      </c>
      <c r="F12176" s="9" t="s">
        <v>340</v>
      </c>
      <c r="G12176" s="10" t="s">
        <v>75</v>
      </c>
      <c r="H12176" s="9" t="s">
        <v>22</v>
      </c>
      <c r="I12176" s="9" t="s">
        <v>24855</v>
      </c>
      <c r="J12176" s="10" t="str">
        <f>HYPERLINK("https://www.boe.es/gazeta/dias/1834/05/02/pdfs/GMD-1834-71.pdf#page=4","Abrir facsímil")</f>
        <v>Abrir facsímil</v>
      </c>
      <c r="K12176" s="10" t="s">
        <v>24</v>
      </c>
    </row>
    <row r="12177" spans="1:11" ht="54" customHeight="1">
      <c r="A12177" s="9" t="s">
        <v>24851</v>
      </c>
      <c r="B12177" s="9" t="s">
        <v>24851</v>
      </c>
      <c r="C12177" s="9" t="s">
        <v>17</v>
      </c>
      <c r="D12177" s="9" t="s">
        <v>55</v>
      </c>
      <c r="E12177" s="10" t="s">
        <v>2053</v>
      </c>
      <c r="F12177" s="9" t="s">
        <v>2054</v>
      </c>
      <c r="G12177" s="10" t="s">
        <v>86</v>
      </c>
      <c r="H12177" s="9" t="s">
        <v>22</v>
      </c>
      <c r="I12177" s="9" t="s">
        <v>24856</v>
      </c>
      <c r="J12177" s="10" t="str">
        <f>HYPERLINK("https://www.boe.es/gazeta/dias/1834/06/02/pdfs/GMD-1834-103.pdf#page=2","Abrir facsímil")</f>
        <v>Abrir facsímil</v>
      </c>
      <c r="K12177" s="10" t="s">
        <v>24</v>
      </c>
    </row>
    <row r="12178" spans="1:11" ht="54" customHeight="1">
      <c r="A12178" s="9" t="s">
        <v>24851</v>
      </c>
      <c r="B12178" s="9" t="s">
        <v>24851</v>
      </c>
      <c r="C12178" s="9" t="s">
        <v>66</v>
      </c>
      <c r="D12178" s="9" t="s">
        <v>67</v>
      </c>
      <c r="E12178" s="10" t="s">
        <v>2053</v>
      </c>
      <c r="F12178" s="9" t="s">
        <v>2912</v>
      </c>
      <c r="G12178" s="10" t="s">
        <v>34</v>
      </c>
      <c r="H12178" s="9" t="s">
        <v>22</v>
      </c>
      <c r="I12178" s="9" t="s">
        <v>24857</v>
      </c>
      <c r="J12178" s="10" t="str">
        <f>HYPERLINK("https://www.boe.es/gazeta/dias/1834/06/02/pdfs/GMD-1834-104E.pdf#page=1","Abrir facsímil")</f>
        <v>Abrir facsímil</v>
      </c>
      <c r="K12178" s="10" t="s">
        <v>24</v>
      </c>
    </row>
    <row r="12179" spans="1:11" ht="54" customHeight="1">
      <c r="A12179" s="9" t="s">
        <v>24851</v>
      </c>
      <c r="B12179" s="9" t="s">
        <v>24851</v>
      </c>
      <c r="C12179" s="9" t="s">
        <v>17</v>
      </c>
      <c r="D12179" s="9" t="s">
        <v>55</v>
      </c>
      <c r="E12179" s="10" t="s">
        <v>2729</v>
      </c>
      <c r="F12179" s="9" t="s">
        <v>2730</v>
      </c>
      <c r="G12179" s="10" t="s">
        <v>86</v>
      </c>
      <c r="H12179" s="9" t="s">
        <v>22</v>
      </c>
      <c r="I12179" s="9" t="s">
        <v>24858</v>
      </c>
      <c r="J12179" s="10" t="str">
        <f>HYPERLINK("https://www.boe.es/gazeta/dias/1834/07/02/pdfs/GMD-1834-135.pdf#page=2","Abrir facsímil")</f>
        <v>Abrir facsímil</v>
      </c>
      <c r="K12179" s="10" t="s">
        <v>24</v>
      </c>
    </row>
    <row r="12180" spans="1:11" ht="54" customHeight="1">
      <c r="A12180" s="9" t="s">
        <v>24851</v>
      </c>
      <c r="B12180" s="9" t="s">
        <v>24851</v>
      </c>
      <c r="C12180" s="9" t="s">
        <v>66</v>
      </c>
      <c r="D12180" s="9" t="s">
        <v>67</v>
      </c>
      <c r="E12180" s="10" t="s">
        <v>2729</v>
      </c>
      <c r="F12180" s="9" t="s">
        <v>2730</v>
      </c>
      <c r="G12180" s="10" t="s">
        <v>21</v>
      </c>
      <c r="H12180" s="9" t="s">
        <v>22</v>
      </c>
      <c r="I12180" s="9" t="s">
        <v>24859</v>
      </c>
      <c r="J12180" s="10" t="str">
        <f>HYPERLINK("https://www.boe.es/gazeta/dias/1834/07/02/pdfs/GMD-1834-135.pdf#page=3","Abrir facsímil")</f>
        <v>Abrir facsímil</v>
      </c>
      <c r="K12180" s="10" t="s">
        <v>24</v>
      </c>
    </row>
    <row r="12181" spans="1:11" ht="54" customHeight="1">
      <c r="A12181" s="9" t="s">
        <v>24851</v>
      </c>
      <c r="B12181" s="9" t="s">
        <v>24851</v>
      </c>
      <c r="C12181" s="9" t="s">
        <v>46</v>
      </c>
      <c r="D12181" s="9" t="s">
        <v>55</v>
      </c>
      <c r="E12181" s="10" t="s">
        <v>416</v>
      </c>
      <c r="F12181" s="9" t="s">
        <v>1130</v>
      </c>
      <c r="G12181" s="10" t="s">
        <v>86</v>
      </c>
      <c r="H12181" s="9" t="s">
        <v>22</v>
      </c>
      <c r="I12181" s="9" t="s">
        <v>24860</v>
      </c>
      <c r="J12181" s="10" t="str">
        <f>HYPERLINK("https://www.boe.es/gazeta/dias/1834/10/02/pdfs/GMD-1834-230.pdf#page=2","Abrir facsímil")</f>
        <v>Abrir facsímil</v>
      </c>
      <c r="K12181" s="10" t="s">
        <v>24</v>
      </c>
    </row>
    <row r="12182" spans="1:11" ht="54" customHeight="1">
      <c r="A12182" s="9" t="s">
        <v>24851</v>
      </c>
      <c r="B12182" s="9" t="s">
        <v>24851</v>
      </c>
      <c r="C12182" s="9" t="s">
        <v>66</v>
      </c>
      <c r="D12182" s="9" t="s">
        <v>67</v>
      </c>
      <c r="E12182" s="10" t="s">
        <v>2379</v>
      </c>
      <c r="F12182" s="9" t="s">
        <v>2380</v>
      </c>
      <c r="G12182" s="10" t="s">
        <v>21</v>
      </c>
      <c r="H12182" s="9" t="s">
        <v>22</v>
      </c>
      <c r="I12182" s="9" t="s">
        <v>24861</v>
      </c>
      <c r="J12182" s="10" t="str">
        <f>HYPERLINK("https://www.boe.es/gazeta/dias/1834/04/03/pdfs/GMD-1834-42.pdf#page=3","Abrir facsímil")</f>
        <v>Abrir facsímil</v>
      </c>
      <c r="K12182" s="10" t="s">
        <v>24</v>
      </c>
    </row>
    <row r="12183" spans="1:11" ht="54" customHeight="1">
      <c r="A12183" s="9" t="s">
        <v>24851</v>
      </c>
      <c r="B12183" s="9" t="s">
        <v>24851</v>
      </c>
      <c r="C12183" s="9" t="s">
        <v>66</v>
      </c>
      <c r="D12183" s="9" t="s">
        <v>67</v>
      </c>
      <c r="E12183" s="10" t="s">
        <v>4527</v>
      </c>
      <c r="F12183" s="9" t="s">
        <v>4528</v>
      </c>
      <c r="G12183" s="10" t="s">
        <v>21</v>
      </c>
      <c r="H12183" s="9" t="s">
        <v>22</v>
      </c>
      <c r="I12183" s="9" t="s">
        <v>24862</v>
      </c>
      <c r="J12183" s="10" t="str">
        <f>HYPERLINK("https://www.boe.es/gazeta/dias/1834/05/03/pdfs/GMD-1834-72.pdf#page=3","Abrir facsímil")</f>
        <v>Abrir facsímil</v>
      </c>
      <c r="K12183" s="10" t="s">
        <v>24</v>
      </c>
    </row>
    <row r="12184" spans="1:11" ht="54" customHeight="1">
      <c r="A12184" s="9" t="s">
        <v>24851</v>
      </c>
      <c r="B12184" s="9" t="s">
        <v>24851</v>
      </c>
      <c r="C12184" s="9" t="s">
        <v>17</v>
      </c>
      <c r="D12184" s="9" t="s">
        <v>55</v>
      </c>
      <c r="E12184" s="10" t="s">
        <v>3066</v>
      </c>
      <c r="F12184" s="9" t="s">
        <v>3067</v>
      </c>
      <c r="G12184" s="10" t="s">
        <v>21</v>
      </c>
      <c r="H12184" s="9" t="s">
        <v>22</v>
      </c>
      <c r="I12184" s="9" t="s">
        <v>24863</v>
      </c>
      <c r="J12184" s="10" t="str">
        <f>HYPERLINK("https://www.boe.es/gazeta/dias/1834/08/03/pdfs/GMD-C-1834-167.pdf#page=3","Abrir facsímil")</f>
        <v>Abrir facsímil</v>
      </c>
      <c r="K12184" s="10" t="s">
        <v>24</v>
      </c>
    </row>
    <row r="12185" spans="1:11" ht="54" customHeight="1">
      <c r="A12185" s="9" t="s">
        <v>24851</v>
      </c>
      <c r="B12185" s="9" t="s">
        <v>24851</v>
      </c>
      <c r="C12185" s="9" t="s">
        <v>66</v>
      </c>
      <c r="D12185" s="9" t="s">
        <v>67</v>
      </c>
      <c r="E12185" s="10" t="s">
        <v>3066</v>
      </c>
      <c r="F12185" s="9" t="s">
        <v>3067</v>
      </c>
      <c r="G12185" s="10" t="s">
        <v>75</v>
      </c>
      <c r="H12185" s="9" t="s">
        <v>22</v>
      </c>
      <c r="I12185" s="9" t="s">
        <v>24864</v>
      </c>
      <c r="J12185" s="10" t="str">
        <f>HYPERLINK("https://www.boe.es/gazeta/dias/1834/08/03/pdfs/GMD-C-1834-167.pdf#page=4","Abrir facsímil")</f>
        <v>Abrir facsímil</v>
      </c>
      <c r="K12185" s="10" t="s">
        <v>24</v>
      </c>
    </row>
    <row r="12186" spans="1:11" ht="54" customHeight="1">
      <c r="A12186" s="9" t="s">
        <v>24851</v>
      </c>
      <c r="B12186" s="9" t="s">
        <v>24851</v>
      </c>
      <c r="C12186" s="9" t="s">
        <v>66</v>
      </c>
      <c r="D12186" s="9" t="s">
        <v>67</v>
      </c>
      <c r="E12186" s="10" t="s">
        <v>2459</v>
      </c>
      <c r="F12186" s="9" t="s">
        <v>2460</v>
      </c>
      <c r="G12186" s="10" t="s">
        <v>86</v>
      </c>
      <c r="H12186" s="9" t="s">
        <v>22</v>
      </c>
      <c r="I12186" s="9" t="s">
        <v>24865</v>
      </c>
      <c r="J12186" s="10" t="str">
        <f>HYPERLINK("https://www.boe.es/gazeta/dias/1834/04/04/pdfs/GMD-1834-43.pdf#page=2","Abrir facsímil")</f>
        <v>Abrir facsímil</v>
      </c>
      <c r="K12186" s="10" t="s">
        <v>24</v>
      </c>
    </row>
    <row r="12187" spans="1:11" ht="54" customHeight="1">
      <c r="A12187" s="9" t="s">
        <v>24851</v>
      </c>
      <c r="B12187" s="9" t="s">
        <v>24851</v>
      </c>
      <c r="C12187" s="9" t="s">
        <v>46</v>
      </c>
      <c r="D12187" s="9" t="s">
        <v>101</v>
      </c>
      <c r="E12187" s="10" t="s">
        <v>3328</v>
      </c>
      <c r="F12187" s="9" t="s">
        <v>3329</v>
      </c>
      <c r="G12187" s="10" t="s">
        <v>21</v>
      </c>
      <c r="H12187" s="9" t="s">
        <v>22</v>
      </c>
      <c r="I12187" s="9" t="s">
        <v>24866</v>
      </c>
      <c r="J12187" s="10" t="str">
        <f>HYPERLINK("https://www.boe.es/gazeta/dias/1834/06/04/pdfs/GMD-1834-106.pdf#page=3","Abrir facsímil")</f>
        <v>Abrir facsímil</v>
      </c>
      <c r="K12187" s="10" t="s">
        <v>24</v>
      </c>
    </row>
    <row r="12188" spans="1:11" ht="54" customHeight="1">
      <c r="A12188" s="9" t="s">
        <v>24851</v>
      </c>
      <c r="B12188" s="9" t="s">
        <v>24851</v>
      </c>
      <c r="C12188" s="9" t="s">
        <v>17</v>
      </c>
      <c r="D12188" s="9" t="s">
        <v>55</v>
      </c>
      <c r="E12188" s="10" t="s">
        <v>355</v>
      </c>
      <c r="F12188" s="9" t="s">
        <v>356</v>
      </c>
      <c r="G12188" s="10" t="s">
        <v>86</v>
      </c>
      <c r="H12188" s="9" t="s">
        <v>22</v>
      </c>
      <c r="I12188" s="9" t="s">
        <v>24867</v>
      </c>
      <c r="J12188" s="10" t="str">
        <f>HYPERLINK("https://www.boe.es/gazeta/dias/1834/07/04/pdfs/GMD-1834-137.pdf#page=2","Abrir facsímil")</f>
        <v>Abrir facsímil</v>
      </c>
      <c r="K12188" s="10" t="s">
        <v>24</v>
      </c>
    </row>
    <row r="12189" spans="1:11" ht="54" customHeight="1">
      <c r="A12189" s="9" t="s">
        <v>24851</v>
      </c>
      <c r="B12189" s="9" t="s">
        <v>24851</v>
      </c>
      <c r="C12189" s="9" t="s">
        <v>17</v>
      </c>
      <c r="D12189" s="9" t="s">
        <v>18</v>
      </c>
      <c r="E12189" s="10" t="s">
        <v>571</v>
      </c>
      <c r="F12189" s="9" t="s">
        <v>620</v>
      </c>
      <c r="G12189" s="10" t="s">
        <v>28</v>
      </c>
      <c r="H12189" s="9" t="s">
        <v>22</v>
      </c>
      <c r="I12189" s="9" t="s">
        <v>24868</v>
      </c>
      <c r="J12189" s="10" t="str">
        <f>HYPERLINK("https://www.boe.es/gazeta/dias/1834/09/04/pdfs/GMD-C-1834-202.pdf#page=5","Abrir facsímil")</f>
        <v>Abrir facsímil</v>
      </c>
      <c r="K12189" s="10" t="s">
        <v>24</v>
      </c>
    </row>
    <row r="12190" spans="1:11" ht="54" customHeight="1">
      <c r="A12190" s="9" t="s">
        <v>24851</v>
      </c>
      <c r="B12190" s="9" t="s">
        <v>24851</v>
      </c>
      <c r="C12190" s="9" t="s">
        <v>17</v>
      </c>
      <c r="D12190" s="9" t="s">
        <v>55</v>
      </c>
      <c r="E12190" s="10" t="s">
        <v>426</v>
      </c>
      <c r="F12190" s="9" t="s">
        <v>427</v>
      </c>
      <c r="G12190" s="10" t="s">
        <v>86</v>
      </c>
      <c r="H12190" s="9" t="s">
        <v>22</v>
      </c>
      <c r="I12190" s="9" t="s">
        <v>24869</v>
      </c>
      <c r="J12190" s="10" t="str">
        <f>HYPERLINK("https://www.boe.es/gazeta/dias/1834/10/04/pdfs/GMD-1834-232.pdf#page=2","Abrir facsímil")</f>
        <v>Abrir facsímil</v>
      </c>
      <c r="K12190" s="10" t="s">
        <v>24</v>
      </c>
    </row>
    <row r="12191" spans="1:11" ht="54" customHeight="1">
      <c r="A12191" s="9" t="s">
        <v>24851</v>
      </c>
      <c r="B12191" s="9" t="s">
        <v>24851</v>
      </c>
      <c r="C12191" s="9" t="s">
        <v>17</v>
      </c>
      <c r="D12191" s="9" t="s">
        <v>18</v>
      </c>
      <c r="E12191" s="10" t="s">
        <v>1658</v>
      </c>
      <c r="F12191" s="9" t="s">
        <v>1659</v>
      </c>
      <c r="G12191" s="10" t="s">
        <v>34</v>
      </c>
      <c r="H12191" s="9" t="s">
        <v>22</v>
      </c>
      <c r="I12191" s="9" t="s">
        <v>24870</v>
      </c>
      <c r="J12191" s="10" t="str">
        <f>HYPERLINK("https://www.boe.es/gazeta/dias/1834/04/05/pdfs/GMD-1834-44.pdf#page=1","Abrir facsímil")</f>
        <v>Abrir facsímil</v>
      </c>
      <c r="K12191" s="10" t="s">
        <v>24</v>
      </c>
    </row>
    <row r="12192" spans="1:11" ht="54" customHeight="1">
      <c r="A12192" s="9" t="s">
        <v>24851</v>
      </c>
      <c r="B12192" s="9" t="s">
        <v>24851</v>
      </c>
      <c r="C12192" s="9" t="s">
        <v>66</v>
      </c>
      <c r="D12192" s="9" t="s">
        <v>67</v>
      </c>
      <c r="E12192" s="10" t="s">
        <v>1351</v>
      </c>
      <c r="F12192" s="9" t="s">
        <v>1352</v>
      </c>
      <c r="G12192" s="10" t="s">
        <v>21</v>
      </c>
      <c r="H12192" s="9" t="s">
        <v>22</v>
      </c>
      <c r="I12192" s="9" t="s">
        <v>24871</v>
      </c>
      <c r="J12192" s="10" t="str">
        <f>HYPERLINK("https://www.boe.es/gazeta/dias/1834/07/05/pdfs/GMD-1834-138.pdf#page=3","Abrir facsímil")</f>
        <v>Abrir facsímil</v>
      </c>
      <c r="K12192" s="10" t="s">
        <v>24</v>
      </c>
    </row>
    <row r="12193" spans="1:11" ht="54" customHeight="1">
      <c r="A12193" s="9" t="s">
        <v>24851</v>
      </c>
      <c r="B12193" s="9" t="s">
        <v>24851</v>
      </c>
      <c r="C12193" s="9" t="s">
        <v>17</v>
      </c>
      <c r="D12193" s="9" t="s">
        <v>55</v>
      </c>
      <c r="E12193" s="10" t="s">
        <v>1351</v>
      </c>
      <c r="F12193" s="9" t="s">
        <v>1352</v>
      </c>
      <c r="G12193" s="10" t="s">
        <v>75</v>
      </c>
      <c r="H12193" s="9" t="s">
        <v>22</v>
      </c>
      <c r="I12193" s="9" t="s">
        <v>24872</v>
      </c>
      <c r="J12193" s="10" t="str">
        <f>HYPERLINK("https://www.boe.es/gazeta/dias/1834/07/05/pdfs/GMD-1834-138.pdf#page=4","Abrir facsímil")</f>
        <v>Abrir facsímil</v>
      </c>
      <c r="K12193" s="10" t="s">
        <v>24</v>
      </c>
    </row>
    <row r="12194" spans="1:11" ht="54" customHeight="1">
      <c r="A12194" s="9" t="s">
        <v>24851</v>
      </c>
      <c r="B12194" s="9" t="s">
        <v>24851</v>
      </c>
      <c r="C12194" s="9" t="s">
        <v>17</v>
      </c>
      <c r="D12194" s="9" t="s">
        <v>18</v>
      </c>
      <c r="E12194" s="10" t="s">
        <v>47</v>
      </c>
      <c r="F12194" s="9" t="s">
        <v>1466</v>
      </c>
      <c r="G12194" s="10" t="s">
        <v>86</v>
      </c>
      <c r="H12194" s="9" t="s">
        <v>22</v>
      </c>
      <c r="I12194" s="9" t="s">
        <v>24873</v>
      </c>
      <c r="J12194" s="10" t="str">
        <f>HYPERLINK("https://www.boe.es/gazeta/dias/1834/09/05/pdfs/GMD-1834-203.pdf#page=2","Abrir facsímil")</f>
        <v>Abrir facsímil</v>
      </c>
      <c r="K12194" s="10" t="s">
        <v>24</v>
      </c>
    </row>
    <row r="12195" spans="1:11" ht="54" customHeight="1">
      <c r="A12195" s="9" t="s">
        <v>24851</v>
      </c>
      <c r="B12195" s="9" t="s">
        <v>24851</v>
      </c>
      <c r="C12195" s="9" t="s">
        <v>17</v>
      </c>
      <c r="D12195" s="9" t="s">
        <v>55</v>
      </c>
      <c r="E12195" s="10" t="s">
        <v>2218</v>
      </c>
      <c r="F12195" s="9" t="s">
        <v>2219</v>
      </c>
      <c r="G12195" s="10" t="s">
        <v>86</v>
      </c>
      <c r="H12195" s="9" t="s">
        <v>22</v>
      </c>
      <c r="I12195" s="9" t="s">
        <v>24874</v>
      </c>
      <c r="J12195" s="10" t="str">
        <f>HYPERLINK("https://www.boe.es/gazeta/dias/1834/11/05/pdfs/GMD-1834-264.pdf#page=2","Abrir facsímil")</f>
        <v>Abrir facsímil</v>
      </c>
      <c r="K12195" s="10" t="s">
        <v>24</v>
      </c>
    </row>
    <row r="12196" spans="1:11" ht="54" customHeight="1">
      <c r="A12196" s="9" t="s">
        <v>24851</v>
      </c>
      <c r="B12196" s="9" t="s">
        <v>24851</v>
      </c>
      <c r="C12196" s="9" t="s">
        <v>66</v>
      </c>
      <c r="D12196" s="9" t="s">
        <v>67</v>
      </c>
      <c r="E12196" s="10" t="s">
        <v>317</v>
      </c>
      <c r="F12196" s="9" t="s">
        <v>318</v>
      </c>
      <c r="G12196" s="10" t="s">
        <v>86</v>
      </c>
      <c r="H12196" s="9" t="s">
        <v>22</v>
      </c>
      <c r="I12196" s="9" t="s">
        <v>24875</v>
      </c>
      <c r="J12196" s="10" t="str">
        <f>HYPERLINK("https://www.boe.es/gazeta/dias/1834/03/06/pdfs/GMD-1834-29.pdf#page=2","Abrir facsímil")</f>
        <v>Abrir facsímil</v>
      </c>
      <c r="K12196" s="10" t="s">
        <v>24</v>
      </c>
    </row>
    <row r="12197" spans="1:11" ht="54" customHeight="1">
      <c r="A12197" s="9" t="s">
        <v>24851</v>
      </c>
      <c r="B12197" s="9" t="s">
        <v>24851</v>
      </c>
      <c r="C12197" s="9" t="s">
        <v>66</v>
      </c>
      <c r="D12197" s="9" t="s">
        <v>67</v>
      </c>
      <c r="E12197" s="10" t="s">
        <v>1661</v>
      </c>
      <c r="F12197" s="9" t="s">
        <v>1662</v>
      </c>
      <c r="G12197" s="10" t="s">
        <v>86</v>
      </c>
      <c r="H12197" s="9" t="s">
        <v>22</v>
      </c>
      <c r="I12197" s="9" t="s">
        <v>24876</v>
      </c>
      <c r="J12197" s="10" t="str">
        <f>HYPERLINK("https://www.boe.es/gazeta/dias/1834/04/06/pdfs/GMD-1834-45.pdf#page=2","Abrir facsímil")</f>
        <v>Abrir facsímil</v>
      </c>
      <c r="K12197" s="10" t="s">
        <v>24</v>
      </c>
    </row>
    <row r="12198" spans="1:11" ht="54" customHeight="1">
      <c r="A12198" s="9" t="s">
        <v>24851</v>
      </c>
      <c r="B12198" s="9" t="s">
        <v>24851</v>
      </c>
      <c r="C12198" s="9" t="s">
        <v>66</v>
      </c>
      <c r="D12198" s="9" t="s">
        <v>67</v>
      </c>
      <c r="E12198" s="10" t="s">
        <v>364</v>
      </c>
      <c r="F12198" s="9" t="s">
        <v>2102</v>
      </c>
      <c r="G12198" s="10" t="s">
        <v>21</v>
      </c>
      <c r="H12198" s="9" t="s">
        <v>22</v>
      </c>
      <c r="I12198" s="9" t="s">
        <v>24877</v>
      </c>
      <c r="J12198" s="10" t="str">
        <f>HYPERLINK("https://www.boe.es/gazeta/dias/1834/09/06/pdfs/GMD-1834-204.pdf#page=3","Abrir facsímil")</f>
        <v>Abrir facsímil</v>
      </c>
      <c r="K12198" s="10" t="s">
        <v>24</v>
      </c>
    </row>
    <row r="12199" spans="1:11" ht="54" customHeight="1">
      <c r="A12199" s="9" t="s">
        <v>24851</v>
      </c>
      <c r="B12199" s="9" t="s">
        <v>24851</v>
      </c>
      <c r="C12199" s="9" t="s">
        <v>46</v>
      </c>
      <c r="D12199" s="9" t="s">
        <v>55</v>
      </c>
      <c r="E12199" s="10" t="s">
        <v>3054</v>
      </c>
      <c r="F12199" s="9" t="s">
        <v>3055</v>
      </c>
      <c r="G12199" s="10" t="s">
        <v>86</v>
      </c>
      <c r="H12199" s="9" t="s">
        <v>22</v>
      </c>
      <c r="I12199" s="9" t="s">
        <v>24878</v>
      </c>
      <c r="J12199" s="10" t="str">
        <f>HYPERLINK("https://www.boe.es/gazeta/dias/1834/10/06/pdfs/GMD-1834-234.pdf#page=2","Abrir facsímil")</f>
        <v>Abrir facsímil</v>
      </c>
      <c r="K12199" s="10" t="s">
        <v>24</v>
      </c>
    </row>
    <row r="12200" spans="1:11" ht="54" customHeight="1">
      <c r="A12200" s="9" t="s">
        <v>24851</v>
      </c>
      <c r="B12200" s="9" t="s">
        <v>24851</v>
      </c>
      <c r="C12200" s="9" t="s">
        <v>17</v>
      </c>
      <c r="D12200" s="9" t="s">
        <v>18</v>
      </c>
      <c r="E12200" s="10" t="s">
        <v>696</v>
      </c>
      <c r="F12200" s="9" t="s">
        <v>854</v>
      </c>
      <c r="G12200" s="10" t="s">
        <v>34</v>
      </c>
      <c r="H12200" s="9" t="s">
        <v>22</v>
      </c>
      <c r="I12200" s="9" t="s">
        <v>24879</v>
      </c>
      <c r="J12200" s="10" t="str">
        <f>HYPERLINK("https://www.boe.es/gazeta/dias/1834/12/06/pdfs/GMD-1834-295.pdf#page=1","Abrir facsímil")</f>
        <v>Abrir facsímil</v>
      </c>
      <c r="K12200" s="10" t="s">
        <v>24</v>
      </c>
    </row>
    <row r="12201" spans="1:11" ht="54" customHeight="1">
      <c r="A12201" s="9" t="s">
        <v>24851</v>
      </c>
      <c r="B12201" s="9" t="s">
        <v>24851</v>
      </c>
      <c r="C12201" s="9" t="s">
        <v>17</v>
      </c>
      <c r="D12201" s="9" t="s">
        <v>18</v>
      </c>
      <c r="E12201" s="10" t="s">
        <v>84</v>
      </c>
      <c r="F12201" s="9" t="s">
        <v>1223</v>
      </c>
      <c r="G12201" s="10" t="s">
        <v>75</v>
      </c>
      <c r="H12201" s="9" t="s">
        <v>22</v>
      </c>
      <c r="I12201" s="9" t="s">
        <v>24880</v>
      </c>
      <c r="J12201" s="10" t="str">
        <f>HYPERLINK("https://www.boe.es/gazeta/dias/1834/06/07/pdfs/GMD-1834-109.pdf#page=4","Abrir facsímil")</f>
        <v>Abrir facsímil</v>
      </c>
      <c r="K12201" s="10" t="s">
        <v>24</v>
      </c>
    </row>
    <row r="12202" spans="1:11" ht="54" customHeight="1">
      <c r="A12202" s="9" t="s">
        <v>24851</v>
      </c>
      <c r="B12202" s="9" t="s">
        <v>24851</v>
      </c>
      <c r="C12202" s="9" t="s">
        <v>66</v>
      </c>
      <c r="D12202" s="9" t="s">
        <v>67</v>
      </c>
      <c r="E12202" s="10" t="s">
        <v>429</v>
      </c>
      <c r="F12202" s="9" t="s">
        <v>3421</v>
      </c>
      <c r="G12202" s="10" t="s">
        <v>21</v>
      </c>
      <c r="H12202" s="9" t="s">
        <v>22</v>
      </c>
      <c r="I12202" s="9" t="s">
        <v>24881</v>
      </c>
      <c r="J12202" s="10" t="str">
        <f>HYPERLINK("https://www.boe.es/gazeta/dias/1834/08/07/pdfs/GMD-1834-172.pdf#page=3","Abrir facsímil")</f>
        <v>Abrir facsímil</v>
      </c>
      <c r="K12202" s="10" t="s">
        <v>24</v>
      </c>
    </row>
    <row r="12203" spans="1:11" ht="54" customHeight="1">
      <c r="A12203" s="9" t="s">
        <v>24851</v>
      </c>
      <c r="B12203" s="9" t="s">
        <v>24851</v>
      </c>
      <c r="C12203" s="9" t="s">
        <v>17</v>
      </c>
      <c r="D12203" s="9" t="s">
        <v>18</v>
      </c>
      <c r="E12203" s="10" t="s">
        <v>167</v>
      </c>
      <c r="F12203" s="9" t="s">
        <v>168</v>
      </c>
      <c r="G12203" s="10" t="s">
        <v>86</v>
      </c>
      <c r="H12203" s="9" t="s">
        <v>22</v>
      </c>
      <c r="I12203" s="9" t="s">
        <v>24882</v>
      </c>
      <c r="J12203" s="10" t="str">
        <f>HYPERLINK("https://www.boe.es/gazeta/dias/1834/09/07/pdfs/GMD-1834-205.pdf#page=2","Abrir facsímil")</f>
        <v>Abrir facsímil</v>
      </c>
      <c r="K12203" s="10" t="s">
        <v>24</v>
      </c>
    </row>
    <row r="12204" spans="1:11" ht="54" customHeight="1">
      <c r="A12204" s="9" t="s">
        <v>24851</v>
      </c>
      <c r="B12204" s="9" t="s">
        <v>24851</v>
      </c>
      <c r="C12204" s="9" t="s">
        <v>17</v>
      </c>
      <c r="D12204" s="9" t="s">
        <v>18</v>
      </c>
      <c r="E12204" s="10" t="s">
        <v>762</v>
      </c>
      <c r="F12204" s="9" t="s">
        <v>763</v>
      </c>
      <c r="G12204" s="10" t="s">
        <v>21</v>
      </c>
      <c r="H12204" s="9" t="s">
        <v>22</v>
      </c>
      <c r="I12204" s="9" t="s">
        <v>24883</v>
      </c>
      <c r="J12204" s="10" t="str">
        <f>HYPERLINK("https://www.boe.es/gazeta/dias/1834/11/07/pdfs/GMD-1834-266.pdf#page=3","Abrir facsímil")</f>
        <v>Abrir facsímil</v>
      </c>
      <c r="K12204" s="10" t="s">
        <v>24</v>
      </c>
    </row>
    <row r="12205" spans="1:11" ht="54" customHeight="1">
      <c r="A12205" s="9" t="s">
        <v>24851</v>
      </c>
      <c r="B12205" s="9" t="s">
        <v>24851</v>
      </c>
      <c r="C12205" s="9" t="s">
        <v>17</v>
      </c>
      <c r="D12205" s="9" t="s">
        <v>18</v>
      </c>
      <c r="E12205" s="10" t="s">
        <v>860</v>
      </c>
      <c r="F12205" s="9" t="s">
        <v>1755</v>
      </c>
      <c r="G12205" s="10" t="s">
        <v>34</v>
      </c>
      <c r="H12205" s="9" t="s">
        <v>22</v>
      </c>
      <c r="I12205" s="9" t="s">
        <v>24884</v>
      </c>
      <c r="J12205" s="10" t="str">
        <f>HYPERLINK("https://www.boe.es/gazeta/dias/1834/02/08/pdfs/GMD-C-1834-18.pdf#page=1","Abrir facsímil")</f>
        <v>Abrir facsímil</v>
      </c>
      <c r="K12205" s="10" t="s">
        <v>24</v>
      </c>
    </row>
    <row r="12206" spans="1:11" ht="54" customHeight="1">
      <c r="A12206" s="9" t="s">
        <v>24851</v>
      </c>
      <c r="B12206" s="9" t="s">
        <v>24851</v>
      </c>
      <c r="C12206" s="9" t="s">
        <v>66</v>
      </c>
      <c r="D12206" s="9" t="s">
        <v>67</v>
      </c>
      <c r="E12206" s="10" t="s">
        <v>860</v>
      </c>
      <c r="F12206" s="9" t="s">
        <v>1755</v>
      </c>
      <c r="G12206" s="10" t="s">
        <v>86</v>
      </c>
      <c r="H12206" s="9" t="s">
        <v>22</v>
      </c>
      <c r="I12206" s="9" t="s">
        <v>24885</v>
      </c>
      <c r="J12206" s="10" t="str">
        <f>HYPERLINK("https://www.boe.es/gazeta/dias/1834/02/08/pdfs/GMD-C-1834-18.pdf#page=2","Abrir facsímil")</f>
        <v>Abrir facsímil</v>
      </c>
      <c r="K12206" s="10" t="s">
        <v>24</v>
      </c>
    </row>
    <row r="12207" spans="1:11" ht="54" customHeight="1">
      <c r="A12207" s="9" t="s">
        <v>24851</v>
      </c>
      <c r="B12207" s="9" t="s">
        <v>24851</v>
      </c>
      <c r="C12207" s="9" t="s">
        <v>17</v>
      </c>
      <c r="D12207" s="9" t="s">
        <v>55</v>
      </c>
      <c r="E12207" s="10" t="s">
        <v>61</v>
      </c>
      <c r="F12207" s="9" t="s">
        <v>205</v>
      </c>
      <c r="G12207" s="10" t="s">
        <v>86</v>
      </c>
      <c r="H12207" s="9" t="s">
        <v>22</v>
      </c>
      <c r="I12207" s="9" t="s">
        <v>24886</v>
      </c>
      <c r="J12207" s="10" t="str">
        <f>HYPERLINK("https://www.boe.es/gazeta/dias/1834/06/08/pdfs/GMD-1834-110.pdf#page=2","Abrir facsímil")</f>
        <v>Abrir facsímil</v>
      </c>
      <c r="K12207" s="10" t="s">
        <v>24</v>
      </c>
    </row>
    <row r="12208" spans="1:11" ht="54" customHeight="1">
      <c r="A12208" s="9" t="s">
        <v>24851</v>
      </c>
      <c r="B12208" s="9" t="s">
        <v>24851</v>
      </c>
      <c r="C12208" s="9" t="s">
        <v>17</v>
      </c>
      <c r="D12208" s="9" t="s">
        <v>18</v>
      </c>
      <c r="E12208" s="10" t="s">
        <v>61</v>
      </c>
      <c r="F12208" s="9" t="s">
        <v>205</v>
      </c>
      <c r="G12208" s="10" t="s">
        <v>75</v>
      </c>
      <c r="H12208" s="9" t="s">
        <v>22</v>
      </c>
      <c r="I12208" s="9" t="s">
        <v>24887</v>
      </c>
      <c r="J12208" s="10" t="str">
        <f>HYPERLINK("https://www.boe.es/gazeta/dias/1834/06/08/pdfs/GMD-1834-110.pdf#page=4","Abrir facsímil")</f>
        <v>Abrir facsímil</v>
      </c>
      <c r="K12208" s="10" t="s">
        <v>24</v>
      </c>
    </row>
    <row r="12209" spans="1:11" ht="54" customHeight="1">
      <c r="A12209" s="9" t="s">
        <v>24851</v>
      </c>
      <c r="B12209" s="9" t="s">
        <v>24851</v>
      </c>
      <c r="C12209" s="9" t="s">
        <v>66</v>
      </c>
      <c r="D12209" s="9" t="s">
        <v>67</v>
      </c>
      <c r="E12209" s="10" t="s">
        <v>61</v>
      </c>
      <c r="F12209" s="9" t="s">
        <v>62</v>
      </c>
      <c r="G12209" s="10" t="s">
        <v>34</v>
      </c>
      <c r="H12209" s="9" t="s">
        <v>22</v>
      </c>
      <c r="I12209" s="9" t="s">
        <v>24888</v>
      </c>
      <c r="J12209" s="10" t="str">
        <f>HYPERLINK("https://www.boe.es/gazeta/dias/1834/06/08/pdfs/GMD-1834-111E.pdf#page=1","Abrir facsímil")</f>
        <v>Abrir facsímil</v>
      </c>
      <c r="K12209" s="10" t="s">
        <v>24</v>
      </c>
    </row>
    <row r="12210" spans="1:11" ht="54" customHeight="1">
      <c r="A12210" s="9" t="s">
        <v>24851</v>
      </c>
      <c r="B12210" s="9" t="s">
        <v>24851</v>
      </c>
      <c r="C12210" s="9" t="s">
        <v>17</v>
      </c>
      <c r="D12210" s="9" t="s">
        <v>18</v>
      </c>
      <c r="E12210" s="10" t="s">
        <v>1008</v>
      </c>
      <c r="F12210" s="9" t="s">
        <v>2991</v>
      </c>
      <c r="G12210" s="10" t="s">
        <v>86</v>
      </c>
      <c r="H12210" s="9" t="s">
        <v>22</v>
      </c>
      <c r="I12210" s="9" t="s">
        <v>24889</v>
      </c>
      <c r="J12210" s="10" t="str">
        <f>HYPERLINK("https://www.boe.es/gazeta/dias/1834/11/08/pdfs/GMD-1834-267.pdf#page=2","Abrir facsímil")</f>
        <v>Abrir facsímil</v>
      </c>
      <c r="K12210" s="10" t="s">
        <v>24</v>
      </c>
    </row>
    <row r="12211" spans="1:11" ht="54" customHeight="1">
      <c r="A12211" s="9" t="s">
        <v>24851</v>
      </c>
      <c r="B12211" s="9" t="s">
        <v>24851</v>
      </c>
      <c r="C12211" s="9" t="s">
        <v>17</v>
      </c>
      <c r="D12211" s="9" t="s">
        <v>18</v>
      </c>
      <c r="E12211" s="10" t="s">
        <v>1008</v>
      </c>
      <c r="F12211" s="9" t="s">
        <v>1009</v>
      </c>
      <c r="G12211" s="10" t="s">
        <v>75</v>
      </c>
      <c r="H12211" s="9" t="s">
        <v>22</v>
      </c>
      <c r="I12211" s="9" t="s">
        <v>24890</v>
      </c>
      <c r="J12211" s="10" t="str">
        <f>HYPERLINK("https://www.boe.es/gazeta/dias/1834/11/08/pdfs/GMD-C-1834-267.pdf#page=4","Abrir facsímil")</f>
        <v>Abrir facsímil</v>
      </c>
      <c r="K12211" s="10" t="s">
        <v>24</v>
      </c>
    </row>
    <row r="12212" spans="1:11" ht="54" customHeight="1">
      <c r="A12212" s="9" t="s">
        <v>24851</v>
      </c>
      <c r="B12212" s="9" t="s">
        <v>24851</v>
      </c>
      <c r="C12212" s="9" t="s">
        <v>66</v>
      </c>
      <c r="D12212" s="9" t="s">
        <v>67</v>
      </c>
      <c r="E12212" s="10" t="s">
        <v>2124</v>
      </c>
      <c r="F12212" s="9" t="s">
        <v>2125</v>
      </c>
      <c r="G12212" s="10" t="s">
        <v>21</v>
      </c>
      <c r="H12212" s="9" t="s">
        <v>22</v>
      </c>
      <c r="I12212" s="9" t="s">
        <v>24891</v>
      </c>
      <c r="J12212" s="10" t="str">
        <f>HYPERLINK("https://www.boe.es/gazeta/dias/1834/06/09/pdfs/GMD-1834-112.pdf#page=3","Abrir facsímil")</f>
        <v>Abrir facsímil</v>
      </c>
      <c r="K12212" s="10" t="s">
        <v>24</v>
      </c>
    </row>
    <row r="12213" spans="1:11" ht="54" customHeight="1">
      <c r="A12213" s="9" t="s">
        <v>24851</v>
      </c>
      <c r="B12213" s="9" t="s">
        <v>24851</v>
      </c>
      <c r="C12213" s="9" t="s">
        <v>46</v>
      </c>
      <c r="D12213" s="9" t="s">
        <v>18</v>
      </c>
      <c r="E12213" s="10" t="s">
        <v>56</v>
      </c>
      <c r="F12213" s="9" t="s">
        <v>57</v>
      </c>
      <c r="G12213" s="10" t="s">
        <v>21</v>
      </c>
      <c r="H12213" s="9" t="s">
        <v>22</v>
      </c>
      <c r="I12213" s="9" t="s">
        <v>24892</v>
      </c>
      <c r="J12213" s="10" t="str">
        <f>HYPERLINK("https://www.boe.es/gazeta/dias/1834/07/09/pdfs/GMD-1834-142.pdf#page=3","Abrir facsímil")</f>
        <v>Abrir facsímil</v>
      </c>
      <c r="K12213" s="10" t="s">
        <v>24</v>
      </c>
    </row>
    <row r="12214" spans="1:11" ht="54" customHeight="1">
      <c r="A12214" s="9" t="s">
        <v>24851</v>
      </c>
      <c r="B12214" s="9" t="s">
        <v>24851</v>
      </c>
      <c r="C12214" s="9" t="s">
        <v>17</v>
      </c>
      <c r="D12214" s="9" t="s">
        <v>55</v>
      </c>
      <c r="E12214" s="10" t="s">
        <v>163</v>
      </c>
      <c r="F12214" s="9" t="s">
        <v>164</v>
      </c>
      <c r="G12214" s="10" t="s">
        <v>86</v>
      </c>
      <c r="H12214" s="9" t="s">
        <v>22</v>
      </c>
      <c r="I12214" s="9" t="s">
        <v>24893</v>
      </c>
      <c r="J12214" s="10" t="str">
        <f>HYPERLINK("https://www.boe.es/gazeta/dias/1834/08/09/pdfs/GMD-1834-174.pdf#page=2","Abrir facsímil")</f>
        <v>Abrir facsímil</v>
      </c>
      <c r="K12214" s="10" t="s">
        <v>24</v>
      </c>
    </row>
    <row r="12215" spans="1:11" ht="54" customHeight="1">
      <c r="A12215" s="9" t="s">
        <v>24851</v>
      </c>
      <c r="B12215" s="9" t="s">
        <v>24851</v>
      </c>
      <c r="C12215" s="9" t="s">
        <v>90</v>
      </c>
      <c r="D12215" s="9" t="s">
        <v>18</v>
      </c>
      <c r="E12215" s="10" t="s">
        <v>258</v>
      </c>
      <c r="F12215" s="9" t="s">
        <v>259</v>
      </c>
      <c r="G12215" s="10" t="s">
        <v>75</v>
      </c>
      <c r="H12215" s="9" t="s">
        <v>22</v>
      </c>
      <c r="I12215" s="9" t="s">
        <v>24894</v>
      </c>
      <c r="J12215" s="10" t="str">
        <f>HYPERLINK("https://www.boe.es/gazeta/dias/1834/10/09/pdfs/GMD-C-1834-237.pdf#page=4","Abrir facsímil")</f>
        <v>Abrir facsímil</v>
      </c>
      <c r="K12215" s="10" t="s">
        <v>24</v>
      </c>
    </row>
    <row r="12216" spans="1:11" ht="54" customHeight="1">
      <c r="A12216" s="9" t="s">
        <v>24851</v>
      </c>
      <c r="B12216" s="9" t="s">
        <v>24851</v>
      </c>
      <c r="C12216" s="9" t="s">
        <v>122</v>
      </c>
      <c r="D12216" s="9" t="s">
        <v>18</v>
      </c>
      <c r="E12216" s="10" t="s">
        <v>438</v>
      </c>
      <c r="F12216" s="9" t="s">
        <v>439</v>
      </c>
      <c r="G12216" s="10" t="s">
        <v>21</v>
      </c>
      <c r="H12216" s="9" t="s">
        <v>22</v>
      </c>
      <c r="I12216" s="9" t="s">
        <v>24895</v>
      </c>
      <c r="J12216" s="10" t="str">
        <f>HYPERLINK("https://www.boe.es/gazeta/dias/1834/11/09/pdfs/GMD-1834-268.pdf#page=3","Abrir facsímil")</f>
        <v>Abrir facsímil</v>
      </c>
      <c r="K12216" s="10" t="s">
        <v>24</v>
      </c>
    </row>
    <row r="12217" spans="1:11" ht="54" customHeight="1">
      <c r="A12217" s="9" t="s">
        <v>24851</v>
      </c>
      <c r="B12217" s="9" t="s">
        <v>24851</v>
      </c>
      <c r="C12217" s="9" t="s">
        <v>17</v>
      </c>
      <c r="D12217" s="9" t="s">
        <v>18</v>
      </c>
      <c r="E12217" s="10" t="s">
        <v>1318</v>
      </c>
      <c r="F12217" s="9" t="s">
        <v>1319</v>
      </c>
      <c r="G12217" s="10" t="s">
        <v>86</v>
      </c>
      <c r="H12217" s="9" t="s">
        <v>22</v>
      </c>
      <c r="I12217" s="9" t="s">
        <v>24896</v>
      </c>
      <c r="J12217" s="10" t="str">
        <f>HYPERLINK("https://www.boe.es/gazeta/dias/1834/05/10/pdfs/GMD-1834-79.pdf#page=2","Abrir facsímil")</f>
        <v>Abrir facsímil</v>
      </c>
      <c r="K12217" s="10" t="s">
        <v>24</v>
      </c>
    </row>
    <row r="12218" spans="1:11" ht="54" customHeight="1">
      <c r="A12218" s="9" t="s">
        <v>24851</v>
      </c>
      <c r="B12218" s="9" t="s">
        <v>24851</v>
      </c>
      <c r="C12218" s="9" t="s">
        <v>17</v>
      </c>
      <c r="D12218" s="9" t="s">
        <v>18</v>
      </c>
      <c r="E12218" s="10" t="s">
        <v>4565</v>
      </c>
      <c r="F12218" s="9" t="s">
        <v>4566</v>
      </c>
      <c r="G12218" s="10" t="s">
        <v>86</v>
      </c>
      <c r="H12218" s="9" t="s">
        <v>22</v>
      </c>
      <c r="I12218" s="9" t="s">
        <v>24897</v>
      </c>
      <c r="J12218" s="10" t="str">
        <f>HYPERLINK("https://www.boe.es/gazeta/dias/1834/07/10/pdfs/GMD-1834-143.pdf#page=2","Abrir facsímil")</f>
        <v>Abrir facsímil</v>
      </c>
      <c r="K12218" s="10" t="s">
        <v>24</v>
      </c>
    </row>
    <row r="12219" spans="1:11" ht="54" customHeight="1">
      <c r="A12219" s="9" t="s">
        <v>24851</v>
      </c>
      <c r="B12219" s="9" t="s">
        <v>24851</v>
      </c>
      <c r="C12219" s="9" t="s">
        <v>46</v>
      </c>
      <c r="D12219" s="9" t="s">
        <v>18</v>
      </c>
      <c r="E12219" s="10" t="s">
        <v>956</v>
      </c>
      <c r="F12219" s="9" t="s">
        <v>957</v>
      </c>
      <c r="G12219" s="10" t="s">
        <v>34</v>
      </c>
      <c r="H12219" s="9" t="s">
        <v>22</v>
      </c>
      <c r="I12219" s="9" t="s">
        <v>24898</v>
      </c>
      <c r="J12219" s="10" t="str">
        <f>HYPERLINK("https://www.boe.es/gazeta/dias/1834/08/10/pdfs/GMD-C-1834-175.pdf#page=1","Abrir facsímil")</f>
        <v>Abrir facsímil</v>
      </c>
      <c r="K12219" s="10" t="s">
        <v>24</v>
      </c>
    </row>
    <row r="12220" spans="1:11" ht="54" customHeight="1">
      <c r="A12220" s="9" t="s">
        <v>24851</v>
      </c>
      <c r="B12220" s="9" t="s">
        <v>24851</v>
      </c>
      <c r="C12220" s="9" t="s">
        <v>46</v>
      </c>
      <c r="D12220" s="9" t="s">
        <v>18</v>
      </c>
      <c r="E12220" s="10" t="s">
        <v>441</v>
      </c>
      <c r="F12220" s="9" t="s">
        <v>442</v>
      </c>
      <c r="G12220" s="10" t="s">
        <v>86</v>
      </c>
      <c r="H12220" s="9" t="s">
        <v>22</v>
      </c>
      <c r="I12220" s="9" t="s">
        <v>24899</v>
      </c>
      <c r="J12220" s="10" t="str">
        <f>HYPERLINK("https://www.boe.es/gazeta/dias/1834/11/10/pdfs/GMD-1834-269.pdf#page=2","Abrir facsímil")</f>
        <v>Abrir facsímil</v>
      </c>
      <c r="K12220" s="10" t="s">
        <v>24</v>
      </c>
    </row>
    <row r="12221" spans="1:11" ht="54" customHeight="1">
      <c r="A12221" s="9" t="s">
        <v>24851</v>
      </c>
      <c r="B12221" s="9" t="s">
        <v>24851</v>
      </c>
      <c r="C12221" s="9" t="s">
        <v>17</v>
      </c>
      <c r="D12221" s="9" t="s">
        <v>18</v>
      </c>
      <c r="E12221" s="10" t="s">
        <v>441</v>
      </c>
      <c r="F12221" s="9" t="s">
        <v>442</v>
      </c>
      <c r="G12221" s="10" t="s">
        <v>21</v>
      </c>
      <c r="H12221" s="9" t="s">
        <v>22</v>
      </c>
      <c r="I12221" s="9" t="s">
        <v>24900</v>
      </c>
      <c r="J12221" s="10" t="str">
        <f>HYPERLINK("https://www.boe.es/gazeta/dias/1834/11/10/pdfs/GMD-1834-269.pdf#page=3","Abrir facsímil")</f>
        <v>Abrir facsímil</v>
      </c>
      <c r="K12221" s="10" t="s">
        <v>24</v>
      </c>
    </row>
    <row r="12222" spans="1:11" ht="54" customHeight="1">
      <c r="A12222" s="9" t="s">
        <v>24851</v>
      </c>
      <c r="B12222" s="9" t="s">
        <v>24851</v>
      </c>
      <c r="C12222" s="9" t="s">
        <v>17</v>
      </c>
      <c r="D12222" s="9" t="s">
        <v>18</v>
      </c>
      <c r="E12222" s="10" t="s">
        <v>441</v>
      </c>
      <c r="F12222" s="9" t="s">
        <v>442</v>
      </c>
      <c r="G12222" s="10" t="s">
        <v>75</v>
      </c>
      <c r="H12222" s="9" t="s">
        <v>22</v>
      </c>
      <c r="I12222" s="9" t="s">
        <v>24901</v>
      </c>
      <c r="J12222" s="10" t="str">
        <f>HYPERLINK("https://www.boe.es/gazeta/dias/1834/11/10/pdfs/GMD-1834-269.pdf#page=4","Abrir facsímil")</f>
        <v>Abrir facsímil</v>
      </c>
      <c r="K12222" s="10" t="s">
        <v>24</v>
      </c>
    </row>
    <row r="12223" spans="1:11" ht="54" customHeight="1">
      <c r="A12223" s="9" t="s">
        <v>24851</v>
      </c>
      <c r="B12223" s="9" t="s">
        <v>24851</v>
      </c>
      <c r="C12223" s="9" t="s">
        <v>17</v>
      </c>
      <c r="D12223" s="9" t="s">
        <v>18</v>
      </c>
      <c r="E12223" s="10" t="s">
        <v>785</v>
      </c>
      <c r="F12223" s="9" t="s">
        <v>786</v>
      </c>
      <c r="G12223" s="10" t="s">
        <v>75</v>
      </c>
      <c r="H12223" s="9" t="s">
        <v>22</v>
      </c>
      <c r="I12223" s="9" t="s">
        <v>24902</v>
      </c>
      <c r="J12223" s="10" t="str">
        <f>HYPERLINK("https://www.boe.es/gazeta/dias/1834/02/11/pdfs/GMD-1834-19.pdf#page=4","Abrir facsímil")</f>
        <v>Abrir facsímil</v>
      </c>
      <c r="K12223" s="10" t="s">
        <v>24</v>
      </c>
    </row>
    <row r="12224" spans="1:11" ht="54" customHeight="1">
      <c r="A12224" s="9" t="s">
        <v>24851</v>
      </c>
      <c r="B12224" s="9" t="s">
        <v>24851</v>
      </c>
      <c r="C12224" s="9" t="s">
        <v>66</v>
      </c>
      <c r="D12224" s="9" t="s">
        <v>67</v>
      </c>
      <c r="E12224" s="10" t="s">
        <v>2241</v>
      </c>
      <c r="F12224" s="9" t="s">
        <v>2242</v>
      </c>
      <c r="G12224" s="10" t="s">
        <v>86</v>
      </c>
      <c r="H12224" s="9" t="s">
        <v>22</v>
      </c>
      <c r="I12224" s="9" t="s">
        <v>24903</v>
      </c>
      <c r="J12224" s="10" t="str">
        <f>HYPERLINK("https://www.boe.es/gazeta/dias/1834/03/11/pdfs/GMD-1834-31.pdf#page=2","Abrir facsímil")</f>
        <v>Abrir facsímil</v>
      </c>
      <c r="K12224" s="10" t="s">
        <v>24</v>
      </c>
    </row>
    <row r="12225" spans="1:11" ht="54" customHeight="1">
      <c r="A12225" s="9" t="s">
        <v>24851</v>
      </c>
      <c r="B12225" s="9" t="s">
        <v>24851</v>
      </c>
      <c r="C12225" s="9" t="s">
        <v>122</v>
      </c>
      <c r="D12225" s="9" t="s">
        <v>18</v>
      </c>
      <c r="E12225" s="10" t="s">
        <v>5435</v>
      </c>
      <c r="F12225" s="9" t="s">
        <v>5436</v>
      </c>
      <c r="G12225" s="10" t="s">
        <v>86</v>
      </c>
      <c r="H12225" s="9" t="s">
        <v>22</v>
      </c>
      <c r="I12225" s="9" t="s">
        <v>24904</v>
      </c>
      <c r="J12225" s="10" t="str">
        <f>HYPERLINK("https://www.boe.es/gazeta/dias/1834/05/11/pdfs/GMD-1834-80.pdf#page=2","Abrir facsímil")</f>
        <v>Abrir facsímil</v>
      </c>
      <c r="K12225" s="10" t="s">
        <v>24</v>
      </c>
    </row>
    <row r="12226" spans="1:11" ht="54" customHeight="1">
      <c r="A12226" s="9" t="s">
        <v>24851</v>
      </c>
      <c r="B12226" s="9" t="s">
        <v>24851</v>
      </c>
      <c r="C12226" s="9" t="s">
        <v>66</v>
      </c>
      <c r="D12226" s="9" t="s">
        <v>67</v>
      </c>
      <c r="E12226" s="10" t="s">
        <v>2098</v>
      </c>
      <c r="F12226" s="9" t="s">
        <v>5817</v>
      </c>
      <c r="G12226" s="10" t="s">
        <v>86</v>
      </c>
      <c r="H12226" s="9" t="s">
        <v>22</v>
      </c>
      <c r="I12226" s="9" t="s">
        <v>24905</v>
      </c>
      <c r="J12226" s="10" t="str">
        <f>HYPERLINK("https://www.boe.es/gazeta/dias/1834/08/11/pdfs/GMD-C-1834-176.pdf#page=2","Abrir facsímil")</f>
        <v>Abrir facsímil</v>
      </c>
      <c r="K12226" s="10" t="s">
        <v>24</v>
      </c>
    </row>
    <row r="12227" spans="1:11" ht="54" customHeight="1">
      <c r="A12227" s="9" t="s">
        <v>24851</v>
      </c>
      <c r="B12227" s="9" t="s">
        <v>24851</v>
      </c>
      <c r="C12227" s="9" t="s">
        <v>46</v>
      </c>
      <c r="D12227" s="9" t="s">
        <v>55</v>
      </c>
      <c r="E12227" s="10" t="s">
        <v>2048</v>
      </c>
      <c r="F12227" s="9" t="s">
        <v>2049</v>
      </c>
      <c r="G12227" s="10" t="s">
        <v>86</v>
      </c>
      <c r="H12227" s="9" t="s">
        <v>22</v>
      </c>
      <c r="I12227" s="9" t="s">
        <v>24906</v>
      </c>
      <c r="J12227" s="10" t="str">
        <f>HYPERLINK("https://www.boe.es/gazeta/dias/1834/05/12/pdfs/GMD-1834-81.pdf#page=2","Abrir facsímil")</f>
        <v>Abrir facsímil</v>
      </c>
      <c r="K12227" s="10" t="s">
        <v>24</v>
      </c>
    </row>
    <row r="12228" spans="1:11" ht="54" customHeight="1">
      <c r="A12228" s="9" t="s">
        <v>24851</v>
      </c>
      <c r="B12228" s="9" t="s">
        <v>24851</v>
      </c>
      <c r="C12228" s="9" t="s">
        <v>90</v>
      </c>
      <c r="D12228" s="9" t="s">
        <v>67</v>
      </c>
      <c r="E12228" s="10" t="s">
        <v>79</v>
      </c>
      <c r="F12228" s="9" t="s">
        <v>80</v>
      </c>
      <c r="G12228" s="10" t="s">
        <v>86</v>
      </c>
      <c r="H12228" s="9" t="s">
        <v>22</v>
      </c>
      <c r="I12228" s="9" t="s">
        <v>24907</v>
      </c>
      <c r="J12228" s="10" t="str">
        <f>HYPERLINK("https://www.boe.es/gazeta/dias/1834/07/12/pdfs/GMD-1834-145.pdf#page=2","Abrir facsímil")</f>
        <v>Abrir facsímil</v>
      </c>
      <c r="K12228" s="10" t="s">
        <v>24</v>
      </c>
    </row>
    <row r="12229" spans="1:11" ht="54" customHeight="1">
      <c r="A12229" s="9" t="s">
        <v>24851</v>
      </c>
      <c r="B12229" s="9" t="s">
        <v>24851</v>
      </c>
      <c r="C12229" s="9" t="s">
        <v>66</v>
      </c>
      <c r="D12229" s="9" t="s">
        <v>18</v>
      </c>
      <c r="E12229" s="10" t="s">
        <v>79</v>
      </c>
      <c r="F12229" s="9" t="s">
        <v>80</v>
      </c>
      <c r="G12229" s="10" t="s">
        <v>21</v>
      </c>
      <c r="H12229" s="9" t="s">
        <v>22</v>
      </c>
      <c r="I12229" s="9" t="s">
        <v>24908</v>
      </c>
      <c r="J12229" s="10" t="str">
        <f>HYPERLINK("https://www.boe.es/gazeta/dias/1834/07/12/pdfs/GMD-1834-145.pdf#page=3","Abrir facsímil")</f>
        <v>Abrir facsímil</v>
      </c>
      <c r="K12229" s="10" t="s">
        <v>24</v>
      </c>
    </row>
    <row r="12230" spans="1:11" ht="54" customHeight="1">
      <c r="A12230" s="9" t="s">
        <v>24851</v>
      </c>
      <c r="B12230" s="9" t="s">
        <v>24851</v>
      </c>
      <c r="C12230" s="9" t="s">
        <v>17</v>
      </c>
      <c r="D12230" s="9" t="s">
        <v>18</v>
      </c>
      <c r="E12230" s="10" t="s">
        <v>299</v>
      </c>
      <c r="F12230" s="9" t="s">
        <v>300</v>
      </c>
      <c r="G12230" s="10" t="s">
        <v>21</v>
      </c>
      <c r="H12230" s="9" t="s">
        <v>22</v>
      </c>
      <c r="I12230" s="9" t="s">
        <v>24909</v>
      </c>
      <c r="J12230" s="10" t="str">
        <f>HYPERLINK("https://www.boe.es/gazeta/dias/1834/12/12/pdfs/GMD-1834-301.pdf#page=3","Abrir facsímil")</f>
        <v>Abrir facsímil</v>
      </c>
      <c r="K12230" s="10" t="s">
        <v>24</v>
      </c>
    </row>
    <row r="12231" spans="1:11" ht="54" customHeight="1">
      <c r="A12231" s="9" t="s">
        <v>24851</v>
      </c>
      <c r="B12231" s="9" t="s">
        <v>24851</v>
      </c>
      <c r="C12231" s="9" t="s">
        <v>857</v>
      </c>
      <c r="D12231" s="9" t="s">
        <v>18</v>
      </c>
      <c r="E12231" s="10" t="s">
        <v>479</v>
      </c>
      <c r="F12231" s="9" t="s">
        <v>2258</v>
      </c>
      <c r="G12231" s="10" t="s">
        <v>86</v>
      </c>
      <c r="H12231" s="9" t="s">
        <v>22</v>
      </c>
      <c r="I12231" s="9" t="s">
        <v>24910</v>
      </c>
      <c r="J12231" s="10" t="str">
        <f>HYPERLINK("https://www.boe.es/gazeta/dias/1834/08/13/pdfs/GMD-C-1834-178.pdf#page=2","Abrir facsímil")</f>
        <v>Abrir facsímil</v>
      </c>
      <c r="K12231" s="10" t="s">
        <v>24</v>
      </c>
    </row>
    <row r="12232" spans="1:11" ht="54" customHeight="1">
      <c r="A12232" s="9" t="s">
        <v>24851</v>
      </c>
      <c r="B12232" s="9" t="s">
        <v>24851</v>
      </c>
      <c r="C12232" s="9" t="s">
        <v>66</v>
      </c>
      <c r="D12232" s="9" t="s">
        <v>67</v>
      </c>
      <c r="E12232" s="10" t="s">
        <v>556</v>
      </c>
      <c r="F12232" s="9" t="s">
        <v>557</v>
      </c>
      <c r="G12232" s="10" t="s">
        <v>21</v>
      </c>
      <c r="H12232" s="9" t="s">
        <v>22</v>
      </c>
      <c r="I12232" s="9" t="s">
        <v>24911</v>
      </c>
      <c r="J12232" s="10" t="str">
        <f>HYPERLINK("https://www.boe.es/gazeta/dias/1834/09/13/pdfs/GMD-1834-211.pdf#page=3","Abrir facsímil")</f>
        <v>Abrir facsímil</v>
      </c>
      <c r="K12232" s="10" t="s">
        <v>24</v>
      </c>
    </row>
    <row r="12233" spans="1:11" ht="54" customHeight="1">
      <c r="A12233" s="9" t="s">
        <v>24851</v>
      </c>
      <c r="B12233" s="9" t="s">
        <v>24851</v>
      </c>
      <c r="C12233" s="9" t="s">
        <v>66</v>
      </c>
      <c r="D12233" s="9" t="s">
        <v>67</v>
      </c>
      <c r="E12233" s="10" t="s">
        <v>1273</v>
      </c>
      <c r="F12233" s="9" t="s">
        <v>1274</v>
      </c>
      <c r="G12233" s="10" t="s">
        <v>21</v>
      </c>
      <c r="H12233" s="9" t="s">
        <v>22</v>
      </c>
      <c r="I12233" s="9" t="s">
        <v>24912</v>
      </c>
      <c r="J12233" s="10" t="str">
        <f>HYPERLINK("https://www.boe.es/gazeta/dias/1834/05/14/pdfs/GMD-1834-83.pdf#page=3","Abrir facsímil")</f>
        <v>Abrir facsímil</v>
      </c>
      <c r="K12233" s="10" t="s">
        <v>24</v>
      </c>
    </row>
    <row r="12234" spans="1:11" ht="54" customHeight="1">
      <c r="A12234" s="9" t="s">
        <v>24851</v>
      </c>
      <c r="B12234" s="9" t="s">
        <v>24851</v>
      </c>
      <c r="C12234" s="9" t="s">
        <v>66</v>
      </c>
      <c r="D12234" s="9" t="s">
        <v>67</v>
      </c>
      <c r="E12234" s="10" t="s">
        <v>1234</v>
      </c>
      <c r="F12234" s="9" t="s">
        <v>1235</v>
      </c>
      <c r="G12234" s="10" t="s">
        <v>34</v>
      </c>
      <c r="H12234" s="9" t="s">
        <v>22</v>
      </c>
      <c r="I12234" s="9" t="s">
        <v>24913</v>
      </c>
      <c r="J12234" s="10" t="str">
        <f>HYPERLINK("https://www.boe.es/gazeta/dias/1834/05/15/pdfs/GMD-C-1834-84.pdf#page=1","Abrir facsímil")</f>
        <v>Abrir facsímil</v>
      </c>
      <c r="K12234" s="10" t="s">
        <v>24</v>
      </c>
    </row>
    <row r="12235" spans="1:11" ht="54" customHeight="1">
      <c r="A12235" s="9" t="s">
        <v>24851</v>
      </c>
      <c r="B12235" s="9" t="s">
        <v>24851</v>
      </c>
      <c r="C12235" s="9" t="s">
        <v>122</v>
      </c>
      <c r="D12235" s="9" t="s">
        <v>18</v>
      </c>
      <c r="E12235" s="10" t="s">
        <v>326</v>
      </c>
      <c r="F12235" s="9" t="s">
        <v>327</v>
      </c>
      <c r="G12235" s="10" t="s">
        <v>86</v>
      </c>
      <c r="H12235" s="9" t="s">
        <v>22</v>
      </c>
      <c r="I12235" s="9" t="s">
        <v>24914</v>
      </c>
      <c r="J12235" s="10" t="str">
        <f>HYPERLINK("https://www.boe.es/gazeta/dias/1834/07/15/pdfs/GMD-1834-148.pdf#page=2","Abrir facsímil")</f>
        <v>Abrir facsímil</v>
      </c>
      <c r="K12235" s="10" t="s">
        <v>24</v>
      </c>
    </row>
    <row r="12236" spans="1:11" ht="54" customHeight="1">
      <c r="A12236" s="9" t="s">
        <v>24851</v>
      </c>
      <c r="B12236" s="9" t="s">
        <v>24851</v>
      </c>
      <c r="C12236" s="9" t="s">
        <v>46</v>
      </c>
      <c r="D12236" s="9" t="s">
        <v>101</v>
      </c>
      <c r="E12236" s="10" t="s">
        <v>326</v>
      </c>
      <c r="F12236" s="9" t="s">
        <v>327</v>
      </c>
      <c r="G12236" s="10" t="s">
        <v>21</v>
      </c>
      <c r="H12236" s="9" t="s">
        <v>22</v>
      </c>
      <c r="I12236" s="9" t="s">
        <v>24915</v>
      </c>
      <c r="J12236" s="10" t="str">
        <f>HYPERLINK("https://www.boe.es/gazeta/dias/1834/07/15/pdfs/GMD-1834-148.pdf#page=3","Abrir facsímil")</f>
        <v>Abrir facsímil</v>
      </c>
      <c r="K12236" s="10" t="s">
        <v>24</v>
      </c>
    </row>
    <row r="12237" spans="1:11" ht="54" customHeight="1">
      <c r="A12237" s="9" t="s">
        <v>24851</v>
      </c>
      <c r="B12237" s="9" t="s">
        <v>24851</v>
      </c>
      <c r="C12237" s="9" t="s">
        <v>17</v>
      </c>
      <c r="D12237" s="9" t="s">
        <v>18</v>
      </c>
      <c r="E12237" s="10" t="s">
        <v>863</v>
      </c>
      <c r="F12237" s="9" t="s">
        <v>864</v>
      </c>
      <c r="G12237" s="10" t="s">
        <v>86</v>
      </c>
      <c r="H12237" s="9" t="s">
        <v>22</v>
      </c>
      <c r="I12237" s="9" t="s">
        <v>24916</v>
      </c>
      <c r="J12237" s="10" t="str">
        <f>HYPERLINK("https://www.boe.es/gazeta/dias/1834/09/15/pdfs/GMD-1834-213.pdf#page=2","Abrir facsímil")</f>
        <v>Abrir facsímil</v>
      </c>
      <c r="K12237" s="10" t="s">
        <v>24</v>
      </c>
    </row>
    <row r="12238" spans="1:11" ht="54" customHeight="1">
      <c r="A12238" s="9" t="s">
        <v>24851</v>
      </c>
      <c r="B12238" s="9" t="s">
        <v>24851</v>
      </c>
      <c r="C12238" s="9" t="s">
        <v>66</v>
      </c>
      <c r="D12238" s="9" t="s">
        <v>67</v>
      </c>
      <c r="E12238" s="10" t="s">
        <v>451</v>
      </c>
      <c r="F12238" s="9" t="s">
        <v>3350</v>
      </c>
      <c r="G12238" s="10" t="s">
        <v>21</v>
      </c>
      <c r="H12238" s="9" t="s">
        <v>22</v>
      </c>
      <c r="I12238" s="9" t="s">
        <v>24917</v>
      </c>
      <c r="J12238" s="10" t="str">
        <f>HYPERLINK("https://www.boe.es/gazeta/dias/1834/10/15/pdfs/GMD-1834-243.pdf#page=3","Abrir facsímil")</f>
        <v>Abrir facsímil</v>
      </c>
      <c r="K12238" s="10" t="s">
        <v>24</v>
      </c>
    </row>
    <row r="12239" spans="1:11" ht="54" customHeight="1">
      <c r="A12239" s="9" t="s">
        <v>24851</v>
      </c>
      <c r="B12239" s="9" t="s">
        <v>24851</v>
      </c>
      <c r="C12239" s="9" t="s">
        <v>66</v>
      </c>
      <c r="D12239" s="9" t="s">
        <v>67</v>
      </c>
      <c r="E12239" s="10" t="s">
        <v>1394</v>
      </c>
      <c r="F12239" s="9" t="s">
        <v>1395</v>
      </c>
      <c r="G12239" s="10" t="s">
        <v>75</v>
      </c>
      <c r="H12239" s="9" t="s">
        <v>22</v>
      </c>
      <c r="I12239" s="9" t="s">
        <v>24918</v>
      </c>
      <c r="J12239" s="10" t="str">
        <f>HYPERLINK("https://www.boe.es/gazeta/dias/1834/04/16/pdfs/GMD-1834-55.pdf#page=4","Abrir facsímil")</f>
        <v>Abrir facsímil</v>
      </c>
      <c r="K12239" s="10" t="s">
        <v>24</v>
      </c>
    </row>
    <row r="12240" spans="1:11" ht="54" customHeight="1">
      <c r="A12240" s="9" t="s">
        <v>24851</v>
      </c>
      <c r="B12240" s="9" t="s">
        <v>24851</v>
      </c>
      <c r="C12240" s="9" t="s">
        <v>66</v>
      </c>
      <c r="D12240" s="9" t="s">
        <v>67</v>
      </c>
      <c r="E12240" s="10" t="s">
        <v>1116</v>
      </c>
      <c r="F12240" s="9" t="s">
        <v>1117</v>
      </c>
      <c r="G12240" s="10" t="s">
        <v>86</v>
      </c>
      <c r="H12240" s="9" t="s">
        <v>22</v>
      </c>
      <c r="I12240" s="9" t="s">
        <v>24919</v>
      </c>
      <c r="J12240" s="10" t="str">
        <f>HYPERLINK("https://www.boe.es/gazeta/dias/1834/05/16/pdfs/GMD-1834-85.pdf#page=2","Abrir facsímil")</f>
        <v>Abrir facsímil</v>
      </c>
      <c r="K12240" s="10" t="s">
        <v>24</v>
      </c>
    </row>
    <row r="12241" spans="1:11" ht="54" customHeight="1">
      <c r="A12241" s="9" t="s">
        <v>24851</v>
      </c>
      <c r="B12241" s="9" t="s">
        <v>24851</v>
      </c>
      <c r="C12241" s="9" t="s">
        <v>17</v>
      </c>
      <c r="D12241" s="9" t="s">
        <v>18</v>
      </c>
      <c r="E12241" s="10" t="s">
        <v>5574</v>
      </c>
      <c r="F12241" s="9" t="s">
        <v>5575</v>
      </c>
      <c r="G12241" s="10" t="s">
        <v>86</v>
      </c>
      <c r="H12241" s="9" t="s">
        <v>22</v>
      </c>
      <c r="I12241" s="9" t="s">
        <v>24920</v>
      </c>
      <c r="J12241" s="10" t="str">
        <f>HYPERLINK("https://www.boe.es/gazeta/dias/1834/06/16/pdfs/GMD-1834-119.pdf#page=2","Abrir facsímil")</f>
        <v>Abrir facsímil</v>
      </c>
      <c r="K12241" s="10" t="s">
        <v>24</v>
      </c>
    </row>
    <row r="12242" spans="1:11" ht="54" customHeight="1">
      <c r="A12242" s="9" t="s">
        <v>24851</v>
      </c>
      <c r="B12242" s="9" t="s">
        <v>24851</v>
      </c>
      <c r="C12242" s="9" t="s">
        <v>17</v>
      </c>
      <c r="D12242" s="9" t="s">
        <v>18</v>
      </c>
      <c r="E12242" s="10" t="s">
        <v>663</v>
      </c>
      <c r="F12242" s="9" t="s">
        <v>664</v>
      </c>
      <c r="G12242" s="10" t="s">
        <v>21</v>
      </c>
      <c r="H12242" s="9" t="s">
        <v>22</v>
      </c>
      <c r="I12242" s="9" t="s">
        <v>24921</v>
      </c>
      <c r="J12242" s="10" t="str">
        <f>HYPERLINK("https://www.boe.es/gazeta/dias/1834/07/16/pdfs/GMD-1834-149.pdf#page=3","Abrir facsímil")</f>
        <v>Abrir facsímil</v>
      </c>
      <c r="K12242" s="10" t="s">
        <v>24</v>
      </c>
    </row>
    <row r="12243" spans="1:11" ht="54" customHeight="1">
      <c r="A12243" s="9" t="s">
        <v>24851</v>
      </c>
      <c r="B12243" s="9" t="s">
        <v>24851</v>
      </c>
      <c r="C12243" s="9" t="s">
        <v>17</v>
      </c>
      <c r="D12243" s="9" t="s">
        <v>55</v>
      </c>
      <c r="E12243" s="10" t="s">
        <v>883</v>
      </c>
      <c r="F12243" s="9" t="s">
        <v>3449</v>
      </c>
      <c r="G12243" s="10" t="s">
        <v>21</v>
      </c>
      <c r="H12243" s="9" t="s">
        <v>22</v>
      </c>
      <c r="I12243" s="9" t="s">
        <v>24922</v>
      </c>
      <c r="J12243" s="10" t="str">
        <f>HYPERLINK("https://www.boe.es/gazeta/dias/1834/11/16/pdfs/GMD-1834-275.pdf#page=3","Abrir facsímil")</f>
        <v>Abrir facsímil</v>
      </c>
      <c r="K12243" s="10" t="s">
        <v>24</v>
      </c>
    </row>
    <row r="12244" spans="1:11" ht="54" customHeight="1">
      <c r="A12244" s="9" t="s">
        <v>24851</v>
      </c>
      <c r="B12244" s="9" t="s">
        <v>24851</v>
      </c>
      <c r="C12244" s="9" t="s">
        <v>122</v>
      </c>
      <c r="D12244" s="9" t="s">
        <v>40</v>
      </c>
      <c r="E12244" s="10" t="s">
        <v>138</v>
      </c>
      <c r="F12244" s="9" t="s">
        <v>139</v>
      </c>
      <c r="G12244" s="10" t="s">
        <v>34</v>
      </c>
      <c r="H12244" s="9" t="s">
        <v>22</v>
      </c>
      <c r="I12244" s="9" t="s">
        <v>24923</v>
      </c>
      <c r="J12244" s="10" t="str">
        <f>HYPERLINK("https://www.boe.es/gazeta/dias/1834/05/17/pdfs/GMD-1834-86.pdf#page=1","Abrir facsímil")</f>
        <v>Abrir facsímil</v>
      </c>
      <c r="K12244" s="10" t="s">
        <v>24</v>
      </c>
    </row>
    <row r="12245" spans="1:11" ht="54" customHeight="1">
      <c r="A12245" s="9" t="s">
        <v>24851</v>
      </c>
      <c r="B12245" s="9" t="s">
        <v>24851</v>
      </c>
      <c r="C12245" s="9" t="s">
        <v>17</v>
      </c>
      <c r="D12245" s="9" t="s">
        <v>18</v>
      </c>
      <c r="E12245" s="10" t="s">
        <v>138</v>
      </c>
      <c r="F12245" s="9" t="s">
        <v>139</v>
      </c>
      <c r="G12245" s="10" t="s">
        <v>86</v>
      </c>
      <c r="H12245" s="9" t="s">
        <v>22</v>
      </c>
      <c r="I12245" s="9" t="s">
        <v>24924</v>
      </c>
      <c r="J12245" s="10" t="str">
        <f>HYPERLINK("https://www.boe.es/gazeta/dias/1834/05/17/pdfs/GMD-1834-86.pdf#page=2","Abrir facsímil")</f>
        <v>Abrir facsímil</v>
      </c>
      <c r="K12245" s="10" t="s">
        <v>24</v>
      </c>
    </row>
    <row r="12246" spans="1:11" ht="54" customHeight="1">
      <c r="A12246" s="9" t="s">
        <v>24851</v>
      </c>
      <c r="B12246" s="9" t="s">
        <v>24851</v>
      </c>
      <c r="C12246" s="9" t="s">
        <v>90</v>
      </c>
      <c r="D12246" s="9" t="s">
        <v>101</v>
      </c>
      <c r="E12246" s="10" t="s">
        <v>138</v>
      </c>
      <c r="F12246" s="9" t="s">
        <v>139</v>
      </c>
      <c r="G12246" s="10" t="s">
        <v>75</v>
      </c>
      <c r="H12246" s="9" t="s">
        <v>22</v>
      </c>
      <c r="I12246" s="9" t="s">
        <v>24925</v>
      </c>
      <c r="J12246" s="10" t="str">
        <f>HYPERLINK("https://www.boe.es/gazeta/dias/1834/05/17/pdfs/GMD-1834-86.pdf#page=4","Abrir facsímil")</f>
        <v>Abrir facsímil</v>
      </c>
      <c r="K12246" s="10" t="s">
        <v>24</v>
      </c>
    </row>
    <row r="12247" spans="1:11" ht="54" customHeight="1">
      <c r="A12247" s="9" t="s">
        <v>24851</v>
      </c>
      <c r="B12247" s="9" t="s">
        <v>24851</v>
      </c>
      <c r="C12247" s="9" t="s">
        <v>17</v>
      </c>
      <c r="D12247" s="9" t="s">
        <v>18</v>
      </c>
      <c r="E12247" s="10" t="s">
        <v>19</v>
      </c>
      <c r="F12247" s="9" t="s">
        <v>107</v>
      </c>
      <c r="G12247" s="10" t="s">
        <v>75</v>
      </c>
      <c r="H12247" s="9" t="s">
        <v>22</v>
      </c>
      <c r="I12247" s="9" t="s">
        <v>24926</v>
      </c>
      <c r="J12247" s="10" t="str">
        <f>HYPERLINK("https://www.boe.es/gazeta/dias/1834/08/17/pdfs/GMD-1834-182.pdf#page=4","Abrir facsímil")</f>
        <v>Abrir facsímil</v>
      </c>
      <c r="K12247" s="10" t="s">
        <v>24</v>
      </c>
    </row>
    <row r="12248" spans="1:11" ht="54" customHeight="1">
      <c r="A12248" s="9" t="s">
        <v>24851</v>
      </c>
      <c r="B12248" s="9" t="s">
        <v>24851</v>
      </c>
      <c r="C12248" s="9" t="s">
        <v>90</v>
      </c>
      <c r="D12248" s="9" t="s">
        <v>67</v>
      </c>
      <c r="E12248" s="10" t="s">
        <v>1850</v>
      </c>
      <c r="F12248" s="9" t="s">
        <v>1851</v>
      </c>
      <c r="G12248" s="10" t="s">
        <v>75</v>
      </c>
      <c r="H12248" s="9" t="s">
        <v>22</v>
      </c>
      <c r="I12248" s="9" t="s">
        <v>24927</v>
      </c>
      <c r="J12248" s="10" t="str">
        <f>HYPERLINK("https://www.boe.es/gazeta/dias/1834/02/18/pdfs/GMD-1834-22.pdf#page=4","Abrir facsímil")</f>
        <v>Abrir facsímil</v>
      </c>
      <c r="K12248" s="10" t="s">
        <v>24</v>
      </c>
    </row>
    <row r="12249" spans="1:11" ht="54" customHeight="1">
      <c r="A12249" s="9" t="s">
        <v>24851</v>
      </c>
      <c r="B12249" s="9" t="s">
        <v>24851</v>
      </c>
      <c r="C12249" s="9" t="s">
        <v>17</v>
      </c>
      <c r="D12249" s="9" t="s">
        <v>55</v>
      </c>
      <c r="E12249" s="10" t="s">
        <v>1517</v>
      </c>
      <c r="F12249" s="9" t="s">
        <v>1518</v>
      </c>
      <c r="G12249" s="10" t="s">
        <v>21</v>
      </c>
      <c r="H12249" s="9" t="s">
        <v>22</v>
      </c>
      <c r="I12249" s="9" t="s">
        <v>24928</v>
      </c>
      <c r="J12249" s="10" t="str">
        <f>HYPERLINK("https://www.boe.es/gazeta/dias/1834/05/18/pdfs/GMD-1834-87.pdf#page=3","Abrir facsímil")</f>
        <v>Abrir facsímil</v>
      </c>
      <c r="K12249" s="10" t="s">
        <v>24</v>
      </c>
    </row>
    <row r="12250" spans="1:11" ht="54" customHeight="1">
      <c r="A12250" s="9" t="s">
        <v>24851</v>
      </c>
      <c r="B12250" s="9" t="s">
        <v>24851</v>
      </c>
      <c r="C12250" s="9" t="s">
        <v>17</v>
      </c>
      <c r="D12250" s="9" t="s">
        <v>18</v>
      </c>
      <c r="E12250" s="10" t="s">
        <v>133</v>
      </c>
      <c r="F12250" s="9" t="s">
        <v>134</v>
      </c>
      <c r="G12250" s="10" t="s">
        <v>86</v>
      </c>
      <c r="H12250" s="9" t="s">
        <v>22</v>
      </c>
      <c r="I12250" s="9" t="s">
        <v>24929</v>
      </c>
      <c r="J12250" s="10" t="str">
        <f>HYPERLINK("https://www.boe.es/gazeta/dias/1834/06/18/pdfs/GMD-1834-121.pdf#page=2","Abrir facsímil")</f>
        <v>Abrir facsímil</v>
      </c>
      <c r="K12250" s="10" t="s">
        <v>24</v>
      </c>
    </row>
    <row r="12251" spans="1:11" ht="54" customHeight="1">
      <c r="A12251" s="9" t="s">
        <v>24851</v>
      </c>
      <c r="B12251" s="9" t="s">
        <v>24851</v>
      </c>
      <c r="C12251" s="9" t="s">
        <v>66</v>
      </c>
      <c r="D12251" s="9" t="s">
        <v>67</v>
      </c>
      <c r="E12251" s="10" t="s">
        <v>133</v>
      </c>
      <c r="F12251" s="9" t="s">
        <v>134</v>
      </c>
      <c r="G12251" s="10" t="s">
        <v>21</v>
      </c>
      <c r="H12251" s="9" t="s">
        <v>22</v>
      </c>
      <c r="I12251" s="9" t="s">
        <v>24930</v>
      </c>
      <c r="J12251" s="10" t="str">
        <f>HYPERLINK("https://www.boe.es/gazeta/dias/1834/06/18/pdfs/GMD-1834-121.pdf#page=3","Abrir facsímil")</f>
        <v>Abrir facsímil</v>
      </c>
      <c r="K12251" s="10" t="s">
        <v>24</v>
      </c>
    </row>
    <row r="12252" spans="1:11" ht="54" customHeight="1">
      <c r="A12252" s="9" t="s">
        <v>24851</v>
      </c>
      <c r="B12252" s="9" t="s">
        <v>24851</v>
      </c>
      <c r="C12252" s="9" t="s">
        <v>17</v>
      </c>
      <c r="D12252" s="9" t="s">
        <v>55</v>
      </c>
      <c r="E12252" s="10" t="s">
        <v>3036</v>
      </c>
      <c r="F12252" s="9" t="s">
        <v>3372</v>
      </c>
      <c r="G12252" s="10" t="s">
        <v>21</v>
      </c>
      <c r="H12252" s="9" t="s">
        <v>22</v>
      </c>
      <c r="I12252" s="9" t="s">
        <v>24931</v>
      </c>
      <c r="J12252" s="10" t="str">
        <f>HYPERLINK("https://www.boe.es/gazeta/dias/1834/11/18/pdfs/GMD-1834-277.pdf#page=3","Abrir facsímil")</f>
        <v>Abrir facsímil</v>
      </c>
      <c r="K12252" s="10" t="s">
        <v>24</v>
      </c>
    </row>
    <row r="12253" spans="1:11" ht="54" customHeight="1">
      <c r="A12253" s="9" t="s">
        <v>24851</v>
      </c>
      <c r="B12253" s="9" t="s">
        <v>24851</v>
      </c>
      <c r="C12253" s="9" t="s">
        <v>17</v>
      </c>
      <c r="D12253" s="9" t="s">
        <v>55</v>
      </c>
      <c r="E12253" s="10" t="s">
        <v>672</v>
      </c>
      <c r="F12253" s="9" t="s">
        <v>1055</v>
      </c>
      <c r="G12253" s="10" t="s">
        <v>176</v>
      </c>
      <c r="H12253" s="9" t="s">
        <v>22</v>
      </c>
      <c r="I12253" s="9" t="s">
        <v>24932</v>
      </c>
      <c r="J12253" s="10" t="str">
        <f>HYPERLINK("https://www.boe.es/gazeta/dias/1834/09/19/pdfs/GMD-C-1834-217.pdf#page=6","Abrir facsímil")</f>
        <v>Abrir facsímil</v>
      </c>
      <c r="K12253" s="10" t="s">
        <v>24</v>
      </c>
    </row>
    <row r="12254" spans="1:11" ht="54" customHeight="1">
      <c r="A12254" s="9" t="s">
        <v>24851</v>
      </c>
      <c r="B12254" s="9" t="s">
        <v>24851</v>
      </c>
      <c r="C12254" s="9" t="s">
        <v>46</v>
      </c>
      <c r="D12254" s="9" t="s">
        <v>18</v>
      </c>
      <c r="E12254" s="10" t="s">
        <v>265</v>
      </c>
      <c r="F12254" s="9" t="s">
        <v>969</v>
      </c>
      <c r="G12254" s="10" t="s">
        <v>86</v>
      </c>
      <c r="H12254" s="9" t="s">
        <v>22</v>
      </c>
      <c r="I12254" s="9" t="s">
        <v>24933</v>
      </c>
      <c r="J12254" s="10" t="str">
        <f>HYPERLINK("https://www.boe.es/gazeta/dias/1834/11/19/pdfs/GMD-1834-278.pdf#page=2","Abrir facsímil")</f>
        <v>Abrir facsímil</v>
      </c>
      <c r="K12254" s="10" t="s">
        <v>24</v>
      </c>
    </row>
    <row r="12255" spans="1:11" ht="54" customHeight="1">
      <c r="A12255" s="9" t="s">
        <v>24851</v>
      </c>
      <c r="B12255" s="9" t="s">
        <v>24851</v>
      </c>
      <c r="C12255" s="9" t="s">
        <v>17</v>
      </c>
      <c r="D12255" s="9" t="s">
        <v>55</v>
      </c>
      <c r="E12255" s="10" t="s">
        <v>268</v>
      </c>
      <c r="F12255" s="9" t="s">
        <v>269</v>
      </c>
      <c r="G12255" s="10" t="s">
        <v>28</v>
      </c>
      <c r="H12255" s="9" t="s">
        <v>22</v>
      </c>
      <c r="I12255" s="9" t="s">
        <v>24934</v>
      </c>
      <c r="J12255" s="10" t="str">
        <f>HYPERLINK("https://www.boe.es/gazeta/dias/1834/12/19/pdfs/GMD-C-1834-309.pdf#page=5","Abrir facsímil")</f>
        <v>Abrir facsímil</v>
      </c>
      <c r="K12255" s="10" t="s">
        <v>24</v>
      </c>
    </row>
    <row r="12256" spans="1:11" ht="54" customHeight="1">
      <c r="A12256" s="9" t="s">
        <v>24851</v>
      </c>
      <c r="B12256" s="9" t="s">
        <v>24851</v>
      </c>
      <c r="C12256" s="9" t="s">
        <v>66</v>
      </c>
      <c r="D12256" s="9" t="s">
        <v>67</v>
      </c>
      <c r="E12256" s="10" t="s">
        <v>217</v>
      </c>
      <c r="F12256" s="9" t="s">
        <v>218</v>
      </c>
      <c r="G12256" s="10" t="s">
        <v>21</v>
      </c>
      <c r="H12256" s="9" t="s">
        <v>22</v>
      </c>
      <c r="I12256" s="9" t="s">
        <v>24935</v>
      </c>
      <c r="J12256" s="10" t="str">
        <f>HYPERLINK("https://www.boe.es/gazeta/dias/1834/04/20/pdfs/GMD-1834-59.pdf#page=3","Abrir facsímil")</f>
        <v>Abrir facsímil</v>
      </c>
      <c r="K12256" s="10" t="s">
        <v>24</v>
      </c>
    </row>
    <row r="12257" spans="1:11" ht="54" customHeight="1">
      <c r="A12257" s="9" t="s">
        <v>24851</v>
      </c>
      <c r="B12257" s="9" t="s">
        <v>24851</v>
      </c>
      <c r="C12257" s="9" t="s">
        <v>17</v>
      </c>
      <c r="D12257" s="9" t="s">
        <v>55</v>
      </c>
      <c r="E12257" s="10" t="s">
        <v>1365</v>
      </c>
      <c r="F12257" s="9" t="s">
        <v>1366</v>
      </c>
      <c r="G12257" s="10" t="s">
        <v>86</v>
      </c>
      <c r="H12257" s="9" t="s">
        <v>22</v>
      </c>
      <c r="I12257" s="9" t="s">
        <v>24936</v>
      </c>
      <c r="J12257" s="10" t="str">
        <f>HYPERLINK("https://www.boe.es/gazeta/dias/1834/06/20/pdfs/GMD-1834-123.pdf#page=2","Abrir facsímil")</f>
        <v>Abrir facsímil</v>
      </c>
      <c r="K12257" s="10" t="s">
        <v>24</v>
      </c>
    </row>
    <row r="12258" spans="1:11" ht="54" customHeight="1">
      <c r="A12258" s="9" t="s">
        <v>24851</v>
      </c>
      <c r="B12258" s="9" t="s">
        <v>24851</v>
      </c>
      <c r="C12258" s="9" t="s">
        <v>17</v>
      </c>
      <c r="D12258" s="9" t="s">
        <v>18</v>
      </c>
      <c r="E12258" s="10" t="s">
        <v>1973</v>
      </c>
      <c r="F12258" s="9" t="s">
        <v>1974</v>
      </c>
      <c r="G12258" s="10" t="s">
        <v>560</v>
      </c>
      <c r="H12258" s="9" t="s">
        <v>22</v>
      </c>
      <c r="I12258" s="9" t="s">
        <v>24937</v>
      </c>
      <c r="J12258" s="10" t="str">
        <f>HYPERLINK("https://www.boe.es/gazeta/dias/1834/12/20/pdfs/GMD-C-1834-310.pdf#page=7","Abrir facsímil")</f>
        <v>Abrir facsímil</v>
      </c>
      <c r="K12258" s="10" t="s">
        <v>24</v>
      </c>
    </row>
    <row r="12259" spans="1:11" ht="54" customHeight="1">
      <c r="A12259" s="9" t="s">
        <v>24851</v>
      </c>
      <c r="B12259" s="9" t="s">
        <v>24851</v>
      </c>
      <c r="C12259" s="9" t="s">
        <v>90</v>
      </c>
      <c r="D12259" s="9" t="s">
        <v>18</v>
      </c>
      <c r="E12259" s="10" t="s">
        <v>304</v>
      </c>
      <c r="F12259" s="9" t="s">
        <v>305</v>
      </c>
      <c r="G12259" s="10" t="s">
        <v>176</v>
      </c>
      <c r="H12259" s="9" t="s">
        <v>22</v>
      </c>
      <c r="I12259" s="9" t="s">
        <v>24938</v>
      </c>
      <c r="J12259" s="10" t="str">
        <f>HYPERLINK("https://www.boe.es/gazeta/dias/1834/01/21/pdfs/GMD-1834-10.pdf#page=6","Abrir facsímil")</f>
        <v>Abrir facsímil</v>
      </c>
      <c r="K12259" s="10" t="s">
        <v>24</v>
      </c>
    </row>
    <row r="12260" spans="1:11" ht="54" customHeight="1">
      <c r="A12260" s="9" t="s">
        <v>24851</v>
      </c>
      <c r="B12260" s="9" t="s">
        <v>24851</v>
      </c>
      <c r="C12260" s="9" t="s">
        <v>17</v>
      </c>
      <c r="D12260" s="9" t="s">
        <v>18</v>
      </c>
      <c r="E12260" s="10" t="s">
        <v>535</v>
      </c>
      <c r="F12260" s="9" t="s">
        <v>536</v>
      </c>
      <c r="G12260" s="10" t="s">
        <v>21</v>
      </c>
      <c r="H12260" s="9" t="s">
        <v>22</v>
      </c>
      <c r="I12260" s="9" t="s">
        <v>24939</v>
      </c>
      <c r="J12260" s="10" t="str">
        <f>HYPERLINK("https://www.boe.es/gazeta/dias/1834/05/21/pdfs/GMD-1834-90.pdf#page=3","Abrir facsímil")</f>
        <v>Abrir facsímil</v>
      </c>
      <c r="K12260" s="10" t="s">
        <v>24</v>
      </c>
    </row>
    <row r="12261" spans="1:11" ht="54" customHeight="1">
      <c r="A12261" s="9" t="s">
        <v>24851</v>
      </c>
      <c r="B12261" s="9" t="s">
        <v>24851</v>
      </c>
      <c r="C12261" s="9" t="s">
        <v>46</v>
      </c>
      <c r="D12261" s="9" t="s">
        <v>18</v>
      </c>
      <c r="E12261" s="10" t="s">
        <v>981</v>
      </c>
      <c r="F12261" s="9" t="s">
        <v>982</v>
      </c>
      <c r="G12261" s="10" t="s">
        <v>34</v>
      </c>
      <c r="H12261" s="9" t="s">
        <v>22</v>
      </c>
      <c r="I12261" s="9" t="s">
        <v>24940</v>
      </c>
      <c r="J12261" s="10" t="str">
        <f>HYPERLINK("https://www.boe.es/gazeta/dias/1834/09/21/pdfs/GMD-1834-219.pdf#page=1","Abrir facsímil")</f>
        <v>Abrir facsímil</v>
      </c>
      <c r="K12261" s="10" t="s">
        <v>24</v>
      </c>
    </row>
    <row r="12262" spans="1:11" ht="54" customHeight="1">
      <c r="A12262" s="9" t="s">
        <v>24851</v>
      </c>
      <c r="B12262" s="9" t="s">
        <v>24851</v>
      </c>
      <c r="C12262" s="9" t="s">
        <v>17</v>
      </c>
      <c r="D12262" s="9" t="s">
        <v>18</v>
      </c>
      <c r="E12262" s="10" t="s">
        <v>981</v>
      </c>
      <c r="F12262" s="9" t="s">
        <v>982</v>
      </c>
      <c r="G12262" s="10" t="s">
        <v>86</v>
      </c>
      <c r="H12262" s="9" t="s">
        <v>22</v>
      </c>
      <c r="I12262" s="9" t="s">
        <v>24941</v>
      </c>
      <c r="J12262" s="10" t="str">
        <f>HYPERLINK("https://www.boe.es/gazeta/dias/1834/09/21/pdfs/GMD-1834-219.pdf#page=2","Abrir facsímil")</f>
        <v>Abrir facsímil</v>
      </c>
      <c r="K12262" s="10" t="s">
        <v>24</v>
      </c>
    </row>
    <row r="12263" spans="1:11" ht="54" customHeight="1">
      <c r="A12263" s="9" t="s">
        <v>24851</v>
      </c>
      <c r="B12263" s="9" t="s">
        <v>24851</v>
      </c>
      <c r="C12263" s="9" t="s">
        <v>66</v>
      </c>
      <c r="D12263" s="9" t="s">
        <v>67</v>
      </c>
      <c r="E12263" s="10" t="s">
        <v>1918</v>
      </c>
      <c r="F12263" s="9" t="s">
        <v>1919</v>
      </c>
      <c r="G12263" s="10" t="s">
        <v>21</v>
      </c>
      <c r="H12263" s="9" t="s">
        <v>22</v>
      </c>
      <c r="I12263" s="9" t="s">
        <v>24942</v>
      </c>
      <c r="J12263" s="10" t="str">
        <f>HYPERLINK("https://www.boe.es/gazeta/dias/1834/03/22/pdfs/GMD-1834-36.pdf#page=3","Abrir facsímil")</f>
        <v>Abrir facsímil</v>
      </c>
      <c r="K12263" s="10" t="s">
        <v>24</v>
      </c>
    </row>
    <row r="12264" spans="1:11" ht="54" customHeight="1">
      <c r="A12264" s="9" t="s">
        <v>24851</v>
      </c>
      <c r="B12264" s="9" t="s">
        <v>24851</v>
      </c>
      <c r="C12264" s="9" t="s">
        <v>66</v>
      </c>
      <c r="D12264" s="9" t="s">
        <v>67</v>
      </c>
      <c r="E12264" s="10" t="s">
        <v>8279</v>
      </c>
      <c r="F12264" s="9" t="s">
        <v>8280</v>
      </c>
      <c r="G12264" s="10" t="s">
        <v>21</v>
      </c>
      <c r="H12264" s="9" t="s">
        <v>22</v>
      </c>
      <c r="I12264" s="9" t="s">
        <v>24943</v>
      </c>
      <c r="J12264" s="10" t="str">
        <f>HYPERLINK("https://www.boe.es/gazeta/dias/1834/04/22/pdfs/GMD-1834-61.pdf#page=3","Abrir facsímil")</f>
        <v>Abrir facsímil</v>
      </c>
      <c r="K12264" s="10" t="s">
        <v>24</v>
      </c>
    </row>
    <row r="12265" spans="1:11" ht="54" customHeight="1">
      <c r="A12265" s="9" t="s">
        <v>24851</v>
      </c>
      <c r="B12265" s="9" t="s">
        <v>24851</v>
      </c>
      <c r="C12265" s="9" t="s">
        <v>17</v>
      </c>
      <c r="D12265" s="9" t="s">
        <v>18</v>
      </c>
      <c r="E12265" s="10" t="s">
        <v>3488</v>
      </c>
      <c r="F12265" s="9" t="s">
        <v>3489</v>
      </c>
      <c r="G12265" s="10" t="s">
        <v>21</v>
      </c>
      <c r="H12265" s="9" t="s">
        <v>22</v>
      </c>
      <c r="I12265" s="9" t="s">
        <v>24944</v>
      </c>
      <c r="J12265" s="10" t="str">
        <f>HYPERLINK("https://www.boe.es/gazeta/dias/1834/06/22/pdfs/GMD-1834-125.pdf#page=3","Abrir facsímil")</f>
        <v>Abrir facsímil</v>
      </c>
      <c r="K12265" s="10" t="s">
        <v>24</v>
      </c>
    </row>
    <row r="12266" spans="1:11" ht="54" customHeight="1">
      <c r="A12266" s="9" t="s">
        <v>24851</v>
      </c>
      <c r="B12266" s="9" t="s">
        <v>24851</v>
      </c>
      <c r="C12266" s="9" t="s">
        <v>17</v>
      </c>
      <c r="D12266" s="9" t="s">
        <v>18</v>
      </c>
      <c r="E12266" s="10" t="s">
        <v>4064</v>
      </c>
      <c r="F12266" s="9" t="s">
        <v>4065</v>
      </c>
      <c r="G12266" s="10" t="s">
        <v>21</v>
      </c>
      <c r="H12266" s="9" t="s">
        <v>22</v>
      </c>
      <c r="I12266" s="9" t="s">
        <v>24945</v>
      </c>
      <c r="J12266" s="10" t="str">
        <f>HYPERLINK("https://www.boe.es/gazeta/dias/1834/07/22/pdfs/GMD-1834-155.pdf#page=3","Abrir facsímil")</f>
        <v>Abrir facsímil</v>
      </c>
      <c r="K12266" s="10" t="s">
        <v>24</v>
      </c>
    </row>
    <row r="12267" spans="1:11" ht="54" customHeight="1">
      <c r="A12267" s="9" t="s">
        <v>24851</v>
      </c>
      <c r="B12267" s="9" t="s">
        <v>24851</v>
      </c>
      <c r="C12267" s="9" t="s">
        <v>17</v>
      </c>
      <c r="D12267" s="9" t="s">
        <v>18</v>
      </c>
      <c r="E12267" s="10" t="s">
        <v>2596</v>
      </c>
      <c r="F12267" s="9" t="s">
        <v>5480</v>
      </c>
      <c r="G12267" s="10" t="s">
        <v>34</v>
      </c>
      <c r="H12267" s="9" t="s">
        <v>22</v>
      </c>
      <c r="I12267" s="9" t="s">
        <v>24946</v>
      </c>
      <c r="J12267" s="10" t="str">
        <f>HYPERLINK("https://www.boe.es/gazeta/dias/1834/10/22/pdfs/GMD-C-1834-250.pdf#page=1","Abrir facsímil")</f>
        <v>Abrir facsímil</v>
      </c>
      <c r="K12267" s="10" t="s">
        <v>24</v>
      </c>
    </row>
    <row r="12268" spans="1:11" ht="54" customHeight="1">
      <c r="A12268" s="9" t="s">
        <v>24851</v>
      </c>
      <c r="B12268" s="9" t="s">
        <v>24851</v>
      </c>
      <c r="C12268" s="9" t="s">
        <v>17</v>
      </c>
      <c r="D12268" s="9" t="s">
        <v>55</v>
      </c>
      <c r="E12268" s="10" t="s">
        <v>2888</v>
      </c>
      <c r="F12268" s="9" t="s">
        <v>2889</v>
      </c>
      <c r="G12268" s="10" t="s">
        <v>21</v>
      </c>
      <c r="H12268" s="9" t="s">
        <v>22</v>
      </c>
      <c r="I12268" s="9" t="s">
        <v>24947</v>
      </c>
      <c r="J12268" s="10" t="str">
        <f>HYPERLINK("https://www.boe.es/gazeta/dias/1834/12/22/pdfs/GMD-1834-312.pdf#page=3","Abrir facsímil")</f>
        <v>Abrir facsímil</v>
      </c>
      <c r="K12268" s="10" t="s">
        <v>24</v>
      </c>
    </row>
    <row r="12269" spans="1:11" ht="54" customHeight="1">
      <c r="A12269" s="9" t="s">
        <v>24851</v>
      </c>
      <c r="B12269" s="9" t="s">
        <v>24851</v>
      </c>
      <c r="C12269" s="9" t="s">
        <v>66</v>
      </c>
      <c r="D12269" s="9" t="s">
        <v>67</v>
      </c>
      <c r="E12269" s="10" t="s">
        <v>5885</v>
      </c>
      <c r="F12269" s="9" t="s">
        <v>5886</v>
      </c>
      <c r="G12269" s="10" t="s">
        <v>34</v>
      </c>
      <c r="H12269" s="9" t="s">
        <v>22</v>
      </c>
      <c r="I12269" s="9" t="s">
        <v>24948</v>
      </c>
      <c r="J12269" s="10" t="str">
        <f>HYPERLINK("https://www.boe.es/gazeta/dias/1834/05/23/pdfs/GMD-1834-92.pdf#page=1","Abrir facsímil")</f>
        <v>Abrir facsímil</v>
      </c>
      <c r="K12269" s="10" t="s">
        <v>24</v>
      </c>
    </row>
    <row r="12270" spans="1:11" ht="54" customHeight="1">
      <c r="A12270" s="9" t="s">
        <v>24851</v>
      </c>
      <c r="B12270" s="9" t="s">
        <v>24851</v>
      </c>
      <c r="C12270" s="9" t="s">
        <v>17</v>
      </c>
      <c r="D12270" s="9" t="s">
        <v>55</v>
      </c>
      <c r="E12270" s="10" t="s">
        <v>606</v>
      </c>
      <c r="F12270" s="9" t="s">
        <v>607</v>
      </c>
      <c r="G12270" s="10" t="s">
        <v>86</v>
      </c>
      <c r="H12270" s="9" t="s">
        <v>22</v>
      </c>
      <c r="I12270" s="9" t="s">
        <v>24949</v>
      </c>
      <c r="J12270" s="10" t="str">
        <f>HYPERLINK("https://www.boe.es/gazeta/dias/1834/06/23/pdfs/GMD-1834-126.pdf#page=2","Abrir facsímil")</f>
        <v>Abrir facsímil</v>
      </c>
      <c r="K12270" s="10" t="s">
        <v>24</v>
      </c>
    </row>
    <row r="12271" spans="1:11" ht="54" customHeight="1">
      <c r="A12271" s="9" t="s">
        <v>24851</v>
      </c>
      <c r="B12271" s="9" t="s">
        <v>24851</v>
      </c>
      <c r="C12271" s="9" t="s">
        <v>17</v>
      </c>
      <c r="D12271" s="9" t="s">
        <v>18</v>
      </c>
      <c r="E12271" s="10" t="s">
        <v>576</v>
      </c>
      <c r="F12271" s="9" t="s">
        <v>577</v>
      </c>
      <c r="G12271" s="10" t="s">
        <v>86</v>
      </c>
      <c r="H12271" s="9" t="s">
        <v>22</v>
      </c>
      <c r="I12271" s="9" t="s">
        <v>24950</v>
      </c>
      <c r="J12271" s="10" t="str">
        <f>HYPERLINK("https://www.boe.es/gazeta/dias/1834/09/23/pdfs/GMD-1834-221.pdf#page=2","Abrir facsímil")</f>
        <v>Abrir facsímil</v>
      </c>
      <c r="K12271" s="10" t="s">
        <v>24</v>
      </c>
    </row>
    <row r="12272" spans="1:11" ht="54" customHeight="1">
      <c r="A12272" s="9" t="s">
        <v>24851</v>
      </c>
      <c r="B12272" s="9" t="s">
        <v>24851</v>
      </c>
      <c r="C12272" s="9" t="s">
        <v>122</v>
      </c>
      <c r="D12272" s="9" t="s">
        <v>55</v>
      </c>
      <c r="E12272" s="10" t="s">
        <v>394</v>
      </c>
      <c r="F12272" s="9" t="s">
        <v>395</v>
      </c>
      <c r="G12272" s="10" t="s">
        <v>21</v>
      </c>
      <c r="H12272" s="9" t="s">
        <v>22</v>
      </c>
      <c r="I12272" s="9" t="s">
        <v>24951</v>
      </c>
      <c r="J12272" s="10" t="str">
        <f>HYPERLINK("https://www.boe.es/gazeta/dias/1834/12/23/pdfs/GMD-1834-313.pdf#page=3","Abrir facsímil")</f>
        <v>Abrir facsímil</v>
      </c>
      <c r="K12272" s="10" t="s">
        <v>24</v>
      </c>
    </row>
    <row r="12273" spans="1:11" ht="54" customHeight="1">
      <c r="A12273" s="9" t="s">
        <v>24851</v>
      </c>
      <c r="B12273" s="9" t="s">
        <v>24851</v>
      </c>
      <c r="C12273" s="9" t="s">
        <v>17</v>
      </c>
      <c r="D12273" s="9" t="s">
        <v>18</v>
      </c>
      <c r="E12273" s="10" t="s">
        <v>1212</v>
      </c>
      <c r="F12273" s="9" t="s">
        <v>1213</v>
      </c>
      <c r="G12273" s="10" t="s">
        <v>86</v>
      </c>
      <c r="H12273" s="9" t="s">
        <v>22</v>
      </c>
      <c r="I12273" s="9" t="s">
        <v>24952</v>
      </c>
      <c r="J12273" s="10" t="str">
        <f>HYPERLINK("https://www.boe.es/gazeta/dias/1834/05/24/pdfs/GMD-1834-93.pdf#page=2","Abrir facsímil")</f>
        <v>Abrir facsímil</v>
      </c>
      <c r="K12273" s="10" t="s">
        <v>24</v>
      </c>
    </row>
    <row r="12274" spans="1:11" ht="54" customHeight="1">
      <c r="A12274" s="9" t="s">
        <v>24851</v>
      </c>
      <c r="B12274" s="9" t="s">
        <v>24851</v>
      </c>
      <c r="C12274" s="9" t="s">
        <v>66</v>
      </c>
      <c r="D12274" s="9" t="s">
        <v>101</v>
      </c>
      <c r="E12274" s="10" t="s">
        <v>919</v>
      </c>
      <c r="F12274" s="9" t="s">
        <v>920</v>
      </c>
      <c r="G12274" s="10" t="s">
        <v>75</v>
      </c>
      <c r="H12274" s="9" t="s">
        <v>22</v>
      </c>
      <c r="I12274" s="9" t="s">
        <v>24953</v>
      </c>
      <c r="J12274" s="10" t="str">
        <f>HYPERLINK("https://www.boe.es/gazeta/dias/1834/06/24/pdfs/GMD-1834-127.pdf#page=4","Abrir facsímil")</f>
        <v>Abrir facsímil</v>
      </c>
      <c r="K12274" s="10" t="s">
        <v>24</v>
      </c>
    </row>
    <row r="12275" spans="1:11" ht="54" customHeight="1">
      <c r="A12275" s="9" t="s">
        <v>24851</v>
      </c>
      <c r="B12275" s="9" t="s">
        <v>24851</v>
      </c>
      <c r="C12275" s="9" t="s">
        <v>17</v>
      </c>
      <c r="D12275" s="9" t="s">
        <v>18</v>
      </c>
      <c r="E12275" s="10" t="s">
        <v>633</v>
      </c>
      <c r="F12275" s="9" t="s">
        <v>634</v>
      </c>
      <c r="G12275" s="10" t="s">
        <v>21</v>
      </c>
      <c r="H12275" s="9" t="s">
        <v>22</v>
      </c>
      <c r="I12275" s="9" t="s">
        <v>24954</v>
      </c>
      <c r="J12275" s="10" t="str">
        <f>HYPERLINK("https://www.boe.es/gazeta/dias/1834/10/24/pdfs/GMD-1834-252.pdf#page=3","Abrir facsímil")</f>
        <v>Abrir facsímil</v>
      </c>
      <c r="K12275" s="10" t="s">
        <v>24</v>
      </c>
    </row>
    <row r="12276" spans="1:11" ht="54" customHeight="1">
      <c r="A12276" s="9" t="s">
        <v>24851</v>
      </c>
      <c r="B12276" s="9" t="s">
        <v>24851</v>
      </c>
      <c r="C12276" s="9" t="s">
        <v>122</v>
      </c>
      <c r="D12276" s="9" t="s">
        <v>55</v>
      </c>
      <c r="E12276" s="10" t="s">
        <v>1922</v>
      </c>
      <c r="F12276" s="9" t="s">
        <v>1923</v>
      </c>
      <c r="G12276" s="10" t="s">
        <v>86</v>
      </c>
      <c r="H12276" s="9" t="s">
        <v>22</v>
      </c>
      <c r="I12276" s="9" t="s">
        <v>24955</v>
      </c>
      <c r="J12276" s="10" t="str">
        <f>HYPERLINK("https://www.boe.es/gazeta/dias/1834/02/25/pdfs/GMD-1834-25.pdf#page=2","Abrir facsímil")</f>
        <v>Abrir facsímil</v>
      </c>
      <c r="K12276" s="10" t="s">
        <v>24</v>
      </c>
    </row>
    <row r="12277" spans="1:11" ht="54" customHeight="1">
      <c r="A12277" s="9" t="s">
        <v>24851</v>
      </c>
      <c r="B12277" s="9" t="s">
        <v>24851</v>
      </c>
      <c r="C12277" s="9" t="s">
        <v>66</v>
      </c>
      <c r="D12277" s="9" t="s">
        <v>67</v>
      </c>
      <c r="E12277" s="10" t="s">
        <v>724</v>
      </c>
      <c r="F12277" s="9" t="s">
        <v>725</v>
      </c>
      <c r="G12277" s="10" t="s">
        <v>75</v>
      </c>
      <c r="H12277" s="9" t="s">
        <v>22</v>
      </c>
      <c r="I12277" s="9" t="s">
        <v>24956</v>
      </c>
      <c r="J12277" s="10" t="str">
        <f>HYPERLINK("https://www.boe.es/gazeta/dias/1834/04/25/pdfs/GMD-1834-64.pdf#page=4","Abrir facsímil")</f>
        <v>Abrir facsímil</v>
      </c>
      <c r="K12277" s="10" t="s">
        <v>24</v>
      </c>
    </row>
    <row r="12278" spans="1:11" ht="54" customHeight="1">
      <c r="A12278" s="9" t="s">
        <v>24851</v>
      </c>
      <c r="B12278" s="9" t="s">
        <v>24851</v>
      </c>
      <c r="C12278" s="9" t="s">
        <v>122</v>
      </c>
      <c r="D12278" s="9" t="s">
        <v>18</v>
      </c>
      <c r="E12278" s="10" t="s">
        <v>3025</v>
      </c>
      <c r="F12278" s="9" t="s">
        <v>3026</v>
      </c>
      <c r="G12278" s="10" t="s">
        <v>176</v>
      </c>
      <c r="H12278" s="9" t="s">
        <v>22</v>
      </c>
      <c r="I12278" s="9" t="s">
        <v>24957</v>
      </c>
      <c r="J12278" s="10" t="str">
        <f>HYPERLINK("https://www.boe.es/gazeta/dias/1834/05/25/pdfs/GMD-1834-94.pdf#page=6","Abrir facsímil")</f>
        <v>Abrir facsímil</v>
      </c>
      <c r="K12278" s="10" t="s">
        <v>24</v>
      </c>
    </row>
    <row r="12279" spans="1:11" ht="54" customHeight="1">
      <c r="A12279" s="9" t="s">
        <v>24851</v>
      </c>
      <c r="B12279" s="9" t="s">
        <v>24851</v>
      </c>
      <c r="C12279" s="9" t="s">
        <v>17</v>
      </c>
      <c r="D12279" s="9" t="s">
        <v>18</v>
      </c>
      <c r="E12279" s="10" t="s">
        <v>2937</v>
      </c>
      <c r="F12279" s="9" t="s">
        <v>2938</v>
      </c>
      <c r="G12279" s="10" t="s">
        <v>21</v>
      </c>
      <c r="H12279" s="9" t="s">
        <v>22</v>
      </c>
      <c r="I12279" s="9" t="s">
        <v>24958</v>
      </c>
      <c r="J12279" s="10" t="str">
        <f>HYPERLINK("https://www.boe.es/gazeta/dias/1834/06/25/pdfs/GMD-1834-128.pdf#page=3","Abrir facsímil")</f>
        <v>Abrir facsímil</v>
      </c>
      <c r="K12279" s="10" t="s">
        <v>24</v>
      </c>
    </row>
    <row r="12280" spans="1:11" ht="54" customHeight="1">
      <c r="A12280" s="9" t="s">
        <v>24851</v>
      </c>
      <c r="B12280" s="9" t="s">
        <v>24851</v>
      </c>
      <c r="C12280" s="9" t="s">
        <v>17</v>
      </c>
      <c r="D12280" s="9" t="s">
        <v>18</v>
      </c>
      <c r="E12280" s="10" t="s">
        <v>389</v>
      </c>
      <c r="F12280" s="9" t="s">
        <v>390</v>
      </c>
      <c r="G12280" s="10" t="s">
        <v>86</v>
      </c>
      <c r="H12280" s="9" t="s">
        <v>22</v>
      </c>
      <c r="I12280" s="9" t="s">
        <v>24959</v>
      </c>
      <c r="J12280" s="10" t="str">
        <f>HYPERLINK("https://www.boe.es/gazeta/dias/1834/10/25/pdfs/GMD-1834-253.pdf#page=2","Abrir facsímil")</f>
        <v>Abrir facsímil</v>
      </c>
      <c r="K12280" s="10" t="s">
        <v>24</v>
      </c>
    </row>
    <row r="12281" spans="1:11" ht="54" customHeight="1">
      <c r="A12281" s="9" t="s">
        <v>24851</v>
      </c>
      <c r="B12281" s="9" t="s">
        <v>24851</v>
      </c>
      <c r="C12281" s="9" t="s">
        <v>17</v>
      </c>
      <c r="D12281" s="9" t="s">
        <v>18</v>
      </c>
      <c r="E12281" s="10" t="s">
        <v>389</v>
      </c>
      <c r="F12281" s="9" t="s">
        <v>390</v>
      </c>
      <c r="G12281" s="10" t="s">
        <v>21</v>
      </c>
      <c r="H12281" s="9" t="s">
        <v>22</v>
      </c>
      <c r="I12281" s="9" t="s">
        <v>24960</v>
      </c>
      <c r="J12281" s="10" t="str">
        <f>HYPERLINK("https://www.boe.es/gazeta/dias/1834/10/25/pdfs/GMD-1834-253.pdf#page=3","Abrir facsímil")</f>
        <v>Abrir facsímil</v>
      </c>
      <c r="K12281" s="10" t="s">
        <v>24</v>
      </c>
    </row>
    <row r="12282" spans="1:11" ht="54" customHeight="1">
      <c r="A12282" s="9" t="s">
        <v>24851</v>
      </c>
      <c r="B12282" s="9" t="s">
        <v>24851</v>
      </c>
      <c r="C12282" s="9" t="s">
        <v>66</v>
      </c>
      <c r="D12282" s="9" t="s">
        <v>18</v>
      </c>
      <c r="E12282" s="10" t="s">
        <v>658</v>
      </c>
      <c r="F12282" s="9" t="s">
        <v>2167</v>
      </c>
      <c r="G12282" s="10" t="s">
        <v>34</v>
      </c>
      <c r="H12282" s="9" t="s">
        <v>22</v>
      </c>
      <c r="I12282" s="9" t="s">
        <v>24961</v>
      </c>
      <c r="J12282" s="10" t="str">
        <f>HYPERLINK("https://www.boe.es/gazeta/dias/1834/05/26/pdfs/C00001-00001.pdf#page=1","Abrir facsímil")</f>
        <v>Abrir facsímil</v>
      </c>
      <c r="K12282" s="10" t="s">
        <v>24</v>
      </c>
    </row>
    <row r="12283" spans="1:11" ht="54" customHeight="1">
      <c r="A12283" s="9" t="s">
        <v>24851</v>
      </c>
      <c r="B12283" s="9" t="s">
        <v>24851</v>
      </c>
      <c r="C12283" s="9" t="s">
        <v>17</v>
      </c>
      <c r="D12283" s="9" t="s">
        <v>55</v>
      </c>
      <c r="E12283" s="10" t="s">
        <v>1677</v>
      </c>
      <c r="F12283" s="9" t="s">
        <v>1678</v>
      </c>
      <c r="G12283" s="10" t="s">
        <v>21</v>
      </c>
      <c r="H12283" s="9" t="s">
        <v>22</v>
      </c>
      <c r="I12283" s="9" t="s">
        <v>24962</v>
      </c>
      <c r="J12283" s="10" t="str">
        <f>HYPERLINK("https://www.boe.es/gazeta/dias/1834/07/26/pdfs/GMD-1834-159.pdf#page=3","Abrir facsímil")</f>
        <v>Abrir facsímil</v>
      </c>
      <c r="K12283" s="10" t="s">
        <v>24</v>
      </c>
    </row>
    <row r="12284" spans="1:11" ht="54" customHeight="1">
      <c r="A12284" s="9" t="s">
        <v>24851</v>
      </c>
      <c r="B12284" s="9" t="s">
        <v>24851</v>
      </c>
      <c r="C12284" s="9" t="s">
        <v>17</v>
      </c>
      <c r="D12284" s="9" t="s">
        <v>18</v>
      </c>
      <c r="E12284" s="10" t="s">
        <v>251</v>
      </c>
      <c r="F12284" s="9" t="s">
        <v>1278</v>
      </c>
      <c r="G12284" s="10" t="s">
        <v>86</v>
      </c>
      <c r="H12284" s="9" t="s">
        <v>22</v>
      </c>
      <c r="I12284" s="9" t="s">
        <v>24963</v>
      </c>
      <c r="J12284" s="10" t="str">
        <f>HYPERLINK("https://www.boe.es/gazeta/dias/1834/09/26/pdfs/GMD-1834-224.pdf#page=2","Abrir facsímil")</f>
        <v>Abrir facsímil</v>
      </c>
      <c r="K12284" s="10" t="s">
        <v>24</v>
      </c>
    </row>
    <row r="12285" spans="1:11" ht="54" customHeight="1">
      <c r="A12285" s="9" t="s">
        <v>24851</v>
      </c>
      <c r="B12285" s="9" t="s">
        <v>24851</v>
      </c>
      <c r="C12285" s="9" t="s">
        <v>17</v>
      </c>
      <c r="D12285" s="9" t="s">
        <v>55</v>
      </c>
      <c r="E12285" s="10" t="s">
        <v>1766</v>
      </c>
      <c r="F12285" s="9" t="s">
        <v>5600</v>
      </c>
      <c r="G12285" s="10" t="s">
        <v>34</v>
      </c>
      <c r="H12285" s="9" t="s">
        <v>22</v>
      </c>
      <c r="I12285" s="9" t="s">
        <v>24964</v>
      </c>
      <c r="J12285" s="10" t="str">
        <f>HYPERLINK("https://www.boe.es/gazeta/dias/1834/10/26/pdfs/GMD-1834-254.pdf#page=1","Abrir facsímil")</f>
        <v>Abrir facsímil</v>
      </c>
      <c r="K12285" s="10" t="s">
        <v>24</v>
      </c>
    </row>
    <row r="12286" spans="1:11" ht="54" customHeight="1">
      <c r="A12286" s="9" t="s">
        <v>24851</v>
      </c>
      <c r="B12286" s="9" t="s">
        <v>24851</v>
      </c>
      <c r="C12286" s="9" t="s">
        <v>46</v>
      </c>
      <c r="D12286" s="9" t="s">
        <v>18</v>
      </c>
      <c r="E12286" s="10" t="s">
        <v>1766</v>
      </c>
      <c r="F12286" s="9" t="s">
        <v>5600</v>
      </c>
      <c r="G12286" s="10" t="s">
        <v>86</v>
      </c>
      <c r="H12286" s="9" t="s">
        <v>22</v>
      </c>
      <c r="I12286" s="9" t="s">
        <v>24965</v>
      </c>
      <c r="J12286" s="10" t="str">
        <f>HYPERLINK("https://www.boe.es/gazeta/dias/1834/10/26/pdfs/GMD-1834-254.pdf#page=2","Abrir facsímil")</f>
        <v>Abrir facsímil</v>
      </c>
      <c r="K12286" s="10" t="s">
        <v>24</v>
      </c>
    </row>
    <row r="12287" spans="1:11" ht="54" customHeight="1">
      <c r="A12287" s="9" t="s">
        <v>24851</v>
      </c>
      <c r="B12287" s="9" t="s">
        <v>24851</v>
      </c>
      <c r="C12287" s="9" t="s">
        <v>66</v>
      </c>
      <c r="D12287" s="9" t="s">
        <v>67</v>
      </c>
      <c r="E12287" s="10" t="s">
        <v>174</v>
      </c>
      <c r="F12287" s="9" t="s">
        <v>175</v>
      </c>
      <c r="G12287" s="10" t="s">
        <v>86</v>
      </c>
      <c r="H12287" s="9" t="s">
        <v>22</v>
      </c>
      <c r="I12287" s="9" t="s">
        <v>24966</v>
      </c>
      <c r="J12287" s="10" t="str">
        <f>HYPERLINK("https://www.boe.es/gazeta/dias/1834/03/27/pdfs/GMD-1834-38.pdf#page=2","Abrir facsímil")</f>
        <v>Abrir facsímil</v>
      </c>
      <c r="K12287" s="10" t="s">
        <v>24</v>
      </c>
    </row>
    <row r="12288" spans="1:11" ht="54" customHeight="1">
      <c r="A12288" s="9" t="s">
        <v>24851</v>
      </c>
      <c r="B12288" s="9" t="s">
        <v>24851</v>
      </c>
      <c r="C12288" s="9" t="s">
        <v>17</v>
      </c>
      <c r="D12288" s="9" t="s">
        <v>18</v>
      </c>
      <c r="E12288" s="10" t="s">
        <v>174</v>
      </c>
      <c r="F12288" s="9" t="s">
        <v>175</v>
      </c>
      <c r="G12288" s="10" t="s">
        <v>75</v>
      </c>
      <c r="H12288" s="9" t="s">
        <v>22</v>
      </c>
      <c r="I12288" s="9" t="s">
        <v>24967</v>
      </c>
      <c r="J12288" s="10" t="str">
        <f>HYPERLINK("https://www.boe.es/gazeta/dias/1834/03/27/pdfs/GMD-1834-38.pdf#page=4","Abrir facsímil")</f>
        <v>Abrir facsímil</v>
      </c>
      <c r="K12288" s="10" t="s">
        <v>24</v>
      </c>
    </row>
    <row r="12289" spans="1:11" ht="54" customHeight="1">
      <c r="A12289" s="9" t="s">
        <v>24851</v>
      </c>
      <c r="B12289" s="9" t="s">
        <v>24851</v>
      </c>
      <c r="C12289" s="9" t="s">
        <v>17</v>
      </c>
      <c r="D12289" s="9" t="s">
        <v>18</v>
      </c>
      <c r="E12289" s="10" t="s">
        <v>1686</v>
      </c>
      <c r="F12289" s="9" t="s">
        <v>1687</v>
      </c>
      <c r="G12289" s="10" t="s">
        <v>86</v>
      </c>
      <c r="H12289" s="9" t="s">
        <v>22</v>
      </c>
      <c r="I12289" s="9" t="s">
        <v>24968</v>
      </c>
      <c r="J12289" s="10" t="str">
        <f>HYPERLINK("https://www.boe.es/gazeta/dias/1834/07/27/pdfs/GMD-1834-160.pdf#page=2","Abrir facsímil")</f>
        <v>Abrir facsímil</v>
      </c>
      <c r="K12289" s="10" t="s">
        <v>24</v>
      </c>
    </row>
    <row r="12290" spans="1:11" ht="54" customHeight="1">
      <c r="A12290" s="9" t="s">
        <v>24851</v>
      </c>
      <c r="B12290" s="9" t="s">
        <v>24851</v>
      </c>
      <c r="C12290" s="9" t="s">
        <v>17</v>
      </c>
      <c r="D12290" s="9" t="s">
        <v>55</v>
      </c>
      <c r="E12290" s="10" t="s">
        <v>465</v>
      </c>
      <c r="F12290" s="9" t="s">
        <v>1361</v>
      </c>
      <c r="G12290" s="10" t="s">
        <v>21</v>
      </c>
      <c r="H12290" s="9" t="s">
        <v>22</v>
      </c>
      <c r="I12290" s="9" t="s">
        <v>24969</v>
      </c>
      <c r="J12290" s="10" t="str">
        <f>HYPERLINK("https://www.boe.es/gazeta/dias/1834/11/27/pdfs/GMD-1834-286.pdf#page=3","Abrir facsímil")</f>
        <v>Abrir facsímil</v>
      </c>
      <c r="K12290" s="10" t="s">
        <v>24</v>
      </c>
    </row>
    <row r="12291" spans="1:11" ht="54" customHeight="1">
      <c r="A12291" s="9" t="s">
        <v>24851</v>
      </c>
      <c r="B12291" s="9" t="s">
        <v>24851</v>
      </c>
      <c r="C12291" s="9" t="s">
        <v>66</v>
      </c>
      <c r="D12291" s="9" t="s">
        <v>67</v>
      </c>
      <c r="E12291" s="10" t="s">
        <v>2142</v>
      </c>
      <c r="F12291" s="9" t="s">
        <v>2143</v>
      </c>
      <c r="G12291" s="10" t="s">
        <v>34</v>
      </c>
      <c r="H12291" s="9" t="s">
        <v>22</v>
      </c>
      <c r="I12291" s="9" t="s">
        <v>24970</v>
      </c>
      <c r="J12291" s="10" t="str">
        <f>HYPERLINK("https://www.boe.es/gazeta/dias/1834/12/27/pdfs/GMD-1834-317.pdf#page=1","Abrir facsímil")</f>
        <v>Abrir facsímil</v>
      </c>
      <c r="K12291" s="10" t="s">
        <v>24</v>
      </c>
    </row>
    <row r="12292" spans="1:11" ht="54" customHeight="1">
      <c r="A12292" s="9" t="s">
        <v>24851</v>
      </c>
      <c r="B12292" s="9" t="s">
        <v>24851</v>
      </c>
      <c r="C12292" s="9" t="s">
        <v>17</v>
      </c>
      <c r="D12292" s="9" t="s">
        <v>101</v>
      </c>
      <c r="E12292" s="10" t="s">
        <v>870</v>
      </c>
      <c r="F12292" s="9" t="s">
        <v>871</v>
      </c>
      <c r="G12292" s="10" t="s">
        <v>21</v>
      </c>
      <c r="H12292" s="9" t="s">
        <v>22</v>
      </c>
      <c r="I12292" s="9" t="s">
        <v>24971</v>
      </c>
      <c r="J12292" s="10" t="str">
        <f>HYPERLINK("https://www.boe.es/gazeta/dias/1834/05/28/pdfs/GMD-1834-97.pdf#page=3","Abrir facsímil")</f>
        <v>Abrir facsímil</v>
      </c>
      <c r="K12292" s="10" t="s">
        <v>24</v>
      </c>
    </row>
    <row r="12293" spans="1:11" ht="54" customHeight="1">
      <c r="A12293" s="9" t="s">
        <v>24851</v>
      </c>
      <c r="B12293" s="9" t="s">
        <v>24851</v>
      </c>
      <c r="C12293" s="9" t="s">
        <v>17</v>
      </c>
      <c r="D12293" s="9" t="s">
        <v>18</v>
      </c>
      <c r="E12293" s="10" t="s">
        <v>870</v>
      </c>
      <c r="F12293" s="9" t="s">
        <v>871</v>
      </c>
      <c r="G12293" s="10" t="s">
        <v>75</v>
      </c>
      <c r="H12293" s="9" t="s">
        <v>22</v>
      </c>
      <c r="I12293" s="9" t="s">
        <v>24972</v>
      </c>
      <c r="J12293" s="10" t="str">
        <f>HYPERLINK("https://www.boe.es/gazeta/dias/1834/05/28/pdfs/GMD-1834-97.pdf#page=4","Abrir facsímil")</f>
        <v>Abrir facsímil</v>
      </c>
      <c r="K12293" s="10" t="s">
        <v>24</v>
      </c>
    </row>
    <row r="12294" spans="1:11" ht="54" customHeight="1">
      <c r="A12294" s="9" t="s">
        <v>24851</v>
      </c>
      <c r="B12294" s="9" t="s">
        <v>24851</v>
      </c>
      <c r="C12294" s="9" t="s">
        <v>46</v>
      </c>
      <c r="D12294" s="9" t="s">
        <v>55</v>
      </c>
      <c r="E12294" s="10" t="s">
        <v>1773</v>
      </c>
      <c r="F12294" s="9" t="s">
        <v>1774</v>
      </c>
      <c r="G12294" s="10" t="s">
        <v>86</v>
      </c>
      <c r="H12294" s="9" t="s">
        <v>22</v>
      </c>
      <c r="I12294" s="9" t="s">
        <v>24973</v>
      </c>
      <c r="J12294" s="10" t="str">
        <f>HYPERLINK("https://www.boe.es/gazeta/dias/1834/06/28/pdfs/GMD-1834-131.pdf#page=2","Abrir facsímil")</f>
        <v>Abrir facsímil</v>
      </c>
      <c r="K12294" s="10" t="s">
        <v>24</v>
      </c>
    </row>
    <row r="12295" spans="1:11" ht="54" customHeight="1">
      <c r="A12295" s="9" t="s">
        <v>24851</v>
      </c>
      <c r="B12295" s="9" t="s">
        <v>24851</v>
      </c>
      <c r="C12295" s="9" t="s">
        <v>17</v>
      </c>
      <c r="D12295" s="9" t="s">
        <v>18</v>
      </c>
      <c r="E12295" s="10" t="s">
        <v>719</v>
      </c>
      <c r="F12295" s="9" t="s">
        <v>720</v>
      </c>
      <c r="G12295" s="10" t="s">
        <v>75</v>
      </c>
      <c r="H12295" s="9" t="s">
        <v>22</v>
      </c>
      <c r="I12295" s="9" t="s">
        <v>24974</v>
      </c>
      <c r="J12295" s="10" t="str">
        <f>HYPERLINK("https://www.boe.es/gazeta/dias/1834/04/29/pdfs/GMD-1834-68.pdf#page=4","Abrir facsímil")</f>
        <v>Abrir facsímil</v>
      </c>
      <c r="K12295" s="10" t="s">
        <v>24</v>
      </c>
    </row>
    <row r="12296" spans="1:11" ht="54" customHeight="1">
      <c r="A12296" s="9" t="s">
        <v>24851</v>
      </c>
      <c r="B12296" s="9" t="s">
        <v>24851</v>
      </c>
      <c r="C12296" s="9" t="s">
        <v>66</v>
      </c>
      <c r="D12296" s="9" t="s">
        <v>67</v>
      </c>
      <c r="E12296" s="10" t="s">
        <v>2945</v>
      </c>
      <c r="F12296" s="9" t="s">
        <v>2946</v>
      </c>
      <c r="G12296" s="10" t="s">
        <v>21</v>
      </c>
      <c r="H12296" s="9" t="s">
        <v>22</v>
      </c>
      <c r="I12296" s="9" t="s">
        <v>24975</v>
      </c>
      <c r="J12296" s="10" t="str">
        <f>HYPERLINK("https://www.boe.es/gazeta/dias/1834/05/29/pdfs/GMD-1834-98.pdf#page=3","Abrir facsímil")</f>
        <v>Abrir facsímil</v>
      </c>
      <c r="K12296" s="10" t="s">
        <v>24</v>
      </c>
    </row>
    <row r="12297" spans="1:11" ht="54" customHeight="1">
      <c r="A12297" s="9" t="s">
        <v>24851</v>
      </c>
      <c r="B12297" s="9" t="s">
        <v>24851</v>
      </c>
      <c r="C12297" s="9" t="s">
        <v>66</v>
      </c>
      <c r="D12297" s="9" t="s">
        <v>67</v>
      </c>
      <c r="E12297" s="10" t="s">
        <v>2945</v>
      </c>
      <c r="F12297" s="9" t="s">
        <v>2946</v>
      </c>
      <c r="G12297" s="10" t="s">
        <v>75</v>
      </c>
      <c r="H12297" s="9" t="s">
        <v>22</v>
      </c>
      <c r="I12297" s="9" t="s">
        <v>24976</v>
      </c>
      <c r="J12297" s="10" t="str">
        <f>HYPERLINK("https://www.boe.es/gazeta/dias/1834/05/29/pdfs/GMD-1834-98.pdf#page=4","Abrir facsímil")</f>
        <v>Abrir facsímil</v>
      </c>
      <c r="K12297" s="10" t="s">
        <v>24</v>
      </c>
    </row>
    <row r="12298" spans="1:11" ht="54" customHeight="1">
      <c r="A12298" s="9" t="s">
        <v>24851</v>
      </c>
      <c r="B12298" s="9" t="s">
        <v>24851</v>
      </c>
      <c r="C12298" s="9" t="s">
        <v>17</v>
      </c>
      <c r="D12298" s="9" t="s">
        <v>18</v>
      </c>
      <c r="E12298" s="10" t="s">
        <v>1747</v>
      </c>
      <c r="F12298" s="9" t="s">
        <v>1748</v>
      </c>
      <c r="G12298" s="10" t="s">
        <v>86</v>
      </c>
      <c r="H12298" s="9" t="s">
        <v>22</v>
      </c>
      <c r="I12298" s="9" t="s">
        <v>24977</v>
      </c>
      <c r="J12298" s="10" t="str">
        <f>HYPERLINK("https://www.boe.es/gazeta/dias/1834/06/29/pdfs/GMD-1834-132.pdf#page=2","Abrir facsímil")</f>
        <v>Abrir facsímil</v>
      </c>
      <c r="K12298" s="10" t="s">
        <v>24</v>
      </c>
    </row>
    <row r="12299" spans="1:11" ht="54" customHeight="1">
      <c r="A12299" s="9" t="s">
        <v>24851</v>
      </c>
      <c r="B12299" s="9" t="s">
        <v>24851</v>
      </c>
      <c r="C12299" s="9" t="s">
        <v>17</v>
      </c>
      <c r="D12299" s="9" t="s">
        <v>18</v>
      </c>
      <c r="E12299" s="10" t="s">
        <v>1747</v>
      </c>
      <c r="F12299" s="9" t="s">
        <v>1748</v>
      </c>
      <c r="G12299" s="10" t="s">
        <v>21</v>
      </c>
      <c r="H12299" s="9" t="s">
        <v>22</v>
      </c>
      <c r="I12299" s="9" t="s">
        <v>24978</v>
      </c>
      <c r="J12299" s="10" t="str">
        <f>HYPERLINK("https://www.boe.es/gazeta/dias/1834/06/29/pdfs/GMD-1834-132.pdf#page=3","Abrir facsímil")</f>
        <v>Abrir facsímil</v>
      </c>
      <c r="K12299" s="10" t="s">
        <v>24</v>
      </c>
    </row>
    <row r="12300" spans="1:11" ht="54" customHeight="1">
      <c r="A12300" s="9" t="s">
        <v>24851</v>
      </c>
      <c r="B12300" s="9" t="s">
        <v>24851</v>
      </c>
      <c r="C12300" s="9" t="s">
        <v>66</v>
      </c>
      <c r="D12300" s="9" t="s">
        <v>67</v>
      </c>
      <c r="E12300" s="10" t="s">
        <v>286</v>
      </c>
      <c r="F12300" s="9" t="s">
        <v>287</v>
      </c>
      <c r="G12300" s="10" t="s">
        <v>21</v>
      </c>
      <c r="H12300" s="9" t="s">
        <v>22</v>
      </c>
      <c r="I12300" s="9" t="s">
        <v>24979</v>
      </c>
      <c r="J12300" s="10" t="str">
        <f>HYPERLINK("https://www.boe.es/gazeta/dias/1834/08/30/pdfs/GMD-D-1834-196.pdf#page=3","Abrir facsímil")</f>
        <v>Abrir facsímil</v>
      </c>
      <c r="K12300" s="10" t="s">
        <v>24</v>
      </c>
    </row>
    <row r="12301" spans="1:11" ht="54" customHeight="1">
      <c r="A12301" s="9" t="s">
        <v>24851</v>
      </c>
      <c r="B12301" s="9" t="s">
        <v>24851</v>
      </c>
      <c r="C12301" s="9" t="s">
        <v>66</v>
      </c>
      <c r="D12301" s="9" t="s">
        <v>67</v>
      </c>
      <c r="E12301" s="10" t="s">
        <v>1789</v>
      </c>
      <c r="F12301" s="9" t="s">
        <v>1790</v>
      </c>
      <c r="G12301" s="10" t="s">
        <v>86</v>
      </c>
      <c r="H12301" s="9" t="s">
        <v>22</v>
      </c>
      <c r="I12301" s="9" t="s">
        <v>24980</v>
      </c>
      <c r="J12301" s="10" t="str">
        <f>HYPERLINK("https://www.boe.es/gazeta/dias/1834/05/31/pdfs/GMD-1834-100.pdf#page=2","Abrir facsímil")</f>
        <v>Abrir facsímil</v>
      </c>
      <c r="K12301" s="10" t="s">
        <v>24</v>
      </c>
    </row>
    <row r="12302" spans="1:11" ht="54" customHeight="1">
      <c r="A12302" s="9" t="s">
        <v>24851</v>
      </c>
      <c r="B12302" s="9" t="s">
        <v>24851</v>
      </c>
      <c r="C12302" s="9" t="s">
        <v>66</v>
      </c>
      <c r="D12302" s="9" t="s">
        <v>67</v>
      </c>
      <c r="E12302" s="10" t="s">
        <v>1789</v>
      </c>
      <c r="F12302" s="9" t="s">
        <v>1790</v>
      </c>
      <c r="G12302" s="10" t="s">
        <v>75</v>
      </c>
      <c r="H12302" s="9" t="s">
        <v>22</v>
      </c>
      <c r="I12302" s="9" t="s">
        <v>24981</v>
      </c>
      <c r="J12302" s="10" t="str">
        <f>HYPERLINK("https://www.boe.es/gazeta/dias/1834/05/31/pdfs/GMD-1834-100.pdf#page=4","Abrir facsímil")</f>
        <v>Abrir facsímil</v>
      </c>
      <c r="K12302" s="10" t="s">
        <v>24</v>
      </c>
    </row>
    <row r="12303" spans="1:11" ht="54" customHeight="1">
      <c r="A12303" s="9" t="s">
        <v>24851</v>
      </c>
      <c r="B12303" s="9" t="s">
        <v>24851</v>
      </c>
      <c r="C12303" s="9" t="s">
        <v>46</v>
      </c>
      <c r="D12303" s="9" t="s">
        <v>18</v>
      </c>
      <c r="E12303" s="10" t="s">
        <v>891</v>
      </c>
      <c r="F12303" s="9" t="s">
        <v>3608</v>
      </c>
      <c r="G12303" s="10" t="s">
        <v>21</v>
      </c>
      <c r="H12303" s="9" t="s">
        <v>22</v>
      </c>
      <c r="I12303" s="9" t="s">
        <v>24982</v>
      </c>
      <c r="J12303" s="10" t="str">
        <f>HYPERLINK("https://www.boe.es/gazeta/dias/1834/10/31/pdfs/GMD-1834-259.pdf#page=3","Abrir facsímil")</f>
        <v>Abrir facsímil</v>
      </c>
      <c r="K12303" s="10" t="s">
        <v>24</v>
      </c>
    </row>
    <row r="12304" spans="1:11" ht="54" customHeight="1">
      <c r="A12304" s="9" t="s">
        <v>24983</v>
      </c>
      <c r="B12304" s="9" t="s">
        <v>24983</v>
      </c>
      <c r="C12304" s="9" t="s">
        <v>17</v>
      </c>
      <c r="D12304" s="9" t="s">
        <v>18</v>
      </c>
      <c r="E12304" s="10" t="s">
        <v>956</v>
      </c>
      <c r="F12304" s="9" t="s">
        <v>1508</v>
      </c>
      <c r="G12304" s="10" t="s">
        <v>34</v>
      </c>
      <c r="H12304" s="9" t="s">
        <v>22</v>
      </c>
      <c r="I12304" s="9" t="s">
        <v>24984</v>
      </c>
      <c r="J12304" s="10" t="str">
        <f>HYPERLINK("https://www.boe.es/gazeta/dias/1834/08/10/pdfs/GMD-1834-175.pdf#page=1","Abrir facsímil")</f>
        <v>Abrir facsímil</v>
      </c>
      <c r="K12304" s="10" t="s">
        <v>24</v>
      </c>
    </row>
    <row r="12305" spans="1:11" ht="54" customHeight="1">
      <c r="A12305" s="9" t="s">
        <v>24985</v>
      </c>
      <c r="B12305" s="9" t="s">
        <v>24986</v>
      </c>
      <c r="C12305" s="9" t="s">
        <v>17</v>
      </c>
      <c r="D12305" s="9" t="s">
        <v>55</v>
      </c>
      <c r="E12305" s="10" t="s">
        <v>2729</v>
      </c>
      <c r="F12305" s="9" t="s">
        <v>2730</v>
      </c>
      <c r="G12305" s="10" t="s">
        <v>86</v>
      </c>
      <c r="H12305" s="9" t="s">
        <v>35</v>
      </c>
      <c r="I12305" s="9" t="s">
        <v>24987</v>
      </c>
      <c r="J12305" s="10" t="str">
        <f>HYPERLINK("https://www.boe.es/gazeta/dias/1834/07/02/pdfs/GMD-1834-135.pdf#page=2","Abrir facsímil")</f>
        <v>Abrir facsímil</v>
      </c>
      <c r="K12305" s="10" t="s">
        <v>37</v>
      </c>
    </row>
    <row r="12306" spans="1:11" ht="54" customHeight="1">
      <c r="A12306" s="9" t="s">
        <v>24988</v>
      </c>
      <c r="B12306" s="9" t="s">
        <v>24989</v>
      </c>
      <c r="C12306" s="9" t="s">
        <v>17</v>
      </c>
      <c r="D12306" s="9" t="s">
        <v>18</v>
      </c>
      <c r="E12306" s="10" t="s">
        <v>1318</v>
      </c>
      <c r="F12306" s="9" t="s">
        <v>1319</v>
      </c>
      <c r="G12306" s="10" t="s">
        <v>86</v>
      </c>
      <c r="H12306" s="9" t="s">
        <v>35</v>
      </c>
      <c r="I12306" s="9" t="s">
        <v>24990</v>
      </c>
      <c r="J12306" s="10" t="str">
        <f>HYPERLINK("https://www.boe.es/gazeta/dias/1834/05/10/pdfs/GMD-1834-79.pdf#page=2","Abrir facsímil")</f>
        <v>Abrir facsímil</v>
      </c>
      <c r="K12306" s="10" t="s">
        <v>37</v>
      </c>
    </row>
    <row r="12307" spans="1:11" ht="54" customHeight="1">
      <c r="A12307" s="9" t="s">
        <v>24988</v>
      </c>
      <c r="B12307" s="9" t="s">
        <v>24989</v>
      </c>
      <c r="C12307" s="9" t="s">
        <v>66</v>
      </c>
      <c r="D12307" s="9" t="s">
        <v>67</v>
      </c>
      <c r="E12307" s="10" t="s">
        <v>2142</v>
      </c>
      <c r="F12307" s="9" t="s">
        <v>2143</v>
      </c>
      <c r="G12307" s="10" t="s">
        <v>34</v>
      </c>
      <c r="H12307" s="9" t="s">
        <v>35</v>
      </c>
      <c r="I12307" s="9" t="s">
        <v>24991</v>
      </c>
      <c r="J12307" s="10" t="str">
        <f>HYPERLINK("https://www.boe.es/gazeta/dias/1834/12/27/pdfs/GMD-1834-317.pdf#page=1","Abrir facsímil")</f>
        <v>Abrir facsímil</v>
      </c>
      <c r="K12307" s="10" t="s">
        <v>37</v>
      </c>
    </row>
    <row r="12308" spans="1:11" ht="54" customHeight="1">
      <c r="A12308" s="9" t="s">
        <v>24988</v>
      </c>
      <c r="B12308" s="9" t="s">
        <v>24989</v>
      </c>
      <c r="C12308" s="9" t="s">
        <v>17</v>
      </c>
      <c r="D12308" s="9" t="s">
        <v>101</v>
      </c>
      <c r="E12308" s="10" t="s">
        <v>870</v>
      </c>
      <c r="F12308" s="9" t="s">
        <v>871</v>
      </c>
      <c r="G12308" s="10" t="s">
        <v>21</v>
      </c>
      <c r="H12308" s="9" t="s">
        <v>35</v>
      </c>
      <c r="I12308" s="9" t="s">
        <v>24992</v>
      </c>
      <c r="J12308" s="10" t="str">
        <f>HYPERLINK("https://www.boe.es/gazeta/dias/1834/05/28/pdfs/GMD-1834-97.pdf#page=3","Abrir facsímil")</f>
        <v>Abrir facsímil</v>
      </c>
      <c r="K12308" s="10" t="s">
        <v>37</v>
      </c>
    </row>
    <row r="12309" spans="1:11" ht="54" customHeight="1">
      <c r="A12309" s="9" t="s">
        <v>24988</v>
      </c>
      <c r="B12309" s="9" t="s">
        <v>24989</v>
      </c>
      <c r="C12309" s="9" t="s">
        <v>66</v>
      </c>
      <c r="D12309" s="9" t="s">
        <v>67</v>
      </c>
      <c r="E12309" s="10" t="s">
        <v>2945</v>
      </c>
      <c r="F12309" s="9" t="s">
        <v>2946</v>
      </c>
      <c r="G12309" s="10" t="s">
        <v>21</v>
      </c>
      <c r="H12309" s="9" t="s">
        <v>35</v>
      </c>
      <c r="I12309" s="9" t="s">
        <v>24993</v>
      </c>
      <c r="J12309" s="10" t="str">
        <f>HYPERLINK("https://www.boe.es/gazeta/dias/1834/05/29/pdfs/GMD-1834-98.pdf#page=3","Abrir facsímil")</f>
        <v>Abrir facsímil</v>
      </c>
      <c r="K12309" s="10" t="s">
        <v>37</v>
      </c>
    </row>
    <row r="12310" spans="1:11" ht="54" customHeight="1">
      <c r="A12310" s="9" t="s">
        <v>24994</v>
      </c>
      <c r="B12310" s="9" t="s">
        <v>24995</v>
      </c>
      <c r="C12310" s="9" t="s">
        <v>17</v>
      </c>
      <c r="D12310" s="9" t="s">
        <v>18</v>
      </c>
      <c r="E12310" s="10" t="s">
        <v>1084</v>
      </c>
      <c r="F12310" s="9" t="s">
        <v>1085</v>
      </c>
      <c r="G12310" s="10" t="s">
        <v>28</v>
      </c>
      <c r="H12310" s="9" t="s">
        <v>35</v>
      </c>
      <c r="I12310" s="9" t="s">
        <v>24996</v>
      </c>
      <c r="J12310" s="10" t="str">
        <f>HYPERLINK("https://www.boe.es/gazeta/dias/1834/05/01/pdfs/GMD-1834-70.pdf#page=5","Abrir facsímil")</f>
        <v>Abrir facsímil</v>
      </c>
      <c r="K12310" s="10" t="s">
        <v>37</v>
      </c>
    </row>
    <row r="12311" spans="1:11" ht="54" customHeight="1">
      <c r="A12311" s="9" t="s">
        <v>24994</v>
      </c>
      <c r="B12311" s="9" t="s">
        <v>24995</v>
      </c>
      <c r="C12311" s="9" t="s">
        <v>17</v>
      </c>
      <c r="D12311" s="9" t="s">
        <v>18</v>
      </c>
      <c r="E12311" s="10" t="s">
        <v>255</v>
      </c>
      <c r="F12311" s="9" t="s">
        <v>256</v>
      </c>
      <c r="G12311" s="10" t="s">
        <v>34</v>
      </c>
      <c r="H12311" s="9" t="s">
        <v>35</v>
      </c>
      <c r="I12311" s="9" t="s">
        <v>24997</v>
      </c>
      <c r="J12311" s="10" t="str">
        <f>HYPERLINK("https://www.boe.es/gazeta/dias/1834/09/01/pdfs/GMD-C-1834-199.pdf#page=1","Abrir facsímil")</f>
        <v>Abrir facsímil</v>
      </c>
      <c r="K12311" s="10" t="s">
        <v>37</v>
      </c>
    </row>
    <row r="12312" spans="1:11" ht="54" customHeight="1">
      <c r="A12312" s="9" t="s">
        <v>24994</v>
      </c>
      <c r="B12312" s="9" t="s">
        <v>24995</v>
      </c>
      <c r="C12312" s="9" t="s">
        <v>17</v>
      </c>
      <c r="D12312" s="9" t="s">
        <v>18</v>
      </c>
      <c r="E12312" s="10" t="s">
        <v>2053</v>
      </c>
      <c r="F12312" s="9" t="s">
        <v>2912</v>
      </c>
      <c r="G12312" s="10" t="s">
        <v>34</v>
      </c>
      <c r="H12312" s="9" t="s">
        <v>35</v>
      </c>
      <c r="I12312" s="9" t="s">
        <v>24998</v>
      </c>
      <c r="J12312" s="10" t="str">
        <f>HYPERLINK("https://www.boe.es/gazeta/dias/1834/06/02/pdfs/GMD-1834-104E.pdf#page=1","Abrir facsímil")</f>
        <v>Abrir facsímil</v>
      </c>
      <c r="K12312" s="10" t="s">
        <v>37</v>
      </c>
    </row>
    <row r="12313" spans="1:11" ht="54" customHeight="1">
      <c r="A12313" s="9" t="s">
        <v>24994</v>
      </c>
      <c r="B12313" s="9" t="s">
        <v>24995</v>
      </c>
      <c r="C12313" s="9" t="s">
        <v>17</v>
      </c>
      <c r="D12313" s="9" t="s">
        <v>55</v>
      </c>
      <c r="E12313" s="10" t="s">
        <v>3066</v>
      </c>
      <c r="F12313" s="9" t="s">
        <v>3067</v>
      </c>
      <c r="G12313" s="10" t="s">
        <v>21</v>
      </c>
      <c r="H12313" s="9" t="s">
        <v>35</v>
      </c>
      <c r="I12313" s="9" t="s">
        <v>24999</v>
      </c>
      <c r="J12313" s="10" t="str">
        <f>HYPERLINK("https://www.boe.es/gazeta/dias/1834/08/03/pdfs/GMD-C-1834-167.pdf#page=3","Abrir facsímil")</f>
        <v>Abrir facsímil</v>
      </c>
      <c r="K12313" s="10" t="s">
        <v>37</v>
      </c>
    </row>
    <row r="12314" spans="1:11" ht="54" customHeight="1">
      <c r="A12314" s="9" t="s">
        <v>24994</v>
      </c>
      <c r="B12314" s="9" t="s">
        <v>24995</v>
      </c>
      <c r="C12314" s="9" t="s">
        <v>46</v>
      </c>
      <c r="D12314" s="9" t="s">
        <v>101</v>
      </c>
      <c r="E12314" s="10" t="s">
        <v>3328</v>
      </c>
      <c r="F12314" s="9" t="s">
        <v>3329</v>
      </c>
      <c r="G12314" s="10" t="s">
        <v>21</v>
      </c>
      <c r="H12314" s="9" t="s">
        <v>35</v>
      </c>
      <c r="I12314" s="9" t="s">
        <v>25000</v>
      </c>
      <c r="J12314" s="10" t="str">
        <f>HYPERLINK("https://www.boe.es/gazeta/dias/1834/06/04/pdfs/GMD-1834-106.pdf#page=3","Abrir facsímil")</f>
        <v>Abrir facsímil</v>
      </c>
      <c r="K12314" s="10" t="s">
        <v>37</v>
      </c>
    </row>
    <row r="12315" spans="1:11" ht="54" customHeight="1">
      <c r="A12315" s="9" t="s">
        <v>24994</v>
      </c>
      <c r="B12315" s="9" t="s">
        <v>24995</v>
      </c>
      <c r="C12315" s="9" t="s">
        <v>857</v>
      </c>
      <c r="D12315" s="9" t="s">
        <v>18</v>
      </c>
      <c r="E12315" s="10" t="s">
        <v>479</v>
      </c>
      <c r="F12315" s="9" t="s">
        <v>2258</v>
      </c>
      <c r="G12315" s="10" t="s">
        <v>86</v>
      </c>
      <c r="H12315" s="9" t="s">
        <v>35</v>
      </c>
      <c r="I12315" s="9" t="s">
        <v>25001</v>
      </c>
      <c r="J12315" s="10" t="str">
        <f>HYPERLINK("https://www.boe.es/gazeta/dias/1834/08/13/pdfs/GMD-C-1834-178.pdf#page=2","Abrir facsímil")</f>
        <v>Abrir facsímil</v>
      </c>
      <c r="K12315" s="10" t="s">
        <v>37</v>
      </c>
    </row>
    <row r="12316" spans="1:11" ht="54" customHeight="1">
      <c r="A12316" s="9" t="s">
        <v>24994</v>
      </c>
      <c r="B12316" s="9" t="s">
        <v>24995</v>
      </c>
      <c r="C12316" s="9" t="s">
        <v>17</v>
      </c>
      <c r="D12316" s="9" t="s">
        <v>18</v>
      </c>
      <c r="E12316" s="10" t="s">
        <v>2596</v>
      </c>
      <c r="F12316" s="9" t="s">
        <v>5480</v>
      </c>
      <c r="G12316" s="10" t="s">
        <v>34</v>
      </c>
      <c r="H12316" s="9" t="s">
        <v>35</v>
      </c>
      <c r="I12316" s="9" t="s">
        <v>25002</v>
      </c>
      <c r="J12316" s="10" t="str">
        <f>HYPERLINK("https://www.boe.es/gazeta/dias/1834/10/22/pdfs/GMD-C-1834-250.pdf#page=1","Abrir facsímil")</f>
        <v>Abrir facsímil</v>
      </c>
      <c r="K12316" s="10" t="s">
        <v>37</v>
      </c>
    </row>
    <row r="12317" spans="1:11" ht="54" customHeight="1">
      <c r="A12317" s="9" t="s">
        <v>24994</v>
      </c>
      <c r="B12317" s="9" t="s">
        <v>24995</v>
      </c>
      <c r="C12317" s="9" t="s">
        <v>66</v>
      </c>
      <c r="D12317" s="9" t="s">
        <v>67</v>
      </c>
      <c r="E12317" s="10" t="s">
        <v>2945</v>
      </c>
      <c r="F12317" s="9" t="s">
        <v>2946</v>
      </c>
      <c r="G12317" s="10" t="s">
        <v>21</v>
      </c>
      <c r="H12317" s="9" t="s">
        <v>35</v>
      </c>
      <c r="I12317" s="9" t="s">
        <v>25003</v>
      </c>
      <c r="J12317" s="10" t="str">
        <f>HYPERLINK("https://www.boe.es/gazeta/dias/1834/05/29/pdfs/GMD-1834-98.pdf#page=3","Abrir facsímil")</f>
        <v>Abrir facsímil</v>
      </c>
      <c r="K12317" s="10" t="s">
        <v>37</v>
      </c>
    </row>
    <row r="12318" spans="1:11" ht="54" customHeight="1">
      <c r="A12318" s="9" t="s">
        <v>25004</v>
      </c>
      <c r="B12318" s="9" t="s">
        <v>25005</v>
      </c>
      <c r="C12318" s="9" t="s">
        <v>46</v>
      </c>
      <c r="D12318" s="9" t="s">
        <v>101</v>
      </c>
      <c r="E12318" s="10" t="s">
        <v>647</v>
      </c>
      <c r="F12318" s="9" t="s">
        <v>648</v>
      </c>
      <c r="G12318" s="10" t="s">
        <v>34</v>
      </c>
      <c r="H12318" s="9" t="s">
        <v>35</v>
      </c>
      <c r="I12318" s="9" t="s">
        <v>25006</v>
      </c>
      <c r="J12318" s="10" t="str">
        <f>HYPERLINK("https://www.boe.es/gazeta/dias/1834/10/21/pdfs/GMD-C-1834-249.pdf#page=1","Abrir facsímil")</f>
        <v>Abrir facsímil</v>
      </c>
      <c r="K12318" s="10" t="s">
        <v>37</v>
      </c>
    </row>
    <row r="12319" spans="1:11" ht="54" customHeight="1">
      <c r="A12319" s="9" t="s">
        <v>25007</v>
      </c>
      <c r="B12319" s="9" t="s">
        <v>25008</v>
      </c>
      <c r="C12319" s="9" t="s">
        <v>66</v>
      </c>
      <c r="D12319" s="9" t="s">
        <v>67</v>
      </c>
      <c r="E12319" s="10" t="s">
        <v>3328</v>
      </c>
      <c r="F12319" s="9" t="s">
        <v>3329</v>
      </c>
      <c r="G12319" s="10" t="s">
        <v>21</v>
      </c>
      <c r="H12319" s="9" t="s">
        <v>22</v>
      </c>
      <c r="I12319" s="9" t="s">
        <v>25009</v>
      </c>
      <c r="J12319" s="10" t="str">
        <f>HYPERLINK("https://www.boe.es/gazeta/dias/1834/06/04/pdfs/GMD-1834-106.pdf#page=3","Abrir facsímil")</f>
        <v>Abrir facsímil</v>
      </c>
      <c r="K12319" s="10" t="s">
        <v>24</v>
      </c>
    </row>
    <row r="12320" spans="1:11" ht="54" customHeight="1">
      <c r="A12320" s="9" t="s">
        <v>25010</v>
      </c>
      <c r="B12320" s="9" t="s">
        <v>25011</v>
      </c>
      <c r="C12320" s="9" t="s">
        <v>17</v>
      </c>
      <c r="D12320" s="9" t="s">
        <v>55</v>
      </c>
      <c r="E12320" s="10" t="s">
        <v>571</v>
      </c>
      <c r="F12320" s="9" t="s">
        <v>620</v>
      </c>
      <c r="G12320" s="10" t="s">
        <v>21</v>
      </c>
      <c r="H12320" s="9" t="s">
        <v>22</v>
      </c>
      <c r="I12320" s="9" t="s">
        <v>25012</v>
      </c>
      <c r="J12320" s="10" t="str">
        <f>HYPERLINK("https://www.boe.es/gazeta/dias/1834/09/04/pdfs/GMD-C-1834-202.pdf#page=3","Abrir facsímil")</f>
        <v>Abrir facsímil</v>
      </c>
      <c r="K12320" s="10" t="s">
        <v>24</v>
      </c>
    </row>
    <row r="12321" spans="1:11" ht="54" customHeight="1">
      <c r="A12321" s="9" t="s">
        <v>25013</v>
      </c>
      <c r="B12321" s="9" t="s">
        <v>25014</v>
      </c>
      <c r="C12321" s="9" t="s">
        <v>90</v>
      </c>
      <c r="D12321" s="9" t="s">
        <v>18</v>
      </c>
      <c r="E12321" s="10" t="s">
        <v>4814</v>
      </c>
      <c r="F12321" s="9" t="s">
        <v>4815</v>
      </c>
      <c r="G12321" s="10" t="s">
        <v>75</v>
      </c>
      <c r="H12321" s="9" t="s">
        <v>22</v>
      </c>
      <c r="I12321" s="9" t="s">
        <v>25015</v>
      </c>
      <c r="J12321" s="10" t="str">
        <f>HYPERLINK("https://www.boe.es/gazeta/dias/1834/06/05/pdfs/GMD-1834-107.pdf#page=4","Abrir facsímil")</f>
        <v>Abrir facsímil</v>
      </c>
      <c r="K12321" s="10" t="s">
        <v>24</v>
      </c>
    </row>
    <row r="12322" spans="1:11" ht="54" customHeight="1">
      <c r="A12322" s="9" t="s">
        <v>25016</v>
      </c>
      <c r="B12322" s="9" t="s">
        <v>25017</v>
      </c>
      <c r="C12322" s="9" t="s">
        <v>90</v>
      </c>
      <c r="D12322" s="9" t="s">
        <v>18</v>
      </c>
      <c r="E12322" s="10" t="s">
        <v>117</v>
      </c>
      <c r="F12322" s="9" t="s">
        <v>118</v>
      </c>
      <c r="G12322" s="10" t="s">
        <v>75</v>
      </c>
      <c r="H12322" s="9" t="s">
        <v>22</v>
      </c>
      <c r="I12322" s="9" t="s">
        <v>25018</v>
      </c>
      <c r="J12322" s="10" t="str">
        <f>HYPERLINK("https://www.boe.es/gazeta/dias/1834/07/21/pdfs/GMD-1834-154.pdf#page=4","Abrir facsímil")</f>
        <v>Abrir facsímil</v>
      </c>
      <c r="K12322" s="10" t="s">
        <v>24</v>
      </c>
    </row>
    <row r="12323" spans="1:11" ht="54" customHeight="1">
      <c r="A12323" s="9" t="s">
        <v>25019</v>
      </c>
      <c r="B12323" s="9" t="s">
        <v>25020</v>
      </c>
      <c r="C12323" s="9" t="s">
        <v>17</v>
      </c>
      <c r="D12323" s="9" t="s">
        <v>18</v>
      </c>
      <c r="E12323" s="10" t="s">
        <v>408</v>
      </c>
      <c r="F12323" s="9" t="s">
        <v>409</v>
      </c>
      <c r="G12323" s="10" t="s">
        <v>34</v>
      </c>
      <c r="H12323" s="9" t="s">
        <v>22</v>
      </c>
      <c r="I12323" s="9" t="s">
        <v>25021</v>
      </c>
      <c r="J12323" s="10" t="str">
        <f>HYPERLINK("https://www.boe.es/gazeta/dias/1834/04/28/pdfs/GMD-1834-67.pdf#page=1","Abrir facsímil")</f>
        <v>Abrir facsímil</v>
      </c>
      <c r="K12323" s="10" t="s">
        <v>24</v>
      </c>
    </row>
    <row r="12324" spans="1:11" ht="54" customHeight="1">
      <c r="A12324" s="9" t="s">
        <v>25022</v>
      </c>
      <c r="B12324" s="9" t="s">
        <v>25023</v>
      </c>
      <c r="C12324" s="9" t="s">
        <v>17</v>
      </c>
      <c r="D12324" s="9" t="s">
        <v>18</v>
      </c>
      <c r="E12324" s="10" t="s">
        <v>1505</v>
      </c>
      <c r="F12324" s="9" t="s">
        <v>1506</v>
      </c>
      <c r="G12324" s="10" t="s">
        <v>21</v>
      </c>
      <c r="H12324" s="9" t="s">
        <v>35</v>
      </c>
      <c r="I12324" s="9" t="s">
        <v>25024</v>
      </c>
      <c r="J12324" s="10" t="str">
        <f>HYPERLINK("https://www.boe.es/gazeta/dias/1834/05/08/pdfs/GMD-1834-77.pdf#page=3","Abrir facsímil")</f>
        <v>Abrir facsímil</v>
      </c>
      <c r="K12324" s="10" t="s">
        <v>37</v>
      </c>
    </row>
    <row r="12325" spans="1:11" ht="54" customHeight="1">
      <c r="A12325" s="9" t="s">
        <v>25025</v>
      </c>
      <c r="B12325" s="9" t="s">
        <v>25026</v>
      </c>
      <c r="C12325" s="9" t="s">
        <v>46</v>
      </c>
      <c r="D12325" s="9" t="s">
        <v>101</v>
      </c>
      <c r="E12325" s="10" t="s">
        <v>326</v>
      </c>
      <c r="F12325" s="9" t="s">
        <v>327</v>
      </c>
      <c r="G12325" s="10" t="s">
        <v>21</v>
      </c>
      <c r="H12325" s="9" t="s">
        <v>22</v>
      </c>
      <c r="I12325" s="9" t="s">
        <v>25027</v>
      </c>
      <c r="J12325" s="10" t="str">
        <f>HYPERLINK("https://www.boe.es/gazeta/dias/1834/07/15/pdfs/GMD-1834-148.pdf#page=3","Abrir facsímil")</f>
        <v>Abrir facsímil</v>
      </c>
      <c r="K12325" s="10" t="s">
        <v>24</v>
      </c>
    </row>
    <row r="12326" spans="1:11" ht="54" customHeight="1">
      <c r="A12326" s="9" t="s">
        <v>25028</v>
      </c>
      <c r="B12326" s="9" t="s">
        <v>25029</v>
      </c>
      <c r="C12326" s="9" t="s">
        <v>17</v>
      </c>
      <c r="D12326" s="9" t="s">
        <v>18</v>
      </c>
      <c r="E12326" s="10" t="s">
        <v>247</v>
      </c>
      <c r="F12326" s="9" t="s">
        <v>2805</v>
      </c>
      <c r="G12326" s="10" t="s">
        <v>75</v>
      </c>
      <c r="H12326" s="9" t="s">
        <v>35</v>
      </c>
      <c r="I12326" s="9" t="s">
        <v>25030</v>
      </c>
      <c r="J12326" s="10" t="str">
        <f>HYPERLINK("https://www.boe.es/gazeta/dias/1834/08/23/pdfs/GMD-1834-189.pdf#page=4","Abrir facsímil")</f>
        <v>Abrir facsímil</v>
      </c>
      <c r="K12326" s="10" t="s">
        <v>37</v>
      </c>
    </row>
    <row r="12327" spans="1:11" ht="54" customHeight="1">
      <c r="A12327" s="9" t="s">
        <v>25031</v>
      </c>
      <c r="B12327" s="9" t="s">
        <v>25032</v>
      </c>
      <c r="C12327" s="9" t="s">
        <v>66</v>
      </c>
      <c r="D12327" s="9" t="s">
        <v>67</v>
      </c>
      <c r="E12327" s="10" t="s">
        <v>3066</v>
      </c>
      <c r="F12327" s="9" t="s">
        <v>3067</v>
      </c>
      <c r="G12327" s="10" t="s">
        <v>75</v>
      </c>
      <c r="H12327" s="9" t="s">
        <v>35</v>
      </c>
      <c r="I12327" s="9" t="s">
        <v>25033</v>
      </c>
      <c r="J12327" s="10" t="str">
        <f>HYPERLINK("https://www.boe.es/gazeta/dias/1834/08/03/pdfs/GMD-C-1834-167.pdf#page=4","Abrir facsímil")</f>
        <v>Abrir facsímil</v>
      </c>
      <c r="K12327" s="10" t="s">
        <v>37</v>
      </c>
    </row>
    <row r="12328" spans="1:11" ht="54" customHeight="1">
      <c r="A12328" s="9" t="s">
        <v>25034</v>
      </c>
      <c r="B12328" s="9" t="s">
        <v>25035</v>
      </c>
      <c r="C12328" s="9" t="s">
        <v>66</v>
      </c>
      <c r="D12328" s="9" t="s">
        <v>18</v>
      </c>
      <c r="E12328" s="10" t="s">
        <v>3248</v>
      </c>
      <c r="F12328" s="9" t="s">
        <v>4798</v>
      </c>
      <c r="G12328" s="10" t="s">
        <v>28</v>
      </c>
      <c r="H12328" s="9" t="s">
        <v>35</v>
      </c>
      <c r="I12328" s="9" t="s">
        <v>25036</v>
      </c>
      <c r="J12328" s="10" t="str">
        <f>HYPERLINK("https://www.boe.es/gazeta/dias/1834/09/20/pdfs/GMD-C-1834-218.pdf#page=5","Abrir facsímil")</f>
        <v>Abrir facsímil</v>
      </c>
      <c r="K12328" s="10" t="s">
        <v>37</v>
      </c>
    </row>
    <row r="12329" spans="1:11" ht="54" customHeight="1">
      <c r="A12329" s="9" t="s">
        <v>25037</v>
      </c>
      <c r="B12329" s="9" t="s">
        <v>25038</v>
      </c>
      <c r="C12329" s="9" t="s">
        <v>66</v>
      </c>
      <c r="D12329" s="9" t="s">
        <v>18</v>
      </c>
      <c r="E12329" s="10" t="s">
        <v>981</v>
      </c>
      <c r="F12329" s="9" t="s">
        <v>982</v>
      </c>
      <c r="G12329" s="10" t="s">
        <v>86</v>
      </c>
      <c r="H12329" s="9" t="s">
        <v>22</v>
      </c>
      <c r="I12329" s="9" t="s">
        <v>25039</v>
      </c>
      <c r="J12329" s="10" t="str">
        <f>HYPERLINK("https://www.boe.es/gazeta/dias/1834/09/21/pdfs/GMD-1834-219.pdf#page=2","Abrir facsímil")</f>
        <v>Abrir facsímil</v>
      </c>
      <c r="K12329" s="10" t="s">
        <v>24</v>
      </c>
    </row>
    <row r="12330" spans="1:11" ht="54" customHeight="1">
      <c r="A12330" s="9" t="s">
        <v>25040</v>
      </c>
      <c r="B12330" s="9" t="s">
        <v>25040</v>
      </c>
      <c r="C12330" s="9" t="s">
        <v>90</v>
      </c>
      <c r="D12330" s="9" t="s">
        <v>18</v>
      </c>
      <c r="E12330" s="10" t="s">
        <v>891</v>
      </c>
      <c r="F12330" s="9" t="s">
        <v>892</v>
      </c>
      <c r="G12330" s="10" t="s">
        <v>21</v>
      </c>
      <c r="H12330" s="9" t="s">
        <v>22</v>
      </c>
      <c r="I12330" s="9" t="s">
        <v>25041</v>
      </c>
      <c r="J12330" s="10" t="str">
        <f>HYPERLINK("https://www.boe.es/gazeta/dias/1834/10/31/pdfs/GMD-C-1834-259.pdf#page=3","Abrir facsímil")</f>
        <v>Abrir facsímil</v>
      </c>
      <c r="K12330" s="10" t="s">
        <v>24</v>
      </c>
    </row>
    <row r="12331" spans="1:11" ht="54" customHeight="1">
      <c r="A12331" s="9" t="s">
        <v>25042</v>
      </c>
      <c r="B12331" s="9" t="s">
        <v>25042</v>
      </c>
      <c r="C12331" s="9" t="s">
        <v>17</v>
      </c>
      <c r="D12331" s="9" t="s">
        <v>18</v>
      </c>
      <c r="E12331" s="10" t="s">
        <v>192</v>
      </c>
      <c r="F12331" s="9" t="s">
        <v>2713</v>
      </c>
      <c r="G12331" s="10" t="s">
        <v>28</v>
      </c>
      <c r="H12331" s="9" t="s">
        <v>22</v>
      </c>
      <c r="I12331" s="9" t="s">
        <v>25043</v>
      </c>
      <c r="J12331" s="10" t="str">
        <f>HYPERLINK("https://www.boe.es/gazeta/dias/1834/12/31/pdfs/GMD-C-1834-321.pdf#page=5","Abrir facsímil")</f>
        <v>Abrir facsímil</v>
      </c>
      <c r="K12331" s="10" t="s">
        <v>24</v>
      </c>
    </row>
    <row r="12332" spans="1:11" ht="54" customHeight="1">
      <c r="A12332" s="9" t="s">
        <v>25044</v>
      </c>
      <c r="B12332" s="9" t="s">
        <v>25044</v>
      </c>
      <c r="C12332" s="9" t="s">
        <v>17</v>
      </c>
      <c r="D12332" s="9" t="s">
        <v>18</v>
      </c>
      <c r="E12332" s="10" t="s">
        <v>41</v>
      </c>
      <c r="F12332" s="9" t="s">
        <v>42</v>
      </c>
      <c r="G12332" s="10" t="s">
        <v>86</v>
      </c>
      <c r="H12332" s="9" t="s">
        <v>22</v>
      </c>
      <c r="I12332" s="9" t="s">
        <v>25045</v>
      </c>
      <c r="J12332" s="10" t="str">
        <f>HYPERLINK("https://www.boe.es/gazeta/dias/1834/06/11/pdfs/GMD-1834-114.pdf#page=2","Abrir facsímil")</f>
        <v>Abrir facsímil</v>
      </c>
      <c r="K12332" s="10" t="s">
        <v>24</v>
      </c>
    </row>
    <row r="12333" spans="1:11" ht="54" customHeight="1">
      <c r="A12333" s="9" t="s">
        <v>25046</v>
      </c>
      <c r="B12333" s="9" t="s">
        <v>25047</v>
      </c>
      <c r="C12333" s="9" t="s">
        <v>46</v>
      </c>
      <c r="D12333" s="9" t="s">
        <v>101</v>
      </c>
      <c r="E12333" s="10" t="s">
        <v>928</v>
      </c>
      <c r="F12333" s="9" t="s">
        <v>3338</v>
      </c>
      <c r="G12333" s="10" t="s">
        <v>21</v>
      </c>
      <c r="H12333" s="9" t="s">
        <v>22</v>
      </c>
      <c r="I12333" s="9" t="s">
        <v>25048</v>
      </c>
      <c r="J12333" s="10" t="str">
        <f>HYPERLINK("https://www.boe.es/gazeta/dias/1834/11/15/pdfs/GMD-1834-274.pdf#page=3","Abrir facsímil")</f>
        <v>Abrir facsímil</v>
      </c>
      <c r="K12333" s="10" t="s">
        <v>24</v>
      </c>
    </row>
    <row r="12334" spans="1:11" ht="54" customHeight="1">
      <c r="A12334" s="9" t="s">
        <v>25049</v>
      </c>
      <c r="B12334" s="9" t="s">
        <v>25050</v>
      </c>
      <c r="C12334" s="9" t="s">
        <v>17</v>
      </c>
      <c r="D12334" s="9" t="s">
        <v>18</v>
      </c>
      <c r="E12334" s="10" t="s">
        <v>1239</v>
      </c>
      <c r="F12334" s="9" t="s">
        <v>1240</v>
      </c>
      <c r="G12334" s="10" t="s">
        <v>21</v>
      </c>
      <c r="H12334" s="9" t="s">
        <v>22</v>
      </c>
      <c r="I12334" s="9" t="s">
        <v>25051</v>
      </c>
      <c r="J12334" s="10" t="str">
        <f>HYPERLINK("https://www.boe.es/gazeta/dias/1834/08/20/pdfs/GMD-1834-186.pdf#page=3","Abrir facsímil")</f>
        <v>Abrir facsímil</v>
      </c>
      <c r="K12334" s="10" t="s">
        <v>24</v>
      </c>
    </row>
    <row r="12335" spans="1:11" ht="54" customHeight="1">
      <c r="A12335" s="9" t="s">
        <v>25052</v>
      </c>
      <c r="B12335" s="9" t="s">
        <v>25053</v>
      </c>
      <c r="C12335" s="9" t="s">
        <v>17</v>
      </c>
      <c r="D12335" s="9" t="s">
        <v>18</v>
      </c>
      <c r="E12335" s="10" t="s">
        <v>8346</v>
      </c>
      <c r="F12335" s="9" t="s">
        <v>8347</v>
      </c>
      <c r="G12335" s="10" t="s">
        <v>21</v>
      </c>
      <c r="H12335" s="9" t="s">
        <v>22</v>
      </c>
      <c r="I12335" s="9" t="s">
        <v>25054</v>
      </c>
      <c r="J12335" s="10" t="str">
        <f>HYPERLINK("https://www.boe.es/gazeta/dias/1834/12/04/pdfs/GMD-1834-293.pdf#page=3","Abrir facsímil")</f>
        <v>Abrir facsímil</v>
      </c>
      <c r="K12335" s="10" t="s">
        <v>24</v>
      </c>
    </row>
    <row r="12336" spans="1:11" ht="54" customHeight="1">
      <c r="A12336" s="9" t="s">
        <v>25055</v>
      </c>
      <c r="B12336" s="9" t="s">
        <v>25055</v>
      </c>
      <c r="C12336" s="9" t="s">
        <v>66</v>
      </c>
      <c r="D12336" s="9" t="s">
        <v>67</v>
      </c>
      <c r="E12336" s="10" t="s">
        <v>1410</v>
      </c>
      <c r="F12336" s="9" t="s">
        <v>1411</v>
      </c>
      <c r="G12336" s="10" t="s">
        <v>86</v>
      </c>
      <c r="H12336" s="9" t="s">
        <v>22</v>
      </c>
      <c r="I12336" s="9" t="s">
        <v>25056</v>
      </c>
      <c r="J12336" s="10" t="str">
        <f>HYPERLINK("https://www.boe.es/gazeta/dias/1834/09/09/pdfs/GMD-1834-207.pdf#page=2","Abrir facsímil")</f>
        <v>Abrir facsímil</v>
      </c>
      <c r="K12336" s="10" t="s">
        <v>24</v>
      </c>
    </row>
    <row r="12337" spans="1:11" ht="54" customHeight="1">
      <c r="A12337" s="9" t="s">
        <v>25057</v>
      </c>
      <c r="B12337" s="9" t="s">
        <v>25057</v>
      </c>
      <c r="C12337" s="9" t="s">
        <v>46</v>
      </c>
      <c r="D12337" s="9" t="s">
        <v>18</v>
      </c>
      <c r="E12337" s="10" t="s">
        <v>2379</v>
      </c>
      <c r="F12337" s="9" t="s">
        <v>2380</v>
      </c>
      <c r="G12337" s="10" t="s">
        <v>21</v>
      </c>
      <c r="H12337" s="9" t="s">
        <v>22</v>
      </c>
      <c r="I12337" s="9" t="s">
        <v>25058</v>
      </c>
      <c r="J12337" s="10" t="str">
        <f>HYPERLINK("https://www.boe.es/gazeta/dias/1834/04/03/pdfs/GMD-1834-42.pdf#page=3","Abrir facsímil")</f>
        <v>Abrir facsímil</v>
      </c>
      <c r="K12337" s="10" t="s">
        <v>24</v>
      </c>
    </row>
    <row r="12338" spans="1:11" ht="54" customHeight="1">
      <c r="A12338" s="9" t="s">
        <v>25057</v>
      </c>
      <c r="B12338" s="9" t="s">
        <v>25057</v>
      </c>
      <c r="C12338" s="9" t="s">
        <v>17</v>
      </c>
      <c r="D12338" s="9" t="s">
        <v>55</v>
      </c>
      <c r="E12338" s="10" t="s">
        <v>3306</v>
      </c>
      <c r="F12338" s="9" t="s">
        <v>3307</v>
      </c>
      <c r="G12338" s="10" t="s">
        <v>86</v>
      </c>
      <c r="H12338" s="9" t="s">
        <v>22</v>
      </c>
      <c r="I12338" s="9" t="s">
        <v>25059</v>
      </c>
      <c r="J12338" s="10" t="str">
        <f>HYPERLINK("https://www.boe.es/gazeta/dias/1834/05/07/pdfs/GMD-1834-76.pdf#page=2","Abrir facsímil")</f>
        <v>Abrir facsímil</v>
      </c>
      <c r="K12338" s="10" t="s">
        <v>24</v>
      </c>
    </row>
    <row r="12339" spans="1:11" ht="54" customHeight="1">
      <c r="A12339" s="9" t="s">
        <v>25057</v>
      </c>
      <c r="B12339" s="9" t="s">
        <v>25057</v>
      </c>
      <c r="C12339" s="9" t="s">
        <v>17</v>
      </c>
      <c r="D12339" s="9" t="s">
        <v>18</v>
      </c>
      <c r="E12339" s="10" t="s">
        <v>912</v>
      </c>
      <c r="F12339" s="9" t="s">
        <v>913</v>
      </c>
      <c r="G12339" s="10" t="s">
        <v>21</v>
      </c>
      <c r="H12339" s="9" t="s">
        <v>22</v>
      </c>
      <c r="I12339" s="9" t="s">
        <v>25060</v>
      </c>
      <c r="J12339" s="10" t="str">
        <f>HYPERLINK("https://www.boe.es/gazeta/dias/1834/02/15/pdfs/GMD-1834-21.pdf#page=3","Abrir facsímil")</f>
        <v>Abrir facsímil</v>
      </c>
      <c r="K12339" s="10" t="s">
        <v>24</v>
      </c>
    </row>
    <row r="12340" spans="1:11" ht="54" customHeight="1">
      <c r="A12340" s="9" t="s">
        <v>25057</v>
      </c>
      <c r="B12340" s="9" t="s">
        <v>25057</v>
      </c>
      <c r="C12340" s="9" t="s">
        <v>90</v>
      </c>
      <c r="D12340" s="9" t="s">
        <v>18</v>
      </c>
      <c r="E12340" s="10" t="s">
        <v>4736</v>
      </c>
      <c r="F12340" s="9" t="s">
        <v>4737</v>
      </c>
      <c r="G12340" s="10" t="s">
        <v>86</v>
      </c>
      <c r="H12340" s="9" t="s">
        <v>22</v>
      </c>
      <c r="I12340" s="9" t="s">
        <v>25061</v>
      </c>
      <c r="J12340" s="10" t="str">
        <f>HYPERLINK("https://www.boe.es/gazeta/dias/1834/09/16/pdfs/GMD-1834-214.pdf#page=2","Abrir facsímil")</f>
        <v>Abrir facsímil</v>
      </c>
      <c r="K12340" s="10" t="s">
        <v>24</v>
      </c>
    </row>
    <row r="12341" spans="1:11" ht="54" customHeight="1">
      <c r="A12341" s="9" t="s">
        <v>25057</v>
      </c>
      <c r="B12341" s="9" t="s">
        <v>25057</v>
      </c>
      <c r="C12341" s="9" t="s">
        <v>17</v>
      </c>
      <c r="D12341" s="9" t="s">
        <v>18</v>
      </c>
      <c r="E12341" s="10" t="s">
        <v>606</v>
      </c>
      <c r="F12341" s="9" t="s">
        <v>607</v>
      </c>
      <c r="G12341" s="10" t="s">
        <v>34</v>
      </c>
      <c r="H12341" s="9" t="s">
        <v>22</v>
      </c>
      <c r="I12341" s="9" t="s">
        <v>25062</v>
      </c>
      <c r="J12341" s="10" t="str">
        <f>HYPERLINK("https://www.boe.es/gazeta/dias/1834/06/23/pdfs/GMD-1834-126.pdf#page=1","Abrir facsímil")</f>
        <v>Abrir facsímil</v>
      </c>
      <c r="K12341" s="10" t="s">
        <v>24</v>
      </c>
    </row>
    <row r="12342" spans="1:11" ht="54" customHeight="1">
      <c r="A12342" s="9" t="s">
        <v>25057</v>
      </c>
      <c r="B12342" s="9" t="s">
        <v>25057</v>
      </c>
      <c r="C12342" s="9" t="s">
        <v>46</v>
      </c>
      <c r="D12342" s="9" t="s">
        <v>40</v>
      </c>
      <c r="E12342" s="10" t="s">
        <v>823</v>
      </c>
      <c r="F12342" s="9" t="s">
        <v>824</v>
      </c>
      <c r="G12342" s="10" t="s">
        <v>21</v>
      </c>
      <c r="H12342" s="9" t="s">
        <v>22</v>
      </c>
      <c r="I12342" s="9" t="s">
        <v>25063</v>
      </c>
      <c r="J12342" s="10" t="str">
        <f>HYPERLINK("https://www.boe.es/gazeta/dias/1834/07/23/pdfs/GMD-1834-156.pdf#page=3","Abrir facsímil")</f>
        <v>Abrir facsímil</v>
      </c>
      <c r="K12342" s="10" t="s">
        <v>24</v>
      </c>
    </row>
    <row r="12343" spans="1:11" ht="54" customHeight="1">
      <c r="A12343" s="9" t="s">
        <v>25057</v>
      </c>
      <c r="B12343" s="9" t="s">
        <v>25057</v>
      </c>
      <c r="C12343" s="9" t="s">
        <v>90</v>
      </c>
      <c r="D12343" s="9" t="s">
        <v>18</v>
      </c>
      <c r="E12343" s="10" t="s">
        <v>192</v>
      </c>
      <c r="F12343" s="9" t="s">
        <v>193</v>
      </c>
      <c r="G12343" s="10" t="s">
        <v>34</v>
      </c>
      <c r="H12343" s="9" t="s">
        <v>22</v>
      </c>
      <c r="I12343" s="9" t="s">
        <v>25064</v>
      </c>
      <c r="J12343" s="10" t="str">
        <f>HYPERLINK("https://www.boe.es/gazeta/dias/1834/12/31/pdfs/GMD-1834-321.pdf#page=1","Abrir facsímil")</f>
        <v>Abrir facsímil</v>
      </c>
      <c r="K12343" s="10" t="s">
        <v>24</v>
      </c>
    </row>
    <row r="12344" spans="1:11" ht="54" customHeight="1">
      <c r="A12344" s="9" t="s">
        <v>25065</v>
      </c>
      <c r="B12344" s="9" t="s">
        <v>25066</v>
      </c>
      <c r="C12344" s="9" t="s">
        <v>17</v>
      </c>
      <c r="D12344" s="9" t="s">
        <v>55</v>
      </c>
      <c r="E12344" s="10" t="s">
        <v>939</v>
      </c>
      <c r="F12344" s="9" t="s">
        <v>940</v>
      </c>
      <c r="G12344" s="10" t="s">
        <v>34</v>
      </c>
      <c r="H12344" s="9" t="s">
        <v>22</v>
      </c>
      <c r="I12344" s="9" t="s">
        <v>25067</v>
      </c>
      <c r="J12344" s="10" t="str">
        <f>HYPERLINK("https://www.boe.es/gazeta/dias/1834/06/10/pdfs/GMD-1834-113.pdf#page=1","Abrir facsímil")</f>
        <v>Abrir facsímil</v>
      </c>
      <c r="K12344" s="10" t="s">
        <v>24</v>
      </c>
    </row>
    <row r="12345" spans="1:11" ht="54" customHeight="1">
      <c r="A12345" s="9" t="s">
        <v>25068</v>
      </c>
      <c r="B12345" s="9" t="s">
        <v>25068</v>
      </c>
      <c r="C12345" s="9" t="s">
        <v>46</v>
      </c>
      <c r="D12345" s="9" t="s">
        <v>55</v>
      </c>
      <c r="E12345" s="10" t="s">
        <v>355</v>
      </c>
      <c r="F12345" s="9" t="s">
        <v>356</v>
      </c>
      <c r="G12345" s="10" t="s">
        <v>86</v>
      </c>
      <c r="H12345" s="9" t="s">
        <v>22</v>
      </c>
      <c r="I12345" s="9" t="s">
        <v>25069</v>
      </c>
      <c r="J12345" s="10" t="str">
        <f>HYPERLINK("https://www.boe.es/gazeta/dias/1834/07/04/pdfs/GMD-1834-137.pdf#page=2","Abrir facsímil")</f>
        <v>Abrir facsímil</v>
      </c>
      <c r="K12345" s="10" t="s">
        <v>24</v>
      </c>
    </row>
    <row r="12346" spans="1:11" ht="54" customHeight="1">
      <c r="A12346" s="9" t="s">
        <v>25068</v>
      </c>
      <c r="B12346" s="9" t="s">
        <v>25068</v>
      </c>
      <c r="C12346" s="9" t="s">
        <v>90</v>
      </c>
      <c r="D12346" s="9" t="s">
        <v>40</v>
      </c>
      <c r="E12346" s="10" t="s">
        <v>8346</v>
      </c>
      <c r="F12346" s="9" t="s">
        <v>8347</v>
      </c>
      <c r="G12346" s="10" t="s">
        <v>75</v>
      </c>
      <c r="H12346" s="9" t="s">
        <v>22</v>
      </c>
      <c r="I12346" s="9" t="s">
        <v>25070</v>
      </c>
      <c r="J12346" s="10" t="str">
        <f>HYPERLINK("https://www.boe.es/gazeta/dias/1834/12/04/pdfs/GMD-1834-293.pdf#page=4","Abrir facsímil")</f>
        <v>Abrir facsímil</v>
      </c>
      <c r="K12346" s="10" t="s">
        <v>24</v>
      </c>
    </row>
    <row r="12347" spans="1:11" ht="54" customHeight="1">
      <c r="A12347" s="9" t="s">
        <v>25068</v>
      </c>
      <c r="B12347" s="9" t="s">
        <v>25068</v>
      </c>
      <c r="C12347" s="9" t="s">
        <v>17</v>
      </c>
      <c r="D12347" s="9" t="s">
        <v>18</v>
      </c>
      <c r="E12347" s="10" t="s">
        <v>1402</v>
      </c>
      <c r="F12347" s="9" t="s">
        <v>1403</v>
      </c>
      <c r="G12347" s="10" t="s">
        <v>34</v>
      </c>
      <c r="H12347" s="9" t="s">
        <v>22</v>
      </c>
      <c r="I12347" s="9" t="s">
        <v>25071</v>
      </c>
      <c r="J12347" s="10" t="str">
        <f>HYPERLINK("https://www.boe.es/gazeta/dias/1834/05/05/pdfs/GMD-1834-74.pdf#page=1","Abrir facsímil")</f>
        <v>Abrir facsímil</v>
      </c>
      <c r="K12347" s="10" t="s">
        <v>24</v>
      </c>
    </row>
    <row r="12348" spans="1:11" ht="54" customHeight="1">
      <c r="A12348" s="9" t="s">
        <v>25068</v>
      </c>
      <c r="B12348" s="9" t="s">
        <v>25068</v>
      </c>
      <c r="C12348" s="9" t="s">
        <v>66</v>
      </c>
      <c r="D12348" s="9" t="s">
        <v>67</v>
      </c>
      <c r="E12348" s="10" t="s">
        <v>2218</v>
      </c>
      <c r="F12348" s="9" t="s">
        <v>2219</v>
      </c>
      <c r="G12348" s="10" t="s">
        <v>21</v>
      </c>
      <c r="H12348" s="9" t="s">
        <v>22</v>
      </c>
      <c r="I12348" s="9" t="s">
        <v>25072</v>
      </c>
      <c r="J12348" s="10" t="str">
        <f>HYPERLINK("https://www.boe.es/gazeta/dias/1834/11/05/pdfs/GMD-1834-264.pdf#page=3","Abrir facsímil")</f>
        <v>Abrir facsímil</v>
      </c>
      <c r="K12348" s="10" t="s">
        <v>24</v>
      </c>
    </row>
    <row r="12349" spans="1:11" ht="54" customHeight="1">
      <c r="A12349" s="9" t="s">
        <v>25068</v>
      </c>
      <c r="B12349" s="9" t="s">
        <v>25068</v>
      </c>
      <c r="C12349" s="9" t="s">
        <v>17</v>
      </c>
      <c r="D12349" s="9" t="s">
        <v>18</v>
      </c>
      <c r="E12349" s="10" t="s">
        <v>438</v>
      </c>
      <c r="F12349" s="9" t="s">
        <v>528</v>
      </c>
      <c r="G12349" s="10" t="s">
        <v>34</v>
      </c>
      <c r="H12349" s="9" t="s">
        <v>22</v>
      </c>
      <c r="I12349" s="9" t="s">
        <v>25073</v>
      </c>
      <c r="J12349" s="10" t="str">
        <f>HYPERLINK("https://www.boe.es/gazeta/dias/1834/11/09/pdfs/GMD-C-1834-268.pdf#page=1","Abrir facsímil")</f>
        <v>Abrir facsímil</v>
      </c>
      <c r="K12349" s="10" t="s">
        <v>24</v>
      </c>
    </row>
    <row r="12350" spans="1:11" ht="54" customHeight="1">
      <c r="A12350" s="9" t="s">
        <v>25068</v>
      </c>
      <c r="B12350" s="9" t="s">
        <v>25068</v>
      </c>
      <c r="C12350" s="9" t="s">
        <v>122</v>
      </c>
      <c r="D12350" s="9" t="s">
        <v>18</v>
      </c>
      <c r="E12350" s="10" t="s">
        <v>79</v>
      </c>
      <c r="F12350" s="9" t="s">
        <v>80</v>
      </c>
      <c r="G12350" s="10" t="s">
        <v>86</v>
      </c>
      <c r="H12350" s="9" t="s">
        <v>22</v>
      </c>
      <c r="I12350" s="9" t="s">
        <v>25074</v>
      </c>
      <c r="J12350" s="10" t="str">
        <f>HYPERLINK("https://www.boe.es/gazeta/dias/1834/07/12/pdfs/GMD-1834-145.pdf#page=2","Abrir facsímil")</f>
        <v>Abrir facsímil</v>
      </c>
      <c r="K12350" s="10" t="s">
        <v>24</v>
      </c>
    </row>
    <row r="12351" spans="1:11" ht="54" customHeight="1">
      <c r="A12351" s="9" t="s">
        <v>25068</v>
      </c>
      <c r="B12351" s="9" t="s">
        <v>25068</v>
      </c>
      <c r="C12351" s="9" t="s">
        <v>90</v>
      </c>
      <c r="D12351" s="9" t="s">
        <v>18</v>
      </c>
      <c r="E12351" s="10" t="s">
        <v>1195</v>
      </c>
      <c r="F12351" s="9" t="s">
        <v>1196</v>
      </c>
      <c r="G12351" s="10" t="s">
        <v>470</v>
      </c>
      <c r="H12351" s="9" t="s">
        <v>22</v>
      </c>
      <c r="I12351" s="9" t="s">
        <v>25075</v>
      </c>
      <c r="J12351" s="10" t="str">
        <f>HYPERLINK("https://www.boe.es/gazeta/dias/1834/10/17/pdfs/GMD-C-1834-245.pdf#page=8","Abrir facsímil")</f>
        <v>Abrir facsímil</v>
      </c>
      <c r="K12351" s="10" t="s">
        <v>24</v>
      </c>
    </row>
    <row r="12352" spans="1:11" ht="54" customHeight="1">
      <c r="A12352" s="9" t="s">
        <v>25068</v>
      </c>
      <c r="B12352" s="9" t="s">
        <v>25068</v>
      </c>
      <c r="C12352" s="9" t="s">
        <v>90</v>
      </c>
      <c r="D12352" s="9" t="s">
        <v>18</v>
      </c>
      <c r="E12352" s="10" t="s">
        <v>8200</v>
      </c>
      <c r="F12352" s="9" t="s">
        <v>8201</v>
      </c>
      <c r="G12352" s="10" t="s">
        <v>86</v>
      </c>
      <c r="H12352" s="9" t="s">
        <v>22</v>
      </c>
      <c r="I12352" s="9" t="s">
        <v>25076</v>
      </c>
      <c r="J12352" s="10" t="str">
        <f>HYPERLINK("https://www.boe.es/gazeta/dias/1834/11/17/pdfs/GMD-1834-276.pdf#page=2","Abrir facsímil")</f>
        <v>Abrir facsímil</v>
      </c>
      <c r="K12352" s="10" t="s">
        <v>24</v>
      </c>
    </row>
    <row r="12353" spans="1:11" ht="54" customHeight="1">
      <c r="A12353" s="9" t="s">
        <v>25068</v>
      </c>
      <c r="B12353" s="9" t="s">
        <v>25068</v>
      </c>
      <c r="C12353" s="9" t="s">
        <v>17</v>
      </c>
      <c r="D12353" s="9" t="s">
        <v>18</v>
      </c>
      <c r="E12353" s="10" t="s">
        <v>1459</v>
      </c>
      <c r="F12353" s="9" t="s">
        <v>1460</v>
      </c>
      <c r="G12353" s="10" t="s">
        <v>34</v>
      </c>
      <c r="H12353" s="9" t="s">
        <v>22</v>
      </c>
      <c r="I12353" s="9" t="s">
        <v>25077</v>
      </c>
      <c r="J12353" s="10" t="str">
        <f>HYPERLINK("https://www.boe.es/gazeta/dias/1834/08/18/pdfs/GMD-1834-184.pdf#page=1","Abrir facsímil")</f>
        <v>Abrir facsímil</v>
      </c>
      <c r="K12353" s="10" t="s">
        <v>24</v>
      </c>
    </row>
    <row r="12354" spans="1:11" ht="54" customHeight="1">
      <c r="A12354" s="9" t="s">
        <v>25068</v>
      </c>
      <c r="B12354" s="9" t="s">
        <v>25068</v>
      </c>
      <c r="C12354" s="9" t="s">
        <v>17</v>
      </c>
      <c r="D12354" s="9" t="s">
        <v>18</v>
      </c>
      <c r="E12354" s="10" t="s">
        <v>2287</v>
      </c>
      <c r="F12354" s="9" t="s">
        <v>4741</v>
      </c>
      <c r="G12354" s="10" t="s">
        <v>75</v>
      </c>
      <c r="H12354" s="9" t="s">
        <v>22</v>
      </c>
      <c r="I12354" s="9" t="s">
        <v>25078</v>
      </c>
      <c r="J12354" s="10" t="str">
        <f>HYPERLINK("https://www.boe.es/gazeta/dias/1834/12/18/pdfs/GMD-1834-308.pdf#page=4","Abrir facsímil")</f>
        <v>Abrir facsímil</v>
      </c>
      <c r="K12354" s="10" t="s">
        <v>24</v>
      </c>
    </row>
    <row r="12355" spans="1:11" ht="54" customHeight="1">
      <c r="A12355" s="9" t="s">
        <v>25068</v>
      </c>
      <c r="B12355" s="9" t="s">
        <v>25068</v>
      </c>
      <c r="C12355" s="9" t="s">
        <v>90</v>
      </c>
      <c r="D12355" s="9" t="s">
        <v>67</v>
      </c>
      <c r="E12355" s="10" t="s">
        <v>265</v>
      </c>
      <c r="F12355" s="9" t="s">
        <v>266</v>
      </c>
      <c r="G12355" s="10" t="s">
        <v>86</v>
      </c>
      <c r="H12355" s="9" t="s">
        <v>22</v>
      </c>
      <c r="I12355" s="9" t="s">
        <v>25079</v>
      </c>
      <c r="J12355" s="10" t="str">
        <f>HYPERLINK("https://www.boe.es/gazeta/dias/1834/11/19/pdfs/GMD-C-1834-278.pdf#page=2","Abrir facsímil")</f>
        <v>Abrir facsímil</v>
      </c>
      <c r="K12355" s="10" t="s">
        <v>24</v>
      </c>
    </row>
    <row r="12356" spans="1:11" ht="54" customHeight="1">
      <c r="A12356" s="9" t="s">
        <v>25068</v>
      </c>
      <c r="B12356" s="9" t="s">
        <v>25068</v>
      </c>
      <c r="C12356" s="9" t="s">
        <v>66</v>
      </c>
      <c r="D12356" s="9" t="s">
        <v>18</v>
      </c>
      <c r="E12356" s="10" t="s">
        <v>4169</v>
      </c>
      <c r="F12356" s="9" t="s">
        <v>4170</v>
      </c>
      <c r="G12356" s="10" t="s">
        <v>21</v>
      </c>
      <c r="H12356" s="9" t="s">
        <v>22</v>
      </c>
      <c r="I12356" s="9" t="s">
        <v>25080</v>
      </c>
      <c r="J12356" s="10" t="str">
        <f>HYPERLINK("https://www.boe.es/gazeta/dias/1834/11/20/pdfs/GMD-1834-279.pdf#page=3","Abrir facsímil")</f>
        <v>Abrir facsímil</v>
      </c>
      <c r="K12356" s="10" t="s">
        <v>24</v>
      </c>
    </row>
    <row r="12357" spans="1:11" ht="54" customHeight="1">
      <c r="A12357" s="9" t="s">
        <v>25068</v>
      </c>
      <c r="B12357" s="9" t="s">
        <v>25068</v>
      </c>
      <c r="C12357" s="9" t="s">
        <v>17</v>
      </c>
      <c r="D12357" s="9" t="s">
        <v>18</v>
      </c>
      <c r="E12357" s="10" t="s">
        <v>1973</v>
      </c>
      <c r="F12357" s="9" t="s">
        <v>1974</v>
      </c>
      <c r="G12357" s="10" t="s">
        <v>34</v>
      </c>
      <c r="H12357" s="9" t="s">
        <v>22</v>
      </c>
      <c r="I12357" s="9" t="s">
        <v>25081</v>
      </c>
      <c r="J12357" s="10" t="str">
        <f>HYPERLINK("https://www.boe.es/gazeta/dias/1834/12/20/pdfs/GMD-C-1834-310.pdf#page=1","Abrir facsímil")</f>
        <v>Abrir facsímil</v>
      </c>
      <c r="K12357" s="10" t="s">
        <v>24</v>
      </c>
    </row>
    <row r="12358" spans="1:11" ht="54" customHeight="1">
      <c r="A12358" s="9" t="s">
        <v>25068</v>
      </c>
      <c r="B12358" s="9" t="s">
        <v>25068</v>
      </c>
      <c r="C12358" s="9" t="s">
        <v>46</v>
      </c>
      <c r="D12358" s="9" t="s">
        <v>101</v>
      </c>
      <c r="E12358" s="10" t="s">
        <v>492</v>
      </c>
      <c r="F12358" s="9" t="s">
        <v>493</v>
      </c>
      <c r="G12358" s="10" t="s">
        <v>34</v>
      </c>
      <c r="H12358" s="9" t="s">
        <v>22</v>
      </c>
      <c r="I12358" s="9" t="s">
        <v>25082</v>
      </c>
      <c r="J12358" s="10" t="str">
        <f>HYPERLINK("https://www.boe.es/gazeta/dias/1834/11/21/pdfs/GMD-C-1834-280.pdf#page=1","Abrir facsímil")</f>
        <v>Abrir facsímil</v>
      </c>
      <c r="K12358" s="10" t="s">
        <v>24</v>
      </c>
    </row>
    <row r="12359" spans="1:11" ht="54" customHeight="1">
      <c r="A12359" s="9" t="s">
        <v>25068</v>
      </c>
      <c r="B12359" s="9" t="s">
        <v>25068</v>
      </c>
      <c r="C12359" s="9" t="s">
        <v>66</v>
      </c>
      <c r="D12359" s="9" t="s">
        <v>67</v>
      </c>
      <c r="E12359" s="10" t="s">
        <v>610</v>
      </c>
      <c r="F12359" s="9" t="s">
        <v>1374</v>
      </c>
      <c r="G12359" s="10" t="s">
        <v>34</v>
      </c>
      <c r="H12359" s="9" t="s">
        <v>22</v>
      </c>
      <c r="I12359" s="9" t="s">
        <v>25083</v>
      </c>
      <c r="J12359" s="10" t="str">
        <f>HYPERLINK("https://www.boe.es/gazeta/dias/1834/12/21/pdfs/GMD-1834-311.pdf#page=1","Abrir facsímil")</f>
        <v>Abrir facsímil</v>
      </c>
      <c r="K12359" s="10" t="s">
        <v>24</v>
      </c>
    </row>
    <row r="12360" spans="1:11" ht="54" customHeight="1">
      <c r="A12360" s="9" t="s">
        <v>25068</v>
      </c>
      <c r="B12360" s="9" t="s">
        <v>25068</v>
      </c>
      <c r="C12360" s="9" t="s">
        <v>17</v>
      </c>
      <c r="D12360" s="9" t="s">
        <v>18</v>
      </c>
      <c r="E12360" s="10" t="s">
        <v>606</v>
      </c>
      <c r="F12360" s="9" t="s">
        <v>607</v>
      </c>
      <c r="G12360" s="10" t="s">
        <v>86</v>
      </c>
      <c r="H12360" s="9" t="s">
        <v>22</v>
      </c>
      <c r="I12360" s="9" t="s">
        <v>25084</v>
      </c>
      <c r="J12360" s="10" t="str">
        <f>HYPERLINK("https://www.boe.es/gazeta/dias/1834/06/23/pdfs/GMD-1834-126.pdf#page=2","Abrir facsímil")</f>
        <v>Abrir facsímil</v>
      </c>
      <c r="K12360" s="10" t="s">
        <v>24</v>
      </c>
    </row>
    <row r="12361" spans="1:11" ht="54" customHeight="1">
      <c r="A12361" s="9" t="s">
        <v>25068</v>
      </c>
      <c r="B12361" s="9" t="s">
        <v>25068</v>
      </c>
      <c r="C12361" s="9" t="s">
        <v>17</v>
      </c>
      <c r="D12361" s="9" t="s">
        <v>18</v>
      </c>
      <c r="E12361" s="10" t="s">
        <v>394</v>
      </c>
      <c r="F12361" s="9" t="s">
        <v>459</v>
      </c>
      <c r="G12361" s="10" t="s">
        <v>86</v>
      </c>
      <c r="H12361" s="9" t="s">
        <v>22</v>
      </c>
      <c r="I12361" s="9" t="s">
        <v>25085</v>
      </c>
      <c r="J12361" s="10" t="str">
        <f>HYPERLINK("https://www.boe.es/gazeta/dias/1834/12/23/pdfs/GMD-C-1834-313.pdf#page=2","Abrir facsímil")</f>
        <v>Abrir facsímil</v>
      </c>
      <c r="K12361" s="10" t="s">
        <v>24</v>
      </c>
    </row>
    <row r="12362" spans="1:11" ht="54" customHeight="1">
      <c r="A12362" s="9" t="s">
        <v>25068</v>
      </c>
      <c r="B12362" s="9" t="s">
        <v>25068</v>
      </c>
      <c r="C12362" s="9" t="s">
        <v>66</v>
      </c>
      <c r="D12362" s="9" t="s">
        <v>67</v>
      </c>
      <c r="E12362" s="10" t="s">
        <v>524</v>
      </c>
      <c r="F12362" s="9" t="s">
        <v>525</v>
      </c>
      <c r="G12362" s="10" t="s">
        <v>34</v>
      </c>
      <c r="H12362" s="9" t="s">
        <v>22</v>
      </c>
      <c r="I12362" s="9" t="s">
        <v>25086</v>
      </c>
      <c r="J12362" s="10" t="str">
        <f>HYPERLINK("https://www.boe.es/gazeta/dias/1834/12/25/pdfs/GMD-C-1834-315.pdf#page=1","Abrir facsímil")</f>
        <v>Abrir facsímil</v>
      </c>
      <c r="K12362" s="10" t="s">
        <v>24</v>
      </c>
    </row>
    <row r="12363" spans="1:11" ht="54" customHeight="1">
      <c r="A12363" s="9" t="s">
        <v>25068</v>
      </c>
      <c r="B12363" s="9" t="s">
        <v>25068</v>
      </c>
      <c r="C12363" s="9" t="s">
        <v>17</v>
      </c>
      <c r="D12363" s="9" t="s">
        <v>18</v>
      </c>
      <c r="E12363" s="10" t="s">
        <v>8010</v>
      </c>
      <c r="F12363" s="9" t="s">
        <v>8011</v>
      </c>
      <c r="G12363" s="10" t="s">
        <v>21</v>
      </c>
      <c r="H12363" s="9" t="s">
        <v>22</v>
      </c>
      <c r="I12363" s="9" t="s">
        <v>25087</v>
      </c>
      <c r="J12363" s="10" t="str">
        <f>HYPERLINK("https://www.boe.es/gazeta/dias/1834/08/28/pdfs/GMD-1834-194.pdf#page=3","Abrir facsímil")</f>
        <v>Abrir facsímil</v>
      </c>
      <c r="K12363" s="10" t="s">
        <v>24</v>
      </c>
    </row>
    <row r="12364" spans="1:11" ht="54" customHeight="1">
      <c r="A12364" s="9" t="s">
        <v>25088</v>
      </c>
      <c r="B12364" s="9" t="s">
        <v>25089</v>
      </c>
      <c r="C12364" s="9" t="s">
        <v>90</v>
      </c>
      <c r="D12364" s="9" t="s">
        <v>67</v>
      </c>
      <c r="E12364" s="10" t="s">
        <v>438</v>
      </c>
      <c r="F12364" s="9" t="s">
        <v>439</v>
      </c>
      <c r="G12364" s="10" t="s">
        <v>75</v>
      </c>
      <c r="H12364" s="9" t="s">
        <v>35</v>
      </c>
      <c r="I12364" s="9" t="s">
        <v>25090</v>
      </c>
      <c r="J12364" s="10" t="str">
        <f>HYPERLINK("https://www.boe.es/gazeta/dias/1834/11/09/pdfs/GMD-1834-268.pdf#page=4","Abrir facsímil")</f>
        <v>Abrir facsímil</v>
      </c>
      <c r="K12364" s="10" t="s">
        <v>37</v>
      </c>
    </row>
    <row r="12365" spans="1:11" ht="54" customHeight="1">
      <c r="A12365" s="9" t="s">
        <v>25088</v>
      </c>
      <c r="B12365" s="9" t="s">
        <v>25089</v>
      </c>
      <c r="C12365" s="9" t="s">
        <v>66</v>
      </c>
      <c r="D12365" s="9" t="s">
        <v>67</v>
      </c>
      <c r="E12365" s="10" t="s">
        <v>438</v>
      </c>
      <c r="F12365" s="9" t="s">
        <v>528</v>
      </c>
      <c r="G12365" s="10" t="s">
        <v>34</v>
      </c>
      <c r="H12365" s="9" t="s">
        <v>35</v>
      </c>
      <c r="I12365" s="9" t="s">
        <v>25091</v>
      </c>
      <c r="J12365" s="10" t="str">
        <f>HYPERLINK("https://www.boe.es/gazeta/dias/1834/11/09/pdfs/GMD-C-1834-268.pdf#page=1","Abrir facsímil")</f>
        <v>Abrir facsímil</v>
      </c>
      <c r="K12365" s="10" t="s">
        <v>37</v>
      </c>
    </row>
    <row r="12366" spans="1:11" ht="54" customHeight="1">
      <c r="A12366" s="9" t="s">
        <v>25088</v>
      </c>
      <c r="B12366" s="9" t="s">
        <v>25089</v>
      </c>
      <c r="C12366" s="9" t="s">
        <v>66</v>
      </c>
      <c r="D12366" s="9" t="s">
        <v>67</v>
      </c>
      <c r="E12366" s="10" t="s">
        <v>441</v>
      </c>
      <c r="F12366" s="9" t="s">
        <v>442</v>
      </c>
      <c r="G12366" s="10" t="s">
        <v>75</v>
      </c>
      <c r="H12366" s="9" t="s">
        <v>35</v>
      </c>
      <c r="I12366" s="9" t="s">
        <v>25092</v>
      </c>
      <c r="J12366" s="10" t="str">
        <f>HYPERLINK("https://www.boe.es/gazeta/dias/1834/11/10/pdfs/GMD-1834-269.pdf#page=4","Abrir facsímil")</f>
        <v>Abrir facsímil</v>
      </c>
      <c r="K12366" s="10" t="s">
        <v>37</v>
      </c>
    </row>
    <row r="12367" spans="1:11" ht="54" customHeight="1">
      <c r="A12367" s="9" t="s">
        <v>25093</v>
      </c>
      <c r="B12367" s="9" t="s">
        <v>25094</v>
      </c>
      <c r="C12367" s="9" t="s">
        <v>66</v>
      </c>
      <c r="D12367" s="9" t="s">
        <v>67</v>
      </c>
      <c r="E12367" s="10" t="s">
        <v>438</v>
      </c>
      <c r="F12367" s="9" t="s">
        <v>439</v>
      </c>
      <c r="G12367" s="10" t="s">
        <v>75</v>
      </c>
      <c r="H12367" s="9" t="s">
        <v>22</v>
      </c>
      <c r="I12367" s="9" t="s">
        <v>25095</v>
      </c>
      <c r="J12367" s="10" t="str">
        <f>HYPERLINK("https://www.boe.es/gazeta/dias/1834/11/09/pdfs/GMD-1834-268.pdf#page=4","Abrir facsímil")</f>
        <v>Abrir facsímil</v>
      </c>
      <c r="K12367" s="10" t="s">
        <v>24</v>
      </c>
    </row>
    <row r="12368" spans="1:11" ht="54" customHeight="1">
      <c r="A12368" s="9" t="s">
        <v>25096</v>
      </c>
      <c r="B12368" s="9" t="s">
        <v>25097</v>
      </c>
      <c r="C12368" s="9" t="s">
        <v>17</v>
      </c>
      <c r="D12368" s="9" t="s">
        <v>18</v>
      </c>
      <c r="E12368" s="10" t="s">
        <v>2218</v>
      </c>
      <c r="F12368" s="9" t="s">
        <v>2219</v>
      </c>
      <c r="G12368" s="10" t="s">
        <v>21</v>
      </c>
      <c r="H12368" s="9" t="s">
        <v>22</v>
      </c>
      <c r="I12368" s="9" t="s">
        <v>25098</v>
      </c>
      <c r="J12368" s="10" t="str">
        <f>HYPERLINK("https://www.boe.es/gazeta/dias/1834/11/05/pdfs/GMD-1834-264.pdf#page=3","Abrir facsímil")</f>
        <v>Abrir facsímil</v>
      </c>
      <c r="K12368" s="10" t="s">
        <v>24</v>
      </c>
    </row>
    <row r="12369" spans="1:11" ht="54" customHeight="1">
      <c r="A12369" s="9" t="s">
        <v>25099</v>
      </c>
      <c r="B12369" s="9" t="s">
        <v>25100</v>
      </c>
      <c r="C12369" s="9" t="s">
        <v>90</v>
      </c>
      <c r="D12369" s="9" t="s">
        <v>67</v>
      </c>
      <c r="E12369" s="10" t="s">
        <v>438</v>
      </c>
      <c r="F12369" s="9" t="s">
        <v>439</v>
      </c>
      <c r="G12369" s="10" t="s">
        <v>75</v>
      </c>
      <c r="H12369" s="9" t="s">
        <v>22</v>
      </c>
      <c r="I12369" s="9" t="s">
        <v>25101</v>
      </c>
      <c r="J12369" s="10" t="str">
        <f>HYPERLINK("https://www.boe.es/gazeta/dias/1834/11/09/pdfs/GMD-1834-268.pdf#page=4","Abrir facsímil")</f>
        <v>Abrir facsímil</v>
      </c>
      <c r="K12369" s="10" t="s">
        <v>24</v>
      </c>
    </row>
    <row r="12370" spans="1:11" ht="54" customHeight="1">
      <c r="A12370" s="9" t="s">
        <v>25099</v>
      </c>
      <c r="B12370" s="9" t="s">
        <v>25100</v>
      </c>
      <c r="C12370" s="9" t="s">
        <v>66</v>
      </c>
      <c r="D12370" s="9" t="s">
        <v>67</v>
      </c>
      <c r="E12370" s="10" t="s">
        <v>438</v>
      </c>
      <c r="F12370" s="9" t="s">
        <v>528</v>
      </c>
      <c r="G12370" s="10" t="s">
        <v>34</v>
      </c>
      <c r="H12370" s="9" t="s">
        <v>22</v>
      </c>
      <c r="I12370" s="9" t="s">
        <v>25102</v>
      </c>
      <c r="J12370" s="10" t="str">
        <f>HYPERLINK("https://www.boe.es/gazeta/dias/1834/11/09/pdfs/GMD-C-1834-268.pdf#page=1","Abrir facsímil")</f>
        <v>Abrir facsímil</v>
      </c>
      <c r="K12370" s="10" t="s">
        <v>24</v>
      </c>
    </row>
    <row r="12371" spans="1:11" ht="54" customHeight="1">
      <c r="A12371" s="9" t="s">
        <v>25099</v>
      </c>
      <c r="B12371" s="9" t="s">
        <v>25100</v>
      </c>
      <c r="C12371" s="9" t="s">
        <v>66</v>
      </c>
      <c r="D12371" s="9" t="s">
        <v>67</v>
      </c>
      <c r="E12371" s="10" t="s">
        <v>441</v>
      </c>
      <c r="F12371" s="9" t="s">
        <v>442</v>
      </c>
      <c r="G12371" s="10" t="s">
        <v>75</v>
      </c>
      <c r="H12371" s="9" t="s">
        <v>22</v>
      </c>
      <c r="I12371" s="9" t="s">
        <v>25103</v>
      </c>
      <c r="J12371" s="10" t="str">
        <f>HYPERLINK("https://www.boe.es/gazeta/dias/1834/11/10/pdfs/GMD-1834-269.pdf#page=4","Abrir facsímil")</f>
        <v>Abrir facsímil</v>
      </c>
      <c r="K12371" s="10" t="s">
        <v>24</v>
      </c>
    </row>
    <row r="12372" spans="1:11" ht="54" customHeight="1">
      <c r="A12372" s="9" t="s">
        <v>25099</v>
      </c>
      <c r="B12372" s="9" t="s">
        <v>25100</v>
      </c>
      <c r="C12372" s="9" t="s">
        <v>66</v>
      </c>
      <c r="D12372" s="9" t="s">
        <v>67</v>
      </c>
      <c r="E12372" s="10" t="s">
        <v>265</v>
      </c>
      <c r="F12372" s="9" t="s">
        <v>969</v>
      </c>
      <c r="G12372" s="10" t="s">
        <v>21</v>
      </c>
      <c r="H12372" s="9" t="s">
        <v>22</v>
      </c>
      <c r="I12372" s="9" t="s">
        <v>25104</v>
      </c>
      <c r="J12372" s="10" t="str">
        <f>HYPERLINK("https://www.boe.es/gazeta/dias/1834/11/19/pdfs/GMD-1834-278.pdf#page=3","Abrir facsímil")</f>
        <v>Abrir facsímil</v>
      </c>
      <c r="K12372" s="10" t="s">
        <v>24</v>
      </c>
    </row>
    <row r="12373" spans="1:11" ht="54" customHeight="1">
      <c r="A12373" s="9" t="s">
        <v>25099</v>
      </c>
      <c r="B12373" s="9" t="s">
        <v>25100</v>
      </c>
      <c r="C12373" s="9" t="s">
        <v>90</v>
      </c>
      <c r="D12373" s="9" t="s">
        <v>18</v>
      </c>
      <c r="E12373" s="10" t="s">
        <v>2888</v>
      </c>
      <c r="F12373" s="9" t="s">
        <v>2889</v>
      </c>
      <c r="G12373" s="10" t="s">
        <v>21</v>
      </c>
      <c r="H12373" s="9" t="s">
        <v>22</v>
      </c>
      <c r="I12373" s="9" t="s">
        <v>25105</v>
      </c>
      <c r="J12373" s="10" t="str">
        <f>HYPERLINK("https://www.boe.es/gazeta/dias/1834/12/22/pdfs/GMD-1834-312.pdf#page=3","Abrir facsímil")</f>
        <v>Abrir facsímil</v>
      </c>
      <c r="K12373" s="10" t="s">
        <v>24</v>
      </c>
    </row>
    <row r="12374" spans="1:11" ht="54" customHeight="1">
      <c r="A12374" s="9" t="s">
        <v>25106</v>
      </c>
      <c r="B12374" s="9" t="s">
        <v>25107</v>
      </c>
      <c r="C12374" s="9" t="s">
        <v>66</v>
      </c>
      <c r="D12374" s="9" t="s">
        <v>67</v>
      </c>
      <c r="E12374" s="10" t="s">
        <v>348</v>
      </c>
      <c r="F12374" s="9" t="s">
        <v>501</v>
      </c>
      <c r="G12374" s="10" t="s">
        <v>75</v>
      </c>
      <c r="H12374" s="9" t="s">
        <v>22</v>
      </c>
      <c r="I12374" s="9" t="s">
        <v>25108</v>
      </c>
      <c r="J12374" s="10" t="str">
        <f>HYPERLINK("https://www.boe.es/gazeta/dias/1834/06/12/pdfs/GMD-1834-115.pdf#page=4","Abrir facsímil")</f>
        <v>Abrir facsímil</v>
      </c>
      <c r="K12374" s="10" t="s">
        <v>24</v>
      </c>
    </row>
    <row r="12375" spans="1:11" ht="54" customHeight="1">
      <c r="A12375" s="9" t="s">
        <v>25109</v>
      </c>
      <c r="B12375" s="9" t="s">
        <v>25110</v>
      </c>
      <c r="C12375" s="9" t="s">
        <v>17</v>
      </c>
      <c r="D12375" s="9" t="s">
        <v>18</v>
      </c>
      <c r="E12375" s="10" t="s">
        <v>348</v>
      </c>
      <c r="F12375" s="9" t="s">
        <v>501</v>
      </c>
      <c r="G12375" s="10" t="s">
        <v>75</v>
      </c>
      <c r="H12375" s="9" t="s">
        <v>22</v>
      </c>
      <c r="I12375" s="9" t="s">
        <v>25111</v>
      </c>
      <c r="J12375" s="10" t="str">
        <f>HYPERLINK("https://www.boe.es/gazeta/dias/1834/06/12/pdfs/GMD-1834-115.pdf#page=4","Abrir facsímil")</f>
        <v>Abrir facsímil</v>
      </c>
      <c r="K12375" s="10" t="s">
        <v>24</v>
      </c>
    </row>
    <row r="12376" spans="1:11" ht="54" customHeight="1">
      <c r="A12376" s="9" t="s">
        <v>25112</v>
      </c>
      <c r="B12376" s="9" t="s">
        <v>25113</v>
      </c>
      <c r="C12376" s="9" t="s">
        <v>17</v>
      </c>
      <c r="D12376" s="9" t="s">
        <v>101</v>
      </c>
      <c r="E12376" s="10" t="s">
        <v>265</v>
      </c>
      <c r="F12376" s="9" t="s">
        <v>266</v>
      </c>
      <c r="G12376" s="10" t="s">
        <v>34</v>
      </c>
      <c r="H12376" s="9" t="s">
        <v>22</v>
      </c>
      <c r="I12376" s="9" t="s">
        <v>25114</v>
      </c>
      <c r="J12376" s="10" t="str">
        <f>HYPERLINK("https://www.boe.es/gazeta/dias/1834/11/19/pdfs/GMD-C-1834-278.pdf#page=1","Abrir facsímil")</f>
        <v>Abrir facsímil</v>
      </c>
      <c r="K12376" s="10" t="s">
        <v>24</v>
      </c>
    </row>
    <row r="12377" spans="1:11" ht="54" customHeight="1">
      <c r="A12377" s="9" t="s">
        <v>25115</v>
      </c>
      <c r="B12377" s="9" t="s">
        <v>25115</v>
      </c>
      <c r="C12377" s="9" t="s">
        <v>46</v>
      </c>
      <c r="D12377" s="9" t="s">
        <v>18</v>
      </c>
      <c r="E12377" s="10" t="s">
        <v>1742</v>
      </c>
      <c r="F12377" s="9" t="s">
        <v>1743</v>
      </c>
      <c r="G12377" s="10" t="s">
        <v>86</v>
      </c>
      <c r="H12377" s="9" t="s">
        <v>22</v>
      </c>
      <c r="I12377" s="9" t="s">
        <v>25116</v>
      </c>
      <c r="J12377" s="10" t="str">
        <f>HYPERLINK("https://www.boe.es/gazeta/dias/1834/11/06/pdfs/GMD-1834-265.pdf#page=2","Abrir facsímil")</f>
        <v>Abrir facsímil</v>
      </c>
      <c r="K12377" s="10" t="s">
        <v>24</v>
      </c>
    </row>
    <row r="12378" spans="1:11" ht="54" customHeight="1">
      <c r="A12378" s="9" t="s">
        <v>25117</v>
      </c>
      <c r="B12378" s="9" t="s">
        <v>25117</v>
      </c>
      <c r="C12378" s="9" t="s">
        <v>17</v>
      </c>
      <c r="D12378" s="9" t="s">
        <v>55</v>
      </c>
      <c r="E12378" s="10" t="s">
        <v>981</v>
      </c>
      <c r="F12378" s="9" t="s">
        <v>3406</v>
      </c>
      <c r="G12378" s="10" t="s">
        <v>75</v>
      </c>
      <c r="H12378" s="9" t="s">
        <v>22</v>
      </c>
      <c r="I12378" s="9" t="s">
        <v>25118</v>
      </c>
      <c r="J12378" s="10" t="str">
        <f>HYPERLINK("https://www.boe.es/gazeta/dias/1834/09/21/pdfs/GMD-C-1834-219.pdf#page=4","Abrir facsímil")</f>
        <v>Abrir facsímil</v>
      </c>
      <c r="K12378" s="10" t="s">
        <v>24</v>
      </c>
    </row>
    <row r="12379" spans="1:11" ht="54" customHeight="1">
      <c r="A12379" s="9" t="s">
        <v>25119</v>
      </c>
      <c r="B12379" s="9" t="s">
        <v>25119</v>
      </c>
      <c r="C12379" s="9" t="s">
        <v>17</v>
      </c>
      <c r="D12379" s="9" t="s">
        <v>18</v>
      </c>
      <c r="E12379" s="10" t="s">
        <v>715</v>
      </c>
      <c r="F12379" s="9" t="s">
        <v>716</v>
      </c>
      <c r="G12379" s="10" t="s">
        <v>86</v>
      </c>
      <c r="H12379" s="9" t="s">
        <v>22</v>
      </c>
      <c r="I12379" s="9" t="s">
        <v>25120</v>
      </c>
      <c r="J12379" s="10" t="str">
        <f>HYPERLINK("https://www.boe.es/gazeta/dias/1834/09/17/pdfs/GMD-C-1834-215.pdf#page=2","Abrir facsímil")</f>
        <v>Abrir facsímil</v>
      </c>
      <c r="K12379" s="10" t="s">
        <v>24</v>
      </c>
    </row>
    <row r="12380" spans="1:11" ht="54" customHeight="1">
      <c r="A12380" s="9" t="s">
        <v>25119</v>
      </c>
      <c r="B12380" s="9" t="s">
        <v>25119</v>
      </c>
      <c r="C12380" s="9" t="s">
        <v>46</v>
      </c>
      <c r="D12380" s="9" t="s">
        <v>18</v>
      </c>
      <c r="E12380" s="10" t="s">
        <v>394</v>
      </c>
      <c r="F12380" s="9" t="s">
        <v>459</v>
      </c>
      <c r="G12380" s="10" t="s">
        <v>28</v>
      </c>
      <c r="H12380" s="9" t="s">
        <v>22</v>
      </c>
      <c r="I12380" s="9" t="s">
        <v>25121</v>
      </c>
      <c r="J12380" s="10" t="str">
        <f>HYPERLINK("https://www.boe.es/gazeta/dias/1834/12/23/pdfs/GMD-C-1834-313.pdf#page=5","Abrir facsímil")</f>
        <v>Abrir facsímil</v>
      </c>
      <c r="K12380" s="10" t="s">
        <v>24</v>
      </c>
    </row>
    <row r="12381" spans="1:11" ht="54" customHeight="1">
      <c r="A12381" s="9" t="s">
        <v>25122</v>
      </c>
      <c r="B12381" s="9" t="s">
        <v>25123</v>
      </c>
      <c r="C12381" s="9" t="s">
        <v>46</v>
      </c>
      <c r="D12381" s="9" t="s">
        <v>101</v>
      </c>
      <c r="E12381" s="10" t="s">
        <v>167</v>
      </c>
      <c r="F12381" s="9" t="s">
        <v>1200</v>
      </c>
      <c r="G12381" s="10" t="s">
        <v>560</v>
      </c>
      <c r="H12381" s="9" t="s">
        <v>22</v>
      </c>
      <c r="I12381" s="9" t="s">
        <v>25124</v>
      </c>
      <c r="J12381" s="10" t="str">
        <f>HYPERLINK("https://www.boe.es/gazeta/dias/1834/09/07/pdfs/GMD-C-1834-205.pdf#page=7","Abrir facsímil")</f>
        <v>Abrir facsímil</v>
      </c>
      <c r="K12381" s="10" t="s">
        <v>24</v>
      </c>
    </row>
    <row r="12382" spans="1:11" ht="54" customHeight="1">
      <c r="A12382" s="9" t="s">
        <v>25125</v>
      </c>
      <c r="B12382" s="9" t="s">
        <v>25126</v>
      </c>
      <c r="C12382" s="9" t="s">
        <v>66</v>
      </c>
      <c r="D12382" s="9" t="s">
        <v>67</v>
      </c>
      <c r="E12382" s="10" t="s">
        <v>479</v>
      </c>
      <c r="F12382" s="9" t="s">
        <v>480</v>
      </c>
      <c r="G12382" s="10" t="s">
        <v>34</v>
      </c>
      <c r="H12382" s="9" t="s">
        <v>22</v>
      </c>
      <c r="I12382" s="9" t="s">
        <v>25127</v>
      </c>
      <c r="J12382" s="10" t="str">
        <f>HYPERLINK("https://www.boe.es/gazeta/dias/1834/08/13/pdfs/GMD-1834-178.pdf#page=1","Abrir facsímil")</f>
        <v>Abrir facsímil</v>
      </c>
      <c r="K12382" s="10" t="s">
        <v>24</v>
      </c>
    </row>
    <row r="12383" spans="1:11" ht="54" customHeight="1">
      <c r="A12383" s="9" t="s">
        <v>25128</v>
      </c>
      <c r="B12383" s="9" t="s">
        <v>25128</v>
      </c>
      <c r="C12383" s="9" t="s">
        <v>17</v>
      </c>
      <c r="D12383" s="9" t="s">
        <v>18</v>
      </c>
      <c r="E12383" s="10" t="s">
        <v>1008</v>
      </c>
      <c r="F12383" s="9" t="s">
        <v>1009</v>
      </c>
      <c r="G12383" s="10" t="s">
        <v>176</v>
      </c>
      <c r="H12383" s="9" t="s">
        <v>22</v>
      </c>
      <c r="I12383" s="9" t="s">
        <v>25129</v>
      </c>
      <c r="J12383" s="10" t="str">
        <f>HYPERLINK("https://www.boe.es/gazeta/dias/1834/11/08/pdfs/GMD-C-1834-267.pdf#page=6","Abrir facsímil")</f>
        <v>Abrir facsímil</v>
      </c>
      <c r="K12383" s="10" t="s">
        <v>24</v>
      </c>
    </row>
    <row r="12384" spans="1:11" ht="54" customHeight="1">
      <c r="A12384" s="9" t="s">
        <v>25130</v>
      </c>
      <c r="B12384" s="9" t="s">
        <v>25130</v>
      </c>
      <c r="C12384" s="9" t="s">
        <v>17</v>
      </c>
      <c r="D12384" s="9" t="s">
        <v>18</v>
      </c>
      <c r="E12384" s="10" t="s">
        <v>479</v>
      </c>
      <c r="F12384" s="9" t="s">
        <v>2258</v>
      </c>
      <c r="G12384" s="10" t="s">
        <v>34</v>
      </c>
      <c r="H12384" s="9" t="s">
        <v>22</v>
      </c>
      <c r="I12384" s="9" t="s">
        <v>25131</v>
      </c>
      <c r="J12384" s="10" t="str">
        <f>HYPERLINK("https://www.boe.es/gazeta/dias/1834/08/13/pdfs/GMD-C-1834-178.pdf#page=1","Abrir facsímil")</f>
        <v>Abrir facsímil</v>
      </c>
      <c r="K12384" s="10" t="s">
        <v>24</v>
      </c>
    </row>
    <row r="12385" spans="1:11" ht="54" customHeight="1">
      <c r="A12385" s="9" t="s">
        <v>25130</v>
      </c>
      <c r="B12385" s="9" t="s">
        <v>25130</v>
      </c>
      <c r="C12385" s="9" t="s">
        <v>122</v>
      </c>
      <c r="D12385" s="9" t="s">
        <v>101</v>
      </c>
      <c r="E12385" s="10" t="s">
        <v>233</v>
      </c>
      <c r="F12385" s="9" t="s">
        <v>1810</v>
      </c>
      <c r="G12385" s="10" t="s">
        <v>560</v>
      </c>
      <c r="H12385" s="9" t="s">
        <v>22</v>
      </c>
      <c r="I12385" s="9" t="s">
        <v>25132</v>
      </c>
      <c r="J12385" s="10" t="str">
        <f>HYPERLINK("https://www.boe.es/gazeta/dias/1834/12/16/pdfs/GMD-C-1834-305.pdf#page=7","Abrir facsímil")</f>
        <v>Abrir facsímil</v>
      </c>
      <c r="K12385" s="10" t="s">
        <v>24</v>
      </c>
    </row>
    <row r="12386" spans="1:11" ht="54" customHeight="1">
      <c r="A12386" s="9" t="s">
        <v>25133</v>
      </c>
      <c r="B12386" s="9" t="s">
        <v>25133</v>
      </c>
      <c r="C12386" s="9" t="s">
        <v>17</v>
      </c>
      <c r="D12386" s="9" t="s">
        <v>18</v>
      </c>
      <c r="E12386" s="10" t="s">
        <v>627</v>
      </c>
      <c r="F12386" s="9" t="s">
        <v>628</v>
      </c>
      <c r="G12386" s="10" t="s">
        <v>560</v>
      </c>
      <c r="H12386" s="9" t="s">
        <v>22</v>
      </c>
      <c r="I12386" s="9" t="s">
        <v>25134</v>
      </c>
      <c r="J12386" s="10" t="str">
        <f>HYPERLINK("https://www.boe.es/gazeta/dias/1834/09/22/pdfs/GMD-C-1834-220.pdf#page=7","Abrir facsímil")</f>
        <v>Abrir facsímil</v>
      </c>
      <c r="K12386" s="10" t="s">
        <v>24</v>
      </c>
    </row>
    <row r="12387" spans="1:11" ht="54" customHeight="1">
      <c r="A12387" s="9" t="s">
        <v>25135</v>
      </c>
      <c r="B12387" s="9" t="s">
        <v>25135</v>
      </c>
      <c r="C12387" s="9" t="s">
        <v>17</v>
      </c>
      <c r="D12387" s="9" t="s">
        <v>18</v>
      </c>
      <c r="E12387" s="10" t="s">
        <v>200</v>
      </c>
      <c r="F12387" s="9" t="s">
        <v>2248</v>
      </c>
      <c r="G12387" s="10" t="s">
        <v>21</v>
      </c>
      <c r="H12387" s="9" t="s">
        <v>22</v>
      </c>
      <c r="I12387" s="9" t="s">
        <v>25136</v>
      </c>
      <c r="J12387" s="10" t="str">
        <f>HYPERLINK("https://www.boe.es/gazeta/dias/1834/12/11/pdfs/GMD-C-1834-300.pdf#page=3","Abrir facsímil")</f>
        <v>Abrir facsímil</v>
      </c>
      <c r="K12387" s="10" t="s">
        <v>24</v>
      </c>
    </row>
    <row r="12388" spans="1:11" ht="54" customHeight="1">
      <c r="A12388" s="9" t="s">
        <v>25135</v>
      </c>
      <c r="B12388" s="9" t="s">
        <v>25135</v>
      </c>
      <c r="C12388" s="9" t="s">
        <v>17</v>
      </c>
      <c r="D12388" s="9" t="s">
        <v>18</v>
      </c>
      <c r="E12388" s="10" t="s">
        <v>26</v>
      </c>
      <c r="F12388" s="9" t="s">
        <v>27</v>
      </c>
      <c r="G12388" s="10" t="s">
        <v>86</v>
      </c>
      <c r="H12388" s="9" t="s">
        <v>22</v>
      </c>
      <c r="I12388" s="9" t="s">
        <v>25137</v>
      </c>
      <c r="J12388" s="10" t="str">
        <f>HYPERLINK("https://www.boe.es/gazeta/dias/1834/10/19/pdfs/GMD-C-1834-247.pdf#page=2","Abrir facsímil")</f>
        <v>Abrir facsímil</v>
      </c>
      <c r="K12388" s="10" t="s">
        <v>24</v>
      </c>
    </row>
    <row r="12389" spans="1:11" ht="54" customHeight="1">
      <c r="A12389" s="9" t="s">
        <v>25135</v>
      </c>
      <c r="B12389" s="9" t="s">
        <v>25135</v>
      </c>
      <c r="C12389" s="9" t="s">
        <v>17</v>
      </c>
      <c r="D12389" s="9" t="s">
        <v>18</v>
      </c>
      <c r="E12389" s="10" t="s">
        <v>981</v>
      </c>
      <c r="F12389" s="9" t="s">
        <v>3406</v>
      </c>
      <c r="G12389" s="10" t="s">
        <v>28</v>
      </c>
      <c r="H12389" s="9" t="s">
        <v>22</v>
      </c>
      <c r="I12389" s="9" t="s">
        <v>25138</v>
      </c>
      <c r="J12389" s="10" t="str">
        <f>HYPERLINK("https://www.boe.es/gazeta/dias/1834/09/21/pdfs/GMD-C-1834-219.pdf#page=5","Abrir facsímil")</f>
        <v>Abrir facsímil</v>
      </c>
      <c r="K12389" s="10" t="s">
        <v>24</v>
      </c>
    </row>
    <row r="12390" spans="1:11" ht="54" customHeight="1">
      <c r="A12390" s="9" t="s">
        <v>25139</v>
      </c>
      <c r="B12390" s="9" t="s">
        <v>25140</v>
      </c>
      <c r="C12390" s="9" t="s">
        <v>17</v>
      </c>
      <c r="D12390" s="9" t="s">
        <v>18</v>
      </c>
      <c r="E12390" s="10" t="s">
        <v>251</v>
      </c>
      <c r="F12390" s="9" t="s">
        <v>252</v>
      </c>
      <c r="G12390" s="10" t="s">
        <v>21</v>
      </c>
      <c r="H12390" s="9" t="s">
        <v>22</v>
      </c>
      <c r="I12390" s="9" t="s">
        <v>25141</v>
      </c>
      <c r="J12390" s="10" t="str">
        <f>HYPERLINK("https://www.boe.es/gazeta/dias/1834/09/26/pdfs/GMD-C-1834-224.pdf#page=3","Abrir facsímil")</f>
        <v>Abrir facsímil</v>
      </c>
      <c r="K12390" s="10" t="s">
        <v>24</v>
      </c>
    </row>
    <row r="12391" spans="1:11" ht="54" customHeight="1">
      <c r="A12391" s="9" t="s">
        <v>25142</v>
      </c>
      <c r="B12391" s="9" t="s">
        <v>25143</v>
      </c>
      <c r="C12391" s="9" t="s">
        <v>17</v>
      </c>
      <c r="D12391" s="9" t="s">
        <v>18</v>
      </c>
      <c r="E12391" s="10" t="s">
        <v>251</v>
      </c>
      <c r="F12391" s="9" t="s">
        <v>252</v>
      </c>
      <c r="G12391" s="10" t="s">
        <v>21</v>
      </c>
      <c r="H12391" s="9" t="s">
        <v>22</v>
      </c>
      <c r="I12391" s="9" t="s">
        <v>25144</v>
      </c>
      <c r="J12391" s="10" t="str">
        <f>HYPERLINK("https://www.boe.es/gazeta/dias/1834/09/26/pdfs/GMD-C-1834-224.pdf#page=3","Abrir facsímil")</f>
        <v>Abrir facsímil</v>
      </c>
      <c r="K12391" s="10" t="s">
        <v>24</v>
      </c>
    </row>
    <row r="12392" spans="1:11" ht="54" customHeight="1">
      <c r="A12392" s="9" t="s">
        <v>25145</v>
      </c>
      <c r="B12392" s="9" t="s">
        <v>25145</v>
      </c>
      <c r="C12392" s="9" t="s">
        <v>66</v>
      </c>
      <c r="D12392" s="9" t="s">
        <v>67</v>
      </c>
      <c r="E12392" s="10" t="s">
        <v>153</v>
      </c>
      <c r="F12392" s="9" t="s">
        <v>154</v>
      </c>
      <c r="G12392" s="10" t="s">
        <v>86</v>
      </c>
      <c r="H12392" s="9" t="s">
        <v>22</v>
      </c>
      <c r="I12392" s="9" t="s">
        <v>25146</v>
      </c>
      <c r="J12392" s="10" t="str">
        <f>HYPERLINK("https://www.boe.es/gazeta/dias/1834/12/30/pdfs/GMD-C-1834-320.pdf#page=2","Abrir facsímil")</f>
        <v>Abrir facsímil</v>
      </c>
      <c r="K12392" s="10" t="s">
        <v>24</v>
      </c>
    </row>
    <row r="12393" spans="1:11" ht="54" customHeight="1">
      <c r="A12393" s="9" t="s">
        <v>25147</v>
      </c>
      <c r="B12393" s="9" t="s">
        <v>25148</v>
      </c>
      <c r="C12393" s="9" t="s">
        <v>17</v>
      </c>
      <c r="D12393" s="9" t="s">
        <v>101</v>
      </c>
      <c r="E12393" s="10" t="s">
        <v>233</v>
      </c>
      <c r="F12393" s="9" t="s">
        <v>234</v>
      </c>
      <c r="G12393" s="10" t="s">
        <v>34</v>
      </c>
      <c r="H12393" s="9" t="s">
        <v>22</v>
      </c>
      <c r="I12393" s="9" t="s">
        <v>25149</v>
      </c>
      <c r="J12393" s="10" t="str">
        <f>HYPERLINK("https://www.boe.es/gazeta/dias/1834/12/16/pdfs/GMD-1834-305.pdf#page=1","Abrir facsímil")</f>
        <v>Abrir facsímil</v>
      </c>
      <c r="K12393" s="10" t="s">
        <v>24</v>
      </c>
    </row>
    <row r="12394" spans="1:11" ht="54" customHeight="1">
      <c r="A12394" s="9" t="s">
        <v>25150</v>
      </c>
      <c r="B12394" s="9" t="s">
        <v>25151</v>
      </c>
      <c r="C12394" s="9" t="s">
        <v>66</v>
      </c>
      <c r="D12394" s="9" t="s">
        <v>67</v>
      </c>
      <c r="E12394" s="10" t="s">
        <v>590</v>
      </c>
      <c r="F12394" s="9" t="s">
        <v>17808</v>
      </c>
      <c r="G12394" s="10" t="s">
        <v>34</v>
      </c>
      <c r="H12394" s="9" t="s">
        <v>22</v>
      </c>
      <c r="I12394" s="9" t="s">
        <v>25152</v>
      </c>
      <c r="J12394" s="10" t="str">
        <f>HYPERLINK("https://www.boe.es/gazeta/dias/1834/11/30/pdfs/GMD-C-1834-289.pdf#page=1","Abrir facsímil")</f>
        <v>Abrir facsímil</v>
      </c>
      <c r="K12394" s="10" t="s">
        <v>24</v>
      </c>
    </row>
    <row r="12395" spans="1:11" ht="54" customHeight="1">
      <c r="A12395" s="9" t="s">
        <v>25153</v>
      </c>
      <c r="B12395" s="9" t="s">
        <v>25154</v>
      </c>
      <c r="C12395" s="9" t="s">
        <v>17</v>
      </c>
      <c r="D12395" s="9" t="s">
        <v>18</v>
      </c>
      <c r="E12395" s="10" t="s">
        <v>679</v>
      </c>
      <c r="F12395" s="9" t="s">
        <v>699</v>
      </c>
      <c r="G12395" s="10" t="s">
        <v>21</v>
      </c>
      <c r="H12395" s="9" t="s">
        <v>22</v>
      </c>
      <c r="I12395" s="9" t="s">
        <v>25155</v>
      </c>
      <c r="J12395" s="10" t="str">
        <f>HYPERLINK("https://www.boe.es/gazeta/dias/1834/12/10/pdfs/GMD-C-1834-299.pdf#page=3","Abrir facsímil")</f>
        <v>Abrir facsímil</v>
      </c>
      <c r="K12395" s="10" t="s">
        <v>24</v>
      </c>
    </row>
    <row r="12396" spans="1:11" ht="54" customHeight="1">
      <c r="A12396" s="9" t="s">
        <v>25156</v>
      </c>
      <c r="B12396" s="9" t="s">
        <v>25157</v>
      </c>
      <c r="C12396" s="9" t="s">
        <v>17</v>
      </c>
      <c r="D12396" s="9" t="s">
        <v>18</v>
      </c>
      <c r="E12396" s="10" t="s">
        <v>1424</v>
      </c>
      <c r="F12396" s="9" t="s">
        <v>1425</v>
      </c>
      <c r="G12396" s="10" t="s">
        <v>86</v>
      </c>
      <c r="H12396" s="9" t="s">
        <v>22</v>
      </c>
      <c r="I12396" s="9" t="s">
        <v>25158</v>
      </c>
      <c r="J12396" s="10" t="str">
        <f>HYPERLINK("https://www.boe.es/gazeta/dias/1834/11/14/pdfs/GMD-C-1834-273.pdf#page=2","Abrir facsímil")</f>
        <v>Abrir facsímil</v>
      </c>
      <c r="K12396" s="10" t="s">
        <v>24</v>
      </c>
    </row>
    <row r="12397" spans="1:11" ht="54" customHeight="1">
      <c r="A12397" s="9" t="s">
        <v>25159</v>
      </c>
      <c r="B12397" s="9" t="s">
        <v>25159</v>
      </c>
      <c r="C12397" s="9" t="s">
        <v>17</v>
      </c>
      <c r="D12397" s="9" t="s">
        <v>40</v>
      </c>
      <c r="E12397" s="10" t="s">
        <v>1170</v>
      </c>
      <c r="F12397" s="9" t="s">
        <v>1171</v>
      </c>
      <c r="G12397" s="10" t="s">
        <v>176</v>
      </c>
      <c r="H12397" s="9" t="s">
        <v>22</v>
      </c>
      <c r="I12397" s="9" t="s">
        <v>25160</v>
      </c>
      <c r="J12397" s="10" t="str">
        <f>HYPERLINK("https://www.boe.es/gazeta/dias/1834/01/07/pdfs/GMD-1834-4.pdf#page=6","Abrir facsímil")</f>
        <v>Abrir facsímil</v>
      </c>
      <c r="K12397" s="10" t="s">
        <v>24</v>
      </c>
    </row>
    <row r="12398" spans="1:11" ht="54" customHeight="1">
      <c r="A12398" s="9" t="s">
        <v>25161</v>
      </c>
      <c r="B12398" s="9" t="s">
        <v>25161</v>
      </c>
      <c r="C12398" s="9" t="s">
        <v>17</v>
      </c>
      <c r="D12398" s="9" t="s">
        <v>18</v>
      </c>
      <c r="E12398" s="10" t="s">
        <v>715</v>
      </c>
      <c r="F12398" s="9" t="s">
        <v>7773</v>
      </c>
      <c r="G12398" s="10" t="s">
        <v>34</v>
      </c>
      <c r="H12398" s="9" t="s">
        <v>22</v>
      </c>
      <c r="I12398" s="9" t="s">
        <v>25162</v>
      </c>
      <c r="J12398" s="10" t="str">
        <f>HYPERLINK("https://www.boe.es/gazeta/dias/1834/09/17/pdfs/GMD-1834-215.pdf#page=1","Abrir facsímil")</f>
        <v>Abrir facsímil</v>
      </c>
      <c r="K12398" s="10" t="s">
        <v>24</v>
      </c>
    </row>
    <row r="12399" spans="1:11" ht="54" customHeight="1">
      <c r="A12399" s="9" t="s">
        <v>25161</v>
      </c>
      <c r="B12399" s="9" t="s">
        <v>25161</v>
      </c>
      <c r="C12399" s="9" t="s">
        <v>46</v>
      </c>
      <c r="D12399" s="9" t="s">
        <v>101</v>
      </c>
      <c r="E12399" s="10" t="s">
        <v>251</v>
      </c>
      <c r="F12399" s="9" t="s">
        <v>1278</v>
      </c>
      <c r="G12399" s="10" t="s">
        <v>86</v>
      </c>
      <c r="H12399" s="9" t="s">
        <v>22</v>
      </c>
      <c r="I12399" s="9" t="s">
        <v>25163</v>
      </c>
      <c r="J12399" s="10" t="str">
        <f>HYPERLINK("https://www.boe.es/gazeta/dias/1834/09/26/pdfs/GMD-1834-224.pdf#page=2","Abrir facsímil")</f>
        <v>Abrir facsímil</v>
      </c>
      <c r="K12399" s="10" t="s">
        <v>24</v>
      </c>
    </row>
    <row r="12400" spans="1:11" ht="54" customHeight="1">
      <c r="A12400" s="9" t="s">
        <v>25164</v>
      </c>
      <c r="B12400" s="9" t="s">
        <v>25164</v>
      </c>
      <c r="C12400" s="9" t="s">
        <v>17</v>
      </c>
      <c r="D12400" s="9" t="s">
        <v>18</v>
      </c>
      <c r="E12400" s="10" t="s">
        <v>222</v>
      </c>
      <c r="F12400" s="9" t="s">
        <v>223</v>
      </c>
      <c r="G12400" s="10" t="s">
        <v>21</v>
      </c>
      <c r="H12400" s="9" t="s">
        <v>22</v>
      </c>
      <c r="I12400" s="9" t="s">
        <v>25165</v>
      </c>
      <c r="J12400" s="10" t="str">
        <f>HYPERLINK("https://www.boe.es/gazeta/dias/1834/09/14/pdfs/GMD-1834-212.pdf#page=3","Abrir facsímil")</f>
        <v>Abrir facsímil</v>
      </c>
      <c r="K12400" s="10" t="s">
        <v>24</v>
      </c>
    </row>
    <row r="12401" spans="1:11" ht="54" customHeight="1">
      <c r="A12401" s="9" t="s">
        <v>25166</v>
      </c>
      <c r="B12401" s="9" t="s">
        <v>25167</v>
      </c>
      <c r="C12401" s="9" t="s">
        <v>17</v>
      </c>
      <c r="D12401" s="9" t="s">
        <v>18</v>
      </c>
      <c r="E12401" s="10" t="s">
        <v>981</v>
      </c>
      <c r="F12401" s="9" t="s">
        <v>3406</v>
      </c>
      <c r="G12401" s="10" t="s">
        <v>21</v>
      </c>
      <c r="H12401" s="9" t="s">
        <v>22</v>
      </c>
      <c r="I12401" s="9" t="s">
        <v>25168</v>
      </c>
      <c r="J12401" s="10" t="str">
        <f>HYPERLINK("https://www.boe.es/gazeta/dias/1834/09/21/pdfs/GMD-C-1834-219.pdf#page=3","Abrir facsímil")</f>
        <v>Abrir facsímil</v>
      </c>
      <c r="K12401" s="10" t="s">
        <v>24</v>
      </c>
    </row>
    <row r="12402" spans="1:11" ht="54" customHeight="1">
      <c r="A12402" s="9" t="s">
        <v>25169</v>
      </c>
      <c r="B12402" s="9" t="s">
        <v>25169</v>
      </c>
      <c r="C12402" s="9" t="s">
        <v>17</v>
      </c>
      <c r="D12402" s="9" t="s">
        <v>18</v>
      </c>
      <c r="E12402" s="10" t="s">
        <v>642</v>
      </c>
      <c r="F12402" s="9" t="s">
        <v>643</v>
      </c>
      <c r="G12402" s="10" t="s">
        <v>21</v>
      </c>
      <c r="H12402" s="9" t="s">
        <v>22</v>
      </c>
      <c r="I12402" s="9" t="s">
        <v>25170</v>
      </c>
      <c r="J12402" s="10" t="str">
        <f>HYPERLINK("https://www.boe.es/gazeta/dias/1834/11/12/pdfs/GMD-C-1834-271.pdf#page=3","Abrir facsímil")</f>
        <v>Abrir facsímil</v>
      </c>
      <c r="K12402" s="10" t="s">
        <v>24</v>
      </c>
    </row>
    <row r="12403" spans="1:11" ht="54" customHeight="1">
      <c r="A12403" s="9" t="s">
        <v>25171</v>
      </c>
      <c r="B12403" s="9" t="s">
        <v>25172</v>
      </c>
      <c r="C12403" s="9" t="s">
        <v>122</v>
      </c>
      <c r="D12403" s="9" t="s">
        <v>18</v>
      </c>
      <c r="E12403" s="10" t="s">
        <v>2729</v>
      </c>
      <c r="F12403" s="9" t="s">
        <v>2730</v>
      </c>
      <c r="G12403" s="10" t="s">
        <v>21</v>
      </c>
      <c r="H12403" s="9" t="s">
        <v>35</v>
      </c>
      <c r="I12403" s="9" t="s">
        <v>25173</v>
      </c>
      <c r="J12403" s="10" t="str">
        <f>HYPERLINK("https://www.boe.es/gazeta/dias/1834/07/02/pdfs/GMD-1834-135.pdf#page=3","Abrir facsímil")</f>
        <v>Abrir facsímil</v>
      </c>
      <c r="K12403" s="10" t="s">
        <v>37</v>
      </c>
    </row>
    <row r="12404" spans="1:11" ht="54" customHeight="1">
      <c r="A12404" s="9" t="s">
        <v>25174</v>
      </c>
      <c r="B12404" s="9" t="s">
        <v>25175</v>
      </c>
      <c r="C12404" s="9" t="s">
        <v>122</v>
      </c>
      <c r="D12404" s="9" t="s">
        <v>18</v>
      </c>
      <c r="E12404" s="10" t="s">
        <v>2729</v>
      </c>
      <c r="F12404" s="9" t="s">
        <v>2730</v>
      </c>
      <c r="G12404" s="10" t="s">
        <v>21</v>
      </c>
      <c r="H12404" s="9" t="s">
        <v>22</v>
      </c>
      <c r="I12404" s="9" t="s">
        <v>25176</v>
      </c>
      <c r="J12404" s="10" t="str">
        <f>HYPERLINK("https://www.boe.es/gazeta/dias/1834/07/02/pdfs/GMD-1834-135.pdf#page=3","Abrir facsímil")</f>
        <v>Abrir facsímil</v>
      </c>
      <c r="K12404" s="10" t="s">
        <v>24</v>
      </c>
    </row>
    <row r="12405" spans="1:11" ht="54" customHeight="1">
      <c r="A12405" s="9" t="s">
        <v>25177</v>
      </c>
      <c r="B12405" s="9" t="s">
        <v>25178</v>
      </c>
      <c r="C12405" s="9" t="s">
        <v>17</v>
      </c>
      <c r="D12405" s="9" t="s">
        <v>18</v>
      </c>
      <c r="E12405" s="10" t="s">
        <v>1686</v>
      </c>
      <c r="F12405" s="9" t="s">
        <v>2311</v>
      </c>
      <c r="G12405" s="10" t="s">
        <v>34</v>
      </c>
      <c r="H12405" s="9" t="s">
        <v>35</v>
      </c>
      <c r="I12405" s="9" t="s">
        <v>25179</v>
      </c>
      <c r="J12405" s="10" t="str">
        <f>HYPERLINK("https://www.boe.es/gazeta/dias/1834/07/27/pdfs/GMD-C-1834-160.pdf#page=1","Abrir facsímil")</f>
        <v>Abrir facsímil</v>
      </c>
      <c r="K12405" s="10" t="s">
        <v>37</v>
      </c>
    </row>
    <row r="12406" spans="1:11" ht="54" customHeight="1">
      <c r="A12406" s="9" t="s">
        <v>25180</v>
      </c>
      <c r="B12406" s="9" t="s">
        <v>25181</v>
      </c>
      <c r="C12406" s="9" t="s">
        <v>17</v>
      </c>
      <c r="D12406" s="9" t="s">
        <v>18</v>
      </c>
      <c r="E12406" s="10" t="s">
        <v>1686</v>
      </c>
      <c r="F12406" s="9" t="s">
        <v>2311</v>
      </c>
      <c r="G12406" s="10" t="s">
        <v>34</v>
      </c>
      <c r="H12406" s="9" t="s">
        <v>22</v>
      </c>
      <c r="I12406" s="9" t="s">
        <v>25182</v>
      </c>
      <c r="J12406" s="10" t="str">
        <f>HYPERLINK("https://www.boe.es/gazeta/dias/1834/07/27/pdfs/GMD-C-1834-160.pdf#page=1","Abrir facsímil")</f>
        <v>Abrir facsímil</v>
      </c>
      <c r="K12406" s="10" t="s">
        <v>24</v>
      </c>
    </row>
    <row r="12407" spans="1:11" ht="54" customHeight="1">
      <c r="A12407" s="9" t="s">
        <v>25183</v>
      </c>
      <c r="B12407" s="9" t="s">
        <v>25184</v>
      </c>
      <c r="C12407" s="9" t="s">
        <v>17</v>
      </c>
      <c r="D12407" s="9" t="s">
        <v>18</v>
      </c>
      <c r="E12407" s="10" t="s">
        <v>56</v>
      </c>
      <c r="F12407" s="9" t="s">
        <v>57</v>
      </c>
      <c r="G12407" s="10" t="s">
        <v>21</v>
      </c>
      <c r="H12407" s="9" t="s">
        <v>35</v>
      </c>
      <c r="I12407" s="9" t="s">
        <v>25185</v>
      </c>
      <c r="J12407" s="10" t="str">
        <f>HYPERLINK("https://www.boe.es/gazeta/dias/1834/07/09/pdfs/GMD-1834-142.pdf#page=3","Abrir facsímil")</f>
        <v>Abrir facsímil</v>
      </c>
      <c r="K12407" s="10" t="s">
        <v>37</v>
      </c>
    </row>
    <row r="12408" spans="1:11" ht="54" customHeight="1">
      <c r="A12408" s="9" t="s">
        <v>25186</v>
      </c>
      <c r="B12408" s="9" t="s">
        <v>25187</v>
      </c>
      <c r="C12408" s="9" t="s">
        <v>17</v>
      </c>
      <c r="D12408" s="9" t="s">
        <v>18</v>
      </c>
      <c r="E12408" s="10" t="s">
        <v>56</v>
      </c>
      <c r="F12408" s="9" t="s">
        <v>57</v>
      </c>
      <c r="G12408" s="10" t="s">
        <v>21</v>
      </c>
      <c r="H12408" s="9" t="s">
        <v>22</v>
      </c>
      <c r="I12408" s="9" t="s">
        <v>25188</v>
      </c>
      <c r="J12408" s="10" t="str">
        <f>HYPERLINK("https://www.boe.es/gazeta/dias/1834/07/09/pdfs/GMD-1834-142.pdf#page=3","Abrir facsímil")</f>
        <v>Abrir facsímil</v>
      </c>
      <c r="K12408" s="10" t="s">
        <v>24</v>
      </c>
    </row>
    <row r="12409" spans="1:11" ht="54" customHeight="1">
      <c r="A12409" s="9" t="s">
        <v>25189</v>
      </c>
      <c r="B12409" s="9" t="s">
        <v>25190</v>
      </c>
      <c r="C12409" s="9" t="s">
        <v>46</v>
      </c>
      <c r="D12409" s="9" t="s">
        <v>55</v>
      </c>
      <c r="E12409" s="10" t="s">
        <v>251</v>
      </c>
      <c r="F12409" s="9" t="s">
        <v>1278</v>
      </c>
      <c r="G12409" s="10" t="s">
        <v>86</v>
      </c>
      <c r="H12409" s="9" t="s">
        <v>22</v>
      </c>
      <c r="I12409" s="9" t="s">
        <v>25191</v>
      </c>
      <c r="J12409" s="10" t="str">
        <f>HYPERLINK("https://www.boe.es/gazeta/dias/1834/09/26/pdfs/GMD-1834-224.pdf#page=2","Abrir facsímil")</f>
        <v>Abrir facsímil</v>
      </c>
      <c r="K12409" s="10" t="s">
        <v>24</v>
      </c>
    </row>
    <row r="12410" spans="1:11" ht="54" customHeight="1">
      <c r="A12410" s="9" t="s">
        <v>25192</v>
      </c>
      <c r="B12410" s="9" t="s">
        <v>25193</v>
      </c>
      <c r="C12410" s="9" t="s">
        <v>17</v>
      </c>
      <c r="D12410" s="9" t="s">
        <v>18</v>
      </c>
      <c r="E12410" s="10" t="s">
        <v>32</v>
      </c>
      <c r="F12410" s="9" t="s">
        <v>33</v>
      </c>
      <c r="G12410" s="10" t="s">
        <v>75</v>
      </c>
      <c r="H12410" s="9" t="s">
        <v>35</v>
      </c>
      <c r="I12410" s="9" t="s">
        <v>25194</v>
      </c>
      <c r="J12410" s="10" t="str">
        <f>HYPERLINK("https://www.boe.es/gazeta/dias/1834/04/23/pdfs/GMD-1834-62.pdf#page=4","Abrir facsímil")</f>
        <v>Abrir facsímil</v>
      </c>
      <c r="K12410" s="10" t="s">
        <v>37</v>
      </c>
    </row>
    <row r="12411" spans="1:11" ht="54" customHeight="1">
      <c r="A12411" s="9" t="s">
        <v>25195</v>
      </c>
      <c r="B12411" s="9" t="s">
        <v>25196</v>
      </c>
      <c r="C12411" s="9" t="s">
        <v>122</v>
      </c>
      <c r="D12411" s="9" t="s">
        <v>18</v>
      </c>
      <c r="E12411" s="10" t="s">
        <v>1234</v>
      </c>
      <c r="F12411" s="9" t="s">
        <v>1235</v>
      </c>
      <c r="G12411" s="10" t="s">
        <v>34</v>
      </c>
      <c r="H12411" s="9" t="s">
        <v>35</v>
      </c>
      <c r="I12411" s="9" t="s">
        <v>25197</v>
      </c>
      <c r="J12411" s="10" t="str">
        <f>HYPERLINK("https://www.boe.es/gazeta/dias/1834/05/15/pdfs/GMD-C-1834-84.pdf#page=1","Abrir facsímil")</f>
        <v>Abrir facsímil</v>
      </c>
      <c r="K12411" s="10" t="s">
        <v>37</v>
      </c>
    </row>
    <row r="12412" spans="1:11" ht="54" customHeight="1">
      <c r="A12412" s="9" t="s">
        <v>25198</v>
      </c>
      <c r="B12412" s="9" t="s">
        <v>25199</v>
      </c>
      <c r="C12412" s="9" t="s">
        <v>122</v>
      </c>
      <c r="D12412" s="9" t="s">
        <v>18</v>
      </c>
      <c r="E12412" s="10" t="s">
        <v>1234</v>
      </c>
      <c r="F12412" s="9" t="s">
        <v>1235</v>
      </c>
      <c r="G12412" s="10" t="s">
        <v>34</v>
      </c>
      <c r="H12412" s="9" t="s">
        <v>22</v>
      </c>
      <c r="I12412" s="9" t="s">
        <v>25200</v>
      </c>
      <c r="J12412" s="10" t="str">
        <f>HYPERLINK("https://www.boe.es/gazeta/dias/1834/05/15/pdfs/GMD-C-1834-84.pdf#page=1","Abrir facsímil")</f>
        <v>Abrir facsímil</v>
      </c>
      <c r="K12412" s="10" t="s">
        <v>24</v>
      </c>
    </row>
    <row r="12413" spans="1:11" ht="54" customHeight="1">
      <c r="A12413" s="9" t="s">
        <v>25198</v>
      </c>
      <c r="B12413" s="9" t="s">
        <v>25199</v>
      </c>
      <c r="C12413" s="9" t="s">
        <v>17</v>
      </c>
      <c r="D12413" s="9" t="s">
        <v>18</v>
      </c>
      <c r="E12413" s="10" t="s">
        <v>32</v>
      </c>
      <c r="F12413" s="9" t="s">
        <v>33</v>
      </c>
      <c r="G12413" s="10" t="s">
        <v>75</v>
      </c>
      <c r="H12413" s="9" t="s">
        <v>22</v>
      </c>
      <c r="I12413" s="9" t="s">
        <v>25201</v>
      </c>
      <c r="J12413" s="10" t="str">
        <f>HYPERLINK("https://www.boe.es/gazeta/dias/1834/04/23/pdfs/GMD-1834-62.pdf#page=4","Abrir facsímil")</f>
        <v>Abrir facsímil</v>
      </c>
      <c r="K12413" s="10" t="s">
        <v>24</v>
      </c>
    </row>
    <row r="12414" spans="1:11" ht="54" customHeight="1">
      <c r="A12414" s="9" t="s">
        <v>25202</v>
      </c>
      <c r="B12414" s="9" t="s">
        <v>25202</v>
      </c>
      <c r="C12414" s="9" t="s">
        <v>17</v>
      </c>
      <c r="D12414" s="9" t="s">
        <v>18</v>
      </c>
      <c r="E12414" s="10" t="s">
        <v>317</v>
      </c>
      <c r="F12414" s="9" t="s">
        <v>318</v>
      </c>
      <c r="G12414" s="10" t="s">
        <v>86</v>
      </c>
      <c r="H12414" s="9" t="s">
        <v>22</v>
      </c>
      <c r="I12414" s="9" t="s">
        <v>25203</v>
      </c>
      <c r="J12414" s="10" t="str">
        <f>HYPERLINK("https://www.boe.es/gazeta/dias/1834/03/06/pdfs/GMD-1834-29.pdf#page=2","Abrir facsímil")</f>
        <v>Abrir facsímil</v>
      </c>
      <c r="K12414" s="10" t="s">
        <v>24</v>
      </c>
    </row>
    <row r="12415" spans="1:11" ht="54" customHeight="1">
      <c r="A12415" s="9" t="s">
        <v>25202</v>
      </c>
      <c r="B12415" s="9" t="s">
        <v>25202</v>
      </c>
      <c r="C12415" s="9" t="s">
        <v>66</v>
      </c>
      <c r="D12415" s="9" t="s">
        <v>67</v>
      </c>
      <c r="E12415" s="10" t="s">
        <v>860</v>
      </c>
      <c r="F12415" s="9" t="s">
        <v>1755</v>
      </c>
      <c r="G12415" s="10" t="s">
        <v>34</v>
      </c>
      <c r="H12415" s="9" t="s">
        <v>22</v>
      </c>
      <c r="I12415" s="9" t="s">
        <v>25204</v>
      </c>
      <c r="J12415" s="10" t="str">
        <f>HYPERLINK("https://www.boe.es/gazeta/dias/1834/02/08/pdfs/GMD-C-1834-18.pdf#page=1","Abrir facsímil")</f>
        <v>Abrir facsímil</v>
      </c>
      <c r="K12415" s="10" t="s">
        <v>24</v>
      </c>
    </row>
    <row r="12416" spans="1:11" ht="54" customHeight="1">
      <c r="A12416" s="9" t="s">
        <v>25202</v>
      </c>
      <c r="B12416" s="9" t="s">
        <v>25202</v>
      </c>
      <c r="C12416" s="9" t="s">
        <v>17</v>
      </c>
      <c r="D12416" s="9" t="s">
        <v>18</v>
      </c>
      <c r="E12416" s="10" t="s">
        <v>441</v>
      </c>
      <c r="F12416" s="9" t="s">
        <v>442</v>
      </c>
      <c r="G12416" s="10" t="s">
        <v>21</v>
      </c>
      <c r="H12416" s="9" t="s">
        <v>22</v>
      </c>
      <c r="I12416" s="9" t="s">
        <v>25205</v>
      </c>
      <c r="J12416" s="10" t="str">
        <f>HYPERLINK("https://www.boe.es/gazeta/dias/1834/11/10/pdfs/GMD-1834-269.pdf#page=3","Abrir facsímil")</f>
        <v>Abrir facsímil</v>
      </c>
      <c r="K12416" s="10" t="s">
        <v>24</v>
      </c>
    </row>
    <row r="12417" spans="1:11" ht="54" customHeight="1">
      <c r="A12417" s="9" t="s">
        <v>25206</v>
      </c>
      <c r="B12417" s="9" t="s">
        <v>25207</v>
      </c>
      <c r="C12417" s="9" t="s">
        <v>66</v>
      </c>
      <c r="D12417" s="9" t="s">
        <v>18</v>
      </c>
      <c r="E12417" s="10" t="s">
        <v>719</v>
      </c>
      <c r="F12417" s="9" t="s">
        <v>720</v>
      </c>
      <c r="G12417" s="10" t="s">
        <v>21</v>
      </c>
      <c r="H12417" s="9" t="s">
        <v>22</v>
      </c>
      <c r="I12417" s="9" t="s">
        <v>25208</v>
      </c>
      <c r="J12417" s="10" t="str">
        <f>HYPERLINK("https://www.boe.es/gazeta/dias/1834/04/29/pdfs/GMD-1834-68.pdf#page=3","Abrir facsímil")</f>
        <v>Abrir facsímil</v>
      </c>
      <c r="K12417" s="10" t="s">
        <v>24</v>
      </c>
    </row>
    <row r="12418" spans="1:11" ht="54" customHeight="1">
      <c r="A12418" s="9" t="s">
        <v>25209</v>
      </c>
      <c r="B12418" s="9" t="s">
        <v>25210</v>
      </c>
      <c r="C12418" s="9" t="s">
        <v>17</v>
      </c>
      <c r="D12418" s="9" t="s">
        <v>18</v>
      </c>
      <c r="E12418" s="10" t="s">
        <v>808</v>
      </c>
      <c r="F12418" s="9" t="s">
        <v>809</v>
      </c>
      <c r="G12418" s="10" t="s">
        <v>75</v>
      </c>
      <c r="H12418" s="9" t="s">
        <v>22</v>
      </c>
      <c r="I12418" s="9" t="s">
        <v>25211</v>
      </c>
      <c r="J12418" s="10" t="str">
        <f>HYPERLINK("https://www.boe.es/gazeta/dias/1834/10/11/pdfs/GMD-1834-239.pdf#page=4","Abrir facsímil")</f>
        <v>Abrir facsímil</v>
      </c>
      <c r="K12418" s="10" t="s">
        <v>24</v>
      </c>
    </row>
    <row r="12419" spans="1:11" ht="54" customHeight="1">
      <c r="A12419" s="9" t="s">
        <v>25212</v>
      </c>
      <c r="B12419" s="9" t="s">
        <v>25213</v>
      </c>
      <c r="C12419" s="9" t="s">
        <v>66</v>
      </c>
      <c r="D12419" s="9" t="s">
        <v>18</v>
      </c>
      <c r="E12419" s="10" t="s">
        <v>299</v>
      </c>
      <c r="F12419" s="9" t="s">
        <v>300</v>
      </c>
      <c r="G12419" s="10" t="s">
        <v>75</v>
      </c>
      <c r="H12419" s="9" t="s">
        <v>22</v>
      </c>
      <c r="I12419" s="9" t="s">
        <v>25214</v>
      </c>
      <c r="J12419" s="10" t="str">
        <f>HYPERLINK("https://www.boe.es/gazeta/dias/1834/12/12/pdfs/GMD-1834-301.pdf#page=4","Abrir facsímil")</f>
        <v>Abrir facsímil</v>
      </c>
      <c r="K12419" s="10" t="s">
        <v>24</v>
      </c>
    </row>
    <row r="12420" spans="1:11" ht="54" customHeight="1">
      <c r="A12420" s="9" t="s">
        <v>25215</v>
      </c>
      <c r="B12420" s="9" t="s">
        <v>25216</v>
      </c>
      <c r="C12420" s="9" t="s">
        <v>66</v>
      </c>
      <c r="D12420" s="9" t="s">
        <v>67</v>
      </c>
      <c r="E12420" s="10" t="s">
        <v>61</v>
      </c>
      <c r="F12420" s="9" t="s">
        <v>205</v>
      </c>
      <c r="G12420" s="10" t="s">
        <v>21</v>
      </c>
      <c r="H12420" s="9" t="s">
        <v>22</v>
      </c>
      <c r="I12420" s="9" t="s">
        <v>25217</v>
      </c>
      <c r="J12420" s="10" t="str">
        <f>HYPERLINK("https://www.boe.es/gazeta/dias/1834/06/08/pdfs/GMD-1834-110.pdf#page=3","Abrir facsímil")</f>
        <v>Abrir facsímil</v>
      </c>
      <c r="K12420" s="10" t="s">
        <v>24</v>
      </c>
    </row>
    <row r="12421" spans="1:11" ht="54" customHeight="1">
      <c r="A12421" s="9" t="s">
        <v>25218</v>
      </c>
      <c r="B12421" s="9" t="s">
        <v>25219</v>
      </c>
      <c r="C12421" s="9" t="s">
        <v>17</v>
      </c>
      <c r="D12421" s="9" t="s">
        <v>18</v>
      </c>
      <c r="E12421" s="10" t="s">
        <v>1234</v>
      </c>
      <c r="F12421" s="9" t="s">
        <v>1455</v>
      </c>
      <c r="G12421" s="10" t="s">
        <v>75</v>
      </c>
      <c r="H12421" s="9" t="s">
        <v>22</v>
      </c>
      <c r="I12421" s="9" t="s">
        <v>25220</v>
      </c>
      <c r="J12421" s="10" t="str">
        <f>HYPERLINK("https://www.boe.es/gazeta/dias/1834/05/15/pdfs/GMD-1834-84.pdf#page=4","Abrir facsímil")</f>
        <v>Abrir facsímil</v>
      </c>
      <c r="K12421" s="10" t="s">
        <v>24</v>
      </c>
    </row>
    <row r="12422" spans="1:11" ht="54" customHeight="1">
      <c r="A12422" s="9" t="s">
        <v>25221</v>
      </c>
      <c r="B12422" s="9" t="s">
        <v>25222</v>
      </c>
      <c r="C12422" s="9" t="s">
        <v>17</v>
      </c>
      <c r="D12422" s="9" t="s">
        <v>55</v>
      </c>
      <c r="E12422" s="10" t="s">
        <v>2048</v>
      </c>
      <c r="F12422" s="9" t="s">
        <v>2049</v>
      </c>
      <c r="G12422" s="10" t="s">
        <v>75</v>
      </c>
      <c r="H12422" s="9" t="s">
        <v>22</v>
      </c>
      <c r="I12422" s="9" t="s">
        <v>25223</v>
      </c>
      <c r="J12422" s="10" t="str">
        <f>HYPERLINK("https://www.boe.es/gazeta/dias/1834/05/12/pdfs/GMD-1834-81.pdf#page=4","Abrir facsímil")</f>
        <v>Abrir facsímil</v>
      </c>
      <c r="K12422" s="10" t="s">
        <v>24</v>
      </c>
    </row>
    <row r="12423" spans="1:11" ht="54" customHeight="1">
      <c r="A12423" s="9" t="s">
        <v>25224</v>
      </c>
      <c r="B12423" s="9" t="s">
        <v>25224</v>
      </c>
      <c r="C12423" s="9" t="s">
        <v>17</v>
      </c>
      <c r="D12423" s="9" t="s">
        <v>40</v>
      </c>
      <c r="E12423" s="10" t="s">
        <v>348</v>
      </c>
      <c r="F12423" s="9" t="s">
        <v>501</v>
      </c>
      <c r="G12423" s="10" t="s">
        <v>75</v>
      </c>
      <c r="H12423" s="9" t="s">
        <v>22</v>
      </c>
      <c r="I12423" s="9" t="s">
        <v>25225</v>
      </c>
      <c r="J12423" s="10" t="str">
        <f>HYPERLINK("https://www.boe.es/gazeta/dias/1834/06/12/pdfs/GMD-1834-115.pdf#page=4","Abrir facsímil")</f>
        <v>Abrir facsímil</v>
      </c>
      <c r="K12423" s="10" t="s">
        <v>24</v>
      </c>
    </row>
    <row r="12424" spans="1:11" ht="54" customHeight="1">
      <c r="A12424" s="9" t="s">
        <v>25226</v>
      </c>
      <c r="B12424" s="9" t="s">
        <v>25227</v>
      </c>
      <c r="C12424" s="9" t="s">
        <v>17</v>
      </c>
      <c r="D12424" s="9" t="s">
        <v>18</v>
      </c>
      <c r="E12424" s="10" t="s">
        <v>56</v>
      </c>
      <c r="F12424" s="9" t="s">
        <v>57</v>
      </c>
      <c r="G12424" s="10" t="s">
        <v>21</v>
      </c>
      <c r="H12424" s="9" t="s">
        <v>35</v>
      </c>
      <c r="I12424" s="9" t="s">
        <v>25228</v>
      </c>
      <c r="J12424" s="10" t="str">
        <f>HYPERLINK("https://www.boe.es/gazeta/dias/1834/07/09/pdfs/GMD-1834-142.pdf#page=3","Abrir facsímil")</f>
        <v>Abrir facsímil</v>
      </c>
      <c r="K12424" s="10" t="s">
        <v>37</v>
      </c>
    </row>
    <row r="12425" spans="1:11" ht="54" customHeight="1">
      <c r="A12425" s="9" t="s">
        <v>25229</v>
      </c>
      <c r="B12425" s="9" t="s">
        <v>25230</v>
      </c>
      <c r="C12425" s="9" t="s">
        <v>17</v>
      </c>
      <c r="D12425" s="9" t="s">
        <v>18</v>
      </c>
      <c r="E12425" s="10" t="s">
        <v>56</v>
      </c>
      <c r="F12425" s="9" t="s">
        <v>57</v>
      </c>
      <c r="G12425" s="10" t="s">
        <v>21</v>
      </c>
      <c r="H12425" s="9" t="s">
        <v>22</v>
      </c>
      <c r="I12425" s="9" t="s">
        <v>25231</v>
      </c>
      <c r="J12425" s="10" t="str">
        <f>HYPERLINK("https://www.boe.es/gazeta/dias/1834/07/09/pdfs/GMD-1834-142.pdf#page=3","Abrir facsímil")</f>
        <v>Abrir facsímil</v>
      </c>
      <c r="K12425" s="10" t="s">
        <v>24</v>
      </c>
    </row>
    <row r="12426" spans="1:11" ht="54" customHeight="1">
      <c r="A12426" s="9" t="s">
        <v>25232</v>
      </c>
      <c r="B12426" s="9" t="s">
        <v>25233</v>
      </c>
      <c r="C12426" s="9" t="s">
        <v>122</v>
      </c>
      <c r="D12426" s="9" t="s">
        <v>101</v>
      </c>
      <c r="E12426" s="10" t="s">
        <v>317</v>
      </c>
      <c r="F12426" s="9" t="s">
        <v>318</v>
      </c>
      <c r="G12426" s="10" t="s">
        <v>34</v>
      </c>
      <c r="H12426" s="9" t="s">
        <v>22</v>
      </c>
      <c r="I12426" s="9" t="s">
        <v>25234</v>
      </c>
      <c r="J12426" s="10" t="str">
        <f>HYPERLINK("https://www.boe.es/gazeta/dias/1834/03/06/pdfs/I00139-00140.pdf#page=1","Abrir facsímil")</f>
        <v>Abrir facsímil</v>
      </c>
      <c r="K12426" s="10" t="s">
        <v>24</v>
      </c>
    </row>
    <row r="12427" spans="1:11" ht="54" customHeight="1">
      <c r="A12427" s="9" t="s">
        <v>25232</v>
      </c>
      <c r="B12427" s="9" t="s">
        <v>25233</v>
      </c>
      <c r="C12427" s="9" t="s">
        <v>122</v>
      </c>
      <c r="D12427" s="9" t="s">
        <v>101</v>
      </c>
      <c r="E12427" s="10" t="s">
        <v>317</v>
      </c>
      <c r="F12427" s="9" t="s">
        <v>318</v>
      </c>
      <c r="G12427" s="10" t="s">
        <v>21</v>
      </c>
      <c r="H12427" s="9" t="s">
        <v>22</v>
      </c>
      <c r="I12427" s="9" t="s">
        <v>25234</v>
      </c>
      <c r="J12427" s="10" t="str">
        <f>HYPERLINK("https://www.boe.es/gazeta/dias/1834/03/06/pdfs/GMD-1834-29.pdf#page=3","Abrir facsímil")</f>
        <v>Abrir facsímil</v>
      </c>
      <c r="K12427" s="10" t="s">
        <v>24</v>
      </c>
    </row>
    <row r="12428" spans="1:11" ht="54" customHeight="1">
      <c r="A12428" s="9" t="s">
        <v>25235</v>
      </c>
      <c r="B12428" s="9" t="s">
        <v>25236</v>
      </c>
      <c r="C12428" s="9" t="s">
        <v>17</v>
      </c>
      <c r="D12428" s="9" t="s">
        <v>55</v>
      </c>
      <c r="E12428" s="10" t="s">
        <v>2153</v>
      </c>
      <c r="F12428" s="9" t="s">
        <v>2154</v>
      </c>
      <c r="G12428" s="10" t="s">
        <v>86</v>
      </c>
      <c r="H12428" s="9" t="s">
        <v>22</v>
      </c>
      <c r="I12428" s="9" t="s">
        <v>25237</v>
      </c>
      <c r="J12428" s="10" t="str">
        <f>HYPERLINK("https://www.boe.es/gazeta/dias/1834/01/23/pdfs/GMD-1834-11.pdf#page=2","Abrir facsímil")</f>
        <v>Abrir facsímil</v>
      </c>
      <c r="K12428" s="10" t="s">
        <v>24</v>
      </c>
    </row>
    <row r="12429" spans="1:11" ht="54" customHeight="1">
      <c r="A12429" s="9" t="s">
        <v>25238</v>
      </c>
      <c r="B12429" s="9" t="s">
        <v>25239</v>
      </c>
      <c r="C12429" s="9" t="s">
        <v>66</v>
      </c>
      <c r="D12429" s="9" t="s">
        <v>18</v>
      </c>
      <c r="E12429" s="10" t="s">
        <v>663</v>
      </c>
      <c r="F12429" s="9" t="s">
        <v>664</v>
      </c>
      <c r="G12429" s="10" t="s">
        <v>34</v>
      </c>
      <c r="H12429" s="9" t="s">
        <v>22</v>
      </c>
      <c r="I12429" s="9" t="s">
        <v>25240</v>
      </c>
      <c r="J12429" s="10" t="str">
        <f>HYPERLINK("https://www.boe.es/gazeta/dias/1834/07/16/pdfs/GMD-1834-149.pdf#page=1","Abrir facsímil")</f>
        <v>Abrir facsímil</v>
      </c>
      <c r="K12429" s="10" t="s">
        <v>24</v>
      </c>
    </row>
    <row r="12430" spans="1:11" ht="54" customHeight="1">
      <c r="A12430" s="9" t="s">
        <v>25241</v>
      </c>
      <c r="B12430" s="9" t="s">
        <v>25242</v>
      </c>
      <c r="C12430" s="9" t="s">
        <v>17</v>
      </c>
      <c r="D12430" s="9" t="s">
        <v>40</v>
      </c>
      <c r="E12430" s="10" t="s">
        <v>2287</v>
      </c>
      <c r="F12430" s="9" t="s">
        <v>4741</v>
      </c>
      <c r="G12430" s="10" t="s">
        <v>75</v>
      </c>
      <c r="H12430" s="9" t="s">
        <v>22</v>
      </c>
      <c r="I12430" s="9" t="s">
        <v>25243</v>
      </c>
      <c r="J12430" s="10" t="str">
        <f>HYPERLINK("https://www.boe.es/gazeta/dias/1834/12/18/pdfs/GMD-1834-308.pdf#page=4","Abrir facsímil")</f>
        <v>Abrir facsímil</v>
      </c>
      <c r="K12430" s="10" t="s">
        <v>24</v>
      </c>
    </row>
    <row r="12431" spans="1:11" ht="54" customHeight="1">
      <c r="A12431" s="9" t="s">
        <v>25244</v>
      </c>
      <c r="B12431" s="9" t="s">
        <v>25245</v>
      </c>
      <c r="C12431" s="9" t="s">
        <v>17</v>
      </c>
      <c r="D12431" s="9" t="s">
        <v>18</v>
      </c>
      <c r="E12431" s="10" t="s">
        <v>183</v>
      </c>
      <c r="F12431" s="9" t="s">
        <v>184</v>
      </c>
      <c r="G12431" s="10" t="s">
        <v>75</v>
      </c>
      <c r="H12431" s="9" t="s">
        <v>22</v>
      </c>
      <c r="I12431" s="9" t="s">
        <v>25246</v>
      </c>
      <c r="J12431" s="10" t="str">
        <f>HYPERLINK("https://www.boe.es/gazeta/dias/1834/03/18/pdfs/GMD-1834-34.pdf#page=4","Abrir facsímil")</f>
        <v>Abrir facsímil</v>
      </c>
      <c r="K12431" s="10" t="s">
        <v>24</v>
      </c>
    </row>
    <row r="12432" spans="1:11" ht="54" customHeight="1">
      <c r="A12432" s="9" t="s">
        <v>25247</v>
      </c>
      <c r="B12432" s="9" t="s">
        <v>25248</v>
      </c>
      <c r="C12432" s="9" t="s">
        <v>17</v>
      </c>
      <c r="D12432" s="9" t="s">
        <v>18</v>
      </c>
      <c r="E12432" s="10" t="s">
        <v>956</v>
      </c>
      <c r="F12432" s="9" t="s">
        <v>1508</v>
      </c>
      <c r="G12432" s="10" t="s">
        <v>75</v>
      </c>
      <c r="H12432" s="9" t="s">
        <v>22</v>
      </c>
      <c r="I12432" s="9" t="s">
        <v>25249</v>
      </c>
      <c r="J12432" s="10" t="str">
        <f>HYPERLINK("https://www.boe.es/gazeta/dias/1834/08/10/pdfs/GMD-1834-175.pdf#page=4","Abrir facsímil")</f>
        <v>Abrir facsímil</v>
      </c>
      <c r="K12432" s="10" t="s">
        <v>24</v>
      </c>
    </row>
    <row r="12433" spans="1:11" ht="54" customHeight="1">
      <c r="A12433" s="9" t="s">
        <v>25250</v>
      </c>
      <c r="B12433" s="9" t="s">
        <v>25250</v>
      </c>
      <c r="C12433" s="9" t="s">
        <v>17</v>
      </c>
      <c r="D12433" s="9" t="s">
        <v>18</v>
      </c>
      <c r="E12433" s="10" t="s">
        <v>1337</v>
      </c>
      <c r="F12433" s="9" t="s">
        <v>1338</v>
      </c>
      <c r="G12433" s="10" t="s">
        <v>34</v>
      </c>
      <c r="H12433" s="9" t="s">
        <v>22</v>
      </c>
      <c r="I12433" s="9" t="s">
        <v>25251</v>
      </c>
      <c r="J12433" s="10" t="str">
        <f>HYPERLINK("https://www.boe.es/gazeta/dias/1834/01/02/pdfs/GMD-1834-1.pdf#page=1","Abrir facsímil")</f>
        <v>Abrir facsímil</v>
      </c>
      <c r="K12433" s="10" t="s">
        <v>24</v>
      </c>
    </row>
    <row r="12434" spans="1:11" ht="54" customHeight="1">
      <c r="A12434" s="9" t="s">
        <v>25252</v>
      </c>
      <c r="B12434" s="9" t="s">
        <v>25253</v>
      </c>
      <c r="C12434" s="9" t="s">
        <v>46</v>
      </c>
      <c r="D12434" s="9" t="s">
        <v>18</v>
      </c>
      <c r="E12434" s="10" t="s">
        <v>844</v>
      </c>
      <c r="F12434" s="9" t="s">
        <v>845</v>
      </c>
      <c r="G12434" s="10" t="s">
        <v>75</v>
      </c>
      <c r="H12434" s="9" t="s">
        <v>22</v>
      </c>
      <c r="I12434" s="9" t="s">
        <v>25254</v>
      </c>
      <c r="J12434" s="10" t="str">
        <f>HYPERLINK("https://www.boe.es/gazeta/dias/1834/03/13/pdfs/GMD-1834-32.pdf#page=4","Abrir facsímil")</f>
        <v>Abrir facsímil</v>
      </c>
      <c r="K12434" s="10" t="s">
        <v>24</v>
      </c>
    </row>
    <row r="12435" spans="1:11" ht="54" customHeight="1">
      <c r="A12435" s="9" t="s">
        <v>25255</v>
      </c>
      <c r="B12435" s="9" t="s">
        <v>25255</v>
      </c>
      <c r="C12435" s="9" t="s">
        <v>46</v>
      </c>
      <c r="D12435" s="9" t="s">
        <v>101</v>
      </c>
      <c r="E12435" s="10" t="s">
        <v>702</v>
      </c>
      <c r="F12435" s="9" t="s">
        <v>2427</v>
      </c>
      <c r="G12435" s="10" t="s">
        <v>86</v>
      </c>
      <c r="H12435" s="9" t="s">
        <v>22</v>
      </c>
      <c r="I12435" s="9" t="s">
        <v>25256</v>
      </c>
      <c r="J12435" s="10" t="str">
        <f>HYPERLINK("https://www.boe.es/gazeta/dias/1834/11/22/pdfs/GMD-1834-281.pdf#page=2","Abrir facsímil")</f>
        <v>Abrir facsímil</v>
      </c>
      <c r="K12435" s="10" t="s">
        <v>24</v>
      </c>
    </row>
    <row r="12436" spans="1:11" ht="54" customHeight="1">
      <c r="A12436" s="9" t="s">
        <v>25257</v>
      </c>
      <c r="B12436" s="9" t="s">
        <v>25257</v>
      </c>
      <c r="C12436" s="9" t="s">
        <v>17</v>
      </c>
      <c r="D12436" s="9" t="s">
        <v>18</v>
      </c>
      <c r="E12436" s="10" t="s">
        <v>237</v>
      </c>
      <c r="F12436" s="9" t="s">
        <v>238</v>
      </c>
      <c r="G12436" s="10" t="s">
        <v>34</v>
      </c>
      <c r="H12436" s="9" t="s">
        <v>22</v>
      </c>
      <c r="I12436" s="9" t="s">
        <v>25258</v>
      </c>
      <c r="J12436" s="10" t="str">
        <f>HYPERLINK("https://www.boe.es/gazeta/dias/1834/08/15/pdfs/GMD-C-1834-180.pdf#page=1","Abrir facsímil")</f>
        <v>Abrir facsímil</v>
      </c>
      <c r="K12436" s="10" t="s">
        <v>24</v>
      </c>
    </row>
    <row r="12437" spans="1:11" ht="54" customHeight="1">
      <c r="A12437" s="9" t="s">
        <v>25259</v>
      </c>
      <c r="B12437" s="9" t="s">
        <v>25259</v>
      </c>
      <c r="C12437" s="9" t="s">
        <v>17</v>
      </c>
      <c r="D12437" s="9" t="s">
        <v>18</v>
      </c>
      <c r="E12437" s="10" t="s">
        <v>187</v>
      </c>
      <c r="F12437" s="9" t="s">
        <v>1715</v>
      </c>
      <c r="G12437" s="10" t="s">
        <v>34</v>
      </c>
      <c r="H12437" s="9" t="s">
        <v>22</v>
      </c>
      <c r="I12437" s="9" t="s">
        <v>25260</v>
      </c>
      <c r="J12437" s="10" t="str">
        <f>HYPERLINK("https://www.boe.es/gazeta/dias/1834/09/30/pdfs/GMD-C-1834-228.pdf#page=1","Abrir facsímil")</f>
        <v>Abrir facsímil</v>
      </c>
      <c r="K12437" s="10" t="s">
        <v>24</v>
      </c>
    </row>
    <row r="12438" spans="1:11" ht="54" customHeight="1">
      <c r="A12438" s="9" t="s">
        <v>25261</v>
      </c>
      <c r="B12438" s="9" t="s">
        <v>25262</v>
      </c>
      <c r="C12438" s="9" t="s">
        <v>17</v>
      </c>
      <c r="D12438" s="9" t="s">
        <v>101</v>
      </c>
      <c r="E12438" s="10" t="s">
        <v>339</v>
      </c>
      <c r="F12438" s="9" t="s">
        <v>340</v>
      </c>
      <c r="G12438" s="10" t="s">
        <v>34</v>
      </c>
      <c r="H12438" s="9" t="s">
        <v>22</v>
      </c>
      <c r="I12438" s="9" t="s">
        <v>25263</v>
      </c>
      <c r="J12438" s="10" t="str">
        <f>HYPERLINK("https://www.boe.es/gazeta/dias/1834/05/02/pdfs/GMD-1834-71.pdf#page=1","Abrir facsímil")</f>
        <v>Abrir facsímil</v>
      </c>
      <c r="K12438" s="10" t="s">
        <v>24</v>
      </c>
    </row>
    <row r="12439" spans="1:11" ht="54" customHeight="1">
      <c r="A12439" s="9" t="s">
        <v>25264</v>
      </c>
      <c r="B12439" s="9" t="s">
        <v>25265</v>
      </c>
      <c r="C12439" s="9" t="s">
        <v>90</v>
      </c>
      <c r="D12439" s="9" t="s">
        <v>18</v>
      </c>
      <c r="E12439" s="10" t="s">
        <v>637</v>
      </c>
      <c r="F12439" s="9" t="s">
        <v>638</v>
      </c>
      <c r="G12439" s="10" t="s">
        <v>34</v>
      </c>
      <c r="H12439" s="9" t="s">
        <v>22</v>
      </c>
      <c r="I12439" s="9" t="s">
        <v>25266</v>
      </c>
      <c r="J12439" s="10" t="str">
        <f>HYPERLINK("https://www.boe.es/gazeta/dias/1834/06/03/pdfs/I00469-00470.pdf#page=1","Abrir facsímil")</f>
        <v>Abrir facsímil</v>
      </c>
      <c r="K12439" s="10" t="s">
        <v>24</v>
      </c>
    </row>
    <row r="12440" spans="1:11" ht="54" customHeight="1">
      <c r="A12440" s="9" t="s">
        <v>25264</v>
      </c>
      <c r="B12440" s="9" t="s">
        <v>25265</v>
      </c>
      <c r="C12440" s="9" t="s">
        <v>90</v>
      </c>
      <c r="D12440" s="9" t="s">
        <v>18</v>
      </c>
      <c r="E12440" s="10" t="s">
        <v>637</v>
      </c>
      <c r="F12440" s="9" t="s">
        <v>638</v>
      </c>
      <c r="G12440" s="10" t="s">
        <v>21</v>
      </c>
      <c r="H12440" s="9" t="s">
        <v>22</v>
      </c>
      <c r="I12440" s="9" t="s">
        <v>25267</v>
      </c>
      <c r="J12440" s="10" t="str">
        <f>HYPERLINK("https://www.boe.es/gazeta/dias/1834/06/03/pdfs/GMD-1834-105.pdf#page=3","Abrir facsímil")</f>
        <v>Abrir facsímil</v>
      </c>
      <c r="K12440" s="10" t="s">
        <v>24</v>
      </c>
    </row>
    <row r="12441" spans="1:11" ht="54" customHeight="1">
      <c r="A12441" s="9" t="s">
        <v>25268</v>
      </c>
      <c r="B12441" s="9" t="s">
        <v>25269</v>
      </c>
      <c r="C12441" s="9" t="s">
        <v>90</v>
      </c>
      <c r="D12441" s="9" t="s">
        <v>101</v>
      </c>
      <c r="E12441" s="10" t="s">
        <v>753</v>
      </c>
      <c r="F12441" s="9" t="s">
        <v>754</v>
      </c>
      <c r="G12441" s="10" t="s">
        <v>34</v>
      </c>
      <c r="H12441" s="9" t="s">
        <v>22</v>
      </c>
      <c r="I12441" s="9" t="s">
        <v>25270</v>
      </c>
      <c r="J12441" s="10" t="str">
        <f>HYPERLINK("https://www.boe.es/gazeta/dias/1834/04/21/pdfs/GMD-1834-60.pdf#page=1","Abrir facsímil")</f>
        <v>Abrir facsímil</v>
      </c>
      <c r="K12441" s="10" t="s">
        <v>24</v>
      </c>
    </row>
    <row r="12442" spans="1:11" ht="54" customHeight="1">
      <c r="A12442" s="9" t="s">
        <v>25271</v>
      </c>
      <c r="B12442" s="9" t="s">
        <v>25272</v>
      </c>
      <c r="C12442" s="9" t="s">
        <v>17</v>
      </c>
      <c r="D12442" s="9" t="s">
        <v>18</v>
      </c>
      <c r="E12442" s="10" t="s">
        <v>663</v>
      </c>
      <c r="F12442" s="9" t="s">
        <v>664</v>
      </c>
      <c r="G12442" s="10" t="s">
        <v>21</v>
      </c>
      <c r="H12442" s="9" t="s">
        <v>22</v>
      </c>
      <c r="I12442" s="9" t="s">
        <v>25273</v>
      </c>
      <c r="J12442" s="10" t="str">
        <f>HYPERLINK("https://www.boe.es/gazeta/dias/1834/07/16/pdfs/GMD-1834-149.pdf#page=3","Abrir facsímil")</f>
        <v>Abrir facsímil</v>
      </c>
      <c r="K12442" s="10" t="s">
        <v>24</v>
      </c>
    </row>
    <row r="12443" spans="1:11" ht="54" customHeight="1">
      <c r="A12443" s="9" t="s">
        <v>25274</v>
      </c>
      <c r="B12443" s="9" t="s">
        <v>25274</v>
      </c>
      <c r="C12443" s="9" t="s">
        <v>17</v>
      </c>
      <c r="D12443" s="9" t="s">
        <v>18</v>
      </c>
      <c r="E12443" s="10" t="s">
        <v>928</v>
      </c>
      <c r="F12443" s="9" t="s">
        <v>929</v>
      </c>
      <c r="G12443" s="10" t="s">
        <v>28</v>
      </c>
      <c r="H12443" s="9" t="s">
        <v>22</v>
      </c>
      <c r="I12443" s="9" t="s">
        <v>25275</v>
      </c>
      <c r="J12443" s="10" t="str">
        <f>HYPERLINK("https://www.boe.es/gazeta/dias/1834/11/15/pdfs/GMD-C-1834-274.pdf#page=5","Abrir facsímil")</f>
        <v>Abrir facsímil</v>
      </c>
      <c r="K12443" s="10" t="s">
        <v>24</v>
      </c>
    </row>
    <row r="12444" spans="1:11" ht="54" customHeight="1">
      <c r="A12444" s="9" t="s">
        <v>25276</v>
      </c>
      <c r="B12444" s="9" t="s">
        <v>25276</v>
      </c>
      <c r="C12444" s="9" t="s">
        <v>46</v>
      </c>
      <c r="D12444" s="9" t="s">
        <v>101</v>
      </c>
      <c r="E12444" s="10" t="s">
        <v>128</v>
      </c>
      <c r="F12444" s="9" t="s">
        <v>1068</v>
      </c>
      <c r="G12444" s="10" t="s">
        <v>34</v>
      </c>
      <c r="H12444" s="9" t="s">
        <v>22</v>
      </c>
      <c r="I12444" s="9" t="s">
        <v>25277</v>
      </c>
      <c r="J12444" s="10" t="str">
        <f>HYPERLINK("https://www.boe.es/gazeta/dias/1834/12/24/pdfs/GMD-1834-314.pdf#page=1","Abrir facsímil")</f>
        <v>Abrir facsímil</v>
      </c>
      <c r="K12444" s="10" t="s">
        <v>24</v>
      </c>
    </row>
    <row r="12445" spans="1:11" ht="54" customHeight="1">
      <c r="A12445" s="9" t="s">
        <v>25278</v>
      </c>
      <c r="B12445" s="9" t="s">
        <v>25279</v>
      </c>
      <c r="C12445" s="9" t="s">
        <v>17</v>
      </c>
      <c r="D12445" s="9" t="s">
        <v>18</v>
      </c>
      <c r="E12445" s="10" t="s">
        <v>339</v>
      </c>
      <c r="F12445" s="9" t="s">
        <v>340</v>
      </c>
      <c r="G12445" s="10" t="s">
        <v>21</v>
      </c>
      <c r="H12445" s="9" t="s">
        <v>22</v>
      </c>
      <c r="I12445" s="9" t="s">
        <v>25280</v>
      </c>
      <c r="J12445" s="10" t="str">
        <f>HYPERLINK("https://www.boe.es/gazeta/dias/1834/05/02/pdfs/GMD-1834-71.pdf#page=3","Abrir facsímil")</f>
        <v>Abrir facsímil</v>
      </c>
      <c r="K12445" s="10" t="s">
        <v>24</v>
      </c>
    </row>
    <row r="12446" spans="1:11" ht="54" customHeight="1">
      <c r="A12446" s="9" t="s">
        <v>25281</v>
      </c>
      <c r="B12446" s="9" t="s">
        <v>25282</v>
      </c>
      <c r="C12446" s="9" t="s">
        <v>122</v>
      </c>
      <c r="D12446" s="9" t="s">
        <v>18</v>
      </c>
      <c r="E12446" s="10" t="s">
        <v>838</v>
      </c>
      <c r="F12446" s="9" t="s">
        <v>839</v>
      </c>
      <c r="G12446" s="10" t="s">
        <v>21</v>
      </c>
      <c r="H12446" s="9" t="s">
        <v>35</v>
      </c>
      <c r="I12446" s="9" t="s">
        <v>25283</v>
      </c>
      <c r="J12446" s="10" t="str">
        <f>HYPERLINK("https://www.boe.es/gazeta/dias/1834/07/18/pdfs/GMD-1834-151.pdf#page=3","Abrir facsímil")</f>
        <v>Abrir facsímil</v>
      </c>
      <c r="K12446" s="10" t="s">
        <v>37</v>
      </c>
    </row>
    <row r="12447" spans="1:11" ht="54" customHeight="1">
      <c r="A12447" s="9" t="s">
        <v>25284</v>
      </c>
      <c r="B12447" s="9" t="s">
        <v>25285</v>
      </c>
      <c r="C12447" s="9" t="s">
        <v>122</v>
      </c>
      <c r="D12447" s="9" t="s">
        <v>18</v>
      </c>
      <c r="E12447" s="10" t="s">
        <v>838</v>
      </c>
      <c r="F12447" s="9" t="s">
        <v>839</v>
      </c>
      <c r="G12447" s="10" t="s">
        <v>21</v>
      </c>
      <c r="H12447" s="9" t="s">
        <v>22</v>
      </c>
      <c r="I12447" s="9" t="s">
        <v>25286</v>
      </c>
      <c r="J12447" s="10" t="str">
        <f>HYPERLINK("https://www.boe.es/gazeta/dias/1834/07/18/pdfs/GMD-1834-151.pdf#page=3","Abrir facsímil")</f>
        <v>Abrir facsímil</v>
      </c>
      <c r="K12447" s="10" t="s">
        <v>24</v>
      </c>
    </row>
    <row r="12448" spans="1:11" ht="54" customHeight="1">
      <c r="A12448" s="9" t="s">
        <v>25287</v>
      </c>
      <c r="B12448" s="9" t="s">
        <v>25287</v>
      </c>
      <c r="C12448" s="9" t="s">
        <v>17</v>
      </c>
      <c r="D12448" s="9" t="s">
        <v>18</v>
      </c>
      <c r="E12448" s="10" t="s">
        <v>1113</v>
      </c>
      <c r="F12448" s="9" t="s">
        <v>1114</v>
      </c>
      <c r="G12448" s="10" t="s">
        <v>75</v>
      </c>
      <c r="H12448" s="9" t="s">
        <v>22</v>
      </c>
      <c r="I12448" s="9" t="s">
        <v>25288</v>
      </c>
      <c r="J12448" s="10" t="str">
        <f>HYPERLINK("https://www.boe.es/gazeta/dias/1834/04/14/pdfs/GMD-1834-53.pdf#page=4","Abrir facsímil")</f>
        <v>Abrir facsímil</v>
      </c>
      <c r="K12448" s="10" t="s">
        <v>24</v>
      </c>
    </row>
    <row r="12449" spans="1:11" ht="54" customHeight="1">
      <c r="A12449" s="9" t="s">
        <v>25289</v>
      </c>
      <c r="B12449" s="9" t="s">
        <v>25290</v>
      </c>
      <c r="C12449" s="9" t="s">
        <v>66</v>
      </c>
      <c r="D12449" s="9" t="s">
        <v>67</v>
      </c>
      <c r="E12449" s="10" t="s">
        <v>1556</v>
      </c>
      <c r="F12449" s="9" t="s">
        <v>1557</v>
      </c>
      <c r="G12449" s="10" t="s">
        <v>75</v>
      </c>
      <c r="H12449" s="9" t="s">
        <v>22</v>
      </c>
      <c r="I12449" s="9" t="s">
        <v>25291</v>
      </c>
      <c r="J12449" s="10" t="str">
        <f>HYPERLINK("https://www.boe.es/gazeta/dias/1834/06/06/pdfs/GMD-1834-108.pdf#page=4","Abrir facsímil")</f>
        <v>Abrir facsímil</v>
      </c>
      <c r="K12449" s="10" t="s">
        <v>24</v>
      </c>
    </row>
    <row r="12450" spans="1:11" ht="54" customHeight="1">
      <c r="A12450" s="9" t="s">
        <v>25292</v>
      </c>
      <c r="B12450" s="9" t="s">
        <v>25293</v>
      </c>
      <c r="C12450" s="9" t="s">
        <v>17</v>
      </c>
      <c r="D12450" s="9" t="s">
        <v>18</v>
      </c>
      <c r="E12450" s="10" t="s">
        <v>1438</v>
      </c>
      <c r="F12450" s="9" t="s">
        <v>1439</v>
      </c>
      <c r="G12450" s="10" t="s">
        <v>75</v>
      </c>
      <c r="H12450" s="9" t="s">
        <v>22</v>
      </c>
      <c r="I12450" s="9" t="s">
        <v>25294</v>
      </c>
      <c r="J12450" s="10" t="str">
        <f>HYPERLINK("https://www.boe.es/gazeta/dias/1834/05/13/pdfs/GMD-1834-82.pdf#page=4","Abrir facsímil")</f>
        <v>Abrir facsímil</v>
      </c>
      <c r="K12450" s="10" t="s">
        <v>24</v>
      </c>
    </row>
    <row r="12451" spans="1:11" ht="54" customHeight="1">
      <c r="A12451" s="9" t="s">
        <v>25295</v>
      </c>
      <c r="B12451" s="9" t="s">
        <v>25295</v>
      </c>
      <c r="C12451" s="9" t="s">
        <v>17</v>
      </c>
      <c r="D12451" s="9" t="s">
        <v>18</v>
      </c>
      <c r="E12451" s="10" t="s">
        <v>762</v>
      </c>
      <c r="F12451" s="9" t="s">
        <v>2227</v>
      </c>
      <c r="G12451" s="10" t="s">
        <v>21</v>
      </c>
      <c r="H12451" s="9" t="s">
        <v>22</v>
      </c>
      <c r="I12451" s="9" t="s">
        <v>25296</v>
      </c>
      <c r="J12451" s="10" t="str">
        <f>HYPERLINK("https://www.boe.es/gazeta/dias/1834/11/07/pdfs/GMD-C-1834-266.pdf#page=3","Abrir facsímil")</f>
        <v>Abrir facsímil</v>
      </c>
      <c r="K12451" s="10" t="s">
        <v>24</v>
      </c>
    </row>
    <row r="12452" spans="1:11" ht="54" customHeight="1">
      <c r="A12452" s="9" t="s">
        <v>25297</v>
      </c>
      <c r="B12452" s="9" t="s">
        <v>25298</v>
      </c>
      <c r="C12452" s="9" t="s">
        <v>17</v>
      </c>
      <c r="D12452" s="9" t="s">
        <v>18</v>
      </c>
      <c r="E12452" s="10" t="s">
        <v>1195</v>
      </c>
      <c r="F12452" s="9" t="s">
        <v>1196</v>
      </c>
      <c r="G12452" s="10" t="s">
        <v>34</v>
      </c>
      <c r="H12452" s="9" t="s">
        <v>35</v>
      </c>
      <c r="I12452" s="9" t="s">
        <v>25299</v>
      </c>
      <c r="J12452" s="10" t="str">
        <f>HYPERLINK("https://www.boe.es/gazeta/dias/1834/10/17/pdfs/GMD-C-1834-245.pdf#page=1","Abrir facsímil")</f>
        <v>Abrir facsímil</v>
      </c>
      <c r="K12452" s="10" t="s">
        <v>37</v>
      </c>
    </row>
    <row r="12453" spans="1:11" ht="54" customHeight="1">
      <c r="A12453" s="9" t="s">
        <v>25300</v>
      </c>
      <c r="B12453" s="9" t="s">
        <v>25301</v>
      </c>
      <c r="C12453" s="9" t="s">
        <v>17</v>
      </c>
      <c r="D12453" s="9" t="s">
        <v>18</v>
      </c>
      <c r="E12453" s="10" t="s">
        <v>1195</v>
      </c>
      <c r="F12453" s="9" t="s">
        <v>1196</v>
      </c>
      <c r="G12453" s="10" t="s">
        <v>34</v>
      </c>
      <c r="H12453" s="9" t="s">
        <v>22</v>
      </c>
      <c r="I12453" s="9" t="s">
        <v>25302</v>
      </c>
      <c r="J12453" s="10" t="str">
        <f>HYPERLINK("https://www.boe.es/gazeta/dias/1834/10/17/pdfs/GMD-C-1834-245.pdf#page=1","Abrir facsímil")</f>
        <v>Abrir facsímil</v>
      </c>
      <c r="K12453" s="10" t="s">
        <v>24</v>
      </c>
    </row>
    <row r="12454" spans="1:11" ht="54" customHeight="1">
      <c r="A12454" s="9" t="s">
        <v>25303</v>
      </c>
      <c r="B12454" s="9" t="s">
        <v>25303</v>
      </c>
      <c r="C12454" s="9" t="s">
        <v>17</v>
      </c>
      <c r="D12454" s="9" t="s">
        <v>55</v>
      </c>
      <c r="E12454" s="10" t="s">
        <v>158</v>
      </c>
      <c r="F12454" s="9" t="s">
        <v>159</v>
      </c>
      <c r="G12454" s="10" t="s">
        <v>86</v>
      </c>
      <c r="H12454" s="9" t="s">
        <v>22</v>
      </c>
      <c r="I12454" s="9" t="s">
        <v>25304</v>
      </c>
      <c r="J12454" s="10" t="str">
        <f>HYPERLINK("https://www.boe.es/gazeta/dias/1834/10/01/pdfs/GMD-1834-229.pdf#page=2","Abrir facsímil")</f>
        <v>Abrir facsímil</v>
      </c>
      <c r="K12454" s="10" t="s">
        <v>24</v>
      </c>
    </row>
    <row r="12455" spans="1:11" ht="54" customHeight="1">
      <c r="A12455" s="9" t="s">
        <v>25305</v>
      </c>
      <c r="B12455" s="9" t="s">
        <v>25305</v>
      </c>
      <c r="C12455" s="9" t="s">
        <v>90</v>
      </c>
      <c r="D12455" s="9" t="s">
        <v>55</v>
      </c>
      <c r="E12455" s="10" t="s">
        <v>4527</v>
      </c>
      <c r="F12455" s="9" t="s">
        <v>4528</v>
      </c>
      <c r="G12455" s="10" t="s">
        <v>34</v>
      </c>
      <c r="H12455" s="9" t="s">
        <v>22</v>
      </c>
      <c r="I12455" s="9" t="s">
        <v>25306</v>
      </c>
      <c r="J12455" s="10" t="str">
        <f>HYPERLINK("https://www.boe.es/gazeta/dias/1834/05/03/pdfs/GMD-1834-72.pdf#page=1","Abrir facsímil")</f>
        <v>Abrir facsímil</v>
      </c>
      <c r="K12455" s="10" t="s">
        <v>24</v>
      </c>
    </row>
    <row r="12456" spans="1:11" ht="54" customHeight="1">
      <c r="A12456" s="9" t="s">
        <v>25305</v>
      </c>
      <c r="B12456" s="9" t="s">
        <v>25305</v>
      </c>
      <c r="C12456" s="9" t="s">
        <v>90</v>
      </c>
      <c r="D12456" s="9" t="s">
        <v>55</v>
      </c>
      <c r="E12456" s="10" t="s">
        <v>8200</v>
      </c>
      <c r="F12456" s="9" t="s">
        <v>8201</v>
      </c>
      <c r="G12456" s="10" t="s">
        <v>86</v>
      </c>
      <c r="H12456" s="9" t="s">
        <v>22</v>
      </c>
      <c r="I12456" s="9" t="s">
        <v>25307</v>
      </c>
      <c r="J12456" s="10" t="str">
        <f>HYPERLINK("https://www.boe.es/gazeta/dias/1834/11/17/pdfs/GMD-1834-276.pdf#page=2","Abrir facsímil")</f>
        <v>Abrir facsímil</v>
      </c>
      <c r="K12456" s="10" t="s">
        <v>24</v>
      </c>
    </row>
    <row r="12457" spans="1:11" ht="54" customHeight="1">
      <c r="A12457" s="9" t="s">
        <v>25305</v>
      </c>
      <c r="B12457" s="9" t="s">
        <v>25305</v>
      </c>
      <c r="C12457" s="9" t="s">
        <v>46</v>
      </c>
      <c r="D12457" s="9" t="s">
        <v>55</v>
      </c>
      <c r="E12457" s="10" t="s">
        <v>866</v>
      </c>
      <c r="F12457" s="9" t="s">
        <v>867</v>
      </c>
      <c r="G12457" s="10" t="s">
        <v>86</v>
      </c>
      <c r="H12457" s="9" t="s">
        <v>22</v>
      </c>
      <c r="I12457" s="9" t="s">
        <v>25308</v>
      </c>
      <c r="J12457" s="10" t="str">
        <f>HYPERLINK("https://www.boe.es/gazeta/dias/1834/01/18/pdfs/GMD-1834-9.pdf#page=2","Abrir facsímil")</f>
        <v>Abrir facsímil</v>
      </c>
      <c r="K12457" s="10" t="s">
        <v>24</v>
      </c>
    </row>
    <row r="12458" spans="1:11" ht="54" customHeight="1">
      <c r="A12458" s="9" t="s">
        <v>25303</v>
      </c>
      <c r="B12458" s="9" t="s">
        <v>25303</v>
      </c>
      <c r="C12458" s="9" t="s">
        <v>90</v>
      </c>
      <c r="D12458" s="9" t="s">
        <v>101</v>
      </c>
      <c r="E12458" s="10" t="s">
        <v>707</v>
      </c>
      <c r="F12458" s="9" t="s">
        <v>1359</v>
      </c>
      <c r="G12458" s="10" t="s">
        <v>86</v>
      </c>
      <c r="H12458" s="9" t="s">
        <v>22</v>
      </c>
      <c r="I12458" s="9" t="s">
        <v>25309</v>
      </c>
      <c r="J12458" s="10" t="str">
        <f>HYPERLINK("https://www.boe.es/gazeta/dias/1834/11/25/pdfs/GMD-1834-284.pdf#page=2","Abrir facsímil")</f>
        <v>Abrir facsímil</v>
      </c>
      <c r="K12458" s="10" t="s">
        <v>24</v>
      </c>
    </row>
    <row r="12459" spans="1:11" ht="54" customHeight="1">
      <c r="A12459" s="9" t="s">
        <v>25310</v>
      </c>
      <c r="B12459" s="9" t="s">
        <v>25311</v>
      </c>
      <c r="C12459" s="9" t="s">
        <v>66</v>
      </c>
      <c r="D12459" s="9" t="s">
        <v>18</v>
      </c>
      <c r="E12459" s="10" t="s">
        <v>2098</v>
      </c>
      <c r="F12459" s="9" t="s">
        <v>2099</v>
      </c>
      <c r="G12459" s="10" t="s">
        <v>21</v>
      </c>
      <c r="H12459" s="9" t="s">
        <v>22</v>
      </c>
      <c r="I12459" s="9" t="s">
        <v>25312</v>
      </c>
      <c r="J12459" s="10" t="str">
        <f>HYPERLINK("https://www.boe.es/gazeta/dias/1834/08/11/pdfs/GMD-1834-176.pdf#page=3","Abrir facsímil")</f>
        <v>Abrir facsímil</v>
      </c>
      <c r="K12459" s="10" t="s">
        <v>24</v>
      </c>
    </row>
    <row r="12460" spans="1:11" ht="54" customHeight="1">
      <c r="A12460" s="9" t="s">
        <v>25313</v>
      </c>
      <c r="B12460" s="9" t="s">
        <v>25313</v>
      </c>
      <c r="C12460" s="9" t="s">
        <v>66</v>
      </c>
      <c r="D12460" s="9" t="s">
        <v>67</v>
      </c>
      <c r="E12460" s="10" t="s">
        <v>719</v>
      </c>
      <c r="F12460" s="9" t="s">
        <v>720</v>
      </c>
      <c r="G12460" s="10" t="s">
        <v>21</v>
      </c>
      <c r="H12460" s="9" t="s">
        <v>22</v>
      </c>
      <c r="I12460" s="9" t="s">
        <v>25314</v>
      </c>
      <c r="J12460" s="10" t="str">
        <f>HYPERLINK("https://www.boe.es/gazeta/dias/1834/04/29/pdfs/GMD-1834-68.pdf#page=3","Abrir facsímil")</f>
        <v>Abrir facsímil</v>
      </c>
      <c r="K12460" s="10" t="s">
        <v>24</v>
      </c>
    </row>
    <row r="12461" spans="1:11" ht="54" customHeight="1">
      <c r="A12461" s="9" t="s">
        <v>25315</v>
      </c>
      <c r="B12461" s="9" t="s">
        <v>25316</v>
      </c>
      <c r="C12461" s="9" t="s">
        <v>17</v>
      </c>
      <c r="D12461" s="9" t="s">
        <v>40</v>
      </c>
      <c r="E12461" s="10" t="s">
        <v>719</v>
      </c>
      <c r="F12461" s="9" t="s">
        <v>720</v>
      </c>
      <c r="G12461" s="10" t="s">
        <v>21</v>
      </c>
      <c r="H12461" s="9" t="s">
        <v>22</v>
      </c>
      <c r="I12461" s="9" t="s">
        <v>25317</v>
      </c>
      <c r="J12461" s="10" t="str">
        <f>HYPERLINK("https://www.boe.es/gazeta/dias/1834/04/29/pdfs/GMD-1834-68.pdf#page=3","Abrir facsímil")</f>
        <v>Abrir facsímil</v>
      </c>
      <c r="K12461" s="10" t="s">
        <v>24</v>
      </c>
    </row>
    <row r="12462" spans="1:11" ht="54" customHeight="1">
      <c r="A12462" s="9" t="s">
        <v>25318</v>
      </c>
      <c r="B12462" s="9" t="s">
        <v>25319</v>
      </c>
      <c r="C12462" s="9" t="s">
        <v>17</v>
      </c>
      <c r="D12462" s="9" t="s">
        <v>40</v>
      </c>
      <c r="E12462" s="10" t="s">
        <v>719</v>
      </c>
      <c r="F12462" s="9" t="s">
        <v>720</v>
      </c>
      <c r="G12462" s="10" t="s">
        <v>21</v>
      </c>
      <c r="H12462" s="9" t="s">
        <v>35</v>
      </c>
      <c r="I12462" s="9" t="s">
        <v>25320</v>
      </c>
      <c r="J12462" s="10" t="str">
        <f>HYPERLINK("https://www.boe.es/gazeta/dias/1834/04/29/pdfs/GMD-1834-68.pdf#page=3","Abrir facsímil")</f>
        <v>Abrir facsímil</v>
      </c>
      <c r="K12462" s="10" t="s">
        <v>37</v>
      </c>
    </row>
    <row r="12463" spans="1:11" ht="54" customHeight="1">
      <c r="A12463" s="9" t="s">
        <v>25321</v>
      </c>
      <c r="B12463" s="9" t="s">
        <v>25322</v>
      </c>
      <c r="C12463" s="9" t="s">
        <v>66</v>
      </c>
      <c r="D12463" s="9" t="s">
        <v>67</v>
      </c>
      <c r="E12463" s="10" t="s">
        <v>2218</v>
      </c>
      <c r="F12463" s="9" t="s">
        <v>2219</v>
      </c>
      <c r="G12463" s="10" t="s">
        <v>21</v>
      </c>
      <c r="H12463" s="9" t="s">
        <v>22</v>
      </c>
      <c r="I12463" s="9" t="s">
        <v>25323</v>
      </c>
      <c r="J12463" s="10" t="str">
        <f>HYPERLINK("https://www.boe.es/gazeta/dias/1834/11/05/pdfs/GMD-1834-264.pdf#page=3","Abrir facsímil")</f>
        <v>Abrir facsímil</v>
      </c>
      <c r="K12463" s="10" t="s">
        <v>24</v>
      </c>
    </row>
    <row r="12464" spans="1:11" ht="54" customHeight="1">
      <c r="A12464" s="9" t="s">
        <v>25324</v>
      </c>
      <c r="B12464" s="9" t="s">
        <v>25325</v>
      </c>
      <c r="C12464" s="9" t="s">
        <v>90</v>
      </c>
      <c r="D12464" s="9" t="s">
        <v>101</v>
      </c>
      <c r="E12464" s="10" t="s">
        <v>1459</v>
      </c>
      <c r="F12464" s="9" t="s">
        <v>1460</v>
      </c>
      <c r="G12464" s="10" t="s">
        <v>34</v>
      </c>
      <c r="H12464" s="9" t="s">
        <v>22</v>
      </c>
      <c r="I12464" s="9" t="s">
        <v>25326</v>
      </c>
      <c r="J12464" s="10" t="str">
        <f>HYPERLINK("https://www.boe.es/gazeta/dias/1834/08/18/pdfs/GMD-1834-184.pdf#page=1","Abrir facsímil")</f>
        <v>Abrir facsímil</v>
      </c>
      <c r="K12464" s="10" t="s">
        <v>24</v>
      </c>
    </row>
    <row r="12465" spans="1:11" ht="54" customHeight="1">
      <c r="A12465" s="9" t="s">
        <v>25327</v>
      </c>
      <c r="B12465" s="9" t="s">
        <v>25328</v>
      </c>
      <c r="C12465" s="9" t="s">
        <v>17</v>
      </c>
      <c r="D12465" s="9" t="s">
        <v>18</v>
      </c>
      <c r="E12465" s="10" t="s">
        <v>1318</v>
      </c>
      <c r="F12465" s="9" t="s">
        <v>1319</v>
      </c>
      <c r="G12465" s="10" t="s">
        <v>75</v>
      </c>
      <c r="H12465" s="9" t="s">
        <v>22</v>
      </c>
      <c r="I12465" s="9" t="s">
        <v>25329</v>
      </c>
      <c r="J12465" s="10" t="str">
        <f>HYPERLINK("https://www.boe.es/gazeta/dias/1834/05/10/pdfs/GMD-1834-79.pdf#page=4","Abrir facsímil")</f>
        <v>Abrir facsímil</v>
      </c>
      <c r="K12465" s="10" t="s">
        <v>24</v>
      </c>
    </row>
    <row r="12466" spans="1:11" ht="54" customHeight="1">
      <c r="A12466" s="9" t="s">
        <v>25330</v>
      </c>
      <c r="B12466" s="9" t="s">
        <v>25331</v>
      </c>
      <c r="C12466" s="9" t="s">
        <v>17</v>
      </c>
      <c r="D12466" s="9" t="s">
        <v>18</v>
      </c>
      <c r="E12466" s="10" t="s">
        <v>1459</v>
      </c>
      <c r="F12466" s="9" t="s">
        <v>1460</v>
      </c>
      <c r="G12466" s="10" t="s">
        <v>21</v>
      </c>
      <c r="H12466" s="9" t="s">
        <v>35</v>
      </c>
      <c r="I12466" s="9" t="s">
        <v>25332</v>
      </c>
      <c r="J12466" s="10" t="str">
        <f>HYPERLINK("https://www.boe.es/gazeta/dias/1834/08/18/pdfs/GMD-1834-184.pdf#page=3","Abrir facsímil")</f>
        <v>Abrir facsímil</v>
      </c>
      <c r="K12466" s="10" t="s">
        <v>37</v>
      </c>
    </row>
    <row r="12467" spans="1:11" ht="54" customHeight="1">
      <c r="A12467" s="9" t="s">
        <v>25333</v>
      </c>
      <c r="B12467" s="9" t="s">
        <v>25334</v>
      </c>
      <c r="C12467" s="9" t="s">
        <v>66</v>
      </c>
      <c r="D12467" s="9" t="s">
        <v>67</v>
      </c>
      <c r="E12467" s="10" t="s">
        <v>919</v>
      </c>
      <c r="F12467" s="9" t="s">
        <v>920</v>
      </c>
      <c r="G12467" s="10" t="s">
        <v>86</v>
      </c>
      <c r="H12467" s="9" t="s">
        <v>22</v>
      </c>
      <c r="I12467" s="9" t="s">
        <v>25335</v>
      </c>
      <c r="J12467" s="10" t="str">
        <f>HYPERLINK("https://www.boe.es/gazeta/dias/1834/06/24/pdfs/GMD-1834-127.pdf#page=2","Abrir facsímil")</f>
        <v>Abrir facsímil</v>
      </c>
      <c r="K12467" s="10" t="s">
        <v>24</v>
      </c>
    </row>
    <row r="12468" spans="1:11" ht="54" customHeight="1">
      <c r="A12468" s="9" t="s">
        <v>25336</v>
      </c>
      <c r="B12468" s="9" t="s">
        <v>25337</v>
      </c>
      <c r="C12468" s="9" t="s">
        <v>17</v>
      </c>
      <c r="D12468" s="9" t="s">
        <v>18</v>
      </c>
      <c r="E12468" s="10" t="s">
        <v>1459</v>
      </c>
      <c r="F12468" s="9" t="s">
        <v>1460</v>
      </c>
      <c r="G12468" s="10" t="s">
        <v>21</v>
      </c>
      <c r="H12468" s="9" t="s">
        <v>22</v>
      </c>
      <c r="I12468" s="9" t="s">
        <v>25338</v>
      </c>
      <c r="J12468" s="10" t="str">
        <f>HYPERLINK("https://www.boe.es/gazeta/dias/1834/08/18/pdfs/GMD-1834-184.pdf#page=3","Abrir facsímil")</f>
        <v>Abrir facsímil</v>
      </c>
      <c r="K12468" s="10" t="s">
        <v>24</v>
      </c>
    </row>
    <row r="12469" spans="1:11" ht="54" customHeight="1">
      <c r="A12469" s="9" t="s">
        <v>25339</v>
      </c>
      <c r="B12469" s="9" t="s">
        <v>25339</v>
      </c>
      <c r="C12469" s="9" t="s">
        <v>66</v>
      </c>
      <c r="D12469" s="9" t="s">
        <v>67</v>
      </c>
      <c r="E12469" s="10" t="s">
        <v>1424</v>
      </c>
      <c r="F12469" s="9" t="s">
        <v>3445</v>
      </c>
      <c r="G12469" s="10" t="s">
        <v>86</v>
      </c>
      <c r="H12469" s="9" t="s">
        <v>22</v>
      </c>
      <c r="I12469" s="9" t="s">
        <v>25340</v>
      </c>
      <c r="J12469" s="10" t="str">
        <f>HYPERLINK("https://www.boe.es/gazeta/dias/1834/11/14/pdfs/GMD-1834-273.pdf#page=2","Abrir facsímil")</f>
        <v>Abrir facsímil</v>
      </c>
      <c r="K12469" s="10" t="s">
        <v>24</v>
      </c>
    </row>
    <row r="12470" spans="1:11" ht="54" customHeight="1">
      <c r="A12470" s="9" t="s">
        <v>25339</v>
      </c>
      <c r="B12470" s="9" t="s">
        <v>25339</v>
      </c>
      <c r="C12470" s="9" t="s">
        <v>46</v>
      </c>
      <c r="D12470" s="9" t="s">
        <v>18</v>
      </c>
      <c r="E12470" s="10" t="s">
        <v>667</v>
      </c>
      <c r="F12470" s="9" t="s">
        <v>3347</v>
      </c>
      <c r="G12470" s="10" t="s">
        <v>86</v>
      </c>
      <c r="H12470" s="9" t="s">
        <v>22</v>
      </c>
      <c r="I12470" s="9" t="s">
        <v>25341</v>
      </c>
      <c r="J12470" s="10" t="str">
        <f>HYPERLINK("https://www.boe.es/gazeta/dias/1834/11/23/pdfs/GMD-1834-282.pdf#page=2","Abrir facsímil")</f>
        <v>Abrir facsímil</v>
      </c>
      <c r="K12470" s="10" t="s">
        <v>24</v>
      </c>
    </row>
    <row r="12471" spans="1:11" ht="54" customHeight="1">
      <c r="A12471" s="9" t="s">
        <v>25339</v>
      </c>
      <c r="B12471" s="9" t="s">
        <v>25339</v>
      </c>
      <c r="C12471" s="9" t="s">
        <v>90</v>
      </c>
      <c r="D12471" s="9" t="s">
        <v>101</v>
      </c>
      <c r="E12471" s="10" t="s">
        <v>1575</v>
      </c>
      <c r="F12471" s="9" t="s">
        <v>1576</v>
      </c>
      <c r="G12471" s="10" t="s">
        <v>86</v>
      </c>
      <c r="H12471" s="9" t="s">
        <v>22</v>
      </c>
      <c r="I12471" s="9" t="s">
        <v>25342</v>
      </c>
      <c r="J12471" s="10" t="str">
        <f>HYPERLINK("https://www.boe.es/gazeta/dias/1834/11/24/pdfs/GMD-1834-283.pdf#page=2","Abrir facsímil")</f>
        <v>Abrir facsímil</v>
      </c>
      <c r="K12471" s="10" t="s">
        <v>24</v>
      </c>
    </row>
    <row r="12472" spans="1:11" ht="54" customHeight="1">
      <c r="A12472" s="9" t="s">
        <v>25343</v>
      </c>
      <c r="B12472" s="9" t="s">
        <v>25344</v>
      </c>
      <c r="C12472" s="9" t="s">
        <v>17</v>
      </c>
      <c r="D12472" s="9" t="s">
        <v>18</v>
      </c>
      <c r="E12472" s="10" t="s">
        <v>1103</v>
      </c>
      <c r="F12472" s="9" t="s">
        <v>1259</v>
      </c>
      <c r="G12472" s="10" t="s">
        <v>21</v>
      </c>
      <c r="H12472" s="9" t="s">
        <v>22</v>
      </c>
      <c r="I12472" s="9" t="s">
        <v>25345</v>
      </c>
      <c r="J12472" s="10" t="str">
        <f>HYPERLINK("https://www.boe.es/gazeta/dias/1834/10/10/pdfs/GMD-1834-238.pdf#page=3","Abrir facsímil")</f>
        <v>Abrir facsímil</v>
      </c>
      <c r="K12472" s="10" t="s">
        <v>24</v>
      </c>
    </row>
    <row r="12473" spans="1:11" ht="54" customHeight="1">
      <c r="A12473" s="9" t="s">
        <v>25346</v>
      </c>
      <c r="B12473" s="9" t="s">
        <v>25346</v>
      </c>
      <c r="C12473" s="9" t="s">
        <v>17</v>
      </c>
      <c r="D12473" s="9" t="s">
        <v>40</v>
      </c>
      <c r="E12473" s="10" t="s">
        <v>679</v>
      </c>
      <c r="F12473" s="9" t="s">
        <v>699</v>
      </c>
      <c r="G12473" s="10" t="s">
        <v>75</v>
      </c>
      <c r="H12473" s="9" t="s">
        <v>22</v>
      </c>
      <c r="I12473" s="9" t="s">
        <v>25347</v>
      </c>
      <c r="J12473" s="10" t="str">
        <f>HYPERLINK("https://www.boe.es/gazeta/dias/1834/12/10/pdfs/GMD-C-1834-299.pdf#page=4","Abrir facsímil")</f>
        <v>Abrir facsímil</v>
      </c>
      <c r="K12473" s="10" t="s">
        <v>24</v>
      </c>
    </row>
    <row r="12474" spans="1:11" ht="54" customHeight="1">
      <c r="A12474" s="9" t="s">
        <v>25346</v>
      </c>
      <c r="B12474" s="9" t="s">
        <v>25346</v>
      </c>
      <c r="C12474" s="9" t="s">
        <v>17</v>
      </c>
      <c r="D12474" s="9" t="s">
        <v>18</v>
      </c>
      <c r="E12474" s="10" t="s">
        <v>1981</v>
      </c>
      <c r="F12474" s="9" t="s">
        <v>2471</v>
      </c>
      <c r="G12474" s="10" t="s">
        <v>21</v>
      </c>
      <c r="H12474" s="9" t="s">
        <v>22</v>
      </c>
      <c r="I12474" s="9" t="s">
        <v>25348</v>
      </c>
      <c r="J12474" s="10" t="str">
        <f>HYPERLINK("https://www.boe.es/gazeta/dias/1834/12/13/pdfs/GMD-C-1834-302.pdf#page=3","Abrir facsímil")</f>
        <v>Abrir facsímil</v>
      </c>
      <c r="K12474" s="10" t="s">
        <v>24</v>
      </c>
    </row>
    <row r="12475" spans="1:11" ht="54" customHeight="1">
      <c r="A12475" s="9" t="s">
        <v>25349</v>
      </c>
      <c r="B12475" s="9" t="s">
        <v>25350</v>
      </c>
      <c r="C12475" s="9" t="s">
        <v>17</v>
      </c>
      <c r="D12475" s="9" t="s">
        <v>18</v>
      </c>
      <c r="E12475" s="10" t="s">
        <v>707</v>
      </c>
      <c r="F12475" s="9" t="s">
        <v>708</v>
      </c>
      <c r="G12475" s="10" t="s">
        <v>560</v>
      </c>
      <c r="H12475" s="9" t="s">
        <v>22</v>
      </c>
      <c r="I12475" s="9" t="s">
        <v>25351</v>
      </c>
      <c r="J12475" s="10" t="str">
        <f>HYPERLINK("https://www.boe.es/gazeta/dias/1834/11/25/pdfs/GMD-C-1834-284.pdf#page=7","Abrir facsímil")</f>
        <v>Abrir facsímil</v>
      </c>
      <c r="K12475" s="10" t="s">
        <v>24</v>
      </c>
    </row>
    <row r="12476" spans="1:11" ht="54" customHeight="1">
      <c r="A12476" s="9" t="s">
        <v>25352</v>
      </c>
      <c r="B12476" s="9" t="s">
        <v>25353</v>
      </c>
      <c r="C12476" s="9" t="s">
        <v>90</v>
      </c>
      <c r="D12476" s="9" t="s">
        <v>101</v>
      </c>
      <c r="E12476" s="10" t="s">
        <v>647</v>
      </c>
      <c r="F12476" s="9" t="s">
        <v>648</v>
      </c>
      <c r="G12476" s="10" t="s">
        <v>86</v>
      </c>
      <c r="H12476" s="9" t="s">
        <v>22</v>
      </c>
      <c r="I12476" s="9" t="s">
        <v>25354</v>
      </c>
      <c r="J12476" s="10" t="str">
        <f>HYPERLINK("https://www.boe.es/gazeta/dias/1834/10/21/pdfs/GMD-C-1834-249.pdf#page=2","Abrir facsímil")</f>
        <v>Abrir facsímil</v>
      </c>
      <c r="K12476" s="10" t="s">
        <v>24</v>
      </c>
    </row>
    <row r="12477" spans="1:11" ht="54" customHeight="1">
      <c r="A12477" s="9" t="s">
        <v>25355</v>
      </c>
      <c r="B12477" s="9" t="s">
        <v>25356</v>
      </c>
      <c r="C12477" s="9" t="s">
        <v>17</v>
      </c>
      <c r="D12477" s="9" t="s">
        <v>18</v>
      </c>
      <c r="E12477" s="10" t="s">
        <v>762</v>
      </c>
      <c r="F12477" s="9" t="s">
        <v>2227</v>
      </c>
      <c r="G12477" s="10" t="s">
        <v>34</v>
      </c>
      <c r="H12477" s="9" t="s">
        <v>22</v>
      </c>
      <c r="I12477" s="9" t="s">
        <v>25357</v>
      </c>
      <c r="J12477" s="10" t="str">
        <f>HYPERLINK("https://www.boe.es/gazeta/dias/1834/11/07/pdfs/GMD-C-1834-266.pdf#page=1","Abrir facsímil")</f>
        <v>Abrir facsímil</v>
      </c>
      <c r="K12477" s="10" t="s">
        <v>24</v>
      </c>
    </row>
    <row r="12478" spans="1:11" ht="54" customHeight="1">
      <c r="A12478" s="9" t="s">
        <v>25358</v>
      </c>
      <c r="B12478" s="9" t="s">
        <v>25359</v>
      </c>
      <c r="C12478" s="9" t="s">
        <v>66</v>
      </c>
      <c r="D12478" s="9" t="s">
        <v>67</v>
      </c>
      <c r="E12478" s="10" t="s">
        <v>465</v>
      </c>
      <c r="F12478" s="9" t="s">
        <v>466</v>
      </c>
      <c r="G12478" s="10" t="s">
        <v>34</v>
      </c>
      <c r="H12478" s="9" t="s">
        <v>22</v>
      </c>
      <c r="I12478" s="9" t="s">
        <v>25360</v>
      </c>
      <c r="J12478" s="10" t="str">
        <f>HYPERLINK("https://www.boe.es/gazeta/dias/1834/11/27/pdfs/GMD-C-1834-286.pdf#page=1","Abrir facsímil")</f>
        <v>Abrir facsímil</v>
      </c>
      <c r="K12478" s="10" t="s">
        <v>24</v>
      </c>
    </row>
    <row r="12479" spans="1:11" ht="54" customHeight="1">
      <c r="A12479" s="9" t="s">
        <v>25361</v>
      </c>
      <c r="B12479" s="9" t="s">
        <v>25362</v>
      </c>
      <c r="C12479" s="9" t="s">
        <v>66</v>
      </c>
      <c r="D12479" s="9" t="s">
        <v>67</v>
      </c>
      <c r="E12479" s="10" t="s">
        <v>702</v>
      </c>
      <c r="F12479" s="9" t="s">
        <v>703</v>
      </c>
      <c r="G12479" s="10" t="s">
        <v>75</v>
      </c>
      <c r="H12479" s="9" t="s">
        <v>22</v>
      </c>
      <c r="I12479" s="9" t="s">
        <v>25363</v>
      </c>
      <c r="J12479" s="10" t="str">
        <f>HYPERLINK("https://www.boe.es/gazeta/dias/1834/11/22/pdfs/GMD-C-1834-281.pdf#page=4","Abrir facsímil")</f>
        <v>Abrir facsímil</v>
      </c>
      <c r="K12479" s="10" t="s">
        <v>24</v>
      </c>
    </row>
    <row r="12480" spans="1:11" ht="54" customHeight="1">
      <c r="A12480" s="9" t="s">
        <v>25364</v>
      </c>
      <c r="B12480" s="9" t="s">
        <v>25365</v>
      </c>
      <c r="C12480" s="9" t="s">
        <v>122</v>
      </c>
      <c r="D12480" s="9" t="s">
        <v>18</v>
      </c>
      <c r="E12480" s="10" t="s">
        <v>158</v>
      </c>
      <c r="F12480" s="9" t="s">
        <v>581</v>
      </c>
      <c r="G12480" s="10" t="s">
        <v>86</v>
      </c>
      <c r="H12480" s="9" t="s">
        <v>22</v>
      </c>
      <c r="I12480" s="9" t="s">
        <v>25366</v>
      </c>
      <c r="J12480" s="10" t="str">
        <f>HYPERLINK("https://www.boe.es/gazeta/dias/1834/10/01/pdfs/GMD-C-1834-229.pdf#page=2","Abrir facsímil")</f>
        <v>Abrir facsímil</v>
      </c>
      <c r="K12480" s="10" t="s">
        <v>24</v>
      </c>
    </row>
    <row r="12481" spans="1:11" ht="54" customHeight="1">
      <c r="A12481" s="9" t="s">
        <v>25364</v>
      </c>
      <c r="B12481" s="9" t="s">
        <v>25365</v>
      </c>
      <c r="C12481" s="9" t="s">
        <v>17</v>
      </c>
      <c r="D12481" s="9" t="s">
        <v>18</v>
      </c>
      <c r="E12481" s="10" t="s">
        <v>642</v>
      </c>
      <c r="F12481" s="9" t="s">
        <v>643</v>
      </c>
      <c r="G12481" s="10" t="s">
        <v>21</v>
      </c>
      <c r="H12481" s="9" t="s">
        <v>22</v>
      </c>
      <c r="I12481" s="9" t="s">
        <v>25367</v>
      </c>
      <c r="J12481" s="10" t="str">
        <f>HYPERLINK("https://www.boe.es/gazeta/dias/1834/11/12/pdfs/GMD-C-1834-271.pdf#page=3","Abrir facsímil")</f>
        <v>Abrir facsímil</v>
      </c>
      <c r="K12481" s="10" t="s">
        <v>24</v>
      </c>
    </row>
    <row r="12482" spans="1:11" ht="54" customHeight="1">
      <c r="A12482" s="9" t="s">
        <v>25368</v>
      </c>
      <c r="B12482" s="9" t="s">
        <v>25369</v>
      </c>
      <c r="C12482" s="9" t="s">
        <v>17</v>
      </c>
      <c r="D12482" s="9" t="s">
        <v>18</v>
      </c>
      <c r="E12482" s="10" t="s">
        <v>642</v>
      </c>
      <c r="F12482" s="9" t="s">
        <v>643</v>
      </c>
      <c r="G12482" s="10" t="s">
        <v>21</v>
      </c>
      <c r="H12482" s="9" t="s">
        <v>22</v>
      </c>
      <c r="I12482" s="9" t="s">
        <v>25370</v>
      </c>
      <c r="J12482" s="10" t="str">
        <f>HYPERLINK("https://www.boe.es/gazeta/dias/1834/11/12/pdfs/GMD-C-1834-271.pdf#page=3","Abrir facsímil")</f>
        <v>Abrir facsímil</v>
      </c>
      <c r="K12482" s="10" t="s">
        <v>24</v>
      </c>
    </row>
    <row r="12483" spans="1:11" ht="54" customHeight="1">
      <c r="A12483" s="9" t="s">
        <v>25368</v>
      </c>
      <c r="B12483" s="9" t="s">
        <v>25369</v>
      </c>
      <c r="C12483" s="9" t="s">
        <v>66</v>
      </c>
      <c r="D12483" s="9" t="s">
        <v>67</v>
      </c>
      <c r="E12483" s="10" t="s">
        <v>642</v>
      </c>
      <c r="F12483" s="9" t="s">
        <v>643</v>
      </c>
      <c r="G12483" s="10" t="s">
        <v>176</v>
      </c>
      <c r="H12483" s="9" t="s">
        <v>22</v>
      </c>
      <c r="I12483" s="9" t="s">
        <v>25371</v>
      </c>
      <c r="J12483" s="10" t="str">
        <f>HYPERLINK("https://www.boe.es/gazeta/dias/1834/11/12/pdfs/GMD-C-1834-271.pdf#page=6","Abrir facsímil")</f>
        <v>Abrir facsímil</v>
      </c>
      <c r="K12483" s="10" t="s">
        <v>24</v>
      </c>
    </row>
    <row r="12484" spans="1:11" ht="54" customHeight="1">
      <c r="A12484" s="9" t="s">
        <v>25368</v>
      </c>
      <c r="B12484" s="9" t="s">
        <v>25369</v>
      </c>
      <c r="C12484" s="9" t="s">
        <v>46</v>
      </c>
      <c r="D12484" s="9" t="s">
        <v>101</v>
      </c>
      <c r="E12484" s="10" t="s">
        <v>1981</v>
      </c>
      <c r="F12484" s="9" t="s">
        <v>2471</v>
      </c>
      <c r="G12484" s="10" t="s">
        <v>86</v>
      </c>
      <c r="H12484" s="9" t="s">
        <v>22</v>
      </c>
      <c r="I12484" s="9" t="s">
        <v>25372</v>
      </c>
      <c r="J12484" s="10" t="str">
        <f>HYPERLINK("https://www.boe.es/gazeta/dias/1834/12/13/pdfs/GMD-C-1834-302.pdf#page=2","Abrir facsímil")</f>
        <v>Abrir facsímil</v>
      </c>
      <c r="K12484" s="10" t="s">
        <v>24</v>
      </c>
    </row>
    <row r="12485" spans="1:11" ht="54" customHeight="1">
      <c r="A12485" s="9" t="s">
        <v>25368</v>
      </c>
      <c r="B12485" s="9" t="s">
        <v>25369</v>
      </c>
      <c r="C12485" s="9" t="s">
        <v>17</v>
      </c>
      <c r="D12485" s="9" t="s">
        <v>18</v>
      </c>
      <c r="E12485" s="10" t="s">
        <v>451</v>
      </c>
      <c r="F12485" s="9" t="s">
        <v>452</v>
      </c>
      <c r="G12485" s="10" t="s">
        <v>86</v>
      </c>
      <c r="H12485" s="9" t="s">
        <v>22</v>
      </c>
      <c r="I12485" s="9" t="s">
        <v>25373</v>
      </c>
      <c r="J12485" s="10" t="str">
        <f>HYPERLINK("https://www.boe.es/gazeta/dias/1834/10/15/pdfs/GMD-C-1834-243.pdf#page=2","Abrir facsímil")</f>
        <v>Abrir facsímil</v>
      </c>
      <c r="K12485" s="10" t="s">
        <v>24</v>
      </c>
    </row>
    <row r="12486" spans="1:11" ht="54" customHeight="1">
      <c r="A12486" s="9" t="s">
        <v>25368</v>
      </c>
      <c r="B12486" s="9" t="s">
        <v>25369</v>
      </c>
      <c r="C12486" s="9" t="s">
        <v>90</v>
      </c>
      <c r="D12486" s="9" t="s">
        <v>18</v>
      </c>
      <c r="E12486" s="10" t="s">
        <v>454</v>
      </c>
      <c r="F12486" s="9" t="s">
        <v>455</v>
      </c>
      <c r="G12486" s="10" t="s">
        <v>21</v>
      </c>
      <c r="H12486" s="9" t="s">
        <v>22</v>
      </c>
      <c r="I12486" s="9" t="s">
        <v>25374</v>
      </c>
      <c r="J12486" s="10" t="str">
        <f>HYPERLINK("https://www.boe.es/gazeta/dias/1834/10/16/pdfs/GMD-C-1834-244.pdf#page=3","Abrir facsímil")</f>
        <v>Abrir facsímil</v>
      </c>
      <c r="K12486" s="10" t="s">
        <v>24</v>
      </c>
    </row>
    <row r="12487" spans="1:11" ht="54" customHeight="1">
      <c r="A12487" s="9" t="s">
        <v>25368</v>
      </c>
      <c r="B12487" s="9" t="s">
        <v>25369</v>
      </c>
      <c r="C12487" s="9" t="s">
        <v>90</v>
      </c>
      <c r="D12487" s="9" t="s">
        <v>18</v>
      </c>
      <c r="E12487" s="10" t="s">
        <v>3036</v>
      </c>
      <c r="F12487" s="9" t="s">
        <v>3037</v>
      </c>
      <c r="G12487" s="10" t="s">
        <v>21</v>
      </c>
      <c r="H12487" s="9" t="s">
        <v>22</v>
      </c>
      <c r="I12487" s="9" t="s">
        <v>25375</v>
      </c>
      <c r="J12487" s="10" t="str">
        <f>HYPERLINK("https://www.boe.es/gazeta/dias/1834/11/18/pdfs/GMD-C-1834-277.pdf#page=3","Abrir facsímil")</f>
        <v>Abrir facsímil</v>
      </c>
      <c r="K12487" s="10" t="s">
        <v>24</v>
      </c>
    </row>
    <row r="12488" spans="1:11" ht="54" customHeight="1">
      <c r="A12488" s="9" t="s">
        <v>25368</v>
      </c>
      <c r="B12488" s="9" t="s">
        <v>25369</v>
      </c>
      <c r="C12488" s="9" t="s">
        <v>90</v>
      </c>
      <c r="D12488" s="9" t="s">
        <v>101</v>
      </c>
      <c r="E12488" s="10" t="s">
        <v>647</v>
      </c>
      <c r="F12488" s="9" t="s">
        <v>648</v>
      </c>
      <c r="G12488" s="10" t="s">
        <v>86</v>
      </c>
      <c r="H12488" s="9" t="s">
        <v>22</v>
      </c>
      <c r="I12488" s="9" t="s">
        <v>25376</v>
      </c>
      <c r="J12488" s="10" t="str">
        <f>HYPERLINK("https://www.boe.es/gazeta/dias/1834/10/21/pdfs/GMD-C-1834-249.pdf#page=2","Abrir facsímil")</f>
        <v>Abrir facsímil</v>
      </c>
      <c r="K12488" s="10" t="s">
        <v>24</v>
      </c>
    </row>
    <row r="12489" spans="1:11" ht="54" customHeight="1">
      <c r="A12489" s="9" t="s">
        <v>25368</v>
      </c>
      <c r="B12489" s="9" t="s">
        <v>25369</v>
      </c>
      <c r="C12489" s="9" t="s">
        <v>46</v>
      </c>
      <c r="D12489" s="9" t="s">
        <v>18</v>
      </c>
      <c r="E12489" s="10" t="s">
        <v>492</v>
      </c>
      <c r="F12489" s="9" t="s">
        <v>493</v>
      </c>
      <c r="G12489" s="10" t="s">
        <v>75</v>
      </c>
      <c r="H12489" s="9" t="s">
        <v>22</v>
      </c>
      <c r="I12489" s="9" t="s">
        <v>25377</v>
      </c>
      <c r="J12489" s="10" t="str">
        <f>HYPERLINK("https://www.boe.es/gazeta/dias/1834/11/21/pdfs/GMD-C-1834-280.pdf#page=4","Abrir facsímil")</f>
        <v>Abrir facsímil</v>
      </c>
      <c r="K12489" s="10" t="s">
        <v>24</v>
      </c>
    </row>
    <row r="12490" spans="1:11" ht="54" customHeight="1">
      <c r="A12490" s="9" t="s">
        <v>25368</v>
      </c>
      <c r="B12490" s="9" t="s">
        <v>25369</v>
      </c>
      <c r="C12490" s="9" t="s">
        <v>17</v>
      </c>
      <c r="D12490" s="9" t="s">
        <v>18</v>
      </c>
      <c r="E12490" s="10" t="s">
        <v>627</v>
      </c>
      <c r="F12490" s="9" t="s">
        <v>628</v>
      </c>
      <c r="G12490" s="10" t="s">
        <v>86</v>
      </c>
      <c r="H12490" s="9" t="s">
        <v>22</v>
      </c>
      <c r="I12490" s="9" t="s">
        <v>25378</v>
      </c>
      <c r="J12490" s="10" t="str">
        <f>HYPERLINK("https://www.boe.es/gazeta/dias/1834/09/22/pdfs/GMD-C-1834-220.pdf#page=2","Abrir facsímil")</f>
        <v>Abrir facsímil</v>
      </c>
      <c r="K12490" s="10" t="s">
        <v>24</v>
      </c>
    </row>
    <row r="12491" spans="1:11" ht="54" customHeight="1">
      <c r="A12491" s="9" t="s">
        <v>25368</v>
      </c>
      <c r="B12491" s="9" t="s">
        <v>25369</v>
      </c>
      <c r="C12491" s="9" t="s">
        <v>66</v>
      </c>
      <c r="D12491" s="9" t="s">
        <v>67</v>
      </c>
      <c r="E12491" s="10" t="s">
        <v>702</v>
      </c>
      <c r="F12491" s="9" t="s">
        <v>703</v>
      </c>
      <c r="G12491" s="10" t="s">
        <v>21</v>
      </c>
      <c r="H12491" s="9" t="s">
        <v>22</v>
      </c>
      <c r="I12491" s="9" t="s">
        <v>25379</v>
      </c>
      <c r="J12491" s="10" t="str">
        <f>HYPERLINK("https://www.boe.es/gazeta/dias/1834/11/22/pdfs/GMD-C-1834-281.pdf#page=3","Abrir facsímil")</f>
        <v>Abrir facsímil</v>
      </c>
      <c r="K12491" s="10" t="s">
        <v>24</v>
      </c>
    </row>
    <row r="12492" spans="1:11" ht="54" customHeight="1">
      <c r="A12492" s="9" t="s">
        <v>25368</v>
      </c>
      <c r="B12492" s="9" t="s">
        <v>25369</v>
      </c>
      <c r="C12492" s="9" t="s">
        <v>17</v>
      </c>
      <c r="D12492" s="9" t="s">
        <v>55</v>
      </c>
      <c r="E12492" s="10" t="s">
        <v>702</v>
      </c>
      <c r="F12492" s="9" t="s">
        <v>703</v>
      </c>
      <c r="G12492" s="10" t="s">
        <v>28</v>
      </c>
      <c r="H12492" s="9" t="s">
        <v>22</v>
      </c>
      <c r="I12492" s="9" t="s">
        <v>25380</v>
      </c>
      <c r="J12492" s="10" t="str">
        <f>HYPERLINK("https://www.boe.es/gazeta/dias/1834/11/22/pdfs/GMD-C-1834-281.pdf#page=5","Abrir facsímil")</f>
        <v>Abrir facsímil</v>
      </c>
      <c r="K12492" s="10" t="s">
        <v>24</v>
      </c>
    </row>
    <row r="12493" spans="1:11" ht="54" customHeight="1">
      <c r="A12493" s="9" t="s">
        <v>25368</v>
      </c>
      <c r="B12493" s="9" t="s">
        <v>25369</v>
      </c>
      <c r="C12493" s="9" t="s">
        <v>17</v>
      </c>
      <c r="D12493" s="9" t="s">
        <v>18</v>
      </c>
      <c r="E12493" s="10" t="s">
        <v>667</v>
      </c>
      <c r="F12493" s="9" t="s">
        <v>668</v>
      </c>
      <c r="G12493" s="10" t="s">
        <v>34</v>
      </c>
      <c r="H12493" s="9" t="s">
        <v>22</v>
      </c>
      <c r="I12493" s="9" t="s">
        <v>25381</v>
      </c>
      <c r="J12493" s="10" t="str">
        <f>HYPERLINK("https://www.boe.es/gazeta/dias/1834/11/23/pdfs/GMD-C-1834-282.pdf#page=1","Abrir facsímil")</f>
        <v>Abrir facsímil</v>
      </c>
      <c r="K12493" s="10" t="s">
        <v>24</v>
      </c>
    </row>
    <row r="12494" spans="1:11" ht="54" customHeight="1">
      <c r="A12494" s="9" t="s">
        <v>25368</v>
      </c>
      <c r="B12494" s="9" t="s">
        <v>25369</v>
      </c>
      <c r="C12494" s="9" t="s">
        <v>66</v>
      </c>
      <c r="D12494" s="9" t="s">
        <v>18</v>
      </c>
      <c r="E12494" s="10" t="s">
        <v>667</v>
      </c>
      <c r="F12494" s="9" t="s">
        <v>668</v>
      </c>
      <c r="G12494" s="10" t="s">
        <v>21</v>
      </c>
      <c r="H12494" s="9" t="s">
        <v>22</v>
      </c>
      <c r="I12494" s="9" t="s">
        <v>25382</v>
      </c>
      <c r="J12494" s="10" t="str">
        <f>HYPERLINK("https://www.boe.es/gazeta/dias/1834/11/23/pdfs/GMD-C-1834-282.pdf#page=3","Abrir facsímil")</f>
        <v>Abrir facsímil</v>
      </c>
      <c r="K12494" s="10" t="s">
        <v>24</v>
      </c>
    </row>
    <row r="12495" spans="1:11" ht="54" customHeight="1">
      <c r="A12495" s="9" t="s">
        <v>25368</v>
      </c>
      <c r="B12495" s="9" t="s">
        <v>25369</v>
      </c>
      <c r="C12495" s="9" t="s">
        <v>17</v>
      </c>
      <c r="D12495" s="9" t="s">
        <v>18</v>
      </c>
      <c r="E12495" s="10" t="s">
        <v>667</v>
      </c>
      <c r="F12495" s="9" t="s">
        <v>668</v>
      </c>
      <c r="G12495" s="10" t="s">
        <v>75</v>
      </c>
      <c r="H12495" s="9" t="s">
        <v>22</v>
      </c>
      <c r="I12495" s="9" t="s">
        <v>25383</v>
      </c>
      <c r="J12495" s="10" t="str">
        <f>HYPERLINK("https://www.boe.es/gazeta/dias/1834/11/23/pdfs/GMD-C-1834-282.pdf#page=4","Abrir facsímil")</f>
        <v>Abrir facsímil</v>
      </c>
      <c r="K12495" s="10" t="s">
        <v>24</v>
      </c>
    </row>
    <row r="12496" spans="1:11" ht="54" customHeight="1">
      <c r="A12496" s="9" t="s">
        <v>25368</v>
      </c>
      <c r="B12496" s="9" t="s">
        <v>25369</v>
      </c>
      <c r="C12496" s="9" t="s">
        <v>17</v>
      </c>
      <c r="D12496" s="9" t="s">
        <v>18</v>
      </c>
      <c r="E12496" s="10" t="s">
        <v>667</v>
      </c>
      <c r="F12496" s="9" t="s">
        <v>668</v>
      </c>
      <c r="G12496" s="10" t="s">
        <v>28</v>
      </c>
      <c r="H12496" s="9" t="s">
        <v>22</v>
      </c>
      <c r="I12496" s="9" t="s">
        <v>25384</v>
      </c>
      <c r="J12496" s="10" t="str">
        <f>HYPERLINK("https://www.boe.es/gazeta/dias/1834/11/23/pdfs/GMD-C-1834-282.pdf#page=5","Abrir facsímil")</f>
        <v>Abrir facsímil</v>
      </c>
      <c r="K12496" s="10" t="s">
        <v>24</v>
      </c>
    </row>
    <row r="12497" spans="1:11" ht="54" customHeight="1">
      <c r="A12497" s="9" t="s">
        <v>25368</v>
      </c>
      <c r="B12497" s="9" t="s">
        <v>25369</v>
      </c>
      <c r="C12497" s="9" t="s">
        <v>17</v>
      </c>
      <c r="D12497" s="9" t="s">
        <v>18</v>
      </c>
      <c r="E12497" s="10" t="s">
        <v>707</v>
      </c>
      <c r="F12497" s="9" t="s">
        <v>708</v>
      </c>
      <c r="G12497" s="10" t="s">
        <v>28</v>
      </c>
      <c r="H12497" s="9" t="s">
        <v>22</v>
      </c>
      <c r="I12497" s="9" t="s">
        <v>25385</v>
      </c>
      <c r="J12497" s="10" t="str">
        <f>HYPERLINK("https://www.boe.es/gazeta/dias/1834/11/25/pdfs/GMD-C-1834-284.pdf#page=5","Abrir facsímil")</f>
        <v>Abrir facsímil</v>
      </c>
      <c r="K12497" s="10" t="s">
        <v>24</v>
      </c>
    </row>
    <row r="12498" spans="1:11" ht="54" customHeight="1">
      <c r="A12498" s="9" t="s">
        <v>25368</v>
      </c>
      <c r="B12498" s="9" t="s">
        <v>25369</v>
      </c>
      <c r="C12498" s="9" t="s">
        <v>17</v>
      </c>
      <c r="D12498" s="9" t="s">
        <v>18</v>
      </c>
      <c r="E12498" s="10" t="s">
        <v>707</v>
      </c>
      <c r="F12498" s="9" t="s">
        <v>708</v>
      </c>
      <c r="G12498" s="10" t="s">
        <v>176</v>
      </c>
      <c r="H12498" s="9" t="s">
        <v>22</v>
      </c>
      <c r="I12498" s="9" t="s">
        <v>25386</v>
      </c>
      <c r="J12498" s="10" t="str">
        <f>HYPERLINK("https://www.boe.es/gazeta/dias/1834/11/25/pdfs/GMD-C-1834-284.pdf#page=6","Abrir facsímil")</f>
        <v>Abrir facsímil</v>
      </c>
      <c r="K12498" s="10" t="s">
        <v>24</v>
      </c>
    </row>
    <row r="12499" spans="1:11" ht="54" customHeight="1">
      <c r="A12499" s="9" t="s">
        <v>25368</v>
      </c>
      <c r="B12499" s="9" t="s">
        <v>25369</v>
      </c>
      <c r="C12499" s="9" t="s">
        <v>66</v>
      </c>
      <c r="D12499" s="9" t="s">
        <v>67</v>
      </c>
      <c r="E12499" s="10" t="s">
        <v>707</v>
      </c>
      <c r="F12499" s="9" t="s">
        <v>708</v>
      </c>
      <c r="G12499" s="10" t="s">
        <v>470</v>
      </c>
      <c r="H12499" s="9" t="s">
        <v>22</v>
      </c>
      <c r="I12499" s="9" t="s">
        <v>25387</v>
      </c>
      <c r="J12499" s="10" t="str">
        <f>HYPERLINK("https://www.boe.es/gazeta/dias/1834/11/25/pdfs/GMD-C-1834-284.pdf#page=8","Abrir facsímil")</f>
        <v>Abrir facsímil</v>
      </c>
      <c r="K12499" s="10" t="s">
        <v>24</v>
      </c>
    </row>
    <row r="12500" spans="1:11" ht="54" customHeight="1">
      <c r="A12500" s="9" t="s">
        <v>25368</v>
      </c>
      <c r="B12500" s="9" t="s">
        <v>25369</v>
      </c>
      <c r="C12500" s="9" t="s">
        <v>17</v>
      </c>
      <c r="D12500" s="9" t="s">
        <v>18</v>
      </c>
      <c r="E12500" s="10" t="s">
        <v>510</v>
      </c>
      <c r="F12500" s="9" t="s">
        <v>531</v>
      </c>
      <c r="G12500" s="10" t="s">
        <v>75</v>
      </c>
      <c r="H12500" s="9" t="s">
        <v>22</v>
      </c>
      <c r="I12500" s="9" t="s">
        <v>25388</v>
      </c>
      <c r="J12500" s="10" t="str">
        <f>HYPERLINK("https://www.boe.es/gazeta/dias/1834/11/26/pdfs/GMD-C-1834-285.pdf#page=4","Abrir facsímil")</f>
        <v>Abrir facsímil</v>
      </c>
      <c r="K12500" s="10" t="s">
        <v>24</v>
      </c>
    </row>
    <row r="12501" spans="1:11" ht="54" customHeight="1">
      <c r="A12501" s="9" t="s">
        <v>25368</v>
      </c>
      <c r="B12501" s="9" t="s">
        <v>25369</v>
      </c>
      <c r="C12501" s="9" t="s">
        <v>90</v>
      </c>
      <c r="D12501" s="9" t="s">
        <v>18</v>
      </c>
      <c r="E12501" s="10" t="s">
        <v>283</v>
      </c>
      <c r="F12501" s="9" t="s">
        <v>284</v>
      </c>
      <c r="G12501" s="10" t="s">
        <v>21</v>
      </c>
      <c r="H12501" s="9" t="s">
        <v>22</v>
      </c>
      <c r="I12501" s="9" t="s">
        <v>25389</v>
      </c>
      <c r="J12501" s="10" t="str">
        <f>HYPERLINK("https://www.boe.es/gazeta/dias/1834/11/29/pdfs/GMD-C-1834-288.pdf#page=3","Abrir facsímil")</f>
        <v>Abrir facsímil</v>
      </c>
      <c r="K12501" s="10" t="s">
        <v>24</v>
      </c>
    </row>
    <row r="12502" spans="1:11" ht="54" customHeight="1">
      <c r="A12502" s="9" t="s">
        <v>25390</v>
      </c>
      <c r="B12502" s="9" t="s">
        <v>25391</v>
      </c>
      <c r="C12502" s="9" t="s">
        <v>17</v>
      </c>
      <c r="D12502" s="9" t="s">
        <v>18</v>
      </c>
      <c r="E12502" s="10" t="s">
        <v>707</v>
      </c>
      <c r="F12502" s="9" t="s">
        <v>708</v>
      </c>
      <c r="G12502" s="10" t="s">
        <v>176</v>
      </c>
      <c r="H12502" s="9" t="s">
        <v>22</v>
      </c>
      <c r="I12502" s="9" t="s">
        <v>25392</v>
      </c>
      <c r="J12502" s="10" t="str">
        <f>HYPERLINK("https://www.boe.es/gazeta/dias/1834/11/25/pdfs/GMD-C-1834-284.pdf#page=6","Abrir facsímil")</f>
        <v>Abrir facsímil</v>
      </c>
      <c r="K12502" s="10" t="s">
        <v>24</v>
      </c>
    </row>
    <row r="12503" spans="1:11" ht="54" customHeight="1">
      <c r="A12503" s="9" t="s">
        <v>25390</v>
      </c>
      <c r="B12503" s="9" t="s">
        <v>25391</v>
      </c>
      <c r="C12503" s="9" t="s">
        <v>17</v>
      </c>
      <c r="D12503" s="9" t="s">
        <v>18</v>
      </c>
      <c r="E12503" s="10" t="s">
        <v>707</v>
      </c>
      <c r="F12503" s="9" t="s">
        <v>708</v>
      </c>
      <c r="G12503" s="10" t="s">
        <v>470</v>
      </c>
      <c r="H12503" s="9" t="s">
        <v>22</v>
      </c>
      <c r="I12503" s="9" t="s">
        <v>25393</v>
      </c>
      <c r="J12503" s="10" t="str">
        <f>HYPERLINK("https://www.boe.es/gazeta/dias/1834/11/25/pdfs/GMD-C-1834-284.pdf#page=8","Abrir facsímil")</f>
        <v>Abrir facsímil</v>
      </c>
      <c r="K12503" s="10" t="s">
        <v>24</v>
      </c>
    </row>
    <row r="12504" spans="1:11" ht="54" customHeight="1">
      <c r="A12504" s="9" t="s">
        <v>25394</v>
      </c>
      <c r="B12504" s="9" t="s">
        <v>25395</v>
      </c>
      <c r="C12504" s="9" t="s">
        <v>17</v>
      </c>
      <c r="D12504" s="9" t="s">
        <v>40</v>
      </c>
      <c r="E12504" s="10" t="s">
        <v>448</v>
      </c>
      <c r="F12504" s="9" t="s">
        <v>449</v>
      </c>
      <c r="G12504" s="10" t="s">
        <v>75</v>
      </c>
      <c r="H12504" s="9" t="s">
        <v>22</v>
      </c>
      <c r="I12504" s="9" t="s">
        <v>25396</v>
      </c>
      <c r="J12504" s="10" t="str">
        <f>HYPERLINK("https://www.boe.es/gazeta/dias/1834/10/14/pdfs/GMD-C-1834-242.pdf#page=4","Abrir facsímil")</f>
        <v>Abrir facsímil</v>
      </c>
      <c r="K12504" s="10" t="s">
        <v>24</v>
      </c>
    </row>
    <row r="12505" spans="1:11" ht="54" customHeight="1">
      <c r="A12505" s="9" t="s">
        <v>25397</v>
      </c>
      <c r="B12505" s="9" t="s">
        <v>25398</v>
      </c>
      <c r="C12505" s="9" t="s">
        <v>17</v>
      </c>
      <c r="D12505" s="9" t="s">
        <v>18</v>
      </c>
      <c r="E12505" s="10" t="s">
        <v>672</v>
      </c>
      <c r="F12505" s="9" t="s">
        <v>1055</v>
      </c>
      <c r="G12505" s="10" t="s">
        <v>28</v>
      </c>
      <c r="H12505" s="9" t="s">
        <v>22</v>
      </c>
      <c r="I12505" s="9" t="s">
        <v>25399</v>
      </c>
      <c r="J12505" s="10" t="str">
        <f>HYPERLINK("https://www.boe.es/gazeta/dias/1834/09/19/pdfs/GMD-C-1834-217.pdf#page=5","Abrir facsímil")</f>
        <v>Abrir facsímil</v>
      </c>
      <c r="K12505" s="10" t="s">
        <v>24</v>
      </c>
    </row>
    <row r="12506" spans="1:11" ht="54" customHeight="1">
      <c r="A12506" s="9" t="s">
        <v>25400</v>
      </c>
      <c r="B12506" s="9" t="s">
        <v>25401</v>
      </c>
      <c r="C12506" s="9" t="s">
        <v>17</v>
      </c>
      <c r="D12506" s="9" t="s">
        <v>18</v>
      </c>
      <c r="E12506" s="10" t="s">
        <v>667</v>
      </c>
      <c r="F12506" s="9" t="s">
        <v>668</v>
      </c>
      <c r="G12506" s="10" t="s">
        <v>34</v>
      </c>
      <c r="H12506" s="9" t="s">
        <v>22</v>
      </c>
      <c r="I12506" s="9" t="s">
        <v>25402</v>
      </c>
      <c r="J12506" s="10" t="str">
        <f>HYPERLINK("https://www.boe.es/gazeta/dias/1834/11/23/pdfs/GMD-C-1834-282.pdf#page=1","Abrir facsímil")</f>
        <v>Abrir facsímil</v>
      </c>
      <c r="K12506" s="10" t="s">
        <v>24</v>
      </c>
    </row>
    <row r="12507" spans="1:11" ht="54" customHeight="1">
      <c r="A12507" s="9" t="s">
        <v>25403</v>
      </c>
      <c r="B12507" s="9" t="s">
        <v>25403</v>
      </c>
      <c r="C12507" s="9" t="s">
        <v>17</v>
      </c>
      <c r="D12507" s="9" t="s">
        <v>18</v>
      </c>
      <c r="E12507" s="10" t="s">
        <v>4237</v>
      </c>
      <c r="F12507" s="9" t="s">
        <v>4238</v>
      </c>
      <c r="G12507" s="10" t="s">
        <v>86</v>
      </c>
      <c r="H12507" s="9" t="s">
        <v>22</v>
      </c>
      <c r="I12507" s="9" t="s">
        <v>25404</v>
      </c>
      <c r="J12507" s="10" t="str">
        <f>HYPERLINK("https://www.boe.es/gazeta/dias/1834/06/17/pdfs/GMD-1834-120.pdf#page=2","Abrir facsímil")</f>
        <v>Abrir facsímil</v>
      </c>
      <c r="K12507" s="10" t="s">
        <v>24</v>
      </c>
    </row>
    <row r="12508" spans="1:11" ht="54" customHeight="1">
      <c r="A12508" s="9" t="s">
        <v>25405</v>
      </c>
      <c r="B12508" s="9" t="s">
        <v>25405</v>
      </c>
      <c r="C12508" s="9" t="s">
        <v>17</v>
      </c>
      <c r="D12508" s="9" t="s">
        <v>18</v>
      </c>
      <c r="E12508" s="10" t="s">
        <v>3054</v>
      </c>
      <c r="F12508" s="9" t="s">
        <v>3055</v>
      </c>
      <c r="G12508" s="10" t="s">
        <v>75</v>
      </c>
      <c r="H12508" s="9" t="s">
        <v>22</v>
      </c>
      <c r="I12508" s="9" t="s">
        <v>25406</v>
      </c>
      <c r="J12508" s="10" t="str">
        <f>HYPERLINK("https://www.boe.es/gazeta/dias/1834/10/06/pdfs/GMD-1834-234.pdf#page=4","Abrir facsímil")</f>
        <v>Abrir facsímil</v>
      </c>
      <c r="K12508" s="10" t="s">
        <v>24</v>
      </c>
    </row>
    <row r="12509" spans="1:11" ht="54" customHeight="1">
      <c r="A12509" s="9" t="s">
        <v>25407</v>
      </c>
      <c r="B12509" s="9" t="s">
        <v>25407</v>
      </c>
      <c r="C12509" s="9" t="s">
        <v>17</v>
      </c>
      <c r="D12509" s="9" t="s">
        <v>18</v>
      </c>
      <c r="E12509" s="10" t="s">
        <v>1234</v>
      </c>
      <c r="F12509" s="9" t="s">
        <v>1455</v>
      </c>
      <c r="G12509" s="10" t="s">
        <v>86</v>
      </c>
      <c r="H12509" s="9" t="s">
        <v>22</v>
      </c>
      <c r="I12509" s="9" t="s">
        <v>25408</v>
      </c>
      <c r="J12509" s="10" t="str">
        <f>HYPERLINK("https://www.boe.es/gazeta/dias/1834/05/15/pdfs/GMD-1834-84.pdf#page=2","Abrir facsímil")</f>
        <v>Abrir facsímil</v>
      </c>
      <c r="K12509" s="10" t="s">
        <v>24</v>
      </c>
    </row>
    <row r="12510" spans="1:11" ht="54" customHeight="1">
      <c r="A12510" s="9" t="s">
        <v>25407</v>
      </c>
      <c r="B12510" s="9" t="s">
        <v>25407</v>
      </c>
      <c r="C12510" s="9" t="s">
        <v>46</v>
      </c>
      <c r="D12510" s="9" t="s">
        <v>55</v>
      </c>
      <c r="E12510" s="10" t="s">
        <v>739</v>
      </c>
      <c r="F12510" s="9" t="s">
        <v>740</v>
      </c>
      <c r="G12510" s="10" t="s">
        <v>86</v>
      </c>
      <c r="H12510" s="9" t="s">
        <v>22</v>
      </c>
      <c r="I12510" s="9" t="s">
        <v>25409</v>
      </c>
      <c r="J12510" s="10" t="str">
        <f>HYPERLINK("https://www.boe.es/gazeta/dias/1834/03/25/pdfs/GMD-1834-37.pdf#page=2","Abrir facsímil")</f>
        <v>Abrir facsímil</v>
      </c>
      <c r="K12510" s="10" t="s">
        <v>24</v>
      </c>
    </row>
    <row r="12511" spans="1:11" ht="54" customHeight="1">
      <c r="A12511" s="9" t="s">
        <v>25410</v>
      </c>
      <c r="B12511" s="9" t="s">
        <v>25410</v>
      </c>
      <c r="C12511" s="9" t="s">
        <v>17</v>
      </c>
      <c r="D12511" s="9" t="s">
        <v>18</v>
      </c>
      <c r="E12511" s="10" t="s">
        <v>610</v>
      </c>
      <c r="F12511" s="9" t="s">
        <v>1374</v>
      </c>
      <c r="G12511" s="10" t="s">
        <v>75</v>
      </c>
      <c r="H12511" s="9" t="s">
        <v>22</v>
      </c>
      <c r="I12511" s="9" t="s">
        <v>25411</v>
      </c>
      <c r="J12511" s="10" t="str">
        <f>HYPERLINK("https://www.boe.es/gazeta/dias/1834/12/21/pdfs/GMD-1834-311.pdf#page=4","Abrir facsímil")</f>
        <v>Abrir facsímil</v>
      </c>
      <c r="K12511" s="10" t="s">
        <v>24</v>
      </c>
    </row>
    <row r="12512" spans="1:11" ht="54" customHeight="1">
      <c r="A12512" s="9" t="s">
        <v>25412</v>
      </c>
      <c r="B12512" s="9" t="s">
        <v>25413</v>
      </c>
      <c r="C12512" s="9" t="s">
        <v>17</v>
      </c>
      <c r="D12512" s="9" t="s">
        <v>55</v>
      </c>
      <c r="E12512" s="10" t="s">
        <v>1402</v>
      </c>
      <c r="F12512" s="9" t="s">
        <v>1403</v>
      </c>
      <c r="G12512" s="10" t="s">
        <v>75</v>
      </c>
      <c r="H12512" s="9" t="s">
        <v>22</v>
      </c>
      <c r="I12512" s="9" t="s">
        <v>25414</v>
      </c>
      <c r="J12512" s="10" t="str">
        <f>HYPERLINK("https://www.boe.es/gazeta/dias/1834/05/05/pdfs/GMD-1834-74.pdf#page=4","Abrir facsímil")</f>
        <v>Abrir facsímil</v>
      </c>
      <c r="K12512" s="10" t="s">
        <v>24</v>
      </c>
    </row>
    <row r="12513" spans="1:11" ht="54" customHeight="1">
      <c r="A12513" s="9" t="s">
        <v>25415</v>
      </c>
      <c r="B12513" s="9" t="s">
        <v>25416</v>
      </c>
      <c r="C12513" s="9" t="s">
        <v>90</v>
      </c>
      <c r="D12513" s="9" t="s">
        <v>18</v>
      </c>
      <c r="E12513" s="10" t="s">
        <v>1135</v>
      </c>
      <c r="F12513" s="9" t="s">
        <v>1566</v>
      </c>
      <c r="G12513" s="10" t="s">
        <v>34</v>
      </c>
      <c r="H12513" s="9" t="s">
        <v>22</v>
      </c>
      <c r="I12513" s="9" t="s">
        <v>25417</v>
      </c>
      <c r="J12513" s="10" t="str">
        <f>HYPERLINK("https://www.boe.es/gazeta/dias/1834/08/26/pdfs/GMD-C-1834-192.pdf#page=1","Abrir facsímil")</f>
        <v>Abrir facsímil</v>
      </c>
      <c r="K12513" s="10" t="s">
        <v>24</v>
      </c>
    </row>
    <row r="12514" spans="1:11" ht="54" customHeight="1">
      <c r="A12514" s="9" t="s">
        <v>25418</v>
      </c>
      <c r="B12514" s="9" t="s">
        <v>25419</v>
      </c>
      <c r="C12514" s="9" t="s">
        <v>66</v>
      </c>
      <c r="D12514" s="9" t="s">
        <v>101</v>
      </c>
      <c r="E12514" s="10" t="s">
        <v>2302</v>
      </c>
      <c r="F12514" s="9" t="s">
        <v>2303</v>
      </c>
      <c r="G12514" s="10" t="s">
        <v>86</v>
      </c>
      <c r="H12514" s="9" t="s">
        <v>22</v>
      </c>
      <c r="I12514" s="9" t="s">
        <v>25420</v>
      </c>
      <c r="J12514" s="10" t="str">
        <f>HYPERLINK("https://www.boe.es/gazeta/dias/1834/01/25/pdfs/GMD-1834-12.pdf#page=2","Abrir facsímil")</f>
        <v>Abrir facsímil</v>
      </c>
      <c r="K12514" s="10" t="s">
        <v>24</v>
      </c>
    </row>
    <row r="12515" spans="1:11" ht="54" customHeight="1">
      <c r="A12515" s="9" t="s">
        <v>25421</v>
      </c>
      <c r="B12515" s="9" t="s">
        <v>25422</v>
      </c>
      <c r="C12515" s="9" t="s">
        <v>66</v>
      </c>
      <c r="D12515" s="9" t="s">
        <v>67</v>
      </c>
      <c r="E12515" s="10" t="s">
        <v>448</v>
      </c>
      <c r="F12515" s="9" t="s">
        <v>2058</v>
      </c>
      <c r="G12515" s="10" t="s">
        <v>21</v>
      </c>
      <c r="H12515" s="9" t="s">
        <v>22</v>
      </c>
      <c r="I12515" s="9" t="s">
        <v>25423</v>
      </c>
      <c r="J12515" s="10" t="str">
        <f>HYPERLINK("https://www.boe.es/gazeta/dias/1834/10/14/pdfs/GMD-1834-242.pdf#page=3","Abrir facsímil")</f>
        <v>Abrir facsímil</v>
      </c>
      <c r="K12515" s="10" t="s">
        <v>24</v>
      </c>
    </row>
    <row r="12516" spans="1:11" ht="54" customHeight="1">
      <c r="A12516" s="9" t="s">
        <v>25424</v>
      </c>
      <c r="B12516" s="9" t="s">
        <v>25425</v>
      </c>
      <c r="C12516" s="9" t="s">
        <v>66</v>
      </c>
      <c r="D12516" s="9" t="s">
        <v>67</v>
      </c>
      <c r="E12516" s="10" t="s">
        <v>462</v>
      </c>
      <c r="F12516" s="9" t="s">
        <v>2110</v>
      </c>
      <c r="G12516" s="10" t="s">
        <v>21</v>
      </c>
      <c r="H12516" s="9" t="s">
        <v>22</v>
      </c>
      <c r="I12516" s="9" t="s">
        <v>25426</v>
      </c>
      <c r="J12516" s="10" t="str">
        <f>HYPERLINK("https://www.boe.es/gazeta/dias/1834/08/27/pdfs/GMD-1834-193.pdf#page=3","Abrir facsímil")</f>
        <v>Abrir facsímil</v>
      </c>
      <c r="K12516" s="10" t="s">
        <v>24</v>
      </c>
    </row>
    <row r="12517" spans="1:11" ht="54" customHeight="1">
      <c r="A12517" s="9" t="s">
        <v>25427</v>
      </c>
      <c r="B12517" s="9" t="s">
        <v>25428</v>
      </c>
      <c r="C12517" s="9" t="s">
        <v>17</v>
      </c>
      <c r="D12517" s="9" t="s">
        <v>18</v>
      </c>
      <c r="E12517" s="10" t="s">
        <v>4105</v>
      </c>
      <c r="F12517" s="9" t="s">
        <v>4106</v>
      </c>
      <c r="G12517" s="10" t="s">
        <v>34</v>
      </c>
      <c r="H12517" s="9" t="s">
        <v>35</v>
      </c>
      <c r="I12517" s="9" t="s">
        <v>25429</v>
      </c>
      <c r="J12517" s="10" t="str">
        <f>HYPERLINK("https://www.boe.es/gazeta/dias/1834/09/02/pdfs/GMD-C-1834-200.pdf#page=1","Abrir facsímil")</f>
        <v>Abrir facsímil</v>
      </c>
      <c r="K12517" s="10" t="s">
        <v>37</v>
      </c>
    </row>
    <row r="12518" spans="1:11" ht="54" customHeight="1">
      <c r="A12518" s="9" t="s">
        <v>25430</v>
      </c>
      <c r="B12518" s="9" t="s">
        <v>25431</v>
      </c>
      <c r="C12518" s="9" t="s">
        <v>90</v>
      </c>
      <c r="D12518" s="9" t="s">
        <v>18</v>
      </c>
      <c r="E12518" s="10" t="s">
        <v>47</v>
      </c>
      <c r="F12518" s="9" t="s">
        <v>48</v>
      </c>
      <c r="G12518" s="10" t="s">
        <v>34</v>
      </c>
      <c r="H12518" s="9" t="s">
        <v>22</v>
      </c>
      <c r="I12518" s="9" t="s">
        <v>25432</v>
      </c>
      <c r="J12518" s="10" t="str">
        <f>HYPERLINK("https://www.boe.es/gazeta/dias/1834/09/05/pdfs/GMD-C-1834-203.pdf#page=1","Abrir facsímil")</f>
        <v>Abrir facsímil</v>
      </c>
      <c r="K12518" s="10" t="s">
        <v>24</v>
      </c>
    </row>
    <row r="12519" spans="1:11" ht="54" customHeight="1">
      <c r="A12519" s="9" t="s">
        <v>25430</v>
      </c>
      <c r="B12519" s="9" t="s">
        <v>25431</v>
      </c>
      <c r="C12519" s="9" t="s">
        <v>90</v>
      </c>
      <c r="D12519" s="9" t="s">
        <v>18</v>
      </c>
      <c r="E12519" s="10" t="s">
        <v>280</v>
      </c>
      <c r="F12519" s="9" t="s">
        <v>281</v>
      </c>
      <c r="G12519" s="10" t="s">
        <v>34</v>
      </c>
      <c r="H12519" s="9" t="s">
        <v>22</v>
      </c>
      <c r="I12519" s="9" t="s">
        <v>25433</v>
      </c>
      <c r="J12519" s="10" t="str">
        <f>HYPERLINK("https://www.boe.es/gazeta/dias/1834/08/29/pdfs/GMD-C-1834-195.pdf#page=1","Abrir facsímil")</f>
        <v>Abrir facsímil</v>
      </c>
      <c r="K12519" s="10" t="s">
        <v>24</v>
      </c>
    </row>
    <row r="12520" spans="1:11" ht="54" customHeight="1">
      <c r="A12520" s="9" t="s">
        <v>25434</v>
      </c>
      <c r="B12520" s="9" t="s">
        <v>25435</v>
      </c>
      <c r="C12520" s="9" t="s">
        <v>17</v>
      </c>
      <c r="D12520" s="9" t="s">
        <v>18</v>
      </c>
      <c r="E12520" s="10" t="s">
        <v>1459</v>
      </c>
      <c r="F12520" s="9" t="s">
        <v>1460</v>
      </c>
      <c r="G12520" s="10" t="s">
        <v>21</v>
      </c>
      <c r="H12520" s="9" t="s">
        <v>35</v>
      </c>
      <c r="I12520" s="9" t="s">
        <v>25436</v>
      </c>
      <c r="J12520" s="10" t="str">
        <f>HYPERLINK("https://www.boe.es/gazeta/dias/1834/08/18/pdfs/GMD-1834-184.pdf#page=3","Abrir facsímil")</f>
        <v>Abrir facsímil</v>
      </c>
      <c r="K12520" s="10" t="s">
        <v>37</v>
      </c>
    </row>
    <row r="12521" spans="1:11" ht="54" customHeight="1">
      <c r="A12521" s="9" t="s">
        <v>25437</v>
      </c>
      <c r="B12521" s="9" t="s">
        <v>25438</v>
      </c>
      <c r="C12521" s="9" t="s">
        <v>17</v>
      </c>
      <c r="D12521" s="9" t="s">
        <v>18</v>
      </c>
      <c r="E12521" s="10" t="s">
        <v>1459</v>
      </c>
      <c r="F12521" s="9" t="s">
        <v>1460</v>
      </c>
      <c r="G12521" s="10" t="s">
        <v>21</v>
      </c>
      <c r="H12521" s="9" t="s">
        <v>22</v>
      </c>
      <c r="I12521" s="9" t="s">
        <v>25439</v>
      </c>
      <c r="J12521" s="10" t="str">
        <f>HYPERLINK("https://www.boe.es/gazeta/dias/1834/08/18/pdfs/GMD-1834-184.pdf#page=3","Abrir facsímil")</f>
        <v>Abrir facsímil</v>
      </c>
      <c r="K12521" s="10" t="s">
        <v>24</v>
      </c>
    </row>
    <row r="12522" spans="1:11" ht="54" customHeight="1">
      <c r="A12522" s="9" t="s">
        <v>25440</v>
      </c>
      <c r="B12522" s="9" t="s">
        <v>25441</v>
      </c>
      <c r="C12522" s="9" t="s">
        <v>17</v>
      </c>
      <c r="D12522" s="9" t="s">
        <v>18</v>
      </c>
      <c r="E12522" s="10" t="s">
        <v>255</v>
      </c>
      <c r="F12522" s="9" t="s">
        <v>2368</v>
      </c>
      <c r="G12522" s="10" t="s">
        <v>86</v>
      </c>
      <c r="H12522" s="9" t="s">
        <v>22</v>
      </c>
      <c r="I12522" s="9" t="s">
        <v>25442</v>
      </c>
      <c r="J12522" s="10" t="str">
        <f>HYPERLINK("https://www.boe.es/gazeta/dias/1834/09/01/pdfs/I00843-00844.pdf#page=2","Abrir facsímil")</f>
        <v>Abrir facsímil</v>
      </c>
      <c r="K12522" s="10" t="s">
        <v>24</v>
      </c>
    </row>
    <row r="12523" spans="1:11" ht="54" customHeight="1">
      <c r="A12523" s="9" t="s">
        <v>25440</v>
      </c>
      <c r="B12523" s="9" t="s">
        <v>25441</v>
      </c>
      <c r="C12523" s="9" t="s">
        <v>17</v>
      </c>
      <c r="D12523" s="9" t="s">
        <v>18</v>
      </c>
      <c r="E12523" s="10" t="s">
        <v>255</v>
      </c>
      <c r="F12523" s="9" t="s">
        <v>2368</v>
      </c>
      <c r="G12523" s="10" t="s">
        <v>75</v>
      </c>
      <c r="H12523" s="9" t="s">
        <v>22</v>
      </c>
      <c r="I12523" s="9" t="s">
        <v>25442</v>
      </c>
      <c r="J12523" s="10" t="str">
        <f>HYPERLINK("https://www.boe.es/gazeta/dias/1834/09/01/pdfs/GMD-1834-199.pdf#page=4","Abrir facsímil")</f>
        <v>Abrir facsímil</v>
      </c>
      <c r="K12523" s="10" t="s">
        <v>24</v>
      </c>
    </row>
    <row r="12524" spans="1:11" ht="54" customHeight="1">
      <c r="A12524" s="9" t="s">
        <v>25443</v>
      </c>
      <c r="B12524" s="9" t="s">
        <v>25444</v>
      </c>
      <c r="C12524" s="9" t="s">
        <v>17</v>
      </c>
      <c r="D12524" s="9" t="s">
        <v>55</v>
      </c>
      <c r="E12524" s="10" t="s">
        <v>2459</v>
      </c>
      <c r="F12524" s="9" t="s">
        <v>2460</v>
      </c>
      <c r="G12524" s="10" t="s">
        <v>86</v>
      </c>
      <c r="H12524" s="9" t="s">
        <v>22</v>
      </c>
      <c r="I12524" s="9" t="s">
        <v>25445</v>
      </c>
      <c r="J12524" s="10" t="str">
        <f>HYPERLINK("https://www.boe.es/gazeta/dias/1834/04/04/pdfs/GMD-1834-43.pdf#page=2","Abrir facsímil")</f>
        <v>Abrir facsímil</v>
      </c>
      <c r="K12524" s="10" t="s">
        <v>24</v>
      </c>
    </row>
    <row r="12525" spans="1:11" ht="54" customHeight="1">
      <c r="A12525" s="9" t="s">
        <v>25446</v>
      </c>
      <c r="B12525" s="9" t="s">
        <v>25447</v>
      </c>
      <c r="C12525" s="9" t="s">
        <v>66</v>
      </c>
      <c r="D12525" s="9" t="s">
        <v>18</v>
      </c>
      <c r="E12525" s="10" t="s">
        <v>299</v>
      </c>
      <c r="F12525" s="9" t="s">
        <v>300</v>
      </c>
      <c r="G12525" s="10" t="s">
        <v>75</v>
      </c>
      <c r="H12525" s="9" t="s">
        <v>22</v>
      </c>
      <c r="I12525" s="9" t="s">
        <v>25448</v>
      </c>
      <c r="J12525" s="10" t="str">
        <f>HYPERLINK("https://www.boe.es/gazeta/dias/1834/12/12/pdfs/GMD-1834-301.pdf#page=4","Abrir facsímil")</f>
        <v>Abrir facsímil</v>
      </c>
      <c r="K12525" s="10" t="s">
        <v>24</v>
      </c>
    </row>
    <row r="12526" spans="1:11" ht="54" customHeight="1">
      <c r="A12526" s="9" t="s">
        <v>25449</v>
      </c>
      <c r="B12526" s="9" t="s">
        <v>25449</v>
      </c>
      <c r="C12526" s="9" t="s">
        <v>17</v>
      </c>
      <c r="D12526" s="9" t="s">
        <v>18</v>
      </c>
      <c r="E12526" s="10" t="s">
        <v>403</v>
      </c>
      <c r="F12526" s="9" t="s">
        <v>404</v>
      </c>
      <c r="G12526" s="10" t="s">
        <v>560</v>
      </c>
      <c r="H12526" s="9" t="s">
        <v>22</v>
      </c>
      <c r="I12526" s="9" t="s">
        <v>25450</v>
      </c>
      <c r="J12526" s="10" t="str">
        <f>HYPERLINK("https://www.boe.es/gazeta/dias/1834/09/25/pdfs/GMD-C-1834-223.pdf#page=7","Abrir facsímil")</f>
        <v>Abrir facsímil</v>
      </c>
      <c r="K12526" s="10" t="s">
        <v>24</v>
      </c>
    </row>
    <row r="12527" spans="1:11" ht="54" customHeight="1">
      <c r="A12527" s="9" t="s">
        <v>25451</v>
      </c>
      <c r="B12527" s="9" t="s">
        <v>25452</v>
      </c>
      <c r="C12527" s="9" t="s">
        <v>66</v>
      </c>
      <c r="D12527" s="9" t="s">
        <v>67</v>
      </c>
      <c r="E12527" s="10" t="s">
        <v>844</v>
      </c>
      <c r="F12527" s="9" t="s">
        <v>845</v>
      </c>
      <c r="G12527" s="10" t="s">
        <v>21</v>
      </c>
      <c r="H12527" s="9" t="s">
        <v>22</v>
      </c>
      <c r="I12527" s="9" t="s">
        <v>25453</v>
      </c>
      <c r="J12527" s="10" t="str">
        <f>HYPERLINK("https://www.boe.es/gazeta/dias/1834/03/13/pdfs/GMD-1834-32.pdf#page=3","Abrir facsímil")</f>
        <v>Abrir facsímil</v>
      </c>
      <c r="K12527" s="10" t="s">
        <v>24</v>
      </c>
    </row>
    <row r="12528" spans="1:11" ht="54" customHeight="1">
      <c r="A12528" s="9" t="s">
        <v>25454</v>
      </c>
      <c r="B12528" s="9" t="s">
        <v>25455</v>
      </c>
      <c r="C12528" s="9" t="s">
        <v>857</v>
      </c>
      <c r="D12528" s="9" t="s">
        <v>18</v>
      </c>
      <c r="E12528" s="10" t="s">
        <v>73</v>
      </c>
      <c r="F12528" s="9" t="s">
        <v>74</v>
      </c>
      <c r="G12528" s="10" t="s">
        <v>75</v>
      </c>
      <c r="H12528" s="9" t="s">
        <v>22</v>
      </c>
      <c r="I12528" s="9" t="s">
        <v>25456</v>
      </c>
      <c r="J12528" s="10" t="str">
        <f>HYPERLINK("https://www.boe.es/gazeta/dias/1834/11/04/pdfs/GMD-1834-263.pdf#page=4","Abrir facsímil")</f>
        <v>Abrir facsímil</v>
      </c>
      <c r="K12528" s="10" t="s">
        <v>24</v>
      </c>
    </row>
    <row r="12529" spans="1:11" ht="54" customHeight="1">
      <c r="A12529" s="9" t="s">
        <v>25457</v>
      </c>
      <c r="B12529" s="9" t="s">
        <v>25458</v>
      </c>
      <c r="C12529" s="9" t="s">
        <v>122</v>
      </c>
      <c r="D12529" s="9" t="s">
        <v>18</v>
      </c>
      <c r="E12529" s="10" t="s">
        <v>1307</v>
      </c>
      <c r="F12529" s="9" t="s">
        <v>1308</v>
      </c>
      <c r="G12529" s="10" t="s">
        <v>21</v>
      </c>
      <c r="H12529" s="9" t="s">
        <v>22</v>
      </c>
      <c r="I12529" s="9" t="s">
        <v>25459</v>
      </c>
      <c r="J12529" s="10" t="str">
        <f>HYPERLINK("https://www.boe.es/gazeta/dias/1834/08/25/pdfs/GMD-1834-191.pdf#page=3","Abrir facsímil")</f>
        <v>Abrir facsímil</v>
      </c>
      <c r="K12529" s="10" t="s">
        <v>24</v>
      </c>
    </row>
    <row r="12530" spans="1:11" ht="54" customHeight="1">
      <c r="A12530" s="9" t="s">
        <v>25460</v>
      </c>
      <c r="B12530" s="9" t="s">
        <v>25460</v>
      </c>
      <c r="C12530" s="9" t="s">
        <v>17</v>
      </c>
      <c r="D12530" s="9" t="s">
        <v>18</v>
      </c>
      <c r="E12530" s="10" t="s">
        <v>3036</v>
      </c>
      <c r="F12530" s="9" t="s">
        <v>3372</v>
      </c>
      <c r="G12530" s="10" t="s">
        <v>21</v>
      </c>
      <c r="H12530" s="9" t="s">
        <v>22</v>
      </c>
      <c r="I12530" s="9" t="s">
        <v>25461</v>
      </c>
      <c r="J12530" s="10" t="str">
        <f>HYPERLINK("https://www.boe.es/gazeta/dias/1834/11/18/pdfs/GMD-1834-277.pdf#page=3","Abrir facsímil")</f>
        <v>Abrir facsímil</v>
      </c>
      <c r="K12530" s="10" t="s">
        <v>24</v>
      </c>
    </row>
    <row r="12531" spans="1:11" ht="54" customHeight="1">
      <c r="A12531" s="9" t="s">
        <v>25462</v>
      </c>
      <c r="B12531" s="9" t="s">
        <v>25463</v>
      </c>
      <c r="C12531" s="9" t="s">
        <v>17</v>
      </c>
      <c r="D12531" s="9" t="s">
        <v>18</v>
      </c>
      <c r="E12531" s="10" t="s">
        <v>976</v>
      </c>
      <c r="F12531" s="9" t="s">
        <v>1061</v>
      </c>
      <c r="G12531" s="10" t="s">
        <v>34</v>
      </c>
      <c r="H12531" s="9" t="s">
        <v>22</v>
      </c>
      <c r="I12531" s="9" t="s">
        <v>25464</v>
      </c>
      <c r="J12531" s="10" t="str">
        <f>HYPERLINK("https://www.boe.es/gazeta/dias/1834/04/02/pdfs/GMD-C-1834-41.pdf#page=1","Abrir facsímil")</f>
        <v>Abrir facsímil</v>
      </c>
      <c r="K12531" s="10" t="s">
        <v>24</v>
      </c>
    </row>
    <row r="12532" spans="1:11" ht="54" customHeight="1">
      <c r="A12532" s="9" t="s">
        <v>25465</v>
      </c>
      <c r="B12532" s="9" t="s">
        <v>25465</v>
      </c>
      <c r="C12532" s="9" t="s">
        <v>17</v>
      </c>
      <c r="D12532" s="9" t="s">
        <v>18</v>
      </c>
      <c r="E12532" s="10" t="s">
        <v>334</v>
      </c>
      <c r="F12532" s="9" t="s">
        <v>335</v>
      </c>
      <c r="G12532" s="10" t="s">
        <v>75</v>
      </c>
      <c r="H12532" s="9" t="s">
        <v>22</v>
      </c>
      <c r="I12532" s="9" t="s">
        <v>25466</v>
      </c>
      <c r="J12532" s="10" t="str">
        <f>HYPERLINK("https://www.boe.es/gazeta/dias/1834/09/11/pdfs/GMD-C-1834-209.pdf#page=4","Abrir facsímil")</f>
        <v>Abrir facsímil</v>
      </c>
      <c r="K12532" s="10" t="s">
        <v>24</v>
      </c>
    </row>
    <row r="12533" spans="1:11" ht="54" customHeight="1">
      <c r="A12533" s="9" t="s">
        <v>25465</v>
      </c>
      <c r="B12533" s="9" t="s">
        <v>25465</v>
      </c>
      <c r="C12533" s="9" t="s">
        <v>17</v>
      </c>
      <c r="D12533" s="9" t="s">
        <v>40</v>
      </c>
      <c r="E12533" s="10" t="s">
        <v>642</v>
      </c>
      <c r="F12533" s="9" t="s">
        <v>643</v>
      </c>
      <c r="G12533" s="10" t="s">
        <v>470</v>
      </c>
      <c r="H12533" s="9" t="s">
        <v>22</v>
      </c>
      <c r="I12533" s="9" t="s">
        <v>25467</v>
      </c>
      <c r="J12533" s="10" t="str">
        <f>HYPERLINK("https://www.boe.es/gazeta/dias/1834/11/12/pdfs/GMD-C-1834-271.pdf#page=8","Abrir facsímil")</f>
        <v>Abrir facsímil</v>
      </c>
      <c r="K12533" s="10" t="s">
        <v>24</v>
      </c>
    </row>
    <row r="12534" spans="1:11" ht="54" customHeight="1">
      <c r="A12534" s="9" t="s">
        <v>25465</v>
      </c>
      <c r="B12534" s="9" t="s">
        <v>25465</v>
      </c>
      <c r="C12534" s="9" t="s">
        <v>90</v>
      </c>
      <c r="D12534" s="9" t="s">
        <v>18</v>
      </c>
      <c r="E12534" s="10" t="s">
        <v>262</v>
      </c>
      <c r="F12534" s="9" t="s">
        <v>263</v>
      </c>
      <c r="G12534" s="10" t="s">
        <v>28</v>
      </c>
      <c r="H12534" s="9" t="s">
        <v>22</v>
      </c>
      <c r="I12534" s="9" t="s">
        <v>25468</v>
      </c>
      <c r="J12534" s="10" t="str">
        <f>HYPERLINK("https://www.boe.es/gazeta/dias/1834/10/18/pdfs/GMD-C-1834-246.pdf#page=5","Abrir facsímil")</f>
        <v>Abrir facsímil</v>
      </c>
      <c r="K12534" s="10" t="s">
        <v>24</v>
      </c>
    </row>
    <row r="12535" spans="1:11" ht="54" customHeight="1">
      <c r="A12535" s="9" t="s">
        <v>25465</v>
      </c>
      <c r="B12535" s="9" t="s">
        <v>25465</v>
      </c>
      <c r="C12535" s="9" t="s">
        <v>90</v>
      </c>
      <c r="D12535" s="9" t="s">
        <v>18</v>
      </c>
      <c r="E12535" s="10" t="s">
        <v>667</v>
      </c>
      <c r="F12535" s="9" t="s">
        <v>668</v>
      </c>
      <c r="G12535" s="10" t="s">
        <v>86</v>
      </c>
      <c r="H12535" s="9" t="s">
        <v>22</v>
      </c>
      <c r="I12535" s="9" t="s">
        <v>25469</v>
      </c>
      <c r="J12535" s="10" t="str">
        <f>HYPERLINK("https://www.boe.es/gazeta/dias/1834/11/23/pdfs/GMD-C-1834-282.pdf#page=2","Abrir facsímil")</f>
        <v>Abrir facsímil</v>
      </c>
      <c r="K12535" s="10" t="s">
        <v>24</v>
      </c>
    </row>
    <row r="12536" spans="1:11" ht="54" customHeight="1">
      <c r="A12536" s="9" t="s">
        <v>25465</v>
      </c>
      <c r="B12536" s="9" t="s">
        <v>25465</v>
      </c>
      <c r="C12536" s="9" t="s">
        <v>17</v>
      </c>
      <c r="D12536" s="9" t="s">
        <v>18</v>
      </c>
      <c r="E12536" s="10" t="s">
        <v>707</v>
      </c>
      <c r="F12536" s="9" t="s">
        <v>708</v>
      </c>
      <c r="G12536" s="10" t="s">
        <v>176</v>
      </c>
      <c r="H12536" s="9" t="s">
        <v>22</v>
      </c>
      <c r="I12536" s="9" t="s">
        <v>25470</v>
      </c>
      <c r="J12536" s="10" t="str">
        <f>HYPERLINK("https://www.boe.es/gazeta/dias/1834/11/25/pdfs/GMD-C-1834-284.pdf#page=6","Abrir facsímil")</f>
        <v>Abrir facsímil</v>
      </c>
      <c r="K12536" s="10" t="s">
        <v>24</v>
      </c>
    </row>
    <row r="12537" spans="1:11" ht="54" customHeight="1">
      <c r="A12537" s="9" t="s">
        <v>25465</v>
      </c>
      <c r="B12537" s="9" t="s">
        <v>25465</v>
      </c>
      <c r="C12537" s="9" t="s">
        <v>17</v>
      </c>
      <c r="D12537" s="9" t="s">
        <v>18</v>
      </c>
      <c r="E12537" s="10" t="s">
        <v>510</v>
      </c>
      <c r="F12537" s="9" t="s">
        <v>531</v>
      </c>
      <c r="G12537" s="10" t="s">
        <v>75</v>
      </c>
      <c r="H12537" s="9" t="s">
        <v>22</v>
      </c>
      <c r="I12537" s="9" t="s">
        <v>25471</v>
      </c>
      <c r="J12537" s="10" t="str">
        <f>HYPERLINK("https://www.boe.es/gazeta/dias/1834/11/26/pdfs/GMD-C-1834-285.pdf#page=4","Abrir facsímil")</f>
        <v>Abrir facsímil</v>
      </c>
      <c r="K12537" s="10" t="s">
        <v>24</v>
      </c>
    </row>
    <row r="12538" spans="1:11" ht="54" customHeight="1">
      <c r="A12538" s="9" t="s">
        <v>25465</v>
      </c>
      <c r="B12538" s="9" t="s">
        <v>25465</v>
      </c>
      <c r="C12538" s="9" t="s">
        <v>17</v>
      </c>
      <c r="D12538" s="9" t="s">
        <v>18</v>
      </c>
      <c r="E12538" s="10" t="s">
        <v>465</v>
      </c>
      <c r="F12538" s="9" t="s">
        <v>466</v>
      </c>
      <c r="G12538" s="10" t="s">
        <v>34</v>
      </c>
      <c r="H12538" s="9" t="s">
        <v>22</v>
      </c>
      <c r="I12538" s="9" t="s">
        <v>25472</v>
      </c>
      <c r="J12538" s="10" t="str">
        <f>HYPERLINK("https://www.boe.es/gazeta/dias/1834/11/27/pdfs/GMD-C-1834-286.pdf#page=1","Abrir facsímil")</f>
        <v>Abrir facsímil</v>
      </c>
      <c r="K12538" s="10" t="s">
        <v>24</v>
      </c>
    </row>
    <row r="12539" spans="1:11" ht="54" customHeight="1">
      <c r="A12539" s="9" t="s">
        <v>25465</v>
      </c>
      <c r="B12539" s="9" t="s">
        <v>25465</v>
      </c>
      <c r="C12539" s="9" t="s">
        <v>17</v>
      </c>
      <c r="D12539" s="9" t="s">
        <v>18</v>
      </c>
      <c r="E12539" s="10" t="s">
        <v>2526</v>
      </c>
      <c r="F12539" s="9" t="s">
        <v>2527</v>
      </c>
      <c r="G12539" s="10" t="s">
        <v>34</v>
      </c>
      <c r="H12539" s="9" t="s">
        <v>22</v>
      </c>
      <c r="I12539" s="9" t="s">
        <v>25473</v>
      </c>
      <c r="J12539" s="10" t="str">
        <f>HYPERLINK("https://www.boe.es/gazeta/dias/1834/12/29/pdfs/GMD-C-1834-319.pdf#page=1","Abrir facsímil")</f>
        <v>Abrir facsímil</v>
      </c>
      <c r="K12539" s="10" t="s">
        <v>24</v>
      </c>
    </row>
    <row r="12540" spans="1:11" ht="54" customHeight="1">
      <c r="A12540" s="9" t="s">
        <v>25465</v>
      </c>
      <c r="B12540" s="9" t="s">
        <v>25465</v>
      </c>
      <c r="C12540" s="9" t="s">
        <v>90</v>
      </c>
      <c r="D12540" s="9" t="s">
        <v>18</v>
      </c>
      <c r="E12540" s="10" t="s">
        <v>153</v>
      </c>
      <c r="F12540" s="9" t="s">
        <v>154</v>
      </c>
      <c r="G12540" s="10" t="s">
        <v>34</v>
      </c>
      <c r="H12540" s="9" t="s">
        <v>22</v>
      </c>
      <c r="I12540" s="9" t="s">
        <v>25474</v>
      </c>
      <c r="J12540" s="10" t="str">
        <f>HYPERLINK("https://www.boe.es/gazeta/dias/1834/12/30/pdfs/GMD-C-1834-320.pdf#page=1","Abrir facsímil")</f>
        <v>Abrir facsímil</v>
      </c>
      <c r="K12540" s="10" t="s">
        <v>24</v>
      </c>
    </row>
    <row r="12541" spans="1:11" ht="54" customHeight="1">
      <c r="A12541" s="9" t="s">
        <v>25465</v>
      </c>
      <c r="B12541" s="9" t="s">
        <v>25465</v>
      </c>
      <c r="C12541" s="9" t="s">
        <v>17</v>
      </c>
      <c r="D12541" s="9" t="s">
        <v>18</v>
      </c>
      <c r="E12541" s="10" t="s">
        <v>891</v>
      </c>
      <c r="F12541" s="9" t="s">
        <v>892</v>
      </c>
      <c r="G12541" s="10" t="s">
        <v>34</v>
      </c>
      <c r="H12541" s="9" t="s">
        <v>22</v>
      </c>
      <c r="I12541" s="9" t="s">
        <v>25475</v>
      </c>
      <c r="J12541" s="10" t="str">
        <f>HYPERLINK("https://www.boe.es/gazeta/dias/1834/10/31/pdfs/GMD-C-1834-259.pdf#page=1","Abrir facsímil")</f>
        <v>Abrir facsímil</v>
      </c>
      <c r="K12541" s="10" t="s">
        <v>24</v>
      </c>
    </row>
    <row r="12542" spans="1:11" ht="54" customHeight="1">
      <c r="A12542" s="9" t="s">
        <v>25465</v>
      </c>
      <c r="B12542" s="9" t="s">
        <v>25465</v>
      </c>
      <c r="C12542" s="9" t="s">
        <v>17</v>
      </c>
      <c r="D12542" s="9" t="s">
        <v>18</v>
      </c>
      <c r="E12542" s="10" t="s">
        <v>192</v>
      </c>
      <c r="F12542" s="9" t="s">
        <v>2713</v>
      </c>
      <c r="G12542" s="10" t="s">
        <v>21</v>
      </c>
      <c r="H12542" s="9" t="s">
        <v>22</v>
      </c>
      <c r="I12542" s="9" t="s">
        <v>25476</v>
      </c>
      <c r="J12542" s="10" t="str">
        <f>HYPERLINK("https://www.boe.es/gazeta/dias/1834/12/31/pdfs/GMD-C-1834-321.pdf#page=3","Abrir facsímil")</f>
        <v>Abrir facsímil</v>
      </c>
      <c r="K12542" s="10" t="s">
        <v>24</v>
      </c>
    </row>
    <row r="12543" spans="1:11" ht="54" customHeight="1">
      <c r="A12543" s="9" t="s">
        <v>25477</v>
      </c>
      <c r="B12543" s="9" t="s">
        <v>25478</v>
      </c>
      <c r="C12543" s="9" t="s">
        <v>90</v>
      </c>
      <c r="D12543" s="9" t="s">
        <v>18</v>
      </c>
      <c r="E12543" s="10" t="s">
        <v>56</v>
      </c>
      <c r="F12543" s="9" t="s">
        <v>57</v>
      </c>
      <c r="G12543" s="10" t="s">
        <v>75</v>
      </c>
      <c r="H12543" s="9" t="s">
        <v>22</v>
      </c>
      <c r="I12543" s="9" t="s">
        <v>25479</v>
      </c>
      <c r="J12543" s="10" t="str">
        <f>HYPERLINK("https://www.boe.es/gazeta/dias/1834/07/09/pdfs/GMD-1834-142.pdf#page=4","Abrir facsímil")</f>
        <v>Abrir facsímil</v>
      </c>
      <c r="K12543" s="10" t="s">
        <v>24</v>
      </c>
    </row>
    <row r="12544" spans="1:11" ht="54" customHeight="1">
      <c r="A12544" s="9" t="s">
        <v>25480</v>
      </c>
      <c r="B12544" s="9" t="s">
        <v>25481</v>
      </c>
      <c r="C12544" s="9" t="s">
        <v>17</v>
      </c>
      <c r="D12544" s="9" t="s">
        <v>18</v>
      </c>
      <c r="E12544" s="10" t="s">
        <v>813</v>
      </c>
      <c r="F12544" s="9" t="s">
        <v>814</v>
      </c>
      <c r="G12544" s="10" t="s">
        <v>21</v>
      </c>
      <c r="H12544" s="9" t="s">
        <v>22</v>
      </c>
      <c r="I12544" s="9" t="s">
        <v>25482</v>
      </c>
      <c r="J12544" s="10" t="str">
        <f>HYPERLINK("https://www.boe.es/gazeta/dias/1834/08/08/pdfs/GMD-1834-173.pdf#page=3","Abrir facsímil")</f>
        <v>Abrir facsímil</v>
      </c>
      <c r="K12544" s="10" t="s">
        <v>24</v>
      </c>
    </row>
    <row r="12545" spans="1:11" ht="54" customHeight="1">
      <c r="A12545" s="9" t="s">
        <v>25483</v>
      </c>
      <c r="B12545" s="9" t="s">
        <v>25484</v>
      </c>
      <c r="C12545" s="9" t="s">
        <v>17</v>
      </c>
      <c r="D12545" s="9" t="s">
        <v>18</v>
      </c>
      <c r="E12545" s="10" t="s">
        <v>762</v>
      </c>
      <c r="F12545" s="9" t="s">
        <v>763</v>
      </c>
      <c r="G12545" s="10" t="s">
        <v>34</v>
      </c>
      <c r="H12545" s="9" t="s">
        <v>22</v>
      </c>
      <c r="I12545" s="9" t="s">
        <v>25485</v>
      </c>
      <c r="J12545" s="10" t="str">
        <f>HYPERLINK("https://www.boe.es/gazeta/dias/1834/11/07/pdfs/GMD-1834-266.pdf#page=1","Abrir facsímil")</f>
        <v>Abrir facsímil</v>
      </c>
      <c r="K12545" s="10" t="s">
        <v>24</v>
      </c>
    </row>
    <row r="12546" spans="1:11" ht="54" customHeight="1">
      <c r="A12546" s="9" t="s">
        <v>25486</v>
      </c>
      <c r="B12546" s="9" t="s">
        <v>25486</v>
      </c>
      <c r="C12546" s="9" t="s">
        <v>90</v>
      </c>
      <c r="D12546" s="9" t="s">
        <v>18</v>
      </c>
      <c r="E12546" s="10" t="s">
        <v>905</v>
      </c>
      <c r="F12546" s="9" t="s">
        <v>906</v>
      </c>
      <c r="G12546" s="10" t="s">
        <v>86</v>
      </c>
      <c r="H12546" s="9" t="s">
        <v>22</v>
      </c>
      <c r="I12546" s="9" t="s">
        <v>25487</v>
      </c>
      <c r="J12546" s="10" t="str">
        <f>HYPERLINK("https://www.boe.es/gazeta/dias/1834/08/02/pdfs/GMD-C-1834-166.pdf#page=2","Abrir facsímil")</f>
        <v>Abrir facsímil</v>
      </c>
      <c r="K12546" s="10" t="s">
        <v>24</v>
      </c>
    </row>
    <row r="12547" spans="1:11" ht="54" customHeight="1">
      <c r="A12547" s="9" t="s">
        <v>25488</v>
      </c>
      <c r="B12547" s="9" t="s">
        <v>25488</v>
      </c>
      <c r="C12547" s="9" t="s">
        <v>17</v>
      </c>
      <c r="D12547" s="9" t="s">
        <v>40</v>
      </c>
      <c r="E12547" s="10" t="s">
        <v>2950</v>
      </c>
      <c r="F12547" s="9" t="s">
        <v>2951</v>
      </c>
      <c r="G12547" s="10" t="s">
        <v>21</v>
      </c>
      <c r="H12547" s="9" t="s">
        <v>22</v>
      </c>
      <c r="I12547" s="9" t="s">
        <v>25489</v>
      </c>
      <c r="J12547" s="10" t="str">
        <f>HYPERLINK("https://www.boe.es/gazeta/dias/1834/05/20/pdfs/GMD-1834-89.pdf#page=3","Abrir facsímil")</f>
        <v>Abrir facsímil</v>
      </c>
      <c r="K12547" s="10" t="s">
        <v>24</v>
      </c>
    </row>
    <row r="12548" spans="1:11" ht="54" customHeight="1">
      <c r="A12548" s="9" t="s">
        <v>25490</v>
      </c>
      <c r="B12548" s="9" t="s">
        <v>25491</v>
      </c>
      <c r="C12548" s="9" t="s">
        <v>66</v>
      </c>
      <c r="D12548" s="9" t="s">
        <v>18</v>
      </c>
      <c r="E12548" s="10" t="s">
        <v>378</v>
      </c>
      <c r="F12548" s="9" t="s">
        <v>379</v>
      </c>
      <c r="G12548" s="10" t="s">
        <v>75</v>
      </c>
      <c r="H12548" s="9" t="s">
        <v>35</v>
      </c>
      <c r="I12548" s="9" t="s">
        <v>25492</v>
      </c>
      <c r="J12548" s="10" t="str">
        <f>HYPERLINK("https://www.boe.es/gazeta/dias/1834/09/24/pdfs/GMD-1834-222.pdf#page=4","Abrir facsímil")</f>
        <v>Abrir facsímil</v>
      </c>
      <c r="K12548" s="10" t="s">
        <v>37</v>
      </c>
    </row>
    <row r="12549" spans="1:11" ht="54" customHeight="1">
      <c r="A12549" s="9" t="s">
        <v>25493</v>
      </c>
      <c r="B12549" s="9" t="s">
        <v>25494</v>
      </c>
      <c r="C12549" s="9" t="s">
        <v>122</v>
      </c>
      <c r="D12549" s="9" t="s">
        <v>18</v>
      </c>
      <c r="E12549" s="10" t="s">
        <v>2729</v>
      </c>
      <c r="F12549" s="9" t="s">
        <v>2730</v>
      </c>
      <c r="G12549" s="10" t="s">
        <v>34</v>
      </c>
      <c r="H12549" s="9" t="s">
        <v>22</v>
      </c>
      <c r="I12549" s="9" t="s">
        <v>25495</v>
      </c>
      <c r="J12549" s="10" t="str">
        <f>HYPERLINK("https://www.boe.es/gazeta/dias/1834/07/02/pdfs/GMD-1834-135.pdf#page=1","Abrir facsímil")</f>
        <v>Abrir facsímil</v>
      </c>
      <c r="K12549" s="10" t="s">
        <v>24</v>
      </c>
    </row>
    <row r="12550" spans="1:11" ht="54" customHeight="1">
      <c r="A12550" s="9" t="s">
        <v>25496</v>
      </c>
      <c r="B12550" s="9" t="s">
        <v>25497</v>
      </c>
      <c r="C12550" s="9" t="s">
        <v>66</v>
      </c>
      <c r="D12550" s="9" t="s">
        <v>67</v>
      </c>
      <c r="E12550" s="10" t="s">
        <v>133</v>
      </c>
      <c r="F12550" s="9" t="s">
        <v>134</v>
      </c>
      <c r="G12550" s="10" t="s">
        <v>75</v>
      </c>
      <c r="H12550" s="9" t="s">
        <v>22</v>
      </c>
      <c r="I12550" s="9" t="s">
        <v>25498</v>
      </c>
      <c r="J12550" s="10" t="str">
        <f>HYPERLINK("https://www.boe.es/gazeta/dias/1834/06/18/pdfs/GMD-1834-121.pdf#page=4","Abrir facsímil")</f>
        <v>Abrir facsímil</v>
      </c>
      <c r="K12550" s="10" t="s">
        <v>24</v>
      </c>
    </row>
    <row r="12551" spans="1:11" ht="54" customHeight="1">
      <c r="A12551" s="9" t="s">
        <v>25499</v>
      </c>
      <c r="B12551" s="9" t="s">
        <v>25500</v>
      </c>
      <c r="C12551" s="9" t="s">
        <v>17</v>
      </c>
      <c r="D12551" s="9" t="s">
        <v>18</v>
      </c>
      <c r="E12551" s="10" t="s">
        <v>571</v>
      </c>
      <c r="F12551" s="9" t="s">
        <v>572</v>
      </c>
      <c r="G12551" s="10" t="s">
        <v>34</v>
      </c>
      <c r="H12551" s="9" t="s">
        <v>22</v>
      </c>
      <c r="I12551" s="9" t="s">
        <v>25501</v>
      </c>
      <c r="J12551" s="10" t="str">
        <f>HYPERLINK("https://www.boe.es/gazeta/dias/1834/09/04/pdfs/GMD-1834-202.pdf#page=1","Abrir facsímil")</f>
        <v>Abrir facsímil</v>
      </c>
      <c r="K12551" s="10" t="s">
        <v>24</v>
      </c>
    </row>
    <row r="12552" spans="1:11" ht="54" customHeight="1">
      <c r="A12552" s="9" t="s">
        <v>25499</v>
      </c>
      <c r="B12552" s="9" t="s">
        <v>25500</v>
      </c>
      <c r="C12552" s="9" t="s">
        <v>66</v>
      </c>
      <c r="D12552" s="9" t="s">
        <v>67</v>
      </c>
      <c r="E12552" s="10" t="s">
        <v>251</v>
      </c>
      <c r="F12552" s="9" t="s">
        <v>1278</v>
      </c>
      <c r="G12552" s="10" t="s">
        <v>86</v>
      </c>
      <c r="H12552" s="9" t="s">
        <v>22</v>
      </c>
      <c r="I12552" s="9" t="s">
        <v>25502</v>
      </c>
      <c r="J12552" s="10" t="str">
        <f>HYPERLINK("https://www.boe.es/gazeta/dias/1834/09/26/pdfs/GMD-1834-224.pdf#page=2","Abrir facsímil")</f>
        <v>Abrir facsímil</v>
      </c>
      <c r="K12552" s="10" t="s">
        <v>24</v>
      </c>
    </row>
    <row r="12553" spans="1:11" ht="54" customHeight="1">
      <c r="A12553" s="9" t="s">
        <v>25503</v>
      </c>
      <c r="B12553" s="9" t="s">
        <v>25504</v>
      </c>
      <c r="C12553" s="9" t="s">
        <v>66</v>
      </c>
      <c r="D12553" s="9" t="s">
        <v>18</v>
      </c>
      <c r="E12553" s="10" t="s">
        <v>378</v>
      </c>
      <c r="F12553" s="9" t="s">
        <v>379</v>
      </c>
      <c r="G12553" s="10" t="s">
        <v>75</v>
      </c>
      <c r="H12553" s="9" t="s">
        <v>22</v>
      </c>
      <c r="I12553" s="9" t="s">
        <v>25505</v>
      </c>
      <c r="J12553" s="10" t="str">
        <f>HYPERLINK("https://www.boe.es/gazeta/dias/1834/09/24/pdfs/GMD-1834-222.pdf#page=4","Abrir facsímil")</f>
        <v>Abrir facsímil</v>
      </c>
      <c r="K12553" s="10" t="s">
        <v>24</v>
      </c>
    </row>
    <row r="12554" spans="1:11" ht="54" customHeight="1">
      <c r="A12554" s="9" t="s">
        <v>25506</v>
      </c>
      <c r="B12554" s="9" t="s">
        <v>25507</v>
      </c>
      <c r="C12554" s="9" t="s">
        <v>122</v>
      </c>
      <c r="D12554" s="9" t="s">
        <v>18</v>
      </c>
      <c r="E12554" s="10" t="s">
        <v>2729</v>
      </c>
      <c r="F12554" s="9" t="s">
        <v>2730</v>
      </c>
      <c r="G12554" s="10" t="s">
        <v>34</v>
      </c>
      <c r="H12554" s="9" t="s">
        <v>35</v>
      </c>
      <c r="I12554" s="9" t="s">
        <v>25508</v>
      </c>
      <c r="J12554" s="10" t="str">
        <f>HYPERLINK("https://www.boe.es/gazeta/dias/1834/07/02/pdfs/GMD-1834-135.pdf#page=1","Abrir facsímil")</f>
        <v>Abrir facsímil</v>
      </c>
      <c r="K12554" s="10" t="s">
        <v>37</v>
      </c>
    </row>
    <row r="12555" spans="1:11" ht="54" customHeight="1">
      <c r="A12555" s="9" t="s">
        <v>25509</v>
      </c>
      <c r="B12555" s="9" t="s">
        <v>25510</v>
      </c>
      <c r="C12555" s="9" t="s">
        <v>17</v>
      </c>
      <c r="D12555" s="9" t="s">
        <v>18</v>
      </c>
      <c r="E12555" s="10" t="s">
        <v>1459</v>
      </c>
      <c r="F12555" s="9" t="s">
        <v>1460</v>
      </c>
      <c r="G12555" s="10" t="s">
        <v>21</v>
      </c>
      <c r="H12555" s="9" t="s">
        <v>35</v>
      </c>
      <c r="I12555" s="9" t="s">
        <v>25511</v>
      </c>
      <c r="J12555" s="10" t="str">
        <f>HYPERLINK("https://www.boe.es/gazeta/dias/1834/08/18/pdfs/GMD-1834-184.pdf#page=3","Abrir facsímil")</f>
        <v>Abrir facsímil</v>
      </c>
      <c r="K12555" s="10" t="s">
        <v>37</v>
      </c>
    </row>
    <row r="12556" spans="1:11" ht="54" customHeight="1">
      <c r="A12556" s="9" t="s">
        <v>25512</v>
      </c>
      <c r="B12556" s="9" t="s">
        <v>25513</v>
      </c>
      <c r="C12556" s="9" t="s">
        <v>17</v>
      </c>
      <c r="D12556" s="9" t="s">
        <v>18</v>
      </c>
      <c r="E12556" s="10" t="s">
        <v>1459</v>
      </c>
      <c r="F12556" s="9" t="s">
        <v>1460</v>
      </c>
      <c r="G12556" s="10" t="s">
        <v>21</v>
      </c>
      <c r="H12556" s="9" t="s">
        <v>22</v>
      </c>
      <c r="I12556" s="9" t="s">
        <v>25514</v>
      </c>
      <c r="J12556" s="10" t="str">
        <f>HYPERLINK("https://www.boe.es/gazeta/dias/1834/08/18/pdfs/GMD-1834-184.pdf#page=3","Abrir facsímil")</f>
        <v>Abrir facsímil</v>
      </c>
      <c r="K12556" s="10" t="s">
        <v>24</v>
      </c>
    </row>
    <row r="12557" spans="1:11" ht="54" customHeight="1">
      <c r="A12557" s="9" t="s">
        <v>25515</v>
      </c>
      <c r="B12557" s="9" t="s">
        <v>25515</v>
      </c>
      <c r="C12557" s="9" t="s">
        <v>90</v>
      </c>
      <c r="D12557" s="9" t="s">
        <v>18</v>
      </c>
      <c r="E12557" s="10" t="s">
        <v>905</v>
      </c>
      <c r="F12557" s="9" t="s">
        <v>906</v>
      </c>
      <c r="G12557" s="10" t="s">
        <v>34</v>
      </c>
      <c r="H12557" s="9" t="s">
        <v>22</v>
      </c>
      <c r="I12557" s="9" t="s">
        <v>25516</v>
      </c>
      <c r="J12557" s="10" t="str">
        <f>HYPERLINK("https://www.boe.es/gazeta/dias/1834/08/02/pdfs/GMD-C-1834-166.pdf#page=1","Abrir facsímil")</f>
        <v>Abrir facsímil</v>
      </c>
      <c r="K12557" s="10" t="s">
        <v>24</v>
      </c>
    </row>
    <row r="12558" spans="1:11" ht="54" customHeight="1">
      <c r="A12558" s="9" t="s">
        <v>25517</v>
      </c>
      <c r="B12558" s="9" t="s">
        <v>25518</v>
      </c>
      <c r="C12558" s="9" t="s">
        <v>17</v>
      </c>
      <c r="D12558" s="9" t="s">
        <v>18</v>
      </c>
      <c r="E12558" s="10" t="s">
        <v>426</v>
      </c>
      <c r="F12558" s="9" t="s">
        <v>694</v>
      </c>
      <c r="G12558" s="10" t="s">
        <v>34</v>
      </c>
      <c r="H12558" s="9" t="s">
        <v>35</v>
      </c>
      <c r="I12558" s="9" t="s">
        <v>25519</v>
      </c>
      <c r="J12558" s="10" t="str">
        <f>HYPERLINK("https://www.boe.es/gazeta/dias/1834/10/04/pdfs/GMD-C-1834-232.pdf#page=1","Abrir facsímil")</f>
        <v>Abrir facsímil</v>
      </c>
      <c r="K12558" s="10" t="s">
        <v>37</v>
      </c>
    </row>
    <row r="12559" spans="1:11" ht="54" customHeight="1">
      <c r="A12559" s="9" t="s">
        <v>25520</v>
      </c>
      <c r="B12559" s="9" t="s">
        <v>25521</v>
      </c>
      <c r="C12559" s="9" t="s">
        <v>66</v>
      </c>
      <c r="D12559" s="9" t="s">
        <v>67</v>
      </c>
      <c r="E12559" s="10" t="s">
        <v>1922</v>
      </c>
      <c r="F12559" s="9" t="s">
        <v>1923</v>
      </c>
      <c r="G12559" s="10" t="s">
        <v>75</v>
      </c>
      <c r="H12559" s="9" t="s">
        <v>35</v>
      </c>
      <c r="I12559" s="9" t="s">
        <v>25522</v>
      </c>
      <c r="J12559" s="10" t="str">
        <f>HYPERLINK("https://www.boe.es/gazeta/dias/1834/02/25/pdfs/GMD-1834-25.pdf#page=4","Abrir facsímil")</f>
        <v>Abrir facsímil</v>
      </c>
      <c r="K12559" s="10" t="s">
        <v>37</v>
      </c>
    </row>
    <row r="12560" spans="1:11" ht="54" customHeight="1">
      <c r="A12560" s="9" t="s">
        <v>25523</v>
      </c>
      <c r="B12560" s="9" t="s">
        <v>25524</v>
      </c>
      <c r="C12560" s="9" t="s">
        <v>66</v>
      </c>
      <c r="D12560" s="9" t="s">
        <v>67</v>
      </c>
      <c r="E12560" s="10" t="s">
        <v>1922</v>
      </c>
      <c r="F12560" s="9" t="s">
        <v>1923</v>
      </c>
      <c r="G12560" s="10" t="s">
        <v>75</v>
      </c>
      <c r="H12560" s="9" t="s">
        <v>22</v>
      </c>
      <c r="I12560" s="9" t="s">
        <v>25525</v>
      </c>
      <c r="J12560" s="10" t="str">
        <f>HYPERLINK("https://www.boe.es/gazeta/dias/1834/02/25/pdfs/GMD-1834-25.pdf#page=4","Abrir facsímil")</f>
        <v>Abrir facsímil</v>
      </c>
      <c r="K12560" s="10" t="s">
        <v>24</v>
      </c>
    </row>
    <row r="12561" spans="1:11" ht="54" customHeight="1">
      <c r="A12561" s="9" t="s">
        <v>25526</v>
      </c>
      <c r="B12561" s="9" t="s">
        <v>25527</v>
      </c>
      <c r="C12561" s="9" t="s">
        <v>17</v>
      </c>
      <c r="D12561" s="9" t="s">
        <v>18</v>
      </c>
      <c r="E12561" s="10" t="s">
        <v>433</v>
      </c>
      <c r="F12561" s="9" t="s">
        <v>2773</v>
      </c>
      <c r="G12561" s="10" t="s">
        <v>34</v>
      </c>
      <c r="H12561" s="9" t="s">
        <v>22</v>
      </c>
      <c r="I12561" s="9" t="s">
        <v>25528</v>
      </c>
      <c r="J12561" s="10" t="str">
        <f>HYPERLINK("https://www.boe.es/gazeta/dias/1834/10/07/pdfs/I00986-00987.pdf#page=1","Abrir facsímil")</f>
        <v>Abrir facsímil</v>
      </c>
      <c r="K12561" s="10" t="s">
        <v>24</v>
      </c>
    </row>
    <row r="12562" spans="1:11" ht="54" customHeight="1">
      <c r="A12562" s="9" t="s">
        <v>25526</v>
      </c>
      <c r="B12562" s="9" t="s">
        <v>25527</v>
      </c>
      <c r="C12562" s="9" t="s">
        <v>17</v>
      </c>
      <c r="D12562" s="9" t="s">
        <v>18</v>
      </c>
      <c r="E12562" s="10" t="s">
        <v>433</v>
      </c>
      <c r="F12562" s="9" t="s">
        <v>2773</v>
      </c>
      <c r="G12562" s="10" t="s">
        <v>86</v>
      </c>
      <c r="H12562" s="9" t="s">
        <v>22</v>
      </c>
      <c r="I12562" s="9" t="s">
        <v>25528</v>
      </c>
      <c r="J12562" s="10" t="str">
        <f>HYPERLINK("https://www.boe.es/gazeta/dias/1834/10/07/pdfs/GMD-1834-235.pdf#page=2","Abrir facsímil")</f>
        <v>Abrir facsímil</v>
      </c>
      <c r="K12562" s="10" t="s">
        <v>24</v>
      </c>
    </row>
    <row r="12563" spans="1:11" ht="54" customHeight="1">
      <c r="A12563" s="9" t="s">
        <v>25529</v>
      </c>
      <c r="B12563" s="9" t="s">
        <v>25530</v>
      </c>
      <c r="C12563" s="9" t="s">
        <v>17</v>
      </c>
      <c r="D12563" s="9" t="s">
        <v>18</v>
      </c>
      <c r="E12563" s="10" t="s">
        <v>3328</v>
      </c>
      <c r="F12563" s="9" t="s">
        <v>3329</v>
      </c>
      <c r="G12563" s="10" t="s">
        <v>34</v>
      </c>
      <c r="H12563" s="9" t="s">
        <v>22</v>
      </c>
      <c r="I12563" s="9" t="s">
        <v>25531</v>
      </c>
      <c r="J12563" s="10" t="str">
        <f>HYPERLINK("https://www.boe.es/gazeta/dias/1834/06/04/pdfs/GMD-1834-106.pdf#page=1","Abrir facsímil")</f>
        <v>Abrir facsímil</v>
      </c>
      <c r="K12563" s="10" t="s">
        <v>24</v>
      </c>
    </row>
    <row r="12564" spans="1:11" ht="54" customHeight="1">
      <c r="A12564" s="9" t="s">
        <v>25532</v>
      </c>
      <c r="B12564" s="9" t="s">
        <v>25532</v>
      </c>
      <c r="C12564" s="9" t="s">
        <v>17</v>
      </c>
      <c r="D12564" s="9" t="s">
        <v>18</v>
      </c>
      <c r="E12564" s="10" t="s">
        <v>576</v>
      </c>
      <c r="F12564" s="9" t="s">
        <v>5888</v>
      </c>
      <c r="G12564" s="10" t="s">
        <v>75</v>
      </c>
      <c r="H12564" s="9" t="s">
        <v>22</v>
      </c>
      <c r="I12564" s="9" t="s">
        <v>25533</v>
      </c>
      <c r="J12564" s="10" t="str">
        <f>HYPERLINK("https://www.boe.es/gazeta/dias/1834/09/23/pdfs/GMD-C-1834-221.pdf#page=4","Abrir facsímil")</f>
        <v>Abrir facsímil</v>
      </c>
      <c r="K12564" s="10" t="s">
        <v>24</v>
      </c>
    </row>
    <row r="12565" spans="1:11" ht="54" customHeight="1">
      <c r="A12565" s="9" t="s">
        <v>25534</v>
      </c>
      <c r="B12565" s="9" t="s">
        <v>25534</v>
      </c>
      <c r="C12565" s="9" t="s">
        <v>46</v>
      </c>
      <c r="D12565" s="9" t="s">
        <v>18</v>
      </c>
      <c r="E12565" s="10" t="s">
        <v>416</v>
      </c>
      <c r="F12565" s="9" t="s">
        <v>417</v>
      </c>
      <c r="G12565" s="10" t="s">
        <v>21</v>
      </c>
      <c r="H12565" s="9" t="s">
        <v>22</v>
      </c>
      <c r="I12565" s="9" t="s">
        <v>25535</v>
      </c>
      <c r="J12565" s="10" t="str">
        <f>HYPERLINK("https://www.boe.es/gazeta/dias/1834/10/02/pdfs/GMD-C-1834-230.pdf#page=3","Abrir facsímil")</f>
        <v>Abrir facsímil</v>
      </c>
      <c r="K12565" s="10" t="s">
        <v>24</v>
      </c>
    </row>
    <row r="12566" spans="1:11" ht="54" customHeight="1">
      <c r="A12566" s="9" t="s">
        <v>25534</v>
      </c>
      <c r="B12566" s="9" t="s">
        <v>25534</v>
      </c>
      <c r="C12566" s="9" t="s">
        <v>46</v>
      </c>
      <c r="D12566" s="9" t="s">
        <v>18</v>
      </c>
      <c r="E12566" s="10" t="s">
        <v>416</v>
      </c>
      <c r="F12566" s="9" t="s">
        <v>417</v>
      </c>
      <c r="G12566" s="10" t="s">
        <v>75</v>
      </c>
      <c r="H12566" s="9" t="s">
        <v>22</v>
      </c>
      <c r="I12566" s="9" t="s">
        <v>25536</v>
      </c>
      <c r="J12566" s="10" t="str">
        <f>HYPERLINK("https://www.boe.es/gazeta/dias/1834/10/02/pdfs/GMD-C-1834-230.pdf#page=4","Abrir facsímil")</f>
        <v>Abrir facsímil</v>
      </c>
      <c r="K12566" s="10" t="s">
        <v>24</v>
      </c>
    </row>
    <row r="12567" spans="1:11" ht="54" customHeight="1">
      <c r="A12567" s="9" t="s">
        <v>25537</v>
      </c>
      <c r="B12567" s="9" t="s">
        <v>25537</v>
      </c>
      <c r="C12567" s="9" t="s">
        <v>46</v>
      </c>
      <c r="D12567" s="9" t="s">
        <v>18</v>
      </c>
      <c r="E12567" s="10" t="s">
        <v>73</v>
      </c>
      <c r="F12567" s="9" t="s">
        <v>1416</v>
      </c>
      <c r="G12567" s="10" t="s">
        <v>21</v>
      </c>
      <c r="H12567" s="9" t="s">
        <v>22</v>
      </c>
      <c r="I12567" s="9" t="s">
        <v>25538</v>
      </c>
      <c r="J12567" s="10" t="str">
        <f>HYPERLINK("https://www.boe.es/gazeta/dias/1834/11/04/pdfs/GMD-C-1834-263.pdf#page=3","Abrir facsímil")</f>
        <v>Abrir facsímil</v>
      </c>
      <c r="K12567" s="10" t="s">
        <v>24</v>
      </c>
    </row>
    <row r="12568" spans="1:11" ht="54" customHeight="1">
      <c r="A12568" s="9" t="s">
        <v>25537</v>
      </c>
      <c r="B12568" s="9" t="s">
        <v>25537</v>
      </c>
      <c r="C12568" s="9" t="s">
        <v>46</v>
      </c>
      <c r="D12568" s="9" t="s">
        <v>40</v>
      </c>
      <c r="E12568" s="10" t="s">
        <v>438</v>
      </c>
      <c r="F12568" s="9" t="s">
        <v>528</v>
      </c>
      <c r="G12568" s="10" t="s">
        <v>28</v>
      </c>
      <c r="H12568" s="9" t="s">
        <v>22</v>
      </c>
      <c r="I12568" s="9" t="s">
        <v>25539</v>
      </c>
      <c r="J12568" s="10" t="str">
        <f>HYPERLINK("https://www.boe.es/gazeta/dias/1834/11/09/pdfs/GMD-C-1834-268.pdf#page=5","Abrir facsímil")</f>
        <v>Abrir facsímil</v>
      </c>
      <c r="K12568" s="10" t="s">
        <v>24</v>
      </c>
    </row>
    <row r="12569" spans="1:11" ht="54" customHeight="1">
      <c r="A12569" s="9" t="s">
        <v>25537</v>
      </c>
      <c r="B12569" s="9" t="s">
        <v>25537</v>
      </c>
      <c r="C12569" s="9" t="s">
        <v>46</v>
      </c>
      <c r="D12569" s="9" t="s">
        <v>101</v>
      </c>
      <c r="E12569" s="10" t="s">
        <v>3248</v>
      </c>
      <c r="F12569" s="9" t="s">
        <v>4798</v>
      </c>
      <c r="G12569" s="10" t="s">
        <v>176</v>
      </c>
      <c r="H12569" s="9" t="s">
        <v>22</v>
      </c>
      <c r="I12569" s="9" t="s">
        <v>25540</v>
      </c>
      <c r="J12569" s="10" t="str">
        <f>HYPERLINK("https://www.boe.es/gazeta/dias/1834/09/20/pdfs/GMD-C-1834-218.pdf#page=6","Abrir facsímil")</f>
        <v>Abrir facsímil</v>
      </c>
      <c r="K12569" s="10" t="s">
        <v>24</v>
      </c>
    </row>
    <row r="12570" spans="1:11" ht="54" customHeight="1">
      <c r="A12570" s="9" t="s">
        <v>25541</v>
      </c>
      <c r="B12570" s="9" t="s">
        <v>25541</v>
      </c>
      <c r="C12570" s="9" t="s">
        <v>122</v>
      </c>
      <c r="D12570" s="9" t="s">
        <v>18</v>
      </c>
      <c r="E12570" s="10" t="s">
        <v>492</v>
      </c>
      <c r="F12570" s="9" t="s">
        <v>493</v>
      </c>
      <c r="G12570" s="10" t="s">
        <v>28</v>
      </c>
      <c r="H12570" s="9" t="s">
        <v>22</v>
      </c>
      <c r="I12570" s="9" t="s">
        <v>25542</v>
      </c>
      <c r="J12570" s="10" t="str">
        <f>HYPERLINK("https://www.boe.es/gazeta/dias/1834/11/21/pdfs/GMD-C-1834-280.pdf#page=5","Abrir facsímil")</f>
        <v>Abrir facsímil</v>
      </c>
      <c r="K12570" s="10" t="s">
        <v>24</v>
      </c>
    </row>
    <row r="12571" spans="1:11" ht="54" customHeight="1">
      <c r="A12571" s="9" t="s">
        <v>25537</v>
      </c>
      <c r="B12571" s="9" t="s">
        <v>25537</v>
      </c>
      <c r="C12571" s="9" t="s">
        <v>17</v>
      </c>
      <c r="D12571" s="9" t="s">
        <v>18</v>
      </c>
      <c r="E12571" s="10" t="s">
        <v>378</v>
      </c>
      <c r="F12571" s="9" t="s">
        <v>888</v>
      </c>
      <c r="G12571" s="10" t="s">
        <v>75</v>
      </c>
      <c r="H12571" s="9" t="s">
        <v>22</v>
      </c>
      <c r="I12571" s="9" t="s">
        <v>25543</v>
      </c>
      <c r="J12571" s="10" t="str">
        <f>HYPERLINK("https://www.boe.es/gazeta/dias/1834/09/24/pdfs/GMD-C-1834-222.pdf#page=4","Abrir facsímil")</f>
        <v>Abrir facsímil</v>
      </c>
      <c r="K12571" s="10" t="s">
        <v>24</v>
      </c>
    </row>
    <row r="12572" spans="1:11" ht="54" customHeight="1">
      <c r="A12572" s="9" t="s">
        <v>25544</v>
      </c>
      <c r="B12572" s="9" t="s">
        <v>25544</v>
      </c>
      <c r="C12572" s="9" t="s">
        <v>66</v>
      </c>
      <c r="D12572" s="9" t="s">
        <v>67</v>
      </c>
      <c r="E12572" s="10" t="s">
        <v>2526</v>
      </c>
      <c r="F12572" s="9" t="s">
        <v>8236</v>
      </c>
      <c r="G12572" s="10" t="s">
        <v>86</v>
      </c>
      <c r="H12572" s="9" t="s">
        <v>22</v>
      </c>
      <c r="I12572" s="9" t="s">
        <v>25545</v>
      </c>
      <c r="J12572" s="10" t="str">
        <f>HYPERLINK("https://www.boe.es/gazeta/dias/1834/12/29/pdfs/GMD-1834-319.pdf#page=2","Abrir facsímil")</f>
        <v>Abrir facsímil</v>
      </c>
      <c r="K12572" s="10" t="s">
        <v>24</v>
      </c>
    </row>
    <row r="12573" spans="1:11" ht="54" customHeight="1">
      <c r="A12573" s="9" t="s">
        <v>25546</v>
      </c>
      <c r="B12573" s="9" t="s">
        <v>25546</v>
      </c>
      <c r="C12573" s="9" t="s">
        <v>46</v>
      </c>
      <c r="D12573" s="9" t="s">
        <v>18</v>
      </c>
      <c r="E12573" s="10" t="s">
        <v>719</v>
      </c>
      <c r="F12573" s="9" t="s">
        <v>720</v>
      </c>
      <c r="G12573" s="10" t="s">
        <v>86</v>
      </c>
      <c r="H12573" s="9" t="s">
        <v>22</v>
      </c>
      <c r="I12573" s="9" t="s">
        <v>25547</v>
      </c>
      <c r="J12573" s="10" t="str">
        <f>HYPERLINK("https://www.boe.es/gazeta/dias/1834/04/29/pdfs/GMD-1834-68.pdf#page=2","Abrir facsímil")</f>
        <v>Abrir facsímil</v>
      </c>
      <c r="K12573" s="10" t="s">
        <v>24</v>
      </c>
    </row>
    <row r="12574" spans="1:11" ht="54" customHeight="1">
      <c r="A12574" s="9" t="s">
        <v>25548</v>
      </c>
      <c r="B12574" s="9" t="s">
        <v>25549</v>
      </c>
      <c r="C12574" s="9" t="s">
        <v>90</v>
      </c>
      <c r="D12574" s="9" t="s">
        <v>101</v>
      </c>
      <c r="E12574" s="10" t="s">
        <v>4637</v>
      </c>
      <c r="F12574" s="9" t="s">
        <v>4638</v>
      </c>
      <c r="G12574" s="10" t="s">
        <v>34</v>
      </c>
      <c r="H12574" s="9" t="s">
        <v>22</v>
      </c>
      <c r="I12574" s="9" t="s">
        <v>25550</v>
      </c>
      <c r="J12574" s="10" t="str">
        <f>HYPERLINK("https://www.boe.es/gazeta/dias/1834/12/08/pdfs/GMD-1834-297.pdf#page=1","Abrir facsímil")</f>
        <v>Abrir facsímil</v>
      </c>
      <c r="K12574" s="10" t="s">
        <v>24</v>
      </c>
    </row>
    <row r="12575" spans="1:11" ht="54" customHeight="1">
      <c r="A12575" s="9" t="s">
        <v>25551</v>
      </c>
      <c r="B12575" s="9" t="s">
        <v>25552</v>
      </c>
      <c r="C12575" s="9" t="s">
        <v>17</v>
      </c>
      <c r="D12575" s="9" t="s">
        <v>18</v>
      </c>
      <c r="E12575" s="10" t="s">
        <v>739</v>
      </c>
      <c r="F12575" s="9" t="s">
        <v>740</v>
      </c>
      <c r="G12575" s="10" t="s">
        <v>21</v>
      </c>
      <c r="H12575" s="9" t="s">
        <v>22</v>
      </c>
      <c r="I12575" s="9" t="s">
        <v>25553</v>
      </c>
      <c r="J12575" s="10" t="str">
        <f>HYPERLINK("https://www.boe.es/gazeta/dias/1834/03/25/pdfs/GMD-1834-37.pdf#page=3","Abrir facsímil")</f>
        <v>Abrir facsímil</v>
      </c>
      <c r="K12575" s="10" t="s">
        <v>24</v>
      </c>
    </row>
    <row r="12576" spans="1:11" ht="54" customHeight="1">
      <c r="A12576" s="9" t="s">
        <v>25554</v>
      </c>
      <c r="B12576" s="9" t="s">
        <v>25554</v>
      </c>
      <c r="C12576" s="9" t="s">
        <v>90</v>
      </c>
      <c r="D12576" s="9" t="s">
        <v>101</v>
      </c>
      <c r="E12576" s="10" t="s">
        <v>1883</v>
      </c>
      <c r="F12576" s="9" t="s">
        <v>1884</v>
      </c>
      <c r="G12576" s="10" t="s">
        <v>86</v>
      </c>
      <c r="H12576" s="9" t="s">
        <v>22</v>
      </c>
      <c r="I12576" s="9" t="s">
        <v>25555</v>
      </c>
      <c r="J12576" s="10" t="str">
        <f>HYPERLINK("https://www.boe.es/gazeta/dias/1834/01/11/pdfs/GMD-1834-6.pdf#page=2","Abrir facsímil")</f>
        <v>Abrir facsímil</v>
      </c>
      <c r="K12576" s="10" t="s">
        <v>24</v>
      </c>
    </row>
    <row r="12577" spans="1:11" ht="54" customHeight="1">
      <c r="A12577" s="9" t="s">
        <v>25556</v>
      </c>
      <c r="B12577" s="9" t="s">
        <v>25556</v>
      </c>
      <c r="C12577" s="9" t="s">
        <v>17</v>
      </c>
      <c r="D12577" s="9" t="s">
        <v>18</v>
      </c>
      <c r="E12577" s="10" t="s">
        <v>928</v>
      </c>
      <c r="F12577" s="9" t="s">
        <v>929</v>
      </c>
      <c r="G12577" s="10" t="s">
        <v>75</v>
      </c>
      <c r="H12577" s="9" t="s">
        <v>22</v>
      </c>
      <c r="I12577" s="9" t="s">
        <v>25557</v>
      </c>
      <c r="J12577" s="10" t="str">
        <f>HYPERLINK("https://www.boe.es/gazeta/dias/1834/11/15/pdfs/GMD-C-1834-274.pdf#page=4","Abrir facsímil")</f>
        <v>Abrir facsímil</v>
      </c>
      <c r="K12577" s="10" t="s">
        <v>24</v>
      </c>
    </row>
    <row r="12578" spans="1:11" ht="54" customHeight="1">
      <c r="A12578" s="9" t="s">
        <v>25558</v>
      </c>
      <c r="B12578" s="9" t="s">
        <v>25559</v>
      </c>
      <c r="C12578" s="9" t="s">
        <v>66</v>
      </c>
      <c r="D12578" s="9" t="s">
        <v>67</v>
      </c>
      <c r="E12578" s="10" t="s">
        <v>1695</v>
      </c>
      <c r="F12578" s="9" t="s">
        <v>1696</v>
      </c>
      <c r="G12578" s="10" t="s">
        <v>21</v>
      </c>
      <c r="H12578" s="9" t="s">
        <v>22</v>
      </c>
      <c r="I12578" s="9" t="s">
        <v>25560</v>
      </c>
      <c r="J12578" s="10" t="str">
        <f>HYPERLINK("https://www.boe.es/gazeta/dias/1834/06/30/pdfs/GMD-1834-133.pdf#page=3","Abrir facsímil")</f>
        <v>Abrir facsímil</v>
      </c>
      <c r="K12578" s="10" t="s">
        <v>24</v>
      </c>
    </row>
    <row r="12579" spans="1:11" ht="54" customHeight="1">
      <c r="A12579" s="9" t="s">
        <v>25561</v>
      </c>
      <c r="B12579" s="9" t="s">
        <v>25562</v>
      </c>
      <c r="C12579" s="9" t="s">
        <v>90</v>
      </c>
      <c r="D12579" s="9" t="s">
        <v>18</v>
      </c>
      <c r="E12579" s="10" t="s">
        <v>247</v>
      </c>
      <c r="F12579" s="9" t="s">
        <v>248</v>
      </c>
      <c r="G12579" s="10" t="s">
        <v>86</v>
      </c>
      <c r="H12579" s="9" t="s">
        <v>22</v>
      </c>
      <c r="I12579" s="9" t="s">
        <v>25563</v>
      </c>
      <c r="J12579" s="10" t="str">
        <f>HYPERLINK("https://www.boe.es/gazeta/dias/1834/08/23/pdfs/GMD-C-1834-189.pdf#page=2","Abrir facsímil")</f>
        <v>Abrir facsímil</v>
      </c>
      <c r="K12579" s="10" t="s">
        <v>24</v>
      </c>
    </row>
    <row r="12580" spans="1:11" ht="54" customHeight="1">
      <c r="A12580" s="9" t="s">
        <v>25564</v>
      </c>
      <c r="B12580" s="9" t="s">
        <v>25564</v>
      </c>
      <c r="C12580" s="9" t="s">
        <v>17</v>
      </c>
      <c r="D12580" s="9" t="s">
        <v>18</v>
      </c>
      <c r="E12580" s="10" t="s">
        <v>571</v>
      </c>
      <c r="F12580" s="9" t="s">
        <v>572</v>
      </c>
      <c r="G12580" s="10" t="s">
        <v>86</v>
      </c>
      <c r="H12580" s="9" t="s">
        <v>22</v>
      </c>
      <c r="I12580" s="9" t="s">
        <v>25565</v>
      </c>
      <c r="J12580" s="10" t="str">
        <f>HYPERLINK("https://www.boe.es/gazeta/dias/1834/09/04/pdfs/GMD-1834-202.pdf#page=2","Abrir facsímil")</f>
        <v>Abrir facsímil</v>
      </c>
      <c r="K12580" s="10" t="s">
        <v>24</v>
      </c>
    </row>
    <row r="12581" spans="1:11" ht="54" customHeight="1">
      <c r="A12581" s="9" t="s">
        <v>25566</v>
      </c>
      <c r="B12581" s="9" t="s">
        <v>25567</v>
      </c>
      <c r="C12581" s="9" t="s">
        <v>90</v>
      </c>
      <c r="D12581" s="9" t="s">
        <v>18</v>
      </c>
      <c r="E12581" s="10" t="s">
        <v>571</v>
      </c>
      <c r="F12581" s="9" t="s">
        <v>572</v>
      </c>
      <c r="G12581" s="10" t="s">
        <v>86</v>
      </c>
      <c r="H12581" s="9" t="s">
        <v>35</v>
      </c>
      <c r="I12581" s="9" t="s">
        <v>25568</v>
      </c>
      <c r="J12581" s="10" t="str">
        <f>HYPERLINK("https://www.boe.es/gazeta/dias/1834/09/04/pdfs/GMD-1834-202.pdf#page=2","Abrir facsímil")</f>
        <v>Abrir facsímil</v>
      </c>
      <c r="K12581" s="10" t="s">
        <v>37</v>
      </c>
    </row>
    <row r="12582" spans="1:11" ht="54" customHeight="1">
      <c r="A12582" s="9" t="s">
        <v>25569</v>
      </c>
      <c r="B12582" s="9" t="s">
        <v>25570</v>
      </c>
      <c r="C12582" s="9" t="s">
        <v>66</v>
      </c>
      <c r="D12582" s="9" t="s">
        <v>18</v>
      </c>
      <c r="E12582" s="10" t="s">
        <v>571</v>
      </c>
      <c r="F12582" s="9" t="s">
        <v>572</v>
      </c>
      <c r="G12582" s="10" t="s">
        <v>86</v>
      </c>
      <c r="H12582" s="9" t="s">
        <v>22</v>
      </c>
      <c r="I12582" s="9" t="s">
        <v>25571</v>
      </c>
      <c r="J12582" s="10" t="str">
        <f>HYPERLINK("https://www.boe.es/gazeta/dias/1834/09/04/pdfs/GMD-1834-202.pdf#page=2","Abrir facsímil")</f>
        <v>Abrir facsímil</v>
      </c>
      <c r="K12582" s="10" t="s">
        <v>24</v>
      </c>
    </row>
    <row r="12583" spans="1:11" ht="54" customHeight="1">
      <c r="A12583" s="9" t="s">
        <v>25572</v>
      </c>
      <c r="B12583" s="9" t="s">
        <v>25573</v>
      </c>
      <c r="C12583" s="9" t="s">
        <v>17</v>
      </c>
      <c r="D12583" s="9" t="s">
        <v>18</v>
      </c>
      <c r="E12583" s="10" t="s">
        <v>571</v>
      </c>
      <c r="F12583" s="9" t="s">
        <v>572</v>
      </c>
      <c r="G12583" s="10" t="s">
        <v>21</v>
      </c>
      <c r="H12583" s="9" t="s">
        <v>22</v>
      </c>
      <c r="I12583" s="9" t="s">
        <v>25574</v>
      </c>
      <c r="J12583" s="10" t="str">
        <f>HYPERLINK("https://www.boe.es/gazeta/dias/1834/09/04/pdfs/GMD-1834-202.pdf#page=3","Abrir facsímil")</f>
        <v>Abrir facsímil</v>
      </c>
      <c r="K12583" s="10" t="s">
        <v>24</v>
      </c>
    </row>
    <row r="12584" spans="1:11" ht="54" customHeight="1">
      <c r="A12584" s="9" t="s">
        <v>25575</v>
      </c>
      <c r="B12584" s="9" t="s">
        <v>25576</v>
      </c>
      <c r="C12584" s="9" t="s">
        <v>17</v>
      </c>
      <c r="D12584" s="9" t="s">
        <v>18</v>
      </c>
      <c r="E12584" s="10" t="s">
        <v>158</v>
      </c>
      <c r="F12584" s="9" t="s">
        <v>159</v>
      </c>
      <c r="G12584" s="10" t="s">
        <v>75</v>
      </c>
      <c r="H12584" s="9" t="s">
        <v>22</v>
      </c>
      <c r="I12584" s="9" t="s">
        <v>25577</v>
      </c>
      <c r="J12584" s="10" t="str">
        <f>HYPERLINK("https://www.boe.es/gazeta/dias/1834/10/01/pdfs/GMD-1834-229.pdf#page=4","Abrir facsímil")</f>
        <v>Abrir facsímil</v>
      </c>
      <c r="K12584" s="10" t="s">
        <v>24</v>
      </c>
    </row>
    <row r="12585" spans="1:11" ht="54" customHeight="1">
      <c r="A12585" s="9" t="s">
        <v>25578</v>
      </c>
      <c r="B12585" s="9" t="s">
        <v>25579</v>
      </c>
      <c r="C12585" s="9" t="s">
        <v>17</v>
      </c>
      <c r="D12585" s="9" t="s">
        <v>55</v>
      </c>
      <c r="E12585" s="10" t="s">
        <v>571</v>
      </c>
      <c r="F12585" s="9" t="s">
        <v>572</v>
      </c>
      <c r="G12585" s="10" t="s">
        <v>86</v>
      </c>
      <c r="H12585" s="9" t="s">
        <v>22</v>
      </c>
      <c r="I12585" s="9" t="s">
        <v>25580</v>
      </c>
      <c r="J12585" s="10" t="str">
        <f>HYPERLINK("https://www.boe.es/gazeta/dias/1834/09/04/pdfs/GMD-1834-202.pdf#page=2","Abrir facsímil")</f>
        <v>Abrir facsímil</v>
      </c>
      <c r="K12585" s="10" t="s">
        <v>24</v>
      </c>
    </row>
    <row r="12586" spans="1:11" ht="54" customHeight="1">
      <c r="A12586" s="9" t="s">
        <v>25581</v>
      </c>
      <c r="B12586" s="9" t="s">
        <v>25582</v>
      </c>
      <c r="C12586" s="9" t="s">
        <v>122</v>
      </c>
      <c r="D12586" s="9" t="s">
        <v>18</v>
      </c>
      <c r="E12586" s="10" t="s">
        <v>844</v>
      </c>
      <c r="F12586" s="9" t="s">
        <v>845</v>
      </c>
      <c r="G12586" s="10" t="s">
        <v>75</v>
      </c>
      <c r="H12586" s="9" t="s">
        <v>22</v>
      </c>
      <c r="I12586" s="9" t="s">
        <v>25583</v>
      </c>
      <c r="J12586" s="10" t="str">
        <f>HYPERLINK("https://www.boe.es/gazeta/dias/1834/03/13/pdfs/GMD-1834-32.pdf#page=4","Abrir facsímil")</f>
        <v>Abrir facsímil</v>
      </c>
      <c r="K12586" s="10" t="s">
        <v>24</v>
      </c>
    </row>
    <row r="12587" spans="1:11" ht="54" customHeight="1">
      <c r="A12587" s="9" t="s">
        <v>25584</v>
      </c>
      <c r="B12587" s="9" t="s">
        <v>25584</v>
      </c>
      <c r="C12587" s="9" t="s">
        <v>66</v>
      </c>
      <c r="D12587" s="9" t="s">
        <v>67</v>
      </c>
      <c r="E12587" s="10" t="s">
        <v>1556</v>
      </c>
      <c r="F12587" s="9" t="s">
        <v>1557</v>
      </c>
      <c r="G12587" s="10" t="s">
        <v>86</v>
      </c>
      <c r="H12587" s="9" t="s">
        <v>22</v>
      </c>
      <c r="I12587" s="9" t="s">
        <v>25585</v>
      </c>
      <c r="J12587" s="10" t="str">
        <f>HYPERLINK("https://www.boe.es/gazeta/dias/1834/06/06/pdfs/GMD-1834-108.pdf#page=2","Abrir facsímil")</f>
        <v>Abrir facsímil</v>
      </c>
      <c r="K12587" s="10" t="s">
        <v>24</v>
      </c>
    </row>
    <row r="12588" spans="1:11" ht="54" customHeight="1">
      <c r="A12588" s="9" t="s">
        <v>25586</v>
      </c>
      <c r="B12588" s="9" t="s">
        <v>25587</v>
      </c>
      <c r="C12588" s="9" t="s">
        <v>17</v>
      </c>
      <c r="D12588" s="9" t="s">
        <v>18</v>
      </c>
      <c r="E12588" s="10" t="s">
        <v>594</v>
      </c>
      <c r="F12588" s="9" t="s">
        <v>595</v>
      </c>
      <c r="G12588" s="10" t="s">
        <v>75</v>
      </c>
      <c r="H12588" s="9" t="s">
        <v>22</v>
      </c>
      <c r="I12588" s="9" t="s">
        <v>25588</v>
      </c>
      <c r="J12588" s="10" t="str">
        <f>HYPERLINK("https://www.boe.es/gazeta/dias/1834/06/01/pdfs/GMD-1834-102.pdf#page=4","Abrir facsímil")</f>
        <v>Abrir facsímil</v>
      </c>
      <c r="K12588" s="10" t="s">
        <v>24</v>
      </c>
    </row>
    <row r="12589" spans="1:11" ht="54" customHeight="1">
      <c r="A12589" s="9" t="s">
        <v>25589</v>
      </c>
      <c r="B12589" s="9" t="s">
        <v>25590</v>
      </c>
      <c r="C12589" s="9" t="s">
        <v>46</v>
      </c>
      <c r="D12589" s="9" t="s">
        <v>101</v>
      </c>
      <c r="E12589" s="10" t="s">
        <v>637</v>
      </c>
      <c r="F12589" s="9" t="s">
        <v>638</v>
      </c>
      <c r="G12589" s="10" t="s">
        <v>86</v>
      </c>
      <c r="H12589" s="9" t="s">
        <v>22</v>
      </c>
      <c r="I12589" s="9" t="s">
        <v>25591</v>
      </c>
      <c r="J12589" s="10" t="str">
        <f>HYPERLINK("https://www.boe.es/gazeta/dias/1834/06/03/pdfs/I00469-00470.pdf#page=2","Abrir facsímil")</f>
        <v>Abrir facsímil</v>
      </c>
      <c r="K12589" s="10" t="s">
        <v>24</v>
      </c>
    </row>
    <row r="12590" spans="1:11" ht="54" customHeight="1">
      <c r="A12590" s="9" t="s">
        <v>25589</v>
      </c>
      <c r="B12590" s="9" t="s">
        <v>25590</v>
      </c>
      <c r="C12590" s="9" t="s">
        <v>46</v>
      </c>
      <c r="D12590" s="9" t="s">
        <v>101</v>
      </c>
      <c r="E12590" s="10" t="s">
        <v>637</v>
      </c>
      <c r="F12590" s="9" t="s">
        <v>638</v>
      </c>
      <c r="G12590" s="10" t="s">
        <v>75</v>
      </c>
      <c r="H12590" s="9" t="s">
        <v>22</v>
      </c>
      <c r="I12590" s="9" t="s">
        <v>25591</v>
      </c>
      <c r="J12590" s="10" t="str">
        <f>HYPERLINK("https://www.boe.es/gazeta/dias/1834/06/03/pdfs/GMD-1834-105.pdf#page=4","Abrir facsímil")</f>
        <v>Abrir facsímil</v>
      </c>
      <c r="K12590" s="10" t="s">
        <v>24</v>
      </c>
    </row>
    <row r="12591" spans="1:11" ht="54" customHeight="1">
      <c r="A12591" s="9" t="s">
        <v>25589</v>
      </c>
      <c r="B12591" s="9" t="s">
        <v>25590</v>
      </c>
      <c r="C12591" s="9" t="s">
        <v>17</v>
      </c>
      <c r="D12591" s="9" t="s">
        <v>18</v>
      </c>
      <c r="E12591" s="10" t="s">
        <v>32</v>
      </c>
      <c r="F12591" s="9" t="s">
        <v>33</v>
      </c>
      <c r="G12591" s="10" t="s">
        <v>28</v>
      </c>
      <c r="H12591" s="9" t="s">
        <v>22</v>
      </c>
      <c r="I12591" s="9" t="s">
        <v>25592</v>
      </c>
      <c r="J12591" s="10" t="str">
        <f>HYPERLINK("https://www.boe.es/gazeta/dias/1834/04/23/pdfs/GMD-1834-62.pdf#page=5","Abrir facsímil")</f>
        <v>Abrir facsímil</v>
      </c>
      <c r="K12591" s="10" t="s">
        <v>24</v>
      </c>
    </row>
    <row r="12592" spans="1:11" ht="54" customHeight="1">
      <c r="A12592" s="9" t="s">
        <v>25589</v>
      </c>
      <c r="B12592" s="9" t="s">
        <v>25590</v>
      </c>
      <c r="C12592" s="9" t="s">
        <v>17</v>
      </c>
      <c r="D12592" s="9" t="s">
        <v>101</v>
      </c>
      <c r="E12592" s="10" t="s">
        <v>371</v>
      </c>
      <c r="F12592" s="9" t="s">
        <v>372</v>
      </c>
      <c r="G12592" s="10" t="s">
        <v>34</v>
      </c>
      <c r="H12592" s="9" t="s">
        <v>22</v>
      </c>
      <c r="I12592" s="9" t="s">
        <v>25593</v>
      </c>
      <c r="J12592" s="10" t="str">
        <f>HYPERLINK("https://www.boe.es/gazeta/dias/1834/05/27/pdfs/GMD-1834-96.pdf#page=1","Abrir facsímil")</f>
        <v>Abrir facsímil</v>
      </c>
      <c r="K12592" s="10" t="s">
        <v>24</v>
      </c>
    </row>
    <row r="12593" spans="1:11" ht="54" customHeight="1">
      <c r="A12593" s="9" t="s">
        <v>25594</v>
      </c>
      <c r="B12593" s="9" t="s">
        <v>25595</v>
      </c>
      <c r="C12593" s="9" t="s">
        <v>46</v>
      </c>
      <c r="D12593" s="9" t="s">
        <v>55</v>
      </c>
      <c r="E12593" s="10" t="s">
        <v>1862</v>
      </c>
      <c r="F12593" s="9" t="s">
        <v>1863</v>
      </c>
      <c r="G12593" s="10" t="s">
        <v>21</v>
      </c>
      <c r="H12593" s="9" t="s">
        <v>22</v>
      </c>
      <c r="I12593" s="9" t="s">
        <v>25596</v>
      </c>
      <c r="J12593" s="10" t="str">
        <f>HYPERLINK("https://www.boe.es/gazeta/dias/1834/02/04/pdfs/GMD-1834-16.pdf#page=3","Abrir facsímil")</f>
        <v>Abrir facsímil</v>
      </c>
      <c r="K12593" s="10" t="s">
        <v>24</v>
      </c>
    </row>
    <row r="12594" spans="1:11" ht="54" customHeight="1">
      <c r="A12594" s="9" t="s">
        <v>25597</v>
      </c>
      <c r="B12594" s="9" t="s">
        <v>25598</v>
      </c>
      <c r="C12594" s="9" t="s">
        <v>17</v>
      </c>
      <c r="D12594" s="9" t="s">
        <v>18</v>
      </c>
      <c r="E12594" s="10" t="s">
        <v>1575</v>
      </c>
      <c r="F12594" s="9" t="s">
        <v>1576</v>
      </c>
      <c r="G12594" s="10" t="s">
        <v>34</v>
      </c>
      <c r="H12594" s="9" t="s">
        <v>22</v>
      </c>
      <c r="I12594" s="9" t="s">
        <v>25599</v>
      </c>
      <c r="J12594" s="10" t="str">
        <f>HYPERLINK("https://www.boe.es/gazeta/dias/1834/11/24/pdfs/GMD-1834-283.pdf#page=1","Abrir facsímil")</f>
        <v>Abrir facsímil</v>
      </c>
      <c r="K12594" s="10" t="s">
        <v>24</v>
      </c>
    </row>
    <row r="12595" spans="1:11" ht="54" customHeight="1">
      <c r="A12595" s="9" t="s">
        <v>25600</v>
      </c>
      <c r="B12595" s="9" t="s">
        <v>25600</v>
      </c>
      <c r="C12595" s="9" t="s">
        <v>17</v>
      </c>
      <c r="D12595" s="9" t="s">
        <v>18</v>
      </c>
      <c r="E12595" s="10" t="s">
        <v>255</v>
      </c>
      <c r="F12595" s="9" t="s">
        <v>256</v>
      </c>
      <c r="G12595" s="10" t="s">
        <v>86</v>
      </c>
      <c r="H12595" s="9" t="s">
        <v>22</v>
      </c>
      <c r="I12595" s="9" t="s">
        <v>25601</v>
      </c>
      <c r="J12595" s="10" t="str">
        <f>HYPERLINK("https://www.boe.es/gazeta/dias/1834/09/01/pdfs/GMD-D-1834-199.pdf#page=2","Abrir facsímil")</f>
        <v>Abrir facsímil</v>
      </c>
      <c r="K12595" s="10" t="s">
        <v>24</v>
      </c>
    </row>
    <row r="12596" spans="1:11" ht="54" customHeight="1">
      <c r="A12596" s="9" t="s">
        <v>25600</v>
      </c>
      <c r="B12596" s="9" t="s">
        <v>25600</v>
      </c>
      <c r="C12596" s="9" t="s">
        <v>17</v>
      </c>
      <c r="D12596" s="9" t="s">
        <v>18</v>
      </c>
      <c r="E12596" s="10" t="s">
        <v>416</v>
      </c>
      <c r="F12596" s="9" t="s">
        <v>417</v>
      </c>
      <c r="G12596" s="10" t="s">
        <v>75</v>
      </c>
      <c r="H12596" s="9" t="s">
        <v>22</v>
      </c>
      <c r="I12596" s="9" t="s">
        <v>25602</v>
      </c>
      <c r="J12596" s="10" t="str">
        <f>HYPERLINK("https://www.boe.es/gazeta/dias/1834/10/02/pdfs/GMD-C-1834-230.pdf#page=4","Abrir facsímil")</f>
        <v>Abrir facsímil</v>
      </c>
      <c r="K12596" s="10" t="s">
        <v>24</v>
      </c>
    </row>
    <row r="12597" spans="1:11" ht="54" customHeight="1">
      <c r="A12597" s="9" t="s">
        <v>25600</v>
      </c>
      <c r="B12597" s="9" t="s">
        <v>25600</v>
      </c>
      <c r="C12597" s="9" t="s">
        <v>17</v>
      </c>
      <c r="D12597" s="9" t="s">
        <v>18</v>
      </c>
      <c r="E12597" s="10" t="s">
        <v>2203</v>
      </c>
      <c r="F12597" s="9" t="s">
        <v>2204</v>
      </c>
      <c r="G12597" s="10" t="s">
        <v>21</v>
      </c>
      <c r="H12597" s="9" t="s">
        <v>22</v>
      </c>
      <c r="I12597" s="9" t="s">
        <v>25603</v>
      </c>
      <c r="J12597" s="10" t="str">
        <f>HYPERLINK("https://www.boe.es/gazeta/dias/1834/09/10/pdfs/GMD-C-1834-208.pdf#page=3","Abrir facsímil")</f>
        <v>Abrir facsímil</v>
      </c>
      <c r="K12597" s="10" t="s">
        <v>24</v>
      </c>
    </row>
    <row r="12598" spans="1:11" ht="54" customHeight="1">
      <c r="A12598" s="9" t="s">
        <v>25600</v>
      </c>
      <c r="B12598" s="9" t="s">
        <v>25600</v>
      </c>
      <c r="C12598" s="9" t="s">
        <v>17</v>
      </c>
      <c r="D12598" s="9" t="s">
        <v>18</v>
      </c>
      <c r="E12598" s="10" t="s">
        <v>1103</v>
      </c>
      <c r="F12598" s="9" t="s">
        <v>1104</v>
      </c>
      <c r="G12598" s="10" t="s">
        <v>21</v>
      </c>
      <c r="H12598" s="9" t="s">
        <v>22</v>
      </c>
      <c r="I12598" s="9" t="s">
        <v>25604</v>
      </c>
      <c r="J12598" s="10" t="str">
        <f>HYPERLINK("https://www.boe.es/gazeta/dias/1834/10/10/pdfs/GMD-C-1834-238.pdf#page=3","Abrir facsímil")</f>
        <v>Abrir facsímil</v>
      </c>
      <c r="K12598" s="10" t="s">
        <v>24</v>
      </c>
    </row>
    <row r="12599" spans="1:11" ht="54" customHeight="1">
      <c r="A12599" s="9" t="s">
        <v>25600</v>
      </c>
      <c r="B12599" s="9" t="s">
        <v>25600</v>
      </c>
      <c r="C12599" s="9" t="s">
        <v>66</v>
      </c>
      <c r="D12599" s="9" t="s">
        <v>67</v>
      </c>
      <c r="E12599" s="10" t="s">
        <v>642</v>
      </c>
      <c r="F12599" s="9" t="s">
        <v>1843</v>
      </c>
      <c r="G12599" s="10" t="s">
        <v>34</v>
      </c>
      <c r="H12599" s="9" t="s">
        <v>22</v>
      </c>
      <c r="I12599" s="9" t="s">
        <v>25605</v>
      </c>
      <c r="J12599" s="10" t="str">
        <f>HYPERLINK("https://www.boe.es/gazeta/dias/1834/11/12/pdfs/GMD-1834-271.pdf#page=1","Abrir facsímil")</f>
        <v>Abrir facsímil</v>
      </c>
      <c r="K12599" s="10" t="s">
        <v>24</v>
      </c>
    </row>
    <row r="12600" spans="1:11" ht="54" customHeight="1">
      <c r="A12600" s="9" t="s">
        <v>25600</v>
      </c>
      <c r="B12600" s="9" t="s">
        <v>25600</v>
      </c>
      <c r="C12600" s="9" t="s">
        <v>122</v>
      </c>
      <c r="D12600" s="9" t="s">
        <v>18</v>
      </c>
      <c r="E12600" s="10" t="s">
        <v>233</v>
      </c>
      <c r="F12600" s="9" t="s">
        <v>1810</v>
      </c>
      <c r="G12600" s="10" t="s">
        <v>28</v>
      </c>
      <c r="H12600" s="9" t="s">
        <v>22</v>
      </c>
      <c r="I12600" s="9" t="s">
        <v>25606</v>
      </c>
      <c r="J12600" s="10" t="str">
        <f>HYPERLINK("https://www.boe.es/gazeta/dias/1834/12/16/pdfs/GMD-C-1834-305.pdf#page=5","Abrir facsímil")</f>
        <v>Abrir facsímil</v>
      </c>
      <c r="K12600" s="10" t="s">
        <v>24</v>
      </c>
    </row>
    <row r="12601" spans="1:11" ht="54" customHeight="1">
      <c r="A12601" s="9" t="s">
        <v>25600</v>
      </c>
      <c r="B12601" s="9" t="s">
        <v>25600</v>
      </c>
      <c r="C12601" s="9" t="s">
        <v>17</v>
      </c>
      <c r="D12601" s="9" t="s">
        <v>18</v>
      </c>
      <c r="E12601" s="10" t="s">
        <v>233</v>
      </c>
      <c r="F12601" s="9" t="s">
        <v>1810</v>
      </c>
      <c r="G12601" s="10" t="s">
        <v>176</v>
      </c>
      <c r="H12601" s="9" t="s">
        <v>22</v>
      </c>
      <c r="I12601" s="9" t="s">
        <v>25607</v>
      </c>
      <c r="J12601" s="10" t="str">
        <f>HYPERLINK("https://www.boe.es/gazeta/dias/1834/12/16/pdfs/GMD-C-1834-305.pdf#page=6","Abrir facsímil")</f>
        <v>Abrir facsímil</v>
      </c>
      <c r="K12601" s="10" t="s">
        <v>24</v>
      </c>
    </row>
    <row r="12602" spans="1:11" ht="54" customHeight="1">
      <c r="A12602" s="9" t="s">
        <v>25600</v>
      </c>
      <c r="B12602" s="9" t="s">
        <v>25600</v>
      </c>
      <c r="C12602" s="9" t="s">
        <v>17</v>
      </c>
      <c r="D12602" s="9" t="s">
        <v>18</v>
      </c>
      <c r="E12602" s="10" t="s">
        <v>233</v>
      </c>
      <c r="F12602" s="9" t="s">
        <v>1810</v>
      </c>
      <c r="G12602" s="10" t="s">
        <v>560</v>
      </c>
      <c r="H12602" s="9" t="s">
        <v>22</v>
      </c>
      <c r="I12602" s="9" t="s">
        <v>25608</v>
      </c>
      <c r="J12602" s="10" t="str">
        <f>HYPERLINK("https://www.boe.es/gazeta/dias/1834/12/16/pdfs/GMD-C-1834-305.pdf#page=7","Abrir facsímil")</f>
        <v>Abrir facsímil</v>
      </c>
      <c r="K12602" s="10" t="s">
        <v>24</v>
      </c>
    </row>
    <row r="12603" spans="1:11" ht="54" customHeight="1">
      <c r="A12603" s="9" t="s">
        <v>25600</v>
      </c>
      <c r="B12603" s="9" t="s">
        <v>25600</v>
      </c>
      <c r="C12603" s="9" t="s">
        <v>46</v>
      </c>
      <c r="D12603" s="9" t="s">
        <v>40</v>
      </c>
      <c r="E12603" s="10" t="s">
        <v>1195</v>
      </c>
      <c r="F12603" s="9" t="s">
        <v>1196</v>
      </c>
      <c r="G12603" s="10" t="s">
        <v>34</v>
      </c>
      <c r="H12603" s="9" t="s">
        <v>22</v>
      </c>
      <c r="I12603" s="9" t="s">
        <v>25609</v>
      </c>
      <c r="J12603" s="10" t="str">
        <f>HYPERLINK("https://www.boe.es/gazeta/dias/1834/10/17/pdfs/GMD-C-1834-245.pdf#page=1","Abrir facsímil")</f>
        <v>Abrir facsímil</v>
      </c>
      <c r="K12603" s="10" t="s">
        <v>24</v>
      </c>
    </row>
    <row r="12604" spans="1:11" ht="54" customHeight="1">
      <c r="A12604" s="9" t="s">
        <v>25600</v>
      </c>
      <c r="B12604" s="9" t="s">
        <v>25600</v>
      </c>
      <c r="C12604" s="9" t="s">
        <v>17</v>
      </c>
      <c r="D12604" s="9" t="s">
        <v>18</v>
      </c>
      <c r="E12604" s="10" t="s">
        <v>268</v>
      </c>
      <c r="F12604" s="9" t="s">
        <v>269</v>
      </c>
      <c r="G12604" s="10" t="s">
        <v>75</v>
      </c>
      <c r="H12604" s="9" t="s">
        <v>22</v>
      </c>
      <c r="I12604" s="9" t="s">
        <v>25610</v>
      </c>
      <c r="J12604" s="10" t="str">
        <f>HYPERLINK("https://www.boe.es/gazeta/dias/1834/12/19/pdfs/GMD-C-1834-309.pdf#page=4","Abrir facsímil")</f>
        <v>Abrir facsímil</v>
      </c>
      <c r="K12604" s="10" t="s">
        <v>24</v>
      </c>
    </row>
    <row r="12605" spans="1:11" ht="54" customHeight="1">
      <c r="A12605" s="9" t="s">
        <v>25600</v>
      </c>
      <c r="B12605" s="9" t="s">
        <v>25600</v>
      </c>
      <c r="C12605" s="9" t="s">
        <v>46</v>
      </c>
      <c r="D12605" s="9" t="s">
        <v>18</v>
      </c>
      <c r="E12605" s="10" t="s">
        <v>627</v>
      </c>
      <c r="F12605" s="9" t="s">
        <v>628</v>
      </c>
      <c r="G12605" s="10" t="s">
        <v>75</v>
      </c>
      <c r="H12605" s="9" t="s">
        <v>22</v>
      </c>
      <c r="I12605" s="9" t="s">
        <v>25611</v>
      </c>
      <c r="J12605" s="10" t="str">
        <f>HYPERLINK("https://www.boe.es/gazeta/dias/1834/09/22/pdfs/GMD-C-1834-220.pdf#page=4","Abrir facsímil")</f>
        <v>Abrir facsímil</v>
      </c>
      <c r="K12605" s="10" t="s">
        <v>24</v>
      </c>
    </row>
    <row r="12606" spans="1:11" ht="54" customHeight="1">
      <c r="A12606" s="9" t="s">
        <v>25600</v>
      </c>
      <c r="B12606" s="9" t="s">
        <v>25600</v>
      </c>
      <c r="C12606" s="9" t="s">
        <v>17</v>
      </c>
      <c r="D12606" s="9" t="s">
        <v>18</v>
      </c>
      <c r="E12606" s="10" t="s">
        <v>702</v>
      </c>
      <c r="F12606" s="9" t="s">
        <v>703</v>
      </c>
      <c r="G12606" s="10" t="s">
        <v>21</v>
      </c>
      <c r="H12606" s="9" t="s">
        <v>22</v>
      </c>
      <c r="I12606" s="9" t="s">
        <v>25612</v>
      </c>
      <c r="J12606" s="10" t="str">
        <f>HYPERLINK("https://www.boe.es/gazeta/dias/1834/11/22/pdfs/GMD-C-1834-281.pdf#page=3","Abrir facsímil")</f>
        <v>Abrir facsímil</v>
      </c>
      <c r="K12606" s="10" t="s">
        <v>24</v>
      </c>
    </row>
    <row r="12607" spans="1:11" ht="54" customHeight="1">
      <c r="A12607" s="9" t="s">
        <v>25600</v>
      </c>
      <c r="B12607" s="9" t="s">
        <v>25600</v>
      </c>
      <c r="C12607" s="9" t="s">
        <v>17</v>
      </c>
      <c r="D12607" s="9" t="s">
        <v>18</v>
      </c>
      <c r="E12607" s="10" t="s">
        <v>510</v>
      </c>
      <c r="F12607" s="9" t="s">
        <v>531</v>
      </c>
      <c r="G12607" s="10" t="s">
        <v>176</v>
      </c>
      <c r="H12607" s="9" t="s">
        <v>22</v>
      </c>
      <c r="I12607" s="9" t="s">
        <v>25613</v>
      </c>
      <c r="J12607" s="10" t="str">
        <f>HYPERLINK("https://www.boe.es/gazeta/dias/1834/11/26/pdfs/GMD-C-1834-285.pdf#page=6","Abrir facsímil")</f>
        <v>Abrir facsímil</v>
      </c>
      <c r="K12607" s="10" t="s">
        <v>24</v>
      </c>
    </row>
    <row r="12608" spans="1:11" ht="54" customHeight="1">
      <c r="A12608" s="9" t="s">
        <v>25600</v>
      </c>
      <c r="B12608" s="9" t="s">
        <v>25600</v>
      </c>
      <c r="C12608" s="9" t="s">
        <v>46</v>
      </c>
      <c r="D12608" s="9" t="s">
        <v>18</v>
      </c>
      <c r="E12608" s="10" t="s">
        <v>294</v>
      </c>
      <c r="F12608" s="9" t="s">
        <v>959</v>
      </c>
      <c r="G12608" s="10" t="s">
        <v>86</v>
      </c>
      <c r="H12608" s="9" t="s">
        <v>22</v>
      </c>
      <c r="I12608" s="9" t="s">
        <v>25614</v>
      </c>
      <c r="J12608" s="10" t="str">
        <f>HYPERLINK("https://www.boe.es/gazeta/dias/1834/09/27/pdfs/GMD-C-1834-225.pdf#page=2","Abrir facsímil")</f>
        <v>Abrir facsímil</v>
      </c>
      <c r="K12608" s="10" t="s">
        <v>24</v>
      </c>
    </row>
    <row r="12609" spans="1:11" ht="54" customHeight="1">
      <c r="A12609" s="9" t="s">
        <v>25600</v>
      </c>
      <c r="B12609" s="9" t="s">
        <v>25600</v>
      </c>
      <c r="C12609" s="9" t="s">
        <v>17</v>
      </c>
      <c r="D12609" s="9" t="s">
        <v>18</v>
      </c>
      <c r="E12609" s="10" t="s">
        <v>294</v>
      </c>
      <c r="F12609" s="9" t="s">
        <v>959</v>
      </c>
      <c r="G12609" s="10" t="s">
        <v>21</v>
      </c>
      <c r="H12609" s="9" t="s">
        <v>22</v>
      </c>
      <c r="I12609" s="9" t="s">
        <v>25615</v>
      </c>
      <c r="J12609" s="10" t="str">
        <f>HYPERLINK("https://www.boe.es/gazeta/dias/1834/09/27/pdfs/GMD-C-1834-225.pdf#page=3","Abrir facsímil")</f>
        <v>Abrir facsímil</v>
      </c>
      <c r="K12609" s="10" t="s">
        <v>24</v>
      </c>
    </row>
    <row r="12610" spans="1:11" ht="54" customHeight="1">
      <c r="A12610" s="9" t="s">
        <v>25600</v>
      </c>
      <c r="B12610" s="9" t="s">
        <v>25600</v>
      </c>
      <c r="C12610" s="9" t="s">
        <v>66</v>
      </c>
      <c r="D12610" s="9" t="s">
        <v>18</v>
      </c>
      <c r="E12610" s="10" t="s">
        <v>465</v>
      </c>
      <c r="F12610" s="9" t="s">
        <v>466</v>
      </c>
      <c r="G12610" s="10" t="s">
        <v>28</v>
      </c>
      <c r="H12610" s="9" t="s">
        <v>22</v>
      </c>
      <c r="I12610" s="9" t="s">
        <v>25616</v>
      </c>
      <c r="J12610" s="10" t="str">
        <f>HYPERLINK("https://www.boe.es/gazeta/dias/1834/11/27/pdfs/GMD-C-1834-286.pdf#page=5","Abrir facsímil")</f>
        <v>Abrir facsímil</v>
      </c>
      <c r="K12610" s="10" t="s">
        <v>24</v>
      </c>
    </row>
    <row r="12611" spans="1:11" ht="54" customHeight="1">
      <c r="A12611" s="9" t="s">
        <v>25617</v>
      </c>
      <c r="B12611" s="9" t="s">
        <v>25618</v>
      </c>
      <c r="C12611" s="9" t="s">
        <v>17</v>
      </c>
      <c r="D12611" s="9" t="s">
        <v>18</v>
      </c>
      <c r="E12611" s="10" t="s">
        <v>642</v>
      </c>
      <c r="F12611" s="9" t="s">
        <v>1843</v>
      </c>
      <c r="G12611" s="10" t="s">
        <v>34</v>
      </c>
      <c r="H12611" s="9" t="s">
        <v>22</v>
      </c>
      <c r="I12611" s="9" t="s">
        <v>25619</v>
      </c>
      <c r="J12611" s="10" t="str">
        <f>HYPERLINK("https://www.boe.es/gazeta/dias/1834/11/12/pdfs/GMD-1834-271.pdf#page=1","Abrir facsímil")</f>
        <v>Abrir facsímil</v>
      </c>
      <c r="K12611" s="10" t="s">
        <v>24</v>
      </c>
    </row>
    <row r="12612" spans="1:11" ht="54" customHeight="1">
      <c r="A12612" s="9" t="s">
        <v>25620</v>
      </c>
      <c r="B12612" s="9" t="s">
        <v>25621</v>
      </c>
      <c r="C12612" s="9" t="s">
        <v>17</v>
      </c>
      <c r="D12612" s="9" t="s">
        <v>18</v>
      </c>
      <c r="E12612" s="10" t="s">
        <v>8279</v>
      </c>
      <c r="F12612" s="9" t="s">
        <v>8280</v>
      </c>
      <c r="G12612" s="10" t="s">
        <v>75</v>
      </c>
      <c r="H12612" s="9" t="s">
        <v>22</v>
      </c>
      <c r="I12612" s="9" t="s">
        <v>25622</v>
      </c>
      <c r="J12612" s="10" t="str">
        <f>HYPERLINK("https://www.boe.es/gazeta/dias/1834/04/22/pdfs/GMD-1834-61.pdf#page=4","Abrir facsímil")</f>
        <v>Abrir facsímil</v>
      </c>
      <c r="K12612" s="10" t="s">
        <v>24</v>
      </c>
    </row>
    <row r="12613" spans="1:11" ht="54" customHeight="1">
      <c r="A12613" s="9" t="s">
        <v>25623</v>
      </c>
      <c r="B12613" s="9" t="s">
        <v>25624</v>
      </c>
      <c r="C12613" s="9" t="s">
        <v>17</v>
      </c>
      <c r="D12613" s="9" t="s">
        <v>18</v>
      </c>
      <c r="E12613" s="10" t="s">
        <v>233</v>
      </c>
      <c r="F12613" s="9" t="s">
        <v>1810</v>
      </c>
      <c r="G12613" s="10" t="s">
        <v>560</v>
      </c>
      <c r="H12613" s="9" t="s">
        <v>22</v>
      </c>
      <c r="I12613" s="9" t="s">
        <v>25625</v>
      </c>
      <c r="J12613" s="10" t="str">
        <f>HYPERLINK("https://www.boe.es/gazeta/dias/1834/12/16/pdfs/GMD-C-1834-305.pdf#page=7","Abrir facsímil")</f>
        <v>Abrir facsímil</v>
      </c>
      <c r="K12613" s="10" t="s">
        <v>24</v>
      </c>
    </row>
    <row r="12614" spans="1:11" ht="54" customHeight="1">
      <c r="A12614" s="9" t="s">
        <v>25626</v>
      </c>
      <c r="B12614" s="9" t="s">
        <v>25627</v>
      </c>
      <c r="C12614" s="9" t="s">
        <v>17</v>
      </c>
      <c r="D12614" s="9" t="s">
        <v>18</v>
      </c>
      <c r="E12614" s="10" t="s">
        <v>233</v>
      </c>
      <c r="F12614" s="9" t="s">
        <v>1810</v>
      </c>
      <c r="G12614" s="10" t="s">
        <v>560</v>
      </c>
      <c r="H12614" s="9" t="s">
        <v>22</v>
      </c>
      <c r="I12614" s="9" t="s">
        <v>25628</v>
      </c>
      <c r="J12614" s="10" t="str">
        <f>HYPERLINK("https://www.boe.es/gazeta/dias/1834/12/16/pdfs/GMD-C-1834-305.pdf#page=7","Abrir facsímil")</f>
        <v>Abrir facsímil</v>
      </c>
      <c r="K12614" s="10" t="s">
        <v>24</v>
      </c>
    </row>
    <row r="12615" spans="1:11" ht="54" customHeight="1">
      <c r="A12615" s="9" t="s">
        <v>25629</v>
      </c>
      <c r="B12615" s="9" t="s">
        <v>25630</v>
      </c>
      <c r="C12615" s="9" t="s">
        <v>66</v>
      </c>
      <c r="D12615" s="9" t="s">
        <v>67</v>
      </c>
      <c r="E12615" s="10" t="s">
        <v>465</v>
      </c>
      <c r="F12615" s="9" t="s">
        <v>466</v>
      </c>
      <c r="G12615" s="10" t="s">
        <v>176</v>
      </c>
      <c r="H12615" s="9" t="s">
        <v>22</v>
      </c>
      <c r="I12615" s="9" t="s">
        <v>25631</v>
      </c>
      <c r="J12615" s="10" t="str">
        <f>HYPERLINK("https://www.boe.es/gazeta/dias/1834/11/27/pdfs/GMD-C-1834-286.pdf#page=6","Abrir facsímil")</f>
        <v>Abrir facsímil</v>
      </c>
      <c r="K12615" s="10" t="s">
        <v>24</v>
      </c>
    </row>
    <row r="12616" spans="1:11" ht="54" customHeight="1">
      <c r="A12616" s="9" t="s">
        <v>25632</v>
      </c>
      <c r="B12616" s="9" t="s">
        <v>25633</v>
      </c>
      <c r="C12616" s="9" t="s">
        <v>90</v>
      </c>
      <c r="D12616" s="9" t="s">
        <v>18</v>
      </c>
      <c r="E12616" s="10" t="s">
        <v>571</v>
      </c>
      <c r="F12616" s="9" t="s">
        <v>572</v>
      </c>
      <c r="G12616" s="10" t="s">
        <v>34</v>
      </c>
      <c r="H12616" s="9" t="s">
        <v>22</v>
      </c>
      <c r="I12616" s="9" t="s">
        <v>25634</v>
      </c>
      <c r="J12616" s="10" t="str">
        <f>HYPERLINK("https://www.boe.es/gazeta/dias/1834/09/04/pdfs/GMD-1834-202.pdf#page=1","Abrir facsímil")</f>
        <v>Abrir facsímil</v>
      </c>
      <c r="K12616" s="10" t="s">
        <v>24</v>
      </c>
    </row>
    <row r="12617" spans="1:11" ht="54" customHeight="1">
      <c r="A12617" s="9" t="s">
        <v>25632</v>
      </c>
      <c r="B12617" s="9" t="s">
        <v>25633</v>
      </c>
      <c r="C12617" s="9" t="s">
        <v>66</v>
      </c>
      <c r="D12617" s="9" t="s">
        <v>67</v>
      </c>
      <c r="E12617" s="10" t="s">
        <v>251</v>
      </c>
      <c r="F12617" s="9" t="s">
        <v>1278</v>
      </c>
      <c r="G12617" s="10" t="s">
        <v>86</v>
      </c>
      <c r="H12617" s="9" t="s">
        <v>22</v>
      </c>
      <c r="I12617" s="9" t="s">
        <v>25635</v>
      </c>
      <c r="J12617" s="10" t="str">
        <f>HYPERLINK("https://www.boe.es/gazeta/dias/1834/09/26/pdfs/GMD-1834-224.pdf#page=2","Abrir facsímil")</f>
        <v>Abrir facsímil</v>
      </c>
      <c r="K12617" s="10" t="s">
        <v>24</v>
      </c>
    </row>
    <row r="12618" spans="1:11" ht="54" customHeight="1">
      <c r="A12618" s="9" t="s">
        <v>25636</v>
      </c>
      <c r="B12618" s="9" t="s">
        <v>25637</v>
      </c>
      <c r="C12618" s="9" t="s">
        <v>46</v>
      </c>
      <c r="D12618" s="9" t="s">
        <v>55</v>
      </c>
      <c r="E12618" s="10" t="s">
        <v>1661</v>
      </c>
      <c r="F12618" s="9" t="s">
        <v>1662</v>
      </c>
      <c r="G12618" s="10" t="s">
        <v>34</v>
      </c>
      <c r="H12618" s="9" t="s">
        <v>22</v>
      </c>
      <c r="I12618" s="9" t="s">
        <v>25638</v>
      </c>
      <c r="J12618" s="10" t="str">
        <f>HYPERLINK("https://www.boe.es/gazeta/dias/1834/04/06/pdfs/GMD-1834-45.pdf#page=1","Abrir facsímil")</f>
        <v>Abrir facsímil</v>
      </c>
      <c r="K12618" s="10" t="s">
        <v>24</v>
      </c>
    </row>
    <row r="12619" spans="1:11" ht="54" customHeight="1">
      <c r="A12619" s="9" t="s">
        <v>25636</v>
      </c>
      <c r="B12619" s="9" t="s">
        <v>25637</v>
      </c>
      <c r="C12619" s="9" t="s">
        <v>122</v>
      </c>
      <c r="D12619" s="9" t="s">
        <v>101</v>
      </c>
      <c r="E12619" s="10" t="s">
        <v>1918</v>
      </c>
      <c r="F12619" s="9" t="s">
        <v>1919</v>
      </c>
      <c r="G12619" s="10" t="s">
        <v>86</v>
      </c>
      <c r="H12619" s="9" t="s">
        <v>22</v>
      </c>
      <c r="I12619" s="9" t="s">
        <v>25639</v>
      </c>
      <c r="J12619" s="10" t="str">
        <f>HYPERLINK("https://www.boe.es/gazeta/dias/1834/03/22/pdfs/GMD-1834-36.pdf#page=2","Abrir facsímil")</f>
        <v>Abrir facsímil</v>
      </c>
      <c r="K12619" s="10" t="s">
        <v>24</v>
      </c>
    </row>
    <row r="12620" spans="1:11" ht="54" customHeight="1">
      <c r="A12620" s="9" t="s">
        <v>25640</v>
      </c>
      <c r="B12620" s="9" t="s">
        <v>25641</v>
      </c>
      <c r="C12620" s="9" t="s">
        <v>17</v>
      </c>
      <c r="D12620" s="9" t="s">
        <v>18</v>
      </c>
      <c r="E12620" s="10" t="s">
        <v>905</v>
      </c>
      <c r="F12620" s="9" t="s">
        <v>1651</v>
      </c>
      <c r="G12620" s="10" t="s">
        <v>21</v>
      </c>
      <c r="H12620" s="9" t="s">
        <v>22</v>
      </c>
      <c r="I12620" s="9" t="s">
        <v>25642</v>
      </c>
      <c r="J12620" s="10" t="str">
        <f>HYPERLINK("https://www.boe.es/gazeta/dias/1834/08/02/pdfs/GMD-1834-166.pdf#page=3","Abrir facsímil")</f>
        <v>Abrir facsímil</v>
      </c>
      <c r="K12620" s="10" t="s">
        <v>24</v>
      </c>
    </row>
    <row r="12621" spans="1:11" ht="54" customHeight="1">
      <c r="A12621" s="9" t="s">
        <v>25643</v>
      </c>
      <c r="B12621" s="9" t="s">
        <v>25644</v>
      </c>
      <c r="C12621" s="9" t="s">
        <v>17</v>
      </c>
      <c r="D12621" s="9" t="s">
        <v>18</v>
      </c>
      <c r="E12621" s="10" t="s">
        <v>1170</v>
      </c>
      <c r="F12621" s="9" t="s">
        <v>1171</v>
      </c>
      <c r="G12621" s="10" t="s">
        <v>176</v>
      </c>
      <c r="H12621" s="9" t="s">
        <v>22</v>
      </c>
      <c r="I12621" s="9" t="s">
        <v>25645</v>
      </c>
      <c r="J12621" s="10" t="str">
        <f>HYPERLINK("https://www.boe.es/gazeta/dias/1834/01/07/pdfs/GMD-1834-4.pdf#page=6","Abrir facsímil")</f>
        <v>Abrir facsímil</v>
      </c>
      <c r="K12621" s="10" t="s">
        <v>24</v>
      </c>
    </row>
    <row r="12622" spans="1:11" ht="54" customHeight="1">
      <c r="A12622" s="9" t="s">
        <v>25646</v>
      </c>
      <c r="B12622" s="9" t="s">
        <v>25647</v>
      </c>
      <c r="C12622" s="9" t="s">
        <v>17</v>
      </c>
      <c r="D12622" s="9" t="s">
        <v>18</v>
      </c>
      <c r="E12622" s="10" t="s">
        <v>2142</v>
      </c>
      <c r="F12622" s="9" t="s">
        <v>2143</v>
      </c>
      <c r="G12622" s="10" t="s">
        <v>21</v>
      </c>
      <c r="H12622" s="9" t="s">
        <v>22</v>
      </c>
      <c r="I12622" s="9" t="s">
        <v>25648</v>
      </c>
      <c r="J12622" s="10" t="str">
        <f>HYPERLINK("https://www.boe.es/gazeta/dias/1834/12/27/pdfs/GMD-1834-317.pdf#page=3","Abrir facsímil")</f>
        <v>Abrir facsímil</v>
      </c>
      <c r="K12622" s="10" t="s">
        <v>24</v>
      </c>
    </row>
    <row r="12623" spans="1:11" ht="54" customHeight="1">
      <c r="A12623" s="9" t="s">
        <v>25649</v>
      </c>
      <c r="B12623" s="9" t="s">
        <v>25650</v>
      </c>
      <c r="C12623" s="9" t="s">
        <v>66</v>
      </c>
      <c r="D12623" s="9" t="s">
        <v>67</v>
      </c>
      <c r="E12623" s="10" t="s">
        <v>438</v>
      </c>
      <c r="F12623" s="9" t="s">
        <v>439</v>
      </c>
      <c r="G12623" s="10" t="s">
        <v>86</v>
      </c>
      <c r="H12623" s="9" t="s">
        <v>22</v>
      </c>
      <c r="I12623" s="9" t="s">
        <v>25651</v>
      </c>
      <c r="J12623" s="10" t="str">
        <f>HYPERLINK("https://www.boe.es/gazeta/dias/1834/11/09/pdfs/GMD-1834-268.pdf#page=2","Abrir facsímil")</f>
        <v>Abrir facsímil</v>
      </c>
      <c r="K12623" s="10" t="s">
        <v>24</v>
      </c>
    </row>
    <row r="12624" spans="1:11" ht="54" customHeight="1">
      <c r="A12624" s="9" t="s">
        <v>25652</v>
      </c>
      <c r="B12624" s="9" t="s">
        <v>25653</v>
      </c>
      <c r="C12624" s="9" t="s">
        <v>17</v>
      </c>
      <c r="D12624" s="9" t="s">
        <v>18</v>
      </c>
      <c r="E12624" s="10" t="s">
        <v>860</v>
      </c>
      <c r="F12624" s="9" t="s">
        <v>861</v>
      </c>
      <c r="G12624" s="10" t="s">
        <v>560</v>
      </c>
      <c r="H12624" s="9" t="s">
        <v>22</v>
      </c>
      <c r="I12624" s="9" t="s">
        <v>25654</v>
      </c>
      <c r="J12624" s="10" t="str">
        <f>HYPERLINK("https://www.boe.es/gazeta/dias/1834/02/08/pdfs/GMD-1834-18.pdf#page=7","Abrir facsímil")</f>
        <v>Abrir facsímil</v>
      </c>
      <c r="K12624" s="10" t="s">
        <v>24</v>
      </c>
    </row>
    <row r="12625" spans="1:11" ht="54" customHeight="1">
      <c r="A12625" s="9" t="s">
        <v>25655</v>
      </c>
      <c r="B12625" s="9" t="s">
        <v>25655</v>
      </c>
      <c r="C12625" s="9" t="s">
        <v>66</v>
      </c>
      <c r="D12625" s="9" t="s">
        <v>18</v>
      </c>
      <c r="E12625" s="10" t="s">
        <v>233</v>
      </c>
      <c r="F12625" s="9" t="s">
        <v>1810</v>
      </c>
      <c r="G12625" s="10" t="s">
        <v>560</v>
      </c>
      <c r="H12625" s="9" t="s">
        <v>22</v>
      </c>
      <c r="I12625" s="9" t="s">
        <v>25656</v>
      </c>
      <c r="J12625" s="10" t="str">
        <f>HYPERLINK("https://www.boe.es/gazeta/dias/1834/12/16/pdfs/GMD-C-1834-305.pdf#page=7","Abrir facsímil")</f>
        <v>Abrir facsímil</v>
      </c>
      <c r="K12625" s="10" t="s">
        <v>24</v>
      </c>
    </row>
    <row r="12626" spans="1:11" ht="54" customHeight="1">
      <c r="A12626" s="9" t="s">
        <v>25657</v>
      </c>
      <c r="B12626" s="9" t="s">
        <v>25658</v>
      </c>
      <c r="C12626" s="9" t="s">
        <v>90</v>
      </c>
      <c r="D12626" s="9" t="s">
        <v>18</v>
      </c>
      <c r="E12626" s="10" t="s">
        <v>1008</v>
      </c>
      <c r="F12626" s="9" t="s">
        <v>1009</v>
      </c>
      <c r="G12626" s="10" t="s">
        <v>34</v>
      </c>
      <c r="H12626" s="9" t="s">
        <v>35</v>
      </c>
      <c r="I12626" s="9" t="s">
        <v>25659</v>
      </c>
      <c r="J12626" s="10" t="str">
        <f>HYPERLINK("https://www.boe.es/gazeta/dias/1834/11/08/pdfs/GMD-C-1834-267.pdf#page=1","Abrir facsímil")</f>
        <v>Abrir facsímil</v>
      </c>
      <c r="K12626" s="10" t="s">
        <v>37</v>
      </c>
    </row>
    <row r="12627" spans="1:11" ht="54" customHeight="1">
      <c r="A12627" s="9" t="s">
        <v>25660</v>
      </c>
      <c r="B12627" s="9" t="s">
        <v>25661</v>
      </c>
      <c r="C12627" s="9" t="s">
        <v>90</v>
      </c>
      <c r="D12627" s="9" t="s">
        <v>18</v>
      </c>
      <c r="E12627" s="10" t="s">
        <v>1008</v>
      </c>
      <c r="F12627" s="9" t="s">
        <v>1009</v>
      </c>
      <c r="G12627" s="10" t="s">
        <v>34</v>
      </c>
      <c r="H12627" s="9" t="s">
        <v>22</v>
      </c>
      <c r="I12627" s="9" t="s">
        <v>25662</v>
      </c>
      <c r="J12627" s="10" t="str">
        <f>HYPERLINK("https://www.boe.es/gazeta/dias/1834/11/08/pdfs/GMD-C-1834-267.pdf#page=1","Abrir facsímil")</f>
        <v>Abrir facsímil</v>
      </c>
      <c r="K12627" s="10" t="s">
        <v>24</v>
      </c>
    </row>
    <row r="12628" spans="1:11" ht="54" customHeight="1">
      <c r="A12628" s="9" t="s">
        <v>25663</v>
      </c>
      <c r="B12628" s="9" t="s">
        <v>25664</v>
      </c>
      <c r="C12628" s="9" t="s">
        <v>17</v>
      </c>
      <c r="D12628" s="9" t="s">
        <v>40</v>
      </c>
      <c r="E12628" s="10" t="s">
        <v>339</v>
      </c>
      <c r="F12628" s="9" t="s">
        <v>340</v>
      </c>
      <c r="G12628" s="10" t="s">
        <v>21</v>
      </c>
      <c r="H12628" s="9" t="s">
        <v>22</v>
      </c>
      <c r="I12628" s="9" t="s">
        <v>25665</v>
      </c>
      <c r="J12628" s="10" t="str">
        <f>HYPERLINK("https://www.boe.es/gazeta/dias/1834/05/02/pdfs/GMD-1834-71.pdf#page=3","Abrir facsímil")</f>
        <v>Abrir facsímil</v>
      </c>
      <c r="K12628" s="10" t="s">
        <v>24</v>
      </c>
    </row>
    <row r="12629" spans="1:11" ht="54" customHeight="1">
      <c r="A12629" s="9" t="s">
        <v>25666</v>
      </c>
      <c r="B12629" s="9" t="s">
        <v>25666</v>
      </c>
      <c r="C12629" s="9" t="s">
        <v>17</v>
      </c>
      <c r="D12629" s="9" t="s">
        <v>18</v>
      </c>
      <c r="E12629" s="10" t="s">
        <v>280</v>
      </c>
      <c r="F12629" s="9" t="s">
        <v>3217</v>
      </c>
      <c r="G12629" s="10" t="s">
        <v>86</v>
      </c>
      <c r="H12629" s="9" t="s">
        <v>22</v>
      </c>
      <c r="I12629" s="9" t="s">
        <v>25667</v>
      </c>
      <c r="J12629" s="10" t="str">
        <f>HYPERLINK("https://www.boe.es/gazeta/dias/1834/08/29/pdfs/GMD-1834-195.pdf#page=2","Abrir facsímil")</f>
        <v>Abrir facsímil</v>
      </c>
      <c r="K12629" s="10" t="s">
        <v>24</v>
      </c>
    </row>
    <row r="12630" spans="1:11" ht="54" customHeight="1">
      <c r="A12630" s="9" t="s">
        <v>25668</v>
      </c>
      <c r="B12630" s="9" t="s">
        <v>25669</v>
      </c>
      <c r="C12630" s="9" t="s">
        <v>17</v>
      </c>
      <c r="D12630" s="9" t="s">
        <v>18</v>
      </c>
      <c r="E12630" s="10" t="s">
        <v>273</v>
      </c>
      <c r="F12630" s="9" t="s">
        <v>413</v>
      </c>
      <c r="G12630" s="10" t="s">
        <v>21</v>
      </c>
      <c r="H12630" s="9" t="s">
        <v>22</v>
      </c>
      <c r="I12630" s="9" t="s">
        <v>25670</v>
      </c>
      <c r="J12630" s="10" t="str">
        <f>HYPERLINK("https://www.boe.es/gazeta/dias/1834/08/31/pdfs/GMD-1834-198.pdf#page=3","Abrir facsímil")</f>
        <v>Abrir facsímil</v>
      </c>
      <c r="K12630" s="10" t="s">
        <v>24</v>
      </c>
    </row>
    <row r="12631" spans="1:11" ht="54" customHeight="1">
      <c r="A12631" s="9" t="s">
        <v>25671</v>
      </c>
      <c r="B12631" s="9" t="s">
        <v>25671</v>
      </c>
      <c r="C12631" s="9" t="s">
        <v>90</v>
      </c>
      <c r="D12631" s="9" t="s">
        <v>55</v>
      </c>
      <c r="E12631" s="10" t="s">
        <v>1680</v>
      </c>
      <c r="F12631" s="9" t="s">
        <v>1681</v>
      </c>
      <c r="G12631" s="10" t="s">
        <v>86</v>
      </c>
      <c r="H12631" s="9" t="s">
        <v>22</v>
      </c>
      <c r="I12631" s="9" t="s">
        <v>25672</v>
      </c>
      <c r="J12631" s="10" t="str">
        <f>HYPERLINK("https://www.boe.es/gazeta/dias/1834/02/27/pdfs/GMD-1834-26.pdf#page=2","Abrir facsímil")</f>
        <v>Abrir facsímil</v>
      </c>
      <c r="K12631" s="10" t="s">
        <v>24</v>
      </c>
    </row>
    <row r="12632" spans="1:11" ht="54" customHeight="1">
      <c r="A12632" s="9" t="s">
        <v>25673</v>
      </c>
      <c r="B12632" s="9" t="s">
        <v>25673</v>
      </c>
      <c r="C12632" s="9" t="s">
        <v>122</v>
      </c>
      <c r="D12632" s="9" t="s">
        <v>55</v>
      </c>
      <c r="E12632" s="10" t="s">
        <v>1337</v>
      </c>
      <c r="F12632" s="9" t="s">
        <v>1338</v>
      </c>
      <c r="G12632" s="10" t="s">
        <v>86</v>
      </c>
      <c r="H12632" s="9" t="s">
        <v>22</v>
      </c>
      <c r="I12632" s="9" t="s">
        <v>25674</v>
      </c>
      <c r="J12632" s="10" t="str">
        <f>HYPERLINK("https://www.boe.es/gazeta/dias/1834/01/02/pdfs/GMD-1834-1.pdf#page=2","Abrir facsímil")</f>
        <v>Abrir facsímil</v>
      </c>
      <c r="K12632" s="10" t="s">
        <v>24</v>
      </c>
    </row>
    <row r="12633" spans="1:11" ht="54" customHeight="1">
      <c r="A12633" s="9" t="s">
        <v>25673</v>
      </c>
      <c r="B12633" s="9" t="s">
        <v>25673</v>
      </c>
      <c r="C12633" s="9" t="s">
        <v>17</v>
      </c>
      <c r="D12633" s="9" t="s">
        <v>18</v>
      </c>
      <c r="E12633" s="10" t="s">
        <v>1597</v>
      </c>
      <c r="F12633" s="9" t="s">
        <v>1598</v>
      </c>
      <c r="G12633" s="10" t="s">
        <v>86</v>
      </c>
      <c r="H12633" s="9" t="s">
        <v>22</v>
      </c>
      <c r="I12633" s="9" t="s">
        <v>25675</v>
      </c>
      <c r="J12633" s="10" t="str">
        <f>HYPERLINK("https://www.boe.es/gazeta/dias/1834/10/03/pdfs/GMD-1834-231.pdf#page=2","Abrir facsímil")</f>
        <v>Abrir facsímil</v>
      </c>
      <c r="K12633" s="10" t="s">
        <v>24</v>
      </c>
    </row>
    <row r="12634" spans="1:11" ht="54" customHeight="1">
      <c r="A12634" s="9" t="s">
        <v>25673</v>
      </c>
      <c r="B12634" s="9" t="s">
        <v>25673</v>
      </c>
      <c r="C12634" s="9" t="s">
        <v>17</v>
      </c>
      <c r="D12634" s="9" t="s">
        <v>18</v>
      </c>
      <c r="E12634" s="10" t="s">
        <v>2865</v>
      </c>
      <c r="F12634" s="9" t="s">
        <v>2866</v>
      </c>
      <c r="G12634" s="10" t="s">
        <v>86</v>
      </c>
      <c r="H12634" s="9" t="s">
        <v>22</v>
      </c>
      <c r="I12634" s="9" t="s">
        <v>25676</v>
      </c>
      <c r="J12634" s="10" t="str">
        <f>HYPERLINK("https://www.boe.es/gazeta/dias/1834/07/06/pdfs/GMD-1834-139.pdf#page=2","Abrir facsímil")</f>
        <v>Abrir facsímil</v>
      </c>
      <c r="K12634" s="10" t="s">
        <v>24</v>
      </c>
    </row>
    <row r="12635" spans="1:11" ht="54" customHeight="1">
      <c r="A12635" s="9" t="s">
        <v>25673</v>
      </c>
      <c r="B12635" s="9" t="s">
        <v>25673</v>
      </c>
      <c r="C12635" s="9" t="s">
        <v>17</v>
      </c>
      <c r="D12635" s="9" t="s">
        <v>18</v>
      </c>
      <c r="E12635" s="10" t="s">
        <v>663</v>
      </c>
      <c r="F12635" s="9" t="s">
        <v>664</v>
      </c>
      <c r="G12635" s="10" t="s">
        <v>21</v>
      </c>
      <c r="H12635" s="9" t="s">
        <v>22</v>
      </c>
      <c r="I12635" s="9" t="s">
        <v>25677</v>
      </c>
      <c r="J12635" s="10" t="str">
        <f>HYPERLINK("https://www.boe.es/gazeta/dias/1834/07/16/pdfs/GMD-1834-149.pdf#page=3","Abrir facsímil")</f>
        <v>Abrir facsímil</v>
      </c>
      <c r="K12635" s="10" t="s">
        <v>24</v>
      </c>
    </row>
    <row r="12636" spans="1:11" ht="54" customHeight="1">
      <c r="A12636" s="9" t="s">
        <v>25673</v>
      </c>
      <c r="B12636" s="9" t="s">
        <v>25673</v>
      </c>
      <c r="C12636" s="9" t="s">
        <v>17</v>
      </c>
      <c r="D12636" s="9" t="s">
        <v>18</v>
      </c>
      <c r="E12636" s="10" t="s">
        <v>138</v>
      </c>
      <c r="F12636" s="9" t="s">
        <v>139</v>
      </c>
      <c r="G12636" s="10" t="s">
        <v>75</v>
      </c>
      <c r="H12636" s="9" t="s">
        <v>22</v>
      </c>
      <c r="I12636" s="9" t="s">
        <v>25678</v>
      </c>
      <c r="J12636" s="10" t="str">
        <f>HYPERLINK("https://www.boe.es/gazeta/dias/1834/05/17/pdfs/GMD-1834-86.pdf#page=4","Abrir facsímil")</f>
        <v>Abrir facsímil</v>
      </c>
      <c r="K12636" s="10" t="s">
        <v>24</v>
      </c>
    </row>
    <row r="12637" spans="1:11" ht="54" customHeight="1">
      <c r="A12637" s="9" t="s">
        <v>25673</v>
      </c>
      <c r="B12637" s="9" t="s">
        <v>25673</v>
      </c>
      <c r="C12637" s="9" t="s">
        <v>66</v>
      </c>
      <c r="D12637" s="9" t="s">
        <v>67</v>
      </c>
      <c r="E12637" s="10" t="s">
        <v>563</v>
      </c>
      <c r="F12637" s="9" t="s">
        <v>5858</v>
      </c>
      <c r="G12637" s="10" t="s">
        <v>86</v>
      </c>
      <c r="H12637" s="9" t="s">
        <v>22</v>
      </c>
      <c r="I12637" s="9" t="s">
        <v>25679</v>
      </c>
      <c r="J12637" s="10" t="str">
        <f>HYPERLINK("https://www.boe.es/gazeta/dias/1834/04/19/pdfs/GMD-C-1834-58.pdf#page=2","Abrir facsímil")</f>
        <v>Abrir facsímil</v>
      </c>
      <c r="K12637" s="10" t="s">
        <v>24</v>
      </c>
    </row>
    <row r="12638" spans="1:11" ht="54" customHeight="1">
      <c r="A12638" s="9" t="s">
        <v>25673</v>
      </c>
      <c r="B12638" s="9" t="s">
        <v>25673</v>
      </c>
      <c r="C12638" s="9" t="s">
        <v>17</v>
      </c>
      <c r="D12638" s="9" t="s">
        <v>18</v>
      </c>
      <c r="E12638" s="10" t="s">
        <v>753</v>
      </c>
      <c r="F12638" s="9" t="s">
        <v>754</v>
      </c>
      <c r="G12638" s="10" t="s">
        <v>75</v>
      </c>
      <c r="H12638" s="9" t="s">
        <v>22</v>
      </c>
      <c r="I12638" s="9" t="s">
        <v>25680</v>
      </c>
      <c r="J12638" s="10" t="str">
        <f>HYPERLINK("https://www.boe.es/gazeta/dias/1834/04/21/pdfs/GMD-1834-60.pdf#page=4","Abrir facsímil")</f>
        <v>Abrir facsímil</v>
      </c>
      <c r="K12638" s="10" t="s">
        <v>24</v>
      </c>
    </row>
    <row r="12639" spans="1:11" ht="54" customHeight="1">
      <c r="A12639" s="9" t="s">
        <v>25673</v>
      </c>
      <c r="B12639" s="9" t="s">
        <v>25673</v>
      </c>
      <c r="C12639" s="9" t="s">
        <v>17</v>
      </c>
      <c r="D12639" s="9" t="s">
        <v>55</v>
      </c>
      <c r="E12639" s="10" t="s">
        <v>513</v>
      </c>
      <c r="F12639" s="9" t="s">
        <v>514</v>
      </c>
      <c r="G12639" s="10" t="s">
        <v>28</v>
      </c>
      <c r="H12639" s="9" t="s">
        <v>22</v>
      </c>
      <c r="I12639" s="9" t="s">
        <v>25681</v>
      </c>
      <c r="J12639" s="10" t="str">
        <f>HYPERLINK("https://www.boe.es/gazeta/dias/1834/04/27/pdfs/GMD-1834-66.pdf#page=5","Abrir facsímil")</f>
        <v>Abrir facsímil</v>
      </c>
      <c r="K12639" s="10" t="s">
        <v>24</v>
      </c>
    </row>
    <row r="12640" spans="1:11" ht="54" customHeight="1">
      <c r="A12640" s="9" t="s">
        <v>25682</v>
      </c>
      <c r="B12640" s="9" t="s">
        <v>25683</v>
      </c>
      <c r="C12640" s="9" t="s">
        <v>17</v>
      </c>
      <c r="D12640" s="9" t="s">
        <v>18</v>
      </c>
      <c r="E12640" s="10" t="s">
        <v>813</v>
      </c>
      <c r="F12640" s="9" t="s">
        <v>814</v>
      </c>
      <c r="G12640" s="10" t="s">
        <v>21</v>
      </c>
      <c r="H12640" s="9" t="s">
        <v>22</v>
      </c>
      <c r="I12640" s="9" t="s">
        <v>25684</v>
      </c>
      <c r="J12640" s="10" t="str">
        <f>HYPERLINK("https://www.boe.es/gazeta/dias/1834/08/08/pdfs/GMD-1834-173.pdf#page=3","Abrir facsímil")</f>
        <v>Abrir facsímil</v>
      </c>
      <c r="K12640" s="10" t="s">
        <v>24</v>
      </c>
    </row>
    <row r="12641" spans="1:11" ht="54" customHeight="1">
      <c r="A12641" s="9" t="s">
        <v>25682</v>
      </c>
      <c r="B12641" s="9" t="s">
        <v>25683</v>
      </c>
      <c r="C12641" s="9" t="s">
        <v>17</v>
      </c>
      <c r="D12641" s="9" t="s">
        <v>18</v>
      </c>
      <c r="E12641" s="10" t="s">
        <v>1981</v>
      </c>
      <c r="F12641" s="9" t="s">
        <v>1982</v>
      </c>
      <c r="G12641" s="10" t="s">
        <v>75</v>
      </c>
      <c r="H12641" s="9" t="s">
        <v>22</v>
      </c>
      <c r="I12641" s="9" t="s">
        <v>25685</v>
      </c>
      <c r="J12641" s="10" t="str">
        <f>HYPERLINK("https://www.boe.es/gazeta/dias/1834/12/13/pdfs/GMD-1834-302.pdf#page=4","Abrir facsímil")</f>
        <v>Abrir facsímil</v>
      </c>
      <c r="K12641" s="10" t="s">
        <v>24</v>
      </c>
    </row>
    <row r="12642" spans="1:11" ht="54" customHeight="1">
      <c r="A12642" s="9" t="s">
        <v>25686</v>
      </c>
      <c r="B12642" s="9" t="s">
        <v>25687</v>
      </c>
      <c r="C12642" s="9" t="s">
        <v>17</v>
      </c>
      <c r="D12642" s="9" t="s">
        <v>18</v>
      </c>
      <c r="E12642" s="10" t="s">
        <v>627</v>
      </c>
      <c r="F12642" s="9" t="s">
        <v>1013</v>
      </c>
      <c r="G12642" s="10" t="s">
        <v>21</v>
      </c>
      <c r="H12642" s="9" t="s">
        <v>22</v>
      </c>
      <c r="I12642" s="9" t="s">
        <v>25688</v>
      </c>
      <c r="J12642" s="10" t="str">
        <f>HYPERLINK("https://www.boe.es/gazeta/dias/1834/09/22/pdfs/GMD-1834-220.pdf#page=3","Abrir facsímil")</f>
        <v>Abrir facsímil</v>
      </c>
      <c r="K12642" s="10" t="s">
        <v>24</v>
      </c>
    </row>
    <row r="12643" spans="1:11" ht="54" customHeight="1">
      <c r="A12643" s="9" t="s">
        <v>25689</v>
      </c>
      <c r="B12643" s="9" t="s">
        <v>25690</v>
      </c>
      <c r="C12643" s="9" t="s">
        <v>17</v>
      </c>
      <c r="D12643" s="9" t="s">
        <v>18</v>
      </c>
      <c r="E12643" s="10" t="s">
        <v>1008</v>
      </c>
      <c r="F12643" s="9" t="s">
        <v>2991</v>
      </c>
      <c r="G12643" s="10" t="s">
        <v>75</v>
      </c>
      <c r="H12643" s="9" t="s">
        <v>35</v>
      </c>
      <c r="I12643" s="9" t="s">
        <v>25691</v>
      </c>
      <c r="J12643" s="10" t="str">
        <f>HYPERLINK("https://www.boe.es/gazeta/dias/1834/11/08/pdfs/GMD-1834-267.pdf#page=4","Abrir facsímil")</f>
        <v>Abrir facsímil</v>
      </c>
      <c r="K12643" s="10" t="s">
        <v>37</v>
      </c>
    </row>
    <row r="12644" spans="1:11" ht="54" customHeight="1">
      <c r="A12644" s="9" t="s">
        <v>25692</v>
      </c>
      <c r="B12644" s="9" t="s">
        <v>25693</v>
      </c>
      <c r="C12644" s="9" t="s">
        <v>122</v>
      </c>
      <c r="D12644" s="9" t="s">
        <v>18</v>
      </c>
      <c r="E12644" s="10" t="s">
        <v>838</v>
      </c>
      <c r="F12644" s="9" t="s">
        <v>839</v>
      </c>
      <c r="G12644" s="10" t="s">
        <v>75</v>
      </c>
      <c r="H12644" s="9" t="s">
        <v>22</v>
      </c>
      <c r="I12644" s="9" t="s">
        <v>25694</v>
      </c>
      <c r="J12644" s="10" t="str">
        <f>HYPERLINK("https://www.boe.es/gazeta/dias/1834/07/18/pdfs/GMD-1834-151.pdf#page=4","Abrir facsímil")</f>
        <v>Abrir facsímil</v>
      </c>
      <c r="K12644" s="10" t="s">
        <v>24</v>
      </c>
    </row>
    <row r="12645" spans="1:11" ht="54" customHeight="1">
      <c r="A12645" s="9" t="s">
        <v>25695</v>
      </c>
      <c r="B12645" s="9" t="s">
        <v>25696</v>
      </c>
      <c r="C12645" s="9" t="s">
        <v>17</v>
      </c>
      <c r="D12645" s="9" t="s">
        <v>18</v>
      </c>
      <c r="E12645" s="10" t="s">
        <v>209</v>
      </c>
      <c r="F12645" s="9" t="s">
        <v>210</v>
      </c>
      <c r="G12645" s="10" t="s">
        <v>21</v>
      </c>
      <c r="H12645" s="9" t="s">
        <v>22</v>
      </c>
      <c r="I12645" s="9" t="s">
        <v>25697</v>
      </c>
      <c r="J12645" s="10" t="str">
        <f>HYPERLINK("https://www.boe.es/gazeta/dias/1834/07/01/pdfs/GMD-1834-134.pdf#page=3","Abrir facsímil")</f>
        <v>Abrir facsímil</v>
      </c>
      <c r="K12645" s="10" t="s">
        <v>24</v>
      </c>
    </row>
    <row r="12646" spans="1:11" ht="54" customHeight="1">
      <c r="A12646" s="9" t="s">
        <v>25695</v>
      </c>
      <c r="B12646" s="9" t="s">
        <v>25696</v>
      </c>
      <c r="C12646" s="9" t="s">
        <v>17</v>
      </c>
      <c r="D12646" s="9" t="s">
        <v>18</v>
      </c>
      <c r="E12646" s="10" t="s">
        <v>2053</v>
      </c>
      <c r="F12646" s="9" t="s">
        <v>2054</v>
      </c>
      <c r="G12646" s="10" t="s">
        <v>75</v>
      </c>
      <c r="H12646" s="9" t="s">
        <v>22</v>
      </c>
      <c r="I12646" s="9" t="s">
        <v>25698</v>
      </c>
      <c r="J12646" s="10" t="str">
        <f>HYPERLINK("https://www.boe.es/gazeta/dias/1834/06/02/pdfs/GMD-1834-103.pdf#page=4","Abrir facsímil")</f>
        <v>Abrir facsímil</v>
      </c>
      <c r="K12646" s="10" t="s">
        <v>24</v>
      </c>
    </row>
    <row r="12647" spans="1:11" ht="54" customHeight="1">
      <c r="A12647" s="9" t="s">
        <v>25695</v>
      </c>
      <c r="B12647" s="9" t="s">
        <v>25696</v>
      </c>
      <c r="C12647" s="9" t="s">
        <v>17</v>
      </c>
      <c r="D12647" s="9" t="s">
        <v>18</v>
      </c>
      <c r="E12647" s="10" t="s">
        <v>1116</v>
      </c>
      <c r="F12647" s="9" t="s">
        <v>1117</v>
      </c>
      <c r="G12647" s="10" t="s">
        <v>75</v>
      </c>
      <c r="H12647" s="9" t="s">
        <v>22</v>
      </c>
      <c r="I12647" s="9" t="s">
        <v>25699</v>
      </c>
      <c r="J12647" s="10" t="str">
        <f>HYPERLINK("https://www.boe.es/gazeta/dias/1834/05/16/pdfs/GMD-1834-85.pdf#page=4","Abrir facsímil")</f>
        <v>Abrir facsímil</v>
      </c>
      <c r="K12647" s="10" t="s">
        <v>24</v>
      </c>
    </row>
    <row r="12648" spans="1:11" ht="54" customHeight="1">
      <c r="A12648" s="9" t="s">
        <v>25700</v>
      </c>
      <c r="B12648" s="9" t="s">
        <v>25701</v>
      </c>
      <c r="C12648" s="9" t="s">
        <v>17</v>
      </c>
      <c r="D12648" s="9" t="s">
        <v>18</v>
      </c>
      <c r="E12648" s="10" t="s">
        <v>1680</v>
      </c>
      <c r="F12648" s="9" t="s">
        <v>1681</v>
      </c>
      <c r="G12648" s="10" t="s">
        <v>21</v>
      </c>
      <c r="H12648" s="9" t="s">
        <v>22</v>
      </c>
      <c r="I12648" s="9" t="s">
        <v>25702</v>
      </c>
      <c r="J12648" s="10" t="str">
        <f>HYPERLINK("https://www.boe.es/gazeta/dias/1834/02/27/pdfs/GMD-1834-26.pdf#page=3","Abrir facsímil")</f>
        <v>Abrir facsímil</v>
      </c>
      <c r="K12648" s="10" t="s">
        <v>24</v>
      </c>
    </row>
    <row r="12649" spans="1:11" ht="54" customHeight="1">
      <c r="A12649" s="9" t="s">
        <v>25703</v>
      </c>
      <c r="B12649" s="9" t="s">
        <v>25704</v>
      </c>
      <c r="C12649" s="9" t="s">
        <v>17</v>
      </c>
      <c r="D12649" s="9" t="s">
        <v>55</v>
      </c>
      <c r="E12649" s="10" t="s">
        <v>1689</v>
      </c>
      <c r="F12649" s="9" t="s">
        <v>1690</v>
      </c>
      <c r="G12649" s="10" t="s">
        <v>21</v>
      </c>
      <c r="H12649" s="9" t="s">
        <v>22</v>
      </c>
      <c r="I12649" s="9" t="s">
        <v>25705</v>
      </c>
      <c r="J12649" s="10" t="str">
        <f>HYPERLINK("https://www.boe.es/gazeta/dias/1834/07/28/pdfs/GMD-1834-161.pdf#page=3","Abrir facsímil")</f>
        <v>Abrir facsímil</v>
      </c>
      <c r="K12649" s="10" t="s">
        <v>24</v>
      </c>
    </row>
    <row r="12650" spans="1:11" ht="54" customHeight="1">
      <c r="A12650" s="9" t="s">
        <v>25706</v>
      </c>
      <c r="B12650" s="9" t="s">
        <v>25707</v>
      </c>
      <c r="C12650" s="9" t="s">
        <v>17</v>
      </c>
      <c r="D12650" s="9" t="s">
        <v>18</v>
      </c>
      <c r="E12650" s="10" t="s">
        <v>1186</v>
      </c>
      <c r="F12650" s="9" t="s">
        <v>1187</v>
      </c>
      <c r="G12650" s="10" t="s">
        <v>34</v>
      </c>
      <c r="H12650" s="9" t="s">
        <v>22</v>
      </c>
      <c r="I12650" s="9" t="s">
        <v>25708</v>
      </c>
      <c r="J12650" s="10" t="str">
        <f>HYPERLINK("https://www.boe.es/gazeta/dias/1834/08/14/pdfs/GMD-1834-179.pdf#page=1","Abrir facsímil")</f>
        <v>Abrir facsímil</v>
      </c>
      <c r="K12650" s="10" t="s">
        <v>24</v>
      </c>
    </row>
    <row r="12651" spans="1:11" ht="54" customHeight="1">
      <c r="A12651" s="9" t="s">
        <v>25706</v>
      </c>
      <c r="B12651" s="9" t="s">
        <v>25707</v>
      </c>
      <c r="C12651" s="9" t="s">
        <v>66</v>
      </c>
      <c r="D12651" s="9" t="s">
        <v>67</v>
      </c>
      <c r="E12651" s="10" t="s">
        <v>928</v>
      </c>
      <c r="F12651" s="9" t="s">
        <v>3338</v>
      </c>
      <c r="G12651" s="10" t="s">
        <v>21</v>
      </c>
      <c r="H12651" s="9" t="s">
        <v>22</v>
      </c>
      <c r="I12651" s="9" t="s">
        <v>25709</v>
      </c>
      <c r="J12651" s="10" t="str">
        <f>HYPERLINK("https://www.boe.es/gazeta/dias/1834/11/15/pdfs/GMD-1834-274.pdf#page=3","Abrir facsímil")</f>
        <v>Abrir facsímil</v>
      </c>
      <c r="K12651" s="10" t="s">
        <v>24</v>
      </c>
    </row>
    <row r="12652" spans="1:11" ht="54" customHeight="1">
      <c r="A12652" s="9" t="s">
        <v>25706</v>
      </c>
      <c r="B12652" s="9" t="s">
        <v>25707</v>
      </c>
      <c r="C12652" s="9" t="s">
        <v>17</v>
      </c>
      <c r="D12652" s="9" t="s">
        <v>18</v>
      </c>
      <c r="E12652" s="10" t="s">
        <v>19</v>
      </c>
      <c r="F12652" s="9" t="s">
        <v>107</v>
      </c>
      <c r="G12652" s="10" t="s">
        <v>75</v>
      </c>
      <c r="H12652" s="9" t="s">
        <v>22</v>
      </c>
      <c r="I12652" s="9" t="s">
        <v>25710</v>
      </c>
      <c r="J12652" s="10" t="str">
        <f>HYPERLINK("https://www.boe.es/gazeta/dias/1834/08/17/pdfs/GMD-1834-182.pdf#page=4","Abrir facsímil")</f>
        <v>Abrir facsímil</v>
      </c>
      <c r="K12652" s="10" t="s">
        <v>24</v>
      </c>
    </row>
    <row r="12653" spans="1:11" ht="54" customHeight="1">
      <c r="A12653" s="9" t="s">
        <v>25711</v>
      </c>
      <c r="B12653" s="9" t="s">
        <v>25712</v>
      </c>
      <c r="C12653" s="9" t="s">
        <v>66</v>
      </c>
      <c r="D12653" s="9" t="s">
        <v>67</v>
      </c>
      <c r="E12653" s="10" t="s">
        <v>73</v>
      </c>
      <c r="F12653" s="9" t="s">
        <v>74</v>
      </c>
      <c r="G12653" s="10" t="s">
        <v>75</v>
      </c>
      <c r="H12653" s="9" t="s">
        <v>22</v>
      </c>
      <c r="I12653" s="9" t="s">
        <v>25713</v>
      </c>
      <c r="J12653" s="10" t="str">
        <f>HYPERLINK("https://www.boe.es/gazeta/dias/1834/11/04/pdfs/GMD-1834-263.pdf#page=4","Abrir facsímil")</f>
        <v>Abrir facsímil</v>
      </c>
      <c r="K12653" s="10" t="s">
        <v>24</v>
      </c>
    </row>
    <row r="12654" spans="1:11" ht="54" customHeight="1">
      <c r="A12654" s="9" t="s">
        <v>25714</v>
      </c>
      <c r="B12654" s="9" t="s">
        <v>25715</v>
      </c>
      <c r="C12654" s="9" t="s">
        <v>17</v>
      </c>
      <c r="D12654" s="9" t="s">
        <v>18</v>
      </c>
      <c r="E12654" s="10" t="s">
        <v>1008</v>
      </c>
      <c r="F12654" s="9" t="s">
        <v>2991</v>
      </c>
      <c r="G12654" s="10" t="s">
        <v>75</v>
      </c>
      <c r="H12654" s="9" t="s">
        <v>22</v>
      </c>
      <c r="I12654" s="9" t="s">
        <v>25716</v>
      </c>
      <c r="J12654" s="10" t="str">
        <f>HYPERLINK("https://www.boe.es/gazeta/dias/1834/11/08/pdfs/GMD-1834-267.pdf#page=4","Abrir facsímil")</f>
        <v>Abrir facsímil</v>
      </c>
      <c r="K12654" s="10" t="s">
        <v>24</v>
      </c>
    </row>
    <row r="12655" spans="1:11" ht="54" customHeight="1">
      <c r="A12655" s="9" t="s">
        <v>25714</v>
      </c>
      <c r="B12655" s="9" t="s">
        <v>25715</v>
      </c>
      <c r="C12655" s="9" t="s">
        <v>17</v>
      </c>
      <c r="D12655" s="9" t="s">
        <v>18</v>
      </c>
      <c r="E12655" s="10" t="s">
        <v>808</v>
      </c>
      <c r="F12655" s="9" t="s">
        <v>809</v>
      </c>
      <c r="G12655" s="10" t="s">
        <v>75</v>
      </c>
      <c r="H12655" s="9" t="s">
        <v>22</v>
      </c>
      <c r="I12655" s="9" t="s">
        <v>25717</v>
      </c>
      <c r="J12655" s="10" t="str">
        <f>HYPERLINK("https://www.boe.es/gazeta/dias/1834/10/11/pdfs/GMD-1834-239.pdf#page=4","Abrir facsímil")</f>
        <v>Abrir facsímil</v>
      </c>
      <c r="K12655" s="10" t="s">
        <v>24</v>
      </c>
    </row>
    <row r="12656" spans="1:11" ht="54" customHeight="1">
      <c r="A12656" s="9" t="s">
        <v>25718</v>
      </c>
      <c r="B12656" s="9" t="s">
        <v>25719</v>
      </c>
      <c r="C12656" s="9" t="s">
        <v>46</v>
      </c>
      <c r="D12656" s="9" t="s">
        <v>55</v>
      </c>
      <c r="E12656" s="10" t="s">
        <v>1337</v>
      </c>
      <c r="F12656" s="9" t="s">
        <v>1338</v>
      </c>
      <c r="G12656" s="10" t="s">
        <v>86</v>
      </c>
      <c r="H12656" s="9" t="s">
        <v>22</v>
      </c>
      <c r="I12656" s="9" t="s">
        <v>25720</v>
      </c>
      <c r="J12656" s="10" t="str">
        <f>HYPERLINK("https://www.boe.es/gazeta/dias/1834/01/02/pdfs/GMD-1834-1.pdf#page=2","Abrir facsímil")</f>
        <v>Abrir facsímil</v>
      </c>
      <c r="K12656" s="10" t="s">
        <v>24</v>
      </c>
    </row>
    <row r="12657" spans="1:11" ht="54" customHeight="1">
      <c r="A12657" s="9" t="s">
        <v>25721</v>
      </c>
      <c r="B12657" s="9" t="s">
        <v>25722</v>
      </c>
      <c r="C12657" s="9" t="s">
        <v>66</v>
      </c>
      <c r="D12657" s="9" t="s">
        <v>67</v>
      </c>
      <c r="E12657" s="10" t="s">
        <v>1510</v>
      </c>
      <c r="F12657" s="9" t="s">
        <v>1511</v>
      </c>
      <c r="G12657" s="10" t="s">
        <v>75</v>
      </c>
      <c r="H12657" s="9" t="s">
        <v>22</v>
      </c>
      <c r="I12657" s="9" t="s">
        <v>25723</v>
      </c>
      <c r="J12657" s="10" t="str">
        <f>HYPERLINK("https://www.boe.es/gazeta/dias/1834/06/13/pdfs/GMD-1834-116.pdf#page=4","Abrir facsímil")</f>
        <v>Abrir facsímil</v>
      </c>
      <c r="K12657" s="10" t="s">
        <v>24</v>
      </c>
    </row>
    <row r="12658" spans="1:11" ht="54" customHeight="1">
      <c r="A12658" s="9" t="s">
        <v>25724</v>
      </c>
      <c r="B12658" s="9" t="s">
        <v>25725</v>
      </c>
      <c r="C12658" s="9" t="s">
        <v>17</v>
      </c>
      <c r="D12658" s="9" t="s">
        <v>101</v>
      </c>
      <c r="E12658" s="10" t="s">
        <v>1572</v>
      </c>
      <c r="F12658" s="9" t="s">
        <v>1573</v>
      </c>
      <c r="G12658" s="10" t="s">
        <v>34</v>
      </c>
      <c r="H12658" s="9" t="s">
        <v>22</v>
      </c>
      <c r="I12658" s="9" t="s">
        <v>25726</v>
      </c>
      <c r="J12658" s="10" t="str">
        <f>HYPERLINK("https://www.boe.es/gazeta/dias/1834/03/20/pdfs/GMD-1834-35.pdf#page=1","Abrir facsímil")</f>
        <v>Abrir facsímil</v>
      </c>
      <c r="K12658" s="10" t="s">
        <v>24</v>
      </c>
    </row>
    <row r="12659" spans="1:11" ht="54" customHeight="1">
      <c r="A12659" s="9" t="s">
        <v>25724</v>
      </c>
      <c r="B12659" s="9" t="s">
        <v>25725</v>
      </c>
      <c r="C12659" s="9" t="s">
        <v>46</v>
      </c>
      <c r="D12659" s="9" t="s">
        <v>18</v>
      </c>
      <c r="E12659" s="10" t="s">
        <v>32</v>
      </c>
      <c r="F12659" s="9" t="s">
        <v>33</v>
      </c>
      <c r="G12659" s="10" t="s">
        <v>86</v>
      </c>
      <c r="H12659" s="9" t="s">
        <v>22</v>
      </c>
      <c r="I12659" s="9" t="s">
        <v>25727</v>
      </c>
      <c r="J12659" s="10" t="str">
        <f>HYPERLINK("https://www.boe.es/gazeta/dias/1834/04/23/pdfs/GMD-1834-62.pdf#page=2","Abrir facsímil")</f>
        <v>Abrir facsímil</v>
      </c>
      <c r="K12659" s="10" t="s">
        <v>24</v>
      </c>
    </row>
    <row r="12660" spans="1:11" ht="54" customHeight="1">
      <c r="A12660" s="9" t="s">
        <v>25728</v>
      </c>
      <c r="B12660" s="9" t="s">
        <v>25729</v>
      </c>
      <c r="C12660" s="9" t="s">
        <v>66</v>
      </c>
      <c r="D12660" s="9" t="s">
        <v>67</v>
      </c>
      <c r="E12660" s="10" t="s">
        <v>1394</v>
      </c>
      <c r="F12660" s="9" t="s">
        <v>2923</v>
      </c>
      <c r="G12660" s="10" t="s">
        <v>34</v>
      </c>
      <c r="H12660" s="9" t="s">
        <v>22</v>
      </c>
      <c r="I12660" s="9" t="s">
        <v>25730</v>
      </c>
      <c r="J12660" s="10" t="str">
        <f>HYPERLINK("https://www.boe.es/gazeta/dias/1834/04/16/pdfs/GMD-C-1834-55.pdf#page=1","Abrir facsímil")</f>
        <v>Abrir facsímil</v>
      </c>
      <c r="K12660" s="10" t="s">
        <v>24</v>
      </c>
    </row>
    <row r="12661" spans="1:11" ht="54" customHeight="1">
      <c r="A12661" s="9" t="s">
        <v>25731</v>
      </c>
      <c r="B12661" s="9" t="s">
        <v>25732</v>
      </c>
      <c r="C12661" s="9" t="s">
        <v>857</v>
      </c>
      <c r="D12661" s="9" t="s">
        <v>18</v>
      </c>
      <c r="E12661" s="10" t="s">
        <v>283</v>
      </c>
      <c r="F12661" s="9" t="s">
        <v>2969</v>
      </c>
      <c r="G12661" s="10" t="s">
        <v>75</v>
      </c>
      <c r="H12661" s="9" t="s">
        <v>22</v>
      </c>
      <c r="I12661" s="9" t="s">
        <v>25733</v>
      </c>
      <c r="J12661" s="10" t="str">
        <f>HYPERLINK("https://www.boe.es/gazeta/dias/1834/11/29/pdfs/GMD-1834-288.pdf#page=4","Abrir facsímil")</f>
        <v>Abrir facsímil</v>
      </c>
      <c r="K12661" s="10" t="s">
        <v>24</v>
      </c>
    </row>
    <row r="12662" spans="1:11" ht="54" customHeight="1">
      <c r="A12662" s="9" t="s">
        <v>25734</v>
      </c>
      <c r="B12662" s="9" t="s">
        <v>25735</v>
      </c>
      <c r="C12662" s="9" t="s">
        <v>17</v>
      </c>
      <c r="D12662" s="9" t="s">
        <v>55</v>
      </c>
      <c r="E12662" s="10" t="s">
        <v>2596</v>
      </c>
      <c r="F12662" s="9" t="s">
        <v>2597</v>
      </c>
      <c r="G12662" s="10" t="s">
        <v>86</v>
      </c>
      <c r="H12662" s="9" t="s">
        <v>22</v>
      </c>
      <c r="I12662" s="9" t="s">
        <v>25736</v>
      </c>
      <c r="J12662" s="10" t="str">
        <f>HYPERLINK("https://www.boe.es/gazeta/dias/1834/10/22/pdfs/GMD-1834-250.pdf#page=2","Abrir facsímil")</f>
        <v>Abrir facsímil</v>
      </c>
      <c r="K12662" s="10" t="s">
        <v>24</v>
      </c>
    </row>
    <row r="12663" spans="1:11" ht="54" customHeight="1">
      <c r="A12663" s="9" t="s">
        <v>25737</v>
      </c>
      <c r="B12663" s="9" t="s">
        <v>25737</v>
      </c>
      <c r="C12663" s="9" t="s">
        <v>66</v>
      </c>
      <c r="D12663" s="9" t="s">
        <v>67</v>
      </c>
      <c r="E12663" s="10" t="s">
        <v>286</v>
      </c>
      <c r="F12663" s="9" t="s">
        <v>287</v>
      </c>
      <c r="G12663" s="10" t="s">
        <v>21</v>
      </c>
      <c r="H12663" s="9" t="s">
        <v>22</v>
      </c>
      <c r="I12663" s="9" t="s">
        <v>25738</v>
      </c>
      <c r="J12663" s="10" t="str">
        <f>HYPERLINK("https://www.boe.es/gazeta/dias/1834/08/30/pdfs/GMD-D-1834-196.pdf#page=3","Abrir facsímil")</f>
        <v>Abrir facsímil</v>
      </c>
      <c r="K12663" s="10" t="s">
        <v>24</v>
      </c>
    </row>
    <row r="12664" spans="1:11" ht="54" customHeight="1">
      <c r="A12664" s="9" t="s">
        <v>25739</v>
      </c>
      <c r="B12664" s="9" t="s">
        <v>25740</v>
      </c>
      <c r="C12664" s="9" t="s">
        <v>66</v>
      </c>
      <c r="D12664" s="9" t="s">
        <v>67</v>
      </c>
      <c r="E12664" s="10" t="s">
        <v>1351</v>
      </c>
      <c r="F12664" s="9" t="s">
        <v>1352</v>
      </c>
      <c r="G12664" s="10" t="s">
        <v>28</v>
      </c>
      <c r="H12664" s="9" t="s">
        <v>22</v>
      </c>
      <c r="I12664" s="9" t="s">
        <v>25741</v>
      </c>
      <c r="J12664" s="10" t="str">
        <f>HYPERLINK("https://www.boe.es/gazeta/dias/1834/07/05/pdfs/GMD-1834-138.pdf#page=5","Abrir facsímil")</f>
        <v>Abrir facsímil</v>
      </c>
      <c r="K12664" s="10" t="s">
        <v>24</v>
      </c>
    </row>
    <row r="12665" spans="1:11" ht="54" customHeight="1">
      <c r="A12665" s="9" t="s">
        <v>25742</v>
      </c>
      <c r="B12665" s="9" t="s">
        <v>25743</v>
      </c>
      <c r="C12665" s="9" t="s">
        <v>66</v>
      </c>
      <c r="D12665" s="9" t="s">
        <v>67</v>
      </c>
      <c r="E12665" s="10" t="s">
        <v>448</v>
      </c>
      <c r="F12665" s="9" t="s">
        <v>2058</v>
      </c>
      <c r="G12665" s="10" t="s">
        <v>21</v>
      </c>
      <c r="H12665" s="9" t="s">
        <v>22</v>
      </c>
      <c r="I12665" s="9" t="s">
        <v>25744</v>
      </c>
      <c r="J12665" s="10" t="str">
        <f>HYPERLINK("https://www.boe.es/gazeta/dias/1834/10/14/pdfs/GMD-1834-242.pdf#page=3","Abrir facsímil")</f>
        <v>Abrir facsímil</v>
      </c>
      <c r="K12665" s="10" t="s">
        <v>24</v>
      </c>
    </row>
    <row r="12666" spans="1:11" ht="54" customHeight="1">
      <c r="A12666" s="9" t="s">
        <v>25745</v>
      </c>
      <c r="B12666" s="9" t="s">
        <v>25745</v>
      </c>
      <c r="C12666" s="9" t="s">
        <v>90</v>
      </c>
      <c r="D12666" s="9" t="s">
        <v>18</v>
      </c>
      <c r="E12666" s="10" t="s">
        <v>1212</v>
      </c>
      <c r="F12666" s="9" t="s">
        <v>1213</v>
      </c>
      <c r="G12666" s="10" t="s">
        <v>21</v>
      </c>
      <c r="H12666" s="9" t="s">
        <v>22</v>
      </c>
      <c r="I12666" s="9" t="s">
        <v>25746</v>
      </c>
      <c r="J12666" s="10" t="str">
        <f>HYPERLINK("https://www.boe.es/gazeta/dias/1834/05/24/pdfs/GMD-1834-93.pdf#page=3","Abrir facsímil")</f>
        <v>Abrir facsímil</v>
      </c>
      <c r="K12666" s="10" t="s">
        <v>24</v>
      </c>
    </row>
    <row r="12667" spans="1:11" ht="54" customHeight="1">
      <c r="A12667" s="9" t="s">
        <v>25747</v>
      </c>
      <c r="B12667" s="9" t="s">
        <v>25747</v>
      </c>
      <c r="C12667" s="9" t="s">
        <v>17</v>
      </c>
      <c r="D12667" s="9" t="s">
        <v>18</v>
      </c>
      <c r="E12667" s="10" t="s">
        <v>237</v>
      </c>
      <c r="F12667" s="9" t="s">
        <v>4609</v>
      </c>
      <c r="G12667" s="10" t="s">
        <v>86</v>
      </c>
      <c r="H12667" s="9" t="s">
        <v>22</v>
      </c>
      <c r="I12667" s="9" t="s">
        <v>25748</v>
      </c>
      <c r="J12667" s="10" t="str">
        <f>HYPERLINK("https://www.boe.es/gazeta/dias/1834/08/15/pdfs/GMD-1834-180.pdf#page=2","Abrir facsímil")</f>
        <v>Abrir facsímil</v>
      </c>
      <c r="K12667" s="10" t="s">
        <v>24</v>
      </c>
    </row>
    <row r="12668" spans="1:11" ht="54" customHeight="1">
      <c r="A12668" s="9" t="s">
        <v>25747</v>
      </c>
      <c r="B12668" s="9" t="s">
        <v>25747</v>
      </c>
      <c r="C12668" s="9" t="s">
        <v>17</v>
      </c>
      <c r="D12668" s="9" t="s">
        <v>18</v>
      </c>
      <c r="E12668" s="10" t="s">
        <v>1212</v>
      </c>
      <c r="F12668" s="9" t="s">
        <v>1213</v>
      </c>
      <c r="G12668" s="10" t="s">
        <v>21</v>
      </c>
      <c r="H12668" s="9" t="s">
        <v>22</v>
      </c>
      <c r="I12668" s="9" t="s">
        <v>25749</v>
      </c>
      <c r="J12668" s="10" t="str">
        <f>HYPERLINK("https://www.boe.es/gazeta/dias/1834/05/24/pdfs/GMD-1834-93.pdf#page=3","Abrir facsímil")</f>
        <v>Abrir facsímil</v>
      </c>
      <c r="K12668" s="10" t="s">
        <v>24</v>
      </c>
    </row>
    <row r="12669" spans="1:11" ht="54" customHeight="1">
      <c r="A12669" s="9" t="s">
        <v>25750</v>
      </c>
      <c r="B12669" s="9" t="s">
        <v>25750</v>
      </c>
      <c r="C12669" s="9" t="s">
        <v>17</v>
      </c>
      <c r="D12669" s="9" t="s">
        <v>18</v>
      </c>
      <c r="E12669" s="10" t="s">
        <v>715</v>
      </c>
      <c r="F12669" s="9" t="s">
        <v>716</v>
      </c>
      <c r="G12669" s="10" t="s">
        <v>34</v>
      </c>
      <c r="H12669" s="9" t="s">
        <v>22</v>
      </c>
      <c r="I12669" s="9" t="s">
        <v>25751</v>
      </c>
      <c r="J12669" s="10" t="str">
        <f>HYPERLINK("https://www.boe.es/gazeta/dias/1834/09/17/pdfs/GMD-C-1834-215.pdf#page=1","Abrir facsímil")</f>
        <v>Abrir facsímil</v>
      </c>
      <c r="K12669" s="10" t="s">
        <v>24</v>
      </c>
    </row>
    <row r="12670" spans="1:11" ht="54" customHeight="1">
      <c r="A12670" s="9" t="s">
        <v>25752</v>
      </c>
      <c r="B12670" s="9" t="s">
        <v>25753</v>
      </c>
      <c r="C12670" s="9" t="s">
        <v>122</v>
      </c>
      <c r="D12670" s="9" t="s">
        <v>40</v>
      </c>
      <c r="E12670" s="10" t="s">
        <v>642</v>
      </c>
      <c r="F12670" s="9" t="s">
        <v>643</v>
      </c>
      <c r="G12670" s="10" t="s">
        <v>34</v>
      </c>
      <c r="H12670" s="9" t="s">
        <v>22</v>
      </c>
      <c r="I12670" s="9" t="s">
        <v>25754</v>
      </c>
      <c r="J12670" s="10" t="str">
        <f>HYPERLINK("https://www.boe.es/gazeta/dias/1834/11/12/pdfs/GMD-C-1834-271.pdf#page=1","Abrir facsímil")</f>
        <v>Abrir facsímil</v>
      </c>
      <c r="K12670" s="10" t="s">
        <v>24</v>
      </c>
    </row>
    <row r="12671" spans="1:11" ht="54" customHeight="1">
      <c r="A12671" s="9" t="s">
        <v>25755</v>
      </c>
      <c r="B12671" s="9" t="s">
        <v>25755</v>
      </c>
      <c r="C12671" s="9" t="s">
        <v>90</v>
      </c>
      <c r="D12671" s="9" t="s">
        <v>101</v>
      </c>
      <c r="E12671" s="10" t="s">
        <v>696</v>
      </c>
      <c r="F12671" s="9" t="s">
        <v>854</v>
      </c>
      <c r="G12671" s="10" t="s">
        <v>34</v>
      </c>
      <c r="H12671" s="9" t="s">
        <v>22</v>
      </c>
      <c r="I12671" s="9" t="s">
        <v>25756</v>
      </c>
      <c r="J12671" s="10" t="str">
        <f>HYPERLINK("https://www.boe.es/gazeta/dias/1834/12/06/pdfs/GMD-1834-295.pdf#page=1","Abrir facsímil")</f>
        <v>Abrir facsímil</v>
      </c>
      <c r="K12671" s="10" t="s">
        <v>24</v>
      </c>
    </row>
    <row r="12672" spans="1:11" ht="54" customHeight="1">
      <c r="A12672" s="9" t="s">
        <v>25755</v>
      </c>
      <c r="B12672" s="9" t="s">
        <v>25755</v>
      </c>
      <c r="C12672" s="9" t="s">
        <v>66</v>
      </c>
      <c r="D12672" s="9" t="s">
        <v>67</v>
      </c>
      <c r="E12672" s="10" t="s">
        <v>1981</v>
      </c>
      <c r="F12672" s="9" t="s">
        <v>1982</v>
      </c>
      <c r="G12672" s="10" t="s">
        <v>86</v>
      </c>
      <c r="H12672" s="9" t="s">
        <v>22</v>
      </c>
      <c r="I12672" s="9" t="s">
        <v>25757</v>
      </c>
      <c r="J12672" s="10" t="str">
        <f>HYPERLINK("https://www.boe.es/gazeta/dias/1834/12/13/pdfs/GMD-1834-302.pdf#page=2","Abrir facsímil")</f>
        <v>Abrir facsímil</v>
      </c>
      <c r="K12672" s="10" t="s">
        <v>24</v>
      </c>
    </row>
    <row r="12673" spans="1:11" ht="54" customHeight="1">
      <c r="A12673" s="9" t="s">
        <v>25755</v>
      </c>
      <c r="B12673" s="9" t="s">
        <v>25755</v>
      </c>
      <c r="C12673" s="9" t="s">
        <v>17</v>
      </c>
      <c r="D12673" s="9" t="s">
        <v>18</v>
      </c>
      <c r="E12673" s="10" t="s">
        <v>233</v>
      </c>
      <c r="F12673" s="9" t="s">
        <v>234</v>
      </c>
      <c r="G12673" s="10" t="s">
        <v>86</v>
      </c>
      <c r="H12673" s="9" t="s">
        <v>22</v>
      </c>
      <c r="I12673" s="9" t="s">
        <v>25758</v>
      </c>
      <c r="J12673" s="10" t="str">
        <f>HYPERLINK("https://www.boe.es/gazeta/dias/1834/12/16/pdfs/GMD-1834-305.pdf#page=2","Abrir facsímil")</f>
        <v>Abrir facsímil</v>
      </c>
      <c r="K12673" s="10" t="s">
        <v>24</v>
      </c>
    </row>
    <row r="12674" spans="1:11" ht="54" customHeight="1">
      <c r="A12674" s="9" t="s">
        <v>25755</v>
      </c>
      <c r="B12674" s="9" t="s">
        <v>25755</v>
      </c>
      <c r="C12674" s="9" t="s">
        <v>46</v>
      </c>
      <c r="D12674" s="9" t="s">
        <v>101</v>
      </c>
      <c r="E12674" s="10" t="s">
        <v>702</v>
      </c>
      <c r="F12674" s="9" t="s">
        <v>2427</v>
      </c>
      <c r="G12674" s="10" t="s">
        <v>86</v>
      </c>
      <c r="H12674" s="9" t="s">
        <v>22</v>
      </c>
      <c r="I12674" s="9" t="s">
        <v>25759</v>
      </c>
      <c r="J12674" s="10" t="str">
        <f>HYPERLINK("https://www.boe.es/gazeta/dias/1834/11/22/pdfs/GMD-1834-281.pdf#page=2","Abrir facsímil")</f>
        <v>Abrir facsímil</v>
      </c>
      <c r="K12674" s="10" t="s">
        <v>24</v>
      </c>
    </row>
    <row r="12675" spans="1:11" ht="54" customHeight="1">
      <c r="A12675" s="9" t="s">
        <v>25760</v>
      </c>
      <c r="B12675" s="9" t="s">
        <v>25760</v>
      </c>
      <c r="C12675" s="9" t="s">
        <v>46</v>
      </c>
      <c r="D12675" s="9" t="s">
        <v>101</v>
      </c>
      <c r="E12675" s="10" t="s">
        <v>1575</v>
      </c>
      <c r="F12675" s="9" t="s">
        <v>1576</v>
      </c>
      <c r="G12675" s="10" t="s">
        <v>86</v>
      </c>
      <c r="H12675" s="9" t="s">
        <v>22</v>
      </c>
      <c r="I12675" s="9" t="s">
        <v>25761</v>
      </c>
      <c r="J12675" s="10" t="str">
        <f>HYPERLINK("https://www.boe.es/gazeta/dias/1834/11/24/pdfs/GMD-1834-283.pdf#page=2","Abrir facsímil")</f>
        <v>Abrir facsímil</v>
      </c>
      <c r="K12675" s="10" t="s">
        <v>24</v>
      </c>
    </row>
    <row r="12676" spans="1:11" ht="54" customHeight="1">
      <c r="A12676" s="9" t="s">
        <v>25762</v>
      </c>
      <c r="B12676" s="9" t="s">
        <v>25763</v>
      </c>
      <c r="C12676" s="9" t="s">
        <v>46</v>
      </c>
      <c r="D12676" s="9" t="s">
        <v>101</v>
      </c>
      <c r="E12676" s="10" t="s">
        <v>19</v>
      </c>
      <c r="F12676" s="9" t="s">
        <v>107</v>
      </c>
      <c r="G12676" s="10" t="s">
        <v>34</v>
      </c>
      <c r="H12676" s="9" t="s">
        <v>22</v>
      </c>
      <c r="I12676" s="9" t="s">
        <v>25764</v>
      </c>
      <c r="J12676" s="10" t="str">
        <f>HYPERLINK("https://www.boe.es/gazeta/dias/1834/08/17/pdfs/GMD-1834-182.pdf#page=1","Abrir facsímil")</f>
        <v>Abrir facsímil</v>
      </c>
      <c r="K12676" s="10" t="s">
        <v>24</v>
      </c>
    </row>
    <row r="12677" spans="1:11" ht="54" customHeight="1">
      <c r="A12677" s="9" t="s">
        <v>25762</v>
      </c>
      <c r="B12677" s="9" t="s">
        <v>25763</v>
      </c>
      <c r="C12677" s="9" t="s">
        <v>90</v>
      </c>
      <c r="D12677" s="9" t="s">
        <v>18</v>
      </c>
      <c r="E12677" s="10" t="s">
        <v>563</v>
      </c>
      <c r="F12677" s="9" t="s">
        <v>564</v>
      </c>
      <c r="G12677" s="10" t="s">
        <v>34</v>
      </c>
      <c r="H12677" s="9" t="s">
        <v>22</v>
      </c>
      <c r="I12677" s="9" t="s">
        <v>25765</v>
      </c>
      <c r="J12677" s="10" t="str">
        <f>HYPERLINK("https://www.boe.es/gazeta/dias/1834/04/19/pdfs/GMD-1834-58.pdf#page=1","Abrir facsímil")</f>
        <v>Abrir facsímil</v>
      </c>
      <c r="K12677" s="10" t="s">
        <v>24</v>
      </c>
    </row>
    <row r="12678" spans="1:11" ht="54" customHeight="1">
      <c r="A12678" s="9" t="s">
        <v>25766</v>
      </c>
      <c r="B12678" s="9" t="s">
        <v>25766</v>
      </c>
      <c r="C12678" s="9" t="s">
        <v>17</v>
      </c>
      <c r="D12678" s="9" t="s">
        <v>18</v>
      </c>
      <c r="E12678" s="10" t="s">
        <v>849</v>
      </c>
      <c r="F12678" s="9" t="s">
        <v>850</v>
      </c>
      <c r="G12678" s="10" t="s">
        <v>21</v>
      </c>
      <c r="H12678" s="9" t="s">
        <v>22</v>
      </c>
      <c r="I12678" s="9" t="s">
        <v>25767</v>
      </c>
      <c r="J12678" s="10" t="str">
        <f>HYPERLINK("https://www.boe.es/gazeta/dias/1834/06/21/pdfs/GMD-1834-124.pdf#page=3","Abrir facsímil")</f>
        <v>Abrir facsímil</v>
      </c>
      <c r="K12678" s="10" t="s">
        <v>24</v>
      </c>
    </row>
    <row r="12679" spans="1:11" ht="54" customHeight="1">
      <c r="A12679" s="9" t="s">
        <v>25768</v>
      </c>
      <c r="B12679" s="9" t="s">
        <v>25769</v>
      </c>
      <c r="C12679" s="9" t="s">
        <v>17</v>
      </c>
      <c r="D12679" s="9" t="s">
        <v>55</v>
      </c>
      <c r="E12679" s="10" t="s">
        <v>1680</v>
      </c>
      <c r="F12679" s="9" t="s">
        <v>1681</v>
      </c>
      <c r="G12679" s="10" t="s">
        <v>75</v>
      </c>
      <c r="H12679" s="9" t="s">
        <v>22</v>
      </c>
      <c r="I12679" s="9" t="s">
        <v>25770</v>
      </c>
      <c r="J12679" s="10" t="str">
        <f>HYPERLINK("https://www.boe.es/gazeta/dias/1834/02/27/pdfs/GMD-1834-26.pdf#page=4","Abrir facsímil")</f>
        <v>Abrir facsímil</v>
      </c>
      <c r="K12679" s="10" t="s">
        <v>24</v>
      </c>
    </row>
    <row r="12680" spans="1:11" ht="54" customHeight="1">
      <c r="A12680" s="9" t="s">
        <v>25771</v>
      </c>
      <c r="B12680" s="9" t="s">
        <v>25771</v>
      </c>
      <c r="C12680" s="9" t="s">
        <v>17</v>
      </c>
      <c r="D12680" s="9" t="s">
        <v>18</v>
      </c>
      <c r="E12680" s="10" t="s">
        <v>237</v>
      </c>
      <c r="F12680" s="9" t="s">
        <v>238</v>
      </c>
      <c r="G12680" s="10" t="s">
        <v>34</v>
      </c>
      <c r="H12680" s="9" t="s">
        <v>22</v>
      </c>
      <c r="I12680" s="9" t="s">
        <v>25772</v>
      </c>
      <c r="J12680" s="10" t="str">
        <f>HYPERLINK("https://www.boe.es/gazeta/dias/1834/08/15/pdfs/GMD-C-1834-180.pdf#page=1","Abrir facsímil")</f>
        <v>Abrir facsímil</v>
      </c>
      <c r="K12680" s="10" t="s">
        <v>24</v>
      </c>
    </row>
    <row r="12681" spans="1:11" ht="54" customHeight="1">
      <c r="A12681" s="9" t="s">
        <v>25771</v>
      </c>
      <c r="B12681" s="9" t="s">
        <v>25771</v>
      </c>
      <c r="C12681" s="9" t="s">
        <v>17</v>
      </c>
      <c r="D12681" s="9" t="s">
        <v>18</v>
      </c>
      <c r="E12681" s="10" t="s">
        <v>237</v>
      </c>
      <c r="F12681" s="9" t="s">
        <v>238</v>
      </c>
      <c r="G12681" s="10" t="s">
        <v>86</v>
      </c>
      <c r="H12681" s="9" t="s">
        <v>22</v>
      </c>
      <c r="I12681" s="9" t="s">
        <v>25773</v>
      </c>
      <c r="J12681" s="10" t="str">
        <f>HYPERLINK("https://www.boe.es/gazeta/dias/1834/08/15/pdfs/GMD-C-1834-180.pdf#page=2","Abrir facsímil")</f>
        <v>Abrir facsímil</v>
      </c>
      <c r="K12681" s="10" t="s">
        <v>24</v>
      </c>
    </row>
    <row r="12682" spans="1:11" ht="54" customHeight="1">
      <c r="A12682" s="9" t="s">
        <v>25771</v>
      </c>
      <c r="B12682" s="9" t="s">
        <v>25771</v>
      </c>
      <c r="C12682" s="9" t="s">
        <v>17</v>
      </c>
      <c r="D12682" s="9" t="s">
        <v>18</v>
      </c>
      <c r="E12682" s="10" t="s">
        <v>1686</v>
      </c>
      <c r="F12682" s="9" t="s">
        <v>2311</v>
      </c>
      <c r="G12682" s="10" t="s">
        <v>34</v>
      </c>
      <c r="H12682" s="9" t="s">
        <v>22</v>
      </c>
      <c r="I12682" s="9" t="s">
        <v>25774</v>
      </c>
      <c r="J12682" s="10" t="str">
        <f>HYPERLINK("https://www.boe.es/gazeta/dias/1834/07/27/pdfs/GMD-C-1834-160.pdf#page=1","Abrir facsímil")</f>
        <v>Abrir facsímil</v>
      </c>
      <c r="K12682" s="10" t="s">
        <v>24</v>
      </c>
    </row>
    <row r="12683" spans="1:11" ht="54" customHeight="1">
      <c r="A12683" s="9" t="s">
        <v>25775</v>
      </c>
      <c r="B12683" s="9" t="s">
        <v>25776</v>
      </c>
      <c r="C12683" s="9" t="s">
        <v>90</v>
      </c>
      <c r="D12683" s="9" t="s">
        <v>67</v>
      </c>
      <c r="E12683" s="10" t="s">
        <v>601</v>
      </c>
      <c r="F12683" s="9" t="s">
        <v>602</v>
      </c>
      <c r="G12683" s="10" t="s">
        <v>34</v>
      </c>
      <c r="H12683" s="9" t="s">
        <v>22</v>
      </c>
      <c r="I12683" s="9" t="s">
        <v>25777</v>
      </c>
      <c r="J12683" s="10" t="str">
        <f>HYPERLINK("https://www.boe.es/gazeta/dias/1834/08/16/pdfs/GMD-1834-181.pdf#page=1","Abrir facsímil")</f>
        <v>Abrir facsímil</v>
      </c>
      <c r="K12683" s="10" t="s">
        <v>24</v>
      </c>
    </row>
    <row r="12684" spans="1:11" ht="54" customHeight="1">
      <c r="A12684" s="9" t="s">
        <v>25778</v>
      </c>
      <c r="B12684" s="9" t="s">
        <v>25779</v>
      </c>
      <c r="C12684" s="9" t="s">
        <v>17</v>
      </c>
      <c r="D12684" s="9" t="s">
        <v>101</v>
      </c>
      <c r="E12684" s="10" t="s">
        <v>3306</v>
      </c>
      <c r="F12684" s="9" t="s">
        <v>3307</v>
      </c>
      <c r="G12684" s="10" t="s">
        <v>34</v>
      </c>
      <c r="H12684" s="9" t="s">
        <v>22</v>
      </c>
      <c r="I12684" s="9" t="s">
        <v>25780</v>
      </c>
      <c r="J12684" s="10" t="str">
        <f>HYPERLINK("https://www.boe.es/gazeta/dias/1834/05/07/pdfs/GMD-1834-76.pdf#page=1","Abrir facsímil")</f>
        <v>Abrir facsímil</v>
      </c>
      <c r="K12684" s="10" t="s">
        <v>24</v>
      </c>
    </row>
    <row r="12685" spans="1:11" ht="54" customHeight="1">
      <c r="A12685" s="9" t="s">
        <v>25778</v>
      </c>
      <c r="B12685" s="9" t="s">
        <v>25779</v>
      </c>
      <c r="C12685" s="9" t="s">
        <v>46</v>
      </c>
      <c r="D12685" s="9" t="s">
        <v>101</v>
      </c>
      <c r="E12685" s="10" t="s">
        <v>1641</v>
      </c>
      <c r="F12685" s="9" t="s">
        <v>1729</v>
      </c>
      <c r="G12685" s="10" t="s">
        <v>34</v>
      </c>
      <c r="H12685" s="9" t="s">
        <v>22</v>
      </c>
      <c r="I12685" s="9" t="s">
        <v>25781</v>
      </c>
      <c r="J12685" s="10" t="str">
        <f>HYPERLINK("https://www.boe.es/gazeta/dias/1834/09/28/pdfs/GMD-1834-226.pdf#page=1","Abrir facsímil")</f>
        <v>Abrir facsímil</v>
      </c>
      <c r="K12685" s="10" t="s">
        <v>24</v>
      </c>
    </row>
    <row r="12686" spans="1:11" ht="54" customHeight="1">
      <c r="A12686" s="9" t="s">
        <v>25782</v>
      </c>
      <c r="B12686" s="9" t="s">
        <v>25783</v>
      </c>
      <c r="C12686" s="9" t="s">
        <v>66</v>
      </c>
      <c r="D12686" s="9" t="s">
        <v>67</v>
      </c>
      <c r="E12686" s="10" t="s">
        <v>1025</v>
      </c>
      <c r="F12686" s="9" t="s">
        <v>1026</v>
      </c>
      <c r="G12686" s="10" t="s">
        <v>28</v>
      </c>
      <c r="H12686" s="9" t="s">
        <v>22</v>
      </c>
      <c r="I12686" s="9" t="s">
        <v>25784</v>
      </c>
      <c r="J12686" s="10" t="str">
        <f>HYPERLINK("https://www.boe.es/gazeta/dias/1834/03/01/pdfs/GMD-1834-27.pdf#page=5","Abrir facsímil")</f>
        <v>Abrir facsímil</v>
      </c>
      <c r="K12686" s="10" t="s">
        <v>24</v>
      </c>
    </row>
    <row r="12687" spans="1:11" ht="54" customHeight="1">
      <c r="A12687" s="9" t="s">
        <v>25782</v>
      </c>
      <c r="B12687" s="9" t="s">
        <v>25783</v>
      </c>
      <c r="C12687" s="9" t="s">
        <v>66</v>
      </c>
      <c r="D12687" s="9" t="s">
        <v>67</v>
      </c>
      <c r="E12687" s="10" t="s">
        <v>912</v>
      </c>
      <c r="F12687" s="9" t="s">
        <v>913</v>
      </c>
      <c r="G12687" s="10" t="s">
        <v>28</v>
      </c>
      <c r="H12687" s="9" t="s">
        <v>22</v>
      </c>
      <c r="I12687" s="9" t="s">
        <v>25785</v>
      </c>
      <c r="J12687" s="10" t="str">
        <f>HYPERLINK("https://www.boe.es/gazeta/dias/1834/02/15/pdfs/GMD-1834-21.pdf#page=5","Abrir facsímil")</f>
        <v>Abrir facsímil</v>
      </c>
      <c r="K12687" s="10" t="s">
        <v>24</v>
      </c>
    </row>
    <row r="12688" spans="1:11" ht="54" customHeight="1">
      <c r="A12688" s="9" t="s">
        <v>25782</v>
      </c>
      <c r="B12688" s="9" t="s">
        <v>25783</v>
      </c>
      <c r="C12688" s="9" t="s">
        <v>17</v>
      </c>
      <c r="D12688" s="9" t="s">
        <v>18</v>
      </c>
      <c r="E12688" s="10" t="s">
        <v>3248</v>
      </c>
      <c r="F12688" s="9" t="s">
        <v>3249</v>
      </c>
      <c r="G12688" s="10" t="s">
        <v>21</v>
      </c>
      <c r="H12688" s="9" t="s">
        <v>22</v>
      </c>
      <c r="I12688" s="9" t="s">
        <v>25786</v>
      </c>
      <c r="J12688" s="10" t="str">
        <f>HYPERLINK("https://www.boe.es/gazeta/dias/1834/09/20/pdfs/GMD-1834-218.pdf#page=3","Abrir facsímil")</f>
        <v>Abrir facsímil</v>
      </c>
      <c r="K12688" s="10" t="s">
        <v>24</v>
      </c>
    </row>
    <row r="12689" spans="1:11" ht="54" customHeight="1">
      <c r="A12689" s="9" t="s">
        <v>25787</v>
      </c>
      <c r="B12689" s="9" t="s">
        <v>25788</v>
      </c>
      <c r="C12689" s="9" t="s">
        <v>90</v>
      </c>
      <c r="D12689" s="9" t="s">
        <v>55</v>
      </c>
      <c r="E12689" s="10" t="s">
        <v>61</v>
      </c>
      <c r="F12689" s="9" t="s">
        <v>205</v>
      </c>
      <c r="G12689" s="10" t="s">
        <v>34</v>
      </c>
      <c r="H12689" s="9" t="s">
        <v>22</v>
      </c>
      <c r="I12689" s="9" t="s">
        <v>25789</v>
      </c>
      <c r="J12689" s="10" t="str">
        <f>HYPERLINK("https://www.boe.es/gazeta/dias/1834/06/08/pdfs/GMD-1834-110.pdf#page=1","Abrir facsímil")</f>
        <v>Abrir facsímil</v>
      </c>
      <c r="K12689" s="10" t="s">
        <v>24</v>
      </c>
    </row>
    <row r="12690" spans="1:11" ht="54" customHeight="1">
      <c r="A12690" s="9" t="s">
        <v>25790</v>
      </c>
      <c r="B12690" s="9" t="s">
        <v>25791</v>
      </c>
      <c r="C12690" s="9" t="s">
        <v>17</v>
      </c>
      <c r="D12690" s="9" t="s">
        <v>18</v>
      </c>
      <c r="E12690" s="10" t="s">
        <v>153</v>
      </c>
      <c r="F12690" s="9" t="s">
        <v>154</v>
      </c>
      <c r="G12690" s="10" t="s">
        <v>21</v>
      </c>
      <c r="H12690" s="9" t="s">
        <v>22</v>
      </c>
      <c r="I12690" s="9" t="s">
        <v>25792</v>
      </c>
      <c r="J12690" s="10" t="str">
        <f>HYPERLINK("https://www.boe.es/gazeta/dias/1834/12/30/pdfs/GMD-C-1834-320.pdf#page=3","Abrir facsímil")</f>
        <v>Abrir facsímil</v>
      </c>
      <c r="K12690" s="10" t="s">
        <v>24</v>
      </c>
    </row>
    <row r="12691" spans="1:11" ht="54" customHeight="1">
      <c r="A12691" s="9" t="s">
        <v>25793</v>
      </c>
      <c r="B12691" s="9" t="s">
        <v>25794</v>
      </c>
      <c r="C12691" s="9" t="s">
        <v>17</v>
      </c>
      <c r="D12691" s="9" t="s">
        <v>18</v>
      </c>
      <c r="E12691" s="10" t="s">
        <v>47</v>
      </c>
      <c r="F12691" s="9" t="s">
        <v>48</v>
      </c>
      <c r="G12691" s="10" t="s">
        <v>21</v>
      </c>
      <c r="H12691" s="9" t="s">
        <v>22</v>
      </c>
      <c r="I12691" s="9" t="s">
        <v>25795</v>
      </c>
      <c r="J12691" s="10" t="str">
        <f>HYPERLINK("https://www.boe.es/gazeta/dias/1834/09/05/pdfs/GMD-C-1834-203.pdf#page=3","Abrir facsímil")</f>
        <v>Abrir facsímil</v>
      </c>
      <c r="K12691" s="10" t="s">
        <v>24</v>
      </c>
    </row>
    <row r="12692" spans="1:11" ht="54" customHeight="1">
      <c r="A12692" s="9" t="s">
        <v>25796</v>
      </c>
      <c r="B12692" s="9" t="s">
        <v>25797</v>
      </c>
      <c r="C12692" s="9" t="s">
        <v>90</v>
      </c>
      <c r="D12692" s="9" t="s">
        <v>18</v>
      </c>
      <c r="E12692" s="10" t="s">
        <v>153</v>
      </c>
      <c r="F12692" s="9" t="s">
        <v>154</v>
      </c>
      <c r="G12692" s="10" t="s">
        <v>21</v>
      </c>
      <c r="H12692" s="9" t="s">
        <v>22</v>
      </c>
      <c r="I12692" s="9" t="s">
        <v>25798</v>
      </c>
      <c r="J12692" s="10" t="str">
        <f>HYPERLINK("https://www.boe.es/gazeta/dias/1834/12/30/pdfs/GMD-C-1834-320.pdf#page=3","Abrir facsímil")</f>
        <v>Abrir facsímil</v>
      </c>
      <c r="K12692" s="10" t="s">
        <v>24</v>
      </c>
    </row>
    <row r="12693" spans="1:11" ht="54" customHeight="1">
      <c r="A12693" s="9" t="s">
        <v>25799</v>
      </c>
      <c r="B12693" s="9" t="s">
        <v>25799</v>
      </c>
      <c r="C12693" s="9" t="s">
        <v>17</v>
      </c>
      <c r="D12693" s="9" t="s">
        <v>18</v>
      </c>
      <c r="E12693" s="10" t="s">
        <v>237</v>
      </c>
      <c r="F12693" s="9" t="s">
        <v>238</v>
      </c>
      <c r="G12693" s="10" t="s">
        <v>86</v>
      </c>
      <c r="H12693" s="9" t="s">
        <v>22</v>
      </c>
      <c r="I12693" s="9" t="s">
        <v>25800</v>
      </c>
      <c r="J12693" s="10" t="str">
        <f>HYPERLINK("https://www.boe.es/gazeta/dias/1834/08/15/pdfs/GMD-C-1834-180.pdf#page=2","Abrir facsímil")</f>
        <v>Abrir facsímil</v>
      </c>
      <c r="K12693" s="10" t="s">
        <v>24</v>
      </c>
    </row>
    <row r="12694" spans="1:11" ht="54" customHeight="1">
      <c r="A12694" s="9" t="s">
        <v>25801</v>
      </c>
      <c r="B12694" s="9" t="s">
        <v>25802</v>
      </c>
      <c r="C12694" s="9" t="s">
        <v>66</v>
      </c>
      <c r="D12694" s="9" t="s">
        <v>67</v>
      </c>
      <c r="E12694" s="10" t="s">
        <v>1402</v>
      </c>
      <c r="F12694" s="9" t="s">
        <v>1403</v>
      </c>
      <c r="G12694" s="10" t="s">
        <v>75</v>
      </c>
      <c r="H12694" s="9" t="s">
        <v>22</v>
      </c>
      <c r="I12694" s="9" t="s">
        <v>25803</v>
      </c>
      <c r="J12694" s="10" t="str">
        <f>HYPERLINK("https://www.boe.es/gazeta/dias/1834/05/05/pdfs/GMD-1834-74.pdf#page=4","Abrir facsímil")</f>
        <v>Abrir facsímil</v>
      </c>
      <c r="K12694" s="10" t="s">
        <v>24</v>
      </c>
    </row>
    <row r="12695" spans="1:11" ht="54" customHeight="1">
      <c r="A12695" s="9" t="s">
        <v>25804</v>
      </c>
      <c r="B12695" s="9" t="s">
        <v>25805</v>
      </c>
      <c r="C12695" s="9" t="s">
        <v>66</v>
      </c>
      <c r="D12695" s="9" t="s">
        <v>67</v>
      </c>
      <c r="E12695" s="10" t="s">
        <v>571</v>
      </c>
      <c r="F12695" s="9" t="s">
        <v>572</v>
      </c>
      <c r="G12695" s="10" t="s">
        <v>34</v>
      </c>
      <c r="H12695" s="9" t="s">
        <v>22</v>
      </c>
      <c r="I12695" s="9" t="s">
        <v>25806</v>
      </c>
      <c r="J12695" s="10" t="str">
        <f>HYPERLINK("https://www.boe.es/gazeta/dias/1834/09/04/pdfs/GMD-1834-202.pdf#page=1","Abrir facsímil")</f>
        <v>Abrir facsímil</v>
      </c>
      <c r="K12695" s="10" t="s">
        <v>24</v>
      </c>
    </row>
    <row r="12696" spans="1:11" ht="54" customHeight="1">
      <c r="A12696" s="9" t="s">
        <v>25804</v>
      </c>
      <c r="B12696" s="9" t="s">
        <v>25805</v>
      </c>
      <c r="C12696" s="9" t="s">
        <v>66</v>
      </c>
      <c r="D12696" s="9" t="s">
        <v>67</v>
      </c>
      <c r="E12696" s="10" t="s">
        <v>251</v>
      </c>
      <c r="F12696" s="9" t="s">
        <v>1278</v>
      </c>
      <c r="G12696" s="10" t="s">
        <v>86</v>
      </c>
      <c r="H12696" s="9" t="s">
        <v>22</v>
      </c>
      <c r="I12696" s="9" t="s">
        <v>25807</v>
      </c>
      <c r="J12696" s="10" t="str">
        <f>HYPERLINK("https://www.boe.es/gazeta/dias/1834/09/26/pdfs/GMD-1834-224.pdf#page=2","Abrir facsímil")</f>
        <v>Abrir facsímil</v>
      </c>
      <c r="K12696" s="10" t="s">
        <v>24</v>
      </c>
    </row>
    <row r="12697" spans="1:11" ht="54" customHeight="1">
      <c r="A12697" s="9" t="s">
        <v>25808</v>
      </c>
      <c r="B12697" s="9" t="s">
        <v>25808</v>
      </c>
      <c r="C12697" s="9" t="s">
        <v>46</v>
      </c>
      <c r="D12697" s="9" t="s">
        <v>101</v>
      </c>
      <c r="E12697" s="10" t="s">
        <v>237</v>
      </c>
      <c r="F12697" s="9" t="s">
        <v>238</v>
      </c>
      <c r="G12697" s="10" t="s">
        <v>86</v>
      </c>
      <c r="H12697" s="9" t="s">
        <v>22</v>
      </c>
      <c r="I12697" s="9" t="s">
        <v>25809</v>
      </c>
      <c r="J12697" s="10" t="str">
        <f>HYPERLINK("https://www.boe.es/gazeta/dias/1834/08/15/pdfs/GMD-C-1834-180.pdf#page=2","Abrir facsímil")</f>
        <v>Abrir facsímil</v>
      </c>
      <c r="K12697" s="10" t="s">
        <v>24</v>
      </c>
    </row>
    <row r="12698" spans="1:11" ht="54" customHeight="1">
      <c r="A12698" s="9" t="s">
        <v>25810</v>
      </c>
      <c r="B12698" s="9" t="s">
        <v>25811</v>
      </c>
      <c r="C12698" s="9" t="s">
        <v>17</v>
      </c>
      <c r="D12698" s="9" t="s">
        <v>18</v>
      </c>
      <c r="E12698" s="10" t="s">
        <v>339</v>
      </c>
      <c r="F12698" s="9" t="s">
        <v>340</v>
      </c>
      <c r="G12698" s="10" t="s">
        <v>34</v>
      </c>
      <c r="H12698" s="9" t="s">
        <v>22</v>
      </c>
      <c r="I12698" s="9" t="s">
        <v>25812</v>
      </c>
      <c r="J12698" s="10" t="str">
        <f>HYPERLINK("https://www.boe.es/gazeta/dias/1834/05/02/pdfs/GMD-1834-71.pdf#page=1","Abrir facsímil")</f>
        <v>Abrir facsímil</v>
      </c>
      <c r="K12698" s="10" t="s">
        <v>24</v>
      </c>
    </row>
    <row r="12699" spans="1:11" ht="54" customHeight="1">
      <c r="A12699" s="9" t="s">
        <v>25810</v>
      </c>
      <c r="B12699" s="9" t="s">
        <v>25811</v>
      </c>
      <c r="C12699" s="9" t="s">
        <v>17</v>
      </c>
      <c r="D12699" s="9" t="s">
        <v>18</v>
      </c>
      <c r="E12699" s="10" t="s">
        <v>343</v>
      </c>
      <c r="F12699" s="9" t="s">
        <v>344</v>
      </c>
      <c r="G12699" s="10" t="s">
        <v>21</v>
      </c>
      <c r="H12699" s="9" t="s">
        <v>22</v>
      </c>
      <c r="I12699" s="9" t="s">
        <v>25813</v>
      </c>
      <c r="J12699" s="10" t="str">
        <f>HYPERLINK("https://www.boe.es/gazeta/dias/1834/01/14/pdfs/GMD-1834-7.pdf#page=3","Abrir facsímil")</f>
        <v>Abrir facsímil</v>
      </c>
      <c r="K12699" s="10" t="s">
        <v>24</v>
      </c>
    </row>
    <row r="12700" spans="1:11" ht="54" customHeight="1">
      <c r="A12700" s="9" t="s">
        <v>25814</v>
      </c>
      <c r="B12700" s="9" t="s">
        <v>25815</v>
      </c>
      <c r="C12700" s="9" t="s">
        <v>17</v>
      </c>
      <c r="D12700" s="9" t="s">
        <v>18</v>
      </c>
      <c r="E12700" s="10" t="s">
        <v>326</v>
      </c>
      <c r="F12700" s="9" t="s">
        <v>327</v>
      </c>
      <c r="G12700" s="10" t="s">
        <v>75</v>
      </c>
      <c r="H12700" s="9" t="s">
        <v>22</v>
      </c>
      <c r="I12700" s="9" t="s">
        <v>25816</v>
      </c>
      <c r="J12700" s="10" t="str">
        <f>HYPERLINK("https://www.boe.es/gazeta/dias/1834/07/15/pdfs/GMD-1834-148.pdf#page=4","Abrir facsímil")</f>
        <v>Abrir facsímil</v>
      </c>
      <c r="K12700" s="10" t="s">
        <v>24</v>
      </c>
    </row>
    <row r="12701" spans="1:11" ht="54" customHeight="1">
      <c r="A12701" s="9" t="s">
        <v>25817</v>
      </c>
      <c r="B12701" s="9" t="s">
        <v>25817</v>
      </c>
      <c r="C12701" s="9" t="s">
        <v>17</v>
      </c>
      <c r="D12701" s="9" t="s">
        <v>18</v>
      </c>
      <c r="E12701" s="10" t="s">
        <v>294</v>
      </c>
      <c r="F12701" s="9" t="s">
        <v>959</v>
      </c>
      <c r="G12701" s="10" t="s">
        <v>34</v>
      </c>
      <c r="H12701" s="9" t="s">
        <v>22</v>
      </c>
      <c r="I12701" s="9" t="s">
        <v>25818</v>
      </c>
      <c r="J12701" s="10" t="str">
        <f>HYPERLINK("https://www.boe.es/gazeta/dias/1834/09/27/pdfs/GMD-C-1834-225.pdf#page=1","Abrir facsímil")</f>
        <v>Abrir facsímil</v>
      </c>
      <c r="K12701" s="10" t="s">
        <v>24</v>
      </c>
    </row>
    <row r="12702" spans="1:11" ht="54" customHeight="1">
      <c r="A12702" s="9" t="s">
        <v>25819</v>
      </c>
      <c r="B12702" s="9" t="s">
        <v>25820</v>
      </c>
      <c r="C12702" s="9" t="s">
        <v>17</v>
      </c>
      <c r="D12702" s="9" t="s">
        <v>18</v>
      </c>
      <c r="E12702" s="10" t="s">
        <v>280</v>
      </c>
      <c r="F12702" s="9" t="s">
        <v>3217</v>
      </c>
      <c r="G12702" s="10" t="s">
        <v>34</v>
      </c>
      <c r="H12702" s="9" t="s">
        <v>22</v>
      </c>
      <c r="I12702" s="9" t="s">
        <v>25821</v>
      </c>
      <c r="J12702" s="10" t="str">
        <f>HYPERLINK("https://www.boe.es/gazeta/dias/1834/08/29/pdfs/GMD-1834-195.pdf#page=1","Abrir facsímil")</f>
        <v>Abrir facsímil</v>
      </c>
      <c r="K12702" s="10" t="s">
        <v>24</v>
      </c>
    </row>
    <row r="12703" spans="1:11" ht="54" customHeight="1">
      <c r="A12703" s="9" t="s">
        <v>25822</v>
      </c>
      <c r="B12703" s="9" t="s">
        <v>25822</v>
      </c>
      <c r="C12703" s="9" t="s">
        <v>17</v>
      </c>
      <c r="D12703" s="9" t="s">
        <v>18</v>
      </c>
      <c r="E12703" s="10" t="s">
        <v>237</v>
      </c>
      <c r="F12703" s="9" t="s">
        <v>238</v>
      </c>
      <c r="G12703" s="10" t="s">
        <v>21</v>
      </c>
      <c r="H12703" s="9" t="s">
        <v>22</v>
      </c>
      <c r="I12703" s="9" t="s">
        <v>25823</v>
      </c>
      <c r="J12703" s="10" t="str">
        <f>HYPERLINK("https://www.boe.es/gazeta/dias/1834/08/15/pdfs/GMD-C-1834-180.pdf#page=3","Abrir facsímil")</f>
        <v>Abrir facsímil</v>
      </c>
      <c r="K12703" s="10" t="s">
        <v>24</v>
      </c>
    </row>
    <row r="12704" spans="1:11" ht="54" customHeight="1">
      <c r="A12704" s="9" t="s">
        <v>25824</v>
      </c>
      <c r="B12704" s="9" t="s">
        <v>25824</v>
      </c>
      <c r="C12704" s="9" t="s">
        <v>17</v>
      </c>
      <c r="D12704" s="9" t="s">
        <v>18</v>
      </c>
      <c r="E12704" s="10" t="s">
        <v>47</v>
      </c>
      <c r="F12704" s="9" t="s">
        <v>1466</v>
      </c>
      <c r="G12704" s="10" t="s">
        <v>86</v>
      </c>
      <c r="H12704" s="9" t="s">
        <v>22</v>
      </c>
      <c r="I12704" s="9" t="s">
        <v>25825</v>
      </c>
      <c r="J12704" s="10" t="str">
        <f>HYPERLINK("https://www.boe.es/gazeta/dias/1834/09/05/pdfs/GMD-1834-203.pdf#page=2","Abrir facsímil")</f>
        <v>Abrir facsímil</v>
      </c>
      <c r="K12704" s="10" t="s">
        <v>24</v>
      </c>
    </row>
    <row r="12705" spans="1:11" ht="54" customHeight="1">
      <c r="A12705" s="9" t="s">
        <v>25826</v>
      </c>
      <c r="B12705" s="9" t="s">
        <v>25827</v>
      </c>
      <c r="C12705" s="9" t="s">
        <v>17</v>
      </c>
      <c r="D12705" s="9" t="s">
        <v>18</v>
      </c>
      <c r="E12705" s="10" t="s">
        <v>283</v>
      </c>
      <c r="F12705" s="9" t="s">
        <v>284</v>
      </c>
      <c r="G12705" s="10" t="s">
        <v>21</v>
      </c>
      <c r="H12705" s="9" t="s">
        <v>22</v>
      </c>
      <c r="I12705" s="9" t="s">
        <v>25828</v>
      </c>
      <c r="J12705" s="10" t="str">
        <f>HYPERLINK("https://www.boe.es/gazeta/dias/1834/11/29/pdfs/GMD-C-1834-288.pdf#page=3","Abrir facsímil")</f>
        <v>Abrir facsímil</v>
      </c>
      <c r="K12705" s="10" t="s">
        <v>24</v>
      </c>
    </row>
    <row r="12706" spans="1:11" ht="54" customHeight="1">
      <c r="A12706" s="9" t="s">
        <v>25829</v>
      </c>
      <c r="B12706" s="9" t="s">
        <v>25829</v>
      </c>
      <c r="C12706" s="9" t="s">
        <v>17</v>
      </c>
      <c r="D12706" s="9" t="s">
        <v>55</v>
      </c>
      <c r="E12706" s="10" t="s">
        <v>849</v>
      </c>
      <c r="F12706" s="9" t="s">
        <v>850</v>
      </c>
      <c r="G12706" s="10" t="s">
        <v>86</v>
      </c>
      <c r="H12706" s="9" t="s">
        <v>22</v>
      </c>
      <c r="I12706" s="9" t="s">
        <v>25830</v>
      </c>
      <c r="J12706" s="10" t="str">
        <f>HYPERLINK("https://www.boe.es/gazeta/dias/1834/06/21/pdfs/GMD-1834-124.pdf#page=2","Abrir facsímil")</f>
        <v>Abrir facsímil</v>
      </c>
      <c r="K12706" s="10" t="s">
        <v>24</v>
      </c>
    </row>
    <row r="12707" spans="1:11" ht="54" customHeight="1">
      <c r="A12707" s="9" t="s">
        <v>25831</v>
      </c>
      <c r="B12707" s="9" t="s">
        <v>25831</v>
      </c>
      <c r="C12707" s="9" t="s">
        <v>17</v>
      </c>
      <c r="D12707" s="9" t="s">
        <v>18</v>
      </c>
      <c r="E12707" s="10" t="s">
        <v>506</v>
      </c>
      <c r="F12707" s="9" t="s">
        <v>507</v>
      </c>
      <c r="G12707" s="10" t="s">
        <v>75</v>
      </c>
      <c r="H12707" s="9" t="s">
        <v>22</v>
      </c>
      <c r="I12707" s="9" t="s">
        <v>25832</v>
      </c>
      <c r="J12707" s="10" t="str">
        <f>HYPERLINK("https://www.boe.es/gazeta/dias/1834/03/04/pdfs/GMD-1834-28.pdf#page=4","Abrir facsímil")</f>
        <v>Abrir facsímil</v>
      </c>
      <c r="K12707" s="10" t="s">
        <v>24</v>
      </c>
    </row>
    <row r="12708" spans="1:11" ht="54" customHeight="1">
      <c r="A12708" s="9" t="s">
        <v>25831</v>
      </c>
      <c r="B12708" s="9" t="s">
        <v>25831</v>
      </c>
      <c r="C12708" s="9" t="s">
        <v>17</v>
      </c>
      <c r="D12708" s="9" t="s">
        <v>18</v>
      </c>
      <c r="E12708" s="10" t="s">
        <v>5435</v>
      </c>
      <c r="F12708" s="9" t="s">
        <v>5436</v>
      </c>
      <c r="G12708" s="10" t="s">
        <v>86</v>
      </c>
      <c r="H12708" s="9" t="s">
        <v>22</v>
      </c>
      <c r="I12708" s="9" t="s">
        <v>25833</v>
      </c>
      <c r="J12708" s="10" t="str">
        <f>HYPERLINK("https://www.boe.es/gazeta/dias/1834/05/11/pdfs/GMD-1834-80.pdf#page=2","Abrir facsímil")</f>
        <v>Abrir facsímil</v>
      </c>
      <c r="K12708" s="10" t="s">
        <v>24</v>
      </c>
    </row>
    <row r="12709" spans="1:11" ht="54" customHeight="1">
      <c r="A12709" s="9" t="s">
        <v>25831</v>
      </c>
      <c r="B12709" s="9" t="s">
        <v>25831</v>
      </c>
      <c r="C12709" s="9" t="s">
        <v>17</v>
      </c>
      <c r="D12709" s="9" t="s">
        <v>40</v>
      </c>
      <c r="E12709" s="10" t="s">
        <v>348</v>
      </c>
      <c r="F12709" s="9" t="s">
        <v>501</v>
      </c>
      <c r="G12709" s="10" t="s">
        <v>34</v>
      </c>
      <c r="H12709" s="9" t="s">
        <v>22</v>
      </c>
      <c r="I12709" s="9" t="s">
        <v>25834</v>
      </c>
      <c r="J12709" s="10" t="str">
        <f>HYPERLINK("https://www.boe.es/gazeta/dias/1834/06/12/pdfs/GMD-1834-115.pdf#page=1","Abrir facsímil")</f>
        <v>Abrir facsímil</v>
      </c>
      <c r="K12709" s="10" t="s">
        <v>24</v>
      </c>
    </row>
    <row r="12710" spans="1:11" ht="54" customHeight="1">
      <c r="A12710" s="9" t="s">
        <v>25831</v>
      </c>
      <c r="B12710" s="9" t="s">
        <v>25831</v>
      </c>
      <c r="C12710" s="9" t="s">
        <v>66</v>
      </c>
      <c r="D12710" s="9" t="s">
        <v>67</v>
      </c>
      <c r="E12710" s="10" t="s">
        <v>408</v>
      </c>
      <c r="F12710" s="9" t="s">
        <v>409</v>
      </c>
      <c r="G12710" s="10" t="s">
        <v>21</v>
      </c>
      <c r="H12710" s="9" t="s">
        <v>22</v>
      </c>
      <c r="I12710" s="9" t="s">
        <v>25835</v>
      </c>
      <c r="J12710" s="10" t="str">
        <f>HYPERLINK("https://www.boe.es/gazeta/dias/1834/04/28/pdfs/GMD-1834-67.pdf#page=3","Abrir facsímil")</f>
        <v>Abrir facsímil</v>
      </c>
      <c r="K12710" s="10" t="s">
        <v>24</v>
      </c>
    </row>
    <row r="12711" spans="1:11" ht="54" customHeight="1">
      <c r="A12711" s="9" t="s">
        <v>25836</v>
      </c>
      <c r="B12711" s="9" t="s">
        <v>25837</v>
      </c>
      <c r="C12711" s="9" t="s">
        <v>122</v>
      </c>
      <c r="D12711" s="9" t="s">
        <v>18</v>
      </c>
      <c r="E12711" s="10" t="s">
        <v>56</v>
      </c>
      <c r="F12711" s="9" t="s">
        <v>57</v>
      </c>
      <c r="G12711" s="10" t="s">
        <v>86</v>
      </c>
      <c r="H12711" s="9" t="s">
        <v>22</v>
      </c>
      <c r="I12711" s="9" t="s">
        <v>25838</v>
      </c>
      <c r="J12711" s="10" t="str">
        <f>HYPERLINK("https://www.boe.es/gazeta/dias/1834/07/09/pdfs/GMD-1834-142.pdf#page=2","Abrir facsímil")</f>
        <v>Abrir facsímil</v>
      </c>
      <c r="K12711" s="10" t="s">
        <v>24</v>
      </c>
    </row>
    <row r="12712" spans="1:11" ht="54" customHeight="1">
      <c r="A12712" s="9" t="s">
        <v>25839</v>
      </c>
      <c r="B12712" s="9" t="s">
        <v>25840</v>
      </c>
      <c r="C12712" s="9" t="s">
        <v>17</v>
      </c>
      <c r="D12712" s="9" t="s">
        <v>18</v>
      </c>
      <c r="E12712" s="10" t="s">
        <v>255</v>
      </c>
      <c r="F12712" s="9" t="s">
        <v>2368</v>
      </c>
      <c r="G12712" s="10" t="s">
        <v>86</v>
      </c>
      <c r="H12712" s="9" t="s">
        <v>22</v>
      </c>
      <c r="I12712" s="9" t="s">
        <v>25841</v>
      </c>
      <c r="J12712" s="10" t="str">
        <f>HYPERLINK("https://www.boe.es/gazeta/dias/1834/09/01/pdfs/I00843-00844.pdf#page=2","Abrir facsímil")</f>
        <v>Abrir facsímil</v>
      </c>
      <c r="K12712" s="10" t="s">
        <v>24</v>
      </c>
    </row>
    <row r="12713" spans="1:11" ht="54" customHeight="1">
      <c r="A12713" s="9" t="s">
        <v>25839</v>
      </c>
      <c r="B12713" s="9" t="s">
        <v>25840</v>
      </c>
      <c r="C12713" s="9" t="s">
        <v>17</v>
      </c>
      <c r="D12713" s="9" t="s">
        <v>18</v>
      </c>
      <c r="E12713" s="10" t="s">
        <v>255</v>
      </c>
      <c r="F12713" s="9" t="s">
        <v>2368</v>
      </c>
      <c r="G12713" s="10" t="s">
        <v>75</v>
      </c>
      <c r="H12713" s="9" t="s">
        <v>22</v>
      </c>
      <c r="I12713" s="9" t="s">
        <v>25841</v>
      </c>
      <c r="J12713" s="10" t="str">
        <f>HYPERLINK("https://www.boe.es/gazeta/dias/1834/09/01/pdfs/GMD-1834-199.pdf#page=4","Abrir facsímil")</f>
        <v>Abrir facsímil</v>
      </c>
      <c r="K12713" s="10" t="s">
        <v>24</v>
      </c>
    </row>
    <row r="12714" spans="1:11" ht="54" customHeight="1">
      <c r="A12714" s="9" t="s">
        <v>25842</v>
      </c>
      <c r="B12714" s="9" t="s">
        <v>25843</v>
      </c>
      <c r="C12714" s="9" t="s">
        <v>46</v>
      </c>
      <c r="D12714" s="9" t="s">
        <v>18</v>
      </c>
      <c r="E12714" s="10" t="s">
        <v>426</v>
      </c>
      <c r="F12714" s="9" t="s">
        <v>427</v>
      </c>
      <c r="G12714" s="10" t="s">
        <v>21</v>
      </c>
      <c r="H12714" s="9" t="s">
        <v>22</v>
      </c>
      <c r="I12714" s="9" t="s">
        <v>25844</v>
      </c>
      <c r="J12714" s="10" t="str">
        <f>HYPERLINK("https://www.boe.es/gazeta/dias/1834/10/04/pdfs/GMD-1834-232.pdf#page=3","Abrir facsímil")</f>
        <v>Abrir facsímil</v>
      </c>
      <c r="K12714" s="10" t="s">
        <v>24</v>
      </c>
    </row>
    <row r="12715" spans="1:11" ht="54" customHeight="1">
      <c r="A12715" s="9" t="s">
        <v>25845</v>
      </c>
      <c r="B12715" s="9" t="s">
        <v>25846</v>
      </c>
      <c r="C12715" s="9" t="s">
        <v>17</v>
      </c>
      <c r="D12715" s="9" t="s">
        <v>18</v>
      </c>
      <c r="E12715" s="10" t="s">
        <v>299</v>
      </c>
      <c r="F12715" s="9" t="s">
        <v>300</v>
      </c>
      <c r="G12715" s="10" t="s">
        <v>21</v>
      </c>
      <c r="H12715" s="9" t="s">
        <v>22</v>
      </c>
      <c r="I12715" s="9" t="s">
        <v>25847</v>
      </c>
      <c r="J12715" s="10" t="str">
        <f>HYPERLINK("https://www.boe.es/gazeta/dias/1834/12/12/pdfs/GMD-1834-301.pdf#page=3","Abrir facsímil")</f>
        <v>Abrir facsímil</v>
      </c>
      <c r="K12715" s="10" t="s">
        <v>24</v>
      </c>
    </row>
    <row r="12716" spans="1:11" ht="54" customHeight="1">
      <c r="A12716" s="9" t="s">
        <v>25848</v>
      </c>
      <c r="B12716" s="9" t="s">
        <v>25849</v>
      </c>
      <c r="C12716" s="9" t="s">
        <v>46</v>
      </c>
      <c r="D12716" s="9" t="s">
        <v>18</v>
      </c>
      <c r="E12716" s="10" t="s">
        <v>426</v>
      </c>
      <c r="F12716" s="9" t="s">
        <v>427</v>
      </c>
      <c r="G12716" s="10" t="s">
        <v>21</v>
      </c>
      <c r="H12716" s="9" t="s">
        <v>22</v>
      </c>
      <c r="I12716" s="9" t="s">
        <v>25850</v>
      </c>
      <c r="J12716" s="10" t="str">
        <f>HYPERLINK("https://www.boe.es/gazeta/dias/1834/10/04/pdfs/GMD-1834-232.pdf#page=3","Abrir facsímil")</f>
        <v>Abrir facsímil</v>
      </c>
      <c r="K12716" s="10" t="s">
        <v>24</v>
      </c>
    </row>
    <row r="12717" spans="1:11" ht="54" customHeight="1">
      <c r="A12717" s="9" t="s">
        <v>25851</v>
      </c>
      <c r="B12717" s="9" t="s">
        <v>25852</v>
      </c>
      <c r="C12717" s="9" t="s">
        <v>17</v>
      </c>
      <c r="D12717" s="9" t="s">
        <v>18</v>
      </c>
      <c r="E12717" s="10" t="s">
        <v>813</v>
      </c>
      <c r="F12717" s="9" t="s">
        <v>814</v>
      </c>
      <c r="G12717" s="10" t="s">
        <v>21</v>
      </c>
      <c r="H12717" s="9" t="s">
        <v>22</v>
      </c>
      <c r="I12717" s="9" t="s">
        <v>25853</v>
      </c>
      <c r="J12717" s="10" t="str">
        <f>HYPERLINK("https://www.boe.es/gazeta/dias/1834/08/08/pdfs/GMD-1834-173.pdf#page=3","Abrir facsímil")</f>
        <v>Abrir facsímil</v>
      </c>
      <c r="K12717" s="10" t="s">
        <v>24</v>
      </c>
    </row>
    <row r="12718" spans="1:11" ht="54" customHeight="1">
      <c r="A12718" s="9" t="s">
        <v>25851</v>
      </c>
      <c r="B12718" s="9" t="s">
        <v>25852</v>
      </c>
      <c r="C12718" s="9" t="s">
        <v>17</v>
      </c>
      <c r="D12718" s="9" t="s">
        <v>55</v>
      </c>
      <c r="E12718" s="10" t="s">
        <v>102</v>
      </c>
      <c r="F12718" s="9" t="s">
        <v>103</v>
      </c>
      <c r="G12718" s="10" t="s">
        <v>21</v>
      </c>
      <c r="H12718" s="9" t="s">
        <v>22</v>
      </c>
      <c r="I12718" s="9" t="s">
        <v>25854</v>
      </c>
      <c r="J12718" s="10" t="str">
        <f>HYPERLINK("https://www.boe.es/gazeta/dias/1834/07/19/pdfs/GMD-1834-152.pdf#page=3","Abrir facsímil")</f>
        <v>Abrir facsímil</v>
      </c>
      <c r="K12718" s="10" t="s">
        <v>24</v>
      </c>
    </row>
    <row r="12719" spans="1:11" ht="54" customHeight="1">
      <c r="A12719" s="9" t="s">
        <v>25855</v>
      </c>
      <c r="B12719" s="9" t="s">
        <v>25855</v>
      </c>
      <c r="C12719" s="9" t="s">
        <v>17</v>
      </c>
      <c r="D12719" s="9" t="s">
        <v>55</v>
      </c>
      <c r="E12719" s="10" t="s">
        <v>394</v>
      </c>
      <c r="F12719" s="9" t="s">
        <v>395</v>
      </c>
      <c r="G12719" s="10" t="s">
        <v>86</v>
      </c>
      <c r="H12719" s="9" t="s">
        <v>22</v>
      </c>
      <c r="I12719" s="9" t="s">
        <v>25856</v>
      </c>
      <c r="J12719" s="10" t="str">
        <f>HYPERLINK("https://www.boe.es/gazeta/dias/1834/12/23/pdfs/GMD-1834-313.pdf#page=2","Abrir facsímil")</f>
        <v>Abrir facsímil</v>
      </c>
      <c r="K12719" s="10" t="s">
        <v>24</v>
      </c>
    </row>
    <row r="12720" spans="1:11" ht="54" customHeight="1">
      <c r="A12720" s="9" t="s">
        <v>25857</v>
      </c>
      <c r="B12720" s="9" t="s">
        <v>25858</v>
      </c>
      <c r="C12720" s="9" t="s">
        <v>17</v>
      </c>
      <c r="D12720" s="9" t="s">
        <v>18</v>
      </c>
      <c r="E12720" s="10" t="s">
        <v>844</v>
      </c>
      <c r="F12720" s="9" t="s">
        <v>845</v>
      </c>
      <c r="G12720" s="10" t="s">
        <v>75</v>
      </c>
      <c r="H12720" s="9" t="s">
        <v>22</v>
      </c>
      <c r="I12720" s="9" t="s">
        <v>25859</v>
      </c>
      <c r="J12720" s="10" t="str">
        <f>HYPERLINK("https://www.boe.es/gazeta/dias/1834/03/13/pdfs/GMD-1834-32.pdf#page=4","Abrir facsímil")</f>
        <v>Abrir facsímil</v>
      </c>
      <c r="K12720" s="10" t="s">
        <v>24</v>
      </c>
    </row>
    <row r="12721" spans="1:11" ht="54" customHeight="1">
      <c r="A12721" s="9" t="s">
        <v>25860</v>
      </c>
      <c r="B12721" s="9" t="s">
        <v>25861</v>
      </c>
      <c r="C12721" s="9" t="s">
        <v>17</v>
      </c>
      <c r="D12721" s="9" t="s">
        <v>18</v>
      </c>
      <c r="E12721" s="10" t="s">
        <v>808</v>
      </c>
      <c r="F12721" s="9" t="s">
        <v>809</v>
      </c>
      <c r="G12721" s="10" t="s">
        <v>21</v>
      </c>
      <c r="H12721" s="9" t="s">
        <v>22</v>
      </c>
      <c r="I12721" s="9" t="s">
        <v>25862</v>
      </c>
      <c r="J12721" s="10" t="str">
        <f>HYPERLINK("https://www.boe.es/gazeta/dias/1834/10/11/pdfs/GMD-1834-239.pdf#page=3","Abrir facsímil")</f>
        <v>Abrir facsímil</v>
      </c>
      <c r="K12721" s="10" t="s">
        <v>24</v>
      </c>
    </row>
    <row r="12722" spans="1:11" ht="54" customHeight="1">
      <c r="A12722" s="9" t="s">
        <v>25863</v>
      </c>
      <c r="B12722" s="9" t="s">
        <v>25864</v>
      </c>
      <c r="C12722" s="9" t="s">
        <v>17</v>
      </c>
      <c r="D12722" s="9" t="s">
        <v>18</v>
      </c>
      <c r="E12722" s="10" t="s">
        <v>117</v>
      </c>
      <c r="F12722" s="9" t="s">
        <v>118</v>
      </c>
      <c r="G12722" s="10" t="s">
        <v>75</v>
      </c>
      <c r="H12722" s="9" t="s">
        <v>22</v>
      </c>
      <c r="I12722" s="9" t="s">
        <v>25865</v>
      </c>
      <c r="J12722" s="10" t="str">
        <f>HYPERLINK("https://www.boe.es/gazeta/dias/1834/07/21/pdfs/GMD-1834-154.pdf#page=4","Abrir facsímil")</f>
        <v>Abrir facsímil</v>
      </c>
      <c r="K12722" s="10" t="s">
        <v>24</v>
      </c>
    </row>
    <row r="12723" spans="1:11" ht="54" customHeight="1">
      <c r="A12723" s="9" t="s">
        <v>25866</v>
      </c>
      <c r="B12723" s="9" t="s">
        <v>25866</v>
      </c>
      <c r="C12723" s="9" t="s">
        <v>17</v>
      </c>
      <c r="D12723" s="9" t="s">
        <v>18</v>
      </c>
      <c r="E12723" s="10" t="s">
        <v>1981</v>
      </c>
      <c r="F12723" s="9" t="s">
        <v>1982</v>
      </c>
      <c r="G12723" s="10" t="s">
        <v>75</v>
      </c>
      <c r="H12723" s="9" t="s">
        <v>22</v>
      </c>
      <c r="I12723" s="9" t="s">
        <v>25867</v>
      </c>
      <c r="J12723" s="10" t="str">
        <f>HYPERLINK("https://www.boe.es/gazeta/dias/1834/12/13/pdfs/GMD-1834-302.pdf#page=4","Abrir facsímil")</f>
        <v>Abrir facsímil</v>
      </c>
      <c r="K12723" s="10" t="s">
        <v>24</v>
      </c>
    </row>
    <row r="12724" spans="1:11" ht="54" customHeight="1">
      <c r="A12724" s="9" t="s">
        <v>25868</v>
      </c>
      <c r="B12724" s="9" t="s">
        <v>25868</v>
      </c>
      <c r="C12724" s="9" t="s">
        <v>17</v>
      </c>
      <c r="D12724" s="9" t="s">
        <v>18</v>
      </c>
      <c r="E12724" s="10" t="s">
        <v>905</v>
      </c>
      <c r="F12724" s="9" t="s">
        <v>906</v>
      </c>
      <c r="G12724" s="10" t="s">
        <v>86</v>
      </c>
      <c r="H12724" s="9" t="s">
        <v>22</v>
      </c>
      <c r="I12724" s="9" t="s">
        <v>25869</v>
      </c>
      <c r="J12724" s="10" t="str">
        <f>HYPERLINK("https://www.boe.es/gazeta/dias/1834/08/02/pdfs/GMD-C-1834-166.pdf#page=2","Abrir facsímil")</f>
        <v>Abrir facsímil</v>
      </c>
      <c r="K12724" s="10" t="s">
        <v>24</v>
      </c>
    </row>
    <row r="12725" spans="1:11" ht="54" customHeight="1">
      <c r="A12725" s="9" t="s">
        <v>25870</v>
      </c>
      <c r="B12725" s="9" t="s">
        <v>25871</v>
      </c>
      <c r="C12725" s="9" t="s">
        <v>66</v>
      </c>
      <c r="D12725" s="9" t="s">
        <v>67</v>
      </c>
      <c r="E12725" s="10" t="s">
        <v>348</v>
      </c>
      <c r="F12725" s="9" t="s">
        <v>501</v>
      </c>
      <c r="G12725" s="10" t="s">
        <v>75</v>
      </c>
      <c r="H12725" s="9" t="s">
        <v>22</v>
      </c>
      <c r="I12725" s="9" t="s">
        <v>25872</v>
      </c>
      <c r="J12725" s="10" t="str">
        <f>HYPERLINK("https://www.boe.es/gazeta/dias/1834/06/12/pdfs/GMD-1834-115.pdf#page=4","Abrir facsímil")</f>
        <v>Abrir facsímil</v>
      </c>
      <c r="K12725" s="10" t="s">
        <v>24</v>
      </c>
    </row>
    <row r="12726" spans="1:11" ht="54" customHeight="1">
      <c r="A12726" s="9" t="s">
        <v>25873</v>
      </c>
      <c r="B12726" s="9" t="s">
        <v>25873</v>
      </c>
      <c r="C12726" s="9" t="s">
        <v>17</v>
      </c>
      <c r="D12726" s="9" t="s">
        <v>18</v>
      </c>
      <c r="E12726" s="10" t="s">
        <v>2278</v>
      </c>
      <c r="F12726" s="9" t="s">
        <v>2279</v>
      </c>
      <c r="G12726" s="10" t="s">
        <v>75</v>
      </c>
      <c r="H12726" s="9" t="s">
        <v>22</v>
      </c>
      <c r="I12726" s="9" t="s">
        <v>25874</v>
      </c>
      <c r="J12726" s="10" t="str">
        <f>HYPERLINK("https://www.boe.es/gazeta/dias/1834/12/17/pdfs/GMD-C-1834-306.pdf#page=4","Abrir facsímil")</f>
        <v>Abrir facsímil</v>
      </c>
      <c r="K12726" s="10" t="s">
        <v>24</v>
      </c>
    </row>
    <row r="12727" spans="1:11" ht="54" customHeight="1">
      <c r="A12727" s="9" t="s">
        <v>25875</v>
      </c>
      <c r="B12727" s="9" t="s">
        <v>25876</v>
      </c>
      <c r="C12727" s="9" t="s">
        <v>66</v>
      </c>
      <c r="D12727" s="9" t="s">
        <v>67</v>
      </c>
      <c r="E12727" s="10" t="s">
        <v>3170</v>
      </c>
      <c r="F12727" s="9" t="s">
        <v>3171</v>
      </c>
      <c r="G12727" s="10" t="s">
        <v>75</v>
      </c>
      <c r="H12727" s="9" t="s">
        <v>35</v>
      </c>
      <c r="I12727" s="9" t="s">
        <v>25877</v>
      </c>
      <c r="J12727" s="10" t="str">
        <f>HYPERLINK("https://www.boe.es/gazeta/dias/1834/12/07/pdfs/GMD-1834-296.pdf#page=4","Abrir facsímil")</f>
        <v>Abrir facsímil</v>
      </c>
      <c r="K12727" s="10" t="s">
        <v>37</v>
      </c>
    </row>
    <row r="12728" spans="1:11" ht="54" customHeight="1">
      <c r="A12728" s="9" t="s">
        <v>25878</v>
      </c>
      <c r="B12728" s="9" t="s">
        <v>25879</v>
      </c>
      <c r="C12728" s="9" t="s">
        <v>46</v>
      </c>
      <c r="D12728" s="9" t="s">
        <v>18</v>
      </c>
      <c r="E12728" s="10" t="s">
        <v>610</v>
      </c>
      <c r="F12728" s="9" t="s">
        <v>1374</v>
      </c>
      <c r="G12728" s="10" t="s">
        <v>34</v>
      </c>
      <c r="H12728" s="9" t="s">
        <v>22</v>
      </c>
      <c r="I12728" s="9" t="s">
        <v>25880</v>
      </c>
      <c r="J12728" s="10" t="str">
        <f>HYPERLINK("https://www.boe.es/gazeta/dias/1834/12/21/pdfs/GMD-1834-311.pdf#page=1","Abrir facsímil")</f>
        <v>Abrir facsímil</v>
      </c>
      <c r="K12728" s="10" t="s">
        <v>24</v>
      </c>
    </row>
    <row r="12729" spans="1:11" ht="54" customHeight="1">
      <c r="A12729" s="9" t="s">
        <v>25881</v>
      </c>
      <c r="B12729" s="9" t="s">
        <v>25881</v>
      </c>
      <c r="C12729" s="9" t="s">
        <v>17</v>
      </c>
      <c r="D12729" s="9" t="s">
        <v>18</v>
      </c>
      <c r="E12729" s="10" t="s">
        <v>444</v>
      </c>
      <c r="F12729" s="9" t="s">
        <v>445</v>
      </c>
      <c r="G12729" s="10" t="s">
        <v>75</v>
      </c>
      <c r="H12729" s="9" t="s">
        <v>22</v>
      </c>
      <c r="I12729" s="9" t="s">
        <v>25882</v>
      </c>
      <c r="J12729" s="10" t="str">
        <f>HYPERLINK("https://www.boe.es/gazeta/dias/1834/09/12/pdfs/GMD-C-1834-210.pdf#page=4","Abrir facsímil")</f>
        <v>Abrir facsímil</v>
      </c>
      <c r="K12729" s="10" t="s">
        <v>24</v>
      </c>
    </row>
    <row r="12730" spans="1:11" ht="54" customHeight="1">
      <c r="A12730" s="9" t="s">
        <v>25883</v>
      </c>
      <c r="B12730" s="9" t="s">
        <v>25883</v>
      </c>
      <c r="C12730" s="9" t="s">
        <v>17</v>
      </c>
      <c r="D12730" s="9" t="s">
        <v>18</v>
      </c>
      <c r="E12730" s="10" t="s">
        <v>571</v>
      </c>
      <c r="F12730" s="9" t="s">
        <v>620</v>
      </c>
      <c r="G12730" s="10" t="s">
        <v>470</v>
      </c>
      <c r="H12730" s="9" t="s">
        <v>22</v>
      </c>
      <c r="I12730" s="9" t="s">
        <v>25884</v>
      </c>
      <c r="J12730" s="10" t="str">
        <f>HYPERLINK("https://www.boe.es/gazeta/dias/1834/09/04/pdfs/GMD-C-1834-202.pdf#page=8","Abrir facsímil")</f>
        <v>Abrir facsímil</v>
      </c>
      <c r="K12730" s="10" t="s">
        <v>24</v>
      </c>
    </row>
    <row r="12731" spans="1:11" ht="54" customHeight="1">
      <c r="A12731" s="9" t="s">
        <v>25885</v>
      </c>
      <c r="B12731" s="9" t="s">
        <v>25886</v>
      </c>
      <c r="C12731" s="9" t="s">
        <v>90</v>
      </c>
      <c r="D12731" s="9" t="s">
        <v>18</v>
      </c>
      <c r="E12731" s="10" t="s">
        <v>905</v>
      </c>
      <c r="F12731" s="9" t="s">
        <v>906</v>
      </c>
      <c r="G12731" s="10" t="s">
        <v>34</v>
      </c>
      <c r="H12731" s="9" t="s">
        <v>35</v>
      </c>
      <c r="I12731" s="9" t="s">
        <v>25887</v>
      </c>
      <c r="J12731" s="10" t="str">
        <f>HYPERLINK("https://www.boe.es/gazeta/dias/1834/08/02/pdfs/GMD-C-1834-166.pdf#page=1","Abrir facsímil")</f>
        <v>Abrir facsímil</v>
      </c>
      <c r="K12731" s="10" t="s">
        <v>37</v>
      </c>
    </row>
    <row r="12732" spans="1:11" ht="54" customHeight="1">
      <c r="A12732" s="9" t="s">
        <v>25888</v>
      </c>
      <c r="B12732" s="9" t="s">
        <v>25889</v>
      </c>
      <c r="C12732" s="9" t="s">
        <v>17</v>
      </c>
      <c r="D12732" s="9" t="s">
        <v>18</v>
      </c>
      <c r="E12732" s="10" t="s">
        <v>408</v>
      </c>
      <c r="F12732" s="9" t="s">
        <v>409</v>
      </c>
      <c r="G12732" s="10" t="s">
        <v>75</v>
      </c>
      <c r="H12732" s="9" t="s">
        <v>22</v>
      </c>
      <c r="I12732" s="9" t="s">
        <v>25890</v>
      </c>
      <c r="J12732" s="10" t="str">
        <f>HYPERLINK("https://www.boe.es/gazeta/dias/1834/04/28/pdfs/GMD-1834-67.pdf#page=4","Abrir facsímil")</f>
        <v>Abrir facsímil</v>
      </c>
      <c r="K12732" s="10" t="s">
        <v>24</v>
      </c>
    </row>
    <row r="12733" spans="1:11" ht="54" customHeight="1">
      <c r="A12733" s="9" t="s">
        <v>25891</v>
      </c>
      <c r="B12733" s="9" t="s">
        <v>25892</v>
      </c>
      <c r="C12733" s="9" t="s">
        <v>90</v>
      </c>
      <c r="D12733" s="9" t="s">
        <v>18</v>
      </c>
      <c r="E12733" s="10" t="s">
        <v>905</v>
      </c>
      <c r="F12733" s="9" t="s">
        <v>906</v>
      </c>
      <c r="G12733" s="10" t="s">
        <v>34</v>
      </c>
      <c r="H12733" s="9" t="s">
        <v>22</v>
      </c>
      <c r="I12733" s="9" t="s">
        <v>25893</v>
      </c>
      <c r="J12733" s="10" t="str">
        <f>HYPERLINK("https://www.boe.es/gazeta/dias/1834/08/02/pdfs/GMD-C-1834-166.pdf#page=1","Abrir facsímil")</f>
        <v>Abrir facsímil</v>
      </c>
      <c r="K12733" s="10" t="s">
        <v>24</v>
      </c>
    </row>
    <row r="12734" spans="1:11" ht="54" customHeight="1">
      <c r="A12734" s="9" t="s">
        <v>25894</v>
      </c>
      <c r="B12734" s="9" t="s">
        <v>25895</v>
      </c>
      <c r="C12734" s="9" t="s">
        <v>66</v>
      </c>
      <c r="D12734" s="9" t="s">
        <v>18</v>
      </c>
      <c r="E12734" s="10" t="s">
        <v>1002</v>
      </c>
      <c r="F12734" s="9" t="s">
        <v>6383</v>
      </c>
      <c r="G12734" s="10" t="s">
        <v>34</v>
      </c>
      <c r="H12734" s="9" t="s">
        <v>22</v>
      </c>
      <c r="I12734" s="9" t="s">
        <v>25896</v>
      </c>
      <c r="J12734" s="10" t="str">
        <f>HYPERLINK("https://www.boe.es/gazeta/dias/1834/06/26/pdfs/GMD-C-1834-129.pdf#page=1","Abrir facsímil")</f>
        <v>Abrir facsímil</v>
      </c>
      <c r="K12734" s="10" t="s">
        <v>24</v>
      </c>
    </row>
    <row r="12735" spans="1:11" ht="54" customHeight="1">
      <c r="A12735" s="9" t="s">
        <v>25897</v>
      </c>
      <c r="B12735" s="9" t="s">
        <v>25898</v>
      </c>
      <c r="C12735" s="9" t="s">
        <v>17</v>
      </c>
      <c r="D12735" s="9" t="s">
        <v>18</v>
      </c>
      <c r="E12735" s="10" t="s">
        <v>739</v>
      </c>
      <c r="F12735" s="9" t="s">
        <v>17328</v>
      </c>
      <c r="G12735" s="10" t="s">
        <v>34</v>
      </c>
      <c r="H12735" s="9" t="s">
        <v>22</v>
      </c>
      <c r="I12735" s="9" t="s">
        <v>25899</v>
      </c>
      <c r="J12735" s="10" t="str">
        <f>HYPERLINK("https://www.boe.es/gazeta/dias/1834/03/25/pdfs/GMD-C-1834-37.pdf#page=1","Abrir facsímil")</f>
        <v>Abrir facsímil</v>
      </c>
      <c r="K12735" s="10" t="s">
        <v>24</v>
      </c>
    </row>
    <row r="12736" spans="1:11" ht="54" customHeight="1">
      <c r="A12736" s="9" t="s">
        <v>25900</v>
      </c>
      <c r="B12736" s="9" t="s">
        <v>25900</v>
      </c>
      <c r="C12736" s="9" t="s">
        <v>17</v>
      </c>
      <c r="D12736" s="9" t="s">
        <v>18</v>
      </c>
      <c r="E12736" s="10" t="s">
        <v>1008</v>
      </c>
      <c r="F12736" s="9" t="s">
        <v>2991</v>
      </c>
      <c r="G12736" s="10" t="s">
        <v>21</v>
      </c>
      <c r="H12736" s="9" t="s">
        <v>22</v>
      </c>
      <c r="I12736" s="9" t="s">
        <v>25901</v>
      </c>
      <c r="J12736" s="10" t="str">
        <f>HYPERLINK("https://www.boe.es/gazeta/dias/1834/11/08/pdfs/GMD-1834-267.pdf#page=3","Abrir facsímil")</f>
        <v>Abrir facsímil</v>
      </c>
      <c r="K12736" s="10" t="s">
        <v>24</v>
      </c>
    </row>
    <row r="12737" spans="1:11" ht="54" customHeight="1">
      <c r="A12737" s="9" t="s">
        <v>25900</v>
      </c>
      <c r="B12737" s="9" t="s">
        <v>25900</v>
      </c>
      <c r="C12737" s="9" t="s">
        <v>17</v>
      </c>
      <c r="D12737" s="9" t="s">
        <v>18</v>
      </c>
      <c r="E12737" s="10" t="s">
        <v>299</v>
      </c>
      <c r="F12737" s="9" t="s">
        <v>300</v>
      </c>
      <c r="G12737" s="10" t="s">
        <v>34</v>
      </c>
      <c r="H12737" s="9" t="s">
        <v>22</v>
      </c>
      <c r="I12737" s="9" t="s">
        <v>25902</v>
      </c>
      <c r="J12737" s="10" t="str">
        <f>HYPERLINK("https://www.boe.es/gazeta/dias/1834/12/12/pdfs/GMD-1834-301.pdf#page=1","Abrir facsímil")</f>
        <v>Abrir facsímil</v>
      </c>
      <c r="K12737" s="10" t="s">
        <v>24</v>
      </c>
    </row>
    <row r="12738" spans="1:11" ht="54" customHeight="1">
      <c r="A12738" s="9" t="s">
        <v>25903</v>
      </c>
      <c r="B12738" s="9" t="s">
        <v>25904</v>
      </c>
      <c r="C12738" s="9" t="s">
        <v>17</v>
      </c>
      <c r="D12738" s="9" t="s">
        <v>55</v>
      </c>
      <c r="E12738" s="10" t="s">
        <v>394</v>
      </c>
      <c r="F12738" s="9" t="s">
        <v>395</v>
      </c>
      <c r="G12738" s="10" t="s">
        <v>21</v>
      </c>
      <c r="H12738" s="9" t="s">
        <v>22</v>
      </c>
      <c r="I12738" s="9" t="s">
        <v>25905</v>
      </c>
      <c r="J12738" s="10" t="str">
        <f>HYPERLINK("https://www.boe.es/gazeta/dias/1834/12/23/pdfs/GMD-1834-313.pdf#page=3","Abrir facsímil")</f>
        <v>Abrir facsímil</v>
      </c>
      <c r="K12738" s="10" t="s">
        <v>24</v>
      </c>
    </row>
    <row r="12739" spans="1:11" ht="54" customHeight="1">
      <c r="A12739" s="9" t="s">
        <v>25906</v>
      </c>
      <c r="B12739" s="9" t="s">
        <v>25906</v>
      </c>
      <c r="C12739" s="9" t="s">
        <v>90</v>
      </c>
      <c r="D12739" s="9" t="s">
        <v>55</v>
      </c>
      <c r="E12739" s="10" t="s">
        <v>729</v>
      </c>
      <c r="F12739" s="9" t="s">
        <v>730</v>
      </c>
      <c r="G12739" s="10" t="s">
        <v>86</v>
      </c>
      <c r="H12739" s="9" t="s">
        <v>22</v>
      </c>
      <c r="I12739" s="9" t="s">
        <v>25907</v>
      </c>
      <c r="J12739" s="10" t="str">
        <f>HYPERLINK("https://www.boe.es/gazeta/dias/1834/04/13/pdfs/GMD-1834-52.pdf#page=2","Abrir facsímil")</f>
        <v>Abrir facsímil</v>
      </c>
      <c r="K12739" s="10" t="s">
        <v>24</v>
      </c>
    </row>
    <row r="12740" spans="1:11" ht="54" customHeight="1">
      <c r="A12740" s="9" t="s">
        <v>25906</v>
      </c>
      <c r="B12740" s="9" t="s">
        <v>25906</v>
      </c>
      <c r="C12740" s="9" t="s">
        <v>46</v>
      </c>
      <c r="D12740" s="9" t="s">
        <v>18</v>
      </c>
      <c r="E12740" s="10" t="s">
        <v>378</v>
      </c>
      <c r="F12740" s="9" t="s">
        <v>379</v>
      </c>
      <c r="G12740" s="10" t="s">
        <v>86</v>
      </c>
      <c r="H12740" s="9" t="s">
        <v>22</v>
      </c>
      <c r="I12740" s="9" t="s">
        <v>25908</v>
      </c>
      <c r="J12740" s="10" t="str">
        <f>HYPERLINK("https://www.boe.es/gazeta/dias/1834/09/24/pdfs/GMD-1834-222.pdf#page=2","Abrir facsímil")</f>
        <v>Abrir facsímil</v>
      </c>
      <c r="K12740" s="10" t="s">
        <v>24</v>
      </c>
    </row>
    <row r="12741" spans="1:11" ht="54" customHeight="1">
      <c r="A12741" s="9" t="s">
        <v>25906</v>
      </c>
      <c r="B12741" s="9" t="s">
        <v>25906</v>
      </c>
      <c r="C12741" s="9" t="s">
        <v>90</v>
      </c>
      <c r="D12741" s="9" t="s">
        <v>55</v>
      </c>
      <c r="E12741" s="10" t="s">
        <v>1689</v>
      </c>
      <c r="F12741" s="9" t="s">
        <v>1690</v>
      </c>
      <c r="G12741" s="10" t="s">
        <v>86</v>
      </c>
      <c r="H12741" s="9" t="s">
        <v>22</v>
      </c>
      <c r="I12741" s="9" t="s">
        <v>25909</v>
      </c>
      <c r="J12741" s="10" t="str">
        <f>HYPERLINK("https://www.boe.es/gazeta/dias/1834/07/28/pdfs/GMD-1834-161.pdf#page=2","Abrir facsímil")</f>
        <v>Abrir facsímil</v>
      </c>
      <c r="K12741" s="10" t="s">
        <v>24</v>
      </c>
    </row>
    <row r="12742" spans="1:11" ht="54" customHeight="1">
      <c r="A12742" s="9" t="s">
        <v>25910</v>
      </c>
      <c r="B12742" s="9" t="s">
        <v>25911</v>
      </c>
      <c r="C12742" s="9" t="s">
        <v>122</v>
      </c>
      <c r="D12742" s="9" t="s">
        <v>18</v>
      </c>
      <c r="E12742" s="10" t="s">
        <v>823</v>
      </c>
      <c r="F12742" s="9" t="s">
        <v>824</v>
      </c>
      <c r="G12742" s="10" t="s">
        <v>176</v>
      </c>
      <c r="H12742" s="9" t="s">
        <v>22</v>
      </c>
      <c r="I12742" s="9" t="s">
        <v>25912</v>
      </c>
      <c r="J12742" s="10" t="str">
        <f>HYPERLINK("https://www.boe.es/gazeta/dias/1834/07/23/pdfs/GMD-1834-156.pdf#page=6","Abrir facsímil")</f>
        <v>Abrir facsímil</v>
      </c>
      <c r="K12742" s="10" t="s">
        <v>24</v>
      </c>
    </row>
    <row r="12743" spans="1:11" ht="54" customHeight="1">
      <c r="A12743" s="9" t="s">
        <v>25913</v>
      </c>
      <c r="B12743" s="9" t="s">
        <v>25913</v>
      </c>
      <c r="C12743" s="9" t="s">
        <v>17</v>
      </c>
      <c r="D12743" s="9" t="s">
        <v>18</v>
      </c>
      <c r="E12743" s="10" t="s">
        <v>1017</v>
      </c>
      <c r="F12743" s="9" t="s">
        <v>1018</v>
      </c>
      <c r="G12743" s="10" t="s">
        <v>21</v>
      </c>
      <c r="H12743" s="9" t="s">
        <v>22</v>
      </c>
      <c r="I12743" s="9" t="s">
        <v>25914</v>
      </c>
      <c r="J12743" s="10" t="str">
        <f>HYPERLINK("https://www.boe.es/gazeta/dias/1834/07/24/pdfs/GMD-1834-157.pdf#page=3","Abrir facsímil")</f>
        <v>Abrir facsímil</v>
      </c>
      <c r="K12743" s="10" t="s">
        <v>24</v>
      </c>
    </row>
    <row r="12744" spans="1:11" ht="54" customHeight="1">
      <c r="A12744" s="9" t="s">
        <v>25915</v>
      </c>
      <c r="B12744" s="9" t="s">
        <v>25916</v>
      </c>
      <c r="C12744" s="9" t="s">
        <v>17</v>
      </c>
      <c r="D12744" s="9" t="s">
        <v>101</v>
      </c>
      <c r="E12744" s="10" t="s">
        <v>4565</v>
      </c>
      <c r="F12744" s="9" t="s">
        <v>4566</v>
      </c>
      <c r="G12744" s="10" t="s">
        <v>75</v>
      </c>
      <c r="H12744" s="9" t="s">
        <v>35</v>
      </c>
      <c r="I12744" s="9" t="s">
        <v>25917</v>
      </c>
      <c r="J12744" s="10" t="str">
        <f>HYPERLINK("https://www.boe.es/gazeta/dias/1834/07/10/pdfs/GMD-1834-143.pdf#page=4","Abrir facsímil")</f>
        <v>Abrir facsímil</v>
      </c>
      <c r="K12744" s="10" t="s">
        <v>37</v>
      </c>
    </row>
    <row r="12745" spans="1:11" ht="54" customHeight="1">
      <c r="A12745" s="9" t="s">
        <v>25918</v>
      </c>
      <c r="B12745" s="9" t="s">
        <v>25919</v>
      </c>
      <c r="C12745" s="9" t="s">
        <v>17</v>
      </c>
      <c r="D12745" s="9" t="s">
        <v>101</v>
      </c>
      <c r="E12745" s="10" t="s">
        <v>4565</v>
      </c>
      <c r="F12745" s="9" t="s">
        <v>4566</v>
      </c>
      <c r="G12745" s="10" t="s">
        <v>75</v>
      </c>
      <c r="H12745" s="9" t="s">
        <v>22</v>
      </c>
      <c r="I12745" s="9" t="s">
        <v>25920</v>
      </c>
      <c r="J12745" s="10" t="str">
        <f>HYPERLINK("https://www.boe.es/gazeta/dias/1834/07/10/pdfs/GMD-1834-143.pdf#page=4","Abrir facsímil")</f>
        <v>Abrir facsímil</v>
      </c>
      <c r="K12745" s="10" t="s">
        <v>24</v>
      </c>
    </row>
    <row r="12746" spans="1:11" ht="54" customHeight="1">
      <c r="A12746" s="9" t="s">
        <v>25921</v>
      </c>
      <c r="B12746" s="9" t="s">
        <v>25921</v>
      </c>
      <c r="C12746" s="9" t="s">
        <v>90</v>
      </c>
      <c r="D12746" s="9" t="s">
        <v>18</v>
      </c>
      <c r="E12746" s="10" t="s">
        <v>905</v>
      </c>
      <c r="F12746" s="9" t="s">
        <v>906</v>
      </c>
      <c r="G12746" s="10" t="s">
        <v>34</v>
      </c>
      <c r="H12746" s="9" t="s">
        <v>22</v>
      </c>
      <c r="I12746" s="9" t="s">
        <v>25922</v>
      </c>
      <c r="J12746" s="10" t="str">
        <f>HYPERLINK("https://www.boe.es/gazeta/dias/1834/08/02/pdfs/GMD-C-1834-166.pdf#page=1","Abrir facsímil")</f>
        <v>Abrir facsímil</v>
      </c>
      <c r="K12746" s="10" t="s">
        <v>24</v>
      </c>
    </row>
    <row r="12747" spans="1:11" ht="54" customHeight="1">
      <c r="A12747" s="9" t="s">
        <v>25923</v>
      </c>
      <c r="B12747" s="9" t="s">
        <v>25923</v>
      </c>
      <c r="C12747" s="9" t="s">
        <v>46</v>
      </c>
      <c r="D12747" s="9" t="s">
        <v>101</v>
      </c>
      <c r="E12747" s="10" t="s">
        <v>707</v>
      </c>
      <c r="F12747" s="9" t="s">
        <v>1359</v>
      </c>
      <c r="G12747" s="10" t="s">
        <v>86</v>
      </c>
      <c r="H12747" s="9" t="s">
        <v>22</v>
      </c>
      <c r="I12747" s="9" t="s">
        <v>25924</v>
      </c>
      <c r="J12747" s="10" t="str">
        <f>HYPERLINK("https://www.boe.es/gazeta/dias/1834/11/25/pdfs/GMD-1834-284.pdf#page=2","Abrir facsímil")</f>
        <v>Abrir facsímil</v>
      </c>
      <c r="K12747" s="10" t="s">
        <v>24</v>
      </c>
    </row>
    <row r="12748" spans="1:11" ht="54" customHeight="1">
      <c r="A12748" s="9" t="s">
        <v>25925</v>
      </c>
      <c r="B12748" s="9" t="s">
        <v>25925</v>
      </c>
      <c r="C12748" s="9" t="s">
        <v>90</v>
      </c>
      <c r="D12748" s="9" t="s">
        <v>18</v>
      </c>
      <c r="E12748" s="10" t="s">
        <v>479</v>
      </c>
      <c r="F12748" s="9" t="s">
        <v>480</v>
      </c>
      <c r="G12748" s="10" t="s">
        <v>86</v>
      </c>
      <c r="H12748" s="9" t="s">
        <v>22</v>
      </c>
      <c r="I12748" s="9" t="s">
        <v>25926</v>
      </c>
      <c r="J12748" s="10" t="str">
        <f>HYPERLINK("https://www.boe.es/gazeta/dias/1834/08/13/pdfs/GMD-1834-178.pdf#page=2","Abrir facsímil")</f>
        <v>Abrir facsímil</v>
      </c>
      <c r="K12748" s="10" t="s">
        <v>24</v>
      </c>
    </row>
    <row r="12749" spans="1:11" ht="54" customHeight="1">
      <c r="A12749" s="9" t="s">
        <v>25927</v>
      </c>
      <c r="B12749" s="9" t="s">
        <v>25927</v>
      </c>
      <c r="C12749" s="9" t="s">
        <v>46</v>
      </c>
      <c r="D12749" s="9" t="s">
        <v>18</v>
      </c>
      <c r="E12749" s="10" t="s">
        <v>429</v>
      </c>
      <c r="F12749" s="9" t="s">
        <v>3421</v>
      </c>
      <c r="G12749" s="10" t="s">
        <v>21</v>
      </c>
      <c r="H12749" s="9" t="s">
        <v>22</v>
      </c>
      <c r="I12749" s="9" t="s">
        <v>25928</v>
      </c>
      <c r="J12749" s="10" t="str">
        <f>HYPERLINK("https://www.boe.es/gazeta/dias/1834/08/07/pdfs/GMD-1834-172.pdf#page=3","Abrir facsímil")</f>
        <v>Abrir facsímil</v>
      </c>
      <c r="K12749" s="10" t="s">
        <v>24</v>
      </c>
    </row>
    <row r="12750" spans="1:11" ht="54" customHeight="1">
      <c r="A12750" s="9" t="s">
        <v>25927</v>
      </c>
      <c r="B12750" s="9" t="s">
        <v>25927</v>
      </c>
      <c r="C12750" s="9" t="s">
        <v>66</v>
      </c>
      <c r="D12750" s="9" t="s">
        <v>67</v>
      </c>
      <c r="E12750" s="10" t="s">
        <v>3057</v>
      </c>
      <c r="F12750" s="9" t="s">
        <v>3058</v>
      </c>
      <c r="G12750" s="10" t="s">
        <v>86</v>
      </c>
      <c r="H12750" s="9" t="s">
        <v>22</v>
      </c>
      <c r="I12750" s="9" t="s">
        <v>25929</v>
      </c>
      <c r="J12750" s="10" t="str">
        <f>HYPERLINK("https://www.boe.es/gazeta/dias/1834/06/14/pdfs/GMD-1834-117.pdf#page=2","Abrir facsímil")</f>
        <v>Abrir facsímil</v>
      </c>
      <c r="K12750" s="10" t="s">
        <v>24</v>
      </c>
    </row>
    <row r="12751" spans="1:11" ht="54" customHeight="1">
      <c r="A12751" s="9" t="s">
        <v>25927</v>
      </c>
      <c r="B12751" s="9" t="s">
        <v>25927</v>
      </c>
      <c r="C12751" s="9" t="s">
        <v>17</v>
      </c>
      <c r="D12751" s="9" t="s">
        <v>55</v>
      </c>
      <c r="E12751" s="10" t="s">
        <v>2107</v>
      </c>
      <c r="F12751" s="9" t="s">
        <v>2108</v>
      </c>
      <c r="G12751" s="10" t="s">
        <v>86</v>
      </c>
      <c r="H12751" s="9" t="s">
        <v>22</v>
      </c>
      <c r="I12751" s="9" t="s">
        <v>25930</v>
      </c>
      <c r="J12751" s="10" t="str">
        <f>HYPERLINK("https://www.boe.es/gazeta/dias/1834/08/24/pdfs/GMD-1834-190.pdf#page=2","Abrir facsímil")</f>
        <v>Abrir facsímil</v>
      </c>
      <c r="K12751" s="10" t="s">
        <v>24</v>
      </c>
    </row>
    <row r="12752" spans="1:11" ht="54" customHeight="1">
      <c r="A12752" s="9" t="s">
        <v>25931</v>
      </c>
      <c r="B12752" s="9" t="s">
        <v>25932</v>
      </c>
      <c r="C12752" s="9" t="s">
        <v>17</v>
      </c>
      <c r="D12752" s="9" t="s">
        <v>18</v>
      </c>
      <c r="E12752" s="10" t="s">
        <v>2398</v>
      </c>
      <c r="F12752" s="9" t="s">
        <v>2399</v>
      </c>
      <c r="G12752" s="10" t="s">
        <v>75</v>
      </c>
      <c r="H12752" s="9" t="s">
        <v>22</v>
      </c>
      <c r="I12752" s="9" t="s">
        <v>25933</v>
      </c>
      <c r="J12752" s="10" t="str">
        <f>HYPERLINK("https://www.boe.es/gazeta/dias/1834/01/16/pdfs/GMD-1834-8.pdf#page=4","Abrir facsímil")</f>
        <v>Abrir facsímil</v>
      </c>
      <c r="K12752" s="10" t="s">
        <v>24</v>
      </c>
    </row>
    <row r="12753" spans="1:11" ht="54" customHeight="1">
      <c r="A12753" s="9" t="s">
        <v>25934</v>
      </c>
      <c r="B12753" s="9" t="s">
        <v>25935</v>
      </c>
      <c r="C12753" s="9" t="s">
        <v>17</v>
      </c>
      <c r="D12753" s="9" t="s">
        <v>18</v>
      </c>
      <c r="E12753" s="10" t="s">
        <v>866</v>
      </c>
      <c r="F12753" s="9" t="s">
        <v>867</v>
      </c>
      <c r="G12753" s="10" t="s">
        <v>75</v>
      </c>
      <c r="H12753" s="9" t="s">
        <v>22</v>
      </c>
      <c r="I12753" s="9" t="s">
        <v>25936</v>
      </c>
      <c r="J12753" s="10" t="str">
        <f>HYPERLINK("https://www.boe.es/gazeta/dias/1834/01/18/pdfs/GMD-1834-9.pdf#page=4","Abrir facsímil")</f>
        <v>Abrir facsímil</v>
      </c>
      <c r="K12753" s="10" t="s">
        <v>24</v>
      </c>
    </row>
    <row r="12754" spans="1:11" ht="54" customHeight="1">
      <c r="A12754" s="9" t="s">
        <v>25937</v>
      </c>
      <c r="B12754" s="9" t="s">
        <v>25937</v>
      </c>
      <c r="C12754" s="9" t="s">
        <v>17</v>
      </c>
      <c r="D12754" s="9" t="s">
        <v>55</v>
      </c>
      <c r="E12754" s="10" t="s">
        <v>1572</v>
      </c>
      <c r="F12754" s="9" t="s">
        <v>1573</v>
      </c>
      <c r="G12754" s="10" t="s">
        <v>21</v>
      </c>
      <c r="H12754" s="9" t="s">
        <v>22</v>
      </c>
      <c r="I12754" s="9" t="s">
        <v>25938</v>
      </c>
      <c r="J12754" s="10" t="str">
        <f>HYPERLINK("https://www.boe.es/gazeta/dias/1834/03/20/pdfs/GMD-1834-35.pdf#page=3","Abrir facsímil")</f>
        <v>Abrir facsímil</v>
      </c>
      <c r="K12754" s="10" t="s">
        <v>24</v>
      </c>
    </row>
    <row r="12755" spans="1:11" ht="54" customHeight="1">
      <c r="A12755" s="9" t="s">
        <v>25939</v>
      </c>
      <c r="B12755" s="9" t="s">
        <v>25939</v>
      </c>
      <c r="C12755" s="9" t="s">
        <v>90</v>
      </c>
      <c r="D12755" s="9" t="s">
        <v>18</v>
      </c>
      <c r="E12755" s="10" t="s">
        <v>8200</v>
      </c>
      <c r="F12755" s="9" t="s">
        <v>8201</v>
      </c>
      <c r="G12755" s="10" t="s">
        <v>34</v>
      </c>
      <c r="H12755" s="9" t="s">
        <v>22</v>
      </c>
      <c r="I12755" s="9" t="s">
        <v>25940</v>
      </c>
      <c r="J12755" s="10" t="str">
        <f>HYPERLINK("https://www.boe.es/gazeta/dias/1834/11/17/pdfs/GMD-1834-276.pdf#page=1","Abrir facsímil")</f>
        <v>Abrir facsímil</v>
      </c>
      <c r="K12755" s="10" t="s">
        <v>24</v>
      </c>
    </row>
    <row r="12756" spans="1:11" ht="54" customHeight="1">
      <c r="A12756" s="9" t="s">
        <v>25941</v>
      </c>
      <c r="B12756" s="9" t="s">
        <v>25941</v>
      </c>
      <c r="C12756" s="9" t="s">
        <v>66</v>
      </c>
      <c r="D12756" s="9" t="s">
        <v>67</v>
      </c>
      <c r="E12756" s="10" t="s">
        <v>1572</v>
      </c>
      <c r="F12756" s="9" t="s">
        <v>1573</v>
      </c>
      <c r="G12756" s="10" t="s">
        <v>21</v>
      </c>
      <c r="H12756" s="9" t="s">
        <v>22</v>
      </c>
      <c r="I12756" s="9" t="s">
        <v>25942</v>
      </c>
      <c r="J12756" s="10" t="str">
        <f>HYPERLINK("https://www.boe.es/gazeta/dias/1834/03/20/pdfs/GMD-1834-35.pdf#page=3","Abrir facsímil")</f>
        <v>Abrir facsímil</v>
      </c>
      <c r="K12756" s="10" t="s">
        <v>24</v>
      </c>
    </row>
    <row r="12757" spans="1:11" ht="54" customHeight="1">
      <c r="A12757" s="9" t="s">
        <v>25943</v>
      </c>
      <c r="B12757" s="9" t="s">
        <v>25944</v>
      </c>
      <c r="C12757" s="9" t="s">
        <v>46</v>
      </c>
      <c r="D12757" s="9" t="s">
        <v>101</v>
      </c>
      <c r="E12757" s="10" t="s">
        <v>1226</v>
      </c>
      <c r="F12757" s="9" t="s">
        <v>1227</v>
      </c>
      <c r="G12757" s="10" t="s">
        <v>21</v>
      </c>
      <c r="H12757" s="9" t="s">
        <v>22</v>
      </c>
      <c r="I12757" s="9" t="s">
        <v>25945</v>
      </c>
      <c r="J12757" s="10" t="str">
        <f>HYPERLINK("https://www.boe.es/gazeta/dias/1834/07/14/pdfs/GMD-1834-147.pdf#page=3","Abrir facsímil")</f>
        <v>Abrir facsímil</v>
      </c>
      <c r="K12757" s="10" t="s">
        <v>24</v>
      </c>
    </row>
    <row r="12758" spans="1:11" ht="54" customHeight="1">
      <c r="A12758" s="9" t="s">
        <v>25946</v>
      </c>
      <c r="B12758" s="9" t="s">
        <v>25947</v>
      </c>
      <c r="C12758" s="9" t="s">
        <v>66</v>
      </c>
      <c r="D12758" s="9" t="s">
        <v>67</v>
      </c>
      <c r="E12758" s="10" t="s">
        <v>1084</v>
      </c>
      <c r="F12758" s="9" t="s">
        <v>1085</v>
      </c>
      <c r="G12758" s="10" t="s">
        <v>176</v>
      </c>
      <c r="H12758" s="9" t="s">
        <v>22</v>
      </c>
      <c r="I12758" s="9" t="s">
        <v>25948</v>
      </c>
      <c r="J12758" s="10" t="str">
        <f>HYPERLINK("https://www.boe.es/gazeta/dias/1834/05/01/pdfs/GMD-1834-70.pdf#page=6","Abrir facsímil")</f>
        <v>Abrir facsímil</v>
      </c>
      <c r="K12758" s="10" t="s">
        <v>24</v>
      </c>
    </row>
    <row r="12759" spans="1:11" ht="54" customHeight="1">
      <c r="A12759" s="9" t="s">
        <v>25949</v>
      </c>
      <c r="B12759" s="9" t="s">
        <v>25950</v>
      </c>
      <c r="C12759" s="9" t="s">
        <v>17</v>
      </c>
      <c r="D12759" s="9" t="s">
        <v>18</v>
      </c>
      <c r="E12759" s="10" t="s">
        <v>237</v>
      </c>
      <c r="F12759" s="9" t="s">
        <v>4609</v>
      </c>
      <c r="G12759" s="10" t="s">
        <v>34</v>
      </c>
      <c r="H12759" s="9" t="s">
        <v>22</v>
      </c>
      <c r="I12759" s="9" t="s">
        <v>25951</v>
      </c>
      <c r="J12759" s="10" t="str">
        <f>HYPERLINK("https://www.boe.es/gazeta/dias/1834/08/15/pdfs/GMD-1834-180.pdf#page=1","Abrir facsímil")</f>
        <v>Abrir facsímil</v>
      </c>
      <c r="K12759" s="10" t="s">
        <v>24</v>
      </c>
    </row>
    <row r="12760" spans="1:11" ht="54" customHeight="1">
      <c r="A12760" s="9" t="s">
        <v>25952</v>
      </c>
      <c r="B12760" s="9" t="s">
        <v>25953</v>
      </c>
      <c r="C12760" s="9" t="s">
        <v>46</v>
      </c>
      <c r="D12760" s="9" t="s">
        <v>101</v>
      </c>
      <c r="E12760" s="10" t="s">
        <v>32</v>
      </c>
      <c r="F12760" s="9" t="s">
        <v>7431</v>
      </c>
      <c r="G12760" s="10" t="s">
        <v>34</v>
      </c>
      <c r="H12760" s="9" t="s">
        <v>22</v>
      </c>
      <c r="I12760" s="9" t="s">
        <v>25954</v>
      </c>
      <c r="J12760" s="10" t="str">
        <f>HYPERLINK("https://www.boe.es/gazeta/dias/1834/04/23/pdfs/GMD-C-1834-62.pdf#page=1","Abrir facsímil")</f>
        <v>Abrir facsímil</v>
      </c>
      <c r="K12760" s="10" t="s">
        <v>24</v>
      </c>
    </row>
    <row r="12761" spans="1:11" ht="54" customHeight="1">
      <c r="A12761" s="9" t="s">
        <v>25955</v>
      </c>
      <c r="B12761" s="9" t="s">
        <v>25956</v>
      </c>
      <c r="C12761" s="9" t="s">
        <v>46</v>
      </c>
      <c r="D12761" s="9" t="s">
        <v>101</v>
      </c>
      <c r="E12761" s="10" t="s">
        <v>32</v>
      </c>
      <c r="F12761" s="9" t="s">
        <v>7431</v>
      </c>
      <c r="G12761" s="10" t="s">
        <v>34</v>
      </c>
      <c r="H12761" s="9" t="s">
        <v>35</v>
      </c>
      <c r="I12761" s="9" t="s">
        <v>25954</v>
      </c>
      <c r="J12761" s="10" t="str">
        <f>HYPERLINK("https://www.boe.es/gazeta/dias/1834/04/23/pdfs/GMD-C-1834-62.pdf#page=1","Abrir facsímil")</f>
        <v>Abrir facsímil</v>
      </c>
      <c r="K12761" s="10" t="s">
        <v>37</v>
      </c>
    </row>
    <row r="12762" spans="1:11" ht="54" customHeight="1">
      <c r="A12762" s="9" t="s">
        <v>25957</v>
      </c>
      <c r="B12762" s="9" t="s">
        <v>25958</v>
      </c>
      <c r="C12762" s="9" t="s">
        <v>17</v>
      </c>
      <c r="D12762" s="9" t="s">
        <v>55</v>
      </c>
      <c r="E12762" s="10" t="s">
        <v>2950</v>
      </c>
      <c r="F12762" s="9" t="s">
        <v>2951</v>
      </c>
      <c r="G12762" s="10" t="s">
        <v>21</v>
      </c>
      <c r="H12762" s="9" t="s">
        <v>22</v>
      </c>
      <c r="I12762" s="9" t="s">
        <v>25959</v>
      </c>
      <c r="J12762" s="10" t="str">
        <f>HYPERLINK("https://www.boe.es/gazeta/dias/1834/05/20/pdfs/GMD-1834-89.pdf#page=3","Abrir facsímil")</f>
        <v>Abrir facsímil</v>
      </c>
      <c r="K12762" s="10" t="s">
        <v>24</v>
      </c>
    </row>
    <row r="12763" spans="1:11" ht="54" customHeight="1">
      <c r="A12763" s="9" t="s">
        <v>25960</v>
      </c>
      <c r="B12763" s="9" t="s">
        <v>25961</v>
      </c>
      <c r="C12763" s="9" t="s">
        <v>17</v>
      </c>
      <c r="D12763" s="9" t="s">
        <v>18</v>
      </c>
      <c r="E12763" s="10" t="s">
        <v>32</v>
      </c>
      <c r="F12763" s="9" t="s">
        <v>7431</v>
      </c>
      <c r="G12763" s="10" t="s">
        <v>34</v>
      </c>
      <c r="H12763" s="9" t="s">
        <v>22</v>
      </c>
      <c r="I12763" s="9" t="s">
        <v>25962</v>
      </c>
      <c r="J12763" s="10" t="str">
        <f>HYPERLINK("https://www.boe.es/gazeta/dias/1834/04/23/pdfs/GMD-C-1834-62.pdf#page=1","Abrir facsímil")</f>
        <v>Abrir facsímil</v>
      </c>
      <c r="K12763" s="10" t="s">
        <v>24</v>
      </c>
    </row>
    <row r="12764" spans="1:11" ht="54" customHeight="1">
      <c r="A12764" s="9" t="s">
        <v>25963</v>
      </c>
      <c r="B12764" s="9" t="s">
        <v>25964</v>
      </c>
      <c r="C12764" s="9" t="s">
        <v>66</v>
      </c>
      <c r="D12764" s="9" t="s">
        <v>67</v>
      </c>
      <c r="E12764" s="10" t="s">
        <v>866</v>
      </c>
      <c r="F12764" s="9" t="s">
        <v>867</v>
      </c>
      <c r="G12764" s="10" t="s">
        <v>21</v>
      </c>
      <c r="H12764" s="9" t="s">
        <v>35</v>
      </c>
      <c r="I12764" s="9" t="s">
        <v>25965</v>
      </c>
      <c r="J12764" s="10" t="str">
        <f>HYPERLINK("https://www.boe.es/gazeta/dias/1834/01/18/pdfs/GMD-1834-9.pdf#page=3","Abrir facsímil")</f>
        <v>Abrir facsímil</v>
      </c>
      <c r="K12764" s="10" t="s">
        <v>37</v>
      </c>
    </row>
    <row r="12765" spans="1:11" ht="54" customHeight="1">
      <c r="A12765" s="9" t="s">
        <v>25966</v>
      </c>
      <c r="B12765" s="9" t="s">
        <v>25967</v>
      </c>
      <c r="C12765" s="9" t="s">
        <v>17</v>
      </c>
      <c r="D12765" s="9" t="s">
        <v>18</v>
      </c>
      <c r="E12765" s="10" t="s">
        <v>3471</v>
      </c>
      <c r="F12765" s="9" t="s">
        <v>3472</v>
      </c>
      <c r="G12765" s="10" t="s">
        <v>21</v>
      </c>
      <c r="H12765" s="9" t="s">
        <v>35</v>
      </c>
      <c r="I12765" s="9" t="s">
        <v>25968</v>
      </c>
      <c r="J12765" s="10" t="str">
        <f>HYPERLINK("https://www.boe.es/gazeta/dias/1834/07/07/pdfs/GMD-1834-140.pdf#page=3","Abrir facsímil")</f>
        <v>Abrir facsímil</v>
      </c>
      <c r="K12765" s="10" t="s">
        <v>37</v>
      </c>
    </row>
    <row r="12766" spans="1:11" ht="54" customHeight="1">
      <c r="A12766" s="9" t="s">
        <v>25969</v>
      </c>
      <c r="B12766" s="9" t="s">
        <v>25970</v>
      </c>
      <c r="C12766" s="9" t="s">
        <v>66</v>
      </c>
      <c r="D12766" s="9" t="s">
        <v>67</v>
      </c>
      <c r="E12766" s="10" t="s">
        <v>866</v>
      </c>
      <c r="F12766" s="9" t="s">
        <v>867</v>
      </c>
      <c r="G12766" s="10" t="s">
        <v>21</v>
      </c>
      <c r="H12766" s="9" t="s">
        <v>22</v>
      </c>
      <c r="I12766" s="9" t="s">
        <v>25971</v>
      </c>
      <c r="J12766" s="10" t="str">
        <f>HYPERLINK("https://www.boe.es/gazeta/dias/1834/01/18/pdfs/GMD-1834-9.pdf#page=3","Abrir facsímil")</f>
        <v>Abrir facsímil</v>
      </c>
      <c r="K12766" s="10" t="s">
        <v>24</v>
      </c>
    </row>
    <row r="12767" spans="1:11" ht="54" customHeight="1">
      <c r="A12767" s="9" t="s">
        <v>25972</v>
      </c>
      <c r="B12767" s="9" t="s">
        <v>25973</v>
      </c>
      <c r="C12767" s="9" t="s">
        <v>66</v>
      </c>
      <c r="D12767" s="9" t="s">
        <v>67</v>
      </c>
      <c r="E12767" s="10" t="s">
        <v>4565</v>
      </c>
      <c r="F12767" s="9" t="s">
        <v>4566</v>
      </c>
      <c r="G12767" s="10" t="s">
        <v>75</v>
      </c>
      <c r="H12767" s="9" t="s">
        <v>22</v>
      </c>
      <c r="I12767" s="9" t="s">
        <v>25974</v>
      </c>
      <c r="J12767" s="10" t="str">
        <f>HYPERLINK("https://www.boe.es/gazeta/dias/1834/07/10/pdfs/GMD-1834-143.pdf#page=4","Abrir facsímil")</f>
        <v>Abrir facsímil</v>
      </c>
      <c r="K12767" s="10" t="s">
        <v>24</v>
      </c>
    </row>
    <row r="12768" spans="1:11" ht="54" customHeight="1">
      <c r="A12768" s="9" t="s">
        <v>25972</v>
      </c>
      <c r="B12768" s="9" t="s">
        <v>25973</v>
      </c>
      <c r="C12768" s="9" t="s">
        <v>66</v>
      </c>
      <c r="D12768" s="9" t="s">
        <v>67</v>
      </c>
      <c r="E12768" s="10" t="s">
        <v>8010</v>
      </c>
      <c r="F12768" s="9" t="s">
        <v>8011</v>
      </c>
      <c r="G12768" s="10" t="s">
        <v>21</v>
      </c>
      <c r="H12768" s="9" t="s">
        <v>22</v>
      </c>
      <c r="I12768" s="9" t="s">
        <v>25975</v>
      </c>
      <c r="J12768" s="10" t="str">
        <f>HYPERLINK("https://www.boe.es/gazeta/dias/1834/08/28/pdfs/GMD-1834-194.pdf#page=3","Abrir facsímil")</f>
        <v>Abrir facsímil</v>
      </c>
      <c r="K12768" s="10" t="s">
        <v>24</v>
      </c>
    </row>
    <row r="12769" spans="1:11" ht="54" customHeight="1">
      <c r="A12769" s="9" t="s">
        <v>25976</v>
      </c>
      <c r="B12769" s="9" t="s">
        <v>25977</v>
      </c>
      <c r="C12769" s="9" t="s">
        <v>17</v>
      </c>
      <c r="D12769" s="9" t="s">
        <v>18</v>
      </c>
      <c r="E12769" s="10" t="s">
        <v>1410</v>
      </c>
      <c r="F12769" s="9" t="s">
        <v>1411</v>
      </c>
      <c r="G12769" s="10" t="s">
        <v>21</v>
      </c>
      <c r="H12769" s="9" t="s">
        <v>22</v>
      </c>
      <c r="I12769" s="9" t="s">
        <v>25978</v>
      </c>
      <c r="J12769" s="10" t="str">
        <f>HYPERLINK("https://www.boe.es/gazeta/dias/1834/09/09/pdfs/GMD-1834-207.pdf#page=3","Abrir facsímil")</f>
        <v>Abrir facsímil</v>
      </c>
      <c r="K12769" s="10" t="s">
        <v>24</v>
      </c>
    </row>
    <row r="12770" spans="1:11" ht="54" customHeight="1">
      <c r="A12770" s="9" t="s">
        <v>25976</v>
      </c>
      <c r="B12770" s="9" t="s">
        <v>25977</v>
      </c>
      <c r="C12770" s="9" t="s">
        <v>17</v>
      </c>
      <c r="D12770" s="9" t="s">
        <v>18</v>
      </c>
      <c r="E12770" s="10" t="s">
        <v>143</v>
      </c>
      <c r="F12770" s="9" t="s">
        <v>144</v>
      </c>
      <c r="G12770" s="10" t="s">
        <v>21</v>
      </c>
      <c r="H12770" s="9" t="s">
        <v>22</v>
      </c>
      <c r="I12770" s="9" t="s">
        <v>25979</v>
      </c>
      <c r="J12770" s="10" t="str">
        <f>HYPERLINK("https://www.boe.es/gazeta/dias/1834/07/31/pdfs/GMD-1834-164.pdf#page=3","Abrir facsímil")</f>
        <v>Abrir facsímil</v>
      </c>
      <c r="K12770" s="10" t="s">
        <v>24</v>
      </c>
    </row>
    <row r="12771" spans="1:11" ht="54" customHeight="1">
      <c r="A12771" s="9" t="s">
        <v>25980</v>
      </c>
      <c r="B12771" s="9" t="s">
        <v>25981</v>
      </c>
      <c r="C12771" s="9" t="s">
        <v>122</v>
      </c>
      <c r="D12771" s="9" t="s">
        <v>40</v>
      </c>
      <c r="E12771" s="10" t="s">
        <v>448</v>
      </c>
      <c r="F12771" s="9" t="s">
        <v>2058</v>
      </c>
      <c r="G12771" s="10" t="s">
        <v>75</v>
      </c>
      <c r="H12771" s="9" t="s">
        <v>22</v>
      </c>
      <c r="I12771" s="9" t="s">
        <v>25982</v>
      </c>
      <c r="J12771" s="10" t="str">
        <f>HYPERLINK("https://www.boe.es/gazeta/dias/1834/10/14/pdfs/GMD-1834-242.pdf#page=4","Abrir facsímil")</f>
        <v>Abrir facsímil</v>
      </c>
      <c r="K12771" s="10" t="s">
        <v>24</v>
      </c>
    </row>
    <row r="12772" spans="1:11" ht="54" customHeight="1">
      <c r="A12772" s="9" t="s">
        <v>25983</v>
      </c>
      <c r="B12772" s="9" t="s">
        <v>25984</v>
      </c>
      <c r="C12772" s="9" t="s">
        <v>17</v>
      </c>
      <c r="D12772" s="9" t="s">
        <v>18</v>
      </c>
      <c r="E12772" s="10" t="s">
        <v>1323</v>
      </c>
      <c r="F12772" s="9" t="s">
        <v>1324</v>
      </c>
      <c r="G12772" s="10" t="s">
        <v>34</v>
      </c>
      <c r="H12772" s="9" t="s">
        <v>22</v>
      </c>
      <c r="I12772" s="9" t="s">
        <v>25985</v>
      </c>
      <c r="J12772" s="10" t="str">
        <f>HYPERLINK("https://www.boe.es/gazeta/dias/1834/05/22/pdfs/GMD-1834-91.pdf#page=1","Abrir facsímil")</f>
        <v>Abrir facsímil</v>
      </c>
      <c r="K12772" s="10" t="s">
        <v>24</v>
      </c>
    </row>
    <row r="12773" spans="1:11" ht="54" customHeight="1">
      <c r="A12773" s="9" t="s">
        <v>25986</v>
      </c>
      <c r="B12773" s="9" t="s">
        <v>25987</v>
      </c>
      <c r="C12773" s="9" t="s">
        <v>17</v>
      </c>
      <c r="D12773" s="9" t="s">
        <v>18</v>
      </c>
      <c r="E12773" s="10" t="s">
        <v>3471</v>
      </c>
      <c r="F12773" s="9" t="s">
        <v>3472</v>
      </c>
      <c r="G12773" s="10" t="s">
        <v>21</v>
      </c>
      <c r="H12773" s="9" t="s">
        <v>22</v>
      </c>
      <c r="I12773" s="9" t="s">
        <v>25988</v>
      </c>
      <c r="J12773" s="10" t="str">
        <f>HYPERLINK("https://www.boe.es/gazeta/dias/1834/07/07/pdfs/GMD-1834-140.pdf#page=3","Abrir facsímil")</f>
        <v>Abrir facsímil</v>
      </c>
      <c r="K12773" s="10" t="s">
        <v>24</v>
      </c>
    </row>
    <row r="12774" spans="1:11" ht="54" customHeight="1">
      <c r="A12774" s="9" t="s">
        <v>25989</v>
      </c>
      <c r="B12774" s="9" t="s">
        <v>25990</v>
      </c>
      <c r="C12774" s="9" t="s">
        <v>66</v>
      </c>
      <c r="D12774" s="9" t="s">
        <v>67</v>
      </c>
      <c r="E12774" s="10" t="s">
        <v>724</v>
      </c>
      <c r="F12774" s="9" t="s">
        <v>725</v>
      </c>
      <c r="G12774" s="10" t="s">
        <v>28</v>
      </c>
      <c r="H12774" s="9" t="s">
        <v>22</v>
      </c>
      <c r="I12774" s="9" t="s">
        <v>25991</v>
      </c>
      <c r="J12774" s="10" t="str">
        <f>HYPERLINK("https://www.boe.es/gazeta/dias/1834/04/25/pdfs/GMD-1834-64.pdf#page=5","Abrir facsímil")</f>
        <v>Abrir facsímil</v>
      </c>
      <c r="K12774" s="10" t="s">
        <v>24</v>
      </c>
    </row>
    <row r="12775" spans="1:11" ht="54" customHeight="1">
      <c r="A12775" s="9" t="s">
        <v>25992</v>
      </c>
      <c r="B12775" s="9" t="s">
        <v>25993</v>
      </c>
      <c r="C12775" s="9" t="s">
        <v>17</v>
      </c>
      <c r="D12775" s="9" t="s">
        <v>101</v>
      </c>
      <c r="E12775" s="10" t="s">
        <v>863</v>
      </c>
      <c r="F12775" s="9" t="s">
        <v>864</v>
      </c>
      <c r="G12775" s="10" t="s">
        <v>75</v>
      </c>
      <c r="H12775" s="9" t="s">
        <v>22</v>
      </c>
      <c r="I12775" s="9" t="s">
        <v>25994</v>
      </c>
      <c r="J12775" s="10" t="str">
        <f>HYPERLINK("https://www.boe.es/gazeta/dias/1834/09/15/pdfs/GMD-1834-213.pdf#page=4","Abrir facsímil")</f>
        <v>Abrir facsímil</v>
      </c>
      <c r="K12775" s="10" t="s">
        <v>24</v>
      </c>
    </row>
    <row r="12776" spans="1:11" ht="54" customHeight="1">
      <c r="A12776" s="9" t="s">
        <v>25995</v>
      </c>
      <c r="B12776" s="9" t="s">
        <v>25995</v>
      </c>
      <c r="C12776" s="9" t="s">
        <v>17</v>
      </c>
      <c r="D12776" s="9" t="s">
        <v>18</v>
      </c>
      <c r="E12776" s="10" t="s">
        <v>899</v>
      </c>
      <c r="F12776" s="9" t="s">
        <v>900</v>
      </c>
      <c r="G12776" s="10" t="s">
        <v>21</v>
      </c>
      <c r="H12776" s="9" t="s">
        <v>22</v>
      </c>
      <c r="I12776" s="9" t="s">
        <v>25996</v>
      </c>
      <c r="J12776" s="10" t="str">
        <f>HYPERLINK("https://www.boe.es/gazeta/dias/1834/01/30/pdfs/GMD-1834-14.pdf#page=3","Abrir facsímil")</f>
        <v>Abrir facsímil</v>
      </c>
      <c r="K12776" s="10" t="s">
        <v>24</v>
      </c>
    </row>
    <row r="12777" spans="1:11" ht="54" customHeight="1">
      <c r="A12777" s="9" t="s">
        <v>25997</v>
      </c>
      <c r="B12777" s="9" t="s">
        <v>25998</v>
      </c>
      <c r="C12777" s="9" t="s">
        <v>17</v>
      </c>
      <c r="D12777" s="9" t="s">
        <v>18</v>
      </c>
      <c r="E12777" s="10" t="s">
        <v>513</v>
      </c>
      <c r="F12777" s="9" t="s">
        <v>514</v>
      </c>
      <c r="G12777" s="10" t="s">
        <v>176</v>
      </c>
      <c r="H12777" s="9" t="s">
        <v>22</v>
      </c>
      <c r="I12777" s="9" t="s">
        <v>25999</v>
      </c>
      <c r="J12777" s="10" t="str">
        <f>HYPERLINK("https://www.boe.es/gazeta/dias/1834/04/27/pdfs/GMD-1834-66.pdf#page=6","Abrir facsímil")</f>
        <v>Abrir facsímil</v>
      </c>
      <c r="K12777" s="10" t="s">
        <v>24</v>
      </c>
    </row>
    <row r="12778" spans="1:11" ht="54" customHeight="1">
      <c r="A12778" s="9" t="s">
        <v>26000</v>
      </c>
      <c r="B12778" s="9" t="s">
        <v>26001</v>
      </c>
      <c r="C12778" s="9" t="s">
        <v>17</v>
      </c>
      <c r="D12778" s="9" t="s">
        <v>40</v>
      </c>
      <c r="E12778" s="10" t="s">
        <v>2306</v>
      </c>
      <c r="F12778" s="9" t="s">
        <v>2307</v>
      </c>
      <c r="G12778" s="10" t="s">
        <v>21</v>
      </c>
      <c r="H12778" s="9" t="s">
        <v>22</v>
      </c>
      <c r="I12778" s="9" t="s">
        <v>26002</v>
      </c>
      <c r="J12778" s="10" t="str">
        <f>HYPERLINK("https://www.boe.es/gazeta/dias/1834/04/26/pdfs/GMD-1834-65.pdf#page=3","Abrir facsímil")</f>
        <v>Abrir facsímil</v>
      </c>
      <c r="K12778" s="10" t="s">
        <v>24</v>
      </c>
    </row>
    <row r="12779" spans="1:11" ht="54" customHeight="1">
      <c r="A12779" s="9" t="s">
        <v>26000</v>
      </c>
      <c r="B12779" s="9" t="s">
        <v>26001</v>
      </c>
      <c r="C12779" s="9" t="s">
        <v>122</v>
      </c>
      <c r="D12779" s="9" t="s">
        <v>18</v>
      </c>
      <c r="E12779" s="10" t="s">
        <v>513</v>
      </c>
      <c r="F12779" s="9" t="s">
        <v>514</v>
      </c>
      <c r="G12779" s="10" t="s">
        <v>176</v>
      </c>
      <c r="H12779" s="9" t="s">
        <v>22</v>
      </c>
      <c r="I12779" s="9" t="s">
        <v>26003</v>
      </c>
      <c r="J12779" s="10" t="str">
        <f>HYPERLINK("https://www.boe.es/gazeta/dias/1834/04/27/pdfs/GMD-1834-66.pdf#page=6","Abrir facsímil")</f>
        <v>Abrir facsímil</v>
      </c>
      <c r="K12779" s="10" t="s">
        <v>24</v>
      </c>
    </row>
    <row r="12780" spans="1:11" ht="54" customHeight="1">
      <c r="A12780" s="9" t="s">
        <v>26004</v>
      </c>
      <c r="B12780" s="9" t="s">
        <v>26004</v>
      </c>
      <c r="C12780" s="9" t="s">
        <v>17</v>
      </c>
      <c r="D12780" s="9" t="s">
        <v>18</v>
      </c>
      <c r="E12780" s="10" t="s">
        <v>268</v>
      </c>
      <c r="F12780" s="9" t="s">
        <v>269</v>
      </c>
      <c r="G12780" s="10" t="s">
        <v>86</v>
      </c>
      <c r="H12780" s="9" t="s">
        <v>22</v>
      </c>
      <c r="I12780" s="9" t="s">
        <v>26005</v>
      </c>
      <c r="J12780" s="10" t="str">
        <f>HYPERLINK("https://www.boe.es/gazeta/dias/1834/12/19/pdfs/GMD-C-1834-309.pdf#page=2","Abrir facsímil")</f>
        <v>Abrir facsímil</v>
      </c>
      <c r="K12780" s="10" t="s">
        <v>24</v>
      </c>
    </row>
    <row r="12781" spans="1:11" ht="54" customHeight="1">
      <c r="A12781" s="9" t="s">
        <v>26006</v>
      </c>
      <c r="B12781" s="9" t="s">
        <v>26006</v>
      </c>
      <c r="C12781" s="9" t="s">
        <v>90</v>
      </c>
      <c r="D12781" s="9" t="s">
        <v>18</v>
      </c>
      <c r="E12781" s="10" t="s">
        <v>696</v>
      </c>
      <c r="F12781" s="9" t="s">
        <v>854</v>
      </c>
      <c r="G12781" s="10" t="s">
        <v>75</v>
      </c>
      <c r="H12781" s="9" t="s">
        <v>22</v>
      </c>
      <c r="I12781" s="9" t="s">
        <v>26007</v>
      </c>
      <c r="J12781" s="10" t="str">
        <f>HYPERLINK("https://www.boe.es/gazeta/dias/1834/12/06/pdfs/GMD-1834-295.pdf#page=4","Abrir facsímil")</f>
        <v>Abrir facsímil</v>
      </c>
      <c r="K12781" s="10" t="s">
        <v>24</v>
      </c>
    </row>
    <row r="12782" spans="1:11" ht="54" customHeight="1">
      <c r="A12782" s="9" t="s">
        <v>26008</v>
      </c>
      <c r="B12782" s="9" t="s">
        <v>26009</v>
      </c>
      <c r="C12782" s="9" t="s">
        <v>66</v>
      </c>
      <c r="D12782" s="9" t="s">
        <v>67</v>
      </c>
      <c r="E12782" s="10" t="s">
        <v>73</v>
      </c>
      <c r="F12782" s="9" t="s">
        <v>74</v>
      </c>
      <c r="G12782" s="10" t="s">
        <v>75</v>
      </c>
      <c r="H12782" s="9" t="s">
        <v>22</v>
      </c>
      <c r="I12782" s="9" t="s">
        <v>26010</v>
      </c>
      <c r="J12782" s="10" t="str">
        <f>HYPERLINK("https://www.boe.es/gazeta/dias/1834/11/04/pdfs/GMD-1834-263.pdf#page=4","Abrir facsímil")</f>
        <v>Abrir facsímil</v>
      </c>
      <c r="K12782" s="10" t="s">
        <v>24</v>
      </c>
    </row>
    <row r="12783" spans="1:11" ht="54" customHeight="1">
      <c r="A12783" s="9" t="s">
        <v>26011</v>
      </c>
      <c r="B12783" s="9" t="s">
        <v>26012</v>
      </c>
      <c r="C12783" s="9" t="s">
        <v>90</v>
      </c>
      <c r="D12783" s="9" t="s">
        <v>67</v>
      </c>
      <c r="E12783" s="10" t="s">
        <v>863</v>
      </c>
      <c r="F12783" s="9" t="s">
        <v>864</v>
      </c>
      <c r="G12783" s="10" t="s">
        <v>86</v>
      </c>
      <c r="H12783" s="9" t="s">
        <v>35</v>
      </c>
      <c r="I12783" s="9" t="s">
        <v>26013</v>
      </c>
      <c r="J12783" s="10" t="str">
        <f>HYPERLINK("https://www.boe.es/gazeta/dias/1834/09/15/pdfs/GMD-1834-213.pdf#page=2","Abrir facsímil")</f>
        <v>Abrir facsímil</v>
      </c>
      <c r="K12783" s="10" t="s">
        <v>37</v>
      </c>
    </row>
    <row r="12784" spans="1:11" ht="54" customHeight="1">
      <c r="A12784" s="9" t="s">
        <v>26014</v>
      </c>
      <c r="B12784" s="9" t="s">
        <v>26015</v>
      </c>
      <c r="C12784" s="9" t="s">
        <v>90</v>
      </c>
      <c r="D12784" s="9" t="s">
        <v>67</v>
      </c>
      <c r="E12784" s="10" t="s">
        <v>863</v>
      </c>
      <c r="F12784" s="9" t="s">
        <v>864</v>
      </c>
      <c r="G12784" s="10" t="s">
        <v>86</v>
      </c>
      <c r="H12784" s="9" t="s">
        <v>22</v>
      </c>
      <c r="I12784" s="9" t="s">
        <v>26016</v>
      </c>
      <c r="J12784" s="10" t="str">
        <f>HYPERLINK("https://www.boe.es/gazeta/dias/1834/09/15/pdfs/GMD-1834-213.pdf#page=2","Abrir facsímil")</f>
        <v>Abrir facsímil</v>
      </c>
      <c r="K12784" s="10" t="s">
        <v>24</v>
      </c>
    </row>
    <row r="12785" spans="1:11" ht="54" customHeight="1">
      <c r="A12785" s="9" t="s">
        <v>26017</v>
      </c>
      <c r="B12785" s="9" t="s">
        <v>26018</v>
      </c>
      <c r="C12785" s="9" t="s">
        <v>66</v>
      </c>
      <c r="D12785" s="9" t="s">
        <v>67</v>
      </c>
      <c r="E12785" s="10" t="s">
        <v>299</v>
      </c>
      <c r="F12785" s="9" t="s">
        <v>300</v>
      </c>
      <c r="G12785" s="10" t="s">
        <v>75</v>
      </c>
      <c r="H12785" s="9" t="s">
        <v>22</v>
      </c>
      <c r="I12785" s="9" t="s">
        <v>26019</v>
      </c>
      <c r="J12785" s="10" t="str">
        <f>HYPERLINK("https://www.boe.es/gazeta/dias/1834/12/12/pdfs/GMD-1834-301.pdf#page=4","Abrir facsímil")</f>
        <v>Abrir facsímil</v>
      </c>
      <c r="K12785" s="10" t="s">
        <v>24</v>
      </c>
    </row>
    <row r="12786" spans="1:11" ht="54" customHeight="1">
      <c r="A12786" s="9" t="s">
        <v>26020</v>
      </c>
      <c r="B12786" s="9" t="s">
        <v>26021</v>
      </c>
      <c r="C12786" s="9" t="s">
        <v>66</v>
      </c>
      <c r="D12786" s="9" t="s">
        <v>67</v>
      </c>
      <c r="E12786" s="10" t="s">
        <v>1141</v>
      </c>
      <c r="F12786" s="9" t="s">
        <v>1142</v>
      </c>
      <c r="G12786" s="10" t="s">
        <v>75</v>
      </c>
      <c r="H12786" s="9" t="s">
        <v>22</v>
      </c>
      <c r="I12786" s="9" t="s">
        <v>26022</v>
      </c>
      <c r="J12786" s="10" t="str">
        <f>HYPERLINK("https://www.boe.es/gazeta/dias/1834/04/30/pdfs/GMD-1834-69.pdf#page=4","Abrir facsímil")</f>
        <v>Abrir facsímil</v>
      </c>
      <c r="K12786" s="10" t="s">
        <v>24</v>
      </c>
    </row>
    <row r="12787" spans="1:11" ht="54" customHeight="1">
      <c r="A12787" s="9" t="s">
        <v>26023</v>
      </c>
      <c r="B12787" s="9" t="s">
        <v>26024</v>
      </c>
      <c r="C12787" s="9" t="s">
        <v>17</v>
      </c>
      <c r="D12787" s="9" t="s">
        <v>18</v>
      </c>
      <c r="E12787" s="10" t="s">
        <v>3328</v>
      </c>
      <c r="F12787" s="9" t="s">
        <v>3329</v>
      </c>
      <c r="G12787" s="10" t="s">
        <v>34</v>
      </c>
      <c r="H12787" s="9" t="s">
        <v>22</v>
      </c>
      <c r="I12787" s="9" t="s">
        <v>26025</v>
      </c>
      <c r="J12787" s="10" t="str">
        <f>HYPERLINK("https://www.boe.es/gazeta/dias/1834/06/04/pdfs/GMD-1834-106.pdf#page=1","Abrir facsímil")</f>
        <v>Abrir facsímil</v>
      </c>
      <c r="K12787" s="10" t="s">
        <v>24</v>
      </c>
    </row>
    <row r="12788" spans="1:11" ht="54" customHeight="1">
      <c r="A12788" s="9" t="s">
        <v>26026</v>
      </c>
      <c r="B12788" s="9" t="s">
        <v>26026</v>
      </c>
      <c r="C12788" s="9" t="s">
        <v>46</v>
      </c>
      <c r="D12788" s="9" t="s">
        <v>18</v>
      </c>
      <c r="E12788" s="10" t="s">
        <v>2053</v>
      </c>
      <c r="F12788" s="9" t="s">
        <v>2054</v>
      </c>
      <c r="G12788" s="10" t="s">
        <v>86</v>
      </c>
      <c r="H12788" s="9" t="s">
        <v>22</v>
      </c>
      <c r="I12788" s="9" t="s">
        <v>26027</v>
      </c>
      <c r="J12788" s="10" t="str">
        <f>HYPERLINK("https://www.boe.es/gazeta/dias/1834/06/02/pdfs/GMD-1834-103.pdf#page=2","Abrir facsímil")</f>
        <v>Abrir facsímil</v>
      </c>
      <c r="K12788" s="10" t="s">
        <v>24</v>
      </c>
    </row>
    <row r="12789" spans="1:11" ht="54" customHeight="1">
      <c r="A12789" s="9" t="s">
        <v>26028</v>
      </c>
      <c r="B12789" s="9" t="s">
        <v>26029</v>
      </c>
      <c r="C12789" s="9" t="s">
        <v>66</v>
      </c>
      <c r="D12789" s="9" t="s">
        <v>67</v>
      </c>
      <c r="E12789" s="10" t="s">
        <v>286</v>
      </c>
      <c r="F12789" s="9" t="s">
        <v>548</v>
      </c>
      <c r="G12789" s="10" t="s">
        <v>21</v>
      </c>
      <c r="H12789" s="9" t="s">
        <v>22</v>
      </c>
      <c r="I12789" s="9" t="s">
        <v>26030</v>
      </c>
      <c r="J12789" s="10" t="str">
        <f>HYPERLINK("https://www.boe.es/gazeta/dias/1834/08/30/pdfs/GMD-1834-196.pdf#page=3","Abrir facsímil")</f>
        <v>Abrir facsímil</v>
      </c>
      <c r="K12789" s="10" t="s">
        <v>24</v>
      </c>
    </row>
    <row r="12790" spans="1:11" ht="54" customHeight="1">
      <c r="A12790" s="9" t="s">
        <v>26031</v>
      </c>
      <c r="B12790" s="9" t="s">
        <v>26032</v>
      </c>
      <c r="C12790" s="9" t="s">
        <v>17</v>
      </c>
      <c r="D12790" s="9" t="s">
        <v>101</v>
      </c>
      <c r="E12790" s="10" t="s">
        <v>2950</v>
      </c>
      <c r="F12790" s="9" t="s">
        <v>2951</v>
      </c>
      <c r="G12790" s="10" t="s">
        <v>21</v>
      </c>
      <c r="H12790" s="9" t="s">
        <v>22</v>
      </c>
      <c r="I12790" s="9" t="s">
        <v>26033</v>
      </c>
      <c r="J12790" s="10" t="str">
        <f>HYPERLINK("https://www.boe.es/gazeta/dias/1834/05/20/pdfs/GMD-1834-89.pdf#page=3","Abrir facsímil")</f>
        <v>Abrir facsímil</v>
      </c>
      <c r="K12790" s="10" t="s">
        <v>24</v>
      </c>
    </row>
    <row r="12791" spans="1:11" ht="54" customHeight="1">
      <c r="A12791" s="9" t="s">
        <v>26034</v>
      </c>
      <c r="B12791" s="9" t="s">
        <v>26034</v>
      </c>
      <c r="C12791" s="9" t="s">
        <v>90</v>
      </c>
      <c r="D12791" s="9" t="s">
        <v>55</v>
      </c>
      <c r="E12791" s="10" t="s">
        <v>3025</v>
      </c>
      <c r="F12791" s="9" t="s">
        <v>3026</v>
      </c>
      <c r="G12791" s="10" t="s">
        <v>21</v>
      </c>
      <c r="H12791" s="9" t="s">
        <v>22</v>
      </c>
      <c r="I12791" s="9" t="s">
        <v>26035</v>
      </c>
      <c r="J12791" s="10" t="str">
        <f>HYPERLINK("https://www.boe.es/gazeta/dias/1834/05/25/pdfs/GMD-1834-94.pdf#page=3","Abrir facsímil")</f>
        <v>Abrir facsímil</v>
      </c>
      <c r="K12791" s="10" t="s">
        <v>24</v>
      </c>
    </row>
    <row r="12792" spans="1:11" ht="54" customHeight="1">
      <c r="A12792" s="9" t="s">
        <v>26036</v>
      </c>
      <c r="B12792" s="9" t="s">
        <v>26036</v>
      </c>
      <c r="C12792" s="9" t="s">
        <v>90</v>
      </c>
      <c r="D12792" s="9" t="s">
        <v>18</v>
      </c>
      <c r="E12792" s="10" t="s">
        <v>823</v>
      </c>
      <c r="F12792" s="9" t="s">
        <v>824</v>
      </c>
      <c r="G12792" s="10" t="s">
        <v>75</v>
      </c>
      <c r="H12792" s="9" t="s">
        <v>22</v>
      </c>
      <c r="I12792" s="9" t="s">
        <v>26037</v>
      </c>
      <c r="J12792" s="10" t="str">
        <f>HYPERLINK("https://www.boe.es/gazeta/dias/1834/07/23/pdfs/GMD-1834-156.pdf#page=4","Abrir facsímil")</f>
        <v>Abrir facsímil</v>
      </c>
      <c r="K12792" s="10" t="s">
        <v>24</v>
      </c>
    </row>
    <row r="12793" spans="1:11" ht="54" customHeight="1">
      <c r="A12793" s="9" t="s">
        <v>26038</v>
      </c>
      <c r="B12793" s="9" t="s">
        <v>26038</v>
      </c>
      <c r="C12793" s="9" t="s">
        <v>17</v>
      </c>
      <c r="D12793" s="9" t="s">
        <v>40</v>
      </c>
      <c r="E12793" s="10" t="s">
        <v>1406</v>
      </c>
      <c r="F12793" s="9" t="s">
        <v>1407</v>
      </c>
      <c r="G12793" s="10" t="s">
        <v>75</v>
      </c>
      <c r="H12793" s="9" t="s">
        <v>22</v>
      </c>
      <c r="I12793" s="9" t="s">
        <v>26039</v>
      </c>
      <c r="J12793" s="10" t="str">
        <f>HYPERLINK("https://www.boe.es/gazeta/dias/1834/11/03/pdfs/GMD-1834-262.pdf#page=4","Abrir facsímil")</f>
        <v>Abrir facsímil</v>
      </c>
      <c r="K12793" s="10" t="s">
        <v>24</v>
      </c>
    </row>
    <row r="12794" spans="1:11" ht="54" customHeight="1">
      <c r="A12794" s="9" t="s">
        <v>26040</v>
      </c>
      <c r="B12794" s="9" t="s">
        <v>26040</v>
      </c>
      <c r="C12794" s="9" t="s">
        <v>17</v>
      </c>
      <c r="D12794" s="9" t="s">
        <v>18</v>
      </c>
      <c r="E12794" s="10" t="s">
        <v>465</v>
      </c>
      <c r="F12794" s="9" t="s">
        <v>466</v>
      </c>
      <c r="G12794" s="10" t="s">
        <v>28</v>
      </c>
      <c r="H12794" s="9" t="s">
        <v>22</v>
      </c>
      <c r="I12794" s="9" t="s">
        <v>26041</v>
      </c>
      <c r="J12794" s="10" t="str">
        <f>HYPERLINK("https://www.boe.es/gazeta/dias/1834/11/27/pdfs/GMD-C-1834-286.pdf#page=5","Abrir facsímil")</f>
        <v>Abrir facsímil</v>
      </c>
      <c r="K12794" s="10" t="s">
        <v>24</v>
      </c>
    </row>
    <row r="12795" spans="1:11" ht="54" customHeight="1">
      <c r="A12795" s="9" t="s">
        <v>26042</v>
      </c>
      <c r="B12795" s="9" t="s">
        <v>26043</v>
      </c>
      <c r="C12795" s="9" t="s">
        <v>17</v>
      </c>
      <c r="D12795" s="9" t="s">
        <v>18</v>
      </c>
      <c r="E12795" s="10" t="s">
        <v>233</v>
      </c>
      <c r="F12795" s="9" t="s">
        <v>234</v>
      </c>
      <c r="G12795" s="10" t="s">
        <v>75</v>
      </c>
      <c r="H12795" s="9" t="s">
        <v>22</v>
      </c>
      <c r="I12795" s="9" t="s">
        <v>26044</v>
      </c>
      <c r="J12795" s="10" t="str">
        <f>HYPERLINK("https://www.boe.es/gazeta/dias/1834/12/16/pdfs/GMD-1834-305.pdf#page=4","Abrir facsímil")</f>
        <v>Abrir facsímil</v>
      </c>
      <c r="K12795" s="10" t="s">
        <v>24</v>
      </c>
    </row>
    <row r="12796" spans="1:11" ht="54" customHeight="1">
      <c r="A12796" s="9" t="s">
        <v>26045</v>
      </c>
      <c r="B12796" s="9" t="s">
        <v>26046</v>
      </c>
      <c r="C12796" s="9" t="s">
        <v>17</v>
      </c>
      <c r="D12796" s="9" t="s">
        <v>40</v>
      </c>
      <c r="E12796" s="10" t="s">
        <v>2398</v>
      </c>
      <c r="F12796" s="9" t="s">
        <v>2399</v>
      </c>
      <c r="G12796" s="10" t="s">
        <v>75</v>
      </c>
      <c r="H12796" s="9" t="s">
        <v>22</v>
      </c>
      <c r="I12796" s="9" t="s">
        <v>26047</v>
      </c>
      <c r="J12796" s="10" t="str">
        <f>HYPERLINK("https://www.boe.es/gazeta/dias/1834/01/16/pdfs/GMD-1834-8.pdf#page=4","Abrir facsímil")</f>
        <v>Abrir facsímil</v>
      </c>
      <c r="K12796" s="10" t="s">
        <v>24</v>
      </c>
    </row>
    <row r="12797" spans="1:11" ht="54" customHeight="1">
      <c r="A12797" s="9" t="s">
        <v>26048</v>
      </c>
      <c r="B12797" s="9" t="s">
        <v>26049</v>
      </c>
      <c r="C12797" s="9" t="s">
        <v>17</v>
      </c>
      <c r="D12797" s="9" t="s">
        <v>18</v>
      </c>
      <c r="E12797" s="10" t="s">
        <v>753</v>
      </c>
      <c r="F12797" s="9" t="s">
        <v>754</v>
      </c>
      <c r="G12797" s="10" t="s">
        <v>28</v>
      </c>
      <c r="H12797" s="9" t="s">
        <v>35</v>
      </c>
      <c r="I12797" s="9" t="s">
        <v>26050</v>
      </c>
      <c r="J12797" s="10" t="str">
        <f>HYPERLINK("https://www.boe.es/gazeta/dias/1834/04/21/pdfs/GMD-1834-60.pdf#page=5","Abrir facsímil")</f>
        <v>Abrir facsímil</v>
      </c>
      <c r="K12797" s="10" t="s">
        <v>37</v>
      </c>
    </row>
    <row r="12798" spans="1:11" ht="54" customHeight="1">
      <c r="A12798" s="9" t="s">
        <v>26051</v>
      </c>
      <c r="B12798" s="9" t="s">
        <v>26052</v>
      </c>
      <c r="C12798" s="9" t="s">
        <v>66</v>
      </c>
      <c r="D12798" s="9" t="s">
        <v>18</v>
      </c>
      <c r="E12798" s="10" t="s">
        <v>138</v>
      </c>
      <c r="F12798" s="9" t="s">
        <v>139</v>
      </c>
      <c r="G12798" s="10" t="s">
        <v>34</v>
      </c>
      <c r="H12798" s="9" t="s">
        <v>35</v>
      </c>
      <c r="I12798" s="9" t="s">
        <v>26053</v>
      </c>
      <c r="J12798" s="10" t="str">
        <f>HYPERLINK("https://www.boe.es/gazeta/dias/1834/05/17/pdfs/GMD-1834-86.pdf#page=1","Abrir facsímil")</f>
        <v>Abrir facsímil</v>
      </c>
      <c r="K12798" s="10" t="s">
        <v>37</v>
      </c>
    </row>
    <row r="12799" spans="1:11" ht="54" customHeight="1">
      <c r="A12799" s="9" t="s">
        <v>26054</v>
      </c>
      <c r="B12799" s="9" t="s">
        <v>26055</v>
      </c>
      <c r="C12799" s="9" t="s">
        <v>66</v>
      </c>
      <c r="D12799" s="9" t="s">
        <v>18</v>
      </c>
      <c r="E12799" s="10" t="s">
        <v>1641</v>
      </c>
      <c r="F12799" s="9" t="s">
        <v>1729</v>
      </c>
      <c r="G12799" s="10" t="s">
        <v>34</v>
      </c>
      <c r="H12799" s="9" t="s">
        <v>22</v>
      </c>
      <c r="I12799" s="9" t="s">
        <v>26056</v>
      </c>
      <c r="J12799" s="10" t="str">
        <f>HYPERLINK("https://www.boe.es/gazeta/dias/1834/09/28/pdfs/GMD-1834-226.pdf#page=1","Abrir facsímil")</f>
        <v>Abrir facsímil</v>
      </c>
      <c r="K12799" s="10" t="s">
        <v>24</v>
      </c>
    </row>
    <row r="12800" spans="1:11" ht="54" customHeight="1">
      <c r="A12800" s="9" t="s">
        <v>26057</v>
      </c>
      <c r="B12800" s="9" t="s">
        <v>26057</v>
      </c>
      <c r="C12800" s="9" t="s">
        <v>46</v>
      </c>
      <c r="D12800" s="9" t="s">
        <v>18</v>
      </c>
      <c r="E12800" s="10" t="s">
        <v>2302</v>
      </c>
      <c r="F12800" s="9" t="s">
        <v>2303</v>
      </c>
      <c r="G12800" s="10" t="s">
        <v>34</v>
      </c>
      <c r="H12800" s="9" t="s">
        <v>22</v>
      </c>
      <c r="I12800" s="9" t="s">
        <v>26058</v>
      </c>
      <c r="J12800" s="10" t="str">
        <f>HYPERLINK("https://www.boe.es/gazeta/dias/1834/01/25/pdfs/GMD-1834-12.pdf#page=1","Abrir facsímil")</f>
        <v>Abrir facsímil</v>
      </c>
      <c r="K12800" s="10" t="s">
        <v>24</v>
      </c>
    </row>
    <row r="12801" spans="1:11" ht="54" customHeight="1">
      <c r="A12801" s="9" t="s">
        <v>26059</v>
      </c>
      <c r="B12801" s="9" t="s">
        <v>26060</v>
      </c>
      <c r="C12801" s="9" t="s">
        <v>17</v>
      </c>
      <c r="D12801" s="9" t="s">
        <v>18</v>
      </c>
      <c r="E12801" s="10" t="s">
        <v>153</v>
      </c>
      <c r="F12801" s="9" t="s">
        <v>1294</v>
      </c>
      <c r="G12801" s="10" t="s">
        <v>75</v>
      </c>
      <c r="H12801" s="9" t="s">
        <v>22</v>
      </c>
      <c r="I12801" s="9" t="s">
        <v>26061</v>
      </c>
      <c r="J12801" s="10" t="str">
        <f>HYPERLINK("https://www.boe.es/gazeta/dias/1834/12/30/pdfs/GMD-1834-320.pdf#page=4","Abrir facsímil")</f>
        <v>Abrir facsímil</v>
      </c>
      <c r="K12801" s="10" t="s">
        <v>24</v>
      </c>
    </row>
    <row r="12802" spans="1:11" ht="54" customHeight="1">
      <c r="A12802" s="9" t="s">
        <v>26062</v>
      </c>
      <c r="B12802" s="9" t="s">
        <v>26062</v>
      </c>
      <c r="C12802" s="9" t="s">
        <v>90</v>
      </c>
      <c r="D12802" s="9" t="s">
        <v>18</v>
      </c>
      <c r="E12802" s="10" t="s">
        <v>663</v>
      </c>
      <c r="F12802" s="9" t="s">
        <v>664</v>
      </c>
      <c r="G12802" s="10" t="s">
        <v>86</v>
      </c>
      <c r="H12802" s="9" t="s">
        <v>22</v>
      </c>
      <c r="I12802" s="9" t="s">
        <v>26063</v>
      </c>
      <c r="J12802" s="10" t="str">
        <f>HYPERLINK("https://www.boe.es/gazeta/dias/1834/07/16/pdfs/GMD-1834-149.pdf#page=2","Abrir facsímil")</f>
        <v>Abrir facsímil</v>
      </c>
      <c r="K12802" s="10" t="s">
        <v>24</v>
      </c>
    </row>
    <row r="12803" spans="1:11" ht="54" customHeight="1">
      <c r="A12803" s="9" t="s">
        <v>26064</v>
      </c>
      <c r="B12803" s="9" t="s">
        <v>26065</v>
      </c>
      <c r="C12803" s="9" t="s">
        <v>17</v>
      </c>
      <c r="D12803" s="9" t="s">
        <v>55</v>
      </c>
      <c r="E12803" s="10" t="s">
        <v>518</v>
      </c>
      <c r="F12803" s="9" t="s">
        <v>519</v>
      </c>
      <c r="G12803" s="10" t="s">
        <v>86</v>
      </c>
      <c r="H12803" s="9" t="s">
        <v>35</v>
      </c>
      <c r="I12803" s="9" t="s">
        <v>26066</v>
      </c>
      <c r="J12803" s="10" t="str">
        <f>HYPERLINK("https://www.boe.es/gazeta/dias/1834/03/15/pdfs/GMD-1834-33.pdf#page=2","Abrir facsímil")</f>
        <v>Abrir facsímil</v>
      </c>
      <c r="K12803" s="10" t="s">
        <v>37</v>
      </c>
    </row>
    <row r="12804" spans="1:11" ht="54" customHeight="1">
      <c r="A12804" s="9" t="s">
        <v>26067</v>
      </c>
      <c r="B12804" s="9" t="s">
        <v>26068</v>
      </c>
      <c r="C12804" s="9" t="s">
        <v>17</v>
      </c>
      <c r="D12804" s="9" t="s">
        <v>18</v>
      </c>
      <c r="E12804" s="10" t="s">
        <v>833</v>
      </c>
      <c r="F12804" s="9" t="s">
        <v>834</v>
      </c>
      <c r="G12804" s="10" t="s">
        <v>75</v>
      </c>
      <c r="H12804" s="9" t="s">
        <v>22</v>
      </c>
      <c r="I12804" s="9" t="s">
        <v>26069</v>
      </c>
      <c r="J12804" s="10" t="str">
        <f>HYPERLINK("https://www.boe.es/gazeta/dias/1834/04/24/pdfs/GMD-1834-63.pdf#page=4","Abrir facsímil")</f>
        <v>Abrir facsímil</v>
      </c>
      <c r="K12804" s="10" t="s">
        <v>24</v>
      </c>
    </row>
    <row r="12805" spans="1:11" ht="54" customHeight="1">
      <c r="A12805" s="9" t="s">
        <v>26070</v>
      </c>
      <c r="B12805" s="9" t="s">
        <v>26070</v>
      </c>
      <c r="C12805" s="9" t="s">
        <v>17</v>
      </c>
      <c r="D12805" s="9" t="s">
        <v>18</v>
      </c>
      <c r="E12805" s="10" t="s">
        <v>1981</v>
      </c>
      <c r="F12805" s="9" t="s">
        <v>1982</v>
      </c>
      <c r="G12805" s="10" t="s">
        <v>86</v>
      </c>
      <c r="H12805" s="9" t="s">
        <v>22</v>
      </c>
      <c r="I12805" s="9" t="s">
        <v>26071</v>
      </c>
      <c r="J12805" s="10" t="str">
        <f>HYPERLINK("https://www.boe.es/gazeta/dias/1834/12/13/pdfs/GMD-1834-302.pdf#page=2","Abrir facsímil")</f>
        <v>Abrir facsímil</v>
      </c>
      <c r="K12805" s="10" t="s">
        <v>24</v>
      </c>
    </row>
    <row r="12806" spans="1:11" ht="54" customHeight="1">
      <c r="A12806" s="9" t="s">
        <v>26072</v>
      </c>
      <c r="B12806" s="9" t="s">
        <v>26073</v>
      </c>
      <c r="C12806" s="9" t="s">
        <v>17</v>
      </c>
      <c r="D12806" s="9" t="s">
        <v>18</v>
      </c>
      <c r="E12806" s="10" t="s">
        <v>233</v>
      </c>
      <c r="F12806" s="9" t="s">
        <v>1810</v>
      </c>
      <c r="G12806" s="10" t="s">
        <v>470</v>
      </c>
      <c r="H12806" s="9" t="s">
        <v>22</v>
      </c>
      <c r="I12806" s="9" t="s">
        <v>26074</v>
      </c>
      <c r="J12806" s="10" t="str">
        <f>HYPERLINK("https://www.boe.es/gazeta/dias/1834/12/16/pdfs/GMD-C-1834-305.pdf#page=8","Abrir facsímil")</f>
        <v>Abrir facsímil</v>
      </c>
      <c r="K12806" s="10" t="s">
        <v>24</v>
      </c>
    </row>
    <row r="12807" spans="1:11" ht="54" customHeight="1">
      <c r="A12807" s="9" t="s">
        <v>26075</v>
      </c>
      <c r="B12807" s="9" t="s">
        <v>26075</v>
      </c>
      <c r="C12807" s="9" t="s">
        <v>46</v>
      </c>
      <c r="D12807" s="9" t="s">
        <v>18</v>
      </c>
      <c r="E12807" s="10" t="s">
        <v>899</v>
      </c>
      <c r="F12807" s="9" t="s">
        <v>900</v>
      </c>
      <c r="G12807" s="10" t="s">
        <v>21</v>
      </c>
      <c r="H12807" s="9" t="s">
        <v>22</v>
      </c>
      <c r="I12807" s="9" t="s">
        <v>26076</v>
      </c>
      <c r="J12807" s="10" t="str">
        <f>HYPERLINK("https://www.boe.es/gazeta/dias/1834/01/30/pdfs/GMD-1834-14.pdf#page=3","Abrir facsímil")</f>
        <v>Abrir facsímil</v>
      </c>
      <c r="K12807" s="10" t="s">
        <v>24</v>
      </c>
    </row>
    <row r="12808" spans="1:11" ht="54" customHeight="1">
      <c r="A12808" s="9" t="s">
        <v>26077</v>
      </c>
      <c r="B12808" s="9" t="s">
        <v>26078</v>
      </c>
      <c r="C12808" s="9" t="s">
        <v>17</v>
      </c>
      <c r="D12808" s="9" t="s">
        <v>18</v>
      </c>
      <c r="E12808" s="10" t="s">
        <v>647</v>
      </c>
      <c r="F12808" s="9" t="s">
        <v>2176</v>
      </c>
      <c r="G12808" s="10" t="s">
        <v>75</v>
      </c>
      <c r="H12808" s="9" t="s">
        <v>22</v>
      </c>
      <c r="I12808" s="9" t="s">
        <v>26079</v>
      </c>
      <c r="J12808" s="10" t="str">
        <f>HYPERLINK("https://www.boe.es/gazeta/dias/1834/10/21/pdfs/GMD-1834-249.pdf#page=4","Abrir facsímil")</f>
        <v>Abrir facsímil</v>
      </c>
      <c r="K12808" s="10" t="s">
        <v>24</v>
      </c>
    </row>
    <row r="12809" spans="1:11" ht="54" customHeight="1">
      <c r="A12809" s="9" t="s">
        <v>26080</v>
      </c>
      <c r="B12809" s="9" t="s">
        <v>26081</v>
      </c>
      <c r="C12809" s="9" t="s">
        <v>46</v>
      </c>
      <c r="D12809" s="9" t="s">
        <v>101</v>
      </c>
      <c r="E12809" s="10" t="s">
        <v>1708</v>
      </c>
      <c r="F12809" s="9" t="s">
        <v>1709</v>
      </c>
      <c r="G12809" s="10" t="s">
        <v>34</v>
      </c>
      <c r="H12809" s="9" t="s">
        <v>22</v>
      </c>
      <c r="I12809" s="9" t="s">
        <v>26082</v>
      </c>
      <c r="J12809" s="10" t="str">
        <f>HYPERLINK("https://www.boe.es/gazeta/dias/1834/04/12/pdfs/GMD-1834-51.pdf#page=1","Abrir facsímil")</f>
        <v>Abrir facsímil</v>
      </c>
      <c r="K12809" s="10" t="s">
        <v>24</v>
      </c>
    </row>
    <row r="12810" spans="1:11" ht="54" customHeight="1">
      <c r="A12810" s="9" t="s">
        <v>26083</v>
      </c>
      <c r="B12810" s="9" t="s">
        <v>26083</v>
      </c>
      <c r="C12810" s="9" t="s">
        <v>17</v>
      </c>
      <c r="D12810" s="9" t="s">
        <v>55</v>
      </c>
      <c r="E12810" s="10" t="s">
        <v>326</v>
      </c>
      <c r="F12810" s="9" t="s">
        <v>327</v>
      </c>
      <c r="G12810" s="10" t="s">
        <v>86</v>
      </c>
      <c r="H12810" s="9" t="s">
        <v>22</v>
      </c>
      <c r="I12810" s="9" t="s">
        <v>26084</v>
      </c>
      <c r="J12810" s="10" t="str">
        <f>HYPERLINK("https://www.boe.es/gazeta/dias/1834/07/15/pdfs/GMD-1834-148.pdf#page=2","Abrir facsímil")</f>
        <v>Abrir facsímil</v>
      </c>
      <c r="K12810" s="10" t="s">
        <v>24</v>
      </c>
    </row>
    <row r="12811" spans="1:11" ht="54" customHeight="1">
      <c r="A12811" s="9" t="s">
        <v>26085</v>
      </c>
      <c r="B12811" s="9" t="s">
        <v>26085</v>
      </c>
      <c r="C12811" s="9" t="s">
        <v>90</v>
      </c>
      <c r="D12811" s="9" t="s">
        <v>55</v>
      </c>
      <c r="E12811" s="10" t="s">
        <v>2153</v>
      </c>
      <c r="F12811" s="9" t="s">
        <v>2154</v>
      </c>
      <c r="G12811" s="10" t="s">
        <v>86</v>
      </c>
      <c r="H12811" s="9" t="s">
        <v>22</v>
      </c>
      <c r="I12811" s="9" t="s">
        <v>26086</v>
      </c>
      <c r="J12811" s="10" t="str">
        <f>HYPERLINK("https://www.boe.es/gazeta/dias/1834/01/23/pdfs/GMD-1834-11.pdf#page=2","Abrir facsímil")</f>
        <v>Abrir facsímil</v>
      </c>
      <c r="K12811" s="10" t="s">
        <v>24</v>
      </c>
    </row>
    <row r="12812" spans="1:11" ht="54" customHeight="1">
      <c r="A12812" s="9" t="s">
        <v>26087</v>
      </c>
      <c r="B12812" s="9" t="s">
        <v>26087</v>
      </c>
      <c r="C12812" s="9" t="s">
        <v>17</v>
      </c>
      <c r="D12812" s="9" t="s">
        <v>55</v>
      </c>
      <c r="E12812" s="10" t="s">
        <v>3163</v>
      </c>
      <c r="F12812" s="9" t="s">
        <v>3164</v>
      </c>
      <c r="G12812" s="10" t="s">
        <v>21</v>
      </c>
      <c r="H12812" s="9" t="s">
        <v>22</v>
      </c>
      <c r="I12812" s="9" t="s">
        <v>26088</v>
      </c>
      <c r="J12812" s="10" t="str">
        <f>HYPERLINK("https://www.boe.es/gazeta/dias/1834/11/02/pdfs/GMD-1834-261.pdf#page=3","Abrir facsímil")</f>
        <v>Abrir facsímil</v>
      </c>
      <c r="K12812" s="10" t="s">
        <v>24</v>
      </c>
    </row>
    <row r="12813" spans="1:11" ht="54" customHeight="1">
      <c r="A12813" s="9" t="s">
        <v>26089</v>
      </c>
      <c r="B12813" s="9" t="s">
        <v>26089</v>
      </c>
      <c r="C12813" s="9" t="s">
        <v>46</v>
      </c>
      <c r="D12813" s="9" t="s">
        <v>18</v>
      </c>
      <c r="E12813" s="10" t="s">
        <v>355</v>
      </c>
      <c r="F12813" s="9" t="s">
        <v>356</v>
      </c>
      <c r="G12813" s="10" t="s">
        <v>86</v>
      </c>
      <c r="H12813" s="9" t="s">
        <v>22</v>
      </c>
      <c r="I12813" s="9" t="s">
        <v>26090</v>
      </c>
      <c r="J12813" s="10" t="str">
        <f>HYPERLINK("https://www.boe.es/gazeta/dias/1834/07/04/pdfs/GMD-1834-137.pdf#page=2","Abrir facsímil")</f>
        <v>Abrir facsímil</v>
      </c>
      <c r="K12813" s="10" t="s">
        <v>24</v>
      </c>
    </row>
    <row r="12814" spans="1:11" ht="54" customHeight="1">
      <c r="A12814" s="9" t="s">
        <v>26087</v>
      </c>
      <c r="B12814" s="9" t="s">
        <v>26087</v>
      </c>
      <c r="C12814" s="9" t="s">
        <v>17</v>
      </c>
      <c r="D12814" s="9" t="s">
        <v>18</v>
      </c>
      <c r="E12814" s="10" t="s">
        <v>1351</v>
      </c>
      <c r="F12814" s="9" t="s">
        <v>1352</v>
      </c>
      <c r="G12814" s="10" t="s">
        <v>21</v>
      </c>
      <c r="H12814" s="9" t="s">
        <v>22</v>
      </c>
      <c r="I12814" s="9" t="s">
        <v>26091</v>
      </c>
      <c r="J12814" s="10" t="str">
        <f>HYPERLINK("https://www.boe.es/gazeta/dias/1834/07/05/pdfs/GMD-1834-138.pdf#page=3","Abrir facsímil")</f>
        <v>Abrir facsímil</v>
      </c>
      <c r="K12814" s="10" t="s">
        <v>24</v>
      </c>
    </row>
    <row r="12815" spans="1:11" ht="54" customHeight="1">
      <c r="A12815" s="9" t="s">
        <v>26087</v>
      </c>
      <c r="B12815" s="9" t="s">
        <v>26087</v>
      </c>
      <c r="C12815" s="9" t="s">
        <v>66</v>
      </c>
      <c r="D12815" s="9" t="s">
        <v>67</v>
      </c>
      <c r="E12815" s="10" t="s">
        <v>860</v>
      </c>
      <c r="F12815" s="9" t="s">
        <v>1755</v>
      </c>
      <c r="G12815" s="10" t="s">
        <v>86</v>
      </c>
      <c r="H12815" s="9" t="s">
        <v>22</v>
      </c>
      <c r="I12815" s="9" t="s">
        <v>26092</v>
      </c>
      <c r="J12815" s="10" t="str">
        <f>HYPERLINK("https://www.boe.es/gazeta/dias/1834/02/08/pdfs/GMD-C-1834-18.pdf#page=2","Abrir facsímil")</f>
        <v>Abrir facsímil</v>
      </c>
      <c r="K12815" s="10" t="s">
        <v>24</v>
      </c>
    </row>
    <row r="12816" spans="1:11" ht="54" customHeight="1">
      <c r="A12816" s="9" t="s">
        <v>26087</v>
      </c>
      <c r="B12816" s="9" t="s">
        <v>26087</v>
      </c>
      <c r="C12816" s="9" t="s">
        <v>17</v>
      </c>
      <c r="D12816" s="9" t="s">
        <v>18</v>
      </c>
      <c r="E12816" s="10" t="s">
        <v>1226</v>
      </c>
      <c r="F12816" s="9" t="s">
        <v>1227</v>
      </c>
      <c r="G12816" s="10" t="s">
        <v>34</v>
      </c>
      <c r="H12816" s="9" t="s">
        <v>22</v>
      </c>
      <c r="I12816" s="9" t="s">
        <v>26093</v>
      </c>
      <c r="J12816" s="10" t="str">
        <f>HYPERLINK("https://www.boe.es/gazeta/dias/1834/07/14/pdfs/GMD-1834-147.pdf#page=1","Abrir facsímil")</f>
        <v>Abrir facsímil</v>
      </c>
      <c r="K12816" s="10" t="s">
        <v>24</v>
      </c>
    </row>
    <row r="12817" spans="1:11" ht="54" customHeight="1">
      <c r="A12817" s="9" t="s">
        <v>26087</v>
      </c>
      <c r="B12817" s="9" t="s">
        <v>26087</v>
      </c>
      <c r="C12817" s="9" t="s">
        <v>17</v>
      </c>
      <c r="D12817" s="9" t="s">
        <v>55</v>
      </c>
      <c r="E12817" s="10" t="s">
        <v>448</v>
      </c>
      <c r="F12817" s="9" t="s">
        <v>449</v>
      </c>
      <c r="G12817" s="10" t="s">
        <v>86</v>
      </c>
      <c r="H12817" s="9" t="s">
        <v>22</v>
      </c>
      <c r="I12817" s="9" t="s">
        <v>26094</v>
      </c>
      <c r="J12817" s="10" t="str">
        <f>HYPERLINK("https://www.boe.es/gazeta/dias/1834/10/14/pdfs/GMD-C-1834-242.pdf#page=2","Abrir facsímil")</f>
        <v>Abrir facsímil</v>
      </c>
      <c r="K12817" s="10" t="s">
        <v>24</v>
      </c>
    </row>
    <row r="12818" spans="1:11" ht="54" customHeight="1">
      <c r="A12818" s="9" t="s">
        <v>26087</v>
      </c>
      <c r="B12818" s="9" t="s">
        <v>26087</v>
      </c>
      <c r="C12818" s="9" t="s">
        <v>66</v>
      </c>
      <c r="D12818" s="9" t="s">
        <v>67</v>
      </c>
      <c r="E12818" s="10" t="s">
        <v>1394</v>
      </c>
      <c r="F12818" s="9" t="s">
        <v>1395</v>
      </c>
      <c r="G12818" s="10" t="s">
        <v>75</v>
      </c>
      <c r="H12818" s="9" t="s">
        <v>22</v>
      </c>
      <c r="I12818" s="9" t="s">
        <v>26095</v>
      </c>
      <c r="J12818" s="10" t="str">
        <f>HYPERLINK("https://www.boe.es/gazeta/dias/1834/04/16/pdfs/GMD-1834-55.pdf#page=4","Abrir facsímil")</f>
        <v>Abrir facsímil</v>
      </c>
      <c r="K12818" s="10" t="s">
        <v>24</v>
      </c>
    </row>
    <row r="12819" spans="1:11" ht="54" customHeight="1">
      <c r="A12819" s="9" t="s">
        <v>26087</v>
      </c>
      <c r="B12819" s="9" t="s">
        <v>26087</v>
      </c>
      <c r="C12819" s="9" t="s">
        <v>66</v>
      </c>
      <c r="D12819" s="9" t="s">
        <v>67</v>
      </c>
      <c r="E12819" s="10" t="s">
        <v>138</v>
      </c>
      <c r="F12819" s="9" t="s">
        <v>139</v>
      </c>
      <c r="G12819" s="10" t="s">
        <v>86</v>
      </c>
      <c r="H12819" s="9" t="s">
        <v>22</v>
      </c>
      <c r="I12819" s="9" t="s">
        <v>26096</v>
      </c>
      <c r="J12819" s="10" t="str">
        <f>HYPERLINK("https://www.boe.es/gazeta/dias/1834/05/17/pdfs/GMD-1834-86.pdf#page=2","Abrir facsímil")</f>
        <v>Abrir facsímil</v>
      </c>
      <c r="K12819" s="10" t="s">
        <v>24</v>
      </c>
    </row>
    <row r="12820" spans="1:11" ht="54" customHeight="1">
      <c r="A12820" s="9" t="s">
        <v>26087</v>
      </c>
      <c r="B12820" s="9" t="s">
        <v>26087</v>
      </c>
      <c r="C12820" s="9" t="s">
        <v>17</v>
      </c>
      <c r="D12820" s="9" t="s">
        <v>18</v>
      </c>
      <c r="E12820" s="10" t="s">
        <v>138</v>
      </c>
      <c r="F12820" s="9" t="s">
        <v>139</v>
      </c>
      <c r="G12820" s="10" t="s">
        <v>21</v>
      </c>
      <c r="H12820" s="9" t="s">
        <v>22</v>
      </c>
      <c r="I12820" s="9" t="s">
        <v>26097</v>
      </c>
      <c r="J12820" s="10" t="str">
        <f>HYPERLINK("https://www.boe.es/gazeta/dias/1834/05/17/pdfs/GMD-1834-86.pdf#page=3","Abrir facsímil")</f>
        <v>Abrir facsímil</v>
      </c>
      <c r="K12820" s="10" t="s">
        <v>24</v>
      </c>
    </row>
    <row r="12821" spans="1:11" ht="54" customHeight="1">
      <c r="A12821" s="9" t="s">
        <v>26087</v>
      </c>
      <c r="B12821" s="9" t="s">
        <v>26087</v>
      </c>
      <c r="C12821" s="9" t="s">
        <v>17</v>
      </c>
      <c r="D12821" s="9" t="s">
        <v>18</v>
      </c>
      <c r="E12821" s="10" t="s">
        <v>19</v>
      </c>
      <c r="F12821" s="9" t="s">
        <v>107</v>
      </c>
      <c r="G12821" s="10" t="s">
        <v>86</v>
      </c>
      <c r="H12821" s="9" t="s">
        <v>22</v>
      </c>
      <c r="I12821" s="9" t="s">
        <v>26098</v>
      </c>
      <c r="J12821" s="10" t="str">
        <f>HYPERLINK("https://www.boe.es/gazeta/dias/1834/08/17/pdfs/GMD-1834-182.pdf#page=2","Abrir facsímil")</f>
        <v>Abrir facsímil</v>
      </c>
      <c r="K12821" s="10" t="s">
        <v>24</v>
      </c>
    </row>
    <row r="12822" spans="1:11" ht="54" customHeight="1">
      <c r="A12822" s="9" t="s">
        <v>26087</v>
      </c>
      <c r="B12822" s="9" t="s">
        <v>26087</v>
      </c>
      <c r="C12822" s="9" t="s">
        <v>66</v>
      </c>
      <c r="D12822" s="9" t="s">
        <v>67</v>
      </c>
      <c r="E12822" s="10" t="s">
        <v>217</v>
      </c>
      <c r="F12822" s="9" t="s">
        <v>218</v>
      </c>
      <c r="G12822" s="10" t="s">
        <v>21</v>
      </c>
      <c r="H12822" s="9" t="s">
        <v>22</v>
      </c>
      <c r="I12822" s="9" t="s">
        <v>26099</v>
      </c>
      <c r="J12822" s="10" t="str">
        <f>HYPERLINK("https://www.boe.es/gazeta/dias/1834/04/20/pdfs/GMD-1834-59.pdf#page=3","Abrir facsímil")</f>
        <v>Abrir facsímil</v>
      </c>
      <c r="K12822" s="10" t="s">
        <v>24</v>
      </c>
    </row>
    <row r="12823" spans="1:11" ht="54" customHeight="1">
      <c r="A12823" s="9" t="s">
        <v>26087</v>
      </c>
      <c r="B12823" s="9" t="s">
        <v>26087</v>
      </c>
      <c r="C12823" s="9" t="s">
        <v>122</v>
      </c>
      <c r="D12823" s="9" t="s">
        <v>40</v>
      </c>
      <c r="E12823" s="10" t="s">
        <v>667</v>
      </c>
      <c r="F12823" s="9" t="s">
        <v>3347</v>
      </c>
      <c r="G12823" s="10" t="s">
        <v>86</v>
      </c>
      <c r="H12823" s="9" t="s">
        <v>22</v>
      </c>
      <c r="I12823" s="9" t="s">
        <v>26100</v>
      </c>
      <c r="J12823" s="10" t="str">
        <f>HYPERLINK("https://www.boe.es/gazeta/dias/1834/11/23/pdfs/GMD-1834-282.pdf#page=2","Abrir facsímil")</f>
        <v>Abrir facsímil</v>
      </c>
      <c r="K12823" s="10" t="s">
        <v>24</v>
      </c>
    </row>
    <row r="12824" spans="1:11" ht="54" customHeight="1">
      <c r="A12824" s="9" t="s">
        <v>26087</v>
      </c>
      <c r="B12824" s="9" t="s">
        <v>26087</v>
      </c>
      <c r="C12824" s="9" t="s">
        <v>66</v>
      </c>
      <c r="D12824" s="9" t="s">
        <v>67</v>
      </c>
      <c r="E12824" s="10" t="s">
        <v>174</v>
      </c>
      <c r="F12824" s="9" t="s">
        <v>175</v>
      </c>
      <c r="G12824" s="10" t="s">
        <v>86</v>
      </c>
      <c r="H12824" s="9" t="s">
        <v>22</v>
      </c>
      <c r="I12824" s="9" t="s">
        <v>26101</v>
      </c>
      <c r="J12824" s="10" t="str">
        <f>HYPERLINK("https://www.boe.es/gazeta/dias/1834/03/27/pdfs/GMD-1834-38.pdf#page=2","Abrir facsímil")</f>
        <v>Abrir facsímil</v>
      </c>
      <c r="K12824" s="10" t="s">
        <v>24</v>
      </c>
    </row>
    <row r="12825" spans="1:11" ht="54" customHeight="1">
      <c r="A12825" s="9" t="s">
        <v>26087</v>
      </c>
      <c r="B12825" s="9" t="s">
        <v>26087</v>
      </c>
      <c r="C12825" s="9" t="s">
        <v>66</v>
      </c>
      <c r="D12825" s="9" t="s">
        <v>67</v>
      </c>
      <c r="E12825" s="10" t="s">
        <v>8010</v>
      </c>
      <c r="F12825" s="9" t="s">
        <v>8011</v>
      </c>
      <c r="G12825" s="10" t="s">
        <v>21</v>
      </c>
      <c r="H12825" s="9" t="s">
        <v>22</v>
      </c>
      <c r="I12825" s="9" t="s">
        <v>26102</v>
      </c>
      <c r="J12825" s="10" t="str">
        <f>HYPERLINK("https://www.boe.es/gazeta/dias/1834/08/28/pdfs/GMD-1834-194.pdf#page=3","Abrir facsímil")</f>
        <v>Abrir facsímil</v>
      </c>
      <c r="K12825" s="10" t="s">
        <v>24</v>
      </c>
    </row>
    <row r="12826" spans="1:11" ht="54" customHeight="1">
      <c r="A12826" s="9" t="s">
        <v>26103</v>
      </c>
      <c r="B12826" s="9" t="s">
        <v>26103</v>
      </c>
      <c r="C12826" s="9" t="s">
        <v>17</v>
      </c>
      <c r="D12826" s="9" t="s">
        <v>101</v>
      </c>
      <c r="E12826" s="10" t="s">
        <v>1084</v>
      </c>
      <c r="F12826" s="9" t="s">
        <v>1085</v>
      </c>
      <c r="G12826" s="10" t="s">
        <v>75</v>
      </c>
      <c r="H12826" s="9" t="s">
        <v>22</v>
      </c>
      <c r="I12826" s="9" t="s">
        <v>26104</v>
      </c>
      <c r="J12826" s="10" t="str">
        <f>HYPERLINK("https://www.boe.es/gazeta/dias/1834/05/01/pdfs/GMD-1834-70.pdf#page=4","Abrir facsímil")</f>
        <v>Abrir facsímil</v>
      </c>
      <c r="K12826" s="10" t="s">
        <v>24</v>
      </c>
    </row>
    <row r="12827" spans="1:11" ht="54" customHeight="1">
      <c r="A12827" s="9" t="s">
        <v>26105</v>
      </c>
      <c r="B12827" s="9" t="s">
        <v>26105</v>
      </c>
      <c r="C12827" s="9" t="s">
        <v>66</v>
      </c>
      <c r="D12827" s="9" t="s">
        <v>67</v>
      </c>
      <c r="E12827" s="10" t="s">
        <v>153</v>
      </c>
      <c r="F12827" s="9" t="s">
        <v>154</v>
      </c>
      <c r="G12827" s="10" t="s">
        <v>176</v>
      </c>
      <c r="H12827" s="9" t="s">
        <v>22</v>
      </c>
      <c r="I12827" s="9" t="s">
        <v>26106</v>
      </c>
      <c r="J12827" s="10" t="str">
        <f>HYPERLINK("https://www.boe.es/gazeta/dias/1834/12/30/pdfs/GMD-C-1834-320.pdf#page=6","Abrir facsímil")</f>
        <v>Abrir facsímil</v>
      </c>
      <c r="K12827" s="10" t="s">
        <v>24</v>
      </c>
    </row>
    <row r="12828" spans="1:11" ht="54" customHeight="1">
      <c r="A12828" s="9" t="s">
        <v>26107</v>
      </c>
      <c r="B12828" s="9" t="s">
        <v>26108</v>
      </c>
      <c r="C12828" s="9" t="s">
        <v>17</v>
      </c>
      <c r="D12828" s="9" t="s">
        <v>18</v>
      </c>
      <c r="E12828" s="10" t="s">
        <v>200</v>
      </c>
      <c r="F12828" s="9" t="s">
        <v>201</v>
      </c>
      <c r="G12828" s="10" t="s">
        <v>21</v>
      </c>
      <c r="H12828" s="9" t="s">
        <v>22</v>
      </c>
      <c r="I12828" s="9" t="s">
        <v>26109</v>
      </c>
      <c r="J12828" s="10" t="str">
        <f>HYPERLINK("https://www.boe.es/gazeta/dias/1834/12/11/pdfs/GMD-1834-300.pdf#page=3","Abrir facsímil")</f>
        <v>Abrir facsímil</v>
      </c>
      <c r="K12828" s="10" t="s">
        <v>24</v>
      </c>
    </row>
    <row r="12829" spans="1:11" ht="54" customHeight="1">
      <c r="A12829" s="9" t="s">
        <v>26110</v>
      </c>
      <c r="B12829" s="9" t="s">
        <v>26110</v>
      </c>
      <c r="C12829" s="9" t="s">
        <v>46</v>
      </c>
      <c r="D12829" s="9" t="s">
        <v>18</v>
      </c>
      <c r="E12829" s="10" t="s">
        <v>1002</v>
      </c>
      <c r="F12829" s="9" t="s">
        <v>1003</v>
      </c>
      <c r="G12829" s="10" t="s">
        <v>21</v>
      </c>
      <c r="H12829" s="9" t="s">
        <v>22</v>
      </c>
      <c r="I12829" s="9" t="s">
        <v>26111</v>
      </c>
      <c r="J12829" s="10" t="str">
        <f>HYPERLINK("https://www.boe.es/gazeta/dias/1834/06/26/pdfs/GMD-1834-129.pdf#page=3","Abrir facsímil")</f>
        <v>Abrir facsímil</v>
      </c>
      <c r="K12829" s="10" t="s">
        <v>24</v>
      </c>
    </row>
    <row r="12830" spans="1:11" ht="54" customHeight="1">
      <c r="A12830" s="9" t="s">
        <v>26112</v>
      </c>
      <c r="B12830" s="9" t="s">
        <v>26112</v>
      </c>
      <c r="C12830" s="9" t="s">
        <v>90</v>
      </c>
      <c r="D12830" s="9" t="s">
        <v>67</v>
      </c>
      <c r="E12830" s="10" t="s">
        <v>2379</v>
      </c>
      <c r="F12830" s="9" t="s">
        <v>2380</v>
      </c>
      <c r="G12830" s="10" t="s">
        <v>75</v>
      </c>
      <c r="H12830" s="9" t="s">
        <v>22</v>
      </c>
      <c r="I12830" s="9" t="s">
        <v>26113</v>
      </c>
      <c r="J12830" s="10" t="str">
        <f>HYPERLINK("https://www.boe.es/gazeta/dias/1834/04/03/pdfs/GMD-1834-42.pdf#page=4","Abrir facsímil")</f>
        <v>Abrir facsímil</v>
      </c>
      <c r="K12830" s="10" t="s">
        <v>24</v>
      </c>
    </row>
    <row r="12831" spans="1:11" ht="54" customHeight="1">
      <c r="A12831" s="9" t="s">
        <v>26112</v>
      </c>
      <c r="B12831" s="9" t="s">
        <v>26112</v>
      </c>
      <c r="C12831" s="9" t="s">
        <v>66</v>
      </c>
      <c r="D12831" s="9" t="s">
        <v>67</v>
      </c>
      <c r="E12831" s="10" t="s">
        <v>2048</v>
      </c>
      <c r="F12831" s="9" t="s">
        <v>2049</v>
      </c>
      <c r="G12831" s="10" t="s">
        <v>75</v>
      </c>
      <c r="H12831" s="9" t="s">
        <v>22</v>
      </c>
      <c r="I12831" s="9" t="s">
        <v>26114</v>
      </c>
      <c r="J12831" s="10" t="str">
        <f>HYPERLINK("https://www.boe.es/gazeta/dias/1834/05/12/pdfs/GMD-1834-81.pdf#page=4","Abrir facsímil")</f>
        <v>Abrir facsímil</v>
      </c>
      <c r="K12831" s="10" t="s">
        <v>24</v>
      </c>
    </row>
    <row r="12832" spans="1:11" ht="54" customHeight="1">
      <c r="A12832" s="9" t="s">
        <v>26115</v>
      </c>
      <c r="B12832" s="9" t="s">
        <v>26115</v>
      </c>
      <c r="C12832" s="9" t="s">
        <v>17</v>
      </c>
      <c r="D12832" s="9" t="s">
        <v>18</v>
      </c>
      <c r="E12832" s="10" t="s">
        <v>179</v>
      </c>
      <c r="F12832" s="9" t="s">
        <v>180</v>
      </c>
      <c r="G12832" s="10" t="s">
        <v>75</v>
      </c>
      <c r="H12832" s="9" t="s">
        <v>22</v>
      </c>
      <c r="I12832" s="9" t="s">
        <v>26116</v>
      </c>
      <c r="J12832" s="10" t="str">
        <f>HYPERLINK("https://www.boe.es/gazeta/dias/1834/10/28/pdfs/GMD-1834-256.pdf#page=4","Abrir facsímil")</f>
        <v>Abrir facsímil</v>
      </c>
      <c r="K12832" s="10" t="s">
        <v>24</v>
      </c>
    </row>
    <row r="12833" spans="1:11" ht="54" customHeight="1">
      <c r="A12833" s="9" t="s">
        <v>26117</v>
      </c>
      <c r="B12833" s="9" t="s">
        <v>26118</v>
      </c>
      <c r="C12833" s="9" t="s">
        <v>66</v>
      </c>
      <c r="D12833" s="9" t="s">
        <v>67</v>
      </c>
      <c r="E12833" s="10" t="s">
        <v>73</v>
      </c>
      <c r="F12833" s="9" t="s">
        <v>74</v>
      </c>
      <c r="G12833" s="10" t="s">
        <v>75</v>
      </c>
      <c r="H12833" s="9" t="s">
        <v>22</v>
      </c>
      <c r="I12833" s="9" t="s">
        <v>26119</v>
      </c>
      <c r="J12833" s="10" t="str">
        <f>HYPERLINK("https://www.boe.es/gazeta/dias/1834/11/04/pdfs/GMD-1834-263.pdf#page=4","Abrir facsímil")</f>
        <v>Abrir facsímil</v>
      </c>
      <c r="K12833" s="10" t="s">
        <v>24</v>
      </c>
    </row>
    <row r="12834" spans="1:11" ht="54" customHeight="1">
      <c r="A12834" s="9" t="s">
        <v>26120</v>
      </c>
      <c r="B12834" s="9" t="s">
        <v>26121</v>
      </c>
      <c r="C12834" s="9" t="s">
        <v>46</v>
      </c>
      <c r="D12834" s="9" t="s">
        <v>55</v>
      </c>
      <c r="E12834" s="10" t="s">
        <v>1262</v>
      </c>
      <c r="F12834" s="9" t="s">
        <v>1263</v>
      </c>
      <c r="G12834" s="10" t="s">
        <v>21</v>
      </c>
      <c r="H12834" s="9" t="s">
        <v>22</v>
      </c>
      <c r="I12834" s="9" t="s">
        <v>26122</v>
      </c>
      <c r="J12834" s="10" t="str">
        <f>HYPERLINK("https://www.boe.es/gazeta/dias/1834/02/01/pdfs/GMD-1834-15.pdf#page=3","Abrir facsímil")</f>
        <v>Abrir facsímil</v>
      </c>
      <c r="K12834" s="10" t="s">
        <v>24</v>
      </c>
    </row>
    <row r="12835" spans="1:11" ht="54" customHeight="1">
      <c r="A12835" s="9" t="s">
        <v>26123</v>
      </c>
      <c r="B12835" s="9" t="s">
        <v>26123</v>
      </c>
      <c r="C12835" s="9" t="s">
        <v>66</v>
      </c>
      <c r="D12835" s="9" t="s">
        <v>67</v>
      </c>
      <c r="E12835" s="10" t="s">
        <v>1680</v>
      </c>
      <c r="F12835" s="9" t="s">
        <v>1681</v>
      </c>
      <c r="G12835" s="10" t="s">
        <v>75</v>
      </c>
      <c r="H12835" s="9" t="s">
        <v>22</v>
      </c>
      <c r="I12835" s="9" t="s">
        <v>26124</v>
      </c>
      <c r="J12835" s="10" t="str">
        <f>HYPERLINK("https://www.boe.es/gazeta/dias/1834/02/27/pdfs/GMD-1834-26.pdf#page=4","Abrir facsímil")</f>
        <v>Abrir facsímil</v>
      </c>
      <c r="K12835" s="10" t="s">
        <v>24</v>
      </c>
    </row>
    <row r="12836" spans="1:11" ht="54" customHeight="1">
      <c r="A12836" s="9" t="s">
        <v>26125</v>
      </c>
      <c r="B12836" s="9" t="s">
        <v>26126</v>
      </c>
      <c r="C12836" s="9" t="s">
        <v>17</v>
      </c>
      <c r="D12836" s="9" t="s">
        <v>18</v>
      </c>
      <c r="E12836" s="10" t="s">
        <v>1597</v>
      </c>
      <c r="F12836" s="9" t="s">
        <v>1598</v>
      </c>
      <c r="G12836" s="10" t="s">
        <v>21</v>
      </c>
      <c r="H12836" s="9" t="s">
        <v>22</v>
      </c>
      <c r="I12836" s="9" t="s">
        <v>26127</v>
      </c>
      <c r="J12836" s="10" t="str">
        <f>HYPERLINK("https://www.boe.es/gazeta/dias/1834/10/03/pdfs/GMD-1834-231.pdf#page=3","Abrir facsímil")</f>
        <v>Abrir facsímil</v>
      </c>
      <c r="K12836" s="10" t="s">
        <v>24</v>
      </c>
    </row>
    <row r="12837" spans="1:11" ht="54" customHeight="1">
      <c r="A12837" s="9" t="s">
        <v>26128</v>
      </c>
      <c r="B12837" s="9" t="s">
        <v>26129</v>
      </c>
      <c r="C12837" s="9" t="s">
        <v>17</v>
      </c>
      <c r="D12837" s="9" t="s">
        <v>18</v>
      </c>
      <c r="E12837" s="10" t="s">
        <v>1597</v>
      </c>
      <c r="F12837" s="9" t="s">
        <v>1598</v>
      </c>
      <c r="G12837" s="10" t="s">
        <v>21</v>
      </c>
      <c r="H12837" s="9" t="s">
        <v>35</v>
      </c>
      <c r="I12837" s="9" t="s">
        <v>26130</v>
      </c>
      <c r="J12837" s="10" t="str">
        <f>HYPERLINK("https://www.boe.es/gazeta/dias/1834/10/03/pdfs/GMD-1834-231.pdf#page=3","Abrir facsímil")</f>
        <v>Abrir facsímil</v>
      </c>
      <c r="K12837" s="10" t="s">
        <v>37</v>
      </c>
    </row>
    <row r="12838" spans="1:11" ht="54" customHeight="1">
      <c r="A12838" s="9" t="s">
        <v>26131</v>
      </c>
      <c r="B12838" s="9" t="s">
        <v>26132</v>
      </c>
      <c r="C12838" s="9" t="s">
        <v>17</v>
      </c>
      <c r="D12838" s="9" t="s">
        <v>18</v>
      </c>
      <c r="E12838" s="10" t="s">
        <v>286</v>
      </c>
      <c r="F12838" s="9" t="s">
        <v>548</v>
      </c>
      <c r="G12838" s="10" t="s">
        <v>75</v>
      </c>
      <c r="H12838" s="9" t="s">
        <v>22</v>
      </c>
      <c r="I12838" s="9" t="s">
        <v>26133</v>
      </c>
      <c r="J12838" s="10" t="str">
        <f>HYPERLINK("https://www.boe.es/gazeta/dias/1834/08/30/pdfs/GMD-1834-196.pdf#page=4","Abrir facsímil")</f>
        <v>Abrir facsímil</v>
      </c>
      <c r="K12838" s="10" t="s">
        <v>24</v>
      </c>
    </row>
    <row r="12839" spans="1:11" ht="54" customHeight="1">
      <c r="A12839" s="9" t="s">
        <v>26134</v>
      </c>
      <c r="B12839" s="9" t="s">
        <v>26135</v>
      </c>
      <c r="C12839" s="9" t="s">
        <v>17</v>
      </c>
      <c r="D12839" s="9" t="s">
        <v>18</v>
      </c>
      <c r="E12839" s="10" t="s">
        <v>286</v>
      </c>
      <c r="F12839" s="9" t="s">
        <v>548</v>
      </c>
      <c r="G12839" s="10" t="s">
        <v>75</v>
      </c>
      <c r="H12839" s="9" t="s">
        <v>35</v>
      </c>
      <c r="I12839" s="9" t="s">
        <v>26136</v>
      </c>
      <c r="J12839" s="10" t="str">
        <f>HYPERLINK("https://www.boe.es/gazeta/dias/1834/08/30/pdfs/GMD-1834-196.pdf#page=4","Abrir facsímil")</f>
        <v>Abrir facsímil</v>
      </c>
      <c r="K12839" s="10" t="s">
        <v>37</v>
      </c>
    </row>
    <row r="12840" spans="1:11" ht="54" customHeight="1">
      <c r="A12840" s="9" t="s">
        <v>26137</v>
      </c>
      <c r="B12840" s="9" t="s">
        <v>26137</v>
      </c>
      <c r="C12840" s="9" t="s">
        <v>90</v>
      </c>
      <c r="D12840" s="9" t="s">
        <v>18</v>
      </c>
      <c r="E12840" s="10" t="s">
        <v>891</v>
      </c>
      <c r="F12840" s="9" t="s">
        <v>892</v>
      </c>
      <c r="G12840" s="10" t="s">
        <v>34</v>
      </c>
      <c r="H12840" s="9" t="s">
        <v>22</v>
      </c>
      <c r="I12840" s="9" t="s">
        <v>26138</v>
      </c>
      <c r="J12840" s="10" t="str">
        <f>HYPERLINK("https://www.boe.es/gazeta/dias/1834/10/31/pdfs/GMD-C-1834-259.pdf#page=1","Abrir facsímil")</f>
        <v>Abrir facsímil</v>
      </c>
      <c r="K12840" s="10" t="s">
        <v>24</v>
      </c>
    </row>
    <row r="12841" spans="1:11" ht="54" customHeight="1">
      <c r="A12841" s="9" t="s">
        <v>26139</v>
      </c>
      <c r="B12841" s="9" t="s">
        <v>26139</v>
      </c>
      <c r="C12841" s="9" t="s">
        <v>17</v>
      </c>
      <c r="D12841" s="9" t="s">
        <v>55</v>
      </c>
      <c r="E12841" s="10" t="s">
        <v>1862</v>
      </c>
      <c r="F12841" s="9" t="s">
        <v>1863</v>
      </c>
      <c r="G12841" s="10" t="s">
        <v>21</v>
      </c>
      <c r="H12841" s="9" t="s">
        <v>22</v>
      </c>
      <c r="I12841" s="9" t="s">
        <v>26140</v>
      </c>
      <c r="J12841" s="10" t="str">
        <f>HYPERLINK("https://www.boe.es/gazeta/dias/1834/02/04/pdfs/GMD-1834-16.pdf#page=3","Abrir facsímil")</f>
        <v>Abrir facsímil</v>
      </c>
      <c r="K12841" s="10" t="s">
        <v>24</v>
      </c>
    </row>
    <row r="12842" spans="1:11" ht="54" customHeight="1">
      <c r="A12842" s="9" t="s">
        <v>26141</v>
      </c>
      <c r="B12842" s="9" t="s">
        <v>26142</v>
      </c>
      <c r="C12842" s="9" t="s">
        <v>90</v>
      </c>
      <c r="D12842" s="9" t="s">
        <v>18</v>
      </c>
      <c r="E12842" s="10" t="s">
        <v>5435</v>
      </c>
      <c r="F12842" s="9" t="s">
        <v>5436</v>
      </c>
      <c r="G12842" s="10" t="s">
        <v>34</v>
      </c>
      <c r="H12842" s="9" t="s">
        <v>22</v>
      </c>
      <c r="I12842" s="9" t="s">
        <v>26143</v>
      </c>
      <c r="J12842" s="10" t="str">
        <f>HYPERLINK("https://www.boe.es/gazeta/dias/1834/05/11/pdfs/GMD-1834-80.pdf#page=1","Abrir facsímil")</f>
        <v>Abrir facsímil</v>
      </c>
      <c r="K12842" s="10" t="s">
        <v>24</v>
      </c>
    </row>
    <row r="12843" spans="1:11" ht="54" customHeight="1">
      <c r="A12843" s="9" t="s">
        <v>26144</v>
      </c>
      <c r="B12843" s="9" t="s">
        <v>26145</v>
      </c>
      <c r="C12843" s="9" t="s">
        <v>90</v>
      </c>
      <c r="D12843" s="9" t="s">
        <v>18</v>
      </c>
      <c r="E12843" s="10" t="s">
        <v>1333</v>
      </c>
      <c r="F12843" s="9" t="s">
        <v>1334</v>
      </c>
      <c r="G12843" s="10" t="s">
        <v>34</v>
      </c>
      <c r="H12843" s="9" t="s">
        <v>22</v>
      </c>
      <c r="I12843" s="9" t="s">
        <v>26146</v>
      </c>
      <c r="J12843" s="10" t="str">
        <f>HYPERLINK("https://www.boe.es/gazeta/dias/1834/04/01/pdfs/GMD-1834-40.pdf#page=1","Abrir facsímil")</f>
        <v>Abrir facsímil</v>
      </c>
      <c r="K12843" s="10" t="s">
        <v>24</v>
      </c>
    </row>
    <row r="12844" spans="1:11" ht="54" customHeight="1">
      <c r="A12844" s="9" t="s">
        <v>26147</v>
      </c>
      <c r="B12844" s="9" t="s">
        <v>26148</v>
      </c>
      <c r="C12844" s="9" t="s">
        <v>17</v>
      </c>
      <c r="D12844" s="9" t="s">
        <v>18</v>
      </c>
      <c r="E12844" s="10" t="s">
        <v>724</v>
      </c>
      <c r="F12844" s="9" t="s">
        <v>725</v>
      </c>
      <c r="G12844" s="10" t="s">
        <v>75</v>
      </c>
      <c r="H12844" s="9" t="s">
        <v>22</v>
      </c>
      <c r="I12844" s="9" t="s">
        <v>26149</v>
      </c>
      <c r="J12844" s="10" t="str">
        <f>HYPERLINK("https://www.boe.es/gazeta/dias/1834/04/25/pdfs/GMD-1834-64.pdf#page=4","Abrir facsímil")</f>
        <v>Abrir facsímil</v>
      </c>
      <c r="K12844" s="10" t="s">
        <v>24</v>
      </c>
    </row>
    <row r="12845" spans="1:11" ht="54" customHeight="1">
      <c r="A12845" s="9" t="s">
        <v>26150</v>
      </c>
      <c r="B12845" s="9" t="s">
        <v>26151</v>
      </c>
      <c r="C12845" s="9" t="s">
        <v>17</v>
      </c>
      <c r="D12845" s="9" t="s">
        <v>18</v>
      </c>
      <c r="E12845" s="10" t="s">
        <v>4064</v>
      </c>
      <c r="F12845" s="9" t="s">
        <v>4065</v>
      </c>
      <c r="G12845" s="10" t="s">
        <v>75</v>
      </c>
      <c r="H12845" s="9" t="s">
        <v>22</v>
      </c>
      <c r="I12845" s="9" t="s">
        <v>26152</v>
      </c>
      <c r="J12845" s="10" t="str">
        <f>HYPERLINK("https://www.boe.es/gazeta/dias/1834/07/22/pdfs/GMD-1834-155.pdf#page=4","Abrir facsímil")</f>
        <v>Abrir facsímil</v>
      </c>
      <c r="K12845" s="10" t="s">
        <v>24</v>
      </c>
    </row>
    <row r="12846" spans="1:11" ht="54" customHeight="1">
      <c r="A12846" s="9" t="s">
        <v>26153</v>
      </c>
      <c r="B12846" s="9" t="s">
        <v>26153</v>
      </c>
      <c r="C12846" s="9" t="s">
        <v>17</v>
      </c>
      <c r="D12846" s="9" t="s">
        <v>40</v>
      </c>
      <c r="E12846" s="10" t="s">
        <v>615</v>
      </c>
      <c r="F12846" s="9" t="s">
        <v>616</v>
      </c>
      <c r="G12846" s="10" t="s">
        <v>75</v>
      </c>
      <c r="H12846" s="9" t="s">
        <v>22</v>
      </c>
      <c r="I12846" s="9" t="s">
        <v>26154</v>
      </c>
      <c r="J12846" s="10" t="str">
        <f>HYPERLINK("https://www.boe.es/gazeta/dias/1834/08/19/pdfs/GMD-1834-185.pdf#page=4","Abrir facsímil")</f>
        <v>Abrir facsímil</v>
      </c>
      <c r="K12846" s="10" t="s">
        <v>24</v>
      </c>
    </row>
    <row r="12847" spans="1:11" ht="54" customHeight="1">
      <c r="A12847" s="9" t="s">
        <v>26155</v>
      </c>
      <c r="B12847" s="9" t="s">
        <v>26155</v>
      </c>
      <c r="C12847" s="9" t="s">
        <v>17</v>
      </c>
      <c r="D12847" s="9" t="s">
        <v>18</v>
      </c>
      <c r="E12847" s="10" t="s">
        <v>707</v>
      </c>
      <c r="F12847" s="9" t="s">
        <v>708</v>
      </c>
      <c r="G12847" s="10" t="s">
        <v>75</v>
      </c>
      <c r="H12847" s="9" t="s">
        <v>22</v>
      </c>
      <c r="I12847" s="9" t="s">
        <v>26156</v>
      </c>
      <c r="J12847" s="10" t="str">
        <f>HYPERLINK("https://www.boe.es/gazeta/dias/1834/11/25/pdfs/GMD-C-1834-284.pdf#page=4","Abrir facsímil")</f>
        <v>Abrir facsímil</v>
      </c>
      <c r="K12847" s="10" t="s">
        <v>24</v>
      </c>
    </row>
    <row r="12848" spans="1:11" ht="54" customHeight="1">
      <c r="A12848" s="9" t="s">
        <v>26157</v>
      </c>
      <c r="B12848" s="9" t="s">
        <v>26158</v>
      </c>
      <c r="C12848" s="9" t="s">
        <v>17</v>
      </c>
      <c r="D12848" s="9" t="s">
        <v>18</v>
      </c>
      <c r="E12848" s="10" t="s">
        <v>479</v>
      </c>
      <c r="F12848" s="9" t="s">
        <v>480</v>
      </c>
      <c r="G12848" s="10" t="s">
        <v>21</v>
      </c>
      <c r="H12848" s="9" t="s">
        <v>22</v>
      </c>
      <c r="I12848" s="9" t="s">
        <v>26159</v>
      </c>
      <c r="J12848" s="10" t="str">
        <f>HYPERLINK("https://www.boe.es/gazeta/dias/1834/08/13/pdfs/GMD-1834-178.pdf#page=3","Abrir facsímil")</f>
        <v>Abrir facsímil</v>
      </c>
      <c r="K12848" s="10" t="s">
        <v>24</v>
      </c>
    </row>
    <row r="12849" spans="1:11" ht="54" customHeight="1">
      <c r="A12849" s="9" t="s">
        <v>26160</v>
      </c>
      <c r="B12849" s="9" t="s">
        <v>26160</v>
      </c>
      <c r="C12849" s="9" t="s">
        <v>17</v>
      </c>
      <c r="D12849" s="9" t="s">
        <v>18</v>
      </c>
      <c r="E12849" s="10" t="s">
        <v>1186</v>
      </c>
      <c r="F12849" s="9" t="s">
        <v>4286</v>
      </c>
      <c r="G12849" s="10" t="s">
        <v>34</v>
      </c>
      <c r="H12849" s="9" t="s">
        <v>22</v>
      </c>
      <c r="I12849" s="9" t="s">
        <v>26161</v>
      </c>
      <c r="J12849" s="10" t="str">
        <f>HYPERLINK("https://www.boe.es/gazeta/dias/1834/08/14/pdfs/GMD-C-1834-179.pdf#page=1","Abrir facsímil")</f>
        <v>Abrir facsímil</v>
      </c>
      <c r="K12849" s="10" t="s">
        <v>24</v>
      </c>
    </row>
    <row r="12850" spans="1:11" ht="54" customHeight="1">
      <c r="A12850" s="9" t="s">
        <v>26162</v>
      </c>
      <c r="B12850" s="9" t="s">
        <v>26163</v>
      </c>
      <c r="C12850" s="9" t="s">
        <v>17</v>
      </c>
      <c r="D12850" s="9" t="s">
        <v>18</v>
      </c>
      <c r="E12850" s="10" t="s">
        <v>1340</v>
      </c>
      <c r="F12850" s="9" t="s">
        <v>1341</v>
      </c>
      <c r="G12850" s="10" t="s">
        <v>75</v>
      </c>
      <c r="H12850" s="9" t="s">
        <v>22</v>
      </c>
      <c r="I12850" s="9" t="s">
        <v>26164</v>
      </c>
      <c r="J12850" s="10" t="str">
        <f>HYPERLINK("https://www.boe.es/gazeta/dias/1834/10/05/pdfs/GMD-C-1834-233.pdf#page=4","Abrir facsímil")</f>
        <v>Abrir facsímil</v>
      </c>
      <c r="K12850" s="10" t="s">
        <v>24</v>
      </c>
    </row>
    <row r="12851" spans="1:11" ht="54" customHeight="1">
      <c r="A12851" s="9" t="s">
        <v>26165</v>
      </c>
      <c r="B12851" s="9" t="s">
        <v>26166</v>
      </c>
      <c r="C12851" s="9" t="s">
        <v>17</v>
      </c>
      <c r="D12851" s="9" t="s">
        <v>18</v>
      </c>
      <c r="E12851" s="10" t="s">
        <v>1340</v>
      </c>
      <c r="F12851" s="9" t="s">
        <v>1341</v>
      </c>
      <c r="G12851" s="10" t="s">
        <v>75</v>
      </c>
      <c r="H12851" s="9" t="s">
        <v>35</v>
      </c>
      <c r="I12851" s="9" t="s">
        <v>26167</v>
      </c>
      <c r="J12851" s="10" t="str">
        <f>HYPERLINK("https://www.boe.es/gazeta/dias/1834/10/05/pdfs/GMD-C-1834-233.pdf#page=4","Abrir facsímil")</f>
        <v>Abrir facsímil</v>
      </c>
      <c r="K12851" s="10" t="s">
        <v>37</v>
      </c>
    </row>
    <row r="12852" spans="1:11" ht="54" customHeight="1">
      <c r="A12852" s="9" t="s">
        <v>26168</v>
      </c>
      <c r="B12852" s="9" t="s">
        <v>26169</v>
      </c>
      <c r="C12852" s="9" t="s">
        <v>46</v>
      </c>
      <c r="D12852" s="9" t="s">
        <v>101</v>
      </c>
      <c r="E12852" s="10" t="s">
        <v>615</v>
      </c>
      <c r="F12852" s="9" t="s">
        <v>1205</v>
      </c>
      <c r="G12852" s="10" t="s">
        <v>34</v>
      </c>
      <c r="H12852" s="9" t="s">
        <v>35</v>
      </c>
      <c r="I12852" s="9" t="s">
        <v>26170</v>
      </c>
      <c r="J12852" s="10" t="str">
        <f>HYPERLINK("https://www.boe.es/gazeta/dias/1834/08/19/pdfs/GMD-D-1834-185.pdf#page=1","Abrir facsímil")</f>
        <v>Abrir facsímil</v>
      </c>
      <c r="K12852" s="10" t="s">
        <v>37</v>
      </c>
    </row>
    <row r="12853" spans="1:11" ht="54" customHeight="1">
      <c r="A12853" s="9" t="s">
        <v>26171</v>
      </c>
      <c r="B12853" s="9" t="s">
        <v>26172</v>
      </c>
      <c r="C12853" s="9" t="s">
        <v>17</v>
      </c>
      <c r="D12853" s="9" t="s">
        <v>18</v>
      </c>
      <c r="E12853" s="10" t="s">
        <v>1186</v>
      </c>
      <c r="F12853" s="9" t="s">
        <v>4286</v>
      </c>
      <c r="G12853" s="10" t="s">
        <v>34</v>
      </c>
      <c r="H12853" s="9" t="s">
        <v>35</v>
      </c>
      <c r="I12853" s="9" t="s">
        <v>26173</v>
      </c>
      <c r="J12853" s="10" t="str">
        <f>HYPERLINK("https://www.boe.es/gazeta/dias/1834/08/14/pdfs/GMD-C-1834-179.pdf#page=1","Abrir facsímil")</f>
        <v>Abrir facsímil</v>
      </c>
      <c r="K12853" s="10" t="s">
        <v>37</v>
      </c>
    </row>
    <row r="12854" spans="1:11" ht="54" customHeight="1">
      <c r="A12854" s="9" t="s">
        <v>26174</v>
      </c>
      <c r="B12854" s="9" t="s">
        <v>26175</v>
      </c>
      <c r="C12854" s="9" t="s">
        <v>17</v>
      </c>
      <c r="D12854" s="9" t="s">
        <v>18</v>
      </c>
      <c r="E12854" s="10" t="s">
        <v>753</v>
      </c>
      <c r="F12854" s="9" t="s">
        <v>754</v>
      </c>
      <c r="G12854" s="10" t="s">
        <v>75</v>
      </c>
      <c r="H12854" s="9" t="s">
        <v>22</v>
      </c>
      <c r="I12854" s="9" t="s">
        <v>26176</v>
      </c>
      <c r="J12854" s="10" t="str">
        <f>HYPERLINK("https://www.boe.es/gazeta/dias/1834/04/21/pdfs/GMD-1834-60.pdf#page=4","Abrir facsímil")</f>
        <v>Abrir facsímil</v>
      </c>
      <c r="K12854" s="10" t="s">
        <v>24</v>
      </c>
    </row>
    <row r="12855" spans="1:11" ht="54" customHeight="1">
      <c r="A12855" s="9" t="s">
        <v>26177</v>
      </c>
      <c r="B12855" s="9" t="s">
        <v>26178</v>
      </c>
      <c r="C12855" s="9" t="s">
        <v>17</v>
      </c>
      <c r="D12855" s="9" t="s">
        <v>18</v>
      </c>
      <c r="E12855" s="10" t="s">
        <v>299</v>
      </c>
      <c r="F12855" s="9" t="s">
        <v>300</v>
      </c>
      <c r="G12855" s="10" t="s">
        <v>21</v>
      </c>
      <c r="H12855" s="9" t="s">
        <v>22</v>
      </c>
      <c r="I12855" s="9" t="s">
        <v>26179</v>
      </c>
      <c r="J12855" s="10" t="str">
        <f>HYPERLINK("https://www.boe.es/gazeta/dias/1834/12/12/pdfs/GMD-1834-301.pdf#page=3","Abrir facsímil")</f>
        <v>Abrir facsímil</v>
      </c>
      <c r="K12855" s="10" t="s">
        <v>24</v>
      </c>
    </row>
    <row r="12856" spans="1:11" ht="54" customHeight="1">
      <c r="A12856" s="9" t="s">
        <v>26180</v>
      </c>
      <c r="B12856" s="9" t="s">
        <v>26181</v>
      </c>
      <c r="C12856" s="9" t="s">
        <v>66</v>
      </c>
      <c r="D12856" s="9" t="s">
        <v>18</v>
      </c>
      <c r="E12856" s="10" t="s">
        <v>1084</v>
      </c>
      <c r="F12856" s="9" t="s">
        <v>1085</v>
      </c>
      <c r="G12856" s="10" t="s">
        <v>176</v>
      </c>
      <c r="H12856" s="9" t="s">
        <v>22</v>
      </c>
      <c r="I12856" s="9" t="s">
        <v>26182</v>
      </c>
      <c r="J12856" s="10" t="str">
        <f>HYPERLINK("https://www.boe.es/gazeta/dias/1834/05/01/pdfs/GMD-1834-70.pdf#page=6","Abrir facsímil")</f>
        <v>Abrir facsímil</v>
      </c>
      <c r="K12856" s="10" t="s">
        <v>24</v>
      </c>
    </row>
    <row r="12857" spans="1:11" ht="54" customHeight="1">
      <c r="A12857" s="9" t="s">
        <v>26180</v>
      </c>
      <c r="B12857" s="9" t="s">
        <v>26181</v>
      </c>
      <c r="C12857" s="9" t="s">
        <v>17</v>
      </c>
      <c r="D12857" s="9" t="s">
        <v>18</v>
      </c>
      <c r="E12857" s="10" t="s">
        <v>753</v>
      </c>
      <c r="F12857" s="9" t="s">
        <v>754</v>
      </c>
      <c r="G12857" s="10" t="s">
        <v>176</v>
      </c>
      <c r="H12857" s="9" t="s">
        <v>22</v>
      </c>
      <c r="I12857" s="9" t="s">
        <v>26183</v>
      </c>
      <c r="J12857" s="10" t="str">
        <f>HYPERLINK("https://www.boe.es/gazeta/dias/1834/04/21/pdfs/GMD-1834-60.pdf#page=6","Abrir facsímil")</f>
        <v>Abrir facsímil</v>
      </c>
      <c r="K12857" s="10" t="s">
        <v>24</v>
      </c>
    </row>
    <row r="12858" spans="1:11" ht="54" customHeight="1">
      <c r="A12858" s="9" t="s">
        <v>26184</v>
      </c>
      <c r="B12858" s="9" t="s">
        <v>26185</v>
      </c>
      <c r="C12858" s="9" t="s">
        <v>46</v>
      </c>
      <c r="D12858" s="9" t="s">
        <v>101</v>
      </c>
      <c r="E12858" s="10" t="s">
        <v>615</v>
      </c>
      <c r="F12858" s="9" t="s">
        <v>1205</v>
      </c>
      <c r="G12858" s="10" t="s">
        <v>34</v>
      </c>
      <c r="H12858" s="9" t="s">
        <v>22</v>
      </c>
      <c r="I12858" s="9" t="s">
        <v>26186</v>
      </c>
      <c r="J12858" s="10" t="str">
        <f>HYPERLINK("https://www.boe.es/gazeta/dias/1834/08/19/pdfs/GMD-D-1834-185.pdf#page=1","Abrir facsímil")</f>
        <v>Abrir facsímil</v>
      </c>
      <c r="K12858" s="10" t="s">
        <v>24</v>
      </c>
    </row>
    <row r="12859" spans="1:11" ht="54" customHeight="1">
      <c r="A12859" s="9" t="s">
        <v>26187</v>
      </c>
      <c r="B12859" s="9" t="s">
        <v>26188</v>
      </c>
      <c r="C12859" s="9" t="s">
        <v>17</v>
      </c>
      <c r="D12859" s="9" t="s">
        <v>18</v>
      </c>
      <c r="E12859" s="10" t="s">
        <v>408</v>
      </c>
      <c r="F12859" s="9" t="s">
        <v>409</v>
      </c>
      <c r="G12859" s="10" t="s">
        <v>34</v>
      </c>
      <c r="H12859" s="9" t="s">
        <v>22</v>
      </c>
      <c r="I12859" s="9" t="s">
        <v>26189</v>
      </c>
      <c r="J12859" s="10" t="str">
        <f>HYPERLINK("https://www.boe.es/gazeta/dias/1834/04/28/pdfs/GMD-1834-67.pdf#page=1","Abrir facsímil")</f>
        <v>Abrir facsímil</v>
      </c>
      <c r="K12859" s="10" t="s">
        <v>24</v>
      </c>
    </row>
    <row r="12860" spans="1:11" ht="54" customHeight="1">
      <c r="A12860" s="9" t="s">
        <v>26190</v>
      </c>
      <c r="B12860" s="9" t="s">
        <v>26191</v>
      </c>
      <c r="C12860" s="9" t="s">
        <v>17</v>
      </c>
      <c r="D12860" s="9" t="s">
        <v>18</v>
      </c>
      <c r="E12860" s="10" t="s">
        <v>753</v>
      </c>
      <c r="F12860" s="9" t="s">
        <v>754</v>
      </c>
      <c r="G12860" s="10" t="s">
        <v>75</v>
      </c>
      <c r="H12860" s="9" t="s">
        <v>35</v>
      </c>
      <c r="I12860" s="9" t="s">
        <v>26192</v>
      </c>
      <c r="J12860" s="10" t="str">
        <f>HYPERLINK("https://www.boe.es/gazeta/dias/1834/04/21/pdfs/GMD-1834-60.pdf#page=4","Abrir facsímil")</f>
        <v>Abrir facsímil</v>
      </c>
      <c r="K12860" s="10" t="s">
        <v>37</v>
      </c>
    </row>
    <row r="12861" spans="1:11" ht="54" customHeight="1">
      <c r="A12861" s="9" t="s">
        <v>26193</v>
      </c>
      <c r="B12861" s="9" t="s">
        <v>26194</v>
      </c>
      <c r="C12861" s="9" t="s">
        <v>122</v>
      </c>
      <c r="D12861" s="9" t="s">
        <v>18</v>
      </c>
      <c r="E12861" s="10" t="s">
        <v>912</v>
      </c>
      <c r="F12861" s="9" t="s">
        <v>913</v>
      </c>
      <c r="G12861" s="10" t="s">
        <v>28</v>
      </c>
      <c r="H12861" s="9" t="s">
        <v>22</v>
      </c>
      <c r="I12861" s="9" t="s">
        <v>26195</v>
      </c>
      <c r="J12861" s="10" t="str">
        <f>HYPERLINK("https://www.boe.es/gazeta/dias/1834/02/15/pdfs/GMD-1834-21.pdf#page=5","Abrir facsímil")</f>
        <v>Abrir facsímil</v>
      </c>
      <c r="K12861" s="10" t="s">
        <v>24</v>
      </c>
    </row>
    <row r="12862" spans="1:11" ht="54" customHeight="1">
      <c r="A12862" s="9" t="s">
        <v>26196</v>
      </c>
      <c r="B12862" s="9" t="s">
        <v>26197</v>
      </c>
      <c r="C12862" s="9" t="s">
        <v>17</v>
      </c>
      <c r="D12862" s="9" t="s">
        <v>55</v>
      </c>
      <c r="E12862" s="10" t="s">
        <v>299</v>
      </c>
      <c r="F12862" s="9" t="s">
        <v>300</v>
      </c>
      <c r="G12862" s="10" t="s">
        <v>21</v>
      </c>
      <c r="H12862" s="9" t="s">
        <v>22</v>
      </c>
      <c r="I12862" s="9" t="s">
        <v>26198</v>
      </c>
      <c r="J12862" s="10" t="str">
        <f>HYPERLINK("https://www.boe.es/gazeta/dias/1834/12/12/pdfs/GMD-1834-301.pdf#page=3","Abrir facsímil")</f>
        <v>Abrir facsímil</v>
      </c>
      <c r="K12862" s="10" t="s">
        <v>24</v>
      </c>
    </row>
    <row r="12863" spans="1:11" ht="54" customHeight="1">
      <c r="A12863" s="9" t="s">
        <v>26199</v>
      </c>
      <c r="B12863" s="9" t="s">
        <v>26200</v>
      </c>
      <c r="C12863" s="9" t="s">
        <v>17</v>
      </c>
      <c r="D12863" s="9" t="s">
        <v>18</v>
      </c>
      <c r="E12863" s="10" t="s">
        <v>1186</v>
      </c>
      <c r="F12863" s="9" t="s">
        <v>4286</v>
      </c>
      <c r="G12863" s="10" t="s">
        <v>34</v>
      </c>
      <c r="H12863" s="9" t="s">
        <v>22</v>
      </c>
      <c r="I12863" s="9" t="s">
        <v>26201</v>
      </c>
      <c r="J12863" s="10" t="str">
        <f>HYPERLINK("https://www.boe.es/gazeta/dias/1834/08/14/pdfs/GMD-C-1834-179.pdf#page=1","Abrir facsímil")</f>
        <v>Abrir facsímil</v>
      </c>
      <c r="K12863" s="10" t="s">
        <v>24</v>
      </c>
    </row>
    <row r="12864" spans="1:11" ht="54" customHeight="1">
      <c r="A12864" s="9" t="s">
        <v>26202</v>
      </c>
      <c r="B12864" s="9" t="s">
        <v>26203</v>
      </c>
      <c r="C12864" s="9" t="s">
        <v>122</v>
      </c>
      <c r="D12864" s="9" t="s">
        <v>18</v>
      </c>
      <c r="E12864" s="10" t="s">
        <v>5574</v>
      </c>
      <c r="F12864" s="9" t="s">
        <v>5575</v>
      </c>
      <c r="G12864" s="10" t="s">
        <v>34</v>
      </c>
      <c r="H12864" s="9" t="s">
        <v>22</v>
      </c>
      <c r="I12864" s="9" t="s">
        <v>26204</v>
      </c>
      <c r="J12864" s="10" t="str">
        <f>HYPERLINK("https://www.boe.es/gazeta/dias/1834/06/16/pdfs/GMD-1834-119.pdf#page=1","Abrir facsímil")</f>
        <v>Abrir facsímil</v>
      </c>
      <c r="K12864" s="10" t="s">
        <v>24</v>
      </c>
    </row>
    <row r="12865" spans="1:11" ht="54" customHeight="1">
      <c r="A12865" s="9" t="s">
        <v>26202</v>
      </c>
      <c r="B12865" s="9" t="s">
        <v>26203</v>
      </c>
      <c r="C12865" s="9" t="s">
        <v>46</v>
      </c>
      <c r="D12865" s="9" t="s">
        <v>18</v>
      </c>
      <c r="E12865" s="10" t="s">
        <v>2888</v>
      </c>
      <c r="F12865" s="9" t="s">
        <v>2889</v>
      </c>
      <c r="G12865" s="10" t="s">
        <v>21</v>
      </c>
      <c r="H12865" s="9" t="s">
        <v>22</v>
      </c>
      <c r="I12865" s="9" t="s">
        <v>26205</v>
      </c>
      <c r="J12865" s="10" t="str">
        <f>HYPERLINK("https://www.boe.es/gazeta/dias/1834/12/22/pdfs/GMD-1834-312.pdf#page=3","Abrir facsímil")</f>
        <v>Abrir facsímil</v>
      </c>
      <c r="K12865" s="10" t="s">
        <v>24</v>
      </c>
    </row>
    <row r="12866" spans="1:11" ht="54" customHeight="1">
      <c r="A12866" s="9" t="s">
        <v>26206</v>
      </c>
      <c r="B12866" s="9" t="s">
        <v>26207</v>
      </c>
      <c r="C12866" s="9" t="s">
        <v>17</v>
      </c>
      <c r="D12866" s="9" t="s">
        <v>18</v>
      </c>
      <c r="E12866" s="10" t="s">
        <v>3066</v>
      </c>
      <c r="F12866" s="9" t="s">
        <v>3067</v>
      </c>
      <c r="G12866" s="10" t="s">
        <v>34</v>
      </c>
      <c r="H12866" s="9" t="s">
        <v>22</v>
      </c>
      <c r="I12866" s="9" t="s">
        <v>26208</v>
      </c>
      <c r="J12866" s="10" t="str">
        <f>HYPERLINK("https://www.boe.es/gazeta/dias/1834/08/03/pdfs/GMD-C-1834-167.pdf#page=1","Abrir facsímil")</f>
        <v>Abrir facsímil</v>
      </c>
      <c r="K12866" s="10" t="s">
        <v>24</v>
      </c>
    </row>
    <row r="12867" spans="1:11" ht="54" customHeight="1">
      <c r="A12867" s="9" t="s">
        <v>26209</v>
      </c>
      <c r="B12867" s="9" t="s">
        <v>26210</v>
      </c>
      <c r="C12867" s="9" t="s">
        <v>17</v>
      </c>
      <c r="D12867" s="9" t="s">
        <v>18</v>
      </c>
      <c r="E12867" s="10" t="s">
        <v>1575</v>
      </c>
      <c r="F12867" s="9" t="s">
        <v>1576</v>
      </c>
      <c r="G12867" s="10" t="s">
        <v>34</v>
      </c>
      <c r="H12867" s="9" t="s">
        <v>22</v>
      </c>
      <c r="I12867" s="9" t="s">
        <v>26211</v>
      </c>
      <c r="J12867" s="10" t="str">
        <f>HYPERLINK("https://www.boe.es/gazeta/dias/1834/11/24/pdfs/GMD-1834-283.pdf#page=1","Abrir facsímil")</f>
        <v>Abrir facsímil</v>
      </c>
      <c r="K12867" s="10" t="s">
        <v>24</v>
      </c>
    </row>
    <row r="12868" spans="1:11" ht="54" customHeight="1">
      <c r="A12868" s="9" t="s">
        <v>26212</v>
      </c>
      <c r="B12868" s="9" t="s">
        <v>26213</v>
      </c>
      <c r="C12868" s="9" t="s">
        <v>17</v>
      </c>
      <c r="D12868" s="9" t="s">
        <v>18</v>
      </c>
      <c r="E12868" s="10" t="s">
        <v>286</v>
      </c>
      <c r="F12868" s="9" t="s">
        <v>548</v>
      </c>
      <c r="G12868" s="10" t="s">
        <v>75</v>
      </c>
      <c r="H12868" s="9" t="s">
        <v>22</v>
      </c>
      <c r="I12868" s="9" t="s">
        <v>26214</v>
      </c>
      <c r="J12868" s="10" t="str">
        <f>HYPERLINK("https://www.boe.es/gazeta/dias/1834/08/30/pdfs/GMD-1834-196.pdf#page=4","Abrir facsímil")</f>
        <v>Abrir facsímil</v>
      </c>
      <c r="K12868" s="10" t="s">
        <v>24</v>
      </c>
    </row>
    <row r="12869" spans="1:11" ht="54" customHeight="1">
      <c r="A12869" s="9" t="s">
        <v>26215</v>
      </c>
      <c r="B12869" s="9" t="s">
        <v>26215</v>
      </c>
      <c r="C12869" s="9" t="s">
        <v>17</v>
      </c>
      <c r="D12869" s="9" t="s">
        <v>18</v>
      </c>
      <c r="E12869" s="10" t="s">
        <v>1103</v>
      </c>
      <c r="F12869" s="9" t="s">
        <v>1104</v>
      </c>
      <c r="G12869" s="10" t="s">
        <v>34</v>
      </c>
      <c r="H12869" s="9" t="s">
        <v>22</v>
      </c>
      <c r="I12869" s="9" t="s">
        <v>26216</v>
      </c>
      <c r="J12869" s="10" t="str">
        <f>HYPERLINK("https://www.boe.es/gazeta/dias/1834/10/10/pdfs/GMD-C-1834-238.pdf#page=1","Abrir facsímil")</f>
        <v>Abrir facsímil</v>
      </c>
      <c r="K12869" s="10" t="s">
        <v>24</v>
      </c>
    </row>
    <row r="12870" spans="1:11" ht="54" customHeight="1">
      <c r="A12870" s="9" t="s">
        <v>26215</v>
      </c>
      <c r="B12870" s="9" t="s">
        <v>26215</v>
      </c>
      <c r="C12870" s="9" t="s">
        <v>17</v>
      </c>
      <c r="D12870" s="9" t="s">
        <v>18</v>
      </c>
      <c r="E12870" s="10" t="s">
        <v>1981</v>
      </c>
      <c r="F12870" s="9" t="s">
        <v>2471</v>
      </c>
      <c r="G12870" s="10" t="s">
        <v>21</v>
      </c>
      <c r="H12870" s="9" t="s">
        <v>22</v>
      </c>
      <c r="I12870" s="9" t="s">
        <v>26217</v>
      </c>
      <c r="J12870" s="10" t="str">
        <f>HYPERLINK("https://www.boe.es/gazeta/dias/1834/12/13/pdfs/GMD-C-1834-302.pdf#page=3","Abrir facsímil")</f>
        <v>Abrir facsímil</v>
      </c>
      <c r="K12870" s="10" t="s">
        <v>24</v>
      </c>
    </row>
    <row r="12871" spans="1:11" ht="54" customHeight="1">
      <c r="A12871" s="9" t="s">
        <v>26215</v>
      </c>
      <c r="B12871" s="9" t="s">
        <v>26215</v>
      </c>
      <c r="C12871" s="9" t="s">
        <v>17</v>
      </c>
      <c r="D12871" s="9" t="s">
        <v>18</v>
      </c>
      <c r="E12871" s="10" t="s">
        <v>237</v>
      </c>
      <c r="F12871" s="9" t="s">
        <v>238</v>
      </c>
      <c r="G12871" s="10" t="s">
        <v>21</v>
      </c>
      <c r="H12871" s="9" t="s">
        <v>22</v>
      </c>
      <c r="I12871" s="9" t="s">
        <v>26218</v>
      </c>
      <c r="J12871" s="10" t="str">
        <f>HYPERLINK("https://www.boe.es/gazeta/dias/1834/08/15/pdfs/GMD-C-1834-180.pdf#page=3","Abrir facsímil")</f>
        <v>Abrir facsímil</v>
      </c>
      <c r="K12871" s="10" t="s">
        <v>24</v>
      </c>
    </row>
    <row r="12872" spans="1:11" ht="54" customHeight="1">
      <c r="A12872" s="9" t="s">
        <v>26215</v>
      </c>
      <c r="B12872" s="9" t="s">
        <v>26215</v>
      </c>
      <c r="C12872" s="9" t="s">
        <v>90</v>
      </c>
      <c r="D12872" s="9" t="s">
        <v>18</v>
      </c>
      <c r="E12872" s="10" t="s">
        <v>265</v>
      </c>
      <c r="F12872" s="9" t="s">
        <v>266</v>
      </c>
      <c r="G12872" s="10" t="s">
        <v>34</v>
      </c>
      <c r="H12872" s="9" t="s">
        <v>22</v>
      </c>
      <c r="I12872" s="9" t="s">
        <v>26219</v>
      </c>
      <c r="J12872" s="10" t="str">
        <f>HYPERLINK("https://www.boe.es/gazeta/dias/1834/11/19/pdfs/GMD-C-1834-278.pdf#page=1","Abrir facsímil")</f>
        <v>Abrir facsímil</v>
      </c>
      <c r="K12872" s="10" t="s">
        <v>24</v>
      </c>
    </row>
    <row r="12873" spans="1:11" ht="54" customHeight="1">
      <c r="A12873" s="9" t="s">
        <v>26215</v>
      </c>
      <c r="B12873" s="9" t="s">
        <v>26215</v>
      </c>
      <c r="C12873" s="9" t="s">
        <v>17</v>
      </c>
      <c r="D12873" s="9" t="s">
        <v>101</v>
      </c>
      <c r="E12873" s="10" t="s">
        <v>268</v>
      </c>
      <c r="F12873" s="9" t="s">
        <v>269</v>
      </c>
      <c r="G12873" s="10" t="s">
        <v>86</v>
      </c>
      <c r="H12873" s="9" t="s">
        <v>22</v>
      </c>
      <c r="I12873" s="9" t="s">
        <v>26220</v>
      </c>
      <c r="J12873" s="10" t="str">
        <f>HYPERLINK("https://www.boe.es/gazeta/dias/1834/12/19/pdfs/GMD-C-1834-309.pdf#page=2","Abrir facsímil")</f>
        <v>Abrir facsímil</v>
      </c>
      <c r="K12873" s="10" t="s">
        <v>24</v>
      </c>
    </row>
    <row r="12874" spans="1:11" ht="54" customHeight="1">
      <c r="A12874" s="9" t="s">
        <v>26215</v>
      </c>
      <c r="B12874" s="9" t="s">
        <v>26215</v>
      </c>
      <c r="C12874" s="9" t="s">
        <v>17</v>
      </c>
      <c r="D12874" s="9" t="s">
        <v>18</v>
      </c>
      <c r="E12874" s="10" t="s">
        <v>273</v>
      </c>
      <c r="F12874" s="9" t="s">
        <v>274</v>
      </c>
      <c r="G12874" s="10" t="s">
        <v>75</v>
      </c>
      <c r="H12874" s="9" t="s">
        <v>22</v>
      </c>
      <c r="I12874" s="9" t="s">
        <v>26221</v>
      </c>
      <c r="J12874" s="10" t="str">
        <f>HYPERLINK("https://www.boe.es/gazeta/dias/1834/08/31/pdfs/GMD-D-1834-198.pdf#page=4","Abrir facsímil")</f>
        <v>Abrir facsímil</v>
      </c>
      <c r="K12874" s="10" t="s">
        <v>24</v>
      </c>
    </row>
    <row r="12875" spans="1:11" ht="54" customHeight="1">
      <c r="A12875" s="9" t="s">
        <v>26222</v>
      </c>
      <c r="B12875" s="9" t="s">
        <v>26223</v>
      </c>
      <c r="C12875" s="9" t="s">
        <v>122</v>
      </c>
      <c r="D12875" s="9" t="s">
        <v>18</v>
      </c>
      <c r="E12875" s="10" t="s">
        <v>123</v>
      </c>
      <c r="F12875" s="9" t="s">
        <v>124</v>
      </c>
      <c r="G12875" s="10" t="s">
        <v>21</v>
      </c>
      <c r="H12875" s="9" t="s">
        <v>22</v>
      </c>
      <c r="I12875" s="9" t="s">
        <v>26224</v>
      </c>
      <c r="J12875" s="10" t="str">
        <f>HYPERLINK("https://www.boe.es/gazeta/dias/1834/07/11/pdfs/GMD-1834-144.pdf#page=3","Abrir facsímil")</f>
        <v>Abrir facsímil</v>
      </c>
      <c r="K12875" s="10" t="s">
        <v>24</v>
      </c>
    </row>
    <row r="12876" spans="1:11" ht="54" customHeight="1">
      <c r="A12876" s="9" t="s">
        <v>26222</v>
      </c>
      <c r="B12876" s="9" t="s">
        <v>26223</v>
      </c>
      <c r="C12876" s="9" t="s">
        <v>17</v>
      </c>
      <c r="D12876" s="9" t="s">
        <v>40</v>
      </c>
      <c r="E12876" s="10" t="s">
        <v>200</v>
      </c>
      <c r="F12876" s="9" t="s">
        <v>2248</v>
      </c>
      <c r="G12876" s="10" t="s">
        <v>75</v>
      </c>
      <c r="H12876" s="9" t="s">
        <v>22</v>
      </c>
      <c r="I12876" s="9" t="s">
        <v>26225</v>
      </c>
      <c r="J12876" s="10" t="str">
        <f>HYPERLINK("https://www.boe.es/gazeta/dias/1834/12/11/pdfs/GMD-C-1834-300.pdf#page=4","Abrir facsímil")</f>
        <v>Abrir facsímil</v>
      </c>
      <c r="K12876" s="10" t="s">
        <v>24</v>
      </c>
    </row>
    <row r="12877" spans="1:11" ht="54" customHeight="1">
      <c r="A12877" s="9" t="s">
        <v>26222</v>
      </c>
      <c r="B12877" s="9" t="s">
        <v>26223</v>
      </c>
      <c r="C12877" s="9" t="s">
        <v>17</v>
      </c>
      <c r="D12877" s="9" t="s">
        <v>18</v>
      </c>
      <c r="E12877" s="10" t="s">
        <v>1424</v>
      </c>
      <c r="F12877" s="9" t="s">
        <v>1425</v>
      </c>
      <c r="G12877" s="10" t="s">
        <v>34</v>
      </c>
      <c r="H12877" s="9" t="s">
        <v>22</v>
      </c>
      <c r="I12877" s="9" t="s">
        <v>26226</v>
      </c>
      <c r="J12877" s="10" t="str">
        <f>HYPERLINK("https://www.boe.es/gazeta/dias/1834/11/14/pdfs/GMD-C-1834-273.pdf#page=1","Abrir facsímil")</f>
        <v>Abrir facsímil</v>
      </c>
      <c r="K12877" s="10" t="s">
        <v>24</v>
      </c>
    </row>
    <row r="12878" spans="1:11" ht="54" customHeight="1">
      <c r="A12878" s="9" t="s">
        <v>26227</v>
      </c>
      <c r="B12878" s="9" t="s">
        <v>26228</v>
      </c>
      <c r="C12878" s="9" t="s">
        <v>17</v>
      </c>
      <c r="D12878" s="9" t="s">
        <v>18</v>
      </c>
      <c r="E12878" s="10" t="s">
        <v>378</v>
      </c>
      <c r="F12878" s="9" t="s">
        <v>888</v>
      </c>
      <c r="G12878" s="10" t="s">
        <v>21</v>
      </c>
      <c r="H12878" s="9" t="s">
        <v>22</v>
      </c>
      <c r="I12878" s="9" t="s">
        <v>26229</v>
      </c>
      <c r="J12878" s="10" t="str">
        <f>HYPERLINK("https://www.boe.es/gazeta/dias/1834/09/24/pdfs/GMD-C-1834-222.pdf#page=3","Abrir facsímil")</f>
        <v>Abrir facsímil</v>
      </c>
      <c r="K12878" s="10" t="s">
        <v>24</v>
      </c>
    </row>
    <row r="12879" spans="1:11" ht="54" customHeight="1">
      <c r="A12879" s="9" t="s">
        <v>26230</v>
      </c>
      <c r="B12879" s="9" t="s">
        <v>26231</v>
      </c>
      <c r="C12879" s="9" t="s">
        <v>122</v>
      </c>
      <c r="D12879" s="9" t="s">
        <v>18</v>
      </c>
      <c r="E12879" s="10" t="s">
        <v>73</v>
      </c>
      <c r="F12879" s="9" t="s">
        <v>74</v>
      </c>
      <c r="G12879" s="10" t="s">
        <v>75</v>
      </c>
      <c r="H12879" s="9" t="s">
        <v>22</v>
      </c>
      <c r="I12879" s="9" t="s">
        <v>26232</v>
      </c>
      <c r="J12879" s="10" t="str">
        <f>HYPERLINK("https://www.boe.es/gazeta/dias/1834/11/04/pdfs/GMD-1834-263.pdf#page=4","Abrir facsímil")</f>
        <v>Abrir facsímil</v>
      </c>
      <c r="K12879" s="10" t="s">
        <v>24</v>
      </c>
    </row>
    <row r="12880" spans="1:11" ht="54" customHeight="1">
      <c r="A12880" s="9" t="s">
        <v>26233</v>
      </c>
      <c r="B12880" s="9" t="s">
        <v>26234</v>
      </c>
      <c r="C12880" s="9" t="s">
        <v>17</v>
      </c>
      <c r="D12880" s="9" t="s">
        <v>18</v>
      </c>
      <c r="E12880" s="10" t="s">
        <v>454</v>
      </c>
      <c r="F12880" s="9" t="s">
        <v>455</v>
      </c>
      <c r="G12880" s="10" t="s">
        <v>34</v>
      </c>
      <c r="H12880" s="9" t="s">
        <v>22</v>
      </c>
      <c r="I12880" s="9" t="s">
        <v>26235</v>
      </c>
      <c r="J12880" s="10" t="str">
        <f>HYPERLINK("https://www.boe.es/gazeta/dias/1834/10/16/pdfs/GMD-C-1834-244.pdf#page=1","Abrir facsímil")</f>
        <v>Abrir facsímil</v>
      </c>
      <c r="K12880" s="10" t="s">
        <v>24</v>
      </c>
    </row>
    <row r="12881" spans="1:11" ht="54" customHeight="1">
      <c r="A12881" s="9" t="s">
        <v>26236</v>
      </c>
      <c r="B12881" s="9" t="s">
        <v>26237</v>
      </c>
      <c r="C12881" s="9" t="s">
        <v>66</v>
      </c>
      <c r="D12881" s="9" t="s">
        <v>67</v>
      </c>
      <c r="E12881" s="10" t="s">
        <v>299</v>
      </c>
      <c r="F12881" s="9" t="s">
        <v>300</v>
      </c>
      <c r="G12881" s="10" t="s">
        <v>75</v>
      </c>
      <c r="H12881" s="9" t="s">
        <v>22</v>
      </c>
      <c r="I12881" s="9" t="s">
        <v>26238</v>
      </c>
      <c r="J12881" s="10" t="str">
        <f>HYPERLINK("https://www.boe.es/gazeta/dias/1834/12/12/pdfs/GMD-1834-301.pdf#page=4","Abrir facsímil")</f>
        <v>Abrir facsímil</v>
      </c>
      <c r="K12881" s="10" t="s">
        <v>24</v>
      </c>
    </row>
    <row r="12882" spans="1:11" ht="54" customHeight="1">
      <c r="A12882" s="9" t="s">
        <v>26239</v>
      </c>
      <c r="B12882" s="9" t="s">
        <v>26240</v>
      </c>
      <c r="C12882" s="9" t="s">
        <v>17</v>
      </c>
      <c r="D12882" s="9" t="s">
        <v>55</v>
      </c>
      <c r="E12882" s="10" t="s">
        <v>1351</v>
      </c>
      <c r="F12882" s="9" t="s">
        <v>1352</v>
      </c>
      <c r="G12882" s="10" t="s">
        <v>75</v>
      </c>
      <c r="H12882" s="9" t="s">
        <v>22</v>
      </c>
      <c r="I12882" s="9" t="s">
        <v>26241</v>
      </c>
      <c r="J12882" s="10" t="str">
        <f>HYPERLINK("https://www.boe.es/gazeta/dias/1834/07/05/pdfs/GMD-1834-138.pdf#page=4","Abrir facsímil")</f>
        <v>Abrir facsímil</v>
      </c>
      <c r="K12882" s="10" t="s">
        <v>24</v>
      </c>
    </row>
    <row r="12883" spans="1:11" ht="54" customHeight="1">
      <c r="A12883" s="9" t="s">
        <v>26242</v>
      </c>
      <c r="B12883" s="9" t="s">
        <v>26243</v>
      </c>
      <c r="C12883" s="9" t="s">
        <v>17</v>
      </c>
      <c r="D12883" s="9" t="s">
        <v>55</v>
      </c>
      <c r="E12883" s="10" t="s">
        <v>1351</v>
      </c>
      <c r="F12883" s="9" t="s">
        <v>1352</v>
      </c>
      <c r="G12883" s="10" t="s">
        <v>75</v>
      </c>
      <c r="H12883" s="9" t="s">
        <v>35</v>
      </c>
      <c r="I12883" s="9" t="s">
        <v>26244</v>
      </c>
      <c r="J12883" s="10" t="str">
        <f>HYPERLINK("https://www.boe.es/gazeta/dias/1834/07/05/pdfs/GMD-1834-138.pdf#page=4","Abrir facsímil")</f>
        <v>Abrir facsímil</v>
      </c>
      <c r="K12883" s="10" t="s">
        <v>37</v>
      </c>
    </row>
    <row r="12884" spans="1:11" ht="54" customHeight="1">
      <c r="A12884" s="9" t="s">
        <v>26245</v>
      </c>
      <c r="B12884" s="9" t="s">
        <v>26246</v>
      </c>
      <c r="C12884" s="9" t="s">
        <v>17</v>
      </c>
      <c r="D12884" s="9" t="s">
        <v>18</v>
      </c>
      <c r="E12884" s="10" t="s">
        <v>2153</v>
      </c>
      <c r="F12884" s="9" t="s">
        <v>2154</v>
      </c>
      <c r="G12884" s="10" t="s">
        <v>21</v>
      </c>
      <c r="H12884" s="9" t="s">
        <v>22</v>
      </c>
      <c r="I12884" s="9" t="s">
        <v>26247</v>
      </c>
      <c r="J12884" s="10" t="str">
        <f>HYPERLINK("https://www.boe.es/gazeta/dias/1834/01/23/pdfs/GMD-1834-11.pdf#page=3","Abrir facsímil")</f>
        <v>Abrir facsímil</v>
      </c>
      <c r="K12884" s="10" t="s">
        <v>24</v>
      </c>
    </row>
    <row r="12885" spans="1:11" ht="54" customHeight="1">
      <c r="A12885" s="9" t="s">
        <v>26248</v>
      </c>
      <c r="B12885" s="9" t="s">
        <v>26248</v>
      </c>
      <c r="C12885" s="9" t="s">
        <v>17</v>
      </c>
      <c r="D12885" s="9" t="s">
        <v>18</v>
      </c>
      <c r="E12885" s="10" t="s">
        <v>2945</v>
      </c>
      <c r="F12885" s="9" t="s">
        <v>2946</v>
      </c>
      <c r="G12885" s="10" t="s">
        <v>75</v>
      </c>
      <c r="H12885" s="9" t="s">
        <v>22</v>
      </c>
      <c r="I12885" s="9" t="s">
        <v>26249</v>
      </c>
      <c r="J12885" s="10" t="str">
        <f>HYPERLINK("https://www.boe.es/gazeta/dias/1834/05/29/pdfs/GMD-1834-98.pdf#page=4","Abrir facsímil")</f>
        <v>Abrir facsímil</v>
      </c>
      <c r="K12885" s="10" t="s">
        <v>24</v>
      </c>
    </row>
    <row r="12886" spans="1:11" ht="54" customHeight="1">
      <c r="A12886" s="9" t="s">
        <v>26250</v>
      </c>
      <c r="B12886" s="9" t="s">
        <v>26250</v>
      </c>
      <c r="C12886" s="9" t="s">
        <v>90</v>
      </c>
      <c r="D12886" s="9" t="s">
        <v>67</v>
      </c>
      <c r="E12886" s="10" t="s">
        <v>1406</v>
      </c>
      <c r="F12886" s="9" t="s">
        <v>1407</v>
      </c>
      <c r="G12886" s="10" t="s">
        <v>86</v>
      </c>
      <c r="H12886" s="9" t="s">
        <v>22</v>
      </c>
      <c r="I12886" s="9" t="s">
        <v>26251</v>
      </c>
      <c r="J12886" s="10" t="str">
        <f>HYPERLINK("https://www.boe.es/gazeta/dias/1834/11/03/pdfs/GMD-1834-262.pdf#page=2","Abrir facsímil")</f>
        <v>Abrir facsímil</v>
      </c>
      <c r="K12886" s="10" t="s">
        <v>24</v>
      </c>
    </row>
    <row r="12887" spans="1:11" ht="54" customHeight="1">
      <c r="A12887" s="9" t="s">
        <v>26252</v>
      </c>
      <c r="B12887" s="9" t="s">
        <v>26253</v>
      </c>
      <c r="C12887" s="9" t="s">
        <v>66</v>
      </c>
      <c r="D12887" s="9" t="s">
        <v>67</v>
      </c>
      <c r="E12887" s="10" t="s">
        <v>860</v>
      </c>
      <c r="F12887" s="9" t="s">
        <v>1755</v>
      </c>
      <c r="G12887" s="10" t="s">
        <v>34</v>
      </c>
      <c r="H12887" s="9" t="s">
        <v>22</v>
      </c>
      <c r="I12887" s="9" t="s">
        <v>26254</v>
      </c>
      <c r="J12887" s="10" t="str">
        <f>HYPERLINK("https://www.boe.es/gazeta/dias/1834/02/08/pdfs/GMD-C-1834-18.pdf#page=1","Abrir facsímil")</f>
        <v>Abrir facsímil</v>
      </c>
      <c r="K12887" s="10" t="s">
        <v>24</v>
      </c>
    </row>
    <row r="12888" spans="1:11" ht="54" customHeight="1">
      <c r="A12888" s="9" t="s">
        <v>26255</v>
      </c>
      <c r="B12888" s="9" t="s">
        <v>26255</v>
      </c>
      <c r="C12888" s="9" t="s">
        <v>17</v>
      </c>
      <c r="D12888" s="9" t="s">
        <v>18</v>
      </c>
      <c r="E12888" s="10" t="s">
        <v>576</v>
      </c>
      <c r="F12888" s="9" t="s">
        <v>577</v>
      </c>
      <c r="G12888" s="10" t="s">
        <v>75</v>
      </c>
      <c r="H12888" s="9" t="s">
        <v>22</v>
      </c>
      <c r="I12888" s="9" t="s">
        <v>26256</v>
      </c>
      <c r="J12888" s="10" t="str">
        <f>HYPERLINK("https://www.boe.es/gazeta/dias/1834/09/23/pdfs/GMD-1834-221.pdf#page=4","Abrir facsímil")</f>
        <v>Abrir facsímil</v>
      </c>
      <c r="K12888" s="10" t="s">
        <v>24</v>
      </c>
    </row>
    <row r="12889" spans="1:11" ht="54" customHeight="1">
      <c r="A12889" s="9" t="s">
        <v>26257</v>
      </c>
      <c r="B12889" s="9" t="s">
        <v>26257</v>
      </c>
      <c r="C12889" s="9" t="s">
        <v>17</v>
      </c>
      <c r="D12889" s="9" t="s">
        <v>18</v>
      </c>
      <c r="E12889" s="10" t="s">
        <v>73</v>
      </c>
      <c r="F12889" s="9" t="s">
        <v>74</v>
      </c>
      <c r="G12889" s="10" t="s">
        <v>34</v>
      </c>
      <c r="H12889" s="9" t="s">
        <v>22</v>
      </c>
      <c r="I12889" s="9" t="s">
        <v>26258</v>
      </c>
      <c r="J12889" s="10" t="str">
        <f>HYPERLINK("https://www.boe.es/gazeta/dias/1834/11/04/pdfs/GMD-1834-263.pdf#page=1","Abrir facsímil")</f>
        <v>Abrir facsímil</v>
      </c>
      <c r="K12889" s="10" t="s">
        <v>24</v>
      </c>
    </row>
    <row r="12890" spans="1:11" ht="54" customHeight="1">
      <c r="A12890" s="9" t="s">
        <v>26259</v>
      </c>
      <c r="B12890" s="9" t="s">
        <v>26259</v>
      </c>
      <c r="C12890" s="9" t="s">
        <v>17</v>
      </c>
      <c r="D12890" s="9" t="s">
        <v>18</v>
      </c>
      <c r="E12890" s="10" t="s">
        <v>73</v>
      </c>
      <c r="F12890" s="9" t="s">
        <v>74</v>
      </c>
      <c r="G12890" s="10" t="s">
        <v>34</v>
      </c>
      <c r="H12890" s="9" t="s">
        <v>22</v>
      </c>
      <c r="I12890" s="9" t="s">
        <v>26260</v>
      </c>
      <c r="J12890" s="10" t="str">
        <f>HYPERLINK("https://www.boe.es/gazeta/dias/1834/11/04/pdfs/GMD-1834-263.pdf#page=1","Abrir facsímil")</f>
        <v>Abrir facsímil</v>
      </c>
      <c r="K12890" s="10" t="s">
        <v>24</v>
      </c>
    </row>
    <row r="12891" spans="1:11" ht="54" customHeight="1">
      <c r="A12891" s="9" t="s">
        <v>26259</v>
      </c>
      <c r="B12891" s="9" t="s">
        <v>26259</v>
      </c>
      <c r="C12891" s="9" t="s">
        <v>66</v>
      </c>
      <c r="D12891" s="9" t="s">
        <v>67</v>
      </c>
      <c r="E12891" s="10" t="s">
        <v>73</v>
      </c>
      <c r="F12891" s="9" t="s">
        <v>74</v>
      </c>
      <c r="G12891" s="10" t="s">
        <v>86</v>
      </c>
      <c r="H12891" s="9" t="s">
        <v>22</v>
      </c>
      <c r="I12891" s="9" t="s">
        <v>26261</v>
      </c>
      <c r="J12891" s="10" t="str">
        <f>HYPERLINK("https://www.boe.es/gazeta/dias/1834/11/04/pdfs/GMD-1834-263.pdf#page=2","Abrir facsímil")</f>
        <v>Abrir facsímil</v>
      </c>
      <c r="K12891" s="10" t="s">
        <v>24</v>
      </c>
    </row>
    <row r="12892" spans="1:11" ht="54" customHeight="1">
      <c r="A12892" s="9" t="s">
        <v>26262</v>
      </c>
      <c r="B12892" s="9" t="s">
        <v>26263</v>
      </c>
      <c r="C12892" s="9" t="s">
        <v>46</v>
      </c>
      <c r="D12892" s="9" t="s">
        <v>101</v>
      </c>
      <c r="E12892" s="10" t="s">
        <v>251</v>
      </c>
      <c r="F12892" s="9" t="s">
        <v>1278</v>
      </c>
      <c r="G12892" s="10" t="s">
        <v>86</v>
      </c>
      <c r="H12892" s="9" t="s">
        <v>35</v>
      </c>
      <c r="I12892" s="9" t="s">
        <v>26264</v>
      </c>
      <c r="J12892" s="10" t="str">
        <f>HYPERLINK("https://www.boe.es/gazeta/dias/1834/09/26/pdfs/GMD-1834-224.pdf#page=2","Abrir facsímil")</f>
        <v>Abrir facsímil</v>
      </c>
      <c r="K12892" s="10" t="s">
        <v>37</v>
      </c>
    </row>
    <row r="12893" spans="1:11" ht="54" customHeight="1">
      <c r="A12893" s="9" t="s">
        <v>26265</v>
      </c>
      <c r="B12893" s="9" t="s">
        <v>26266</v>
      </c>
      <c r="C12893" s="9" t="s">
        <v>46</v>
      </c>
      <c r="D12893" s="9" t="s">
        <v>101</v>
      </c>
      <c r="E12893" s="10" t="s">
        <v>251</v>
      </c>
      <c r="F12893" s="9" t="s">
        <v>1278</v>
      </c>
      <c r="G12893" s="10" t="s">
        <v>86</v>
      </c>
      <c r="H12893" s="9" t="s">
        <v>22</v>
      </c>
      <c r="I12893" s="9" t="s">
        <v>26267</v>
      </c>
      <c r="J12893" s="10" t="str">
        <f>HYPERLINK("https://www.boe.es/gazeta/dias/1834/09/26/pdfs/GMD-1834-224.pdf#page=2","Abrir facsímil")</f>
        <v>Abrir facsímil</v>
      </c>
      <c r="K12893" s="10" t="s">
        <v>24</v>
      </c>
    </row>
    <row r="12894" spans="1:11" ht="54" customHeight="1">
      <c r="A12894" s="9" t="s">
        <v>26268</v>
      </c>
      <c r="B12894" s="9" t="s">
        <v>26269</v>
      </c>
      <c r="C12894" s="9" t="s">
        <v>17</v>
      </c>
      <c r="D12894" s="9" t="s">
        <v>18</v>
      </c>
      <c r="E12894" s="10" t="s">
        <v>1883</v>
      </c>
      <c r="F12894" s="9" t="s">
        <v>1884</v>
      </c>
      <c r="G12894" s="10" t="s">
        <v>75</v>
      </c>
      <c r="H12894" s="9" t="s">
        <v>22</v>
      </c>
      <c r="I12894" s="9" t="s">
        <v>26270</v>
      </c>
      <c r="J12894" s="10" t="str">
        <f>HYPERLINK("https://www.boe.es/gazeta/dias/1834/01/11/pdfs/GMD-1834-6.pdf#page=4","Abrir facsímil")</f>
        <v>Abrir facsímil</v>
      </c>
      <c r="K12894" s="10" t="s">
        <v>24</v>
      </c>
    </row>
    <row r="12895" spans="1:11" ht="54" customHeight="1">
      <c r="A12895" s="9" t="s">
        <v>26271</v>
      </c>
      <c r="B12895" s="9" t="s">
        <v>26271</v>
      </c>
      <c r="C12895" s="9" t="s">
        <v>17</v>
      </c>
      <c r="D12895" s="9" t="s">
        <v>18</v>
      </c>
      <c r="E12895" s="10" t="s">
        <v>2888</v>
      </c>
      <c r="F12895" s="9" t="s">
        <v>2889</v>
      </c>
      <c r="G12895" s="10" t="s">
        <v>86</v>
      </c>
      <c r="H12895" s="9" t="s">
        <v>22</v>
      </c>
      <c r="I12895" s="9" t="s">
        <v>26272</v>
      </c>
      <c r="J12895" s="10" t="str">
        <f>HYPERLINK("https://www.boe.es/gazeta/dias/1834/12/22/pdfs/GMD-1834-312.pdf#page=2","Abrir facsímil")</f>
        <v>Abrir facsímil</v>
      </c>
      <c r="K12895" s="10" t="s">
        <v>24</v>
      </c>
    </row>
    <row r="12896" spans="1:11" ht="54" customHeight="1">
      <c r="A12896" s="9" t="s">
        <v>26273</v>
      </c>
      <c r="B12896" s="9" t="s">
        <v>26274</v>
      </c>
      <c r="C12896" s="9" t="s">
        <v>46</v>
      </c>
      <c r="D12896" s="9" t="s">
        <v>101</v>
      </c>
      <c r="E12896" s="10" t="s">
        <v>1135</v>
      </c>
      <c r="F12896" s="9" t="s">
        <v>1136</v>
      </c>
      <c r="G12896" s="10" t="s">
        <v>21</v>
      </c>
      <c r="H12896" s="9" t="s">
        <v>22</v>
      </c>
      <c r="I12896" s="9" t="s">
        <v>26275</v>
      </c>
      <c r="J12896" s="10" t="str">
        <f>HYPERLINK("https://www.boe.es/gazeta/dias/1834/08/26/pdfs/GMD-1834-192.pdf#page=3","Abrir facsímil")</f>
        <v>Abrir facsímil</v>
      </c>
      <c r="K12896" s="10" t="s">
        <v>24</v>
      </c>
    </row>
    <row r="12897" spans="1:11" ht="54" customHeight="1">
      <c r="A12897" s="9" t="s">
        <v>26276</v>
      </c>
      <c r="B12897" s="9" t="s">
        <v>26276</v>
      </c>
      <c r="C12897" s="9" t="s">
        <v>46</v>
      </c>
      <c r="D12897" s="9" t="s">
        <v>55</v>
      </c>
      <c r="E12897" s="10" t="s">
        <v>1170</v>
      </c>
      <c r="F12897" s="9" t="s">
        <v>1171</v>
      </c>
      <c r="G12897" s="10" t="s">
        <v>75</v>
      </c>
      <c r="H12897" s="9" t="s">
        <v>22</v>
      </c>
      <c r="I12897" s="9" t="s">
        <v>26277</v>
      </c>
      <c r="J12897" s="10" t="str">
        <f>HYPERLINK("https://www.boe.es/gazeta/dias/1834/01/07/pdfs/GMD-1834-4.pdf#page=4","Abrir facsímil")</f>
        <v>Abrir facsímil</v>
      </c>
      <c r="K12897" s="10" t="s">
        <v>24</v>
      </c>
    </row>
    <row r="12898" spans="1:11" ht="54" customHeight="1">
      <c r="A12898" s="9" t="s">
        <v>26278</v>
      </c>
      <c r="B12898" s="9" t="s">
        <v>26278</v>
      </c>
      <c r="C12898" s="9" t="s">
        <v>17</v>
      </c>
      <c r="D12898" s="9" t="s">
        <v>40</v>
      </c>
      <c r="E12898" s="10" t="s">
        <v>2212</v>
      </c>
      <c r="F12898" s="9" t="s">
        <v>5450</v>
      </c>
      <c r="G12898" s="10" t="s">
        <v>75</v>
      </c>
      <c r="H12898" s="9" t="s">
        <v>22</v>
      </c>
      <c r="I12898" s="9" t="s">
        <v>26279</v>
      </c>
      <c r="J12898" s="10" t="str">
        <f>HYPERLINK("https://www.boe.es/gazeta/dias/1834/08/04/pdfs/GMD-1834-168.pdf#page=4","Abrir facsímil")</f>
        <v>Abrir facsímil</v>
      </c>
      <c r="K12898" s="10" t="s">
        <v>24</v>
      </c>
    </row>
    <row r="12899" spans="1:11" ht="54" customHeight="1">
      <c r="A12899" s="9" t="s">
        <v>26280</v>
      </c>
      <c r="B12899" s="9" t="s">
        <v>26281</v>
      </c>
      <c r="C12899" s="9" t="s">
        <v>66</v>
      </c>
      <c r="D12899" s="9" t="s">
        <v>67</v>
      </c>
      <c r="E12899" s="10" t="s">
        <v>4527</v>
      </c>
      <c r="F12899" s="9" t="s">
        <v>4528</v>
      </c>
      <c r="G12899" s="10" t="s">
        <v>21</v>
      </c>
      <c r="H12899" s="9" t="s">
        <v>22</v>
      </c>
      <c r="I12899" s="9" t="s">
        <v>26282</v>
      </c>
      <c r="J12899" s="10" t="str">
        <f>HYPERLINK("https://www.boe.es/gazeta/dias/1834/05/03/pdfs/GMD-1834-72.pdf#page=3","Abrir facsímil")</f>
        <v>Abrir facsímil</v>
      </c>
      <c r="K12899" s="10" t="s">
        <v>24</v>
      </c>
    </row>
    <row r="12900" spans="1:11" ht="54" customHeight="1">
      <c r="A12900" s="9" t="s">
        <v>26283</v>
      </c>
      <c r="B12900" s="9" t="s">
        <v>26284</v>
      </c>
      <c r="C12900" s="9" t="s">
        <v>17</v>
      </c>
      <c r="D12900" s="9" t="s">
        <v>55</v>
      </c>
      <c r="E12900" s="10" t="s">
        <v>1742</v>
      </c>
      <c r="F12900" s="9" t="s">
        <v>1743</v>
      </c>
      <c r="G12900" s="10" t="s">
        <v>75</v>
      </c>
      <c r="H12900" s="9" t="s">
        <v>22</v>
      </c>
      <c r="I12900" s="9" t="s">
        <v>26285</v>
      </c>
      <c r="J12900" s="10" t="str">
        <f>HYPERLINK("https://www.boe.es/gazeta/dias/1834/11/06/pdfs/GMD-1834-265.pdf#page=4","Abrir facsímil")</f>
        <v>Abrir facsímil</v>
      </c>
      <c r="K12900" s="10" t="s">
        <v>24</v>
      </c>
    </row>
    <row r="12901" spans="1:11" ht="54" customHeight="1">
      <c r="A12901" s="9" t="s">
        <v>26286</v>
      </c>
      <c r="B12901" s="9" t="s">
        <v>26287</v>
      </c>
      <c r="C12901" s="9" t="s">
        <v>46</v>
      </c>
      <c r="D12901" s="9" t="s">
        <v>101</v>
      </c>
      <c r="E12901" s="10" t="s">
        <v>163</v>
      </c>
      <c r="F12901" s="9" t="s">
        <v>164</v>
      </c>
      <c r="G12901" s="10" t="s">
        <v>34</v>
      </c>
      <c r="H12901" s="9" t="s">
        <v>22</v>
      </c>
      <c r="I12901" s="9" t="s">
        <v>26288</v>
      </c>
      <c r="J12901" s="10" t="str">
        <f>HYPERLINK("https://www.boe.es/gazeta/dias/1834/08/09/pdfs/GMD-1834-174.pdf#page=1","Abrir facsímil")</f>
        <v>Abrir facsímil</v>
      </c>
      <c r="K12901" s="10" t="s">
        <v>24</v>
      </c>
    </row>
    <row r="12902" spans="1:11" ht="54" customHeight="1">
      <c r="A12902" s="9" t="s">
        <v>26289</v>
      </c>
      <c r="B12902" s="9" t="s">
        <v>26289</v>
      </c>
      <c r="C12902" s="9" t="s">
        <v>17</v>
      </c>
      <c r="D12902" s="9" t="s">
        <v>55</v>
      </c>
      <c r="E12902" s="10" t="s">
        <v>3225</v>
      </c>
      <c r="F12902" s="9" t="s">
        <v>3226</v>
      </c>
      <c r="G12902" s="10" t="s">
        <v>21</v>
      </c>
      <c r="H12902" s="9" t="s">
        <v>22</v>
      </c>
      <c r="I12902" s="9" t="s">
        <v>26290</v>
      </c>
      <c r="J12902" s="10" t="str">
        <f>HYPERLINK("https://www.boe.es/gazeta/dias/1834/08/22/pdfs/GMD-1834-188.pdf#page=3","Abrir facsímil")</f>
        <v>Abrir facsímil</v>
      </c>
      <c r="K12902" s="10" t="s">
        <v>24</v>
      </c>
    </row>
    <row r="12903" spans="1:11" ht="54" customHeight="1">
      <c r="A12903" s="9" t="s">
        <v>26291</v>
      </c>
      <c r="B12903" s="9" t="s">
        <v>26292</v>
      </c>
      <c r="C12903" s="9" t="s">
        <v>90</v>
      </c>
      <c r="D12903" s="9" t="s">
        <v>18</v>
      </c>
      <c r="E12903" s="10" t="s">
        <v>777</v>
      </c>
      <c r="F12903" s="9" t="s">
        <v>778</v>
      </c>
      <c r="G12903" s="10" t="s">
        <v>21</v>
      </c>
      <c r="H12903" s="9" t="s">
        <v>22</v>
      </c>
      <c r="I12903" s="9" t="s">
        <v>26293</v>
      </c>
      <c r="J12903" s="10" t="str">
        <f>HYPERLINK("https://www.boe.es/gazeta/dias/1834/10/29/pdfs/GMD-1834-257.pdf#page=3","Abrir facsímil")</f>
        <v>Abrir facsímil</v>
      </c>
      <c r="K12903" s="10" t="s">
        <v>24</v>
      </c>
    </row>
    <row r="12904" spans="1:11" ht="54" customHeight="1">
      <c r="A12904" s="9" t="s">
        <v>26294</v>
      </c>
      <c r="B12904" s="9" t="s">
        <v>26294</v>
      </c>
      <c r="C12904" s="9" t="s">
        <v>46</v>
      </c>
      <c r="D12904" s="9" t="s">
        <v>55</v>
      </c>
      <c r="E12904" s="10" t="s">
        <v>1113</v>
      </c>
      <c r="F12904" s="9" t="s">
        <v>1114</v>
      </c>
      <c r="G12904" s="10" t="s">
        <v>34</v>
      </c>
      <c r="H12904" s="9" t="s">
        <v>22</v>
      </c>
      <c r="I12904" s="9" t="s">
        <v>26295</v>
      </c>
      <c r="J12904" s="10" t="str">
        <f>HYPERLINK("https://www.boe.es/gazeta/dias/1834/04/14/pdfs/GMD-1834-53.pdf#page=1","Abrir facsímil")</f>
        <v>Abrir facsímil</v>
      </c>
      <c r="K12904" s="10" t="s">
        <v>24</v>
      </c>
    </row>
    <row r="12905" spans="1:11" ht="54" customHeight="1">
      <c r="A12905" s="9" t="s">
        <v>26296</v>
      </c>
      <c r="B12905" s="9" t="s">
        <v>26297</v>
      </c>
      <c r="C12905" s="9" t="s">
        <v>66</v>
      </c>
      <c r="D12905" s="9" t="s">
        <v>67</v>
      </c>
      <c r="E12905" s="10" t="s">
        <v>2306</v>
      </c>
      <c r="F12905" s="9" t="s">
        <v>2307</v>
      </c>
      <c r="G12905" s="10" t="s">
        <v>21</v>
      </c>
      <c r="H12905" s="9" t="s">
        <v>22</v>
      </c>
      <c r="I12905" s="9" t="s">
        <v>26298</v>
      </c>
      <c r="J12905" s="10" t="str">
        <f>HYPERLINK("https://www.boe.es/gazeta/dias/1834/04/26/pdfs/GMD-1834-65.pdf#page=3","Abrir facsímil")</f>
        <v>Abrir facsímil</v>
      </c>
      <c r="K12905" s="10" t="s">
        <v>24</v>
      </c>
    </row>
    <row r="12906" spans="1:11" ht="54" customHeight="1">
      <c r="A12906" s="9" t="s">
        <v>26299</v>
      </c>
      <c r="B12906" s="9" t="s">
        <v>26300</v>
      </c>
      <c r="C12906" s="9" t="s">
        <v>17</v>
      </c>
      <c r="D12906" s="9" t="s">
        <v>18</v>
      </c>
      <c r="E12906" s="10" t="s">
        <v>1017</v>
      </c>
      <c r="F12906" s="9" t="s">
        <v>1018</v>
      </c>
      <c r="G12906" s="10" t="s">
        <v>21</v>
      </c>
      <c r="H12906" s="9" t="s">
        <v>22</v>
      </c>
      <c r="I12906" s="9" t="s">
        <v>26301</v>
      </c>
      <c r="J12906" s="10" t="str">
        <f>HYPERLINK("https://www.boe.es/gazeta/dias/1834/07/24/pdfs/GMD-1834-157.pdf#page=3","Abrir facsímil")</f>
        <v>Abrir facsímil</v>
      </c>
      <c r="K12906" s="10" t="s">
        <v>24</v>
      </c>
    </row>
    <row r="12907" spans="1:11" ht="54" customHeight="1">
      <c r="A12907" s="9" t="s">
        <v>26302</v>
      </c>
      <c r="B12907" s="9" t="s">
        <v>26303</v>
      </c>
      <c r="C12907" s="9" t="s">
        <v>17</v>
      </c>
      <c r="D12907" s="9" t="s">
        <v>18</v>
      </c>
      <c r="E12907" s="10" t="s">
        <v>1017</v>
      </c>
      <c r="F12907" s="9" t="s">
        <v>1018</v>
      </c>
      <c r="G12907" s="10" t="s">
        <v>21</v>
      </c>
      <c r="H12907" s="9" t="s">
        <v>35</v>
      </c>
      <c r="I12907" s="9" t="s">
        <v>26304</v>
      </c>
      <c r="J12907" s="10" t="str">
        <f>HYPERLINK("https://www.boe.es/gazeta/dias/1834/07/24/pdfs/GMD-1834-157.pdf#page=3","Abrir facsímil")</f>
        <v>Abrir facsímil</v>
      </c>
      <c r="K12907" s="10" t="s">
        <v>37</v>
      </c>
    </row>
    <row r="12908" spans="1:11" ht="54" customHeight="1">
      <c r="A12908" s="9" t="s">
        <v>26305</v>
      </c>
      <c r="B12908" s="9" t="s">
        <v>26306</v>
      </c>
      <c r="C12908" s="9" t="s">
        <v>17</v>
      </c>
      <c r="D12908" s="9" t="s">
        <v>18</v>
      </c>
      <c r="E12908" s="10" t="s">
        <v>286</v>
      </c>
      <c r="F12908" s="9" t="s">
        <v>548</v>
      </c>
      <c r="G12908" s="10" t="s">
        <v>75</v>
      </c>
      <c r="H12908" s="9" t="s">
        <v>35</v>
      </c>
      <c r="I12908" s="9" t="s">
        <v>26307</v>
      </c>
      <c r="J12908" s="10" t="str">
        <f>HYPERLINK("https://www.boe.es/gazeta/dias/1834/08/30/pdfs/GMD-1834-196.pdf#page=4","Abrir facsímil")</f>
        <v>Abrir facsímil</v>
      </c>
      <c r="K12908" s="10" t="s">
        <v>37</v>
      </c>
    </row>
    <row r="12909" spans="1:11" ht="54" customHeight="1">
      <c r="A12909" s="9" t="s">
        <v>26308</v>
      </c>
      <c r="B12909" s="9" t="s">
        <v>26309</v>
      </c>
      <c r="C12909" s="9" t="s">
        <v>122</v>
      </c>
      <c r="D12909" s="9" t="s">
        <v>18</v>
      </c>
      <c r="E12909" s="10" t="s">
        <v>849</v>
      </c>
      <c r="F12909" s="9" t="s">
        <v>850</v>
      </c>
      <c r="G12909" s="10" t="s">
        <v>34</v>
      </c>
      <c r="H12909" s="9" t="s">
        <v>22</v>
      </c>
      <c r="I12909" s="9" t="s">
        <v>26310</v>
      </c>
      <c r="J12909" s="10" t="str">
        <f>HYPERLINK("https://www.boe.es/gazeta/dias/1834/06/21/pdfs/GMD-1834-124.pdf#page=1","Abrir facsímil")</f>
        <v>Abrir facsímil</v>
      </c>
      <c r="K12909" s="10" t="s">
        <v>24</v>
      </c>
    </row>
    <row r="12910" spans="1:11" ht="54" customHeight="1">
      <c r="A12910" s="9" t="s">
        <v>26311</v>
      </c>
      <c r="B12910" s="9" t="s">
        <v>26311</v>
      </c>
      <c r="C12910" s="9" t="s">
        <v>17</v>
      </c>
      <c r="D12910" s="9" t="s">
        <v>40</v>
      </c>
      <c r="E12910" s="10" t="s">
        <v>222</v>
      </c>
      <c r="F12910" s="9" t="s">
        <v>223</v>
      </c>
      <c r="G12910" s="10" t="s">
        <v>75</v>
      </c>
      <c r="H12910" s="9" t="s">
        <v>22</v>
      </c>
      <c r="I12910" s="9" t="s">
        <v>26312</v>
      </c>
      <c r="J12910" s="10" t="str">
        <f>HYPERLINK("https://www.boe.es/gazeta/dias/1834/09/14/pdfs/GMD-1834-212.pdf#page=4","Abrir facsímil")</f>
        <v>Abrir facsímil</v>
      </c>
      <c r="K12910" s="10" t="s">
        <v>24</v>
      </c>
    </row>
    <row r="12911" spans="1:11" ht="54" customHeight="1">
      <c r="A12911" s="9" t="s">
        <v>26313</v>
      </c>
      <c r="B12911" s="9" t="s">
        <v>26314</v>
      </c>
      <c r="C12911" s="9" t="s">
        <v>17</v>
      </c>
      <c r="D12911" s="9" t="s">
        <v>18</v>
      </c>
      <c r="E12911" s="10" t="s">
        <v>8346</v>
      </c>
      <c r="F12911" s="9" t="s">
        <v>8347</v>
      </c>
      <c r="G12911" s="10" t="s">
        <v>75</v>
      </c>
      <c r="H12911" s="9" t="s">
        <v>22</v>
      </c>
      <c r="I12911" s="9" t="s">
        <v>26315</v>
      </c>
      <c r="J12911" s="10" t="str">
        <f>HYPERLINK("https://www.boe.es/gazeta/dias/1834/12/04/pdfs/GMD-1834-293.pdf#page=4","Abrir facsímil")</f>
        <v>Abrir facsímil</v>
      </c>
      <c r="K12911" s="10" t="s">
        <v>24</v>
      </c>
    </row>
    <row r="12912" spans="1:11" ht="54" customHeight="1">
      <c r="A12912" s="9" t="s">
        <v>26316</v>
      </c>
      <c r="B12912" s="9" t="s">
        <v>26317</v>
      </c>
      <c r="C12912" s="9" t="s">
        <v>17</v>
      </c>
      <c r="D12912" s="9" t="s">
        <v>18</v>
      </c>
      <c r="E12912" s="10" t="s">
        <v>8346</v>
      </c>
      <c r="F12912" s="9" t="s">
        <v>8347</v>
      </c>
      <c r="G12912" s="10" t="s">
        <v>75</v>
      </c>
      <c r="H12912" s="9" t="s">
        <v>22</v>
      </c>
      <c r="I12912" s="9" t="s">
        <v>26318</v>
      </c>
      <c r="J12912" s="10" t="str">
        <f>HYPERLINK("https://www.boe.es/gazeta/dias/1834/12/04/pdfs/GMD-1834-293.pdf#page=4","Abrir facsímil")</f>
        <v>Abrir facsímil</v>
      </c>
      <c r="K12912" s="10" t="s">
        <v>24</v>
      </c>
    </row>
    <row r="12913" spans="1:11" ht="54" customHeight="1">
      <c r="A12913" s="9" t="s">
        <v>26319</v>
      </c>
      <c r="B12913" s="9" t="s">
        <v>26319</v>
      </c>
      <c r="C12913" s="9" t="s">
        <v>17</v>
      </c>
      <c r="D12913" s="9" t="s">
        <v>18</v>
      </c>
      <c r="E12913" s="10" t="s">
        <v>1973</v>
      </c>
      <c r="F12913" s="9" t="s">
        <v>4832</v>
      </c>
      <c r="G12913" s="10" t="s">
        <v>34</v>
      </c>
      <c r="H12913" s="9" t="s">
        <v>22</v>
      </c>
      <c r="I12913" s="9" t="s">
        <v>26320</v>
      </c>
      <c r="J12913" s="10" t="str">
        <f>HYPERLINK("https://www.boe.es/gazeta/dias/1834/12/20/pdfs/GMD-1834-310.pdf#page=1","Abrir facsímil")</f>
        <v>Abrir facsímil</v>
      </c>
      <c r="K12913" s="10" t="s">
        <v>24</v>
      </c>
    </row>
    <row r="12914" spans="1:11" ht="54" customHeight="1">
      <c r="A12914" s="9" t="s">
        <v>26319</v>
      </c>
      <c r="B12914" s="9" t="s">
        <v>26319</v>
      </c>
      <c r="C12914" s="9" t="s">
        <v>46</v>
      </c>
      <c r="D12914" s="9" t="s">
        <v>101</v>
      </c>
      <c r="E12914" s="10" t="s">
        <v>753</v>
      </c>
      <c r="F12914" s="9" t="s">
        <v>754</v>
      </c>
      <c r="G12914" s="10" t="s">
        <v>34</v>
      </c>
      <c r="H12914" s="9" t="s">
        <v>22</v>
      </c>
      <c r="I12914" s="9" t="s">
        <v>26321</v>
      </c>
      <c r="J12914" s="10" t="str">
        <f>HYPERLINK("https://www.boe.es/gazeta/dias/1834/04/21/pdfs/GMD-1834-60.pdf#page=1","Abrir facsímil")</f>
        <v>Abrir facsímil</v>
      </c>
      <c r="K12914" s="10" t="s">
        <v>24</v>
      </c>
    </row>
    <row r="12915" spans="1:11" ht="54" customHeight="1">
      <c r="A12915" s="9" t="s">
        <v>26319</v>
      </c>
      <c r="B12915" s="9" t="s">
        <v>26319</v>
      </c>
      <c r="C12915" s="9" t="s">
        <v>17</v>
      </c>
      <c r="D12915" s="9" t="s">
        <v>18</v>
      </c>
      <c r="E12915" s="10" t="s">
        <v>375</v>
      </c>
      <c r="F12915" s="9" t="s">
        <v>376</v>
      </c>
      <c r="G12915" s="10" t="s">
        <v>34</v>
      </c>
      <c r="H12915" s="9" t="s">
        <v>22</v>
      </c>
      <c r="I12915" s="9" t="s">
        <v>26322</v>
      </c>
      <c r="J12915" s="10" t="str">
        <f>HYPERLINK("https://www.boe.es/gazeta/dias/1834/08/21/pdfs/GMD-1834-187.pdf#page=1","Abrir facsímil")</f>
        <v>Abrir facsímil</v>
      </c>
      <c r="K12915" s="10" t="s">
        <v>24</v>
      </c>
    </row>
    <row r="12916" spans="1:11" ht="54" customHeight="1">
      <c r="A12916" s="9" t="s">
        <v>26323</v>
      </c>
      <c r="B12916" s="9" t="s">
        <v>26323</v>
      </c>
      <c r="C12916" s="9" t="s">
        <v>17</v>
      </c>
      <c r="D12916" s="9" t="s">
        <v>18</v>
      </c>
      <c r="E12916" s="10" t="s">
        <v>1084</v>
      </c>
      <c r="F12916" s="9" t="s">
        <v>1085</v>
      </c>
      <c r="G12916" s="10" t="s">
        <v>28</v>
      </c>
      <c r="H12916" s="9" t="s">
        <v>22</v>
      </c>
      <c r="I12916" s="9" t="s">
        <v>26324</v>
      </c>
      <c r="J12916" s="10" t="str">
        <f>HYPERLINK("https://www.boe.es/gazeta/dias/1834/05/01/pdfs/GMD-1834-70.pdf#page=5","Abrir facsímil")</f>
        <v>Abrir facsímil</v>
      </c>
      <c r="K12916" s="10" t="s">
        <v>24</v>
      </c>
    </row>
    <row r="12917" spans="1:11" ht="54" customHeight="1">
      <c r="A12917" s="9" t="s">
        <v>26323</v>
      </c>
      <c r="B12917" s="9" t="s">
        <v>26323</v>
      </c>
      <c r="C12917" s="9" t="s">
        <v>46</v>
      </c>
      <c r="D12917" s="9" t="s">
        <v>101</v>
      </c>
      <c r="E12917" s="10" t="s">
        <v>1297</v>
      </c>
      <c r="F12917" s="9" t="s">
        <v>1298</v>
      </c>
      <c r="G12917" s="10" t="s">
        <v>34</v>
      </c>
      <c r="H12917" s="9" t="s">
        <v>22</v>
      </c>
      <c r="I12917" s="9" t="s">
        <v>26325</v>
      </c>
      <c r="J12917" s="10" t="str">
        <f>HYPERLINK("https://www.boe.es/gazeta/dias/1834/08/01/pdfs/GMD-1834-165.pdf#page=1","Abrir facsímil")</f>
        <v>Abrir facsímil</v>
      </c>
      <c r="K12917" s="10" t="s">
        <v>24</v>
      </c>
    </row>
    <row r="12918" spans="1:11" ht="54" customHeight="1">
      <c r="A12918" s="9" t="s">
        <v>26323</v>
      </c>
      <c r="B12918" s="9" t="s">
        <v>26323</v>
      </c>
      <c r="C12918" s="9" t="s">
        <v>46</v>
      </c>
      <c r="D12918" s="9" t="s">
        <v>18</v>
      </c>
      <c r="E12918" s="10" t="s">
        <v>68</v>
      </c>
      <c r="F12918" s="9" t="s">
        <v>69</v>
      </c>
      <c r="G12918" s="10" t="s">
        <v>86</v>
      </c>
      <c r="H12918" s="9" t="s">
        <v>22</v>
      </c>
      <c r="I12918" s="9" t="s">
        <v>26326</v>
      </c>
      <c r="J12918" s="10" t="str">
        <f>HYPERLINK("https://www.boe.es/gazeta/dias/1834/11/01/pdfs/GMD-1834-260.pdf#page=2","Abrir facsímil")</f>
        <v>Abrir facsímil</v>
      </c>
      <c r="K12918" s="10" t="s">
        <v>24</v>
      </c>
    </row>
    <row r="12919" spans="1:11" ht="54" customHeight="1">
      <c r="A12919" s="9" t="s">
        <v>26323</v>
      </c>
      <c r="B12919" s="9" t="s">
        <v>26323</v>
      </c>
      <c r="C12919" s="9" t="s">
        <v>17</v>
      </c>
      <c r="D12919" s="9" t="s">
        <v>18</v>
      </c>
      <c r="E12919" s="10" t="s">
        <v>976</v>
      </c>
      <c r="F12919" s="9" t="s">
        <v>977</v>
      </c>
      <c r="G12919" s="10" t="s">
        <v>75</v>
      </c>
      <c r="H12919" s="9" t="s">
        <v>22</v>
      </c>
      <c r="I12919" s="9" t="s">
        <v>26327</v>
      </c>
      <c r="J12919" s="10" t="str">
        <f>HYPERLINK("https://www.boe.es/gazeta/dias/1834/04/02/pdfs/GMD-1834-41.pdf#page=4","Abrir facsímil")</f>
        <v>Abrir facsímil</v>
      </c>
      <c r="K12919" s="10" t="s">
        <v>24</v>
      </c>
    </row>
    <row r="12920" spans="1:11" ht="54" customHeight="1">
      <c r="A12920" s="9" t="s">
        <v>26323</v>
      </c>
      <c r="B12920" s="9" t="s">
        <v>26323</v>
      </c>
      <c r="C12920" s="9" t="s">
        <v>46</v>
      </c>
      <c r="D12920" s="9" t="s">
        <v>55</v>
      </c>
      <c r="E12920" s="10" t="s">
        <v>47</v>
      </c>
      <c r="F12920" s="9" t="s">
        <v>1466</v>
      </c>
      <c r="G12920" s="10" t="s">
        <v>34</v>
      </c>
      <c r="H12920" s="9" t="s">
        <v>22</v>
      </c>
      <c r="I12920" s="9" t="s">
        <v>26328</v>
      </c>
      <c r="J12920" s="10" t="str">
        <f>HYPERLINK("https://www.boe.es/gazeta/dias/1834/09/05/pdfs/GMD-1834-203.pdf#page=1","Abrir facsímil")</f>
        <v>Abrir facsímil</v>
      </c>
      <c r="K12920" s="10" t="s">
        <v>24</v>
      </c>
    </row>
    <row r="12921" spans="1:11" ht="54" customHeight="1">
      <c r="A12921" s="9" t="s">
        <v>26323</v>
      </c>
      <c r="B12921" s="9" t="s">
        <v>26323</v>
      </c>
      <c r="C12921" s="9" t="s">
        <v>17</v>
      </c>
      <c r="D12921" s="9" t="s">
        <v>18</v>
      </c>
      <c r="E12921" s="10" t="s">
        <v>1661</v>
      </c>
      <c r="F12921" s="9" t="s">
        <v>1662</v>
      </c>
      <c r="G12921" s="10" t="s">
        <v>21</v>
      </c>
      <c r="H12921" s="9" t="s">
        <v>22</v>
      </c>
      <c r="I12921" s="9" t="s">
        <v>26329</v>
      </c>
      <c r="J12921" s="10" t="str">
        <f>HYPERLINK("https://www.boe.es/gazeta/dias/1834/04/06/pdfs/GMD-1834-45.pdf#page=3","Abrir facsímil")</f>
        <v>Abrir facsímil</v>
      </c>
      <c r="K12921" s="10" t="s">
        <v>24</v>
      </c>
    </row>
    <row r="12922" spans="1:11" ht="54" customHeight="1">
      <c r="A12922" s="9" t="s">
        <v>26323</v>
      </c>
      <c r="B12922" s="9" t="s">
        <v>26323</v>
      </c>
      <c r="C12922" s="9" t="s">
        <v>17</v>
      </c>
      <c r="D12922" s="9" t="s">
        <v>18</v>
      </c>
      <c r="E12922" s="10" t="s">
        <v>734</v>
      </c>
      <c r="F12922" s="9" t="s">
        <v>735</v>
      </c>
      <c r="G12922" s="10" t="s">
        <v>21</v>
      </c>
      <c r="H12922" s="9" t="s">
        <v>22</v>
      </c>
      <c r="I12922" s="9" t="s">
        <v>26330</v>
      </c>
      <c r="J12922" s="10" t="str">
        <f>HYPERLINK("https://www.boe.es/gazeta/dias/1834/05/06/pdfs/GMD-1834-75.pdf#page=3","Abrir facsímil")</f>
        <v>Abrir facsímil</v>
      </c>
      <c r="K12922" s="10" t="s">
        <v>24</v>
      </c>
    </row>
    <row r="12923" spans="1:11" ht="54" customHeight="1">
      <c r="A12923" s="9" t="s">
        <v>26323</v>
      </c>
      <c r="B12923" s="9" t="s">
        <v>26323</v>
      </c>
      <c r="C12923" s="9" t="s">
        <v>90</v>
      </c>
      <c r="D12923" s="9" t="s">
        <v>18</v>
      </c>
      <c r="E12923" s="10" t="s">
        <v>84</v>
      </c>
      <c r="F12923" s="9" t="s">
        <v>1223</v>
      </c>
      <c r="G12923" s="10" t="s">
        <v>86</v>
      </c>
      <c r="H12923" s="9" t="s">
        <v>22</v>
      </c>
      <c r="I12923" s="9" t="s">
        <v>26331</v>
      </c>
      <c r="J12923" s="10" t="str">
        <f>HYPERLINK("https://www.boe.es/gazeta/dias/1834/06/07/pdfs/GMD-1834-109.pdf#page=2","Abrir facsímil")</f>
        <v>Abrir facsímil</v>
      </c>
      <c r="K12923" s="10" t="s">
        <v>24</v>
      </c>
    </row>
    <row r="12924" spans="1:11" ht="54" customHeight="1">
      <c r="A12924" s="9" t="s">
        <v>26323</v>
      </c>
      <c r="B12924" s="9" t="s">
        <v>26323</v>
      </c>
      <c r="C12924" s="9" t="s">
        <v>46</v>
      </c>
      <c r="D12924" s="9" t="s">
        <v>18</v>
      </c>
      <c r="E12924" s="10" t="s">
        <v>12114</v>
      </c>
      <c r="F12924" s="9" t="s">
        <v>12115</v>
      </c>
      <c r="G12924" s="10" t="s">
        <v>86</v>
      </c>
      <c r="H12924" s="9" t="s">
        <v>22</v>
      </c>
      <c r="I12924" s="9" t="s">
        <v>26332</v>
      </c>
      <c r="J12924" s="10" t="str">
        <f>HYPERLINK("https://www.boe.es/gazeta/dias/1834/04/08/pdfs/GMD-1834-47.pdf#page=2","Abrir facsímil")</f>
        <v>Abrir facsímil</v>
      </c>
      <c r="K12924" s="10" t="s">
        <v>24</v>
      </c>
    </row>
    <row r="12925" spans="1:11" ht="54" customHeight="1">
      <c r="A12925" s="9" t="s">
        <v>26323</v>
      </c>
      <c r="B12925" s="9" t="s">
        <v>26323</v>
      </c>
      <c r="C12925" s="9" t="s">
        <v>90</v>
      </c>
      <c r="D12925" s="9" t="s">
        <v>67</v>
      </c>
      <c r="E12925" s="10" t="s">
        <v>1103</v>
      </c>
      <c r="F12925" s="9" t="s">
        <v>1259</v>
      </c>
      <c r="G12925" s="10" t="s">
        <v>34</v>
      </c>
      <c r="H12925" s="9" t="s">
        <v>22</v>
      </c>
      <c r="I12925" s="9" t="s">
        <v>26333</v>
      </c>
      <c r="J12925" s="10" t="str">
        <f>HYPERLINK("https://www.boe.es/gazeta/dias/1834/10/10/pdfs/GMD-1834-238.pdf#page=1","Abrir facsímil")</f>
        <v>Abrir facsímil</v>
      </c>
      <c r="K12925" s="10" t="s">
        <v>24</v>
      </c>
    </row>
    <row r="12926" spans="1:11" ht="54" customHeight="1">
      <c r="A12926" s="9" t="s">
        <v>26323</v>
      </c>
      <c r="B12926" s="9" t="s">
        <v>26323</v>
      </c>
      <c r="C12926" s="9" t="s">
        <v>17</v>
      </c>
      <c r="D12926" s="9" t="s">
        <v>18</v>
      </c>
      <c r="E12926" s="10" t="s">
        <v>1883</v>
      </c>
      <c r="F12926" s="9" t="s">
        <v>1884</v>
      </c>
      <c r="G12926" s="10" t="s">
        <v>86</v>
      </c>
      <c r="H12926" s="9" t="s">
        <v>22</v>
      </c>
      <c r="I12926" s="9" t="s">
        <v>26334</v>
      </c>
      <c r="J12926" s="10" t="str">
        <f>HYPERLINK("https://www.boe.es/gazeta/dias/1834/01/11/pdfs/GMD-1834-6.pdf#page=2","Abrir facsímil")</f>
        <v>Abrir facsímil</v>
      </c>
      <c r="K12926" s="10" t="s">
        <v>24</v>
      </c>
    </row>
    <row r="12927" spans="1:11" ht="54" customHeight="1">
      <c r="A12927" s="9" t="s">
        <v>26323</v>
      </c>
      <c r="B12927" s="9" t="s">
        <v>26323</v>
      </c>
      <c r="C12927" s="9" t="s">
        <v>90</v>
      </c>
      <c r="D12927" s="9" t="s">
        <v>67</v>
      </c>
      <c r="E12927" s="10" t="s">
        <v>808</v>
      </c>
      <c r="F12927" s="9" t="s">
        <v>809</v>
      </c>
      <c r="G12927" s="10" t="s">
        <v>21</v>
      </c>
      <c r="H12927" s="9" t="s">
        <v>22</v>
      </c>
      <c r="I12927" s="9" t="s">
        <v>26335</v>
      </c>
      <c r="J12927" s="10" t="str">
        <f>HYPERLINK("https://www.boe.es/gazeta/dias/1834/10/11/pdfs/GMD-1834-239.pdf#page=3","Abrir facsímil")</f>
        <v>Abrir facsímil</v>
      </c>
      <c r="K12927" s="10" t="s">
        <v>24</v>
      </c>
    </row>
    <row r="12928" spans="1:11" ht="54" customHeight="1">
      <c r="A12928" s="9" t="s">
        <v>26323</v>
      </c>
      <c r="B12928" s="9" t="s">
        <v>26323</v>
      </c>
      <c r="C12928" s="9" t="s">
        <v>17</v>
      </c>
      <c r="D12928" s="9" t="s">
        <v>55</v>
      </c>
      <c r="E12928" s="10" t="s">
        <v>299</v>
      </c>
      <c r="F12928" s="9" t="s">
        <v>300</v>
      </c>
      <c r="G12928" s="10" t="s">
        <v>34</v>
      </c>
      <c r="H12928" s="9" t="s">
        <v>22</v>
      </c>
      <c r="I12928" s="9" t="s">
        <v>26336</v>
      </c>
      <c r="J12928" s="10" t="str">
        <f>HYPERLINK("https://www.boe.es/gazeta/dias/1834/12/12/pdfs/GMD-1834-301.pdf#page=1","Abrir facsímil")</f>
        <v>Abrir facsímil</v>
      </c>
      <c r="K12928" s="10" t="s">
        <v>24</v>
      </c>
    </row>
    <row r="12929" spans="1:11" ht="54" customHeight="1">
      <c r="A12929" s="9" t="s">
        <v>26323</v>
      </c>
      <c r="B12929" s="9" t="s">
        <v>26323</v>
      </c>
      <c r="C12929" s="9" t="s">
        <v>90</v>
      </c>
      <c r="D12929" s="9" t="s">
        <v>55</v>
      </c>
      <c r="E12929" s="10" t="s">
        <v>91</v>
      </c>
      <c r="F12929" s="9" t="s">
        <v>92</v>
      </c>
      <c r="G12929" s="10" t="s">
        <v>86</v>
      </c>
      <c r="H12929" s="9" t="s">
        <v>22</v>
      </c>
      <c r="I12929" s="9" t="s">
        <v>26337</v>
      </c>
      <c r="J12929" s="10" t="str">
        <f>HYPERLINK("https://www.boe.es/gazeta/dias/1834/02/13/pdfs/GMD-1834-20.pdf#page=2","Abrir facsímil")</f>
        <v>Abrir facsímil</v>
      </c>
      <c r="K12929" s="10" t="s">
        <v>24</v>
      </c>
    </row>
    <row r="12930" spans="1:11" ht="54" customHeight="1">
      <c r="A12930" s="9" t="s">
        <v>26323</v>
      </c>
      <c r="B12930" s="9" t="s">
        <v>26323</v>
      </c>
      <c r="C12930" s="9" t="s">
        <v>122</v>
      </c>
      <c r="D12930" s="9" t="s">
        <v>18</v>
      </c>
      <c r="E12930" s="10" t="s">
        <v>91</v>
      </c>
      <c r="F12930" s="9" t="s">
        <v>92</v>
      </c>
      <c r="G12930" s="10" t="s">
        <v>75</v>
      </c>
      <c r="H12930" s="9" t="s">
        <v>22</v>
      </c>
      <c r="I12930" s="9" t="s">
        <v>26338</v>
      </c>
      <c r="J12930" s="10" t="str">
        <f>HYPERLINK("https://www.boe.es/gazeta/dias/1834/02/13/pdfs/GMD-1834-20.pdf#page=4","Abrir facsímil")</f>
        <v>Abrir facsímil</v>
      </c>
      <c r="K12930" s="10" t="s">
        <v>24</v>
      </c>
    </row>
    <row r="12931" spans="1:11" ht="54" customHeight="1">
      <c r="A12931" s="9" t="s">
        <v>26323</v>
      </c>
      <c r="B12931" s="9" t="s">
        <v>26323</v>
      </c>
      <c r="C12931" s="9" t="s">
        <v>17</v>
      </c>
      <c r="D12931" s="9" t="s">
        <v>18</v>
      </c>
      <c r="E12931" s="10" t="s">
        <v>343</v>
      </c>
      <c r="F12931" s="9" t="s">
        <v>344</v>
      </c>
      <c r="G12931" s="10" t="s">
        <v>21</v>
      </c>
      <c r="H12931" s="9" t="s">
        <v>22</v>
      </c>
      <c r="I12931" s="9" t="s">
        <v>26339</v>
      </c>
      <c r="J12931" s="10" t="str">
        <f>HYPERLINK("https://www.boe.es/gazeta/dias/1834/01/14/pdfs/GMD-1834-7.pdf#page=3","Abrir facsímil")</f>
        <v>Abrir facsímil</v>
      </c>
      <c r="K12931" s="10" t="s">
        <v>24</v>
      </c>
    </row>
    <row r="12932" spans="1:11" ht="54" customHeight="1">
      <c r="A12932" s="9" t="s">
        <v>26323</v>
      </c>
      <c r="B12932" s="9" t="s">
        <v>26323</v>
      </c>
      <c r="C12932" s="9" t="s">
        <v>17</v>
      </c>
      <c r="D12932" s="9" t="s">
        <v>40</v>
      </c>
      <c r="E12932" s="10" t="s">
        <v>1186</v>
      </c>
      <c r="F12932" s="9" t="s">
        <v>1187</v>
      </c>
      <c r="G12932" s="10" t="s">
        <v>34</v>
      </c>
      <c r="H12932" s="9" t="s">
        <v>22</v>
      </c>
      <c r="I12932" s="9" t="s">
        <v>26340</v>
      </c>
      <c r="J12932" s="10" t="str">
        <f>HYPERLINK("https://www.boe.es/gazeta/dias/1834/08/14/pdfs/GMD-1834-179.pdf#page=1","Abrir facsímil")</f>
        <v>Abrir facsímil</v>
      </c>
      <c r="K12932" s="10" t="s">
        <v>24</v>
      </c>
    </row>
    <row r="12933" spans="1:11" ht="54" customHeight="1">
      <c r="A12933" s="9" t="s">
        <v>26323</v>
      </c>
      <c r="B12933" s="9" t="s">
        <v>26323</v>
      </c>
      <c r="C12933" s="9" t="s">
        <v>17</v>
      </c>
      <c r="D12933" s="9" t="s">
        <v>55</v>
      </c>
      <c r="E12933" s="10" t="s">
        <v>912</v>
      </c>
      <c r="F12933" s="9" t="s">
        <v>913</v>
      </c>
      <c r="G12933" s="10" t="s">
        <v>21</v>
      </c>
      <c r="H12933" s="9" t="s">
        <v>22</v>
      </c>
      <c r="I12933" s="9" t="s">
        <v>26341</v>
      </c>
      <c r="J12933" s="10" t="str">
        <f>HYPERLINK("https://www.boe.es/gazeta/dias/1834/02/15/pdfs/GMD-1834-21.pdf#page=3","Abrir facsímil")</f>
        <v>Abrir facsímil</v>
      </c>
      <c r="K12933" s="10" t="s">
        <v>24</v>
      </c>
    </row>
    <row r="12934" spans="1:11" ht="54" customHeight="1">
      <c r="A12934" s="9" t="s">
        <v>26323</v>
      </c>
      <c r="B12934" s="9" t="s">
        <v>26323</v>
      </c>
      <c r="C12934" s="9" t="s">
        <v>17</v>
      </c>
      <c r="D12934" s="9" t="s">
        <v>18</v>
      </c>
      <c r="E12934" s="10" t="s">
        <v>2398</v>
      </c>
      <c r="F12934" s="9" t="s">
        <v>2399</v>
      </c>
      <c r="G12934" s="10" t="s">
        <v>34</v>
      </c>
      <c r="H12934" s="9" t="s">
        <v>22</v>
      </c>
      <c r="I12934" s="9" t="s">
        <v>26342</v>
      </c>
      <c r="J12934" s="10" t="str">
        <f>HYPERLINK("https://www.boe.es/gazeta/dias/1834/01/16/pdfs/GMD-1834-8.pdf#page=1","Abrir facsímil")</f>
        <v>Abrir facsímil</v>
      </c>
      <c r="K12934" s="10" t="s">
        <v>24</v>
      </c>
    </row>
    <row r="12935" spans="1:11" ht="54" customHeight="1">
      <c r="A12935" s="9" t="s">
        <v>26323</v>
      </c>
      <c r="B12935" s="9" t="s">
        <v>26323</v>
      </c>
      <c r="C12935" s="9" t="s">
        <v>17</v>
      </c>
      <c r="D12935" s="9" t="s">
        <v>55</v>
      </c>
      <c r="E12935" s="10" t="s">
        <v>663</v>
      </c>
      <c r="F12935" s="9" t="s">
        <v>664</v>
      </c>
      <c r="G12935" s="10" t="s">
        <v>34</v>
      </c>
      <c r="H12935" s="9" t="s">
        <v>22</v>
      </c>
      <c r="I12935" s="9" t="s">
        <v>26343</v>
      </c>
      <c r="J12935" s="10" t="str">
        <f>HYPERLINK("https://www.boe.es/gazeta/dias/1834/07/16/pdfs/GMD-1834-149.pdf#page=1","Abrir facsímil")</f>
        <v>Abrir facsímil</v>
      </c>
      <c r="K12935" s="10" t="s">
        <v>24</v>
      </c>
    </row>
    <row r="12936" spans="1:11" ht="54" customHeight="1">
      <c r="A12936" s="9" t="s">
        <v>26323</v>
      </c>
      <c r="B12936" s="9" t="s">
        <v>26323</v>
      </c>
      <c r="C12936" s="9" t="s">
        <v>17</v>
      </c>
      <c r="D12936" s="9" t="s">
        <v>18</v>
      </c>
      <c r="E12936" s="10" t="s">
        <v>663</v>
      </c>
      <c r="F12936" s="9" t="s">
        <v>664</v>
      </c>
      <c r="G12936" s="10" t="s">
        <v>75</v>
      </c>
      <c r="H12936" s="9" t="s">
        <v>22</v>
      </c>
      <c r="I12936" s="9" t="s">
        <v>26344</v>
      </c>
      <c r="J12936" s="10" t="str">
        <f>HYPERLINK("https://www.boe.es/gazeta/dias/1834/07/16/pdfs/GMD-1834-149.pdf#page=4","Abrir facsímil")</f>
        <v>Abrir facsímil</v>
      </c>
      <c r="K12936" s="10" t="s">
        <v>24</v>
      </c>
    </row>
    <row r="12937" spans="1:11" ht="54" customHeight="1">
      <c r="A12937" s="9" t="s">
        <v>26323</v>
      </c>
      <c r="B12937" s="9" t="s">
        <v>26323</v>
      </c>
      <c r="C12937" s="9" t="s">
        <v>17</v>
      </c>
      <c r="D12937" s="9" t="s">
        <v>55</v>
      </c>
      <c r="E12937" s="10" t="s">
        <v>183</v>
      </c>
      <c r="F12937" s="9" t="s">
        <v>184</v>
      </c>
      <c r="G12937" s="10" t="s">
        <v>86</v>
      </c>
      <c r="H12937" s="9" t="s">
        <v>22</v>
      </c>
      <c r="I12937" s="9" t="s">
        <v>26345</v>
      </c>
      <c r="J12937" s="10" t="str">
        <f>HYPERLINK("https://www.boe.es/gazeta/dias/1834/03/18/pdfs/GMD-1834-34.pdf#page=2","Abrir facsímil")</f>
        <v>Abrir facsímil</v>
      </c>
      <c r="K12937" s="10" t="s">
        <v>24</v>
      </c>
    </row>
    <row r="12938" spans="1:11" ht="54" customHeight="1">
      <c r="A12938" s="9" t="s">
        <v>26323</v>
      </c>
      <c r="B12938" s="9" t="s">
        <v>26323</v>
      </c>
      <c r="C12938" s="9" t="s">
        <v>17</v>
      </c>
      <c r="D12938" s="9" t="s">
        <v>55</v>
      </c>
      <c r="E12938" s="10" t="s">
        <v>2287</v>
      </c>
      <c r="F12938" s="9" t="s">
        <v>4741</v>
      </c>
      <c r="G12938" s="10" t="s">
        <v>86</v>
      </c>
      <c r="H12938" s="9" t="s">
        <v>22</v>
      </c>
      <c r="I12938" s="9" t="s">
        <v>26346</v>
      </c>
      <c r="J12938" s="10" t="str">
        <f>HYPERLINK("https://www.boe.es/gazeta/dias/1834/12/18/pdfs/GMD-1834-308.pdf#page=2","Abrir facsímil")</f>
        <v>Abrir facsímil</v>
      </c>
      <c r="K12938" s="10" t="s">
        <v>24</v>
      </c>
    </row>
    <row r="12939" spans="1:11" ht="54" customHeight="1">
      <c r="A12939" s="9" t="s">
        <v>26323</v>
      </c>
      <c r="B12939" s="9" t="s">
        <v>26323</v>
      </c>
      <c r="C12939" s="9" t="s">
        <v>90</v>
      </c>
      <c r="D12939" s="9" t="s">
        <v>55</v>
      </c>
      <c r="E12939" s="10" t="s">
        <v>563</v>
      </c>
      <c r="F12939" s="9" t="s">
        <v>564</v>
      </c>
      <c r="G12939" s="10" t="s">
        <v>86</v>
      </c>
      <c r="H12939" s="9" t="s">
        <v>22</v>
      </c>
      <c r="I12939" s="9" t="s">
        <v>26347</v>
      </c>
      <c r="J12939" s="10" t="str">
        <f>HYPERLINK("https://www.boe.es/gazeta/dias/1834/04/19/pdfs/GMD-1834-58.pdf#page=2","Abrir facsímil")</f>
        <v>Abrir facsímil</v>
      </c>
      <c r="K12939" s="10" t="s">
        <v>24</v>
      </c>
    </row>
    <row r="12940" spans="1:11" ht="54" customHeight="1">
      <c r="A12940" s="9" t="s">
        <v>26323</v>
      </c>
      <c r="B12940" s="9" t="s">
        <v>26323</v>
      </c>
      <c r="C12940" s="9" t="s">
        <v>46</v>
      </c>
      <c r="D12940" s="9" t="s">
        <v>55</v>
      </c>
      <c r="E12940" s="10" t="s">
        <v>26</v>
      </c>
      <c r="F12940" s="9" t="s">
        <v>818</v>
      </c>
      <c r="G12940" s="10" t="s">
        <v>86</v>
      </c>
      <c r="H12940" s="9" t="s">
        <v>22</v>
      </c>
      <c r="I12940" s="9" t="s">
        <v>26348</v>
      </c>
      <c r="J12940" s="10" t="str">
        <f>HYPERLINK("https://www.boe.es/gazeta/dias/1834/10/19/pdfs/GMD-1834-247.pdf#page=2","Abrir facsímil")</f>
        <v>Abrir facsímil</v>
      </c>
      <c r="K12940" s="10" t="s">
        <v>24</v>
      </c>
    </row>
    <row r="12941" spans="1:11" ht="54" customHeight="1">
      <c r="A12941" s="9" t="s">
        <v>26323</v>
      </c>
      <c r="B12941" s="9" t="s">
        <v>26323</v>
      </c>
      <c r="C12941" s="9" t="s">
        <v>17</v>
      </c>
      <c r="D12941" s="9" t="s">
        <v>55</v>
      </c>
      <c r="E12941" s="10" t="s">
        <v>1239</v>
      </c>
      <c r="F12941" s="9" t="s">
        <v>1240</v>
      </c>
      <c r="G12941" s="10" t="s">
        <v>86</v>
      </c>
      <c r="H12941" s="9" t="s">
        <v>22</v>
      </c>
      <c r="I12941" s="9" t="s">
        <v>26349</v>
      </c>
      <c r="J12941" s="10" t="str">
        <f>HYPERLINK("https://www.boe.es/gazeta/dias/1834/08/20/pdfs/GMD-1834-186.pdf#page=2","Abrir facsímil")</f>
        <v>Abrir facsímil</v>
      </c>
      <c r="K12941" s="10" t="s">
        <v>24</v>
      </c>
    </row>
    <row r="12942" spans="1:11" ht="54" customHeight="1">
      <c r="A12942" s="9" t="s">
        <v>26323</v>
      </c>
      <c r="B12942" s="9" t="s">
        <v>26323</v>
      </c>
      <c r="C12942" s="9" t="s">
        <v>17</v>
      </c>
      <c r="D12942" s="9" t="s">
        <v>55</v>
      </c>
      <c r="E12942" s="10" t="s">
        <v>304</v>
      </c>
      <c r="F12942" s="9" t="s">
        <v>305</v>
      </c>
      <c r="G12942" s="10" t="s">
        <v>75</v>
      </c>
      <c r="H12942" s="9" t="s">
        <v>22</v>
      </c>
      <c r="I12942" s="9" t="s">
        <v>26350</v>
      </c>
      <c r="J12942" s="10" t="str">
        <f>HYPERLINK("https://www.boe.es/gazeta/dias/1834/01/21/pdfs/GMD-1834-10.pdf#page=4","Abrir facsímil")</f>
        <v>Abrir facsímil</v>
      </c>
      <c r="K12942" s="10" t="s">
        <v>24</v>
      </c>
    </row>
    <row r="12943" spans="1:11" ht="54" customHeight="1">
      <c r="A12943" s="9" t="s">
        <v>26323</v>
      </c>
      <c r="B12943" s="9" t="s">
        <v>26323</v>
      </c>
      <c r="C12943" s="9" t="s">
        <v>46</v>
      </c>
      <c r="D12943" s="9" t="s">
        <v>101</v>
      </c>
      <c r="E12943" s="10" t="s">
        <v>535</v>
      </c>
      <c r="F12943" s="9" t="s">
        <v>536</v>
      </c>
      <c r="G12943" s="10" t="s">
        <v>34</v>
      </c>
      <c r="H12943" s="9" t="s">
        <v>22</v>
      </c>
      <c r="I12943" s="9" t="s">
        <v>26351</v>
      </c>
      <c r="J12943" s="10" t="str">
        <f>HYPERLINK("https://www.boe.es/gazeta/dias/1834/05/21/pdfs/GMD-1834-90.pdf#page=1","Abrir facsímil")</f>
        <v>Abrir facsímil</v>
      </c>
      <c r="K12943" s="10" t="s">
        <v>24</v>
      </c>
    </row>
    <row r="12944" spans="1:11" ht="54" customHeight="1">
      <c r="A12944" s="9" t="s">
        <v>26323</v>
      </c>
      <c r="B12944" s="9" t="s">
        <v>26323</v>
      </c>
      <c r="C12944" s="9" t="s">
        <v>66</v>
      </c>
      <c r="D12944" s="9" t="s">
        <v>67</v>
      </c>
      <c r="E12944" s="10" t="s">
        <v>981</v>
      </c>
      <c r="F12944" s="9" t="s">
        <v>982</v>
      </c>
      <c r="G12944" s="10" t="s">
        <v>34</v>
      </c>
      <c r="H12944" s="9" t="s">
        <v>22</v>
      </c>
      <c r="I12944" s="9" t="s">
        <v>26352</v>
      </c>
      <c r="J12944" s="10" t="str">
        <f>HYPERLINK("https://www.boe.es/gazeta/dias/1834/09/21/pdfs/GMD-1834-219.pdf#page=1","Abrir facsímil")</f>
        <v>Abrir facsímil</v>
      </c>
      <c r="K12944" s="10" t="s">
        <v>24</v>
      </c>
    </row>
    <row r="12945" spans="1:11" ht="54" customHeight="1">
      <c r="A12945" s="9" t="s">
        <v>26323</v>
      </c>
      <c r="B12945" s="9" t="s">
        <v>26323</v>
      </c>
      <c r="C12945" s="9" t="s">
        <v>17</v>
      </c>
      <c r="D12945" s="9" t="s">
        <v>55</v>
      </c>
      <c r="E12945" s="10" t="s">
        <v>32</v>
      </c>
      <c r="F12945" s="9" t="s">
        <v>33</v>
      </c>
      <c r="G12945" s="10" t="s">
        <v>86</v>
      </c>
      <c r="H12945" s="9" t="s">
        <v>22</v>
      </c>
      <c r="I12945" s="9" t="s">
        <v>26353</v>
      </c>
      <c r="J12945" s="10" t="str">
        <f>HYPERLINK("https://www.boe.es/gazeta/dias/1834/04/23/pdfs/GMD-1834-62.pdf#page=2","Abrir facsímil")</f>
        <v>Abrir facsímil</v>
      </c>
      <c r="K12945" s="10" t="s">
        <v>24</v>
      </c>
    </row>
    <row r="12946" spans="1:11" ht="54" customHeight="1">
      <c r="A12946" s="9" t="s">
        <v>26323</v>
      </c>
      <c r="B12946" s="9" t="s">
        <v>26323</v>
      </c>
      <c r="C12946" s="9" t="s">
        <v>66</v>
      </c>
      <c r="D12946" s="9" t="s">
        <v>67</v>
      </c>
      <c r="E12946" s="10" t="s">
        <v>606</v>
      </c>
      <c r="F12946" s="9" t="s">
        <v>607</v>
      </c>
      <c r="G12946" s="10" t="s">
        <v>86</v>
      </c>
      <c r="H12946" s="9" t="s">
        <v>22</v>
      </c>
      <c r="I12946" s="9" t="s">
        <v>26354</v>
      </c>
      <c r="J12946" s="10" t="str">
        <f>HYPERLINK("https://www.boe.es/gazeta/dias/1834/06/23/pdfs/GMD-1834-126.pdf#page=2","Abrir facsímil")</f>
        <v>Abrir facsímil</v>
      </c>
      <c r="K12946" s="10" t="s">
        <v>24</v>
      </c>
    </row>
    <row r="12947" spans="1:11" ht="54" customHeight="1">
      <c r="A12947" s="9" t="s">
        <v>26323</v>
      </c>
      <c r="B12947" s="9" t="s">
        <v>26323</v>
      </c>
      <c r="C12947" s="9" t="s">
        <v>17</v>
      </c>
      <c r="D12947" s="9" t="s">
        <v>18</v>
      </c>
      <c r="E12947" s="10" t="s">
        <v>394</v>
      </c>
      <c r="F12947" s="9" t="s">
        <v>395</v>
      </c>
      <c r="G12947" s="10" t="s">
        <v>21</v>
      </c>
      <c r="H12947" s="9" t="s">
        <v>22</v>
      </c>
      <c r="I12947" s="9" t="s">
        <v>26355</v>
      </c>
      <c r="J12947" s="10" t="str">
        <f>HYPERLINK("https://www.boe.es/gazeta/dias/1834/12/23/pdfs/GMD-1834-313.pdf#page=3","Abrir facsímil")</f>
        <v>Abrir facsímil</v>
      </c>
      <c r="K12947" s="10" t="s">
        <v>24</v>
      </c>
    </row>
    <row r="12948" spans="1:11" ht="54" customHeight="1">
      <c r="A12948" s="9" t="s">
        <v>26323</v>
      </c>
      <c r="B12948" s="9" t="s">
        <v>26323</v>
      </c>
      <c r="C12948" s="9" t="s">
        <v>17</v>
      </c>
      <c r="D12948" s="9" t="s">
        <v>18</v>
      </c>
      <c r="E12948" s="10" t="s">
        <v>1575</v>
      </c>
      <c r="F12948" s="9" t="s">
        <v>1576</v>
      </c>
      <c r="G12948" s="10" t="s">
        <v>21</v>
      </c>
      <c r="H12948" s="9" t="s">
        <v>22</v>
      </c>
      <c r="I12948" s="9" t="s">
        <v>26356</v>
      </c>
      <c r="J12948" s="10" t="str">
        <f>HYPERLINK("https://www.boe.es/gazeta/dias/1834/11/24/pdfs/GMD-1834-283.pdf#page=3","Abrir facsímil")</f>
        <v>Abrir facsímil</v>
      </c>
      <c r="K12948" s="10" t="s">
        <v>24</v>
      </c>
    </row>
    <row r="12949" spans="1:11" ht="54" customHeight="1">
      <c r="A12949" s="9" t="s">
        <v>26323</v>
      </c>
      <c r="B12949" s="9" t="s">
        <v>26323</v>
      </c>
      <c r="C12949" s="9" t="s">
        <v>17</v>
      </c>
      <c r="D12949" s="9" t="s">
        <v>55</v>
      </c>
      <c r="E12949" s="10" t="s">
        <v>128</v>
      </c>
      <c r="F12949" s="9" t="s">
        <v>1068</v>
      </c>
      <c r="G12949" s="10" t="s">
        <v>86</v>
      </c>
      <c r="H12949" s="9" t="s">
        <v>22</v>
      </c>
      <c r="I12949" s="9" t="s">
        <v>26357</v>
      </c>
      <c r="J12949" s="10" t="str">
        <f>HYPERLINK("https://www.boe.es/gazeta/dias/1834/12/24/pdfs/GMD-1834-314.pdf#page=2","Abrir facsímil")</f>
        <v>Abrir facsímil</v>
      </c>
      <c r="K12949" s="10" t="s">
        <v>24</v>
      </c>
    </row>
    <row r="12950" spans="1:11" ht="54" customHeight="1">
      <c r="A12950" s="9" t="s">
        <v>26323</v>
      </c>
      <c r="B12950" s="9" t="s">
        <v>26323</v>
      </c>
      <c r="C12950" s="9" t="s">
        <v>17</v>
      </c>
      <c r="D12950" s="9" t="s">
        <v>18</v>
      </c>
      <c r="E12950" s="10" t="s">
        <v>524</v>
      </c>
      <c r="F12950" s="9" t="s">
        <v>4743</v>
      </c>
      <c r="G12950" s="10" t="s">
        <v>75</v>
      </c>
      <c r="H12950" s="9" t="s">
        <v>22</v>
      </c>
      <c r="I12950" s="9" t="s">
        <v>26358</v>
      </c>
      <c r="J12950" s="10" t="str">
        <f>HYPERLINK("https://www.boe.es/gazeta/dias/1834/12/25/pdfs/GMD-1834-315.pdf#page=4","Abrir facsímil")</f>
        <v>Abrir facsímil</v>
      </c>
      <c r="K12950" s="10" t="s">
        <v>24</v>
      </c>
    </row>
    <row r="12951" spans="1:11" ht="54" customHeight="1">
      <c r="A12951" s="9" t="s">
        <v>26323</v>
      </c>
      <c r="B12951" s="9" t="s">
        <v>26323</v>
      </c>
      <c r="C12951" s="9" t="s">
        <v>17</v>
      </c>
      <c r="D12951" s="9" t="s">
        <v>18</v>
      </c>
      <c r="E12951" s="10" t="s">
        <v>7523</v>
      </c>
      <c r="F12951" s="9" t="s">
        <v>7524</v>
      </c>
      <c r="G12951" s="10" t="s">
        <v>86</v>
      </c>
      <c r="H12951" s="9" t="s">
        <v>22</v>
      </c>
      <c r="I12951" s="9" t="s">
        <v>26359</v>
      </c>
      <c r="J12951" s="10" t="str">
        <f>HYPERLINK("https://www.boe.es/gazeta/dias/1834/12/26/pdfs/GMD-1834-316.pdf#page=2","Abrir facsímil")</f>
        <v>Abrir facsímil</v>
      </c>
      <c r="K12951" s="10" t="s">
        <v>24</v>
      </c>
    </row>
    <row r="12952" spans="1:11" ht="54" customHeight="1">
      <c r="A12952" s="9" t="s">
        <v>26323</v>
      </c>
      <c r="B12952" s="9" t="s">
        <v>26323</v>
      </c>
      <c r="C12952" s="9" t="s">
        <v>122</v>
      </c>
      <c r="D12952" s="9" t="s">
        <v>55</v>
      </c>
      <c r="E12952" s="10" t="s">
        <v>1683</v>
      </c>
      <c r="F12952" s="9" t="s">
        <v>1684</v>
      </c>
      <c r="G12952" s="10" t="s">
        <v>86</v>
      </c>
      <c r="H12952" s="9" t="s">
        <v>22</v>
      </c>
      <c r="I12952" s="9" t="s">
        <v>26360</v>
      </c>
      <c r="J12952" s="10" t="str">
        <f>HYPERLINK("https://www.boe.es/gazeta/dias/1834/06/27/pdfs/GMD-1834-130.pdf#page=2","Abrir facsímil")</f>
        <v>Abrir facsímil</v>
      </c>
      <c r="K12952" s="10" t="s">
        <v>24</v>
      </c>
    </row>
    <row r="12953" spans="1:11" ht="54" customHeight="1">
      <c r="A12953" s="9" t="s">
        <v>26323</v>
      </c>
      <c r="B12953" s="9" t="s">
        <v>26323</v>
      </c>
      <c r="C12953" s="9" t="s">
        <v>17</v>
      </c>
      <c r="D12953" s="9" t="s">
        <v>18</v>
      </c>
      <c r="E12953" s="10" t="s">
        <v>3499</v>
      </c>
      <c r="F12953" s="9" t="s">
        <v>3500</v>
      </c>
      <c r="G12953" s="10" t="s">
        <v>86</v>
      </c>
      <c r="H12953" s="9" t="s">
        <v>22</v>
      </c>
      <c r="I12953" s="9" t="s">
        <v>26361</v>
      </c>
      <c r="J12953" s="10" t="str">
        <f>HYPERLINK("https://www.boe.es/gazeta/dias/1834/01/28/pdfs/GMD-1834-13.pdf#page=2","Abrir facsímil")</f>
        <v>Abrir facsímil</v>
      </c>
      <c r="K12953" s="10" t="s">
        <v>24</v>
      </c>
    </row>
    <row r="12954" spans="1:11" ht="54" customHeight="1">
      <c r="A12954" s="9" t="s">
        <v>26323</v>
      </c>
      <c r="B12954" s="9" t="s">
        <v>26323</v>
      </c>
      <c r="C12954" s="9" t="s">
        <v>122</v>
      </c>
      <c r="D12954" s="9" t="s">
        <v>55</v>
      </c>
      <c r="E12954" s="10" t="s">
        <v>1641</v>
      </c>
      <c r="F12954" s="9" t="s">
        <v>1729</v>
      </c>
      <c r="G12954" s="10" t="s">
        <v>86</v>
      </c>
      <c r="H12954" s="9" t="s">
        <v>22</v>
      </c>
      <c r="I12954" s="9" t="s">
        <v>26362</v>
      </c>
      <c r="J12954" s="10" t="str">
        <f>HYPERLINK("https://www.boe.es/gazeta/dias/1834/09/28/pdfs/GMD-1834-226.pdf#page=2","Abrir facsímil")</f>
        <v>Abrir facsímil</v>
      </c>
      <c r="K12954" s="10" t="s">
        <v>24</v>
      </c>
    </row>
    <row r="12955" spans="1:11" ht="54" customHeight="1">
      <c r="A12955" s="9" t="s">
        <v>26323</v>
      </c>
      <c r="B12955" s="9" t="s">
        <v>26323</v>
      </c>
      <c r="C12955" s="9" t="s">
        <v>90</v>
      </c>
      <c r="D12955" s="9" t="s">
        <v>18</v>
      </c>
      <c r="E12955" s="10" t="s">
        <v>468</v>
      </c>
      <c r="F12955" s="9" t="s">
        <v>469</v>
      </c>
      <c r="G12955" s="10" t="s">
        <v>34</v>
      </c>
      <c r="H12955" s="9" t="s">
        <v>22</v>
      </c>
      <c r="I12955" s="9" t="s">
        <v>26363</v>
      </c>
      <c r="J12955" s="10" t="str">
        <f>HYPERLINK("https://www.boe.es/gazeta/dias/1834/12/28/pdfs/GMD-C-1834-318.pdf#page=1","Abrir facsímil")</f>
        <v>Abrir facsímil</v>
      </c>
      <c r="K12955" s="10" t="s">
        <v>24</v>
      </c>
    </row>
    <row r="12956" spans="1:11" ht="54" customHeight="1">
      <c r="A12956" s="9" t="s">
        <v>26323</v>
      </c>
      <c r="B12956" s="9" t="s">
        <v>26323</v>
      </c>
      <c r="C12956" s="9" t="s">
        <v>46</v>
      </c>
      <c r="D12956" s="9" t="s">
        <v>101</v>
      </c>
      <c r="E12956" s="10" t="s">
        <v>2945</v>
      </c>
      <c r="F12956" s="9" t="s">
        <v>2946</v>
      </c>
      <c r="G12956" s="10" t="s">
        <v>34</v>
      </c>
      <c r="H12956" s="9" t="s">
        <v>22</v>
      </c>
      <c r="I12956" s="9" t="s">
        <v>26364</v>
      </c>
      <c r="J12956" s="10" t="str">
        <f>HYPERLINK("https://www.boe.es/gazeta/dias/1834/05/29/pdfs/GMD-1834-98.pdf#page=1","Abrir facsímil")</f>
        <v>Abrir facsímil</v>
      </c>
      <c r="K12956" s="10" t="s">
        <v>24</v>
      </c>
    </row>
    <row r="12957" spans="1:11" ht="54" customHeight="1">
      <c r="A12957" s="9" t="s">
        <v>26323</v>
      </c>
      <c r="B12957" s="9" t="s">
        <v>26323</v>
      </c>
      <c r="C12957" s="9" t="s">
        <v>17</v>
      </c>
      <c r="D12957" s="9" t="s">
        <v>55</v>
      </c>
      <c r="E12957" s="10" t="s">
        <v>309</v>
      </c>
      <c r="F12957" s="9" t="s">
        <v>310</v>
      </c>
      <c r="G12957" s="10" t="s">
        <v>21</v>
      </c>
      <c r="H12957" s="9" t="s">
        <v>22</v>
      </c>
      <c r="I12957" s="9" t="s">
        <v>26365</v>
      </c>
      <c r="J12957" s="10" t="str">
        <f>HYPERLINK("https://www.boe.es/gazeta/dias/1834/05/30/pdfs/GMD-1834-99.pdf#page=3","Abrir facsímil")</f>
        <v>Abrir facsímil</v>
      </c>
      <c r="K12957" s="10" t="s">
        <v>24</v>
      </c>
    </row>
    <row r="12958" spans="1:11" ht="54" customHeight="1">
      <c r="A12958" s="9" t="s">
        <v>26323</v>
      </c>
      <c r="B12958" s="9" t="s">
        <v>26323</v>
      </c>
      <c r="C12958" s="9" t="s">
        <v>46</v>
      </c>
      <c r="D12958" s="9" t="s">
        <v>18</v>
      </c>
      <c r="E12958" s="10" t="s">
        <v>891</v>
      </c>
      <c r="F12958" s="9" t="s">
        <v>3608</v>
      </c>
      <c r="G12958" s="10" t="s">
        <v>21</v>
      </c>
      <c r="H12958" s="9" t="s">
        <v>22</v>
      </c>
      <c r="I12958" s="9" t="s">
        <v>26366</v>
      </c>
      <c r="J12958" s="10" t="str">
        <f>HYPERLINK("https://www.boe.es/gazeta/dias/1834/10/31/pdfs/GMD-1834-259.pdf#page=3","Abrir facsímil")</f>
        <v>Abrir facsímil</v>
      </c>
      <c r="K12958" s="10" t="s">
        <v>24</v>
      </c>
    </row>
    <row r="12959" spans="1:11" ht="54" customHeight="1">
      <c r="A12959" s="9" t="s">
        <v>26367</v>
      </c>
      <c r="B12959" s="9" t="s">
        <v>26367</v>
      </c>
      <c r="C12959" s="9" t="s">
        <v>122</v>
      </c>
      <c r="D12959" s="9" t="s">
        <v>55</v>
      </c>
      <c r="E12959" s="10" t="s">
        <v>454</v>
      </c>
      <c r="F12959" s="9" t="s">
        <v>2009</v>
      </c>
      <c r="G12959" s="10" t="s">
        <v>34</v>
      </c>
      <c r="H12959" s="9" t="s">
        <v>22</v>
      </c>
      <c r="I12959" s="9" t="s">
        <v>26368</v>
      </c>
      <c r="J12959" s="10" t="str">
        <f>HYPERLINK("https://www.boe.es/gazeta/dias/1834/10/16/pdfs/GMD-1834-244.pdf#page=1","Abrir facsímil")</f>
        <v>Abrir facsímil</v>
      </c>
      <c r="K12959" s="10" t="s">
        <v>24</v>
      </c>
    </row>
    <row r="12960" spans="1:11" ht="54" customHeight="1">
      <c r="A12960" s="9" t="s">
        <v>26369</v>
      </c>
      <c r="B12960" s="9" t="s">
        <v>26370</v>
      </c>
      <c r="C12960" s="9" t="s">
        <v>17</v>
      </c>
      <c r="D12960" s="9" t="s">
        <v>18</v>
      </c>
      <c r="E12960" s="10" t="s">
        <v>1084</v>
      </c>
      <c r="F12960" s="9" t="s">
        <v>1085</v>
      </c>
      <c r="G12960" s="10" t="s">
        <v>28</v>
      </c>
      <c r="H12960" s="9" t="s">
        <v>35</v>
      </c>
      <c r="I12960" s="9" t="s">
        <v>26371</v>
      </c>
      <c r="J12960" s="10" t="str">
        <f>HYPERLINK("https://www.boe.es/gazeta/dias/1834/05/01/pdfs/GMD-1834-70.pdf#page=5","Abrir facsímil")</f>
        <v>Abrir facsímil</v>
      </c>
      <c r="K12960" s="10" t="s">
        <v>37</v>
      </c>
    </row>
    <row r="12961" spans="1:11" ht="54" customHeight="1">
      <c r="A12961" s="9" t="s">
        <v>26372</v>
      </c>
      <c r="B12961" s="9" t="s">
        <v>26373</v>
      </c>
      <c r="C12961" s="9" t="s">
        <v>90</v>
      </c>
      <c r="D12961" s="9" t="s">
        <v>18</v>
      </c>
      <c r="E12961" s="10" t="s">
        <v>468</v>
      </c>
      <c r="F12961" s="9" t="s">
        <v>469</v>
      </c>
      <c r="G12961" s="10" t="s">
        <v>34</v>
      </c>
      <c r="H12961" s="9" t="s">
        <v>35</v>
      </c>
      <c r="I12961" s="9" t="s">
        <v>26374</v>
      </c>
      <c r="J12961" s="10" t="str">
        <f>HYPERLINK("https://www.boe.es/gazeta/dias/1834/12/28/pdfs/GMD-C-1834-318.pdf#page=1","Abrir facsímil")</f>
        <v>Abrir facsímil</v>
      </c>
      <c r="K12961" s="10" t="s">
        <v>37</v>
      </c>
    </row>
    <row r="12962" spans="1:11" ht="54" customHeight="1">
      <c r="A12962" s="9" t="s">
        <v>26375</v>
      </c>
      <c r="B12962" s="9" t="s">
        <v>26376</v>
      </c>
      <c r="C12962" s="9" t="s">
        <v>46</v>
      </c>
      <c r="D12962" s="9" t="s">
        <v>101</v>
      </c>
      <c r="E12962" s="10" t="s">
        <v>753</v>
      </c>
      <c r="F12962" s="9" t="s">
        <v>754</v>
      </c>
      <c r="G12962" s="10" t="s">
        <v>34</v>
      </c>
      <c r="H12962" s="9" t="s">
        <v>35</v>
      </c>
      <c r="I12962" s="9" t="s">
        <v>26377</v>
      </c>
      <c r="J12962" s="10" t="str">
        <f>HYPERLINK("https://www.boe.es/gazeta/dias/1834/04/21/pdfs/GMD-1834-60.pdf#page=1","Abrir facsímil")</f>
        <v>Abrir facsímil</v>
      </c>
      <c r="K12962" s="10" t="s">
        <v>37</v>
      </c>
    </row>
    <row r="12963" spans="1:11" ht="54" customHeight="1">
      <c r="A12963" s="9" t="s">
        <v>26378</v>
      </c>
      <c r="B12963" s="9" t="s">
        <v>26378</v>
      </c>
      <c r="C12963" s="9" t="s">
        <v>17</v>
      </c>
      <c r="D12963" s="9" t="s">
        <v>18</v>
      </c>
      <c r="E12963" s="10" t="s">
        <v>1103</v>
      </c>
      <c r="F12963" s="9" t="s">
        <v>1259</v>
      </c>
      <c r="G12963" s="10" t="s">
        <v>34</v>
      </c>
      <c r="H12963" s="9" t="s">
        <v>22</v>
      </c>
      <c r="I12963" s="9" t="s">
        <v>26379</v>
      </c>
      <c r="J12963" s="10" t="str">
        <f>HYPERLINK("https://www.boe.es/gazeta/dias/1834/10/10/pdfs/GMD-1834-238.pdf#page=1","Abrir facsímil")</f>
        <v>Abrir facsímil</v>
      </c>
      <c r="K12963" s="10" t="s">
        <v>24</v>
      </c>
    </row>
    <row r="12964" spans="1:11" ht="54" customHeight="1">
      <c r="A12964" s="9" t="s">
        <v>26380</v>
      </c>
      <c r="B12964" s="9" t="s">
        <v>26380</v>
      </c>
      <c r="C12964" s="9" t="s">
        <v>122</v>
      </c>
      <c r="D12964" s="9" t="s">
        <v>18</v>
      </c>
      <c r="E12964" s="10" t="s">
        <v>73</v>
      </c>
      <c r="F12964" s="9" t="s">
        <v>74</v>
      </c>
      <c r="G12964" s="10" t="s">
        <v>86</v>
      </c>
      <c r="H12964" s="9" t="s">
        <v>22</v>
      </c>
      <c r="I12964" s="9" t="s">
        <v>26381</v>
      </c>
      <c r="J12964" s="10" t="str">
        <f>HYPERLINK("https://www.boe.es/gazeta/dias/1834/11/04/pdfs/GMD-1834-263.pdf#page=2","Abrir facsímil")</f>
        <v>Abrir facsímil</v>
      </c>
      <c r="K12964" s="10" t="s">
        <v>24</v>
      </c>
    </row>
    <row r="12965" spans="1:11" ht="54" customHeight="1">
      <c r="A12965" s="9" t="s">
        <v>26380</v>
      </c>
      <c r="B12965" s="9" t="s">
        <v>26380</v>
      </c>
      <c r="C12965" s="9" t="s">
        <v>66</v>
      </c>
      <c r="D12965" s="9" t="s">
        <v>67</v>
      </c>
      <c r="E12965" s="10" t="s">
        <v>1973</v>
      </c>
      <c r="F12965" s="9" t="s">
        <v>4832</v>
      </c>
      <c r="G12965" s="10" t="s">
        <v>21</v>
      </c>
      <c r="H12965" s="9" t="s">
        <v>22</v>
      </c>
      <c r="I12965" s="9" t="s">
        <v>26382</v>
      </c>
      <c r="J12965" s="10" t="str">
        <f>HYPERLINK("https://www.boe.es/gazeta/dias/1834/12/20/pdfs/GMD-1834-310.pdf#page=3","Abrir facsímil")</f>
        <v>Abrir facsímil</v>
      </c>
      <c r="K12965" s="10" t="s">
        <v>24</v>
      </c>
    </row>
    <row r="12966" spans="1:11" ht="54" customHeight="1">
      <c r="A12966" s="9" t="s">
        <v>26383</v>
      </c>
      <c r="B12966" s="9" t="s">
        <v>26384</v>
      </c>
      <c r="C12966" s="9" t="s">
        <v>90</v>
      </c>
      <c r="D12966" s="9" t="s">
        <v>18</v>
      </c>
      <c r="E12966" s="10" t="s">
        <v>73</v>
      </c>
      <c r="F12966" s="9" t="s">
        <v>1416</v>
      </c>
      <c r="G12966" s="10" t="s">
        <v>86</v>
      </c>
      <c r="H12966" s="9" t="s">
        <v>35</v>
      </c>
      <c r="I12966" s="9" t="s">
        <v>26385</v>
      </c>
      <c r="J12966" s="10" t="str">
        <f>HYPERLINK("https://www.boe.es/gazeta/dias/1834/11/04/pdfs/GMD-C-1834-263.pdf#page=2","Abrir facsímil")</f>
        <v>Abrir facsímil</v>
      </c>
      <c r="K12966" s="10" t="s">
        <v>37</v>
      </c>
    </row>
    <row r="12967" spans="1:11" ht="54" customHeight="1">
      <c r="A12967" s="9" t="s">
        <v>26386</v>
      </c>
      <c r="B12967" s="9" t="s">
        <v>26387</v>
      </c>
      <c r="C12967" s="9" t="s">
        <v>90</v>
      </c>
      <c r="D12967" s="9" t="s">
        <v>18</v>
      </c>
      <c r="E12967" s="10" t="s">
        <v>73</v>
      </c>
      <c r="F12967" s="9" t="s">
        <v>1416</v>
      </c>
      <c r="G12967" s="10" t="s">
        <v>86</v>
      </c>
      <c r="H12967" s="9" t="s">
        <v>22</v>
      </c>
      <c r="I12967" s="9" t="s">
        <v>26388</v>
      </c>
      <c r="J12967" s="10" t="str">
        <f>HYPERLINK("https://www.boe.es/gazeta/dias/1834/11/04/pdfs/GMD-C-1834-263.pdf#page=2","Abrir facsímil")</f>
        <v>Abrir facsímil</v>
      </c>
      <c r="K12967" s="10" t="s">
        <v>24</v>
      </c>
    </row>
    <row r="12968" spans="1:11" ht="54" customHeight="1">
      <c r="A12968" s="9" t="s">
        <v>26386</v>
      </c>
      <c r="B12968" s="9" t="s">
        <v>26387</v>
      </c>
      <c r="C12968" s="9" t="s">
        <v>90</v>
      </c>
      <c r="D12968" s="9" t="s">
        <v>18</v>
      </c>
      <c r="E12968" s="10" t="s">
        <v>647</v>
      </c>
      <c r="F12968" s="9" t="s">
        <v>648</v>
      </c>
      <c r="G12968" s="10" t="s">
        <v>34</v>
      </c>
      <c r="H12968" s="9" t="s">
        <v>22</v>
      </c>
      <c r="I12968" s="9" t="s">
        <v>26389</v>
      </c>
      <c r="J12968" s="10" t="str">
        <f>HYPERLINK("https://www.boe.es/gazeta/dias/1834/10/21/pdfs/GMD-C-1834-249.pdf#page=1","Abrir facsímil")</f>
        <v>Abrir facsímil</v>
      </c>
      <c r="K12968" s="10" t="s">
        <v>24</v>
      </c>
    </row>
    <row r="12969" spans="1:11" ht="54" customHeight="1">
      <c r="A12969" s="9" t="s">
        <v>26390</v>
      </c>
      <c r="B12969" s="9" t="s">
        <v>26391</v>
      </c>
      <c r="C12969" s="9" t="s">
        <v>17</v>
      </c>
      <c r="D12969" s="9" t="s">
        <v>18</v>
      </c>
      <c r="E12969" s="10" t="s">
        <v>153</v>
      </c>
      <c r="F12969" s="9" t="s">
        <v>154</v>
      </c>
      <c r="G12969" s="10" t="s">
        <v>34</v>
      </c>
      <c r="H12969" s="9" t="s">
        <v>35</v>
      </c>
      <c r="I12969" s="9" t="s">
        <v>26392</v>
      </c>
      <c r="J12969" s="10" t="str">
        <f>HYPERLINK("https://www.boe.es/gazeta/dias/1834/12/30/pdfs/GMD-C-1834-320.pdf#page=1","Abrir facsímil")</f>
        <v>Abrir facsímil</v>
      </c>
      <c r="K12969" s="10" t="s">
        <v>37</v>
      </c>
    </row>
    <row r="12970" spans="1:11" ht="54" customHeight="1">
      <c r="A12970" s="9" t="s">
        <v>26393</v>
      </c>
      <c r="B12970" s="9" t="s">
        <v>26394</v>
      </c>
      <c r="C12970" s="9" t="s">
        <v>66</v>
      </c>
      <c r="D12970" s="9" t="s">
        <v>67</v>
      </c>
      <c r="E12970" s="10" t="s">
        <v>3083</v>
      </c>
      <c r="F12970" s="9" t="s">
        <v>3084</v>
      </c>
      <c r="G12970" s="10" t="s">
        <v>21</v>
      </c>
      <c r="H12970" s="9" t="s">
        <v>22</v>
      </c>
      <c r="I12970" s="9" t="s">
        <v>26395</v>
      </c>
      <c r="J12970" s="10" t="str">
        <f>HYPERLINK("https://www.boe.es/gazeta/dias/1834/10/30/pdfs/GMD-1834-258.pdf#page=3","Abrir facsímil")</f>
        <v>Abrir facsímil</v>
      </c>
      <c r="K12970" s="10" t="s">
        <v>24</v>
      </c>
    </row>
    <row r="12971" spans="1:11" ht="54" customHeight="1">
      <c r="A12971" s="9" t="s">
        <v>26396</v>
      </c>
      <c r="B12971" s="9" t="s">
        <v>26397</v>
      </c>
      <c r="C12971" s="9" t="s">
        <v>17</v>
      </c>
      <c r="D12971" s="9" t="s">
        <v>18</v>
      </c>
      <c r="E12971" s="10" t="s">
        <v>465</v>
      </c>
      <c r="F12971" s="9" t="s">
        <v>466</v>
      </c>
      <c r="G12971" s="10" t="s">
        <v>176</v>
      </c>
      <c r="H12971" s="9" t="s">
        <v>35</v>
      </c>
      <c r="I12971" s="9" t="s">
        <v>26398</v>
      </c>
      <c r="J12971" s="10" t="str">
        <f>HYPERLINK("https://www.boe.es/gazeta/dias/1834/11/27/pdfs/GMD-C-1834-286.pdf#page=6","Abrir facsímil")</f>
        <v>Abrir facsímil</v>
      </c>
      <c r="K12971" s="10" t="s">
        <v>37</v>
      </c>
    </row>
    <row r="12972" spans="1:11" ht="54" customHeight="1">
      <c r="A12972" s="9" t="s">
        <v>26399</v>
      </c>
      <c r="B12972" s="9" t="s">
        <v>26399</v>
      </c>
      <c r="C12972" s="9" t="s">
        <v>122</v>
      </c>
      <c r="D12972" s="9" t="s">
        <v>101</v>
      </c>
      <c r="E12972" s="10" t="s">
        <v>294</v>
      </c>
      <c r="F12972" s="9" t="s">
        <v>295</v>
      </c>
      <c r="G12972" s="10" t="s">
        <v>34</v>
      </c>
      <c r="H12972" s="9" t="s">
        <v>22</v>
      </c>
      <c r="I12972" s="9" t="s">
        <v>26400</v>
      </c>
      <c r="J12972" s="10" t="str">
        <f>HYPERLINK("https://www.boe.es/gazeta/dias/1834/09/27/pdfs/GMD-1834-225.pdf#page=1","Abrir facsímil")</f>
        <v>Abrir facsímil</v>
      </c>
      <c r="K12972" s="10" t="s">
        <v>24</v>
      </c>
    </row>
    <row r="12973" spans="1:11" ht="54" customHeight="1">
      <c r="A12973" s="9" t="s">
        <v>26401</v>
      </c>
      <c r="B12973" s="9" t="s">
        <v>26402</v>
      </c>
      <c r="C12973" s="9" t="s">
        <v>66</v>
      </c>
      <c r="D12973" s="9" t="s">
        <v>18</v>
      </c>
      <c r="E12973" s="10" t="s">
        <v>928</v>
      </c>
      <c r="F12973" s="9" t="s">
        <v>3338</v>
      </c>
      <c r="G12973" s="10" t="s">
        <v>21</v>
      </c>
      <c r="H12973" s="9" t="s">
        <v>35</v>
      </c>
      <c r="I12973" s="9" t="s">
        <v>26403</v>
      </c>
      <c r="J12973" s="10" t="str">
        <f>HYPERLINK("https://www.boe.es/gazeta/dias/1834/11/15/pdfs/GMD-1834-274.pdf#page=3","Abrir facsímil")</f>
        <v>Abrir facsímil</v>
      </c>
      <c r="K12973" s="10" t="s">
        <v>37</v>
      </c>
    </row>
    <row r="12974" spans="1:11" ht="54" customHeight="1">
      <c r="A12974" s="9" t="s">
        <v>26404</v>
      </c>
      <c r="B12974" s="9" t="s">
        <v>26405</v>
      </c>
      <c r="C12974" s="9" t="s">
        <v>66</v>
      </c>
      <c r="D12974" s="9" t="s">
        <v>18</v>
      </c>
      <c r="E12974" s="10" t="s">
        <v>928</v>
      </c>
      <c r="F12974" s="9" t="s">
        <v>3338</v>
      </c>
      <c r="G12974" s="10" t="s">
        <v>21</v>
      </c>
      <c r="H12974" s="9" t="s">
        <v>22</v>
      </c>
      <c r="I12974" s="9" t="s">
        <v>26406</v>
      </c>
      <c r="J12974" s="10" t="str">
        <f>HYPERLINK("https://www.boe.es/gazeta/dias/1834/11/15/pdfs/GMD-1834-274.pdf#page=3","Abrir facsímil")</f>
        <v>Abrir facsímil</v>
      </c>
      <c r="K12974" s="10" t="s">
        <v>24</v>
      </c>
    </row>
    <row r="12975" spans="1:11" ht="54" customHeight="1">
      <c r="A12975" s="9" t="s">
        <v>26407</v>
      </c>
      <c r="B12975" s="9" t="s">
        <v>26408</v>
      </c>
      <c r="C12975" s="9" t="s">
        <v>122</v>
      </c>
      <c r="D12975" s="9" t="s">
        <v>55</v>
      </c>
      <c r="E12975" s="10" t="s">
        <v>394</v>
      </c>
      <c r="F12975" s="9" t="s">
        <v>395</v>
      </c>
      <c r="G12975" s="10" t="s">
        <v>21</v>
      </c>
      <c r="H12975" s="9" t="s">
        <v>22</v>
      </c>
      <c r="I12975" s="9" t="s">
        <v>26409</v>
      </c>
      <c r="J12975" s="10" t="str">
        <f>HYPERLINK("https://www.boe.es/gazeta/dias/1834/12/23/pdfs/GMD-1834-313.pdf#page=3","Abrir facsímil")</f>
        <v>Abrir facsímil</v>
      </c>
      <c r="K12975" s="10" t="s">
        <v>24</v>
      </c>
    </row>
    <row r="12976" spans="1:11" ht="54" customHeight="1">
      <c r="A12976" s="9" t="s">
        <v>26410</v>
      </c>
      <c r="B12976" s="9" t="s">
        <v>26410</v>
      </c>
      <c r="C12976" s="9" t="s">
        <v>66</v>
      </c>
      <c r="D12976" s="9" t="s">
        <v>67</v>
      </c>
      <c r="E12976" s="10" t="s">
        <v>1438</v>
      </c>
      <c r="F12976" s="9" t="s">
        <v>1439</v>
      </c>
      <c r="G12976" s="10" t="s">
        <v>21</v>
      </c>
      <c r="H12976" s="9" t="s">
        <v>22</v>
      </c>
      <c r="I12976" s="9" t="s">
        <v>26411</v>
      </c>
      <c r="J12976" s="10" t="str">
        <f>HYPERLINK("https://www.boe.es/gazeta/dias/1834/05/13/pdfs/GMD-1834-82.pdf#page=3","Abrir facsímil")</f>
        <v>Abrir facsímil</v>
      </c>
      <c r="K12976" s="10" t="s">
        <v>24</v>
      </c>
    </row>
    <row r="12977" spans="1:11" ht="54" customHeight="1">
      <c r="A12977" s="9" t="s">
        <v>26412</v>
      </c>
      <c r="B12977" s="9" t="s">
        <v>26412</v>
      </c>
      <c r="C12977" s="9" t="s">
        <v>122</v>
      </c>
      <c r="D12977" s="9" t="s">
        <v>18</v>
      </c>
      <c r="E12977" s="10" t="s">
        <v>838</v>
      </c>
      <c r="F12977" s="9" t="s">
        <v>839</v>
      </c>
      <c r="G12977" s="10" t="s">
        <v>86</v>
      </c>
      <c r="H12977" s="9" t="s">
        <v>22</v>
      </c>
      <c r="I12977" s="9" t="s">
        <v>26413</v>
      </c>
      <c r="J12977" s="10" t="str">
        <f>HYPERLINK("https://www.boe.es/gazeta/dias/1834/07/18/pdfs/GMD-1834-151.pdf#page=2","Abrir facsímil")</f>
        <v>Abrir facsímil</v>
      </c>
      <c r="K12977" s="10" t="s">
        <v>24</v>
      </c>
    </row>
    <row r="12978" spans="1:11" ht="54" customHeight="1">
      <c r="A12978" s="9" t="s">
        <v>26414</v>
      </c>
      <c r="B12978" s="9" t="s">
        <v>26414</v>
      </c>
      <c r="C12978" s="9" t="s">
        <v>17</v>
      </c>
      <c r="D12978" s="9" t="s">
        <v>18</v>
      </c>
      <c r="E12978" s="10" t="s">
        <v>633</v>
      </c>
      <c r="F12978" s="9" t="s">
        <v>634</v>
      </c>
      <c r="G12978" s="10" t="s">
        <v>34</v>
      </c>
      <c r="H12978" s="9" t="s">
        <v>22</v>
      </c>
      <c r="I12978" s="9" t="s">
        <v>26415</v>
      </c>
      <c r="J12978" s="10" t="str">
        <f>HYPERLINK("https://www.boe.es/gazeta/dias/1834/10/24/pdfs/GMD-1834-252.pdf#page=1","Abrir facsímil")</f>
        <v>Abrir facsímil</v>
      </c>
      <c r="K12978" s="10" t="s">
        <v>24</v>
      </c>
    </row>
    <row r="12979" spans="1:11" ht="54" customHeight="1">
      <c r="A12979" s="9" t="s">
        <v>26416</v>
      </c>
      <c r="B12979" s="9" t="s">
        <v>26416</v>
      </c>
      <c r="C12979" s="9" t="s">
        <v>17</v>
      </c>
      <c r="D12979" s="9" t="s">
        <v>55</v>
      </c>
      <c r="E12979" s="10" t="s">
        <v>610</v>
      </c>
      <c r="F12979" s="9" t="s">
        <v>1374</v>
      </c>
      <c r="G12979" s="10" t="s">
        <v>21</v>
      </c>
      <c r="H12979" s="9" t="s">
        <v>22</v>
      </c>
      <c r="I12979" s="9" t="s">
        <v>26417</v>
      </c>
      <c r="J12979" s="10" t="str">
        <f>HYPERLINK("https://www.boe.es/gazeta/dias/1834/12/21/pdfs/GMD-1834-311.pdf#page=3","Abrir facsímil")</f>
        <v>Abrir facsímil</v>
      </c>
      <c r="K12979" s="10" t="s">
        <v>24</v>
      </c>
    </row>
    <row r="12980" spans="1:11" ht="54" customHeight="1">
      <c r="A12980" s="9" t="s">
        <v>26418</v>
      </c>
      <c r="B12980" s="9" t="s">
        <v>26418</v>
      </c>
      <c r="C12980" s="9" t="s">
        <v>17</v>
      </c>
      <c r="D12980" s="9" t="s">
        <v>18</v>
      </c>
      <c r="E12980" s="10" t="s">
        <v>672</v>
      </c>
      <c r="F12980" s="9" t="s">
        <v>1055</v>
      </c>
      <c r="G12980" s="10" t="s">
        <v>75</v>
      </c>
      <c r="H12980" s="9" t="s">
        <v>22</v>
      </c>
      <c r="I12980" s="9" t="s">
        <v>26419</v>
      </c>
      <c r="J12980" s="10" t="str">
        <f>HYPERLINK("https://www.boe.es/gazeta/dias/1834/09/19/pdfs/GMD-C-1834-217.pdf#page=4","Abrir facsímil")</f>
        <v>Abrir facsímil</v>
      </c>
      <c r="K12980" s="10" t="s">
        <v>24</v>
      </c>
    </row>
    <row r="12981" spans="1:11" ht="54" customHeight="1">
      <c r="A12981" s="9" t="s">
        <v>26420</v>
      </c>
      <c r="B12981" s="9" t="s">
        <v>26421</v>
      </c>
      <c r="C12981" s="9" t="s">
        <v>17</v>
      </c>
      <c r="D12981" s="9" t="s">
        <v>18</v>
      </c>
      <c r="E12981" s="10" t="s">
        <v>627</v>
      </c>
      <c r="F12981" s="9" t="s">
        <v>628</v>
      </c>
      <c r="G12981" s="10" t="s">
        <v>86</v>
      </c>
      <c r="H12981" s="9" t="s">
        <v>22</v>
      </c>
      <c r="I12981" s="9" t="s">
        <v>26422</v>
      </c>
      <c r="J12981" s="10" t="str">
        <f>HYPERLINK("https://www.boe.es/gazeta/dias/1834/09/22/pdfs/GMD-C-1834-220.pdf#page=2","Abrir facsímil")</f>
        <v>Abrir facsímil</v>
      </c>
      <c r="K12981" s="10" t="s">
        <v>24</v>
      </c>
    </row>
    <row r="12982" spans="1:11" ht="54" customHeight="1">
      <c r="A12982" s="9" t="s">
        <v>26423</v>
      </c>
      <c r="B12982" s="9" t="s">
        <v>26424</v>
      </c>
      <c r="C12982" s="9" t="s">
        <v>66</v>
      </c>
      <c r="D12982" s="9" t="s">
        <v>18</v>
      </c>
      <c r="E12982" s="10" t="s">
        <v>1212</v>
      </c>
      <c r="F12982" s="9" t="s">
        <v>1213</v>
      </c>
      <c r="G12982" s="10" t="s">
        <v>86</v>
      </c>
      <c r="H12982" s="9" t="s">
        <v>22</v>
      </c>
      <c r="I12982" s="9" t="s">
        <v>26425</v>
      </c>
      <c r="J12982" s="10" t="str">
        <f>HYPERLINK("https://www.boe.es/gazeta/dias/1834/05/24/pdfs/GMD-1834-93.pdf#page=2","Abrir facsímil")</f>
        <v>Abrir facsímil</v>
      </c>
      <c r="K12982" s="10" t="s">
        <v>24</v>
      </c>
    </row>
    <row r="12983" spans="1:11" ht="54" customHeight="1">
      <c r="A12983" s="9" t="s">
        <v>26426</v>
      </c>
      <c r="B12983" s="9" t="s">
        <v>26427</v>
      </c>
      <c r="C12983" s="9" t="s">
        <v>17</v>
      </c>
      <c r="D12983" s="9" t="s">
        <v>18</v>
      </c>
      <c r="E12983" s="10" t="s">
        <v>468</v>
      </c>
      <c r="F12983" s="9" t="s">
        <v>469</v>
      </c>
      <c r="G12983" s="10" t="s">
        <v>1343</v>
      </c>
      <c r="H12983" s="9" t="s">
        <v>22</v>
      </c>
      <c r="I12983" s="9" t="s">
        <v>26428</v>
      </c>
      <c r="J12983" s="10" t="str">
        <f>HYPERLINK("https://www.boe.es/gazeta/dias/1834/12/28/pdfs/GMD-C-1834-318.pdf#page=9","Abrir facsímil")</f>
        <v>Abrir facsímil</v>
      </c>
      <c r="K12983" s="10" t="s">
        <v>24</v>
      </c>
    </row>
    <row r="12984" spans="1:11" ht="54" customHeight="1">
      <c r="A12984" s="9" t="s">
        <v>26429</v>
      </c>
      <c r="B12984" s="9" t="s">
        <v>26430</v>
      </c>
      <c r="C12984" s="9" t="s">
        <v>17</v>
      </c>
      <c r="D12984" s="9" t="s">
        <v>18</v>
      </c>
      <c r="E12984" s="10" t="s">
        <v>454</v>
      </c>
      <c r="F12984" s="9" t="s">
        <v>455</v>
      </c>
      <c r="G12984" s="10" t="s">
        <v>86</v>
      </c>
      <c r="H12984" s="9" t="s">
        <v>22</v>
      </c>
      <c r="I12984" s="9" t="s">
        <v>26431</v>
      </c>
      <c r="J12984" s="10" t="str">
        <f>HYPERLINK("https://www.boe.es/gazeta/dias/1834/10/16/pdfs/GMD-C-1834-244.pdf#page=2","Abrir facsímil")</f>
        <v>Abrir facsímil</v>
      </c>
      <c r="K12984" s="10" t="s">
        <v>24</v>
      </c>
    </row>
    <row r="12985" spans="1:11" ht="54" customHeight="1">
      <c r="A12985" s="9" t="s">
        <v>26432</v>
      </c>
      <c r="B12985" s="9" t="s">
        <v>26433</v>
      </c>
      <c r="C12985" s="9" t="s">
        <v>90</v>
      </c>
      <c r="D12985" s="9" t="s">
        <v>18</v>
      </c>
      <c r="E12985" s="10" t="s">
        <v>454</v>
      </c>
      <c r="F12985" s="9" t="s">
        <v>455</v>
      </c>
      <c r="G12985" s="10" t="s">
        <v>21</v>
      </c>
      <c r="H12985" s="9" t="s">
        <v>22</v>
      </c>
      <c r="I12985" s="9" t="s">
        <v>26434</v>
      </c>
      <c r="J12985" s="10" t="str">
        <f>HYPERLINK("https://www.boe.es/gazeta/dias/1834/10/16/pdfs/GMD-C-1834-244.pdf#page=3","Abrir facsímil")</f>
        <v>Abrir facsímil</v>
      </c>
      <c r="K12985" s="10" t="s">
        <v>24</v>
      </c>
    </row>
    <row r="12986" spans="1:11" ht="54" customHeight="1">
      <c r="A12986" s="9" t="s">
        <v>26435</v>
      </c>
      <c r="B12986" s="9" t="s">
        <v>26436</v>
      </c>
      <c r="C12986" s="9" t="s">
        <v>17</v>
      </c>
      <c r="D12986" s="9" t="s">
        <v>18</v>
      </c>
      <c r="E12986" s="10" t="s">
        <v>251</v>
      </c>
      <c r="F12986" s="9" t="s">
        <v>252</v>
      </c>
      <c r="G12986" s="10" t="s">
        <v>21</v>
      </c>
      <c r="H12986" s="9" t="s">
        <v>22</v>
      </c>
      <c r="I12986" s="9" t="s">
        <v>26437</v>
      </c>
      <c r="J12986" s="10" t="str">
        <f>HYPERLINK("https://www.boe.es/gazeta/dias/1834/09/26/pdfs/GMD-C-1834-224.pdf#page=3","Abrir facsímil")</f>
        <v>Abrir facsímil</v>
      </c>
      <c r="K12986" s="10" t="s">
        <v>24</v>
      </c>
    </row>
    <row r="12987" spans="1:11" ht="54" customHeight="1">
      <c r="A12987" s="9" t="s">
        <v>26435</v>
      </c>
      <c r="B12987" s="9" t="s">
        <v>26436</v>
      </c>
      <c r="C12987" s="9" t="s">
        <v>17</v>
      </c>
      <c r="D12987" s="9" t="s">
        <v>18</v>
      </c>
      <c r="E12987" s="10" t="s">
        <v>777</v>
      </c>
      <c r="F12987" s="9" t="s">
        <v>2535</v>
      </c>
      <c r="G12987" s="10" t="s">
        <v>34</v>
      </c>
      <c r="H12987" s="9" t="s">
        <v>22</v>
      </c>
      <c r="I12987" s="9" t="s">
        <v>26438</v>
      </c>
      <c r="J12987" s="10" t="str">
        <f>HYPERLINK("https://www.boe.es/gazeta/dias/1834/10/29/pdfs/GMD-C-1834-257.pdf#page=1","Abrir facsímil")</f>
        <v>Abrir facsímil</v>
      </c>
      <c r="K12987" s="10" t="s">
        <v>24</v>
      </c>
    </row>
    <row r="12988" spans="1:11" ht="54" customHeight="1">
      <c r="A12988" s="9" t="s">
        <v>26439</v>
      </c>
      <c r="B12988" s="9" t="s">
        <v>26440</v>
      </c>
      <c r="C12988" s="9" t="s">
        <v>66</v>
      </c>
      <c r="D12988" s="9" t="s">
        <v>67</v>
      </c>
      <c r="E12988" s="10" t="s">
        <v>153</v>
      </c>
      <c r="F12988" s="9" t="s">
        <v>154</v>
      </c>
      <c r="G12988" s="10" t="s">
        <v>86</v>
      </c>
      <c r="H12988" s="9" t="s">
        <v>22</v>
      </c>
      <c r="I12988" s="9" t="s">
        <v>26441</v>
      </c>
      <c r="J12988" s="10" t="str">
        <f>HYPERLINK("https://www.boe.es/gazeta/dias/1834/12/30/pdfs/GMD-C-1834-320.pdf#page=2","Abrir facsímil")</f>
        <v>Abrir facsímil</v>
      </c>
      <c r="K12988" s="10" t="s">
        <v>24</v>
      </c>
    </row>
    <row r="12989" spans="1:11" ht="54" customHeight="1">
      <c r="A12989" s="9" t="s">
        <v>26442</v>
      </c>
      <c r="B12989" s="9" t="s">
        <v>26443</v>
      </c>
      <c r="C12989" s="9" t="s">
        <v>17</v>
      </c>
      <c r="D12989" s="9" t="s">
        <v>18</v>
      </c>
      <c r="E12989" s="10" t="s">
        <v>433</v>
      </c>
      <c r="F12989" s="9" t="s">
        <v>434</v>
      </c>
      <c r="G12989" s="10" t="s">
        <v>86</v>
      </c>
      <c r="H12989" s="9" t="s">
        <v>22</v>
      </c>
      <c r="I12989" s="9" t="s">
        <v>26444</v>
      </c>
      <c r="J12989" s="10" t="str">
        <f>HYPERLINK("https://www.boe.es/gazeta/dias/1834/10/07/pdfs/GMD-C-1834-235.pdf#page=2","Abrir facsímil")</f>
        <v>Abrir facsímil</v>
      </c>
      <c r="K12989" s="10" t="s">
        <v>24</v>
      </c>
    </row>
    <row r="12990" spans="1:11" ht="54" customHeight="1">
      <c r="A12990" s="9" t="s">
        <v>26445</v>
      </c>
      <c r="B12990" s="9" t="s">
        <v>26446</v>
      </c>
      <c r="C12990" s="9" t="s">
        <v>17</v>
      </c>
      <c r="D12990" s="9" t="s">
        <v>18</v>
      </c>
      <c r="E12990" s="10" t="s">
        <v>696</v>
      </c>
      <c r="F12990" s="9" t="s">
        <v>854</v>
      </c>
      <c r="G12990" s="10" t="s">
        <v>75</v>
      </c>
      <c r="H12990" s="9" t="s">
        <v>22</v>
      </c>
      <c r="I12990" s="9" t="s">
        <v>26447</v>
      </c>
      <c r="J12990" s="10" t="str">
        <f>HYPERLINK("https://www.boe.es/gazeta/dias/1834/12/06/pdfs/GMD-1834-295.pdf#page=4","Abrir facsímil")</f>
        <v>Abrir facsímil</v>
      </c>
      <c r="K12990" s="10" t="s">
        <v>24</v>
      </c>
    </row>
    <row r="12991" spans="1:11" ht="54" customHeight="1">
      <c r="A12991" s="9" t="s">
        <v>26448</v>
      </c>
      <c r="B12991" s="9" t="s">
        <v>26449</v>
      </c>
      <c r="C12991" s="9" t="s">
        <v>66</v>
      </c>
      <c r="D12991" s="9" t="s">
        <v>18</v>
      </c>
      <c r="E12991" s="10" t="s">
        <v>1212</v>
      </c>
      <c r="F12991" s="9" t="s">
        <v>1213</v>
      </c>
      <c r="G12991" s="10" t="s">
        <v>86</v>
      </c>
      <c r="H12991" s="9" t="s">
        <v>35</v>
      </c>
      <c r="I12991" s="9" t="s">
        <v>26450</v>
      </c>
      <c r="J12991" s="10" t="str">
        <f>HYPERLINK("https://www.boe.es/gazeta/dias/1834/05/24/pdfs/GMD-1834-93.pdf#page=2","Abrir facsímil")</f>
        <v>Abrir facsímil</v>
      </c>
      <c r="K12991" s="10" t="s">
        <v>37</v>
      </c>
    </row>
    <row r="12992" spans="1:11" ht="54" customHeight="1">
      <c r="A12992" s="9" t="s">
        <v>26451</v>
      </c>
      <c r="B12992" s="9" t="s">
        <v>26452</v>
      </c>
      <c r="C12992" s="9" t="s">
        <v>46</v>
      </c>
      <c r="D12992" s="9" t="s">
        <v>18</v>
      </c>
      <c r="E12992" s="10" t="s">
        <v>762</v>
      </c>
      <c r="F12992" s="9" t="s">
        <v>2227</v>
      </c>
      <c r="G12992" s="10" t="s">
        <v>75</v>
      </c>
      <c r="H12992" s="9" t="s">
        <v>22</v>
      </c>
      <c r="I12992" s="9" t="s">
        <v>26453</v>
      </c>
      <c r="J12992" s="10" t="str">
        <f>HYPERLINK("https://www.boe.es/gazeta/dias/1834/11/07/pdfs/GMD-C-1834-266.pdf#page=4","Abrir facsímil")</f>
        <v>Abrir facsímil</v>
      </c>
      <c r="K12992" s="10" t="s">
        <v>24</v>
      </c>
    </row>
    <row r="12993" spans="1:11" ht="54" customHeight="1">
      <c r="A12993" s="9" t="s">
        <v>26454</v>
      </c>
      <c r="B12993" s="9" t="s">
        <v>26455</v>
      </c>
      <c r="C12993" s="9" t="s">
        <v>46</v>
      </c>
      <c r="D12993" s="9" t="s">
        <v>101</v>
      </c>
      <c r="E12993" s="10" t="s">
        <v>26</v>
      </c>
      <c r="F12993" s="9" t="s">
        <v>27</v>
      </c>
      <c r="G12993" s="10" t="s">
        <v>176</v>
      </c>
      <c r="H12993" s="9" t="s">
        <v>22</v>
      </c>
      <c r="I12993" s="9" t="s">
        <v>26456</v>
      </c>
      <c r="J12993" s="10" t="str">
        <f>HYPERLINK("https://www.boe.es/gazeta/dias/1834/10/19/pdfs/GMD-C-1834-247.pdf#page=6","Abrir facsímil")</f>
        <v>Abrir facsímil</v>
      </c>
      <c r="K12993" s="10" t="s">
        <v>24</v>
      </c>
    </row>
    <row r="12994" spans="1:11" ht="54" customHeight="1">
      <c r="A12994" s="9" t="s">
        <v>26457</v>
      </c>
      <c r="B12994" s="9" t="s">
        <v>26458</v>
      </c>
      <c r="C12994" s="9" t="s">
        <v>90</v>
      </c>
      <c r="D12994" s="9" t="s">
        <v>18</v>
      </c>
      <c r="E12994" s="10" t="s">
        <v>2087</v>
      </c>
      <c r="F12994" s="9" t="s">
        <v>2267</v>
      </c>
      <c r="G12994" s="10" t="s">
        <v>75</v>
      </c>
      <c r="H12994" s="9" t="s">
        <v>22</v>
      </c>
      <c r="I12994" s="9" t="s">
        <v>26459</v>
      </c>
      <c r="J12994" s="10" t="str">
        <f>HYPERLINK("https://www.boe.es/gazeta/dias/1834/12/14/pdfs/GMD-C-1834-303.pdf#page=4","Abrir facsímil")</f>
        <v>Abrir facsímil</v>
      </c>
      <c r="K12994" s="10" t="s">
        <v>24</v>
      </c>
    </row>
    <row r="12995" spans="1:11" ht="54" customHeight="1">
      <c r="A12995" s="9" t="s">
        <v>26457</v>
      </c>
      <c r="B12995" s="9" t="s">
        <v>26458</v>
      </c>
      <c r="C12995" s="9" t="s">
        <v>122</v>
      </c>
      <c r="D12995" s="9" t="s">
        <v>18</v>
      </c>
      <c r="E12995" s="10" t="s">
        <v>3952</v>
      </c>
      <c r="F12995" s="9" t="s">
        <v>3953</v>
      </c>
      <c r="G12995" s="10" t="s">
        <v>86</v>
      </c>
      <c r="H12995" s="9" t="s">
        <v>22</v>
      </c>
      <c r="I12995" s="9" t="s">
        <v>26460</v>
      </c>
      <c r="J12995" s="10" t="str">
        <f>HYPERLINK("https://www.boe.es/gazeta/dias/1834/02/22/pdfs/GMD-1834-24.pdf#page=2","Abrir facsímil")</f>
        <v>Abrir facsímil</v>
      </c>
      <c r="K12995" s="10" t="s">
        <v>24</v>
      </c>
    </row>
    <row r="12996" spans="1:11" ht="54" customHeight="1">
      <c r="A12996" s="9" t="s">
        <v>26461</v>
      </c>
      <c r="B12996" s="9" t="s">
        <v>26462</v>
      </c>
      <c r="C12996" s="9" t="s">
        <v>17</v>
      </c>
      <c r="D12996" s="9" t="s">
        <v>18</v>
      </c>
      <c r="E12996" s="10" t="s">
        <v>3248</v>
      </c>
      <c r="F12996" s="9" t="s">
        <v>4798</v>
      </c>
      <c r="G12996" s="10" t="s">
        <v>86</v>
      </c>
      <c r="H12996" s="9" t="s">
        <v>22</v>
      </c>
      <c r="I12996" s="9" t="s">
        <v>26463</v>
      </c>
      <c r="J12996" s="10" t="str">
        <f>HYPERLINK("https://www.boe.es/gazeta/dias/1834/09/20/pdfs/GMD-C-1834-218.pdf#page=2","Abrir facsímil")</f>
        <v>Abrir facsímil</v>
      </c>
      <c r="K12996" s="10" t="s">
        <v>24</v>
      </c>
    </row>
    <row r="12997" spans="1:11" ht="54" customHeight="1">
      <c r="A12997" s="9" t="s">
        <v>26464</v>
      </c>
      <c r="B12997" s="9" t="s">
        <v>26465</v>
      </c>
      <c r="C12997" s="9" t="s">
        <v>17</v>
      </c>
      <c r="D12997" s="9" t="s">
        <v>18</v>
      </c>
      <c r="E12997" s="10" t="s">
        <v>128</v>
      </c>
      <c r="F12997" s="9" t="s">
        <v>129</v>
      </c>
      <c r="G12997" s="10" t="s">
        <v>75</v>
      </c>
      <c r="H12997" s="9" t="s">
        <v>22</v>
      </c>
      <c r="I12997" s="9" t="s">
        <v>26466</v>
      </c>
      <c r="J12997" s="10" t="str">
        <f>HYPERLINK("https://www.boe.es/gazeta/dias/1834/12/24/pdfs/GMD-C-1834-314.pdf#page=4","Abrir facsímil")</f>
        <v>Abrir facsímil</v>
      </c>
      <c r="K12997" s="10" t="s">
        <v>24</v>
      </c>
    </row>
    <row r="12998" spans="1:11" ht="54" customHeight="1">
      <c r="A12998" s="9" t="s">
        <v>26467</v>
      </c>
      <c r="B12998" s="9" t="s">
        <v>26468</v>
      </c>
      <c r="C12998" s="9" t="s">
        <v>17</v>
      </c>
      <c r="D12998" s="9" t="s">
        <v>55</v>
      </c>
      <c r="E12998" s="10" t="s">
        <v>47</v>
      </c>
      <c r="F12998" s="9" t="s">
        <v>48</v>
      </c>
      <c r="G12998" s="10" t="s">
        <v>21</v>
      </c>
      <c r="H12998" s="9" t="s">
        <v>22</v>
      </c>
      <c r="I12998" s="9" t="s">
        <v>26469</v>
      </c>
      <c r="J12998" s="10" t="str">
        <f>HYPERLINK("https://www.boe.es/gazeta/dias/1834/09/05/pdfs/GMD-C-1834-203.pdf#page=3","Abrir facsímil")</f>
        <v>Abrir facsímil</v>
      </c>
      <c r="K12998" s="10" t="s">
        <v>24</v>
      </c>
    </row>
    <row r="12999" spans="1:11" ht="54" customHeight="1">
      <c r="A12999" s="9" t="s">
        <v>26467</v>
      </c>
      <c r="B12999" s="9" t="s">
        <v>26468</v>
      </c>
      <c r="C12999" s="9" t="s">
        <v>90</v>
      </c>
      <c r="D12999" s="9" t="s">
        <v>18</v>
      </c>
      <c r="E12999" s="10" t="s">
        <v>793</v>
      </c>
      <c r="F12999" s="9" t="s">
        <v>1895</v>
      </c>
      <c r="G12999" s="10" t="s">
        <v>86</v>
      </c>
      <c r="H12999" s="9" t="s">
        <v>22</v>
      </c>
      <c r="I12999" s="9" t="s">
        <v>26470</v>
      </c>
      <c r="J12999" s="10" t="str">
        <f>HYPERLINK("https://www.boe.es/gazeta/dias/1834/10/08/pdfs/GMD-C-1834-236.pdf#page=2","Abrir facsímil")</f>
        <v>Abrir facsímil</v>
      </c>
      <c r="K12999" s="10" t="s">
        <v>24</v>
      </c>
    </row>
    <row r="13000" spans="1:11" ht="54" customHeight="1">
      <c r="A13000" s="9" t="s">
        <v>26471</v>
      </c>
      <c r="B13000" s="9" t="s">
        <v>26472</v>
      </c>
      <c r="C13000" s="9" t="s">
        <v>17</v>
      </c>
      <c r="D13000" s="9" t="s">
        <v>18</v>
      </c>
      <c r="E13000" s="10" t="s">
        <v>158</v>
      </c>
      <c r="F13000" s="9" t="s">
        <v>581</v>
      </c>
      <c r="G13000" s="10" t="s">
        <v>34</v>
      </c>
      <c r="H13000" s="9" t="s">
        <v>22</v>
      </c>
      <c r="I13000" s="9" t="s">
        <v>26473</v>
      </c>
      <c r="J13000" s="10" t="str">
        <f>HYPERLINK("https://www.boe.es/gazeta/dias/1834/10/01/pdfs/GMD-C-1834-229.pdf#page=1","Abrir facsímil")</f>
        <v>Abrir facsímil</v>
      </c>
      <c r="K13000" s="10" t="s">
        <v>24</v>
      </c>
    </row>
    <row r="13001" spans="1:11" ht="54" customHeight="1">
      <c r="A13001" s="9" t="s">
        <v>26474</v>
      </c>
      <c r="B13001" s="9" t="s">
        <v>26475</v>
      </c>
      <c r="C13001" s="9" t="s">
        <v>17</v>
      </c>
      <c r="D13001" s="9" t="s">
        <v>18</v>
      </c>
      <c r="E13001" s="10" t="s">
        <v>642</v>
      </c>
      <c r="F13001" s="9" t="s">
        <v>643</v>
      </c>
      <c r="G13001" s="10" t="s">
        <v>176</v>
      </c>
      <c r="H13001" s="9" t="s">
        <v>22</v>
      </c>
      <c r="I13001" s="9" t="s">
        <v>26476</v>
      </c>
      <c r="J13001" s="10" t="str">
        <f>HYPERLINK("https://www.boe.es/gazeta/dias/1834/11/12/pdfs/GMD-C-1834-271.pdf#page=6","Abrir facsímil")</f>
        <v>Abrir facsímil</v>
      </c>
      <c r="K13001" s="10" t="s">
        <v>24</v>
      </c>
    </row>
    <row r="13002" spans="1:11" ht="54" customHeight="1">
      <c r="A13002" s="9" t="s">
        <v>26477</v>
      </c>
      <c r="B13002" s="9" t="s">
        <v>26478</v>
      </c>
      <c r="C13002" s="9" t="s">
        <v>90</v>
      </c>
      <c r="D13002" s="9" t="s">
        <v>18</v>
      </c>
      <c r="E13002" s="10" t="s">
        <v>793</v>
      </c>
      <c r="F13002" s="9" t="s">
        <v>1895</v>
      </c>
      <c r="G13002" s="10" t="s">
        <v>86</v>
      </c>
      <c r="H13002" s="9" t="s">
        <v>22</v>
      </c>
      <c r="I13002" s="9" t="s">
        <v>26479</v>
      </c>
      <c r="J13002" s="10" t="str">
        <f>HYPERLINK("https://www.boe.es/gazeta/dias/1834/10/08/pdfs/GMD-C-1834-236.pdf#page=2","Abrir facsímil")</f>
        <v>Abrir facsímil</v>
      </c>
      <c r="K13002" s="10" t="s">
        <v>24</v>
      </c>
    </row>
    <row r="13003" spans="1:11" ht="54" customHeight="1">
      <c r="A13003" s="9" t="s">
        <v>26480</v>
      </c>
      <c r="B13003" s="9" t="s">
        <v>26481</v>
      </c>
      <c r="C13003" s="9" t="s">
        <v>17</v>
      </c>
      <c r="D13003" s="9" t="s">
        <v>18</v>
      </c>
      <c r="E13003" s="10" t="s">
        <v>1008</v>
      </c>
      <c r="F13003" s="9" t="s">
        <v>1009</v>
      </c>
      <c r="G13003" s="10" t="s">
        <v>34</v>
      </c>
      <c r="H13003" s="9" t="s">
        <v>22</v>
      </c>
      <c r="I13003" s="9" t="s">
        <v>26482</v>
      </c>
      <c r="J13003" s="10" t="str">
        <f>HYPERLINK("https://www.boe.es/gazeta/dias/1834/11/08/pdfs/GMD-C-1834-267.pdf#page=1","Abrir facsímil")</f>
        <v>Abrir facsímil</v>
      </c>
      <c r="K13003" s="10" t="s">
        <v>24</v>
      </c>
    </row>
    <row r="13004" spans="1:11" ht="54" customHeight="1">
      <c r="A13004" s="9" t="s">
        <v>26483</v>
      </c>
      <c r="B13004" s="9" t="s">
        <v>26484</v>
      </c>
      <c r="C13004" s="9" t="s">
        <v>17</v>
      </c>
      <c r="D13004" s="9" t="s">
        <v>18</v>
      </c>
      <c r="E13004" s="10" t="s">
        <v>268</v>
      </c>
      <c r="F13004" s="9" t="s">
        <v>269</v>
      </c>
      <c r="G13004" s="10" t="s">
        <v>75</v>
      </c>
      <c r="H13004" s="9" t="s">
        <v>22</v>
      </c>
      <c r="I13004" s="9" t="s">
        <v>26485</v>
      </c>
      <c r="J13004" s="10" t="str">
        <f>HYPERLINK("https://www.boe.es/gazeta/dias/1834/12/19/pdfs/GMD-C-1834-309.pdf#page=4","Abrir facsímil")</f>
        <v>Abrir facsímil</v>
      </c>
      <c r="K13004" s="10" t="s">
        <v>24</v>
      </c>
    </row>
    <row r="13005" spans="1:11" ht="54" customHeight="1">
      <c r="A13005" s="9" t="s">
        <v>26486</v>
      </c>
      <c r="B13005" s="9" t="s">
        <v>26487</v>
      </c>
      <c r="C13005" s="9" t="s">
        <v>17</v>
      </c>
      <c r="D13005" s="9" t="s">
        <v>101</v>
      </c>
      <c r="E13005" s="10" t="s">
        <v>552</v>
      </c>
      <c r="F13005" s="9" t="s">
        <v>553</v>
      </c>
      <c r="G13005" s="10" t="s">
        <v>34</v>
      </c>
      <c r="H13005" s="9" t="s">
        <v>22</v>
      </c>
      <c r="I13005" s="9" t="s">
        <v>26488</v>
      </c>
      <c r="J13005" s="10" t="str">
        <f>HYPERLINK("https://www.boe.es/gazeta/dias/1834/07/30/pdfs/GMD-1834-163.pdf#page=1","Abrir facsímil")</f>
        <v>Abrir facsímil</v>
      </c>
      <c r="K13005" s="10" t="s">
        <v>24</v>
      </c>
    </row>
    <row r="13006" spans="1:11" ht="54" customHeight="1">
      <c r="A13006" s="9" t="s">
        <v>26489</v>
      </c>
      <c r="B13006" s="9" t="s">
        <v>26490</v>
      </c>
      <c r="C13006" s="9" t="s">
        <v>17</v>
      </c>
      <c r="D13006" s="9" t="s">
        <v>55</v>
      </c>
      <c r="E13006" s="10" t="s">
        <v>647</v>
      </c>
      <c r="F13006" s="9" t="s">
        <v>648</v>
      </c>
      <c r="G13006" s="10" t="s">
        <v>75</v>
      </c>
      <c r="H13006" s="9" t="s">
        <v>22</v>
      </c>
      <c r="I13006" s="9" t="s">
        <v>26491</v>
      </c>
      <c r="J13006" s="10" t="str">
        <f>HYPERLINK("https://www.boe.es/gazeta/dias/1834/10/21/pdfs/GMD-C-1834-249.pdf#page=4","Abrir facsímil")</f>
        <v>Abrir facsímil</v>
      </c>
      <c r="K13006" s="10" t="s">
        <v>24</v>
      </c>
    </row>
    <row r="13007" spans="1:11" ht="54" customHeight="1">
      <c r="A13007" s="9" t="s">
        <v>26489</v>
      </c>
      <c r="B13007" s="9" t="s">
        <v>26490</v>
      </c>
      <c r="C13007" s="9" t="s">
        <v>17</v>
      </c>
      <c r="D13007" s="9" t="s">
        <v>18</v>
      </c>
      <c r="E13007" s="10" t="s">
        <v>251</v>
      </c>
      <c r="F13007" s="9" t="s">
        <v>252</v>
      </c>
      <c r="G13007" s="10" t="s">
        <v>34</v>
      </c>
      <c r="H13007" s="9" t="s">
        <v>22</v>
      </c>
      <c r="I13007" s="9" t="s">
        <v>26492</v>
      </c>
      <c r="J13007" s="10" t="str">
        <f>HYPERLINK("https://www.boe.es/gazeta/dias/1834/09/26/pdfs/GMD-C-1834-224.pdf#page=1","Abrir facsímil")</f>
        <v>Abrir facsímil</v>
      </c>
      <c r="K13007" s="10" t="s">
        <v>24</v>
      </c>
    </row>
    <row r="13008" spans="1:11" ht="54" customHeight="1">
      <c r="A13008" s="9" t="s">
        <v>26493</v>
      </c>
      <c r="B13008" s="9" t="s">
        <v>26494</v>
      </c>
      <c r="C13008" s="9" t="s">
        <v>17</v>
      </c>
      <c r="D13008" s="9" t="s">
        <v>18</v>
      </c>
      <c r="E13008" s="10" t="s">
        <v>268</v>
      </c>
      <c r="F13008" s="9" t="s">
        <v>269</v>
      </c>
      <c r="G13008" s="10" t="s">
        <v>75</v>
      </c>
      <c r="H13008" s="9" t="s">
        <v>22</v>
      </c>
      <c r="I13008" s="9" t="s">
        <v>26495</v>
      </c>
      <c r="J13008" s="10" t="str">
        <f>HYPERLINK("https://www.boe.es/gazeta/dias/1834/12/19/pdfs/GMD-C-1834-309.pdf#page=4","Abrir facsímil")</f>
        <v>Abrir facsímil</v>
      </c>
      <c r="K13008" s="10" t="s">
        <v>24</v>
      </c>
    </row>
    <row r="13009" spans="1:11" ht="54" customHeight="1">
      <c r="A13009" s="9" t="s">
        <v>26496</v>
      </c>
      <c r="B13009" s="9" t="s">
        <v>26497</v>
      </c>
      <c r="C13009" s="9" t="s">
        <v>17</v>
      </c>
      <c r="D13009" s="9" t="s">
        <v>18</v>
      </c>
      <c r="E13009" s="10" t="s">
        <v>294</v>
      </c>
      <c r="F13009" s="9" t="s">
        <v>959</v>
      </c>
      <c r="G13009" s="10" t="s">
        <v>34</v>
      </c>
      <c r="H13009" s="9" t="s">
        <v>22</v>
      </c>
      <c r="I13009" s="9" t="s">
        <v>26498</v>
      </c>
      <c r="J13009" s="10" t="str">
        <f>HYPERLINK("https://www.boe.es/gazeta/dias/1834/09/27/pdfs/GMD-C-1834-225.pdf#page=1","Abrir facsímil")</f>
        <v>Abrir facsímil</v>
      </c>
      <c r="K13009" s="10" t="s">
        <v>24</v>
      </c>
    </row>
    <row r="13010" spans="1:11" ht="54" customHeight="1">
      <c r="A13010" s="9" t="s">
        <v>26499</v>
      </c>
      <c r="B13010" s="9" t="s">
        <v>26500</v>
      </c>
      <c r="C13010" s="9" t="s">
        <v>46</v>
      </c>
      <c r="D13010" s="9" t="s">
        <v>101</v>
      </c>
      <c r="E13010" s="10" t="s">
        <v>1981</v>
      </c>
      <c r="F13010" s="9" t="s">
        <v>2471</v>
      </c>
      <c r="G13010" s="10" t="s">
        <v>75</v>
      </c>
      <c r="H13010" s="9" t="s">
        <v>22</v>
      </c>
      <c r="I13010" s="9" t="s">
        <v>26501</v>
      </c>
      <c r="J13010" s="10" t="str">
        <f>HYPERLINK("https://www.boe.es/gazeta/dias/1834/12/13/pdfs/GMD-C-1834-302.pdf#page=4","Abrir facsímil")</f>
        <v>Abrir facsímil</v>
      </c>
      <c r="K13010" s="10" t="s">
        <v>24</v>
      </c>
    </row>
    <row r="13011" spans="1:11" ht="54" customHeight="1">
      <c r="A13011" s="9" t="s">
        <v>26502</v>
      </c>
      <c r="B13011" s="9" t="s">
        <v>26503</v>
      </c>
      <c r="C13011" s="9" t="s">
        <v>17</v>
      </c>
      <c r="D13011" s="9" t="s">
        <v>18</v>
      </c>
      <c r="E13011" s="10" t="s">
        <v>1008</v>
      </c>
      <c r="F13011" s="9" t="s">
        <v>1009</v>
      </c>
      <c r="G13011" s="10" t="s">
        <v>34</v>
      </c>
      <c r="H13011" s="9" t="s">
        <v>22</v>
      </c>
      <c r="I13011" s="9" t="s">
        <v>26504</v>
      </c>
      <c r="J13011" s="10" t="str">
        <f>HYPERLINK("https://www.boe.es/gazeta/dias/1834/11/08/pdfs/GMD-C-1834-267.pdf#page=1","Abrir facsímil")</f>
        <v>Abrir facsímil</v>
      </c>
      <c r="K13011" s="10" t="s">
        <v>24</v>
      </c>
    </row>
    <row r="13012" spans="1:11" ht="54" customHeight="1">
      <c r="A13012" s="9" t="s">
        <v>26505</v>
      </c>
      <c r="B13012" s="9" t="s">
        <v>26506</v>
      </c>
      <c r="C13012" s="9" t="s">
        <v>17</v>
      </c>
      <c r="D13012" s="9" t="s">
        <v>18</v>
      </c>
      <c r="E13012" s="10" t="s">
        <v>777</v>
      </c>
      <c r="F13012" s="9" t="s">
        <v>2535</v>
      </c>
      <c r="G13012" s="10" t="s">
        <v>21</v>
      </c>
      <c r="H13012" s="9" t="s">
        <v>22</v>
      </c>
      <c r="I13012" s="9" t="s">
        <v>26507</v>
      </c>
      <c r="J13012" s="10" t="str">
        <f>HYPERLINK("https://www.boe.es/gazeta/dias/1834/10/29/pdfs/GMD-C-1834-257.pdf#page=3","Abrir facsímil")</f>
        <v>Abrir facsímil</v>
      </c>
      <c r="K13012" s="10" t="s">
        <v>24</v>
      </c>
    </row>
    <row r="13013" spans="1:11" ht="54" customHeight="1">
      <c r="A13013" s="9" t="s">
        <v>26508</v>
      </c>
      <c r="B13013" s="9" t="s">
        <v>26508</v>
      </c>
      <c r="C13013" s="9" t="s">
        <v>857</v>
      </c>
      <c r="D13013" s="9" t="s">
        <v>18</v>
      </c>
      <c r="E13013" s="10" t="s">
        <v>251</v>
      </c>
      <c r="F13013" s="9" t="s">
        <v>1278</v>
      </c>
      <c r="G13013" s="10" t="s">
        <v>75</v>
      </c>
      <c r="H13013" s="9" t="s">
        <v>22</v>
      </c>
      <c r="I13013" s="9" t="s">
        <v>26509</v>
      </c>
      <c r="J13013" s="10" t="str">
        <f>HYPERLINK("https://www.boe.es/gazeta/dias/1834/09/26/pdfs/GMD-1834-224.pdf#page=4","Abrir facsímil")</f>
        <v>Abrir facsímil</v>
      </c>
      <c r="K13013" s="10" t="s">
        <v>24</v>
      </c>
    </row>
    <row r="13014" spans="1:11" ht="54" customHeight="1">
      <c r="A13014" s="9" t="s">
        <v>26510</v>
      </c>
      <c r="B13014" s="9" t="s">
        <v>26511</v>
      </c>
      <c r="C13014" s="9" t="s">
        <v>17</v>
      </c>
      <c r="D13014" s="9" t="s">
        <v>18</v>
      </c>
      <c r="E13014" s="10" t="s">
        <v>183</v>
      </c>
      <c r="F13014" s="9" t="s">
        <v>184</v>
      </c>
      <c r="G13014" s="10" t="s">
        <v>21</v>
      </c>
      <c r="H13014" s="9" t="s">
        <v>22</v>
      </c>
      <c r="I13014" s="9" t="s">
        <v>26512</v>
      </c>
      <c r="J13014" s="10" t="str">
        <f>HYPERLINK("https://www.boe.es/gazeta/dias/1834/03/18/pdfs/GMD-1834-34.pdf#page=3","Abrir facsímil")</f>
        <v>Abrir facsímil</v>
      </c>
      <c r="K13014" s="10" t="s">
        <v>24</v>
      </c>
    </row>
    <row r="13015" spans="1:11" ht="54" customHeight="1">
      <c r="A13015" s="9" t="s">
        <v>26513</v>
      </c>
      <c r="B13015" s="9" t="s">
        <v>26514</v>
      </c>
      <c r="C13015" s="9" t="s">
        <v>17</v>
      </c>
      <c r="D13015" s="9" t="s">
        <v>18</v>
      </c>
      <c r="E13015" s="10" t="s">
        <v>183</v>
      </c>
      <c r="F13015" s="9" t="s">
        <v>184</v>
      </c>
      <c r="G13015" s="10" t="s">
        <v>21</v>
      </c>
      <c r="H13015" s="9" t="s">
        <v>35</v>
      </c>
      <c r="I13015" s="9" t="s">
        <v>26515</v>
      </c>
      <c r="J13015" s="10" t="str">
        <f>HYPERLINK("https://www.boe.es/gazeta/dias/1834/03/18/pdfs/GMD-1834-34.pdf#page=3","Abrir facsímil")</f>
        <v>Abrir facsímil</v>
      </c>
      <c r="K13015" s="10" t="s">
        <v>37</v>
      </c>
    </row>
    <row r="13016" spans="1:11" ht="54" customHeight="1">
      <c r="A13016" s="9" t="s">
        <v>26516</v>
      </c>
      <c r="B13016" s="9" t="s">
        <v>26516</v>
      </c>
      <c r="C13016" s="9" t="s">
        <v>17</v>
      </c>
      <c r="D13016" s="9" t="s">
        <v>18</v>
      </c>
      <c r="E13016" s="10" t="s">
        <v>3170</v>
      </c>
      <c r="F13016" s="9" t="s">
        <v>3171</v>
      </c>
      <c r="G13016" s="10" t="s">
        <v>21</v>
      </c>
      <c r="H13016" s="9" t="s">
        <v>22</v>
      </c>
      <c r="I13016" s="9" t="s">
        <v>26517</v>
      </c>
      <c r="J13016" s="10" t="str">
        <f>HYPERLINK("https://www.boe.es/gazeta/dias/1834/12/07/pdfs/GMD-1834-296.pdf#page=3","Abrir facsímil")</f>
        <v>Abrir facsímil</v>
      </c>
      <c r="K13016" s="10" t="s">
        <v>24</v>
      </c>
    </row>
    <row r="13017" spans="1:11" ht="54" customHeight="1">
      <c r="A13017" s="9" t="s">
        <v>26516</v>
      </c>
      <c r="B13017" s="9" t="s">
        <v>26516</v>
      </c>
      <c r="C13017" s="9" t="s">
        <v>17</v>
      </c>
      <c r="D13017" s="9" t="s">
        <v>40</v>
      </c>
      <c r="E13017" s="10" t="s">
        <v>348</v>
      </c>
      <c r="F13017" s="9" t="s">
        <v>501</v>
      </c>
      <c r="G13017" s="10" t="s">
        <v>75</v>
      </c>
      <c r="H13017" s="9" t="s">
        <v>22</v>
      </c>
      <c r="I13017" s="9" t="s">
        <v>26518</v>
      </c>
      <c r="J13017" s="10" t="str">
        <f>HYPERLINK("https://www.boe.es/gazeta/dias/1834/06/12/pdfs/GMD-1834-115.pdf#page=4","Abrir facsímil")</f>
        <v>Abrir facsímil</v>
      </c>
      <c r="K13017" s="10" t="s">
        <v>24</v>
      </c>
    </row>
    <row r="13018" spans="1:11" ht="54" customHeight="1">
      <c r="A13018" s="9" t="s">
        <v>26519</v>
      </c>
      <c r="B13018" s="9" t="s">
        <v>26519</v>
      </c>
      <c r="C13018" s="9" t="s">
        <v>66</v>
      </c>
      <c r="D13018" s="9" t="s">
        <v>67</v>
      </c>
      <c r="E13018" s="10" t="s">
        <v>1556</v>
      </c>
      <c r="F13018" s="9" t="s">
        <v>1557</v>
      </c>
      <c r="G13018" s="10" t="s">
        <v>86</v>
      </c>
      <c r="H13018" s="9" t="s">
        <v>22</v>
      </c>
      <c r="I13018" s="9" t="s">
        <v>26520</v>
      </c>
      <c r="J13018" s="10" t="str">
        <f>HYPERLINK("https://www.boe.es/gazeta/dias/1834/06/06/pdfs/GMD-1834-108.pdf#page=2","Abrir facsímil")</f>
        <v>Abrir facsímil</v>
      </c>
      <c r="K13018" s="10" t="s">
        <v>24</v>
      </c>
    </row>
    <row r="13019" spans="1:11" ht="54" customHeight="1">
      <c r="A13019" s="9" t="s">
        <v>26519</v>
      </c>
      <c r="B13019" s="9" t="s">
        <v>26519</v>
      </c>
      <c r="C13019" s="9" t="s">
        <v>17</v>
      </c>
      <c r="D13019" s="9" t="s">
        <v>18</v>
      </c>
      <c r="E13019" s="10" t="s">
        <v>1556</v>
      </c>
      <c r="F13019" s="9" t="s">
        <v>1557</v>
      </c>
      <c r="G13019" s="10" t="s">
        <v>21</v>
      </c>
      <c r="H13019" s="9" t="s">
        <v>22</v>
      </c>
      <c r="I13019" s="9" t="s">
        <v>26521</v>
      </c>
      <c r="J13019" s="10" t="str">
        <f>HYPERLINK("https://www.boe.es/gazeta/dias/1834/06/06/pdfs/GMD-1834-108.pdf#page=3","Abrir facsímil")</f>
        <v>Abrir facsímil</v>
      </c>
      <c r="K13019" s="10" t="s">
        <v>24</v>
      </c>
    </row>
    <row r="13020" spans="1:11" ht="54" customHeight="1">
      <c r="A13020" s="9" t="s">
        <v>26519</v>
      </c>
      <c r="B13020" s="9" t="s">
        <v>26519</v>
      </c>
      <c r="C13020" s="9" t="s">
        <v>17</v>
      </c>
      <c r="D13020" s="9" t="s">
        <v>18</v>
      </c>
      <c r="E13020" s="10" t="s">
        <v>61</v>
      </c>
      <c r="F13020" s="9" t="s">
        <v>205</v>
      </c>
      <c r="G13020" s="10" t="s">
        <v>21</v>
      </c>
      <c r="H13020" s="9" t="s">
        <v>22</v>
      </c>
      <c r="I13020" s="9" t="s">
        <v>26522</v>
      </c>
      <c r="J13020" s="10" t="str">
        <f>HYPERLINK("https://www.boe.es/gazeta/dias/1834/06/08/pdfs/GMD-1834-110.pdf#page=3","Abrir facsímil")</f>
        <v>Abrir facsímil</v>
      </c>
      <c r="K13020" s="10" t="s">
        <v>24</v>
      </c>
    </row>
    <row r="13021" spans="1:11" ht="54" customHeight="1">
      <c r="A13021" s="9" t="s">
        <v>26519</v>
      </c>
      <c r="B13021" s="9" t="s">
        <v>26519</v>
      </c>
      <c r="C13021" s="9" t="s">
        <v>46</v>
      </c>
      <c r="D13021" s="9" t="s">
        <v>101</v>
      </c>
      <c r="E13021" s="10" t="s">
        <v>2124</v>
      </c>
      <c r="F13021" s="9" t="s">
        <v>2125</v>
      </c>
      <c r="G13021" s="10" t="s">
        <v>75</v>
      </c>
      <c r="H13021" s="9" t="s">
        <v>22</v>
      </c>
      <c r="I13021" s="9" t="s">
        <v>26523</v>
      </c>
      <c r="J13021" s="10" t="str">
        <f>HYPERLINK("https://www.boe.es/gazeta/dias/1834/06/09/pdfs/GMD-1834-112.pdf#page=4","Abrir facsímil")</f>
        <v>Abrir facsímil</v>
      </c>
      <c r="K13021" s="10" t="s">
        <v>24</v>
      </c>
    </row>
    <row r="13022" spans="1:11" ht="54" customHeight="1">
      <c r="A13022" s="9" t="s">
        <v>26519</v>
      </c>
      <c r="B13022" s="9" t="s">
        <v>26519</v>
      </c>
      <c r="C13022" s="9" t="s">
        <v>17</v>
      </c>
      <c r="D13022" s="9" t="s">
        <v>40</v>
      </c>
      <c r="E13022" s="10" t="s">
        <v>2203</v>
      </c>
      <c r="F13022" s="9" t="s">
        <v>3917</v>
      </c>
      <c r="G13022" s="10" t="s">
        <v>75</v>
      </c>
      <c r="H13022" s="9" t="s">
        <v>22</v>
      </c>
      <c r="I13022" s="9" t="s">
        <v>26524</v>
      </c>
      <c r="J13022" s="10" t="str">
        <f>HYPERLINK("https://www.boe.es/gazeta/dias/1834/09/10/pdfs/GMD-1834-208.pdf#page=4","Abrir facsímil")</f>
        <v>Abrir facsímil</v>
      </c>
      <c r="K13022" s="10" t="s">
        <v>24</v>
      </c>
    </row>
    <row r="13023" spans="1:11" ht="54" customHeight="1">
      <c r="A13023" s="9" t="s">
        <v>26519</v>
      </c>
      <c r="B13023" s="9" t="s">
        <v>26519</v>
      </c>
      <c r="C13023" s="9" t="s">
        <v>66</v>
      </c>
      <c r="D13023" s="9" t="s">
        <v>67</v>
      </c>
      <c r="E13023" s="10" t="s">
        <v>3282</v>
      </c>
      <c r="F13023" s="9" t="s">
        <v>3283</v>
      </c>
      <c r="G13023" s="10" t="s">
        <v>21</v>
      </c>
      <c r="H13023" s="9" t="s">
        <v>22</v>
      </c>
      <c r="I13023" s="9" t="s">
        <v>26525</v>
      </c>
      <c r="J13023" s="10" t="str">
        <f>HYPERLINK("https://www.boe.es/gazeta/dias/1834/04/15/pdfs/GMD-1834-54.pdf#page=3","Abrir facsímil")</f>
        <v>Abrir facsímil</v>
      </c>
      <c r="K13023" s="10" t="s">
        <v>24</v>
      </c>
    </row>
    <row r="13024" spans="1:11" ht="54" customHeight="1">
      <c r="A13024" s="9" t="s">
        <v>26519</v>
      </c>
      <c r="B13024" s="9" t="s">
        <v>26519</v>
      </c>
      <c r="C13024" s="9" t="s">
        <v>66</v>
      </c>
      <c r="D13024" s="9" t="s">
        <v>67</v>
      </c>
      <c r="E13024" s="10" t="s">
        <v>1394</v>
      </c>
      <c r="F13024" s="9" t="s">
        <v>1395</v>
      </c>
      <c r="G13024" s="10" t="s">
        <v>75</v>
      </c>
      <c r="H13024" s="9" t="s">
        <v>22</v>
      </c>
      <c r="I13024" s="9" t="s">
        <v>26526</v>
      </c>
      <c r="J13024" s="10" t="str">
        <f>HYPERLINK("https://www.boe.es/gazeta/dias/1834/04/16/pdfs/GMD-1834-55.pdf#page=4","Abrir facsímil")</f>
        <v>Abrir facsímil</v>
      </c>
      <c r="K13024" s="10" t="s">
        <v>24</v>
      </c>
    </row>
    <row r="13025" spans="1:11" ht="54" customHeight="1">
      <c r="A13025" s="9" t="s">
        <v>26519</v>
      </c>
      <c r="B13025" s="9" t="s">
        <v>26519</v>
      </c>
      <c r="C13025" s="9" t="s">
        <v>66</v>
      </c>
      <c r="D13025" s="9" t="s">
        <v>67</v>
      </c>
      <c r="E13025" s="10" t="s">
        <v>19</v>
      </c>
      <c r="F13025" s="9" t="s">
        <v>1933</v>
      </c>
      <c r="G13025" s="10" t="s">
        <v>86</v>
      </c>
      <c r="H13025" s="9" t="s">
        <v>22</v>
      </c>
      <c r="I13025" s="9" t="s">
        <v>26527</v>
      </c>
      <c r="J13025" s="10" t="str">
        <f>HYPERLINK("https://www.boe.es/gazeta/dias/1834/08/17/pdfs/GMD-1834-183E.pdf#page=2","Abrir facsímil")</f>
        <v>Abrir facsímil</v>
      </c>
      <c r="K13025" s="10" t="s">
        <v>24</v>
      </c>
    </row>
    <row r="13026" spans="1:11" ht="54" customHeight="1">
      <c r="A13026" s="9" t="s">
        <v>26519</v>
      </c>
      <c r="B13026" s="9" t="s">
        <v>26519</v>
      </c>
      <c r="C13026" s="9" t="s">
        <v>17</v>
      </c>
      <c r="D13026" s="9" t="s">
        <v>40</v>
      </c>
      <c r="E13026" s="10" t="s">
        <v>1239</v>
      </c>
      <c r="F13026" s="9" t="s">
        <v>1240</v>
      </c>
      <c r="G13026" s="10" t="s">
        <v>75</v>
      </c>
      <c r="H13026" s="9" t="s">
        <v>22</v>
      </c>
      <c r="I13026" s="9" t="s">
        <v>26528</v>
      </c>
      <c r="J13026" s="10" t="str">
        <f>HYPERLINK("https://www.boe.es/gazeta/dias/1834/08/20/pdfs/GMD-1834-186.pdf#page=4","Abrir facsímil")</f>
        <v>Abrir facsímil</v>
      </c>
      <c r="K13026" s="10" t="s">
        <v>24</v>
      </c>
    </row>
    <row r="13027" spans="1:11" ht="54" customHeight="1">
      <c r="A13027" s="9" t="s">
        <v>26519</v>
      </c>
      <c r="B13027" s="9" t="s">
        <v>26519</v>
      </c>
      <c r="C13027" s="9" t="s">
        <v>46</v>
      </c>
      <c r="D13027" s="9" t="s">
        <v>101</v>
      </c>
      <c r="E13027" s="10" t="s">
        <v>247</v>
      </c>
      <c r="F13027" s="9" t="s">
        <v>2805</v>
      </c>
      <c r="G13027" s="10" t="s">
        <v>75</v>
      </c>
      <c r="H13027" s="9" t="s">
        <v>22</v>
      </c>
      <c r="I13027" s="9" t="s">
        <v>26529</v>
      </c>
      <c r="J13027" s="10" t="str">
        <f>HYPERLINK("https://www.boe.es/gazeta/dias/1834/08/23/pdfs/GMD-1834-189.pdf#page=4","Abrir facsímil")</f>
        <v>Abrir facsímil</v>
      </c>
      <c r="K13027" s="10" t="s">
        <v>24</v>
      </c>
    </row>
    <row r="13028" spans="1:11" ht="54" customHeight="1">
      <c r="A13028" s="9" t="s">
        <v>26519</v>
      </c>
      <c r="B13028" s="9" t="s">
        <v>26519</v>
      </c>
      <c r="C13028" s="9" t="s">
        <v>122</v>
      </c>
      <c r="D13028" s="9" t="s">
        <v>18</v>
      </c>
      <c r="E13028" s="10" t="s">
        <v>1002</v>
      </c>
      <c r="F13028" s="9" t="s">
        <v>1003</v>
      </c>
      <c r="G13028" s="10" t="s">
        <v>75</v>
      </c>
      <c r="H13028" s="9" t="s">
        <v>22</v>
      </c>
      <c r="I13028" s="9" t="s">
        <v>26530</v>
      </c>
      <c r="J13028" s="10" t="str">
        <f>HYPERLINK("https://www.boe.es/gazeta/dias/1834/06/26/pdfs/GMD-1834-129.pdf#page=4","Abrir facsímil")</f>
        <v>Abrir facsímil</v>
      </c>
      <c r="K13028" s="10" t="s">
        <v>24</v>
      </c>
    </row>
    <row r="13029" spans="1:11" ht="54" customHeight="1">
      <c r="A13029" s="9" t="s">
        <v>26519</v>
      </c>
      <c r="B13029" s="9" t="s">
        <v>26519</v>
      </c>
      <c r="C13029" s="9" t="s">
        <v>66</v>
      </c>
      <c r="D13029" s="9" t="s">
        <v>67</v>
      </c>
      <c r="E13029" s="10" t="s">
        <v>513</v>
      </c>
      <c r="F13029" s="9" t="s">
        <v>514</v>
      </c>
      <c r="G13029" s="10" t="s">
        <v>28</v>
      </c>
      <c r="H13029" s="9" t="s">
        <v>22</v>
      </c>
      <c r="I13029" s="9" t="s">
        <v>26531</v>
      </c>
      <c r="J13029" s="10" t="str">
        <f>HYPERLINK("https://www.boe.es/gazeta/dias/1834/04/27/pdfs/GMD-1834-66.pdf#page=5","Abrir facsímil")</f>
        <v>Abrir facsímil</v>
      </c>
      <c r="K13029" s="10" t="s">
        <v>24</v>
      </c>
    </row>
    <row r="13030" spans="1:11" ht="54" customHeight="1">
      <c r="A13030" s="9" t="s">
        <v>26519</v>
      </c>
      <c r="B13030" s="9" t="s">
        <v>26519</v>
      </c>
      <c r="C13030" s="9" t="s">
        <v>17</v>
      </c>
      <c r="D13030" s="9" t="s">
        <v>18</v>
      </c>
      <c r="E13030" s="10" t="s">
        <v>283</v>
      </c>
      <c r="F13030" s="9" t="s">
        <v>2969</v>
      </c>
      <c r="G13030" s="10" t="s">
        <v>75</v>
      </c>
      <c r="H13030" s="9" t="s">
        <v>22</v>
      </c>
      <c r="I13030" s="9" t="s">
        <v>26532</v>
      </c>
      <c r="J13030" s="10" t="str">
        <f>HYPERLINK("https://www.boe.es/gazeta/dias/1834/11/29/pdfs/GMD-1834-288.pdf#page=4","Abrir facsímil")</f>
        <v>Abrir facsímil</v>
      </c>
      <c r="K13030" s="10" t="s">
        <v>24</v>
      </c>
    </row>
    <row r="13031" spans="1:11" ht="54" customHeight="1">
      <c r="A13031" s="9" t="s">
        <v>26519</v>
      </c>
      <c r="B13031" s="9" t="s">
        <v>26519</v>
      </c>
      <c r="C13031" s="9" t="s">
        <v>17</v>
      </c>
      <c r="D13031" s="9" t="s">
        <v>18</v>
      </c>
      <c r="E13031" s="10" t="s">
        <v>309</v>
      </c>
      <c r="F13031" s="9" t="s">
        <v>310</v>
      </c>
      <c r="G13031" s="10" t="s">
        <v>75</v>
      </c>
      <c r="H13031" s="9" t="s">
        <v>22</v>
      </c>
      <c r="I13031" s="9" t="s">
        <v>26533</v>
      </c>
      <c r="J13031" s="10" t="str">
        <f>HYPERLINK("https://www.boe.es/gazeta/dias/1834/05/30/pdfs/GMD-1834-99.pdf#page=4","Abrir facsímil")</f>
        <v>Abrir facsímil</v>
      </c>
      <c r="K13031" s="10" t="s">
        <v>24</v>
      </c>
    </row>
    <row r="13032" spans="1:11" ht="54" customHeight="1">
      <c r="A13032" s="9" t="s">
        <v>26519</v>
      </c>
      <c r="B13032" s="9" t="s">
        <v>26519</v>
      </c>
      <c r="C13032" s="9" t="s">
        <v>66</v>
      </c>
      <c r="D13032" s="9" t="s">
        <v>67</v>
      </c>
      <c r="E13032" s="10" t="s">
        <v>1695</v>
      </c>
      <c r="F13032" s="9" t="s">
        <v>1696</v>
      </c>
      <c r="G13032" s="10" t="s">
        <v>21</v>
      </c>
      <c r="H13032" s="9" t="s">
        <v>22</v>
      </c>
      <c r="I13032" s="9" t="s">
        <v>26534</v>
      </c>
      <c r="J13032" s="10" t="str">
        <f>HYPERLINK("https://www.boe.es/gazeta/dias/1834/06/30/pdfs/GMD-1834-133.pdf#page=3","Abrir facsímil")</f>
        <v>Abrir facsímil</v>
      </c>
      <c r="K13032" s="10" t="s">
        <v>24</v>
      </c>
    </row>
    <row r="13033" spans="1:11" ht="54" customHeight="1">
      <c r="A13033" s="9" t="s">
        <v>26519</v>
      </c>
      <c r="B13033" s="9" t="s">
        <v>26519</v>
      </c>
      <c r="C13033" s="9" t="s">
        <v>17</v>
      </c>
      <c r="D13033" s="9" t="s">
        <v>18</v>
      </c>
      <c r="E13033" s="10" t="s">
        <v>192</v>
      </c>
      <c r="F13033" s="9" t="s">
        <v>193</v>
      </c>
      <c r="G13033" s="10" t="s">
        <v>75</v>
      </c>
      <c r="H13033" s="9" t="s">
        <v>22</v>
      </c>
      <c r="I13033" s="9" t="s">
        <v>26535</v>
      </c>
      <c r="J13033" s="10" t="str">
        <f>HYPERLINK("https://www.boe.es/gazeta/dias/1834/12/31/pdfs/GMD-1834-321.pdf#page=4","Abrir facsímil")</f>
        <v>Abrir facsímil</v>
      </c>
      <c r="K13033" s="10" t="s">
        <v>24</v>
      </c>
    </row>
    <row r="13034" spans="1:11" ht="54" customHeight="1">
      <c r="A13034" s="9" t="s">
        <v>26536</v>
      </c>
      <c r="B13034" s="9" t="s">
        <v>26537</v>
      </c>
      <c r="C13034" s="9" t="s">
        <v>17</v>
      </c>
      <c r="D13034" s="9" t="s">
        <v>18</v>
      </c>
      <c r="E13034" s="10" t="s">
        <v>753</v>
      </c>
      <c r="F13034" s="9" t="s">
        <v>754</v>
      </c>
      <c r="G13034" s="10" t="s">
        <v>176</v>
      </c>
      <c r="H13034" s="9" t="s">
        <v>22</v>
      </c>
      <c r="I13034" s="9" t="s">
        <v>26538</v>
      </c>
      <c r="J13034" s="10" t="str">
        <f>HYPERLINK("https://www.boe.es/gazeta/dias/1834/04/21/pdfs/GMD-1834-60.pdf#page=6","Abrir facsímil")</f>
        <v>Abrir facsímil</v>
      </c>
      <c r="K13034" s="10" t="s">
        <v>24</v>
      </c>
    </row>
    <row r="13035" spans="1:11" ht="54" customHeight="1">
      <c r="A13035" s="9" t="s">
        <v>26536</v>
      </c>
      <c r="B13035" s="9" t="s">
        <v>26537</v>
      </c>
      <c r="C13035" s="9" t="s">
        <v>17</v>
      </c>
      <c r="D13035" s="9" t="s">
        <v>18</v>
      </c>
      <c r="E13035" s="10" t="s">
        <v>465</v>
      </c>
      <c r="F13035" s="9" t="s">
        <v>1361</v>
      </c>
      <c r="G13035" s="10" t="s">
        <v>75</v>
      </c>
      <c r="H13035" s="9" t="s">
        <v>22</v>
      </c>
      <c r="I13035" s="9" t="s">
        <v>26539</v>
      </c>
      <c r="J13035" s="10" t="str">
        <f>HYPERLINK("https://www.boe.es/gazeta/dias/1834/11/27/pdfs/GMD-1834-286.pdf#page=4","Abrir facsímil")</f>
        <v>Abrir facsímil</v>
      </c>
      <c r="K13035" s="10" t="s">
        <v>24</v>
      </c>
    </row>
    <row r="13036" spans="1:11" ht="54" customHeight="1">
      <c r="A13036" s="9" t="s">
        <v>26536</v>
      </c>
      <c r="B13036" s="9" t="s">
        <v>26537</v>
      </c>
      <c r="C13036" s="9" t="s">
        <v>17</v>
      </c>
      <c r="D13036" s="9" t="s">
        <v>18</v>
      </c>
      <c r="E13036" s="10" t="s">
        <v>2142</v>
      </c>
      <c r="F13036" s="9" t="s">
        <v>2143</v>
      </c>
      <c r="G13036" s="10" t="s">
        <v>21</v>
      </c>
      <c r="H13036" s="9" t="s">
        <v>22</v>
      </c>
      <c r="I13036" s="9" t="s">
        <v>26540</v>
      </c>
      <c r="J13036" s="10" t="str">
        <f>HYPERLINK("https://www.boe.es/gazeta/dias/1834/12/27/pdfs/GMD-1834-317.pdf#page=3","Abrir facsímil")</f>
        <v>Abrir facsímil</v>
      </c>
      <c r="K13036" s="10" t="s">
        <v>24</v>
      </c>
    </row>
    <row r="13037" spans="1:11" ht="54" customHeight="1">
      <c r="A13037" s="9" t="s">
        <v>26541</v>
      </c>
      <c r="B13037" s="9" t="s">
        <v>26542</v>
      </c>
      <c r="C13037" s="9" t="s">
        <v>17</v>
      </c>
      <c r="D13037" s="9" t="s">
        <v>18</v>
      </c>
      <c r="E13037" s="10" t="s">
        <v>753</v>
      </c>
      <c r="F13037" s="9" t="s">
        <v>754</v>
      </c>
      <c r="G13037" s="10" t="s">
        <v>176</v>
      </c>
      <c r="H13037" s="9" t="s">
        <v>35</v>
      </c>
      <c r="I13037" s="9" t="s">
        <v>26543</v>
      </c>
      <c r="J13037" s="10" t="str">
        <f>HYPERLINK("https://www.boe.es/gazeta/dias/1834/04/21/pdfs/GMD-1834-60.pdf#page=6","Abrir facsímil")</f>
        <v>Abrir facsímil</v>
      </c>
      <c r="K13037" s="10" t="s">
        <v>37</v>
      </c>
    </row>
    <row r="13038" spans="1:11" ht="54" customHeight="1">
      <c r="A13038" s="9" t="s">
        <v>26541</v>
      </c>
      <c r="B13038" s="9" t="s">
        <v>26542</v>
      </c>
      <c r="C13038" s="9" t="s">
        <v>17</v>
      </c>
      <c r="D13038" s="9" t="s">
        <v>18</v>
      </c>
      <c r="E13038" s="10" t="s">
        <v>465</v>
      </c>
      <c r="F13038" s="9" t="s">
        <v>1361</v>
      </c>
      <c r="G13038" s="10" t="s">
        <v>75</v>
      </c>
      <c r="H13038" s="9" t="s">
        <v>35</v>
      </c>
      <c r="I13038" s="9" t="s">
        <v>26544</v>
      </c>
      <c r="J13038" s="10" t="str">
        <f>HYPERLINK("https://www.boe.es/gazeta/dias/1834/11/27/pdfs/GMD-1834-286.pdf#page=4","Abrir facsímil")</f>
        <v>Abrir facsímil</v>
      </c>
      <c r="K13038" s="10" t="s">
        <v>37</v>
      </c>
    </row>
    <row r="13039" spans="1:11" ht="54" customHeight="1">
      <c r="A13039" s="9" t="s">
        <v>26541</v>
      </c>
      <c r="B13039" s="9" t="s">
        <v>26542</v>
      </c>
      <c r="C13039" s="9" t="s">
        <v>17</v>
      </c>
      <c r="D13039" s="9" t="s">
        <v>18</v>
      </c>
      <c r="E13039" s="10" t="s">
        <v>2142</v>
      </c>
      <c r="F13039" s="9" t="s">
        <v>2143</v>
      </c>
      <c r="G13039" s="10" t="s">
        <v>21</v>
      </c>
      <c r="H13039" s="9" t="s">
        <v>35</v>
      </c>
      <c r="I13039" s="9" t="s">
        <v>26545</v>
      </c>
      <c r="J13039" s="10" t="str">
        <f>HYPERLINK("https://www.boe.es/gazeta/dias/1834/12/27/pdfs/GMD-1834-317.pdf#page=3","Abrir facsímil")</f>
        <v>Abrir facsímil</v>
      </c>
      <c r="K13039" s="10" t="s">
        <v>37</v>
      </c>
    </row>
    <row r="13040" spans="1:11" ht="54" customHeight="1">
      <c r="A13040" s="9" t="s">
        <v>26546</v>
      </c>
      <c r="B13040" s="9" t="s">
        <v>26547</v>
      </c>
      <c r="C13040" s="9" t="s">
        <v>66</v>
      </c>
      <c r="D13040" s="9" t="s">
        <v>67</v>
      </c>
      <c r="E13040" s="10" t="s">
        <v>772</v>
      </c>
      <c r="F13040" s="9" t="s">
        <v>773</v>
      </c>
      <c r="G13040" s="10" t="s">
        <v>21</v>
      </c>
      <c r="H13040" s="9" t="s">
        <v>35</v>
      </c>
      <c r="I13040" s="9" t="s">
        <v>26548</v>
      </c>
      <c r="J13040" s="10" t="str">
        <f>HYPERLINK("https://www.boe.es/gazeta/dias/1834/09/18/pdfs/GMD-1834-216.pdf#page=3","Abrir facsímil")</f>
        <v>Abrir facsímil</v>
      </c>
      <c r="K13040" s="10" t="s">
        <v>37</v>
      </c>
    </row>
    <row r="13041" spans="1:11" ht="54" customHeight="1">
      <c r="A13041" s="9" t="s">
        <v>26549</v>
      </c>
      <c r="B13041" s="9" t="s">
        <v>26550</v>
      </c>
      <c r="C13041" s="9" t="s">
        <v>122</v>
      </c>
      <c r="D13041" s="9" t="s">
        <v>55</v>
      </c>
      <c r="E13041" s="10" t="s">
        <v>158</v>
      </c>
      <c r="F13041" s="9" t="s">
        <v>159</v>
      </c>
      <c r="G13041" s="10" t="s">
        <v>21</v>
      </c>
      <c r="H13041" s="9" t="s">
        <v>22</v>
      </c>
      <c r="I13041" s="9" t="s">
        <v>26551</v>
      </c>
      <c r="J13041" s="10" t="str">
        <f>HYPERLINK("https://www.boe.es/gazeta/dias/1834/10/01/pdfs/GMD-1834-229.pdf#page=3","Abrir facsímil")</f>
        <v>Abrir facsímil</v>
      </c>
      <c r="K13041" s="10" t="s">
        <v>24</v>
      </c>
    </row>
    <row r="13042" spans="1:11" ht="54" customHeight="1">
      <c r="A13042" s="9" t="s">
        <v>26552</v>
      </c>
      <c r="B13042" s="9" t="s">
        <v>26552</v>
      </c>
      <c r="C13042" s="9" t="s">
        <v>66</v>
      </c>
      <c r="D13042" s="9" t="s">
        <v>67</v>
      </c>
      <c r="E13042" s="10" t="s">
        <v>696</v>
      </c>
      <c r="F13042" s="9" t="s">
        <v>854</v>
      </c>
      <c r="G13042" s="10" t="s">
        <v>21</v>
      </c>
      <c r="H13042" s="9" t="s">
        <v>22</v>
      </c>
      <c r="I13042" s="9" t="s">
        <v>26553</v>
      </c>
      <c r="J13042" s="10" t="str">
        <f>HYPERLINK("https://www.boe.es/gazeta/dias/1834/12/06/pdfs/GMD-1834-295.pdf#page=3","Abrir facsímil")</f>
        <v>Abrir facsímil</v>
      </c>
      <c r="K13042" s="10" t="s">
        <v>24</v>
      </c>
    </row>
    <row r="13043" spans="1:11" ht="54" customHeight="1">
      <c r="A13043" s="9" t="s">
        <v>26554</v>
      </c>
      <c r="B13043" s="9" t="s">
        <v>26554</v>
      </c>
      <c r="C13043" s="9" t="s">
        <v>17</v>
      </c>
      <c r="D13043" s="9" t="s">
        <v>18</v>
      </c>
      <c r="E13043" s="10" t="s">
        <v>576</v>
      </c>
      <c r="F13043" s="9" t="s">
        <v>577</v>
      </c>
      <c r="G13043" s="10" t="s">
        <v>75</v>
      </c>
      <c r="H13043" s="9" t="s">
        <v>22</v>
      </c>
      <c r="I13043" s="9" t="s">
        <v>26555</v>
      </c>
      <c r="J13043" s="10" t="str">
        <f>HYPERLINK("https://www.boe.es/gazeta/dias/1834/09/23/pdfs/GMD-1834-221.pdf#page=4","Abrir facsímil")</f>
        <v>Abrir facsímil</v>
      </c>
      <c r="K13043" s="10" t="s">
        <v>24</v>
      </c>
    </row>
    <row r="13044" spans="1:11" ht="54" customHeight="1">
      <c r="A13044" s="9" t="s">
        <v>26556</v>
      </c>
      <c r="B13044" s="9" t="s">
        <v>26556</v>
      </c>
      <c r="C13044" s="9" t="s">
        <v>17</v>
      </c>
      <c r="D13044" s="9" t="s">
        <v>18</v>
      </c>
      <c r="E13044" s="10" t="s">
        <v>378</v>
      </c>
      <c r="F13044" s="9" t="s">
        <v>379</v>
      </c>
      <c r="G13044" s="10" t="s">
        <v>75</v>
      </c>
      <c r="H13044" s="9" t="s">
        <v>22</v>
      </c>
      <c r="I13044" s="9" t="s">
        <v>26557</v>
      </c>
      <c r="J13044" s="10" t="str">
        <f>HYPERLINK("https://www.boe.es/gazeta/dias/1834/09/24/pdfs/GMD-1834-222.pdf#page=4","Abrir facsímil")</f>
        <v>Abrir facsímil</v>
      </c>
      <c r="K13044" s="10" t="s">
        <v>24</v>
      </c>
    </row>
    <row r="13045" spans="1:11" ht="54" customHeight="1">
      <c r="A13045" s="9" t="s">
        <v>26558</v>
      </c>
      <c r="B13045" s="9" t="s">
        <v>26558</v>
      </c>
      <c r="C13045" s="9" t="s">
        <v>122</v>
      </c>
      <c r="D13045" s="9" t="s">
        <v>40</v>
      </c>
      <c r="E13045" s="10" t="s">
        <v>1883</v>
      </c>
      <c r="F13045" s="9" t="s">
        <v>1884</v>
      </c>
      <c r="G13045" s="10" t="s">
        <v>75</v>
      </c>
      <c r="H13045" s="9" t="s">
        <v>22</v>
      </c>
      <c r="I13045" s="9" t="s">
        <v>26559</v>
      </c>
      <c r="J13045" s="10" t="str">
        <f>HYPERLINK("https://www.boe.es/gazeta/dias/1834/01/11/pdfs/GMD-1834-6.pdf#page=4","Abrir facsímil")</f>
        <v>Abrir facsímil</v>
      </c>
      <c r="K13045" s="10" t="s">
        <v>24</v>
      </c>
    </row>
    <row r="13046" spans="1:11" ht="54" customHeight="1">
      <c r="A13046" s="9" t="s">
        <v>26560</v>
      </c>
      <c r="B13046" s="9" t="s">
        <v>26561</v>
      </c>
      <c r="C13046" s="9" t="s">
        <v>122</v>
      </c>
      <c r="D13046" s="9" t="s">
        <v>18</v>
      </c>
      <c r="E13046" s="10" t="s">
        <v>719</v>
      </c>
      <c r="F13046" s="9" t="s">
        <v>720</v>
      </c>
      <c r="G13046" s="10" t="s">
        <v>75</v>
      </c>
      <c r="H13046" s="9" t="s">
        <v>35</v>
      </c>
      <c r="I13046" s="9" t="s">
        <v>26562</v>
      </c>
      <c r="J13046" s="10" t="str">
        <f>HYPERLINK("https://www.boe.es/gazeta/dias/1834/04/29/pdfs/GMD-1834-68.pdf#page=4","Abrir facsímil")</f>
        <v>Abrir facsímil</v>
      </c>
      <c r="K13046" s="10" t="s">
        <v>37</v>
      </c>
    </row>
    <row r="13047" spans="1:11" ht="54" customHeight="1">
      <c r="A13047" s="9" t="s">
        <v>26563</v>
      </c>
      <c r="B13047" s="9" t="s">
        <v>26564</v>
      </c>
      <c r="C13047" s="9" t="s">
        <v>17</v>
      </c>
      <c r="D13047" s="9" t="s">
        <v>18</v>
      </c>
      <c r="E13047" s="10" t="s">
        <v>1850</v>
      </c>
      <c r="F13047" s="9" t="s">
        <v>1851</v>
      </c>
      <c r="G13047" s="10" t="s">
        <v>21</v>
      </c>
      <c r="H13047" s="9" t="s">
        <v>22</v>
      </c>
      <c r="I13047" s="9" t="s">
        <v>26565</v>
      </c>
      <c r="J13047" s="10" t="str">
        <f>HYPERLINK("https://www.boe.es/gazeta/dias/1834/02/18/pdfs/GMD-1834-22.pdf#page=3","Abrir facsímil")</f>
        <v>Abrir facsímil</v>
      </c>
      <c r="K13047" s="10" t="s">
        <v>24</v>
      </c>
    </row>
    <row r="13048" spans="1:11" ht="54" customHeight="1">
      <c r="A13048" s="9" t="s">
        <v>26566</v>
      </c>
      <c r="B13048" s="9" t="s">
        <v>26567</v>
      </c>
      <c r="C13048" s="9" t="s">
        <v>122</v>
      </c>
      <c r="D13048" s="9" t="s">
        <v>18</v>
      </c>
      <c r="E13048" s="10" t="s">
        <v>1318</v>
      </c>
      <c r="F13048" s="9" t="s">
        <v>1319</v>
      </c>
      <c r="G13048" s="10" t="s">
        <v>75</v>
      </c>
      <c r="H13048" s="9" t="s">
        <v>22</v>
      </c>
      <c r="I13048" s="9" t="s">
        <v>26568</v>
      </c>
      <c r="J13048" s="10" t="str">
        <f>HYPERLINK("https://www.boe.es/gazeta/dias/1834/05/10/pdfs/GMD-1834-79.pdf#page=4","Abrir facsímil")</f>
        <v>Abrir facsímil</v>
      </c>
      <c r="K13048" s="10" t="s">
        <v>24</v>
      </c>
    </row>
    <row r="13049" spans="1:11" ht="54" customHeight="1">
      <c r="A13049" s="9" t="s">
        <v>26569</v>
      </c>
      <c r="B13049" s="9" t="s">
        <v>26570</v>
      </c>
      <c r="C13049" s="9" t="s">
        <v>66</v>
      </c>
      <c r="D13049" s="9" t="s">
        <v>18</v>
      </c>
      <c r="E13049" s="10" t="s">
        <v>1556</v>
      </c>
      <c r="F13049" s="9" t="s">
        <v>1557</v>
      </c>
      <c r="G13049" s="10" t="s">
        <v>21</v>
      </c>
      <c r="H13049" s="9" t="s">
        <v>22</v>
      </c>
      <c r="I13049" s="9" t="s">
        <v>26571</v>
      </c>
      <c r="J13049" s="10" t="str">
        <f>HYPERLINK("https://www.boe.es/gazeta/dias/1834/06/06/pdfs/GMD-1834-108.pdf#page=3","Abrir facsímil")</f>
        <v>Abrir facsímil</v>
      </c>
      <c r="K13049" s="10" t="s">
        <v>24</v>
      </c>
    </row>
    <row r="13050" spans="1:11" ht="54" customHeight="1">
      <c r="A13050" s="9" t="s">
        <v>26572</v>
      </c>
      <c r="B13050" s="9" t="s">
        <v>26573</v>
      </c>
      <c r="C13050" s="9" t="s">
        <v>122</v>
      </c>
      <c r="D13050" s="9" t="s">
        <v>18</v>
      </c>
      <c r="E13050" s="10" t="s">
        <v>719</v>
      </c>
      <c r="F13050" s="9" t="s">
        <v>720</v>
      </c>
      <c r="G13050" s="10" t="s">
        <v>75</v>
      </c>
      <c r="H13050" s="9" t="s">
        <v>22</v>
      </c>
      <c r="I13050" s="9" t="s">
        <v>26574</v>
      </c>
      <c r="J13050" s="10" t="str">
        <f>HYPERLINK("https://www.boe.es/gazeta/dias/1834/04/29/pdfs/GMD-1834-68.pdf#page=4","Abrir facsímil")</f>
        <v>Abrir facsímil</v>
      </c>
      <c r="K13050" s="10" t="s">
        <v>24</v>
      </c>
    </row>
    <row r="13051" spans="1:11" ht="54" customHeight="1">
      <c r="A13051" s="9" t="s">
        <v>26575</v>
      </c>
      <c r="B13051" s="9" t="s">
        <v>26575</v>
      </c>
      <c r="C13051" s="9" t="s">
        <v>17</v>
      </c>
      <c r="D13051" s="9" t="s">
        <v>18</v>
      </c>
      <c r="E13051" s="10" t="s">
        <v>1459</v>
      </c>
      <c r="F13051" s="9" t="s">
        <v>1460</v>
      </c>
      <c r="G13051" s="10" t="s">
        <v>34</v>
      </c>
      <c r="H13051" s="9" t="s">
        <v>22</v>
      </c>
      <c r="I13051" s="9" t="s">
        <v>26576</v>
      </c>
      <c r="J13051" s="10" t="str">
        <f>HYPERLINK("https://www.boe.es/gazeta/dias/1834/08/18/pdfs/GMD-1834-184.pdf#page=1","Abrir facsímil")</f>
        <v>Abrir facsímil</v>
      </c>
      <c r="K13051" s="10" t="s">
        <v>24</v>
      </c>
    </row>
    <row r="13052" spans="1:11" ht="54" customHeight="1">
      <c r="A13052" s="9" t="s">
        <v>26577</v>
      </c>
      <c r="B13052" s="9" t="s">
        <v>26578</v>
      </c>
      <c r="C13052" s="9" t="s">
        <v>66</v>
      </c>
      <c r="D13052" s="9" t="s">
        <v>67</v>
      </c>
      <c r="E13052" s="10" t="s">
        <v>61</v>
      </c>
      <c r="F13052" s="9" t="s">
        <v>205</v>
      </c>
      <c r="G13052" s="10" t="s">
        <v>21</v>
      </c>
      <c r="H13052" s="9" t="s">
        <v>22</v>
      </c>
      <c r="I13052" s="9" t="s">
        <v>26579</v>
      </c>
      <c r="J13052" s="10" t="str">
        <f>HYPERLINK("https://www.boe.es/gazeta/dias/1834/06/08/pdfs/GMD-1834-110.pdf#page=3","Abrir facsímil")</f>
        <v>Abrir facsímil</v>
      </c>
      <c r="K13052" s="10" t="s">
        <v>24</v>
      </c>
    </row>
    <row r="13053" spans="1:11" ht="54" customHeight="1">
      <c r="A13053" s="9" t="s">
        <v>26580</v>
      </c>
      <c r="B13053" s="9" t="s">
        <v>26581</v>
      </c>
      <c r="C13053" s="9" t="s">
        <v>66</v>
      </c>
      <c r="D13053" s="9" t="s">
        <v>67</v>
      </c>
      <c r="E13053" s="10" t="s">
        <v>61</v>
      </c>
      <c r="F13053" s="9" t="s">
        <v>205</v>
      </c>
      <c r="G13053" s="10" t="s">
        <v>21</v>
      </c>
      <c r="H13053" s="9" t="s">
        <v>35</v>
      </c>
      <c r="I13053" s="9" t="s">
        <v>26582</v>
      </c>
      <c r="J13053" s="10" t="str">
        <f>HYPERLINK("https://www.boe.es/gazeta/dias/1834/06/08/pdfs/GMD-1834-110.pdf#page=3","Abrir facsímil")</f>
        <v>Abrir facsímil</v>
      </c>
      <c r="K13053" s="10" t="s">
        <v>37</v>
      </c>
    </row>
    <row r="13054" spans="1:11" ht="54" customHeight="1">
      <c r="A13054" s="9" t="s">
        <v>26583</v>
      </c>
      <c r="B13054" s="9" t="s">
        <v>26583</v>
      </c>
      <c r="C13054" s="9" t="s">
        <v>66</v>
      </c>
      <c r="D13054" s="9" t="s">
        <v>18</v>
      </c>
      <c r="E13054" s="10" t="s">
        <v>803</v>
      </c>
      <c r="F13054" s="9" t="s">
        <v>804</v>
      </c>
      <c r="G13054" s="10" t="s">
        <v>75</v>
      </c>
      <c r="H13054" s="9" t="s">
        <v>22</v>
      </c>
      <c r="I13054" s="9" t="s">
        <v>26584</v>
      </c>
      <c r="J13054" s="10" t="str">
        <f>HYPERLINK("https://www.boe.es/gazeta/dias/1834/03/29/pdfs/GMD-1834-39.pdf#page=4","Abrir facsímil")</f>
        <v>Abrir facsímil</v>
      </c>
      <c r="K13054" s="10" t="s">
        <v>24</v>
      </c>
    </row>
    <row r="13055" spans="1:11" ht="54" customHeight="1">
      <c r="A13055" s="9" t="s">
        <v>26585</v>
      </c>
      <c r="B13055" s="9" t="s">
        <v>26585</v>
      </c>
      <c r="C13055" s="9" t="s">
        <v>46</v>
      </c>
      <c r="D13055" s="9" t="s">
        <v>55</v>
      </c>
      <c r="E13055" s="10" t="s">
        <v>905</v>
      </c>
      <c r="F13055" s="9" t="s">
        <v>1651</v>
      </c>
      <c r="G13055" s="10" t="s">
        <v>86</v>
      </c>
      <c r="H13055" s="9" t="s">
        <v>22</v>
      </c>
      <c r="I13055" s="9" t="s">
        <v>26586</v>
      </c>
      <c r="J13055" s="10" t="str">
        <f>HYPERLINK("https://www.boe.es/gazeta/dias/1834/08/02/pdfs/GMD-1834-166.pdf#page=2","Abrir facsímil")</f>
        <v>Abrir facsímil</v>
      </c>
      <c r="K13055" s="10" t="s">
        <v>24</v>
      </c>
    </row>
    <row r="13056" spans="1:11" ht="54" customHeight="1">
      <c r="A13056" s="9" t="s">
        <v>26587</v>
      </c>
      <c r="B13056" s="9" t="s">
        <v>26588</v>
      </c>
      <c r="C13056" s="9" t="s">
        <v>46</v>
      </c>
      <c r="D13056" s="9" t="s">
        <v>18</v>
      </c>
      <c r="E13056" s="10" t="s">
        <v>273</v>
      </c>
      <c r="F13056" s="9" t="s">
        <v>413</v>
      </c>
      <c r="G13056" s="10" t="s">
        <v>75</v>
      </c>
      <c r="H13056" s="9" t="s">
        <v>35</v>
      </c>
      <c r="I13056" s="9" t="s">
        <v>26589</v>
      </c>
      <c r="J13056" s="10" t="str">
        <f>HYPERLINK("https://www.boe.es/gazeta/dias/1834/08/31/pdfs/GMD-1834-198.pdf#page=4","Abrir facsímil")</f>
        <v>Abrir facsímil</v>
      </c>
      <c r="K13056" s="10" t="s">
        <v>37</v>
      </c>
    </row>
    <row r="13057" spans="1:11" ht="54" customHeight="1">
      <c r="A13057" s="9" t="s">
        <v>26590</v>
      </c>
      <c r="B13057" s="9" t="s">
        <v>26590</v>
      </c>
      <c r="C13057" s="9" t="s">
        <v>17</v>
      </c>
      <c r="D13057" s="9" t="s">
        <v>18</v>
      </c>
      <c r="E13057" s="10" t="s">
        <v>251</v>
      </c>
      <c r="F13057" s="9" t="s">
        <v>1278</v>
      </c>
      <c r="G13057" s="10" t="s">
        <v>75</v>
      </c>
      <c r="H13057" s="9" t="s">
        <v>22</v>
      </c>
      <c r="I13057" s="9" t="s">
        <v>26591</v>
      </c>
      <c r="J13057" s="10" t="str">
        <f>HYPERLINK("https://www.boe.es/gazeta/dias/1834/09/26/pdfs/GMD-1834-224.pdf#page=4","Abrir facsímil")</f>
        <v>Abrir facsímil</v>
      </c>
      <c r="K13057" s="10" t="s">
        <v>24</v>
      </c>
    </row>
    <row r="13058" spans="1:11" ht="54" customHeight="1">
      <c r="A13058" s="9" t="s">
        <v>26592</v>
      </c>
      <c r="B13058" s="9" t="s">
        <v>26592</v>
      </c>
      <c r="C13058" s="9" t="s">
        <v>122</v>
      </c>
      <c r="D13058" s="9" t="s">
        <v>40</v>
      </c>
      <c r="E13058" s="10" t="s">
        <v>1265</v>
      </c>
      <c r="F13058" s="9" t="s">
        <v>1266</v>
      </c>
      <c r="G13058" s="10" t="s">
        <v>75</v>
      </c>
      <c r="H13058" s="9" t="s">
        <v>22</v>
      </c>
      <c r="I13058" s="9" t="s">
        <v>26593</v>
      </c>
      <c r="J13058" s="10" t="str">
        <f>HYPERLINK("https://www.boe.es/gazeta/dias/1834/09/08/pdfs/GMD-1834-206.pdf#page=4","Abrir facsímil")</f>
        <v>Abrir facsímil</v>
      </c>
      <c r="K13058" s="10" t="s">
        <v>24</v>
      </c>
    </row>
    <row r="13059" spans="1:11" ht="54" customHeight="1">
      <c r="A13059" s="9" t="s">
        <v>26592</v>
      </c>
      <c r="B13059" s="9" t="s">
        <v>26592</v>
      </c>
      <c r="C13059" s="9" t="s">
        <v>66</v>
      </c>
      <c r="D13059" s="9" t="s">
        <v>55</v>
      </c>
      <c r="E13059" s="10" t="s">
        <v>729</v>
      </c>
      <c r="F13059" s="9" t="s">
        <v>730</v>
      </c>
      <c r="G13059" s="10" t="s">
        <v>75</v>
      </c>
      <c r="H13059" s="9" t="s">
        <v>22</v>
      </c>
      <c r="I13059" s="9" t="s">
        <v>26594</v>
      </c>
      <c r="J13059" s="10" t="str">
        <f>HYPERLINK("https://www.boe.es/gazeta/dias/1834/04/13/pdfs/GMD-1834-52.pdf#page=4","Abrir facsímil")</f>
        <v>Abrir facsímil</v>
      </c>
      <c r="K13059" s="10" t="s">
        <v>24</v>
      </c>
    </row>
    <row r="13060" spans="1:11" ht="54" customHeight="1">
      <c r="A13060" s="9" t="s">
        <v>26592</v>
      </c>
      <c r="B13060" s="9" t="s">
        <v>26592</v>
      </c>
      <c r="C13060" s="9" t="s">
        <v>17</v>
      </c>
      <c r="D13060" s="9" t="s">
        <v>18</v>
      </c>
      <c r="E13060" s="10" t="s">
        <v>237</v>
      </c>
      <c r="F13060" s="9" t="s">
        <v>4609</v>
      </c>
      <c r="G13060" s="10" t="s">
        <v>75</v>
      </c>
      <c r="H13060" s="9" t="s">
        <v>22</v>
      </c>
      <c r="I13060" s="9" t="s">
        <v>26595</v>
      </c>
      <c r="J13060" s="10" t="str">
        <f>HYPERLINK("https://www.boe.es/gazeta/dias/1834/08/15/pdfs/GMD-1834-180.pdf#page=4","Abrir facsímil")</f>
        <v>Abrir facsímil</v>
      </c>
      <c r="K13060" s="10" t="s">
        <v>24</v>
      </c>
    </row>
    <row r="13061" spans="1:11" ht="54" customHeight="1">
      <c r="A13061" s="9" t="s">
        <v>26596</v>
      </c>
      <c r="B13061" s="9" t="s">
        <v>26596</v>
      </c>
      <c r="C13061" s="9" t="s">
        <v>17</v>
      </c>
      <c r="D13061" s="9" t="s">
        <v>18</v>
      </c>
      <c r="E13061" s="10" t="s">
        <v>576</v>
      </c>
      <c r="F13061" s="9" t="s">
        <v>577</v>
      </c>
      <c r="G13061" s="10" t="s">
        <v>75</v>
      </c>
      <c r="H13061" s="9" t="s">
        <v>22</v>
      </c>
      <c r="I13061" s="9" t="s">
        <v>26597</v>
      </c>
      <c r="J13061" s="10" t="str">
        <f>HYPERLINK("https://www.boe.es/gazeta/dias/1834/09/23/pdfs/GMD-1834-221.pdf#page=4","Abrir facsímil")</f>
        <v>Abrir facsímil</v>
      </c>
      <c r="K13061" s="10" t="s">
        <v>24</v>
      </c>
    </row>
    <row r="13062" spans="1:11" ht="54" customHeight="1">
      <c r="A13062" s="9" t="s">
        <v>26592</v>
      </c>
      <c r="B13062" s="9" t="s">
        <v>26592</v>
      </c>
      <c r="C13062" s="9" t="s">
        <v>122</v>
      </c>
      <c r="D13062" s="9" t="s">
        <v>101</v>
      </c>
      <c r="E13062" s="10" t="s">
        <v>294</v>
      </c>
      <c r="F13062" s="9" t="s">
        <v>295</v>
      </c>
      <c r="G13062" s="10" t="s">
        <v>75</v>
      </c>
      <c r="H13062" s="9" t="s">
        <v>22</v>
      </c>
      <c r="I13062" s="9" t="s">
        <v>26598</v>
      </c>
      <c r="J13062" s="10" t="str">
        <f>HYPERLINK("https://www.boe.es/gazeta/dias/1834/09/27/pdfs/GMD-1834-225.pdf#page=4","Abrir facsímil")</f>
        <v>Abrir facsímil</v>
      </c>
      <c r="K13062" s="10" t="s">
        <v>24</v>
      </c>
    </row>
    <row r="13063" spans="1:11" ht="54" customHeight="1">
      <c r="A13063" s="9" t="s">
        <v>26599</v>
      </c>
      <c r="B13063" s="9" t="s">
        <v>26600</v>
      </c>
      <c r="C13063" s="9" t="s">
        <v>17</v>
      </c>
      <c r="D13063" s="9" t="s">
        <v>18</v>
      </c>
      <c r="E13063" s="10" t="s">
        <v>375</v>
      </c>
      <c r="F13063" s="9" t="s">
        <v>4983</v>
      </c>
      <c r="G13063" s="10" t="s">
        <v>34</v>
      </c>
      <c r="H13063" s="9" t="s">
        <v>35</v>
      </c>
      <c r="I13063" s="9" t="s">
        <v>26601</v>
      </c>
      <c r="J13063" s="10" t="str">
        <f>HYPERLINK("https://www.boe.es/gazeta/dias/1834/08/21/pdfs/GMD-C-1834-187.pdf#page=1","Abrir facsímil")</f>
        <v>Abrir facsímil</v>
      </c>
      <c r="K13063" s="10" t="s">
        <v>37</v>
      </c>
    </row>
    <row r="13064" spans="1:11" ht="54" customHeight="1">
      <c r="A13064" s="9" t="s">
        <v>26602</v>
      </c>
      <c r="B13064" s="9" t="s">
        <v>26603</v>
      </c>
      <c r="C13064" s="9" t="s">
        <v>17</v>
      </c>
      <c r="D13064" s="9" t="s">
        <v>18</v>
      </c>
      <c r="E13064" s="10" t="s">
        <v>375</v>
      </c>
      <c r="F13064" s="9" t="s">
        <v>4983</v>
      </c>
      <c r="G13064" s="10" t="s">
        <v>34</v>
      </c>
      <c r="H13064" s="9" t="s">
        <v>22</v>
      </c>
      <c r="I13064" s="9" t="s">
        <v>26604</v>
      </c>
      <c r="J13064" s="10" t="str">
        <f>HYPERLINK("https://www.boe.es/gazeta/dias/1834/08/21/pdfs/GMD-C-1834-187.pdf#page=1","Abrir facsímil")</f>
        <v>Abrir facsímil</v>
      </c>
      <c r="K13064" s="10" t="s">
        <v>24</v>
      </c>
    </row>
    <row r="13065" spans="1:11" ht="54" customHeight="1">
      <c r="A13065" s="9" t="s">
        <v>26605</v>
      </c>
      <c r="B13065" s="9" t="s">
        <v>26605</v>
      </c>
      <c r="C13065" s="9" t="s">
        <v>17</v>
      </c>
      <c r="D13065" s="9" t="s">
        <v>18</v>
      </c>
      <c r="E13065" s="10" t="s">
        <v>2053</v>
      </c>
      <c r="F13065" s="9" t="s">
        <v>2054</v>
      </c>
      <c r="G13065" s="10" t="s">
        <v>75</v>
      </c>
      <c r="H13065" s="9" t="s">
        <v>22</v>
      </c>
      <c r="I13065" s="9" t="s">
        <v>26606</v>
      </c>
      <c r="J13065" s="10" t="str">
        <f>HYPERLINK("https://www.boe.es/gazeta/dias/1834/06/02/pdfs/GMD-1834-103.pdf#page=4","Abrir facsímil")</f>
        <v>Abrir facsímil</v>
      </c>
      <c r="K13065" s="10" t="s">
        <v>24</v>
      </c>
    </row>
    <row r="13066" spans="1:11" ht="54" customHeight="1">
      <c r="A13066" s="9" t="s">
        <v>26607</v>
      </c>
      <c r="B13066" s="9" t="s">
        <v>26607</v>
      </c>
      <c r="C13066" s="9" t="s">
        <v>90</v>
      </c>
      <c r="D13066" s="9" t="s">
        <v>18</v>
      </c>
      <c r="E13066" s="10" t="s">
        <v>1459</v>
      </c>
      <c r="F13066" s="9" t="s">
        <v>1460</v>
      </c>
      <c r="G13066" s="10" t="s">
        <v>75</v>
      </c>
      <c r="H13066" s="9" t="s">
        <v>22</v>
      </c>
      <c r="I13066" s="9" t="s">
        <v>26608</v>
      </c>
      <c r="J13066" s="10" t="str">
        <f>HYPERLINK("https://www.boe.es/gazeta/dias/1834/08/18/pdfs/GMD-1834-184.pdf#page=4","Abrir facsímil")</f>
        <v>Abrir facsímil</v>
      </c>
      <c r="K13066" s="10" t="s">
        <v>24</v>
      </c>
    </row>
    <row r="13067" spans="1:11" ht="54" customHeight="1">
      <c r="A13067" s="9" t="s">
        <v>26609</v>
      </c>
      <c r="B13067" s="9" t="s">
        <v>26610</v>
      </c>
      <c r="C13067" s="9" t="s">
        <v>90</v>
      </c>
      <c r="D13067" s="9" t="s">
        <v>101</v>
      </c>
      <c r="E13067" s="10" t="s">
        <v>1575</v>
      </c>
      <c r="F13067" s="9" t="s">
        <v>1576</v>
      </c>
      <c r="G13067" s="10" t="s">
        <v>86</v>
      </c>
      <c r="H13067" s="9" t="s">
        <v>22</v>
      </c>
      <c r="I13067" s="9" t="s">
        <v>26611</v>
      </c>
      <c r="J13067" s="10" t="str">
        <f>HYPERLINK("https://www.boe.es/gazeta/dias/1834/11/24/pdfs/GMD-1834-283.pdf#page=2","Abrir facsímil")</f>
        <v>Abrir facsímil</v>
      </c>
      <c r="K13067" s="10" t="s">
        <v>24</v>
      </c>
    </row>
    <row r="13068" spans="1:11" ht="54" customHeight="1">
      <c r="A13068" s="9" t="s">
        <v>26612</v>
      </c>
      <c r="B13068" s="9" t="s">
        <v>26613</v>
      </c>
      <c r="C13068" s="9" t="s">
        <v>46</v>
      </c>
      <c r="D13068" s="9" t="s">
        <v>18</v>
      </c>
      <c r="E13068" s="10" t="s">
        <v>408</v>
      </c>
      <c r="F13068" s="9" t="s">
        <v>409</v>
      </c>
      <c r="G13068" s="10" t="s">
        <v>86</v>
      </c>
      <c r="H13068" s="9" t="s">
        <v>22</v>
      </c>
      <c r="I13068" s="9" t="s">
        <v>26614</v>
      </c>
      <c r="J13068" s="10" t="str">
        <f>HYPERLINK("https://www.boe.es/gazeta/dias/1834/04/28/pdfs/GMD-1834-67.pdf#page=2","Abrir facsímil")</f>
        <v>Abrir facsímil</v>
      </c>
      <c r="K13068" s="10" t="s">
        <v>24</v>
      </c>
    </row>
    <row r="13069" spans="1:11" ht="54" customHeight="1">
      <c r="A13069" s="9" t="s">
        <v>26615</v>
      </c>
      <c r="B13069" s="9" t="s">
        <v>26616</v>
      </c>
      <c r="C13069" s="9" t="s">
        <v>90</v>
      </c>
      <c r="D13069" s="9" t="s">
        <v>18</v>
      </c>
      <c r="E13069" s="10" t="s">
        <v>729</v>
      </c>
      <c r="F13069" s="9" t="s">
        <v>730</v>
      </c>
      <c r="G13069" s="10" t="s">
        <v>34</v>
      </c>
      <c r="H13069" s="9" t="s">
        <v>22</v>
      </c>
      <c r="I13069" s="9" t="s">
        <v>26617</v>
      </c>
      <c r="J13069" s="10" t="str">
        <f>HYPERLINK("https://www.boe.es/gazeta/dias/1834/04/13/pdfs/GMD-1834-52.pdf#page=1","Abrir facsímil")</f>
        <v>Abrir facsímil</v>
      </c>
      <c r="K13069" s="10" t="s">
        <v>24</v>
      </c>
    </row>
    <row r="13070" spans="1:11" ht="54" customHeight="1">
      <c r="A13070" s="9" t="s">
        <v>26618</v>
      </c>
      <c r="B13070" s="9" t="s">
        <v>26618</v>
      </c>
      <c r="C13070" s="9" t="s">
        <v>46</v>
      </c>
      <c r="D13070" s="9" t="s">
        <v>101</v>
      </c>
      <c r="E13070" s="10" t="s">
        <v>258</v>
      </c>
      <c r="F13070" s="9" t="s">
        <v>259</v>
      </c>
      <c r="G13070" s="10" t="s">
        <v>28</v>
      </c>
      <c r="H13070" s="9" t="s">
        <v>22</v>
      </c>
      <c r="I13070" s="9" t="s">
        <v>26619</v>
      </c>
      <c r="J13070" s="10" t="str">
        <f>HYPERLINK("https://www.boe.es/gazeta/dias/1834/10/09/pdfs/GMD-C-1834-237.pdf#page=5","Abrir facsímil")</f>
        <v>Abrir facsímil</v>
      </c>
      <c r="K13070" s="10" t="s">
        <v>24</v>
      </c>
    </row>
    <row r="13071" spans="1:11" ht="54" customHeight="1">
      <c r="A13071" s="9" t="s">
        <v>26618</v>
      </c>
      <c r="B13071" s="9" t="s">
        <v>26618</v>
      </c>
      <c r="C13071" s="9" t="s">
        <v>122</v>
      </c>
      <c r="D13071" s="9" t="s">
        <v>55</v>
      </c>
      <c r="E13071" s="10" t="s">
        <v>299</v>
      </c>
      <c r="F13071" s="9" t="s">
        <v>300</v>
      </c>
      <c r="G13071" s="10" t="s">
        <v>86</v>
      </c>
      <c r="H13071" s="9" t="s">
        <v>22</v>
      </c>
      <c r="I13071" s="9" t="s">
        <v>26620</v>
      </c>
      <c r="J13071" s="10" t="str">
        <f>HYPERLINK("https://www.boe.es/gazeta/dias/1834/12/12/pdfs/GMD-1834-301.pdf#page=2","Abrir facsímil")</f>
        <v>Abrir facsímil</v>
      </c>
      <c r="K13071" s="10" t="s">
        <v>24</v>
      </c>
    </row>
    <row r="13072" spans="1:11" ht="54" customHeight="1">
      <c r="A13072" s="9" t="s">
        <v>26621</v>
      </c>
      <c r="B13072" s="9" t="s">
        <v>26622</v>
      </c>
      <c r="C13072" s="9" t="s">
        <v>46</v>
      </c>
      <c r="D13072" s="9" t="s">
        <v>18</v>
      </c>
      <c r="E13072" s="10" t="s">
        <v>1002</v>
      </c>
      <c r="F13072" s="9" t="s">
        <v>1003</v>
      </c>
      <c r="G13072" s="10" t="s">
        <v>21</v>
      </c>
      <c r="H13072" s="9" t="s">
        <v>22</v>
      </c>
      <c r="I13072" s="9" t="s">
        <v>26623</v>
      </c>
      <c r="J13072" s="10" t="str">
        <f>HYPERLINK("https://www.boe.es/gazeta/dias/1834/06/26/pdfs/GMD-1834-129.pdf#page=3","Abrir facsímil")</f>
        <v>Abrir facsímil</v>
      </c>
      <c r="K13072" s="10" t="s">
        <v>24</v>
      </c>
    </row>
    <row r="13073" spans="1:11" ht="54" customHeight="1">
      <c r="A13073" s="9" t="s">
        <v>26624</v>
      </c>
      <c r="B13073" s="9" t="s">
        <v>26625</v>
      </c>
      <c r="C13073" s="9" t="s">
        <v>17</v>
      </c>
      <c r="D13073" s="9" t="s">
        <v>18</v>
      </c>
      <c r="E13073" s="10" t="s">
        <v>1212</v>
      </c>
      <c r="F13073" s="9" t="s">
        <v>1213</v>
      </c>
      <c r="G13073" s="10" t="s">
        <v>75</v>
      </c>
      <c r="H13073" s="9" t="s">
        <v>22</v>
      </c>
      <c r="I13073" s="9" t="s">
        <v>26626</v>
      </c>
      <c r="J13073" s="10" t="str">
        <f>HYPERLINK("https://www.boe.es/gazeta/dias/1834/05/24/pdfs/GMD-1834-93.pdf#page=4","Abrir facsímil")</f>
        <v>Abrir facsímil</v>
      </c>
      <c r="K13073" s="10" t="s">
        <v>24</v>
      </c>
    </row>
    <row r="13074" spans="1:11" ht="54" customHeight="1">
      <c r="A13074" s="9" t="s">
        <v>26627</v>
      </c>
      <c r="B13074" s="9" t="s">
        <v>26628</v>
      </c>
      <c r="C13074" s="9" t="s">
        <v>17</v>
      </c>
      <c r="D13074" s="9" t="s">
        <v>18</v>
      </c>
      <c r="E13074" s="10" t="s">
        <v>2203</v>
      </c>
      <c r="F13074" s="9" t="s">
        <v>3917</v>
      </c>
      <c r="G13074" s="10" t="s">
        <v>75</v>
      </c>
      <c r="H13074" s="9" t="s">
        <v>35</v>
      </c>
      <c r="I13074" s="9" t="s">
        <v>26629</v>
      </c>
      <c r="J13074" s="10" t="str">
        <f>HYPERLINK("https://www.boe.es/gazeta/dias/1834/09/10/pdfs/GMD-1834-208.pdf#page=4","Abrir facsímil")</f>
        <v>Abrir facsímil</v>
      </c>
      <c r="K13074" s="10" t="s">
        <v>37</v>
      </c>
    </row>
    <row r="13075" spans="1:11" ht="54" customHeight="1">
      <c r="A13075" s="9" t="s">
        <v>26630</v>
      </c>
      <c r="B13075" s="9" t="s">
        <v>26631</v>
      </c>
      <c r="C13075" s="9" t="s">
        <v>17</v>
      </c>
      <c r="D13075" s="9" t="s">
        <v>18</v>
      </c>
      <c r="E13075" s="10" t="s">
        <v>2203</v>
      </c>
      <c r="F13075" s="9" t="s">
        <v>3917</v>
      </c>
      <c r="G13075" s="10" t="s">
        <v>75</v>
      </c>
      <c r="H13075" s="9" t="s">
        <v>22</v>
      </c>
      <c r="I13075" s="9" t="s">
        <v>26632</v>
      </c>
      <c r="J13075" s="10" t="str">
        <f>HYPERLINK("https://www.boe.es/gazeta/dias/1834/09/10/pdfs/GMD-1834-208.pdf#page=4","Abrir facsímil")</f>
        <v>Abrir facsímil</v>
      </c>
      <c r="K13075" s="10" t="s">
        <v>24</v>
      </c>
    </row>
    <row r="13076" spans="1:11" ht="54" customHeight="1">
      <c r="A13076" s="9" t="s">
        <v>26633</v>
      </c>
      <c r="B13076" s="9" t="s">
        <v>26634</v>
      </c>
      <c r="C13076" s="9" t="s">
        <v>66</v>
      </c>
      <c r="D13076" s="9" t="s">
        <v>67</v>
      </c>
      <c r="E13076" s="10" t="s">
        <v>1025</v>
      </c>
      <c r="F13076" s="9" t="s">
        <v>1026</v>
      </c>
      <c r="G13076" s="10" t="s">
        <v>34</v>
      </c>
      <c r="H13076" s="9" t="s">
        <v>22</v>
      </c>
      <c r="I13076" s="9" t="s">
        <v>26635</v>
      </c>
      <c r="J13076" s="10" t="str">
        <f>HYPERLINK("https://www.boe.es/gazeta/dias/1834/03/01/pdfs/GMD-1834-27.pdf#page=1","Abrir facsímil")</f>
        <v>Abrir facsímil</v>
      </c>
      <c r="K13076" s="10" t="s">
        <v>24</v>
      </c>
    </row>
    <row r="13077" spans="1:11" ht="54" customHeight="1">
      <c r="A13077" s="9" t="s">
        <v>26636</v>
      </c>
      <c r="B13077" s="9" t="s">
        <v>26637</v>
      </c>
      <c r="C13077" s="9" t="s">
        <v>17</v>
      </c>
      <c r="D13077" s="9" t="s">
        <v>18</v>
      </c>
      <c r="E13077" s="10" t="s">
        <v>3170</v>
      </c>
      <c r="F13077" s="9" t="s">
        <v>3171</v>
      </c>
      <c r="G13077" s="10" t="s">
        <v>75</v>
      </c>
      <c r="H13077" s="9" t="s">
        <v>22</v>
      </c>
      <c r="I13077" s="9" t="s">
        <v>26638</v>
      </c>
      <c r="J13077" s="10" t="str">
        <f>HYPERLINK("https://www.boe.es/gazeta/dias/1834/12/07/pdfs/GMD-1834-296.pdf#page=4","Abrir facsímil")</f>
        <v>Abrir facsímil</v>
      </c>
      <c r="K13077" s="10" t="s">
        <v>24</v>
      </c>
    </row>
    <row r="13078" spans="1:11" ht="54" customHeight="1">
      <c r="A13078" s="9" t="s">
        <v>26639</v>
      </c>
      <c r="B13078" s="9" t="s">
        <v>26640</v>
      </c>
      <c r="C13078" s="9" t="s">
        <v>46</v>
      </c>
      <c r="D13078" s="9" t="s">
        <v>101</v>
      </c>
      <c r="E13078" s="10" t="s">
        <v>317</v>
      </c>
      <c r="F13078" s="9" t="s">
        <v>318</v>
      </c>
      <c r="G13078" s="10" t="s">
        <v>86</v>
      </c>
      <c r="H13078" s="9" t="s">
        <v>22</v>
      </c>
      <c r="I13078" s="9" t="s">
        <v>26641</v>
      </c>
      <c r="J13078" s="10" t="str">
        <f>HYPERLINK("https://www.boe.es/gazeta/dias/1834/03/06/pdfs/I00139-00140.pdf#page=2","Abrir facsímil")</f>
        <v>Abrir facsímil</v>
      </c>
      <c r="K13078" s="10" t="s">
        <v>24</v>
      </c>
    </row>
    <row r="13079" spans="1:11" ht="54" customHeight="1">
      <c r="A13079" s="9" t="s">
        <v>26639</v>
      </c>
      <c r="B13079" s="9" t="s">
        <v>26640</v>
      </c>
      <c r="C13079" s="9" t="s">
        <v>46</v>
      </c>
      <c r="D13079" s="9" t="s">
        <v>101</v>
      </c>
      <c r="E13079" s="10" t="s">
        <v>317</v>
      </c>
      <c r="F13079" s="9" t="s">
        <v>318</v>
      </c>
      <c r="G13079" s="10" t="s">
        <v>75</v>
      </c>
      <c r="H13079" s="9" t="s">
        <v>22</v>
      </c>
      <c r="I13079" s="9" t="s">
        <v>26641</v>
      </c>
      <c r="J13079" s="10" t="str">
        <f>HYPERLINK("https://www.boe.es/gazeta/dias/1834/03/06/pdfs/GMD-1834-29.pdf#page=4","Abrir facsímil")</f>
        <v>Abrir facsímil</v>
      </c>
      <c r="K13079" s="10" t="s">
        <v>24</v>
      </c>
    </row>
    <row r="13080" spans="1:11" ht="54" customHeight="1">
      <c r="A13080" s="9" t="s">
        <v>26642</v>
      </c>
      <c r="B13080" s="9" t="s">
        <v>26643</v>
      </c>
      <c r="C13080" s="9" t="s">
        <v>66</v>
      </c>
      <c r="D13080" s="9" t="s">
        <v>67</v>
      </c>
      <c r="E13080" s="10" t="s">
        <v>2241</v>
      </c>
      <c r="F13080" s="9" t="s">
        <v>2242</v>
      </c>
      <c r="G13080" s="10" t="s">
        <v>21</v>
      </c>
      <c r="H13080" s="9" t="s">
        <v>22</v>
      </c>
      <c r="I13080" s="9" t="s">
        <v>26644</v>
      </c>
      <c r="J13080" s="10" t="str">
        <f>HYPERLINK("https://www.boe.es/gazeta/dias/1834/03/11/pdfs/GMD-1834-31.pdf#page=3","Abrir facsímil")</f>
        <v>Abrir facsímil</v>
      </c>
      <c r="K13080" s="10" t="s">
        <v>24</v>
      </c>
    </row>
    <row r="13081" spans="1:11" ht="54" customHeight="1">
      <c r="A13081" s="9" t="s">
        <v>26645</v>
      </c>
      <c r="B13081" s="9" t="s">
        <v>26646</v>
      </c>
      <c r="C13081" s="9" t="s">
        <v>66</v>
      </c>
      <c r="D13081" s="9" t="s">
        <v>18</v>
      </c>
      <c r="E13081" s="10" t="s">
        <v>715</v>
      </c>
      <c r="F13081" s="9" t="s">
        <v>7773</v>
      </c>
      <c r="G13081" s="10" t="s">
        <v>21</v>
      </c>
      <c r="H13081" s="9" t="s">
        <v>22</v>
      </c>
      <c r="I13081" s="9" t="s">
        <v>26647</v>
      </c>
      <c r="J13081" s="10" t="str">
        <f>HYPERLINK("https://www.boe.es/gazeta/dias/1834/09/17/pdfs/GMD-1834-215.pdf#page=3","Abrir facsímil")</f>
        <v>Abrir facsímil</v>
      </c>
      <c r="K13081" s="10" t="s">
        <v>24</v>
      </c>
    </row>
    <row r="13082" spans="1:11" ht="54" customHeight="1">
      <c r="A13082" s="9" t="s">
        <v>26648</v>
      </c>
      <c r="B13082" s="9" t="s">
        <v>26649</v>
      </c>
      <c r="C13082" s="9" t="s">
        <v>122</v>
      </c>
      <c r="D13082" s="9" t="s">
        <v>101</v>
      </c>
      <c r="E13082" s="10" t="s">
        <v>1850</v>
      </c>
      <c r="F13082" s="9" t="s">
        <v>1851</v>
      </c>
      <c r="G13082" s="10" t="s">
        <v>21</v>
      </c>
      <c r="H13082" s="9" t="s">
        <v>22</v>
      </c>
      <c r="I13082" s="9" t="s">
        <v>26650</v>
      </c>
      <c r="J13082" s="10" t="str">
        <f>HYPERLINK("https://www.boe.es/gazeta/dias/1834/02/18/pdfs/GMD-1834-22.pdf#page=3","Abrir facsímil")</f>
        <v>Abrir facsímil</v>
      </c>
      <c r="K13082" s="10" t="s">
        <v>24</v>
      </c>
    </row>
    <row r="13083" spans="1:11" ht="54" customHeight="1">
      <c r="A13083" s="9" t="s">
        <v>26651</v>
      </c>
      <c r="B13083" s="9" t="s">
        <v>26652</v>
      </c>
      <c r="C13083" s="9" t="s">
        <v>66</v>
      </c>
      <c r="D13083" s="9" t="s">
        <v>67</v>
      </c>
      <c r="E13083" s="10" t="s">
        <v>1789</v>
      </c>
      <c r="F13083" s="9" t="s">
        <v>1790</v>
      </c>
      <c r="G13083" s="10" t="s">
        <v>75</v>
      </c>
      <c r="H13083" s="9" t="s">
        <v>22</v>
      </c>
      <c r="I13083" s="9" t="s">
        <v>26653</v>
      </c>
      <c r="J13083" s="10" t="str">
        <f>HYPERLINK("https://www.boe.es/gazeta/dias/1834/05/31/pdfs/GMD-1834-100.pdf#page=4","Abrir facsímil")</f>
        <v>Abrir facsímil</v>
      </c>
      <c r="K13083" s="10" t="s">
        <v>24</v>
      </c>
    </row>
    <row r="13084" spans="1:11" ht="54" customHeight="1">
      <c r="A13084" s="9" t="s">
        <v>26654</v>
      </c>
      <c r="B13084" s="9" t="s">
        <v>26655</v>
      </c>
      <c r="C13084" s="9" t="s">
        <v>122</v>
      </c>
      <c r="D13084" s="9" t="s">
        <v>18</v>
      </c>
      <c r="E13084" s="10" t="s">
        <v>1410</v>
      </c>
      <c r="F13084" s="9" t="s">
        <v>1411</v>
      </c>
      <c r="G13084" s="10" t="s">
        <v>86</v>
      </c>
      <c r="H13084" s="9" t="s">
        <v>22</v>
      </c>
      <c r="I13084" s="9" t="s">
        <v>26656</v>
      </c>
      <c r="J13084" s="10" t="str">
        <f>HYPERLINK("https://www.boe.es/gazeta/dias/1834/09/09/pdfs/GMD-1834-207.pdf#page=2","Abrir facsímil")</f>
        <v>Abrir facsímil</v>
      </c>
      <c r="K13084" s="10" t="s">
        <v>24</v>
      </c>
    </row>
    <row r="13085" spans="1:11" ht="54" customHeight="1">
      <c r="A13085" s="9" t="s">
        <v>26657</v>
      </c>
      <c r="B13085" s="9" t="s">
        <v>26658</v>
      </c>
      <c r="C13085" s="9" t="s">
        <v>46</v>
      </c>
      <c r="D13085" s="9" t="s">
        <v>101</v>
      </c>
      <c r="E13085" s="10" t="s">
        <v>330</v>
      </c>
      <c r="F13085" s="9" t="s">
        <v>331</v>
      </c>
      <c r="G13085" s="10" t="s">
        <v>21</v>
      </c>
      <c r="H13085" s="9" t="s">
        <v>22</v>
      </c>
      <c r="I13085" s="9" t="s">
        <v>26659</v>
      </c>
      <c r="J13085" s="10" t="str">
        <f>HYPERLINK("https://www.boe.es/gazeta/dias/1834/12/03/pdfs/GMD-1834-292.pdf#page=3","Abrir facsímil")</f>
        <v>Abrir facsímil</v>
      </c>
      <c r="K13085" s="10" t="s">
        <v>24</v>
      </c>
    </row>
    <row r="13086" spans="1:11" ht="54" customHeight="1">
      <c r="A13086" s="9" t="s">
        <v>26660</v>
      </c>
      <c r="B13086" s="9" t="s">
        <v>26660</v>
      </c>
      <c r="C13086" s="9" t="s">
        <v>90</v>
      </c>
      <c r="D13086" s="9" t="s">
        <v>67</v>
      </c>
      <c r="E13086" s="10" t="s">
        <v>364</v>
      </c>
      <c r="F13086" s="9" t="s">
        <v>2102</v>
      </c>
      <c r="G13086" s="10" t="s">
        <v>86</v>
      </c>
      <c r="H13086" s="9" t="s">
        <v>22</v>
      </c>
      <c r="I13086" s="9" t="s">
        <v>26661</v>
      </c>
      <c r="J13086" s="10" t="str">
        <f>HYPERLINK("https://www.boe.es/gazeta/dias/1834/09/06/pdfs/GMD-1834-204.pdf#page=2","Abrir facsímil")</f>
        <v>Abrir facsímil</v>
      </c>
      <c r="K13086" s="10" t="s">
        <v>24</v>
      </c>
    </row>
    <row r="13087" spans="1:11" ht="54" customHeight="1">
      <c r="A13087" s="9" t="s">
        <v>26660</v>
      </c>
      <c r="B13087" s="9" t="s">
        <v>26660</v>
      </c>
      <c r="C13087" s="9" t="s">
        <v>46</v>
      </c>
      <c r="D13087" s="9" t="s">
        <v>55</v>
      </c>
      <c r="E13087" s="10" t="s">
        <v>866</v>
      </c>
      <c r="F13087" s="9" t="s">
        <v>867</v>
      </c>
      <c r="G13087" s="10" t="s">
        <v>86</v>
      </c>
      <c r="H13087" s="9" t="s">
        <v>22</v>
      </c>
      <c r="I13087" s="9" t="s">
        <v>26662</v>
      </c>
      <c r="J13087" s="10" t="str">
        <f>HYPERLINK("https://www.boe.es/gazeta/dias/1834/01/18/pdfs/GMD-1834-9.pdf#page=2","Abrir facsímil")</f>
        <v>Abrir facsímil</v>
      </c>
      <c r="K13087" s="10" t="s">
        <v>24</v>
      </c>
    </row>
    <row r="13088" spans="1:11" ht="54" customHeight="1">
      <c r="A13088" s="9" t="s">
        <v>26663</v>
      </c>
      <c r="B13088" s="9" t="s">
        <v>26663</v>
      </c>
      <c r="C13088" s="9" t="s">
        <v>17</v>
      </c>
      <c r="D13088" s="9" t="s">
        <v>18</v>
      </c>
      <c r="E13088" s="10" t="s">
        <v>3699</v>
      </c>
      <c r="F13088" s="9" t="s">
        <v>6179</v>
      </c>
      <c r="G13088" s="10" t="s">
        <v>34</v>
      </c>
      <c r="H13088" s="9" t="s">
        <v>22</v>
      </c>
      <c r="I13088" s="9" t="s">
        <v>26664</v>
      </c>
      <c r="J13088" s="10" t="str">
        <f>HYPERLINK("https://www.boe.es/gazeta/dias/1834/02/06/pdfs/GMD-C-1834-17.pdf#page=1","Abrir facsímil")</f>
        <v>Abrir facsímil</v>
      </c>
      <c r="K13088" s="10" t="s">
        <v>24</v>
      </c>
    </row>
    <row r="13089" spans="1:11" ht="54" customHeight="1">
      <c r="A13089" s="9" t="s">
        <v>26665</v>
      </c>
      <c r="B13089" s="9" t="s">
        <v>26666</v>
      </c>
      <c r="C13089" s="9" t="s">
        <v>66</v>
      </c>
      <c r="D13089" s="9" t="s">
        <v>18</v>
      </c>
      <c r="E13089" s="10" t="s">
        <v>1850</v>
      </c>
      <c r="F13089" s="9" t="s">
        <v>1851</v>
      </c>
      <c r="G13089" s="10" t="s">
        <v>176</v>
      </c>
      <c r="H13089" s="9" t="s">
        <v>22</v>
      </c>
      <c r="I13089" s="9" t="s">
        <v>26667</v>
      </c>
      <c r="J13089" s="10" t="str">
        <f>HYPERLINK("https://www.boe.es/gazeta/dias/1834/02/18/pdfs/GMD-1834-22.pdf#page=6","Abrir facsímil")</f>
        <v>Abrir facsímil</v>
      </c>
      <c r="K13089" s="10" t="s">
        <v>24</v>
      </c>
    </row>
    <row r="13090" spans="1:11" ht="54" customHeight="1">
      <c r="A13090" s="9" t="s">
        <v>26665</v>
      </c>
      <c r="B13090" s="9" t="s">
        <v>26666</v>
      </c>
      <c r="C13090" s="9" t="s">
        <v>17</v>
      </c>
      <c r="D13090" s="9" t="s">
        <v>18</v>
      </c>
      <c r="E13090" s="10" t="s">
        <v>1850</v>
      </c>
      <c r="F13090" s="9" t="s">
        <v>1851</v>
      </c>
      <c r="G13090" s="10" t="s">
        <v>560</v>
      </c>
      <c r="H13090" s="9" t="s">
        <v>22</v>
      </c>
      <c r="I13090" s="9" t="s">
        <v>26668</v>
      </c>
      <c r="J13090" s="10" t="str">
        <f>HYPERLINK("https://www.boe.es/gazeta/dias/1834/02/18/pdfs/GMD-1834-22.pdf#page=7","Abrir facsímil")</f>
        <v>Abrir facsímil</v>
      </c>
      <c r="K13090" s="10" t="s">
        <v>24</v>
      </c>
    </row>
    <row r="13091" spans="1:11" ht="54" customHeight="1">
      <c r="A13091" s="9" t="s">
        <v>26669</v>
      </c>
      <c r="B13091" s="9" t="s">
        <v>26670</v>
      </c>
      <c r="C13091" s="9" t="s">
        <v>17</v>
      </c>
      <c r="D13091" s="9" t="s">
        <v>18</v>
      </c>
      <c r="E13091" s="10" t="s">
        <v>237</v>
      </c>
      <c r="F13091" s="9" t="s">
        <v>4609</v>
      </c>
      <c r="G13091" s="10" t="s">
        <v>75</v>
      </c>
      <c r="H13091" s="9" t="s">
        <v>22</v>
      </c>
      <c r="I13091" s="9" t="s">
        <v>26671</v>
      </c>
      <c r="J13091" s="10" t="str">
        <f>HYPERLINK("https://www.boe.es/gazeta/dias/1834/08/15/pdfs/GMD-1834-180.pdf#page=4","Abrir facsímil")</f>
        <v>Abrir facsímil</v>
      </c>
      <c r="K13091" s="10" t="s">
        <v>24</v>
      </c>
    </row>
    <row r="13092" spans="1:11" ht="54" customHeight="1">
      <c r="A13092" s="9" t="s">
        <v>26672</v>
      </c>
      <c r="B13092" s="9" t="s">
        <v>26673</v>
      </c>
      <c r="C13092" s="9" t="s">
        <v>17</v>
      </c>
      <c r="D13092" s="9" t="s">
        <v>18</v>
      </c>
      <c r="E13092" s="10" t="s">
        <v>3699</v>
      </c>
      <c r="F13092" s="9" t="s">
        <v>6179</v>
      </c>
      <c r="G13092" s="10" t="s">
        <v>34</v>
      </c>
      <c r="H13092" s="9" t="s">
        <v>22</v>
      </c>
      <c r="I13092" s="9" t="s">
        <v>26674</v>
      </c>
      <c r="J13092" s="10" t="str">
        <f>HYPERLINK("https://www.boe.es/gazeta/dias/1834/02/06/pdfs/GMD-C-1834-17.pdf#page=1","Abrir facsímil")</f>
        <v>Abrir facsímil</v>
      </c>
      <c r="K13092" s="10" t="s">
        <v>24</v>
      </c>
    </row>
    <row r="13093" spans="1:11" ht="54" customHeight="1">
      <c r="A13093" s="9" t="s">
        <v>26675</v>
      </c>
      <c r="B13093" s="9" t="s">
        <v>26675</v>
      </c>
      <c r="C13093" s="9" t="s">
        <v>17</v>
      </c>
      <c r="D13093" s="9" t="s">
        <v>18</v>
      </c>
      <c r="E13093" s="10" t="s">
        <v>2937</v>
      </c>
      <c r="F13093" s="9" t="s">
        <v>2938</v>
      </c>
      <c r="G13093" s="10" t="s">
        <v>21</v>
      </c>
      <c r="H13093" s="9" t="s">
        <v>22</v>
      </c>
      <c r="I13093" s="9" t="s">
        <v>26676</v>
      </c>
      <c r="J13093" s="10" t="str">
        <f>HYPERLINK("https://www.boe.es/gazeta/dias/1834/06/25/pdfs/GMD-1834-128.pdf#page=3","Abrir facsímil")</f>
        <v>Abrir facsímil</v>
      </c>
      <c r="K13093" s="10" t="s">
        <v>24</v>
      </c>
    </row>
    <row r="13094" spans="1:11" ht="54" customHeight="1">
      <c r="A13094" s="9" t="s">
        <v>26677</v>
      </c>
      <c r="B13094" s="9" t="s">
        <v>26677</v>
      </c>
      <c r="C13094" s="9" t="s">
        <v>66</v>
      </c>
      <c r="D13094" s="9" t="s">
        <v>18</v>
      </c>
      <c r="E13094" s="10" t="s">
        <v>403</v>
      </c>
      <c r="F13094" s="9" t="s">
        <v>3456</v>
      </c>
      <c r="G13094" s="10" t="s">
        <v>75</v>
      </c>
      <c r="H13094" s="9" t="s">
        <v>22</v>
      </c>
      <c r="I13094" s="9" t="s">
        <v>26678</v>
      </c>
      <c r="J13094" s="10" t="str">
        <f>HYPERLINK("https://www.boe.es/gazeta/dias/1834/09/25/pdfs/GMD-1834-223.pdf#page=4","Abrir facsímil")</f>
        <v>Abrir facsímil</v>
      </c>
      <c r="K13094" s="10" t="s">
        <v>24</v>
      </c>
    </row>
    <row r="13095" spans="1:11" ht="54" customHeight="1">
      <c r="A13095" s="9" t="s">
        <v>26679</v>
      </c>
      <c r="B13095" s="9" t="s">
        <v>26680</v>
      </c>
      <c r="C13095" s="9" t="s">
        <v>17</v>
      </c>
      <c r="D13095" s="9" t="s">
        <v>18</v>
      </c>
      <c r="E13095" s="10" t="s">
        <v>61</v>
      </c>
      <c r="F13095" s="9" t="s">
        <v>205</v>
      </c>
      <c r="G13095" s="10" t="s">
        <v>21</v>
      </c>
      <c r="H13095" s="9" t="s">
        <v>22</v>
      </c>
      <c r="I13095" s="9" t="s">
        <v>26681</v>
      </c>
      <c r="J13095" s="10" t="str">
        <f>HYPERLINK("https://www.boe.es/gazeta/dias/1834/06/08/pdfs/GMD-1834-110.pdf#page=3","Abrir facsímil")</f>
        <v>Abrir facsímil</v>
      </c>
      <c r="K13095" s="10" t="s">
        <v>24</v>
      </c>
    </row>
    <row r="13096" spans="1:11" ht="54" customHeight="1">
      <c r="A13096" s="9" t="s">
        <v>26682</v>
      </c>
      <c r="B13096" s="9" t="s">
        <v>26683</v>
      </c>
      <c r="C13096" s="9" t="s">
        <v>17</v>
      </c>
      <c r="D13096" s="9" t="s">
        <v>18</v>
      </c>
      <c r="E13096" s="10" t="s">
        <v>1008</v>
      </c>
      <c r="F13096" s="9" t="s">
        <v>1009</v>
      </c>
      <c r="G13096" s="10" t="s">
        <v>21</v>
      </c>
      <c r="H13096" s="9" t="s">
        <v>35</v>
      </c>
      <c r="I13096" s="9" t="s">
        <v>26684</v>
      </c>
      <c r="J13096" s="10" t="str">
        <f>HYPERLINK("https://www.boe.es/gazeta/dias/1834/11/08/pdfs/GMD-C-1834-267.pdf#page=3","Abrir facsímil")</f>
        <v>Abrir facsímil</v>
      </c>
      <c r="K13096" s="10" t="s">
        <v>37</v>
      </c>
    </row>
    <row r="13097" spans="1:11" ht="54" customHeight="1">
      <c r="A13097" s="9" t="s">
        <v>26685</v>
      </c>
      <c r="B13097" s="9" t="s">
        <v>26686</v>
      </c>
      <c r="C13097" s="9" t="s">
        <v>66</v>
      </c>
      <c r="D13097" s="9" t="s">
        <v>67</v>
      </c>
      <c r="E13097" s="10" t="s">
        <v>133</v>
      </c>
      <c r="F13097" s="9" t="s">
        <v>134</v>
      </c>
      <c r="G13097" s="10" t="s">
        <v>34</v>
      </c>
      <c r="H13097" s="9" t="s">
        <v>35</v>
      </c>
      <c r="I13097" s="9" t="s">
        <v>26687</v>
      </c>
      <c r="J13097" s="10" t="str">
        <f>HYPERLINK("https://www.boe.es/gazeta/dias/1834/06/18/pdfs/GMD-1834-121.pdf#page=1","Abrir facsímil")</f>
        <v>Abrir facsímil</v>
      </c>
      <c r="K13097" s="10" t="s">
        <v>37</v>
      </c>
    </row>
    <row r="13098" spans="1:11" ht="54" customHeight="1">
      <c r="A13098" s="9" t="s">
        <v>26688</v>
      </c>
      <c r="B13098" s="9" t="s">
        <v>26689</v>
      </c>
      <c r="C13098" s="9" t="s">
        <v>17</v>
      </c>
      <c r="D13098" s="9" t="s">
        <v>18</v>
      </c>
      <c r="E13098" s="10" t="s">
        <v>2287</v>
      </c>
      <c r="F13098" s="9" t="s">
        <v>2288</v>
      </c>
      <c r="G13098" s="10" t="s">
        <v>21</v>
      </c>
      <c r="H13098" s="9" t="s">
        <v>35</v>
      </c>
      <c r="I13098" s="9" t="s">
        <v>26690</v>
      </c>
      <c r="J13098" s="10" t="str">
        <f>HYPERLINK("https://www.boe.es/gazeta/dias/1834/12/18/pdfs/GMD-C-1834-308.pdf#page=3","Abrir facsímil")</f>
        <v>Abrir facsímil</v>
      </c>
      <c r="K13098" s="10" t="s">
        <v>37</v>
      </c>
    </row>
    <row r="13099" spans="1:11" ht="54" customHeight="1">
      <c r="A13099" s="9" t="s">
        <v>26691</v>
      </c>
      <c r="B13099" s="9" t="s">
        <v>26692</v>
      </c>
      <c r="C13099" s="9" t="s">
        <v>17</v>
      </c>
      <c r="D13099" s="9" t="s">
        <v>101</v>
      </c>
      <c r="E13099" s="10" t="s">
        <v>399</v>
      </c>
      <c r="F13099" s="9" t="s">
        <v>400</v>
      </c>
      <c r="G13099" s="10" t="s">
        <v>34</v>
      </c>
      <c r="H13099" s="9" t="s">
        <v>35</v>
      </c>
      <c r="I13099" s="9" t="s">
        <v>26693</v>
      </c>
      <c r="J13099" s="10" t="str">
        <f>HYPERLINK("https://www.boe.es/gazeta/dias/1834/07/08/pdfs/GMD-1834-141.pdf#page=1","Abrir facsímil")</f>
        <v>Abrir facsímil</v>
      </c>
      <c r="K13099" s="10" t="s">
        <v>37</v>
      </c>
    </row>
    <row r="13100" spans="1:11" ht="54" customHeight="1">
      <c r="A13100" s="9" t="s">
        <v>26694</v>
      </c>
      <c r="B13100" s="9" t="s">
        <v>26695</v>
      </c>
      <c r="C13100" s="9" t="s">
        <v>66</v>
      </c>
      <c r="D13100" s="9" t="s">
        <v>18</v>
      </c>
      <c r="E13100" s="10" t="s">
        <v>1002</v>
      </c>
      <c r="F13100" s="9" t="s">
        <v>6383</v>
      </c>
      <c r="G13100" s="10" t="s">
        <v>86</v>
      </c>
      <c r="H13100" s="9" t="s">
        <v>35</v>
      </c>
      <c r="I13100" s="9" t="s">
        <v>26696</v>
      </c>
      <c r="J13100" s="10" t="str">
        <f>HYPERLINK("https://www.boe.es/gazeta/dias/1834/06/26/pdfs/GMD-C-1834-129.pdf#page=2","Abrir facsímil")</f>
        <v>Abrir facsímil</v>
      </c>
      <c r="K13100" s="10" t="s">
        <v>37</v>
      </c>
    </row>
    <row r="13101" spans="1:11" ht="54" customHeight="1">
      <c r="A13101" s="9" t="s">
        <v>26697</v>
      </c>
      <c r="B13101" s="9" t="s">
        <v>26698</v>
      </c>
      <c r="C13101" s="9" t="s">
        <v>66</v>
      </c>
      <c r="D13101" s="9" t="s">
        <v>18</v>
      </c>
      <c r="E13101" s="10" t="s">
        <v>1002</v>
      </c>
      <c r="F13101" s="9" t="s">
        <v>6383</v>
      </c>
      <c r="G13101" s="10" t="s">
        <v>86</v>
      </c>
      <c r="H13101" s="9" t="s">
        <v>22</v>
      </c>
      <c r="I13101" s="9" t="s">
        <v>26699</v>
      </c>
      <c r="J13101" s="10" t="str">
        <f>HYPERLINK("https://www.boe.es/gazeta/dias/1834/06/26/pdfs/GMD-C-1834-129.pdf#page=2","Abrir facsímil")</f>
        <v>Abrir facsímil</v>
      </c>
      <c r="K13101" s="10" t="s">
        <v>24</v>
      </c>
    </row>
    <row r="13102" spans="1:11" ht="54" customHeight="1">
      <c r="A13102" s="9" t="s">
        <v>26700</v>
      </c>
      <c r="B13102" s="9" t="s">
        <v>26700</v>
      </c>
      <c r="C13102" s="9" t="s">
        <v>17</v>
      </c>
      <c r="D13102" s="9" t="s">
        <v>18</v>
      </c>
      <c r="E13102" s="10" t="s">
        <v>1406</v>
      </c>
      <c r="F13102" s="9" t="s">
        <v>1407</v>
      </c>
      <c r="G13102" s="10" t="s">
        <v>75</v>
      </c>
      <c r="H13102" s="9" t="s">
        <v>22</v>
      </c>
      <c r="I13102" s="9" t="s">
        <v>26701</v>
      </c>
      <c r="J13102" s="10" t="str">
        <f>HYPERLINK("https://www.boe.es/gazeta/dias/1834/11/03/pdfs/GMD-1834-262.pdf#page=4","Abrir facsímil")</f>
        <v>Abrir facsímil</v>
      </c>
      <c r="K13102" s="10" t="s">
        <v>24</v>
      </c>
    </row>
    <row r="13103" spans="1:11" ht="54" customHeight="1">
      <c r="A13103" s="9" t="s">
        <v>26700</v>
      </c>
      <c r="B13103" s="9" t="s">
        <v>26700</v>
      </c>
      <c r="C13103" s="9" t="s">
        <v>66</v>
      </c>
      <c r="D13103" s="9" t="s">
        <v>67</v>
      </c>
      <c r="E13103" s="10" t="s">
        <v>1103</v>
      </c>
      <c r="F13103" s="9" t="s">
        <v>1259</v>
      </c>
      <c r="G13103" s="10" t="s">
        <v>21</v>
      </c>
      <c r="H13103" s="9" t="s">
        <v>22</v>
      </c>
      <c r="I13103" s="9" t="s">
        <v>26702</v>
      </c>
      <c r="J13103" s="10" t="str">
        <f>HYPERLINK("https://www.boe.es/gazeta/dias/1834/10/10/pdfs/GMD-1834-238.pdf#page=3","Abrir facsímil")</f>
        <v>Abrir facsímil</v>
      </c>
      <c r="K13103" s="10" t="s">
        <v>24</v>
      </c>
    </row>
    <row r="13104" spans="1:11" ht="54" customHeight="1">
      <c r="A13104" s="9" t="s">
        <v>26703</v>
      </c>
      <c r="B13104" s="9" t="s">
        <v>26704</v>
      </c>
      <c r="C13104" s="9" t="s">
        <v>17</v>
      </c>
      <c r="D13104" s="9" t="s">
        <v>18</v>
      </c>
      <c r="E13104" s="10" t="s">
        <v>1084</v>
      </c>
      <c r="F13104" s="9" t="s">
        <v>1085</v>
      </c>
      <c r="G13104" s="10" t="s">
        <v>28</v>
      </c>
      <c r="H13104" s="9" t="s">
        <v>22</v>
      </c>
      <c r="I13104" s="9" t="s">
        <v>26705</v>
      </c>
      <c r="J13104" s="10" t="str">
        <f>HYPERLINK("https://www.boe.es/gazeta/dias/1834/05/01/pdfs/GMD-1834-70.pdf#page=5","Abrir facsímil")</f>
        <v>Abrir facsímil</v>
      </c>
      <c r="K13104" s="10" t="s">
        <v>24</v>
      </c>
    </row>
    <row r="13105" spans="1:11" ht="54" customHeight="1">
      <c r="A13105" s="9" t="s">
        <v>26706</v>
      </c>
      <c r="B13105" s="9" t="s">
        <v>26706</v>
      </c>
      <c r="C13105" s="9" t="s">
        <v>17</v>
      </c>
      <c r="D13105" s="9" t="s">
        <v>18</v>
      </c>
      <c r="E13105" s="10" t="s">
        <v>1084</v>
      </c>
      <c r="F13105" s="9" t="s">
        <v>1085</v>
      </c>
      <c r="G13105" s="10" t="s">
        <v>28</v>
      </c>
      <c r="H13105" s="9" t="s">
        <v>22</v>
      </c>
      <c r="I13105" s="9" t="s">
        <v>26707</v>
      </c>
      <c r="J13105" s="10" t="str">
        <f>HYPERLINK("https://www.boe.es/gazeta/dias/1834/05/01/pdfs/GMD-1834-70.pdf#page=5","Abrir facsímil")</f>
        <v>Abrir facsímil</v>
      </c>
      <c r="K13105" s="10" t="s">
        <v>24</v>
      </c>
    </row>
    <row r="13106" spans="1:11" ht="54" customHeight="1">
      <c r="A13106" s="9" t="s">
        <v>26708</v>
      </c>
      <c r="B13106" s="9" t="s">
        <v>26709</v>
      </c>
      <c r="C13106" s="9" t="s">
        <v>90</v>
      </c>
      <c r="D13106" s="9" t="s">
        <v>67</v>
      </c>
      <c r="E13106" s="10" t="s">
        <v>1084</v>
      </c>
      <c r="F13106" s="9" t="s">
        <v>1085</v>
      </c>
      <c r="G13106" s="10" t="s">
        <v>28</v>
      </c>
      <c r="H13106" s="9" t="s">
        <v>22</v>
      </c>
      <c r="I13106" s="9" t="s">
        <v>26710</v>
      </c>
      <c r="J13106" s="10" t="str">
        <f>HYPERLINK("https://www.boe.es/gazeta/dias/1834/05/01/pdfs/GMD-1834-70.pdf#page=5","Abrir facsímil")</f>
        <v>Abrir facsímil</v>
      </c>
      <c r="K13106" s="10" t="s">
        <v>24</v>
      </c>
    </row>
    <row r="13107" spans="1:11" ht="54" customHeight="1">
      <c r="A13107" s="9" t="s">
        <v>26711</v>
      </c>
      <c r="B13107" s="9" t="s">
        <v>26712</v>
      </c>
      <c r="C13107" s="9" t="s">
        <v>66</v>
      </c>
      <c r="D13107" s="9" t="s">
        <v>67</v>
      </c>
      <c r="E13107" s="10" t="s">
        <v>1297</v>
      </c>
      <c r="F13107" s="9" t="s">
        <v>1879</v>
      </c>
      <c r="G13107" s="10" t="s">
        <v>34</v>
      </c>
      <c r="H13107" s="9" t="s">
        <v>35</v>
      </c>
      <c r="I13107" s="9" t="s">
        <v>26713</v>
      </c>
      <c r="J13107" s="10" t="str">
        <f>HYPERLINK("https://www.boe.es/gazeta/dias/1834/08/01/pdfs/GMD-D-1834-165.pdf#page=1","Abrir facsímil")</f>
        <v>Abrir facsímil</v>
      </c>
      <c r="K13107" s="10" t="s">
        <v>37</v>
      </c>
    </row>
    <row r="13108" spans="1:11" ht="54" customHeight="1">
      <c r="A13108" s="9" t="s">
        <v>26714</v>
      </c>
      <c r="B13108" s="9" t="s">
        <v>26715</v>
      </c>
      <c r="C13108" s="9" t="s">
        <v>66</v>
      </c>
      <c r="D13108" s="9" t="s">
        <v>67</v>
      </c>
      <c r="E13108" s="10" t="s">
        <v>1297</v>
      </c>
      <c r="F13108" s="9" t="s">
        <v>1879</v>
      </c>
      <c r="G13108" s="10" t="s">
        <v>34</v>
      </c>
      <c r="H13108" s="9" t="s">
        <v>22</v>
      </c>
      <c r="I13108" s="9" t="s">
        <v>26716</v>
      </c>
      <c r="J13108" s="10" t="str">
        <f>HYPERLINK("https://www.boe.es/gazeta/dias/1834/08/01/pdfs/GMD-D-1834-165.pdf#page=1","Abrir facsímil")</f>
        <v>Abrir facsímil</v>
      </c>
      <c r="K13108" s="10" t="s">
        <v>24</v>
      </c>
    </row>
    <row r="13109" spans="1:11" ht="54" customHeight="1">
      <c r="A13109" s="9" t="s">
        <v>26717</v>
      </c>
      <c r="B13109" s="9" t="s">
        <v>26717</v>
      </c>
      <c r="C13109" s="9" t="s">
        <v>66</v>
      </c>
      <c r="D13109" s="9" t="s">
        <v>18</v>
      </c>
      <c r="E13109" s="10" t="s">
        <v>26</v>
      </c>
      <c r="F13109" s="9" t="s">
        <v>818</v>
      </c>
      <c r="G13109" s="10" t="s">
        <v>21</v>
      </c>
      <c r="H13109" s="9" t="s">
        <v>22</v>
      </c>
      <c r="I13109" s="9" t="s">
        <v>26718</v>
      </c>
      <c r="J13109" s="10" t="str">
        <f>HYPERLINK("https://www.boe.es/gazeta/dias/1834/10/19/pdfs/GMD-1834-247.pdf#page=3","Abrir facsímil")</f>
        <v>Abrir facsímil</v>
      </c>
      <c r="K13109" s="10" t="s">
        <v>24</v>
      </c>
    </row>
    <row r="13110" spans="1:11" ht="54" customHeight="1">
      <c r="A13110" s="9" t="s">
        <v>26719</v>
      </c>
      <c r="B13110" s="9" t="s">
        <v>26719</v>
      </c>
      <c r="C13110" s="9" t="s">
        <v>66</v>
      </c>
      <c r="D13110" s="9" t="s">
        <v>18</v>
      </c>
      <c r="E13110" s="10" t="s">
        <v>148</v>
      </c>
      <c r="F13110" s="9" t="s">
        <v>149</v>
      </c>
      <c r="G13110" s="10" t="s">
        <v>21</v>
      </c>
      <c r="H13110" s="9" t="s">
        <v>22</v>
      </c>
      <c r="I13110" s="9" t="s">
        <v>26720</v>
      </c>
      <c r="J13110" s="10" t="str">
        <f>HYPERLINK("https://www.boe.es/gazeta/dias/1834/10/20/pdfs/GMD-1834-248.pdf#page=3","Abrir facsímil")</f>
        <v>Abrir facsímil</v>
      </c>
      <c r="K13110" s="10" t="s">
        <v>24</v>
      </c>
    </row>
    <row r="13111" spans="1:11" ht="54" customHeight="1">
      <c r="A13111" s="9" t="s">
        <v>26721</v>
      </c>
      <c r="B13111" s="9" t="s">
        <v>26721</v>
      </c>
      <c r="C13111" s="9" t="s">
        <v>66</v>
      </c>
      <c r="D13111" s="9" t="s">
        <v>67</v>
      </c>
      <c r="E13111" s="10" t="s">
        <v>448</v>
      </c>
      <c r="F13111" s="9" t="s">
        <v>2058</v>
      </c>
      <c r="G13111" s="10" t="s">
        <v>86</v>
      </c>
      <c r="H13111" s="9" t="s">
        <v>22</v>
      </c>
      <c r="I13111" s="9" t="s">
        <v>26722</v>
      </c>
      <c r="J13111" s="10" t="str">
        <f>HYPERLINK("https://www.boe.es/gazeta/dias/1834/10/14/pdfs/GMD-1834-242.pdf#page=2","Abrir facsímil")</f>
        <v>Abrir facsímil</v>
      </c>
      <c r="K13111" s="10" t="s">
        <v>24</v>
      </c>
    </row>
    <row r="13112" spans="1:11" ht="54" customHeight="1">
      <c r="A13112" s="9" t="s">
        <v>26721</v>
      </c>
      <c r="B13112" s="9" t="s">
        <v>26721</v>
      </c>
      <c r="C13112" s="9" t="s">
        <v>66</v>
      </c>
      <c r="D13112" s="9" t="s">
        <v>67</v>
      </c>
      <c r="E13112" s="10" t="s">
        <v>1641</v>
      </c>
      <c r="F13112" s="9" t="s">
        <v>1729</v>
      </c>
      <c r="G13112" s="10" t="s">
        <v>21</v>
      </c>
      <c r="H13112" s="9" t="s">
        <v>22</v>
      </c>
      <c r="I13112" s="9" t="s">
        <v>26723</v>
      </c>
      <c r="J13112" s="10" t="str">
        <f>HYPERLINK("https://www.boe.es/gazeta/dias/1834/09/28/pdfs/GMD-1834-226.pdf#page=3","Abrir facsímil")</f>
        <v>Abrir facsímil</v>
      </c>
      <c r="K13112" s="10" t="s">
        <v>24</v>
      </c>
    </row>
    <row r="13113" spans="1:11" ht="54" customHeight="1">
      <c r="A13113" s="9" t="s">
        <v>26724</v>
      </c>
      <c r="B13113" s="9" t="s">
        <v>26725</v>
      </c>
      <c r="C13113" s="9" t="s">
        <v>66</v>
      </c>
      <c r="D13113" s="9" t="s">
        <v>18</v>
      </c>
      <c r="E13113" s="10" t="s">
        <v>571</v>
      </c>
      <c r="F13113" s="9" t="s">
        <v>572</v>
      </c>
      <c r="G13113" s="10" t="s">
        <v>86</v>
      </c>
      <c r="H13113" s="9" t="s">
        <v>22</v>
      </c>
      <c r="I13113" s="9" t="s">
        <v>26726</v>
      </c>
      <c r="J13113" s="10" t="str">
        <f>HYPERLINK("https://www.boe.es/gazeta/dias/1834/09/04/pdfs/GMD-1834-202.pdf#page=2","Abrir facsímil")</f>
        <v>Abrir facsímil</v>
      </c>
      <c r="K13113" s="10" t="s">
        <v>24</v>
      </c>
    </row>
    <row r="13114" spans="1:11" ht="54" customHeight="1">
      <c r="A13114" s="9" t="s">
        <v>26727</v>
      </c>
      <c r="B13114" s="9" t="s">
        <v>26727</v>
      </c>
      <c r="C13114" s="9" t="s">
        <v>17</v>
      </c>
      <c r="D13114" s="9" t="s">
        <v>18</v>
      </c>
      <c r="E13114" s="10" t="s">
        <v>364</v>
      </c>
      <c r="F13114" s="9" t="s">
        <v>365</v>
      </c>
      <c r="G13114" s="10" t="s">
        <v>28</v>
      </c>
      <c r="H13114" s="9" t="s">
        <v>22</v>
      </c>
      <c r="I13114" s="9" t="s">
        <v>26728</v>
      </c>
      <c r="J13114" s="10" t="str">
        <f>HYPERLINK("https://www.boe.es/gazeta/dias/1834/09/06/pdfs/GMD-C-1834-204.pdf#page=5","Abrir facsímil")</f>
        <v>Abrir facsímil</v>
      </c>
      <c r="K13114" s="10" t="s">
        <v>24</v>
      </c>
    </row>
    <row r="13115" spans="1:11" ht="54" customHeight="1">
      <c r="A13115" s="9" t="s">
        <v>26729</v>
      </c>
      <c r="B13115" s="9" t="s">
        <v>26730</v>
      </c>
      <c r="C13115" s="9" t="s">
        <v>17</v>
      </c>
      <c r="D13115" s="9" t="s">
        <v>18</v>
      </c>
      <c r="E13115" s="10" t="s">
        <v>56</v>
      </c>
      <c r="F13115" s="9" t="s">
        <v>57</v>
      </c>
      <c r="G13115" s="10" t="s">
        <v>34</v>
      </c>
      <c r="H13115" s="9" t="s">
        <v>22</v>
      </c>
      <c r="I13115" s="9" t="s">
        <v>26731</v>
      </c>
      <c r="J13115" s="10" t="str">
        <f>HYPERLINK("https://www.boe.es/gazeta/dias/1834/07/09/pdfs/GMD-1834-142.pdf#page=1","Abrir facsímil")</f>
        <v>Abrir facsímil</v>
      </c>
      <c r="K13115" s="10" t="s">
        <v>24</v>
      </c>
    </row>
    <row r="13116" spans="1:11" ht="54" customHeight="1">
      <c r="A13116" s="9" t="s">
        <v>26732</v>
      </c>
      <c r="B13116" s="9" t="s">
        <v>26732</v>
      </c>
      <c r="C13116" s="9" t="s">
        <v>17</v>
      </c>
      <c r="D13116" s="9" t="s">
        <v>18</v>
      </c>
      <c r="E13116" s="10" t="s">
        <v>96</v>
      </c>
      <c r="F13116" s="9" t="s">
        <v>1725</v>
      </c>
      <c r="G13116" s="10" t="s">
        <v>21</v>
      </c>
      <c r="H13116" s="9" t="s">
        <v>22</v>
      </c>
      <c r="I13116" s="9" t="s">
        <v>26733</v>
      </c>
      <c r="J13116" s="10" t="str">
        <f>HYPERLINK("https://www.boe.es/gazeta/dias/1834/11/11/pdfs/GMD-1834-270.pdf#page=3","Abrir facsímil")</f>
        <v>Abrir facsímil</v>
      </c>
      <c r="K13116" s="10" t="s">
        <v>24</v>
      </c>
    </row>
    <row r="13117" spans="1:11" ht="54" customHeight="1">
      <c r="A13117" s="9" t="s">
        <v>26734</v>
      </c>
      <c r="B13117" s="9" t="s">
        <v>26734</v>
      </c>
      <c r="C13117" s="9" t="s">
        <v>17</v>
      </c>
      <c r="D13117" s="9" t="s">
        <v>18</v>
      </c>
      <c r="E13117" s="10" t="s">
        <v>233</v>
      </c>
      <c r="F13117" s="9" t="s">
        <v>1810</v>
      </c>
      <c r="G13117" s="10" t="s">
        <v>2274</v>
      </c>
      <c r="H13117" s="9" t="s">
        <v>22</v>
      </c>
      <c r="I13117" s="9" t="s">
        <v>26735</v>
      </c>
      <c r="J13117" s="10" t="str">
        <f>HYPERLINK("https://www.boe.es/gazeta/dias/1834/12/16/pdfs/GMD-C-1834-305.pdf#page=13","Abrir facsímil")</f>
        <v>Abrir facsímil</v>
      </c>
      <c r="K13117" s="10" t="s">
        <v>24</v>
      </c>
    </row>
    <row r="13118" spans="1:11" ht="54" customHeight="1">
      <c r="A13118" s="9" t="s">
        <v>26736</v>
      </c>
      <c r="B13118" s="9" t="s">
        <v>26737</v>
      </c>
      <c r="C13118" s="9" t="s">
        <v>17</v>
      </c>
      <c r="D13118" s="9" t="s">
        <v>18</v>
      </c>
      <c r="E13118" s="10" t="s">
        <v>647</v>
      </c>
      <c r="F13118" s="9" t="s">
        <v>648</v>
      </c>
      <c r="G13118" s="10" t="s">
        <v>176</v>
      </c>
      <c r="H13118" s="9" t="s">
        <v>22</v>
      </c>
      <c r="I13118" s="9" t="s">
        <v>26738</v>
      </c>
      <c r="J13118" s="10" t="str">
        <f>HYPERLINK("https://www.boe.es/gazeta/dias/1834/10/21/pdfs/GMD-C-1834-249.pdf#page=6","Abrir facsímil")</f>
        <v>Abrir facsímil</v>
      </c>
      <c r="K13118" s="10" t="s">
        <v>24</v>
      </c>
    </row>
    <row r="13119" spans="1:11" ht="54" customHeight="1">
      <c r="A13119" s="9" t="s">
        <v>26739</v>
      </c>
      <c r="B13119" s="9" t="s">
        <v>26740</v>
      </c>
      <c r="C13119" s="9" t="s">
        <v>66</v>
      </c>
      <c r="D13119" s="9" t="s">
        <v>67</v>
      </c>
      <c r="E13119" s="10" t="s">
        <v>2153</v>
      </c>
      <c r="F13119" s="9" t="s">
        <v>2154</v>
      </c>
      <c r="G13119" s="10" t="s">
        <v>21</v>
      </c>
      <c r="H13119" s="9" t="s">
        <v>22</v>
      </c>
      <c r="I13119" s="9" t="s">
        <v>26741</v>
      </c>
      <c r="J13119" s="10" t="str">
        <f>HYPERLINK("https://www.boe.es/gazeta/dias/1834/01/23/pdfs/GMD-1834-11.pdf#page=3","Abrir facsímil")</f>
        <v>Abrir facsímil</v>
      </c>
      <c r="K13119" s="10" t="s">
        <v>24</v>
      </c>
    </row>
    <row r="13120" spans="1:11" ht="54" customHeight="1">
      <c r="A13120" s="9" t="s">
        <v>26742</v>
      </c>
      <c r="B13120" s="9" t="s">
        <v>26743</v>
      </c>
      <c r="C13120" s="9" t="s">
        <v>17</v>
      </c>
      <c r="D13120" s="9" t="s">
        <v>18</v>
      </c>
      <c r="E13120" s="10" t="s">
        <v>286</v>
      </c>
      <c r="F13120" s="9" t="s">
        <v>548</v>
      </c>
      <c r="G13120" s="10" t="s">
        <v>75</v>
      </c>
      <c r="H13120" s="9" t="s">
        <v>22</v>
      </c>
      <c r="I13120" s="9" t="s">
        <v>26744</v>
      </c>
      <c r="J13120" s="10" t="str">
        <f>HYPERLINK("https://www.boe.es/gazeta/dias/1834/08/30/pdfs/GMD-1834-196.pdf#page=4","Abrir facsímil")</f>
        <v>Abrir facsímil</v>
      </c>
      <c r="K13120" s="10" t="s">
        <v>24</v>
      </c>
    </row>
    <row r="13121" spans="1:11" ht="54" customHeight="1">
      <c r="A13121" s="9" t="s">
        <v>26745</v>
      </c>
      <c r="B13121" s="9" t="s">
        <v>26745</v>
      </c>
      <c r="C13121" s="9" t="s">
        <v>66</v>
      </c>
      <c r="D13121" s="9" t="s">
        <v>18</v>
      </c>
      <c r="E13121" s="10" t="s">
        <v>2142</v>
      </c>
      <c r="F13121" s="9" t="s">
        <v>2143</v>
      </c>
      <c r="G13121" s="10" t="s">
        <v>21</v>
      </c>
      <c r="H13121" s="9" t="s">
        <v>22</v>
      </c>
      <c r="I13121" s="9" t="s">
        <v>26746</v>
      </c>
      <c r="J13121" s="10" t="str">
        <f>HYPERLINK("https://www.boe.es/gazeta/dias/1834/12/27/pdfs/GMD-1834-317.pdf#page=3","Abrir facsímil")</f>
        <v>Abrir facsímil</v>
      </c>
      <c r="K13121" s="10" t="s">
        <v>24</v>
      </c>
    </row>
    <row r="13122" spans="1:11" ht="54" customHeight="1">
      <c r="A13122" s="9" t="s">
        <v>26747</v>
      </c>
      <c r="B13122" s="9" t="s">
        <v>26748</v>
      </c>
      <c r="C13122" s="9" t="s">
        <v>17</v>
      </c>
      <c r="D13122" s="9" t="s">
        <v>18</v>
      </c>
      <c r="E13122" s="10" t="s">
        <v>5574</v>
      </c>
      <c r="F13122" s="9" t="s">
        <v>5575</v>
      </c>
      <c r="G13122" s="10" t="s">
        <v>86</v>
      </c>
      <c r="H13122" s="9" t="s">
        <v>35</v>
      </c>
      <c r="I13122" s="9" t="s">
        <v>26749</v>
      </c>
      <c r="J13122" s="10" t="str">
        <f>HYPERLINK("https://www.boe.es/gazeta/dias/1834/06/16/pdfs/GMD-1834-119.pdf#page=2","Abrir facsímil")</f>
        <v>Abrir facsímil</v>
      </c>
      <c r="K13122" s="10" t="s">
        <v>37</v>
      </c>
    </row>
    <row r="13123" spans="1:11" ht="54" customHeight="1">
      <c r="A13123" s="9" t="s">
        <v>26750</v>
      </c>
      <c r="B13123" s="9" t="s">
        <v>26750</v>
      </c>
      <c r="C13123" s="9" t="s">
        <v>122</v>
      </c>
      <c r="D13123" s="9" t="s">
        <v>18</v>
      </c>
      <c r="E13123" s="10" t="s">
        <v>1351</v>
      </c>
      <c r="F13123" s="9" t="s">
        <v>1352</v>
      </c>
      <c r="G13123" s="10" t="s">
        <v>28</v>
      </c>
      <c r="H13123" s="9" t="s">
        <v>22</v>
      </c>
      <c r="I13123" s="9" t="s">
        <v>26751</v>
      </c>
      <c r="J13123" s="10" t="str">
        <f>HYPERLINK("https://www.boe.es/gazeta/dias/1834/07/05/pdfs/GMD-1834-138.pdf#page=5","Abrir facsímil")</f>
        <v>Abrir facsímil</v>
      </c>
      <c r="K13123" s="10" t="s">
        <v>24</v>
      </c>
    </row>
    <row r="13124" spans="1:11" ht="54" customHeight="1">
      <c r="A13124" s="9" t="s">
        <v>26752</v>
      </c>
      <c r="B13124" s="9" t="s">
        <v>26753</v>
      </c>
      <c r="C13124" s="9" t="s">
        <v>66</v>
      </c>
      <c r="D13124" s="9" t="s">
        <v>67</v>
      </c>
      <c r="E13124" s="10" t="s">
        <v>753</v>
      </c>
      <c r="F13124" s="9" t="s">
        <v>754</v>
      </c>
      <c r="G13124" s="10" t="s">
        <v>176</v>
      </c>
      <c r="H13124" s="9" t="s">
        <v>22</v>
      </c>
      <c r="I13124" s="9" t="s">
        <v>26754</v>
      </c>
      <c r="J13124" s="10" t="str">
        <f>HYPERLINK("https://www.boe.es/gazeta/dias/1834/04/21/pdfs/GMD-1834-60.pdf#page=6","Abrir facsímil")</f>
        <v>Abrir facsímil</v>
      </c>
      <c r="K13124" s="10" t="s">
        <v>24</v>
      </c>
    </row>
    <row r="13125" spans="1:11" ht="54" customHeight="1">
      <c r="A13125" s="9" t="s">
        <v>26755</v>
      </c>
      <c r="B13125" s="9" t="s">
        <v>26756</v>
      </c>
      <c r="C13125" s="9" t="s">
        <v>17</v>
      </c>
      <c r="D13125" s="9" t="s">
        <v>40</v>
      </c>
      <c r="E13125" s="10" t="s">
        <v>32</v>
      </c>
      <c r="F13125" s="9" t="s">
        <v>33</v>
      </c>
      <c r="G13125" s="10" t="s">
        <v>176</v>
      </c>
      <c r="H13125" s="9" t="s">
        <v>22</v>
      </c>
      <c r="I13125" s="9" t="s">
        <v>26757</v>
      </c>
      <c r="J13125" s="10" t="str">
        <f>HYPERLINK("https://www.boe.es/gazeta/dias/1834/04/23/pdfs/GMD-1834-62.pdf#page=6","Abrir facsímil")</f>
        <v>Abrir facsímil</v>
      </c>
      <c r="K13125" s="10" t="s">
        <v>24</v>
      </c>
    </row>
    <row r="13126" spans="1:11" ht="54" customHeight="1">
      <c r="A13126" s="9" t="s">
        <v>26758</v>
      </c>
      <c r="B13126" s="9" t="s">
        <v>26758</v>
      </c>
      <c r="C13126" s="9" t="s">
        <v>46</v>
      </c>
      <c r="D13126" s="9" t="s">
        <v>101</v>
      </c>
      <c r="E13126" s="10" t="s">
        <v>79</v>
      </c>
      <c r="F13126" s="9" t="s">
        <v>80</v>
      </c>
      <c r="G13126" s="10" t="s">
        <v>75</v>
      </c>
      <c r="H13126" s="9" t="s">
        <v>22</v>
      </c>
      <c r="I13126" s="9" t="s">
        <v>26759</v>
      </c>
      <c r="J13126" s="10" t="str">
        <f>HYPERLINK("https://www.boe.es/gazeta/dias/1834/07/12/pdfs/GMD-1834-145.pdf#page=4","Abrir facsímil")</f>
        <v>Abrir facsímil</v>
      </c>
      <c r="K13126" s="10" t="s">
        <v>24</v>
      </c>
    </row>
    <row r="13127" spans="1:11" ht="54" customHeight="1">
      <c r="A13127" s="9" t="s">
        <v>26758</v>
      </c>
      <c r="B13127" s="9" t="s">
        <v>26758</v>
      </c>
      <c r="C13127" s="9" t="s">
        <v>17</v>
      </c>
      <c r="D13127" s="9" t="s">
        <v>18</v>
      </c>
      <c r="E13127" s="10" t="s">
        <v>1116</v>
      </c>
      <c r="F13127" s="9" t="s">
        <v>1117</v>
      </c>
      <c r="G13127" s="10" t="s">
        <v>21</v>
      </c>
      <c r="H13127" s="9" t="s">
        <v>22</v>
      </c>
      <c r="I13127" s="9" t="s">
        <v>26760</v>
      </c>
      <c r="J13127" s="10" t="str">
        <f>HYPERLINK("https://www.boe.es/gazeta/dias/1834/05/16/pdfs/GMD-1834-85.pdf#page=3","Abrir facsímil")</f>
        <v>Abrir facsímil</v>
      </c>
      <c r="K13127" s="10" t="s">
        <v>24</v>
      </c>
    </row>
    <row r="13128" spans="1:11" ht="54" customHeight="1">
      <c r="A13128" s="9" t="s">
        <v>26758</v>
      </c>
      <c r="B13128" s="9" t="s">
        <v>26758</v>
      </c>
      <c r="C13128" s="9" t="s">
        <v>66</v>
      </c>
      <c r="D13128" s="9" t="s">
        <v>67</v>
      </c>
      <c r="E13128" s="10" t="s">
        <v>138</v>
      </c>
      <c r="F13128" s="9" t="s">
        <v>139</v>
      </c>
      <c r="G13128" s="10" t="s">
        <v>21</v>
      </c>
      <c r="H13128" s="9" t="s">
        <v>22</v>
      </c>
      <c r="I13128" s="9" t="s">
        <v>26761</v>
      </c>
      <c r="J13128" s="10" t="str">
        <f>HYPERLINK("https://www.boe.es/gazeta/dias/1834/05/17/pdfs/GMD-1834-86.pdf#page=3","Abrir facsímil")</f>
        <v>Abrir facsímil</v>
      </c>
      <c r="K13128" s="10" t="s">
        <v>24</v>
      </c>
    </row>
    <row r="13129" spans="1:11" ht="54" customHeight="1">
      <c r="A13129" s="9" t="s">
        <v>26758</v>
      </c>
      <c r="B13129" s="9" t="s">
        <v>26758</v>
      </c>
      <c r="C13129" s="9" t="s">
        <v>17</v>
      </c>
      <c r="D13129" s="9" t="s">
        <v>18</v>
      </c>
      <c r="E13129" s="10" t="s">
        <v>1119</v>
      </c>
      <c r="F13129" s="9" t="s">
        <v>1120</v>
      </c>
      <c r="G13129" s="10" t="s">
        <v>21</v>
      </c>
      <c r="H13129" s="9" t="s">
        <v>22</v>
      </c>
      <c r="I13129" s="9" t="s">
        <v>26762</v>
      </c>
      <c r="J13129" s="10" t="str">
        <f>HYPERLINK("https://www.boe.es/gazeta/dias/1834/07/17/pdfs/GMD-1834-150.pdf#page=3","Abrir facsímil")</f>
        <v>Abrir facsímil</v>
      </c>
      <c r="K13129" s="10" t="s">
        <v>24</v>
      </c>
    </row>
    <row r="13130" spans="1:11" ht="54" customHeight="1">
      <c r="A13130" s="9" t="s">
        <v>26758</v>
      </c>
      <c r="B13130" s="9" t="s">
        <v>26758</v>
      </c>
      <c r="C13130" s="9" t="s">
        <v>17</v>
      </c>
      <c r="D13130" s="9" t="s">
        <v>18</v>
      </c>
      <c r="E13130" s="10" t="s">
        <v>389</v>
      </c>
      <c r="F13130" s="9" t="s">
        <v>390</v>
      </c>
      <c r="G13130" s="10" t="s">
        <v>75</v>
      </c>
      <c r="H13130" s="9" t="s">
        <v>22</v>
      </c>
      <c r="I13130" s="9" t="s">
        <v>26763</v>
      </c>
      <c r="J13130" s="10" t="str">
        <f>HYPERLINK("https://www.boe.es/gazeta/dias/1834/10/25/pdfs/GMD-1834-253.pdf#page=4","Abrir facsímil")</f>
        <v>Abrir facsímil</v>
      </c>
      <c r="K13130" s="10" t="s">
        <v>24</v>
      </c>
    </row>
    <row r="13131" spans="1:11" ht="54" customHeight="1">
      <c r="A13131" s="9" t="s">
        <v>26764</v>
      </c>
      <c r="B13131" s="9" t="s">
        <v>26765</v>
      </c>
      <c r="C13131" s="9" t="s">
        <v>46</v>
      </c>
      <c r="D13131" s="9" t="s">
        <v>101</v>
      </c>
      <c r="E13131" s="10" t="s">
        <v>1116</v>
      </c>
      <c r="F13131" s="9" t="s">
        <v>1117</v>
      </c>
      <c r="G13131" s="10" t="s">
        <v>21</v>
      </c>
      <c r="H13131" s="9" t="s">
        <v>35</v>
      </c>
      <c r="I13131" s="9" t="s">
        <v>26766</v>
      </c>
      <c r="J13131" s="10" t="str">
        <f>HYPERLINK("https://www.boe.es/gazeta/dias/1834/05/16/pdfs/GMD-1834-85.pdf#page=3","Abrir facsímil")</f>
        <v>Abrir facsímil</v>
      </c>
      <c r="K13131" s="10" t="s">
        <v>37</v>
      </c>
    </row>
    <row r="13132" spans="1:11" ht="54" customHeight="1">
      <c r="A13132" s="9" t="s">
        <v>26764</v>
      </c>
      <c r="B13132" s="9" t="s">
        <v>26765</v>
      </c>
      <c r="C13132" s="9" t="s">
        <v>66</v>
      </c>
      <c r="D13132" s="9" t="s">
        <v>67</v>
      </c>
      <c r="E13132" s="10" t="s">
        <v>1116</v>
      </c>
      <c r="F13132" s="9" t="s">
        <v>1117</v>
      </c>
      <c r="G13132" s="10" t="s">
        <v>75</v>
      </c>
      <c r="H13132" s="9" t="s">
        <v>35</v>
      </c>
      <c r="I13132" s="9" t="s">
        <v>26767</v>
      </c>
      <c r="J13132" s="10" t="str">
        <f>HYPERLINK("https://www.boe.es/gazeta/dias/1834/05/16/pdfs/GMD-1834-85.pdf#page=4","Abrir facsímil")</f>
        <v>Abrir facsímil</v>
      </c>
      <c r="K13132" s="10" t="s">
        <v>37</v>
      </c>
    </row>
    <row r="13133" spans="1:11" ht="54" customHeight="1">
      <c r="A13133" s="9" t="s">
        <v>26768</v>
      </c>
      <c r="B13133" s="9" t="s">
        <v>26769</v>
      </c>
      <c r="C13133" s="9" t="s">
        <v>17</v>
      </c>
      <c r="D13133" s="9" t="s">
        <v>18</v>
      </c>
      <c r="E13133" s="10" t="s">
        <v>1119</v>
      </c>
      <c r="F13133" s="9" t="s">
        <v>1120</v>
      </c>
      <c r="G13133" s="10" t="s">
        <v>21</v>
      </c>
      <c r="H13133" s="9" t="s">
        <v>35</v>
      </c>
      <c r="I13133" s="9" t="s">
        <v>26770</v>
      </c>
      <c r="J13133" s="10" t="str">
        <f>HYPERLINK("https://www.boe.es/gazeta/dias/1834/07/17/pdfs/GMD-1834-150.pdf#page=3","Abrir facsímil")</f>
        <v>Abrir facsímil</v>
      </c>
      <c r="K13133" s="10" t="s">
        <v>37</v>
      </c>
    </row>
    <row r="13134" spans="1:11" ht="54" customHeight="1">
      <c r="A13134" s="9" t="s">
        <v>26764</v>
      </c>
      <c r="B13134" s="9" t="s">
        <v>26765</v>
      </c>
      <c r="C13134" s="9" t="s">
        <v>66</v>
      </c>
      <c r="D13134" s="9" t="s">
        <v>101</v>
      </c>
      <c r="E13134" s="10" t="s">
        <v>286</v>
      </c>
      <c r="F13134" s="9" t="s">
        <v>548</v>
      </c>
      <c r="G13134" s="10" t="s">
        <v>21</v>
      </c>
      <c r="H13134" s="9" t="s">
        <v>35</v>
      </c>
      <c r="I13134" s="9" t="s">
        <v>26771</v>
      </c>
      <c r="J13134" s="10" t="str">
        <f>HYPERLINK("https://www.boe.es/gazeta/dias/1834/08/30/pdfs/GMD-1834-196.pdf#page=3","Abrir facsímil")</f>
        <v>Abrir facsímil</v>
      </c>
      <c r="K13134" s="10" t="s">
        <v>37</v>
      </c>
    </row>
    <row r="13135" spans="1:11" ht="54" customHeight="1">
      <c r="A13135" s="9" t="s">
        <v>26764</v>
      </c>
      <c r="B13135" s="9" t="s">
        <v>26765</v>
      </c>
      <c r="C13135" s="9" t="s">
        <v>17</v>
      </c>
      <c r="D13135" s="9" t="s">
        <v>18</v>
      </c>
      <c r="E13135" s="10" t="s">
        <v>187</v>
      </c>
      <c r="F13135" s="9" t="s">
        <v>188</v>
      </c>
      <c r="G13135" s="10" t="s">
        <v>21</v>
      </c>
      <c r="H13135" s="9" t="s">
        <v>35</v>
      </c>
      <c r="I13135" s="9" t="s">
        <v>26772</v>
      </c>
      <c r="J13135" s="10" t="str">
        <f>HYPERLINK("https://www.boe.es/gazeta/dias/1834/09/30/pdfs/GMD-1834-228.pdf#page=3","Abrir facsímil")</f>
        <v>Abrir facsímil</v>
      </c>
      <c r="K13135" s="10" t="s">
        <v>37</v>
      </c>
    </row>
    <row r="13136" spans="1:11" ht="54" customHeight="1">
      <c r="A13136" s="9" t="s">
        <v>26773</v>
      </c>
      <c r="B13136" s="9" t="s">
        <v>26774</v>
      </c>
      <c r="C13136" s="9" t="s">
        <v>66</v>
      </c>
      <c r="D13136" s="9" t="s">
        <v>18</v>
      </c>
      <c r="E13136" s="10" t="s">
        <v>1981</v>
      </c>
      <c r="F13136" s="9" t="s">
        <v>1982</v>
      </c>
      <c r="G13136" s="10" t="s">
        <v>75</v>
      </c>
      <c r="H13136" s="9" t="s">
        <v>22</v>
      </c>
      <c r="I13136" s="9" t="s">
        <v>26775</v>
      </c>
      <c r="J13136" s="10" t="str">
        <f>HYPERLINK("https://www.boe.es/gazeta/dias/1834/12/13/pdfs/GMD-1834-302.pdf#page=4","Abrir facsímil")</f>
        <v>Abrir facsímil</v>
      </c>
      <c r="K13136" s="10" t="s">
        <v>24</v>
      </c>
    </row>
    <row r="13137" spans="1:11" ht="54" customHeight="1">
      <c r="A13137" s="9" t="s">
        <v>26773</v>
      </c>
      <c r="B13137" s="9" t="s">
        <v>26774</v>
      </c>
      <c r="C13137" s="9" t="s">
        <v>46</v>
      </c>
      <c r="D13137" s="9" t="s">
        <v>101</v>
      </c>
      <c r="E13137" s="10" t="s">
        <v>1116</v>
      </c>
      <c r="F13137" s="9" t="s">
        <v>1117</v>
      </c>
      <c r="G13137" s="10" t="s">
        <v>21</v>
      </c>
      <c r="H13137" s="9" t="s">
        <v>22</v>
      </c>
      <c r="I13137" s="9" t="s">
        <v>26776</v>
      </c>
      <c r="J13137" s="10" t="str">
        <f>HYPERLINK("https://www.boe.es/gazeta/dias/1834/05/16/pdfs/GMD-1834-85.pdf#page=3","Abrir facsímil")</f>
        <v>Abrir facsímil</v>
      </c>
      <c r="K13137" s="10" t="s">
        <v>24</v>
      </c>
    </row>
    <row r="13138" spans="1:11" ht="54" customHeight="1">
      <c r="A13138" s="9" t="s">
        <v>26773</v>
      </c>
      <c r="B13138" s="9" t="s">
        <v>26774</v>
      </c>
      <c r="C13138" s="9" t="s">
        <v>66</v>
      </c>
      <c r="D13138" s="9" t="s">
        <v>67</v>
      </c>
      <c r="E13138" s="10" t="s">
        <v>1116</v>
      </c>
      <c r="F13138" s="9" t="s">
        <v>1117</v>
      </c>
      <c r="G13138" s="10" t="s">
        <v>75</v>
      </c>
      <c r="H13138" s="9" t="s">
        <v>22</v>
      </c>
      <c r="I13138" s="9" t="s">
        <v>26777</v>
      </c>
      <c r="J13138" s="10" t="str">
        <f>HYPERLINK("https://www.boe.es/gazeta/dias/1834/05/16/pdfs/GMD-1834-85.pdf#page=4","Abrir facsímil")</f>
        <v>Abrir facsímil</v>
      </c>
      <c r="K13138" s="10" t="s">
        <v>24</v>
      </c>
    </row>
    <row r="13139" spans="1:11" ht="54" customHeight="1">
      <c r="A13139" s="9" t="s">
        <v>26778</v>
      </c>
      <c r="B13139" s="9" t="s">
        <v>26779</v>
      </c>
      <c r="C13139" s="9" t="s">
        <v>17</v>
      </c>
      <c r="D13139" s="9" t="s">
        <v>18</v>
      </c>
      <c r="E13139" s="10" t="s">
        <v>1119</v>
      </c>
      <c r="F13139" s="9" t="s">
        <v>1120</v>
      </c>
      <c r="G13139" s="10" t="s">
        <v>21</v>
      </c>
      <c r="H13139" s="9" t="s">
        <v>22</v>
      </c>
      <c r="I13139" s="9" t="s">
        <v>26780</v>
      </c>
      <c r="J13139" s="10" t="str">
        <f>HYPERLINK("https://www.boe.es/gazeta/dias/1834/07/17/pdfs/GMD-1834-150.pdf#page=3","Abrir facsímil")</f>
        <v>Abrir facsímil</v>
      </c>
      <c r="K13139" s="10" t="s">
        <v>24</v>
      </c>
    </row>
    <row r="13140" spans="1:11" ht="54" customHeight="1">
      <c r="A13140" s="9" t="s">
        <v>26773</v>
      </c>
      <c r="B13140" s="9" t="s">
        <v>26774</v>
      </c>
      <c r="C13140" s="9" t="s">
        <v>66</v>
      </c>
      <c r="D13140" s="9" t="s">
        <v>101</v>
      </c>
      <c r="E13140" s="10" t="s">
        <v>286</v>
      </c>
      <c r="F13140" s="9" t="s">
        <v>548</v>
      </c>
      <c r="G13140" s="10" t="s">
        <v>21</v>
      </c>
      <c r="H13140" s="9" t="s">
        <v>22</v>
      </c>
      <c r="I13140" s="9" t="s">
        <v>26781</v>
      </c>
      <c r="J13140" s="10" t="str">
        <f>HYPERLINK("https://www.boe.es/gazeta/dias/1834/08/30/pdfs/GMD-1834-196.pdf#page=3","Abrir facsímil")</f>
        <v>Abrir facsímil</v>
      </c>
      <c r="K13140" s="10" t="s">
        <v>24</v>
      </c>
    </row>
    <row r="13141" spans="1:11" ht="54" customHeight="1">
      <c r="A13141" s="9" t="s">
        <v>26773</v>
      </c>
      <c r="B13141" s="9" t="s">
        <v>26774</v>
      </c>
      <c r="C13141" s="9" t="s">
        <v>17</v>
      </c>
      <c r="D13141" s="9" t="s">
        <v>18</v>
      </c>
      <c r="E13141" s="10" t="s">
        <v>187</v>
      </c>
      <c r="F13141" s="9" t="s">
        <v>188</v>
      </c>
      <c r="G13141" s="10" t="s">
        <v>21</v>
      </c>
      <c r="H13141" s="9" t="s">
        <v>22</v>
      </c>
      <c r="I13141" s="9" t="s">
        <v>26782</v>
      </c>
      <c r="J13141" s="10" t="str">
        <f>HYPERLINK("https://www.boe.es/gazeta/dias/1834/09/30/pdfs/GMD-1834-228.pdf#page=3","Abrir facsímil")</f>
        <v>Abrir facsímil</v>
      </c>
      <c r="K13141" s="10" t="s">
        <v>24</v>
      </c>
    </row>
    <row r="13142" spans="1:11" ht="54" customHeight="1">
      <c r="A13142" s="9" t="s">
        <v>26783</v>
      </c>
      <c r="B13142" s="9" t="s">
        <v>26784</v>
      </c>
      <c r="C13142" s="9" t="s">
        <v>17</v>
      </c>
      <c r="D13142" s="9" t="s">
        <v>18</v>
      </c>
      <c r="E13142" s="10" t="s">
        <v>286</v>
      </c>
      <c r="F13142" s="9" t="s">
        <v>548</v>
      </c>
      <c r="G13142" s="10" t="s">
        <v>75</v>
      </c>
      <c r="H13142" s="9" t="s">
        <v>22</v>
      </c>
      <c r="I13142" s="9" t="s">
        <v>26785</v>
      </c>
      <c r="J13142" s="10" t="str">
        <f>HYPERLINK("https://www.boe.es/gazeta/dias/1834/08/30/pdfs/GMD-1834-196.pdf#page=4","Abrir facsímil")</f>
        <v>Abrir facsímil</v>
      </c>
      <c r="K13142" s="10" t="s">
        <v>24</v>
      </c>
    </row>
    <row r="13143" spans="1:11" ht="54" customHeight="1">
      <c r="A13143" s="9" t="s">
        <v>26786</v>
      </c>
      <c r="B13143" s="9" t="s">
        <v>26787</v>
      </c>
      <c r="C13143" s="9" t="s">
        <v>122</v>
      </c>
      <c r="D13143" s="9" t="s">
        <v>18</v>
      </c>
      <c r="E13143" s="10" t="s">
        <v>10172</v>
      </c>
      <c r="F13143" s="9" t="s">
        <v>10173</v>
      </c>
      <c r="G13143" s="10" t="s">
        <v>75</v>
      </c>
      <c r="H13143" s="9" t="s">
        <v>22</v>
      </c>
      <c r="I13143" s="9" t="s">
        <v>26788</v>
      </c>
      <c r="J13143" s="10" t="str">
        <f>HYPERLINK("https://www.boe.es/gazeta/dias/1834/06/15/pdfs/GMD-1834-118.pdf#page=4","Abrir facsímil")</f>
        <v>Abrir facsímil</v>
      </c>
      <c r="K13143" s="10" t="s">
        <v>24</v>
      </c>
    </row>
    <row r="13144" spans="1:11" ht="54" customHeight="1">
      <c r="A13144" s="9" t="s">
        <v>26789</v>
      </c>
      <c r="B13144" s="9" t="s">
        <v>26790</v>
      </c>
      <c r="C13144" s="9" t="s">
        <v>17</v>
      </c>
      <c r="D13144" s="9" t="s">
        <v>18</v>
      </c>
      <c r="E13144" s="10" t="s">
        <v>138</v>
      </c>
      <c r="F13144" s="9" t="s">
        <v>139</v>
      </c>
      <c r="G13144" s="10" t="s">
        <v>21</v>
      </c>
      <c r="H13144" s="9" t="s">
        <v>22</v>
      </c>
      <c r="I13144" s="9" t="s">
        <v>26791</v>
      </c>
      <c r="J13144" s="10" t="str">
        <f>HYPERLINK("https://www.boe.es/gazeta/dias/1834/05/17/pdfs/GMD-1834-86.pdf#page=3","Abrir facsímil")</f>
        <v>Abrir facsímil</v>
      </c>
      <c r="K13144" s="10" t="s">
        <v>24</v>
      </c>
    </row>
    <row r="13145" spans="1:11" ht="54" customHeight="1">
      <c r="A13145" s="9" t="s">
        <v>26792</v>
      </c>
      <c r="B13145" s="9" t="s">
        <v>26793</v>
      </c>
      <c r="C13145" s="9" t="s">
        <v>17</v>
      </c>
      <c r="D13145" s="9" t="s">
        <v>18</v>
      </c>
      <c r="E13145" s="10" t="s">
        <v>3163</v>
      </c>
      <c r="F13145" s="9" t="s">
        <v>3164</v>
      </c>
      <c r="G13145" s="10" t="s">
        <v>34</v>
      </c>
      <c r="H13145" s="9" t="s">
        <v>35</v>
      </c>
      <c r="I13145" s="9" t="s">
        <v>26794</v>
      </c>
      <c r="J13145" s="10" t="str">
        <f>HYPERLINK("https://www.boe.es/gazeta/dias/1834/11/02/pdfs/GMD-1834-261.pdf#page=1","Abrir facsímil")</f>
        <v>Abrir facsímil</v>
      </c>
      <c r="K13145" s="10" t="s">
        <v>37</v>
      </c>
    </row>
    <row r="13146" spans="1:11" ht="54" customHeight="1">
      <c r="A13146" s="9" t="s">
        <v>26795</v>
      </c>
      <c r="B13146" s="9" t="s">
        <v>26796</v>
      </c>
      <c r="C13146" s="9" t="s">
        <v>17</v>
      </c>
      <c r="D13146" s="9" t="s">
        <v>18</v>
      </c>
      <c r="E13146" s="10" t="s">
        <v>3163</v>
      </c>
      <c r="F13146" s="9" t="s">
        <v>3164</v>
      </c>
      <c r="G13146" s="10" t="s">
        <v>34</v>
      </c>
      <c r="H13146" s="9" t="s">
        <v>22</v>
      </c>
      <c r="I13146" s="9" t="s">
        <v>26797</v>
      </c>
      <c r="J13146" s="10" t="str">
        <f>HYPERLINK("https://www.boe.es/gazeta/dias/1834/11/02/pdfs/GMD-1834-261.pdf#page=1","Abrir facsímil")</f>
        <v>Abrir facsímil</v>
      </c>
      <c r="K13146" s="10" t="s">
        <v>24</v>
      </c>
    </row>
    <row r="13147" spans="1:11" ht="54" customHeight="1">
      <c r="A13147" s="9" t="s">
        <v>26798</v>
      </c>
      <c r="B13147" s="9" t="s">
        <v>26799</v>
      </c>
      <c r="C13147" s="9" t="s">
        <v>17</v>
      </c>
      <c r="D13147" s="9" t="s">
        <v>18</v>
      </c>
      <c r="E13147" s="10" t="s">
        <v>808</v>
      </c>
      <c r="F13147" s="9" t="s">
        <v>809</v>
      </c>
      <c r="G13147" s="10" t="s">
        <v>21</v>
      </c>
      <c r="H13147" s="9" t="s">
        <v>22</v>
      </c>
      <c r="I13147" s="9" t="s">
        <v>26800</v>
      </c>
      <c r="J13147" s="10" t="str">
        <f>HYPERLINK("https://www.boe.es/gazeta/dias/1834/10/11/pdfs/GMD-1834-239.pdf#page=3","Abrir facsímil")</f>
        <v>Abrir facsímil</v>
      </c>
      <c r="K13147" s="10" t="s">
        <v>24</v>
      </c>
    </row>
    <row r="13148" spans="1:11" ht="54" customHeight="1">
      <c r="A13148" s="9" t="s">
        <v>26801</v>
      </c>
      <c r="B13148" s="9" t="s">
        <v>26801</v>
      </c>
      <c r="C13148" s="9" t="s">
        <v>66</v>
      </c>
      <c r="D13148" s="9" t="s">
        <v>18</v>
      </c>
      <c r="E13148" s="10" t="s">
        <v>2287</v>
      </c>
      <c r="F13148" s="9" t="s">
        <v>4741</v>
      </c>
      <c r="G13148" s="10" t="s">
        <v>21</v>
      </c>
      <c r="H13148" s="9" t="s">
        <v>22</v>
      </c>
      <c r="I13148" s="9" t="s">
        <v>26802</v>
      </c>
      <c r="J13148" s="10" t="str">
        <f>HYPERLINK("https://www.boe.es/gazeta/dias/1834/12/18/pdfs/GMD-1834-308.pdf#page=3","Abrir facsímil")</f>
        <v>Abrir facsímil</v>
      </c>
      <c r="K13148" s="10" t="s">
        <v>24</v>
      </c>
    </row>
    <row r="13149" spans="1:11" ht="54" customHeight="1">
      <c r="A13149" s="9" t="s">
        <v>26803</v>
      </c>
      <c r="B13149" s="9" t="s">
        <v>26803</v>
      </c>
      <c r="C13149" s="9" t="s">
        <v>66</v>
      </c>
      <c r="D13149" s="9" t="s">
        <v>67</v>
      </c>
      <c r="E13149" s="10" t="s">
        <v>1973</v>
      </c>
      <c r="F13149" s="9" t="s">
        <v>4832</v>
      </c>
      <c r="G13149" s="10" t="s">
        <v>75</v>
      </c>
      <c r="H13149" s="9" t="s">
        <v>22</v>
      </c>
      <c r="I13149" s="9" t="s">
        <v>26804</v>
      </c>
      <c r="J13149" s="10" t="str">
        <f>HYPERLINK("https://www.boe.es/gazeta/dias/1834/12/20/pdfs/GMD-1834-310.pdf#page=4","Abrir facsímil")</f>
        <v>Abrir facsímil</v>
      </c>
      <c r="K13149" s="10" t="s">
        <v>24</v>
      </c>
    </row>
    <row r="13150" spans="1:11" ht="54" customHeight="1">
      <c r="A13150" s="9" t="s">
        <v>26805</v>
      </c>
      <c r="B13150" s="9" t="s">
        <v>26806</v>
      </c>
      <c r="C13150" s="9" t="s">
        <v>66</v>
      </c>
      <c r="D13150" s="9" t="s">
        <v>18</v>
      </c>
      <c r="E13150" s="10" t="s">
        <v>1297</v>
      </c>
      <c r="F13150" s="9" t="s">
        <v>1879</v>
      </c>
      <c r="G13150" s="10" t="s">
        <v>34</v>
      </c>
      <c r="H13150" s="9" t="s">
        <v>35</v>
      </c>
      <c r="I13150" s="9" t="s">
        <v>26807</v>
      </c>
      <c r="J13150" s="10" t="str">
        <f>HYPERLINK("https://www.boe.es/gazeta/dias/1834/08/01/pdfs/GMD-D-1834-165.pdf#page=1","Abrir facsímil")</f>
        <v>Abrir facsímil</v>
      </c>
      <c r="K13150" s="10" t="s">
        <v>37</v>
      </c>
    </row>
    <row r="13151" spans="1:11" ht="54" customHeight="1">
      <c r="A13151" s="9" t="s">
        <v>26805</v>
      </c>
      <c r="B13151" s="9" t="s">
        <v>26806</v>
      </c>
      <c r="C13151" s="9" t="s">
        <v>66</v>
      </c>
      <c r="D13151" s="9" t="s">
        <v>67</v>
      </c>
      <c r="E13151" s="10" t="s">
        <v>808</v>
      </c>
      <c r="F13151" s="9" t="s">
        <v>809</v>
      </c>
      <c r="G13151" s="10" t="s">
        <v>21</v>
      </c>
      <c r="H13151" s="9" t="s">
        <v>35</v>
      </c>
      <c r="I13151" s="9" t="s">
        <v>26808</v>
      </c>
      <c r="J13151" s="10" t="str">
        <f>HYPERLINK("https://www.boe.es/gazeta/dias/1834/10/11/pdfs/GMD-1834-239.pdf#page=3","Abrir facsímil")</f>
        <v>Abrir facsímil</v>
      </c>
      <c r="K13151" s="10" t="s">
        <v>37</v>
      </c>
    </row>
    <row r="13152" spans="1:11" ht="54" customHeight="1">
      <c r="A13152" s="9" t="s">
        <v>26809</v>
      </c>
      <c r="B13152" s="9" t="s">
        <v>26810</v>
      </c>
      <c r="C13152" s="9" t="s">
        <v>66</v>
      </c>
      <c r="D13152" s="9" t="s">
        <v>18</v>
      </c>
      <c r="E13152" s="10" t="s">
        <v>1297</v>
      </c>
      <c r="F13152" s="9" t="s">
        <v>1879</v>
      </c>
      <c r="G13152" s="10" t="s">
        <v>34</v>
      </c>
      <c r="H13152" s="9" t="s">
        <v>22</v>
      </c>
      <c r="I13152" s="9" t="s">
        <v>26811</v>
      </c>
      <c r="J13152" s="10" t="str">
        <f>HYPERLINK("https://www.boe.es/gazeta/dias/1834/08/01/pdfs/GMD-D-1834-165.pdf#page=1","Abrir facsímil")</f>
        <v>Abrir facsímil</v>
      </c>
      <c r="K13152" s="10" t="s">
        <v>24</v>
      </c>
    </row>
    <row r="13153" spans="1:11" ht="54" customHeight="1">
      <c r="A13153" s="9" t="s">
        <v>26809</v>
      </c>
      <c r="B13153" s="9" t="s">
        <v>26810</v>
      </c>
      <c r="C13153" s="9" t="s">
        <v>66</v>
      </c>
      <c r="D13153" s="9" t="s">
        <v>67</v>
      </c>
      <c r="E13153" s="10" t="s">
        <v>808</v>
      </c>
      <c r="F13153" s="9" t="s">
        <v>809</v>
      </c>
      <c r="G13153" s="10" t="s">
        <v>21</v>
      </c>
      <c r="H13153" s="9" t="s">
        <v>22</v>
      </c>
      <c r="I13153" s="9" t="s">
        <v>26812</v>
      </c>
      <c r="J13153" s="10" t="str">
        <f>HYPERLINK("https://www.boe.es/gazeta/dias/1834/10/11/pdfs/GMD-1834-239.pdf#page=3","Abrir facsímil")</f>
        <v>Abrir facsímil</v>
      </c>
      <c r="K13153" s="10" t="s">
        <v>24</v>
      </c>
    </row>
    <row r="13154" spans="1:11" ht="54" customHeight="1">
      <c r="A13154" s="9" t="s">
        <v>26813</v>
      </c>
      <c r="B13154" s="9" t="s">
        <v>26814</v>
      </c>
      <c r="C13154" s="9" t="s">
        <v>66</v>
      </c>
      <c r="D13154" s="9" t="s">
        <v>67</v>
      </c>
      <c r="E13154" s="10" t="s">
        <v>273</v>
      </c>
      <c r="F13154" s="9" t="s">
        <v>274</v>
      </c>
      <c r="G13154" s="10" t="s">
        <v>28</v>
      </c>
      <c r="H13154" s="9" t="s">
        <v>22</v>
      </c>
      <c r="I13154" s="9" t="s">
        <v>26815</v>
      </c>
      <c r="J13154" s="10" t="str">
        <f>HYPERLINK("https://www.boe.es/gazeta/dias/1834/08/31/pdfs/GMD-C-1834-198.pdf#page=5","Abrir facsímil")</f>
        <v>Abrir facsímil</v>
      </c>
      <c r="K13154" s="10" t="s">
        <v>24</v>
      </c>
    </row>
    <row r="13155" spans="1:11" ht="54" customHeight="1">
      <c r="A13155" s="9" t="s">
        <v>26816</v>
      </c>
      <c r="B13155" s="9" t="s">
        <v>26817</v>
      </c>
      <c r="C13155" s="9" t="s">
        <v>17</v>
      </c>
      <c r="D13155" s="9" t="s">
        <v>55</v>
      </c>
      <c r="E13155" s="10" t="s">
        <v>2860</v>
      </c>
      <c r="F13155" s="9" t="s">
        <v>2861</v>
      </c>
      <c r="G13155" s="10" t="s">
        <v>21</v>
      </c>
      <c r="H13155" s="9" t="s">
        <v>22</v>
      </c>
      <c r="I13155" s="9" t="s">
        <v>26818</v>
      </c>
      <c r="J13155" s="10" t="str">
        <f>HYPERLINK("https://www.boe.es/gazeta/dias/1834/07/20/pdfs/GMD-1834-153.pdf#page=3","Abrir facsímil")</f>
        <v>Abrir facsímil</v>
      </c>
      <c r="K13155" s="10" t="s">
        <v>24</v>
      </c>
    </row>
    <row r="13156" spans="1:11" ht="54" customHeight="1">
      <c r="A13156" s="9" t="s">
        <v>26819</v>
      </c>
      <c r="B13156" s="9" t="s">
        <v>26819</v>
      </c>
      <c r="C13156" s="9" t="s">
        <v>17</v>
      </c>
      <c r="D13156" s="9" t="s">
        <v>18</v>
      </c>
      <c r="E13156" s="10" t="s">
        <v>73</v>
      </c>
      <c r="F13156" s="9" t="s">
        <v>1416</v>
      </c>
      <c r="G13156" s="10" t="s">
        <v>21</v>
      </c>
      <c r="H13156" s="9" t="s">
        <v>22</v>
      </c>
      <c r="I13156" s="9" t="s">
        <v>26820</v>
      </c>
      <c r="J13156" s="10" t="str">
        <f>HYPERLINK("https://www.boe.es/gazeta/dias/1834/11/04/pdfs/GMD-C-1834-263.pdf#page=3","Abrir facsímil")</f>
        <v>Abrir facsímil</v>
      </c>
      <c r="K13156" s="10" t="s">
        <v>24</v>
      </c>
    </row>
    <row r="13157" spans="1:11" ht="54" customHeight="1">
      <c r="A13157" s="9" t="s">
        <v>26819</v>
      </c>
      <c r="B13157" s="9" t="s">
        <v>26819</v>
      </c>
      <c r="C13157" s="9" t="s">
        <v>46</v>
      </c>
      <c r="D13157" s="9" t="s">
        <v>101</v>
      </c>
      <c r="E13157" s="10" t="s">
        <v>233</v>
      </c>
      <c r="F13157" s="9" t="s">
        <v>1810</v>
      </c>
      <c r="G13157" s="10" t="s">
        <v>1099</v>
      </c>
      <c r="H13157" s="9" t="s">
        <v>22</v>
      </c>
      <c r="I13157" s="9" t="s">
        <v>26821</v>
      </c>
      <c r="J13157" s="10" t="str">
        <f>HYPERLINK("https://www.boe.es/gazeta/dias/1834/12/16/pdfs/GMD-C-1834-305.pdf#page=11","Abrir facsímil")</f>
        <v>Abrir facsímil</v>
      </c>
      <c r="K13157" s="10" t="s">
        <v>24</v>
      </c>
    </row>
    <row r="13158" spans="1:11" ht="54" customHeight="1">
      <c r="A13158" s="9" t="s">
        <v>26822</v>
      </c>
      <c r="B13158" s="9" t="s">
        <v>26822</v>
      </c>
      <c r="C13158" s="9" t="s">
        <v>17</v>
      </c>
      <c r="D13158" s="9" t="s">
        <v>18</v>
      </c>
      <c r="E13158" s="10" t="s">
        <v>1135</v>
      </c>
      <c r="F13158" s="9" t="s">
        <v>1566</v>
      </c>
      <c r="G13158" s="10" t="s">
        <v>34</v>
      </c>
      <c r="H13158" s="9" t="s">
        <v>22</v>
      </c>
      <c r="I13158" s="9" t="s">
        <v>26823</v>
      </c>
      <c r="J13158" s="10" t="str">
        <f>HYPERLINK("https://www.boe.es/gazeta/dias/1834/08/26/pdfs/GMD-C-1834-192.pdf#page=1","Abrir facsímil")</f>
        <v>Abrir facsímil</v>
      </c>
      <c r="K13158" s="10" t="s">
        <v>24</v>
      </c>
    </row>
    <row r="13159" spans="1:11" ht="54" customHeight="1">
      <c r="A13159" s="9" t="s">
        <v>26824</v>
      </c>
      <c r="B13159" s="9" t="s">
        <v>26825</v>
      </c>
      <c r="C13159" s="9" t="s">
        <v>17</v>
      </c>
      <c r="D13159" s="9" t="s">
        <v>18</v>
      </c>
      <c r="E13159" s="10" t="s">
        <v>1170</v>
      </c>
      <c r="F13159" s="9" t="s">
        <v>1171</v>
      </c>
      <c r="G13159" s="10" t="s">
        <v>176</v>
      </c>
      <c r="H13159" s="9" t="s">
        <v>22</v>
      </c>
      <c r="I13159" s="9" t="s">
        <v>26826</v>
      </c>
      <c r="J13159" s="10" t="str">
        <f>HYPERLINK("https://www.boe.es/gazeta/dias/1834/01/07/pdfs/GMD-1834-4.pdf#page=6","Abrir facsímil")</f>
        <v>Abrir facsímil</v>
      </c>
      <c r="K13159" s="10" t="s">
        <v>24</v>
      </c>
    </row>
    <row r="13160" spans="1:11" ht="54" customHeight="1">
      <c r="A13160" s="9" t="s">
        <v>26827</v>
      </c>
      <c r="B13160" s="9" t="s">
        <v>26827</v>
      </c>
      <c r="C13160" s="9" t="s">
        <v>17</v>
      </c>
      <c r="D13160" s="9" t="s">
        <v>18</v>
      </c>
      <c r="E13160" s="10" t="s">
        <v>576</v>
      </c>
      <c r="F13160" s="9" t="s">
        <v>5888</v>
      </c>
      <c r="G13160" s="10" t="s">
        <v>34</v>
      </c>
      <c r="H13160" s="9" t="s">
        <v>22</v>
      </c>
      <c r="I13160" s="9" t="s">
        <v>26828</v>
      </c>
      <c r="J13160" s="10" t="str">
        <f>HYPERLINK("https://www.boe.es/gazeta/dias/1834/09/23/pdfs/GMD-C-1834-221.pdf#page=1","Abrir facsímil")</f>
        <v>Abrir facsímil</v>
      </c>
      <c r="K13160" s="10" t="s">
        <v>24</v>
      </c>
    </row>
    <row r="13161" spans="1:11" ht="54" customHeight="1">
      <c r="A13161" s="9" t="s">
        <v>26829</v>
      </c>
      <c r="B13161" s="9" t="s">
        <v>26829</v>
      </c>
      <c r="C13161" s="9" t="s">
        <v>17</v>
      </c>
      <c r="D13161" s="9" t="s">
        <v>18</v>
      </c>
      <c r="E13161" s="10" t="s">
        <v>158</v>
      </c>
      <c r="F13161" s="9" t="s">
        <v>581</v>
      </c>
      <c r="G13161" s="10" t="s">
        <v>34</v>
      </c>
      <c r="H13161" s="9" t="s">
        <v>22</v>
      </c>
      <c r="I13161" s="9" t="s">
        <v>26830</v>
      </c>
      <c r="J13161" s="10" t="str">
        <f>HYPERLINK("https://www.boe.es/gazeta/dias/1834/10/01/pdfs/GMD-C-1834-229.pdf#page=1","Abrir facsímil")</f>
        <v>Abrir facsímil</v>
      </c>
      <c r="K13161" s="10" t="s">
        <v>24</v>
      </c>
    </row>
    <row r="13162" spans="1:11" ht="54" customHeight="1">
      <c r="A13162" s="9" t="s">
        <v>26829</v>
      </c>
      <c r="B13162" s="9" t="s">
        <v>26829</v>
      </c>
      <c r="C13162" s="9" t="s">
        <v>46</v>
      </c>
      <c r="D13162" s="9" t="s">
        <v>18</v>
      </c>
      <c r="E13162" s="10" t="s">
        <v>364</v>
      </c>
      <c r="F13162" s="9" t="s">
        <v>365</v>
      </c>
      <c r="G13162" s="10" t="s">
        <v>34</v>
      </c>
      <c r="H13162" s="9" t="s">
        <v>22</v>
      </c>
      <c r="I13162" s="9" t="s">
        <v>26831</v>
      </c>
      <c r="J13162" s="10" t="str">
        <f>HYPERLINK("https://www.boe.es/gazeta/dias/1834/09/06/pdfs/GMD-C-1834-204.pdf#page=1","Abrir facsímil")</f>
        <v>Abrir facsímil</v>
      </c>
      <c r="K13162" s="10" t="s">
        <v>24</v>
      </c>
    </row>
    <row r="13163" spans="1:11" ht="54" customHeight="1">
      <c r="A13163" s="9" t="s">
        <v>26832</v>
      </c>
      <c r="B13163" s="9" t="s">
        <v>26832</v>
      </c>
      <c r="C13163" s="9" t="s">
        <v>17</v>
      </c>
      <c r="D13163" s="9" t="s">
        <v>18</v>
      </c>
      <c r="E13163" s="10" t="s">
        <v>158</v>
      </c>
      <c r="F13163" s="9" t="s">
        <v>581</v>
      </c>
      <c r="G13163" s="10" t="s">
        <v>34</v>
      </c>
      <c r="H13163" s="9" t="s">
        <v>22</v>
      </c>
      <c r="I13163" s="9" t="s">
        <v>26833</v>
      </c>
      <c r="J13163" s="10" t="str">
        <f>HYPERLINK("https://www.boe.es/gazeta/dias/1834/10/01/pdfs/GMD-C-1834-229.pdf#page=1","Abrir facsímil")</f>
        <v>Abrir facsímil</v>
      </c>
      <c r="K13163" s="10" t="s">
        <v>24</v>
      </c>
    </row>
    <row r="13164" spans="1:11" ht="54" customHeight="1">
      <c r="A13164" s="9" t="s">
        <v>26834</v>
      </c>
      <c r="B13164" s="9" t="s">
        <v>26834</v>
      </c>
      <c r="C13164" s="9" t="s">
        <v>17</v>
      </c>
      <c r="D13164" s="9" t="s">
        <v>18</v>
      </c>
      <c r="E13164" s="10" t="s">
        <v>690</v>
      </c>
      <c r="F13164" s="9" t="s">
        <v>691</v>
      </c>
      <c r="G13164" s="10" t="s">
        <v>34</v>
      </c>
      <c r="H13164" s="9" t="s">
        <v>22</v>
      </c>
      <c r="I13164" s="9" t="s">
        <v>26835</v>
      </c>
      <c r="J13164" s="10" t="str">
        <f>HYPERLINK("https://www.boe.es/gazeta/dias/1834/09/03/pdfs/GMD-C-1834-201.pdf#page=1","Abrir facsímil")</f>
        <v>Abrir facsímil</v>
      </c>
      <c r="K13164" s="10" t="s">
        <v>24</v>
      </c>
    </row>
    <row r="13165" spans="1:11" ht="54" customHeight="1">
      <c r="A13165" s="9" t="s">
        <v>26834</v>
      </c>
      <c r="B13165" s="9" t="s">
        <v>26834</v>
      </c>
      <c r="C13165" s="9" t="s">
        <v>17</v>
      </c>
      <c r="D13165" s="9" t="s">
        <v>18</v>
      </c>
      <c r="E13165" s="10" t="s">
        <v>690</v>
      </c>
      <c r="F13165" s="9" t="s">
        <v>691</v>
      </c>
      <c r="G13165" s="10" t="s">
        <v>560</v>
      </c>
      <c r="H13165" s="9" t="s">
        <v>22</v>
      </c>
      <c r="I13165" s="9" t="s">
        <v>26836</v>
      </c>
      <c r="J13165" s="10" t="str">
        <f>HYPERLINK("https://www.boe.es/gazeta/dias/1834/09/03/pdfs/GMD-C-1834-201.pdf#page=7","Abrir facsímil")</f>
        <v>Abrir facsímil</v>
      </c>
      <c r="K13165" s="10" t="s">
        <v>24</v>
      </c>
    </row>
    <row r="13166" spans="1:11" ht="54" customHeight="1">
      <c r="A13166" s="9" t="s">
        <v>26834</v>
      </c>
      <c r="B13166" s="9" t="s">
        <v>26834</v>
      </c>
      <c r="C13166" s="9" t="s">
        <v>17</v>
      </c>
      <c r="D13166" s="9" t="s">
        <v>18</v>
      </c>
      <c r="E13166" s="10" t="s">
        <v>364</v>
      </c>
      <c r="F13166" s="9" t="s">
        <v>365</v>
      </c>
      <c r="G13166" s="10" t="s">
        <v>34</v>
      </c>
      <c r="H13166" s="9" t="s">
        <v>22</v>
      </c>
      <c r="I13166" s="9" t="s">
        <v>26837</v>
      </c>
      <c r="J13166" s="10" t="str">
        <f>HYPERLINK("https://www.boe.es/gazeta/dias/1834/09/06/pdfs/GMD-C-1834-204.pdf#page=1","Abrir facsímil")</f>
        <v>Abrir facsímil</v>
      </c>
      <c r="K13166" s="10" t="s">
        <v>24</v>
      </c>
    </row>
    <row r="13167" spans="1:11" ht="54" customHeight="1">
      <c r="A13167" s="9" t="s">
        <v>26834</v>
      </c>
      <c r="B13167" s="9" t="s">
        <v>26834</v>
      </c>
      <c r="C13167" s="9" t="s">
        <v>17</v>
      </c>
      <c r="D13167" s="9" t="s">
        <v>18</v>
      </c>
      <c r="E13167" s="10" t="s">
        <v>364</v>
      </c>
      <c r="F13167" s="9" t="s">
        <v>365</v>
      </c>
      <c r="G13167" s="10" t="s">
        <v>86</v>
      </c>
      <c r="H13167" s="9" t="s">
        <v>22</v>
      </c>
      <c r="I13167" s="9" t="s">
        <v>26838</v>
      </c>
      <c r="J13167" s="10" t="str">
        <f>HYPERLINK("https://www.boe.es/gazeta/dias/1834/09/06/pdfs/GMD-C-1834-204.pdf#page=2","Abrir facsímil")</f>
        <v>Abrir facsímil</v>
      </c>
      <c r="K13167" s="10" t="s">
        <v>24</v>
      </c>
    </row>
    <row r="13168" spans="1:11" ht="54" customHeight="1">
      <c r="A13168" s="9" t="s">
        <v>26834</v>
      </c>
      <c r="B13168" s="9" t="s">
        <v>26834</v>
      </c>
      <c r="C13168" s="9" t="s">
        <v>17</v>
      </c>
      <c r="D13168" s="9" t="s">
        <v>18</v>
      </c>
      <c r="E13168" s="10" t="s">
        <v>1410</v>
      </c>
      <c r="F13168" s="9" t="s">
        <v>2231</v>
      </c>
      <c r="G13168" s="10" t="s">
        <v>28</v>
      </c>
      <c r="H13168" s="9" t="s">
        <v>22</v>
      </c>
      <c r="I13168" s="9" t="s">
        <v>26839</v>
      </c>
      <c r="J13168" s="10" t="str">
        <f>HYPERLINK("https://www.boe.es/gazeta/dias/1834/09/09/pdfs/GMD-C-1834-207.pdf#page=5","Abrir facsímil")</f>
        <v>Abrir facsímil</v>
      </c>
      <c r="K13168" s="10" t="s">
        <v>24</v>
      </c>
    </row>
    <row r="13169" spans="1:11" ht="54" customHeight="1">
      <c r="A13169" s="9" t="s">
        <v>26840</v>
      </c>
      <c r="B13169" s="9" t="s">
        <v>26840</v>
      </c>
      <c r="C13169" s="9" t="s">
        <v>17</v>
      </c>
      <c r="D13169" s="9" t="s">
        <v>18</v>
      </c>
      <c r="E13169" s="10" t="s">
        <v>96</v>
      </c>
      <c r="F13169" s="9" t="s">
        <v>97</v>
      </c>
      <c r="G13169" s="10" t="s">
        <v>86</v>
      </c>
      <c r="H13169" s="9" t="s">
        <v>22</v>
      </c>
      <c r="I13169" s="9" t="s">
        <v>26841</v>
      </c>
      <c r="J13169" s="10" t="str">
        <f>HYPERLINK("https://www.boe.es/gazeta/dias/1834/11/11/pdfs/GMD-C-1834-270.pdf#page=2","Abrir facsímil")</f>
        <v>Abrir facsímil</v>
      </c>
      <c r="K13169" s="10" t="s">
        <v>24</v>
      </c>
    </row>
    <row r="13170" spans="1:11" ht="54" customHeight="1">
      <c r="A13170" s="9" t="s">
        <v>26834</v>
      </c>
      <c r="B13170" s="9" t="s">
        <v>26834</v>
      </c>
      <c r="C13170" s="9" t="s">
        <v>17</v>
      </c>
      <c r="D13170" s="9" t="s">
        <v>18</v>
      </c>
      <c r="E13170" s="10" t="s">
        <v>200</v>
      </c>
      <c r="F13170" s="9" t="s">
        <v>2248</v>
      </c>
      <c r="G13170" s="10" t="s">
        <v>21</v>
      </c>
      <c r="H13170" s="9" t="s">
        <v>22</v>
      </c>
      <c r="I13170" s="9" t="s">
        <v>26842</v>
      </c>
      <c r="J13170" s="10" t="str">
        <f>HYPERLINK("https://www.boe.es/gazeta/dias/1834/12/11/pdfs/GMD-C-1834-300.pdf#page=3","Abrir facsímil")</f>
        <v>Abrir facsímil</v>
      </c>
      <c r="K13170" s="10" t="s">
        <v>24</v>
      </c>
    </row>
    <row r="13171" spans="1:11" ht="54" customHeight="1">
      <c r="A13171" s="9" t="s">
        <v>26834</v>
      </c>
      <c r="B13171" s="9" t="s">
        <v>26834</v>
      </c>
      <c r="C13171" s="9" t="s">
        <v>17</v>
      </c>
      <c r="D13171" s="9" t="s">
        <v>18</v>
      </c>
      <c r="E13171" s="10" t="s">
        <v>200</v>
      </c>
      <c r="F13171" s="9" t="s">
        <v>2248</v>
      </c>
      <c r="G13171" s="10" t="s">
        <v>75</v>
      </c>
      <c r="H13171" s="9" t="s">
        <v>22</v>
      </c>
      <c r="I13171" s="9" t="s">
        <v>26843</v>
      </c>
      <c r="J13171" s="10" t="str">
        <f>HYPERLINK("https://www.boe.es/gazeta/dias/1834/12/11/pdfs/GMD-C-1834-300.pdf#page=4","Abrir facsímil")</f>
        <v>Abrir facsímil</v>
      </c>
      <c r="K13171" s="10" t="s">
        <v>24</v>
      </c>
    </row>
    <row r="13172" spans="1:11" ht="54" customHeight="1">
      <c r="A13172" s="9" t="s">
        <v>26834</v>
      </c>
      <c r="B13172" s="9" t="s">
        <v>26834</v>
      </c>
      <c r="C13172" s="9" t="s">
        <v>17</v>
      </c>
      <c r="D13172" s="9" t="s">
        <v>18</v>
      </c>
      <c r="E13172" s="10" t="s">
        <v>200</v>
      </c>
      <c r="F13172" s="9" t="s">
        <v>2248</v>
      </c>
      <c r="G13172" s="10" t="s">
        <v>28</v>
      </c>
      <c r="H13172" s="9" t="s">
        <v>22</v>
      </c>
      <c r="I13172" s="9" t="s">
        <v>26844</v>
      </c>
      <c r="J13172" s="10" t="str">
        <f>HYPERLINK("https://www.boe.es/gazeta/dias/1834/12/11/pdfs/GMD-C-1834-300.pdf#page=5","Abrir facsímil")</f>
        <v>Abrir facsímil</v>
      </c>
      <c r="K13172" s="10" t="s">
        <v>24</v>
      </c>
    </row>
    <row r="13173" spans="1:11" ht="54" customHeight="1">
      <c r="A13173" s="9" t="s">
        <v>26834</v>
      </c>
      <c r="B13173" s="9" t="s">
        <v>26834</v>
      </c>
      <c r="C13173" s="9" t="s">
        <v>17</v>
      </c>
      <c r="D13173" s="9" t="s">
        <v>18</v>
      </c>
      <c r="E13173" s="10" t="s">
        <v>623</v>
      </c>
      <c r="F13173" s="9" t="s">
        <v>624</v>
      </c>
      <c r="G13173" s="10" t="s">
        <v>34</v>
      </c>
      <c r="H13173" s="9" t="s">
        <v>22</v>
      </c>
      <c r="I13173" s="9" t="s">
        <v>26845</v>
      </c>
      <c r="J13173" s="10" t="str">
        <f>HYPERLINK("https://www.boe.es/gazeta/dias/1834/10/12/pdfs/GMD-C-1834-240.pdf#page=1","Abrir facsímil")</f>
        <v>Abrir facsímil</v>
      </c>
      <c r="K13173" s="10" t="s">
        <v>24</v>
      </c>
    </row>
    <row r="13174" spans="1:11" ht="54" customHeight="1">
      <c r="A13174" s="9" t="s">
        <v>26834</v>
      </c>
      <c r="B13174" s="9" t="s">
        <v>26834</v>
      </c>
      <c r="C13174" s="9" t="s">
        <v>46</v>
      </c>
      <c r="D13174" s="9" t="s">
        <v>101</v>
      </c>
      <c r="E13174" s="10" t="s">
        <v>448</v>
      </c>
      <c r="F13174" s="9" t="s">
        <v>449</v>
      </c>
      <c r="G13174" s="10" t="s">
        <v>21</v>
      </c>
      <c r="H13174" s="9" t="s">
        <v>22</v>
      </c>
      <c r="I13174" s="9" t="s">
        <v>26846</v>
      </c>
      <c r="J13174" s="10" t="str">
        <f>HYPERLINK("https://www.boe.es/gazeta/dias/1834/10/14/pdfs/GMD-C-1834-242.pdf#page=3","Abrir facsímil")</f>
        <v>Abrir facsímil</v>
      </c>
      <c r="K13174" s="10" t="s">
        <v>24</v>
      </c>
    </row>
    <row r="13175" spans="1:11" ht="54" customHeight="1">
      <c r="A13175" s="9" t="s">
        <v>26834</v>
      </c>
      <c r="B13175" s="9" t="s">
        <v>26834</v>
      </c>
      <c r="C13175" s="9" t="s">
        <v>17</v>
      </c>
      <c r="D13175" s="9" t="s">
        <v>18</v>
      </c>
      <c r="E13175" s="10" t="s">
        <v>1424</v>
      </c>
      <c r="F13175" s="9" t="s">
        <v>1425</v>
      </c>
      <c r="G13175" s="10" t="s">
        <v>34</v>
      </c>
      <c r="H13175" s="9" t="s">
        <v>22</v>
      </c>
      <c r="I13175" s="9" t="s">
        <v>26847</v>
      </c>
      <c r="J13175" s="10" t="str">
        <f>HYPERLINK("https://www.boe.es/gazeta/dias/1834/11/14/pdfs/GMD-C-1834-273.pdf#page=1","Abrir facsímil")</f>
        <v>Abrir facsímil</v>
      </c>
      <c r="K13175" s="10" t="s">
        <v>24</v>
      </c>
    </row>
    <row r="13176" spans="1:11" ht="54" customHeight="1">
      <c r="A13176" s="9" t="s">
        <v>26834</v>
      </c>
      <c r="B13176" s="9" t="s">
        <v>26834</v>
      </c>
      <c r="C13176" s="9" t="s">
        <v>17</v>
      </c>
      <c r="D13176" s="9" t="s">
        <v>18</v>
      </c>
      <c r="E13176" s="10" t="s">
        <v>237</v>
      </c>
      <c r="F13176" s="9" t="s">
        <v>238</v>
      </c>
      <c r="G13176" s="10" t="s">
        <v>21</v>
      </c>
      <c r="H13176" s="9" t="s">
        <v>22</v>
      </c>
      <c r="I13176" s="9" t="s">
        <v>26848</v>
      </c>
      <c r="J13176" s="10" t="str">
        <f>HYPERLINK("https://www.boe.es/gazeta/dias/1834/08/15/pdfs/GMD-C-1834-180.pdf#page=3","Abrir facsímil")</f>
        <v>Abrir facsímil</v>
      </c>
      <c r="K13176" s="10" t="s">
        <v>24</v>
      </c>
    </row>
    <row r="13177" spans="1:11" ht="54" customHeight="1">
      <c r="A13177" s="9" t="s">
        <v>26834</v>
      </c>
      <c r="B13177" s="9" t="s">
        <v>26834</v>
      </c>
      <c r="C13177" s="9" t="s">
        <v>46</v>
      </c>
      <c r="D13177" s="9" t="s">
        <v>101</v>
      </c>
      <c r="E13177" s="10" t="s">
        <v>451</v>
      </c>
      <c r="F13177" s="9" t="s">
        <v>452</v>
      </c>
      <c r="G13177" s="10" t="s">
        <v>34</v>
      </c>
      <c r="H13177" s="9" t="s">
        <v>22</v>
      </c>
      <c r="I13177" s="9" t="s">
        <v>26849</v>
      </c>
      <c r="J13177" s="10" t="str">
        <f>HYPERLINK("https://www.boe.es/gazeta/dias/1834/10/15/pdfs/GMD-C-1834-243.pdf#page=1","Abrir facsímil")</f>
        <v>Abrir facsímil</v>
      </c>
      <c r="K13177" s="10" t="s">
        <v>24</v>
      </c>
    </row>
    <row r="13178" spans="1:11" ht="54" customHeight="1">
      <c r="A13178" s="9" t="s">
        <v>26834</v>
      </c>
      <c r="B13178" s="9" t="s">
        <v>26834</v>
      </c>
      <c r="C13178" s="9" t="s">
        <v>17</v>
      </c>
      <c r="D13178" s="9" t="s">
        <v>18</v>
      </c>
      <c r="E13178" s="10" t="s">
        <v>378</v>
      </c>
      <c r="F13178" s="9" t="s">
        <v>888</v>
      </c>
      <c r="G13178" s="10" t="s">
        <v>86</v>
      </c>
      <c r="H13178" s="9" t="s">
        <v>22</v>
      </c>
      <c r="I13178" s="9" t="s">
        <v>26850</v>
      </c>
      <c r="J13178" s="10" t="str">
        <f>HYPERLINK("https://www.boe.es/gazeta/dias/1834/09/24/pdfs/GMD-C-1834-222.pdf#page=2","Abrir facsímil")</f>
        <v>Abrir facsímil</v>
      </c>
      <c r="K13178" s="10" t="s">
        <v>24</v>
      </c>
    </row>
    <row r="13179" spans="1:11" ht="54" customHeight="1">
      <c r="A13179" s="9" t="s">
        <v>26834</v>
      </c>
      <c r="B13179" s="9" t="s">
        <v>26834</v>
      </c>
      <c r="C13179" s="9" t="s">
        <v>17</v>
      </c>
      <c r="D13179" s="9" t="s">
        <v>18</v>
      </c>
      <c r="E13179" s="10" t="s">
        <v>294</v>
      </c>
      <c r="F13179" s="9" t="s">
        <v>959</v>
      </c>
      <c r="G13179" s="10" t="s">
        <v>21</v>
      </c>
      <c r="H13179" s="9" t="s">
        <v>22</v>
      </c>
      <c r="I13179" s="9" t="s">
        <v>26851</v>
      </c>
      <c r="J13179" s="10" t="str">
        <f>HYPERLINK("https://www.boe.es/gazeta/dias/1834/09/27/pdfs/GMD-C-1834-225.pdf#page=3","Abrir facsímil")</f>
        <v>Abrir facsímil</v>
      </c>
      <c r="K13179" s="10" t="s">
        <v>24</v>
      </c>
    </row>
    <row r="13180" spans="1:11" ht="54" customHeight="1">
      <c r="A13180" s="9" t="s">
        <v>26834</v>
      </c>
      <c r="B13180" s="9" t="s">
        <v>26834</v>
      </c>
      <c r="C13180" s="9" t="s">
        <v>17</v>
      </c>
      <c r="D13180" s="9" t="s">
        <v>18</v>
      </c>
      <c r="E13180" s="10" t="s">
        <v>1641</v>
      </c>
      <c r="F13180" s="9" t="s">
        <v>1642</v>
      </c>
      <c r="G13180" s="10" t="s">
        <v>34</v>
      </c>
      <c r="H13180" s="9" t="s">
        <v>22</v>
      </c>
      <c r="I13180" s="9" t="s">
        <v>26852</v>
      </c>
      <c r="J13180" s="10" t="str">
        <f>HYPERLINK("https://www.boe.es/gazeta/dias/1834/09/28/pdfs/GMD-C-1834-226.pdf#page=1","Abrir facsímil")</f>
        <v>Abrir facsímil</v>
      </c>
      <c r="K13180" s="10" t="s">
        <v>24</v>
      </c>
    </row>
    <row r="13181" spans="1:11" ht="54" customHeight="1">
      <c r="A13181" s="9" t="s">
        <v>26834</v>
      </c>
      <c r="B13181" s="9" t="s">
        <v>26834</v>
      </c>
      <c r="C13181" s="9" t="s">
        <v>17</v>
      </c>
      <c r="D13181" s="9" t="s">
        <v>18</v>
      </c>
      <c r="E13181" s="10" t="s">
        <v>283</v>
      </c>
      <c r="F13181" s="9" t="s">
        <v>284</v>
      </c>
      <c r="G13181" s="10" t="s">
        <v>86</v>
      </c>
      <c r="H13181" s="9" t="s">
        <v>22</v>
      </c>
      <c r="I13181" s="9" t="s">
        <v>26853</v>
      </c>
      <c r="J13181" s="10" t="str">
        <f>HYPERLINK("https://www.boe.es/gazeta/dias/1834/11/29/pdfs/GMD-C-1834-288.pdf#page=2","Abrir facsímil")</f>
        <v>Abrir facsímil</v>
      </c>
      <c r="K13181" s="10" t="s">
        <v>24</v>
      </c>
    </row>
    <row r="13182" spans="1:11" ht="54" customHeight="1">
      <c r="A13182" s="9" t="s">
        <v>26834</v>
      </c>
      <c r="B13182" s="9" t="s">
        <v>26834</v>
      </c>
      <c r="C13182" s="9" t="s">
        <v>90</v>
      </c>
      <c r="D13182" s="9" t="s">
        <v>18</v>
      </c>
      <c r="E13182" s="10" t="s">
        <v>153</v>
      </c>
      <c r="F13182" s="9" t="s">
        <v>154</v>
      </c>
      <c r="G13182" s="10" t="s">
        <v>34</v>
      </c>
      <c r="H13182" s="9" t="s">
        <v>22</v>
      </c>
      <c r="I13182" s="9" t="s">
        <v>26854</v>
      </c>
      <c r="J13182" s="10" t="str">
        <f>HYPERLINK("https://www.boe.es/gazeta/dias/1834/12/30/pdfs/GMD-C-1834-320.pdf#page=1","Abrir facsímil")</f>
        <v>Abrir facsímil</v>
      </c>
      <c r="K13182" s="10" t="s">
        <v>24</v>
      </c>
    </row>
    <row r="13183" spans="1:11" ht="54" customHeight="1">
      <c r="A13183" s="9" t="s">
        <v>26855</v>
      </c>
      <c r="B13183" s="9" t="s">
        <v>26855</v>
      </c>
      <c r="C13183" s="9" t="s">
        <v>90</v>
      </c>
      <c r="D13183" s="9" t="s">
        <v>18</v>
      </c>
      <c r="E13183" s="10" t="s">
        <v>444</v>
      </c>
      <c r="F13183" s="9" t="s">
        <v>445</v>
      </c>
      <c r="G13183" s="10" t="s">
        <v>34</v>
      </c>
      <c r="H13183" s="9" t="s">
        <v>22</v>
      </c>
      <c r="I13183" s="9" t="s">
        <v>26856</v>
      </c>
      <c r="J13183" s="10" t="str">
        <f>HYPERLINK("https://www.boe.es/gazeta/dias/1834/09/12/pdfs/GMD-C-1834-210.pdf#page=1","Abrir facsímil")</f>
        <v>Abrir facsímil</v>
      </c>
      <c r="K13183" s="10" t="s">
        <v>24</v>
      </c>
    </row>
    <row r="13184" spans="1:11" ht="54" customHeight="1">
      <c r="A13184" s="9" t="s">
        <v>26857</v>
      </c>
      <c r="B13184" s="9" t="s">
        <v>26857</v>
      </c>
      <c r="C13184" s="9" t="s">
        <v>17</v>
      </c>
      <c r="D13184" s="9" t="s">
        <v>18</v>
      </c>
      <c r="E13184" s="10" t="s">
        <v>426</v>
      </c>
      <c r="F13184" s="9" t="s">
        <v>694</v>
      </c>
      <c r="G13184" s="10" t="s">
        <v>86</v>
      </c>
      <c r="H13184" s="9" t="s">
        <v>22</v>
      </c>
      <c r="I13184" s="9" t="s">
        <v>26858</v>
      </c>
      <c r="J13184" s="10" t="str">
        <f>HYPERLINK("https://www.boe.es/gazeta/dias/1834/10/04/pdfs/GMD-C-1834-232.pdf#page=2","Abrir facsímil")</f>
        <v>Abrir facsímil</v>
      </c>
      <c r="K13184" s="10" t="s">
        <v>24</v>
      </c>
    </row>
    <row r="13185" spans="1:11" ht="54" customHeight="1">
      <c r="A13185" s="9" t="s">
        <v>26859</v>
      </c>
      <c r="B13185" s="9" t="s">
        <v>26860</v>
      </c>
      <c r="C13185" s="9" t="s">
        <v>17</v>
      </c>
      <c r="D13185" s="9" t="s">
        <v>18</v>
      </c>
      <c r="E13185" s="10" t="s">
        <v>143</v>
      </c>
      <c r="F13185" s="9" t="s">
        <v>144</v>
      </c>
      <c r="G13185" s="10" t="s">
        <v>75</v>
      </c>
      <c r="H13185" s="9" t="s">
        <v>22</v>
      </c>
      <c r="I13185" s="9" t="s">
        <v>26861</v>
      </c>
      <c r="J13185" s="10" t="str">
        <f>HYPERLINK("https://www.boe.es/gazeta/dias/1834/07/31/pdfs/GMD-1834-164.pdf#page=4","Abrir facsímil")</f>
        <v>Abrir facsímil</v>
      </c>
      <c r="K13185" s="10" t="s">
        <v>24</v>
      </c>
    </row>
    <row r="13186" spans="1:11" ht="54" customHeight="1">
      <c r="A13186" s="9" t="s">
        <v>26862</v>
      </c>
      <c r="B13186" s="9" t="s">
        <v>26863</v>
      </c>
      <c r="C13186" s="9" t="s">
        <v>90</v>
      </c>
      <c r="D13186" s="9" t="s">
        <v>40</v>
      </c>
      <c r="E13186" s="10" t="s">
        <v>696</v>
      </c>
      <c r="F13186" s="9" t="s">
        <v>854</v>
      </c>
      <c r="G13186" s="10" t="s">
        <v>75</v>
      </c>
      <c r="H13186" s="9" t="s">
        <v>22</v>
      </c>
      <c r="I13186" s="9" t="s">
        <v>26864</v>
      </c>
      <c r="J13186" s="10" t="str">
        <f>HYPERLINK("https://www.boe.es/gazeta/dias/1834/12/06/pdfs/GMD-1834-295.pdf#page=4","Abrir facsímil")</f>
        <v>Abrir facsímil</v>
      </c>
      <c r="K13186" s="10" t="s">
        <v>24</v>
      </c>
    </row>
    <row r="13187" spans="1:11" ht="54" customHeight="1">
      <c r="A13187" s="9" t="s">
        <v>26865</v>
      </c>
      <c r="B13187" s="9" t="s">
        <v>26865</v>
      </c>
      <c r="C13187" s="9" t="s">
        <v>17</v>
      </c>
      <c r="D13187" s="9" t="s">
        <v>18</v>
      </c>
      <c r="E13187" s="10" t="s">
        <v>1572</v>
      </c>
      <c r="F13187" s="9" t="s">
        <v>1573</v>
      </c>
      <c r="G13187" s="10" t="s">
        <v>21</v>
      </c>
      <c r="H13187" s="9" t="s">
        <v>22</v>
      </c>
      <c r="I13187" s="9" t="s">
        <v>26866</v>
      </c>
      <c r="J13187" s="10" t="str">
        <f>HYPERLINK("https://www.boe.es/gazeta/dias/1834/03/20/pdfs/GMD-1834-35.pdf#page=3","Abrir facsímil")</f>
        <v>Abrir facsímil</v>
      </c>
      <c r="K13187" s="10" t="s">
        <v>24</v>
      </c>
    </row>
    <row r="13188" spans="1:11" ht="54" customHeight="1">
      <c r="A13188" s="9" t="s">
        <v>26867</v>
      </c>
      <c r="B13188" s="9" t="s">
        <v>26867</v>
      </c>
      <c r="C13188" s="9" t="s">
        <v>46</v>
      </c>
      <c r="D13188" s="9" t="s">
        <v>101</v>
      </c>
      <c r="E13188" s="10" t="s">
        <v>167</v>
      </c>
      <c r="F13188" s="9" t="s">
        <v>168</v>
      </c>
      <c r="G13188" s="10" t="s">
        <v>34</v>
      </c>
      <c r="H13188" s="9" t="s">
        <v>22</v>
      </c>
      <c r="I13188" s="9" t="s">
        <v>26868</v>
      </c>
      <c r="J13188" s="10" t="str">
        <f>HYPERLINK("https://www.boe.es/gazeta/dias/1834/09/07/pdfs/GMD-1834-205.pdf#page=1","Abrir facsímil")</f>
        <v>Abrir facsímil</v>
      </c>
      <c r="K13188" s="10" t="s">
        <v>24</v>
      </c>
    </row>
    <row r="13189" spans="1:11" ht="54" customHeight="1">
      <c r="A13189" s="9" t="s">
        <v>26869</v>
      </c>
      <c r="B13189" s="9" t="s">
        <v>26870</v>
      </c>
      <c r="C13189" s="9" t="s">
        <v>17</v>
      </c>
      <c r="D13189" s="9" t="s">
        <v>18</v>
      </c>
      <c r="E13189" s="10" t="s">
        <v>343</v>
      </c>
      <c r="F13189" s="9" t="s">
        <v>344</v>
      </c>
      <c r="G13189" s="10" t="s">
        <v>21</v>
      </c>
      <c r="H13189" s="9" t="s">
        <v>22</v>
      </c>
      <c r="I13189" s="9" t="s">
        <v>26871</v>
      </c>
      <c r="J13189" s="10" t="str">
        <f>HYPERLINK("https://www.boe.es/gazeta/dias/1834/01/14/pdfs/GMD-1834-7.pdf#page=3","Abrir facsímil")</f>
        <v>Abrir facsímil</v>
      </c>
      <c r="K13189" s="10" t="s">
        <v>24</v>
      </c>
    </row>
    <row r="13190" spans="1:11" ht="54" customHeight="1">
      <c r="A13190" s="9" t="s">
        <v>26872</v>
      </c>
      <c r="B13190" s="9" t="s">
        <v>26872</v>
      </c>
      <c r="C13190" s="9" t="s">
        <v>17</v>
      </c>
      <c r="D13190" s="9" t="s">
        <v>18</v>
      </c>
      <c r="E13190" s="10" t="s">
        <v>4637</v>
      </c>
      <c r="F13190" s="9" t="s">
        <v>4638</v>
      </c>
      <c r="G13190" s="10" t="s">
        <v>21</v>
      </c>
      <c r="H13190" s="9" t="s">
        <v>22</v>
      </c>
      <c r="I13190" s="9" t="s">
        <v>26873</v>
      </c>
      <c r="J13190" s="10" t="str">
        <f>HYPERLINK("https://www.boe.es/gazeta/dias/1834/12/08/pdfs/GMD-1834-297.pdf#page=3","Abrir facsímil")</f>
        <v>Abrir facsímil</v>
      </c>
      <c r="K13190" s="10" t="s">
        <v>24</v>
      </c>
    </row>
    <row r="13191" spans="1:11" ht="54" customHeight="1">
      <c r="A13191" s="9" t="s">
        <v>26872</v>
      </c>
      <c r="B13191" s="9" t="s">
        <v>26872</v>
      </c>
      <c r="C13191" s="9" t="s">
        <v>66</v>
      </c>
      <c r="D13191" s="9" t="s">
        <v>67</v>
      </c>
      <c r="E13191" s="10" t="s">
        <v>2278</v>
      </c>
      <c r="F13191" s="9" t="s">
        <v>3088</v>
      </c>
      <c r="G13191" s="10" t="s">
        <v>75</v>
      </c>
      <c r="H13191" s="9" t="s">
        <v>22</v>
      </c>
      <c r="I13191" s="9" t="s">
        <v>26874</v>
      </c>
      <c r="J13191" s="10" t="str">
        <f>HYPERLINK("https://www.boe.es/gazeta/dias/1834/12/17/pdfs/GMD-1834-306.pdf#page=4","Abrir facsímil")</f>
        <v>Abrir facsímil</v>
      </c>
      <c r="K13191" s="10" t="s">
        <v>24</v>
      </c>
    </row>
    <row r="13192" spans="1:11" ht="54" customHeight="1">
      <c r="A13192" s="9" t="s">
        <v>26875</v>
      </c>
      <c r="B13192" s="9" t="s">
        <v>26876</v>
      </c>
      <c r="C13192" s="9" t="s">
        <v>46</v>
      </c>
      <c r="D13192" s="9" t="s">
        <v>101</v>
      </c>
      <c r="E13192" s="10" t="s">
        <v>11991</v>
      </c>
      <c r="F13192" s="9" t="s">
        <v>11992</v>
      </c>
      <c r="G13192" s="10" t="s">
        <v>34</v>
      </c>
      <c r="H13192" s="9" t="s">
        <v>22</v>
      </c>
      <c r="I13192" s="9" t="s">
        <v>26877</v>
      </c>
      <c r="J13192" s="10" t="str">
        <f>HYPERLINK("https://www.boe.es/gazeta/dias/1834/12/05/pdfs/GMD-C-1834-294.pdf#page=1","Abrir facsímil")</f>
        <v>Abrir facsímil</v>
      </c>
      <c r="K13192" s="10" t="s">
        <v>24</v>
      </c>
    </row>
    <row r="13193" spans="1:11" ht="54" customHeight="1">
      <c r="A13193" s="9" t="s">
        <v>26878</v>
      </c>
      <c r="B13193" s="9" t="s">
        <v>26878</v>
      </c>
      <c r="C13193" s="9" t="s">
        <v>122</v>
      </c>
      <c r="D13193" s="9" t="s">
        <v>18</v>
      </c>
      <c r="E13193" s="10" t="s">
        <v>3499</v>
      </c>
      <c r="F13193" s="9" t="s">
        <v>3500</v>
      </c>
      <c r="G13193" s="10" t="s">
        <v>21</v>
      </c>
      <c r="H13193" s="9" t="s">
        <v>22</v>
      </c>
      <c r="I13193" s="9" t="s">
        <v>26879</v>
      </c>
      <c r="J13193" s="10" t="str">
        <f>HYPERLINK("https://www.boe.es/gazeta/dias/1834/01/28/pdfs/GMD-1834-13.pdf#page=3","Abrir facsímil")</f>
        <v>Abrir facsímil</v>
      </c>
      <c r="K13193" s="10" t="s">
        <v>24</v>
      </c>
    </row>
    <row r="13194" spans="1:11" ht="54" customHeight="1">
      <c r="A13194" s="9" t="s">
        <v>26880</v>
      </c>
      <c r="B13194" s="9" t="s">
        <v>26880</v>
      </c>
      <c r="C13194" s="9" t="s">
        <v>46</v>
      </c>
      <c r="D13194" s="9" t="s">
        <v>101</v>
      </c>
      <c r="E13194" s="10" t="s">
        <v>1862</v>
      </c>
      <c r="F13194" s="9" t="s">
        <v>1863</v>
      </c>
      <c r="G13194" s="10" t="s">
        <v>21</v>
      </c>
      <c r="H13194" s="9" t="s">
        <v>22</v>
      </c>
      <c r="I13194" s="9" t="s">
        <v>26881</v>
      </c>
      <c r="J13194" s="10" t="str">
        <f>HYPERLINK("https://www.boe.es/gazeta/dias/1834/02/04/pdfs/GMD-1834-16.pdf#page=3","Abrir facsímil")</f>
        <v>Abrir facsímil</v>
      </c>
      <c r="K13194" s="10" t="s">
        <v>24</v>
      </c>
    </row>
    <row r="13195" spans="1:11" ht="54" customHeight="1">
      <c r="A13195" s="9" t="s">
        <v>26882</v>
      </c>
      <c r="B13195" s="9" t="s">
        <v>26882</v>
      </c>
      <c r="C13195" s="9" t="s">
        <v>46</v>
      </c>
      <c r="D13195" s="9" t="s">
        <v>101</v>
      </c>
      <c r="E13195" s="10" t="s">
        <v>899</v>
      </c>
      <c r="F13195" s="9" t="s">
        <v>900</v>
      </c>
      <c r="G13195" s="10" t="s">
        <v>75</v>
      </c>
      <c r="H13195" s="9" t="s">
        <v>22</v>
      </c>
      <c r="I13195" s="9" t="s">
        <v>26883</v>
      </c>
      <c r="J13195" s="10" t="str">
        <f>HYPERLINK("https://www.boe.es/gazeta/dias/1834/01/30/pdfs/GMD-1834-14.pdf#page=4","Abrir facsímil")</f>
        <v>Abrir facsímil</v>
      </c>
      <c r="K13195" s="10" t="s">
        <v>24</v>
      </c>
    </row>
    <row r="13196" spans="1:11" ht="54" customHeight="1">
      <c r="A13196" s="9" t="s">
        <v>26884</v>
      </c>
      <c r="B13196" s="9" t="s">
        <v>26885</v>
      </c>
      <c r="C13196" s="9" t="s">
        <v>66</v>
      </c>
      <c r="D13196" s="9" t="s">
        <v>67</v>
      </c>
      <c r="E13196" s="10" t="s">
        <v>2124</v>
      </c>
      <c r="F13196" s="9" t="s">
        <v>2125</v>
      </c>
      <c r="G13196" s="10" t="s">
        <v>75</v>
      </c>
      <c r="H13196" s="9" t="s">
        <v>22</v>
      </c>
      <c r="I13196" s="9" t="s">
        <v>26886</v>
      </c>
      <c r="J13196" s="10" t="str">
        <f>HYPERLINK("https://www.boe.es/gazeta/dias/1834/06/09/pdfs/GMD-1834-112.pdf#page=4","Abrir facsímil")</f>
        <v>Abrir facsímil</v>
      </c>
      <c r="K13196" s="10" t="s">
        <v>24</v>
      </c>
    </row>
    <row r="13197" spans="1:11" ht="54" customHeight="1">
      <c r="A13197" s="9" t="s">
        <v>26887</v>
      </c>
      <c r="B13197" s="9" t="s">
        <v>26887</v>
      </c>
      <c r="C13197" s="9" t="s">
        <v>66</v>
      </c>
      <c r="D13197" s="9" t="s">
        <v>18</v>
      </c>
      <c r="E13197" s="10" t="s">
        <v>389</v>
      </c>
      <c r="F13197" s="9" t="s">
        <v>390</v>
      </c>
      <c r="G13197" s="10" t="s">
        <v>75</v>
      </c>
      <c r="H13197" s="9" t="s">
        <v>22</v>
      </c>
      <c r="I13197" s="9" t="s">
        <v>26888</v>
      </c>
      <c r="J13197" s="10" t="str">
        <f>HYPERLINK("https://www.boe.es/gazeta/dias/1834/10/25/pdfs/GMD-1834-253.pdf#page=4","Abrir facsímil")</f>
        <v>Abrir facsímil</v>
      </c>
      <c r="K13197" s="10" t="s">
        <v>24</v>
      </c>
    </row>
    <row r="13198" spans="1:11" ht="54" customHeight="1">
      <c r="A13198" s="9" t="s">
        <v>26889</v>
      </c>
      <c r="B13198" s="9" t="s">
        <v>26890</v>
      </c>
      <c r="C13198" s="9" t="s">
        <v>17</v>
      </c>
      <c r="D13198" s="9" t="s">
        <v>55</v>
      </c>
      <c r="E13198" s="10" t="s">
        <v>96</v>
      </c>
      <c r="F13198" s="9" t="s">
        <v>1725</v>
      </c>
      <c r="G13198" s="10" t="s">
        <v>75</v>
      </c>
      <c r="H13198" s="9" t="s">
        <v>22</v>
      </c>
      <c r="I13198" s="9" t="s">
        <v>26891</v>
      </c>
      <c r="J13198" s="10" t="str">
        <f>HYPERLINK("https://www.boe.es/gazeta/dias/1834/11/11/pdfs/GMD-1834-270.pdf#page=4","Abrir facsímil")</f>
        <v>Abrir facsímil</v>
      </c>
      <c r="K13198" s="10" t="s">
        <v>24</v>
      </c>
    </row>
    <row r="13199" spans="1:11" ht="54" customHeight="1">
      <c r="A13199" s="9" t="s">
        <v>26892</v>
      </c>
      <c r="B13199" s="9" t="s">
        <v>26893</v>
      </c>
      <c r="C13199" s="9" t="s">
        <v>122</v>
      </c>
      <c r="D13199" s="9" t="s">
        <v>18</v>
      </c>
      <c r="E13199" s="10" t="s">
        <v>1337</v>
      </c>
      <c r="F13199" s="9" t="s">
        <v>1338</v>
      </c>
      <c r="G13199" s="10" t="s">
        <v>86</v>
      </c>
      <c r="H13199" s="9" t="s">
        <v>22</v>
      </c>
      <c r="I13199" s="9" t="s">
        <v>26894</v>
      </c>
      <c r="J13199" s="10" t="str">
        <f>HYPERLINK("https://www.boe.es/gazeta/dias/1834/01/02/pdfs/GMD-1834-1.pdf#page=2","Abrir facsímil")</f>
        <v>Abrir facsímil</v>
      </c>
      <c r="K13199" s="10" t="s">
        <v>24</v>
      </c>
    </row>
    <row r="13200" spans="1:11" ht="54" customHeight="1">
      <c r="A13200" s="9" t="s">
        <v>26895</v>
      </c>
      <c r="B13200" s="9" t="s">
        <v>26896</v>
      </c>
      <c r="C13200" s="9" t="s">
        <v>90</v>
      </c>
      <c r="D13200" s="9" t="s">
        <v>55</v>
      </c>
      <c r="E13200" s="10" t="s">
        <v>2153</v>
      </c>
      <c r="F13200" s="9" t="s">
        <v>2154</v>
      </c>
      <c r="G13200" s="10" t="s">
        <v>86</v>
      </c>
      <c r="H13200" s="9" t="s">
        <v>22</v>
      </c>
      <c r="I13200" s="9" t="s">
        <v>26897</v>
      </c>
      <c r="J13200" s="10" t="str">
        <f>HYPERLINK("https://www.boe.es/gazeta/dias/1834/01/23/pdfs/GMD-1834-11.pdf#page=2","Abrir facsímil")</f>
        <v>Abrir facsímil</v>
      </c>
      <c r="K13200" s="10" t="s">
        <v>24</v>
      </c>
    </row>
    <row r="13201" spans="1:11" ht="54" customHeight="1">
      <c r="A13201" s="9" t="s">
        <v>26895</v>
      </c>
      <c r="B13201" s="9" t="s">
        <v>26896</v>
      </c>
      <c r="C13201" s="9" t="s">
        <v>66</v>
      </c>
      <c r="D13201" s="9" t="s">
        <v>67</v>
      </c>
      <c r="E13201" s="10" t="s">
        <v>394</v>
      </c>
      <c r="F13201" s="9" t="s">
        <v>395</v>
      </c>
      <c r="G13201" s="10" t="s">
        <v>34</v>
      </c>
      <c r="H13201" s="9" t="s">
        <v>22</v>
      </c>
      <c r="I13201" s="9" t="s">
        <v>26898</v>
      </c>
      <c r="J13201" s="10" t="str">
        <f>HYPERLINK("https://www.boe.es/gazeta/dias/1834/12/23/pdfs/GMD-1834-313.pdf#page=1","Abrir facsímil")</f>
        <v>Abrir facsímil</v>
      </c>
      <c r="K13201" s="10" t="s">
        <v>24</v>
      </c>
    </row>
    <row r="13202" spans="1:11" ht="54" customHeight="1">
      <c r="A13202" s="9" t="s">
        <v>26899</v>
      </c>
      <c r="B13202" s="9" t="s">
        <v>26900</v>
      </c>
      <c r="C13202" s="9" t="s">
        <v>17</v>
      </c>
      <c r="D13202" s="9" t="s">
        <v>55</v>
      </c>
      <c r="E13202" s="10" t="s">
        <v>2748</v>
      </c>
      <c r="F13202" s="9" t="s">
        <v>2749</v>
      </c>
      <c r="G13202" s="10" t="s">
        <v>86</v>
      </c>
      <c r="H13202" s="9" t="s">
        <v>22</v>
      </c>
      <c r="I13202" s="9" t="s">
        <v>26901</v>
      </c>
      <c r="J13202" s="10" t="str">
        <f>HYPERLINK("https://www.boe.es/gazeta/dias/1834/01/09/pdfs/GMD-1834-5.pdf#page=2","Abrir facsímil")</f>
        <v>Abrir facsímil</v>
      </c>
      <c r="K13202" s="10" t="s">
        <v>24</v>
      </c>
    </row>
    <row r="13203" spans="1:11" ht="54" customHeight="1">
      <c r="A13203" s="9" t="s">
        <v>26902</v>
      </c>
      <c r="B13203" s="9" t="s">
        <v>26902</v>
      </c>
      <c r="C13203" s="9" t="s">
        <v>66</v>
      </c>
      <c r="D13203" s="9" t="s">
        <v>67</v>
      </c>
      <c r="E13203" s="10" t="s">
        <v>1351</v>
      </c>
      <c r="F13203" s="9" t="s">
        <v>1352</v>
      </c>
      <c r="G13203" s="10" t="s">
        <v>34</v>
      </c>
      <c r="H13203" s="9" t="s">
        <v>22</v>
      </c>
      <c r="I13203" s="9" t="s">
        <v>26903</v>
      </c>
      <c r="J13203" s="10" t="str">
        <f>HYPERLINK("https://www.boe.es/gazeta/dias/1834/07/05/pdfs/GMD-1834-138.pdf#page=1","Abrir facsímil")</f>
        <v>Abrir facsímil</v>
      </c>
      <c r="K13203" s="10" t="s">
        <v>24</v>
      </c>
    </row>
    <row r="13204" spans="1:11" ht="54" customHeight="1">
      <c r="A13204" s="9" t="s">
        <v>26904</v>
      </c>
      <c r="B13204" s="9" t="s">
        <v>26904</v>
      </c>
      <c r="C13204" s="9" t="s">
        <v>17</v>
      </c>
      <c r="D13204" s="9" t="s">
        <v>18</v>
      </c>
      <c r="E13204" s="10" t="s">
        <v>451</v>
      </c>
      <c r="F13204" s="9" t="s">
        <v>452</v>
      </c>
      <c r="G13204" s="10" t="s">
        <v>34</v>
      </c>
      <c r="H13204" s="9" t="s">
        <v>22</v>
      </c>
      <c r="I13204" s="9" t="s">
        <v>26905</v>
      </c>
      <c r="J13204" s="10" t="str">
        <f>HYPERLINK("https://www.boe.es/gazeta/dias/1834/10/15/pdfs/GMD-C-1834-243.pdf#page=1","Abrir facsímil")</f>
        <v>Abrir facsímil</v>
      </c>
      <c r="K13204" s="10" t="s">
        <v>24</v>
      </c>
    </row>
    <row r="13205" spans="1:11" ht="54" customHeight="1">
      <c r="A13205" s="9" t="s">
        <v>26906</v>
      </c>
      <c r="B13205" s="9" t="s">
        <v>26907</v>
      </c>
      <c r="C13205" s="9" t="s">
        <v>17</v>
      </c>
      <c r="D13205" s="9" t="s">
        <v>18</v>
      </c>
      <c r="E13205" s="10" t="s">
        <v>451</v>
      </c>
      <c r="F13205" s="9" t="s">
        <v>452</v>
      </c>
      <c r="G13205" s="10" t="s">
        <v>34</v>
      </c>
      <c r="H13205" s="9" t="s">
        <v>35</v>
      </c>
      <c r="I13205" s="9" t="s">
        <v>26908</v>
      </c>
      <c r="J13205" s="10" t="str">
        <f>HYPERLINK("https://www.boe.es/gazeta/dias/1834/10/15/pdfs/GMD-C-1834-243.pdf#page=1","Abrir facsímil")</f>
        <v>Abrir facsímil</v>
      </c>
      <c r="K13205" s="10" t="s">
        <v>37</v>
      </c>
    </row>
    <row r="13206" spans="1:11" ht="54" customHeight="1">
      <c r="A13206" s="9" t="s">
        <v>26909</v>
      </c>
      <c r="B13206" s="9" t="s">
        <v>26910</v>
      </c>
      <c r="C13206" s="9" t="s">
        <v>17</v>
      </c>
      <c r="D13206" s="9" t="s">
        <v>18</v>
      </c>
      <c r="E13206" s="10" t="s">
        <v>623</v>
      </c>
      <c r="F13206" s="9" t="s">
        <v>624</v>
      </c>
      <c r="G13206" s="10" t="s">
        <v>34</v>
      </c>
      <c r="H13206" s="9" t="s">
        <v>22</v>
      </c>
      <c r="I13206" s="9" t="s">
        <v>26911</v>
      </c>
      <c r="J13206" s="10" t="str">
        <f>HYPERLINK("https://www.boe.es/gazeta/dias/1834/10/12/pdfs/GMD-C-1834-240.pdf#page=1","Abrir facsímil")</f>
        <v>Abrir facsímil</v>
      </c>
      <c r="K13206" s="10" t="s">
        <v>24</v>
      </c>
    </row>
    <row r="13207" spans="1:11" ht="54" customHeight="1">
      <c r="A13207" s="9" t="s">
        <v>26912</v>
      </c>
      <c r="B13207" s="9" t="s">
        <v>26913</v>
      </c>
      <c r="C13207" s="9" t="s">
        <v>17</v>
      </c>
      <c r="D13207" s="9" t="s">
        <v>18</v>
      </c>
      <c r="E13207" s="10" t="s">
        <v>623</v>
      </c>
      <c r="F13207" s="9" t="s">
        <v>624</v>
      </c>
      <c r="G13207" s="10" t="s">
        <v>34</v>
      </c>
      <c r="H13207" s="9" t="s">
        <v>22</v>
      </c>
      <c r="I13207" s="9" t="s">
        <v>26914</v>
      </c>
      <c r="J13207" s="10" t="str">
        <f>HYPERLINK("https://www.boe.es/gazeta/dias/1834/10/12/pdfs/GMD-C-1834-240.pdf#page=1","Abrir facsímil")</f>
        <v>Abrir facsímil</v>
      </c>
      <c r="K13207" s="10" t="s">
        <v>24</v>
      </c>
    </row>
    <row r="13208" spans="1:11" ht="54" customHeight="1">
      <c r="A13208" s="9" t="s">
        <v>26912</v>
      </c>
      <c r="B13208" s="9" t="s">
        <v>26913</v>
      </c>
      <c r="C13208" s="9" t="s">
        <v>17</v>
      </c>
      <c r="D13208" s="9" t="s">
        <v>18</v>
      </c>
      <c r="E13208" s="10" t="s">
        <v>451</v>
      </c>
      <c r="F13208" s="9" t="s">
        <v>452</v>
      </c>
      <c r="G13208" s="10" t="s">
        <v>34</v>
      </c>
      <c r="H13208" s="9" t="s">
        <v>22</v>
      </c>
      <c r="I13208" s="9" t="s">
        <v>26915</v>
      </c>
      <c r="J13208" s="10" t="str">
        <f>HYPERLINK("https://www.boe.es/gazeta/dias/1834/10/15/pdfs/GMD-C-1834-243.pdf#page=1","Abrir facsímil")</f>
        <v>Abrir facsímil</v>
      </c>
      <c r="K13208" s="10" t="s">
        <v>24</v>
      </c>
    </row>
    <row r="13209" spans="1:11" ht="54" customHeight="1">
      <c r="A13209" s="9" t="s">
        <v>26916</v>
      </c>
      <c r="B13209" s="9" t="s">
        <v>26917</v>
      </c>
      <c r="C13209" s="9" t="s">
        <v>66</v>
      </c>
      <c r="D13209" s="9" t="s">
        <v>67</v>
      </c>
      <c r="E13209" s="10" t="s">
        <v>2860</v>
      </c>
      <c r="F13209" s="9" t="s">
        <v>2861</v>
      </c>
      <c r="G13209" s="10" t="s">
        <v>75</v>
      </c>
      <c r="H13209" s="9" t="s">
        <v>22</v>
      </c>
      <c r="I13209" s="9" t="s">
        <v>26918</v>
      </c>
      <c r="J13209" s="10" t="str">
        <f>HYPERLINK("https://www.boe.es/gazeta/dias/1834/07/20/pdfs/GMD-1834-153.pdf#page=4","Abrir facsímil")</f>
        <v>Abrir facsímil</v>
      </c>
      <c r="K13209" s="10" t="s">
        <v>24</v>
      </c>
    </row>
    <row r="13210" spans="1:11" ht="54" customHeight="1">
      <c r="A13210" s="9" t="s">
        <v>26919</v>
      </c>
      <c r="B13210" s="9" t="s">
        <v>26920</v>
      </c>
      <c r="C13210" s="9" t="s">
        <v>17</v>
      </c>
      <c r="D13210" s="9" t="s">
        <v>18</v>
      </c>
      <c r="E13210" s="10" t="s">
        <v>823</v>
      </c>
      <c r="F13210" s="9" t="s">
        <v>824</v>
      </c>
      <c r="G13210" s="10" t="s">
        <v>28</v>
      </c>
      <c r="H13210" s="9" t="s">
        <v>22</v>
      </c>
      <c r="I13210" s="9" t="s">
        <v>26921</v>
      </c>
      <c r="J13210" s="10" t="str">
        <f>HYPERLINK("https://www.boe.es/gazeta/dias/1834/07/23/pdfs/GMD-1834-156.pdf#page=5","Abrir facsímil")</f>
        <v>Abrir facsímil</v>
      </c>
      <c r="K13210" s="10" t="s">
        <v>24</v>
      </c>
    </row>
    <row r="13211" spans="1:11" ht="54" customHeight="1">
      <c r="A13211" s="9" t="s">
        <v>26922</v>
      </c>
      <c r="B13211" s="9" t="s">
        <v>26922</v>
      </c>
      <c r="C13211" s="9" t="s">
        <v>17</v>
      </c>
      <c r="D13211" s="9" t="s">
        <v>18</v>
      </c>
      <c r="E13211" s="10" t="s">
        <v>524</v>
      </c>
      <c r="F13211" s="9" t="s">
        <v>4743</v>
      </c>
      <c r="G13211" s="10" t="s">
        <v>21</v>
      </c>
      <c r="H13211" s="9" t="s">
        <v>22</v>
      </c>
      <c r="I13211" s="9" t="s">
        <v>26923</v>
      </c>
      <c r="J13211" s="10" t="str">
        <f>HYPERLINK("https://www.boe.es/gazeta/dias/1834/12/25/pdfs/GMD-1834-315.pdf#page=3","Abrir facsímil")</f>
        <v>Abrir facsímil</v>
      </c>
      <c r="K13211" s="10" t="s">
        <v>24</v>
      </c>
    </row>
    <row r="13212" spans="1:11" ht="54" customHeight="1">
      <c r="A13212" s="9" t="s">
        <v>26924</v>
      </c>
      <c r="B13212" s="9" t="s">
        <v>26924</v>
      </c>
      <c r="C13212" s="9" t="s">
        <v>17</v>
      </c>
      <c r="D13212" s="9" t="s">
        <v>18</v>
      </c>
      <c r="E13212" s="10" t="s">
        <v>777</v>
      </c>
      <c r="F13212" s="9" t="s">
        <v>2535</v>
      </c>
      <c r="G13212" s="10" t="s">
        <v>28</v>
      </c>
      <c r="H13212" s="9" t="s">
        <v>22</v>
      </c>
      <c r="I13212" s="9" t="s">
        <v>26925</v>
      </c>
      <c r="J13212" s="10" t="str">
        <f>HYPERLINK("https://www.boe.es/gazeta/dias/1834/10/29/pdfs/GMD-C-1834-257.pdf#page=5","Abrir facsímil")</f>
        <v>Abrir facsímil</v>
      </c>
      <c r="K13212" s="10" t="s">
        <v>24</v>
      </c>
    </row>
    <row r="13213" spans="1:11" ht="54" customHeight="1">
      <c r="A13213" s="9" t="s">
        <v>26926</v>
      </c>
      <c r="B13213" s="9" t="s">
        <v>26926</v>
      </c>
      <c r="C13213" s="9" t="s">
        <v>17</v>
      </c>
      <c r="D13213" s="9" t="s">
        <v>18</v>
      </c>
      <c r="E13213" s="10" t="s">
        <v>1094</v>
      </c>
      <c r="F13213" s="9" t="s">
        <v>1095</v>
      </c>
      <c r="G13213" s="10" t="s">
        <v>21</v>
      </c>
      <c r="H13213" s="9" t="s">
        <v>22</v>
      </c>
      <c r="I13213" s="9" t="s">
        <v>26927</v>
      </c>
      <c r="J13213" s="10" t="str">
        <f>HYPERLINK("https://www.boe.es/gazeta/dias/1834/07/13/pdfs/GMD-1834-146.pdf#page=3","Abrir facsímil")</f>
        <v>Abrir facsímil</v>
      </c>
      <c r="K13213" s="10" t="s">
        <v>24</v>
      </c>
    </row>
    <row r="13214" spans="1:11" ht="54" customHeight="1">
      <c r="A13214" s="9" t="s">
        <v>26928</v>
      </c>
      <c r="B13214" s="9" t="s">
        <v>26928</v>
      </c>
      <c r="C13214" s="9" t="s">
        <v>17</v>
      </c>
      <c r="D13214" s="9" t="s">
        <v>40</v>
      </c>
      <c r="E13214" s="10" t="s">
        <v>571</v>
      </c>
      <c r="F13214" s="9" t="s">
        <v>620</v>
      </c>
      <c r="G13214" s="10" t="s">
        <v>34</v>
      </c>
      <c r="H13214" s="9" t="s">
        <v>22</v>
      </c>
      <c r="I13214" s="9" t="s">
        <v>26929</v>
      </c>
      <c r="J13214" s="10" t="str">
        <f>HYPERLINK("https://www.boe.es/gazeta/dias/1834/09/04/pdfs/GMD-C-1834-202.pdf#page=1","Abrir facsímil")</f>
        <v>Abrir facsímil</v>
      </c>
      <c r="K13214" s="10" t="s">
        <v>24</v>
      </c>
    </row>
    <row r="13215" spans="1:11" ht="54" customHeight="1">
      <c r="A13215" s="9" t="s">
        <v>26928</v>
      </c>
      <c r="B13215" s="9" t="s">
        <v>26928</v>
      </c>
      <c r="C13215" s="9" t="s">
        <v>66</v>
      </c>
      <c r="D13215" s="9" t="s">
        <v>18</v>
      </c>
      <c r="E13215" s="10" t="s">
        <v>1981</v>
      </c>
      <c r="F13215" s="9" t="s">
        <v>1982</v>
      </c>
      <c r="G13215" s="10" t="s">
        <v>34</v>
      </c>
      <c r="H13215" s="9" t="s">
        <v>22</v>
      </c>
      <c r="I13215" s="9" t="s">
        <v>26930</v>
      </c>
      <c r="J13215" s="10" t="str">
        <f>HYPERLINK("https://www.boe.es/gazeta/dias/1834/12/13/pdfs/GMD-1834-302.pdf#page=1","Abrir facsímil")</f>
        <v>Abrir facsímil</v>
      </c>
      <c r="K13215" s="10" t="s">
        <v>24</v>
      </c>
    </row>
    <row r="13216" spans="1:11" ht="54" customHeight="1">
      <c r="A13216" s="9" t="s">
        <v>26928</v>
      </c>
      <c r="B13216" s="9" t="s">
        <v>26928</v>
      </c>
      <c r="C13216" s="9" t="s">
        <v>90</v>
      </c>
      <c r="D13216" s="9" t="s">
        <v>18</v>
      </c>
      <c r="E13216" s="10" t="s">
        <v>615</v>
      </c>
      <c r="F13216" s="9" t="s">
        <v>1205</v>
      </c>
      <c r="G13216" s="10" t="s">
        <v>34</v>
      </c>
      <c r="H13216" s="9" t="s">
        <v>22</v>
      </c>
      <c r="I13216" s="9" t="s">
        <v>26931</v>
      </c>
      <c r="J13216" s="10" t="str">
        <f>HYPERLINK("https://www.boe.es/gazeta/dias/1834/08/19/pdfs/GMD-D-1834-185.pdf#page=1","Abrir facsímil")</f>
        <v>Abrir facsímil</v>
      </c>
      <c r="K13216" s="10" t="s">
        <v>24</v>
      </c>
    </row>
    <row r="13217" spans="1:11" ht="54" customHeight="1">
      <c r="A13217" s="9" t="s">
        <v>26932</v>
      </c>
      <c r="B13217" s="9" t="s">
        <v>26933</v>
      </c>
      <c r="C13217" s="9" t="s">
        <v>17</v>
      </c>
      <c r="D13217" s="9" t="s">
        <v>40</v>
      </c>
      <c r="E13217" s="10" t="s">
        <v>571</v>
      </c>
      <c r="F13217" s="9" t="s">
        <v>620</v>
      </c>
      <c r="G13217" s="10" t="s">
        <v>34</v>
      </c>
      <c r="H13217" s="9" t="s">
        <v>35</v>
      </c>
      <c r="I13217" s="9" t="s">
        <v>26934</v>
      </c>
      <c r="J13217" s="10" t="str">
        <f>HYPERLINK("https://www.boe.es/gazeta/dias/1834/09/04/pdfs/GMD-C-1834-202.pdf#page=1","Abrir facsímil")</f>
        <v>Abrir facsímil</v>
      </c>
      <c r="K13217" s="10" t="s">
        <v>37</v>
      </c>
    </row>
    <row r="13218" spans="1:11" ht="54" customHeight="1">
      <c r="A13218" s="9" t="s">
        <v>26935</v>
      </c>
      <c r="B13218" s="9" t="s">
        <v>26936</v>
      </c>
      <c r="C13218" s="9" t="s">
        <v>90</v>
      </c>
      <c r="D13218" s="9" t="s">
        <v>18</v>
      </c>
      <c r="E13218" s="10" t="s">
        <v>813</v>
      </c>
      <c r="F13218" s="9" t="s">
        <v>16756</v>
      </c>
      <c r="G13218" s="10" t="s">
        <v>34</v>
      </c>
      <c r="H13218" s="9" t="s">
        <v>22</v>
      </c>
      <c r="I13218" s="9" t="s">
        <v>26937</v>
      </c>
      <c r="J13218" s="10" t="str">
        <f>HYPERLINK("https://www.boe.es/gazeta/dias/1834/08/08/pdfs/GMD-C-1834-173.pdf#page=1","Abrir facsímil")</f>
        <v>Abrir facsímil</v>
      </c>
      <c r="K13218" s="10" t="s">
        <v>24</v>
      </c>
    </row>
    <row r="13219" spans="1:11" ht="54" customHeight="1">
      <c r="A13219" s="9" t="s">
        <v>26938</v>
      </c>
      <c r="B13219" s="9" t="s">
        <v>26939</v>
      </c>
      <c r="C13219" s="9" t="s">
        <v>46</v>
      </c>
      <c r="D13219" s="9" t="s">
        <v>18</v>
      </c>
      <c r="E13219" s="10" t="s">
        <v>1239</v>
      </c>
      <c r="F13219" s="9" t="s">
        <v>1240</v>
      </c>
      <c r="G13219" s="10" t="s">
        <v>21</v>
      </c>
      <c r="H13219" s="9" t="s">
        <v>35</v>
      </c>
      <c r="I13219" s="9" t="s">
        <v>26940</v>
      </c>
      <c r="J13219" s="10" t="str">
        <f>HYPERLINK("https://www.boe.es/gazeta/dias/1834/08/20/pdfs/GMD-1834-186.pdf#page=3","Abrir facsímil")</f>
        <v>Abrir facsímil</v>
      </c>
      <c r="K13219" s="10" t="s">
        <v>37</v>
      </c>
    </row>
    <row r="13220" spans="1:11" ht="54" customHeight="1">
      <c r="A13220" s="9" t="s">
        <v>26941</v>
      </c>
      <c r="B13220" s="9" t="s">
        <v>26942</v>
      </c>
      <c r="C13220" s="9" t="s">
        <v>46</v>
      </c>
      <c r="D13220" s="9" t="s">
        <v>18</v>
      </c>
      <c r="E13220" s="10" t="s">
        <v>1239</v>
      </c>
      <c r="F13220" s="9" t="s">
        <v>1240</v>
      </c>
      <c r="G13220" s="10" t="s">
        <v>21</v>
      </c>
      <c r="H13220" s="9" t="s">
        <v>22</v>
      </c>
      <c r="I13220" s="9" t="s">
        <v>26943</v>
      </c>
      <c r="J13220" s="10" t="str">
        <f>HYPERLINK("https://www.boe.es/gazeta/dias/1834/08/20/pdfs/GMD-1834-186.pdf#page=3","Abrir facsímil")</f>
        <v>Abrir facsímil</v>
      </c>
      <c r="K13220" s="10" t="s">
        <v>24</v>
      </c>
    </row>
    <row r="13221" spans="1:11" ht="54" customHeight="1">
      <c r="A13221" s="9" t="s">
        <v>26944</v>
      </c>
      <c r="B13221" s="9" t="s">
        <v>26945</v>
      </c>
      <c r="C13221" s="9" t="s">
        <v>17</v>
      </c>
      <c r="D13221" s="9" t="s">
        <v>18</v>
      </c>
      <c r="E13221" s="10" t="s">
        <v>785</v>
      </c>
      <c r="F13221" s="9" t="s">
        <v>786</v>
      </c>
      <c r="G13221" s="10" t="s">
        <v>34</v>
      </c>
      <c r="H13221" s="9" t="s">
        <v>22</v>
      </c>
      <c r="I13221" s="9" t="s">
        <v>26946</v>
      </c>
      <c r="J13221" s="10" t="str">
        <f>HYPERLINK("https://www.boe.es/gazeta/dias/1834/02/11/pdfs/GMD-1834-19.pdf#page=1","Abrir facsímil")</f>
        <v>Abrir facsímil</v>
      </c>
      <c r="K13221" s="10" t="s">
        <v>24</v>
      </c>
    </row>
    <row r="13222" spans="1:11" ht="54" customHeight="1">
      <c r="A13222" s="9" t="s">
        <v>26947</v>
      </c>
      <c r="B13222" s="9" t="s">
        <v>26947</v>
      </c>
      <c r="C13222" s="9" t="s">
        <v>66</v>
      </c>
      <c r="D13222" s="9" t="s">
        <v>67</v>
      </c>
      <c r="E13222" s="10" t="s">
        <v>594</v>
      </c>
      <c r="F13222" s="9" t="s">
        <v>595</v>
      </c>
      <c r="G13222" s="10" t="s">
        <v>21</v>
      </c>
      <c r="H13222" s="9" t="s">
        <v>22</v>
      </c>
      <c r="I13222" s="9" t="s">
        <v>26948</v>
      </c>
      <c r="J13222" s="10" t="str">
        <f>HYPERLINK("https://www.boe.es/gazeta/dias/1834/06/01/pdfs/GMD-1834-102.pdf#page=3","Abrir facsímil")</f>
        <v>Abrir facsímil</v>
      </c>
      <c r="K13222" s="10" t="s">
        <v>24</v>
      </c>
    </row>
    <row r="13223" spans="1:11" ht="54" customHeight="1">
      <c r="A13223" s="9" t="s">
        <v>26949</v>
      </c>
      <c r="B13223" s="9" t="s">
        <v>26950</v>
      </c>
      <c r="C13223" s="9" t="s">
        <v>857</v>
      </c>
      <c r="D13223" s="9" t="s">
        <v>18</v>
      </c>
      <c r="E13223" s="10" t="s">
        <v>237</v>
      </c>
      <c r="F13223" s="9" t="s">
        <v>4609</v>
      </c>
      <c r="G13223" s="10" t="s">
        <v>34</v>
      </c>
      <c r="H13223" s="9" t="s">
        <v>22</v>
      </c>
      <c r="I13223" s="9" t="s">
        <v>26951</v>
      </c>
      <c r="J13223" s="10" t="str">
        <f>HYPERLINK("https://www.boe.es/gazeta/dias/1834/08/15/pdfs/GMD-1834-180.pdf#page=1","Abrir facsímil")</f>
        <v>Abrir facsímil</v>
      </c>
      <c r="K13223" s="10" t="s">
        <v>24</v>
      </c>
    </row>
    <row r="13224" spans="1:11" ht="54" customHeight="1">
      <c r="A13224" s="9" t="s">
        <v>26952</v>
      </c>
      <c r="B13224" s="9" t="s">
        <v>26953</v>
      </c>
      <c r="C13224" s="9" t="s">
        <v>66</v>
      </c>
      <c r="D13224" s="9" t="s">
        <v>67</v>
      </c>
      <c r="E13224" s="10" t="s">
        <v>73</v>
      </c>
      <c r="F13224" s="9" t="s">
        <v>74</v>
      </c>
      <c r="G13224" s="10" t="s">
        <v>75</v>
      </c>
      <c r="H13224" s="9" t="s">
        <v>22</v>
      </c>
      <c r="I13224" s="9" t="s">
        <v>26954</v>
      </c>
      <c r="J13224" s="10" t="str">
        <f>HYPERLINK("https://www.boe.es/gazeta/dias/1834/11/04/pdfs/GMD-1834-263.pdf#page=4","Abrir facsímil")</f>
        <v>Abrir facsímil</v>
      </c>
      <c r="K13224" s="10" t="s">
        <v>24</v>
      </c>
    </row>
    <row r="13225" spans="1:11" ht="54" customHeight="1">
      <c r="A13225" s="9" t="s">
        <v>26955</v>
      </c>
      <c r="B13225" s="9" t="s">
        <v>26956</v>
      </c>
      <c r="C13225" s="9" t="s">
        <v>17</v>
      </c>
      <c r="D13225" s="9" t="s">
        <v>18</v>
      </c>
      <c r="E13225" s="10" t="s">
        <v>590</v>
      </c>
      <c r="F13225" s="9" t="s">
        <v>591</v>
      </c>
      <c r="G13225" s="10" t="s">
        <v>21</v>
      </c>
      <c r="H13225" s="9" t="s">
        <v>22</v>
      </c>
      <c r="I13225" s="9" t="s">
        <v>26957</v>
      </c>
      <c r="J13225" s="10" t="str">
        <f>HYPERLINK("https://www.boe.es/gazeta/dias/1834/11/30/pdfs/GMD-1834-289.pdf#page=3","Abrir facsímil")</f>
        <v>Abrir facsímil</v>
      </c>
      <c r="K13225" s="10" t="s">
        <v>24</v>
      </c>
    </row>
    <row r="13226" spans="1:11" ht="54" customHeight="1">
      <c r="A13226" s="9" t="s">
        <v>26958</v>
      </c>
      <c r="B13226" s="9" t="s">
        <v>26959</v>
      </c>
      <c r="C13226" s="9" t="s">
        <v>122</v>
      </c>
      <c r="D13226" s="9" t="s">
        <v>18</v>
      </c>
      <c r="E13226" s="10" t="s">
        <v>128</v>
      </c>
      <c r="F13226" s="9" t="s">
        <v>1068</v>
      </c>
      <c r="G13226" s="10" t="s">
        <v>75</v>
      </c>
      <c r="H13226" s="9" t="s">
        <v>22</v>
      </c>
      <c r="I13226" s="9" t="s">
        <v>26960</v>
      </c>
      <c r="J13226" s="10" t="str">
        <f>HYPERLINK("https://www.boe.es/gazeta/dias/1834/12/24/pdfs/GMD-1834-314.pdf#page=4","Abrir facsímil")</f>
        <v>Abrir facsímil</v>
      </c>
      <c r="K13226" s="10" t="s">
        <v>24</v>
      </c>
    </row>
    <row r="13227" spans="1:11" ht="54" customHeight="1">
      <c r="A13227" s="9" t="s">
        <v>26961</v>
      </c>
      <c r="B13227" s="9" t="s">
        <v>26962</v>
      </c>
      <c r="C13227" s="9" t="s">
        <v>66</v>
      </c>
      <c r="D13227" s="9" t="s">
        <v>18</v>
      </c>
      <c r="E13227" s="10" t="s">
        <v>690</v>
      </c>
      <c r="F13227" s="9" t="s">
        <v>5765</v>
      </c>
      <c r="G13227" s="10" t="s">
        <v>21</v>
      </c>
      <c r="H13227" s="9" t="s">
        <v>35</v>
      </c>
      <c r="I13227" s="9" t="s">
        <v>26963</v>
      </c>
      <c r="J13227" s="10" t="str">
        <f>HYPERLINK("https://www.boe.es/gazeta/dias/1834/09/03/pdfs/GMD-1834-201.pdf#page=3","Abrir facsímil")</f>
        <v>Abrir facsímil</v>
      </c>
      <c r="K13227" s="10" t="s">
        <v>37</v>
      </c>
    </row>
    <row r="13228" spans="1:11" ht="54" customHeight="1">
      <c r="A13228" s="9" t="s">
        <v>26964</v>
      </c>
      <c r="B13228" s="9" t="s">
        <v>26965</v>
      </c>
      <c r="C13228" s="9" t="s">
        <v>66</v>
      </c>
      <c r="D13228" s="9" t="s">
        <v>18</v>
      </c>
      <c r="E13228" s="10" t="s">
        <v>690</v>
      </c>
      <c r="F13228" s="9" t="s">
        <v>5765</v>
      </c>
      <c r="G13228" s="10" t="s">
        <v>21</v>
      </c>
      <c r="H13228" s="9" t="s">
        <v>22</v>
      </c>
      <c r="I13228" s="9" t="s">
        <v>26966</v>
      </c>
      <c r="J13228" s="10" t="str">
        <f>HYPERLINK("https://www.boe.es/gazeta/dias/1834/09/03/pdfs/GMD-1834-201.pdf#page=3","Abrir facsímil")</f>
        <v>Abrir facsímil</v>
      </c>
      <c r="K13228" s="10" t="s">
        <v>24</v>
      </c>
    </row>
    <row r="13229" spans="1:11" ht="54" customHeight="1">
      <c r="A13229" s="9" t="s">
        <v>26967</v>
      </c>
      <c r="B13229" s="9" t="s">
        <v>26968</v>
      </c>
      <c r="C13229" s="9" t="s">
        <v>66</v>
      </c>
      <c r="D13229" s="9" t="s">
        <v>18</v>
      </c>
      <c r="E13229" s="10" t="s">
        <v>1669</v>
      </c>
      <c r="F13229" s="9" t="s">
        <v>1670</v>
      </c>
      <c r="G13229" s="10" t="s">
        <v>21</v>
      </c>
      <c r="H13229" s="9" t="s">
        <v>35</v>
      </c>
      <c r="I13229" s="9" t="s">
        <v>26969</v>
      </c>
      <c r="J13229" s="10" t="str">
        <f>HYPERLINK("https://www.boe.es/gazeta/dias/1834/06/19/pdfs/GMD-1834-122.pdf#page=3","Abrir facsímil")</f>
        <v>Abrir facsímil</v>
      </c>
      <c r="K13229" s="10" t="s">
        <v>37</v>
      </c>
    </row>
    <row r="13230" spans="1:11" ht="54" customHeight="1">
      <c r="A13230" s="9" t="s">
        <v>26970</v>
      </c>
      <c r="B13230" s="9" t="s">
        <v>26971</v>
      </c>
      <c r="C13230" s="9" t="s">
        <v>66</v>
      </c>
      <c r="D13230" s="9" t="s">
        <v>67</v>
      </c>
      <c r="E13230" s="10" t="s">
        <v>61</v>
      </c>
      <c r="F13230" s="9" t="s">
        <v>205</v>
      </c>
      <c r="G13230" s="10" t="s">
        <v>21</v>
      </c>
      <c r="H13230" s="9" t="s">
        <v>22</v>
      </c>
      <c r="I13230" s="9" t="s">
        <v>26972</v>
      </c>
      <c r="J13230" s="10" t="str">
        <f>HYPERLINK("https://www.boe.es/gazeta/dias/1834/06/08/pdfs/GMD-1834-110.pdf#page=3","Abrir facsímil")</f>
        <v>Abrir facsímil</v>
      </c>
      <c r="K13230" s="10" t="s">
        <v>24</v>
      </c>
    </row>
    <row r="13231" spans="1:11" ht="54" customHeight="1">
      <c r="A13231" s="9" t="s">
        <v>26970</v>
      </c>
      <c r="B13231" s="9" t="s">
        <v>26971</v>
      </c>
      <c r="C13231" s="9" t="s">
        <v>17</v>
      </c>
      <c r="D13231" s="9" t="s">
        <v>18</v>
      </c>
      <c r="E13231" s="10" t="s">
        <v>928</v>
      </c>
      <c r="F13231" s="9" t="s">
        <v>3338</v>
      </c>
      <c r="G13231" s="10" t="s">
        <v>21</v>
      </c>
      <c r="H13231" s="9" t="s">
        <v>22</v>
      </c>
      <c r="I13231" s="9" t="s">
        <v>26973</v>
      </c>
      <c r="J13231" s="10" t="str">
        <f>HYPERLINK("https://www.boe.es/gazeta/dias/1834/11/15/pdfs/GMD-1834-274.pdf#page=3","Abrir facsímil")</f>
        <v>Abrir facsímil</v>
      </c>
      <c r="K13231" s="10" t="s">
        <v>24</v>
      </c>
    </row>
    <row r="13232" spans="1:11" ht="54" customHeight="1">
      <c r="A13232" s="9" t="s">
        <v>26974</v>
      </c>
      <c r="B13232" s="9" t="s">
        <v>26975</v>
      </c>
      <c r="C13232" s="9" t="s">
        <v>17</v>
      </c>
      <c r="D13232" s="9" t="s">
        <v>40</v>
      </c>
      <c r="E13232" s="10" t="s">
        <v>2306</v>
      </c>
      <c r="F13232" s="9" t="s">
        <v>2307</v>
      </c>
      <c r="G13232" s="10" t="s">
        <v>75</v>
      </c>
      <c r="H13232" s="9" t="s">
        <v>22</v>
      </c>
      <c r="I13232" s="9" t="s">
        <v>26976</v>
      </c>
      <c r="J13232" s="10" t="str">
        <f>HYPERLINK("https://www.boe.es/gazeta/dias/1834/04/26/pdfs/GMD-1834-65.pdf#page=4","Abrir facsímil")</f>
        <v>Abrir facsímil</v>
      </c>
      <c r="K13232" s="10" t="s">
        <v>24</v>
      </c>
    </row>
    <row r="13233" spans="1:11" ht="54" customHeight="1">
      <c r="A13233" s="9" t="s">
        <v>26977</v>
      </c>
      <c r="B13233" s="9" t="s">
        <v>26978</v>
      </c>
      <c r="C13233" s="9" t="s">
        <v>17</v>
      </c>
      <c r="D13233" s="9" t="s">
        <v>18</v>
      </c>
      <c r="E13233" s="10" t="s">
        <v>433</v>
      </c>
      <c r="F13233" s="9" t="s">
        <v>2773</v>
      </c>
      <c r="G13233" s="10" t="s">
        <v>34</v>
      </c>
      <c r="H13233" s="9" t="s">
        <v>22</v>
      </c>
      <c r="I13233" s="9" t="s">
        <v>26979</v>
      </c>
      <c r="J13233" s="10" t="str">
        <f>HYPERLINK("https://www.boe.es/gazeta/dias/1834/10/07/pdfs/I00986-00987.pdf#page=1","Abrir facsímil")</f>
        <v>Abrir facsímil</v>
      </c>
      <c r="K13233" s="10" t="s">
        <v>24</v>
      </c>
    </row>
    <row r="13234" spans="1:11" ht="54" customHeight="1">
      <c r="A13234" s="9" t="s">
        <v>26977</v>
      </c>
      <c r="B13234" s="9" t="s">
        <v>26978</v>
      </c>
      <c r="C13234" s="9" t="s">
        <v>17</v>
      </c>
      <c r="D13234" s="9" t="s">
        <v>18</v>
      </c>
      <c r="E13234" s="10" t="s">
        <v>433</v>
      </c>
      <c r="F13234" s="9" t="s">
        <v>2773</v>
      </c>
      <c r="G13234" s="10" t="s">
        <v>86</v>
      </c>
      <c r="H13234" s="9" t="s">
        <v>22</v>
      </c>
      <c r="I13234" s="9" t="s">
        <v>26979</v>
      </c>
      <c r="J13234" s="10" t="str">
        <f>HYPERLINK("https://www.boe.es/gazeta/dias/1834/10/07/pdfs/GMD-1834-235.pdf#page=2","Abrir facsímil")</f>
        <v>Abrir facsímil</v>
      </c>
      <c r="K13234" s="10" t="s">
        <v>24</v>
      </c>
    </row>
    <row r="13235" spans="1:11" ht="54" customHeight="1">
      <c r="A13235" s="9" t="s">
        <v>26980</v>
      </c>
      <c r="B13235" s="9" t="s">
        <v>26981</v>
      </c>
      <c r="C13235" s="9" t="s">
        <v>17</v>
      </c>
      <c r="D13235" s="9" t="s">
        <v>18</v>
      </c>
      <c r="E13235" s="10" t="s">
        <v>1402</v>
      </c>
      <c r="F13235" s="9" t="s">
        <v>1403</v>
      </c>
      <c r="G13235" s="10" t="s">
        <v>75</v>
      </c>
      <c r="H13235" s="9" t="s">
        <v>22</v>
      </c>
      <c r="I13235" s="9" t="s">
        <v>26982</v>
      </c>
      <c r="J13235" s="10" t="str">
        <f>HYPERLINK("https://www.boe.es/gazeta/dias/1834/05/05/pdfs/GMD-1834-74.pdf#page=4","Abrir facsímil")</f>
        <v>Abrir facsímil</v>
      </c>
      <c r="K13235" s="10" t="s">
        <v>24</v>
      </c>
    </row>
    <row r="13236" spans="1:11" ht="54" customHeight="1">
      <c r="A13236" s="9" t="s">
        <v>26983</v>
      </c>
      <c r="B13236" s="9" t="s">
        <v>26983</v>
      </c>
      <c r="C13236" s="9" t="s">
        <v>66</v>
      </c>
      <c r="D13236" s="9" t="s">
        <v>40</v>
      </c>
      <c r="E13236" s="10" t="s">
        <v>1556</v>
      </c>
      <c r="F13236" s="9" t="s">
        <v>1557</v>
      </c>
      <c r="G13236" s="10" t="s">
        <v>75</v>
      </c>
      <c r="H13236" s="9" t="s">
        <v>22</v>
      </c>
      <c r="I13236" s="9" t="s">
        <v>26984</v>
      </c>
      <c r="J13236" s="10" t="str">
        <f>HYPERLINK("https://www.boe.es/gazeta/dias/1834/06/06/pdfs/GMD-1834-108.pdf#page=4","Abrir facsímil")</f>
        <v>Abrir facsímil</v>
      </c>
      <c r="K13236" s="10" t="s">
        <v>24</v>
      </c>
    </row>
    <row r="13237" spans="1:11" ht="54" customHeight="1">
      <c r="A13237" s="9" t="s">
        <v>26983</v>
      </c>
      <c r="B13237" s="9" t="s">
        <v>26983</v>
      </c>
      <c r="C13237" s="9" t="s">
        <v>17</v>
      </c>
      <c r="D13237" s="9" t="s">
        <v>18</v>
      </c>
      <c r="E13237" s="10" t="s">
        <v>1517</v>
      </c>
      <c r="F13237" s="9" t="s">
        <v>1518</v>
      </c>
      <c r="G13237" s="10" t="s">
        <v>75</v>
      </c>
      <c r="H13237" s="9" t="s">
        <v>22</v>
      </c>
      <c r="I13237" s="9" t="s">
        <v>26985</v>
      </c>
      <c r="J13237" s="10" t="str">
        <f>HYPERLINK("https://www.boe.es/gazeta/dias/1834/05/18/pdfs/GMD-1834-87.pdf#page=4","Abrir facsímil")</f>
        <v>Abrir facsímil</v>
      </c>
      <c r="K13237" s="10" t="s">
        <v>24</v>
      </c>
    </row>
    <row r="13238" spans="1:11" ht="54" customHeight="1">
      <c r="A13238" s="9" t="s">
        <v>26983</v>
      </c>
      <c r="B13238" s="9" t="s">
        <v>26983</v>
      </c>
      <c r="C13238" s="9" t="s">
        <v>17</v>
      </c>
      <c r="D13238" s="9" t="s">
        <v>40</v>
      </c>
      <c r="E13238" s="10" t="s">
        <v>606</v>
      </c>
      <c r="F13238" s="9" t="s">
        <v>607</v>
      </c>
      <c r="G13238" s="10" t="s">
        <v>21</v>
      </c>
      <c r="H13238" s="9" t="s">
        <v>22</v>
      </c>
      <c r="I13238" s="9" t="s">
        <v>26986</v>
      </c>
      <c r="J13238" s="10" t="str">
        <f>HYPERLINK("https://www.boe.es/gazeta/dias/1834/06/23/pdfs/GMD-1834-126.pdf#page=3","Abrir facsímil")</f>
        <v>Abrir facsímil</v>
      </c>
      <c r="K13238" s="10" t="s">
        <v>24</v>
      </c>
    </row>
    <row r="13239" spans="1:11" ht="54" customHeight="1">
      <c r="A13239" s="9" t="s">
        <v>26983</v>
      </c>
      <c r="B13239" s="9" t="s">
        <v>26983</v>
      </c>
      <c r="C13239" s="9" t="s">
        <v>17</v>
      </c>
      <c r="D13239" s="9" t="s">
        <v>18</v>
      </c>
      <c r="E13239" s="10" t="s">
        <v>371</v>
      </c>
      <c r="F13239" s="9" t="s">
        <v>372</v>
      </c>
      <c r="G13239" s="10" t="s">
        <v>75</v>
      </c>
      <c r="H13239" s="9" t="s">
        <v>22</v>
      </c>
      <c r="I13239" s="9" t="s">
        <v>26987</v>
      </c>
      <c r="J13239" s="10" t="str">
        <f>HYPERLINK("https://www.boe.es/gazeta/dias/1834/05/27/pdfs/GMD-1834-96.pdf#page=4","Abrir facsímil")</f>
        <v>Abrir facsímil</v>
      </c>
      <c r="K13239" s="10" t="s">
        <v>24</v>
      </c>
    </row>
    <row r="13240" spans="1:11" ht="54" customHeight="1">
      <c r="A13240" s="9" t="s">
        <v>26988</v>
      </c>
      <c r="B13240" s="9" t="s">
        <v>26989</v>
      </c>
      <c r="C13240" s="9" t="s">
        <v>17</v>
      </c>
      <c r="D13240" s="9" t="s">
        <v>18</v>
      </c>
      <c r="E13240" s="10" t="s">
        <v>451</v>
      </c>
      <c r="F13240" s="9" t="s">
        <v>3350</v>
      </c>
      <c r="G13240" s="10" t="s">
        <v>21</v>
      </c>
      <c r="H13240" s="9" t="s">
        <v>35</v>
      </c>
      <c r="I13240" s="9" t="s">
        <v>26990</v>
      </c>
      <c r="J13240" s="10" t="str">
        <f>HYPERLINK("https://www.boe.es/gazeta/dias/1834/10/15/pdfs/GMD-1834-243.pdf#page=3","Abrir facsímil")</f>
        <v>Abrir facsímil</v>
      </c>
      <c r="K13240" s="10" t="s">
        <v>37</v>
      </c>
    </row>
    <row r="13241" spans="1:11" ht="54" customHeight="1">
      <c r="A13241" s="9" t="s">
        <v>26988</v>
      </c>
      <c r="B13241" s="9" t="s">
        <v>26989</v>
      </c>
      <c r="C13241" s="9" t="s">
        <v>17</v>
      </c>
      <c r="D13241" s="9" t="s">
        <v>18</v>
      </c>
      <c r="E13241" s="10" t="s">
        <v>1116</v>
      </c>
      <c r="F13241" s="9" t="s">
        <v>1117</v>
      </c>
      <c r="G13241" s="10" t="s">
        <v>75</v>
      </c>
      <c r="H13241" s="9" t="s">
        <v>35</v>
      </c>
      <c r="I13241" s="9" t="s">
        <v>26991</v>
      </c>
      <c r="J13241" s="10" t="str">
        <f>HYPERLINK("https://www.boe.es/gazeta/dias/1834/05/16/pdfs/GMD-1834-85.pdf#page=4","Abrir facsímil")</f>
        <v>Abrir facsímil</v>
      </c>
      <c r="K13241" s="10" t="s">
        <v>37</v>
      </c>
    </row>
    <row r="13242" spans="1:11" ht="54" customHeight="1">
      <c r="A13242" s="9" t="s">
        <v>26988</v>
      </c>
      <c r="B13242" s="9" t="s">
        <v>26989</v>
      </c>
      <c r="C13242" s="9" t="s">
        <v>66</v>
      </c>
      <c r="D13242" s="9" t="s">
        <v>67</v>
      </c>
      <c r="E13242" s="10" t="s">
        <v>2287</v>
      </c>
      <c r="F13242" s="9" t="s">
        <v>4741</v>
      </c>
      <c r="G13242" s="10" t="s">
        <v>75</v>
      </c>
      <c r="H13242" s="9" t="s">
        <v>35</v>
      </c>
      <c r="I13242" s="9" t="s">
        <v>26992</v>
      </c>
      <c r="J13242" s="10" t="str">
        <f>HYPERLINK("https://www.boe.es/gazeta/dias/1834/12/18/pdfs/GMD-1834-308.pdf#page=4","Abrir facsímil")</f>
        <v>Abrir facsímil</v>
      </c>
      <c r="K13242" s="10" t="s">
        <v>37</v>
      </c>
    </row>
    <row r="13243" spans="1:11" ht="54" customHeight="1">
      <c r="A13243" s="9" t="s">
        <v>26988</v>
      </c>
      <c r="B13243" s="9" t="s">
        <v>26989</v>
      </c>
      <c r="C13243" s="9" t="s">
        <v>66</v>
      </c>
      <c r="D13243" s="9" t="s">
        <v>18</v>
      </c>
      <c r="E13243" s="10" t="s">
        <v>1669</v>
      </c>
      <c r="F13243" s="9" t="s">
        <v>1670</v>
      </c>
      <c r="G13243" s="10" t="s">
        <v>21</v>
      </c>
      <c r="H13243" s="9" t="s">
        <v>35</v>
      </c>
      <c r="I13243" s="9" t="s">
        <v>26993</v>
      </c>
      <c r="J13243" s="10" t="str">
        <f>HYPERLINK("https://www.boe.es/gazeta/dias/1834/06/19/pdfs/GMD-1834-122.pdf#page=3","Abrir facsímil")</f>
        <v>Abrir facsímil</v>
      </c>
      <c r="K13243" s="10" t="s">
        <v>37</v>
      </c>
    </row>
    <row r="13244" spans="1:11" ht="54" customHeight="1">
      <c r="A13244" s="9" t="s">
        <v>26988</v>
      </c>
      <c r="B13244" s="9" t="s">
        <v>26989</v>
      </c>
      <c r="C13244" s="9" t="s">
        <v>17</v>
      </c>
      <c r="D13244" s="9" t="s">
        <v>18</v>
      </c>
      <c r="E13244" s="10" t="s">
        <v>1575</v>
      </c>
      <c r="F13244" s="9" t="s">
        <v>1576</v>
      </c>
      <c r="G13244" s="10" t="s">
        <v>75</v>
      </c>
      <c r="H13244" s="9" t="s">
        <v>35</v>
      </c>
      <c r="I13244" s="9" t="s">
        <v>26994</v>
      </c>
      <c r="J13244" s="10" t="str">
        <f>HYPERLINK("https://www.boe.es/gazeta/dias/1834/11/24/pdfs/GMD-1834-283.pdf#page=4","Abrir facsímil")</f>
        <v>Abrir facsímil</v>
      </c>
      <c r="K13244" s="10" t="s">
        <v>37</v>
      </c>
    </row>
    <row r="13245" spans="1:11" ht="54" customHeight="1">
      <c r="A13245" s="9" t="s">
        <v>26988</v>
      </c>
      <c r="B13245" s="9" t="s">
        <v>26989</v>
      </c>
      <c r="C13245" s="9" t="s">
        <v>17</v>
      </c>
      <c r="D13245" s="9" t="s">
        <v>18</v>
      </c>
      <c r="E13245" s="10" t="s">
        <v>389</v>
      </c>
      <c r="F13245" s="9" t="s">
        <v>390</v>
      </c>
      <c r="G13245" s="10" t="s">
        <v>75</v>
      </c>
      <c r="H13245" s="9" t="s">
        <v>35</v>
      </c>
      <c r="I13245" s="9" t="s">
        <v>26995</v>
      </c>
      <c r="J13245" s="10" t="str">
        <f>HYPERLINK("https://www.boe.es/gazeta/dias/1834/10/25/pdfs/GMD-1834-253.pdf#page=4","Abrir facsímil")</f>
        <v>Abrir facsímil</v>
      </c>
      <c r="K13245" s="10" t="s">
        <v>37</v>
      </c>
    </row>
    <row r="13246" spans="1:11" ht="54" customHeight="1">
      <c r="A13246" s="9" t="s">
        <v>26988</v>
      </c>
      <c r="B13246" s="9" t="s">
        <v>26989</v>
      </c>
      <c r="C13246" s="9" t="s">
        <v>46</v>
      </c>
      <c r="D13246" s="9" t="s">
        <v>101</v>
      </c>
      <c r="E13246" s="10" t="s">
        <v>870</v>
      </c>
      <c r="F13246" s="9" t="s">
        <v>871</v>
      </c>
      <c r="G13246" s="10" t="s">
        <v>75</v>
      </c>
      <c r="H13246" s="9" t="s">
        <v>35</v>
      </c>
      <c r="I13246" s="9" t="s">
        <v>26996</v>
      </c>
      <c r="J13246" s="10" t="str">
        <f>HYPERLINK("https://www.boe.es/gazeta/dias/1834/05/28/pdfs/GMD-1834-97.pdf#page=4","Abrir facsímil")</f>
        <v>Abrir facsímil</v>
      </c>
      <c r="K13246" s="10" t="s">
        <v>37</v>
      </c>
    </row>
    <row r="13247" spans="1:11" ht="54" customHeight="1">
      <c r="A13247" s="9" t="s">
        <v>26997</v>
      </c>
      <c r="B13247" s="9" t="s">
        <v>26998</v>
      </c>
      <c r="C13247" s="9" t="s">
        <v>66</v>
      </c>
      <c r="D13247" s="9" t="s">
        <v>67</v>
      </c>
      <c r="E13247" s="10" t="s">
        <v>133</v>
      </c>
      <c r="F13247" s="9" t="s">
        <v>134</v>
      </c>
      <c r="G13247" s="10" t="s">
        <v>75</v>
      </c>
      <c r="H13247" s="9" t="s">
        <v>35</v>
      </c>
      <c r="I13247" s="9" t="s">
        <v>26999</v>
      </c>
      <c r="J13247" s="10" t="str">
        <f>HYPERLINK("https://www.boe.es/gazeta/dias/1834/06/18/pdfs/GMD-1834-121.pdf#page=4","Abrir facsímil")</f>
        <v>Abrir facsímil</v>
      </c>
      <c r="K13247" s="10" t="s">
        <v>37</v>
      </c>
    </row>
    <row r="13248" spans="1:11" ht="54" customHeight="1">
      <c r="A13248" s="9" t="s">
        <v>27000</v>
      </c>
      <c r="B13248" s="9" t="s">
        <v>27001</v>
      </c>
      <c r="C13248" s="9" t="s">
        <v>17</v>
      </c>
      <c r="D13248" s="9" t="s">
        <v>18</v>
      </c>
      <c r="E13248" s="10" t="s">
        <v>451</v>
      </c>
      <c r="F13248" s="9" t="s">
        <v>3350</v>
      </c>
      <c r="G13248" s="10" t="s">
        <v>21</v>
      </c>
      <c r="H13248" s="9" t="s">
        <v>22</v>
      </c>
      <c r="I13248" s="9" t="s">
        <v>27002</v>
      </c>
      <c r="J13248" s="10" t="str">
        <f>HYPERLINK("https://www.boe.es/gazeta/dias/1834/10/15/pdfs/GMD-1834-243.pdf#page=3","Abrir facsímil")</f>
        <v>Abrir facsímil</v>
      </c>
      <c r="K13248" s="10" t="s">
        <v>24</v>
      </c>
    </row>
    <row r="13249" spans="1:11" ht="54" customHeight="1">
      <c r="A13249" s="9" t="s">
        <v>27000</v>
      </c>
      <c r="B13249" s="9" t="s">
        <v>27001</v>
      </c>
      <c r="C13249" s="9" t="s">
        <v>17</v>
      </c>
      <c r="D13249" s="9" t="s">
        <v>18</v>
      </c>
      <c r="E13249" s="10" t="s">
        <v>1116</v>
      </c>
      <c r="F13249" s="9" t="s">
        <v>1117</v>
      </c>
      <c r="G13249" s="10" t="s">
        <v>75</v>
      </c>
      <c r="H13249" s="9" t="s">
        <v>22</v>
      </c>
      <c r="I13249" s="9" t="s">
        <v>27003</v>
      </c>
      <c r="J13249" s="10" t="str">
        <f>HYPERLINK("https://www.boe.es/gazeta/dias/1834/05/16/pdfs/GMD-1834-85.pdf#page=4","Abrir facsímil")</f>
        <v>Abrir facsímil</v>
      </c>
      <c r="K13249" s="10" t="s">
        <v>24</v>
      </c>
    </row>
    <row r="13250" spans="1:11" ht="54" customHeight="1">
      <c r="A13250" s="9" t="s">
        <v>27000</v>
      </c>
      <c r="B13250" s="9" t="s">
        <v>27001</v>
      </c>
      <c r="C13250" s="9" t="s">
        <v>66</v>
      </c>
      <c r="D13250" s="9" t="s">
        <v>67</v>
      </c>
      <c r="E13250" s="10" t="s">
        <v>133</v>
      </c>
      <c r="F13250" s="9" t="s">
        <v>134</v>
      </c>
      <c r="G13250" s="10" t="s">
        <v>75</v>
      </c>
      <c r="H13250" s="9" t="s">
        <v>22</v>
      </c>
      <c r="I13250" s="9" t="s">
        <v>27004</v>
      </c>
      <c r="J13250" s="10" t="str">
        <f>HYPERLINK("https://www.boe.es/gazeta/dias/1834/06/18/pdfs/GMD-1834-121.pdf#page=4","Abrir facsímil")</f>
        <v>Abrir facsímil</v>
      </c>
      <c r="K13250" s="10" t="s">
        <v>24</v>
      </c>
    </row>
    <row r="13251" spans="1:11" ht="54" customHeight="1">
      <c r="A13251" s="9" t="s">
        <v>27000</v>
      </c>
      <c r="B13251" s="9" t="s">
        <v>27001</v>
      </c>
      <c r="C13251" s="9" t="s">
        <v>66</v>
      </c>
      <c r="D13251" s="9" t="s">
        <v>67</v>
      </c>
      <c r="E13251" s="10" t="s">
        <v>2287</v>
      </c>
      <c r="F13251" s="9" t="s">
        <v>4741</v>
      </c>
      <c r="G13251" s="10" t="s">
        <v>75</v>
      </c>
      <c r="H13251" s="9" t="s">
        <v>22</v>
      </c>
      <c r="I13251" s="9" t="s">
        <v>27005</v>
      </c>
      <c r="J13251" s="10" t="str">
        <f>HYPERLINK("https://www.boe.es/gazeta/dias/1834/12/18/pdfs/GMD-1834-308.pdf#page=4","Abrir facsímil")</f>
        <v>Abrir facsímil</v>
      </c>
      <c r="K13251" s="10" t="s">
        <v>24</v>
      </c>
    </row>
    <row r="13252" spans="1:11" ht="54" customHeight="1">
      <c r="A13252" s="9" t="s">
        <v>27000</v>
      </c>
      <c r="B13252" s="9" t="s">
        <v>27001</v>
      </c>
      <c r="C13252" s="9" t="s">
        <v>66</v>
      </c>
      <c r="D13252" s="9" t="s">
        <v>18</v>
      </c>
      <c r="E13252" s="10" t="s">
        <v>1669</v>
      </c>
      <c r="F13252" s="9" t="s">
        <v>1670</v>
      </c>
      <c r="G13252" s="10" t="s">
        <v>21</v>
      </c>
      <c r="H13252" s="9" t="s">
        <v>22</v>
      </c>
      <c r="I13252" s="9" t="s">
        <v>27006</v>
      </c>
      <c r="J13252" s="10" t="str">
        <f>HYPERLINK("https://www.boe.es/gazeta/dias/1834/06/19/pdfs/GMD-1834-122.pdf#page=3","Abrir facsímil")</f>
        <v>Abrir facsímil</v>
      </c>
      <c r="K13252" s="10" t="s">
        <v>24</v>
      </c>
    </row>
    <row r="13253" spans="1:11" ht="54" customHeight="1">
      <c r="A13253" s="9" t="s">
        <v>27000</v>
      </c>
      <c r="B13253" s="9" t="s">
        <v>27001</v>
      </c>
      <c r="C13253" s="9" t="s">
        <v>17</v>
      </c>
      <c r="D13253" s="9" t="s">
        <v>18</v>
      </c>
      <c r="E13253" s="10" t="s">
        <v>1575</v>
      </c>
      <c r="F13253" s="9" t="s">
        <v>1576</v>
      </c>
      <c r="G13253" s="10" t="s">
        <v>75</v>
      </c>
      <c r="H13253" s="9" t="s">
        <v>22</v>
      </c>
      <c r="I13253" s="9" t="s">
        <v>27007</v>
      </c>
      <c r="J13253" s="10" t="str">
        <f>HYPERLINK("https://www.boe.es/gazeta/dias/1834/11/24/pdfs/GMD-1834-283.pdf#page=4","Abrir facsímil")</f>
        <v>Abrir facsímil</v>
      </c>
      <c r="K13253" s="10" t="s">
        <v>24</v>
      </c>
    </row>
    <row r="13254" spans="1:11" ht="54" customHeight="1">
      <c r="A13254" s="9" t="s">
        <v>27000</v>
      </c>
      <c r="B13254" s="9" t="s">
        <v>27001</v>
      </c>
      <c r="C13254" s="9" t="s">
        <v>17</v>
      </c>
      <c r="D13254" s="9" t="s">
        <v>18</v>
      </c>
      <c r="E13254" s="10" t="s">
        <v>389</v>
      </c>
      <c r="F13254" s="9" t="s">
        <v>390</v>
      </c>
      <c r="G13254" s="10" t="s">
        <v>75</v>
      </c>
      <c r="H13254" s="9" t="s">
        <v>22</v>
      </c>
      <c r="I13254" s="9" t="s">
        <v>27008</v>
      </c>
      <c r="J13254" s="10" t="str">
        <f>HYPERLINK("https://www.boe.es/gazeta/dias/1834/10/25/pdfs/GMD-1834-253.pdf#page=4","Abrir facsímil")</f>
        <v>Abrir facsímil</v>
      </c>
      <c r="K13254" s="10" t="s">
        <v>24</v>
      </c>
    </row>
    <row r="13255" spans="1:11" ht="54" customHeight="1">
      <c r="A13255" s="9" t="s">
        <v>27000</v>
      </c>
      <c r="B13255" s="9" t="s">
        <v>27001</v>
      </c>
      <c r="C13255" s="9" t="s">
        <v>46</v>
      </c>
      <c r="D13255" s="9" t="s">
        <v>101</v>
      </c>
      <c r="E13255" s="10" t="s">
        <v>870</v>
      </c>
      <c r="F13255" s="9" t="s">
        <v>871</v>
      </c>
      <c r="G13255" s="10" t="s">
        <v>75</v>
      </c>
      <c r="H13255" s="9" t="s">
        <v>22</v>
      </c>
      <c r="I13255" s="9" t="s">
        <v>27009</v>
      </c>
      <c r="J13255" s="10" t="str">
        <f>HYPERLINK("https://www.boe.es/gazeta/dias/1834/05/28/pdfs/GMD-1834-97.pdf#page=4","Abrir facsímil")</f>
        <v>Abrir facsímil</v>
      </c>
      <c r="K13255" s="10" t="s">
        <v>24</v>
      </c>
    </row>
    <row r="13256" spans="1:11" ht="54" customHeight="1">
      <c r="A13256" s="9" t="s">
        <v>27010</v>
      </c>
      <c r="B13256" s="9" t="s">
        <v>27011</v>
      </c>
      <c r="C13256" s="9" t="s">
        <v>66</v>
      </c>
      <c r="D13256" s="9" t="s">
        <v>67</v>
      </c>
      <c r="E13256" s="10" t="s">
        <v>416</v>
      </c>
      <c r="F13256" s="9" t="s">
        <v>1130</v>
      </c>
      <c r="G13256" s="10" t="s">
        <v>86</v>
      </c>
      <c r="H13256" s="9" t="s">
        <v>22</v>
      </c>
      <c r="I13256" s="9" t="s">
        <v>27012</v>
      </c>
      <c r="J13256" s="10" t="str">
        <f>HYPERLINK("https://www.boe.es/gazeta/dias/1834/10/02/pdfs/GMD-1834-230.pdf#page=2","Abrir facsímil")</f>
        <v>Abrir facsímil</v>
      </c>
      <c r="K13256" s="10" t="s">
        <v>24</v>
      </c>
    </row>
    <row r="13257" spans="1:11" ht="54" customHeight="1">
      <c r="A13257" s="9" t="s">
        <v>27013</v>
      </c>
      <c r="B13257" s="9" t="s">
        <v>27014</v>
      </c>
      <c r="C13257" s="9" t="s">
        <v>17</v>
      </c>
      <c r="D13257" s="9" t="s">
        <v>18</v>
      </c>
      <c r="E13257" s="10" t="s">
        <v>2379</v>
      </c>
      <c r="F13257" s="9" t="s">
        <v>2380</v>
      </c>
      <c r="G13257" s="10" t="s">
        <v>75</v>
      </c>
      <c r="H13257" s="9" t="s">
        <v>22</v>
      </c>
      <c r="I13257" s="9" t="s">
        <v>27015</v>
      </c>
      <c r="J13257" s="10" t="str">
        <f>HYPERLINK("https://www.boe.es/gazeta/dias/1834/04/03/pdfs/GMD-1834-42.pdf#page=4","Abrir facsímil")</f>
        <v>Abrir facsímil</v>
      </c>
      <c r="K13257" s="10" t="s">
        <v>24</v>
      </c>
    </row>
    <row r="13258" spans="1:11" ht="54" customHeight="1">
      <c r="A13258" s="9" t="s">
        <v>27016</v>
      </c>
      <c r="B13258" s="9" t="s">
        <v>27017</v>
      </c>
      <c r="C13258" s="9" t="s">
        <v>90</v>
      </c>
      <c r="D13258" s="9" t="s">
        <v>18</v>
      </c>
      <c r="E13258" s="10" t="s">
        <v>615</v>
      </c>
      <c r="F13258" s="9" t="s">
        <v>1205</v>
      </c>
      <c r="G13258" s="10" t="s">
        <v>86</v>
      </c>
      <c r="H13258" s="9" t="s">
        <v>35</v>
      </c>
      <c r="I13258" s="9" t="s">
        <v>27018</v>
      </c>
      <c r="J13258" s="10" t="str">
        <f>HYPERLINK("https://www.boe.es/gazeta/dias/1834/08/19/pdfs/GMD-D-1834-185.pdf#page=2","Abrir facsímil")</f>
        <v>Abrir facsímil</v>
      </c>
      <c r="K13258" s="10" t="s">
        <v>37</v>
      </c>
    </row>
    <row r="13259" spans="1:11" ht="54" customHeight="1">
      <c r="A13259" s="9" t="s">
        <v>27019</v>
      </c>
      <c r="B13259" s="9" t="s">
        <v>27020</v>
      </c>
      <c r="C13259" s="9" t="s">
        <v>90</v>
      </c>
      <c r="D13259" s="9" t="s">
        <v>18</v>
      </c>
      <c r="E13259" s="10" t="s">
        <v>615</v>
      </c>
      <c r="F13259" s="9" t="s">
        <v>1205</v>
      </c>
      <c r="G13259" s="10" t="s">
        <v>86</v>
      </c>
      <c r="H13259" s="9" t="s">
        <v>22</v>
      </c>
      <c r="I13259" s="9" t="s">
        <v>27021</v>
      </c>
      <c r="J13259" s="10" t="str">
        <f>HYPERLINK("https://www.boe.es/gazeta/dias/1834/08/19/pdfs/GMD-D-1834-185.pdf#page=2","Abrir facsímil")</f>
        <v>Abrir facsímil</v>
      </c>
      <c r="K13259" s="10" t="s">
        <v>24</v>
      </c>
    </row>
    <row r="13260" spans="1:11" ht="54" customHeight="1">
      <c r="A13260" s="9" t="s">
        <v>27019</v>
      </c>
      <c r="B13260" s="9" t="s">
        <v>27020</v>
      </c>
      <c r="C13260" s="9" t="s">
        <v>90</v>
      </c>
      <c r="D13260" s="9" t="s">
        <v>67</v>
      </c>
      <c r="E13260" s="10" t="s">
        <v>465</v>
      </c>
      <c r="F13260" s="9" t="s">
        <v>466</v>
      </c>
      <c r="G13260" s="10" t="s">
        <v>176</v>
      </c>
      <c r="H13260" s="9" t="s">
        <v>22</v>
      </c>
      <c r="I13260" s="9" t="s">
        <v>27022</v>
      </c>
      <c r="J13260" s="10" t="str">
        <f>HYPERLINK("https://www.boe.es/gazeta/dias/1834/11/27/pdfs/GMD-C-1834-286.pdf#page=6","Abrir facsímil")</f>
        <v>Abrir facsímil</v>
      </c>
      <c r="K13260" s="10" t="s">
        <v>24</v>
      </c>
    </row>
    <row r="13261" spans="1:11" ht="54" customHeight="1">
      <c r="A13261" s="9" t="s">
        <v>27023</v>
      </c>
      <c r="B13261" s="9" t="s">
        <v>27024</v>
      </c>
      <c r="C13261" s="9" t="s">
        <v>17</v>
      </c>
      <c r="D13261" s="9" t="s">
        <v>18</v>
      </c>
      <c r="E13261" s="10" t="s">
        <v>158</v>
      </c>
      <c r="F13261" s="9" t="s">
        <v>159</v>
      </c>
      <c r="G13261" s="10" t="s">
        <v>21</v>
      </c>
      <c r="H13261" s="9" t="s">
        <v>22</v>
      </c>
      <c r="I13261" s="9" t="s">
        <v>27025</v>
      </c>
      <c r="J13261" s="10" t="str">
        <f>HYPERLINK("https://www.boe.es/gazeta/dias/1834/10/01/pdfs/GMD-1834-229.pdf#page=3","Abrir facsímil")</f>
        <v>Abrir facsímil</v>
      </c>
      <c r="K13261" s="10" t="s">
        <v>24</v>
      </c>
    </row>
    <row r="13262" spans="1:11" ht="54" customHeight="1">
      <c r="A13262" s="9" t="s">
        <v>27026</v>
      </c>
      <c r="B13262" s="9" t="s">
        <v>27026</v>
      </c>
      <c r="C13262" s="9" t="s">
        <v>66</v>
      </c>
      <c r="D13262" s="9" t="s">
        <v>67</v>
      </c>
      <c r="E13262" s="10" t="s">
        <v>976</v>
      </c>
      <c r="F13262" s="9" t="s">
        <v>977</v>
      </c>
      <c r="G13262" s="10" t="s">
        <v>21</v>
      </c>
      <c r="H13262" s="9" t="s">
        <v>22</v>
      </c>
      <c r="I13262" s="9" t="s">
        <v>27027</v>
      </c>
      <c r="J13262" s="10" t="str">
        <f>HYPERLINK("https://www.boe.es/gazeta/dias/1834/04/02/pdfs/GMD-1834-41.pdf#page=3","Abrir facsímil")</f>
        <v>Abrir facsímil</v>
      </c>
      <c r="K13262" s="10" t="s">
        <v>24</v>
      </c>
    </row>
    <row r="13263" spans="1:11" ht="54" customHeight="1">
      <c r="A13263" s="9" t="s">
        <v>27028</v>
      </c>
      <c r="B13263" s="9" t="s">
        <v>27028</v>
      </c>
      <c r="C13263" s="9" t="s">
        <v>66</v>
      </c>
      <c r="D13263" s="9" t="s">
        <v>67</v>
      </c>
      <c r="E13263" s="10" t="s">
        <v>518</v>
      </c>
      <c r="F13263" s="9" t="s">
        <v>519</v>
      </c>
      <c r="G13263" s="10" t="s">
        <v>86</v>
      </c>
      <c r="H13263" s="9" t="s">
        <v>22</v>
      </c>
      <c r="I13263" s="9" t="s">
        <v>27029</v>
      </c>
      <c r="J13263" s="10" t="str">
        <f>HYPERLINK("https://www.boe.es/gazeta/dias/1834/03/15/pdfs/GMD-1834-33.pdf#page=2","Abrir facsímil")</f>
        <v>Abrir facsímil</v>
      </c>
      <c r="K13263" s="10" t="s">
        <v>24</v>
      </c>
    </row>
    <row r="13264" spans="1:11" ht="54" customHeight="1">
      <c r="A13264" s="9" t="s">
        <v>27030</v>
      </c>
      <c r="B13264" s="9" t="s">
        <v>27031</v>
      </c>
      <c r="C13264" s="9" t="s">
        <v>17</v>
      </c>
      <c r="D13264" s="9" t="s">
        <v>18</v>
      </c>
      <c r="E13264" s="10" t="s">
        <v>167</v>
      </c>
      <c r="F13264" s="9" t="s">
        <v>1200</v>
      </c>
      <c r="G13264" s="10" t="s">
        <v>86</v>
      </c>
      <c r="H13264" s="9" t="s">
        <v>22</v>
      </c>
      <c r="I13264" s="9" t="s">
        <v>27032</v>
      </c>
      <c r="J13264" s="10" t="str">
        <f>HYPERLINK("https://www.boe.es/gazeta/dias/1834/09/07/pdfs/GMD-C-1834-205.pdf#page=2","Abrir facsímil")</f>
        <v>Abrir facsímil</v>
      </c>
      <c r="K13264" s="10" t="s">
        <v>24</v>
      </c>
    </row>
    <row r="13265" spans="1:11" ht="54" customHeight="1">
      <c r="A13265" s="9" t="s">
        <v>27033</v>
      </c>
      <c r="B13265" s="9" t="s">
        <v>27034</v>
      </c>
      <c r="C13265" s="9" t="s">
        <v>17</v>
      </c>
      <c r="D13265" s="9" t="s">
        <v>18</v>
      </c>
      <c r="E13265" s="10" t="s">
        <v>777</v>
      </c>
      <c r="F13265" s="9" t="s">
        <v>778</v>
      </c>
      <c r="G13265" s="10" t="s">
        <v>21</v>
      </c>
      <c r="H13265" s="9" t="s">
        <v>22</v>
      </c>
      <c r="I13265" s="9" t="s">
        <v>27035</v>
      </c>
      <c r="J13265" s="10" t="str">
        <f>HYPERLINK("https://www.boe.es/gazeta/dias/1834/10/29/pdfs/GMD-1834-257.pdf#page=3","Abrir facsímil")</f>
        <v>Abrir facsímil</v>
      </c>
      <c r="K13265" s="10" t="s">
        <v>24</v>
      </c>
    </row>
    <row r="13266" spans="1:11" ht="54" customHeight="1">
      <c r="A13266" s="9" t="s">
        <v>27036</v>
      </c>
      <c r="B13266" s="9" t="s">
        <v>27037</v>
      </c>
      <c r="C13266" s="9" t="s">
        <v>66</v>
      </c>
      <c r="D13266" s="9" t="s">
        <v>67</v>
      </c>
      <c r="E13266" s="10" t="s">
        <v>762</v>
      </c>
      <c r="F13266" s="9" t="s">
        <v>763</v>
      </c>
      <c r="G13266" s="10" t="s">
        <v>75</v>
      </c>
      <c r="H13266" s="9" t="s">
        <v>22</v>
      </c>
      <c r="I13266" s="9" t="s">
        <v>27038</v>
      </c>
      <c r="J13266" s="10" t="str">
        <f>HYPERLINK("https://www.boe.es/gazeta/dias/1834/11/07/pdfs/GMD-1834-266.pdf#page=4","Abrir facsímil")</f>
        <v>Abrir facsímil</v>
      </c>
      <c r="K13266" s="10" t="s">
        <v>24</v>
      </c>
    </row>
    <row r="13267" spans="1:11" ht="54" customHeight="1">
      <c r="A13267" s="9" t="s">
        <v>27039</v>
      </c>
      <c r="B13267" s="9" t="s">
        <v>27040</v>
      </c>
      <c r="C13267" s="9" t="s">
        <v>122</v>
      </c>
      <c r="D13267" s="9" t="s">
        <v>18</v>
      </c>
      <c r="E13267" s="10" t="s">
        <v>1575</v>
      </c>
      <c r="F13267" s="9" t="s">
        <v>1576</v>
      </c>
      <c r="G13267" s="10" t="s">
        <v>75</v>
      </c>
      <c r="H13267" s="9" t="s">
        <v>22</v>
      </c>
      <c r="I13267" s="9" t="s">
        <v>27041</v>
      </c>
      <c r="J13267" s="10" t="str">
        <f>HYPERLINK("https://www.boe.es/gazeta/dias/1834/11/24/pdfs/GMD-1834-283.pdf#page=4","Abrir facsímil")</f>
        <v>Abrir facsímil</v>
      </c>
      <c r="K13267" s="10" t="s">
        <v>24</v>
      </c>
    </row>
    <row r="13268" spans="1:11" ht="54" customHeight="1">
      <c r="A13268" s="9" t="s">
        <v>27042</v>
      </c>
      <c r="B13268" s="9" t="s">
        <v>27043</v>
      </c>
      <c r="C13268" s="9" t="s">
        <v>122</v>
      </c>
      <c r="D13268" s="9" t="s">
        <v>18</v>
      </c>
      <c r="E13268" s="10" t="s">
        <v>1575</v>
      </c>
      <c r="F13268" s="9" t="s">
        <v>1576</v>
      </c>
      <c r="G13268" s="10" t="s">
        <v>75</v>
      </c>
      <c r="H13268" s="9" t="s">
        <v>35</v>
      </c>
      <c r="I13268" s="9" t="s">
        <v>27044</v>
      </c>
      <c r="J13268" s="10" t="str">
        <f>HYPERLINK("https://www.boe.es/gazeta/dias/1834/11/24/pdfs/GMD-1834-283.pdf#page=4","Abrir facsímil")</f>
        <v>Abrir facsímil</v>
      </c>
      <c r="K13268" s="10" t="s">
        <v>37</v>
      </c>
    </row>
    <row r="13269" spans="1:11" ht="54" customHeight="1">
      <c r="A13269" s="9" t="s">
        <v>27045</v>
      </c>
      <c r="B13269" s="9" t="s">
        <v>27046</v>
      </c>
      <c r="C13269" s="9" t="s">
        <v>122</v>
      </c>
      <c r="D13269" s="9" t="s">
        <v>18</v>
      </c>
      <c r="E13269" s="10" t="s">
        <v>1234</v>
      </c>
      <c r="F13269" s="9" t="s">
        <v>1455</v>
      </c>
      <c r="G13269" s="10" t="s">
        <v>75</v>
      </c>
      <c r="H13269" s="9" t="s">
        <v>22</v>
      </c>
      <c r="I13269" s="9" t="s">
        <v>27047</v>
      </c>
      <c r="J13269" s="10" t="str">
        <f>HYPERLINK("https://www.boe.es/gazeta/dias/1834/05/15/pdfs/GMD-1834-84.pdf#page=4","Abrir facsímil")</f>
        <v>Abrir facsímil</v>
      </c>
      <c r="K13269" s="10" t="s">
        <v>24</v>
      </c>
    </row>
    <row r="13270" spans="1:11" ht="54" customHeight="1">
      <c r="A13270" s="9" t="s">
        <v>27048</v>
      </c>
      <c r="B13270" s="9" t="s">
        <v>27049</v>
      </c>
      <c r="C13270" s="9" t="s">
        <v>17</v>
      </c>
      <c r="D13270" s="9" t="s">
        <v>18</v>
      </c>
      <c r="E13270" s="10" t="s">
        <v>2287</v>
      </c>
      <c r="F13270" s="9" t="s">
        <v>2288</v>
      </c>
      <c r="G13270" s="10" t="s">
        <v>176</v>
      </c>
      <c r="H13270" s="9" t="s">
        <v>22</v>
      </c>
      <c r="I13270" s="9" t="s">
        <v>27050</v>
      </c>
      <c r="J13270" s="10" t="str">
        <f>HYPERLINK("https://www.boe.es/gazeta/dias/1834/12/18/pdfs/GMD-C-1834-308.pdf#page=6","Abrir facsímil")</f>
        <v>Abrir facsímil</v>
      </c>
      <c r="K13270" s="10" t="s">
        <v>24</v>
      </c>
    </row>
    <row r="13271" spans="1:11" ht="54" customHeight="1">
      <c r="A13271" s="9" t="s">
        <v>27051</v>
      </c>
      <c r="B13271" s="9" t="s">
        <v>27052</v>
      </c>
      <c r="C13271" s="9" t="s">
        <v>66</v>
      </c>
      <c r="D13271" s="9" t="s">
        <v>101</v>
      </c>
      <c r="E13271" s="10" t="s">
        <v>658</v>
      </c>
      <c r="F13271" s="9" t="s">
        <v>659</v>
      </c>
      <c r="G13271" s="10" t="s">
        <v>34</v>
      </c>
      <c r="H13271" s="9" t="s">
        <v>22</v>
      </c>
      <c r="I13271" s="9" t="s">
        <v>27053</v>
      </c>
      <c r="J13271" s="10" t="str">
        <f>HYPERLINK("https://www.boe.es/gazeta/dias/1834/05/26/pdfs/GMD-1834-95.pdf#page=1","Abrir facsímil")</f>
        <v>Abrir facsímil</v>
      </c>
      <c r="K13271" s="10" t="s">
        <v>24</v>
      </c>
    </row>
    <row r="13272" spans="1:11" ht="54" customHeight="1">
      <c r="A13272" s="9" t="s">
        <v>27054</v>
      </c>
      <c r="B13272" s="9" t="s">
        <v>27054</v>
      </c>
      <c r="C13272" s="9" t="s">
        <v>46</v>
      </c>
      <c r="D13272" s="9" t="s">
        <v>18</v>
      </c>
      <c r="E13272" s="10" t="s">
        <v>133</v>
      </c>
      <c r="F13272" s="9" t="s">
        <v>134</v>
      </c>
      <c r="G13272" s="10" t="s">
        <v>86</v>
      </c>
      <c r="H13272" s="9" t="s">
        <v>22</v>
      </c>
      <c r="I13272" s="9" t="s">
        <v>27055</v>
      </c>
      <c r="J13272" s="10" t="str">
        <f>HYPERLINK("https://www.boe.es/gazeta/dias/1834/06/18/pdfs/GMD-1834-121.pdf#page=2","Abrir facsímil")</f>
        <v>Abrir facsímil</v>
      </c>
      <c r="K13272" s="10" t="s">
        <v>24</v>
      </c>
    </row>
    <row r="13273" spans="1:11" ht="54" customHeight="1">
      <c r="A13273" s="9" t="s">
        <v>27056</v>
      </c>
      <c r="B13273" s="9" t="s">
        <v>27057</v>
      </c>
      <c r="C13273" s="9" t="s">
        <v>17</v>
      </c>
      <c r="D13273" s="9" t="s">
        <v>55</v>
      </c>
      <c r="E13273" s="10" t="s">
        <v>367</v>
      </c>
      <c r="F13273" s="9" t="s">
        <v>368</v>
      </c>
      <c r="G13273" s="10" t="s">
        <v>21</v>
      </c>
      <c r="H13273" s="9" t="s">
        <v>22</v>
      </c>
      <c r="I13273" s="9" t="s">
        <v>27058</v>
      </c>
      <c r="J13273" s="10" t="str">
        <f>HYPERLINK("https://www.boe.es/gazeta/dias/1834/05/19/pdfs/GMD-1834-88.pdf#page=3","Abrir facsímil")</f>
        <v>Abrir facsímil</v>
      </c>
      <c r="K13273" s="10" t="s">
        <v>24</v>
      </c>
    </row>
    <row r="13274" spans="1:11" ht="54" customHeight="1">
      <c r="A13274" s="9" t="s">
        <v>27059</v>
      </c>
      <c r="B13274" s="9" t="s">
        <v>27060</v>
      </c>
      <c r="C13274" s="9" t="s">
        <v>90</v>
      </c>
      <c r="D13274" s="9" t="s">
        <v>18</v>
      </c>
      <c r="E13274" s="10" t="s">
        <v>5574</v>
      </c>
      <c r="F13274" s="9" t="s">
        <v>5575</v>
      </c>
      <c r="G13274" s="10" t="s">
        <v>34</v>
      </c>
      <c r="H13274" s="9" t="s">
        <v>22</v>
      </c>
      <c r="I13274" s="9" t="s">
        <v>27061</v>
      </c>
      <c r="J13274" s="10" t="str">
        <f>HYPERLINK("https://www.boe.es/gazeta/dias/1834/06/16/pdfs/GMD-1834-119.pdf#page=1","Abrir facsímil")</f>
        <v>Abrir facsímil</v>
      </c>
      <c r="K13274" s="10" t="s">
        <v>24</v>
      </c>
    </row>
    <row r="13275" spans="1:11" ht="54" customHeight="1">
      <c r="A13275" s="9" t="s">
        <v>27062</v>
      </c>
      <c r="B13275" s="9" t="s">
        <v>27062</v>
      </c>
      <c r="C13275" s="9" t="s">
        <v>90</v>
      </c>
      <c r="D13275" s="9" t="s">
        <v>18</v>
      </c>
      <c r="E13275" s="10" t="s">
        <v>355</v>
      </c>
      <c r="F13275" s="9" t="s">
        <v>356</v>
      </c>
      <c r="G13275" s="10" t="s">
        <v>86</v>
      </c>
      <c r="H13275" s="9" t="s">
        <v>22</v>
      </c>
      <c r="I13275" s="9" t="s">
        <v>27063</v>
      </c>
      <c r="J13275" s="10" t="str">
        <f>HYPERLINK("https://www.boe.es/gazeta/dias/1834/07/04/pdfs/GMD-1834-137.pdf#page=2","Abrir facsímil")</f>
        <v>Abrir facsímil</v>
      </c>
      <c r="K13275" s="10" t="s">
        <v>24</v>
      </c>
    </row>
    <row r="13276" spans="1:11" ht="54" customHeight="1">
      <c r="A13276" s="9" t="s">
        <v>27064</v>
      </c>
      <c r="B13276" s="9" t="s">
        <v>27065</v>
      </c>
      <c r="C13276" s="9" t="s">
        <v>122</v>
      </c>
      <c r="D13276" s="9" t="s">
        <v>18</v>
      </c>
      <c r="E13276" s="10" t="s">
        <v>102</v>
      </c>
      <c r="F13276" s="9" t="s">
        <v>103</v>
      </c>
      <c r="G13276" s="10" t="s">
        <v>21</v>
      </c>
      <c r="H13276" s="9" t="s">
        <v>22</v>
      </c>
      <c r="I13276" s="9" t="s">
        <v>27066</v>
      </c>
      <c r="J13276" s="10" t="str">
        <f>HYPERLINK("https://www.boe.es/gazeta/dias/1834/07/19/pdfs/GMD-1834-152.pdf#page=3","Abrir facsímil")</f>
        <v>Abrir facsímil</v>
      </c>
      <c r="K13276" s="10" t="s">
        <v>24</v>
      </c>
    </row>
    <row r="13277" spans="1:11" ht="54" customHeight="1">
      <c r="A13277" s="9" t="s">
        <v>27067</v>
      </c>
      <c r="B13277" s="9" t="s">
        <v>27067</v>
      </c>
      <c r="C13277" s="9" t="s">
        <v>17</v>
      </c>
      <c r="D13277" s="9" t="s">
        <v>18</v>
      </c>
      <c r="E13277" s="10" t="s">
        <v>642</v>
      </c>
      <c r="F13277" s="9" t="s">
        <v>1843</v>
      </c>
      <c r="G13277" s="10" t="s">
        <v>34</v>
      </c>
      <c r="H13277" s="9" t="s">
        <v>22</v>
      </c>
      <c r="I13277" s="9" t="s">
        <v>27068</v>
      </c>
      <c r="J13277" s="10" t="str">
        <f>HYPERLINK("https://www.boe.es/gazeta/dias/1834/11/12/pdfs/GMD-1834-271.pdf#page=1","Abrir facsímil")</f>
        <v>Abrir facsímil</v>
      </c>
      <c r="K13277" s="10" t="s">
        <v>24</v>
      </c>
    </row>
    <row r="13278" spans="1:11" ht="54" customHeight="1">
      <c r="A13278" s="9" t="s">
        <v>27069</v>
      </c>
      <c r="B13278" s="9" t="s">
        <v>27070</v>
      </c>
      <c r="C13278" s="9" t="s">
        <v>66</v>
      </c>
      <c r="D13278" s="9" t="s">
        <v>67</v>
      </c>
      <c r="E13278" s="10" t="s">
        <v>679</v>
      </c>
      <c r="F13278" s="9" t="s">
        <v>680</v>
      </c>
      <c r="G13278" s="10" t="s">
        <v>34</v>
      </c>
      <c r="H13278" s="9" t="s">
        <v>22</v>
      </c>
      <c r="I13278" s="9" t="s">
        <v>27071</v>
      </c>
      <c r="J13278" s="10" t="str">
        <f>HYPERLINK("https://www.boe.es/gazeta/dias/1834/12/10/pdfs/GMD-1834-299.pdf#page=1","Abrir facsímil")</f>
        <v>Abrir facsímil</v>
      </c>
      <c r="K13278" s="10" t="s">
        <v>24</v>
      </c>
    </row>
    <row r="13279" spans="1:11" ht="54" customHeight="1">
      <c r="A13279" s="9" t="s">
        <v>27072</v>
      </c>
      <c r="B13279" s="9" t="s">
        <v>27073</v>
      </c>
      <c r="C13279" s="9" t="s">
        <v>66</v>
      </c>
      <c r="D13279" s="9" t="s">
        <v>67</v>
      </c>
      <c r="E13279" s="10" t="s">
        <v>679</v>
      </c>
      <c r="F13279" s="9" t="s">
        <v>680</v>
      </c>
      <c r="G13279" s="10" t="s">
        <v>34</v>
      </c>
      <c r="H13279" s="9" t="s">
        <v>35</v>
      </c>
      <c r="I13279" s="9" t="s">
        <v>27074</v>
      </c>
      <c r="J13279" s="10" t="str">
        <f>HYPERLINK("https://www.boe.es/gazeta/dias/1834/12/10/pdfs/GMD-1834-299.pdf#page=1","Abrir facsímil")</f>
        <v>Abrir facsímil</v>
      </c>
      <c r="K13279" s="10" t="s">
        <v>37</v>
      </c>
    </row>
    <row r="13280" spans="1:11" ht="54" customHeight="1">
      <c r="A13280" s="9" t="s">
        <v>27075</v>
      </c>
      <c r="B13280" s="9" t="s">
        <v>27076</v>
      </c>
      <c r="C13280" s="9" t="s">
        <v>46</v>
      </c>
      <c r="D13280" s="9" t="s">
        <v>55</v>
      </c>
      <c r="E13280" s="10" t="s">
        <v>1572</v>
      </c>
      <c r="F13280" s="9" t="s">
        <v>1573</v>
      </c>
      <c r="G13280" s="10" t="s">
        <v>21</v>
      </c>
      <c r="H13280" s="9" t="s">
        <v>22</v>
      </c>
      <c r="I13280" s="9" t="s">
        <v>27077</v>
      </c>
      <c r="J13280" s="10" t="str">
        <f>HYPERLINK("https://www.boe.es/gazeta/dias/1834/03/20/pdfs/GMD-1834-35.pdf#page=3","Abrir facsímil")</f>
        <v>Abrir facsímil</v>
      </c>
      <c r="K13280" s="10" t="s">
        <v>24</v>
      </c>
    </row>
    <row r="13281" spans="1:11" ht="54" customHeight="1">
      <c r="A13281" s="9" t="s">
        <v>27078</v>
      </c>
      <c r="B13281" s="9" t="s">
        <v>27079</v>
      </c>
      <c r="C13281" s="9" t="s">
        <v>17</v>
      </c>
      <c r="D13281" s="9" t="s">
        <v>18</v>
      </c>
      <c r="E13281" s="10" t="s">
        <v>1186</v>
      </c>
      <c r="F13281" s="9" t="s">
        <v>1187</v>
      </c>
      <c r="G13281" s="10" t="s">
        <v>21</v>
      </c>
      <c r="H13281" s="9" t="s">
        <v>22</v>
      </c>
      <c r="I13281" s="9" t="s">
        <v>27080</v>
      </c>
      <c r="J13281" s="10" t="str">
        <f>HYPERLINK("https://www.boe.es/gazeta/dias/1834/08/14/pdfs/GMD-1834-179.pdf#page=3","Abrir facsímil")</f>
        <v>Abrir facsímil</v>
      </c>
      <c r="K13281" s="10" t="s">
        <v>24</v>
      </c>
    </row>
    <row r="13282" spans="1:11" ht="54" customHeight="1">
      <c r="A13282" s="9" t="s">
        <v>27081</v>
      </c>
      <c r="B13282" s="9" t="s">
        <v>27082</v>
      </c>
      <c r="C13282" s="9" t="s">
        <v>122</v>
      </c>
      <c r="D13282" s="9" t="s">
        <v>18</v>
      </c>
      <c r="E13282" s="10" t="s">
        <v>1597</v>
      </c>
      <c r="F13282" s="9" t="s">
        <v>1598</v>
      </c>
      <c r="G13282" s="10" t="s">
        <v>21</v>
      </c>
      <c r="H13282" s="9" t="s">
        <v>35</v>
      </c>
      <c r="I13282" s="9" t="s">
        <v>27083</v>
      </c>
      <c r="J13282" s="10" t="str">
        <f>HYPERLINK("https://www.boe.es/gazeta/dias/1834/10/03/pdfs/GMD-1834-231.pdf#page=3","Abrir facsímil")</f>
        <v>Abrir facsímil</v>
      </c>
      <c r="K13282" s="10" t="s">
        <v>37</v>
      </c>
    </row>
    <row r="13283" spans="1:11" ht="54" customHeight="1">
      <c r="A13283" s="9" t="s">
        <v>27084</v>
      </c>
      <c r="B13283" s="9" t="s">
        <v>27085</v>
      </c>
      <c r="C13283" s="9" t="s">
        <v>17</v>
      </c>
      <c r="D13283" s="9" t="s">
        <v>18</v>
      </c>
      <c r="E13283" s="10" t="s">
        <v>1597</v>
      </c>
      <c r="F13283" s="9" t="s">
        <v>1598</v>
      </c>
      <c r="G13283" s="10" t="s">
        <v>21</v>
      </c>
      <c r="H13283" s="9" t="s">
        <v>22</v>
      </c>
      <c r="I13283" s="9" t="s">
        <v>27086</v>
      </c>
      <c r="J13283" s="10" t="str">
        <f>HYPERLINK("https://www.boe.es/gazeta/dias/1834/10/03/pdfs/GMD-1834-231.pdf#page=3","Abrir facsímil")</f>
        <v>Abrir facsímil</v>
      </c>
      <c r="K13283" s="10" t="s">
        <v>24</v>
      </c>
    </row>
    <row r="13284" spans="1:11" ht="54" customHeight="1">
      <c r="A13284" s="9" t="s">
        <v>27087</v>
      </c>
      <c r="B13284" s="9" t="s">
        <v>27088</v>
      </c>
      <c r="C13284" s="9" t="s">
        <v>122</v>
      </c>
      <c r="D13284" s="9" t="s">
        <v>101</v>
      </c>
      <c r="E13284" s="10" t="s">
        <v>1119</v>
      </c>
      <c r="F13284" s="9" t="s">
        <v>1120</v>
      </c>
      <c r="G13284" s="10" t="s">
        <v>21</v>
      </c>
      <c r="H13284" s="9" t="s">
        <v>22</v>
      </c>
      <c r="I13284" s="9" t="s">
        <v>27089</v>
      </c>
      <c r="J13284" s="10" t="str">
        <f>HYPERLINK("https://www.boe.es/gazeta/dias/1834/07/17/pdfs/GMD-1834-150.pdf#page=3","Abrir facsímil")</f>
        <v>Abrir facsímil</v>
      </c>
      <c r="K13284" s="10" t="s">
        <v>24</v>
      </c>
    </row>
    <row r="13285" spans="1:11" ht="54" customHeight="1">
      <c r="A13285" s="9" t="s">
        <v>27090</v>
      </c>
      <c r="B13285" s="9" t="s">
        <v>27091</v>
      </c>
      <c r="C13285" s="9" t="s">
        <v>122</v>
      </c>
      <c r="D13285" s="9" t="s">
        <v>101</v>
      </c>
      <c r="E13285" s="10" t="s">
        <v>1119</v>
      </c>
      <c r="F13285" s="9" t="s">
        <v>1120</v>
      </c>
      <c r="G13285" s="10" t="s">
        <v>21</v>
      </c>
      <c r="H13285" s="9" t="s">
        <v>35</v>
      </c>
      <c r="I13285" s="9" t="s">
        <v>27092</v>
      </c>
      <c r="J13285" s="10" t="str">
        <f>HYPERLINK("https://www.boe.es/gazeta/dias/1834/07/17/pdfs/GMD-1834-150.pdf#page=3","Abrir facsímil")</f>
        <v>Abrir facsímil</v>
      </c>
      <c r="K13285" s="10" t="s">
        <v>37</v>
      </c>
    </row>
    <row r="13286" spans="1:11" ht="54" customHeight="1">
      <c r="A13286" s="9" t="s">
        <v>27093</v>
      </c>
      <c r="B13286" s="9" t="s">
        <v>27094</v>
      </c>
      <c r="C13286" s="9" t="s">
        <v>17</v>
      </c>
      <c r="D13286" s="9" t="s">
        <v>18</v>
      </c>
      <c r="E13286" s="10" t="s">
        <v>667</v>
      </c>
      <c r="F13286" s="9" t="s">
        <v>668</v>
      </c>
      <c r="G13286" s="10" t="s">
        <v>34</v>
      </c>
      <c r="H13286" s="9" t="s">
        <v>22</v>
      </c>
      <c r="I13286" s="9" t="s">
        <v>27095</v>
      </c>
      <c r="J13286" s="10" t="str">
        <f>HYPERLINK("https://www.boe.es/gazeta/dias/1834/11/23/pdfs/GMD-C-1834-282.pdf#page=1","Abrir facsímil")</f>
        <v>Abrir facsímil</v>
      </c>
      <c r="K13286" s="10" t="s">
        <v>24</v>
      </c>
    </row>
    <row r="13287" spans="1:11" ht="54" customHeight="1">
      <c r="A13287" s="9" t="s">
        <v>27096</v>
      </c>
      <c r="B13287" s="9" t="s">
        <v>27096</v>
      </c>
      <c r="C13287" s="9" t="s">
        <v>17</v>
      </c>
      <c r="D13287" s="9" t="s">
        <v>18</v>
      </c>
      <c r="E13287" s="10" t="s">
        <v>394</v>
      </c>
      <c r="F13287" s="9" t="s">
        <v>459</v>
      </c>
      <c r="G13287" s="10" t="s">
        <v>86</v>
      </c>
      <c r="H13287" s="9" t="s">
        <v>22</v>
      </c>
      <c r="I13287" s="9" t="s">
        <v>27097</v>
      </c>
      <c r="J13287" s="10" t="str">
        <f>HYPERLINK("https://www.boe.es/gazeta/dias/1834/12/23/pdfs/GMD-C-1834-313.pdf#page=2","Abrir facsímil")</f>
        <v>Abrir facsímil</v>
      </c>
      <c r="K13287" s="10" t="s">
        <v>24</v>
      </c>
    </row>
    <row r="13288" spans="1:11" ht="54" customHeight="1">
      <c r="A13288" s="9" t="s">
        <v>27098</v>
      </c>
      <c r="B13288" s="9" t="s">
        <v>27098</v>
      </c>
      <c r="C13288" s="9" t="s">
        <v>17</v>
      </c>
      <c r="D13288" s="9" t="s">
        <v>18</v>
      </c>
      <c r="E13288" s="10" t="s">
        <v>883</v>
      </c>
      <c r="F13288" s="9" t="s">
        <v>884</v>
      </c>
      <c r="G13288" s="10" t="s">
        <v>34</v>
      </c>
      <c r="H13288" s="9" t="s">
        <v>22</v>
      </c>
      <c r="I13288" s="9" t="s">
        <v>27099</v>
      </c>
      <c r="J13288" s="10" t="str">
        <f>HYPERLINK("https://www.boe.es/gazeta/dias/1834/11/16/pdfs/GMD-C-1834-275.pdf#page=1","Abrir facsímil")</f>
        <v>Abrir facsímil</v>
      </c>
      <c r="K13288" s="10" t="s">
        <v>24</v>
      </c>
    </row>
    <row r="13289" spans="1:11" ht="54" customHeight="1">
      <c r="A13289" s="9" t="s">
        <v>27098</v>
      </c>
      <c r="B13289" s="9" t="s">
        <v>27098</v>
      </c>
      <c r="C13289" s="9" t="s">
        <v>17</v>
      </c>
      <c r="D13289" s="9" t="s">
        <v>18</v>
      </c>
      <c r="E13289" s="10" t="s">
        <v>394</v>
      </c>
      <c r="F13289" s="9" t="s">
        <v>459</v>
      </c>
      <c r="G13289" s="10" t="s">
        <v>86</v>
      </c>
      <c r="H13289" s="9" t="s">
        <v>22</v>
      </c>
      <c r="I13289" s="9" t="s">
        <v>27100</v>
      </c>
      <c r="J13289" s="10" t="str">
        <f>HYPERLINK("https://www.boe.es/gazeta/dias/1834/12/23/pdfs/GMD-C-1834-313.pdf#page=2","Abrir facsímil")</f>
        <v>Abrir facsímil</v>
      </c>
      <c r="K13289" s="10" t="s">
        <v>24</v>
      </c>
    </row>
    <row r="13290" spans="1:11" ht="54" customHeight="1">
      <c r="A13290" s="9" t="s">
        <v>27101</v>
      </c>
      <c r="B13290" s="9" t="s">
        <v>27101</v>
      </c>
      <c r="C13290" s="9" t="s">
        <v>90</v>
      </c>
      <c r="D13290" s="9" t="s">
        <v>18</v>
      </c>
      <c r="E13290" s="10" t="s">
        <v>627</v>
      </c>
      <c r="F13290" s="9" t="s">
        <v>628</v>
      </c>
      <c r="G13290" s="10" t="s">
        <v>34</v>
      </c>
      <c r="H13290" s="9" t="s">
        <v>22</v>
      </c>
      <c r="I13290" s="9" t="s">
        <v>27102</v>
      </c>
      <c r="J13290" s="10" t="str">
        <f>HYPERLINK("https://www.boe.es/gazeta/dias/1834/09/22/pdfs/GMD-C-1834-220.pdf#page=1","Abrir facsímil")</f>
        <v>Abrir facsímil</v>
      </c>
      <c r="K13290" s="10" t="s">
        <v>24</v>
      </c>
    </row>
    <row r="13291" spans="1:11" ht="54" customHeight="1">
      <c r="A13291" s="9" t="s">
        <v>27103</v>
      </c>
      <c r="B13291" s="9" t="s">
        <v>27104</v>
      </c>
      <c r="C13291" s="9" t="s">
        <v>17</v>
      </c>
      <c r="D13291" s="9" t="s">
        <v>18</v>
      </c>
      <c r="E13291" s="10" t="s">
        <v>627</v>
      </c>
      <c r="F13291" s="9" t="s">
        <v>628</v>
      </c>
      <c r="G13291" s="10" t="s">
        <v>34</v>
      </c>
      <c r="H13291" s="9" t="s">
        <v>22</v>
      </c>
      <c r="I13291" s="9" t="s">
        <v>27105</v>
      </c>
      <c r="J13291" s="10" t="str">
        <f>HYPERLINK("https://www.boe.es/gazeta/dias/1834/09/22/pdfs/GMD-C-1834-220.pdf#page=1","Abrir facsímil")</f>
        <v>Abrir facsímil</v>
      </c>
      <c r="K13291" s="10" t="s">
        <v>24</v>
      </c>
    </row>
    <row r="13292" spans="1:11" ht="54" customHeight="1">
      <c r="A13292" s="9" t="s">
        <v>27106</v>
      </c>
      <c r="B13292" s="9" t="s">
        <v>27107</v>
      </c>
      <c r="C13292" s="9" t="s">
        <v>66</v>
      </c>
      <c r="D13292" s="9" t="s">
        <v>67</v>
      </c>
      <c r="E13292" s="10" t="s">
        <v>860</v>
      </c>
      <c r="F13292" s="9" t="s">
        <v>861</v>
      </c>
      <c r="G13292" s="10" t="s">
        <v>470</v>
      </c>
      <c r="H13292" s="9" t="s">
        <v>22</v>
      </c>
      <c r="I13292" s="9" t="s">
        <v>27108</v>
      </c>
      <c r="J13292" s="10" t="str">
        <f>HYPERLINK("https://www.boe.es/gazeta/dias/1834/02/08/pdfs/GMD-1834-18.pdf#page=8","Abrir facsímil")</f>
        <v>Abrir facsímil</v>
      </c>
      <c r="K13292" s="10" t="s">
        <v>24</v>
      </c>
    </row>
    <row r="13293" spans="1:11" ht="54" customHeight="1">
      <c r="A13293" s="9" t="s">
        <v>27109</v>
      </c>
      <c r="B13293" s="9" t="s">
        <v>27109</v>
      </c>
      <c r="C13293" s="9" t="s">
        <v>122</v>
      </c>
      <c r="D13293" s="9" t="s">
        <v>18</v>
      </c>
      <c r="E13293" s="10" t="s">
        <v>2398</v>
      </c>
      <c r="F13293" s="9" t="s">
        <v>2399</v>
      </c>
      <c r="G13293" s="10" t="s">
        <v>75</v>
      </c>
      <c r="H13293" s="9" t="s">
        <v>22</v>
      </c>
      <c r="I13293" s="9" t="s">
        <v>27110</v>
      </c>
      <c r="J13293" s="10" t="str">
        <f>HYPERLINK("https://www.boe.es/gazeta/dias/1834/01/16/pdfs/GMD-1834-8.pdf#page=4","Abrir facsímil")</f>
        <v>Abrir facsímil</v>
      </c>
      <c r="K13293" s="10" t="s">
        <v>24</v>
      </c>
    </row>
    <row r="13294" spans="1:11" ht="54" customHeight="1">
      <c r="A13294" s="9" t="s">
        <v>27111</v>
      </c>
      <c r="B13294" s="9" t="s">
        <v>27112</v>
      </c>
      <c r="C13294" s="9" t="s">
        <v>17</v>
      </c>
      <c r="D13294" s="9" t="s">
        <v>18</v>
      </c>
      <c r="E13294" s="10" t="s">
        <v>1883</v>
      </c>
      <c r="F13294" s="9" t="s">
        <v>1884</v>
      </c>
      <c r="G13294" s="10" t="s">
        <v>75</v>
      </c>
      <c r="H13294" s="9" t="s">
        <v>22</v>
      </c>
      <c r="I13294" s="9" t="s">
        <v>27113</v>
      </c>
      <c r="J13294" s="10" t="str">
        <f>HYPERLINK("https://www.boe.es/gazeta/dias/1834/01/11/pdfs/GMD-1834-6.pdf#page=4","Abrir facsímil")</f>
        <v>Abrir facsímil</v>
      </c>
      <c r="K13294" s="10" t="s">
        <v>24</v>
      </c>
    </row>
    <row r="13295" spans="1:11" ht="54" customHeight="1">
      <c r="A13295" s="9" t="s">
        <v>27114</v>
      </c>
      <c r="B13295" s="9" t="s">
        <v>27114</v>
      </c>
      <c r="C13295" s="9" t="s">
        <v>17</v>
      </c>
      <c r="D13295" s="9" t="s">
        <v>18</v>
      </c>
      <c r="E13295" s="10" t="s">
        <v>642</v>
      </c>
      <c r="F13295" s="9" t="s">
        <v>643</v>
      </c>
      <c r="G13295" s="10" t="s">
        <v>560</v>
      </c>
      <c r="H13295" s="9" t="s">
        <v>22</v>
      </c>
      <c r="I13295" s="9" t="s">
        <v>27115</v>
      </c>
      <c r="J13295" s="10" t="str">
        <f>HYPERLINK("https://www.boe.es/gazeta/dias/1834/11/12/pdfs/GMD-C-1834-271.pdf#page=7","Abrir facsímil")</f>
        <v>Abrir facsímil</v>
      </c>
      <c r="K13295" s="10" t="s">
        <v>24</v>
      </c>
    </row>
    <row r="13296" spans="1:11" ht="54" customHeight="1">
      <c r="A13296" s="9" t="s">
        <v>27116</v>
      </c>
      <c r="B13296" s="9" t="s">
        <v>27116</v>
      </c>
      <c r="C13296" s="9" t="s">
        <v>122</v>
      </c>
      <c r="D13296" s="9" t="s">
        <v>55</v>
      </c>
      <c r="E13296" s="10" t="s">
        <v>3054</v>
      </c>
      <c r="F13296" s="9" t="s">
        <v>3055</v>
      </c>
      <c r="G13296" s="10" t="s">
        <v>86</v>
      </c>
      <c r="H13296" s="9" t="s">
        <v>22</v>
      </c>
      <c r="I13296" s="9" t="s">
        <v>27117</v>
      </c>
      <c r="J13296" s="10" t="str">
        <f>HYPERLINK("https://www.boe.es/gazeta/dias/1834/10/06/pdfs/GMD-1834-234.pdf#page=2","Abrir facsímil")</f>
        <v>Abrir facsímil</v>
      </c>
      <c r="K13296" s="10" t="s">
        <v>24</v>
      </c>
    </row>
    <row r="13297" spans="1:11" ht="54" customHeight="1">
      <c r="A13297" s="9" t="s">
        <v>27118</v>
      </c>
      <c r="B13297" s="9" t="s">
        <v>27119</v>
      </c>
      <c r="C13297" s="9" t="s">
        <v>17</v>
      </c>
      <c r="D13297" s="9" t="s">
        <v>18</v>
      </c>
      <c r="E13297" s="10" t="s">
        <v>601</v>
      </c>
      <c r="F13297" s="9" t="s">
        <v>14585</v>
      </c>
      <c r="G13297" s="10" t="s">
        <v>75</v>
      </c>
      <c r="H13297" s="9" t="s">
        <v>22</v>
      </c>
      <c r="I13297" s="9" t="s">
        <v>27120</v>
      </c>
      <c r="J13297" s="10" t="str">
        <f>HYPERLINK("https://www.boe.es/gazeta/dias/1834/08/16/pdfs/GMD-C-1834-181.pdf#page=4","Abrir facsímil")</f>
        <v>Abrir facsímil</v>
      </c>
      <c r="K13297" s="10" t="s">
        <v>24</v>
      </c>
    </row>
    <row r="13298" spans="1:11" ht="54" customHeight="1">
      <c r="A13298" s="9" t="s">
        <v>27121</v>
      </c>
      <c r="B13298" s="9" t="s">
        <v>27122</v>
      </c>
      <c r="C13298" s="9" t="s">
        <v>46</v>
      </c>
      <c r="D13298" s="9" t="s">
        <v>18</v>
      </c>
      <c r="E13298" s="10" t="s">
        <v>506</v>
      </c>
      <c r="F13298" s="9" t="s">
        <v>507</v>
      </c>
      <c r="G13298" s="10" t="s">
        <v>75</v>
      </c>
      <c r="H13298" s="9" t="s">
        <v>22</v>
      </c>
      <c r="I13298" s="9" t="s">
        <v>27123</v>
      </c>
      <c r="J13298" s="10" t="str">
        <f>HYPERLINK("https://www.boe.es/gazeta/dias/1834/03/04/pdfs/GMD-1834-28.pdf#page=4","Abrir facsímil")</f>
        <v>Abrir facsímil</v>
      </c>
      <c r="K13298" s="10" t="s">
        <v>24</v>
      </c>
    </row>
    <row r="13299" spans="1:11" ht="54" customHeight="1">
      <c r="A13299" s="9" t="s">
        <v>27124</v>
      </c>
      <c r="B13299" s="9" t="s">
        <v>27124</v>
      </c>
      <c r="C13299" s="9" t="s">
        <v>17</v>
      </c>
      <c r="D13299" s="9" t="s">
        <v>18</v>
      </c>
      <c r="E13299" s="10" t="s">
        <v>1262</v>
      </c>
      <c r="F13299" s="9" t="s">
        <v>1263</v>
      </c>
      <c r="G13299" s="10" t="s">
        <v>21</v>
      </c>
      <c r="H13299" s="9" t="s">
        <v>22</v>
      </c>
      <c r="I13299" s="9" t="s">
        <v>27125</v>
      </c>
      <c r="J13299" s="10" t="str">
        <f>HYPERLINK("https://www.boe.es/gazeta/dias/1834/02/01/pdfs/GMD-1834-15.pdf#page=3","Abrir facsímil")</f>
        <v>Abrir facsímil</v>
      </c>
      <c r="K13299" s="10" t="s">
        <v>24</v>
      </c>
    </row>
    <row r="13300" spans="1:11" ht="54" customHeight="1">
      <c r="A13300" s="9" t="s">
        <v>27124</v>
      </c>
      <c r="B13300" s="9" t="s">
        <v>27124</v>
      </c>
      <c r="C13300" s="9" t="s">
        <v>66</v>
      </c>
      <c r="D13300" s="9" t="s">
        <v>67</v>
      </c>
      <c r="E13300" s="10" t="s">
        <v>1025</v>
      </c>
      <c r="F13300" s="9" t="s">
        <v>1026</v>
      </c>
      <c r="G13300" s="10" t="s">
        <v>28</v>
      </c>
      <c r="H13300" s="9" t="s">
        <v>22</v>
      </c>
      <c r="I13300" s="9" t="s">
        <v>27126</v>
      </c>
      <c r="J13300" s="10" t="str">
        <f>HYPERLINK("https://www.boe.es/gazeta/dias/1834/03/01/pdfs/GMD-1834-27.pdf#page=5","Abrir facsímil")</f>
        <v>Abrir facsímil</v>
      </c>
      <c r="K13300" s="10" t="s">
        <v>24</v>
      </c>
    </row>
    <row r="13301" spans="1:11" ht="54" customHeight="1">
      <c r="A13301" s="9" t="s">
        <v>27124</v>
      </c>
      <c r="B13301" s="9" t="s">
        <v>27124</v>
      </c>
      <c r="C13301" s="9" t="s">
        <v>66</v>
      </c>
      <c r="D13301" s="9" t="s">
        <v>67</v>
      </c>
      <c r="E13301" s="10" t="s">
        <v>1337</v>
      </c>
      <c r="F13301" s="9" t="s">
        <v>1338</v>
      </c>
      <c r="G13301" s="10" t="s">
        <v>21</v>
      </c>
      <c r="H13301" s="9" t="s">
        <v>22</v>
      </c>
      <c r="I13301" s="9" t="s">
        <v>27127</v>
      </c>
      <c r="J13301" s="10" t="str">
        <f>HYPERLINK("https://www.boe.es/gazeta/dias/1834/01/02/pdfs/GMD-1834-1.pdf#page=3","Abrir facsímil")</f>
        <v>Abrir facsímil</v>
      </c>
      <c r="K13301" s="10" t="s">
        <v>24</v>
      </c>
    </row>
    <row r="13302" spans="1:11" ht="54" customHeight="1">
      <c r="A13302" s="9" t="s">
        <v>27124</v>
      </c>
      <c r="B13302" s="9" t="s">
        <v>27124</v>
      </c>
      <c r="C13302" s="9" t="s">
        <v>66</v>
      </c>
      <c r="D13302" s="9" t="s">
        <v>18</v>
      </c>
      <c r="E13302" s="10" t="s">
        <v>1862</v>
      </c>
      <c r="F13302" s="9" t="s">
        <v>1908</v>
      </c>
      <c r="G13302" s="10" t="s">
        <v>34</v>
      </c>
      <c r="H13302" s="9" t="s">
        <v>22</v>
      </c>
      <c r="I13302" s="9" t="s">
        <v>27128</v>
      </c>
      <c r="J13302" s="10" t="str">
        <f>HYPERLINK("https://www.boe.es/gazeta/dias/1834/02/04/pdfs/GMD-C-1834-16.pdf#page=1","Abrir facsímil")</f>
        <v>Abrir facsímil</v>
      </c>
      <c r="K13302" s="10" t="s">
        <v>24</v>
      </c>
    </row>
    <row r="13303" spans="1:11" ht="54" customHeight="1">
      <c r="A13303" s="9" t="s">
        <v>27129</v>
      </c>
      <c r="B13303" s="9" t="s">
        <v>27129</v>
      </c>
      <c r="C13303" s="9" t="s">
        <v>66</v>
      </c>
      <c r="D13303" s="9" t="s">
        <v>67</v>
      </c>
      <c r="E13303" s="10" t="s">
        <v>3328</v>
      </c>
      <c r="F13303" s="9" t="s">
        <v>3329</v>
      </c>
      <c r="G13303" s="10" t="s">
        <v>21</v>
      </c>
      <c r="H13303" s="9" t="s">
        <v>22</v>
      </c>
      <c r="I13303" s="9" t="s">
        <v>27130</v>
      </c>
      <c r="J13303" s="10" t="str">
        <f>HYPERLINK("https://www.boe.es/gazeta/dias/1834/06/04/pdfs/GMD-1834-106.pdf#page=3","Abrir facsímil")</f>
        <v>Abrir facsímil</v>
      </c>
      <c r="K13303" s="10" t="s">
        <v>24</v>
      </c>
    </row>
    <row r="13304" spans="1:11" ht="54" customHeight="1">
      <c r="A13304" s="9" t="s">
        <v>27124</v>
      </c>
      <c r="B13304" s="9" t="s">
        <v>27124</v>
      </c>
      <c r="C13304" s="9" t="s">
        <v>66</v>
      </c>
      <c r="D13304" s="9" t="s">
        <v>18</v>
      </c>
      <c r="E13304" s="10" t="s">
        <v>426</v>
      </c>
      <c r="F13304" s="9" t="s">
        <v>427</v>
      </c>
      <c r="G13304" s="10" t="s">
        <v>21</v>
      </c>
      <c r="H13304" s="9" t="s">
        <v>22</v>
      </c>
      <c r="I13304" s="9" t="s">
        <v>27131</v>
      </c>
      <c r="J13304" s="10" t="str">
        <f>HYPERLINK("https://www.boe.es/gazeta/dias/1834/10/04/pdfs/GMD-1834-232.pdf#page=3","Abrir facsímil")</f>
        <v>Abrir facsímil</v>
      </c>
      <c r="K13304" s="10" t="s">
        <v>24</v>
      </c>
    </row>
    <row r="13305" spans="1:11" ht="54" customHeight="1">
      <c r="A13305" s="9" t="s">
        <v>27124</v>
      </c>
      <c r="B13305" s="9" t="s">
        <v>27124</v>
      </c>
      <c r="C13305" s="9" t="s">
        <v>17</v>
      </c>
      <c r="D13305" s="9" t="s">
        <v>18</v>
      </c>
      <c r="E13305" s="10" t="s">
        <v>860</v>
      </c>
      <c r="F13305" s="9" t="s">
        <v>861</v>
      </c>
      <c r="G13305" s="10" t="s">
        <v>176</v>
      </c>
      <c r="H13305" s="9" t="s">
        <v>22</v>
      </c>
      <c r="I13305" s="9" t="s">
        <v>27132</v>
      </c>
      <c r="J13305" s="10" t="str">
        <f>HYPERLINK("https://www.boe.es/gazeta/dias/1834/02/08/pdfs/GMD-1834-18.pdf#page=6","Abrir facsímil")</f>
        <v>Abrir facsímil</v>
      </c>
      <c r="K13305" s="10" t="s">
        <v>24</v>
      </c>
    </row>
    <row r="13306" spans="1:11" ht="54" customHeight="1">
      <c r="A13306" s="9" t="s">
        <v>27124</v>
      </c>
      <c r="B13306" s="9" t="s">
        <v>27124</v>
      </c>
      <c r="C13306" s="9" t="s">
        <v>66</v>
      </c>
      <c r="D13306" s="9" t="s">
        <v>67</v>
      </c>
      <c r="E13306" s="10" t="s">
        <v>1178</v>
      </c>
      <c r="F13306" s="9" t="s">
        <v>1179</v>
      </c>
      <c r="G13306" s="10" t="s">
        <v>34</v>
      </c>
      <c r="H13306" s="9" t="s">
        <v>22</v>
      </c>
      <c r="I13306" s="9" t="s">
        <v>27133</v>
      </c>
      <c r="J13306" s="10" t="str">
        <f>HYPERLINK("https://www.boe.es/gazeta/dias/1834/04/10/pdfs/GMD-C-1834-49.pdf#page=1","Abrir facsímil")</f>
        <v>Abrir facsímil</v>
      </c>
      <c r="K13306" s="10" t="s">
        <v>24</v>
      </c>
    </row>
    <row r="13307" spans="1:11" ht="54" customHeight="1">
      <c r="A13307" s="9" t="s">
        <v>27124</v>
      </c>
      <c r="B13307" s="9" t="s">
        <v>27124</v>
      </c>
      <c r="C13307" s="9" t="s">
        <v>66</v>
      </c>
      <c r="D13307" s="9" t="s">
        <v>67</v>
      </c>
      <c r="E13307" s="10" t="s">
        <v>1178</v>
      </c>
      <c r="F13307" s="9" t="s">
        <v>1179</v>
      </c>
      <c r="G13307" s="10" t="s">
        <v>86</v>
      </c>
      <c r="H13307" s="9" t="s">
        <v>22</v>
      </c>
      <c r="I13307" s="9" t="s">
        <v>27134</v>
      </c>
      <c r="J13307" s="10" t="str">
        <f>HYPERLINK("https://www.boe.es/gazeta/dias/1834/04/10/pdfs/GMD-C-1834-49.pdf#page=2","Abrir facsímil")</f>
        <v>Abrir facsímil</v>
      </c>
      <c r="K13307" s="10" t="s">
        <v>24</v>
      </c>
    </row>
    <row r="13308" spans="1:11" ht="54" customHeight="1">
      <c r="A13308" s="9" t="s">
        <v>27124</v>
      </c>
      <c r="B13308" s="9" t="s">
        <v>27124</v>
      </c>
      <c r="C13308" s="9" t="s">
        <v>17</v>
      </c>
      <c r="D13308" s="9" t="s">
        <v>40</v>
      </c>
      <c r="E13308" s="10" t="s">
        <v>441</v>
      </c>
      <c r="F13308" s="9" t="s">
        <v>442</v>
      </c>
      <c r="G13308" s="10" t="s">
        <v>75</v>
      </c>
      <c r="H13308" s="9" t="s">
        <v>22</v>
      </c>
      <c r="I13308" s="9" t="s">
        <v>27135</v>
      </c>
      <c r="J13308" s="10" t="str">
        <f>HYPERLINK("https://www.boe.es/gazeta/dias/1834/11/10/pdfs/GMD-1834-269.pdf#page=4","Abrir facsímil")</f>
        <v>Abrir facsímil</v>
      </c>
      <c r="K13308" s="10" t="s">
        <v>24</v>
      </c>
    </row>
    <row r="13309" spans="1:11" ht="54" customHeight="1">
      <c r="A13309" s="9" t="s">
        <v>27124</v>
      </c>
      <c r="B13309" s="9" t="s">
        <v>27124</v>
      </c>
      <c r="C13309" s="9" t="s">
        <v>66</v>
      </c>
      <c r="D13309" s="9" t="s">
        <v>67</v>
      </c>
      <c r="E13309" s="10" t="s">
        <v>785</v>
      </c>
      <c r="F13309" s="9" t="s">
        <v>786</v>
      </c>
      <c r="G13309" s="10" t="s">
        <v>21</v>
      </c>
      <c r="H13309" s="9" t="s">
        <v>22</v>
      </c>
      <c r="I13309" s="9" t="s">
        <v>27136</v>
      </c>
      <c r="J13309" s="10" t="str">
        <f>HYPERLINK("https://www.boe.es/gazeta/dias/1834/02/11/pdfs/GMD-1834-19.pdf#page=3","Abrir facsímil")</f>
        <v>Abrir facsímil</v>
      </c>
      <c r="K13309" s="10" t="s">
        <v>24</v>
      </c>
    </row>
    <row r="13310" spans="1:11" ht="54" customHeight="1">
      <c r="A13310" s="9" t="s">
        <v>27124</v>
      </c>
      <c r="B13310" s="9" t="s">
        <v>27124</v>
      </c>
      <c r="C13310" s="9" t="s">
        <v>17</v>
      </c>
      <c r="D13310" s="9" t="s">
        <v>40</v>
      </c>
      <c r="E13310" s="10" t="s">
        <v>348</v>
      </c>
      <c r="F13310" s="9" t="s">
        <v>349</v>
      </c>
      <c r="G13310" s="10" t="s">
        <v>34</v>
      </c>
      <c r="H13310" s="9" t="s">
        <v>22</v>
      </c>
      <c r="I13310" s="9" t="s">
        <v>27137</v>
      </c>
      <c r="J13310" s="10" t="str">
        <f>HYPERLINK("https://www.boe.es/gazeta/dias/1834/06/12/pdfs/GMD-C-1834-115.pdf#page=1","Abrir facsímil")</f>
        <v>Abrir facsímil</v>
      </c>
      <c r="K13310" s="10" t="s">
        <v>24</v>
      </c>
    </row>
    <row r="13311" spans="1:11" ht="54" customHeight="1">
      <c r="A13311" s="9" t="s">
        <v>27138</v>
      </c>
      <c r="B13311" s="9" t="s">
        <v>27138</v>
      </c>
      <c r="C13311" s="9" t="s">
        <v>17</v>
      </c>
      <c r="D13311" s="9" t="s">
        <v>18</v>
      </c>
      <c r="E13311" s="10" t="s">
        <v>912</v>
      </c>
      <c r="F13311" s="9" t="s">
        <v>913</v>
      </c>
      <c r="G13311" s="10" t="s">
        <v>28</v>
      </c>
      <c r="H13311" s="9" t="s">
        <v>22</v>
      </c>
      <c r="I13311" s="9" t="s">
        <v>27139</v>
      </c>
      <c r="J13311" s="10" t="str">
        <f>HYPERLINK("https://www.boe.es/gazeta/dias/1834/02/15/pdfs/GMD-1834-21.pdf#page=5","Abrir facsímil")</f>
        <v>Abrir facsímil</v>
      </c>
      <c r="K13311" s="10" t="s">
        <v>24</v>
      </c>
    </row>
    <row r="13312" spans="1:11" ht="54" customHeight="1">
      <c r="A13312" s="9" t="s">
        <v>27124</v>
      </c>
      <c r="B13312" s="9" t="s">
        <v>27124</v>
      </c>
      <c r="C13312" s="9" t="s">
        <v>66</v>
      </c>
      <c r="D13312" s="9" t="s">
        <v>67</v>
      </c>
      <c r="E13312" s="10" t="s">
        <v>1234</v>
      </c>
      <c r="F13312" s="9" t="s">
        <v>1455</v>
      </c>
      <c r="G13312" s="10" t="s">
        <v>21</v>
      </c>
      <c r="H13312" s="9" t="s">
        <v>22</v>
      </c>
      <c r="I13312" s="9" t="s">
        <v>27140</v>
      </c>
      <c r="J13312" s="10" t="str">
        <f>HYPERLINK("https://www.boe.es/gazeta/dias/1834/05/15/pdfs/GMD-1834-84.pdf#page=3","Abrir facsímil")</f>
        <v>Abrir facsímil</v>
      </c>
      <c r="K13312" s="10" t="s">
        <v>24</v>
      </c>
    </row>
    <row r="13313" spans="1:11" ht="54" customHeight="1">
      <c r="A13313" s="9" t="s">
        <v>27124</v>
      </c>
      <c r="B13313" s="9" t="s">
        <v>27124</v>
      </c>
      <c r="C13313" s="9" t="s">
        <v>66</v>
      </c>
      <c r="D13313" s="9" t="s">
        <v>67</v>
      </c>
      <c r="E13313" s="10" t="s">
        <v>1394</v>
      </c>
      <c r="F13313" s="9" t="s">
        <v>1395</v>
      </c>
      <c r="G13313" s="10" t="s">
        <v>75</v>
      </c>
      <c r="H13313" s="9" t="s">
        <v>22</v>
      </c>
      <c r="I13313" s="9" t="s">
        <v>27141</v>
      </c>
      <c r="J13313" s="10" t="str">
        <f>HYPERLINK("https://www.boe.es/gazeta/dias/1834/04/16/pdfs/GMD-1834-55.pdf#page=4","Abrir facsímil")</f>
        <v>Abrir facsímil</v>
      </c>
      <c r="K13313" s="10" t="s">
        <v>24</v>
      </c>
    </row>
    <row r="13314" spans="1:11" ht="54" customHeight="1">
      <c r="A13314" s="9" t="s">
        <v>27124</v>
      </c>
      <c r="B13314" s="9" t="s">
        <v>27124</v>
      </c>
      <c r="C13314" s="9" t="s">
        <v>66</v>
      </c>
      <c r="D13314" s="9" t="s">
        <v>67</v>
      </c>
      <c r="E13314" s="10" t="s">
        <v>1195</v>
      </c>
      <c r="F13314" s="9" t="s">
        <v>1916</v>
      </c>
      <c r="G13314" s="10" t="s">
        <v>21</v>
      </c>
      <c r="H13314" s="9" t="s">
        <v>22</v>
      </c>
      <c r="I13314" s="9" t="s">
        <v>27142</v>
      </c>
      <c r="J13314" s="10" t="str">
        <f>HYPERLINK("https://www.boe.es/gazeta/dias/1834/10/17/pdfs/GMD-1834-245.pdf#page=3","Abrir facsímil")</f>
        <v>Abrir facsímil</v>
      </c>
      <c r="K13314" s="10" t="s">
        <v>24</v>
      </c>
    </row>
    <row r="13315" spans="1:11" ht="54" customHeight="1">
      <c r="A13315" s="9" t="s">
        <v>27124</v>
      </c>
      <c r="B13315" s="9" t="s">
        <v>27124</v>
      </c>
      <c r="C13315" s="9" t="s">
        <v>17</v>
      </c>
      <c r="D13315" s="9" t="s">
        <v>18</v>
      </c>
      <c r="E13315" s="10" t="s">
        <v>8200</v>
      </c>
      <c r="F13315" s="9" t="s">
        <v>8201</v>
      </c>
      <c r="G13315" s="10" t="s">
        <v>86</v>
      </c>
      <c r="H13315" s="9" t="s">
        <v>22</v>
      </c>
      <c r="I13315" s="9" t="s">
        <v>27143</v>
      </c>
      <c r="J13315" s="10" t="str">
        <f>HYPERLINK("https://www.boe.es/gazeta/dias/1834/11/17/pdfs/GMD-1834-276.pdf#page=2","Abrir facsímil")</f>
        <v>Abrir facsímil</v>
      </c>
      <c r="K13315" s="10" t="s">
        <v>24</v>
      </c>
    </row>
    <row r="13316" spans="1:11" ht="54" customHeight="1">
      <c r="A13316" s="9" t="s">
        <v>27124</v>
      </c>
      <c r="B13316" s="9" t="s">
        <v>27124</v>
      </c>
      <c r="C13316" s="9" t="s">
        <v>66</v>
      </c>
      <c r="D13316" s="9" t="s">
        <v>18</v>
      </c>
      <c r="E13316" s="10" t="s">
        <v>148</v>
      </c>
      <c r="F13316" s="9" t="s">
        <v>149</v>
      </c>
      <c r="G13316" s="10" t="s">
        <v>21</v>
      </c>
      <c r="H13316" s="9" t="s">
        <v>22</v>
      </c>
      <c r="I13316" s="9" t="s">
        <v>27144</v>
      </c>
      <c r="J13316" s="10" t="str">
        <f>HYPERLINK("https://www.boe.es/gazeta/dias/1834/10/20/pdfs/GMD-1834-248.pdf#page=3","Abrir facsímil")</f>
        <v>Abrir facsímil</v>
      </c>
      <c r="K13316" s="10" t="s">
        <v>24</v>
      </c>
    </row>
    <row r="13317" spans="1:11" ht="54" customHeight="1">
      <c r="A13317" s="9" t="s">
        <v>27124</v>
      </c>
      <c r="B13317" s="9" t="s">
        <v>27124</v>
      </c>
      <c r="C13317" s="9" t="s">
        <v>17</v>
      </c>
      <c r="D13317" s="9" t="s">
        <v>18</v>
      </c>
      <c r="E13317" s="10" t="s">
        <v>1973</v>
      </c>
      <c r="F13317" s="9" t="s">
        <v>4832</v>
      </c>
      <c r="G13317" s="10" t="s">
        <v>75</v>
      </c>
      <c r="H13317" s="9" t="s">
        <v>22</v>
      </c>
      <c r="I13317" s="9" t="s">
        <v>27145</v>
      </c>
      <c r="J13317" s="10" t="str">
        <f>HYPERLINK("https://www.boe.es/gazeta/dias/1834/12/20/pdfs/GMD-1834-310.pdf#page=4","Abrir facsímil")</f>
        <v>Abrir facsímil</v>
      </c>
      <c r="K13317" s="10" t="s">
        <v>24</v>
      </c>
    </row>
    <row r="13318" spans="1:11" ht="54" customHeight="1">
      <c r="A13318" s="9" t="s">
        <v>27124</v>
      </c>
      <c r="B13318" s="9" t="s">
        <v>27124</v>
      </c>
      <c r="C13318" s="9" t="s">
        <v>17</v>
      </c>
      <c r="D13318" s="9" t="s">
        <v>18</v>
      </c>
      <c r="E13318" s="10" t="s">
        <v>1918</v>
      </c>
      <c r="F13318" s="9" t="s">
        <v>1919</v>
      </c>
      <c r="G13318" s="10" t="s">
        <v>75</v>
      </c>
      <c r="H13318" s="9" t="s">
        <v>22</v>
      </c>
      <c r="I13318" s="9" t="s">
        <v>27146</v>
      </c>
      <c r="J13318" s="10" t="str">
        <f>HYPERLINK("https://www.boe.es/gazeta/dias/1834/03/22/pdfs/GMD-1834-36.pdf#page=4","Abrir facsímil")</f>
        <v>Abrir facsímil</v>
      </c>
      <c r="K13318" s="10" t="s">
        <v>24</v>
      </c>
    </row>
    <row r="13319" spans="1:11" ht="54" customHeight="1">
      <c r="A13319" s="9" t="s">
        <v>27124</v>
      </c>
      <c r="B13319" s="9" t="s">
        <v>27124</v>
      </c>
      <c r="C13319" s="9" t="s">
        <v>46</v>
      </c>
      <c r="D13319" s="9" t="s">
        <v>40</v>
      </c>
      <c r="E13319" s="10" t="s">
        <v>8279</v>
      </c>
      <c r="F13319" s="9" t="s">
        <v>8280</v>
      </c>
      <c r="G13319" s="10" t="s">
        <v>75</v>
      </c>
      <c r="H13319" s="9" t="s">
        <v>22</v>
      </c>
      <c r="I13319" s="9" t="s">
        <v>27147</v>
      </c>
      <c r="J13319" s="10" t="str">
        <f>HYPERLINK("https://www.boe.es/gazeta/dias/1834/04/22/pdfs/GMD-1834-61.pdf#page=4","Abrir facsímil")</f>
        <v>Abrir facsímil</v>
      </c>
      <c r="K13319" s="10" t="s">
        <v>24</v>
      </c>
    </row>
    <row r="13320" spans="1:11" ht="54" customHeight="1">
      <c r="A13320" s="9" t="s">
        <v>27138</v>
      </c>
      <c r="B13320" s="9" t="s">
        <v>27138</v>
      </c>
      <c r="C13320" s="9" t="s">
        <v>66</v>
      </c>
      <c r="D13320" s="9" t="s">
        <v>67</v>
      </c>
      <c r="E13320" s="10" t="s">
        <v>1323</v>
      </c>
      <c r="F13320" s="9" t="s">
        <v>1324</v>
      </c>
      <c r="G13320" s="10" t="s">
        <v>21</v>
      </c>
      <c r="H13320" s="9" t="s">
        <v>22</v>
      </c>
      <c r="I13320" s="9" t="s">
        <v>27148</v>
      </c>
      <c r="J13320" s="10" t="str">
        <f>HYPERLINK("https://www.boe.es/gazeta/dias/1834/05/22/pdfs/GMD-1834-91.pdf#page=3","Abrir facsímil")</f>
        <v>Abrir facsímil</v>
      </c>
      <c r="K13320" s="10" t="s">
        <v>24</v>
      </c>
    </row>
    <row r="13321" spans="1:11" ht="54" customHeight="1">
      <c r="A13321" s="9" t="s">
        <v>27124</v>
      </c>
      <c r="B13321" s="9" t="s">
        <v>27124</v>
      </c>
      <c r="C13321" s="9" t="s">
        <v>66</v>
      </c>
      <c r="D13321" s="9" t="s">
        <v>67</v>
      </c>
      <c r="E13321" s="10" t="s">
        <v>702</v>
      </c>
      <c r="F13321" s="9" t="s">
        <v>2427</v>
      </c>
      <c r="G13321" s="10" t="s">
        <v>75</v>
      </c>
      <c r="H13321" s="9" t="s">
        <v>22</v>
      </c>
      <c r="I13321" s="9" t="s">
        <v>27149</v>
      </c>
      <c r="J13321" s="10" t="str">
        <f>HYPERLINK("https://www.boe.es/gazeta/dias/1834/11/22/pdfs/GMD-1834-281.pdf#page=4","Abrir facsímil")</f>
        <v>Abrir facsímil</v>
      </c>
      <c r="K13321" s="10" t="s">
        <v>24</v>
      </c>
    </row>
    <row r="13322" spans="1:11" ht="54" customHeight="1">
      <c r="A13322" s="9" t="s">
        <v>27124</v>
      </c>
      <c r="B13322" s="9" t="s">
        <v>27124</v>
      </c>
      <c r="C13322" s="9" t="s">
        <v>66</v>
      </c>
      <c r="D13322" s="9" t="s">
        <v>67</v>
      </c>
      <c r="E13322" s="10" t="s">
        <v>833</v>
      </c>
      <c r="F13322" s="9" t="s">
        <v>834</v>
      </c>
      <c r="G13322" s="10" t="s">
        <v>75</v>
      </c>
      <c r="H13322" s="9" t="s">
        <v>22</v>
      </c>
      <c r="I13322" s="9" t="s">
        <v>27150</v>
      </c>
      <c r="J13322" s="10" t="str">
        <f>HYPERLINK("https://www.boe.es/gazeta/dias/1834/04/24/pdfs/GMD-1834-63.pdf#page=4","Abrir facsímil")</f>
        <v>Abrir facsímil</v>
      </c>
      <c r="K13322" s="10" t="s">
        <v>24</v>
      </c>
    </row>
    <row r="13323" spans="1:11" ht="54" customHeight="1">
      <c r="A13323" s="9" t="s">
        <v>27124</v>
      </c>
      <c r="B13323" s="9" t="s">
        <v>27124</v>
      </c>
      <c r="C13323" s="9" t="s">
        <v>66</v>
      </c>
      <c r="D13323" s="9" t="s">
        <v>40</v>
      </c>
      <c r="E13323" s="10" t="s">
        <v>3499</v>
      </c>
      <c r="F13323" s="9" t="s">
        <v>3500</v>
      </c>
      <c r="G13323" s="10" t="s">
        <v>75</v>
      </c>
      <c r="H13323" s="9" t="s">
        <v>22</v>
      </c>
      <c r="I13323" s="9" t="s">
        <v>27151</v>
      </c>
      <c r="J13323" s="10" t="str">
        <f>HYPERLINK("https://www.boe.es/gazeta/dias/1834/01/28/pdfs/GMD-1834-13.pdf#page=4","Abrir facsímil")</f>
        <v>Abrir facsímil</v>
      </c>
      <c r="K13323" s="10" t="s">
        <v>24</v>
      </c>
    </row>
    <row r="13324" spans="1:11" ht="54" customHeight="1">
      <c r="A13324" s="9" t="s">
        <v>27124</v>
      </c>
      <c r="B13324" s="9" t="s">
        <v>27124</v>
      </c>
      <c r="C13324" s="9" t="s">
        <v>66</v>
      </c>
      <c r="D13324" s="9" t="s">
        <v>67</v>
      </c>
      <c r="E13324" s="10" t="s">
        <v>1284</v>
      </c>
      <c r="F13324" s="9" t="s">
        <v>1285</v>
      </c>
      <c r="G13324" s="10" t="s">
        <v>21</v>
      </c>
      <c r="H13324" s="9" t="s">
        <v>22</v>
      </c>
      <c r="I13324" s="9" t="s">
        <v>27152</v>
      </c>
      <c r="J13324" s="10" t="str">
        <f>HYPERLINK("https://www.boe.es/gazeta/dias/1834/11/28/pdfs/GMD-1834-287.pdf#page=3","Abrir facsímil")</f>
        <v>Abrir facsímil</v>
      </c>
      <c r="K13324" s="10" t="s">
        <v>24</v>
      </c>
    </row>
    <row r="13325" spans="1:11" ht="54" customHeight="1">
      <c r="A13325" s="9" t="s">
        <v>27124</v>
      </c>
      <c r="B13325" s="9" t="s">
        <v>27124</v>
      </c>
      <c r="C13325" s="9" t="s">
        <v>66</v>
      </c>
      <c r="D13325" s="9" t="s">
        <v>67</v>
      </c>
      <c r="E13325" s="10" t="s">
        <v>899</v>
      </c>
      <c r="F13325" s="9" t="s">
        <v>900</v>
      </c>
      <c r="G13325" s="10" t="s">
        <v>470</v>
      </c>
      <c r="H13325" s="9" t="s">
        <v>22</v>
      </c>
      <c r="I13325" s="9" t="s">
        <v>27153</v>
      </c>
      <c r="J13325" s="10" t="str">
        <f>HYPERLINK("https://www.boe.es/gazeta/dias/1834/01/30/pdfs/GMD-1834-14.pdf#page=8","Abrir facsímil")</f>
        <v>Abrir facsímil</v>
      </c>
      <c r="K13325" s="10" t="s">
        <v>24</v>
      </c>
    </row>
    <row r="13326" spans="1:11" ht="54" customHeight="1">
      <c r="A13326" s="9" t="s">
        <v>27154</v>
      </c>
      <c r="B13326" s="9" t="s">
        <v>27155</v>
      </c>
      <c r="C13326" s="9" t="s">
        <v>66</v>
      </c>
      <c r="D13326" s="9" t="s">
        <v>18</v>
      </c>
      <c r="E13326" s="10" t="s">
        <v>26</v>
      </c>
      <c r="F13326" s="9" t="s">
        <v>818</v>
      </c>
      <c r="G13326" s="10" t="s">
        <v>21</v>
      </c>
      <c r="H13326" s="9" t="s">
        <v>22</v>
      </c>
      <c r="I13326" s="9" t="s">
        <v>27156</v>
      </c>
      <c r="J13326" s="10" t="str">
        <f>HYPERLINK("https://www.boe.es/gazeta/dias/1834/10/19/pdfs/GMD-1834-247.pdf#page=3","Abrir facsímil")</f>
        <v>Abrir facsímil</v>
      </c>
      <c r="K13326" s="10" t="s">
        <v>24</v>
      </c>
    </row>
    <row r="13327" spans="1:11" ht="54" customHeight="1">
      <c r="A13327" s="9" t="s">
        <v>27157</v>
      </c>
      <c r="B13327" s="9" t="s">
        <v>27158</v>
      </c>
      <c r="C13327" s="9" t="s">
        <v>66</v>
      </c>
      <c r="D13327" s="9" t="s">
        <v>67</v>
      </c>
      <c r="E13327" s="10" t="s">
        <v>1337</v>
      </c>
      <c r="F13327" s="9" t="s">
        <v>1906</v>
      </c>
      <c r="G13327" s="10" t="s">
        <v>86</v>
      </c>
      <c r="H13327" s="9" t="s">
        <v>35</v>
      </c>
      <c r="I13327" s="9" t="s">
        <v>27159</v>
      </c>
      <c r="J13327" s="10" t="str">
        <f>HYPERLINK("https://www.boe.es/gazeta/dias/1834/01/02/pdfs/GMD-1834-2E.pdf#page=2","Abrir facsímil")</f>
        <v>Abrir facsímil</v>
      </c>
      <c r="K13327" s="10" t="s">
        <v>37</v>
      </c>
    </row>
    <row r="13328" spans="1:11" ht="54" customHeight="1">
      <c r="A13328" s="9" t="s">
        <v>27157</v>
      </c>
      <c r="B13328" s="9" t="s">
        <v>27158</v>
      </c>
      <c r="C13328" s="9" t="s">
        <v>17</v>
      </c>
      <c r="D13328" s="9" t="s">
        <v>18</v>
      </c>
      <c r="E13328" s="10" t="s">
        <v>1170</v>
      </c>
      <c r="F13328" s="9" t="s">
        <v>1171</v>
      </c>
      <c r="G13328" s="10" t="s">
        <v>28</v>
      </c>
      <c r="H13328" s="9" t="s">
        <v>35</v>
      </c>
      <c r="I13328" s="9" t="s">
        <v>27160</v>
      </c>
      <c r="J13328" s="10" t="str">
        <f>HYPERLINK("https://www.boe.es/gazeta/dias/1834/01/07/pdfs/GMD-1834-4.pdf#page=5","Abrir facsímil")</f>
        <v>Abrir facsímil</v>
      </c>
      <c r="K13328" s="10" t="s">
        <v>37</v>
      </c>
    </row>
    <row r="13329" spans="1:11" ht="54" customHeight="1">
      <c r="A13329" s="9" t="s">
        <v>27161</v>
      </c>
      <c r="B13329" s="9" t="s">
        <v>27162</v>
      </c>
      <c r="C13329" s="9" t="s">
        <v>17</v>
      </c>
      <c r="D13329" s="9" t="s">
        <v>18</v>
      </c>
      <c r="E13329" s="10" t="s">
        <v>1850</v>
      </c>
      <c r="F13329" s="9" t="s">
        <v>1851</v>
      </c>
      <c r="G13329" s="10" t="s">
        <v>176</v>
      </c>
      <c r="H13329" s="9" t="s">
        <v>35</v>
      </c>
      <c r="I13329" s="9" t="s">
        <v>27163</v>
      </c>
      <c r="J13329" s="10" t="str">
        <f>HYPERLINK("https://www.boe.es/gazeta/dias/1834/02/18/pdfs/GMD-1834-22.pdf#page=6","Abrir facsímil")</f>
        <v>Abrir facsímil</v>
      </c>
      <c r="K13329" s="10" t="s">
        <v>37</v>
      </c>
    </row>
    <row r="13330" spans="1:11" ht="54" customHeight="1">
      <c r="A13330" s="9" t="s">
        <v>27164</v>
      </c>
      <c r="B13330" s="9" t="s">
        <v>27165</v>
      </c>
      <c r="C13330" s="9" t="s">
        <v>17</v>
      </c>
      <c r="D13330" s="9" t="s">
        <v>18</v>
      </c>
      <c r="E13330" s="10" t="s">
        <v>454</v>
      </c>
      <c r="F13330" s="9" t="s">
        <v>2009</v>
      </c>
      <c r="G13330" s="10" t="s">
        <v>21</v>
      </c>
      <c r="H13330" s="9" t="s">
        <v>22</v>
      </c>
      <c r="I13330" s="9" t="s">
        <v>27166</v>
      </c>
      <c r="J13330" s="10" t="str">
        <f>HYPERLINK("https://www.boe.es/gazeta/dias/1834/10/16/pdfs/GMD-1834-244.pdf#page=3","Abrir facsímil")</f>
        <v>Abrir facsímil</v>
      </c>
      <c r="K13330" s="10" t="s">
        <v>24</v>
      </c>
    </row>
    <row r="13331" spans="1:11" ht="54" customHeight="1">
      <c r="A13331" s="9" t="s">
        <v>27167</v>
      </c>
      <c r="B13331" s="9" t="s">
        <v>27168</v>
      </c>
      <c r="C13331" s="9" t="s">
        <v>66</v>
      </c>
      <c r="D13331" s="9" t="s">
        <v>67</v>
      </c>
      <c r="E13331" s="10" t="s">
        <v>1262</v>
      </c>
      <c r="F13331" s="9" t="s">
        <v>1263</v>
      </c>
      <c r="G13331" s="10" t="s">
        <v>75</v>
      </c>
      <c r="H13331" s="9" t="s">
        <v>22</v>
      </c>
      <c r="I13331" s="9" t="s">
        <v>27169</v>
      </c>
      <c r="J13331" s="10" t="str">
        <f>HYPERLINK("https://www.boe.es/gazeta/dias/1834/02/01/pdfs/GMD-1834-15.pdf#page=4","Abrir facsímil")</f>
        <v>Abrir facsímil</v>
      </c>
      <c r="K13331" s="10" t="s">
        <v>24</v>
      </c>
    </row>
    <row r="13332" spans="1:11" ht="54" customHeight="1">
      <c r="A13332" s="9" t="s">
        <v>27167</v>
      </c>
      <c r="B13332" s="9" t="s">
        <v>27168</v>
      </c>
      <c r="C13332" s="9" t="s">
        <v>66</v>
      </c>
      <c r="D13332" s="9" t="s">
        <v>67</v>
      </c>
      <c r="E13332" s="10" t="s">
        <v>1337</v>
      </c>
      <c r="F13332" s="9" t="s">
        <v>1906</v>
      </c>
      <c r="G13332" s="10" t="s">
        <v>34</v>
      </c>
      <c r="H13332" s="9" t="s">
        <v>22</v>
      </c>
      <c r="I13332" s="9" t="s">
        <v>27170</v>
      </c>
      <c r="J13332" s="10" t="str">
        <f>HYPERLINK("https://www.boe.es/gazeta/dias/1834/01/02/pdfs/GMD-1834-2E.pdf#page=1","Abrir facsímil")</f>
        <v>Abrir facsímil</v>
      </c>
      <c r="K13332" s="10" t="s">
        <v>24</v>
      </c>
    </row>
    <row r="13333" spans="1:11" ht="54" customHeight="1">
      <c r="A13333" s="9" t="s">
        <v>27167</v>
      </c>
      <c r="B13333" s="9" t="s">
        <v>27168</v>
      </c>
      <c r="C13333" s="9" t="s">
        <v>66</v>
      </c>
      <c r="D13333" s="9" t="s">
        <v>67</v>
      </c>
      <c r="E13333" s="10" t="s">
        <v>1337</v>
      </c>
      <c r="F13333" s="9" t="s">
        <v>1906</v>
      </c>
      <c r="G13333" s="10" t="s">
        <v>86</v>
      </c>
      <c r="H13333" s="9" t="s">
        <v>22</v>
      </c>
      <c r="I13333" s="9" t="s">
        <v>27171</v>
      </c>
      <c r="J13333" s="10" t="str">
        <f>HYPERLINK("https://www.boe.es/gazeta/dias/1834/01/02/pdfs/GMD-1834-2E.pdf#page=2","Abrir facsímil")</f>
        <v>Abrir facsímil</v>
      </c>
      <c r="K13333" s="10" t="s">
        <v>24</v>
      </c>
    </row>
    <row r="13334" spans="1:11" ht="54" customHeight="1">
      <c r="A13334" s="9" t="s">
        <v>27167</v>
      </c>
      <c r="B13334" s="9" t="s">
        <v>27168</v>
      </c>
      <c r="C13334" s="9" t="s">
        <v>17</v>
      </c>
      <c r="D13334" s="9" t="s">
        <v>18</v>
      </c>
      <c r="E13334" s="10" t="s">
        <v>1170</v>
      </c>
      <c r="F13334" s="9" t="s">
        <v>1171</v>
      </c>
      <c r="G13334" s="10" t="s">
        <v>28</v>
      </c>
      <c r="H13334" s="9" t="s">
        <v>22</v>
      </c>
      <c r="I13334" s="9" t="s">
        <v>27172</v>
      </c>
      <c r="J13334" s="10" t="str">
        <f>HYPERLINK("https://www.boe.es/gazeta/dias/1834/01/07/pdfs/GMD-1834-4.pdf#page=5","Abrir facsímil")</f>
        <v>Abrir facsímil</v>
      </c>
      <c r="K13334" s="10" t="s">
        <v>24</v>
      </c>
    </row>
    <row r="13335" spans="1:11" ht="54" customHeight="1">
      <c r="A13335" s="9" t="s">
        <v>27167</v>
      </c>
      <c r="B13335" s="9" t="s">
        <v>27168</v>
      </c>
      <c r="C13335" s="9" t="s">
        <v>17</v>
      </c>
      <c r="D13335" s="9" t="s">
        <v>18</v>
      </c>
      <c r="E13335" s="10" t="s">
        <v>1170</v>
      </c>
      <c r="F13335" s="9" t="s">
        <v>1171</v>
      </c>
      <c r="G13335" s="10" t="s">
        <v>176</v>
      </c>
      <c r="H13335" s="9" t="s">
        <v>22</v>
      </c>
      <c r="I13335" s="9" t="s">
        <v>27173</v>
      </c>
      <c r="J13335" s="10" t="str">
        <f>HYPERLINK("https://www.boe.es/gazeta/dias/1834/01/07/pdfs/GMD-1834-4.pdf#page=6","Abrir facsímil")</f>
        <v>Abrir facsímil</v>
      </c>
      <c r="K13335" s="10" t="s">
        <v>24</v>
      </c>
    </row>
    <row r="13336" spans="1:11" ht="54" customHeight="1">
      <c r="A13336" s="9" t="s">
        <v>27174</v>
      </c>
      <c r="B13336" s="9" t="s">
        <v>27175</v>
      </c>
      <c r="C13336" s="9" t="s">
        <v>17</v>
      </c>
      <c r="D13336" s="9" t="s">
        <v>18</v>
      </c>
      <c r="E13336" s="10" t="s">
        <v>1850</v>
      </c>
      <c r="F13336" s="9" t="s">
        <v>1851</v>
      </c>
      <c r="G13336" s="10" t="s">
        <v>176</v>
      </c>
      <c r="H13336" s="9" t="s">
        <v>22</v>
      </c>
      <c r="I13336" s="9" t="s">
        <v>27176</v>
      </c>
      <c r="J13336" s="10" t="str">
        <f>HYPERLINK("https://www.boe.es/gazeta/dias/1834/02/18/pdfs/GMD-1834-22.pdf#page=6","Abrir facsímil")</f>
        <v>Abrir facsímil</v>
      </c>
      <c r="K13336" s="10" t="s">
        <v>24</v>
      </c>
    </row>
    <row r="13337" spans="1:11" ht="54" customHeight="1">
      <c r="A13337" s="9" t="s">
        <v>27177</v>
      </c>
      <c r="B13337" s="9" t="s">
        <v>27178</v>
      </c>
      <c r="C13337" s="9" t="s">
        <v>90</v>
      </c>
      <c r="D13337" s="9" t="s">
        <v>18</v>
      </c>
      <c r="E13337" s="10" t="s">
        <v>448</v>
      </c>
      <c r="F13337" s="9" t="s">
        <v>449</v>
      </c>
      <c r="G13337" s="10" t="s">
        <v>34</v>
      </c>
      <c r="H13337" s="9" t="s">
        <v>35</v>
      </c>
      <c r="I13337" s="9" t="s">
        <v>27179</v>
      </c>
      <c r="J13337" s="10" t="str">
        <f>HYPERLINK("https://www.boe.es/gazeta/dias/1834/10/14/pdfs/GMD-C-1834-242.pdf#page=1","Abrir facsímil")</f>
        <v>Abrir facsímil</v>
      </c>
      <c r="K13337" s="10" t="s">
        <v>37</v>
      </c>
    </row>
    <row r="13338" spans="1:11" ht="54" customHeight="1">
      <c r="A13338" s="9" t="s">
        <v>27180</v>
      </c>
      <c r="B13338" s="9" t="s">
        <v>27181</v>
      </c>
      <c r="C13338" s="9" t="s">
        <v>90</v>
      </c>
      <c r="D13338" s="9" t="s">
        <v>18</v>
      </c>
      <c r="E13338" s="10" t="s">
        <v>448</v>
      </c>
      <c r="F13338" s="9" t="s">
        <v>449</v>
      </c>
      <c r="G13338" s="10" t="s">
        <v>34</v>
      </c>
      <c r="H13338" s="9" t="s">
        <v>22</v>
      </c>
      <c r="I13338" s="9" t="s">
        <v>27182</v>
      </c>
      <c r="J13338" s="10" t="str">
        <f>HYPERLINK("https://www.boe.es/gazeta/dias/1834/10/14/pdfs/GMD-C-1834-242.pdf#page=1","Abrir facsímil")</f>
        <v>Abrir facsímil</v>
      </c>
      <c r="K13338" s="10" t="s">
        <v>24</v>
      </c>
    </row>
    <row r="13339" spans="1:11" ht="54" customHeight="1">
      <c r="A13339" s="9" t="s">
        <v>27183</v>
      </c>
      <c r="B13339" s="9" t="s">
        <v>27184</v>
      </c>
      <c r="C13339" s="9" t="s">
        <v>17</v>
      </c>
      <c r="D13339" s="9" t="s">
        <v>40</v>
      </c>
      <c r="E13339" s="10" t="s">
        <v>448</v>
      </c>
      <c r="F13339" s="9" t="s">
        <v>449</v>
      </c>
      <c r="G13339" s="10" t="s">
        <v>34</v>
      </c>
      <c r="H13339" s="9" t="s">
        <v>22</v>
      </c>
      <c r="I13339" s="9" t="s">
        <v>27185</v>
      </c>
      <c r="J13339" s="10" t="str">
        <f>HYPERLINK("https://www.boe.es/gazeta/dias/1834/10/14/pdfs/GMD-C-1834-242.pdf#page=1","Abrir facsímil")</f>
        <v>Abrir facsímil</v>
      </c>
      <c r="K13339" s="10" t="s">
        <v>24</v>
      </c>
    </row>
    <row r="13340" spans="1:11" ht="54" customHeight="1">
      <c r="A13340" s="9" t="s">
        <v>27186</v>
      </c>
      <c r="B13340" s="9" t="s">
        <v>27186</v>
      </c>
      <c r="C13340" s="9" t="s">
        <v>17</v>
      </c>
      <c r="D13340" s="9" t="s">
        <v>18</v>
      </c>
      <c r="E13340" s="10" t="s">
        <v>3083</v>
      </c>
      <c r="F13340" s="9" t="s">
        <v>3084</v>
      </c>
      <c r="G13340" s="10" t="s">
        <v>86</v>
      </c>
      <c r="H13340" s="9" t="s">
        <v>22</v>
      </c>
      <c r="I13340" s="9" t="s">
        <v>27187</v>
      </c>
      <c r="J13340" s="10" t="str">
        <f>HYPERLINK("https://www.boe.es/gazeta/dias/1834/10/30/pdfs/GMD-1834-258.pdf#page=2","Abrir facsímil")</f>
        <v>Abrir facsímil</v>
      </c>
      <c r="K13340" s="10" t="s">
        <v>24</v>
      </c>
    </row>
    <row r="13341" spans="1:11" ht="54" customHeight="1">
      <c r="A13341" s="9" t="s">
        <v>27188</v>
      </c>
      <c r="B13341" s="9" t="s">
        <v>27188</v>
      </c>
      <c r="C13341" s="9" t="s">
        <v>17</v>
      </c>
      <c r="D13341" s="9" t="s">
        <v>18</v>
      </c>
      <c r="E13341" s="10" t="s">
        <v>2287</v>
      </c>
      <c r="F13341" s="9" t="s">
        <v>4741</v>
      </c>
      <c r="G13341" s="10" t="s">
        <v>75</v>
      </c>
      <c r="H13341" s="9" t="s">
        <v>22</v>
      </c>
      <c r="I13341" s="9" t="s">
        <v>27189</v>
      </c>
      <c r="J13341" s="10" t="str">
        <f>HYPERLINK("https://www.boe.es/gazeta/dias/1834/12/18/pdfs/GMD-1834-308.pdf#page=4","Abrir facsímil")</f>
        <v>Abrir facsímil</v>
      </c>
      <c r="K13341" s="10" t="s">
        <v>24</v>
      </c>
    </row>
    <row r="13342" spans="1:11" ht="54" customHeight="1">
      <c r="A13342" s="9" t="s">
        <v>27190</v>
      </c>
      <c r="B13342" s="9" t="s">
        <v>27191</v>
      </c>
      <c r="C13342" s="9" t="s">
        <v>17</v>
      </c>
      <c r="D13342" s="9" t="s">
        <v>18</v>
      </c>
      <c r="E13342" s="10" t="s">
        <v>4105</v>
      </c>
      <c r="F13342" s="9" t="s">
        <v>4106</v>
      </c>
      <c r="G13342" s="10" t="s">
        <v>34</v>
      </c>
      <c r="H13342" s="9" t="s">
        <v>35</v>
      </c>
      <c r="I13342" s="9" t="s">
        <v>27192</v>
      </c>
      <c r="J13342" s="10" t="str">
        <f>HYPERLINK("https://www.boe.es/gazeta/dias/1834/09/02/pdfs/GMD-C-1834-200.pdf#page=1","Abrir facsímil")</f>
        <v>Abrir facsímil</v>
      </c>
      <c r="K13342" s="10" t="s">
        <v>37</v>
      </c>
    </row>
    <row r="13343" spans="1:11" ht="54" customHeight="1">
      <c r="A13343" s="9" t="s">
        <v>27190</v>
      </c>
      <c r="B13343" s="9" t="s">
        <v>27191</v>
      </c>
      <c r="C13343" s="9" t="s">
        <v>17</v>
      </c>
      <c r="D13343" s="9" t="s">
        <v>18</v>
      </c>
      <c r="E13343" s="10" t="s">
        <v>3471</v>
      </c>
      <c r="F13343" s="9" t="s">
        <v>3472</v>
      </c>
      <c r="G13343" s="10" t="s">
        <v>21</v>
      </c>
      <c r="H13343" s="9" t="s">
        <v>35</v>
      </c>
      <c r="I13343" s="9" t="s">
        <v>27193</v>
      </c>
      <c r="J13343" s="10" t="str">
        <f>HYPERLINK("https://www.boe.es/gazeta/dias/1834/07/07/pdfs/GMD-1834-140.pdf#page=3","Abrir facsímil")</f>
        <v>Abrir facsímil</v>
      </c>
      <c r="K13343" s="10" t="s">
        <v>37</v>
      </c>
    </row>
    <row r="13344" spans="1:11" ht="54" customHeight="1">
      <c r="A13344" s="9" t="s">
        <v>27194</v>
      </c>
      <c r="B13344" s="9" t="s">
        <v>27195</v>
      </c>
      <c r="C13344" s="9" t="s">
        <v>17</v>
      </c>
      <c r="D13344" s="9" t="s">
        <v>18</v>
      </c>
      <c r="E13344" s="10" t="s">
        <v>255</v>
      </c>
      <c r="F13344" s="9" t="s">
        <v>256</v>
      </c>
      <c r="G13344" s="10" t="s">
        <v>34</v>
      </c>
      <c r="H13344" s="9" t="s">
        <v>22</v>
      </c>
      <c r="I13344" s="9" t="s">
        <v>27196</v>
      </c>
      <c r="J13344" s="10" t="str">
        <f>HYPERLINK("https://www.boe.es/gazeta/dias/1834/09/01/pdfs/GMD-D-1834-199.pdf#page=1","Abrir facsímil")</f>
        <v>Abrir facsímil</v>
      </c>
      <c r="K13344" s="10" t="s">
        <v>24</v>
      </c>
    </row>
    <row r="13345" spans="1:11" ht="54" customHeight="1">
      <c r="A13345" s="9" t="s">
        <v>27194</v>
      </c>
      <c r="B13345" s="9" t="s">
        <v>27195</v>
      </c>
      <c r="C13345" s="9" t="s">
        <v>17</v>
      </c>
      <c r="D13345" s="9" t="s">
        <v>18</v>
      </c>
      <c r="E13345" s="10" t="s">
        <v>4105</v>
      </c>
      <c r="F13345" s="9" t="s">
        <v>4106</v>
      </c>
      <c r="G13345" s="10" t="s">
        <v>34</v>
      </c>
      <c r="H13345" s="9" t="s">
        <v>22</v>
      </c>
      <c r="I13345" s="9" t="s">
        <v>27197</v>
      </c>
      <c r="J13345" s="10" t="str">
        <f>HYPERLINK("https://www.boe.es/gazeta/dias/1834/09/02/pdfs/GMD-C-1834-200.pdf#page=1","Abrir facsímil")</f>
        <v>Abrir facsímil</v>
      </c>
      <c r="K13345" s="10" t="s">
        <v>24</v>
      </c>
    </row>
    <row r="13346" spans="1:11" ht="54" customHeight="1">
      <c r="A13346" s="9" t="s">
        <v>27194</v>
      </c>
      <c r="B13346" s="9" t="s">
        <v>27195</v>
      </c>
      <c r="C13346" s="9" t="s">
        <v>17</v>
      </c>
      <c r="D13346" s="9" t="s">
        <v>18</v>
      </c>
      <c r="E13346" s="10" t="s">
        <v>3471</v>
      </c>
      <c r="F13346" s="9" t="s">
        <v>3472</v>
      </c>
      <c r="G13346" s="10" t="s">
        <v>21</v>
      </c>
      <c r="H13346" s="9" t="s">
        <v>22</v>
      </c>
      <c r="I13346" s="9" t="s">
        <v>27198</v>
      </c>
      <c r="J13346" s="10" t="str">
        <f>HYPERLINK("https://www.boe.es/gazeta/dias/1834/07/07/pdfs/GMD-1834-140.pdf#page=3","Abrir facsímil")</f>
        <v>Abrir facsímil</v>
      </c>
      <c r="K13346" s="10" t="s">
        <v>24</v>
      </c>
    </row>
    <row r="13347" spans="1:11" ht="54" customHeight="1">
      <c r="A13347" s="9" t="s">
        <v>27199</v>
      </c>
      <c r="B13347" s="9" t="s">
        <v>27199</v>
      </c>
      <c r="C13347" s="9" t="s">
        <v>17</v>
      </c>
      <c r="D13347" s="9" t="s">
        <v>18</v>
      </c>
      <c r="E13347" s="10" t="s">
        <v>919</v>
      </c>
      <c r="F13347" s="9" t="s">
        <v>920</v>
      </c>
      <c r="G13347" s="10" t="s">
        <v>21</v>
      </c>
      <c r="H13347" s="9" t="s">
        <v>22</v>
      </c>
      <c r="I13347" s="9" t="s">
        <v>27200</v>
      </c>
      <c r="J13347" s="10" t="str">
        <f>HYPERLINK("https://www.boe.es/gazeta/dias/1834/06/24/pdfs/GMD-1834-127.pdf#page=3","Abrir facsímil")</f>
        <v>Abrir facsímil</v>
      </c>
      <c r="K13347" s="10" t="s">
        <v>24</v>
      </c>
    </row>
    <row r="13348" spans="1:11" ht="54" customHeight="1">
      <c r="A13348" s="9" t="s">
        <v>27201</v>
      </c>
      <c r="B13348" s="9" t="s">
        <v>27201</v>
      </c>
      <c r="C13348" s="9" t="s">
        <v>66</v>
      </c>
      <c r="D13348" s="9" t="s">
        <v>18</v>
      </c>
      <c r="E13348" s="10" t="s">
        <v>524</v>
      </c>
      <c r="F13348" s="9" t="s">
        <v>4743</v>
      </c>
      <c r="G13348" s="10" t="s">
        <v>21</v>
      </c>
      <c r="H13348" s="9" t="s">
        <v>22</v>
      </c>
      <c r="I13348" s="9" t="s">
        <v>27202</v>
      </c>
      <c r="J13348" s="10" t="str">
        <f>HYPERLINK("https://www.boe.es/gazeta/dias/1834/12/25/pdfs/GMD-1834-315.pdf#page=3","Abrir facsímil")</f>
        <v>Abrir facsímil</v>
      </c>
      <c r="K13348" s="10" t="s">
        <v>24</v>
      </c>
    </row>
    <row r="13349" spans="1:11" ht="54" customHeight="1">
      <c r="A13349" s="9" t="s">
        <v>27203</v>
      </c>
      <c r="B13349" s="9" t="s">
        <v>27204</v>
      </c>
      <c r="C13349" s="9" t="s">
        <v>66</v>
      </c>
      <c r="D13349" s="9" t="s">
        <v>101</v>
      </c>
      <c r="E13349" s="10" t="s">
        <v>1234</v>
      </c>
      <c r="F13349" s="9" t="s">
        <v>1455</v>
      </c>
      <c r="G13349" s="10" t="s">
        <v>86</v>
      </c>
      <c r="H13349" s="9" t="s">
        <v>22</v>
      </c>
      <c r="I13349" s="9" t="s">
        <v>27205</v>
      </c>
      <c r="J13349" s="10" t="str">
        <f>HYPERLINK("https://www.boe.es/gazeta/dias/1834/05/15/pdfs/GMD-1834-84.pdf#page=2","Abrir facsímil")</f>
        <v>Abrir facsímil</v>
      </c>
      <c r="K13349" s="10" t="s">
        <v>24</v>
      </c>
    </row>
    <row r="13350" spans="1:11" ht="54" customHeight="1">
      <c r="A13350" s="9" t="s">
        <v>27206</v>
      </c>
      <c r="B13350" s="9" t="s">
        <v>27207</v>
      </c>
      <c r="C13350" s="9" t="s">
        <v>17</v>
      </c>
      <c r="D13350" s="9" t="s">
        <v>18</v>
      </c>
      <c r="E13350" s="10" t="s">
        <v>237</v>
      </c>
      <c r="F13350" s="9" t="s">
        <v>4609</v>
      </c>
      <c r="G13350" s="10" t="s">
        <v>21</v>
      </c>
      <c r="H13350" s="9" t="s">
        <v>22</v>
      </c>
      <c r="I13350" s="9" t="s">
        <v>27208</v>
      </c>
      <c r="J13350" s="10" t="str">
        <f>HYPERLINK("https://www.boe.es/gazeta/dias/1834/08/15/pdfs/GMD-1834-180.pdf#page=3","Abrir facsímil")</f>
        <v>Abrir facsímil</v>
      </c>
      <c r="K13350" s="10" t="s">
        <v>24</v>
      </c>
    </row>
    <row r="13351" spans="1:11" ht="54" customHeight="1">
      <c r="A13351" s="9" t="s">
        <v>27209</v>
      </c>
      <c r="B13351" s="9" t="s">
        <v>27210</v>
      </c>
      <c r="C13351" s="9" t="s">
        <v>90</v>
      </c>
      <c r="D13351" s="9" t="s">
        <v>101</v>
      </c>
      <c r="E13351" s="10" t="s">
        <v>777</v>
      </c>
      <c r="F13351" s="9" t="s">
        <v>778</v>
      </c>
      <c r="G13351" s="10" t="s">
        <v>21</v>
      </c>
      <c r="H13351" s="9" t="s">
        <v>22</v>
      </c>
      <c r="I13351" s="9" t="s">
        <v>27211</v>
      </c>
      <c r="J13351" s="10" t="str">
        <f>HYPERLINK("https://www.boe.es/gazeta/dias/1834/10/29/pdfs/GMD-1834-257.pdf#page=3","Abrir facsímil")</f>
        <v>Abrir facsímil</v>
      </c>
      <c r="K13351" s="10" t="s">
        <v>24</v>
      </c>
    </row>
    <row r="13352" spans="1:11" ht="54" customHeight="1">
      <c r="A13352" s="9" t="s">
        <v>27212</v>
      </c>
      <c r="B13352" s="9" t="s">
        <v>27213</v>
      </c>
      <c r="C13352" s="9" t="s">
        <v>66</v>
      </c>
      <c r="D13352" s="9" t="s">
        <v>67</v>
      </c>
      <c r="E13352" s="10" t="s">
        <v>1234</v>
      </c>
      <c r="F13352" s="9" t="s">
        <v>1455</v>
      </c>
      <c r="G13352" s="10" t="s">
        <v>21</v>
      </c>
      <c r="H13352" s="9" t="s">
        <v>35</v>
      </c>
      <c r="I13352" s="9" t="s">
        <v>27214</v>
      </c>
      <c r="J13352" s="10" t="str">
        <f>HYPERLINK("https://www.boe.es/gazeta/dias/1834/05/15/pdfs/GMD-1834-84.pdf#page=3","Abrir facsímil")</f>
        <v>Abrir facsímil</v>
      </c>
      <c r="K13352" s="10" t="s">
        <v>37</v>
      </c>
    </row>
    <row r="13353" spans="1:11" ht="54" customHeight="1">
      <c r="A13353" s="9" t="s">
        <v>27215</v>
      </c>
      <c r="B13353" s="9" t="s">
        <v>27216</v>
      </c>
      <c r="C13353" s="9" t="s">
        <v>17</v>
      </c>
      <c r="D13353" s="9" t="s">
        <v>18</v>
      </c>
      <c r="E13353" s="10" t="s">
        <v>251</v>
      </c>
      <c r="F13353" s="9" t="s">
        <v>1278</v>
      </c>
      <c r="G13353" s="10" t="s">
        <v>75</v>
      </c>
      <c r="H13353" s="9" t="s">
        <v>35</v>
      </c>
      <c r="I13353" s="9" t="s">
        <v>27217</v>
      </c>
      <c r="J13353" s="10" t="str">
        <f>HYPERLINK("https://www.boe.es/gazeta/dias/1834/09/26/pdfs/GMD-1834-224.pdf#page=4","Abrir facsímil")</f>
        <v>Abrir facsímil</v>
      </c>
      <c r="K13353" s="10" t="s">
        <v>37</v>
      </c>
    </row>
    <row r="13354" spans="1:11" ht="54" customHeight="1">
      <c r="A13354" s="9" t="s">
        <v>27218</v>
      </c>
      <c r="B13354" s="9" t="s">
        <v>27219</v>
      </c>
      <c r="C13354" s="9" t="s">
        <v>17</v>
      </c>
      <c r="D13354" s="9" t="s">
        <v>18</v>
      </c>
      <c r="E13354" s="10" t="s">
        <v>251</v>
      </c>
      <c r="F13354" s="9" t="s">
        <v>1278</v>
      </c>
      <c r="G13354" s="10" t="s">
        <v>75</v>
      </c>
      <c r="H13354" s="9" t="s">
        <v>22</v>
      </c>
      <c r="I13354" s="9" t="s">
        <v>27220</v>
      </c>
      <c r="J13354" s="10" t="str">
        <f>HYPERLINK("https://www.boe.es/gazeta/dias/1834/09/26/pdfs/GMD-1834-224.pdf#page=4","Abrir facsímil")</f>
        <v>Abrir facsímil</v>
      </c>
      <c r="K13354" s="10" t="s">
        <v>24</v>
      </c>
    </row>
    <row r="13355" spans="1:11" ht="54" customHeight="1">
      <c r="A13355" s="9" t="s">
        <v>27221</v>
      </c>
      <c r="B13355" s="9" t="s">
        <v>27221</v>
      </c>
      <c r="C13355" s="9" t="s">
        <v>17</v>
      </c>
      <c r="D13355" s="9" t="s">
        <v>18</v>
      </c>
      <c r="E13355" s="10" t="s">
        <v>1178</v>
      </c>
      <c r="F13355" s="9" t="s">
        <v>1179</v>
      </c>
      <c r="G13355" s="10" t="s">
        <v>34</v>
      </c>
      <c r="H13355" s="9" t="s">
        <v>22</v>
      </c>
      <c r="I13355" s="9" t="s">
        <v>27222</v>
      </c>
      <c r="J13355" s="10" t="str">
        <f>HYPERLINK("https://www.boe.es/gazeta/dias/1834/04/10/pdfs/GMD-C-1834-49.pdf#page=1","Abrir facsímil")</f>
        <v>Abrir facsímil</v>
      </c>
      <c r="K13355" s="10" t="s">
        <v>24</v>
      </c>
    </row>
    <row r="13356" spans="1:11" ht="54" customHeight="1">
      <c r="A13356" s="9" t="s">
        <v>27223</v>
      </c>
      <c r="B13356" s="9" t="s">
        <v>27223</v>
      </c>
      <c r="C13356" s="9" t="s">
        <v>17</v>
      </c>
      <c r="D13356" s="9" t="s">
        <v>18</v>
      </c>
      <c r="E13356" s="10" t="s">
        <v>96</v>
      </c>
      <c r="F13356" s="9" t="s">
        <v>97</v>
      </c>
      <c r="G13356" s="10" t="s">
        <v>86</v>
      </c>
      <c r="H13356" s="9" t="s">
        <v>22</v>
      </c>
      <c r="I13356" s="9" t="s">
        <v>27224</v>
      </c>
      <c r="J13356" s="10" t="str">
        <f>HYPERLINK("https://www.boe.es/gazeta/dias/1834/11/11/pdfs/GMD-C-1834-270.pdf#page=2","Abrir facsímil")</f>
        <v>Abrir facsímil</v>
      </c>
      <c r="K13356" s="10" t="s">
        <v>24</v>
      </c>
    </row>
    <row r="13357" spans="1:11" ht="54" customHeight="1">
      <c r="A13357" s="9" t="s">
        <v>27223</v>
      </c>
      <c r="B13357" s="9" t="s">
        <v>27223</v>
      </c>
      <c r="C13357" s="9" t="s">
        <v>17</v>
      </c>
      <c r="D13357" s="9" t="s">
        <v>18</v>
      </c>
      <c r="E13357" s="10" t="s">
        <v>3036</v>
      </c>
      <c r="F13357" s="9" t="s">
        <v>3037</v>
      </c>
      <c r="G13357" s="10" t="s">
        <v>21</v>
      </c>
      <c r="H13357" s="9" t="s">
        <v>22</v>
      </c>
      <c r="I13357" s="9" t="s">
        <v>27225</v>
      </c>
      <c r="J13357" s="10" t="str">
        <f>HYPERLINK("https://www.boe.es/gazeta/dias/1834/11/18/pdfs/GMD-C-1834-277.pdf#page=3","Abrir facsímil")</f>
        <v>Abrir facsímil</v>
      </c>
      <c r="K13357" s="10" t="s">
        <v>24</v>
      </c>
    </row>
    <row r="13358" spans="1:11" ht="54" customHeight="1">
      <c r="A13358" s="9" t="s">
        <v>27223</v>
      </c>
      <c r="B13358" s="9" t="s">
        <v>27223</v>
      </c>
      <c r="C13358" s="9" t="s">
        <v>17</v>
      </c>
      <c r="D13358" s="9" t="s">
        <v>18</v>
      </c>
      <c r="E13358" s="10" t="s">
        <v>378</v>
      </c>
      <c r="F13358" s="9" t="s">
        <v>888</v>
      </c>
      <c r="G13358" s="10" t="s">
        <v>75</v>
      </c>
      <c r="H13358" s="9" t="s">
        <v>22</v>
      </c>
      <c r="I13358" s="9" t="s">
        <v>27226</v>
      </c>
      <c r="J13358" s="10" t="str">
        <f>HYPERLINK("https://www.boe.es/gazeta/dias/1834/09/24/pdfs/GMD-C-1834-222.pdf#page=4","Abrir facsímil")</f>
        <v>Abrir facsímil</v>
      </c>
      <c r="K13358" s="10" t="s">
        <v>24</v>
      </c>
    </row>
    <row r="13359" spans="1:11" ht="54" customHeight="1">
      <c r="A13359" s="9" t="s">
        <v>27227</v>
      </c>
      <c r="B13359" s="9" t="s">
        <v>27228</v>
      </c>
      <c r="C13359" s="9" t="s">
        <v>122</v>
      </c>
      <c r="D13359" s="9" t="s">
        <v>18</v>
      </c>
      <c r="E13359" s="10" t="s">
        <v>1351</v>
      </c>
      <c r="F13359" s="9" t="s">
        <v>1352</v>
      </c>
      <c r="G13359" s="10" t="s">
        <v>75</v>
      </c>
      <c r="H13359" s="9" t="s">
        <v>35</v>
      </c>
      <c r="I13359" s="9" t="s">
        <v>27229</v>
      </c>
      <c r="J13359" s="10" t="str">
        <f>HYPERLINK("https://www.boe.es/gazeta/dias/1834/07/05/pdfs/GMD-1834-138.pdf#page=4","Abrir facsímil")</f>
        <v>Abrir facsímil</v>
      </c>
      <c r="K13359" s="10" t="s">
        <v>37</v>
      </c>
    </row>
    <row r="13360" spans="1:11" ht="54" customHeight="1">
      <c r="A13360" s="9" t="s">
        <v>27230</v>
      </c>
      <c r="B13360" s="9" t="s">
        <v>27231</v>
      </c>
      <c r="C13360" s="9" t="s">
        <v>122</v>
      </c>
      <c r="D13360" s="9" t="s">
        <v>18</v>
      </c>
      <c r="E13360" s="10" t="s">
        <v>1351</v>
      </c>
      <c r="F13360" s="9" t="s">
        <v>1352</v>
      </c>
      <c r="G13360" s="10" t="s">
        <v>75</v>
      </c>
      <c r="H13360" s="9" t="s">
        <v>22</v>
      </c>
      <c r="I13360" s="9" t="s">
        <v>27232</v>
      </c>
      <c r="J13360" s="10" t="str">
        <f>HYPERLINK("https://www.boe.es/gazeta/dias/1834/07/05/pdfs/GMD-1834-138.pdf#page=4","Abrir facsímil")</f>
        <v>Abrir facsímil</v>
      </c>
      <c r="K13360" s="10" t="s">
        <v>24</v>
      </c>
    </row>
    <row r="13361" spans="1:11" ht="54" customHeight="1">
      <c r="A13361" s="9" t="s">
        <v>27233</v>
      </c>
      <c r="B13361" s="9" t="s">
        <v>27233</v>
      </c>
      <c r="C13361" s="9" t="s">
        <v>46</v>
      </c>
      <c r="D13361" s="9" t="s">
        <v>55</v>
      </c>
      <c r="E13361" s="10" t="s">
        <v>1695</v>
      </c>
      <c r="F13361" s="9" t="s">
        <v>1696</v>
      </c>
      <c r="G13361" s="10" t="s">
        <v>34</v>
      </c>
      <c r="H13361" s="9" t="s">
        <v>22</v>
      </c>
      <c r="I13361" s="9" t="s">
        <v>27234</v>
      </c>
      <c r="J13361" s="10" t="str">
        <f>HYPERLINK("https://www.boe.es/gazeta/dias/1834/06/30/pdfs/GMD-1834-133.pdf#page=1","Abrir facsímil")</f>
        <v>Abrir facsímil</v>
      </c>
      <c r="K13361" s="10" t="s">
        <v>24</v>
      </c>
    </row>
    <row r="13362" spans="1:11" ht="54" customHeight="1">
      <c r="A13362" s="9" t="s">
        <v>27235</v>
      </c>
      <c r="B13362" s="9" t="s">
        <v>27235</v>
      </c>
      <c r="C13362" s="9" t="s">
        <v>17</v>
      </c>
      <c r="D13362" s="9" t="s">
        <v>18</v>
      </c>
      <c r="E13362" s="10" t="s">
        <v>462</v>
      </c>
      <c r="F13362" s="9" t="s">
        <v>2110</v>
      </c>
      <c r="G13362" s="10" t="s">
        <v>86</v>
      </c>
      <c r="H13362" s="9" t="s">
        <v>22</v>
      </c>
      <c r="I13362" s="9" t="s">
        <v>27236</v>
      </c>
      <c r="J13362" s="10" t="str">
        <f>HYPERLINK("https://www.boe.es/gazeta/dias/1834/08/27/pdfs/GMD-1834-193.pdf#page=2","Abrir facsímil")</f>
        <v>Abrir facsímil</v>
      </c>
      <c r="K13362" s="10" t="s">
        <v>24</v>
      </c>
    </row>
    <row r="13363" spans="1:11" ht="54" customHeight="1">
      <c r="A13363" s="9" t="s">
        <v>27237</v>
      </c>
      <c r="B13363" s="9" t="s">
        <v>27238</v>
      </c>
      <c r="C13363" s="9" t="s">
        <v>17</v>
      </c>
      <c r="D13363" s="9" t="s">
        <v>18</v>
      </c>
      <c r="E13363" s="10" t="s">
        <v>823</v>
      </c>
      <c r="F13363" s="9" t="s">
        <v>824</v>
      </c>
      <c r="G13363" s="10" t="s">
        <v>28</v>
      </c>
      <c r="H13363" s="9" t="s">
        <v>22</v>
      </c>
      <c r="I13363" s="9" t="s">
        <v>27239</v>
      </c>
      <c r="J13363" s="10" t="str">
        <f>HYPERLINK("https://www.boe.es/gazeta/dias/1834/07/23/pdfs/GMD-1834-156.pdf#page=5","Abrir facsímil")</f>
        <v>Abrir facsímil</v>
      </c>
      <c r="K13363" s="10" t="s">
        <v>24</v>
      </c>
    </row>
    <row r="13364" spans="1:11" ht="54" customHeight="1">
      <c r="A13364" s="9" t="s">
        <v>27240</v>
      </c>
      <c r="B13364" s="9" t="s">
        <v>27240</v>
      </c>
      <c r="C13364" s="9" t="s">
        <v>66</v>
      </c>
      <c r="D13364" s="9" t="s">
        <v>67</v>
      </c>
      <c r="E13364" s="10" t="s">
        <v>1704</v>
      </c>
      <c r="F13364" s="9" t="s">
        <v>1705</v>
      </c>
      <c r="G13364" s="10" t="s">
        <v>21</v>
      </c>
      <c r="H13364" s="9" t="s">
        <v>22</v>
      </c>
      <c r="I13364" s="9" t="s">
        <v>27241</v>
      </c>
      <c r="J13364" s="10" t="str">
        <f>HYPERLINK("https://www.boe.es/gazeta/dias/1834/12/02/pdfs/GMD-1834-291.pdf#page=3","Abrir facsímil")</f>
        <v>Abrir facsímil</v>
      </c>
      <c r="K13364" s="10" t="s">
        <v>24</v>
      </c>
    </row>
    <row r="13365" spans="1:11" ht="54" customHeight="1">
      <c r="A13365" s="9" t="s">
        <v>27240</v>
      </c>
      <c r="B13365" s="9" t="s">
        <v>27240</v>
      </c>
      <c r="C13365" s="9" t="s">
        <v>66</v>
      </c>
      <c r="D13365" s="9" t="s">
        <v>18</v>
      </c>
      <c r="E13365" s="10" t="s">
        <v>2218</v>
      </c>
      <c r="F13365" s="9" t="s">
        <v>2219</v>
      </c>
      <c r="G13365" s="10" t="s">
        <v>21</v>
      </c>
      <c r="H13365" s="9" t="s">
        <v>22</v>
      </c>
      <c r="I13365" s="9" t="s">
        <v>27242</v>
      </c>
      <c r="J13365" s="10" t="str">
        <f>HYPERLINK("https://www.boe.es/gazeta/dias/1834/11/05/pdfs/GMD-1834-264.pdf#page=3","Abrir facsímil")</f>
        <v>Abrir facsímil</v>
      </c>
      <c r="K13365" s="10" t="s">
        <v>24</v>
      </c>
    </row>
    <row r="13366" spans="1:11" ht="54" customHeight="1">
      <c r="A13366" s="9" t="s">
        <v>27240</v>
      </c>
      <c r="B13366" s="9" t="s">
        <v>27240</v>
      </c>
      <c r="C13366" s="9" t="s">
        <v>17</v>
      </c>
      <c r="D13366" s="9" t="s">
        <v>18</v>
      </c>
      <c r="E13366" s="10" t="s">
        <v>1170</v>
      </c>
      <c r="F13366" s="9" t="s">
        <v>1171</v>
      </c>
      <c r="G13366" s="10" t="s">
        <v>28</v>
      </c>
      <c r="H13366" s="9" t="s">
        <v>22</v>
      </c>
      <c r="I13366" s="9" t="s">
        <v>27243</v>
      </c>
      <c r="J13366" s="10" t="str">
        <f>HYPERLINK("https://www.boe.es/gazeta/dias/1834/01/07/pdfs/GMD-1834-4.pdf#page=5","Abrir facsímil")</f>
        <v>Abrir facsímil</v>
      </c>
      <c r="K13366" s="10" t="s">
        <v>24</v>
      </c>
    </row>
    <row r="13367" spans="1:11" ht="54" customHeight="1">
      <c r="A13367" s="9" t="s">
        <v>27240</v>
      </c>
      <c r="B13367" s="9" t="s">
        <v>27240</v>
      </c>
      <c r="C13367" s="9" t="s">
        <v>66</v>
      </c>
      <c r="D13367" s="9" t="s">
        <v>67</v>
      </c>
      <c r="E13367" s="10" t="s">
        <v>3170</v>
      </c>
      <c r="F13367" s="9" t="s">
        <v>3171</v>
      </c>
      <c r="G13367" s="10" t="s">
        <v>21</v>
      </c>
      <c r="H13367" s="9" t="s">
        <v>22</v>
      </c>
      <c r="I13367" s="9" t="s">
        <v>27244</v>
      </c>
      <c r="J13367" s="10" t="str">
        <f>HYPERLINK("https://www.boe.es/gazeta/dias/1834/12/07/pdfs/GMD-1834-296.pdf#page=3","Abrir facsímil")</f>
        <v>Abrir facsímil</v>
      </c>
      <c r="K13367" s="10" t="s">
        <v>24</v>
      </c>
    </row>
    <row r="13368" spans="1:11" ht="54" customHeight="1">
      <c r="A13368" s="9" t="s">
        <v>27240</v>
      </c>
      <c r="B13368" s="9" t="s">
        <v>27240</v>
      </c>
      <c r="C13368" s="9" t="s">
        <v>66</v>
      </c>
      <c r="D13368" s="9" t="s">
        <v>40</v>
      </c>
      <c r="E13368" s="10" t="s">
        <v>1268</v>
      </c>
      <c r="F13368" s="9" t="s">
        <v>1269</v>
      </c>
      <c r="G13368" s="10" t="s">
        <v>75</v>
      </c>
      <c r="H13368" s="9" t="s">
        <v>22</v>
      </c>
      <c r="I13368" s="9" t="s">
        <v>27245</v>
      </c>
      <c r="J13368" s="10" t="str">
        <f>HYPERLINK("https://www.boe.es/gazeta/dias/1834/12/09/pdfs/GMD-1834-298.pdf#page=4","Abrir facsímil")</f>
        <v>Abrir facsímil</v>
      </c>
      <c r="K13368" s="10" t="s">
        <v>24</v>
      </c>
    </row>
    <row r="13369" spans="1:11" ht="54" customHeight="1">
      <c r="A13369" s="9" t="s">
        <v>27240</v>
      </c>
      <c r="B13369" s="9" t="s">
        <v>27240</v>
      </c>
      <c r="C13369" s="9" t="s">
        <v>66</v>
      </c>
      <c r="D13369" s="9" t="s">
        <v>67</v>
      </c>
      <c r="E13369" s="10" t="s">
        <v>265</v>
      </c>
      <c r="F13369" s="9" t="s">
        <v>969</v>
      </c>
      <c r="G13369" s="10" t="s">
        <v>21</v>
      </c>
      <c r="H13369" s="9" t="s">
        <v>22</v>
      </c>
      <c r="I13369" s="9" t="s">
        <v>27246</v>
      </c>
      <c r="J13369" s="10" t="str">
        <f>HYPERLINK("https://www.boe.es/gazeta/dias/1834/11/19/pdfs/GMD-1834-278.pdf#page=3","Abrir facsímil")</f>
        <v>Abrir facsímil</v>
      </c>
      <c r="K13369" s="10" t="s">
        <v>24</v>
      </c>
    </row>
    <row r="13370" spans="1:11" ht="54" customHeight="1">
      <c r="A13370" s="9" t="s">
        <v>27247</v>
      </c>
      <c r="B13370" s="9" t="s">
        <v>27248</v>
      </c>
      <c r="C13370" s="9" t="s">
        <v>66</v>
      </c>
      <c r="D13370" s="9" t="s">
        <v>67</v>
      </c>
      <c r="E13370" s="10" t="s">
        <v>299</v>
      </c>
      <c r="F13370" s="9" t="s">
        <v>300</v>
      </c>
      <c r="G13370" s="10" t="s">
        <v>75</v>
      </c>
      <c r="H13370" s="9" t="s">
        <v>22</v>
      </c>
      <c r="I13370" s="9" t="s">
        <v>27249</v>
      </c>
      <c r="J13370" s="10" t="str">
        <f>HYPERLINK("https://www.boe.es/gazeta/dias/1834/12/12/pdfs/GMD-1834-301.pdf#page=4","Abrir facsímil")</f>
        <v>Abrir facsímil</v>
      </c>
      <c r="K13370" s="10" t="s">
        <v>24</v>
      </c>
    </row>
    <row r="13371" spans="1:11" ht="54" customHeight="1">
      <c r="A13371" s="9" t="s">
        <v>27250</v>
      </c>
      <c r="B13371" s="9" t="s">
        <v>27251</v>
      </c>
      <c r="C13371" s="9" t="s">
        <v>17</v>
      </c>
      <c r="D13371" s="9" t="s">
        <v>18</v>
      </c>
      <c r="E13371" s="10" t="s">
        <v>1234</v>
      </c>
      <c r="F13371" s="9" t="s">
        <v>1455</v>
      </c>
      <c r="G13371" s="10" t="s">
        <v>75</v>
      </c>
      <c r="H13371" s="9" t="s">
        <v>22</v>
      </c>
      <c r="I13371" s="9" t="s">
        <v>27252</v>
      </c>
      <c r="J13371" s="10" t="str">
        <f>HYPERLINK("https://www.boe.es/gazeta/dias/1834/05/15/pdfs/GMD-1834-84.pdf#page=4","Abrir facsímil")</f>
        <v>Abrir facsímil</v>
      </c>
      <c r="K13371" s="10" t="s">
        <v>24</v>
      </c>
    </row>
    <row r="13372" spans="1:11" ht="54" customHeight="1">
      <c r="A13372" s="9" t="s">
        <v>27253</v>
      </c>
      <c r="B13372" s="9" t="s">
        <v>27253</v>
      </c>
      <c r="C13372" s="9" t="s">
        <v>66</v>
      </c>
      <c r="D13372" s="9" t="s">
        <v>67</v>
      </c>
      <c r="E13372" s="10" t="s">
        <v>32</v>
      </c>
      <c r="F13372" s="9" t="s">
        <v>33</v>
      </c>
      <c r="G13372" s="10" t="s">
        <v>75</v>
      </c>
      <c r="H13372" s="9" t="s">
        <v>22</v>
      </c>
      <c r="I13372" s="9" t="s">
        <v>27254</v>
      </c>
      <c r="J13372" s="10" t="str">
        <f>HYPERLINK("https://www.boe.es/gazeta/dias/1834/04/23/pdfs/GMD-1834-62.pdf#page=4","Abrir facsímil")</f>
        <v>Abrir facsímil</v>
      </c>
      <c r="K13372" s="10" t="s">
        <v>24</v>
      </c>
    </row>
    <row r="13373" spans="1:11" ht="54" customHeight="1">
      <c r="A13373" s="9" t="s">
        <v>27255</v>
      </c>
      <c r="B13373" s="9" t="s">
        <v>27256</v>
      </c>
      <c r="C13373" s="9" t="s">
        <v>17</v>
      </c>
      <c r="D13373" s="9" t="s">
        <v>18</v>
      </c>
      <c r="E13373" s="10" t="s">
        <v>183</v>
      </c>
      <c r="F13373" s="9" t="s">
        <v>184</v>
      </c>
      <c r="G13373" s="10" t="s">
        <v>75</v>
      </c>
      <c r="H13373" s="9" t="s">
        <v>22</v>
      </c>
      <c r="I13373" s="9" t="s">
        <v>27257</v>
      </c>
      <c r="J13373" s="10" t="str">
        <f>HYPERLINK("https://www.boe.es/gazeta/dias/1834/03/18/pdfs/GMD-1834-34.pdf#page=4","Abrir facsímil")</f>
        <v>Abrir facsímil</v>
      </c>
      <c r="K13373" s="10" t="s">
        <v>24</v>
      </c>
    </row>
    <row r="13374" spans="1:11" ht="54" customHeight="1">
      <c r="A13374" s="9" t="s">
        <v>27258</v>
      </c>
      <c r="B13374" s="9" t="s">
        <v>27259</v>
      </c>
      <c r="C13374" s="9" t="s">
        <v>17</v>
      </c>
      <c r="D13374" s="9" t="s">
        <v>18</v>
      </c>
      <c r="E13374" s="10" t="s">
        <v>808</v>
      </c>
      <c r="F13374" s="9" t="s">
        <v>809</v>
      </c>
      <c r="G13374" s="10" t="s">
        <v>75</v>
      </c>
      <c r="H13374" s="9" t="s">
        <v>22</v>
      </c>
      <c r="I13374" s="9" t="s">
        <v>27260</v>
      </c>
      <c r="J13374" s="10" t="str">
        <f>HYPERLINK("https://www.boe.es/gazeta/dias/1834/10/11/pdfs/GMD-1834-239.pdf#page=4","Abrir facsímil")</f>
        <v>Abrir facsímil</v>
      </c>
      <c r="K13374" s="10" t="s">
        <v>24</v>
      </c>
    </row>
    <row r="13375" spans="1:11" ht="54" customHeight="1">
      <c r="A13375" s="9" t="s">
        <v>27261</v>
      </c>
      <c r="B13375" s="9" t="s">
        <v>27261</v>
      </c>
      <c r="C13375" s="9" t="s">
        <v>66</v>
      </c>
      <c r="D13375" s="9" t="s">
        <v>67</v>
      </c>
      <c r="E13375" s="10" t="s">
        <v>1850</v>
      </c>
      <c r="F13375" s="9" t="s">
        <v>1851</v>
      </c>
      <c r="G13375" s="10" t="s">
        <v>28</v>
      </c>
      <c r="H13375" s="9" t="s">
        <v>22</v>
      </c>
      <c r="I13375" s="9" t="s">
        <v>27262</v>
      </c>
      <c r="J13375" s="10" t="str">
        <f>HYPERLINK("https://www.boe.es/gazeta/dias/1834/02/18/pdfs/GMD-1834-22.pdf#page=5","Abrir facsímil")</f>
        <v>Abrir facsímil</v>
      </c>
      <c r="K13375" s="10" t="s">
        <v>24</v>
      </c>
    </row>
    <row r="13376" spans="1:11" ht="54" customHeight="1">
      <c r="A13376" s="9" t="s">
        <v>27263</v>
      </c>
      <c r="B13376" s="9" t="s">
        <v>27264</v>
      </c>
      <c r="C13376" s="9" t="s">
        <v>90</v>
      </c>
      <c r="D13376" s="9" t="s">
        <v>18</v>
      </c>
      <c r="E13376" s="10" t="s">
        <v>777</v>
      </c>
      <c r="F13376" s="9" t="s">
        <v>2535</v>
      </c>
      <c r="G13376" s="10" t="s">
        <v>560</v>
      </c>
      <c r="H13376" s="9" t="s">
        <v>22</v>
      </c>
      <c r="I13376" s="9" t="s">
        <v>27265</v>
      </c>
      <c r="J13376" s="10" t="str">
        <f>HYPERLINK("https://www.boe.es/gazeta/dias/1834/10/29/pdfs/GMD-C-1834-257.pdf#page=7","Abrir facsímil")</f>
        <v>Abrir facsímil</v>
      </c>
      <c r="K13376" s="10" t="s">
        <v>24</v>
      </c>
    </row>
    <row r="13377" spans="1:11" ht="54" customHeight="1">
      <c r="A13377" s="9" t="s">
        <v>27266</v>
      </c>
      <c r="B13377" s="9" t="s">
        <v>27267</v>
      </c>
      <c r="C13377" s="9" t="s">
        <v>46</v>
      </c>
      <c r="D13377" s="9" t="s">
        <v>101</v>
      </c>
      <c r="E13377" s="10" t="s">
        <v>268</v>
      </c>
      <c r="F13377" s="9" t="s">
        <v>269</v>
      </c>
      <c r="G13377" s="10" t="s">
        <v>34</v>
      </c>
      <c r="H13377" s="9" t="s">
        <v>22</v>
      </c>
      <c r="I13377" s="9" t="s">
        <v>27268</v>
      </c>
      <c r="J13377" s="10" t="str">
        <f>HYPERLINK("https://www.boe.es/gazeta/dias/1834/12/19/pdfs/GMD-C-1834-309.pdf#page=1","Abrir facsímil")</f>
        <v>Abrir facsímil</v>
      </c>
      <c r="K13377" s="10" t="s">
        <v>24</v>
      </c>
    </row>
    <row r="13378" spans="1:11" ht="54" customHeight="1">
      <c r="A13378" s="9" t="s">
        <v>27269</v>
      </c>
      <c r="B13378" s="9" t="s">
        <v>27270</v>
      </c>
      <c r="C13378" s="9" t="s">
        <v>122</v>
      </c>
      <c r="D13378" s="9" t="s">
        <v>18</v>
      </c>
      <c r="E13378" s="10" t="s">
        <v>883</v>
      </c>
      <c r="F13378" s="9" t="s">
        <v>884</v>
      </c>
      <c r="G13378" s="10" t="s">
        <v>34</v>
      </c>
      <c r="H13378" s="9" t="s">
        <v>22</v>
      </c>
      <c r="I13378" s="9" t="s">
        <v>27271</v>
      </c>
      <c r="J13378" s="10" t="str">
        <f>HYPERLINK("https://www.boe.es/gazeta/dias/1834/11/16/pdfs/GMD-C-1834-275.pdf#page=1","Abrir facsímil")</f>
        <v>Abrir facsímil</v>
      </c>
      <c r="K13378" s="10" t="s">
        <v>24</v>
      </c>
    </row>
    <row r="13379" spans="1:11" ht="54" customHeight="1">
      <c r="A13379" s="9" t="s">
        <v>27269</v>
      </c>
      <c r="B13379" s="9" t="s">
        <v>27270</v>
      </c>
      <c r="C13379" s="9" t="s">
        <v>122</v>
      </c>
      <c r="D13379" s="9" t="s">
        <v>18</v>
      </c>
      <c r="E13379" s="10" t="s">
        <v>891</v>
      </c>
      <c r="F13379" s="9" t="s">
        <v>892</v>
      </c>
      <c r="G13379" s="10" t="s">
        <v>28</v>
      </c>
      <c r="H13379" s="9" t="s">
        <v>22</v>
      </c>
      <c r="I13379" s="9" t="s">
        <v>27272</v>
      </c>
      <c r="J13379" s="10" t="str">
        <f>HYPERLINK("https://www.boe.es/gazeta/dias/1834/10/31/pdfs/GMD-C-1834-259.pdf#page=5","Abrir facsímil")</f>
        <v>Abrir facsímil</v>
      </c>
      <c r="K13379" s="10" t="s">
        <v>24</v>
      </c>
    </row>
    <row r="13380" spans="1:11" ht="54" customHeight="1">
      <c r="A13380" s="9" t="s">
        <v>27269</v>
      </c>
      <c r="B13380" s="9" t="s">
        <v>27270</v>
      </c>
      <c r="C13380" s="9" t="s">
        <v>17</v>
      </c>
      <c r="D13380" s="9" t="s">
        <v>18</v>
      </c>
      <c r="E13380" s="10" t="s">
        <v>891</v>
      </c>
      <c r="F13380" s="9" t="s">
        <v>892</v>
      </c>
      <c r="G13380" s="10" t="s">
        <v>176</v>
      </c>
      <c r="H13380" s="9" t="s">
        <v>22</v>
      </c>
      <c r="I13380" s="9" t="s">
        <v>27273</v>
      </c>
      <c r="J13380" s="10" t="str">
        <f>HYPERLINK("https://www.boe.es/gazeta/dias/1834/10/31/pdfs/GMD-C-1834-259.pdf#page=6","Abrir facsímil")</f>
        <v>Abrir facsímil</v>
      </c>
      <c r="K13380" s="10" t="s">
        <v>24</v>
      </c>
    </row>
    <row r="13381" spans="1:11" ht="54" customHeight="1">
      <c r="A13381" s="9" t="s">
        <v>27274</v>
      </c>
      <c r="B13381" s="9" t="s">
        <v>27274</v>
      </c>
      <c r="C13381" s="9" t="s">
        <v>66</v>
      </c>
      <c r="D13381" s="9" t="s">
        <v>67</v>
      </c>
      <c r="E13381" s="10" t="s">
        <v>1268</v>
      </c>
      <c r="F13381" s="9" t="s">
        <v>1269</v>
      </c>
      <c r="G13381" s="10" t="s">
        <v>75</v>
      </c>
      <c r="H13381" s="9" t="s">
        <v>22</v>
      </c>
      <c r="I13381" s="9" t="s">
        <v>27275</v>
      </c>
      <c r="J13381" s="10" t="str">
        <f>HYPERLINK("https://www.boe.es/gazeta/dias/1834/12/09/pdfs/GMD-1834-298.pdf#page=4","Abrir facsímil")</f>
        <v>Abrir facsímil</v>
      </c>
      <c r="K13381" s="10" t="s">
        <v>24</v>
      </c>
    </row>
    <row r="13382" spans="1:11" ht="54" customHeight="1">
      <c r="A13382" s="9" t="s">
        <v>27276</v>
      </c>
      <c r="B13382" s="9" t="s">
        <v>27276</v>
      </c>
      <c r="C13382" s="9" t="s">
        <v>17</v>
      </c>
      <c r="D13382" s="9" t="s">
        <v>40</v>
      </c>
      <c r="E13382" s="10" t="s">
        <v>1406</v>
      </c>
      <c r="F13382" s="9" t="s">
        <v>1407</v>
      </c>
      <c r="G13382" s="10" t="s">
        <v>75</v>
      </c>
      <c r="H13382" s="9" t="s">
        <v>22</v>
      </c>
      <c r="I13382" s="9" t="s">
        <v>27277</v>
      </c>
      <c r="J13382" s="10" t="str">
        <f>HYPERLINK("https://www.boe.es/gazeta/dias/1834/11/03/pdfs/GMD-1834-262.pdf#page=4","Abrir facsímil")</f>
        <v>Abrir facsímil</v>
      </c>
      <c r="K13382" s="10" t="s">
        <v>24</v>
      </c>
    </row>
    <row r="13383" spans="1:11" ht="54" customHeight="1">
      <c r="A13383" s="9" t="s">
        <v>27276</v>
      </c>
      <c r="B13383" s="9" t="s">
        <v>27276</v>
      </c>
      <c r="C13383" s="9" t="s">
        <v>66</v>
      </c>
      <c r="D13383" s="9" t="s">
        <v>67</v>
      </c>
      <c r="E13383" s="10" t="s">
        <v>1113</v>
      </c>
      <c r="F13383" s="9" t="s">
        <v>1114</v>
      </c>
      <c r="G13383" s="10" t="s">
        <v>75</v>
      </c>
      <c r="H13383" s="9" t="s">
        <v>22</v>
      </c>
      <c r="I13383" s="9" t="s">
        <v>27278</v>
      </c>
      <c r="J13383" s="10" t="str">
        <f>HYPERLINK("https://www.boe.es/gazeta/dias/1834/04/14/pdfs/GMD-1834-53.pdf#page=4","Abrir facsímil")</f>
        <v>Abrir facsímil</v>
      </c>
      <c r="K13383" s="10" t="s">
        <v>24</v>
      </c>
    </row>
    <row r="13384" spans="1:11" ht="54" customHeight="1">
      <c r="A13384" s="9" t="s">
        <v>27276</v>
      </c>
      <c r="B13384" s="9" t="s">
        <v>27276</v>
      </c>
      <c r="C13384" s="9" t="s">
        <v>17</v>
      </c>
      <c r="D13384" s="9" t="s">
        <v>18</v>
      </c>
      <c r="E13384" s="10" t="s">
        <v>1973</v>
      </c>
      <c r="F13384" s="9" t="s">
        <v>4832</v>
      </c>
      <c r="G13384" s="10" t="s">
        <v>75</v>
      </c>
      <c r="H13384" s="9" t="s">
        <v>22</v>
      </c>
      <c r="I13384" s="9" t="s">
        <v>27279</v>
      </c>
      <c r="J13384" s="10" t="str">
        <f>HYPERLINK("https://www.boe.es/gazeta/dias/1834/12/20/pdfs/GMD-1834-310.pdf#page=4","Abrir facsímil")</f>
        <v>Abrir facsímil</v>
      </c>
      <c r="K13384" s="10" t="s">
        <v>24</v>
      </c>
    </row>
    <row r="13385" spans="1:11" ht="54" customHeight="1">
      <c r="A13385" s="9" t="s">
        <v>27280</v>
      </c>
      <c r="B13385" s="9" t="s">
        <v>27281</v>
      </c>
      <c r="C13385" s="9" t="s">
        <v>17</v>
      </c>
      <c r="D13385" s="9" t="s">
        <v>55</v>
      </c>
      <c r="E13385" s="10" t="s">
        <v>79</v>
      </c>
      <c r="F13385" s="9" t="s">
        <v>80</v>
      </c>
      <c r="G13385" s="10" t="s">
        <v>21</v>
      </c>
      <c r="H13385" s="9" t="s">
        <v>35</v>
      </c>
      <c r="I13385" s="9" t="s">
        <v>27282</v>
      </c>
      <c r="J13385" s="10" t="str">
        <f>HYPERLINK("https://www.boe.es/gazeta/dias/1834/07/12/pdfs/GMD-1834-145.pdf#page=3","Abrir facsímil")</f>
        <v>Abrir facsímil</v>
      </c>
      <c r="K13385" s="10" t="s">
        <v>37</v>
      </c>
    </row>
    <row r="13386" spans="1:11" ht="54" customHeight="1">
      <c r="A13386" s="9" t="s">
        <v>27283</v>
      </c>
      <c r="B13386" s="9" t="s">
        <v>27283</v>
      </c>
      <c r="C13386" s="9" t="s">
        <v>90</v>
      </c>
      <c r="D13386" s="9" t="s">
        <v>55</v>
      </c>
      <c r="E13386" s="10" t="s">
        <v>441</v>
      </c>
      <c r="F13386" s="9" t="s">
        <v>442</v>
      </c>
      <c r="G13386" s="10" t="s">
        <v>86</v>
      </c>
      <c r="H13386" s="9" t="s">
        <v>22</v>
      </c>
      <c r="I13386" s="9" t="s">
        <v>27284</v>
      </c>
      <c r="J13386" s="10" t="str">
        <f>HYPERLINK("https://www.boe.es/gazeta/dias/1834/11/10/pdfs/GMD-1834-269.pdf#page=2","Abrir facsímil")</f>
        <v>Abrir facsímil</v>
      </c>
      <c r="K13386" s="10" t="s">
        <v>24</v>
      </c>
    </row>
    <row r="13387" spans="1:11" ht="54" customHeight="1">
      <c r="A13387" s="9" t="s">
        <v>27285</v>
      </c>
      <c r="B13387" s="9" t="s">
        <v>27285</v>
      </c>
      <c r="C13387" s="9" t="s">
        <v>90</v>
      </c>
      <c r="D13387" s="9" t="s">
        <v>101</v>
      </c>
      <c r="E13387" s="10" t="s">
        <v>1883</v>
      </c>
      <c r="F13387" s="9" t="s">
        <v>1884</v>
      </c>
      <c r="G13387" s="10" t="s">
        <v>86</v>
      </c>
      <c r="H13387" s="9" t="s">
        <v>22</v>
      </c>
      <c r="I13387" s="9" t="s">
        <v>27286</v>
      </c>
      <c r="J13387" s="10" t="str">
        <f>HYPERLINK("https://www.boe.es/gazeta/dias/1834/01/11/pdfs/GMD-1834-6.pdf#page=2","Abrir facsímil")</f>
        <v>Abrir facsímil</v>
      </c>
      <c r="K13387" s="10" t="s">
        <v>24</v>
      </c>
    </row>
    <row r="13388" spans="1:11" ht="54" customHeight="1">
      <c r="A13388" s="9" t="s">
        <v>27283</v>
      </c>
      <c r="B13388" s="9" t="s">
        <v>27283</v>
      </c>
      <c r="C13388" s="9" t="s">
        <v>46</v>
      </c>
      <c r="D13388" s="9" t="s">
        <v>55</v>
      </c>
      <c r="E13388" s="10" t="s">
        <v>3207</v>
      </c>
      <c r="F13388" s="9" t="s">
        <v>3208</v>
      </c>
      <c r="G13388" s="10" t="s">
        <v>21</v>
      </c>
      <c r="H13388" s="9" t="s">
        <v>22</v>
      </c>
      <c r="I13388" s="9" t="s">
        <v>27287</v>
      </c>
      <c r="J13388" s="10" t="str">
        <f>HYPERLINK("https://www.boe.es/gazeta/dias/1834/10/13/pdfs/GMD-1834-241.pdf#page=3","Abrir facsímil")</f>
        <v>Abrir facsímil</v>
      </c>
      <c r="K13388" s="10" t="s">
        <v>24</v>
      </c>
    </row>
    <row r="13389" spans="1:11" ht="54" customHeight="1">
      <c r="A13389" s="9" t="s">
        <v>27285</v>
      </c>
      <c r="B13389" s="9" t="s">
        <v>27285</v>
      </c>
      <c r="C13389" s="9" t="s">
        <v>17</v>
      </c>
      <c r="D13389" s="9" t="s">
        <v>55</v>
      </c>
      <c r="E13389" s="10" t="s">
        <v>3225</v>
      </c>
      <c r="F13389" s="9" t="s">
        <v>3226</v>
      </c>
      <c r="G13389" s="10" t="s">
        <v>21</v>
      </c>
      <c r="H13389" s="9" t="s">
        <v>22</v>
      </c>
      <c r="I13389" s="9" t="s">
        <v>27288</v>
      </c>
      <c r="J13389" s="10" t="str">
        <f>HYPERLINK("https://www.boe.es/gazeta/dias/1834/08/22/pdfs/GMD-1834-188.pdf#page=3","Abrir facsímil")</f>
        <v>Abrir facsímil</v>
      </c>
      <c r="K13389" s="10" t="s">
        <v>24</v>
      </c>
    </row>
    <row r="13390" spans="1:11" ht="54" customHeight="1">
      <c r="A13390" s="9" t="s">
        <v>27289</v>
      </c>
      <c r="B13390" s="9" t="s">
        <v>27289</v>
      </c>
      <c r="C13390" s="9" t="s">
        <v>90</v>
      </c>
      <c r="D13390" s="9" t="s">
        <v>55</v>
      </c>
      <c r="E13390" s="10" t="s">
        <v>1094</v>
      </c>
      <c r="F13390" s="9" t="s">
        <v>1095</v>
      </c>
      <c r="G13390" s="10" t="s">
        <v>34</v>
      </c>
      <c r="H13390" s="9" t="s">
        <v>22</v>
      </c>
      <c r="I13390" s="9" t="s">
        <v>27290</v>
      </c>
      <c r="J13390" s="10" t="str">
        <f>HYPERLINK("https://www.boe.es/gazeta/dias/1834/07/13/pdfs/GMD-1834-146.pdf#page=1","Abrir facsímil")</f>
        <v>Abrir facsímil</v>
      </c>
      <c r="K13390" s="10" t="s">
        <v>24</v>
      </c>
    </row>
    <row r="13391" spans="1:11" ht="54" customHeight="1">
      <c r="A13391" s="9" t="s">
        <v>27291</v>
      </c>
      <c r="B13391" s="9" t="s">
        <v>27291</v>
      </c>
      <c r="C13391" s="9" t="s">
        <v>46</v>
      </c>
      <c r="D13391" s="9" t="s">
        <v>18</v>
      </c>
      <c r="E13391" s="10" t="s">
        <v>2053</v>
      </c>
      <c r="F13391" s="9" t="s">
        <v>2054</v>
      </c>
      <c r="G13391" s="10" t="s">
        <v>86</v>
      </c>
      <c r="H13391" s="9" t="s">
        <v>22</v>
      </c>
      <c r="I13391" s="9" t="s">
        <v>27292</v>
      </c>
      <c r="J13391" s="10" t="str">
        <f>HYPERLINK("https://www.boe.es/gazeta/dias/1834/06/02/pdfs/GMD-1834-103.pdf#page=2","Abrir facsímil")</f>
        <v>Abrir facsímil</v>
      </c>
      <c r="K13391" s="10" t="s">
        <v>24</v>
      </c>
    </row>
    <row r="13392" spans="1:11" ht="54" customHeight="1">
      <c r="A13392" s="9" t="s">
        <v>27293</v>
      </c>
      <c r="B13392" s="9" t="s">
        <v>27294</v>
      </c>
      <c r="C13392" s="9" t="s">
        <v>17</v>
      </c>
      <c r="D13392" s="9" t="s">
        <v>18</v>
      </c>
      <c r="E13392" s="10" t="s">
        <v>84</v>
      </c>
      <c r="F13392" s="9" t="s">
        <v>85</v>
      </c>
      <c r="G13392" s="10" t="s">
        <v>34</v>
      </c>
      <c r="H13392" s="9" t="s">
        <v>22</v>
      </c>
      <c r="I13392" s="9" t="s">
        <v>27295</v>
      </c>
      <c r="J13392" s="10" t="str">
        <f>HYPERLINK("https://www.boe.es/gazeta/dias/1834/06/07/pdfs/GMD-C-1834-109.pdf#page=1","Abrir facsímil")</f>
        <v>Abrir facsímil</v>
      </c>
      <c r="K13392" s="10" t="s">
        <v>24</v>
      </c>
    </row>
    <row r="13393" spans="1:11" ht="54" customHeight="1">
      <c r="A13393" s="9" t="s">
        <v>27296</v>
      </c>
      <c r="B13393" s="9" t="s">
        <v>27297</v>
      </c>
      <c r="C13393" s="9" t="s">
        <v>17</v>
      </c>
      <c r="D13393" s="9" t="s">
        <v>18</v>
      </c>
      <c r="E13393" s="10" t="s">
        <v>535</v>
      </c>
      <c r="F13393" s="9" t="s">
        <v>536</v>
      </c>
      <c r="G13393" s="10" t="s">
        <v>75</v>
      </c>
      <c r="H13393" s="9" t="s">
        <v>22</v>
      </c>
      <c r="I13393" s="9" t="s">
        <v>27298</v>
      </c>
      <c r="J13393" s="10" t="str">
        <f>HYPERLINK("https://www.boe.es/gazeta/dias/1834/05/21/pdfs/GMD-1834-90.pdf#page=4","Abrir facsímil")</f>
        <v>Abrir facsímil</v>
      </c>
      <c r="K13393" s="10" t="s">
        <v>24</v>
      </c>
    </row>
    <row r="13394" spans="1:11" ht="54" customHeight="1">
      <c r="A13394" s="9" t="s">
        <v>27299</v>
      </c>
      <c r="B13394" s="9" t="s">
        <v>27300</v>
      </c>
      <c r="C13394" s="9" t="s">
        <v>17</v>
      </c>
      <c r="D13394" s="9" t="s">
        <v>18</v>
      </c>
      <c r="E13394" s="10" t="s">
        <v>138</v>
      </c>
      <c r="F13394" s="9" t="s">
        <v>139</v>
      </c>
      <c r="G13394" s="10" t="s">
        <v>75</v>
      </c>
      <c r="H13394" s="9" t="s">
        <v>22</v>
      </c>
      <c r="I13394" s="9" t="s">
        <v>27301</v>
      </c>
      <c r="J13394" s="10" t="str">
        <f>HYPERLINK("https://www.boe.es/gazeta/dias/1834/05/17/pdfs/GMD-1834-86.pdf#page=4","Abrir facsímil")</f>
        <v>Abrir facsímil</v>
      </c>
      <c r="K13394" s="10" t="s">
        <v>24</v>
      </c>
    </row>
    <row r="13395" spans="1:11" ht="54" customHeight="1">
      <c r="A13395" s="9" t="s">
        <v>27302</v>
      </c>
      <c r="B13395" s="9" t="s">
        <v>27303</v>
      </c>
      <c r="C13395" s="9" t="s">
        <v>17</v>
      </c>
      <c r="D13395" s="9" t="s">
        <v>18</v>
      </c>
      <c r="E13395" s="10" t="s">
        <v>19</v>
      </c>
      <c r="F13395" s="9" t="s">
        <v>1933</v>
      </c>
      <c r="G13395" s="10" t="s">
        <v>34</v>
      </c>
      <c r="H13395" s="9" t="s">
        <v>22</v>
      </c>
      <c r="I13395" s="9" t="s">
        <v>27304</v>
      </c>
      <c r="J13395" s="10" t="str">
        <f>HYPERLINK("https://www.boe.es/gazeta/dias/1834/08/17/pdfs/GMD-1834-183E.pdf#page=1","Abrir facsímil")</f>
        <v>Abrir facsímil</v>
      </c>
      <c r="K13395" s="10" t="s">
        <v>24</v>
      </c>
    </row>
    <row r="13396" spans="1:11" ht="54" customHeight="1">
      <c r="A13396" s="9" t="s">
        <v>27305</v>
      </c>
      <c r="B13396" s="9" t="s">
        <v>27306</v>
      </c>
      <c r="C13396" s="9" t="s">
        <v>857</v>
      </c>
      <c r="D13396" s="9" t="s">
        <v>67</v>
      </c>
      <c r="E13396" s="10" t="s">
        <v>73</v>
      </c>
      <c r="F13396" s="9" t="s">
        <v>74</v>
      </c>
      <c r="G13396" s="10" t="s">
        <v>75</v>
      </c>
      <c r="H13396" s="9" t="s">
        <v>22</v>
      </c>
      <c r="I13396" s="9" t="s">
        <v>27307</v>
      </c>
      <c r="J13396" s="10" t="str">
        <f>HYPERLINK("https://www.boe.es/gazeta/dias/1834/11/04/pdfs/GMD-1834-263.pdf#page=4","Abrir facsímil")</f>
        <v>Abrir facsímil</v>
      </c>
      <c r="K13396" s="10" t="s">
        <v>24</v>
      </c>
    </row>
    <row r="13397" spans="1:11" ht="54" customHeight="1">
      <c r="A13397" s="9" t="s">
        <v>27308</v>
      </c>
      <c r="B13397" s="9" t="s">
        <v>27309</v>
      </c>
      <c r="C13397" s="9" t="s">
        <v>90</v>
      </c>
      <c r="D13397" s="9" t="s">
        <v>18</v>
      </c>
      <c r="E13397" s="10" t="s">
        <v>571</v>
      </c>
      <c r="F13397" s="9" t="s">
        <v>572</v>
      </c>
      <c r="G13397" s="10" t="s">
        <v>34</v>
      </c>
      <c r="H13397" s="9" t="s">
        <v>22</v>
      </c>
      <c r="I13397" s="9" t="s">
        <v>27310</v>
      </c>
      <c r="J13397" s="10" t="str">
        <f>HYPERLINK("https://www.boe.es/gazeta/dias/1834/09/04/pdfs/GMD-1834-202.pdf#page=1","Abrir facsímil")</f>
        <v>Abrir facsímil</v>
      </c>
      <c r="K13397" s="10" t="s">
        <v>24</v>
      </c>
    </row>
    <row r="13398" spans="1:11" ht="54" customHeight="1">
      <c r="A13398" s="9" t="s">
        <v>27308</v>
      </c>
      <c r="B13398" s="9" t="s">
        <v>27309</v>
      </c>
      <c r="C13398" s="9" t="s">
        <v>46</v>
      </c>
      <c r="D13398" s="9" t="s">
        <v>18</v>
      </c>
      <c r="E13398" s="10" t="s">
        <v>251</v>
      </c>
      <c r="F13398" s="9" t="s">
        <v>1278</v>
      </c>
      <c r="G13398" s="10" t="s">
        <v>86</v>
      </c>
      <c r="H13398" s="9" t="s">
        <v>22</v>
      </c>
      <c r="I13398" s="9" t="s">
        <v>27311</v>
      </c>
      <c r="J13398" s="10" t="str">
        <f>HYPERLINK("https://www.boe.es/gazeta/dias/1834/09/26/pdfs/GMD-1834-224.pdf#page=2","Abrir facsímil")</f>
        <v>Abrir facsímil</v>
      </c>
      <c r="K13398" s="10" t="s">
        <v>24</v>
      </c>
    </row>
    <row r="13399" spans="1:11" ht="54" customHeight="1">
      <c r="A13399" s="9" t="s">
        <v>27312</v>
      </c>
      <c r="B13399" s="9" t="s">
        <v>27313</v>
      </c>
      <c r="C13399" s="9" t="s">
        <v>17</v>
      </c>
      <c r="D13399" s="9" t="s">
        <v>18</v>
      </c>
      <c r="E13399" s="10" t="s">
        <v>73</v>
      </c>
      <c r="F13399" s="9" t="s">
        <v>74</v>
      </c>
      <c r="G13399" s="10" t="s">
        <v>75</v>
      </c>
      <c r="H13399" s="9" t="s">
        <v>22</v>
      </c>
      <c r="I13399" s="9" t="s">
        <v>27314</v>
      </c>
      <c r="J13399" s="10" t="str">
        <f>HYPERLINK("https://www.boe.es/gazeta/dias/1834/11/04/pdfs/GMD-1834-263.pdf#page=4","Abrir facsímil")</f>
        <v>Abrir facsímil</v>
      </c>
      <c r="K13399" s="10" t="s">
        <v>24</v>
      </c>
    </row>
    <row r="13400" spans="1:11" ht="54" customHeight="1">
      <c r="A13400" s="9" t="s">
        <v>27315</v>
      </c>
      <c r="B13400" s="9" t="s">
        <v>27316</v>
      </c>
      <c r="C13400" s="9" t="s">
        <v>66</v>
      </c>
      <c r="D13400" s="9" t="s">
        <v>67</v>
      </c>
      <c r="E13400" s="10" t="s">
        <v>753</v>
      </c>
      <c r="F13400" s="9" t="s">
        <v>754</v>
      </c>
      <c r="G13400" s="10" t="s">
        <v>34</v>
      </c>
      <c r="H13400" s="9" t="s">
        <v>22</v>
      </c>
      <c r="I13400" s="9" t="s">
        <v>27317</v>
      </c>
      <c r="J13400" s="10" t="str">
        <f>HYPERLINK("https://www.boe.es/gazeta/dias/1834/04/21/pdfs/GMD-1834-60.pdf#page=1","Abrir facsímil")</f>
        <v>Abrir facsímil</v>
      </c>
      <c r="K13400" s="10" t="s">
        <v>24</v>
      </c>
    </row>
    <row r="13401" spans="1:11" ht="54" customHeight="1">
      <c r="A13401" s="9" t="s">
        <v>27318</v>
      </c>
      <c r="B13401" s="9" t="s">
        <v>27319</v>
      </c>
      <c r="C13401" s="9" t="s">
        <v>17</v>
      </c>
      <c r="D13401" s="9" t="s">
        <v>55</v>
      </c>
      <c r="E13401" s="10" t="s">
        <v>919</v>
      </c>
      <c r="F13401" s="9" t="s">
        <v>920</v>
      </c>
      <c r="G13401" s="10" t="s">
        <v>86</v>
      </c>
      <c r="H13401" s="9" t="s">
        <v>22</v>
      </c>
      <c r="I13401" s="9" t="s">
        <v>27320</v>
      </c>
      <c r="J13401" s="10" t="str">
        <f>HYPERLINK("https://www.boe.es/gazeta/dias/1834/06/24/pdfs/GMD-1834-127.pdf#page=2","Abrir facsímil")</f>
        <v>Abrir facsímil</v>
      </c>
      <c r="K13401" s="10" t="s">
        <v>24</v>
      </c>
    </row>
    <row r="13402" spans="1:11" ht="54" customHeight="1">
      <c r="A13402" s="9" t="s">
        <v>27321</v>
      </c>
      <c r="B13402" s="9" t="s">
        <v>27322</v>
      </c>
      <c r="C13402" s="9" t="s">
        <v>46</v>
      </c>
      <c r="D13402" s="9" t="s">
        <v>18</v>
      </c>
      <c r="E13402" s="10" t="s">
        <v>163</v>
      </c>
      <c r="F13402" s="9" t="s">
        <v>164</v>
      </c>
      <c r="G13402" s="10" t="s">
        <v>34</v>
      </c>
      <c r="H13402" s="9" t="s">
        <v>22</v>
      </c>
      <c r="I13402" s="9" t="s">
        <v>27323</v>
      </c>
      <c r="J13402" s="10" t="str">
        <f>HYPERLINK("https://www.boe.es/gazeta/dias/1834/08/09/pdfs/GMD-1834-174.pdf#page=1","Abrir facsímil")</f>
        <v>Abrir facsímil</v>
      </c>
      <c r="K13402" s="10" t="s">
        <v>24</v>
      </c>
    </row>
    <row r="13403" spans="1:11" ht="54" customHeight="1">
      <c r="A13403" s="9" t="s">
        <v>27321</v>
      </c>
      <c r="B13403" s="9" t="s">
        <v>27322</v>
      </c>
      <c r="C13403" s="9" t="s">
        <v>17</v>
      </c>
      <c r="D13403" s="9" t="s">
        <v>55</v>
      </c>
      <c r="E13403" s="10" t="s">
        <v>1186</v>
      </c>
      <c r="F13403" s="9" t="s">
        <v>1187</v>
      </c>
      <c r="G13403" s="10" t="s">
        <v>34</v>
      </c>
      <c r="H13403" s="9" t="s">
        <v>22</v>
      </c>
      <c r="I13403" s="9" t="s">
        <v>27324</v>
      </c>
      <c r="J13403" s="10" t="str">
        <f>HYPERLINK("https://www.boe.es/gazeta/dias/1834/08/14/pdfs/GMD-1834-179.pdf#page=1","Abrir facsímil")</f>
        <v>Abrir facsímil</v>
      </c>
      <c r="K13403" s="10" t="s">
        <v>24</v>
      </c>
    </row>
    <row r="13404" spans="1:11" ht="54" customHeight="1">
      <c r="A13404" s="9" t="s">
        <v>27325</v>
      </c>
      <c r="B13404" s="9" t="s">
        <v>27326</v>
      </c>
      <c r="C13404" s="9" t="s">
        <v>66</v>
      </c>
      <c r="D13404" s="9" t="s">
        <v>67</v>
      </c>
      <c r="E13404" s="10" t="s">
        <v>299</v>
      </c>
      <c r="F13404" s="9" t="s">
        <v>300</v>
      </c>
      <c r="G13404" s="10" t="s">
        <v>75</v>
      </c>
      <c r="H13404" s="9" t="s">
        <v>22</v>
      </c>
      <c r="I13404" s="9" t="s">
        <v>27327</v>
      </c>
      <c r="J13404" s="10" t="str">
        <f>HYPERLINK("https://www.boe.es/gazeta/dias/1834/12/12/pdfs/GMD-1834-301.pdf#page=4","Abrir facsímil")</f>
        <v>Abrir facsímil</v>
      </c>
      <c r="K13404" s="10" t="s">
        <v>24</v>
      </c>
    </row>
    <row r="13405" spans="1:11" ht="54" customHeight="1">
      <c r="A13405" s="9" t="s">
        <v>27328</v>
      </c>
      <c r="B13405" s="9" t="s">
        <v>27329</v>
      </c>
      <c r="C13405" s="9" t="s">
        <v>17</v>
      </c>
      <c r="D13405" s="9" t="s">
        <v>18</v>
      </c>
      <c r="E13405" s="10" t="s">
        <v>1186</v>
      </c>
      <c r="F13405" s="9" t="s">
        <v>1187</v>
      </c>
      <c r="G13405" s="10" t="s">
        <v>34</v>
      </c>
      <c r="H13405" s="9" t="s">
        <v>22</v>
      </c>
      <c r="I13405" s="9" t="s">
        <v>27330</v>
      </c>
      <c r="J13405" s="10" t="str">
        <f>HYPERLINK("https://www.boe.es/gazeta/dias/1834/08/14/pdfs/GMD-1834-179.pdf#page=1","Abrir facsímil")</f>
        <v>Abrir facsímil</v>
      </c>
      <c r="K13405" s="10" t="s">
        <v>24</v>
      </c>
    </row>
    <row r="13406" spans="1:11" ht="54" customHeight="1">
      <c r="A13406" s="9" t="s">
        <v>27331</v>
      </c>
      <c r="B13406" s="9" t="s">
        <v>27332</v>
      </c>
      <c r="C13406" s="9" t="s">
        <v>17</v>
      </c>
      <c r="D13406" s="9" t="s">
        <v>18</v>
      </c>
      <c r="E13406" s="10" t="s">
        <v>1850</v>
      </c>
      <c r="F13406" s="9" t="s">
        <v>1851</v>
      </c>
      <c r="G13406" s="10" t="s">
        <v>560</v>
      </c>
      <c r="H13406" s="9" t="s">
        <v>22</v>
      </c>
      <c r="I13406" s="9" t="s">
        <v>27333</v>
      </c>
      <c r="J13406" s="10" t="str">
        <f>HYPERLINK("https://www.boe.es/gazeta/dias/1834/02/18/pdfs/GMD-1834-22.pdf#page=7","Abrir facsímil")</f>
        <v>Abrir facsímil</v>
      </c>
      <c r="K13406" s="10" t="s">
        <v>24</v>
      </c>
    </row>
    <row r="13407" spans="1:11" ht="54" customHeight="1">
      <c r="A13407" s="9" t="s">
        <v>27334</v>
      </c>
      <c r="B13407" s="9" t="s">
        <v>27335</v>
      </c>
      <c r="C13407" s="9" t="s">
        <v>17</v>
      </c>
      <c r="D13407" s="9" t="s">
        <v>40</v>
      </c>
      <c r="E13407" s="10" t="s">
        <v>61</v>
      </c>
      <c r="F13407" s="9" t="s">
        <v>205</v>
      </c>
      <c r="G13407" s="10" t="s">
        <v>21</v>
      </c>
      <c r="H13407" s="9" t="s">
        <v>22</v>
      </c>
      <c r="I13407" s="9" t="s">
        <v>27336</v>
      </c>
      <c r="J13407" s="10" t="str">
        <f>HYPERLINK("https://www.boe.es/gazeta/dias/1834/06/08/pdfs/GMD-1834-110.pdf#page=3","Abrir facsímil")</f>
        <v>Abrir facsímil</v>
      </c>
      <c r="K13407" s="10" t="s">
        <v>24</v>
      </c>
    </row>
    <row r="13408" spans="1:11" ht="54" customHeight="1">
      <c r="A13408" s="9" t="s">
        <v>27337</v>
      </c>
      <c r="B13408" s="9" t="s">
        <v>27337</v>
      </c>
      <c r="C13408" s="9" t="s">
        <v>17</v>
      </c>
      <c r="D13408" s="9" t="s">
        <v>18</v>
      </c>
      <c r="E13408" s="10" t="s">
        <v>255</v>
      </c>
      <c r="F13408" s="9" t="s">
        <v>256</v>
      </c>
      <c r="G13408" s="10" t="s">
        <v>34</v>
      </c>
      <c r="H13408" s="9" t="s">
        <v>22</v>
      </c>
      <c r="I13408" s="9" t="s">
        <v>27338</v>
      </c>
      <c r="J13408" s="10" t="str">
        <f>HYPERLINK("https://www.boe.es/gazeta/dias/1834/09/01/pdfs/GMD-D-1834-199.pdf#page=1","Abrir facsímil")</f>
        <v>Abrir facsímil</v>
      </c>
      <c r="K13408" s="10" t="s">
        <v>24</v>
      </c>
    </row>
    <row r="13409" spans="1:11" ht="54" customHeight="1">
      <c r="A13409" s="9" t="s">
        <v>27339</v>
      </c>
      <c r="B13409" s="9" t="s">
        <v>27340</v>
      </c>
      <c r="C13409" s="9" t="s">
        <v>122</v>
      </c>
      <c r="D13409" s="9" t="s">
        <v>55</v>
      </c>
      <c r="E13409" s="10" t="s">
        <v>729</v>
      </c>
      <c r="F13409" s="9" t="s">
        <v>730</v>
      </c>
      <c r="G13409" s="10" t="s">
        <v>75</v>
      </c>
      <c r="H13409" s="9" t="s">
        <v>22</v>
      </c>
      <c r="I13409" s="9" t="s">
        <v>27341</v>
      </c>
      <c r="J13409" s="10" t="str">
        <f>HYPERLINK("https://www.boe.es/gazeta/dias/1834/04/13/pdfs/GMD-1834-52.pdf#page=4","Abrir facsímil")</f>
        <v>Abrir facsímil</v>
      </c>
      <c r="K13409" s="10" t="s">
        <v>24</v>
      </c>
    </row>
    <row r="13410" spans="1:11" ht="54" customHeight="1">
      <c r="A13410" s="9" t="s">
        <v>27342</v>
      </c>
      <c r="B13410" s="9" t="s">
        <v>27342</v>
      </c>
      <c r="C13410" s="9" t="s">
        <v>17</v>
      </c>
      <c r="D13410" s="9" t="s">
        <v>18</v>
      </c>
      <c r="E13410" s="10" t="s">
        <v>1406</v>
      </c>
      <c r="F13410" s="9" t="s">
        <v>1407</v>
      </c>
      <c r="G13410" s="10" t="s">
        <v>75</v>
      </c>
      <c r="H13410" s="9" t="s">
        <v>22</v>
      </c>
      <c r="I13410" s="9" t="s">
        <v>27343</v>
      </c>
      <c r="J13410" s="10" t="str">
        <f>HYPERLINK("https://www.boe.es/gazeta/dias/1834/11/03/pdfs/GMD-1834-262.pdf#page=4","Abrir facsímil")</f>
        <v>Abrir facsímil</v>
      </c>
      <c r="K13410" s="10" t="s">
        <v>24</v>
      </c>
    </row>
    <row r="13411" spans="1:11" ht="54" customHeight="1">
      <c r="A13411" s="9" t="s">
        <v>27342</v>
      </c>
      <c r="B13411" s="9" t="s">
        <v>27342</v>
      </c>
      <c r="C13411" s="9" t="s">
        <v>17</v>
      </c>
      <c r="D13411" s="9" t="s">
        <v>18</v>
      </c>
      <c r="E13411" s="10" t="s">
        <v>1402</v>
      </c>
      <c r="F13411" s="9" t="s">
        <v>1403</v>
      </c>
      <c r="G13411" s="10" t="s">
        <v>21</v>
      </c>
      <c r="H13411" s="9" t="s">
        <v>22</v>
      </c>
      <c r="I13411" s="9" t="s">
        <v>27344</v>
      </c>
      <c r="J13411" s="10" t="str">
        <f>HYPERLINK("https://www.boe.es/gazeta/dias/1834/05/05/pdfs/GMD-1834-74.pdf#page=3","Abrir facsímil")</f>
        <v>Abrir facsímil</v>
      </c>
      <c r="K13411" s="10" t="s">
        <v>24</v>
      </c>
    </row>
    <row r="13412" spans="1:11" ht="54" customHeight="1">
      <c r="A13412" s="9" t="s">
        <v>27342</v>
      </c>
      <c r="B13412" s="9" t="s">
        <v>27342</v>
      </c>
      <c r="C13412" s="9" t="s">
        <v>17</v>
      </c>
      <c r="D13412" s="9" t="s">
        <v>18</v>
      </c>
      <c r="E13412" s="10" t="s">
        <v>1195</v>
      </c>
      <c r="F13412" s="9" t="s">
        <v>1916</v>
      </c>
      <c r="G13412" s="10" t="s">
        <v>21</v>
      </c>
      <c r="H13412" s="9" t="s">
        <v>22</v>
      </c>
      <c r="I13412" s="9" t="s">
        <v>27345</v>
      </c>
      <c r="J13412" s="10" t="str">
        <f>HYPERLINK("https://www.boe.es/gazeta/dias/1834/10/17/pdfs/GMD-1834-245.pdf#page=3","Abrir facsímil")</f>
        <v>Abrir facsímil</v>
      </c>
      <c r="K13412" s="10" t="s">
        <v>24</v>
      </c>
    </row>
    <row r="13413" spans="1:11" ht="54" customHeight="1">
      <c r="A13413" s="9" t="s">
        <v>27342</v>
      </c>
      <c r="B13413" s="9" t="s">
        <v>27342</v>
      </c>
      <c r="C13413" s="9" t="s">
        <v>17</v>
      </c>
      <c r="D13413" s="9" t="s">
        <v>40</v>
      </c>
      <c r="E13413" s="10" t="s">
        <v>1572</v>
      </c>
      <c r="F13413" s="9" t="s">
        <v>1573</v>
      </c>
      <c r="G13413" s="10" t="s">
        <v>28</v>
      </c>
      <c r="H13413" s="9" t="s">
        <v>22</v>
      </c>
      <c r="I13413" s="9" t="s">
        <v>27346</v>
      </c>
      <c r="J13413" s="10" t="str">
        <f>HYPERLINK("https://www.boe.es/gazeta/dias/1834/03/20/pdfs/GMD-1834-35.pdf#page=5","Abrir facsímil")</f>
        <v>Abrir facsímil</v>
      </c>
      <c r="K13413" s="10" t="s">
        <v>24</v>
      </c>
    </row>
    <row r="13414" spans="1:11" ht="54" customHeight="1">
      <c r="A13414" s="9" t="s">
        <v>27342</v>
      </c>
      <c r="B13414" s="9" t="s">
        <v>27342</v>
      </c>
      <c r="C13414" s="9" t="s">
        <v>17</v>
      </c>
      <c r="D13414" s="9" t="s">
        <v>18</v>
      </c>
      <c r="E13414" s="10" t="s">
        <v>1973</v>
      </c>
      <c r="F13414" s="9" t="s">
        <v>4832</v>
      </c>
      <c r="G13414" s="10" t="s">
        <v>75</v>
      </c>
      <c r="H13414" s="9" t="s">
        <v>22</v>
      </c>
      <c r="I13414" s="9" t="s">
        <v>27347</v>
      </c>
      <c r="J13414" s="10" t="str">
        <f>HYPERLINK("https://www.boe.es/gazeta/dias/1834/12/20/pdfs/GMD-1834-310.pdf#page=4","Abrir facsímil")</f>
        <v>Abrir facsímil</v>
      </c>
      <c r="K13414" s="10" t="s">
        <v>24</v>
      </c>
    </row>
    <row r="13415" spans="1:11" ht="54" customHeight="1">
      <c r="A13415" s="9" t="s">
        <v>27342</v>
      </c>
      <c r="B13415" s="9" t="s">
        <v>27342</v>
      </c>
      <c r="C13415" s="9" t="s">
        <v>90</v>
      </c>
      <c r="D13415" s="9" t="s">
        <v>18</v>
      </c>
      <c r="E13415" s="10" t="s">
        <v>174</v>
      </c>
      <c r="F13415" s="9" t="s">
        <v>175</v>
      </c>
      <c r="G13415" s="10" t="s">
        <v>28</v>
      </c>
      <c r="H13415" s="9" t="s">
        <v>22</v>
      </c>
      <c r="I13415" s="9" t="s">
        <v>27348</v>
      </c>
      <c r="J13415" s="10" t="str">
        <f>HYPERLINK("https://www.boe.es/gazeta/dias/1834/03/27/pdfs/GMD-1834-38.pdf#page=5","Abrir facsímil")</f>
        <v>Abrir facsímil</v>
      </c>
      <c r="K13415" s="10" t="s">
        <v>24</v>
      </c>
    </row>
    <row r="13416" spans="1:11" ht="54" customHeight="1">
      <c r="A13416" s="9" t="s">
        <v>27349</v>
      </c>
      <c r="B13416" s="9" t="s">
        <v>27350</v>
      </c>
      <c r="C13416" s="9" t="s">
        <v>90</v>
      </c>
      <c r="D13416" s="9" t="s">
        <v>67</v>
      </c>
      <c r="E13416" s="10" t="s">
        <v>1103</v>
      </c>
      <c r="F13416" s="9" t="s">
        <v>1259</v>
      </c>
      <c r="G13416" s="10" t="s">
        <v>21</v>
      </c>
      <c r="H13416" s="9" t="s">
        <v>22</v>
      </c>
      <c r="I13416" s="9" t="s">
        <v>27351</v>
      </c>
      <c r="J13416" s="10" t="str">
        <f>HYPERLINK("https://www.boe.es/gazeta/dias/1834/10/10/pdfs/GMD-1834-238.pdf#page=3","Abrir facsímil")</f>
        <v>Abrir facsímil</v>
      </c>
      <c r="K13416" s="10" t="s">
        <v>24</v>
      </c>
    </row>
    <row r="13417" spans="1:11" ht="54" customHeight="1">
      <c r="A13417" s="9" t="s">
        <v>27352</v>
      </c>
      <c r="B13417" s="9" t="s">
        <v>27353</v>
      </c>
      <c r="C13417" s="9" t="s">
        <v>17</v>
      </c>
      <c r="D13417" s="9" t="s">
        <v>18</v>
      </c>
      <c r="E13417" s="10" t="s">
        <v>4565</v>
      </c>
      <c r="F13417" s="9" t="s">
        <v>4566</v>
      </c>
      <c r="G13417" s="10" t="s">
        <v>75</v>
      </c>
      <c r="H13417" s="9" t="s">
        <v>22</v>
      </c>
      <c r="I13417" s="9" t="s">
        <v>27354</v>
      </c>
      <c r="J13417" s="10" t="str">
        <f>HYPERLINK("https://www.boe.es/gazeta/dias/1834/07/10/pdfs/GMD-1834-143.pdf#page=4","Abrir facsímil")</f>
        <v>Abrir facsímil</v>
      </c>
      <c r="K13417" s="10" t="s">
        <v>24</v>
      </c>
    </row>
    <row r="13418" spans="1:11" ht="54" customHeight="1">
      <c r="A13418" s="9" t="s">
        <v>27355</v>
      </c>
      <c r="B13418" s="9" t="s">
        <v>27356</v>
      </c>
      <c r="C13418" s="9" t="s">
        <v>17</v>
      </c>
      <c r="D13418" s="9" t="s">
        <v>18</v>
      </c>
      <c r="E13418" s="10" t="s">
        <v>309</v>
      </c>
      <c r="F13418" s="9" t="s">
        <v>310</v>
      </c>
      <c r="G13418" s="10" t="s">
        <v>34</v>
      </c>
      <c r="H13418" s="9" t="s">
        <v>22</v>
      </c>
      <c r="I13418" s="9" t="s">
        <v>27357</v>
      </c>
      <c r="J13418" s="10" t="str">
        <f>HYPERLINK("https://www.boe.es/gazeta/dias/1834/05/30/pdfs/GMD-1834-99.pdf#page=1","Abrir facsímil")</f>
        <v>Abrir facsímil</v>
      </c>
      <c r="K13418" s="10" t="s">
        <v>24</v>
      </c>
    </row>
    <row r="13419" spans="1:11" ht="54" customHeight="1">
      <c r="A13419" s="9" t="s">
        <v>27358</v>
      </c>
      <c r="B13419" s="9" t="s">
        <v>27359</v>
      </c>
      <c r="C13419" s="9" t="s">
        <v>17</v>
      </c>
      <c r="D13419" s="9" t="s">
        <v>18</v>
      </c>
      <c r="E13419" s="10" t="s">
        <v>117</v>
      </c>
      <c r="F13419" s="9" t="s">
        <v>118</v>
      </c>
      <c r="G13419" s="10" t="s">
        <v>75</v>
      </c>
      <c r="H13419" s="9" t="s">
        <v>35</v>
      </c>
      <c r="I13419" s="9" t="s">
        <v>27360</v>
      </c>
      <c r="J13419" s="10" t="str">
        <f>HYPERLINK("https://www.boe.es/gazeta/dias/1834/07/21/pdfs/GMD-1834-154.pdf#page=4","Abrir facsímil")</f>
        <v>Abrir facsímil</v>
      </c>
      <c r="K13419" s="10" t="s">
        <v>37</v>
      </c>
    </row>
    <row r="13420" spans="1:11" ht="54" customHeight="1">
      <c r="A13420" s="9" t="s">
        <v>27361</v>
      </c>
      <c r="B13420" s="9" t="s">
        <v>27362</v>
      </c>
      <c r="C13420" s="9" t="s">
        <v>17</v>
      </c>
      <c r="D13420" s="9" t="s">
        <v>18</v>
      </c>
      <c r="E13420" s="10" t="s">
        <v>117</v>
      </c>
      <c r="F13420" s="9" t="s">
        <v>118</v>
      </c>
      <c r="G13420" s="10" t="s">
        <v>75</v>
      </c>
      <c r="H13420" s="9" t="s">
        <v>22</v>
      </c>
      <c r="I13420" s="9" t="s">
        <v>27363</v>
      </c>
      <c r="J13420" s="10" t="str">
        <f>HYPERLINK("https://www.boe.es/gazeta/dias/1834/07/21/pdfs/GMD-1834-154.pdf#page=4","Abrir facsímil")</f>
        <v>Abrir facsímil</v>
      </c>
      <c r="K13420" s="10" t="s">
        <v>24</v>
      </c>
    </row>
    <row r="13421" spans="1:11" ht="54" customHeight="1">
      <c r="A13421" s="9" t="s">
        <v>27364</v>
      </c>
      <c r="B13421" s="9" t="s">
        <v>27365</v>
      </c>
      <c r="C13421" s="9" t="s">
        <v>17</v>
      </c>
      <c r="D13421" s="9" t="s">
        <v>18</v>
      </c>
      <c r="E13421" s="10" t="s">
        <v>73</v>
      </c>
      <c r="F13421" s="9" t="s">
        <v>74</v>
      </c>
      <c r="G13421" s="10" t="s">
        <v>75</v>
      </c>
      <c r="H13421" s="9" t="s">
        <v>22</v>
      </c>
      <c r="I13421" s="9" t="s">
        <v>27366</v>
      </c>
      <c r="J13421" s="10" t="str">
        <f>HYPERLINK("https://www.boe.es/gazeta/dias/1834/11/04/pdfs/GMD-1834-263.pdf#page=4","Abrir facsímil")</f>
        <v>Abrir facsímil</v>
      </c>
      <c r="K13421" s="10" t="s">
        <v>24</v>
      </c>
    </row>
    <row r="13422" spans="1:11" ht="54" customHeight="1">
      <c r="A13422" s="9" t="s">
        <v>27367</v>
      </c>
      <c r="B13422" s="9" t="s">
        <v>27368</v>
      </c>
      <c r="C13422" s="9" t="s">
        <v>66</v>
      </c>
      <c r="D13422" s="9" t="s">
        <v>67</v>
      </c>
      <c r="E13422" s="10" t="s">
        <v>1234</v>
      </c>
      <c r="F13422" s="9" t="s">
        <v>1455</v>
      </c>
      <c r="G13422" s="10" t="s">
        <v>75</v>
      </c>
      <c r="H13422" s="9" t="s">
        <v>22</v>
      </c>
      <c r="I13422" s="9" t="s">
        <v>27369</v>
      </c>
      <c r="J13422" s="10" t="str">
        <f>HYPERLINK("https://www.boe.es/gazeta/dias/1834/05/15/pdfs/GMD-1834-84.pdf#page=4","Abrir facsímil")</f>
        <v>Abrir facsímil</v>
      </c>
      <c r="K13422" s="10" t="s">
        <v>24</v>
      </c>
    </row>
    <row r="13423" spans="1:11" ht="54" customHeight="1">
      <c r="A13423" s="9" t="s">
        <v>27370</v>
      </c>
      <c r="B13423" s="9" t="s">
        <v>27371</v>
      </c>
      <c r="C13423" s="9" t="s">
        <v>17</v>
      </c>
      <c r="D13423" s="9" t="s">
        <v>18</v>
      </c>
      <c r="E13423" s="10" t="s">
        <v>1186</v>
      </c>
      <c r="F13423" s="9" t="s">
        <v>1187</v>
      </c>
      <c r="G13423" s="10" t="s">
        <v>75</v>
      </c>
      <c r="H13423" s="9" t="s">
        <v>22</v>
      </c>
      <c r="I13423" s="9" t="s">
        <v>27372</v>
      </c>
      <c r="J13423" s="10" t="str">
        <f>HYPERLINK("https://www.boe.es/gazeta/dias/1834/08/14/pdfs/GMD-1834-179.pdf#page=4","Abrir facsímil")</f>
        <v>Abrir facsímil</v>
      </c>
      <c r="K13423" s="10" t="s">
        <v>24</v>
      </c>
    </row>
    <row r="13424" spans="1:11" ht="54" customHeight="1">
      <c r="A13424" s="9" t="s">
        <v>27373</v>
      </c>
      <c r="B13424" s="9" t="s">
        <v>27373</v>
      </c>
      <c r="C13424" s="9" t="s">
        <v>17</v>
      </c>
      <c r="D13424" s="9" t="s">
        <v>18</v>
      </c>
      <c r="E13424" s="10" t="s">
        <v>905</v>
      </c>
      <c r="F13424" s="9" t="s">
        <v>906</v>
      </c>
      <c r="G13424" s="10" t="s">
        <v>86</v>
      </c>
      <c r="H13424" s="9" t="s">
        <v>22</v>
      </c>
      <c r="I13424" s="9" t="s">
        <v>27374</v>
      </c>
      <c r="J13424" s="10" t="str">
        <f>HYPERLINK("https://www.boe.es/gazeta/dias/1834/08/02/pdfs/GMD-C-1834-166.pdf#page=2","Abrir facsímil")</f>
        <v>Abrir facsímil</v>
      </c>
      <c r="K13424" s="10" t="s">
        <v>24</v>
      </c>
    </row>
    <row r="13425" spans="1:11" ht="54" customHeight="1">
      <c r="A13425" s="9" t="s">
        <v>27373</v>
      </c>
      <c r="B13425" s="9" t="s">
        <v>27373</v>
      </c>
      <c r="C13425" s="9" t="s">
        <v>17</v>
      </c>
      <c r="D13425" s="9" t="s">
        <v>18</v>
      </c>
      <c r="E13425" s="10" t="s">
        <v>1981</v>
      </c>
      <c r="F13425" s="9" t="s">
        <v>2471</v>
      </c>
      <c r="G13425" s="10" t="s">
        <v>75</v>
      </c>
      <c r="H13425" s="9" t="s">
        <v>22</v>
      </c>
      <c r="I13425" s="9" t="s">
        <v>27375</v>
      </c>
      <c r="J13425" s="10" t="str">
        <f>HYPERLINK("https://www.boe.es/gazeta/dias/1834/12/13/pdfs/GMD-C-1834-302.pdf#page=4","Abrir facsímil")</f>
        <v>Abrir facsímil</v>
      </c>
      <c r="K13425" s="10" t="s">
        <v>24</v>
      </c>
    </row>
    <row r="13426" spans="1:11" ht="54" customHeight="1">
      <c r="A13426" s="9" t="s">
        <v>27373</v>
      </c>
      <c r="B13426" s="9" t="s">
        <v>27373</v>
      </c>
      <c r="C13426" s="9" t="s">
        <v>17</v>
      </c>
      <c r="D13426" s="9" t="s">
        <v>18</v>
      </c>
      <c r="E13426" s="10" t="s">
        <v>448</v>
      </c>
      <c r="F13426" s="9" t="s">
        <v>449</v>
      </c>
      <c r="G13426" s="10" t="s">
        <v>86</v>
      </c>
      <c r="H13426" s="9" t="s">
        <v>22</v>
      </c>
      <c r="I13426" s="9" t="s">
        <v>27376</v>
      </c>
      <c r="J13426" s="10" t="str">
        <f>HYPERLINK("https://www.boe.es/gazeta/dias/1834/10/14/pdfs/GMD-C-1834-242.pdf#page=2","Abrir facsímil")</f>
        <v>Abrir facsímil</v>
      </c>
      <c r="K13426" s="10" t="s">
        <v>24</v>
      </c>
    </row>
    <row r="13427" spans="1:11" ht="54" customHeight="1">
      <c r="A13427" s="9" t="s">
        <v>27373</v>
      </c>
      <c r="B13427" s="9" t="s">
        <v>27373</v>
      </c>
      <c r="C13427" s="9" t="s">
        <v>17</v>
      </c>
      <c r="D13427" s="9" t="s">
        <v>18</v>
      </c>
      <c r="E13427" s="10" t="s">
        <v>1677</v>
      </c>
      <c r="F13427" s="9" t="s">
        <v>2515</v>
      </c>
      <c r="G13427" s="10" t="s">
        <v>34</v>
      </c>
      <c r="H13427" s="9" t="s">
        <v>22</v>
      </c>
      <c r="I13427" s="9" t="s">
        <v>27377</v>
      </c>
      <c r="J13427" s="10" t="str">
        <f>HYPERLINK("https://www.boe.es/gazeta/dias/1834/07/26/pdfs/GMD-C-1834-159.pdf#page=1","Abrir facsímil")</f>
        <v>Abrir facsímil</v>
      </c>
      <c r="K13427" s="10" t="s">
        <v>24</v>
      </c>
    </row>
    <row r="13428" spans="1:11" ht="54" customHeight="1">
      <c r="A13428" s="9" t="s">
        <v>27378</v>
      </c>
      <c r="B13428" s="9" t="s">
        <v>27378</v>
      </c>
      <c r="C13428" s="9" t="s">
        <v>90</v>
      </c>
      <c r="D13428" s="9" t="s">
        <v>18</v>
      </c>
      <c r="E13428" s="10" t="s">
        <v>1686</v>
      </c>
      <c r="F13428" s="9" t="s">
        <v>2311</v>
      </c>
      <c r="G13428" s="10" t="s">
        <v>34</v>
      </c>
      <c r="H13428" s="9" t="s">
        <v>22</v>
      </c>
      <c r="I13428" s="9" t="s">
        <v>27379</v>
      </c>
      <c r="J13428" s="10" t="str">
        <f>HYPERLINK("https://www.boe.es/gazeta/dias/1834/07/27/pdfs/GMD-C-1834-160.pdf#page=1","Abrir facsímil")</f>
        <v>Abrir facsímil</v>
      </c>
      <c r="K13428" s="10" t="s">
        <v>24</v>
      </c>
    </row>
    <row r="13429" spans="1:11" ht="54" customHeight="1">
      <c r="A13429" s="9" t="s">
        <v>27380</v>
      </c>
      <c r="B13429" s="9" t="s">
        <v>27381</v>
      </c>
      <c r="C13429" s="9" t="s">
        <v>66</v>
      </c>
      <c r="D13429" s="9" t="s">
        <v>67</v>
      </c>
      <c r="E13429" s="10" t="s">
        <v>3066</v>
      </c>
      <c r="F13429" s="9" t="s">
        <v>3188</v>
      </c>
      <c r="G13429" s="10" t="s">
        <v>86</v>
      </c>
      <c r="H13429" s="9" t="s">
        <v>35</v>
      </c>
      <c r="I13429" s="9" t="s">
        <v>27382</v>
      </c>
      <c r="J13429" s="10" t="str">
        <f>HYPERLINK("https://www.boe.es/gazeta/dias/1834/08/03/pdfs/GMD-1834-167.pdf#page=2","Abrir facsímil")</f>
        <v>Abrir facsímil</v>
      </c>
      <c r="K13429" s="10" t="s">
        <v>37</v>
      </c>
    </row>
    <row r="13430" spans="1:11" ht="54" customHeight="1">
      <c r="A13430" s="9" t="s">
        <v>27383</v>
      </c>
      <c r="B13430" s="9" t="s">
        <v>27384</v>
      </c>
      <c r="C13430" s="9" t="s">
        <v>66</v>
      </c>
      <c r="D13430" s="9" t="s">
        <v>67</v>
      </c>
      <c r="E13430" s="10" t="s">
        <v>3066</v>
      </c>
      <c r="F13430" s="9" t="s">
        <v>3188</v>
      </c>
      <c r="G13430" s="10" t="s">
        <v>86</v>
      </c>
      <c r="H13430" s="9" t="s">
        <v>22</v>
      </c>
      <c r="I13430" s="9" t="s">
        <v>27385</v>
      </c>
      <c r="J13430" s="10" t="str">
        <f>HYPERLINK("https://www.boe.es/gazeta/dias/1834/08/03/pdfs/GMD-1834-167.pdf#page=2","Abrir facsímil")</f>
        <v>Abrir facsímil</v>
      </c>
      <c r="K13430" s="10" t="s">
        <v>24</v>
      </c>
    </row>
    <row r="13431" spans="1:11" ht="54" customHeight="1">
      <c r="A13431" s="9" t="s">
        <v>27386</v>
      </c>
      <c r="B13431" s="9" t="s">
        <v>27387</v>
      </c>
      <c r="C13431" s="9" t="s">
        <v>857</v>
      </c>
      <c r="D13431" s="9" t="s">
        <v>18</v>
      </c>
      <c r="E13431" s="10" t="s">
        <v>1406</v>
      </c>
      <c r="F13431" s="9" t="s">
        <v>1407</v>
      </c>
      <c r="G13431" s="10" t="s">
        <v>75</v>
      </c>
      <c r="H13431" s="9" t="s">
        <v>22</v>
      </c>
      <c r="I13431" s="9" t="s">
        <v>27388</v>
      </c>
      <c r="J13431" s="10" t="str">
        <f>HYPERLINK("https://www.boe.es/gazeta/dias/1834/11/03/pdfs/GMD-1834-262.pdf#page=4","Abrir facsímil")</f>
        <v>Abrir facsímil</v>
      </c>
      <c r="K13431" s="10" t="s">
        <v>24</v>
      </c>
    </row>
    <row r="13432" spans="1:11" ht="54" customHeight="1">
      <c r="A13432" s="9" t="s">
        <v>27389</v>
      </c>
      <c r="B13432" s="9" t="s">
        <v>27389</v>
      </c>
      <c r="C13432" s="9" t="s">
        <v>17</v>
      </c>
      <c r="D13432" s="9" t="s">
        <v>18</v>
      </c>
      <c r="E13432" s="10" t="s">
        <v>976</v>
      </c>
      <c r="F13432" s="9" t="s">
        <v>977</v>
      </c>
      <c r="G13432" s="10" t="s">
        <v>86</v>
      </c>
      <c r="H13432" s="9" t="s">
        <v>22</v>
      </c>
      <c r="I13432" s="9" t="s">
        <v>27390</v>
      </c>
      <c r="J13432" s="10" t="str">
        <f>HYPERLINK("https://www.boe.es/gazeta/dias/1834/04/02/pdfs/GMD-1834-41.pdf#page=2","Abrir facsímil")</f>
        <v>Abrir facsímil</v>
      </c>
      <c r="K13432" s="10" t="s">
        <v>24</v>
      </c>
    </row>
    <row r="13433" spans="1:11" ht="54" customHeight="1">
      <c r="A13433" s="9" t="s">
        <v>27389</v>
      </c>
      <c r="B13433" s="9" t="s">
        <v>27389</v>
      </c>
      <c r="C13433" s="9" t="s">
        <v>66</v>
      </c>
      <c r="D13433" s="9" t="s">
        <v>67</v>
      </c>
      <c r="E13433" s="10" t="s">
        <v>2729</v>
      </c>
      <c r="F13433" s="9" t="s">
        <v>2730</v>
      </c>
      <c r="G13433" s="10" t="s">
        <v>86</v>
      </c>
      <c r="H13433" s="9" t="s">
        <v>22</v>
      </c>
      <c r="I13433" s="9" t="s">
        <v>27391</v>
      </c>
      <c r="J13433" s="10" t="str">
        <f>HYPERLINK("https://www.boe.es/gazeta/dias/1834/07/02/pdfs/GMD-1834-135.pdf#page=2","Abrir facsímil")</f>
        <v>Abrir facsímil</v>
      </c>
      <c r="K13433" s="10" t="s">
        <v>24</v>
      </c>
    </row>
    <row r="13434" spans="1:11" ht="54" customHeight="1">
      <c r="A13434" s="9" t="s">
        <v>27389</v>
      </c>
      <c r="B13434" s="9" t="s">
        <v>27389</v>
      </c>
      <c r="C13434" s="9" t="s">
        <v>66</v>
      </c>
      <c r="D13434" s="9" t="s">
        <v>67</v>
      </c>
      <c r="E13434" s="10" t="s">
        <v>506</v>
      </c>
      <c r="F13434" s="9" t="s">
        <v>507</v>
      </c>
      <c r="G13434" s="10" t="s">
        <v>21</v>
      </c>
      <c r="H13434" s="9" t="s">
        <v>22</v>
      </c>
      <c r="I13434" s="9" t="s">
        <v>27392</v>
      </c>
      <c r="J13434" s="10" t="str">
        <f>HYPERLINK("https://www.boe.es/gazeta/dias/1834/03/04/pdfs/GMD-1834-28.pdf#page=3","Abrir facsímil")</f>
        <v>Abrir facsímil</v>
      </c>
      <c r="K13434" s="10" t="s">
        <v>24</v>
      </c>
    </row>
    <row r="13435" spans="1:11" ht="54" customHeight="1">
      <c r="A13435" s="9" t="s">
        <v>27389</v>
      </c>
      <c r="B13435" s="9" t="s">
        <v>27389</v>
      </c>
      <c r="C13435" s="9" t="s">
        <v>17</v>
      </c>
      <c r="D13435" s="9" t="s">
        <v>55</v>
      </c>
      <c r="E13435" s="10" t="s">
        <v>355</v>
      </c>
      <c r="F13435" s="9" t="s">
        <v>356</v>
      </c>
      <c r="G13435" s="10" t="s">
        <v>86</v>
      </c>
      <c r="H13435" s="9" t="s">
        <v>22</v>
      </c>
      <c r="I13435" s="9" t="s">
        <v>27393</v>
      </c>
      <c r="J13435" s="10" t="str">
        <f>HYPERLINK("https://www.boe.es/gazeta/dias/1834/07/04/pdfs/GMD-1834-137.pdf#page=2","Abrir facsímil")</f>
        <v>Abrir facsímil</v>
      </c>
      <c r="K13435" s="10" t="s">
        <v>24</v>
      </c>
    </row>
    <row r="13436" spans="1:11" ht="54" customHeight="1">
      <c r="A13436" s="9" t="s">
        <v>27389</v>
      </c>
      <c r="B13436" s="9" t="s">
        <v>27389</v>
      </c>
      <c r="C13436" s="9" t="s">
        <v>66</v>
      </c>
      <c r="D13436" s="9" t="s">
        <v>67</v>
      </c>
      <c r="E13436" s="10" t="s">
        <v>762</v>
      </c>
      <c r="F13436" s="9" t="s">
        <v>763</v>
      </c>
      <c r="G13436" s="10" t="s">
        <v>21</v>
      </c>
      <c r="H13436" s="9" t="s">
        <v>22</v>
      </c>
      <c r="I13436" s="9" t="s">
        <v>27394</v>
      </c>
      <c r="J13436" s="10" t="str">
        <f>HYPERLINK("https://www.boe.es/gazeta/dias/1834/11/07/pdfs/GMD-1834-266.pdf#page=3","Abrir facsímil")</f>
        <v>Abrir facsímil</v>
      </c>
      <c r="K13436" s="10" t="s">
        <v>24</v>
      </c>
    </row>
    <row r="13437" spans="1:11" ht="54" customHeight="1">
      <c r="A13437" s="9" t="s">
        <v>27389</v>
      </c>
      <c r="B13437" s="9" t="s">
        <v>27389</v>
      </c>
      <c r="C13437" s="9" t="s">
        <v>17</v>
      </c>
      <c r="D13437" s="9" t="s">
        <v>18</v>
      </c>
      <c r="E13437" s="10" t="s">
        <v>1008</v>
      </c>
      <c r="F13437" s="9" t="s">
        <v>2991</v>
      </c>
      <c r="G13437" s="10" t="s">
        <v>34</v>
      </c>
      <c r="H13437" s="9" t="s">
        <v>22</v>
      </c>
      <c r="I13437" s="9" t="s">
        <v>27395</v>
      </c>
      <c r="J13437" s="10" t="str">
        <f>HYPERLINK("https://www.boe.es/gazeta/dias/1834/11/08/pdfs/GMD-1834-267.pdf#page=1","Abrir facsímil")</f>
        <v>Abrir facsímil</v>
      </c>
      <c r="K13437" s="10" t="s">
        <v>24</v>
      </c>
    </row>
    <row r="13438" spans="1:11" ht="54" customHeight="1">
      <c r="A13438" s="9" t="s">
        <v>27389</v>
      </c>
      <c r="B13438" s="9" t="s">
        <v>27389</v>
      </c>
      <c r="C13438" s="9" t="s">
        <v>17</v>
      </c>
      <c r="D13438" s="9" t="s">
        <v>18</v>
      </c>
      <c r="E13438" s="10" t="s">
        <v>1008</v>
      </c>
      <c r="F13438" s="9" t="s">
        <v>2991</v>
      </c>
      <c r="G13438" s="10" t="s">
        <v>21</v>
      </c>
      <c r="H13438" s="9" t="s">
        <v>22</v>
      </c>
      <c r="I13438" s="9" t="s">
        <v>27396</v>
      </c>
      <c r="J13438" s="10" t="str">
        <f>HYPERLINK("https://www.boe.es/gazeta/dias/1834/11/08/pdfs/GMD-1834-267.pdf#page=3","Abrir facsímil")</f>
        <v>Abrir facsímil</v>
      </c>
      <c r="K13438" s="10" t="s">
        <v>24</v>
      </c>
    </row>
    <row r="13439" spans="1:11" ht="54" customHeight="1">
      <c r="A13439" s="9" t="s">
        <v>27389</v>
      </c>
      <c r="B13439" s="9" t="s">
        <v>27389</v>
      </c>
      <c r="C13439" s="9" t="s">
        <v>46</v>
      </c>
      <c r="D13439" s="9" t="s">
        <v>18</v>
      </c>
      <c r="E13439" s="10" t="s">
        <v>237</v>
      </c>
      <c r="F13439" s="9" t="s">
        <v>4609</v>
      </c>
      <c r="G13439" s="10" t="s">
        <v>34</v>
      </c>
      <c r="H13439" s="9" t="s">
        <v>22</v>
      </c>
      <c r="I13439" s="9" t="s">
        <v>27397</v>
      </c>
      <c r="J13439" s="10" t="str">
        <f>HYPERLINK("https://www.boe.es/gazeta/dias/1834/08/15/pdfs/GMD-1834-180.pdf#page=1","Abrir facsímil")</f>
        <v>Abrir facsímil</v>
      </c>
      <c r="K13439" s="10" t="s">
        <v>24</v>
      </c>
    </row>
    <row r="13440" spans="1:11" ht="54" customHeight="1">
      <c r="A13440" s="9" t="s">
        <v>27389</v>
      </c>
      <c r="B13440" s="9" t="s">
        <v>27389</v>
      </c>
      <c r="C13440" s="9" t="s">
        <v>17</v>
      </c>
      <c r="D13440" s="9" t="s">
        <v>55</v>
      </c>
      <c r="E13440" s="10" t="s">
        <v>1116</v>
      </c>
      <c r="F13440" s="9" t="s">
        <v>1117</v>
      </c>
      <c r="G13440" s="10" t="s">
        <v>86</v>
      </c>
      <c r="H13440" s="9" t="s">
        <v>22</v>
      </c>
      <c r="I13440" s="9" t="s">
        <v>27398</v>
      </c>
      <c r="J13440" s="10" t="str">
        <f>HYPERLINK("https://www.boe.es/gazeta/dias/1834/05/16/pdfs/GMD-1834-85.pdf#page=2","Abrir facsímil")</f>
        <v>Abrir facsímil</v>
      </c>
      <c r="K13440" s="10" t="s">
        <v>24</v>
      </c>
    </row>
    <row r="13441" spans="1:11" ht="54" customHeight="1">
      <c r="A13441" s="9" t="s">
        <v>27389</v>
      </c>
      <c r="B13441" s="9" t="s">
        <v>27389</v>
      </c>
      <c r="C13441" s="9" t="s">
        <v>66</v>
      </c>
      <c r="D13441" s="9" t="s">
        <v>67</v>
      </c>
      <c r="E13441" s="10" t="s">
        <v>1812</v>
      </c>
      <c r="F13441" s="9" t="s">
        <v>1813</v>
      </c>
      <c r="G13441" s="10" t="s">
        <v>75</v>
      </c>
      <c r="H13441" s="9" t="s">
        <v>22</v>
      </c>
      <c r="I13441" s="9" t="s">
        <v>27399</v>
      </c>
      <c r="J13441" s="10" t="str">
        <f>HYPERLINK("https://www.boe.es/gazeta/dias/1834/10/23/pdfs/GMD-1834-251.pdf#page=4","Abrir facsímil")</f>
        <v>Abrir facsímil</v>
      </c>
      <c r="K13441" s="10" t="s">
        <v>24</v>
      </c>
    </row>
    <row r="13442" spans="1:11" ht="54" customHeight="1">
      <c r="A13442" s="9" t="s">
        <v>27389</v>
      </c>
      <c r="B13442" s="9" t="s">
        <v>27389</v>
      </c>
      <c r="C13442" s="9" t="s">
        <v>17</v>
      </c>
      <c r="D13442" s="9" t="s">
        <v>18</v>
      </c>
      <c r="E13442" s="10" t="s">
        <v>658</v>
      </c>
      <c r="F13442" s="9" t="s">
        <v>659</v>
      </c>
      <c r="G13442" s="10" t="s">
        <v>21</v>
      </c>
      <c r="H13442" s="9" t="s">
        <v>22</v>
      </c>
      <c r="I13442" s="9" t="s">
        <v>27400</v>
      </c>
      <c r="J13442" s="10" t="str">
        <f>HYPERLINK("https://www.boe.es/gazeta/dias/1834/05/26/pdfs/GMD-1834-95.pdf#page=3","Abrir facsímil")</f>
        <v>Abrir facsímil</v>
      </c>
      <c r="K13442" s="10" t="s">
        <v>24</v>
      </c>
    </row>
    <row r="13443" spans="1:11" ht="54" customHeight="1">
      <c r="A13443" s="9" t="s">
        <v>27389</v>
      </c>
      <c r="B13443" s="9" t="s">
        <v>27389</v>
      </c>
      <c r="C13443" s="9" t="s">
        <v>46</v>
      </c>
      <c r="D13443" s="9" t="s">
        <v>18</v>
      </c>
      <c r="E13443" s="10" t="s">
        <v>1135</v>
      </c>
      <c r="F13443" s="9" t="s">
        <v>1136</v>
      </c>
      <c r="G13443" s="10" t="s">
        <v>34</v>
      </c>
      <c r="H13443" s="9" t="s">
        <v>22</v>
      </c>
      <c r="I13443" s="9" t="s">
        <v>27401</v>
      </c>
      <c r="J13443" s="10" t="str">
        <f>HYPERLINK("https://www.boe.es/gazeta/dias/1834/08/26/pdfs/GMD-1834-192.pdf#page=1","Abrir facsímil")</f>
        <v>Abrir facsímil</v>
      </c>
      <c r="K13443" s="10" t="s">
        <v>24</v>
      </c>
    </row>
    <row r="13444" spans="1:11" ht="54" customHeight="1">
      <c r="A13444" s="9" t="s">
        <v>27389</v>
      </c>
      <c r="B13444" s="9" t="s">
        <v>27389</v>
      </c>
      <c r="C13444" s="9" t="s">
        <v>90</v>
      </c>
      <c r="D13444" s="9" t="s">
        <v>55</v>
      </c>
      <c r="E13444" s="10" t="s">
        <v>1689</v>
      </c>
      <c r="F13444" s="9" t="s">
        <v>1690</v>
      </c>
      <c r="G13444" s="10" t="s">
        <v>21</v>
      </c>
      <c r="H13444" s="9" t="s">
        <v>22</v>
      </c>
      <c r="I13444" s="9" t="s">
        <v>27402</v>
      </c>
      <c r="J13444" s="10" t="str">
        <f>HYPERLINK("https://www.boe.es/gazeta/dias/1834/07/28/pdfs/GMD-1834-161.pdf#page=3","Abrir facsímil")</f>
        <v>Abrir facsímil</v>
      </c>
      <c r="K13444" s="10" t="s">
        <v>24</v>
      </c>
    </row>
    <row r="13445" spans="1:11" ht="54" customHeight="1">
      <c r="A13445" s="9" t="s">
        <v>27389</v>
      </c>
      <c r="B13445" s="9" t="s">
        <v>27389</v>
      </c>
      <c r="C13445" s="9" t="s">
        <v>90</v>
      </c>
      <c r="D13445" s="9" t="s">
        <v>18</v>
      </c>
      <c r="E13445" s="10" t="s">
        <v>309</v>
      </c>
      <c r="F13445" s="9" t="s">
        <v>310</v>
      </c>
      <c r="G13445" s="10" t="s">
        <v>21</v>
      </c>
      <c r="H13445" s="9" t="s">
        <v>22</v>
      </c>
      <c r="I13445" s="9" t="s">
        <v>27403</v>
      </c>
      <c r="J13445" s="10" t="str">
        <f>HYPERLINK("https://www.boe.es/gazeta/dias/1834/05/30/pdfs/GMD-1834-99.pdf#page=3","Abrir facsímil")</f>
        <v>Abrir facsímil</v>
      </c>
      <c r="K13445" s="10" t="s">
        <v>24</v>
      </c>
    </row>
    <row r="13446" spans="1:11" ht="54" customHeight="1">
      <c r="A13446" s="9" t="s">
        <v>27389</v>
      </c>
      <c r="B13446" s="9" t="s">
        <v>27389</v>
      </c>
      <c r="C13446" s="9" t="s">
        <v>17</v>
      </c>
      <c r="D13446" s="9" t="s">
        <v>55</v>
      </c>
      <c r="E13446" s="10" t="s">
        <v>3083</v>
      </c>
      <c r="F13446" s="9" t="s">
        <v>3084</v>
      </c>
      <c r="G13446" s="10" t="s">
        <v>34</v>
      </c>
      <c r="H13446" s="9" t="s">
        <v>22</v>
      </c>
      <c r="I13446" s="9" t="s">
        <v>27404</v>
      </c>
      <c r="J13446" s="10" t="str">
        <f>HYPERLINK("https://www.boe.es/gazeta/dias/1834/10/30/pdfs/GMD-1834-258.pdf#page=1","Abrir facsímil")</f>
        <v>Abrir facsímil</v>
      </c>
      <c r="K13446" s="10" t="s">
        <v>24</v>
      </c>
    </row>
    <row r="13447" spans="1:11" ht="54" customHeight="1">
      <c r="A13447" s="9" t="s">
        <v>27405</v>
      </c>
      <c r="B13447" s="9" t="s">
        <v>27405</v>
      </c>
      <c r="C13447" s="9" t="s">
        <v>46</v>
      </c>
      <c r="D13447" s="9" t="s">
        <v>18</v>
      </c>
      <c r="E13447" s="10" t="s">
        <v>1812</v>
      </c>
      <c r="F13447" s="9" t="s">
        <v>1813</v>
      </c>
      <c r="G13447" s="10" t="s">
        <v>75</v>
      </c>
      <c r="H13447" s="9" t="s">
        <v>22</v>
      </c>
      <c r="I13447" s="9" t="s">
        <v>27406</v>
      </c>
      <c r="J13447" s="10" t="str">
        <f>HYPERLINK("https://www.boe.es/gazeta/dias/1834/10/23/pdfs/GMD-1834-251.pdf#page=4","Abrir facsímil")</f>
        <v>Abrir facsímil</v>
      </c>
      <c r="K13447" s="10" t="s">
        <v>24</v>
      </c>
    </row>
    <row r="13448" spans="1:11" ht="54" customHeight="1">
      <c r="A13448" s="9" t="s">
        <v>27407</v>
      </c>
      <c r="B13448" s="9" t="s">
        <v>27407</v>
      </c>
      <c r="C13448" s="9" t="s">
        <v>17</v>
      </c>
      <c r="D13448" s="9" t="s">
        <v>55</v>
      </c>
      <c r="E13448" s="10" t="s">
        <v>243</v>
      </c>
      <c r="F13448" s="9" t="s">
        <v>1109</v>
      </c>
      <c r="G13448" s="10" t="s">
        <v>34</v>
      </c>
      <c r="H13448" s="9" t="s">
        <v>22</v>
      </c>
      <c r="I13448" s="9" t="s">
        <v>27408</v>
      </c>
      <c r="J13448" s="10" t="str">
        <f>HYPERLINK("https://www.boe.es/gazeta/dias/1834/08/05/pdfs/GMD-1834-169.pdf#page=1","Abrir facsímil")</f>
        <v>Abrir facsímil</v>
      </c>
      <c r="K13448" s="10" t="s">
        <v>24</v>
      </c>
    </row>
    <row r="13449" spans="1:11" ht="54" customHeight="1">
      <c r="A13449" s="9" t="s">
        <v>27409</v>
      </c>
      <c r="B13449" s="9" t="s">
        <v>27409</v>
      </c>
      <c r="C13449" s="9" t="s">
        <v>17</v>
      </c>
      <c r="D13449" s="9" t="s">
        <v>18</v>
      </c>
      <c r="E13449" s="10" t="s">
        <v>3207</v>
      </c>
      <c r="F13449" s="9" t="s">
        <v>3208</v>
      </c>
      <c r="G13449" s="10" t="s">
        <v>86</v>
      </c>
      <c r="H13449" s="9" t="s">
        <v>22</v>
      </c>
      <c r="I13449" s="9" t="s">
        <v>27410</v>
      </c>
      <c r="J13449" s="10" t="str">
        <f>HYPERLINK("https://www.boe.es/gazeta/dias/1834/10/13/pdfs/GMD-1834-241.pdf#page=2","Abrir facsímil")</f>
        <v>Abrir facsímil</v>
      </c>
      <c r="K13449" s="10" t="s">
        <v>24</v>
      </c>
    </row>
    <row r="13450" spans="1:11" ht="54" customHeight="1">
      <c r="A13450" s="9" t="s">
        <v>27409</v>
      </c>
      <c r="B13450" s="9" t="s">
        <v>27409</v>
      </c>
      <c r="C13450" s="9" t="s">
        <v>46</v>
      </c>
      <c r="D13450" s="9" t="s">
        <v>18</v>
      </c>
      <c r="E13450" s="10" t="s">
        <v>1424</v>
      </c>
      <c r="F13450" s="9" t="s">
        <v>3445</v>
      </c>
      <c r="G13450" s="10" t="s">
        <v>86</v>
      </c>
      <c r="H13450" s="9" t="s">
        <v>22</v>
      </c>
      <c r="I13450" s="9" t="s">
        <v>27411</v>
      </c>
      <c r="J13450" s="10" t="str">
        <f>HYPERLINK("https://www.boe.es/gazeta/dias/1834/11/14/pdfs/GMD-1834-273.pdf#page=2","Abrir facsímil")</f>
        <v>Abrir facsímil</v>
      </c>
      <c r="K13450" s="10" t="s">
        <v>24</v>
      </c>
    </row>
    <row r="13451" spans="1:11" ht="54" customHeight="1">
      <c r="A13451" s="9" t="s">
        <v>27409</v>
      </c>
      <c r="B13451" s="9" t="s">
        <v>27409</v>
      </c>
      <c r="C13451" s="9" t="s">
        <v>46</v>
      </c>
      <c r="D13451" s="9" t="s">
        <v>18</v>
      </c>
      <c r="E13451" s="10" t="s">
        <v>866</v>
      </c>
      <c r="F13451" s="9" t="s">
        <v>867</v>
      </c>
      <c r="G13451" s="10" t="s">
        <v>86</v>
      </c>
      <c r="H13451" s="9" t="s">
        <v>22</v>
      </c>
      <c r="I13451" s="9" t="s">
        <v>27412</v>
      </c>
      <c r="J13451" s="10" t="str">
        <f>HYPERLINK("https://www.boe.es/gazeta/dias/1834/01/18/pdfs/GMD-1834-9.pdf#page=2","Abrir facsímil")</f>
        <v>Abrir facsímil</v>
      </c>
      <c r="K13451" s="10" t="s">
        <v>24</v>
      </c>
    </row>
    <row r="13452" spans="1:11" ht="54" customHeight="1">
      <c r="A13452" s="9" t="s">
        <v>27409</v>
      </c>
      <c r="B13452" s="9" t="s">
        <v>27409</v>
      </c>
      <c r="C13452" s="9" t="s">
        <v>17</v>
      </c>
      <c r="D13452" s="9" t="s">
        <v>18</v>
      </c>
      <c r="E13452" s="10" t="s">
        <v>3083</v>
      </c>
      <c r="F13452" s="9" t="s">
        <v>3084</v>
      </c>
      <c r="G13452" s="10" t="s">
        <v>86</v>
      </c>
      <c r="H13452" s="9" t="s">
        <v>22</v>
      </c>
      <c r="I13452" s="9" t="s">
        <v>27413</v>
      </c>
      <c r="J13452" s="10" t="str">
        <f>HYPERLINK("https://www.boe.es/gazeta/dias/1834/10/30/pdfs/GMD-1834-258.pdf#page=2","Abrir facsímil")</f>
        <v>Abrir facsímil</v>
      </c>
      <c r="K13452" s="10" t="s">
        <v>24</v>
      </c>
    </row>
    <row r="13453" spans="1:11" ht="54" customHeight="1">
      <c r="A13453" s="9" t="s">
        <v>27414</v>
      </c>
      <c r="B13453" s="9" t="s">
        <v>27415</v>
      </c>
      <c r="C13453" s="9" t="s">
        <v>17</v>
      </c>
      <c r="D13453" s="9" t="s">
        <v>55</v>
      </c>
      <c r="E13453" s="10" t="s">
        <v>348</v>
      </c>
      <c r="F13453" s="9" t="s">
        <v>349</v>
      </c>
      <c r="G13453" s="10" t="s">
        <v>34</v>
      </c>
      <c r="H13453" s="9" t="s">
        <v>22</v>
      </c>
      <c r="I13453" s="9" t="s">
        <v>27416</v>
      </c>
      <c r="J13453" s="10" t="str">
        <f>HYPERLINK("https://www.boe.es/gazeta/dias/1834/06/12/pdfs/GMD-C-1834-115.pdf#page=1","Abrir facsímil")</f>
        <v>Abrir facsímil</v>
      </c>
      <c r="K13453" s="10" t="s">
        <v>24</v>
      </c>
    </row>
    <row r="13454" spans="1:11" ht="54" customHeight="1">
      <c r="A13454" s="9" t="s">
        <v>27417</v>
      </c>
      <c r="B13454" s="9" t="s">
        <v>27418</v>
      </c>
      <c r="C13454" s="9" t="s">
        <v>17</v>
      </c>
      <c r="D13454" s="9" t="s">
        <v>18</v>
      </c>
      <c r="E13454" s="10" t="s">
        <v>343</v>
      </c>
      <c r="F13454" s="9" t="s">
        <v>344</v>
      </c>
      <c r="G13454" s="10" t="s">
        <v>75</v>
      </c>
      <c r="H13454" s="9" t="s">
        <v>22</v>
      </c>
      <c r="I13454" s="9" t="s">
        <v>27419</v>
      </c>
      <c r="J13454" s="10" t="str">
        <f>HYPERLINK("https://www.boe.es/gazeta/dias/1834/01/14/pdfs/GMD-1834-7.pdf#page=4","Abrir facsímil")</f>
        <v>Abrir facsímil</v>
      </c>
      <c r="K13454" s="10" t="s">
        <v>24</v>
      </c>
    </row>
    <row r="13455" spans="1:11" ht="54" customHeight="1">
      <c r="A13455" s="9" t="s">
        <v>27420</v>
      </c>
      <c r="B13455" s="9" t="s">
        <v>27420</v>
      </c>
      <c r="C13455" s="9" t="s">
        <v>857</v>
      </c>
      <c r="D13455" s="9" t="s">
        <v>18</v>
      </c>
      <c r="E13455" s="10" t="s">
        <v>167</v>
      </c>
      <c r="F13455" s="9" t="s">
        <v>1200</v>
      </c>
      <c r="G13455" s="10" t="s">
        <v>34</v>
      </c>
      <c r="H13455" s="9" t="s">
        <v>22</v>
      </c>
      <c r="I13455" s="9" t="s">
        <v>27421</v>
      </c>
      <c r="J13455" s="10" t="str">
        <f>HYPERLINK("https://www.boe.es/gazeta/dias/1834/09/07/pdfs/GMD-C-1834-205.pdf#page=1","Abrir facsímil")</f>
        <v>Abrir facsímil</v>
      </c>
      <c r="K13455" s="10" t="s">
        <v>24</v>
      </c>
    </row>
    <row r="13456" spans="1:11" ht="54" customHeight="1">
      <c r="A13456" s="9" t="s">
        <v>27422</v>
      </c>
      <c r="B13456" s="9" t="s">
        <v>27423</v>
      </c>
      <c r="C13456" s="9" t="s">
        <v>17</v>
      </c>
      <c r="D13456" s="9" t="s">
        <v>18</v>
      </c>
      <c r="E13456" s="10" t="s">
        <v>679</v>
      </c>
      <c r="F13456" s="9" t="s">
        <v>699</v>
      </c>
      <c r="G13456" s="10" t="s">
        <v>75</v>
      </c>
      <c r="H13456" s="9" t="s">
        <v>22</v>
      </c>
      <c r="I13456" s="9" t="s">
        <v>27424</v>
      </c>
      <c r="J13456" s="10" t="str">
        <f>HYPERLINK("https://www.boe.es/gazeta/dias/1834/12/10/pdfs/GMD-C-1834-299.pdf#page=4","Abrir facsímil")</f>
        <v>Abrir facsímil</v>
      </c>
      <c r="K13456" s="10" t="s">
        <v>24</v>
      </c>
    </row>
    <row r="13457" spans="1:11" ht="54" customHeight="1">
      <c r="A13457" s="9" t="s">
        <v>27425</v>
      </c>
      <c r="B13457" s="9" t="s">
        <v>27425</v>
      </c>
      <c r="C13457" s="9" t="s">
        <v>17</v>
      </c>
      <c r="D13457" s="9" t="s">
        <v>18</v>
      </c>
      <c r="E13457" s="10" t="s">
        <v>777</v>
      </c>
      <c r="F13457" s="9" t="s">
        <v>778</v>
      </c>
      <c r="G13457" s="10" t="s">
        <v>21</v>
      </c>
      <c r="H13457" s="9" t="s">
        <v>22</v>
      </c>
      <c r="I13457" s="9" t="s">
        <v>27426</v>
      </c>
      <c r="J13457" s="10" t="str">
        <f>HYPERLINK("https://www.boe.es/gazeta/dias/1834/10/29/pdfs/GMD-1834-257.pdf#page=3","Abrir facsímil")</f>
        <v>Abrir facsímil</v>
      </c>
      <c r="K13457" s="10" t="s">
        <v>24</v>
      </c>
    </row>
    <row r="13458" spans="1:11" ht="54" customHeight="1">
      <c r="A13458" s="9" t="s">
        <v>27427</v>
      </c>
      <c r="B13458" s="9" t="s">
        <v>27427</v>
      </c>
      <c r="C13458" s="9" t="s">
        <v>46</v>
      </c>
      <c r="D13458" s="9" t="s">
        <v>18</v>
      </c>
      <c r="E13458" s="10" t="s">
        <v>3699</v>
      </c>
      <c r="F13458" s="9" t="s">
        <v>3700</v>
      </c>
      <c r="G13458" s="10" t="s">
        <v>21</v>
      </c>
      <c r="H13458" s="9" t="s">
        <v>22</v>
      </c>
      <c r="I13458" s="9" t="s">
        <v>27428</v>
      </c>
      <c r="J13458" s="10" t="str">
        <f>HYPERLINK("https://www.boe.es/gazeta/dias/1834/02/06/pdfs/GMD-1834-17.pdf#page=3","Abrir facsímil")</f>
        <v>Abrir facsímil</v>
      </c>
      <c r="K13458" s="10" t="s">
        <v>24</v>
      </c>
    </row>
    <row r="13459" spans="1:11" ht="54" customHeight="1">
      <c r="A13459" s="9" t="s">
        <v>27429</v>
      </c>
      <c r="B13459" s="9" t="s">
        <v>27429</v>
      </c>
      <c r="C13459" s="9" t="s">
        <v>17</v>
      </c>
      <c r="D13459" s="9" t="s">
        <v>18</v>
      </c>
      <c r="E13459" s="10" t="s">
        <v>187</v>
      </c>
      <c r="F13459" s="9" t="s">
        <v>1715</v>
      </c>
      <c r="G13459" s="10" t="s">
        <v>34</v>
      </c>
      <c r="H13459" s="9" t="s">
        <v>22</v>
      </c>
      <c r="I13459" s="9" t="s">
        <v>27430</v>
      </c>
      <c r="J13459" s="10" t="str">
        <f>HYPERLINK("https://www.boe.es/gazeta/dias/1834/09/30/pdfs/GMD-C-1834-228.pdf#page=1","Abrir facsímil")</f>
        <v>Abrir facsímil</v>
      </c>
      <c r="K13459" s="10" t="s">
        <v>24</v>
      </c>
    </row>
    <row r="13460" spans="1:11" ht="54" customHeight="1">
      <c r="A13460" s="9" t="s">
        <v>27431</v>
      </c>
      <c r="B13460" s="9" t="s">
        <v>27431</v>
      </c>
      <c r="C13460" s="9" t="s">
        <v>46</v>
      </c>
      <c r="D13460" s="9" t="s">
        <v>18</v>
      </c>
      <c r="E13460" s="10" t="s">
        <v>330</v>
      </c>
      <c r="F13460" s="9" t="s">
        <v>331</v>
      </c>
      <c r="G13460" s="10" t="s">
        <v>21</v>
      </c>
      <c r="H13460" s="9" t="s">
        <v>22</v>
      </c>
      <c r="I13460" s="9" t="s">
        <v>27432</v>
      </c>
      <c r="J13460" s="10" t="str">
        <f>HYPERLINK("https://www.boe.es/gazeta/dias/1834/12/03/pdfs/GMD-1834-292.pdf#page=3","Abrir facsímil")</f>
        <v>Abrir facsímil</v>
      </c>
      <c r="K13460" s="10" t="s">
        <v>24</v>
      </c>
    </row>
    <row r="13461" spans="1:11" ht="54" customHeight="1">
      <c r="A13461" s="9" t="s">
        <v>27433</v>
      </c>
      <c r="B13461" s="9" t="s">
        <v>27434</v>
      </c>
      <c r="C13461" s="9" t="s">
        <v>17</v>
      </c>
      <c r="D13461" s="9" t="s">
        <v>101</v>
      </c>
      <c r="E13461" s="10" t="s">
        <v>1850</v>
      </c>
      <c r="F13461" s="9" t="s">
        <v>1851</v>
      </c>
      <c r="G13461" s="10" t="s">
        <v>176</v>
      </c>
      <c r="H13461" s="9" t="s">
        <v>22</v>
      </c>
      <c r="I13461" s="9" t="s">
        <v>27435</v>
      </c>
      <c r="J13461" s="10" t="str">
        <f>HYPERLINK("https://www.boe.es/gazeta/dias/1834/02/18/pdfs/GMD-1834-22.pdf#page=6","Abrir facsímil")</f>
        <v>Abrir facsímil</v>
      </c>
      <c r="K13461" s="10" t="s">
        <v>24</v>
      </c>
    </row>
    <row r="13462" spans="1:11" ht="54" customHeight="1">
      <c r="A13462" s="9" t="s">
        <v>27436</v>
      </c>
      <c r="B13462" s="9" t="s">
        <v>27437</v>
      </c>
      <c r="C13462" s="9" t="s">
        <v>17</v>
      </c>
      <c r="D13462" s="9" t="s">
        <v>18</v>
      </c>
      <c r="E13462" s="10" t="s">
        <v>912</v>
      </c>
      <c r="F13462" s="9" t="s">
        <v>913</v>
      </c>
      <c r="G13462" s="10" t="s">
        <v>28</v>
      </c>
      <c r="H13462" s="9" t="s">
        <v>22</v>
      </c>
      <c r="I13462" s="9" t="s">
        <v>27438</v>
      </c>
      <c r="J13462" s="10" t="str">
        <f>HYPERLINK("https://www.boe.es/gazeta/dias/1834/02/15/pdfs/GMD-1834-21.pdf#page=5","Abrir facsímil")</f>
        <v>Abrir facsímil</v>
      </c>
      <c r="K13462" s="10" t="s">
        <v>24</v>
      </c>
    </row>
    <row r="13463" spans="1:11" ht="54" customHeight="1">
      <c r="A13463" s="9" t="s">
        <v>27439</v>
      </c>
      <c r="B13463" s="9" t="s">
        <v>27440</v>
      </c>
      <c r="C13463" s="9" t="s">
        <v>122</v>
      </c>
      <c r="D13463" s="9" t="s">
        <v>18</v>
      </c>
      <c r="E13463" s="10" t="s">
        <v>61</v>
      </c>
      <c r="F13463" s="9" t="s">
        <v>205</v>
      </c>
      <c r="G13463" s="10" t="s">
        <v>21</v>
      </c>
      <c r="H13463" s="9" t="s">
        <v>22</v>
      </c>
      <c r="I13463" s="9" t="s">
        <v>27441</v>
      </c>
      <c r="J13463" s="10" t="str">
        <f>HYPERLINK("https://www.boe.es/gazeta/dias/1834/06/08/pdfs/GMD-1834-110.pdf#page=3","Abrir facsímil")</f>
        <v>Abrir facsímil</v>
      </c>
      <c r="K13463" s="10" t="s">
        <v>24</v>
      </c>
    </row>
    <row r="13464" spans="1:11" ht="54" customHeight="1">
      <c r="A13464" s="9" t="s">
        <v>27442</v>
      </c>
      <c r="B13464" s="9" t="s">
        <v>27443</v>
      </c>
      <c r="C13464" s="9" t="s">
        <v>90</v>
      </c>
      <c r="D13464" s="9" t="s">
        <v>18</v>
      </c>
      <c r="E13464" s="10" t="s">
        <v>158</v>
      </c>
      <c r="F13464" s="9" t="s">
        <v>159</v>
      </c>
      <c r="G13464" s="10" t="s">
        <v>21</v>
      </c>
      <c r="H13464" s="9" t="s">
        <v>22</v>
      </c>
      <c r="I13464" s="9" t="s">
        <v>27444</v>
      </c>
      <c r="J13464" s="10" t="str">
        <f>HYPERLINK("https://www.boe.es/gazeta/dias/1834/10/01/pdfs/GMD-1834-229.pdf#page=3","Abrir facsímil")</f>
        <v>Abrir facsímil</v>
      </c>
      <c r="K13464" s="10" t="s">
        <v>24</v>
      </c>
    </row>
    <row r="13465" spans="1:11" ht="54" customHeight="1">
      <c r="A13465" s="9" t="s">
        <v>27445</v>
      </c>
      <c r="B13465" s="9" t="s">
        <v>27446</v>
      </c>
      <c r="C13465" s="9" t="s">
        <v>17</v>
      </c>
      <c r="D13465" s="9" t="s">
        <v>55</v>
      </c>
      <c r="E13465" s="10" t="s">
        <v>928</v>
      </c>
      <c r="F13465" s="9" t="s">
        <v>3338</v>
      </c>
      <c r="G13465" s="10" t="s">
        <v>86</v>
      </c>
      <c r="H13465" s="9" t="s">
        <v>22</v>
      </c>
      <c r="I13465" s="9" t="s">
        <v>27447</v>
      </c>
      <c r="J13465" s="10" t="str">
        <f>HYPERLINK("https://www.boe.es/gazeta/dias/1834/11/15/pdfs/GMD-1834-274.pdf#page=2","Abrir facsímil")</f>
        <v>Abrir facsímil</v>
      </c>
      <c r="K13465" s="10" t="s">
        <v>24</v>
      </c>
    </row>
    <row r="13466" spans="1:11" ht="54" customHeight="1">
      <c r="A13466" s="9" t="s">
        <v>27448</v>
      </c>
      <c r="B13466" s="9" t="s">
        <v>27449</v>
      </c>
      <c r="C13466" s="9" t="s">
        <v>17</v>
      </c>
      <c r="D13466" s="9" t="s">
        <v>18</v>
      </c>
      <c r="E13466" s="10" t="s">
        <v>1340</v>
      </c>
      <c r="F13466" s="9" t="s">
        <v>1341</v>
      </c>
      <c r="G13466" s="10" t="s">
        <v>75</v>
      </c>
      <c r="H13466" s="9" t="s">
        <v>35</v>
      </c>
      <c r="I13466" s="9" t="s">
        <v>27450</v>
      </c>
      <c r="J13466" s="10" t="str">
        <f>HYPERLINK("https://www.boe.es/gazeta/dias/1834/10/05/pdfs/GMD-C-1834-233.pdf#page=4","Abrir facsímil")</f>
        <v>Abrir facsímil</v>
      </c>
      <c r="K13466" s="10" t="s">
        <v>37</v>
      </c>
    </row>
    <row r="13467" spans="1:11" ht="54" customHeight="1">
      <c r="A13467" s="9" t="s">
        <v>27448</v>
      </c>
      <c r="B13467" s="9" t="s">
        <v>27449</v>
      </c>
      <c r="C13467" s="9" t="s">
        <v>46</v>
      </c>
      <c r="D13467" s="9" t="s">
        <v>55</v>
      </c>
      <c r="E13467" s="10" t="s">
        <v>364</v>
      </c>
      <c r="F13467" s="9" t="s">
        <v>2102</v>
      </c>
      <c r="G13467" s="10" t="s">
        <v>21</v>
      </c>
      <c r="H13467" s="9" t="s">
        <v>35</v>
      </c>
      <c r="I13467" s="9" t="s">
        <v>27451</v>
      </c>
      <c r="J13467" s="10" t="str">
        <f>HYPERLINK("https://www.boe.es/gazeta/dias/1834/09/06/pdfs/GMD-1834-204.pdf#page=3","Abrir facsímil")</f>
        <v>Abrir facsímil</v>
      </c>
      <c r="K13467" s="10" t="s">
        <v>37</v>
      </c>
    </row>
    <row r="13468" spans="1:11" ht="54" customHeight="1">
      <c r="A13468" s="9" t="s">
        <v>27448</v>
      </c>
      <c r="B13468" s="9" t="s">
        <v>27449</v>
      </c>
      <c r="C13468" s="9" t="s">
        <v>17</v>
      </c>
      <c r="D13468" s="9" t="s">
        <v>18</v>
      </c>
      <c r="E13468" s="10" t="s">
        <v>2748</v>
      </c>
      <c r="F13468" s="9" t="s">
        <v>2749</v>
      </c>
      <c r="G13468" s="10" t="s">
        <v>86</v>
      </c>
      <c r="H13468" s="9" t="s">
        <v>35</v>
      </c>
      <c r="I13468" s="9" t="s">
        <v>27452</v>
      </c>
      <c r="J13468" s="10" t="str">
        <f>HYPERLINK("https://www.boe.es/gazeta/dias/1834/01/09/pdfs/GMD-1834-5.pdf#page=2","Abrir facsímil")</f>
        <v>Abrir facsímil</v>
      </c>
      <c r="K13468" s="10" t="s">
        <v>37</v>
      </c>
    </row>
    <row r="13469" spans="1:11" ht="54" customHeight="1">
      <c r="A13469" s="9" t="s">
        <v>27448</v>
      </c>
      <c r="B13469" s="9" t="s">
        <v>27449</v>
      </c>
      <c r="C13469" s="9" t="s">
        <v>17</v>
      </c>
      <c r="D13469" s="9" t="s">
        <v>101</v>
      </c>
      <c r="E13469" s="10" t="s">
        <v>2203</v>
      </c>
      <c r="F13469" s="9" t="s">
        <v>3917</v>
      </c>
      <c r="G13469" s="10" t="s">
        <v>34</v>
      </c>
      <c r="H13469" s="9" t="s">
        <v>35</v>
      </c>
      <c r="I13469" s="9" t="s">
        <v>27453</v>
      </c>
      <c r="J13469" s="10" t="str">
        <f>HYPERLINK("https://www.boe.es/gazeta/dias/1834/09/10/pdfs/GMD-1834-208.pdf#page=1","Abrir facsímil")</f>
        <v>Abrir facsímil</v>
      </c>
      <c r="K13469" s="10" t="s">
        <v>37</v>
      </c>
    </row>
    <row r="13470" spans="1:11" ht="54" customHeight="1">
      <c r="A13470" s="9" t="s">
        <v>27448</v>
      </c>
      <c r="B13470" s="9" t="s">
        <v>27449</v>
      </c>
      <c r="C13470" s="9" t="s">
        <v>17</v>
      </c>
      <c r="D13470" s="9" t="s">
        <v>18</v>
      </c>
      <c r="E13470" s="10" t="s">
        <v>448</v>
      </c>
      <c r="F13470" s="9" t="s">
        <v>449</v>
      </c>
      <c r="G13470" s="10" t="s">
        <v>86</v>
      </c>
      <c r="H13470" s="9" t="s">
        <v>35</v>
      </c>
      <c r="I13470" s="9" t="s">
        <v>27454</v>
      </c>
      <c r="J13470" s="10" t="str">
        <f>HYPERLINK("https://www.boe.es/gazeta/dias/1834/10/14/pdfs/GMD-C-1834-242.pdf#page=2","Abrir facsímil")</f>
        <v>Abrir facsímil</v>
      </c>
      <c r="K13470" s="10" t="s">
        <v>37</v>
      </c>
    </row>
    <row r="13471" spans="1:11" ht="54" customHeight="1">
      <c r="A13471" s="9" t="s">
        <v>27448</v>
      </c>
      <c r="B13471" s="9" t="s">
        <v>27449</v>
      </c>
      <c r="C13471" s="9" t="s">
        <v>46</v>
      </c>
      <c r="D13471" s="9" t="s">
        <v>55</v>
      </c>
      <c r="E13471" s="10" t="s">
        <v>866</v>
      </c>
      <c r="F13471" s="9" t="s">
        <v>867</v>
      </c>
      <c r="G13471" s="10" t="s">
        <v>86</v>
      </c>
      <c r="H13471" s="9" t="s">
        <v>35</v>
      </c>
      <c r="I13471" s="9" t="s">
        <v>27455</v>
      </c>
      <c r="J13471" s="10" t="str">
        <f>HYPERLINK("https://www.boe.es/gazeta/dias/1834/01/18/pdfs/GMD-1834-9.pdf#page=2","Abrir facsímil")</f>
        <v>Abrir facsímil</v>
      </c>
      <c r="K13471" s="10" t="s">
        <v>37</v>
      </c>
    </row>
    <row r="13472" spans="1:11" ht="54" customHeight="1">
      <c r="A13472" s="9" t="s">
        <v>27448</v>
      </c>
      <c r="B13472" s="9" t="s">
        <v>27449</v>
      </c>
      <c r="C13472" s="9" t="s">
        <v>17</v>
      </c>
      <c r="D13472" s="9" t="s">
        <v>18</v>
      </c>
      <c r="E13472" s="10" t="s">
        <v>1850</v>
      </c>
      <c r="F13472" s="9" t="s">
        <v>1851</v>
      </c>
      <c r="G13472" s="10" t="s">
        <v>75</v>
      </c>
      <c r="H13472" s="9" t="s">
        <v>35</v>
      </c>
      <c r="I13472" s="9" t="s">
        <v>27456</v>
      </c>
      <c r="J13472" s="10" t="str">
        <f>HYPERLINK("https://www.boe.es/gazeta/dias/1834/02/18/pdfs/GMD-1834-22.pdf#page=4","Abrir facsímil")</f>
        <v>Abrir facsímil</v>
      </c>
      <c r="K13472" s="10" t="s">
        <v>37</v>
      </c>
    </row>
    <row r="13473" spans="1:11" ht="54" customHeight="1">
      <c r="A13473" s="9" t="s">
        <v>27448</v>
      </c>
      <c r="B13473" s="9" t="s">
        <v>27449</v>
      </c>
      <c r="C13473" s="9" t="s">
        <v>17</v>
      </c>
      <c r="D13473" s="9" t="s">
        <v>18</v>
      </c>
      <c r="E13473" s="10" t="s">
        <v>2302</v>
      </c>
      <c r="F13473" s="9" t="s">
        <v>2303</v>
      </c>
      <c r="G13473" s="10" t="s">
        <v>34</v>
      </c>
      <c r="H13473" s="9" t="s">
        <v>35</v>
      </c>
      <c r="I13473" s="9" t="s">
        <v>27457</v>
      </c>
      <c r="J13473" s="10" t="str">
        <f>HYPERLINK("https://www.boe.es/gazeta/dias/1834/01/25/pdfs/GMD-1834-12.pdf#page=1","Abrir facsímil")</f>
        <v>Abrir facsímil</v>
      </c>
      <c r="K13473" s="10" t="s">
        <v>37</v>
      </c>
    </row>
    <row r="13474" spans="1:11" ht="54" customHeight="1">
      <c r="A13474" s="9" t="s">
        <v>27448</v>
      </c>
      <c r="B13474" s="9" t="s">
        <v>27449</v>
      </c>
      <c r="C13474" s="9" t="s">
        <v>17</v>
      </c>
      <c r="D13474" s="9" t="s">
        <v>18</v>
      </c>
      <c r="E13474" s="10" t="s">
        <v>3499</v>
      </c>
      <c r="F13474" s="9" t="s">
        <v>3500</v>
      </c>
      <c r="G13474" s="10" t="s">
        <v>86</v>
      </c>
      <c r="H13474" s="9" t="s">
        <v>35</v>
      </c>
      <c r="I13474" s="9" t="s">
        <v>27458</v>
      </c>
      <c r="J13474" s="10" t="str">
        <f>HYPERLINK("https://www.boe.es/gazeta/dias/1834/01/28/pdfs/GMD-1834-13.pdf#page=2","Abrir facsímil")</f>
        <v>Abrir facsímil</v>
      </c>
      <c r="K13474" s="10" t="s">
        <v>37</v>
      </c>
    </row>
    <row r="13475" spans="1:11" ht="54" customHeight="1">
      <c r="A13475" s="9" t="s">
        <v>27459</v>
      </c>
      <c r="B13475" s="9" t="s">
        <v>27460</v>
      </c>
      <c r="C13475" s="9" t="s">
        <v>17</v>
      </c>
      <c r="D13475" s="9" t="s">
        <v>18</v>
      </c>
      <c r="E13475" s="10" t="s">
        <v>672</v>
      </c>
      <c r="F13475" s="9" t="s">
        <v>673</v>
      </c>
      <c r="G13475" s="10" t="s">
        <v>34</v>
      </c>
      <c r="H13475" s="9" t="s">
        <v>35</v>
      </c>
      <c r="I13475" s="9" t="s">
        <v>27461</v>
      </c>
      <c r="J13475" s="10" t="str">
        <f>HYPERLINK("https://www.boe.es/gazeta/dias/1834/09/19/pdfs/GMD-1834-217.pdf#page=1","Abrir facsímil")</f>
        <v>Abrir facsímil</v>
      </c>
      <c r="K13475" s="10" t="s">
        <v>37</v>
      </c>
    </row>
    <row r="13476" spans="1:11" ht="54" customHeight="1">
      <c r="A13476" s="9" t="s">
        <v>27462</v>
      </c>
      <c r="B13476" s="9" t="s">
        <v>27463</v>
      </c>
      <c r="C13476" s="9" t="s">
        <v>17</v>
      </c>
      <c r="D13476" s="9" t="s">
        <v>18</v>
      </c>
      <c r="E13476" s="10" t="s">
        <v>479</v>
      </c>
      <c r="F13476" s="9" t="s">
        <v>2258</v>
      </c>
      <c r="G13476" s="10" t="s">
        <v>86</v>
      </c>
      <c r="H13476" s="9" t="s">
        <v>35</v>
      </c>
      <c r="I13476" s="9" t="s">
        <v>27464</v>
      </c>
      <c r="J13476" s="10" t="str">
        <f>HYPERLINK("https://www.boe.es/gazeta/dias/1834/08/13/pdfs/GMD-C-1834-178.pdf#page=2","Abrir facsímil")</f>
        <v>Abrir facsímil</v>
      </c>
      <c r="K13476" s="10" t="s">
        <v>37</v>
      </c>
    </row>
    <row r="13477" spans="1:11" ht="54" customHeight="1">
      <c r="A13477" s="9" t="s">
        <v>27465</v>
      </c>
      <c r="B13477" s="9" t="s">
        <v>27466</v>
      </c>
      <c r="C13477" s="9" t="s">
        <v>17</v>
      </c>
      <c r="D13477" s="9" t="s">
        <v>101</v>
      </c>
      <c r="E13477" s="10" t="s">
        <v>2212</v>
      </c>
      <c r="F13477" s="9" t="s">
        <v>5450</v>
      </c>
      <c r="G13477" s="10" t="s">
        <v>34</v>
      </c>
      <c r="H13477" s="9" t="s">
        <v>35</v>
      </c>
      <c r="I13477" s="9" t="s">
        <v>27467</v>
      </c>
      <c r="J13477" s="10" t="str">
        <f>HYPERLINK("https://www.boe.es/gazeta/dias/1834/08/04/pdfs/GMD-1834-168.pdf#page=1","Abrir facsímil")</f>
        <v>Abrir facsímil</v>
      </c>
      <c r="K13477" s="10" t="s">
        <v>37</v>
      </c>
    </row>
    <row r="13478" spans="1:11" ht="54" customHeight="1">
      <c r="A13478" s="9" t="s">
        <v>27465</v>
      </c>
      <c r="B13478" s="9" t="s">
        <v>27466</v>
      </c>
      <c r="C13478" s="9" t="s">
        <v>17</v>
      </c>
      <c r="D13478" s="9" t="s">
        <v>101</v>
      </c>
      <c r="E13478" s="10" t="s">
        <v>3225</v>
      </c>
      <c r="F13478" s="9" t="s">
        <v>3226</v>
      </c>
      <c r="G13478" s="10" t="s">
        <v>34</v>
      </c>
      <c r="H13478" s="9" t="s">
        <v>35</v>
      </c>
      <c r="I13478" s="9" t="s">
        <v>27468</v>
      </c>
      <c r="J13478" s="10" t="str">
        <f>HYPERLINK("https://www.boe.es/gazeta/dias/1834/08/22/pdfs/GMD-1834-188.pdf#page=1","Abrir facsímil")</f>
        <v>Abrir facsímil</v>
      </c>
      <c r="K13478" s="10" t="s">
        <v>37</v>
      </c>
    </row>
    <row r="13479" spans="1:11" ht="54" customHeight="1">
      <c r="A13479" s="9" t="s">
        <v>27469</v>
      </c>
      <c r="B13479" s="9" t="s">
        <v>27470</v>
      </c>
      <c r="C13479" s="9" t="s">
        <v>66</v>
      </c>
      <c r="D13479" s="9" t="s">
        <v>67</v>
      </c>
      <c r="E13479" s="10" t="s">
        <v>690</v>
      </c>
      <c r="F13479" s="9" t="s">
        <v>5765</v>
      </c>
      <c r="G13479" s="10" t="s">
        <v>75</v>
      </c>
      <c r="H13479" s="9" t="s">
        <v>35</v>
      </c>
      <c r="I13479" s="9" t="s">
        <v>27471</v>
      </c>
      <c r="J13479" s="10" t="str">
        <f>HYPERLINK("https://www.boe.es/gazeta/dias/1834/09/03/pdfs/GMD-1834-201.pdf#page=4","Abrir facsímil")</f>
        <v>Abrir facsímil</v>
      </c>
      <c r="K13479" s="10" t="s">
        <v>37</v>
      </c>
    </row>
    <row r="13480" spans="1:11" ht="54" customHeight="1">
      <c r="A13480" s="9" t="s">
        <v>27472</v>
      </c>
      <c r="B13480" s="9" t="s">
        <v>27473</v>
      </c>
      <c r="C13480" s="9" t="s">
        <v>17</v>
      </c>
      <c r="D13480" s="9" t="s">
        <v>18</v>
      </c>
      <c r="E13480" s="10" t="s">
        <v>590</v>
      </c>
      <c r="F13480" s="9" t="s">
        <v>591</v>
      </c>
      <c r="G13480" s="10" t="s">
        <v>21</v>
      </c>
      <c r="H13480" s="9" t="s">
        <v>35</v>
      </c>
      <c r="I13480" s="9" t="s">
        <v>27474</v>
      </c>
      <c r="J13480" s="10" t="str">
        <f>HYPERLINK("https://www.boe.es/gazeta/dias/1834/11/30/pdfs/GMD-1834-289.pdf#page=3","Abrir facsímil")</f>
        <v>Abrir facsímil</v>
      </c>
      <c r="K13480" s="10" t="s">
        <v>37</v>
      </c>
    </row>
    <row r="13481" spans="1:11" ht="54" customHeight="1">
      <c r="A13481" s="9" t="s">
        <v>27475</v>
      </c>
      <c r="B13481" s="9" t="s">
        <v>27476</v>
      </c>
      <c r="C13481" s="9" t="s">
        <v>66</v>
      </c>
      <c r="D13481" s="9" t="s">
        <v>67</v>
      </c>
      <c r="E13481" s="10" t="s">
        <v>2218</v>
      </c>
      <c r="F13481" s="9" t="s">
        <v>2219</v>
      </c>
      <c r="G13481" s="10" t="s">
        <v>21</v>
      </c>
      <c r="H13481" s="9" t="s">
        <v>35</v>
      </c>
      <c r="I13481" s="9" t="s">
        <v>27477</v>
      </c>
      <c r="J13481" s="10" t="str">
        <f>HYPERLINK("https://www.boe.es/gazeta/dias/1834/11/05/pdfs/GMD-1834-264.pdf#page=3","Abrir facsímil")</f>
        <v>Abrir facsímil</v>
      </c>
      <c r="K13481" s="10" t="s">
        <v>37</v>
      </c>
    </row>
    <row r="13482" spans="1:11" ht="54" customHeight="1">
      <c r="A13482" s="9" t="s">
        <v>27478</v>
      </c>
      <c r="B13482" s="9" t="s">
        <v>27479</v>
      </c>
      <c r="C13482" s="9" t="s">
        <v>17</v>
      </c>
      <c r="D13482" s="9" t="s">
        <v>18</v>
      </c>
      <c r="E13482" s="10" t="s">
        <v>1017</v>
      </c>
      <c r="F13482" s="9" t="s">
        <v>1018</v>
      </c>
      <c r="G13482" s="10" t="s">
        <v>21</v>
      </c>
      <c r="H13482" s="9" t="s">
        <v>35</v>
      </c>
      <c r="I13482" s="9" t="s">
        <v>27480</v>
      </c>
      <c r="J13482" s="10" t="str">
        <f>HYPERLINK("https://www.boe.es/gazeta/dias/1834/07/24/pdfs/GMD-1834-157.pdf#page=3","Abrir facsímil")</f>
        <v>Abrir facsímil</v>
      </c>
      <c r="K13482" s="10" t="s">
        <v>37</v>
      </c>
    </row>
    <row r="13483" spans="1:11" ht="54" customHeight="1">
      <c r="A13483" s="9" t="s">
        <v>27481</v>
      </c>
      <c r="B13483" s="9" t="s">
        <v>27482</v>
      </c>
      <c r="C13483" s="9" t="s">
        <v>66</v>
      </c>
      <c r="D13483" s="9" t="s">
        <v>67</v>
      </c>
      <c r="E13483" s="10" t="s">
        <v>690</v>
      </c>
      <c r="F13483" s="9" t="s">
        <v>5765</v>
      </c>
      <c r="G13483" s="10" t="s">
        <v>75</v>
      </c>
      <c r="H13483" s="9" t="s">
        <v>35</v>
      </c>
      <c r="I13483" s="9" t="s">
        <v>27483</v>
      </c>
      <c r="J13483" s="10" t="str">
        <f>HYPERLINK("https://www.boe.es/gazeta/dias/1834/09/03/pdfs/GMD-1834-201.pdf#page=4","Abrir facsímil")</f>
        <v>Abrir facsímil</v>
      </c>
      <c r="K13483" s="10" t="s">
        <v>37</v>
      </c>
    </row>
    <row r="13484" spans="1:11" ht="54" customHeight="1">
      <c r="A13484" s="9" t="s">
        <v>27484</v>
      </c>
      <c r="B13484" s="9" t="s">
        <v>27485</v>
      </c>
      <c r="C13484" s="9" t="s">
        <v>122</v>
      </c>
      <c r="D13484" s="9" t="s">
        <v>18</v>
      </c>
      <c r="E13484" s="10" t="s">
        <v>981</v>
      </c>
      <c r="F13484" s="9" t="s">
        <v>3406</v>
      </c>
      <c r="G13484" s="10" t="s">
        <v>28</v>
      </c>
      <c r="H13484" s="9" t="s">
        <v>22</v>
      </c>
      <c r="I13484" s="9" t="s">
        <v>27486</v>
      </c>
      <c r="J13484" s="10" t="str">
        <f>HYPERLINK("https://www.boe.es/gazeta/dias/1834/09/21/pdfs/GMD-C-1834-219.pdf#page=5","Abrir facsímil")</f>
        <v>Abrir facsímil</v>
      </c>
      <c r="K13484" s="10" t="s">
        <v>24</v>
      </c>
    </row>
    <row r="13485" spans="1:11" ht="54" customHeight="1">
      <c r="A13485" s="9" t="s">
        <v>27487</v>
      </c>
      <c r="B13485" s="9" t="s">
        <v>27488</v>
      </c>
      <c r="C13485" s="9" t="s">
        <v>122</v>
      </c>
      <c r="D13485" s="9" t="s">
        <v>18</v>
      </c>
      <c r="E13485" s="10" t="s">
        <v>1351</v>
      </c>
      <c r="F13485" s="9" t="s">
        <v>1352</v>
      </c>
      <c r="G13485" s="10" t="s">
        <v>75</v>
      </c>
      <c r="H13485" s="9" t="s">
        <v>35</v>
      </c>
      <c r="I13485" s="9" t="s">
        <v>27489</v>
      </c>
      <c r="J13485" s="10" t="str">
        <f>HYPERLINK("https://www.boe.es/gazeta/dias/1834/07/05/pdfs/GMD-1834-138.pdf#page=4","Abrir facsímil")</f>
        <v>Abrir facsímil</v>
      </c>
      <c r="K13485" s="10" t="s">
        <v>37</v>
      </c>
    </row>
    <row r="13486" spans="1:11" ht="54" customHeight="1">
      <c r="A13486" s="9" t="s">
        <v>27490</v>
      </c>
      <c r="B13486" s="9" t="s">
        <v>27491</v>
      </c>
      <c r="C13486" s="9" t="s">
        <v>122</v>
      </c>
      <c r="D13486" s="9" t="s">
        <v>18</v>
      </c>
      <c r="E13486" s="10" t="s">
        <v>1351</v>
      </c>
      <c r="F13486" s="9" t="s">
        <v>1352</v>
      </c>
      <c r="G13486" s="10" t="s">
        <v>75</v>
      </c>
      <c r="H13486" s="9" t="s">
        <v>22</v>
      </c>
      <c r="I13486" s="9" t="s">
        <v>27492</v>
      </c>
      <c r="J13486" s="10" t="str">
        <f>HYPERLINK("https://www.boe.es/gazeta/dias/1834/07/05/pdfs/GMD-1834-138.pdf#page=4","Abrir facsímil")</f>
        <v>Abrir facsímil</v>
      </c>
      <c r="K13486" s="10" t="s">
        <v>24</v>
      </c>
    </row>
    <row r="13487" spans="1:11" ht="54" customHeight="1">
      <c r="A13487" s="9" t="s">
        <v>27490</v>
      </c>
      <c r="B13487" s="9" t="s">
        <v>27491</v>
      </c>
      <c r="C13487" s="9" t="s">
        <v>17</v>
      </c>
      <c r="D13487" s="9" t="s">
        <v>18</v>
      </c>
      <c r="E13487" s="10" t="s">
        <v>679</v>
      </c>
      <c r="F13487" s="9" t="s">
        <v>680</v>
      </c>
      <c r="G13487" s="10" t="s">
        <v>75</v>
      </c>
      <c r="H13487" s="9" t="s">
        <v>22</v>
      </c>
      <c r="I13487" s="9" t="s">
        <v>27493</v>
      </c>
      <c r="J13487" s="10" t="str">
        <f>HYPERLINK("https://www.boe.es/gazeta/dias/1834/12/10/pdfs/GMD-1834-299.pdf#page=4","Abrir facsímil")</f>
        <v>Abrir facsímil</v>
      </c>
      <c r="K13487" s="10" t="s">
        <v>24</v>
      </c>
    </row>
    <row r="13488" spans="1:11" ht="54" customHeight="1">
      <c r="A13488" s="9" t="s">
        <v>27494</v>
      </c>
      <c r="B13488" s="9" t="s">
        <v>27494</v>
      </c>
      <c r="C13488" s="9" t="s">
        <v>66</v>
      </c>
      <c r="D13488" s="9" t="s">
        <v>67</v>
      </c>
      <c r="E13488" s="10" t="s">
        <v>1351</v>
      </c>
      <c r="F13488" s="9" t="s">
        <v>1352</v>
      </c>
      <c r="G13488" s="10" t="s">
        <v>21</v>
      </c>
      <c r="H13488" s="9" t="s">
        <v>22</v>
      </c>
      <c r="I13488" s="9" t="s">
        <v>27495</v>
      </c>
      <c r="J13488" s="10" t="str">
        <f>HYPERLINK("https://www.boe.es/gazeta/dias/1834/07/05/pdfs/GMD-1834-138.pdf#page=3","Abrir facsímil")</f>
        <v>Abrir facsímil</v>
      </c>
      <c r="K13488" s="10" t="s">
        <v>24</v>
      </c>
    </row>
    <row r="13489" spans="1:11" ht="54" customHeight="1">
      <c r="A13489" s="9" t="s">
        <v>27496</v>
      </c>
      <c r="B13489" s="9" t="s">
        <v>27496</v>
      </c>
      <c r="C13489" s="9" t="s">
        <v>46</v>
      </c>
      <c r="D13489" s="9" t="s">
        <v>40</v>
      </c>
      <c r="E13489" s="10" t="s">
        <v>3248</v>
      </c>
      <c r="F13489" s="9" t="s">
        <v>3249</v>
      </c>
      <c r="G13489" s="10" t="s">
        <v>75</v>
      </c>
      <c r="H13489" s="9" t="s">
        <v>22</v>
      </c>
      <c r="I13489" s="9" t="s">
        <v>27497</v>
      </c>
      <c r="J13489" s="10" t="str">
        <f>HYPERLINK("https://www.boe.es/gazeta/dias/1834/09/20/pdfs/GMD-1834-218.pdf#page=4","Abrir facsímil")</f>
        <v>Abrir facsímil</v>
      </c>
      <c r="K13489" s="10" t="s">
        <v>24</v>
      </c>
    </row>
    <row r="13490" spans="1:11" ht="54" customHeight="1">
      <c r="A13490" s="9" t="s">
        <v>27498</v>
      </c>
      <c r="B13490" s="9" t="s">
        <v>27499</v>
      </c>
      <c r="C13490" s="9" t="s">
        <v>17</v>
      </c>
      <c r="D13490" s="9" t="s">
        <v>18</v>
      </c>
      <c r="E13490" s="10" t="s">
        <v>2379</v>
      </c>
      <c r="F13490" s="9" t="s">
        <v>2380</v>
      </c>
      <c r="G13490" s="10" t="s">
        <v>21</v>
      </c>
      <c r="H13490" s="9" t="s">
        <v>22</v>
      </c>
      <c r="I13490" s="9" t="s">
        <v>27500</v>
      </c>
      <c r="J13490" s="10" t="str">
        <f>HYPERLINK("https://www.boe.es/gazeta/dias/1834/04/03/pdfs/GMD-1834-42.pdf#page=3","Abrir facsímil")</f>
        <v>Abrir facsímil</v>
      </c>
      <c r="K13490" s="10" t="s">
        <v>24</v>
      </c>
    </row>
    <row r="13491" spans="1:11" ht="54" customHeight="1">
      <c r="A13491" s="9" t="s">
        <v>27501</v>
      </c>
      <c r="B13491" s="9" t="s">
        <v>27502</v>
      </c>
      <c r="C13491" s="9" t="s">
        <v>17</v>
      </c>
      <c r="D13491" s="9" t="s">
        <v>18</v>
      </c>
      <c r="E13491" s="10" t="s">
        <v>200</v>
      </c>
      <c r="F13491" s="9" t="s">
        <v>201</v>
      </c>
      <c r="G13491" s="10" t="s">
        <v>86</v>
      </c>
      <c r="H13491" s="9" t="s">
        <v>35</v>
      </c>
      <c r="I13491" s="9" t="s">
        <v>27503</v>
      </c>
      <c r="J13491" s="10" t="str">
        <f>HYPERLINK("https://www.boe.es/gazeta/dias/1834/12/11/pdfs/GMD-1834-300.pdf#page=2","Abrir facsímil")</f>
        <v>Abrir facsímil</v>
      </c>
      <c r="K13491" s="10" t="s">
        <v>37</v>
      </c>
    </row>
    <row r="13492" spans="1:11" ht="54" customHeight="1">
      <c r="A13492" s="9" t="s">
        <v>27504</v>
      </c>
      <c r="B13492" s="9" t="s">
        <v>27505</v>
      </c>
      <c r="C13492" s="9" t="s">
        <v>17</v>
      </c>
      <c r="D13492" s="9" t="s">
        <v>101</v>
      </c>
      <c r="E13492" s="10" t="s">
        <v>981</v>
      </c>
      <c r="F13492" s="9" t="s">
        <v>982</v>
      </c>
      <c r="G13492" s="10" t="s">
        <v>86</v>
      </c>
      <c r="H13492" s="9" t="s">
        <v>22</v>
      </c>
      <c r="I13492" s="9" t="s">
        <v>27506</v>
      </c>
      <c r="J13492" s="10" t="str">
        <f>HYPERLINK("https://www.boe.es/gazeta/dias/1834/09/21/pdfs/GMD-1834-219.pdf#page=2","Abrir facsímil")</f>
        <v>Abrir facsímil</v>
      </c>
      <c r="K13492" s="10" t="s">
        <v>24</v>
      </c>
    </row>
    <row r="13493" spans="1:11" ht="54" customHeight="1">
      <c r="A13493" s="9" t="s">
        <v>27507</v>
      </c>
      <c r="B13493" s="9" t="s">
        <v>27507</v>
      </c>
      <c r="C13493" s="9" t="s">
        <v>17</v>
      </c>
      <c r="D13493" s="9" t="s">
        <v>18</v>
      </c>
      <c r="E13493" s="10" t="s">
        <v>4637</v>
      </c>
      <c r="F13493" s="9" t="s">
        <v>4638</v>
      </c>
      <c r="G13493" s="10" t="s">
        <v>21</v>
      </c>
      <c r="H13493" s="9" t="s">
        <v>22</v>
      </c>
      <c r="I13493" s="9" t="s">
        <v>27508</v>
      </c>
      <c r="J13493" s="10" t="str">
        <f>HYPERLINK("https://www.boe.es/gazeta/dias/1834/12/08/pdfs/GMD-1834-297.pdf#page=3","Abrir facsímil")</f>
        <v>Abrir facsímil</v>
      </c>
      <c r="K13493" s="10" t="s">
        <v>24</v>
      </c>
    </row>
    <row r="13494" spans="1:11" ht="54" customHeight="1">
      <c r="A13494" s="9" t="s">
        <v>27509</v>
      </c>
      <c r="B13494" s="9" t="s">
        <v>27510</v>
      </c>
      <c r="C13494" s="9" t="s">
        <v>46</v>
      </c>
      <c r="D13494" s="9" t="s">
        <v>101</v>
      </c>
      <c r="E13494" s="10" t="s">
        <v>1234</v>
      </c>
      <c r="F13494" s="9" t="s">
        <v>1455</v>
      </c>
      <c r="G13494" s="10" t="s">
        <v>21</v>
      </c>
      <c r="H13494" s="9" t="s">
        <v>35</v>
      </c>
      <c r="I13494" s="9" t="s">
        <v>27511</v>
      </c>
      <c r="J13494" s="10" t="str">
        <f>HYPERLINK("https://www.boe.es/gazeta/dias/1834/05/15/pdfs/GMD-1834-84.pdf#page=3","Abrir facsímil")</f>
        <v>Abrir facsímil</v>
      </c>
      <c r="K13494" s="10" t="s">
        <v>37</v>
      </c>
    </row>
    <row r="13495" spans="1:11" ht="54" customHeight="1">
      <c r="A13495" s="9" t="s">
        <v>27512</v>
      </c>
      <c r="B13495" s="9" t="s">
        <v>27513</v>
      </c>
      <c r="C13495" s="9" t="s">
        <v>66</v>
      </c>
      <c r="D13495" s="9" t="s">
        <v>67</v>
      </c>
      <c r="E13495" s="10" t="s">
        <v>510</v>
      </c>
      <c r="F13495" s="9" t="s">
        <v>511</v>
      </c>
      <c r="G13495" s="10" t="s">
        <v>75</v>
      </c>
      <c r="H13495" s="9" t="s">
        <v>22</v>
      </c>
      <c r="I13495" s="9" t="s">
        <v>27514</v>
      </c>
      <c r="J13495" s="10" t="str">
        <f>HYPERLINK("https://www.boe.es/gazeta/dias/1834/11/26/pdfs/GMD-1834-285.pdf#page=4","Abrir facsímil")</f>
        <v>Abrir facsímil</v>
      </c>
      <c r="K13495" s="10" t="s">
        <v>24</v>
      </c>
    </row>
    <row r="13496" spans="1:11" ht="54" customHeight="1">
      <c r="A13496" s="9" t="s">
        <v>27515</v>
      </c>
      <c r="B13496" s="9" t="s">
        <v>27516</v>
      </c>
      <c r="C13496" s="9" t="s">
        <v>17</v>
      </c>
      <c r="D13496" s="9" t="s">
        <v>18</v>
      </c>
      <c r="E13496" s="10" t="s">
        <v>719</v>
      </c>
      <c r="F13496" s="9" t="s">
        <v>720</v>
      </c>
      <c r="G13496" s="10" t="s">
        <v>75</v>
      </c>
      <c r="H13496" s="9" t="s">
        <v>22</v>
      </c>
      <c r="I13496" s="9" t="s">
        <v>27517</v>
      </c>
      <c r="J13496" s="10" t="str">
        <f>HYPERLINK("https://www.boe.es/gazeta/dias/1834/04/29/pdfs/GMD-1834-68.pdf#page=4","Abrir facsímil")</f>
        <v>Abrir facsímil</v>
      </c>
      <c r="K13496" s="10" t="s">
        <v>24</v>
      </c>
    </row>
    <row r="13497" spans="1:11" ht="54" customHeight="1">
      <c r="A13497" s="9" t="s">
        <v>27518</v>
      </c>
      <c r="B13497" s="9" t="s">
        <v>27519</v>
      </c>
      <c r="C13497" s="9" t="s">
        <v>66</v>
      </c>
      <c r="D13497" s="9" t="s">
        <v>67</v>
      </c>
      <c r="E13497" s="10" t="s">
        <v>1116</v>
      </c>
      <c r="F13497" s="9" t="s">
        <v>1117</v>
      </c>
      <c r="G13497" s="10" t="s">
        <v>75</v>
      </c>
      <c r="H13497" s="9" t="s">
        <v>22</v>
      </c>
      <c r="I13497" s="9" t="s">
        <v>27520</v>
      </c>
      <c r="J13497" s="10" t="str">
        <f>HYPERLINK("https://www.boe.es/gazeta/dias/1834/05/16/pdfs/GMD-1834-85.pdf#page=4","Abrir facsímil")</f>
        <v>Abrir facsímil</v>
      </c>
      <c r="K13497" s="10" t="s">
        <v>24</v>
      </c>
    </row>
    <row r="13498" spans="1:11" ht="54" customHeight="1">
      <c r="A13498" s="9" t="s">
        <v>27521</v>
      </c>
      <c r="B13498" s="9" t="s">
        <v>27522</v>
      </c>
      <c r="C13498" s="9" t="s">
        <v>66</v>
      </c>
      <c r="D13498" s="9" t="s">
        <v>101</v>
      </c>
      <c r="E13498" s="10" t="s">
        <v>658</v>
      </c>
      <c r="F13498" s="9" t="s">
        <v>659</v>
      </c>
      <c r="G13498" s="10" t="s">
        <v>34</v>
      </c>
      <c r="H13498" s="9" t="s">
        <v>22</v>
      </c>
      <c r="I13498" s="9" t="s">
        <v>27523</v>
      </c>
      <c r="J13498" s="10" t="str">
        <f>HYPERLINK("https://www.boe.es/gazeta/dias/1834/05/26/pdfs/GMD-1834-95.pdf#page=1","Abrir facsímil")</f>
        <v>Abrir facsímil</v>
      </c>
      <c r="K13498" s="10" t="s">
        <v>24</v>
      </c>
    </row>
    <row r="13499" spans="1:11" ht="54" customHeight="1">
      <c r="A13499" s="9" t="s">
        <v>27524</v>
      </c>
      <c r="B13499" s="9" t="s">
        <v>27524</v>
      </c>
      <c r="C13499" s="9" t="s">
        <v>46</v>
      </c>
      <c r="D13499" s="9" t="s">
        <v>101</v>
      </c>
      <c r="E13499" s="10" t="s">
        <v>468</v>
      </c>
      <c r="F13499" s="9" t="s">
        <v>469</v>
      </c>
      <c r="G13499" s="10" t="s">
        <v>34</v>
      </c>
      <c r="H13499" s="9" t="s">
        <v>22</v>
      </c>
      <c r="I13499" s="9" t="s">
        <v>27525</v>
      </c>
      <c r="J13499" s="10" t="str">
        <f>HYPERLINK("https://www.boe.es/gazeta/dias/1834/12/28/pdfs/GMD-C-1834-318.pdf#page=1","Abrir facsímil")</f>
        <v>Abrir facsímil</v>
      </c>
      <c r="K13499" s="10" t="s">
        <v>24</v>
      </c>
    </row>
    <row r="13500" spans="1:11" ht="54" customHeight="1">
      <c r="A13500" s="9" t="s">
        <v>27526</v>
      </c>
      <c r="B13500" s="9" t="s">
        <v>27527</v>
      </c>
      <c r="C13500" s="9" t="s">
        <v>46</v>
      </c>
      <c r="D13500" s="9" t="s">
        <v>101</v>
      </c>
      <c r="E13500" s="10" t="s">
        <v>468</v>
      </c>
      <c r="F13500" s="9" t="s">
        <v>469</v>
      </c>
      <c r="G13500" s="10" t="s">
        <v>34</v>
      </c>
      <c r="H13500" s="9" t="s">
        <v>35</v>
      </c>
      <c r="I13500" s="9" t="s">
        <v>27528</v>
      </c>
      <c r="J13500" s="10" t="str">
        <f>HYPERLINK("https://www.boe.es/gazeta/dias/1834/12/28/pdfs/GMD-C-1834-318.pdf#page=1","Abrir facsímil")</f>
        <v>Abrir facsímil</v>
      </c>
      <c r="K13500" s="10" t="s">
        <v>37</v>
      </c>
    </row>
    <row r="13501" spans="1:11" ht="54" customHeight="1">
      <c r="A13501" s="9" t="s">
        <v>27529</v>
      </c>
      <c r="B13501" s="9" t="s">
        <v>27529</v>
      </c>
      <c r="C13501" s="9" t="s">
        <v>46</v>
      </c>
      <c r="D13501" s="9" t="s">
        <v>101</v>
      </c>
      <c r="E13501" s="10" t="s">
        <v>12114</v>
      </c>
      <c r="F13501" s="9" t="s">
        <v>12115</v>
      </c>
      <c r="G13501" s="10" t="s">
        <v>34</v>
      </c>
      <c r="H13501" s="9" t="s">
        <v>22</v>
      </c>
      <c r="I13501" s="9" t="s">
        <v>27530</v>
      </c>
      <c r="J13501" s="10" t="str">
        <f>HYPERLINK("https://www.boe.es/gazeta/dias/1834/04/08/pdfs/GMD-1834-47.pdf#page=1","Abrir facsímil")</f>
        <v>Abrir facsímil</v>
      </c>
      <c r="K13501" s="10" t="s">
        <v>24</v>
      </c>
    </row>
    <row r="13502" spans="1:11" ht="54" customHeight="1">
      <c r="A13502" s="9" t="s">
        <v>27531</v>
      </c>
      <c r="B13502" s="9" t="s">
        <v>27531</v>
      </c>
      <c r="C13502" s="9" t="s">
        <v>17</v>
      </c>
      <c r="D13502" s="9" t="s">
        <v>18</v>
      </c>
      <c r="E13502" s="10" t="s">
        <v>2287</v>
      </c>
      <c r="F13502" s="9" t="s">
        <v>2288</v>
      </c>
      <c r="G13502" s="10" t="s">
        <v>75</v>
      </c>
      <c r="H13502" s="9" t="s">
        <v>22</v>
      </c>
      <c r="I13502" s="9" t="s">
        <v>27532</v>
      </c>
      <c r="J13502" s="10" t="str">
        <f>HYPERLINK("https://www.boe.es/gazeta/dias/1834/12/18/pdfs/GMD-C-1834-308.pdf#page=4","Abrir facsímil")</f>
        <v>Abrir facsímil</v>
      </c>
      <c r="K13502" s="10" t="s">
        <v>24</v>
      </c>
    </row>
    <row r="13503" spans="1:11" ht="54" customHeight="1">
      <c r="A13503" s="9" t="s">
        <v>27533</v>
      </c>
      <c r="B13503" s="9" t="s">
        <v>27534</v>
      </c>
      <c r="C13503" s="9" t="s">
        <v>66</v>
      </c>
      <c r="D13503" s="9" t="s">
        <v>67</v>
      </c>
      <c r="E13503" s="10" t="s">
        <v>976</v>
      </c>
      <c r="F13503" s="9" t="s">
        <v>1061</v>
      </c>
      <c r="G13503" s="10" t="s">
        <v>86</v>
      </c>
      <c r="H13503" s="9" t="s">
        <v>22</v>
      </c>
      <c r="I13503" s="9" t="s">
        <v>27535</v>
      </c>
      <c r="J13503" s="10" t="str">
        <f>HYPERLINK("https://www.boe.es/gazeta/dias/1834/04/02/pdfs/GMD-C-1834-41.pdf#page=2","Abrir facsímil")</f>
        <v>Abrir facsímil</v>
      </c>
      <c r="K13503" s="10" t="s">
        <v>24</v>
      </c>
    </row>
    <row r="13504" spans="1:11" ht="54" customHeight="1">
      <c r="A13504" s="9" t="s">
        <v>27536</v>
      </c>
      <c r="B13504" s="9" t="s">
        <v>27537</v>
      </c>
      <c r="C13504" s="9" t="s">
        <v>17</v>
      </c>
      <c r="D13504" s="9" t="s">
        <v>18</v>
      </c>
      <c r="E13504" s="10" t="s">
        <v>976</v>
      </c>
      <c r="F13504" s="9" t="s">
        <v>1061</v>
      </c>
      <c r="G13504" s="10" t="s">
        <v>86</v>
      </c>
      <c r="H13504" s="9" t="s">
        <v>22</v>
      </c>
      <c r="I13504" s="9" t="s">
        <v>27538</v>
      </c>
      <c r="J13504" s="10" t="str">
        <f>HYPERLINK("https://www.boe.es/gazeta/dias/1834/04/02/pdfs/GMD-C-1834-41.pdf#page=2","Abrir facsímil")</f>
        <v>Abrir facsímil</v>
      </c>
      <c r="K13504" s="10" t="s">
        <v>24</v>
      </c>
    </row>
    <row r="13505" spans="1:11" ht="54" customHeight="1">
      <c r="A13505" s="9" t="s">
        <v>27539</v>
      </c>
      <c r="B13505" s="9" t="s">
        <v>27540</v>
      </c>
      <c r="C13505" s="9" t="s">
        <v>17</v>
      </c>
      <c r="D13505" s="9" t="s">
        <v>18</v>
      </c>
      <c r="E13505" s="10" t="s">
        <v>375</v>
      </c>
      <c r="F13505" s="9" t="s">
        <v>4983</v>
      </c>
      <c r="G13505" s="10" t="s">
        <v>86</v>
      </c>
      <c r="H13505" s="9" t="s">
        <v>22</v>
      </c>
      <c r="I13505" s="9" t="s">
        <v>27541</v>
      </c>
      <c r="J13505" s="10" t="str">
        <f>HYPERLINK("https://www.boe.es/gazeta/dias/1834/08/21/pdfs/GMD-C-1834-187.pdf#page=2","Abrir facsímil")</f>
        <v>Abrir facsímil</v>
      </c>
      <c r="K13505" s="10" t="s">
        <v>24</v>
      </c>
    </row>
    <row r="13506" spans="1:11" ht="54" customHeight="1">
      <c r="A13506" s="9" t="s">
        <v>27542</v>
      </c>
      <c r="B13506" s="9" t="s">
        <v>27543</v>
      </c>
      <c r="C13506" s="9" t="s">
        <v>17</v>
      </c>
      <c r="D13506" s="9" t="s">
        <v>18</v>
      </c>
      <c r="E13506" s="10" t="s">
        <v>243</v>
      </c>
      <c r="F13506" s="9" t="s">
        <v>1109</v>
      </c>
      <c r="G13506" s="10" t="s">
        <v>75</v>
      </c>
      <c r="H13506" s="9" t="s">
        <v>22</v>
      </c>
      <c r="I13506" s="9" t="s">
        <v>27544</v>
      </c>
      <c r="J13506" s="10" t="str">
        <f>HYPERLINK("https://www.boe.es/gazeta/dias/1834/08/05/pdfs/GMD-1834-169.pdf#page=4","Abrir facsímil")</f>
        <v>Abrir facsímil</v>
      </c>
      <c r="K13506" s="10" t="s">
        <v>24</v>
      </c>
    </row>
    <row r="13507" spans="1:11" ht="54" customHeight="1">
      <c r="A13507" s="9" t="s">
        <v>27545</v>
      </c>
      <c r="B13507" s="9" t="s">
        <v>27546</v>
      </c>
      <c r="C13507" s="9" t="s">
        <v>17</v>
      </c>
      <c r="D13507" s="9" t="s">
        <v>18</v>
      </c>
      <c r="E13507" s="10" t="s">
        <v>3699</v>
      </c>
      <c r="F13507" s="9" t="s">
        <v>3700</v>
      </c>
      <c r="G13507" s="10" t="s">
        <v>21</v>
      </c>
      <c r="H13507" s="9" t="s">
        <v>22</v>
      </c>
      <c r="I13507" s="9" t="s">
        <v>27547</v>
      </c>
      <c r="J13507" s="10" t="str">
        <f>HYPERLINK("https://www.boe.es/gazeta/dias/1834/02/06/pdfs/GMD-1834-17.pdf#page=3","Abrir facsímil")</f>
        <v>Abrir facsímil</v>
      </c>
      <c r="K13507" s="10" t="s">
        <v>24</v>
      </c>
    </row>
    <row r="13508" spans="1:11" ht="54" customHeight="1">
      <c r="A13508" s="9" t="s">
        <v>27548</v>
      </c>
      <c r="B13508" s="9" t="s">
        <v>27548</v>
      </c>
      <c r="C13508" s="9" t="s">
        <v>17</v>
      </c>
      <c r="D13508" s="9" t="s">
        <v>18</v>
      </c>
      <c r="E13508" s="10" t="s">
        <v>3952</v>
      </c>
      <c r="F13508" s="9" t="s">
        <v>3953</v>
      </c>
      <c r="G13508" s="10" t="s">
        <v>21</v>
      </c>
      <c r="H13508" s="9" t="s">
        <v>22</v>
      </c>
      <c r="I13508" s="9" t="s">
        <v>27549</v>
      </c>
      <c r="J13508" s="10" t="str">
        <f>HYPERLINK("https://www.boe.es/gazeta/dias/1834/02/22/pdfs/GMD-1834-24.pdf#page=3","Abrir facsímil")</f>
        <v>Abrir facsímil</v>
      </c>
      <c r="K13508" s="10" t="s">
        <v>24</v>
      </c>
    </row>
    <row r="13509" spans="1:11" ht="54" customHeight="1">
      <c r="A13509" s="9" t="s">
        <v>27550</v>
      </c>
      <c r="B13509" s="9" t="s">
        <v>27551</v>
      </c>
      <c r="C13509" s="9" t="s">
        <v>46</v>
      </c>
      <c r="D13509" s="9" t="s">
        <v>101</v>
      </c>
      <c r="E13509" s="10" t="s">
        <v>1262</v>
      </c>
      <c r="F13509" s="9" t="s">
        <v>1263</v>
      </c>
      <c r="G13509" s="10" t="s">
        <v>86</v>
      </c>
      <c r="H13509" s="9" t="s">
        <v>22</v>
      </c>
      <c r="I13509" s="9" t="s">
        <v>27552</v>
      </c>
      <c r="J13509" s="10" t="str">
        <f>HYPERLINK("https://www.boe.es/gazeta/dias/1834/02/01/pdfs/GMD-1834-15.pdf#page=2","Abrir facsímil")</f>
        <v>Abrir facsímil</v>
      </c>
      <c r="K13509" s="10" t="s">
        <v>24</v>
      </c>
    </row>
    <row r="13510" spans="1:11" ht="54" customHeight="1">
      <c r="A13510" s="9" t="s">
        <v>27550</v>
      </c>
      <c r="B13510" s="9" t="s">
        <v>27551</v>
      </c>
      <c r="C13510" s="9" t="s">
        <v>46</v>
      </c>
      <c r="D13510" s="9" t="s">
        <v>55</v>
      </c>
      <c r="E13510" s="10" t="s">
        <v>2379</v>
      </c>
      <c r="F13510" s="9" t="s">
        <v>2380</v>
      </c>
      <c r="G13510" s="10" t="s">
        <v>86</v>
      </c>
      <c r="H13510" s="9" t="s">
        <v>22</v>
      </c>
      <c r="I13510" s="9" t="s">
        <v>27553</v>
      </c>
      <c r="J13510" s="10" t="str">
        <f>HYPERLINK("https://www.boe.es/gazeta/dias/1834/04/03/pdfs/GMD-1834-42.pdf#page=2","Abrir facsímil")</f>
        <v>Abrir facsímil</v>
      </c>
      <c r="K13510" s="10" t="s">
        <v>24</v>
      </c>
    </row>
    <row r="13511" spans="1:11" ht="54" customHeight="1">
      <c r="A13511" s="9" t="s">
        <v>27550</v>
      </c>
      <c r="B13511" s="9" t="s">
        <v>27551</v>
      </c>
      <c r="C13511" s="9" t="s">
        <v>46</v>
      </c>
      <c r="D13511" s="9" t="s">
        <v>101</v>
      </c>
      <c r="E13511" s="10" t="s">
        <v>1658</v>
      </c>
      <c r="F13511" s="9" t="s">
        <v>1659</v>
      </c>
      <c r="G13511" s="10" t="s">
        <v>86</v>
      </c>
      <c r="H13511" s="9" t="s">
        <v>22</v>
      </c>
      <c r="I13511" s="9" t="s">
        <v>27554</v>
      </c>
      <c r="J13511" s="10" t="str">
        <f>HYPERLINK("https://www.boe.es/gazeta/dias/1834/04/05/pdfs/GMD-1834-44.pdf#page=2","Abrir facsímil")</f>
        <v>Abrir facsímil</v>
      </c>
      <c r="K13511" s="10" t="s">
        <v>24</v>
      </c>
    </row>
    <row r="13512" spans="1:11" ht="54" customHeight="1">
      <c r="A13512" s="9" t="s">
        <v>27550</v>
      </c>
      <c r="B13512" s="9" t="s">
        <v>27551</v>
      </c>
      <c r="C13512" s="9" t="s">
        <v>66</v>
      </c>
      <c r="D13512" s="9" t="s">
        <v>67</v>
      </c>
      <c r="E13512" s="10" t="s">
        <v>360</v>
      </c>
      <c r="F13512" s="9" t="s">
        <v>361</v>
      </c>
      <c r="G13512" s="10" t="s">
        <v>86</v>
      </c>
      <c r="H13512" s="9" t="s">
        <v>22</v>
      </c>
      <c r="I13512" s="9" t="s">
        <v>27555</v>
      </c>
      <c r="J13512" s="10" t="str">
        <f>HYPERLINK("https://www.boe.es/gazeta/dias/1834/04/07/pdfs/GMD-1834-46.pdf#page=2","Abrir facsímil")</f>
        <v>Abrir facsímil</v>
      </c>
      <c r="K13512" s="10" t="s">
        <v>24</v>
      </c>
    </row>
    <row r="13513" spans="1:11" ht="54" customHeight="1">
      <c r="A13513" s="9" t="s">
        <v>27550</v>
      </c>
      <c r="B13513" s="9" t="s">
        <v>27551</v>
      </c>
      <c r="C13513" s="9" t="s">
        <v>17</v>
      </c>
      <c r="D13513" s="9" t="s">
        <v>18</v>
      </c>
      <c r="E13513" s="10" t="s">
        <v>3952</v>
      </c>
      <c r="F13513" s="9" t="s">
        <v>3953</v>
      </c>
      <c r="G13513" s="10" t="s">
        <v>21</v>
      </c>
      <c r="H13513" s="9" t="s">
        <v>22</v>
      </c>
      <c r="I13513" s="9" t="s">
        <v>27556</v>
      </c>
      <c r="J13513" s="10" t="str">
        <f>HYPERLINK("https://www.boe.es/gazeta/dias/1834/02/22/pdfs/GMD-1834-24.pdf#page=3","Abrir facsímil")</f>
        <v>Abrir facsímil</v>
      </c>
      <c r="K13513" s="10" t="s">
        <v>24</v>
      </c>
    </row>
    <row r="13514" spans="1:11" ht="54" customHeight="1">
      <c r="A13514" s="9" t="s">
        <v>27550</v>
      </c>
      <c r="B13514" s="9" t="s">
        <v>27551</v>
      </c>
      <c r="C13514" s="9" t="s">
        <v>46</v>
      </c>
      <c r="D13514" s="9" t="s">
        <v>55</v>
      </c>
      <c r="E13514" s="10" t="s">
        <v>739</v>
      </c>
      <c r="F13514" s="9" t="s">
        <v>740</v>
      </c>
      <c r="G13514" s="10" t="s">
        <v>86</v>
      </c>
      <c r="H13514" s="9" t="s">
        <v>22</v>
      </c>
      <c r="I13514" s="9" t="s">
        <v>27557</v>
      </c>
      <c r="J13514" s="10" t="str">
        <f>HYPERLINK("https://www.boe.es/gazeta/dias/1834/03/25/pdfs/GMD-1834-37.pdf#page=2","Abrir facsímil")</f>
        <v>Abrir facsímil</v>
      </c>
      <c r="K13514" s="10" t="s">
        <v>24</v>
      </c>
    </row>
    <row r="13515" spans="1:11" ht="54" customHeight="1">
      <c r="A13515" s="9" t="s">
        <v>27558</v>
      </c>
      <c r="B13515" s="9" t="s">
        <v>27559</v>
      </c>
      <c r="C13515" s="9" t="s">
        <v>66</v>
      </c>
      <c r="D13515" s="9" t="s">
        <v>67</v>
      </c>
      <c r="E13515" s="10" t="s">
        <v>1850</v>
      </c>
      <c r="F13515" s="9" t="s">
        <v>1851</v>
      </c>
      <c r="G13515" s="10" t="s">
        <v>176</v>
      </c>
      <c r="H13515" s="9" t="s">
        <v>22</v>
      </c>
      <c r="I13515" s="9" t="s">
        <v>27560</v>
      </c>
      <c r="J13515" s="10" t="str">
        <f>HYPERLINK("https://www.boe.es/gazeta/dias/1834/02/18/pdfs/GMD-1834-22.pdf#page=6","Abrir facsímil")</f>
        <v>Abrir facsímil</v>
      </c>
      <c r="K13515" s="10" t="s">
        <v>24</v>
      </c>
    </row>
    <row r="13516" spans="1:11" ht="54" customHeight="1">
      <c r="A13516" s="9" t="s">
        <v>27561</v>
      </c>
      <c r="B13516" s="9" t="s">
        <v>27561</v>
      </c>
      <c r="C13516" s="9" t="s">
        <v>46</v>
      </c>
      <c r="D13516" s="9" t="s">
        <v>18</v>
      </c>
      <c r="E13516" s="10" t="s">
        <v>355</v>
      </c>
      <c r="F13516" s="9" t="s">
        <v>356</v>
      </c>
      <c r="G13516" s="10" t="s">
        <v>86</v>
      </c>
      <c r="H13516" s="9" t="s">
        <v>22</v>
      </c>
      <c r="I13516" s="9" t="s">
        <v>27562</v>
      </c>
      <c r="J13516" s="10" t="str">
        <f>HYPERLINK("https://www.boe.es/gazeta/dias/1834/07/04/pdfs/GMD-1834-137.pdf#page=2","Abrir facsímil")</f>
        <v>Abrir facsímil</v>
      </c>
      <c r="K13516" s="10" t="s">
        <v>24</v>
      </c>
    </row>
    <row r="13517" spans="1:11" ht="54" customHeight="1">
      <c r="A13517" s="9" t="s">
        <v>27563</v>
      </c>
      <c r="B13517" s="9" t="s">
        <v>27563</v>
      </c>
      <c r="C13517" s="9" t="s">
        <v>90</v>
      </c>
      <c r="D13517" s="9" t="s">
        <v>67</v>
      </c>
      <c r="E13517" s="10" t="s">
        <v>394</v>
      </c>
      <c r="F13517" s="9" t="s">
        <v>395</v>
      </c>
      <c r="G13517" s="10" t="s">
        <v>21</v>
      </c>
      <c r="H13517" s="9" t="s">
        <v>22</v>
      </c>
      <c r="I13517" s="9" t="s">
        <v>27564</v>
      </c>
      <c r="J13517" s="10" t="str">
        <f>HYPERLINK("https://www.boe.es/gazeta/dias/1834/12/23/pdfs/GMD-1834-313.pdf#page=3","Abrir facsímil")</f>
        <v>Abrir facsímil</v>
      </c>
      <c r="K13517" s="10" t="s">
        <v>24</v>
      </c>
    </row>
    <row r="13518" spans="1:11" ht="54" customHeight="1">
      <c r="A13518" s="9" t="s">
        <v>27565</v>
      </c>
      <c r="B13518" s="9" t="s">
        <v>27566</v>
      </c>
      <c r="C13518" s="9" t="s">
        <v>17</v>
      </c>
      <c r="D13518" s="9" t="s">
        <v>55</v>
      </c>
      <c r="E13518" s="10" t="s">
        <v>283</v>
      </c>
      <c r="F13518" s="9" t="s">
        <v>2969</v>
      </c>
      <c r="G13518" s="10" t="s">
        <v>86</v>
      </c>
      <c r="H13518" s="9" t="s">
        <v>22</v>
      </c>
      <c r="I13518" s="9" t="s">
        <v>27567</v>
      </c>
      <c r="J13518" s="10" t="str">
        <f>HYPERLINK("https://www.boe.es/gazeta/dias/1834/11/29/pdfs/GMD-1834-288.pdf#page=2","Abrir facsímil")</f>
        <v>Abrir facsímil</v>
      </c>
      <c r="K13518" s="10" t="s">
        <v>24</v>
      </c>
    </row>
    <row r="13519" spans="1:11" ht="54" customHeight="1">
      <c r="A13519" s="9" t="s">
        <v>27568</v>
      </c>
      <c r="B13519" s="9" t="s">
        <v>27568</v>
      </c>
      <c r="C13519" s="9" t="s">
        <v>46</v>
      </c>
      <c r="D13519" s="9" t="s">
        <v>18</v>
      </c>
      <c r="E13519" s="10" t="s">
        <v>3810</v>
      </c>
      <c r="F13519" s="9" t="s">
        <v>3811</v>
      </c>
      <c r="G13519" s="10" t="s">
        <v>86</v>
      </c>
      <c r="H13519" s="9" t="s">
        <v>22</v>
      </c>
      <c r="I13519" s="9" t="s">
        <v>27569</v>
      </c>
      <c r="J13519" s="10" t="str">
        <f>HYPERLINK("https://www.boe.es/gazeta/dias/1834/02/20/pdfs/GMD-1834-23.pdf#page=2","Abrir facsímil")</f>
        <v>Abrir facsímil</v>
      </c>
      <c r="K13519" s="10" t="s">
        <v>24</v>
      </c>
    </row>
    <row r="13520" spans="1:11" ht="54" customHeight="1">
      <c r="A13520" s="9" t="s">
        <v>27570</v>
      </c>
      <c r="B13520" s="9" t="s">
        <v>27570</v>
      </c>
      <c r="C13520" s="9" t="s">
        <v>46</v>
      </c>
      <c r="D13520" s="9" t="s">
        <v>101</v>
      </c>
      <c r="E13520" s="10" t="s">
        <v>158</v>
      </c>
      <c r="F13520" s="9" t="s">
        <v>581</v>
      </c>
      <c r="G13520" s="10" t="s">
        <v>34</v>
      </c>
      <c r="H13520" s="9" t="s">
        <v>22</v>
      </c>
      <c r="I13520" s="9" t="s">
        <v>27571</v>
      </c>
      <c r="J13520" s="10" t="str">
        <f>HYPERLINK("https://www.boe.es/gazeta/dias/1834/10/01/pdfs/GMD-C-1834-229.pdf#page=1","Abrir facsímil")</f>
        <v>Abrir facsímil</v>
      </c>
      <c r="K13520" s="10" t="s">
        <v>24</v>
      </c>
    </row>
    <row r="13521" spans="1:11" ht="54" customHeight="1">
      <c r="A13521" s="9" t="s">
        <v>27570</v>
      </c>
      <c r="B13521" s="9" t="s">
        <v>27570</v>
      </c>
      <c r="C13521" s="9" t="s">
        <v>17</v>
      </c>
      <c r="D13521" s="9" t="s">
        <v>40</v>
      </c>
      <c r="E13521" s="10" t="s">
        <v>690</v>
      </c>
      <c r="F13521" s="9" t="s">
        <v>691</v>
      </c>
      <c r="G13521" s="10" t="s">
        <v>34</v>
      </c>
      <c r="H13521" s="9" t="s">
        <v>22</v>
      </c>
      <c r="I13521" s="9" t="s">
        <v>27572</v>
      </c>
      <c r="J13521" s="10" t="str">
        <f>HYPERLINK("https://www.boe.es/gazeta/dias/1834/09/03/pdfs/GMD-C-1834-201.pdf#page=1","Abrir facsímil")</f>
        <v>Abrir facsímil</v>
      </c>
      <c r="K13521" s="10" t="s">
        <v>24</v>
      </c>
    </row>
    <row r="13522" spans="1:11" ht="54" customHeight="1">
      <c r="A13522" s="9" t="s">
        <v>27570</v>
      </c>
      <c r="B13522" s="9" t="s">
        <v>27570</v>
      </c>
      <c r="C13522" s="9" t="s">
        <v>17</v>
      </c>
      <c r="D13522" s="9" t="s">
        <v>18</v>
      </c>
      <c r="E13522" s="10" t="s">
        <v>3248</v>
      </c>
      <c r="F13522" s="9" t="s">
        <v>4798</v>
      </c>
      <c r="G13522" s="10" t="s">
        <v>75</v>
      </c>
      <c r="H13522" s="9" t="s">
        <v>22</v>
      </c>
      <c r="I13522" s="9" t="s">
        <v>27573</v>
      </c>
      <c r="J13522" s="10" t="str">
        <f>HYPERLINK("https://www.boe.es/gazeta/dias/1834/09/20/pdfs/GMD-C-1834-218.pdf#page=4","Abrir facsímil")</f>
        <v>Abrir facsímil</v>
      </c>
      <c r="K13522" s="10" t="s">
        <v>24</v>
      </c>
    </row>
    <row r="13523" spans="1:11" ht="54" customHeight="1">
      <c r="A13523" s="9" t="s">
        <v>27574</v>
      </c>
      <c r="B13523" s="9" t="s">
        <v>27574</v>
      </c>
      <c r="C13523" s="9" t="s">
        <v>17</v>
      </c>
      <c r="D13523" s="9" t="s">
        <v>18</v>
      </c>
      <c r="E13523" s="10" t="s">
        <v>905</v>
      </c>
      <c r="F13523" s="9" t="s">
        <v>1651</v>
      </c>
      <c r="G13523" s="10" t="s">
        <v>21</v>
      </c>
      <c r="H13523" s="9" t="s">
        <v>22</v>
      </c>
      <c r="I13523" s="9" t="s">
        <v>27575</v>
      </c>
      <c r="J13523" s="10" t="str">
        <f>HYPERLINK("https://www.boe.es/gazeta/dias/1834/08/02/pdfs/GMD-1834-166.pdf#page=3","Abrir facsímil")</f>
        <v>Abrir facsímil</v>
      </c>
      <c r="K13523" s="10" t="s">
        <v>24</v>
      </c>
    </row>
    <row r="13524" spans="1:11" ht="54" customHeight="1">
      <c r="A13524" s="9" t="s">
        <v>27576</v>
      </c>
      <c r="B13524" s="9" t="s">
        <v>27577</v>
      </c>
      <c r="C13524" s="9" t="s">
        <v>17</v>
      </c>
      <c r="D13524" s="9" t="s">
        <v>40</v>
      </c>
      <c r="E13524" s="10" t="s">
        <v>174</v>
      </c>
      <c r="F13524" s="9" t="s">
        <v>175</v>
      </c>
      <c r="G13524" s="10" t="s">
        <v>75</v>
      </c>
      <c r="H13524" s="9" t="s">
        <v>22</v>
      </c>
      <c r="I13524" s="9" t="s">
        <v>27578</v>
      </c>
      <c r="J13524" s="10" t="str">
        <f>HYPERLINK("https://www.boe.es/gazeta/dias/1834/03/27/pdfs/GMD-1834-38.pdf#page=4","Abrir facsímil")</f>
        <v>Abrir facsímil</v>
      </c>
      <c r="K13524" s="10" t="s">
        <v>24</v>
      </c>
    </row>
    <row r="13525" spans="1:11" ht="54" customHeight="1">
      <c r="A13525" s="9" t="s">
        <v>27579</v>
      </c>
      <c r="B13525" s="9" t="s">
        <v>27580</v>
      </c>
      <c r="C13525" s="9" t="s">
        <v>17</v>
      </c>
      <c r="D13525" s="9" t="s">
        <v>18</v>
      </c>
      <c r="E13525" s="10" t="s">
        <v>615</v>
      </c>
      <c r="F13525" s="9" t="s">
        <v>1205</v>
      </c>
      <c r="G13525" s="10" t="s">
        <v>86</v>
      </c>
      <c r="H13525" s="9" t="s">
        <v>22</v>
      </c>
      <c r="I13525" s="9" t="s">
        <v>27581</v>
      </c>
      <c r="J13525" s="10" t="str">
        <f>HYPERLINK("https://www.boe.es/gazeta/dias/1834/08/19/pdfs/GMD-D-1834-185.pdf#page=2","Abrir facsímil")</f>
        <v>Abrir facsímil</v>
      </c>
      <c r="K13525" s="10" t="s">
        <v>24</v>
      </c>
    </row>
    <row r="13526" spans="1:11" ht="54" customHeight="1">
      <c r="A13526" s="9" t="s">
        <v>27582</v>
      </c>
      <c r="B13526" s="9" t="s">
        <v>27583</v>
      </c>
      <c r="C13526" s="9" t="s">
        <v>17</v>
      </c>
      <c r="D13526" s="9" t="s">
        <v>18</v>
      </c>
      <c r="E13526" s="10" t="s">
        <v>823</v>
      </c>
      <c r="F13526" s="9" t="s">
        <v>824</v>
      </c>
      <c r="G13526" s="10" t="s">
        <v>28</v>
      </c>
      <c r="H13526" s="9" t="s">
        <v>22</v>
      </c>
      <c r="I13526" s="9" t="s">
        <v>27584</v>
      </c>
      <c r="J13526" s="10" t="str">
        <f>HYPERLINK("https://www.boe.es/gazeta/dias/1834/07/23/pdfs/GMD-1834-156.pdf#page=5","Abrir facsímil")</f>
        <v>Abrir facsímil</v>
      </c>
      <c r="K13526" s="10" t="s">
        <v>24</v>
      </c>
    </row>
    <row r="13527" spans="1:11" ht="54" customHeight="1">
      <c r="A13527" s="9" t="s">
        <v>27585</v>
      </c>
      <c r="B13527" s="9" t="s">
        <v>27586</v>
      </c>
      <c r="C13527" s="9" t="s">
        <v>46</v>
      </c>
      <c r="D13527" s="9" t="s">
        <v>55</v>
      </c>
      <c r="E13527" s="10" t="s">
        <v>905</v>
      </c>
      <c r="F13527" s="9" t="s">
        <v>1651</v>
      </c>
      <c r="G13527" s="10" t="s">
        <v>86</v>
      </c>
      <c r="H13527" s="9" t="s">
        <v>22</v>
      </c>
      <c r="I13527" s="9" t="s">
        <v>27587</v>
      </c>
      <c r="J13527" s="10" t="str">
        <f>HYPERLINK("https://www.boe.es/gazeta/dias/1834/08/02/pdfs/GMD-1834-166.pdf#page=2","Abrir facsímil")</f>
        <v>Abrir facsímil</v>
      </c>
      <c r="K13527" s="10" t="s">
        <v>24</v>
      </c>
    </row>
    <row r="13528" spans="1:11" ht="54" customHeight="1">
      <c r="A13528" s="9" t="s">
        <v>27588</v>
      </c>
      <c r="B13528" s="9" t="s">
        <v>27589</v>
      </c>
      <c r="C13528" s="9" t="s">
        <v>90</v>
      </c>
      <c r="D13528" s="9" t="s">
        <v>18</v>
      </c>
      <c r="E13528" s="10" t="s">
        <v>454</v>
      </c>
      <c r="F13528" s="9" t="s">
        <v>2009</v>
      </c>
      <c r="G13528" s="10" t="s">
        <v>21</v>
      </c>
      <c r="H13528" s="9" t="s">
        <v>22</v>
      </c>
      <c r="I13528" s="9" t="s">
        <v>27590</v>
      </c>
      <c r="J13528" s="10" t="str">
        <f>HYPERLINK("https://www.boe.es/gazeta/dias/1834/10/16/pdfs/GMD-1834-244.pdf#page=3","Abrir facsímil")</f>
        <v>Abrir facsímil</v>
      </c>
      <c r="K13528" s="10" t="s">
        <v>24</v>
      </c>
    </row>
    <row r="13529" spans="1:11" ht="54" customHeight="1">
      <c r="A13529" s="9" t="s">
        <v>27591</v>
      </c>
      <c r="B13529" s="9" t="s">
        <v>27591</v>
      </c>
      <c r="C13529" s="9" t="s">
        <v>17</v>
      </c>
      <c r="D13529" s="9" t="s">
        <v>18</v>
      </c>
      <c r="E13529" s="10" t="s">
        <v>3066</v>
      </c>
      <c r="F13529" s="9" t="s">
        <v>3067</v>
      </c>
      <c r="G13529" s="10" t="s">
        <v>34</v>
      </c>
      <c r="H13529" s="9" t="s">
        <v>22</v>
      </c>
      <c r="I13529" s="9" t="s">
        <v>27592</v>
      </c>
      <c r="J13529" s="10" t="str">
        <f>HYPERLINK("https://www.boe.es/gazeta/dias/1834/08/03/pdfs/GMD-C-1834-167.pdf#page=1","Abrir facsímil")</f>
        <v>Abrir facsímil</v>
      </c>
      <c r="K13529" s="10" t="s">
        <v>24</v>
      </c>
    </row>
    <row r="13530" spans="1:11" ht="54" customHeight="1">
      <c r="A13530" s="9" t="s">
        <v>27591</v>
      </c>
      <c r="B13530" s="9" t="s">
        <v>27591</v>
      </c>
      <c r="C13530" s="9" t="s">
        <v>17</v>
      </c>
      <c r="D13530" s="9" t="s">
        <v>18</v>
      </c>
      <c r="E13530" s="10" t="s">
        <v>167</v>
      </c>
      <c r="F13530" s="9" t="s">
        <v>1200</v>
      </c>
      <c r="G13530" s="10" t="s">
        <v>560</v>
      </c>
      <c r="H13530" s="9" t="s">
        <v>22</v>
      </c>
      <c r="I13530" s="9" t="s">
        <v>27593</v>
      </c>
      <c r="J13530" s="10" t="str">
        <f>HYPERLINK("https://www.boe.es/gazeta/dias/1834/09/07/pdfs/GMD-C-1834-205.pdf#page=7","Abrir facsímil")</f>
        <v>Abrir facsímil</v>
      </c>
      <c r="K13530" s="10" t="s">
        <v>24</v>
      </c>
    </row>
    <row r="13531" spans="1:11" ht="54" customHeight="1">
      <c r="A13531" s="9" t="s">
        <v>27594</v>
      </c>
      <c r="B13531" s="9" t="s">
        <v>27595</v>
      </c>
      <c r="C13531" s="9" t="s">
        <v>46</v>
      </c>
      <c r="D13531" s="9" t="s">
        <v>101</v>
      </c>
      <c r="E13531" s="10" t="s">
        <v>3066</v>
      </c>
      <c r="F13531" s="9" t="s">
        <v>3067</v>
      </c>
      <c r="G13531" s="10" t="s">
        <v>34</v>
      </c>
      <c r="H13531" s="9" t="s">
        <v>35</v>
      </c>
      <c r="I13531" s="9" t="s">
        <v>27596</v>
      </c>
      <c r="J13531" s="10" t="str">
        <f>HYPERLINK("https://www.boe.es/gazeta/dias/1834/08/03/pdfs/GMD-C-1834-167.pdf#page=1","Abrir facsímil")</f>
        <v>Abrir facsímil</v>
      </c>
      <c r="K13531" s="10" t="s">
        <v>37</v>
      </c>
    </row>
    <row r="13532" spans="1:11" ht="54" customHeight="1">
      <c r="A13532" s="9" t="s">
        <v>27597</v>
      </c>
      <c r="B13532" s="9" t="s">
        <v>27598</v>
      </c>
      <c r="C13532" s="9" t="s">
        <v>46</v>
      </c>
      <c r="D13532" s="9" t="s">
        <v>101</v>
      </c>
      <c r="E13532" s="10" t="s">
        <v>3066</v>
      </c>
      <c r="F13532" s="9" t="s">
        <v>3067</v>
      </c>
      <c r="G13532" s="10" t="s">
        <v>34</v>
      </c>
      <c r="H13532" s="9" t="s">
        <v>22</v>
      </c>
      <c r="I13532" s="9" t="s">
        <v>27599</v>
      </c>
      <c r="J13532" s="10" t="str">
        <f>HYPERLINK("https://www.boe.es/gazeta/dias/1834/08/03/pdfs/GMD-C-1834-167.pdf#page=1","Abrir facsímil")</f>
        <v>Abrir facsímil</v>
      </c>
      <c r="K13532" s="10" t="s">
        <v>24</v>
      </c>
    </row>
    <row r="13533" spans="1:11" ht="54" customHeight="1">
      <c r="A13533" s="9" t="s">
        <v>27600</v>
      </c>
      <c r="B13533" s="9" t="s">
        <v>27600</v>
      </c>
      <c r="C13533" s="9" t="s">
        <v>122</v>
      </c>
      <c r="D13533" s="9" t="s">
        <v>18</v>
      </c>
      <c r="E13533" s="10" t="s">
        <v>394</v>
      </c>
      <c r="F13533" s="9" t="s">
        <v>459</v>
      </c>
      <c r="G13533" s="10" t="s">
        <v>75</v>
      </c>
      <c r="H13533" s="9" t="s">
        <v>22</v>
      </c>
      <c r="I13533" s="9" t="s">
        <v>27601</v>
      </c>
      <c r="J13533" s="10" t="str">
        <f>HYPERLINK("https://www.boe.es/gazeta/dias/1834/12/23/pdfs/GMD-C-1834-313.pdf#page=4","Abrir facsímil")</f>
        <v>Abrir facsímil</v>
      </c>
      <c r="K13533" s="10" t="s">
        <v>24</v>
      </c>
    </row>
    <row r="13534" spans="1:11" ht="54" customHeight="1">
      <c r="A13534" s="9" t="s">
        <v>27600</v>
      </c>
      <c r="B13534" s="9" t="s">
        <v>27600</v>
      </c>
      <c r="C13534" s="9" t="s">
        <v>90</v>
      </c>
      <c r="D13534" s="9" t="s">
        <v>101</v>
      </c>
      <c r="E13534" s="10" t="s">
        <v>468</v>
      </c>
      <c r="F13534" s="9" t="s">
        <v>469</v>
      </c>
      <c r="G13534" s="10" t="s">
        <v>470</v>
      </c>
      <c r="H13534" s="9" t="s">
        <v>22</v>
      </c>
      <c r="I13534" s="9" t="s">
        <v>27602</v>
      </c>
      <c r="J13534" s="10" t="str">
        <f>HYPERLINK("https://www.boe.es/gazeta/dias/1834/12/28/pdfs/GMD-C-1834-318.pdf#page=8","Abrir facsímil")</f>
        <v>Abrir facsímil</v>
      </c>
      <c r="K13534" s="10" t="s">
        <v>24</v>
      </c>
    </row>
    <row r="13535" spans="1:11" ht="54" customHeight="1">
      <c r="A13535" s="9" t="s">
        <v>27603</v>
      </c>
      <c r="B13535" s="9" t="s">
        <v>27603</v>
      </c>
      <c r="C13535" s="9" t="s">
        <v>66</v>
      </c>
      <c r="D13535" s="9" t="s">
        <v>67</v>
      </c>
      <c r="E13535" s="10" t="s">
        <v>667</v>
      </c>
      <c r="F13535" s="9" t="s">
        <v>668</v>
      </c>
      <c r="G13535" s="10" t="s">
        <v>21</v>
      </c>
      <c r="H13535" s="9" t="s">
        <v>22</v>
      </c>
      <c r="I13535" s="9" t="s">
        <v>27604</v>
      </c>
      <c r="J13535" s="10" t="str">
        <f>HYPERLINK("https://www.boe.es/gazeta/dias/1834/11/23/pdfs/GMD-C-1834-282.pdf#page=3","Abrir facsímil")</f>
        <v>Abrir facsímil</v>
      </c>
      <c r="K13535" s="10" t="s">
        <v>24</v>
      </c>
    </row>
    <row r="13536" spans="1:11" ht="54" customHeight="1">
      <c r="A13536" s="9" t="s">
        <v>27605</v>
      </c>
      <c r="B13536" s="9" t="s">
        <v>27605</v>
      </c>
      <c r="C13536" s="9" t="s">
        <v>17</v>
      </c>
      <c r="D13536" s="9" t="s">
        <v>18</v>
      </c>
      <c r="E13536" s="10" t="s">
        <v>158</v>
      </c>
      <c r="F13536" s="9" t="s">
        <v>581</v>
      </c>
      <c r="G13536" s="10" t="s">
        <v>34</v>
      </c>
      <c r="H13536" s="9" t="s">
        <v>22</v>
      </c>
      <c r="I13536" s="9" t="s">
        <v>27606</v>
      </c>
      <c r="J13536" s="10" t="str">
        <f>HYPERLINK("https://www.boe.es/gazeta/dias/1834/10/01/pdfs/GMD-C-1834-229.pdf#page=1","Abrir facsímil")</f>
        <v>Abrir facsímil</v>
      </c>
      <c r="K13536" s="10" t="s">
        <v>24</v>
      </c>
    </row>
    <row r="13537" spans="1:11" ht="54" customHeight="1">
      <c r="A13537" s="9" t="s">
        <v>27607</v>
      </c>
      <c r="B13537" s="9" t="s">
        <v>27607</v>
      </c>
      <c r="C13537" s="9" t="s">
        <v>17</v>
      </c>
      <c r="D13537" s="9" t="s">
        <v>18</v>
      </c>
      <c r="E13537" s="10" t="s">
        <v>158</v>
      </c>
      <c r="F13537" s="9" t="s">
        <v>581</v>
      </c>
      <c r="G13537" s="10" t="s">
        <v>86</v>
      </c>
      <c r="H13537" s="9" t="s">
        <v>22</v>
      </c>
      <c r="I13537" s="9" t="s">
        <v>27608</v>
      </c>
      <c r="J13537" s="10" t="str">
        <f>HYPERLINK("https://www.boe.es/gazeta/dias/1834/10/01/pdfs/GMD-C-1834-229.pdf#page=2","Abrir facsímil")</f>
        <v>Abrir facsímil</v>
      </c>
      <c r="K13537" s="10" t="s">
        <v>24</v>
      </c>
    </row>
    <row r="13538" spans="1:11" ht="54" customHeight="1">
      <c r="A13538" s="9" t="s">
        <v>27607</v>
      </c>
      <c r="B13538" s="9" t="s">
        <v>27607</v>
      </c>
      <c r="C13538" s="9" t="s">
        <v>17</v>
      </c>
      <c r="D13538" s="9" t="s">
        <v>18</v>
      </c>
      <c r="E13538" s="10" t="s">
        <v>690</v>
      </c>
      <c r="F13538" s="9" t="s">
        <v>691</v>
      </c>
      <c r="G13538" s="10" t="s">
        <v>34</v>
      </c>
      <c r="H13538" s="9" t="s">
        <v>22</v>
      </c>
      <c r="I13538" s="9" t="s">
        <v>27609</v>
      </c>
      <c r="J13538" s="10" t="str">
        <f>HYPERLINK("https://www.boe.es/gazeta/dias/1834/09/03/pdfs/GMD-C-1834-201.pdf#page=1","Abrir facsímil")</f>
        <v>Abrir facsímil</v>
      </c>
      <c r="K13538" s="10" t="s">
        <v>24</v>
      </c>
    </row>
    <row r="13539" spans="1:11" ht="54" customHeight="1">
      <c r="A13539" s="9" t="s">
        <v>27607</v>
      </c>
      <c r="B13539" s="9" t="s">
        <v>27607</v>
      </c>
      <c r="C13539" s="9" t="s">
        <v>17</v>
      </c>
      <c r="D13539" s="9" t="s">
        <v>40</v>
      </c>
      <c r="E13539" s="10" t="s">
        <v>426</v>
      </c>
      <c r="F13539" s="9" t="s">
        <v>694</v>
      </c>
      <c r="G13539" s="10" t="s">
        <v>34</v>
      </c>
      <c r="H13539" s="9" t="s">
        <v>22</v>
      </c>
      <c r="I13539" s="9" t="s">
        <v>27610</v>
      </c>
      <c r="J13539" s="10" t="str">
        <f>HYPERLINK("https://www.boe.es/gazeta/dias/1834/10/04/pdfs/GMD-C-1834-232.pdf#page=1","Abrir facsímil")</f>
        <v>Abrir facsímil</v>
      </c>
      <c r="K13539" s="10" t="s">
        <v>24</v>
      </c>
    </row>
    <row r="13540" spans="1:11" ht="54" customHeight="1">
      <c r="A13540" s="9" t="s">
        <v>27607</v>
      </c>
      <c r="B13540" s="9" t="s">
        <v>27607</v>
      </c>
      <c r="C13540" s="9" t="s">
        <v>17</v>
      </c>
      <c r="D13540" s="9" t="s">
        <v>18</v>
      </c>
      <c r="E13540" s="10" t="s">
        <v>426</v>
      </c>
      <c r="F13540" s="9" t="s">
        <v>694</v>
      </c>
      <c r="G13540" s="10" t="s">
        <v>86</v>
      </c>
      <c r="H13540" s="9" t="s">
        <v>22</v>
      </c>
      <c r="I13540" s="9" t="s">
        <v>27611</v>
      </c>
      <c r="J13540" s="10" t="str">
        <f>HYPERLINK("https://www.boe.es/gazeta/dias/1834/10/04/pdfs/GMD-C-1834-232.pdf#page=2","Abrir facsímil")</f>
        <v>Abrir facsímil</v>
      </c>
      <c r="K13540" s="10" t="s">
        <v>24</v>
      </c>
    </row>
    <row r="13541" spans="1:11" ht="54" customHeight="1">
      <c r="A13541" s="9" t="s">
        <v>27607</v>
      </c>
      <c r="B13541" s="9" t="s">
        <v>27607</v>
      </c>
      <c r="C13541" s="9" t="s">
        <v>17</v>
      </c>
      <c r="D13541" s="9" t="s">
        <v>55</v>
      </c>
      <c r="E13541" s="10" t="s">
        <v>47</v>
      </c>
      <c r="F13541" s="9" t="s">
        <v>48</v>
      </c>
      <c r="G13541" s="10" t="s">
        <v>176</v>
      </c>
      <c r="H13541" s="9" t="s">
        <v>22</v>
      </c>
      <c r="I13541" s="9" t="s">
        <v>27612</v>
      </c>
      <c r="J13541" s="10" t="str">
        <f>HYPERLINK("https://www.boe.es/gazeta/dias/1834/09/05/pdfs/GMD-C-1834-203.pdf#page=6","Abrir facsímil")</f>
        <v>Abrir facsímil</v>
      </c>
      <c r="K13541" s="10" t="s">
        <v>24</v>
      </c>
    </row>
    <row r="13542" spans="1:11" ht="54" customHeight="1">
      <c r="A13542" s="9" t="s">
        <v>27607</v>
      </c>
      <c r="B13542" s="9" t="s">
        <v>27607</v>
      </c>
      <c r="C13542" s="9" t="s">
        <v>46</v>
      </c>
      <c r="D13542" s="9" t="s">
        <v>101</v>
      </c>
      <c r="E13542" s="10" t="s">
        <v>364</v>
      </c>
      <c r="F13542" s="9" t="s">
        <v>365</v>
      </c>
      <c r="G13542" s="10" t="s">
        <v>86</v>
      </c>
      <c r="H13542" s="9" t="s">
        <v>22</v>
      </c>
      <c r="I13542" s="9" t="s">
        <v>27613</v>
      </c>
      <c r="J13542" s="10" t="str">
        <f>HYPERLINK("https://www.boe.es/gazeta/dias/1834/09/06/pdfs/GMD-C-1834-204.pdf#page=2","Abrir facsímil")</f>
        <v>Abrir facsímil</v>
      </c>
      <c r="K13542" s="10" t="s">
        <v>24</v>
      </c>
    </row>
    <row r="13543" spans="1:11" ht="54" customHeight="1">
      <c r="A13543" s="9" t="s">
        <v>27607</v>
      </c>
      <c r="B13543" s="9" t="s">
        <v>27607</v>
      </c>
      <c r="C13543" s="9" t="s">
        <v>46</v>
      </c>
      <c r="D13543" s="9" t="s">
        <v>101</v>
      </c>
      <c r="E13543" s="10" t="s">
        <v>793</v>
      </c>
      <c r="F13543" s="9" t="s">
        <v>1895</v>
      </c>
      <c r="G13543" s="10" t="s">
        <v>34</v>
      </c>
      <c r="H13543" s="9" t="s">
        <v>22</v>
      </c>
      <c r="I13543" s="9" t="s">
        <v>27614</v>
      </c>
      <c r="J13543" s="10" t="str">
        <f>HYPERLINK("https://www.boe.es/gazeta/dias/1834/10/08/pdfs/GMD-C-1834-236.pdf#page=1","Abrir facsímil")</f>
        <v>Abrir facsímil</v>
      </c>
      <c r="K13543" s="10" t="s">
        <v>24</v>
      </c>
    </row>
    <row r="13544" spans="1:11" ht="54" customHeight="1">
      <c r="A13544" s="9" t="s">
        <v>27607</v>
      </c>
      <c r="B13544" s="9" t="s">
        <v>27607</v>
      </c>
      <c r="C13544" s="9" t="s">
        <v>90</v>
      </c>
      <c r="D13544" s="9" t="s">
        <v>18</v>
      </c>
      <c r="E13544" s="10" t="s">
        <v>793</v>
      </c>
      <c r="F13544" s="9" t="s">
        <v>1895</v>
      </c>
      <c r="G13544" s="10" t="s">
        <v>86</v>
      </c>
      <c r="H13544" s="9" t="s">
        <v>22</v>
      </c>
      <c r="I13544" s="9" t="s">
        <v>27615</v>
      </c>
      <c r="J13544" s="10" t="str">
        <f>HYPERLINK("https://www.boe.es/gazeta/dias/1834/10/08/pdfs/GMD-C-1834-236.pdf#page=2","Abrir facsímil")</f>
        <v>Abrir facsímil</v>
      </c>
      <c r="K13544" s="10" t="s">
        <v>24</v>
      </c>
    </row>
    <row r="13545" spans="1:11" ht="54" customHeight="1">
      <c r="A13545" s="9" t="s">
        <v>27607</v>
      </c>
      <c r="B13545" s="9" t="s">
        <v>27607</v>
      </c>
      <c r="C13545" s="9" t="s">
        <v>17</v>
      </c>
      <c r="D13545" s="9" t="s">
        <v>18</v>
      </c>
      <c r="E13545" s="10" t="s">
        <v>793</v>
      </c>
      <c r="F13545" s="9" t="s">
        <v>1895</v>
      </c>
      <c r="G13545" s="10" t="s">
        <v>21</v>
      </c>
      <c r="H13545" s="9" t="s">
        <v>22</v>
      </c>
      <c r="I13545" s="9" t="s">
        <v>27616</v>
      </c>
      <c r="J13545" s="10" t="str">
        <f>HYPERLINK("https://www.boe.es/gazeta/dias/1834/10/08/pdfs/GMD-C-1834-236.pdf#page=3","Abrir facsímil")</f>
        <v>Abrir facsímil</v>
      </c>
      <c r="K13545" s="10" t="s">
        <v>24</v>
      </c>
    </row>
    <row r="13546" spans="1:11" ht="54" customHeight="1">
      <c r="A13546" s="9" t="s">
        <v>27607</v>
      </c>
      <c r="B13546" s="9" t="s">
        <v>27607</v>
      </c>
      <c r="C13546" s="9" t="s">
        <v>17</v>
      </c>
      <c r="D13546" s="9" t="s">
        <v>18</v>
      </c>
      <c r="E13546" s="10" t="s">
        <v>96</v>
      </c>
      <c r="F13546" s="9" t="s">
        <v>97</v>
      </c>
      <c r="G13546" s="10" t="s">
        <v>86</v>
      </c>
      <c r="H13546" s="9" t="s">
        <v>22</v>
      </c>
      <c r="I13546" s="9" t="s">
        <v>27617</v>
      </c>
      <c r="J13546" s="10" t="str">
        <f>HYPERLINK("https://www.boe.es/gazeta/dias/1834/11/11/pdfs/GMD-C-1834-270.pdf#page=2","Abrir facsímil")</f>
        <v>Abrir facsímil</v>
      </c>
      <c r="K13546" s="10" t="s">
        <v>24</v>
      </c>
    </row>
    <row r="13547" spans="1:11" ht="54" customHeight="1">
      <c r="A13547" s="9" t="s">
        <v>27607</v>
      </c>
      <c r="B13547" s="9" t="s">
        <v>27607</v>
      </c>
      <c r="C13547" s="9" t="s">
        <v>46</v>
      </c>
      <c r="D13547" s="9" t="s">
        <v>40</v>
      </c>
      <c r="E13547" s="10" t="s">
        <v>448</v>
      </c>
      <c r="F13547" s="9" t="s">
        <v>449</v>
      </c>
      <c r="G13547" s="10" t="s">
        <v>28</v>
      </c>
      <c r="H13547" s="9" t="s">
        <v>22</v>
      </c>
      <c r="I13547" s="9" t="s">
        <v>27618</v>
      </c>
      <c r="J13547" s="10" t="str">
        <f>HYPERLINK("https://www.boe.es/gazeta/dias/1834/10/14/pdfs/GMD-C-1834-242.pdf#page=5","Abrir facsímil")</f>
        <v>Abrir facsímil</v>
      </c>
      <c r="K13547" s="10" t="s">
        <v>24</v>
      </c>
    </row>
    <row r="13548" spans="1:11" ht="54" customHeight="1">
      <c r="A13548" s="9" t="s">
        <v>27607</v>
      </c>
      <c r="B13548" s="9" t="s">
        <v>27607</v>
      </c>
      <c r="C13548" s="9" t="s">
        <v>46</v>
      </c>
      <c r="D13548" s="9" t="s">
        <v>101</v>
      </c>
      <c r="E13548" s="10" t="s">
        <v>451</v>
      </c>
      <c r="F13548" s="9" t="s">
        <v>452</v>
      </c>
      <c r="G13548" s="10" t="s">
        <v>86</v>
      </c>
      <c r="H13548" s="9" t="s">
        <v>22</v>
      </c>
      <c r="I13548" s="9" t="s">
        <v>27619</v>
      </c>
      <c r="J13548" s="10" t="str">
        <f>HYPERLINK("https://www.boe.es/gazeta/dias/1834/10/15/pdfs/GMD-C-1834-243.pdf#page=2","Abrir facsímil")</f>
        <v>Abrir facsímil</v>
      </c>
      <c r="K13548" s="10" t="s">
        <v>24</v>
      </c>
    </row>
    <row r="13549" spans="1:11" ht="54" customHeight="1">
      <c r="A13549" s="9" t="s">
        <v>27620</v>
      </c>
      <c r="B13549" s="9" t="s">
        <v>27620</v>
      </c>
      <c r="C13549" s="9" t="s">
        <v>17</v>
      </c>
      <c r="D13549" s="9" t="s">
        <v>18</v>
      </c>
      <c r="E13549" s="10" t="s">
        <v>2287</v>
      </c>
      <c r="F13549" s="9" t="s">
        <v>2288</v>
      </c>
      <c r="G13549" s="10" t="s">
        <v>176</v>
      </c>
      <c r="H13549" s="9" t="s">
        <v>22</v>
      </c>
      <c r="I13549" s="9" t="s">
        <v>27621</v>
      </c>
      <c r="J13549" s="10" t="str">
        <f>HYPERLINK("https://www.boe.es/gazeta/dias/1834/12/18/pdfs/GMD-C-1834-308.pdf#page=6","Abrir facsímil")</f>
        <v>Abrir facsímil</v>
      </c>
      <c r="K13549" s="10" t="s">
        <v>24</v>
      </c>
    </row>
    <row r="13550" spans="1:11" ht="54" customHeight="1">
      <c r="A13550" s="9" t="s">
        <v>27607</v>
      </c>
      <c r="B13550" s="9" t="s">
        <v>27607</v>
      </c>
      <c r="C13550" s="9" t="s">
        <v>46</v>
      </c>
      <c r="D13550" s="9" t="s">
        <v>101</v>
      </c>
      <c r="E13550" s="10" t="s">
        <v>265</v>
      </c>
      <c r="F13550" s="9" t="s">
        <v>266</v>
      </c>
      <c r="G13550" s="10" t="s">
        <v>34</v>
      </c>
      <c r="H13550" s="9" t="s">
        <v>22</v>
      </c>
      <c r="I13550" s="9" t="s">
        <v>27622</v>
      </c>
      <c r="J13550" s="10" t="str">
        <f>HYPERLINK("https://www.boe.es/gazeta/dias/1834/11/19/pdfs/GMD-C-1834-278.pdf#page=1","Abrir facsímil")</f>
        <v>Abrir facsímil</v>
      </c>
      <c r="K13550" s="10" t="s">
        <v>24</v>
      </c>
    </row>
    <row r="13551" spans="1:11" ht="54" customHeight="1">
      <c r="A13551" s="9" t="s">
        <v>27607</v>
      </c>
      <c r="B13551" s="9" t="s">
        <v>27607</v>
      </c>
      <c r="C13551" s="9" t="s">
        <v>17</v>
      </c>
      <c r="D13551" s="9" t="s">
        <v>18</v>
      </c>
      <c r="E13551" s="10" t="s">
        <v>265</v>
      </c>
      <c r="F13551" s="9" t="s">
        <v>266</v>
      </c>
      <c r="G13551" s="10" t="s">
        <v>86</v>
      </c>
      <c r="H13551" s="9" t="s">
        <v>22</v>
      </c>
      <c r="I13551" s="9" t="s">
        <v>27623</v>
      </c>
      <c r="J13551" s="10" t="str">
        <f>HYPERLINK("https://www.boe.es/gazeta/dias/1834/11/19/pdfs/GMD-C-1834-278.pdf#page=2","Abrir facsímil")</f>
        <v>Abrir facsímil</v>
      </c>
      <c r="K13551" s="10" t="s">
        <v>24</v>
      </c>
    </row>
    <row r="13552" spans="1:11" ht="54" customHeight="1">
      <c r="A13552" s="9" t="s">
        <v>27607</v>
      </c>
      <c r="B13552" s="9" t="s">
        <v>27607</v>
      </c>
      <c r="C13552" s="9" t="s">
        <v>17</v>
      </c>
      <c r="D13552" s="9" t="s">
        <v>18</v>
      </c>
      <c r="E13552" s="10" t="s">
        <v>265</v>
      </c>
      <c r="F13552" s="9" t="s">
        <v>266</v>
      </c>
      <c r="G13552" s="10" t="s">
        <v>21</v>
      </c>
      <c r="H13552" s="9" t="s">
        <v>22</v>
      </c>
      <c r="I13552" s="9" t="s">
        <v>27624</v>
      </c>
      <c r="J13552" s="10" t="str">
        <f>HYPERLINK("https://www.boe.es/gazeta/dias/1834/11/19/pdfs/GMD-C-1834-278.pdf#page=3","Abrir facsímil")</f>
        <v>Abrir facsímil</v>
      </c>
      <c r="K13552" s="10" t="s">
        <v>24</v>
      </c>
    </row>
    <row r="13553" spans="1:11" ht="54" customHeight="1">
      <c r="A13553" s="9" t="s">
        <v>27607</v>
      </c>
      <c r="B13553" s="9" t="s">
        <v>27607</v>
      </c>
      <c r="C13553" s="9" t="s">
        <v>17</v>
      </c>
      <c r="D13553" s="9" t="s">
        <v>18</v>
      </c>
      <c r="E13553" s="10" t="s">
        <v>268</v>
      </c>
      <c r="F13553" s="9" t="s">
        <v>269</v>
      </c>
      <c r="G13553" s="10" t="s">
        <v>34</v>
      </c>
      <c r="H13553" s="9" t="s">
        <v>22</v>
      </c>
      <c r="I13553" s="9" t="s">
        <v>27625</v>
      </c>
      <c r="J13553" s="10" t="str">
        <f>HYPERLINK("https://www.boe.es/gazeta/dias/1834/12/19/pdfs/GMD-C-1834-309.pdf#page=1","Abrir facsímil")</f>
        <v>Abrir facsímil</v>
      </c>
      <c r="K13553" s="10" t="s">
        <v>24</v>
      </c>
    </row>
    <row r="13554" spans="1:11" ht="54" customHeight="1">
      <c r="A13554" s="9" t="s">
        <v>27607</v>
      </c>
      <c r="B13554" s="9" t="s">
        <v>27607</v>
      </c>
      <c r="C13554" s="9" t="s">
        <v>17</v>
      </c>
      <c r="D13554" s="9" t="s">
        <v>18</v>
      </c>
      <c r="E13554" s="10" t="s">
        <v>268</v>
      </c>
      <c r="F13554" s="9" t="s">
        <v>269</v>
      </c>
      <c r="G13554" s="10" t="s">
        <v>21</v>
      </c>
      <c r="H13554" s="9" t="s">
        <v>22</v>
      </c>
      <c r="I13554" s="9" t="s">
        <v>27626</v>
      </c>
      <c r="J13554" s="10" t="str">
        <f>HYPERLINK("https://www.boe.es/gazeta/dias/1834/12/19/pdfs/GMD-C-1834-309.pdf#page=3","Abrir facsímil")</f>
        <v>Abrir facsímil</v>
      </c>
      <c r="K13554" s="10" t="s">
        <v>24</v>
      </c>
    </row>
    <row r="13555" spans="1:11" ht="54" customHeight="1">
      <c r="A13555" s="9" t="s">
        <v>27607</v>
      </c>
      <c r="B13555" s="9" t="s">
        <v>27607</v>
      </c>
      <c r="C13555" s="9" t="s">
        <v>17</v>
      </c>
      <c r="D13555" s="9" t="s">
        <v>18</v>
      </c>
      <c r="E13555" s="10" t="s">
        <v>268</v>
      </c>
      <c r="F13555" s="9" t="s">
        <v>269</v>
      </c>
      <c r="G13555" s="10" t="s">
        <v>75</v>
      </c>
      <c r="H13555" s="9" t="s">
        <v>22</v>
      </c>
      <c r="I13555" s="9" t="s">
        <v>27627</v>
      </c>
      <c r="J13555" s="10" t="str">
        <f>HYPERLINK("https://www.boe.es/gazeta/dias/1834/12/19/pdfs/GMD-C-1834-309.pdf#page=4","Abrir facsímil")</f>
        <v>Abrir facsímil</v>
      </c>
      <c r="K13555" s="10" t="s">
        <v>24</v>
      </c>
    </row>
    <row r="13556" spans="1:11" ht="54" customHeight="1">
      <c r="A13556" s="9" t="s">
        <v>27607</v>
      </c>
      <c r="B13556" s="9" t="s">
        <v>27607</v>
      </c>
      <c r="C13556" s="9" t="s">
        <v>122</v>
      </c>
      <c r="D13556" s="9" t="s">
        <v>18</v>
      </c>
      <c r="E13556" s="10" t="s">
        <v>3248</v>
      </c>
      <c r="F13556" s="9" t="s">
        <v>4798</v>
      </c>
      <c r="G13556" s="10" t="s">
        <v>75</v>
      </c>
      <c r="H13556" s="9" t="s">
        <v>22</v>
      </c>
      <c r="I13556" s="9" t="s">
        <v>27628</v>
      </c>
      <c r="J13556" s="10" t="str">
        <f>HYPERLINK("https://www.boe.es/gazeta/dias/1834/09/20/pdfs/GMD-C-1834-218.pdf#page=4","Abrir facsímil")</f>
        <v>Abrir facsímil</v>
      </c>
      <c r="K13556" s="10" t="s">
        <v>24</v>
      </c>
    </row>
    <row r="13557" spans="1:11" ht="54" customHeight="1">
      <c r="A13557" s="9" t="s">
        <v>27607</v>
      </c>
      <c r="B13557" s="9" t="s">
        <v>27607</v>
      </c>
      <c r="C13557" s="9" t="s">
        <v>17</v>
      </c>
      <c r="D13557" s="9" t="s">
        <v>55</v>
      </c>
      <c r="E13557" s="10" t="s">
        <v>3248</v>
      </c>
      <c r="F13557" s="9" t="s">
        <v>4798</v>
      </c>
      <c r="G13557" s="10" t="s">
        <v>560</v>
      </c>
      <c r="H13557" s="9" t="s">
        <v>22</v>
      </c>
      <c r="I13557" s="9" t="s">
        <v>27629</v>
      </c>
      <c r="J13557" s="10" t="str">
        <f>HYPERLINK("https://www.boe.es/gazeta/dias/1834/09/20/pdfs/GMD-C-1834-218.pdf#page=7","Abrir facsímil")</f>
        <v>Abrir facsímil</v>
      </c>
      <c r="K13557" s="10" t="s">
        <v>24</v>
      </c>
    </row>
    <row r="13558" spans="1:11" ht="54" customHeight="1">
      <c r="A13558" s="9" t="s">
        <v>27607</v>
      </c>
      <c r="B13558" s="9" t="s">
        <v>27607</v>
      </c>
      <c r="C13558" s="9" t="s">
        <v>17</v>
      </c>
      <c r="D13558" s="9" t="s">
        <v>18</v>
      </c>
      <c r="E13558" s="10" t="s">
        <v>492</v>
      </c>
      <c r="F13558" s="9" t="s">
        <v>493</v>
      </c>
      <c r="G13558" s="10" t="s">
        <v>86</v>
      </c>
      <c r="H13558" s="9" t="s">
        <v>22</v>
      </c>
      <c r="I13558" s="9" t="s">
        <v>27630</v>
      </c>
      <c r="J13558" s="10" t="str">
        <f>HYPERLINK("https://www.boe.es/gazeta/dias/1834/11/21/pdfs/GMD-C-1834-280.pdf#page=2","Abrir facsímil")</f>
        <v>Abrir facsímil</v>
      </c>
      <c r="K13558" s="10" t="s">
        <v>24</v>
      </c>
    </row>
    <row r="13559" spans="1:11" ht="54" customHeight="1">
      <c r="A13559" s="9" t="s">
        <v>27607</v>
      </c>
      <c r="B13559" s="9" t="s">
        <v>27607</v>
      </c>
      <c r="C13559" s="9" t="s">
        <v>46</v>
      </c>
      <c r="D13559" s="9" t="s">
        <v>18</v>
      </c>
      <c r="E13559" s="10" t="s">
        <v>492</v>
      </c>
      <c r="F13559" s="9" t="s">
        <v>493</v>
      </c>
      <c r="G13559" s="10" t="s">
        <v>75</v>
      </c>
      <c r="H13559" s="9" t="s">
        <v>22</v>
      </c>
      <c r="I13559" s="9" t="s">
        <v>27631</v>
      </c>
      <c r="J13559" s="10" t="str">
        <f>HYPERLINK("https://www.boe.es/gazeta/dias/1834/11/21/pdfs/GMD-C-1834-280.pdf#page=4","Abrir facsímil")</f>
        <v>Abrir facsímil</v>
      </c>
      <c r="K13559" s="10" t="s">
        <v>24</v>
      </c>
    </row>
    <row r="13560" spans="1:11" ht="54" customHeight="1">
      <c r="A13560" s="9" t="s">
        <v>27607</v>
      </c>
      <c r="B13560" s="9" t="s">
        <v>27607</v>
      </c>
      <c r="C13560" s="9" t="s">
        <v>17</v>
      </c>
      <c r="D13560" s="9" t="s">
        <v>18</v>
      </c>
      <c r="E13560" s="10" t="s">
        <v>492</v>
      </c>
      <c r="F13560" s="9" t="s">
        <v>493</v>
      </c>
      <c r="G13560" s="10" t="s">
        <v>28</v>
      </c>
      <c r="H13560" s="9" t="s">
        <v>22</v>
      </c>
      <c r="I13560" s="9" t="s">
        <v>27632</v>
      </c>
      <c r="J13560" s="10" t="str">
        <f>HYPERLINK("https://www.boe.es/gazeta/dias/1834/11/21/pdfs/GMD-C-1834-280.pdf#page=5","Abrir facsímil")</f>
        <v>Abrir facsímil</v>
      </c>
      <c r="K13560" s="10" t="s">
        <v>24</v>
      </c>
    </row>
    <row r="13561" spans="1:11" ht="54" customHeight="1">
      <c r="A13561" s="9" t="s">
        <v>27607</v>
      </c>
      <c r="B13561" s="9" t="s">
        <v>27607</v>
      </c>
      <c r="C13561" s="9" t="s">
        <v>17</v>
      </c>
      <c r="D13561" s="9" t="s">
        <v>18</v>
      </c>
      <c r="E13561" s="10" t="s">
        <v>610</v>
      </c>
      <c r="F13561" s="9" t="s">
        <v>611</v>
      </c>
      <c r="G13561" s="10" t="s">
        <v>86</v>
      </c>
      <c r="H13561" s="9" t="s">
        <v>22</v>
      </c>
      <c r="I13561" s="9" t="s">
        <v>27633</v>
      </c>
      <c r="J13561" s="10" t="str">
        <f>HYPERLINK("https://www.boe.es/gazeta/dias/1834/12/21/pdfs/GMD-C-1834-311.pdf#page=2","Abrir facsímil")</f>
        <v>Abrir facsímil</v>
      </c>
      <c r="K13561" s="10" t="s">
        <v>24</v>
      </c>
    </row>
    <row r="13562" spans="1:11" ht="54" customHeight="1">
      <c r="A13562" s="9" t="s">
        <v>27607</v>
      </c>
      <c r="B13562" s="9" t="s">
        <v>27607</v>
      </c>
      <c r="C13562" s="9" t="s">
        <v>46</v>
      </c>
      <c r="D13562" s="9" t="s">
        <v>55</v>
      </c>
      <c r="E13562" s="10" t="s">
        <v>610</v>
      </c>
      <c r="F13562" s="9" t="s">
        <v>611</v>
      </c>
      <c r="G13562" s="10" t="s">
        <v>75</v>
      </c>
      <c r="H13562" s="9" t="s">
        <v>22</v>
      </c>
      <c r="I13562" s="9" t="s">
        <v>27634</v>
      </c>
      <c r="J13562" s="10" t="str">
        <f>HYPERLINK("https://www.boe.es/gazeta/dias/1834/12/21/pdfs/GMD-C-1834-311.pdf#page=4","Abrir facsímil")</f>
        <v>Abrir facsímil</v>
      </c>
      <c r="K13562" s="10" t="s">
        <v>24</v>
      </c>
    </row>
    <row r="13563" spans="1:11" ht="54" customHeight="1">
      <c r="A13563" s="9" t="s">
        <v>27607</v>
      </c>
      <c r="B13563" s="9" t="s">
        <v>27607</v>
      </c>
      <c r="C13563" s="9" t="s">
        <v>122</v>
      </c>
      <c r="D13563" s="9" t="s">
        <v>18</v>
      </c>
      <c r="E13563" s="10" t="s">
        <v>702</v>
      </c>
      <c r="F13563" s="9" t="s">
        <v>703</v>
      </c>
      <c r="G13563" s="10" t="s">
        <v>34</v>
      </c>
      <c r="H13563" s="9" t="s">
        <v>22</v>
      </c>
      <c r="I13563" s="9" t="s">
        <v>27635</v>
      </c>
      <c r="J13563" s="10" t="str">
        <f>HYPERLINK("https://www.boe.es/gazeta/dias/1834/11/22/pdfs/GMD-C-1834-281.pdf#page=1","Abrir facsímil")</f>
        <v>Abrir facsímil</v>
      </c>
      <c r="K13563" s="10" t="s">
        <v>24</v>
      </c>
    </row>
    <row r="13564" spans="1:11" ht="54" customHeight="1">
      <c r="A13564" s="9" t="s">
        <v>27607</v>
      </c>
      <c r="B13564" s="9" t="s">
        <v>27607</v>
      </c>
      <c r="C13564" s="9" t="s">
        <v>17</v>
      </c>
      <c r="D13564" s="9" t="s">
        <v>18</v>
      </c>
      <c r="E13564" s="10" t="s">
        <v>702</v>
      </c>
      <c r="F13564" s="9" t="s">
        <v>703</v>
      </c>
      <c r="G13564" s="10" t="s">
        <v>86</v>
      </c>
      <c r="H13564" s="9" t="s">
        <v>22</v>
      </c>
      <c r="I13564" s="9" t="s">
        <v>27636</v>
      </c>
      <c r="J13564" s="10" t="str">
        <f>HYPERLINK("https://www.boe.es/gazeta/dias/1834/11/22/pdfs/GMD-C-1834-281.pdf#page=2","Abrir facsímil")</f>
        <v>Abrir facsímil</v>
      </c>
      <c r="K13564" s="10" t="s">
        <v>24</v>
      </c>
    </row>
    <row r="13565" spans="1:11" ht="54" customHeight="1">
      <c r="A13565" s="9" t="s">
        <v>27607</v>
      </c>
      <c r="B13565" s="9" t="s">
        <v>27607</v>
      </c>
      <c r="C13565" s="9" t="s">
        <v>90</v>
      </c>
      <c r="D13565" s="9" t="s">
        <v>18</v>
      </c>
      <c r="E13565" s="10" t="s">
        <v>702</v>
      </c>
      <c r="F13565" s="9" t="s">
        <v>703</v>
      </c>
      <c r="G13565" s="10" t="s">
        <v>75</v>
      </c>
      <c r="H13565" s="9" t="s">
        <v>22</v>
      </c>
      <c r="I13565" s="9" t="s">
        <v>27637</v>
      </c>
      <c r="J13565" s="10" t="str">
        <f>HYPERLINK("https://www.boe.es/gazeta/dias/1834/11/22/pdfs/GMD-C-1834-281.pdf#page=4","Abrir facsímil")</f>
        <v>Abrir facsímil</v>
      </c>
      <c r="K13565" s="10" t="s">
        <v>24</v>
      </c>
    </row>
    <row r="13566" spans="1:11" ht="54" customHeight="1">
      <c r="A13566" s="9" t="s">
        <v>27607</v>
      </c>
      <c r="B13566" s="9" t="s">
        <v>27607</v>
      </c>
      <c r="C13566" s="9" t="s">
        <v>90</v>
      </c>
      <c r="D13566" s="9" t="s">
        <v>18</v>
      </c>
      <c r="E13566" s="10" t="s">
        <v>702</v>
      </c>
      <c r="F13566" s="9" t="s">
        <v>703</v>
      </c>
      <c r="G13566" s="10" t="s">
        <v>28</v>
      </c>
      <c r="H13566" s="9" t="s">
        <v>22</v>
      </c>
      <c r="I13566" s="9" t="s">
        <v>27638</v>
      </c>
      <c r="J13566" s="10" t="str">
        <f>HYPERLINK("https://www.boe.es/gazeta/dias/1834/11/22/pdfs/GMD-C-1834-281.pdf#page=5","Abrir facsímil")</f>
        <v>Abrir facsímil</v>
      </c>
      <c r="K13566" s="10" t="s">
        <v>24</v>
      </c>
    </row>
    <row r="13567" spans="1:11" ht="54" customHeight="1">
      <c r="A13567" s="9" t="s">
        <v>27607</v>
      </c>
      <c r="B13567" s="9" t="s">
        <v>27607</v>
      </c>
      <c r="C13567" s="9" t="s">
        <v>17</v>
      </c>
      <c r="D13567" s="9" t="s">
        <v>18</v>
      </c>
      <c r="E13567" s="10" t="s">
        <v>667</v>
      </c>
      <c r="F13567" s="9" t="s">
        <v>668</v>
      </c>
      <c r="G13567" s="10" t="s">
        <v>21</v>
      </c>
      <c r="H13567" s="9" t="s">
        <v>22</v>
      </c>
      <c r="I13567" s="9" t="s">
        <v>27639</v>
      </c>
      <c r="J13567" s="10" t="str">
        <f>HYPERLINK("https://www.boe.es/gazeta/dias/1834/11/23/pdfs/GMD-C-1834-282.pdf#page=3","Abrir facsímil")</f>
        <v>Abrir facsímil</v>
      </c>
      <c r="K13567" s="10" t="s">
        <v>24</v>
      </c>
    </row>
    <row r="13568" spans="1:11" ht="54" customHeight="1">
      <c r="A13568" s="9" t="s">
        <v>27607</v>
      </c>
      <c r="B13568" s="9" t="s">
        <v>27607</v>
      </c>
      <c r="C13568" s="9" t="s">
        <v>46</v>
      </c>
      <c r="D13568" s="9" t="s">
        <v>101</v>
      </c>
      <c r="E13568" s="10" t="s">
        <v>667</v>
      </c>
      <c r="F13568" s="9" t="s">
        <v>668</v>
      </c>
      <c r="G13568" s="10" t="s">
        <v>75</v>
      </c>
      <c r="H13568" s="9" t="s">
        <v>22</v>
      </c>
      <c r="I13568" s="9" t="s">
        <v>27640</v>
      </c>
      <c r="J13568" s="10" t="str">
        <f>HYPERLINK("https://www.boe.es/gazeta/dias/1834/11/23/pdfs/GMD-C-1834-282.pdf#page=4","Abrir facsímil")</f>
        <v>Abrir facsímil</v>
      </c>
      <c r="K13568" s="10" t="s">
        <v>24</v>
      </c>
    </row>
    <row r="13569" spans="1:11" ht="54" customHeight="1">
      <c r="A13569" s="9" t="s">
        <v>27607</v>
      </c>
      <c r="B13569" s="9" t="s">
        <v>27607</v>
      </c>
      <c r="C13569" s="9" t="s">
        <v>17</v>
      </c>
      <c r="D13569" s="9" t="s">
        <v>18</v>
      </c>
      <c r="E13569" s="10" t="s">
        <v>667</v>
      </c>
      <c r="F13569" s="9" t="s">
        <v>668</v>
      </c>
      <c r="G13569" s="10" t="s">
        <v>28</v>
      </c>
      <c r="H13569" s="9" t="s">
        <v>22</v>
      </c>
      <c r="I13569" s="9" t="s">
        <v>27641</v>
      </c>
      <c r="J13569" s="10" t="str">
        <f>HYPERLINK("https://www.boe.es/gazeta/dias/1834/11/23/pdfs/GMD-C-1834-282.pdf#page=5","Abrir facsímil")</f>
        <v>Abrir facsímil</v>
      </c>
      <c r="K13569" s="10" t="s">
        <v>24</v>
      </c>
    </row>
    <row r="13570" spans="1:11" ht="54" customHeight="1">
      <c r="A13570" s="9" t="s">
        <v>27607</v>
      </c>
      <c r="B13570" s="9" t="s">
        <v>27607</v>
      </c>
      <c r="C13570" s="9" t="s">
        <v>17</v>
      </c>
      <c r="D13570" s="9" t="s">
        <v>18</v>
      </c>
      <c r="E13570" s="10" t="s">
        <v>1017</v>
      </c>
      <c r="F13570" s="9" t="s">
        <v>1018</v>
      </c>
      <c r="G13570" s="10" t="s">
        <v>21</v>
      </c>
      <c r="H13570" s="9" t="s">
        <v>22</v>
      </c>
      <c r="I13570" s="9" t="s">
        <v>27642</v>
      </c>
      <c r="J13570" s="10" t="str">
        <f>HYPERLINK("https://www.boe.es/gazeta/dias/1834/07/24/pdfs/GMD-1834-157.pdf#page=3","Abrir facsímil")</f>
        <v>Abrir facsímil</v>
      </c>
      <c r="K13570" s="10" t="s">
        <v>24</v>
      </c>
    </row>
    <row r="13571" spans="1:11" ht="54" customHeight="1">
      <c r="A13571" s="9" t="s">
        <v>27607</v>
      </c>
      <c r="B13571" s="9" t="s">
        <v>27607</v>
      </c>
      <c r="C13571" s="9" t="s">
        <v>17</v>
      </c>
      <c r="D13571" s="9" t="s">
        <v>55</v>
      </c>
      <c r="E13571" s="10" t="s">
        <v>403</v>
      </c>
      <c r="F13571" s="9" t="s">
        <v>404</v>
      </c>
      <c r="G13571" s="10" t="s">
        <v>560</v>
      </c>
      <c r="H13571" s="9" t="s">
        <v>22</v>
      </c>
      <c r="I13571" s="9" t="s">
        <v>27643</v>
      </c>
      <c r="J13571" s="10" t="str">
        <f>HYPERLINK("https://www.boe.es/gazeta/dias/1834/09/25/pdfs/GMD-C-1834-223.pdf#page=7","Abrir facsímil")</f>
        <v>Abrir facsímil</v>
      </c>
      <c r="K13571" s="10" t="s">
        <v>24</v>
      </c>
    </row>
    <row r="13572" spans="1:11" ht="54" customHeight="1">
      <c r="A13572" s="9" t="s">
        <v>27607</v>
      </c>
      <c r="B13572" s="9" t="s">
        <v>27607</v>
      </c>
      <c r="C13572" s="9" t="s">
        <v>17</v>
      </c>
      <c r="D13572" s="9" t="s">
        <v>18</v>
      </c>
      <c r="E13572" s="10" t="s">
        <v>251</v>
      </c>
      <c r="F13572" s="9" t="s">
        <v>252</v>
      </c>
      <c r="G13572" s="10" t="s">
        <v>176</v>
      </c>
      <c r="H13572" s="9" t="s">
        <v>22</v>
      </c>
      <c r="I13572" s="9" t="s">
        <v>27644</v>
      </c>
      <c r="J13572" s="10" t="str">
        <f>HYPERLINK("https://www.boe.es/gazeta/dias/1834/09/26/pdfs/GMD-C-1834-224.pdf#page=6","Abrir facsímil")</f>
        <v>Abrir facsímil</v>
      </c>
      <c r="K13572" s="10" t="s">
        <v>24</v>
      </c>
    </row>
    <row r="13573" spans="1:11" ht="54" customHeight="1">
      <c r="A13573" s="9" t="s">
        <v>27607</v>
      </c>
      <c r="B13573" s="9" t="s">
        <v>27607</v>
      </c>
      <c r="C13573" s="9" t="s">
        <v>17</v>
      </c>
      <c r="D13573" s="9" t="s">
        <v>55</v>
      </c>
      <c r="E13573" s="10" t="s">
        <v>251</v>
      </c>
      <c r="F13573" s="9" t="s">
        <v>252</v>
      </c>
      <c r="G13573" s="10" t="s">
        <v>560</v>
      </c>
      <c r="H13573" s="9" t="s">
        <v>22</v>
      </c>
      <c r="I13573" s="9" t="s">
        <v>27645</v>
      </c>
      <c r="J13573" s="10" t="str">
        <f>HYPERLINK("https://www.boe.es/gazeta/dias/1834/09/26/pdfs/GMD-C-1834-224.pdf#page=7","Abrir facsímil")</f>
        <v>Abrir facsímil</v>
      </c>
      <c r="K13573" s="10" t="s">
        <v>24</v>
      </c>
    </row>
    <row r="13574" spans="1:11" ht="54" customHeight="1">
      <c r="A13574" s="9" t="s">
        <v>27607</v>
      </c>
      <c r="B13574" s="9" t="s">
        <v>27607</v>
      </c>
      <c r="C13574" s="9" t="s">
        <v>17</v>
      </c>
      <c r="D13574" s="9" t="s">
        <v>18</v>
      </c>
      <c r="E13574" s="10" t="s">
        <v>294</v>
      </c>
      <c r="F13574" s="9" t="s">
        <v>959</v>
      </c>
      <c r="G13574" s="10" t="s">
        <v>75</v>
      </c>
      <c r="H13574" s="9" t="s">
        <v>22</v>
      </c>
      <c r="I13574" s="9" t="s">
        <v>27646</v>
      </c>
      <c r="J13574" s="10" t="str">
        <f>HYPERLINK("https://www.boe.es/gazeta/dias/1834/09/27/pdfs/GMD-C-1834-225.pdf#page=4","Abrir facsímil")</f>
        <v>Abrir facsímil</v>
      </c>
      <c r="K13574" s="10" t="s">
        <v>24</v>
      </c>
    </row>
    <row r="13575" spans="1:11" ht="54" customHeight="1">
      <c r="A13575" s="9" t="s">
        <v>27607</v>
      </c>
      <c r="B13575" s="9" t="s">
        <v>27607</v>
      </c>
      <c r="C13575" s="9" t="s">
        <v>17</v>
      </c>
      <c r="D13575" s="9" t="s">
        <v>18</v>
      </c>
      <c r="E13575" s="10" t="s">
        <v>1641</v>
      </c>
      <c r="F13575" s="9" t="s">
        <v>1642</v>
      </c>
      <c r="G13575" s="10" t="s">
        <v>34</v>
      </c>
      <c r="H13575" s="9" t="s">
        <v>22</v>
      </c>
      <c r="I13575" s="9" t="s">
        <v>27647</v>
      </c>
      <c r="J13575" s="10" t="str">
        <f>HYPERLINK("https://www.boe.es/gazeta/dias/1834/09/28/pdfs/GMD-C-1834-226.pdf#page=1","Abrir facsímil")</f>
        <v>Abrir facsímil</v>
      </c>
      <c r="K13575" s="10" t="s">
        <v>24</v>
      </c>
    </row>
    <row r="13576" spans="1:11" ht="54" customHeight="1">
      <c r="A13576" s="9" t="s">
        <v>27607</v>
      </c>
      <c r="B13576" s="9" t="s">
        <v>27607</v>
      </c>
      <c r="C13576" s="9" t="s">
        <v>90</v>
      </c>
      <c r="D13576" s="9" t="s">
        <v>101</v>
      </c>
      <c r="E13576" s="10" t="s">
        <v>468</v>
      </c>
      <c r="F13576" s="9" t="s">
        <v>469</v>
      </c>
      <c r="G13576" s="10" t="s">
        <v>470</v>
      </c>
      <c r="H13576" s="9" t="s">
        <v>22</v>
      </c>
      <c r="I13576" s="9" t="s">
        <v>27648</v>
      </c>
      <c r="J13576" s="10" t="str">
        <f>HYPERLINK("https://www.boe.es/gazeta/dias/1834/12/28/pdfs/GMD-C-1834-318.pdf#page=8","Abrir facsímil")</f>
        <v>Abrir facsímil</v>
      </c>
      <c r="K13576" s="10" t="s">
        <v>24</v>
      </c>
    </row>
    <row r="13577" spans="1:11" ht="54" customHeight="1">
      <c r="A13577" s="9" t="s">
        <v>27607</v>
      </c>
      <c r="B13577" s="9" t="s">
        <v>27607</v>
      </c>
      <c r="C13577" s="9" t="s">
        <v>46</v>
      </c>
      <c r="D13577" s="9" t="s">
        <v>101</v>
      </c>
      <c r="E13577" s="10" t="s">
        <v>468</v>
      </c>
      <c r="F13577" s="9" t="s">
        <v>469</v>
      </c>
      <c r="G13577" s="10" t="s">
        <v>1343</v>
      </c>
      <c r="H13577" s="9" t="s">
        <v>22</v>
      </c>
      <c r="I13577" s="9" t="s">
        <v>27649</v>
      </c>
      <c r="J13577" s="10" t="str">
        <f>HYPERLINK("https://www.boe.es/gazeta/dias/1834/12/28/pdfs/GMD-C-1834-318.pdf#page=9","Abrir facsímil")</f>
        <v>Abrir facsímil</v>
      </c>
      <c r="K13577" s="10" t="s">
        <v>24</v>
      </c>
    </row>
    <row r="13578" spans="1:11" ht="54" customHeight="1">
      <c r="A13578" s="9" t="s">
        <v>27607</v>
      </c>
      <c r="B13578" s="9" t="s">
        <v>27607</v>
      </c>
      <c r="C13578" s="9" t="s">
        <v>122</v>
      </c>
      <c r="D13578" s="9" t="s">
        <v>18</v>
      </c>
      <c r="E13578" s="10" t="s">
        <v>2526</v>
      </c>
      <c r="F13578" s="9" t="s">
        <v>2527</v>
      </c>
      <c r="G13578" s="10" t="s">
        <v>34</v>
      </c>
      <c r="H13578" s="9" t="s">
        <v>22</v>
      </c>
      <c r="I13578" s="9" t="s">
        <v>27650</v>
      </c>
      <c r="J13578" s="10" t="str">
        <f>HYPERLINK("https://www.boe.es/gazeta/dias/1834/12/29/pdfs/GMD-C-1834-319.pdf#page=1","Abrir facsímil")</f>
        <v>Abrir facsímil</v>
      </c>
      <c r="K13578" s="10" t="s">
        <v>24</v>
      </c>
    </row>
    <row r="13579" spans="1:11" ht="54" customHeight="1">
      <c r="A13579" s="9" t="s">
        <v>27651</v>
      </c>
      <c r="B13579" s="9" t="s">
        <v>27652</v>
      </c>
      <c r="C13579" s="9" t="s">
        <v>17</v>
      </c>
      <c r="D13579" s="9" t="s">
        <v>18</v>
      </c>
      <c r="E13579" s="10" t="s">
        <v>690</v>
      </c>
      <c r="F13579" s="9" t="s">
        <v>691</v>
      </c>
      <c r="G13579" s="10" t="s">
        <v>34</v>
      </c>
      <c r="H13579" s="9" t="s">
        <v>22</v>
      </c>
      <c r="I13579" s="9" t="s">
        <v>27653</v>
      </c>
      <c r="J13579" s="10" t="str">
        <f>HYPERLINK("https://www.boe.es/gazeta/dias/1834/09/03/pdfs/GMD-C-1834-201.pdf#page=1","Abrir facsímil")</f>
        <v>Abrir facsímil</v>
      </c>
      <c r="K13579" s="10" t="s">
        <v>24</v>
      </c>
    </row>
    <row r="13580" spans="1:11" ht="54" customHeight="1">
      <c r="A13580" s="9" t="s">
        <v>27654</v>
      </c>
      <c r="B13580" s="9" t="s">
        <v>27655</v>
      </c>
      <c r="C13580" s="9" t="s">
        <v>17</v>
      </c>
      <c r="D13580" s="9" t="s">
        <v>18</v>
      </c>
      <c r="E13580" s="10" t="s">
        <v>667</v>
      </c>
      <c r="F13580" s="9" t="s">
        <v>668</v>
      </c>
      <c r="G13580" s="10" t="s">
        <v>21</v>
      </c>
      <c r="H13580" s="9" t="s">
        <v>22</v>
      </c>
      <c r="I13580" s="9" t="s">
        <v>27656</v>
      </c>
      <c r="J13580" s="10" t="str">
        <f>HYPERLINK("https://www.boe.es/gazeta/dias/1834/11/23/pdfs/GMD-C-1834-282.pdf#page=3","Abrir facsímil")</f>
        <v>Abrir facsímil</v>
      </c>
      <c r="K13580" s="10" t="s">
        <v>24</v>
      </c>
    </row>
    <row r="13581" spans="1:11" ht="54" customHeight="1">
      <c r="A13581" s="9" t="s">
        <v>27657</v>
      </c>
      <c r="B13581" s="9" t="s">
        <v>27657</v>
      </c>
      <c r="C13581" s="9" t="s">
        <v>17</v>
      </c>
      <c r="D13581" s="9" t="s">
        <v>18</v>
      </c>
      <c r="E13581" s="10" t="s">
        <v>690</v>
      </c>
      <c r="F13581" s="9" t="s">
        <v>691</v>
      </c>
      <c r="G13581" s="10" t="s">
        <v>34</v>
      </c>
      <c r="H13581" s="9" t="s">
        <v>22</v>
      </c>
      <c r="I13581" s="9" t="s">
        <v>27658</v>
      </c>
      <c r="J13581" s="10" t="str">
        <f>HYPERLINK("https://www.boe.es/gazeta/dias/1834/09/03/pdfs/GMD-C-1834-201.pdf#page=1","Abrir facsímil")</f>
        <v>Abrir facsímil</v>
      </c>
      <c r="K13581" s="10" t="s">
        <v>24</v>
      </c>
    </row>
    <row r="13582" spans="1:11" ht="54" customHeight="1">
      <c r="A13582" s="9" t="s">
        <v>27659</v>
      </c>
      <c r="B13582" s="9" t="s">
        <v>27659</v>
      </c>
      <c r="C13582" s="9" t="s">
        <v>17</v>
      </c>
      <c r="D13582" s="9" t="s">
        <v>18</v>
      </c>
      <c r="E13582" s="10" t="s">
        <v>158</v>
      </c>
      <c r="F13582" s="9" t="s">
        <v>581</v>
      </c>
      <c r="G13582" s="10" t="s">
        <v>34</v>
      </c>
      <c r="H13582" s="9" t="s">
        <v>22</v>
      </c>
      <c r="I13582" s="9" t="s">
        <v>27660</v>
      </c>
      <c r="J13582" s="10" t="str">
        <f>HYPERLINK("https://www.boe.es/gazeta/dias/1834/10/01/pdfs/GMD-C-1834-229.pdf#page=1","Abrir facsímil")</f>
        <v>Abrir facsímil</v>
      </c>
      <c r="K13582" s="10" t="s">
        <v>24</v>
      </c>
    </row>
    <row r="13583" spans="1:11" ht="54" customHeight="1">
      <c r="A13583" s="9" t="s">
        <v>27661</v>
      </c>
      <c r="B13583" s="9" t="s">
        <v>27661</v>
      </c>
      <c r="C13583" s="9" t="s">
        <v>17</v>
      </c>
      <c r="D13583" s="9" t="s">
        <v>18</v>
      </c>
      <c r="E13583" s="10" t="s">
        <v>1351</v>
      </c>
      <c r="F13583" s="9" t="s">
        <v>1352</v>
      </c>
      <c r="G13583" s="10" t="s">
        <v>21</v>
      </c>
      <c r="H13583" s="9" t="s">
        <v>22</v>
      </c>
      <c r="I13583" s="9" t="s">
        <v>27662</v>
      </c>
      <c r="J13583" s="10" t="str">
        <f>HYPERLINK("https://www.boe.es/gazeta/dias/1834/07/05/pdfs/GMD-1834-138.pdf#page=3","Abrir facsímil")</f>
        <v>Abrir facsímil</v>
      </c>
      <c r="K13583" s="10" t="s">
        <v>24</v>
      </c>
    </row>
    <row r="13584" spans="1:11" ht="54" customHeight="1">
      <c r="A13584" s="9" t="s">
        <v>27663</v>
      </c>
      <c r="B13584" s="9" t="s">
        <v>27664</v>
      </c>
      <c r="C13584" s="9" t="s">
        <v>46</v>
      </c>
      <c r="D13584" s="9" t="s">
        <v>18</v>
      </c>
      <c r="E13584" s="10" t="s">
        <v>167</v>
      </c>
      <c r="F13584" s="9" t="s">
        <v>1200</v>
      </c>
      <c r="G13584" s="10" t="s">
        <v>86</v>
      </c>
      <c r="H13584" s="9" t="s">
        <v>22</v>
      </c>
      <c r="I13584" s="9" t="s">
        <v>27665</v>
      </c>
      <c r="J13584" s="10" t="str">
        <f>HYPERLINK("https://www.boe.es/gazeta/dias/1834/09/07/pdfs/GMD-C-1834-205.pdf#page=2","Abrir facsímil")</f>
        <v>Abrir facsímil</v>
      </c>
      <c r="K13584" s="10" t="s">
        <v>24</v>
      </c>
    </row>
    <row r="13585" spans="1:11" ht="54" customHeight="1">
      <c r="A13585" s="9" t="s">
        <v>27666</v>
      </c>
      <c r="B13585" s="9" t="s">
        <v>27666</v>
      </c>
      <c r="C13585" s="9" t="s">
        <v>17</v>
      </c>
      <c r="D13585" s="9" t="s">
        <v>18</v>
      </c>
      <c r="E13585" s="10" t="s">
        <v>280</v>
      </c>
      <c r="F13585" s="9" t="s">
        <v>3217</v>
      </c>
      <c r="G13585" s="10" t="s">
        <v>34</v>
      </c>
      <c r="H13585" s="9" t="s">
        <v>22</v>
      </c>
      <c r="I13585" s="9" t="s">
        <v>27667</v>
      </c>
      <c r="J13585" s="10" t="str">
        <f>HYPERLINK("https://www.boe.es/gazeta/dias/1834/08/29/pdfs/GMD-1834-195.pdf#page=1","Abrir facsímil")</f>
        <v>Abrir facsímil</v>
      </c>
      <c r="K13585" s="10" t="s">
        <v>24</v>
      </c>
    </row>
    <row r="13586" spans="1:11" ht="54" customHeight="1">
      <c r="A13586" s="9" t="s">
        <v>27668</v>
      </c>
      <c r="B13586" s="9" t="s">
        <v>27669</v>
      </c>
      <c r="C13586" s="9" t="s">
        <v>17</v>
      </c>
      <c r="D13586" s="9" t="s">
        <v>18</v>
      </c>
      <c r="E13586" s="10" t="s">
        <v>899</v>
      </c>
      <c r="F13586" s="9" t="s">
        <v>900</v>
      </c>
      <c r="G13586" s="10" t="s">
        <v>28</v>
      </c>
      <c r="H13586" s="9" t="s">
        <v>22</v>
      </c>
      <c r="I13586" s="9" t="s">
        <v>27670</v>
      </c>
      <c r="J13586" s="10" t="str">
        <f>HYPERLINK("https://www.boe.es/gazeta/dias/1834/01/30/pdfs/GMD-1834-14.pdf#page=5","Abrir facsímil")</f>
        <v>Abrir facsímil</v>
      </c>
      <c r="K13586" s="10" t="s">
        <v>24</v>
      </c>
    </row>
    <row r="13587" spans="1:11" ht="54" customHeight="1">
      <c r="A13587" s="9" t="s">
        <v>27671</v>
      </c>
      <c r="B13587" s="9" t="s">
        <v>27671</v>
      </c>
      <c r="C13587" s="9" t="s">
        <v>17</v>
      </c>
      <c r="D13587" s="9" t="s">
        <v>18</v>
      </c>
      <c r="E13587" s="10" t="s">
        <v>19</v>
      </c>
      <c r="F13587" s="9" t="s">
        <v>107</v>
      </c>
      <c r="G13587" s="10" t="s">
        <v>86</v>
      </c>
      <c r="H13587" s="9" t="s">
        <v>22</v>
      </c>
      <c r="I13587" s="9" t="s">
        <v>27672</v>
      </c>
      <c r="J13587" s="10" t="str">
        <f>HYPERLINK("https://www.boe.es/gazeta/dias/1834/08/17/pdfs/GMD-1834-182.pdf#page=2","Abrir facsímil")</f>
        <v>Abrir facsímil</v>
      </c>
      <c r="K13587" s="10" t="s">
        <v>24</v>
      </c>
    </row>
    <row r="13588" spans="1:11" ht="54" customHeight="1">
      <c r="A13588" s="9" t="s">
        <v>27673</v>
      </c>
      <c r="B13588" s="9" t="s">
        <v>27673</v>
      </c>
      <c r="C13588" s="9" t="s">
        <v>46</v>
      </c>
      <c r="D13588" s="9" t="s">
        <v>55</v>
      </c>
      <c r="E13588" s="10" t="s">
        <v>84</v>
      </c>
      <c r="F13588" s="9" t="s">
        <v>1223</v>
      </c>
      <c r="G13588" s="10" t="s">
        <v>86</v>
      </c>
      <c r="H13588" s="9" t="s">
        <v>22</v>
      </c>
      <c r="I13588" s="9" t="s">
        <v>27674</v>
      </c>
      <c r="J13588" s="10" t="str">
        <f>HYPERLINK("https://www.boe.es/gazeta/dias/1834/06/07/pdfs/GMD-1834-109.pdf#page=2","Abrir facsímil")</f>
        <v>Abrir facsímil</v>
      </c>
      <c r="K13588" s="10" t="s">
        <v>24</v>
      </c>
    </row>
    <row r="13589" spans="1:11" ht="54" customHeight="1">
      <c r="A13589" s="9" t="s">
        <v>27675</v>
      </c>
      <c r="B13589" s="9" t="s">
        <v>27676</v>
      </c>
      <c r="C13589" s="9" t="s">
        <v>90</v>
      </c>
      <c r="D13589" s="9" t="s">
        <v>67</v>
      </c>
      <c r="E13589" s="10" t="s">
        <v>1695</v>
      </c>
      <c r="F13589" s="9" t="s">
        <v>1696</v>
      </c>
      <c r="G13589" s="10" t="s">
        <v>86</v>
      </c>
      <c r="H13589" s="9" t="s">
        <v>35</v>
      </c>
      <c r="I13589" s="9" t="s">
        <v>27677</v>
      </c>
      <c r="J13589" s="10" t="str">
        <f>HYPERLINK("https://www.boe.es/gazeta/dias/1834/06/30/pdfs/GMD-1834-133.pdf#page=2","Abrir facsímil")</f>
        <v>Abrir facsímil</v>
      </c>
      <c r="K13589" s="10" t="s">
        <v>37</v>
      </c>
    </row>
    <row r="13590" spans="1:11" ht="54" customHeight="1">
      <c r="A13590" s="9" t="s">
        <v>27678</v>
      </c>
      <c r="B13590" s="9" t="s">
        <v>27679</v>
      </c>
      <c r="C13590" s="9" t="s">
        <v>90</v>
      </c>
      <c r="D13590" s="9" t="s">
        <v>67</v>
      </c>
      <c r="E13590" s="10" t="s">
        <v>1695</v>
      </c>
      <c r="F13590" s="9" t="s">
        <v>1696</v>
      </c>
      <c r="G13590" s="10" t="s">
        <v>86</v>
      </c>
      <c r="H13590" s="9" t="s">
        <v>22</v>
      </c>
      <c r="I13590" s="9" t="s">
        <v>27680</v>
      </c>
      <c r="J13590" s="10" t="str">
        <f>HYPERLINK("https://www.boe.es/gazeta/dias/1834/06/30/pdfs/GMD-1834-133.pdf#page=2","Abrir facsímil")</f>
        <v>Abrir facsímil</v>
      </c>
      <c r="K13590" s="10" t="s">
        <v>24</v>
      </c>
    </row>
    <row r="13591" spans="1:11" ht="54" customHeight="1">
      <c r="A13591" s="9" t="s">
        <v>27678</v>
      </c>
      <c r="B13591" s="9" t="s">
        <v>27679</v>
      </c>
      <c r="C13591" s="9" t="s">
        <v>17</v>
      </c>
      <c r="D13591" s="9" t="s">
        <v>18</v>
      </c>
      <c r="E13591" s="10" t="s">
        <v>1695</v>
      </c>
      <c r="F13591" s="9" t="s">
        <v>1696</v>
      </c>
      <c r="G13591" s="10" t="s">
        <v>21</v>
      </c>
      <c r="H13591" s="9" t="s">
        <v>22</v>
      </c>
      <c r="I13591" s="9" t="s">
        <v>27681</v>
      </c>
      <c r="J13591" s="10" t="str">
        <f>HYPERLINK("https://www.boe.es/gazeta/dias/1834/06/30/pdfs/GMD-1834-133.pdf#page=3","Abrir facsímil")</f>
        <v>Abrir facsímil</v>
      </c>
      <c r="K13591" s="10" t="s">
        <v>24</v>
      </c>
    </row>
    <row r="13592" spans="1:11" ht="54" customHeight="1">
      <c r="A13592" s="9" t="s">
        <v>27682</v>
      </c>
      <c r="B13592" s="9" t="s">
        <v>27682</v>
      </c>
      <c r="C13592" s="9" t="s">
        <v>46</v>
      </c>
      <c r="D13592" s="9" t="s">
        <v>18</v>
      </c>
      <c r="E13592" s="10" t="s">
        <v>1025</v>
      </c>
      <c r="F13592" s="9" t="s">
        <v>1026</v>
      </c>
      <c r="G13592" s="10" t="s">
        <v>86</v>
      </c>
      <c r="H13592" s="9" t="s">
        <v>22</v>
      </c>
      <c r="I13592" s="9" t="s">
        <v>27683</v>
      </c>
      <c r="J13592" s="10" t="str">
        <f>HYPERLINK("https://www.boe.es/gazeta/dias/1834/03/01/pdfs/GMD-1834-27.pdf#page=2","Abrir facsímil")</f>
        <v>Abrir facsímil</v>
      </c>
      <c r="K13592" s="10" t="s">
        <v>24</v>
      </c>
    </row>
    <row r="13593" spans="1:11" ht="54" customHeight="1">
      <c r="A13593" s="9" t="s">
        <v>27684</v>
      </c>
      <c r="B13593" s="9" t="s">
        <v>27684</v>
      </c>
      <c r="C13593" s="9" t="s">
        <v>66</v>
      </c>
      <c r="D13593" s="9" t="s">
        <v>18</v>
      </c>
      <c r="E13593" s="10" t="s">
        <v>12114</v>
      </c>
      <c r="F13593" s="9" t="s">
        <v>12115</v>
      </c>
      <c r="G13593" s="10" t="s">
        <v>34</v>
      </c>
      <c r="H13593" s="9" t="s">
        <v>22</v>
      </c>
      <c r="I13593" s="9" t="s">
        <v>27685</v>
      </c>
      <c r="J13593" s="10" t="str">
        <f>HYPERLINK("https://www.boe.es/gazeta/dias/1834/04/08/pdfs/GMD-1834-47.pdf#page=1","Abrir facsímil")</f>
        <v>Abrir facsímil</v>
      </c>
      <c r="K13593" s="10" t="s">
        <v>24</v>
      </c>
    </row>
    <row r="13594" spans="1:11" ht="54" customHeight="1">
      <c r="A13594" s="9" t="s">
        <v>27684</v>
      </c>
      <c r="B13594" s="9" t="s">
        <v>27684</v>
      </c>
      <c r="C13594" s="9" t="s">
        <v>46</v>
      </c>
      <c r="D13594" s="9" t="s">
        <v>18</v>
      </c>
      <c r="E13594" s="10" t="s">
        <v>12114</v>
      </c>
      <c r="F13594" s="9" t="s">
        <v>12115</v>
      </c>
      <c r="G13594" s="10" t="s">
        <v>86</v>
      </c>
      <c r="H13594" s="9" t="s">
        <v>22</v>
      </c>
      <c r="I13594" s="9" t="s">
        <v>27686</v>
      </c>
      <c r="J13594" s="10" t="str">
        <f>HYPERLINK("https://www.boe.es/gazeta/dias/1834/04/08/pdfs/GMD-1834-47.pdf#page=2","Abrir facsímil")</f>
        <v>Abrir facsímil</v>
      </c>
      <c r="K13594" s="10" t="s">
        <v>24</v>
      </c>
    </row>
    <row r="13595" spans="1:11" ht="54" customHeight="1">
      <c r="A13595" s="9" t="s">
        <v>27684</v>
      </c>
      <c r="B13595" s="9" t="s">
        <v>27684</v>
      </c>
      <c r="C13595" s="9" t="s">
        <v>46</v>
      </c>
      <c r="D13595" s="9" t="s">
        <v>101</v>
      </c>
      <c r="E13595" s="10" t="s">
        <v>343</v>
      </c>
      <c r="F13595" s="9" t="s">
        <v>344</v>
      </c>
      <c r="G13595" s="10" t="s">
        <v>86</v>
      </c>
      <c r="H13595" s="9" t="s">
        <v>22</v>
      </c>
      <c r="I13595" s="9" t="s">
        <v>27687</v>
      </c>
      <c r="J13595" s="10" t="str">
        <f>HYPERLINK("https://www.boe.es/gazeta/dias/1834/01/14/pdfs/GMD-1834-7.pdf#page=2","Abrir facsímil")</f>
        <v>Abrir facsímil</v>
      </c>
      <c r="K13595" s="10" t="s">
        <v>24</v>
      </c>
    </row>
    <row r="13596" spans="1:11" ht="54" customHeight="1">
      <c r="A13596" s="9" t="s">
        <v>27684</v>
      </c>
      <c r="B13596" s="9" t="s">
        <v>27684</v>
      </c>
      <c r="C13596" s="9" t="s">
        <v>17</v>
      </c>
      <c r="D13596" s="9" t="s">
        <v>18</v>
      </c>
      <c r="E13596" s="10" t="s">
        <v>3225</v>
      </c>
      <c r="F13596" s="9" t="s">
        <v>3226</v>
      </c>
      <c r="G13596" s="10" t="s">
        <v>21</v>
      </c>
      <c r="H13596" s="9" t="s">
        <v>22</v>
      </c>
      <c r="I13596" s="9" t="s">
        <v>27688</v>
      </c>
      <c r="J13596" s="10" t="str">
        <f>HYPERLINK("https://www.boe.es/gazeta/dias/1834/08/22/pdfs/GMD-1834-188.pdf#page=3","Abrir facsímil")</f>
        <v>Abrir facsímil</v>
      </c>
      <c r="K13596" s="10" t="s">
        <v>24</v>
      </c>
    </row>
    <row r="13597" spans="1:11" ht="54" customHeight="1">
      <c r="A13597" s="9" t="s">
        <v>27689</v>
      </c>
      <c r="B13597" s="9" t="s">
        <v>27689</v>
      </c>
      <c r="C13597" s="9" t="s">
        <v>46</v>
      </c>
      <c r="D13597" s="9" t="s">
        <v>101</v>
      </c>
      <c r="E13597" s="10" t="s">
        <v>739</v>
      </c>
      <c r="F13597" s="9" t="s">
        <v>740</v>
      </c>
      <c r="G13597" s="10" t="s">
        <v>86</v>
      </c>
      <c r="H13597" s="9" t="s">
        <v>22</v>
      </c>
      <c r="I13597" s="9" t="s">
        <v>27690</v>
      </c>
      <c r="J13597" s="10" t="str">
        <f>HYPERLINK("https://www.boe.es/gazeta/dias/1834/03/25/pdfs/GMD-1834-37.pdf#page=2","Abrir facsímil")</f>
        <v>Abrir facsímil</v>
      </c>
      <c r="K13597" s="10" t="s">
        <v>24</v>
      </c>
    </row>
    <row r="13598" spans="1:11" ht="54" customHeight="1">
      <c r="A13598" s="9" t="s">
        <v>27691</v>
      </c>
      <c r="B13598" s="9" t="s">
        <v>27691</v>
      </c>
      <c r="C13598" s="9" t="s">
        <v>17</v>
      </c>
      <c r="D13598" s="9" t="s">
        <v>18</v>
      </c>
      <c r="E13598" s="10" t="s">
        <v>222</v>
      </c>
      <c r="F13598" s="9" t="s">
        <v>223</v>
      </c>
      <c r="G13598" s="10" t="s">
        <v>34</v>
      </c>
      <c r="H13598" s="9" t="s">
        <v>22</v>
      </c>
      <c r="I13598" s="9" t="s">
        <v>27692</v>
      </c>
      <c r="J13598" s="10" t="str">
        <f>HYPERLINK("https://www.boe.es/gazeta/dias/1834/09/14/pdfs/GMD-1834-212.pdf#page=1","Abrir facsímil")</f>
        <v>Abrir facsímil</v>
      </c>
      <c r="K13598" s="10" t="s">
        <v>24</v>
      </c>
    </row>
    <row r="13599" spans="1:11" ht="54" customHeight="1">
      <c r="A13599" s="9" t="s">
        <v>27693</v>
      </c>
      <c r="B13599" s="9" t="s">
        <v>27693</v>
      </c>
      <c r="C13599" s="9" t="s">
        <v>17</v>
      </c>
      <c r="D13599" s="9" t="s">
        <v>18</v>
      </c>
      <c r="E13599" s="10" t="s">
        <v>2053</v>
      </c>
      <c r="F13599" s="9" t="s">
        <v>2054</v>
      </c>
      <c r="G13599" s="10" t="s">
        <v>86</v>
      </c>
      <c r="H13599" s="9" t="s">
        <v>22</v>
      </c>
      <c r="I13599" s="9" t="s">
        <v>27694</v>
      </c>
      <c r="J13599" s="10" t="str">
        <f>HYPERLINK("https://www.boe.es/gazeta/dias/1834/06/02/pdfs/GMD-1834-103.pdf#page=2","Abrir facsímil")</f>
        <v>Abrir facsímil</v>
      </c>
      <c r="K13599" s="10" t="s">
        <v>24</v>
      </c>
    </row>
    <row r="13600" spans="1:11" ht="54" customHeight="1">
      <c r="A13600" s="9" t="s">
        <v>27693</v>
      </c>
      <c r="B13600" s="9" t="s">
        <v>27693</v>
      </c>
      <c r="C13600" s="9" t="s">
        <v>17</v>
      </c>
      <c r="D13600" s="9" t="s">
        <v>55</v>
      </c>
      <c r="E13600" s="10" t="s">
        <v>2379</v>
      </c>
      <c r="F13600" s="9" t="s">
        <v>2380</v>
      </c>
      <c r="G13600" s="10" t="s">
        <v>34</v>
      </c>
      <c r="H13600" s="9" t="s">
        <v>22</v>
      </c>
      <c r="I13600" s="9" t="s">
        <v>27695</v>
      </c>
      <c r="J13600" s="10" t="str">
        <f>HYPERLINK("https://www.boe.es/gazeta/dias/1834/04/03/pdfs/GMD-1834-42.pdf#page=1","Abrir facsímil")</f>
        <v>Abrir facsímil</v>
      </c>
      <c r="K13600" s="10" t="s">
        <v>24</v>
      </c>
    </row>
    <row r="13601" spans="1:11" ht="54" customHeight="1">
      <c r="A13601" s="9" t="s">
        <v>27693</v>
      </c>
      <c r="B13601" s="9" t="s">
        <v>27693</v>
      </c>
      <c r="C13601" s="9" t="s">
        <v>17</v>
      </c>
      <c r="D13601" s="9" t="s">
        <v>55</v>
      </c>
      <c r="E13601" s="10" t="s">
        <v>1653</v>
      </c>
      <c r="F13601" s="9" t="s">
        <v>1654</v>
      </c>
      <c r="G13601" s="10" t="s">
        <v>86</v>
      </c>
      <c r="H13601" s="9" t="s">
        <v>22</v>
      </c>
      <c r="I13601" s="9" t="s">
        <v>27696</v>
      </c>
      <c r="J13601" s="10" t="str">
        <f>HYPERLINK("https://www.boe.es/gazeta/dias/1834/07/03/pdfs/GMD-1834-136.pdf#page=2","Abrir facsímil")</f>
        <v>Abrir facsímil</v>
      </c>
      <c r="K13601" s="10" t="s">
        <v>24</v>
      </c>
    </row>
    <row r="13602" spans="1:11" ht="54" customHeight="1">
      <c r="A13602" s="9" t="s">
        <v>27693</v>
      </c>
      <c r="B13602" s="9" t="s">
        <v>27693</v>
      </c>
      <c r="C13602" s="9" t="s">
        <v>46</v>
      </c>
      <c r="D13602" s="9" t="s">
        <v>55</v>
      </c>
      <c r="E13602" s="10" t="s">
        <v>506</v>
      </c>
      <c r="F13602" s="9" t="s">
        <v>507</v>
      </c>
      <c r="G13602" s="10" t="s">
        <v>75</v>
      </c>
      <c r="H13602" s="9" t="s">
        <v>22</v>
      </c>
      <c r="I13602" s="9" t="s">
        <v>27697</v>
      </c>
      <c r="J13602" s="10" t="str">
        <f>HYPERLINK("https://www.boe.es/gazeta/dias/1834/03/04/pdfs/GMD-1834-28.pdf#page=4","Abrir facsímil")</f>
        <v>Abrir facsímil</v>
      </c>
      <c r="K13602" s="10" t="s">
        <v>24</v>
      </c>
    </row>
    <row r="13603" spans="1:11" ht="54" customHeight="1">
      <c r="A13603" s="9" t="s">
        <v>27693</v>
      </c>
      <c r="B13603" s="9" t="s">
        <v>27693</v>
      </c>
      <c r="C13603" s="9" t="s">
        <v>46</v>
      </c>
      <c r="D13603" s="9" t="s">
        <v>55</v>
      </c>
      <c r="E13603" s="10" t="s">
        <v>2212</v>
      </c>
      <c r="F13603" s="9" t="s">
        <v>5450</v>
      </c>
      <c r="G13603" s="10" t="s">
        <v>21</v>
      </c>
      <c r="H13603" s="9" t="s">
        <v>22</v>
      </c>
      <c r="I13603" s="9" t="s">
        <v>27698</v>
      </c>
      <c r="J13603" s="10" t="str">
        <f>HYPERLINK("https://www.boe.es/gazeta/dias/1834/08/04/pdfs/GMD-1834-168.pdf#page=3","Abrir facsímil")</f>
        <v>Abrir facsímil</v>
      </c>
      <c r="K13603" s="10" t="s">
        <v>24</v>
      </c>
    </row>
    <row r="13604" spans="1:11" ht="54" customHeight="1">
      <c r="A13604" s="9" t="s">
        <v>27693</v>
      </c>
      <c r="B13604" s="9" t="s">
        <v>27693</v>
      </c>
      <c r="C13604" s="9" t="s">
        <v>17</v>
      </c>
      <c r="D13604" s="9" t="s">
        <v>18</v>
      </c>
      <c r="E13604" s="10" t="s">
        <v>426</v>
      </c>
      <c r="F13604" s="9" t="s">
        <v>427</v>
      </c>
      <c r="G13604" s="10" t="s">
        <v>86</v>
      </c>
      <c r="H13604" s="9" t="s">
        <v>22</v>
      </c>
      <c r="I13604" s="9" t="s">
        <v>27699</v>
      </c>
      <c r="J13604" s="10" t="str">
        <f>HYPERLINK("https://www.boe.es/gazeta/dias/1834/10/04/pdfs/GMD-1834-232.pdf#page=2","Abrir facsímil")</f>
        <v>Abrir facsímil</v>
      </c>
      <c r="K13604" s="10" t="s">
        <v>24</v>
      </c>
    </row>
    <row r="13605" spans="1:11" ht="54" customHeight="1">
      <c r="A13605" s="9" t="s">
        <v>27693</v>
      </c>
      <c r="B13605" s="9" t="s">
        <v>27693</v>
      </c>
      <c r="C13605" s="9" t="s">
        <v>46</v>
      </c>
      <c r="D13605" s="9" t="s">
        <v>55</v>
      </c>
      <c r="E13605" s="10" t="s">
        <v>3699</v>
      </c>
      <c r="F13605" s="9" t="s">
        <v>3700</v>
      </c>
      <c r="G13605" s="10" t="s">
        <v>86</v>
      </c>
      <c r="H13605" s="9" t="s">
        <v>22</v>
      </c>
      <c r="I13605" s="9" t="s">
        <v>27700</v>
      </c>
      <c r="J13605" s="10" t="str">
        <f>HYPERLINK("https://www.boe.es/gazeta/dias/1834/02/06/pdfs/GMD-1834-17.pdf#page=2","Abrir facsímil")</f>
        <v>Abrir facsímil</v>
      </c>
      <c r="K13605" s="10" t="s">
        <v>24</v>
      </c>
    </row>
    <row r="13606" spans="1:11" ht="54" customHeight="1">
      <c r="A13606" s="9" t="s">
        <v>27693</v>
      </c>
      <c r="B13606" s="9" t="s">
        <v>27693</v>
      </c>
      <c r="C13606" s="9" t="s">
        <v>46</v>
      </c>
      <c r="D13606" s="9" t="s">
        <v>55</v>
      </c>
      <c r="E13606" s="10" t="s">
        <v>360</v>
      </c>
      <c r="F13606" s="9" t="s">
        <v>361</v>
      </c>
      <c r="G13606" s="10" t="s">
        <v>21</v>
      </c>
      <c r="H13606" s="9" t="s">
        <v>22</v>
      </c>
      <c r="I13606" s="9" t="s">
        <v>27701</v>
      </c>
      <c r="J13606" s="10" t="str">
        <f>HYPERLINK("https://www.boe.es/gazeta/dias/1834/04/07/pdfs/GMD-1834-46.pdf#page=3","Abrir facsímil")</f>
        <v>Abrir facsímil</v>
      </c>
      <c r="K13606" s="10" t="s">
        <v>24</v>
      </c>
    </row>
    <row r="13607" spans="1:11" ht="54" customHeight="1">
      <c r="A13607" s="9" t="s">
        <v>27693</v>
      </c>
      <c r="B13607" s="9" t="s">
        <v>27693</v>
      </c>
      <c r="C13607" s="9" t="s">
        <v>17</v>
      </c>
      <c r="D13607" s="9" t="s">
        <v>18</v>
      </c>
      <c r="E13607" s="10" t="s">
        <v>61</v>
      </c>
      <c r="F13607" s="9" t="s">
        <v>62</v>
      </c>
      <c r="G13607" s="10" t="s">
        <v>34</v>
      </c>
      <c r="H13607" s="9" t="s">
        <v>22</v>
      </c>
      <c r="I13607" s="9" t="s">
        <v>27702</v>
      </c>
      <c r="J13607" s="10" t="str">
        <f>HYPERLINK("https://www.boe.es/gazeta/dias/1834/06/08/pdfs/GMD-1834-111E.pdf#page=1","Abrir facsímil")</f>
        <v>Abrir facsímil</v>
      </c>
      <c r="K13607" s="10" t="s">
        <v>24</v>
      </c>
    </row>
    <row r="13608" spans="1:11" ht="54" customHeight="1">
      <c r="A13608" s="9" t="s">
        <v>27693</v>
      </c>
      <c r="B13608" s="9" t="s">
        <v>27693</v>
      </c>
      <c r="C13608" s="9" t="s">
        <v>46</v>
      </c>
      <c r="D13608" s="9" t="s">
        <v>18</v>
      </c>
      <c r="E13608" s="10" t="s">
        <v>1999</v>
      </c>
      <c r="F13608" s="9" t="s">
        <v>2000</v>
      </c>
      <c r="G13608" s="10" t="s">
        <v>21</v>
      </c>
      <c r="H13608" s="9" t="s">
        <v>22</v>
      </c>
      <c r="I13608" s="9" t="s">
        <v>27703</v>
      </c>
      <c r="J13608" s="10" t="str">
        <f>HYPERLINK("https://www.boe.es/gazeta/dias/1834/04/09/pdfs/GMD-1834-48.pdf#page=3","Abrir facsímil")</f>
        <v>Abrir facsímil</v>
      </c>
      <c r="K13608" s="10" t="s">
        <v>24</v>
      </c>
    </row>
    <row r="13609" spans="1:11" ht="54" customHeight="1">
      <c r="A13609" s="9" t="s">
        <v>27693</v>
      </c>
      <c r="B13609" s="9" t="s">
        <v>27693</v>
      </c>
      <c r="C13609" s="9" t="s">
        <v>17</v>
      </c>
      <c r="D13609" s="9" t="s">
        <v>55</v>
      </c>
      <c r="E13609" s="10" t="s">
        <v>258</v>
      </c>
      <c r="F13609" s="9" t="s">
        <v>1075</v>
      </c>
      <c r="G13609" s="10" t="s">
        <v>34</v>
      </c>
      <c r="H13609" s="9" t="s">
        <v>22</v>
      </c>
      <c r="I13609" s="9" t="s">
        <v>27704</v>
      </c>
      <c r="J13609" s="10" t="str">
        <f>HYPERLINK("https://www.boe.es/gazeta/dias/1834/10/09/pdfs/GMD-1834-237.pdf#page=1","Abrir facsímil")</f>
        <v>Abrir facsímil</v>
      </c>
      <c r="K13609" s="10" t="s">
        <v>24</v>
      </c>
    </row>
    <row r="13610" spans="1:11" ht="54" customHeight="1">
      <c r="A13610" s="9" t="s">
        <v>27693</v>
      </c>
      <c r="B13610" s="9" t="s">
        <v>27693</v>
      </c>
      <c r="C13610" s="9" t="s">
        <v>46</v>
      </c>
      <c r="D13610" s="9" t="s">
        <v>55</v>
      </c>
      <c r="E13610" s="10" t="s">
        <v>939</v>
      </c>
      <c r="F13610" s="9" t="s">
        <v>940</v>
      </c>
      <c r="G13610" s="10" t="s">
        <v>21</v>
      </c>
      <c r="H13610" s="9" t="s">
        <v>22</v>
      </c>
      <c r="I13610" s="9" t="s">
        <v>27705</v>
      </c>
      <c r="J13610" s="10" t="str">
        <f>HYPERLINK("https://www.boe.es/gazeta/dias/1834/06/10/pdfs/GMD-1834-113.pdf#page=3","Abrir facsímil")</f>
        <v>Abrir facsímil</v>
      </c>
      <c r="K13610" s="10" t="s">
        <v>24</v>
      </c>
    </row>
    <row r="13611" spans="1:11" ht="54" customHeight="1">
      <c r="A13611" s="9" t="s">
        <v>27693</v>
      </c>
      <c r="B13611" s="9" t="s">
        <v>27693</v>
      </c>
      <c r="C13611" s="9" t="s">
        <v>17</v>
      </c>
      <c r="D13611" s="9" t="s">
        <v>18</v>
      </c>
      <c r="E13611" s="10" t="s">
        <v>956</v>
      </c>
      <c r="F13611" s="9" t="s">
        <v>1508</v>
      </c>
      <c r="G13611" s="10" t="s">
        <v>86</v>
      </c>
      <c r="H13611" s="9" t="s">
        <v>22</v>
      </c>
      <c r="I13611" s="9" t="s">
        <v>27706</v>
      </c>
      <c r="J13611" s="10" t="str">
        <f>HYPERLINK("https://www.boe.es/gazeta/dias/1834/08/10/pdfs/GMD-1834-175.pdf#page=2","Abrir facsímil")</f>
        <v>Abrir facsímil</v>
      </c>
      <c r="K13611" s="10" t="s">
        <v>24</v>
      </c>
    </row>
    <row r="13612" spans="1:11" ht="54" customHeight="1">
      <c r="A13612" s="9" t="s">
        <v>27693</v>
      </c>
      <c r="B13612" s="9" t="s">
        <v>27693</v>
      </c>
      <c r="C13612" s="9" t="s">
        <v>17</v>
      </c>
      <c r="D13612" s="9" t="s">
        <v>40</v>
      </c>
      <c r="E13612" s="10" t="s">
        <v>3207</v>
      </c>
      <c r="F13612" s="9" t="s">
        <v>3208</v>
      </c>
      <c r="G13612" s="10" t="s">
        <v>21</v>
      </c>
      <c r="H13612" s="9" t="s">
        <v>22</v>
      </c>
      <c r="I13612" s="9" t="s">
        <v>27707</v>
      </c>
      <c r="J13612" s="10" t="str">
        <f>HYPERLINK("https://www.boe.es/gazeta/dias/1834/10/13/pdfs/GMD-1834-241.pdf#page=3","Abrir facsímil")</f>
        <v>Abrir facsímil</v>
      </c>
      <c r="K13612" s="10" t="s">
        <v>24</v>
      </c>
    </row>
    <row r="13613" spans="1:11" ht="54" customHeight="1">
      <c r="A13613" s="9" t="s">
        <v>27693</v>
      </c>
      <c r="B13613" s="9" t="s">
        <v>27693</v>
      </c>
      <c r="C13613" s="9" t="s">
        <v>17</v>
      </c>
      <c r="D13613" s="9" t="s">
        <v>18</v>
      </c>
      <c r="E13613" s="10" t="s">
        <v>1424</v>
      </c>
      <c r="F13613" s="9" t="s">
        <v>3445</v>
      </c>
      <c r="G13613" s="10" t="s">
        <v>34</v>
      </c>
      <c r="H13613" s="9" t="s">
        <v>22</v>
      </c>
      <c r="I13613" s="9" t="s">
        <v>27708</v>
      </c>
      <c r="J13613" s="10" t="str">
        <f>HYPERLINK("https://www.boe.es/gazeta/dias/1834/11/14/pdfs/GMD-1834-273.pdf#page=1","Abrir facsímil")</f>
        <v>Abrir facsímil</v>
      </c>
      <c r="K13613" s="10" t="s">
        <v>24</v>
      </c>
    </row>
    <row r="13614" spans="1:11" ht="54" customHeight="1">
      <c r="A13614" s="9" t="s">
        <v>27693</v>
      </c>
      <c r="B13614" s="9" t="s">
        <v>27693</v>
      </c>
      <c r="C13614" s="9" t="s">
        <v>46</v>
      </c>
      <c r="D13614" s="9" t="s">
        <v>18</v>
      </c>
      <c r="E13614" s="10" t="s">
        <v>3282</v>
      </c>
      <c r="F13614" s="9" t="s">
        <v>3283</v>
      </c>
      <c r="G13614" s="10" t="s">
        <v>34</v>
      </c>
      <c r="H13614" s="9" t="s">
        <v>22</v>
      </c>
      <c r="I13614" s="9" t="s">
        <v>27709</v>
      </c>
      <c r="J13614" s="10" t="str">
        <f>HYPERLINK("https://www.boe.es/gazeta/dias/1834/04/15/pdfs/GMD-1834-54.pdf#page=1","Abrir facsímil")</f>
        <v>Abrir facsímil</v>
      </c>
      <c r="K13614" s="10" t="s">
        <v>24</v>
      </c>
    </row>
    <row r="13615" spans="1:11" ht="54" customHeight="1">
      <c r="A13615" s="9" t="s">
        <v>27693</v>
      </c>
      <c r="B13615" s="9" t="s">
        <v>27693</v>
      </c>
      <c r="C13615" s="9" t="s">
        <v>46</v>
      </c>
      <c r="D13615" s="9" t="s">
        <v>55</v>
      </c>
      <c r="E13615" s="10" t="s">
        <v>2278</v>
      </c>
      <c r="F13615" s="9" t="s">
        <v>3088</v>
      </c>
      <c r="G13615" s="10" t="s">
        <v>75</v>
      </c>
      <c r="H13615" s="9" t="s">
        <v>22</v>
      </c>
      <c r="I13615" s="9" t="s">
        <v>27710</v>
      </c>
      <c r="J13615" s="10" t="str">
        <f>HYPERLINK("https://www.boe.es/gazeta/dias/1834/12/17/pdfs/GMD-1834-306.pdf#page=4","Abrir facsímil")</f>
        <v>Abrir facsímil</v>
      </c>
      <c r="K13615" s="10" t="s">
        <v>24</v>
      </c>
    </row>
    <row r="13616" spans="1:11" ht="54" customHeight="1">
      <c r="A13616" s="9" t="s">
        <v>27693</v>
      </c>
      <c r="B13616" s="9" t="s">
        <v>27693</v>
      </c>
      <c r="C13616" s="9" t="s">
        <v>46</v>
      </c>
      <c r="D13616" s="9" t="s">
        <v>55</v>
      </c>
      <c r="E13616" s="10" t="s">
        <v>866</v>
      </c>
      <c r="F13616" s="9" t="s">
        <v>867</v>
      </c>
      <c r="G13616" s="10" t="s">
        <v>86</v>
      </c>
      <c r="H13616" s="9" t="s">
        <v>22</v>
      </c>
      <c r="I13616" s="9" t="s">
        <v>27711</v>
      </c>
      <c r="J13616" s="10" t="str">
        <f>HYPERLINK("https://www.boe.es/gazeta/dias/1834/01/18/pdfs/GMD-1834-9.pdf#page=2","Abrir facsímil")</f>
        <v>Abrir facsímil</v>
      </c>
      <c r="K13616" s="10" t="s">
        <v>24</v>
      </c>
    </row>
    <row r="13617" spans="1:11" ht="54" customHeight="1">
      <c r="A13617" s="9" t="s">
        <v>27693</v>
      </c>
      <c r="B13617" s="9" t="s">
        <v>27693</v>
      </c>
      <c r="C13617" s="9" t="s">
        <v>66</v>
      </c>
      <c r="D13617" s="9" t="s">
        <v>67</v>
      </c>
      <c r="E13617" s="10" t="s">
        <v>183</v>
      </c>
      <c r="F13617" s="9" t="s">
        <v>184</v>
      </c>
      <c r="G13617" s="10" t="s">
        <v>86</v>
      </c>
      <c r="H13617" s="9" t="s">
        <v>22</v>
      </c>
      <c r="I13617" s="9" t="s">
        <v>27712</v>
      </c>
      <c r="J13617" s="10" t="str">
        <f>HYPERLINK("https://www.boe.es/gazeta/dias/1834/03/18/pdfs/GMD-1834-34.pdf#page=2","Abrir facsímil")</f>
        <v>Abrir facsímil</v>
      </c>
      <c r="K13617" s="10" t="s">
        <v>24</v>
      </c>
    </row>
    <row r="13618" spans="1:11" ht="54" customHeight="1">
      <c r="A13618" s="9" t="s">
        <v>27693</v>
      </c>
      <c r="B13618" s="9" t="s">
        <v>27693</v>
      </c>
      <c r="C13618" s="9" t="s">
        <v>46</v>
      </c>
      <c r="D13618" s="9" t="s">
        <v>18</v>
      </c>
      <c r="E13618" s="10" t="s">
        <v>535</v>
      </c>
      <c r="F13618" s="9" t="s">
        <v>536</v>
      </c>
      <c r="G13618" s="10" t="s">
        <v>34</v>
      </c>
      <c r="H13618" s="9" t="s">
        <v>22</v>
      </c>
      <c r="I13618" s="9" t="s">
        <v>27713</v>
      </c>
      <c r="J13618" s="10" t="str">
        <f>HYPERLINK("https://www.boe.es/gazeta/dias/1834/05/21/pdfs/GMD-1834-90.pdf#page=1","Abrir facsímil")</f>
        <v>Abrir facsímil</v>
      </c>
      <c r="K13618" s="10" t="s">
        <v>24</v>
      </c>
    </row>
    <row r="13619" spans="1:11" ht="54" customHeight="1">
      <c r="A13619" s="9" t="s">
        <v>27693</v>
      </c>
      <c r="B13619" s="9" t="s">
        <v>27693</v>
      </c>
      <c r="C13619" s="9" t="s">
        <v>17</v>
      </c>
      <c r="D13619" s="9" t="s">
        <v>18</v>
      </c>
      <c r="E13619" s="10" t="s">
        <v>1323</v>
      </c>
      <c r="F13619" s="9" t="s">
        <v>1324</v>
      </c>
      <c r="G13619" s="10" t="s">
        <v>34</v>
      </c>
      <c r="H13619" s="9" t="s">
        <v>22</v>
      </c>
      <c r="I13619" s="9" t="s">
        <v>27714</v>
      </c>
      <c r="J13619" s="10" t="str">
        <f>HYPERLINK("https://www.boe.es/gazeta/dias/1834/05/22/pdfs/GMD-1834-91.pdf#page=1","Abrir facsímil")</f>
        <v>Abrir facsímil</v>
      </c>
      <c r="K13619" s="10" t="s">
        <v>24</v>
      </c>
    </row>
    <row r="13620" spans="1:11" ht="54" customHeight="1">
      <c r="A13620" s="9" t="s">
        <v>27693</v>
      </c>
      <c r="B13620" s="9" t="s">
        <v>27693</v>
      </c>
      <c r="C13620" s="9" t="s">
        <v>46</v>
      </c>
      <c r="D13620" s="9" t="s">
        <v>18</v>
      </c>
      <c r="E13620" s="10" t="s">
        <v>32</v>
      </c>
      <c r="F13620" s="9" t="s">
        <v>33</v>
      </c>
      <c r="G13620" s="10" t="s">
        <v>86</v>
      </c>
      <c r="H13620" s="9" t="s">
        <v>22</v>
      </c>
      <c r="I13620" s="9" t="s">
        <v>27715</v>
      </c>
      <c r="J13620" s="10" t="str">
        <f>HYPERLINK("https://www.boe.es/gazeta/dias/1834/04/23/pdfs/GMD-1834-62.pdf#page=2","Abrir facsímil")</f>
        <v>Abrir facsímil</v>
      </c>
      <c r="K13620" s="10" t="s">
        <v>24</v>
      </c>
    </row>
    <row r="13621" spans="1:11" ht="54" customHeight="1">
      <c r="A13621" s="9" t="s">
        <v>27693</v>
      </c>
      <c r="B13621" s="9" t="s">
        <v>27693</v>
      </c>
      <c r="C13621" s="9" t="s">
        <v>90</v>
      </c>
      <c r="D13621" s="9" t="s">
        <v>18</v>
      </c>
      <c r="E13621" s="10" t="s">
        <v>823</v>
      </c>
      <c r="F13621" s="9" t="s">
        <v>824</v>
      </c>
      <c r="G13621" s="10" t="s">
        <v>75</v>
      </c>
      <c r="H13621" s="9" t="s">
        <v>22</v>
      </c>
      <c r="I13621" s="9" t="s">
        <v>27716</v>
      </c>
      <c r="J13621" s="10" t="str">
        <f>HYPERLINK("https://www.boe.es/gazeta/dias/1834/07/23/pdfs/GMD-1834-156.pdf#page=4","Abrir facsímil")</f>
        <v>Abrir facsímil</v>
      </c>
      <c r="K13621" s="10" t="s">
        <v>24</v>
      </c>
    </row>
    <row r="13622" spans="1:11" ht="54" customHeight="1">
      <c r="A13622" s="9" t="s">
        <v>27693</v>
      </c>
      <c r="B13622" s="9" t="s">
        <v>27693</v>
      </c>
      <c r="C13622" s="9" t="s">
        <v>46</v>
      </c>
      <c r="D13622" s="9" t="s">
        <v>55</v>
      </c>
      <c r="E13622" s="10" t="s">
        <v>667</v>
      </c>
      <c r="F13622" s="9" t="s">
        <v>3347</v>
      </c>
      <c r="G13622" s="10" t="s">
        <v>34</v>
      </c>
      <c r="H13622" s="9" t="s">
        <v>22</v>
      </c>
      <c r="I13622" s="9" t="s">
        <v>27717</v>
      </c>
      <c r="J13622" s="10" t="str">
        <f>HYPERLINK("https://www.boe.es/gazeta/dias/1834/11/23/pdfs/GMD-1834-282.pdf#page=1","Abrir facsímil")</f>
        <v>Abrir facsímil</v>
      </c>
      <c r="K13622" s="10" t="s">
        <v>24</v>
      </c>
    </row>
    <row r="13623" spans="1:11" ht="54" customHeight="1">
      <c r="A13623" s="9" t="s">
        <v>27693</v>
      </c>
      <c r="B13623" s="9" t="s">
        <v>27693</v>
      </c>
      <c r="C13623" s="9" t="s">
        <v>66</v>
      </c>
      <c r="D13623" s="9" t="s">
        <v>67</v>
      </c>
      <c r="E13623" s="10" t="s">
        <v>394</v>
      </c>
      <c r="F13623" s="9" t="s">
        <v>395</v>
      </c>
      <c r="G13623" s="10" t="s">
        <v>21</v>
      </c>
      <c r="H13623" s="9" t="s">
        <v>22</v>
      </c>
      <c r="I13623" s="9" t="s">
        <v>27718</v>
      </c>
      <c r="J13623" s="10" t="str">
        <f>HYPERLINK("https://www.boe.es/gazeta/dias/1834/12/23/pdfs/GMD-1834-313.pdf#page=3","Abrir facsímil")</f>
        <v>Abrir facsímil</v>
      </c>
      <c r="K13623" s="10" t="s">
        <v>24</v>
      </c>
    </row>
    <row r="13624" spans="1:11" ht="54" customHeight="1">
      <c r="A13624" s="9" t="s">
        <v>27693</v>
      </c>
      <c r="B13624" s="9" t="s">
        <v>27693</v>
      </c>
      <c r="C13624" s="9" t="s">
        <v>46</v>
      </c>
      <c r="D13624" s="9" t="s">
        <v>18</v>
      </c>
      <c r="E13624" s="10" t="s">
        <v>1212</v>
      </c>
      <c r="F13624" s="9" t="s">
        <v>1213</v>
      </c>
      <c r="G13624" s="10" t="s">
        <v>21</v>
      </c>
      <c r="H13624" s="9" t="s">
        <v>22</v>
      </c>
      <c r="I13624" s="9" t="s">
        <v>27719</v>
      </c>
      <c r="J13624" s="10" t="str">
        <f>HYPERLINK("https://www.boe.es/gazeta/dias/1834/05/24/pdfs/GMD-1834-93.pdf#page=3","Abrir facsímil")</f>
        <v>Abrir facsímil</v>
      </c>
      <c r="K13624" s="10" t="s">
        <v>24</v>
      </c>
    </row>
    <row r="13625" spans="1:11" ht="54" customHeight="1">
      <c r="A13625" s="9" t="s">
        <v>27693</v>
      </c>
      <c r="B13625" s="9" t="s">
        <v>27693</v>
      </c>
      <c r="C13625" s="9" t="s">
        <v>17</v>
      </c>
      <c r="D13625" s="9" t="s">
        <v>55</v>
      </c>
      <c r="E13625" s="10" t="s">
        <v>707</v>
      </c>
      <c r="F13625" s="9" t="s">
        <v>1359</v>
      </c>
      <c r="G13625" s="10" t="s">
        <v>86</v>
      </c>
      <c r="H13625" s="9" t="s">
        <v>22</v>
      </c>
      <c r="I13625" s="9" t="s">
        <v>27720</v>
      </c>
      <c r="J13625" s="10" t="str">
        <f>HYPERLINK("https://www.boe.es/gazeta/dias/1834/11/25/pdfs/GMD-1834-284.pdf#page=2","Abrir facsímil")</f>
        <v>Abrir facsímil</v>
      </c>
      <c r="K13625" s="10" t="s">
        <v>24</v>
      </c>
    </row>
    <row r="13626" spans="1:11" ht="54" customHeight="1">
      <c r="A13626" s="9" t="s">
        <v>27693</v>
      </c>
      <c r="B13626" s="9" t="s">
        <v>27693</v>
      </c>
      <c r="C13626" s="9" t="s">
        <v>46</v>
      </c>
      <c r="D13626" s="9" t="s">
        <v>18</v>
      </c>
      <c r="E13626" s="10" t="s">
        <v>1677</v>
      </c>
      <c r="F13626" s="9" t="s">
        <v>1678</v>
      </c>
      <c r="G13626" s="10" t="s">
        <v>86</v>
      </c>
      <c r="H13626" s="9" t="s">
        <v>22</v>
      </c>
      <c r="I13626" s="9" t="s">
        <v>27721</v>
      </c>
      <c r="J13626" s="10" t="str">
        <f>HYPERLINK("https://www.boe.es/gazeta/dias/1834/07/26/pdfs/GMD-1834-159.pdf#page=2","Abrir facsímil")</f>
        <v>Abrir facsímil</v>
      </c>
      <c r="K13626" s="10" t="s">
        <v>24</v>
      </c>
    </row>
    <row r="13627" spans="1:11" ht="54" customHeight="1">
      <c r="A13627" s="9" t="s">
        <v>27693</v>
      </c>
      <c r="B13627" s="9" t="s">
        <v>27693</v>
      </c>
      <c r="C13627" s="9" t="s">
        <v>46</v>
      </c>
      <c r="D13627" s="9" t="s">
        <v>55</v>
      </c>
      <c r="E13627" s="10" t="s">
        <v>251</v>
      </c>
      <c r="F13627" s="9" t="s">
        <v>1278</v>
      </c>
      <c r="G13627" s="10" t="s">
        <v>86</v>
      </c>
      <c r="H13627" s="9" t="s">
        <v>22</v>
      </c>
      <c r="I13627" s="9" t="s">
        <v>27722</v>
      </c>
      <c r="J13627" s="10" t="str">
        <f>HYPERLINK("https://www.boe.es/gazeta/dias/1834/09/26/pdfs/GMD-1834-224.pdf#page=2","Abrir facsímil")</f>
        <v>Abrir facsímil</v>
      </c>
      <c r="K13627" s="10" t="s">
        <v>24</v>
      </c>
    </row>
    <row r="13628" spans="1:11" ht="54" customHeight="1">
      <c r="A13628" s="9" t="s">
        <v>27693</v>
      </c>
      <c r="B13628" s="9" t="s">
        <v>27693</v>
      </c>
      <c r="C13628" s="9" t="s">
        <v>46</v>
      </c>
      <c r="D13628" s="9" t="s">
        <v>101</v>
      </c>
      <c r="E13628" s="10" t="s">
        <v>7523</v>
      </c>
      <c r="F13628" s="9" t="s">
        <v>7524</v>
      </c>
      <c r="G13628" s="10" t="s">
        <v>86</v>
      </c>
      <c r="H13628" s="9" t="s">
        <v>22</v>
      </c>
      <c r="I13628" s="9" t="s">
        <v>27723</v>
      </c>
      <c r="J13628" s="10" t="str">
        <f>HYPERLINK("https://www.boe.es/gazeta/dias/1834/12/26/pdfs/GMD-1834-316.pdf#page=2","Abrir facsímil")</f>
        <v>Abrir facsímil</v>
      </c>
      <c r="K13628" s="10" t="s">
        <v>24</v>
      </c>
    </row>
    <row r="13629" spans="1:11" ht="54" customHeight="1">
      <c r="A13629" s="9" t="s">
        <v>27693</v>
      </c>
      <c r="B13629" s="9" t="s">
        <v>27693</v>
      </c>
      <c r="C13629" s="9" t="s">
        <v>17</v>
      </c>
      <c r="D13629" s="9" t="s">
        <v>55</v>
      </c>
      <c r="E13629" s="10" t="s">
        <v>1686</v>
      </c>
      <c r="F13629" s="9" t="s">
        <v>1687</v>
      </c>
      <c r="G13629" s="10" t="s">
        <v>86</v>
      </c>
      <c r="H13629" s="9" t="s">
        <v>22</v>
      </c>
      <c r="I13629" s="9" t="s">
        <v>27724</v>
      </c>
      <c r="J13629" s="10" t="str">
        <f>HYPERLINK("https://www.boe.es/gazeta/dias/1834/07/27/pdfs/GMD-1834-160.pdf#page=2","Abrir facsímil")</f>
        <v>Abrir facsímil</v>
      </c>
      <c r="K13629" s="10" t="s">
        <v>24</v>
      </c>
    </row>
    <row r="13630" spans="1:11" ht="54" customHeight="1">
      <c r="A13630" s="9" t="s">
        <v>27693</v>
      </c>
      <c r="B13630" s="9" t="s">
        <v>27693</v>
      </c>
      <c r="C13630" s="9" t="s">
        <v>17</v>
      </c>
      <c r="D13630" s="9" t="s">
        <v>18</v>
      </c>
      <c r="E13630" s="10" t="s">
        <v>3499</v>
      </c>
      <c r="F13630" s="9" t="s">
        <v>3500</v>
      </c>
      <c r="G13630" s="10" t="s">
        <v>86</v>
      </c>
      <c r="H13630" s="9" t="s">
        <v>22</v>
      </c>
      <c r="I13630" s="9" t="s">
        <v>27725</v>
      </c>
      <c r="J13630" s="10" t="str">
        <f>HYPERLINK("https://www.boe.es/gazeta/dias/1834/01/28/pdfs/GMD-1834-13.pdf#page=2","Abrir facsímil")</f>
        <v>Abrir facsímil</v>
      </c>
      <c r="K13630" s="10" t="s">
        <v>24</v>
      </c>
    </row>
    <row r="13631" spans="1:11" ht="54" customHeight="1">
      <c r="A13631" s="9" t="s">
        <v>27693</v>
      </c>
      <c r="B13631" s="9" t="s">
        <v>27693</v>
      </c>
      <c r="C13631" s="9" t="s">
        <v>46</v>
      </c>
      <c r="D13631" s="9" t="s">
        <v>18</v>
      </c>
      <c r="E13631" s="10" t="s">
        <v>1284</v>
      </c>
      <c r="F13631" s="9" t="s">
        <v>1285</v>
      </c>
      <c r="G13631" s="10" t="s">
        <v>34</v>
      </c>
      <c r="H13631" s="9" t="s">
        <v>22</v>
      </c>
      <c r="I13631" s="9" t="s">
        <v>27726</v>
      </c>
      <c r="J13631" s="10" t="str">
        <f>HYPERLINK("https://www.boe.es/gazeta/dias/1834/11/28/pdfs/GMD-1834-287.pdf#page=1","Abrir facsímil")</f>
        <v>Abrir facsímil</v>
      </c>
      <c r="K13631" s="10" t="s">
        <v>24</v>
      </c>
    </row>
    <row r="13632" spans="1:11" ht="54" customHeight="1">
      <c r="A13632" s="9" t="s">
        <v>27693</v>
      </c>
      <c r="B13632" s="9" t="s">
        <v>27693</v>
      </c>
      <c r="C13632" s="9" t="s">
        <v>122</v>
      </c>
      <c r="D13632" s="9" t="s">
        <v>55</v>
      </c>
      <c r="E13632" s="10" t="s">
        <v>1695</v>
      </c>
      <c r="F13632" s="9" t="s">
        <v>1696</v>
      </c>
      <c r="G13632" s="10" t="s">
        <v>86</v>
      </c>
      <c r="H13632" s="9" t="s">
        <v>22</v>
      </c>
      <c r="I13632" s="9" t="s">
        <v>27727</v>
      </c>
      <c r="J13632" s="10" t="str">
        <f>HYPERLINK("https://www.boe.es/gazeta/dias/1834/06/30/pdfs/GMD-1834-133.pdf#page=2","Abrir facsímil")</f>
        <v>Abrir facsímil</v>
      </c>
      <c r="K13632" s="10" t="s">
        <v>24</v>
      </c>
    </row>
    <row r="13633" spans="1:11" ht="54" customHeight="1">
      <c r="A13633" s="9" t="s">
        <v>27693</v>
      </c>
      <c r="B13633" s="9" t="s">
        <v>27693</v>
      </c>
      <c r="C13633" s="9" t="s">
        <v>46</v>
      </c>
      <c r="D13633" s="9" t="s">
        <v>18</v>
      </c>
      <c r="E13633" s="10" t="s">
        <v>1789</v>
      </c>
      <c r="F13633" s="9" t="s">
        <v>1790</v>
      </c>
      <c r="G13633" s="10" t="s">
        <v>86</v>
      </c>
      <c r="H13633" s="9" t="s">
        <v>22</v>
      </c>
      <c r="I13633" s="9" t="s">
        <v>27728</v>
      </c>
      <c r="J13633" s="10" t="str">
        <f>HYPERLINK("https://www.boe.es/gazeta/dias/1834/05/31/pdfs/GMD-1834-100.pdf#page=2","Abrir facsímil")</f>
        <v>Abrir facsímil</v>
      </c>
      <c r="K13633" s="10" t="s">
        <v>24</v>
      </c>
    </row>
    <row r="13634" spans="1:11" ht="54" customHeight="1">
      <c r="A13634" s="9" t="s">
        <v>27729</v>
      </c>
      <c r="B13634" s="9" t="s">
        <v>27729</v>
      </c>
      <c r="C13634" s="9" t="s">
        <v>46</v>
      </c>
      <c r="D13634" s="9" t="s">
        <v>18</v>
      </c>
      <c r="E13634" s="10" t="s">
        <v>870</v>
      </c>
      <c r="F13634" s="9" t="s">
        <v>871</v>
      </c>
      <c r="G13634" s="10" t="s">
        <v>86</v>
      </c>
      <c r="H13634" s="9" t="s">
        <v>22</v>
      </c>
      <c r="I13634" s="9" t="s">
        <v>27730</v>
      </c>
      <c r="J13634" s="10" t="str">
        <f>HYPERLINK("https://www.boe.es/gazeta/dias/1834/05/28/pdfs/GMD-1834-97.pdf#page=2","Abrir facsímil")</f>
        <v>Abrir facsímil</v>
      </c>
      <c r="K13634" s="10" t="s">
        <v>24</v>
      </c>
    </row>
    <row r="13635" spans="1:11" ht="54" customHeight="1">
      <c r="A13635" s="9" t="s">
        <v>27731</v>
      </c>
      <c r="B13635" s="9" t="s">
        <v>27731</v>
      </c>
      <c r="C13635" s="9" t="s">
        <v>46</v>
      </c>
      <c r="D13635" s="9" t="s">
        <v>101</v>
      </c>
      <c r="E13635" s="10" t="s">
        <v>128</v>
      </c>
      <c r="F13635" s="9" t="s">
        <v>129</v>
      </c>
      <c r="G13635" s="10" t="s">
        <v>176</v>
      </c>
      <c r="H13635" s="9" t="s">
        <v>22</v>
      </c>
      <c r="I13635" s="9" t="s">
        <v>27732</v>
      </c>
      <c r="J13635" s="10" t="str">
        <f>HYPERLINK("https://www.boe.es/gazeta/dias/1834/12/24/pdfs/GMD-C-1834-314.pdf#page=6","Abrir facsímil")</f>
        <v>Abrir facsímil</v>
      </c>
      <c r="K13635" s="10" t="s">
        <v>24</v>
      </c>
    </row>
    <row r="13636" spans="1:11" ht="54" customHeight="1">
      <c r="A13636" s="9" t="s">
        <v>27733</v>
      </c>
      <c r="B13636" s="9" t="s">
        <v>27733</v>
      </c>
      <c r="C13636" s="9" t="s">
        <v>66</v>
      </c>
      <c r="D13636" s="9" t="s">
        <v>67</v>
      </c>
      <c r="E13636" s="10" t="s">
        <v>1686</v>
      </c>
      <c r="F13636" s="9" t="s">
        <v>1687</v>
      </c>
      <c r="G13636" s="10" t="s">
        <v>21</v>
      </c>
      <c r="H13636" s="9" t="s">
        <v>22</v>
      </c>
      <c r="I13636" s="9" t="s">
        <v>27734</v>
      </c>
      <c r="J13636" s="10" t="str">
        <f>HYPERLINK("https://www.boe.es/gazeta/dias/1834/07/27/pdfs/GMD-1834-160.pdf#page=3","Abrir facsímil")</f>
        <v>Abrir facsímil</v>
      </c>
      <c r="K13636" s="10" t="s">
        <v>24</v>
      </c>
    </row>
    <row r="13637" spans="1:11" ht="54" customHeight="1">
      <c r="A13637" s="9" t="s">
        <v>27735</v>
      </c>
      <c r="B13637" s="9" t="s">
        <v>27735</v>
      </c>
      <c r="C13637" s="9" t="s">
        <v>17</v>
      </c>
      <c r="D13637" s="9" t="s">
        <v>18</v>
      </c>
      <c r="E13637" s="10" t="s">
        <v>1268</v>
      </c>
      <c r="F13637" s="9" t="s">
        <v>1269</v>
      </c>
      <c r="G13637" s="10" t="s">
        <v>86</v>
      </c>
      <c r="H13637" s="9" t="s">
        <v>22</v>
      </c>
      <c r="I13637" s="9" t="s">
        <v>27736</v>
      </c>
      <c r="J13637" s="10" t="str">
        <f>HYPERLINK("https://www.boe.es/gazeta/dias/1834/12/09/pdfs/GMD-1834-298.pdf#page=2","Abrir facsímil")</f>
        <v>Abrir facsímil</v>
      </c>
      <c r="K13637" s="10" t="s">
        <v>24</v>
      </c>
    </row>
    <row r="13638" spans="1:11" ht="54" customHeight="1">
      <c r="A13638" s="9" t="s">
        <v>27737</v>
      </c>
      <c r="B13638" s="9" t="s">
        <v>27738</v>
      </c>
      <c r="C13638" s="9" t="s">
        <v>17</v>
      </c>
      <c r="D13638" s="9" t="s">
        <v>18</v>
      </c>
      <c r="E13638" s="10" t="s">
        <v>715</v>
      </c>
      <c r="F13638" s="9" t="s">
        <v>716</v>
      </c>
      <c r="G13638" s="10" t="s">
        <v>560</v>
      </c>
      <c r="H13638" s="9" t="s">
        <v>22</v>
      </c>
      <c r="I13638" s="9" t="s">
        <v>27739</v>
      </c>
      <c r="J13638" s="10" t="str">
        <f>HYPERLINK("https://www.boe.es/gazeta/dias/1834/09/17/pdfs/GMD-C-1834-215.pdf#page=7","Abrir facsímil")</f>
        <v>Abrir facsímil</v>
      </c>
      <c r="K13638" s="10" t="s">
        <v>24</v>
      </c>
    </row>
    <row r="13639" spans="1:11" ht="54" customHeight="1">
      <c r="A13639" s="9" t="s">
        <v>27740</v>
      </c>
      <c r="B13639" s="9" t="s">
        <v>27741</v>
      </c>
      <c r="C13639" s="9" t="s">
        <v>17</v>
      </c>
      <c r="D13639" s="9" t="s">
        <v>18</v>
      </c>
      <c r="E13639" s="10" t="s">
        <v>715</v>
      </c>
      <c r="F13639" s="9" t="s">
        <v>716</v>
      </c>
      <c r="G13639" s="10" t="s">
        <v>34</v>
      </c>
      <c r="H13639" s="9" t="s">
        <v>22</v>
      </c>
      <c r="I13639" s="9" t="s">
        <v>27742</v>
      </c>
      <c r="J13639" s="10" t="str">
        <f>HYPERLINK("https://www.boe.es/gazeta/dias/1834/09/17/pdfs/GMD-C-1834-215.pdf#page=1","Abrir facsímil")</f>
        <v>Abrir facsímil</v>
      </c>
      <c r="K13639" s="10" t="s">
        <v>24</v>
      </c>
    </row>
    <row r="13640" spans="1:11" ht="54" customHeight="1">
      <c r="A13640" s="9" t="s">
        <v>27743</v>
      </c>
      <c r="B13640" s="9" t="s">
        <v>27744</v>
      </c>
      <c r="C13640" s="9" t="s">
        <v>122</v>
      </c>
      <c r="D13640" s="9" t="s">
        <v>18</v>
      </c>
      <c r="E13640" s="10" t="s">
        <v>1850</v>
      </c>
      <c r="F13640" s="9" t="s">
        <v>1851</v>
      </c>
      <c r="G13640" s="10" t="s">
        <v>470</v>
      </c>
      <c r="H13640" s="9" t="s">
        <v>22</v>
      </c>
      <c r="I13640" s="9" t="s">
        <v>27745</v>
      </c>
      <c r="J13640" s="10" t="str">
        <f>HYPERLINK("https://www.boe.es/gazeta/dias/1834/02/18/pdfs/GMD-1834-22.pdf#page=8","Abrir facsímil")</f>
        <v>Abrir facsímil</v>
      </c>
      <c r="K13640" s="10" t="s">
        <v>24</v>
      </c>
    </row>
    <row r="13641" spans="1:11" ht="54" customHeight="1">
      <c r="A13641" s="9" t="s">
        <v>27746</v>
      </c>
      <c r="B13641" s="9" t="s">
        <v>27747</v>
      </c>
      <c r="C13641" s="9" t="s">
        <v>17</v>
      </c>
      <c r="D13641" s="9" t="s">
        <v>18</v>
      </c>
      <c r="E13641" s="10" t="s">
        <v>61</v>
      </c>
      <c r="F13641" s="9" t="s">
        <v>62</v>
      </c>
      <c r="G13641" s="10" t="s">
        <v>34</v>
      </c>
      <c r="H13641" s="9" t="s">
        <v>22</v>
      </c>
      <c r="I13641" s="9" t="s">
        <v>27748</v>
      </c>
      <c r="J13641" s="10" t="str">
        <f>HYPERLINK("https://www.boe.es/gazeta/dias/1834/06/08/pdfs/GMD-1834-111E.pdf#page=1","Abrir facsímil")</f>
        <v>Abrir facsímil</v>
      </c>
      <c r="K13641" s="10" t="s">
        <v>24</v>
      </c>
    </row>
    <row r="13642" spans="1:11" ht="54" customHeight="1">
      <c r="A13642" s="9" t="s">
        <v>27749</v>
      </c>
      <c r="B13642" s="9" t="s">
        <v>27750</v>
      </c>
      <c r="C13642" s="9" t="s">
        <v>46</v>
      </c>
      <c r="D13642" s="9" t="s">
        <v>55</v>
      </c>
      <c r="E13642" s="10" t="s">
        <v>389</v>
      </c>
      <c r="F13642" s="9" t="s">
        <v>390</v>
      </c>
      <c r="G13642" s="10" t="s">
        <v>34</v>
      </c>
      <c r="H13642" s="9" t="s">
        <v>22</v>
      </c>
      <c r="I13642" s="9" t="s">
        <v>27751</v>
      </c>
      <c r="J13642" s="10" t="str">
        <f>HYPERLINK("https://www.boe.es/gazeta/dias/1834/10/25/pdfs/GMD-1834-253.pdf#page=1","Abrir facsímil")</f>
        <v>Abrir facsímil</v>
      </c>
      <c r="K13642" s="10" t="s">
        <v>24</v>
      </c>
    </row>
    <row r="13643" spans="1:11" ht="54" customHeight="1">
      <c r="A13643" s="9" t="s">
        <v>27752</v>
      </c>
      <c r="B13643" s="9" t="s">
        <v>27752</v>
      </c>
      <c r="C13643" s="9" t="s">
        <v>90</v>
      </c>
      <c r="D13643" s="9" t="s">
        <v>67</v>
      </c>
      <c r="E13643" s="10" t="s">
        <v>1265</v>
      </c>
      <c r="F13643" s="9" t="s">
        <v>1266</v>
      </c>
      <c r="G13643" s="10" t="s">
        <v>34</v>
      </c>
      <c r="H13643" s="9" t="s">
        <v>22</v>
      </c>
      <c r="I13643" s="9" t="s">
        <v>27753</v>
      </c>
      <c r="J13643" s="10" t="str">
        <f>HYPERLINK("https://www.boe.es/gazeta/dias/1834/09/08/pdfs/GMD-1834-206.pdf#page=1","Abrir facsímil")</f>
        <v>Abrir facsímil</v>
      </c>
      <c r="K13643" s="10" t="s">
        <v>24</v>
      </c>
    </row>
    <row r="13644" spans="1:11" ht="54" customHeight="1">
      <c r="A13644" s="9" t="s">
        <v>27754</v>
      </c>
      <c r="B13644" s="9" t="s">
        <v>27755</v>
      </c>
      <c r="C13644" s="9" t="s">
        <v>66</v>
      </c>
      <c r="D13644" s="9" t="s">
        <v>67</v>
      </c>
      <c r="E13644" s="10" t="s">
        <v>73</v>
      </c>
      <c r="F13644" s="9" t="s">
        <v>74</v>
      </c>
      <c r="G13644" s="10" t="s">
        <v>75</v>
      </c>
      <c r="H13644" s="9" t="s">
        <v>22</v>
      </c>
      <c r="I13644" s="9" t="s">
        <v>27756</v>
      </c>
      <c r="J13644" s="10" t="str">
        <f>HYPERLINK("https://www.boe.es/gazeta/dias/1834/11/04/pdfs/GMD-1834-263.pdf#page=4","Abrir facsímil")</f>
        <v>Abrir facsímil</v>
      </c>
      <c r="K13644" s="10" t="s">
        <v>24</v>
      </c>
    </row>
    <row r="13645" spans="1:11" ht="54" customHeight="1">
      <c r="A13645" s="9" t="s">
        <v>27757</v>
      </c>
      <c r="B13645" s="9" t="s">
        <v>27757</v>
      </c>
      <c r="C13645" s="9" t="s">
        <v>17</v>
      </c>
      <c r="D13645" s="9" t="s">
        <v>18</v>
      </c>
      <c r="E13645" s="10" t="s">
        <v>448</v>
      </c>
      <c r="F13645" s="9" t="s">
        <v>2058</v>
      </c>
      <c r="G13645" s="10" t="s">
        <v>21</v>
      </c>
      <c r="H13645" s="9" t="s">
        <v>22</v>
      </c>
      <c r="I13645" s="9" t="s">
        <v>27758</v>
      </c>
      <c r="J13645" s="10" t="str">
        <f>HYPERLINK("https://www.boe.es/gazeta/dias/1834/10/14/pdfs/GMD-1834-242.pdf#page=3","Abrir facsímil")</f>
        <v>Abrir facsímil</v>
      </c>
      <c r="K13645" s="10" t="s">
        <v>24</v>
      </c>
    </row>
    <row r="13646" spans="1:11" ht="54" customHeight="1">
      <c r="A13646" s="9" t="s">
        <v>27759</v>
      </c>
      <c r="B13646" s="9" t="s">
        <v>27760</v>
      </c>
      <c r="C13646" s="9" t="s">
        <v>17</v>
      </c>
      <c r="D13646" s="9" t="s">
        <v>18</v>
      </c>
      <c r="E13646" s="10" t="s">
        <v>448</v>
      </c>
      <c r="F13646" s="9" t="s">
        <v>2058</v>
      </c>
      <c r="G13646" s="10" t="s">
        <v>21</v>
      </c>
      <c r="H13646" s="9" t="s">
        <v>35</v>
      </c>
      <c r="I13646" s="9" t="s">
        <v>27761</v>
      </c>
      <c r="J13646" s="10" t="str">
        <f>HYPERLINK("https://www.boe.es/gazeta/dias/1834/10/14/pdfs/GMD-1834-242.pdf#page=3","Abrir facsímil")</f>
        <v>Abrir facsímil</v>
      </c>
      <c r="K13646" s="10" t="s">
        <v>37</v>
      </c>
    </row>
    <row r="13647" spans="1:11" ht="54" customHeight="1">
      <c r="A13647" s="9" t="s">
        <v>27762</v>
      </c>
      <c r="B13647" s="9" t="s">
        <v>27762</v>
      </c>
      <c r="C13647" s="9" t="s">
        <v>17</v>
      </c>
      <c r="D13647" s="9" t="s">
        <v>18</v>
      </c>
      <c r="E13647" s="10" t="s">
        <v>429</v>
      </c>
      <c r="F13647" s="9" t="s">
        <v>430</v>
      </c>
      <c r="G13647" s="10" t="s">
        <v>86</v>
      </c>
      <c r="H13647" s="9" t="s">
        <v>22</v>
      </c>
      <c r="I13647" s="9" t="s">
        <v>27763</v>
      </c>
      <c r="J13647" s="10" t="str">
        <f>HYPERLINK("https://www.boe.es/gazeta/dias/1834/08/07/pdfs/GMD-C-1834-172.pdf#page=2","Abrir facsímil")</f>
        <v>Abrir facsímil</v>
      </c>
      <c r="K13647" s="10" t="s">
        <v>24</v>
      </c>
    </row>
    <row r="13648" spans="1:11" ht="54" customHeight="1">
      <c r="A13648" s="9" t="s">
        <v>27762</v>
      </c>
      <c r="B13648" s="9" t="s">
        <v>27762</v>
      </c>
      <c r="C13648" s="9" t="s">
        <v>17</v>
      </c>
      <c r="D13648" s="9" t="s">
        <v>18</v>
      </c>
      <c r="E13648" s="10" t="s">
        <v>429</v>
      </c>
      <c r="F13648" s="9" t="s">
        <v>430</v>
      </c>
      <c r="G13648" s="10" t="s">
        <v>75</v>
      </c>
      <c r="H13648" s="9" t="s">
        <v>22</v>
      </c>
      <c r="I13648" s="9" t="s">
        <v>27764</v>
      </c>
      <c r="J13648" s="10" t="str">
        <f>HYPERLINK("https://www.boe.es/gazeta/dias/1834/08/07/pdfs/GMD-C-1834-172.pdf#page=4","Abrir facsímil")</f>
        <v>Abrir facsímil</v>
      </c>
      <c r="K13648" s="10" t="s">
        <v>24</v>
      </c>
    </row>
    <row r="13649" spans="1:11" ht="54" customHeight="1">
      <c r="A13649" s="9" t="s">
        <v>27762</v>
      </c>
      <c r="B13649" s="9" t="s">
        <v>27762</v>
      </c>
      <c r="C13649" s="9" t="s">
        <v>17</v>
      </c>
      <c r="D13649" s="9" t="s">
        <v>18</v>
      </c>
      <c r="E13649" s="10" t="s">
        <v>1318</v>
      </c>
      <c r="F13649" s="9" t="s">
        <v>1319</v>
      </c>
      <c r="G13649" s="10" t="s">
        <v>34</v>
      </c>
      <c r="H13649" s="9" t="s">
        <v>22</v>
      </c>
      <c r="I13649" s="9" t="s">
        <v>27765</v>
      </c>
      <c r="J13649" s="10" t="str">
        <f>HYPERLINK("https://www.boe.es/gazeta/dias/1834/05/10/pdfs/GMD-1834-79.pdf#page=1","Abrir facsímil")</f>
        <v>Abrir facsímil</v>
      </c>
      <c r="K13649" s="10" t="s">
        <v>24</v>
      </c>
    </row>
    <row r="13650" spans="1:11" ht="54" customHeight="1">
      <c r="A13650" s="9" t="s">
        <v>27762</v>
      </c>
      <c r="B13650" s="9" t="s">
        <v>27762</v>
      </c>
      <c r="C13650" s="9" t="s">
        <v>17</v>
      </c>
      <c r="D13650" s="9" t="s">
        <v>18</v>
      </c>
      <c r="E13650" s="10" t="s">
        <v>642</v>
      </c>
      <c r="F13650" s="9" t="s">
        <v>643</v>
      </c>
      <c r="G13650" s="10" t="s">
        <v>21</v>
      </c>
      <c r="H13650" s="9" t="s">
        <v>22</v>
      </c>
      <c r="I13650" s="9" t="s">
        <v>27766</v>
      </c>
      <c r="J13650" s="10" t="str">
        <f>HYPERLINK("https://www.boe.es/gazeta/dias/1834/11/12/pdfs/GMD-C-1834-271.pdf#page=3","Abrir facsímil")</f>
        <v>Abrir facsímil</v>
      </c>
      <c r="K13650" s="10" t="s">
        <v>24</v>
      </c>
    </row>
    <row r="13651" spans="1:11" ht="54" customHeight="1">
      <c r="A13651" s="9" t="s">
        <v>27762</v>
      </c>
      <c r="B13651" s="9" t="s">
        <v>27762</v>
      </c>
      <c r="C13651" s="9" t="s">
        <v>122</v>
      </c>
      <c r="D13651" s="9" t="s">
        <v>18</v>
      </c>
      <c r="E13651" s="10" t="s">
        <v>304</v>
      </c>
      <c r="F13651" s="9" t="s">
        <v>305</v>
      </c>
      <c r="G13651" s="10" t="s">
        <v>86</v>
      </c>
      <c r="H13651" s="9" t="s">
        <v>22</v>
      </c>
      <c r="I13651" s="9" t="s">
        <v>27767</v>
      </c>
      <c r="J13651" s="10" t="str">
        <f>HYPERLINK("https://www.boe.es/gazeta/dias/1834/01/21/pdfs/GMD-1834-10.pdf#page=2","Abrir facsímil")</f>
        <v>Abrir facsímil</v>
      </c>
      <c r="K13651" s="10" t="s">
        <v>24</v>
      </c>
    </row>
    <row r="13652" spans="1:11" ht="54" customHeight="1">
      <c r="A13652" s="9" t="s">
        <v>27762</v>
      </c>
      <c r="B13652" s="9" t="s">
        <v>27762</v>
      </c>
      <c r="C13652" s="9" t="s">
        <v>66</v>
      </c>
      <c r="D13652" s="9" t="s">
        <v>67</v>
      </c>
      <c r="E13652" s="10" t="s">
        <v>1323</v>
      </c>
      <c r="F13652" s="9" t="s">
        <v>1324</v>
      </c>
      <c r="G13652" s="10" t="s">
        <v>21</v>
      </c>
      <c r="H13652" s="9" t="s">
        <v>22</v>
      </c>
      <c r="I13652" s="9" t="s">
        <v>27768</v>
      </c>
      <c r="J13652" s="10" t="str">
        <f>HYPERLINK("https://www.boe.es/gazeta/dias/1834/05/22/pdfs/GMD-1834-91.pdf#page=3","Abrir facsímil")</f>
        <v>Abrir facsímil</v>
      </c>
      <c r="K13652" s="10" t="s">
        <v>24</v>
      </c>
    </row>
    <row r="13653" spans="1:11" ht="54" customHeight="1">
      <c r="A13653" s="9" t="s">
        <v>27762</v>
      </c>
      <c r="B13653" s="9" t="s">
        <v>27762</v>
      </c>
      <c r="C13653" s="9" t="s">
        <v>17</v>
      </c>
      <c r="D13653" s="9" t="s">
        <v>18</v>
      </c>
      <c r="E13653" s="10" t="s">
        <v>627</v>
      </c>
      <c r="F13653" s="9" t="s">
        <v>628</v>
      </c>
      <c r="G13653" s="10" t="s">
        <v>86</v>
      </c>
      <c r="H13653" s="9" t="s">
        <v>22</v>
      </c>
      <c r="I13653" s="9" t="s">
        <v>27769</v>
      </c>
      <c r="J13653" s="10" t="str">
        <f>HYPERLINK("https://www.boe.es/gazeta/dias/1834/09/22/pdfs/GMD-C-1834-220.pdf#page=2","Abrir facsímil")</f>
        <v>Abrir facsímil</v>
      </c>
      <c r="K13653" s="10" t="s">
        <v>24</v>
      </c>
    </row>
    <row r="13654" spans="1:11" ht="54" customHeight="1">
      <c r="A13654" s="9" t="s">
        <v>27762</v>
      </c>
      <c r="B13654" s="9" t="s">
        <v>27762</v>
      </c>
      <c r="C13654" s="9" t="s">
        <v>17</v>
      </c>
      <c r="D13654" s="9" t="s">
        <v>18</v>
      </c>
      <c r="E13654" s="10" t="s">
        <v>394</v>
      </c>
      <c r="F13654" s="9" t="s">
        <v>459</v>
      </c>
      <c r="G13654" s="10" t="s">
        <v>28</v>
      </c>
      <c r="H13654" s="9" t="s">
        <v>22</v>
      </c>
      <c r="I13654" s="9" t="s">
        <v>27770</v>
      </c>
      <c r="J13654" s="10" t="str">
        <f>HYPERLINK("https://www.boe.es/gazeta/dias/1834/12/23/pdfs/GMD-C-1834-313.pdf#page=5","Abrir facsímil")</f>
        <v>Abrir facsímil</v>
      </c>
      <c r="K13654" s="10" t="s">
        <v>24</v>
      </c>
    </row>
    <row r="13655" spans="1:11" ht="54" customHeight="1">
      <c r="A13655" s="9" t="s">
        <v>27762</v>
      </c>
      <c r="B13655" s="9" t="s">
        <v>27762</v>
      </c>
      <c r="C13655" s="9" t="s">
        <v>17</v>
      </c>
      <c r="D13655" s="9" t="s">
        <v>18</v>
      </c>
      <c r="E13655" s="10" t="s">
        <v>1922</v>
      </c>
      <c r="F13655" s="9" t="s">
        <v>1923</v>
      </c>
      <c r="G13655" s="10" t="s">
        <v>176</v>
      </c>
      <c r="H13655" s="9" t="s">
        <v>22</v>
      </c>
      <c r="I13655" s="9" t="s">
        <v>27771</v>
      </c>
      <c r="J13655" s="10" t="str">
        <f>HYPERLINK("https://www.boe.es/gazeta/dias/1834/02/25/pdfs/GMD-1834-25.pdf#page=6","Abrir facsímil")</f>
        <v>Abrir facsímil</v>
      </c>
      <c r="K13655" s="10" t="s">
        <v>24</v>
      </c>
    </row>
    <row r="13656" spans="1:11" ht="54" customHeight="1">
      <c r="A13656" s="9" t="s">
        <v>27762</v>
      </c>
      <c r="B13656" s="9" t="s">
        <v>27762</v>
      </c>
      <c r="C13656" s="9" t="s">
        <v>17</v>
      </c>
      <c r="D13656" s="9" t="s">
        <v>18</v>
      </c>
      <c r="E13656" s="10" t="s">
        <v>1281</v>
      </c>
      <c r="F13656" s="9" t="s">
        <v>1282</v>
      </c>
      <c r="G13656" s="10" t="s">
        <v>34</v>
      </c>
      <c r="H13656" s="9" t="s">
        <v>22</v>
      </c>
      <c r="I13656" s="9" t="s">
        <v>27772</v>
      </c>
      <c r="J13656" s="10" t="str">
        <f>HYPERLINK("https://www.boe.es/gazeta/dias/1834/10/27/pdfs/GMD-1834-255.pdf#page=1","Abrir facsímil")</f>
        <v>Abrir facsímil</v>
      </c>
      <c r="K13656" s="10" t="s">
        <v>24</v>
      </c>
    </row>
    <row r="13657" spans="1:11" ht="54" customHeight="1">
      <c r="A13657" s="9" t="s">
        <v>27762</v>
      </c>
      <c r="B13657" s="9" t="s">
        <v>27762</v>
      </c>
      <c r="C13657" s="9" t="s">
        <v>66</v>
      </c>
      <c r="D13657" s="9" t="s">
        <v>67</v>
      </c>
      <c r="E13657" s="10" t="s">
        <v>1141</v>
      </c>
      <c r="F13657" s="9" t="s">
        <v>1142</v>
      </c>
      <c r="G13657" s="10" t="s">
        <v>86</v>
      </c>
      <c r="H13657" s="9" t="s">
        <v>22</v>
      </c>
      <c r="I13657" s="9" t="s">
        <v>27773</v>
      </c>
      <c r="J13657" s="10" t="str">
        <f>HYPERLINK("https://www.boe.es/gazeta/dias/1834/04/30/pdfs/GMD-1834-69.pdf#page=2","Abrir facsímil")</f>
        <v>Abrir facsímil</v>
      </c>
      <c r="K13657" s="10" t="s">
        <v>24</v>
      </c>
    </row>
    <row r="13658" spans="1:11" ht="54" customHeight="1">
      <c r="A13658" s="9" t="s">
        <v>27774</v>
      </c>
      <c r="B13658" s="9" t="s">
        <v>27775</v>
      </c>
      <c r="C13658" s="9" t="s">
        <v>17</v>
      </c>
      <c r="D13658" s="9" t="s">
        <v>18</v>
      </c>
      <c r="E13658" s="10" t="s">
        <v>2306</v>
      </c>
      <c r="F13658" s="9" t="s">
        <v>2307</v>
      </c>
      <c r="G13658" s="10" t="s">
        <v>75</v>
      </c>
      <c r="H13658" s="9" t="s">
        <v>22</v>
      </c>
      <c r="I13658" s="9" t="s">
        <v>27776</v>
      </c>
      <c r="J13658" s="10" t="str">
        <f>HYPERLINK("https://www.boe.es/gazeta/dias/1834/04/26/pdfs/GMD-1834-65.pdf#page=4","Abrir facsímil")</f>
        <v>Abrir facsímil</v>
      </c>
      <c r="K13658" s="10" t="s">
        <v>24</v>
      </c>
    </row>
    <row r="13659" spans="1:11" ht="54" customHeight="1">
      <c r="A13659" s="9" t="s">
        <v>27777</v>
      </c>
      <c r="B13659" s="9" t="s">
        <v>27778</v>
      </c>
      <c r="C13659" s="9" t="s">
        <v>17</v>
      </c>
      <c r="D13659" s="9" t="s">
        <v>18</v>
      </c>
      <c r="E13659" s="10" t="s">
        <v>192</v>
      </c>
      <c r="F13659" s="9" t="s">
        <v>2713</v>
      </c>
      <c r="G13659" s="10" t="s">
        <v>21</v>
      </c>
      <c r="H13659" s="9" t="s">
        <v>22</v>
      </c>
      <c r="I13659" s="9" t="s">
        <v>27779</v>
      </c>
      <c r="J13659" s="10" t="str">
        <f>HYPERLINK("https://www.boe.es/gazeta/dias/1834/12/31/pdfs/GMD-C-1834-321.pdf#page=3","Abrir facsímil")</f>
        <v>Abrir facsímil</v>
      </c>
      <c r="K13659" s="10" t="s">
        <v>24</v>
      </c>
    </row>
    <row r="13660" spans="1:11" ht="54" customHeight="1">
      <c r="A13660" s="9" t="s">
        <v>27780</v>
      </c>
      <c r="B13660" s="9" t="s">
        <v>27781</v>
      </c>
      <c r="C13660" s="9" t="s">
        <v>66</v>
      </c>
      <c r="D13660" s="9" t="s">
        <v>67</v>
      </c>
      <c r="E13660" s="10" t="s">
        <v>123</v>
      </c>
      <c r="F13660" s="9" t="s">
        <v>124</v>
      </c>
      <c r="G13660" s="10" t="s">
        <v>86</v>
      </c>
      <c r="H13660" s="9" t="s">
        <v>22</v>
      </c>
      <c r="I13660" s="9" t="s">
        <v>27782</v>
      </c>
      <c r="J13660" s="10" t="str">
        <f>HYPERLINK("https://www.boe.es/gazeta/dias/1834/07/11/pdfs/GMD-1834-144.pdf#page=2","Abrir facsímil")</f>
        <v>Abrir facsímil</v>
      </c>
      <c r="K13660" s="10" t="s">
        <v>24</v>
      </c>
    </row>
    <row r="13661" spans="1:11" ht="54" customHeight="1">
      <c r="A13661" s="9" t="s">
        <v>27783</v>
      </c>
      <c r="B13661" s="9" t="s">
        <v>27784</v>
      </c>
      <c r="C13661" s="9" t="s">
        <v>17</v>
      </c>
      <c r="D13661" s="9" t="s">
        <v>18</v>
      </c>
      <c r="E13661" s="10" t="s">
        <v>627</v>
      </c>
      <c r="F13661" s="9" t="s">
        <v>628</v>
      </c>
      <c r="G13661" s="10" t="s">
        <v>86</v>
      </c>
      <c r="H13661" s="9" t="s">
        <v>22</v>
      </c>
      <c r="I13661" s="9" t="s">
        <v>27785</v>
      </c>
      <c r="J13661" s="10" t="str">
        <f>HYPERLINK("https://www.boe.es/gazeta/dias/1834/09/22/pdfs/GMD-C-1834-220.pdf#page=2","Abrir facsímil")</f>
        <v>Abrir facsímil</v>
      </c>
      <c r="K13661" s="10" t="s">
        <v>24</v>
      </c>
    </row>
    <row r="13662" spans="1:11" ht="54" customHeight="1">
      <c r="A13662" s="9" t="s">
        <v>27786</v>
      </c>
      <c r="B13662" s="9" t="s">
        <v>27787</v>
      </c>
      <c r="C13662" s="9" t="s">
        <v>90</v>
      </c>
      <c r="D13662" s="9" t="s">
        <v>18</v>
      </c>
      <c r="E13662" s="10" t="s">
        <v>265</v>
      </c>
      <c r="F13662" s="9" t="s">
        <v>266</v>
      </c>
      <c r="G13662" s="10" t="s">
        <v>86</v>
      </c>
      <c r="H13662" s="9" t="s">
        <v>22</v>
      </c>
      <c r="I13662" s="9" t="s">
        <v>27788</v>
      </c>
      <c r="J13662" s="10" t="str">
        <f>HYPERLINK("https://www.boe.es/gazeta/dias/1834/11/19/pdfs/GMD-C-1834-278.pdf#page=2","Abrir facsímil")</f>
        <v>Abrir facsímil</v>
      </c>
      <c r="K13662" s="10" t="s">
        <v>24</v>
      </c>
    </row>
    <row r="13663" spans="1:11" ht="54" customHeight="1">
      <c r="A13663" s="9" t="s">
        <v>27789</v>
      </c>
      <c r="B13663" s="9" t="s">
        <v>27790</v>
      </c>
      <c r="C13663" s="9" t="s">
        <v>17</v>
      </c>
      <c r="D13663" s="9" t="s">
        <v>18</v>
      </c>
      <c r="E13663" s="10" t="s">
        <v>667</v>
      </c>
      <c r="F13663" s="9" t="s">
        <v>668</v>
      </c>
      <c r="G13663" s="10" t="s">
        <v>34</v>
      </c>
      <c r="H13663" s="9" t="s">
        <v>22</v>
      </c>
      <c r="I13663" s="9" t="s">
        <v>27791</v>
      </c>
      <c r="J13663" s="10" t="str">
        <f>HYPERLINK("https://www.boe.es/gazeta/dias/1834/11/23/pdfs/GMD-C-1834-282.pdf#page=1","Abrir facsímil")</f>
        <v>Abrir facsímil</v>
      </c>
      <c r="K13663" s="10" t="s">
        <v>24</v>
      </c>
    </row>
    <row r="13664" spans="1:11" ht="54" customHeight="1">
      <c r="A13664" s="9" t="s">
        <v>27792</v>
      </c>
      <c r="B13664" s="9" t="s">
        <v>27793</v>
      </c>
      <c r="C13664" s="9" t="s">
        <v>46</v>
      </c>
      <c r="D13664" s="9" t="s">
        <v>101</v>
      </c>
      <c r="E13664" s="10" t="s">
        <v>1438</v>
      </c>
      <c r="F13664" s="9" t="s">
        <v>1439</v>
      </c>
      <c r="G13664" s="10" t="s">
        <v>34</v>
      </c>
      <c r="H13664" s="9" t="s">
        <v>22</v>
      </c>
      <c r="I13664" s="9" t="s">
        <v>27794</v>
      </c>
      <c r="J13664" s="10" t="str">
        <f>HYPERLINK("https://www.boe.es/gazeta/dias/1834/05/13/pdfs/GMD-1834-82.pdf#page=1","Abrir facsímil")</f>
        <v>Abrir facsímil</v>
      </c>
      <c r="K13664" s="10" t="s">
        <v>24</v>
      </c>
    </row>
    <row r="13665" spans="1:11" ht="54" customHeight="1">
      <c r="A13665" s="9" t="s">
        <v>27795</v>
      </c>
      <c r="B13665" s="9" t="s">
        <v>27796</v>
      </c>
      <c r="C13665" s="9" t="s">
        <v>17</v>
      </c>
      <c r="D13665" s="9" t="s">
        <v>101</v>
      </c>
      <c r="E13665" s="10" t="s">
        <v>753</v>
      </c>
      <c r="F13665" s="9" t="s">
        <v>754</v>
      </c>
      <c r="G13665" s="10" t="s">
        <v>34</v>
      </c>
      <c r="H13665" s="9" t="s">
        <v>22</v>
      </c>
      <c r="I13665" s="9" t="s">
        <v>27797</v>
      </c>
      <c r="J13665" s="10" t="str">
        <f>HYPERLINK("https://www.boe.es/gazeta/dias/1834/04/21/pdfs/GMD-1834-60.pdf#page=1","Abrir facsímil")</f>
        <v>Abrir facsímil</v>
      </c>
      <c r="K13665" s="10" t="s">
        <v>24</v>
      </c>
    </row>
    <row r="13666" spans="1:11" ht="54" customHeight="1">
      <c r="A13666" s="9" t="s">
        <v>27798</v>
      </c>
      <c r="B13666" s="9" t="s">
        <v>27799</v>
      </c>
      <c r="C13666" s="9" t="s">
        <v>17</v>
      </c>
      <c r="D13666" s="9" t="s">
        <v>18</v>
      </c>
      <c r="E13666" s="10" t="s">
        <v>753</v>
      </c>
      <c r="F13666" s="9" t="s">
        <v>754</v>
      </c>
      <c r="G13666" s="10" t="s">
        <v>34</v>
      </c>
      <c r="H13666" s="9" t="s">
        <v>22</v>
      </c>
      <c r="I13666" s="9" t="s">
        <v>27800</v>
      </c>
      <c r="J13666" s="10" t="str">
        <f>HYPERLINK("https://www.boe.es/gazeta/dias/1834/04/21/pdfs/GMD-1834-60.pdf#page=1","Abrir facsímil")</f>
        <v>Abrir facsímil</v>
      </c>
      <c r="K13666" s="10" t="s">
        <v>24</v>
      </c>
    </row>
    <row r="13667" spans="1:11" ht="54" customHeight="1">
      <c r="A13667" s="9" t="s">
        <v>27801</v>
      </c>
      <c r="B13667" s="9" t="s">
        <v>27802</v>
      </c>
      <c r="C13667" s="9" t="s">
        <v>17</v>
      </c>
      <c r="D13667" s="9" t="s">
        <v>18</v>
      </c>
      <c r="E13667" s="10" t="s">
        <v>2212</v>
      </c>
      <c r="F13667" s="9" t="s">
        <v>2213</v>
      </c>
      <c r="G13667" s="10" t="s">
        <v>75</v>
      </c>
      <c r="H13667" s="9" t="s">
        <v>22</v>
      </c>
      <c r="I13667" s="9" t="s">
        <v>27803</v>
      </c>
      <c r="J13667" s="10" t="str">
        <f>HYPERLINK("https://www.boe.es/gazeta/dias/1834/08/04/pdfs/GMD-C-1834-168.pdf#page=4","Abrir facsímil")</f>
        <v>Abrir facsímil</v>
      </c>
      <c r="K13667" s="10" t="s">
        <v>24</v>
      </c>
    </row>
    <row r="13668" spans="1:11" ht="54" customHeight="1">
      <c r="A13668" s="9" t="s">
        <v>27804</v>
      </c>
      <c r="B13668" s="9" t="s">
        <v>27805</v>
      </c>
      <c r="C13668" s="9" t="s">
        <v>17</v>
      </c>
      <c r="D13668" s="9" t="s">
        <v>18</v>
      </c>
      <c r="E13668" s="10" t="s">
        <v>563</v>
      </c>
      <c r="F13668" s="9" t="s">
        <v>564</v>
      </c>
      <c r="G13668" s="10" t="s">
        <v>34</v>
      </c>
      <c r="H13668" s="9" t="s">
        <v>22</v>
      </c>
      <c r="I13668" s="9" t="s">
        <v>27806</v>
      </c>
      <c r="J13668" s="10" t="str">
        <f>HYPERLINK("https://www.boe.es/gazeta/dias/1834/04/19/pdfs/GMD-1834-58.pdf#page=1","Abrir facsímil")</f>
        <v>Abrir facsímil</v>
      </c>
      <c r="K13668" s="10" t="s">
        <v>24</v>
      </c>
    </row>
    <row r="13669" spans="1:11" ht="54" customHeight="1">
      <c r="A13669" s="9" t="s">
        <v>27807</v>
      </c>
      <c r="B13669" s="9" t="s">
        <v>27808</v>
      </c>
      <c r="C13669" s="9" t="s">
        <v>17</v>
      </c>
      <c r="D13669" s="9" t="s">
        <v>55</v>
      </c>
      <c r="E13669" s="10" t="s">
        <v>492</v>
      </c>
      <c r="F13669" s="9" t="s">
        <v>493</v>
      </c>
      <c r="G13669" s="10" t="s">
        <v>21</v>
      </c>
      <c r="H13669" s="9" t="s">
        <v>22</v>
      </c>
      <c r="I13669" s="9" t="s">
        <v>27809</v>
      </c>
      <c r="J13669" s="10" t="str">
        <f>HYPERLINK("https://www.boe.es/gazeta/dias/1834/11/21/pdfs/GMD-C-1834-280.pdf#page=3","Abrir facsímil")</f>
        <v>Abrir facsímil</v>
      </c>
      <c r="K13669" s="10" t="s">
        <v>24</v>
      </c>
    </row>
    <row r="13670" spans="1:11" ht="54" customHeight="1">
      <c r="A13670" s="9" t="s">
        <v>27810</v>
      </c>
      <c r="B13670" s="9" t="s">
        <v>27811</v>
      </c>
      <c r="C13670" s="9" t="s">
        <v>90</v>
      </c>
      <c r="D13670" s="9" t="s">
        <v>18</v>
      </c>
      <c r="E13670" s="10" t="s">
        <v>1351</v>
      </c>
      <c r="F13670" s="9" t="s">
        <v>1352</v>
      </c>
      <c r="G13670" s="10" t="s">
        <v>28</v>
      </c>
      <c r="H13670" s="9" t="s">
        <v>35</v>
      </c>
      <c r="I13670" s="9" t="s">
        <v>27812</v>
      </c>
      <c r="J13670" s="10" t="str">
        <f>HYPERLINK("https://www.boe.es/gazeta/dias/1834/07/05/pdfs/GMD-1834-138.pdf#page=5","Abrir facsímil")</f>
        <v>Abrir facsímil</v>
      </c>
      <c r="K13670" s="10" t="s">
        <v>37</v>
      </c>
    </row>
    <row r="13671" spans="1:11" ht="54" customHeight="1">
      <c r="A13671" s="9" t="s">
        <v>27813</v>
      </c>
      <c r="B13671" s="9" t="s">
        <v>27813</v>
      </c>
      <c r="C13671" s="9" t="s">
        <v>122</v>
      </c>
      <c r="D13671" s="9" t="s">
        <v>18</v>
      </c>
      <c r="E13671" s="10" t="s">
        <v>883</v>
      </c>
      <c r="F13671" s="9" t="s">
        <v>884</v>
      </c>
      <c r="G13671" s="10" t="s">
        <v>34</v>
      </c>
      <c r="H13671" s="9" t="s">
        <v>22</v>
      </c>
      <c r="I13671" s="9" t="s">
        <v>27814</v>
      </c>
      <c r="J13671" s="10" t="str">
        <f>HYPERLINK("https://www.boe.es/gazeta/dias/1834/11/16/pdfs/GMD-C-1834-275.pdf#page=1","Abrir facsímil")</f>
        <v>Abrir facsímil</v>
      </c>
      <c r="K13671" s="10" t="s">
        <v>24</v>
      </c>
    </row>
    <row r="13672" spans="1:11" ht="54" customHeight="1">
      <c r="A13672" s="9" t="s">
        <v>27813</v>
      </c>
      <c r="B13672" s="9" t="s">
        <v>27813</v>
      </c>
      <c r="C13672" s="9" t="s">
        <v>17</v>
      </c>
      <c r="D13672" s="9" t="s">
        <v>18</v>
      </c>
      <c r="E13672" s="10" t="s">
        <v>2287</v>
      </c>
      <c r="F13672" s="9" t="s">
        <v>2288</v>
      </c>
      <c r="G13672" s="10" t="s">
        <v>75</v>
      </c>
      <c r="H13672" s="9" t="s">
        <v>22</v>
      </c>
      <c r="I13672" s="9" t="s">
        <v>27815</v>
      </c>
      <c r="J13672" s="10" t="str">
        <f>HYPERLINK("https://www.boe.es/gazeta/dias/1834/12/18/pdfs/GMD-C-1834-308.pdf#page=4","Abrir facsímil")</f>
        <v>Abrir facsímil</v>
      </c>
      <c r="K13672" s="10" t="s">
        <v>24</v>
      </c>
    </row>
    <row r="13673" spans="1:11" ht="54" customHeight="1">
      <c r="A13673" s="9" t="s">
        <v>27816</v>
      </c>
      <c r="B13673" s="9" t="s">
        <v>27816</v>
      </c>
      <c r="C13673" s="9" t="s">
        <v>17</v>
      </c>
      <c r="D13673" s="9" t="s">
        <v>55</v>
      </c>
      <c r="E13673" s="10" t="s">
        <v>785</v>
      </c>
      <c r="F13673" s="9" t="s">
        <v>786</v>
      </c>
      <c r="G13673" s="10" t="s">
        <v>86</v>
      </c>
      <c r="H13673" s="9" t="s">
        <v>22</v>
      </c>
      <c r="I13673" s="9" t="s">
        <v>27817</v>
      </c>
      <c r="J13673" s="10" t="str">
        <f>HYPERLINK("https://www.boe.es/gazeta/dias/1834/02/11/pdfs/GMD-1834-19.pdf#page=2","Abrir facsímil")</f>
        <v>Abrir facsímil</v>
      </c>
      <c r="K13673" s="10" t="s">
        <v>24</v>
      </c>
    </row>
    <row r="13674" spans="1:11" ht="54" customHeight="1">
      <c r="A13674" s="9" t="s">
        <v>27816</v>
      </c>
      <c r="B13674" s="9" t="s">
        <v>27816</v>
      </c>
      <c r="C13674" s="9" t="s">
        <v>17</v>
      </c>
      <c r="D13674" s="9" t="s">
        <v>18</v>
      </c>
      <c r="E13674" s="10" t="s">
        <v>912</v>
      </c>
      <c r="F13674" s="9" t="s">
        <v>913</v>
      </c>
      <c r="G13674" s="10" t="s">
        <v>75</v>
      </c>
      <c r="H13674" s="9" t="s">
        <v>22</v>
      </c>
      <c r="I13674" s="9" t="s">
        <v>27818</v>
      </c>
      <c r="J13674" s="10" t="str">
        <f>HYPERLINK("https://www.boe.es/gazeta/dias/1834/02/15/pdfs/GMD-1834-21.pdf#page=4","Abrir facsímil")</f>
        <v>Abrir facsímil</v>
      </c>
      <c r="K13674" s="10" t="s">
        <v>24</v>
      </c>
    </row>
    <row r="13675" spans="1:11" ht="54" customHeight="1">
      <c r="A13675" s="9" t="s">
        <v>27819</v>
      </c>
      <c r="B13675" s="9" t="s">
        <v>27819</v>
      </c>
      <c r="C13675" s="9" t="s">
        <v>17</v>
      </c>
      <c r="D13675" s="9" t="s">
        <v>18</v>
      </c>
      <c r="E13675" s="10" t="s">
        <v>860</v>
      </c>
      <c r="F13675" s="9" t="s">
        <v>861</v>
      </c>
      <c r="G13675" s="10" t="s">
        <v>75</v>
      </c>
      <c r="H13675" s="9" t="s">
        <v>22</v>
      </c>
      <c r="I13675" s="9" t="s">
        <v>27820</v>
      </c>
      <c r="J13675" s="10" t="str">
        <f>HYPERLINK("https://www.boe.es/gazeta/dias/1834/02/08/pdfs/GMD-1834-18.pdf#page=4","Abrir facsímil")</f>
        <v>Abrir facsímil</v>
      </c>
      <c r="K13675" s="10" t="s">
        <v>24</v>
      </c>
    </row>
    <row r="13676" spans="1:11" ht="54" customHeight="1">
      <c r="A13676" s="9" t="s">
        <v>27821</v>
      </c>
      <c r="B13676" s="9" t="s">
        <v>27821</v>
      </c>
      <c r="C13676" s="9" t="s">
        <v>66</v>
      </c>
      <c r="D13676" s="9" t="s">
        <v>67</v>
      </c>
      <c r="E13676" s="10" t="s">
        <v>183</v>
      </c>
      <c r="F13676" s="9" t="s">
        <v>184</v>
      </c>
      <c r="G13676" s="10" t="s">
        <v>86</v>
      </c>
      <c r="H13676" s="9" t="s">
        <v>22</v>
      </c>
      <c r="I13676" s="9" t="s">
        <v>27822</v>
      </c>
      <c r="J13676" s="10" t="str">
        <f>HYPERLINK("https://www.boe.es/gazeta/dias/1834/03/18/pdfs/GMD-1834-34.pdf#page=2","Abrir facsímil")</f>
        <v>Abrir facsímil</v>
      </c>
      <c r="K13676" s="10" t="s">
        <v>24</v>
      </c>
    </row>
    <row r="13677" spans="1:11" ht="54" customHeight="1">
      <c r="A13677" s="9" t="s">
        <v>27823</v>
      </c>
      <c r="B13677" s="9" t="s">
        <v>27824</v>
      </c>
      <c r="C13677" s="9" t="s">
        <v>90</v>
      </c>
      <c r="D13677" s="9" t="s">
        <v>67</v>
      </c>
      <c r="E13677" s="10" t="s">
        <v>465</v>
      </c>
      <c r="F13677" s="9" t="s">
        <v>466</v>
      </c>
      <c r="G13677" s="10" t="s">
        <v>176</v>
      </c>
      <c r="H13677" s="9" t="s">
        <v>35</v>
      </c>
      <c r="I13677" s="9" t="s">
        <v>27825</v>
      </c>
      <c r="J13677" s="10" t="str">
        <f>HYPERLINK("https://www.boe.es/gazeta/dias/1834/11/27/pdfs/GMD-C-1834-286.pdf#page=6","Abrir facsímil")</f>
        <v>Abrir facsímil</v>
      </c>
      <c r="K13677" s="10" t="s">
        <v>37</v>
      </c>
    </row>
    <row r="13678" spans="1:11" ht="54" customHeight="1">
      <c r="A13678" s="9" t="s">
        <v>27826</v>
      </c>
      <c r="B13678" s="9" t="s">
        <v>27827</v>
      </c>
      <c r="C13678" s="9" t="s">
        <v>90</v>
      </c>
      <c r="D13678" s="9" t="s">
        <v>67</v>
      </c>
      <c r="E13678" s="10" t="s">
        <v>465</v>
      </c>
      <c r="F13678" s="9" t="s">
        <v>466</v>
      </c>
      <c r="G13678" s="10" t="s">
        <v>176</v>
      </c>
      <c r="H13678" s="9" t="s">
        <v>22</v>
      </c>
      <c r="I13678" s="9" t="s">
        <v>27828</v>
      </c>
      <c r="J13678" s="10" t="str">
        <f>HYPERLINK("https://www.boe.es/gazeta/dias/1834/11/27/pdfs/GMD-C-1834-286.pdf#page=6","Abrir facsímil")</f>
        <v>Abrir facsímil</v>
      </c>
      <c r="K13678" s="10" t="s">
        <v>24</v>
      </c>
    </row>
    <row r="13679" spans="1:11" ht="54" customHeight="1">
      <c r="A13679" s="9" t="s">
        <v>27829</v>
      </c>
      <c r="B13679" s="9" t="s">
        <v>27830</v>
      </c>
      <c r="C13679" s="9" t="s">
        <v>90</v>
      </c>
      <c r="D13679" s="9" t="s">
        <v>67</v>
      </c>
      <c r="E13679" s="10" t="s">
        <v>663</v>
      </c>
      <c r="F13679" s="9" t="s">
        <v>664</v>
      </c>
      <c r="G13679" s="10" t="s">
        <v>21</v>
      </c>
      <c r="H13679" s="9" t="s">
        <v>22</v>
      </c>
      <c r="I13679" s="9" t="s">
        <v>27831</v>
      </c>
      <c r="J13679" s="10" t="str">
        <f>HYPERLINK("https://www.boe.es/gazeta/dias/1834/07/16/pdfs/GMD-1834-149.pdf#page=3","Abrir facsímil")</f>
        <v>Abrir facsímil</v>
      </c>
      <c r="K13679" s="10" t="s">
        <v>24</v>
      </c>
    </row>
    <row r="13680" spans="1:11" ht="54" customHeight="1">
      <c r="A13680" s="9" t="s">
        <v>27829</v>
      </c>
      <c r="B13680" s="9" t="s">
        <v>27830</v>
      </c>
      <c r="C13680" s="9" t="s">
        <v>17</v>
      </c>
      <c r="D13680" s="9" t="s">
        <v>18</v>
      </c>
      <c r="E13680" s="10" t="s">
        <v>724</v>
      </c>
      <c r="F13680" s="9" t="s">
        <v>725</v>
      </c>
      <c r="G13680" s="10" t="s">
        <v>75</v>
      </c>
      <c r="H13680" s="9" t="s">
        <v>22</v>
      </c>
      <c r="I13680" s="9" t="s">
        <v>27832</v>
      </c>
      <c r="J13680" s="10" t="str">
        <f>HYPERLINK("https://www.boe.es/gazeta/dias/1834/04/25/pdfs/GMD-1834-64.pdf#page=4","Abrir facsímil")</f>
        <v>Abrir facsímil</v>
      </c>
      <c r="K13680" s="10" t="s">
        <v>24</v>
      </c>
    </row>
    <row r="13681" spans="1:11" ht="54" customHeight="1">
      <c r="A13681" s="9" t="s">
        <v>27833</v>
      </c>
      <c r="B13681" s="9" t="s">
        <v>27833</v>
      </c>
      <c r="C13681" s="9" t="s">
        <v>90</v>
      </c>
      <c r="D13681" s="9" t="s">
        <v>18</v>
      </c>
      <c r="E13681" s="10" t="s">
        <v>394</v>
      </c>
      <c r="F13681" s="9" t="s">
        <v>395</v>
      </c>
      <c r="G13681" s="10" t="s">
        <v>75</v>
      </c>
      <c r="H13681" s="9" t="s">
        <v>22</v>
      </c>
      <c r="I13681" s="9" t="s">
        <v>27834</v>
      </c>
      <c r="J13681" s="10" t="str">
        <f>HYPERLINK("https://www.boe.es/gazeta/dias/1834/12/23/pdfs/GMD-1834-313.pdf#page=4","Abrir facsímil")</f>
        <v>Abrir facsímil</v>
      </c>
      <c r="K13681" s="10" t="s">
        <v>24</v>
      </c>
    </row>
    <row r="13682" spans="1:11" ht="54" customHeight="1">
      <c r="A13682" s="9" t="s">
        <v>27835</v>
      </c>
      <c r="B13682" s="9" t="s">
        <v>27836</v>
      </c>
      <c r="C13682" s="9" t="s">
        <v>17</v>
      </c>
      <c r="D13682" s="9" t="s">
        <v>18</v>
      </c>
      <c r="E13682" s="10" t="s">
        <v>905</v>
      </c>
      <c r="F13682" s="9" t="s">
        <v>1651</v>
      </c>
      <c r="G13682" s="10" t="s">
        <v>86</v>
      </c>
      <c r="H13682" s="9" t="s">
        <v>22</v>
      </c>
      <c r="I13682" s="9" t="s">
        <v>27837</v>
      </c>
      <c r="J13682" s="10" t="str">
        <f>HYPERLINK("https://www.boe.es/gazeta/dias/1834/08/02/pdfs/GMD-1834-166.pdf#page=2","Abrir facsímil")</f>
        <v>Abrir facsímil</v>
      </c>
      <c r="K13682" s="10" t="s">
        <v>24</v>
      </c>
    </row>
    <row r="13683" spans="1:11" ht="54" customHeight="1">
      <c r="A13683" s="9" t="s">
        <v>27838</v>
      </c>
      <c r="B13683" s="9" t="s">
        <v>27839</v>
      </c>
      <c r="C13683" s="9" t="s">
        <v>90</v>
      </c>
      <c r="D13683" s="9" t="s">
        <v>67</v>
      </c>
      <c r="E13683" s="10" t="s">
        <v>1103</v>
      </c>
      <c r="F13683" s="9" t="s">
        <v>1104</v>
      </c>
      <c r="G13683" s="10" t="s">
        <v>86</v>
      </c>
      <c r="H13683" s="9" t="s">
        <v>22</v>
      </c>
      <c r="I13683" s="9" t="s">
        <v>27840</v>
      </c>
      <c r="J13683" s="10" t="str">
        <f>HYPERLINK("https://www.boe.es/gazeta/dias/1834/10/10/pdfs/GMD-C-1834-238.pdf#page=2","Abrir facsímil")</f>
        <v>Abrir facsímil</v>
      </c>
      <c r="K13683" s="10" t="s">
        <v>24</v>
      </c>
    </row>
    <row r="13684" spans="1:11" ht="54" customHeight="1">
      <c r="A13684" s="9" t="s">
        <v>27841</v>
      </c>
      <c r="B13684" s="9" t="s">
        <v>27842</v>
      </c>
      <c r="C13684" s="9" t="s">
        <v>66</v>
      </c>
      <c r="D13684" s="9" t="s">
        <v>67</v>
      </c>
      <c r="E13684" s="10" t="s">
        <v>696</v>
      </c>
      <c r="F13684" s="9" t="s">
        <v>854</v>
      </c>
      <c r="G13684" s="10" t="s">
        <v>21</v>
      </c>
      <c r="H13684" s="9" t="s">
        <v>35</v>
      </c>
      <c r="I13684" s="9" t="s">
        <v>27843</v>
      </c>
      <c r="J13684" s="10" t="str">
        <f>HYPERLINK("https://www.boe.es/gazeta/dias/1834/12/06/pdfs/GMD-1834-295.pdf#page=3","Abrir facsímil")</f>
        <v>Abrir facsímil</v>
      </c>
      <c r="K13684" s="10" t="s">
        <v>37</v>
      </c>
    </row>
    <row r="13685" spans="1:11" ht="54" customHeight="1">
      <c r="A13685" s="9" t="s">
        <v>27844</v>
      </c>
      <c r="B13685" s="9" t="s">
        <v>27845</v>
      </c>
      <c r="C13685" s="9" t="s">
        <v>17</v>
      </c>
      <c r="D13685" s="9" t="s">
        <v>18</v>
      </c>
      <c r="E13685" s="10" t="s">
        <v>615</v>
      </c>
      <c r="F13685" s="9" t="s">
        <v>616</v>
      </c>
      <c r="G13685" s="10" t="s">
        <v>86</v>
      </c>
      <c r="H13685" s="9" t="s">
        <v>35</v>
      </c>
      <c r="I13685" s="9" t="s">
        <v>27846</v>
      </c>
      <c r="J13685" s="10" t="str">
        <f>HYPERLINK("https://www.boe.es/gazeta/dias/1834/08/19/pdfs/GMD-1834-185.pdf#page=2","Abrir facsímil")</f>
        <v>Abrir facsímil</v>
      </c>
      <c r="K13685" s="10" t="s">
        <v>37</v>
      </c>
    </row>
    <row r="13686" spans="1:11" ht="54" customHeight="1">
      <c r="A13686" s="9" t="s">
        <v>27847</v>
      </c>
      <c r="B13686" s="9" t="s">
        <v>27848</v>
      </c>
      <c r="C13686" s="9" t="s">
        <v>66</v>
      </c>
      <c r="D13686" s="9" t="s">
        <v>67</v>
      </c>
      <c r="E13686" s="10" t="s">
        <v>61</v>
      </c>
      <c r="F13686" s="9" t="s">
        <v>205</v>
      </c>
      <c r="G13686" s="10" t="s">
        <v>21</v>
      </c>
      <c r="H13686" s="9" t="s">
        <v>35</v>
      </c>
      <c r="I13686" s="9" t="s">
        <v>27849</v>
      </c>
      <c r="J13686" s="10" t="str">
        <f>HYPERLINK("https://www.boe.es/gazeta/dias/1834/06/08/pdfs/GMD-1834-110.pdf#page=3","Abrir facsímil")</f>
        <v>Abrir facsímil</v>
      </c>
      <c r="K13686" s="10" t="s">
        <v>37</v>
      </c>
    </row>
    <row r="13687" spans="1:11" ht="54" customHeight="1">
      <c r="A13687" s="9" t="s">
        <v>27850</v>
      </c>
      <c r="B13687" s="9" t="s">
        <v>27851</v>
      </c>
      <c r="C13687" s="9" t="s">
        <v>90</v>
      </c>
      <c r="D13687" s="9" t="s">
        <v>101</v>
      </c>
      <c r="E13687" s="10" t="s">
        <v>4637</v>
      </c>
      <c r="F13687" s="9" t="s">
        <v>4638</v>
      </c>
      <c r="G13687" s="10" t="s">
        <v>34</v>
      </c>
      <c r="H13687" s="9" t="s">
        <v>35</v>
      </c>
      <c r="I13687" s="9" t="s">
        <v>27852</v>
      </c>
      <c r="J13687" s="10" t="str">
        <f>HYPERLINK("https://www.boe.es/gazeta/dias/1834/12/08/pdfs/GMD-1834-297.pdf#page=1","Abrir facsímil")</f>
        <v>Abrir facsímil</v>
      </c>
      <c r="K13687" s="10" t="s">
        <v>37</v>
      </c>
    </row>
    <row r="13688" spans="1:11" ht="54" customHeight="1">
      <c r="A13688" s="9" t="s">
        <v>27853</v>
      </c>
      <c r="B13688" s="9" t="s">
        <v>27854</v>
      </c>
      <c r="C13688" s="9" t="s">
        <v>17</v>
      </c>
      <c r="D13688" s="9" t="s">
        <v>18</v>
      </c>
      <c r="E13688" s="10" t="s">
        <v>2107</v>
      </c>
      <c r="F13688" s="9" t="s">
        <v>2108</v>
      </c>
      <c r="G13688" s="10" t="s">
        <v>75</v>
      </c>
      <c r="H13688" s="9" t="s">
        <v>22</v>
      </c>
      <c r="I13688" s="9" t="s">
        <v>27855</v>
      </c>
      <c r="J13688" s="10" t="str">
        <f>HYPERLINK("https://www.boe.es/gazeta/dias/1834/08/24/pdfs/GMD-1834-190.pdf#page=4","Abrir facsímil")</f>
        <v>Abrir facsímil</v>
      </c>
      <c r="K13688" s="10" t="s">
        <v>24</v>
      </c>
    </row>
    <row r="13689" spans="1:11" ht="54" customHeight="1">
      <c r="A13689" s="9" t="s">
        <v>27856</v>
      </c>
      <c r="B13689" s="9" t="s">
        <v>27857</v>
      </c>
      <c r="C13689" s="9" t="s">
        <v>17</v>
      </c>
      <c r="D13689" s="9" t="s">
        <v>18</v>
      </c>
      <c r="E13689" s="10" t="s">
        <v>4237</v>
      </c>
      <c r="F13689" s="9" t="s">
        <v>4238</v>
      </c>
      <c r="G13689" s="10" t="s">
        <v>21</v>
      </c>
      <c r="H13689" s="9" t="s">
        <v>22</v>
      </c>
      <c r="I13689" s="9" t="s">
        <v>27858</v>
      </c>
      <c r="J13689" s="10" t="str">
        <f>HYPERLINK("https://www.boe.es/gazeta/dias/1834/06/17/pdfs/GMD-1834-120.pdf#page=3","Abrir facsímil")</f>
        <v>Abrir facsímil</v>
      </c>
      <c r="K13689" s="10" t="s">
        <v>24</v>
      </c>
    </row>
    <row r="13690" spans="1:11" ht="54" customHeight="1">
      <c r="A13690" s="9" t="s">
        <v>27859</v>
      </c>
      <c r="B13690" s="9" t="s">
        <v>27860</v>
      </c>
      <c r="C13690" s="9" t="s">
        <v>90</v>
      </c>
      <c r="D13690" s="9" t="s">
        <v>101</v>
      </c>
      <c r="E13690" s="10" t="s">
        <v>4637</v>
      </c>
      <c r="F13690" s="9" t="s">
        <v>4638</v>
      </c>
      <c r="G13690" s="10" t="s">
        <v>34</v>
      </c>
      <c r="H13690" s="9" t="s">
        <v>22</v>
      </c>
      <c r="I13690" s="9" t="s">
        <v>27861</v>
      </c>
      <c r="J13690" s="10" t="str">
        <f>HYPERLINK("https://www.boe.es/gazeta/dias/1834/12/08/pdfs/GMD-1834-297.pdf#page=1","Abrir facsímil")</f>
        <v>Abrir facsímil</v>
      </c>
      <c r="K13690" s="10" t="s">
        <v>24</v>
      </c>
    </row>
    <row r="13691" spans="1:11" ht="54" customHeight="1">
      <c r="A13691" s="9" t="s">
        <v>27862</v>
      </c>
      <c r="B13691" s="9" t="s">
        <v>27863</v>
      </c>
      <c r="C13691" s="9" t="s">
        <v>46</v>
      </c>
      <c r="D13691" s="9" t="s">
        <v>101</v>
      </c>
      <c r="E13691" s="10" t="s">
        <v>647</v>
      </c>
      <c r="F13691" s="9" t="s">
        <v>648</v>
      </c>
      <c r="G13691" s="10" t="s">
        <v>34</v>
      </c>
      <c r="H13691" s="9" t="s">
        <v>35</v>
      </c>
      <c r="I13691" s="9" t="s">
        <v>27864</v>
      </c>
      <c r="J13691" s="10" t="str">
        <f>HYPERLINK("https://www.boe.es/gazeta/dias/1834/10/21/pdfs/GMD-C-1834-249.pdf#page=1","Abrir facsímil")</f>
        <v>Abrir facsímil</v>
      </c>
      <c r="K13691" s="10" t="s">
        <v>37</v>
      </c>
    </row>
    <row r="13692" spans="1:11" ht="54" customHeight="1">
      <c r="A13692" s="9" t="s">
        <v>27865</v>
      </c>
      <c r="B13692" s="9" t="s">
        <v>27866</v>
      </c>
      <c r="C13692" s="9" t="s">
        <v>66</v>
      </c>
      <c r="D13692" s="9" t="s">
        <v>67</v>
      </c>
      <c r="E13692" s="10" t="s">
        <v>32</v>
      </c>
      <c r="F13692" s="9" t="s">
        <v>7431</v>
      </c>
      <c r="G13692" s="10" t="s">
        <v>34</v>
      </c>
      <c r="H13692" s="9" t="s">
        <v>22</v>
      </c>
      <c r="I13692" s="9" t="s">
        <v>27867</v>
      </c>
      <c r="J13692" s="10" t="str">
        <f>HYPERLINK("https://www.boe.es/gazeta/dias/1834/04/23/pdfs/GMD-C-1834-62.pdf#page=1","Abrir facsímil")</f>
        <v>Abrir facsímil</v>
      </c>
      <c r="K13692" s="10" t="s">
        <v>24</v>
      </c>
    </row>
    <row r="13693" spans="1:11" ht="54" customHeight="1">
      <c r="A13693" s="9" t="s">
        <v>27868</v>
      </c>
      <c r="B13693" s="9" t="s">
        <v>27869</v>
      </c>
      <c r="C13693" s="9" t="s">
        <v>66</v>
      </c>
      <c r="D13693" s="9" t="s">
        <v>67</v>
      </c>
      <c r="E13693" s="10" t="s">
        <v>696</v>
      </c>
      <c r="F13693" s="9" t="s">
        <v>854</v>
      </c>
      <c r="G13693" s="10" t="s">
        <v>21</v>
      </c>
      <c r="H13693" s="9" t="s">
        <v>22</v>
      </c>
      <c r="I13693" s="9" t="s">
        <v>27870</v>
      </c>
      <c r="J13693" s="10" t="str">
        <f>HYPERLINK("https://www.boe.es/gazeta/dias/1834/12/06/pdfs/GMD-1834-295.pdf#page=3","Abrir facsímil")</f>
        <v>Abrir facsímil</v>
      </c>
      <c r="K13693" s="10" t="s">
        <v>24</v>
      </c>
    </row>
    <row r="13694" spans="1:11" ht="54" customHeight="1">
      <c r="A13694" s="9" t="s">
        <v>27871</v>
      </c>
      <c r="B13694" s="9" t="s">
        <v>27872</v>
      </c>
      <c r="C13694" s="9" t="s">
        <v>17</v>
      </c>
      <c r="D13694" s="9" t="s">
        <v>18</v>
      </c>
      <c r="E13694" s="10" t="s">
        <v>615</v>
      </c>
      <c r="F13694" s="9" t="s">
        <v>616</v>
      </c>
      <c r="G13694" s="10" t="s">
        <v>86</v>
      </c>
      <c r="H13694" s="9" t="s">
        <v>22</v>
      </c>
      <c r="I13694" s="9" t="s">
        <v>27873</v>
      </c>
      <c r="J13694" s="10" t="str">
        <f>HYPERLINK("https://www.boe.es/gazeta/dias/1834/08/19/pdfs/GMD-1834-185.pdf#page=2","Abrir facsímil")</f>
        <v>Abrir facsímil</v>
      </c>
      <c r="K13694" s="10" t="s">
        <v>24</v>
      </c>
    </row>
    <row r="13695" spans="1:11" ht="54" customHeight="1">
      <c r="A13695" s="9" t="s">
        <v>27874</v>
      </c>
      <c r="B13695" s="9" t="s">
        <v>27875</v>
      </c>
      <c r="C13695" s="9" t="s">
        <v>66</v>
      </c>
      <c r="D13695" s="9" t="s">
        <v>67</v>
      </c>
      <c r="E13695" s="10" t="s">
        <v>61</v>
      </c>
      <c r="F13695" s="9" t="s">
        <v>205</v>
      </c>
      <c r="G13695" s="10" t="s">
        <v>21</v>
      </c>
      <c r="H13695" s="9" t="s">
        <v>22</v>
      </c>
      <c r="I13695" s="9" t="s">
        <v>27876</v>
      </c>
      <c r="J13695" s="10" t="str">
        <f>HYPERLINK("https://www.boe.es/gazeta/dias/1834/06/08/pdfs/GMD-1834-110.pdf#page=3","Abrir facsímil")</f>
        <v>Abrir facsímil</v>
      </c>
      <c r="K13695" s="10" t="s">
        <v>24</v>
      </c>
    </row>
    <row r="13696" spans="1:11" ht="54" customHeight="1">
      <c r="A13696" s="9" t="s">
        <v>27877</v>
      </c>
      <c r="B13696" s="9" t="s">
        <v>27878</v>
      </c>
      <c r="C13696" s="9" t="s">
        <v>66</v>
      </c>
      <c r="D13696" s="9" t="s">
        <v>40</v>
      </c>
      <c r="E13696" s="10" t="s">
        <v>1572</v>
      </c>
      <c r="F13696" s="9" t="s">
        <v>1573</v>
      </c>
      <c r="G13696" s="10" t="s">
        <v>176</v>
      </c>
      <c r="H13696" s="9" t="s">
        <v>22</v>
      </c>
      <c r="I13696" s="9" t="s">
        <v>27879</v>
      </c>
      <c r="J13696" s="10" t="str">
        <f>HYPERLINK("https://www.boe.es/gazeta/dias/1834/03/20/pdfs/GMD-1834-35.pdf#page=6","Abrir facsímil")</f>
        <v>Abrir facsímil</v>
      </c>
      <c r="K13696" s="10" t="s">
        <v>24</v>
      </c>
    </row>
    <row r="13697" spans="1:11" ht="54" customHeight="1">
      <c r="A13697" s="9" t="s">
        <v>27880</v>
      </c>
      <c r="B13697" s="9" t="s">
        <v>27881</v>
      </c>
      <c r="C13697" s="9" t="s">
        <v>17</v>
      </c>
      <c r="D13697" s="9" t="s">
        <v>18</v>
      </c>
      <c r="E13697" s="10" t="s">
        <v>3952</v>
      </c>
      <c r="F13697" s="9" t="s">
        <v>3953</v>
      </c>
      <c r="G13697" s="10" t="s">
        <v>75</v>
      </c>
      <c r="H13697" s="9" t="s">
        <v>22</v>
      </c>
      <c r="I13697" s="9" t="s">
        <v>27882</v>
      </c>
      <c r="J13697" s="10" t="str">
        <f>HYPERLINK("https://www.boe.es/gazeta/dias/1834/02/22/pdfs/GMD-1834-24.pdf#page=4","Abrir facsímil")</f>
        <v>Abrir facsímil</v>
      </c>
      <c r="K13697" s="10" t="s">
        <v>24</v>
      </c>
    </row>
    <row r="13698" spans="1:11" ht="54" customHeight="1">
      <c r="A13698" s="9" t="s">
        <v>27883</v>
      </c>
      <c r="B13698" s="9" t="s">
        <v>27884</v>
      </c>
      <c r="C13698" s="9" t="s">
        <v>122</v>
      </c>
      <c r="D13698" s="9" t="s">
        <v>18</v>
      </c>
      <c r="E13698" s="10" t="s">
        <v>3810</v>
      </c>
      <c r="F13698" s="9" t="s">
        <v>3811</v>
      </c>
      <c r="G13698" s="10" t="s">
        <v>75</v>
      </c>
      <c r="H13698" s="9" t="s">
        <v>22</v>
      </c>
      <c r="I13698" s="9" t="s">
        <v>27885</v>
      </c>
      <c r="J13698" s="10" t="str">
        <f>HYPERLINK("https://www.boe.es/gazeta/dias/1834/02/20/pdfs/GMD-1834-23.pdf#page=4","Abrir facsímil")</f>
        <v>Abrir facsímil</v>
      </c>
      <c r="K13698" s="10" t="s">
        <v>24</v>
      </c>
    </row>
    <row r="13699" spans="1:11" ht="54" customHeight="1">
      <c r="A13699" s="9" t="s">
        <v>27886</v>
      </c>
      <c r="B13699" s="9" t="s">
        <v>27886</v>
      </c>
      <c r="C13699" s="9" t="s">
        <v>66</v>
      </c>
      <c r="D13699" s="9" t="s">
        <v>55</v>
      </c>
      <c r="E13699" s="10" t="s">
        <v>939</v>
      </c>
      <c r="F13699" s="9" t="s">
        <v>940</v>
      </c>
      <c r="G13699" s="10" t="s">
        <v>34</v>
      </c>
      <c r="H13699" s="9" t="s">
        <v>22</v>
      </c>
      <c r="I13699" s="9" t="s">
        <v>27887</v>
      </c>
      <c r="J13699" s="10" t="str">
        <f>HYPERLINK("https://www.boe.es/gazeta/dias/1834/06/10/pdfs/GMD-1834-113.pdf#page=1","Abrir facsímil")</f>
        <v>Abrir facsímil</v>
      </c>
      <c r="K13699" s="10" t="s">
        <v>24</v>
      </c>
    </row>
    <row r="13700" spans="1:11" ht="54" customHeight="1">
      <c r="A13700" s="9" t="s">
        <v>27886</v>
      </c>
      <c r="B13700" s="9" t="s">
        <v>27886</v>
      </c>
      <c r="C13700" s="9" t="s">
        <v>17</v>
      </c>
      <c r="D13700" s="9" t="s">
        <v>18</v>
      </c>
      <c r="E13700" s="10" t="s">
        <v>479</v>
      </c>
      <c r="F13700" s="9" t="s">
        <v>2258</v>
      </c>
      <c r="G13700" s="10" t="s">
        <v>21</v>
      </c>
      <c r="H13700" s="9" t="s">
        <v>22</v>
      </c>
      <c r="I13700" s="9" t="s">
        <v>27888</v>
      </c>
      <c r="J13700" s="10" t="str">
        <f>HYPERLINK("https://www.boe.es/gazeta/dias/1834/08/13/pdfs/GMD-C-1834-178.pdf#page=3","Abrir facsímil")</f>
        <v>Abrir facsímil</v>
      </c>
      <c r="K13700" s="10" t="s">
        <v>24</v>
      </c>
    </row>
    <row r="13701" spans="1:11" ht="54" customHeight="1">
      <c r="A13701" s="9" t="s">
        <v>27886</v>
      </c>
      <c r="B13701" s="9" t="s">
        <v>27886</v>
      </c>
      <c r="C13701" s="9" t="s">
        <v>17</v>
      </c>
      <c r="D13701" s="9" t="s">
        <v>18</v>
      </c>
      <c r="E13701" s="10" t="s">
        <v>2306</v>
      </c>
      <c r="F13701" s="9" t="s">
        <v>2307</v>
      </c>
      <c r="G13701" s="10" t="s">
        <v>21</v>
      </c>
      <c r="H13701" s="9" t="s">
        <v>22</v>
      </c>
      <c r="I13701" s="9" t="s">
        <v>27889</v>
      </c>
      <c r="J13701" s="10" t="str">
        <f>HYPERLINK("https://www.boe.es/gazeta/dias/1834/04/26/pdfs/GMD-1834-65.pdf#page=3","Abrir facsímil")</f>
        <v>Abrir facsímil</v>
      </c>
      <c r="K13701" s="10" t="s">
        <v>24</v>
      </c>
    </row>
    <row r="13702" spans="1:11" ht="54" customHeight="1">
      <c r="A13702" s="9" t="s">
        <v>27890</v>
      </c>
      <c r="B13702" s="9" t="s">
        <v>27891</v>
      </c>
      <c r="C13702" s="9" t="s">
        <v>122</v>
      </c>
      <c r="D13702" s="9" t="s">
        <v>18</v>
      </c>
      <c r="E13702" s="10" t="s">
        <v>8200</v>
      </c>
      <c r="F13702" s="9" t="s">
        <v>8201</v>
      </c>
      <c r="G13702" s="10" t="s">
        <v>86</v>
      </c>
      <c r="H13702" s="9" t="s">
        <v>22</v>
      </c>
      <c r="I13702" s="9" t="s">
        <v>27892</v>
      </c>
      <c r="J13702" s="10" t="str">
        <f>HYPERLINK("https://www.boe.es/gazeta/dias/1834/11/17/pdfs/GMD-1834-276.pdf#page=2","Abrir facsímil")</f>
        <v>Abrir facsímil</v>
      </c>
      <c r="K13702" s="10" t="s">
        <v>24</v>
      </c>
    </row>
    <row r="13703" spans="1:11" ht="54" customHeight="1">
      <c r="A13703" s="9" t="s">
        <v>27893</v>
      </c>
      <c r="B13703" s="9" t="s">
        <v>27894</v>
      </c>
      <c r="C13703" s="9" t="s">
        <v>17</v>
      </c>
      <c r="D13703" s="9" t="s">
        <v>18</v>
      </c>
      <c r="E13703" s="10" t="s">
        <v>2860</v>
      </c>
      <c r="F13703" s="9" t="s">
        <v>2861</v>
      </c>
      <c r="G13703" s="10" t="s">
        <v>21</v>
      </c>
      <c r="H13703" s="9" t="s">
        <v>22</v>
      </c>
      <c r="I13703" s="9" t="s">
        <v>27895</v>
      </c>
      <c r="J13703" s="10" t="str">
        <f>HYPERLINK("https://www.boe.es/gazeta/dias/1834/07/20/pdfs/GMD-1834-153.pdf#page=3","Abrir facsímil")</f>
        <v>Abrir facsímil</v>
      </c>
      <c r="K13703" s="10" t="s">
        <v>24</v>
      </c>
    </row>
    <row r="13704" spans="1:11" ht="54" customHeight="1">
      <c r="A13704" s="9" t="s">
        <v>27896</v>
      </c>
      <c r="B13704" s="9" t="s">
        <v>27897</v>
      </c>
      <c r="C13704" s="9" t="s">
        <v>90</v>
      </c>
      <c r="D13704" s="9" t="s">
        <v>55</v>
      </c>
      <c r="E13704" s="10" t="s">
        <v>2379</v>
      </c>
      <c r="F13704" s="9" t="s">
        <v>2380</v>
      </c>
      <c r="G13704" s="10" t="s">
        <v>21</v>
      </c>
      <c r="H13704" s="9" t="s">
        <v>22</v>
      </c>
      <c r="I13704" s="9" t="s">
        <v>27898</v>
      </c>
      <c r="J13704" s="10" t="str">
        <f>HYPERLINK("https://www.boe.es/gazeta/dias/1834/04/03/pdfs/GMD-1834-42.pdf#page=3","Abrir facsímil")</f>
        <v>Abrir facsímil</v>
      </c>
      <c r="K13704" s="10" t="s">
        <v>24</v>
      </c>
    </row>
    <row r="13705" spans="1:11" ht="54" customHeight="1">
      <c r="A13705" s="9" t="s">
        <v>27899</v>
      </c>
      <c r="B13705" s="9" t="s">
        <v>27900</v>
      </c>
      <c r="C13705" s="9" t="s">
        <v>90</v>
      </c>
      <c r="D13705" s="9" t="s">
        <v>67</v>
      </c>
      <c r="E13705" s="10" t="s">
        <v>32</v>
      </c>
      <c r="F13705" s="9" t="s">
        <v>7431</v>
      </c>
      <c r="G13705" s="10" t="s">
        <v>34</v>
      </c>
      <c r="H13705" s="9" t="s">
        <v>22</v>
      </c>
      <c r="I13705" s="9" t="s">
        <v>27901</v>
      </c>
      <c r="J13705" s="10" t="str">
        <f>HYPERLINK("https://www.boe.es/gazeta/dias/1834/04/23/pdfs/GMD-C-1834-62.pdf#page=1","Abrir facsímil")</f>
        <v>Abrir facsímil</v>
      </c>
      <c r="K13705" s="10" t="s">
        <v>24</v>
      </c>
    </row>
    <row r="13706" spans="1:11" ht="54" customHeight="1">
      <c r="A13706" s="9" t="s">
        <v>27902</v>
      </c>
      <c r="B13706" s="9" t="s">
        <v>27903</v>
      </c>
      <c r="C13706" s="9" t="s">
        <v>90</v>
      </c>
      <c r="D13706" s="9" t="s">
        <v>18</v>
      </c>
      <c r="E13706" s="10" t="s">
        <v>3066</v>
      </c>
      <c r="F13706" s="9" t="s">
        <v>3067</v>
      </c>
      <c r="G13706" s="10" t="s">
        <v>34</v>
      </c>
      <c r="H13706" s="9" t="s">
        <v>22</v>
      </c>
      <c r="I13706" s="9" t="s">
        <v>27904</v>
      </c>
      <c r="J13706" s="10" t="str">
        <f>HYPERLINK("https://www.boe.es/gazeta/dias/1834/08/03/pdfs/GMD-C-1834-167.pdf#page=1","Abrir facsímil")</f>
        <v>Abrir facsímil</v>
      </c>
      <c r="K13706" s="10" t="s">
        <v>24</v>
      </c>
    </row>
    <row r="13707" spans="1:11" ht="54" customHeight="1">
      <c r="A13707" s="9" t="s">
        <v>27905</v>
      </c>
      <c r="B13707" s="9" t="s">
        <v>27906</v>
      </c>
      <c r="C13707" s="9" t="s">
        <v>90</v>
      </c>
      <c r="D13707" s="9" t="s">
        <v>67</v>
      </c>
      <c r="E13707" s="10" t="s">
        <v>133</v>
      </c>
      <c r="F13707" s="9" t="s">
        <v>134</v>
      </c>
      <c r="G13707" s="10" t="s">
        <v>34</v>
      </c>
      <c r="H13707" s="9" t="s">
        <v>22</v>
      </c>
      <c r="I13707" s="9" t="s">
        <v>27907</v>
      </c>
      <c r="J13707" s="10" t="str">
        <f>HYPERLINK("https://www.boe.es/gazeta/dias/1834/06/18/pdfs/GMD-1834-121.pdf#page=1","Abrir facsímil")</f>
        <v>Abrir facsímil</v>
      </c>
      <c r="K13707" s="10" t="s">
        <v>24</v>
      </c>
    </row>
    <row r="13708" spans="1:11" ht="54" customHeight="1">
      <c r="A13708" s="9" t="s">
        <v>27905</v>
      </c>
      <c r="B13708" s="9" t="s">
        <v>27906</v>
      </c>
      <c r="C13708" s="9" t="s">
        <v>17</v>
      </c>
      <c r="D13708" s="9" t="s">
        <v>18</v>
      </c>
      <c r="E13708" s="10" t="s">
        <v>468</v>
      </c>
      <c r="F13708" s="9" t="s">
        <v>469</v>
      </c>
      <c r="G13708" s="10" t="s">
        <v>34</v>
      </c>
      <c r="H13708" s="9" t="s">
        <v>22</v>
      </c>
      <c r="I13708" s="9" t="s">
        <v>27908</v>
      </c>
      <c r="J13708" s="10" t="str">
        <f>HYPERLINK("https://www.boe.es/gazeta/dias/1834/12/28/pdfs/GMD-C-1834-318.pdf#page=1","Abrir facsímil")</f>
        <v>Abrir facsímil</v>
      </c>
      <c r="K13708" s="10" t="s">
        <v>24</v>
      </c>
    </row>
    <row r="13709" spans="1:11" ht="54" customHeight="1">
      <c r="A13709" s="9" t="s">
        <v>27909</v>
      </c>
      <c r="B13709" s="9" t="s">
        <v>27910</v>
      </c>
      <c r="C13709" s="9" t="s">
        <v>17</v>
      </c>
      <c r="D13709" s="9" t="s">
        <v>18</v>
      </c>
      <c r="E13709" s="10" t="s">
        <v>1410</v>
      </c>
      <c r="F13709" s="9" t="s">
        <v>1411</v>
      </c>
      <c r="G13709" s="10" t="s">
        <v>21</v>
      </c>
      <c r="H13709" s="9" t="s">
        <v>22</v>
      </c>
      <c r="I13709" s="9" t="s">
        <v>27911</v>
      </c>
      <c r="J13709" s="10" t="str">
        <f>HYPERLINK("https://www.boe.es/gazeta/dias/1834/09/09/pdfs/GMD-1834-207.pdf#page=3","Abrir facsímil")</f>
        <v>Abrir facsímil</v>
      </c>
      <c r="K13709" s="10" t="s">
        <v>24</v>
      </c>
    </row>
    <row r="13710" spans="1:11" ht="54" customHeight="1">
      <c r="A13710" s="9" t="s">
        <v>27912</v>
      </c>
      <c r="B13710" s="9" t="s">
        <v>27913</v>
      </c>
      <c r="C13710" s="9" t="s">
        <v>17</v>
      </c>
      <c r="D13710" s="9" t="s">
        <v>18</v>
      </c>
      <c r="E13710" s="10" t="s">
        <v>117</v>
      </c>
      <c r="F13710" s="9" t="s">
        <v>118</v>
      </c>
      <c r="G13710" s="10" t="s">
        <v>75</v>
      </c>
      <c r="H13710" s="9" t="s">
        <v>35</v>
      </c>
      <c r="I13710" s="9" t="s">
        <v>27914</v>
      </c>
      <c r="J13710" s="10" t="str">
        <f>HYPERLINK("https://www.boe.es/gazeta/dias/1834/07/21/pdfs/GMD-1834-154.pdf#page=4","Abrir facsímil")</f>
        <v>Abrir facsímil</v>
      </c>
      <c r="K13710" s="10" t="s">
        <v>37</v>
      </c>
    </row>
    <row r="13711" spans="1:11" ht="54" customHeight="1">
      <c r="A13711" s="9" t="s">
        <v>27915</v>
      </c>
      <c r="B13711" s="9" t="s">
        <v>27916</v>
      </c>
      <c r="C13711" s="9" t="s">
        <v>122</v>
      </c>
      <c r="D13711" s="9" t="s">
        <v>18</v>
      </c>
      <c r="E13711" s="10" t="s">
        <v>378</v>
      </c>
      <c r="F13711" s="9" t="s">
        <v>379</v>
      </c>
      <c r="G13711" s="10" t="s">
        <v>21</v>
      </c>
      <c r="H13711" s="9" t="s">
        <v>22</v>
      </c>
      <c r="I13711" s="9" t="s">
        <v>27917</v>
      </c>
      <c r="J13711" s="10" t="str">
        <f>HYPERLINK("https://www.boe.es/gazeta/dias/1834/09/24/pdfs/GMD-1834-222.pdf#page=3","Abrir facsímil")</f>
        <v>Abrir facsímil</v>
      </c>
      <c r="K13711" s="10" t="s">
        <v>24</v>
      </c>
    </row>
    <row r="13712" spans="1:11" ht="54" customHeight="1">
      <c r="A13712" s="9" t="s">
        <v>27918</v>
      </c>
      <c r="B13712" s="9" t="s">
        <v>27919</v>
      </c>
      <c r="C13712" s="9" t="s">
        <v>122</v>
      </c>
      <c r="D13712" s="9" t="s">
        <v>18</v>
      </c>
      <c r="E13712" s="10" t="s">
        <v>378</v>
      </c>
      <c r="F13712" s="9" t="s">
        <v>379</v>
      </c>
      <c r="G13712" s="10" t="s">
        <v>21</v>
      </c>
      <c r="H13712" s="9" t="s">
        <v>35</v>
      </c>
      <c r="I13712" s="9" t="s">
        <v>27920</v>
      </c>
      <c r="J13712" s="10" t="str">
        <f>HYPERLINK("https://www.boe.es/gazeta/dias/1834/09/24/pdfs/GMD-1834-222.pdf#page=3","Abrir facsímil")</f>
        <v>Abrir facsímil</v>
      </c>
      <c r="K13712" s="10" t="s">
        <v>37</v>
      </c>
    </row>
    <row r="13713" spans="1:11" ht="54" customHeight="1">
      <c r="A13713" s="9" t="s">
        <v>27921</v>
      </c>
      <c r="B13713" s="9" t="s">
        <v>27922</v>
      </c>
      <c r="C13713" s="9" t="s">
        <v>17</v>
      </c>
      <c r="D13713" s="9" t="s">
        <v>18</v>
      </c>
      <c r="E13713" s="10" t="s">
        <v>642</v>
      </c>
      <c r="F13713" s="9" t="s">
        <v>1843</v>
      </c>
      <c r="G13713" s="10" t="s">
        <v>34</v>
      </c>
      <c r="H13713" s="9" t="s">
        <v>22</v>
      </c>
      <c r="I13713" s="9" t="s">
        <v>27923</v>
      </c>
      <c r="J13713" s="10" t="str">
        <f>HYPERLINK("https://www.boe.es/gazeta/dias/1834/11/12/pdfs/GMD-1834-271.pdf#page=1","Abrir facsímil")</f>
        <v>Abrir facsímil</v>
      </c>
      <c r="K13713" s="10" t="s">
        <v>24</v>
      </c>
    </row>
    <row r="13714" spans="1:11" ht="54" customHeight="1">
      <c r="A13714" s="9" t="s">
        <v>27924</v>
      </c>
      <c r="B13714" s="9" t="s">
        <v>27924</v>
      </c>
      <c r="C13714" s="9" t="s">
        <v>122</v>
      </c>
      <c r="D13714" s="9" t="s">
        <v>18</v>
      </c>
      <c r="E13714" s="10" t="s">
        <v>1008</v>
      </c>
      <c r="F13714" s="9" t="s">
        <v>2991</v>
      </c>
      <c r="G13714" s="10" t="s">
        <v>21</v>
      </c>
      <c r="H13714" s="9" t="s">
        <v>22</v>
      </c>
      <c r="I13714" s="9" t="s">
        <v>27925</v>
      </c>
      <c r="J13714" s="10" t="str">
        <f>HYPERLINK("https://www.boe.es/gazeta/dias/1834/11/08/pdfs/GMD-1834-267.pdf#page=3","Abrir facsímil")</f>
        <v>Abrir facsímil</v>
      </c>
      <c r="K13714" s="10" t="s">
        <v>24</v>
      </c>
    </row>
    <row r="13715" spans="1:11" ht="54" customHeight="1">
      <c r="A13715" s="9" t="s">
        <v>27924</v>
      </c>
      <c r="B13715" s="9" t="s">
        <v>27924</v>
      </c>
      <c r="C13715" s="9" t="s">
        <v>17</v>
      </c>
      <c r="D13715" s="9" t="s">
        <v>18</v>
      </c>
      <c r="E13715" s="10" t="s">
        <v>2124</v>
      </c>
      <c r="F13715" s="9" t="s">
        <v>2125</v>
      </c>
      <c r="G13715" s="10" t="s">
        <v>75</v>
      </c>
      <c r="H13715" s="9" t="s">
        <v>22</v>
      </c>
      <c r="I13715" s="9" t="s">
        <v>27926</v>
      </c>
      <c r="J13715" s="10" t="str">
        <f>HYPERLINK("https://www.boe.es/gazeta/dias/1834/06/09/pdfs/GMD-1834-112.pdf#page=4","Abrir facsímil")</f>
        <v>Abrir facsímil</v>
      </c>
      <c r="K13715" s="10" t="s">
        <v>24</v>
      </c>
    </row>
    <row r="13716" spans="1:11" ht="54" customHeight="1">
      <c r="A13716" s="9" t="s">
        <v>27927</v>
      </c>
      <c r="B13716" s="9" t="s">
        <v>27928</v>
      </c>
      <c r="C13716" s="9" t="s">
        <v>46</v>
      </c>
      <c r="D13716" s="9" t="s">
        <v>18</v>
      </c>
      <c r="E13716" s="10" t="s">
        <v>1084</v>
      </c>
      <c r="F13716" s="9" t="s">
        <v>1085</v>
      </c>
      <c r="G13716" s="10" t="s">
        <v>86</v>
      </c>
      <c r="H13716" s="9" t="s">
        <v>22</v>
      </c>
      <c r="I13716" s="9" t="s">
        <v>27929</v>
      </c>
      <c r="J13716" s="10" t="str">
        <f>HYPERLINK("https://www.boe.es/gazeta/dias/1834/05/01/pdfs/GMD-1834-70.pdf#page=2","Abrir facsímil")</f>
        <v>Abrir facsímil</v>
      </c>
      <c r="K13716" s="10" t="s">
        <v>24</v>
      </c>
    </row>
    <row r="13717" spans="1:11" ht="54" customHeight="1">
      <c r="A13717" s="9" t="s">
        <v>27930</v>
      </c>
      <c r="B13717" s="9" t="s">
        <v>27931</v>
      </c>
      <c r="C13717" s="9" t="s">
        <v>66</v>
      </c>
      <c r="D13717" s="9" t="s">
        <v>67</v>
      </c>
      <c r="E13717" s="10" t="s">
        <v>905</v>
      </c>
      <c r="F13717" s="9" t="s">
        <v>1651</v>
      </c>
      <c r="G13717" s="10" t="s">
        <v>86</v>
      </c>
      <c r="H13717" s="9" t="s">
        <v>22</v>
      </c>
      <c r="I13717" s="9" t="s">
        <v>27932</v>
      </c>
      <c r="J13717" s="10" t="str">
        <f>HYPERLINK("https://www.boe.es/gazeta/dias/1834/08/02/pdfs/GMD-1834-166.pdf#page=2","Abrir facsímil")</f>
        <v>Abrir facsímil</v>
      </c>
      <c r="K13717" s="10" t="s">
        <v>24</v>
      </c>
    </row>
    <row r="13718" spans="1:11" ht="54" customHeight="1">
      <c r="A13718" s="9" t="s">
        <v>27933</v>
      </c>
      <c r="B13718" s="9" t="s">
        <v>27934</v>
      </c>
      <c r="C13718" s="9" t="s">
        <v>66</v>
      </c>
      <c r="D13718" s="9" t="s">
        <v>67</v>
      </c>
      <c r="E13718" s="10" t="s">
        <v>492</v>
      </c>
      <c r="F13718" s="9" t="s">
        <v>1672</v>
      </c>
      <c r="G13718" s="10" t="s">
        <v>21</v>
      </c>
      <c r="H13718" s="9" t="s">
        <v>22</v>
      </c>
      <c r="I13718" s="9" t="s">
        <v>27935</v>
      </c>
      <c r="J13718" s="10" t="str">
        <f>HYPERLINK("https://www.boe.es/gazeta/dias/1834/11/21/pdfs/GMD-1834-280.pdf#page=3","Abrir facsímil")</f>
        <v>Abrir facsímil</v>
      </c>
      <c r="K13718" s="10" t="s">
        <v>24</v>
      </c>
    </row>
    <row r="13719" spans="1:11" ht="54" customHeight="1">
      <c r="A13719" s="9" t="s">
        <v>27936</v>
      </c>
      <c r="B13719" s="9" t="s">
        <v>27937</v>
      </c>
      <c r="C13719" s="9" t="s">
        <v>66</v>
      </c>
      <c r="D13719" s="9" t="s">
        <v>67</v>
      </c>
      <c r="E13719" s="10" t="s">
        <v>3810</v>
      </c>
      <c r="F13719" s="9" t="s">
        <v>3811</v>
      </c>
      <c r="G13719" s="10" t="s">
        <v>21</v>
      </c>
      <c r="H13719" s="9" t="s">
        <v>22</v>
      </c>
      <c r="I13719" s="9" t="s">
        <v>27938</v>
      </c>
      <c r="J13719" s="10" t="str">
        <f>HYPERLINK("https://www.boe.es/gazeta/dias/1834/02/20/pdfs/GMD-1834-23.pdf#page=3","Abrir facsímil")</f>
        <v>Abrir facsímil</v>
      </c>
      <c r="K13719" s="10" t="s">
        <v>24</v>
      </c>
    </row>
    <row r="13720" spans="1:11" ht="54" customHeight="1">
      <c r="A13720" s="9" t="s">
        <v>27936</v>
      </c>
      <c r="B13720" s="9" t="s">
        <v>27937</v>
      </c>
      <c r="C13720" s="9" t="s">
        <v>122</v>
      </c>
      <c r="D13720" s="9" t="s">
        <v>40</v>
      </c>
      <c r="E13720" s="10" t="s">
        <v>1674</v>
      </c>
      <c r="F13720" s="9" t="s">
        <v>1675</v>
      </c>
      <c r="G13720" s="10" t="s">
        <v>75</v>
      </c>
      <c r="H13720" s="9" t="s">
        <v>22</v>
      </c>
      <c r="I13720" s="9" t="s">
        <v>27939</v>
      </c>
      <c r="J13720" s="10" t="str">
        <f>HYPERLINK("https://www.boe.es/gazeta/dias/1834/07/25/pdfs/GMD-1834-158.pdf#page=4","Abrir facsímil")</f>
        <v>Abrir facsímil</v>
      </c>
      <c r="K13720" s="10" t="s">
        <v>24</v>
      </c>
    </row>
    <row r="13721" spans="1:11" ht="54" customHeight="1">
      <c r="A13721" s="9" t="s">
        <v>27940</v>
      </c>
      <c r="B13721" s="9" t="s">
        <v>27940</v>
      </c>
      <c r="C13721" s="9" t="s">
        <v>17</v>
      </c>
      <c r="D13721" s="9" t="s">
        <v>18</v>
      </c>
      <c r="E13721" s="10" t="s">
        <v>4565</v>
      </c>
      <c r="F13721" s="9" t="s">
        <v>4566</v>
      </c>
      <c r="G13721" s="10" t="s">
        <v>86</v>
      </c>
      <c r="H13721" s="9" t="s">
        <v>22</v>
      </c>
      <c r="I13721" s="9" t="s">
        <v>27941</v>
      </c>
      <c r="J13721" s="10" t="str">
        <f>HYPERLINK("https://www.boe.es/gazeta/dias/1834/07/10/pdfs/GMD-1834-143.pdf#page=2","Abrir facsímil")</f>
        <v>Abrir facsímil</v>
      </c>
      <c r="K13721" s="10" t="s">
        <v>24</v>
      </c>
    </row>
    <row r="13722" spans="1:11" ht="54" customHeight="1">
      <c r="A13722" s="9" t="s">
        <v>27940</v>
      </c>
      <c r="B13722" s="9" t="s">
        <v>27940</v>
      </c>
      <c r="C13722" s="9" t="s">
        <v>17</v>
      </c>
      <c r="D13722" s="9" t="s">
        <v>55</v>
      </c>
      <c r="E13722" s="10" t="s">
        <v>3488</v>
      </c>
      <c r="F13722" s="9" t="s">
        <v>3489</v>
      </c>
      <c r="G13722" s="10" t="s">
        <v>21</v>
      </c>
      <c r="H13722" s="9" t="s">
        <v>22</v>
      </c>
      <c r="I13722" s="9" t="s">
        <v>27942</v>
      </c>
      <c r="J13722" s="10" t="str">
        <f>HYPERLINK("https://www.boe.es/gazeta/dias/1834/06/22/pdfs/GMD-1834-125.pdf#page=3","Abrir facsímil")</f>
        <v>Abrir facsímil</v>
      </c>
      <c r="K13722" s="10" t="s">
        <v>24</v>
      </c>
    </row>
    <row r="13723" spans="1:11" ht="54" customHeight="1">
      <c r="A13723" s="9" t="s">
        <v>27943</v>
      </c>
      <c r="B13723" s="9" t="s">
        <v>27944</v>
      </c>
      <c r="C13723" s="9" t="s">
        <v>17</v>
      </c>
      <c r="D13723" s="9" t="s">
        <v>18</v>
      </c>
      <c r="E13723" s="10" t="s">
        <v>286</v>
      </c>
      <c r="F13723" s="9" t="s">
        <v>548</v>
      </c>
      <c r="G13723" s="10" t="s">
        <v>75</v>
      </c>
      <c r="H13723" s="9" t="s">
        <v>22</v>
      </c>
      <c r="I13723" s="9" t="s">
        <v>27945</v>
      </c>
      <c r="J13723" s="10" t="str">
        <f>HYPERLINK("https://www.boe.es/gazeta/dias/1834/08/30/pdfs/GMD-1834-196.pdf#page=4","Abrir facsímil")</f>
        <v>Abrir facsímil</v>
      </c>
      <c r="K13723" s="10" t="s">
        <v>24</v>
      </c>
    </row>
    <row r="13724" spans="1:11" ht="54" customHeight="1">
      <c r="A13724" s="9" t="s">
        <v>27946</v>
      </c>
      <c r="B13724" s="9" t="s">
        <v>27947</v>
      </c>
      <c r="C13724" s="9" t="s">
        <v>66</v>
      </c>
      <c r="D13724" s="9" t="s">
        <v>67</v>
      </c>
      <c r="E13724" s="10" t="s">
        <v>2241</v>
      </c>
      <c r="F13724" s="9" t="s">
        <v>2242</v>
      </c>
      <c r="G13724" s="10" t="s">
        <v>21</v>
      </c>
      <c r="H13724" s="9" t="s">
        <v>22</v>
      </c>
      <c r="I13724" s="9" t="s">
        <v>27948</v>
      </c>
      <c r="J13724" s="10" t="str">
        <f>HYPERLINK("https://www.boe.es/gazeta/dias/1834/03/11/pdfs/GMD-1834-31.pdf#page=3","Abrir facsímil")</f>
        <v>Abrir facsímil</v>
      </c>
      <c r="K13724" s="10" t="s">
        <v>24</v>
      </c>
    </row>
    <row r="13725" spans="1:11" ht="54" customHeight="1">
      <c r="A13725" s="9" t="s">
        <v>27949</v>
      </c>
      <c r="B13725" s="9" t="s">
        <v>27950</v>
      </c>
      <c r="C13725" s="9" t="s">
        <v>17</v>
      </c>
      <c r="D13725" s="9" t="s">
        <v>18</v>
      </c>
      <c r="E13725" s="10" t="s">
        <v>408</v>
      </c>
      <c r="F13725" s="9" t="s">
        <v>409</v>
      </c>
      <c r="G13725" s="10" t="s">
        <v>21</v>
      </c>
      <c r="H13725" s="9" t="s">
        <v>35</v>
      </c>
      <c r="I13725" s="9" t="s">
        <v>27951</v>
      </c>
      <c r="J13725" s="10" t="str">
        <f>HYPERLINK("https://www.boe.es/gazeta/dias/1834/04/28/pdfs/GMD-1834-67.pdf#page=3","Abrir facsímil")</f>
        <v>Abrir facsímil</v>
      </c>
      <c r="K13725" s="10" t="s">
        <v>37</v>
      </c>
    </row>
    <row r="13726" spans="1:11" ht="54" customHeight="1">
      <c r="A13726" s="9" t="s">
        <v>27952</v>
      </c>
      <c r="B13726" s="9" t="s">
        <v>27953</v>
      </c>
      <c r="C13726" s="9" t="s">
        <v>90</v>
      </c>
      <c r="D13726" s="9" t="s">
        <v>18</v>
      </c>
      <c r="E13726" s="10" t="s">
        <v>1839</v>
      </c>
      <c r="F13726" s="9" t="s">
        <v>1840</v>
      </c>
      <c r="G13726" s="10" t="s">
        <v>34</v>
      </c>
      <c r="H13726" s="9" t="s">
        <v>22</v>
      </c>
      <c r="I13726" s="9" t="s">
        <v>27954</v>
      </c>
      <c r="J13726" s="10" t="str">
        <f>HYPERLINK("https://www.boe.es/gazeta/dias/1834/08/12/pdfs/GMD-C-1834-177.pdf#page=1","Abrir facsímil")</f>
        <v>Abrir facsímil</v>
      </c>
      <c r="K13726" s="10" t="s">
        <v>24</v>
      </c>
    </row>
    <row r="13727" spans="1:11" ht="54" customHeight="1">
      <c r="A13727" s="9" t="s">
        <v>27955</v>
      </c>
      <c r="B13727" s="9" t="s">
        <v>27956</v>
      </c>
      <c r="C13727" s="9" t="s">
        <v>17</v>
      </c>
      <c r="D13727" s="9" t="s">
        <v>18</v>
      </c>
      <c r="E13727" s="10" t="s">
        <v>1459</v>
      </c>
      <c r="F13727" s="9" t="s">
        <v>1460</v>
      </c>
      <c r="G13727" s="10" t="s">
        <v>86</v>
      </c>
      <c r="H13727" s="9" t="s">
        <v>22</v>
      </c>
      <c r="I13727" s="9" t="s">
        <v>27957</v>
      </c>
      <c r="J13727" s="10" t="str">
        <f>HYPERLINK("https://www.boe.es/gazeta/dias/1834/08/18/pdfs/GMD-1834-184.pdf#page=2","Abrir facsímil")</f>
        <v>Abrir facsímil</v>
      </c>
      <c r="K13727" s="10" t="s">
        <v>24</v>
      </c>
    </row>
    <row r="13728" spans="1:11" ht="54" customHeight="1">
      <c r="A13728" s="9" t="s">
        <v>27958</v>
      </c>
      <c r="B13728" s="9" t="s">
        <v>27958</v>
      </c>
      <c r="C13728" s="9" t="s">
        <v>17</v>
      </c>
      <c r="D13728" s="9" t="s">
        <v>40</v>
      </c>
      <c r="E13728" s="10" t="s">
        <v>1597</v>
      </c>
      <c r="F13728" s="9" t="s">
        <v>1598</v>
      </c>
      <c r="G13728" s="10" t="s">
        <v>75</v>
      </c>
      <c r="H13728" s="9" t="s">
        <v>22</v>
      </c>
      <c r="I13728" s="9" t="s">
        <v>27959</v>
      </c>
      <c r="J13728" s="10" t="str">
        <f>HYPERLINK("https://www.boe.es/gazeta/dias/1834/10/03/pdfs/GMD-1834-231.pdf#page=4","Abrir facsímil")</f>
        <v>Abrir facsímil</v>
      </c>
      <c r="K13728" s="10" t="s">
        <v>24</v>
      </c>
    </row>
    <row r="13729" spans="1:11" ht="54" customHeight="1">
      <c r="A13729" s="9" t="s">
        <v>27958</v>
      </c>
      <c r="B13729" s="9" t="s">
        <v>27958</v>
      </c>
      <c r="C13729" s="9" t="s">
        <v>17</v>
      </c>
      <c r="D13729" s="9" t="s">
        <v>55</v>
      </c>
      <c r="E13729" s="10" t="s">
        <v>1708</v>
      </c>
      <c r="F13729" s="9" t="s">
        <v>1709</v>
      </c>
      <c r="G13729" s="10" t="s">
        <v>28</v>
      </c>
      <c r="H13729" s="9" t="s">
        <v>22</v>
      </c>
      <c r="I13729" s="9" t="s">
        <v>27960</v>
      </c>
      <c r="J13729" s="10" t="str">
        <f>HYPERLINK("https://www.boe.es/gazeta/dias/1834/04/12/pdfs/GMD-1834-51.pdf#page=5","Abrir facsímil")</f>
        <v>Abrir facsímil</v>
      </c>
      <c r="K13729" s="10" t="s">
        <v>24</v>
      </c>
    </row>
    <row r="13730" spans="1:11" ht="54" customHeight="1">
      <c r="A13730" s="9" t="s">
        <v>27961</v>
      </c>
      <c r="B13730" s="9" t="s">
        <v>27962</v>
      </c>
      <c r="C13730" s="9" t="s">
        <v>17</v>
      </c>
      <c r="D13730" s="9" t="s">
        <v>18</v>
      </c>
      <c r="E13730" s="10" t="s">
        <v>808</v>
      </c>
      <c r="F13730" s="9" t="s">
        <v>809</v>
      </c>
      <c r="G13730" s="10" t="s">
        <v>75</v>
      </c>
      <c r="H13730" s="9" t="s">
        <v>22</v>
      </c>
      <c r="I13730" s="9" t="s">
        <v>27963</v>
      </c>
      <c r="J13730" s="10" t="str">
        <f>HYPERLINK("https://www.boe.es/gazeta/dias/1834/10/11/pdfs/GMD-1834-239.pdf#page=4","Abrir facsímil")</f>
        <v>Abrir facsímil</v>
      </c>
      <c r="K13730" s="10" t="s">
        <v>24</v>
      </c>
    </row>
    <row r="13731" spans="1:11" ht="54" customHeight="1">
      <c r="A13731" s="9" t="s">
        <v>27964</v>
      </c>
      <c r="B13731" s="9" t="s">
        <v>27965</v>
      </c>
      <c r="C13731" s="9" t="s">
        <v>17</v>
      </c>
      <c r="D13731" s="9" t="s">
        <v>18</v>
      </c>
      <c r="E13731" s="10" t="s">
        <v>808</v>
      </c>
      <c r="F13731" s="9" t="s">
        <v>809</v>
      </c>
      <c r="G13731" s="10" t="s">
        <v>75</v>
      </c>
      <c r="H13731" s="9" t="s">
        <v>35</v>
      </c>
      <c r="I13731" s="9" t="s">
        <v>27966</v>
      </c>
      <c r="J13731" s="10" t="str">
        <f>HYPERLINK("https://www.boe.es/gazeta/dias/1834/10/11/pdfs/GMD-1834-239.pdf#page=4","Abrir facsímil")</f>
        <v>Abrir facsímil</v>
      </c>
      <c r="K13731" s="10" t="s">
        <v>37</v>
      </c>
    </row>
    <row r="13732" spans="1:11" ht="54" customHeight="1">
      <c r="A13732" s="9" t="s">
        <v>27967</v>
      </c>
      <c r="B13732" s="9" t="s">
        <v>27967</v>
      </c>
      <c r="C13732" s="9" t="s">
        <v>122</v>
      </c>
      <c r="D13732" s="9" t="s">
        <v>101</v>
      </c>
      <c r="E13732" s="10" t="s">
        <v>1742</v>
      </c>
      <c r="F13732" s="9" t="s">
        <v>1743</v>
      </c>
      <c r="G13732" s="10" t="s">
        <v>75</v>
      </c>
      <c r="H13732" s="9" t="s">
        <v>22</v>
      </c>
      <c r="I13732" s="9" t="s">
        <v>27968</v>
      </c>
      <c r="J13732" s="10" t="str">
        <f>HYPERLINK("https://www.boe.es/gazeta/dias/1834/11/06/pdfs/GMD-1834-265.pdf#page=4","Abrir facsímil")</f>
        <v>Abrir facsímil</v>
      </c>
      <c r="K13732" s="10" t="s">
        <v>24</v>
      </c>
    </row>
    <row r="13733" spans="1:11" ht="54" customHeight="1">
      <c r="A13733" s="9" t="s">
        <v>27967</v>
      </c>
      <c r="B13733" s="9" t="s">
        <v>27967</v>
      </c>
      <c r="C13733" s="9" t="s">
        <v>66</v>
      </c>
      <c r="D13733" s="9" t="s">
        <v>67</v>
      </c>
      <c r="E13733" s="10" t="s">
        <v>299</v>
      </c>
      <c r="F13733" s="9" t="s">
        <v>300</v>
      </c>
      <c r="G13733" s="10" t="s">
        <v>75</v>
      </c>
      <c r="H13733" s="9" t="s">
        <v>22</v>
      </c>
      <c r="I13733" s="9" t="s">
        <v>27969</v>
      </c>
      <c r="J13733" s="10" t="str">
        <f>HYPERLINK("https://www.boe.es/gazeta/dias/1834/12/12/pdfs/GMD-1834-301.pdf#page=4","Abrir facsímil")</f>
        <v>Abrir facsímil</v>
      </c>
      <c r="K13733" s="10" t="s">
        <v>24</v>
      </c>
    </row>
    <row r="13734" spans="1:11" ht="54" customHeight="1">
      <c r="A13734" s="9" t="s">
        <v>27967</v>
      </c>
      <c r="B13734" s="9" t="s">
        <v>27967</v>
      </c>
      <c r="C13734" s="9" t="s">
        <v>17</v>
      </c>
      <c r="D13734" s="9" t="s">
        <v>101</v>
      </c>
      <c r="E13734" s="10" t="s">
        <v>5904</v>
      </c>
      <c r="F13734" s="9" t="s">
        <v>5905</v>
      </c>
      <c r="G13734" s="10" t="s">
        <v>21</v>
      </c>
      <c r="H13734" s="9" t="s">
        <v>22</v>
      </c>
      <c r="I13734" s="9" t="s">
        <v>27970</v>
      </c>
      <c r="J13734" s="10" t="str">
        <f>HYPERLINK("https://www.boe.es/gazeta/dias/1834/09/29/pdfs/GMD-1834-227.pdf#page=3","Abrir facsímil")</f>
        <v>Abrir facsímil</v>
      </c>
      <c r="K13734" s="10" t="s">
        <v>24</v>
      </c>
    </row>
    <row r="13735" spans="1:11" ht="54" customHeight="1">
      <c r="A13735" s="9" t="s">
        <v>27971</v>
      </c>
      <c r="B13735" s="9" t="s">
        <v>27972</v>
      </c>
      <c r="C13735" s="9" t="s">
        <v>66</v>
      </c>
      <c r="D13735" s="9" t="s">
        <v>67</v>
      </c>
      <c r="E13735" s="10" t="s">
        <v>1119</v>
      </c>
      <c r="F13735" s="9" t="s">
        <v>1120</v>
      </c>
      <c r="G13735" s="10" t="s">
        <v>21</v>
      </c>
      <c r="H13735" s="9" t="s">
        <v>22</v>
      </c>
      <c r="I13735" s="9" t="s">
        <v>27973</v>
      </c>
      <c r="J13735" s="10" t="str">
        <f>HYPERLINK("https://www.boe.es/gazeta/dias/1834/07/17/pdfs/GMD-1834-150.pdf#page=3","Abrir facsímil")</f>
        <v>Abrir facsímil</v>
      </c>
      <c r="K13735" s="10" t="s">
        <v>24</v>
      </c>
    </row>
    <row r="13736" spans="1:11" ht="54" customHeight="1">
      <c r="A13736" s="9" t="s">
        <v>27974</v>
      </c>
      <c r="B13736" s="9" t="s">
        <v>27974</v>
      </c>
      <c r="C13736" s="9" t="s">
        <v>17</v>
      </c>
      <c r="D13736" s="9" t="s">
        <v>18</v>
      </c>
      <c r="E13736" s="10" t="s">
        <v>1103</v>
      </c>
      <c r="F13736" s="9" t="s">
        <v>1259</v>
      </c>
      <c r="G13736" s="10" t="s">
        <v>21</v>
      </c>
      <c r="H13736" s="9" t="s">
        <v>22</v>
      </c>
      <c r="I13736" s="9" t="s">
        <v>27975</v>
      </c>
      <c r="J13736" s="10" t="str">
        <f>HYPERLINK("https://www.boe.es/gazeta/dias/1834/10/10/pdfs/GMD-1834-238.pdf#page=3","Abrir facsímil")</f>
        <v>Abrir facsímil</v>
      </c>
      <c r="K13736" s="10" t="s">
        <v>24</v>
      </c>
    </row>
    <row r="13737" spans="1:11" ht="54" customHeight="1">
      <c r="A13737" s="9" t="s">
        <v>27976</v>
      </c>
      <c r="B13737" s="9" t="s">
        <v>27976</v>
      </c>
      <c r="C13737" s="9" t="s">
        <v>66</v>
      </c>
      <c r="D13737" s="9" t="s">
        <v>67</v>
      </c>
      <c r="E13737" s="10" t="s">
        <v>1273</v>
      </c>
      <c r="F13737" s="9" t="s">
        <v>1274</v>
      </c>
      <c r="G13737" s="10" t="s">
        <v>21</v>
      </c>
      <c r="H13737" s="9" t="s">
        <v>22</v>
      </c>
      <c r="I13737" s="9" t="s">
        <v>27977</v>
      </c>
      <c r="J13737" s="10" t="str">
        <f>HYPERLINK("https://www.boe.es/gazeta/dias/1834/05/14/pdfs/GMD-1834-83.pdf#page=3","Abrir facsímil")</f>
        <v>Abrir facsímil</v>
      </c>
      <c r="K13737" s="10" t="s">
        <v>24</v>
      </c>
    </row>
    <row r="13738" spans="1:11" ht="54" customHeight="1">
      <c r="A13738" s="9" t="s">
        <v>27976</v>
      </c>
      <c r="B13738" s="9" t="s">
        <v>27976</v>
      </c>
      <c r="C13738" s="9" t="s">
        <v>17</v>
      </c>
      <c r="D13738" s="9" t="s">
        <v>18</v>
      </c>
      <c r="E13738" s="10" t="s">
        <v>1195</v>
      </c>
      <c r="F13738" s="9" t="s">
        <v>1916</v>
      </c>
      <c r="G13738" s="10" t="s">
        <v>21</v>
      </c>
      <c r="H13738" s="9" t="s">
        <v>22</v>
      </c>
      <c r="I13738" s="9" t="s">
        <v>27978</v>
      </c>
      <c r="J13738" s="10" t="str">
        <f>HYPERLINK("https://www.boe.es/gazeta/dias/1834/10/17/pdfs/GMD-1834-245.pdf#page=3","Abrir facsímil")</f>
        <v>Abrir facsímil</v>
      </c>
      <c r="K13738" s="10" t="s">
        <v>24</v>
      </c>
    </row>
    <row r="13739" spans="1:11" ht="54" customHeight="1">
      <c r="A13739" s="9" t="s">
        <v>27979</v>
      </c>
      <c r="B13739" s="9" t="s">
        <v>27979</v>
      </c>
      <c r="C13739" s="9" t="s">
        <v>17</v>
      </c>
      <c r="D13739" s="9" t="s">
        <v>18</v>
      </c>
      <c r="E13739" s="10" t="s">
        <v>268</v>
      </c>
      <c r="F13739" s="9" t="s">
        <v>269</v>
      </c>
      <c r="G13739" s="10" t="s">
        <v>75</v>
      </c>
      <c r="H13739" s="9" t="s">
        <v>22</v>
      </c>
      <c r="I13739" s="9" t="s">
        <v>27980</v>
      </c>
      <c r="J13739" s="10" t="str">
        <f>HYPERLINK("https://www.boe.es/gazeta/dias/1834/12/19/pdfs/GMD-C-1834-309.pdf#page=4","Abrir facsímil")</f>
        <v>Abrir facsímil</v>
      </c>
      <c r="K13739" s="10" t="s">
        <v>24</v>
      </c>
    </row>
    <row r="13740" spans="1:11" ht="54" customHeight="1">
      <c r="A13740" s="9" t="s">
        <v>27981</v>
      </c>
      <c r="B13740" s="9" t="s">
        <v>27982</v>
      </c>
      <c r="C13740" s="9" t="s">
        <v>17</v>
      </c>
      <c r="D13740" s="9" t="s">
        <v>40</v>
      </c>
      <c r="E13740" s="10" t="s">
        <v>541</v>
      </c>
      <c r="F13740" s="9" t="s">
        <v>542</v>
      </c>
      <c r="G13740" s="10" t="s">
        <v>34</v>
      </c>
      <c r="H13740" s="9" t="s">
        <v>22</v>
      </c>
      <c r="I13740" s="9" t="s">
        <v>27983</v>
      </c>
      <c r="J13740" s="10" t="str">
        <f>HYPERLINK("https://www.boe.es/gazeta/dias/1834/04/18/pdfs/GMD-1834-57.pdf#page=1","Abrir facsímil")</f>
        <v>Abrir facsímil</v>
      </c>
      <c r="K13740" s="10" t="s">
        <v>24</v>
      </c>
    </row>
    <row r="13741" spans="1:11" ht="54" customHeight="1">
      <c r="A13741" s="9" t="s">
        <v>27984</v>
      </c>
      <c r="B13741" s="9" t="s">
        <v>27985</v>
      </c>
      <c r="C13741" s="9" t="s">
        <v>90</v>
      </c>
      <c r="D13741" s="9" t="s">
        <v>67</v>
      </c>
      <c r="E13741" s="10" t="s">
        <v>833</v>
      </c>
      <c r="F13741" s="9" t="s">
        <v>834</v>
      </c>
      <c r="G13741" s="10" t="s">
        <v>75</v>
      </c>
      <c r="H13741" s="9" t="s">
        <v>22</v>
      </c>
      <c r="I13741" s="9" t="s">
        <v>27986</v>
      </c>
      <c r="J13741" s="10" t="str">
        <f>HYPERLINK("https://www.boe.es/gazeta/dias/1834/04/24/pdfs/GMD-1834-63.pdf#page=4","Abrir facsímil")</f>
        <v>Abrir facsímil</v>
      </c>
      <c r="K13741" s="10" t="s">
        <v>24</v>
      </c>
    </row>
    <row r="13742" spans="1:11" ht="54" customHeight="1">
      <c r="A13742" s="9" t="s">
        <v>27987</v>
      </c>
      <c r="B13742" s="9" t="s">
        <v>27988</v>
      </c>
      <c r="C13742" s="9" t="s">
        <v>17</v>
      </c>
      <c r="D13742" s="9" t="s">
        <v>18</v>
      </c>
      <c r="E13742" s="10" t="s">
        <v>375</v>
      </c>
      <c r="F13742" s="9" t="s">
        <v>376</v>
      </c>
      <c r="G13742" s="10" t="s">
        <v>34</v>
      </c>
      <c r="H13742" s="9" t="s">
        <v>22</v>
      </c>
      <c r="I13742" s="9" t="s">
        <v>27989</v>
      </c>
      <c r="J13742" s="10" t="str">
        <f>HYPERLINK("https://www.boe.es/gazeta/dias/1834/08/21/pdfs/GMD-1834-187.pdf#page=1","Abrir facsímil")</f>
        <v>Abrir facsímil</v>
      </c>
      <c r="K13742" s="10" t="s">
        <v>24</v>
      </c>
    </row>
    <row r="13743" spans="1:11" ht="54" customHeight="1">
      <c r="A13743" s="9" t="s">
        <v>27990</v>
      </c>
      <c r="B13743" s="9" t="s">
        <v>27991</v>
      </c>
      <c r="C13743" s="9" t="s">
        <v>17</v>
      </c>
      <c r="D13743" s="9" t="s">
        <v>18</v>
      </c>
      <c r="E13743" s="10" t="s">
        <v>492</v>
      </c>
      <c r="F13743" s="9" t="s">
        <v>493</v>
      </c>
      <c r="G13743" s="10" t="s">
        <v>176</v>
      </c>
      <c r="H13743" s="9" t="s">
        <v>22</v>
      </c>
      <c r="I13743" s="9" t="s">
        <v>27992</v>
      </c>
      <c r="J13743" s="10" t="str">
        <f>HYPERLINK("https://www.boe.es/gazeta/dias/1834/11/21/pdfs/GMD-C-1834-280.pdf#page=6","Abrir facsímil")</f>
        <v>Abrir facsímil</v>
      </c>
      <c r="K13743" s="10" t="s">
        <v>24</v>
      </c>
    </row>
    <row r="13744" spans="1:11" ht="54" customHeight="1">
      <c r="A13744" s="9" t="s">
        <v>27993</v>
      </c>
      <c r="B13744" s="9" t="s">
        <v>27993</v>
      </c>
      <c r="C13744" s="9" t="s">
        <v>90</v>
      </c>
      <c r="D13744" s="9" t="s">
        <v>67</v>
      </c>
      <c r="E13744" s="10" t="s">
        <v>2107</v>
      </c>
      <c r="F13744" s="9" t="s">
        <v>2108</v>
      </c>
      <c r="G13744" s="10" t="s">
        <v>21</v>
      </c>
      <c r="H13744" s="9" t="s">
        <v>22</v>
      </c>
      <c r="I13744" s="9" t="s">
        <v>27994</v>
      </c>
      <c r="J13744" s="10" t="str">
        <f>HYPERLINK("https://www.boe.es/gazeta/dias/1834/08/24/pdfs/GMD-1834-190.pdf#page=3","Abrir facsímil")</f>
        <v>Abrir facsímil</v>
      </c>
      <c r="K13744" s="10" t="s">
        <v>24</v>
      </c>
    </row>
    <row r="13745" spans="1:11" ht="54" customHeight="1">
      <c r="A13745" s="9" t="s">
        <v>27995</v>
      </c>
      <c r="B13745" s="9" t="s">
        <v>27995</v>
      </c>
      <c r="C13745" s="9" t="s">
        <v>17</v>
      </c>
      <c r="D13745" s="9" t="s">
        <v>18</v>
      </c>
      <c r="E13745" s="10" t="s">
        <v>1337</v>
      </c>
      <c r="F13745" s="9" t="s">
        <v>1338</v>
      </c>
      <c r="G13745" s="10" t="s">
        <v>34</v>
      </c>
      <c r="H13745" s="9" t="s">
        <v>22</v>
      </c>
      <c r="I13745" s="9" t="s">
        <v>27996</v>
      </c>
      <c r="J13745" s="10" t="str">
        <f>HYPERLINK("https://www.boe.es/gazeta/dias/1834/01/02/pdfs/GMD-1834-1.pdf#page=1","Abrir facsímil")</f>
        <v>Abrir facsímil</v>
      </c>
      <c r="K13745" s="10" t="s">
        <v>24</v>
      </c>
    </row>
    <row r="13746" spans="1:11" ht="54" customHeight="1">
      <c r="A13746" s="9" t="s">
        <v>27997</v>
      </c>
      <c r="B13746" s="9" t="s">
        <v>27997</v>
      </c>
      <c r="C13746" s="9" t="s">
        <v>17</v>
      </c>
      <c r="D13746" s="9" t="s">
        <v>18</v>
      </c>
      <c r="E13746" s="10" t="s">
        <v>860</v>
      </c>
      <c r="F13746" s="9" t="s">
        <v>861</v>
      </c>
      <c r="G13746" s="10" t="s">
        <v>176</v>
      </c>
      <c r="H13746" s="9" t="s">
        <v>22</v>
      </c>
      <c r="I13746" s="9" t="s">
        <v>27998</v>
      </c>
      <c r="J13746" s="10" t="str">
        <f>HYPERLINK("https://www.boe.es/gazeta/dias/1834/02/08/pdfs/GMD-1834-18.pdf#page=6","Abrir facsímil")</f>
        <v>Abrir facsímil</v>
      </c>
      <c r="K13746" s="10" t="s">
        <v>24</v>
      </c>
    </row>
    <row r="13747" spans="1:11" ht="54" customHeight="1">
      <c r="A13747" s="9" t="s">
        <v>27999</v>
      </c>
      <c r="B13747" s="9" t="s">
        <v>28000</v>
      </c>
      <c r="C13747" s="9" t="s">
        <v>17</v>
      </c>
      <c r="D13747" s="9" t="s">
        <v>18</v>
      </c>
      <c r="E13747" s="10" t="s">
        <v>860</v>
      </c>
      <c r="F13747" s="9" t="s">
        <v>861</v>
      </c>
      <c r="G13747" s="10" t="s">
        <v>176</v>
      </c>
      <c r="H13747" s="9" t="s">
        <v>22</v>
      </c>
      <c r="I13747" s="9" t="s">
        <v>28001</v>
      </c>
      <c r="J13747" s="10" t="str">
        <f>HYPERLINK("https://www.boe.es/gazeta/dias/1834/02/08/pdfs/GMD-1834-18.pdf#page=6","Abrir facsímil")</f>
        <v>Abrir facsímil</v>
      </c>
      <c r="K13747" s="10" t="s">
        <v>24</v>
      </c>
    </row>
    <row r="13748" spans="1:11" ht="54" customHeight="1">
      <c r="A13748" s="9" t="s">
        <v>27999</v>
      </c>
      <c r="B13748" s="9" t="s">
        <v>28000</v>
      </c>
      <c r="C13748" s="9" t="s">
        <v>66</v>
      </c>
      <c r="D13748" s="9" t="s">
        <v>67</v>
      </c>
      <c r="E13748" s="10" t="s">
        <v>32</v>
      </c>
      <c r="F13748" s="9" t="s">
        <v>33</v>
      </c>
      <c r="G13748" s="10" t="s">
        <v>28</v>
      </c>
      <c r="H13748" s="9" t="s">
        <v>22</v>
      </c>
      <c r="I13748" s="9" t="s">
        <v>28002</v>
      </c>
      <c r="J13748" s="10" t="str">
        <f>HYPERLINK("https://www.boe.es/gazeta/dias/1834/04/23/pdfs/GMD-1834-62.pdf#page=5","Abrir facsímil")</f>
        <v>Abrir facsímil</v>
      </c>
      <c r="K13748" s="10" t="s">
        <v>24</v>
      </c>
    </row>
    <row r="13749" spans="1:11" ht="54" customHeight="1">
      <c r="A13749" s="9" t="s">
        <v>28003</v>
      </c>
      <c r="B13749" s="9" t="s">
        <v>28004</v>
      </c>
      <c r="C13749" s="9" t="s">
        <v>17</v>
      </c>
      <c r="D13749" s="9" t="s">
        <v>18</v>
      </c>
      <c r="E13749" s="10" t="s">
        <v>1234</v>
      </c>
      <c r="F13749" s="9" t="s">
        <v>1455</v>
      </c>
      <c r="G13749" s="10" t="s">
        <v>75</v>
      </c>
      <c r="H13749" s="9" t="s">
        <v>22</v>
      </c>
      <c r="I13749" s="9" t="s">
        <v>28005</v>
      </c>
      <c r="J13749" s="10" t="str">
        <f>HYPERLINK("https://www.boe.es/gazeta/dias/1834/05/15/pdfs/GMD-1834-84.pdf#page=4","Abrir facsímil")</f>
        <v>Abrir facsímil</v>
      </c>
      <c r="K13749" s="10" t="s">
        <v>24</v>
      </c>
    </row>
    <row r="13750" spans="1:11" ht="54" customHeight="1">
      <c r="A13750" s="9" t="s">
        <v>28006</v>
      </c>
      <c r="B13750" s="9" t="s">
        <v>28006</v>
      </c>
      <c r="C13750" s="9" t="s">
        <v>90</v>
      </c>
      <c r="D13750" s="9" t="s">
        <v>67</v>
      </c>
      <c r="E13750" s="10" t="s">
        <v>19</v>
      </c>
      <c r="F13750" s="9" t="s">
        <v>20</v>
      </c>
      <c r="G13750" s="10" t="s">
        <v>34</v>
      </c>
      <c r="H13750" s="9" t="s">
        <v>22</v>
      </c>
      <c r="I13750" s="9" t="s">
        <v>28007</v>
      </c>
      <c r="J13750" s="10" t="str">
        <f>HYPERLINK("https://www.boe.es/gazeta/dias/1834/08/17/pdfs/GMD-C-1834-182.pdf#page=1","Abrir facsímil")</f>
        <v>Abrir facsímil</v>
      </c>
      <c r="K13750" s="10" t="s">
        <v>24</v>
      </c>
    </row>
    <row r="13751" spans="1:11" ht="54" customHeight="1">
      <c r="A13751" s="9" t="s">
        <v>28008</v>
      </c>
      <c r="B13751" s="9" t="s">
        <v>28009</v>
      </c>
      <c r="C13751" s="9" t="s">
        <v>90</v>
      </c>
      <c r="D13751" s="9" t="s">
        <v>67</v>
      </c>
      <c r="E13751" s="10" t="s">
        <v>19</v>
      </c>
      <c r="F13751" s="9" t="s">
        <v>20</v>
      </c>
      <c r="G13751" s="10" t="s">
        <v>34</v>
      </c>
      <c r="H13751" s="9" t="s">
        <v>35</v>
      </c>
      <c r="I13751" s="9" t="s">
        <v>28010</v>
      </c>
      <c r="J13751" s="10" t="str">
        <f>HYPERLINK("https://www.boe.es/gazeta/dias/1834/08/17/pdfs/GMD-C-1834-182.pdf#page=1","Abrir facsímil")</f>
        <v>Abrir facsímil</v>
      </c>
      <c r="K13751" s="10" t="s">
        <v>37</v>
      </c>
    </row>
    <row r="13752" spans="1:11" ht="54" customHeight="1">
      <c r="A13752" s="9" t="s">
        <v>28011</v>
      </c>
      <c r="B13752" s="9" t="s">
        <v>28011</v>
      </c>
      <c r="C13752" s="9" t="s">
        <v>66</v>
      </c>
      <c r="D13752" s="9" t="s">
        <v>67</v>
      </c>
      <c r="E13752" s="10" t="s">
        <v>863</v>
      </c>
      <c r="F13752" s="9" t="s">
        <v>864</v>
      </c>
      <c r="G13752" s="10" t="s">
        <v>21</v>
      </c>
      <c r="H13752" s="9" t="s">
        <v>22</v>
      </c>
      <c r="I13752" s="9" t="s">
        <v>28012</v>
      </c>
      <c r="J13752" s="10" t="str">
        <f>HYPERLINK("https://www.boe.es/gazeta/dias/1834/09/15/pdfs/GMD-1834-213.pdf#page=3","Abrir facsímil")</f>
        <v>Abrir facsímil</v>
      </c>
      <c r="K13752" s="10" t="s">
        <v>24</v>
      </c>
    </row>
    <row r="13753" spans="1:11" ht="54" customHeight="1">
      <c r="A13753" s="9" t="s">
        <v>28011</v>
      </c>
      <c r="B13753" s="9" t="s">
        <v>28011</v>
      </c>
      <c r="C13753" s="9" t="s">
        <v>17</v>
      </c>
      <c r="D13753" s="9" t="s">
        <v>18</v>
      </c>
      <c r="E13753" s="10" t="s">
        <v>3036</v>
      </c>
      <c r="F13753" s="9" t="s">
        <v>3372</v>
      </c>
      <c r="G13753" s="10" t="s">
        <v>75</v>
      </c>
      <c r="H13753" s="9" t="s">
        <v>22</v>
      </c>
      <c r="I13753" s="9" t="s">
        <v>28013</v>
      </c>
      <c r="J13753" s="10" t="str">
        <f>HYPERLINK("https://www.boe.es/gazeta/dias/1834/11/18/pdfs/GMD-1834-277.pdf#page=4","Abrir facsímil")</f>
        <v>Abrir facsímil</v>
      </c>
      <c r="K13753" s="10" t="s">
        <v>24</v>
      </c>
    </row>
    <row r="13754" spans="1:11" ht="54" customHeight="1">
      <c r="A13754" s="9" t="s">
        <v>28011</v>
      </c>
      <c r="B13754" s="9" t="s">
        <v>28011</v>
      </c>
      <c r="C13754" s="9" t="s">
        <v>66</v>
      </c>
      <c r="D13754" s="9" t="s">
        <v>67</v>
      </c>
      <c r="E13754" s="10" t="s">
        <v>2142</v>
      </c>
      <c r="F13754" s="9" t="s">
        <v>2143</v>
      </c>
      <c r="G13754" s="10" t="s">
        <v>21</v>
      </c>
      <c r="H13754" s="9" t="s">
        <v>22</v>
      </c>
      <c r="I13754" s="9" t="s">
        <v>28014</v>
      </c>
      <c r="J13754" s="10" t="str">
        <f>HYPERLINK("https://www.boe.es/gazeta/dias/1834/12/27/pdfs/GMD-1834-317.pdf#page=3","Abrir facsímil")</f>
        <v>Abrir facsímil</v>
      </c>
      <c r="K13754" s="10" t="s">
        <v>24</v>
      </c>
    </row>
    <row r="13755" spans="1:11" ht="54" customHeight="1">
      <c r="A13755" s="9" t="s">
        <v>28015</v>
      </c>
      <c r="B13755" s="9" t="s">
        <v>28016</v>
      </c>
      <c r="C13755" s="9" t="s">
        <v>66</v>
      </c>
      <c r="D13755" s="9" t="s">
        <v>67</v>
      </c>
      <c r="E13755" s="10" t="s">
        <v>2142</v>
      </c>
      <c r="F13755" s="9" t="s">
        <v>2143</v>
      </c>
      <c r="G13755" s="10" t="s">
        <v>21</v>
      </c>
      <c r="H13755" s="9" t="s">
        <v>35</v>
      </c>
      <c r="I13755" s="9" t="s">
        <v>28017</v>
      </c>
      <c r="J13755" s="10" t="str">
        <f>HYPERLINK("https://www.boe.es/gazeta/dias/1834/12/27/pdfs/GMD-1834-317.pdf#page=3","Abrir facsímil")</f>
        <v>Abrir facsímil</v>
      </c>
      <c r="K13755" s="10" t="s">
        <v>37</v>
      </c>
    </row>
    <row r="13756" spans="1:11" ht="54" customHeight="1">
      <c r="A13756" s="9" t="s">
        <v>28018</v>
      </c>
      <c r="B13756" s="9" t="s">
        <v>28019</v>
      </c>
      <c r="C13756" s="9" t="s">
        <v>66</v>
      </c>
      <c r="D13756" s="9" t="s">
        <v>67</v>
      </c>
      <c r="E13756" s="10" t="s">
        <v>2459</v>
      </c>
      <c r="F13756" s="9" t="s">
        <v>2460</v>
      </c>
      <c r="G13756" s="10" t="s">
        <v>75</v>
      </c>
      <c r="H13756" s="9" t="s">
        <v>22</v>
      </c>
      <c r="I13756" s="9" t="s">
        <v>28020</v>
      </c>
      <c r="J13756" s="10" t="str">
        <f>HYPERLINK("https://www.boe.es/gazeta/dias/1834/04/04/pdfs/GMD-1834-43.pdf#page=4","Abrir facsímil")</f>
        <v>Abrir facsímil</v>
      </c>
      <c r="K13756" s="10" t="s">
        <v>24</v>
      </c>
    </row>
    <row r="13757" spans="1:11" ht="54" customHeight="1">
      <c r="A13757" s="9" t="s">
        <v>28018</v>
      </c>
      <c r="B13757" s="9" t="s">
        <v>28019</v>
      </c>
      <c r="C13757" s="9" t="s">
        <v>17</v>
      </c>
      <c r="D13757" s="9" t="s">
        <v>18</v>
      </c>
      <c r="E13757" s="10" t="s">
        <v>1572</v>
      </c>
      <c r="F13757" s="9" t="s">
        <v>1573</v>
      </c>
      <c r="G13757" s="10" t="s">
        <v>28</v>
      </c>
      <c r="H13757" s="9" t="s">
        <v>22</v>
      </c>
      <c r="I13757" s="9" t="s">
        <v>28021</v>
      </c>
      <c r="J13757" s="10" t="str">
        <f>HYPERLINK("https://www.boe.es/gazeta/dias/1834/03/20/pdfs/GMD-1834-35.pdf#page=5","Abrir facsímil")</f>
        <v>Abrir facsímil</v>
      </c>
      <c r="K13757" s="10" t="s">
        <v>24</v>
      </c>
    </row>
    <row r="13758" spans="1:11" ht="54" customHeight="1">
      <c r="A13758" s="9" t="s">
        <v>28022</v>
      </c>
      <c r="B13758" s="9" t="s">
        <v>28022</v>
      </c>
      <c r="C13758" s="9" t="s">
        <v>17</v>
      </c>
      <c r="D13758" s="9" t="s">
        <v>55</v>
      </c>
      <c r="E13758" s="10" t="s">
        <v>1103</v>
      </c>
      <c r="F13758" s="9" t="s">
        <v>1259</v>
      </c>
      <c r="G13758" s="10" t="s">
        <v>34</v>
      </c>
      <c r="H13758" s="9" t="s">
        <v>22</v>
      </c>
      <c r="I13758" s="9" t="s">
        <v>28023</v>
      </c>
      <c r="J13758" s="10" t="str">
        <f>HYPERLINK("https://www.boe.es/gazeta/dias/1834/10/10/pdfs/GMD-1834-238.pdf#page=1","Abrir facsímil")</f>
        <v>Abrir facsímil</v>
      </c>
      <c r="K13758" s="10" t="s">
        <v>24</v>
      </c>
    </row>
    <row r="13759" spans="1:11" ht="54" customHeight="1">
      <c r="A13759" s="9" t="s">
        <v>28022</v>
      </c>
      <c r="B13759" s="9" t="s">
        <v>28022</v>
      </c>
      <c r="C13759" s="9" t="s">
        <v>17</v>
      </c>
      <c r="D13759" s="9" t="s">
        <v>40</v>
      </c>
      <c r="E13759" s="10" t="s">
        <v>883</v>
      </c>
      <c r="F13759" s="9" t="s">
        <v>3449</v>
      </c>
      <c r="G13759" s="10" t="s">
        <v>21</v>
      </c>
      <c r="H13759" s="9" t="s">
        <v>22</v>
      </c>
      <c r="I13759" s="9" t="s">
        <v>28024</v>
      </c>
      <c r="J13759" s="10" t="str">
        <f>HYPERLINK("https://www.boe.es/gazeta/dias/1834/11/16/pdfs/GMD-1834-275.pdf#page=3","Abrir facsímil")</f>
        <v>Abrir facsímil</v>
      </c>
      <c r="K13759" s="10" t="s">
        <v>24</v>
      </c>
    </row>
    <row r="13760" spans="1:11" ht="54" customHeight="1">
      <c r="A13760" s="9" t="s">
        <v>28025</v>
      </c>
      <c r="B13760" s="9" t="s">
        <v>28025</v>
      </c>
      <c r="C13760" s="9" t="s">
        <v>90</v>
      </c>
      <c r="D13760" s="9" t="s">
        <v>55</v>
      </c>
      <c r="E13760" s="10" t="s">
        <v>1340</v>
      </c>
      <c r="F13760" s="9" t="s">
        <v>3300</v>
      </c>
      <c r="G13760" s="10" t="s">
        <v>86</v>
      </c>
      <c r="H13760" s="9" t="s">
        <v>22</v>
      </c>
      <c r="I13760" s="9" t="s">
        <v>28026</v>
      </c>
      <c r="J13760" s="10" t="str">
        <f>HYPERLINK("https://www.boe.es/gazeta/dias/1834/10/05/pdfs/GMD-1834-233.pdf#page=2","Abrir facsímil")</f>
        <v>Abrir facsímil</v>
      </c>
      <c r="K13760" s="10" t="s">
        <v>24</v>
      </c>
    </row>
    <row r="13761" spans="1:11" ht="54" customHeight="1">
      <c r="A13761" s="9" t="s">
        <v>28027</v>
      </c>
      <c r="B13761" s="9" t="s">
        <v>28027</v>
      </c>
      <c r="C13761" s="9" t="s">
        <v>17</v>
      </c>
      <c r="D13761" s="9" t="s">
        <v>55</v>
      </c>
      <c r="E13761" s="10" t="s">
        <v>3488</v>
      </c>
      <c r="F13761" s="9" t="s">
        <v>3489</v>
      </c>
      <c r="G13761" s="10" t="s">
        <v>86</v>
      </c>
      <c r="H13761" s="9" t="s">
        <v>22</v>
      </c>
      <c r="I13761" s="9" t="s">
        <v>28028</v>
      </c>
      <c r="J13761" s="10" t="str">
        <f>HYPERLINK("https://www.boe.es/gazeta/dias/1834/06/22/pdfs/GMD-1834-125.pdf#page=2","Abrir facsímil")</f>
        <v>Abrir facsímil</v>
      </c>
      <c r="K13761" s="10" t="s">
        <v>24</v>
      </c>
    </row>
    <row r="13762" spans="1:11" ht="54" customHeight="1">
      <c r="A13762" s="9" t="s">
        <v>28029</v>
      </c>
      <c r="B13762" s="9" t="s">
        <v>28029</v>
      </c>
      <c r="C13762" s="9" t="s">
        <v>17</v>
      </c>
      <c r="D13762" s="9" t="s">
        <v>18</v>
      </c>
      <c r="E13762" s="10" t="s">
        <v>32</v>
      </c>
      <c r="F13762" s="9" t="s">
        <v>7431</v>
      </c>
      <c r="G13762" s="10" t="s">
        <v>86</v>
      </c>
      <c r="H13762" s="9" t="s">
        <v>22</v>
      </c>
      <c r="I13762" s="9" t="s">
        <v>28030</v>
      </c>
      <c r="J13762" s="10" t="str">
        <f>HYPERLINK("https://www.boe.es/gazeta/dias/1834/04/23/pdfs/GMD-C-1834-62.pdf#page=2","Abrir facsímil")</f>
        <v>Abrir facsímil</v>
      </c>
      <c r="K13762" s="10" t="s">
        <v>24</v>
      </c>
    </row>
    <row r="13763" spans="1:11" ht="54" customHeight="1">
      <c r="A13763" s="9" t="s">
        <v>28031</v>
      </c>
      <c r="B13763" s="9" t="s">
        <v>28031</v>
      </c>
      <c r="C13763" s="9" t="s">
        <v>17</v>
      </c>
      <c r="D13763" s="9" t="s">
        <v>55</v>
      </c>
      <c r="E13763" s="10" t="s">
        <v>866</v>
      </c>
      <c r="F13763" s="9" t="s">
        <v>867</v>
      </c>
      <c r="G13763" s="10" t="s">
        <v>86</v>
      </c>
      <c r="H13763" s="9" t="s">
        <v>22</v>
      </c>
      <c r="I13763" s="9" t="s">
        <v>28032</v>
      </c>
      <c r="J13763" s="10" t="str">
        <f>HYPERLINK("https://www.boe.es/gazeta/dias/1834/01/18/pdfs/GMD-1834-9.pdf#page=2","Abrir facsímil")</f>
        <v>Abrir facsímil</v>
      </c>
      <c r="K13763" s="10" t="s">
        <v>24</v>
      </c>
    </row>
    <row r="13764" spans="1:11" ht="54" customHeight="1">
      <c r="A13764" s="9" t="s">
        <v>28031</v>
      </c>
      <c r="B13764" s="9" t="s">
        <v>28031</v>
      </c>
      <c r="C13764" s="9" t="s">
        <v>17</v>
      </c>
      <c r="D13764" s="9" t="s">
        <v>18</v>
      </c>
      <c r="E13764" s="10" t="s">
        <v>1141</v>
      </c>
      <c r="F13764" s="9" t="s">
        <v>1142</v>
      </c>
      <c r="G13764" s="10" t="s">
        <v>21</v>
      </c>
      <c r="H13764" s="9" t="s">
        <v>22</v>
      </c>
      <c r="I13764" s="9" t="s">
        <v>28033</v>
      </c>
      <c r="J13764" s="10" t="str">
        <f>HYPERLINK("https://www.boe.es/gazeta/dias/1834/04/30/pdfs/GMD-1834-69.pdf#page=3","Abrir facsímil")</f>
        <v>Abrir facsímil</v>
      </c>
      <c r="K13764" s="10" t="s">
        <v>24</v>
      </c>
    </row>
    <row r="13765" spans="1:11" ht="54" customHeight="1">
      <c r="A13765" s="9" t="s">
        <v>28034</v>
      </c>
      <c r="B13765" s="9" t="s">
        <v>28035</v>
      </c>
      <c r="C13765" s="9" t="s">
        <v>90</v>
      </c>
      <c r="D13765" s="9" t="s">
        <v>18</v>
      </c>
      <c r="E13765" s="10" t="s">
        <v>1307</v>
      </c>
      <c r="F13765" s="9" t="s">
        <v>1308</v>
      </c>
      <c r="G13765" s="10" t="s">
        <v>86</v>
      </c>
      <c r="H13765" s="9" t="s">
        <v>22</v>
      </c>
      <c r="I13765" s="9" t="s">
        <v>28036</v>
      </c>
      <c r="J13765" s="10" t="str">
        <f>HYPERLINK("https://www.boe.es/gazeta/dias/1834/08/25/pdfs/GMD-1834-191.pdf#page=2","Abrir facsímil")</f>
        <v>Abrir facsímil</v>
      </c>
      <c r="K13765" s="10" t="s">
        <v>24</v>
      </c>
    </row>
    <row r="13766" spans="1:11" ht="54" customHeight="1">
      <c r="A13766" s="9" t="s">
        <v>28037</v>
      </c>
      <c r="B13766" s="9" t="s">
        <v>28037</v>
      </c>
      <c r="C13766" s="9" t="s">
        <v>90</v>
      </c>
      <c r="D13766" s="9" t="s">
        <v>18</v>
      </c>
      <c r="E13766" s="10" t="s">
        <v>1262</v>
      </c>
      <c r="F13766" s="9" t="s">
        <v>1263</v>
      </c>
      <c r="G13766" s="10" t="s">
        <v>86</v>
      </c>
      <c r="H13766" s="9" t="s">
        <v>22</v>
      </c>
      <c r="I13766" s="9" t="s">
        <v>28038</v>
      </c>
      <c r="J13766" s="10" t="str">
        <f>HYPERLINK("https://www.boe.es/gazeta/dias/1834/02/01/pdfs/GMD-1834-15.pdf#page=2","Abrir facsímil")</f>
        <v>Abrir facsímil</v>
      </c>
      <c r="K13766" s="10" t="s">
        <v>24</v>
      </c>
    </row>
    <row r="13767" spans="1:11" ht="54" customHeight="1">
      <c r="A13767" s="9" t="s">
        <v>28039</v>
      </c>
      <c r="B13767" s="9" t="s">
        <v>28040</v>
      </c>
      <c r="C13767" s="9" t="s">
        <v>17</v>
      </c>
      <c r="D13767" s="9" t="s">
        <v>18</v>
      </c>
      <c r="E13767" s="10" t="s">
        <v>330</v>
      </c>
      <c r="F13767" s="9" t="s">
        <v>331</v>
      </c>
      <c r="G13767" s="10" t="s">
        <v>86</v>
      </c>
      <c r="H13767" s="9" t="s">
        <v>22</v>
      </c>
      <c r="I13767" s="9" t="s">
        <v>28041</v>
      </c>
      <c r="J13767" s="10" t="str">
        <f>HYPERLINK("https://www.boe.es/gazeta/dias/1834/12/03/pdfs/GMD-1834-292.pdf#page=2","Abrir facsímil")</f>
        <v>Abrir facsímil</v>
      </c>
      <c r="K13767" s="10" t="s">
        <v>24</v>
      </c>
    </row>
    <row r="13768" spans="1:11" ht="54" customHeight="1">
      <c r="A13768" s="9" t="s">
        <v>28042</v>
      </c>
      <c r="B13768" s="9" t="s">
        <v>28042</v>
      </c>
      <c r="C13768" s="9" t="s">
        <v>17</v>
      </c>
      <c r="D13768" s="9" t="s">
        <v>18</v>
      </c>
      <c r="E13768" s="10" t="s">
        <v>1084</v>
      </c>
      <c r="F13768" s="9" t="s">
        <v>1085</v>
      </c>
      <c r="G13768" s="10" t="s">
        <v>176</v>
      </c>
      <c r="H13768" s="9" t="s">
        <v>22</v>
      </c>
      <c r="I13768" s="9" t="s">
        <v>28043</v>
      </c>
      <c r="J13768" s="10" t="str">
        <f>HYPERLINK("https://www.boe.es/gazeta/dias/1834/05/01/pdfs/GMD-1834-70.pdf#page=6","Abrir facsímil")</f>
        <v>Abrir facsímil</v>
      </c>
      <c r="K13768" s="10" t="s">
        <v>24</v>
      </c>
    </row>
    <row r="13769" spans="1:11" ht="54" customHeight="1">
      <c r="A13769" s="9" t="s">
        <v>28042</v>
      </c>
      <c r="B13769" s="9" t="s">
        <v>28042</v>
      </c>
      <c r="C13769" s="9" t="s">
        <v>17</v>
      </c>
      <c r="D13769" s="9" t="s">
        <v>18</v>
      </c>
      <c r="E13769" s="10" t="s">
        <v>348</v>
      </c>
      <c r="F13769" s="9" t="s">
        <v>501</v>
      </c>
      <c r="G13769" s="10" t="s">
        <v>21</v>
      </c>
      <c r="H13769" s="9" t="s">
        <v>22</v>
      </c>
      <c r="I13769" s="9" t="s">
        <v>28044</v>
      </c>
      <c r="J13769" s="10" t="str">
        <f>HYPERLINK("https://www.boe.es/gazeta/dias/1834/06/12/pdfs/GMD-1834-115.pdf#page=3","Abrir facsímil")</f>
        <v>Abrir facsímil</v>
      </c>
      <c r="K13769" s="10" t="s">
        <v>24</v>
      </c>
    </row>
    <row r="13770" spans="1:11" ht="54" customHeight="1">
      <c r="A13770" s="9" t="s">
        <v>28045</v>
      </c>
      <c r="B13770" s="9" t="s">
        <v>28045</v>
      </c>
      <c r="C13770" s="9" t="s">
        <v>17</v>
      </c>
      <c r="D13770" s="9" t="s">
        <v>18</v>
      </c>
      <c r="E13770" s="10" t="s">
        <v>3810</v>
      </c>
      <c r="F13770" s="9" t="s">
        <v>3811</v>
      </c>
      <c r="G13770" s="10" t="s">
        <v>86</v>
      </c>
      <c r="H13770" s="9" t="s">
        <v>22</v>
      </c>
      <c r="I13770" s="9" t="s">
        <v>28046</v>
      </c>
      <c r="J13770" s="10" t="str">
        <f>HYPERLINK("https://www.boe.es/gazeta/dias/1834/02/20/pdfs/GMD-1834-23.pdf#page=2","Abrir facsímil")</f>
        <v>Abrir facsímil</v>
      </c>
      <c r="K13770" s="10" t="s">
        <v>24</v>
      </c>
    </row>
    <row r="13771" spans="1:11" ht="54" customHeight="1">
      <c r="A13771" s="9" t="s">
        <v>28047</v>
      </c>
      <c r="B13771" s="9" t="s">
        <v>28047</v>
      </c>
      <c r="C13771" s="9" t="s">
        <v>17</v>
      </c>
      <c r="D13771" s="9" t="s">
        <v>18</v>
      </c>
      <c r="E13771" s="10" t="s">
        <v>3248</v>
      </c>
      <c r="F13771" s="9" t="s">
        <v>4798</v>
      </c>
      <c r="G13771" s="10" t="s">
        <v>34</v>
      </c>
      <c r="H13771" s="9" t="s">
        <v>22</v>
      </c>
      <c r="I13771" s="9" t="s">
        <v>28048</v>
      </c>
      <c r="J13771" s="10" t="str">
        <f>HYPERLINK("https://www.boe.es/gazeta/dias/1834/09/20/pdfs/GMD-C-1834-218.pdf#page=1","Abrir facsímil")</f>
        <v>Abrir facsímil</v>
      </c>
      <c r="K13771" s="10" t="s">
        <v>24</v>
      </c>
    </row>
    <row r="13772" spans="1:11" ht="54" customHeight="1">
      <c r="A13772" s="9" t="s">
        <v>28049</v>
      </c>
      <c r="B13772" s="9" t="s">
        <v>28049</v>
      </c>
      <c r="C13772" s="9" t="s">
        <v>90</v>
      </c>
      <c r="D13772" s="9" t="s">
        <v>67</v>
      </c>
      <c r="E13772" s="10" t="s">
        <v>448</v>
      </c>
      <c r="F13772" s="9" t="s">
        <v>449</v>
      </c>
      <c r="G13772" s="10" t="s">
        <v>86</v>
      </c>
      <c r="H13772" s="9" t="s">
        <v>22</v>
      </c>
      <c r="I13772" s="9" t="s">
        <v>28050</v>
      </c>
      <c r="J13772" s="10" t="str">
        <f>HYPERLINK("https://www.boe.es/gazeta/dias/1834/10/14/pdfs/GMD-C-1834-242.pdf#page=2","Abrir facsímil")</f>
        <v>Abrir facsímil</v>
      </c>
      <c r="K13772" s="10" t="s">
        <v>24</v>
      </c>
    </row>
    <row r="13773" spans="1:11" ht="54" customHeight="1">
      <c r="A13773" s="9" t="s">
        <v>28049</v>
      </c>
      <c r="B13773" s="9" t="s">
        <v>28049</v>
      </c>
      <c r="C13773" s="9" t="s">
        <v>17</v>
      </c>
      <c r="D13773" s="9" t="s">
        <v>18</v>
      </c>
      <c r="E13773" s="10" t="s">
        <v>2287</v>
      </c>
      <c r="F13773" s="9" t="s">
        <v>2288</v>
      </c>
      <c r="G13773" s="10" t="s">
        <v>21</v>
      </c>
      <c r="H13773" s="9" t="s">
        <v>22</v>
      </c>
      <c r="I13773" s="9" t="s">
        <v>28051</v>
      </c>
      <c r="J13773" s="10" t="str">
        <f>HYPERLINK("https://www.boe.es/gazeta/dias/1834/12/18/pdfs/GMD-C-1834-308.pdf#page=3","Abrir facsímil")</f>
        <v>Abrir facsímil</v>
      </c>
      <c r="K13773" s="10" t="s">
        <v>24</v>
      </c>
    </row>
    <row r="13774" spans="1:11" ht="54" customHeight="1">
      <c r="A13774" s="9" t="s">
        <v>28052</v>
      </c>
      <c r="B13774" s="9" t="s">
        <v>28052</v>
      </c>
      <c r="C13774" s="9" t="s">
        <v>46</v>
      </c>
      <c r="D13774" s="9" t="s">
        <v>101</v>
      </c>
      <c r="E13774" s="10" t="s">
        <v>448</v>
      </c>
      <c r="F13774" s="9" t="s">
        <v>449</v>
      </c>
      <c r="G13774" s="10" t="s">
        <v>86</v>
      </c>
      <c r="H13774" s="9" t="s">
        <v>22</v>
      </c>
      <c r="I13774" s="9" t="s">
        <v>28053</v>
      </c>
      <c r="J13774" s="10" t="str">
        <f>HYPERLINK("https://www.boe.es/gazeta/dias/1834/10/14/pdfs/GMD-C-1834-242.pdf#page=2","Abrir facsímil")</f>
        <v>Abrir facsímil</v>
      </c>
      <c r="K13774" s="10" t="s">
        <v>24</v>
      </c>
    </row>
    <row r="13775" spans="1:11" ht="54" customHeight="1">
      <c r="A13775" s="9" t="s">
        <v>28052</v>
      </c>
      <c r="B13775" s="9" t="s">
        <v>28052</v>
      </c>
      <c r="C13775" s="9" t="s">
        <v>17</v>
      </c>
      <c r="D13775" s="9" t="s">
        <v>18</v>
      </c>
      <c r="E13775" s="10" t="s">
        <v>451</v>
      </c>
      <c r="F13775" s="9" t="s">
        <v>452</v>
      </c>
      <c r="G13775" s="10" t="s">
        <v>21</v>
      </c>
      <c r="H13775" s="9" t="s">
        <v>22</v>
      </c>
      <c r="I13775" s="9" t="s">
        <v>28054</v>
      </c>
      <c r="J13775" s="10" t="str">
        <f>HYPERLINK("https://www.boe.es/gazeta/dias/1834/10/15/pdfs/GMD-C-1834-243.pdf#page=3","Abrir facsímil")</f>
        <v>Abrir facsímil</v>
      </c>
      <c r="K13775" s="10" t="s">
        <v>24</v>
      </c>
    </row>
    <row r="13776" spans="1:11" ht="54" customHeight="1">
      <c r="A13776" s="9" t="s">
        <v>28052</v>
      </c>
      <c r="B13776" s="9" t="s">
        <v>28052</v>
      </c>
      <c r="C13776" s="9" t="s">
        <v>17</v>
      </c>
      <c r="D13776" s="9" t="s">
        <v>18</v>
      </c>
      <c r="E13776" s="10" t="s">
        <v>2287</v>
      </c>
      <c r="F13776" s="9" t="s">
        <v>2288</v>
      </c>
      <c r="G13776" s="10" t="s">
        <v>86</v>
      </c>
      <c r="H13776" s="9" t="s">
        <v>22</v>
      </c>
      <c r="I13776" s="9" t="s">
        <v>28055</v>
      </c>
      <c r="J13776" s="10" t="str">
        <f>HYPERLINK("https://www.boe.es/gazeta/dias/1834/12/18/pdfs/GMD-C-1834-308.pdf#page=2","Abrir facsímil")</f>
        <v>Abrir facsímil</v>
      </c>
      <c r="K13776" s="10" t="s">
        <v>24</v>
      </c>
    </row>
    <row r="13777" spans="1:11" ht="54" customHeight="1">
      <c r="A13777" s="9" t="s">
        <v>28052</v>
      </c>
      <c r="B13777" s="9" t="s">
        <v>28052</v>
      </c>
      <c r="C13777" s="9" t="s">
        <v>17</v>
      </c>
      <c r="D13777" s="9" t="s">
        <v>18</v>
      </c>
      <c r="E13777" s="10" t="s">
        <v>3248</v>
      </c>
      <c r="F13777" s="9" t="s">
        <v>4798</v>
      </c>
      <c r="G13777" s="10" t="s">
        <v>28</v>
      </c>
      <c r="H13777" s="9" t="s">
        <v>22</v>
      </c>
      <c r="I13777" s="9" t="s">
        <v>28056</v>
      </c>
      <c r="J13777" s="10" t="str">
        <f>HYPERLINK("https://www.boe.es/gazeta/dias/1834/09/20/pdfs/GMD-C-1834-218.pdf#page=5","Abrir facsímil")</f>
        <v>Abrir facsímil</v>
      </c>
      <c r="K13777" s="10" t="s">
        <v>24</v>
      </c>
    </row>
    <row r="13778" spans="1:11" ht="54" customHeight="1">
      <c r="A13778" s="9" t="s">
        <v>28057</v>
      </c>
      <c r="B13778" s="9" t="s">
        <v>28057</v>
      </c>
      <c r="C13778" s="9" t="s">
        <v>17</v>
      </c>
      <c r="D13778" s="9" t="s">
        <v>18</v>
      </c>
      <c r="E13778" s="10" t="s">
        <v>273</v>
      </c>
      <c r="F13778" s="9" t="s">
        <v>274</v>
      </c>
      <c r="G13778" s="10" t="s">
        <v>75</v>
      </c>
      <c r="H13778" s="9" t="s">
        <v>22</v>
      </c>
      <c r="I13778" s="9" t="s">
        <v>28058</v>
      </c>
      <c r="J13778" s="10" t="str">
        <f>HYPERLINK("https://www.boe.es/gazeta/dias/1834/08/31/pdfs/GMD-D-1834-198.pdf#page=4","Abrir facsímil")</f>
        <v>Abrir facsímil</v>
      </c>
      <c r="K13778" s="10" t="s">
        <v>24</v>
      </c>
    </row>
    <row r="13779" spans="1:11" ht="54" customHeight="1">
      <c r="A13779" s="9" t="s">
        <v>28059</v>
      </c>
      <c r="B13779" s="9" t="s">
        <v>28060</v>
      </c>
      <c r="C13779" s="9" t="s">
        <v>17</v>
      </c>
      <c r="D13779" s="9" t="s">
        <v>18</v>
      </c>
      <c r="E13779" s="10" t="s">
        <v>294</v>
      </c>
      <c r="F13779" s="9" t="s">
        <v>959</v>
      </c>
      <c r="G13779" s="10" t="s">
        <v>86</v>
      </c>
      <c r="H13779" s="9" t="s">
        <v>22</v>
      </c>
      <c r="I13779" s="9" t="s">
        <v>28061</v>
      </c>
      <c r="J13779" s="10" t="str">
        <f>HYPERLINK("https://www.boe.es/gazeta/dias/1834/09/27/pdfs/GMD-C-1834-225.pdf#page=2","Abrir facsímil")</f>
        <v>Abrir facsímil</v>
      </c>
      <c r="K13779" s="10" t="s">
        <v>24</v>
      </c>
    </row>
    <row r="13780" spans="1:11" ht="54" customHeight="1">
      <c r="A13780" s="9" t="s">
        <v>28059</v>
      </c>
      <c r="B13780" s="9" t="s">
        <v>28060</v>
      </c>
      <c r="C13780" s="9" t="s">
        <v>17</v>
      </c>
      <c r="D13780" s="9" t="s">
        <v>18</v>
      </c>
      <c r="E13780" s="10" t="s">
        <v>192</v>
      </c>
      <c r="F13780" s="9" t="s">
        <v>2713</v>
      </c>
      <c r="G13780" s="10" t="s">
        <v>21</v>
      </c>
      <c r="H13780" s="9" t="s">
        <v>22</v>
      </c>
      <c r="I13780" s="9" t="s">
        <v>28062</v>
      </c>
      <c r="J13780" s="10" t="str">
        <f>HYPERLINK("https://www.boe.es/gazeta/dias/1834/12/31/pdfs/GMD-C-1834-321.pdf#page=3","Abrir facsímil")</f>
        <v>Abrir facsímil</v>
      </c>
      <c r="K13780" s="10" t="s">
        <v>24</v>
      </c>
    </row>
    <row r="13781" spans="1:11" ht="54" customHeight="1">
      <c r="A13781" s="9" t="s">
        <v>28063</v>
      </c>
      <c r="B13781" s="9" t="s">
        <v>28064</v>
      </c>
      <c r="C13781" s="9" t="s">
        <v>17</v>
      </c>
      <c r="D13781" s="9" t="s">
        <v>18</v>
      </c>
      <c r="E13781" s="10" t="s">
        <v>1410</v>
      </c>
      <c r="F13781" s="9" t="s">
        <v>2231</v>
      </c>
      <c r="G13781" s="10" t="s">
        <v>28</v>
      </c>
      <c r="H13781" s="9" t="s">
        <v>22</v>
      </c>
      <c r="I13781" s="9" t="s">
        <v>28065</v>
      </c>
      <c r="J13781" s="10" t="str">
        <f>HYPERLINK("https://www.boe.es/gazeta/dias/1834/09/09/pdfs/GMD-C-1834-207.pdf#page=5","Abrir facsímil")</f>
        <v>Abrir facsímil</v>
      </c>
      <c r="K13781" s="10" t="s">
        <v>24</v>
      </c>
    </row>
    <row r="13782" spans="1:11" ht="54" customHeight="1">
      <c r="A13782" s="9" t="s">
        <v>28066</v>
      </c>
      <c r="B13782" s="9" t="s">
        <v>28067</v>
      </c>
      <c r="C13782" s="9" t="s">
        <v>17</v>
      </c>
      <c r="D13782" s="9" t="s">
        <v>18</v>
      </c>
      <c r="E13782" s="10" t="s">
        <v>1351</v>
      </c>
      <c r="F13782" s="9" t="s">
        <v>1352</v>
      </c>
      <c r="G13782" s="10" t="s">
        <v>75</v>
      </c>
      <c r="H13782" s="9" t="s">
        <v>35</v>
      </c>
      <c r="I13782" s="9" t="s">
        <v>28068</v>
      </c>
      <c r="J13782" s="10" t="str">
        <f>HYPERLINK("https://www.boe.es/gazeta/dias/1834/07/05/pdfs/GMD-1834-138.pdf#page=4","Abrir facsímil")</f>
        <v>Abrir facsímil</v>
      </c>
      <c r="K13782" s="10" t="s">
        <v>37</v>
      </c>
    </row>
    <row r="13783" spans="1:11" ht="54" customHeight="1">
      <c r="A13783" s="9" t="s">
        <v>28069</v>
      </c>
      <c r="B13783" s="9" t="s">
        <v>28070</v>
      </c>
      <c r="C13783" s="9" t="s">
        <v>17</v>
      </c>
      <c r="D13783" s="9" t="s">
        <v>18</v>
      </c>
      <c r="E13783" s="10" t="s">
        <v>1351</v>
      </c>
      <c r="F13783" s="9" t="s">
        <v>1352</v>
      </c>
      <c r="G13783" s="10" t="s">
        <v>75</v>
      </c>
      <c r="H13783" s="9" t="s">
        <v>22</v>
      </c>
      <c r="I13783" s="9" t="s">
        <v>28071</v>
      </c>
      <c r="J13783" s="10" t="str">
        <f>HYPERLINK("https://www.boe.es/gazeta/dias/1834/07/05/pdfs/GMD-1834-138.pdf#page=4","Abrir facsímil")</f>
        <v>Abrir facsímil</v>
      </c>
      <c r="K13783" s="10" t="s">
        <v>24</v>
      </c>
    </row>
    <row r="13784" spans="1:11" ht="54" customHeight="1">
      <c r="A13784" s="9" t="s">
        <v>28072</v>
      </c>
      <c r="B13784" s="9" t="s">
        <v>28073</v>
      </c>
      <c r="C13784" s="9" t="s">
        <v>17</v>
      </c>
      <c r="D13784" s="9" t="s">
        <v>18</v>
      </c>
      <c r="E13784" s="10" t="s">
        <v>73</v>
      </c>
      <c r="F13784" s="9" t="s">
        <v>1416</v>
      </c>
      <c r="G13784" s="10" t="s">
        <v>34</v>
      </c>
      <c r="H13784" s="9" t="s">
        <v>35</v>
      </c>
      <c r="I13784" s="9" t="s">
        <v>28074</v>
      </c>
      <c r="J13784" s="10" t="str">
        <f>HYPERLINK("https://www.boe.es/gazeta/dias/1834/11/04/pdfs/GMD-C-1834-263.pdf#page=1","Abrir facsímil")</f>
        <v>Abrir facsímil</v>
      </c>
      <c r="K13784" s="10" t="s">
        <v>37</v>
      </c>
    </row>
    <row r="13785" spans="1:11" ht="54" customHeight="1">
      <c r="A13785" s="9" t="s">
        <v>28075</v>
      </c>
      <c r="B13785" s="9" t="s">
        <v>28076</v>
      </c>
      <c r="C13785" s="9" t="s">
        <v>17</v>
      </c>
      <c r="D13785" s="9" t="s">
        <v>18</v>
      </c>
      <c r="E13785" s="10" t="s">
        <v>73</v>
      </c>
      <c r="F13785" s="9" t="s">
        <v>1416</v>
      </c>
      <c r="G13785" s="10" t="s">
        <v>34</v>
      </c>
      <c r="H13785" s="9" t="s">
        <v>22</v>
      </c>
      <c r="I13785" s="9" t="s">
        <v>28077</v>
      </c>
      <c r="J13785" s="10" t="str">
        <f>HYPERLINK("https://www.boe.es/gazeta/dias/1834/11/04/pdfs/GMD-C-1834-263.pdf#page=1","Abrir facsímil")</f>
        <v>Abrir facsímil</v>
      </c>
      <c r="K13785" s="10" t="s">
        <v>24</v>
      </c>
    </row>
    <row r="13786" spans="1:11" ht="54" customHeight="1">
      <c r="A13786" s="9" t="s">
        <v>28078</v>
      </c>
      <c r="B13786" s="9" t="s">
        <v>28079</v>
      </c>
      <c r="C13786" s="9" t="s">
        <v>66</v>
      </c>
      <c r="D13786" s="9" t="s">
        <v>67</v>
      </c>
      <c r="E13786" s="10" t="s">
        <v>3083</v>
      </c>
      <c r="F13786" s="9" t="s">
        <v>3084</v>
      </c>
      <c r="G13786" s="10" t="s">
        <v>21</v>
      </c>
      <c r="H13786" s="9" t="s">
        <v>22</v>
      </c>
      <c r="I13786" s="9" t="s">
        <v>28080</v>
      </c>
      <c r="J13786" s="10" t="str">
        <f>HYPERLINK("https://www.boe.es/gazeta/dias/1834/10/30/pdfs/GMD-1834-258.pdf#page=3","Abrir facsímil")</f>
        <v>Abrir facsímil</v>
      </c>
      <c r="K13786" s="10" t="s">
        <v>24</v>
      </c>
    </row>
    <row r="13787" spans="1:11" ht="54" customHeight="1">
      <c r="A13787" s="9" t="s">
        <v>28081</v>
      </c>
      <c r="B13787" s="9" t="s">
        <v>28081</v>
      </c>
      <c r="C13787" s="9" t="s">
        <v>46</v>
      </c>
      <c r="D13787" s="9" t="s">
        <v>101</v>
      </c>
      <c r="E13787" s="10" t="s">
        <v>233</v>
      </c>
      <c r="F13787" s="9" t="s">
        <v>1810</v>
      </c>
      <c r="G13787" s="10" t="s">
        <v>560</v>
      </c>
      <c r="H13787" s="9" t="s">
        <v>22</v>
      </c>
      <c r="I13787" s="9" t="s">
        <v>28082</v>
      </c>
      <c r="J13787" s="10" t="str">
        <f>HYPERLINK("https://www.boe.es/gazeta/dias/1834/12/16/pdfs/GMD-C-1834-305.pdf#page=7","Abrir facsímil")</f>
        <v>Abrir facsímil</v>
      </c>
      <c r="K13787" s="10" t="s">
        <v>24</v>
      </c>
    </row>
    <row r="13788" spans="1:11" ht="54" customHeight="1">
      <c r="A13788" s="9" t="s">
        <v>28081</v>
      </c>
      <c r="B13788" s="9" t="s">
        <v>28081</v>
      </c>
      <c r="C13788" s="9" t="s">
        <v>17</v>
      </c>
      <c r="D13788" s="9" t="s">
        <v>40</v>
      </c>
      <c r="E13788" s="10" t="s">
        <v>707</v>
      </c>
      <c r="F13788" s="9" t="s">
        <v>708</v>
      </c>
      <c r="G13788" s="10" t="s">
        <v>75</v>
      </c>
      <c r="H13788" s="9" t="s">
        <v>22</v>
      </c>
      <c r="I13788" s="9" t="s">
        <v>28083</v>
      </c>
      <c r="J13788" s="10" t="str">
        <f>HYPERLINK("https://www.boe.es/gazeta/dias/1834/11/25/pdfs/GMD-C-1834-284.pdf#page=4","Abrir facsímil")</f>
        <v>Abrir facsímil</v>
      </c>
      <c r="K13788" s="10" t="s">
        <v>24</v>
      </c>
    </row>
    <row r="13789" spans="1:11" ht="54" customHeight="1">
      <c r="A13789" s="9" t="s">
        <v>28081</v>
      </c>
      <c r="B13789" s="9" t="s">
        <v>28081</v>
      </c>
      <c r="C13789" s="9" t="s">
        <v>122</v>
      </c>
      <c r="D13789" s="9" t="s">
        <v>40</v>
      </c>
      <c r="E13789" s="10" t="s">
        <v>899</v>
      </c>
      <c r="F13789" s="9" t="s">
        <v>900</v>
      </c>
      <c r="G13789" s="10" t="s">
        <v>470</v>
      </c>
      <c r="H13789" s="9" t="s">
        <v>22</v>
      </c>
      <c r="I13789" s="9" t="s">
        <v>28084</v>
      </c>
      <c r="J13789" s="10" t="str">
        <f>HYPERLINK("https://www.boe.es/gazeta/dias/1834/01/30/pdfs/GMD-1834-14.pdf#page=8","Abrir facsímil")</f>
        <v>Abrir facsímil</v>
      </c>
      <c r="K13789" s="10" t="s">
        <v>24</v>
      </c>
    </row>
    <row r="13790" spans="1:11" ht="54" customHeight="1">
      <c r="A13790" s="9" t="s">
        <v>28085</v>
      </c>
      <c r="B13790" s="9" t="s">
        <v>28085</v>
      </c>
      <c r="C13790" s="9" t="s">
        <v>17</v>
      </c>
      <c r="D13790" s="9" t="s">
        <v>18</v>
      </c>
      <c r="E13790" s="10" t="s">
        <v>899</v>
      </c>
      <c r="F13790" s="9" t="s">
        <v>900</v>
      </c>
      <c r="G13790" s="10" t="s">
        <v>470</v>
      </c>
      <c r="H13790" s="9" t="s">
        <v>22</v>
      </c>
      <c r="I13790" s="9" t="s">
        <v>28086</v>
      </c>
      <c r="J13790" s="10" t="str">
        <f>HYPERLINK("https://www.boe.es/gazeta/dias/1834/01/30/pdfs/GMD-1834-14.pdf#page=8","Abrir facsímil")</f>
        <v>Abrir facsímil</v>
      </c>
      <c r="K13790" s="10" t="s">
        <v>24</v>
      </c>
    </row>
    <row r="13791" spans="1:11" ht="54" customHeight="1">
      <c r="A13791" s="9" t="s">
        <v>28087</v>
      </c>
      <c r="B13791" s="9" t="s">
        <v>28088</v>
      </c>
      <c r="C13791" s="9" t="s">
        <v>66</v>
      </c>
      <c r="D13791" s="9" t="s">
        <v>67</v>
      </c>
      <c r="E13791" s="10" t="s">
        <v>32</v>
      </c>
      <c r="F13791" s="9" t="s">
        <v>7431</v>
      </c>
      <c r="G13791" s="10" t="s">
        <v>34</v>
      </c>
      <c r="H13791" s="9" t="s">
        <v>22</v>
      </c>
      <c r="I13791" s="9" t="s">
        <v>28089</v>
      </c>
      <c r="J13791" s="10" t="str">
        <f>HYPERLINK("https://www.boe.es/gazeta/dias/1834/04/23/pdfs/GMD-C-1834-62.pdf#page=1","Abrir facsímil")</f>
        <v>Abrir facsímil</v>
      </c>
      <c r="K13791" s="10" t="s">
        <v>24</v>
      </c>
    </row>
    <row r="13792" spans="1:11" ht="54" customHeight="1">
      <c r="A13792" s="9" t="s">
        <v>28090</v>
      </c>
      <c r="B13792" s="9" t="s">
        <v>28091</v>
      </c>
      <c r="C13792" s="9" t="s">
        <v>66</v>
      </c>
      <c r="D13792" s="9" t="s">
        <v>67</v>
      </c>
      <c r="E13792" s="10" t="s">
        <v>1234</v>
      </c>
      <c r="F13792" s="9" t="s">
        <v>1235</v>
      </c>
      <c r="G13792" s="10" t="s">
        <v>34</v>
      </c>
      <c r="H13792" s="9" t="s">
        <v>35</v>
      </c>
      <c r="I13792" s="9" t="s">
        <v>28092</v>
      </c>
      <c r="J13792" s="10" t="str">
        <f>HYPERLINK("https://www.boe.es/gazeta/dias/1834/05/15/pdfs/GMD-C-1834-84.pdf#page=1","Abrir facsímil")</f>
        <v>Abrir facsímil</v>
      </c>
      <c r="K13792" s="10" t="s">
        <v>37</v>
      </c>
    </row>
    <row r="13793" spans="1:11" ht="54" customHeight="1">
      <c r="A13793" s="9" t="s">
        <v>28093</v>
      </c>
      <c r="B13793" s="9" t="s">
        <v>28094</v>
      </c>
      <c r="C13793" s="9" t="s">
        <v>17</v>
      </c>
      <c r="D13793" s="9" t="s">
        <v>18</v>
      </c>
      <c r="E13793" s="10" t="s">
        <v>1234</v>
      </c>
      <c r="F13793" s="9" t="s">
        <v>1235</v>
      </c>
      <c r="G13793" s="10" t="s">
        <v>34</v>
      </c>
      <c r="H13793" s="9" t="s">
        <v>22</v>
      </c>
      <c r="I13793" s="9" t="s">
        <v>28095</v>
      </c>
      <c r="J13793" s="10" t="str">
        <f>HYPERLINK("https://www.boe.es/gazeta/dias/1834/05/15/pdfs/GMD-C-1834-84.pdf#page=1","Abrir facsímil")</f>
        <v>Abrir facsímil</v>
      </c>
      <c r="K13793" s="10" t="s">
        <v>24</v>
      </c>
    </row>
    <row r="13794" spans="1:11" ht="54" customHeight="1">
      <c r="A13794" s="9" t="s">
        <v>28096</v>
      </c>
      <c r="B13794" s="9" t="s">
        <v>28096</v>
      </c>
      <c r="C13794" s="9" t="s">
        <v>17</v>
      </c>
      <c r="D13794" s="9" t="s">
        <v>18</v>
      </c>
      <c r="E13794" s="10" t="s">
        <v>294</v>
      </c>
      <c r="F13794" s="9" t="s">
        <v>295</v>
      </c>
      <c r="G13794" s="10" t="s">
        <v>86</v>
      </c>
      <c r="H13794" s="9" t="s">
        <v>22</v>
      </c>
      <c r="I13794" s="9" t="s">
        <v>28097</v>
      </c>
      <c r="J13794" s="10" t="str">
        <f>HYPERLINK("https://www.boe.es/gazeta/dias/1834/09/27/pdfs/GMD-1834-225.pdf#page=2","Abrir facsímil")</f>
        <v>Abrir facsímil</v>
      </c>
      <c r="K13794" s="10" t="s">
        <v>24</v>
      </c>
    </row>
    <row r="13795" spans="1:11" ht="54" customHeight="1">
      <c r="A13795" s="9" t="s">
        <v>28098</v>
      </c>
      <c r="B13795" s="9" t="s">
        <v>28099</v>
      </c>
      <c r="C13795" s="9" t="s">
        <v>17</v>
      </c>
      <c r="D13795" s="9" t="s">
        <v>40</v>
      </c>
      <c r="E13795" s="10" t="s">
        <v>339</v>
      </c>
      <c r="F13795" s="9" t="s">
        <v>340</v>
      </c>
      <c r="G13795" s="10" t="s">
        <v>21</v>
      </c>
      <c r="H13795" s="9" t="s">
        <v>35</v>
      </c>
      <c r="I13795" s="9" t="s">
        <v>28100</v>
      </c>
      <c r="J13795" s="10" t="str">
        <f>HYPERLINK("https://www.boe.es/gazeta/dias/1834/05/02/pdfs/GMD-1834-71.pdf#page=3","Abrir facsímil")</f>
        <v>Abrir facsímil</v>
      </c>
      <c r="K13795" s="10" t="s">
        <v>37</v>
      </c>
    </row>
    <row r="13796" spans="1:11" ht="54" customHeight="1">
      <c r="A13796" s="9" t="s">
        <v>28101</v>
      </c>
      <c r="B13796" s="9" t="s">
        <v>28102</v>
      </c>
      <c r="C13796" s="9" t="s">
        <v>17</v>
      </c>
      <c r="D13796" s="9" t="s">
        <v>40</v>
      </c>
      <c r="E13796" s="10" t="s">
        <v>339</v>
      </c>
      <c r="F13796" s="9" t="s">
        <v>340</v>
      </c>
      <c r="G13796" s="10" t="s">
        <v>21</v>
      </c>
      <c r="H13796" s="9" t="s">
        <v>22</v>
      </c>
      <c r="I13796" s="9" t="s">
        <v>28103</v>
      </c>
      <c r="J13796" s="10" t="str">
        <f>HYPERLINK("https://www.boe.es/gazeta/dias/1834/05/02/pdfs/GMD-1834-71.pdf#page=3","Abrir facsímil")</f>
        <v>Abrir facsímil</v>
      </c>
      <c r="K13796" s="10" t="s">
        <v>24</v>
      </c>
    </row>
    <row r="13797" spans="1:11" ht="54" customHeight="1">
      <c r="A13797" s="9" t="s">
        <v>28104</v>
      </c>
      <c r="B13797" s="9" t="s">
        <v>28104</v>
      </c>
      <c r="C13797" s="9" t="s">
        <v>66</v>
      </c>
      <c r="D13797" s="9" t="s">
        <v>67</v>
      </c>
      <c r="E13797" s="10" t="s">
        <v>1742</v>
      </c>
      <c r="F13797" s="9" t="s">
        <v>1743</v>
      </c>
      <c r="G13797" s="10" t="s">
        <v>34</v>
      </c>
      <c r="H13797" s="9" t="s">
        <v>22</v>
      </c>
      <c r="I13797" s="9" t="s">
        <v>28105</v>
      </c>
      <c r="J13797" s="10" t="str">
        <f>HYPERLINK("https://www.boe.es/gazeta/dias/1834/11/06/pdfs/GMD-1834-265.pdf#page=1","Abrir facsímil")</f>
        <v>Abrir facsímil</v>
      </c>
      <c r="K13797" s="10" t="s">
        <v>24</v>
      </c>
    </row>
    <row r="13798" spans="1:11" ht="54" customHeight="1">
      <c r="A13798" s="9" t="s">
        <v>28104</v>
      </c>
      <c r="B13798" s="9" t="s">
        <v>28104</v>
      </c>
      <c r="C13798" s="9" t="s">
        <v>122</v>
      </c>
      <c r="D13798" s="9" t="s">
        <v>18</v>
      </c>
      <c r="E13798" s="10" t="s">
        <v>2107</v>
      </c>
      <c r="F13798" s="9" t="s">
        <v>2108</v>
      </c>
      <c r="G13798" s="10" t="s">
        <v>34</v>
      </c>
      <c r="H13798" s="9" t="s">
        <v>22</v>
      </c>
      <c r="I13798" s="9" t="s">
        <v>28106</v>
      </c>
      <c r="J13798" s="10" t="str">
        <f>HYPERLINK("https://www.boe.es/gazeta/dias/1834/08/24/pdfs/GMD-1834-190.pdf#page=1","Abrir facsímil")</f>
        <v>Abrir facsímil</v>
      </c>
      <c r="K13798" s="10" t="s">
        <v>24</v>
      </c>
    </row>
    <row r="13799" spans="1:11" ht="54" customHeight="1">
      <c r="A13799" s="9" t="s">
        <v>28107</v>
      </c>
      <c r="B13799" s="9" t="s">
        <v>28108</v>
      </c>
      <c r="C13799" s="9" t="s">
        <v>17</v>
      </c>
      <c r="D13799" s="9" t="s">
        <v>18</v>
      </c>
      <c r="E13799" s="10" t="s">
        <v>8200</v>
      </c>
      <c r="F13799" s="9" t="s">
        <v>8201</v>
      </c>
      <c r="G13799" s="10" t="s">
        <v>34</v>
      </c>
      <c r="H13799" s="9" t="s">
        <v>22</v>
      </c>
      <c r="I13799" s="9" t="s">
        <v>28109</v>
      </c>
      <c r="J13799" s="10" t="str">
        <f>HYPERLINK("https://www.boe.es/gazeta/dias/1834/11/17/pdfs/GMD-1834-276.pdf#page=1","Abrir facsímil")</f>
        <v>Abrir facsímil</v>
      </c>
      <c r="K13799" s="10" t="s">
        <v>24</v>
      </c>
    </row>
    <row r="13800" spans="1:11" ht="54" customHeight="1">
      <c r="A13800" s="9" t="s">
        <v>28110</v>
      </c>
      <c r="B13800" s="9" t="s">
        <v>28111</v>
      </c>
      <c r="C13800" s="9" t="s">
        <v>17</v>
      </c>
      <c r="D13800" s="9" t="s">
        <v>18</v>
      </c>
      <c r="E13800" s="10" t="s">
        <v>762</v>
      </c>
      <c r="F13800" s="9" t="s">
        <v>763</v>
      </c>
      <c r="G13800" s="10" t="s">
        <v>34</v>
      </c>
      <c r="H13800" s="9" t="s">
        <v>22</v>
      </c>
      <c r="I13800" s="9" t="s">
        <v>28112</v>
      </c>
      <c r="J13800" s="10" t="str">
        <f>HYPERLINK("https://www.boe.es/gazeta/dias/1834/11/07/pdfs/GMD-1834-266.pdf#page=1","Abrir facsímil")</f>
        <v>Abrir facsímil</v>
      </c>
      <c r="K13800" s="10" t="s">
        <v>24</v>
      </c>
    </row>
    <row r="13801" spans="1:11" ht="54" customHeight="1">
      <c r="A13801" s="9" t="s">
        <v>28113</v>
      </c>
      <c r="B13801" s="9" t="s">
        <v>28114</v>
      </c>
      <c r="C13801" s="9" t="s">
        <v>17</v>
      </c>
      <c r="D13801" s="9" t="s">
        <v>55</v>
      </c>
      <c r="E13801" s="10" t="s">
        <v>1186</v>
      </c>
      <c r="F13801" s="9" t="s">
        <v>1187</v>
      </c>
      <c r="G13801" s="10" t="s">
        <v>34</v>
      </c>
      <c r="H13801" s="9" t="s">
        <v>22</v>
      </c>
      <c r="I13801" s="9" t="s">
        <v>28115</v>
      </c>
      <c r="J13801" s="10" t="str">
        <f>HYPERLINK("https://www.boe.es/gazeta/dias/1834/08/14/pdfs/GMD-1834-179.pdf#page=1","Abrir facsímil")</f>
        <v>Abrir facsímil</v>
      </c>
      <c r="K13801" s="10" t="s">
        <v>24</v>
      </c>
    </row>
    <row r="13802" spans="1:11" ht="54" customHeight="1">
      <c r="A13802" s="9" t="s">
        <v>28116</v>
      </c>
      <c r="B13802" s="9" t="s">
        <v>28117</v>
      </c>
      <c r="C13802" s="9" t="s">
        <v>17</v>
      </c>
      <c r="D13802" s="9" t="s">
        <v>18</v>
      </c>
      <c r="E13802" s="10" t="s">
        <v>976</v>
      </c>
      <c r="F13802" s="9" t="s">
        <v>1061</v>
      </c>
      <c r="G13802" s="10" t="s">
        <v>34</v>
      </c>
      <c r="H13802" s="9" t="s">
        <v>22</v>
      </c>
      <c r="I13802" s="9" t="s">
        <v>28118</v>
      </c>
      <c r="J13802" s="10" t="str">
        <f>HYPERLINK("https://www.boe.es/gazeta/dias/1834/04/02/pdfs/GMD-C-1834-41.pdf#page=1","Abrir facsímil")</f>
        <v>Abrir facsímil</v>
      </c>
      <c r="K13802" s="10" t="s">
        <v>24</v>
      </c>
    </row>
    <row r="13803" spans="1:11" ht="54" customHeight="1">
      <c r="A13803" s="9" t="s">
        <v>28119</v>
      </c>
      <c r="B13803" s="9" t="s">
        <v>28119</v>
      </c>
      <c r="C13803" s="9" t="s">
        <v>46</v>
      </c>
      <c r="D13803" s="9" t="s">
        <v>18</v>
      </c>
      <c r="E13803" s="10" t="s">
        <v>2218</v>
      </c>
      <c r="F13803" s="9" t="s">
        <v>2219</v>
      </c>
      <c r="G13803" s="10" t="s">
        <v>86</v>
      </c>
      <c r="H13803" s="9" t="s">
        <v>22</v>
      </c>
      <c r="I13803" s="9" t="s">
        <v>28120</v>
      </c>
      <c r="J13803" s="10" t="str">
        <f>HYPERLINK("https://www.boe.es/gazeta/dias/1834/11/05/pdfs/GMD-1834-264.pdf#page=2","Abrir facsímil")</f>
        <v>Abrir facsímil</v>
      </c>
      <c r="K13803" s="10" t="s">
        <v>24</v>
      </c>
    </row>
    <row r="13804" spans="1:11" ht="54" customHeight="1">
      <c r="A13804" s="9" t="s">
        <v>28121</v>
      </c>
      <c r="B13804" s="9" t="s">
        <v>28122</v>
      </c>
      <c r="C13804" s="9" t="s">
        <v>17</v>
      </c>
      <c r="D13804" s="9" t="s">
        <v>18</v>
      </c>
      <c r="E13804" s="10" t="s">
        <v>1692</v>
      </c>
      <c r="F13804" s="9" t="s">
        <v>1693</v>
      </c>
      <c r="G13804" s="10" t="s">
        <v>21</v>
      </c>
      <c r="H13804" s="9" t="s">
        <v>22</v>
      </c>
      <c r="I13804" s="9" t="s">
        <v>28123</v>
      </c>
      <c r="J13804" s="10" t="str">
        <f>HYPERLINK("https://www.boe.es/gazeta/dias/1834/07/29/pdfs/GMD-1834-162.pdf#page=3","Abrir facsímil")</f>
        <v>Abrir facsímil</v>
      </c>
      <c r="K13804" s="10" t="s">
        <v>24</v>
      </c>
    </row>
    <row r="13805" spans="1:11" ht="54" customHeight="1">
      <c r="A13805" s="9" t="s">
        <v>28124</v>
      </c>
      <c r="B13805" s="9" t="s">
        <v>28124</v>
      </c>
      <c r="C13805" s="9" t="s">
        <v>17</v>
      </c>
      <c r="D13805" s="9" t="s">
        <v>101</v>
      </c>
      <c r="E13805" s="10" t="s">
        <v>3248</v>
      </c>
      <c r="F13805" s="9" t="s">
        <v>4798</v>
      </c>
      <c r="G13805" s="10" t="s">
        <v>34</v>
      </c>
      <c r="H13805" s="9" t="s">
        <v>22</v>
      </c>
      <c r="I13805" s="9" t="s">
        <v>28125</v>
      </c>
      <c r="J13805" s="10" t="str">
        <f>HYPERLINK("https://www.boe.es/gazeta/dias/1834/09/20/pdfs/GMD-C-1834-218.pdf#page=1","Abrir facsímil")</f>
        <v>Abrir facsímil</v>
      </c>
      <c r="K13805" s="10" t="s">
        <v>24</v>
      </c>
    </row>
    <row r="13806" spans="1:11" ht="54" customHeight="1">
      <c r="A13806" s="9" t="s">
        <v>28126</v>
      </c>
      <c r="B13806" s="9" t="s">
        <v>28126</v>
      </c>
      <c r="C13806" s="9" t="s">
        <v>46</v>
      </c>
      <c r="D13806" s="9" t="s">
        <v>55</v>
      </c>
      <c r="E13806" s="10" t="s">
        <v>317</v>
      </c>
      <c r="F13806" s="9" t="s">
        <v>318</v>
      </c>
      <c r="G13806" s="10" t="s">
        <v>86</v>
      </c>
      <c r="H13806" s="9" t="s">
        <v>22</v>
      </c>
      <c r="I13806" s="9" t="s">
        <v>28127</v>
      </c>
      <c r="J13806" s="10" t="str">
        <f>HYPERLINK("https://www.boe.es/gazeta/dias/1834/03/06/pdfs/GMD-1834-29.pdf#page=2","Abrir facsímil")</f>
        <v>Abrir facsímil</v>
      </c>
      <c r="K13806" s="10" t="s">
        <v>24</v>
      </c>
    </row>
    <row r="13807" spans="1:11" ht="54" customHeight="1">
      <c r="A13807" s="9" t="s">
        <v>28128</v>
      </c>
      <c r="B13807" s="9" t="s">
        <v>28129</v>
      </c>
      <c r="C13807" s="9" t="s">
        <v>17</v>
      </c>
      <c r="D13807" s="9" t="s">
        <v>40</v>
      </c>
      <c r="E13807" s="10" t="s">
        <v>167</v>
      </c>
      <c r="F13807" s="9" t="s">
        <v>168</v>
      </c>
      <c r="G13807" s="10" t="s">
        <v>75</v>
      </c>
      <c r="H13807" s="9" t="s">
        <v>22</v>
      </c>
      <c r="I13807" s="9" t="s">
        <v>28130</v>
      </c>
      <c r="J13807" s="10" t="str">
        <f>HYPERLINK("https://www.boe.es/gazeta/dias/1834/09/07/pdfs/GMD-1834-205.pdf#page=4","Abrir facsímil")</f>
        <v>Abrir facsímil</v>
      </c>
      <c r="K13807" s="10" t="s">
        <v>24</v>
      </c>
    </row>
    <row r="13808" spans="1:11" ht="54" customHeight="1">
      <c r="A13808" s="9" t="s">
        <v>28131</v>
      </c>
      <c r="B13808" s="9" t="s">
        <v>28132</v>
      </c>
      <c r="C13808" s="9" t="s">
        <v>90</v>
      </c>
      <c r="D13808" s="9" t="s">
        <v>18</v>
      </c>
      <c r="E13808" s="10" t="s">
        <v>647</v>
      </c>
      <c r="F13808" s="9" t="s">
        <v>648</v>
      </c>
      <c r="G13808" s="10" t="s">
        <v>34</v>
      </c>
      <c r="H13808" s="9" t="s">
        <v>35</v>
      </c>
      <c r="I13808" s="9" t="s">
        <v>28133</v>
      </c>
      <c r="J13808" s="10" t="str">
        <f>HYPERLINK("https://www.boe.es/gazeta/dias/1834/10/21/pdfs/GMD-C-1834-249.pdf#page=1","Abrir facsímil")</f>
        <v>Abrir facsímil</v>
      </c>
      <c r="K13808" s="10" t="s">
        <v>37</v>
      </c>
    </row>
    <row r="13809" spans="1:11" ht="54" customHeight="1">
      <c r="A13809" s="9" t="s">
        <v>28134</v>
      </c>
      <c r="B13809" s="9" t="s">
        <v>28135</v>
      </c>
      <c r="C13809" s="9" t="s">
        <v>90</v>
      </c>
      <c r="D13809" s="9" t="s">
        <v>18</v>
      </c>
      <c r="E13809" s="10" t="s">
        <v>647</v>
      </c>
      <c r="F13809" s="9" t="s">
        <v>648</v>
      </c>
      <c r="G13809" s="10" t="s">
        <v>34</v>
      </c>
      <c r="H13809" s="9" t="s">
        <v>35</v>
      </c>
      <c r="I13809" s="9" t="s">
        <v>28136</v>
      </c>
      <c r="J13809" s="10" t="str">
        <f>HYPERLINK("https://www.boe.es/gazeta/dias/1834/10/21/pdfs/GMD-C-1834-249.pdf#page=1","Abrir facsímil")</f>
        <v>Abrir facsímil</v>
      </c>
      <c r="K13809" s="10" t="s">
        <v>37</v>
      </c>
    </row>
    <row r="13810" spans="1:11" ht="54" customHeight="1">
      <c r="A13810" s="9" t="s">
        <v>28137</v>
      </c>
      <c r="B13810" s="9" t="s">
        <v>28138</v>
      </c>
      <c r="C13810" s="9" t="s">
        <v>90</v>
      </c>
      <c r="D13810" s="9" t="s">
        <v>18</v>
      </c>
      <c r="E13810" s="10" t="s">
        <v>647</v>
      </c>
      <c r="F13810" s="9" t="s">
        <v>648</v>
      </c>
      <c r="G13810" s="10" t="s">
        <v>34</v>
      </c>
      <c r="H13810" s="9" t="s">
        <v>22</v>
      </c>
      <c r="I13810" s="9" t="s">
        <v>28139</v>
      </c>
      <c r="J13810" s="10" t="str">
        <f>HYPERLINK("https://www.boe.es/gazeta/dias/1834/10/21/pdfs/GMD-C-1834-249.pdf#page=1","Abrir facsímil")</f>
        <v>Abrir facsímil</v>
      </c>
      <c r="K13810" s="10" t="s">
        <v>24</v>
      </c>
    </row>
    <row r="13811" spans="1:11" ht="54" customHeight="1">
      <c r="A13811" s="9" t="s">
        <v>28140</v>
      </c>
      <c r="B13811" s="9" t="s">
        <v>28141</v>
      </c>
      <c r="C13811" s="9" t="s">
        <v>46</v>
      </c>
      <c r="D13811" s="9" t="s">
        <v>55</v>
      </c>
      <c r="E13811" s="10" t="s">
        <v>133</v>
      </c>
      <c r="F13811" s="9" t="s">
        <v>134</v>
      </c>
      <c r="G13811" s="10" t="s">
        <v>21</v>
      </c>
      <c r="H13811" s="9" t="s">
        <v>22</v>
      </c>
      <c r="I13811" s="9" t="s">
        <v>28142</v>
      </c>
      <c r="J13811" s="10" t="str">
        <f>HYPERLINK("https://www.boe.es/gazeta/dias/1834/06/18/pdfs/GMD-1834-121.pdf#page=3","Abrir facsímil")</f>
        <v>Abrir facsímil</v>
      </c>
      <c r="K13811" s="10" t="s">
        <v>24</v>
      </c>
    </row>
    <row r="13812" spans="1:11" ht="54" customHeight="1">
      <c r="A13812" s="9" t="s">
        <v>28143</v>
      </c>
      <c r="B13812" s="9" t="s">
        <v>28143</v>
      </c>
      <c r="C13812" s="9" t="s">
        <v>17</v>
      </c>
      <c r="D13812" s="9" t="s">
        <v>18</v>
      </c>
      <c r="E13812" s="10" t="s">
        <v>702</v>
      </c>
      <c r="F13812" s="9" t="s">
        <v>703</v>
      </c>
      <c r="G13812" s="10" t="s">
        <v>34</v>
      </c>
      <c r="H13812" s="9" t="s">
        <v>22</v>
      </c>
      <c r="I13812" s="9" t="s">
        <v>28144</v>
      </c>
      <c r="J13812" s="10" t="str">
        <f>HYPERLINK("https://www.boe.es/gazeta/dias/1834/11/22/pdfs/GMD-C-1834-281.pdf#page=1","Abrir facsímil")</f>
        <v>Abrir facsímil</v>
      </c>
      <c r="K13812" s="10" t="s">
        <v>24</v>
      </c>
    </row>
    <row r="13813" spans="1:11" ht="54" customHeight="1">
      <c r="A13813" s="9" t="s">
        <v>28145</v>
      </c>
      <c r="B13813" s="9" t="s">
        <v>28146</v>
      </c>
      <c r="C13813" s="9" t="s">
        <v>17</v>
      </c>
      <c r="D13813" s="9" t="s">
        <v>55</v>
      </c>
      <c r="E13813" s="10" t="s">
        <v>2098</v>
      </c>
      <c r="F13813" s="9" t="s">
        <v>5817</v>
      </c>
      <c r="G13813" s="10" t="s">
        <v>86</v>
      </c>
      <c r="H13813" s="9" t="s">
        <v>22</v>
      </c>
      <c r="I13813" s="9" t="s">
        <v>28147</v>
      </c>
      <c r="J13813" s="10" t="str">
        <f>HYPERLINK("https://www.boe.es/gazeta/dias/1834/08/11/pdfs/GMD-C-1834-176.pdf#page=2","Abrir facsímil")</f>
        <v>Abrir facsímil</v>
      </c>
      <c r="K13813" s="10" t="s">
        <v>24</v>
      </c>
    </row>
    <row r="13814" spans="1:11" ht="54" customHeight="1">
      <c r="A13814" s="9" t="s">
        <v>28148</v>
      </c>
      <c r="B13814" s="9" t="s">
        <v>28149</v>
      </c>
      <c r="C13814" s="9" t="s">
        <v>17</v>
      </c>
      <c r="D13814" s="9" t="s">
        <v>18</v>
      </c>
      <c r="E13814" s="10" t="s">
        <v>19</v>
      </c>
      <c r="F13814" s="9" t="s">
        <v>20</v>
      </c>
      <c r="G13814" s="10" t="s">
        <v>86</v>
      </c>
      <c r="H13814" s="9" t="s">
        <v>22</v>
      </c>
      <c r="I13814" s="9" t="s">
        <v>28150</v>
      </c>
      <c r="J13814" s="10" t="str">
        <f>HYPERLINK("https://www.boe.es/gazeta/dias/1834/08/17/pdfs/GMD-D-1834-182.pdf#page=2","Abrir facsímil")</f>
        <v>Abrir facsímil</v>
      </c>
      <c r="K13814" s="10" t="s">
        <v>24</v>
      </c>
    </row>
    <row r="13815" spans="1:11" ht="54" customHeight="1">
      <c r="A13815" s="9" t="s">
        <v>28151</v>
      </c>
      <c r="B13815" s="9" t="s">
        <v>28152</v>
      </c>
      <c r="C13815" s="9" t="s">
        <v>17</v>
      </c>
      <c r="D13815" s="9" t="s">
        <v>18</v>
      </c>
      <c r="E13815" s="10" t="s">
        <v>1141</v>
      </c>
      <c r="F13815" s="9" t="s">
        <v>1142</v>
      </c>
      <c r="G13815" s="10" t="s">
        <v>75</v>
      </c>
      <c r="H13815" s="9" t="s">
        <v>22</v>
      </c>
      <c r="I13815" s="9" t="s">
        <v>28153</v>
      </c>
      <c r="J13815" s="10" t="str">
        <f>HYPERLINK("https://www.boe.es/gazeta/dias/1834/04/30/pdfs/GMD-1834-69.pdf#page=4","Abrir facsímil")</f>
        <v>Abrir facsímil</v>
      </c>
      <c r="K13815" s="10" t="s">
        <v>24</v>
      </c>
    </row>
    <row r="13816" spans="1:11" ht="54" customHeight="1">
      <c r="A13816" s="9" t="s">
        <v>28154</v>
      </c>
      <c r="B13816" s="9" t="s">
        <v>28155</v>
      </c>
      <c r="C13816" s="9" t="s">
        <v>17</v>
      </c>
      <c r="D13816" s="9" t="s">
        <v>18</v>
      </c>
      <c r="E13816" s="10" t="s">
        <v>506</v>
      </c>
      <c r="F13816" s="9" t="s">
        <v>507</v>
      </c>
      <c r="G13816" s="10" t="s">
        <v>75</v>
      </c>
      <c r="H13816" s="9" t="s">
        <v>35</v>
      </c>
      <c r="I13816" s="9" t="s">
        <v>28156</v>
      </c>
      <c r="J13816" s="10" t="str">
        <f>HYPERLINK("https://www.boe.es/gazeta/dias/1834/03/04/pdfs/GMD-1834-28.pdf#page=4","Abrir facsímil")</f>
        <v>Abrir facsímil</v>
      </c>
      <c r="K13816" s="10" t="s">
        <v>37</v>
      </c>
    </row>
    <row r="13817" spans="1:11" ht="54" customHeight="1">
      <c r="A13817" s="9" t="s">
        <v>28157</v>
      </c>
      <c r="B13817" s="9" t="s">
        <v>28157</v>
      </c>
      <c r="C13817" s="9" t="s">
        <v>90</v>
      </c>
      <c r="D13817" s="9" t="s">
        <v>18</v>
      </c>
      <c r="E13817" s="10" t="s">
        <v>729</v>
      </c>
      <c r="F13817" s="9" t="s">
        <v>730</v>
      </c>
      <c r="G13817" s="10" t="s">
        <v>86</v>
      </c>
      <c r="H13817" s="9" t="s">
        <v>22</v>
      </c>
      <c r="I13817" s="9" t="s">
        <v>28158</v>
      </c>
      <c r="J13817" s="10" t="str">
        <f>HYPERLINK("https://www.boe.es/gazeta/dias/1834/04/13/pdfs/GMD-1834-52.pdf#page=2","Abrir facsímil")</f>
        <v>Abrir facsímil</v>
      </c>
      <c r="K13817" s="10" t="s">
        <v>24</v>
      </c>
    </row>
    <row r="13818" spans="1:11" ht="54" customHeight="1">
      <c r="A13818" s="9" t="s">
        <v>28159</v>
      </c>
      <c r="B13818" s="9" t="s">
        <v>28160</v>
      </c>
      <c r="C13818" s="9" t="s">
        <v>90</v>
      </c>
      <c r="D13818" s="9" t="s">
        <v>18</v>
      </c>
      <c r="E13818" s="10" t="s">
        <v>729</v>
      </c>
      <c r="F13818" s="9" t="s">
        <v>730</v>
      </c>
      <c r="G13818" s="10" t="s">
        <v>86</v>
      </c>
      <c r="H13818" s="9" t="s">
        <v>35</v>
      </c>
      <c r="I13818" s="9" t="s">
        <v>28161</v>
      </c>
      <c r="J13818" s="10" t="str">
        <f>HYPERLINK("https://www.boe.es/gazeta/dias/1834/04/13/pdfs/GMD-1834-52.pdf#page=2","Abrir facsímil")</f>
        <v>Abrir facsímil</v>
      </c>
      <c r="K13818" s="10" t="s">
        <v>37</v>
      </c>
    </row>
    <row r="13819" spans="1:11" ht="54" customHeight="1">
      <c r="A13819" s="9" t="s">
        <v>28162</v>
      </c>
      <c r="B13819" s="9" t="s">
        <v>28162</v>
      </c>
      <c r="C13819" s="9" t="s">
        <v>90</v>
      </c>
      <c r="D13819" s="9" t="s">
        <v>67</v>
      </c>
      <c r="E13819" s="10" t="s">
        <v>2278</v>
      </c>
      <c r="F13819" s="9" t="s">
        <v>3088</v>
      </c>
      <c r="G13819" s="10" t="s">
        <v>75</v>
      </c>
      <c r="H13819" s="9" t="s">
        <v>22</v>
      </c>
      <c r="I13819" s="9" t="s">
        <v>28163</v>
      </c>
      <c r="J13819" s="10" t="str">
        <f>HYPERLINK("https://www.boe.es/gazeta/dias/1834/12/17/pdfs/GMD-1834-306.pdf#page=4","Abrir facsímil")</f>
        <v>Abrir facsímil</v>
      </c>
      <c r="K13819" s="10" t="s">
        <v>24</v>
      </c>
    </row>
    <row r="13820" spans="1:11" ht="54" customHeight="1">
      <c r="A13820" s="9" t="s">
        <v>28164</v>
      </c>
      <c r="B13820" s="9" t="s">
        <v>28164</v>
      </c>
      <c r="C13820" s="9" t="s">
        <v>17</v>
      </c>
      <c r="D13820" s="9" t="s">
        <v>18</v>
      </c>
      <c r="E13820" s="10" t="s">
        <v>870</v>
      </c>
      <c r="F13820" s="9" t="s">
        <v>871</v>
      </c>
      <c r="G13820" s="10" t="s">
        <v>21</v>
      </c>
      <c r="H13820" s="9" t="s">
        <v>22</v>
      </c>
      <c r="I13820" s="9" t="s">
        <v>28165</v>
      </c>
      <c r="J13820" s="10" t="str">
        <f>HYPERLINK("https://www.boe.es/gazeta/dias/1834/05/28/pdfs/GMD-1834-97.pdf#page=3","Abrir facsímil")</f>
        <v>Abrir facsímil</v>
      </c>
      <c r="K13820" s="10" t="s">
        <v>24</v>
      </c>
    </row>
    <row r="13821" spans="1:11" ht="54" customHeight="1">
      <c r="A13821" s="9" t="s">
        <v>28166</v>
      </c>
      <c r="B13821" s="9" t="s">
        <v>28166</v>
      </c>
      <c r="C13821" s="9" t="s">
        <v>46</v>
      </c>
      <c r="D13821" s="9" t="s">
        <v>18</v>
      </c>
      <c r="E13821" s="10" t="s">
        <v>696</v>
      </c>
      <c r="F13821" s="9" t="s">
        <v>854</v>
      </c>
      <c r="G13821" s="10" t="s">
        <v>86</v>
      </c>
      <c r="H13821" s="9" t="s">
        <v>22</v>
      </c>
      <c r="I13821" s="9" t="s">
        <v>28167</v>
      </c>
      <c r="J13821" s="10" t="str">
        <f>HYPERLINK("https://www.boe.es/gazeta/dias/1834/12/06/pdfs/GMD-1834-295.pdf#page=2","Abrir facsímil")</f>
        <v>Abrir facsímil</v>
      </c>
      <c r="K13821" s="10" t="s">
        <v>24</v>
      </c>
    </row>
    <row r="13822" spans="1:11" ht="54" customHeight="1">
      <c r="A13822" s="9" t="s">
        <v>28168</v>
      </c>
      <c r="B13822" s="9" t="s">
        <v>28169</v>
      </c>
      <c r="C13822" s="9" t="s">
        <v>46</v>
      </c>
      <c r="D13822" s="9" t="s">
        <v>18</v>
      </c>
      <c r="E13822" s="10" t="s">
        <v>696</v>
      </c>
      <c r="F13822" s="9" t="s">
        <v>854</v>
      </c>
      <c r="G13822" s="10" t="s">
        <v>86</v>
      </c>
      <c r="H13822" s="9" t="s">
        <v>35</v>
      </c>
      <c r="I13822" s="9" t="s">
        <v>28170</v>
      </c>
      <c r="J13822" s="10" t="str">
        <f>HYPERLINK("https://www.boe.es/gazeta/dias/1834/12/06/pdfs/GMD-1834-295.pdf#page=2","Abrir facsímil")</f>
        <v>Abrir facsímil</v>
      </c>
      <c r="K13822" s="10" t="s">
        <v>37</v>
      </c>
    </row>
    <row r="13823" spans="1:11" ht="54" customHeight="1">
      <c r="A13823" s="9" t="s">
        <v>28171</v>
      </c>
      <c r="B13823" s="9" t="s">
        <v>28172</v>
      </c>
      <c r="C13823" s="9" t="s">
        <v>17</v>
      </c>
      <c r="D13823" s="9" t="s">
        <v>18</v>
      </c>
      <c r="E13823" s="10" t="s">
        <v>1641</v>
      </c>
      <c r="F13823" s="9" t="s">
        <v>1729</v>
      </c>
      <c r="G13823" s="10" t="s">
        <v>21</v>
      </c>
      <c r="H13823" s="9" t="s">
        <v>35</v>
      </c>
      <c r="I13823" s="9" t="s">
        <v>28173</v>
      </c>
      <c r="J13823" s="10" t="str">
        <f>HYPERLINK("https://www.boe.es/gazeta/dias/1834/09/28/pdfs/GMD-1834-226.pdf#page=3","Abrir facsímil")</f>
        <v>Abrir facsímil</v>
      </c>
      <c r="K13823" s="10" t="s">
        <v>37</v>
      </c>
    </row>
    <row r="13824" spans="1:11" ht="54" customHeight="1">
      <c r="A13824" s="9" t="s">
        <v>28174</v>
      </c>
      <c r="B13824" s="9" t="s">
        <v>28174</v>
      </c>
      <c r="C13824" s="9" t="s">
        <v>17</v>
      </c>
      <c r="D13824" s="9" t="s">
        <v>55</v>
      </c>
      <c r="E13824" s="10" t="s">
        <v>633</v>
      </c>
      <c r="F13824" s="9" t="s">
        <v>634</v>
      </c>
      <c r="G13824" s="10" t="s">
        <v>34</v>
      </c>
      <c r="H13824" s="9" t="s">
        <v>22</v>
      </c>
      <c r="I13824" s="9" t="s">
        <v>28175</v>
      </c>
      <c r="J13824" s="10" t="str">
        <f>HYPERLINK("https://www.boe.es/gazeta/dias/1834/10/24/pdfs/GMD-1834-252.pdf#page=1","Abrir facsímil")</f>
        <v>Abrir facsímil</v>
      </c>
      <c r="K13824" s="10" t="s">
        <v>24</v>
      </c>
    </row>
    <row r="13825" spans="1:11" ht="54" customHeight="1">
      <c r="A13825" s="9" t="s">
        <v>28176</v>
      </c>
      <c r="B13825" s="9" t="s">
        <v>28176</v>
      </c>
      <c r="C13825" s="9" t="s">
        <v>17</v>
      </c>
      <c r="D13825" s="9" t="s">
        <v>18</v>
      </c>
      <c r="E13825" s="10" t="s">
        <v>707</v>
      </c>
      <c r="F13825" s="9" t="s">
        <v>708</v>
      </c>
      <c r="G13825" s="10" t="s">
        <v>470</v>
      </c>
      <c r="H13825" s="9" t="s">
        <v>22</v>
      </c>
      <c r="I13825" s="9" t="s">
        <v>28177</v>
      </c>
      <c r="J13825" s="10" t="str">
        <f>HYPERLINK("https://www.boe.es/gazeta/dias/1834/11/25/pdfs/GMD-C-1834-284.pdf#page=8","Abrir facsímil")</f>
        <v>Abrir facsímil</v>
      </c>
      <c r="K13825" s="10" t="s">
        <v>24</v>
      </c>
    </row>
    <row r="13826" spans="1:11" ht="54" customHeight="1">
      <c r="A13826" s="9" t="s">
        <v>28178</v>
      </c>
      <c r="B13826" s="9" t="s">
        <v>28179</v>
      </c>
      <c r="C13826" s="9" t="s">
        <v>66</v>
      </c>
      <c r="D13826" s="9" t="s">
        <v>67</v>
      </c>
      <c r="E13826" s="10" t="s">
        <v>167</v>
      </c>
      <c r="F13826" s="9" t="s">
        <v>1200</v>
      </c>
      <c r="G13826" s="10" t="s">
        <v>86</v>
      </c>
      <c r="H13826" s="9" t="s">
        <v>35</v>
      </c>
      <c r="I13826" s="9" t="s">
        <v>28180</v>
      </c>
      <c r="J13826" s="10" t="str">
        <f>HYPERLINK("https://www.boe.es/gazeta/dias/1834/09/07/pdfs/GMD-C-1834-205.pdf#page=2","Abrir facsímil")</f>
        <v>Abrir facsímil</v>
      </c>
      <c r="K13826" s="10" t="s">
        <v>37</v>
      </c>
    </row>
    <row r="13827" spans="1:11" ht="54" customHeight="1">
      <c r="A13827" s="9" t="s">
        <v>28181</v>
      </c>
      <c r="B13827" s="9" t="s">
        <v>28182</v>
      </c>
      <c r="C13827" s="9" t="s">
        <v>66</v>
      </c>
      <c r="D13827" s="9" t="s">
        <v>67</v>
      </c>
      <c r="E13827" s="10" t="s">
        <v>167</v>
      </c>
      <c r="F13827" s="9" t="s">
        <v>1200</v>
      </c>
      <c r="G13827" s="10" t="s">
        <v>86</v>
      </c>
      <c r="H13827" s="9" t="s">
        <v>22</v>
      </c>
      <c r="I13827" s="9" t="s">
        <v>28183</v>
      </c>
      <c r="J13827" s="10" t="str">
        <f>HYPERLINK("https://www.boe.es/gazeta/dias/1834/09/07/pdfs/GMD-C-1834-205.pdf#page=2","Abrir facsímil")</f>
        <v>Abrir facsímil</v>
      </c>
      <c r="K13827" s="10" t="s">
        <v>24</v>
      </c>
    </row>
    <row r="13828" spans="1:11" ht="54" customHeight="1">
      <c r="A13828" s="9" t="s">
        <v>28184</v>
      </c>
      <c r="B13828" s="9" t="s">
        <v>28185</v>
      </c>
      <c r="C13828" s="9" t="s">
        <v>17</v>
      </c>
      <c r="D13828" s="9" t="s">
        <v>18</v>
      </c>
      <c r="E13828" s="10" t="s">
        <v>367</v>
      </c>
      <c r="F13828" s="9" t="s">
        <v>368</v>
      </c>
      <c r="G13828" s="10" t="s">
        <v>75</v>
      </c>
      <c r="H13828" s="9" t="s">
        <v>22</v>
      </c>
      <c r="I13828" s="9" t="s">
        <v>28186</v>
      </c>
      <c r="J13828" s="10" t="str">
        <f>HYPERLINK("https://www.boe.es/gazeta/dias/1834/05/19/pdfs/GMD-1834-88.pdf#page=4","Abrir facsímil")</f>
        <v>Abrir facsímil</v>
      </c>
      <c r="K13828" s="10" t="s">
        <v>24</v>
      </c>
    </row>
    <row r="13829" spans="1:11" ht="54" customHeight="1">
      <c r="A13829" s="9" t="s">
        <v>28187</v>
      </c>
      <c r="B13829" s="9" t="s">
        <v>28187</v>
      </c>
      <c r="C13829" s="9" t="s">
        <v>46</v>
      </c>
      <c r="D13829" s="9" t="s">
        <v>40</v>
      </c>
      <c r="E13829" s="10" t="s">
        <v>1262</v>
      </c>
      <c r="F13829" s="9" t="s">
        <v>1263</v>
      </c>
      <c r="G13829" s="10" t="s">
        <v>86</v>
      </c>
      <c r="H13829" s="9" t="s">
        <v>22</v>
      </c>
      <c r="I13829" s="9" t="s">
        <v>28188</v>
      </c>
      <c r="J13829" s="10" t="str">
        <f>HYPERLINK("https://www.boe.es/gazeta/dias/1834/02/01/pdfs/GMD-1834-15.pdf#page=2","Abrir facsímil")</f>
        <v>Abrir facsímil</v>
      </c>
      <c r="K13829" s="10" t="s">
        <v>24</v>
      </c>
    </row>
    <row r="13830" spans="1:11" ht="54" customHeight="1">
      <c r="A13830" s="9" t="s">
        <v>28187</v>
      </c>
      <c r="B13830" s="9" t="s">
        <v>28187</v>
      </c>
      <c r="C13830" s="9" t="s">
        <v>90</v>
      </c>
      <c r="D13830" s="9" t="s">
        <v>101</v>
      </c>
      <c r="E13830" s="10" t="s">
        <v>1297</v>
      </c>
      <c r="F13830" s="9" t="s">
        <v>1879</v>
      </c>
      <c r="G13830" s="10" t="s">
        <v>34</v>
      </c>
      <c r="H13830" s="9" t="s">
        <v>22</v>
      </c>
      <c r="I13830" s="9" t="s">
        <v>28189</v>
      </c>
      <c r="J13830" s="10" t="str">
        <f>HYPERLINK("https://www.boe.es/gazeta/dias/1834/08/01/pdfs/GMD-C-1834-165.pdf#page=1","Abrir facsímil")</f>
        <v>Abrir facsímil</v>
      </c>
      <c r="K13830" s="10" t="s">
        <v>24</v>
      </c>
    </row>
    <row r="13831" spans="1:11" ht="54" customHeight="1">
      <c r="A13831" s="9" t="s">
        <v>28187</v>
      </c>
      <c r="B13831" s="9" t="s">
        <v>28187</v>
      </c>
      <c r="C13831" s="9" t="s">
        <v>17</v>
      </c>
      <c r="D13831" s="9" t="s">
        <v>55</v>
      </c>
      <c r="E13831" s="10" t="s">
        <v>255</v>
      </c>
      <c r="F13831" s="9" t="s">
        <v>256</v>
      </c>
      <c r="G13831" s="10" t="s">
        <v>86</v>
      </c>
      <c r="H13831" s="9" t="s">
        <v>22</v>
      </c>
      <c r="I13831" s="9" t="s">
        <v>28190</v>
      </c>
      <c r="J13831" s="10" t="str">
        <f>HYPERLINK("https://www.boe.es/gazeta/dias/1834/09/01/pdfs/GMD-C-1834-199.pdf#page=2","Abrir facsímil")</f>
        <v>Abrir facsímil</v>
      </c>
      <c r="K13831" s="10" t="s">
        <v>24</v>
      </c>
    </row>
    <row r="13832" spans="1:11" ht="54" customHeight="1">
      <c r="A13832" s="9" t="s">
        <v>28187</v>
      </c>
      <c r="B13832" s="9" t="s">
        <v>28187</v>
      </c>
      <c r="C13832" s="9" t="s">
        <v>17</v>
      </c>
      <c r="D13832" s="9" t="s">
        <v>18</v>
      </c>
      <c r="E13832" s="10" t="s">
        <v>68</v>
      </c>
      <c r="F13832" s="9" t="s">
        <v>69</v>
      </c>
      <c r="G13832" s="10" t="s">
        <v>34</v>
      </c>
      <c r="H13832" s="9" t="s">
        <v>22</v>
      </c>
      <c r="I13832" s="9" t="s">
        <v>28191</v>
      </c>
      <c r="J13832" s="10" t="str">
        <f>HYPERLINK("https://www.boe.es/gazeta/dias/1834/11/01/pdfs/GMD-1834-260.pdf#page=1","Abrir facsímil")</f>
        <v>Abrir facsímil</v>
      </c>
      <c r="K13832" s="10" t="s">
        <v>24</v>
      </c>
    </row>
    <row r="13833" spans="1:11" ht="54" customHeight="1">
      <c r="A13833" s="9" t="s">
        <v>28187</v>
      </c>
      <c r="B13833" s="9" t="s">
        <v>28187</v>
      </c>
      <c r="C13833" s="9" t="s">
        <v>90</v>
      </c>
      <c r="D13833" s="9" t="s">
        <v>18</v>
      </c>
      <c r="E13833" s="10" t="s">
        <v>2053</v>
      </c>
      <c r="F13833" s="9" t="s">
        <v>2912</v>
      </c>
      <c r="G13833" s="10" t="s">
        <v>34</v>
      </c>
      <c r="H13833" s="9" t="s">
        <v>22</v>
      </c>
      <c r="I13833" s="9" t="s">
        <v>28192</v>
      </c>
      <c r="J13833" s="10" t="str">
        <f>HYPERLINK("https://www.boe.es/gazeta/dias/1834/06/02/pdfs/GMD-1834-104E.pdf#page=1","Abrir facsímil")</f>
        <v>Abrir facsímil</v>
      </c>
      <c r="K13833" s="10" t="s">
        <v>24</v>
      </c>
    </row>
    <row r="13834" spans="1:11" ht="54" customHeight="1">
      <c r="A13834" s="9" t="s">
        <v>28187</v>
      </c>
      <c r="B13834" s="9" t="s">
        <v>28187</v>
      </c>
      <c r="C13834" s="9" t="s">
        <v>66</v>
      </c>
      <c r="D13834" s="9" t="s">
        <v>67</v>
      </c>
      <c r="E13834" s="10" t="s">
        <v>2729</v>
      </c>
      <c r="F13834" s="9" t="s">
        <v>2730</v>
      </c>
      <c r="G13834" s="10" t="s">
        <v>86</v>
      </c>
      <c r="H13834" s="9" t="s">
        <v>22</v>
      </c>
      <c r="I13834" s="9" t="s">
        <v>28193</v>
      </c>
      <c r="J13834" s="10" t="str">
        <f>HYPERLINK("https://www.boe.es/gazeta/dias/1834/07/02/pdfs/GMD-1834-135.pdf#page=2","Abrir facsímil")</f>
        <v>Abrir facsímil</v>
      </c>
      <c r="K13834" s="10" t="s">
        <v>24</v>
      </c>
    </row>
    <row r="13835" spans="1:11" ht="54" customHeight="1">
      <c r="A13835" s="9" t="s">
        <v>28187</v>
      </c>
      <c r="B13835" s="9" t="s">
        <v>28187</v>
      </c>
      <c r="C13835" s="9" t="s">
        <v>17</v>
      </c>
      <c r="D13835" s="9" t="s">
        <v>55</v>
      </c>
      <c r="E13835" s="10" t="s">
        <v>2379</v>
      </c>
      <c r="F13835" s="9" t="s">
        <v>2380</v>
      </c>
      <c r="G13835" s="10" t="s">
        <v>34</v>
      </c>
      <c r="H13835" s="9" t="s">
        <v>22</v>
      </c>
      <c r="I13835" s="9" t="s">
        <v>28194</v>
      </c>
      <c r="J13835" s="10" t="str">
        <f>HYPERLINK("https://www.boe.es/gazeta/dias/1834/04/03/pdfs/GMD-1834-42.pdf#page=1","Abrir facsímil")</f>
        <v>Abrir facsímil</v>
      </c>
      <c r="K13835" s="10" t="s">
        <v>24</v>
      </c>
    </row>
    <row r="13836" spans="1:11" ht="54" customHeight="1">
      <c r="A13836" s="9" t="s">
        <v>28187</v>
      </c>
      <c r="B13836" s="9" t="s">
        <v>28187</v>
      </c>
      <c r="C13836" s="9" t="s">
        <v>17</v>
      </c>
      <c r="D13836" s="9" t="s">
        <v>18</v>
      </c>
      <c r="E13836" s="10" t="s">
        <v>1653</v>
      </c>
      <c r="F13836" s="9" t="s">
        <v>1654</v>
      </c>
      <c r="G13836" s="10" t="s">
        <v>86</v>
      </c>
      <c r="H13836" s="9" t="s">
        <v>22</v>
      </c>
      <c r="I13836" s="9" t="s">
        <v>28195</v>
      </c>
      <c r="J13836" s="10" t="str">
        <f>HYPERLINK("https://www.boe.es/gazeta/dias/1834/07/03/pdfs/GMD-1834-136.pdf#page=2","Abrir facsímil")</f>
        <v>Abrir facsímil</v>
      </c>
      <c r="K13836" s="10" t="s">
        <v>24</v>
      </c>
    </row>
    <row r="13837" spans="1:11" ht="54" customHeight="1">
      <c r="A13837" s="9" t="s">
        <v>28187</v>
      </c>
      <c r="B13837" s="9" t="s">
        <v>28187</v>
      </c>
      <c r="C13837" s="9" t="s">
        <v>17</v>
      </c>
      <c r="D13837" s="9" t="s">
        <v>18</v>
      </c>
      <c r="E13837" s="10" t="s">
        <v>690</v>
      </c>
      <c r="F13837" s="9" t="s">
        <v>691</v>
      </c>
      <c r="G13837" s="10" t="s">
        <v>34</v>
      </c>
      <c r="H13837" s="9" t="s">
        <v>22</v>
      </c>
      <c r="I13837" s="9" t="s">
        <v>28196</v>
      </c>
      <c r="J13837" s="10" t="str">
        <f>HYPERLINK("https://www.boe.es/gazeta/dias/1834/09/03/pdfs/GMD-C-1834-201.pdf#page=1","Abrir facsímil")</f>
        <v>Abrir facsímil</v>
      </c>
      <c r="K13837" s="10" t="s">
        <v>24</v>
      </c>
    </row>
    <row r="13838" spans="1:11" ht="54" customHeight="1">
      <c r="A13838" s="9" t="s">
        <v>28187</v>
      </c>
      <c r="B13838" s="9" t="s">
        <v>28187</v>
      </c>
      <c r="C13838" s="9" t="s">
        <v>17</v>
      </c>
      <c r="D13838" s="9" t="s">
        <v>18</v>
      </c>
      <c r="E13838" s="10" t="s">
        <v>690</v>
      </c>
      <c r="F13838" s="9" t="s">
        <v>691</v>
      </c>
      <c r="G13838" s="10" t="s">
        <v>21</v>
      </c>
      <c r="H13838" s="9" t="s">
        <v>22</v>
      </c>
      <c r="I13838" s="9" t="s">
        <v>28197</v>
      </c>
      <c r="J13838" s="10" t="str">
        <f>HYPERLINK("https://www.boe.es/gazeta/dias/1834/09/03/pdfs/GMD-C-1834-201.pdf#page=3","Abrir facsímil")</f>
        <v>Abrir facsímil</v>
      </c>
      <c r="K13838" s="10" t="s">
        <v>24</v>
      </c>
    </row>
    <row r="13839" spans="1:11" ht="54" customHeight="1">
      <c r="A13839" s="9" t="s">
        <v>28187</v>
      </c>
      <c r="B13839" s="9" t="s">
        <v>28187</v>
      </c>
      <c r="C13839" s="9" t="s">
        <v>46</v>
      </c>
      <c r="D13839" s="9" t="s">
        <v>55</v>
      </c>
      <c r="E13839" s="10" t="s">
        <v>2459</v>
      </c>
      <c r="F13839" s="9" t="s">
        <v>2460</v>
      </c>
      <c r="G13839" s="10" t="s">
        <v>86</v>
      </c>
      <c r="H13839" s="9" t="s">
        <v>22</v>
      </c>
      <c r="I13839" s="9" t="s">
        <v>28198</v>
      </c>
      <c r="J13839" s="10" t="str">
        <f>HYPERLINK("https://www.boe.es/gazeta/dias/1834/04/04/pdfs/GMD-1834-43.pdf#page=2","Abrir facsímil")</f>
        <v>Abrir facsímil</v>
      </c>
      <c r="K13839" s="10" t="s">
        <v>24</v>
      </c>
    </row>
    <row r="13840" spans="1:11" ht="54" customHeight="1">
      <c r="A13840" s="9" t="s">
        <v>28187</v>
      </c>
      <c r="B13840" s="9" t="s">
        <v>28187</v>
      </c>
      <c r="C13840" s="9" t="s">
        <v>66</v>
      </c>
      <c r="D13840" s="9" t="s">
        <v>67</v>
      </c>
      <c r="E13840" s="10" t="s">
        <v>1955</v>
      </c>
      <c r="F13840" s="9" t="s">
        <v>1956</v>
      </c>
      <c r="G13840" s="10" t="s">
        <v>75</v>
      </c>
      <c r="H13840" s="9" t="s">
        <v>22</v>
      </c>
      <c r="I13840" s="9" t="s">
        <v>28199</v>
      </c>
      <c r="J13840" s="10" t="str">
        <f>HYPERLINK("https://www.boe.es/gazeta/dias/1834/05/04/pdfs/GMD-1834-73.pdf#page=4","Abrir facsímil")</f>
        <v>Abrir facsímil</v>
      </c>
      <c r="K13840" s="10" t="s">
        <v>24</v>
      </c>
    </row>
    <row r="13841" spans="1:11" ht="54" customHeight="1">
      <c r="A13841" s="9" t="s">
        <v>28187</v>
      </c>
      <c r="B13841" s="9" t="s">
        <v>28187</v>
      </c>
      <c r="C13841" s="9" t="s">
        <v>17</v>
      </c>
      <c r="D13841" s="9" t="s">
        <v>55</v>
      </c>
      <c r="E13841" s="10" t="s">
        <v>355</v>
      </c>
      <c r="F13841" s="9" t="s">
        <v>356</v>
      </c>
      <c r="G13841" s="10" t="s">
        <v>86</v>
      </c>
      <c r="H13841" s="9" t="s">
        <v>22</v>
      </c>
      <c r="I13841" s="9" t="s">
        <v>28200</v>
      </c>
      <c r="J13841" s="10" t="str">
        <f>HYPERLINK("https://www.boe.es/gazeta/dias/1834/07/04/pdfs/GMD-1834-137.pdf#page=2","Abrir facsímil")</f>
        <v>Abrir facsímil</v>
      </c>
      <c r="K13841" s="10" t="s">
        <v>24</v>
      </c>
    </row>
    <row r="13842" spans="1:11" ht="54" customHeight="1">
      <c r="A13842" s="9" t="s">
        <v>28187</v>
      </c>
      <c r="B13842" s="9" t="s">
        <v>28187</v>
      </c>
      <c r="C13842" s="9" t="s">
        <v>17</v>
      </c>
      <c r="D13842" s="9" t="s">
        <v>55</v>
      </c>
      <c r="E13842" s="10" t="s">
        <v>426</v>
      </c>
      <c r="F13842" s="9" t="s">
        <v>427</v>
      </c>
      <c r="G13842" s="10" t="s">
        <v>86</v>
      </c>
      <c r="H13842" s="9" t="s">
        <v>22</v>
      </c>
      <c r="I13842" s="9" t="s">
        <v>28201</v>
      </c>
      <c r="J13842" s="10" t="str">
        <f>HYPERLINK("https://www.boe.es/gazeta/dias/1834/10/04/pdfs/GMD-1834-232.pdf#page=2","Abrir facsímil")</f>
        <v>Abrir facsímil</v>
      </c>
      <c r="K13842" s="10" t="s">
        <v>24</v>
      </c>
    </row>
    <row r="13843" spans="1:11" ht="54" customHeight="1">
      <c r="A13843" s="9" t="s">
        <v>28187</v>
      </c>
      <c r="B13843" s="9" t="s">
        <v>28187</v>
      </c>
      <c r="C13843" s="9" t="s">
        <v>17</v>
      </c>
      <c r="D13843" s="9" t="s">
        <v>18</v>
      </c>
      <c r="E13843" s="10" t="s">
        <v>1658</v>
      </c>
      <c r="F13843" s="9" t="s">
        <v>1659</v>
      </c>
      <c r="G13843" s="10" t="s">
        <v>34</v>
      </c>
      <c r="H13843" s="9" t="s">
        <v>22</v>
      </c>
      <c r="I13843" s="9" t="s">
        <v>28202</v>
      </c>
      <c r="J13843" s="10" t="str">
        <f>HYPERLINK("https://www.boe.es/gazeta/dias/1834/04/05/pdfs/GMD-1834-44.pdf#page=1","Abrir facsímil")</f>
        <v>Abrir facsímil</v>
      </c>
      <c r="K13843" s="10" t="s">
        <v>24</v>
      </c>
    </row>
    <row r="13844" spans="1:11" ht="54" customHeight="1">
      <c r="A13844" s="9" t="s">
        <v>28187</v>
      </c>
      <c r="B13844" s="9" t="s">
        <v>28187</v>
      </c>
      <c r="C13844" s="9" t="s">
        <v>17</v>
      </c>
      <c r="D13844" s="9" t="s">
        <v>18</v>
      </c>
      <c r="E13844" s="10" t="s">
        <v>317</v>
      </c>
      <c r="F13844" s="9" t="s">
        <v>318</v>
      </c>
      <c r="G13844" s="10" t="s">
        <v>86</v>
      </c>
      <c r="H13844" s="9" t="s">
        <v>22</v>
      </c>
      <c r="I13844" s="9" t="s">
        <v>28203</v>
      </c>
      <c r="J13844" s="10" t="str">
        <f>HYPERLINK("https://www.boe.es/gazeta/dias/1834/03/06/pdfs/I00139-00140.pdf#page=2","Abrir facsímil")</f>
        <v>Abrir facsímil</v>
      </c>
      <c r="K13844" s="10" t="s">
        <v>24</v>
      </c>
    </row>
    <row r="13845" spans="1:11" ht="54" customHeight="1">
      <c r="A13845" s="9" t="s">
        <v>28187</v>
      </c>
      <c r="B13845" s="9" t="s">
        <v>28187</v>
      </c>
      <c r="C13845" s="9" t="s">
        <v>17</v>
      </c>
      <c r="D13845" s="9" t="s">
        <v>18</v>
      </c>
      <c r="E13845" s="10" t="s">
        <v>317</v>
      </c>
      <c r="F13845" s="9" t="s">
        <v>318</v>
      </c>
      <c r="G13845" s="10" t="s">
        <v>75</v>
      </c>
      <c r="H13845" s="9" t="s">
        <v>22</v>
      </c>
      <c r="I13845" s="9" t="s">
        <v>28203</v>
      </c>
      <c r="J13845" s="10" t="str">
        <f>HYPERLINK("https://www.boe.es/gazeta/dias/1834/03/06/pdfs/GMD-1834-29.pdf#page=4","Abrir facsímil")</f>
        <v>Abrir facsímil</v>
      </c>
      <c r="K13845" s="10" t="s">
        <v>24</v>
      </c>
    </row>
    <row r="13846" spans="1:11" ht="54" customHeight="1">
      <c r="A13846" s="9" t="s">
        <v>28187</v>
      </c>
      <c r="B13846" s="9" t="s">
        <v>28187</v>
      </c>
      <c r="C13846" s="9" t="s">
        <v>17</v>
      </c>
      <c r="D13846" s="9" t="s">
        <v>18</v>
      </c>
      <c r="E13846" s="10" t="s">
        <v>653</v>
      </c>
      <c r="F13846" s="9" t="s">
        <v>3369</v>
      </c>
      <c r="G13846" s="10" t="s">
        <v>21</v>
      </c>
      <c r="H13846" s="9" t="s">
        <v>22</v>
      </c>
      <c r="I13846" s="9" t="s">
        <v>28204</v>
      </c>
      <c r="J13846" s="10" t="str">
        <f>HYPERLINK("https://www.boe.es/gazeta/dias/1834/08/06/pdfs/GMD-1834-170.pdf#page=3","Abrir facsímil")</f>
        <v>Abrir facsímil</v>
      </c>
      <c r="K13846" s="10" t="s">
        <v>24</v>
      </c>
    </row>
    <row r="13847" spans="1:11" ht="54" customHeight="1">
      <c r="A13847" s="9" t="s">
        <v>28187</v>
      </c>
      <c r="B13847" s="9" t="s">
        <v>28187</v>
      </c>
      <c r="C13847" s="9" t="s">
        <v>122</v>
      </c>
      <c r="D13847" s="9" t="s">
        <v>55</v>
      </c>
      <c r="E13847" s="10" t="s">
        <v>1742</v>
      </c>
      <c r="F13847" s="9" t="s">
        <v>1743</v>
      </c>
      <c r="G13847" s="10" t="s">
        <v>75</v>
      </c>
      <c r="H13847" s="9" t="s">
        <v>22</v>
      </c>
      <c r="I13847" s="9" t="s">
        <v>28205</v>
      </c>
      <c r="J13847" s="10" t="str">
        <f>HYPERLINK("https://www.boe.es/gazeta/dias/1834/11/06/pdfs/GMD-1834-265.pdf#page=4","Abrir facsímil")</f>
        <v>Abrir facsímil</v>
      </c>
      <c r="K13847" s="10" t="s">
        <v>24</v>
      </c>
    </row>
    <row r="13848" spans="1:11" ht="54" customHeight="1">
      <c r="A13848" s="9" t="s">
        <v>28187</v>
      </c>
      <c r="B13848" s="9" t="s">
        <v>28187</v>
      </c>
      <c r="C13848" s="9" t="s">
        <v>17</v>
      </c>
      <c r="D13848" s="9" t="s">
        <v>18</v>
      </c>
      <c r="E13848" s="10" t="s">
        <v>1170</v>
      </c>
      <c r="F13848" s="9" t="s">
        <v>1171</v>
      </c>
      <c r="G13848" s="10" t="s">
        <v>176</v>
      </c>
      <c r="H13848" s="9" t="s">
        <v>22</v>
      </c>
      <c r="I13848" s="9" t="s">
        <v>28206</v>
      </c>
      <c r="J13848" s="10" t="str">
        <f>HYPERLINK("https://www.boe.es/gazeta/dias/1834/01/07/pdfs/GMD-1834-4.pdf#page=6","Abrir facsímil")</f>
        <v>Abrir facsímil</v>
      </c>
      <c r="K13848" s="10" t="s">
        <v>24</v>
      </c>
    </row>
    <row r="13849" spans="1:11" ht="54" customHeight="1">
      <c r="A13849" s="9" t="s">
        <v>28187</v>
      </c>
      <c r="B13849" s="9" t="s">
        <v>28187</v>
      </c>
      <c r="C13849" s="9" t="s">
        <v>17</v>
      </c>
      <c r="D13849" s="9" t="s">
        <v>18</v>
      </c>
      <c r="E13849" s="10" t="s">
        <v>360</v>
      </c>
      <c r="F13849" s="9" t="s">
        <v>361</v>
      </c>
      <c r="G13849" s="10" t="s">
        <v>21</v>
      </c>
      <c r="H13849" s="9" t="s">
        <v>22</v>
      </c>
      <c r="I13849" s="9" t="s">
        <v>28207</v>
      </c>
      <c r="J13849" s="10" t="str">
        <f>HYPERLINK("https://www.boe.es/gazeta/dias/1834/04/07/pdfs/GMD-1834-46.pdf#page=3","Abrir facsímil")</f>
        <v>Abrir facsímil</v>
      </c>
      <c r="K13849" s="10" t="s">
        <v>24</v>
      </c>
    </row>
    <row r="13850" spans="1:11" ht="54" customHeight="1">
      <c r="A13850" s="9" t="s">
        <v>28187</v>
      </c>
      <c r="B13850" s="9" t="s">
        <v>28187</v>
      </c>
      <c r="C13850" s="9" t="s">
        <v>17</v>
      </c>
      <c r="D13850" s="9" t="s">
        <v>55</v>
      </c>
      <c r="E13850" s="10" t="s">
        <v>167</v>
      </c>
      <c r="F13850" s="9" t="s">
        <v>168</v>
      </c>
      <c r="G13850" s="10" t="s">
        <v>86</v>
      </c>
      <c r="H13850" s="9" t="s">
        <v>22</v>
      </c>
      <c r="I13850" s="9" t="s">
        <v>28208</v>
      </c>
      <c r="J13850" s="10" t="str">
        <f>HYPERLINK("https://www.boe.es/gazeta/dias/1834/09/07/pdfs/GMD-1834-205.pdf#page=2","Abrir facsímil")</f>
        <v>Abrir facsímil</v>
      </c>
      <c r="K13850" s="10" t="s">
        <v>24</v>
      </c>
    </row>
    <row r="13851" spans="1:11" ht="54" customHeight="1">
      <c r="A13851" s="9" t="s">
        <v>28187</v>
      </c>
      <c r="B13851" s="9" t="s">
        <v>28187</v>
      </c>
      <c r="C13851" s="9" t="s">
        <v>17</v>
      </c>
      <c r="D13851" s="9" t="s">
        <v>18</v>
      </c>
      <c r="E13851" s="10" t="s">
        <v>167</v>
      </c>
      <c r="F13851" s="9" t="s">
        <v>1200</v>
      </c>
      <c r="G13851" s="10" t="s">
        <v>176</v>
      </c>
      <c r="H13851" s="9" t="s">
        <v>22</v>
      </c>
      <c r="I13851" s="9" t="s">
        <v>28209</v>
      </c>
      <c r="J13851" s="10" t="str">
        <f>HYPERLINK("https://www.boe.es/gazeta/dias/1834/09/07/pdfs/GMD-C-1834-205.pdf#page=6","Abrir facsímil")</f>
        <v>Abrir facsímil</v>
      </c>
      <c r="K13851" s="10" t="s">
        <v>24</v>
      </c>
    </row>
    <row r="13852" spans="1:11" ht="54" customHeight="1">
      <c r="A13852" s="9" t="s">
        <v>28187</v>
      </c>
      <c r="B13852" s="9" t="s">
        <v>28187</v>
      </c>
      <c r="C13852" s="9" t="s">
        <v>17</v>
      </c>
      <c r="D13852" s="9" t="s">
        <v>18</v>
      </c>
      <c r="E13852" s="10" t="s">
        <v>167</v>
      </c>
      <c r="F13852" s="9" t="s">
        <v>1200</v>
      </c>
      <c r="G13852" s="10" t="s">
        <v>560</v>
      </c>
      <c r="H13852" s="9" t="s">
        <v>22</v>
      </c>
      <c r="I13852" s="9" t="s">
        <v>28210</v>
      </c>
      <c r="J13852" s="10" t="str">
        <f>HYPERLINK("https://www.boe.es/gazeta/dias/1834/09/07/pdfs/GMD-C-1834-205.pdf#page=7","Abrir facsímil")</f>
        <v>Abrir facsímil</v>
      </c>
      <c r="K13852" s="10" t="s">
        <v>24</v>
      </c>
    </row>
    <row r="13853" spans="1:11" ht="54" customHeight="1">
      <c r="A13853" s="9" t="s">
        <v>28187</v>
      </c>
      <c r="B13853" s="9" t="s">
        <v>28187</v>
      </c>
      <c r="C13853" s="9" t="s">
        <v>17</v>
      </c>
      <c r="D13853" s="9" t="s">
        <v>18</v>
      </c>
      <c r="E13853" s="10" t="s">
        <v>167</v>
      </c>
      <c r="F13853" s="9" t="s">
        <v>1200</v>
      </c>
      <c r="G13853" s="10" t="s">
        <v>470</v>
      </c>
      <c r="H13853" s="9" t="s">
        <v>22</v>
      </c>
      <c r="I13853" s="9" t="s">
        <v>28211</v>
      </c>
      <c r="J13853" s="10" t="str">
        <f>HYPERLINK("https://www.boe.es/gazeta/dias/1834/09/07/pdfs/GMD-C-1834-205.pdf#page=8","Abrir facsímil")</f>
        <v>Abrir facsímil</v>
      </c>
      <c r="K13853" s="10" t="s">
        <v>24</v>
      </c>
    </row>
    <row r="13854" spans="1:11" ht="54" customHeight="1">
      <c r="A13854" s="9" t="s">
        <v>28187</v>
      </c>
      <c r="B13854" s="9" t="s">
        <v>28187</v>
      </c>
      <c r="C13854" s="9" t="s">
        <v>17</v>
      </c>
      <c r="D13854" s="9" t="s">
        <v>55</v>
      </c>
      <c r="E13854" s="10" t="s">
        <v>433</v>
      </c>
      <c r="F13854" s="9" t="s">
        <v>434</v>
      </c>
      <c r="G13854" s="10" t="s">
        <v>34</v>
      </c>
      <c r="H13854" s="9" t="s">
        <v>22</v>
      </c>
      <c r="I13854" s="9" t="s">
        <v>28212</v>
      </c>
      <c r="J13854" s="10" t="str">
        <f>HYPERLINK("https://www.boe.es/gazeta/dias/1834/10/07/pdfs/GMD-C-1834-235.pdf#page=1","Abrir facsímil")</f>
        <v>Abrir facsímil</v>
      </c>
      <c r="K13854" s="10" t="s">
        <v>24</v>
      </c>
    </row>
    <row r="13855" spans="1:11" ht="54" customHeight="1">
      <c r="A13855" s="9" t="s">
        <v>28187</v>
      </c>
      <c r="B13855" s="9" t="s">
        <v>28187</v>
      </c>
      <c r="C13855" s="9" t="s">
        <v>17</v>
      </c>
      <c r="D13855" s="9" t="s">
        <v>18</v>
      </c>
      <c r="E13855" s="10" t="s">
        <v>762</v>
      </c>
      <c r="F13855" s="9" t="s">
        <v>763</v>
      </c>
      <c r="G13855" s="10" t="s">
        <v>34</v>
      </c>
      <c r="H13855" s="9" t="s">
        <v>22</v>
      </c>
      <c r="I13855" s="9" t="s">
        <v>28213</v>
      </c>
      <c r="J13855" s="10" t="str">
        <f>HYPERLINK("https://www.boe.es/gazeta/dias/1834/11/07/pdfs/GMD-1834-266.pdf#page=1","Abrir facsímil")</f>
        <v>Abrir facsímil</v>
      </c>
      <c r="K13855" s="10" t="s">
        <v>24</v>
      </c>
    </row>
    <row r="13856" spans="1:11" ht="54" customHeight="1">
      <c r="A13856" s="9" t="s">
        <v>28187</v>
      </c>
      <c r="B13856" s="9" t="s">
        <v>28187</v>
      </c>
      <c r="C13856" s="9" t="s">
        <v>17</v>
      </c>
      <c r="D13856" s="9" t="s">
        <v>18</v>
      </c>
      <c r="E13856" s="10" t="s">
        <v>762</v>
      </c>
      <c r="F13856" s="9" t="s">
        <v>2227</v>
      </c>
      <c r="G13856" s="10" t="s">
        <v>21</v>
      </c>
      <c r="H13856" s="9" t="s">
        <v>22</v>
      </c>
      <c r="I13856" s="9" t="s">
        <v>28214</v>
      </c>
      <c r="J13856" s="10" t="str">
        <f>HYPERLINK("https://www.boe.es/gazeta/dias/1834/11/07/pdfs/GMD-C-1834-266.pdf#page=3","Abrir facsímil")</f>
        <v>Abrir facsímil</v>
      </c>
      <c r="K13856" s="10" t="s">
        <v>24</v>
      </c>
    </row>
    <row r="13857" spans="1:11" ht="54" customHeight="1">
      <c r="A13857" s="9" t="s">
        <v>28187</v>
      </c>
      <c r="B13857" s="9" t="s">
        <v>28187</v>
      </c>
      <c r="C13857" s="9" t="s">
        <v>17</v>
      </c>
      <c r="D13857" s="9" t="s">
        <v>18</v>
      </c>
      <c r="E13857" s="10" t="s">
        <v>3170</v>
      </c>
      <c r="F13857" s="9" t="s">
        <v>3171</v>
      </c>
      <c r="G13857" s="10" t="s">
        <v>75</v>
      </c>
      <c r="H13857" s="9" t="s">
        <v>22</v>
      </c>
      <c r="I13857" s="9" t="s">
        <v>28215</v>
      </c>
      <c r="J13857" s="10" t="str">
        <f>HYPERLINK("https://www.boe.es/gazeta/dias/1834/12/07/pdfs/GMD-1834-296.pdf#page=4","Abrir facsímil")</f>
        <v>Abrir facsímil</v>
      </c>
      <c r="K13857" s="10" t="s">
        <v>24</v>
      </c>
    </row>
    <row r="13858" spans="1:11" ht="54" customHeight="1">
      <c r="A13858" s="9" t="s">
        <v>28187</v>
      </c>
      <c r="B13858" s="9" t="s">
        <v>28187</v>
      </c>
      <c r="C13858" s="9" t="s">
        <v>66</v>
      </c>
      <c r="D13858" s="9" t="s">
        <v>67</v>
      </c>
      <c r="E13858" s="10" t="s">
        <v>860</v>
      </c>
      <c r="F13858" s="9" t="s">
        <v>1755</v>
      </c>
      <c r="G13858" s="10" t="s">
        <v>86</v>
      </c>
      <c r="H13858" s="9" t="s">
        <v>22</v>
      </c>
      <c r="I13858" s="9" t="s">
        <v>28216</v>
      </c>
      <c r="J13858" s="10" t="str">
        <f>HYPERLINK("https://www.boe.es/gazeta/dias/1834/02/08/pdfs/GMD-C-1834-18.pdf#page=2","Abrir facsímil")</f>
        <v>Abrir facsímil</v>
      </c>
      <c r="K13858" s="10" t="s">
        <v>24</v>
      </c>
    </row>
    <row r="13859" spans="1:11" ht="54" customHeight="1">
      <c r="A13859" s="9" t="s">
        <v>28187</v>
      </c>
      <c r="B13859" s="9" t="s">
        <v>28187</v>
      </c>
      <c r="C13859" s="9" t="s">
        <v>66</v>
      </c>
      <c r="D13859" s="9" t="s">
        <v>18</v>
      </c>
      <c r="E13859" s="10" t="s">
        <v>1265</v>
      </c>
      <c r="F13859" s="9" t="s">
        <v>1266</v>
      </c>
      <c r="G13859" s="10" t="s">
        <v>86</v>
      </c>
      <c r="H13859" s="9" t="s">
        <v>22</v>
      </c>
      <c r="I13859" s="9" t="s">
        <v>28217</v>
      </c>
      <c r="J13859" s="10" t="str">
        <f>HYPERLINK("https://www.boe.es/gazeta/dias/1834/09/08/pdfs/GMD-1834-206.pdf#page=2","Abrir facsímil")</f>
        <v>Abrir facsímil</v>
      </c>
      <c r="K13859" s="10" t="s">
        <v>24</v>
      </c>
    </row>
    <row r="13860" spans="1:11" ht="54" customHeight="1">
      <c r="A13860" s="9" t="s">
        <v>28187</v>
      </c>
      <c r="B13860" s="9" t="s">
        <v>28187</v>
      </c>
      <c r="C13860" s="9" t="s">
        <v>17</v>
      </c>
      <c r="D13860" s="9" t="s">
        <v>18</v>
      </c>
      <c r="E13860" s="10" t="s">
        <v>1008</v>
      </c>
      <c r="F13860" s="9" t="s">
        <v>1009</v>
      </c>
      <c r="G13860" s="10" t="s">
        <v>75</v>
      </c>
      <c r="H13860" s="9" t="s">
        <v>22</v>
      </c>
      <c r="I13860" s="9" t="s">
        <v>28218</v>
      </c>
      <c r="J13860" s="10" t="str">
        <f>HYPERLINK("https://www.boe.es/gazeta/dias/1834/11/08/pdfs/GMD-C-1834-267.pdf#page=4","Abrir facsímil")</f>
        <v>Abrir facsímil</v>
      </c>
      <c r="K13860" s="10" t="s">
        <v>24</v>
      </c>
    </row>
    <row r="13861" spans="1:11" ht="54" customHeight="1">
      <c r="A13861" s="9" t="s">
        <v>28187</v>
      </c>
      <c r="B13861" s="9" t="s">
        <v>28187</v>
      </c>
      <c r="C13861" s="9" t="s">
        <v>46</v>
      </c>
      <c r="D13861" s="9" t="s">
        <v>55</v>
      </c>
      <c r="E13861" s="10" t="s">
        <v>56</v>
      </c>
      <c r="F13861" s="9" t="s">
        <v>57</v>
      </c>
      <c r="G13861" s="10" t="s">
        <v>21</v>
      </c>
      <c r="H13861" s="9" t="s">
        <v>22</v>
      </c>
      <c r="I13861" s="9" t="s">
        <v>28219</v>
      </c>
      <c r="J13861" s="10" t="str">
        <f>HYPERLINK("https://www.boe.es/gazeta/dias/1834/07/09/pdfs/GMD-1834-142.pdf#page=3","Abrir facsímil")</f>
        <v>Abrir facsímil</v>
      </c>
      <c r="K13861" s="10" t="s">
        <v>24</v>
      </c>
    </row>
    <row r="13862" spans="1:11" ht="54" customHeight="1">
      <c r="A13862" s="9" t="s">
        <v>28187</v>
      </c>
      <c r="B13862" s="9" t="s">
        <v>28187</v>
      </c>
      <c r="C13862" s="9" t="s">
        <v>17</v>
      </c>
      <c r="D13862" s="9" t="s">
        <v>18</v>
      </c>
      <c r="E13862" s="10" t="s">
        <v>258</v>
      </c>
      <c r="F13862" s="9" t="s">
        <v>1075</v>
      </c>
      <c r="G13862" s="10" t="s">
        <v>86</v>
      </c>
      <c r="H13862" s="9" t="s">
        <v>22</v>
      </c>
      <c r="I13862" s="9" t="s">
        <v>28220</v>
      </c>
      <c r="J13862" s="10" t="str">
        <f>HYPERLINK("https://www.boe.es/gazeta/dias/1834/10/09/pdfs/GMD-1834-237.pdf#page=2","Abrir facsímil")</f>
        <v>Abrir facsímil</v>
      </c>
      <c r="K13862" s="10" t="s">
        <v>24</v>
      </c>
    </row>
    <row r="13863" spans="1:11" ht="54" customHeight="1">
      <c r="A13863" s="9" t="s">
        <v>28187</v>
      </c>
      <c r="B13863" s="9" t="s">
        <v>28187</v>
      </c>
      <c r="C13863" s="9" t="s">
        <v>46</v>
      </c>
      <c r="D13863" s="9" t="s">
        <v>101</v>
      </c>
      <c r="E13863" s="10" t="s">
        <v>258</v>
      </c>
      <c r="F13863" s="9" t="s">
        <v>259</v>
      </c>
      <c r="G13863" s="10" t="s">
        <v>86</v>
      </c>
      <c r="H13863" s="9" t="s">
        <v>22</v>
      </c>
      <c r="I13863" s="9" t="s">
        <v>28221</v>
      </c>
      <c r="J13863" s="10" t="str">
        <f>HYPERLINK("https://www.boe.es/gazeta/dias/1834/10/09/pdfs/GMD-C-1834-237.pdf#page=2","Abrir facsímil")</f>
        <v>Abrir facsímil</v>
      </c>
      <c r="K13863" s="10" t="s">
        <v>24</v>
      </c>
    </row>
    <row r="13864" spans="1:11" ht="54" customHeight="1">
      <c r="A13864" s="9" t="s">
        <v>28187</v>
      </c>
      <c r="B13864" s="9" t="s">
        <v>28187</v>
      </c>
      <c r="C13864" s="9" t="s">
        <v>66</v>
      </c>
      <c r="D13864" s="9" t="s">
        <v>67</v>
      </c>
      <c r="E13864" s="10" t="s">
        <v>258</v>
      </c>
      <c r="F13864" s="9" t="s">
        <v>259</v>
      </c>
      <c r="G13864" s="10" t="s">
        <v>176</v>
      </c>
      <c r="H13864" s="9" t="s">
        <v>22</v>
      </c>
      <c r="I13864" s="9" t="s">
        <v>28222</v>
      </c>
      <c r="J13864" s="10" t="str">
        <f>HYPERLINK("https://www.boe.es/gazeta/dias/1834/10/09/pdfs/GMD-C-1834-237.pdf#page=6","Abrir facsímil")</f>
        <v>Abrir facsímil</v>
      </c>
      <c r="K13864" s="10" t="s">
        <v>24</v>
      </c>
    </row>
    <row r="13865" spans="1:11" ht="54" customHeight="1">
      <c r="A13865" s="9" t="s">
        <v>28187</v>
      </c>
      <c r="B13865" s="9" t="s">
        <v>28187</v>
      </c>
      <c r="C13865" s="9" t="s">
        <v>122</v>
      </c>
      <c r="D13865" s="9" t="s">
        <v>55</v>
      </c>
      <c r="E13865" s="10" t="s">
        <v>956</v>
      </c>
      <c r="F13865" s="9" t="s">
        <v>957</v>
      </c>
      <c r="G13865" s="10" t="s">
        <v>21</v>
      </c>
      <c r="H13865" s="9" t="s">
        <v>22</v>
      </c>
      <c r="I13865" s="9" t="s">
        <v>28223</v>
      </c>
      <c r="J13865" s="10" t="str">
        <f>HYPERLINK("https://www.boe.es/gazeta/dias/1834/08/10/pdfs/GMD-C-1834-175.pdf#page=3","Abrir facsímil")</f>
        <v>Abrir facsímil</v>
      </c>
      <c r="K13865" s="10" t="s">
        <v>24</v>
      </c>
    </row>
    <row r="13866" spans="1:11" ht="54" customHeight="1">
      <c r="A13866" s="9" t="s">
        <v>28187</v>
      </c>
      <c r="B13866" s="9" t="s">
        <v>28187</v>
      </c>
      <c r="C13866" s="9" t="s">
        <v>17</v>
      </c>
      <c r="D13866" s="9" t="s">
        <v>18</v>
      </c>
      <c r="E13866" s="10" t="s">
        <v>679</v>
      </c>
      <c r="F13866" s="9" t="s">
        <v>680</v>
      </c>
      <c r="G13866" s="10" t="s">
        <v>75</v>
      </c>
      <c r="H13866" s="9" t="s">
        <v>22</v>
      </c>
      <c r="I13866" s="9" t="s">
        <v>28224</v>
      </c>
      <c r="J13866" s="10" t="str">
        <f>HYPERLINK("https://www.boe.es/gazeta/dias/1834/12/10/pdfs/GMD-1834-299.pdf#page=4","Abrir facsímil")</f>
        <v>Abrir facsímil</v>
      </c>
      <c r="K13866" s="10" t="s">
        <v>24</v>
      </c>
    </row>
    <row r="13867" spans="1:11" ht="54" customHeight="1">
      <c r="A13867" s="9" t="s">
        <v>28187</v>
      </c>
      <c r="B13867" s="9" t="s">
        <v>28187</v>
      </c>
      <c r="C13867" s="9" t="s">
        <v>66</v>
      </c>
      <c r="D13867" s="9" t="s">
        <v>67</v>
      </c>
      <c r="E13867" s="10" t="s">
        <v>785</v>
      </c>
      <c r="F13867" s="9" t="s">
        <v>786</v>
      </c>
      <c r="G13867" s="10" t="s">
        <v>21</v>
      </c>
      <c r="H13867" s="9" t="s">
        <v>22</v>
      </c>
      <c r="I13867" s="9" t="s">
        <v>28225</v>
      </c>
      <c r="J13867" s="10" t="str">
        <f>HYPERLINK("https://www.boe.es/gazeta/dias/1834/02/11/pdfs/GMD-1834-19.pdf#page=3","Abrir facsímil")</f>
        <v>Abrir facsímil</v>
      </c>
      <c r="K13867" s="10" t="s">
        <v>24</v>
      </c>
    </row>
    <row r="13868" spans="1:11" ht="54" customHeight="1">
      <c r="A13868" s="9" t="s">
        <v>28187</v>
      </c>
      <c r="B13868" s="9" t="s">
        <v>28187</v>
      </c>
      <c r="C13868" s="9" t="s">
        <v>17</v>
      </c>
      <c r="D13868" s="9" t="s">
        <v>40</v>
      </c>
      <c r="E13868" s="10" t="s">
        <v>11736</v>
      </c>
      <c r="F13868" s="9" t="s">
        <v>11737</v>
      </c>
      <c r="G13868" s="10" t="s">
        <v>21</v>
      </c>
      <c r="H13868" s="9" t="s">
        <v>22</v>
      </c>
      <c r="I13868" s="9" t="s">
        <v>28226</v>
      </c>
      <c r="J13868" s="10" t="str">
        <f>HYPERLINK("https://www.boe.es/gazeta/dias/1834/04/11/pdfs/GMD-1834-50.pdf#page=3","Abrir facsímil")</f>
        <v>Abrir facsímil</v>
      </c>
      <c r="K13868" s="10" t="s">
        <v>24</v>
      </c>
    </row>
    <row r="13869" spans="1:11" ht="54" customHeight="1">
      <c r="A13869" s="9" t="s">
        <v>28187</v>
      </c>
      <c r="B13869" s="9" t="s">
        <v>28187</v>
      </c>
      <c r="C13869" s="9" t="s">
        <v>46</v>
      </c>
      <c r="D13869" s="9" t="s">
        <v>101</v>
      </c>
      <c r="E13869" s="10" t="s">
        <v>334</v>
      </c>
      <c r="F13869" s="9" t="s">
        <v>567</v>
      </c>
      <c r="G13869" s="10" t="s">
        <v>21</v>
      </c>
      <c r="H13869" s="9" t="s">
        <v>22</v>
      </c>
      <c r="I13869" s="9" t="s">
        <v>28227</v>
      </c>
      <c r="J13869" s="10" t="str">
        <f>HYPERLINK("https://www.boe.es/gazeta/dias/1834/09/11/pdfs/GMD-1834-209.pdf#page=3","Abrir facsímil")</f>
        <v>Abrir facsímil</v>
      </c>
      <c r="K13869" s="10" t="s">
        <v>24</v>
      </c>
    </row>
    <row r="13870" spans="1:11" ht="54" customHeight="1">
      <c r="A13870" s="9" t="s">
        <v>28187</v>
      </c>
      <c r="B13870" s="9" t="s">
        <v>28187</v>
      </c>
      <c r="C13870" s="9" t="s">
        <v>46</v>
      </c>
      <c r="D13870" s="9" t="s">
        <v>55</v>
      </c>
      <c r="E13870" s="10" t="s">
        <v>200</v>
      </c>
      <c r="F13870" s="9" t="s">
        <v>201</v>
      </c>
      <c r="G13870" s="10" t="s">
        <v>21</v>
      </c>
      <c r="H13870" s="9" t="s">
        <v>22</v>
      </c>
      <c r="I13870" s="9" t="s">
        <v>28228</v>
      </c>
      <c r="J13870" s="10" t="str">
        <f>HYPERLINK("https://www.boe.es/gazeta/dias/1834/12/11/pdfs/GMD-1834-300.pdf#page=3","Abrir facsímil")</f>
        <v>Abrir facsímil</v>
      </c>
      <c r="K13870" s="10" t="s">
        <v>24</v>
      </c>
    </row>
    <row r="13871" spans="1:11" ht="54" customHeight="1">
      <c r="A13871" s="9" t="s">
        <v>28187</v>
      </c>
      <c r="B13871" s="9" t="s">
        <v>28187</v>
      </c>
      <c r="C13871" s="9" t="s">
        <v>17</v>
      </c>
      <c r="D13871" s="9" t="s">
        <v>18</v>
      </c>
      <c r="E13871" s="10" t="s">
        <v>444</v>
      </c>
      <c r="F13871" s="9" t="s">
        <v>2412</v>
      </c>
      <c r="G13871" s="10" t="s">
        <v>86</v>
      </c>
      <c r="H13871" s="9" t="s">
        <v>22</v>
      </c>
      <c r="I13871" s="9" t="s">
        <v>28229</v>
      </c>
      <c r="J13871" s="10" t="str">
        <f>HYPERLINK("https://www.boe.es/gazeta/dias/1834/09/12/pdfs/GMD-1834-210.pdf#page=2","Abrir facsímil")</f>
        <v>Abrir facsímil</v>
      </c>
      <c r="K13871" s="10" t="s">
        <v>24</v>
      </c>
    </row>
    <row r="13872" spans="1:11" ht="54" customHeight="1">
      <c r="A13872" s="9" t="s">
        <v>28187</v>
      </c>
      <c r="B13872" s="9" t="s">
        <v>28187</v>
      </c>
      <c r="C13872" s="9" t="s">
        <v>66</v>
      </c>
      <c r="D13872" s="9" t="s">
        <v>67</v>
      </c>
      <c r="E13872" s="10" t="s">
        <v>444</v>
      </c>
      <c r="F13872" s="9" t="s">
        <v>2412</v>
      </c>
      <c r="G13872" s="10" t="s">
        <v>75</v>
      </c>
      <c r="H13872" s="9" t="s">
        <v>22</v>
      </c>
      <c r="I13872" s="9" t="s">
        <v>28230</v>
      </c>
      <c r="J13872" s="10" t="str">
        <f>HYPERLINK("https://www.boe.es/gazeta/dias/1834/09/12/pdfs/GMD-1834-210.pdf#page=4","Abrir facsímil")</f>
        <v>Abrir facsímil</v>
      </c>
      <c r="K13872" s="10" t="s">
        <v>24</v>
      </c>
    </row>
    <row r="13873" spans="1:11" ht="54" customHeight="1">
      <c r="A13873" s="9" t="s">
        <v>28187</v>
      </c>
      <c r="B13873" s="9" t="s">
        <v>28187</v>
      </c>
      <c r="C13873" s="9" t="s">
        <v>46</v>
      </c>
      <c r="D13873" s="9" t="s">
        <v>55</v>
      </c>
      <c r="E13873" s="10" t="s">
        <v>642</v>
      </c>
      <c r="F13873" s="9" t="s">
        <v>1843</v>
      </c>
      <c r="G13873" s="10" t="s">
        <v>86</v>
      </c>
      <c r="H13873" s="9" t="s">
        <v>22</v>
      </c>
      <c r="I13873" s="9" t="s">
        <v>28231</v>
      </c>
      <c r="J13873" s="10" t="str">
        <f>HYPERLINK("https://www.boe.es/gazeta/dias/1834/11/12/pdfs/GMD-1834-271.pdf#page=2","Abrir facsímil")</f>
        <v>Abrir facsímil</v>
      </c>
      <c r="K13873" s="10" t="s">
        <v>24</v>
      </c>
    </row>
    <row r="13874" spans="1:11" ht="54" customHeight="1">
      <c r="A13874" s="9" t="s">
        <v>28187</v>
      </c>
      <c r="B13874" s="9" t="s">
        <v>28187</v>
      </c>
      <c r="C13874" s="9" t="s">
        <v>17</v>
      </c>
      <c r="D13874" s="9" t="s">
        <v>55</v>
      </c>
      <c r="E13874" s="10" t="s">
        <v>1226</v>
      </c>
      <c r="F13874" s="9" t="s">
        <v>1227</v>
      </c>
      <c r="G13874" s="10" t="s">
        <v>34</v>
      </c>
      <c r="H13874" s="9" t="s">
        <v>22</v>
      </c>
      <c r="I13874" s="9" t="s">
        <v>28232</v>
      </c>
      <c r="J13874" s="10" t="str">
        <f>HYPERLINK("https://www.boe.es/gazeta/dias/1834/07/14/pdfs/GMD-1834-147.pdf#page=1","Abrir facsímil")</f>
        <v>Abrir facsímil</v>
      </c>
      <c r="K13874" s="10" t="s">
        <v>24</v>
      </c>
    </row>
    <row r="13875" spans="1:11" ht="54" customHeight="1">
      <c r="A13875" s="9" t="s">
        <v>28187</v>
      </c>
      <c r="B13875" s="9" t="s">
        <v>28187</v>
      </c>
      <c r="C13875" s="9" t="s">
        <v>90</v>
      </c>
      <c r="D13875" s="9" t="s">
        <v>18</v>
      </c>
      <c r="E13875" s="10" t="s">
        <v>2087</v>
      </c>
      <c r="F13875" s="9" t="s">
        <v>2088</v>
      </c>
      <c r="G13875" s="10" t="s">
        <v>21</v>
      </c>
      <c r="H13875" s="9" t="s">
        <v>22</v>
      </c>
      <c r="I13875" s="9" t="s">
        <v>28233</v>
      </c>
      <c r="J13875" s="10" t="str">
        <f>HYPERLINK("https://www.boe.es/gazeta/dias/1834/12/14/pdfs/GMD-1834-303.pdf#page=3","Abrir facsímil")</f>
        <v>Abrir facsímil</v>
      </c>
      <c r="K13875" s="10" t="s">
        <v>24</v>
      </c>
    </row>
    <row r="13876" spans="1:11" ht="54" customHeight="1">
      <c r="A13876" s="9" t="s">
        <v>28187</v>
      </c>
      <c r="B13876" s="9" t="s">
        <v>28187</v>
      </c>
      <c r="C13876" s="9" t="s">
        <v>66</v>
      </c>
      <c r="D13876" s="9" t="s">
        <v>67</v>
      </c>
      <c r="E13876" s="10" t="s">
        <v>912</v>
      </c>
      <c r="F13876" s="9" t="s">
        <v>913</v>
      </c>
      <c r="G13876" s="10" t="s">
        <v>21</v>
      </c>
      <c r="H13876" s="9" t="s">
        <v>22</v>
      </c>
      <c r="I13876" s="9" t="s">
        <v>28234</v>
      </c>
      <c r="J13876" s="10" t="str">
        <f>HYPERLINK("https://www.boe.es/gazeta/dias/1834/02/15/pdfs/GMD-1834-21.pdf#page=3","Abrir facsímil")</f>
        <v>Abrir facsímil</v>
      </c>
      <c r="K13876" s="10" t="s">
        <v>24</v>
      </c>
    </row>
    <row r="13877" spans="1:11" ht="54" customHeight="1">
      <c r="A13877" s="9" t="s">
        <v>28187</v>
      </c>
      <c r="B13877" s="9" t="s">
        <v>28187</v>
      </c>
      <c r="C13877" s="9" t="s">
        <v>17</v>
      </c>
      <c r="D13877" s="9" t="s">
        <v>55</v>
      </c>
      <c r="E13877" s="10" t="s">
        <v>326</v>
      </c>
      <c r="F13877" s="9" t="s">
        <v>327</v>
      </c>
      <c r="G13877" s="10" t="s">
        <v>86</v>
      </c>
      <c r="H13877" s="9" t="s">
        <v>22</v>
      </c>
      <c r="I13877" s="9" t="s">
        <v>28235</v>
      </c>
      <c r="J13877" s="10" t="str">
        <f>HYPERLINK("https://www.boe.es/gazeta/dias/1834/07/15/pdfs/GMD-1834-148.pdf#page=2","Abrir facsímil")</f>
        <v>Abrir facsímil</v>
      </c>
      <c r="K13877" s="10" t="s">
        <v>24</v>
      </c>
    </row>
    <row r="13878" spans="1:11" ht="54" customHeight="1">
      <c r="A13878" s="9" t="s">
        <v>28187</v>
      </c>
      <c r="B13878" s="9" t="s">
        <v>28187</v>
      </c>
      <c r="C13878" s="9" t="s">
        <v>46</v>
      </c>
      <c r="D13878" s="9" t="s">
        <v>101</v>
      </c>
      <c r="E13878" s="10" t="s">
        <v>928</v>
      </c>
      <c r="F13878" s="9" t="s">
        <v>3338</v>
      </c>
      <c r="G13878" s="10" t="s">
        <v>86</v>
      </c>
      <c r="H13878" s="9" t="s">
        <v>22</v>
      </c>
      <c r="I13878" s="9" t="s">
        <v>28236</v>
      </c>
      <c r="J13878" s="10" t="str">
        <f>HYPERLINK("https://www.boe.es/gazeta/dias/1834/11/15/pdfs/GMD-1834-274.pdf#page=2","Abrir facsímil")</f>
        <v>Abrir facsímil</v>
      </c>
      <c r="K13878" s="10" t="s">
        <v>24</v>
      </c>
    </row>
    <row r="13879" spans="1:11" ht="54" customHeight="1">
      <c r="A13879" s="9" t="s">
        <v>28187</v>
      </c>
      <c r="B13879" s="9" t="s">
        <v>28187</v>
      </c>
      <c r="C13879" s="9" t="s">
        <v>17</v>
      </c>
      <c r="D13879" s="9" t="s">
        <v>18</v>
      </c>
      <c r="E13879" s="10" t="s">
        <v>454</v>
      </c>
      <c r="F13879" s="9" t="s">
        <v>2009</v>
      </c>
      <c r="G13879" s="10" t="s">
        <v>86</v>
      </c>
      <c r="H13879" s="9" t="s">
        <v>22</v>
      </c>
      <c r="I13879" s="9" t="s">
        <v>28237</v>
      </c>
      <c r="J13879" s="10" t="str">
        <f>HYPERLINK("https://www.boe.es/gazeta/dias/1834/10/16/pdfs/GMD-1834-244.pdf#page=2","Abrir facsímil")</f>
        <v>Abrir facsímil</v>
      </c>
      <c r="K13879" s="10" t="s">
        <v>24</v>
      </c>
    </row>
    <row r="13880" spans="1:11" ht="54" customHeight="1">
      <c r="A13880" s="9" t="s">
        <v>28187</v>
      </c>
      <c r="B13880" s="9" t="s">
        <v>28187</v>
      </c>
      <c r="C13880" s="9" t="s">
        <v>66</v>
      </c>
      <c r="D13880" s="9" t="s">
        <v>67</v>
      </c>
      <c r="E13880" s="10" t="s">
        <v>233</v>
      </c>
      <c r="F13880" s="9" t="s">
        <v>1810</v>
      </c>
      <c r="G13880" s="10" t="s">
        <v>86</v>
      </c>
      <c r="H13880" s="9" t="s">
        <v>22</v>
      </c>
      <c r="I13880" s="9" t="s">
        <v>28238</v>
      </c>
      <c r="J13880" s="10" t="str">
        <f>HYPERLINK("https://www.boe.es/gazeta/dias/1834/12/16/pdfs/GMD-C-1834-305.pdf#page=2","Abrir facsímil")</f>
        <v>Abrir facsímil</v>
      </c>
      <c r="K13880" s="10" t="s">
        <v>24</v>
      </c>
    </row>
    <row r="13881" spans="1:11" ht="54" customHeight="1">
      <c r="A13881" s="9" t="s">
        <v>28187</v>
      </c>
      <c r="B13881" s="9" t="s">
        <v>28187</v>
      </c>
      <c r="C13881" s="9" t="s">
        <v>17</v>
      </c>
      <c r="D13881" s="9" t="s">
        <v>55</v>
      </c>
      <c r="E13881" s="10" t="s">
        <v>4237</v>
      </c>
      <c r="F13881" s="9" t="s">
        <v>4238</v>
      </c>
      <c r="G13881" s="10" t="s">
        <v>86</v>
      </c>
      <c r="H13881" s="9" t="s">
        <v>22</v>
      </c>
      <c r="I13881" s="9" t="s">
        <v>28239</v>
      </c>
      <c r="J13881" s="10" t="str">
        <f>HYPERLINK("https://www.boe.es/gazeta/dias/1834/06/17/pdfs/GMD-1834-120.pdf#page=2","Abrir facsímil")</f>
        <v>Abrir facsímil</v>
      </c>
      <c r="K13881" s="10" t="s">
        <v>24</v>
      </c>
    </row>
    <row r="13882" spans="1:11" ht="54" customHeight="1">
      <c r="A13882" s="9" t="s">
        <v>28187</v>
      </c>
      <c r="B13882" s="9" t="s">
        <v>28187</v>
      </c>
      <c r="C13882" s="9" t="s">
        <v>122</v>
      </c>
      <c r="D13882" s="9" t="s">
        <v>55</v>
      </c>
      <c r="E13882" s="10" t="s">
        <v>715</v>
      </c>
      <c r="F13882" s="9" t="s">
        <v>7773</v>
      </c>
      <c r="G13882" s="10" t="s">
        <v>21</v>
      </c>
      <c r="H13882" s="9" t="s">
        <v>22</v>
      </c>
      <c r="I13882" s="9" t="s">
        <v>28240</v>
      </c>
      <c r="J13882" s="10" t="str">
        <f>HYPERLINK("https://www.boe.es/gazeta/dias/1834/09/17/pdfs/GMD-1834-215.pdf#page=3","Abrir facsímil")</f>
        <v>Abrir facsímil</v>
      </c>
      <c r="K13882" s="10" t="s">
        <v>24</v>
      </c>
    </row>
    <row r="13883" spans="1:11" ht="54" customHeight="1">
      <c r="A13883" s="9" t="s">
        <v>28187</v>
      </c>
      <c r="B13883" s="9" t="s">
        <v>28187</v>
      </c>
      <c r="C13883" s="9" t="s">
        <v>46</v>
      </c>
      <c r="D13883" s="9" t="s">
        <v>101</v>
      </c>
      <c r="E13883" s="10" t="s">
        <v>8200</v>
      </c>
      <c r="F13883" s="9" t="s">
        <v>8201</v>
      </c>
      <c r="G13883" s="10" t="s">
        <v>86</v>
      </c>
      <c r="H13883" s="9" t="s">
        <v>22</v>
      </c>
      <c r="I13883" s="9" t="s">
        <v>28241</v>
      </c>
      <c r="J13883" s="10" t="str">
        <f>HYPERLINK("https://www.boe.es/gazeta/dias/1834/11/17/pdfs/GMD-1834-276.pdf#page=2","Abrir facsímil")</f>
        <v>Abrir facsímil</v>
      </c>
      <c r="K13883" s="10" t="s">
        <v>24</v>
      </c>
    </row>
    <row r="13884" spans="1:11" ht="54" customHeight="1">
      <c r="A13884" s="9" t="s">
        <v>28187</v>
      </c>
      <c r="B13884" s="9" t="s">
        <v>28187</v>
      </c>
      <c r="C13884" s="9" t="s">
        <v>122</v>
      </c>
      <c r="D13884" s="9" t="s">
        <v>101</v>
      </c>
      <c r="E13884" s="10" t="s">
        <v>1850</v>
      </c>
      <c r="F13884" s="9" t="s">
        <v>1851</v>
      </c>
      <c r="G13884" s="10" t="s">
        <v>75</v>
      </c>
      <c r="H13884" s="9" t="s">
        <v>22</v>
      </c>
      <c r="I13884" s="9" t="s">
        <v>28242</v>
      </c>
      <c r="J13884" s="10" t="str">
        <f>HYPERLINK("https://www.boe.es/gazeta/dias/1834/02/18/pdfs/GMD-1834-22.pdf#page=4","Abrir facsímil")</f>
        <v>Abrir facsímil</v>
      </c>
      <c r="K13884" s="10" t="s">
        <v>24</v>
      </c>
    </row>
    <row r="13885" spans="1:11" ht="54" customHeight="1">
      <c r="A13885" s="9" t="s">
        <v>28187</v>
      </c>
      <c r="B13885" s="9" t="s">
        <v>28187</v>
      </c>
      <c r="C13885" s="9" t="s">
        <v>17</v>
      </c>
      <c r="D13885" s="9" t="s">
        <v>18</v>
      </c>
      <c r="E13885" s="10" t="s">
        <v>1850</v>
      </c>
      <c r="F13885" s="9" t="s">
        <v>1851</v>
      </c>
      <c r="G13885" s="10" t="s">
        <v>560</v>
      </c>
      <c r="H13885" s="9" t="s">
        <v>22</v>
      </c>
      <c r="I13885" s="9" t="s">
        <v>28243</v>
      </c>
      <c r="J13885" s="10" t="str">
        <f>HYPERLINK("https://www.boe.es/gazeta/dias/1834/02/18/pdfs/GMD-1834-22.pdf#page=7","Abrir facsímil")</f>
        <v>Abrir facsímil</v>
      </c>
      <c r="K13885" s="10" t="s">
        <v>24</v>
      </c>
    </row>
    <row r="13886" spans="1:11" ht="54" customHeight="1">
      <c r="A13886" s="9" t="s">
        <v>28187</v>
      </c>
      <c r="B13886" s="9" t="s">
        <v>28187</v>
      </c>
      <c r="C13886" s="9" t="s">
        <v>90</v>
      </c>
      <c r="D13886" s="9" t="s">
        <v>40</v>
      </c>
      <c r="E13886" s="10" t="s">
        <v>541</v>
      </c>
      <c r="F13886" s="9" t="s">
        <v>542</v>
      </c>
      <c r="G13886" s="10" t="s">
        <v>86</v>
      </c>
      <c r="H13886" s="9" t="s">
        <v>22</v>
      </c>
      <c r="I13886" s="9" t="s">
        <v>28244</v>
      </c>
      <c r="J13886" s="10" t="str">
        <f>HYPERLINK("https://www.boe.es/gazeta/dias/1834/04/18/pdfs/GMD-1834-57.pdf#page=2","Abrir facsímil")</f>
        <v>Abrir facsímil</v>
      </c>
      <c r="K13886" s="10" t="s">
        <v>24</v>
      </c>
    </row>
    <row r="13887" spans="1:11" ht="54" customHeight="1">
      <c r="A13887" s="9" t="s">
        <v>28187</v>
      </c>
      <c r="B13887" s="9" t="s">
        <v>28187</v>
      </c>
      <c r="C13887" s="9" t="s">
        <v>66</v>
      </c>
      <c r="D13887" s="9" t="s">
        <v>67</v>
      </c>
      <c r="E13887" s="10" t="s">
        <v>615</v>
      </c>
      <c r="F13887" s="9" t="s">
        <v>616</v>
      </c>
      <c r="G13887" s="10" t="s">
        <v>86</v>
      </c>
      <c r="H13887" s="9" t="s">
        <v>22</v>
      </c>
      <c r="I13887" s="9" t="s">
        <v>28245</v>
      </c>
      <c r="J13887" s="10" t="str">
        <f>HYPERLINK("https://www.boe.es/gazeta/dias/1834/08/19/pdfs/GMD-1834-185.pdf#page=2","Abrir facsímil")</f>
        <v>Abrir facsímil</v>
      </c>
      <c r="K13887" s="10" t="s">
        <v>24</v>
      </c>
    </row>
    <row r="13888" spans="1:11" ht="54" customHeight="1">
      <c r="A13888" s="9" t="s">
        <v>28187</v>
      </c>
      <c r="B13888" s="9" t="s">
        <v>28187</v>
      </c>
      <c r="C13888" s="9" t="s">
        <v>17</v>
      </c>
      <c r="D13888" s="9" t="s">
        <v>55</v>
      </c>
      <c r="E13888" s="10" t="s">
        <v>672</v>
      </c>
      <c r="F13888" s="9" t="s">
        <v>1055</v>
      </c>
      <c r="G13888" s="10" t="s">
        <v>2272</v>
      </c>
      <c r="H13888" s="9" t="s">
        <v>22</v>
      </c>
      <c r="I13888" s="9" t="s">
        <v>28246</v>
      </c>
      <c r="J13888" s="10" t="str">
        <f>HYPERLINK("https://www.boe.es/gazeta/dias/1834/09/19/pdfs/GMD-C-1834-217.pdf#page=12","Abrir facsímil")</f>
        <v>Abrir facsímil</v>
      </c>
      <c r="K13888" s="10" t="s">
        <v>24</v>
      </c>
    </row>
    <row r="13889" spans="1:11" ht="54" customHeight="1">
      <c r="A13889" s="9" t="s">
        <v>28187</v>
      </c>
      <c r="B13889" s="9" t="s">
        <v>28187</v>
      </c>
      <c r="C13889" s="9" t="s">
        <v>17</v>
      </c>
      <c r="D13889" s="9" t="s">
        <v>18</v>
      </c>
      <c r="E13889" s="10" t="s">
        <v>26</v>
      </c>
      <c r="F13889" s="9" t="s">
        <v>818</v>
      </c>
      <c r="G13889" s="10" t="s">
        <v>86</v>
      </c>
      <c r="H13889" s="9" t="s">
        <v>22</v>
      </c>
      <c r="I13889" s="9" t="s">
        <v>28247</v>
      </c>
      <c r="J13889" s="10" t="str">
        <f>HYPERLINK("https://www.boe.es/gazeta/dias/1834/10/19/pdfs/GMD-1834-247.pdf#page=2","Abrir facsímil")</f>
        <v>Abrir facsímil</v>
      </c>
      <c r="K13889" s="10" t="s">
        <v>24</v>
      </c>
    </row>
    <row r="13890" spans="1:11" ht="54" customHeight="1">
      <c r="A13890" s="9" t="s">
        <v>28187</v>
      </c>
      <c r="B13890" s="9" t="s">
        <v>28187</v>
      </c>
      <c r="C13890" s="9" t="s">
        <v>17</v>
      </c>
      <c r="D13890" s="9" t="s">
        <v>18</v>
      </c>
      <c r="E13890" s="10" t="s">
        <v>1572</v>
      </c>
      <c r="F13890" s="9" t="s">
        <v>1573</v>
      </c>
      <c r="G13890" s="10" t="s">
        <v>86</v>
      </c>
      <c r="H13890" s="9" t="s">
        <v>22</v>
      </c>
      <c r="I13890" s="9" t="s">
        <v>28248</v>
      </c>
      <c r="J13890" s="10" t="str">
        <f>HYPERLINK("https://www.boe.es/gazeta/dias/1834/03/20/pdfs/GMD-1834-35.pdf#page=2","Abrir facsímil")</f>
        <v>Abrir facsímil</v>
      </c>
      <c r="K13890" s="10" t="s">
        <v>24</v>
      </c>
    </row>
    <row r="13891" spans="1:11" ht="54" customHeight="1">
      <c r="A13891" s="9" t="s">
        <v>28187</v>
      </c>
      <c r="B13891" s="9" t="s">
        <v>28187</v>
      </c>
      <c r="C13891" s="9" t="s">
        <v>66</v>
      </c>
      <c r="D13891" s="9" t="s">
        <v>67</v>
      </c>
      <c r="E13891" s="10" t="s">
        <v>217</v>
      </c>
      <c r="F13891" s="9" t="s">
        <v>218</v>
      </c>
      <c r="G13891" s="10" t="s">
        <v>21</v>
      </c>
      <c r="H13891" s="9" t="s">
        <v>22</v>
      </c>
      <c r="I13891" s="9" t="s">
        <v>28249</v>
      </c>
      <c r="J13891" s="10" t="str">
        <f>HYPERLINK("https://www.boe.es/gazeta/dias/1834/04/20/pdfs/GMD-1834-59.pdf#page=3","Abrir facsímil")</f>
        <v>Abrir facsímil</v>
      </c>
      <c r="K13891" s="10" t="s">
        <v>24</v>
      </c>
    </row>
    <row r="13892" spans="1:11" ht="54" customHeight="1">
      <c r="A13892" s="9" t="s">
        <v>28187</v>
      </c>
      <c r="B13892" s="9" t="s">
        <v>28187</v>
      </c>
      <c r="C13892" s="9" t="s">
        <v>17</v>
      </c>
      <c r="D13892" s="9" t="s">
        <v>18</v>
      </c>
      <c r="E13892" s="10" t="s">
        <v>1365</v>
      </c>
      <c r="F13892" s="9" t="s">
        <v>1366</v>
      </c>
      <c r="G13892" s="10" t="s">
        <v>86</v>
      </c>
      <c r="H13892" s="9" t="s">
        <v>22</v>
      </c>
      <c r="I13892" s="9" t="s">
        <v>28250</v>
      </c>
      <c r="J13892" s="10" t="str">
        <f>HYPERLINK("https://www.boe.es/gazeta/dias/1834/06/20/pdfs/GMD-1834-123.pdf#page=2","Abrir facsímil")</f>
        <v>Abrir facsímil</v>
      </c>
      <c r="K13892" s="10" t="s">
        <v>24</v>
      </c>
    </row>
    <row r="13893" spans="1:11" ht="54" customHeight="1">
      <c r="A13893" s="9" t="s">
        <v>28187</v>
      </c>
      <c r="B13893" s="9" t="s">
        <v>28187</v>
      </c>
      <c r="C13893" s="9" t="s">
        <v>17</v>
      </c>
      <c r="D13893" s="9" t="s">
        <v>18</v>
      </c>
      <c r="E13893" s="10" t="s">
        <v>1239</v>
      </c>
      <c r="F13893" s="9" t="s">
        <v>1240</v>
      </c>
      <c r="G13893" s="10" t="s">
        <v>34</v>
      </c>
      <c r="H13893" s="9" t="s">
        <v>22</v>
      </c>
      <c r="I13893" s="9" t="s">
        <v>28251</v>
      </c>
      <c r="J13893" s="10" t="str">
        <f>HYPERLINK("https://www.boe.es/gazeta/dias/1834/08/20/pdfs/GMD-1834-186.pdf#page=1","Abrir facsímil")</f>
        <v>Abrir facsímil</v>
      </c>
      <c r="K13893" s="10" t="s">
        <v>24</v>
      </c>
    </row>
    <row r="13894" spans="1:11" ht="54" customHeight="1">
      <c r="A13894" s="9" t="s">
        <v>28187</v>
      </c>
      <c r="B13894" s="9" t="s">
        <v>28187</v>
      </c>
      <c r="C13894" s="9" t="s">
        <v>17</v>
      </c>
      <c r="D13894" s="9" t="s">
        <v>55</v>
      </c>
      <c r="E13894" s="10" t="s">
        <v>3248</v>
      </c>
      <c r="F13894" s="9" t="s">
        <v>4798</v>
      </c>
      <c r="G13894" s="10" t="s">
        <v>86</v>
      </c>
      <c r="H13894" s="9" t="s">
        <v>22</v>
      </c>
      <c r="I13894" s="9" t="s">
        <v>28252</v>
      </c>
      <c r="J13894" s="10" t="str">
        <f>HYPERLINK("https://www.boe.es/gazeta/dias/1834/09/20/pdfs/GMD-C-1834-218.pdf#page=2","Abrir facsímil")</f>
        <v>Abrir facsímil</v>
      </c>
      <c r="K13894" s="10" t="s">
        <v>24</v>
      </c>
    </row>
    <row r="13895" spans="1:11" ht="54" customHeight="1">
      <c r="A13895" s="9" t="s">
        <v>28187</v>
      </c>
      <c r="B13895" s="9" t="s">
        <v>28187</v>
      </c>
      <c r="C13895" s="9" t="s">
        <v>66</v>
      </c>
      <c r="D13895" s="9" t="s">
        <v>67</v>
      </c>
      <c r="E13895" s="10" t="s">
        <v>753</v>
      </c>
      <c r="F13895" s="9" t="s">
        <v>754</v>
      </c>
      <c r="G13895" s="10" t="s">
        <v>75</v>
      </c>
      <c r="H13895" s="9" t="s">
        <v>22</v>
      </c>
      <c r="I13895" s="9" t="s">
        <v>28253</v>
      </c>
      <c r="J13895" s="10" t="str">
        <f>HYPERLINK("https://www.boe.es/gazeta/dias/1834/04/21/pdfs/GMD-1834-60.pdf#page=4","Abrir facsímil")</f>
        <v>Abrir facsímil</v>
      </c>
      <c r="K13895" s="10" t="s">
        <v>24</v>
      </c>
    </row>
    <row r="13896" spans="1:11" ht="54" customHeight="1">
      <c r="A13896" s="9" t="s">
        <v>28187</v>
      </c>
      <c r="B13896" s="9" t="s">
        <v>28187</v>
      </c>
      <c r="C13896" s="9" t="s">
        <v>90</v>
      </c>
      <c r="D13896" s="9" t="s">
        <v>67</v>
      </c>
      <c r="E13896" s="10" t="s">
        <v>849</v>
      </c>
      <c r="F13896" s="9" t="s">
        <v>850</v>
      </c>
      <c r="G13896" s="10" t="s">
        <v>34</v>
      </c>
      <c r="H13896" s="9" t="s">
        <v>22</v>
      </c>
      <c r="I13896" s="9" t="s">
        <v>28254</v>
      </c>
      <c r="J13896" s="10" t="str">
        <f>HYPERLINK("https://www.boe.es/gazeta/dias/1834/06/21/pdfs/GMD-1834-124.pdf#page=1","Abrir facsímil")</f>
        <v>Abrir facsímil</v>
      </c>
      <c r="K13896" s="10" t="s">
        <v>24</v>
      </c>
    </row>
    <row r="13897" spans="1:11" ht="54" customHeight="1">
      <c r="A13897" s="9" t="s">
        <v>28187</v>
      </c>
      <c r="B13897" s="9" t="s">
        <v>28187</v>
      </c>
      <c r="C13897" s="9" t="s">
        <v>17</v>
      </c>
      <c r="D13897" s="9" t="s">
        <v>55</v>
      </c>
      <c r="E13897" s="10" t="s">
        <v>849</v>
      </c>
      <c r="F13897" s="9" t="s">
        <v>850</v>
      </c>
      <c r="G13897" s="10" t="s">
        <v>86</v>
      </c>
      <c r="H13897" s="9" t="s">
        <v>22</v>
      </c>
      <c r="I13897" s="9" t="s">
        <v>28255</v>
      </c>
      <c r="J13897" s="10" t="str">
        <f>HYPERLINK("https://www.boe.es/gazeta/dias/1834/06/21/pdfs/GMD-1834-124.pdf#page=2","Abrir facsímil")</f>
        <v>Abrir facsímil</v>
      </c>
      <c r="K13897" s="10" t="s">
        <v>24</v>
      </c>
    </row>
    <row r="13898" spans="1:11" ht="54" customHeight="1">
      <c r="A13898" s="9" t="s">
        <v>28187</v>
      </c>
      <c r="B13898" s="9" t="s">
        <v>28187</v>
      </c>
      <c r="C13898" s="9" t="s">
        <v>66</v>
      </c>
      <c r="D13898" s="9" t="s">
        <v>67</v>
      </c>
      <c r="E13898" s="10" t="s">
        <v>375</v>
      </c>
      <c r="F13898" s="9" t="s">
        <v>376</v>
      </c>
      <c r="G13898" s="10" t="s">
        <v>34</v>
      </c>
      <c r="H13898" s="9" t="s">
        <v>22</v>
      </c>
      <c r="I13898" s="9" t="s">
        <v>28256</v>
      </c>
      <c r="J13898" s="10" t="str">
        <f>HYPERLINK("https://www.boe.es/gazeta/dias/1834/08/21/pdfs/GMD-1834-187.pdf#page=1","Abrir facsímil")</f>
        <v>Abrir facsímil</v>
      </c>
      <c r="K13898" s="10" t="s">
        <v>24</v>
      </c>
    </row>
    <row r="13899" spans="1:11" ht="54" customHeight="1">
      <c r="A13899" s="9" t="s">
        <v>28187</v>
      </c>
      <c r="B13899" s="9" t="s">
        <v>28187</v>
      </c>
      <c r="C13899" s="9" t="s">
        <v>66</v>
      </c>
      <c r="D13899" s="9" t="s">
        <v>67</v>
      </c>
      <c r="E13899" s="10" t="s">
        <v>610</v>
      </c>
      <c r="F13899" s="9" t="s">
        <v>611</v>
      </c>
      <c r="G13899" s="10" t="s">
        <v>176</v>
      </c>
      <c r="H13899" s="9" t="s">
        <v>22</v>
      </c>
      <c r="I13899" s="9" t="s">
        <v>28257</v>
      </c>
      <c r="J13899" s="10" t="str">
        <f>HYPERLINK("https://www.boe.es/gazeta/dias/1834/12/21/pdfs/GMD-C-1834-311.pdf#page=6","Abrir facsímil")</f>
        <v>Abrir facsímil</v>
      </c>
      <c r="K13899" s="10" t="s">
        <v>24</v>
      </c>
    </row>
    <row r="13900" spans="1:11" ht="54" customHeight="1">
      <c r="A13900" s="9" t="s">
        <v>28187</v>
      </c>
      <c r="B13900" s="9" t="s">
        <v>28187</v>
      </c>
      <c r="C13900" s="9" t="s">
        <v>66</v>
      </c>
      <c r="D13900" s="9" t="s">
        <v>67</v>
      </c>
      <c r="E13900" s="10" t="s">
        <v>1918</v>
      </c>
      <c r="F13900" s="9" t="s">
        <v>1919</v>
      </c>
      <c r="G13900" s="10" t="s">
        <v>21</v>
      </c>
      <c r="H13900" s="9" t="s">
        <v>22</v>
      </c>
      <c r="I13900" s="9" t="s">
        <v>28258</v>
      </c>
      <c r="J13900" s="10" t="str">
        <f>HYPERLINK("https://www.boe.es/gazeta/dias/1834/03/22/pdfs/GMD-1834-36.pdf#page=3","Abrir facsímil")</f>
        <v>Abrir facsímil</v>
      </c>
      <c r="K13900" s="10" t="s">
        <v>24</v>
      </c>
    </row>
    <row r="13901" spans="1:11" ht="54" customHeight="1">
      <c r="A13901" s="9" t="s">
        <v>28187</v>
      </c>
      <c r="B13901" s="9" t="s">
        <v>28187</v>
      </c>
      <c r="C13901" s="9" t="s">
        <v>66</v>
      </c>
      <c r="D13901" s="9" t="s">
        <v>67</v>
      </c>
      <c r="E13901" s="10" t="s">
        <v>8279</v>
      </c>
      <c r="F13901" s="9" t="s">
        <v>8280</v>
      </c>
      <c r="G13901" s="10" t="s">
        <v>21</v>
      </c>
      <c r="H13901" s="9" t="s">
        <v>22</v>
      </c>
      <c r="I13901" s="9" t="s">
        <v>28259</v>
      </c>
      <c r="J13901" s="10" t="str">
        <f>HYPERLINK("https://www.boe.es/gazeta/dias/1834/04/22/pdfs/GMD-1834-61.pdf#page=3","Abrir facsímil")</f>
        <v>Abrir facsímil</v>
      </c>
      <c r="K13901" s="10" t="s">
        <v>24</v>
      </c>
    </row>
    <row r="13902" spans="1:11" ht="54" customHeight="1">
      <c r="A13902" s="9" t="s">
        <v>28187</v>
      </c>
      <c r="B13902" s="9" t="s">
        <v>28187</v>
      </c>
      <c r="C13902" s="9" t="s">
        <v>66</v>
      </c>
      <c r="D13902" s="9" t="s">
        <v>67</v>
      </c>
      <c r="E13902" s="10" t="s">
        <v>3488</v>
      </c>
      <c r="F13902" s="9" t="s">
        <v>3489</v>
      </c>
      <c r="G13902" s="10" t="s">
        <v>21</v>
      </c>
      <c r="H13902" s="9" t="s">
        <v>22</v>
      </c>
      <c r="I13902" s="9" t="s">
        <v>28260</v>
      </c>
      <c r="J13902" s="10" t="str">
        <f>HYPERLINK("https://www.boe.es/gazeta/dias/1834/06/22/pdfs/GMD-1834-125.pdf#page=3","Abrir facsímil")</f>
        <v>Abrir facsímil</v>
      </c>
      <c r="K13902" s="10" t="s">
        <v>24</v>
      </c>
    </row>
    <row r="13903" spans="1:11" ht="54" customHeight="1">
      <c r="A13903" s="9" t="s">
        <v>28187</v>
      </c>
      <c r="B13903" s="9" t="s">
        <v>28187</v>
      </c>
      <c r="C13903" s="9" t="s">
        <v>17</v>
      </c>
      <c r="D13903" s="9" t="s">
        <v>18</v>
      </c>
      <c r="E13903" s="10" t="s">
        <v>4064</v>
      </c>
      <c r="F13903" s="9" t="s">
        <v>4065</v>
      </c>
      <c r="G13903" s="10" t="s">
        <v>21</v>
      </c>
      <c r="H13903" s="9" t="s">
        <v>22</v>
      </c>
      <c r="I13903" s="9" t="s">
        <v>28261</v>
      </c>
      <c r="J13903" s="10" t="str">
        <f>HYPERLINK("https://www.boe.es/gazeta/dias/1834/07/22/pdfs/GMD-1834-155.pdf#page=3","Abrir facsímil")</f>
        <v>Abrir facsímil</v>
      </c>
      <c r="K13903" s="10" t="s">
        <v>24</v>
      </c>
    </row>
    <row r="13904" spans="1:11" ht="54" customHeight="1">
      <c r="A13904" s="9" t="s">
        <v>28187</v>
      </c>
      <c r="B13904" s="9" t="s">
        <v>28187</v>
      </c>
      <c r="C13904" s="9" t="s">
        <v>46</v>
      </c>
      <c r="D13904" s="9" t="s">
        <v>55</v>
      </c>
      <c r="E13904" s="10" t="s">
        <v>3225</v>
      </c>
      <c r="F13904" s="9" t="s">
        <v>3226</v>
      </c>
      <c r="G13904" s="10" t="s">
        <v>21</v>
      </c>
      <c r="H13904" s="9" t="s">
        <v>22</v>
      </c>
      <c r="I13904" s="9" t="s">
        <v>28262</v>
      </c>
      <c r="J13904" s="10" t="str">
        <f>HYPERLINK("https://www.boe.es/gazeta/dias/1834/08/22/pdfs/GMD-1834-188.pdf#page=3","Abrir facsímil")</f>
        <v>Abrir facsímil</v>
      </c>
      <c r="K13904" s="10" t="s">
        <v>24</v>
      </c>
    </row>
    <row r="13905" spans="1:11" ht="54" customHeight="1">
      <c r="A13905" s="9" t="s">
        <v>28187</v>
      </c>
      <c r="B13905" s="9" t="s">
        <v>28187</v>
      </c>
      <c r="C13905" s="9" t="s">
        <v>17</v>
      </c>
      <c r="D13905" s="9" t="s">
        <v>18</v>
      </c>
      <c r="E13905" s="10" t="s">
        <v>32</v>
      </c>
      <c r="F13905" s="9" t="s">
        <v>7431</v>
      </c>
      <c r="G13905" s="10" t="s">
        <v>86</v>
      </c>
      <c r="H13905" s="9" t="s">
        <v>22</v>
      </c>
      <c r="I13905" s="9" t="s">
        <v>28263</v>
      </c>
      <c r="J13905" s="10" t="str">
        <f>HYPERLINK("https://www.boe.es/gazeta/dias/1834/04/23/pdfs/GMD-C-1834-62.pdf#page=2","Abrir facsímil")</f>
        <v>Abrir facsímil</v>
      </c>
      <c r="K13905" s="10" t="s">
        <v>24</v>
      </c>
    </row>
    <row r="13906" spans="1:11" ht="54" customHeight="1">
      <c r="A13906" s="9" t="s">
        <v>28187</v>
      </c>
      <c r="B13906" s="9" t="s">
        <v>28187</v>
      </c>
      <c r="C13906" s="9" t="s">
        <v>17</v>
      </c>
      <c r="D13906" s="9" t="s">
        <v>18</v>
      </c>
      <c r="E13906" s="10" t="s">
        <v>1812</v>
      </c>
      <c r="F13906" s="9" t="s">
        <v>1813</v>
      </c>
      <c r="G13906" s="10" t="s">
        <v>21</v>
      </c>
      <c r="H13906" s="9" t="s">
        <v>22</v>
      </c>
      <c r="I13906" s="9" t="s">
        <v>28264</v>
      </c>
      <c r="J13906" s="10" t="str">
        <f>HYPERLINK("https://www.boe.es/gazeta/dias/1834/10/23/pdfs/GMD-1834-251.pdf#page=3","Abrir facsímil")</f>
        <v>Abrir facsímil</v>
      </c>
      <c r="K13906" s="10" t="s">
        <v>24</v>
      </c>
    </row>
    <row r="13907" spans="1:11" ht="54" customHeight="1">
      <c r="A13907" s="9" t="s">
        <v>28187</v>
      </c>
      <c r="B13907" s="9" t="s">
        <v>28187</v>
      </c>
      <c r="C13907" s="9" t="s">
        <v>17</v>
      </c>
      <c r="D13907" s="9" t="s">
        <v>18</v>
      </c>
      <c r="E13907" s="10" t="s">
        <v>667</v>
      </c>
      <c r="F13907" s="9" t="s">
        <v>3347</v>
      </c>
      <c r="G13907" s="10" t="s">
        <v>86</v>
      </c>
      <c r="H13907" s="9" t="s">
        <v>22</v>
      </c>
      <c r="I13907" s="9" t="s">
        <v>28265</v>
      </c>
      <c r="J13907" s="10" t="str">
        <f>HYPERLINK("https://www.boe.es/gazeta/dias/1834/11/23/pdfs/GMD-1834-282.pdf#page=2","Abrir facsímil")</f>
        <v>Abrir facsímil</v>
      </c>
      <c r="K13907" s="10" t="s">
        <v>24</v>
      </c>
    </row>
    <row r="13908" spans="1:11" ht="54" customHeight="1">
      <c r="A13908" s="9" t="s">
        <v>28187</v>
      </c>
      <c r="B13908" s="9" t="s">
        <v>28187</v>
      </c>
      <c r="C13908" s="9" t="s">
        <v>66</v>
      </c>
      <c r="D13908" s="9" t="s">
        <v>67</v>
      </c>
      <c r="E13908" s="10" t="s">
        <v>919</v>
      </c>
      <c r="F13908" s="9" t="s">
        <v>920</v>
      </c>
      <c r="G13908" s="10" t="s">
        <v>75</v>
      </c>
      <c r="H13908" s="9" t="s">
        <v>22</v>
      </c>
      <c r="I13908" s="9" t="s">
        <v>28266</v>
      </c>
      <c r="J13908" s="10" t="str">
        <f>HYPERLINK("https://www.boe.es/gazeta/dias/1834/06/24/pdfs/GMD-1834-127.pdf#page=4","Abrir facsímil")</f>
        <v>Abrir facsímil</v>
      </c>
      <c r="K13908" s="10" t="s">
        <v>24</v>
      </c>
    </row>
    <row r="13909" spans="1:11" ht="54" customHeight="1">
      <c r="A13909" s="9" t="s">
        <v>28187</v>
      </c>
      <c r="B13909" s="9" t="s">
        <v>28187</v>
      </c>
      <c r="C13909" s="9" t="s">
        <v>17</v>
      </c>
      <c r="D13909" s="9" t="s">
        <v>18</v>
      </c>
      <c r="E13909" s="10" t="s">
        <v>1307</v>
      </c>
      <c r="F13909" s="9" t="s">
        <v>1308</v>
      </c>
      <c r="G13909" s="10" t="s">
        <v>75</v>
      </c>
      <c r="H13909" s="9" t="s">
        <v>22</v>
      </c>
      <c r="I13909" s="9" t="s">
        <v>28267</v>
      </c>
      <c r="J13909" s="10" t="str">
        <f>HYPERLINK("https://www.boe.es/gazeta/dias/1834/08/25/pdfs/GMD-1834-191.pdf#page=4","Abrir facsímil")</f>
        <v>Abrir facsímil</v>
      </c>
      <c r="K13909" s="10" t="s">
        <v>24</v>
      </c>
    </row>
    <row r="13910" spans="1:11" ht="54" customHeight="1">
      <c r="A13910" s="9" t="s">
        <v>28187</v>
      </c>
      <c r="B13910" s="9" t="s">
        <v>28187</v>
      </c>
      <c r="C13910" s="9" t="s">
        <v>17</v>
      </c>
      <c r="D13910" s="9" t="s">
        <v>18</v>
      </c>
      <c r="E13910" s="10" t="s">
        <v>403</v>
      </c>
      <c r="F13910" s="9" t="s">
        <v>3456</v>
      </c>
      <c r="G13910" s="10" t="s">
        <v>86</v>
      </c>
      <c r="H13910" s="9" t="s">
        <v>22</v>
      </c>
      <c r="I13910" s="9" t="s">
        <v>28268</v>
      </c>
      <c r="J13910" s="10" t="str">
        <f>HYPERLINK("https://www.boe.es/gazeta/dias/1834/09/25/pdfs/GMD-1834-223.pdf#page=2","Abrir facsímil")</f>
        <v>Abrir facsímil</v>
      </c>
      <c r="K13910" s="10" t="s">
        <v>24</v>
      </c>
    </row>
    <row r="13911" spans="1:11" ht="54" customHeight="1">
      <c r="A13911" s="9" t="s">
        <v>28187</v>
      </c>
      <c r="B13911" s="9" t="s">
        <v>28187</v>
      </c>
      <c r="C13911" s="9" t="s">
        <v>17</v>
      </c>
      <c r="D13911" s="9" t="s">
        <v>18</v>
      </c>
      <c r="E13911" s="10" t="s">
        <v>389</v>
      </c>
      <c r="F13911" s="9" t="s">
        <v>390</v>
      </c>
      <c r="G13911" s="10" t="s">
        <v>86</v>
      </c>
      <c r="H13911" s="9" t="s">
        <v>22</v>
      </c>
      <c r="I13911" s="9" t="s">
        <v>28269</v>
      </c>
      <c r="J13911" s="10" t="str">
        <f>HYPERLINK("https://www.boe.es/gazeta/dias/1834/10/25/pdfs/GMD-1834-253.pdf#page=2","Abrir facsímil")</f>
        <v>Abrir facsímil</v>
      </c>
      <c r="K13911" s="10" t="s">
        <v>24</v>
      </c>
    </row>
    <row r="13912" spans="1:11" ht="54" customHeight="1">
      <c r="A13912" s="9" t="s">
        <v>28187</v>
      </c>
      <c r="B13912" s="9" t="s">
        <v>28187</v>
      </c>
      <c r="C13912" s="9" t="s">
        <v>17</v>
      </c>
      <c r="D13912" s="9" t="s">
        <v>18</v>
      </c>
      <c r="E13912" s="10" t="s">
        <v>1002</v>
      </c>
      <c r="F13912" s="9" t="s">
        <v>1003</v>
      </c>
      <c r="G13912" s="10" t="s">
        <v>86</v>
      </c>
      <c r="H13912" s="9" t="s">
        <v>22</v>
      </c>
      <c r="I13912" s="9" t="s">
        <v>28270</v>
      </c>
      <c r="J13912" s="10" t="str">
        <f>HYPERLINK("https://www.boe.es/gazeta/dias/1834/06/26/pdfs/GMD-1834-129.pdf#page=2","Abrir facsímil")</f>
        <v>Abrir facsímil</v>
      </c>
      <c r="K13912" s="10" t="s">
        <v>24</v>
      </c>
    </row>
    <row r="13913" spans="1:11" ht="54" customHeight="1">
      <c r="A13913" s="9" t="s">
        <v>28187</v>
      </c>
      <c r="B13913" s="9" t="s">
        <v>28187</v>
      </c>
      <c r="C13913" s="9" t="s">
        <v>46</v>
      </c>
      <c r="D13913" s="9" t="s">
        <v>101</v>
      </c>
      <c r="E13913" s="10" t="s">
        <v>1677</v>
      </c>
      <c r="F13913" s="9" t="s">
        <v>1678</v>
      </c>
      <c r="G13913" s="10" t="s">
        <v>21</v>
      </c>
      <c r="H13913" s="9" t="s">
        <v>22</v>
      </c>
      <c r="I13913" s="9" t="s">
        <v>28271</v>
      </c>
      <c r="J13913" s="10" t="str">
        <f>HYPERLINK("https://www.boe.es/gazeta/dias/1834/07/26/pdfs/GMD-1834-159.pdf#page=3","Abrir facsímil")</f>
        <v>Abrir facsímil</v>
      </c>
      <c r="K13913" s="10" t="s">
        <v>24</v>
      </c>
    </row>
    <row r="13914" spans="1:11" ht="54" customHeight="1">
      <c r="A13914" s="9" t="s">
        <v>28187</v>
      </c>
      <c r="B13914" s="9" t="s">
        <v>28187</v>
      </c>
      <c r="C13914" s="9" t="s">
        <v>17</v>
      </c>
      <c r="D13914" s="9" t="s">
        <v>18</v>
      </c>
      <c r="E13914" s="10" t="s">
        <v>1135</v>
      </c>
      <c r="F13914" s="9" t="s">
        <v>1136</v>
      </c>
      <c r="G13914" s="10" t="s">
        <v>86</v>
      </c>
      <c r="H13914" s="9" t="s">
        <v>22</v>
      </c>
      <c r="I13914" s="9" t="s">
        <v>28272</v>
      </c>
      <c r="J13914" s="10" t="str">
        <f>HYPERLINK("https://www.boe.es/gazeta/dias/1834/08/26/pdfs/GMD-1834-192.pdf#page=2","Abrir facsímil")</f>
        <v>Abrir facsímil</v>
      </c>
      <c r="K13914" s="10" t="s">
        <v>24</v>
      </c>
    </row>
    <row r="13915" spans="1:11" ht="54" customHeight="1">
      <c r="A13915" s="9" t="s">
        <v>28187</v>
      </c>
      <c r="B13915" s="9" t="s">
        <v>28187</v>
      </c>
      <c r="C13915" s="9" t="s">
        <v>17</v>
      </c>
      <c r="D13915" s="9" t="s">
        <v>55</v>
      </c>
      <c r="E13915" s="10" t="s">
        <v>1766</v>
      </c>
      <c r="F13915" s="9" t="s">
        <v>5600</v>
      </c>
      <c r="G13915" s="10" t="s">
        <v>34</v>
      </c>
      <c r="H13915" s="9" t="s">
        <v>22</v>
      </c>
      <c r="I13915" s="9" t="s">
        <v>28273</v>
      </c>
      <c r="J13915" s="10" t="str">
        <f>HYPERLINK("https://www.boe.es/gazeta/dias/1834/10/26/pdfs/GMD-1834-254.pdf#page=1","Abrir facsímil")</f>
        <v>Abrir facsímil</v>
      </c>
      <c r="K13915" s="10" t="s">
        <v>24</v>
      </c>
    </row>
    <row r="13916" spans="1:11" ht="54" customHeight="1">
      <c r="A13916" s="9" t="s">
        <v>28187</v>
      </c>
      <c r="B13916" s="9" t="s">
        <v>28187</v>
      </c>
      <c r="C13916" s="9" t="s">
        <v>17</v>
      </c>
      <c r="D13916" s="9" t="s">
        <v>18</v>
      </c>
      <c r="E13916" s="10" t="s">
        <v>1766</v>
      </c>
      <c r="F13916" s="9" t="s">
        <v>5600</v>
      </c>
      <c r="G13916" s="10" t="s">
        <v>86</v>
      </c>
      <c r="H13916" s="9" t="s">
        <v>22</v>
      </c>
      <c r="I13916" s="9" t="s">
        <v>28274</v>
      </c>
      <c r="J13916" s="10" t="str">
        <f>HYPERLINK("https://www.boe.es/gazeta/dias/1834/10/26/pdfs/GMD-1834-254.pdf#page=2","Abrir facsímil")</f>
        <v>Abrir facsímil</v>
      </c>
      <c r="K13916" s="10" t="s">
        <v>24</v>
      </c>
    </row>
    <row r="13917" spans="1:11" ht="54" customHeight="1">
      <c r="A13917" s="9" t="s">
        <v>28187</v>
      </c>
      <c r="B13917" s="9" t="s">
        <v>28187</v>
      </c>
      <c r="C13917" s="9" t="s">
        <v>66</v>
      </c>
      <c r="D13917" s="9" t="s">
        <v>67</v>
      </c>
      <c r="E13917" s="10" t="s">
        <v>174</v>
      </c>
      <c r="F13917" s="9" t="s">
        <v>175</v>
      </c>
      <c r="G13917" s="10" t="s">
        <v>75</v>
      </c>
      <c r="H13917" s="9" t="s">
        <v>22</v>
      </c>
      <c r="I13917" s="9" t="s">
        <v>28275</v>
      </c>
      <c r="J13917" s="10" t="str">
        <f>HYPERLINK("https://www.boe.es/gazeta/dias/1834/03/27/pdfs/GMD-1834-38.pdf#page=4","Abrir facsímil")</f>
        <v>Abrir facsímil</v>
      </c>
      <c r="K13917" s="10" t="s">
        <v>24</v>
      </c>
    </row>
    <row r="13918" spans="1:11" ht="54" customHeight="1">
      <c r="A13918" s="9" t="s">
        <v>28187</v>
      </c>
      <c r="B13918" s="9" t="s">
        <v>28187</v>
      </c>
      <c r="C13918" s="9" t="s">
        <v>46</v>
      </c>
      <c r="D13918" s="9" t="s">
        <v>101</v>
      </c>
      <c r="E13918" s="10" t="s">
        <v>294</v>
      </c>
      <c r="F13918" s="9" t="s">
        <v>295</v>
      </c>
      <c r="G13918" s="10" t="s">
        <v>86</v>
      </c>
      <c r="H13918" s="9" t="s">
        <v>22</v>
      </c>
      <c r="I13918" s="9" t="s">
        <v>28276</v>
      </c>
      <c r="J13918" s="10" t="str">
        <f>HYPERLINK("https://www.boe.es/gazeta/dias/1834/09/27/pdfs/GMD-1834-225.pdf#page=2","Abrir facsímil")</f>
        <v>Abrir facsímil</v>
      </c>
      <c r="K13918" s="10" t="s">
        <v>24</v>
      </c>
    </row>
    <row r="13919" spans="1:11" ht="54" customHeight="1">
      <c r="A13919" s="9" t="s">
        <v>28187</v>
      </c>
      <c r="B13919" s="9" t="s">
        <v>28187</v>
      </c>
      <c r="C13919" s="9" t="s">
        <v>46</v>
      </c>
      <c r="D13919" s="9" t="s">
        <v>55</v>
      </c>
      <c r="E13919" s="10" t="s">
        <v>1773</v>
      </c>
      <c r="F13919" s="9" t="s">
        <v>1774</v>
      </c>
      <c r="G13919" s="10" t="s">
        <v>86</v>
      </c>
      <c r="H13919" s="9" t="s">
        <v>22</v>
      </c>
      <c r="I13919" s="9" t="s">
        <v>28277</v>
      </c>
      <c r="J13919" s="10" t="str">
        <f>HYPERLINK("https://www.boe.es/gazeta/dias/1834/06/28/pdfs/GMD-1834-131.pdf#page=2","Abrir facsímil")</f>
        <v>Abrir facsímil</v>
      </c>
      <c r="K13919" s="10" t="s">
        <v>24</v>
      </c>
    </row>
    <row r="13920" spans="1:11" ht="54" customHeight="1">
      <c r="A13920" s="9" t="s">
        <v>28187</v>
      </c>
      <c r="B13920" s="9" t="s">
        <v>28187</v>
      </c>
      <c r="C13920" s="9" t="s">
        <v>17</v>
      </c>
      <c r="D13920" s="9" t="s">
        <v>18</v>
      </c>
      <c r="E13920" s="10" t="s">
        <v>1689</v>
      </c>
      <c r="F13920" s="9" t="s">
        <v>1690</v>
      </c>
      <c r="G13920" s="10" t="s">
        <v>34</v>
      </c>
      <c r="H13920" s="9" t="s">
        <v>22</v>
      </c>
      <c r="I13920" s="9" t="s">
        <v>28278</v>
      </c>
      <c r="J13920" s="10" t="str">
        <f>HYPERLINK("https://www.boe.es/gazeta/dias/1834/07/28/pdfs/GMD-1834-161.pdf#page=1","Abrir facsímil")</f>
        <v>Abrir facsímil</v>
      </c>
      <c r="K13920" s="10" t="s">
        <v>24</v>
      </c>
    </row>
    <row r="13921" spans="1:11" ht="54" customHeight="1">
      <c r="A13921" s="9" t="s">
        <v>28187</v>
      </c>
      <c r="B13921" s="9" t="s">
        <v>28187</v>
      </c>
      <c r="C13921" s="9" t="s">
        <v>122</v>
      </c>
      <c r="D13921" s="9" t="s">
        <v>55</v>
      </c>
      <c r="E13921" s="10" t="s">
        <v>1284</v>
      </c>
      <c r="F13921" s="9" t="s">
        <v>1285</v>
      </c>
      <c r="G13921" s="10" t="s">
        <v>86</v>
      </c>
      <c r="H13921" s="9" t="s">
        <v>22</v>
      </c>
      <c r="I13921" s="9" t="s">
        <v>28279</v>
      </c>
      <c r="J13921" s="10" t="str">
        <f>HYPERLINK("https://www.boe.es/gazeta/dias/1834/11/28/pdfs/GMD-1834-287.pdf#page=2","Abrir facsímil")</f>
        <v>Abrir facsímil</v>
      </c>
      <c r="K13921" s="10" t="s">
        <v>24</v>
      </c>
    </row>
    <row r="13922" spans="1:11" ht="54" customHeight="1">
      <c r="A13922" s="9" t="s">
        <v>28187</v>
      </c>
      <c r="B13922" s="9" t="s">
        <v>28187</v>
      </c>
      <c r="C13922" s="9" t="s">
        <v>66</v>
      </c>
      <c r="D13922" s="9" t="s">
        <v>67</v>
      </c>
      <c r="E13922" s="10" t="s">
        <v>1747</v>
      </c>
      <c r="F13922" s="9" t="s">
        <v>1748</v>
      </c>
      <c r="G13922" s="10" t="s">
        <v>86</v>
      </c>
      <c r="H13922" s="9" t="s">
        <v>22</v>
      </c>
      <c r="I13922" s="9" t="s">
        <v>28280</v>
      </c>
      <c r="J13922" s="10" t="str">
        <f>HYPERLINK("https://www.boe.es/gazeta/dias/1834/06/29/pdfs/GMD-1834-132.pdf#page=2","Abrir facsímil")</f>
        <v>Abrir facsímil</v>
      </c>
      <c r="K13922" s="10" t="s">
        <v>24</v>
      </c>
    </row>
    <row r="13923" spans="1:11" ht="54" customHeight="1">
      <c r="A13923" s="9" t="s">
        <v>28187</v>
      </c>
      <c r="B13923" s="9" t="s">
        <v>28187</v>
      </c>
      <c r="C13923" s="9" t="s">
        <v>17</v>
      </c>
      <c r="D13923" s="9" t="s">
        <v>18</v>
      </c>
      <c r="E13923" s="10" t="s">
        <v>777</v>
      </c>
      <c r="F13923" s="9" t="s">
        <v>778</v>
      </c>
      <c r="G13923" s="10" t="s">
        <v>75</v>
      </c>
      <c r="H13923" s="9" t="s">
        <v>22</v>
      </c>
      <c r="I13923" s="9" t="s">
        <v>28281</v>
      </c>
      <c r="J13923" s="10" t="str">
        <f>HYPERLINK("https://www.boe.es/gazeta/dias/1834/10/29/pdfs/GMD-1834-257.pdf#page=4","Abrir facsímil")</f>
        <v>Abrir facsímil</v>
      </c>
      <c r="K13923" s="10" t="s">
        <v>24</v>
      </c>
    </row>
    <row r="13924" spans="1:11" ht="54" customHeight="1">
      <c r="A13924" s="9" t="s">
        <v>28187</v>
      </c>
      <c r="B13924" s="9" t="s">
        <v>28187</v>
      </c>
      <c r="C13924" s="9" t="s">
        <v>17</v>
      </c>
      <c r="D13924" s="9" t="s">
        <v>18</v>
      </c>
      <c r="E13924" s="10" t="s">
        <v>777</v>
      </c>
      <c r="F13924" s="9" t="s">
        <v>2535</v>
      </c>
      <c r="G13924" s="10" t="s">
        <v>34</v>
      </c>
      <c r="H13924" s="9" t="s">
        <v>22</v>
      </c>
      <c r="I13924" s="9" t="s">
        <v>28282</v>
      </c>
      <c r="J13924" s="10" t="str">
        <f>HYPERLINK("https://www.boe.es/gazeta/dias/1834/10/29/pdfs/GMD-C-1834-257.pdf#page=1","Abrir facsímil")</f>
        <v>Abrir facsímil</v>
      </c>
      <c r="K13924" s="10" t="s">
        <v>24</v>
      </c>
    </row>
    <row r="13925" spans="1:11" ht="54" customHeight="1">
      <c r="A13925" s="9" t="s">
        <v>28187</v>
      </c>
      <c r="B13925" s="9" t="s">
        <v>28187</v>
      </c>
      <c r="C13925" s="9" t="s">
        <v>17</v>
      </c>
      <c r="D13925" s="9" t="s">
        <v>18</v>
      </c>
      <c r="E13925" s="10" t="s">
        <v>777</v>
      </c>
      <c r="F13925" s="9" t="s">
        <v>2535</v>
      </c>
      <c r="G13925" s="10" t="s">
        <v>86</v>
      </c>
      <c r="H13925" s="9" t="s">
        <v>22</v>
      </c>
      <c r="I13925" s="9" t="s">
        <v>28283</v>
      </c>
      <c r="J13925" s="10" t="str">
        <f>HYPERLINK("https://www.boe.es/gazeta/dias/1834/10/29/pdfs/GMD-C-1834-257.pdf#page=2","Abrir facsímil")</f>
        <v>Abrir facsímil</v>
      </c>
      <c r="K13925" s="10" t="s">
        <v>24</v>
      </c>
    </row>
    <row r="13926" spans="1:11" ht="54" customHeight="1">
      <c r="A13926" s="9" t="s">
        <v>28187</v>
      </c>
      <c r="B13926" s="9" t="s">
        <v>28187</v>
      </c>
      <c r="C13926" s="9" t="s">
        <v>17</v>
      </c>
      <c r="D13926" s="9" t="s">
        <v>18</v>
      </c>
      <c r="E13926" s="10" t="s">
        <v>286</v>
      </c>
      <c r="F13926" s="9" t="s">
        <v>548</v>
      </c>
      <c r="G13926" s="10" t="s">
        <v>21</v>
      </c>
      <c r="H13926" s="9" t="s">
        <v>22</v>
      </c>
      <c r="I13926" s="9" t="s">
        <v>28284</v>
      </c>
      <c r="J13926" s="10" t="str">
        <f>HYPERLINK("https://www.boe.es/gazeta/dias/1834/08/30/pdfs/GMD-1834-196.pdf#page=3","Abrir facsímil")</f>
        <v>Abrir facsímil</v>
      </c>
      <c r="K13926" s="10" t="s">
        <v>24</v>
      </c>
    </row>
    <row r="13927" spans="1:11" ht="54" customHeight="1">
      <c r="A13927" s="9" t="s">
        <v>28187</v>
      </c>
      <c r="B13927" s="9" t="s">
        <v>28187</v>
      </c>
      <c r="C13927" s="9" t="s">
        <v>90</v>
      </c>
      <c r="D13927" s="9" t="s">
        <v>55</v>
      </c>
      <c r="E13927" s="10" t="s">
        <v>590</v>
      </c>
      <c r="F13927" s="9" t="s">
        <v>591</v>
      </c>
      <c r="G13927" s="10" t="s">
        <v>86</v>
      </c>
      <c r="H13927" s="9" t="s">
        <v>22</v>
      </c>
      <c r="I13927" s="9" t="s">
        <v>28285</v>
      </c>
      <c r="J13927" s="10" t="str">
        <f>HYPERLINK("https://www.boe.es/gazeta/dias/1834/11/30/pdfs/GMD-1834-289.pdf#page=2","Abrir facsímil")</f>
        <v>Abrir facsímil</v>
      </c>
      <c r="K13927" s="10" t="s">
        <v>24</v>
      </c>
    </row>
    <row r="13928" spans="1:11" ht="54" customHeight="1">
      <c r="A13928" s="9" t="s">
        <v>28286</v>
      </c>
      <c r="B13928" s="9" t="s">
        <v>28287</v>
      </c>
      <c r="C13928" s="9" t="s">
        <v>17</v>
      </c>
      <c r="D13928" s="9" t="s">
        <v>40</v>
      </c>
      <c r="E13928" s="10" t="s">
        <v>153</v>
      </c>
      <c r="F13928" s="9" t="s">
        <v>1294</v>
      </c>
      <c r="G13928" s="10" t="s">
        <v>75</v>
      </c>
      <c r="H13928" s="9" t="s">
        <v>22</v>
      </c>
      <c r="I13928" s="9" t="s">
        <v>28288</v>
      </c>
      <c r="J13928" s="10" t="str">
        <f>HYPERLINK("https://www.boe.es/gazeta/dias/1834/12/30/pdfs/GMD-1834-320.pdf#page=4","Abrir facsímil")</f>
        <v>Abrir facsímil</v>
      </c>
      <c r="K13928" s="10" t="s">
        <v>24</v>
      </c>
    </row>
    <row r="13929" spans="1:11" ht="54" customHeight="1">
      <c r="A13929" s="9" t="s">
        <v>28289</v>
      </c>
      <c r="B13929" s="9" t="s">
        <v>28290</v>
      </c>
      <c r="C13929" s="9" t="s">
        <v>90</v>
      </c>
      <c r="D13929" s="9" t="s">
        <v>101</v>
      </c>
      <c r="E13929" s="10" t="s">
        <v>1297</v>
      </c>
      <c r="F13929" s="9" t="s">
        <v>1879</v>
      </c>
      <c r="G13929" s="10" t="s">
        <v>34</v>
      </c>
      <c r="H13929" s="9" t="s">
        <v>35</v>
      </c>
      <c r="I13929" s="9" t="s">
        <v>28291</v>
      </c>
      <c r="J13929" s="10" t="str">
        <f>HYPERLINK("https://www.boe.es/gazeta/dias/1834/08/01/pdfs/GMD-C-1834-165.pdf#page=1","Abrir facsímil")</f>
        <v>Abrir facsímil</v>
      </c>
      <c r="K13929" s="10" t="s">
        <v>37</v>
      </c>
    </row>
    <row r="13930" spans="1:11" ht="54" customHeight="1">
      <c r="A13930" s="9" t="s">
        <v>28289</v>
      </c>
      <c r="B13930" s="9" t="s">
        <v>28290</v>
      </c>
      <c r="C13930" s="9" t="s">
        <v>17</v>
      </c>
      <c r="D13930" s="9" t="s">
        <v>55</v>
      </c>
      <c r="E13930" s="10" t="s">
        <v>255</v>
      </c>
      <c r="F13930" s="9" t="s">
        <v>256</v>
      </c>
      <c r="G13930" s="10" t="s">
        <v>86</v>
      </c>
      <c r="H13930" s="9" t="s">
        <v>35</v>
      </c>
      <c r="I13930" s="9" t="s">
        <v>28292</v>
      </c>
      <c r="J13930" s="10" t="str">
        <f>HYPERLINK("https://www.boe.es/gazeta/dias/1834/09/01/pdfs/GMD-C-1834-199.pdf#page=2","Abrir facsímil")</f>
        <v>Abrir facsímil</v>
      </c>
      <c r="K13930" s="10" t="s">
        <v>37</v>
      </c>
    </row>
    <row r="13931" spans="1:11" ht="54" customHeight="1">
      <c r="A13931" s="9" t="s">
        <v>28289</v>
      </c>
      <c r="B13931" s="9" t="s">
        <v>28290</v>
      </c>
      <c r="C13931" s="9" t="s">
        <v>90</v>
      </c>
      <c r="D13931" s="9" t="s">
        <v>18</v>
      </c>
      <c r="E13931" s="10" t="s">
        <v>2053</v>
      </c>
      <c r="F13931" s="9" t="s">
        <v>2912</v>
      </c>
      <c r="G13931" s="10" t="s">
        <v>34</v>
      </c>
      <c r="H13931" s="9" t="s">
        <v>35</v>
      </c>
      <c r="I13931" s="9" t="s">
        <v>28293</v>
      </c>
      <c r="J13931" s="10" t="str">
        <f>HYPERLINK("https://www.boe.es/gazeta/dias/1834/06/02/pdfs/GMD-1834-104E.pdf#page=1","Abrir facsímil")</f>
        <v>Abrir facsímil</v>
      </c>
      <c r="K13931" s="10" t="s">
        <v>37</v>
      </c>
    </row>
    <row r="13932" spans="1:11" ht="54" customHeight="1">
      <c r="A13932" s="9" t="s">
        <v>28289</v>
      </c>
      <c r="B13932" s="9" t="s">
        <v>28290</v>
      </c>
      <c r="C13932" s="9" t="s">
        <v>17</v>
      </c>
      <c r="D13932" s="9" t="s">
        <v>18</v>
      </c>
      <c r="E13932" s="10" t="s">
        <v>1170</v>
      </c>
      <c r="F13932" s="9" t="s">
        <v>1171</v>
      </c>
      <c r="G13932" s="10" t="s">
        <v>176</v>
      </c>
      <c r="H13932" s="9" t="s">
        <v>35</v>
      </c>
      <c r="I13932" s="9" t="s">
        <v>28294</v>
      </c>
      <c r="J13932" s="10" t="str">
        <f>HYPERLINK("https://www.boe.es/gazeta/dias/1834/01/07/pdfs/GMD-1834-4.pdf#page=6","Abrir facsímil")</f>
        <v>Abrir facsímil</v>
      </c>
      <c r="K13932" s="10" t="s">
        <v>37</v>
      </c>
    </row>
    <row r="13933" spans="1:11" ht="54" customHeight="1">
      <c r="A13933" s="9" t="s">
        <v>28289</v>
      </c>
      <c r="B13933" s="9" t="s">
        <v>28290</v>
      </c>
      <c r="C13933" s="9" t="s">
        <v>46</v>
      </c>
      <c r="D13933" s="9" t="s">
        <v>40</v>
      </c>
      <c r="E13933" s="10" t="s">
        <v>56</v>
      </c>
      <c r="F13933" s="9" t="s">
        <v>57</v>
      </c>
      <c r="G13933" s="10" t="s">
        <v>21</v>
      </c>
      <c r="H13933" s="9" t="s">
        <v>35</v>
      </c>
      <c r="I13933" s="9" t="s">
        <v>28295</v>
      </c>
      <c r="J13933" s="10" t="str">
        <f>HYPERLINK("https://www.boe.es/gazeta/dias/1834/07/09/pdfs/GMD-1834-142.pdf#page=3","Abrir facsímil")</f>
        <v>Abrir facsímil</v>
      </c>
      <c r="K13933" s="10" t="s">
        <v>37</v>
      </c>
    </row>
    <row r="13934" spans="1:11" ht="54" customHeight="1">
      <c r="A13934" s="9" t="s">
        <v>28289</v>
      </c>
      <c r="B13934" s="9" t="s">
        <v>28290</v>
      </c>
      <c r="C13934" s="9" t="s">
        <v>17</v>
      </c>
      <c r="D13934" s="9" t="s">
        <v>18</v>
      </c>
      <c r="E13934" s="10" t="s">
        <v>258</v>
      </c>
      <c r="F13934" s="9" t="s">
        <v>1075</v>
      </c>
      <c r="G13934" s="10" t="s">
        <v>86</v>
      </c>
      <c r="H13934" s="9" t="s">
        <v>35</v>
      </c>
      <c r="I13934" s="9" t="s">
        <v>28296</v>
      </c>
      <c r="J13934" s="10" t="str">
        <f>HYPERLINK("https://www.boe.es/gazeta/dias/1834/10/09/pdfs/GMD-1834-237.pdf#page=2","Abrir facsímil")</f>
        <v>Abrir facsímil</v>
      </c>
      <c r="K13934" s="10" t="s">
        <v>37</v>
      </c>
    </row>
    <row r="13935" spans="1:11" ht="54" customHeight="1">
      <c r="A13935" s="9" t="s">
        <v>28289</v>
      </c>
      <c r="B13935" s="9" t="s">
        <v>28290</v>
      </c>
      <c r="C13935" s="9" t="s">
        <v>17</v>
      </c>
      <c r="D13935" s="9" t="s">
        <v>18</v>
      </c>
      <c r="E13935" s="10" t="s">
        <v>679</v>
      </c>
      <c r="F13935" s="9" t="s">
        <v>680</v>
      </c>
      <c r="G13935" s="10" t="s">
        <v>75</v>
      </c>
      <c r="H13935" s="9" t="s">
        <v>35</v>
      </c>
      <c r="I13935" s="9" t="s">
        <v>28297</v>
      </c>
      <c r="J13935" s="10" t="str">
        <f>HYPERLINK("https://www.boe.es/gazeta/dias/1834/12/10/pdfs/GMD-1834-299.pdf#page=4","Abrir facsímil")</f>
        <v>Abrir facsímil</v>
      </c>
      <c r="K13935" s="10" t="s">
        <v>37</v>
      </c>
    </row>
    <row r="13936" spans="1:11" ht="54" customHeight="1">
      <c r="A13936" s="9" t="s">
        <v>28289</v>
      </c>
      <c r="B13936" s="9" t="s">
        <v>28290</v>
      </c>
      <c r="C13936" s="9" t="s">
        <v>17</v>
      </c>
      <c r="D13936" s="9" t="s">
        <v>55</v>
      </c>
      <c r="E13936" s="10" t="s">
        <v>334</v>
      </c>
      <c r="F13936" s="9" t="s">
        <v>567</v>
      </c>
      <c r="G13936" s="10" t="s">
        <v>21</v>
      </c>
      <c r="H13936" s="9" t="s">
        <v>35</v>
      </c>
      <c r="I13936" s="9" t="s">
        <v>28298</v>
      </c>
      <c r="J13936" s="10" t="str">
        <f>HYPERLINK("https://www.boe.es/gazeta/dias/1834/09/11/pdfs/GMD-1834-209.pdf#page=3","Abrir facsímil")</f>
        <v>Abrir facsímil</v>
      </c>
      <c r="K13936" s="10" t="s">
        <v>37</v>
      </c>
    </row>
    <row r="13937" spans="1:11" ht="54" customHeight="1">
      <c r="A13937" s="9" t="s">
        <v>28289</v>
      </c>
      <c r="B13937" s="9" t="s">
        <v>28290</v>
      </c>
      <c r="C13937" s="9" t="s">
        <v>46</v>
      </c>
      <c r="D13937" s="9" t="s">
        <v>55</v>
      </c>
      <c r="E13937" s="10" t="s">
        <v>642</v>
      </c>
      <c r="F13937" s="9" t="s">
        <v>1843</v>
      </c>
      <c r="G13937" s="10" t="s">
        <v>86</v>
      </c>
      <c r="H13937" s="9" t="s">
        <v>35</v>
      </c>
      <c r="I13937" s="9" t="s">
        <v>28299</v>
      </c>
      <c r="J13937" s="10" t="str">
        <f>HYPERLINK("https://www.boe.es/gazeta/dias/1834/11/12/pdfs/GMD-1834-271.pdf#page=2","Abrir facsímil")</f>
        <v>Abrir facsímil</v>
      </c>
      <c r="K13937" s="10" t="s">
        <v>37</v>
      </c>
    </row>
    <row r="13938" spans="1:11" ht="54" customHeight="1">
      <c r="A13938" s="9" t="s">
        <v>28289</v>
      </c>
      <c r="B13938" s="9" t="s">
        <v>28290</v>
      </c>
      <c r="C13938" s="9" t="s">
        <v>17</v>
      </c>
      <c r="D13938" s="9" t="s">
        <v>55</v>
      </c>
      <c r="E13938" s="10" t="s">
        <v>1226</v>
      </c>
      <c r="F13938" s="9" t="s">
        <v>1227</v>
      </c>
      <c r="G13938" s="10" t="s">
        <v>34</v>
      </c>
      <c r="H13938" s="9" t="s">
        <v>35</v>
      </c>
      <c r="I13938" s="9" t="s">
        <v>28300</v>
      </c>
      <c r="J13938" s="10" t="str">
        <f>HYPERLINK("https://www.boe.es/gazeta/dias/1834/07/14/pdfs/GMD-1834-147.pdf#page=1","Abrir facsímil")</f>
        <v>Abrir facsímil</v>
      </c>
      <c r="K13938" s="10" t="s">
        <v>37</v>
      </c>
    </row>
    <row r="13939" spans="1:11" ht="54" customHeight="1">
      <c r="A13939" s="9" t="s">
        <v>28289</v>
      </c>
      <c r="B13939" s="9" t="s">
        <v>28290</v>
      </c>
      <c r="C13939" s="9" t="s">
        <v>90</v>
      </c>
      <c r="D13939" s="9" t="s">
        <v>18</v>
      </c>
      <c r="E13939" s="10" t="s">
        <v>2087</v>
      </c>
      <c r="F13939" s="9" t="s">
        <v>2088</v>
      </c>
      <c r="G13939" s="10" t="s">
        <v>21</v>
      </c>
      <c r="H13939" s="9" t="s">
        <v>35</v>
      </c>
      <c r="I13939" s="9" t="s">
        <v>28301</v>
      </c>
      <c r="J13939" s="10" t="str">
        <f>HYPERLINK("https://www.boe.es/gazeta/dias/1834/12/14/pdfs/GMD-1834-303.pdf#page=3","Abrir facsímil")</f>
        <v>Abrir facsímil</v>
      </c>
      <c r="K13939" s="10" t="s">
        <v>37</v>
      </c>
    </row>
    <row r="13940" spans="1:11" ht="54" customHeight="1">
      <c r="A13940" s="9" t="s">
        <v>28289</v>
      </c>
      <c r="B13940" s="9" t="s">
        <v>28290</v>
      </c>
      <c r="C13940" s="9" t="s">
        <v>17</v>
      </c>
      <c r="D13940" s="9" t="s">
        <v>18</v>
      </c>
      <c r="E13940" s="10" t="s">
        <v>454</v>
      </c>
      <c r="F13940" s="9" t="s">
        <v>2009</v>
      </c>
      <c r="G13940" s="10" t="s">
        <v>86</v>
      </c>
      <c r="H13940" s="9" t="s">
        <v>35</v>
      </c>
      <c r="I13940" s="9" t="s">
        <v>28302</v>
      </c>
      <c r="J13940" s="10" t="str">
        <f>HYPERLINK("https://www.boe.es/gazeta/dias/1834/10/16/pdfs/GMD-1834-244.pdf#page=2","Abrir facsímil")</f>
        <v>Abrir facsímil</v>
      </c>
      <c r="K13940" s="10" t="s">
        <v>37</v>
      </c>
    </row>
    <row r="13941" spans="1:11" ht="54" customHeight="1">
      <c r="A13941" s="9" t="s">
        <v>28289</v>
      </c>
      <c r="B13941" s="9" t="s">
        <v>28290</v>
      </c>
      <c r="C13941" s="9" t="s">
        <v>17</v>
      </c>
      <c r="D13941" s="9" t="s">
        <v>55</v>
      </c>
      <c r="E13941" s="10" t="s">
        <v>4237</v>
      </c>
      <c r="F13941" s="9" t="s">
        <v>4238</v>
      </c>
      <c r="G13941" s="10" t="s">
        <v>86</v>
      </c>
      <c r="H13941" s="9" t="s">
        <v>35</v>
      </c>
      <c r="I13941" s="9" t="s">
        <v>28303</v>
      </c>
      <c r="J13941" s="10" t="str">
        <f>HYPERLINK("https://www.boe.es/gazeta/dias/1834/06/17/pdfs/GMD-1834-120.pdf#page=2","Abrir facsímil")</f>
        <v>Abrir facsímil</v>
      </c>
      <c r="K13941" s="10" t="s">
        <v>37</v>
      </c>
    </row>
    <row r="13942" spans="1:11" ht="54" customHeight="1">
      <c r="A13942" s="9" t="s">
        <v>28289</v>
      </c>
      <c r="B13942" s="9" t="s">
        <v>28290</v>
      </c>
      <c r="C13942" s="9" t="s">
        <v>66</v>
      </c>
      <c r="D13942" s="9" t="s">
        <v>67</v>
      </c>
      <c r="E13942" s="10" t="s">
        <v>615</v>
      </c>
      <c r="F13942" s="9" t="s">
        <v>616</v>
      </c>
      <c r="G13942" s="10" t="s">
        <v>86</v>
      </c>
      <c r="H13942" s="9" t="s">
        <v>35</v>
      </c>
      <c r="I13942" s="9" t="s">
        <v>28304</v>
      </c>
      <c r="J13942" s="10" t="str">
        <f>HYPERLINK("https://www.boe.es/gazeta/dias/1834/08/19/pdfs/GMD-1834-185.pdf#page=2","Abrir facsímil")</f>
        <v>Abrir facsímil</v>
      </c>
      <c r="K13942" s="10" t="s">
        <v>37</v>
      </c>
    </row>
    <row r="13943" spans="1:11" ht="54" customHeight="1">
      <c r="A13943" s="9" t="s">
        <v>28289</v>
      </c>
      <c r="B13943" s="9" t="s">
        <v>28290</v>
      </c>
      <c r="C13943" s="9" t="s">
        <v>46</v>
      </c>
      <c r="D13943" s="9" t="s">
        <v>55</v>
      </c>
      <c r="E13943" s="10" t="s">
        <v>3225</v>
      </c>
      <c r="F13943" s="9" t="s">
        <v>3226</v>
      </c>
      <c r="G13943" s="10" t="s">
        <v>21</v>
      </c>
      <c r="H13943" s="9" t="s">
        <v>35</v>
      </c>
      <c r="I13943" s="9" t="s">
        <v>28305</v>
      </c>
      <c r="J13943" s="10" t="str">
        <f>HYPERLINK("https://www.boe.es/gazeta/dias/1834/08/22/pdfs/GMD-1834-188.pdf#page=3","Abrir facsímil")</f>
        <v>Abrir facsímil</v>
      </c>
      <c r="K13943" s="10" t="s">
        <v>37</v>
      </c>
    </row>
    <row r="13944" spans="1:11" ht="54" customHeight="1">
      <c r="A13944" s="9" t="s">
        <v>28289</v>
      </c>
      <c r="B13944" s="9" t="s">
        <v>28290</v>
      </c>
      <c r="C13944" s="9" t="s">
        <v>17</v>
      </c>
      <c r="D13944" s="9" t="s">
        <v>18</v>
      </c>
      <c r="E13944" s="10" t="s">
        <v>32</v>
      </c>
      <c r="F13944" s="9" t="s">
        <v>7431</v>
      </c>
      <c r="G13944" s="10" t="s">
        <v>86</v>
      </c>
      <c r="H13944" s="9" t="s">
        <v>35</v>
      </c>
      <c r="I13944" s="9" t="s">
        <v>28306</v>
      </c>
      <c r="J13944" s="10" t="str">
        <f>HYPERLINK("https://www.boe.es/gazeta/dias/1834/04/23/pdfs/GMD-C-1834-62.pdf#page=2","Abrir facsímil")</f>
        <v>Abrir facsímil</v>
      </c>
      <c r="K13944" s="10" t="s">
        <v>37</v>
      </c>
    </row>
    <row r="13945" spans="1:11" ht="54" customHeight="1">
      <c r="A13945" s="9" t="s">
        <v>28289</v>
      </c>
      <c r="B13945" s="9" t="s">
        <v>28290</v>
      </c>
      <c r="C13945" s="9" t="s">
        <v>17</v>
      </c>
      <c r="D13945" s="9" t="s">
        <v>18</v>
      </c>
      <c r="E13945" s="10" t="s">
        <v>1307</v>
      </c>
      <c r="F13945" s="9" t="s">
        <v>1308</v>
      </c>
      <c r="G13945" s="10" t="s">
        <v>75</v>
      </c>
      <c r="H13945" s="9" t="s">
        <v>35</v>
      </c>
      <c r="I13945" s="9" t="s">
        <v>28307</v>
      </c>
      <c r="J13945" s="10" t="str">
        <f>HYPERLINK("https://www.boe.es/gazeta/dias/1834/08/25/pdfs/GMD-1834-191.pdf#page=4","Abrir facsímil")</f>
        <v>Abrir facsímil</v>
      </c>
      <c r="K13945" s="10" t="s">
        <v>37</v>
      </c>
    </row>
    <row r="13946" spans="1:11" ht="54" customHeight="1">
      <c r="A13946" s="9" t="s">
        <v>28289</v>
      </c>
      <c r="B13946" s="9" t="s">
        <v>28290</v>
      </c>
      <c r="C13946" s="9" t="s">
        <v>17</v>
      </c>
      <c r="D13946" s="9" t="s">
        <v>18</v>
      </c>
      <c r="E13946" s="10" t="s">
        <v>1135</v>
      </c>
      <c r="F13946" s="9" t="s">
        <v>1136</v>
      </c>
      <c r="G13946" s="10" t="s">
        <v>86</v>
      </c>
      <c r="H13946" s="9" t="s">
        <v>35</v>
      </c>
      <c r="I13946" s="9" t="s">
        <v>28308</v>
      </c>
      <c r="J13946" s="10" t="str">
        <f>HYPERLINK("https://www.boe.es/gazeta/dias/1834/08/26/pdfs/GMD-1834-192.pdf#page=2","Abrir facsímil")</f>
        <v>Abrir facsímil</v>
      </c>
      <c r="K13946" s="10" t="s">
        <v>37</v>
      </c>
    </row>
    <row r="13947" spans="1:11" ht="54" customHeight="1">
      <c r="A13947" s="9" t="s">
        <v>28289</v>
      </c>
      <c r="B13947" s="9" t="s">
        <v>28290</v>
      </c>
      <c r="C13947" s="9" t="s">
        <v>17</v>
      </c>
      <c r="D13947" s="9" t="s">
        <v>18</v>
      </c>
      <c r="E13947" s="10" t="s">
        <v>1689</v>
      </c>
      <c r="F13947" s="9" t="s">
        <v>1690</v>
      </c>
      <c r="G13947" s="10" t="s">
        <v>34</v>
      </c>
      <c r="H13947" s="9" t="s">
        <v>35</v>
      </c>
      <c r="I13947" s="9" t="s">
        <v>28309</v>
      </c>
      <c r="J13947" s="10" t="str">
        <f>HYPERLINK("https://www.boe.es/gazeta/dias/1834/07/28/pdfs/GMD-1834-161.pdf#page=1","Abrir facsímil")</f>
        <v>Abrir facsímil</v>
      </c>
      <c r="K13947" s="10" t="s">
        <v>37</v>
      </c>
    </row>
    <row r="13948" spans="1:11" ht="54" customHeight="1">
      <c r="A13948" s="9" t="s">
        <v>28289</v>
      </c>
      <c r="B13948" s="9" t="s">
        <v>28290</v>
      </c>
      <c r="C13948" s="9" t="s">
        <v>17</v>
      </c>
      <c r="D13948" s="9" t="s">
        <v>18</v>
      </c>
      <c r="E13948" s="10" t="s">
        <v>777</v>
      </c>
      <c r="F13948" s="9" t="s">
        <v>2535</v>
      </c>
      <c r="G13948" s="10" t="s">
        <v>34</v>
      </c>
      <c r="H13948" s="9" t="s">
        <v>35</v>
      </c>
      <c r="I13948" s="9" t="s">
        <v>28310</v>
      </c>
      <c r="J13948" s="10" t="str">
        <f>HYPERLINK("https://www.boe.es/gazeta/dias/1834/10/29/pdfs/GMD-C-1834-257.pdf#page=1","Abrir facsímil")</f>
        <v>Abrir facsímil</v>
      </c>
      <c r="K13948" s="10" t="s">
        <v>37</v>
      </c>
    </row>
    <row r="13949" spans="1:11" ht="54" customHeight="1">
      <c r="A13949" s="9" t="s">
        <v>28311</v>
      </c>
      <c r="B13949" s="9" t="s">
        <v>28312</v>
      </c>
      <c r="C13949" s="9" t="s">
        <v>66</v>
      </c>
      <c r="D13949" s="9" t="s">
        <v>18</v>
      </c>
      <c r="E13949" s="10" t="s">
        <v>1641</v>
      </c>
      <c r="F13949" s="9" t="s">
        <v>1729</v>
      </c>
      <c r="G13949" s="10" t="s">
        <v>21</v>
      </c>
      <c r="H13949" s="9" t="s">
        <v>35</v>
      </c>
      <c r="I13949" s="9" t="s">
        <v>28313</v>
      </c>
      <c r="J13949" s="10" t="str">
        <f>HYPERLINK("https://www.boe.es/gazeta/dias/1834/09/28/pdfs/GMD-1834-226.pdf#page=3","Abrir facsímil")</f>
        <v>Abrir facsímil</v>
      </c>
      <c r="K13949" s="10" t="s">
        <v>37</v>
      </c>
    </row>
    <row r="13950" spans="1:11" ht="54" customHeight="1">
      <c r="A13950" s="9" t="s">
        <v>28314</v>
      </c>
      <c r="B13950" s="9" t="s">
        <v>28315</v>
      </c>
      <c r="C13950" s="9" t="s">
        <v>17</v>
      </c>
      <c r="D13950" s="9" t="s">
        <v>18</v>
      </c>
      <c r="E13950" s="10" t="s">
        <v>1340</v>
      </c>
      <c r="F13950" s="9" t="s">
        <v>1341</v>
      </c>
      <c r="G13950" s="10" t="s">
        <v>34</v>
      </c>
      <c r="H13950" s="9" t="s">
        <v>22</v>
      </c>
      <c r="I13950" s="9" t="s">
        <v>28316</v>
      </c>
      <c r="J13950" s="10" t="str">
        <f>HYPERLINK("https://www.boe.es/gazeta/dias/1834/10/05/pdfs/GMD-C-1834-233.pdf#page=1","Abrir facsímil")</f>
        <v>Abrir facsímil</v>
      </c>
      <c r="K13950" s="10" t="s">
        <v>24</v>
      </c>
    </row>
    <row r="13951" spans="1:11" ht="54" customHeight="1">
      <c r="A13951" s="9" t="s">
        <v>28317</v>
      </c>
      <c r="B13951" s="9" t="s">
        <v>28318</v>
      </c>
      <c r="C13951" s="9" t="s">
        <v>17</v>
      </c>
      <c r="D13951" s="9" t="s">
        <v>18</v>
      </c>
      <c r="E13951" s="10" t="s">
        <v>454</v>
      </c>
      <c r="F13951" s="9" t="s">
        <v>2009</v>
      </c>
      <c r="G13951" s="10" t="s">
        <v>21</v>
      </c>
      <c r="H13951" s="9" t="s">
        <v>22</v>
      </c>
      <c r="I13951" s="9" t="s">
        <v>28319</v>
      </c>
      <c r="J13951" s="10" t="str">
        <f>HYPERLINK("https://www.boe.es/gazeta/dias/1834/10/16/pdfs/GMD-1834-244.pdf#page=3","Abrir facsímil")</f>
        <v>Abrir facsímil</v>
      </c>
      <c r="K13951" s="10" t="s">
        <v>24</v>
      </c>
    </row>
    <row r="13952" spans="1:11" ht="54" customHeight="1">
      <c r="A13952" s="9" t="s">
        <v>28320</v>
      </c>
      <c r="B13952" s="9" t="s">
        <v>28321</v>
      </c>
      <c r="C13952" s="9" t="s">
        <v>17</v>
      </c>
      <c r="D13952" s="9" t="s">
        <v>55</v>
      </c>
      <c r="E13952" s="10" t="s">
        <v>167</v>
      </c>
      <c r="F13952" s="9" t="s">
        <v>168</v>
      </c>
      <c r="G13952" s="10" t="s">
        <v>86</v>
      </c>
      <c r="H13952" s="9" t="s">
        <v>35</v>
      </c>
      <c r="I13952" s="9" t="s">
        <v>28322</v>
      </c>
      <c r="J13952" s="10" t="str">
        <f>HYPERLINK("https://www.boe.es/gazeta/dias/1834/09/07/pdfs/GMD-1834-205.pdf#page=2","Abrir facsímil")</f>
        <v>Abrir facsímil</v>
      </c>
      <c r="K13952" s="10" t="s">
        <v>37</v>
      </c>
    </row>
    <row r="13953" spans="1:11" ht="54" customHeight="1">
      <c r="A13953" s="9" t="s">
        <v>28323</v>
      </c>
      <c r="B13953" s="9" t="s">
        <v>28324</v>
      </c>
      <c r="C13953" s="9" t="s">
        <v>66</v>
      </c>
      <c r="D13953" s="9" t="s">
        <v>18</v>
      </c>
      <c r="E13953" s="10" t="s">
        <v>1641</v>
      </c>
      <c r="F13953" s="9" t="s">
        <v>1729</v>
      </c>
      <c r="G13953" s="10" t="s">
        <v>21</v>
      </c>
      <c r="H13953" s="9" t="s">
        <v>35</v>
      </c>
      <c r="I13953" s="9" t="s">
        <v>28325</v>
      </c>
      <c r="J13953" s="10" t="str">
        <f>HYPERLINK("https://www.boe.es/gazeta/dias/1834/09/28/pdfs/GMD-1834-226.pdf#page=3","Abrir facsímil")</f>
        <v>Abrir facsímil</v>
      </c>
      <c r="K13953" s="10" t="s">
        <v>37</v>
      </c>
    </row>
    <row r="13954" spans="1:11" ht="54" customHeight="1">
      <c r="A13954" s="9" t="s">
        <v>28326</v>
      </c>
      <c r="B13954" s="9" t="s">
        <v>28327</v>
      </c>
      <c r="C13954" s="9" t="s">
        <v>17</v>
      </c>
      <c r="D13954" s="9" t="s">
        <v>18</v>
      </c>
      <c r="E13954" s="10" t="s">
        <v>777</v>
      </c>
      <c r="F13954" s="9" t="s">
        <v>2535</v>
      </c>
      <c r="G13954" s="10" t="s">
        <v>86</v>
      </c>
      <c r="H13954" s="9" t="s">
        <v>35</v>
      </c>
      <c r="I13954" s="9" t="s">
        <v>28328</v>
      </c>
      <c r="J13954" s="10" t="str">
        <f>HYPERLINK("https://www.boe.es/gazeta/dias/1834/10/29/pdfs/GMD-C-1834-257.pdf#page=2","Abrir facsímil")</f>
        <v>Abrir facsímil</v>
      </c>
      <c r="K13954" s="10" t="s">
        <v>37</v>
      </c>
    </row>
    <row r="13955" spans="1:11" ht="54" customHeight="1">
      <c r="A13955" s="9" t="s">
        <v>28329</v>
      </c>
      <c r="B13955" s="9" t="s">
        <v>28330</v>
      </c>
      <c r="C13955" s="9" t="s">
        <v>17</v>
      </c>
      <c r="D13955" s="9" t="s">
        <v>18</v>
      </c>
      <c r="E13955" s="10" t="s">
        <v>317</v>
      </c>
      <c r="F13955" s="9" t="s">
        <v>318</v>
      </c>
      <c r="G13955" s="10" t="s">
        <v>86</v>
      </c>
      <c r="H13955" s="9" t="s">
        <v>35</v>
      </c>
      <c r="I13955" s="9" t="s">
        <v>28331</v>
      </c>
      <c r="J13955" s="10" t="str">
        <f>HYPERLINK("https://www.boe.es/gazeta/dias/1834/03/06/pdfs/I00139-00140.pdf#page=2","Abrir facsímil")</f>
        <v>Abrir facsímil</v>
      </c>
      <c r="K13955" s="10" t="s">
        <v>37</v>
      </c>
    </row>
    <row r="13956" spans="1:11" ht="54" customHeight="1">
      <c r="A13956" s="9" t="s">
        <v>28329</v>
      </c>
      <c r="B13956" s="9" t="s">
        <v>28330</v>
      </c>
      <c r="C13956" s="9" t="s">
        <v>17</v>
      </c>
      <c r="D13956" s="9" t="s">
        <v>18</v>
      </c>
      <c r="E13956" s="10" t="s">
        <v>317</v>
      </c>
      <c r="F13956" s="9" t="s">
        <v>318</v>
      </c>
      <c r="G13956" s="10" t="s">
        <v>75</v>
      </c>
      <c r="H13956" s="9" t="s">
        <v>35</v>
      </c>
      <c r="I13956" s="9" t="s">
        <v>28331</v>
      </c>
      <c r="J13956" s="10" t="str">
        <f>HYPERLINK("https://www.boe.es/gazeta/dias/1834/03/06/pdfs/GMD-1834-29.pdf#page=4","Abrir facsímil")</f>
        <v>Abrir facsímil</v>
      </c>
      <c r="K13956" s="10" t="s">
        <v>37</v>
      </c>
    </row>
    <row r="13957" spans="1:11" ht="54" customHeight="1">
      <c r="A13957" s="9" t="s">
        <v>28332</v>
      </c>
      <c r="B13957" s="9" t="s">
        <v>28332</v>
      </c>
      <c r="C13957" s="9" t="s">
        <v>66</v>
      </c>
      <c r="D13957" s="9" t="s">
        <v>67</v>
      </c>
      <c r="E13957" s="10" t="s">
        <v>133</v>
      </c>
      <c r="F13957" s="9" t="s">
        <v>134</v>
      </c>
      <c r="G13957" s="10" t="s">
        <v>86</v>
      </c>
      <c r="H13957" s="9" t="s">
        <v>22</v>
      </c>
      <c r="I13957" s="9" t="s">
        <v>28333</v>
      </c>
      <c r="J13957" s="10" t="str">
        <f>HYPERLINK("https://www.boe.es/gazeta/dias/1834/06/18/pdfs/GMD-1834-121.pdf#page=2","Abrir facsímil")</f>
        <v>Abrir facsímil</v>
      </c>
      <c r="K13957" s="10" t="s">
        <v>24</v>
      </c>
    </row>
    <row r="13958" spans="1:11" ht="54" customHeight="1">
      <c r="A13958" s="9" t="s">
        <v>28334</v>
      </c>
      <c r="B13958" s="9" t="s">
        <v>28334</v>
      </c>
      <c r="C13958" s="9" t="s">
        <v>46</v>
      </c>
      <c r="D13958" s="9" t="s">
        <v>101</v>
      </c>
      <c r="E13958" s="10" t="s">
        <v>1424</v>
      </c>
      <c r="F13958" s="9" t="s">
        <v>3445</v>
      </c>
      <c r="G13958" s="10" t="s">
        <v>86</v>
      </c>
      <c r="H13958" s="9" t="s">
        <v>22</v>
      </c>
      <c r="I13958" s="9" t="s">
        <v>28335</v>
      </c>
      <c r="J13958" s="10" t="str">
        <f>HYPERLINK("https://www.boe.es/gazeta/dias/1834/11/14/pdfs/GMD-1834-273.pdf#page=2","Abrir facsímil")</f>
        <v>Abrir facsímil</v>
      </c>
      <c r="K13958" s="10" t="s">
        <v>24</v>
      </c>
    </row>
    <row r="13959" spans="1:11" ht="54" customHeight="1">
      <c r="A13959" s="9" t="s">
        <v>28336</v>
      </c>
      <c r="B13959" s="9" t="s">
        <v>28336</v>
      </c>
      <c r="C13959" s="9" t="s">
        <v>17</v>
      </c>
      <c r="D13959" s="9" t="s">
        <v>18</v>
      </c>
      <c r="E13959" s="10" t="s">
        <v>1689</v>
      </c>
      <c r="F13959" s="9" t="s">
        <v>1690</v>
      </c>
      <c r="G13959" s="10" t="s">
        <v>34</v>
      </c>
      <c r="H13959" s="9" t="s">
        <v>22</v>
      </c>
      <c r="I13959" s="9" t="s">
        <v>28337</v>
      </c>
      <c r="J13959" s="10" t="str">
        <f>HYPERLINK("https://www.boe.es/gazeta/dias/1834/07/28/pdfs/GMD-1834-161.pdf#page=1","Abrir facsímil")</f>
        <v>Abrir facsímil</v>
      </c>
      <c r="K13959" s="10" t="s">
        <v>24</v>
      </c>
    </row>
    <row r="13960" spans="1:11" ht="54" customHeight="1">
      <c r="A13960" s="9" t="s">
        <v>28338</v>
      </c>
      <c r="B13960" s="9" t="s">
        <v>28339</v>
      </c>
      <c r="C13960" s="9" t="s">
        <v>17</v>
      </c>
      <c r="D13960" s="9" t="s">
        <v>18</v>
      </c>
      <c r="E13960" s="10" t="s">
        <v>3083</v>
      </c>
      <c r="F13960" s="9" t="s">
        <v>3084</v>
      </c>
      <c r="G13960" s="10" t="s">
        <v>21</v>
      </c>
      <c r="H13960" s="9" t="s">
        <v>22</v>
      </c>
      <c r="I13960" s="9" t="s">
        <v>28340</v>
      </c>
      <c r="J13960" s="10" t="str">
        <f>HYPERLINK("https://www.boe.es/gazeta/dias/1834/10/30/pdfs/GMD-1834-258.pdf#page=3","Abrir facsímil")</f>
        <v>Abrir facsímil</v>
      </c>
      <c r="K13960" s="10" t="s">
        <v>24</v>
      </c>
    </row>
    <row r="13961" spans="1:11" ht="54" customHeight="1">
      <c r="A13961" s="9" t="s">
        <v>28341</v>
      </c>
      <c r="B13961" s="9" t="s">
        <v>28341</v>
      </c>
      <c r="C13961" s="9" t="s">
        <v>66</v>
      </c>
      <c r="D13961" s="9" t="s">
        <v>67</v>
      </c>
      <c r="E13961" s="10" t="s">
        <v>2379</v>
      </c>
      <c r="F13961" s="9" t="s">
        <v>2380</v>
      </c>
      <c r="G13961" s="10" t="s">
        <v>75</v>
      </c>
      <c r="H13961" s="9" t="s">
        <v>22</v>
      </c>
      <c r="I13961" s="9" t="s">
        <v>28342</v>
      </c>
      <c r="J13961" s="10" t="str">
        <f>HYPERLINK("https://www.boe.es/gazeta/dias/1834/04/03/pdfs/GMD-1834-42.pdf#page=4","Abrir facsímil")</f>
        <v>Abrir facsímil</v>
      </c>
      <c r="K13961" s="10" t="s">
        <v>24</v>
      </c>
    </row>
    <row r="13962" spans="1:11" ht="54" customHeight="1">
      <c r="A13962" s="9" t="s">
        <v>28343</v>
      </c>
      <c r="B13962" s="9" t="s">
        <v>28344</v>
      </c>
      <c r="C13962" s="9" t="s">
        <v>122</v>
      </c>
      <c r="D13962" s="9" t="s">
        <v>18</v>
      </c>
      <c r="E13962" s="10" t="s">
        <v>2037</v>
      </c>
      <c r="F13962" s="9" t="s">
        <v>2038</v>
      </c>
      <c r="G13962" s="10" t="s">
        <v>34</v>
      </c>
      <c r="H13962" s="9" t="s">
        <v>22</v>
      </c>
      <c r="I13962" s="9" t="s">
        <v>28345</v>
      </c>
      <c r="J13962" s="10" t="str">
        <f>HYPERLINK("https://www.boe.es/gazeta/dias/1834/12/01/pdfs/I01208-01208.pdf#page=1","Abrir facsímil")</f>
        <v>Abrir facsímil</v>
      </c>
      <c r="K13962" s="10" t="s">
        <v>24</v>
      </c>
    </row>
    <row r="13963" spans="1:11" ht="54" customHeight="1">
      <c r="A13963" s="9" t="s">
        <v>28343</v>
      </c>
      <c r="B13963" s="9" t="s">
        <v>28344</v>
      </c>
      <c r="C13963" s="9" t="s">
        <v>122</v>
      </c>
      <c r="D13963" s="9" t="s">
        <v>18</v>
      </c>
      <c r="E13963" s="10" t="s">
        <v>2037</v>
      </c>
      <c r="F13963" s="9" t="s">
        <v>2038</v>
      </c>
      <c r="G13963" s="10" t="s">
        <v>75</v>
      </c>
      <c r="H13963" s="9" t="s">
        <v>22</v>
      </c>
      <c r="I13963" s="9" t="s">
        <v>28345</v>
      </c>
      <c r="J13963" s="10" t="str">
        <f>HYPERLINK("https://www.boe.es/gazeta/dias/1834/12/01/pdfs/GMD-1834-290.pdf#page=4","Abrir facsímil")</f>
        <v>Abrir facsímil</v>
      </c>
      <c r="K13963" s="10" t="s">
        <v>24</v>
      </c>
    </row>
    <row r="13964" spans="1:11" ht="54" customHeight="1">
      <c r="A13964" s="9" t="s">
        <v>28346</v>
      </c>
      <c r="B13964" s="9" t="s">
        <v>28346</v>
      </c>
      <c r="C13964" s="9" t="s">
        <v>46</v>
      </c>
      <c r="D13964" s="9" t="s">
        <v>101</v>
      </c>
      <c r="E13964" s="10" t="s">
        <v>364</v>
      </c>
      <c r="F13964" s="9" t="s">
        <v>2102</v>
      </c>
      <c r="G13964" s="10" t="s">
        <v>75</v>
      </c>
      <c r="H13964" s="9" t="s">
        <v>22</v>
      </c>
      <c r="I13964" s="9" t="s">
        <v>28347</v>
      </c>
      <c r="J13964" s="10" t="str">
        <f>HYPERLINK("https://www.boe.es/gazeta/dias/1834/09/06/pdfs/GMD-1834-204.pdf#page=4","Abrir facsímil")</f>
        <v>Abrir facsímil</v>
      </c>
      <c r="K13964" s="10" t="s">
        <v>24</v>
      </c>
    </row>
    <row r="13965" spans="1:11" ht="54" customHeight="1">
      <c r="A13965" s="9" t="s">
        <v>28348</v>
      </c>
      <c r="B13965" s="9" t="s">
        <v>28349</v>
      </c>
      <c r="C13965" s="9" t="s">
        <v>17</v>
      </c>
      <c r="D13965" s="9" t="s">
        <v>18</v>
      </c>
      <c r="E13965" s="10" t="s">
        <v>679</v>
      </c>
      <c r="F13965" s="9" t="s">
        <v>680</v>
      </c>
      <c r="G13965" s="10" t="s">
        <v>75</v>
      </c>
      <c r="H13965" s="9" t="s">
        <v>22</v>
      </c>
      <c r="I13965" s="9" t="s">
        <v>28350</v>
      </c>
      <c r="J13965" s="10" t="str">
        <f>HYPERLINK("https://www.boe.es/gazeta/dias/1834/12/10/pdfs/GMD-1834-299.pdf#page=4","Abrir facsímil")</f>
        <v>Abrir facsímil</v>
      </c>
      <c r="K13965" s="10" t="s">
        <v>24</v>
      </c>
    </row>
    <row r="13966" spans="1:11" ht="54" customHeight="1">
      <c r="A13966" s="9" t="s">
        <v>28351</v>
      </c>
      <c r="B13966" s="9" t="s">
        <v>28351</v>
      </c>
      <c r="C13966" s="9" t="s">
        <v>17</v>
      </c>
      <c r="D13966" s="9" t="s">
        <v>18</v>
      </c>
      <c r="E13966" s="10" t="s">
        <v>2153</v>
      </c>
      <c r="F13966" s="9" t="s">
        <v>2154</v>
      </c>
      <c r="G13966" s="10" t="s">
        <v>34</v>
      </c>
      <c r="H13966" s="9" t="s">
        <v>22</v>
      </c>
      <c r="I13966" s="9" t="s">
        <v>28352</v>
      </c>
      <c r="J13966" s="10" t="str">
        <f>HYPERLINK("https://www.boe.es/gazeta/dias/1834/01/23/pdfs/GMD-1834-11.pdf#page=1","Abrir facsímil")</f>
        <v>Abrir facsímil</v>
      </c>
      <c r="K13966" s="10" t="s">
        <v>24</v>
      </c>
    </row>
    <row r="13967" spans="1:11" ht="54" customHeight="1">
      <c r="A13967" s="9" t="s">
        <v>28353</v>
      </c>
      <c r="B13967" s="9" t="s">
        <v>28354</v>
      </c>
      <c r="C13967" s="9" t="s">
        <v>17</v>
      </c>
      <c r="D13967" s="9" t="s">
        <v>18</v>
      </c>
      <c r="E13967" s="10" t="s">
        <v>2153</v>
      </c>
      <c r="F13967" s="9" t="s">
        <v>2154</v>
      </c>
      <c r="G13967" s="10" t="s">
        <v>34</v>
      </c>
      <c r="H13967" s="9" t="s">
        <v>22</v>
      </c>
      <c r="I13967" s="9" t="s">
        <v>28352</v>
      </c>
      <c r="J13967" s="10" t="str">
        <f>HYPERLINK("https://www.boe.es/gazeta/dias/1834/01/23/pdfs/GMD-1834-11.pdf#page=1","Abrir facsímil")</f>
        <v>Abrir facsímil</v>
      </c>
      <c r="K13967" s="10" t="s">
        <v>24</v>
      </c>
    </row>
    <row r="13968" spans="1:11" ht="54" customHeight="1">
      <c r="A13968" s="9" t="s">
        <v>28355</v>
      </c>
      <c r="B13968" s="9" t="s">
        <v>28355</v>
      </c>
      <c r="C13968" s="9" t="s">
        <v>122</v>
      </c>
      <c r="D13968" s="9" t="s">
        <v>55</v>
      </c>
      <c r="E13968" s="10" t="s">
        <v>1766</v>
      </c>
      <c r="F13968" s="9" t="s">
        <v>5600</v>
      </c>
      <c r="G13968" s="10" t="s">
        <v>34</v>
      </c>
      <c r="H13968" s="9" t="s">
        <v>22</v>
      </c>
      <c r="I13968" s="9" t="s">
        <v>28356</v>
      </c>
      <c r="J13968" s="10" t="str">
        <f>HYPERLINK("https://www.boe.es/gazeta/dias/1834/10/26/pdfs/GMD-1834-254.pdf#page=1","Abrir facsímil")</f>
        <v>Abrir facsímil</v>
      </c>
      <c r="K13968" s="10" t="s">
        <v>24</v>
      </c>
    </row>
    <row r="13969" spans="1:11" ht="54" customHeight="1">
      <c r="A13969" s="9" t="s">
        <v>28357</v>
      </c>
      <c r="B13969" s="9" t="s">
        <v>28358</v>
      </c>
      <c r="C13969" s="9" t="s">
        <v>122</v>
      </c>
      <c r="D13969" s="9" t="s">
        <v>18</v>
      </c>
      <c r="E13969" s="10" t="s">
        <v>84</v>
      </c>
      <c r="F13969" s="9" t="s">
        <v>85</v>
      </c>
      <c r="G13969" s="10" t="s">
        <v>86</v>
      </c>
      <c r="H13969" s="9" t="s">
        <v>22</v>
      </c>
      <c r="I13969" s="9" t="s">
        <v>28359</v>
      </c>
      <c r="J13969" s="10" t="str">
        <f>HYPERLINK("https://www.boe.es/gazeta/dias/1834/06/07/pdfs/GMD-C-1834-109.pdf#page=2","Abrir facsímil")</f>
        <v>Abrir facsímil</v>
      </c>
      <c r="K13969" s="10" t="s">
        <v>24</v>
      </c>
    </row>
    <row r="13970" spans="1:11" ht="54" customHeight="1">
      <c r="A13970" s="9" t="s">
        <v>28360</v>
      </c>
      <c r="B13970" s="9" t="s">
        <v>28360</v>
      </c>
      <c r="C13970" s="9" t="s">
        <v>66</v>
      </c>
      <c r="D13970" s="9" t="s">
        <v>67</v>
      </c>
      <c r="E13970" s="10" t="s">
        <v>133</v>
      </c>
      <c r="F13970" s="9" t="s">
        <v>134</v>
      </c>
      <c r="G13970" s="10" t="s">
        <v>86</v>
      </c>
      <c r="H13970" s="9" t="s">
        <v>22</v>
      </c>
      <c r="I13970" s="9" t="s">
        <v>28361</v>
      </c>
      <c r="J13970" s="10" t="str">
        <f>HYPERLINK("https://www.boe.es/gazeta/dias/1834/06/18/pdfs/GMD-1834-121.pdf#page=2","Abrir facsímil")</f>
        <v>Abrir facsímil</v>
      </c>
      <c r="K13970" s="10" t="s">
        <v>24</v>
      </c>
    </row>
    <row r="13971" spans="1:11" ht="54" customHeight="1">
      <c r="A13971" s="9" t="s">
        <v>28362</v>
      </c>
      <c r="B13971" s="9" t="s">
        <v>28363</v>
      </c>
      <c r="C13971" s="9" t="s">
        <v>66</v>
      </c>
      <c r="D13971" s="9" t="s">
        <v>67</v>
      </c>
      <c r="E13971" s="10" t="s">
        <v>299</v>
      </c>
      <c r="F13971" s="9" t="s">
        <v>300</v>
      </c>
      <c r="G13971" s="10" t="s">
        <v>75</v>
      </c>
      <c r="H13971" s="9" t="s">
        <v>22</v>
      </c>
      <c r="I13971" s="9" t="s">
        <v>28364</v>
      </c>
      <c r="J13971" s="10" t="str">
        <f>HYPERLINK("https://www.boe.es/gazeta/dias/1834/12/12/pdfs/GMD-1834-301.pdf#page=4","Abrir facsímil")</f>
        <v>Abrir facsímil</v>
      </c>
      <c r="K13971" s="10" t="s">
        <v>24</v>
      </c>
    </row>
    <row r="13972" spans="1:11" ht="54" customHeight="1">
      <c r="A13972" s="9" t="s">
        <v>28365</v>
      </c>
      <c r="B13972" s="9" t="s">
        <v>28365</v>
      </c>
      <c r="C13972" s="9" t="s">
        <v>66</v>
      </c>
      <c r="D13972" s="9" t="s">
        <v>67</v>
      </c>
      <c r="E13972" s="10" t="s">
        <v>863</v>
      </c>
      <c r="F13972" s="9" t="s">
        <v>864</v>
      </c>
      <c r="G13972" s="10" t="s">
        <v>75</v>
      </c>
      <c r="H13972" s="9" t="s">
        <v>22</v>
      </c>
      <c r="I13972" s="9" t="s">
        <v>28366</v>
      </c>
      <c r="J13972" s="10" t="str">
        <f>HYPERLINK("https://www.boe.es/gazeta/dias/1834/09/15/pdfs/GMD-1834-213.pdf#page=4","Abrir facsímil")</f>
        <v>Abrir facsímil</v>
      </c>
      <c r="K13972" s="10" t="s">
        <v>24</v>
      </c>
    </row>
    <row r="13973" spans="1:11" ht="54" customHeight="1">
      <c r="A13973" s="9" t="s">
        <v>28367</v>
      </c>
      <c r="B13973" s="9" t="s">
        <v>28368</v>
      </c>
      <c r="C13973" s="9" t="s">
        <v>66</v>
      </c>
      <c r="D13973" s="9" t="s">
        <v>67</v>
      </c>
      <c r="E13973" s="10" t="s">
        <v>863</v>
      </c>
      <c r="F13973" s="9" t="s">
        <v>864</v>
      </c>
      <c r="G13973" s="10" t="s">
        <v>75</v>
      </c>
      <c r="H13973" s="9" t="s">
        <v>22</v>
      </c>
      <c r="I13973" s="9" t="s">
        <v>28369</v>
      </c>
      <c r="J13973" s="10" t="str">
        <f>HYPERLINK("https://www.boe.es/gazeta/dias/1834/09/15/pdfs/GMD-1834-213.pdf#page=4","Abrir facsímil")</f>
        <v>Abrir facsímil</v>
      </c>
      <c r="K13973" s="10" t="s">
        <v>24</v>
      </c>
    </row>
    <row r="13974" spans="1:11" ht="54" customHeight="1">
      <c r="A13974" s="9" t="s">
        <v>28370</v>
      </c>
      <c r="B13974" s="9" t="s">
        <v>28371</v>
      </c>
      <c r="C13974" s="9" t="s">
        <v>66</v>
      </c>
      <c r="D13974" s="9" t="s">
        <v>18</v>
      </c>
      <c r="E13974" s="10" t="s">
        <v>1178</v>
      </c>
      <c r="F13974" s="9" t="s">
        <v>1179</v>
      </c>
      <c r="G13974" s="10" t="s">
        <v>86</v>
      </c>
      <c r="H13974" s="9" t="s">
        <v>22</v>
      </c>
      <c r="I13974" s="9" t="s">
        <v>28372</v>
      </c>
      <c r="J13974" s="10" t="str">
        <f>HYPERLINK("https://www.boe.es/gazeta/dias/1834/04/10/pdfs/GMD-C-1834-49.pdf#page=2","Abrir facsímil")</f>
        <v>Abrir facsímil</v>
      </c>
      <c r="K13974" s="10" t="s">
        <v>24</v>
      </c>
    </row>
    <row r="13975" spans="1:11" ht="54" customHeight="1">
      <c r="A13975" s="9" t="s">
        <v>28373</v>
      </c>
      <c r="B13975" s="9" t="s">
        <v>28374</v>
      </c>
      <c r="C13975" s="9" t="s">
        <v>66</v>
      </c>
      <c r="D13975" s="9" t="s">
        <v>67</v>
      </c>
      <c r="E13975" s="10" t="s">
        <v>1178</v>
      </c>
      <c r="F13975" s="9" t="s">
        <v>1179</v>
      </c>
      <c r="G13975" s="10" t="s">
        <v>86</v>
      </c>
      <c r="H13975" s="9" t="s">
        <v>35</v>
      </c>
      <c r="I13975" s="9" t="s">
        <v>28375</v>
      </c>
      <c r="J13975" s="10" t="str">
        <f>HYPERLINK("https://www.boe.es/gazeta/dias/1834/04/10/pdfs/GMD-C-1834-49.pdf#page=2","Abrir facsímil")</f>
        <v>Abrir facsímil</v>
      </c>
      <c r="K13975" s="10" t="s">
        <v>37</v>
      </c>
    </row>
    <row r="13976" spans="1:11" ht="54" customHeight="1">
      <c r="A13976" s="9" t="s">
        <v>28376</v>
      </c>
      <c r="B13976" s="9" t="s">
        <v>28377</v>
      </c>
      <c r="C13976" s="9" t="s">
        <v>66</v>
      </c>
      <c r="D13976" s="9" t="s">
        <v>67</v>
      </c>
      <c r="E13976" s="10" t="s">
        <v>84</v>
      </c>
      <c r="F13976" s="9" t="s">
        <v>85</v>
      </c>
      <c r="G13976" s="10" t="s">
        <v>86</v>
      </c>
      <c r="H13976" s="9" t="s">
        <v>22</v>
      </c>
      <c r="I13976" s="9" t="s">
        <v>28378</v>
      </c>
      <c r="J13976" s="10" t="str">
        <f>HYPERLINK("https://www.boe.es/gazeta/dias/1834/06/07/pdfs/GMD-C-1834-109.pdf#page=2","Abrir facsímil")</f>
        <v>Abrir facsímil</v>
      </c>
      <c r="K13976" s="10" t="s">
        <v>24</v>
      </c>
    </row>
    <row r="13977" spans="1:11" ht="54" customHeight="1">
      <c r="A13977" s="9" t="s">
        <v>28379</v>
      </c>
      <c r="B13977" s="9" t="s">
        <v>28379</v>
      </c>
      <c r="C13977" s="9" t="s">
        <v>66</v>
      </c>
      <c r="D13977" s="9" t="s">
        <v>67</v>
      </c>
      <c r="E13977" s="10" t="s">
        <v>26</v>
      </c>
      <c r="F13977" s="9" t="s">
        <v>818</v>
      </c>
      <c r="G13977" s="10" t="s">
        <v>75</v>
      </c>
      <c r="H13977" s="9" t="s">
        <v>22</v>
      </c>
      <c r="I13977" s="9" t="s">
        <v>28380</v>
      </c>
      <c r="J13977" s="10" t="str">
        <f>HYPERLINK("https://www.boe.es/gazeta/dias/1834/10/19/pdfs/GMD-1834-247.pdf#page=4","Abrir facsímil")</f>
        <v>Abrir facsímil</v>
      </c>
      <c r="K13977" s="10" t="s">
        <v>24</v>
      </c>
    </row>
    <row r="13978" spans="1:11" ht="54" customHeight="1">
      <c r="A13978" s="9" t="s">
        <v>28381</v>
      </c>
      <c r="B13978" s="9" t="s">
        <v>28382</v>
      </c>
      <c r="C13978" s="9" t="s">
        <v>122</v>
      </c>
      <c r="D13978" s="9" t="s">
        <v>18</v>
      </c>
      <c r="E13978" s="10" t="s">
        <v>1084</v>
      </c>
      <c r="F13978" s="9" t="s">
        <v>1085</v>
      </c>
      <c r="G13978" s="10" t="s">
        <v>176</v>
      </c>
      <c r="H13978" s="9" t="s">
        <v>35</v>
      </c>
      <c r="I13978" s="9" t="s">
        <v>28383</v>
      </c>
      <c r="J13978" s="10" t="str">
        <f>HYPERLINK("https://www.boe.es/gazeta/dias/1834/05/01/pdfs/GMD-1834-70.pdf#page=6","Abrir facsímil")</f>
        <v>Abrir facsímil</v>
      </c>
      <c r="K13978" s="10" t="s">
        <v>37</v>
      </c>
    </row>
    <row r="13979" spans="1:11" ht="54" customHeight="1">
      <c r="A13979" s="9" t="s">
        <v>28384</v>
      </c>
      <c r="B13979" s="9" t="s">
        <v>28385</v>
      </c>
      <c r="C13979" s="9" t="s">
        <v>122</v>
      </c>
      <c r="D13979" s="9" t="s">
        <v>18</v>
      </c>
      <c r="E13979" s="10" t="s">
        <v>1084</v>
      </c>
      <c r="F13979" s="9" t="s">
        <v>1085</v>
      </c>
      <c r="G13979" s="10" t="s">
        <v>176</v>
      </c>
      <c r="H13979" s="9" t="s">
        <v>22</v>
      </c>
      <c r="I13979" s="9" t="s">
        <v>28386</v>
      </c>
      <c r="J13979" s="10" t="str">
        <f>HYPERLINK("https://www.boe.es/gazeta/dias/1834/05/01/pdfs/GMD-1834-70.pdf#page=6","Abrir facsímil")</f>
        <v>Abrir facsímil</v>
      </c>
      <c r="K13979" s="10" t="s">
        <v>24</v>
      </c>
    </row>
    <row r="13980" spans="1:11" ht="54" customHeight="1">
      <c r="A13980" s="9" t="s">
        <v>28387</v>
      </c>
      <c r="B13980" s="9" t="s">
        <v>28387</v>
      </c>
      <c r="C13980" s="9" t="s">
        <v>17</v>
      </c>
      <c r="D13980" s="9" t="s">
        <v>18</v>
      </c>
      <c r="E13980" s="10" t="s">
        <v>672</v>
      </c>
      <c r="F13980" s="9" t="s">
        <v>1055</v>
      </c>
      <c r="G13980" s="10" t="s">
        <v>75</v>
      </c>
      <c r="H13980" s="9" t="s">
        <v>22</v>
      </c>
      <c r="I13980" s="9" t="s">
        <v>28388</v>
      </c>
      <c r="J13980" s="10" t="str">
        <f>HYPERLINK("https://www.boe.es/gazeta/dias/1834/09/19/pdfs/GMD-C-1834-217.pdf#page=4","Abrir facsímil")</f>
        <v>Abrir facsímil</v>
      </c>
      <c r="K13980" s="10" t="s">
        <v>24</v>
      </c>
    </row>
    <row r="13981" spans="1:11" ht="54" customHeight="1">
      <c r="A13981" s="9" t="s">
        <v>28387</v>
      </c>
      <c r="B13981" s="9" t="s">
        <v>28387</v>
      </c>
      <c r="C13981" s="9" t="s">
        <v>17</v>
      </c>
      <c r="D13981" s="9" t="s">
        <v>18</v>
      </c>
      <c r="E13981" s="10" t="s">
        <v>707</v>
      </c>
      <c r="F13981" s="9" t="s">
        <v>708</v>
      </c>
      <c r="G13981" s="10" t="s">
        <v>75</v>
      </c>
      <c r="H13981" s="9" t="s">
        <v>22</v>
      </c>
      <c r="I13981" s="9" t="s">
        <v>28389</v>
      </c>
      <c r="J13981" s="10" t="str">
        <f>HYPERLINK("https://www.boe.es/gazeta/dias/1834/11/25/pdfs/GMD-C-1834-284.pdf#page=4","Abrir facsímil")</f>
        <v>Abrir facsímil</v>
      </c>
      <c r="K13981" s="10" t="s">
        <v>24</v>
      </c>
    </row>
    <row r="13982" spans="1:11" ht="54" customHeight="1">
      <c r="A13982" s="9" t="s">
        <v>28390</v>
      </c>
      <c r="B13982" s="9" t="s">
        <v>28391</v>
      </c>
      <c r="C13982" s="9" t="s">
        <v>90</v>
      </c>
      <c r="D13982" s="9" t="s">
        <v>18</v>
      </c>
      <c r="E13982" s="10" t="s">
        <v>1692</v>
      </c>
      <c r="F13982" s="9" t="s">
        <v>3985</v>
      </c>
      <c r="G13982" s="10" t="s">
        <v>34</v>
      </c>
      <c r="H13982" s="9" t="s">
        <v>35</v>
      </c>
      <c r="I13982" s="9" t="s">
        <v>28392</v>
      </c>
      <c r="J13982" s="10" t="str">
        <f>HYPERLINK("https://www.boe.es/gazeta/dias/1834/07/29/pdfs/GMD-C-1834-162.pdf#page=1","Abrir facsímil")</f>
        <v>Abrir facsímil</v>
      </c>
      <c r="K13982" s="10" t="s">
        <v>37</v>
      </c>
    </row>
    <row r="13983" spans="1:11" ht="54" customHeight="1">
      <c r="A13983" s="9" t="s">
        <v>28393</v>
      </c>
      <c r="B13983" s="9" t="s">
        <v>28394</v>
      </c>
      <c r="C13983" s="9" t="s">
        <v>17</v>
      </c>
      <c r="D13983" s="9" t="s">
        <v>18</v>
      </c>
      <c r="E13983" s="10" t="s">
        <v>4637</v>
      </c>
      <c r="F13983" s="9" t="s">
        <v>4638</v>
      </c>
      <c r="G13983" s="10" t="s">
        <v>75</v>
      </c>
      <c r="H13983" s="9" t="s">
        <v>22</v>
      </c>
      <c r="I13983" s="9" t="s">
        <v>28395</v>
      </c>
      <c r="J13983" s="10" t="str">
        <f>HYPERLINK("https://www.boe.es/gazeta/dias/1834/12/08/pdfs/GMD-1834-297.pdf#page=4","Abrir facsímil")</f>
        <v>Abrir facsímil</v>
      </c>
      <c r="K13983" s="10" t="s">
        <v>24</v>
      </c>
    </row>
    <row r="13984" spans="1:11" ht="54" customHeight="1">
      <c r="A13984" s="9" t="s">
        <v>28396</v>
      </c>
      <c r="B13984" s="9" t="s">
        <v>28397</v>
      </c>
      <c r="C13984" s="9" t="s">
        <v>46</v>
      </c>
      <c r="D13984" s="9" t="s">
        <v>101</v>
      </c>
      <c r="E13984" s="10" t="s">
        <v>233</v>
      </c>
      <c r="F13984" s="9" t="s">
        <v>234</v>
      </c>
      <c r="G13984" s="10" t="s">
        <v>75</v>
      </c>
      <c r="H13984" s="9" t="s">
        <v>22</v>
      </c>
      <c r="I13984" s="9" t="s">
        <v>28398</v>
      </c>
      <c r="J13984" s="10" t="str">
        <f>HYPERLINK("https://www.boe.es/gazeta/dias/1834/12/16/pdfs/GMD-1834-305.pdf#page=4","Abrir facsímil")</f>
        <v>Abrir facsímil</v>
      </c>
      <c r="K13984" s="10" t="s">
        <v>24</v>
      </c>
    </row>
    <row r="13985" spans="1:11" ht="54" customHeight="1">
      <c r="A13985" s="9" t="s">
        <v>28399</v>
      </c>
      <c r="B13985" s="9" t="s">
        <v>28400</v>
      </c>
      <c r="C13985" s="9" t="s">
        <v>66</v>
      </c>
      <c r="D13985" s="9" t="s">
        <v>18</v>
      </c>
      <c r="E13985" s="10" t="s">
        <v>133</v>
      </c>
      <c r="F13985" s="9" t="s">
        <v>134</v>
      </c>
      <c r="G13985" s="10" t="s">
        <v>34</v>
      </c>
      <c r="H13985" s="9" t="s">
        <v>22</v>
      </c>
      <c r="I13985" s="9" t="s">
        <v>28401</v>
      </c>
      <c r="J13985" s="10" t="str">
        <f>HYPERLINK("https://www.boe.es/gazeta/dias/1834/06/18/pdfs/GMD-1834-121.pdf#page=1","Abrir facsímil")</f>
        <v>Abrir facsímil</v>
      </c>
      <c r="K13985" s="10" t="s">
        <v>24</v>
      </c>
    </row>
    <row r="13986" spans="1:11" ht="54" customHeight="1">
      <c r="A13986" s="9" t="s">
        <v>28399</v>
      </c>
      <c r="B13986" s="9" t="s">
        <v>28400</v>
      </c>
      <c r="C13986" s="9" t="s">
        <v>17</v>
      </c>
      <c r="D13986" s="9" t="s">
        <v>101</v>
      </c>
      <c r="E13986" s="10" t="s">
        <v>32</v>
      </c>
      <c r="F13986" s="9" t="s">
        <v>33</v>
      </c>
      <c r="G13986" s="10" t="s">
        <v>86</v>
      </c>
      <c r="H13986" s="9" t="s">
        <v>22</v>
      </c>
      <c r="I13986" s="9" t="s">
        <v>28402</v>
      </c>
      <c r="J13986" s="10" t="str">
        <f>HYPERLINK("https://www.boe.es/gazeta/dias/1834/04/23/pdfs/GMD-1834-62.pdf#page=2","Abrir facsímil")</f>
        <v>Abrir facsímil</v>
      </c>
      <c r="K13986" s="10" t="s">
        <v>24</v>
      </c>
    </row>
    <row r="13987" spans="1:11" ht="54" customHeight="1">
      <c r="A13987" s="9" t="s">
        <v>28399</v>
      </c>
      <c r="B13987" s="9" t="s">
        <v>28400</v>
      </c>
      <c r="C13987" s="9" t="s">
        <v>90</v>
      </c>
      <c r="D13987" s="9" t="s">
        <v>18</v>
      </c>
      <c r="E13987" s="10" t="s">
        <v>1692</v>
      </c>
      <c r="F13987" s="9" t="s">
        <v>3985</v>
      </c>
      <c r="G13987" s="10" t="s">
        <v>34</v>
      </c>
      <c r="H13987" s="9" t="s">
        <v>22</v>
      </c>
      <c r="I13987" s="9" t="s">
        <v>28403</v>
      </c>
      <c r="J13987" s="10" t="str">
        <f>HYPERLINK("https://www.boe.es/gazeta/dias/1834/07/29/pdfs/GMD-C-1834-162.pdf#page=1","Abrir facsímil")</f>
        <v>Abrir facsímil</v>
      </c>
      <c r="K13987" s="10" t="s">
        <v>24</v>
      </c>
    </row>
    <row r="13988" spans="1:11" ht="54" customHeight="1">
      <c r="A13988" s="9" t="s">
        <v>28404</v>
      </c>
      <c r="B13988" s="9" t="s">
        <v>28405</v>
      </c>
      <c r="C13988" s="9" t="s">
        <v>90</v>
      </c>
      <c r="D13988" s="9" t="s">
        <v>18</v>
      </c>
      <c r="E13988" s="10" t="s">
        <v>785</v>
      </c>
      <c r="F13988" s="9" t="s">
        <v>786</v>
      </c>
      <c r="G13988" s="10" t="s">
        <v>34</v>
      </c>
      <c r="H13988" s="9" t="s">
        <v>22</v>
      </c>
      <c r="I13988" s="9" t="s">
        <v>28406</v>
      </c>
      <c r="J13988" s="10" t="str">
        <f>HYPERLINK("https://www.boe.es/gazeta/dias/1834/02/11/pdfs/GMD-1834-19.pdf#page=1","Abrir facsímil")</f>
        <v>Abrir facsímil</v>
      </c>
      <c r="K13988" s="10" t="s">
        <v>24</v>
      </c>
    </row>
    <row r="13989" spans="1:11" ht="54" customHeight="1">
      <c r="A13989" s="9" t="s">
        <v>28407</v>
      </c>
      <c r="B13989" s="9" t="s">
        <v>28408</v>
      </c>
      <c r="C13989" s="9" t="s">
        <v>122</v>
      </c>
      <c r="D13989" s="9" t="s">
        <v>40</v>
      </c>
      <c r="E13989" s="10" t="s">
        <v>1410</v>
      </c>
      <c r="F13989" s="9" t="s">
        <v>1411</v>
      </c>
      <c r="G13989" s="10" t="s">
        <v>75</v>
      </c>
      <c r="H13989" s="9" t="s">
        <v>22</v>
      </c>
      <c r="I13989" s="9" t="s">
        <v>28409</v>
      </c>
      <c r="J13989" s="10" t="str">
        <f>HYPERLINK("https://www.boe.es/gazeta/dias/1834/09/09/pdfs/GMD-1834-207.pdf#page=4","Abrir facsímil")</f>
        <v>Abrir facsímil</v>
      </c>
      <c r="K13989" s="10" t="s">
        <v>24</v>
      </c>
    </row>
    <row r="13990" spans="1:11" ht="54" customHeight="1">
      <c r="A13990" s="9" t="s">
        <v>28410</v>
      </c>
      <c r="B13990" s="9" t="s">
        <v>28410</v>
      </c>
      <c r="C13990" s="9" t="s">
        <v>17</v>
      </c>
      <c r="D13990" s="9" t="s">
        <v>55</v>
      </c>
      <c r="E13990" s="10" t="s">
        <v>3328</v>
      </c>
      <c r="F13990" s="9" t="s">
        <v>3329</v>
      </c>
      <c r="G13990" s="10" t="s">
        <v>86</v>
      </c>
      <c r="H13990" s="9" t="s">
        <v>22</v>
      </c>
      <c r="I13990" s="9" t="s">
        <v>28411</v>
      </c>
      <c r="J13990" s="10" t="str">
        <f>HYPERLINK("https://www.boe.es/gazeta/dias/1834/06/04/pdfs/GMD-1834-106.pdf#page=2","Abrir facsímil")</f>
        <v>Abrir facsímil</v>
      </c>
      <c r="K13990" s="10" t="s">
        <v>24</v>
      </c>
    </row>
    <row r="13991" spans="1:11" ht="54" customHeight="1">
      <c r="A13991" s="9" t="s">
        <v>28410</v>
      </c>
      <c r="B13991" s="9" t="s">
        <v>28410</v>
      </c>
      <c r="C13991" s="9" t="s">
        <v>66</v>
      </c>
      <c r="D13991" s="9" t="s">
        <v>67</v>
      </c>
      <c r="E13991" s="10" t="s">
        <v>518</v>
      </c>
      <c r="F13991" s="9" t="s">
        <v>519</v>
      </c>
      <c r="G13991" s="10" t="s">
        <v>86</v>
      </c>
      <c r="H13991" s="9" t="s">
        <v>22</v>
      </c>
      <c r="I13991" s="9" t="s">
        <v>28412</v>
      </c>
      <c r="J13991" s="10" t="str">
        <f>HYPERLINK("https://www.boe.es/gazeta/dias/1834/03/15/pdfs/GMD-1834-33.pdf#page=2","Abrir facsímil")</f>
        <v>Abrir facsímil</v>
      </c>
      <c r="K13991" s="10" t="s">
        <v>24</v>
      </c>
    </row>
    <row r="13992" spans="1:11" ht="54" customHeight="1">
      <c r="A13992" s="9" t="s">
        <v>28410</v>
      </c>
      <c r="B13992" s="9" t="s">
        <v>28410</v>
      </c>
      <c r="C13992" s="9" t="s">
        <v>17</v>
      </c>
      <c r="D13992" s="9" t="s">
        <v>55</v>
      </c>
      <c r="E13992" s="10" t="s">
        <v>3810</v>
      </c>
      <c r="F13992" s="9" t="s">
        <v>3811</v>
      </c>
      <c r="G13992" s="10" t="s">
        <v>86</v>
      </c>
      <c r="H13992" s="9" t="s">
        <v>22</v>
      </c>
      <c r="I13992" s="9" t="s">
        <v>28413</v>
      </c>
      <c r="J13992" s="10" t="str">
        <f>HYPERLINK("https://www.boe.es/gazeta/dias/1834/02/20/pdfs/GMD-1834-23.pdf#page=2","Abrir facsímil")</f>
        <v>Abrir facsímil</v>
      </c>
      <c r="K13992" s="10" t="s">
        <v>24</v>
      </c>
    </row>
    <row r="13993" spans="1:11" ht="54" customHeight="1">
      <c r="A13993" s="9" t="s">
        <v>28414</v>
      </c>
      <c r="B13993" s="9" t="s">
        <v>28415</v>
      </c>
      <c r="C13993" s="9" t="s">
        <v>66</v>
      </c>
      <c r="D13993" s="9" t="s">
        <v>67</v>
      </c>
      <c r="E13993" s="10" t="s">
        <v>1234</v>
      </c>
      <c r="F13993" s="9" t="s">
        <v>1235</v>
      </c>
      <c r="G13993" s="10" t="s">
        <v>34</v>
      </c>
      <c r="H13993" s="9" t="s">
        <v>22</v>
      </c>
      <c r="I13993" s="9" t="s">
        <v>28416</v>
      </c>
      <c r="J13993" s="10" t="str">
        <f>HYPERLINK("https://www.boe.es/gazeta/dias/1834/05/15/pdfs/GMD-C-1834-84.pdf#page=1","Abrir facsímil")</f>
        <v>Abrir facsímil</v>
      </c>
      <c r="K13993" s="10" t="s">
        <v>24</v>
      </c>
    </row>
    <row r="13994" spans="1:11" ht="54" customHeight="1">
      <c r="A13994" s="9" t="s">
        <v>28417</v>
      </c>
      <c r="B13994" s="9" t="s">
        <v>28418</v>
      </c>
      <c r="C13994" s="9" t="s">
        <v>66</v>
      </c>
      <c r="D13994" s="9" t="s">
        <v>67</v>
      </c>
      <c r="E13994" s="10" t="s">
        <v>61</v>
      </c>
      <c r="F13994" s="9" t="s">
        <v>205</v>
      </c>
      <c r="G13994" s="10" t="s">
        <v>21</v>
      </c>
      <c r="H13994" s="9" t="s">
        <v>22</v>
      </c>
      <c r="I13994" s="9" t="s">
        <v>28419</v>
      </c>
      <c r="J13994" s="10" t="str">
        <f>HYPERLINK("https://www.boe.es/gazeta/dias/1834/06/08/pdfs/GMD-1834-110.pdf#page=3","Abrir facsímil")</f>
        <v>Abrir facsímil</v>
      </c>
      <c r="K13994" s="10" t="s">
        <v>24</v>
      </c>
    </row>
    <row r="13995" spans="1:11" ht="54" customHeight="1">
      <c r="A13995" s="9" t="s">
        <v>28420</v>
      </c>
      <c r="B13995" s="9" t="s">
        <v>28421</v>
      </c>
      <c r="C13995" s="9" t="s">
        <v>17</v>
      </c>
      <c r="D13995" s="9" t="s">
        <v>18</v>
      </c>
      <c r="E13995" s="10" t="s">
        <v>1918</v>
      </c>
      <c r="F13995" s="9" t="s">
        <v>2024</v>
      </c>
      <c r="G13995" s="10" t="s">
        <v>34</v>
      </c>
      <c r="H13995" s="9" t="s">
        <v>22</v>
      </c>
      <c r="I13995" s="9" t="s">
        <v>28422</v>
      </c>
      <c r="J13995" s="10" t="str">
        <f>HYPERLINK("https://www.boe.es/gazeta/dias/1834/03/22/pdfs/GMD-C-1834-36.pdf#page=1","Abrir facsímil")</f>
        <v>Abrir facsímil</v>
      </c>
      <c r="K13995" s="10" t="s">
        <v>24</v>
      </c>
    </row>
    <row r="13996" spans="1:11" ht="54" customHeight="1">
      <c r="A13996" s="9" t="s">
        <v>28423</v>
      </c>
      <c r="B13996" s="9" t="s">
        <v>28424</v>
      </c>
      <c r="C13996" s="9" t="s">
        <v>17</v>
      </c>
      <c r="D13996" s="9" t="s">
        <v>18</v>
      </c>
      <c r="E13996" s="10" t="s">
        <v>1918</v>
      </c>
      <c r="F13996" s="9" t="s">
        <v>2024</v>
      </c>
      <c r="G13996" s="10" t="s">
        <v>34</v>
      </c>
      <c r="H13996" s="9" t="s">
        <v>35</v>
      </c>
      <c r="I13996" s="9" t="s">
        <v>28425</v>
      </c>
      <c r="J13996" s="10" t="str">
        <f>HYPERLINK("https://www.boe.es/gazeta/dias/1834/03/22/pdfs/GMD-C-1834-36.pdf#page=1","Abrir facsímil")</f>
        <v>Abrir facsímil</v>
      </c>
      <c r="K13996" s="10" t="s">
        <v>37</v>
      </c>
    </row>
    <row r="13997" spans="1:11" ht="54" customHeight="1">
      <c r="A13997" s="9" t="s">
        <v>28426</v>
      </c>
      <c r="B13997" s="9" t="s">
        <v>28427</v>
      </c>
      <c r="C13997" s="9" t="s">
        <v>90</v>
      </c>
      <c r="D13997" s="9" t="s">
        <v>18</v>
      </c>
      <c r="E13997" s="10" t="s">
        <v>174</v>
      </c>
      <c r="F13997" s="9" t="s">
        <v>175</v>
      </c>
      <c r="G13997" s="10" t="s">
        <v>34</v>
      </c>
      <c r="H13997" s="9" t="s">
        <v>35</v>
      </c>
      <c r="I13997" s="9" t="s">
        <v>28428</v>
      </c>
      <c r="J13997" s="10" t="str">
        <f>HYPERLINK("https://www.boe.es/gazeta/dias/1834/03/27/pdfs/GMD-1834-38.pdf#page=1","Abrir facsímil")</f>
        <v>Abrir facsímil</v>
      </c>
      <c r="K13997" s="10" t="s">
        <v>37</v>
      </c>
    </row>
    <row r="13998" spans="1:11" ht="54" customHeight="1">
      <c r="A13998" s="9" t="s">
        <v>28429</v>
      </c>
      <c r="B13998" s="9" t="s">
        <v>28430</v>
      </c>
      <c r="C13998" s="9" t="s">
        <v>46</v>
      </c>
      <c r="D13998" s="9" t="s">
        <v>101</v>
      </c>
      <c r="E13998" s="10" t="s">
        <v>286</v>
      </c>
      <c r="F13998" s="9" t="s">
        <v>548</v>
      </c>
      <c r="G13998" s="10" t="s">
        <v>21</v>
      </c>
      <c r="H13998" s="9" t="s">
        <v>22</v>
      </c>
      <c r="I13998" s="9" t="s">
        <v>28431</v>
      </c>
      <c r="J13998" s="10" t="str">
        <f>HYPERLINK("https://www.boe.es/gazeta/dias/1834/08/30/pdfs/GMD-1834-196.pdf#page=3","Abrir facsímil")</f>
        <v>Abrir facsímil</v>
      </c>
      <c r="K13998" s="10" t="s">
        <v>24</v>
      </c>
    </row>
    <row r="13999" spans="1:11" ht="54" customHeight="1">
      <c r="A13999" s="9" t="s">
        <v>28432</v>
      </c>
      <c r="B13999" s="9" t="s">
        <v>28433</v>
      </c>
      <c r="C13999" s="9" t="s">
        <v>17</v>
      </c>
      <c r="D13999" s="9" t="s">
        <v>18</v>
      </c>
      <c r="E13999" s="10" t="s">
        <v>2107</v>
      </c>
      <c r="F13999" s="9" t="s">
        <v>2108</v>
      </c>
      <c r="G13999" s="10" t="s">
        <v>75</v>
      </c>
      <c r="H13999" s="9" t="s">
        <v>22</v>
      </c>
      <c r="I13999" s="9" t="s">
        <v>28434</v>
      </c>
      <c r="J13999" s="10" t="str">
        <f>HYPERLINK("https://www.boe.es/gazeta/dias/1834/08/24/pdfs/GMD-1834-190.pdf#page=4","Abrir facsímil")</f>
        <v>Abrir facsímil</v>
      </c>
      <c r="K13999" s="10" t="s">
        <v>24</v>
      </c>
    </row>
    <row r="14000" spans="1:11" ht="54" customHeight="1">
      <c r="A14000" s="9" t="s">
        <v>28435</v>
      </c>
      <c r="B14000" s="9" t="s">
        <v>28436</v>
      </c>
      <c r="C14000" s="9" t="s">
        <v>90</v>
      </c>
      <c r="D14000" s="9" t="s">
        <v>18</v>
      </c>
      <c r="E14000" s="10" t="s">
        <v>174</v>
      </c>
      <c r="F14000" s="9" t="s">
        <v>175</v>
      </c>
      <c r="G14000" s="10" t="s">
        <v>34</v>
      </c>
      <c r="H14000" s="9" t="s">
        <v>22</v>
      </c>
      <c r="I14000" s="9" t="s">
        <v>28437</v>
      </c>
      <c r="J14000" s="10" t="str">
        <f>HYPERLINK("https://www.boe.es/gazeta/dias/1834/03/27/pdfs/GMD-1834-38.pdf#page=1","Abrir facsímil")</f>
        <v>Abrir facsímil</v>
      </c>
      <c r="K14000" s="10" t="s">
        <v>24</v>
      </c>
    </row>
    <row r="14001" spans="1:11" ht="54" customHeight="1">
      <c r="A14001" s="9" t="s">
        <v>28438</v>
      </c>
      <c r="B14001" s="9" t="s">
        <v>28439</v>
      </c>
      <c r="C14001" s="9" t="s">
        <v>66</v>
      </c>
      <c r="D14001" s="9" t="s">
        <v>67</v>
      </c>
      <c r="E14001" s="10" t="s">
        <v>1862</v>
      </c>
      <c r="F14001" s="9" t="s">
        <v>1908</v>
      </c>
      <c r="G14001" s="10" t="s">
        <v>34</v>
      </c>
      <c r="H14001" s="9" t="s">
        <v>22</v>
      </c>
      <c r="I14001" s="9" t="s">
        <v>28440</v>
      </c>
      <c r="J14001" s="10" t="str">
        <f>HYPERLINK("https://www.boe.es/gazeta/dias/1834/02/04/pdfs/GMD-C-1834-16.pdf#page=1","Abrir facsímil")</f>
        <v>Abrir facsímil</v>
      </c>
      <c r="K14001" s="10" t="s">
        <v>24</v>
      </c>
    </row>
    <row r="14002" spans="1:11" ht="54" customHeight="1">
      <c r="A14002" s="9" t="s">
        <v>28441</v>
      </c>
      <c r="B14002" s="9" t="s">
        <v>28442</v>
      </c>
      <c r="C14002" s="9" t="s">
        <v>17</v>
      </c>
      <c r="D14002" s="9" t="s">
        <v>18</v>
      </c>
      <c r="E14002" s="10" t="s">
        <v>860</v>
      </c>
      <c r="F14002" s="9" t="s">
        <v>861</v>
      </c>
      <c r="G14002" s="10" t="s">
        <v>470</v>
      </c>
      <c r="H14002" s="9" t="s">
        <v>22</v>
      </c>
      <c r="I14002" s="9" t="s">
        <v>28443</v>
      </c>
      <c r="J14002" s="10" t="str">
        <f>HYPERLINK("https://www.boe.es/gazeta/dias/1834/02/08/pdfs/GMD-1834-18.pdf#page=8","Abrir facsímil")</f>
        <v>Abrir facsímil</v>
      </c>
      <c r="K14002" s="10" t="s">
        <v>24</v>
      </c>
    </row>
    <row r="14003" spans="1:11" ht="54" customHeight="1">
      <c r="A14003" s="9" t="s">
        <v>28444</v>
      </c>
      <c r="B14003" s="9" t="s">
        <v>28445</v>
      </c>
      <c r="C14003" s="9" t="s">
        <v>17</v>
      </c>
      <c r="D14003" s="9" t="s">
        <v>18</v>
      </c>
      <c r="E14003" s="10" t="s">
        <v>849</v>
      </c>
      <c r="F14003" s="9" t="s">
        <v>850</v>
      </c>
      <c r="G14003" s="10" t="s">
        <v>21</v>
      </c>
      <c r="H14003" s="9" t="s">
        <v>22</v>
      </c>
      <c r="I14003" s="9" t="s">
        <v>28446</v>
      </c>
      <c r="J14003" s="10" t="str">
        <f>HYPERLINK("https://www.boe.es/gazeta/dias/1834/06/21/pdfs/GMD-1834-124.pdf#page=3","Abrir facsímil")</f>
        <v>Abrir facsímil</v>
      </c>
      <c r="K14003" s="10" t="s">
        <v>24</v>
      </c>
    </row>
    <row r="14004" spans="1:11" ht="54" customHeight="1">
      <c r="A14004" s="9" t="s">
        <v>28447</v>
      </c>
      <c r="B14004" s="9" t="s">
        <v>28448</v>
      </c>
      <c r="C14004" s="9" t="s">
        <v>66</v>
      </c>
      <c r="D14004" s="9" t="s">
        <v>67</v>
      </c>
      <c r="E14004" s="10" t="s">
        <v>919</v>
      </c>
      <c r="F14004" s="9" t="s">
        <v>920</v>
      </c>
      <c r="G14004" s="10" t="s">
        <v>75</v>
      </c>
      <c r="H14004" s="9" t="s">
        <v>22</v>
      </c>
      <c r="I14004" s="9" t="s">
        <v>28449</v>
      </c>
      <c r="J14004" s="10" t="str">
        <f>HYPERLINK("https://www.boe.es/gazeta/dias/1834/06/24/pdfs/GMD-1834-127.pdf#page=4","Abrir facsímil")</f>
        <v>Abrir facsímil</v>
      </c>
      <c r="K14004" s="10" t="s">
        <v>24</v>
      </c>
    </row>
    <row r="14005" spans="1:11" ht="54" customHeight="1">
      <c r="A14005" s="9" t="s">
        <v>28450</v>
      </c>
      <c r="B14005" s="9" t="s">
        <v>28451</v>
      </c>
      <c r="C14005" s="9" t="s">
        <v>17</v>
      </c>
      <c r="D14005" s="9" t="s">
        <v>55</v>
      </c>
      <c r="E14005" s="10" t="s">
        <v>1669</v>
      </c>
      <c r="F14005" s="9" t="s">
        <v>1670</v>
      </c>
      <c r="G14005" s="10" t="s">
        <v>86</v>
      </c>
      <c r="H14005" s="9" t="s">
        <v>22</v>
      </c>
      <c r="I14005" s="9" t="s">
        <v>28452</v>
      </c>
      <c r="J14005" s="10" t="str">
        <f>HYPERLINK("https://www.boe.es/gazeta/dias/1834/06/19/pdfs/GMD-1834-122.pdf#page=2","Abrir facsímil")</f>
        <v>Abrir facsímil</v>
      </c>
      <c r="K14005" s="10" t="s">
        <v>24</v>
      </c>
    </row>
    <row r="14006" spans="1:11" ht="54" customHeight="1">
      <c r="A14006" s="9" t="s">
        <v>28453</v>
      </c>
      <c r="B14006" s="9" t="s">
        <v>28454</v>
      </c>
      <c r="C14006" s="9" t="s">
        <v>17</v>
      </c>
      <c r="D14006" s="9" t="s">
        <v>55</v>
      </c>
      <c r="E14006" s="10" t="s">
        <v>1669</v>
      </c>
      <c r="F14006" s="9" t="s">
        <v>1670</v>
      </c>
      <c r="G14006" s="10" t="s">
        <v>86</v>
      </c>
      <c r="H14006" s="9" t="s">
        <v>35</v>
      </c>
      <c r="I14006" s="9" t="s">
        <v>28455</v>
      </c>
      <c r="J14006" s="10" t="str">
        <f>HYPERLINK("https://www.boe.es/gazeta/dias/1834/06/19/pdfs/GMD-1834-122.pdf#page=2","Abrir facsímil")</f>
        <v>Abrir facsímil</v>
      </c>
      <c r="K14006" s="10" t="s">
        <v>37</v>
      </c>
    </row>
    <row r="14007" spans="1:11" ht="54" customHeight="1">
      <c r="A14007" s="9" t="s">
        <v>28456</v>
      </c>
      <c r="B14007" s="9" t="s">
        <v>28456</v>
      </c>
      <c r="C14007" s="9" t="s">
        <v>17</v>
      </c>
      <c r="D14007" s="9" t="s">
        <v>18</v>
      </c>
      <c r="E14007" s="10" t="s">
        <v>524</v>
      </c>
      <c r="F14007" s="9" t="s">
        <v>4743</v>
      </c>
      <c r="G14007" s="10" t="s">
        <v>21</v>
      </c>
      <c r="H14007" s="9" t="s">
        <v>22</v>
      </c>
      <c r="I14007" s="9" t="s">
        <v>28457</v>
      </c>
      <c r="J14007" s="10" t="str">
        <f>HYPERLINK("https://www.boe.es/gazeta/dias/1834/12/25/pdfs/GMD-1834-315.pdf#page=3","Abrir facsímil")</f>
        <v>Abrir facsímil</v>
      </c>
      <c r="K14007" s="10" t="s">
        <v>24</v>
      </c>
    </row>
    <row r="14008" spans="1:11" ht="54" customHeight="1">
      <c r="A14008" s="9" t="s">
        <v>28458</v>
      </c>
      <c r="B14008" s="9" t="s">
        <v>28458</v>
      </c>
      <c r="C14008" s="9" t="s">
        <v>17</v>
      </c>
      <c r="D14008" s="9" t="s">
        <v>18</v>
      </c>
      <c r="E14008" s="10" t="s">
        <v>389</v>
      </c>
      <c r="F14008" s="9" t="s">
        <v>390</v>
      </c>
      <c r="G14008" s="10" t="s">
        <v>75</v>
      </c>
      <c r="H14008" s="9" t="s">
        <v>22</v>
      </c>
      <c r="I14008" s="9" t="s">
        <v>28459</v>
      </c>
      <c r="J14008" s="10" t="str">
        <f>HYPERLINK("https://www.boe.es/gazeta/dias/1834/10/25/pdfs/GMD-1834-253.pdf#page=4","Abrir facsímil")</f>
        <v>Abrir facsímil</v>
      </c>
      <c r="K14008" s="10" t="s">
        <v>24</v>
      </c>
    </row>
    <row r="14009" spans="1:11" ht="54" customHeight="1">
      <c r="A14009" s="9" t="s">
        <v>28460</v>
      </c>
      <c r="B14009" s="9" t="s">
        <v>28461</v>
      </c>
      <c r="C14009" s="9" t="s">
        <v>66</v>
      </c>
      <c r="D14009" s="9" t="s">
        <v>18</v>
      </c>
      <c r="E14009" s="10" t="s">
        <v>4169</v>
      </c>
      <c r="F14009" s="9" t="s">
        <v>4170</v>
      </c>
      <c r="G14009" s="10" t="s">
        <v>21</v>
      </c>
      <c r="H14009" s="9" t="s">
        <v>35</v>
      </c>
      <c r="I14009" s="9" t="s">
        <v>28462</v>
      </c>
      <c r="J14009" s="10" t="str">
        <f>HYPERLINK("https://www.boe.es/gazeta/dias/1834/11/20/pdfs/GMD-1834-279.pdf#page=3","Abrir facsímil")</f>
        <v>Abrir facsímil</v>
      </c>
      <c r="K14009" s="10" t="s">
        <v>37</v>
      </c>
    </row>
    <row r="14010" spans="1:11" ht="54" customHeight="1">
      <c r="A14010" s="9" t="s">
        <v>28460</v>
      </c>
      <c r="B14010" s="9" t="s">
        <v>28461</v>
      </c>
      <c r="C14010" s="9" t="s">
        <v>17</v>
      </c>
      <c r="D14010" s="9" t="s">
        <v>18</v>
      </c>
      <c r="E14010" s="10" t="s">
        <v>1918</v>
      </c>
      <c r="F14010" s="9" t="s">
        <v>2024</v>
      </c>
      <c r="G14010" s="10" t="s">
        <v>86</v>
      </c>
      <c r="H14010" s="9" t="s">
        <v>35</v>
      </c>
      <c r="I14010" s="9" t="s">
        <v>28463</v>
      </c>
      <c r="J14010" s="10" t="str">
        <f>HYPERLINK("https://www.boe.es/gazeta/dias/1834/03/22/pdfs/GMD-C-1834-36.pdf#page=2","Abrir facsímil")</f>
        <v>Abrir facsímil</v>
      </c>
      <c r="K14010" s="10" t="s">
        <v>37</v>
      </c>
    </row>
    <row r="14011" spans="1:11" ht="54" customHeight="1">
      <c r="A14011" s="9" t="s">
        <v>28464</v>
      </c>
      <c r="B14011" s="9" t="s">
        <v>28465</v>
      </c>
      <c r="C14011" s="9" t="s">
        <v>17</v>
      </c>
      <c r="D14011" s="9" t="s">
        <v>18</v>
      </c>
      <c r="E14011" s="10" t="s">
        <v>1918</v>
      </c>
      <c r="F14011" s="9" t="s">
        <v>2024</v>
      </c>
      <c r="G14011" s="10" t="s">
        <v>86</v>
      </c>
      <c r="H14011" s="9" t="s">
        <v>22</v>
      </c>
      <c r="I14011" s="9" t="s">
        <v>28466</v>
      </c>
      <c r="J14011" s="10" t="str">
        <f>HYPERLINK("https://www.boe.es/gazeta/dias/1834/03/22/pdfs/GMD-C-1834-36.pdf#page=2","Abrir facsímil")</f>
        <v>Abrir facsímil</v>
      </c>
      <c r="K14011" s="10" t="s">
        <v>24</v>
      </c>
    </row>
    <row r="14012" spans="1:11" ht="54" customHeight="1">
      <c r="A14012" s="9" t="s">
        <v>28467</v>
      </c>
      <c r="B14012" s="9" t="s">
        <v>28468</v>
      </c>
      <c r="C14012" s="9" t="s">
        <v>122</v>
      </c>
      <c r="D14012" s="9" t="s">
        <v>18</v>
      </c>
      <c r="E14012" s="10" t="s">
        <v>492</v>
      </c>
      <c r="F14012" s="9" t="s">
        <v>493</v>
      </c>
      <c r="G14012" s="10" t="s">
        <v>28</v>
      </c>
      <c r="H14012" s="9" t="s">
        <v>22</v>
      </c>
      <c r="I14012" s="9" t="s">
        <v>28469</v>
      </c>
      <c r="J14012" s="10" t="str">
        <f>HYPERLINK("https://www.boe.es/gazeta/dias/1834/11/21/pdfs/GMD-C-1834-280.pdf#page=5","Abrir facsímil")</f>
        <v>Abrir facsímil</v>
      </c>
      <c r="K14012" s="10" t="s">
        <v>24</v>
      </c>
    </row>
    <row r="14013" spans="1:11" ht="54" customHeight="1">
      <c r="A14013" s="9" t="s">
        <v>28470</v>
      </c>
      <c r="B14013" s="9" t="s">
        <v>28471</v>
      </c>
      <c r="C14013" s="9" t="s">
        <v>17</v>
      </c>
      <c r="D14013" s="9" t="s">
        <v>18</v>
      </c>
      <c r="E14013" s="10" t="s">
        <v>19</v>
      </c>
      <c r="F14013" s="9" t="s">
        <v>107</v>
      </c>
      <c r="G14013" s="10" t="s">
        <v>75</v>
      </c>
      <c r="H14013" s="9" t="s">
        <v>22</v>
      </c>
      <c r="I14013" s="9" t="s">
        <v>28472</v>
      </c>
      <c r="J14013" s="10" t="str">
        <f>HYPERLINK("https://www.boe.es/gazeta/dias/1834/08/17/pdfs/GMD-1834-182.pdf#page=4","Abrir facsímil")</f>
        <v>Abrir facsímil</v>
      </c>
      <c r="K14013" s="10" t="s">
        <v>24</v>
      </c>
    </row>
    <row r="14014" spans="1:11" ht="54" customHeight="1">
      <c r="A14014" s="9" t="s">
        <v>28473</v>
      </c>
      <c r="B14014" s="9" t="s">
        <v>28474</v>
      </c>
      <c r="C14014" s="9" t="s">
        <v>17</v>
      </c>
      <c r="D14014" s="9" t="s">
        <v>18</v>
      </c>
      <c r="E14014" s="10" t="s">
        <v>19</v>
      </c>
      <c r="F14014" s="9" t="s">
        <v>107</v>
      </c>
      <c r="G14014" s="10" t="s">
        <v>75</v>
      </c>
      <c r="H14014" s="9" t="s">
        <v>35</v>
      </c>
      <c r="I14014" s="9" t="s">
        <v>28475</v>
      </c>
      <c r="J14014" s="10" t="str">
        <f>HYPERLINK("https://www.boe.es/gazeta/dias/1834/08/17/pdfs/GMD-1834-182.pdf#page=4","Abrir facsímil")</f>
        <v>Abrir facsímil</v>
      </c>
      <c r="K14014" s="10" t="s">
        <v>37</v>
      </c>
    </row>
    <row r="14015" spans="1:11" ht="54" customHeight="1">
      <c r="A14015" s="9" t="s">
        <v>28476</v>
      </c>
      <c r="B14015" s="9" t="s">
        <v>28477</v>
      </c>
      <c r="C14015" s="9" t="s">
        <v>17</v>
      </c>
      <c r="D14015" s="9" t="s">
        <v>18</v>
      </c>
      <c r="E14015" s="10" t="s">
        <v>19</v>
      </c>
      <c r="F14015" s="9" t="s">
        <v>107</v>
      </c>
      <c r="G14015" s="10" t="s">
        <v>75</v>
      </c>
      <c r="H14015" s="9" t="s">
        <v>22</v>
      </c>
      <c r="I14015" s="9" t="s">
        <v>28478</v>
      </c>
      <c r="J14015" s="10" t="str">
        <f>HYPERLINK("https://www.boe.es/gazeta/dias/1834/08/17/pdfs/GMD-1834-182.pdf#page=4","Abrir facsímil")</f>
        <v>Abrir facsímil</v>
      </c>
      <c r="K14015" s="10" t="s">
        <v>24</v>
      </c>
    </row>
    <row r="14016" spans="1:11" ht="54" customHeight="1">
      <c r="A14016" s="9" t="s">
        <v>28479</v>
      </c>
      <c r="B14016" s="9" t="s">
        <v>28480</v>
      </c>
      <c r="C14016" s="9" t="s">
        <v>17</v>
      </c>
      <c r="D14016" s="9" t="s">
        <v>18</v>
      </c>
      <c r="E14016" s="10" t="s">
        <v>623</v>
      </c>
      <c r="F14016" s="9" t="s">
        <v>624</v>
      </c>
      <c r="G14016" s="10" t="s">
        <v>86</v>
      </c>
      <c r="H14016" s="9" t="s">
        <v>22</v>
      </c>
      <c r="I14016" s="9" t="s">
        <v>28481</v>
      </c>
      <c r="J14016" s="10" t="str">
        <f>HYPERLINK("https://www.boe.es/gazeta/dias/1834/10/12/pdfs/GMD-C-1834-240.pdf#page=2","Abrir facsímil")</f>
        <v>Abrir facsímil</v>
      </c>
      <c r="K14016" s="10" t="s">
        <v>24</v>
      </c>
    </row>
    <row r="14017" spans="1:11" ht="54" customHeight="1">
      <c r="A14017" s="9" t="s">
        <v>28482</v>
      </c>
      <c r="B14017" s="9" t="s">
        <v>28483</v>
      </c>
      <c r="C14017" s="9" t="s">
        <v>90</v>
      </c>
      <c r="D14017" s="9" t="s">
        <v>101</v>
      </c>
      <c r="E14017" s="10" t="s">
        <v>753</v>
      </c>
      <c r="F14017" s="9" t="s">
        <v>754</v>
      </c>
      <c r="G14017" s="10" t="s">
        <v>34</v>
      </c>
      <c r="H14017" s="9" t="s">
        <v>22</v>
      </c>
      <c r="I14017" s="9" t="s">
        <v>28484</v>
      </c>
      <c r="J14017" s="10" t="str">
        <f>HYPERLINK("https://www.boe.es/gazeta/dias/1834/04/21/pdfs/GMD-1834-60.pdf#page=1","Abrir facsímil")</f>
        <v>Abrir facsímil</v>
      </c>
      <c r="K14017" s="10" t="s">
        <v>24</v>
      </c>
    </row>
    <row r="14018" spans="1:11" ht="54" customHeight="1">
      <c r="A14018" s="9" t="s">
        <v>28485</v>
      </c>
      <c r="B14018" s="9" t="s">
        <v>28486</v>
      </c>
      <c r="C14018" s="9" t="s">
        <v>46</v>
      </c>
      <c r="D14018" s="9" t="s">
        <v>18</v>
      </c>
      <c r="E14018" s="10" t="s">
        <v>32</v>
      </c>
      <c r="F14018" s="9" t="s">
        <v>33</v>
      </c>
      <c r="G14018" s="10" t="s">
        <v>86</v>
      </c>
      <c r="H14018" s="9" t="s">
        <v>22</v>
      </c>
      <c r="I14018" s="9" t="s">
        <v>28487</v>
      </c>
      <c r="J14018" s="10" t="str">
        <f>HYPERLINK("https://www.boe.es/gazeta/dias/1834/04/23/pdfs/GMD-1834-62.pdf#page=2","Abrir facsímil")</f>
        <v>Abrir facsímil</v>
      </c>
      <c r="K14018" s="10" t="s">
        <v>24</v>
      </c>
    </row>
    <row r="14019" spans="1:11" ht="54" customHeight="1">
      <c r="A14019" s="9" t="s">
        <v>28488</v>
      </c>
      <c r="B14019" s="9" t="s">
        <v>28489</v>
      </c>
      <c r="C14019" s="9" t="s">
        <v>17</v>
      </c>
      <c r="D14019" s="9" t="s">
        <v>18</v>
      </c>
      <c r="E14019" s="10" t="s">
        <v>1597</v>
      </c>
      <c r="F14019" s="9" t="s">
        <v>1598</v>
      </c>
      <c r="G14019" s="10" t="s">
        <v>21</v>
      </c>
      <c r="H14019" s="9" t="s">
        <v>35</v>
      </c>
      <c r="I14019" s="9" t="s">
        <v>28490</v>
      </c>
      <c r="J14019" s="10" t="str">
        <f>HYPERLINK("https://www.boe.es/gazeta/dias/1834/10/03/pdfs/GMD-1834-231.pdf#page=3","Abrir facsímil")</f>
        <v>Abrir facsímil</v>
      </c>
      <c r="K14019" s="10" t="s">
        <v>37</v>
      </c>
    </row>
    <row r="14020" spans="1:11" ht="54" customHeight="1">
      <c r="A14020" s="9" t="s">
        <v>28491</v>
      </c>
      <c r="B14020" s="9" t="s">
        <v>28492</v>
      </c>
      <c r="C14020" s="9" t="s">
        <v>17</v>
      </c>
      <c r="D14020" s="9" t="s">
        <v>18</v>
      </c>
      <c r="E14020" s="10" t="s">
        <v>187</v>
      </c>
      <c r="F14020" s="9" t="s">
        <v>188</v>
      </c>
      <c r="G14020" s="10" t="s">
        <v>86</v>
      </c>
      <c r="H14020" s="9" t="s">
        <v>35</v>
      </c>
      <c r="I14020" s="9" t="s">
        <v>28493</v>
      </c>
      <c r="J14020" s="10" t="str">
        <f>HYPERLINK("https://www.boe.es/gazeta/dias/1834/09/30/pdfs/GMD-1834-228.pdf#page=2","Abrir facsímil")</f>
        <v>Abrir facsímil</v>
      </c>
      <c r="K14020" s="10" t="s">
        <v>37</v>
      </c>
    </row>
    <row r="14021" spans="1:11" ht="54" customHeight="1">
      <c r="A14021" s="9" t="s">
        <v>28494</v>
      </c>
      <c r="B14021" s="9" t="s">
        <v>28495</v>
      </c>
      <c r="C14021" s="9" t="s">
        <v>17</v>
      </c>
      <c r="D14021" s="9" t="s">
        <v>18</v>
      </c>
      <c r="E14021" s="10" t="s">
        <v>187</v>
      </c>
      <c r="F14021" s="9" t="s">
        <v>188</v>
      </c>
      <c r="G14021" s="10" t="s">
        <v>86</v>
      </c>
      <c r="H14021" s="9" t="s">
        <v>22</v>
      </c>
      <c r="I14021" s="9" t="s">
        <v>28496</v>
      </c>
      <c r="J14021" s="10" t="str">
        <f>HYPERLINK("https://www.boe.es/gazeta/dias/1834/09/30/pdfs/GMD-1834-228.pdf#page=2","Abrir facsímil")</f>
        <v>Abrir facsímil</v>
      </c>
      <c r="K14021" s="10" t="s">
        <v>24</v>
      </c>
    </row>
    <row r="14022" spans="1:11" ht="54" customHeight="1">
      <c r="A14022" s="9" t="s">
        <v>28497</v>
      </c>
      <c r="B14022" s="9" t="s">
        <v>28498</v>
      </c>
      <c r="C14022" s="9" t="s">
        <v>17</v>
      </c>
      <c r="D14022" s="9" t="s">
        <v>18</v>
      </c>
      <c r="E14022" s="10" t="s">
        <v>1597</v>
      </c>
      <c r="F14022" s="9" t="s">
        <v>1598</v>
      </c>
      <c r="G14022" s="10" t="s">
        <v>21</v>
      </c>
      <c r="H14022" s="9" t="s">
        <v>22</v>
      </c>
      <c r="I14022" s="9" t="s">
        <v>28490</v>
      </c>
      <c r="J14022" s="10" t="str">
        <f>HYPERLINK("https://www.boe.es/gazeta/dias/1834/10/03/pdfs/GMD-1834-231.pdf#page=3","Abrir facsímil")</f>
        <v>Abrir facsímil</v>
      </c>
      <c r="K14022" s="10" t="s">
        <v>24</v>
      </c>
    </row>
    <row r="14023" spans="1:11" ht="54" customHeight="1">
      <c r="A14023" s="9" t="s">
        <v>28499</v>
      </c>
      <c r="B14023" s="9" t="s">
        <v>28499</v>
      </c>
      <c r="C14023" s="9" t="s">
        <v>17</v>
      </c>
      <c r="D14023" s="9" t="s">
        <v>18</v>
      </c>
      <c r="E14023" s="10" t="s">
        <v>192</v>
      </c>
      <c r="F14023" s="9" t="s">
        <v>193</v>
      </c>
      <c r="G14023" s="10" t="s">
        <v>86</v>
      </c>
      <c r="H14023" s="9" t="s">
        <v>22</v>
      </c>
      <c r="I14023" s="9" t="s">
        <v>28500</v>
      </c>
      <c r="J14023" s="10" t="str">
        <f>HYPERLINK("https://www.boe.es/gazeta/dias/1834/12/31/pdfs/GMD-1834-321.pdf#page=2","Abrir facsímil")</f>
        <v>Abrir facsímil</v>
      </c>
      <c r="K14023" s="10" t="s">
        <v>24</v>
      </c>
    </row>
    <row r="14024" spans="1:11" ht="54" customHeight="1">
      <c r="A14024" s="9" t="s">
        <v>28501</v>
      </c>
      <c r="B14024" s="9" t="s">
        <v>28502</v>
      </c>
      <c r="C14024" s="9" t="s">
        <v>17</v>
      </c>
      <c r="D14024" s="9" t="s">
        <v>18</v>
      </c>
      <c r="E14024" s="10" t="s">
        <v>1281</v>
      </c>
      <c r="F14024" s="9" t="s">
        <v>1282</v>
      </c>
      <c r="G14024" s="10" t="s">
        <v>75</v>
      </c>
      <c r="H14024" s="9" t="s">
        <v>22</v>
      </c>
      <c r="I14024" s="9" t="s">
        <v>28503</v>
      </c>
      <c r="J14024" s="10" t="str">
        <f>HYPERLINK("https://www.boe.es/gazeta/dias/1834/10/27/pdfs/GMD-1834-255.pdf#page=4","Abrir facsímil")</f>
        <v>Abrir facsímil</v>
      </c>
      <c r="K14024" s="10" t="s">
        <v>24</v>
      </c>
    </row>
    <row r="14025" spans="1:11" ht="54" customHeight="1">
      <c r="A14025" s="9" t="s">
        <v>28504</v>
      </c>
      <c r="B14025" s="9" t="s">
        <v>28505</v>
      </c>
      <c r="C14025" s="9" t="s">
        <v>17</v>
      </c>
      <c r="D14025" s="9" t="s">
        <v>18</v>
      </c>
      <c r="E14025" s="10" t="s">
        <v>1597</v>
      </c>
      <c r="F14025" s="9" t="s">
        <v>1598</v>
      </c>
      <c r="G14025" s="10" t="s">
        <v>21</v>
      </c>
      <c r="H14025" s="9" t="s">
        <v>35</v>
      </c>
      <c r="I14025" s="9" t="s">
        <v>28506</v>
      </c>
      <c r="J14025" s="10" t="str">
        <f>HYPERLINK("https://www.boe.es/gazeta/dias/1834/10/03/pdfs/GMD-1834-231.pdf#page=3","Abrir facsímil")</f>
        <v>Abrir facsímil</v>
      </c>
      <c r="K14025" s="10" t="s">
        <v>37</v>
      </c>
    </row>
    <row r="14026" spans="1:11" ht="54" customHeight="1">
      <c r="A14026" s="9" t="s">
        <v>28507</v>
      </c>
      <c r="B14026" s="9" t="s">
        <v>28508</v>
      </c>
      <c r="C14026" s="9" t="s">
        <v>17</v>
      </c>
      <c r="D14026" s="9" t="s">
        <v>18</v>
      </c>
      <c r="E14026" s="10" t="s">
        <v>1597</v>
      </c>
      <c r="F14026" s="9" t="s">
        <v>1598</v>
      </c>
      <c r="G14026" s="10" t="s">
        <v>21</v>
      </c>
      <c r="H14026" s="9" t="s">
        <v>22</v>
      </c>
      <c r="I14026" s="9" t="s">
        <v>28509</v>
      </c>
      <c r="J14026" s="10" t="str">
        <f>HYPERLINK("https://www.boe.es/gazeta/dias/1834/10/03/pdfs/GMD-1834-231.pdf#page=3","Abrir facsímil")</f>
        <v>Abrir facsímil</v>
      </c>
      <c r="K14026" s="10" t="s">
        <v>24</v>
      </c>
    </row>
    <row r="14027" spans="1:11" ht="54" customHeight="1">
      <c r="A14027" s="9" t="s">
        <v>28510</v>
      </c>
      <c r="B14027" s="9" t="s">
        <v>28511</v>
      </c>
      <c r="C14027" s="9" t="s">
        <v>46</v>
      </c>
      <c r="D14027" s="9" t="s">
        <v>55</v>
      </c>
      <c r="E14027" s="10" t="s">
        <v>785</v>
      </c>
      <c r="F14027" s="9" t="s">
        <v>786</v>
      </c>
      <c r="G14027" s="10" t="s">
        <v>34</v>
      </c>
      <c r="H14027" s="9" t="s">
        <v>22</v>
      </c>
      <c r="I14027" s="9" t="s">
        <v>28512</v>
      </c>
      <c r="J14027" s="10" t="str">
        <f>HYPERLINK("https://www.boe.es/gazeta/dias/1834/02/11/pdfs/GMD-1834-19.pdf#page=1","Abrir facsímil")</f>
        <v>Abrir facsímil</v>
      </c>
      <c r="K14027" s="10" t="s">
        <v>24</v>
      </c>
    </row>
    <row r="14028" spans="1:11" ht="54" customHeight="1">
      <c r="A14028" s="9" t="s">
        <v>28510</v>
      </c>
      <c r="B14028" s="9" t="s">
        <v>28511</v>
      </c>
      <c r="C14028" s="9" t="s">
        <v>17</v>
      </c>
      <c r="D14028" s="9" t="s">
        <v>55</v>
      </c>
      <c r="E14028" s="10" t="s">
        <v>1850</v>
      </c>
      <c r="F14028" s="9" t="s">
        <v>1851</v>
      </c>
      <c r="G14028" s="10" t="s">
        <v>28</v>
      </c>
      <c r="H14028" s="9" t="s">
        <v>22</v>
      </c>
      <c r="I14028" s="9" t="s">
        <v>28513</v>
      </c>
      <c r="J14028" s="10" t="str">
        <f>HYPERLINK("https://www.boe.es/gazeta/dias/1834/02/18/pdfs/GMD-1834-22.pdf#page=5","Abrir facsímil")</f>
        <v>Abrir facsímil</v>
      </c>
      <c r="K14028" s="10" t="s">
        <v>24</v>
      </c>
    </row>
    <row r="14029" spans="1:11" ht="54" customHeight="1">
      <c r="A14029" s="9" t="s">
        <v>28510</v>
      </c>
      <c r="B14029" s="9" t="s">
        <v>28511</v>
      </c>
      <c r="C14029" s="9" t="s">
        <v>17</v>
      </c>
      <c r="D14029" s="9" t="s">
        <v>40</v>
      </c>
      <c r="E14029" s="10" t="s">
        <v>1572</v>
      </c>
      <c r="F14029" s="9" t="s">
        <v>1573</v>
      </c>
      <c r="G14029" s="10" t="s">
        <v>28</v>
      </c>
      <c r="H14029" s="9" t="s">
        <v>22</v>
      </c>
      <c r="I14029" s="9" t="s">
        <v>28514</v>
      </c>
      <c r="J14029" s="10" t="str">
        <f>HYPERLINK("https://www.boe.es/gazeta/dias/1834/03/20/pdfs/GMD-1834-35.pdf#page=5","Abrir facsímil")</f>
        <v>Abrir facsímil</v>
      </c>
      <c r="K14029" s="10" t="s">
        <v>24</v>
      </c>
    </row>
    <row r="14030" spans="1:11" ht="54" customHeight="1">
      <c r="A14030" s="9" t="s">
        <v>28510</v>
      </c>
      <c r="B14030" s="9" t="s">
        <v>28511</v>
      </c>
      <c r="C14030" s="9" t="s">
        <v>17</v>
      </c>
      <c r="D14030" s="9" t="s">
        <v>18</v>
      </c>
      <c r="E14030" s="10" t="s">
        <v>3952</v>
      </c>
      <c r="F14030" s="9" t="s">
        <v>3953</v>
      </c>
      <c r="G14030" s="10" t="s">
        <v>34</v>
      </c>
      <c r="H14030" s="9" t="s">
        <v>22</v>
      </c>
      <c r="I14030" s="9" t="s">
        <v>28515</v>
      </c>
      <c r="J14030" s="10" t="str">
        <f>HYPERLINK("https://www.boe.es/gazeta/dias/1834/02/22/pdfs/GMD-1834-24.pdf#page=1","Abrir facsímil")</f>
        <v>Abrir facsímil</v>
      </c>
      <c r="K14030" s="10" t="s">
        <v>24</v>
      </c>
    </row>
    <row r="14031" spans="1:11" ht="54" customHeight="1">
      <c r="A14031" s="9" t="s">
        <v>28510</v>
      </c>
      <c r="B14031" s="9" t="s">
        <v>28511</v>
      </c>
      <c r="C14031" s="9" t="s">
        <v>46</v>
      </c>
      <c r="D14031" s="9" t="s">
        <v>101</v>
      </c>
      <c r="E14031" s="10" t="s">
        <v>280</v>
      </c>
      <c r="F14031" s="9" t="s">
        <v>3217</v>
      </c>
      <c r="G14031" s="10" t="s">
        <v>34</v>
      </c>
      <c r="H14031" s="9" t="s">
        <v>22</v>
      </c>
      <c r="I14031" s="9" t="s">
        <v>28516</v>
      </c>
      <c r="J14031" s="10" t="str">
        <f>HYPERLINK("https://www.boe.es/gazeta/dias/1834/08/29/pdfs/GMD-1834-195.pdf#page=1","Abrir facsímil")</f>
        <v>Abrir facsímil</v>
      </c>
      <c r="K14031" s="10" t="s">
        <v>24</v>
      </c>
    </row>
    <row r="14032" spans="1:11" ht="54" customHeight="1">
      <c r="A14032" s="9" t="s">
        <v>28517</v>
      </c>
      <c r="B14032" s="9" t="s">
        <v>28518</v>
      </c>
      <c r="C14032" s="9" t="s">
        <v>66</v>
      </c>
      <c r="D14032" s="9" t="s">
        <v>67</v>
      </c>
      <c r="E14032" s="10" t="s">
        <v>2203</v>
      </c>
      <c r="F14032" s="9" t="s">
        <v>3917</v>
      </c>
      <c r="G14032" s="10" t="s">
        <v>75</v>
      </c>
      <c r="H14032" s="9" t="s">
        <v>22</v>
      </c>
      <c r="I14032" s="9" t="s">
        <v>28519</v>
      </c>
      <c r="J14032" s="10" t="str">
        <f>HYPERLINK("https://www.boe.es/gazeta/dias/1834/09/10/pdfs/GMD-1834-208.pdf#page=4","Abrir facsímil")</f>
        <v>Abrir facsímil</v>
      </c>
      <c r="K14032" s="10" t="s">
        <v>24</v>
      </c>
    </row>
    <row r="14033" spans="1:11" ht="54" customHeight="1">
      <c r="A14033" s="9" t="s">
        <v>28520</v>
      </c>
      <c r="B14033" s="9" t="s">
        <v>28520</v>
      </c>
      <c r="C14033" s="9" t="s">
        <v>17</v>
      </c>
      <c r="D14033" s="9" t="s">
        <v>18</v>
      </c>
      <c r="E14033" s="10" t="s">
        <v>1002</v>
      </c>
      <c r="F14033" s="9" t="s">
        <v>1003</v>
      </c>
      <c r="G14033" s="10" t="s">
        <v>21</v>
      </c>
      <c r="H14033" s="9" t="s">
        <v>22</v>
      </c>
      <c r="I14033" s="9" t="s">
        <v>28521</v>
      </c>
      <c r="J14033" s="10" t="str">
        <f>HYPERLINK("https://www.boe.es/gazeta/dias/1834/06/26/pdfs/GMD-1834-129.pdf#page=3","Abrir facsímil")</f>
        <v>Abrir facsímil</v>
      </c>
      <c r="K14033" s="10" t="s">
        <v>24</v>
      </c>
    </row>
    <row r="14034" spans="1:11" ht="54" customHeight="1">
      <c r="A14034" s="9" t="s">
        <v>28522</v>
      </c>
      <c r="B14034" s="9" t="s">
        <v>28523</v>
      </c>
      <c r="C14034" s="9" t="s">
        <v>17</v>
      </c>
      <c r="D14034" s="9" t="s">
        <v>18</v>
      </c>
      <c r="E14034" s="10" t="s">
        <v>2241</v>
      </c>
      <c r="F14034" s="9" t="s">
        <v>2242</v>
      </c>
      <c r="G14034" s="10" t="s">
        <v>21</v>
      </c>
      <c r="H14034" s="9" t="s">
        <v>22</v>
      </c>
      <c r="I14034" s="9" t="s">
        <v>28524</v>
      </c>
      <c r="J14034" s="10" t="str">
        <f>HYPERLINK("https://www.boe.es/gazeta/dias/1834/03/11/pdfs/GMD-1834-31.pdf#page=3","Abrir facsímil")</f>
        <v>Abrir facsímil</v>
      </c>
      <c r="K14034" s="10" t="s">
        <v>24</v>
      </c>
    </row>
    <row r="14035" spans="1:11" ht="54" customHeight="1">
      <c r="A14035" s="9" t="s">
        <v>28525</v>
      </c>
      <c r="B14035" s="9" t="s">
        <v>28526</v>
      </c>
      <c r="C14035" s="9" t="s">
        <v>857</v>
      </c>
      <c r="D14035" s="9" t="s">
        <v>40</v>
      </c>
      <c r="E14035" s="10" t="s">
        <v>448</v>
      </c>
      <c r="F14035" s="9" t="s">
        <v>2058</v>
      </c>
      <c r="G14035" s="10" t="s">
        <v>75</v>
      </c>
      <c r="H14035" s="9" t="s">
        <v>22</v>
      </c>
      <c r="I14035" s="9" t="s">
        <v>28527</v>
      </c>
      <c r="J14035" s="10" t="str">
        <f>HYPERLINK("https://www.boe.es/gazeta/dias/1834/10/14/pdfs/GMD-1834-242.pdf#page=4","Abrir facsímil")</f>
        <v>Abrir facsímil</v>
      </c>
      <c r="K14035" s="10" t="s">
        <v>24</v>
      </c>
    </row>
    <row r="14036" spans="1:11" ht="54" customHeight="1">
      <c r="A14036" s="9" t="s">
        <v>28528</v>
      </c>
      <c r="B14036" s="9" t="s">
        <v>28529</v>
      </c>
      <c r="C14036" s="9" t="s">
        <v>17</v>
      </c>
      <c r="D14036" s="9" t="s">
        <v>18</v>
      </c>
      <c r="E14036" s="10" t="s">
        <v>2596</v>
      </c>
      <c r="F14036" s="9" t="s">
        <v>2597</v>
      </c>
      <c r="G14036" s="10" t="s">
        <v>86</v>
      </c>
      <c r="H14036" s="9" t="s">
        <v>22</v>
      </c>
      <c r="I14036" s="9" t="s">
        <v>28530</v>
      </c>
      <c r="J14036" s="10" t="str">
        <f>HYPERLINK("https://www.boe.es/gazeta/dias/1834/10/22/pdfs/GMD-1834-250.pdf#page=2","Abrir facsímil")</f>
        <v>Abrir facsímil</v>
      </c>
      <c r="K14036" s="10" t="s">
        <v>24</v>
      </c>
    </row>
    <row r="14037" spans="1:11" ht="54" customHeight="1">
      <c r="A14037" s="9" t="s">
        <v>28531</v>
      </c>
      <c r="B14037" s="9" t="s">
        <v>28532</v>
      </c>
      <c r="C14037" s="9" t="s">
        <v>17</v>
      </c>
      <c r="D14037" s="9" t="s">
        <v>101</v>
      </c>
      <c r="E14037" s="10" t="s">
        <v>863</v>
      </c>
      <c r="F14037" s="9" t="s">
        <v>864</v>
      </c>
      <c r="G14037" s="10" t="s">
        <v>75</v>
      </c>
      <c r="H14037" s="9" t="s">
        <v>22</v>
      </c>
      <c r="I14037" s="9" t="s">
        <v>28533</v>
      </c>
      <c r="J14037" s="10" t="str">
        <f>HYPERLINK("https://www.boe.es/gazeta/dias/1834/09/15/pdfs/GMD-1834-213.pdf#page=4","Abrir facsímil")</f>
        <v>Abrir facsímil</v>
      </c>
      <c r="K14037" s="10" t="s">
        <v>24</v>
      </c>
    </row>
    <row r="14038" spans="1:11" ht="54" customHeight="1">
      <c r="A14038" s="9" t="s">
        <v>28534</v>
      </c>
      <c r="B14038" s="9" t="s">
        <v>28535</v>
      </c>
      <c r="C14038" s="9" t="s">
        <v>17</v>
      </c>
      <c r="D14038" s="9" t="s">
        <v>18</v>
      </c>
      <c r="E14038" s="10" t="s">
        <v>707</v>
      </c>
      <c r="F14038" s="9" t="s">
        <v>708</v>
      </c>
      <c r="G14038" s="10" t="s">
        <v>34</v>
      </c>
      <c r="H14038" s="9" t="s">
        <v>22</v>
      </c>
      <c r="I14038" s="9" t="s">
        <v>28536</v>
      </c>
      <c r="J14038" s="10" t="str">
        <f>HYPERLINK("https://www.boe.es/gazeta/dias/1834/11/25/pdfs/GMD-C-1834-284.pdf#page=1","Abrir facsímil")</f>
        <v>Abrir facsímil</v>
      </c>
      <c r="K14038" s="10" t="s">
        <v>24</v>
      </c>
    </row>
    <row r="14039" spans="1:11" ht="54" customHeight="1">
      <c r="A14039" s="9" t="s">
        <v>28537</v>
      </c>
      <c r="B14039" s="9" t="s">
        <v>28538</v>
      </c>
      <c r="C14039" s="9" t="s">
        <v>17</v>
      </c>
      <c r="D14039" s="9" t="s">
        <v>18</v>
      </c>
      <c r="E14039" s="10" t="s">
        <v>2306</v>
      </c>
      <c r="F14039" s="9" t="s">
        <v>2307</v>
      </c>
      <c r="G14039" s="10" t="s">
        <v>75</v>
      </c>
      <c r="H14039" s="9" t="s">
        <v>22</v>
      </c>
      <c r="I14039" s="9" t="s">
        <v>28539</v>
      </c>
      <c r="J14039" s="10" t="str">
        <f>HYPERLINK("https://www.boe.es/gazeta/dias/1834/04/26/pdfs/GMD-1834-65.pdf#page=4","Abrir facsímil")</f>
        <v>Abrir facsímil</v>
      </c>
      <c r="K14039" s="10" t="s">
        <v>24</v>
      </c>
    </row>
    <row r="14040" spans="1:11" ht="54" customHeight="1">
      <c r="A14040" s="9" t="s">
        <v>28540</v>
      </c>
      <c r="B14040" s="9" t="s">
        <v>28541</v>
      </c>
      <c r="C14040" s="9" t="s">
        <v>17</v>
      </c>
      <c r="D14040" s="9" t="s">
        <v>101</v>
      </c>
      <c r="E14040" s="10" t="s">
        <v>454</v>
      </c>
      <c r="F14040" s="9" t="s">
        <v>2009</v>
      </c>
      <c r="G14040" s="10" t="s">
        <v>21</v>
      </c>
      <c r="H14040" s="9" t="s">
        <v>22</v>
      </c>
      <c r="I14040" s="9" t="s">
        <v>28542</v>
      </c>
      <c r="J14040" s="10" t="str">
        <f>HYPERLINK("https://www.boe.es/gazeta/dias/1834/10/16/pdfs/GMD-1834-244.pdf#page=3","Abrir facsímil")</f>
        <v>Abrir facsímil</v>
      </c>
      <c r="K14040" s="10" t="s">
        <v>24</v>
      </c>
    </row>
    <row r="14041" spans="1:11" ht="54" customHeight="1">
      <c r="A14041" s="9" t="s">
        <v>28543</v>
      </c>
      <c r="B14041" s="9" t="s">
        <v>28544</v>
      </c>
      <c r="C14041" s="9" t="s">
        <v>66</v>
      </c>
      <c r="D14041" s="9" t="s">
        <v>67</v>
      </c>
      <c r="E14041" s="10" t="s">
        <v>8346</v>
      </c>
      <c r="F14041" s="9" t="s">
        <v>8347</v>
      </c>
      <c r="G14041" s="10" t="s">
        <v>75</v>
      </c>
      <c r="H14041" s="9" t="s">
        <v>22</v>
      </c>
      <c r="I14041" s="9" t="s">
        <v>28545</v>
      </c>
      <c r="J14041" s="10" t="str">
        <f>HYPERLINK("https://www.boe.es/gazeta/dias/1834/12/04/pdfs/GMD-1834-293.pdf#page=4","Abrir facsímil")</f>
        <v>Abrir facsímil</v>
      </c>
      <c r="K14041" s="10" t="s">
        <v>24</v>
      </c>
    </row>
    <row r="14042" spans="1:11" ht="54" customHeight="1">
      <c r="A14042" s="9" t="s">
        <v>28546</v>
      </c>
      <c r="B14042" s="9" t="s">
        <v>28547</v>
      </c>
      <c r="C14042" s="9" t="s">
        <v>90</v>
      </c>
      <c r="D14042" s="9" t="s">
        <v>18</v>
      </c>
      <c r="E14042" s="10" t="s">
        <v>891</v>
      </c>
      <c r="F14042" s="9" t="s">
        <v>892</v>
      </c>
      <c r="G14042" s="10" t="s">
        <v>34</v>
      </c>
      <c r="H14042" s="9" t="s">
        <v>22</v>
      </c>
      <c r="I14042" s="9" t="s">
        <v>28548</v>
      </c>
      <c r="J14042" s="10" t="str">
        <f>HYPERLINK("https://www.boe.es/gazeta/dias/1834/10/31/pdfs/GMD-C-1834-259.pdf#page=1","Abrir facsímil")</f>
        <v>Abrir facsímil</v>
      </c>
      <c r="K14042" s="10" t="s">
        <v>24</v>
      </c>
    </row>
    <row r="14043" spans="1:11" ht="54" customHeight="1">
      <c r="A14043" s="9" t="s">
        <v>28549</v>
      </c>
      <c r="B14043" s="9" t="s">
        <v>28550</v>
      </c>
      <c r="C14043" s="9" t="s">
        <v>17</v>
      </c>
      <c r="D14043" s="9" t="s">
        <v>101</v>
      </c>
      <c r="E14043" s="10" t="s">
        <v>1318</v>
      </c>
      <c r="F14043" s="9" t="s">
        <v>1319</v>
      </c>
      <c r="G14043" s="10" t="s">
        <v>75</v>
      </c>
      <c r="H14043" s="9" t="s">
        <v>22</v>
      </c>
      <c r="I14043" s="9" t="s">
        <v>28551</v>
      </c>
      <c r="J14043" s="10" t="str">
        <f>HYPERLINK("https://www.boe.es/gazeta/dias/1834/05/10/pdfs/GMD-1834-79.pdf#page=4","Abrir facsímil")</f>
        <v>Abrir facsímil</v>
      </c>
      <c r="K14043" s="10" t="s">
        <v>24</v>
      </c>
    </row>
    <row r="14044" spans="1:11" ht="54" customHeight="1">
      <c r="A14044" s="9" t="s">
        <v>28552</v>
      </c>
      <c r="B14044" s="9" t="s">
        <v>28553</v>
      </c>
      <c r="C14044" s="9" t="s">
        <v>66</v>
      </c>
      <c r="D14044" s="9" t="s">
        <v>18</v>
      </c>
      <c r="E14044" s="10" t="s">
        <v>535</v>
      </c>
      <c r="F14044" s="9" t="s">
        <v>536</v>
      </c>
      <c r="G14044" s="10" t="s">
        <v>21</v>
      </c>
      <c r="H14044" s="9" t="s">
        <v>22</v>
      </c>
      <c r="I14044" s="9" t="s">
        <v>28554</v>
      </c>
      <c r="J14044" s="10" t="str">
        <f>HYPERLINK("https://www.boe.es/gazeta/dias/1834/05/21/pdfs/GMD-1834-90.pdf#page=3","Abrir facsímil")</f>
        <v>Abrir facsímil</v>
      </c>
      <c r="K14044" s="10" t="s">
        <v>24</v>
      </c>
    </row>
    <row r="14045" spans="1:11" ht="54" customHeight="1">
      <c r="A14045" s="9" t="s">
        <v>28555</v>
      </c>
      <c r="B14045" s="9" t="s">
        <v>28556</v>
      </c>
      <c r="C14045" s="9" t="s">
        <v>17</v>
      </c>
      <c r="D14045" s="9" t="s">
        <v>18</v>
      </c>
      <c r="E14045" s="10" t="s">
        <v>462</v>
      </c>
      <c r="F14045" s="9" t="s">
        <v>2110</v>
      </c>
      <c r="G14045" s="10" t="s">
        <v>21</v>
      </c>
      <c r="H14045" s="9" t="s">
        <v>22</v>
      </c>
      <c r="I14045" s="9" t="s">
        <v>28557</v>
      </c>
      <c r="J14045" s="10" t="str">
        <f>HYPERLINK("https://www.boe.es/gazeta/dias/1834/08/27/pdfs/GMD-1834-193.pdf#page=3","Abrir facsímil")</f>
        <v>Abrir facsímil</v>
      </c>
      <c r="K14045" s="10" t="s">
        <v>24</v>
      </c>
    </row>
    <row r="14046" spans="1:11" ht="54" customHeight="1">
      <c r="A14046" s="9" t="s">
        <v>28558</v>
      </c>
      <c r="B14046" s="9" t="s">
        <v>28559</v>
      </c>
      <c r="C14046" s="9" t="s">
        <v>17</v>
      </c>
      <c r="D14046" s="9" t="s">
        <v>18</v>
      </c>
      <c r="E14046" s="10" t="s">
        <v>317</v>
      </c>
      <c r="F14046" s="9" t="s">
        <v>318</v>
      </c>
      <c r="G14046" s="10" t="s">
        <v>34</v>
      </c>
      <c r="H14046" s="9" t="s">
        <v>22</v>
      </c>
      <c r="I14046" s="9" t="s">
        <v>28560</v>
      </c>
      <c r="J14046" s="10" t="str">
        <f>HYPERLINK("https://www.boe.es/gazeta/dias/1834/03/06/pdfs/I00139-00140.pdf#page=1","Abrir facsímil")</f>
        <v>Abrir facsímil</v>
      </c>
      <c r="K14046" s="10" t="s">
        <v>24</v>
      </c>
    </row>
    <row r="14047" spans="1:11" ht="54" customHeight="1">
      <c r="A14047" s="9" t="s">
        <v>28558</v>
      </c>
      <c r="B14047" s="9" t="s">
        <v>28559</v>
      </c>
      <c r="C14047" s="9" t="s">
        <v>17</v>
      </c>
      <c r="D14047" s="9" t="s">
        <v>18</v>
      </c>
      <c r="E14047" s="10" t="s">
        <v>317</v>
      </c>
      <c r="F14047" s="9" t="s">
        <v>318</v>
      </c>
      <c r="G14047" s="10" t="s">
        <v>21</v>
      </c>
      <c r="H14047" s="9" t="s">
        <v>22</v>
      </c>
      <c r="I14047" s="9" t="s">
        <v>28561</v>
      </c>
      <c r="J14047" s="10" t="str">
        <f>HYPERLINK("https://www.boe.es/gazeta/dias/1834/03/06/pdfs/GMD-1834-29.pdf#page=3","Abrir facsímil")</f>
        <v>Abrir facsímil</v>
      </c>
      <c r="K14047" s="10" t="s">
        <v>24</v>
      </c>
    </row>
    <row r="14048" spans="1:11" ht="54" customHeight="1">
      <c r="A14048" s="9" t="s">
        <v>28558</v>
      </c>
      <c r="B14048" s="9" t="s">
        <v>28559</v>
      </c>
      <c r="C14048" s="9" t="s">
        <v>17</v>
      </c>
      <c r="D14048" s="9" t="s">
        <v>18</v>
      </c>
      <c r="E14048" s="10" t="s">
        <v>1234</v>
      </c>
      <c r="F14048" s="9" t="s">
        <v>1455</v>
      </c>
      <c r="G14048" s="10" t="s">
        <v>75</v>
      </c>
      <c r="H14048" s="9" t="s">
        <v>22</v>
      </c>
      <c r="I14048" s="9" t="s">
        <v>28562</v>
      </c>
      <c r="J14048" s="10" t="str">
        <f>HYPERLINK("https://www.boe.es/gazeta/dias/1834/05/15/pdfs/GMD-1834-84.pdf#page=4","Abrir facsímil")</f>
        <v>Abrir facsímil</v>
      </c>
      <c r="K14048" s="10" t="s">
        <v>24</v>
      </c>
    </row>
    <row r="14049" spans="1:11" ht="54" customHeight="1">
      <c r="A14049" s="9" t="s">
        <v>28563</v>
      </c>
      <c r="B14049" s="9" t="s">
        <v>28564</v>
      </c>
      <c r="C14049" s="9" t="s">
        <v>46</v>
      </c>
      <c r="D14049" s="9" t="s">
        <v>18</v>
      </c>
      <c r="E14049" s="10" t="s">
        <v>2037</v>
      </c>
      <c r="F14049" s="9" t="s">
        <v>2038</v>
      </c>
      <c r="G14049" s="10" t="s">
        <v>34</v>
      </c>
      <c r="H14049" s="9" t="s">
        <v>22</v>
      </c>
      <c r="I14049" s="9" t="s">
        <v>28565</v>
      </c>
      <c r="J14049" s="10" t="str">
        <f>HYPERLINK("https://www.boe.es/gazeta/dias/1834/12/01/pdfs/I01208-01208.pdf#page=1","Abrir facsímil")</f>
        <v>Abrir facsímil</v>
      </c>
      <c r="K14049" s="10" t="s">
        <v>24</v>
      </c>
    </row>
    <row r="14050" spans="1:11" ht="54" customHeight="1">
      <c r="A14050" s="9" t="s">
        <v>28563</v>
      </c>
      <c r="B14050" s="9" t="s">
        <v>28564</v>
      </c>
      <c r="C14050" s="9" t="s">
        <v>46</v>
      </c>
      <c r="D14050" s="9" t="s">
        <v>18</v>
      </c>
      <c r="E14050" s="10" t="s">
        <v>2037</v>
      </c>
      <c r="F14050" s="9" t="s">
        <v>2038</v>
      </c>
      <c r="G14050" s="10" t="s">
        <v>75</v>
      </c>
      <c r="H14050" s="9" t="s">
        <v>22</v>
      </c>
      <c r="I14050" s="9" t="s">
        <v>28565</v>
      </c>
      <c r="J14050" s="10" t="str">
        <f>HYPERLINK("https://www.boe.es/gazeta/dias/1834/12/01/pdfs/GMD-1834-290.pdf#page=4","Abrir facsímil")</f>
        <v>Abrir facsímil</v>
      </c>
      <c r="K14050" s="10" t="s">
        <v>24</v>
      </c>
    </row>
    <row r="14051" spans="1:11" ht="54" customHeight="1">
      <c r="A14051" s="9" t="s">
        <v>28566</v>
      </c>
      <c r="B14051" s="9" t="s">
        <v>28567</v>
      </c>
      <c r="C14051" s="9" t="s">
        <v>122</v>
      </c>
      <c r="D14051" s="9" t="s">
        <v>18</v>
      </c>
      <c r="E14051" s="10" t="s">
        <v>647</v>
      </c>
      <c r="F14051" s="9" t="s">
        <v>2176</v>
      </c>
      <c r="G14051" s="10" t="s">
        <v>34</v>
      </c>
      <c r="H14051" s="9" t="s">
        <v>22</v>
      </c>
      <c r="I14051" s="9" t="s">
        <v>28568</v>
      </c>
      <c r="J14051" s="10" t="str">
        <f>HYPERLINK("https://www.boe.es/gazeta/dias/1834/10/21/pdfs/GMD-1834-249.pdf#page=1","Abrir facsímil")</f>
        <v>Abrir facsímil</v>
      </c>
      <c r="K14051" s="10" t="s">
        <v>24</v>
      </c>
    </row>
    <row r="14052" spans="1:11" ht="54" customHeight="1">
      <c r="A14052" s="9" t="s">
        <v>28569</v>
      </c>
      <c r="B14052" s="9" t="s">
        <v>28570</v>
      </c>
      <c r="C14052" s="9" t="s">
        <v>17</v>
      </c>
      <c r="D14052" s="9" t="s">
        <v>18</v>
      </c>
      <c r="E14052" s="10" t="s">
        <v>1234</v>
      </c>
      <c r="F14052" s="9" t="s">
        <v>1455</v>
      </c>
      <c r="G14052" s="10" t="s">
        <v>75</v>
      </c>
      <c r="H14052" s="9" t="s">
        <v>35</v>
      </c>
      <c r="I14052" s="9" t="s">
        <v>28571</v>
      </c>
      <c r="J14052" s="10" t="str">
        <f>HYPERLINK("https://www.boe.es/gazeta/dias/1834/05/15/pdfs/GMD-1834-84.pdf#page=4","Abrir facsímil")</f>
        <v>Abrir facsímil</v>
      </c>
      <c r="K14052" s="10" t="s">
        <v>37</v>
      </c>
    </row>
    <row r="14053" spans="1:11" ht="54" customHeight="1">
      <c r="A14053" s="9" t="s">
        <v>28572</v>
      </c>
      <c r="B14053" s="9" t="s">
        <v>28573</v>
      </c>
      <c r="C14053" s="9" t="s">
        <v>90</v>
      </c>
      <c r="D14053" s="9" t="s">
        <v>67</v>
      </c>
      <c r="E14053" s="10" t="s">
        <v>563</v>
      </c>
      <c r="F14053" s="9" t="s">
        <v>564</v>
      </c>
      <c r="G14053" s="10" t="s">
        <v>86</v>
      </c>
      <c r="H14053" s="9" t="s">
        <v>22</v>
      </c>
      <c r="I14053" s="9" t="s">
        <v>28574</v>
      </c>
      <c r="J14053" s="10" t="str">
        <f>HYPERLINK("https://www.boe.es/gazeta/dias/1834/04/19/pdfs/GMD-1834-58.pdf#page=2","Abrir facsímil")</f>
        <v>Abrir facsímil</v>
      </c>
      <c r="K14053" s="10" t="s">
        <v>24</v>
      </c>
    </row>
    <row r="14054" spans="1:11" ht="54" customHeight="1">
      <c r="A14054" s="9" t="s">
        <v>28575</v>
      </c>
      <c r="B14054" s="9" t="s">
        <v>28576</v>
      </c>
      <c r="C14054" s="9" t="s">
        <v>17</v>
      </c>
      <c r="D14054" s="9" t="s">
        <v>40</v>
      </c>
      <c r="E14054" s="10" t="s">
        <v>339</v>
      </c>
      <c r="F14054" s="9" t="s">
        <v>340</v>
      </c>
      <c r="G14054" s="10" t="s">
        <v>21</v>
      </c>
      <c r="H14054" s="9" t="s">
        <v>22</v>
      </c>
      <c r="I14054" s="9" t="s">
        <v>28577</v>
      </c>
      <c r="J14054" s="10" t="str">
        <f>HYPERLINK("https://www.boe.es/gazeta/dias/1834/05/02/pdfs/GMD-1834-71.pdf#page=3","Abrir facsímil")</f>
        <v>Abrir facsímil</v>
      </c>
      <c r="K14054" s="10" t="s">
        <v>24</v>
      </c>
    </row>
    <row r="14055" spans="1:11" ht="54" customHeight="1">
      <c r="A14055" s="9" t="s">
        <v>28578</v>
      </c>
      <c r="B14055" s="9" t="s">
        <v>28579</v>
      </c>
      <c r="C14055" s="9" t="s">
        <v>17</v>
      </c>
      <c r="D14055" s="9" t="s">
        <v>18</v>
      </c>
      <c r="E14055" s="10" t="s">
        <v>2087</v>
      </c>
      <c r="F14055" s="9" t="s">
        <v>2088</v>
      </c>
      <c r="G14055" s="10" t="s">
        <v>75</v>
      </c>
      <c r="H14055" s="9" t="s">
        <v>22</v>
      </c>
      <c r="I14055" s="9" t="s">
        <v>28580</v>
      </c>
      <c r="J14055" s="10" t="str">
        <f>HYPERLINK("https://www.boe.es/gazeta/dias/1834/12/14/pdfs/GMD-1834-303.pdf#page=4","Abrir facsímil")</f>
        <v>Abrir facsímil</v>
      </c>
      <c r="K14055" s="10" t="s">
        <v>24</v>
      </c>
    </row>
    <row r="14056" spans="1:11" ht="54" customHeight="1">
      <c r="A14056" s="9" t="s">
        <v>28581</v>
      </c>
      <c r="B14056" s="9" t="s">
        <v>28582</v>
      </c>
      <c r="C14056" s="9" t="s">
        <v>66</v>
      </c>
      <c r="D14056" s="9" t="s">
        <v>67</v>
      </c>
      <c r="E14056" s="10" t="s">
        <v>1119</v>
      </c>
      <c r="F14056" s="9" t="s">
        <v>1120</v>
      </c>
      <c r="G14056" s="10" t="s">
        <v>21</v>
      </c>
      <c r="H14056" s="9" t="s">
        <v>22</v>
      </c>
      <c r="I14056" s="9" t="s">
        <v>28583</v>
      </c>
      <c r="J14056" s="10" t="str">
        <f>HYPERLINK("https://www.boe.es/gazeta/dias/1834/07/17/pdfs/GMD-1834-150.pdf#page=3","Abrir facsímil")</f>
        <v>Abrir facsímil</v>
      </c>
      <c r="K14056" s="10" t="s">
        <v>24</v>
      </c>
    </row>
    <row r="14057" spans="1:11" ht="54" customHeight="1">
      <c r="A14057" s="9" t="s">
        <v>28584</v>
      </c>
      <c r="B14057" s="9" t="s">
        <v>28585</v>
      </c>
      <c r="C14057" s="9" t="s">
        <v>17</v>
      </c>
      <c r="D14057" s="9" t="s">
        <v>18</v>
      </c>
      <c r="E14057" s="10" t="s">
        <v>32</v>
      </c>
      <c r="F14057" s="9" t="s">
        <v>33</v>
      </c>
      <c r="G14057" s="10" t="s">
        <v>75</v>
      </c>
      <c r="H14057" s="9" t="s">
        <v>22</v>
      </c>
      <c r="I14057" s="9" t="s">
        <v>28586</v>
      </c>
      <c r="J14057" s="10" t="str">
        <f>HYPERLINK("https://www.boe.es/gazeta/dias/1834/04/23/pdfs/GMD-1834-62.pdf#page=4","Abrir facsímil")</f>
        <v>Abrir facsímil</v>
      </c>
      <c r="K14057" s="10" t="s">
        <v>24</v>
      </c>
    </row>
    <row r="14058" spans="1:11" ht="54" customHeight="1">
      <c r="A14058" s="9" t="s">
        <v>28587</v>
      </c>
      <c r="B14058" s="9" t="s">
        <v>28587</v>
      </c>
      <c r="C14058" s="9" t="s">
        <v>17</v>
      </c>
      <c r="D14058" s="9" t="s">
        <v>18</v>
      </c>
      <c r="E14058" s="10" t="s">
        <v>1922</v>
      </c>
      <c r="F14058" s="9" t="s">
        <v>1923</v>
      </c>
      <c r="G14058" s="10" t="s">
        <v>75</v>
      </c>
      <c r="H14058" s="9" t="s">
        <v>22</v>
      </c>
      <c r="I14058" s="9" t="s">
        <v>28588</v>
      </c>
      <c r="J14058" s="10" t="str">
        <f>HYPERLINK("https://www.boe.es/gazeta/dias/1834/02/25/pdfs/GMD-1834-25.pdf#page=4","Abrir facsímil")</f>
        <v>Abrir facsímil</v>
      </c>
      <c r="K14058" s="10" t="s">
        <v>24</v>
      </c>
    </row>
    <row r="14059" spans="1:11" ht="54" customHeight="1">
      <c r="A14059" s="9" t="s">
        <v>28589</v>
      </c>
      <c r="B14059" s="9" t="s">
        <v>28589</v>
      </c>
      <c r="C14059" s="9" t="s">
        <v>66</v>
      </c>
      <c r="D14059" s="9" t="s">
        <v>67</v>
      </c>
      <c r="E14059" s="10" t="s">
        <v>1686</v>
      </c>
      <c r="F14059" s="9" t="s">
        <v>1687</v>
      </c>
      <c r="G14059" s="10" t="s">
        <v>86</v>
      </c>
      <c r="H14059" s="9" t="s">
        <v>22</v>
      </c>
      <c r="I14059" s="9" t="s">
        <v>28590</v>
      </c>
      <c r="J14059" s="10" t="str">
        <f>HYPERLINK("https://www.boe.es/gazeta/dias/1834/07/27/pdfs/GMD-1834-160.pdf#page=2","Abrir facsímil")</f>
        <v>Abrir facsímil</v>
      </c>
      <c r="K14059" s="10" t="s">
        <v>24</v>
      </c>
    </row>
    <row r="14060" spans="1:11" ht="54" customHeight="1">
      <c r="A14060" s="9" t="s">
        <v>28591</v>
      </c>
      <c r="B14060" s="9" t="s">
        <v>28591</v>
      </c>
      <c r="C14060" s="9" t="s">
        <v>66</v>
      </c>
      <c r="D14060" s="9" t="s">
        <v>67</v>
      </c>
      <c r="E14060" s="10" t="s">
        <v>167</v>
      </c>
      <c r="F14060" s="9" t="s">
        <v>1200</v>
      </c>
      <c r="G14060" s="10" t="s">
        <v>470</v>
      </c>
      <c r="H14060" s="9" t="s">
        <v>22</v>
      </c>
      <c r="I14060" s="9" t="s">
        <v>28592</v>
      </c>
      <c r="J14060" s="10" t="str">
        <f>HYPERLINK("https://www.boe.es/gazeta/dias/1834/09/07/pdfs/GMD-C-1834-205.pdf#page=8","Abrir facsímil")</f>
        <v>Abrir facsímil</v>
      </c>
      <c r="K14060" s="10" t="s">
        <v>24</v>
      </c>
    </row>
    <row r="14061" spans="1:11" ht="54" customHeight="1">
      <c r="A14061" s="9" t="s">
        <v>28591</v>
      </c>
      <c r="B14061" s="9" t="s">
        <v>28591</v>
      </c>
      <c r="C14061" s="9" t="s">
        <v>46</v>
      </c>
      <c r="D14061" s="9" t="s">
        <v>101</v>
      </c>
      <c r="E14061" s="10" t="s">
        <v>438</v>
      </c>
      <c r="F14061" s="9" t="s">
        <v>528</v>
      </c>
      <c r="G14061" s="10" t="s">
        <v>86</v>
      </c>
      <c r="H14061" s="9" t="s">
        <v>22</v>
      </c>
      <c r="I14061" s="9" t="s">
        <v>28593</v>
      </c>
      <c r="J14061" s="10" t="str">
        <f>HYPERLINK("https://www.boe.es/gazeta/dias/1834/11/09/pdfs/GMD-C-1834-268.pdf#page=2","Abrir facsímil")</f>
        <v>Abrir facsímil</v>
      </c>
      <c r="K14061" s="10" t="s">
        <v>24</v>
      </c>
    </row>
    <row r="14062" spans="1:11" ht="54" customHeight="1">
      <c r="A14062" s="9" t="s">
        <v>28591</v>
      </c>
      <c r="B14062" s="9" t="s">
        <v>28591</v>
      </c>
      <c r="C14062" s="9" t="s">
        <v>17</v>
      </c>
      <c r="D14062" s="9" t="s">
        <v>18</v>
      </c>
      <c r="E14062" s="10" t="s">
        <v>96</v>
      </c>
      <c r="F14062" s="9" t="s">
        <v>97</v>
      </c>
      <c r="G14062" s="10" t="s">
        <v>21</v>
      </c>
      <c r="H14062" s="9" t="s">
        <v>22</v>
      </c>
      <c r="I14062" s="9" t="s">
        <v>28594</v>
      </c>
      <c r="J14062" s="10" t="str">
        <f>HYPERLINK("https://www.boe.es/gazeta/dias/1834/11/11/pdfs/GMD-C-1834-270.pdf#page=3","Abrir facsímil")</f>
        <v>Abrir facsímil</v>
      </c>
      <c r="K14062" s="10" t="s">
        <v>24</v>
      </c>
    </row>
    <row r="14063" spans="1:11" ht="54" customHeight="1">
      <c r="A14063" s="9" t="s">
        <v>28591</v>
      </c>
      <c r="B14063" s="9" t="s">
        <v>28591</v>
      </c>
      <c r="C14063" s="9" t="s">
        <v>17</v>
      </c>
      <c r="D14063" s="9" t="s">
        <v>18</v>
      </c>
      <c r="E14063" s="10" t="s">
        <v>2087</v>
      </c>
      <c r="F14063" s="9" t="s">
        <v>2088</v>
      </c>
      <c r="G14063" s="10" t="s">
        <v>34</v>
      </c>
      <c r="H14063" s="9" t="s">
        <v>22</v>
      </c>
      <c r="I14063" s="9" t="s">
        <v>28595</v>
      </c>
      <c r="J14063" s="10" t="str">
        <f>HYPERLINK("https://www.boe.es/gazeta/dias/1834/12/14/pdfs/GMD-1834-303.pdf#page=1","Abrir facsímil")</f>
        <v>Abrir facsímil</v>
      </c>
      <c r="K14063" s="10" t="s">
        <v>24</v>
      </c>
    </row>
    <row r="14064" spans="1:11" ht="54" customHeight="1">
      <c r="A14064" s="9" t="s">
        <v>28591</v>
      </c>
      <c r="B14064" s="9" t="s">
        <v>28591</v>
      </c>
      <c r="C14064" s="9" t="s">
        <v>46</v>
      </c>
      <c r="D14064" s="9" t="s">
        <v>18</v>
      </c>
      <c r="E14064" s="10" t="s">
        <v>4064</v>
      </c>
      <c r="F14064" s="9" t="s">
        <v>4065</v>
      </c>
      <c r="G14064" s="10" t="s">
        <v>21</v>
      </c>
      <c r="H14064" s="9" t="s">
        <v>22</v>
      </c>
      <c r="I14064" s="9" t="s">
        <v>28596</v>
      </c>
      <c r="J14064" s="10" t="str">
        <f>HYPERLINK("https://www.boe.es/gazeta/dias/1834/07/22/pdfs/GMD-1834-155.pdf#page=3","Abrir facsímil")</f>
        <v>Abrir facsímil</v>
      </c>
      <c r="K14064" s="10" t="s">
        <v>24</v>
      </c>
    </row>
    <row r="14065" spans="1:11" ht="54" customHeight="1">
      <c r="A14065" s="9" t="s">
        <v>28591</v>
      </c>
      <c r="B14065" s="9" t="s">
        <v>28591</v>
      </c>
      <c r="C14065" s="9" t="s">
        <v>66</v>
      </c>
      <c r="D14065" s="9" t="s">
        <v>67</v>
      </c>
      <c r="E14065" s="10" t="s">
        <v>179</v>
      </c>
      <c r="F14065" s="9" t="s">
        <v>180</v>
      </c>
      <c r="G14065" s="10" t="s">
        <v>86</v>
      </c>
      <c r="H14065" s="9" t="s">
        <v>22</v>
      </c>
      <c r="I14065" s="9" t="s">
        <v>28597</v>
      </c>
      <c r="J14065" s="10" t="str">
        <f>HYPERLINK("https://www.boe.es/gazeta/dias/1834/10/28/pdfs/GMD-1834-256.pdf#page=2","Abrir facsímil")</f>
        <v>Abrir facsímil</v>
      </c>
      <c r="K14065" s="10" t="s">
        <v>24</v>
      </c>
    </row>
    <row r="14066" spans="1:11" ht="54" customHeight="1">
      <c r="A14066" s="9" t="s">
        <v>28598</v>
      </c>
      <c r="B14066" s="9" t="s">
        <v>28599</v>
      </c>
      <c r="C14066" s="9" t="s">
        <v>17</v>
      </c>
      <c r="D14066" s="9" t="s">
        <v>18</v>
      </c>
      <c r="E14066" s="10" t="s">
        <v>364</v>
      </c>
      <c r="F14066" s="9" t="s">
        <v>365</v>
      </c>
      <c r="G14066" s="10" t="s">
        <v>21</v>
      </c>
      <c r="H14066" s="9" t="s">
        <v>22</v>
      </c>
      <c r="I14066" s="9" t="s">
        <v>28600</v>
      </c>
      <c r="J14066" s="10" t="str">
        <f>HYPERLINK("https://www.boe.es/gazeta/dias/1834/09/06/pdfs/GMD-C-1834-204.pdf#page=3","Abrir facsímil")</f>
        <v>Abrir facsímil</v>
      </c>
      <c r="K14066" s="10" t="s">
        <v>24</v>
      </c>
    </row>
    <row r="14067" spans="1:11" ht="54" customHeight="1">
      <c r="A14067" s="9" t="s">
        <v>28601</v>
      </c>
      <c r="B14067" s="9" t="s">
        <v>28602</v>
      </c>
      <c r="C14067" s="9" t="s">
        <v>17</v>
      </c>
      <c r="D14067" s="9" t="s">
        <v>18</v>
      </c>
      <c r="E14067" s="10" t="s">
        <v>623</v>
      </c>
      <c r="F14067" s="9" t="s">
        <v>624</v>
      </c>
      <c r="G14067" s="10" t="s">
        <v>34</v>
      </c>
      <c r="H14067" s="9" t="s">
        <v>22</v>
      </c>
      <c r="I14067" s="9" t="s">
        <v>28603</v>
      </c>
      <c r="J14067" s="10" t="str">
        <f>HYPERLINK("https://www.boe.es/gazeta/dias/1834/10/12/pdfs/GMD-C-1834-240.pdf#page=1","Abrir facsímil")</f>
        <v>Abrir facsímil</v>
      </c>
      <c r="K14067" s="10" t="s">
        <v>24</v>
      </c>
    </row>
    <row r="14068" spans="1:11" ht="54" customHeight="1">
      <c r="A14068" s="9" t="s">
        <v>28604</v>
      </c>
      <c r="B14068" s="9" t="s">
        <v>28605</v>
      </c>
      <c r="C14068" s="9" t="s">
        <v>17</v>
      </c>
      <c r="D14068" s="9" t="s">
        <v>18</v>
      </c>
      <c r="E14068" s="10" t="s">
        <v>438</v>
      </c>
      <c r="F14068" s="9" t="s">
        <v>528</v>
      </c>
      <c r="G14068" s="10" t="s">
        <v>75</v>
      </c>
      <c r="H14068" s="9" t="s">
        <v>22</v>
      </c>
      <c r="I14068" s="9" t="s">
        <v>28606</v>
      </c>
      <c r="J14068" s="10" t="str">
        <f>HYPERLINK("https://www.boe.es/gazeta/dias/1834/11/09/pdfs/GMD-C-1834-268.pdf#page=4","Abrir facsímil")</f>
        <v>Abrir facsímil</v>
      </c>
      <c r="K14068" s="10" t="s">
        <v>24</v>
      </c>
    </row>
    <row r="14069" spans="1:11" ht="54" customHeight="1">
      <c r="A14069" s="9" t="s">
        <v>28607</v>
      </c>
      <c r="B14069" s="9" t="s">
        <v>28608</v>
      </c>
      <c r="C14069" s="9" t="s">
        <v>122</v>
      </c>
      <c r="D14069" s="9" t="s">
        <v>18</v>
      </c>
      <c r="E14069" s="10" t="s">
        <v>627</v>
      </c>
      <c r="F14069" s="9" t="s">
        <v>1013</v>
      </c>
      <c r="G14069" s="10" t="s">
        <v>34</v>
      </c>
      <c r="H14069" s="9" t="s">
        <v>22</v>
      </c>
      <c r="I14069" s="9" t="s">
        <v>28609</v>
      </c>
      <c r="J14069" s="10" t="str">
        <f>HYPERLINK("https://www.boe.es/gazeta/dias/1834/09/22/pdfs/GMD-1834-220.pdf#page=1","Abrir facsímil")</f>
        <v>Abrir facsímil</v>
      </c>
      <c r="K14069" s="10" t="s">
        <v>24</v>
      </c>
    </row>
    <row r="14070" spans="1:11" ht="54" customHeight="1">
      <c r="A14070" s="9" t="s">
        <v>28610</v>
      </c>
      <c r="B14070" s="9" t="s">
        <v>28611</v>
      </c>
      <c r="C14070" s="9" t="s">
        <v>17</v>
      </c>
      <c r="D14070" s="9" t="s">
        <v>18</v>
      </c>
      <c r="E14070" s="10" t="s">
        <v>1424</v>
      </c>
      <c r="F14070" s="9" t="s">
        <v>1425</v>
      </c>
      <c r="G14070" s="10" t="s">
        <v>75</v>
      </c>
      <c r="H14070" s="9" t="s">
        <v>22</v>
      </c>
      <c r="I14070" s="9" t="s">
        <v>28612</v>
      </c>
      <c r="J14070" s="10" t="str">
        <f>HYPERLINK("https://www.boe.es/gazeta/dias/1834/11/14/pdfs/GMD-C-1834-273.pdf#page=4","Abrir facsímil")</f>
        <v>Abrir facsímil</v>
      </c>
      <c r="K14070" s="10" t="s">
        <v>24</v>
      </c>
    </row>
    <row r="14071" spans="1:11" ht="54" customHeight="1">
      <c r="A14071" s="9" t="s">
        <v>28613</v>
      </c>
      <c r="B14071" s="9" t="s">
        <v>28614</v>
      </c>
      <c r="C14071" s="9" t="s">
        <v>66</v>
      </c>
      <c r="D14071" s="9" t="s">
        <v>67</v>
      </c>
      <c r="E14071" s="10" t="s">
        <v>1318</v>
      </c>
      <c r="F14071" s="9" t="s">
        <v>1319</v>
      </c>
      <c r="G14071" s="10" t="s">
        <v>86</v>
      </c>
      <c r="H14071" s="9" t="s">
        <v>22</v>
      </c>
      <c r="I14071" s="9" t="s">
        <v>28615</v>
      </c>
      <c r="J14071" s="10" t="str">
        <f>HYPERLINK("https://www.boe.es/gazeta/dias/1834/05/10/pdfs/GMD-1834-79.pdf#page=2","Abrir facsímil")</f>
        <v>Abrir facsímil</v>
      </c>
      <c r="K14071" s="10" t="s">
        <v>24</v>
      </c>
    </row>
    <row r="14072" spans="1:11" ht="54" customHeight="1">
      <c r="A14072" s="9" t="s">
        <v>28616</v>
      </c>
      <c r="B14072" s="9" t="s">
        <v>28617</v>
      </c>
      <c r="C14072" s="9" t="s">
        <v>66</v>
      </c>
      <c r="D14072" s="9" t="s">
        <v>67</v>
      </c>
      <c r="E14072" s="10" t="s">
        <v>1510</v>
      </c>
      <c r="F14072" s="9" t="s">
        <v>1511</v>
      </c>
      <c r="G14072" s="10" t="s">
        <v>75</v>
      </c>
      <c r="H14072" s="9" t="s">
        <v>22</v>
      </c>
      <c r="I14072" s="9" t="s">
        <v>28618</v>
      </c>
      <c r="J14072" s="10" t="str">
        <f>HYPERLINK("https://www.boe.es/gazeta/dias/1834/06/13/pdfs/GMD-1834-116.pdf#page=4","Abrir facsímil")</f>
        <v>Abrir facsímil</v>
      </c>
      <c r="K14072" s="10" t="s">
        <v>24</v>
      </c>
    </row>
    <row r="14073" spans="1:11" ht="54" customHeight="1">
      <c r="A14073" s="9" t="s">
        <v>28619</v>
      </c>
      <c r="B14073" s="9" t="s">
        <v>28620</v>
      </c>
      <c r="C14073" s="9" t="s">
        <v>17</v>
      </c>
      <c r="D14073" s="9" t="s">
        <v>18</v>
      </c>
      <c r="E14073" s="10" t="s">
        <v>793</v>
      </c>
      <c r="F14073" s="9" t="s">
        <v>1895</v>
      </c>
      <c r="G14073" s="10" t="s">
        <v>34</v>
      </c>
      <c r="H14073" s="9" t="s">
        <v>22</v>
      </c>
      <c r="I14073" s="9" t="s">
        <v>28621</v>
      </c>
      <c r="J14073" s="10" t="str">
        <f>HYPERLINK("https://www.boe.es/gazeta/dias/1834/10/08/pdfs/GMD-C-1834-236.pdf#page=1","Abrir facsímil")</f>
        <v>Abrir facsímil</v>
      </c>
      <c r="K14073" s="10" t="s">
        <v>24</v>
      </c>
    </row>
    <row r="14074" spans="1:11" ht="54" customHeight="1">
      <c r="A14074" s="9" t="s">
        <v>28622</v>
      </c>
      <c r="B14074" s="9" t="s">
        <v>28623</v>
      </c>
      <c r="C14074" s="9" t="s">
        <v>17</v>
      </c>
      <c r="D14074" s="9" t="s">
        <v>18</v>
      </c>
      <c r="E14074" s="10" t="s">
        <v>265</v>
      </c>
      <c r="F14074" s="9" t="s">
        <v>266</v>
      </c>
      <c r="G14074" s="10" t="s">
        <v>34</v>
      </c>
      <c r="H14074" s="9" t="s">
        <v>22</v>
      </c>
      <c r="I14074" s="9" t="s">
        <v>28624</v>
      </c>
      <c r="J14074" s="10" t="str">
        <f>HYPERLINK("https://www.boe.es/gazeta/dias/1834/11/19/pdfs/GMD-C-1834-278.pdf#page=1","Abrir facsímil")</f>
        <v>Abrir facsímil</v>
      </c>
      <c r="K14074" s="10" t="s">
        <v>24</v>
      </c>
    </row>
    <row r="14075" spans="1:11" ht="54" customHeight="1">
      <c r="A14075" s="9" t="s">
        <v>28625</v>
      </c>
      <c r="B14075" s="9" t="s">
        <v>28626</v>
      </c>
      <c r="C14075" s="9" t="s">
        <v>122</v>
      </c>
      <c r="D14075" s="9" t="s">
        <v>101</v>
      </c>
      <c r="E14075" s="10" t="s">
        <v>192</v>
      </c>
      <c r="F14075" s="9" t="s">
        <v>193</v>
      </c>
      <c r="G14075" s="10" t="s">
        <v>75</v>
      </c>
      <c r="H14075" s="9" t="s">
        <v>35</v>
      </c>
      <c r="I14075" s="9" t="s">
        <v>28627</v>
      </c>
      <c r="J14075" s="10" t="str">
        <f>HYPERLINK("https://www.boe.es/gazeta/dias/1834/12/31/pdfs/GMD-1834-321.pdf#page=4","Abrir facsímil")</f>
        <v>Abrir facsímil</v>
      </c>
      <c r="K14075" s="10" t="s">
        <v>37</v>
      </c>
    </row>
    <row r="14076" spans="1:11" ht="54" customHeight="1">
      <c r="A14076" s="9" t="s">
        <v>28628</v>
      </c>
      <c r="B14076" s="9" t="s">
        <v>28629</v>
      </c>
      <c r="C14076" s="9" t="s">
        <v>122</v>
      </c>
      <c r="D14076" s="9" t="s">
        <v>101</v>
      </c>
      <c r="E14076" s="10" t="s">
        <v>192</v>
      </c>
      <c r="F14076" s="9" t="s">
        <v>193</v>
      </c>
      <c r="G14076" s="10" t="s">
        <v>75</v>
      </c>
      <c r="H14076" s="9" t="s">
        <v>22</v>
      </c>
      <c r="I14076" s="9" t="s">
        <v>28630</v>
      </c>
      <c r="J14076" s="10" t="str">
        <f>HYPERLINK("https://www.boe.es/gazeta/dias/1834/12/31/pdfs/GMD-1834-321.pdf#page=4","Abrir facsímil")</f>
        <v>Abrir facsímil</v>
      </c>
      <c r="K14076" s="10" t="s">
        <v>24</v>
      </c>
    </row>
    <row r="14077" spans="1:11" ht="54" customHeight="1">
      <c r="A14077" s="9" t="s">
        <v>28631</v>
      </c>
      <c r="B14077" s="9" t="s">
        <v>28632</v>
      </c>
      <c r="C14077" s="9" t="s">
        <v>17</v>
      </c>
      <c r="D14077" s="9" t="s">
        <v>40</v>
      </c>
      <c r="E14077" s="10" t="s">
        <v>3810</v>
      </c>
      <c r="F14077" s="9" t="s">
        <v>3811</v>
      </c>
      <c r="G14077" s="10" t="s">
        <v>75</v>
      </c>
      <c r="H14077" s="9" t="s">
        <v>22</v>
      </c>
      <c r="I14077" s="9" t="s">
        <v>28633</v>
      </c>
      <c r="J14077" s="10" t="str">
        <f>HYPERLINK("https://www.boe.es/gazeta/dias/1834/02/20/pdfs/GMD-1834-23.pdf#page=4","Abrir facsímil")</f>
        <v>Abrir facsímil</v>
      </c>
      <c r="K14077" s="10" t="s">
        <v>24</v>
      </c>
    </row>
    <row r="14078" spans="1:11" ht="54" customHeight="1">
      <c r="A14078" s="9" t="s">
        <v>28634</v>
      </c>
      <c r="B14078" s="9" t="s">
        <v>28635</v>
      </c>
      <c r="C14078" s="9" t="s">
        <v>17</v>
      </c>
      <c r="D14078" s="9" t="s">
        <v>18</v>
      </c>
      <c r="E14078" s="10" t="s">
        <v>167</v>
      </c>
      <c r="F14078" s="9" t="s">
        <v>1200</v>
      </c>
      <c r="G14078" s="10" t="s">
        <v>86</v>
      </c>
      <c r="H14078" s="9" t="s">
        <v>22</v>
      </c>
      <c r="I14078" s="9" t="s">
        <v>28636</v>
      </c>
      <c r="J14078" s="10" t="str">
        <f>HYPERLINK("https://www.boe.es/gazeta/dias/1834/09/07/pdfs/GMD-C-1834-205.pdf#page=2","Abrir facsímil")</f>
        <v>Abrir facsímil</v>
      </c>
      <c r="K14078" s="10" t="s">
        <v>24</v>
      </c>
    </row>
    <row r="14079" spans="1:11" ht="54" customHeight="1">
      <c r="A14079" s="9" t="s">
        <v>28637</v>
      </c>
      <c r="B14079" s="9" t="s">
        <v>28638</v>
      </c>
      <c r="C14079" s="9" t="s">
        <v>66</v>
      </c>
      <c r="D14079" s="9" t="s">
        <v>67</v>
      </c>
      <c r="E14079" s="10" t="s">
        <v>3054</v>
      </c>
      <c r="F14079" s="9" t="s">
        <v>3055</v>
      </c>
      <c r="G14079" s="10" t="s">
        <v>86</v>
      </c>
      <c r="H14079" s="9" t="s">
        <v>22</v>
      </c>
      <c r="I14079" s="9" t="s">
        <v>28639</v>
      </c>
      <c r="J14079" s="10" t="str">
        <f>HYPERLINK("https://www.boe.es/gazeta/dias/1834/10/06/pdfs/GMD-1834-234.pdf#page=2","Abrir facsímil")</f>
        <v>Abrir facsímil</v>
      </c>
      <c r="K14079" s="10" t="s">
        <v>24</v>
      </c>
    </row>
    <row r="14080" spans="1:11" ht="54" customHeight="1">
      <c r="A14080" s="9" t="s">
        <v>28640</v>
      </c>
      <c r="B14080" s="9" t="s">
        <v>28641</v>
      </c>
      <c r="C14080" s="9" t="s">
        <v>122</v>
      </c>
      <c r="D14080" s="9" t="s">
        <v>18</v>
      </c>
      <c r="E14080" s="10" t="s">
        <v>590</v>
      </c>
      <c r="F14080" s="9" t="s">
        <v>591</v>
      </c>
      <c r="G14080" s="10" t="s">
        <v>86</v>
      </c>
      <c r="H14080" s="9" t="s">
        <v>22</v>
      </c>
      <c r="I14080" s="9" t="s">
        <v>28642</v>
      </c>
      <c r="J14080" s="10" t="str">
        <f>HYPERLINK("https://www.boe.es/gazeta/dias/1834/11/30/pdfs/GMD-1834-289.pdf#page=2","Abrir facsímil")</f>
        <v>Abrir facsímil</v>
      </c>
      <c r="K14080" s="10" t="s">
        <v>24</v>
      </c>
    </row>
    <row r="14081" spans="1:11" ht="54" customHeight="1">
      <c r="A14081" s="9" t="s">
        <v>28643</v>
      </c>
      <c r="B14081" s="9" t="s">
        <v>28643</v>
      </c>
      <c r="C14081" s="9" t="s">
        <v>122</v>
      </c>
      <c r="D14081" s="9" t="s">
        <v>18</v>
      </c>
      <c r="E14081" s="10" t="s">
        <v>590</v>
      </c>
      <c r="F14081" s="9" t="s">
        <v>591</v>
      </c>
      <c r="G14081" s="10" t="s">
        <v>34</v>
      </c>
      <c r="H14081" s="9" t="s">
        <v>22</v>
      </c>
      <c r="I14081" s="9" t="s">
        <v>28644</v>
      </c>
      <c r="J14081" s="10" t="str">
        <f>HYPERLINK("https://www.boe.es/gazeta/dias/1834/11/30/pdfs/GMD-1834-289.pdf#page=1","Abrir facsímil")</f>
        <v>Abrir facsímil</v>
      </c>
      <c r="K14081" s="10" t="s">
        <v>24</v>
      </c>
    </row>
    <row r="14082" spans="1:11" ht="54" customHeight="1">
      <c r="A14082" s="9" t="s">
        <v>28645</v>
      </c>
      <c r="B14082" s="9" t="s">
        <v>28645</v>
      </c>
      <c r="C14082" s="9" t="s">
        <v>66</v>
      </c>
      <c r="D14082" s="9" t="s">
        <v>67</v>
      </c>
      <c r="E14082" s="10" t="s">
        <v>408</v>
      </c>
      <c r="F14082" s="9" t="s">
        <v>409</v>
      </c>
      <c r="G14082" s="10" t="s">
        <v>75</v>
      </c>
      <c r="H14082" s="9" t="s">
        <v>22</v>
      </c>
      <c r="I14082" s="9" t="s">
        <v>28646</v>
      </c>
      <c r="J14082" s="10" t="str">
        <f>HYPERLINK("https://www.boe.es/gazeta/dias/1834/04/28/pdfs/GMD-1834-67.pdf#page=4","Abrir facsímil")</f>
        <v>Abrir facsímil</v>
      </c>
      <c r="K14082" s="10" t="s">
        <v>24</v>
      </c>
    </row>
    <row r="14083" spans="1:11" ht="54" customHeight="1">
      <c r="A14083" s="9" t="s">
        <v>28647</v>
      </c>
      <c r="B14083" s="9" t="s">
        <v>28647</v>
      </c>
      <c r="C14083" s="9" t="s">
        <v>46</v>
      </c>
      <c r="D14083" s="9" t="s">
        <v>18</v>
      </c>
      <c r="E14083" s="10" t="s">
        <v>3810</v>
      </c>
      <c r="F14083" s="9" t="s">
        <v>3811</v>
      </c>
      <c r="G14083" s="10" t="s">
        <v>86</v>
      </c>
      <c r="H14083" s="9" t="s">
        <v>22</v>
      </c>
      <c r="I14083" s="9" t="s">
        <v>28648</v>
      </c>
      <c r="J14083" s="10" t="str">
        <f>HYPERLINK("https://www.boe.es/gazeta/dias/1834/02/20/pdfs/GMD-1834-23.pdf#page=2","Abrir facsímil")</f>
        <v>Abrir facsímil</v>
      </c>
      <c r="K14083" s="10" t="s">
        <v>24</v>
      </c>
    </row>
    <row r="14084" spans="1:11" ht="54" customHeight="1">
      <c r="A14084" s="9" t="s">
        <v>28647</v>
      </c>
      <c r="B14084" s="9" t="s">
        <v>28647</v>
      </c>
      <c r="C14084" s="9" t="s">
        <v>90</v>
      </c>
      <c r="D14084" s="9" t="s">
        <v>18</v>
      </c>
      <c r="E14084" s="10" t="s">
        <v>2302</v>
      </c>
      <c r="F14084" s="9" t="s">
        <v>2303</v>
      </c>
      <c r="G14084" s="10" t="s">
        <v>86</v>
      </c>
      <c r="H14084" s="9" t="s">
        <v>22</v>
      </c>
      <c r="I14084" s="9" t="s">
        <v>28649</v>
      </c>
      <c r="J14084" s="10" t="str">
        <f>HYPERLINK("https://www.boe.es/gazeta/dias/1834/01/25/pdfs/GMD-1834-12.pdf#page=2","Abrir facsímil")</f>
        <v>Abrir facsímil</v>
      </c>
      <c r="K14084" s="10" t="s">
        <v>24</v>
      </c>
    </row>
    <row r="14085" spans="1:11" ht="54" customHeight="1">
      <c r="A14085" s="9" t="s">
        <v>28647</v>
      </c>
      <c r="B14085" s="9" t="s">
        <v>28647</v>
      </c>
      <c r="C14085" s="9" t="s">
        <v>90</v>
      </c>
      <c r="D14085" s="9" t="s">
        <v>18</v>
      </c>
      <c r="E14085" s="10" t="s">
        <v>2302</v>
      </c>
      <c r="F14085" s="9" t="s">
        <v>2303</v>
      </c>
      <c r="G14085" s="10" t="s">
        <v>21</v>
      </c>
      <c r="H14085" s="9" t="s">
        <v>22</v>
      </c>
      <c r="I14085" s="9" t="s">
        <v>28650</v>
      </c>
      <c r="J14085" s="10" t="str">
        <f>HYPERLINK("https://www.boe.es/gazeta/dias/1834/01/25/pdfs/GMD-1834-12.pdf#page=3","Abrir facsímil")</f>
        <v>Abrir facsímil</v>
      </c>
      <c r="K14085" s="10" t="s">
        <v>24</v>
      </c>
    </row>
    <row r="14086" spans="1:11" ht="54" customHeight="1">
      <c r="A14086" s="9" t="s">
        <v>28647</v>
      </c>
      <c r="B14086" s="9" t="s">
        <v>28647</v>
      </c>
      <c r="C14086" s="9" t="s">
        <v>17</v>
      </c>
      <c r="D14086" s="9" t="s">
        <v>18</v>
      </c>
      <c r="E14086" s="10" t="s">
        <v>739</v>
      </c>
      <c r="F14086" s="9" t="s">
        <v>740</v>
      </c>
      <c r="G14086" s="10" t="s">
        <v>21</v>
      </c>
      <c r="H14086" s="9" t="s">
        <v>22</v>
      </c>
      <c r="I14086" s="9" t="s">
        <v>28651</v>
      </c>
      <c r="J14086" s="10" t="str">
        <f>HYPERLINK("https://www.boe.es/gazeta/dias/1834/03/25/pdfs/GMD-1834-37.pdf#page=3","Abrir facsímil")</f>
        <v>Abrir facsímil</v>
      </c>
      <c r="K14086" s="10" t="s">
        <v>24</v>
      </c>
    </row>
    <row r="14087" spans="1:11" ht="54" customHeight="1">
      <c r="A14087" s="9" t="s">
        <v>28647</v>
      </c>
      <c r="B14087" s="9" t="s">
        <v>28647</v>
      </c>
      <c r="C14087" s="9" t="s">
        <v>17</v>
      </c>
      <c r="D14087" s="9" t="s">
        <v>18</v>
      </c>
      <c r="E14087" s="10" t="s">
        <v>1680</v>
      </c>
      <c r="F14087" s="9" t="s">
        <v>1681</v>
      </c>
      <c r="G14087" s="10" t="s">
        <v>21</v>
      </c>
      <c r="H14087" s="9" t="s">
        <v>22</v>
      </c>
      <c r="I14087" s="9" t="s">
        <v>28652</v>
      </c>
      <c r="J14087" s="10" t="str">
        <f>HYPERLINK("https://www.boe.es/gazeta/dias/1834/02/27/pdfs/GMD-1834-26.pdf#page=3","Abrir facsímil")</f>
        <v>Abrir facsímil</v>
      </c>
      <c r="K14087" s="10" t="s">
        <v>24</v>
      </c>
    </row>
    <row r="14088" spans="1:11" ht="54" customHeight="1">
      <c r="A14088" s="9" t="s">
        <v>28653</v>
      </c>
      <c r="B14088" s="9" t="s">
        <v>28653</v>
      </c>
      <c r="C14088" s="9" t="s">
        <v>17</v>
      </c>
      <c r="D14088" s="9" t="s">
        <v>55</v>
      </c>
      <c r="E14088" s="10" t="s">
        <v>518</v>
      </c>
      <c r="F14088" s="9" t="s">
        <v>519</v>
      </c>
      <c r="G14088" s="10" t="s">
        <v>86</v>
      </c>
      <c r="H14088" s="9" t="s">
        <v>22</v>
      </c>
      <c r="I14088" s="9" t="s">
        <v>28654</v>
      </c>
      <c r="J14088" s="10" t="str">
        <f>HYPERLINK("https://www.boe.es/gazeta/dias/1834/03/15/pdfs/GMD-1834-33.pdf#page=2","Abrir facsímil")</f>
        <v>Abrir facsímil</v>
      </c>
      <c r="K14088" s="10" t="s">
        <v>24</v>
      </c>
    </row>
    <row r="14089" spans="1:11" ht="54" customHeight="1">
      <c r="A14089" s="9" t="s">
        <v>28655</v>
      </c>
      <c r="B14089" s="9" t="s">
        <v>28655</v>
      </c>
      <c r="C14089" s="9" t="s">
        <v>17</v>
      </c>
      <c r="D14089" s="9" t="s">
        <v>40</v>
      </c>
      <c r="E14089" s="10" t="s">
        <v>672</v>
      </c>
      <c r="F14089" s="9" t="s">
        <v>673</v>
      </c>
      <c r="G14089" s="10" t="s">
        <v>34</v>
      </c>
      <c r="H14089" s="9" t="s">
        <v>22</v>
      </c>
      <c r="I14089" s="9" t="s">
        <v>28656</v>
      </c>
      <c r="J14089" s="10" t="str">
        <f>HYPERLINK("https://www.boe.es/gazeta/dias/1834/09/19/pdfs/GMD-1834-217.pdf#page=1","Abrir facsímil")</f>
        <v>Abrir facsímil</v>
      </c>
      <c r="K14089" s="10" t="s">
        <v>24</v>
      </c>
    </row>
    <row r="14090" spans="1:11" ht="54" customHeight="1">
      <c r="A14090" s="9" t="s">
        <v>28655</v>
      </c>
      <c r="B14090" s="9" t="s">
        <v>28655</v>
      </c>
      <c r="C14090" s="9" t="s">
        <v>17</v>
      </c>
      <c r="D14090" s="9" t="s">
        <v>18</v>
      </c>
      <c r="E14090" s="10" t="s">
        <v>1766</v>
      </c>
      <c r="F14090" s="9" t="s">
        <v>1767</v>
      </c>
      <c r="G14090" s="10" t="s">
        <v>34</v>
      </c>
      <c r="H14090" s="9" t="s">
        <v>22</v>
      </c>
      <c r="I14090" s="9" t="s">
        <v>28657</v>
      </c>
      <c r="J14090" s="10" t="str">
        <f>HYPERLINK("https://www.boe.es/gazeta/dias/1834/10/26/pdfs/GMD-C-1834-254.pdf#page=1","Abrir facsímil")</f>
        <v>Abrir facsímil</v>
      </c>
      <c r="K14090" s="10" t="s">
        <v>24</v>
      </c>
    </row>
    <row r="14091" spans="1:11" ht="54" customHeight="1">
      <c r="A14091" s="9" t="s">
        <v>28658</v>
      </c>
      <c r="B14091" s="9" t="s">
        <v>28658</v>
      </c>
      <c r="C14091" s="9" t="s">
        <v>66</v>
      </c>
      <c r="D14091" s="9" t="s">
        <v>67</v>
      </c>
      <c r="E14091" s="10" t="s">
        <v>444</v>
      </c>
      <c r="F14091" s="9" t="s">
        <v>2412</v>
      </c>
      <c r="G14091" s="10" t="s">
        <v>75</v>
      </c>
      <c r="H14091" s="9" t="s">
        <v>22</v>
      </c>
      <c r="I14091" s="9" t="s">
        <v>28659</v>
      </c>
      <c r="J14091" s="10" t="str">
        <f>HYPERLINK("https://www.boe.es/gazeta/dias/1834/09/12/pdfs/GMD-1834-210.pdf#page=4","Abrir facsímil")</f>
        <v>Abrir facsímil</v>
      </c>
      <c r="K14091" s="10" t="s">
        <v>24</v>
      </c>
    </row>
    <row r="14092" spans="1:11" ht="54" customHeight="1">
      <c r="A14092" s="9" t="s">
        <v>28660</v>
      </c>
      <c r="B14092" s="9" t="s">
        <v>28660</v>
      </c>
      <c r="C14092" s="9" t="s">
        <v>46</v>
      </c>
      <c r="D14092" s="9" t="s">
        <v>18</v>
      </c>
      <c r="E14092" s="10" t="s">
        <v>4064</v>
      </c>
      <c r="F14092" s="9" t="s">
        <v>4065</v>
      </c>
      <c r="G14092" s="10" t="s">
        <v>21</v>
      </c>
      <c r="H14092" s="9" t="s">
        <v>22</v>
      </c>
      <c r="I14092" s="9" t="s">
        <v>28661</v>
      </c>
      <c r="J14092" s="10" t="str">
        <f>HYPERLINK("https://www.boe.es/gazeta/dias/1834/07/22/pdfs/GMD-1834-155.pdf#page=3","Abrir facsímil")</f>
        <v>Abrir facsímil</v>
      </c>
      <c r="K14092" s="10" t="s">
        <v>24</v>
      </c>
    </row>
    <row r="14093" spans="1:11" ht="54" customHeight="1">
      <c r="A14093" s="9" t="s">
        <v>28662</v>
      </c>
      <c r="B14093" s="9" t="s">
        <v>28663</v>
      </c>
      <c r="C14093" s="9" t="s">
        <v>17</v>
      </c>
      <c r="D14093" s="9" t="s">
        <v>18</v>
      </c>
      <c r="E14093" s="10" t="s">
        <v>679</v>
      </c>
      <c r="F14093" s="9" t="s">
        <v>699</v>
      </c>
      <c r="G14093" s="10" t="s">
        <v>560</v>
      </c>
      <c r="H14093" s="9" t="s">
        <v>22</v>
      </c>
      <c r="I14093" s="9" t="s">
        <v>28664</v>
      </c>
      <c r="J14093" s="10" t="str">
        <f>HYPERLINK("https://www.boe.es/gazeta/dias/1834/12/10/pdfs/GMD-C-1834-299.pdf#page=7","Abrir facsímil")</f>
        <v>Abrir facsímil</v>
      </c>
      <c r="K14093" s="10" t="s">
        <v>24</v>
      </c>
    </row>
    <row r="14094" spans="1:11" ht="54" customHeight="1">
      <c r="A14094" s="9" t="s">
        <v>28665</v>
      </c>
      <c r="B14094" s="9" t="s">
        <v>28666</v>
      </c>
      <c r="C14094" s="9" t="s">
        <v>17</v>
      </c>
      <c r="D14094" s="9" t="s">
        <v>18</v>
      </c>
      <c r="E14094" s="10" t="s">
        <v>200</v>
      </c>
      <c r="F14094" s="9" t="s">
        <v>2248</v>
      </c>
      <c r="G14094" s="10" t="s">
        <v>21</v>
      </c>
      <c r="H14094" s="9" t="s">
        <v>22</v>
      </c>
      <c r="I14094" s="9" t="s">
        <v>28667</v>
      </c>
      <c r="J14094" s="10" t="str">
        <f>HYPERLINK("https://www.boe.es/gazeta/dias/1834/12/11/pdfs/GMD-C-1834-300.pdf#page=3","Abrir facsímil")</f>
        <v>Abrir facsímil</v>
      </c>
      <c r="K14094" s="10" t="s">
        <v>24</v>
      </c>
    </row>
    <row r="14095" spans="1:11" ht="54" customHeight="1">
      <c r="A14095" s="9" t="s">
        <v>28668</v>
      </c>
      <c r="B14095" s="9" t="s">
        <v>28669</v>
      </c>
      <c r="C14095" s="9" t="s">
        <v>17</v>
      </c>
      <c r="D14095" s="9" t="s">
        <v>18</v>
      </c>
      <c r="E14095" s="10" t="s">
        <v>200</v>
      </c>
      <c r="F14095" s="9" t="s">
        <v>2248</v>
      </c>
      <c r="G14095" s="10" t="s">
        <v>21</v>
      </c>
      <c r="H14095" s="9" t="s">
        <v>22</v>
      </c>
      <c r="I14095" s="9" t="s">
        <v>28670</v>
      </c>
      <c r="J14095" s="10" t="str">
        <f>HYPERLINK("https://www.boe.es/gazeta/dias/1834/12/11/pdfs/GMD-C-1834-300.pdf#page=3","Abrir facsímil")</f>
        <v>Abrir facsímil</v>
      </c>
      <c r="K14095" s="10" t="s">
        <v>24</v>
      </c>
    </row>
    <row r="14096" spans="1:11" ht="54" customHeight="1">
      <c r="A14096" s="9" t="s">
        <v>28668</v>
      </c>
      <c r="B14096" s="9" t="s">
        <v>28669</v>
      </c>
      <c r="C14096" s="9" t="s">
        <v>17</v>
      </c>
      <c r="D14096" s="9" t="s">
        <v>18</v>
      </c>
      <c r="E14096" s="10" t="s">
        <v>200</v>
      </c>
      <c r="F14096" s="9" t="s">
        <v>2248</v>
      </c>
      <c r="G14096" s="10" t="s">
        <v>75</v>
      </c>
      <c r="H14096" s="9" t="s">
        <v>22</v>
      </c>
      <c r="I14096" s="9" t="s">
        <v>28671</v>
      </c>
      <c r="J14096" s="10" t="str">
        <f>HYPERLINK("https://www.boe.es/gazeta/dias/1834/12/11/pdfs/GMD-C-1834-300.pdf#page=4","Abrir facsímil")</f>
        <v>Abrir facsímil</v>
      </c>
      <c r="K14096" s="10" t="s">
        <v>24</v>
      </c>
    </row>
    <row r="14097" spans="1:11" ht="54" customHeight="1">
      <c r="A14097" s="9" t="s">
        <v>28668</v>
      </c>
      <c r="B14097" s="9" t="s">
        <v>28669</v>
      </c>
      <c r="C14097" s="9" t="s">
        <v>17</v>
      </c>
      <c r="D14097" s="9" t="s">
        <v>18</v>
      </c>
      <c r="E14097" s="10" t="s">
        <v>280</v>
      </c>
      <c r="F14097" s="9" t="s">
        <v>281</v>
      </c>
      <c r="G14097" s="10" t="s">
        <v>75</v>
      </c>
      <c r="H14097" s="9" t="s">
        <v>22</v>
      </c>
      <c r="I14097" s="9" t="s">
        <v>28672</v>
      </c>
      <c r="J14097" s="10" t="str">
        <f>HYPERLINK("https://www.boe.es/gazeta/dias/1834/08/29/pdfs/GMD-C-1834-195.pdf#page=4","Abrir facsímil")</f>
        <v>Abrir facsímil</v>
      </c>
      <c r="K14097" s="10" t="s">
        <v>24</v>
      </c>
    </row>
    <row r="14098" spans="1:11" ht="54" customHeight="1">
      <c r="A14098" s="9" t="s">
        <v>28673</v>
      </c>
      <c r="B14098" s="9" t="s">
        <v>28674</v>
      </c>
      <c r="C14098" s="9" t="s">
        <v>90</v>
      </c>
      <c r="D14098" s="9" t="s">
        <v>101</v>
      </c>
      <c r="E14098" s="10" t="s">
        <v>724</v>
      </c>
      <c r="F14098" s="9" t="s">
        <v>725</v>
      </c>
      <c r="G14098" s="10" t="s">
        <v>34</v>
      </c>
      <c r="H14098" s="9" t="s">
        <v>22</v>
      </c>
      <c r="I14098" s="9" t="s">
        <v>28675</v>
      </c>
      <c r="J14098" s="10" t="str">
        <f>HYPERLINK("https://www.boe.es/gazeta/dias/1834/04/25/pdfs/GMD-1834-64.pdf#page=1","Abrir facsímil")</f>
        <v>Abrir facsímil</v>
      </c>
      <c r="K14098" s="10" t="s">
        <v>24</v>
      </c>
    </row>
    <row r="14099" spans="1:11" ht="54" customHeight="1">
      <c r="A14099" s="9" t="s">
        <v>28676</v>
      </c>
      <c r="B14099" s="9" t="s">
        <v>28677</v>
      </c>
      <c r="C14099" s="9" t="s">
        <v>17</v>
      </c>
      <c r="D14099" s="9" t="s">
        <v>18</v>
      </c>
      <c r="E14099" s="10" t="s">
        <v>1402</v>
      </c>
      <c r="F14099" s="9" t="s">
        <v>1403</v>
      </c>
      <c r="G14099" s="10" t="s">
        <v>86</v>
      </c>
      <c r="H14099" s="9" t="s">
        <v>22</v>
      </c>
      <c r="I14099" s="9" t="s">
        <v>28678</v>
      </c>
      <c r="J14099" s="10" t="str">
        <f>HYPERLINK("https://www.boe.es/gazeta/dias/1834/05/05/pdfs/I00347-00348.pdf#page=2","Abrir facsímil")</f>
        <v>Abrir facsímil</v>
      </c>
      <c r="K14099" s="10" t="s">
        <v>24</v>
      </c>
    </row>
    <row r="14100" spans="1:11" ht="54" customHeight="1">
      <c r="A14100" s="9" t="s">
        <v>28676</v>
      </c>
      <c r="B14100" s="9" t="s">
        <v>28677</v>
      </c>
      <c r="C14100" s="9" t="s">
        <v>17</v>
      </c>
      <c r="D14100" s="9" t="s">
        <v>18</v>
      </c>
      <c r="E14100" s="10" t="s">
        <v>1402</v>
      </c>
      <c r="F14100" s="9" t="s">
        <v>1403</v>
      </c>
      <c r="G14100" s="10" t="s">
        <v>176</v>
      </c>
      <c r="H14100" s="9" t="s">
        <v>22</v>
      </c>
      <c r="I14100" s="9" t="s">
        <v>28679</v>
      </c>
      <c r="J14100" s="10" t="str">
        <f>HYPERLINK("https://www.boe.es/gazeta/dias/1834/05/05/pdfs/GMD-1834-74.pdf#page=6","Abrir facsímil")</f>
        <v>Abrir facsímil</v>
      </c>
      <c r="K14100" s="10" t="s">
        <v>24</v>
      </c>
    </row>
    <row r="14101" spans="1:11" ht="54" customHeight="1">
      <c r="A14101" s="9" t="s">
        <v>28680</v>
      </c>
      <c r="B14101" s="9" t="s">
        <v>28681</v>
      </c>
      <c r="C14101" s="9" t="s">
        <v>17</v>
      </c>
      <c r="D14101" s="9" t="s">
        <v>18</v>
      </c>
      <c r="E14101" s="10" t="s">
        <v>1692</v>
      </c>
      <c r="F14101" s="9" t="s">
        <v>3985</v>
      </c>
      <c r="G14101" s="10" t="s">
        <v>34</v>
      </c>
      <c r="H14101" s="9" t="s">
        <v>35</v>
      </c>
      <c r="I14101" s="9" t="s">
        <v>28682</v>
      </c>
      <c r="J14101" s="10" t="str">
        <f>HYPERLINK("https://www.boe.es/gazeta/dias/1834/07/29/pdfs/GMD-C-1834-162.pdf#page=1","Abrir facsímil")</f>
        <v>Abrir facsímil</v>
      </c>
      <c r="K14101" s="10" t="s">
        <v>37</v>
      </c>
    </row>
    <row r="14102" spans="1:11" ht="54" customHeight="1">
      <c r="A14102" s="9" t="s">
        <v>28683</v>
      </c>
      <c r="B14102" s="9" t="s">
        <v>28684</v>
      </c>
      <c r="C14102" s="9" t="s">
        <v>17</v>
      </c>
      <c r="D14102" s="9" t="s">
        <v>18</v>
      </c>
      <c r="E14102" s="10" t="s">
        <v>1692</v>
      </c>
      <c r="F14102" s="9" t="s">
        <v>3985</v>
      </c>
      <c r="G14102" s="10" t="s">
        <v>34</v>
      </c>
      <c r="H14102" s="9" t="s">
        <v>22</v>
      </c>
      <c r="I14102" s="9" t="s">
        <v>28685</v>
      </c>
      <c r="J14102" s="10" t="str">
        <f>HYPERLINK("https://www.boe.es/gazeta/dias/1834/07/29/pdfs/GMD-C-1834-162.pdf#page=1","Abrir facsímil")</f>
        <v>Abrir facsímil</v>
      </c>
      <c r="K14102" s="10" t="s">
        <v>24</v>
      </c>
    </row>
    <row r="14103" spans="1:11" ht="54" customHeight="1">
      <c r="A14103" s="9" t="s">
        <v>28686</v>
      </c>
      <c r="B14103" s="9" t="s">
        <v>28687</v>
      </c>
      <c r="C14103" s="9" t="s">
        <v>17</v>
      </c>
      <c r="D14103" s="9" t="s">
        <v>55</v>
      </c>
      <c r="E14103" s="10" t="s">
        <v>1265</v>
      </c>
      <c r="F14103" s="9" t="s">
        <v>1266</v>
      </c>
      <c r="G14103" s="10" t="s">
        <v>34</v>
      </c>
      <c r="H14103" s="9" t="s">
        <v>35</v>
      </c>
      <c r="I14103" s="9" t="s">
        <v>28688</v>
      </c>
      <c r="J14103" s="10" t="str">
        <f>HYPERLINK("https://www.boe.es/gazeta/dias/1834/09/08/pdfs/GMD-1834-206.pdf#page=1","Abrir facsímil")</f>
        <v>Abrir facsímil</v>
      </c>
      <c r="K14103" s="10" t="s">
        <v>37</v>
      </c>
    </row>
    <row r="14104" spans="1:11" ht="54" customHeight="1">
      <c r="A14104" s="9" t="s">
        <v>28689</v>
      </c>
      <c r="B14104" s="9" t="s">
        <v>28689</v>
      </c>
      <c r="C14104" s="9" t="s">
        <v>17</v>
      </c>
      <c r="D14104" s="9" t="s">
        <v>18</v>
      </c>
      <c r="E14104" s="10" t="s">
        <v>2241</v>
      </c>
      <c r="F14104" s="9" t="s">
        <v>2242</v>
      </c>
      <c r="G14104" s="10" t="s">
        <v>86</v>
      </c>
      <c r="H14104" s="9" t="s">
        <v>22</v>
      </c>
      <c r="I14104" s="9" t="s">
        <v>28690</v>
      </c>
      <c r="J14104" s="10" t="str">
        <f>HYPERLINK("https://www.boe.es/gazeta/dias/1834/03/11/pdfs/GMD-1834-31.pdf#page=2","Abrir facsímil")</f>
        <v>Abrir facsímil</v>
      </c>
      <c r="K14104" s="10" t="s">
        <v>24</v>
      </c>
    </row>
    <row r="14105" spans="1:11" ht="54" customHeight="1">
      <c r="A14105" s="9" t="s">
        <v>28689</v>
      </c>
      <c r="B14105" s="9" t="s">
        <v>28689</v>
      </c>
      <c r="C14105" s="9" t="s">
        <v>17</v>
      </c>
      <c r="D14105" s="9" t="s">
        <v>18</v>
      </c>
      <c r="E14105" s="10" t="s">
        <v>7523</v>
      </c>
      <c r="F14105" s="9" t="s">
        <v>7524</v>
      </c>
      <c r="G14105" s="10" t="s">
        <v>21</v>
      </c>
      <c r="H14105" s="9" t="s">
        <v>22</v>
      </c>
      <c r="I14105" s="9" t="s">
        <v>28691</v>
      </c>
      <c r="J14105" s="10" t="str">
        <f>HYPERLINK("https://www.boe.es/gazeta/dias/1834/12/26/pdfs/GMD-1834-316.pdf#page=3","Abrir facsímil")</f>
        <v>Abrir facsímil</v>
      </c>
      <c r="K14105" s="10" t="s">
        <v>24</v>
      </c>
    </row>
    <row r="14106" spans="1:11" ht="54" customHeight="1">
      <c r="A14106" s="9" t="s">
        <v>28692</v>
      </c>
      <c r="B14106" s="9" t="s">
        <v>28693</v>
      </c>
      <c r="C14106" s="9" t="s">
        <v>122</v>
      </c>
      <c r="D14106" s="9" t="s">
        <v>18</v>
      </c>
      <c r="E14106" s="10" t="s">
        <v>102</v>
      </c>
      <c r="F14106" s="9" t="s">
        <v>103</v>
      </c>
      <c r="G14106" s="10" t="s">
        <v>21</v>
      </c>
      <c r="H14106" s="9" t="s">
        <v>22</v>
      </c>
      <c r="I14106" s="9" t="s">
        <v>28694</v>
      </c>
      <c r="J14106" s="10" t="str">
        <f>HYPERLINK("https://www.boe.es/gazeta/dias/1834/07/19/pdfs/GMD-1834-152.pdf#page=3","Abrir facsímil")</f>
        <v>Abrir facsímil</v>
      </c>
      <c r="K14106" s="10" t="s">
        <v>24</v>
      </c>
    </row>
    <row r="14107" spans="1:11" ht="54" customHeight="1">
      <c r="A14107" s="9" t="s">
        <v>28695</v>
      </c>
      <c r="B14107" s="9" t="s">
        <v>28695</v>
      </c>
      <c r="C14107" s="9" t="s">
        <v>17</v>
      </c>
      <c r="D14107" s="9" t="s">
        <v>18</v>
      </c>
      <c r="E14107" s="10" t="s">
        <v>479</v>
      </c>
      <c r="F14107" s="9" t="s">
        <v>480</v>
      </c>
      <c r="G14107" s="10" t="s">
        <v>86</v>
      </c>
      <c r="H14107" s="9" t="s">
        <v>22</v>
      </c>
      <c r="I14107" s="9" t="s">
        <v>28696</v>
      </c>
      <c r="J14107" s="10" t="str">
        <f>HYPERLINK("https://www.boe.es/gazeta/dias/1834/08/13/pdfs/GMD-1834-178.pdf#page=2","Abrir facsímil")</f>
        <v>Abrir facsímil</v>
      </c>
      <c r="K14107" s="10" t="s">
        <v>24</v>
      </c>
    </row>
    <row r="14108" spans="1:11" ht="54" customHeight="1">
      <c r="A14108" s="9" t="s">
        <v>28697</v>
      </c>
      <c r="B14108" s="9" t="s">
        <v>28697</v>
      </c>
      <c r="C14108" s="9" t="s">
        <v>17</v>
      </c>
      <c r="D14108" s="9" t="s">
        <v>18</v>
      </c>
      <c r="E14108" s="10" t="s">
        <v>1262</v>
      </c>
      <c r="F14108" s="9" t="s">
        <v>1263</v>
      </c>
      <c r="G14108" s="10" t="s">
        <v>86</v>
      </c>
      <c r="H14108" s="9" t="s">
        <v>22</v>
      </c>
      <c r="I14108" s="9" t="s">
        <v>28698</v>
      </c>
      <c r="J14108" s="10" t="str">
        <f>HYPERLINK("https://www.boe.es/gazeta/dias/1834/02/01/pdfs/GMD-1834-15.pdf#page=2","Abrir facsímil")</f>
        <v>Abrir facsímil</v>
      </c>
      <c r="K14108" s="10" t="s">
        <v>24</v>
      </c>
    </row>
    <row r="14109" spans="1:11" ht="54" customHeight="1">
      <c r="A14109" s="9" t="s">
        <v>28699</v>
      </c>
      <c r="B14109" s="9" t="s">
        <v>28699</v>
      </c>
      <c r="C14109" s="9" t="s">
        <v>122</v>
      </c>
      <c r="D14109" s="9" t="s">
        <v>101</v>
      </c>
      <c r="E14109" s="10" t="s">
        <v>1239</v>
      </c>
      <c r="F14109" s="9" t="s">
        <v>1240</v>
      </c>
      <c r="G14109" s="10" t="s">
        <v>75</v>
      </c>
      <c r="H14109" s="9" t="s">
        <v>22</v>
      </c>
      <c r="I14109" s="9" t="s">
        <v>28700</v>
      </c>
      <c r="J14109" s="10" t="str">
        <f>HYPERLINK("https://www.boe.es/gazeta/dias/1834/08/20/pdfs/GMD-1834-186.pdf#page=4","Abrir facsímil")</f>
        <v>Abrir facsímil</v>
      </c>
      <c r="K14109" s="10" t="s">
        <v>24</v>
      </c>
    </row>
    <row r="14110" spans="1:11" ht="54" customHeight="1">
      <c r="A14110" s="9" t="s">
        <v>28701</v>
      </c>
      <c r="B14110" s="9" t="s">
        <v>28701</v>
      </c>
      <c r="C14110" s="9" t="s">
        <v>17</v>
      </c>
      <c r="D14110" s="9" t="s">
        <v>40</v>
      </c>
      <c r="E14110" s="10" t="s">
        <v>590</v>
      </c>
      <c r="F14110" s="9" t="s">
        <v>17808</v>
      </c>
      <c r="G14110" s="10" t="s">
        <v>34</v>
      </c>
      <c r="H14110" s="9" t="s">
        <v>22</v>
      </c>
      <c r="I14110" s="9" t="s">
        <v>28702</v>
      </c>
      <c r="J14110" s="10" t="str">
        <f>HYPERLINK("https://www.boe.es/gazeta/dias/1834/11/30/pdfs/GMD-C-1834-289.pdf#page=1","Abrir facsímil")</f>
        <v>Abrir facsímil</v>
      </c>
      <c r="K14110" s="10" t="s">
        <v>24</v>
      </c>
    </row>
    <row r="14111" spans="1:11" ht="54" customHeight="1">
      <c r="A14111" s="9" t="s">
        <v>28703</v>
      </c>
      <c r="B14111" s="9" t="s">
        <v>28703</v>
      </c>
      <c r="C14111" s="9" t="s">
        <v>46</v>
      </c>
      <c r="D14111" s="9" t="s">
        <v>18</v>
      </c>
      <c r="E14111" s="10" t="s">
        <v>679</v>
      </c>
      <c r="F14111" s="9" t="s">
        <v>699</v>
      </c>
      <c r="G14111" s="10" t="s">
        <v>34</v>
      </c>
      <c r="H14111" s="9" t="s">
        <v>22</v>
      </c>
      <c r="I14111" s="9" t="s">
        <v>28704</v>
      </c>
      <c r="J14111" s="10" t="str">
        <f>HYPERLINK("https://www.boe.es/gazeta/dias/1834/12/10/pdfs/GMD-C-1834-299.pdf#page=1","Abrir facsímil")</f>
        <v>Abrir facsímil</v>
      </c>
      <c r="K14111" s="10" t="s">
        <v>24</v>
      </c>
    </row>
    <row r="14112" spans="1:11" ht="54" customHeight="1">
      <c r="A14112" s="9" t="s">
        <v>28703</v>
      </c>
      <c r="B14112" s="9" t="s">
        <v>28703</v>
      </c>
      <c r="C14112" s="9" t="s">
        <v>17</v>
      </c>
      <c r="D14112" s="9" t="s">
        <v>18</v>
      </c>
      <c r="E14112" s="10" t="s">
        <v>672</v>
      </c>
      <c r="F14112" s="9" t="s">
        <v>1055</v>
      </c>
      <c r="G14112" s="10" t="s">
        <v>75</v>
      </c>
      <c r="H14112" s="9" t="s">
        <v>22</v>
      </c>
      <c r="I14112" s="9" t="s">
        <v>28705</v>
      </c>
      <c r="J14112" s="10" t="str">
        <f>HYPERLINK("https://www.boe.es/gazeta/dias/1834/09/19/pdfs/GMD-C-1834-217.pdf#page=4","Abrir facsímil")</f>
        <v>Abrir facsímil</v>
      </c>
      <c r="K14112" s="10" t="s">
        <v>24</v>
      </c>
    </row>
    <row r="14113" spans="1:11" ht="54" customHeight="1">
      <c r="A14113" s="9" t="s">
        <v>28703</v>
      </c>
      <c r="B14113" s="9" t="s">
        <v>28703</v>
      </c>
      <c r="C14113" s="9" t="s">
        <v>17</v>
      </c>
      <c r="D14113" s="9" t="s">
        <v>40</v>
      </c>
      <c r="E14113" s="10" t="s">
        <v>667</v>
      </c>
      <c r="F14113" s="9" t="s">
        <v>3347</v>
      </c>
      <c r="G14113" s="10" t="s">
        <v>21</v>
      </c>
      <c r="H14113" s="9" t="s">
        <v>22</v>
      </c>
      <c r="I14113" s="9" t="s">
        <v>28706</v>
      </c>
      <c r="J14113" s="10" t="str">
        <f>HYPERLINK("https://www.boe.es/gazeta/dias/1834/11/23/pdfs/GMD-1834-282.pdf#page=3","Abrir facsímil")</f>
        <v>Abrir facsímil</v>
      </c>
      <c r="K14113" s="10" t="s">
        <v>24</v>
      </c>
    </row>
    <row r="14114" spans="1:11" ht="54" customHeight="1">
      <c r="A14114" s="9" t="s">
        <v>28703</v>
      </c>
      <c r="B14114" s="9" t="s">
        <v>28703</v>
      </c>
      <c r="C14114" s="9" t="s">
        <v>17</v>
      </c>
      <c r="D14114" s="9" t="s">
        <v>18</v>
      </c>
      <c r="E14114" s="10" t="s">
        <v>707</v>
      </c>
      <c r="F14114" s="9" t="s">
        <v>708</v>
      </c>
      <c r="G14114" s="10" t="s">
        <v>75</v>
      </c>
      <c r="H14114" s="9" t="s">
        <v>22</v>
      </c>
      <c r="I14114" s="9" t="s">
        <v>28707</v>
      </c>
      <c r="J14114" s="10" t="str">
        <f>HYPERLINK("https://www.boe.es/gazeta/dias/1834/11/25/pdfs/GMD-C-1834-284.pdf#page=4","Abrir facsímil")</f>
        <v>Abrir facsímil</v>
      </c>
      <c r="K14114" s="10" t="s">
        <v>24</v>
      </c>
    </row>
    <row r="14115" spans="1:11" ht="54" customHeight="1">
      <c r="A14115" s="9" t="s">
        <v>28703</v>
      </c>
      <c r="B14115" s="9" t="s">
        <v>28703</v>
      </c>
      <c r="C14115" s="9" t="s">
        <v>17</v>
      </c>
      <c r="D14115" s="9" t="s">
        <v>18</v>
      </c>
      <c r="E14115" s="10" t="s">
        <v>1766</v>
      </c>
      <c r="F14115" s="9" t="s">
        <v>1767</v>
      </c>
      <c r="G14115" s="10" t="s">
        <v>34</v>
      </c>
      <c r="H14115" s="9" t="s">
        <v>22</v>
      </c>
      <c r="I14115" s="9" t="s">
        <v>28708</v>
      </c>
      <c r="J14115" s="10" t="str">
        <f>HYPERLINK("https://www.boe.es/gazeta/dias/1834/10/26/pdfs/GMD-C-1834-254.pdf#page=1","Abrir facsímil")</f>
        <v>Abrir facsímil</v>
      </c>
      <c r="K14115" s="10" t="s">
        <v>24</v>
      </c>
    </row>
    <row r="14116" spans="1:11" ht="54" customHeight="1">
      <c r="A14116" s="9" t="s">
        <v>28703</v>
      </c>
      <c r="B14116" s="9" t="s">
        <v>28703</v>
      </c>
      <c r="C14116" s="9" t="s">
        <v>90</v>
      </c>
      <c r="D14116" s="9" t="s">
        <v>18</v>
      </c>
      <c r="E14116" s="10" t="s">
        <v>777</v>
      </c>
      <c r="F14116" s="9" t="s">
        <v>2535</v>
      </c>
      <c r="G14116" s="10" t="s">
        <v>560</v>
      </c>
      <c r="H14116" s="9" t="s">
        <v>22</v>
      </c>
      <c r="I14116" s="9" t="s">
        <v>28709</v>
      </c>
      <c r="J14116" s="10" t="str">
        <f>HYPERLINK("https://www.boe.es/gazeta/dias/1834/10/29/pdfs/GMD-C-1834-257.pdf#page=7","Abrir facsímil")</f>
        <v>Abrir facsímil</v>
      </c>
      <c r="K14116" s="10" t="s">
        <v>24</v>
      </c>
    </row>
    <row r="14117" spans="1:11" ht="54" customHeight="1">
      <c r="A14117" s="9" t="s">
        <v>28710</v>
      </c>
      <c r="B14117" s="9" t="s">
        <v>28711</v>
      </c>
      <c r="C14117" s="9" t="s">
        <v>17</v>
      </c>
      <c r="D14117" s="9" t="s">
        <v>18</v>
      </c>
      <c r="E14117" s="10" t="s">
        <v>679</v>
      </c>
      <c r="F14117" s="9" t="s">
        <v>699</v>
      </c>
      <c r="G14117" s="10" t="s">
        <v>34</v>
      </c>
      <c r="H14117" s="9" t="s">
        <v>35</v>
      </c>
      <c r="I14117" s="9" t="s">
        <v>28712</v>
      </c>
      <c r="J14117" s="10" t="str">
        <f>HYPERLINK("https://www.boe.es/gazeta/dias/1834/12/10/pdfs/GMD-C-1834-299.pdf#page=1","Abrir facsímil")</f>
        <v>Abrir facsímil</v>
      </c>
      <c r="K14117" s="10" t="s">
        <v>37</v>
      </c>
    </row>
    <row r="14118" spans="1:11" ht="54" customHeight="1">
      <c r="A14118" s="9" t="s">
        <v>28713</v>
      </c>
      <c r="B14118" s="9" t="s">
        <v>28714</v>
      </c>
      <c r="C14118" s="9" t="s">
        <v>66</v>
      </c>
      <c r="D14118" s="9" t="s">
        <v>67</v>
      </c>
      <c r="E14118" s="10" t="s">
        <v>1084</v>
      </c>
      <c r="F14118" s="9" t="s">
        <v>1085</v>
      </c>
      <c r="G14118" s="10" t="s">
        <v>176</v>
      </c>
      <c r="H14118" s="9" t="s">
        <v>35</v>
      </c>
      <c r="I14118" s="9" t="s">
        <v>28715</v>
      </c>
      <c r="J14118" s="10" t="str">
        <f>HYPERLINK("https://www.boe.es/gazeta/dias/1834/05/01/pdfs/GMD-1834-70.pdf#page=6","Abrir facsímil")</f>
        <v>Abrir facsímil</v>
      </c>
      <c r="K14118" s="10" t="s">
        <v>37</v>
      </c>
    </row>
    <row r="14119" spans="1:11" ht="54" customHeight="1">
      <c r="A14119" s="9" t="s">
        <v>28716</v>
      </c>
      <c r="B14119" s="9" t="s">
        <v>28717</v>
      </c>
      <c r="C14119" s="9" t="s">
        <v>66</v>
      </c>
      <c r="D14119" s="9" t="s">
        <v>18</v>
      </c>
      <c r="E14119" s="10" t="s">
        <v>408</v>
      </c>
      <c r="F14119" s="9" t="s">
        <v>409</v>
      </c>
      <c r="G14119" s="10" t="s">
        <v>34</v>
      </c>
      <c r="H14119" s="9" t="s">
        <v>22</v>
      </c>
      <c r="I14119" s="9" t="s">
        <v>28718</v>
      </c>
      <c r="J14119" s="10" t="str">
        <f>HYPERLINK("https://www.boe.es/gazeta/dias/1834/04/28/pdfs/GMD-1834-67.pdf#page=1","Abrir facsímil")</f>
        <v>Abrir facsímil</v>
      </c>
      <c r="K14119" s="10" t="s">
        <v>24</v>
      </c>
    </row>
    <row r="14120" spans="1:11" ht="54" customHeight="1">
      <c r="A14120" s="9" t="s">
        <v>28719</v>
      </c>
      <c r="B14120" s="9" t="s">
        <v>28720</v>
      </c>
      <c r="C14120" s="9" t="s">
        <v>17</v>
      </c>
      <c r="D14120" s="9" t="s">
        <v>18</v>
      </c>
      <c r="E14120" s="10" t="s">
        <v>571</v>
      </c>
      <c r="F14120" s="9" t="s">
        <v>620</v>
      </c>
      <c r="G14120" s="10" t="s">
        <v>470</v>
      </c>
      <c r="H14120" s="9" t="s">
        <v>22</v>
      </c>
      <c r="I14120" s="9" t="s">
        <v>28721</v>
      </c>
      <c r="J14120" s="10" t="str">
        <f>HYPERLINK("https://www.boe.es/gazeta/dias/1834/09/04/pdfs/GMD-C-1834-202.pdf#page=8","Abrir facsímil")</f>
        <v>Abrir facsímil</v>
      </c>
      <c r="K14120" s="10" t="s">
        <v>24</v>
      </c>
    </row>
    <row r="14121" spans="1:11" ht="54" customHeight="1">
      <c r="A14121" s="9" t="s">
        <v>28722</v>
      </c>
      <c r="B14121" s="9" t="s">
        <v>28723</v>
      </c>
      <c r="C14121" s="9" t="s">
        <v>17</v>
      </c>
      <c r="D14121" s="9" t="s">
        <v>18</v>
      </c>
      <c r="E14121" s="10" t="s">
        <v>679</v>
      </c>
      <c r="F14121" s="9" t="s">
        <v>699</v>
      </c>
      <c r="G14121" s="10" t="s">
        <v>34</v>
      </c>
      <c r="H14121" s="9" t="s">
        <v>22</v>
      </c>
      <c r="I14121" s="9" t="s">
        <v>28724</v>
      </c>
      <c r="J14121" s="10" t="str">
        <f>HYPERLINK("https://www.boe.es/gazeta/dias/1834/12/10/pdfs/GMD-C-1834-299.pdf#page=1","Abrir facsímil")</f>
        <v>Abrir facsímil</v>
      </c>
      <c r="K14121" s="10" t="s">
        <v>24</v>
      </c>
    </row>
    <row r="14122" spans="1:11" ht="54" customHeight="1">
      <c r="A14122" s="9" t="s">
        <v>28722</v>
      </c>
      <c r="B14122" s="9" t="s">
        <v>28723</v>
      </c>
      <c r="C14122" s="9" t="s">
        <v>17</v>
      </c>
      <c r="D14122" s="9" t="s">
        <v>101</v>
      </c>
      <c r="E14122" s="10" t="s">
        <v>32</v>
      </c>
      <c r="F14122" s="9" t="s">
        <v>33</v>
      </c>
      <c r="G14122" s="10" t="s">
        <v>86</v>
      </c>
      <c r="H14122" s="9" t="s">
        <v>22</v>
      </c>
      <c r="I14122" s="9" t="s">
        <v>28725</v>
      </c>
      <c r="J14122" s="10" t="str">
        <f>HYPERLINK("https://www.boe.es/gazeta/dias/1834/04/23/pdfs/GMD-1834-62.pdf#page=2","Abrir facsímil")</f>
        <v>Abrir facsímil</v>
      </c>
      <c r="K14122" s="10" t="s">
        <v>24</v>
      </c>
    </row>
    <row r="14123" spans="1:11" ht="54" customHeight="1">
      <c r="A14123" s="9" t="s">
        <v>28726</v>
      </c>
      <c r="B14123" s="9" t="s">
        <v>28727</v>
      </c>
      <c r="C14123" s="9" t="s">
        <v>17</v>
      </c>
      <c r="D14123" s="9" t="s">
        <v>40</v>
      </c>
      <c r="E14123" s="10" t="s">
        <v>441</v>
      </c>
      <c r="F14123" s="9" t="s">
        <v>442</v>
      </c>
      <c r="G14123" s="10" t="s">
        <v>75</v>
      </c>
      <c r="H14123" s="9" t="s">
        <v>22</v>
      </c>
      <c r="I14123" s="9" t="s">
        <v>28728</v>
      </c>
      <c r="J14123" s="10" t="str">
        <f>HYPERLINK("https://www.boe.es/gazeta/dias/1834/11/10/pdfs/GMD-1834-269.pdf#page=4","Abrir facsímil")</f>
        <v>Abrir facsímil</v>
      </c>
      <c r="K14123" s="10" t="s">
        <v>24</v>
      </c>
    </row>
    <row r="14124" spans="1:11" ht="54" customHeight="1">
      <c r="A14124" s="9" t="s">
        <v>28729</v>
      </c>
      <c r="B14124" s="9" t="s">
        <v>28730</v>
      </c>
      <c r="C14124" s="9" t="s">
        <v>66</v>
      </c>
      <c r="D14124" s="9" t="s">
        <v>67</v>
      </c>
      <c r="E14124" s="10" t="s">
        <v>1084</v>
      </c>
      <c r="F14124" s="9" t="s">
        <v>1085</v>
      </c>
      <c r="G14124" s="10" t="s">
        <v>176</v>
      </c>
      <c r="H14124" s="9" t="s">
        <v>22</v>
      </c>
      <c r="I14124" s="9" t="s">
        <v>28731</v>
      </c>
      <c r="J14124" s="10" t="str">
        <f>HYPERLINK("https://www.boe.es/gazeta/dias/1834/05/01/pdfs/GMD-1834-70.pdf#page=6","Abrir facsímil")</f>
        <v>Abrir facsímil</v>
      </c>
      <c r="K14124" s="10" t="s">
        <v>24</v>
      </c>
    </row>
    <row r="14125" spans="1:11" ht="54" customHeight="1">
      <c r="A14125" s="9" t="s">
        <v>28732</v>
      </c>
      <c r="B14125" s="9" t="s">
        <v>28733</v>
      </c>
      <c r="C14125" s="9" t="s">
        <v>90</v>
      </c>
      <c r="D14125" s="9" t="s">
        <v>67</v>
      </c>
      <c r="E14125" s="10" t="s">
        <v>541</v>
      </c>
      <c r="F14125" s="9" t="s">
        <v>542</v>
      </c>
      <c r="G14125" s="10" t="s">
        <v>86</v>
      </c>
      <c r="H14125" s="9" t="s">
        <v>22</v>
      </c>
      <c r="I14125" s="9" t="s">
        <v>28734</v>
      </c>
      <c r="J14125" s="10" t="str">
        <f>HYPERLINK("https://www.boe.es/gazeta/dias/1834/04/18/pdfs/GMD-1834-57.pdf#page=2","Abrir facsímil")</f>
        <v>Abrir facsímil</v>
      </c>
      <c r="K14125" s="10" t="s">
        <v>24</v>
      </c>
    </row>
    <row r="14126" spans="1:11" ht="54" customHeight="1">
      <c r="A14126" s="9" t="s">
        <v>28732</v>
      </c>
      <c r="B14126" s="9" t="s">
        <v>28733</v>
      </c>
      <c r="C14126" s="9" t="s">
        <v>90</v>
      </c>
      <c r="D14126" s="9" t="s">
        <v>101</v>
      </c>
      <c r="E14126" s="10" t="s">
        <v>724</v>
      </c>
      <c r="F14126" s="9" t="s">
        <v>725</v>
      </c>
      <c r="G14126" s="10" t="s">
        <v>34</v>
      </c>
      <c r="H14126" s="9" t="s">
        <v>22</v>
      </c>
      <c r="I14126" s="9" t="s">
        <v>28735</v>
      </c>
      <c r="J14126" s="10" t="str">
        <f>HYPERLINK("https://www.boe.es/gazeta/dias/1834/04/25/pdfs/GMD-1834-64.pdf#page=1","Abrir facsímil")</f>
        <v>Abrir facsímil</v>
      </c>
      <c r="K14126" s="10" t="s">
        <v>24</v>
      </c>
    </row>
    <row r="14127" spans="1:11" ht="54" customHeight="1">
      <c r="A14127" s="9" t="s">
        <v>28736</v>
      </c>
      <c r="B14127" s="9" t="s">
        <v>28737</v>
      </c>
      <c r="C14127" s="9" t="s">
        <v>17</v>
      </c>
      <c r="D14127" s="9" t="s">
        <v>18</v>
      </c>
      <c r="E14127" s="10" t="s">
        <v>1674</v>
      </c>
      <c r="F14127" s="9" t="s">
        <v>3233</v>
      </c>
      <c r="G14127" s="10" t="s">
        <v>86</v>
      </c>
      <c r="H14127" s="9" t="s">
        <v>22</v>
      </c>
      <c r="I14127" s="9" t="s">
        <v>28738</v>
      </c>
      <c r="J14127" s="10" t="str">
        <f>HYPERLINK("https://www.boe.es/gazeta/dias/1834/07/25/pdfs/GMD-C-1834-158.pdf#page=2","Abrir facsímil")</f>
        <v>Abrir facsímil</v>
      </c>
      <c r="K14127" s="10" t="s">
        <v>24</v>
      </c>
    </row>
    <row r="14128" spans="1:11" ht="54" customHeight="1">
      <c r="A14128" s="9" t="s">
        <v>28739</v>
      </c>
      <c r="B14128" s="9" t="s">
        <v>28739</v>
      </c>
      <c r="C14128" s="9" t="s">
        <v>90</v>
      </c>
      <c r="D14128" s="9" t="s">
        <v>18</v>
      </c>
      <c r="E14128" s="10" t="s">
        <v>268</v>
      </c>
      <c r="F14128" s="9" t="s">
        <v>3529</v>
      </c>
      <c r="G14128" s="10" t="s">
        <v>21</v>
      </c>
      <c r="H14128" s="9" t="s">
        <v>22</v>
      </c>
      <c r="I14128" s="9" t="s">
        <v>28740</v>
      </c>
      <c r="J14128" s="10" t="str">
        <f>HYPERLINK("https://www.boe.es/gazeta/dias/1834/12/19/pdfs/GMD-1834-309.pdf#page=3","Abrir facsímil")</f>
        <v>Abrir facsímil</v>
      </c>
      <c r="K14128" s="10" t="s">
        <v>24</v>
      </c>
    </row>
    <row r="14129" spans="1:11" ht="54" customHeight="1">
      <c r="A14129" s="9" t="s">
        <v>28741</v>
      </c>
      <c r="B14129" s="9" t="s">
        <v>28742</v>
      </c>
      <c r="C14129" s="9" t="s">
        <v>17</v>
      </c>
      <c r="D14129" s="9" t="s">
        <v>18</v>
      </c>
      <c r="E14129" s="10" t="s">
        <v>1686</v>
      </c>
      <c r="F14129" s="9" t="s">
        <v>1687</v>
      </c>
      <c r="G14129" s="10" t="s">
        <v>86</v>
      </c>
      <c r="H14129" s="9" t="s">
        <v>22</v>
      </c>
      <c r="I14129" s="9" t="s">
        <v>28743</v>
      </c>
      <c r="J14129" s="10" t="str">
        <f>HYPERLINK("https://www.boe.es/gazeta/dias/1834/07/27/pdfs/GMD-1834-160.pdf#page=2","Abrir facsímil")</f>
        <v>Abrir facsímil</v>
      </c>
      <c r="K14129" s="10" t="s">
        <v>24</v>
      </c>
    </row>
    <row r="14130" spans="1:11" ht="54" customHeight="1">
      <c r="A14130" s="9" t="s">
        <v>28744</v>
      </c>
      <c r="B14130" s="9" t="s">
        <v>28744</v>
      </c>
      <c r="C14130" s="9" t="s">
        <v>17</v>
      </c>
      <c r="D14130" s="9" t="s">
        <v>18</v>
      </c>
      <c r="E14130" s="10" t="s">
        <v>26</v>
      </c>
      <c r="F14130" s="9" t="s">
        <v>27</v>
      </c>
      <c r="G14130" s="10" t="s">
        <v>75</v>
      </c>
      <c r="H14130" s="9" t="s">
        <v>22</v>
      </c>
      <c r="I14130" s="9" t="s">
        <v>28745</v>
      </c>
      <c r="J14130" s="10" t="str">
        <f>HYPERLINK("https://www.boe.es/gazeta/dias/1834/10/19/pdfs/GMD-C-1834-247.pdf#page=4","Abrir facsímil")</f>
        <v>Abrir facsímil</v>
      </c>
      <c r="K14130" s="10" t="s">
        <v>24</v>
      </c>
    </row>
    <row r="14131" spans="1:11" ht="54" customHeight="1">
      <c r="A14131" s="9" t="s">
        <v>28746</v>
      </c>
      <c r="B14131" s="9" t="s">
        <v>28746</v>
      </c>
      <c r="C14131" s="9" t="s">
        <v>46</v>
      </c>
      <c r="D14131" s="9" t="s">
        <v>101</v>
      </c>
      <c r="E14131" s="10" t="s">
        <v>465</v>
      </c>
      <c r="F14131" s="9" t="s">
        <v>466</v>
      </c>
      <c r="G14131" s="10" t="s">
        <v>176</v>
      </c>
      <c r="H14131" s="9" t="s">
        <v>22</v>
      </c>
      <c r="I14131" s="9" t="s">
        <v>28747</v>
      </c>
      <c r="J14131" s="10" t="str">
        <f>HYPERLINK("https://www.boe.es/gazeta/dias/1834/11/27/pdfs/GMD-C-1834-286.pdf#page=6","Abrir facsímil")</f>
        <v>Abrir facsímil</v>
      </c>
      <c r="K14131" s="10" t="s">
        <v>24</v>
      </c>
    </row>
    <row r="14132" spans="1:11" ht="54" customHeight="1">
      <c r="A14132" s="9" t="s">
        <v>28748</v>
      </c>
      <c r="B14132" s="9" t="s">
        <v>28748</v>
      </c>
      <c r="C14132" s="9" t="s">
        <v>122</v>
      </c>
      <c r="D14132" s="9" t="s">
        <v>18</v>
      </c>
      <c r="E14132" s="10" t="s">
        <v>73</v>
      </c>
      <c r="F14132" s="9" t="s">
        <v>74</v>
      </c>
      <c r="G14132" s="10" t="s">
        <v>21</v>
      </c>
      <c r="H14132" s="9" t="s">
        <v>22</v>
      </c>
      <c r="I14132" s="9" t="s">
        <v>28749</v>
      </c>
      <c r="J14132" s="10" t="str">
        <f>HYPERLINK("https://www.boe.es/gazeta/dias/1834/11/04/pdfs/GMD-1834-263.pdf#page=3","Abrir facsímil")</f>
        <v>Abrir facsímil</v>
      </c>
      <c r="K14132" s="10" t="s">
        <v>24</v>
      </c>
    </row>
    <row r="14133" spans="1:11" ht="54" customHeight="1">
      <c r="A14133" s="9" t="s">
        <v>28750</v>
      </c>
      <c r="B14133" s="9" t="s">
        <v>28751</v>
      </c>
      <c r="C14133" s="9" t="s">
        <v>17</v>
      </c>
      <c r="D14133" s="9" t="s">
        <v>101</v>
      </c>
      <c r="E14133" s="10" t="s">
        <v>32</v>
      </c>
      <c r="F14133" s="9" t="s">
        <v>33</v>
      </c>
      <c r="G14133" s="10" t="s">
        <v>86</v>
      </c>
      <c r="H14133" s="9" t="s">
        <v>22</v>
      </c>
      <c r="I14133" s="9" t="s">
        <v>28752</v>
      </c>
      <c r="J14133" s="10" t="str">
        <f>HYPERLINK("https://www.boe.es/gazeta/dias/1834/04/23/pdfs/GMD-1834-62.pdf#page=2","Abrir facsímil")</f>
        <v>Abrir facsímil</v>
      </c>
      <c r="K14133" s="10" t="s">
        <v>24</v>
      </c>
    </row>
    <row r="14134" spans="1:11" ht="54" customHeight="1">
      <c r="A14134" s="9" t="s">
        <v>28753</v>
      </c>
      <c r="B14134" s="9" t="s">
        <v>28753</v>
      </c>
      <c r="C14134" s="9" t="s">
        <v>122</v>
      </c>
      <c r="D14134" s="9" t="s">
        <v>55</v>
      </c>
      <c r="E14134" s="10" t="s">
        <v>158</v>
      </c>
      <c r="F14134" s="9" t="s">
        <v>159</v>
      </c>
      <c r="G14134" s="10" t="s">
        <v>86</v>
      </c>
      <c r="H14134" s="9" t="s">
        <v>22</v>
      </c>
      <c r="I14134" s="9" t="s">
        <v>28754</v>
      </c>
      <c r="J14134" s="10" t="str">
        <f>HYPERLINK("https://www.boe.es/gazeta/dias/1834/10/01/pdfs/GMD-1834-229.pdf#page=2","Abrir facsímil")</f>
        <v>Abrir facsímil</v>
      </c>
      <c r="K14134" s="10" t="s">
        <v>24</v>
      </c>
    </row>
    <row r="14135" spans="1:11" ht="54" customHeight="1">
      <c r="A14135" s="9" t="s">
        <v>28755</v>
      </c>
      <c r="B14135" s="9" t="s">
        <v>28756</v>
      </c>
      <c r="C14135" s="9" t="s">
        <v>17</v>
      </c>
      <c r="D14135" s="9" t="s">
        <v>18</v>
      </c>
      <c r="E14135" s="10" t="s">
        <v>1323</v>
      </c>
      <c r="F14135" s="9" t="s">
        <v>1324</v>
      </c>
      <c r="G14135" s="10" t="s">
        <v>75</v>
      </c>
      <c r="H14135" s="9" t="s">
        <v>35</v>
      </c>
      <c r="I14135" s="9" t="s">
        <v>28757</v>
      </c>
      <c r="J14135" s="10" t="str">
        <f>HYPERLINK("https://www.boe.es/gazeta/dias/1834/05/22/pdfs/GMD-1834-91.pdf#page=4","Abrir facsímil")</f>
        <v>Abrir facsímil</v>
      </c>
      <c r="K14135" s="10" t="s">
        <v>37</v>
      </c>
    </row>
    <row r="14136" spans="1:11" ht="54" customHeight="1">
      <c r="A14136" s="9" t="s">
        <v>28758</v>
      </c>
      <c r="B14136" s="9" t="s">
        <v>28759</v>
      </c>
      <c r="C14136" s="9" t="s">
        <v>17</v>
      </c>
      <c r="D14136" s="9" t="s">
        <v>18</v>
      </c>
      <c r="E14136" s="10" t="s">
        <v>1323</v>
      </c>
      <c r="F14136" s="9" t="s">
        <v>1324</v>
      </c>
      <c r="G14136" s="10" t="s">
        <v>75</v>
      </c>
      <c r="H14136" s="9" t="s">
        <v>22</v>
      </c>
      <c r="I14136" s="9" t="s">
        <v>28760</v>
      </c>
      <c r="J14136" s="10" t="str">
        <f>HYPERLINK("https://www.boe.es/gazeta/dias/1834/05/22/pdfs/GMD-1834-91.pdf#page=4","Abrir facsímil")</f>
        <v>Abrir facsímil</v>
      </c>
      <c r="K14136" s="10" t="s">
        <v>24</v>
      </c>
    </row>
    <row r="14137" spans="1:11" ht="54" customHeight="1">
      <c r="A14137" s="9" t="s">
        <v>28761</v>
      </c>
      <c r="B14137" s="9" t="s">
        <v>28762</v>
      </c>
      <c r="C14137" s="9" t="s">
        <v>17</v>
      </c>
      <c r="D14137" s="9" t="s">
        <v>18</v>
      </c>
      <c r="E14137" s="10" t="s">
        <v>2945</v>
      </c>
      <c r="F14137" s="9" t="s">
        <v>2946</v>
      </c>
      <c r="G14137" s="10" t="s">
        <v>75</v>
      </c>
      <c r="H14137" s="9" t="s">
        <v>22</v>
      </c>
      <c r="I14137" s="9" t="s">
        <v>28763</v>
      </c>
      <c r="J14137" s="10" t="str">
        <f>HYPERLINK("https://www.boe.es/gazeta/dias/1834/05/29/pdfs/GMD-1834-98.pdf#page=4","Abrir facsímil")</f>
        <v>Abrir facsímil</v>
      </c>
      <c r="K14137" s="10" t="s">
        <v>24</v>
      </c>
    </row>
    <row r="14138" spans="1:11" ht="54" customHeight="1">
      <c r="A14138" s="9" t="s">
        <v>28764</v>
      </c>
      <c r="B14138" s="9" t="s">
        <v>28765</v>
      </c>
      <c r="C14138" s="9" t="s">
        <v>46</v>
      </c>
      <c r="D14138" s="9" t="s">
        <v>101</v>
      </c>
      <c r="E14138" s="10" t="s">
        <v>2379</v>
      </c>
      <c r="F14138" s="9" t="s">
        <v>2380</v>
      </c>
      <c r="G14138" s="10" t="s">
        <v>75</v>
      </c>
      <c r="H14138" s="9" t="s">
        <v>22</v>
      </c>
      <c r="I14138" s="9" t="s">
        <v>28766</v>
      </c>
      <c r="J14138" s="10" t="str">
        <f>HYPERLINK("https://www.boe.es/gazeta/dias/1834/04/03/pdfs/GMD-1834-42.pdf#page=4","Abrir facsímil")</f>
        <v>Abrir facsímil</v>
      </c>
      <c r="K14138" s="10" t="s">
        <v>24</v>
      </c>
    </row>
    <row r="14139" spans="1:11" ht="54" customHeight="1">
      <c r="A14139" s="9" t="s">
        <v>28767</v>
      </c>
      <c r="B14139" s="9" t="s">
        <v>28767</v>
      </c>
      <c r="C14139" s="9" t="s">
        <v>17</v>
      </c>
      <c r="D14139" s="9" t="s">
        <v>55</v>
      </c>
      <c r="E14139" s="10" t="s">
        <v>1999</v>
      </c>
      <c r="F14139" s="9" t="s">
        <v>2000</v>
      </c>
      <c r="G14139" s="10" t="s">
        <v>21</v>
      </c>
      <c r="H14139" s="9" t="s">
        <v>22</v>
      </c>
      <c r="I14139" s="9" t="s">
        <v>28768</v>
      </c>
      <c r="J14139" s="10" t="str">
        <f>HYPERLINK("https://www.boe.es/gazeta/dias/1834/04/09/pdfs/GMD-1834-48.pdf#page=3","Abrir facsímil")</f>
        <v>Abrir facsímil</v>
      </c>
      <c r="K14139" s="10" t="s">
        <v>24</v>
      </c>
    </row>
    <row r="14140" spans="1:11" ht="54" customHeight="1">
      <c r="A14140" s="9" t="s">
        <v>28769</v>
      </c>
      <c r="B14140" s="9" t="s">
        <v>28770</v>
      </c>
      <c r="C14140" s="9" t="s">
        <v>17</v>
      </c>
      <c r="D14140" s="9" t="s">
        <v>18</v>
      </c>
      <c r="E14140" s="10" t="s">
        <v>375</v>
      </c>
      <c r="F14140" s="9" t="s">
        <v>376</v>
      </c>
      <c r="G14140" s="10" t="s">
        <v>34</v>
      </c>
      <c r="H14140" s="9" t="s">
        <v>22</v>
      </c>
      <c r="I14140" s="9" t="s">
        <v>28771</v>
      </c>
      <c r="J14140" s="10" t="str">
        <f>HYPERLINK("https://www.boe.es/gazeta/dias/1834/08/21/pdfs/GMD-1834-187.pdf#page=1","Abrir facsímil")</f>
        <v>Abrir facsímil</v>
      </c>
      <c r="K14140" s="10" t="s">
        <v>24</v>
      </c>
    </row>
    <row r="14141" spans="1:11" ht="54" customHeight="1">
      <c r="A14141" s="9" t="s">
        <v>28772</v>
      </c>
      <c r="B14141" s="9" t="s">
        <v>28772</v>
      </c>
      <c r="C14141" s="9" t="s">
        <v>17</v>
      </c>
      <c r="D14141" s="9" t="s">
        <v>18</v>
      </c>
      <c r="E14141" s="10" t="s">
        <v>448</v>
      </c>
      <c r="F14141" s="9" t="s">
        <v>449</v>
      </c>
      <c r="G14141" s="10" t="s">
        <v>75</v>
      </c>
      <c r="H14141" s="9" t="s">
        <v>22</v>
      </c>
      <c r="I14141" s="9" t="s">
        <v>28773</v>
      </c>
      <c r="J14141" s="10" t="str">
        <f>HYPERLINK("https://www.boe.es/gazeta/dias/1834/10/14/pdfs/GMD-C-1834-242.pdf#page=4","Abrir facsímil")</f>
        <v>Abrir facsímil</v>
      </c>
      <c r="K14141" s="10" t="s">
        <v>24</v>
      </c>
    </row>
    <row r="14142" spans="1:11" ht="54" customHeight="1">
      <c r="A14142" s="9" t="s">
        <v>28774</v>
      </c>
      <c r="B14142" s="9" t="s">
        <v>28774</v>
      </c>
      <c r="C14142" s="9" t="s">
        <v>17</v>
      </c>
      <c r="D14142" s="9" t="s">
        <v>18</v>
      </c>
      <c r="E14142" s="10" t="s">
        <v>294</v>
      </c>
      <c r="F14142" s="9" t="s">
        <v>959</v>
      </c>
      <c r="G14142" s="10" t="s">
        <v>75</v>
      </c>
      <c r="H14142" s="9" t="s">
        <v>22</v>
      </c>
      <c r="I14142" s="9" t="s">
        <v>28775</v>
      </c>
      <c r="J14142" s="10" t="str">
        <f>HYPERLINK("https://www.boe.es/gazeta/dias/1834/09/27/pdfs/GMD-C-1834-225.pdf#page=4","Abrir facsímil")</f>
        <v>Abrir facsímil</v>
      </c>
      <c r="K14142" s="10" t="s">
        <v>24</v>
      </c>
    </row>
    <row r="14143" spans="1:11" ht="54" customHeight="1">
      <c r="A14143" s="9" t="s">
        <v>28776</v>
      </c>
      <c r="B14143" s="9" t="s">
        <v>28777</v>
      </c>
      <c r="C14143" s="9" t="s">
        <v>17</v>
      </c>
      <c r="D14143" s="9" t="s">
        <v>18</v>
      </c>
      <c r="E14143" s="10" t="s">
        <v>1839</v>
      </c>
      <c r="F14143" s="9" t="s">
        <v>1840</v>
      </c>
      <c r="G14143" s="10" t="s">
        <v>86</v>
      </c>
      <c r="H14143" s="9" t="s">
        <v>22</v>
      </c>
      <c r="I14143" s="9" t="s">
        <v>28778</v>
      </c>
      <c r="J14143" s="10" t="str">
        <f>HYPERLINK("https://www.boe.es/gazeta/dias/1834/08/12/pdfs/GMD-C-1834-177.pdf#page=2","Abrir facsímil")</f>
        <v>Abrir facsímil</v>
      </c>
      <c r="K14143" s="10" t="s">
        <v>24</v>
      </c>
    </row>
    <row r="14144" spans="1:11" ht="54" customHeight="1">
      <c r="A14144" s="9" t="s">
        <v>28779</v>
      </c>
      <c r="B14144" s="9" t="s">
        <v>28780</v>
      </c>
      <c r="C14144" s="9" t="s">
        <v>17</v>
      </c>
      <c r="D14144" s="9" t="s">
        <v>18</v>
      </c>
      <c r="E14144" s="10" t="s">
        <v>294</v>
      </c>
      <c r="F14144" s="9" t="s">
        <v>959</v>
      </c>
      <c r="G14144" s="10" t="s">
        <v>75</v>
      </c>
      <c r="H14144" s="9" t="s">
        <v>22</v>
      </c>
      <c r="I14144" s="9" t="s">
        <v>28781</v>
      </c>
      <c r="J14144" s="10" t="str">
        <f>HYPERLINK("https://www.boe.es/gazeta/dias/1834/09/27/pdfs/GMD-C-1834-225.pdf#page=4","Abrir facsímil")</f>
        <v>Abrir facsímil</v>
      </c>
      <c r="K14144" s="10" t="s">
        <v>24</v>
      </c>
    </row>
    <row r="14145" spans="1:11" ht="54" customHeight="1">
      <c r="A14145" s="9" t="s">
        <v>28782</v>
      </c>
      <c r="B14145" s="9" t="s">
        <v>28783</v>
      </c>
      <c r="C14145" s="9" t="s">
        <v>122</v>
      </c>
      <c r="D14145" s="9" t="s">
        <v>18</v>
      </c>
      <c r="E14145" s="10" t="s">
        <v>883</v>
      </c>
      <c r="F14145" s="9" t="s">
        <v>884</v>
      </c>
      <c r="G14145" s="10" t="s">
        <v>86</v>
      </c>
      <c r="H14145" s="9" t="s">
        <v>22</v>
      </c>
      <c r="I14145" s="9" t="s">
        <v>28784</v>
      </c>
      <c r="J14145" s="10" t="str">
        <f>HYPERLINK("https://www.boe.es/gazeta/dias/1834/11/16/pdfs/GMD-C-1834-275.pdf#page=2","Abrir facsímil")</f>
        <v>Abrir facsímil</v>
      </c>
      <c r="K14145" s="10" t="s">
        <v>24</v>
      </c>
    </row>
    <row r="14146" spans="1:11" ht="54" customHeight="1">
      <c r="A14146" s="9" t="s">
        <v>28785</v>
      </c>
      <c r="B14146" s="9" t="s">
        <v>28786</v>
      </c>
      <c r="C14146" s="9" t="s">
        <v>17</v>
      </c>
      <c r="D14146" s="9" t="s">
        <v>55</v>
      </c>
      <c r="E14146" s="10" t="s">
        <v>518</v>
      </c>
      <c r="F14146" s="9" t="s">
        <v>519</v>
      </c>
      <c r="G14146" s="10" t="s">
        <v>86</v>
      </c>
      <c r="H14146" s="9" t="s">
        <v>22</v>
      </c>
      <c r="I14146" s="9" t="s">
        <v>28787</v>
      </c>
      <c r="J14146" s="10" t="str">
        <f>HYPERLINK("https://www.boe.es/gazeta/dias/1834/03/15/pdfs/GMD-1834-33.pdf#page=2","Abrir facsímil")</f>
        <v>Abrir facsímil</v>
      </c>
      <c r="K14146" s="10" t="s">
        <v>24</v>
      </c>
    </row>
    <row r="14147" spans="1:11" ht="54" customHeight="1">
      <c r="A14147" s="9" t="s">
        <v>28788</v>
      </c>
      <c r="B14147" s="9" t="s">
        <v>28789</v>
      </c>
      <c r="C14147" s="9" t="s">
        <v>17</v>
      </c>
      <c r="D14147" s="9" t="s">
        <v>18</v>
      </c>
      <c r="E14147" s="10" t="s">
        <v>265</v>
      </c>
      <c r="F14147" s="9" t="s">
        <v>266</v>
      </c>
      <c r="G14147" s="10" t="s">
        <v>75</v>
      </c>
      <c r="H14147" s="9" t="s">
        <v>22</v>
      </c>
      <c r="I14147" s="9" t="s">
        <v>28790</v>
      </c>
      <c r="J14147" s="10" t="str">
        <f>HYPERLINK("https://www.boe.es/gazeta/dias/1834/11/19/pdfs/GMD-C-1834-278.pdf#page=4","Abrir facsímil")</f>
        <v>Abrir facsímil</v>
      </c>
      <c r="K14147" s="10" t="s">
        <v>24</v>
      </c>
    </row>
    <row r="14148" spans="1:11" ht="54" customHeight="1">
      <c r="A14148" s="9" t="s">
        <v>28791</v>
      </c>
      <c r="B14148" s="9" t="s">
        <v>28792</v>
      </c>
      <c r="C14148" s="9" t="s">
        <v>17</v>
      </c>
      <c r="D14148" s="9" t="s">
        <v>18</v>
      </c>
      <c r="E14148" s="10" t="s">
        <v>518</v>
      </c>
      <c r="F14148" s="9" t="s">
        <v>519</v>
      </c>
      <c r="G14148" s="10" t="s">
        <v>86</v>
      </c>
      <c r="H14148" s="9" t="s">
        <v>22</v>
      </c>
      <c r="I14148" s="9" t="s">
        <v>28793</v>
      </c>
      <c r="J14148" s="10" t="str">
        <f>HYPERLINK("https://www.boe.es/gazeta/dias/1834/03/15/pdfs/GMD-1834-33.pdf#page=2","Abrir facsímil")</f>
        <v>Abrir facsímil</v>
      </c>
      <c r="K14148" s="10" t="s">
        <v>24</v>
      </c>
    </row>
    <row r="14149" spans="1:11" ht="54" customHeight="1">
      <c r="A14149" s="9" t="s">
        <v>28794</v>
      </c>
      <c r="B14149" s="9" t="s">
        <v>28795</v>
      </c>
      <c r="C14149" s="9" t="s">
        <v>17</v>
      </c>
      <c r="D14149" s="9" t="s">
        <v>18</v>
      </c>
      <c r="E14149" s="10" t="s">
        <v>2287</v>
      </c>
      <c r="F14149" s="9" t="s">
        <v>2288</v>
      </c>
      <c r="G14149" s="10" t="s">
        <v>176</v>
      </c>
      <c r="H14149" s="9" t="s">
        <v>22</v>
      </c>
      <c r="I14149" s="9" t="s">
        <v>28796</v>
      </c>
      <c r="J14149" s="10" t="str">
        <f>HYPERLINK("https://www.boe.es/gazeta/dias/1834/12/18/pdfs/GMD-C-1834-308.pdf#page=6","Abrir facsímil")</f>
        <v>Abrir facsímil</v>
      </c>
      <c r="K14149" s="10" t="s">
        <v>24</v>
      </c>
    </row>
    <row r="14150" spans="1:11" ht="54" customHeight="1">
      <c r="A14150" s="9" t="s">
        <v>28797</v>
      </c>
      <c r="B14150" s="9" t="s">
        <v>28798</v>
      </c>
      <c r="C14150" s="9" t="s">
        <v>17</v>
      </c>
      <c r="D14150" s="9" t="s">
        <v>18</v>
      </c>
      <c r="E14150" s="10" t="s">
        <v>690</v>
      </c>
      <c r="F14150" s="9" t="s">
        <v>691</v>
      </c>
      <c r="G14150" s="10" t="s">
        <v>560</v>
      </c>
      <c r="H14150" s="9" t="s">
        <v>22</v>
      </c>
      <c r="I14150" s="9" t="s">
        <v>28799</v>
      </c>
      <c r="J14150" s="10" t="str">
        <f>HYPERLINK("https://www.boe.es/gazeta/dias/1834/09/03/pdfs/GMD-C-1834-201.pdf#page=7","Abrir facsímil")</f>
        <v>Abrir facsímil</v>
      </c>
      <c r="K14150" s="10" t="s">
        <v>24</v>
      </c>
    </row>
    <row r="14151" spans="1:11" ht="54" customHeight="1">
      <c r="A14151" s="9" t="s">
        <v>28800</v>
      </c>
      <c r="B14151" s="9" t="s">
        <v>28800</v>
      </c>
      <c r="C14151" s="9" t="s">
        <v>46</v>
      </c>
      <c r="D14151" s="9" t="s">
        <v>18</v>
      </c>
      <c r="E14151" s="10" t="s">
        <v>2004</v>
      </c>
      <c r="F14151" s="9" t="s">
        <v>2005</v>
      </c>
      <c r="G14151" s="10" t="s">
        <v>21</v>
      </c>
      <c r="H14151" s="9" t="s">
        <v>22</v>
      </c>
      <c r="I14151" s="9" t="s">
        <v>28801</v>
      </c>
      <c r="J14151" s="10" t="str">
        <f>HYPERLINK("https://www.boe.es/gazeta/dias/1834/05/09/pdfs/GMD-1834-78.pdf#page=3","Abrir facsímil")</f>
        <v>Abrir facsímil</v>
      </c>
      <c r="K14151" s="10" t="s">
        <v>24</v>
      </c>
    </row>
    <row r="14152" spans="1:11" ht="54" customHeight="1">
      <c r="A14152" s="9" t="s">
        <v>28802</v>
      </c>
      <c r="B14152" s="9" t="s">
        <v>28802</v>
      </c>
      <c r="C14152" s="9" t="s">
        <v>17</v>
      </c>
      <c r="D14152" s="9" t="s">
        <v>40</v>
      </c>
      <c r="E14152" s="10" t="s">
        <v>375</v>
      </c>
      <c r="F14152" s="9" t="s">
        <v>4983</v>
      </c>
      <c r="G14152" s="10" t="s">
        <v>86</v>
      </c>
      <c r="H14152" s="9" t="s">
        <v>22</v>
      </c>
      <c r="I14152" s="9" t="s">
        <v>28803</v>
      </c>
      <c r="J14152" s="10" t="str">
        <f>HYPERLINK("https://www.boe.es/gazeta/dias/1834/08/21/pdfs/GMD-C-1834-187.pdf#page=2","Abrir facsímil")</f>
        <v>Abrir facsímil</v>
      </c>
      <c r="K14152" s="10" t="s">
        <v>24</v>
      </c>
    </row>
    <row r="14153" spans="1:11" ht="54" customHeight="1">
      <c r="A14153" s="9" t="s">
        <v>28804</v>
      </c>
      <c r="B14153" s="9" t="s">
        <v>28805</v>
      </c>
      <c r="C14153" s="9" t="s">
        <v>17</v>
      </c>
      <c r="D14153" s="9" t="s">
        <v>18</v>
      </c>
      <c r="E14153" s="10" t="s">
        <v>777</v>
      </c>
      <c r="F14153" s="9" t="s">
        <v>778</v>
      </c>
      <c r="G14153" s="10" t="s">
        <v>75</v>
      </c>
      <c r="H14153" s="9" t="s">
        <v>22</v>
      </c>
      <c r="I14153" s="9" t="s">
        <v>28806</v>
      </c>
      <c r="J14153" s="10" t="str">
        <f>HYPERLINK("https://www.boe.es/gazeta/dias/1834/10/29/pdfs/GMD-1834-257.pdf#page=4","Abrir facsímil")</f>
        <v>Abrir facsímil</v>
      </c>
      <c r="K14153" s="10" t="s">
        <v>24</v>
      </c>
    </row>
    <row r="14154" spans="1:11" ht="54" customHeight="1">
      <c r="A14154" s="9" t="s">
        <v>28807</v>
      </c>
      <c r="B14154" s="9" t="s">
        <v>28808</v>
      </c>
      <c r="C14154" s="9" t="s">
        <v>17</v>
      </c>
      <c r="D14154" s="9" t="s">
        <v>18</v>
      </c>
      <c r="E14154" s="10" t="s">
        <v>448</v>
      </c>
      <c r="F14154" s="9" t="s">
        <v>449</v>
      </c>
      <c r="G14154" s="10" t="s">
        <v>75</v>
      </c>
      <c r="H14154" s="9" t="s">
        <v>22</v>
      </c>
      <c r="I14154" s="9" t="s">
        <v>28809</v>
      </c>
      <c r="J14154" s="10" t="str">
        <f>HYPERLINK("https://www.boe.es/gazeta/dias/1834/10/14/pdfs/GMD-C-1834-242.pdf#page=4","Abrir facsímil")</f>
        <v>Abrir facsímil</v>
      </c>
      <c r="K14154" s="10" t="s">
        <v>24</v>
      </c>
    </row>
    <row r="14155" spans="1:11" ht="54" customHeight="1">
      <c r="A14155" s="9" t="s">
        <v>28810</v>
      </c>
      <c r="B14155" s="9" t="s">
        <v>28811</v>
      </c>
      <c r="C14155" s="9" t="s">
        <v>17</v>
      </c>
      <c r="D14155" s="9" t="s">
        <v>18</v>
      </c>
      <c r="E14155" s="10" t="s">
        <v>451</v>
      </c>
      <c r="F14155" s="9" t="s">
        <v>452</v>
      </c>
      <c r="G14155" s="10" t="s">
        <v>21</v>
      </c>
      <c r="H14155" s="9" t="s">
        <v>22</v>
      </c>
      <c r="I14155" s="9" t="s">
        <v>28812</v>
      </c>
      <c r="J14155" s="10" t="str">
        <f>HYPERLINK("https://www.boe.es/gazeta/dias/1834/10/15/pdfs/GMD-C-1834-243.pdf#page=3","Abrir facsímil")</f>
        <v>Abrir facsímil</v>
      </c>
      <c r="K14155" s="10" t="s">
        <v>24</v>
      </c>
    </row>
    <row r="14156" spans="1:11" ht="54" customHeight="1">
      <c r="A14156" s="9" t="s">
        <v>28813</v>
      </c>
      <c r="B14156" s="9" t="s">
        <v>28814</v>
      </c>
      <c r="C14156" s="9" t="s">
        <v>17</v>
      </c>
      <c r="D14156" s="9" t="s">
        <v>40</v>
      </c>
      <c r="E14156" s="10" t="s">
        <v>343</v>
      </c>
      <c r="F14156" s="9" t="s">
        <v>344</v>
      </c>
      <c r="G14156" s="10" t="s">
        <v>21</v>
      </c>
      <c r="H14156" s="9" t="s">
        <v>22</v>
      </c>
      <c r="I14156" s="9" t="s">
        <v>28815</v>
      </c>
      <c r="J14156" s="10" t="str">
        <f>HYPERLINK("https://www.boe.es/gazeta/dias/1834/01/14/pdfs/GMD-1834-7.pdf#page=3","Abrir facsímil")</f>
        <v>Abrir facsímil</v>
      </c>
      <c r="K14156" s="10" t="s">
        <v>24</v>
      </c>
    </row>
    <row r="14157" spans="1:11" ht="54" customHeight="1">
      <c r="A14157" s="9" t="s">
        <v>28816</v>
      </c>
      <c r="B14157" s="9" t="s">
        <v>28817</v>
      </c>
      <c r="C14157" s="9" t="s">
        <v>90</v>
      </c>
      <c r="D14157" s="9" t="s">
        <v>18</v>
      </c>
      <c r="E14157" s="10" t="s">
        <v>615</v>
      </c>
      <c r="F14157" s="9" t="s">
        <v>1205</v>
      </c>
      <c r="G14157" s="10" t="s">
        <v>86</v>
      </c>
      <c r="H14157" s="9" t="s">
        <v>22</v>
      </c>
      <c r="I14157" s="9" t="s">
        <v>28818</v>
      </c>
      <c r="J14157" s="10" t="str">
        <f>HYPERLINK("https://www.boe.es/gazeta/dias/1834/08/19/pdfs/GMD-D-1834-185.pdf#page=2","Abrir facsímil")</f>
        <v>Abrir facsímil</v>
      </c>
      <c r="K14157" s="10" t="s">
        <v>24</v>
      </c>
    </row>
    <row r="14158" spans="1:11" ht="54" customHeight="1">
      <c r="A14158" s="9" t="s">
        <v>28819</v>
      </c>
      <c r="B14158" s="9" t="s">
        <v>28819</v>
      </c>
      <c r="C14158" s="9" t="s">
        <v>90</v>
      </c>
      <c r="D14158" s="9" t="s">
        <v>67</v>
      </c>
      <c r="E14158" s="10" t="s">
        <v>403</v>
      </c>
      <c r="F14158" s="9" t="s">
        <v>3456</v>
      </c>
      <c r="G14158" s="10" t="s">
        <v>86</v>
      </c>
      <c r="H14158" s="9" t="s">
        <v>22</v>
      </c>
      <c r="I14158" s="9" t="s">
        <v>28820</v>
      </c>
      <c r="J14158" s="10" t="str">
        <f>HYPERLINK("https://www.boe.es/gazeta/dias/1834/09/25/pdfs/GMD-1834-223.pdf#page=2","Abrir facsímil")</f>
        <v>Abrir facsímil</v>
      </c>
      <c r="K14158" s="10" t="s">
        <v>24</v>
      </c>
    </row>
    <row r="14159" spans="1:11" ht="54" customHeight="1">
      <c r="A14159" s="9" t="s">
        <v>28821</v>
      </c>
      <c r="B14159" s="9" t="s">
        <v>28822</v>
      </c>
      <c r="C14159" s="9" t="s">
        <v>17</v>
      </c>
      <c r="D14159" s="9" t="s">
        <v>18</v>
      </c>
      <c r="E14159" s="10" t="s">
        <v>833</v>
      </c>
      <c r="F14159" s="9" t="s">
        <v>834</v>
      </c>
      <c r="G14159" s="10" t="s">
        <v>75</v>
      </c>
      <c r="H14159" s="9" t="s">
        <v>22</v>
      </c>
      <c r="I14159" s="9" t="s">
        <v>28823</v>
      </c>
      <c r="J14159" s="10" t="str">
        <f>HYPERLINK("https://www.boe.es/gazeta/dias/1834/04/24/pdfs/GMD-1834-63.pdf#page=4","Abrir facsímil")</f>
        <v>Abrir facsímil</v>
      </c>
      <c r="K14159" s="10" t="s">
        <v>24</v>
      </c>
    </row>
    <row r="14160" spans="1:11" ht="54" customHeight="1">
      <c r="A14160" s="9" t="s">
        <v>28824</v>
      </c>
      <c r="B14160" s="9" t="s">
        <v>28824</v>
      </c>
      <c r="C14160" s="9" t="s">
        <v>66</v>
      </c>
      <c r="D14160" s="9" t="s">
        <v>67</v>
      </c>
      <c r="E14160" s="10" t="s">
        <v>866</v>
      </c>
      <c r="F14160" s="9" t="s">
        <v>867</v>
      </c>
      <c r="G14160" s="10" t="s">
        <v>86</v>
      </c>
      <c r="H14160" s="9" t="s">
        <v>22</v>
      </c>
      <c r="I14160" s="9" t="s">
        <v>28825</v>
      </c>
      <c r="J14160" s="10" t="str">
        <f>HYPERLINK("https://www.boe.es/gazeta/dias/1834/01/18/pdfs/GMD-1834-9.pdf#page=2","Abrir facsímil")</f>
        <v>Abrir facsímil</v>
      </c>
      <c r="K14160" s="10" t="s">
        <v>24</v>
      </c>
    </row>
    <row r="14161" spans="1:11" ht="54" customHeight="1">
      <c r="A14161" s="9" t="s">
        <v>28826</v>
      </c>
      <c r="B14161" s="9" t="s">
        <v>28827</v>
      </c>
      <c r="C14161" s="9" t="s">
        <v>17</v>
      </c>
      <c r="D14161" s="9" t="s">
        <v>18</v>
      </c>
      <c r="E14161" s="10" t="s">
        <v>777</v>
      </c>
      <c r="F14161" s="9" t="s">
        <v>778</v>
      </c>
      <c r="G14161" s="10" t="s">
        <v>75</v>
      </c>
      <c r="H14161" s="9" t="s">
        <v>35</v>
      </c>
      <c r="I14161" s="9" t="s">
        <v>28828</v>
      </c>
      <c r="J14161" s="10" t="str">
        <f>HYPERLINK("https://www.boe.es/gazeta/dias/1834/10/29/pdfs/GMD-1834-257.pdf#page=4","Abrir facsímil")</f>
        <v>Abrir facsímil</v>
      </c>
      <c r="K14161" s="10" t="s">
        <v>37</v>
      </c>
    </row>
    <row r="14162" spans="1:11" ht="54" customHeight="1">
      <c r="A14162" s="9" t="s">
        <v>28829</v>
      </c>
      <c r="B14162" s="9" t="s">
        <v>28830</v>
      </c>
      <c r="C14162" s="9" t="s">
        <v>17</v>
      </c>
      <c r="D14162" s="9" t="s">
        <v>18</v>
      </c>
      <c r="E14162" s="10" t="s">
        <v>777</v>
      </c>
      <c r="F14162" s="9" t="s">
        <v>778</v>
      </c>
      <c r="G14162" s="10" t="s">
        <v>75</v>
      </c>
      <c r="H14162" s="9" t="s">
        <v>22</v>
      </c>
      <c r="I14162" s="9" t="s">
        <v>28831</v>
      </c>
      <c r="J14162" s="10" t="str">
        <f>HYPERLINK("https://www.boe.es/gazeta/dias/1834/10/29/pdfs/GMD-1834-257.pdf#page=4","Abrir facsímil")</f>
        <v>Abrir facsímil</v>
      </c>
      <c r="K14162" s="10" t="s">
        <v>24</v>
      </c>
    </row>
    <row r="14163" spans="1:11" ht="54" customHeight="1">
      <c r="A14163" s="9" t="s">
        <v>28832</v>
      </c>
      <c r="B14163" s="9" t="s">
        <v>28833</v>
      </c>
      <c r="C14163" s="9" t="s">
        <v>17</v>
      </c>
      <c r="D14163" s="9" t="s">
        <v>55</v>
      </c>
      <c r="E14163" s="10" t="s">
        <v>1677</v>
      </c>
      <c r="F14163" s="9" t="s">
        <v>1678</v>
      </c>
      <c r="G14163" s="10" t="s">
        <v>21</v>
      </c>
      <c r="H14163" s="9" t="s">
        <v>22</v>
      </c>
      <c r="I14163" s="9" t="s">
        <v>28834</v>
      </c>
      <c r="J14163" s="10" t="str">
        <f>HYPERLINK("https://www.boe.es/gazeta/dias/1834/07/26/pdfs/GMD-1834-159.pdf#page=3","Abrir facsímil")</f>
        <v>Abrir facsímil</v>
      </c>
      <c r="K14163" s="10" t="s">
        <v>24</v>
      </c>
    </row>
    <row r="14164" spans="1:11" ht="54" customHeight="1">
      <c r="A14164" s="9" t="s">
        <v>28835</v>
      </c>
      <c r="B14164" s="9" t="s">
        <v>28836</v>
      </c>
      <c r="C14164" s="9" t="s">
        <v>46</v>
      </c>
      <c r="D14164" s="9" t="s">
        <v>40</v>
      </c>
      <c r="E14164" s="10" t="s">
        <v>1402</v>
      </c>
      <c r="F14164" s="9" t="s">
        <v>1403</v>
      </c>
      <c r="G14164" s="10" t="s">
        <v>86</v>
      </c>
      <c r="H14164" s="9" t="s">
        <v>22</v>
      </c>
      <c r="I14164" s="9" t="s">
        <v>28837</v>
      </c>
      <c r="J14164" s="10" t="str">
        <f>HYPERLINK("https://www.boe.es/gazeta/dias/1834/05/05/pdfs/I00347-00348.pdf#page=2","Abrir facsímil")</f>
        <v>Abrir facsímil</v>
      </c>
      <c r="K14164" s="10" t="s">
        <v>24</v>
      </c>
    </row>
    <row r="14165" spans="1:11" ht="54" customHeight="1">
      <c r="A14165" s="9" t="s">
        <v>28835</v>
      </c>
      <c r="B14165" s="9" t="s">
        <v>28836</v>
      </c>
      <c r="C14165" s="9" t="s">
        <v>46</v>
      </c>
      <c r="D14165" s="9" t="s">
        <v>40</v>
      </c>
      <c r="E14165" s="10" t="s">
        <v>1402</v>
      </c>
      <c r="F14165" s="9" t="s">
        <v>1403</v>
      </c>
      <c r="G14165" s="10" t="s">
        <v>176</v>
      </c>
      <c r="H14165" s="9" t="s">
        <v>22</v>
      </c>
      <c r="I14165" s="9" t="s">
        <v>28838</v>
      </c>
      <c r="J14165" s="10" t="str">
        <f>HYPERLINK("https://www.boe.es/gazeta/dias/1834/05/05/pdfs/GMD-1834-74.pdf#page=6","Abrir facsímil")</f>
        <v>Abrir facsímil</v>
      </c>
      <c r="K14165" s="10" t="s">
        <v>24</v>
      </c>
    </row>
    <row r="14166" spans="1:11" ht="54" customHeight="1">
      <c r="A14166" s="9" t="s">
        <v>28835</v>
      </c>
      <c r="B14166" s="9" t="s">
        <v>28836</v>
      </c>
      <c r="C14166" s="9" t="s">
        <v>17</v>
      </c>
      <c r="D14166" s="9" t="s">
        <v>18</v>
      </c>
      <c r="E14166" s="10" t="s">
        <v>32</v>
      </c>
      <c r="F14166" s="9" t="s">
        <v>33</v>
      </c>
      <c r="G14166" s="10" t="s">
        <v>34</v>
      </c>
      <c r="H14166" s="9" t="s">
        <v>22</v>
      </c>
      <c r="I14166" s="9" t="s">
        <v>28839</v>
      </c>
      <c r="J14166" s="10" t="str">
        <f>HYPERLINK("https://www.boe.es/gazeta/dias/1834/04/23/pdfs/GMD-1834-62.pdf#page=1","Abrir facsímil")</f>
        <v>Abrir facsímil</v>
      </c>
      <c r="K14166" s="10" t="s">
        <v>24</v>
      </c>
    </row>
    <row r="14167" spans="1:11" ht="54" customHeight="1">
      <c r="A14167" s="9" t="s">
        <v>28840</v>
      </c>
      <c r="B14167" s="9" t="s">
        <v>28841</v>
      </c>
      <c r="C14167" s="9" t="s">
        <v>17</v>
      </c>
      <c r="D14167" s="9" t="s">
        <v>18</v>
      </c>
      <c r="E14167" s="10" t="s">
        <v>32</v>
      </c>
      <c r="F14167" s="9" t="s">
        <v>33</v>
      </c>
      <c r="G14167" s="10" t="s">
        <v>34</v>
      </c>
      <c r="H14167" s="9" t="s">
        <v>35</v>
      </c>
      <c r="I14167" s="9" t="s">
        <v>28842</v>
      </c>
      <c r="J14167" s="10" t="str">
        <f>HYPERLINK("https://www.boe.es/gazeta/dias/1834/04/23/pdfs/GMD-1834-62.pdf#page=1","Abrir facsímil")</f>
        <v>Abrir facsímil</v>
      </c>
      <c r="K14167" s="10" t="s">
        <v>37</v>
      </c>
    </row>
    <row r="14168" spans="1:11" ht="54" customHeight="1">
      <c r="A14168" s="9" t="s">
        <v>28843</v>
      </c>
      <c r="B14168" s="9" t="s">
        <v>28844</v>
      </c>
      <c r="C14168" s="9" t="s">
        <v>17</v>
      </c>
      <c r="D14168" s="9" t="s">
        <v>18</v>
      </c>
      <c r="E14168" s="10" t="s">
        <v>762</v>
      </c>
      <c r="F14168" s="9" t="s">
        <v>763</v>
      </c>
      <c r="G14168" s="10" t="s">
        <v>34</v>
      </c>
      <c r="H14168" s="9" t="s">
        <v>22</v>
      </c>
      <c r="I14168" s="9" t="s">
        <v>28845</v>
      </c>
      <c r="J14168" s="10" t="str">
        <f>HYPERLINK("https://www.boe.es/gazeta/dias/1834/11/07/pdfs/GMD-1834-266.pdf#page=1","Abrir facsímil")</f>
        <v>Abrir facsímil</v>
      </c>
      <c r="K14168" s="10" t="s">
        <v>24</v>
      </c>
    </row>
    <row r="14169" spans="1:11" ht="54" customHeight="1">
      <c r="A14169" s="9" t="s">
        <v>28846</v>
      </c>
      <c r="B14169" s="9" t="s">
        <v>28847</v>
      </c>
      <c r="C14169" s="9" t="s">
        <v>122</v>
      </c>
      <c r="D14169" s="9" t="s">
        <v>18</v>
      </c>
      <c r="E14169" s="10" t="s">
        <v>1402</v>
      </c>
      <c r="F14169" s="9" t="s">
        <v>1403</v>
      </c>
      <c r="G14169" s="10" t="s">
        <v>34</v>
      </c>
      <c r="H14169" s="9" t="s">
        <v>22</v>
      </c>
      <c r="I14169" s="9" t="s">
        <v>28848</v>
      </c>
      <c r="J14169" s="10" t="str">
        <f>HYPERLINK("https://www.boe.es/gazeta/dias/1834/05/05/pdfs/I00347-00348.pdf#page=1","Abrir facsímil")</f>
        <v>Abrir facsímil</v>
      </c>
      <c r="K14169" s="10" t="s">
        <v>24</v>
      </c>
    </row>
    <row r="14170" spans="1:11" ht="54" customHeight="1">
      <c r="A14170" s="9" t="s">
        <v>28846</v>
      </c>
      <c r="B14170" s="9" t="s">
        <v>28847</v>
      </c>
      <c r="C14170" s="9" t="s">
        <v>122</v>
      </c>
      <c r="D14170" s="9" t="s">
        <v>18</v>
      </c>
      <c r="E14170" s="10" t="s">
        <v>1402</v>
      </c>
      <c r="F14170" s="9" t="s">
        <v>1403</v>
      </c>
      <c r="G14170" s="10" t="s">
        <v>28</v>
      </c>
      <c r="H14170" s="9" t="s">
        <v>22</v>
      </c>
      <c r="I14170" s="9" t="s">
        <v>28848</v>
      </c>
      <c r="J14170" s="10" t="str">
        <f>HYPERLINK("https://www.boe.es/gazeta/dias/1834/05/05/pdfs/GMD-1834-74.pdf#page=5","Abrir facsímil")</f>
        <v>Abrir facsímil</v>
      </c>
      <c r="K14170" s="10" t="s">
        <v>24</v>
      </c>
    </row>
    <row r="14171" spans="1:11" ht="54" customHeight="1">
      <c r="A14171" s="9" t="s">
        <v>28849</v>
      </c>
      <c r="B14171" s="9" t="s">
        <v>28850</v>
      </c>
      <c r="C14171" s="9" t="s">
        <v>90</v>
      </c>
      <c r="D14171" s="9" t="s">
        <v>18</v>
      </c>
      <c r="E14171" s="10" t="s">
        <v>454</v>
      </c>
      <c r="F14171" s="9" t="s">
        <v>2009</v>
      </c>
      <c r="G14171" s="10" t="s">
        <v>21</v>
      </c>
      <c r="H14171" s="9" t="s">
        <v>22</v>
      </c>
      <c r="I14171" s="9" t="s">
        <v>28851</v>
      </c>
      <c r="J14171" s="10" t="str">
        <f>HYPERLINK("https://www.boe.es/gazeta/dias/1834/10/16/pdfs/GMD-1834-244.pdf#page=3","Abrir facsímil")</f>
        <v>Abrir facsímil</v>
      </c>
      <c r="K14171" s="10" t="s">
        <v>24</v>
      </c>
    </row>
    <row r="14172" spans="1:11" ht="54" customHeight="1">
      <c r="A14172" s="9" t="s">
        <v>28852</v>
      </c>
      <c r="B14172" s="9" t="s">
        <v>28853</v>
      </c>
      <c r="C14172" s="9" t="s">
        <v>17</v>
      </c>
      <c r="D14172" s="9" t="s">
        <v>18</v>
      </c>
      <c r="E14172" s="10" t="s">
        <v>1226</v>
      </c>
      <c r="F14172" s="9" t="s">
        <v>1227</v>
      </c>
      <c r="G14172" s="10" t="s">
        <v>21</v>
      </c>
      <c r="H14172" s="9" t="s">
        <v>22</v>
      </c>
      <c r="I14172" s="9" t="s">
        <v>28854</v>
      </c>
      <c r="J14172" s="10" t="str">
        <f>HYPERLINK("https://www.boe.es/gazeta/dias/1834/07/14/pdfs/GMD-1834-147.pdf#page=3","Abrir facsímil")</f>
        <v>Abrir facsímil</v>
      </c>
      <c r="K14172" s="10" t="s">
        <v>24</v>
      </c>
    </row>
    <row r="14173" spans="1:11" ht="54" customHeight="1">
      <c r="A14173" s="9" t="s">
        <v>28855</v>
      </c>
      <c r="B14173" s="9" t="s">
        <v>28855</v>
      </c>
      <c r="C14173" s="9" t="s">
        <v>857</v>
      </c>
      <c r="D14173" s="9" t="s">
        <v>18</v>
      </c>
      <c r="E14173" s="10" t="s">
        <v>73</v>
      </c>
      <c r="F14173" s="9" t="s">
        <v>74</v>
      </c>
      <c r="G14173" s="10" t="s">
        <v>75</v>
      </c>
      <c r="H14173" s="9" t="s">
        <v>22</v>
      </c>
      <c r="I14173" s="9" t="s">
        <v>28856</v>
      </c>
      <c r="J14173" s="10" t="str">
        <f>HYPERLINK("https://www.boe.es/gazeta/dias/1834/11/04/pdfs/GMD-1834-263.pdf#page=4","Abrir facsímil")</f>
        <v>Abrir facsímil</v>
      </c>
      <c r="K14173" s="10" t="s">
        <v>24</v>
      </c>
    </row>
    <row r="14174" spans="1:11" ht="54" customHeight="1">
      <c r="A14174" s="9" t="s">
        <v>28857</v>
      </c>
      <c r="B14174" s="9" t="s">
        <v>28858</v>
      </c>
      <c r="C14174" s="9" t="s">
        <v>17</v>
      </c>
      <c r="D14174" s="9" t="s">
        <v>18</v>
      </c>
      <c r="E14174" s="10" t="s">
        <v>615</v>
      </c>
      <c r="F14174" s="9" t="s">
        <v>616</v>
      </c>
      <c r="G14174" s="10" t="s">
        <v>75</v>
      </c>
      <c r="H14174" s="9" t="s">
        <v>22</v>
      </c>
      <c r="I14174" s="9" t="s">
        <v>28859</v>
      </c>
      <c r="J14174" s="10" t="str">
        <f>HYPERLINK("https://www.boe.es/gazeta/dias/1834/08/19/pdfs/GMD-1834-185.pdf#page=4","Abrir facsímil")</f>
        <v>Abrir facsímil</v>
      </c>
      <c r="K14174" s="10" t="s">
        <v>24</v>
      </c>
    </row>
    <row r="14175" spans="1:11" ht="54" customHeight="1">
      <c r="A14175" s="9" t="s">
        <v>28860</v>
      </c>
      <c r="B14175" s="9" t="s">
        <v>28860</v>
      </c>
      <c r="C14175" s="9" t="s">
        <v>46</v>
      </c>
      <c r="D14175" s="9" t="s">
        <v>18</v>
      </c>
      <c r="E14175" s="10" t="s">
        <v>1556</v>
      </c>
      <c r="F14175" s="9" t="s">
        <v>1557</v>
      </c>
      <c r="G14175" s="10" t="s">
        <v>86</v>
      </c>
      <c r="H14175" s="9" t="s">
        <v>22</v>
      </c>
      <c r="I14175" s="9" t="s">
        <v>28861</v>
      </c>
      <c r="J14175" s="10" t="str">
        <f>HYPERLINK("https://www.boe.es/gazeta/dias/1834/06/06/pdfs/GMD-1834-108.pdf#page=2","Abrir facsímil")</f>
        <v>Abrir facsímil</v>
      </c>
      <c r="K14175" s="10" t="s">
        <v>24</v>
      </c>
    </row>
    <row r="14176" spans="1:11" ht="54" customHeight="1">
      <c r="A14176" s="9" t="s">
        <v>28862</v>
      </c>
      <c r="B14176" s="9" t="s">
        <v>28863</v>
      </c>
      <c r="C14176" s="9" t="s">
        <v>17</v>
      </c>
      <c r="D14176" s="9" t="s">
        <v>18</v>
      </c>
      <c r="E14176" s="10" t="s">
        <v>237</v>
      </c>
      <c r="F14176" s="9" t="s">
        <v>4609</v>
      </c>
      <c r="G14176" s="10" t="s">
        <v>75</v>
      </c>
      <c r="H14176" s="9" t="s">
        <v>22</v>
      </c>
      <c r="I14176" s="9" t="s">
        <v>28864</v>
      </c>
      <c r="J14176" s="10" t="str">
        <f>HYPERLINK("https://www.boe.es/gazeta/dias/1834/08/15/pdfs/GMD-1834-180.pdf#page=4","Abrir facsímil")</f>
        <v>Abrir facsímil</v>
      </c>
      <c r="K14176" s="10" t="s">
        <v>24</v>
      </c>
    </row>
    <row r="14177" spans="1:11" ht="54" customHeight="1">
      <c r="A14177" s="9" t="s">
        <v>28865</v>
      </c>
      <c r="B14177" s="9" t="s">
        <v>28866</v>
      </c>
      <c r="C14177" s="9" t="s">
        <v>46</v>
      </c>
      <c r="D14177" s="9" t="s">
        <v>101</v>
      </c>
      <c r="E14177" s="10" t="s">
        <v>79</v>
      </c>
      <c r="F14177" s="9" t="s">
        <v>80</v>
      </c>
      <c r="G14177" s="10" t="s">
        <v>21</v>
      </c>
      <c r="H14177" s="9" t="s">
        <v>22</v>
      </c>
      <c r="I14177" s="9" t="s">
        <v>28867</v>
      </c>
      <c r="J14177" s="10" t="str">
        <f>HYPERLINK("https://www.boe.es/gazeta/dias/1834/07/12/pdfs/GMD-1834-145.pdf#page=3","Abrir facsímil")</f>
        <v>Abrir facsímil</v>
      </c>
      <c r="K14177" s="10" t="s">
        <v>24</v>
      </c>
    </row>
    <row r="14178" spans="1:11" ht="54" customHeight="1">
      <c r="A14178" s="9" t="s">
        <v>28868</v>
      </c>
      <c r="B14178" s="9" t="s">
        <v>28869</v>
      </c>
      <c r="C14178" s="9" t="s">
        <v>17</v>
      </c>
      <c r="D14178" s="9" t="s">
        <v>18</v>
      </c>
      <c r="E14178" s="10" t="s">
        <v>1351</v>
      </c>
      <c r="F14178" s="9" t="s">
        <v>1352</v>
      </c>
      <c r="G14178" s="10" t="s">
        <v>28</v>
      </c>
      <c r="H14178" s="9" t="s">
        <v>35</v>
      </c>
      <c r="I14178" s="9" t="s">
        <v>28870</v>
      </c>
      <c r="J14178" s="10" t="str">
        <f>HYPERLINK("https://www.boe.es/gazeta/dias/1834/07/05/pdfs/GMD-1834-138.pdf#page=5","Abrir facsímil")</f>
        <v>Abrir facsímil</v>
      </c>
      <c r="K14178" s="10" t="s">
        <v>37</v>
      </c>
    </row>
    <row r="14179" spans="1:11" ht="54" customHeight="1">
      <c r="A14179" s="9" t="s">
        <v>28871</v>
      </c>
      <c r="B14179" s="9" t="s">
        <v>28872</v>
      </c>
      <c r="C14179" s="9" t="s">
        <v>46</v>
      </c>
      <c r="D14179" s="9" t="s">
        <v>101</v>
      </c>
      <c r="E14179" s="10" t="s">
        <v>615</v>
      </c>
      <c r="F14179" s="9" t="s">
        <v>616</v>
      </c>
      <c r="G14179" s="10" t="s">
        <v>21</v>
      </c>
      <c r="H14179" s="9" t="s">
        <v>22</v>
      </c>
      <c r="I14179" s="9" t="s">
        <v>28873</v>
      </c>
      <c r="J14179" s="10" t="str">
        <f>HYPERLINK("https://www.boe.es/gazeta/dias/1834/08/19/pdfs/GMD-1834-185.pdf#page=3","Abrir facsímil")</f>
        <v>Abrir facsímil</v>
      </c>
      <c r="K14179" s="10" t="s">
        <v>24</v>
      </c>
    </row>
    <row r="14180" spans="1:11" ht="54" customHeight="1">
      <c r="A14180" s="9" t="s">
        <v>28874</v>
      </c>
      <c r="B14180" s="9" t="s">
        <v>28875</v>
      </c>
      <c r="C14180" s="9" t="s">
        <v>122</v>
      </c>
      <c r="D14180" s="9" t="s">
        <v>101</v>
      </c>
      <c r="E14180" s="10" t="s">
        <v>2379</v>
      </c>
      <c r="F14180" s="9" t="s">
        <v>2380</v>
      </c>
      <c r="G14180" s="10" t="s">
        <v>75</v>
      </c>
      <c r="H14180" s="9" t="s">
        <v>35</v>
      </c>
      <c r="I14180" s="9" t="s">
        <v>28876</v>
      </c>
      <c r="J14180" s="10" t="str">
        <f>HYPERLINK("https://www.boe.es/gazeta/dias/1834/04/03/pdfs/GMD-1834-42.pdf#page=4","Abrir facsímil")</f>
        <v>Abrir facsímil</v>
      </c>
      <c r="K14180" s="10" t="s">
        <v>37</v>
      </c>
    </row>
    <row r="14181" spans="1:11" ht="54" customHeight="1">
      <c r="A14181" s="9" t="s">
        <v>28877</v>
      </c>
      <c r="B14181" s="9" t="s">
        <v>28878</v>
      </c>
      <c r="C14181" s="9" t="s">
        <v>17</v>
      </c>
      <c r="D14181" s="9" t="s">
        <v>18</v>
      </c>
      <c r="E14181" s="10" t="s">
        <v>84</v>
      </c>
      <c r="F14181" s="9" t="s">
        <v>85</v>
      </c>
      <c r="G14181" s="10" t="s">
        <v>34</v>
      </c>
      <c r="H14181" s="9" t="s">
        <v>22</v>
      </c>
      <c r="I14181" s="9" t="s">
        <v>28879</v>
      </c>
      <c r="J14181" s="10" t="str">
        <f>HYPERLINK("https://www.boe.es/gazeta/dias/1834/06/07/pdfs/GMD-C-1834-109.pdf#page=1","Abrir facsímil")</f>
        <v>Abrir facsímil</v>
      </c>
      <c r="K14181" s="10" t="s">
        <v>24</v>
      </c>
    </row>
    <row r="14182" spans="1:11" ht="54" customHeight="1">
      <c r="A14182" s="9" t="s">
        <v>28880</v>
      </c>
      <c r="B14182" s="9" t="s">
        <v>28881</v>
      </c>
      <c r="C14182" s="9" t="s">
        <v>17</v>
      </c>
      <c r="D14182" s="9" t="s">
        <v>18</v>
      </c>
      <c r="E14182" s="10" t="s">
        <v>192</v>
      </c>
      <c r="F14182" s="9" t="s">
        <v>193</v>
      </c>
      <c r="G14182" s="10" t="s">
        <v>75</v>
      </c>
      <c r="H14182" s="9" t="s">
        <v>22</v>
      </c>
      <c r="I14182" s="9" t="s">
        <v>28882</v>
      </c>
      <c r="J14182" s="10" t="str">
        <f>HYPERLINK("https://www.boe.es/gazeta/dias/1834/12/31/pdfs/GMD-1834-321.pdf#page=4","Abrir facsímil")</f>
        <v>Abrir facsímil</v>
      </c>
      <c r="K14182" s="10" t="s">
        <v>24</v>
      </c>
    </row>
    <row r="14183" spans="1:11" ht="54" customHeight="1">
      <c r="A14183" s="9" t="s">
        <v>28883</v>
      </c>
      <c r="B14183" s="9" t="s">
        <v>28883</v>
      </c>
      <c r="C14183" s="9" t="s">
        <v>66</v>
      </c>
      <c r="D14183" s="9" t="s">
        <v>67</v>
      </c>
      <c r="E14183" s="10" t="s">
        <v>1297</v>
      </c>
      <c r="F14183" s="9" t="s">
        <v>1298</v>
      </c>
      <c r="G14183" s="10" t="s">
        <v>34</v>
      </c>
      <c r="H14183" s="9" t="s">
        <v>22</v>
      </c>
      <c r="I14183" s="9" t="s">
        <v>28884</v>
      </c>
      <c r="J14183" s="10" t="str">
        <f>HYPERLINK("https://www.boe.es/gazeta/dias/1834/08/01/pdfs/GMD-1834-165.pdf#page=1","Abrir facsímil")</f>
        <v>Abrir facsímil</v>
      </c>
      <c r="K14183" s="10" t="s">
        <v>24</v>
      </c>
    </row>
    <row r="14184" spans="1:11" ht="54" customHeight="1">
      <c r="A14184" s="9" t="s">
        <v>28885</v>
      </c>
      <c r="B14184" s="9" t="s">
        <v>28885</v>
      </c>
      <c r="C14184" s="9" t="s">
        <v>90</v>
      </c>
      <c r="D14184" s="9" t="s">
        <v>67</v>
      </c>
      <c r="E14184" s="10" t="s">
        <v>429</v>
      </c>
      <c r="F14184" s="9" t="s">
        <v>3421</v>
      </c>
      <c r="G14184" s="10" t="s">
        <v>86</v>
      </c>
      <c r="H14184" s="9" t="s">
        <v>22</v>
      </c>
      <c r="I14184" s="9" t="s">
        <v>28886</v>
      </c>
      <c r="J14184" s="10" t="str">
        <f>HYPERLINK("https://www.boe.es/gazeta/dias/1834/08/07/pdfs/GMD-1834-172.pdf#page=2","Abrir facsímil")</f>
        <v>Abrir facsímil</v>
      </c>
      <c r="K14184" s="10" t="s">
        <v>24</v>
      </c>
    </row>
    <row r="14185" spans="1:11" ht="54" customHeight="1">
      <c r="A14185" s="9" t="s">
        <v>28885</v>
      </c>
      <c r="B14185" s="9" t="s">
        <v>28885</v>
      </c>
      <c r="C14185" s="9" t="s">
        <v>66</v>
      </c>
      <c r="D14185" s="9" t="s">
        <v>67</v>
      </c>
      <c r="E14185" s="10" t="s">
        <v>403</v>
      </c>
      <c r="F14185" s="9" t="s">
        <v>3456</v>
      </c>
      <c r="G14185" s="10" t="s">
        <v>86</v>
      </c>
      <c r="H14185" s="9" t="s">
        <v>22</v>
      </c>
      <c r="I14185" s="9" t="s">
        <v>28887</v>
      </c>
      <c r="J14185" s="10" t="str">
        <f>HYPERLINK("https://www.boe.es/gazeta/dias/1834/09/25/pdfs/GMD-1834-223.pdf#page=2","Abrir facsímil")</f>
        <v>Abrir facsímil</v>
      </c>
      <c r="K14185" s="10" t="s">
        <v>24</v>
      </c>
    </row>
    <row r="14186" spans="1:11" ht="54" customHeight="1">
      <c r="A14186" s="9" t="s">
        <v>28885</v>
      </c>
      <c r="B14186" s="9" t="s">
        <v>28885</v>
      </c>
      <c r="C14186" s="9" t="s">
        <v>90</v>
      </c>
      <c r="D14186" s="9" t="s">
        <v>67</v>
      </c>
      <c r="E14186" s="10" t="s">
        <v>1689</v>
      </c>
      <c r="F14186" s="9" t="s">
        <v>1690</v>
      </c>
      <c r="G14186" s="10" t="s">
        <v>86</v>
      </c>
      <c r="H14186" s="9" t="s">
        <v>22</v>
      </c>
      <c r="I14186" s="9" t="s">
        <v>28888</v>
      </c>
      <c r="J14186" s="10" t="str">
        <f>HYPERLINK("https://www.boe.es/gazeta/dias/1834/07/28/pdfs/GMD-1834-161.pdf#page=2","Abrir facsímil")</f>
        <v>Abrir facsímil</v>
      </c>
      <c r="K14186" s="10" t="s">
        <v>24</v>
      </c>
    </row>
    <row r="14187" spans="1:11" ht="54" customHeight="1">
      <c r="A14187" s="9" t="s">
        <v>28889</v>
      </c>
      <c r="B14187" s="9" t="s">
        <v>28889</v>
      </c>
      <c r="C14187" s="9" t="s">
        <v>17</v>
      </c>
      <c r="D14187" s="9" t="s">
        <v>18</v>
      </c>
      <c r="E14187" s="10" t="s">
        <v>192</v>
      </c>
      <c r="F14187" s="9" t="s">
        <v>2713</v>
      </c>
      <c r="G14187" s="10" t="s">
        <v>75</v>
      </c>
      <c r="H14187" s="9" t="s">
        <v>22</v>
      </c>
      <c r="I14187" s="9" t="s">
        <v>28890</v>
      </c>
      <c r="J14187" s="10" t="str">
        <f>HYPERLINK("https://www.boe.es/gazeta/dias/1834/12/31/pdfs/GMD-C-1834-321.pdf#page=4","Abrir facsímil")</f>
        <v>Abrir facsímil</v>
      </c>
      <c r="K14187" s="10" t="s">
        <v>24</v>
      </c>
    </row>
    <row r="14188" spans="1:11" ht="54" customHeight="1">
      <c r="A14188" s="9" t="s">
        <v>28891</v>
      </c>
      <c r="B14188" s="9" t="s">
        <v>28891</v>
      </c>
      <c r="C14188" s="9" t="s">
        <v>66</v>
      </c>
      <c r="D14188" s="9" t="s">
        <v>18</v>
      </c>
      <c r="E14188" s="10" t="s">
        <v>339</v>
      </c>
      <c r="F14188" s="9" t="s">
        <v>340</v>
      </c>
      <c r="G14188" s="10" t="s">
        <v>75</v>
      </c>
      <c r="H14188" s="9" t="s">
        <v>22</v>
      </c>
      <c r="I14188" s="9" t="s">
        <v>28892</v>
      </c>
      <c r="J14188" s="10" t="str">
        <f>HYPERLINK("https://www.boe.es/gazeta/dias/1834/05/02/pdfs/GMD-1834-71.pdf#page=4","Abrir facsímil")</f>
        <v>Abrir facsímil</v>
      </c>
      <c r="K14188" s="10" t="s">
        <v>24</v>
      </c>
    </row>
    <row r="14189" spans="1:11" ht="54" customHeight="1">
      <c r="A14189" s="9" t="s">
        <v>28893</v>
      </c>
      <c r="B14189" s="9" t="s">
        <v>28893</v>
      </c>
      <c r="C14189" s="9" t="s">
        <v>17</v>
      </c>
      <c r="D14189" s="9" t="s">
        <v>18</v>
      </c>
      <c r="E14189" s="10" t="s">
        <v>849</v>
      </c>
      <c r="F14189" s="9" t="s">
        <v>850</v>
      </c>
      <c r="G14189" s="10" t="s">
        <v>75</v>
      </c>
      <c r="H14189" s="9" t="s">
        <v>22</v>
      </c>
      <c r="I14189" s="9" t="s">
        <v>28894</v>
      </c>
      <c r="J14189" s="10" t="str">
        <f>HYPERLINK("https://www.boe.es/gazeta/dias/1834/06/21/pdfs/GMD-1834-124.pdf#page=4","Abrir facsímil")</f>
        <v>Abrir facsímil</v>
      </c>
      <c r="K14189" s="10" t="s">
        <v>24</v>
      </c>
    </row>
    <row r="14190" spans="1:11" ht="54" customHeight="1">
      <c r="A14190" s="9" t="s">
        <v>28895</v>
      </c>
      <c r="B14190" s="9" t="s">
        <v>28896</v>
      </c>
      <c r="C14190" s="9" t="s">
        <v>17</v>
      </c>
      <c r="D14190" s="9" t="s">
        <v>18</v>
      </c>
      <c r="E14190" s="10" t="s">
        <v>2729</v>
      </c>
      <c r="F14190" s="9" t="s">
        <v>2730</v>
      </c>
      <c r="G14190" s="10" t="s">
        <v>21</v>
      </c>
      <c r="H14190" s="9" t="s">
        <v>22</v>
      </c>
      <c r="I14190" s="9" t="s">
        <v>28897</v>
      </c>
      <c r="J14190" s="10" t="str">
        <f>HYPERLINK("https://www.boe.es/gazeta/dias/1834/07/02/pdfs/GMD-1834-135.pdf#page=3","Abrir facsímil")</f>
        <v>Abrir facsímil</v>
      </c>
      <c r="K14190" s="10" t="s">
        <v>24</v>
      </c>
    </row>
    <row r="14191" spans="1:11" ht="54" customHeight="1">
      <c r="A14191" s="9" t="s">
        <v>28898</v>
      </c>
      <c r="B14191" s="9" t="s">
        <v>28898</v>
      </c>
      <c r="C14191" s="9" t="s">
        <v>17</v>
      </c>
      <c r="D14191" s="9" t="s">
        <v>18</v>
      </c>
      <c r="E14191" s="10" t="s">
        <v>1170</v>
      </c>
      <c r="F14191" s="9" t="s">
        <v>1171</v>
      </c>
      <c r="G14191" s="10" t="s">
        <v>34</v>
      </c>
      <c r="H14191" s="9" t="s">
        <v>22</v>
      </c>
      <c r="I14191" s="9" t="s">
        <v>28899</v>
      </c>
      <c r="J14191" s="10" t="str">
        <f>HYPERLINK("https://www.boe.es/gazeta/dias/1834/01/07/pdfs/GMD-1834-4.pdf#page=1","Abrir facsímil")</f>
        <v>Abrir facsímil</v>
      </c>
      <c r="K14191" s="10" t="s">
        <v>24</v>
      </c>
    </row>
    <row r="14192" spans="1:11" ht="54" customHeight="1">
      <c r="A14192" s="9" t="s">
        <v>28900</v>
      </c>
      <c r="B14192" s="9" t="s">
        <v>28901</v>
      </c>
      <c r="C14192" s="9" t="s">
        <v>17</v>
      </c>
      <c r="D14192" s="9" t="s">
        <v>18</v>
      </c>
      <c r="E14192" s="10" t="s">
        <v>1170</v>
      </c>
      <c r="F14192" s="9" t="s">
        <v>1171</v>
      </c>
      <c r="G14192" s="10" t="s">
        <v>34</v>
      </c>
      <c r="H14192" s="9" t="s">
        <v>22</v>
      </c>
      <c r="I14192" s="9" t="s">
        <v>28902</v>
      </c>
      <c r="J14192" s="10" t="str">
        <f>HYPERLINK("https://www.boe.es/gazeta/dias/1834/01/07/pdfs/GMD-1834-4.pdf#page=1","Abrir facsímil")</f>
        <v>Abrir facsímil</v>
      </c>
      <c r="K14192" s="10" t="s">
        <v>24</v>
      </c>
    </row>
    <row r="14193" spans="1:11" ht="54" customHeight="1">
      <c r="A14193" s="9" t="s">
        <v>28903</v>
      </c>
      <c r="B14193" s="9" t="s">
        <v>28904</v>
      </c>
      <c r="C14193" s="9" t="s">
        <v>17</v>
      </c>
      <c r="D14193" s="9" t="s">
        <v>18</v>
      </c>
      <c r="E14193" s="10" t="s">
        <v>1297</v>
      </c>
      <c r="F14193" s="9" t="s">
        <v>1298</v>
      </c>
      <c r="G14193" s="10" t="s">
        <v>21</v>
      </c>
      <c r="H14193" s="9" t="s">
        <v>22</v>
      </c>
      <c r="I14193" s="9" t="s">
        <v>28905</v>
      </c>
      <c r="J14193" s="10" t="str">
        <f>HYPERLINK("https://www.boe.es/gazeta/dias/1834/08/01/pdfs/GMD-1834-165.pdf#page=3","Abrir facsímil")</f>
        <v>Abrir facsímil</v>
      </c>
      <c r="K14193" s="10" t="s">
        <v>24</v>
      </c>
    </row>
    <row r="14194" spans="1:11" ht="54" customHeight="1">
      <c r="A14194" s="9" t="s">
        <v>28906</v>
      </c>
      <c r="B14194" s="9" t="s">
        <v>28906</v>
      </c>
      <c r="C14194" s="9" t="s">
        <v>17</v>
      </c>
      <c r="D14194" s="9" t="s">
        <v>18</v>
      </c>
      <c r="E14194" s="10" t="s">
        <v>891</v>
      </c>
      <c r="F14194" s="9" t="s">
        <v>892</v>
      </c>
      <c r="G14194" s="10" t="s">
        <v>34</v>
      </c>
      <c r="H14194" s="9" t="s">
        <v>22</v>
      </c>
      <c r="I14194" s="9" t="s">
        <v>28907</v>
      </c>
      <c r="J14194" s="10" t="str">
        <f>HYPERLINK("https://www.boe.es/gazeta/dias/1834/10/31/pdfs/GMD-C-1834-259.pdf#page=1","Abrir facsímil")</f>
        <v>Abrir facsímil</v>
      </c>
      <c r="K14194" s="10" t="s">
        <v>24</v>
      </c>
    </row>
    <row r="14195" spans="1:11" ht="54" customHeight="1">
      <c r="A14195" s="9" t="s">
        <v>28908</v>
      </c>
      <c r="B14195" s="9" t="s">
        <v>28908</v>
      </c>
      <c r="C14195" s="9" t="s">
        <v>46</v>
      </c>
      <c r="D14195" s="9" t="s">
        <v>55</v>
      </c>
      <c r="E14195" s="10" t="s">
        <v>1661</v>
      </c>
      <c r="F14195" s="9" t="s">
        <v>1662</v>
      </c>
      <c r="G14195" s="10" t="s">
        <v>86</v>
      </c>
      <c r="H14195" s="9" t="s">
        <v>22</v>
      </c>
      <c r="I14195" s="9" t="s">
        <v>28909</v>
      </c>
      <c r="J14195" s="10" t="str">
        <f>HYPERLINK("https://www.boe.es/gazeta/dias/1834/04/06/pdfs/GMD-1834-45.pdf#page=2","Abrir facsímil")</f>
        <v>Abrir facsímil</v>
      </c>
      <c r="K14195" s="10" t="s">
        <v>24</v>
      </c>
    </row>
    <row r="14196" spans="1:11" ht="54" customHeight="1">
      <c r="A14196" s="9" t="s">
        <v>28910</v>
      </c>
      <c r="B14196" s="9" t="s">
        <v>28911</v>
      </c>
      <c r="C14196" s="9" t="s">
        <v>17</v>
      </c>
      <c r="D14196" s="9" t="s">
        <v>18</v>
      </c>
      <c r="E14196" s="10" t="s">
        <v>2218</v>
      </c>
      <c r="F14196" s="9" t="s">
        <v>2219</v>
      </c>
      <c r="G14196" s="10" t="s">
        <v>21</v>
      </c>
      <c r="H14196" s="9" t="s">
        <v>22</v>
      </c>
      <c r="I14196" s="9" t="s">
        <v>28912</v>
      </c>
      <c r="J14196" s="10" t="str">
        <f>HYPERLINK("https://www.boe.es/gazeta/dias/1834/11/05/pdfs/GMD-1834-264.pdf#page=3","Abrir facsímil")</f>
        <v>Abrir facsímil</v>
      </c>
      <c r="K14196" s="10" t="s">
        <v>24</v>
      </c>
    </row>
    <row r="14197" spans="1:11" ht="54" customHeight="1">
      <c r="A14197" s="9" t="s">
        <v>28913</v>
      </c>
      <c r="B14197" s="9" t="s">
        <v>28913</v>
      </c>
      <c r="C14197" s="9" t="s">
        <v>17</v>
      </c>
      <c r="D14197" s="9" t="s">
        <v>18</v>
      </c>
      <c r="E14197" s="10" t="s">
        <v>334</v>
      </c>
      <c r="F14197" s="9" t="s">
        <v>335</v>
      </c>
      <c r="G14197" s="10" t="s">
        <v>86</v>
      </c>
      <c r="H14197" s="9" t="s">
        <v>22</v>
      </c>
      <c r="I14197" s="9" t="s">
        <v>28914</v>
      </c>
      <c r="J14197" s="10" t="str">
        <f>HYPERLINK("https://www.boe.es/gazeta/dias/1834/09/11/pdfs/GMD-C-1834-209.pdf#page=2","Abrir facsímil")</f>
        <v>Abrir facsímil</v>
      </c>
      <c r="K14197" s="10" t="s">
        <v>24</v>
      </c>
    </row>
    <row r="14198" spans="1:11" ht="54" customHeight="1">
      <c r="A14198" s="9" t="s">
        <v>28915</v>
      </c>
      <c r="B14198" s="9" t="s">
        <v>28916</v>
      </c>
      <c r="C14198" s="9" t="s">
        <v>90</v>
      </c>
      <c r="D14198" s="9" t="s">
        <v>18</v>
      </c>
      <c r="E14198" s="10" t="s">
        <v>541</v>
      </c>
      <c r="F14198" s="9" t="s">
        <v>542</v>
      </c>
      <c r="G14198" s="10" t="s">
        <v>86</v>
      </c>
      <c r="H14198" s="9" t="s">
        <v>22</v>
      </c>
      <c r="I14198" s="9" t="s">
        <v>28917</v>
      </c>
      <c r="J14198" s="10" t="str">
        <f>HYPERLINK("https://www.boe.es/gazeta/dias/1834/04/18/pdfs/GMD-1834-57.pdf#page=2","Abrir facsímil")</f>
        <v>Abrir facsímil</v>
      </c>
      <c r="K14198" s="10" t="s">
        <v>24</v>
      </c>
    </row>
    <row r="14199" spans="1:11" ht="54" customHeight="1">
      <c r="A14199" s="9" t="s">
        <v>28918</v>
      </c>
      <c r="B14199" s="9" t="s">
        <v>28918</v>
      </c>
      <c r="C14199" s="9" t="s">
        <v>46</v>
      </c>
      <c r="D14199" s="9" t="s">
        <v>101</v>
      </c>
      <c r="E14199" s="10" t="s">
        <v>2287</v>
      </c>
      <c r="F14199" s="9" t="s">
        <v>2288</v>
      </c>
      <c r="G14199" s="10" t="s">
        <v>176</v>
      </c>
      <c r="H14199" s="9" t="s">
        <v>22</v>
      </c>
      <c r="I14199" s="9" t="s">
        <v>28919</v>
      </c>
      <c r="J14199" s="10" t="str">
        <f>HYPERLINK("https://www.boe.es/gazeta/dias/1834/12/18/pdfs/GMD-C-1834-308.pdf#page=6","Abrir facsímil")</f>
        <v>Abrir facsímil</v>
      </c>
      <c r="K14199" s="10" t="s">
        <v>24</v>
      </c>
    </row>
    <row r="14200" spans="1:11" ht="54" customHeight="1">
      <c r="A14200" s="9" t="s">
        <v>28920</v>
      </c>
      <c r="B14200" s="9" t="s">
        <v>28920</v>
      </c>
      <c r="C14200" s="9" t="s">
        <v>17</v>
      </c>
      <c r="D14200" s="9" t="s">
        <v>18</v>
      </c>
      <c r="E14200" s="10" t="s">
        <v>11991</v>
      </c>
      <c r="F14200" s="9" t="s">
        <v>11992</v>
      </c>
      <c r="G14200" s="10" t="s">
        <v>34</v>
      </c>
      <c r="H14200" s="9" t="s">
        <v>22</v>
      </c>
      <c r="I14200" s="9" t="s">
        <v>28921</v>
      </c>
      <c r="J14200" s="10" t="str">
        <f>HYPERLINK("https://www.boe.es/gazeta/dias/1834/12/05/pdfs/GMD-C-1834-294.pdf#page=1","Abrir facsímil")</f>
        <v>Abrir facsímil</v>
      </c>
      <c r="K14200" s="10" t="s">
        <v>24</v>
      </c>
    </row>
    <row r="14201" spans="1:11" ht="54" customHeight="1">
      <c r="A14201" s="9" t="s">
        <v>28920</v>
      </c>
      <c r="B14201" s="9" t="s">
        <v>28920</v>
      </c>
      <c r="C14201" s="9" t="s">
        <v>66</v>
      </c>
      <c r="D14201" s="9" t="s">
        <v>67</v>
      </c>
      <c r="E14201" s="10" t="s">
        <v>364</v>
      </c>
      <c r="F14201" s="9" t="s">
        <v>365</v>
      </c>
      <c r="G14201" s="10" t="s">
        <v>86</v>
      </c>
      <c r="H14201" s="9" t="s">
        <v>22</v>
      </c>
      <c r="I14201" s="9" t="s">
        <v>28922</v>
      </c>
      <c r="J14201" s="10" t="str">
        <f>HYPERLINK("https://www.boe.es/gazeta/dias/1834/09/06/pdfs/GMD-C-1834-204.pdf#page=2","Abrir facsímil")</f>
        <v>Abrir facsímil</v>
      </c>
      <c r="K14201" s="10" t="s">
        <v>24</v>
      </c>
    </row>
    <row r="14202" spans="1:11" ht="54" customHeight="1">
      <c r="A14202" s="9" t="s">
        <v>28920</v>
      </c>
      <c r="B14202" s="9" t="s">
        <v>28920</v>
      </c>
      <c r="C14202" s="9" t="s">
        <v>17</v>
      </c>
      <c r="D14202" s="9" t="s">
        <v>18</v>
      </c>
      <c r="E14202" s="10" t="s">
        <v>2287</v>
      </c>
      <c r="F14202" s="9" t="s">
        <v>2288</v>
      </c>
      <c r="G14202" s="10" t="s">
        <v>176</v>
      </c>
      <c r="H14202" s="9" t="s">
        <v>22</v>
      </c>
      <c r="I14202" s="9" t="s">
        <v>28923</v>
      </c>
      <c r="J14202" s="10" t="str">
        <f>HYPERLINK("https://www.boe.es/gazeta/dias/1834/12/18/pdfs/GMD-C-1834-308.pdf#page=6","Abrir facsímil")</f>
        <v>Abrir facsímil</v>
      </c>
      <c r="K14202" s="10" t="s">
        <v>24</v>
      </c>
    </row>
    <row r="14203" spans="1:11" ht="54" customHeight="1">
      <c r="A14203" s="9" t="s">
        <v>28920</v>
      </c>
      <c r="B14203" s="9" t="s">
        <v>28920</v>
      </c>
      <c r="C14203" s="9" t="s">
        <v>17</v>
      </c>
      <c r="D14203" s="9" t="s">
        <v>18</v>
      </c>
      <c r="E14203" s="10" t="s">
        <v>268</v>
      </c>
      <c r="F14203" s="9" t="s">
        <v>269</v>
      </c>
      <c r="G14203" s="10" t="s">
        <v>34</v>
      </c>
      <c r="H14203" s="9" t="s">
        <v>22</v>
      </c>
      <c r="I14203" s="9" t="s">
        <v>28924</v>
      </c>
      <c r="J14203" s="10" t="str">
        <f>HYPERLINK("https://www.boe.es/gazeta/dias/1834/12/19/pdfs/GMD-C-1834-309.pdf#page=1","Abrir facsímil")</f>
        <v>Abrir facsímil</v>
      </c>
      <c r="K14203" s="10" t="s">
        <v>24</v>
      </c>
    </row>
    <row r="14204" spans="1:11" ht="54" customHeight="1">
      <c r="A14204" s="9" t="s">
        <v>28925</v>
      </c>
      <c r="B14204" s="9" t="s">
        <v>28926</v>
      </c>
      <c r="C14204" s="9" t="s">
        <v>90</v>
      </c>
      <c r="D14204" s="9" t="s">
        <v>18</v>
      </c>
      <c r="E14204" s="10" t="s">
        <v>2087</v>
      </c>
      <c r="F14204" s="9" t="s">
        <v>2267</v>
      </c>
      <c r="G14204" s="10" t="s">
        <v>34</v>
      </c>
      <c r="H14204" s="9" t="s">
        <v>35</v>
      </c>
      <c r="I14204" s="9" t="s">
        <v>28927</v>
      </c>
      <c r="J14204" s="10" t="str">
        <f>HYPERLINK("https://www.boe.es/gazeta/dias/1834/12/14/pdfs/GMD-C-1834-303.pdf#page=1","Abrir facsímil")</f>
        <v>Abrir facsímil</v>
      </c>
      <c r="K14204" s="10" t="s">
        <v>37</v>
      </c>
    </row>
    <row r="14205" spans="1:11" ht="54" customHeight="1">
      <c r="A14205" s="9" t="s">
        <v>28928</v>
      </c>
      <c r="B14205" s="9" t="s">
        <v>28929</v>
      </c>
      <c r="C14205" s="9" t="s">
        <v>46</v>
      </c>
      <c r="D14205" s="9" t="s">
        <v>101</v>
      </c>
      <c r="E14205" s="10" t="s">
        <v>615</v>
      </c>
      <c r="F14205" s="9" t="s">
        <v>1205</v>
      </c>
      <c r="G14205" s="10" t="s">
        <v>34</v>
      </c>
      <c r="H14205" s="9" t="s">
        <v>22</v>
      </c>
      <c r="I14205" s="9" t="s">
        <v>28930</v>
      </c>
      <c r="J14205" s="10" t="str">
        <f>HYPERLINK("https://www.boe.es/gazeta/dias/1834/08/19/pdfs/GMD-D-1834-185.pdf#page=1","Abrir facsímil")</f>
        <v>Abrir facsímil</v>
      </c>
      <c r="K14205" s="10" t="s">
        <v>24</v>
      </c>
    </row>
    <row r="14206" spans="1:11" ht="54" customHeight="1">
      <c r="A14206" s="9" t="s">
        <v>28931</v>
      </c>
      <c r="B14206" s="9" t="s">
        <v>28932</v>
      </c>
      <c r="C14206" s="9" t="s">
        <v>90</v>
      </c>
      <c r="D14206" s="9" t="s">
        <v>18</v>
      </c>
      <c r="E14206" s="10" t="s">
        <v>2087</v>
      </c>
      <c r="F14206" s="9" t="s">
        <v>2267</v>
      </c>
      <c r="G14206" s="10" t="s">
        <v>34</v>
      </c>
      <c r="H14206" s="9" t="s">
        <v>22</v>
      </c>
      <c r="I14206" s="9" t="s">
        <v>28933</v>
      </c>
      <c r="J14206" s="10" t="str">
        <f>HYPERLINK("https://www.boe.es/gazeta/dias/1834/12/14/pdfs/GMD-C-1834-303.pdf#page=1","Abrir facsímil")</f>
        <v>Abrir facsímil</v>
      </c>
      <c r="K14206" s="10" t="s">
        <v>24</v>
      </c>
    </row>
    <row r="14207" spans="1:11" ht="54" customHeight="1">
      <c r="A14207" s="9" t="s">
        <v>28934</v>
      </c>
      <c r="B14207" s="9" t="s">
        <v>28935</v>
      </c>
      <c r="C14207" s="9" t="s">
        <v>122</v>
      </c>
      <c r="D14207" s="9" t="s">
        <v>18</v>
      </c>
      <c r="E14207" s="10" t="s">
        <v>2087</v>
      </c>
      <c r="F14207" s="9" t="s">
        <v>2267</v>
      </c>
      <c r="G14207" s="10" t="s">
        <v>34</v>
      </c>
      <c r="H14207" s="9" t="s">
        <v>22</v>
      </c>
      <c r="I14207" s="9" t="s">
        <v>28936</v>
      </c>
      <c r="J14207" s="10" t="str">
        <f>HYPERLINK("https://www.boe.es/gazeta/dias/1834/12/14/pdfs/GMD-C-1834-303.pdf#page=1","Abrir facsímil")</f>
        <v>Abrir facsímil</v>
      </c>
      <c r="K14207" s="10" t="s">
        <v>24</v>
      </c>
    </row>
    <row r="14208" spans="1:11" ht="54" customHeight="1">
      <c r="A14208" s="9" t="s">
        <v>28937</v>
      </c>
      <c r="B14208" s="9" t="s">
        <v>28938</v>
      </c>
      <c r="C14208" s="9" t="s">
        <v>17</v>
      </c>
      <c r="D14208" s="9" t="s">
        <v>18</v>
      </c>
      <c r="E14208" s="10" t="s">
        <v>47</v>
      </c>
      <c r="F14208" s="9" t="s">
        <v>48</v>
      </c>
      <c r="G14208" s="10" t="s">
        <v>34</v>
      </c>
      <c r="H14208" s="9" t="s">
        <v>22</v>
      </c>
      <c r="I14208" s="9" t="s">
        <v>28939</v>
      </c>
      <c r="J14208" s="10" t="str">
        <f>HYPERLINK("https://www.boe.es/gazeta/dias/1834/09/05/pdfs/GMD-C-1834-203.pdf#page=1","Abrir facsímil")</f>
        <v>Abrir facsímil</v>
      </c>
      <c r="K14208" s="10" t="s">
        <v>24</v>
      </c>
    </row>
    <row r="14209" spans="1:11" ht="54" customHeight="1">
      <c r="A14209" s="9" t="s">
        <v>28937</v>
      </c>
      <c r="B14209" s="9" t="s">
        <v>28938</v>
      </c>
      <c r="C14209" s="9" t="s">
        <v>66</v>
      </c>
      <c r="D14209" s="9" t="s">
        <v>67</v>
      </c>
      <c r="E14209" s="10" t="s">
        <v>753</v>
      </c>
      <c r="F14209" s="9" t="s">
        <v>754</v>
      </c>
      <c r="G14209" s="10" t="s">
        <v>34</v>
      </c>
      <c r="H14209" s="9" t="s">
        <v>22</v>
      </c>
      <c r="I14209" s="9" t="s">
        <v>28940</v>
      </c>
      <c r="J14209" s="10" t="str">
        <f>HYPERLINK("https://www.boe.es/gazeta/dias/1834/04/21/pdfs/GMD-1834-60.pdf#page=1","Abrir facsímil")</f>
        <v>Abrir facsímil</v>
      </c>
      <c r="K14209" s="10" t="s">
        <v>24</v>
      </c>
    </row>
    <row r="14210" spans="1:11" ht="54" customHeight="1">
      <c r="A14210" s="9" t="s">
        <v>28941</v>
      </c>
      <c r="B14210" s="9" t="s">
        <v>28941</v>
      </c>
      <c r="C14210" s="9" t="s">
        <v>17</v>
      </c>
      <c r="D14210" s="9" t="s">
        <v>18</v>
      </c>
      <c r="E14210" s="10" t="s">
        <v>4105</v>
      </c>
      <c r="F14210" s="9" t="s">
        <v>4106</v>
      </c>
      <c r="G14210" s="10" t="s">
        <v>176</v>
      </c>
      <c r="H14210" s="9" t="s">
        <v>22</v>
      </c>
      <c r="I14210" s="9" t="s">
        <v>28942</v>
      </c>
      <c r="J14210" s="10" t="str">
        <f>HYPERLINK("https://www.boe.es/gazeta/dias/1834/09/02/pdfs/GMD-C-1834-200.pdf#page=6","Abrir facsímil")</f>
        <v>Abrir facsímil</v>
      </c>
      <c r="K14210" s="10" t="s">
        <v>24</v>
      </c>
    </row>
    <row r="14211" spans="1:11" ht="54" customHeight="1">
      <c r="A14211" s="9" t="s">
        <v>28943</v>
      </c>
      <c r="B14211" s="9" t="s">
        <v>28944</v>
      </c>
      <c r="C14211" s="9" t="s">
        <v>90</v>
      </c>
      <c r="D14211" s="9" t="s">
        <v>101</v>
      </c>
      <c r="E14211" s="10" t="s">
        <v>981</v>
      </c>
      <c r="F14211" s="9" t="s">
        <v>982</v>
      </c>
      <c r="G14211" s="10" t="s">
        <v>86</v>
      </c>
      <c r="H14211" s="9" t="s">
        <v>22</v>
      </c>
      <c r="I14211" s="9" t="s">
        <v>28945</v>
      </c>
      <c r="J14211" s="10" t="str">
        <f>HYPERLINK("https://www.boe.es/gazeta/dias/1834/09/21/pdfs/GMD-1834-219.pdf#page=2","Abrir facsímil")</f>
        <v>Abrir facsímil</v>
      </c>
      <c r="K14211" s="10" t="s">
        <v>24</v>
      </c>
    </row>
    <row r="14212" spans="1:11" ht="54" customHeight="1">
      <c r="A14212" s="9" t="s">
        <v>28946</v>
      </c>
      <c r="B14212" s="9" t="s">
        <v>28946</v>
      </c>
      <c r="C14212" s="9" t="s">
        <v>17</v>
      </c>
      <c r="D14212" s="9" t="s">
        <v>55</v>
      </c>
      <c r="E14212" s="10" t="s">
        <v>667</v>
      </c>
      <c r="F14212" s="9" t="s">
        <v>3347</v>
      </c>
      <c r="G14212" s="10" t="s">
        <v>21</v>
      </c>
      <c r="H14212" s="9" t="s">
        <v>22</v>
      </c>
      <c r="I14212" s="9" t="s">
        <v>28947</v>
      </c>
      <c r="J14212" s="10" t="str">
        <f>HYPERLINK("https://www.boe.es/gazeta/dias/1834/11/23/pdfs/GMD-1834-282.pdf#page=3","Abrir facsímil")</f>
        <v>Abrir facsímil</v>
      </c>
      <c r="K14212" s="10" t="s">
        <v>24</v>
      </c>
    </row>
    <row r="14213" spans="1:11" ht="54" customHeight="1">
      <c r="A14213" s="9" t="s">
        <v>28948</v>
      </c>
      <c r="B14213" s="9" t="s">
        <v>28949</v>
      </c>
      <c r="C14213" s="9" t="s">
        <v>46</v>
      </c>
      <c r="D14213" s="9" t="s">
        <v>101</v>
      </c>
      <c r="E14213" s="10" t="s">
        <v>2260</v>
      </c>
      <c r="F14213" s="9" t="s">
        <v>2261</v>
      </c>
      <c r="G14213" s="10" t="s">
        <v>34</v>
      </c>
      <c r="H14213" s="9" t="s">
        <v>22</v>
      </c>
      <c r="I14213" s="9" t="s">
        <v>28950</v>
      </c>
      <c r="J14213" s="10" t="str">
        <f>HYPERLINK("https://www.boe.es/gazeta/dias/1834/11/13/pdfs/GMD-1834-272.pdf#page=1","Abrir facsímil")</f>
        <v>Abrir facsímil</v>
      </c>
      <c r="K14213" s="10" t="s">
        <v>24</v>
      </c>
    </row>
    <row r="14214" spans="1:11" ht="54" customHeight="1">
      <c r="A14214" s="9" t="s">
        <v>28951</v>
      </c>
      <c r="B14214" s="9" t="s">
        <v>28952</v>
      </c>
      <c r="C14214" s="9" t="s">
        <v>17</v>
      </c>
      <c r="D14214" s="9" t="s">
        <v>18</v>
      </c>
      <c r="E14214" s="10" t="s">
        <v>454</v>
      </c>
      <c r="F14214" s="9" t="s">
        <v>2009</v>
      </c>
      <c r="G14214" s="10" t="s">
        <v>21</v>
      </c>
      <c r="H14214" s="9" t="s">
        <v>22</v>
      </c>
      <c r="I14214" s="9" t="s">
        <v>28953</v>
      </c>
      <c r="J14214" s="10" t="str">
        <f>HYPERLINK("https://www.boe.es/gazeta/dias/1834/10/16/pdfs/GMD-1834-244.pdf#page=3","Abrir facsímil")</f>
        <v>Abrir facsímil</v>
      </c>
      <c r="K14214" s="10" t="s">
        <v>24</v>
      </c>
    </row>
    <row r="14215" spans="1:11" ht="54" customHeight="1">
      <c r="A14215" s="9" t="s">
        <v>28954</v>
      </c>
      <c r="B14215" s="9" t="s">
        <v>28955</v>
      </c>
      <c r="C14215" s="9" t="s">
        <v>17</v>
      </c>
      <c r="D14215" s="9" t="s">
        <v>101</v>
      </c>
      <c r="E14215" s="10" t="s">
        <v>283</v>
      </c>
      <c r="F14215" s="9" t="s">
        <v>284</v>
      </c>
      <c r="G14215" s="10" t="s">
        <v>34</v>
      </c>
      <c r="H14215" s="9" t="s">
        <v>22</v>
      </c>
      <c r="I14215" s="9" t="s">
        <v>28956</v>
      </c>
      <c r="J14215" s="10" t="str">
        <f>HYPERLINK("https://www.boe.es/gazeta/dias/1834/11/29/pdfs/GMD-C-1834-288.pdf#page=1","Abrir facsímil")</f>
        <v>Abrir facsímil</v>
      </c>
      <c r="K14215" s="10" t="s">
        <v>24</v>
      </c>
    </row>
    <row r="14216" spans="1:11" ht="54" customHeight="1">
      <c r="A14216" s="9" t="s">
        <v>28957</v>
      </c>
      <c r="B14216" s="9" t="s">
        <v>28958</v>
      </c>
      <c r="C14216" s="9" t="s">
        <v>90</v>
      </c>
      <c r="D14216" s="9" t="s">
        <v>18</v>
      </c>
      <c r="E14216" s="10" t="s">
        <v>1340</v>
      </c>
      <c r="F14216" s="9" t="s">
        <v>1341</v>
      </c>
      <c r="G14216" s="10" t="s">
        <v>75</v>
      </c>
      <c r="H14216" s="9" t="s">
        <v>22</v>
      </c>
      <c r="I14216" s="9" t="s">
        <v>28959</v>
      </c>
      <c r="J14216" s="10" t="str">
        <f>HYPERLINK("https://www.boe.es/gazeta/dias/1834/10/05/pdfs/GMD-C-1834-233.pdf#page=4","Abrir facsímil")</f>
        <v>Abrir facsímil</v>
      </c>
      <c r="K14216" s="10" t="s">
        <v>24</v>
      </c>
    </row>
    <row r="14217" spans="1:11" ht="54" customHeight="1">
      <c r="A14217" s="9" t="s">
        <v>28960</v>
      </c>
      <c r="B14217" s="9" t="s">
        <v>28961</v>
      </c>
      <c r="C14217" s="9" t="s">
        <v>90</v>
      </c>
      <c r="D14217" s="9" t="s">
        <v>18</v>
      </c>
      <c r="E14217" s="10" t="s">
        <v>465</v>
      </c>
      <c r="F14217" s="9" t="s">
        <v>466</v>
      </c>
      <c r="G14217" s="10" t="s">
        <v>176</v>
      </c>
      <c r="H14217" s="9" t="s">
        <v>22</v>
      </c>
      <c r="I14217" s="9" t="s">
        <v>28962</v>
      </c>
      <c r="J14217" s="10" t="str">
        <f>HYPERLINK("https://www.boe.es/gazeta/dias/1834/11/27/pdfs/GMD-C-1834-286.pdf#page=6","Abrir facsímil")</f>
        <v>Abrir facsímil</v>
      </c>
      <c r="K14217" s="10" t="s">
        <v>24</v>
      </c>
    </row>
    <row r="14218" spans="1:11" ht="54" customHeight="1">
      <c r="A14218" s="9" t="s">
        <v>28963</v>
      </c>
      <c r="B14218" s="9" t="s">
        <v>28964</v>
      </c>
      <c r="C14218" s="9" t="s">
        <v>90</v>
      </c>
      <c r="D14218" s="9" t="s">
        <v>18</v>
      </c>
      <c r="E14218" s="10" t="s">
        <v>465</v>
      </c>
      <c r="F14218" s="9" t="s">
        <v>466</v>
      </c>
      <c r="G14218" s="10" t="s">
        <v>176</v>
      </c>
      <c r="H14218" s="9" t="s">
        <v>35</v>
      </c>
      <c r="I14218" s="9" t="s">
        <v>28965</v>
      </c>
      <c r="J14218" s="10" t="str">
        <f>HYPERLINK("https://www.boe.es/gazeta/dias/1834/11/27/pdfs/GMD-C-1834-286.pdf#page=6","Abrir facsímil")</f>
        <v>Abrir facsímil</v>
      </c>
      <c r="K14218" s="10" t="s">
        <v>37</v>
      </c>
    </row>
    <row r="14219" spans="1:11" ht="54" customHeight="1">
      <c r="A14219" s="9" t="s">
        <v>28966</v>
      </c>
      <c r="B14219" s="9" t="s">
        <v>28967</v>
      </c>
      <c r="C14219" s="9" t="s">
        <v>122</v>
      </c>
      <c r="D14219" s="9" t="s">
        <v>18</v>
      </c>
      <c r="E14219" s="10" t="s">
        <v>1307</v>
      </c>
      <c r="F14219" s="9" t="s">
        <v>1308</v>
      </c>
      <c r="G14219" s="10" t="s">
        <v>21</v>
      </c>
      <c r="H14219" s="9" t="s">
        <v>22</v>
      </c>
      <c r="I14219" s="9" t="s">
        <v>28968</v>
      </c>
      <c r="J14219" s="10" t="str">
        <f>HYPERLINK("https://www.boe.es/gazeta/dias/1834/08/25/pdfs/GMD-1834-191.pdf#page=3","Abrir facsímil")</f>
        <v>Abrir facsímil</v>
      </c>
      <c r="K14219" s="10" t="s">
        <v>24</v>
      </c>
    </row>
    <row r="14220" spans="1:11" ht="54" customHeight="1">
      <c r="A14220" s="9" t="s">
        <v>28969</v>
      </c>
      <c r="B14220" s="9" t="s">
        <v>28970</v>
      </c>
      <c r="C14220" s="9" t="s">
        <v>90</v>
      </c>
      <c r="D14220" s="9" t="s">
        <v>18</v>
      </c>
      <c r="E14220" s="10" t="s">
        <v>426</v>
      </c>
      <c r="F14220" s="9" t="s">
        <v>694</v>
      </c>
      <c r="G14220" s="10" t="s">
        <v>34</v>
      </c>
      <c r="H14220" s="9" t="s">
        <v>35</v>
      </c>
      <c r="I14220" s="9" t="s">
        <v>28971</v>
      </c>
      <c r="J14220" s="10" t="str">
        <f>HYPERLINK("https://www.boe.es/gazeta/dias/1834/10/04/pdfs/GMD-C-1834-232.pdf#page=1","Abrir facsímil")</f>
        <v>Abrir facsímil</v>
      </c>
      <c r="K14220" s="10" t="s">
        <v>37</v>
      </c>
    </row>
    <row r="14221" spans="1:11" ht="54" customHeight="1">
      <c r="A14221" s="9" t="s">
        <v>28972</v>
      </c>
      <c r="B14221" s="9" t="s">
        <v>28973</v>
      </c>
      <c r="C14221" s="9" t="s">
        <v>90</v>
      </c>
      <c r="D14221" s="9" t="s">
        <v>18</v>
      </c>
      <c r="E14221" s="10" t="s">
        <v>426</v>
      </c>
      <c r="F14221" s="9" t="s">
        <v>694</v>
      </c>
      <c r="G14221" s="10" t="s">
        <v>34</v>
      </c>
      <c r="H14221" s="9" t="s">
        <v>22</v>
      </c>
      <c r="I14221" s="9" t="s">
        <v>28974</v>
      </c>
      <c r="J14221" s="10" t="str">
        <f>HYPERLINK("https://www.boe.es/gazeta/dias/1834/10/04/pdfs/GMD-C-1834-232.pdf#page=1","Abrir facsímil")</f>
        <v>Abrir facsímil</v>
      </c>
      <c r="K14221" s="10" t="s">
        <v>24</v>
      </c>
    </row>
    <row r="14222" spans="1:11" ht="54" customHeight="1">
      <c r="A14222" s="9" t="s">
        <v>28975</v>
      </c>
      <c r="B14222" s="9" t="s">
        <v>28975</v>
      </c>
      <c r="C14222" s="9" t="s">
        <v>66</v>
      </c>
      <c r="D14222" s="9" t="s">
        <v>67</v>
      </c>
      <c r="E14222" s="10" t="s">
        <v>785</v>
      </c>
      <c r="F14222" s="9" t="s">
        <v>786</v>
      </c>
      <c r="G14222" s="10" t="s">
        <v>86</v>
      </c>
      <c r="H14222" s="9" t="s">
        <v>22</v>
      </c>
      <c r="I14222" s="9" t="s">
        <v>28976</v>
      </c>
      <c r="J14222" s="10" t="str">
        <f>HYPERLINK("https://www.boe.es/gazeta/dias/1834/02/11/pdfs/GMD-1834-19.pdf#page=2","Abrir facsímil")</f>
        <v>Abrir facsímil</v>
      </c>
      <c r="K14222" s="10" t="s">
        <v>24</v>
      </c>
    </row>
    <row r="14223" spans="1:11" ht="54" customHeight="1">
      <c r="A14223" s="9" t="s">
        <v>28977</v>
      </c>
      <c r="B14223" s="9" t="s">
        <v>28977</v>
      </c>
      <c r="C14223" s="9" t="s">
        <v>17</v>
      </c>
      <c r="D14223" s="9" t="s">
        <v>18</v>
      </c>
      <c r="E14223" s="10" t="s">
        <v>444</v>
      </c>
      <c r="F14223" s="9" t="s">
        <v>2412</v>
      </c>
      <c r="G14223" s="10" t="s">
        <v>86</v>
      </c>
      <c r="H14223" s="9" t="s">
        <v>22</v>
      </c>
      <c r="I14223" s="9" t="s">
        <v>28978</v>
      </c>
      <c r="J14223" s="10" t="str">
        <f>HYPERLINK("https://www.boe.es/gazeta/dias/1834/09/12/pdfs/GMD-1834-210.pdf#page=2","Abrir facsímil")</f>
        <v>Abrir facsímil</v>
      </c>
      <c r="K14223" s="10" t="s">
        <v>24</v>
      </c>
    </row>
    <row r="14224" spans="1:11" ht="54" customHeight="1">
      <c r="A14224" s="9" t="s">
        <v>28979</v>
      </c>
      <c r="B14224" s="9" t="s">
        <v>28980</v>
      </c>
      <c r="C14224" s="9" t="s">
        <v>17</v>
      </c>
      <c r="D14224" s="9" t="s">
        <v>55</v>
      </c>
      <c r="E14224" s="10" t="s">
        <v>367</v>
      </c>
      <c r="F14224" s="9" t="s">
        <v>368</v>
      </c>
      <c r="G14224" s="10" t="s">
        <v>75</v>
      </c>
      <c r="H14224" s="9" t="s">
        <v>22</v>
      </c>
      <c r="I14224" s="9" t="s">
        <v>28981</v>
      </c>
      <c r="J14224" s="10" t="str">
        <f>HYPERLINK("https://www.boe.es/gazeta/dias/1834/05/19/pdfs/GMD-1834-88.pdf#page=4","Abrir facsímil")</f>
        <v>Abrir facsímil</v>
      </c>
      <c r="K14224" s="10" t="s">
        <v>24</v>
      </c>
    </row>
    <row r="14225" spans="1:11" ht="54" customHeight="1">
      <c r="A14225" s="9" t="s">
        <v>28982</v>
      </c>
      <c r="B14225" s="9" t="s">
        <v>28982</v>
      </c>
      <c r="C14225" s="9" t="s">
        <v>17</v>
      </c>
      <c r="D14225" s="9" t="s">
        <v>55</v>
      </c>
      <c r="E14225" s="10" t="s">
        <v>200</v>
      </c>
      <c r="F14225" s="9" t="s">
        <v>201</v>
      </c>
      <c r="G14225" s="10" t="s">
        <v>75</v>
      </c>
      <c r="H14225" s="9" t="s">
        <v>22</v>
      </c>
      <c r="I14225" s="9" t="s">
        <v>28983</v>
      </c>
      <c r="J14225" s="10" t="str">
        <f>HYPERLINK("https://www.boe.es/gazeta/dias/1834/12/11/pdfs/GMD-1834-300.pdf#page=4","Abrir facsímil")</f>
        <v>Abrir facsímil</v>
      </c>
      <c r="K14225" s="10" t="s">
        <v>24</v>
      </c>
    </row>
    <row r="14226" spans="1:11" ht="54" customHeight="1">
      <c r="A14226" s="9" t="s">
        <v>28984</v>
      </c>
      <c r="B14226" s="9" t="s">
        <v>28985</v>
      </c>
      <c r="C14226" s="9" t="s">
        <v>17</v>
      </c>
      <c r="D14226" s="9" t="s">
        <v>18</v>
      </c>
      <c r="E14226" s="10" t="s">
        <v>571</v>
      </c>
      <c r="F14226" s="9" t="s">
        <v>620</v>
      </c>
      <c r="G14226" s="10" t="s">
        <v>34</v>
      </c>
      <c r="H14226" s="9" t="s">
        <v>22</v>
      </c>
      <c r="I14226" s="9" t="s">
        <v>28986</v>
      </c>
      <c r="J14226" s="10" t="str">
        <f>HYPERLINK("https://www.boe.es/gazeta/dias/1834/09/04/pdfs/GMD-C-1834-202.pdf#page=1","Abrir facsímil")</f>
        <v>Abrir facsímil</v>
      </c>
      <c r="K14226" s="10" t="s">
        <v>24</v>
      </c>
    </row>
    <row r="14227" spans="1:11" ht="54" customHeight="1">
      <c r="A14227" s="9" t="s">
        <v>28987</v>
      </c>
      <c r="B14227" s="9" t="s">
        <v>28987</v>
      </c>
      <c r="C14227" s="9" t="s">
        <v>17</v>
      </c>
      <c r="D14227" s="9" t="s">
        <v>18</v>
      </c>
      <c r="E14227" s="10" t="s">
        <v>4237</v>
      </c>
      <c r="F14227" s="9" t="s">
        <v>4238</v>
      </c>
      <c r="G14227" s="10" t="s">
        <v>21</v>
      </c>
      <c r="H14227" s="9" t="s">
        <v>22</v>
      </c>
      <c r="I14227" s="9" t="s">
        <v>28988</v>
      </c>
      <c r="J14227" s="10" t="str">
        <f>HYPERLINK("https://www.boe.es/gazeta/dias/1834/06/17/pdfs/GMD-1834-120.pdf#page=3","Abrir facsímil")</f>
        <v>Abrir facsímil</v>
      </c>
      <c r="K14227" s="10" t="s">
        <v>24</v>
      </c>
    </row>
    <row r="14228" spans="1:11" ht="54" customHeight="1">
      <c r="A14228" s="9" t="s">
        <v>28989</v>
      </c>
      <c r="B14228" s="9" t="s">
        <v>28989</v>
      </c>
      <c r="C14228" s="9" t="s">
        <v>66</v>
      </c>
      <c r="D14228" s="9" t="s">
        <v>67</v>
      </c>
      <c r="E14228" s="10" t="s">
        <v>47</v>
      </c>
      <c r="F14228" s="9" t="s">
        <v>1466</v>
      </c>
      <c r="G14228" s="10" t="s">
        <v>86</v>
      </c>
      <c r="H14228" s="9" t="s">
        <v>22</v>
      </c>
      <c r="I14228" s="9" t="s">
        <v>28990</v>
      </c>
      <c r="J14228" s="10" t="str">
        <f>HYPERLINK("https://www.boe.es/gazeta/dias/1834/09/05/pdfs/GMD-1834-203.pdf#page=2","Abrir facsímil")</f>
        <v>Abrir facsímil</v>
      </c>
      <c r="K14228" s="10" t="s">
        <v>24</v>
      </c>
    </row>
    <row r="14229" spans="1:11" ht="54" customHeight="1">
      <c r="A14229" s="9" t="s">
        <v>28991</v>
      </c>
      <c r="B14229" s="9" t="s">
        <v>28991</v>
      </c>
      <c r="C14229" s="9" t="s">
        <v>17</v>
      </c>
      <c r="D14229" s="9" t="s">
        <v>18</v>
      </c>
      <c r="E14229" s="10" t="s">
        <v>679</v>
      </c>
      <c r="F14229" s="9" t="s">
        <v>680</v>
      </c>
      <c r="G14229" s="10" t="s">
        <v>86</v>
      </c>
      <c r="H14229" s="9" t="s">
        <v>22</v>
      </c>
      <c r="I14229" s="9" t="s">
        <v>28992</v>
      </c>
      <c r="J14229" s="10" t="str">
        <f>HYPERLINK("https://www.boe.es/gazeta/dias/1834/12/10/pdfs/GMD-1834-299.pdf#page=2","Abrir facsímil")</f>
        <v>Abrir facsímil</v>
      </c>
      <c r="K14229" s="10" t="s">
        <v>24</v>
      </c>
    </row>
    <row r="14230" spans="1:11" ht="54" customHeight="1">
      <c r="A14230" s="9" t="s">
        <v>28993</v>
      </c>
      <c r="B14230" s="9" t="s">
        <v>28993</v>
      </c>
      <c r="C14230" s="9" t="s">
        <v>17</v>
      </c>
      <c r="D14230" s="9" t="s">
        <v>18</v>
      </c>
      <c r="E14230" s="10" t="s">
        <v>3036</v>
      </c>
      <c r="F14230" s="9" t="s">
        <v>3037</v>
      </c>
      <c r="G14230" s="10" t="s">
        <v>176</v>
      </c>
      <c r="H14230" s="9" t="s">
        <v>22</v>
      </c>
      <c r="I14230" s="9" t="s">
        <v>28994</v>
      </c>
      <c r="J14230" s="10" t="str">
        <f>HYPERLINK("https://www.boe.es/gazeta/dias/1834/11/18/pdfs/GMD-C-1834-277.pdf#page=6","Abrir facsímil")</f>
        <v>Abrir facsímil</v>
      </c>
      <c r="K14230" s="10" t="s">
        <v>24</v>
      </c>
    </row>
    <row r="14231" spans="1:11" ht="54" customHeight="1">
      <c r="A14231" s="9" t="s">
        <v>28995</v>
      </c>
      <c r="B14231" s="9" t="s">
        <v>28996</v>
      </c>
      <c r="C14231" s="9" t="s">
        <v>17</v>
      </c>
      <c r="D14231" s="9" t="s">
        <v>40</v>
      </c>
      <c r="E14231" s="10" t="s">
        <v>96</v>
      </c>
      <c r="F14231" s="9" t="s">
        <v>97</v>
      </c>
      <c r="G14231" s="10" t="s">
        <v>34</v>
      </c>
      <c r="H14231" s="9" t="s">
        <v>22</v>
      </c>
      <c r="I14231" s="9" t="s">
        <v>28997</v>
      </c>
      <c r="J14231" s="10" t="str">
        <f>HYPERLINK("https://www.boe.es/gazeta/dias/1834/11/11/pdfs/GMD-C-1834-270.pdf#page=1","Abrir facsímil")</f>
        <v>Abrir facsímil</v>
      </c>
      <c r="K14231" s="10" t="s">
        <v>24</v>
      </c>
    </row>
    <row r="14232" spans="1:11" ht="54" customHeight="1">
      <c r="A14232" s="9" t="s">
        <v>28998</v>
      </c>
      <c r="B14232" s="9" t="s">
        <v>28999</v>
      </c>
      <c r="C14232" s="9" t="s">
        <v>17</v>
      </c>
      <c r="D14232" s="9" t="s">
        <v>18</v>
      </c>
      <c r="E14232" s="10" t="s">
        <v>2153</v>
      </c>
      <c r="F14232" s="9" t="s">
        <v>2154</v>
      </c>
      <c r="G14232" s="10" t="s">
        <v>86</v>
      </c>
      <c r="H14232" s="9" t="s">
        <v>22</v>
      </c>
      <c r="I14232" s="9" t="s">
        <v>29000</v>
      </c>
      <c r="J14232" s="10" t="str">
        <f>HYPERLINK("https://www.boe.es/gazeta/dias/1834/01/23/pdfs/GMD-1834-11.pdf#page=2","Abrir facsímil")</f>
        <v>Abrir facsímil</v>
      </c>
      <c r="K14232" s="10" t="s">
        <v>24</v>
      </c>
    </row>
    <row r="14233" spans="1:11" ht="54" customHeight="1">
      <c r="A14233" s="9" t="s">
        <v>29001</v>
      </c>
      <c r="B14233" s="9" t="s">
        <v>29001</v>
      </c>
      <c r="C14233" s="9" t="s">
        <v>122</v>
      </c>
      <c r="D14233" s="9" t="s">
        <v>18</v>
      </c>
      <c r="E14233" s="10" t="s">
        <v>758</v>
      </c>
      <c r="F14233" s="9" t="s">
        <v>759</v>
      </c>
      <c r="G14233" s="10" t="s">
        <v>86</v>
      </c>
      <c r="H14233" s="9" t="s">
        <v>22</v>
      </c>
      <c r="I14233" s="9" t="s">
        <v>29002</v>
      </c>
      <c r="J14233" s="10" t="str">
        <f>HYPERLINK("https://www.boe.es/gazeta/dias/1834/01/04/pdfs/GMD-1834-3.pdf#page=2","Abrir facsímil")</f>
        <v>Abrir facsímil</v>
      </c>
      <c r="K14233" s="10" t="s">
        <v>24</v>
      </c>
    </row>
    <row r="14234" spans="1:11" ht="54" customHeight="1">
      <c r="A14234" s="9" t="s">
        <v>29003</v>
      </c>
      <c r="B14234" s="9" t="s">
        <v>29004</v>
      </c>
      <c r="C14234" s="9" t="s">
        <v>90</v>
      </c>
      <c r="D14234" s="9" t="s">
        <v>18</v>
      </c>
      <c r="E14234" s="10" t="s">
        <v>3025</v>
      </c>
      <c r="F14234" s="9" t="s">
        <v>3026</v>
      </c>
      <c r="G14234" s="10" t="s">
        <v>34</v>
      </c>
      <c r="H14234" s="9" t="s">
        <v>22</v>
      </c>
      <c r="I14234" s="9" t="s">
        <v>29005</v>
      </c>
      <c r="J14234" s="10" t="str">
        <f>HYPERLINK("https://www.boe.es/gazeta/dias/1834/05/25/pdfs/GMD-1834-94.pdf#page=1","Abrir facsímil")</f>
        <v>Abrir facsímil</v>
      </c>
      <c r="K14234" s="10" t="s">
        <v>24</v>
      </c>
    </row>
    <row r="14235" spans="1:11" ht="54" customHeight="1">
      <c r="A14235" s="9" t="s">
        <v>29006</v>
      </c>
      <c r="B14235" s="9" t="s">
        <v>29006</v>
      </c>
      <c r="C14235" s="9" t="s">
        <v>66</v>
      </c>
      <c r="D14235" s="9" t="s">
        <v>67</v>
      </c>
      <c r="E14235" s="10" t="s">
        <v>367</v>
      </c>
      <c r="F14235" s="9" t="s">
        <v>368</v>
      </c>
      <c r="G14235" s="10" t="s">
        <v>86</v>
      </c>
      <c r="H14235" s="9" t="s">
        <v>22</v>
      </c>
      <c r="I14235" s="9" t="s">
        <v>29007</v>
      </c>
      <c r="J14235" s="10" t="str">
        <f>HYPERLINK("https://www.boe.es/gazeta/dias/1834/05/19/pdfs/GMD-1834-88.pdf#page=2","Abrir facsímil")</f>
        <v>Abrir facsímil</v>
      </c>
      <c r="K14235" s="10" t="s">
        <v>24</v>
      </c>
    </row>
    <row r="14236" spans="1:11" ht="54" customHeight="1">
      <c r="A14236" s="9" t="s">
        <v>29008</v>
      </c>
      <c r="B14236" s="9" t="s">
        <v>29009</v>
      </c>
      <c r="C14236" s="9" t="s">
        <v>90</v>
      </c>
      <c r="D14236" s="9" t="s">
        <v>101</v>
      </c>
      <c r="E14236" s="10" t="s">
        <v>1351</v>
      </c>
      <c r="F14236" s="9" t="s">
        <v>1352</v>
      </c>
      <c r="G14236" s="10" t="s">
        <v>28</v>
      </c>
      <c r="H14236" s="9" t="s">
        <v>22</v>
      </c>
      <c r="I14236" s="9" t="s">
        <v>29010</v>
      </c>
      <c r="J14236" s="10" t="str">
        <f>HYPERLINK("https://www.boe.es/gazeta/dias/1834/07/05/pdfs/GMD-1834-138.pdf#page=5","Abrir facsímil")</f>
        <v>Abrir facsímil</v>
      </c>
      <c r="K14236" s="10" t="s">
        <v>24</v>
      </c>
    </row>
    <row r="14237" spans="1:11" ht="54" customHeight="1">
      <c r="A14237" s="9" t="s">
        <v>29011</v>
      </c>
      <c r="B14237" s="9" t="s">
        <v>29012</v>
      </c>
      <c r="C14237" s="9" t="s">
        <v>90</v>
      </c>
      <c r="D14237" s="9" t="s">
        <v>101</v>
      </c>
      <c r="E14237" s="10" t="s">
        <v>1351</v>
      </c>
      <c r="F14237" s="9" t="s">
        <v>1352</v>
      </c>
      <c r="G14237" s="10" t="s">
        <v>28</v>
      </c>
      <c r="H14237" s="9" t="s">
        <v>35</v>
      </c>
      <c r="I14237" s="9" t="s">
        <v>29013</v>
      </c>
      <c r="J14237" s="10" t="str">
        <f>HYPERLINK("https://www.boe.es/gazeta/dias/1834/07/05/pdfs/GMD-1834-138.pdf#page=5","Abrir facsímil")</f>
        <v>Abrir facsímil</v>
      </c>
      <c r="K14237" s="10" t="s">
        <v>37</v>
      </c>
    </row>
    <row r="14238" spans="1:11" ht="54" customHeight="1">
      <c r="A14238" s="9" t="s">
        <v>29014</v>
      </c>
      <c r="B14238" s="9" t="s">
        <v>29014</v>
      </c>
      <c r="C14238" s="9" t="s">
        <v>66</v>
      </c>
      <c r="D14238" s="9" t="s">
        <v>67</v>
      </c>
      <c r="E14238" s="10" t="s">
        <v>912</v>
      </c>
      <c r="F14238" s="9" t="s">
        <v>913</v>
      </c>
      <c r="G14238" s="10" t="s">
        <v>21</v>
      </c>
      <c r="H14238" s="9" t="s">
        <v>22</v>
      </c>
      <c r="I14238" s="9" t="s">
        <v>29015</v>
      </c>
      <c r="J14238" s="10" t="str">
        <f>HYPERLINK("https://www.boe.es/gazeta/dias/1834/02/15/pdfs/GMD-1834-21.pdf#page=3","Abrir facsímil")</f>
        <v>Abrir facsímil</v>
      </c>
      <c r="K14238" s="10" t="s">
        <v>24</v>
      </c>
    </row>
    <row r="14239" spans="1:11" ht="54" customHeight="1">
      <c r="A14239" s="9" t="s">
        <v>29016</v>
      </c>
      <c r="B14239" s="9" t="s">
        <v>29016</v>
      </c>
      <c r="C14239" s="9" t="s">
        <v>90</v>
      </c>
      <c r="D14239" s="9" t="s">
        <v>67</v>
      </c>
      <c r="E14239" s="10" t="s">
        <v>451</v>
      </c>
      <c r="F14239" s="9" t="s">
        <v>3350</v>
      </c>
      <c r="G14239" s="10" t="s">
        <v>21</v>
      </c>
      <c r="H14239" s="9" t="s">
        <v>22</v>
      </c>
      <c r="I14239" s="9" t="s">
        <v>29017</v>
      </c>
      <c r="J14239" s="10" t="str">
        <f>HYPERLINK("https://www.boe.es/gazeta/dias/1834/10/15/pdfs/GMD-1834-243.pdf#page=3","Abrir facsímil")</f>
        <v>Abrir facsímil</v>
      </c>
      <c r="K14239" s="10" t="s">
        <v>24</v>
      </c>
    </row>
    <row r="14240" spans="1:11" ht="54" customHeight="1">
      <c r="A14240" s="9" t="s">
        <v>29018</v>
      </c>
      <c r="B14240" s="9" t="s">
        <v>29018</v>
      </c>
      <c r="C14240" s="9" t="s">
        <v>17</v>
      </c>
      <c r="D14240" s="9" t="s">
        <v>18</v>
      </c>
      <c r="E14240" s="10" t="s">
        <v>4064</v>
      </c>
      <c r="F14240" s="9" t="s">
        <v>4065</v>
      </c>
      <c r="G14240" s="10" t="s">
        <v>21</v>
      </c>
      <c r="H14240" s="9" t="s">
        <v>22</v>
      </c>
      <c r="I14240" s="9" t="s">
        <v>29019</v>
      </c>
      <c r="J14240" s="10" t="str">
        <f>HYPERLINK("https://www.boe.es/gazeta/dias/1834/07/22/pdfs/GMD-1834-155.pdf#page=3","Abrir facsímil")</f>
        <v>Abrir facsímil</v>
      </c>
      <c r="K14240" s="10" t="s">
        <v>24</v>
      </c>
    </row>
    <row r="14241" spans="1:11" ht="54" customHeight="1">
      <c r="A14241" s="9" t="s">
        <v>29020</v>
      </c>
      <c r="B14241" s="9" t="s">
        <v>29020</v>
      </c>
      <c r="C14241" s="9" t="s">
        <v>66</v>
      </c>
      <c r="D14241" s="9" t="s">
        <v>67</v>
      </c>
      <c r="E14241" s="10" t="s">
        <v>642</v>
      </c>
      <c r="F14241" s="9" t="s">
        <v>643</v>
      </c>
      <c r="G14241" s="10" t="s">
        <v>75</v>
      </c>
      <c r="H14241" s="9" t="s">
        <v>22</v>
      </c>
      <c r="I14241" s="9" t="s">
        <v>29021</v>
      </c>
      <c r="J14241" s="10" t="str">
        <f>HYPERLINK("https://www.boe.es/gazeta/dias/1834/11/12/pdfs/GMD-C-1834-271.pdf#page=4","Abrir facsímil")</f>
        <v>Abrir facsímil</v>
      </c>
      <c r="K14241" s="10" t="s">
        <v>24</v>
      </c>
    </row>
    <row r="14242" spans="1:11" ht="54" customHeight="1">
      <c r="A14242" s="9" t="s">
        <v>29020</v>
      </c>
      <c r="B14242" s="9" t="s">
        <v>29020</v>
      </c>
      <c r="C14242" s="9" t="s">
        <v>17</v>
      </c>
      <c r="D14242" s="9" t="s">
        <v>18</v>
      </c>
      <c r="E14242" s="10" t="s">
        <v>237</v>
      </c>
      <c r="F14242" s="9" t="s">
        <v>238</v>
      </c>
      <c r="G14242" s="10" t="s">
        <v>86</v>
      </c>
      <c r="H14242" s="9" t="s">
        <v>22</v>
      </c>
      <c r="I14242" s="9" t="s">
        <v>29022</v>
      </c>
      <c r="J14242" s="10" t="str">
        <f>HYPERLINK("https://www.boe.es/gazeta/dias/1834/08/15/pdfs/GMD-C-1834-180.pdf#page=2","Abrir facsímil")</f>
        <v>Abrir facsímil</v>
      </c>
      <c r="K14242" s="10" t="s">
        <v>24</v>
      </c>
    </row>
    <row r="14243" spans="1:11" ht="54" customHeight="1">
      <c r="A14243" s="9" t="s">
        <v>29020</v>
      </c>
      <c r="B14243" s="9" t="s">
        <v>29020</v>
      </c>
      <c r="C14243" s="9" t="s">
        <v>46</v>
      </c>
      <c r="D14243" s="9" t="s">
        <v>18</v>
      </c>
      <c r="E14243" s="10" t="s">
        <v>454</v>
      </c>
      <c r="F14243" s="9" t="s">
        <v>455</v>
      </c>
      <c r="G14243" s="10" t="s">
        <v>75</v>
      </c>
      <c r="H14243" s="9" t="s">
        <v>22</v>
      </c>
      <c r="I14243" s="9" t="s">
        <v>29023</v>
      </c>
      <c r="J14243" s="10" t="str">
        <f>HYPERLINK("https://www.boe.es/gazeta/dias/1834/10/16/pdfs/GMD-C-1834-244.pdf#page=4","Abrir facsímil")</f>
        <v>Abrir facsímil</v>
      </c>
      <c r="K14243" s="10" t="s">
        <v>24</v>
      </c>
    </row>
    <row r="14244" spans="1:11" ht="54" customHeight="1">
      <c r="A14244" s="9" t="s">
        <v>29024</v>
      </c>
      <c r="B14244" s="9" t="s">
        <v>29025</v>
      </c>
      <c r="C14244" s="9" t="s">
        <v>17</v>
      </c>
      <c r="D14244" s="9" t="s">
        <v>18</v>
      </c>
      <c r="E14244" s="10" t="s">
        <v>268</v>
      </c>
      <c r="F14244" s="9" t="s">
        <v>269</v>
      </c>
      <c r="G14244" s="10" t="s">
        <v>34</v>
      </c>
      <c r="H14244" s="9" t="s">
        <v>22</v>
      </c>
      <c r="I14244" s="9" t="s">
        <v>29026</v>
      </c>
      <c r="J14244" s="10" t="str">
        <f>HYPERLINK("https://www.boe.es/gazeta/dias/1834/12/19/pdfs/GMD-C-1834-309.pdf#page=1","Abrir facsímil")</f>
        <v>Abrir facsímil</v>
      </c>
      <c r="K14244" s="10" t="s">
        <v>24</v>
      </c>
    </row>
    <row r="14245" spans="1:11" ht="54" customHeight="1">
      <c r="A14245" s="9" t="s">
        <v>29027</v>
      </c>
      <c r="B14245" s="9" t="s">
        <v>29028</v>
      </c>
      <c r="C14245" s="9" t="s">
        <v>46</v>
      </c>
      <c r="D14245" s="9" t="s">
        <v>101</v>
      </c>
      <c r="E14245" s="10" t="s">
        <v>233</v>
      </c>
      <c r="F14245" s="9" t="s">
        <v>1810</v>
      </c>
      <c r="G14245" s="10" t="s">
        <v>28</v>
      </c>
      <c r="H14245" s="9" t="s">
        <v>22</v>
      </c>
      <c r="I14245" s="9" t="s">
        <v>29029</v>
      </c>
      <c r="J14245" s="10" t="str">
        <f>HYPERLINK("https://www.boe.es/gazeta/dias/1834/12/16/pdfs/GMD-C-1834-305.pdf#page=5","Abrir facsímil")</f>
        <v>Abrir facsímil</v>
      </c>
      <c r="K14245" s="10" t="s">
        <v>24</v>
      </c>
    </row>
    <row r="14246" spans="1:11" ht="54" customHeight="1">
      <c r="A14246" s="9" t="s">
        <v>29030</v>
      </c>
      <c r="B14246" s="9" t="s">
        <v>29031</v>
      </c>
      <c r="C14246" s="9" t="s">
        <v>17</v>
      </c>
      <c r="D14246" s="9" t="s">
        <v>18</v>
      </c>
      <c r="E14246" s="10" t="s">
        <v>1084</v>
      </c>
      <c r="F14246" s="9" t="s">
        <v>1085</v>
      </c>
      <c r="G14246" s="10" t="s">
        <v>28</v>
      </c>
      <c r="H14246" s="9" t="s">
        <v>22</v>
      </c>
      <c r="I14246" s="9" t="s">
        <v>29032</v>
      </c>
      <c r="J14246" s="10" t="str">
        <f>HYPERLINK("https://www.boe.es/gazeta/dias/1834/05/01/pdfs/GMD-1834-70.pdf#page=5","Abrir facsímil")</f>
        <v>Abrir facsímil</v>
      </c>
      <c r="K14246" s="10" t="s">
        <v>24</v>
      </c>
    </row>
    <row r="14247" spans="1:11" ht="54" customHeight="1">
      <c r="A14247" s="9" t="s">
        <v>29033</v>
      </c>
      <c r="B14247" s="9" t="s">
        <v>29034</v>
      </c>
      <c r="C14247" s="9" t="s">
        <v>90</v>
      </c>
      <c r="D14247" s="9" t="s">
        <v>67</v>
      </c>
      <c r="E14247" s="10" t="s">
        <v>1351</v>
      </c>
      <c r="F14247" s="9" t="s">
        <v>1352</v>
      </c>
      <c r="G14247" s="10" t="s">
        <v>75</v>
      </c>
      <c r="H14247" s="9" t="s">
        <v>35</v>
      </c>
      <c r="I14247" s="9" t="s">
        <v>29035</v>
      </c>
      <c r="J14247" s="10" t="str">
        <f>HYPERLINK("https://www.boe.es/gazeta/dias/1834/07/05/pdfs/GMD-1834-138.pdf#page=4","Abrir facsímil")</f>
        <v>Abrir facsímil</v>
      </c>
      <c r="K14247" s="10" t="s">
        <v>37</v>
      </c>
    </row>
    <row r="14248" spans="1:11" ht="54" customHeight="1">
      <c r="A14248" s="9" t="s">
        <v>29036</v>
      </c>
      <c r="B14248" s="9" t="s">
        <v>29037</v>
      </c>
      <c r="C14248" s="9" t="s">
        <v>17</v>
      </c>
      <c r="D14248" s="9" t="s">
        <v>18</v>
      </c>
      <c r="E14248" s="10" t="s">
        <v>785</v>
      </c>
      <c r="F14248" s="9" t="s">
        <v>786</v>
      </c>
      <c r="G14248" s="10" t="s">
        <v>34</v>
      </c>
      <c r="H14248" s="9" t="s">
        <v>22</v>
      </c>
      <c r="I14248" s="9" t="s">
        <v>29038</v>
      </c>
      <c r="J14248" s="10" t="str">
        <f>HYPERLINK("https://www.boe.es/gazeta/dias/1834/02/11/pdfs/GMD-1834-19.pdf#page=1","Abrir facsímil")</f>
        <v>Abrir facsímil</v>
      </c>
      <c r="K14248" s="10" t="s">
        <v>24</v>
      </c>
    </row>
    <row r="14249" spans="1:11" ht="54" customHeight="1">
      <c r="A14249" s="9" t="s">
        <v>29039</v>
      </c>
      <c r="B14249" s="9" t="s">
        <v>29040</v>
      </c>
      <c r="C14249" s="9" t="s">
        <v>90</v>
      </c>
      <c r="D14249" s="9" t="s">
        <v>67</v>
      </c>
      <c r="E14249" s="10" t="s">
        <v>1351</v>
      </c>
      <c r="F14249" s="9" t="s">
        <v>1352</v>
      </c>
      <c r="G14249" s="10" t="s">
        <v>75</v>
      </c>
      <c r="H14249" s="9" t="s">
        <v>22</v>
      </c>
      <c r="I14249" s="9" t="s">
        <v>29041</v>
      </c>
      <c r="J14249" s="10" t="str">
        <f>HYPERLINK("https://www.boe.es/gazeta/dias/1834/07/05/pdfs/GMD-1834-138.pdf#page=4","Abrir facsímil")</f>
        <v>Abrir facsímil</v>
      </c>
      <c r="K14249" s="10" t="s">
        <v>24</v>
      </c>
    </row>
    <row r="14250" spans="1:11" ht="54" customHeight="1">
      <c r="A14250" s="9" t="s">
        <v>29042</v>
      </c>
      <c r="B14250" s="9" t="s">
        <v>29043</v>
      </c>
      <c r="C14250" s="9" t="s">
        <v>66</v>
      </c>
      <c r="D14250" s="9" t="s">
        <v>67</v>
      </c>
      <c r="E14250" s="10" t="s">
        <v>334</v>
      </c>
      <c r="F14250" s="9" t="s">
        <v>335</v>
      </c>
      <c r="G14250" s="10" t="s">
        <v>86</v>
      </c>
      <c r="H14250" s="9" t="s">
        <v>22</v>
      </c>
      <c r="I14250" s="9" t="s">
        <v>29044</v>
      </c>
      <c r="J14250" s="10" t="str">
        <f>HYPERLINK("https://www.boe.es/gazeta/dias/1834/09/11/pdfs/GMD-C-1834-209.pdf#page=2","Abrir facsímil")</f>
        <v>Abrir facsímil</v>
      </c>
      <c r="K14250" s="10" t="s">
        <v>24</v>
      </c>
    </row>
    <row r="14251" spans="1:11" ht="54" customHeight="1">
      <c r="A14251" s="9" t="s">
        <v>29042</v>
      </c>
      <c r="B14251" s="9" t="s">
        <v>29043</v>
      </c>
      <c r="C14251" s="9" t="s">
        <v>17</v>
      </c>
      <c r="D14251" s="9" t="s">
        <v>18</v>
      </c>
      <c r="E14251" s="10" t="s">
        <v>627</v>
      </c>
      <c r="F14251" s="9" t="s">
        <v>628</v>
      </c>
      <c r="G14251" s="10" t="s">
        <v>560</v>
      </c>
      <c r="H14251" s="9" t="s">
        <v>22</v>
      </c>
      <c r="I14251" s="9" t="s">
        <v>29045</v>
      </c>
      <c r="J14251" s="10" t="str">
        <f>HYPERLINK("https://www.boe.es/gazeta/dias/1834/09/22/pdfs/GMD-C-1834-220.pdf#page=7","Abrir facsímil")</f>
        <v>Abrir facsímil</v>
      </c>
      <c r="K14251" s="10" t="s">
        <v>24</v>
      </c>
    </row>
    <row r="14252" spans="1:11" ht="54" customHeight="1">
      <c r="A14252" s="9" t="s">
        <v>29042</v>
      </c>
      <c r="B14252" s="9" t="s">
        <v>29043</v>
      </c>
      <c r="C14252" s="9" t="s">
        <v>17</v>
      </c>
      <c r="D14252" s="9" t="s">
        <v>18</v>
      </c>
      <c r="E14252" s="10" t="s">
        <v>294</v>
      </c>
      <c r="F14252" s="9" t="s">
        <v>959</v>
      </c>
      <c r="G14252" s="10" t="s">
        <v>86</v>
      </c>
      <c r="H14252" s="9" t="s">
        <v>22</v>
      </c>
      <c r="I14252" s="9" t="s">
        <v>29046</v>
      </c>
      <c r="J14252" s="10" t="str">
        <f>HYPERLINK("https://www.boe.es/gazeta/dias/1834/09/27/pdfs/GMD-C-1834-225.pdf#page=2","Abrir facsímil")</f>
        <v>Abrir facsímil</v>
      </c>
      <c r="K14252" s="10" t="s">
        <v>24</v>
      </c>
    </row>
    <row r="14253" spans="1:11" ht="54" customHeight="1">
      <c r="A14253" s="9" t="s">
        <v>29047</v>
      </c>
      <c r="B14253" s="9" t="s">
        <v>29048</v>
      </c>
      <c r="C14253" s="9" t="s">
        <v>17</v>
      </c>
      <c r="D14253" s="9" t="s">
        <v>55</v>
      </c>
      <c r="E14253" s="10" t="s">
        <v>268</v>
      </c>
      <c r="F14253" s="9" t="s">
        <v>269</v>
      </c>
      <c r="G14253" s="10" t="s">
        <v>34</v>
      </c>
      <c r="H14253" s="9" t="s">
        <v>22</v>
      </c>
      <c r="I14253" s="9" t="s">
        <v>29049</v>
      </c>
      <c r="J14253" s="10" t="str">
        <f>HYPERLINK("https://www.boe.es/gazeta/dias/1834/12/19/pdfs/GMD-C-1834-309.pdf#page=1","Abrir facsímil")</f>
        <v>Abrir facsímil</v>
      </c>
      <c r="K14253" s="10" t="s">
        <v>24</v>
      </c>
    </row>
    <row r="14254" spans="1:11" ht="54" customHeight="1">
      <c r="A14254" s="9" t="s">
        <v>29050</v>
      </c>
      <c r="B14254" s="9" t="s">
        <v>29051</v>
      </c>
      <c r="C14254" s="9" t="s">
        <v>17</v>
      </c>
      <c r="D14254" s="9" t="s">
        <v>18</v>
      </c>
      <c r="E14254" s="10" t="s">
        <v>187</v>
      </c>
      <c r="F14254" s="9" t="s">
        <v>188</v>
      </c>
      <c r="G14254" s="10" t="s">
        <v>21</v>
      </c>
      <c r="H14254" s="9" t="s">
        <v>22</v>
      </c>
      <c r="I14254" s="9" t="s">
        <v>29052</v>
      </c>
      <c r="J14254" s="10" t="str">
        <f>HYPERLINK("https://www.boe.es/gazeta/dias/1834/09/30/pdfs/GMD-1834-228.pdf#page=3","Abrir facsímil")</f>
        <v>Abrir facsímil</v>
      </c>
      <c r="K14254" s="10" t="s">
        <v>24</v>
      </c>
    </row>
    <row r="14255" spans="1:11" ht="54" customHeight="1">
      <c r="A14255" s="9" t="s">
        <v>29053</v>
      </c>
      <c r="B14255" s="9" t="s">
        <v>29054</v>
      </c>
      <c r="C14255" s="9" t="s">
        <v>17</v>
      </c>
      <c r="D14255" s="9" t="s">
        <v>55</v>
      </c>
      <c r="E14255" s="10" t="s">
        <v>3952</v>
      </c>
      <c r="F14255" s="9" t="s">
        <v>3953</v>
      </c>
      <c r="G14255" s="10" t="s">
        <v>21</v>
      </c>
      <c r="H14255" s="9" t="s">
        <v>35</v>
      </c>
      <c r="I14255" s="9" t="s">
        <v>29055</v>
      </c>
      <c r="J14255" s="10" t="str">
        <f>HYPERLINK("https://www.boe.es/gazeta/dias/1834/02/22/pdfs/GMD-1834-24.pdf#page=3","Abrir facsímil")</f>
        <v>Abrir facsímil</v>
      </c>
      <c r="K14255" s="10" t="s">
        <v>37</v>
      </c>
    </row>
    <row r="14256" spans="1:11" ht="54" customHeight="1">
      <c r="A14256" s="9" t="s">
        <v>29056</v>
      </c>
      <c r="B14256" s="9" t="s">
        <v>29057</v>
      </c>
      <c r="C14256" s="9" t="s">
        <v>17</v>
      </c>
      <c r="D14256" s="9" t="s">
        <v>18</v>
      </c>
      <c r="E14256" s="10" t="s">
        <v>403</v>
      </c>
      <c r="F14256" s="9" t="s">
        <v>3456</v>
      </c>
      <c r="G14256" s="10" t="s">
        <v>21</v>
      </c>
      <c r="H14256" s="9" t="s">
        <v>22</v>
      </c>
      <c r="I14256" s="9" t="s">
        <v>29058</v>
      </c>
      <c r="J14256" s="10" t="str">
        <f>HYPERLINK("https://www.boe.es/gazeta/dias/1834/09/25/pdfs/GMD-1834-223.pdf#page=3","Abrir facsímil")</f>
        <v>Abrir facsímil</v>
      </c>
      <c r="K14256" s="10" t="s">
        <v>24</v>
      </c>
    </row>
    <row r="14257" spans="1:11" ht="54" customHeight="1">
      <c r="A14257" s="9" t="s">
        <v>29059</v>
      </c>
      <c r="B14257" s="9" t="s">
        <v>29060</v>
      </c>
      <c r="C14257" s="9" t="s">
        <v>66</v>
      </c>
      <c r="D14257" s="9" t="s">
        <v>67</v>
      </c>
      <c r="E14257" s="10" t="s">
        <v>479</v>
      </c>
      <c r="F14257" s="9" t="s">
        <v>480</v>
      </c>
      <c r="G14257" s="10" t="s">
        <v>21</v>
      </c>
      <c r="H14257" s="9" t="s">
        <v>22</v>
      </c>
      <c r="I14257" s="9" t="s">
        <v>29061</v>
      </c>
      <c r="J14257" s="10" t="str">
        <f>HYPERLINK("https://www.boe.es/gazeta/dias/1834/08/13/pdfs/GMD-1834-178.pdf#page=3","Abrir facsímil")</f>
        <v>Abrir facsímil</v>
      </c>
      <c r="K14257" s="10" t="s">
        <v>24</v>
      </c>
    </row>
    <row r="14258" spans="1:11" ht="54" customHeight="1">
      <c r="A14258" s="9" t="s">
        <v>29062</v>
      </c>
      <c r="B14258" s="9" t="s">
        <v>29063</v>
      </c>
      <c r="C14258" s="9" t="s">
        <v>857</v>
      </c>
      <c r="D14258" s="9" t="s">
        <v>67</v>
      </c>
      <c r="E14258" s="10" t="s">
        <v>73</v>
      </c>
      <c r="F14258" s="9" t="s">
        <v>74</v>
      </c>
      <c r="G14258" s="10" t="s">
        <v>75</v>
      </c>
      <c r="H14258" s="9" t="s">
        <v>22</v>
      </c>
      <c r="I14258" s="9" t="s">
        <v>29064</v>
      </c>
      <c r="J14258" s="10" t="str">
        <f>HYPERLINK("https://www.boe.es/gazeta/dias/1834/11/04/pdfs/GMD-1834-263.pdf#page=4","Abrir facsímil")</f>
        <v>Abrir facsímil</v>
      </c>
      <c r="K14258" s="10" t="s">
        <v>24</v>
      </c>
    </row>
    <row r="14259" spans="1:11" ht="54" customHeight="1">
      <c r="A14259" s="9" t="s">
        <v>29065</v>
      </c>
      <c r="B14259" s="9" t="s">
        <v>29066</v>
      </c>
      <c r="C14259" s="9" t="s">
        <v>66</v>
      </c>
      <c r="D14259" s="9" t="s">
        <v>67</v>
      </c>
      <c r="E14259" s="10" t="s">
        <v>1686</v>
      </c>
      <c r="F14259" s="9" t="s">
        <v>1687</v>
      </c>
      <c r="G14259" s="10" t="s">
        <v>21</v>
      </c>
      <c r="H14259" s="9" t="s">
        <v>22</v>
      </c>
      <c r="I14259" s="9" t="s">
        <v>29067</v>
      </c>
      <c r="J14259" s="10" t="str">
        <f>HYPERLINK("https://www.boe.es/gazeta/dias/1834/07/27/pdfs/GMD-1834-160.pdf#page=3","Abrir facsímil")</f>
        <v>Abrir facsímil</v>
      </c>
      <c r="K14259" s="10" t="s">
        <v>24</v>
      </c>
    </row>
    <row r="14260" spans="1:11" ht="54" customHeight="1">
      <c r="A14260" s="9" t="s">
        <v>29068</v>
      </c>
      <c r="B14260" s="9" t="s">
        <v>29069</v>
      </c>
      <c r="C14260" s="9" t="s">
        <v>17</v>
      </c>
      <c r="D14260" s="9" t="s">
        <v>101</v>
      </c>
      <c r="E14260" s="10" t="s">
        <v>1410</v>
      </c>
      <c r="F14260" s="9" t="s">
        <v>1411</v>
      </c>
      <c r="G14260" s="10" t="s">
        <v>21</v>
      </c>
      <c r="H14260" s="9" t="s">
        <v>35</v>
      </c>
      <c r="I14260" s="9" t="s">
        <v>29070</v>
      </c>
      <c r="J14260" s="10" t="str">
        <f>HYPERLINK("https://www.boe.es/gazeta/dias/1834/09/09/pdfs/GMD-1834-207.pdf#page=3","Abrir facsímil")</f>
        <v>Abrir facsímil</v>
      </c>
      <c r="K14260" s="10" t="s">
        <v>37</v>
      </c>
    </row>
    <row r="14261" spans="1:11" ht="54" customHeight="1">
      <c r="A14261" s="9" t="s">
        <v>29071</v>
      </c>
      <c r="B14261" s="9" t="s">
        <v>29071</v>
      </c>
      <c r="C14261" s="9" t="s">
        <v>857</v>
      </c>
      <c r="D14261" s="9" t="s">
        <v>18</v>
      </c>
      <c r="E14261" s="10" t="s">
        <v>510</v>
      </c>
      <c r="F14261" s="9" t="s">
        <v>511</v>
      </c>
      <c r="G14261" s="10" t="s">
        <v>21</v>
      </c>
      <c r="H14261" s="9" t="s">
        <v>22</v>
      </c>
      <c r="I14261" s="9" t="s">
        <v>29072</v>
      </c>
      <c r="J14261" s="10" t="str">
        <f>HYPERLINK("https://www.boe.es/gazeta/dias/1834/11/26/pdfs/GMD-1834-285.pdf#page=3","Abrir facsímil")</f>
        <v>Abrir facsímil</v>
      </c>
      <c r="K14261" s="10" t="s">
        <v>24</v>
      </c>
    </row>
    <row r="14262" spans="1:11" ht="54" customHeight="1">
      <c r="A14262" s="9" t="s">
        <v>29073</v>
      </c>
      <c r="B14262" s="9" t="s">
        <v>29074</v>
      </c>
      <c r="C14262" s="9" t="s">
        <v>122</v>
      </c>
      <c r="D14262" s="9" t="s">
        <v>40</v>
      </c>
      <c r="E14262" s="10" t="s">
        <v>41</v>
      </c>
      <c r="F14262" s="9" t="s">
        <v>42</v>
      </c>
      <c r="G14262" s="10" t="s">
        <v>21</v>
      </c>
      <c r="H14262" s="9" t="s">
        <v>35</v>
      </c>
      <c r="I14262" s="9" t="s">
        <v>29075</v>
      </c>
      <c r="J14262" s="10" t="str">
        <f>HYPERLINK("https://www.boe.es/gazeta/dias/1834/06/11/pdfs/GMD-1834-114.pdf#page=3","Abrir facsímil")</f>
        <v>Abrir facsímil</v>
      </c>
      <c r="K14262" s="10" t="s">
        <v>37</v>
      </c>
    </row>
    <row r="14263" spans="1:11" ht="54" customHeight="1">
      <c r="A14263" s="9" t="s">
        <v>29076</v>
      </c>
      <c r="B14263" s="9" t="s">
        <v>29077</v>
      </c>
      <c r="C14263" s="9" t="s">
        <v>17</v>
      </c>
      <c r="D14263" s="9" t="s">
        <v>18</v>
      </c>
      <c r="E14263" s="10" t="s">
        <v>237</v>
      </c>
      <c r="F14263" s="9" t="s">
        <v>238</v>
      </c>
      <c r="G14263" s="10" t="s">
        <v>34</v>
      </c>
      <c r="H14263" s="9" t="s">
        <v>35</v>
      </c>
      <c r="I14263" s="9" t="s">
        <v>29078</v>
      </c>
      <c r="J14263" s="10" t="str">
        <f>HYPERLINK("https://www.boe.es/gazeta/dias/1834/08/15/pdfs/GMD-C-1834-180.pdf#page=1","Abrir facsímil")</f>
        <v>Abrir facsímil</v>
      </c>
      <c r="K14263" s="10" t="s">
        <v>37</v>
      </c>
    </row>
    <row r="14264" spans="1:11" ht="54" customHeight="1">
      <c r="A14264" s="9" t="s">
        <v>29079</v>
      </c>
      <c r="B14264" s="9" t="s">
        <v>29079</v>
      </c>
      <c r="C14264" s="9" t="s">
        <v>66</v>
      </c>
      <c r="D14264" s="9" t="s">
        <v>67</v>
      </c>
      <c r="E14264" s="10" t="s">
        <v>378</v>
      </c>
      <c r="F14264" s="9" t="s">
        <v>379</v>
      </c>
      <c r="G14264" s="10" t="s">
        <v>86</v>
      </c>
      <c r="H14264" s="9" t="s">
        <v>22</v>
      </c>
      <c r="I14264" s="9" t="s">
        <v>29080</v>
      </c>
      <c r="J14264" s="10" t="str">
        <f>HYPERLINK("https://www.boe.es/gazeta/dias/1834/09/24/pdfs/GMD-1834-222.pdf#page=2","Abrir facsímil")</f>
        <v>Abrir facsímil</v>
      </c>
      <c r="K14264" s="10" t="s">
        <v>24</v>
      </c>
    </row>
    <row r="14265" spans="1:11" ht="54" customHeight="1">
      <c r="A14265" s="9" t="s">
        <v>29081</v>
      </c>
      <c r="B14265" s="9" t="s">
        <v>29081</v>
      </c>
      <c r="C14265" s="9" t="s">
        <v>66</v>
      </c>
      <c r="D14265" s="9" t="s">
        <v>18</v>
      </c>
      <c r="E14265" s="10" t="s">
        <v>8010</v>
      </c>
      <c r="F14265" s="9" t="s">
        <v>8011</v>
      </c>
      <c r="G14265" s="10" t="s">
        <v>86</v>
      </c>
      <c r="H14265" s="9" t="s">
        <v>22</v>
      </c>
      <c r="I14265" s="9" t="s">
        <v>29082</v>
      </c>
      <c r="J14265" s="10" t="str">
        <f>HYPERLINK("https://www.boe.es/gazeta/dias/1834/08/28/pdfs/GMD-1834-194.pdf#page=2","Abrir facsímil")</f>
        <v>Abrir facsímil</v>
      </c>
      <c r="K14265" s="10" t="s">
        <v>24</v>
      </c>
    </row>
    <row r="14266" spans="1:11" ht="54" customHeight="1">
      <c r="A14266" s="9" t="s">
        <v>29083</v>
      </c>
      <c r="B14266" s="9" t="s">
        <v>29083</v>
      </c>
      <c r="C14266" s="9" t="s">
        <v>46</v>
      </c>
      <c r="D14266" s="9" t="s">
        <v>55</v>
      </c>
      <c r="E14266" s="10" t="s">
        <v>601</v>
      </c>
      <c r="F14266" s="9" t="s">
        <v>602</v>
      </c>
      <c r="G14266" s="10" t="s">
        <v>21</v>
      </c>
      <c r="H14266" s="9" t="s">
        <v>22</v>
      </c>
      <c r="I14266" s="9" t="s">
        <v>29084</v>
      </c>
      <c r="J14266" s="10" t="str">
        <f>HYPERLINK("https://www.boe.es/gazeta/dias/1834/08/16/pdfs/GMD-1834-181.pdf#page=3","Abrir facsímil")</f>
        <v>Abrir facsímil</v>
      </c>
      <c r="K14266" s="10" t="s">
        <v>24</v>
      </c>
    </row>
    <row r="14267" spans="1:11" ht="54" customHeight="1">
      <c r="A14267" s="9" t="s">
        <v>29085</v>
      </c>
      <c r="B14267" s="9" t="s">
        <v>29085</v>
      </c>
      <c r="C14267" s="9" t="s">
        <v>90</v>
      </c>
      <c r="D14267" s="9" t="s">
        <v>55</v>
      </c>
      <c r="E14267" s="10" t="s">
        <v>1661</v>
      </c>
      <c r="F14267" s="9" t="s">
        <v>1662</v>
      </c>
      <c r="G14267" s="10" t="s">
        <v>34</v>
      </c>
      <c r="H14267" s="9" t="s">
        <v>22</v>
      </c>
      <c r="I14267" s="9" t="s">
        <v>29086</v>
      </c>
      <c r="J14267" s="10" t="str">
        <f>HYPERLINK("https://www.boe.es/gazeta/dias/1834/04/06/pdfs/GMD-1834-45.pdf#page=1","Abrir facsímil")</f>
        <v>Abrir facsímil</v>
      </c>
      <c r="K14267" s="10" t="s">
        <v>24</v>
      </c>
    </row>
    <row r="14268" spans="1:11" ht="54" customHeight="1">
      <c r="A14268" s="9" t="s">
        <v>29085</v>
      </c>
      <c r="B14268" s="9" t="s">
        <v>29085</v>
      </c>
      <c r="C14268" s="9" t="s">
        <v>17</v>
      </c>
      <c r="D14268" s="9" t="s">
        <v>55</v>
      </c>
      <c r="E14268" s="10" t="s">
        <v>2098</v>
      </c>
      <c r="F14268" s="9" t="s">
        <v>2099</v>
      </c>
      <c r="G14268" s="10" t="s">
        <v>86</v>
      </c>
      <c r="H14268" s="9" t="s">
        <v>22</v>
      </c>
      <c r="I14268" s="9" t="s">
        <v>29087</v>
      </c>
      <c r="J14268" s="10" t="str">
        <f>HYPERLINK("https://www.boe.es/gazeta/dias/1834/08/11/pdfs/GMD-1834-176.pdf#page=2","Abrir facsímil")</f>
        <v>Abrir facsímil</v>
      </c>
      <c r="K14268" s="10" t="s">
        <v>24</v>
      </c>
    </row>
    <row r="14269" spans="1:11" ht="54" customHeight="1">
      <c r="A14269" s="9" t="s">
        <v>29085</v>
      </c>
      <c r="B14269" s="9" t="s">
        <v>29085</v>
      </c>
      <c r="C14269" s="9" t="s">
        <v>46</v>
      </c>
      <c r="D14269" s="9" t="s">
        <v>18</v>
      </c>
      <c r="E14269" s="10" t="s">
        <v>623</v>
      </c>
      <c r="F14269" s="9" t="s">
        <v>3442</v>
      </c>
      <c r="G14269" s="10" t="s">
        <v>21</v>
      </c>
      <c r="H14269" s="9" t="s">
        <v>22</v>
      </c>
      <c r="I14269" s="9" t="s">
        <v>29088</v>
      </c>
      <c r="J14269" s="10" t="str">
        <f>HYPERLINK("https://www.boe.es/gazeta/dias/1834/10/12/pdfs/GMD-1834-240.pdf#page=3","Abrir facsímil")</f>
        <v>Abrir facsímil</v>
      </c>
      <c r="K14269" s="10" t="s">
        <v>24</v>
      </c>
    </row>
    <row r="14270" spans="1:11" ht="54" customHeight="1">
      <c r="A14270" s="9" t="s">
        <v>29085</v>
      </c>
      <c r="B14270" s="9" t="s">
        <v>29085</v>
      </c>
      <c r="C14270" s="9" t="s">
        <v>17</v>
      </c>
      <c r="D14270" s="9" t="s">
        <v>18</v>
      </c>
      <c r="E14270" s="10" t="s">
        <v>3207</v>
      </c>
      <c r="F14270" s="9" t="s">
        <v>3208</v>
      </c>
      <c r="G14270" s="10" t="s">
        <v>21</v>
      </c>
      <c r="H14270" s="9" t="s">
        <v>22</v>
      </c>
      <c r="I14270" s="9" t="s">
        <v>29089</v>
      </c>
      <c r="J14270" s="10" t="str">
        <f>HYPERLINK("https://www.boe.es/gazeta/dias/1834/10/13/pdfs/GMD-1834-241.pdf#page=3","Abrir facsímil")</f>
        <v>Abrir facsímil</v>
      </c>
      <c r="K14270" s="10" t="s">
        <v>24</v>
      </c>
    </row>
    <row r="14271" spans="1:11" ht="54" customHeight="1">
      <c r="A14271" s="9" t="s">
        <v>29085</v>
      </c>
      <c r="B14271" s="9" t="s">
        <v>29085</v>
      </c>
      <c r="C14271" s="9" t="s">
        <v>46</v>
      </c>
      <c r="D14271" s="9" t="s">
        <v>55</v>
      </c>
      <c r="E14271" s="10" t="s">
        <v>601</v>
      </c>
      <c r="F14271" s="9" t="s">
        <v>602</v>
      </c>
      <c r="G14271" s="10" t="s">
        <v>86</v>
      </c>
      <c r="H14271" s="9" t="s">
        <v>22</v>
      </c>
      <c r="I14271" s="9" t="s">
        <v>29090</v>
      </c>
      <c r="J14271" s="10" t="str">
        <f>HYPERLINK("https://www.boe.es/gazeta/dias/1834/08/16/pdfs/GMD-1834-181.pdf#page=2","Abrir facsímil")</f>
        <v>Abrir facsímil</v>
      </c>
      <c r="K14271" s="10" t="s">
        <v>24</v>
      </c>
    </row>
    <row r="14272" spans="1:11" ht="54" customHeight="1">
      <c r="A14272" s="9" t="s">
        <v>29085</v>
      </c>
      <c r="B14272" s="9" t="s">
        <v>29085</v>
      </c>
      <c r="C14272" s="9" t="s">
        <v>17</v>
      </c>
      <c r="D14272" s="9" t="s">
        <v>18</v>
      </c>
      <c r="E14272" s="10" t="s">
        <v>19</v>
      </c>
      <c r="F14272" s="9" t="s">
        <v>107</v>
      </c>
      <c r="G14272" s="10" t="s">
        <v>34</v>
      </c>
      <c r="H14272" s="9" t="s">
        <v>22</v>
      </c>
      <c r="I14272" s="9" t="s">
        <v>29091</v>
      </c>
      <c r="J14272" s="10" t="str">
        <f>HYPERLINK("https://www.boe.es/gazeta/dias/1834/08/17/pdfs/GMD-1834-182.pdf#page=1","Abrir facsímil")</f>
        <v>Abrir facsímil</v>
      </c>
      <c r="K14272" s="10" t="s">
        <v>24</v>
      </c>
    </row>
    <row r="14273" spans="1:11" ht="54" customHeight="1">
      <c r="A14273" s="9" t="s">
        <v>29085</v>
      </c>
      <c r="B14273" s="9" t="s">
        <v>29085</v>
      </c>
      <c r="C14273" s="9" t="s">
        <v>46</v>
      </c>
      <c r="D14273" s="9" t="s">
        <v>55</v>
      </c>
      <c r="E14273" s="10" t="s">
        <v>217</v>
      </c>
      <c r="F14273" s="9" t="s">
        <v>218</v>
      </c>
      <c r="G14273" s="10" t="s">
        <v>34</v>
      </c>
      <c r="H14273" s="9" t="s">
        <v>22</v>
      </c>
      <c r="I14273" s="9" t="s">
        <v>29092</v>
      </c>
      <c r="J14273" s="10" t="str">
        <f>HYPERLINK("https://www.boe.es/gazeta/dias/1834/04/20/pdfs/GMD-1834-59.pdf#page=1","Abrir facsímil")</f>
        <v>Abrir facsímil</v>
      </c>
      <c r="K14273" s="10" t="s">
        <v>24</v>
      </c>
    </row>
    <row r="14274" spans="1:11" ht="54" customHeight="1">
      <c r="A14274" s="9" t="s">
        <v>29085</v>
      </c>
      <c r="B14274" s="9" t="s">
        <v>29085</v>
      </c>
      <c r="C14274" s="9" t="s">
        <v>17</v>
      </c>
      <c r="D14274" s="9" t="s">
        <v>18</v>
      </c>
      <c r="E14274" s="10" t="s">
        <v>4169</v>
      </c>
      <c r="F14274" s="9" t="s">
        <v>4170</v>
      </c>
      <c r="G14274" s="10" t="s">
        <v>34</v>
      </c>
      <c r="H14274" s="9" t="s">
        <v>22</v>
      </c>
      <c r="I14274" s="9" t="s">
        <v>29093</v>
      </c>
      <c r="J14274" s="10" t="str">
        <f>HYPERLINK("https://www.boe.es/gazeta/dias/1834/11/20/pdfs/GMD-1834-279.pdf#page=1","Abrir facsímil")</f>
        <v>Abrir facsímil</v>
      </c>
      <c r="K14274" s="10" t="s">
        <v>24</v>
      </c>
    </row>
    <row r="14275" spans="1:11" ht="54" customHeight="1">
      <c r="A14275" s="9" t="s">
        <v>29085</v>
      </c>
      <c r="B14275" s="9" t="s">
        <v>29085</v>
      </c>
      <c r="C14275" s="9" t="s">
        <v>46</v>
      </c>
      <c r="D14275" s="9" t="s">
        <v>18</v>
      </c>
      <c r="E14275" s="10" t="s">
        <v>128</v>
      </c>
      <c r="F14275" s="9" t="s">
        <v>1068</v>
      </c>
      <c r="G14275" s="10" t="s">
        <v>86</v>
      </c>
      <c r="H14275" s="9" t="s">
        <v>22</v>
      </c>
      <c r="I14275" s="9" t="s">
        <v>29094</v>
      </c>
      <c r="J14275" s="10" t="str">
        <f>HYPERLINK("https://www.boe.es/gazeta/dias/1834/12/24/pdfs/GMD-1834-314.pdf#page=2","Abrir facsímil")</f>
        <v>Abrir facsímil</v>
      </c>
      <c r="K14275" s="10" t="s">
        <v>24</v>
      </c>
    </row>
    <row r="14276" spans="1:11" ht="54" customHeight="1">
      <c r="A14276" s="9" t="s">
        <v>29095</v>
      </c>
      <c r="B14276" s="9" t="s">
        <v>29095</v>
      </c>
      <c r="C14276" s="9" t="s">
        <v>46</v>
      </c>
      <c r="D14276" s="9" t="s">
        <v>18</v>
      </c>
      <c r="E14276" s="10" t="s">
        <v>251</v>
      </c>
      <c r="F14276" s="9" t="s">
        <v>1278</v>
      </c>
      <c r="G14276" s="10" t="s">
        <v>86</v>
      </c>
      <c r="H14276" s="9" t="s">
        <v>22</v>
      </c>
      <c r="I14276" s="9" t="s">
        <v>29096</v>
      </c>
      <c r="J14276" s="10" t="str">
        <f>HYPERLINK("https://www.boe.es/gazeta/dias/1834/09/26/pdfs/GMD-1834-224.pdf#page=2","Abrir facsímil")</f>
        <v>Abrir facsímil</v>
      </c>
      <c r="K14276" s="10" t="s">
        <v>24</v>
      </c>
    </row>
    <row r="14277" spans="1:11" ht="54" customHeight="1">
      <c r="A14277" s="9" t="s">
        <v>29097</v>
      </c>
      <c r="B14277" s="9" t="s">
        <v>29097</v>
      </c>
      <c r="C14277" s="9" t="s">
        <v>17</v>
      </c>
      <c r="D14277" s="9" t="s">
        <v>18</v>
      </c>
      <c r="E14277" s="10" t="s">
        <v>1839</v>
      </c>
      <c r="F14277" s="9" t="s">
        <v>3598</v>
      </c>
      <c r="G14277" s="10" t="s">
        <v>86</v>
      </c>
      <c r="H14277" s="9" t="s">
        <v>22</v>
      </c>
      <c r="I14277" s="9" t="s">
        <v>29098</v>
      </c>
      <c r="J14277" s="10" t="str">
        <f>HYPERLINK("https://www.boe.es/gazeta/dias/1834/08/12/pdfs/GMD-1834-177.pdf#page=2","Abrir facsímil")</f>
        <v>Abrir facsímil</v>
      </c>
      <c r="K14277" s="10" t="s">
        <v>24</v>
      </c>
    </row>
    <row r="14278" spans="1:11" ht="54" customHeight="1">
      <c r="A14278" s="9" t="s">
        <v>29099</v>
      </c>
      <c r="B14278" s="9" t="s">
        <v>29099</v>
      </c>
      <c r="C14278" s="9" t="s">
        <v>17</v>
      </c>
      <c r="D14278" s="9" t="s">
        <v>18</v>
      </c>
      <c r="E14278" s="10" t="s">
        <v>12114</v>
      </c>
      <c r="F14278" s="9" t="s">
        <v>12115</v>
      </c>
      <c r="G14278" s="10" t="s">
        <v>21</v>
      </c>
      <c r="H14278" s="9" t="s">
        <v>22</v>
      </c>
      <c r="I14278" s="9" t="s">
        <v>29100</v>
      </c>
      <c r="J14278" s="10" t="str">
        <f>HYPERLINK("https://www.boe.es/gazeta/dias/1834/04/08/pdfs/GMD-1834-47.pdf#page=3","Abrir facsímil")</f>
        <v>Abrir facsímil</v>
      </c>
      <c r="K14278" s="10" t="s">
        <v>24</v>
      </c>
    </row>
    <row r="14279" spans="1:11" ht="54" customHeight="1">
      <c r="A14279" s="9" t="s">
        <v>29101</v>
      </c>
      <c r="B14279" s="9" t="s">
        <v>29102</v>
      </c>
      <c r="C14279" s="9" t="s">
        <v>46</v>
      </c>
      <c r="D14279" s="9" t="s">
        <v>55</v>
      </c>
      <c r="E14279" s="10" t="s">
        <v>647</v>
      </c>
      <c r="F14279" s="9" t="s">
        <v>648</v>
      </c>
      <c r="G14279" s="10" t="s">
        <v>28</v>
      </c>
      <c r="H14279" s="9" t="s">
        <v>22</v>
      </c>
      <c r="I14279" s="9" t="s">
        <v>29103</v>
      </c>
      <c r="J14279" s="10" t="str">
        <f>HYPERLINK("https://www.boe.es/gazeta/dias/1834/10/21/pdfs/GMD-C-1834-249.pdf#page=5","Abrir facsímil")</f>
        <v>Abrir facsímil</v>
      </c>
      <c r="K14279" s="10" t="s">
        <v>24</v>
      </c>
    </row>
    <row r="14280" spans="1:11" ht="54" customHeight="1">
      <c r="A14280" s="9" t="s">
        <v>29104</v>
      </c>
      <c r="B14280" s="9" t="s">
        <v>29105</v>
      </c>
      <c r="C14280" s="9" t="s">
        <v>17</v>
      </c>
      <c r="D14280" s="9" t="s">
        <v>18</v>
      </c>
      <c r="E14280" s="10" t="s">
        <v>378</v>
      </c>
      <c r="F14280" s="9" t="s">
        <v>379</v>
      </c>
      <c r="G14280" s="10" t="s">
        <v>75</v>
      </c>
      <c r="H14280" s="9" t="s">
        <v>22</v>
      </c>
      <c r="I14280" s="9" t="s">
        <v>29106</v>
      </c>
      <c r="J14280" s="10" t="str">
        <f>HYPERLINK("https://www.boe.es/gazeta/dias/1834/09/24/pdfs/GMD-1834-222.pdf#page=4","Abrir facsímil")</f>
        <v>Abrir facsímil</v>
      </c>
      <c r="K14280" s="10" t="s">
        <v>24</v>
      </c>
    </row>
    <row r="14281" spans="1:11" ht="54" customHeight="1">
      <c r="A14281" s="9" t="s">
        <v>29107</v>
      </c>
      <c r="B14281" s="9" t="s">
        <v>29108</v>
      </c>
      <c r="C14281" s="9" t="s">
        <v>17</v>
      </c>
      <c r="D14281" s="9" t="s">
        <v>18</v>
      </c>
      <c r="E14281" s="10" t="s">
        <v>777</v>
      </c>
      <c r="F14281" s="9" t="s">
        <v>778</v>
      </c>
      <c r="G14281" s="10" t="s">
        <v>75</v>
      </c>
      <c r="H14281" s="9" t="s">
        <v>22</v>
      </c>
      <c r="I14281" s="9" t="s">
        <v>29109</v>
      </c>
      <c r="J14281" s="10" t="str">
        <f>HYPERLINK("https://www.boe.es/gazeta/dias/1834/10/29/pdfs/GMD-1834-257.pdf#page=4","Abrir facsímil")</f>
        <v>Abrir facsímil</v>
      </c>
      <c r="K14281" s="10" t="s">
        <v>24</v>
      </c>
    </row>
    <row r="14282" spans="1:11" ht="54" customHeight="1">
      <c r="A14282" s="9" t="s">
        <v>29110</v>
      </c>
      <c r="B14282" s="9" t="s">
        <v>29111</v>
      </c>
      <c r="C14282" s="9" t="s">
        <v>17</v>
      </c>
      <c r="D14282" s="9" t="s">
        <v>18</v>
      </c>
      <c r="E14282" s="10" t="s">
        <v>2379</v>
      </c>
      <c r="F14282" s="9" t="s">
        <v>2380</v>
      </c>
      <c r="G14282" s="10" t="s">
        <v>75</v>
      </c>
      <c r="H14282" s="9" t="s">
        <v>22</v>
      </c>
      <c r="I14282" s="9" t="s">
        <v>29112</v>
      </c>
      <c r="J14282" s="10" t="str">
        <f>HYPERLINK("https://www.boe.es/gazeta/dias/1834/04/03/pdfs/GMD-1834-42.pdf#page=4","Abrir facsímil")</f>
        <v>Abrir facsímil</v>
      </c>
      <c r="K14282" s="10" t="s">
        <v>24</v>
      </c>
    </row>
    <row r="14283" spans="1:11" ht="54" customHeight="1">
      <c r="A14283" s="9" t="s">
        <v>29113</v>
      </c>
      <c r="B14283" s="9" t="s">
        <v>29114</v>
      </c>
      <c r="C14283" s="9" t="s">
        <v>17</v>
      </c>
      <c r="D14283" s="9" t="s">
        <v>18</v>
      </c>
      <c r="E14283" s="10" t="s">
        <v>84</v>
      </c>
      <c r="F14283" s="9" t="s">
        <v>1223</v>
      </c>
      <c r="G14283" s="10" t="s">
        <v>21</v>
      </c>
      <c r="H14283" s="9" t="s">
        <v>22</v>
      </c>
      <c r="I14283" s="9" t="s">
        <v>29115</v>
      </c>
      <c r="J14283" s="10" t="str">
        <f>HYPERLINK("https://www.boe.es/gazeta/dias/1834/06/07/pdfs/GMD-1834-109.pdf#page=3","Abrir facsímil")</f>
        <v>Abrir facsímil</v>
      </c>
      <c r="K14283" s="10" t="s">
        <v>24</v>
      </c>
    </row>
    <row r="14284" spans="1:11" ht="54" customHeight="1">
      <c r="A14284" s="9" t="s">
        <v>29116</v>
      </c>
      <c r="B14284" s="9" t="s">
        <v>29117</v>
      </c>
      <c r="C14284" s="9" t="s">
        <v>17</v>
      </c>
      <c r="D14284" s="9" t="s">
        <v>18</v>
      </c>
      <c r="E14284" s="10" t="s">
        <v>919</v>
      </c>
      <c r="F14284" s="9" t="s">
        <v>920</v>
      </c>
      <c r="G14284" s="10" t="s">
        <v>21</v>
      </c>
      <c r="H14284" s="9" t="s">
        <v>22</v>
      </c>
      <c r="I14284" s="9" t="s">
        <v>29118</v>
      </c>
      <c r="J14284" s="10" t="str">
        <f>HYPERLINK("https://www.boe.es/gazeta/dias/1834/06/24/pdfs/GMD-1834-127.pdf#page=3","Abrir facsímil")</f>
        <v>Abrir facsímil</v>
      </c>
      <c r="K14284" s="10" t="s">
        <v>24</v>
      </c>
    </row>
    <row r="14285" spans="1:11" ht="54" customHeight="1">
      <c r="A14285" s="9" t="s">
        <v>29119</v>
      </c>
      <c r="B14285" s="9" t="s">
        <v>29120</v>
      </c>
      <c r="C14285" s="9" t="s">
        <v>17</v>
      </c>
      <c r="D14285" s="9" t="s">
        <v>18</v>
      </c>
      <c r="E14285" s="10" t="s">
        <v>158</v>
      </c>
      <c r="F14285" s="9" t="s">
        <v>581</v>
      </c>
      <c r="G14285" s="10" t="s">
        <v>176</v>
      </c>
      <c r="H14285" s="9" t="s">
        <v>22</v>
      </c>
      <c r="I14285" s="9" t="s">
        <v>29121</v>
      </c>
      <c r="J14285" s="10" t="str">
        <f>HYPERLINK("https://www.boe.es/gazeta/dias/1834/10/01/pdfs/GMD-C-1834-229.pdf#page=6","Abrir facsímil")</f>
        <v>Abrir facsímil</v>
      </c>
      <c r="K14285" s="10" t="s">
        <v>24</v>
      </c>
    </row>
    <row r="14286" spans="1:11" ht="54" customHeight="1">
      <c r="A14286" s="9" t="s">
        <v>29122</v>
      </c>
      <c r="B14286" s="9" t="s">
        <v>29123</v>
      </c>
      <c r="C14286" s="9" t="s">
        <v>66</v>
      </c>
      <c r="D14286" s="9" t="s">
        <v>67</v>
      </c>
      <c r="E14286" s="10" t="s">
        <v>2748</v>
      </c>
      <c r="F14286" s="9" t="s">
        <v>2749</v>
      </c>
      <c r="G14286" s="10" t="s">
        <v>75</v>
      </c>
      <c r="H14286" s="9" t="s">
        <v>35</v>
      </c>
      <c r="I14286" s="9" t="s">
        <v>29124</v>
      </c>
      <c r="J14286" s="10" t="str">
        <f>HYPERLINK("https://www.boe.es/gazeta/dias/1834/01/09/pdfs/GMD-1834-5.pdf#page=4","Abrir facsímil")</f>
        <v>Abrir facsímil</v>
      </c>
      <c r="K14286" s="10" t="s">
        <v>37</v>
      </c>
    </row>
    <row r="14287" spans="1:11" ht="54" customHeight="1">
      <c r="A14287" s="9" t="s">
        <v>29125</v>
      </c>
      <c r="B14287" s="9" t="s">
        <v>29126</v>
      </c>
      <c r="C14287" s="9" t="s">
        <v>66</v>
      </c>
      <c r="D14287" s="9" t="s">
        <v>67</v>
      </c>
      <c r="E14287" s="10" t="s">
        <v>273</v>
      </c>
      <c r="F14287" s="9" t="s">
        <v>274</v>
      </c>
      <c r="G14287" s="10" t="s">
        <v>28</v>
      </c>
      <c r="H14287" s="9" t="s">
        <v>35</v>
      </c>
      <c r="I14287" s="9" t="s">
        <v>29127</v>
      </c>
      <c r="J14287" s="10" t="str">
        <f>HYPERLINK("https://www.boe.es/gazeta/dias/1834/08/31/pdfs/GMD-C-1834-198.pdf#page=5","Abrir facsímil")</f>
        <v>Abrir facsímil</v>
      </c>
      <c r="K14287" s="10" t="s">
        <v>37</v>
      </c>
    </row>
    <row r="14288" spans="1:11" ht="54" customHeight="1">
      <c r="A14288" s="9" t="s">
        <v>29128</v>
      </c>
      <c r="B14288" s="9" t="s">
        <v>29129</v>
      </c>
      <c r="C14288" s="9" t="s">
        <v>90</v>
      </c>
      <c r="D14288" s="9" t="s">
        <v>101</v>
      </c>
      <c r="E14288" s="10" t="s">
        <v>2306</v>
      </c>
      <c r="F14288" s="9" t="s">
        <v>2307</v>
      </c>
      <c r="G14288" s="10" t="s">
        <v>34</v>
      </c>
      <c r="H14288" s="9" t="s">
        <v>35</v>
      </c>
      <c r="I14288" s="9" t="s">
        <v>29130</v>
      </c>
      <c r="J14288" s="10" t="str">
        <f>HYPERLINK("https://www.boe.es/gazeta/dias/1834/04/26/pdfs/GMD-1834-65.pdf#page=1","Abrir facsímil")</f>
        <v>Abrir facsímil</v>
      </c>
      <c r="K14288" s="10" t="s">
        <v>37</v>
      </c>
    </row>
    <row r="14289" spans="1:11" ht="54" customHeight="1">
      <c r="A14289" s="9" t="s">
        <v>29131</v>
      </c>
      <c r="B14289" s="9" t="s">
        <v>29132</v>
      </c>
      <c r="C14289" s="9" t="s">
        <v>66</v>
      </c>
      <c r="D14289" s="9" t="s">
        <v>67</v>
      </c>
      <c r="E14289" s="10" t="s">
        <v>448</v>
      </c>
      <c r="F14289" s="9" t="s">
        <v>2058</v>
      </c>
      <c r="G14289" s="10" t="s">
        <v>75</v>
      </c>
      <c r="H14289" s="9" t="s">
        <v>22</v>
      </c>
      <c r="I14289" s="9" t="s">
        <v>29133</v>
      </c>
      <c r="J14289" s="10" t="str">
        <f>HYPERLINK("https://www.boe.es/gazeta/dias/1834/10/14/pdfs/GMD-1834-242.pdf#page=4","Abrir facsímil")</f>
        <v>Abrir facsímil</v>
      </c>
      <c r="K14289" s="10" t="s">
        <v>24</v>
      </c>
    </row>
    <row r="14290" spans="1:11" ht="54" customHeight="1">
      <c r="A14290" s="9" t="s">
        <v>29134</v>
      </c>
      <c r="B14290" s="9" t="s">
        <v>29135</v>
      </c>
      <c r="C14290" s="9" t="s">
        <v>66</v>
      </c>
      <c r="D14290" s="9" t="s">
        <v>67</v>
      </c>
      <c r="E14290" s="10" t="s">
        <v>309</v>
      </c>
      <c r="F14290" s="9" t="s">
        <v>310</v>
      </c>
      <c r="G14290" s="10" t="s">
        <v>34</v>
      </c>
      <c r="H14290" s="9" t="s">
        <v>22</v>
      </c>
      <c r="I14290" s="9" t="s">
        <v>29136</v>
      </c>
      <c r="J14290" s="10" t="str">
        <f>HYPERLINK("https://www.boe.es/gazeta/dias/1834/05/30/pdfs/GMD-1834-99.pdf#page=1","Abrir facsímil")</f>
        <v>Abrir facsímil</v>
      </c>
      <c r="K14290" s="10" t="s">
        <v>24</v>
      </c>
    </row>
    <row r="14291" spans="1:11" ht="54" customHeight="1">
      <c r="A14291" s="9" t="s">
        <v>29137</v>
      </c>
      <c r="B14291" s="9" t="s">
        <v>29138</v>
      </c>
      <c r="C14291" s="9" t="s">
        <v>66</v>
      </c>
      <c r="D14291" s="9" t="s">
        <v>18</v>
      </c>
      <c r="E14291" s="10" t="s">
        <v>339</v>
      </c>
      <c r="F14291" s="9" t="s">
        <v>340</v>
      </c>
      <c r="G14291" s="10" t="s">
        <v>21</v>
      </c>
      <c r="H14291" s="9" t="s">
        <v>22</v>
      </c>
      <c r="I14291" s="9" t="s">
        <v>29139</v>
      </c>
      <c r="J14291" s="10" t="str">
        <f>HYPERLINK("https://www.boe.es/gazeta/dias/1834/05/02/pdfs/GMD-1834-71.pdf#page=3","Abrir facsímil")</f>
        <v>Abrir facsímil</v>
      </c>
      <c r="K14291" s="10" t="s">
        <v>24</v>
      </c>
    </row>
    <row r="14292" spans="1:11" ht="54" customHeight="1">
      <c r="A14292" s="9" t="s">
        <v>29140</v>
      </c>
      <c r="B14292" s="9" t="s">
        <v>29141</v>
      </c>
      <c r="C14292" s="9" t="s">
        <v>17</v>
      </c>
      <c r="D14292" s="9" t="s">
        <v>18</v>
      </c>
      <c r="E14292" s="10" t="s">
        <v>647</v>
      </c>
      <c r="F14292" s="9" t="s">
        <v>648</v>
      </c>
      <c r="G14292" s="10" t="s">
        <v>28</v>
      </c>
      <c r="H14292" s="9" t="s">
        <v>22</v>
      </c>
      <c r="I14292" s="9" t="s">
        <v>29142</v>
      </c>
      <c r="J14292" s="10" t="str">
        <f>HYPERLINK("https://www.boe.es/gazeta/dias/1834/10/21/pdfs/GMD-C-1834-249.pdf#page=5","Abrir facsímil")</f>
        <v>Abrir facsímil</v>
      </c>
      <c r="K14292" s="10" t="s">
        <v>24</v>
      </c>
    </row>
    <row r="14293" spans="1:11" ht="54" customHeight="1">
      <c r="A14293" s="9" t="s">
        <v>29143</v>
      </c>
      <c r="B14293" s="9" t="s">
        <v>29144</v>
      </c>
      <c r="C14293" s="9" t="s">
        <v>17</v>
      </c>
      <c r="D14293" s="9" t="s">
        <v>18</v>
      </c>
      <c r="E14293" s="10" t="s">
        <v>627</v>
      </c>
      <c r="F14293" s="9" t="s">
        <v>628</v>
      </c>
      <c r="G14293" s="10" t="s">
        <v>34</v>
      </c>
      <c r="H14293" s="9" t="s">
        <v>22</v>
      </c>
      <c r="I14293" s="9" t="s">
        <v>29145</v>
      </c>
      <c r="J14293" s="10" t="str">
        <f>HYPERLINK("https://www.boe.es/gazeta/dias/1834/09/22/pdfs/GMD-C-1834-220.pdf#page=1","Abrir facsímil")</f>
        <v>Abrir facsímil</v>
      </c>
      <c r="K14293" s="10" t="s">
        <v>24</v>
      </c>
    </row>
    <row r="14294" spans="1:11" ht="54" customHeight="1">
      <c r="A14294" s="9" t="s">
        <v>29146</v>
      </c>
      <c r="B14294" s="9" t="s">
        <v>29147</v>
      </c>
      <c r="C14294" s="9" t="s">
        <v>17</v>
      </c>
      <c r="D14294" s="9" t="s">
        <v>40</v>
      </c>
      <c r="E14294" s="10" t="s">
        <v>715</v>
      </c>
      <c r="F14294" s="9" t="s">
        <v>716</v>
      </c>
      <c r="G14294" s="10" t="s">
        <v>28</v>
      </c>
      <c r="H14294" s="9" t="s">
        <v>22</v>
      </c>
      <c r="I14294" s="9" t="s">
        <v>29148</v>
      </c>
      <c r="J14294" s="10" t="str">
        <f>HYPERLINK("https://www.boe.es/gazeta/dias/1834/09/17/pdfs/GMD-C-1834-215.pdf#page=5","Abrir facsímil")</f>
        <v>Abrir facsímil</v>
      </c>
      <c r="K14294" s="10" t="s">
        <v>24</v>
      </c>
    </row>
    <row r="14295" spans="1:11" ht="54" customHeight="1">
      <c r="A14295" s="9" t="s">
        <v>29149</v>
      </c>
      <c r="B14295" s="9" t="s">
        <v>29150</v>
      </c>
      <c r="C14295" s="9" t="s">
        <v>17</v>
      </c>
      <c r="D14295" s="9" t="s">
        <v>18</v>
      </c>
      <c r="E14295" s="10" t="s">
        <v>860</v>
      </c>
      <c r="F14295" s="9" t="s">
        <v>861</v>
      </c>
      <c r="G14295" s="10" t="s">
        <v>176</v>
      </c>
      <c r="H14295" s="9" t="s">
        <v>22</v>
      </c>
      <c r="I14295" s="9" t="s">
        <v>29151</v>
      </c>
      <c r="J14295" s="10" t="str">
        <f>HYPERLINK("https://www.boe.es/gazeta/dias/1834/02/08/pdfs/GMD-1834-18.pdf#page=6","Abrir facsímil")</f>
        <v>Abrir facsímil</v>
      </c>
      <c r="K14295" s="10" t="s">
        <v>24</v>
      </c>
    </row>
    <row r="14296" spans="1:11" ht="54" customHeight="1">
      <c r="A14296" s="9" t="s">
        <v>29152</v>
      </c>
      <c r="B14296" s="9" t="s">
        <v>29153</v>
      </c>
      <c r="C14296" s="9" t="s">
        <v>90</v>
      </c>
      <c r="D14296" s="9" t="s">
        <v>18</v>
      </c>
      <c r="E14296" s="10" t="s">
        <v>334</v>
      </c>
      <c r="F14296" s="9" t="s">
        <v>335</v>
      </c>
      <c r="G14296" s="10" t="s">
        <v>86</v>
      </c>
      <c r="H14296" s="9" t="s">
        <v>22</v>
      </c>
      <c r="I14296" s="9" t="s">
        <v>29154</v>
      </c>
      <c r="J14296" s="10" t="str">
        <f>HYPERLINK("https://www.boe.es/gazeta/dias/1834/09/11/pdfs/GMD-C-1834-209.pdf#page=2","Abrir facsímil")</f>
        <v>Abrir facsímil</v>
      </c>
      <c r="K14296" s="10" t="s">
        <v>24</v>
      </c>
    </row>
    <row r="14297" spans="1:11" ht="54" customHeight="1">
      <c r="A14297" s="9" t="s">
        <v>29155</v>
      </c>
      <c r="B14297" s="9" t="s">
        <v>29156</v>
      </c>
      <c r="C14297" s="9" t="s">
        <v>66</v>
      </c>
      <c r="D14297" s="9" t="s">
        <v>67</v>
      </c>
      <c r="E14297" s="10" t="s">
        <v>309</v>
      </c>
      <c r="F14297" s="9" t="s">
        <v>310</v>
      </c>
      <c r="G14297" s="10" t="s">
        <v>34</v>
      </c>
      <c r="H14297" s="9" t="s">
        <v>35</v>
      </c>
      <c r="I14297" s="9" t="s">
        <v>29157</v>
      </c>
      <c r="J14297" s="10" t="str">
        <f>HYPERLINK("https://www.boe.es/gazeta/dias/1834/05/30/pdfs/GMD-1834-99.pdf#page=1","Abrir facsímil")</f>
        <v>Abrir facsímil</v>
      </c>
      <c r="K14297" s="10" t="s">
        <v>37</v>
      </c>
    </row>
    <row r="14298" spans="1:11" ht="54" customHeight="1">
      <c r="A14298" s="9" t="s">
        <v>29158</v>
      </c>
      <c r="B14298" s="9" t="s">
        <v>29159</v>
      </c>
      <c r="C14298" s="9" t="s">
        <v>90</v>
      </c>
      <c r="D14298" s="9" t="s">
        <v>55</v>
      </c>
      <c r="E14298" s="10" t="s">
        <v>1297</v>
      </c>
      <c r="F14298" s="9" t="s">
        <v>1298</v>
      </c>
      <c r="G14298" s="10" t="s">
        <v>34</v>
      </c>
      <c r="H14298" s="9" t="s">
        <v>22</v>
      </c>
      <c r="I14298" s="9" t="s">
        <v>29160</v>
      </c>
      <c r="J14298" s="10" t="str">
        <f>HYPERLINK("https://www.boe.es/gazeta/dias/1834/08/01/pdfs/GMD-1834-165.pdf#page=1","Abrir facsímil")</f>
        <v>Abrir facsímil</v>
      </c>
      <c r="K14298" s="10" t="s">
        <v>24</v>
      </c>
    </row>
    <row r="14299" spans="1:11" ht="54" customHeight="1">
      <c r="A14299" s="9" t="s">
        <v>29161</v>
      </c>
      <c r="B14299" s="9" t="s">
        <v>29162</v>
      </c>
      <c r="C14299" s="9" t="s">
        <v>66</v>
      </c>
      <c r="D14299" s="9" t="s">
        <v>67</v>
      </c>
      <c r="E14299" s="10" t="s">
        <v>976</v>
      </c>
      <c r="F14299" s="9" t="s">
        <v>1061</v>
      </c>
      <c r="G14299" s="10" t="s">
        <v>86</v>
      </c>
      <c r="H14299" s="9" t="s">
        <v>22</v>
      </c>
      <c r="I14299" s="9" t="s">
        <v>29163</v>
      </c>
      <c r="J14299" s="10" t="str">
        <f>HYPERLINK("https://www.boe.es/gazeta/dias/1834/04/02/pdfs/GMD-C-1834-41.pdf#page=2","Abrir facsímil")</f>
        <v>Abrir facsímil</v>
      </c>
      <c r="K14299" s="10" t="s">
        <v>24</v>
      </c>
    </row>
    <row r="14300" spans="1:11" ht="54" customHeight="1">
      <c r="A14300" s="9" t="s">
        <v>29164</v>
      </c>
      <c r="B14300" s="9" t="s">
        <v>29165</v>
      </c>
      <c r="C14300" s="9" t="s">
        <v>17</v>
      </c>
      <c r="D14300" s="9" t="s">
        <v>18</v>
      </c>
      <c r="E14300" s="10" t="s">
        <v>343</v>
      </c>
      <c r="F14300" s="9" t="s">
        <v>344</v>
      </c>
      <c r="G14300" s="10" t="s">
        <v>75</v>
      </c>
      <c r="H14300" s="9" t="s">
        <v>22</v>
      </c>
      <c r="I14300" s="9" t="s">
        <v>29166</v>
      </c>
      <c r="J14300" s="10" t="str">
        <f>HYPERLINK("https://www.boe.es/gazeta/dias/1834/01/14/pdfs/GMD-1834-7.pdf#page=4","Abrir facsímil")</f>
        <v>Abrir facsímil</v>
      </c>
      <c r="K14300" s="10" t="s">
        <v>24</v>
      </c>
    </row>
    <row r="14301" spans="1:11" ht="54" customHeight="1">
      <c r="A14301" s="9" t="s">
        <v>29167</v>
      </c>
      <c r="B14301" s="9" t="s">
        <v>29168</v>
      </c>
      <c r="C14301" s="9" t="s">
        <v>90</v>
      </c>
      <c r="D14301" s="9" t="s">
        <v>18</v>
      </c>
      <c r="E14301" s="10" t="s">
        <v>777</v>
      </c>
      <c r="F14301" s="9" t="s">
        <v>778</v>
      </c>
      <c r="G14301" s="10" t="s">
        <v>21</v>
      </c>
      <c r="H14301" s="9" t="s">
        <v>22</v>
      </c>
      <c r="I14301" s="9" t="s">
        <v>29169</v>
      </c>
      <c r="J14301" s="10" t="str">
        <f>HYPERLINK("https://www.boe.es/gazeta/dias/1834/10/29/pdfs/GMD-1834-257.pdf#page=3","Abrir facsímil")</f>
        <v>Abrir facsímil</v>
      </c>
      <c r="K14301" s="10" t="s">
        <v>24</v>
      </c>
    </row>
    <row r="14302" spans="1:11" ht="54" customHeight="1">
      <c r="A14302" s="9" t="s">
        <v>29170</v>
      </c>
      <c r="B14302" s="9" t="s">
        <v>29171</v>
      </c>
      <c r="C14302" s="9" t="s">
        <v>17</v>
      </c>
      <c r="D14302" s="9" t="s">
        <v>40</v>
      </c>
      <c r="E14302" s="10" t="s">
        <v>343</v>
      </c>
      <c r="F14302" s="9" t="s">
        <v>344</v>
      </c>
      <c r="G14302" s="10" t="s">
        <v>75</v>
      </c>
      <c r="H14302" s="9" t="s">
        <v>22</v>
      </c>
      <c r="I14302" s="9" t="s">
        <v>29172</v>
      </c>
      <c r="J14302" s="10" t="str">
        <f>HYPERLINK("https://www.boe.es/gazeta/dias/1834/01/14/pdfs/GMD-1834-7.pdf#page=4","Abrir facsímil")</f>
        <v>Abrir facsímil</v>
      </c>
      <c r="K14302" s="10" t="s">
        <v>24</v>
      </c>
    </row>
    <row r="14303" spans="1:11" ht="54" customHeight="1">
      <c r="A14303" s="9" t="s">
        <v>29173</v>
      </c>
      <c r="B14303" s="9" t="s">
        <v>29174</v>
      </c>
      <c r="C14303" s="9" t="s">
        <v>66</v>
      </c>
      <c r="D14303" s="9" t="s">
        <v>67</v>
      </c>
      <c r="E14303" s="10" t="s">
        <v>2748</v>
      </c>
      <c r="F14303" s="9" t="s">
        <v>2749</v>
      </c>
      <c r="G14303" s="10" t="s">
        <v>75</v>
      </c>
      <c r="H14303" s="9" t="s">
        <v>22</v>
      </c>
      <c r="I14303" s="9" t="s">
        <v>29124</v>
      </c>
      <c r="J14303" s="10" t="str">
        <f>HYPERLINK("https://www.boe.es/gazeta/dias/1834/01/09/pdfs/GMD-1834-5.pdf#page=4","Abrir facsímil")</f>
        <v>Abrir facsímil</v>
      </c>
      <c r="K14303" s="10" t="s">
        <v>24</v>
      </c>
    </row>
    <row r="14304" spans="1:11" ht="54" customHeight="1">
      <c r="A14304" s="9" t="s">
        <v>29175</v>
      </c>
      <c r="B14304" s="9" t="s">
        <v>29176</v>
      </c>
      <c r="C14304" s="9" t="s">
        <v>90</v>
      </c>
      <c r="D14304" s="9" t="s">
        <v>18</v>
      </c>
      <c r="E14304" s="10" t="s">
        <v>707</v>
      </c>
      <c r="F14304" s="9" t="s">
        <v>708</v>
      </c>
      <c r="G14304" s="10" t="s">
        <v>560</v>
      </c>
      <c r="H14304" s="9" t="s">
        <v>22</v>
      </c>
      <c r="I14304" s="9" t="s">
        <v>29177</v>
      </c>
      <c r="J14304" s="10" t="str">
        <f>HYPERLINK("https://www.boe.es/gazeta/dias/1834/11/25/pdfs/GMD-C-1834-284.pdf#page=7","Abrir facsímil")</f>
        <v>Abrir facsímil</v>
      </c>
      <c r="K14304" s="10" t="s">
        <v>24</v>
      </c>
    </row>
    <row r="14305" spans="1:11" ht="54" customHeight="1">
      <c r="A14305" s="9" t="s">
        <v>29178</v>
      </c>
      <c r="B14305" s="9" t="s">
        <v>29179</v>
      </c>
      <c r="C14305" s="9" t="s">
        <v>66</v>
      </c>
      <c r="D14305" s="9" t="s">
        <v>67</v>
      </c>
      <c r="E14305" s="10" t="s">
        <v>273</v>
      </c>
      <c r="F14305" s="9" t="s">
        <v>274</v>
      </c>
      <c r="G14305" s="10" t="s">
        <v>28</v>
      </c>
      <c r="H14305" s="9" t="s">
        <v>22</v>
      </c>
      <c r="I14305" s="9" t="s">
        <v>29180</v>
      </c>
      <c r="J14305" s="10" t="str">
        <f>HYPERLINK("https://www.boe.es/gazeta/dias/1834/08/31/pdfs/GMD-C-1834-198.pdf#page=5","Abrir facsímil")</f>
        <v>Abrir facsímil</v>
      </c>
      <c r="K14305" s="10" t="s">
        <v>24</v>
      </c>
    </row>
    <row r="14306" spans="1:11" ht="54" customHeight="1">
      <c r="A14306" s="9" t="s">
        <v>29181</v>
      </c>
      <c r="B14306" s="9" t="s">
        <v>29182</v>
      </c>
      <c r="C14306" s="9" t="s">
        <v>17</v>
      </c>
      <c r="D14306" s="9" t="s">
        <v>18</v>
      </c>
      <c r="E14306" s="10" t="s">
        <v>627</v>
      </c>
      <c r="F14306" s="9" t="s">
        <v>628</v>
      </c>
      <c r="G14306" s="10" t="s">
        <v>34</v>
      </c>
      <c r="H14306" s="9" t="s">
        <v>22</v>
      </c>
      <c r="I14306" s="9" t="s">
        <v>29183</v>
      </c>
      <c r="J14306" s="10" t="str">
        <f>HYPERLINK("https://www.boe.es/gazeta/dias/1834/09/22/pdfs/GMD-C-1834-220.pdf#page=1","Abrir facsímil")</f>
        <v>Abrir facsímil</v>
      </c>
      <c r="K14306" s="10" t="s">
        <v>24</v>
      </c>
    </row>
    <row r="14307" spans="1:11" ht="54" customHeight="1">
      <c r="A14307" s="9" t="s">
        <v>29184</v>
      </c>
      <c r="B14307" s="9" t="s">
        <v>29185</v>
      </c>
      <c r="C14307" s="9" t="s">
        <v>90</v>
      </c>
      <c r="D14307" s="9" t="s">
        <v>101</v>
      </c>
      <c r="E14307" s="10" t="s">
        <v>2306</v>
      </c>
      <c r="F14307" s="9" t="s">
        <v>2307</v>
      </c>
      <c r="G14307" s="10" t="s">
        <v>34</v>
      </c>
      <c r="H14307" s="9" t="s">
        <v>22</v>
      </c>
      <c r="I14307" s="9" t="s">
        <v>29186</v>
      </c>
      <c r="J14307" s="10" t="str">
        <f>HYPERLINK("https://www.boe.es/gazeta/dias/1834/04/26/pdfs/GMD-1834-65.pdf#page=1","Abrir facsímil")</f>
        <v>Abrir facsímil</v>
      </c>
      <c r="K14307" s="10" t="s">
        <v>24</v>
      </c>
    </row>
    <row r="14308" spans="1:11" ht="54" customHeight="1">
      <c r="A14308" s="9" t="s">
        <v>29187</v>
      </c>
      <c r="B14308" s="9" t="s">
        <v>29188</v>
      </c>
      <c r="C14308" s="9" t="s">
        <v>122</v>
      </c>
      <c r="D14308" s="9" t="s">
        <v>40</v>
      </c>
      <c r="E14308" s="10" t="s">
        <v>3170</v>
      </c>
      <c r="F14308" s="9" t="s">
        <v>3171</v>
      </c>
      <c r="G14308" s="10" t="s">
        <v>75</v>
      </c>
      <c r="H14308" s="9" t="s">
        <v>22</v>
      </c>
      <c r="I14308" s="9" t="s">
        <v>29189</v>
      </c>
      <c r="J14308" s="10" t="str">
        <f>HYPERLINK("https://www.boe.es/gazeta/dias/1834/12/07/pdfs/GMD-1834-296.pdf#page=4","Abrir facsímil")</f>
        <v>Abrir facsímil</v>
      </c>
      <c r="K14308" s="10" t="s">
        <v>24</v>
      </c>
    </row>
    <row r="14309" spans="1:11" ht="54" customHeight="1">
      <c r="A14309" s="9" t="s">
        <v>29190</v>
      </c>
      <c r="B14309" s="9" t="s">
        <v>29191</v>
      </c>
      <c r="C14309" s="9" t="s">
        <v>46</v>
      </c>
      <c r="D14309" s="9" t="s">
        <v>101</v>
      </c>
      <c r="E14309" s="10" t="s">
        <v>2287</v>
      </c>
      <c r="F14309" s="9" t="s">
        <v>2288</v>
      </c>
      <c r="G14309" s="10" t="s">
        <v>86</v>
      </c>
      <c r="H14309" s="9" t="s">
        <v>22</v>
      </c>
      <c r="I14309" s="9" t="s">
        <v>29192</v>
      </c>
      <c r="J14309" s="10" t="str">
        <f>HYPERLINK("https://www.boe.es/gazeta/dias/1834/12/18/pdfs/GMD-C-1834-308.pdf#page=2","Abrir facsímil")</f>
        <v>Abrir facsímil</v>
      </c>
      <c r="K14309" s="10" t="s">
        <v>24</v>
      </c>
    </row>
    <row r="14310" spans="1:11" ht="54" customHeight="1">
      <c r="A14310" s="9" t="s">
        <v>29193</v>
      </c>
      <c r="B14310" s="9" t="s">
        <v>29194</v>
      </c>
      <c r="C14310" s="9" t="s">
        <v>122</v>
      </c>
      <c r="D14310" s="9" t="s">
        <v>18</v>
      </c>
      <c r="E14310" s="10" t="s">
        <v>860</v>
      </c>
      <c r="F14310" s="9" t="s">
        <v>861</v>
      </c>
      <c r="G14310" s="10" t="s">
        <v>21</v>
      </c>
      <c r="H14310" s="9" t="s">
        <v>35</v>
      </c>
      <c r="I14310" s="9" t="s">
        <v>29195</v>
      </c>
      <c r="J14310" s="10" t="str">
        <f>HYPERLINK("https://www.boe.es/gazeta/dias/1834/02/08/pdfs/GMD-1834-18.pdf#page=3","Abrir facsímil")</f>
        <v>Abrir facsímil</v>
      </c>
      <c r="K14310" s="10" t="s">
        <v>37</v>
      </c>
    </row>
    <row r="14311" spans="1:11" ht="54" customHeight="1">
      <c r="A14311" s="9" t="s">
        <v>29196</v>
      </c>
      <c r="B14311" s="9" t="s">
        <v>29197</v>
      </c>
      <c r="C14311" s="9" t="s">
        <v>66</v>
      </c>
      <c r="D14311" s="9" t="s">
        <v>67</v>
      </c>
      <c r="E14311" s="10" t="s">
        <v>808</v>
      </c>
      <c r="F14311" s="9" t="s">
        <v>809</v>
      </c>
      <c r="G14311" s="10" t="s">
        <v>21</v>
      </c>
      <c r="H14311" s="9" t="s">
        <v>35</v>
      </c>
      <c r="I14311" s="9" t="s">
        <v>29198</v>
      </c>
      <c r="J14311" s="10" t="str">
        <f>HYPERLINK("https://www.boe.es/gazeta/dias/1834/10/11/pdfs/GMD-1834-239.pdf#page=3","Abrir facsímil")</f>
        <v>Abrir facsímil</v>
      </c>
      <c r="K14311" s="10" t="s">
        <v>37</v>
      </c>
    </row>
    <row r="14312" spans="1:11" ht="54" customHeight="1">
      <c r="A14312" s="9" t="s">
        <v>29199</v>
      </c>
      <c r="B14312" s="9" t="s">
        <v>29200</v>
      </c>
      <c r="C14312" s="9" t="s">
        <v>66</v>
      </c>
      <c r="D14312" s="9" t="s">
        <v>67</v>
      </c>
      <c r="E14312" s="10" t="s">
        <v>808</v>
      </c>
      <c r="F14312" s="9" t="s">
        <v>809</v>
      </c>
      <c r="G14312" s="10" t="s">
        <v>21</v>
      </c>
      <c r="H14312" s="9" t="s">
        <v>22</v>
      </c>
      <c r="I14312" s="9" t="s">
        <v>29201</v>
      </c>
      <c r="J14312" s="10" t="str">
        <f>HYPERLINK("https://www.boe.es/gazeta/dias/1834/10/11/pdfs/GMD-1834-239.pdf#page=3","Abrir facsímil")</f>
        <v>Abrir facsímil</v>
      </c>
      <c r="K14312" s="10" t="s">
        <v>24</v>
      </c>
    </row>
    <row r="14313" spans="1:11" ht="54" customHeight="1">
      <c r="A14313" s="9" t="s">
        <v>29202</v>
      </c>
      <c r="B14313" s="9" t="s">
        <v>29202</v>
      </c>
      <c r="C14313" s="9" t="s">
        <v>17</v>
      </c>
      <c r="D14313" s="9" t="s">
        <v>18</v>
      </c>
      <c r="E14313" s="10" t="s">
        <v>1195</v>
      </c>
      <c r="F14313" s="9" t="s">
        <v>1196</v>
      </c>
      <c r="G14313" s="10" t="s">
        <v>470</v>
      </c>
      <c r="H14313" s="9" t="s">
        <v>22</v>
      </c>
      <c r="I14313" s="9" t="s">
        <v>29203</v>
      </c>
      <c r="J14313" s="10" t="str">
        <f>HYPERLINK("https://www.boe.es/gazeta/dias/1834/10/17/pdfs/GMD-C-1834-245.pdf#page=8","Abrir facsímil")</f>
        <v>Abrir facsímil</v>
      </c>
      <c r="K14313" s="10" t="s">
        <v>24</v>
      </c>
    </row>
    <row r="14314" spans="1:11" ht="54" customHeight="1">
      <c r="A14314" s="9" t="s">
        <v>29202</v>
      </c>
      <c r="B14314" s="9" t="s">
        <v>29202</v>
      </c>
      <c r="C14314" s="9" t="s">
        <v>66</v>
      </c>
      <c r="D14314" s="9" t="s">
        <v>67</v>
      </c>
      <c r="E14314" s="10" t="s">
        <v>707</v>
      </c>
      <c r="F14314" s="9" t="s">
        <v>708</v>
      </c>
      <c r="G14314" s="10" t="s">
        <v>28</v>
      </c>
      <c r="H14314" s="9" t="s">
        <v>22</v>
      </c>
      <c r="I14314" s="9" t="s">
        <v>29204</v>
      </c>
      <c r="J14314" s="10" t="str">
        <f>HYPERLINK("https://www.boe.es/gazeta/dias/1834/11/25/pdfs/GMD-C-1834-284.pdf#page=5","Abrir facsímil")</f>
        <v>Abrir facsímil</v>
      </c>
      <c r="K14314" s="10" t="s">
        <v>24</v>
      </c>
    </row>
    <row r="14315" spans="1:11" ht="54" customHeight="1">
      <c r="A14315" s="9" t="s">
        <v>29205</v>
      </c>
      <c r="B14315" s="9" t="s">
        <v>29206</v>
      </c>
      <c r="C14315" s="9" t="s">
        <v>17</v>
      </c>
      <c r="D14315" s="9" t="s">
        <v>18</v>
      </c>
      <c r="E14315" s="10" t="s">
        <v>707</v>
      </c>
      <c r="F14315" s="9" t="s">
        <v>708</v>
      </c>
      <c r="G14315" s="10" t="s">
        <v>28</v>
      </c>
      <c r="H14315" s="9" t="s">
        <v>35</v>
      </c>
      <c r="I14315" s="9" t="s">
        <v>29207</v>
      </c>
      <c r="J14315" s="10" t="str">
        <f>HYPERLINK("https://www.boe.es/gazeta/dias/1834/11/25/pdfs/GMD-C-1834-284.pdf#page=5","Abrir facsímil")</f>
        <v>Abrir facsímil</v>
      </c>
      <c r="K14315" s="10" t="s">
        <v>37</v>
      </c>
    </row>
    <row r="14316" spans="1:11" ht="54" customHeight="1">
      <c r="A14316" s="9" t="s">
        <v>29208</v>
      </c>
      <c r="B14316" s="9" t="s">
        <v>29209</v>
      </c>
      <c r="C14316" s="9" t="s">
        <v>90</v>
      </c>
      <c r="D14316" s="9" t="s">
        <v>18</v>
      </c>
      <c r="E14316" s="10" t="s">
        <v>47</v>
      </c>
      <c r="F14316" s="9" t="s">
        <v>48</v>
      </c>
      <c r="G14316" s="10" t="s">
        <v>34</v>
      </c>
      <c r="H14316" s="9" t="s">
        <v>22</v>
      </c>
      <c r="I14316" s="9" t="s">
        <v>29210</v>
      </c>
      <c r="J14316" s="10" t="str">
        <f>HYPERLINK("https://www.boe.es/gazeta/dias/1834/09/05/pdfs/GMD-C-1834-203.pdf#page=1","Abrir facsímil")</f>
        <v>Abrir facsímil</v>
      </c>
      <c r="K14316" s="10" t="s">
        <v>24</v>
      </c>
    </row>
    <row r="14317" spans="1:11" ht="54" customHeight="1">
      <c r="A14317" s="9" t="s">
        <v>29211</v>
      </c>
      <c r="B14317" s="9" t="s">
        <v>29211</v>
      </c>
      <c r="C14317" s="9" t="s">
        <v>17</v>
      </c>
      <c r="D14317" s="9" t="s">
        <v>18</v>
      </c>
      <c r="E14317" s="10" t="s">
        <v>200</v>
      </c>
      <c r="F14317" s="9" t="s">
        <v>2248</v>
      </c>
      <c r="G14317" s="10" t="s">
        <v>21</v>
      </c>
      <c r="H14317" s="9" t="s">
        <v>22</v>
      </c>
      <c r="I14317" s="9" t="s">
        <v>29212</v>
      </c>
      <c r="J14317" s="10" t="str">
        <f>HYPERLINK("https://www.boe.es/gazeta/dias/1834/12/11/pdfs/GMD-C-1834-300.pdf#page=3","Abrir facsímil")</f>
        <v>Abrir facsímil</v>
      </c>
      <c r="K14317" s="10" t="s">
        <v>24</v>
      </c>
    </row>
    <row r="14318" spans="1:11" ht="54" customHeight="1">
      <c r="A14318" s="9" t="s">
        <v>29211</v>
      </c>
      <c r="B14318" s="9" t="s">
        <v>29211</v>
      </c>
      <c r="C14318" s="9" t="s">
        <v>17</v>
      </c>
      <c r="D14318" s="9" t="s">
        <v>18</v>
      </c>
      <c r="E14318" s="10" t="s">
        <v>299</v>
      </c>
      <c r="F14318" s="9" t="s">
        <v>2255</v>
      </c>
      <c r="G14318" s="10" t="s">
        <v>86</v>
      </c>
      <c r="H14318" s="9" t="s">
        <v>22</v>
      </c>
      <c r="I14318" s="9" t="s">
        <v>29213</v>
      </c>
      <c r="J14318" s="10" t="str">
        <f>HYPERLINK("https://www.boe.es/gazeta/dias/1834/12/12/pdfs/GMD-C-1834-301.pdf#page=2","Abrir facsímil")</f>
        <v>Abrir facsímil</v>
      </c>
      <c r="K14318" s="10" t="s">
        <v>24</v>
      </c>
    </row>
    <row r="14319" spans="1:11" ht="54" customHeight="1">
      <c r="A14319" s="9" t="s">
        <v>29211</v>
      </c>
      <c r="B14319" s="9" t="s">
        <v>29211</v>
      </c>
      <c r="C14319" s="9" t="s">
        <v>17</v>
      </c>
      <c r="D14319" s="9" t="s">
        <v>18</v>
      </c>
      <c r="E14319" s="10" t="s">
        <v>2278</v>
      </c>
      <c r="F14319" s="9" t="s">
        <v>2279</v>
      </c>
      <c r="G14319" s="10" t="s">
        <v>86</v>
      </c>
      <c r="H14319" s="9" t="s">
        <v>22</v>
      </c>
      <c r="I14319" s="9" t="s">
        <v>29214</v>
      </c>
      <c r="J14319" s="10" t="str">
        <f>HYPERLINK("https://www.boe.es/gazeta/dias/1834/12/17/pdfs/GMD-C-1834-306.pdf#page=2","Abrir facsímil")</f>
        <v>Abrir facsímil</v>
      </c>
      <c r="K14319" s="10" t="s">
        <v>24</v>
      </c>
    </row>
    <row r="14320" spans="1:11" ht="54" customHeight="1">
      <c r="A14320" s="9" t="s">
        <v>29211</v>
      </c>
      <c r="B14320" s="9" t="s">
        <v>29211</v>
      </c>
      <c r="C14320" s="9" t="s">
        <v>46</v>
      </c>
      <c r="D14320" s="9" t="s">
        <v>55</v>
      </c>
      <c r="E14320" s="10" t="s">
        <v>2278</v>
      </c>
      <c r="F14320" s="9" t="s">
        <v>2279</v>
      </c>
      <c r="G14320" s="10" t="s">
        <v>21</v>
      </c>
      <c r="H14320" s="9" t="s">
        <v>22</v>
      </c>
      <c r="I14320" s="9" t="s">
        <v>29215</v>
      </c>
      <c r="J14320" s="10" t="str">
        <f>HYPERLINK("https://www.boe.es/gazeta/dias/1834/12/17/pdfs/GMD-C-1834-306.pdf#page=3","Abrir facsímil")</f>
        <v>Abrir facsímil</v>
      </c>
      <c r="K14320" s="10" t="s">
        <v>24</v>
      </c>
    </row>
    <row r="14321" spans="1:11" ht="54" customHeight="1">
      <c r="A14321" s="9" t="s">
        <v>29211</v>
      </c>
      <c r="B14321" s="9" t="s">
        <v>29211</v>
      </c>
      <c r="C14321" s="9" t="s">
        <v>17</v>
      </c>
      <c r="D14321" s="9" t="s">
        <v>18</v>
      </c>
      <c r="E14321" s="10" t="s">
        <v>153</v>
      </c>
      <c r="F14321" s="9" t="s">
        <v>154</v>
      </c>
      <c r="G14321" s="10" t="s">
        <v>560</v>
      </c>
      <c r="H14321" s="9" t="s">
        <v>22</v>
      </c>
      <c r="I14321" s="9" t="s">
        <v>29216</v>
      </c>
      <c r="J14321" s="10" t="str">
        <f>HYPERLINK("https://www.boe.es/gazeta/dias/1834/12/30/pdfs/GMD-C-1834-320.pdf#page=7","Abrir facsímil")</f>
        <v>Abrir facsímil</v>
      </c>
      <c r="K14321" s="10" t="s">
        <v>24</v>
      </c>
    </row>
    <row r="14322" spans="1:11" ht="54" customHeight="1">
      <c r="A14322" s="9" t="s">
        <v>29217</v>
      </c>
      <c r="B14322" s="9" t="s">
        <v>29218</v>
      </c>
      <c r="C14322" s="9" t="s">
        <v>17</v>
      </c>
      <c r="D14322" s="9" t="s">
        <v>18</v>
      </c>
      <c r="E14322" s="10" t="s">
        <v>571</v>
      </c>
      <c r="F14322" s="9" t="s">
        <v>572</v>
      </c>
      <c r="G14322" s="10" t="s">
        <v>21</v>
      </c>
      <c r="H14322" s="9" t="s">
        <v>35</v>
      </c>
      <c r="I14322" s="9" t="s">
        <v>29219</v>
      </c>
      <c r="J14322" s="10" t="str">
        <f>HYPERLINK("https://www.boe.es/gazeta/dias/1834/09/04/pdfs/GMD-1834-202.pdf#page=3","Abrir facsímil")</f>
        <v>Abrir facsímil</v>
      </c>
      <c r="K14322" s="10" t="s">
        <v>37</v>
      </c>
    </row>
    <row r="14323" spans="1:11" ht="54" customHeight="1">
      <c r="A14323" s="9" t="s">
        <v>29217</v>
      </c>
      <c r="B14323" s="9" t="s">
        <v>29218</v>
      </c>
      <c r="C14323" s="9" t="s">
        <v>17</v>
      </c>
      <c r="D14323" s="9" t="s">
        <v>18</v>
      </c>
      <c r="E14323" s="10" t="s">
        <v>510</v>
      </c>
      <c r="F14323" s="9" t="s">
        <v>531</v>
      </c>
      <c r="G14323" s="10" t="s">
        <v>75</v>
      </c>
      <c r="H14323" s="9" t="s">
        <v>35</v>
      </c>
      <c r="I14323" s="9" t="s">
        <v>29220</v>
      </c>
      <c r="J14323" s="10" t="str">
        <f>HYPERLINK("https://www.boe.es/gazeta/dias/1834/11/26/pdfs/GMD-C-1834-285.pdf#page=4","Abrir facsímil")</f>
        <v>Abrir facsímil</v>
      </c>
      <c r="K14323" s="10" t="s">
        <v>37</v>
      </c>
    </row>
    <row r="14324" spans="1:11" ht="54" customHeight="1">
      <c r="A14324" s="9" t="s">
        <v>29217</v>
      </c>
      <c r="B14324" s="9" t="s">
        <v>29218</v>
      </c>
      <c r="C14324" s="9" t="s">
        <v>17</v>
      </c>
      <c r="D14324" s="9" t="s">
        <v>40</v>
      </c>
      <c r="E14324" s="10" t="s">
        <v>283</v>
      </c>
      <c r="F14324" s="9" t="s">
        <v>284</v>
      </c>
      <c r="G14324" s="10" t="s">
        <v>34</v>
      </c>
      <c r="H14324" s="9" t="s">
        <v>35</v>
      </c>
      <c r="I14324" s="9" t="s">
        <v>29221</v>
      </c>
      <c r="J14324" s="10" t="str">
        <f>HYPERLINK("https://www.boe.es/gazeta/dias/1834/11/29/pdfs/GMD-C-1834-288.pdf#page=1","Abrir facsímil")</f>
        <v>Abrir facsímil</v>
      </c>
      <c r="K14324" s="10" t="s">
        <v>37</v>
      </c>
    </row>
    <row r="14325" spans="1:11" ht="54" customHeight="1">
      <c r="A14325" s="9" t="s">
        <v>29222</v>
      </c>
      <c r="B14325" s="9" t="s">
        <v>29223</v>
      </c>
      <c r="C14325" s="9" t="s">
        <v>17</v>
      </c>
      <c r="D14325" s="9" t="s">
        <v>18</v>
      </c>
      <c r="E14325" s="10" t="s">
        <v>571</v>
      </c>
      <c r="F14325" s="9" t="s">
        <v>572</v>
      </c>
      <c r="G14325" s="10" t="s">
        <v>21</v>
      </c>
      <c r="H14325" s="9" t="s">
        <v>22</v>
      </c>
      <c r="I14325" s="9" t="s">
        <v>29224</v>
      </c>
      <c r="J14325" s="10" t="str">
        <f>HYPERLINK("https://www.boe.es/gazeta/dias/1834/09/04/pdfs/GMD-1834-202.pdf#page=3","Abrir facsímil")</f>
        <v>Abrir facsímil</v>
      </c>
      <c r="K14325" s="10" t="s">
        <v>24</v>
      </c>
    </row>
    <row r="14326" spans="1:11" ht="54" customHeight="1">
      <c r="A14326" s="9" t="s">
        <v>29222</v>
      </c>
      <c r="B14326" s="9" t="s">
        <v>29223</v>
      </c>
      <c r="C14326" s="9" t="s">
        <v>17</v>
      </c>
      <c r="D14326" s="9" t="s">
        <v>18</v>
      </c>
      <c r="E14326" s="10" t="s">
        <v>510</v>
      </c>
      <c r="F14326" s="9" t="s">
        <v>531</v>
      </c>
      <c r="G14326" s="10" t="s">
        <v>75</v>
      </c>
      <c r="H14326" s="9" t="s">
        <v>22</v>
      </c>
      <c r="I14326" s="9" t="s">
        <v>29225</v>
      </c>
      <c r="J14326" s="10" t="str">
        <f>HYPERLINK("https://www.boe.es/gazeta/dias/1834/11/26/pdfs/GMD-C-1834-285.pdf#page=4","Abrir facsímil")</f>
        <v>Abrir facsímil</v>
      </c>
      <c r="K14326" s="10" t="s">
        <v>24</v>
      </c>
    </row>
    <row r="14327" spans="1:11" ht="54" customHeight="1">
      <c r="A14327" s="9" t="s">
        <v>29222</v>
      </c>
      <c r="B14327" s="9" t="s">
        <v>29223</v>
      </c>
      <c r="C14327" s="9" t="s">
        <v>17</v>
      </c>
      <c r="D14327" s="9" t="s">
        <v>40</v>
      </c>
      <c r="E14327" s="10" t="s">
        <v>283</v>
      </c>
      <c r="F14327" s="9" t="s">
        <v>284</v>
      </c>
      <c r="G14327" s="10" t="s">
        <v>34</v>
      </c>
      <c r="H14327" s="9" t="s">
        <v>22</v>
      </c>
      <c r="I14327" s="9" t="s">
        <v>29226</v>
      </c>
      <c r="J14327" s="10" t="str">
        <f>HYPERLINK("https://www.boe.es/gazeta/dias/1834/11/29/pdfs/GMD-C-1834-288.pdf#page=1","Abrir facsímil")</f>
        <v>Abrir facsímil</v>
      </c>
      <c r="K14327" s="10" t="s">
        <v>24</v>
      </c>
    </row>
    <row r="14328" spans="1:11" ht="54" customHeight="1">
      <c r="A14328" s="9" t="s">
        <v>29227</v>
      </c>
      <c r="B14328" s="9" t="s">
        <v>29227</v>
      </c>
      <c r="C14328" s="9" t="s">
        <v>17</v>
      </c>
      <c r="D14328" s="9" t="s">
        <v>18</v>
      </c>
      <c r="E14328" s="10" t="s">
        <v>777</v>
      </c>
      <c r="F14328" s="9" t="s">
        <v>778</v>
      </c>
      <c r="G14328" s="10" t="s">
        <v>75</v>
      </c>
      <c r="H14328" s="9" t="s">
        <v>22</v>
      </c>
      <c r="I14328" s="9" t="s">
        <v>29228</v>
      </c>
      <c r="J14328" s="10" t="str">
        <f>HYPERLINK("https://www.boe.es/gazeta/dias/1834/10/29/pdfs/GMD-1834-257.pdf#page=4","Abrir facsímil")</f>
        <v>Abrir facsímil</v>
      </c>
      <c r="K14328" s="10" t="s">
        <v>24</v>
      </c>
    </row>
    <row r="14329" spans="1:11" ht="54" customHeight="1">
      <c r="A14329" s="9" t="s">
        <v>29229</v>
      </c>
      <c r="B14329" s="9" t="s">
        <v>29230</v>
      </c>
      <c r="C14329" s="9" t="s">
        <v>17</v>
      </c>
      <c r="D14329" s="9" t="s">
        <v>18</v>
      </c>
      <c r="E14329" s="10" t="s">
        <v>1239</v>
      </c>
      <c r="F14329" s="9" t="s">
        <v>1240</v>
      </c>
      <c r="G14329" s="10" t="s">
        <v>34</v>
      </c>
      <c r="H14329" s="9" t="s">
        <v>22</v>
      </c>
      <c r="I14329" s="9" t="s">
        <v>29231</v>
      </c>
      <c r="J14329" s="10" t="str">
        <f>HYPERLINK("https://www.boe.es/gazeta/dias/1834/08/20/pdfs/GMD-1834-186.pdf#page=1","Abrir facsímil")</f>
        <v>Abrir facsímil</v>
      </c>
      <c r="K14329" s="10" t="s">
        <v>24</v>
      </c>
    </row>
    <row r="14330" spans="1:11" ht="54" customHeight="1">
      <c r="A14330" s="9" t="s">
        <v>29232</v>
      </c>
      <c r="B14330" s="9" t="s">
        <v>29233</v>
      </c>
      <c r="C14330" s="9" t="s">
        <v>90</v>
      </c>
      <c r="D14330" s="9" t="s">
        <v>67</v>
      </c>
      <c r="E14330" s="10" t="s">
        <v>849</v>
      </c>
      <c r="F14330" s="9" t="s">
        <v>850</v>
      </c>
      <c r="G14330" s="10" t="s">
        <v>75</v>
      </c>
      <c r="H14330" s="9" t="s">
        <v>22</v>
      </c>
      <c r="I14330" s="9" t="s">
        <v>29234</v>
      </c>
      <c r="J14330" s="10" t="str">
        <f>HYPERLINK("https://www.boe.es/gazeta/dias/1834/06/21/pdfs/GMD-1834-124.pdf#page=4","Abrir facsímil")</f>
        <v>Abrir facsímil</v>
      </c>
      <c r="K14330" s="10" t="s">
        <v>24</v>
      </c>
    </row>
    <row r="14331" spans="1:11" ht="54" customHeight="1">
      <c r="A14331" s="9" t="s">
        <v>29235</v>
      </c>
      <c r="B14331" s="9" t="s">
        <v>29235</v>
      </c>
      <c r="C14331" s="9" t="s">
        <v>46</v>
      </c>
      <c r="D14331" s="9" t="s">
        <v>18</v>
      </c>
      <c r="E14331" s="10" t="s">
        <v>976</v>
      </c>
      <c r="F14331" s="9" t="s">
        <v>977</v>
      </c>
      <c r="G14331" s="10" t="s">
        <v>21</v>
      </c>
      <c r="H14331" s="9" t="s">
        <v>22</v>
      </c>
      <c r="I14331" s="9" t="s">
        <v>29236</v>
      </c>
      <c r="J14331" s="10" t="str">
        <f>HYPERLINK("https://www.boe.es/gazeta/dias/1834/04/02/pdfs/GMD-1834-41.pdf#page=3","Abrir facsímil")</f>
        <v>Abrir facsímil</v>
      </c>
      <c r="K14331" s="10" t="s">
        <v>24</v>
      </c>
    </row>
    <row r="14332" spans="1:11" ht="54" customHeight="1">
      <c r="A14332" s="9" t="s">
        <v>29235</v>
      </c>
      <c r="B14332" s="9" t="s">
        <v>29235</v>
      </c>
      <c r="C14332" s="9" t="s">
        <v>17</v>
      </c>
      <c r="D14332" s="9" t="s">
        <v>18</v>
      </c>
      <c r="E14332" s="10" t="s">
        <v>91</v>
      </c>
      <c r="F14332" s="9" t="s">
        <v>92</v>
      </c>
      <c r="G14332" s="10" t="s">
        <v>21</v>
      </c>
      <c r="H14332" s="9" t="s">
        <v>22</v>
      </c>
      <c r="I14332" s="9" t="s">
        <v>29237</v>
      </c>
      <c r="J14332" s="10" t="str">
        <f>HYPERLINK("https://www.boe.es/gazeta/dias/1834/02/13/pdfs/GMD-1834-20.pdf#page=3","Abrir facsímil")</f>
        <v>Abrir facsímil</v>
      </c>
      <c r="K14332" s="10" t="s">
        <v>24</v>
      </c>
    </row>
    <row r="14333" spans="1:11" ht="54" customHeight="1">
      <c r="A14333" s="9" t="s">
        <v>29235</v>
      </c>
      <c r="B14333" s="9" t="s">
        <v>29235</v>
      </c>
      <c r="C14333" s="9" t="s">
        <v>17</v>
      </c>
      <c r="D14333" s="9" t="s">
        <v>55</v>
      </c>
      <c r="E14333" s="10" t="s">
        <v>912</v>
      </c>
      <c r="F14333" s="9" t="s">
        <v>913</v>
      </c>
      <c r="G14333" s="10" t="s">
        <v>75</v>
      </c>
      <c r="H14333" s="9" t="s">
        <v>22</v>
      </c>
      <c r="I14333" s="9" t="s">
        <v>29238</v>
      </c>
      <c r="J14333" s="10" t="str">
        <f>HYPERLINK("https://www.boe.es/gazeta/dias/1834/02/15/pdfs/GMD-1834-21.pdf#page=4","Abrir facsímil")</f>
        <v>Abrir facsímil</v>
      </c>
      <c r="K14333" s="10" t="s">
        <v>24</v>
      </c>
    </row>
    <row r="14334" spans="1:11" ht="54" customHeight="1">
      <c r="A14334" s="9" t="s">
        <v>29235</v>
      </c>
      <c r="B14334" s="9" t="s">
        <v>29235</v>
      </c>
      <c r="C14334" s="9" t="s">
        <v>66</v>
      </c>
      <c r="D14334" s="9" t="s">
        <v>67</v>
      </c>
      <c r="E14334" s="10" t="s">
        <v>1850</v>
      </c>
      <c r="F14334" s="9" t="s">
        <v>1851</v>
      </c>
      <c r="G14334" s="10" t="s">
        <v>28</v>
      </c>
      <c r="H14334" s="9" t="s">
        <v>22</v>
      </c>
      <c r="I14334" s="9" t="s">
        <v>29239</v>
      </c>
      <c r="J14334" s="10" t="str">
        <f>HYPERLINK("https://www.boe.es/gazeta/dias/1834/02/18/pdfs/GMD-1834-22.pdf#page=5","Abrir facsímil")</f>
        <v>Abrir facsímil</v>
      </c>
      <c r="K14334" s="10" t="s">
        <v>24</v>
      </c>
    </row>
    <row r="14335" spans="1:11" ht="54" customHeight="1">
      <c r="A14335" s="9" t="s">
        <v>29235</v>
      </c>
      <c r="B14335" s="9" t="s">
        <v>29235</v>
      </c>
      <c r="C14335" s="9" t="s">
        <v>46</v>
      </c>
      <c r="D14335" s="9" t="s">
        <v>18</v>
      </c>
      <c r="E14335" s="10" t="s">
        <v>719</v>
      </c>
      <c r="F14335" s="9" t="s">
        <v>720</v>
      </c>
      <c r="G14335" s="10" t="s">
        <v>86</v>
      </c>
      <c r="H14335" s="9" t="s">
        <v>22</v>
      </c>
      <c r="I14335" s="9" t="s">
        <v>29240</v>
      </c>
      <c r="J14335" s="10" t="str">
        <f>HYPERLINK("https://www.boe.es/gazeta/dias/1834/04/29/pdfs/GMD-1834-68.pdf#page=2","Abrir facsímil")</f>
        <v>Abrir facsímil</v>
      </c>
      <c r="K14335" s="10" t="s">
        <v>24</v>
      </c>
    </row>
    <row r="14336" spans="1:11" ht="54" customHeight="1">
      <c r="A14336" s="9" t="s">
        <v>29235</v>
      </c>
      <c r="B14336" s="9" t="s">
        <v>29235</v>
      </c>
      <c r="C14336" s="9" t="s">
        <v>17</v>
      </c>
      <c r="D14336" s="9" t="s">
        <v>18</v>
      </c>
      <c r="E14336" s="10" t="s">
        <v>899</v>
      </c>
      <c r="F14336" s="9" t="s">
        <v>900</v>
      </c>
      <c r="G14336" s="10" t="s">
        <v>75</v>
      </c>
      <c r="H14336" s="9" t="s">
        <v>22</v>
      </c>
      <c r="I14336" s="9" t="s">
        <v>29241</v>
      </c>
      <c r="J14336" s="10" t="str">
        <f>HYPERLINK("https://www.boe.es/gazeta/dias/1834/01/30/pdfs/GMD-1834-14.pdf#page=4","Abrir facsímil")</f>
        <v>Abrir facsímil</v>
      </c>
      <c r="K14336" s="10" t="s">
        <v>24</v>
      </c>
    </row>
    <row r="14337" spans="1:11" ht="54" customHeight="1">
      <c r="A14337" s="9" t="s">
        <v>29235</v>
      </c>
      <c r="B14337" s="9" t="s">
        <v>29235</v>
      </c>
      <c r="C14337" s="9" t="s">
        <v>122</v>
      </c>
      <c r="D14337" s="9" t="s">
        <v>18</v>
      </c>
      <c r="E14337" s="10" t="s">
        <v>899</v>
      </c>
      <c r="F14337" s="9" t="s">
        <v>900</v>
      </c>
      <c r="G14337" s="10" t="s">
        <v>28</v>
      </c>
      <c r="H14337" s="9" t="s">
        <v>22</v>
      </c>
      <c r="I14337" s="9" t="s">
        <v>29242</v>
      </c>
      <c r="J14337" s="10" t="str">
        <f>HYPERLINK("https://www.boe.es/gazeta/dias/1834/01/30/pdfs/GMD-1834-14.pdf#page=5","Abrir facsímil")</f>
        <v>Abrir facsímil</v>
      </c>
      <c r="K14337" s="10" t="s">
        <v>24</v>
      </c>
    </row>
    <row r="14338" spans="1:11" ht="54" customHeight="1">
      <c r="A14338" s="9" t="s">
        <v>29243</v>
      </c>
      <c r="B14338" s="9" t="s">
        <v>29243</v>
      </c>
      <c r="C14338" s="9" t="s">
        <v>90</v>
      </c>
      <c r="D14338" s="9" t="s">
        <v>18</v>
      </c>
      <c r="E14338" s="10" t="s">
        <v>280</v>
      </c>
      <c r="F14338" s="9" t="s">
        <v>3217</v>
      </c>
      <c r="G14338" s="10" t="s">
        <v>86</v>
      </c>
      <c r="H14338" s="9" t="s">
        <v>22</v>
      </c>
      <c r="I14338" s="9" t="s">
        <v>29244</v>
      </c>
      <c r="J14338" s="10" t="str">
        <f>HYPERLINK("https://www.boe.es/gazeta/dias/1834/08/29/pdfs/GMD-1834-195.pdf#page=2","Abrir facsímil")</f>
        <v>Abrir facsímil</v>
      </c>
      <c r="K14338" s="10" t="s">
        <v>24</v>
      </c>
    </row>
    <row r="14339" spans="1:11" ht="54" customHeight="1">
      <c r="A14339" s="9" t="s">
        <v>29245</v>
      </c>
      <c r="B14339" s="9" t="s">
        <v>29245</v>
      </c>
      <c r="C14339" s="9" t="s">
        <v>66</v>
      </c>
      <c r="D14339" s="9" t="s">
        <v>67</v>
      </c>
      <c r="E14339" s="10" t="s">
        <v>1333</v>
      </c>
      <c r="F14339" s="9" t="s">
        <v>1334</v>
      </c>
      <c r="G14339" s="10" t="s">
        <v>75</v>
      </c>
      <c r="H14339" s="9" t="s">
        <v>22</v>
      </c>
      <c r="I14339" s="9" t="s">
        <v>29246</v>
      </c>
      <c r="J14339" s="10" t="str">
        <f>HYPERLINK("https://www.boe.es/gazeta/dias/1834/04/01/pdfs/GMD-1834-40.pdf#page=4","Abrir facsímil")</f>
        <v>Abrir facsímil</v>
      </c>
      <c r="K14339" s="10" t="s">
        <v>24</v>
      </c>
    </row>
    <row r="14340" spans="1:11" ht="54" customHeight="1">
      <c r="A14340" s="9" t="s">
        <v>29247</v>
      </c>
      <c r="B14340" s="9" t="s">
        <v>29247</v>
      </c>
      <c r="C14340" s="9" t="s">
        <v>17</v>
      </c>
      <c r="D14340" s="9" t="s">
        <v>18</v>
      </c>
      <c r="E14340" s="10" t="s">
        <v>1505</v>
      </c>
      <c r="F14340" s="9" t="s">
        <v>1506</v>
      </c>
      <c r="G14340" s="10" t="s">
        <v>75</v>
      </c>
      <c r="H14340" s="9" t="s">
        <v>22</v>
      </c>
      <c r="I14340" s="9" t="s">
        <v>29248</v>
      </c>
      <c r="J14340" s="10" t="str">
        <f>HYPERLINK("https://www.boe.es/gazeta/dias/1834/05/08/pdfs/GMD-1834-77.pdf#page=4","Abrir facsímil")</f>
        <v>Abrir facsímil</v>
      </c>
      <c r="K14340" s="10" t="s">
        <v>24</v>
      </c>
    </row>
    <row r="14341" spans="1:11" ht="54" customHeight="1">
      <c r="A14341" s="9" t="s">
        <v>29249</v>
      </c>
      <c r="B14341" s="9" t="s">
        <v>29250</v>
      </c>
      <c r="C14341" s="9" t="s">
        <v>66</v>
      </c>
      <c r="D14341" s="9" t="s">
        <v>67</v>
      </c>
      <c r="E14341" s="10" t="s">
        <v>1505</v>
      </c>
      <c r="F14341" s="9" t="s">
        <v>1506</v>
      </c>
      <c r="G14341" s="10" t="s">
        <v>21</v>
      </c>
      <c r="H14341" s="9" t="s">
        <v>35</v>
      </c>
      <c r="I14341" s="9" t="s">
        <v>29251</v>
      </c>
      <c r="J14341" s="10" t="str">
        <f>HYPERLINK("https://www.boe.es/gazeta/dias/1834/05/08/pdfs/GMD-1834-77.pdf#page=3","Abrir facsímil")</f>
        <v>Abrir facsímil</v>
      </c>
      <c r="K14341" s="10" t="s">
        <v>37</v>
      </c>
    </row>
    <row r="14342" spans="1:11" ht="54" customHeight="1">
      <c r="A14342" s="9" t="s">
        <v>29249</v>
      </c>
      <c r="B14342" s="9" t="s">
        <v>29250</v>
      </c>
      <c r="C14342" s="9" t="s">
        <v>122</v>
      </c>
      <c r="D14342" s="9" t="s">
        <v>18</v>
      </c>
      <c r="E14342" s="10" t="s">
        <v>1505</v>
      </c>
      <c r="F14342" s="9" t="s">
        <v>1506</v>
      </c>
      <c r="G14342" s="10" t="s">
        <v>75</v>
      </c>
      <c r="H14342" s="9" t="s">
        <v>35</v>
      </c>
      <c r="I14342" s="9" t="s">
        <v>29252</v>
      </c>
      <c r="J14342" s="10" t="str">
        <f>HYPERLINK("https://www.boe.es/gazeta/dias/1834/05/08/pdfs/GMD-1834-77.pdf#page=4","Abrir facsímil")</f>
        <v>Abrir facsímil</v>
      </c>
      <c r="K14342" s="10" t="s">
        <v>37</v>
      </c>
    </row>
    <row r="14343" spans="1:11" ht="54" customHeight="1">
      <c r="A14343" s="9" t="s">
        <v>29249</v>
      </c>
      <c r="B14343" s="9" t="s">
        <v>29250</v>
      </c>
      <c r="C14343" s="9" t="s">
        <v>66</v>
      </c>
      <c r="D14343" s="9" t="s">
        <v>67</v>
      </c>
      <c r="E14343" s="10" t="s">
        <v>2945</v>
      </c>
      <c r="F14343" s="9" t="s">
        <v>2946</v>
      </c>
      <c r="G14343" s="10" t="s">
        <v>75</v>
      </c>
      <c r="H14343" s="9" t="s">
        <v>35</v>
      </c>
      <c r="I14343" s="9" t="s">
        <v>29253</v>
      </c>
      <c r="J14343" s="10" t="str">
        <f>HYPERLINK("https://www.boe.es/gazeta/dias/1834/05/29/pdfs/GMD-1834-98.pdf#page=4","Abrir facsímil")</f>
        <v>Abrir facsímil</v>
      </c>
      <c r="K14343" s="10" t="s">
        <v>37</v>
      </c>
    </row>
    <row r="14344" spans="1:11" ht="54" customHeight="1">
      <c r="A14344" s="9" t="s">
        <v>29254</v>
      </c>
      <c r="B14344" s="9" t="s">
        <v>29255</v>
      </c>
      <c r="C14344" s="9" t="s">
        <v>46</v>
      </c>
      <c r="D14344" s="9" t="s">
        <v>101</v>
      </c>
      <c r="E14344" s="10" t="s">
        <v>637</v>
      </c>
      <c r="F14344" s="9" t="s">
        <v>638</v>
      </c>
      <c r="G14344" s="10" t="s">
        <v>86</v>
      </c>
      <c r="H14344" s="9" t="s">
        <v>22</v>
      </c>
      <c r="I14344" s="9" t="s">
        <v>29256</v>
      </c>
      <c r="J14344" s="10" t="str">
        <f>HYPERLINK("https://www.boe.es/gazeta/dias/1834/06/03/pdfs/I00469-00470.pdf#page=2","Abrir facsímil")</f>
        <v>Abrir facsímil</v>
      </c>
      <c r="K14344" s="10" t="s">
        <v>24</v>
      </c>
    </row>
    <row r="14345" spans="1:11" ht="54" customHeight="1">
      <c r="A14345" s="9" t="s">
        <v>29254</v>
      </c>
      <c r="B14345" s="9" t="s">
        <v>29255</v>
      </c>
      <c r="C14345" s="9" t="s">
        <v>46</v>
      </c>
      <c r="D14345" s="9" t="s">
        <v>101</v>
      </c>
      <c r="E14345" s="10" t="s">
        <v>637</v>
      </c>
      <c r="F14345" s="9" t="s">
        <v>638</v>
      </c>
      <c r="G14345" s="10" t="s">
        <v>75</v>
      </c>
      <c r="H14345" s="9" t="s">
        <v>22</v>
      </c>
      <c r="I14345" s="9" t="s">
        <v>29256</v>
      </c>
      <c r="J14345" s="10" t="str">
        <f>HYPERLINK("https://www.boe.es/gazeta/dias/1834/06/03/pdfs/GMD-1834-105.pdf#page=4","Abrir facsímil")</f>
        <v>Abrir facsímil</v>
      </c>
      <c r="K14345" s="10" t="s">
        <v>24</v>
      </c>
    </row>
    <row r="14346" spans="1:11" ht="54" customHeight="1">
      <c r="A14346" s="9" t="s">
        <v>29254</v>
      </c>
      <c r="B14346" s="9" t="s">
        <v>29255</v>
      </c>
      <c r="C14346" s="9" t="s">
        <v>17</v>
      </c>
      <c r="D14346" s="9" t="s">
        <v>40</v>
      </c>
      <c r="E14346" s="10" t="s">
        <v>371</v>
      </c>
      <c r="F14346" s="9" t="s">
        <v>372</v>
      </c>
      <c r="G14346" s="10" t="s">
        <v>34</v>
      </c>
      <c r="H14346" s="9" t="s">
        <v>22</v>
      </c>
      <c r="I14346" s="9" t="s">
        <v>29257</v>
      </c>
      <c r="J14346" s="10" t="str">
        <f>HYPERLINK("https://www.boe.es/gazeta/dias/1834/05/27/pdfs/GMD-1834-96.pdf#page=1","Abrir facsímil")</f>
        <v>Abrir facsímil</v>
      </c>
      <c r="K14346" s="10" t="s">
        <v>24</v>
      </c>
    </row>
    <row r="14347" spans="1:11" ht="54" customHeight="1">
      <c r="A14347" s="9" t="s">
        <v>29258</v>
      </c>
      <c r="B14347" s="9" t="s">
        <v>29259</v>
      </c>
      <c r="C14347" s="9" t="s">
        <v>66</v>
      </c>
      <c r="D14347" s="9" t="s">
        <v>67</v>
      </c>
      <c r="E14347" s="10" t="s">
        <v>1505</v>
      </c>
      <c r="F14347" s="9" t="s">
        <v>1506</v>
      </c>
      <c r="G14347" s="10" t="s">
        <v>21</v>
      </c>
      <c r="H14347" s="9" t="s">
        <v>22</v>
      </c>
      <c r="I14347" s="9" t="s">
        <v>29260</v>
      </c>
      <c r="J14347" s="10" t="str">
        <f>HYPERLINK("https://www.boe.es/gazeta/dias/1834/05/08/pdfs/GMD-1834-77.pdf#page=3","Abrir facsímil")</f>
        <v>Abrir facsímil</v>
      </c>
      <c r="K14347" s="10" t="s">
        <v>24</v>
      </c>
    </row>
    <row r="14348" spans="1:11" ht="54" customHeight="1">
      <c r="A14348" s="9" t="s">
        <v>29258</v>
      </c>
      <c r="B14348" s="9" t="s">
        <v>29259</v>
      </c>
      <c r="C14348" s="9" t="s">
        <v>17</v>
      </c>
      <c r="D14348" s="9" t="s">
        <v>18</v>
      </c>
      <c r="E14348" s="10" t="s">
        <v>1505</v>
      </c>
      <c r="F14348" s="9" t="s">
        <v>1506</v>
      </c>
      <c r="G14348" s="10" t="s">
        <v>75</v>
      </c>
      <c r="H14348" s="9" t="s">
        <v>22</v>
      </c>
      <c r="I14348" s="9" t="s">
        <v>29261</v>
      </c>
      <c r="J14348" s="10" t="str">
        <f>HYPERLINK("https://www.boe.es/gazeta/dias/1834/05/08/pdfs/GMD-1834-77.pdf#page=4","Abrir facsímil")</f>
        <v>Abrir facsímil</v>
      </c>
      <c r="K14348" s="10" t="s">
        <v>24</v>
      </c>
    </row>
    <row r="14349" spans="1:11" ht="54" customHeight="1">
      <c r="A14349" s="9" t="s">
        <v>29258</v>
      </c>
      <c r="B14349" s="9" t="s">
        <v>29259</v>
      </c>
      <c r="C14349" s="9" t="s">
        <v>66</v>
      </c>
      <c r="D14349" s="9" t="s">
        <v>67</v>
      </c>
      <c r="E14349" s="10" t="s">
        <v>2945</v>
      </c>
      <c r="F14349" s="9" t="s">
        <v>2946</v>
      </c>
      <c r="G14349" s="10" t="s">
        <v>75</v>
      </c>
      <c r="H14349" s="9" t="s">
        <v>22</v>
      </c>
      <c r="I14349" s="9" t="s">
        <v>29262</v>
      </c>
      <c r="J14349" s="10" t="str">
        <f>HYPERLINK("https://www.boe.es/gazeta/dias/1834/05/29/pdfs/GMD-1834-98.pdf#page=4","Abrir facsímil")</f>
        <v>Abrir facsímil</v>
      </c>
      <c r="K14349" s="10" t="s">
        <v>24</v>
      </c>
    </row>
    <row r="14350" spans="1:11" ht="54" customHeight="1">
      <c r="A14350" s="9" t="s">
        <v>29263</v>
      </c>
      <c r="B14350" s="9" t="s">
        <v>29263</v>
      </c>
      <c r="C14350" s="9" t="s">
        <v>46</v>
      </c>
      <c r="D14350" s="9" t="s">
        <v>101</v>
      </c>
      <c r="E14350" s="10" t="s">
        <v>715</v>
      </c>
      <c r="F14350" s="9" t="s">
        <v>716</v>
      </c>
      <c r="G14350" s="10" t="s">
        <v>560</v>
      </c>
      <c r="H14350" s="9" t="s">
        <v>22</v>
      </c>
      <c r="I14350" s="9" t="s">
        <v>29264</v>
      </c>
      <c r="J14350" s="10" t="str">
        <f>HYPERLINK("https://www.boe.es/gazeta/dias/1834/09/17/pdfs/GMD-C-1834-215.pdf#page=7","Abrir facsímil")</f>
        <v>Abrir facsímil</v>
      </c>
      <c r="K14350" s="10" t="s">
        <v>24</v>
      </c>
    </row>
    <row r="14351" spans="1:11" ht="54" customHeight="1">
      <c r="A14351" s="9" t="s">
        <v>29265</v>
      </c>
      <c r="B14351" s="9" t="s">
        <v>29266</v>
      </c>
      <c r="C14351" s="9" t="s">
        <v>17</v>
      </c>
      <c r="D14351" s="9" t="s">
        <v>18</v>
      </c>
      <c r="E14351" s="10" t="s">
        <v>2865</v>
      </c>
      <c r="F14351" s="9" t="s">
        <v>2866</v>
      </c>
      <c r="G14351" s="10" t="s">
        <v>75</v>
      </c>
      <c r="H14351" s="9" t="s">
        <v>22</v>
      </c>
      <c r="I14351" s="9" t="s">
        <v>29267</v>
      </c>
      <c r="J14351" s="10" t="str">
        <f>HYPERLINK("https://www.boe.es/gazeta/dias/1834/07/06/pdfs/GMD-1834-139.pdf#page=4","Abrir facsímil")</f>
        <v>Abrir facsímil</v>
      </c>
      <c r="K14351" s="10" t="s">
        <v>24</v>
      </c>
    </row>
    <row r="14352" spans="1:11" ht="54" customHeight="1">
      <c r="A14352" s="9" t="s">
        <v>29268</v>
      </c>
      <c r="B14352" s="9" t="s">
        <v>29269</v>
      </c>
      <c r="C14352" s="9" t="s">
        <v>17</v>
      </c>
      <c r="D14352" s="9" t="s">
        <v>55</v>
      </c>
      <c r="E14352" s="10" t="s">
        <v>563</v>
      </c>
      <c r="F14352" s="9" t="s">
        <v>5858</v>
      </c>
      <c r="G14352" s="10" t="s">
        <v>34</v>
      </c>
      <c r="H14352" s="9" t="s">
        <v>22</v>
      </c>
      <c r="I14352" s="9" t="s">
        <v>29270</v>
      </c>
      <c r="J14352" s="10" t="str">
        <f>HYPERLINK("https://www.boe.es/gazeta/dias/1834/04/19/pdfs/GMD-C-1834-58.pdf#page=1","Abrir facsímil")</f>
        <v>Abrir facsímil</v>
      </c>
      <c r="K14352" s="10" t="s">
        <v>24</v>
      </c>
    </row>
    <row r="14353" spans="1:11" ht="54" customHeight="1">
      <c r="A14353" s="9" t="s">
        <v>29271</v>
      </c>
      <c r="B14353" s="9" t="s">
        <v>29272</v>
      </c>
      <c r="C14353" s="9" t="s">
        <v>66</v>
      </c>
      <c r="D14353" s="9" t="s">
        <v>67</v>
      </c>
      <c r="E14353" s="10" t="s">
        <v>1351</v>
      </c>
      <c r="F14353" s="9" t="s">
        <v>1352</v>
      </c>
      <c r="G14353" s="10" t="s">
        <v>75</v>
      </c>
      <c r="H14353" s="9" t="s">
        <v>22</v>
      </c>
      <c r="I14353" s="9" t="s">
        <v>29273</v>
      </c>
      <c r="J14353" s="10" t="str">
        <f>HYPERLINK("https://www.boe.es/gazeta/dias/1834/07/05/pdfs/GMD-1834-138.pdf#page=4","Abrir facsímil")</f>
        <v>Abrir facsímil</v>
      </c>
      <c r="K14353" s="10" t="s">
        <v>24</v>
      </c>
    </row>
    <row r="14354" spans="1:11" ht="54" customHeight="1">
      <c r="A14354" s="9" t="s">
        <v>29274</v>
      </c>
      <c r="B14354" s="9" t="s">
        <v>29275</v>
      </c>
      <c r="C14354" s="9" t="s">
        <v>66</v>
      </c>
      <c r="D14354" s="9" t="s">
        <v>67</v>
      </c>
      <c r="E14354" s="10" t="s">
        <v>1351</v>
      </c>
      <c r="F14354" s="9" t="s">
        <v>1352</v>
      </c>
      <c r="G14354" s="10" t="s">
        <v>75</v>
      </c>
      <c r="H14354" s="9" t="s">
        <v>35</v>
      </c>
      <c r="I14354" s="9" t="s">
        <v>29276</v>
      </c>
      <c r="J14354" s="10" t="str">
        <f>HYPERLINK("https://www.boe.es/gazeta/dias/1834/07/05/pdfs/GMD-1834-138.pdf#page=4","Abrir facsímil")</f>
        <v>Abrir facsímil</v>
      </c>
      <c r="K14354" s="10" t="s">
        <v>37</v>
      </c>
    </row>
    <row r="14355" spans="1:11" ht="54" customHeight="1">
      <c r="A14355" s="9" t="s">
        <v>29277</v>
      </c>
      <c r="B14355" s="9" t="s">
        <v>29278</v>
      </c>
      <c r="C14355" s="9" t="s">
        <v>17</v>
      </c>
      <c r="D14355" s="9" t="s">
        <v>18</v>
      </c>
      <c r="E14355" s="10" t="s">
        <v>4105</v>
      </c>
      <c r="F14355" s="9" t="s">
        <v>8942</v>
      </c>
      <c r="G14355" s="10" t="s">
        <v>75</v>
      </c>
      <c r="H14355" s="9" t="s">
        <v>22</v>
      </c>
      <c r="I14355" s="9" t="s">
        <v>29279</v>
      </c>
      <c r="J14355" s="10" t="str">
        <f>HYPERLINK("https://www.boe.es/gazeta/dias/1834/09/02/pdfs/GMD-1834-200.pdf#page=4","Abrir facsímil")</f>
        <v>Abrir facsímil</v>
      </c>
      <c r="K14355" s="10" t="s">
        <v>24</v>
      </c>
    </row>
    <row r="14356" spans="1:11" ht="54" customHeight="1">
      <c r="A14356" s="9" t="s">
        <v>29280</v>
      </c>
      <c r="B14356" s="9" t="s">
        <v>29280</v>
      </c>
      <c r="C14356" s="9" t="s">
        <v>17</v>
      </c>
      <c r="D14356" s="9" t="s">
        <v>18</v>
      </c>
      <c r="E14356" s="10" t="s">
        <v>672</v>
      </c>
      <c r="F14356" s="9" t="s">
        <v>1055</v>
      </c>
      <c r="G14356" s="10" t="s">
        <v>75</v>
      </c>
      <c r="H14356" s="9" t="s">
        <v>22</v>
      </c>
      <c r="I14356" s="9" t="s">
        <v>29281</v>
      </c>
      <c r="J14356" s="10" t="str">
        <f>HYPERLINK("https://www.boe.es/gazeta/dias/1834/09/19/pdfs/GMD-C-1834-217.pdf#page=4","Abrir facsímil")</f>
        <v>Abrir facsímil</v>
      </c>
      <c r="K14356" s="10" t="s">
        <v>24</v>
      </c>
    </row>
    <row r="14357" spans="1:11" ht="54" customHeight="1">
      <c r="A14357" s="9" t="s">
        <v>29280</v>
      </c>
      <c r="B14357" s="9" t="s">
        <v>29280</v>
      </c>
      <c r="C14357" s="9" t="s">
        <v>46</v>
      </c>
      <c r="D14357" s="9" t="s">
        <v>101</v>
      </c>
      <c r="E14357" s="10" t="s">
        <v>823</v>
      </c>
      <c r="F14357" s="9" t="s">
        <v>824</v>
      </c>
      <c r="G14357" s="10" t="s">
        <v>75</v>
      </c>
      <c r="H14357" s="9" t="s">
        <v>22</v>
      </c>
      <c r="I14357" s="9" t="s">
        <v>29282</v>
      </c>
      <c r="J14357" s="10" t="str">
        <f>HYPERLINK("https://www.boe.es/gazeta/dias/1834/07/23/pdfs/GMD-1834-156.pdf#page=4","Abrir facsímil")</f>
        <v>Abrir facsímil</v>
      </c>
      <c r="K14357" s="10" t="s">
        <v>24</v>
      </c>
    </row>
    <row r="14358" spans="1:11" ht="54" customHeight="1">
      <c r="A14358" s="9" t="s">
        <v>29280</v>
      </c>
      <c r="B14358" s="9" t="s">
        <v>29280</v>
      </c>
      <c r="C14358" s="9" t="s">
        <v>17</v>
      </c>
      <c r="D14358" s="9" t="s">
        <v>18</v>
      </c>
      <c r="E14358" s="10" t="s">
        <v>1017</v>
      </c>
      <c r="F14358" s="9" t="s">
        <v>1018</v>
      </c>
      <c r="G14358" s="10" t="s">
        <v>21</v>
      </c>
      <c r="H14358" s="9" t="s">
        <v>22</v>
      </c>
      <c r="I14358" s="9" t="s">
        <v>29283</v>
      </c>
      <c r="J14358" s="10" t="str">
        <f>HYPERLINK("https://www.boe.es/gazeta/dias/1834/07/24/pdfs/GMD-1834-157.pdf#page=3","Abrir facsímil")</f>
        <v>Abrir facsímil</v>
      </c>
      <c r="K14358" s="10" t="s">
        <v>24</v>
      </c>
    </row>
    <row r="14359" spans="1:11" ht="54" customHeight="1">
      <c r="A14359" s="9" t="s">
        <v>29284</v>
      </c>
      <c r="B14359" s="9" t="s">
        <v>29285</v>
      </c>
      <c r="C14359" s="9" t="s">
        <v>17</v>
      </c>
      <c r="D14359" s="9" t="s">
        <v>18</v>
      </c>
      <c r="E14359" s="10" t="s">
        <v>1297</v>
      </c>
      <c r="F14359" s="9" t="s">
        <v>1879</v>
      </c>
      <c r="G14359" s="10" t="s">
        <v>34</v>
      </c>
      <c r="H14359" s="9" t="s">
        <v>22</v>
      </c>
      <c r="I14359" s="9" t="s">
        <v>29286</v>
      </c>
      <c r="J14359" s="10" t="str">
        <f>HYPERLINK("https://www.boe.es/gazeta/dias/1834/08/01/pdfs/GMD-C-1834-165.pdf#page=1","Abrir facsímil")</f>
        <v>Abrir facsímil</v>
      </c>
      <c r="K14359" s="10" t="s">
        <v>24</v>
      </c>
    </row>
    <row r="14360" spans="1:11" ht="54" customHeight="1">
      <c r="A14360" s="9" t="s">
        <v>29284</v>
      </c>
      <c r="B14360" s="9" t="s">
        <v>29285</v>
      </c>
      <c r="C14360" s="9" t="s">
        <v>17</v>
      </c>
      <c r="D14360" s="9" t="s">
        <v>18</v>
      </c>
      <c r="E14360" s="10" t="s">
        <v>1340</v>
      </c>
      <c r="F14360" s="9" t="s">
        <v>1341</v>
      </c>
      <c r="G14360" s="10" t="s">
        <v>86</v>
      </c>
      <c r="H14360" s="9" t="s">
        <v>22</v>
      </c>
      <c r="I14360" s="9" t="s">
        <v>29287</v>
      </c>
      <c r="J14360" s="10" t="str">
        <f>HYPERLINK("https://www.boe.es/gazeta/dias/1834/10/05/pdfs/GMD-C-1834-233.pdf#page=2","Abrir facsímil")</f>
        <v>Abrir facsímil</v>
      </c>
      <c r="K14360" s="10" t="s">
        <v>24</v>
      </c>
    </row>
    <row r="14361" spans="1:11" ht="54" customHeight="1">
      <c r="A14361" s="9" t="s">
        <v>29284</v>
      </c>
      <c r="B14361" s="9" t="s">
        <v>29285</v>
      </c>
      <c r="C14361" s="9" t="s">
        <v>90</v>
      </c>
      <c r="D14361" s="9" t="s">
        <v>18</v>
      </c>
      <c r="E14361" s="10" t="s">
        <v>167</v>
      </c>
      <c r="F14361" s="9" t="s">
        <v>1200</v>
      </c>
      <c r="G14361" s="10" t="s">
        <v>86</v>
      </c>
      <c r="H14361" s="9" t="s">
        <v>22</v>
      </c>
      <c r="I14361" s="9" t="s">
        <v>29288</v>
      </c>
      <c r="J14361" s="10" t="str">
        <f>HYPERLINK("https://www.boe.es/gazeta/dias/1834/09/07/pdfs/GMD-C-1834-205.pdf#page=2","Abrir facsímil")</f>
        <v>Abrir facsímil</v>
      </c>
      <c r="K14361" s="10" t="s">
        <v>24</v>
      </c>
    </row>
    <row r="14362" spans="1:11" ht="54" customHeight="1">
      <c r="A14362" s="9" t="s">
        <v>29284</v>
      </c>
      <c r="B14362" s="9" t="s">
        <v>29285</v>
      </c>
      <c r="C14362" s="9" t="s">
        <v>90</v>
      </c>
      <c r="D14362" s="9" t="s">
        <v>18</v>
      </c>
      <c r="E14362" s="10" t="s">
        <v>128</v>
      </c>
      <c r="F14362" s="9" t="s">
        <v>129</v>
      </c>
      <c r="G14362" s="10" t="s">
        <v>34</v>
      </c>
      <c r="H14362" s="9" t="s">
        <v>22</v>
      </c>
      <c r="I14362" s="9" t="s">
        <v>29289</v>
      </c>
      <c r="J14362" s="10" t="str">
        <f>HYPERLINK("https://www.boe.es/gazeta/dias/1834/12/24/pdfs/GMD-C-1834-314.pdf#page=1","Abrir facsímil")</f>
        <v>Abrir facsímil</v>
      </c>
      <c r="K14362" s="10" t="s">
        <v>24</v>
      </c>
    </row>
    <row r="14363" spans="1:11" ht="54" customHeight="1">
      <c r="A14363" s="9" t="s">
        <v>29284</v>
      </c>
      <c r="B14363" s="9" t="s">
        <v>29285</v>
      </c>
      <c r="C14363" s="9" t="s">
        <v>46</v>
      </c>
      <c r="D14363" s="9" t="s">
        <v>101</v>
      </c>
      <c r="E14363" s="10" t="s">
        <v>777</v>
      </c>
      <c r="F14363" s="9" t="s">
        <v>2535</v>
      </c>
      <c r="G14363" s="10" t="s">
        <v>34</v>
      </c>
      <c r="H14363" s="9" t="s">
        <v>22</v>
      </c>
      <c r="I14363" s="9" t="s">
        <v>29290</v>
      </c>
      <c r="J14363" s="10" t="str">
        <f>HYPERLINK("https://www.boe.es/gazeta/dias/1834/10/29/pdfs/GMD-C-1834-257.pdf#page=1","Abrir facsímil")</f>
        <v>Abrir facsímil</v>
      </c>
      <c r="K14363" s="10" t="s">
        <v>24</v>
      </c>
    </row>
    <row r="14364" spans="1:11" ht="54" customHeight="1">
      <c r="A14364" s="9" t="s">
        <v>29291</v>
      </c>
      <c r="B14364" s="9" t="s">
        <v>29292</v>
      </c>
      <c r="C14364" s="9" t="s">
        <v>17</v>
      </c>
      <c r="D14364" s="9" t="s">
        <v>18</v>
      </c>
      <c r="E14364" s="10" t="s">
        <v>468</v>
      </c>
      <c r="F14364" s="9" t="s">
        <v>469</v>
      </c>
      <c r="G14364" s="10" t="s">
        <v>34</v>
      </c>
      <c r="H14364" s="9" t="s">
        <v>35</v>
      </c>
      <c r="I14364" s="9" t="s">
        <v>29293</v>
      </c>
      <c r="J14364" s="10" t="str">
        <f>HYPERLINK("https://www.boe.es/gazeta/dias/1834/12/28/pdfs/GMD-C-1834-318.pdf#page=1","Abrir facsímil")</f>
        <v>Abrir facsímil</v>
      </c>
      <c r="K14364" s="10" t="s">
        <v>37</v>
      </c>
    </row>
    <row r="14365" spans="1:11" ht="54" customHeight="1">
      <c r="A14365" s="9" t="s">
        <v>29294</v>
      </c>
      <c r="B14365" s="9" t="s">
        <v>29295</v>
      </c>
      <c r="C14365" s="9" t="s">
        <v>90</v>
      </c>
      <c r="D14365" s="9" t="s">
        <v>18</v>
      </c>
      <c r="E14365" s="10" t="s">
        <v>167</v>
      </c>
      <c r="F14365" s="9" t="s">
        <v>1200</v>
      </c>
      <c r="G14365" s="10" t="s">
        <v>86</v>
      </c>
      <c r="H14365" s="9" t="s">
        <v>35</v>
      </c>
      <c r="I14365" s="9" t="s">
        <v>29296</v>
      </c>
      <c r="J14365" s="10" t="str">
        <f>HYPERLINK("https://www.boe.es/gazeta/dias/1834/09/07/pdfs/GMD-C-1834-205.pdf#page=2","Abrir facsímil")</f>
        <v>Abrir facsímil</v>
      </c>
      <c r="K14365" s="10" t="s">
        <v>37</v>
      </c>
    </row>
    <row r="14366" spans="1:11" ht="54" customHeight="1">
      <c r="A14366" s="9" t="s">
        <v>29294</v>
      </c>
      <c r="B14366" s="9" t="s">
        <v>29295</v>
      </c>
      <c r="C14366" s="9" t="s">
        <v>46</v>
      </c>
      <c r="D14366" s="9" t="s">
        <v>101</v>
      </c>
      <c r="E14366" s="10" t="s">
        <v>777</v>
      </c>
      <c r="F14366" s="9" t="s">
        <v>2535</v>
      </c>
      <c r="G14366" s="10" t="s">
        <v>34</v>
      </c>
      <c r="H14366" s="9" t="s">
        <v>35</v>
      </c>
      <c r="I14366" s="9" t="s">
        <v>29290</v>
      </c>
      <c r="J14366" s="10" t="str">
        <f>HYPERLINK("https://www.boe.es/gazeta/dias/1834/10/29/pdfs/GMD-C-1834-257.pdf#page=1","Abrir facsímil")</f>
        <v>Abrir facsímil</v>
      </c>
      <c r="K14366" s="10" t="s">
        <v>37</v>
      </c>
    </row>
    <row r="14367" spans="1:11" ht="54" customHeight="1">
      <c r="A14367" s="9" t="s">
        <v>29297</v>
      </c>
      <c r="B14367" s="9" t="s">
        <v>29298</v>
      </c>
      <c r="C14367" s="9" t="s">
        <v>17</v>
      </c>
      <c r="D14367" s="9" t="s">
        <v>55</v>
      </c>
      <c r="E14367" s="10" t="s">
        <v>339</v>
      </c>
      <c r="F14367" s="9" t="s">
        <v>340</v>
      </c>
      <c r="G14367" s="10" t="s">
        <v>34</v>
      </c>
      <c r="H14367" s="9" t="s">
        <v>22</v>
      </c>
      <c r="I14367" s="9" t="s">
        <v>29299</v>
      </c>
      <c r="J14367" s="10" t="str">
        <f>HYPERLINK("https://www.boe.es/gazeta/dias/1834/05/02/pdfs/GMD-1834-71.pdf#page=1","Abrir facsímil")</f>
        <v>Abrir facsímil</v>
      </c>
      <c r="K14367" s="10" t="s">
        <v>24</v>
      </c>
    </row>
    <row r="14368" spans="1:11" ht="54" customHeight="1">
      <c r="A14368" s="9" t="s">
        <v>29300</v>
      </c>
      <c r="B14368" s="9" t="s">
        <v>29300</v>
      </c>
      <c r="C14368" s="9" t="s">
        <v>90</v>
      </c>
      <c r="D14368" s="9" t="s">
        <v>18</v>
      </c>
      <c r="E14368" s="10" t="s">
        <v>1839</v>
      </c>
      <c r="F14368" s="9" t="s">
        <v>1840</v>
      </c>
      <c r="G14368" s="10" t="s">
        <v>34</v>
      </c>
      <c r="H14368" s="9" t="s">
        <v>22</v>
      </c>
      <c r="I14368" s="9" t="s">
        <v>29301</v>
      </c>
      <c r="J14368" s="10" t="str">
        <f>HYPERLINK("https://www.boe.es/gazeta/dias/1834/08/12/pdfs/GMD-C-1834-177.pdf#page=1","Abrir facsímil")</f>
        <v>Abrir facsímil</v>
      </c>
      <c r="K14368" s="10" t="s">
        <v>24</v>
      </c>
    </row>
    <row r="14369" spans="1:11" ht="54" customHeight="1">
      <c r="A14369" s="9" t="s">
        <v>29300</v>
      </c>
      <c r="B14369" s="9" t="s">
        <v>29300</v>
      </c>
      <c r="C14369" s="9" t="s">
        <v>17</v>
      </c>
      <c r="D14369" s="9" t="s">
        <v>40</v>
      </c>
      <c r="E14369" s="10" t="s">
        <v>707</v>
      </c>
      <c r="F14369" s="9" t="s">
        <v>708</v>
      </c>
      <c r="G14369" s="10" t="s">
        <v>75</v>
      </c>
      <c r="H14369" s="9" t="s">
        <v>22</v>
      </c>
      <c r="I14369" s="9" t="s">
        <v>29302</v>
      </c>
      <c r="J14369" s="10" t="str">
        <f>HYPERLINK("https://www.boe.es/gazeta/dias/1834/11/25/pdfs/GMD-C-1834-284.pdf#page=4","Abrir facsímil")</f>
        <v>Abrir facsímil</v>
      </c>
      <c r="K14369" s="10" t="s">
        <v>24</v>
      </c>
    </row>
    <row r="14370" spans="1:11" ht="54" customHeight="1">
      <c r="A14370" s="9" t="s">
        <v>29300</v>
      </c>
      <c r="B14370" s="9" t="s">
        <v>29300</v>
      </c>
      <c r="C14370" s="9" t="s">
        <v>66</v>
      </c>
      <c r="D14370" s="9" t="s">
        <v>18</v>
      </c>
      <c r="E14370" s="10" t="s">
        <v>408</v>
      </c>
      <c r="F14370" s="9" t="s">
        <v>409</v>
      </c>
      <c r="G14370" s="10" t="s">
        <v>34</v>
      </c>
      <c r="H14370" s="9" t="s">
        <v>22</v>
      </c>
      <c r="I14370" s="9" t="s">
        <v>29303</v>
      </c>
      <c r="J14370" s="10" t="str">
        <f>HYPERLINK("https://www.boe.es/gazeta/dias/1834/04/28/pdfs/GMD-1834-67.pdf#page=1","Abrir facsímil")</f>
        <v>Abrir facsímil</v>
      </c>
      <c r="K14370" s="10" t="s">
        <v>24</v>
      </c>
    </row>
    <row r="14371" spans="1:11" ht="54" customHeight="1">
      <c r="A14371" s="9" t="s">
        <v>29300</v>
      </c>
      <c r="B14371" s="9" t="s">
        <v>29300</v>
      </c>
      <c r="C14371" s="9" t="s">
        <v>90</v>
      </c>
      <c r="D14371" s="9" t="s">
        <v>18</v>
      </c>
      <c r="E14371" s="10" t="s">
        <v>552</v>
      </c>
      <c r="F14371" s="9" t="s">
        <v>1478</v>
      </c>
      <c r="G14371" s="10" t="s">
        <v>34</v>
      </c>
      <c r="H14371" s="9" t="s">
        <v>22</v>
      </c>
      <c r="I14371" s="9" t="s">
        <v>29304</v>
      </c>
      <c r="J14371" s="10" t="str">
        <f>HYPERLINK("https://www.boe.es/gazeta/dias/1834/07/30/pdfs/GMD-C-1834-163.pdf#page=1","Abrir facsímil")</f>
        <v>Abrir facsímil</v>
      </c>
      <c r="K14371" s="10" t="s">
        <v>24</v>
      </c>
    </row>
    <row r="14372" spans="1:11" ht="54" customHeight="1">
      <c r="A14372" s="9" t="s">
        <v>29305</v>
      </c>
      <c r="B14372" s="9" t="s">
        <v>29306</v>
      </c>
      <c r="C14372" s="9" t="s">
        <v>17</v>
      </c>
      <c r="D14372" s="9" t="s">
        <v>18</v>
      </c>
      <c r="E14372" s="10" t="s">
        <v>73</v>
      </c>
      <c r="F14372" s="9" t="s">
        <v>1416</v>
      </c>
      <c r="G14372" s="10" t="s">
        <v>86</v>
      </c>
      <c r="H14372" s="9" t="s">
        <v>22</v>
      </c>
      <c r="I14372" s="9" t="s">
        <v>29307</v>
      </c>
      <c r="J14372" s="10" t="str">
        <f>HYPERLINK("https://www.boe.es/gazeta/dias/1834/11/04/pdfs/GMD-C-1834-263.pdf#page=2","Abrir facsímil")</f>
        <v>Abrir facsímil</v>
      </c>
      <c r="K14372" s="10" t="s">
        <v>24</v>
      </c>
    </row>
    <row r="14373" spans="1:11" ht="54" customHeight="1">
      <c r="A14373" s="9" t="s">
        <v>29305</v>
      </c>
      <c r="B14373" s="9" t="s">
        <v>29306</v>
      </c>
      <c r="C14373" s="9" t="s">
        <v>17</v>
      </c>
      <c r="D14373" s="9" t="s">
        <v>18</v>
      </c>
      <c r="E14373" s="10" t="s">
        <v>1351</v>
      </c>
      <c r="F14373" s="9" t="s">
        <v>1352</v>
      </c>
      <c r="G14373" s="10" t="s">
        <v>75</v>
      </c>
      <c r="H14373" s="9" t="s">
        <v>22</v>
      </c>
      <c r="I14373" s="9" t="s">
        <v>29308</v>
      </c>
      <c r="J14373" s="10" t="str">
        <f>HYPERLINK("https://www.boe.es/gazeta/dias/1834/07/05/pdfs/GMD-1834-138.pdf#page=4","Abrir facsímil")</f>
        <v>Abrir facsímil</v>
      </c>
      <c r="K14373" s="10" t="s">
        <v>24</v>
      </c>
    </row>
    <row r="14374" spans="1:11" ht="54" customHeight="1">
      <c r="A14374" s="9" t="s">
        <v>29309</v>
      </c>
      <c r="B14374" s="9" t="s">
        <v>29310</v>
      </c>
      <c r="C14374" s="9" t="s">
        <v>17</v>
      </c>
      <c r="D14374" s="9" t="s">
        <v>18</v>
      </c>
      <c r="E14374" s="10" t="s">
        <v>73</v>
      </c>
      <c r="F14374" s="9" t="s">
        <v>1416</v>
      </c>
      <c r="G14374" s="10" t="s">
        <v>86</v>
      </c>
      <c r="H14374" s="9" t="s">
        <v>35</v>
      </c>
      <c r="I14374" s="9" t="s">
        <v>29311</v>
      </c>
      <c r="J14374" s="10" t="str">
        <f>HYPERLINK("https://www.boe.es/gazeta/dias/1834/11/04/pdfs/GMD-C-1834-263.pdf#page=2","Abrir facsímil")</f>
        <v>Abrir facsímil</v>
      </c>
      <c r="K14374" s="10" t="s">
        <v>37</v>
      </c>
    </row>
    <row r="14375" spans="1:11" ht="54" customHeight="1">
      <c r="A14375" s="9" t="s">
        <v>29309</v>
      </c>
      <c r="B14375" s="9" t="s">
        <v>29310</v>
      </c>
      <c r="C14375" s="9" t="s">
        <v>17</v>
      </c>
      <c r="D14375" s="9" t="s">
        <v>18</v>
      </c>
      <c r="E14375" s="10" t="s">
        <v>1351</v>
      </c>
      <c r="F14375" s="9" t="s">
        <v>1352</v>
      </c>
      <c r="G14375" s="10" t="s">
        <v>75</v>
      </c>
      <c r="H14375" s="9" t="s">
        <v>35</v>
      </c>
      <c r="I14375" s="9" t="s">
        <v>29312</v>
      </c>
      <c r="J14375" s="10" t="str">
        <f>HYPERLINK("https://www.boe.es/gazeta/dias/1834/07/05/pdfs/GMD-1834-138.pdf#page=4","Abrir facsímil")</f>
        <v>Abrir facsímil</v>
      </c>
      <c r="K14375" s="10" t="s">
        <v>37</v>
      </c>
    </row>
    <row r="14376" spans="1:11" ht="54" customHeight="1">
      <c r="A14376" s="9" t="s">
        <v>29313</v>
      </c>
      <c r="B14376" s="9" t="s">
        <v>29314</v>
      </c>
      <c r="C14376" s="9" t="s">
        <v>90</v>
      </c>
      <c r="D14376" s="9" t="s">
        <v>18</v>
      </c>
      <c r="E14376" s="10" t="s">
        <v>117</v>
      </c>
      <c r="F14376" s="9" t="s">
        <v>118</v>
      </c>
      <c r="G14376" s="10" t="s">
        <v>75</v>
      </c>
      <c r="H14376" s="9" t="s">
        <v>35</v>
      </c>
      <c r="I14376" s="9" t="s">
        <v>29315</v>
      </c>
      <c r="J14376" s="10" t="str">
        <f>HYPERLINK("https://www.boe.es/gazeta/dias/1834/07/21/pdfs/GMD-1834-154.pdf#page=4","Abrir facsímil")</f>
        <v>Abrir facsímil</v>
      </c>
      <c r="K14376" s="10" t="s">
        <v>37</v>
      </c>
    </row>
    <row r="14377" spans="1:11" ht="54" customHeight="1">
      <c r="A14377" s="9" t="s">
        <v>29316</v>
      </c>
      <c r="B14377" s="9" t="s">
        <v>29317</v>
      </c>
      <c r="C14377" s="9" t="s">
        <v>90</v>
      </c>
      <c r="D14377" s="9" t="s">
        <v>18</v>
      </c>
      <c r="E14377" s="10" t="s">
        <v>117</v>
      </c>
      <c r="F14377" s="9" t="s">
        <v>118</v>
      </c>
      <c r="G14377" s="10" t="s">
        <v>75</v>
      </c>
      <c r="H14377" s="9" t="s">
        <v>35</v>
      </c>
      <c r="I14377" s="9" t="s">
        <v>29318</v>
      </c>
      <c r="J14377" s="10" t="str">
        <f>HYPERLINK("https://www.boe.es/gazeta/dias/1834/07/21/pdfs/GMD-1834-154.pdf#page=4","Abrir facsímil")</f>
        <v>Abrir facsímil</v>
      </c>
      <c r="K14377" s="10" t="s">
        <v>37</v>
      </c>
    </row>
    <row r="14378" spans="1:11" ht="54" customHeight="1">
      <c r="A14378" s="9" t="s">
        <v>29319</v>
      </c>
      <c r="B14378" s="9" t="s">
        <v>29319</v>
      </c>
      <c r="C14378" s="9" t="s">
        <v>17</v>
      </c>
      <c r="D14378" s="9" t="s">
        <v>18</v>
      </c>
      <c r="E14378" s="10" t="s">
        <v>785</v>
      </c>
      <c r="F14378" s="9" t="s">
        <v>786</v>
      </c>
      <c r="G14378" s="10" t="s">
        <v>21</v>
      </c>
      <c r="H14378" s="9" t="s">
        <v>22</v>
      </c>
      <c r="I14378" s="9" t="s">
        <v>29320</v>
      </c>
      <c r="J14378" s="10" t="str">
        <f>HYPERLINK("https://www.boe.es/gazeta/dias/1834/02/11/pdfs/GMD-1834-19.pdf#page=3","Abrir facsímil")</f>
        <v>Abrir facsímil</v>
      </c>
      <c r="K14378" s="10" t="s">
        <v>24</v>
      </c>
    </row>
    <row r="14379" spans="1:11" ht="54" customHeight="1">
      <c r="A14379" s="9" t="s">
        <v>29321</v>
      </c>
      <c r="B14379" s="9" t="s">
        <v>29321</v>
      </c>
      <c r="C14379" s="9" t="s">
        <v>66</v>
      </c>
      <c r="D14379" s="9" t="s">
        <v>67</v>
      </c>
      <c r="E14379" s="10" t="s">
        <v>724</v>
      </c>
      <c r="F14379" s="9" t="s">
        <v>725</v>
      </c>
      <c r="G14379" s="10" t="s">
        <v>21</v>
      </c>
      <c r="H14379" s="9" t="s">
        <v>22</v>
      </c>
      <c r="I14379" s="9" t="s">
        <v>29322</v>
      </c>
      <c r="J14379" s="10" t="str">
        <f>HYPERLINK("https://www.boe.es/gazeta/dias/1834/04/25/pdfs/GMD-1834-64.pdf#page=3","Abrir facsímil")</f>
        <v>Abrir facsímil</v>
      </c>
      <c r="K14379" s="10" t="s">
        <v>24</v>
      </c>
    </row>
    <row r="14380" spans="1:11" ht="54" customHeight="1">
      <c r="A14380" s="9" t="s">
        <v>29323</v>
      </c>
      <c r="B14380" s="9" t="s">
        <v>29324</v>
      </c>
      <c r="C14380" s="9" t="s">
        <v>66</v>
      </c>
      <c r="D14380" s="9" t="s">
        <v>67</v>
      </c>
      <c r="E14380" s="10" t="s">
        <v>1695</v>
      </c>
      <c r="F14380" s="9" t="s">
        <v>1696</v>
      </c>
      <c r="G14380" s="10" t="s">
        <v>21</v>
      </c>
      <c r="H14380" s="9" t="s">
        <v>22</v>
      </c>
      <c r="I14380" s="9" t="s">
        <v>29325</v>
      </c>
      <c r="J14380" s="10" t="str">
        <f>HYPERLINK("https://www.boe.es/gazeta/dias/1834/06/30/pdfs/GMD-1834-133.pdf#page=3","Abrir facsímil")</f>
        <v>Abrir facsímil</v>
      </c>
      <c r="K14380" s="10" t="s">
        <v>24</v>
      </c>
    </row>
    <row r="14381" spans="1:11" ht="54" customHeight="1">
      <c r="A14381" s="9" t="s">
        <v>29326</v>
      </c>
      <c r="B14381" s="9" t="s">
        <v>29326</v>
      </c>
      <c r="C14381" s="9" t="s">
        <v>46</v>
      </c>
      <c r="D14381" s="9" t="s">
        <v>18</v>
      </c>
      <c r="E14381" s="10" t="s">
        <v>762</v>
      </c>
      <c r="F14381" s="9" t="s">
        <v>763</v>
      </c>
      <c r="G14381" s="10" t="s">
        <v>86</v>
      </c>
      <c r="H14381" s="9" t="s">
        <v>22</v>
      </c>
      <c r="I14381" s="9" t="s">
        <v>29327</v>
      </c>
      <c r="J14381" s="10" t="str">
        <f>HYPERLINK("https://www.boe.es/gazeta/dias/1834/11/07/pdfs/GMD-1834-266.pdf#page=2","Abrir facsímil")</f>
        <v>Abrir facsímil</v>
      </c>
      <c r="K14381" s="10" t="s">
        <v>24</v>
      </c>
    </row>
    <row r="14382" spans="1:11" ht="54" customHeight="1">
      <c r="A14382" s="9" t="s">
        <v>29328</v>
      </c>
      <c r="B14382" s="9" t="s">
        <v>29328</v>
      </c>
      <c r="C14382" s="9" t="s">
        <v>122</v>
      </c>
      <c r="D14382" s="9" t="s">
        <v>18</v>
      </c>
      <c r="E14382" s="10" t="s">
        <v>762</v>
      </c>
      <c r="F14382" s="9" t="s">
        <v>763</v>
      </c>
      <c r="G14382" s="10" t="s">
        <v>86</v>
      </c>
      <c r="H14382" s="9" t="s">
        <v>22</v>
      </c>
      <c r="I14382" s="9" t="s">
        <v>29329</v>
      </c>
      <c r="J14382" s="10" t="str">
        <f>HYPERLINK("https://www.boe.es/gazeta/dias/1834/11/07/pdfs/GMD-1834-266.pdf#page=2","Abrir facsímil")</f>
        <v>Abrir facsímil</v>
      </c>
      <c r="K14382" s="10" t="s">
        <v>24</v>
      </c>
    </row>
    <row r="14383" spans="1:11" ht="54" customHeight="1">
      <c r="A14383" s="9" t="s">
        <v>29330</v>
      </c>
      <c r="B14383" s="9" t="s">
        <v>29331</v>
      </c>
      <c r="C14383" s="9" t="s">
        <v>17</v>
      </c>
      <c r="D14383" s="9" t="s">
        <v>18</v>
      </c>
      <c r="E14383" s="10" t="s">
        <v>928</v>
      </c>
      <c r="F14383" s="9" t="s">
        <v>3338</v>
      </c>
      <c r="G14383" s="10" t="s">
        <v>21</v>
      </c>
      <c r="H14383" s="9" t="s">
        <v>22</v>
      </c>
      <c r="I14383" s="9" t="s">
        <v>29332</v>
      </c>
      <c r="J14383" s="10" t="str">
        <f>HYPERLINK("https://www.boe.es/gazeta/dias/1834/11/15/pdfs/GMD-1834-274.pdf#page=3","Abrir facsímil")</f>
        <v>Abrir facsímil</v>
      </c>
      <c r="K14383" s="10" t="s">
        <v>24</v>
      </c>
    </row>
    <row r="14384" spans="1:11" ht="54" customHeight="1">
      <c r="A14384" s="9" t="s">
        <v>29333</v>
      </c>
      <c r="B14384" s="9" t="s">
        <v>29333</v>
      </c>
      <c r="C14384" s="9" t="s">
        <v>66</v>
      </c>
      <c r="D14384" s="9" t="s">
        <v>67</v>
      </c>
      <c r="E14384" s="10" t="s">
        <v>462</v>
      </c>
      <c r="F14384" s="9" t="s">
        <v>2110</v>
      </c>
      <c r="G14384" s="10" t="s">
        <v>21</v>
      </c>
      <c r="H14384" s="9" t="s">
        <v>22</v>
      </c>
      <c r="I14384" s="9" t="s">
        <v>29334</v>
      </c>
      <c r="J14384" s="10" t="str">
        <f>HYPERLINK("https://www.boe.es/gazeta/dias/1834/08/27/pdfs/GMD-1834-193.pdf#page=3","Abrir facsímil")</f>
        <v>Abrir facsímil</v>
      </c>
      <c r="K14384" s="10" t="s">
        <v>24</v>
      </c>
    </row>
    <row r="14385" spans="1:11" ht="54" customHeight="1">
      <c r="A14385" s="9" t="s">
        <v>29335</v>
      </c>
      <c r="B14385" s="9" t="s">
        <v>29336</v>
      </c>
      <c r="C14385" s="9" t="s">
        <v>857</v>
      </c>
      <c r="D14385" s="9" t="s">
        <v>18</v>
      </c>
      <c r="E14385" s="10" t="s">
        <v>724</v>
      </c>
      <c r="F14385" s="9" t="s">
        <v>725</v>
      </c>
      <c r="G14385" s="10" t="s">
        <v>75</v>
      </c>
      <c r="H14385" s="9" t="s">
        <v>35</v>
      </c>
      <c r="I14385" s="9" t="s">
        <v>29337</v>
      </c>
      <c r="J14385" s="10" t="str">
        <f>HYPERLINK("https://www.boe.es/gazeta/dias/1834/04/25/pdfs/GMD-1834-64.pdf#page=4","Abrir facsímil")</f>
        <v>Abrir facsímil</v>
      </c>
      <c r="K14385" s="10" t="s">
        <v>37</v>
      </c>
    </row>
    <row r="14386" spans="1:11" ht="54" customHeight="1">
      <c r="A14386" s="9" t="s">
        <v>29338</v>
      </c>
      <c r="B14386" s="9" t="s">
        <v>29339</v>
      </c>
      <c r="C14386" s="9" t="s">
        <v>857</v>
      </c>
      <c r="D14386" s="9" t="s">
        <v>18</v>
      </c>
      <c r="E14386" s="10" t="s">
        <v>724</v>
      </c>
      <c r="F14386" s="9" t="s">
        <v>725</v>
      </c>
      <c r="G14386" s="10" t="s">
        <v>75</v>
      </c>
      <c r="H14386" s="9" t="s">
        <v>22</v>
      </c>
      <c r="I14386" s="9" t="s">
        <v>29340</v>
      </c>
      <c r="J14386" s="10" t="str">
        <f>HYPERLINK("https://www.boe.es/gazeta/dias/1834/04/25/pdfs/GMD-1834-64.pdf#page=4","Abrir facsímil")</f>
        <v>Abrir facsímil</v>
      </c>
      <c r="K14386" s="10" t="s">
        <v>24</v>
      </c>
    </row>
    <row r="14387" spans="1:11" ht="54" customHeight="1">
      <c r="A14387" s="9" t="s">
        <v>29341</v>
      </c>
      <c r="B14387" s="9" t="s">
        <v>29342</v>
      </c>
      <c r="C14387" s="9" t="s">
        <v>122</v>
      </c>
      <c r="D14387" s="9" t="s">
        <v>18</v>
      </c>
      <c r="E14387" s="10" t="s">
        <v>1402</v>
      </c>
      <c r="F14387" s="9" t="s">
        <v>1403</v>
      </c>
      <c r="G14387" s="10" t="s">
        <v>34</v>
      </c>
      <c r="H14387" s="9" t="s">
        <v>22</v>
      </c>
      <c r="I14387" s="9" t="s">
        <v>29343</v>
      </c>
      <c r="J14387" s="10" t="str">
        <f>HYPERLINK("https://www.boe.es/gazeta/dias/1834/05/05/pdfs/I00347-00348.pdf#page=1","Abrir facsímil")</f>
        <v>Abrir facsímil</v>
      </c>
      <c r="K14387" s="10" t="s">
        <v>24</v>
      </c>
    </row>
    <row r="14388" spans="1:11" ht="54" customHeight="1">
      <c r="A14388" s="9" t="s">
        <v>29341</v>
      </c>
      <c r="B14388" s="9" t="s">
        <v>29342</v>
      </c>
      <c r="C14388" s="9" t="s">
        <v>122</v>
      </c>
      <c r="D14388" s="9" t="s">
        <v>18</v>
      </c>
      <c r="E14388" s="10" t="s">
        <v>1402</v>
      </c>
      <c r="F14388" s="9" t="s">
        <v>1403</v>
      </c>
      <c r="G14388" s="10" t="s">
        <v>28</v>
      </c>
      <c r="H14388" s="9" t="s">
        <v>22</v>
      </c>
      <c r="I14388" s="9" t="s">
        <v>29343</v>
      </c>
      <c r="J14388" s="10" t="str">
        <f>HYPERLINK("https://www.boe.es/gazeta/dias/1834/05/05/pdfs/GMD-1834-74.pdf#page=5","Abrir facsímil")</f>
        <v>Abrir facsímil</v>
      </c>
      <c r="K14388" s="10" t="s">
        <v>24</v>
      </c>
    </row>
    <row r="14389" spans="1:11" ht="54" customHeight="1">
      <c r="A14389" s="9" t="s">
        <v>29344</v>
      </c>
      <c r="B14389" s="9" t="s">
        <v>29345</v>
      </c>
      <c r="C14389" s="9" t="s">
        <v>122</v>
      </c>
      <c r="D14389" s="9" t="s">
        <v>18</v>
      </c>
      <c r="E14389" s="10" t="s">
        <v>1839</v>
      </c>
      <c r="F14389" s="9" t="s">
        <v>3598</v>
      </c>
      <c r="G14389" s="10" t="s">
        <v>75</v>
      </c>
      <c r="H14389" s="9" t="s">
        <v>22</v>
      </c>
      <c r="I14389" s="9" t="s">
        <v>29346</v>
      </c>
      <c r="J14389" s="10" t="str">
        <f>HYPERLINK("https://www.boe.es/gazeta/dias/1834/08/12/pdfs/GMD-1834-177.pdf#page=4","Abrir facsímil")</f>
        <v>Abrir facsímil</v>
      </c>
      <c r="K14389" s="10" t="s">
        <v>24</v>
      </c>
    </row>
    <row r="14390" spans="1:11" ht="54" customHeight="1">
      <c r="A14390" s="9" t="s">
        <v>29347</v>
      </c>
      <c r="B14390" s="9" t="s">
        <v>29347</v>
      </c>
      <c r="C14390" s="9" t="s">
        <v>66</v>
      </c>
      <c r="D14390" s="9" t="s">
        <v>67</v>
      </c>
      <c r="E14390" s="10" t="s">
        <v>976</v>
      </c>
      <c r="F14390" s="9" t="s">
        <v>1061</v>
      </c>
      <c r="G14390" s="10" t="s">
        <v>86</v>
      </c>
      <c r="H14390" s="9" t="s">
        <v>22</v>
      </c>
      <c r="I14390" s="9" t="s">
        <v>29348</v>
      </c>
      <c r="J14390" s="10" t="str">
        <f>HYPERLINK("https://www.boe.es/gazeta/dias/1834/04/02/pdfs/GMD-C-1834-41.pdf#page=2","Abrir facsímil")</f>
        <v>Abrir facsímil</v>
      </c>
      <c r="K14390" s="10" t="s">
        <v>24</v>
      </c>
    </row>
    <row r="14391" spans="1:11" ht="54" customHeight="1">
      <c r="A14391" s="9" t="s">
        <v>29347</v>
      </c>
      <c r="B14391" s="9" t="s">
        <v>29347</v>
      </c>
      <c r="C14391" s="9" t="s">
        <v>46</v>
      </c>
      <c r="D14391" s="9" t="s">
        <v>18</v>
      </c>
      <c r="E14391" s="10" t="s">
        <v>2379</v>
      </c>
      <c r="F14391" s="9" t="s">
        <v>2380</v>
      </c>
      <c r="G14391" s="10" t="s">
        <v>75</v>
      </c>
      <c r="H14391" s="9" t="s">
        <v>22</v>
      </c>
      <c r="I14391" s="9" t="s">
        <v>29349</v>
      </c>
      <c r="J14391" s="10" t="str">
        <f>HYPERLINK("https://www.boe.es/gazeta/dias/1834/04/03/pdfs/GMD-1834-42.pdf#page=4","Abrir facsímil")</f>
        <v>Abrir facsímil</v>
      </c>
      <c r="K14391" s="10" t="s">
        <v>24</v>
      </c>
    </row>
    <row r="14392" spans="1:11" ht="54" customHeight="1">
      <c r="A14392" s="9" t="s">
        <v>29350</v>
      </c>
      <c r="B14392" s="9" t="s">
        <v>29351</v>
      </c>
      <c r="C14392" s="9" t="s">
        <v>66</v>
      </c>
      <c r="D14392" s="9" t="s">
        <v>67</v>
      </c>
      <c r="E14392" s="10" t="s">
        <v>1556</v>
      </c>
      <c r="F14392" s="9" t="s">
        <v>1557</v>
      </c>
      <c r="G14392" s="10" t="s">
        <v>21</v>
      </c>
      <c r="H14392" s="9" t="s">
        <v>35</v>
      </c>
      <c r="I14392" s="9" t="s">
        <v>29352</v>
      </c>
      <c r="J14392" s="10" t="str">
        <f>HYPERLINK("https://www.boe.es/gazeta/dias/1834/06/06/pdfs/GMD-1834-108.pdf#page=3","Abrir facsímil")</f>
        <v>Abrir facsímil</v>
      </c>
      <c r="K14392" s="10" t="s">
        <v>37</v>
      </c>
    </row>
    <row r="14393" spans="1:11" ht="54" customHeight="1">
      <c r="A14393" s="9" t="s">
        <v>29353</v>
      </c>
      <c r="B14393" s="9" t="s">
        <v>29354</v>
      </c>
      <c r="C14393" s="9" t="s">
        <v>66</v>
      </c>
      <c r="D14393" s="9" t="s">
        <v>67</v>
      </c>
      <c r="E14393" s="10" t="s">
        <v>1556</v>
      </c>
      <c r="F14393" s="9" t="s">
        <v>1557</v>
      </c>
      <c r="G14393" s="10" t="s">
        <v>21</v>
      </c>
      <c r="H14393" s="9" t="s">
        <v>22</v>
      </c>
      <c r="I14393" s="9" t="s">
        <v>29355</v>
      </c>
      <c r="J14393" s="10" t="str">
        <f>HYPERLINK("https://www.boe.es/gazeta/dias/1834/06/06/pdfs/GMD-1834-108.pdf#page=3","Abrir facsímil")</f>
        <v>Abrir facsímil</v>
      </c>
      <c r="K14393" s="10" t="s">
        <v>24</v>
      </c>
    </row>
    <row r="14394" spans="1:11" ht="54" customHeight="1">
      <c r="A14394" s="9" t="s">
        <v>29356</v>
      </c>
      <c r="B14394" s="9" t="s">
        <v>29356</v>
      </c>
      <c r="C14394" s="9" t="s">
        <v>17</v>
      </c>
      <c r="D14394" s="9" t="s">
        <v>55</v>
      </c>
      <c r="E14394" s="10" t="s">
        <v>2218</v>
      </c>
      <c r="F14394" s="9" t="s">
        <v>2219</v>
      </c>
      <c r="G14394" s="10" t="s">
        <v>86</v>
      </c>
      <c r="H14394" s="9" t="s">
        <v>22</v>
      </c>
      <c r="I14394" s="9" t="s">
        <v>29357</v>
      </c>
      <c r="J14394" s="10" t="str">
        <f>HYPERLINK("https://www.boe.es/gazeta/dias/1834/11/05/pdfs/GMD-1834-264.pdf#page=2","Abrir facsímil")</f>
        <v>Abrir facsímil</v>
      </c>
      <c r="K14394" s="10" t="s">
        <v>24</v>
      </c>
    </row>
    <row r="14395" spans="1:11" ht="54" customHeight="1">
      <c r="A14395" s="9" t="s">
        <v>29358</v>
      </c>
      <c r="B14395" s="9" t="s">
        <v>29358</v>
      </c>
      <c r="C14395" s="9" t="s">
        <v>17</v>
      </c>
      <c r="D14395" s="9" t="s">
        <v>18</v>
      </c>
      <c r="E14395" s="10" t="s">
        <v>2278</v>
      </c>
      <c r="F14395" s="9" t="s">
        <v>2279</v>
      </c>
      <c r="G14395" s="10" t="s">
        <v>34</v>
      </c>
      <c r="H14395" s="9" t="s">
        <v>22</v>
      </c>
      <c r="I14395" s="9" t="s">
        <v>29359</v>
      </c>
      <c r="J14395" s="10" t="str">
        <f>HYPERLINK("https://www.boe.es/gazeta/dias/1834/12/17/pdfs/GMD-C-1834-306.pdf#page=1","Abrir facsímil")</f>
        <v>Abrir facsímil</v>
      </c>
      <c r="K14395" s="10" t="s">
        <v>24</v>
      </c>
    </row>
    <row r="14396" spans="1:11" ht="54" customHeight="1">
      <c r="A14396" s="9" t="s">
        <v>29360</v>
      </c>
      <c r="B14396" s="9" t="s">
        <v>29360</v>
      </c>
      <c r="C14396" s="9" t="s">
        <v>17</v>
      </c>
      <c r="D14396" s="9" t="s">
        <v>18</v>
      </c>
      <c r="E14396" s="10" t="s">
        <v>1955</v>
      </c>
      <c r="F14396" s="9" t="s">
        <v>1956</v>
      </c>
      <c r="G14396" s="10" t="s">
        <v>21</v>
      </c>
      <c r="H14396" s="9" t="s">
        <v>22</v>
      </c>
      <c r="I14396" s="9" t="s">
        <v>29361</v>
      </c>
      <c r="J14396" s="10" t="str">
        <f>HYPERLINK("https://www.boe.es/gazeta/dias/1834/05/04/pdfs/GMD-1834-73.pdf#page=3","Abrir facsímil")</f>
        <v>Abrir facsímil</v>
      </c>
      <c r="K14396" s="10" t="s">
        <v>24</v>
      </c>
    </row>
    <row r="14397" spans="1:11" ht="54" customHeight="1">
      <c r="A14397" s="9" t="s">
        <v>29362</v>
      </c>
      <c r="B14397" s="9" t="s">
        <v>29362</v>
      </c>
      <c r="C14397" s="9" t="s">
        <v>17</v>
      </c>
      <c r="D14397" s="9" t="s">
        <v>18</v>
      </c>
      <c r="E14397" s="10" t="s">
        <v>576</v>
      </c>
      <c r="F14397" s="9" t="s">
        <v>5888</v>
      </c>
      <c r="G14397" s="10" t="s">
        <v>28</v>
      </c>
      <c r="H14397" s="9" t="s">
        <v>22</v>
      </c>
      <c r="I14397" s="9" t="s">
        <v>29363</v>
      </c>
      <c r="J14397" s="10" t="str">
        <f>HYPERLINK("https://www.boe.es/gazeta/dias/1834/09/23/pdfs/GMD-C-1834-221.pdf#page=5","Abrir facsímil")</f>
        <v>Abrir facsímil</v>
      </c>
      <c r="K14397" s="10" t="s">
        <v>24</v>
      </c>
    </row>
    <row r="14398" spans="1:11" ht="54" customHeight="1">
      <c r="A14398" s="9" t="s">
        <v>29364</v>
      </c>
      <c r="B14398" s="9" t="s">
        <v>29364</v>
      </c>
      <c r="C14398" s="9" t="s">
        <v>17</v>
      </c>
      <c r="D14398" s="9" t="s">
        <v>18</v>
      </c>
      <c r="E14398" s="10" t="s">
        <v>576</v>
      </c>
      <c r="F14398" s="9" t="s">
        <v>5888</v>
      </c>
      <c r="G14398" s="10" t="s">
        <v>28</v>
      </c>
      <c r="H14398" s="9" t="s">
        <v>22</v>
      </c>
      <c r="I14398" s="9" t="s">
        <v>29365</v>
      </c>
      <c r="J14398" s="10" t="str">
        <f>HYPERLINK("https://www.boe.es/gazeta/dias/1834/09/23/pdfs/GMD-C-1834-221.pdf#page=5","Abrir facsímil")</f>
        <v>Abrir facsímil</v>
      </c>
      <c r="K14398" s="10" t="s">
        <v>24</v>
      </c>
    </row>
    <row r="14399" spans="1:11" ht="54" customHeight="1">
      <c r="A14399" s="9" t="s">
        <v>29366</v>
      </c>
      <c r="B14399" s="9" t="s">
        <v>29367</v>
      </c>
      <c r="C14399" s="9" t="s">
        <v>66</v>
      </c>
      <c r="D14399" s="9" t="s">
        <v>67</v>
      </c>
      <c r="E14399" s="10" t="s">
        <v>838</v>
      </c>
      <c r="F14399" s="9" t="s">
        <v>839</v>
      </c>
      <c r="G14399" s="10" t="s">
        <v>21</v>
      </c>
      <c r="H14399" s="9" t="s">
        <v>22</v>
      </c>
      <c r="I14399" s="9" t="s">
        <v>29368</v>
      </c>
      <c r="J14399" s="10" t="str">
        <f>HYPERLINK("https://www.boe.es/gazeta/dias/1834/07/18/pdfs/GMD-1834-151.pdf#page=3","Abrir facsímil")</f>
        <v>Abrir facsímil</v>
      </c>
      <c r="K14399" s="10" t="s">
        <v>24</v>
      </c>
    </row>
    <row r="14400" spans="1:11" ht="54" customHeight="1">
      <c r="A14400" s="9" t="s">
        <v>29369</v>
      </c>
      <c r="B14400" s="9" t="s">
        <v>29369</v>
      </c>
      <c r="C14400" s="9" t="s">
        <v>17</v>
      </c>
      <c r="D14400" s="9" t="s">
        <v>18</v>
      </c>
      <c r="E14400" s="10" t="s">
        <v>891</v>
      </c>
      <c r="F14400" s="9" t="s">
        <v>892</v>
      </c>
      <c r="G14400" s="10" t="s">
        <v>176</v>
      </c>
      <c r="H14400" s="9" t="s">
        <v>22</v>
      </c>
      <c r="I14400" s="9" t="s">
        <v>29370</v>
      </c>
      <c r="J14400" s="10" t="str">
        <f>HYPERLINK("https://www.boe.es/gazeta/dias/1834/10/31/pdfs/GMD-C-1834-259.pdf#page=6","Abrir facsímil")</f>
        <v>Abrir facsímil</v>
      </c>
      <c r="K14400" s="10" t="s">
        <v>24</v>
      </c>
    </row>
    <row r="14401" spans="1:11" ht="54" customHeight="1">
      <c r="A14401" s="9" t="s">
        <v>29371</v>
      </c>
      <c r="B14401" s="9" t="s">
        <v>29372</v>
      </c>
      <c r="C14401" s="9" t="s">
        <v>17</v>
      </c>
      <c r="D14401" s="9" t="s">
        <v>40</v>
      </c>
      <c r="E14401" s="10" t="s">
        <v>1170</v>
      </c>
      <c r="F14401" s="9" t="s">
        <v>1171</v>
      </c>
      <c r="G14401" s="10" t="s">
        <v>176</v>
      </c>
      <c r="H14401" s="9" t="s">
        <v>22</v>
      </c>
      <c r="I14401" s="9" t="s">
        <v>29373</v>
      </c>
      <c r="J14401" s="10" t="str">
        <f>HYPERLINK("https://www.boe.es/gazeta/dias/1834/01/07/pdfs/GMD-1834-4.pdf#page=6","Abrir facsímil")</f>
        <v>Abrir facsímil</v>
      </c>
      <c r="K14401" s="10" t="s">
        <v>24</v>
      </c>
    </row>
    <row r="14402" spans="1:11" ht="54" customHeight="1">
      <c r="A14402" s="9" t="s">
        <v>29374</v>
      </c>
      <c r="B14402" s="9" t="s">
        <v>29375</v>
      </c>
      <c r="C14402" s="9" t="s">
        <v>17</v>
      </c>
      <c r="D14402" s="9" t="s">
        <v>55</v>
      </c>
      <c r="E14402" s="10" t="s">
        <v>3036</v>
      </c>
      <c r="F14402" s="9" t="s">
        <v>3372</v>
      </c>
      <c r="G14402" s="10" t="s">
        <v>21</v>
      </c>
      <c r="H14402" s="9" t="s">
        <v>22</v>
      </c>
      <c r="I14402" s="9" t="s">
        <v>29376</v>
      </c>
      <c r="J14402" s="10" t="str">
        <f>HYPERLINK("https://www.boe.es/gazeta/dias/1834/11/18/pdfs/GMD-1834-277.pdf#page=3","Abrir facsímil")</f>
        <v>Abrir facsímil</v>
      </c>
      <c r="K14402" s="10" t="s">
        <v>24</v>
      </c>
    </row>
    <row r="14403" spans="1:11" ht="54" customHeight="1">
      <c r="A14403" s="9" t="s">
        <v>29377</v>
      </c>
      <c r="B14403" s="9" t="s">
        <v>29377</v>
      </c>
      <c r="C14403" s="9" t="s">
        <v>66</v>
      </c>
      <c r="D14403" s="9" t="s">
        <v>67</v>
      </c>
      <c r="E14403" s="10" t="s">
        <v>1918</v>
      </c>
      <c r="F14403" s="9" t="s">
        <v>1919</v>
      </c>
      <c r="G14403" s="10" t="s">
        <v>75</v>
      </c>
      <c r="H14403" s="9" t="s">
        <v>22</v>
      </c>
      <c r="I14403" s="9" t="s">
        <v>29378</v>
      </c>
      <c r="J14403" s="10" t="str">
        <f>HYPERLINK("https://www.boe.es/gazeta/dias/1834/03/22/pdfs/GMD-1834-36.pdf#page=4","Abrir facsímil")</f>
        <v>Abrir facsímil</v>
      </c>
      <c r="K14403" s="10" t="s">
        <v>24</v>
      </c>
    </row>
    <row r="14404" spans="1:11" ht="54" customHeight="1">
      <c r="A14404" s="9" t="s">
        <v>29379</v>
      </c>
      <c r="B14404" s="9" t="s">
        <v>29380</v>
      </c>
      <c r="C14404" s="9" t="s">
        <v>66</v>
      </c>
      <c r="D14404" s="9" t="s">
        <v>67</v>
      </c>
      <c r="E14404" s="10" t="s">
        <v>1918</v>
      </c>
      <c r="F14404" s="9" t="s">
        <v>1919</v>
      </c>
      <c r="G14404" s="10" t="s">
        <v>75</v>
      </c>
      <c r="H14404" s="9" t="s">
        <v>22</v>
      </c>
      <c r="I14404" s="9" t="s">
        <v>29381</v>
      </c>
      <c r="J14404" s="10" t="str">
        <f>HYPERLINK("https://www.boe.es/gazeta/dias/1834/03/22/pdfs/GMD-1834-36.pdf#page=4","Abrir facsímil")</f>
        <v>Abrir facsímil</v>
      </c>
      <c r="K14404" s="10" t="s">
        <v>24</v>
      </c>
    </row>
    <row r="14405" spans="1:11" ht="54" customHeight="1">
      <c r="A14405" s="9" t="s">
        <v>29382</v>
      </c>
      <c r="B14405" s="9" t="s">
        <v>29382</v>
      </c>
      <c r="C14405" s="9" t="s">
        <v>17</v>
      </c>
      <c r="D14405" s="9" t="s">
        <v>55</v>
      </c>
      <c r="E14405" s="10" t="s">
        <v>364</v>
      </c>
      <c r="F14405" s="9" t="s">
        <v>365</v>
      </c>
      <c r="G14405" s="10" t="s">
        <v>75</v>
      </c>
      <c r="H14405" s="9" t="s">
        <v>22</v>
      </c>
      <c r="I14405" s="9" t="s">
        <v>29383</v>
      </c>
      <c r="J14405" s="10" t="str">
        <f>HYPERLINK("https://www.boe.es/gazeta/dias/1834/09/06/pdfs/GMD-C-1834-204.pdf#page=4","Abrir facsímil")</f>
        <v>Abrir facsímil</v>
      </c>
      <c r="K14405" s="10" t="s">
        <v>24</v>
      </c>
    </row>
    <row r="14406" spans="1:11" ht="54" customHeight="1">
      <c r="A14406" s="9" t="s">
        <v>29384</v>
      </c>
      <c r="B14406" s="9" t="s">
        <v>29384</v>
      </c>
      <c r="C14406" s="9" t="s">
        <v>17</v>
      </c>
      <c r="D14406" s="9" t="s">
        <v>18</v>
      </c>
      <c r="E14406" s="10" t="s">
        <v>1766</v>
      </c>
      <c r="F14406" s="9" t="s">
        <v>1767</v>
      </c>
      <c r="G14406" s="10" t="s">
        <v>34</v>
      </c>
      <c r="H14406" s="9" t="s">
        <v>22</v>
      </c>
      <c r="I14406" s="9" t="s">
        <v>29385</v>
      </c>
      <c r="J14406" s="10" t="str">
        <f>HYPERLINK("https://www.boe.es/gazeta/dias/1834/10/26/pdfs/GMD-C-1834-254.pdf#page=1","Abrir facsímil")</f>
        <v>Abrir facsímil</v>
      </c>
      <c r="K14406" s="10" t="s">
        <v>24</v>
      </c>
    </row>
    <row r="14407" spans="1:11" ht="54" customHeight="1">
      <c r="A14407" s="9" t="s">
        <v>29386</v>
      </c>
      <c r="B14407" s="9" t="s">
        <v>29386</v>
      </c>
      <c r="C14407" s="9" t="s">
        <v>17</v>
      </c>
      <c r="D14407" s="9" t="s">
        <v>18</v>
      </c>
      <c r="E14407" s="10" t="s">
        <v>273</v>
      </c>
      <c r="F14407" s="9" t="s">
        <v>274</v>
      </c>
      <c r="G14407" s="10" t="s">
        <v>21</v>
      </c>
      <c r="H14407" s="9" t="s">
        <v>22</v>
      </c>
      <c r="I14407" s="9" t="s">
        <v>29387</v>
      </c>
      <c r="J14407" s="10" t="str">
        <f>HYPERLINK("https://www.boe.es/gazeta/dias/1834/08/31/pdfs/GMD-D-1834-198.pdf#page=3","Abrir facsímil")</f>
        <v>Abrir facsímil</v>
      </c>
      <c r="K14407" s="10" t="s">
        <v>24</v>
      </c>
    </row>
    <row r="14408" spans="1:11" ht="54" customHeight="1">
      <c r="A14408" s="9" t="s">
        <v>29388</v>
      </c>
      <c r="B14408" s="9" t="s">
        <v>29389</v>
      </c>
      <c r="C14408" s="9" t="s">
        <v>122</v>
      </c>
      <c r="D14408" s="9" t="s">
        <v>101</v>
      </c>
      <c r="E14408" s="10" t="s">
        <v>1351</v>
      </c>
      <c r="F14408" s="9" t="s">
        <v>1352</v>
      </c>
      <c r="G14408" s="10" t="s">
        <v>34</v>
      </c>
      <c r="H14408" s="9" t="s">
        <v>22</v>
      </c>
      <c r="I14408" s="9" t="s">
        <v>29390</v>
      </c>
      <c r="J14408" s="10" t="str">
        <f>HYPERLINK("https://www.boe.es/gazeta/dias/1834/07/05/pdfs/GMD-1834-138.pdf#page=1","Abrir facsímil")</f>
        <v>Abrir facsímil</v>
      </c>
      <c r="K14408" s="10" t="s">
        <v>24</v>
      </c>
    </row>
    <row r="14409" spans="1:11" ht="54" customHeight="1">
      <c r="A14409" s="9" t="s">
        <v>29391</v>
      </c>
      <c r="B14409" s="9" t="s">
        <v>29391</v>
      </c>
      <c r="C14409" s="9" t="s">
        <v>17</v>
      </c>
      <c r="D14409" s="9" t="s">
        <v>40</v>
      </c>
      <c r="E14409" s="10" t="s">
        <v>2278</v>
      </c>
      <c r="F14409" s="9" t="s">
        <v>2279</v>
      </c>
      <c r="G14409" s="10" t="s">
        <v>75</v>
      </c>
      <c r="H14409" s="9" t="s">
        <v>22</v>
      </c>
      <c r="I14409" s="9" t="s">
        <v>29392</v>
      </c>
      <c r="J14409" s="10" t="str">
        <f>HYPERLINK("https://www.boe.es/gazeta/dias/1834/12/17/pdfs/GMD-C-1834-306.pdf#page=4","Abrir facsímil")</f>
        <v>Abrir facsímil</v>
      </c>
      <c r="K14409" s="10" t="s">
        <v>24</v>
      </c>
    </row>
    <row r="14410" spans="1:11" ht="54" customHeight="1">
      <c r="A14410" s="9" t="s">
        <v>29393</v>
      </c>
      <c r="B14410" s="9" t="s">
        <v>29393</v>
      </c>
      <c r="C14410" s="9" t="s">
        <v>17</v>
      </c>
      <c r="D14410" s="9" t="s">
        <v>18</v>
      </c>
      <c r="E14410" s="10" t="s">
        <v>2278</v>
      </c>
      <c r="F14410" s="9" t="s">
        <v>2279</v>
      </c>
      <c r="G14410" s="10" t="s">
        <v>75</v>
      </c>
      <c r="H14410" s="9" t="s">
        <v>22</v>
      </c>
      <c r="I14410" s="9" t="s">
        <v>29394</v>
      </c>
      <c r="J14410" s="10" t="str">
        <f>HYPERLINK("https://www.boe.es/gazeta/dias/1834/12/17/pdfs/GMD-C-1834-306.pdf#page=4","Abrir facsímil")</f>
        <v>Abrir facsímil</v>
      </c>
      <c r="K14410" s="10" t="s">
        <v>24</v>
      </c>
    </row>
    <row r="14411" spans="1:11" ht="54" customHeight="1">
      <c r="A14411" s="9" t="s">
        <v>29393</v>
      </c>
      <c r="B14411" s="9" t="s">
        <v>29393</v>
      </c>
      <c r="C14411" s="9" t="s">
        <v>17</v>
      </c>
      <c r="D14411" s="9" t="s">
        <v>18</v>
      </c>
      <c r="E14411" s="10" t="s">
        <v>777</v>
      </c>
      <c r="F14411" s="9" t="s">
        <v>2535</v>
      </c>
      <c r="G14411" s="10" t="s">
        <v>34</v>
      </c>
      <c r="H14411" s="9" t="s">
        <v>22</v>
      </c>
      <c r="I14411" s="9" t="s">
        <v>29395</v>
      </c>
      <c r="J14411" s="10" t="str">
        <f>HYPERLINK("https://www.boe.es/gazeta/dias/1834/10/29/pdfs/GMD-C-1834-257.pdf#page=1","Abrir facsímil")</f>
        <v>Abrir facsímil</v>
      </c>
      <c r="K14411" s="10" t="s">
        <v>24</v>
      </c>
    </row>
    <row r="14412" spans="1:11" ht="54" customHeight="1">
      <c r="A14412" s="9" t="s">
        <v>29396</v>
      </c>
      <c r="B14412" s="9" t="s">
        <v>29396</v>
      </c>
      <c r="C14412" s="9" t="s">
        <v>66</v>
      </c>
      <c r="D14412" s="9" t="s">
        <v>67</v>
      </c>
      <c r="E14412" s="10" t="s">
        <v>1850</v>
      </c>
      <c r="F14412" s="9" t="s">
        <v>8022</v>
      </c>
      <c r="G14412" s="10" t="s">
        <v>86</v>
      </c>
      <c r="H14412" s="9" t="s">
        <v>22</v>
      </c>
      <c r="I14412" s="9" t="s">
        <v>29397</v>
      </c>
      <c r="J14412" s="10" t="str">
        <f>HYPERLINK("https://www.boe.es/gazeta/dias/1834/02/18/pdfs/GMD-C-1834-22.pdf#page=2","Abrir facsímil")</f>
        <v>Abrir facsímil</v>
      </c>
      <c r="K14412" s="10" t="s">
        <v>24</v>
      </c>
    </row>
    <row r="14413" spans="1:11" ht="54" customHeight="1">
      <c r="A14413" s="9" t="s">
        <v>29398</v>
      </c>
      <c r="B14413" s="9" t="s">
        <v>29399</v>
      </c>
      <c r="C14413" s="9" t="s">
        <v>66</v>
      </c>
      <c r="D14413" s="9" t="s">
        <v>18</v>
      </c>
      <c r="E14413" s="10" t="s">
        <v>1141</v>
      </c>
      <c r="F14413" s="9" t="s">
        <v>1142</v>
      </c>
      <c r="G14413" s="10" t="s">
        <v>75</v>
      </c>
      <c r="H14413" s="9" t="s">
        <v>22</v>
      </c>
      <c r="I14413" s="9" t="s">
        <v>29400</v>
      </c>
      <c r="J14413" s="10" t="str">
        <f>HYPERLINK("https://www.boe.es/gazeta/dias/1834/04/30/pdfs/GMD-1834-69.pdf#page=4","Abrir facsímil")</f>
        <v>Abrir facsímil</v>
      </c>
      <c r="K14413" s="10" t="s">
        <v>24</v>
      </c>
    </row>
    <row r="14414" spans="1:11" ht="54" customHeight="1">
      <c r="A14414" s="9" t="s">
        <v>29401</v>
      </c>
      <c r="B14414" s="9" t="s">
        <v>29401</v>
      </c>
      <c r="C14414" s="9" t="s">
        <v>17</v>
      </c>
      <c r="D14414" s="9" t="s">
        <v>18</v>
      </c>
      <c r="E14414" s="10" t="s">
        <v>679</v>
      </c>
      <c r="F14414" s="9" t="s">
        <v>699</v>
      </c>
      <c r="G14414" s="10" t="s">
        <v>75</v>
      </c>
      <c r="H14414" s="9" t="s">
        <v>22</v>
      </c>
      <c r="I14414" s="9" t="s">
        <v>29402</v>
      </c>
      <c r="J14414" s="10" t="str">
        <f>HYPERLINK("https://www.boe.es/gazeta/dias/1834/12/10/pdfs/GMD-C-1834-299.pdf#page=4","Abrir facsímil")</f>
        <v>Abrir facsímil</v>
      </c>
      <c r="K14414" s="10" t="s">
        <v>24</v>
      </c>
    </row>
    <row r="14415" spans="1:11" ht="54" customHeight="1">
      <c r="A14415" s="9" t="s">
        <v>29403</v>
      </c>
      <c r="B14415" s="9" t="s">
        <v>29404</v>
      </c>
      <c r="C14415" s="9" t="s">
        <v>66</v>
      </c>
      <c r="D14415" s="9" t="s">
        <v>67</v>
      </c>
      <c r="E14415" s="10" t="s">
        <v>506</v>
      </c>
      <c r="F14415" s="9" t="s">
        <v>507</v>
      </c>
      <c r="G14415" s="10" t="s">
        <v>75</v>
      </c>
      <c r="H14415" s="9" t="s">
        <v>22</v>
      </c>
      <c r="I14415" s="9" t="s">
        <v>29405</v>
      </c>
      <c r="J14415" s="10" t="str">
        <f>HYPERLINK("https://www.boe.es/gazeta/dias/1834/03/04/pdfs/GMD-1834-28.pdf#page=4","Abrir facsímil")</f>
        <v>Abrir facsímil</v>
      </c>
      <c r="K14415" s="10" t="s">
        <v>24</v>
      </c>
    </row>
    <row r="14416" spans="1:11" ht="54" customHeight="1">
      <c r="A14416" s="9" t="s">
        <v>29406</v>
      </c>
      <c r="B14416" s="9" t="s">
        <v>29407</v>
      </c>
      <c r="C14416" s="9" t="s">
        <v>17</v>
      </c>
      <c r="D14416" s="9" t="s">
        <v>40</v>
      </c>
      <c r="E14416" s="10" t="s">
        <v>187</v>
      </c>
      <c r="F14416" s="9" t="s">
        <v>1715</v>
      </c>
      <c r="G14416" s="10" t="s">
        <v>34</v>
      </c>
      <c r="H14416" s="9" t="s">
        <v>22</v>
      </c>
      <c r="I14416" s="9" t="s">
        <v>29408</v>
      </c>
      <c r="J14416" s="10" t="str">
        <f>HYPERLINK("https://www.boe.es/gazeta/dias/1834/09/30/pdfs/GMD-C-1834-228.pdf#page=1","Abrir facsímil")</f>
        <v>Abrir facsímil</v>
      </c>
      <c r="K14416" s="10" t="s">
        <v>24</v>
      </c>
    </row>
    <row r="14417" spans="1:11" ht="54" customHeight="1">
      <c r="A14417" s="9" t="s">
        <v>29409</v>
      </c>
      <c r="B14417" s="9" t="s">
        <v>29410</v>
      </c>
      <c r="C14417" s="9" t="s">
        <v>17</v>
      </c>
      <c r="D14417" s="9" t="s">
        <v>18</v>
      </c>
      <c r="E14417" s="10" t="s">
        <v>73</v>
      </c>
      <c r="F14417" s="9" t="s">
        <v>74</v>
      </c>
      <c r="G14417" s="10" t="s">
        <v>75</v>
      </c>
      <c r="H14417" s="9" t="s">
        <v>22</v>
      </c>
      <c r="I14417" s="9" t="s">
        <v>29411</v>
      </c>
      <c r="J14417" s="10" t="str">
        <f>HYPERLINK("https://www.boe.es/gazeta/dias/1834/11/04/pdfs/GMD-1834-263.pdf#page=4","Abrir facsímil")</f>
        <v>Abrir facsímil</v>
      </c>
      <c r="K14417" s="10" t="s">
        <v>24</v>
      </c>
    </row>
    <row r="14418" spans="1:11" ht="54" customHeight="1">
      <c r="A14418" s="9" t="s">
        <v>29412</v>
      </c>
      <c r="B14418" s="9" t="s">
        <v>29412</v>
      </c>
      <c r="C14418" s="9" t="s">
        <v>17</v>
      </c>
      <c r="D14418" s="9" t="s">
        <v>18</v>
      </c>
      <c r="E14418" s="10" t="s">
        <v>237</v>
      </c>
      <c r="F14418" s="9" t="s">
        <v>238</v>
      </c>
      <c r="G14418" s="10" t="s">
        <v>86</v>
      </c>
      <c r="H14418" s="9" t="s">
        <v>22</v>
      </c>
      <c r="I14418" s="9" t="s">
        <v>29413</v>
      </c>
      <c r="J14418" s="10" t="str">
        <f>HYPERLINK("https://www.boe.es/gazeta/dias/1834/08/15/pdfs/GMD-C-1834-180.pdf#page=2","Abrir facsímil")</f>
        <v>Abrir facsímil</v>
      </c>
      <c r="K14418" s="10" t="s">
        <v>24</v>
      </c>
    </row>
    <row r="14419" spans="1:11" ht="54" customHeight="1">
      <c r="A14419" s="9" t="s">
        <v>29412</v>
      </c>
      <c r="B14419" s="9" t="s">
        <v>29412</v>
      </c>
      <c r="C14419" s="9" t="s">
        <v>17</v>
      </c>
      <c r="D14419" s="9" t="s">
        <v>18</v>
      </c>
      <c r="E14419" s="10" t="s">
        <v>1195</v>
      </c>
      <c r="F14419" s="9" t="s">
        <v>1196</v>
      </c>
      <c r="G14419" s="10" t="s">
        <v>470</v>
      </c>
      <c r="H14419" s="9" t="s">
        <v>22</v>
      </c>
      <c r="I14419" s="9" t="s">
        <v>29414</v>
      </c>
      <c r="J14419" s="10" t="str">
        <f>HYPERLINK("https://www.boe.es/gazeta/dias/1834/10/17/pdfs/GMD-C-1834-245.pdf#page=8","Abrir facsímil")</f>
        <v>Abrir facsímil</v>
      </c>
      <c r="K14419" s="10" t="s">
        <v>24</v>
      </c>
    </row>
    <row r="14420" spans="1:11" ht="54" customHeight="1">
      <c r="A14420" s="9" t="s">
        <v>29415</v>
      </c>
      <c r="B14420" s="9" t="s">
        <v>29415</v>
      </c>
      <c r="C14420" s="9" t="s">
        <v>17</v>
      </c>
      <c r="D14420" s="9" t="s">
        <v>18</v>
      </c>
      <c r="E14420" s="10" t="s">
        <v>762</v>
      </c>
      <c r="F14420" s="9" t="s">
        <v>2227</v>
      </c>
      <c r="G14420" s="10" t="s">
        <v>176</v>
      </c>
      <c r="H14420" s="9" t="s">
        <v>22</v>
      </c>
      <c r="I14420" s="9" t="s">
        <v>29416</v>
      </c>
      <c r="J14420" s="10" t="str">
        <f>HYPERLINK("https://www.boe.es/gazeta/dias/1834/11/07/pdfs/GMD-C-1834-266.pdf#page=6","Abrir facsímil")</f>
        <v>Abrir facsímil</v>
      </c>
      <c r="K14420" s="10" t="s">
        <v>24</v>
      </c>
    </row>
    <row r="14421" spans="1:11" ht="54" customHeight="1">
      <c r="A14421" s="9" t="s">
        <v>29415</v>
      </c>
      <c r="B14421" s="9" t="s">
        <v>29415</v>
      </c>
      <c r="C14421" s="9" t="s">
        <v>17</v>
      </c>
      <c r="D14421" s="9" t="s">
        <v>18</v>
      </c>
      <c r="E14421" s="10" t="s">
        <v>647</v>
      </c>
      <c r="F14421" s="9" t="s">
        <v>648</v>
      </c>
      <c r="G14421" s="10" t="s">
        <v>28</v>
      </c>
      <c r="H14421" s="9" t="s">
        <v>22</v>
      </c>
      <c r="I14421" s="9" t="s">
        <v>29417</v>
      </c>
      <c r="J14421" s="10" t="str">
        <f>HYPERLINK("https://www.boe.es/gazeta/dias/1834/10/21/pdfs/GMD-C-1834-249.pdf#page=5","Abrir facsímil")</f>
        <v>Abrir facsímil</v>
      </c>
      <c r="K14421" s="10" t="s">
        <v>24</v>
      </c>
    </row>
    <row r="14422" spans="1:11" ht="54" customHeight="1">
      <c r="A14422" s="9" t="s">
        <v>29418</v>
      </c>
      <c r="B14422" s="9" t="s">
        <v>29418</v>
      </c>
      <c r="C14422" s="9" t="s">
        <v>17</v>
      </c>
      <c r="D14422" s="9" t="s">
        <v>18</v>
      </c>
      <c r="E14422" s="10" t="s">
        <v>200</v>
      </c>
      <c r="F14422" s="9" t="s">
        <v>2248</v>
      </c>
      <c r="G14422" s="10" t="s">
        <v>75</v>
      </c>
      <c r="H14422" s="9" t="s">
        <v>22</v>
      </c>
      <c r="I14422" s="9" t="s">
        <v>29419</v>
      </c>
      <c r="J14422" s="10" t="str">
        <f>HYPERLINK("https://www.boe.es/gazeta/dias/1834/12/11/pdfs/GMD-C-1834-300.pdf#page=4","Abrir facsímil")</f>
        <v>Abrir facsímil</v>
      </c>
      <c r="K14422" s="10" t="s">
        <v>24</v>
      </c>
    </row>
    <row r="14423" spans="1:11" ht="54" customHeight="1">
      <c r="A14423" s="9" t="s">
        <v>29418</v>
      </c>
      <c r="B14423" s="9" t="s">
        <v>29418</v>
      </c>
      <c r="C14423" s="9" t="s">
        <v>17</v>
      </c>
      <c r="D14423" s="9" t="s">
        <v>18</v>
      </c>
      <c r="E14423" s="10" t="s">
        <v>590</v>
      </c>
      <c r="F14423" s="9" t="s">
        <v>17808</v>
      </c>
      <c r="G14423" s="10" t="s">
        <v>34</v>
      </c>
      <c r="H14423" s="9" t="s">
        <v>22</v>
      </c>
      <c r="I14423" s="9" t="s">
        <v>29420</v>
      </c>
      <c r="J14423" s="10" t="str">
        <f>HYPERLINK("https://www.boe.es/gazeta/dias/1834/11/30/pdfs/GMD-C-1834-289.pdf#page=1","Abrir facsímil")</f>
        <v>Abrir facsímil</v>
      </c>
      <c r="K14423" s="10" t="s">
        <v>24</v>
      </c>
    </row>
    <row r="14424" spans="1:11" ht="54" customHeight="1">
      <c r="A14424" s="9" t="s">
        <v>29421</v>
      </c>
      <c r="B14424" s="9" t="s">
        <v>29422</v>
      </c>
      <c r="C14424" s="9" t="s">
        <v>122</v>
      </c>
      <c r="D14424" s="9" t="s">
        <v>101</v>
      </c>
      <c r="E14424" s="10" t="s">
        <v>1239</v>
      </c>
      <c r="F14424" s="9" t="s">
        <v>1240</v>
      </c>
      <c r="G14424" s="10" t="s">
        <v>21</v>
      </c>
      <c r="H14424" s="9" t="s">
        <v>22</v>
      </c>
      <c r="I14424" s="9" t="s">
        <v>29423</v>
      </c>
      <c r="J14424" s="10" t="str">
        <f>HYPERLINK("https://www.boe.es/gazeta/dias/1834/08/20/pdfs/GMD-1834-186.pdf#page=3","Abrir facsímil")</f>
        <v>Abrir facsímil</v>
      </c>
      <c r="K14424" s="10" t="s">
        <v>24</v>
      </c>
    </row>
    <row r="14425" spans="1:11" ht="54" customHeight="1">
      <c r="A14425" s="9" t="s">
        <v>29424</v>
      </c>
      <c r="B14425" s="9" t="s">
        <v>29425</v>
      </c>
      <c r="C14425" s="9" t="s">
        <v>66</v>
      </c>
      <c r="D14425" s="9" t="s">
        <v>67</v>
      </c>
      <c r="E14425" s="10" t="s">
        <v>117</v>
      </c>
      <c r="F14425" s="9" t="s">
        <v>118</v>
      </c>
      <c r="G14425" s="10" t="s">
        <v>21</v>
      </c>
      <c r="H14425" s="9" t="s">
        <v>22</v>
      </c>
      <c r="I14425" s="9" t="s">
        <v>29426</v>
      </c>
      <c r="J14425" s="10" t="str">
        <f>HYPERLINK("https://www.boe.es/gazeta/dias/1834/07/21/pdfs/GMD-1834-154.pdf#page=3","Abrir facsímil")</f>
        <v>Abrir facsímil</v>
      </c>
      <c r="K14425" s="10" t="s">
        <v>24</v>
      </c>
    </row>
    <row r="14426" spans="1:11" ht="54" customHeight="1">
      <c r="A14426" s="9" t="s">
        <v>29427</v>
      </c>
      <c r="B14426" s="9" t="s">
        <v>29427</v>
      </c>
      <c r="C14426" s="9" t="s">
        <v>17</v>
      </c>
      <c r="D14426" s="9" t="s">
        <v>18</v>
      </c>
      <c r="E14426" s="10" t="s">
        <v>11991</v>
      </c>
      <c r="F14426" s="9" t="s">
        <v>11992</v>
      </c>
      <c r="G14426" s="10" t="s">
        <v>34</v>
      </c>
      <c r="H14426" s="9" t="s">
        <v>22</v>
      </c>
      <c r="I14426" s="9" t="s">
        <v>29428</v>
      </c>
      <c r="J14426" s="10" t="str">
        <f>HYPERLINK("https://www.boe.es/gazeta/dias/1834/12/05/pdfs/GMD-C-1834-294.pdf#page=1","Abrir facsímil")</f>
        <v>Abrir facsímil</v>
      </c>
      <c r="K14426" s="10" t="s">
        <v>24</v>
      </c>
    </row>
    <row r="14427" spans="1:11" ht="54" customHeight="1">
      <c r="A14427" s="9" t="s">
        <v>29427</v>
      </c>
      <c r="B14427" s="9" t="s">
        <v>29427</v>
      </c>
      <c r="C14427" s="9" t="s">
        <v>17</v>
      </c>
      <c r="D14427" s="9" t="s">
        <v>18</v>
      </c>
      <c r="E14427" s="10" t="s">
        <v>1103</v>
      </c>
      <c r="F14427" s="9" t="s">
        <v>1104</v>
      </c>
      <c r="G14427" s="10" t="s">
        <v>34</v>
      </c>
      <c r="H14427" s="9" t="s">
        <v>22</v>
      </c>
      <c r="I14427" s="9" t="s">
        <v>29429</v>
      </c>
      <c r="J14427" s="10" t="str">
        <f>HYPERLINK("https://www.boe.es/gazeta/dias/1834/10/10/pdfs/GMD-C-1834-238.pdf#page=1","Abrir facsímil")</f>
        <v>Abrir facsímil</v>
      </c>
      <c r="K14427" s="10" t="s">
        <v>24</v>
      </c>
    </row>
    <row r="14428" spans="1:11" ht="54" customHeight="1">
      <c r="A14428" s="9" t="s">
        <v>29430</v>
      </c>
      <c r="B14428" s="9" t="s">
        <v>29430</v>
      </c>
      <c r="C14428" s="9" t="s">
        <v>46</v>
      </c>
      <c r="D14428" s="9" t="s">
        <v>101</v>
      </c>
      <c r="E14428" s="10" t="s">
        <v>679</v>
      </c>
      <c r="F14428" s="9" t="s">
        <v>699</v>
      </c>
      <c r="G14428" s="10" t="s">
        <v>21</v>
      </c>
      <c r="H14428" s="9" t="s">
        <v>22</v>
      </c>
      <c r="I14428" s="9" t="s">
        <v>29431</v>
      </c>
      <c r="J14428" s="10" t="str">
        <f>HYPERLINK("https://www.boe.es/gazeta/dias/1834/12/10/pdfs/GMD-C-1834-299.pdf#page=3","Abrir facsímil")</f>
        <v>Abrir facsímil</v>
      </c>
      <c r="K14428" s="10" t="s">
        <v>24</v>
      </c>
    </row>
    <row r="14429" spans="1:11" ht="54" customHeight="1">
      <c r="A14429" s="9" t="s">
        <v>29427</v>
      </c>
      <c r="B14429" s="9" t="s">
        <v>29427</v>
      </c>
      <c r="C14429" s="9" t="s">
        <v>17</v>
      </c>
      <c r="D14429" s="9" t="s">
        <v>40</v>
      </c>
      <c r="E14429" s="10" t="s">
        <v>715</v>
      </c>
      <c r="F14429" s="9" t="s">
        <v>716</v>
      </c>
      <c r="G14429" s="10" t="s">
        <v>34</v>
      </c>
      <c r="H14429" s="9" t="s">
        <v>22</v>
      </c>
      <c r="I14429" s="9" t="s">
        <v>29432</v>
      </c>
      <c r="J14429" s="10" t="str">
        <f>HYPERLINK("https://www.boe.es/gazeta/dias/1834/09/17/pdfs/GMD-C-1834-215.pdf#page=1","Abrir facsímil")</f>
        <v>Abrir facsímil</v>
      </c>
      <c r="K14429" s="10" t="s">
        <v>24</v>
      </c>
    </row>
    <row r="14430" spans="1:11" ht="54" customHeight="1">
      <c r="A14430" s="9" t="s">
        <v>29427</v>
      </c>
      <c r="B14430" s="9" t="s">
        <v>29427</v>
      </c>
      <c r="C14430" s="9" t="s">
        <v>17</v>
      </c>
      <c r="D14430" s="9" t="s">
        <v>18</v>
      </c>
      <c r="E14430" s="10" t="s">
        <v>280</v>
      </c>
      <c r="F14430" s="9" t="s">
        <v>281</v>
      </c>
      <c r="G14430" s="10" t="s">
        <v>560</v>
      </c>
      <c r="H14430" s="9" t="s">
        <v>22</v>
      </c>
      <c r="I14430" s="9" t="s">
        <v>29433</v>
      </c>
      <c r="J14430" s="10" t="str">
        <f>HYPERLINK("https://www.boe.es/gazeta/dias/1834/08/29/pdfs/GMD-C-1834-195.pdf#page=7","Abrir facsímil")</f>
        <v>Abrir facsímil</v>
      </c>
      <c r="K14430" s="10" t="s">
        <v>24</v>
      </c>
    </row>
    <row r="14431" spans="1:11" ht="54" customHeight="1">
      <c r="A14431" s="9" t="s">
        <v>29427</v>
      </c>
      <c r="B14431" s="9" t="s">
        <v>29427</v>
      </c>
      <c r="C14431" s="9" t="s">
        <v>46</v>
      </c>
      <c r="D14431" s="9" t="s">
        <v>18</v>
      </c>
      <c r="E14431" s="10" t="s">
        <v>273</v>
      </c>
      <c r="F14431" s="9" t="s">
        <v>413</v>
      </c>
      <c r="G14431" s="10" t="s">
        <v>75</v>
      </c>
      <c r="H14431" s="9" t="s">
        <v>22</v>
      </c>
      <c r="I14431" s="9" t="s">
        <v>29434</v>
      </c>
      <c r="J14431" s="10" t="str">
        <f>HYPERLINK("https://www.boe.es/gazeta/dias/1834/08/31/pdfs/GMD-1834-198.pdf#page=4","Abrir facsímil")</f>
        <v>Abrir facsímil</v>
      </c>
      <c r="K14431" s="10" t="s">
        <v>24</v>
      </c>
    </row>
    <row r="14432" spans="1:11" ht="54" customHeight="1">
      <c r="A14432" s="9" t="s">
        <v>29435</v>
      </c>
      <c r="B14432" s="9" t="s">
        <v>29435</v>
      </c>
      <c r="C14432" s="9" t="s">
        <v>17</v>
      </c>
      <c r="D14432" s="9" t="s">
        <v>18</v>
      </c>
      <c r="E14432" s="10" t="s">
        <v>403</v>
      </c>
      <c r="F14432" s="9" t="s">
        <v>404</v>
      </c>
      <c r="G14432" s="10" t="s">
        <v>86</v>
      </c>
      <c r="H14432" s="9" t="s">
        <v>22</v>
      </c>
      <c r="I14432" s="9" t="s">
        <v>29436</v>
      </c>
      <c r="J14432" s="10" t="str">
        <f>HYPERLINK("https://www.boe.es/gazeta/dias/1834/09/25/pdfs/GMD-C-1834-223.pdf#page=2","Abrir facsímil")</f>
        <v>Abrir facsímil</v>
      </c>
      <c r="K14432" s="10" t="s">
        <v>24</v>
      </c>
    </row>
    <row r="14433" spans="1:11" ht="54" customHeight="1">
      <c r="A14433" s="9" t="s">
        <v>29437</v>
      </c>
      <c r="B14433" s="9" t="s">
        <v>29437</v>
      </c>
      <c r="C14433" s="9" t="s">
        <v>17</v>
      </c>
      <c r="D14433" s="9" t="s">
        <v>18</v>
      </c>
      <c r="E14433" s="10" t="s">
        <v>163</v>
      </c>
      <c r="F14433" s="9" t="s">
        <v>4896</v>
      </c>
      <c r="G14433" s="10" t="s">
        <v>34</v>
      </c>
      <c r="H14433" s="9" t="s">
        <v>22</v>
      </c>
      <c r="I14433" s="9" t="s">
        <v>29438</v>
      </c>
      <c r="J14433" s="10" t="str">
        <f>HYPERLINK("https://www.boe.es/gazeta/dias/1834/08/09/pdfs/GMD-C-1834-174.pdf#page=1","Abrir facsímil")</f>
        <v>Abrir facsímil</v>
      </c>
      <c r="K14433" s="10" t="s">
        <v>24</v>
      </c>
    </row>
    <row r="14434" spans="1:11" ht="54" customHeight="1">
      <c r="A14434" s="9" t="s">
        <v>29439</v>
      </c>
      <c r="B14434" s="9" t="s">
        <v>29439</v>
      </c>
      <c r="C14434" s="9" t="s">
        <v>122</v>
      </c>
      <c r="D14434" s="9" t="s">
        <v>18</v>
      </c>
      <c r="E14434" s="10" t="s">
        <v>255</v>
      </c>
      <c r="F14434" s="9" t="s">
        <v>256</v>
      </c>
      <c r="G14434" s="10" t="s">
        <v>86</v>
      </c>
      <c r="H14434" s="9" t="s">
        <v>22</v>
      </c>
      <c r="I14434" s="9" t="s">
        <v>29440</v>
      </c>
      <c r="J14434" s="10" t="str">
        <f>HYPERLINK("https://www.boe.es/gazeta/dias/1834/09/01/pdfs/GMD-D-1834-199.pdf#page=2","Abrir facsímil")</f>
        <v>Abrir facsímil</v>
      </c>
      <c r="K14434" s="10" t="s">
        <v>24</v>
      </c>
    </row>
    <row r="14435" spans="1:11" ht="54" customHeight="1">
      <c r="A14435" s="9" t="s">
        <v>29439</v>
      </c>
      <c r="B14435" s="9" t="s">
        <v>29439</v>
      </c>
      <c r="C14435" s="9" t="s">
        <v>17</v>
      </c>
      <c r="D14435" s="9" t="s">
        <v>18</v>
      </c>
      <c r="E14435" s="10" t="s">
        <v>11991</v>
      </c>
      <c r="F14435" s="9" t="s">
        <v>11992</v>
      </c>
      <c r="G14435" s="10" t="s">
        <v>34</v>
      </c>
      <c r="H14435" s="9" t="s">
        <v>22</v>
      </c>
      <c r="I14435" s="9" t="s">
        <v>29441</v>
      </c>
      <c r="J14435" s="10" t="str">
        <f>HYPERLINK("https://www.boe.es/gazeta/dias/1834/12/05/pdfs/GMD-C-1834-294.pdf#page=1","Abrir facsímil")</f>
        <v>Abrir facsímil</v>
      </c>
      <c r="K14435" s="10" t="s">
        <v>24</v>
      </c>
    </row>
    <row r="14436" spans="1:11" ht="54" customHeight="1">
      <c r="A14436" s="9" t="s">
        <v>29439</v>
      </c>
      <c r="B14436" s="9" t="s">
        <v>29439</v>
      </c>
      <c r="C14436" s="9" t="s">
        <v>17</v>
      </c>
      <c r="D14436" s="9" t="s">
        <v>18</v>
      </c>
      <c r="E14436" s="10" t="s">
        <v>1103</v>
      </c>
      <c r="F14436" s="9" t="s">
        <v>1104</v>
      </c>
      <c r="G14436" s="10" t="s">
        <v>34</v>
      </c>
      <c r="H14436" s="9" t="s">
        <v>22</v>
      </c>
      <c r="I14436" s="9" t="s">
        <v>29442</v>
      </c>
      <c r="J14436" s="10" t="str">
        <f>HYPERLINK("https://www.boe.es/gazeta/dias/1834/10/10/pdfs/GMD-C-1834-238.pdf#page=1","Abrir facsímil")</f>
        <v>Abrir facsímil</v>
      </c>
      <c r="K14436" s="10" t="s">
        <v>24</v>
      </c>
    </row>
    <row r="14437" spans="1:11" ht="54" customHeight="1">
      <c r="A14437" s="9" t="s">
        <v>29439</v>
      </c>
      <c r="B14437" s="9" t="s">
        <v>29439</v>
      </c>
      <c r="C14437" s="9" t="s">
        <v>17</v>
      </c>
      <c r="D14437" s="9" t="s">
        <v>18</v>
      </c>
      <c r="E14437" s="10" t="s">
        <v>2260</v>
      </c>
      <c r="F14437" s="9" t="s">
        <v>2263</v>
      </c>
      <c r="G14437" s="10" t="s">
        <v>21</v>
      </c>
      <c r="H14437" s="9" t="s">
        <v>22</v>
      </c>
      <c r="I14437" s="9" t="s">
        <v>29443</v>
      </c>
      <c r="J14437" s="10" t="str">
        <f>HYPERLINK("https://www.boe.es/gazeta/dias/1834/11/13/pdfs/GMD-C-1834-272.pdf#page=3","Abrir facsímil")</f>
        <v>Abrir facsímil</v>
      </c>
      <c r="K14437" s="10" t="s">
        <v>24</v>
      </c>
    </row>
    <row r="14438" spans="1:11" ht="54" customHeight="1">
      <c r="A14438" s="9" t="s">
        <v>29439</v>
      </c>
      <c r="B14438" s="9" t="s">
        <v>29439</v>
      </c>
      <c r="C14438" s="9" t="s">
        <v>17</v>
      </c>
      <c r="D14438" s="9" t="s">
        <v>40</v>
      </c>
      <c r="E14438" s="10" t="s">
        <v>1981</v>
      </c>
      <c r="F14438" s="9" t="s">
        <v>2471</v>
      </c>
      <c r="G14438" s="10" t="s">
        <v>176</v>
      </c>
      <c r="H14438" s="9" t="s">
        <v>22</v>
      </c>
      <c r="I14438" s="9" t="s">
        <v>29444</v>
      </c>
      <c r="J14438" s="10" t="str">
        <f>HYPERLINK("https://www.boe.es/gazeta/dias/1834/12/13/pdfs/GMD-C-1834-302.pdf#page=6","Abrir facsímil")</f>
        <v>Abrir facsímil</v>
      </c>
      <c r="K14438" s="10" t="s">
        <v>24</v>
      </c>
    </row>
    <row r="14439" spans="1:11" ht="54" customHeight="1">
      <c r="A14439" s="9" t="s">
        <v>29439</v>
      </c>
      <c r="B14439" s="9" t="s">
        <v>29439</v>
      </c>
      <c r="C14439" s="9" t="s">
        <v>90</v>
      </c>
      <c r="D14439" s="9" t="s">
        <v>18</v>
      </c>
      <c r="E14439" s="10" t="s">
        <v>615</v>
      </c>
      <c r="F14439" s="9" t="s">
        <v>1205</v>
      </c>
      <c r="G14439" s="10" t="s">
        <v>86</v>
      </c>
      <c r="H14439" s="9" t="s">
        <v>22</v>
      </c>
      <c r="I14439" s="9" t="s">
        <v>29445</v>
      </c>
      <c r="J14439" s="10" t="str">
        <f>HYPERLINK("https://www.boe.es/gazeta/dias/1834/08/19/pdfs/GMD-D-1834-185.pdf#page=2","Abrir facsímil")</f>
        <v>Abrir facsímil</v>
      </c>
      <c r="K14439" s="10" t="s">
        <v>24</v>
      </c>
    </row>
    <row r="14440" spans="1:11" ht="54" customHeight="1">
      <c r="A14440" s="9" t="s">
        <v>29439</v>
      </c>
      <c r="B14440" s="9" t="s">
        <v>29439</v>
      </c>
      <c r="C14440" s="9" t="s">
        <v>17</v>
      </c>
      <c r="D14440" s="9" t="s">
        <v>18</v>
      </c>
      <c r="E14440" s="10" t="s">
        <v>394</v>
      </c>
      <c r="F14440" s="9" t="s">
        <v>459</v>
      </c>
      <c r="G14440" s="10" t="s">
        <v>34</v>
      </c>
      <c r="H14440" s="9" t="s">
        <v>22</v>
      </c>
      <c r="I14440" s="9" t="s">
        <v>29446</v>
      </c>
      <c r="J14440" s="10" t="str">
        <f>HYPERLINK("https://www.boe.es/gazeta/dias/1834/12/23/pdfs/GMD-C-1834-313.pdf#page=1","Abrir facsímil")</f>
        <v>Abrir facsímil</v>
      </c>
      <c r="K14440" s="10" t="s">
        <v>24</v>
      </c>
    </row>
    <row r="14441" spans="1:11" ht="54" customHeight="1">
      <c r="A14441" s="9" t="s">
        <v>29439</v>
      </c>
      <c r="B14441" s="9" t="s">
        <v>29439</v>
      </c>
      <c r="C14441" s="9" t="s">
        <v>17</v>
      </c>
      <c r="D14441" s="9" t="s">
        <v>40</v>
      </c>
      <c r="E14441" s="10" t="s">
        <v>1677</v>
      </c>
      <c r="F14441" s="9" t="s">
        <v>2515</v>
      </c>
      <c r="G14441" s="10" t="s">
        <v>34</v>
      </c>
      <c r="H14441" s="9" t="s">
        <v>22</v>
      </c>
      <c r="I14441" s="9" t="s">
        <v>29447</v>
      </c>
      <c r="J14441" s="10" t="str">
        <f>HYPERLINK("https://www.boe.es/gazeta/dias/1834/07/26/pdfs/GMD-C-1834-159.pdf#page=1","Abrir facsímil")</f>
        <v>Abrir facsímil</v>
      </c>
      <c r="K14441" s="10" t="s">
        <v>24</v>
      </c>
    </row>
    <row r="14442" spans="1:11" ht="54" customHeight="1">
      <c r="A14442" s="9" t="s">
        <v>29439</v>
      </c>
      <c r="B14442" s="9" t="s">
        <v>29439</v>
      </c>
      <c r="C14442" s="9" t="s">
        <v>17</v>
      </c>
      <c r="D14442" s="9" t="s">
        <v>18</v>
      </c>
      <c r="E14442" s="10" t="s">
        <v>294</v>
      </c>
      <c r="F14442" s="9" t="s">
        <v>959</v>
      </c>
      <c r="G14442" s="10" t="s">
        <v>75</v>
      </c>
      <c r="H14442" s="9" t="s">
        <v>22</v>
      </c>
      <c r="I14442" s="9" t="s">
        <v>29448</v>
      </c>
      <c r="J14442" s="10" t="str">
        <f>HYPERLINK("https://www.boe.es/gazeta/dias/1834/09/27/pdfs/GMD-C-1834-225.pdf#page=4","Abrir facsímil")</f>
        <v>Abrir facsímil</v>
      </c>
      <c r="K14442" s="10" t="s">
        <v>24</v>
      </c>
    </row>
    <row r="14443" spans="1:11" ht="54" customHeight="1">
      <c r="A14443" s="9" t="s">
        <v>29449</v>
      </c>
      <c r="B14443" s="9" t="s">
        <v>29449</v>
      </c>
      <c r="C14443" s="9" t="s">
        <v>17</v>
      </c>
      <c r="D14443" s="9" t="s">
        <v>18</v>
      </c>
      <c r="E14443" s="10" t="s">
        <v>73</v>
      </c>
      <c r="F14443" s="9" t="s">
        <v>1416</v>
      </c>
      <c r="G14443" s="10" t="s">
        <v>86</v>
      </c>
      <c r="H14443" s="9" t="s">
        <v>22</v>
      </c>
      <c r="I14443" s="9" t="s">
        <v>29450</v>
      </c>
      <c r="J14443" s="10" t="str">
        <f>HYPERLINK("https://www.boe.es/gazeta/dias/1834/11/04/pdfs/GMD-C-1834-263.pdf#page=2","Abrir facsímil")</f>
        <v>Abrir facsímil</v>
      </c>
      <c r="K14443" s="10" t="s">
        <v>24</v>
      </c>
    </row>
    <row r="14444" spans="1:11" ht="54" customHeight="1">
      <c r="A14444" s="9" t="s">
        <v>29451</v>
      </c>
      <c r="B14444" s="9" t="s">
        <v>29451</v>
      </c>
      <c r="C14444" s="9" t="s">
        <v>66</v>
      </c>
      <c r="D14444" s="9" t="s">
        <v>67</v>
      </c>
      <c r="E14444" s="10" t="s">
        <v>623</v>
      </c>
      <c r="F14444" s="9" t="s">
        <v>624</v>
      </c>
      <c r="G14444" s="10" t="s">
        <v>34</v>
      </c>
      <c r="H14444" s="9" t="s">
        <v>22</v>
      </c>
      <c r="I14444" s="9" t="s">
        <v>29452</v>
      </c>
      <c r="J14444" s="10" t="str">
        <f>HYPERLINK("https://www.boe.es/gazeta/dias/1834/10/12/pdfs/GMD-C-1834-240.pdf#page=1","Abrir facsímil")</f>
        <v>Abrir facsímil</v>
      </c>
      <c r="K14444" s="10" t="s">
        <v>24</v>
      </c>
    </row>
    <row r="14445" spans="1:11" ht="54" customHeight="1">
      <c r="A14445" s="9" t="s">
        <v>29453</v>
      </c>
      <c r="B14445" s="9" t="s">
        <v>29453</v>
      </c>
      <c r="C14445" s="9" t="s">
        <v>17</v>
      </c>
      <c r="D14445" s="9" t="s">
        <v>18</v>
      </c>
      <c r="E14445" s="10" t="s">
        <v>3066</v>
      </c>
      <c r="F14445" s="9" t="s">
        <v>3067</v>
      </c>
      <c r="G14445" s="10" t="s">
        <v>28</v>
      </c>
      <c r="H14445" s="9" t="s">
        <v>22</v>
      </c>
      <c r="I14445" s="9" t="s">
        <v>29454</v>
      </c>
      <c r="J14445" s="10" t="str">
        <f>HYPERLINK("https://www.boe.es/gazeta/dias/1834/08/03/pdfs/GMD-C-1834-167.pdf#page=5","Abrir facsímil")</f>
        <v>Abrir facsímil</v>
      </c>
      <c r="K14445" s="10" t="s">
        <v>24</v>
      </c>
    </row>
    <row r="14446" spans="1:11" ht="54" customHeight="1">
      <c r="A14446" s="9" t="s">
        <v>29455</v>
      </c>
      <c r="B14446" s="9" t="s">
        <v>29455</v>
      </c>
      <c r="C14446" s="9" t="s">
        <v>46</v>
      </c>
      <c r="D14446" s="9" t="s">
        <v>101</v>
      </c>
      <c r="E14446" s="10" t="s">
        <v>1262</v>
      </c>
      <c r="F14446" s="9" t="s">
        <v>1263</v>
      </c>
      <c r="G14446" s="10" t="s">
        <v>34</v>
      </c>
      <c r="H14446" s="9" t="s">
        <v>22</v>
      </c>
      <c r="I14446" s="9" t="s">
        <v>29456</v>
      </c>
      <c r="J14446" s="10" t="str">
        <f>HYPERLINK("https://www.boe.es/gazeta/dias/1834/02/01/pdfs/GMD-1834-15.pdf#page=1","Abrir facsímil")</f>
        <v>Abrir facsímil</v>
      </c>
      <c r="K14446" s="10" t="s">
        <v>24</v>
      </c>
    </row>
    <row r="14447" spans="1:11" ht="54" customHeight="1">
      <c r="A14447" s="9" t="s">
        <v>29455</v>
      </c>
      <c r="B14447" s="9" t="s">
        <v>29455</v>
      </c>
      <c r="C14447" s="9" t="s">
        <v>17</v>
      </c>
      <c r="D14447" s="9" t="s">
        <v>40</v>
      </c>
      <c r="E14447" s="10" t="s">
        <v>1297</v>
      </c>
      <c r="F14447" s="9" t="s">
        <v>1879</v>
      </c>
      <c r="G14447" s="10" t="s">
        <v>34</v>
      </c>
      <c r="H14447" s="9" t="s">
        <v>22</v>
      </c>
      <c r="I14447" s="9" t="s">
        <v>29457</v>
      </c>
      <c r="J14447" s="10" t="str">
        <f>HYPERLINK("https://www.boe.es/gazeta/dias/1834/08/01/pdfs/GMD-C-1834-165.pdf#page=1","Abrir facsímil")</f>
        <v>Abrir facsímil</v>
      </c>
      <c r="K14447" s="10" t="s">
        <v>24</v>
      </c>
    </row>
    <row r="14448" spans="1:11" ht="54" customHeight="1">
      <c r="A14448" s="9" t="s">
        <v>29455</v>
      </c>
      <c r="B14448" s="9" t="s">
        <v>29455</v>
      </c>
      <c r="C14448" s="9" t="s">
        <v>17</v>
      </c>
      <c r="D14448" s="9" t="s">
        <v>40</v>
      </c>
      <c r="E14448" s="10" t="s">
        <v>1297</v>
      </c>
      <c r="F14448" s="9" t="s">
        <v>1879</v>
      </c>
      <c r="G14448" s="10" t="s">
        <v>86</v>
      </c>
      <c r="H14448" s="9" t="s">
        <v>22</v>
      </c>
      <c r="I14448" s="9" t="s">
        <v>29458</v>
      </c>
      <c r="J14448" s="10" t="str">
        <f>HYPERLINK("https://www.boe.es/gazeta/dias/1834/08/01/pdfs/GMD-C-1834-165.pdf#page=2","Abrir facsímil")</f>
        <v>Abrir facsímil</v>
      </c>
      <c r="K14448" s="10" t="s">
        <v>24</v>
      </c>
    </row>
    <row r="14449" spans="1:11" ht="54" customHeight="1">
      <c r="A14449" s="9" t="s">
        <v>29455</v>
      </c>
      <c r="B14449" s="9" t="s">
        <v>29455</v>
      </c>
      <c r="C14449" s="9" t="s">
        <v>17</v>
      </c>
      <c r="D14449" s="9" t="s">
        <v>18</v>
      </c>
      <c r="E14449" s="10" t="s">
        <v>255</v>
      </c>
      <c r="F14449" s="9" t="s">
        <v>256</v>
      </c>
      <c r="G14449" s="10" t="s">
        <v>34</v>
      </c>
      <c r="H14449" s="9" t="s">
        <v>22</v>
      </c>
      <c r="I14449" s="9" t="s">
        <v>29459</v>
      </c>
      <c r="J14449" s="10" t="str">
        <f>HYPERLINK("https://www.boe.es/gazeta/dias/1834/09/01/pdfs/GMD-C-1834-199.pdf#page=1","Abrir facsímil")</f>
        <v>Abrir facsímil</v>
      </c>
      <c r="K14449" s="10" t="s">
        <v>24</v>
      </c>
    </row>
    <row r="14450" spans="1:11" ht="54" customHeight="1">
      <c r="A14450" s="9" t="s">
        <v>29455</v>
      </c>
      <c r="B14450" s="9" t="s">
        <v>29455</v>
      </c>
      <c r="C14450" s="9" t="s">
        <v>17</v>
      </c>
      <c r="D14450" s="9" t="s">
        <v>18</v>
      </c>
      <c r="E14450" s="10" t="s">
        <v>255</v>
      </c>
      <c r="F14450" s="9" t="s">
        <v>256</v>
      </c>
      <c r="G14450" s="10" t="s">
        <v>34</v>
      </c>
      <c r="H14450" s="9" t="s">
        <v>22</v>
      </c>
      <c r="I14450" s="9" t="s">
        <v>29460</v>
      </c>
      <c r="J14450" s="10" t="str">
        <f>HYPERLINK("https://www.boe.es/gazeta/dias/1834/09/01/pdfs/GMD-D-1834-199.pdf#page=1","Abrir facsímil")</f>
        <v>Abrir facsímil</v>
      </c>
      <c r="K14450" s="10" t="s">
        <v>24</v>
      </c>
    </row>
    <row r="14451" spans="1:11" ht="54" customHeight="1">
      <c r="A14451" s="9" t="s">
        <v>29455</v>
      </c>
      <c r="B14451" s="9" t="s">
        <v>29455</v>
      </c>
      <c r="C14451" s="9" t="s">
        <v>17</v>
      </c>
      <c r="D14451" s="9" t="s">
        <v>55</v>
      </c>
      <c r="E14451" s="10" t="s">
        <v>255</v>
      </c>
      <c r="F14451" s="9" t="s">
        <v>256</v>
      </c>
      <c r="G14451" s="10" t="s">
        <v>21</v>
      </c>
      <c r="H14451" s="9" t="s">
        <v>22</v>
      </c>
      <c r="I14451" s="9" t="s">
        <v>29461</v>
      </c>
      <c r="J14451" s="10" t="str">
        <f>HYPERLINK("https://www.boe.es/gazeta/dias/1834/09/01/pdfs/GMD-D-1834-199.pdf#page=3","Abrir facsímil")</f>
        <v>Abrir facsímil</v>
      </c>
      <c r="K14451" s="10" t="s">
        <v>24</v>
      </c>
    </row>
    <row r="14452" spans="1:11" ht="54" customHeight="1">
      <c r="A14452" s="9" t="s">
        <v>29455</v>
      </c>
      <c r="B14452" s="9" t="s">
        <v>29455</v>
      </c>
      <c r="C14452" s="9" t="s">
        <v>17</v>
      </c>
      <c r="D14452" s="9" t="s">
        <v>18</v>
      </c>
      <c r="E14452" s="10" t="s">
        <v>158</v>
      </c>
      <c r="F14452" s="9" t="s">
        <v>581</v>
      </c>
      <c r="G14452" s="10" t="s">
        <v>34</v>
      </c>
      <c r="H14452" s="9" t="s">
        <v>22</v>
      </c>
      <c r="I14452" s="9" t="s">
        <v>29462</v>
      </c>
      <c r="J14452" s="10" t="str">
        <f>HYPERLINK("https://www.boe.es/gazeta/dias/1834/10/01/pdfs/GMD-C-1834-229.pdf#page=1","Abrir facsímil")</f>
        <v>Abrir facsímil</v>
      </c>
      <c r="K14452" s="10" t="s">
        <v>24</v>
      </c>
    </row>
    <row r="14453" spans="1:11" ht="54" customHeight="1">
      <c r="A14453" s="9" t="s">
        <v>29455</v>
      </c>
      <c r="B14453" s="9" t="s">
        <v>29455</v>
      </c>
      <c r="C14453" s="9" t="s">
        <v>17</v>
      </c>
      <c r="D14453" s="9" t="s">
        <v>18</v>
      </c>
      <c r="E14453" s="10" t="s">
        <v>158</v>
      </c>
      <c r="F14453" s="9" t="s">
        <v>581</v>
      </c>
      <c r="G14453" s="10" t="s">
        <v>86</v>
      </c>
      <c r="H14453" s="9" t="s">
        <v>22</v>
      </c>
      <c r="I14453" s="9" t="s">
        <v>29463</v>
      </c>
      <c r="J14453" s="10" t="str">
        <f>HYPERLINK("https://www.boe.es/gazeta/dias/1834/10/01/pdfs/GMD-C-1834-229.pdf#page=2","Abrir facsímil")</f>
        <v>Abrir facsímil</v>
      </c>
      <c r="K14453" s="10" t="s">
        <v>24</v>
      </c>
    </row>
    <row r="14454" spans="1:11" ht="54" customHeight="1">
      <c r="A14454" s="9" t="s">
        <v>29455</v>
      </c>
      <c r="B14454" s="9" t="s">
        <v>29455</v>
      </c>
      <c r="C14454" s="9" t="s">
        <v>17</v>
      </c>
      <c r="D14454" s="9" t="s">
        <v>40</v>
      </c>
      <c r="E14454" s="10" t="s">
        <v>158</v>
      </c>
      <c r="F14454" s="9" t="s">
        <v>581</v>
      </c>
      <c r="G14454" s="10" t="s">
        <v>176</v>
      </c>
      <c r="H14454" s="9" t="s">
        <v>22</v>
      </c>
      <c r="I14454" s="9" t="s">
        <v>29464</v>
      </c>
      <c r="J14454" s="10" t="str">
        <f>HYPERLINK("https://www.boe.es/gazeta/dias/1834/10/01/pdfs/GMD-C-1834-229.pdf#page=6","Abrir facsímil")</f>
        <v>Abrir facsímil</v>
      </c>
      <c r="K14454" s="10" t="s">
        <v>24</v>
      </c>
    </row>
    <row r="14455" spans="1:11" ht="54" customHeight="1">
      <c r="A14455" s="9" t="s">
        <v>29455</v>
      </c>
      <c r="B14455" s="9" t="s">
        <v>29455</v>
      </c>
      <c r="C14455" s="9" t="s">
        <v>17</v>
      </c>
      <c r="D14455" s="9" t="s">
        <v>101</v>
      </c>
      <c r="E14455" s="10" t="s">
        <v>976</v>
      </c>
      <c r="F14455" s="9" t="s">
        <v>1061</v>
      </c>
      <c r="G14455" s="10" t="s">
        <v>34</v>
      </c>
      <c r="H14455" s="9" t="s">
        <v>22</v>
      </c>
      <c r="I14455" s="9" t="s">
        <v>29465</v>
      </c>
      <c r="J14455" s="10" t="str">
        <f>HYPERLINK("https://www.boe.es/gazeta/dias/1834/04/02/pdfs/GMD-C-1834-41.pdf#page=1","Abrir facsímil")</f>
        <v>Abrir facsímil</v>
      </c>
      <c r="K14455" s="10" t="s">
        <v>24</v>
      </c>
    </row>
    <row r="14456" spans="1:11" ht="54" customHeight="1">
      <c r="A14456" s="9" t="s">
        <v>29455</v>
      </c>
      <c r="B14456" s="9" t="s">
        <v>29455</v>
      </c>
      <c r="C14456" s="9" t="s">
        <v>17</v>
      </c>
      <c r="D14456" s="9" t="s">
        <v>18</v>
      </c>
      <c r="E14456" s="10" t="s">
        <v>905</v>
      </c>
      <c r="F14456" s="9" t="s">
        <v>906</v>
      </c>
      <c r="G14456" s="10" t="s">
        <v>21</v>
      </c>
      <c r="H14456" s="9" t="s">
        <v>22</v>
      </c>
      <c r="I14456" s="9" t="s">
        <v>29466</v>
      </c>
      <c r="J14456" s="10" t="str">
        <f>HYPERLINK("https://www.boe.es/gazeta/dias/1834/08/02/pdfs/GMD-C-1834-166.pdf#page=3","Abrir facsímil")</f>
        <v>Abrir facsímil</v>
      </c>
      <c r="K14456" s="10" t="s">
        <v>24</v>
      </c>
    </row>
    <row r="14457" spans="1:11" ht="54" customHeight="1">
      <c r="A14457" s="9" t="s">
        <v>29455</v>
      </c>
      <c r="B14457" s="9" t="s">
        <v>29455</v>
      </c>
      <c r="C14457" s="9" t="s">
        <v>17</v>
      </c>
      <c r="D14457" s="9" t="s">
        <v>18</v>
      </c>
      <c r="E14457" s="10" t="s">
        <v>4105</v>
      </c>
      <c r="F14457" s="9" t="s">
        <v>4106</v>
      </c>
      <c r="G14457" s="10" t="s">
        <v>34</v>
      </c>
      <c r="H14457" s="9" t="s">
        <v>22</v>
      </c>
      <c r="I14457" s="9" t="s">
        <v>29467</v>
      </c>
      <c r="J14457" s="10" t="str">
        <f>HYPERLINK("https://www.boe.es/gazeta/dias/1834/09/02/pdfs/GMD-C-1834-200.pdf#page=1","Abrir facsímil")</f>
        <v>Abrir facsímil</v>
      </c>
      <c r="K14457" s="10" t="s">
        <v>24</v>
      </c>
    </row>
    <row r="14458" spans="1:11" ht="54" customHeight="1">
      <c r="A14458" s="9" t="s">
        <v>29455</v>
      </c>
      <c r="B14458" s="9" t="s">
        <v>29455</v>
      </c>
      <c r="C14458" s="9" t="s">
        <v>17</v>
      </c>
      <c r="D14458" s="9" t="s">
        <v>18</v>
      </c>
      <c r="E14458" s="10" t="s">
        <v>4105</v>
      </c>
      <c r="F14458" s="9" t="s">
        <v>4106</v>
      </c>
      <c r="G14458" s="10" t="s">
        <v>21</v>
      </c>
      <c r="H14458" s="9" t="s">
        <v>22</v>
      </c>
      <c r="I14458" s="9" t="s">
        <v>29468</v>
      </c>
      <c r="J14458" s="10" t="str">
        <f>HYPERLINK("https://www.boe.es/gazeta/dias/1834/09/02/pdfs/GMD-C-1834-200.pdf#page=3","Abrir facsímil")</f>
        <v>Abrir facsímil</v>
      </c>
      <c r="K14458" s="10" t="s">
        <v>24</v>
      </c>
    </row>
    <row r="14459" spans="1:11" ht="54" customHeight="1">
      <c r="A14459" s="9" t="s">
        <v>29455</v>
      </c>
      <c r="B14459" s="9" t="s">
        <v>29455</v>
      </c>
      <c r="C14459" s="9" t="s">
        <v>17</v>
      </c>
      <c r="D14459" s="9" t="s">
        <v>18</v>
      </c>
      <c r="E14459" s="10" t="s">
        <v>416</v>
      </c>
      <c r="F14459" s="9" t="s">
        <v>417</v>
      </c>
      <c r="G14459" s="10" t="s">
        <v>34</v>
      </c>
      <c r="H14459" s="9" t="s">
        <v>22</v>
      </c>
      <c r="I14459" s="9" t="s">
        <v>29469</v>
      </c>
      <c r="J14459" s="10" t="str">
        <f>HYPERLINK("https://www.boe.es/gazeta/dias/1834/10/02/pdfs/GMD-C-1834-230.pdf#page=1","Abrir facsímil")</f>
        <v>Abrir facsímil</v>
      </c>
      <c r="K14459" s="10" t="s">
        <v>24</v>
      </c>
    </row>
    <row r="14460" spans="1:11" ht="54" customHeight="1">
      <c r="A14460" s="9" t="s">
        <v>29455</v>
      </c>
      <c r="B14460" s="9" t="s">
        <v>29455</v>
      </c>
      <c r="C14460" s="9" t="s">
        <v>66</v>
      </c>
      <c r="D14460" s="9" t="s">
        <v>67</v>
      </c>
      <c r="E14460" s="10" t="s">
        <v>416</v>
      </c>
      <c r="F14460" s="9" t="s">
        <v>417</v>
      </c>
      <c r="G14460" s="10" t="s">
        <v>176</v>
      </c>
      <c r="H14460" s="9" t="s">
        <v>22</v>
      </c>
      <c r="I14460" s="9" t="s">
        <v>29470</v>
      </c>
      <c r="J14460" s="10" t="str">
        <f>HYPERLINK("https://www.boe.es/gazeta/dias/1834/10/02/pdfs/GMD-C-1834-230.pdf#page=6","Abrir facsímil")</f>
        <v>Abrir facsímil</v>
      </c>
      <c r="K14460" s="10" t="s">
        <v>24</v>
      </c>
    </row>
    <row r="14461" spans="1:11" ht="54" customHeight="1">
      <c r="A14461" s="9" t="s">
        <v>29455</v>
      </c>
      <c r="B14461" s="9" t="s">
        <v>29455</v>
      </c>
      <c r="C14461" s="9" t="s">
        <v>17</v>
      </c>
      <c r="D14461" s="9" t="s">
        <v>18</v>
      </c>
      <c r="E14461" s="10" t="s">
        <v>3066</v>
      </c>
      <c r="F14461" s="9" t="s">
        <v>3067</v>
      </c>
      <c r="G14461" s="10" t="s">
        <v>34</v>
      </c>
      <c r="H14461" s="9" t="s">
        <v>22</v>
      </c>
      <c r="I14461" s="9" t="s">
        <v>29471</v>
      </c>
      <c r="J14461" s="10" t="str">
        <f>HYPERLINK("https://www.boe.es/gazeta/dias/1834/08/03/pdfs/GMD-C-1834-167.pdf#page=1","Abrir facsímil")</f>
        <v>Abrir facsímil</v>
      </c>
      <c r="K14461" s="10" t="s">
        <v>24</v>
      </c>
    </row>
    <row r="14462" spans="1:11" ht="54" customHeight="1">
      <c r="A14462" s="9" t="s">
        <v>29455</v>
      </c>
      <c r="B14462" s="9" t="s">
        <v>29455</v>
      </c>
      <c r="C14462" s="9" t="s">
        <v>17</v>
      </c>
      <c r="D14462" s="9" t="s">
        <v>18</v>
      </c>
      <c r="E14462" s="10" t="s">
        <v>690</v>
      </c>
      <c r="F14462" s="9" t="s">
        <v>691</v>
      </c>
      <c r="G14462" s="10" t="s">
        <v>34</v>
      </c>
      <c r="H14462" s="9" t="s">
        <v>22</v>
      </c>
      <c r="I14462" s="9" t="s">
        <v>29472</v>
      </c>
      <c r="J14462" s="10" t="str">
        <f>HYPERLINK("https://www.boe.es/gazeta/dias/1834/09/03/pdfs/GMD-C-1834-201.pdf#page=1","Abrir facsímil")</f>
        <v>Abrir facsímil</v>
      </c>
      <c r="K14462" s="10" t="s">
        <v>24</v>
      </c>
    </row>
    <row r="14463" spans="1:11" ht="54" customHeight="1">
      <c r="A14463" s="9" t="s">
        <v>29455</v>
      </c>
      <c r="B14463" s="9" t="s">
        <v>29455</v>
      </c>
      <c r="C14463" s="9" t="s">
        <v>17</v>
      </c>
      <c r="D14463" s="9" t="s">
        <v>18</v>
      </c>
      <c r="E14463" s="10" t="s">
        <v>690</v>
      </c>
      <c r="F14463" s="9" t="s">
        <v>691</v>
      </c>
      <c r="G14463" s="10" t="s">
        <v>75</v>
      </c>
      <c r="H14463" s="9" t="s">
        <v>22</v>
      </c>
      <c r="I14463" s="9" t="s">
        <v>29473</v>
      </c>
      <c r="J14463" s="10" t="str">
        <f>HYPERLINK("https://www.boe.es/gazeta/dias/1834/09/03/pdfs/GMD-C-1834-201.pdf#page=4","Abrir facsímil")</f>
        <v>Abrir facsímil</v>
      </c>
      <c r="K14463" s="10" t="s">
        <v>24</v>
      </c>
    </row>
    <row r="14464" spans="1:11" ht="54" customHeight="1">
      <c r="A14464" s="9" t="s">
        <v>29455</v>
      </c>
      <c r="B14464" s="9" t="s">
        <v>29455</v>
      </c>
      <c r="C14464" s="9" t="s">
        <v>17</v>
      </c>
      <c r="D14464" s="9" t="s">
        <v>18</v>
      </c>
      <c r="E14464" s="10" t="s">
        <v>690</v>
      </c>
      <c r="F14464" s="9" t="s">
        <v>691</v>
      </c>
      <c r="G14464" s="10" t="s">
        <v>560</v>
      </c>
      <c r="H14464" s="9" t="s">
        <v>22</v>
      </c>
      <c r="I14464" s="9" t="s">
        <v>29474</v>
      </c>
      <c r="J14464" s="10" t="str">
        <f>HYPERLINK("https://www.boe.es/gazeta/dias/1834/09/03/pdfs/GMD-C-1834-201.pdf#page=7","Abrir facsímil")</f>
        <v>Abrir facsímil</v>
      </c>
      <c r="K14464" s="10" t="s">
        <v>24</v>
      </c>
    </row>
    <row r="14465" spans="1:11" ht="54" customHeight="1">
      <c r="A14465" s="9" t="s">
        <v>29455</v>
      </c>
      <c r="B14465" s="9" t="s">
        <v>29455</v>
      </c>
      <c r="C14465" s="9" t="s">
        <v>17</v>
      </c>
      <c r="D14465" s="9" t="s">
        <v>18</v>
      </c>
      <c r="E14465" s="10" t="s">
        <v>2212</v>
      </c>
      <c r="F14465" s="9" t="s">
        <v>2213</v>
      </c>
      <c r="G14465" s="10" t="s">
        <v>34</v>
      </c>
      <c r="H14465" s="9" t="s">
        <v>22</v>
      </c>
      <c r="I14465" s="9" t="s">
        <v>29475</v>
      </c>
      <c r="J14465" s="10" t="str">
        <f>HYPERLINK("https://www.boe.es/gazeta/dias/1834/08/04/pdfs/GMD-C-1834-168.pdf#page=1","Abrir facsímil")</f>
        <v>Abrir facsímil</v>
      </c>
      <c r="K14465" s="10" t="s">
        <v>24</v>
      </c>
    </row>
    <row r="14466" spans="1:11" ht="54" customHeight="1">
      <c r="A14466" s="9" t="s">
        <v>29455</v>
      </c>
      <c r="B14466" s="9" t="s">
        <v>29455</v>
      </c>
      <c r="C14466" s="9" t="s">
        <v>17</v>
      </c>
      <c r="D14466" s="9" t="s">
        <v>18</v>
      </c>
      <c r="E14466" s="10" t="s">
        <v>2212</v>
      </c>
      <c r="F14466" s="9" t="s">
        <v>2213</v>
      </c>
      <c r="G14466" s="10" t="s">
        <v>176</v>
      </c>
      <c r="H14466" s="9" t="s">
        <v>22</v>
      </c>
      <c r="I14466" s="9" t="s">
        <v>29476</v>
      </c>
      <c r="J14466" s="10" t="str">
        <f>HYPERLINK("https://www.boe.es/gazeta/dias/1834/08/04/pdfs/GMD-C-1834-168.pdf#page=6","Abrir facsímil")</f>
        <v>Abrir facsímil</v>
      </c>
      <c r="K14466" s="10" t="s">
        <v>24</v>
      </c>
    </row>
    <row r="14467" spans="1:11" ht="54" customHeight="1">
      <c r="A14467" s="9" t="s">
        <v>29455</v>
      </c>
      <c r="B14467" s="9" t="s">
        <v>29455</v>
      </c>
      <c r="C14467" s="9" t="s">
        <v>17</v>
      </c>
      <c r="D14467" s="9" t="s">
        <v>18</v>
      </c>
      <c r="E14467" s="10" t="s">
        <v>571</v>
      </c>
      <c r="F14467" s="9" t="s">
        <v>620</v>
      </c>
      <c r="G14467" s="10" t="s">
        <v>34</v>
      </c>
      <c r="H14467" s="9" t="s">
        <v>22</v>
      </c>
      <c r="I14467" s="9" t="s">
        <v>29477</v>
      </c>
      <c r="J14467" s="10" t="str">
        <f>HYPERLINK("https://www.boe.es/gazeta/dias/1834/09/04/pdfs/GMD-C-1834-202.pdf#page=1","Abrir facsímil")</f>
        <v>Abrir facsímil</v>
      </c>
      <c r="K14467" s="10" t="s">
        <v>24</v>
      </c>
    </row>
    <row r="14468" spans="1:11" ht="54" customHeight="1">
      <c r="A14468" s="9" t="s">
        <v>29455</v>
      </c>
      <c r="B14468" s="9" t="s">
        <v>29455</v>
      </c>
      <c r="C14468" s="9" t="s">
        <v>17</v>
      </c>
      <c r="D14468" s="9" t="s">
        <v>40</v>
      </c>
      <c r="E14468" s="10" t="s">
        <v>571</v>
      </c>
      <c r="F14468" s="9" t="s">
        <v>620</v>
      </c>
      <c r="G14468" s="10" t="s">
        <v>470</v>
      </c>
      <c r="H14468" s="9" t="s">
        <v>22</v>
      </c>
      <c r="I14468" s="9" t="s">
        <v>29478</v>
      </c>
      <c r="J14468" s="10" t="str">
        <f>HYPERLINK("https://www.boe.es/gazeta/dias/1834/09/04/pdfs/GMD-C-1834-202.pdf#page=8","Abrir facsímil")</f>
        <v>Abrir facsímil</v>
      </c>
      <c r="K14468" s="10" t="s">
        <v>24</v>
      </c>
    </row>
    <row r="14469" spans="1:11" ht="54" customHeight="1">
      <c r="A14469" s="9" t="s">
        <v>29455</v>
      </c>
      <c r="B14469" s="9" t="s">
        <v>29455</v>
      </c>
      <c r="C14469" s="9" t="s">
        <v>46</v>
      </c>
      <c r="D14469" s="9" t="s">
        <v>101</v>
      </c>
      <c r="E14469" s="10" t="s">
        <v>426</v>
      </c>
      <c r="F14469" s="9" t="s">
        <v>427</v>
      </c>
      <c r="G14469" s="10" t="s">
        <v>21</v>
      </c>
      <c r="H14469" s="9" t="s">
        <v>22</v>
      </c>
      <c r="I14469" s="9" t="s">
        <v>29479</v>
      </c>
      <c r="J14469" s="10" t="str">
        <f>HYPERLINK("https://www.boe.es/gazeta/dias/1834/10/04/pdfs/GMD-1834-232.pdf#page=3","Abrir facsímil")</f>
        <v>Abrir facsímil</v>
      </c>
      <c r="K14469" s="10" t="s">
        <v>24</v>
      </c>
    </row>
    <row r="14470" spans="1:11" ht="54" customHeight="1">
      <c r="A14470" s="9" t="s">
        <v>29455</v>
      </c>
      <c r="B14470" s="9" t="s">
        <v>29455</v>
      </c>
      <c r="C14470" s="9" t="s">
        <v>17</v>
      </c>
      <c r="D14470" s="9" t="s">
        <v>18</v>
      </c>
      <c r="E14470" s="10" t="s">
        <v>426</v>
      </c>
      <c r="F14470" s="9" t="s">
        <v>694</v>
      </c>
      <c r="G14470" s="10" t="s">
        <v>34</v>
      </c>
      <c r="H14470" s="9" t="s">
        <v>22</v>
      </c>
      <c r="I14470" s="9" t="s">
        <v>29480</v>
      </c>
      <c r="J14470" s="10" t="str">
        <f>HYPERLINK("https://www.boe.es/gazeta/dias/1834/10/04/pdfs/GMD-C-1834-232.pdf#page=1","Abrir facsímil")</f>
        <v>Abrir facsímil</v>
      </c>
      <c r="K14470" s="10" t="s">
        <v>24</v>
      </c>
    </row>
    <row r="14471" spans="1:11" ht="54" customHeight="1">
      <c r="A14471" s="9" t="s">
        <v>29455</v>
      </c>
      <c r="B14471" s="9" t="s">
        <v>29455</v>
      </c>
      <c r="C14471" s="9" t="s">
        <v>17</v>
      </c>
      <c r="D14471" s="9" t="s">
        <v>18</v>
      </c>
      <c r="E14471" s="10" t="s">
        <v>73</v>
      </c>
      <c r="F14471" s="9" t="s">
        <v>1416</v>
      </c>
      <c r="G14471" s="10" t="s">
        <v>34</v>
      </c>
      <c r="H14471" s="9" t="s">
        <v>22</v>
      </c>
      <c r="I14471" s="9" t="s">
        <v>29481</v>
      </c>
      <c r="J14471" s="10" t="str">
        <f>HYPERLINK("https://www.boe.es/gazeta/dias/1834/11/04/pdfs/GMD-C-1834-263.pdf#page=1","Abrir facsímil")</f>
        <v>Abrir facsímil</v>
      </c>
      <c r="K14471" s="10" t="s">
        <v>24</v>
      </c>
    </row>
    <row r="14472" spans="1:11" ht="54" customHeight="1">
      <c r="A14472" s="9" t="s">
        <v>29455</v>
      </c>
      <c r="B14472" s="9" t="s">
        <v>29455</v>
      </c>
      <c r="C14472" s="9" t="s">
        <v>17</v>
      </c>
      <c r="D14472" s="9" t="s">
        <v>18</v>
      </c>
      <c r="E14472" s="10" t="s">
        <v>73</v>
      </c>
      <c r="F14472" s="9" t="s">
        <v>1416</v>
      </c>
      <c r="G14472" s="10" t="s">
        <v>86</v>
      </c>
      <c r="H14472" s="9" t="s">
        <v>22</v>
      </c>
      <c r="I14472" s="9" t="s">
        <v>29482</v>
      </c>
      <c r="J14472" s="10" t="str">
        <f>HYPERLINK("https://www.boe.es/gazeta/dias/1834/11/04/pdfs/GMD-C-1834-263.pdf#page=2","Abrir facsímil")</f>
        <v>Abrir facsímil</v>
      </c>
      <c r="K14472" s="10" t="s">
        <v>24</v>
      </c>
    </row>
    <row r="14473" spans="1:11" ht="54" customHeight="1">
      <c r="A14473" s="9" t="s">
        <v>29455</v>
      </c>
      <c r="B14473" s="9" t="s">
        <v>29455</v>
      </c>
      <c r="C14473" s="9" t="s">
        <v>17</v>
      </c>
      <c r="D14473" s="9" t="s">
        <v>18</v>
      </c>
      <c r="E14473" s="10" t="s">
        <v>73</v>
      </c>
      <c r="F14473" s="9" t="s">
        <v>1416</v>
      </c>
      <c r="G14473" s="10" t="s">
        <v>21</v>
      </c>
      <c r="H14473" s="9" t="s">
        <v>22</v>
      </c>
      <c r="I14473" s="9" t="s">
        <v>29483</v>
      </c>
      <c r="J14473" s="10" t="str">
        <f>HYPERLINK("https://www.boe.es/gazeta/dias/1834/11/04/pdfs/GMD-C-1834-263.pdf#page=3","Abrir facsímil")</f>
        <v>Abrir facsímil</v>
      </c>
      <c r="K14473" s="10" t="s">
        <v>24</v>
      </c>
    </row>
    <row r="14474" spans="1:11" ht="54" customHeight="1">
      <c r="A14474" s="9" t="s">
        <v>29455</v>
      </c>
      <c r="B14474" s="9" t="s">
        <v>29455</v>
      </c>
      <c r="C14474" s="9" t="s">
        <v>17</v>
      </c>
      <c r="D14474" s="9" t="s">
        <v>40</v>
      </c>
      <c r="E14474" s="10" t="s">
        <v>243</v>
      </c>
      <c r="F14474" s="9" t="s">
        <v>244</v>
      </c>
      <c r="G14474" s="10" t="s">
        <v>34</v>
      </c>
      <c r="H14474" s="9" t="s">
        <v>22</v>
      </c>
      <c r="I14474" s="9" t="s">
        <v>29484</v>
      </c>
      <c r="J14474" s="10" t="str">
        <f>HYPERLINK("https://www.boe.es/gazeta/dias/1834/08/05/pdfs/GMD-C-1834-169.pdf#page=1","Abrir facsímil")</f>
        <v>Abrir facsímil</v>
      </c>
      <c r="K14474" s="10" t="s">
        <v>24</v>
      </c>
    </row>
    <row r="14475" spans="1:11" ht="54" customHeight="1">
      <c r="A14475" s="9" t="s">
        <v>29455</v>
      </c>
      <c r="B14475" s="9" t="s">
        <v>29455</v>
      </c>
      <c r="C14475" s="9" t="s">
        <v>17</v>
      </c>
      <c r="D14475" s="9" t="s">
        <v>18</v>
      </c>
      <c r="E14475" s="10" t="s">
        <v>243</v>
      </c>
      <c r="F14475" s="9" t="s">
        <v>244</v>
      </c>
      <c r="G14475" s="10" t="s">
        <v>21</v>
      </c>
      <c r="H14475" s="9" t="s">
        <v>22</v>
      </c>
      <c r="I14475" s="9" t="s">
        <v>29485</v>
      </c>
      <c r="J14475" s="10" t="str">
        <f>HYPERLINK("https://www.boe.es/gazeta/dias/1834/08/05/pdfs/GMD-C-1834-169.pdf#page=3","Abrir facsímil")</f>
        <v>Abrir facsímil</v>
      </c>
      <c r="K14475" s="10" t="s">
        <v>24</v>
      </c>
    </row>
    <row r="14476" spans="1:11" ht="54" customHeight="1">
      <c r="A14476" s="9" t="s">
        <v>29455</v>
      </c>
      <c r="B14476" s="9" t="s">
        <v>29455</v>
      </c>
      <c r="C14476" s="9" t="s">
        <v>46</v>
      </c>
      <c r="D14476" s="9" t="s">
        <v>101</v>
      </c>
      <c r="E14476" s="10" t="s">
        <v>47</v>
      </c>
      <c r="F14476" s="9" t="s">
        <v>48</v>
      </c>
      <c r="G14476" s="10" t="s">
        <v>34</v>
      </c>
      <c r="H14476" s="9" t="s">
        <v>22</v>
      </c>
      <c r="I14476" s="9" t="s">
        <v>29486</v>
      </c>
      <c r="J14476" s="10" t="str">
        <f>HYPERLINK("https://www.boe.es/gazeta/dias/1834/09/05/pdfs/GMD-C-1834-203.pdf#page=1","Abrir facsímil")</f>
        <v>Abrir facsímil</v>
      </c>
      <c r="K14476" s="10" t="s">
        <v>24</v>
      </c>
    </row>
    <row r="14477" spans="1:11" ht="54" customHeight="1">
      <c r="A14477" s="9" t="s">
        <v>29455</v>
      </c>
      <c r="B14477" s="9" t="s">
        <v>29455</v>
      </c>
      <c r="C14477" s="9" t="s">
        <v>17</v>
      </c>
      <c r="D14477" s="9" t="s">
        <v>18</v>
      </c>
      <c r="E14477" s="10" t="s">
        <v>47</v>
      </c>
      <c r="F14477" s="9" t="s">
        <v>48</v>
      </c>
      <c r="G14477" s="10" t="s">
        <v>86</v>
      </c>
      <c r="H14477" s="9" t="s">
        <v>22</v>
      </c>
      <c r="I14477" s="9" t="s">
        <v>29487</v>
      </c>
      <c r="J14477" s="10" t="str">
        <f>HYPERLINK("https://www.boe.es/gazeta/dias/1834/09/05/pdfs/GMD-C-1834-203.pdf#page=2","Abrir facsímil")</f>
        <v>Abrir facsímil</v>
      </c>
      <c r="K14477" s="10" t="s">
        <v>24</v>
      </c>
    </row>
    <row r="14478" spans="1:11" ht="54" customHeight="1">
      <c r="A14478" s="9" t="s">
        <v>29455</v>
      </c>
      <c r="B14478" s="9" t="s">
        <v>29455</v>
      </c>
      <c r="C14478" s="9" t="s">
        <v>17</v>
      </c>
      <c r="D14478" s="9" t="s">
        <v>18</v>
      </c>
      <c r="E14478" s="10" t="s">
        <v>47</v>
      </c>
      <c r="F14478" s="9" t="s">
        <v>48</v>
      </c>
      <c r="G14478" s="10" t="s">
        <v>176</v>
      </c>
      <c r="H14478" s="9" t="s">
        <v>22</v>
      </c>
      <c r="I14478" s="9" t="s">
        <v>29488</v>
      </c>
      <c r="J14478" s="10" t="str">
        <f>HYPERLINK("https://www.boe.es/gazeta/dias/1834/09/05/pdfs/GMD-C-1834-203.pdf#page=6","Abrir facsímil")</f>
        <v>Abrir facsímil</v>
      </c>
      <c r="K14478" s="10" t="s">
        <v>24</v>
      </c>
    </row>
    <row r="14479" spans="1:11" ht="54" customHeight="1">
      <c r="A14479" s="9" t="s">
        <v>29455</v>
      </c>
      <c r="B14479" s="9" t="s">
        <v>29455</v>
      </c>
      <c r="C14479" s="9" t="s">
        <v>90</v>
      </c>
      <c r="D14479" s="9" t="s">
        <v>18</v>
      </c>
      <c r="E14479" s="10" t="s">
        <v>1340</v>
      </c>
      <c r="F14479" s="9" t="s">
        <v>1341</v>
      </c>
      <c r="G14479" s="10" t="s">
        <v>86</v>
      </c>
      <c r="H14479" s="9" t="s">
        <v>22</v>
      </c>
      <c r="I14479" s="9" t="s">
        <v>29489</v>
      </c>
      <c r="J14479" s="10" t="str">
        <f>HYPERLINK("https://www.boe.es/gazeta/dias/1834/10/05/pdfs/GMD-C-1834-233.pdf#page=2","Abrir facsímil")</f>
        <v>Abrir facsímil</v>
      </c>
      <c r="K14479" s="10" t="s">
        <v>24</v>
      </c>
    </row>
    <row r="14480" spans="1:11" ht="54" customHeight="1">
      <c r="A14480" s="9" t="s">
        <v>29455</v>
      </c>
      <c r="B14480" s="9" t="s">
        <v>29455</v>
      </c>
      <c r="C14480" s="9" t="s">
        <v>17</v>
      </c>
      <c r="D14480" s="9" t="s">
        <v>40</v>
      </c>
      <c r="E14480" s="10" t="s">
        <v>1340</v>
      </c>
      <c r="F14480" s="9" t="s">
        <v>1341</v>
      </c>
      <c r="G14480" s="10" t="s">
        <v>75</v>
      </c>
      <c r="H14480" s="9" t="s">
        <v>22</v>
      </c>
      <c r="I14480" s="9" t="s">
        <v>29490</v>
      </c>
      <c r="J14480" s="10" t="str">
        <f>HYPERLINK("https://www.boe.es/gazeta/dias/1834/10/05/pdfs/GMD-C-1834-233.pdf#page=4","Abrir facsímil")</f>
        <v>Abrir facsímil</v>
      </c>
      <c r="K14480" s="10" t="s">
        <v>24</v>
      </c>
    </row>
    <row r="14481" spans="1:11" ht="54" customHeight="1">
      <c r="A14481" s="9" t="s">
        <v>29455</v>
      </c>
      <c r="B14481" s="9" t="s">
        <v>29455</v>
      </c>
      <c r="C14481" s="9" t="s">
        <v>90</v>
      </c>
      <c r="D14481" s="9" t="s">
        <v>18</v>
      </c>
      <c r="E14481" s="10" t="s">
        <v>1340</v>
      </c>
      <c r="F14481" s="9" t="s">
        <v>1341</v>
      </c>
      <c r="G14481" s="10" t="s">
        <v>176</v>
      </c>
      <c r="H14481" s="9" t="s">
        <v>22</v>
      </c>
      <c r="I14481" s="9" t="s">
        <v>29491</v>
      </c>
      <c r="J14481" s="10" t="str">
        <f>HYPERLINK("https://www.boe.es/gazeta/dias/1834/10/05/pdfs/GMD-C-1834-233.pdf#page=6","Abrir facsímil")</f>
        <v>Abrir facsímil</v>
      </c>
      <c r="K14481" s="10" t="s">
        <v>24</v>
      </c>
    </row>
    <row r="14482" spans="1:11" ht="54" customHeight="1">
      <c r="A14482" s="9" t="s">
        <v>29455</v>
      </c>
      <c r="B14482" s="9" t="s">
        <v>29455</v>
      </c>
      <c r="C14482" s="9" t="s">
        <v>17</v>
      </c>
      <c r="D14482" s="9" t="s">
        <v>18</v>
      </c>
      <c r="E14482" s="10" t="s">
        <v>1340</v>
      </c>
      <c r="F14482" s="9" t="s">
        <v>1341</v>
      </c>
      <c r="G14482" s="10" t="s">
        <v>560</v>
      </c>
      <c r="H14482" s="9" t="s">
        <v>22</v>
      </c>
      <c r="I14482" s="9" t="s">
        <v>29492</v>
      </c>
      <c r="J14482" s="10" t="str">
        <f>HYPERLINK("https://www.boe.es/gazeta/dias/1834/10/05/pdfs/GMD-C-1834-233.pdf#page=7","Abrir facsímil")</f>
        <v>Abrir facsímil</v>
      </c>
      <c r="K14482" s="10" t="s">
        <v>24</v>
      </c>
    </row>
    <row r="14483" spans="1:11" ht="54" customHeight="1">
      <c r="A14483" s="9" t="s">
        <v>29455</v>
      </c>
      <c r="B14483" s="9" t="s">
        <v>29455</v>
      </c>
      <c r="C14483" s="9" t="s">
        <v>46</v>
      </c>
      <c r="D14483" s="9" t="s">
        <v>101</v>
      </c>
      <c r="E14483" s="10" t="s">
        <v>11991</v>
      </c>
      <c r="F14483" s="9" t="s">
        <v>11992</v>
      </c>
      <c r="G14483" s="10" t="s">
        <v>34</v>
      </c>
      <c r="H14483" s="9" t="s">
        <v>22</v>
      </c>
      <c r="I14483" s="9" t="s">
        <v>29493</v>
      </c>
      <c r="J14483" s="10" t="str">
        <f>HYPERLINK("https://www.boe.es/gazeta/dias/1834/12/05/pdfs/GMD-C-1834-294.pdf#page=1","Abrir facsímil")</f>
        <v>Abrir facsímil</v>
      </c>
      <c r="K14483" s="10" t="s">
        <v>24</v>
      </c>
    </row>
    <row r="14484" spans="1:11" ht="54" customHeight="1">
      <c r="A14484" s="9" t="s">
        <v>29455</v>
      </c>
      <c r="B14484" s="9" t="s">
        <v>29455</v>
      </c>
      <c r="C14484" s="9" t="s">
        <v>66</v>
      </c>
      <c r="D14484" s="9" t="s">
        <v>67</v>
      </c>
      <c r="E14484" s="10" t="s">
        <v>317</v>
      </c>
      <c r="F14484" s="9" t="s">
        <v>318</v>
      </c>
      <c r="G14484" s="10" t="s">
        <v>34</v>
      </c>
      <c r="H14484" s="9" t="s">
        <v>22</v>
      </c>
      <c r="I14484" s="9" t="s">
        <v>29494</v>
      </c>
      <c r="J14484" s="10" t="str">
        <f>HYPERLINK("https://www.boe.es/gazeta/dias/1834/03/06/pdfs/GMD-1834-29.pdf#page=1","Abrir facsímil")</f>
        <v>Abrir facsímil</v>
      </c>
      <c r="K14484" s="10" t="s">
        <v>24</v>
      </c>
    </row>
    <row r="14485" spans="1:11" ht="54" customHeight="1">
      <c r="A14485" s="9" t="s">
        <v>29455</v>
      </c>
      <c r="B14485" s="9" t="s">
        <v>29455</v>
      </c>
      <c r="C14485" s="9" t="s">
        <v>122</v>
      </c>
      <c r="D14485" s="9" t="s">
        <v>40</v>
      </c>
      <c r="E14485" s="10" t="s">
        <v>364</v>
      </c>
      <c r="F14485" s="9" t="s">
        <v>365</v>
      </c>
      <c r="G14485" s="10" t="s">
        <v>470</v>
      </c>
      <c r="H14485" s="9" t="s">
        <v>22</v>
      </c>
      <c r="I14485" s="9" t="s">
        <v>29495</v>
      </c>
      <c r="J14485" s="10" t="str">
        <f>HYPERLINK("https://www.boe.es/gazeta/dias/1834/09/06/pdfs/GMD-C-1834-204.pdf#page=8","Abrir facsímil")</f>
        <v>Abrir facsímil</v>
      </c>
      <c r="K14485" s="10" t="s">
        <v>24</v>
      </c>
    </row>
    <row r="14486" spans="1:11" ht="54" customHeight="1">
      <c r="A14486" s="9" t="s">
        <v>29455</v>
      </c>
      <c r="B14486" s="9" t="s">
        <v>29455</v>
      </c>
      <c r="C14486" s="9" t="s">
        <v>17</v>
      </c>
      <c r="D14486" s="9" t="s">
        <v>40</v>
      </c>
      <c r="E14486" s="10" t="s">
        <v>696</v>
      </c>
      <c r="F14486" s="9" t="s">
        <v>697</v>
      </c>
      <c r="G14486" s="10" t="s">
        <v>34</v>
      </c>
      <c r="H14486" s="9" t="s">
        <v>22</v>
      </c>
      <c r="I14486" s="9" t="s">
        <v>29496</v>
      </c>
      <c r="J14486" s="10" t="str">
        <f>HYPERLINK("https://www.boe.es/gazeta/dias/1834/12/06/pdfs/GMD-C-1834-295.pdf#page=1","Abrir facsímil")</f>
        <v>Abrir facsímil</v>
      </c>
      <c r="K14486" s="10" t="s">
        <v>24</v>
      </c>
    </row>
    <row r="14487" spans="1:11" ht="54" customHeight="1">
      <c r="A14487" s="9" t="s">
        <v>29455</v>
      </c>
      <c r="B14487" s="9" t="s">
        <v>29455</v>
      </c>
      <c r="C14487" s="9" t="s">
        <v>122</v>
      </c>
      <c r="D14487" s="9" t="s">
        <v>101</v>
      </c>
      <c r="E14487" s="10" t="s">
        <v>429</v>
      </c>
      <c r="F14487" s="9" t="s">
        <v>3421</v>
      </c>
      <c r="G14487" s="10" t="s">
        <v>75</v>
      </c>
      <c r="H14487" s="9" t="s">
        <v>22</v>
      </c>
      <c r="I14487" s="9" t="s">
        <v>29497</v>
      </c>
      <c r="J14487" s="10" t="str">
        <f>HYPERLINK("https://www.boe.es/gazeta/dias/1834/08/07/pdfs/GMD-1834-172.pdf#page=4","Abrir facsímil")</f>
        <v>Abrir facsímil</v>
      </c>
      <c r="K14487" s="10" t="s">
        <v>24</v>
      </c>
    </row>
    <row r="14488" spans="1:11" ht="54" customHeight="1">
      <c r="A14488" s="9" t="s">
        <v>29455</v>
      </c>
      <c r="B14488" s="9" t="s">
        <v>29455</v>
      </c>
      <c r="C14488" s="9" t="s">
        <v>17</v>
      </c>
      <c r="D14488" s="9" t="s">
        <v>18</v>
      </c>
      <c r="E14488" s="10" t="s">
        <v>429</v>
      </c>
      <c r="F14488" s="9" t="s">
        <v>430</v>
      </c>
      <c r="G14488" s="10" t="s">
        <v>34</v>
      </c>
      <c r="H14488" s="9" t="s">
        <v>22</v>
      </c>
      <c r="I14488" s="9" t="s">
        <v>29498</v>
      </c>
      <c r="J14488" s="10" t="str">
        <f>HYPERLINK("https://www.boe.es/gazeta/dias/1834/08/07/pdfs/GMD-C-1834-172.pdf#page=1","Abrir facsímil")</f>
        <v>Abrir facsímil</v>
      </c>
      <c r="K14488" s="10" t="s">
        <v>24</v>
      </c>
    </row>
    <row r="14489" spans="1:11" ht="54" customHeight="1">
      <c r="A14489" s="9" t="s">
        <v>29455</v>
      </c>
      <c r="B14489" s="9" t="s">
        <v>29455</v>
      </c>
      <c r="C14489" s="9" t="s">
        <v>46</v>
      </c>
      <c r="D14489" s="9" t="s">
        <v>101</v>
      </c>
      <c r="E14489" s="10" t="s">
        <v>429</v>
      </c>
      <c r="F14489" s="9" t="s">
        <v>430</v>
      </c>
      <c r="G14489" s="10" t="s">
        <v>21</v>
      </c>
      <c r="H14489" s="9" t="s">
        <v>22</v>
      </c>
      <c r="I14489" s="9" t="s">
        <v>29499</v>
      </c>
      <c r="J14489" s="10" t="str">
        <f>HYPERLINK("https://www.boe.es/gazeta/dias/1834/08/07/pdfs/GMD-C-1834-172.pdf#page=3","Abrir facsímil")</f>
        <v>Abrir facsímil</v>
      </c>
      <c r="K14489" s="10" t="s">
        <v>24</v>
      </c>
    </row>
    <row r="14490" spans="1:11" ht="54" customHeight="1">
      <c r="A14490" s="9" t="s">
        <v>29455</v>
      </c>
      <c r="B14490" s="9" t="s">
        <v>29455</v>
      </c>
      <c r="C14490" s="9" t="s">
        <v>46</v>
      </c>
      <c r="D14490" s="9" t="s">
        <v>101</v>
      </c>
      <c r="E14490" s="10" t="s">
        <v>429</v>
      </c>
      <c r="F14490" s="9" t="s">
        <v>430</v>
      </c>
      <c r="G14490" s="10" t="s">
        <v>28</v>
      </c>
      <c r="H14490" s="9" t="s">
        <v>22</v>
      </c>
      <c r="I14490" s="9" t="s">
        <v>29500</v>
      </c>
      <c r="J14490" s="10" t="str">
        <f>HYPERLINK("https://www.boe.es/gazeta/dias/1834/08/07/pdfs/GMD-C-1834-172.pdf#page=5","Abrir facsímil")</f>
        <v>Abrir facsímil</v>
      </c>
      <c r="K14490" s="10" t="s">
        <v>24</v>
      </c>
    </row>
    <row r="14491" spans="1:11" ht="54" customHeight="1">
      <c r="A14491" s="9" t="s">
        <v>29455</v>
      </c>
      <c r="B14491" s="9" t="s">
        <v>29455</v>
      </c>
      <c r="C14491" s="9" t="s">
        <v>122</v>
      </c>
      <c r="D14491" s="9" t="s">
        <v>18</v>
      </c>
      <c r="E14491" s="10" t="s">
        <v>167</v>
      </c>
      <c r="F14491" s="9" t="s">
        <v>168</v>
      </c>
      <c r="G14491" s="10" t="s">
        <v>86</v>
      </c>
      <c r="H14491" s="9" t="s">
        <v>22</v>
      </c>
      <c r="I14491" s="9" t="s">
        <v>29501</v>
      </c>
      <c r="J14491" s="10" t="str">
        <f>HYPERLINK("https://www.boe.es/gazeta/dias/1834/09/07/pdfs/GMD-1834-205.pdf#page=2","Abrir facsímil")</f>
        <v>Abrir facsímil</v>
      </c>
      <c r="K14491" s="10" t="s">
        <v>24</v>
      </c>
    </row>
    <row r="14492" spans="1:11" ht="54" customHeight="1">
      <c r="A14492" s="9" t="s">
        <v>29455</v>
      </c>
      <c r="B14492" s="9" t="s">
        <v>29455</v>
      </c>
      <c r="C14492" s="9" t="s">
        <v>17</v>
      </c>
      <c r="D14492" s="9" t="s">
        <v>18</v>
      </c>
      <c r="E14492" s="10" t="s">
        <v>167</v>
      </c>
      <c r="F14492" s="9" t="s">
        <v>1200</v>
      </c>
      <c r="G14492" s="10" t="s">
        <v>2174</v>
      </c>
      <c r="H14492" s="9" t="s">
        <v>22</v>
      </c>
      <c r="I14492" s="9" t="s">
        <v>29502</v>
      </c>
      <c r="J14492" s="10" t="str">
        <f>HYPERLINK("https://www.boe.es/gazeta/dias/1834/09/07/pdfs/GMD-C-1834-205.pdf#page=10","Abrir facsímil")</f>
        <v>Abrir facsímil</v>
      </c>
      <c r="K14492" s="10" t="s">
        <v>24</v>
      </c>
    </row>
    <row r="14493" spans="1:11" ht="54" customHeight="1">
      <c r="A14493" s="9" t="s">
        <v>29455</v>
      </c>
      <c r="B14493" s="9" t="s">
        <v>29455</v>
      </c>
      <c r="C14493" s="9" t="s">
        <v>90</v>
      </c>
      <c r="D14493" s="9" t="s">
        <v>40</v>
      </c>
      <c r="E14493" s="10" t="s">
        <v>167</v>
      </c>
      <c r="F14493" s="9" t="s">
        <v>1200</v>
      </c>
      <c r="G14493" s="10" t="s">
        <v>86</v>
      </c>
      <c r="H14493" s="9" t="s">
        <v>22</v>
      </c>
      <c r="I14493" s="9" t="s">
        <v>29503</v>
      </c>
      <c r="J14493" s="10" t="str">
        <f>HYPERLINK("https://www.boe.es/gazeta/dias/1834/09/07/pdfs/GMD-C-1834-205.pdf#page=2","Abrir facsímil")</f>
        <v>Abrir facsímil</v>
      </c>
      <c r="K14493" s="10" t="s">
        <v>24</v>
      </c>
    </row>
    <row r="14494" spans="1:11" ht="54" customHeight="1">
      <c r="A14494" s="9" t="s">
        <v>29455</v>
      </c>
      <c r="B14494" s="9" t="s">
        <v>29455</v>
      </c>
      <c r="C14494" s="9" t="s">
        <v>17</v>
      </c>
      <c r="D14494" s="9" t="s">
        <v>18</v>
      </c>
      <c r="E14494" s="10" t="s">
        <v>167</v>
      </c>
      <c r="F14494" s="9" t="s">
        <v>1200</v>
      </c>
      <c r="G14494" s="10" t="s">
        <v>28</v>
      </c>
      <c r="H14494" s="9" t="s">
        <v>22</v>
      </c>
      <c r="I14494" s="9" t="s">
        <v>29504</v>
      </c>
      <c r="J14494" s="10" t="str">
        <f>HYPERLINK("https://www.boe.es/gazeta/dias/1834/09/07/pdfs/GMD-C-1834-205.pdf#page=5","Abrir facsímil")</f>
        <v>Abrir facsímil</v>
      </c>
      <c r="K14494" s="10" t="s">
        <v>24</v>
      </c>
    </row>
    <row r="14495" spans="1:11" ht="54" customHeight="1">
      <c r="A14495" s="9" t="s">
        <v>29455</v>
      </c>
      <c r="B14495" s="9" t="s">
        <v>29455</v>
      </c>
      <c r="C14495" s="9" t="s">
        <v>17</v>
      </c>
      <c r="D14495" s="9" t="s">
        <v>18</v>
      </c>
      <c r="E14495" s="10" t="s">
        <v>167</v>
      </c>
      <c r="F14495" s="9" t="s">
        <v>1200</v>
      </c>
      <c r="G14495" s="10" t="s">
        <v>470</v>
      </c>
      <c r="H14495" s="9" t="s">
        <v>22</v>
      </c>
      <c r="I14495" s="9" t="s">
        <v>29505</v>
      </c>
      <c r="J14495" s="10" t="str">
        <f>HYPERLINK("https://www.boe.es/gazeta/dias/1834/09/07/pdfs/GMD-C-1834-205.pdf#page=8","Abrir facsímil")</f>
        <v>Abrir facsímil</v>
      </c>
      <c r="K14495" s="10" t="s">
        <v>24</v>
      </c>
    </row>
    <row r="14496" spans="1:11" ht="54" customHeight="1">
      <c r="A14496" s="9" t="s">
        <v>29455</v>
      </c>
      <c r="B14496" s="9" t="s">
        <v>29455</v>
      </c>
      <c r="C14496" s="9" t="s">
        <v>17</v>
      </c>
      <c r="D14496" s="9" t="s">
        <v>18</v>
      </c>
      <c r="E14496" s="10" t="s">
        <v>433</v>
      </c>
      <c r="F14496" s="9" t="s">
        <v>434</v>
      </c>
      <c r="G14496" s="10" t="s">
        <v>34</v>
      </c>
      <c r="H14496" s="9" t="s">
        <v>22</v>
      </c>
      <c r="I14496" s="9" t="s">
        <v>29506</v>
      </c>
      <c r="J14496" s="10" t="str">
        <f>HYPERLINK("https://www.boe.es/gazeta/dias/1834/10/07/pdfs/GMD-C-1834-235.pdf#page=1","Abrir facsímil")</f>
        <v>Abrir facsímil</v>
      </c>
      <c r="K14496" s="10" t="s">
        <v>24</v>
      </c>
    </row>
    <row r="14497" spans="1:11" ht="54" customHeight="1">
      <c r="A14497" s="9" t="s">
        <v>29455</v>
      </c>
      <c r="B14497" s="9" t="s">
        <v>29455</v>
      </c>
      <c r="C14497" s="9" t="s">
        <v>17</v>
      </c>
      <c r="D14497" s="9" t="s">
        <v>55</v>
      </c>
      <c r="E14497" s="10" t="s">
        <v>433</v>
      </c>
      <c r="F14497" s="9" t="s">
        <v>434</v>
      </c>
      <c r="G14497" s="10" t="s">
        <v>86</v>
      </c>
      <c r="H14497" s="9" t="s">
        <v>22</v>
      </c>
      <c r="I14497" s="9" t="s">
        <v>29507</v>
      </c>
      <c r="J14497" s="10" t="str">
        <f>HYPERLINK("https://www.boe.es/gazeta/dias/1834/10/07/pdfs/GMD-C-1834-235.pdf#page=2","Abrir facsímil")</f>
        <v>Abrir facsímil</v>
      </c>
      <c r="K14497" s="10" t="s">
        <v>24</v>
      </c>
    </row>
    <row r="14498" spans="1:11" ht="54" customHeight="1">
      <c r="A14498" s="9" t="s">
        <v>29455</v>
      </c>
      <c r="B14498" s="9" t="s">
        <v>29455</v>
      </c>
      <c r="C14498" s="9" t="s">
        <v>17</v>
      </c>
      <c r="D14498" s="9" t="s">
        <v>18</v>
      </c>
      <c r="E14498" s="10" t="s">
        <v>762</v>
      </c>
      <c r="F14498" s="9" t="s">
        <v>2227</v>
      </c>
      <c r="G14498" s="10" t="s">
        <v>34</v>
      </c>
      <c r="H14498" s="9" t="s">
        <v>22</v>
      </c>
      <c r="I14498" s="9" t="s">
        <v>29508</v>
      </c>
      <c r="J14498" s="10" t="str">
        <f>HYPERLINK("https://www.boe.es/gazeta/dias/1834/11/07/pdfs/GMD-C-1834-266.pdf#page=1","Abrir facsímil")</f>
        <v>Abrir facsímil</v>
      </c>
      <c r="K14498" s="10" t="s">
        <v>24</v>
      </c>
    </row>
    <row r="14499" spans="1:11" ht="54" customHeight="1">
      <c r="A14499" s="9" t="s">
        <v>29455</v>
      </c>
      <c r="B14499" s="9" t="s">
        <v>29455</v>
      </c>
      <c r="C14499" s="9" t="s">
        <v>17</v>
      </c>
      <c r="D14499" s="9" t="s">
        <v>18</v>
      </c>
      <c r="E14499" s="10" t="s">
        <v>762</v>
      </c>
      <c r="F14499" s="9" t="s">
        <v>2227</v>
      </c>
      <c r="G14499" s="10" t="s">
        <v>86</v>
      </c>
      <c r="H14499" s="9" t="s">
        <v>22</v>
      </c>
      <c r="I14499" s="9" t="s">
        <v>29509</v>
      </c>
      <c r="J14499" s="10" t="str">
        <f>HYPERLINK("https://www.boe.es/gazeta/dias/1834/11/07/pdfs/GMD-C-1834-266.pdf#page=2","Abrir facsímil")</f>
        <v>Abrir facsímil</v>
      </c>
      <c r="K14499" s="10" t="s">
        <v>24</v>
      </c>
    </row>
    <row r="14500" spans="1:11" ht="54" customHeight="1">
      <c r="A14500" s="9" t="s">
        <v>29455</v>
      </c>
      <c r="B14500" s="9" t="s">
        <v>29455</v>
      </c>
      <c r="C14500" s="9" t="s">
        <v>17</v>
      </c>
      <c r="D14500" s="9" t="s">
        <v>101</v>
      </c>
      <c r="E14500" s="10" t="s">
        <v>1505</v>
      </c>
      <c r="F14500" s="9" t="s">
        <v>1506</v>
      </c>
      <c r="G14500" s="10" t="s">
        <v>21</v>
      </c>
      <c r="H14500" s="9" t="s">
        <v>22</v>
      </c>
      <c r="I14500" s="9" t="s">
        <v>29510</v>
      </c>
      <c r="J14500" s="10" t="str">
        <f>HYPERLINK("https://www.boe.es/gazeta/dias/1834/05/08/pdfs/GMD-1834-77.pdf#page=3","Abrir facsímil")</f>
        <v>Abrir facsímil</v>
      </c>
      <c r="K14500" s="10" t="s">
        <v>24</v>
      </c>
    </row>
    <row r="14501" spans="1:11" ht="54" customHeight="1">
      <c r="A14501" s="9" t="s">
        <v>29455</v>
      </c>
      <c r="B14501" s="9" t="s">
        <v>29455</v>
      </c>
      <c r="C14501" s="9" t="s">
        <v>46</v>
      </c>
      <c r="D14501" s="9" t="s">
        <v>101</v>
      </c>
      <c r="E14501" s="10" t="s">
        <v>813</v>
      </c>
      <c r="F14501" s="9" t="s">
        <v>16756</v>
      </c>
      <c r="G14501" s="10" t="s">
        <v>34</v>
      </c>
      <c r="H14501" s="9" t="s">
        <v>22</v>
      </c>
      <c r="I14501" s="9" t="s">
        <v>29511</v>
      </c>
      <c r="J14501" s="10" t="str">
        <f>HYPERLINK("https://www.boe.es/gazeta/dias/1834/08/08/pdfs/GMD-C-1834-173.pdf#page=1","Abrir facsímil")</f>
        <v>Abrir facsímil</v>
      </c>
      <c r="K14501" s="10" t="s">
        <v>24</v>
      </c>
    </row>
    <row r="14502" spans="1:11" ht="54" customHeight="1">
      <c r="A14502" s="9" t="s">
        <v>29455</v>
      </c>
      <c r="B14502" s="9" t="s">
        <v>29455</v>
      </c>
      <c r="C14502" s="9" t="s">
        <v>90</v>
      </c>
      <c r="D14502" s="9" t="s">
        <v>18</v>
      </c>
      <c r="E14502" s="10" t="s">
        <v>793</v>
      </c>
      <c r="F14502" s="9" t="s">
        <v>1895</v>
      </c>
      <c r="G14502" s="10" t="s">
        <v>86</v>
      </c>
      <c r="H14502" s="9" t="s">
        <v>22</v>
      </c>
      <c r="I14502" s="9" t="s">
        <v>29512</v>
      </c>
      <c r="J14502" s="10" t="str">
        <f>HYPERLINK("https://www.boe.es/gazeta/dias/1834/10/08/pdfs/GMD-C-1834-236.pdf#page=2","Abrir facsímil")</f>
        <v>Abrir facsímil</v>
      </c>
      <c r="K14502" s="10" t="s">
        <v>24</v>
      </c>
    </row>
    <row r="14503" spans="1:11" ht="54" customHeight="1">
      <c r="A14503" s="9" t="s">
        <v>29455</v>
      </c>
      <c r="B14503" s="9" t="s">
        <v>29455</v>
      </c>
      <c r="C14503" s="9" t="s">
        <v>17</v>
      </c>
      <c r="D14503" s="9" t="s">
        <v>18</v>
      </c>
      <c r="E14503" s="10" t="s">
        <v>793</v>
      </c>
      <c r="F14503" s="9" t="s">
        <v>1895</v>
      </c>
      <c r="G14503" s="10" t="s">
        <v>75</v>
      </c>
      <c r="H14503" s="9" t="s">
        <v>22</v>
      </c>
      <c r="I14503" s="9" t="s">
        <v>29513</v>
      </c>
      <c r="J14503" s="10" t="str">
        <f>HYPERLINK("https://www.boe.es/gazeta/dias/1834/10/08/pdfs/GMD-C-1834-236.pdf#page=4","Abrir facsímil")</f>
        <v>Abrir facsímil</v>
      </c>
      <c r="K14503" s="10" t="s">
        <v>24</v>
      </c>
    </row>
    <row r="14504" spans="1:11" ht="54" customHeight="1">
      <c r="A14504" s="9" t="s">
        <v>29455</v>
      </c>
      <c r="B14504" s="9" t="s">
        <v>29455</v>
      </c>
      <c r="C14504" s="9" t="s">
        <v>17</v>
      </c>
      <c r="D14504" s="9" t="s">
        <v>18</v>
      </c>
      <c r="E14504" s="10" t="s">
        <v>1008</v>
      </c>
      <c r="F14504" s="9" t="s">
        <v>1009</v>
      </c>
      <c r="G14504" s="10" t="s">
        <v>34</v>
      </c>
      <c r="H14504" s="9" t="s">
        <v>22</v>
      </c>
      <c r="I14504" s="9" t="s">
        <v>29514</v>
      </c>
      <c r="J14504" s="10" t="str">
        <f>HYPERLINK("https://www.boe.es/gazeta/dias/1834/11/08/pdfs/GMD-C-1834-267.pdf#page=1","Abrir facsímil")</f>
        <v>Abrir facsímil</v>
      </c>
      <c r="K14504" s="10" t="s">
        <v>24</v>
      </c>
    </row>
    <row r="14505" spans="1:11" ht="54" customHeight="1">
      <c r="A14505" s="9" t="s">
        <v>29455</v>
      </c>
      <c r="B14505" s="9" t="s">
        <v>29455</v>
      </c>
      <c r="C14505" s="9" t="s">
        <v>17</v>
      </c>
      <c r="D14505" s="9" t="s">
        <v>18</v>
      </c>
      <c r="E14505" s="10" t="s">
        <v>1008</v>
      </c>
      <c r="F14505" s="9" t="s">
        <v>1009</v>
      </c>
      <c r="G14505" s="10" t="s">
        <v>21</v>
      </c>
      <c r="H14505" s="9" t="s">
        <v>22</v>
      </c>
      <c r="I14505" s="9" t="s">
        <v>29515</v>
      </c>
      <c r="J14505" s="10" t="str">
        <f>HYPERLINK("https://www.boe.es/gazeta/dias/1834/11/08/pdfs/GMD-C-1834-267.pdf#page=3","Abrir facsímil")</f>
        <v>Abrir facsímil</v>
      </c>
      <c r="K14505" s="10" t="s">
        <v>24</v>
      </c>
    </row>
    <row r="14506" spans="1:11" ht="54" customHeight="1">
      <c r="A14506" s="9" t="s">
        <v>29455</v>
      </c>
      <c r="B14506" s="9" t="s">
        <v>29455</v>
      </c>
      <c r="C14506" s="9" t="s">
        <v>17</v>
      </c>
      <c r="D14506" s="9" t="s">
        <v>18</v>
      </c>
      <c r="E14506" s="10" t="s">
        <v>1008</v>
      </c>
      <c r="F14506" s="9" t="s">
        <v>1009</v>
      </c>
      <c r="G14506" s="10" t="s">
        <v>470</v>
      </c>
      <c r="H14506" s="9" t="s">
        <v>22</v>
      </c>
      <c r="I14506" s="9" t="s">
        <v>29516</v>
      </c>
      <c r="J14506" s="10" t="str">
        <f>HYPERLINK("https://www.boe.es/gazeta/dias/1834/11/08/pdfs/GMD-C-1834-267.pdf#page=8","Abrir facsímil")</f>
        <v>Abrir facsímil</v>
      </c>
      <c r="K14506" s="10" t="s">
        <v>24</v>
      </c>
    </row>
    <row r="14507" spans="1:11" ht="54" customHeight="1">
      <c r="A14507" s="9" t="s">
        <v>29455</v>
      </c>
      <c r="B14507" s="9" t="s">
        <v>29455</v>
      </c>
      <c r="C14507" s="9" t="s">
        <v>90</v>
      </c>
      <c r="D14507" s="9" t="s">
        <v>18</v>
      </c>
      <c r="E14507" s="10" t="s">
        <v>163</v>
      </c>
      <c r="F14507" s="9" t="s">
        <v>4896</v>
      </c>
      <c r="G14507" s="10" t="s">
        <v>34</v>
      </c>
      <c r="H14507" s="9" t="s">
        <v>22</v>
      </c>
      <c r="I14507" s="9" t="s">
        <v>29517</v>
      </c>
      <c r="J14507" s="10" t="str">
        <f>HYPERLINK("https://www.boe.es/gazeta/dias/1834/08/09/pdfs/GMD-C-1834-174.pdf#page=1","Abrir facsímil")</f>
        <v>Abrir facsímil</v>
      </c>
      <c r="K14507" s="10" t="s">
        <v>24</v>
      </c>
    </row>
    <row r="14508" spans="1:11" ht="54" customHeight="1">
      <c r="A14508" s="9" t="s">
        <v>29455</v>
      </c>
      <c r="B14508" s="9" t="s">
        <v>29455</v>
      </c>
      <c r="C14508" s="9" t="s">
        <v>17</v>
      </c>
      <c r="D14508" s="9" t="s">
        <v>40</v>
      </c>
      <c r="E14508" s="10" t="s">
        <v>163</v>
      </c>
      <c r="F14508" s="9" t="s">
        <v>4896</v>
      </c>
      <c r="G14508" s="10" t="s">
        <v>86</v>
      </c>
      <c r="H14508" s="9" t="s">
        <v>22</v>
      </c>
      <c r="I14508" s="9" t="s">
        <v>29518</v>
      </c>
      <c r="J14508" s="10" t="str">
        <f>HYPERLINK("https://www.boe.es/gazeta/dias/1834/08/09/pdfs/GMD-C-1834-174.pdf#page=2","Abrir facsímil")</f>
        <v>Abrir facsímil</v>
      </c>
      <c r="K14508" s="10" t="s">
        <v>24</v>
      </c>
    </row>
    <row r="14509" spans="1:11" ht="54" customHeight="1">
      <c r="A14509" s="9" t="s">
        <v>29455</v>
      </c>
      <c r="B14509" s="9" t="s">
        <v>29455</v>
      </c>
      <c r="C14509" s="9" t="s">
        <v>46</v>
      </c>
      <c r="D14509" s="9" t="s">
        <v>101</v>
      </c>
      <c r="E14509" s="10" t="s">
        <v>1410</v>
      </c>
      <c r="F14509" s="9" t="s">
        <v>2231</v>
      </c>
      <c r="G14509" s="10" t="s">
        <v>34</v>
      </c>
      <c r="H14509" s="9" t="s">
        <v>22</v>
      </c>
      <c r="I14509" s="9" t="s">
        <v>29519</v>
      </c>
      <c r="J14509" s="10" t="str">
        <f>HYPERLINK("https://www.boe.es/gazeta/dias/1834/09/09/pdfs/GMD-C-1834-207.pdf#page=1","Abrir facsímil")</f>
        <v>Abrir facsímil</v>
      </c>
      <c r="K14509" s="10" t="s">
        <v>24</v>
      </c>
    </row>
    <row r="14510" spans="1:11" ht="54" customHeight="1">
      <c r="A14510" s="9" t="s">
        <v>29455</v>
      </c>
      <c r="B14510" s="9" t="s">
        <v>29455</v>
      </c>
      <c r="C14510" s="9" t="s">
        <v>17</v>
      </c>
      <c r="D14510" s="9" t="s">
        <v>18</v>
      </c>
      <c r="E14510" s="10" t="s">
        <v>1410</v>
      </c>
      <c r="F14510" s="9" t="s">
        <v>2231</v>
      </c>
      <c r="G14510" s="10" t="s">
        <v>28</v>
      </c>
      <c r="H14510" s="9" t="s">
        <v>22</v>
      </c>
      <c r="I14510" s="9" t="s">
        <v>29520</v>
      </c>
      <c r="J14510" s="10" t="str">
        <f>HYPERLINK("https://www.boe.es/gazeta/dias/1834/09/09/pdfs/GMD-C-1834-207.pdf#page=5","Abrir facsímil")</f>
        <v>Abrir facsímil</v>
      </c>
      <c r="K14510" s="10" t="s">
        <v>24</v>
      </c>
    </row>
    <row r="14511" spans="1:11" ht="54" customHeight="1">
      <c r="A14511" s="9" t="s">
        <v>29455</v>
      </c>
      <c r="B14511" s="9" t="s">
        <v>29455</v>
      </c>
      <c r="C14511" s="9" t="s">
        <v>17</v>
      </c>
      <c r="D14511" s="9" t="s">
        <v>40</v>
      </c>
      <c r="E14511" s="10" t="s">
        <v>258</v>
      </c>
      <c r="F14511" s="9" t="s">
        <v>259</v>
      </c>
      <c r="G14511" s="10" t="s">
        <v>34</v>
      </c>
      <c r="H14511" s="9" t="s">
        <v>22</v>
      </c>
      <c r="I14511" s="9" t="s">
        <v>29521</v>
      </c>
      <c r="J14511" s="10" t="str">
        <f>HYPERLINK("https://www.boe.es/gazeta/dias/1834/10/09/pdfs/GMD-C-1834-237.pdf#page=1","Abrir facsímil")</f>
        <v>Abrir facsímil</v>
      </c>
      <c r="K14511" s="10" t="s">
        <v>24</v>
      </c>
    </row>
    <row r="14512" spans="1:11" ht="54" customHeight="1">
      <c r="A14512" s="9" t="s">
        <v>29455</v>
      </c>
      <c r="B14512" s="9" t="s">
        <v>29455</v>
      </c>
      <c r="C14512" s="9" t="s">
        <v>46</v>
      </c>
      <c r="D14512" s="9" t="s">
        <v>55</v>
      </c>
      <c r="E14512" s="10" t="s">
        <v>258</v>
      </c>
      <c r="F14512" s="9" t="s">
        <v>259</v>
      </c>
      <c r="G14512" s="10" t="s">
        <v>176</v>
      </c>
      <c r="H14512" s="9" t="s">
        <v>22</v>
      </c>
      <c r="I14512" s="9" t="s">
        <v>29522</v>
      </c>
      <c r="J14512" s="10" t="str">
        <f>HYPERLINK("https://www.boe.es/gazeta/dias/1834/10/09/pdfs/GMD-C-1834-237.pdf#page=6","Abrir facsímil")</f>
        <v>Abrir facsímil</v>
      </c>
      <c r="K14512" s="10" t="s">
        <v>24</v>
      </c>
    </row>
    <row r="14513" spans="1:11" ht="54" customHeight="1">
      <c r="A14513" s="9" t="s">
        <v>29455</v>
      </c>
      <c r="B14513" s="9" t="s">
        <v>29455</v>
      </c>
      <c r="C14513" s="9" t="s">
        <v>46</v>
      </c>
      <c r="D14513" s="9" t="s">
        <v>101</v>
      </c>
      <c r="E14513" s="10" t="s">
        <v>438</v>
      </c>
      <c r="F14513" s="9" t="s">
        <v>528</v>
      </c>
      <c r="G14513" s="10" t="s">
        <v>34</v>
      </c>
      <c r="H14513" s="9" t="s">
        <v>22</v>
      </c>
      <c r="I14513" s="9" t="s">
        <v>29523</v>
      </c>
      <c r="J14513" s="10" t="str">
        <f>HYPERLINK("https://www.boe.es/gazeta/dias/1834/11/09/pdfs/GMD-C-1834-268.pdf#page=1","Abrir facsímil")</f>
        <v>Abrir facsímil</v>
      </c>
      <c r="K14513" s="10" t="s">
        <v>24</v>
      </c>
    </row>
    <row r="14514" spans="1:11" ht="54" customHeight="1">
      <c r="A14514" s="9" t="s">
        <v>29455</v>
      </c>
      <c r="B14514" s="9" t="s">
        <v>29455</v>
      </c>
      <c r="C14514" s="9" t="s">
        <v>90</v>
      </c>
      <c r="D14514" s="9" t="s">
        <v>18</v>
      </c>
      <c r="E14514" s="10" t="s">
        <v>438</v>
      </c>
      <c r="F14514" s="9" t="s">
        <v>528</v>
      </c>
      <c r="G14514" s="10" t="s">
        <v>75</v>
      </c>
      <c r="H14514" s="9" t="s">
        <v>22</v>
      </c>
      <c r="I14514" s="9" t="s">
        <v>29524</v>
      </c>
      <c r="J14514" s="10" t="str">
        <f>HYPERLINK("https://www.boe.es/gazeta/dias/1834/11/09/pdfs/GMD-C-1834-268.pdf#page=4","Abrir facsímil")</f>
        <v>Abrir facsímil</v>
      </c>
      <c r="K14514" s="10" t="s">
        <v>24</v>
      </c>
    </row>
    <row r="14515" spans="1:11" ht="54" customHeight="1">
      <c r="A14515" s="9" t="s">
        <v>29455</v>
      </c>
      <c r="B14515" s="9" t="s">
        <v>29455</v>
      </c>
      <c r="C14515" s="9" t="s">
        <v>17</v>
      </c>
      <c r="D14515" s="9" t="s">
        <v>18</v>
      </c>
      <c r="E14515" s="10" t="s">
        <v>438</v>
      </c>
      <c r="F14515" s="9" t="s">
        <v>528</v>
      </c>
      <c r="G14515" s="10" t="s">
        <v>28</v>
      </c>
      <c r="H14515" s="9" t="s">
        <v>22</v>
      </c>
      <c r="I14515" s="9" t="s">
        <v>29525</v>
      </c>
      <c r="J14515" s="10" t="str">
        <f>HYPERLINK("https://www.boe.es/gazeta/dias/1834/11/09/pdfs/GMD-C-1834-268.pdf#page=5","Abrir facsímil")</f>
        <v>Abrir facsímil</v>
      </c>
      <c r="K14515" s="10" t="s">
        <v>24</v>
      </c>
    </row>
    <row r="14516" spans="1:11" ht="54" customHeight="1">
      <c r="A14516" s="9" t="s">
        <v>29455</v>
      </c>
      <c r="B14516" s="9" t="s">
        <v>29455</v>
      </c>
      <c r="C14516" s="9" t="s">
        <v>46</v>
      </c>
      <c r="D14516" s="9" t="s">
        <v>18</v>
      </c>
      <c r="E14516" s="10" t="s">
        <v>956</v>
      </c>
      <c r="F14516" s="9" t="s">
        <v>957</v>
      </c>
      <c r="G14516" s="10" t="s">
        <v>34</v>
      </c>
      <c r="H14516" s="9" t="s">
        <v>22</v>
      </c>
      <c r="I14516" s="9" t="s">
        <v>29526</v>
      </c>
      <c r="J14516" s="10" t="str">
        <f>HYPERLINK("https://www.boe.es/gazeta/dias/1834/08/10/pdfs/GMD-C-1834-175.pdf#page=1","Abrir facsímil")</f>
        <v>Abrir facsímil</v>
      </c>
      <c r="K14516" s="10" t="s">
        <v>24</v>
      </c>
    </row>
    <row r="14517" spans="1:11" ht="54" customHeight="1">
      <c r="A14517" s="9" t="s">
        <v>29455</v>
      </c>
      <c r="B14517" s="9" t="s">
        <v>29455</v>
      </c>
      <c r="C14517" s="9" t="s">
        <v>17</v>
      </c>
      <c r="D14517" s="9" t="s">
        <v>18</v>
      </c>
      <c r="E14517" s="10" t="s">
        <v>2203</v>
      </c>
      <c r="F14517" s="9" t="s">
        <v>2204</v>
      </c>
      <c r="G14517" s="10" t="s">
        <v>34</v>
      </c>
      <c r="H14517" s="9" t="s">
        <v>22</v>
      </c>
      <c r="I14517" s="9" t="s">
        <v>29527</v>
      </c>
      <c r="J14517" s="10" t="str">
        <f>HYPERLINK("https://www.boe.es/gazeta/dias/1834/09/10/pdfs/GMD-C-1834-208.pdf#page=1","Abrir facsímil")</f>
        <v>Abrir facsímil</v>
      </c>
      <c r="K14517" s="10" t="s">
        <v>24</v>
      </c>
    </row>
    <row r="14518" spans="1:11" ht="54" customHeight="1">
      <c r="A14518" s="9" t="s">
        <v>29455</v>
      </c>
      <c r="B14518" s="9" t="s">
        <v>29455</v>
      </c>
      <c r="C14518" s="9" t="s">
        <v>17</v>
      </c>
      <c r="D14518" s="9" t="s">
        <v>18</v>
      </c>
      <c r="E14518" s="10" t="s">
        <v>2203</v>
      </c>
      <c r="F14518" s="9" t="s">
        <v>2204</v>
      </c>
      <c r="G14518" s="10" t="s">
        <v>86</v>
      </c>
      <c r="H14518" s="9" t="s">
        <v>22</v>
      </c>
      <c r="I14518" s="9" t="s">
        <v>29528</v>
      </c>
      <c r="J14518" s="10" t="str">
        <f>HYPERLINK("https://www.boe.es/gazeta/dias/1834/09/10/pdfs/GMD-C-1834-208.pdf#page=2","Abrir facsímil")</f>
        <v>Abrir facsímil</v>
      </c>
      <c r="K14518" s="10" t="s">
        <v>24</v>
      </c>
    </row>
    <row r="14519" spans="1:11" ht="54" customHeight="1">
      <c r="A14519" s="9" t="s">
        <v>29455</v>
      </c>
      <c r="B14519" s="9" t="s">
        <v>29455</v>
      </c>
      <c r="C14519" s="9" t="s">
        <v>17</v>
      </c>
      <c r="D14519" s="9" t="s">
        <v>18</v>
      </c>
      <c r="E14519" s="10" t="s">
        <v>2203</v>
      </c>
      <c r="F14519" s="9" t="s">
        <v>2204</v>
      </c>
      <c r="G14519" s="10" t="s">
        <v>21</v>
      </c>
      <c r="H14519" s="9" t="s">
        <v>22</v>
      </c>
      <c r="I14519" s="9" t="s">
        <v>29529</v>
      </c>
      <c r="J14519" s="10" t="str">
        <f>HYPERLINK("https://www.boe.es/gazeta/dias/1834/09/10/pdfs/GMD-C-1834-208.pdf#page=3","Abrir facsímil")</f>
        <v>Abrir facsímil</v>
      </c>
      <c r="K14519" s="10" t="s">
        <v>24</v>
      </c>
    </row>
    <row r="14520" spans="1:11" ht="54" customHeight="1">
      <c r="A14520" s="9" t="s">
        <v>29455</v>
      </c>
      <c r="B14520" s="9" t="s">
        <v>29455</v>
      </c>
      <c r="C14520" s="9" t="s">
        <v>46</v>
      </c>
      <c r="D14520" s="9" t="s">
        <v>101</v>
      </c>
      <c r="E14520" s="10" t="s">
        <v>2203</v>
      </c>
      <c r="F14520" s="9" t="s">
        <v>2204</v>
      </c>
      <c r="G14520" s="10" t="s">
        <v>28</v>
      </c>
      <c r="H14520" s="9" t="s">
        <v>22</v>
      </c>
      <c r="I14520" s="9" t="s">
        <v>29530</v>
      </c>
      <c r="J14520" s="10" t="str">
        <f>HYPERLINK("https://www.boe.es/gazeta/dias/1834/09/10/pdfs/GMD-C-1834-208.pdf#page=5","Abrir facsímil")</f>
        <v>Abrir facsímil</v>
      </c>
      <c r="K14520" s="10" t="s">
        <v>24</v>
      </c>
    </row>
    <row r="14521" spans="1:11" ht="54" customHeight="1">
      <c r="A14521" s="9" t="s">
        <v>29455</v>
      </c>
      <c r="B14521" s="9" t="s">
        <v>29455</v>
      </c>
      <c r="C14521" s="9" t="s">
        <v>17</v>
      </c>
      <c r="D14521" s="9" t="s">
        <v>18</v>
      </c>
      <c r="E14521" s="10" t="s">
        <v>1103</v>
      </c>
      <c r="F14521" s="9" t="s">
        <v>1104</v>
      </c>
      <c r="G14521" s="10" t="s">
        <v>34</v>
      </c>
      <c r="H14521" s="9" t="s">
        <v>22</v>
      </c>
      <c r="I14521" s="9" t="s">
        <v>29531</v>
      </c>
      <c r="J14521" s="10" t="str">
        <f>HYPERLINK("https://www.boe.es/gazeta/dias/1834/10/10/pdfs/GMD-C-1834-238.pdf#page=1","Abrir facsímil")</f>
        <v>Abrir facsímil</v>
      </c>
      <c r="K14521" s="10" t="s">
        <v>24</v>
      </c>
    </row>
    <row r="14522" spans="1:11" ht="54" customHeight="1">
      <c r="A14522" s="9" t="s">
        <v>29455</v>
      </c>
      <c r="B14522" s="9" t="s">
        <v>29455</v>
      </c>
      <c r="C14522" s="9" t="s">
        <v>66</v>
      </c>
      <c r="D14522" s="9" t="s">
        <v>67</v>
      </c>
      <c r="E14522" s="10" t="s">
        <v>1103</v>
      </c>
      <c r="F14522" s="9" t="s">
        <v>1104</v>
      </c>
      <c r="G14522" s="10" t="s">
        <v>86</v>
      </c>
      <c r="H14522" s="9" t="s">
        <v>22</v>
      </c>
      <c r="I14522" s="9" t="s">
        <v>29532</v>
      </c>
      <c r="J14522" s="10" t="str">
        <f>HYPERLINK("https://www.boe.es/gazeta/dias/1834/10/10/pdfs/GMD-C-1834-238.pdf#page=2","Abrir facsímil")</f>
        <v>Abrir facsímil</v>
      </c>
      <c r="K14522" s="10" t="s">
        <v>24</v>
      </c>
    </row>
    <row r="14523" spans="1:11" ht="54" customHeight="1">
      <c r="A14523" s="9" t="s">
        <v>29455</v>
      </c>
      <c r="B14523" s="9" t="s">
        <v>29455</v>
      </c>
      <c r="C14523" s="9" t="s">
        <v>66</v>
      </c>
      <c r="D14523" s="9" t="s">
        <v>67</v>
      </c>
      <c r="E14523" s="10" t="s">
        <v>1103</v>
      </c>
      <c r="F14523" s="9" t="s">
        <v>1104</v>
      </c>
      <c r="G14523" s="10" t="s">
        <v>21</v>
      </c>
      <c r="H14523" s="9" t="s">
        <v>22</v>
      </c>
      <c r="I14523" s="9" t="s">
        <v>29533</v>
      </c>
      <c r="J14523" s="10" t="str">
        <f>HYPERLINK("https://www.boe.es/gazeta/dias/1834/10/10/pdfs/GMD-C-1834-238.pdf#page=3","Abrir facsímil")</f>
        <v>Abrir facsímil</v>
      </c>
      <c r="K14523" s="10" t="s">
        <v>24</v>
      </c>
    </row>
    <row r="14524" spans="1:11" ht="54" customHeight="1">
      <c r="A14524" s="9" t="s">
        <v>29455</v>
      </c>
      <c r="B14524" s="9" t="s">
        <v>29455</v>
      </c>
      <c r="C14524" s="9" t="s">
        <v>66</v>
      </c>
      <c r="D14524" s="9" t="s">
        <v>67</v>
      </c>
      <c r="E14524" s="10" t="s">
        <v>1103</v>
      </c>
      <c r="F14524" s="9" t="s">
        <v>1104</v>
      </c>
      <c r="G14524" s="10" t="s">
        <v>75</v>
      </c>
      <c r="H14524" s="9" t="s">
        <v>22</v>
      </c>
      <c r="I14524" s="9" t="s">
        <v>29534</v>
      </c>
      <c r="J14524" s="10" t="str">
        <f>HYPERLINK("https://www.boe.es/gazeta/dias/1834/10/10/pdfs/GMD-C-1834-238.pdf#page=4","Abrir facsímil")</f>
        <v>Abrir facsímil</v>
      </c>
      <c r="K14524" s="10" t="s">
        <v>24</v>
      </c>
    </row>
    <row r="14525" spans="1:11" ht="54" customHeight="1">
      <c r="A14525" s="9" t="s">
        <v>29455</v>
      </c>
      <c r="B14525" s="9" t="s">
        <v>29455</v>
      </c>
      <c r="C14525" s="9" t="s">
        <v>17</v>
      </c>
      <c r="D14525" s="9" t="s">
        <v>18</v>
      </c>
      <c r="E14525" s="10" t="s">
        <v>441</v>
      </c>
      <c r="F14525" s="9" t="s">
        <v>442</v>
      </c>
      <c r="G14525" s="10" t="s">
        <v>86</v>
      </c>
      <c r="H14525" s="9" t="s">
        <v>22</v>
      </c>
      <c r="I14525" s="9" t="s">
        <v>29535</v>
      </c>
      <c r="J14525" s="10" t="str">
        <f>HYPERLINK("https://www.boe.es/gazeta/dias/1834/11/10/pdfs/GMD-1834-269.pdf#page=2","Abrir facsímil")</f>
        <v>Abrir facsímil</v>
      </c>
      <c r="K14525" s="10" t="s">
        <v>24</v>
      </c>
    </row>
    <row r="14526" spans="1:11" ht="54" customHeight="1">
      <c r="A14526" s="9" t="s">
        <v>29455</v>
      </c>
      <c r="B14526" s="9" t="s">
        <v>29455</v>
      </c>
      <c r="C14526" s="9" t="s">
        <v>17</v>
      </c>
      <c r="D14526" s="9" t="s">
        <v>18</v>
      </c>
      <c r="E14526" s="10" t="s">
        <v>441</v>
      </c>
      <c r="F14526" s="9" t="s">
        <v>442</v>
      </c>
      <c r="G14526" s="10" t="s">
        <v>21</v>
      </c>
      <c r="H14526" s="9" t="s">
        <v>22</v>
      </c>
      <c r="I14526" s="9" t="s">
        <v>29536</v>
      </c>
      <c r="J14526" s="10" t="str">
        <f>HYPERLINK("https://www.boe.es/gazeta/dias/1834/11/10/pdfs/GMD-1834-269.pdf#page=3","Abrir facsímil")</f>
        <v>Abrir facsímil</v>
      </c>
      <c r="K14526" s="10" t="s">
        <v>24</v>
      </c>
    </row>
    <row r="14527" spans="1:11" ht="54" customHeight="1">
      <c r="A14527" s="9" t="s">
        <v>29455</v>
      </c>
      <c r="B14527" s="9" t="s">
        <v>29455</v>
      </c>
      <c r="C14527" s="9" t="s">
        <v>17</v>
      </c>
      <c r="D14527" s="9" t="s">
        <v>101</v>
      </c>
      <c r="E14527" s="10" t="s">
        <v>679</v>
      </c>
      <c r="F14527" s="9" t="s">
        <v>699</v>
      </c>
      <c r="G14527" s="10" t="s">
        <v>34</v>
      </c>
      <c r="H14527" s="9" t="s">
        <v>22</v>
      </c>
      <c r="I14527" s="9" t="s">
        <v>29537</v>
      </c>
      <c r="J14527" s="10" t="str">
        <f>HYPERLINK("https://www.boe.es/gazeta/dias/1834/12/10/pdfs/GMD-C-1834-299.pdf#page=1","Abrir facsímil")</f>
        <v>Abrir facsímil</v>
      </c>
      <c r="K14527" s="10" t="s">
        <v>24</v>
      </c>
    </row>
    <row r="14528" spans="1:11" ht="54" customHeight="1">
      <c r="A14528" s="9" t="s">
        <v>29455</v>
      </c>
      <c r="B14528" s="9" t="s">
        <v>29455</v>
      </c>
      <c r="C14528" s="9" t="s">
        <v>17</v>
      </c>
      <c r="D14528" s="9" t="s">
        <v>18</v>
      </c>
      <c r="E14528" s="10" t="s">
        <v>679</v>
      </c>
      <c r="F14528" s="9" t="s">
        <v>699</v>
      </c>
      <c r="G14528" s="10" t="s">
        <v>86</v>
      </c>
      <c r="H14528" s="9" t="s">
        <v>22</v>
      </c>
      <c r="I14528" s="9" t="s">
        <v>29538</v>
      </c>
      <c r="J14528" s="10" t="str">
        <f>HYPERLINK("https://www.boe.es/gazeta/dias/1834/12/10/pdfs/GMD-C-1834-299.pdf#page=2","Abrir facsímil")</f>
        <v>Abrir facsímil</v>
      </c>
      <c r="K14528" s="10" t="s">
        <v>24</v>
      </c>
    </row>
    <row r="14529" spans="1:11" ht="54" customHeight="1">
      <c r="A14529" s="9" t="s">
        <v>29455</v>
      </c>
      <c r="B14529" s="9" t="s">
        <v>29455</v>
      </c>
      <c r="C14529" s="9" t="s">
        <v>17</v>
      </c>
      <c r="D14529" s="9" t="s">
        <v>18</v>
      </c>
      <c r="E14529" s="10" t="s">
        <v>679</v>
      </c>
      <c r="F14529" s="9" t="s">
        <v>699</v>
      </c>
      <c r="G14529" s="10" t="s">
        <v>21</v>
      </c>
      <c r="H14529" s="9" t="s">
        <v>22</v>
      </c>
      <c r="I14529" s="9" t="s">
        <v>29539</v>
      </c>
      <c r="J14529" s="10" t="str">
        <f>HYPERLINK("https://www.boe.es/gazeta/dias/1834/12/10/pdfs/GMD-C-1834-299.pdf#page=3","Abrir facsímil")</f>
        <v>Abrir facsímil</v>
      </c>
      <c r="K14529" s="10" t="s">
        <v>24</v>
      </c>
    </row>
    <row r="14530" spans="1:11" ht="54" customHeight="1">
      <c r="A14530" s="9" t="s">
        <v>29455</v>
      </c>
      <c r="B14530" s="9" t="s">
        <v>29455</v>
      </c>
      <c r="C14530" s="9" t="s">
        <v>17</v>
      </c>
      <c r="D14530" s="9" t="s">
        <v>18</v>
      </c>
      <c r="E14530" s="10" t="s">
        <v>679</v>
      </c>
      <c r="F14530" s="9" t="s">
        <v>699</v>
      </c>
      <c r="G14530" s="10" t="s">
        <v>75</v>
      </c>
      <c r="H14530" s="9" t="s">
        <v>22</v>
      </c>
      <c r="I14530" s="9" t="s">
        <v>29540</v>
      </c>
      <c r="J14530" s="10" t="str">
        <f>HYPERLINK("https://www.boe.es/gazeta/dias/1834/12/10/pdfs/GMD-C-1834-299.pdf#page=4","Abrir facsímil")</f>
        <v>Abrir facsímil</v>
      </c>
      <c r="K14530" s="10" t="s">
        <v>24</v>
      </c>
    </row>
    <row r="14531" spans="1:11" ht="54" customHeight="1">
      <c r="A14531" s="9" t="s">
        <v>29455</v>
      </c>
      <c r="B14531" s="9" t="s">
        <v>29455</v>
      </c>
      <c r="C14531" s="9" t="s">
        <v>46</v>
      </c>
      <c r="D14531" s="9" t="s">
        <v>55</v>
      </c>
      <c r="E14531" s="10" t="s">
        <v>334</v>
      </c>
      <c r="F14531" s="9" t="s">
        <v>335</v>
      </c>
      <c r="G14531" s="10" t="s">
        <v>86</v>
      </c>
      <c r="H14531" s="9" t="s">
        <v>22</v>
      </c>
      <c r="I14531" s="9" t="s">
        <v>29541</v>
      </c>
      <c r="J14531" s="10" t="str">
        <f>HYPERLINK("https://www.boe.es/gazeta/dias/1834/09/11/pdfs/GMD-C-1834-209.pdf#page=2","Abrir facsímil")</f>
        <v>Abrir facsímil</v>
      </c>
      <c r="K14531" s="10" t="s">
        <v>24</v>
      </c>
    </row>
    <row r="14532" spans="1:11" ht="54" customHeight="1">
      <c r="A14532" s="9" t="s">
        <v>29455</v>
      </c>
      <c r="B14532" s="9" t="s">
        <v>29455</v>
      </c>
      <c r="C14532" s="9" t="s">
        <v>90</v>
      </c>
      <c r="D14532" s="9" t="s">
        <v>18</v>
      </c>
      <c r="E14532" s="10" t="s">
        <v>334</v>
      </c>
      <c r="F14532" s="9" t="s">
        <v>335</v>
      </c>
      <c r="G14532" s="10" t="s">
        <v>75</v>
      </c>
      <c r="H14532" s="9" t="s">
        <v>22</v>
      </c>
      <c r="I14532" s="9" t="s">
        <v>29542</v>
      </c>
      <c r="J14532" s="10" t="str">
        <f>HYPERLINK("https://www.boe.es/gazeta/dias/1834/09/11/pdfs/GMD-C-1834-209.pdf#page=4","Abrir facsímil")</f>
        <v>Abrir facsímil</v>
      </c>
      <c r="K14532" s="10" t="s">
        <v>24</v>
      </c>
    </row>
    <row r="14533" spans="1:11" ht="54" customHeight="1">
      <c r="A14533" s="9" t="s">
        <v>29455</v>
      </c>
      <c r="B14533" s="9" t="s">
        <v>29455</v>
      </c>
      <c r="C14533" s="9" t="s">
        <v>17</v>
      </c>
      <c r="D14533" s="9" t="s">
        <v>18</v>
      </c>
      <c r="E14533" s="10" t="s">
        <v>96</v>
      </c>
      <c r="F14533" s="9" t="s">
        <v>1725</v>
      </c>
      <c r="G14533" s="10" t="s">
        <v>34</v>
      </c>
      <c r="H14533" s="9" t="s">
        <v>22</v>
      </c>
      <c r="I14533" s="9" t="s">
        <v>29543</v>
      </c>
      <c r="J14533" s="10" t="str">
        <f>HYPERLINK("https://www.boe.es/gazeta/dias/1834/11/11/pdfs/GMD-1834-270.pdf#page=1","Abrir facsímil")</f>
        <v>Abrir facsímil</v>
      </c>
      <c r="K14533" s="10" t="s">
        <v>24</v>
      </c>
    </row>
    <row r="14534" spans="1:11" ht="54" customHeight="1">
      <c r="A14534" s="9" t="s">
        <v>29455</v>
      </c>
      <c r="B14534" s="9" t="s">
        <v>29455</v>
      </c>
      <c r="C14534" s="9" t="s">
        <v>46</v>
      </c>
      <c r="D14534" s="9" t="s">
        <v>18</v>
      </c>
      <c r="E14534" s="10" t="s">
        <v>96</v>
      </c>
      <c r="F14534" s="9" t="s">
        <v>1725</v>
      </c>
      <c r="G14534" s="10" t="s">
        <v>21</v>
      </c>
      <c r="H14534" s="9" t="s">
        <v>22</v>
      </c>
      <c r="I14534" s="9" t="s">
        <v>29544</v>
      </c>
      <c r="J14534" s="10" t="str">
        <f>HYPERLINK("https://www.boe.es/gazeta/dias/1834/11/11/pdfs/GMD-1834-270.pdf#page=3","Abrir facsímil")</f>
        <v>Abrir facsímil</v>
      </c>
      <c r="K14534" s="10" t="s">
        <v>24</v>
      </c>
    </row>
    <row r="14535" spans="1:11" ht="54" customHeight="1">
      <c r="A14535" s="9" t="s">
        <v>29455</v>
      </c>
      <c r="B14535" s="9" t="s">
        <v>29455</v>
      </c>
      <c r="C14535" s="9" t="s">
        <v>46</v>
      </c>
      <c r="D14535" s="9" t="s">
        <v>101</v>
      </c>
      <c r="E14535" s="10" t="s">
        <v>96</v>
      </c>
      <c r="F14535" s="9" t="s">
        <v>97</v>
      </c>
      <c r="G14535" s="10" t="s">
        <v>34</v>
      </c>
      <c r="H14535" s="9" t="s">
        <v>22</v>
      </c>
      <c r="I14535" s="9" t="s">
        <v>29545</v>
      </c>
      <c r="J14535" s="10" t="str">
        <f>HYPERLINK("https://www.boe.es/gazeta/dias/1834/11/11/pdfs/GMD-C-1834-270.pdf#page=1","Abrir facsímil")</f>
        <v>Abrir facsímil</v>
      </c>
      <c r="K14535" s="10" t="s">
        <v>24</v>
      </c>
    </row>
    <row r="14536" spans="1:11" ht="54" customHeight="1">
      <c r="A14536" s="9" t="s">
        <v>29455</v>
      </c>
      <c r="B14536" s="9" t="s">
        <v>29455</v>
      </c>
      <c r="C14536" s="9" t="s">
        <v>17</v>
      </c>
      <c r="D14536" s="9" t="s">
        <v>18</v>
      </c>
      <c r="E14536" s="10" t="s">
        <v>96</v>
      </c>
      <c r="F14536" s="9" t="s">
        <v>97</v>
      </c>
      <c r="G14536" s="10" t="s">
        <v>86</v>
      </c>
      <c r="H14536" s="9" t="s">
        <v>22</v>
      </c>
      <c r="I14536" s="9" t="s">
        <v>29546</v>
      </c>
      <c r="J14536" s="10" t="str">
        <f>HYPERLINK("https://www.boe.es/gazeta/dias/1834/11/11/pdfs/GMD-C-1834-270.pdf#page=2","Abrir facsímil")</f>
        <v>Abrir facsímil</v>
      </c>
      <c r="K14536" s="10" t="s">
        <v>24</v>
      </c>
    </row>
    <row r="14537" spans="1:11" ht="54" customHeight="1">
      <c r="A14537" s="9" t="s">
        <v>29455</v>
      </c>
      <c r="B14537" s="9" t="s">
        <v>29455</v>
      </c>
      <c r="C14537" s="9" t="s">
        <v>122</v>
      </c>
      <c r="D14537" s="9" t="s">
        <v>40</v>
      </c>
      <c r="E14537" s="10" t="s">
        <v>96</v>
      </c>
      <c r="F14537" s="9" t="s">
        <v>97</v>
      </c>
      <c r="G14537" s="10" t="s">
        <v>176</v>
      </c>
      <c r="H14537" s="9" t="s">
        <v>22</v>
      </c>
      <c r="I14537" s="9" t="s">
        <v>29547</v>
      </c>
      <c r="J14537" s="10" t="str">
        <f>HYPERLINK("https://www.boe.es/gazeta/dias/1834/11/11/pdfs/GMD-C-1834-270.pdf#page=6","Abrir facsímil")</f>
        <v>Abrir facsímil</v>
      </c>
      <c r="K14537" s="10" t="s">
        <v>24</v>
      </c>
    </row>
    <row r="14538" spans="1:11" ht="54" customHeight="1">
      <c r="A14538" s="9" t="s">
        <v>29455</v>
      </c>
      <c r="B14538" s="9" t="s">
        <v>29455</v>
      </c>
      <c r="C14538" s="9" t="s">
        <v>46</v>
      </c>
      <c r="D14538" s="9" t="s">
        <v>101</v>
      </c>
      <c r="E14538" s="10" t="s">
        <v>200</v>
      </c>
      <c r="F14538" s="9" t="s">
        <v>2248</v>
      </c>
      <c r="G14538" s="10" t="s">
        <v>34</v>
      </c>
      <c r="H14538" s="9" t="s">
        <v>22</v>
      </c>
      <c r="I14538" s="9" t="s">
        <v>29548</v>
      </c>
      <c r="J14538" s="10" t="str">
        <f>HYPERLINK("https://www.boe.es/gazeta/dias/1834/12/11/pdfs/GMD-C-1834-300.pdf#page=1","Abrir facsímil")</f>
        <v>Abrir facsímil</v>
      </c>
      <c r="K14538" s="10" t="s">
        <v>24</v>
      </c>
    </row>
    <row r="14539" spans="1:11" ht="54" customHeight="1">
      <c r="A14539" s="9" t="s">
        <v>29455</v>
      </c>
      <c r="B14539" s="9" t="s">
        <v>29455</v>
      </c>
      <c r="C14539" s="9" t="s">
        <v>17</v>
      </c>
      <c r="D14539" s="9" t="s">
        <v>18</v>
      </c>
      <c r="E14539" s="10" t="s">
        <v>200</v>
      </c>
      <c r="F14539" s="9" t="s">
        <v>2248</v>
      </c>
      <c r="G14539" s="10" t="s">
        <v>28</v>
      </c>
      <c r="H14539" s="9" t="s">
        <v>22</v>
      </c>
      <c r="I14539" s="9" t="s">
        <v>29549</v>
      </c>
      <c r="J14539" s="10" t="str">
        <f>HYPERLINK("https://www.boe.es/gazeta/dias/1834/12/11/pdfs/GMD-C-1834-300.pdf#page=5","Abrir facsímil")</f>
        <v>Abrir facsímil</v>
      </c>
      <c r="K14539" s="10" t="s">
        <v>24</v>
      </c>
    </row>
    <row r="14540" spans="1:11" ht="54" customHeight="1">
      <c r="A14540" s="9" t="s">
        <v>29455</v>
      </c>
      <c r="B14540" s="9" t="s">
        <v>29455</v>
      </c>
      <c r="C14540" s="9" t="s">
        <v>66</v>
      </c>
      <c r="D14540" s="9" t="s">
        <v>101</v>
      </c>
      <c r="E14540" s="10" t="s">
        <v>1839</v>
      </c>
      <c r="F14540" s="9" t="s">
        <v>1840</v>
      </c>
      <c r="G14540" s="10" t="s">
        <v>34</v>
      </c>
      <c r="H14540" s="9" t="s">
        <v>22</v>
      </c>
      <c r="I14540" s="9" t="s">
        <v>29550</v>
      </c>
      <c r="J14540" s="10" t="str">
        <f>HYPERLINK("https://www.boe.es/gazeta/dias/1834/08/12/pdfs/GMD-C-1834-177.pdf#page=1","Abrir facsímil")</f>
        <v>Abrir facsímil</v>
      </c>
      <c r="K14540" s="10" t="s">
        <v>24</v>
      </c>
    </row>
    <row r="14541" spans="1:11" ht="54" customHeight="1">
      <c r="A14541" s="9" t="s">
        <v>29455</v>
      </c>
      <c r="B14541" s="9" t="s">
        <v>29455</v>
      </c>
      <c r="C14541" s="9" t="s">
        <v>17</v>
      </c>
      <c r="D14541" s="9" t="s">
        <v>18</v>
      </c>
      <c r="E14541" s="10" t="s">
        <v>1839</v>
      </c>
      <c r="F14541" s="9" t="s">
        <v>1840</v>
      </c>
      <c r="G14541" s="10" t="s">
        <v>86</v>
      </c>
      <c r="H14541" s="9" t="s">
        <v>22</v>
      </c>
      <c r="I14541" s="9" t="s">
        <v>29551</v>
      </c>
      <c r="J14541" s="10" t="str">
        <f>HYPERLINK("https://www.boe.es/gazeta/dias/1834/08/12/pdfs/GMD-C-1834-177.pdf#page=2","Abrir facsímil")</f>
        <v>Abrir facsímil</v>
      </c>
      <c r="K14541" s="10" t="s">
        <v>24</v>
      </c>
    </row>
    <row r="14542" spans="1:11" ht="54" customHeight="1">
      <c r="A14542" s="9" t="s">
        <v>29455</v>
      </c>
      <c r="B14542" s="9" t="s">
        <v>29455</v>
      </c>
      <c r="C14542" s="9" t="s">
        <v>17</v>
      </c>
      <c r="D14542" s="9" t="s">
        <v>40</v>
      </c>
      <c r="E14542" s="10" t="s">
        <v>444</v>
      </c>
      <c r="F14542" s="9" t="s">
        <v>445</v>
      </c>
      <c r="G14542" s="10" t="s">
        <v>34</v>
      </c>
      <c r="H14542" s="9" t="s">
        <v>22</v>
      </c>
      <c r="I14542" s="9" t="s">
        <v>29552</v>
      </c>
      <c r="J14542" s="10" t="str">
        <f>HYPERLINK("https://www.boe.es/gazeta/dias/1834/09/12/pdfs/GMD-C-1834-210.pdf#page=1","Abrir facsímil")</f>
        <v>Abrir facsímil</v>
      </c>
      <c r="K14542" s="10" t="s">
        <v>24</v>
      </c>
    </row>
    <row r="14543" spans="1:11" ht="54" customHeight="1">
      <c r="A14543" s="9" t="s">
        <v>29455</v>
      </c>
      <c r="B14543" s="9" t="s">
        <v>29455</v>
      </c>
      <c r="C14543" s="9" t="s">
        <v>46</v>
      </c>
      <c r="D14543" s="9" t="s">
        <v>101</v>
      </c>
      <c r="E14543" s="10" t="s">
        <v>444</v>
      </c>
      <c r="F14543" s="9" t="s">
        <v>445</v>
      </c>
      <c r="G14543" s="10" t="s">
        <v>21</v>
      </c>
      <c r="H14543" s="9" t="s">
        <v>22</v>
      </c>
      <c r="I14543" s="9" t="s">
        <v>29553</v>
      </c>
      <c r="J14543" s="10" t="str">
        <f>HYPERLINK("https://www.boe.es/gazeta/dias/1834/09/12/pdfs/GMD-C-1834-210.pdf#page=3","Abrir facsímil")</f>
        <v>Abrir facsímil</v>
      </c>
      <c r="K14543" s="10" t="s">
        <v>24</v>
      </c>
    </row>
    <row r="14544" spans="1:11" ht="54" customHeight="1">
      <c r="A14544" s="9" t="s">
        <v>29455</v>
      </c>
      <c r="B14544" s="9" t="s">
        <v>29455</v>
      </c>
      <c r="C14544" s="9" t="s">
        <v>90</v>
      </c>
      <c r="D14544" s="9" t="s">
        <v>18</v>
      </c>
      <c r="E14544" s="10" t="s">
        <v>444</v>
      </c>
      <c r="F14544" s="9" t="s">
        <v>445</v>
      </c>
      <c r="G14544" s="10" t="s">
        <v>28</v>
      </c>
      <c r="H14544" s="9" t="s">
        <v>22</v>
      </c>
      <c r="I14544" s="9" t="s">
        <v>29554</v>
      </c>
      <c r="J14544" s="10" t="str">
        <f>HYPERLINK("https://www.boe.es/gazeta/dias/1834/09/12/pdfs/GMD-C-1834-210.pdf#page=5","Abrir facsímil")</f>
        <v>Abrir facsímil</v>
      </c>
      <c r="K14544" s="10" t="s">
        <v>24</v>
      </c>
    </row>
    <row r="14545" spans="1:11" ht="54" customHeight="1">
      <c r="A14545" s="9" t="s">
        <v>29455</v>
      </c>
      <c r="B14545" s="9" t="s">
        <v>29455</v>
      </c>
      <c r="C14545" s="9" t="s">
        <v>17</v>
      </c>
      <c r="D14545" s="9" t="s">
        <v>40</v>
      </c>
      <c r="E14545" s="10" t="s">
        <v>642</v>
      </c>
      <c r="F14545" s="9" t="s">
        <v>643</v>
      </c>
      <c r="G14545" s="10" t="s">
        <v>34</v>
      </c>
      <c r="H14545" s="9" t="s">
        <v>22</v>
      </c>
      <c r="I14545" s="9" t="s">
        <v>29555</v>
      </c>
      <c r="J14545" s="10" t="str">
        <f>HYPERLINK("https://www.boe.es/gazeta/dias/1834/11/12/pdfs/GMD-C-1834-271.pdf#page=1","Abrir facsímil")</f>
        <v>Abrir facsímil</v>
      </c>
      <c r="K14545" s="10" t="s">
        <v>24</v>
      </c>
    </row>
    <row r="14546" spans="1:11" ht="54" customHeight="1">
      <c r="A14546" s="9" t="s">
        <v>29455</v>
      </c>
      <c r="B14546" s="9" t="s">
        <v>29455</v>
      </c>
      <c r="C14546" s="9" t="s">
        <v>17</v>
      </c>
      <c r="D14546" s="9" t="s">
        <v>18</v>
      </c>
      <c r="E14546" s="10" t="s">
        <v>642</v>
      </c>
      <c r="F14546" s="9" t="s">
        <v>643</v>
      </c>
      <c r="G14546" s="10" t="s">
        <v>86</v>
      </c>
      <c r="H14546" s="9" t="s">
        <v>22</v>
      </c>
      <c r="I14546" s="9" t="s">
        <v>29556</v>
      </c>
      <c r="J14546" s="10" t="str">
        <f>HYPERLINK("https://www.boe.es/gazeta/dias/1834/11/12/pdfs/GMD-C-1834-271.pdf#page=2","Abrir facsímil")</f>
        <v>Abrir facsímil</v>
      </c>
      <c r="K14546" s="10" t="s">
        <v>24</v>
      </c>
    </row>
    <row r="14547" spans="1:11" ht="54" customHeight="1">
      <c r="A14547" s="9" t="s">
        <v>29455</v>
      </c>
      <c r="B14547" s="9" t="s">
        <v>29455</v>
      </c>
      <c r="C14547" s="9" t="s">
        <v>17</v>
      </c>
      <c r="D14547" s="9" t="s">
        <v>18</v>
      </c>
      <c r="E14547" s="10" t="s">
        <v>642</v>
      </c>
      <c r="F14547" s="9" t="s">
        <v>643</v>
      </c>
      <c r="G14547" s="10" t="s">
        <v>21</v>
      </c>
      <c r="H14547" s="9" t="s">
        <v>22</v>
      </c>
      <c r="I14547" s="9" t="s">
        <v>29557</v>
      </c>
      <c r="J14547" s="10" t="str">
        <f>HYPERLINK("https://www.boe.es/gazeta/dias/1834/11/12/pdfs/GMD-C-1834-271.pdf#page=3","Abrir facsímil")</f>
        <v>Abrir facsímil</v>
      </c>
      <c r="K14547" s="10" t="s">
        <v>24</v>
      </c>
    </row>
    <row r="14548" spans="1:11" ht="54" customHeight="1">
      <c r="A14548" s="9" t="s">
        <v>29455</v>
      </c>
      <c r="B14548" s="9" t="s">
        <v>29455</v>
      </c>
      <c r="C14548" s="9" t="s">
        <v>17</v>
      </c>
      <c r="D14548" s="9" t="s">
        <v>18</v>
      </c>
      <c r="E14548" s="10" t="s">
        <v>642</v>
      </c>
      <c r="F14548" s="9" t="s">
        <v>643</v>
      </c>
      <c r="G14548" s="10" t="s">
        <v>28</v>
      </c>
      <c r="H14548" s="9" t="s">
        <v>22</v>
      </c>
      <c r="I14548" s="9" t="s">
        <v>29558</v>
      </c>
      <c r="J14548" s="10" t="str">
        <f>HYPERLINK("https://www.boe.es/gazeta/dias/1834/11/12/pdfs/GMD-C-1834-271.pdf#page=5","Abrir facsímil")</f>
        <v>Abrir facsímil</v>
      </c>
      <c r="K14548" s="10" t="s">
        <v>24</v>
      </c>
    </row>
    <row r="14549" spans="1:11" ht="54" customHeight="1">
      <c r="A14549" s="9" t="s">
        <v>29455</v>
      </c>
      <c r="B14549" s="9" t="s">
        <v>29455</v>
      </c>
      <c r="C14549" s="9" t="s">
        <v>17</v>
      </c>
      <c r="D14549" s="9" t="s">
        <v>40</v>
      </c>
      <c r="E14549" s="10" t="s">
        <v>642</v>
      </c>
      <c r="F14549" s="9" t="s">
        <v>643</v>
      </c>
      <c r="G14549" s="10" t="s">
        <v>470</v>
      </c>
      <c r="H14549" s="9" t="s">
        <v>22</v>
      </c>
      <c r="I14549" s="9" t="s">
        <v>29559</v>
      </c>
      <c r="J14549" s="10" t="str">
        <f>HYPERLINK("https://www.boe.es/gazeta/dias/1834/11/12/pdfs/GMD-C-1834-271.pdf#page=8","Abrir facsímil")</f>
        <v>Abrir facsímil</v>
      </c>
      <c r="K14549" s="10" t="s">
        <v>24</v>
      </c>
    </row>
    <row r="14550" spans="1:11" ht="54" customHeight="1">
      <c r="A14550" s="9" t="s">
        <v>29455</v>
      </c>
      <c r="B14550" s="9" t="s">
        <v>29455</v>
      </c>
      <c r="C14550" s="9" t="s">
        <v>46</v>
      </c>
      <c r="D14550" s="9" t="s">
        <v>40</v>
      </c>
      <c r="E14550" s="10" t="s">
        <v>299</v>
      </c>
      <c r="F14550" s="9" t="s">
        <v>2255</v>
      </c>
      <c r="G14550" s="10" t="s">
        <v>34</v>
      </c>
      <c r="H14550" s="9" t="s">
        <v>22</v>
      </c>
      <c r="I14550" s="9" t="s">
        <v>29560</v>
      </c>
      <c r="J14550" s="10" t="str">
        <f>HYPERLINK("https://www.boe.es/gazeta/dias/1834/12/12/pdfs/GMD-C-1834-301.pdf#page=1","Abrir facsímil")</f>
        <v>Abrir facsímil</v>
      </c>
      <c r="K14550" s="10" t="s">
        <v>24</v>
      </c>
    </row>
    <row r="14551" spans="1:11" ht="54" customHeight="1">
      <c r="A14551" s="9" t="s">
        <v>29455</v>
      </c>
      <c r="B14551" s="9" t="s">
        <v>29455</v>
      </c>
      <c r="C14551" s="9" t="s">
        <v>17</v>
      </c>
      <c r="D14551" s="9" t="s">
        <v>18</v>
      </c>
      <c r="E14551" s="10" t="s">
        <v>299</v>
      </c>
      <c r="F14551" s="9" t="s">
        <v>2255</v>
      </c>
      <c r="G14551" s="10" t="s">
        <v>86</v>
      </c>
      <c r="H14551" s="9" t="s">
        <v>22</v>
      </c>
      <c r="I14551" s="9" t="s">
        <v>29561</v>
      </c>
      <c r="J14551" s="10" t="str">
        <f>HYPERLINK("https://www.boe.es/gazeta/dias/1834/12/12/pdfs/GMD-C-1834-301.pdf#page=2","Abrir facsímil")</f>
        <v>Abrir facsímil</v>
      </c>
      <c r="K14551" s="10" t="s">
        <v>24</v>
      </c>
    </row>
    <row r="14552" spans="1:11" ht="54" customHeight="1">
      <c r="A14552" s="9" t="s">
        <v>29455</v>
      </c>
      <c r="B14552" s="9" t="s">
        <v>29455</v>
      </c>
      <c r="C14552" s="9" t="s">
        <v>17</v>
      </c>
      <c r="D14552" s="9" t="s">
        <v>40</v>
      </c>
      <c r="E14552" s="10" t="s">
        <v>299</v>
      </c>
      <c r="F14552" s="9" t="s">
        <v>2255</v>
      </c>
      <c r="G14552" s="10" t="s">
        <v>75</v>
      </c>
      <c r="H14552" s="9" t="s">
        <v>22</v>
      </c>
      <c r="I14552" s="9" t="s">
        <v>29562</v>
      </c>
      <c r="J14552" s="10" t="str">
        <f>HYPERLINK("https://www.boe.es/gazeta/dias/1834/12/12/pdfs/GMD-C-1834-301.pdf#page=4","Abrir facsímil")</f>
        <v>Abrir facsímil</v>
      </c>
      <c r="K14552" s="10" t="s">
        <v>24</v>
      </c>
    </row>
    <row r="14553" spans="1:11" ht="54" customHeight="1">
      <c r="A14553" s="9" t="s">
        <v>29455</v>
      </c>
      <c r="B14553" s="9" t="s">
        <v>29455</v>
      </c>
      <c r="C14553" s="9" t="s">
        <v>17</v>
      </c>
      <c r="D14553" s="9" t="s">
        <v>18</v>
      </c>
      <c r="E14553" s="10" t="s">
        <v>299</v>
      </c>
      <c r="F14553" s="9" t="s">
        <v>2255</v>
      </c>
      <c r="G14553" s="10" t="s">
        <v>176</v>
      </c>
      <c r="H14553" s="9" t="s">
        <v>22</v>
      </c>
      <c r="I14553" s="9" t="s">
        <v>29563</v>
      </c>
      <c r="J14553" s="10" t="str">
        <f>HYPERLINK("https://www.boe.es/gazeta/dias/1834/12/12/pdfs/GMD-C-1834-301.pdf#page=6","Abrir facsímil")</f>
        <v>Abrir facsímil</v>
      </c>
      <c r="K14553" s="10" t="s">
        <v>24</v>
      </c>
    </row>
    <row r="14554" spans="1:11" ht="54" customHeight="1">
      <c r="A14554" s="9" t="s">
        <v>29455</v>
      </c>
      <c r="B14554" s="9" t="s">
        <v>29455</v>
      </c>
      <c r="C14554" s="9" t="s">
        <v>17</v>
      </c>
      <c r="D14554" s="9" t="s">
        <v>18</v>
      </c>
      <c r="E14554" s="10" t="s">
        <v>299</v>
      </c>
      <c r="F14554" s="9" t="s">
        <v>2255</v>
      </c>
      <c r="G14554" s="10" t="s">
        <v>560</v>
      </c>
      <c r="H14554" s="9" t="s">
        <v>22</v>
      </c>
      <c r="I14554" s="9" t="s">
        <v>29564</v>
      </c>
      <c r="J14554" s="10" t="str">
        <f>HYPERLINK("https://www.boe.es/gazeta/dias/1834/12/12/pdfs/GMD-C-1834-301.pdf#page=7","Abrir facsímil")</f>
        <v>Abrir facsímil</v>
      </c>
      <c r="K14554" s="10" t="s">
        <v>24</v>
      </c>
    </row>
    <row r="14555" spans="1:11" ht="54" customHeight="1">
      <c r="A14555" s="9" t="s">
        <v>29455</v>
      </c>
      <c r="B14555" s="9" t="s">
        <v>29455</v>
      </c>
      <c r="C14555" s="9" t="s">
        <v>17</v>
      </c>
      <c r="D14555" s="9" t="s">
        <v>18</v>
      </c>
      <c r="E14555" s="10" t="s">
        <v>299</v>
      </c>
      <c r="F14555" s="9" t="s">
        <v>2255</v>
      </c>
      <c r="G14555" s="10" t="s">
        <v>470</v>
      </c>
      <c r="H14555" s="9" t="s">
        <v>22</v>
      </c>
      <c r="I14555" s="9" t="s">
        <v>29565</v>
      </c>
      <c r="J14555" s="10" t="str">
        <f>HYPERLINK("https://www.boe.es/gazeta/dias/1834/12/12/pdfs/GMD-C-1834-301.pdf#page=8","Abrir facsímil")</f>
        <v>Abrir facsímil</v>
      </c>
      <c r="K14555" s="10" t="s">
        <v>24</v>
      </c>
    </row>
    <row r="14556" spans="1:11" ht="54" customHeight="1">
      <c r="A14556" s="9" t="s">
        <v>29455</v>
      </c>
      <c r="B14556" s="9" t="s">
        <v>29455</v>
      </c>
      <c r="C14556" s="9" t="s">
        <v>46</v>
      </c>
      <c r="D14556" s="9" t="s">
        <v>18</v>
      </c>
      <c r="E14556" s="10" t="s">
        <v>1438</v>
      </c>
      <c r="F14556" s="9" t="s">
        <v>1439</v>
      </c>
      <c r="G14556" s="10" t="s">
        <v>86</v>
      </c>
      <c r="H14556" s="9" t="s">
        <v>22</v>
      </c>
      <c r="I14556" s="9" t="s">
        <v>29566</v>
      </c>
      <c r="J14556" s="10" t="str">
        <f>HYPERLINK("https://www.boe.es/gazeta/dias/1834/05/13/pdfs/GMD-1834-82.pdf#page=2","Abrir facsímil")</f>
        <v>Abrir facsímil</v>
      </c>
      <c r="K14556" s="10" t="s">
        <v>24</v>
      </c>
    </row>
    <row r="14557" spans="1:11" ht="54" customHeight="1">
      <c r="A14557" s="9" t="s">
        <v>29455</v>
      </c>
      <c r="B14557" s="9" t="s">
        <v>29455</v>
      </c>
      <c r="C14557" s="9" t="s">
        <v>17</v>
      </c>
      <c r="D14557" s="9" t="s">
        <v>40</v>
      </c>
      <c r="E14557" s="10" t="s">
        <v>479</v>
      </c>
      <c r="F14557" s="9" t="s">
        <v>2258</v>
      </c>
      <c r="G14557" s="10" t="s">
        <v>34</v>
      </c>
      <c r="H14557" s="9" t="s">
        <v>22</v>
      </c>
      <c r="I14557" s="9" t="s">
        <v>29567</v>
      </c>
      <c r="J14557" s="10" t="str">
        <f>HYPERLINK("https://www.boe.es/gazeta/dias/1834/08/13/pdfs/GMD-C-1834-178.pdf#page=1","Abrir facsímil")</f>
        <v>Abrir facsímil</v>
      </c>
      <c r="K14557" s="10" t="s">
        <v>24</v>
      </c>
    </row>
    <row r="14558" spans="1:11" ht="54" customHeight="1">
      <c r="A14558" s="9" t="s">
        <v>29455</v>
      </c>
      <c r="B14558" s="9" t="s">
        <v>29455</v>
      </c>
      <c r="C14558" s="9" t="s">
        <v>17</v>
      </c>
      <c r="D14558" s="9" t="s">
        <v>18</v>
      </c>
      <c r="E14558" s="10" t="s">
        <v>479</v>
      </c>
      <c r="F14558" s="9" t="s">
        <v>2258</v>
      </c>
      <c r="G14558" s="10" t="s">
        <v>21</v>
      </c>
      <c r="H14558" s="9" t="s">
        <v>22</v>
      </c>
      <c r="I14558" s="9" t="s">
        <v>29568</v>
      </c>
      <c r="J14558" s="10" t="str">
        <f>HYPERLINK("https://www.boe.es/gazeta/dias/1834/08/13/pdfs/GMD-C-1834-178.pdf#page=3","Abrir facsímil")</f>
        <v>Abrir facsímil</v>
      </c>
      <c r="K14558" s="10" t="s">
        <v>24</v>
      </c>
    </row>
    <row r="14559" spans="1:11" ht="54" customHeight="1">
      <c r="A14559" s="9" t="s">
        <v>29455</v>
      </c>
      <c r="B14559" s="9" t="s">
        <v>29455</v>
      </c>
      <c r="C14559" s="9" t="s">
        <v>17</v>
      </c>
      <c r="D14559" s="9" t="s">
        <v>18</v>
      </c>
      <c r="E14559" s="10" t="s">
        <v>2260</v>
      </c>
      <c r="F14559" s="9" t="s">
        <v>2263</v>
      </c>
      <c r="G14559" s="10" t="s">
        <v>34</v>
      </c>
      <c r="H14559" s="9" t="s">
        <v>22</v>
      </c>
      <c r="I14559" s="9" t="s">
        <v>29569</v>
      </c>
      <c r="J14559" s="10" t="str">
        <f>HYPERLINK("https://www.boe.es/gazeta/dias/1834/11/13/pdfs/GMD-C-1834-272.pdf#page=1","Abrir facsímil")</f>
        <v>Abrir facsímil</v>
      </c>
      <c r="K14559" s="10" t="s">
        <v>24</v>
      </c>
    </row>
    <row r="14560" spans="1:11" ht="54" customHeight="1">
      <c r="A14560" s="9" t="s">
        <v>29455</v>
      </c>
      <c r="B14560" s="9" t="s">
        <v>29455</v>
      </c>
      <c r="C14560" s="9" t="s">
        <v>17</v>
      </c>
      <c r="D14560" s="9" t="s">
        <v>18</v>
      </c>
      <c r="E14560" s="10" t="s">
        <v>2260</v>
      </c>
      <c r="F14560" s="9" t="s">
        <v>2263</v>
      </c>
      <c r="G14560" s="10" t="s">
        <v>86</v>
      </c>
      <c r="H14560" s="9" t="s">
        <v>22</v>
      </c>
      <c r="I14560" s="9" t="s">
        <v>29570</v>
      </c>
      <c r="J14560" s="10" t="str">
        <f>HYPERLINK("https://www.boe.es/gazeta/dias/1834/11/13/pdfs/GMD-C-1834-272.pdf#page=2","Abrir facsímil")</f>
        <v>Abrir facsímil</v>
      </c>
      <c r="K14560" s="10" t="s">
        <v>24</v>
      </c>
    </row>
    <row r="14561" spans="1:11" ht="54" customHeight="1">
      <c r="A14561" s="9" t="s">
        <v>29455</v>
      </c>
      <c r="B14561" s="9" t="s">
        <v>29455</v>
      </c>
      <c r="C14561" s="9" t="s">
        <v>66</v>
      </c>
      <c r="D14561" s="9" t="s">
        <v>18</v>
      </c>
      <c r="E14561" s="10" t="s">
        <v>2260</v>
      </c>
      <c r="F14561" s="9" t="s">
        <v>2263</v>
      </c>
      <c r="G14561" s="10" t="s">
        <v>21</v>
      </c>
      <c r="H14561" s="9" t="s">
        <v>22</v>
      </c>
      <c r="I14561" s="9" t="s">
        <v>29571</v>
      </c>
      <c r="J14561" s="10" t="str">
        <f>HYPERLINK("https://www.boe.es/gazeta/dias/1834/11/13/pdfs/GMD-C-1834-272.pdf#page=3","Abrir facsímil")</f>
        <v>Abrir facsímil</v>
      </c>
      <c r="K14561" s="10" t="s">
        <v>24</v>
      </c>
    </row>
    <row r="14562" spans="1:11" ht="54" customHeight="1">
      <c r="A14562" s="9" t="s">
        <v>29455</v>
      </c>
      <c r="B14562" s="9" t="s">
        <v>29455</v>
      </c>
      <c r="C14562" s="9" t="s">
        <v>17</v>
      </c>
      <c r="D14562" s="9" t="s">
        <v>40</v>
      </c>
      <c r="E14562" s="10" t="s">
        <v>2260</v>
      </c>
      <c r="F14562" s="9" t="s">
        <v>2263</v>
      </c>
      <c r="G14562" s="10" t="s">
        <v>176</v>
      </c>
      <c r="H14562" s="9" t="s">
        <v>22</v>
      </c>
      <c r="I14562" s="9" t="s">
        <v>29572</v>
      </c>
      <c r="J14562" s="10" t="str">
        <f>HYPERLINK("https://www.boe.es/gazeta/dias/1834/11/13/pdfs/GMD-C-1834-272.pdf#page=6","Abrir facsímil")</f>
        <v>Abrir facsímil</v>
      </c>
      <c r="K14562" s="10" t="s">
        <v>24</v>
      </c>
    </row>
    <row r="14563" spans="1:11" ht="54" customHeight="1">
      <c r="A14563" s="9" t="s">
        <v>29455</v>
      </c>
      <c r="B14563" s="9" t="s">
        <v>29455</v>
      </c>
      <c r="C14563" s="9" t="s">
        <v>17</v>
      </c>
      <c r="D14563" s="9" t="s">
        <v>18</v>
      </c>
      <c r="E14563" s="10" t="s">
        <v>2260</v>
      </c>
      <c r="F14563" s="9" t="s">
        <v>2263</v>
      </c>
      <c r="G14563" s="10" t="s">
        <v>470</v>
      </c>
      <c r="H14563" s="9" t="s">
        <v>22</v>
      </c>
      <c r="I14563" s="9" t="s">
        <v>29573</v>
      </c>
      <c r="J14563" s="10" t="str">
        <f>HYPERLINK("https://www.boe.es/gazeta/dias/1834/11/13/pdfs/GMD-C-1834-272.pdf#page=8","Abrir facsímil")</f>
        <v>Abrir facsímil</v>
      </c>
      <c r="K14563" s="10" t="s">
        <v>24</v>
      </c>
    </row>
    <row r="14564" spans="1:11" ht="54" customHeight="1">
      <c r="A14564" s="9" t="s">
        <v>29455</v>
      </c>
      <c r="B14564" s="9" t="s">
        <v>29455</v>
      </c>
      <c r="C14564" s="9" t="s">
        <v>17</v>
      </c>
      <c r="D14564" s="9" t="s">
        <v>18</v>
      </c>
      <c r="E14564" s="10" t="s">
        <v>1981</v>
      </c>
      <c r="F14564" s="9" t="s">
        <v>2471</v>
      </c>
      <c r="G14564" s="10" t="s">
        <v>34</v>
      </c>
      <c r="H14564" s="9" t="s">
        <v>22</v>
      </c>
      <c r="I14564" s="9" t="s">
        <v>29574</v>
      </c>
      <c r="J14564" s="10" t="str">
        <f>HYPERLINK("https://www.boe.es/gazeta/dias/1834/12/13/pdfs/GMD-C-1834-302.pdf#page=1","Abrir facsímil")</f>
        <v>Abrir facsímil</v>
      </c>
      <c r="K14564" s="10" t="s">
        <v>24</v>
      </c>
    </row>
    <row r="14565" spans="1:11" ht="54" customHeight="1">
      <c r="A14565" s="9" t="s">
        <v>29455</v>
      </c>
      <c r="B14565" s="9" t="s">
        <v>29455</v>
      </c>
      <c r="C14565" s="9" t="s">
        <v>17</v>
      </c>
      <c r="D14565" s="9" t="s">
        <v>18</v>
      </c>
      <c r="E14565" s="10" t="s">
        <v>1981</v>
      </c>
      <c r="F14565" s="9" t="s">
        <v>2471</v>
      </c>
      <c r="G14565" s="10" t="s">
        <v>21</v>
      </c>
      <c r="H14565" s="9" t="s">
        <v>22</v>
      </c>
      <c r="I14565" s="9" t="s">
        <v>29575</v>
      </c>
      <c r="J14565" s="10" t="str">
        <f>HYPERLINK("https://www.boe.es/gazeta/dias/1834/12/13/pdfs/GMD-C-1834-302.pdf#page=3","Abrir facsímil")</f>
        <v>Abrir facsímil</v>
      </c>
      <c r="K14565" s="10" t="s">
        <v>24</v>
      </c>
    </row>
    <row r="14566" spans="1:11" ht="54" customHeight="1">
      <c r="A14566" s="9" t="s">
        <v>29455</v>
      </c>
      <c r="B14566" s="9" t="s">
        <v>29455</v>
      </c>
      <c r="C14566" s="9" t="s">
        <v>17</v>
      </c>
      <c r="D14566" s="9" t="s">
        <v>18</v>
      </c>
      <c r="E14566" s="10" t="s">
        <v>1981</v>
      </c>
      <c r="F14566" s="9" t="s">
        <v>2471</v>
      </c>
      <c r="G14566" s="10" t="s">
        <v>28</v>
      </c>
      <c r="H14566" s="9" t="s">
        <v>22</v>
      </c>
      <c r="I14566" s="9" t="s">
        <v>29576</v>
      </c>
      <c r="J14566" s="10" t="str">
        <f>HYPERLINK("https://www.boe.es/gazeta/dias/1834/12/13/pdfs/GMD-C-1834-302.pdf#page=5","Abrir facsímil")</f>
        <v>Abrir facsímil</v>
      </c>
      <c r="K14566" s="10" t="s">
        <v>24</v>
      </c>
    </row>
    <row r="14567" spans="1:11" ht="54" customHeight="1">
      <c r="A14567" s="9" t="s">
        <v>29455</v>
      </c>
      <c r="B14567" s="9" t="s">
        <v>29455</v>
      </c>
      <c r="C14567" s="9" t="s">
        <v>17</v>
      </c>
      <c r="D14567" s="9" t="s">
        <v>18</v>
      </c>
      <c r="E14567" s="10" t="s">
        <v>1186</v>
      </c>
      <c r="F14567" s="9" t="s">
        <v>4286</v>
      </c>
      <c r="G14567" s="10" t="s">
        <v>34</v>
      </c>
      <c r="H14567" s="9" t="s">
        <v>22</v>
      </c>
      <c r="I14567" s="9" t="s">
        <v>29577</v>
      </c>
      <c r="J14567" s="10" t="str">
        <f>HYPERLINK("https://www.boe.es/gazeta/dias/1834/08/14/pdfs/GMD-C-1834-179.pdf#page=1","Abrir facsímil")</f>
        <v>Abrir facsímil</v>
      </c>
      <c r="K14567" s="10" t="s">
        <v>24</v>
      </c>
    </row>
    <row r="14568" spans="1:11" ht="54" customHeight="1">
      <c r="A14568" s="9" t="s">
        <v>29455</v>
      </c>
      <c r="B14568" s="9" t="s">
        <v>29455</v>
      </c>
      <c r="C14568" s="9" t="s">
        <v>17</v>
      </c>
      <c r="D14568" s="9" t="s">
        <v>40</v>
      </c>
      <c r="E14568" s="10" t="s">
        <v>1186</v>
      </c>
      <c r="F14568" s="9" t="s">
        <v>4286</v>
      </c>
      <c r="G14568" s="10" t="s">
        <v>86</v>
      </c>
      <c r="H14568" s="9" t="s">
        <v>22</v>
      </c>
      <c r="I14568" s="9" t="s">
        <v>29578</v>
      </c>
      <c r="J14568" s="10" t="str">
        <f>HYPERLINK("https://www.boe.es/gazeta/dias/1834/08/14/pdfs/GMD-C-1834-179.pdf#page=2","Abrir facsímil")</f>
        <v>Abrir facsímil</v>
      </c>
      <c r="K14568" s="10" t="s">
        <v>24</v>
      </c>
    </row>
    <row r="14569" spans="1:11" ht="54" customHeight="1">
      <c r="A14569" s="9" t="s">
        <v>29455</v>
      </c>
      <c r="B14569" s="9" t="s">
        <v>29455</v>
      </c>
      <c r="C14569" s="9" t="s">
        <v>17</v>
      </c>
      <c r="D14569" s="9" t="s">
        <v>18</v>
      </c>
      <c r="E14569" s="10" t="s">
        <v>222</v>
      </c>
      <c r="F14569" s="9" t="s">
        <v>4015</v>
      </c>
      <c r="G14569" s="10" t="s">
        <v>34</v>
      </c>
      <c r="H14569" s="9" t="s">
        <v>22</v>
      </c>
      <c r="I14569" s="9" t="s">
        <v>29579</v>
      </c>
      <c r="J14569" s="10" t="str">
        <f>HYPERLINK("https://www.boe.es/gazeta/dias/1834/09/14/pdfs/GMD-C-1834-212.pdf#page=1","Abrir facsímil")</f>
        <v>Abrir facsímil</v>
      </c>
      <c r="K14569" s="10" t="s">
        <v>24</v>
      </c>
    </row>
    <row r="14570" spans="1:11" ht="54" customHeight="1">
      <c r="A14570" s="9" t="s">
        <v>29455</v>
      </c>
      <c r="B14570" s="9" t="s">
        <v>29455</v>
      </c>
      <c r="C14570" s="9" t="s">
        <v>17</v>
      </c>
      <c r="D14570" s="9" t="s">
        <v>101</v>
      </c>
      <c r="E14570" s="10" t="s">
        <v>448</v>
      </c>
      <c r="F14570" s="9" t="s">
        <v>449</v>
      </c>
      <c r="G14570" s="10" t="s">
        <v>34</v>
      </c>
      <c r="H14570" s="9" t="s">
        <v>22</v>
      </c>
      <c r="I14570" s="9" t="s">
        <v>29580</v>
      </c>
      <c r="J14570" s="10" t="str">
        <f>HYPERLINK("https://www.boe.es/gazeta/dias/1834/10/14/pdfs/GMD-C-1834-242.pdf#page=1","Abrir facsímil")</f>
        <v>Abrir facsímil</v>
      </c>
      <c r="K14570" s="10" t="s">
        <v>24</v>
      </c>
    </row>
    <row r="14571" spans="1:11" ht="54" customHeight="1">
      <c r="A14571" s="9" t="s">
        <v>29455</v>
      </c>
      <c r="B14571" s="9" t="s">
        <v>29455</v>
      </c>
      <c r="C14571" s="9" t="s">
        <v>46</v>
      </c>
      <c r="D14571" s="9" t="s">
        <v>101</v>
      </c>
      <c r="E14571" s="10" t="s">
        <v>448</v>
      </c>
      <c r="F14571" s="9" t="s">
        <v>449</v>
      </c>
      <c r="G14571" s="10" t="s">
        <v>86</v>
      </c>
      <c r="H14571" s="9" t="s">
        <v>22</v>
      </c>
      <c r="I14571" s="9" t="s">
        <v>29581</v>
      </c>
      <c r="J14571" s="10" t="str">
        <f>HYPERLINK("https://www.boe.es/gazeta/dias/1834/10/14/pdfs/GMD-C-1834-242.pdf#page=2","Abrir facsímil")</f>
        <v>Abrir facsímil</v>
      </c>
      <c r="K14571" s="10" t="s">
        <v>24</v>
      </c>
    </row>
    <row r="14572" spans="1:11" ht="54" customHeight="1">
      <c r="A14572" s="9" t="s">
        <v>29455</v>
      </c>
      <c r="B14572" s="9" t="s">
        <v>29455</v>
      </c>
      <c r="C14572" s="9" t="s">
        <v>17</v>
      </c>
      <c r="D14572" s="9" t="s">
        <v>18</v>
      </c>
      <c r="E14572" s="10" t="s">
        <v>448</v>
      </c>
      <c r="F14572" s="9" t="s">
        <v>449</v>
      </c>
      <c r="G14572" s="10" t="s">
        <v>75</v>
      </c>
      <c r="H14572" s="9" t="s">
        <v>22</v>
      </c>
      <c r="I14572" s="9" t="s">
        <v>29582</v>
      </c>
      <c r="J14572" s="10" t="str">
        <f>HYPERLINK("https://www.boe.es/gazeta/dias/1834/10/14/pdfs/GMD-C-1834-242.pdf#page=4","Abrir facsímil")</f>
        <v>Abrir facsímil</v>
      </c>
      <c r="K14572" s="10" t="s">
        <v>24</v>
      </c>
    </row>
    <row r="14573" spans="1:11" ht="54" customHeight="1">
      <c r="A14573" s="9" t="s">
        <v>29455</v>
      </c>
      <c r="B14573" s="9" t="s">
        <v>29455</v>
      </c>
      <c r="C14573" s="9" t="s">
        <v>17</v>
      </c>
      <c r="D14573" s="9" t="s">
        <v>18</v>
      </c>
      <c r="E14573" s="10" t="s">
        <v>448</v>
      </c>
      <c r="F14573" s="9" t="s">
        <v>449</v>
      </c>
      <c r="G14573" s="10" t="s">
        <v>28</v>
      </c>
      <c r="H14573" s="9" t="s">
        <v>22</v>
      </c>
      <c r="I14573" s="9" t="s">
        <v>29583</v>
      </c>
      <c r="J14573" s="10" t="str">
        <f>HYPERLINK("https://www.boe.es/gazeta/dias/1834/10/14/pdfs/GMD-C-1834-242.pdf#page=5","Abrir facsímil")</f>
        <v>Abrir facsímil</v>
      </c>
      <c r="K14573" s="10" t="s">
        <v>24</v>
      </c>
    </row>
    <row r="14574" spans="1:11" ht="54" customHeight="1">
      <c r="A14574" s="9" t="s">
        <v>29455</v>
      </c>
      <c r="B14574" s="9" t="s">
        <v>29455</v>
      </c>
      <c r="C14574" s="9" t="s">
        <v>17</v>
      </c>
      <c r="D14574" s="9" t="s">
        <v>40</v>
      </c>
      <c r="E14574" s="10" t="s">
        <v>1424</v>
      </c>
      <c r="F14574" s="9" t="s">
        <v>1425</v>
      </c>
      <c r="G14574" s="10" t="s">
        <v>34</v>
      </c>
      <c r="H14574" s="9" t="s">
        <v>22</v>
      </c>
      <c r="I14574" s="9" t="s">
        <v>29584</v>
      </c>
      <c r="J14574" s="10" t="str">
        <f>HYPERLINK("https://www.boe.es/gazeta/dias/1834/11/14/pdfs/GMD-C-1834-273.pdf#page=1","Abrir facsímil")</f>
        <v>Abrir facsímil</v>
      </c>
      <c r="K14574" s="10" t="s">
        <v>24</v>
      </c>
    </row>
    <row r="14575" spans="1:11" ht="54" customHeight="1">
      <c r="A14575" s="9" t="s">
        <v>29455</v>
      </c>
      <c r="B14575" s="9" t="s">
        <v>29455</v>
      </c>
      <c r="C14575" s="9" t="s">
        <v>17</v>
      </c>
      <c r="D14575" s="9" t="s">
        <v>18</v>
      </c>
      <c r="E14575" s="10" t="s">
        <v>1424</v>
      </c>
      <c r="F14575" s="9" t="s">
        <v>1425</v>
      </c>
      <c r="G14575" s="10" t="s">
        <v>86</v>
      </c>
      <c r="H14575" s="9" t="s">
        <v>22</v>
      </c>
      <c r="I14575" s="9" t="s">
        <v>29585</v>
      </c>
      <c r="J14575" s="10" t="str">
        <f>HYPERLINK("https://www.boe.es/gazeta/dias/1834/11/14/pdfs/GMD-C-1834-273.pdf#page=2","Abrir facsímil")</f>
        <v>Abrir facsímil</v>
      </c>
      <c r="K14575" s="10" t="s">
        <v>24</v>
      </c>
    </row>
    <row r="14576" spans="1:11" ht="54" customHeight="1">
      <c r="A14576" s="9" t="s">
        <v>29455</v>
      </c>
      <c r="B14576" s="9" t="s">
        <v>29455</v>
      </c>
      <c r="C14576" s="9" t="s">
        <v>46</v>
      </c>
      <c r="D14576" s="9" t="s">
        <v>101</v>
      </c>
      <c r="E14576" s="10" t="s">
        <v>1424</v>
      </c>
      <c r="F14576" s="9" t="s">
        <v>1425</v>
      </c>
      <c r="G14576" s="10" t="s">
        <v>21</v>
      </c>
      <c r="H14576" s="9" t="s">
        <v>22</v>
      </c>
      <c r="I14576" s="9" t="s">
        <v>29586</v>
      </c>
      <c r="J14576" s="10" t="str">
        <f>HYPERLINK("https://www.boe.es/gazeta/dias/1834/11/14/pdfs/GMD-C-1834-273.pdf#page=3","Abrir facsímil")</f>
        <v>Abrir facsímil</v>
      </c>
      <c r="K14576" s="10" t="s">
        <v>24</v>
      </c>
    </row>
    <row r="14577" spans="1:11" ht="54" customHeight="1">
      <c r="A14577" s="9" t="s">
        <v>29455</v>
      </c>
      <c r="B14577" s="9" t="s">
        <v>29455</v>
      </c>
      <c r="C14577" s="9" t="s">
        <v>17</v>
      </c>
      <c r="D14577" s="9" t="s">
        <v>40</v>
      </c>
      <c r="E14577" s="10" t="s">
        <v>1424</v>
      </c>
      <c r="F14577" s="9" t="s">
        <v>1425</v>
      </c>
      <c r="G14577" s="10" t="s">
        <v>176</v>
      </c>
      <c r="H14577" s="9" t="s">
        <v>22</v>
      </c>
      <c r="I14577" s="9" t="s">
        <v>29587</v>
      </c>
      <c r="J14577" s="10" t="str">
        <f>HYPERLINK("https://www.boe.es/gazeta/dias/1834/11/14/pdfs/GMD-C-1834-273.pdf#page=6","Abrir facsímil")</f>
        <v>Abrir facsímil</v>
      </c>
      <c r="K14577" s="10" t="s">
        <v>24</v>
      </c>
    </row>
    <row r="14578" spans="1:11" ht="54" customHeight="1">
      <c r="A14578" s="9" t="s">
        <v>29455</v>
      </c>
      <c r="B14578" s="9" t="s">
        <v>29455</v>
      </c>
      <c r="C14578" s="9" t="s">
        <v>17</v>
      </c>
      <c r="D14578" s="9" t="s">
        <v>40</v>
      </c>
      <c r="E14578" s="10" t="s">
        <v>2087</v>
      </c>
      <c r="F14578" s="9" t="s">
        <v>2267</v>
      </c>
      <c r="G14578" s="10" t="s">
        <v>34</v>
      </c>
      <c r="H14578" s="9" t="s">
        <v>22</v>
      </c>
      <c r="I14578" s="9" t="s">
        <v>29588</v>
      </c>
      <c r="J14578" s="10" t="str">
        <f>HYPERLINK("https://www.boe.es/gazeta/dias/1834/12/14/pdfs/GMD-C-1834-303.pdf#page=1","Abrir facsímil")</f>
        <v>Abrir facsímil</v>
      </c>
      <c r="K14578" s="10" t="s">
        <v>24</v>
      </c>
    </row>
    <row r="14579" spans="1:11" ht="54" customHeight="1">
      <c r="A14579" s="9" t="s">
        <v>29455</v>
      </c>
      <c r="B14579" s="9" t="s">
        <v>29455</v>
      </c>
      <c r="C14579" s="9" t="s">
        <v>66</v>
      </c>
      <c r="D14579" s="9" t="s">
        <v>67</v>
      </c>
      <c r="E14579" s="10" t="s">
        <v>2087</v>
      </c>
      <c r="F14579" s="9" t="s">
        <v>2267</v>
      </c>
      <c r="G14579" s="10" t="s">
        <v>86</v>
      </c>
      <c r="H14579" s="9" t="s">
        <v>22</v>
      </c>
      <c r="I14579" s="9" t="s">
        <v>29589</v>
      </c>
      <c r="J14579" s="10" t="str">
        <f>HYPERLINK("https://www.boe.es/gazeta/dias/1834/12/14/pdfs/GMD-C-1834-303.pdf#page=2","Abrir facsímil")</f>
        <v>Abrir facsímil</v>
      </c>
      <c r="K14579" s="10" t="s">
        <v>24</v>
      </c>
    </row>
    <row r="14580" spans="1:11" ht="54" customHeight="1">
      <c r="A14580" s="9" t="s">
        <v>29455</v>
      </c>
      <c r="B14580" s="9" t="s">
        <v>29455</v>
      </c>
      <c r="C14580" s="9" t="s">
        <v>17</v>
      </c>
      <c r="D14580" s="9" t="s">
        <v>18</v>
      </c>
      <c r="E14580" s="10" t="s">
        <v>2087</v>
      </c>
      <c r="F14580" s="9" t="s">
        <v>2267</v>
      </c>
      <c r="G14580" s="10" t="s">
        <v>21</v>
      </c>
      <c r="H14580" s="9" t="s">
        <v>22</v>
      </c>
      <c r="I14580" s="9" t="s">
        <v>29590</v>
      </c>
      <c r="J14580" s="10" t="str">
        <f>HYPERLINK("https://www.boe.es/gazeta/dias/1834/12/14/pdfs/GMD-C-1834-303.pdf#page=3","Abrir facsímil")</f>
        <v>Abrir facsímil</v>
      </c>
      <c r="K14580" s="10" t="s">
        <v>24</v>
      </c>
    </row>
    <row r="14581" spans="1:11" ht="54" customHeight="1">
      <c r="A14581" s="9" t="s">
        <v>29455</v>
      </c>
      <c r="B14581" s="9" t="s">
        <v>29455</v>
      </c>
      <c r="C14581" s="9" t="s">
        <v>17</v>
      </c>
      <c r="D14581" s="9" t="s">
        <v>18</v>
      </c>
      <c r="E14581" s="10" t="s">
        <v>2087</v>
      </c>
      <c r="F14581" s="9" t="s">
        <v>2267</v>
      </c>
      <c r="G14581" s="10" t="s">
        <v>75</v>
      </c>
      <c r="H14581" s="9" t="s">
        <v>22</v>
      </c>
      <c r="I14581" s="9" t="s">
        <v>29591</v>
      </c>
      <c r="J14581" s="10" t="str">
        <f>HYPERLINK("https://www.boe.es/gazeta/dias/1834/12/14/pdfs/GMD-C-1834-303.pdf#page=4","Abrir facsímil")</f>
        <v>Abrir facsímil</v>
      </c>
      <c r="K14581" s="10" t="s">
        <v>24</v>
      </c>
    </row>
    <row r="14582" spans="1:11" ht="54" customHeight="1">
      <c r="A14582" s="9" t="s">
        <v>29455</v>
      </c>
      <c r="B14582" s="9" t="s">
        <v>29455</v>
      </c>
      <c r="C14582" s="9" t="s">
        <v>17</v>
      </c>
      <c r="D14582" s="9" t="s">
        <v>18</v>
      </c>
      <c r="E14582" s="10" t="s">
        <v>2087</v>
      </c>
      <c r="F14582" s="9" t="s">
        <v>2267</v>
      </c>
      <c r="G14582" s="10" t="s">
        <v>176</v>
      </c>
      <c r="H14582" s="9" t="s">
        <v>22</v>
      </c>
      <c r="I14582" s="9" t="s">
        <v>29592</v>
      </c>
      <c r="J14582" s="10" t="str">
        <f>HYPERLINK("https://www.boe.es/gazeta/dias/1834/12/14/pdfs/GMD-C-1834-303.pdf#page=6","Abrir facsímil")</f>
        <v>Abrir facsímil</v>
      </c>
      <c r="K14582" s="10" t="s">
        <v>24</v>
      </c>
    </row>
    <row r="14583" spans="1:11" ht="54" customHeight="1">
      <c r="A14583" s="9" t="s">
        <v>29455</v>
      </c>
      <c r="B14583" s="9" t="s">
        <v>29455</v>
      </c>
      <c r="C14583" s="9" t="s">
        <v>17</v>
      </c>
      <c r="D14583" s="9" t="s">
        <v>18</v>
      </c>
      <c r="E14583" s="10" t="s">
        <v>237</v>
      </c>
      <c r="F14583" s="9" t="s">
        <v>238</v>
      </c>
      <c r="G14583" s="10" t="s">
        <v>34</v>
      </c>
      <c r="H14583" s="9" t="s">
        <v>22</v>
      </c>
      <c r="I14583" s="9" t="s">
        <v>29593</v>
      </c>
      <c r="J14583" s="10" t="str">
        <f>HYPERLINK("https://www.boe.es/gazeta/dias/1834/08/15/pdfs/GMD-C-1834-180.pdf#page=1","Abrir facsímil")</f>
        <v>Abrir facsímil</v>
      </c>
      <c r="K14583" s="10" t="s">
        <v>24</v>
      </c>
    </row>
    <row r="14584" spans="1:11" ht="54" customHeight="1">
      <c r="A14584" s="9" t="s">
        <v>29455</v>
      </c>
      <c r="B14584" s="9" t="s">
        <v>29455</v>
      </c>
      <c r="C14584" s="9" t="s">
        <v>17</v>
      </c>
      <c r="D14584" s="9" t="s">
        <v>18</v>
      </c>
      <c r="E14584" s="10" t="s">
        <v>237</v>
      </c>
      <c r="F14584" s="9" t="s">
        <v>238</v>
      </c>
      <c r="G14584" s="10" t="s">
        <v>86</v>
      </c>
      <c r="H14584" s="9" t="s">
        <v>22</v>
      </c>
      <c r="I14584" s="9" t="s">
        <v>29594</v>
      </c>
      <c r="J14584" s="10" t="str">
        <f>HYPERLINK("https://www.boe.es/gazeta/dias/1834/08/15/pdfs/GMD-C-1834-180.pdf#page=2","Abrir facsímil")</f>
        <v>Abrir facsímil</v>
      </c>
      <c r="K14584" s="10" t="s">
        <v>24</v>
      </c>
    </row>
    <row r="14585" spans="1:11" ht="54" customHeight="1">
      <c r="A14585" s="9" t="s">
        <v>29455</v>
      </c>
      <c r="B14585" s="9" t="s">
        <v>29455</v>
      </c>
      <c r="C14585" s="9" t="s">
        <v>17</v>
      </c>
      <c r="D14585" s="9" t="s">
        <v>18</v>
      </c>
      <c r="E14585" s="10" t="s">
        <v>237</v>
      </c>
      <c r="F14585" s="9" t="s">
        <v>238</v>
      </c>
      <c r="G14585" s="10" t="s">
        <v>21</v>
      </c>
      <c r="H14585" s="9" t="s">
        <v>22</v>
      </c>
      <c r="I14585" s="9" t="s">
        <v>29595</v>
      </c>
      <c r="J14585" s="10" t="str">
        <f>HYPERLINK("https://www.boe.es/gazeta/dias/1834/08/15/pdfs/GMD-C-1834-180.pdf#page=3","Abrir facsímil")</f>
        <v>Abrir facsímil</v>
      </c>
      <c r="K14585" s="10" t="s">
        <v>24</v>
      </c>
    </row>
    <row r="14586" spans="1:11" ht="54" customHeight="1">
      <c r="A14586" s="9" t="s">
        <v>29455</v>
      </c>
      <c r="B14586" s="9" t="s">
        <v>29455</v>
      </c>
      <c r="C14586" s="9" t="s">
        <v>17</v>
      </c>
      <c r="D14586" s="9" t="s">
        <v>18</v>
      </c>
      <c r="E14586" s="10" t="s">
        <v>451</v>
      </c>
      <c r="F14586" s="9" t="s">
        <v>452</v>
      </c>
      <c r="G14586" s="10" t="s">
        <v>86</v>
      </c>
      <c r="H14586" s="9" t="s">
        <v>22</v>
      </c>
      <c r="I14586" s="9" t="s">
        <v>29596</v>
      </c>
      <c r="J14586" s="10" t="str">
        <f>HYPERLINK("https://www.boe.es/gazeta/dias/1834/10/15/pdfs/GMD-C-1834-243.pdf#page=2","Abrir facsímil")</f>
        <v>Abrir facsímil</v>
      </c>
      <c r="K14586" s="10" t="s">
        <v>24</v>
      </c>
    </row>
    <row r="14587" spans="1:11" ht="54" customHeight="1">
      <c r="A14587" s="9" t="s">
        <v>29455</v>
      </c>
      <c r="B14587" s="9" t="s">
        <v>29455</v>
      </c>
      <c r="C14587" s="9" t="s">
        <v>17</v>
      </c>
      <c r="D14587" s="9" t="s">
        <v>18</v>
      </c>
      <c r="E14587" s="10" t="s">
        <v>451</v>
      </c>
      <c r="F14587" s="9" t="s">
        <v>452</v>
      </c>
      <c r="G14587" s="10" t="s">
        <v>21</v>
      </c>
      <c r="H14587" s="9" t="s">
        <v>22</v>
      </c>
      <c r="I14587" s="9" t="s">
        <v>29597</v>
      </c>
      <c r="J14587" s="10" t="str">
        <f>HYPERLINK("https://www.boe.es/gazeta/dias/1834/10/15/pdfs/GMD-C-1834-243.pdf#page=3","Abrir facsímil")</f>
        <v>Abrir facsímil</v>
      </c>
      <c r="K14587" s="10" t="s">
        <v>24</v>
      </c>
    </row>
    <row r="14588" spans="1:11" ht="54" customHeight="1">
      <c r="A14588" s="9" t="s">
        <v>29455</v>
      </c>
      <c r="B14588" s="9" t="s">
        <v>29455</v>
      </c>
      <c r="C14588" s="9" t="s">
        <v>90</v>
      </c>
      <c r="D14588" s="9" t="s">
        <v>40</v>
      </c>
      <c r="E14588" s="10" t="s">
        <v>451</v>
      </c>
      <c r="F14588" s="9" t="s">
        <v>452</v>
      </c>
      <c r="G14588" s="10" t="s">
        <v>75</v>
      </c>
      <c r="H14588" s="9" t="s">
        <v>22</v>
      </c>
      <c r="I14588" s="9" t="s">
        <v>29598</v>
      </c>
      <c r="J14588" s="10" t="str">
        <f>HYPERLINK("https://www.boe.es/gazeta/dias/1834/10/15/pdfs/GMD-C-1834-243.pdf#page=4","Abrir facsímil")</f>
        <v>Abrir facsímil</v>
      </c>
      <c r="K14588" s="10" t="s">
        <v>24</v>
      </c>
    </row>
    <row r="14589" spans="1:11" ht="54" customHeight="1">
      <c r="A14589" s="9" t="s">
        <v>29455</v>
      </c>
      <c r="B14589" s="9" t="s">
        <v>29455</v>
      </c>
      <c r="C14589" s="9" t="s">
        <v>17</v>
      </c>
      <c r="D14589" s="9" t="s">
        <v>18</v>
      </c>
      <c r="E14589" s="10" t="s">
        <v>928</v>
      </c>
      <c r="F14589" s="9" t="s">
        <v>929</v>
      </c>
      <c r="G14589" s="10" t="s">
        <v>86</v>
      </c>
      <c r="H14589" s="9" t="s">
        <v>22</v>
      </c>
      <c r="I14589" s="9" t="s">
        <v>29599</v>
      </c>
      <c r="J14589" s="10" t="str">
        <f>HYPERLINK("https://www.boe.es/gazeta/dias/1834/11/15/pdfs/GMD-C-1834-274.pdf#page=2","Abrir facsímil")</f>
        <v>Abrir facsímil</v>
      </c>
      <c r="K14589" s="10" t="s">
        <v>24</v>
      </c>
    </row>
    <row r="14590" spans="1:11" ht="54" customHeight="1">
      <c r="A14590" s="9" t="s">
        <v>29455</v>
      </c>
      <c r="B14590" s="9" t="s">
        <v>29455</v>
      </c>
      <c r="C14590" s="9" t="s">
        <v>46</v>
      </c>
      <c r="D14590" s="9" t="s">
        <v>18</v>
      </c>
      <c r="E14590" s="10" t="s">
        <v>928</v>
      </c>
      <c r="F14590" s="9" t="s">
        <v>929</v>
      </c>
      <c r="G14590" s="10" t="s">
        <v>21</v>
      </c>
      <c r="H14590" s="9" t="s">
        <v>22</v>
      </c>
      <c r="I14590" s="9" t="s">
        <v>29600</v>
      </c>
      <c r="J14590" s="10" t="str">
        <f>HYPERLINK("https://www.boe.es/gazeta/dias/1834/11/15/pdfs/GMD-C-1834-274.pdf#page=3","Abrir facsímil")</f>
        <v>Abrir facsímil</v>
      </c>
      <c r="K14590" s="10" t="s">
        <v>24</v>
      </c>
    </row>
    <row r="14591" spans="1:11" ht="54" customHeight="1">
      <c r="A14591" s="9" t="s">
        <v>29455</v>
      </c>
      <c r="B14591" s="9" t="s">
        <v>29455</v>
      </c>
      <c r="C14591" s="9" t="s">
        <v>17</v>
      </c>
      <c r="D14591" s="9" t="s">
        <v>18</v>
      </c>
      <c r="E14591" s="10" t="s">
        <v>928</v>
      </c>
      <c r="F14591" s="9" t="s">
        <v>929</v>
      </c>
      <c r="G14591" s="10" t="s">
        <v>75</v>
      </c>
      <c r="H14591" s="9" t="s">
        <v>22</v>
      </c>
      <c r="I14591" s="9" t="s">
        <v>29601</v>
      </c>
      <c r="J14591" s="10" t="str">
        <f>HYPERLINK("https://www.boe.es/gazeta/dias/1834/11/15/pdfs/GMD-C-1834-274.pdf#page=4","Abrir facsímil")</f>
        <v>Abrir facsímil</v>
      </c>
      <c r="K14591" s="10" t="s">
        <v>24</v>
      </c>
    </row>
    <row r="14592" spans="1:11" ht="54" customHeight="1">
      <c r="A14592" s="9" t="s">
        <v>29455</v>
      </c>
      <c r="B14592" s="9" t="s">
        <v>29455</v>
      </c>
      <c r="C14592" s="9" t="s">
        <v>17</v>
      </c>
      <c r="D14592" s="9" t="s">
        <v>18</v>
      </c>
      <c r="E14592" s="10" t="s">
        <v>928</v>
      </c>
      <c r="F14592" s="9" t="s">
        <v>929</v>
      </c>
      <c r="G14592" s="10" t="s">
        <v>28</v>
      </c>
      <c r="H14592" s="9" t="s">
        <v>22</v>
      </c>
      <c r="I14592" s="9" t="s">
        <v>29602</v>
      </c>
      <c r="J14592" s="10" t="str">
        <f>HYPERLINK("https://www.boe.es/gazeta/dias/1834/11/15/pdfs/GMD-C-1834-274.pdf#page=5","Abrir facsímil")</f>
        <v>Abrir facsímil</v>
      </c>
      <c r="K14592" s="10" t="s">
        <v>24</v>
      </c>
    </row>
    <row r="14593" spans="1:11" ht="54" customHeight="1">
      <c r="A14593" s="9" t="s">
        <v>29455</v>
      </c>
      <c r="B14593" s="9" t="s">
        <v>29455</v>
      </c>
      <c r="C14593" s="9" t="s">
        <v>17</v>
      </c>
      <c r="D14593" s="9" t="s">
        <v>18</v>
      </c>
      <c r="E14593" s="10" t="s">
        <v>4736</v>
      </c>
      <c r="F14593" s="9" t="s">
        <v>9470</v>
      </c>
      <c r="G14593" s="10" t="s">
        <v>34</v>
      </c>
      <c r="H14593" s="9" t="s">
        <v>22</v>
      </c>
      <c r="I14593" s="9" t="s">
        <v>29603</v>
      </c>
      <c r="J14593" s="10" t="str">
        <f>HYPERLINK("https://www.boe.es/gazeta/dias/1834/09/16/pdfs/GMD-C-1834-214.pdf#page=1","Abrir facsímil")</f>
        <v>Abrir facsímil</v>
      </c>
      <c r="K14593" s="10" t="s">
        <v>24</v>
      </c>
    </row>
    <row r="14594" spans="1:11" ht="54" customHeight="1">
      <c r="A14594" s="9" t="s">
        <v>29455</v>
      </c>
      <c r="B14594" s="9" t="s">
        <v>29455</v>
      </c>
      <c r="C14594" s="9" t="s">
        <v>17</v>
      </c>
      <c r="D14594" s="9" t="s">
        <v>18</v>
      </c>
      <c r="E14594" s="10" t="s">
        <v>454</v>
      </c>
      <c r="F14594" s="9" t="s">
        <v>455</v>
      </c>
      <c r="G14594" s="10" t="s">
        <v>34</v>
      </c>
      <c r="H14594" s="9" t="s">
        <v>22</v>
      </c>
      <c r="I14594" s="9" t="s">
        <v>29604</v>
      </c>
      <c r="J14594" s="10" t="str">
        <f>HYPERLINK("https://www.boe.es/gazeta/dias/1834/10/16/pdfs/GMD-C-1834-244.pdf#page=1","Abrir facsímil")</f>
        <v>Abrir facsímil</v>
      </c>
      <c r="K14594" s="10" t="s">
        <v>24</v>
      </c>
    </row>
    <row r="14595" spans="1:11" ht="54" customHeight="1">
      <c r="A14595" s="9" t="s">
        <v>29455</v>
      </c>
      <c r="B14595" s="9" t="s">
        <v>29455</v>
      </c>
      <c r="C14595" s="9" t="s">
        <v>90</v>
      </c>
      <c r="D14595" s="9" t="s">
        <v>18</v>
      </c>
      <c r="E14595" s="10" t="s">
        <v>454</v>
      </c>
      <c r="F14595" s="9" t="s">
        <v>455</v>
      </c>
      <c r="G14595" s="10" t="s">
        <v>21</v>
      </c>
      <c r="H14595" s="9" t="s">
        <v>22</v>
      </c>
      <c r="I14595" s="9" t="s">
        <v>29605</v>
      </c>
      <c r="J14595" s="10" t="str">
        <f>HYPERLINK("https://www.boe.es/gazeta/dias/1834/10/16/pdfs/GMD-C-1834-244.pdf#page=3","Abrir facsímil")</f>
        <v>Abrir facsímil</v>
      </c>
      <c r="K14595" s="10" t="s">
        <v>24</v>
      </c>
    </row>
    <row r="14596" spans="1:11" ht="54" customHeight="1">
      <c r="A14596" s="9" t="s">
        <v>29455</v>
      </c>
      <c r="B14596" s="9" t="s">
        <v>29455</v>
      </c>
      <c r="C14596" s="9" t="s">
        <v>46</v>
      </c>
      <c r="D14596" s="9" t="s">
        <v>101</v>
      </c>
      <c r="E14596" s="10" t="s">
        <v>454</v>
      </c>
      <c r="F14596" s="9" t="s">
        <v>455</v>
      </c>
      <c r="G14596" s="10" t="s">
        <v>75</v>
      </c>
      <c r="H14596" s="9" t="s">
        <v>22</v>
      </c>
      <c r="I14596" s="9" t="s">
        <v>29606</v>
      </c>
      <c r="J14596" s="10" t="str">
        <f>HYPERLINK("https://www.boe.es/gazeta/dias/1834/10/16/pdfs/GMD-C-1834-244.pdf#page=4","Abrir facsímil")</f>
        <v>Abrir facsímil</v>
      </c>
      <c r="K14596" s="10" t="s">
        <v>24</v>
      </c>
    </row>
    <row r="14597" spans="1:11" ht="54" customHeight="1">
      <c r="A14597" s="9" t="s">
        <v>29455</v>
      </c>
      <c r="B14597" s="9" t="s">
        <v>29455</v>
      </c>
      <c r="C14597" s="9" t="s">
        <v>17</v>
      </c>
      <c r="D14597" s="9" t="s">
        <v>18</v>
      </c>
      <c r="E14597" s="10" t="s">
        <v>883</v>
      </c>
      <c r="F14597" s="9" t="s">
        <v>884</v>
      </c>
      <c r="G14597" s="10" t="s">
        <v>34</v>
      </c>
      <c r="H14597" s="9" t="s">
        <v>22</v>
      </c>
      <c r="I14597" s="9" t="s">
        <v>29607</v>
      </c>
      <c r="J14597" s="10" t="str">
        <f>HYPERLINK("https://www.boe.es/gazeta/dias/1834/11/16/pdfs/GMD-C-1834-275.pdf#page=1","Abrir facsímil")</f>
        <v>Abrir facsímil</v>
      </c>
      <c r="K14597" s="10" t="s">
        <v>24</v>
      </c>
    </row>
    <row r="14598" spans="1:11" ht="54" customHeight="1">
      <c r="A14598" s="9" t="s">
        <v>29455</v>
      </c>
      <c r="B14598" s="9" t="s">
        <v>29455</v>
      </c>
      <c r="C14598" s="9" t="s">
        <v>17</v>
      </c>
      <c r="D14598" s="9" t="s">
        <v>18</v>
      </c>
      <c r="E14598" s="10" t="s">
        <v>883</v>
      </c>
      <c r="F14598" s="9" t="s">
        <v>884</v>
      </c>
      <c r="G14598" s="10" t="s">
        <v>86</v>
      </c>
      <c r="H14598" s="9" t="s">
        <v>22</v>
      </c>
      <c r="I14598" s="9" t="s">
        <v>29608</v>
      </c>
      <c r="J14598" s="10" t="str">
        <f>HYPERLINK("https://www.boe.es/gazeta/dias/1834/11/16/pdfs/GMD-C-1834-275.pdf#page=2","Abrir facsímil")</f>
        <v>Abrir facsímil</v>
      </c>
      <c r="K14598" s="10" t="s">
        <v>24</v>
      </c>
    </row>
    <row r="14599" spans="1:11" ht="54" customHeight="1">
      <c r="A14599" s="9" t="s">
        <v>29455</v>
      </c>
      <c r="B14599" s="9" t="s">
        <v>29455</v>
      </c>
      <c r="C14599" s="9" t="s">
        <v>17</v>
      </c>
      <c r="D14599" s="9" t="s">
        <v>18</v>
      </c>
      <c r="E14599" s="10" t="s">
        <v>233</v>
      </c>
      <c r="F14599" s="9" t="s">
        <v>1810</v>
      </c>
      <c r="G14599" s="10" t="s">
        <v>34</v>
      </c>
      <c r="H14599" s="9" t="s">
        <v>22</v>
      </c>
      <c r="I14599" s="9" t="s">
        <v>29609</v>
      </c>
      <c r="J14599" s="10" t="str">
        <f>HYPERLINK("https://www.boe.es/gazeta/dias/1834/12/16/pdfs/GMD-C-1834-305.pdf#page=1","Abrir facsímil")</f>
        <v>Abrir facsímil</v>
      </c>
      <c r="K14599" s="10" t="s">
        <v>24</v>
      </c>
    </row>
    <row r="14600" spans="1:11" ht="54" customHeight="1">
      <c r="A14600" s="9" t="s">
        <v>29455</v>
      </c>
      <c r="B14600" s="9" t="s">
        <v>29455</v>
      </c>
      <c r="C14600" s="9" t="s">
        <v>17</v>
      </c>
      <c r="D14600" s="9" t="s">
        <v>18</v>
      </c>
      <c r="E14600" s="10" t="s">
        <v>233</v>
      </c>
      <c r="F14600" s="9" t="s">
        <v>1810</v>
      </c>
      <c r="G14600" s="10" t="s">
        <v>2274</v>
      </c>
      <c r="H14600" s="9" t="s">
        <v>22</v>
      </c>
      <c r="I14600" s="9" t="s">
        <v>29610</v>
      </c>
      <c r="J14600" s="10" t="str">
        <f>HYPERLINK("https://www.boe.es/gazeta/dias/1834/12/16/pdfs/GMD-C-1834-305.pdf#page=13","Abrir facsímil")</f>
        <v>Abrir facsímil</v>
      </c>
      <c r="K14600" s="10" t="s">
        <v>24</v>
      </c>
    </row>
    <row r="14601" spans="1:11" ht="54" customHeight="1">
      <c r="A14601" s="9" t="s">
        <v>29455</v>
      </c>
      <c r="B14601" s="9" t="s">
        <v>29455</v>
      </c>
      <c r="C14601" s="9" t="s">
        <v>17</v>
      </c>
      <c r="D14601" s="9" t="s">
        <v>18</v>
      </c>
      <c r="E14601" s="10" t="s">
        <v>233</v>
      </c>
      <c r="F14601" s="9" t="s">
        <v>1810</v>
      </c>
      <c r="G14601" s="10" t="s">
        <v>86</v>
      </c>
      <c r="H14601" s="9" t="s">
        <v>22</v>
      </c>
      <c r="I14601" s="9" t="s">
        <v>29611</v>
      </c>
      <c r="J14601" s="10" t="str">
        <f>HYPERLINK("https://www.boe.es/gazeta/dias/1834/12/16/pdfs/GMD-C-1834-305.pdf#page=2","Abrir facsímil")</f>
        <v>Abrir facsímil</v>
      </c>
      <c r="K14601" s="10" t="s">
        <v>24</v>
      </c>
    </row>
    <row r="14602" spans="1:11" ht="54" customHeight="1">
      <c r="A14602" s="9" t="s">
        <v>29455</v>
      </c>
      <c r="B14602" s="9" t="s">
        <v>29455</v>
      </c>
      <c r="C14602" s="9" t="s">
        <v>122</v>
      </c>
      <c r="D14602" s="9" t="s">
        <v>40</v>
      </c>
      <c r="E14602" s="10" t="s">
        <v>233</v>
      </c>
      <c r="F14602" s="9" t="s">
        <v>1810</v>
      </c>
      <c r="G14602" s="10" t="s">
        <v>28</v>
      </c>
      <c r="H14602" s="9" t="s">
        <v>22</v>
      </c>
      <c r="I14602" s="9" t="s">
        <v>29612</v>
      </c>
      <c r="J14602" s="10" t="str">
        <f>HYPERLINK("https://www.boe.es/gazeta/dias/1834/12/16/pdfs/GMD-C-1834-305.pdf#page=5","Abrir facsímil")</f>
        <v>Abrir facsímil</v>
      </c>
      <c r="K14602" s="10" t="s">
        <v>24</v>
      </c>
    </row>
    <row r="14603" spans="1:11" ht="54" customHeight="1">
      <c r="A14603" s="9" t="s">
        <v>29455</v>
      </c>
      <c r="B14603" s="9" t="s">
        <v>29455</v>
      </c>
      <c r="C14603" s="9" t="s">
        <v>17</v>
      </c>
      <c r="D14603" s="9" t="s">
        <v>18</v>
      </c>
      <c r="E14603" s="10" t="s">
        <v>19</v>
      </c>
      <c r="F14603" s="9" t="s">
        <v>20</v>
      </c>
      <c r="G14603" s="10" t="s">
        <v>34</v>
      </c>
      <c r="H14603" s="9" t="s">
        <v>22</v>
      </c>
      <c r="I14603" s="9" t="s">
        <v>29613</v>
      </c>
      <c r="J14603" s="10" t="str">
        <f>HYPERLINK("https://www.boe.es/gazeta/dias/1834/08/17/pdfs/GMD-D-1834-182.pdf#page=1","Abrir facsímil")</f>
        <v>Abrir facsímil</v>
      </c>
      <c r="K14603" s="10" t="s">
        <v>24</v>
      </c>
    </row>
    <row r="14604" spans="1:11" ht="54" customHeight="1">
      <c r="A14604" s="9" t="s">
        <v>29455</v>
      </c>
      <c r="B14604" s="9" t="s">
        <v>29455</v>
      </c>
      <c r="C14604" s="9" t="s">
        <v>46</v>
      </c>
      <c r="D14604" s="9" t="s">
        <v>101</v>
      </c>
      <c r="E14604" s="10" t="s">
        <v>19</v>
      </c>
      <c r="F14604" s="9" t="s">
        <v>20</v>
      </c>
      <c r="G14604" s="10" t="s">
        <v>86</v>
      </c>
      <c r="H14604" s="9" t="s">
        <v>22</v>
      </c>
      <c r="I14604" s="9" t="s">
        <v>29614</v>
      </c>
      <c r="J14604" s="10" t="str">
        <f>HYPERLINK("https://www.boe.es/gazeta/dias/1834/08/17/pdfs/GMD-D-1834-182.pdf#page=2","Abrir facsímil")</f>
        <v>Abrir facsímil</v>
      </c>
      <c r="K14604" s="10" t="s">
        <v>24</v>
      </c>
    </row>
    <row r="14605" spans="1:11" ht="54" customHeight="1">
      <c r="A14605" s="9" t="s">
        <v>29455</v>
      </c>
      <c r="B14605" s="9" t="s">
        <v>29455</v>
      </c>
      <c r="C14605" s="9" t="s">
        <v>17</v>
      </c>
      <c r="D14605" s="9" t="s">
        <v>18</v>
      </c>
      <c r="E14605" s="10" t="s">
        <v>19</v>
      </c>
      <c r="F14605" s="9" t="s">
        <v>20</v>
      </c>
      <c r="G14605" s="10" t="s">
        <v>21</v>
      </c>
      <c r="H14605" s="9" t="s">
        <v>22</v>
      </c>
      <c r="I14605" s="9" t="s">
        <v>29615</v>
      </c>
      <c r="J14605" s="10" t="str">
        <f>HYPERLINK("https://www.boe.es/gazeta/dias/1834/08/17/pdfs/GMD-D-1834-182.pdf#page=3","Abrir facsímil")</f>
        <v>Abrir facsímil</v>
      </c>
      <c r="K14605" s="10" t="s">
        <v>24</v>
      </c>
    </row>
    <row r="14606" spans="1:11" ht="54" customHeight="1">
      <c r="A14606" s="9" t="s">
        <v>29455</v>
      </c>
      <c r="B14606" s="9" t="s">
        <v>29455</v>
      </c>
      <c r="C14606" s="9" t="s">
        <v>17</v>
      </c>
      <c r="D14606" s="9" t="s">
        <v>18</v>
      </c>
      <c r="E14606" s="10" t="s">
        <v>715</v>
      </c>
      <c r="F14606" s="9" t="s">
        <v>716</v>
      </c>
      <c r="G14606" s="10" t="s">
        <v>34</v>
      </c>
      <c r="H14606" s="9" t="s">
        <v>22</v>
      </c>
      <c r="I14606" s="9" t="s">
        <v>29616</v>
      </c>
      <c r="J14606" s="10" t="str">
        <f>HYPERLINK("https://www.boe.es/gazeta/dias/1834/09/17/pdfs/GMD-C-1834-215.pdf#page=1","Abrir facsímil")</f>
        <v>Abrir facsímil</v>
      </c>
      <c r="K14606" s="10" t="s">
        <v>24</v>
      </c>
    </row>
    <row r="14607" spans="1:11" ht="54" customHeight="1">
      <c r="A14607" s="9" t="s">
        <v>29455</v>
      </c>
      <c r="B14607" s="9" t="s">
        <v>29455</v>
      </c>
      <c r="C14607" s="9" t="s">
        <v>17</v>
      </c>
      <c r="D14607" s="9" t="s">
        <v>18</v>
      </c>
      <c r="E14607" s="10" t="s">
        <v>715</v>
      </c>
      <c r="F14607" s="9" t="s">
        <v>716</v>
      </c>
      <c r="G14607" s="10" t="s">
        <v>86</v>
      </c>
      <c r="H14607" s="9" t="s">
        <v>22</v>
      </c>
      <c r="I14607" s="9" t="s">
        <v>29617</v>
      </c>
      <c r="J14607" s="10" t="str">
        <f>HYPERLINK("https://www.boe.es/gazeta/dias/1834/09/17/pdfs/GMD-C-1834-215.pdf#page=2","Abrir facsímil")</f>
        <v>Abrir facsímil</v>
      </c>
      <c r="K14607" s="10" t="s">
        <v>24</v>
      </c>
    </row>
    <row r="14608" spans="1:11" ht="54" customHeight="1">
      <c r="A14608" s="9" t="s">
        <v>29455</v>
      </c>
      <c r="B14608" s="9" t="s">
        <v>29455</v>
      </c>
      <c r="C14608" s="9" t="s">
        <v>66</v>
      </c>
      <c r="D14608" s="9" t="s">
        <v>67</v>
      </c>
      <c r="E14608" s="10" t="s">
        <v>715</v>
      </c>
      <c r="F14608" s="9" t="s">
        <v>716</v>
      </c>
      <c r="G14608" s="10" t="s">
        <v>21</v>
      </c>
      <c r="H14608" s="9" t="s">
        <v>22</v>
      </c>
      <c r="I14608" s="9" t="s">
        <v>29618</v>
      </c>
      <c r="J14608" s="10" t="str">
        <f>HYPERLINK("https://www.boe.es/gazeta/dias/1834/09/17/pdfs/GMD-C-1834-215.pdf#page=3","Abrir facsímil")</f>
        <v>Abrir facsímil</v>
      </c>
      <c r="K14608" s="10" t="s">
        <v>24</v>
      </c>
    </row>
    <row r="14609" spans="1:11" ht="54" customHeight="1">
      <c r="A14609" s="9" t="s">
        <v>29455</v>
      </c>
      <c r="B14609" s="9" t="s">
        <v>29455</v>
      </c>
      <c r="C14609" s="9" t="s">
        <v>17</v>
      </c>
      <c r="D14609" s="9" t="s">
        <v>18</v>
      </c>
      <c r="E14609" s="10" t="s">
        <v>715</v>
      </c>
      <c r="F14609" s="9" t="s">
        <v>716</v>
      </c>
      <c r="G14609" s="10" t="s">
        <v>470</v>
      </c>
      <c r="H14609" s="9" t="s">
        <v>22</v>
      </c>
      <c r="I14609" s="9" t="s">
        <v>29619</v>
      </c>
      <c r="J14609" s="10" t="str">
        <f>HYPERLINK("https://www.boe.es/gazeta/dias/1834/09/17/pdfs/GMD-C-1834-215.pdf#page=8","Abrir facsímil")</f>
        <v>Abrir facsímil</v>
      </c>
      <c r="K14609" s="10" t="s">
        <v>24</v>
      </c>
    </row>
    <row r="14610" spans="1:11" ht="54" customHeight="1">
      <c r="A14610" s="9" t="s">
        <v>29455</v>
      </c>
      <c r="B14610" s="9" t="s">
        <v>29455</v>
      </c>
      <c r="C14610" s="9" t="s">
        <v>17</v>
      </c>
      <c r="D14610" s="9" t="s">
        <v>40</v>
      </c>
      <c r="E14610" s="10" t="s">
        <v>1195</v>
      </c>
      <c r="F14610" s="9" t="s">
        <v>1196</v>
      </c>
      <c r="G14610" s="10" t="s">
        <v>34</v>
      </c>
      <c r="H14610" s="9" t="s">
        <v>22</v>
      </c>
      <c r="I14610" s="9" t="s">
        <v>29620</v>
      </c>
      <c r="J14610" s="10" t="str">
        <f>HYPERLINK("https://www.boe.es/gazeta/dias/1834/10/17/pdfs/GMD-C-1834-245.pdf#page=1","Abrir facsímil")</f>
        <v>Abrir facsímil</v>
      </c>
      <c r="K14610" s="10" t="s">
        <v>24</v>
      </c>
    </row>
    <row r="14611" spans="1:11" ht="54" customHeight="1">
      <c r="A14611" s="9" t="s">
        <v>29455</v>
      </c>
      <c r="B14611" s="9" t="s">
        <v>29455</v>
      </c>
      <c r="C14611" s="9" t="s">
        <v>17</v>
      </c>
      <c r="D14611" s="9" t="s">
        <v>18</v>
      </c>
      <c r="E14611" s="10" t="s">
        <v>1195</v>
      </c>
      <c r="F14611" s="9" t="s">
        <v>1196</v>
      </c>
      <c r="G14611" s="10" t="s">
        <v>2174</v>
      </c>
      <c r="H14611" s="9" t="s">
        <v>22</v>
      </c>
      <c r="I14611" s="9" t="s">
        <v>29621</v>
      </c>
      <c r="J14611" s="10" t="str">
        <f>HYPERLINK("https://www.boe.es/gazeta/dias/1834/10/17/pdfs/GMD-C-1834-245.pdf#page=10","Abrir facsímil")</f>
        <v>Abrir facsímil</v>
      </c>
      <c r="K14611" s="10" t="s">
        <v>24</v>
      </c>
    </row>
    <row r="14612" spans="1:11" ht="54" customHeight="1">
      <c r="A14612" s="9" t="s">
        <v>29455</v>
      </c>
      <c r="B14612" s="9" t="s">
        <v>29455</v>
      </c>
      <c r="C14612" s="9" t="s">
        <v>17</v>
      </c>
      <c r="D14612" s="9" t="s">
        <v>18</v>
      </c>
      <c r="E14612" s="10" t="s">
        <v>1195</v>
      </c>
      <c r="F14612" s="9" t="s">
        <v>1196</v>
      </c>
      <c r="G14612" s="10" t="s">
        <v>21</v>
      </c>
      <c r="H14612" s="9" t="s">
        <v>22</v>
      </c>
      <c r="I14612" s="9" t="s">
        <v>29622</v>
      </c>
      <c r="J14612" s="10" t="str">
        <f>HYPERLINK("https://www.boe.es/gazeta/dias/1834/10/17/pdfs/GMD-C-1834-245.pdf#page=3","Abrir facsímil")</f>
        <v>Abrir facsímil</v>
      </c>
      <c r="K14612" s="10" t="s">
        <v>24</v>
      </c>
    </row>
    <row r="14613" spans="1:11" ht="54" customHeight="1">
      <c r="A14613" s="9" t="s">
        <v>29455</v>
      </c>
      <c r="B14613" s="9" t="s">
        <v>29455</v>
      </c>
      <c r="C14613" s="9" t="s">
        <v>17</v>
      </c>
      <c r="D14613" s="9" t="s">
        <v>18</v>
      </c>
      <c r="E14613" s="10" t="s">
        <v>1195</v>
      </c>
      <c r="F14613" s="9" t="s">
        <v>1196</v>
      </c>
      <c r="G14613" s="10" t="s">
        <v>560</v>
      </c>
      <c r="H14613" s="9" t="s">
        <v>22</v>
      </c>
      <c r="I14613" s="9" t="s">
        <v>29623</v>
      </c>
      <c r="J14613" s="10" t="str">
        <f>HYPERLINK("https://www.boe.es/gazeta/dias/1834/10/17/pdfs/GMD-C-1834-245.pdf#page=7","Abrir facsímil")</f>
        <v>Abrir facsímil</v>
      </c>
      <c r="K14613" s="10" t="s">
        <v>24</v>
      </c>
    </row>
    <row r="14614" spans="1:11" ht="54" customHeight="1">
      <c r="A14614" s="9" t="s">
        <v>29455</v>
      </c>
      <c r="B14614" s="9" t="s">
        <v>29455</v>
      </c>
      <c r="C14614" s="9" t="s">
        <v>17</v>
      </c>
      <c r="D14614" s="9" t="s">
        <v>18</v>
      </c>
      <c r="E14614" s="10" t="s">
        <v>2278</v>
      </c>
      <c r="F14614" s="9" t="s">
        <v>2279</v>
      </c>
      <c r="G14614" s="10" t="s">
        <v>86</v>
      </c>
      <c r="H14614" s="9" t="s">
        <v>22</v>
      </c>
      <c r="I14614" s="9" t="s">
        <v>29624</v>
      </c>
      <c r="J14614" s="10" t="str">
        <f>HYPERLINK("https://www.boe.es/gazeta/dias/1834/12/17/pdfs/GMD-C-1834-306.pdf#page=2","Abrir facsímil")</f>
        <v>Abrir facsímil</v>
      </c>
      <c r="K14614" s="10" t="s">
        <v>24</v>
      </c>
    </row>
    <row r="14615" spans="1:11" ht="54" customHeight="1">
      <c r="A14615" s="9" t="s">
        <v>29455</v>
      </c>
      <c r="B14615" s="9" t="s">
        <v>29455</v>
      </c>
      <c r="C14615" s="9" t="s">
        <v>122</v>
      </c>
      <c r="D14615" s="9" t="s">
        <v>18</v>
      </c>
      <c r="E14615" s="10" t="s">
        <v>2278</v>
      </c>
      <c r="F14615" s="9" t="s">
        <v>2279</v>
      </c>
      <c r="G14615" s="10" t="s">
        <v>75</v>
      </c>
      <c r="H14615" s="9" t="s">
        <v>22</v>
      </c>
      <c r="I14615" s="9" t="s">
        <v>29625</v>
      </c>
      <c r="J14615" s="10" t="str">
        <f>HYPERLINK("https://www.boe.es/gazeta/dias/1834/12/17/pdfs/GMD-C-1834-306.pdf#page=4","Abrir facsímil")</f>
        <v>Abrir facsímil</v>
      </c>
      <c r="K14615" s="10" t="s">
        <v>24</v>
      </c>
    </row>
    <row r="14616" spans="1:11" ht="54" customHeight="1">
      <c r="A14616" s="9" t="s">
        <v>29455</v>
      </c>
      <c r="B14616" s="9" t="s">
        <v>29455</v>
      </c>
      <c r="C14616" s="9" t="s">
        <v>66</v>
      </c>
      <c r="D14616" s="9" t="s">
        <v>67</v>
      </c>
      <c r="E14616" s="10" t="s">
        <v>2278</v>
      </c>
      <c r="F14616" s="9" t="s">
        <v>2279</v>
      </c>
      <c r="G14616" s="10" t="s">
        <v>176</v>
      </c>
      <c r="H14616" s="9" t="s">
        <v>22</v>
      </c>
      <c r="I14616" s="9" t="s">
        <v>29626</v>
      </c>
      <c r="J14616" s="10" t="str">
        <f>HYPERLINK("https://www.boe.es/gazeta/dias/1834/12/17/pdfs/GMD-C-1834-306.pdf#page=6","Abrir facsímil")</f>
        <v>Abrir facsímil</v>
      </c>
      <c r="K14616" s="10" t="s">
        <v>24</v>
      </c>
    </row>
    <row r="14617" spans="1:11" ht="54" customHeight="1">
      <c r="A14617" s="9" t="s">
        <v>29455</v>
      </c>
      <c r="B14617" s="9" t="s">
        <v>29455</v>
      </c>
      <c r="C14617" s="9" t="s">
        <v>17</v>
      </c>
      <c r="D14617" s="9" t="s">
        <v>18</v>
      </c>
      <c r="E14617" s="10" t="s">
        <v>1459</v>
      </c>
      <c r="F14617" s="9" t="s">
        <v>1460</v>
      </c>
      <c r="G14617" s="10" t="s">
        <v>21</v>
      </c>
      <c r="H14617" s="9" t="s">
        <v>22</v>
      </c>
      <c r="I14617" s="9" t="s">
        <v>29627</v>
      </c>
      <c r="J14617" s="10" t="str">
        <f>HYPERLINK("https://www.boe.es/gazeta/dias/1834/08/18/pdfs/GMD-1834-184.pdf#page=3","Abrir facsímil")</f>
        <v>Abrir facsímil</v>
      </c>
      <c r="K14617" s="10" t="s">
        <v>24</v>
      </c>
    </row>
    <row r="14618" spans="1:11" ht="54" customHeight="1">
      <c r="A14618" s="9" t="s">
        <v>29455</v>
      </c>
      <c r="B14618" s="9" t="s">
        <v>29455</v>
      </c>
      <c r="C14618" s="9" t="s">
        <v>66</v>
      </c>
      <c r="D14618" s="9" t="s">
        <v>67</v>
      </c>
      <c r="E14618" s="10" t="s">
        <v>772</v>
      </c>
      <c r="F14618" s="9" t="s">
        <v>2284</v>
      </c>
      <c r="G14618" s="10" t="s">
        <v>34</v>
      </c>
      <c r="H14618" s="9" t="s">
        <v>22</v>
      </c>
      <c r="I14618" s="9" t="s">
        <v>29628</v>
      </c>
      <c r="J14618" s="10" t="str">
        <f>HYPERLINK("https://www.boe.es/gazeta/dias/1834/09/18/pdfs/GMD-C-1834-216.pdf#page=1","Abrir facsímil")</f>
        <v>Abrir facsímil</v>
      </c>
      <c r="K14618" s="10" t="s">
        <v>24</v>
      </c>
    </row>
    <row r="14619" spans="1:11" ht="54" customHeight="1">
      <c r="A14619" s="9" t="s">
        <v>29455</v>
      </c>
      <c r="B14619" s="9" t="s">
        <v>29455</v>
      </c>
      <c r="C14619" s="9" t="s">
        <v>46</v>
      </c>
      <c r="D14619" s="9" t="s">
        <v>101</v>
      </c>
      <c r="E14619" s="10" t="s">
        <v>772</v>
      </c>
      <c r="F14619" s="9" t="s">
        <v>2284</v>
      </c>
      <c r="G14619" s="10" t="s">
        <v>470</v>
      </c>
      <c r="H14619" s="9" t="s">
        <v>22</v>
      </c>
      <c r="I14619" s="9" t="s">
        <v>29629</v>
      </c>
      <c r="J14619" s="10" t="str">
        <f>HYPERLINK("https://www.boe.es/gazeta/dias/1834/09/18/pdfs/GMD-C-1834-216.pdf#page=8","Abrir facsímil")</f>
        <v>Abrir facsímil</v>
      </c>
      <c r="K14619" s="10" t="s">
        <v>24</v>
      </c>
    </row>
    <row r="14620" spans="1:11" ht="54" customHeight="1">
      <c r="A14620" s="9" t="s">
        <v>29455</v>
      </c>
      <c r="B14620" s="9" t="s">
        <v>29455</v>
      </c>
      <c r="C14620" s="9" t="s">
        <v>90</v>
      </c>
      <c r="D14620" s="9" t="s">
        <v>40</v>
      </c>
      <c r="E14620" s="10" t="s">
        <v>262</v>
      </c>
      <c r="F14620" s="9" t="s">
        <v>263</v>
      </c>
      <c r="G14620" s="10" t="s">
        <v>34</v>
      </c>
      <c r="H14620" s="9" t="s">
        <v>22</v>
      </c>
      <c r="I14620" s="9" t="s">
        <v>29630</v>
      </c>
      <c r="J14620" s="10" t="str">
        <f>HYPERLINK("https://www.boe.es/gazeta/dias/1834/10/18/pdfs/GMD-C-1834-246.pdf#page=1","Abrir facsímil")</f>
        <v>Abrir facsímil</v>
      </c>
      <c r="K14620" s="10" t="s">
        <v>24</v>
      </c>
    </row>
    <row r="14621" spans="1:11" ht="54" customHeight="1">
      <c r="A14621" s="9" t="s">
        <v>29455</v>
      </c>
      <c r="B14621" s="9" t="s">
        <v>29455</v>
      </c>
      <c r="C14621" s="9" t="s">
        <v>17</v>
      </c>
      <c r="D14621" s="9" t="s">
        <v>40</v>
      </c>
      <c r="E14621" s="10" t="s">
        <v>3036</v>
      </c>
      <c r="F14621" s="9" t="s">
        <v>3037</v>
      </c>
      <c r="G14621" s="10" t="s">
        <v>34</v>
      </c>
      <c r="H14621" s="9" t="s">
        <v>22</v>
      </c>
      <c r="I14621" s="9" t="s">
        <v>29631</v>
      </c>
      <c r="J14621" s="10" t="str">
        <f>HYPERLINK("https://www.boe.es/gazeta/dias/1834/11/18/pdfs/GMD-C-1834-277.pdf#page=1","Abrir facsímil")</f>
        <v>Abrir facsímil</v>
      </c>
      <c r="K14621" s="10" t="s">
        <v>24</v>
      </c>
    </row>
    <row r="14622" spans="1:11" ht="54" customHeight="1">
      <c r="A14622" s="9" t="s">
        <v>29455</v>
      </c>
      <c r="B14622" s="9" t="s">
        <v>29455</v>
      </c>
      <c r="C14622" s="9" t="s">
        <v>17</v>
      </c>
      <c r="D14622" s="9" t="s">
        <v>18</v>
      </c>
      <c r="E14622" s="10" t="s">
        <v>3036</v>
      </c>
      <c r="F14622" s="9" t="s">
        <v>3037</v>
      </c>
      <c r="G14622" s="10" t="s">
        <v>176</v>
      </c>
      <c r="H14622" s="9" t="s">
        <v>22</v>
      </c>
      <c r="I14622" s="9" t="s">
        <v>29632</v>
      </c>
      <c r="J14622" s="10" t="str">
        <f>HYPERLINK("https://www.boe.es/gazeta/dias/1834/11/18/pdfs/GMD-C-1834-277.pdf#page=6","Abrir facsímil")</f>
        <v>Abrir facsímil</v>
      </c>
      <c r="K14622" s="10" t="s">
        <v>24</v>
      </c>
    </row>
    <row r="14623" spans="1:11" ht="54" customHeight="1">
      <c r="A14623" s="9" t="s">
        <v>29455</v>
      </c>
      <c r="B14623" s="9" t="s">
        <v>29455</v>
      </c>
      <c r="C14623" s="9" t="s">
        <v>17</v>
      </c>
      <c r="D14623" s="9" t="s">
        <v>18</v>
      </c>
      <c r="E14623" s="10" t="s">
        <v>2287</v>
      </c>
      <c r="F14623" s="9" t="s">
        <v>2288</v>
      </c>
      <c r="G14623" s="10" t="s">
        <v>176</v>
      </c>
      <c r="H14623" s="9" t="s">
        <v>22</v>
      </c>
      <c r="I14623" s="9" t="s">
        <v>29633</v>
      </c>
      <c r="J14623" s="10" t="str">
        <f>HYPERLINK("https://www.boe.es/gazeta/dias/1834/12/18/pdfs/GMD-C-1834-308.pdf#page=6","Abrir facsímil")</f>
        <v>Abrir facsímil</v>
      </c>
      <c r="K14623" s="10" t="s">
        <v>24</v>
      </c>
    </row>
    <row r="14624" spans="1:11" ht="54" customHeight="1">
      <c r="A14624" s="9" t="s">
        <v>29455</v>
      </c>
      <c r="B14624" s="9" t="s">
        <v>29455</v>
      </c>
      <c r="C14624" s="9" t="s">
        <v>17</v>
      </c>
      <c r="D14624" s="9" t="s">
        <v>18</v>
      </c>
      <c r="E14624" s="10" t="s">
        <v>615</v>
      </c>
      <c r="F14624" s="9" t="s">
        <v>1205</v>
      </c>
      <c r="G14624" s="10" t="s">
        <v>34</v>
      </c>
      <c r="H14624" s="9" t="s">
        <v>22</v>
      </c>
      <c r="I14624" s="9" t="s">
        <v>29634</v>
      </c>
      <c r="J14624" s="10" t="str">
        <f>HYPERLINK("https://www.boe.es/gazeta/dias/1834/08/19/pdfs/GMD-D-1834-185.pdf#page=1","Abrir facsímil")</f>
        <v>Abrir facsímil</v>
      </c>
      <c r="K14624" s="10" t="s">
        <v>24</v>
      </c>
    </row>
    <row r="14625" spans="1:11" ht="54" customHeight="1">
      <c r="A14625" s="9" t="s">
        <v>29455</v>
      </c>
      <c r="B14625" s="9" t="s">
        <v>29455</v>
      </c>
      <c r="C14625" s="9" t="s">
        <v>90</v>
      </c>
      <c r="D14625" s="9" t="s">
        <v>101</v>
      </c>
      <c r="E14625" s="10" t="s">
        <v>615</v>
      </c>
      <c r="F14625" s="9" t="s">
        <v>1205</v>
      </c>
      <c r="G14625" s="10" t="s">
        <v>86</v>
      </c>
      <c r="H14625" s="9" t="s">
        <v>22</v>
      </c>
      <c r="I14625" s="9" t="s">
        <v>29635</v>
      </c>
      <c r="J14625" s="10" t="str">
        <f>HYPERLINK("https://www.boe.es/gazeta/dias/1834/08/19/pdfs/GMD-D-1834-185.pdf#page=2","Abrir facsímil")</f>
        <v>Abrir facsímil</v>
      </c>
      <c r="K14625" s="10" t="s">
        <v>24</v>
      </c>
    </row>
    <row r="14626" spans="1:11" ht="54" customHeight="1">
      <c r="A14626" s="9" t="s">
        <v>29455</v>
      </c>
      <c r="B14626" s="9" t="s">
        <v>29455</v>
      </c>
      <c r="C14626" s="9" t="s">
        <v>122</v>
      </c>
      <c r="D14626" s="9" t="s">
        <v>18</v>
      </c>
      <c r="E14626" s="10" t="s">
        <v>672</v>
      </c>
      <c r="F14626" s="9" t="s">
        <v>1055</v>
      </c>
      <c r="G14626" s="10" t="s">
        <v>34</v>
      </c>
      <c r="H14626" s="9" t="s">
        <v>22</v>
      </c>
      <c r="I14626" s="9" t="s">
        <v>29636</v>
      </c>
      <c r="J14626" s="10" t="str">
        <f>HYPERLINK("https://www.boe.es/gazeta/dias/1834/09/19/pdfs/GMD-C-1834-217.pdf#page=1","Abrir facsímil")</f>
        <v>Abrir facsímil</v>
      </c>
      <c r="K14626" s="10" t="s">
        <v>24</v>
      </c>
    </row>
    <row r="14627" spans="1:11" ht="54" customHeight="1">
      <c r="A14627" s="9" t="s">
        <v>29455</v>
      </c>
      <c r="B14627" s="9" t="s">
        <v>29455</v>
      </c>
      <c r="C14627" s="9" t="s">
        <v>17</v>
      </c>
      <c r="D14627" s="9" t="s">
        <v>55</v>
      </c>
      <c r="E14627" s="10" t="s">
        <v>672</v>
      </c>
      <c r="F14627" s="9" t="s">
        <v>1055</v>
      </c>
      <c r="G14627" s="10" t="s">
        <v>2272</v>
      </c>
      <c r="H14627" s="9" t="s">
        <v>22</v>
      </c>
      <c r="I14627" s="9" t="s">
        <v>29637</v>
      </c>
      <c r="J14627" s="10" t="str">
        <f>HYPERLINK("https://www.boe.es/gazeta/dias/1834/09/19/pdfs/GMD-C-1834-217.pdf#page=12","Abrir facsímil")</f>
        <v>Abrir facsímil</v>
      </c>
      <c r="K14627" s="10" t="s">
        <v>24</v>
      </c>
    </row>
    <row r="14628" spans="1:11" ht="54" customHeight="1">
      <c r="A14628" s="9" t="s">
        <v>29455</v>
      </c>
      <c r="B14628" s="9" t="s">
        <v>29455</v>
      </c>
      <c r="C14628" s="9" t="s">
        <v>17</v>
      </c>
      <c r="D14628" s="9" t="s">
        <v>18</v>
      </c>
      <c r="E14628" s="10" t="s">
        <v>672</v>
      </c>
      <c r="F14628" s="9" t="s">
        <v>1055</v>
      </c>
      <c r="G14628" s="10" t="s">
        <v>86</v>
      </c>
      <c r="H14628" s="9" t="s">
        <v>22</v>
      </c>
      <c r="I14628" s="9" t="s">
        <v>29638</v>
      </c>
      <c r="J14628" s="10" t="str">
        <f>HYPERLINK("https://www.boe.es/gazeta/dias/1834/09/19/pdfs/GMD-C-1834-217.pdf#page=2","Abrir facsímil")</f>
        <v>Abrir facsímil</v>
      </c>
      <c r="K14628" s="10" t="s">
        <v>24</v>
      </c>
    </row>
    <row r="14629" spans="1:11" ht="54" customHeight="1">
      <c r="A14629" s="9" t="s">
        <v>29455</v>
      </c>
      <c r="B14629" s="9" t="s">
        <v>29455</v>
      </c>
      <c r="C14629" s="9" t="s">
        <v>17</v>
      </c>
      <c r="D14629" s="9" t="s">
        <v>18</v>
      </c>
      <c r="E14629" s="10" t="s">
        <v>672</v>
      </c>
      <c r="F14629" s="9" t="s">
        <v>1055</v>
      </c>
      <c r="G14629" s="10" t="s">
        <v>75</v>
      </c>
      <c r="H14629" s="9" t="s">
        <v>22</v>
      </c>
      <c r="I14629" s="9" t="s">
        <v>29639</v>
      </c>
      <c r="J14629" s="10" t="str">
        <f>HYPERLINK("https://www.boe.es/gazeta/dias/1834/09/19/pdfs/GMD-C-1834-217.pdf#page=4","Abrir facsímil")</f>
        <v>Abrir facsímil</v>
      </c>
      <c r="K14629" s="10" t="s">
        <v>24</v>
      </c>
    </row>
    <row r="14630" spans="1:11" ht="54" customHeight="1">
      <c r="A14630" s="9" t="s">
        <v>29455</v>
      </c>
      <c r="B14630" s="9" t="s">
        <v>29455</v>
      </c>
      <c r="C14630" s="9" t="s">
        <v>17</v>
      </c>
      <c r="D14630" s="9" t="s">
        <v>18</v>
      </c>
      <c r="E14630" s="10" t="s">
        <v>672</v>
      </c>
      <c r="F14630" s="9" t="s">
        <v>1055</v>
      </c>
      <c r="G14630" s="10" t="s">
        <v>28</v>
      </c>
      <c r="H14630" s="9" t="s">
        <v>22</v>
      </c>
      <c r="I14630" s="9" t="s">
        <v>29640</v>
      </c>
      <c r="J14630" s="10" t="str">
        <f>HYPERLINK("https://www.boe.es/gazeta/dias/1834/09/19/pdfs/GMD-C-1834-217.pdf#page=5","Abrir facsímil")</f>
        <v>Abrir facsímil</v>
      </c>
      <c r="K14630" s="10" t="s">
        <v>24</v>
      </c>
    </row>
    <row r="14631" spans="1:11" ht="54" customHeight="1">
      <c r="A14631" s="9" t="s">
        <v>29455</v>
      </c>
      <c r="B14631" s="9" t="s">
        <v>29455</v>
      </c>
      <c r="C14631" s="9" t="s">
        <v>17</v>
      </c>
      <c r="D14631" s="9" t="s">
        <v>18</v>
      </c>
      <c r="E14631" s="10" t="s">
        <v>26</v>
      </c>
      <c r="F14631" s="9" t="s">
        <v>27</v>
      </c>
      <c r="G14631" s="10" t="s">
        <v>34</v>
      </c>
      <c r="H14631" s="9" t="s">
        <v>22</v>
      </c>
      <c r="I14631" s="9" t="s">
        <v>29641</v>
      </c>
      <c r="J14631" s="10" t="str">
        <f>HYPERLINK("https://www.boe.es/gazeta/dias/1834/10/19/pdfs/GMD-C-1834-247.pdf#page=1","Abrir facsímil")</f>
        <v>Abrir facsímil</v>
      </c>
      <c r="K14631" s="10" t="s">
        <v>24</v>
      </c>
    </row>
    <row r="14632" spans="1:11" ht="54" customHeight="1">
      <c r="A14632" s="9" t="s">
        <v>29455</v>
      </c>
      <c r="B14632" s="9" t="s">
        <v>29455</v>
      </c>
      <c r="C14632" s="9" t="s">
        <v>17</v>
      </c>
      <c r="D14632" s="9" t="s">
        <v>18</v>
      </c>
      <c r="E14632" s="10" t="s">
        <v>26</v>
      </c>
      <c r="F14632" s="9" t="s">
        <v>27</v>
      </c>
      <c r="G14632" s="10" t="s">
        <v>75</v>
      </c>
      <c r="H14632" s="9" t="s">
        <v>22</v>
      </c>
      <c r="I14632" s="9" t="s">
        <v>29642</v>
      </c>
      <c r="J14632" s="10" t="str">
        <f>HYPERLINK("https://www.boe.es/gazeta/dias/1834/10/19/pdfs/GMD-C-1834-247.pdf#page=4","Abrir facsímil")</f>
        <v>Abrir facsímil</v>
      </c>
      <c r="K14632" s="10" t="s">
        <v>24</v>
      </c>
    </row>
    <row r="14633" spans="1:11" ht="54" customHeight="1">
      <c r="A14633" s="9" t="s">
        <v>29455</v>
      </c>
      <c r="B14633" s="9" t="s">
        <v>29455</v>
      </c>
      <c r="C14633" s="9" t="s">
        <v>17</v>
      </c>
      <c r="D14633" s="9" t="s">
        <v>18</v>
      </c>
      <c r="E14633" s="10" t="s">
        <v>26</v>
      </c>
      <c r="F14633" s="9" t="s">
        <v>27</v>
      </c>
      <c r="G14633" s="10" t="s">
        <v>560</v>
      </c>
      <c r="H14633" s="9" t="s">
        <v>22</v>
      </c>
      <c r="I14633" s="9" t="s">
        <v>29643</v>
      </c>
      <c r="J14633" s="10" t="str">
        <f>HYPERLINK("https://www.boe.es/gazeta/dias/1834/10/19/pdfs/GMD-C-1834-247.pdf#page=7","Abrir facsímil")</f>
        <v>Abrir facsímil</v>
      </c>
      <c r="K14633" s="10" t="s">
        <v>24</v>
      </c>
    </row>
    <row r="14634" spans="1:11" ht="54" customHeight="1">
      <c r="A14634" s="9" t="s">
        <v>29455</v>
      </c>
      <c r="B14634" s="9" t="s">
        <v>29455</v>
      </c>
      <c r="C14634" s="9" t="s">
        <v>17</v>
      </c>
      <c r="D14634" s="9" t="s">
        <v>18</v>
      </c>
      <c r="E14634" s="10" t="s">
        <v>265</v>
      </c>
      <c r="F14634" s="9" t="s">
        <v>266</v>
      </c>
      <c r="G14634" s="10" t="s">
        <v>34</v>
      </c>
      <c r="H14634" s="9" t="s">
        <v>22</v>
      </c>
      <c r="I14634" s="9" t="s">
        <v>29644</v>
      </c>
      <c r="J14634" s="10" t="str">
        <f>HYPERLINK("https://www.boe.es/gazeta/dias/1834/11/19/pdfs/GMD-C-1834-278.pdf#page=1","Abrir facsímil")</f>
        <v>Abrir facsímil</v>
      </c>
      <c r="K14634" s="10" t="s">
        <v>24</v>
      </c>
    </row>
    <row r="14635" spans="1:11" ht="54" customHeight="1">
      <c r="A14635" s="9" t="s">
        <v>29455</v>
      </c>
      <c r="B14635" s="9" t="s">
        <v>29455</v>
      </c>
      <c r="C14635" s="9" t="s">
        <v>90</v>
      </c>
      <c r="D14635" s="9" t="s">
        <v>18</v>
      </c>
      <c r="E14635" s="10" t="s">
        <v>265</v>
      </c>
      <c r="F14635" s="9" t="s">
        <v>266</v>
      </c>
      <c r="G14635" s="10" t="s">
        <v>86</v>
      </c>
      <c r="H14635" s="9" t="s">
        <v>22</v>
      </c>
      <c r="I14635" s="9" t="s">
        <v>29645</v>
      </c>
      <c r="J14635" s="10" t="str">
        <f>HYPERLINK("https://www.boe.es/gazeta/dias/1834/11/19/pdfs/GMD-C-1834-278.pdf#page=2","Abrir facsímil")</f>
        <v>Abrir facsímil</v>
      </c>
      <c r="K14635" s="10" t="s">
        <v>24</v>
      </c>
    </row>
    <row r="14636" spans="1:11" ht="54" customHeight="1">
      <c r="A14636" s="9" t="s">
        <v>29455</v>
      </c>
      <c r="B14636" s="9" t="s">
        <v>29455</v>
      </c>
      <c r="C14636" s="9" t="s">
        <v>17</v>
      </c>
      <c r="D14636" s="9" t="s">
        <v>40</v>
      </c>
      <c r="E14636" s="10" t="s">
        <v>265</v>
      </c>
      <c r="F14636" s="9" t="s">
        <v>266</v>
      </c>
      <c r="G14636" s="10" t="s">
        <v>21</v>
      </c>
      <c r="H14636" s="9" t="s">
        <v>22</v>
      </c>
      <c r="I14636" s="9" t="s">
        <v>29646</v>
      </c>
      <c r="J14636" s="10" t="str">
        <f>HYPERLINK("https://www.boe.es/gazeta/dias/1834/11/19/pdfs/GMD-C-1834-278.pdf#page=3","Abrir facsímil")</f>
        <v>Abrir facsímil</v>
      </c>
      <c r="K14636" s="10" t="s">
        <v>24</v>
      </c>
    </row>
    <row r="14637" spans="1:11" ht="54" customHeight="1">
      <c r="A14637" s="9" t="s">
        <v>29455</v>
      </c>
      <c r="B14637" s="9" t="s">
        <v>29455</v>
      </c>
      <c r="C14637" s="9" t="s">
        <v>17</v>
      </c>
      <c r="D14637" s="9" t="s">
        <v>40</v>
      </c>
      <c r="E14637" s="10" t="s">
        <v>268</v>
      </c>
      <c r="F14637" s="9" t="s">
        <v>269</v>
      </c>
      <c r="G14637" s="10" t="s">
        <v>34</v>
      </c>
      <c r="H14637" s="9" t="s">
        <v>22</v>
      </c>
      <c r="I14637" s="9" t="s">
        <v>29647</v>
      </c>
      <c r="J14637" s="10" t="str">
        <f>HYPERLINK("https://www.boe.es/gazeta/dias/1834/12/19/pdfs/GMD-C-1834-309.pdf#page=1","Abrir facsímil")</f>
        <v>Abrir facsímil</v>
      </c>
      <c r="K14637" s="10" t="s">
        <v>24</v>
      </c>
    </row>
    <row r="14638" spans="1:11" ht="54" customHeight="1">
      <c r="A14638" s="9" t="s">
        <v>29455</v>
      </c>
      <c r="B14638" s="9" t="s">
        <v>29455</v>
      </c>
      <c r="C14638" s="9" t="s">
        <v>46</v>
      </c>
      <c r="D14638" s="9" t="s">
        <v>101</v>
      </c>
      <c r="E14638" s="10" t="s">
        <v>268</v>
      </c>
      <c r="F14638" s="9" t="s">
        <v>269</v>
      </c>
      <c r="G14638" s="10" t="s">
        <v>28</v>
      </c>
      <c r="H14638" s="9" t="s">
        <v>22</v>
      </c>
      <c r="I14638" s="9" t="s">
        <v>29648</v>
      </c>
      <c r="J14638" s="10" t="str">
        <f>HYPERLINK("https://www.boe.es/gazeta/dias/1834/12/19/pdfs/GMD-C-1834-309.pdf#page=5","Abrir facsímil")</f>
        <v>Abrir facsímil</v>
      </c>
      <c r="K14638" s="10" t="s">
        <v>24</v>
      </c>
    </row>
    <row r="14639" spans="1:11" ht="54" customHeight="1">
      <c r="A14639" s="9" t="s">
        <v>29455</v>
      </c>
      <c r="B14639" s="9" t="s">
        <v>29455</v>
      </c>
      <c r="C14639" s="9" t="s">
        <v>90</v>
      </c>
      <c r="D14639" s="9" t="s">
        <v>18</v>
      </c>
      <c r="E14639" s="10" t="s">
        <v>3248</v>
      </c>
      <c r="F14639" s="9" t="s">
        <v>4798</v>
      </c>
      <c r="G14639" s="10" t="s">
        <v>34</v>
      </c>
      <c r="H14639" s="9" t="s">
        <v>22</v>
      </c>
      <c r="I14639" s="9" t="s">
        <v>29649</v>
      </c>
      <c r="J14639" s="10" t="str">
        <f>HYPERLINK("https://www.boe.es/gazeta/dias/1834/09/20/pdfs/GMD-C-1834-218.pdf#page=1","Abrir facsímil")</f>
        <v>Abrir facsímil</v>
      </c>
      <c r="K14639" s="10" t="s">
        <v>24</v>
      </c>
    </row>
    <row r="14640" spans="1:11" ht="54" customHeight="1">
      <c r="A14640" s="9" t="s">
        <v>29455</v>
      </c>
      <c r="B14640" s="9" t="s">
        <v>29455</v>
      </c>
      <c r="C14640" s="9" t="s">
        <v>17</v>
      </c>
      <c r="D14640" s="9" t="s">
        <v>101</v>
      </c>
      <c r="E14640" s="10" t="s">
        <v>1973</v>
      </c>
      <c r="F14640" s="9" t="s">
        <v>1974</v>
      </c>
      <c r="G14640" s="10" t="s">
        <v>21</v>
      </c>
      <c r="H14640" s="9" t="s">
        <v>22</v>
      </c>
      <c r="I14640" s="9" t="s">
        <v>29650</v>
      </c>
      <c r="J14640" s="10" t="str">
        <f>HYPERLINK("https://www.boe.es/gazeta/dias/1834/12/20/pdfs/GMD-C-1834-310.pdf#page=3","Abrir facsímil")</f>
        <v>Abrir facsímil</v>
      </c>
      <c r="K14640" s="10" t="s">
        <v>24</v>
      </c>
    </row>
    <row r="14641" spans="1:11" ht="54" customHeight="1">
      <c r="A14641" s="9" t="s">
        <v>29455</v>
      </c>
      <c r="B14641" s="9" t="s">
        <v>29455</v>
      </c>
      <c r="C14641" s="9" t="s">
        <v>90</v>
      </c>
      <c r="D14641" s="9" t="s">
        <v>55</v>
      </c>
      <c r="E14641" s="10" t="s">
        <v>1973</v>
      </c>
      <c r="F14641" s="9" t="s">
        <v>1974</v>
      </c>
      <c r="G14641" s="10" t="s">
        <v>28</v>
      </c>
      <c r="H14641" s="9" t="s">
        <v>22</v>
      </c>
      <c r="I14641" s="9" t="s">
        <v>29651</v>
      </c>
      <c r="J14641" s="10" t="str">
        <f>HYPERLINK("https://www.boe.es/gazeta/dias/1834/12/20/pdfs/GMD-C-1834-310.pdf#page=5","Abrir facsímil")</f>
        <v>Abrir facsímil</v>
      </c>
      <c r="K14641" s="10" t="s">
        <v>24</v>
      </c>
    </row>
    <row r="14642" spans="1:11" ht="54" customHeight="1">
      <c r="A14642" s="9" t="s">
        <v>29455</v>
      </c>
      <c r="B14642" s="9" t="s">
        <v>29455</v>
      </c>
      <c r="C14642" s="9" t="s">
        <v>66</v>
      </c>
      <c r="D14642" s="9" t="s">
        <v>18</v>
      </c>
      <c r="E14642" s="10" t="s">
        <v>1973</v>
      </c>
      <c r="F14642" s="9" t="s">
        <v>1974</v>
      </c>
      <c r="G14642" s="10" t="s">
        <v>176</v>
      </c>
      <c r="H14642" s="9" t="s">
        <v>22</v>
      </c>
      <c r="I14642" s="9" t="s">
        <v>29652</v>
      </c>
      <c r="J14642" s="10" t="str">
        <f>HYPERLINK("https://www.boe.es/gazeta/dias/1834/12/20/pdfs/GMD-C-1834-310.pdf#page=6","Abrir facsímil")</f>
        <v>Abrir facsímil</v>
      </c>
      <c r="K14642" s="10" t="s">
        <v>24</v>
      </c>
    </row>
    <row r="14643" spans="1:11" ht="54" customHeight="1">
      <c r="A14643" s="9" t="s">
        <v>29455</v>
      </c>
      <c r="B14643" s="9" t="s">
        <v>29455</v>
      </c>
      <c r="C14643" s="9" t="s">
        <v>17</v>
      </c>
      <c r="D14643" s="9" t="s">
        <v>18</v>
      </c>
      <c r="E14643" s="10" t="s">
        <v>117</v>
      </c>
      <c r="F14643" s="9" t="s">
        <v>118</v>
      </c>
      <c r="G14643" s="10" t="s">
        <v>75</v>
      </c>
      <c r="H14643" s="9" t="s">
        <v>22</v>
      </c>
      <c r="I14643" s="9" t="s">
        <v>29653</v>
      </c>
      <c r="J14643" s="10" t="str">
        <f>HYPERLINK("https://www.boe.es/gazeta/dias/1834/07/21/pdfs/GMD-1834-154.pdf#page=4","Abrir facsímil")</f>
        <v>Abrir facsímil</v>
      </c>
      <c r="K14643" s="10" t="s">
        <v>24</v>
      </c>
    </row>
    <row r="14644" spans="1:11" ht="54" customHeight="1">
      <c r="A14644" s="9" t="s">
        <v>29455</v>
      </c>
      <c r="B14644" s="9" t="s">
        <v>29455</v>
      </c>
      <c r="C14644" s="9" t="s">
        <v>46</v>
      </c>
      <c r="D14644" s="9" t="s">
        <v>101</v>
      </c>
      <c r="E14644" s="10" t="s">
        <v>375</v>
      </c>
      <c r="F14644" s="9" t="s">
        <v>4983</v>
      </c>
      <c r="G14644" s="10" t="s">
        <v>34</v>
      </c>
      <c r="H14644" s="9" t="s">
        <v>22</v>
      </c>
      <c r="I14644" s="9" t="s">
        <v>29654</v>
      </c>
      <c r="J14644" s="10" t="str">
        <f>HYPERLINK("https://www.boe.es/gazeta/dias/1834/08/21/pdfs/GMD-C-1834-187.pdf#page=1","Abrir facsímil")</f>
        <v>Abrir facsímil</v>
      </c>
      <c r="K14644" s="10" t="s">
        <v>24</v>
      </c>
    </row>
    <row r="14645" spans="1:11" ht="54" customHeight="1">
      <c r="A14645" s="9" t="s">
        <v>29455</v>
      </c>
      <c r="B14645" s="9" t="s">
        <v>29455</v>
      </c>
      <c r="C14645" s="9" t="s">
        <v>17</v>
      </c>
      <c r="D14645" s="9" t="s">
        <v>18</v>
      </c>
      <c r="E14645" s="10" t="s">
        <v>375</v>
      </c>
      <c r="F14645" s="9" t="s">
        <v>4983</v>
      </c>
      <c r="G14645" s="10" t="s">
        <v>86</v>
      </c>
      <c r="H14645" s="9" t="s">
        <v>22</v>
      </c>
      <c r="I14645" s="9" t="s">
        <v>29655</v>
      </c>
      <c r="J14645" s="10" t="str">
        <f>HYPERLINK("https://www.boe.es/gazeta/dias/1834/08/21/pdfs/GMD-C-1834-187.pdf#page=2","Abrir facsímil")</f>
        <v>Abrir facsímil</v>
      </c>
      <c r="K14645" s="10" t="s">
        <v>24</v>
      </c>
    </row>
    <row r="14646" spans="1:11" ht="54" customHeight="1">
      <c r="A14646" s="9" t="s">
        <v>29455</v>
      </c>
      <c r="B14646" s="9" t="s">
        <v>29455</v>
      </c>
      <c r="C14646" s="9" t="s">
        <v>46</v>
      </c>
      <c r="D14646" s="9" t="s">
        <v>18</v>
      </c>
      <c r="E14646" s="10" t="s">
        <v>981</v>
      </c>
      <c r="F14646" s="9" t="s">
        <v>3406</v>
      </c>
      <c r="G14646" s="10" t="s">
        <v>86</v>
      </c>
      <c r="H14646" s="9" t="s">
        <v>22</v>
      </c>
      <c r="I14646" s="9" t="s">
        <v>29656</v>
      </c>
      <c r="J14646" s="10" t="str">
        <f>HYPERLINK("https://www.boe.es/gazeta/dias/1834/09/21/pdfs/GMD-C-1834-219.pdf#page=2","Abrir facsímil")</f>
        <v>Abrir facsímil</v>
      </c>
      <c r="K14646" s="10" t="s">
        <v>24</v>
      </c>
    </row>
    <row r="14647" spans="1:11" ht="54" customHeight="1">
      <c r="A14647" s="9" t="s">
        <v>29455</v>
      </c>
      <c r="B14647" s="9" t="s">
        <v>29455</v>
      </c>
      <c r="C14647" s="9" t="s">
        <v>17</v>
      </c>
      <c r="D14647" s="9" t="s">
        <v>40</v>
      </c>
      <c r="E14647" s="10" t="s">
        <v>981</v>
      </c>
      <c r="F14647" s="9" t="s">
        <v>3406</v>
      </c>
      <c r="G14647" s="10" t="s">
        <v>560</v>
      </c>
      <c r="H14647" s="9" t="s">
        <v>22</v>
      </c>
      <c r="I14647" s="9" t="s">
        <v>29657</v>
      </c>
      <c r="J14647" s="10" t="str">
        <f>HYPERLINK("https://www.boe.es/gazeta/dias/1834/09/21/pdfs/GMD-C-1834-219.pdf#page=7","Abrir facsímil")</f>
        <v>Abrir facsímil</v>
      </c>
      <c r="K14647" s="10" t="s">
        <v>24</v>
      </c>
    </row>
    <row r="14648" spans="1:11" ht="54" customHeight="1">
      <c r="A14648" s="9" t="s">
        <v>29455</v>
      </c>
      <c r="B14648" s="9" t="s">
        <v>29455</v>
      </c>
      <c r="C14648" s="9" t="s">
        <v>17</v>
      </c>
      <c r="D14648" s="9" t="s">
        <v>18</v>
      </c>
      <c r="E14648" s="10" t="s">
        <v>647</v>
      </c>
      <c r="F14648" s="9" t="s">
        <v>648</v>
      </c>
      <c r="G14648" s="10" t="s">
        <v>34</v>
      </c>
      <c r="H14648" s="9" t="s">
        <v>22</v>
      </c>
      <c r="I14648" s="9" t="s">
        <v>29658</v>
      </c>
      <c r="J14648" s="10" t="str">
        <f>HYPERLINK("https://www.boe.es/gazeta/dias/1834/10/21/pdfs/GMD-C-1834-249.pdf#page=1","Abrir facsímil")</f>
        <v>Abrir facsímil</v>
      </c>
      <c r="K14648" s="10" t="s">
        <v>24</v>
      </c>
    </row>
    <row r="14649" spans="1:11" ht="54" customHeight="1">
      <c r="A14649" s="9" t="s">
        <v>29455</v>
      </c>
      <c r="B14649" s="9" t="s">
        <v>29455</v>
      </c>
      <c r="C14649" s="9" t="s">
        <v>17</v>
      </c>
      <c r="D14649" s="9" t="s">
        <v>18</v>
      </c>
      <c r="E14649" s="10" t="s">
        <v>647</v>
      </c>
      <c r="F14649" s="9" t="s">
        <v>648</v>
      </c>
      <c r="G14649" s="10" t="s">
        <v>75</v>
      </c>
      <c r="H14649" s="9" t="s">
        <v>22</v>
      </c>
      <c r="I14649" s="9" t="s">
        <v>29659</v>
      </c>
      <c r="J14649" s="10" t="str">
        <f>HYPERLINK("https://www.boe.es/gazeta/dias/1834/10/21/pdfs/GMD-C-1834-249.pdf#page=4","Abrir facsímil")</f>
        <v>Abrir facsímil</v>
      </c>
      <c r="K14649" s="10" t="s">
        <v>24</v>
      </c>
    </row>
    <row r="14650" spans="1:11" ht="54" customHeight="1">
      <c r="A14650" s="9" t="s">
        <v>29455</v>
      </c>
      <c r="B14650" s="9" t="s">
        <v>29455</v>
      </c>
      <c r="C14650" s="9" t="s">
        <v>17</v>
      </c>
      <c r="D14650" s="9" t="s">
        <v>18</v>
      </c>
      <c r="E14650" s="10" t="s">
        <v>647</v>
      </c>
      <c r="F14650" s="9" t="s">
        <v>648</v>
      </c>
      <c r="G14650" s="10" t="s">
        <v>28</v>
      </c>
      <c r="H14650" s="9" t="s">
        <v>22</v>
      </c>
      <c r="I14650" s="9" t="s">
        <v>29660</v>
      </c>
      <c r="J14650" s="10" t="str">
        <f>HYPERLINK("https://www.boe.es/gazeta/dias/1834/10/21/pdfs/GMD-C-1834-249.pdf#page=5","Abrir facsímil")</f>
        <v>Abrir facsímil</v>
      </c>
      <c r="K14650" s="10" t="s">
        <v>24</v>
      </c>
    </row>
    <row r="14651" spans="1:11" ht="54" customHeight="1">
      <c r="A14651" s="9" t="s">
        <v>29455</v>
      </c>
      <c r="B14651" s="9" t="s">
        <v>29455</v>
      </c>
      <c r="C14651" s="9" t="s">
        <v>66</v>
      </c>
      <c r="D14651" s="9" t="s">
        <v>18</v>
      </c>
      <c r="E14651" s="10" t="s">
        <v>647</v>
      </c>
      <c r="F14651" s="9" t="s">
        <v>648</v>
      </c>
      <c r="G14651" s="10" t="s">
        <v>560</v>
      </c>
      <c r="H14651" s="9" t="s">
        <v>22</v>
      </c>
      <c r="I14651" s="9" t="s">
        <v>29661</v>
      </c>
      <c r="J14651" s="10" t="str">
        <f>HYPERLINK("https://www.boe.es/gazeta/dias/1834/10/21/pdfs/GMD-C-1834-249.pdf#page=7","Abrir facsímil")</f>
        <v>Abrir facsímil</v>
      </c>
      <c r="K14651" s="10" t="s">
        <v>24</v>
      </c>
    </row>
    <row r="14652" spans="1:11" ht="54" customHeight="1">
      <c r="A14652" s="9" t="s">
        <v>29455</v>
      </c>
      <c r="B14652" s="9" t="s">
        <v>29455</v>
      </c>
      <c r="C14652" s="9" t="s">
        <v>66</v>
      </c>
      <c r="D14652" s="9" t="s">
        <v>67</v>
      </c>
      <c r="E14652" s="10" t="s">
        <v>492</v>
      </c>
      <c r="F14652" s="9" t="s">
        <v>493</v>
      </c>
      <c r="G14652" s="10" t="s">
        <v>34</v>
      </c>
      <c r="H14652" s="9" t="s">
        <v>22</v>
      </c>
      <c r="I14652" s="9" t="s">
        <v>29662</v>
      </c>
      <c r="J14652" s="10" t="str">
        <f>HYPERLINK("https://www.boe.es/gazeta/dias/1834/11/21/pdfs/GMD-C-1834-280.pdf#page=1","Abrir facsímil")</f>
        <v>Abrir facsímil</v>
      </c>
      <c r="K14652" s="10" t="s">
        <v>24</v>
      </c>
    </row>
    <row r="14653" spans="1:11" ht="54" customHeight="1">
      <c r="A14653" s="9" t="s">
        <v>29455</v>
      </c>
      <c r="B14653" s="9" t="s">
        <v>29455</v>
      </c>
      <c r="C14653" s="9" t="s">
        <v>17</v>
      </c>
      <c r="D14653" s="9" t="s">
        <v>18</v>
      </c>
      <c r="E14653" s="10" t="s">
        <v>610</v>
      </c>
      <c r="F14653" s="9" t="s">
        <v>611</v>
      </c>
      <c r="G14653" s="10" t="s">
        <v>28</v>
      </c>
      <c r="H14653" s="9" t="s">
        <v>22</v>
      </c>
      <c r="I14653" s="9" t="s">
        <v>29663</v>
      </c>
      <c r="J14653" s="10" t="str">
        <f>HYPERLINK("https://www.boe.es/gazeta/dias/1834/12/21/pdfs/GMD-C-1834-311.pdf#page=5","Abrir facsímil")</f>
        <v>Abrir facsímil</v>
      </c>
      <c r="K14653" s="10" t="s">
        <v>24</v>
      </c>
    </row>
    <row r="14654" spans="1:11" ht="54" customHeight="1">
      <c r="A14654" s="9" t="s">
        <v>29455</v>
      </c>
      <c r="B14654" s="9" t="s">
        <v>29455</v>
      </c>
      <c r="C14654" s="9" t="s">
        <v>17</v>
      </c>
      <c r="D14654" s="9" t="s">
        <v>55</v>
      </c>
      <c r="E14654" s="10" t="s">
        <v>610</v>
      </c>
      <c r="F14654" s="9" t="s">
        <v>611</v>
      </c>
      <c r="G14654" s="10" t="s">
        <v>176</v>
      </c>
      <c r="H14654" s="9" t="s">
        <v>22</v>
      </c>
      <c r="I14654" s="9" t="s">
        <v>29664</v>
      </c>
      <c r="J14654" s="10" t="str">
        <f>HYPERLINK("https://www.boe.es/gazeta/dias/1834/12/21/pdfs/GMD-C-1834-311.pdf#page=6","Abrir facsímil")</f>
        <v>Abrir facsímil</v>
      </c>
      <c r="K14654" s="10" t="s">
        <v>24</v>
      </c>
    </row>
    <row r="14655" spans="1:11" ht="54" customHeight="1">
      <c r="A14655" s="9" t="s">
        <v>29455</v>
      </c>
      <c r="B14655" s="9" t="s">
        <v>29455</v>
      </c>
      <c r="C14655" s="9" t="s">
        <v>17</v>
      </c>
      <c r="D14655" s="9" t="s">
        <v>18</v>
      </c>
      <c r="E14655" s="10" t="s">
        <v>1918</v>
      </c>
      <c r="F14655" s="9" t="s">
        <v>1919</v>
      </c>
      <c r="G14655" s="10" t="s">
        <v>34</v>
      </c>
      <c r="H14655" s="9" t="s">
        <v>22</v>
      </c>
      <c r="I14655" s="9" t="s">
        <v>29665</v>
      </c>
      <c r="J14655" s="10" t="str">
        <f>HYPERLINK("https://www.boe.es/gazeta/dias/1834/03/22/pdfs/GMD-1834-36.pdf#page=1","Abrir facsímil")</f>
        <v>Abrir facsímil</v>
      </c>
      <c r="K14655" s="10" t="s">
        <v>24</v>
      </c>
    </row>
    <row r="14656" spans="1:11" ht="54" customHeight="1">
      <c r="A14656" s="9" t="s">
        <v>29455</v>
      </c>
      <c r="B14656" s="9" t="s">
        <v>29455</v>
      </c>
      <c r="C14656" s="9" t="s">
        <v>46</v>
      </c>
      <c r="D14656" s="9" t="s">
        <v>18</v>
      </c>
      <c r="E14656" s="10" t="s">
        <v>4064</v>
      </c>
      <c r="F14656" s="9" t="s">
        <v>4065</v>
      </c>
      <c r="G14656" s="10" t="s">
        <v>21</v>
      </c>
      <c r="H14656" s="9" t="s">
        <v>22</v>
      </c>
      <c r="I14656" s="9" t="s">
        <v>29666</v>
      </c>
      <c r="J14656" s="10" t="str">
        <f>HYPERLINK("https://www.boe.es/gazeta/dias/1834/07/22/pdfs/GMD-1834-155.pdf#page=3","Abrir facsímil")</f>
        <v>Abrir facsímil</v>
      </c>
      <c r="K14656" s="10" t="s">
        <v>24</v>
      </c>
    </row>
    <row r="14657" spans="1:11" ht="54" customHeight="1">
      <c r="A14657" s="9" t="s">
        <v>29455</v>
      </c>
      <c r="B14657" s="9" t="s">
        <v>29455</v>
      </c>
      <c r="C14657" s="9" t="s">
        <v>90</v>
      </c>
      <c r="D14657" s="9" t="s">
        <v>18</v>
      </c>
      <c r="E14657" s="10" t="s">
        <v>627</v>
      </c>
      <c r="F14657" s="9" t="s">
        <v>628</v>
      </c>
      <c r="G14657" s="10" t="s">
        <v>34</v>
      </c>
      <c r="H14657" s="9" t="s">
        <v>22</v>
      </c>
      <c r="I14657" s="9" t="s">
        <v>29667</v>
      </c>
      <c r="J14657" s="10" t="str">
        <f>HYPERLINK("https://www.boe.es/gazeta/dias/1834/09/22/pdfs/GMD-C-1834-220.pdf#page=1","Abrir facsímil")</f>
        <v>Abrir facsímil</v>
      </c>
      <c r="K14657" s="10" t="s">
        <v>24</v>
      </c>
    </row>
    <row r="14658" spans="1:11" ht="54" customHeight="1">
      <c r="A14658" s="9" t="s">
        <v>29455</v>
      </c>
      <c r="B14658" s="9" t="s">
        <v>29455</v>
      </c>
      <c r="C14658" s="9" t="s">
        <v>17</v>
      </c>
      <c r="D14658" s="9" t="s">
        <v>18</v>
      </c>
      <c r="E14658" s="10" t="s">
        <v>627</v>
      </c>
      <c r="F14658" s="9" t="s">
        <v>628</v>
      </c>
      <c r="G14658" s="10" t="s">
        <v>86</v>
      </c>
      <c r="H14658" s="9" t="s">
        <v>22</v>
      </c>
      <c r="I14658" s="9" t="s">
        <v>29668</v>
      </c>
      <c r="J14658" s="10" t="str">
        <f>HYPERLINK("https://www.boe.es/gazeta/dias/1834/09/22/pdfs/GMD-C-1834-220.pdf#page=2","Abrir facsímil")</f>
        <v>Abrir facsímil</v>
      </c>
      <c r="K14658" s="10" t="s">
        <v>24</v>
      </c>
    </row>
    <row r="14659" spans="1:11" ht="54" customHeight="1">
      <c r="A14659" s="9" t="s">
        <v>29455</v>
      </c>
      <c r="B14659" s="9" t="s">
        <v>29455</v>
      </c>
      <c r="C14659" s="9" t="s">
        <v>17</v>
      </c>
      <c r="D14659" s="9" t="s">
        <v>40</v>
      </c>
      <c r="E14659" s="10" t="s">
        <v>627</v>
      </c>
      <c r="F14659" s="9" t="s">
        <v>628</v>
      </c>
      <c r="G14659" s="10" t="s">
        <v>560</v>
      </c>
      <c r="H14659" s="9" t="s">
        <v>22</v>
      </c>
      <c r="I14659" s="9" t="s">
        <v>29669</v>
      </c>
      <c r="J14659" s="10" t="str">
        <f>HYPERLINK("https://www.boe.es/gazeta/dias/1834/09/22/pdfs/GMD-C-1834-220.pdf#page=7","Abrir facsímil")</f>
        <v>Abrir facsímil</v>
      </c>
      <c r="K14659" s="10" t="s">
        <v>24</v>
      </c>
    </row>
    <row r="14660" spans="1:11" ht="54" customHeight="1">
      <c r="A14660" s="9" t="s">
        <v>29455</v>
      </c>
      <c r="B14660" s="9" t="s">
        <v>29455</v>
      </c>
      <c r="C14660" s="9" t="s">
        <v>17</v>
      </c>
      <c r="D14660" s="9" t="s">
        <v>18</v>
      </c>
      <c r="E14660" s="10" t="s">
        <v>2596</v>
      </c>
      <c r="F14660" s="9" t="s">
        <v>5480</v>
      </c>
      <c r="G14660" s="10" t="s">
        <v>34</v>
      </c>
      <c r="H14660" s="9" t="s">
        <v>22</v>
      </c>
      <c r="I14660" s="9" t="s">
        <v>29670</v>
      </c>
      <c r="J14660" s="10" t="str">
        <f>HYPERLINK("https://www.boe.es/gazeta/dias/1834/10/22/pdfs/GMD-C-1834-250.pdf#page=1","Abrir facsímil")</f>
        <v>Abrir facsímil</v>
      </c>
      <c r="K14660" s="10" t="s">
        <v>24</v>
      </c>
    </row>
    <row r="14661" spans="1:11" ht="54" customHeight="1">
      <c r="A14661" s="9" t="s">
        <v>29455</v>
      </c>
      <c r="B14661" s="9" t="s">
        <v>29455</v>
      </c>
      <c r="C14661" s="9" t="s">
        <v>17</v>
      </c>
      <c r="D14661" s="9" t="s">
        <v>18</v>
      </c>
      <c r="E14661" s="10" t="s">
        <v>2596</v>
      </c>
      <c r="F14661" s="9" t="s">
        <v>5480</v>
      </c>
      <c r="G14661" s="10" t="s">
        <v>86</v>
      </c>
      <c r="H14661" s="9" t="s">
        <v>22</v>
      </c>
      <c r="I14661" s="9" t="s">
        <v>29671</v>
      </c>
      <c r="J14661" s="10" t="str">
        <f>HYPERLINK("https://www.boe.es/gazeta/dias/1834/10/22/pdfs/GMD-C-1834-250.pdf#page=2","Abrir facsímil")</f>
        <v>Abrir facsímil</v>
      </c>
      <c r="K14661" s="10" t="s">
        <v>24</v>
      </c>
    </row>
    <row r="14662" spans="1:11" ht="54" customHeight="1">
      <c r="A14662" s="9" t="s">
        <v>29455</v>
      </c>
      <c r="B14662" s="9" t="s">
        <v>29455</v>
      </c>
      <c r="C14662" s="9" t="s">
        <v>122</v>
      </c>
      <c r="D14662" s="9" t="s">
        <v>40</v>
      </c>
      <c r="E14662" s="10" t="s">
        <v>702</v>
      </c>
      <c r="F14662" s="9" t="s">
        <v>703</v>
      </c>
      <c r="G14662" s="10" t="s">
        <v>34</v>
      </c>
      <c r="H14662" s="9" t="s">
        <v>22</v>
      </c>
      <c r="I14662" s="9" t="s">
        <v>29672</v>
      </c>
      <c r="J14662" s="10" t="str">
        <f>HYPERLINK("https://www.boe.es/gazeta/dias/1834/11/22/pdfs/GMD-C-1834-281.pdf#page=1","Abrir facsímil")</f>
        <v>Abrir facsímil</v>
      </c>
      <c r="K14662" s="10" t="s">
        <v>24</v>
      </c>
    </row>
    <row r="14663" spans="1:11" ht="54" customHeight="1">
      <c r="A14663" s="9" t="s">
        <v>29455</v>
      </c>
      <c r="B14663" s="9" t="s">
        <v>29455</v>
      </c>
      <c r="C14663" s="9" t="s">
        <v>17</v>
      </c>
      <c r="D14663" s="9" t="s">
        <v>18</v>
      </c>
      <c r="E14663" s="10" t="s">
        <v>702</v>
      </c>
      <c r="F14663" s="9" t="s">
        <v>703</v>
      </c>
      <c r="G14663" s="10" t="s">
        <v>21</v>
      </c>
      <c r="H14663" s="9" t="s">
        <v>22</v>
      </c>
      <c r="I14663" s="9" t="s">
        <v>29673</v>
      </c>
      <c r="J14663" s="10" t="str">
        <f>HYPERLINK("https://www.boe.es/gazeta/dias/1834/11/22/pdfs/GMD-C-1834-281.pdf#page=3","Abrir facsímil")</f>
        <v>Abrir facsímil</v>
      </c>
      <c r="K14663" s="10" t="s">
        <v>24</v>
      </c>
    </row>
    <row r="14664" spans="1:11" ht="54" customHeight="1">
      <c r="A14664" s="9" t="s">
        <v>29455</v>
      </c>
      <c r="B14664" s="9" t="s">
        <v>29455</v>
      </c>
      <c r="C14664" s="9" t="s">
        <v>46</v>
      </c>
      <c r="D14664" s="9" t="s">
        <v>101</v>
      </c>
      <c r="E14664" s="10" t="s">
        <v>247</v>
      </c>
      <c r="F14664" s="9" t="s">
        <v>248</v>
      </c>
      <c r="G14664" s="10" t="s">
        <v>86</v>
      </c>
      <c r="H14664" s="9" t="s">
        <v>22</v>
      </c>
      <c r="I14664" s="9" t="s">
        <v>29674</v>
      </c>
      <c r="J14664" s="10" t="str">
        <f>HYPERLINK("https://www.boe.es/gazeta/dias/1834/08/23/pdfs/GMD-C-1834-189.pdf#page=2","Abrir facsímil")</f>
        <v>Abrir facsímil</v>
      </c>
      <c r="K14664" s="10" t="s">
        <v>24</v>
      </c>
    </row>
    <row r="14665" spans="1:11" ht="54" customHeight="1">
      <c r="A14665" s="9" t="s">
        <v>29455</v>
      </c>
      <c r="B14665" s="9" t="s">
        <v>29455</v>
      </c>
      <c r="C14665" s="9" t="s">
        <v>17</v>
      </c>
      <c r="D14665" s="9" t="s">
        <v>18</v>
      </c>
      <c r="E14665" s="10" t="s">
        <v>576</v>
      </c>
      <c r="F14665" s="9" t="s">
        <v>5888</v>
      </c>
      <c r="G14665" s="10" t="s">
        <v>34</v>
      </c>
      <c r="H14665" s="9" t="s">
        <v>22</v>
      </c>
      <c r="I14665" s="9" t="s">
        <v>29675</v>
      </c>
      <c r="J14665" s="10" t="str">
        <f>HYPERLINK("https://www.boe.es/gazeta/dias/1834/09/23/pdfs/GMD-C-1834-221.pdf#page=1","Abrir facsímil")</f>
        <v>Abrir facsímil</v>
      </c>
      <c r="K14665" s="10" t="s">
        <v>24</v>
      </c>
    </row>
    <row r="14666" spans="1:11" ht="54" customHeight="1">
      <c r="A14666" s="9" t="s">
        <v>29455</v>
      </c>
      <c r="B14666" s="9" t="s">
        <v>29455</v>
      </c>
      <c r="C14666" s="9" t="s">
        <v>90</v>
      </c>
      <c r="D14666" s="9" t="s">
        <v>40</v>
      </c>
      <c r="E14666" s="10" t="s">
        <v>667</v>
      </c>
      <c r="F14666" s="9" t="s">
        <v>668</v>
      </c>
      <c r="G14666" s="10" t="s">
        <v>34</v>
      </c>
      <c r="H14666" s="9" t="s">
        <v>22</v>
      </c>
      <c r="I14666" s="9" t="s">
        <v>29676</v>
      </c>
      <c r="J14666" s="10" t="str">
        <f>HYPERLINK("https://www.boe.es/gazeta/dias/1834/11/23/pdfs/GMD-C-1834-282.pdf#page=1","Abrir facsímil")</f>
        <v>Abrir facsímil</v>
      </c>
      <c r="K14666" s="10" t="s">
        <v>24</v>
      </c>
    </row>
    <row r="14667" spans="1:11" ht="54" customHeight="1">
      <c r="A14667" s="9" t="s">
        <v>29455</v>
      </c>
      <c r="B14667" s="9" t="s">
        <v>29455</v>
      </c>
      <c r="C14667" s="9" t="s">
        <v>17</v>
      </c>
      <c r="D14667" s="9" t="s">
        <v>18</v>
      </c>
      <c r="E14667" s="10" t="s">
        <v>394</v>
      </c>
      <c r="F14667" s="9" t="s">
        <v>459</v>
      </c>
      <c r="G14667" s="10" t="s">
        <v>86</v>
      </c>
      <c r="H14667" s="9" t="s">
        <v>22</v>
      </c>
      <c r="I14667" s="9" t="s">
        <v>29677</v>
      </c>
      <c r="J14667" s="10" t="str">
        <f>HYPERLINK("https://www.boe.es/gazeta/dias/1834/12/23/pdfs/GMD-C-1834-313.pdf#page=2","Abrir facsímil")</f>
        <v>Abrir facsímil</v>
      </c>
      <c r="K14667" s="10" t="s">
        <v>24</v>
      </c>
    </row>
    <row r="14668" spans="1:11" ht="54" customHeight="1">
      <c r="A14668" s="9" t="s">
        <v>29455</v>
      </c>
      <c r="B14668" s="9" t="s">
        <v>29455</v>
      </c>
      <c r="C14668" s="9" t="s">
        <v>17</v>
      </c>
      <c r="D14668" s="9" t="s">
        <v>18</v>
      </c>
      <c r="E14668" s="10" t="s">
        <v>394</v>
      </c>
      <c r="F14668" s="9" t="s">
        <v>459</v>
      </c>
      <c r="G14668" s="10" t="s">
        <v>28</v>
      </c>
      <c r="H14668" s="9" t="s">
        <v>22</v>
      </c>
      <c r="I14668" s="9" t="s">
        <v>29678</v>
      </c>
      <c r="J14668" s="10" t="str">
        <f>HYPERLINK("https://www.boe.es/gazeta/dias/1834/12/23/pdfs/GMD-C-1834-313.pdf#page=5","Abrir facsímil")</f>
        <v>Abrir facsímil</v>
      </c>
      <c r="K14668" s="10" t="s">
        <v>24</v>
      </c>
    </row>
    <row r="14669" spans="1:11" ht="54" customHeight="1">
      <c r="A14669" s="9" t="s">
        <v>29455</v>
      </c>
      <c r="B14669" s="9" t="s">
        <v>29455</v>
      </c>
      <c r="C14669" s="9" t="s">
        <v>90</v>
      </c>
      <c r="D14669" s="9" t="s">
        <v>67</v>
      </c>
      <c r="E14669" s="10" t="s">
        <v>1017</v>
      </c>
      <c r="F14669" s="9" t="s">
        <v>1018</v>
      </c>
      <c r="G14669" s="10" t="s">
        <v>21</v>
      </c>
      <c r="H14669" s="9" t="s">
        <v>22</v>
      </c>
      <c r="I14669" s="9" t="s">
        <v>29679</v>
      </c>
      <c r="J14669" s="10" t="str">
        <f>HYPERLINK("https://www.boe.es/gazeta/dias/1834/07/24/pdfs/GMD-1834-157.pdf#page=3","Abrir facsímil")</f>
        <v>Abrir facsímil</v>
      </c>
      <c r="K14669" s="10" t="s">
        <v>24</v>
      </c>
    </row>
    <row r="14670" spans="1:11" ht="54" customHeight="1">
      <c r="A14670" s="9" t="s">
        <v>29455</v>
      </c>
      <c r="B14670" s="9" t="s">
        <v>29455</v>
      </c>
      <c r="C14670" s="9" t="s">
        <v>17</v>
      </c>
      <c r="D14670" s="9" t="s">
        <v>18</v>
      </c>
      <c r="E14670" s="10" t="s">
        <v>378</v>
      </c>
      <c r="F14670" s="9" t="s">
        <v>888</v>
      </c>
      <c r="G14670" s="10" t="s">
        <v>21</v>
      </c>
      <c r="H14670" s="9" t="s">
        <v>22</v>
      </c>
      <c r="I14670" s="9" t="s">
        <v>29680</v>
      </c>
      <c r="J14670" s="10" t="str">
        <f>HYPERLINK("https://www.boe.es/gazeta/dias/1834/09/24/pdfs/GMD-C-1834-222.pdf#page=3","Abrir facsímil")</f>
        <v>Abrir facsímil</v>
      </c>
      <c r="K14670" s="10" t="s">
        <v>24</v>
      </c>
    </row>
    <row r="14671" spans="1:11" ht="54" customHeight="1">
      <c r="A14671" s="9" t="s">
        <v>29455</v>
      </c>
      <c r="B14671" s="9" t="s">
        <v>29455</v>
      </c>
      <c r="C14671" s="9" t="s">
        <v>17</v>
      </c>
      <c r="D14671" s="9" t="s">
        <v>18</v>
      </c>
      <c r="E14671" s="10" t="s">
        <v>378</v>
      </c>
      <c r="F14671" s="9" t="s">
        <v>888</v>
      </c>
      <c r="G14671" s="10" t="s">
        <v>75</v>
      </c>
      <c r="H14671" s="9" t="s">
        <v>22</v>
      </c>
      <c r="I14671" s="9" t="s">
        <v>29681</v>
      </c>
      <c r="J14671" s="10" t="str">
        <f>HYPERLINK("https://www.boe.es/gazeta/dias/1834/09/24/pdfs/GMD-C-1834-222.pdf#page=4","Abrir facsímil")</f>
        <v>Abrir facsímil</v>
      </c>
      <c r="K14671" s="10" t="s">
        <v>24</v>
      </c>
    </row>
    <row r="14672" spans="1:11" ht="54" customHeight="1">
      <c r="A14672" s="9" t="s">
        <v>29455</v>
      </c>
      <c r="B14672" s="9" t="s">
        <v>29455</v>
      </c>
      <c r="C14672" s="9" t="s">
        <v>17</v>
      </c>
      <c r="D14672" s="9" t="s">
        <v>18</v>
      </c>
      <c r="E14672" s="10" t="s">
        <v>378</v>
      </c>
      <c r="F14672" s="9" t="s">
        <v>888</v>
      </c>
      <c r="G14672" s="10" t="s">
        <v>28</v>
      </c>
      <c r="H14672" s="9" t="s">
        <v>22</v>
      </c>
      <c r="I14672" s="9" t="s">
        <v>29682</v>
      </c>
      <c r="J14672" s="10" t="str">
        <f>HYPERLINK("https://www.boe.es/gazeta/dias/1834/09/24/pdfs/GMD-C-1834-222.pdf#page=5","Abrir facsímil")</f>
        <v>Abrir facsímil</v>
      </c>
      <c r="K14672" s="10" t="s">
        <v>24</v>
      </c>
    </row>
    <row r="14673" spans="1:11" ht="54" customHeight="1">
      <c r="A14673" s="9" t="s">
        <v>29455</v>
      </c>
      <c r="B14673" s="9" t="s">
        <v>29455</v>
      </c>
      <c r="C14673" s="9" t="s">
        <v>17</v>
      </c>
      <c r="D14673" s="9" t="s">
        <v>18</v>
      </c>
      <c r="E14673" s="10" t="s">
        <v>633</v>
      </c>
      <c r="F14673" s="9" t="s">
        <v>634</v>
      </c>
      <c r="G14673" s="10" t="s">
        <v>21</v>
      </c>
      <c r="H14673" s="9" t="s">
        <v>22</v>
      </c>
      <c r="I14673" s="9" t="s">
        <v>29683</v>
      </c>
      <c r="J14673" s="10" t="str">
        <f>HYPERLINK("https://www.boe.es/gazeta/dias/1834/10/24/pdfs/GMD-1834-252.pdf#page=3","Abrir facsímil")</f>
        <v>Abrir facsímil</v>
      </c>
      <c r="K14673" s="10" t="s">
        <v>24</v>
      </c>
    </row>
    <row r="14674" spans="1:11" ht="54" customHeight="1">
      <c r="A14674" s="9" t="s">
        <v>29455</v>
      </c>
      <c r="B14674" s="9" t="s">
        <v>29455</v>
      </c>
      <c r="C14674" s="9" t="s">
        <v>17</v>
      </c>
      <c r="D14674" s="9" t="s">
        <v>18</v>
      </c>
      <c r="E14674" s="10" t="s">
        <v>128</v>
      </c>
      <c r="F14674" s="9" t="s">
        <v>129</v>
      </c>
      <c r="G14674" s="10" t="s">
        <v>34</v>
      </c>
      <c r="H14674" s="9" t="s">
        <v>22</v>
      </c>
      <c r="I14674" s="9" t="s">
        <v>29684</v>
      </c>
      <c r="J14674" s="10" t="str">
        <f>HYPERLINK("https://www.boe.es/gazeta/dias/1834/12/24/pdfs/GMD-C-1834-314.pdf#page=1","Abrir facsímil")</f>
        <v>Abrir facsímil</v>
      </c>
      <c r="K14674" s="10" t="s">
        <v>24</v>
      </c>
    </row>
    <row r="14675" spans="1:11" ht="54" customHeight="1">
      <c r="A14675" s="9" t="s">
        <v>29455</v>
      </c>
      <c r="B14675" s="9" t="s">
        <v>29455</v>
      </c>
      <c r="C14675" s="9" t="s">
        <v>17</v>
      </c>
      <c r="D14675" s="9" t="s">
        <v>18</v>
      </c>
      <c r="E14675" s="10" t="s">
        <v>128</v>
      </c>
      <c r="F14675" s="9" t="s">
        <v>129</v>
      </c>
      <c r="G14675" s="10" t="s">
        <v>86</v>
      </c>
      <c r="H14675" s="9" t="s">
        <v>22</v>
      </c>
      <c r="I14675" s="9" t="s">
        <v>29685</v>
      </c>
      <c r="J14675" s="10" t="str">
        <f>HYPERLINK("https://www.boe.es/gazeta/dias/1834/12/24/pdfs/GMD-C-1834-314.pdf#page=2","Abrir facsímil")</f>
        <v>Abrir facsímil</v>
      </c>
      <c r="K14675" s="10" t="s">
        <v>24</v>
      </c>
    </row>
    <row r="14676" spans="1:11" ht="54" customHeight="1">
      <c r="A14676" s="9" t="s">
        <v>29455</v>
      </c>
      <c r="B14676" s="9" t="s">
        <v>29455</v>
      </c>
      <c r="C14676" s="9" t="s">
        <v>17</v>
      </c>
      <c r="D14676" s="9" t="s">
        <v>40</v>
      </c>
      <c r="E14676" s="10" t="s">
        <v>128</v>
      </c>
      <c r="F14676" s="9" t="s">
        <v>129</v>
      </c>
      <c r="G14676" s="10" t="s">
        <v>21</v>
      </c>
      <c r="H14676" s="9" t="s">
        <v>22</v>
      </c>
      <c r="I14676" s="9" t="s">
        <v>29686</v>
      </c>
      <c r="J14676" s="10" t="str">
        <f>HYPERLINK("https://www.boe.es/gazeta/dias/1834/12/24/pdfs/GMD-C-1834-314.pdf#page=3","Abrir facsímil")</f>
        <v>Abrir facsímil</v>
      </c>
      <c r="K14676" s="10" t="s">
        <v>24</v>
      </c>
    </row>
    <row r="14677" spans="1:11" ht="54" customHeight="1">
      <c r="A14677" s="9" t="s">
        <v>29455</v>
      </c>
      <c r="B14677" s="9" t="s">
        <v>29455</v>
      </c>
      <c r="C14677" s="9" t="s">
        <v>90</v>
      </c>
      <c r="D14677" s="9" t="s">
        <v>18</v>
      </c>
      <c r="E14677" s="10" t="s">
        <v>1922</v>
      </c>
      <c r="F14677" s="9" t="s">
        <v>1923</v>
      </c>
      <c r="G14677" s="10" t="s">
        <v>21</v>
      </c>
      <c r="H14677" s="9" t="s">
        <v>22</v>
      </c>
      <c r="I14677" s="9" t="s">
        <v>29687</v>
      </c>
      <c r="J14677" s="10" t="str">
        <f>HYPERLINK("https://www.boe.es/gazeta/dias/1834/02/25/pdfs/GMD-1834-25.pdf#page=3","Abrir facsímil")</f>
        <v>Abrir facsímil</v>
      </c>
      <c r="K14677" s="10" t="s">
        <v>24</v>
      </c>
    </row>
    <row r="14678" spans="1:11" ht="54" customHeight="1">
      <c r="A14678" s="9" t="s">
        <v>29455</v>
      </c>
      <c r="B14678" s="9" t="s">
        <v>29455</v>
      </c>
      <c r="C14678" s="9" t="s">
        <v>46</v>
      </c>
      <c r="D14678" s="9" t="s">
        <v>101</v>
      </c>
      <c r="E14678" s="10" t="s">
        <v>403</v>
      </c>
      <c r="F14678" s="9" t="s">
        <v>404</v>
      </c>
      <c r="G14678" s="10" t="s">
        <v>34</v>
      </c>
      <c r="H14678" s="9" t="s">
        <v>22</v>
      </c>
      <c r="I14678" s="9" t="s">
        <v>29688</v>
      </c>
      <c r="J14678" s="10" t="str">
        <f>HYPERLINK("https://www.boe.es/gazeta/dias/1834/09/25/pdfs/GMD-C-1834-223.pdf#page=1","Abrir facsímil")</f>
        <v>Abrir facsímil</v>
      </c>
      <c r="K14678" s="10" t="s">
        <v>24</v>
      </c>
    </row>
    <row r="14679" spans="1:11" ht="54" customHeight="1">
      <c r="A14679" s="9" t="s">
        <v>29455</v>
      </c>
      <c r="B14679" s="9" t="s">
        <v>29455</v>
      </c>
      <c r="C14679" s="9" t="s">
        <v>46</v>
      </c>
      <c r="D14679" s="9" t="s">
        <v>55</v>
      </c>
      <c r="E14679" s="10" t="s">
        <v>403</v>
      </c>
      <c r="F14679" s="9" t="s">
        <v>404</v>
      </c>
      <c r="G14679" s="10" t="s">
        <v>21</v>
      </c>
      <c r="H14679" s="9" t="s">
        <v>22</v>
      </c>
      <c r="I14679" s="9" t="s">
        <v>29689</v>
      </c>
      <c r="J14679" s="10" t="str">
        <f>HYPERLINK("https://www.boe.es/gazeta/dias/1834/09/25/pdfs/GMD-C-1834-223.pdf#page=3","Abrir facsímil")</f>
        <v>Abrir facsímil</v>
      </c>
      <c r="K14679" s="10" t="s">
        <v>24</v>
      </c>
    </row>
    <row r="14680" spans="1:11" ht="54" customHeight="1">
      <c r="A14680" s="9" t="s">
        <v>29455</v>
      </c>
      <c r="B14680" s="9" t="s">
        <v>29455</v>
      </c>
      <c r="C14680" s="9" t="s">
        <v>17</v>
      </c>
      <c r="D14680" s="9" t="s">
        <v>18</v>
      </c>
      <c r="E14680" s="10" t="s">
        <v>403</v>
      </c>
      <c r="F14680" s="9" t="s">
        <v>404</v>
      </c>
      <c r="G14680" s="10" t="s">
        <v>560</v>
      </c>
      <c r="H14680" s="9" t="s">
        <v>22</v>
      </c>
      <c r="I14680" s="9" t="s">
        <v>29690</v>
      </c>
      <c r="J14680" s="10" t="str">
        <f>HYPERLINK("https://www.boe.es/gazeta/dias/1834/09/25/pdfs/GMD-C-1834-223.pdf#page=7","Abrir facsímil")</f>
        <v>Abrir facsímil</v>
      </c>
      <c r="K14680" s="10" t="s">
        <v>24</v>
      </c>
    </row>
    <row r="14681" spans="1:11" ht="54" customHeight="1">
      <c r="A14681" s="9" t="s">
        <v>29455</v>
      </c>
      <c r="B14681" s="9" t="s">
        <v>29455</v>
      </c>
      <c r="C14681" s="9" t="s">
        <v>17</v>
      </c>
      <c r="D14681" s="9" t="s">
        <v>18</v>
      </c>
      <c r="E14681" s="10" t="s">
        <v>707</v>
      </c>
      <c r="F14681" s="9" t="s">
        <v>708</v>
      </c>
      <c r="G14681" s="10" t="s">
        <v>470</v>
      </c>
      <c r="H14681" s="9" t="s">
        <v>22</v>
      </c>
      <c r="I14681" s="9" t="s">
        <v>29691</v>
      </c>
      <c r="J14681" s="10" t="str">
        <f>HYPERLINK("https://www.boe.es/gazeta/dias/1834/11/25/pdfs/GMD-C-1834-284.pdf#page=8","Abrir facsímil")</f>
        <v>Abrir facsímil</v>
      </c>
      <c r="K14681" s="10" t="s">
        <v>24</v>
      </c>
    </row>
    <row r="14682" spans="1:11" ht="54" customHeight="1">
      <c r="A14682" s="9" t="s">
        <v>29455</v>
      </c>
      <c r="B14682" s="9" t="s">
        <v>29455</v>
      </c>
      <c r="C14682" s="9" t="s">
        <v>46</v>
      </c>
      <c r="D14682" s="9" t="s">
        <v>101</v>
      </c>
      <c r="E14682" s="10" t="s">
        <v>707</v>
      </c>
      <c r="F14682" s="9" t="s">
        <v>708</v>
      </c>
      <c r="G14682" s="10" t="s">
        <v>1343</v>
      </c>
      <c r="H14682" s="9" t="s">
        <v>22</v>
      </c>
      <c r="I14682" s="9" t="s">
        <v>29692</v>
      </c>
      <c r="J14682" s="10" t="str">
        <f>HYPERLINK("https://www.boe.es/gazeta/dias/1834/11/25/pdfs/GMD-C-1834-284.pdf#page=9","Abrir facsímil")</f>
        <v>Abrir facsímil</v>
      </c>
      <c r="K14682" s="10" t="s">
        <v>24</v>
      </c>
    </row>
    <row r="14683" spans="1:11" ht="54" customHeight="1">
      <c r="A14683" s="9" t="s">
        <v>29455</v>
      </c>
      <c r="B14683" s="9" t="s">
        <v>29455</v>
      </c>
      <c r="C14683" s="9" t="s">
        <v>66</v>
      </c>
      <c r="D14683" s="9" t="s">
        <v>18</v>
      </c>
      <c r="E14683" s="10" t="s">
        <v>658</v>
      </c>
      <c r="F14683" s="9" t="s">
        <v>659</v>
      </c>
      <c r="G14683" s="10" t="s">
        <v>86</v>
      </c>
      <c r="H14683" s="9" t="s">
        <v>22</v>
      </c>
      <c r="I14683" s="9" t="s">
        <v>29693</v>
      </c>
      <c r="J14683" s="10" t="str">
        <f>HYPERLINK("https://www.boe.es/gazeta/dias/1834/05/26/pdfs/GMD-1834-95.pdf#page=2","Abrir facsímil")</f>
        <v>Abrir facsímil</v>
      </c>
      <c r="K14683" s="10" t="s">
        <v>24</v>
      </c>
    </row>
    <row r="14684" spans="1:11" ht="54" customHeight="1">
      <c r="A14684" s="9" t="s">
        <v>29455</v>
      </c>
      <c r="B14684" s="9" t="s">
        <v>29455</v>
      </c>
      <c r="C14684" s="9" t="s">
        <v>17</v>
      </c>
      <c r="D14684" s="9" t="s">
        <v>18</v>
      </c>
      <c r="E14684" s="10" t="s">
        <v>1677</v>
      </c>
      <c r="F14684" s="9" t="s">
        <v>2515</v>
      </c>
      <c r="G14684" s="10" t="s">
        <v>34</v>
      </c>
      <c r="H14684" s="9" t="s">
        <v>22</v>
      </c>
      <c r="I14684" s="9" t="s">
        <v>29694</v>
      </c>
      <c r="J14684" s="10" t="str">
        <f>HYPERLINK("https://www.boe.es/gazeta/dias/1834/07/26/pdfs/GMD-C-1834-159.pdf#page=1","Abrir facsímil")</f>
        <v>Abrir facsímil</v>
      </c>
      <c r="K14684" s="10" t="s">
        <v>24</v>
      </c>
    </row>
    <row r="14685" spans="1:11" ht="54" customHeight="1">
      <c r="A14685" s="9" t="s">
        <v>29455</v>
      </c>
      <c r="B14685" s="9" t="s">
        <v>29455</v>
      </c>
      <c r="C14685" s="9" t="s">
        <v>17</v>
      </c>
      <c r="D14685" s="9" t="s">
        <v>40</v>
      </c>
      <c r="E14685" s="10" t="s">
        <v>1135</v>
      </c>
      <c r="F14685" s="9" t="s">
        <v>1566</v>
      </c>
      <c r="G14685" s="10" t="s">
        <v>34</v>
      </c>
      <c r="H14685" s="9" t="s">
        <v>22</v>
      </c>
      <c r="I14685" s="9" t="s">
        <v>29695</v>
      </c>
      <c r="J14685" s="10" t="str">
        <f>HYPERLINK("https://www.boe.es/gazeta/dias/1834/08/26/pdfs/GMD-C-1834-192.pdf#page=1","Abrir facsímil")</f>
        <v>Abrir facsímil</v>
      </c>
      <c r="K14685" s="10" t="s">
        <v>24</v>
      </c>
    </row>
    <row r="14686" spans="1:11" ht="54" customHeight="1">
      <c r="A14686" s="9" t="s">
        <v>29455</v>
      </c>
      <c r="B14686" s="9" t="s">
        <v>29455</v>
      </c>
      <c r="C14686" s="9" t="s">
        <v>17</v>
      </c>
      <c r="D14686" s="9" t="s">
        <v>18</v>
      </c>
      <c r="E14686" s="10" t="s">
        <v>1135</v>
      </c>
      <c r="F14686" s="9" t="s">
        <v>1566</v>
      </c>
      <c r="G14686" s="10" t="s">
        <v>86</v>
      </c>
      <c r="H14686" s="9" t="s">
        <v>22</v>
      </c>
      <c r="I14686" s="9" t="s">
        <v>29696</v>
      </c>
      <c r="J14686" s="10" t="str">
        <f>HYPERLINK("https://www.boe.es/gazeta/dias/1834/08/26/pdfs/GMD-C-1834-192.pdf#page=2","Abrir facsímil")</f>
        <v>Abrir facsímil</v>
      </c>
      <c r="K14686" s="10" t="s">
        <v>24</v>
      </c>
    </row>
    <row r="14687" spans="1:11" ht="54" customHeight="1">
      <c r="A14687" s="9" t="s">
        <v>29455</v>
      </c>
      <c r="B14687" s="9" t="s">
        <v>29455</v>
      </c>
      <c r="C14687" s="9" t="s">
        <v>46</v>
      </c>
      <c r="D14687" s="9" t="s">
        <v>55</v>
      </c>
      <c r="E14687" s="10" t="s">
        <v>251</v>
      </c>
      <c r="F14687" s="9" t="s">
        <v>252</v>
      </c>
      <c r="G14687" s="10" t="s">
        <v>34</v>
      </c>
      <c r="H14687" s="9" t="s">
        <v>22</v>
      </c>
      <c r="I14687" s="9" t="s">
        <v>29697</v>
      </c>
      <c r="J14687" s="10" t="str">
        <f>HYPERLINK("https://www.boe.es/gazeta/dias/1834/09/26/pdfs/GMD-C-1834-224.pdf#page=1","Abrir facsímil")</f>
        <v>Abrir facsímil</v>
      </c>
      <c r="K14687" s="10" t="s">
        <v>24</v>
      </c>
    </row>
    <row r="14688" spans="1:11" ht="54" customHeight="1">
      <c r="A14688" s="9" t="s">
        <v>29455</v>
      </c>
      <c r="B14688" s="9" t="s">
        <v>29455</v>
      </c>
      <c r="C14688" s="9" t="s">
        <v>17</v>
      </c>
      <c r="D14688" s="9" t="s">
        <v>18</v>
      </c>
      <c r="E14688" s="10" t="s">
        <v>251</v>
      </c>
      <c r="F14688" s="9" t="s">
        <v>252</v>
      </c>
      <c r="G14688" s="10" t="s">
        <v>21</v>
      </c>
      <c r="H14688" s="9" t="s">
        <v>22</v>
      </c>
      <c r="I14688" s="9" t="s">
        <v>29698</v>
      </c>
      <c r="J14688" s="10" t="str">
        <f>HYPERLINK("https://www.boe.es/gazeta/dias/1834/09/26/pdfs/GMD-C-1834-224.pdf#page=3","Abrir facsímil")</f>
        <v>Abrir facsímil</v>
      </c>
      <c r="K14688" s="10" t="s">
        <v>24</v>
      </c>
    </row>
    <row r="14689" spans="1:11" ht="54" customHeight="1">
      <c r="A14689" s="9" t="s">
        <v>29455</v>
      </c>
      <c r="B14689" s="9" t="s">
        <v>29455</v>
      </c>
      <c r="C14689" s="9" t="s">
        <v>17</v>
      </c>
      <c r="D14689" s="9" t="s">
        <v>18</v>
      </c>
      <c r="E14689" s="10" t="s">
        <v>251</v>
      </c>
      <c r="F14689" s="9" t="s">
        <v>252</v>
      </c>
      <c r="G14689" s="10" t="s">
        <v>470</v>
      </c>
      <c r="H14689" s="9" t="s">
        <v>22</v>
      </c>
      <c r="I14689" s="9" t="s">
        <v>29699</v>
      </c>
      <c r="J14689" s="10" t="str">
        <f>HYPERLINK("https://www.boe.es/gazeta/dias/1834/09/26/pdfs/GMD-C-1834-224.pdf#page=8","Abrir facsímil")</f>
        <v>Abrir facsímil</v>
      </c>
      <c r="K14689" s="10" t="s">
        <v>24</v>
      </c>
    </row>
    <row r="14690" spans="1:11" ht="54" customHeight="1">
      <c r="A14690" s="9" t="s">
        <v>29455</v>
      </c>
      <c r="B14690" s="9" t="s">
        <v>29455</v>
      </c>
      <c r="C14690" s="9" t="s">
        <v>17</v>
      </c>
      <c r="D14690" s="9" t="s">
        <v>18</v>
      </c>
      <c r="E14690" s="10" t="s">
        <v>1766</v>
      </c>
      <c r="F14690" s="9" t="s">
        <v>1767</v>
      </c>
      <c r="G14690" s="10" t="s">
        <v>34</v>
      </c>
      <c r="H14690" s="9" t="s">
        <v>22</v>
      </c>
      <c r="I14690" s="9" t="s">
        <v>29700</v>
      </c>
      <c r="J14690" s="10" t="str">
        <f>HYPERLINK("https://www.boe.es/gazeta/dias/1834/10/26/pdfs/GMD-C-1834-254.pdf#page=1","Abrir facsímil")</f>
        <v>Abrir facsímil</v>
      </c>
      <c r="K14690" s="10" t="s">
        <v>24</v>
      </c>
    </row>
    <row r="14691" spans="1:11" ht="54" customHeight="1">
      <c r="A14691" s="9" t="s">
        <v>29455</v>
      </c>
      <c r="B14691" s="9" t="s">
        <v>29455</v>
      </c>
      <c r="C14691" s="9" t="s">
        <v>90</v>
      </c>
      <c r="D14691" s="9" t="s">
        <v>18</v>
      </c>
      <c r="E14691" s="10" t="s">
        <v>1766</v>
      </c>
      <c r="F14691" s="9" t="s">
        <v>1767</v>
      </c>
      <c r="G14691" s="10" t="s">
        <v>86</v>
      </c>
      <c r="H14691" s="9" t="s">
        <v>22</v>
      </c>
      <c r="I14691" s="9" t="s">
        <v>29701</v>
      </c>
      <c r="J14691" s="10" t="str">
        <f>HYPERLINK("https://www.boe.es/gazeta/dias/1834/10/26/pdfs/GMD-C-1834-254.pdf#page=2","Abrir facsímil")</f>
        <v>Abrir facsímil</v>
      </c>
      <c r="K14691" s="10" t="s">
        <v>24</v>
      </c>
    </row>
    <row r="14692" spans="1:11" ht="54" customHeight="1">
      <c r="A14692" s="9" t="s">
        <v>29455</v>
      </c>
      <c r="B14692" s="9" t="s">
        <v>29455</v>
      </c>
      <c r="C14692" s="9" t="s">
        <v>17</v>
      </c>
      <c r="D14692" s="9" t="s">
        <v>40</v>
      </c>
      <c r="E14692" s="10" t="s">
        <v>510</v>
      </c>
      <c r="F14692" s="9" t="s">
        <v>531</v>
      </c>
      <c r="G14692" s="10" t="s">
        <v>75</v>
      </c>
      <c r="H14692" s="9" t="s">
        <v>22</v>
      </c>
      <c r="I14692" s="9" t="s">
        <v>29702</v>
      </c>
      <c r="J14692" s="10" t="str">
        <f>HYPERLINK("https://www.boe.es/gazeta/dias/1834/11/26/pdfs/GMD-C-1834-285.pdf#page=4","Abrir facsímil")</f>
        <v>Abrir facsímil</v>
      </c>
      <c r="K14692" s="10" t="s">
        <v>24</v>
      </c>
    </row>
    <row r="14693" spans="1:11" ht="54" customHeight="1">
      <c r="A14693" s="9" t="s">
        <v>29455</v>
      </c>
      <c r="B14693" s="9" t="s">
        <v>29455</v>
      </c>
      <c r="C14693" s="9" t="s">
        <v>17</v>
      </c>
      <c r="D14693" s="9" t="s">
        <v>18</v>
      </c>
      <c r="E14693" s="10" t="s">
        <v>1686</v>
      </c>
      <c r="F14693" s="9" t="s">
        <v>2311</v>
      </c>
      <c r="G14693" s="10" t="s">
        <v>34</v>
      </c>
      <c r="H14693" s="9" t="s">
        <v>22</v>
      </c>
      <c r="I14693" s="9" t="s">
        <v>29703</v>
      </c>
      <c r="J14693" s="10" t="str">
        <f>HYPERLINK("https://www.boe.es/gazeta/dias/1834/07/27/pdfs/GMD-C-1834-160.pdf#page=1","Abrir facsímil")</f>
        <v>Abrir facsímil</v>
      </c>
      <c r="K14693" s="10" t="s">
        <v>24</v>
      </c>
    </row>
    <row r="14694" spans="1:11" ht="54" customHeight="1">
      <c r="A14694" s="9" t="s">
        <v>29455</v>
      </c>
      <c r="B14694" s="9" t="s">
        <v>29455</v>
      </c>
      <c r="C14694" s="9" t="s">
        <v>66</v>
      </c>
      <c r="D14694" s="9" t="s">
        <v>67</v>
      </c>
      <c r="E14694" s="10" t="s">
        <v>462</v>
      </c>
      <c r="F14694" s="9" t="s">
        <v>463</v>
      </c>
      <c r="G14694" s="10" t="s">
        <v>34</v>
      </c>
      <c r="H14694" s="9" t="s">
        <v>22</v>
      </c>
      <c r="I14694" s="9" t="s">
        <v>29704</v>
      </c>
      <c r="J14694" s="10" t="str">
        <f>HYPERLINK("https://www.boe.es/gazeta/dias/1834/08/27/pdfs/GMD-C-1834-193.pdf#page=1","Abrir facsímil")</f>
        <v>Abrir facsímil</v>
      </c>
      <c r="K14694" s="10" t="s">
        <v>24</v>
      </c>
    </row>
    <row r="14695" spans="1:11" ht="54" customHeight="1">
      <c r="A14695" s="9" t="s">
        <v>29455</v>
      </c>
      <c r="B14695" s="9" t="s">
        <v>29455</v>
      </c>
      <c r="C14695" s="9" t="s">
        <v>17</v>
      </c>
      <c r="D14695" s="9" t="s">
        <v>18</v>
      </c>
      <c r="E14695" s="10" t="s">
        <v>462</v>
      </c>
      <c r="F14695" s="9" t="s">
        <v>463</v>
      </c>
      <c r="G14695" s="10" t="s">
        <v>86</v>
      </c>
      <c r="H14695" s="9" t="s">
        <v>22</v>
      </c>
      <c r="I14695" s="9" t="s">
        <v>29705</v>
      </c>
      <c r="J14695" s="10" t="str">
        <f>HYPERLINK("https://www.boe.es/gazeta/dias/1834/08/27/pdfs/GMD-C-1834-193.pdf#page=2","Abrir facsímil")</f>
        <v>Abrir facsímil</v>
      </c>
      <c r="K14695" s="10" t="s">
        <v>24</v>
      </c>
    </row>
    <row r="14696" spans="1:11" ht="54" customHeight="1">
      <c r="A14696" s="9" t="s">
        <v>29455</v>
      </c>
      <c r="B14696" s="9" t="s">
        <v>29455</v>
      </c>
      <c r="C14696" s="9" t="s">
        <v>122</v>
      </c>
      <c r="D14696" s="9" t="s">
        <v>101</v>
      </c>
      <c r="E14696" s="10" t="s">
        <v>462</v>
      </c>
      <c r="F14696" s="9" t="s">
        <v>463</v>
      </c>
      <c r="G14696" s="10" t="s">
        <v>21</v>
      </c>
      <c r="H14696" s="9" t="s">
        <v>22</v>
      </c>
      <c r="I14696" s="9" t="s">
        <v>29706</v>
      </c>
      <c r="J14696" s="10" t="str">
        <f>HYPERLINK("https://www.boe.es/gazeta/dias/1834/08/27/pdfs/GMD-C-1834-193.pdf#page=3","Abrir facsímil")</f>
        <v>Abrir facsímil</v>
      </c>
      <c r="K14696" s="10" t="s">
        <v>24</v>
      </c>
    </row>
    <row r="14697" spans="1:11" ht="54" customHeight="1">
      <c r="A14697" s="9" t="s">
        <v>29455</v>
      </c>
      <c r="B14697" s="9" t="s">
        <v>29455</v>
      </c>
      <c r="C14697" s="9" t="s">
        <v>46</v>
      </c>
      <c r="D14697" s="9" t="s">
        <v>55</v>
      </c>
      <c r="E14697" s="10" t="s">
        <v>294</v>
      </c>
      <c r="F14697" s="9" t="s">
        <v>959</v>
      </c>
      <c r="G14697" s="10" t="s">
        <v>34</v>
      </c>
      <c r="H14697" s="9" t="s">
        <v>22</v>
      </c>
      <c r="I14697" s="9" t="s">
        <v>29707</v>
      </c>
      <c r="J14697" s="10" t="str">
        <f>HYPERLINK("https://www.boe.es/gazeta/dias/1834/09/27/pdfs/GMD-C-1834-225.pdf#page=1","Abrir facsímil")</f>
        <v>Abrir facsímil</v>
      </c>
      <c r="K14697" s="10" t="s">
        <v>24</v>
      </c>
    </row>
    <row r="14698" spans="1:11" ht="54" customHeight="1">
      <c r="A14698" s="9" t="s">
        <v>29455</v>
      </c>
      <c r="B14698" s="9" t="s">
        <v>29455</v>
      </c>
      <c r="C14698" s="9" t="s">
        <v>17</v>
      </c>
      <c r="D14698" s="9" t="s">
        <v>18</v>
      </c>
      <c r="E14698" s="10" t="s">
        <v>294</v>
      </c>
      <c r="F14698" s="9" t="s">
        <v>959</v>
      </c>
      <c r="G14698" s="10" t="s">
        <v>75</v>
      </c>
      <c r="H14698" s="9" t="s">
        <v>22</v>
      </c>
      <c r="I14698" s="9" t="s">
        <v>29708</v>
      </c>
      <c r="J14698" s="10" t="str">
        <f>HYPERLINK("https://www.boe.es/gazeta/dias/1834/09/27/pdfs/GMD-C-1834-225.pdf#page=4","Abrir facsímil")</f>
        <v>Abrir facsímil</v>
      </c>
      <c r="K14698" s="10" t="s">
        <v>24</v>
      </c>
    </row>
    <row r="14699" spans="1:11" ht="54" customHeight="1">
      <c r="A14699" s="9" t="s">
        <v>29455</v>
      </c>
      <c r="B14699" s="9" t="s">
        <v>29455</v>
      </c>
      <c r="C14699" s="9" t="s">
        <v>66</v>
      </c>
      <c r="D14699" s="9" t="s">
        <v>67</v>
      </c>
      <c r="E14699" s="10" t="s">
        <v>465</v>
      </c>
      <c r="F14699" s="9" t="s">
        <v>466</v>
      </c>
      <c r="G14699" s="10" t="s">
        <v>34</v>
      </c>
      <c r="H14699" s="9" t="s">
        <v>22</v>
      </c>
      <c r="I14699" s="9" t="s">
        <v>29709</v>
      </c>
      <c r="J14699" s="10" t="str">
        <f>HYPERLINK("https://www.boe.es/gazeta/dias/1834/11/27/pdfs/GMD-C-1834-286.pdf#page=1","Abrir facsímil")</f>
        <v>Abrir facsímil</v>
      </c>
      <c r="K14699" s="10" t="s">
        <v>24</v>
      </c>
    </row>
    <row r="14700" spans="1:11" ht="54" customHeight="1">
      <c r="A14700" s="9" t="s">
        <v>29455</v>
      </c>
      <c r="B14700" s="9" t="s">
        <v>29455</v>
      </c>
      <c r="C14700" s="9" t="s">
        <v>17</v>
      </c>
      <c r="D14700" s="9" t="s">
        <v>18</v>
      </c>
      <c r="E14700" s="10" t="s">
        <v>465</v>
      </c>
      <c r="F14700" s="9" t="s">
        <v>466</v>
      </c>
      <c r="G14700" s="10" t="s">
        <v>176</v>
      </c>
      <c r="H14700" s="9" t="s">
        <v>22</v>
      </c>
      <c r="I14700" s="9" t="s">
        <v>29710</v>
      </c>
      <c r="J14700" s="10" t="str">
        <f>HYPERLINK("https://www.boe.es/gazeta/dias/1834/11/27/pdfs/GMD-C-1834-286.pdf#page=6","Abrir facsímil")</f>
        <v>Abrir facsímil</v>
      </c>
      <c r="K14700" s="10" t="s">
        <v>24</v>
      </c>
    </row>
    <row r="14701" spans="1:11" ht="54" customHeight="1">
      <c r="A14701" s="9" t="s">
        <v>29455</v>
      </c>
      <c r="B14701" s="9" t="s">
        <v>29455</v>
      </c>
      <c r="C14701" s="9" t="s">
        <v>90</v>
      </c>
      <c r="D14701" s="9" t="s">
        <v>18</v>
      </c>
      <c r="E14701" s="10" t="s">
        <v>2142</v>
      </c>
      <c r="F14701" s="9" t="s">
        <v>2143</v>
      </c>
      <c r="G14701" s="10" t="s">
        <v>86</v>
      </c>
      <c r="H14701" s="9" t="s">
        <v>22</v>
      </c>
      <c r="I14701" s="9" t="s">
        <v>29711</v>
      </c>
      <c r="J14701" s="10" t="str">
        <f>HYPERLINK("https://www.boe.es/gazeta/dias/1834/12/27/pdfs/GMD-1834-317.pdf#page=2","Abrir facsímil")</f>
        <v>Abrir facsímil</v>
      </c>
      <c r="K14701" s="10" t="s">
        <v>24</v>
      </c>
    </row>
    <row r="14702" spans="1:11" ht="54" customHeight="1">
      <c r="A14702" s="9" t="s">
        <v>29455</v>
      </c>
      <c r="B14702" s="9" t="s">
        <v>29455</v>
      </c>
      <c r="C14702" s="9" t="s">
        <v>17</v>
      </c>
      <c r="D14702" s="9" t="s">
        <v>40</v>
      </c>
      <c r="E14702" s="10" t="s">
        <v>1641</v>
      </c>
      <c r="F14702" s="9" t="s">
        <v>1642</v>
      </c>
      <c r="G14702" s="10" t="s">
        <v>34</v>
      </c>
      <c r="H14702" s="9" t="s">
        <v>22</v>
      </c>
      <c r="I14702" s="9" t="s">
        <v>29712</v>
      </c>
      <c r="J14702" s="10" t="str">
        <f>HYPERLINK("https://www.boe.es/gazeta/dias/1834/09/28/pdfs/GMD-C-1834-226.pdf#page=1","Abrir facsímil")</f>
        <v>Abrir facsímil</v>
      </c>
      <c r="K14702" s="10" t="s">
        <v>24</v>
      </c>
    </row>
    <row r="14703" spans="1:11" ht="54" customHeight="1">
      <c r="A14703" s="9" t="s">
        <v>29455</v>
      </c>
      <c r="B14703" s="9" t="s">
        <v>29455</v>
      </c>
      <c r="C14703" s="9" t="s">
        <v>17</v>
      </c>
      <c r="D14703" s="9" t="s">
        <v>18</v>
      </c>
      <c r="E14703" s="10" t="s">
        <v>1641</v>
      </c>
      <c r="F14703" s="9" t="s">
        <v>1642</v>
      </c>
      <c r="G14703" s="10" t="s">
        <v>28</v>
      </c>
      <c r="H14703" s="9" t="s">
        <v>22</v>
      </c>
      <c r="I14703" s="9" t="s">
        <v>29713</v>
      </c>
      <c r="J14703" s="10" t="str">
        <f>HYPERLINK("https://www.boe.es/gazeta/dias/1834/09/28/pdfs/GMD-C-1834-226.pdf#page=5","Abrir facsímil")</f>
        <v>Abrir facsímil</v>
      </c>
      <c r="K14703" s="10" t="s">
        <v>24</v>
      </c>
    </row>
    <row r="14704" spans="1:11" ht="54" customHeight="1">
      <c r="A14704" s="9" t="s">
        <v>29455</v>
      </c>
      <c r="B14704" s="9" t="s">
        <v>29455</v>
      </c>
      <c r="C14704" s="9" t="s">
        <v>17</v>
      </c>
      <c r="D14704" s="9" t="s">
        <v>40</v>
      </c>
      <c r="E14704" s="10" t="s">
        <v>468</v>
      </c>
      <c r="F14704" s="9" t="s">
        <v>469</v>
      </c>
      <c r="G14704" s="10" t="s">
        <v>34</v>
      </c>
      <c r="H14704" s="9" t="s">
        <v>22</v>
      </c>
      <c r="I14704" s="9" t="s">
        <v>29714</v>
      </c>
      <c r="J14704" s="10" t="str">
        <f>HYPERLINK("https://www.boe.es/gazeta/dias/1834/12/28/pdfs/GMD-C-1834-318.pdf#page=1","Abrir facsímil")</f>
        <v>Abrir facsímil</v>
      </c>
      <c r="K14704" s="10" t="s">
        <v>24</v>
      </c>
    </row>
    <row r="14705" spans="1:11" ht="54" customHeight="1">
      <c r="A14705" s="9" t="s">
        <v>29455</v>
      </c>
      <c r="B14705" s="9" t="s">
        <v>29455</v>
      </c>
      <c r="C14705" s="9" t="s">
        <v>46</v>
      </c>
      <c r="D14705" s="9" t="s">
        <v>101</v>
      </c>
      <c r="E14705" s="10" t="s">
        <v>1692</v>
      </c>
      <c r="F14705" s="9" t="s">
        <v>3985</v>
      </c>
      <c r="G14705" s="10" t="s">
        <v>34</v>
      </c>
      <c r="H14705" s="9" t="s">
        <v>22</v>
      </c>
      <c r="I14705" s="9" t="s">
        <v>29715</v>
      </c>
      <c r="J14705" s="10" t="str">
        <f>HYPERLINK("https://www.boe.es/gazeta/dias/1834/07/29/pdfs/GMD-C-1834-162.pdf#page=1","Abrir facsímil")</f>
        <v>Abrir facsímil</v>
      </c>
      <c r="K14705" s="10" t="s">
        <v>24</v>
      </c>
    </row>
    <row r="14706" spans="1:11" ht="54" customHeight="1">
      <c r="A14706" s="9" t="s">
        <v>29455</v>
      </c>
      <c r="B14706" s="9" t="s">
        <v>29455</v>
      </c>
      <c r="C14706" s="9" t="s">
        <v>17</v>
      </c>
      <c r="D14706" s="9" t="s">
        <v>18</v>
      </c>
      <c r="E14706" s="10" t="s">
        <v>280</v>
      </c>
      <c r="F14706" s="9" t="s">
        <v>281</v>
      </c>
      <c r="G14706" s="10" t="s">
        <v>86</v>
      </c>
      <c r="H14706" s="9" t="s">
        <v>22</v>
      </c>
      <c r="I14706" s="9" t="s">
        <v>29716</v>
      </c>
      <c r="J14706" s="10" t="str">
        <f>HYPERLINK("https://www.boe.es/gazeta/dias/1834/08/29/pdfs/GMD-C-1834-195.pdf#page=2","Abrir facsímil")</f>
        <v>Abrir facsímil</v>
      </c>
      <c r="K14706" s="10" t="s">
        <v>24</v>
      </c>
    </row>
    <row r="14707" spans="1:11" ht="54" customHeight="1">
      <c r="A14707" s="9" t="s">
        <v>29455</v>
      </c>
      <c r="B14707" s="9" t="s">
        <v>29455</v>
      </c>
      <c r="C14707" s="9" t="s">
        <v>17</v>
      </c>
      <c r="D14707" s="9" t="s">
        <v>18</v>
      </c>
      <c r="E14707" s="10" t="s">
        <v>280</v>
      </c>
      <c r="F14707" s="9" t="s">
        <v>281</v>
      </c>
      <c r="G14707" s="10" t="s">
        <v>21</v>
      </c>
      <c r="H14707" s="9" t="s">
        <v>22</v>
      </c>
      <c r="I14707" s="9" t="s">
        <v>29717</v>
      </c>
      <c r="J14707" s="10" t="str">
        <f>HYPERLINK("https://www.boe.es/gazeta/dias/1834/08/29/pdfs/GMD-C-1834-195.pdf#page=3","Abrir facsímil")</f>
        <v>Abrir facsímil</v>
      </c>
      <c r="K14707" s="10" t="s">
        <v>24</v>
      </c>
    </row>
    <row r="14708" spans="1:11" ht="54" customHeight="1">
      <c r="A14708" s="9" t="s">
        <v>29455</v>
      </c>
      <c r="B14708" s="9" t="s">
        <v>29455</v>
      </c>
      <c r="C14708" s="9" t="s">
        <v>122</v>
      </c>
      <c r="D14708" s="9" t="s">
        <v>18</v>
      </c>
      <c r="E14708" s="10" t="s">
        <v>280</v>
      </c>
      <c r="F14708" s="9" t="s">
        <v>281</v>
      </c>
      <c r="G14708" s="10" t="s">
        <v>28</v>
      </c>
      <c r="H14708" s="9" t="s">
        <v>22</v>
      </c>
      <c r="I14708" s="9" t="s">
        <v>29718</v>
      </c>
      <c r="J14708" s="10" t="str">
        <f>HYPERLINK("https://www.boe.es/gazeta/dias/1834/08/29/pdfs/GMD-C-1834-195.pdf#page=5","Abrir facsímil")</f>
        <v>Abrir facsímil</v>
      </c>
      <c r="K14708" s="10" t="s">
        <v>24</v>
      </c>
    </row>
    <row r="14709" spans="1:11" ht="54" customHeight="1">
      <c r="A14709" s="9" t="s">
        <v>29455</v>
      </c>
      <c r="B14709" s="9" t="s">
        <v>29455</v>
      </c>
      <c r="C14709" s="9" t="s">
        <v>17</v>
      </c>
      <c r="D14709" s="9" t="s">
        <v>18</v>
      </c>
      <c r="E14709" s="10" t="s">
        <v>280</v>
      </c>
      <c r="F14709" s="9" t="s">
        <v>281</v>
      </c>
      <c r="G14709" s="10" t="s">
        <v>560</v>
      </c>
      <c r="H14709" s="9" t="s">
        <v>22</v>
      </c>
      <c r="I14709" s="9" t="s">
        <v>29719</v>
      </c>
      <c r="J14709" s="10" t="str">
        <f>HYPERLINK("https://www.boe.es/gazeta/dias/1834/08/29/pdfs/GMD-C-1834-195.pdf#page=7","Abrir facsímil")</f>
        <v>Abrir facsímil</v>
      </c>
      <c r="K14709" s="10" t="s">
        <v>24</v>
      </c>
    </row>
    <row r="14710" spans="1:11" ht="54" customHeight="1">
      <c r="A14710" s="9" t="s">
        <v>29455</v>
      </c>
      <c r="B14710" s="9" t="s">
        <v>29455</v>
      </c>
      <c r="C14710" s="9" t="s">
        <v>17</v>
      </c>
      <c r="D14710" s="9" t="s">
        <v>18</v>
      </c>
      <c r="E14710" s="10" t="s">
        <v>777</v>
      </c>
      <c r="F14710" s="9" t="s">
        <v>2535</v>
      </c>
      <c r="G14710" s="10" t="s">
        <v>34</v>
      </c>
      <c r="H14710" s="9" t="s">
        <v>22</v>
      </c>
      <c r="I14710" s="9" t="s">
        <v>29720</v>
      </c>
      <c r="J14710" s="10" t="str">
        <f>HYPERLINK("https://www.boe.es/gazeta/dias/1834/10/29/pdfs/GMD-C-1834-257.pdf#page=1","Abrir facsímil")</f>
        <v>Abrir facsímil</v>
      </c>
      <c r="K14710" s="10" t="s">
        <v>24</v>
      </c>
    </row>
    <row r="14711" spans="1:11" ht="54" customHeight="1">
      <c r="A14711" s="9" t="s">
        <v>29455</v>
      </c>
      <c r="B14711" s="9" t="s">
        <v>29455</v>
      </c>
      <c r="C14711" s="9" t="s">
        <v>17</v>
      </c>
      <c r="D14711" s="9" t="s">
        <v>18</v>
      </c>
      <c r="E14711" s="10" t="s">
        <v>777</v>
      </c>
      <c r="F14711" s="9" t="s">
        <v>2535</v>
      </c>
      <c r="G14711" s="10" t="s">
        <v>86</v>
      </c>
      <c r="H14711" s="9" t="s">
        <v>22</v>
      </c>
      <c r="I14711" s="9" t="s">
        <v>29721</v>
      </c>
      <c r="J14711" s="10" t="str">
        <f>HYPERLINK("https://www.boe.es/gazeta/dias/1834/10/29/pdfs/GMD-C-1834-257.pdf#page=2","Abrir facsímil")</f>
        <v>Abrir facsímil</v>
      </c>
      <c r="K14711" s="10" t="s">
        <v>24</v>
      </c>
    </row>
    <row r="14712" spans="1:11" ht="54" customHeight="1">
      <c r="A14712" s="9" t="s">
        <v>29455</v>
      </c>
      <c r="B14712" s="9" t="s">
        <v>29455</v>
      </c>
      <c r="C14712" s="9" t="s">
        <v>46</v>
      </c>
      <c r="D14712" s="9" t="s">
        <v>101</v>
      </c>
      <c r="E14712" s="10" t="s">
        <v>777</v>
      </c>
      <c r="F14712" s="9" t="s">
        <v>2535</v>
      </c>
      <c r="G14712" s="10" t="s">
        <v>560</v>
      </c>
      <c r="H14712" s="9" t="s">
        <v>22</v>
      </c>
      <c r="I14712" s="9" t="s">
        <v>29722</v>
      </c>
      <c r="J14712" s="10" t="str">
        <f>HYPERLINK("https://www.boe.es/gazeta/dias/1834/10/29/pdfs/GMD-C-1834-257.pdf#page=7","Abrir facsímil")</f>
        <v>Abrir facsímil</v>
      </c>
      <c r="K14712" s="10" t="s">
        <v>24</v>
      </c>
    </row>
    <row r="14713" spans="1:11" ht="54" customHeight="1">
      <c r="A14713" s="9" t="s">
        <v>29455</v>
      </c>
      <c r="B14713" s="9" t="s">
        <v>29455</v>
      </c>
      <c r="C14713" s="9" t="s">
        <v>17</v>
      </c>
      <c r="D14713" s="9" t="s">
        <v>40</v>
      </c>
      <c r="E14713" s="10" t="s">
        <v>283</v>
      </c>
      <c r="F14713" s="9" t="s">
        <v>284</v>
      </c>
      <c r="G14713" s="10" t="s">
        <v>34</v>
      </c>
      <c r="H14713" s="9" t="s">
        <v>22</v>
      </c>
      <c r="I14713" s="9" t="s">
        <v>29723</v>
      </c>
      <c r="J14713" s="10" t="str">
        <f>HYPERLINK("https://www.boe.es/gazeta/dias/1834/11/29/pdfs/GMD-C-1834-288.pdf#page=1","Abrir facsímil")</f>
        <v>Abrir facsímil</v>
      </c>
      <c r="K14713" s="10" t="s">
        <v>24</v>
      </c>
    </row>
    <row r="14714" spans="1:11" ht="54" customHeight="1">
      <c r="A14714" s="9" t="s">
        <v>29455</v>
      </c>
      <c r="B14714" s="9" t="s">
        <v>29455</v>
      </c>
      <c r="C14714" s="9" t="s">
        <v>17</v>
      </c>
      <c r="D14714" s="9" t="s">
        <v>18</v>
      </c>
      <c r="E14714" s="10" t="s">
        <v>283</v>
      </c>
      <c r="F14714" s="9" t="s">
        <v>284</v>
      </c>
      <c r="G14714" s="10" t="s">
        <v>86</v>
      </c>
      <c r="H14714" s="9" t="s">
        <v>22</v>
      </c>
      <c r="I14714" s="9" t="s">
        <v>29724</v>
      </c>
      <c r="J14714" s="10" t="str">
        <f>HYPERLINK("https://www.boe.es/gazeta/dias/1834/11/29/pdfs/GMD-C-1834-288.pdf#page=2","Abrir facsímil")</f>
        <v>Abrir facsímil</v>
      </c>
      <c r="K14714" s="10" t="s">
        <v>24</v>
      </c>
    </row>
    <row r="14715" spans="1:11" ht="54" customHeight="1">
      <c r="A14715" s="9" t="s">
        <v>29455</v>
      </c>
      <c r="B14715" s="9" t="s">
        <v>29455</v>
      </c>
      <c r="C14715" s="9" t="s">
        <v>17</v>
      </c>
      <c r="D14715" s="9" t="s">
        <v>18</v>
      </c>
      <c r="E14715" s="10" t="s">
        <v>283</v>
      </c>
      <c r="F14715" s="9" t="s">
        <v>284</v>
      </c>
      <c r="G14715" s="10" t="s">
        <v>176</v>
      </c>
      <c r="H14715" s="9" t="s">
        <v>22</v>
      </c>
      <c r="I14715" s="9" t="s">
        <v>29725</v>
      </c>
      <c r="J14715" s="10" t="str">
        <f>HYPERLINK("https://www.boe.es/gazeta/dias/1834/11/29/pdfs/GMD-C-1834-288.pdf#page=6","Abrir facsímil")</f>
        <v>Abrir facsímil</v>
      </c>
      <c r="K14715" s="10" t="s">
        <v>24</v>
      </c>
    </row>
    <row r="14716" spans="1:11" ht="54" customHeight="1">
      <c r="A14716" s="9" t="s">
        <v>29455</v>
      </c>
      <c r="B14716" s="9" t="s">
        <v>29455</v>
      </c>
      <c r="C14716" s="9" t="s">
        <v>90</v>
      </c>
      <c r="D14716" s="9" t="s">
        <v>18</v>
      </c>
      <c r="E14716" s="10" t="s">
        <v>552</v>
      </c>
      <c r="F14716" s="9" t="s">
        <v>1478</v>
      </c>
      <c r="G14716" s="10" t="s">
        <v>34</v>
      </c>
      <c r="H14716" s="9" t="s">
        <v>22</v>
      </c>
      <c r="I14716" s="9" t="s">
        <v>29726</v>
      </c>
      <c r="J14716" s="10" t="str">
        <f>HYPERLINK("https://www.boe.es/gazeta/dias/1834/07/30/pdfs/GMD-C-1834-163.pdf#page=1","Abrir facsímil")</f>
        <v>Abrir facsímil</v>
      </c>
      <c r="K14716" s="10" t="s">
        <v>24</v>
      </c>
    </row>
    <row r="14717" spans="1:11" ht="54" customHeight="1">
      <c r="A14717" s="9" t="s">
        <v>29455</v>
      </c>
      <c r="B14717" s="9" t="s">
        <v>29455</v>
      </c>
      <c r="C14717" s="9" t="s">
        <v>17</v>
      </c>
      <c r="D14717" s="9" t="s">
        <v>18</v>
      </c>
      <c r="E14717" s="10" t="s">
        <v>286</v>
      </c>
      <c r="F14717" s="9" t="s">
        <v>287</v>
      </c>
      <c r="G14717" s="10" t="s">
        <v>34</v>
      </c>
      <c r="H14717" s="9" t="s">
        <v>22</v>
      </c>
      <c r="I14717" s="9" t="s">
        <v>29727</v>
      </c>
      <c r="J14717" s="10" t="str">
        <f>HYPERLINK("https://www.boe.es/gazeta/dias/1834/08/30/pdfs/GMD-C-1834-196.pdf#page=1","Abrir facsímil")</f>
        <v>Abrir facsímil</v>
      </c>
      <c r="K14717" s="10" t="s">
        <v>24</v>
      </c>
    </row>
    <row r="14718" spans="1:11" ht="54" customHeight="1">
      <c r="A14718" s="9" t="s">
        <v>29455</v>
      </c>
      <c r="B14718" s="9" t="s">
        <v>29455</v>
      </c>
      <c r="C14718" s="9" t="s">
        <v>17</v>
      </c>
      <c r="D14718" s="9" t="s">
        <v>18</v>
      </c>
      <c r="E14718" s="10" t="s">
        <v>286</v>
      </c>
      <c r="F14718" s="9" t="s">
        <v>287</v>
      </c>
      <c r="G14718" s="10" t="s">
        <v>28</v>
      </c>
      <c r="H14718" s="9" t="s">
        <v>22</v>
      </c>
      <c r="I14718" s="9" t="s">
        <v>29728</v>
      </c>
      <c r="J14718" s="10" t="str">
        <f>HYPERLINK("https://www.boe.es/gazeta/dias/1834/08/30/pdfs/GMD-C-1834-196.pdf#page=5","Abrir facsímil")</f>
        <v>Abrir facsímil</v>
      </c>
      <c r="K14718" s="10" t="s">
        <v>24</v>
      </c>
    </row>
    <row r="14719" spans="1:11" ht="54" customHeight="1">
      <c r="A14719" s="9" t="s">
        <v>29455</v>
      </c>
      <c r="B14719" s="9" t="s">
        <v>29455</v>
      </c>
      <c r="C14719" s="9" t="s">
        <v>90</v>
      </c>
      <c r="D14719" s="9" t="s">
        <v>18</v>
      </c>
      <c r="E14719" s="10" t="s">
        <v>187</v>
      </c>
      <c r="F14719" s="9" t="s">
        <v>1715</v>
      </c>
      <c r="G14719" s="10" t="s">
        <v>34</v>
      </c>
      <c r="H14719" s="9" t="s">
        <v>22</v>
      </c>
      <c r="I14719" s="9" t="s">
        <v>29729</v>
      </c>
      <c r="J14719" s="10" t="str">
        <f>HYPERLINK("https://www.boe.es/gazeta/dias/1834/09/30/pdfs/GMD-C-1834-228.pdf#page=1","Abrir facsímil")</f>
        <v>Abrir facsímil</v>
      </c>
      <c r="K14719" s="10" t="s">
        <v>24</v>
      </c>
    </row>
    <row r="14720" spans="1:11" ht="54" customHeight="1">
      <c r="A14720" s="9" t="s">
        <v>29455</v>
      </c>
      <c r="B14720" s="9" t="s">
        <v>29455</v>
      </c>
      <c r="C14720" s="9" t="s">
        <v>66</v>
      </c>
      <c r="D14720" s="9" t="s">
        <v>67</v>
      </c>
      <c r="E14720" s="10" t="s">
        <v>590</v>
      </c>
      <c r="F14720" s="9" t="s">
        <v>17808</v>
      </c>
      <c r="G14720" s="10" t="s">
        <v>34</v>
      </c>
      <c r="H14720" s="9" t="s">
        <v>22</v>
      </c>
      <c r="I14720" s="9" t="s">
        <v>29730</v>
      </c>
      <c r="J14720" s="10" t="str">
        <f>HYPERLINK("https://www.boe.es/gazeta/dias/1834/11/30/pdfs/GMD-C-1834-289.pdf#page=1","Abrir facsímil")</f>
        <v>Abrir facsímil</v>
      </c>
      <c r="K14720" s="10" t="s">
        <v>24</v>
      </c>
    </row>
    <row r="14721" spans="1:11" ht="54" customHeight="1">
      <c r="A14721" s="9" t="s">
        <v>29455</v>
      </c>
      <c r="B14721" s="9" t="s">
        <v>29455</v>
      </c>
      <c r="C14721" s="9" t="s">
        <v>17</v>
      </c>
      <c r="D14721" s="9" t="s">
        <v>18</v>
      </c>
      <c r="E14721" s="10" t="s">
        <v>590</v>
      </c>
      <c r="F14721" s="9" t="s">
        <v>17808</v>
      </c>
      <c r="G14721" s="10" t="s">
        <v>86</v>
      </c>
      <c r="H14721" s="9" t="s">
        <v>22</v>
      </c>
      <c r="I14721" s="9" t="s">
        <v>29731</v>
      </c>
      <c r="J14721" s="10" t="str">
        <f>HYPERLINK("https://www.boe.es/gazeta/dias/1834/11/30/pdfs/GMD-C-1834-289.pdf#page=2","Abrir facsímil")</f>
        <v>Abrir facsímil</v>
      </c>
      <c r="K14721" s="10" t="s">
        <v>24</v>
      </c>
    </row>
    <row r="14722" spans="1:11" ht="54" customHeight="1">
      <c r="A14722" s="9" t="s">
        <v>29455</v>
      </c>
      <c r="B14722" s="9" t="s">
        <v>29455</v>
      </c>
      <c r="C14722" s="9" t="s">
        <v>46</v>
      </c>
      <c r="D14722" s="9" t="s">
        <v>18</v>
      </c>
      <c r="E14722" s="10" t="s">
        <v>153</v>
      </c>
      <c r="F14722" s="9" t="s">
        <v>154</v>
      </c>
      <c r="G14722" s="10" t="s">
        <v>86</v>
      </c>
      <c r="H14722" s="9" t="s">
        <v>22</v>
      </c>
      <c r="I14722" s="9" t="s">
        <v>29732</v>
      </c>
      <c r="J14722" s="10" t="str">
        <f>HYPERLINK("https://www.boe.es/gazeta/dias/1834/12/30/pdfs/GMD-C-1834-320.pdf#page=2","Abrir facsímil")</f>
        <v>Abrir facsímil</v>
      </c>
      <c r="K14722" s="10" t="s">
        <v>24</v>
      </c>
    </row>
    <row r="14723" spans="1:11" ht="54" customHeight="1">
      <c r="A14723" s="9" t="s">
        <v>29455</v>
      </c>
      <c r="B14723" s="9" t="s">
        <v>29455</v>
      </c>
      <c r="C14723" s="9" t="s">
        <v>17</v>
      </c>
      <c r="D14723" s="9" t="s">
        <v>18</v>
      </c>
      <c r="E14723" s="10" t="s">
        <v>153</v>
      </c>
      <c r="F14723" s="9" t="s">
        <v>154</v>
      </c>
      <c r="G14723" s="10" t="s">
        <v>75</v>
      </c>
      <c r="H14723" s="9" t="s">
        <v>22</v>
      </c>
      <c r="I14723" s="9" t="s">
        <v>29733</v>
      </c>
      <c r="J14723" s="10" t="str">
        <f>HYPERLINK("https://www.boe.es/gazeta/dias/1834/12/30/pdfs/GMD-C-1834-320.pdf#page=4","Abrir facsímil")</f>
        <v>Abrir facsímil</v>
      </c>
      <c r="K14723" s="10" t="s">
        <v>24</v>
      </c>
    </row>
    <row r="14724" spans="1:11" ht="54" customHeight="1">
      <c r="A14724" s="9" t="s">
        <v>29455</v>
      </c>
      <c r="B14724" s="9" t="s">
        <v>29455</v>
      </c>
      <c r="C14724" s="9" t="s">
        <v>122</v>
      </c>
      <c r="D14724" s="9" t="s">
        <v>55</v>
      </c>
      <c r="E14724" s="10" t="s">
        <v>143</v>
      </c>
      <c r="F14724" s="9" t="s">
        <v>144</v>
      </c>
      <c r="G14724" s="10" t="s">
        <v>21</v>
      </c>
      <c r="H14724" s="9" t="s">
        <v>22</v>
      </c>
      <c r="I14724" s="9" t="s">
        <v>29734</v>
      </c>
      <c r="J14724" s="10" t="str">
        <f>HYPERLINK("https://www.boe.es/gazeta/dias/1834/07/31/pdfs/GMD-1834-164.pdf#page=3","Abrir facsímil")</f>
        <v>Abrir facsímil</v>
      </c>
      <c r="K14724" s="10" t="s">
        <v>24</v>
      </c>
    </row>
    <row r="14725" spans="1:11" ht="54" customHeight="1">
      <c r="A14725" s="9" t="s">
        <v>29455</v>
      </c>
      <c r="B14725" s="9" t="s">
        <v>29455</v>
      </c>
      <c r="C14725" s="9" t="s">
        <v>857</v>
      </c>
      <c r="D14725" s="9" t="s">
        <v>18</v>
      </c>
      <c r="E14725" s="10" t="s">
        <v>273</v>
      </c>
      <c r="F14725" s="9" t="s">
        <v>413</v>
      </c>
      <c r="G14725" s="10" t="s">
        <v>75</v>
      </c>
      <c r="H14725" s="9" t="s">
        <v>22</v>
      </c>
      <c r="I14725" s="9" t="s">
        <v>29735</v>
      </c>
      <c r="J14725" s="10" t="str">
        <f>HYPERLINK("https://www.boe.es/gazeta/dias/1834/08/31/pdfs/GMD-1834-198.pdf#page=4","Abrir facsímil")</f>
        <v>Abrir facsímil</v>
      </c>
      <c r="K14725" s="10" t="s">
        <v>24</v>
      </c>
    </row>
    <row r="14726" spans="1:11" ht="54" customHeight="1">
      <c r="A14726" s="9" t="s">
        <v>29455</v>
      </c>
      <c r="B14726" s="9" t="s">
        <v>29455</v>
      </c>
      <c r="C14726" s="9" t="s">
        <v>17</v>
      </c>
      <c r="D14726" s="9" t="s">
        <v>18</v>
      </c>
      <c r="E14726" s="10" t="s">
        <v>273</v>
      </c>
      <c r="F14726" s="9" t="s">
        <v>274</v>
      </c>
      <c r="G14726" s="10" t="s">
        <v>34</v>
      </c>
      <c r="H14726" s="9" t="s">
        <v>22</v>
      </c>
      <c r="I14726" s="9" t="s">
        <v>29736</v>
      </c>
      <c r="J14726" s="10" t="str">
        <f>HYPERLINK("https://www.boe.es/gazeta/dias/1834/08/31/pdfs/GMD-D-1834-198.pdf#page=1","Abrir facsímil")</f>
        <v>Abrir facsímil</v>
      </c>
      <c r="K14726" s="10" t="s">
        <v>24</v>
      </c>
    </row>
    <row r="14727" spans="1:11" ht="54" customHeight="1">
      <c r="A14727" s="9" t="s">
        <v>29455</v>
      </c>
      <c r="B14727" s="9" t="s">
        <v>29455</v>
      </c>
      <c r="C14727" s="9" t="s">
        <v>17</v>
      </c>
      <c r="D14727" s="9" t="s">
        <v>40</v>
      </c>
      <c r="E14727" s="10" t="s">
        <v>273</v>
      </c>
      <c r="F14727" s="9" t="s">
        <v>274</v>
      </c>
      <c r="G14727" s="10" t="s">
        <v>21</v>
      </c>
      <c r="H14727" s="9" t="s">
        <v>22</v>
      </c>
      <c r="I14727" s="9" t="s">
        <v>29737</v>
      </c>
      <c r="J14727" s="10" t="str">
        <f>HYPERLINK("https://www.boe.es/gazeta/dias/1834/08/31/pdfs/GMD-D-1834-198.pdf#page=3","Abrir facsímil")</f>
        <v>Abrir facsímil</v>
      </c>
      <c r="K14727" s="10" t="s">
        <v>24</v>
      </c>
    </row>
    <row r="14728" spans="1:11" ht="54" customHeight="1">
      <c r="A14728" s="9" t="s">
        <v>29455</v>
      </c>
      <c r="B14728" s="9" t="s">
        <v>29455</v>
      </c>
      <c r="C14728" s="9" t="s">
        <v>17</v>
      </c>
      <c r="D14728" s="9" t="s">
        <v>18</v>
      </c>
      <c r="E14728" s="10" t="s">
        <v>891</v>
      </c>
      <c r="F14728" s="9" t="s">
        <v>892</v>
      </c>
      <c r="G14728" s="10" t="s">
        <v>86</v>
      </c>
      <c r="H14728" s="9" t="s">
        <v>22</v>
      </c>
      <c r="I14728" s="9" t="s">
        <v>29738</v>
      </c>
      <c r="J14728" s="10" t="str">
        <f>HYPERLINK("https://www.boe.es/gazeta/dias/1834/10/31/pdfs/GMD-C-1834-259.pdf#page=2","Abrir facsímil")</f>
        <v>Abrir facsímil</v>
      </c>
      <c r="K14728" s="10" t="s">
        <v>24</v>
      </c>
    </row>
    <row r="14729" spans="1:11" ht="54" customHeight="1">
      <c r="A14729" s="9" t="s">
        <v>29455</v>
      </c>
      <c r="B14729" s="9" t="s">
        <v>29455</v>
      </c>
      <c r="C14729" s="9" t="s">
        <v>122</v>
      </c>
      <c r="D14729" s="9" t="s">
        <v>18</v>
      </c>
      <c r="E14729" s="10" t="s">
        <v>192</v>
      </c>
      <c r="F14729" s="9" t="s">
        <v>2713</v>
      </c>
      <c r="G14729" s="10" t="s">
        <v>86</v>
      </c>
      <c r="H14729" s="9" t="s">
        <v>22</v>
      </c>
      <c r="I14729" s="9" t="s">
        <v>29739</v>
      </c>
      <c r="J14729" s="10" t="str">
        <f>HYPERLINK("https://www.boe.es/gazeta/dias/1834/12/31/pdfs/GMD-C-1834-321.pdf#page=2","Abrir facsímil")</f>
        <v>Abrir facsímil</v>
      </c>
      <c r="K14729" s="10" t="s">
        <v>24</v>
      </c>
    </row>
    <row r="14730" spans="1:11" ht="54" customHeight="1">
      <c r="A14730" s="9" t="s">
        <v>29740</v>
      </c>
      <c r="B14730" s="9" t="s">
        <v>29740</v>
      </c>
      <c r="C14730" s="9" t="s">
        <v>46</v>
      </c>
      <c r="D14730" s="9" t="s">
        <v>101</v>
      </c>
      <c r="E14730" s="10" t="s">
        <v>690</v>
      </c>
      <c r="F14730" s="9" t="s">
        <v>691</v>
      </c>
      <c r="G14730" s="10" t="s">
        <v>34</v>
      </c>
      <c r="H14730" s="9" t="s">
        <v>22</v>
      </c>
      <c r="I14730" s="9" t="s">
        <v>29741</v>
      </c>
      <c r="J14730" s="10" t="str">
        <f>HYPERLINK("https://www.boe.es/gazeta/dias/1834/09/03/pdfs/GMD-C-1834-201.pdf#page=1","Abrir facsímil")</f>
        <v>Abrir facsímil</v>
      </c>
      <c r="K14730" s="10" t="s">
        <v>24</v>
      </c>
    </row>
    <row r="14731" spans="1:11" ht="54" customHeight="1">
      <c r="A14731" s="9" t="s">
        <v>29742</v>
      </c>
      <c r="B14731" s="9" t="s">
        <v>29743</v>
      </c>
      <c r="C14731" s="9" t="s">
        <v>17</v>
      </c>
      <c r="D14731" s="9" t="s">
        <v>40</v>
      </c>
      <c r="E14731" s="10" t="s">
        <v>448</v>
      </c>
      <c r="F14731" s="9" t="s">
        <v>449</v>
      </c>
      <c r="G14731" s="10" t="s">
        <v>34</v>
      </c>
      <c r="H14731" s="9" t="s">
        <v>22</v>
      </c>
      <c r="I14731" s="9" t="s">
        <v>29744</v>
      </c>
      <c r="J14731" s="10" t="str">
        <f>HYPERLINK("https://www.boe.es/gazeta/dias/1834/10/14/pdfs/GMD-C-1834-242.pdf#page=1","Abrir facsímil")</f>
        <v>Abrir facsímil</v>
      </c>
      <c r="K14731" s="10" t="s">
        <v>24</v>
      </c>
    </row>
    <row r="14732" spans="1:11" ht="54" customHeight="1">
      <c r="A14732" s="9" t="s">
        <v>29745</v>
      </c>
      <c r="B14732" s="9" t="s">
        <v>29746</v>
      </c>
      <c r="C14732" s="9" t="s">
        <v>17</v>
      </c>
      <c r="D14732" s="9" t="s">
        <v>18</v>
      </c>
      <c r="E14732" s="10" t="s">
        <v>793</v>
      </c>
      <c r="F14732" s="9" t="s">
        <v>794</v>
      </c>
      <c r="G14732" s="10" t="s">
        <v>86</v>
      </c>
      <c r="H14732" s="9" t="s">
        <v>35</v>
      </c>
      <c r="I14732" s="9" t="s">
        <v>29747</v>
      </c>
      <c r="J14732" s="10" t="str">
        <f>HYPERLINK("https://www.boe.es/gazeta/dias/1834/10/08/pdfs/GMD-1834-236.pdf#page=2","Abrir facsímil")</f>
        <v>Abrir facsímil</v>
      </c>
      <c r="K14732" s="10" t="s">
        <v>37</v>
      </c>
    </row>
    <row r="14733" spans="1:11" ht="54" customHeight="1">
      <c r="A14733" s="9" t="s">
        <v>29748</v>
      </c>
      <c r="B14733" s="9" t="s">
        <v>29749</v>
      </c>
      <c r="C14733" s="9" t="s">
        <v>17</v>
      </c>
      <c r="D14733" s="9" t="s">
        <v>18</v>
      </c>
      <c r="E14733" s="10" t="s">
        <v>1692</v>
      </c>
      <c r="F14733" s="9" t="s">
        <v>3985</v>
      </c>
      <c r="G14733" s="10" t="s">
        <v>34</v>
      </c>
      <c r="H14733" s="9" t="s">
        <v>22</v>
      </c>
      <c r="I14733" s="9" t="s">
        <v>29750</v>
      </c>
      <c r="J14733" s="10" t="str">
        <f>HYPERLINK("https://www.boe.es/gazeta/dias/1834/07/29/pdfs/GMD-C-1834-162.pdf#page=1","Abrir facsímil")</f>
        <v>Abrir facsímil</v>
      </c>
      <c r="K14733" s="10" t="s">
        <v>24</v>
      </c>
    </row>
    <row r="14734" spans="1:11" ht="54" customHeight="1">
      <c r="A14734" s="9" t="s">
        <v>29751</v>
      </c>
      <c r="B14734" s="9" t="s">
        <v>29752</v>
      </c>
      <c r="C14734" s="9" t="s">
        <v>17</v>
      </c>
      <c r="D14734" s="9" t="s">
        <v>18</v>
      </c>
      <c r="E14734" s="10" t="s">
        <v>1459</v>
      </c>
      <c r="F14734" s="9" t="s">
        <v>1460</v>
      </c>
      <c r="G14734" s="10" t="s">
        <v>21</v>
      </c>
      <c r="H14734" s="9" t="s">
        <v>22</v>
      </c>
      <c r="I14734" s="9" t="s">
        <v>29753</v>
      </c>
      <c r="J14734" s="10" t="str">
        <f>HYPERLINK("https://www.boe.es/gazeta/dias/1834/08/18/pdfs/GMD-1834-184.pdf#page=3","Abrir facsímil")</f>
        <v>Abrir facsímil</v>
      </c>
      <c r="K14734" s="10" t="s">
        <v>24</v>
      </c>
    </row>
    <row r="14735" spans="1:11" ht="54" customHeight="1">
      <c r="A14735" s="9" t="s">
        <v>29754</v>
      </c>
      <c r="B14735" s="9" t="s">
        <v>29755</v>
      </c>
      <c r="C14735" s="9" t="s">
        <v>17</v>
      </c>
      <c r="D14735" s="9" t="s">
        <v>18</v>
      </c>
      <c r="E14735" s="10" t="s">
        <v>441</v>
      </c>
      <c r="F14735" s="9" t="s">
        <v>442</v>
      </c>
      <c r="G14735" s="10" t="s">
        <v>86</v>
      </c>
      <c r="H14735" s="9" t="s">
        <v>22</v>
      </c>
      <c r="I14735" s="9" t="s">
        <v>29756</v>
      </c>
      <c r="J14735" s="10" t="str">
        <f>HYPERLINK("https://www.boe.es/gazeta/dias/1834/11/10/pdfs/GMD-1834-269.pdf#page=2","Abrir facsímil")</f>
        <v>Abrir facsímil</v>
      </c>
      <c r="K14735" s="10" t="s">
        <v>24</v>
      </c>
    </row>
    <row r="14736" spans="1:11" ht="54" customHeight="1">
      <c r="A14736" s="9" t="s">
        <v>29757</v>
      </c>
      <c r="B14736" s="9" t="s">
        <v>29758</v>
      </c>
      <c r="C14736" s="9" t="s">
        <v>17</v>
      </c>
      <c r="D14736" s="9" t="s">
        <v>18</v>
      </c>
      <c r="E14736" s="10" t="s">
        <v>26</v>
      </c>
      <c r="F14736" s="9" t="s">
        <v>27</v>
      </c>
      <c r="G14736" s="10" t="s">
        <v>34</v>
      </c>
      <c r="H14736" s="9" t="s">
        <v>22</v>
      </c>
      <c r="I14736" s="9" t="s">
        <v>29759</v>
      </c>
      <c r="J14736" s="10" t="str">
        <f>HYPERLINK("https://www.boe.es/gazeta/dias/1834/10/19/pdfs/GMD-C-1834-247.pdf#page=1","Abrir facsímil")</f>
        <v>Abrir facsímil</v>
      </c>
      <c r="K14736" s="10" t="s">
        <v>24</v>
      </c>
    </row>
    <row r="14737" spans="1:11" ht="54" customHeight="1">
      <c r="A14737" s="9" t="s">
        <v>29760</v>
      </c>
      <c r="B14737" s="9" t="s">
        <v>29761</v>
      </c>
      <c r="C14737" s="9" t="s">
        <v>17</v>
      </c>
      <c r="D14737" s="9" t="s">
        <v>18</v>
      </c>
      <c r="E14737" s="10" t="s">
        <v>465</v>
      </c>
      <c r="F14737" s="9" t="s">
        <v>466</v>
      </c>
      <c r="G14737" s="10" t="s">
        <v>176</v>
      </c>
      <c r="H14737" s="9" t="s">
        <v>22</v>
      </c>
      <c r="I14737" s="9" t="s">
        <v>29762</v>
      </c>
      <c r="J14737" s="10" t="str">
        <f>HYPERLINK("https://www.boe.es/gazeta/dias/1834/11/27/pdfs/GMD-C-1834-286.pdf#page=6","Abrir facsímil")</f>
        <v>Abrir facsímil</v>
      </c>
      <c r="K14737" s="10" t="s">
        <v>24</v>
      </c>
    </row>
    <row r="14738" spans="1:11" ht="54" customHeight="1">
      <c r="A14738" s="9" t="s">
        <v>29763</v>
      </c>
      <c r="B14738" s="9" t="s">
        <v>29764</v>
      </c>
      <c r="C14738" s="9" t="s">
        <v>17</v>
      </c>
      <c r="D14738" s="9" t="s">
        <v>40</v>
      </c>
      <c r="E14738" s="10" t="s">
        <v>647</v>
      </c>
      <c r="F14738" s="9" t="s">
        <v>648</v>
      </c>
      <c r="G14738" s="10" t="s">
        <v>34</v>
      </c>
      <c r="H14738" s="9" t="s">
        <v>22</v>
      </c>
      <c r="I14738" s="9" t="s">
        <v>29765</v>
      </c>
      <c r="J14738" s="10" t="str">
        <f>HYPERLINK("https://www.boe.es/gazeta/dias/1834/10/21/pdfs/GMD-C-1834-249.pdf#page=1","Abrir facsímil")</f>
        <v>Abrir facsímil</v>
      </c>
      <c r="K14738" s="10" t="s">
        <v>24</v>
      </c>
    </row>
    <row r="14739" spans="1:11" ht="54" customHeight="1">
      <c r="A14739" s="9" t="s">
        <v>29766</v>
      </c>
      <c r="B14739" s="9" t="s">
        <v>29767</v>
      </c>
      <c r="C14739" s="9" t="s">
        <v>17</v>
      </c>
      <c r="D14739" s="9" t="s">
        <v>18</v>
      </c>
      <c r="E14739" s="10" t="s">
        <v>793</v>
      </c>
      <c r="F14739" s="9" t="s">
        <v>794</v>
      </c>
      <c r="G14739" s="10" t="s">
        <v>86</v>
      </c>
      <c r="H14739" s="9" t="s">
        <v>22</v>
      </c>
      <c r="I14739" s="9" t="s">
        <v>29768</v>
      </c>
      <c r="J14739" s="10" t="str">
        <f>HYPERLINK("https://www.boe.es/gazeta/dias/1834/10/08/pdfs/GMD-1834-236.pdf#page=2","Abrir facsímil")</f>
        <v>Abrir facsímil</v>
      </c>
      <c r="K14739" s="10" t="s">
        <v>24</v>
      </c>
    </row>
    <row r="14740" spans="1:11" ht="54" customHeight="1">
      <c r="A14740" s="9" t="s">
        <v>29769</v>
      </c>
      <c r="B14740" s="9" t="s">
        <v>29770</v>
      </c>
      <c r="C14740" s="9" t="s">
        <v>17</v>
      </c>
      <c r="D14740" s="9" t="s">
        <v>18</v>
      </c>
      <c r="E14740" s="10" t="s">
        <v>2596</v>
      </c>
      <c r="F14740" s="9" t="s">
        <v>5480</v>
      </c>
      <c r="G14740" s="10" t="s">
        <v>86</v>
      </c>
      <c r="H14740" s="9" t="s">
        <v>22</v>
      </c>
      <c r="I14740" s="9" t="s">
        <v>29771</v>
      </c>
      <c r="J14740" s="10" t="str">
        <f>HYPERLINK("https://www.boe.es/gazeta/dias/1834/10/22/pdfs/GMD-C-1834-250.pdf#page=2","Abrir facsímil")</f>
        <v>Abrir facsímil</v>
      </c>
      <c r="K14740" s="10" t="s">
        <v>24</v>
      </c>
    </row>
    <row r="14741" spans="1:11" ht="54" customHeight="1">
      <c r="A14741" s="9" t="s">
        <v>29772</v>
      </c>
      <c r="B14741" s="9" t="s">
        <v>29773</v>
      </c>
      <c r="C14741" s="9" t="s">
        <v>17</v>
      </c>
      <c r="D14741" s="9" t="s">
        <v>18</v>
      </c>
      <c r="E14741" s="10" t="s">
        <v>633</v>
      </c>
      <c r="F14741" s="9" t="s">
        <v>634</v>
      </c>
      <c r="G14741" s="10" t="s">
        <v>21</v>
      </c>
      <c r="H14741" s="9" t="s">
        <v>22</v>
      </c>
      <c r="I14741" s="9" t="s">
        <v>29774</v>
      </c>
      <c r="J14741" s="10" t="str">
        <f>HYPERLINK("https://www.boe.es/gazeta/dias/1834/10/24/pdfs/GMD-1834-252.pdf#page=3","Abrir facsímil")</f>
        <v>Abrir facsímil</v>
      </c>
      <c r="K14741" s="10" t="s">
        <v>24</v>
      </c>
    </row>
    <row r="14742" spans="1:11" ht="54" customHeight="1">
      <c r="A14742" s="9" t="s">
        <v>29775</v>
      </c>
      <c r="B14742" s="9" t="s">
        <v>29775</v>
      </c>
      <c r="C14742" s="9" t="s">
        <v>90</v>
      </c>
      <c r="D14742" s="9" t="s">
        <v>18</v>
      </c>
      <c r="E14742" s="10" t="s">
        <v>981</v>
      </c>
      <c r="F14742" s="9" t="s">
        <v>3406</v>
      </c>
      <c r="G14742" s="10" t="s">
        <v>86</v>
      </c>
      <c r="H14742" s="9" t="s">
        <v>22</v>
      </c>
      <c r="I14742" s="9" t="s">
        <v>29776</v>
      </c>
      <c r="J14742" s="10" t="str">
        <f>HYPERLINK("https://www.boe.es/gazeta/dias/1834/09/21/pdfs/GMD-C-1834-219.pdf#page=2","Abrir facsímil")</f>
        <v>Abrir facsímil</v>
      </c>
      <c r="K14742" s="10" t="s">
        <v>24</v>
      </c>
    </row>
    <row r="14743" spans="1:11" ht="54" customHeight="1">
      <c r="A14743" s="9" t="s">
        <v>29777</v>
      </c>
      <c r="B14743" s="9" t="s">
        <v>29777</v>
      </c>
      <c r="C14743" s="9" t="s">
        <v>17</v>
      </c>
      <c r="D14743" s="9" t="s">
        <v>55</v>
      </c>
      <c r="E14743" s="10" t="s">
        <v>690</v>
      </c>
      <c r="F14743" s="9" t="s">
        <v>691</v>
      </c>
      <c r="G14743" s="10" t="s">
        <v>75</v>
      </c>
      <c r="H14743" s="9" t="s">
        <v>22</v>
      </c>
      <c r="I14743" s="9" t="s">
        <v>29778</v>
      </c>
      <c r="J14743" s="10" t="str">
        <f>HYPERLINK("https://www.boe.es/gazeta/dias/1834/09/03/pdfs/GMD-C-1834-201.pdf#page=4","Abrir facsímil")</f>
        <v>Abrir facsímil</v>
      </c>
      <c r="K14743" s="10" t="s">
        <v>24</v>
      </c>
    </row>
    <row r="14744" spans="1:11" ht="54" customHeight="1">
      <c r="A14744" s="9" t="s">
        <v>29779</v>
      </c>
      <c r="B14744" s="9" t="s">
        <v>29779</v>
      </c>
      <c r="C14744" s="9" t="s">
        <v>17</v>
      </c>
      <c r="D14744" s="9" t="s">
        <v>40</v>
      </c>
      <c r="E14744" s="10" t="s">
        <v>679</v>
      </c>
      <c r="F14744" s="9" t="s">
        <v>699</v>
      </c>
      <c r="G14744" s="10" t="s">
        <v>470</v>
      </c>
      <c r="H14744" s="9" t="s">
        <v>22</v>
      </c>
      <c r="I14744" s="9" t="s">
        <v>29780</v>
      </c>
      <c r="J14744" s="10" t="str">
        <f>HYPERLINK("https://www.boe.es/gazeta/dias/1834/12/10/pdfs/GMD-C-1834-299.pdf#page=8","Abrir facsímil")</f>
        <v>Abrir facsímil</v>
      </c>
      <c r="K14744" s="10" t="s">
        <v>24</v>
      </c>
    </row>
    <row r="14745" spans="1:11" ht="54" customHeight="1">
      <c r="A14745" s="9" t="s">
        <v>29781</v>
      </c>
      <c r="B14745" s="9" t="s">
        <v>29781</v>
      </c>
      <c r="C14745" s="9" t="s">
        <v>17</v>
      </c>
      <c r="D14745" s="9" t="s">
        <v>18</v>
      </c>
      <c r="E14745" s="10" t="s">
        <v>286</v>
      </c>
      <c r="F14745" s="9" t="s">
        <v>287</v>
      </c>
      <c r="G14745" s="10" t="s">
        <v>34</v>
      </c>
      <c r="H14745" s="9" t="s">
        <v>22</v>
      </c>
      <c r="I14745" s="9" t="s">
        <v>29782</v>
      </c>
      <c r="J14745" s="10" t="str">
        <f>HYPERLINK("https://www.boe.es/gazeta/dias/1834/08/30/pdfs/GMD-C-1834-196.pdf#page=1","Abrir facsímil")</f>
        <v>Abrir facsímil</v>
      </c>
      <c r="K14745" s="10" t="s">
        <v>24</v>
      </c>
    </row>
    <row r="14746" spans="1:11" ht="54" customHeight="1">
      <c r="A14746" s="9" t="s">
        <v>29783</v>
      </c>
      <c r="B14746" s="9" t="s">
        <v>29783</v>
      </c>
      <c r="C14746" s="9" t="s">
        <v>17</v>
      </c>
      <c r="D14746" s="9" t="s">
        <v>18</v>
      </c>
      <c r="E14746" s="10" t="s">
        <v>273</v>
      </c>
      <c r="F14746" s="9" t="s">
        <v>274</v>
      </c>
      <c r="G14746" s="10" t="s">
        <v>176</v>
      </c>
      <c r="H14746" s="9" t="s">
        <v>22</v>
      </c>
      <c r="I14746" s="9" t="s">
        <v>29784</v>
      </c>
      <c r="J14746" s="10" t="str">
        <f>HYPERLINK("https://www.boe.es/gazeta/dias/1834/08/31/pdfs/GMD-D-1834-198.pdf#page=6","Abrir facsímil")</f>
        <v>Abrir facsímil</v>
      </c>
      <c r="K14746" s="10" t="s">
        <v>24</v>
      </c>
    </row>
    <row r="14747" spans="1:11" ht="54" customHeight="1">
      <c r="A14747" s="9" t="s">
        <v>29785</v>
      </c>
      <c r="B14747" s="9" t="s">
        <v>29785</v>
      </c>
      <c r="C14747" s="9" t="s">
        <v>17</v>
      </c>
      <c r="D14747" s="9" t="s">
        <v>18</v>
      </c>
      <c r="E14747" s="10" t="s">
        <v>11991</v>
      </c>
      <c r="F14747" s="9" t="s">
        <v>11992</v>
      </c>
      <c r="G14747" s="10" t="s">
        <v>34</v>
      </c>
      <c r="H14747" s="9" t="s">
        <v>22</v>
      </c>
      <c r="I14747" s="9" t="s">
        <v>29786</v>
      </c>
      <c r="J14747" s="10" t="str">
        <f>HYPERLINK("https://www.boe.es/gazeta/dias/1834/12/05/pdfs/GMD-C-1834-294.pdf#page=1","Abrir facsímil")</f>
        <v>Abrir facsímil</v>
      </c>
      <c r="K14747" s="10" t="s">
        <v>24</v>
      </c>
    </row>
    <row r="14748" spans="1:11" ht="54" customHeight="1">
      <c r="A14748" s="9" t="s">
        <v>29787</v>
      </c>
      <c r="B14748" s="9" t="s">
        <v>29787</v>
      </c>
      <c r="C14748" s="9" t="s">
        <v>17</v>
      </c>
      <c r="D14748" s="9" t="s">
        <v>18</v>
      </c>
      <c r="E14748" s="10" t="s">
        <v>187</v>
      </c>
      <c r="F14748" s="9" t="s">
        <v>1715</v>
      </c>
      <c r="G14748" s="10" t="s">
        <v>34</v>
      </c>
      <c r="H14748" s="9" t="s">
        <v>22</v>
      </c>
      <c r="I14748" s="9" t="s">
        <v>29788</v>
      </c>
      <c r="J14748" s="10" t="str">
        <f>HYPERLINK("https://www.boe.es/gazeta/dias/1834/09/30/pdfs/GMD-C-1834-228.pdf#page=1","Abrir facsímil")</f>
        <v>Abrir facsímil</v>
      </c>
      <c r="K14748" s="10" t="s">
        <v>24</v>
      </c>
    </row>
    <row r="14749" spans="1:11" ht="54" customHeight="1">
      <c r="A14749" s="9" t="s">
        <v>29789</v>
      </c>
      <c r="B14749" s="9" t="s">
        <v>29789</v>
      </c>
      <c r="C14749" s="9" t="s">
        <v>46</v>
      </c>
      <c r="D14749" s="9" t="s">
        <v>101</v>
      </c>
      <c r="E14749" s="10" t="s">
        <v>702</v>
      </c>
      <c r="F14749" s="9" t="s">
        <v>703</v>
      </c>
      <c r="G14749" s="10" t="s">
        <v>21</v>
      </c>
      <c r="H14749" s="9" t="s">
        <v>22</v>
      </c>
      <c r="I14749" s="9" t="s">
        <v>29790</v>
      </c>
      <c r="J14749" s="10" t="str">
        <f>HYPERLINK("https://www.boe.es/gazeta/dias/1834/11/22/pdfs/GMD-C-1834-281.pdf#page=3","Abrir facsímil")</f>
        <v>Abrir facsímil</v>
      </c>
      <c r="K14749" s="10" t="s">
        <v>24</v>
      </c>
    </row>
    <row r="14750" spans="1:11" ht="54" customHeight="1">
      <c r="A14750" s="9" t="s">
        <v>29791</v>
      </c>
      <c r="B14750" s="9" t="s">
        <v>29791</v>
      </c>
      <c r="C14750" s="9" t="s">
        <v>17</v>
      </c>
      <c r="D14750" s="9" t="s">
        <v>18</v>
      </c>
      <c r="E14750" s="10" t="s">
        <v>128</v>
      </c>
      <c r="F14750" s="9" t="s">
        <v>129</v>
      </c>
      <c r="G14750" s="10" t="s">
        <v>28</v>
      </c>
      <c r="H14750" s="9" t="s">
        <v>22</v>
      </c>
      <c r="I14750" s="9" t="s">
        <v>29792</v>
      </c>
      <c r="J14750" s="10" t="str">
        <f>HYPERLINK("https://www.boe.es/gazeta/dias/1834/12/24/pdfs/GMD-C-1834-314.pdf#page=5","Abrir facsímil")</f>
        <v>Abrir facsímil</v>
      </c>
      <c r="K14750" s="10" t="s">
        <v>24</v>
      </c>
    </row>
    <row r="14751" spans="1:11" ht="54" customHeight="1">
      <c r="A14751" s="9" t="s">
        <v>29793</v>
      </c>
      <c r="B14751" s="9" t="s">
        <v>29793</v>
      </c>
      <c r="C14751" s="9" t="s">
        <v>17</v>
      </c>
      <c r="D14751" s="9" t="s">
        <v>18</v>
      </c>
      <c r="E14751" s="10" t="s">
        <v>273</v>
      </c>
      <c r="F14751" s="9" t="s">
        <v>274</v>
      </c>
      <c r="G14751" s="10" t="s">
        <v>21</v>
      </c>
      <c r="H14751" s="9" t="s">
        <v>22</v>
      </c>
      <c r="I14751" s="9" t="s">
        <v>29794</v>
      </c>
      <c r="J14751" s="10" t="str">
        <f>HYPERLINK("https://www.boe.es/gazeta/dias/1834/08/31/pdfs/GMD-D-1834-198.pdf#page=3","Abrir facsímil")</f>
        <v>Abrir facsímil</v>
      </c>
      <c r="K14751" s="10" t="s">
        <v>24</v>
      </c>
    </row>
    <row r="14752" spans="1:11" ht="54" customHeight="1">
      <c r="A14752" s="9" t="s">
        <v>29795</v>
      </c>
      <c r="B14752" s="9" t="s">
        <v>29795</v>
      </c>
      <c r="C14752" s="9" t="s">
        <v>122</v>
      </c>
      <c r="D14752" s="9" t="s">
        <v>18</v>
      </c>
      <c r="E14752" s="10" t="s">
        <v>762</v>
      </c>
      <c r="F14752" s="9" t="s">
        <v>2227</v>
      </c>
      <c r="G14752" s="10" t="s">
        <v>176</v>
      </c>
      <c r="H14752" s="9" t="s">
        <v>22</v>
      </c>
      <c r="I14752" s="9" t="s">
        <v>29796</v>
      </c>
      <c r="J14752" s="10" t="str">
        <f>HYPERLINK("https://www.boe.es/gazeta/dias/1834/11/07/pdfs/GMD-C-1834-266.pdf#page=6","Abrir facsímil")</f>
        <v>Abrir facsímil</v>
      </c>
      <c r="K14752" s="10" t="s">
        <v>24</v>
      </c>
    </row>
    <row r="14753" spans="1:11" ht="54" customHeight="1">
      <c r="A14753" s="9" t="s">
        <v>29797</v>
      </c>
      <c r="B14753" s="9" t="s">
        <v>29797</v>
      </c>
      <c r="C14753" s="9" t="s">
        <v>17</v>
      </c>
      <c r="D14753" s="9" t="s">
        <v>18</v>
      </c>
      <c r="E14753" s="10" t="s">
        <v>247</v>
      </c>
      <c r="F14753" s="9" t="s">
        <v>2805</v>
      </c>
      <c r="G14753" s="10" t="s">
        <v>21</v>
      </c>
      <c r="H14753" s="9" t="s">
        <v>22</v>
      </c>
      <c r="I14753" s="9" t="s">
        <v>29798</v>
      </c>
      <c r="J14753" s="10" t="str">
        <f>HYPERLINK("https://www.boe.es/gazeta/dias/1834/08/23/pdfs/GMD-1834-189.pdf#page=3","Abrir facsímil")</f>
        <v>Abrir facsímil</v>
      </c>
      <c r="K14753" s="10" t="s">
        <v>24</v>
      </c>
    </row>
    <row r="14754" spans="1:11" ht="54" customHeight="1">
      <c r="A14754" s="9" t="s">
        <v>29799</v>
      </c>
      <c r="B14754" s="9" t="s">
        <v>29800</v>
      </c>
      <c r="C14754" s="9" t="s">
        <v>46</v>
      </c>
      <c r="D14754" s="9" t="s">
        <v>101</v>
      </c>
      <c r="E14754" s="10" t="s">
        <v>426</v>
      </c>
      <c r="F14754" s="9" t="s">
        <v>427</v>
      </c>
      <c r="G14754" s="10" t="s">
        <v>21</v>
      </c>
      <c r="H14754" s="9" t="s">
        <v>22</v>
      </c>
      <c r="I14754" s="9" t="s">
        <v>29801</v>
      </c>
      <c r="J14754" s="10" t="str">
        <f>HYPERLINK("https://www.boe.es/gazeta/dias/1834/10/04/pdfs/GMD-1834-232.pdf#page=3","Abrir facsímil")</f>
        <v>Abrir facsímil</v>
      </c>
      <c r="K14754" s="10" t="s">
        <v>24</v>
      </c>
    </row>
    <row r="14755" spans="1:11" ht="54" customHeight="1">
      <c r="A14755" s="9" t="s">
        <v>29802</v>
      </c>
      <c r="B14755" s="9" t="s">
        <v>29803</v>
      </c>
      <c r="C14755" s="9" t="s">
        <v>17</v>
      </c>
      <c r="D14755" s="9" t="s">
        <v>18</v>
      </c>
      <c r="E14755" s="10" t="s">
        <v>222</v>
      </c>
      <c r="F14755" s="9" t="s">
        <v>223</v>
      </c>
      <c r="G14755" s="10" t="s">
        <v>75</v>
      </c>
      <c r="H14755" s="9" t="s">
        <v>22</v>
      </c>
      <c r="I14755" s="9" t="s">
        <v>29804</v>
      </c>
      <c r="J14755" s="10" t="str">
        <f>HYPERLINK("https://www.boe.es/gazeta/dias/1834/09/14/pdfs/GMD-1834-212.pdf#page=4","Abrir facsímil")</f>
        <v>Abrir facsímil</v>
      </c>
      <c r="K14755" s="10" t="s">
        <v>24</v>
      </c>
    </row>
    <row r="14756" spans="1:11" ht="54" customHeight="1">
      <c r="A14756" s="9" t="s">
        <v>29805</v>
      </c>
      <c r="B14756" s="9" t="s">
        <v>29805</v>
      </c>
      <c r="C14756" s="9" t="s">
        <v>17</v>
      </c>
      <c r="D14756" s="9" t="s">
        <v>55</v>
      </c>
      <c r="E14756" s="10" t="s">
        <v>1883</v>
      </c>
      <c r="F14756" s="9" t="s">
        <v>1884</v>
      </c>
      <c r="G14756" s="10" t="s">
        <v>86</v>
      </c>
      <c r="H14756" s="9" t="s">
        <v>22</v>
      </c>
      <c r="I14756" s="9" t="s">
        <v>29806</v>
      </c>
      <c r="J14756" s="10" t="str">
        <f>HYPERLINK("https://www.boe.es/gazeta/dias/1834/01/11/pdfs/GMD-1834-6.pdf#page=2","Abrir facsímil")</f>
        <v>Abrir facsímil</v>
      </c>
      <c r="K14756" s="10" t="s">
        <v>24</v>
      </c>
    </row>
    <row r="14757" spans="1:11" ht="54" customHeight="1">
      <c r="A14757" s="9" t="s">
        <v>29807</v>
      </c>
      <c r="B14757" s="9" t="s">
        <v>29807</v>
      </c>
      <c r="C14757" s="9" t="s">
        <v>17</v>
      </c>
      <c r="D14757" s="9" t="s">
        <v>18</v>
      </c>
      <c r="E14757" s="10" t="s">
        <v>403</v>
      </c>
      <c r="F14757" s="9" t="s">
        <v>404</v>
      </c>
      <c r="G14757" s="10" t="s">
        <v>560</v>
      </c>
      <c r="H14757" s="9" t="s">
        <v>22</v>
      </c>
      <c r="I14757" s="9" t="s">
        <v>29808</v>
      </c>
      <c r="J14757" s="10" t="str">
        <f>HYPERLINK("https://www.boe.es/gazeta/dias/1834/09/25/pdfs/GMD-C-1834-223.pdf#page=7","Abrir facsímil")</f>
        <v>Abrir facsímil</v>
      </c>
      <c r="K14757" s="10" t="s">
        <v>24</v>
      </c>
    </row>
    <row r="14758" spans="1:11" ht="54" customHeight="1">
      <c r="A14758" s="9" t="s">
        <v>29809</v>
      </c>
      <c r="B14758" s="9" t="s">
        <v>29810</v>
      </c>
      <c r="C14758" s="9" t="s">
        <v>17</v>
      </c>
      <c r="D14758" s="9" t="s">
        <v>18</v>
      </c>
      <c r="E14758" s="10" t="s">
        <v>1025</v>
      </c>
      <c r="F14758" s="9" t="s">
        <v>1026</v>
      </c>
      <c r="G14758" s="10" t="s">
        <v>21</v>
      </c>
      <c r="H14758" s="9" t="s">
        <v>22</v>
      </c>
      <c r="I14758" s="9" t="s">
        <v>29811</v>
      </c>
      <c r="J14758" s="10" t="str">
        <f>HYPERLINK("https://www.boe.es/gazeta/dias/1834/03/01/pdfs/GMD-1834-27.pdf#page=3","Abrir facsímil")</f>
        <v>Abrir facsímil</v>
      </c>
      <c r="K14758" s="10" t="s">
        <v>24</v>
      </c>
    </row>
    <row r="14759" spans="1:11" ht="54" customHeight="1">
      <c r="A14759" s="9" t="s">
        <v>29812</v>
      </c>
      <c r="B14759" s="9" t="s">
        <v>29813</v>
      </c>
      <c r="C14759" s="9" t="s">
        <v>17</v>
      </c>
      <c r="D14759" s="9" t="s">
        <v>18</v>
      </c>
      <c r="E14759" s="10" t="s">
        <v>762</v>
      </c>
      <c r="F14759" s="9" t="s">
        <v>763</v>
      </c>
      <c r="G14759" s="10" t="s">
        <v>34</v>
      </c>
      <c r="H14759" s="9" t="s">
        <v>22</v>
      </c>
      <c r="I14759" s="9" t="s">
        <v>29814</v>
      </c>
      <c r="J14759" s="10" t="str">
        <f>HYPERLINK("https://www.boe.es/gazeta/dias/1834/11/07/pdfs/GMD-1834-266.pdf#page=1","Abrir facsímil")</f>
        <v>Abrir facsímil</v>
      </c>
      <c r="K14759" s="10" t="s">
        <v>24</v>
      </c>
    </row>
    <row r="14760" spans="1:11" ht="54" customHeight="1">
      <c r="A14760" s="9" t="s">
        <v>29815</v>
      </c>
      <c r="B14760" s="9" t="s">
        <v>29816</v>
      </c>
      <c r="C14760" s="9" t="s">
        <v>17</v>
      </c>
      <c r="D14760" s="9" t="s">
        <v>18</v>
      </c>
      <c r="E14760" s="10" t="s">
        <v>1556</v>
      </c>
      <c r="F14760" s="9" t="s">
        <v>1557</v>
      </c>
      <c r="G14760" s="10" t="s">
        <v>21</v>
      </c>
      <c r="H14760" s="9" t="s">
        <v>35</v>
      </c>
      <c r="I14760" s="9" t="s">
        <v>29817</v>
      </c>
      <c r="J14760" s="10" t="str">
        <f>HYPERLINK("https://www.boe.es/gazeta/dias/1834/06/06/pdfs/GMD-1834-108.pdf#page=3","Abrir facsímil")</f>
        <v>Abrir facsímil</v>
      </c>
      <c r="K14760" s="10" t="s">
        <v>37</v>
      </c>
    </row>
    <row r="14761" spans="1:11" ht="54" customHeight="1">
      <c r="A14761" s="9" t="s">
        <v>29818</v>
      </c>
      <c r="B14761" s="9" t="s">
        <v>29819</v>
      </c>
      <c r="C14761" s="9" t="s">
        <v>17</v>
      </c>
      <c r="D14761" s="9" t="s">
        <v>18</v>
      </c>
      <c r="E14761" s="10" t="s">
        <v>1135</v>
      </c>
      <c r="F14761" s="9" t="s">
        <v>1136</v>
      </c>
      <c r="G14761" s="10" t="s">
        <v>21</v>
      </c>
      <c r="H14761" s="9" t="s">
        <v>22</v>
      </c>
      <c r="I14761" s="9" t="s">
        <v>29820</v>
      </c>
      <c r="J14761" s="10" t="str">
        <f>HYPERLINK("https://www.boe.es/gazeta/dias/1834/08/26/pdfs/GMD-1834-192.pdf#page=3","Abrir facsímil")</f>
        <v>Abrir facsímil</v>
      </c>
      <c r="K14761" s="10" t="s">
        <v>24</v>
      </c>
    </row>
    <row r="14762" spans="1:11" ht="54" customHeight="1">
      <c r="A14762" s="9" t="s">
        <v>29821</v>
      </c>
      <c r="B14762" s="9" t="s">
        <v>29822</v>
      </c>
      <c r="C14762" s="9" t="s">
        <v>17</v>
      </c>
      <c r="D14762" s="9" t="s">
        <v>18</v>
      </c>
      <c r="E14762" s="10" t="s">
        <v>1556</v>
      </c>
      <c r="F14762" s="9" t="s">
        <v>1557</v>
      </c>
      <c r="G14762" s="10" t="s">
        <v>21</v>
      </c>
      <c r="H14762" s="9" t="s">
        <v>22</v>
      </c>
      <c r="I14762" s="9" t="s">
        <v>29823</v>
      </c>
      <c r="J14762" s="10" t="str">
        <f>HYPERLINK("https://www.boe.es/gazeta/dias/1834/06/06/pdfs/GMD-1834-108.pdf#page=3","Abrir facsímil")</f>
        <v>Abrir facsímil</v>
      </c>
      <c r="K14762" s="10" t="s">
        <v>24</v>
      </c>
    </row>
    <row r="14763" spans="1:11" ht="54" customHeight="1">
      <c r="A14763" s="9" t="s">
        <v>29824</v>
      </c>
      <c r="B14763" s="9" t="s">
        <v>29825</v>
      </c>
      <c r="C14763" s="9" t="s">
        <v>17</v>
      </c>
      <c r="D14763" s="9" t="s">
        <v>18</v>
      </c>
      <c r="E14763" s="10" t="s">
        <v>343</v>
      </c>
      <c r="F14763" s="9" t="s">
        <v>344</v>
      </c>
      <c r="G14763" s="10" t="s">
        <v>21</v>
      </c>
      <c r="H14763" s="9" t="s">
        <v>22</v>
      </c>
      <c r="I14763" s="9" t="s">
        <v>29826</v>
      </c>
      <c r="J14763" s="10" t="str">
        <f>HYPERLINK("https://www.boe.es/gazeta/dias/1834/01/14/pdfs/GMD-1834-7.pdf#page=3","Abrir facsímil")</f>
        <v>Abrir facsímil</v>
      </c>
      <c r="K14763" s="10" t="s">
        <v>24</v>
      </c>
    </row>
    <row r="14764" spans="1:11" ht="54" customHeight="1">
      <c r="A14764" s="9" t="s">
        <v>29827</v>
      </c>
      <c r="B14764" s="9" t="s">
        <v>29828</v>
      </c>
      <c r="C14764" s="9" t="s">
        <v>17</v>
      </c>
      <c r="D14764" s="9" t="s">
        <v>18</v>
      </c>
      <c r="E14764" s="10" t="s">
        <v>976</v>
      </c>
      <c r="F14764" s="9" t="s">
        <v>1061</v>
      </c>
      <c r="G14764" s="10" t="s">
        <v>34</v>
      </c>
      <c r="H14764" s="9" t="s">
        <v>22</v>
      </c>
      <c r="I14764" s="9" t="s">
        <v>29829</v>
      </c>
      <c r="J14764" s="10" t="str">
        <f>HYPERLINK("https://www.boe.es/gazeta/dias/1834/04/02/pdfs/GMD-C-1834-41.pdf#page=1","Abrir facsímil")</f>
        <v>Abrir facsímil</v>
      </c>
      <c r="K14764" s="10" t="s">
        <v>24</v>
      </c>
    </row>
    <row r="14765" spans="1:11" ht="54" customHeight="1">
      <c r="A14765" s="9" t="s">
        <v>29827</v>
      </c>
      <c r="B14765" s="9" t="s">
        <v>29828</v>
      </c>
      <c r="C14765" s="9" t="s">
        <v>17</v>
      </c>
      <c r="D14765" s="9" t="s">
        <v>101</v>
      </c>
      <c r="E14765" s="10" t="s">
        <v>1850</v>
      </c>
      <c r="F14765" s="9" t="s">
        <v>1851</v>
      </c>
      <c r="G14765" s="10" t="s">
        <v>86</v>
      </c>
      <c r="H14765" s="9" t="s">
        <v>22</v>
      </c>
      <c r="I14765" s="9" t="s">
        <v>29830</v>
      </c>
      <c r="J14765" s="10" t="str">
        <f>HYPERLINK("https://www.boe.es/gazeta/dias/1834/02/18/pdfs/GMD-1834-22.pdf#page=2","Abrir facsímil")</f>
        <v>Abrir facsímil</v>
      </c>
      <c r="K14765" s="10" t="s">
        <v>24</v>
      </c>
    </row>
    <row r="14766" spans="1:11" ht="54" customHeight="1">
      <c r="A14766" s="9" t="s">
        <v>29831</v>
      </c>
      <c r="B14766" s="9" t="s">
        <v>29832</v>
      </c>
      <c r="C14766" s="9" t="s">
        <v>17</v>
      </c>
      <c r="D14766" s="9" t="s">
        <v>18</v>
      </c>
      <c r="E14766" s="10" t="s">
        <v>73</v>
      </c>
      <c r="F14766" s="9" t="s">
        <v>74</v>
      </c>
      <c r="G14766" s="10" t="s">
        <v>75</v>
      </c>
      <c r="H14766" s="9" t="s">
        <v>22</v>
      </c>
      <c r="I14766" s="9" t="s">
        <v>29833</v>
      </c>
      <c r="J14766" s="10" t="str">
        <f>HYPERLINK("https://www.boe.es/gazeta/dias/1834/11/04/pdfs/GMD-1834-263.pdf#page=4","Abrir facsímil")</f>
        <v>Abrir facsímil</v>
      </c>
      <c r="K14766" s="10" t="s">
        <v>24</v>
      </c>
    </row>
    <row r="14767" spans="1:11" ht="54" customHeight="1">
      <c r="A14767" s="9" t="s">
        <v>29834</v>
      </c>
      <c r="B14767" s="9" t="s">
        <v>29835</v>
      </c>
      <c r="C14767" s="9" t="s">
        <v>17</v>
      </c>
      <c r="D14767" s="9" t="s">
        <v>18</v>
      </c>
      <c r="E14767" s="10" t="s">
        <v>280</v>
      </c>
      <c r="F14767" s="9" t="s">
        <v>281</v>
      </c>
      <c r="G14767" s="10" t="s">
        <v>560</v>
      </c>
      <c r="H14767" s="9" t="s">
        <v>22</v>
      </c>
      <c r="I14767" s="9" t="s">
        <v>29836</v>
      </c>
      <c r="J14767" s="10" t="str">
        <f>HYPERLINK("https://www.boe.es/gazeta/dias/1834/08/29/pdfs/GMD-C-1834-195.pdf#page=7","Abrir facsímil")</f>
        <v>Abrir facsímil</v>
      </c>
      <c r="K14767" s="10" t="s">
        <v>24</v>
      </c>
    </row>
    <row r="14768" spans="1:11" ht="54" customHeight="1">
      <c r="A14768" s="9" t="s">
        <v>29837</v>
      </c>
      <c r="B14768" s="9" t="s">
        <v>29837</v>
      </c>
      <c r="C14768" s="9" t="s">
        <v>17</v>
      </c>
      <c r="D14768" s="9" t="s">
        <v>18</v>
      </c>
      <c r="E14768" s="10" t="s">
        <v>255</v>
      </c>
      <c r="F14768" s="9" t="s">
        <v>256</v>
      </c>
      <c r="G14768" s="10" t="s">
        <v>34</v>
      </c>
      <c r="H14768" s="9" t="s">
        <v>22</v>
      </c>
      <c r="I14768" s="9" t="s">
        <v>29838</v>
      </c>
      <c r="J14768" s="10" t="str">
        <f>HYPERLINK("https://www.boe.es/gazeta/dias/1834/09/01/pdfs/GMD-C-1834-199.pdf#page=1","Abrir facsímil")</f>
        <v>Abrir facsímil</v>
      </c>
      <c r="K14768" s="10" t="s">
        <v>24</v>
      </c>
    </row>
    <row r="14769" spans="1:11" ht="54" customHeight="1">
      <c r="A14769" s="9" t="s">
        <v>29837</v>
      </c>
      <c r="B14769" s="9" t="s">
        <v>29837</v>
      </c>
      <c r="C14769" s="9" t="s">
        <v>17</v>
      </c>
      <c r="D14769" s="9" t="s">
        <v>18</v>
      </c>
      <c r="E14769" s="10" t="s">
        <v>479</v>
      </c>
      <c r="F14769" s="9" t="s">
        <v>2258</v>
      </c>
      <c r="G14769" s="10" t="s">
        <v>86</v>
      </c>
      <c r="H14769" s="9" t="s">
        <v>22</v>
      </c>
      <c r="I14769" s="9" t="s">
        <v>29839</v>
      </c>
      <c r="J14769" s="10" t="str">
        <f>HYPERLINK("https://www.boe.es/gazeta/dias/1834/08/13/pdfs/GMD-C-1834-178.pdf#page=2","Abrir facsímil")</f>
        <v>Abrir facsímil</v>
      </c>
      <c r="K14769" s="10" t="s">
        <v>24</v>
      </c>
    </row>
    <row r="14770" spans="1:11" ht="54" customHeight="1">
      <c r="A14770" s="9" t="s">
        <v>29840</v>
      </c>
      <c r="B14770" s="9" t="s">
        <v>29841</v>
      </c>
      <c r="C14770" s="9" t="s">
        <v>66</v>
      </c>
      <c r="D14770" s="9" t="s">
        <v>67</v>
      </c>
      <c r="E14770" s="10" t="s">
        <v>158</v>
      </c>
      <c r="F14770" s="9" t="s">
        <v>159</v>
      </c>
      <c r="G14770" s="10" t="s">
        <v>75</v>
      </c>
      <c r="H14770" s="9" t="s">
        <v>22</v>
      </c>
      <c r="I14770" s="9" t="s">
        <v>29842</v>
      </c>
      <c r="J14770" s="10" t="str">
        <f>HYPERLINK("https://www.boe.es/gazeta/dias/1834/10/01/pdfs/GMD-1834-229.pdf#page=4","Abrir facsímil")</f>
        <v>Abrir facsímil</v>
      </c>
      <c r="K14770" s="10" t="s">
        <v>24</v>
      </c>
    </row>
    <row r="14771" spans="1:11" ht="54" customHeight="1">
      <c r="A14771" s="9" t="s">
        <v>29843</v>
      </c>
      <c r="B14771" s="9" t="s">
        <v>29843</v>
      </c>
      <c r="C14771" s="9" t="s">
        <v>17</v>
      </c>
      <c r="D14771" s="9" t="s">
        <v>18</v>
      </c>
      <c r="E14771" s="10" t="s">
        <v>2526</v>
      </c>
      <c r="F14771" s="9" t="s">
        <v>8236</v>
      </c>
      <c r="G14771" s="10" t="s">
        <v>75</v>
      </c>
      <c r="H14771" s="9" t="s">
        <v>22</v>
      </c>
      <c r="I14771" s="9" t="s">
        <v>29844</v>
      </c>
      <c r="J14771" s="10" t="str">
        <f>HYPERLINK("https://www.boe.es/gazeta/dias/1834/12/29/pdfs/GMD-1834-319.pdf#page=4","Abrir facsímil")</f>
        <v>Abrir facsímil</v>
      </c>
      <c r="K14771" s="10" t="s">
        <v>24</v>
      </c>
    </row>
    <row r="14772" spans="1:11" ht="54" customHeight="1">
      <c r="A14772" s="9" t="s">
        <v>29843</v>
      </c>
      <c r="B14772" s="9" t="s">
        <v>29843</v>
      </c>
      <c r="C14772" s="9" t="s">
        <v>90</v>
      </c>
      <c r="D14772" s="9" t="s">
        <v>18</v>
      </c>
      <c r="E14772" s="10" t="s">
        <v>590</v>
      </c>
      <c r="F14772" s="9" t="s">
        <v>591</v>
      </c>
      <c r="G14772" s="10" t="s">
        <v>86</v>
      </c>
      <c r="H14772" s="9" t="s">
        <v>22</v>
      </c>
      <c r="I14772" s="9" t="s">
        <v>29845</v>
      </c>
      <c r="J14772" s="10" t="str">
        <f>HYPERLINK("https://www.boe.es/gazeta/dias/1834/11/30/pdfs/GMD-1834-289.pdf#page=2","Abrir facsímil")</f>
        <v>Abrir facsímil</v>
      </c>
      <c r="K14772" s="10" t="s">
        <v>24</v>
      </c>
    </row>
    <row r="14773" spans="1:11" ht="54" customHeight="1">
      <c r="A14773" s="9" t="s">
        <v>29846</v>
      </c>
      <c r="B14773" s="9" t="s">
        <v>29847</v>
      </c>
      <c r="C14773" s="9" t="s">
        <v>17</v>
      </c>
      <c r="D14773" s="9" t="s">
        <v>18</v>
      </c>
      <c r="E14773" s="10" t="s">
        <v>563</v>
      </c>
      <c r="F14773" s="9" t="s">
        <v>564</v>
      </c>
      <c r="G14773" s="10" t="s">
        <v>86</v>
      </c>
      <c r="H14773" s="9" t="s">
        <v>22</v>
      </c>
      <c r="I14773" s="9" t="s">
        <v>29848</v>
      </c>
      <c r="J14773" s="10" t="str">
        <f>HYPERLINK("https://www.boe.es/gazeta/dias/1834/04/19/pdfs/GMD-1834-58.pdf#page=2","Abrir facsímil")</f>
        <v>Abrir facsímil</v>
      </c>
      <c r="K14773" s="10" t="s">
        <v>24</v>
      </c>
    </row>
    <row r="14774" spans="1:11" ht="54" customHeight="1">
      <c r="A14774" s="9" t="s">
        <v>29849</v>
      </c>
      <c r="B14774" s="9" t="s">
        <v>29849</v>
      </c>
      <c r="C14774" s="9" t="s">
        <v>66</v>
      </c>
      <c r="D14774" s="9" t="s">
        <v>67</v>
      </c>
      <c r="E14774" s="10" t="s">
        <v>174</v>
      </c>
      <c r="F14774" s="9" t="s">
        <v>175</v>
      </c>
      <c r="G14774" s="10" t="s">
        <v>21</v>
      </c>
      <c r="H14774" s="9" t="s">
        <v>22</v>
      </c>
      <c r="I14774" s="9" t="s">
        <v>29850</v>
      </c>
      <c r="J14774" s="10" t="str">
        <f>HYPERLINK("https://www.boe.es/gazeta/dias/1834/03/27/pdfs/GMD-1834-38.pdf#page=3","Abrir facsímil")</f>
        <v>Abrir facsímil</v>
      </c>
      <c r="K14774" s="10" t="s">
        <v>24</v>
      </c>
    </row>
    <row r="14775" spans="1:11" ht="54" customHeight="1">
      <c r="A14775" s="9" t="s">
        <v>29851</v>
      </c>
      <c r="B14775" s="9" t="s">
        <v>29851</v>
      </c>
      <c r="C14775" s="9" t="s">
        <v>17</v>
      </c>
      <c r="D14775" s="9" t="s">
        <v>18</v>
      </c>
      <c r="E14775" s="10" t="s">
        <v>928</v>
      </c>
      <c r="F14775" s="9" t="s">
        <v>929</v>
      </c>
      <c r="G14775" s="10" t="s">
        <v>34</v>
      </c>
      <c r="H14775" s="9" t="s">
        <v>22</v>
      </c>
      <c r="I14775" s="9" t="s">
        <v>29852</v>
      </c>
      <c r="J14775" s="10" t="str">
        <f>HYPERLINK("https://www.boe.es/gazeta/dias/1834/11/15/pdfs/GMD-C-1834-274.pdf#page=1","Abrir facsímil")</f>
        <v>Abrir facsímil</v>
      </c>
      <c r="K14775" s="10" t="s">
        <v>24</v>
      </c>
    </row>
    <row r="14776" spans="1:11" ht="54" customHeight="1">
      <c r="A14776" s="9" t="s">
        <v>29853</v>
      </c>
      <c r="B14776" s="9" t="s">
        <v>29853</v>
      </c>
      <c r="C14776" s="9" t="s">
        <v>17</v>
      </c>
      <c r="D14776" s="9" t="s">
        <v>18</v>
      </c>
      <c r="E14776" s="10" t="s">
        <v>642</v>
      </c>
      <c r="F14776" s="9" t="s">
        <v>643</v>
      </c>
      <c r="G14776" s="10" t="s">
        <v>21</v>
      </c>
      <c r="H14776" s="9" t="s">
        <v>22</v>
      </c>
      <c r="I14776" s="9" t="s">
        <v>29854</v>
      </c>
      <c r="J14776" s="10" t="str">
        <f>HYPERLINK("https://www.boe.es/gazeta/dias/1834/11/12/pdfs/GMD-C-1834-271.pdf#page=3","Abrir facsímil")</f>
        <v>Abrir facsímil</v>
      </c>
      <c r="K14776" s="10" t="s">
        <v>24</v>
      </c>
    </row>
    <row r="14777" spans="1:11" ht="54" customHeight="1">
      <c r="A14777" s="9" t="s">
        <v>29855</v>
      </c>
      <c r="B14777" s="9" t="s">
        <v>29855</v>
      </c>
      <c r="C14777" s="9" t="s">
        <v>17</v>
      </c>
      <c r="D14777" s="9" t="s">
        <v>18</v>
      </c>
      <c r="E14777" s="10" t="s">
        <v>375</v>
      </c>
      <c r="F14777" s="9" t="s">
        <v>4983</v>
      </c>
      <c r="G14777" s="10" t="s">
        <v>86</v>
      </c>
      <c r="H14777" s="9" t="s">
        <v>22</v>
      </c>
      <c r="I14777" s="9" t="s">
        <v>29856</v>
      </c>
      <c r="J14777" s="10" t="str">
        <f>HYPERLINK("https://www.boe.es/gazeta/dias/1834/08/21/pdfs/GMD-C-1834-187.pdf#page=2","Abrir facsímil")</f>
        <v>Abrir facsímil</v>
      </c>
      <c r="K14777" s="10" t="s">
        <v>24</v>
      </c>
    </row>
    <row r="14778" spans="1:11" ht="54" customHeight="1">
      <c r="A14778" s="9" t="s">
        <v>29857</v>
      </c>
      <c r="B14778" s="9" t="s">
        <v>29857</v>
      </c>
      <c r="C14778" s="9" t="s">
        <v>17</v>
      </c>
      <c r="D14778" s="9" t="s">
        <v>18</v>
      </c>
      <c r="E14778" s="10" t="s">
        <v>905</v>
      </c>
      <c r="F14778" s="9" t="s">
        <v>906</v>
      </c>
      <c r="G14778" s="10" t="s">
        <v>86</v>
      </c>
      <c r="H14778" s="9" t="s">
        <v>22</v>
      </c>
      <c r="I14778" s="9" t="s">
        <v>29858</v>
      </c>
      <c r="J14778" s="10" t="str">
        <f>HYPERLINK("https://www.boe.es/gazeta/dias/1834/08/02/pdfs/GMD-C-1834-166.pdf#page=2","Abrir facsímil")</f>
        <v>Abrir facsímil</v>
      </c>
      <c r="K14778" s="10" t="s">
        <v>24</v>
      </c>
    </row>
    <row r="14779" spans="1:11" ht="54" customHeight="1">
      <c r="A14779" s="9" t="s">
        <v>29859</v>
      </c>
      <c r="B14779" s="9" t="s">
        <v>29859</v>
      </c>
      <c r="C14779" s="9" t="s">
        <v>17</v>
      </c>
      <c r="D14779" s="9" t="s">
        <v>18</v>
      </c>
      <c r="E14779" s="10" t="s">
        <v>394</v>
      </c>
      <c r="F14779" s="9" t="s">
        <v>459</v>
      </c>
      <c r="G14779" s="10" t="s">
        <v>34</v>
      </c>
      <c r="H14779" s="9" t="s">
        <v>22</v>
      </c>
      <c r="I14779" s="9" t="s">
        <v>29860</v>
      </c>
      <c r="J14779" s="10" t="str">
        <f>HYPERLINK("https://www.boe.es/gazeta/dias/1834/12/23/pdfs/GMD-C-1834-313.pdf#page=1","Abrir facsímil")</f>
        <v>Abrir facsímil</v>
      </c>
      <c r="K14779" s="10" t="s">
        <v>24</v>
      </c>
    </row>
    <row r="14780" spans="1:11" ht="54" customHeight="1">
      <c r="A14780" s="9" t="s">
        <v>29861</v>
      </c>
      <c r="B14780" s="9" t="s">
        <v>29862</v>
      </c>
      <c r="C14780" s="9" t="s">
        <v>17</v>
      </c>
      <c r="D14780" s="9" t="s">
        <v>18</v>
      </c>
      <c r="E14780" s="10" t="s">
        <v>777</v>
      </c>
      <c r="F14780" s="9" t="s">
        <v>2535</v>
      </c>
      <c r="G14780" s="10" t="s">
        <v>34</v>
      </c>
      <c r="H14780" s="9" t="s">
        <v>22</v>
      </c>
      <c r="I14780" s="9" t="s">
        <v>29863</v>
      </c>
      <c r="J14780" s="10" t="str">
        <f>HYPERLINK("https://www.boe.es/gazeta/dias/1834/10/29/pdfs/GMD-C-1834-257.pdf#page=1","Abrir facsímil")</f>
        <v>Abrir facsímil</v>
      </c>
      <c r="K14780" s="10" t="s">
        <v>24</v>
      </c>
    </row>
    <row r="14781" spans="1:11" ht="54" customHeight="1">
      <c r="A14781" s="9" t="s">
        <v>29864</v>
      </c>
      <c r="B14781" s="9" t="s">
        <v>29864</v>
      </c>
      <c r="C14781" s="9" t="s">
        <v>90</v>
      </c>
      <c r="D14781" s="9" t="s">
        <v>18</v>
      </c>
      <c r="E14781" s="10" t="s">
        <v>702</v>
      </c>
      <c r="F14781" s="9" t="s">
        <v>703</v>
      </c>
      <c r="G14781" s="10" t="s">
        <v>176</v>
      </c>
      <c r="H14781" s="9" t="s">
        <v>22</v>
      </c>
      <c r="I14781" s="9" t="s">
        <v>29865</v>
      </c>
      <c r="J14781" s="10" t="str">
        <f>HYPERLINK("https://www.boe.es/gazeta/dias/1834/11/22/pdfs/GMD-C-1834-281.pdf#page=6","Abrir facsímil")</f>
        <v>Abrir facsímil</v>
      </c>
      <c r="K14781" s="10" t="s">
        <v>24</v>
      </c>
    </row>
    <row r="14782" spans="1:11" ht="54" customHeight="1">
      <c r="A14782" s="9" t="s">
        <v>29866</v>
      </c>
      <c r="B14782" s="9" t="s">
        <v>29866</v>
      </c>
      <c r="C14782" s="9" t="s">
        <v>17</v>
      </c>
      <c r="D14782" s="9" t="s">
        <v>101</v>
      </c>
      <c r="E14782" s="10" t="s">
        <v>73</v>
      </c>
      <c r="F14782" s="9" t="s">
        <v>1416</v>
      </c>
      <c r="G14782" s="10" t="s">
        <v>34</v>
      </c>
      <c r="H14782" s="9" t="s">
        <v>22</v>
      </c>
      <c r="I14782" s="9" t="s">
        <v>29867</v>
      </c>
      <c r="J14782" s="10" t="str">
        <f>HYPERLINK("https://www.boe.es/gazeta/dias/1834/11/04/pdfs/GMD-C-1834-263.pdf#page=1","Abrir facsímil")</f>
        <v>Abrir facsímil</v>
      </c>
      <c r="K14782" s="10" t="s">
        <v>24</v>
      </c>
    </row>
    <row r="14783" spans="1:11" ht="54" customHeight="1">
      <c r="A14783" s="9" t="s">
        <v>29868</v>
      </c>
      <c r="B14783" s="9" t="s">
        <v>29868</v>
      </c>
      <c r="C14783" s="9" t="s">
        <v>17</v>
      </c>
      <c r="D14783" s="9" t="s">
        <v>18</v>
      </c>
      <c r="E14783" s="10" t="s">
        <v>1186</v>
      </c>
      <c r="F14783" s="9" t="s">
        <v>4286</v>
      </c>
      <c r="G14783" s="10" t="s">
        <v>86</v>
      </c>
      <c r="H14783" s="9" t="s">
        <v>22</v>
      </c>
      <c r="I14783" s="9" t="s">
        <v>29869</v>
      </c>
      <c r="J14783" s="10" t="str">
        <f>HYPERLINK("https://www.boe.es/gazeta/dias/1834/08/14/pdfs/GMD-C-1834-179.pdf#page=2","Abrir facsímil")</f>
        <v>Abrir facsímil</v>
      </c>
      <c r="K14783" s="10" t="s">
        <v>24</v>
      </c>
    </row>
    <row r="14784" spans="1:11" ht="54" customHeight="1">
      <c r="A14784" s="9" t="s">
        <v>29870</v>
      </c>
      <c r="B14784" s="9" t="s">
        <v>29870</v>
      </c>
      <c r="C14784" s="9" t="s">
        <v>17</v>
      </c>
      <c r="D14784" s="9" t="s">
        <v>18</v>
      </c>
      <c r="E14784" s="10" t="s">
        <v>32</v>
      </c>
      <c r="F14784" s="9" t="s">
        <v>7431</v>
      </c>
      <c r="G14784" s="10" t="s">
        <v>34</v>
      </c>
      <c r="H14784" s="9" t="s">
        <v>22</v>
      </c>
      <c r="I14784" s="9" t="s">
        <v>29871</v>
      </c>
      <c r="J14784" s="10" t="str">
        <f>HYPERLINK("https://www.boe.es/gazeta/dias/1834/04/23/pdfs/GMD-C-1834-62.pdf#page=1","Abrir facsímil")</f>
        <v>Abrir facsímil</v>
      </c>
      <c r="K14784" s="10" t="s">
        <v>24</v>
      </c>
    </row>
    <row r="14785" spans="1:11" ht="54" customHeight="1">
      <c r="A14785" s="9" t="s">
        <v>29872</v>
      </c>
      <c r="B14785" s="9" t="s">
        <v>29872</v>
      </c>
      <c r="C14785" s="9" t="s">
        <v>17</v>
      </c>
      <c r="D14785" s="9" t="s">
        <v>18</v>
      </c>
      <c r="E14785" s="10" t="s">
        <v>571</v>
      </c>
      <c r="F14785" s="9" t="s">
        <v>620</v>
      </c>
      <c r="G14785" s="10" t="s">
        <v>34</v>
      </c>
      <c r="H14785" s="9" t="s">
        <v>22</v>
      </c>
      <c r="I14785" s="9" t="s">
        <v>29873</v>
      </c>
      <c r="J14785" s="10" t="str">
        <f>HYPERLINK("https://www.boe.es/gazeta/dias/1834/09/04/pdfs/GMD-C-1834-202.pdf#page=1","Abrir facsímil")</f>
        <v>Abrir facsímil</v>
      </c>
      <c r="K14785" s="10" t="s">
        <v>24</v>
      </c>
    </row>
    <row r="14786" spans="1:11" ht="54" customHeight="1">
      <c r="A14786" s="9" t="s">
        <v>29872</v>
      </c>
      <c r="B14786" s="9" t="s">
        <v>29872</v>
      </c>
      <c r="C14786" s="9" t="s">
        <v>17</v>
      </c>
      <c r="D14786" s="9" t="s">
        <v>18</v>
      </c>
      <c r="E14786" s="10" t="s">
        <v>233</v>
      </c>
      <c r="F14786" s="9" t="s">
        <v>1810</v>
      </c>
      <c r="G14786" s="10" t="s">
        <v>86</v>
      </c>
      <c r="H14786" s="9" t="s">
        <v>22</v>
      </c>
      <c r="I14786" s="9" t="s">
        <v>29874</v>
      </c>
      <c r="J14786" s="10" t="str">
        <f>HYPERLINK("https://www.boe.es/gazeta/dias/1834/12/16/pdfs/GMD-C-1834-305.pdf#page=2","Abrir facsímil")</f>
        <v>Abrir facsímil</v>
      </c>
      <c r="K14786" s="10" t="s">
        <v>24</v>
      </c>
    </row>
    <row r="14787" spans="1:11" ht="54" customHeight="1">
      <c r="A14787" s="9" t="s">
        <v>29875</v>
      </c>
      <c r="B14787" s="9" t="s">
        <v>29875</v>
      </c>
      <c r="C14787" s="9" t="s">
        <v>46</v>
      </c>
      <c r="D14787" s="9" t="s">
        <v>101</v>
      </c>
      <c r="E14787" s="10" t="s">
        <v>3066</v>
      </c>
      <c r="F14787" s="9" t="s">
        <v>3067</v>
      </c>
      <c r="G14787" s="10" t="s">
        <v>34</v>
      </c>
      <c r="H14787" s="9" t="s">
        <v>22</v>
      </c>
      <c r="I14787" s="9" t="s">
        <v>29876</v>
      </c>
      <c r="J14787" s="10" t="str">
        <f>HYPERLINK("https://www.boe.es/gazeta/dias/1834/08/03/pdfs/GMD-C-1834-167.pdf#page=1","Abrir facsímil")</f>
        <v>Abrir facsímil</v>
      </c>
      <c r="K14787" s="10" t="s">
        <v>24</v>
      </c>
    </row>
    <row r="14788" spans="1:11" ht="54" customHeight="1">
      <c r="A14788" s="9" t="s">
        <v>29875</v>
      </c>
      <c r="B14788" s="9" t="s">
        <v>29875</v>
      </c>
      <c r="C14788" s="9" t="s">
        <v>17</v>
      </c>
      <c r="D14788" s="9" t="s">
        <v>18</v>
      </c>
      <c r="E14788" s="10" t="s">
        <v>3066</v>
      </c>
      <c r="F14788" s="9" t="s">
        <v>3067</v>
      </c>
      <c r="G14788" s="10" t="s">
        <v>21</v>
      </c>
      <c r="H14788" s="9" t="s">
        <v>22</v>
      </c>
      <c r="I14788" s="9" t="s">
        <v>29877</v>
      </c>
      <c r="J14788" s="10" t="str">
        <f>HYPERLINK("https://www.boe.es/gazeta/dias/1834/08/03/pdfs/GMD-C-1834-167.pdf#page=3","Abrir facsímil")</f>
        <v>Abrir facsímil</v>
      </c>
      <c r="K14788" s="10" t="s">
        <v>24</v>
      </c>
    </row>
    <row r="14789" spans="1:11" ht="54" customHeight="1">
      <c r="A14789" s="9" t="s">
        <v>29875</v>
      </c>
      <c r="B14789" s="9" t="s">
        <v>29875</v>
      </c>
      <c r="C14789" s="9" t="s">
        <v>17</v>
      </c>
      <c r="D14789" s="9" t="s">
        <v>40</v>
      </c>
      <c r="E14789" s="10" t="s">
        <v>571</v>
      </c>
      <c r="F14789" s="9" t="s">
        <v>620</v>
      </c>
      <c r="G14789" s="10" t="s">
        <v>176</v>
      </c>
      <c r="H14789" s="9" t="s">
        <v>22</v>
      </c>
      <c r="I14789" s="9" t="s">
        <v>29878</v>
      </c>
      <c r="J14789" s="10" t="str">
        <f>HYPERLINK("https://www.boe.es/gazeta/dias/1834/09/04/pdfs/GMD-C-1834-202.pdf#page=6","Abrir facsímil")</f>
        <v>Abrir facsímil</v>
      </c>
      <c r="K14789" s="10" t="s">
        <v>24</v>
      </c>
    </row>
    <row r="14790" spans="1:11" ht="54" customHeight="1">
      <c r="A14790" s="9" t="s">
        <v>29879</v>
      </c>
      <c r="B14790" s="9" t="s">
        <v>29879</v>
      </c>
      <c r="C14790" s="9" t="s">
        <v>17</v>
      </c>
      <c r="D14790" s="9" t="s">
        <v>40</v>
      </c>
      <c r="E14790" s="10" t="s">
        <v>571</v>
      </c>
      <c r="F14790" s="9" t="s">
        <v>620</v>
      </c>
      <c r="G14790" s="10" t="s">
        <v>470</v>
      </c>
      <c r="H14790" s="9" t="s">
        <v>22</v>
      </c>
      <c r="I14790" s="9" t="s">
        <v>29880</v>
      </c>
      <c r="J14790" s="10" t="str">
        <f>HYPERLINK("https://www.boe.es/gazeta/dias/1834/09/04/pdfs/GMD-C-1834-202.pdf#page=8","Abrir facsímil")</f>
        <v>Abrir facsímil</v>
      </c>
      <c r="K14790" s="10" t="s">
        <v>24</v>
      </c>
    </row>
    <row r="14791" spans="1:11" ht="54" customHeight="1">
      <c r="A14791" s="9" t="s">
        <v>29875</v>
      </c>
      <c r="B14791" s="9" t="s">
        <v>29875</v>
      </c>
      <c r="C14791" s="9" t="s">
        <v>17</v>
      </c>
      <c r="D14791" s="9" t="s">
        <v>18</v>
      </c>
      <c r="E14791" s="10" t="s">
        <v>73</v>
      </c>
      <c r="F14791" s="9" t="s">
        <v>1416</v>
      </c>
      <c r="G14791" s="10" t="s">
        <v>34</v>
      </c>
      <c r="H14791" s="9" t="s">
        <v>22</v>
      </c>
      <c r="I14791" s="9" t="s">
        <v>29881</v>
      </c>
      <c r="J14791" s="10" t="str">
        <f>HYPERLINK("https://www.boe.es/gazeta/dias/1834/11/04/pdfs/GMD-C-1834-263.pdf#page=1","Abrir facsímil")</f>
        <v>Abrir facsímil</v>
      </c>
      <c r="K14791" s="10" t="s">
        <v>24</v>
      </c>
    </row>
    <row r="14792" spans="1:11" ht="54" customHeight="1">
      <c r="A14792" s="9" t="s">
        <v>29879</v>
      </c>
      <c r="B14792" s="9" t="s">
        <v>29879</v>
      </c>
      <c r="C14792" s="9" t="s">
        <v>17</v>
      </c>
      <c r="D14792" s="9" t="s">
        <v>18</v>
      </c>
      <c r="E14792" s="10" t="s">
        <v>1340</v>
      </c>
      <c r="F14792" s="9" t="s">
        <v>1341</v>
      </c>
      <c r="G14792" s="10" t="s">
        <v>86</v>
      </c>
      <c r="H14792" s="9" t="s">
        <v>22</v>
      </c>
      <c r="I14792" s="9" t="s">
        <v>29882</v>
      </c>
      <c r="J14792" s="10" t="str">
        <f>HYPERLINK("https://www.boe.es/gazeta/dias/1834/10/05/pdfs/GMD-C-1834-233.pdf#page=2","Abrir facsímil")</f>
        <v>Abrir facsímil</v>
      </c>
      <c r="K14792" s="10" t="s">
        <v>24</v>
      </c>
    </row>
    <row r="14793" spans="1:11" ht="54" customHeight="1">
      <c r="A14793" s="9" t="s">
        <v>29879</v>
      </c>
      <c r="B14793" s="9" t="s">
        <v>29879</v>
      </c>
      <c r="C14793" s="9" t="s">
        <v>66</v>
      </c>
      <c r="D14793" s="9" t="s">
        <v>67</v>
      </c>
      <c r="E14793" s="10" t="s">
        <v>163</v>
      </c>
      <c r="F14793" s="9" t="s">
        <v>4896</v>
      </c>
      <c r="G14793" s="10" t="s">
        <v>86</v>
      </c>
      <c r="H14793" s="9" t="s">
        <v>22</v>
      </c>
      <c r="I14793" s="9" t="s">
        <v>29883</v>
      </c>
      <c r="J14793" s="10" t="str">
        <f>HYPERLINK("https://www.boe.es/gazeta/dias/1834/08/09/pdfs/GMD-C-1834-174.pdf#page=2","Abrir facsímil")</f>
        <v>Abrir facsímil</v>
      </c>
      <c r="K14793" s="10" t="s">
        <v>24</v>
      </c>
    </row>
    <row r="14794" spans="1:11" ht="54" customHeight="1">
      <c r="A14794" s="9" t="s">
        <v>29879</v>
      </c>
      <c r="B14794" s="9" t="s">
        <v>29879</v>
      </c>
      <c r="C14794" s="9" t="s">
        <v>17</v>
      </c>
      <c r="D14794" s="9" t="s">
        <v>101</v>
      </c>
      <c r="E14794" s="10" t="s">
        <v>679</v>
      </c>
      <c r="F14794" s="9" t="s">
        <v>699</v>
      </c>
      <c r="G14794" s="10" t="s">
        <v>34</v>
      </c>
      <c r="H14794" s="9" t="s">
        <v>22</v>
      </c>
      <c r="I14794" s="9" t="s">
        <v>29884</v>
      </c>
      <c r="J14794" s="10" t="str">
        <f>HYPERLINK("https://www.boe.es/gazeta/dias/1834/12/10/pdfs/GMD-C-1834-299.pdf#page=1","Abrir facsímil")</f>
        <v>Abrir facsímil</v>
      </c>
      <c r="K14794" s="10" t="s">
        <v>24</v>
      </c>
    </row>
    <row r="14795" spans="1:11" ht="54" customHeight="1">
      <c r="A14795" s="9" t="s">
        <v>29875</v>
      </c>
      <c r="B14795" s="9" t="s">
        <v>29875</v>
      </c>
      <c r="C14795" s="9" t="s">
        <v>66</v>
      </c>
      <c r="D14795" s="9" t="s">
        <v>101</v>
      </c>
      <c r="E14795" s="10" t="s">
        <v>1839</v>
      </c>
      <c r="F14795" s="9" t="s">
        <v>1840</v>
      </c>
      <c r="G14795" s="10" t="s">
        <v>34</v>
      </c>
      <c r="H14795" s="9" t="s">
        <v>22</v>
      </c>
      <c r="I14795" s="9" t="s">
        <v>29885</v>
      </c>
      <c r="J14795" s="10" t="str">
        <f>HYPERLINK("https://www.boe.es/gazeta/dias/1834/08/12/pdfs/GMD-C-1834-177.pdf#page=1","Abrir facsímil")</f>
        <v>Abrir facsímil</v>
      </c>
      <c r="K14795" s="10" t="s">
        <v>24</v>
      </c>
    </row>
    <row r="14796" spans="1:11" ht="54" customHeight="1">
      <c r="A14796" s="9" t="s">
        <v>29879</v>
      </c>
      <c r="B14796" s="9" t="s">
        <v>29879</v>
      </c>
      <c r="C14796" s="9" t="s">
        <v>17</v>
      </c>
      <c r="D14796" s="9" t="s">
        <v>18</v>
      </c>
      <c r="E14796" s="10" t="s">
        <v>1839</v>
      </c>
      <c r="F14796" s="9" t="s">
        <v>1840</v>
      </c>
      <c r="G14796" s="10" t="s">
        <v>86</v>
      </c>
      <c r="H14796" s="9" t="s">
        <v>22</v>
      </c>
      <c r="I14796" s="9" t="s">
        <v>29886</v>
      </c>
      <c r="J14796" s="10" t="str">
        <f>HYPERLINK("https://www.boe.es/gazeta/dias/1834/08/12/pdfs/GMD-C-1834-177.pdf#page=2","Abrir facsímil")</f>
        <v>Abrir facsímil</v>
      </c>
      <c r="K14796" s="10" t="s">
        <v>24</v>
      </c>
    </row>
    <row r="14797" spans="1:11" ht="54" customHeight="1">
      <c r="A14797" s="9" t="s">
        <v>29879</v>
      </c>
      <c r="B14797" s="9" t="s">
        <v>29879</v>
      </c>
      <c r="C14797" s="9" t="s">
        <v>17</v>
      </c>
      <c r="D14797" s="9" t="s">
        <v>18</v>
      </c>
      <c r="E14797" s="10" t="s">
        <v>1186</v>
      </c>
      <c r="F14797" s="9" t="s">
        <v>4286</v>
      </c>
      <c r="G14797" s="10" t="s">
        <v>86</v>
      </c>
      <c r="H14797" s="9" t="s">
        <v>22</v>
      </c>
      <c r="I14797" s="9" t="s">
        <v>29887</v>
      </c>
      <c r="J14797" s="10" t="str">
        <f>HYPERLINK("https://www.boe.es/gazeta/dias/1834/08/14/pdfs/GMD-C-1834-179.pdf#page=2","Abrir facsímil")</f>
        <v>Abrir facsímil</v>
      </c>
      <c r="K14797" s="10" t="s">
        <v>24</v>
      </c>
    </row>
    <row r="14798" spans="1:11" ht="54" customHeight="1">
      <c r="A14798" s="9" t="s">
        <v>29875</v>
      </c>
      <c r="B14798" s="9" t="s">
        <v>29875</v>
      </c>
      <c r="C14798" s="9" t="s">
        <v>17</v>
      </c>
      <c r="D14798" s="9" t="s">
        <v>18</v>
      </c>
      <c r="E14798" s="10" t="s">
        <v>448</v>
      </c>
      <c r="F14798" s="9" t="s">
        <v>449</v>
      </c>
      <c r="G14798" s="10" t="s">
        <v>34</v>
      </c>
      <c r="H14798" s="9" t="s">
        <v>22</v>
      </c>
      <c r="I14798" s="9" t="s">
        <v>29888</v>
      </c>
      <c r="J14798" s="10" t="str">
        <f>HYPERLINK("https://www.boe.es/gazeta/dias/1834/10/14/pdfs/GMD-C-1834-242.pdf#page=1","Abrir facsímil")</f>
        <v>Abrir facsímil</v>
      </c>
      <c r="K14798" s="10" t="s">
        <v>24</v>
      </c>
    </row>
    <row r="14799" spans="1:11" ht="54" customHeight="1">
      <c r="A14799" s="9" t="s">
        <v>29879</v>
      </c>
      <c r="B14799" s="9" t="s">
        <v>29879</v>
      </c>
      <c r="C14799" s="9" t="s">
        <v>17</v>
      </c>
      <c r="D14799" s="9" t="s">
        <v>18</v>
      </c>
      <c r="E14799" s="10" t="s">
        <v>2087</v>
      </c>
      <c r="F14799" s="9" t="s">
        <v>2267</v>
      </c>
      <c r="G14799" s="10" t="s">
        <v>34</v>
      </c>
      <c r="H14799" s="9" t="s">
        <v>22</v>
      </c>
      <c r="I14799" s="9" t="s">
        <v>29889</v>
      </c>
      <c r="J14799" s="10" t="str">
        <f>HYPERLINK("https://www.boe.es/gazeta/dias/1834/12/14/pdfs/GMD-C-1834-303.pdf#page=1","Abrir facsímil")</f>
        <v>Abrir facsímil</v>
      </c>
      <c r="K14799" s="10" t="s">
        <v>24</v>
      </c>
    </row>
    <row r="14800" spans="1:11" ht="54" customHeight="1">
      <c r="A14800" s="9" t="s">
        <v>29879</v>
      </c>
      <c r="B14800" s="9" t="s">
        <v>29879</v>
      </c>
      <c r="C14800" s="9" t="s">
        <v>66</v>
      </c>
      <c r="D14800" s="9" t="s">
        <v>67</v>
      </c>
      <c r="E14800" s="10" t="s">
        <v>2087</v>
      </c>
      <c r="F14800" s="9" t="s">
        <v>2267</v>
      </c>
      <c r="G14800" s="10" t="s">
        <v>86</v>
      </c>
      <c r="H14800" s="9" t="s">
        <v>22</v>
      </c>
      <c r="I14800" s="9" t="s">
        <v>29890</v>
      </c>
      <c r="J14800" s="10" t="str">
        <f>HYPERLINK("https://www.boe.es/gazeta/dias/1834/12/14/pdfs/GMD-C-1834-303.pdf#page=2","Abrir facsímil")</f>
        <v>Abrir facsímil</v>
      </c>
      <c r="K14800" s="10" t="s">
        <v>24</v>
      </c>
    </row>
    <row r="14801" spans="1:11" ht="54" customHeight="1">
      <c r="A14801" s="9" t="s">
        <v>29879</v>
      </c>
      <c r="B14801" s="9" t="s">
        <v>29879</v>
      </c>
      <c r="C14801" s="9" t="s">
        <v>46</v>
      </c>
      <c r="D14801" s="9" t="s">
        <v>101</v>
      </c>
      <c r="E14801" s="10" t="s">
        <v>19</v>
      </c>
      <c r="F14801" s="9" t="s">
        <v>20</v>
      </c>
      <c r="G14801" s="10" t="s">
        <v>34</v>
      </c>
      <c r="H14801" s="9" t="s">
        <v>22</v>
      </c>
      <c r="I14801" s="9" t="s">
        <v>29891</v>
      </c>
      <c r="J14801" s="10" t="str">
        <f>HYPERLINK("https://www.boe.es/gazeta/dias/1834/08/17/pdfs/GMD-D-1834-182.pdf#page=1","Abrir facsímil")</f>
        <v>Abrir facsímil</v>
      </c>
      <c r="K14801" s="10" t="s">
        <v>24</v>
      </c>
    </row>
    <row r="14802" spans="1:11" ht="54" customHeight="1">
      <c r="A14802" s="9" t="s">
        <v>29879</v>
      </c>
      <c r="B14802" s="9" t="s">
        <v>29879</v>
      </c>
      <c r="C14802" s="9" t="s">
        <v>17</v>
      </c>
      <c r="D14802" s="9" t="s">
        <v>18</v>
      </c>
      <c r="E14802" s="10" t="s">
        <v>615</v>
      </c>
      <c r="F14802" s="9" t="s">
        <v>1205</v>
      </c>
      <c r="G14802" s="10" t="s">
        <v>34</v>
      </c>
      <c r="H14802" s="9" t="s">
        <v>22</v>
      </c>
      <c r="I14802" s="9" t="s">
        <v>29892</v>
      </c>
      <c r="J14802" s="10" t="str">
        <f>HYPERLINK("https://www.boe.es/gazeta/dias/1834/08/19/pdfs/GMD-D-1834-185.pdf#page=1","Abrir facsímil")</f>
        <v>Abrir facsímil</v>
      </c>
      <c r="K14802" s="10" t="s">
        <v>24</v>
      </c>
    </row>
    <row r="14803" spans="1:11" ht="54" customHeight="1">
      <c r="A14803" s="9" t="s">
        <v>29879</v>
      </c>
      <c r="B14803" s="9" t="s">
        <v>29879</v>
      </c>
      <c r="C14803" s="9" t="s">
        <v>90</v>
      </c>
      <c r="D14803" s="9" t="s">
        <v>18</v>
      </c>
      <c r="E14803" s="10" t="s">
        <v>615</v>
      </c>
      <c r="F14803" s="9" t="s">
        <v>1205</v>
      </c>
      <c r="G14803" s="10" t="s">
        <v>86</v>
      </c>
      <c r="H14803" s="9" t="s">
        <v>22</v>
      </c>
      <c r="I14803" s="9" t="s">
        <v>29893</v>
      </c>
      <c r="J14803" s="10" t="str">
        <f>HYPERLINK("https://www.boe.es/gazeta/dias/1834/08/19/pdfs/GMD-D-1834-185.pdf#page=2","Abrir facsímil")</f>
        <v>Abrir facsímil</v>
      </c>
      <c r="K14803" s="10" t="s">
        <v>24</v>
      </c>
    </row>
    <row r="14804" spans="1:11" ht="54" customHeight="1">
      <c r="A14804" s="9" t="s">
        <v>29875</v>
      </c>
      <c r="B14804" s="9" t="s">
        <v>29875</v>
      </c>
      <c r="C14804" s="9" t="s">
        <v>17</v>
      </c>
      <c r="D14804" s="9" t="s">
        <v>18</v>
      </c>
      <c r="E14804" s="10" t="s">
        <v>26</v>
      </c>
      <c r="F14804" s="9" t="s">
        <v>27</v>
      </c>
      <c r="G14804" s="10" t="s">
        <v>75</v>
      </c>
      <c r="H14804" s="9" t="s">
        <v>22</v>
      </c>
      <c r="I14804" s="9" t="s">
        <v>29894</v>
      </c>
      <c r="J14804" s="10" t="str">
        <f>HYPERLINK("https://www.boe.es/gazeta/dias/1834/10/19/pdfs/GMD-C-1834-247.pdf#page=4","Abrir facsímil")</f>
        <v>Abrir facsímil</v>
      </c>
      <c r="K14804" s="10" t="s">
        <v>24</v>
      </c>
    </row>
    <row r="14805" spans="1:11" ht="54" customHeight="1">
      <c r="A14805" s="9" t="s">
        <v>29879</v>
      </c>
      <c r="B14805" s="9" t="s">
        <v>29879</v>
      </c>
      <c r="C14805" s="9" t="s">
        <v>17</v>
      </c>
      <c r="D14805" s="9" t="s">
        <v>18</v>
      </c>
      <c r="E14805" s="10" t="s">
        <v>375</v>
      </c>
      <c r="F14805" s="9" t="s">
        <v>4983</v>
      </c>
      <c r="G14805" s="10" t="s">
        <v>34</v>
      </c>
      <c r="H14805" s="9" t="s">
        <v>22</v>
      </c>
      <c r="I14805" s="9" t="s">
        <v>29895</v>
      </c>
      <c r="J14805" s="10" t="str">
        <f>HYPERLINK("https://www.boe.es/gazeta/dias/1834/08/21/pdfs/GMD-C-1834-187.pdf#page=1","Abrir facsímil")</f>
        <v>Abrir facsímil</v>
      </c>
      <c r="K14805" s="10" t="s">
        <v>24</v>
      </c>
    </row>
    <row r="14806" spans="1:11" ht="54" customHeight="1">
      <c r="A14806" s="9" t="s">
        <v>29875</v>
      </c>
      <c r="B14806" s="9" t="s">
        <v>29875</v>
      </c>
      <c r="C14806" s="9" t="s">
        <v>17</v>
      </c>
      <c r="D14806" s="9" t="s">
        <v>18</v>
      </c>
      <c r="E14806" s="10" t="s">
        <v>128</v>
      </c>
      <c r="F14806" s="9" t="s">
        <v>129</v>
      </c>
      <c r="G14806" s="10" t="s">
        <v>34</v>
      </c>
      <c r="H14806" s="9" t="s">
        <v>22</v>
      </c>
      <c r="I14806" s="9" t="s">
        <v>29896</v>
      </c>
      <c r="J14806" s="10" t="str">
        <f>HYPERLINK("https://www.boe.es/gazeta/dias/1834/12/24/pdfs/GMD-C-1834-314.pdf#page=1","Abrir facsímil")</f>
        <v>Abrir facsímil</v>
      </c>
      <c r="K14806" s="10" t="s">
        <v>24</v>
      </c>
    </row>
    <row r="14807" spans="1:11" ht="54" customHeight="1">
      <c r="A14807" s="9" t="s">
        <v>29879</v>
      </c>
      <c r="B14807" s="9" t="s">
        <v>29879</v>
      </c>
      <c r="C14807" s="9" t="s">
        <v>17</v>
      </c>
      <c r="D14807" s="9" t="s">
        <v>40</v>
      </c>
      <c r="E14807" s="10" t="s">
        <v>468</v>
      </c>
      <c r="F14807" s="9" t="s">
        <v>469</v>
      </c>
      <c r="G14807" s="10" t="s">
        <v>34</v>
      </c>
      <c r="H14807" s="9" t="s">
        <v>22</v>
      </c>
      <c r="I14807" s="9" t="s">
        <v>29897</v>
      </c>
      <c r="J14807" s="10" t="str">
        <f>HYPERLINK("https://www.boe.es/gazeta/dias/1834/12/28/pdfs/GMD-C-1834-318.pdf#page=1","Abrir facsímil")</f>
        <v>Abrir facsímil</v>
      </c>
      <c r="K14807" s="10" t="s">
        <v>24</v>
      </c>
    </row>
    <row r="14808" spans="1:11" ht="54" customHeight="1">
      <c r="A14808" s="9" t="s">
        <v>29875</v>
      </c>
      <c r="B14808" s="9" t="s">
        <v>29875</v>
      </c>
      <c r="C14808" s="9" t="s">
        <v>46</v>
      </c>
      <c r="D14808" s="9" t="s">
        <v>18</v>
      </c>
      <c r="E14808" s="10" t="s">
        <v>590</v>
      </c>
      <c r="F14808" s="9" t="s">
        <v>17808</v>
      </c>
      <c r="G14808" s="10" t="s">
        <v>34</v>
      </c>
      <c r="H14808" s="9" t="s">
        <v>22</v>
      </c>
      <c r="I14808" s="9" t="s">
        <v>29898</v>
      </c>
      <c r="J14808" s="10" t="str">
        <f>HYPERLINK("https://www.boe.es/gazeta/dias/1834/11/30/pdfs/GMD-C-1834-289.pdf#page=1","Abrir facsímil")</f>
        <v>Abrir facsímil</v>
      </c>
      <c r="K14808" s="10" t="s">
        <v>24</v>
      </c>
    </row>
    <row r="14809" spans="1:11" ht="54" customHeight="1">
      <c r="A14809" s="9" t="s">
        <v>29875</v>
      </c>
      <c r="B14809" s="9" t="s">
        <v>29875</v>
      </c>
      <c r="C14809" s="9" t="s">
        <v>90</v>
      </c>
      <c r="D14809" s="9" t="s">
        <v>18</v>
      </c>
      <c r="E14809" s="10" t="s">
        <v>273</v>
      </c>
      <c r="F14809" s="9" t="s">
        <v>274</v>
      </c>
      <c r="G14809" s="10" t="s">
        <v>34</v>
      </c>
      <c r="H14809" s="9" t="s">
        <v>22</v>
      </c>
      <c r="I14809" s="9" t="s">
        <v>29899</v>
      </c>
      <c r="J14809" s="10" t="str">
        <f>HYPERLINK("https://www.boe.es/gazeta/dias/1834/08/31/pdfs/GMD-D-1834-198.pdf#page=1","Abrir facsímil")</f>
        <v>Abrir facsímil</v>
      </c>
      <c r="K14809" s="10" t="s">
        <v>24</v>
      </c>
    </row>
    <row r="14810" spans="1:11" ht="54" customHeight="1">
      <c r="A14810" s="9" t="s">
        <v>29900</v>
      </c>
      <c r="B14810" s="9" t="s">
        <v>29901</v>
      </c>
      <c r="C14810" s="9" t="s">
        <v>90</v>
      </c>
      <c r="D14810" s="9" t="s">
        <v>101</v>
      </c>
      <c r="E14810" s="10" t="s">
        <v>1002</v>
      </c>
      <c r="F14810" s="9" t="s">
        <v>1003</v>
      </c>
      <c r="G14810" s="10" t="s">
        <v>34</v>
      </c>
      <c r="H14810" s="9" t="s">
        <v>22</v>
      </c>
      <c r="I14810" s="9" t="s">
        <v>29902</v>
      </c>
      <c r="J14810" s="10" t="str">
        <f>HYPERLINK("https://www.boe.es/gazeta/dias/1834/06/26/pdfs/GMD-1834-129.pdf#page=1","Abrir facsímil")</f>
        <v>Abrir facsímil</v>
      </c>
      <c r="K14810" s="10" t="s">
        <v>24</v>
      </c>
    </row>
    <row r="14811" spans="1:11" ht="54" customHeight="1">
      <c r="A14811" s="9" t="s">
        <v>29903</v>
      </c>
      <c r="B14811" s="9" t="s">
        <v>29903</v>
      </c>
      <c r="C14811" s="9" t="s">
        <v>17</v>
      </c>
      <c r="D14811" s="9" t="s">
        <v>18</v>
      </c>
      <c r="E14811" s="10" t="s">
        <v>294</v>
      </c>
      <c r="F14811" s="9" t="s">
        <v>959</v>
      </c>
      <c r="G14811" s="10" t="s">
        <v>75</v>
      </c>
      <c r="H14811" s="9" t="s">
        <v>22</v>
      </c>
      <c r="I14811" s="9" t="s">
        <v>29904</v>
      </c>
      <c r="J14811" s="10" t="str">
        <f>HYPERLINK("https://www.boe.es/gazeta/dias/1834/09/27/pdfs/GMD-C-1834-225.pdf#page=4","Abrir facsímil")</f>
        <v>Abrir facsímil</v>
      </c>
      <c r="K14811" s="10" t="s">
        <v>24</v>
      </c>
    </row>
    <row r="14812" spans="1:11" ht="54" customHeight="1">
      <c r="A14812" s="9" t="s">
        <v>29905</v>
      </c>
      <c r="B14812" s="9" t="s">
        <v>29905</v>
      </c>
      <c r="C14812" s="9" t="s">
        <v>17</v>
      </c>
      <c r="D14812" s="9" t="s">
        <v>18</v>
      </c>
      <c r="E14812" s="10" t="s">
        <v>627</v>
      </c>
      <c r="F14812" s="9" t="s">
        <v>628</v>
      </c>
      <c r="G14812" s="10" t="s">
        <v>75</v>
      </c>
      <c r="H14812" s="9" t="s">
        <v>22</v>
      </c>
      <c r="I14812" s="9" t="s">
        <v>29906</v>
      </c>
      <c r="J14812" s="10" t="str">
        <f>HYPERLINK("https://www.boe.es/gazeta/dias/1834/09/22/pdfs/GMD-C-1834-220.pdf#page=4","Abrir facsímil")</f>
        <v>Abrir facsímil</v>
      </c>
      <c r="K14812" s="10" t="s">
        <v>24</v>
      </c>
    </row>
    <row r="14813" spans="1:11" ht="54" customHeight="1">
      <c r="A14813" s="9" t="s">
        <v>29907</v>
      </c>
      <c r="B14813" s="9" t="s">
        <v>29907</v>
      </c>
      <c r="C14813" s="9" t="s">
        <v>17</v>
      </c>
      <c r="D14813" s="9" t="s">
        <v>18</v>
      </c>
      <c r="E14813" s="10" t="s">
        <v>762</v>
      </c>
      <c r="F14813" s="9" t="s">
        <v>2227</v>
      </c>
      <c r="G14813" s="10" t="s">
        <v>75</v>
      </c>
      <c r="H14813" s="9" t="s">
        <v>22</v>
      </c>
      <c r="I14813" s="9" t="s">
        <v>29908</v>
      </c>
      <c r="J14813" s="10" t="str">
        <f>HYPERLINK("https://www.boe.es/gazeta/dias/1834/11/07/pdfs/GMD-C-1834-266.pdf#page=4","Abrir facsímil")</f>
        <v>Abrir facsímil</v>
      </c>
      <c r="K14813" s="10" t="s">
        <v>24</v>
      </c>
    </row>
    <row r="14814" spans="1:11" ht="54" customHeight="1">
      <c r="A14814" s="9" t="s">
        <v>29907</v>
      </c>
      <c r="B14814" s="9" t="s">
        <v>29907</v>
      </c>
      <c r="C14814" s="9" t="s">
        <v>17</v>
      </c>
      <c r="D14814" s="9" t="s">
        <v>18</v>
      </c>
      <c r="E14814" s="10" t="s">
        <v>96</v>
      </c>
      <c r="F14814" s="9" t="s">
        <v>97</v>
      </c>
      <c r="G14814" s="10" t="s">
        <v>86</v>
      </c>
      <c r="H14814" s="9" t="s">
        <v>22</v>
      </c>
      <c r="I14814" s="9" t="s">
        <v>29909</v>
      </c>
      <c r="J14814" s="10" t="str">
        <f>HYPERLINK("https://www.boe.es/gazeta/dias/1834/11/11/pdfs/GMD-C-1834-270.pdf#page=2","Abrir facsímil")</f>
        <v>Abrir facsímil</v>
      </c>
      <c r="K14814" s="10" t="s">
        <v>24</v>
      </c>
    </row>
    <row r="14815" spans="1:11" ht="54" customHeight="1">
      <c r="A14815" s="9" t="s">
        <v>29907</v>
      </c>
      <c r="B14815" s="9" t="s">
        <v>29907</v>
      </c>
      <c r="C14815" s="9" t="s">
        <v>17</v>
      </c>
      <c r="D14815" s="9" t="s">
        <v>18</v>
      </c>
      <c r="E14815" s="10" t="s">
        <v>2260</v>
      </c>
      <c r="F14815" s="9" t="s">
        <v>2263</v>
      </c>
      <c r="G14815" s="10" t="s">
        <v>560</v>
      </c>
      <c r="H14815" s="9" t="s">
        <v>22</v>
      </c>
      <c r="I14815" s="9" t="s">
        <v>29910</v>
      </c>
      <c r="J14815" s="10" t="str">
        <f>HYPERLINK("https://www.boe.es/gazeta/dias/1834/11/13/pdfs/GMD-C-1834-272.pdf#page=7","Abrir facsímil")</f>
        <v>Abrir facsímil</v>
      </c>
      <c r="K14815" s="10" t="s">
        <v>24</v>
      </c>
    </row>
    <row r="14816" spans="1:11" ht="54" customHeight="1">
      <c r="A14816" s="9" t="s">
        <v>29907</v>
      </c>
      <c r="B14816" s="9" t="s">
        <v>29907</v>
      </c>
      <c r="C14816" s="9" t="s">
        <v>17</v>
      </c>
      <c r="D14816" s="9" t="s">
        <v>18</v>
      </c>
      <c r="E14816" s="10" t="s">
        <v>647</v>
      </c>
      <c r="F14816" s="9" t="s">
        <v>648</v>
      </c>
      <c r="G14816" s="10" t="s">
        <v>34</v>
      </c>
      <c r="H14816" s="9" t="s">
        <v>22</v>
      </c>
      <c r="I14816" s="9" t="s">
        <v>29911</v>
      </c>
      <c r="J14816" s="10" t="str">
        <f>HYPERLINK("https://www.boe.es/gazeta/dias/1834/10/21/pdfs/GMD-C-1834-249.pdf#page=1","Abrir facsímil")</f>
        <v>Abrir facsímil</v>
      </c>
      <c r="K14816" s="10" t="s">
        <v>24</v>
      </c>
    </row>
    <row r="14817" spans="1:11" ht="54" customHeight="1">
      <c r="A14817" s="9" t="s">
        <v>29907</v>
      </c>
      <c r="B14817" s="9" t="s">
        <v>29907</v>
      </c>
      <c r="C14817" s="9" t="s">
        <v>17</v>
      </c>
      <c r="D14817" s="9" t="s">
        <v>18</v>
      </c>
      <c r="E14817" s="10" t="s">
        <v>378</v>
      </c>
      <c r="F14817" s="9" t="s">
        <v>888</v>
      </c>
      <c r="G14817" s="10" t="s">
        <v>34</v>
      </c>
      <c r="H14817" s="9" t="s">
        <v>22</v>
      </c>
      <c r="I14817" s="9" t="s">
        <v>29912</v>
      </c>
      <c r="J14817" s="10" t="str">
        <f>HYPERLINK("https://www.boe.es/gazeta/dias/1834/09/24/pdfs/GMD-C-1834-222.pdf#page=1","Abrir facsímil")</f>
        <v>Abrir facsímil</v>
      </c>
      <c r="K14817" s="10" t="s">
        <v>24</v>
      </c>
    </row>
    <row r="14818" spans="1:11" ht="54" customHeight="1">
      <c r="A14818" s="9" t="s">
        <v>29913</v>
      </c>
      <c r="B14818" s="9" t="s">
        <v>29913</v>
      </c>
      <c r="C14818" s="9" t="s">
        <v>17</v>
      </c>
      <c r="D14818" s="9" t="s">
        <v>55</v>
      </c>
      <c r="E14818" s="10" t="s">
        <v>690</v>
      </c>
      <c r="F14818" s="9" t="s">
        <v>691</v>
      </c>
      <c r="G14818" s="10" t="s">
        <v>75</v>
      </c>
      <c r="H14818" s="9" t="s">
        <v>22</v>
      </c>
      <c r="I14818" s="9" t="s">
        <v>29914</v>
      </c>
      <c r="J14818" s="10" t="str">
        <f>HYPERLINK("https://www.boe.es/gazeta/dias/1834/09/03/pdfs/GMD-C-1834-201.pdf#page=4","Abrir facsímil")</f>
        <v>Abrir facsímil</v>
      </c>
      <c r="K14818" s="10" t="s">
        <v>24</v>
      </c>
    </row>
    <row r="14819" spans="1:11" ht="54" customHeight="1">
      <c r="A14819" s="9" t="s">
        <v>29913</v>
      </c>
      <c r="B14819" s="9" t="s">
        <v>29913</v>
      </c>
      <c r="C14819" s="9" t="s">
        <v>17</v>
      </c>
      <c r="D14819" s="9" t="s">
        <v>40</v>
      </c>
      <c r="E14819" s="10" t="s">
        <v>426</v>
      </c>
      <c r="F14819" s="9" t="s">
        <v>694</v>
      </c>
      <c r="G14819" s="10" t="s">
        <v>86</v>
      </c>
      <c r="H14819" s="9" t="s">
        <v>22</v>
      </c>
      <c r="I14819" s="9" t="s">
        <v>29915</v>
      </c>
      <c r="J14819" s="10" t="str">
        <f>HYPERLINK("https://www.boe.es/gazeta/dias/1834/10/04/pdfs/GMD-C-1834-232.pdf#page=2","Abrir facsímil")</f>
        <v>Abrir facsímil</v>
      </c>
      <c r="K14819" s="10" t="s">
        <v>24</v>
      </c>
    </row>
    <row r="14820" spans="1:11" ht="54" customHeight="1">
      <c r="A14820" s="9" t="s">
        <v>29913</v>
      </c>
      <c r="B14820" s="9" t="s">
        <v>29913</v>
      </c>
      <c r="C14820" s="9" t="s">
        <v>17</v>
      </c>
      <c r="D14820" s="9" t="s">
        <v>18</v>
      </c>
      <c r="E14820" s="10" t="s">
        <v>237</v>
      </c>
      <c r="F14820" s="9" t="s">
        <v>238</v>
      </c>
      <c r="G14820" s="10" t="s">
        <v>86</v>
      </c>
      <c r="H14820" s="9" t="s">
        <v>22</v>
      </c>
      <c r="I14820" s="9" t="s">
        <v>29916</v>
      </c>
      <c r="J14820" s="10" t="str">
        <f>HYPERLINK("https://www.boe.es/gazeta/dias/1834/08/15/pdfs/GMD-C-1834-180.pdf#page=2","Abrir facsímil")</f>
        <v>Abrir facsímil</v>
      </c>
      <c r="K14820" s="10" t="s">
        <v>24</v>
      </c>
    </row>
    <row r="14821" spans="1:11" ht="54" customHeight="1">
      <c r="A14821" s="9" t="s">
        <v>29913</v>
      </c>
      <c r="B14821" s="9" t="s">
        <v>29913</v>
      </c>
      <c r="C14821" s="9" t="s">
        <v>17</v>
      </c>
      <c r="D14821" s="9" t="s">
        <v>55</v>
      </c>
      <c r="E14821" s="10" t="s">
        <v>1195</v>
      </c>
      <c r="F14821" s="9" t="s">
        <v>1196</v>
      </c>
      <c r="G14821" s="10" t="s">
        <v>560</v>
      </c>
      <c r="H14821" s="9" t="s">
        <v>22</v>
      </c>
      <c r="I14821" s="9" t="s">
        <v>29917</v>
      </c>
      <c r="J14821" s="10" t="str">
        <f>HYPERLINK("https://www.boe.es/gazeta/dias/1834/10/17/pdfs/GMD-C-1834-245.pdf#page=7","Abrir facsímil")</f>
        <v>Abrir facsímil</v>
      </c>
      <c r="K14821" s="10" t="s">
        <v>24</v>
      </c>
    </row>
    <row r="14822" spans="1:11" ht="54" customHeight="1">
      <c r="A14822" s="9" t="s">
        <v>29913</v>
      </c>
      <c r="B14822" s="9" t="s">
        <v>29913</v>
      </c>
      <c r="C14822" s="9" t="s">
        <v>90</v>
      </c>
      <c r="D14822" s="9" t="s">
        <v>101</v>
      </c>
      <c r="E14822" s="10" t="s">
        <v>403</v>
      </c>
      <c r="F14822" s="9" t="s">
        <v>404</v>
      </c>
      <c r="G14822" s="10" t="s">
        <v>34</v>
      </c>
      <c r="H14822" s="9" t="s">
        <v>22</v>
      </c>
      <c r="I14822" s="9" t="s">
        <v>29918</v>
      </c>
      <c r="J14822" s="10" t="str">
        <f>HYPERLINK("https://www.boe.es/gazeta/dias/1834/09/25/pdfs/GMD-C-1834-223.pdf#page=1","Abrir facsímil")</f>
        <v>Abrir facsímil</v>
      </c>
      <c r="K14822" s="10" t="s">
        <v>24</v>
      </c>
    </row>
    <row r="14823" spans="1:11" ht="54" customHeight="1">
      <c r="A14823" s="9" t="s">
        <v>29919</v>
      </c>
      <c r="B14823" s="9" t="s">
        <v>29919</v>
      </c>
      <c r="C14823" s="9" t="s">
        <v>90</v>
      </c>
      <c r="D14823" s="9" t="s">
        <v>40</v>
      </c>
      <c r="E14823" s="10" t="s">
        <v>255</v>
      </c>
      <c r="F14823" s="9" t="s">
        <v>256</v>
      </c>
      <c r="G14823" s="10" t="s">
        <v>34</v>
      </c>
      <c r="H14823" s="9" t="s">
        <v>22</v>
      </c>
      <c r="I14823" s="9" t="s">
        <v>29920</v>
      </c>
      <c r="J14823" s="10" t="str">
        <f>HYPERLINK("https://www.boe.es/gazeta/dias/1834/09/01/pdfs/GMD-D-1834-199.pdf#page=1","Abrir facsímil")</f>
        <v>Abrir facsímil</v>
      </c>
      <c r="K14823" s="10" t="s">
        <v>24</v>
      </c>
    </row>
    <row r="14824" spans="1:11" ht="54" customHeight="1">
      <c r="A14824" s="9" t="s">
        <v>29919</v>
      </c>
      <c r="B14824" s="9" t="s">
        <v>29919</v>
      </c>
      <c r="C14824" s="9" t="s">
        <v>17</v>
      </c>
      <c r="D14824" s="9" t="s">
        <v>18</v>
      </c>
      <c r="E14824" s="10" t="s">
        <v>255</v>
      </c>
      <c r="F14824" s="9" t="s">
        <v>256</v>
      </c>
      <c r="G14824" s="10" t="s">
        <v>86</v>
      </c>
      <c r="H14824" s="9" t="s">
        <v>22</v>
      </c>
      <c r="I14824" s="9" t="s">
        <v>29921</v>
      </c>
      <c r="J14824" s="10" t="str">
        <f>HYPERLINK("https://www.boe.es/gazeta/dias/1834/09/01/pdfs/GMD-D-1834-199.pdf#page=2","Abrir facsímil")</f>
        <v>Abrir facsímil</v>
      </c>
      <c r="K14824" s="10" t="s">
        <v>24</v>
      </c>
    </row>
    <row r="14825" spans="1:11" ht="54" customHeight="1">
      <c r="A14825" s="9" t="s">
        <v>29919</v>
      </c>
      <c r="B14825" s="9" t="s">
        <v>29919</v>
      </c>
      <c r="C14825" s="9" t="s">
        <v>17</v>
      </c>
      <c r="D14825" s="9" t="s">
        <v>18</v>
      </c>
      <c r="E14825" s="10" t="s">
        <v>255</v>
      </c>
      <c r="F14825" s="9" t="s">
        <v>256</v>
      </c>
      <c r="G14825" s="10" t="s">
        <v>21</v>
      </c>
      <c r="H14825" s="9" t="s">
        <v>22</v>
      </c>
      <c r="I14825" s="9" t="s">
        <v>29922</v>
      </c>
      <c r="J14825" s="10" t="str">
        <f>HYPERLINK("https://www.boe.es/gazeta/dias/1834/09/01/pdfs/GMD-D-1834-199.pdf#page=3","Abrir facsímil")</f>
        <v>Abrir facsímil</v>
      </c>
      <c r="K14825" s="10" t="s">
        <v>24</v>
      </c>
    </row>
    <row r="14826" spans="1:11" ht="54" customHeight="1">
      <c r="A14826" s="9" t="s">
        <v>29919</v>
      </c>
      <c r="B14826" s="9" t="s">
        <v>29919</v>
      </c>
      <c r="C14826" s="9" t="s">
        <v>46</v>
      </c>
      <c r="D14826" s="9" t="s">
        <v>18</v>
      </c>
      <c r="E14826" s="10" t="s">
        <v>158</v>
      </c>
      <c r="F14826" s="9" t="s">
        <v>581</v>
      </c>
      <c r="G14826" s="10" t="s">
        <v>28</v>
      </c>
      <c r="H14826" s="9" t="s">
        <v>22</v>
      </c>
      <c r="I14826" s="9" t="s">
        <v>29923</v>
      </c>
      <c r="J14826" s="10" t="str">
        <f>HYPERLINK("https://www.boe.es/gazeta/dias/1834/10/01/pdfs/GMD-C-1834-229.pdf#page=5","Abrir facsímil")</f>
        <v>Abrir facsímil</v>
      </c>
      <c r="K14826" s="10" t="s">
        <v>24</v>
      </c>
    </row>
    <row r="14827" spans="1:11" ht="54" customHeight="1">
      <c r="A14827" s="9" t="s">
        <v>29919</v>
      </c>
      <c r="B14827" s="9" t="s">
        <v>29919</v>
      </c>
      <c r="C14827" s="9" t="s">
        <v>17</v>
      </c>
      <c r="D14827" s="9" t="s">
        <v>18</v>
      </c>
      <c r="E14827" s="10" t="s">
        <v>905</v>
      </c>
      <c r="F14827" s="9" t="s">
        <v>906</v>
      </c>
      <c r="G14827" s="10" t="s">
        <v>86</v>
      </c>
      <c r="H14827" s="9" t="s">
        <v>22</v>
      </c>
      <c r="I14827" s="9" t="s">
        <v>29924</v>
      </c>
      <c r="J14827" s="10" t="str">
        <f>HYPERLINK("https://www.boe.es/gazeta/dias/1834/08/02/pdfs/GMD-C-1834-166.pdf#page=2","Abrir facsímil")</f>
        <v>Abrir facsímil</v>
      </c>
      <c r="K14827" s="10" t="s">
        <v>24</v>
      </c>
    </row>
    <row r="14828" spans="1:11" ht="54" customHeight="1">
      <c r="A14828" s="9" t="s">
        <v>29919</v>
      </c>
      <c r="B14828" s="9" t="s">
        <v>29919</v>
      </c>
      <c r="C14828" s="9" t="s">
        <v>46</v>
      </c>
      <c r="D14828" s="9" t="s">
        <v>101</v>
      </c>
      <c r="E14828" s="10" t="s">
        <v>4105</v>
      </c>
      <c r="F14828" s="9" t="s">
        <v>4106</v>
      </c>
      <c r="G14828" s="10" t="s">
        <v>75</v>
      </c>
      <c r="H14828" s="9" t="s">
        <v>22</v>
      </c>
      <c r="I14828" s="9" t="s">
        <v>29925</v>
      </c>
      <c r="J14828" s="10" t="str">
        <f>HYPERLINK("https://www.boe.es/gazeta/dias/1834/09/02/pdfs/GMD-C-1834-200.pdf#page=4","Abrir facsímil")</f>
        <v>Abrir facsímil</v>
      </c>
      <c r="K14828" s="10" t="s">
        <v>24</v>
      </c>
    </row>
    <row r="14829" spans="1:11" ht="54" customHeight="1">
      <c r="A14829" s="9" t="s">
        <v>29919</v>
      </c>
      <c r="B14829" s="9" t="s">
        <v>29919</v>
      </c>
      <c r="C14829" s="9" t="s">
        <v>17</v>
      </c>
      <c r="D14829" s="9" t="s">
        <v>18</v>
      </c>
      <c r="E14829" s="10" t="s">
        <v>416</v>
      </c>
      <c r="F14829" s="9" t="s">
        <v>417</v>
      </c>
      <c r="G14829" s="10" t="s">
        <v>34</v>
      </c>
      <c r="H14829" s="9" t="s">
        <v>22</v>
      </c>
      <c r="I14829" s="9" t="s">
        <v>29926</v>
      </c>
      <c r="J14829" s="10" t="str">
        <f>HYPERLINK("https://www.boe.es/gazeta/dias/1834/10/02/pdfs/GMD-C-1834-230.pdf#page=1","Abrir facsímil")</f>
        <v>Abrir facsímil</v>
      </c>
      <c r="K14829" s="10" t="s">
        <v>24</v>
      </c>
    </row>
    <row r="14830" spans="1:11" ht="54" customHeight="1">
      <c r="A14830" s="9" t="s">
        <v>29919</v>
      </c>
      <c r="B14830" s="9" t="s">
        <v>29919</v>
      </c>
      <c r="C14830" s="9" t="s">
        <v>46</v>
      </c>
      <c r="D14830" s="9" t="s">
        <v>101</v>
      </c>
      <c r="E14830" s="10" t="s">
        <v>416</v>
      </c>
      <c r="F14830" s="9" t="s">
        <v>417</v>
      </c>
      <c r="G14830" s="10" t="s">
        <v>86</v>
      </c>
      <c r="H14830" s="9" t="s">
        <v>22</v>
      </c>
      <c r="I14830" s="9" t="s">
        <v>29927</v>
      </c>
      <c r="J14830" s="10" t="str">
        <f>HYPERLINK("https://www.boe.es/gazeta/dias/1834/10/02/pdfs/GMD-C-1834-230.pdf#page=2","Abrir facsímil")</f>
        <v>Abrir facsímil</v>
      </c>
      <c r="K14830" s="10" t="s">
        <v>24</v>
      </c>
    </row>
    <row r="14831" spans="1:11" ht="54" customHeight="1">
      <c r="A14831" s="9" t="s">
        <v>29919</v>
      </c>
      <c r="B14831" s="9" t="s">
        <v>29919</v>
      </c>
      <c r="C14831" s="9" t="s">
        <v>66</v>
      </c>
      <c r="D14831" s="9" t="s">
        <v>67</v>
      </c>
      <c r="E14831" s="10" t="s">
        <v>416</v>
      </c>
      <c r="F14831" s="9" t="s">
        <v>417</v>
      </c>
      <c r="G14831" s="10" t="s">
        <v>28</v>
      </c>
      <c r="H14831" s="9" t="s">
        <v>22</v>
      </c>
      <c r="I14831" s="9" t="s">
        <v>29928</v>
      </c>
      <c r="J14831" s="10" t="str">
        <f>HYPERLINK("https://www.boe.es/gazeta/dias/1834/10/02/pdfs/GMD-C-1834-230.pdf#page=5","Abrir facsímil")</f>
        <v>Abrir facsímil</v>
      </c>
      <c r="K14831" s="10" t="s">
        <v>24</v>
      </c>
    </row>
    <row r="14832" spans="1:11" ht="54" customHeight="1">
      <c r="A14832" s="9" t="s">
        <v>29919</v>
      </c>
      <c r="B14832" s="9" t="s">
        <v>29919</v>
      </c>
      <c r="C14832" s="9" t="s">
        <v>17</v>
      </c>
      <c r="D14832" s="9" t="s">
        <v>18</v>
      </c>
      <c r="E14832" s="10" t="s">
        <v>690</v>
      </c>
      <c r="F14832" s="9" t="s">
        <v>691</v>
      </c>
      <c r="G14832" s="10" t="s">
        <v>34</v>
      </c>
      <c r="H14832" s="9" t="s">
        <v>22</v>
      </c>
      <c r="I14832" s="9" t="s">
        <v>29929</v>
      </c>
      <c r="J14832" s="10" t="str">
        <f>HYPERLINK("https://www.boe.es/gazeta/dias/1834/09/03/pdfs/GMD-C-1834-201.pdf#page=1","Abrir facsímil")</f>
        <v>Abrir facsímil</v>
      </c>
      <c r="K14832" s="10" t="s">
        <v>24</v>
      </c>
    </row>
    <row r="14833" spans="1:11" ht="54" customHeight="1">
      <c r="A14833" s="9" t="s">
        <v>29919</v>
      </c>
      <c r="B14833" s="9" t="s">
        <v>29919</v>
      </c>
      <c r="C14833" s="9" t="s">
        <v>17</v>
      </c>
      <c r="D14833" s="9" t="s">
        <v>55</v>
      </c>
      <c r="E14833" s="10" t="s">
        <v>690</v>
      </c>
      <c r="F14833" s="9" t="s">
        <v>691</v>
      </c>
      <c r="G14833" s="10" t="s">
        <v>21</v>
      </c>
      <c r="H14833" s="9" t="s">
        <v>22</v>
      </c>
      <c r="I14833" s="9" t="s">
        <v>29930</v>
      </c>
      <c r="J14833" s="10" t="str">
        <f>HYPERLINK("https://www.boe.es/gazeta/dias/1834/09/03/pdfs/GMD-C-1834-201.pdf#page=3","Abrir facsímil")</f>
        <v>Abrir facsímil</v>
      </c>
      <c r="K14833" s="10" t="s">
        <v>24</v>
      </c>
    </row>
    <row r="14834" spans="1:11" ht="54" customHeight="1">
      <c r="A14834" s="9" t="s">
        <v>29919</v>
      </c>
      <c r="B14834" s="9" t="s">
        <v>29919</v>
      </c>
      <c r="C14834" s="9" t="s">
        <v>90</v>
      </c>
      <c r="D14834" s="9" t="s">
        <v>18</v>
      </c>
      <c r="E14834" s="10" t="s">
        <v>690</v>
      </c>
      <c r="F14834" s="9" t="s">
        <v>691</v>
      </c>
      <c r="G14834" s="10" t="s">
        <v>75</v>
      </c>
      <c r="H14834" s="9" t="s">
        <v>22</v>
      </c>
      <c r="I14834" s="9" t="s">
        <v>29931</v>
      </c>
      <c r="J14834" s="10" t="str">
        <f>HYPERLINK("https://www.boe.es/gazeta/dias/1834/09/03/pdfs/GMD-C-1834-201.pdf#page=4","Abrir facsímil")</f>
        <v>Abrir facsímil</v>
      </c>
      <c r="K14834" s="10" t="s">
        <v>24</v>
      </c>
    </row>
    <row r="14835" spans="1:11" ht="54" customHeight="1">
      <c r="A14835" s="9" t="s">
        <v>29919</v>
      </c>
      <c r="B14835" s="9" t="s">
        <v>29919</v>
      </c>
      <c r="C14835" s="9" t="s">
        <v>17</v>
      </c>
      <c r="D14835" s="9" t="s">
        <v>18</v>
      </c>
      <c r="E14835" s="10" t="s">
        <v>690</v>
      </c>
      <c r="F14835" s="9" t="s">
        <v>691</v>
      </c>
      <c r="G14835" s="10" t="s">
        <v>28</v>
      </c>
      <c r="H14835" s="9" t="s">
        <v>22</v>
      </c>
      <c r="I14835" s="9" t="s">
        <v>29932</v>
      </c>
      <c r="J14835" s="10" t="str">
        <f>HYPERLINK("https://www.boe.es/gazeta/dias/1834/09/03/pdfs/GMD-C-1834-201.pdf#page=5","Abrir facsímil")</f>
        <v>Abrir facsímil</v>
      </c>
      <c r="K14835" s="10" t="s">
        <v>24</v>
      </c>
    </row>
    <row r="14836" spans="1:11" ht="54" customHeight="1">
      <c r="A14836" s="9" t="s">
        <v>29919</v>
      </c>
      <c r="B14836" s="9" t="s">
        <v>29919</v>
      </c>
      <c r="C14836" s="9" t="s">
        <v>17</v>
      </c>
      <c r="D14836" s="9" t="s">
        <v>18</v>
      </c>
      <c r="E14836" s="10" t="s">
        <v>690</v>
      </c>
      <c r="F14836" s="9" t="s">
        <v>691</v>
      </c>
      <c r="G14836" s="10" t="s">
        <v>176</v>
      </c>
      <c r="H14836" s="9" t="s">
        <v>22</v>
      </c>
      <c r="I14836" s="9" t="s">
        <v>29933</v>
      </c>
      <c r="J14836" s="10" t="str">
        <f>HYPERLINK("https://www.boe.es/gazeta/dias/1834/09/03/pdfs/GMD-C-1834-201.pdf#page=6","Abrir facsímil")</f>
        <v>Abrir facsímil</v>
      </c>
      <c r="K14836" s="10" t="s">
        <v>24</v>
      </c>
    </row>
    <row r="14837" spans="1:11" ht="54" customHeight="1">
      <c r="A14837" s="9" t="s">
        <v>29919</v>
      </c>
      <c r="B14837" s="9" t="s">
        <v>29919</v>
      </c>
      <c r="C14837" s="9" t="s">
        <v>17</v>
      </c>
      <c r="D14837" s="9" t="s">
        <v>18</v>
      </c>
      <c r="E14837" s="10" t="s">
        <v>690</v>
      </c>
      <c r="F14837" s="9" t="s">
        <v>691</v>
      </c>
      <c r="G14837" s="10" t="s">
        <v>560</v>
      </c>
      <c r="H14837" s="9" t="s">
        <v>22</v>
      </c>
      <c r="I14837" s="9" t="s">
        <v>29934</v>
      </c>
      <c r="J14837" s="10" t="str">
        <f>HYPERLINK("https://www.boe.es/gazeta/dias/1834/09/03/pdfs/GMD-C-1834-201.pdf#page=7","Abrir facsímil")</f>
        <v>Abrir facsímil</v>
      </c>
      <c r="K14837" s="10" t="s">
        <v>24</v>
      </c>
    </row>
    <row r="14838" spans="1:11" ht="54" customHeight="1">
      <c r="A14838" s="9" t="s">
        <v>29919</v>
      </c>
      <c r="B14838" s="9" t="s">
        <v>29919</v>
      </c>
      <c r="C14838" s="9" t="s">
        <v>46</v>
      </c>
      <c r="D14838" s="9" t="s">
        <v>18</v>
      </c>
      <c r="E14838" s="10" t="s">
        <v>2212</v>
      </c>
      <c r="F14838" s="9" t="s">
        <v>2213</v>
      </c>
      <c r="G14838" s="10" t="s">
        <v>34</v>
      </c>
      <c r="H14838" s="9" t="s">
        <v>22</v>
      </c>
      <c r="I14838" s="9" t="s">
        <v>29935</v>
      </c>
      <c r="J14838" s="10" t="str">
        <f>HYPERLINK("https://www.boe.es/gazeta/dias/1834/08/04/pdfs/GMD-C-1834-168.pdf#page=1","Abrir facsímil")</f>
        <v>Abrir facsímil</v>
      </c>
      <c r="K14838" s="10" t="s">
        <v>24</v>
      </c>
    </row>
    <row r="14839" spans="1:11" ht="54" customHeight="1">
      <c r="A14839" s="9" t="s">
        <v>29919</v>
      </c>
      <c r="B14839" s="9" t="s">
        <v>29919</v>
      </c>
      <c r="C14839" s="9" t="s">
        <v>17</v>
      </c>
      <c r="D14839" s="9" t="s">
        <v>18</v>
      </c>
      <c r="E14839" s="10" t="s">
        <v>2212</v>
      </c>
      <c r="F14839" s="9" t="s">
        <v>2213</v>
      </c>
      <c r="G14839" s="10" t="s">
        <v>28</v>
      </c>
      <c r="H14839" s="9" t="s">
        <v>22</v>
      </c>
      <c r="I14839" s="9" t="s">
        <v>29936</v>
      </c>
      <c r="J14839" s="10" t="str">
        <f>HYPERLINK("https://www.boe.es/gazeta/dias/1834/08/04/pdfs/GMD-C-1834-168.pdf#page=5","Abrir facsímil")</f>
        <v>Abrir facsímil</v>
      </c>
      <c r="K14839" s="10" t="s">
        <v>24</v>
      </c>
    </row>
    <row r="14840" spans="1:11" ht="54" customHeight="1">
      <c r="A14840" s="9" t="s">
        <v>29919</v>
      </c>
      <c r="B14840" s="9" t="s">
        <v>29919</v>
      </c>
      <c r="C14840" s="9" t="s">
        <v>17</v>
      </c>
      <c r="D14840" s="9" t="s">
        <v>18</v>
      </c>
      <c r="E14840" s="10" t="s">
        <v>426</v>
      </c>
      <c r="F14840" s="9" t="s">
        <v>694</v>
      </c>
      <c r="G14840" s="10" t="s">
        <v>86</v>
      </c>
      <c r="H14840" s="9" t="s">
        <v>22</v>
      </c>
      <c r="I14840" s="9" t="s">
        <v>29937</v>
      </c>
      <c r="J14840" s="10" t="str">
        <f>HYPERLINK("https://www.boe.es/gazeta/dias/1834/10/04/pdfs/GMD-C-1834-232.pdf#page=2","Abrir facsímil")</f>
        <v>Abrir facsímil</v>
      </c>
      <c r="K14840" s="10" t="s">
        <v>24</v>
      </c>
    </row>
    <row r="14841" spans="1:11" ht="54" customHeight="1">
      <c r="A14841" s="9" t="s">
        <v>29919</v>
      </c>
      <c r="B14841" s="9" t="s">
        <v>29919</v>
      </c>
      <c r="C14841" s="9" t="s">
        <v>17</v>
      </c>
      <c r="D14841" s="9" t="s">
        <v>18</v>
      </c>
      <c r="E14841" s="10" t="s">
        <v>426</v>
      </c>
      <c r="F14841" s="9" t="s">
        <v>694</v>
      </c>
      <c r="G14841" s="10" t="s">
        <v>176</v>
      </c>
      <c r="H14841" s="9" t="s">
        <v>22</v>
      </c>
      <c r="I14841" s="9" t="s">
        <v>29938</v>
      </c>
      <c r="J14841" s="10" t="str">
        <f>HYPERLINK("https://www.boe.es/gazeta/dias/1834/10/04/pdfs/GMD-C-1834-232.pdf#page=6","Abrir facsímil")</f>
        <v>Abrir facsímil</v>
      </c>
      <c r="K14841" s="10" t="s">
        <v>24</v>
      </c>
    </row>
    <row r="14842" spans="1:11" ht="54" customHeight="1">
      <c r="A14842" s="9" t="s">
        <v>29919</v>
      </c>
      <c r="B14842" s="9" t="s">
        <v>29919</v>
      </c>
      <c r="C14842" s="9" t="s">
        <v>46</v>
      </c>
      <c r="D14842" s="9" t="s">
        <v>101</v>
      </c>
      <c r="E14842" s="10" t="s">
        <v>73</v>
      </c>
      <c r="F14842" s="9" t="s">
        <v>1416</v>
      </c>
      <c r="G14842" s="10" t="s">
        <v>86</v>
      </c>
      <c r="H14842" s="9" t="s">
        <v>22</v>
      </c>
      <c r="I14842" s="9" t="s">
        <v>29939</v>
      </c>
      <c r="J14842" s="10" t="str">
        <f>HYPERLINK("https://www.boe.es/gazeta/dias/1834/11/04/pdfs/GMD-C-1834-263.pdf#page=2","Abrir facsímil")</f>
        <v>Abrir facsímil</v>
      </c>
      <c r="K14842" s="10" t="s">
        <v>24</v>
      </c>
    </row>
    <row r="14843" spans="1:11" ht="54" customHeight="1">
      <c r="A14843" s="9" t="s">
        <v>29919</v>
      </c>
      <c r="B14843" s="9" t="s">
        <v>29919</v>
      </c>
      <c r="C14843" s="9" t="s">
        <v>17</v>
      </c>
      <c r="D14843" s="9" t="s">
        <v>18</v>
      </c>
      <c r="E14843" s="10" t="s">
        <v>47</v>
      </c>
      <c r="F14843" s="9" t="s">
        <v>48</v>
      </c>
      <c r="G14843" s="10" t="s">
        <v>34</v>
      </c>
      <c r="H14843" s="9" t="s">
        <v>22</v>
      </c>
      <c r="I14843" s="9" t="s">
        <v>29940</v>
      </c>
      <c r="J14843" s="10" t="str">
        <f>HYPERLINK("https://www.boe.es/gazeta/dias/1834/09/05/pdfs/GMD-C-1834-203.pdf#page=1","Abrir facsímil")</f>
        <v>Abrir facsímil</v>
      </c>
      <c r="K14843" s="10" t="s">
        <v>24</v>
      </c>
    </row>
    <row r="14844" spans="1:11" ht="54" customHeight="1">
      <c r="A14844" s="9" t="s">
        <v>29919</v>
      </c>
      <c r="B14844" s="9" t="s">
        <v>29919</v>
      </c>
      <c r="C14844" s="9" t="s">
        <v>17</v>
      </c>
      <c r="D14844" s="9" t="s">
        <v>18</v>
      </c>
      <c r="E14844" s="10" t="s">
        <v>47</v>
      </c>
      <c r="F14844" s="9" t="s">
        <v>48</v>
      </c>
      <c r="G14844" s="10" t="s">
        <v>86</v>
      </c>
      <c r="H14844" s="9" t="s">
        <v>22</v>
      </c>
      <c r="I14844" s="9" t="s">
        <v>29941</v>
      </c>
      <c r="J14844" s="10" t="str">
        <f>HYPERLINK("https://www.boe.es/gazeta/dias/1834/09/05/pdfs/GMD-C-1834-203.pdf#page=2","Abrir facsímil")</f>
        <v>Abrir facsímil</v>
      </c>
      <c r="K14844" s="10" t="s">
        <v>24</v>
      </c>
    </row>
    <row r="14845" spans="1:11" ht="54" customHeight="1">
      <c r="A14845" s="9" t="s">
        <v>29919</v>
      </c>
      <c r="B14845" s="9" t="s">
        <v>29919</v>
      </c>
      <c r="C14845" s="9" t="s">
        <v>17</v>
      </c>
      <c r="D14845" s="9" t="s">
        <v>18</v>
      </c>
      <c r="E14845" s="10" t="s">
        <v>47</v>
      </c>
      <c r="F14845" s="9" t="s">
        <v>48</v>
      </c>
      <c r="G14845" s="10" t="s">
        <v>21</v>
      </c>
      <c r="H14845" s="9" t="s">
        <v>22</v>
      </c>
      <c r="I14845" s="9" t="s">
        <v>29942</v>
      </c>
      <c r="J14845" s="10" t="str">
        <f>HYPERLINK("https://www.boe.es/gazeta/dias/1834/09/05/pdfs/GMD-C-1834-203.pdf#page=3","Abrir facsímil")</f>
        <v>Abrir facsímil</v>
      </c>
      <c r="K14845" s="10" t="s">
        <v>24</v>
      </c>
    </row>
    <row r="14846" spans="1:11" ht="54" customHeight="1">
      <c r="A14846" s="9" t="s">
        <v>29919</v>
      </c>
      <c r="B14846" s="9" t="s">
        <v>29919</v>
      </c>
      <c r="C14846" s="9" t="s">
        <v>46</v>
      </c>
      <c r="D14846" s="9" t="s">
        <v>101</v>
      </c>
      <c r="E14846" s="10" t="s">
        <v>47</v>
      </c>
      <c r="F14846" s="9" t="s">
        <v>48</v>
      </c>
      <c r="G14846" s="10" t="s">
        <v>75</v>
      </c>
      <c r="H14846" s="9" t="s">
        <v>22</v>
      </c>
      <c r="I14846" s="9" t="s">
        <v>29943</v>
      </c>
      <c r="J14846" s="10" t="str">
        <f>HYPERLINK("https://www.boe.es/gazeta/dias/1834/09/05/pdfs/GMD-C-1834-203.pdf#page=4","Abrir facsímil")</f>
        <v>Abrir facsímil</v>
      </c>
      <c r="K14846" s="10" t="s">
        <v>24</v>
      </c>
    </row>
    <row r="14847" spans="1:11" ht="54" customHeight="1">
      <c r="A14847" s="9" t="s">
        <v>29919</v>
      </c>
      <c r="B14847" s="9" t="s">
        <v>29919</v>
      </c>
      <c r="C14847" s="9" t="s">
        <v>17</v>
      </c>
      <c r="D14847" s="9" t="s">
        <v>18</v>
      </c>
      <c r="E14847" s="10" t="s">
        <v>1340</v>
      </c>
      <c r="F14847" s="9" t="s">
        <v>1341</v>
      </c>
      <c r="G14847" s="10" t="s">
        <v>75</v>
      </c>
      <c r="H14847" s="9" t="s">
        <v>22</v>
      </c>
      <c r="I14847" s="9" t="s">
        <v>29944</v>
      </c>
      <c r="J14847" s="10" t="str">
        <f>HYPERLINK("https://www.boe.es/gazeta/dias/1834/10/05/pdfs/GMD-C-1834-233.pdf#page=4","Abrir facsímil")</f>
        <v>Abrir facsímil</v>
      </c>
      <c r="K14847" s="10" t="s">
        <v>24</v>
      </c>
    </row>
    <row r="14848" spans="1:11" ht="54" customHeight="1">
      <c r="A14848" s="9" t="s">
        <v>29919</v>
      </c>
      <c r="B14848" s="9" t="s">
        <v>29919</v>
      </c>
      <c r="C14848" s="9" t="s">
        <v>17</v>
      </c>
      <c r="D14848" s="9" t="s">
        <v>18</v>
      </c>
      <c r="E14848" s="10" t="s">
        <v>1340</v>
      </c>
      <c r="F14848" s="9" t="s">
        <v>1341</v>
      </c>
      <c r="G14848" s="10" t="s">
        <v>176</v>
      </c>
      <c r="H14848" s="9" t="s">
        <v>22</v>
      </c>
      <c r="I14848" s="9" t="s">
        <v>29945</v>
      </c>
      <c r="J14848" s="10" t="str">
        <f>HYPERLINK("https://www.boe.es/gazeta/dias/1834/10/05/pdfs/GMD-C-1834-233.pdf#page=6","Abrir facsímil")</f>
        <v>Abrir facsímil</v>
      </c>
      <c r="K14848" s="10" t="s">
        <v>24</v>
      </c>
    </row>
    <row r="14849" spans="1:11" ht="54" customHeight="1">
      <c r="A14849" s="9" t="s">
        <v>29919</v>
      </c>
      <c r="B14849" s="9" t="s">
        <v>29919</v>
      </c>
      <c r="C14849" s="9" t="s">
        <v>17</v>
      </c>
      <c r="D14849" s="9" t="s">
        <v>18</v>
      </c>
      <c r="E14849" s="10" t="s">
        <v>1340</v>
      </c>
      <c r="F14849" s="9" t="s">
        <v>1341</v>
      </c>
      <c r="G14849" s="10" t="s">
        <v>560</v>
      </c>
      <c r="H14849" s="9" t="s">
        <v>22</v>
      </c>
      <c r="I14849" s="9" t="s">
        <v>29946</v>
      </c>
      <c r="J14849" s="10" t="str">
        <f>HYPERLINK("https://www.boe.es/gazeta/dias/1834/10/05/pdfs/GMD-C-1834-233.pdf#page=7","Abrir facsímil")</f>
        <v>Abrir facsímil</v>
      </c>
      <c r="K14849" s="10" t="s">
        <v>24</v>
      </c>
    </row>
    <row r="14850" spans="1:11" ht="54" customHeight="1">
      <c r="A14850" s="9" t="s">
        <v>29919</v>
      </c>
      <c r="B14850" s="9" t="s">
        <v>29919</v>
      </c>
      <c r="C14850" s="9" t="s">
        <v>46</v>
      </c>
      <c r="D14850" s="9" t="s">
        <v>101</v>
      </c>
      <c r="E14850" s="10" t="s">
        <v>11991</v>
      </c>
      <c r="F14850" s="9" t="s">
        <v>11992</v>
      </c>
      <c r="G14850" s="10" t="s">
        <v>34</v>
      </c>
      <c r="H14850" s="9" t="s">
        <v>22</v>
      </c>
      <c r="I14850" s="9" t="s">
        <v>29947</v>
      </c>
      <c r="J14850" s="10" t="str">
        <f>HYPERLINK("https://www.boe.es/gazeta/dias/1834/12/05/pdfs/GMD-C-1834-294.pdf#page=1","Abrir facsímil")</f>
        <v>Abrir facsímil</v>
      </c>
      <c r="K14850" s="10" t="s">
        <v>24</v>
      </c>
    </row>
    <row r="14851" spans="1:11" ht="54" customHeight="1">
      <c r="A14851" s="9" t="s">
        <v>29919</v>
      </c>
      <c r="B14851" s="9" t="s">
        <v>29919</v>
      </c>
      <c r="C14851" s="9" t="s">
        <v>17</v>
      </c>
      <c r="D14851" s="9" t="s">
        <v>18</v>
      </c>
      <c r="E14851" s="10" t="s">
        <v>653</v>
      </c>
      <c r="F14851" s="9" t="s">
        <v>654</v>
      </c>
      <c r="G14851" s="10" t="s">
        <v>34</v>
      </c>
      <c r="H14851" s="9" t="s">
        <v>22</v>
      </c>
      <c r="I14851" s="9" t="s">
        <v>29948</v>
      </c>
      <c r="J14851" s="10" t="str">
        <f>HYPERLINK("https://www.boe.es/gazeta/dias/1834/08/06/pdfs/GMD-C-1834-170.pdf#page=1","Abrir facsímil")</f>
        <v>Abrir facsímil</v>
      </c>
      <c r="K14851" s="10" t="s">
        <v>24</v>
      </c>
    </row>
    <row r="14852" spans="1:11" ht="54" customHeight="1">
      <c r="A14852" s="9" t="s">
        <v>29919</v>
      </c>
      <c r="B14852" s="9" t="s">
        <v>29919</v>
      </c>
      <c r="C14852" s="9" t="s">
        <v>46</v>
      </c>
      <c r="D14852" s="9" t="s">
        <v>18</v>
      </c>
      <c r="E14852" s="10" t="s">
        <v>364</v>
      </c>
      <c r="F14852" s="9" t="s">
        <v>365</v>
      </c>
      <c r="G14852" s="10" t="s">
        <v>176</v>
      </c>
      <c r="H14852" s="9" t="s">
        <v>22</v>
      </c>
      <c r="I14852" s="9" t="s">
        <v>29949</v>
      </c>
      <c r="J14852" s="10" t="str">
        <f>HYPERLINK("https://www.boe.es/gazeta/dias/1834/09/06/pdfs/GMD-C-1834-204.pdf#page=6","Abrir facsímil")</f>
        <v>Abrir facsímil</v>
      </c>
      <c r="K14852" s="10" t="s">
        <v>24</v>
      </c>
    </row>
    <row r="14853" spans="1:11" ht="54" customHeight="1">
      <c r="A14853" s="9" t="s">
        <v>29919</v>
      </c>
      <c r="B14853" s="9" t="s">
        <v>29919</v>
      </c>
      <c r="C14853" s="9" t="s">
        <v>17</v>
      </c>
      <c r="D14853" s="9" t="s">
        <v>18</v>
      </c>
      <c r="E14853" s="10" t="s">
        <v>364</v>
      </c>
      <c r="F14853" s="9" t="s">
        <v>365</v>
      </c>
      <c r="G14853" s="10" t="s">
        <v>560</v>
      </c>
      <c r="H14853" s="9" t="s">
        <v>22</v>
      </c>
      <c r="I14853" s="9" t="s">
        <v>29950</v>
      </c>
      <c r="J14853" s="10" t="str">
        <f>HYPERLINK("https://www.boe.es/gazeta/dias/1834/09/06/pdfs/GMD-C-1834-204.pdf#page=7","Abrir facsímil")</f>
        <v>Abrir facsímil</v>
      </c>
      <c r="K14853" s="10" t="s">
        <v>24</v>
      </c>
    </row>
    <row r="14854" spans="1:11" ht="54" customHeight="1">
      <c r="A14854" s="9" t="s">
        <v>29919</v>
      </c>
      <c r="B14854" s="9" t="s">
        <v>29919</v>
      </c>
      <c r="C14854" s="9" t="s">
        <v>17</v>
      </c>
      <c r="D14854" s="9" t="s">
        <v>18</v>
      </c>
      <c r="E14854" s="10" t="s">
        <v>429</v>
      </c>
      <c r="F14854" s="9" t="s">
        <v>430</v>
      </c>
      <c r="G14854" s="10" t="s">
        <v>34</v>
      </c>
      <c r="H14854" s="9" t="s">
        <v>22</v>
      </c>
      <c r="I14854" s="9" t="s">
        <v>29951</v>
      </c>
      <c r="J14854" s="10" t="str">
        <f>HYPERLINK("https://www.boe.es/gazeta/dias/1834/08/07/pdfs/GMD-C-1834-172.pdf#page=1","Abrir facsímil")</f>
        <v>Abrir facsímil</v>
      </c>
      <c r="K14854" s="10" t="s">
        <v>24</v>
      </c>
    </row>
    <row r="14855" spans="1:11" ht="54" customHeight="1">
      <c r="A14855" s="9" t="s">
        <v>29919</v>
      </c>
      <c r="B14855" s="9" t="s">
        <v>29919</v>
      </c>
      <c r="C14855" s="9" t="s">
        <v>66</v>
      </c>
      <c r="D14855" s="9" t="s">
        <v>67</v>
      </c>
      <c r="E14855" s="10" t="s">
        <v>167</v>
      </c>
      <c r="F14855" s="9" t="s">
        <v>1200</v>
      </c>
      <c r="G14855" s="10" t="s">
        <v>21</v>
      </c>
      <c r="H14855" s="9" t="s">
        <v>22</v>
      </c>
      <c r="I14855" s="9" t="s">
        <v>29952</v>
      </c>
      <c r="J14855" s="10" t="str">
        <f>HYPERLINK("https://www.boe.es/gazeta/dias/1834/09/07/pdfs/GMD-C-1834-205.pdf#page=3","Abrir facsímil")</f>
        <v>Abrir facsímil</v>
      </c>
      <c r="K14855" s="10" t="s">
        <v>24</v>
      </c>
    </row>
    <row r="14856" spans="1:11" ht="54" customHeight="1">
      <c r="A14856" s="9" t="s">
        <v>29919</v>
      </c>
      <c r="B14856" s="9" t="s">
        <v>29919</v>
      </c>
      <c r="C14856" s="9" t="s">
        <v>17</v>
      </c>
      <c r="D14856" s="9" t="s">
        <v>40</v>
      </c>
      <c r="E14856" s="10" t="s">
        <v>167</v>
      </c>
      <c r="F14856" s="9" t="s">
        <v>1200</v>
      </c>
      <c r="G14856" s="10" t="s">
        <v>560</v>
      </c>
      <c r="H14856" s="9" t="s">
        <v>22</v>
      </c>
      <c r="I14856" s="9" t="s">
        <v>29953</v>
      </c>
      <c r="J14856" s="10" t="str">
        <f>HYPERLINK("https://www.boe.es/gazeta/dias/1834/09/07/pdfs/GMD-C-1834-205.pdf#page=7","Abrir facsímil")</f>
        <v>Abrir facsímil</v>
      </c>
      <c r="K14856" s="10" t="s">
        <v>24</v>
      </c>
    </row>
    <row r="14857" spans="1:11" ht="54" customHeight="1">
      <c r="A14857" s="9" t="s">
        <v>29919</v>
      </c>
      <c r="B14857" s="9" t="s">
        <v>29919</v>
      </c>
      <c r="C14857" s="9" t="s">
        <v>17</v>
      </c>
      <c r="D14857" s="9" t="s">
        <v>18</v>
      </c>
      <c r="E14857" s="10" t="s">
        <v>167</v>
      </c>
      <c r="F14857" s="9" t="s">
        <v>1200</v>
      </c>
      <c r="G14857" s="10" t="s">
        <v>470</v>
      </c>
      <c r="H14857" s="9" t="s">
        <v>22</v>
      </c>
      <c r="I14857" s="9" t="s">
        <v>29954</v>
      </c>
      <c r="J14857" s="10" t="str">
        <f>HYPERLINK("https://www.boe.es/gazeta/dias/1834/09/07/pdfs/GMD-C-1834-205.pdf#page=8","Abrir facsímil")</f>
        <v>Abrir facsímil</v>
      </c>
      <c r="K14857" s="10" t="s">
        <v>24</v>
      </c>
    </row>
    <row r="14858" spans="1:11" ht="54" customHeight="1">
      <c r="A14858" s="9" t="s">
        <v>29919</v>
      </c>
      <c r="B14858" s="9" t="s">
        <v>29919</v>
      </c>
      <c r="C14858" s="9" t="s">
        <v>17</v>
      </c>
      <c r="D14858" s="9" t="s">
        <v>18</v>
      </c>
      <c r="E14858" s="10" t="s">
        <v>433</v>
      </c>
      <c r="F14858" s="9" t="s">
        <v>434</v>
      </c>
      <c r="G14858" s="10" t="s">
        <v>86</v>
      </c>
      <c r="H14858" s="9" t="s">
        <v>22</v>
      </c>
      <c r="I14858" s="9" t="s">
        <v>29955</v>
      </c>
      <c r="J14858" s="10" t="str">
        <f>HYPERLINK("https://www.boe.es/gazeta/dias/1834/10/07/pdfs/GMD-C-1834-235.pdf#page=2","Abrir facsímil")</f>
        <v>Abrir facsímil</v>
      </c>
      <c r="K14858" s="10" t="s">
        <v>24</v>
      </c>
    </row>
    <row r="14859" spans="1:11" ht="54" customHeight="1">
      <c r="A14859" s="9" t="s">
        <v>29919</v>
      </c>
      <c r="B14859" s="9" t="s">
        <v>29919</v>
      </c>
      <c r="C14859" s="9" t="s">
        <v>17</v>
      </c>
      <c r="D14859" s="9" t="s">
        <v>18</v>
      </c>
      <c r="E14859" s="10" t="s">
        <v>762</v>
      </c>
      <c r="F14859" s="9" t="s">
        <v>2227</v>
      </c>
      <c r="G14859" s="10" t="s">
        <v>21</v>
      </c>
      <c r="H14859" s="9" t="s">
        <v>22</v>
      </c>
      <c r="I14859" s="9" t="s">
        <v>29956</v>
      </c>
      <c r="J14859" s="10" t="str">
        <f>HYPERLINK("https://www.boe.es/gazeta/dias/1834/11/07/pdfs/GMD-C-1834-266.pdf#page=3","Abrir facsímil")</f>
        <v>Abrir facsímil</v>
      </c>
      <c r="K14859" s="10" t="s">
        <v>24</v>
      </c>
    </row>
    <row r="14860" spans="1:11" ht="54" customHeight="1">
      <c r="A14860" s="9" t="s">
        <v>29919</v>
      </c>
      <c r="B14860" s="9" t="s">
        <v>29919</v>
      </c>
      <c r="C14860" s="9" t="s">
        <v>46</v>
      </c>
      <c r="D14860" s="9" t="s">
        <v>101</v>
      </c>
      <c r="E14860" s="10" t="s">
        <v>762</v>
      </c>
      <c r="F14860" s="9" t="s">
        <v>2227</v>
      </c>
      <c r="G14860" s="10" t="s">
        <v>75</v>
      </c>
      <c r="H14860" s="9" t="s">
        <v>22</v>
      </c>
      <c r="I14860" s="9" t="s">
        <v>29957</v>
      </c>
      <c r="J14860" s="10" t="str">
        <f>HYPERLINK("https://www.boe.es/gazeta/dias/1834/11/07/pdfs/GMD-C-1834-266.pdf#page=4","Abrir facsímil")</f>
        <v>Abrir facsímil</v>
      </c>
      <c r="K14860" s="10" t="s">
        <v>24</v>
      </c>
    </row>
    <row r="14861" spans="1:11" ht="54" customHeight="1">
      <c r="A14861" s="9" t="s">
        <v>29919</v>
      </c>
      <c r="B14861" s="9" t="s">
        <v>29919</v>
      </c>
      <c r="C14861" s="9" t="s">
        <v>90</v>
      </c>
      <c r="D14861" s="9" t="s">
        <v>18</v>
      </c>
      <c r="E14861" s="10" t="s">
        <v>793</v>
      </c>
      <c r="F14861" s="9" t="s">
        <v>1895</v>
      </c>
      <c r="G14861" s="10" t="s">
        <v>86</v>
      </c>
      <c r="H14861" s="9" t="s">
        <v>22</v>
      </c>
      <c r="I14861" s="9" t="s">
        <v>29958</v>
      </c>
      <c r="J14861" s="10" t="str">
        <f>HYPERLINK("https://www.boe.es/gazeta/dias/1834/10/08/pdfs/GMD-C-1834-236.pdf#page=2","Abrir facsímil")</f>
        <v>Abrir facsímil</v>
      </c>
      <c r="K14861" s="10" t="s">
        <v>24</v>
      </c>
    </row>
    <row r="14862" spans="1:11" ht="54" customHeight="1">
      <c r="A14862" s="9" t="s">
        <v>29919</v>
      </c>
      <c r="B14862" s="9" t="s">
        <v>29919</v>
      </c>
      <c r="C14862" s="9" t="s">
        <v>17</v>
      </c>
      <c r="D14862" s="9" t="s">
        <v>40</v>
      </c>
      <c r="E14862" s="10" t="s">
        <v>1008</v>
      </c>
      <c r="F14862" s="9" t="s">
        <v>1009</v>
      </c>
      <c r="G14862" s="10" t="s">
        <v>34</v>
      </c>
      <c r="H14862" s="9" t="s">
        <v>22</v>
      </c>
      <c r="I14862" s="9" t="s">
        <v>29959</v>
      </c>
      <c r="J14862" s="10" t="str">
        <f>HYPERLINK("https://www.boe.es/gazeta/dias/1834/11/08/pdfs/GMD-C-1834-267.pdf#page=1","Abrir facsímil")</f>
        <v>Abrir facsímil</v>
      </c>
      <c r="K14862" s="10" t="s">
        <v>24</v>
      </c>
    </row>
    <row r="14863" spans="1:11" ht="54" customHeight="1">
      <c r="A14863" s="9" t="s">
        <v>29919</v>
      </c>
      <c r="B14863" s="9" t="s">
        <v>29919</v>
      </c>
      <c r="C14863" s="9" t="s">
        <v>17</v>
      </c>
      <c r="D14863" s="9" t="s">
        <v>18</v>
      </c>
      <c r="E14863" s="10" t="s">
        <v>1008</v>
      </c>
      <c r="F14863" s="9" t="s">
        <v>1009</v>
      </c>
      <c r="G14863" s="10" t="s">
        <v>560</v>
      </c>
      <c r="H14863" s="9" t="s">
        <v>22</v>
      </c>
      <c r="I14863" s="9" t="s">
        <v>29960</v>
      </c>
      <c r="J14863" s="10" t="str">
        <f>HYPERLINK("https://www.boe.es/gazeta/dias/1834/11/08/pdfs/GMD-C-1834-267.pdf#page=7","Abrir facsímil")</f>
        <v>Abrir facsímil</v>
      </c>
      <c r="K14863" s="10" t="s">
        <v>24</v>
      </c>
    </row>
    <row r="14864" spans="1:11" ht="54" customHeight="1">
      <c r="A14864" s="9" t="s">
        <v>29919</v>
      </c>
      <c r="B14864" s="9" t="s">
        <v>29919</v>
      </c>
      <c r="C14864" s="9" t="s">
        <v>17</v>
      </c>
      <c r="D14864" s="9" t="s">
        <v>18</v>
      </c>
      <c r="E14864" s="10" t="s">
        <v>1008</v>
      </c>
      <c r="F14864" s="9" t="s">
        <v>1009</v>
      </c>
      <c r="G14864" s="10" t="s">
        <v>470</v>
      </c>
      <c r="H14864" s="9" t="s">
        <v>22</v>
      </c>
      <c r="I14864" s="9" t="s">
        <v>29961</v>
      </c>
      <c r="J14864" s="10" t="str">
        <f>HYPERLINK("https://www.boe.es/gazeta/dias/1834/11/08/pdfs/GMD-C-1834-267.pdf#page=8","Abrir facsímil")</f>
        <v>Abrir facsímil</v>
      </c>
      <c r="K14864" s="10" t="s">
        <v>24</v>
      </c>
    </row>
    <row r="14865" spans="1:11" ht="54" customHeight="1">
      <c r="A14865" s="9" t="s">
        <v>29919</v>
      </c>
      <c r="B14865" s="9" t="s">
        <v>29919</v>
      </c>
      <c r="C14865" s="9" t="s">
        <v>17</v>
      </c>
      <c r="D14865" s="9" t="s">
        <v>18</v>
      </c>
      <c r="E14865" s="10" t="s">
        <v>1410</v>
      </c>
      <c r="F14865" s="9" t="s">
        <v>2231</v>
      </c>
      <c r="G14865" s="10" t="s">
        <v>21</v>
      </c>
      <c r="H14865" s="9" t="s">
        <v>22</v>
      </c>
      <c r="I14865" s="9" t="s">
        <v>29962</v>
      </c>
      <c r="J14865" s="10" t="str">
        <f>HYPERLINK("https://www.boe.es/gazeta/dias/1834/09/09/pdfs/GMD-C-1834-207.pdf#page=3","Abrir facsímil")</f>
        <v>Abrir facsímil</v>
      </c>
      <c r="K14865" s="10" t="s">
        <v>24</v>
      </c>
    </row>
    <row r="14866" spans="1:11" ht="54" customHeight="1">
      <c r="A14866" s="9" t="s">
        <v>29919</v>
      </c>
      <c r="B14866" s="9" t="s">
        <v>29919</v>
      </c>
      <c r="C14866" s="9" t="s">
        <v>17</v>
      </c>
      <c r="D14866" s="9" t="s">
        <v>18</v>
      </c>
      <c r="E14866" s="10" t="s">
        <v>1410</v>
      </c>
      <c r="F14866" s="9" t="s">
        <v>2231</v>
      </c>
      <c r="G14866" s="10" t="s">
        <v>28</v>
      </c>
      <c r="H14866" s="9" t="s">
        <v>22</v>
      </c>
      <c r="I14866" s="9" t="s">
        <v>29963</v>
      </c>
      <c r="J14866" s="10" t="str">
        <f>HYPERLINK("https://www.boe.es/gazeta/dias/1834/09/09/pdfs/GMD-C-1834-207.pdf#page=5","Abrir facsímil")</f>
        <v>Abrir facsímil</v>
      </c>
      <c r="K14866" s="10" t="s">
        <v>24</v>
      </c>
    </row>
    <row r="14867" spans="1:11" ht="54" customHeight="1">
      <c r="A14867" s="9" t="s">
        <v>29919</v>
      </c>
      <c r="B14867" s="9" t="s">
        <v>29919</v>
      </c>
      <c r="C14867" s="9" t="s">
        <v>17</v>
      </c>
      <c r="D14867" s="9" t="s">
        <v>18</v>
      </c>
      <c r="E14867" s="10" t="s">
        <v>258</v>
      </c>
      <c r="F14867" s="9" t="s">
        <v>259</v>
      </c>
      <c r="G14867" s="10" t="s">
        <v>75</v>
      </c>
      <c r="H14867" s="9" t="s">
        <v>22</v>
      </c>
      <c r="I14867" s="9" t="s">
        <v>29964</v>
      </c>
      <c r="J14867" s="10" t="str">
        <f>HYPERLINK("https://www.boe.es/gazeta/dias/1834/10/09/pdfs/GMD-C-1834-237.pdf#page=4","Abrir facsímil")</f>
        <v>Abrir facsímil</v>
      </c>
      <c r="K14867" s="10" t="s">
        <v>24</v>
      </c>
    </row>
    <row r="14868" spans="1:11" ht="54" customHeight="1">
      <c r="A14868" s="9" t="s">
        <v>29919</v>
      </c>
      <c r="B14868" s="9" t="s">
        <v>29919</v>
      </c>
      <c r="C14868" s="9" t="s">
        <v>66</v>
      </c>
      <c r="D14868" s="9" t="s">
        <v>67</v>
      </c>
      <c r="E14868" s="10" t="s">
        <v>438</v>
      </c>
      <c r="F14868" s="9" t="s">
        <v>528</v>
      </c>
      <c r="G14868" s="10" t="s">
        <v>34</v>
      </c>
      <c r="H14868" s="9" t="s">
        <v>22</v>
      </c>
      <c r="I14868" s="9" t="s">
        <v>29965</v>
      </c>
      <c r="J14868" s="10" t="str">
        <f>HYPERLINK("https://www.boe.es/gazeta/dias/1834/11/09/pdfs/GMD-C-1834-268.pdf#page=1","Abrir facsímil")</f>
        <v>Abrir facsímil</v>
      </c>
      <c r="K14868" s="10" t="s">
        <v>24</v>
      </c>
    </row>
    <row r="14869" spans="1:11" ht="54" customHeight="1">
      <c r="A14869" s="9" t="s">
        <v>29919</v>
      </c>
      <c r="B14869" s="9" t="s">
        <v>29919</v>
      </c>
      <c r="C14869" s="9" t="s">
        <v>46</v>
      </c>
      <c r="D14869" s="9" t="s">
        <v>18</v>
      </c>
      <c r="E14869" s="10" t="s">
        <v>438</v>
      </c>
      <c r="F14869" s="9" t="s">
        <v>528</v>
      </c>
      <c r="G14869" s="10" t="s">
        <v>86</v>
      </c>
      <c r="H14869" s="9" t="s">
        <v>22</v>
      </c>
      <c r="I14869" s="9" t="s">
        <v>29966</v>
      </c>
      <c r="J14869" s="10" t="str">
        <f>HYPERLINK("https://www.boe.es/gazeta/dias/1834/11/09/pdfs/GMD-C-1834-268.pdf#page=2","Abrir facsímil")</f>
        <v>Abrir facsímil</v>
      </c>
      <c r="K14869" s="10" t="s">
        <v>24</v>
      </c>
    </row>
    <row r="14870" spans="1:11" ht="54" customHeight="1">
      <c r="A14870" s="9" t="s">
        <v>29919</v>
      </c>
      <c r="B14870" s="9" t="s">
        <v>29919</v>
      </c>
      <c r="C14870" s="9" t="s">
        <v>46</v>
      </c>
      <c r="D14870" s="9" t="s">
        <v>101</v>
      </c>
      <c r="E14870" s="10" t="s">
        <v>438</v>
      </c>
      <c r="F14870" s="9" t="s">
        <v>528</v>
      </c>
      <c r="G14870" s="10" t="s">
        <v>75</v>
      </c>
      <c r="H14870" s="9" t="s">
        <v>22</v>
      </c>
      <c r="I14870" s="9" t="s">
        <v>29967</v>
      </c>
      <c r="J14870" s="10" t="str">
        <f>HYPERLINK("https://www.boe.es/gazeta/dias/1834/11/09/pdfs/GMD-C-1834-268.pdf#page=4","Abrir facsímil")</f>
        <v>Abrir facsímil</v>
      </c>
      <c r="K14870" s="10" t="s">
        <v>24</v>
      </c>
    </row>
    <row r="14871" spans="1:11" ht="54" customHeight="1">
      <c r="A14871" s="9" t="s">
        <v>29919</v>
      </c>
      <c r="B14871" s="9" t="s">
        <v>29919</v>
      </c>
      <c r="C14871" s="9" t="s">
        <v>17</v>
      </c>
      <c r="D14871" s="9" t="s">
        <v>18</v>
      </c>
      <c r="E14871" s="10" t="s">
        <v>2203</v>
      </c>
      <c r="F14871" s="9" t="s">
        <v>2204</v>
      </c>
      <c r="G14871" s="10" t="s">
        <v>21</v>
      </c>
      <c r="H14871" s="9" t="s">
        <v>22</v>
      </c>
      <c r="I14871" s="9" t="s">
        <v>29968</v>
      </c>
      <c r="J14871" s="10" t="str">
        <f>HYPERLINK("https://www.boe.es/gazeta/dias/1834/09/10/pdfs/GMD-C-1834-208.pdf#page=3","Abrir facsímil")</f>
        <v>Abrir facsímil</v>
      </c>
      <c r="K14871" s="10" t="s">
        <v>24</v>
      </c>
    </row>
    <row r="14872" spans="1:11" ht="54" customHeight="1">
      <c r="A14872" s="9" t="s">
        <v>29919</v>
      </c>
      <c r="B14872" s="9" t="s">
        <v>29919</v>
      </c>
      <c r="C14872" s="9" t="s">
        <v>17</v>
      </c>
      <c r="D14872" s="9" t="s">
        <v>18</v>
      </c>
      <c r="E14872" s="10" t="s">
        <v>1103</v>
      </c>
      <c r="F14872" s="9" t="s">
        <v>1104</v>
      </c>
      <c r="G14872" s="10" t="s">
        <v>34</v>
      </c>
      <c r="H14872" s="9" t="s">
        <v>22</v>
      </c>
      <c r="I14872" s="9" t="s">
        <v>29969</v>
      </c>
      <c r="J14872" s="10" t="str">
        <f>HYPERLINK("https://www.boe.es/gazeta/dias/1834/10/10/pdfs/GMD-C-1834-238.pdf#page=1","Abrir facsímil")</f>
        <v>Abrir facsímil</v>
      </c>
      <c r="K14872" s="10" t="s">
        <v>24</v>
      </c>
    </row>
    <row r="14873" spans="1:11" ht="54" customHeight="1">
      <c r="A14873" s="9" t="s">
        <v>29919</v>
      </c>
      <c r="B14873" s="9" t="s">
        <v>29919</v>
      </c>
      <c r="C14873" s="9" t="s">
        <v>66</v>
      </c>
      <c r="D14873" s="9" t="s">
        <v>67</v>
      </c>
      <c r="E14873" s="10" t="s">
        <v>1103</v>
      </c>
      <c r="F14873" s="9" t="s">
        <v>1104</v>
      </c>
      <c r="G14873" s="10" t="s">
        <v>21</v>
      </c>
      <c r="H14873" s="9" t="s">
        <v>22</v>
      </c>
      <c r="I14873" s="9" t="s">
        <v>29970</v>
      </c>
      <c r="J14873" s="10" t="str">
        <f>HYPERLINK("https://www.boe.es/gazeta/dias/1834/10/10/pdfs/GMD-C-1834-238.pdf#page=3","Abrir facsímil")</f>
        <v>Abrir facsímil</v>
      </c>
      <c r="K14873" s="10" t="s">
        <v>24</v>
      </c>
    </row>
    <row r="14874" spans="1:11" ht="54" customHeight="1">
      <c r="A14874" s="9" t="s">
        <v>29919</v>
      </c>
      <c r="B14874" s="9" t="s">
        <v>29919</v>
      </c>
      <c r="C14874" s="9" t="s">
        <v>17</v>
      </c>
      <c r="D14874" s="9" t="s">
        <v>18</v>
      </c>
      <c r="E14874" s="10" t="s">
        <v>679</v>
      </c>
      <c r="F14874" s="9" t="s">
        <v>699</v>
      </c>
      <c r="G14874" s="10" t="s">
        <v>86</v>
      </c>
      <c r="H14874" s="9" t="s">
        <v>22</v>
      </c>
      <c r="I14874" s="9" t="s">
        <v>29971</v>
      </c>
      <c r="J14874" s="10" t="str">
        <f>HYPERLINK("https://www.boe.es/gazeta/dias/1834/12/10/pdfs/GMD-C-1834-299.pdf#page=2","Abrir facsímil")</f>
        <v>Abrir facsímil</v>
      </c>
      <c r="K14874" s="10" t="s">
        <v>24</v>
      </c>
    </row>
    <row r="14875" spans="1:11" ht="54" customHeight="1">
      <c r="A14875" s="9" t="s">
        <v>29919</v>
      </c>
      <c r="B14875" s="9" t="s">
        <v>29919</v>
      </c>
      <c r="C14875" s="9" t="s">
        <v>46</v>
      </c>
      <c r="D14875" s="9" t="s">
        <v>55</v>
      </c>
      <c r="E14875" s="10" t="s">
        <v>679</v>
      </c>
      <c r="F14875" s="9" t="s">
        <v>699</v>
      </c>
      <c r="G14875" s="10" t="s">
        <v>21</v>
      </c>
      <c r="H14875" s="9" t="s">
        <v>22</v>
      </c>
      <c r="I14875" s="9" t="s">
        <v>29972</v>
      </c>
      <c r="J14875" s="10" t="str">
        <f>HYPERLINK("https://www.boe.es/gazeta/dias/1834/12/10/pdfs/GMD-C-1834-299.pdf#page=3","Abrir facsímil")</f>
        <v>Abrir facsímil</v>
      </c>
      <c r="K14875" s="10" t="s">
        <v>24</v>
      </c>
    </row>
    <row r="14876" spans="1:11" ht="54" customHeight="1">
      <c r="A14876" s="9" t="s">
        <v>29919</v>
      </c>
      <c r="B14876" s="9" t="s">
        <v>29919</v>
      </c>
      <c r="C14876" s="9" t="s">
        <v>66</v>
      </c>
      <c r="D14876" s="9" t="s">
        <v>67</v>
      </c>
      <c r="E14876" s="10" t="s">
        <v>334</v>
      </c>
      <c r="F14876" s="9" t="s">
        <v>335</v>
      </c>
      <c r="G14876" s="10" t="s">
        <v>21</v>
      </c>
      <c r="H14876" s="9" t="s">
        <v>22</v>
      </c>
      <c r="I14876" s="9" t="s">
        <v>29973</v>
      </c>
      <c r="J14876" s="10" t="str">
        <f>HYPERLINK("https://www.boe.es/gazeta/dias/1834/09/11/pdfs/GMD-C-1834-209.pdf#page=3","Abrir facsímil")</f>
        <v>Abrir facsímil</v>
      </c>
      <c r="K14876" s="10" t="s">
        <v>24</v>
      </c>
    </row>
    <row r="14877" spans="1:11" ht="54" customHeight="1">
      <c r="A14877" s="9" t="s">
        <v>29919</v>
      </c>
      <c r="B14877" s="9" t="s">
        <v>29919</v>
      </c>
      <c r="C14877" s="9" t="s">
        <v>46</v>
      </c>
      <c r="D14877" s="9" t="s">
        <v>101</v>
      </c>
      <c r="E14877" s="10" t="s">
        <v>444</v>
      </c>
      <c r="F14877" s="9" t="s">
        <v>445</v>
      </c>
      <c r="G14877" s="10" t="s">
        <v>34</v>
      </c>
      <c r="H14877" s="9" t="s">
        <v>22</v>
      </c>
      <c r="I14877" s="9" t="s">
        <v>29974</v>
      </c>
      <c r="J14877" s="10" t="str">
        <f>HYPERLINK("https://www.boe.es/gazeta/dias/1834/09/12/pdfs/GMD-C-1834-210.pdf#page=1","Abrir facsímil")</f>
        <v>Abrir facsímil</v>
      </c>
      <c r="K14877" s="10" t="s">
        <v>24</v>
      </c>
    </row>
    <row r="14878" spans="1:11" ht="54" customHeight="1">
      <c r="A14878" s="9" t="s">
        <v>29919</v>
      </c>
      <c r="B14878" s="9" t="s">
        <v>29919</v>
      </c>
      <c r="C14878" s="9" t="s">
        <v>17</v>
      </c>
      <c r="D14878" s="9" t="s">
        <v>18</v>
      </c>
      <c r="E14878" s="10" t="s">
        <v>623</v>
      </c>
      <c r="F14878" s="9" t="s">
        <v>624</v>
      </c>
      <c r="G14878" s="10" t="s">
        <v>34</v>
      </c>
      <c r="H14878" s="9" t="s">
        <v>22</v>
      </c>
      <c r="I14878" s="9" t="s">
        <v>29975</v>
      </c>
      <c r="J14878" s="10" t="str">
        <f>HYPERLINK("https://www.boe.es/gazeta/dias/1834/10/12/pdfs/GMD-C-1834-240.pdf#page=1","Abrir facsímil")</f>
        <v>Abrir facsímil</v>
      </c>
      <c r="K14878" s="10" t="s">
        <v>24</v>
      </c>
    </row>
    <row r="14879" spans="1:11" ht="54" customHeight="1">
      <c r="A14879" s="9" t="s">
        <v>29919</v>
      </c>
      <c r="B14879" s="9" t="s">
        <v>29919</v>
      </c>
      <c r="C14879" s="9" t="s">
        <v>17</v>
      </c>
      <c r="D14879" s="9" t="s">
        <v>18</v>
      </c>
      <c r="E14879" s="10" t="s">
        <v>642</v>
      </c>
      <c r="F14879" s="9" t="s">
        <v>643</v>
      </c>
      <c r="G14879" s="10" t="s">
        <v>176</v>
      </c>
      <c r="H14879" s="9" t="s">
        <v>22</v>
      </c>
      <c r="I14879" s="9" t="s">
        <v>29976</v>
      </c>
      <c r="J14879" s="10" t="str">
        <f>HYPERLINK("https://www.boe.es/gazeta/dias/1834/11/12/pdfs/GMD-C-1834-271.pdf#page=6","Abrir facsímil")</f>
        <v>Abrir facsímil</v>
      </c>
      <c r="K14879" s="10" t="s">
        <v>24</v>
      </c>
    </row>
    <row r="14880" spans="1:11" ht="54" customHeight="1">
      <c r="A14880" s="9" t="s">
        <v>29919</v>
      </c>
      <c r="B14880" s="9" t="s">
        <v>29919</v>
      </c>
      <c r="C14880" s="9" t="s">
        <v>66</v>
      </c>
      <c r="D14880" s="9" t="s">
        <v>67</v>
      </c>
      <c r="E14880" s="10" t="s">
        <v>642</v>
      </c>
      <c r="F14880" s="9" t="s">
        <v>643</v>
      </c>
      <c r="G14880" s="10" t="s">
        <v>560</v>
      </c>
      <c r="H14880" s="9" t="s">
        <v>22</v>
      </c>
      <c r="I14880" s="9" t="s">
        <v>29977</v>
      </c>
      <c r="J14880" s="10" t="str">
        <f>HYPERLINK("https://www.boe.es/gazeta/dias/1834/11/12/pdfs/GMD-C-1834-271.pdf#page=7","Abrir facsímil")</f>
        <v>Abrir facsímil</v>
      </c>
      <c r="K14880" s="10" t="s">
        <v>24</v>
      </c>
    </row>
    <row r="14881" spans="1:11" ht="54" customHeight="1">
      <c r="A14881" s="9" t="s">
        <v>29919</v>
      </c>
      <c r="B14881" s="9" t="s">
        <v>29919</v>
      </c>
      <c r="C14881" s="9" t="s">
        <v>17</v>
      </c>
      <c r="D14881" s="9" t="s">
        <v>18</v>
      </c>
      <c r="E14881" s="10" t="s">
        <v>299</v>
      </c>
      <c r="F14881" s="9" t="s">
        <v>2255</v>
      </c>
      <c r="G14881" s="10" t="s">
        <v>86</v>
      </c>
      <c r="H14881" s="9" t="s">
        <v>22</v>
      </c>
      <c r="I14881" s="9" t="s">
        <v>29978</v>
      </c>
      <c r="J14881" s="10" t="str">
        <f>HYPERLINK("https://www.boe.es/gazeta/dias/1834/12/12/pdfs/GMD-C-1834-301.pdf#page=2","Abrir facsímil")</f>
        <v>Abrir facsímil</v>
      </c>
      <c r="K14881" s="10" t="s">
        <v>24</v>
      </c>
    </row>
    <row r="14882" spans="1:11" ht="54" customHeight="1">
      <c r="A14882" s="9" t="s">
        <v>29919</v>
      </c>
      <c r="B14882" s="9" t="s">
        <v>29919</v>
      </c>
      <c r="C14882" s="9" t="s">
        <v>17</v>
      </c>
      <c r="D14882" s="9" t="s">
        <v>18</v>
      </c>
      <c r="E14882" s="10" t="s">
        <v>299</v>
      </c>
      <c r="F14882" s="9" t="s">
        <v>2255</v>
      </c>
      <c r="G14882" s="10" t="s">
        <v>75</v>
      </c>
      <c r="H14882" s="9" t="s">
        <v>22</v>
      </c>
      <c r="I14882" s="9" t="s">
        <v>29979</v>
      </c>
      <c r="J14882" s="10" t="str">
        <f>HYPERLINK("https://www.boe.es/gazeta/dias/1834/12/12/pdfs/GMD-C-1834-301.pdf#page=4","Abrir facsímil")</f>
        <v>Abrir facsímil</v>
      </c>
      <c r="K14882" s="10" t="s">
        <v>24</v>
      </c>
    </row>
    <row r="14883" spans="1:11" ht="54" customHeight="1">
      <c r="A14883" s="9" t="s">
        <v>29919</v>
      </c>
      <c r="B14883" s="9" t="s">
        <v>29919</v>
      </c>
      <c r="C14883" s="9" t="s">
        <v>17</v>
      </c>
      <c r="D14883" s="9" t="s">
        <v>18</v>
      </c>
      <c r="E14883" s="10" t="s">
        <v>299</v>
      </c>
      <c r="F14883" s="9" t="s">
        <v>2255</v>
      </c>
      <c r="G14883" s="10" t="s">
        <v>560</v>
      </c>
      <c r="H14883" s="9" t="s">
        <v>22</v>
      </c>
      <c r="I14883" s="9" t="s">
        <v>29980</v>
      </c>
      <c r="J14883" s="10" t="str">
        <f>HYPERLINK("https://www.boe.es/gazeta/dias/1834/12/12/pdfs/GMD-C-1834-301.pdf#page=7","Abrir facsímil")</f>
        <v>Abrir facsímil</v>
      </c>
      <c r="K14883" s="10" t="s">
        <v>24</v>
      </c>
    </row>
    <row r="14884" spans="1:11" ht="54" customHeight="1">
      <c r="A14884" s="9" t="s">
        <v>29919</v>
      </c>
      <c r="B14884" s="9" t="s">
        <v>29919</v>
      </c>
      <c r="C14884" s="9" t="s">
        <v>17</v>
      </c>
      <c r="D14884" s="9" t="s">
        <v>18</v>
      </c>
      <c r="E14884" s="10" t="s">
        <v>299</v>
      </c>
      <c r="F14884" s="9" t="s">
        <v>2255</v>
      </c>
      <c r="G14884" s="10" t="s">
        <v>470</v>
      </c>
      <c r="H14884" s="9" t="s">
        <v>22</v>
      </c>
      <c r="I14884" s="9" t="s">
        <v>29981</v>
      </c>
      <c r="J14884" s="10" t="str">
        <f>HYPERLINK("https://www.boe.es/gazeta/dias/1834/12/12/pdfs/GMD-C-1834-301.pdf#page=8","Abrir facsímil")</f>
        <v>Abrir facsímil</v>
      </c>
      <c r="K14884" s="10" t="s">
        <v>24</v>
      </c>
    </row>
    <row r="14885" spans="1:11" ht="54" customHeight="1">
      <c r="A14885" s="9" t="s">
        <v>29919</v>
      </c>
      <c r="B14885" s="9" t="s">
        <v>29919</v>
      </c>
      <c r="C14885" s="9" t="s">
        <v>17</v>
      </c>
      <c r="D14885" s="9" t="s">
        <v>18</v>
      </c>
      <c r="E14885" s="10" t="s">
        <v>2260</v>
      </c>
      <c r="F14885" s="9" t="s">
        <v>2263</v>
      </c>
      <c r="G14885" s="10" t="s">
        <v>86</v>
      </c>
      <c r="H14885" s="9" t="s">
        <v>22</v>
      </c>
      <c r="I14885" s="9" t="s">
        <v>29982</v>
      </c>
      <c r="J14885" s="10" t="str">
        <f>HYPERLINK("https://www.boe.es/gazeta/dias/1834/11/13/pdfs/GMD-C-1834-272.pdf#page=2","Abrir facsímil")</f>
        <v>Abrir facsímil</v>
      </c>
      <c r="K14885" s="10" t="s">
        <v>24</v>
      </c>
    </row>
    <row r="14886" spans="1:11" ht="54" customHeight="1">
      <c r="A14886" s="9" t="s">
        <v>29919</v>
      </c>
      <c r="B14886" s="9" t="s">
        <v>29919</v>
      </c>
      <c r="C14886" s="9" t="s">
        <v>17</v>
      </c>
      <c r="D14886" s="9" t="s">
        <v>18</v>
      </c>
      <c r="E14886" s="10" t="s">
        <v>1981</v>
      </c>
      <c r="F14886" s="9" t="s">
        <v>2471</v>
      </c>
      <c r="G14886" s="10" t="s">
        <v>34</v>
      </c>
      <c r="H14886" s="9" t="s">
        <v>22</v>
      </c>
      <c r="I14886" s="9" t="s">
        <v>29983</v>
      </c>
      <c r="J14886" s="10" t="str">
        <f>HYPERLINK("https://www.boe.es/gazeta/dias/1834/12/13/pdfs/GMD-C-1834-302.pdf#page=1","Abrir facsímil")</f>
        <v>Abrir facsímil</v>
      </c>
      <c r="K14886" s="10" t="s">
        <v>24</v>
      </c>
    </row>
    <row r="14887" spans="1:11" ht="54" customHeight="1">
      <c r="A14887" s="9" t="s">
        <v>29919</v>
      </c>
      <c r="B14887" s="9" t="s">
        <v>29919</v>
      </c>
      <c r="C14887" s="9" t="s">
        <v>17</v>
      </c>
      <c r="D14887" s="9" t="s">
        <v>18</v>
      </c>
      <c r="E14887" s="10" t="s">
        <v>1981</v>
      </c>
      <c r="F14887" s="9" t="s">
        <v>2471</v>
      </c>
      <c r="G14887" s="10" t="s">
        <v>75</v>
      </c>
      <c r="H14887" s="9" t="s">
        <v>22</v>
      </c>
      <c r="I14887" s="9" t="s">
        <v>29984</v>
      </c>
      <c r="J14887" s="10" t="str">
        <f>HYPERLINK("https://www.boe.es/gazeta/dias/1834/12/13/pdfs/GMD-C-1834-302.pdf#page=4","Abrir facsímil")</f>
        <v>Abrir facsímil</v>
      </c>
      <c r="K14887" s="10" t="s">
        <v>24</v>
      </c>
    </row>
    <row r="14888" spans="1:11" ht="54" customHeight="1">
      <c r="A14888" s="9" t="s">
        <v>29919</v>
      </c>
      <c r="B14888" s="9" t="s">
        <v>29919</v>
      </c>
      <c r="C14888" s="9" t="s">
        <v>17</v>
      </c>
      <c r="D14888" s="9" t="s">
        <v>18</v>
      </c>
      <c r="E14888" s="10" t="s">
        <v>1981</v>
      </c>
      <c r="F14888" s="9" t="s">
        <v>2471</v>
      </c>
      <c r="G14888" s="10" t="s">
        <v>28</v>
      </c>
      <c r="H14888" s="9" t="s">
        <v>22</v>
      </c>
      <c r="I14888" s="9" t="s">
        <v>29985</v>
      </c>
      <c r="J14888" s="10" t="str">
        <f>HYPERLINK("https://www.boe.es/gazeta/dias/1834/12/13/pdfs/GMD-C-1834-302.pdf#page=5","Abrir facsímil")</f>
        <v>Abrir facsímil</v>
      </c>
      <c r="K14888" s="10" t="s">
        <v>24</v>
      </c>
    </row>
    <row r="14889" spans="1:11" ht="54" customHeight="1">
      <c r="A14889" s="9" t="s">
        <v>29919</v>
      </c>
      <c r="B14889" s="9" t="s">
        <v>29919</v>
      </c>
      <c r="C14889" s="9" t="s">
        <v>46</v>
      </c>
      <c r="D14889" s="9" t="s">
        <v>101</v>
      </c>
      <c r="E14889" s="10" t="s">
        <v>1424</v>
      </c>
      <c r="F14889" s="9" t="s">
        <v>1425</v>
      </c>
      <c r="G14889" s="10" t="s">
        <v>28</v>
      </c>
      <c r="H14889" s="9" t="s">
        <v>22</v>
      </c>
      <c r="I14889" s="9" t="s">
        <v>29986</v>
      </c>
      <c r="J14889" s="10" t="str">
        <f>HYPERLINK("https://www.boe.es/gazeta/dias/1834/11/14/pdfs/GMD-C-1834-273.pdf#page=5","Abrir facsímil")</f>
        <v>Abrir facsímil</v>
      </c>
      <c r="K14889" s="10" t="s">
        <v>24</v>
      </c>
    </row>
    <row r="14890" spans="1:11" ht="54" customHeight="1">
      <c r="A14890" s="9" t="s">
        <v>29919</v>
      </c>
      <c r="B14890" s="9" t="s">
        <v>29919</v>
      </c>
      <c r="C14890" s="9" t="s">
        <v>90</v>
      </c>
      <c r="D14890" s="9" t="s">
        <v>18</v>
      </c>
      <c r="E14890" s="10" t="s">
        <v>237</v>
      </c>
      <c r="F14890" s="9" t="s">
        <v>238</v>
      </c>
      <c r="G14890" s="10" t="s">
        <v>86</v>
      </c>
      <c r="H14890" s="9" t="s">
        <v>22</v>
      </c>
      <c r="I14890" s="9" t="s">
        <v>29987</v>
      </c>
      <c r="J14890" s="10" t="str">
        <f>HYPERLINK("https://www.boe.es/gazeta/dias/1834/08/15/pdfs/GMD-C-1834-180.pdf#page=2","Abrir facsímil")</f>
        <v>Abrir facsímil</v>
      </c>
      <c r="K14890" s="10" t="s">
        <v>24</v>
      </c>
    </row>
    <row r="14891" spans="1:11" ht="54" customHeight="1">
      <c r="A14891" s="9" t="s">
        <v>29919</v>
      </c>
      <c r="B14891" s="9" t="s">
        <v>29919</v>
      </c>
      <c r="C14891" s="9" t="s">
        <v>17</v>
      </c>
      <c r="D14891" s="9" t="s">
        <v>18</v>
      </c>
      <c r="E14891" s="10" t="s">
        <v>237</v>
      </c>
      <c r="F14891" s="9" t="s">
        <v>238</v>
      </c>
      <c r="G14891" s="10" t="s">
        <v>21</v>
      </c>
      <c r="H14891" s="9" t="s">
        <v>22</v>
      </c>
      <c r="I14891" s="9" t="s">
        <v>29988</v>
      </c>
      <c r="J14891" s="10" t="str">
        <f>HYPERLINK("https://www.boe.es/gazeta/dias/1834/08/15/pdfs/GMD-C-1834-180.pdf#page=3","Abrir facsímil")</f>
        <v>Abrir facsímil</v>
      </c>
      <c r="K14891" s="10" t="s">
        <v>24</v>
      </c>
    </row>
    <row r="14892" spans="1:11" ht="54" customHeight="1">
      <c r="A14892" s="9" t="s">
        <v>29919</v>
      </c>
      <c r="B14892" s="9" t="s">
        <v>29919</v>
      </c>
      <c r="C14892" s="9" t="s">
        <v>46</v>
      </c>
      <c r="D14892" s="9" t="s">
        <v>101</v>
      </c>
      <c r="E14892" s="10" t="s">
        <v>237</v>
      </c>
      <c r="F14892" s="9" t="s">
        <v>238</v>
      </c>
      <c r="G14892" s="10" t="s">
        <v>75</v>
      </c>
      <c r="H14892" s="9" t="s">
        <v>22</v>
      </c>
      <c r="I14892" s="9" t="s">
        <v>29989</v>
      </c>
      <c r="J14892" s="10" t="str">
        <f>HYPERLINK("https://www.boe.es/gazeta/dias/1834/08/15/pdfs/GMD-C-1834-180.pdf#page=4","Abrir facsímil")</f>
        <v>Abrir facsímil</v>
      </c>
      <c r="K14892" s="10" t="s">
        <v>24</v>
      </c>
    </row>
    <row r="14893" spans="1:11" ht="54" customHeight="1">
      <c r="A14893" s="9" t="s">
        <v>29919</v>
      </c>
      <c r="B14893" s="9" t="s">
        <v>29919</v>
      </c>
      <c r="C14893" s="9" t="s">
        <v>17</v>
      </c>
      <c r="D14893" s="9" t="s">
        <v>40</v>
      </c>
      <c r="E14893" s="10" t="s">
        <v>451</v>
      </c>
      <c r="F14893" s="9" t="s">
        <v>452</v>
      </c>
      <c r="G14893" s="10" t="s">
        <v>86</v>
      </c>
      <c r="H14893" s="9" t="s">
        <v>22</v>
      </c>
      <c r="I14893" s="9" t="s">
        <v>29990</v>
      </c>
      <c r="J14893" s="10" t="str">
        <f>HYPERLINK("https://www.boe.es/gazeta/dias/1834/10/15/pdfs/GMD-C-1834-243.pdf#page=2","Abrir facsímil")</f>
        <v>Abrir facsímil</v>
      </c>
      <c r="K14893" s="10" t="s">
        <v>24</v>
      </c>
    </row>
    <row r="14894" spans="1:11" ht="54" customHeight="1">
      <c r="A14894" s="9" t="s">
        <v>29919</v>
      </c>
      <c r="B14894" s="9" t="s">
        <v>29919</v>
      </c>
      <c r="C14894" s="9" t="s">
        <v>17</v>
      </c>
      <c r="D14894" s="9" t="s">
        <v>18</v>
      </c>
      <c r="E14894" s="10" t="s">
        <v>451</v>
      </c>
      <c r="F14894" s="9" t="s">
        <v>452</v>
      </c>
      <c r="G14894" s="10" t="s">
        <v>21</v>
      </c>
      <c r="H14894" s="9" t="s">
        <v>22</v>
      </c>
      <c r="I14894" s="9" t="s">
        <v>29991</v>
      </c>
      <c r="J14894" s="10" t="str">
        <f>HYPERLINK("https://www.boe.es/gazeta/dias/1834/10/15/pdfs/GMD-C-1834-243.pdf#page=3","Abrir facsímil")</f>
        <v>Abrir facsímil</v>
      </c>
      <c r="K14894" s="10" t="s">
        <v>24</v>
      </c>
    </row>
    <row r="14895" spans="1:11" ht="54" customHeight="1">
      <c r="A14895" s="9" t="s">
        <v>29919</v>
      </c>
      <c r="B14895" s="9" t="s">
        <v>29919</v>
      </c>
      <c r="C14895" s="9" t="s">
        <v>17</v>
      </c>
      <c r="D14895" s="9" t="s">
        <v>18</v>
      </c>
      <c r="E14895" s="10" t="s">
        <v>454</v>
      </c>
      <c r="F14895" s="9" t="s">
        <v>455</v>
      </c>
      <c r="G14895" s="10" t="s">
        <v>21</v>
      </c>
      <c r="H14895" s="9" t="s">
        <v>22</v>
      </c>
      <c r="I14895" s="9" t="s">
        <v>29992</v>
      </c>
      <c r="J14895" s="10" t="str">
        <f>HYPERLINK("https://www.boe.es/gazeta/dias/1834/10/16/pdfs/GMD-C-1834-244.pdf#page=3","Abrir facsímil")</f>
        <v>Abrir facsímil</v>
      </c>
      <c r="K14895" s="10" t="s">
        <v>24</v>
      </c>
    </row>
    <row r="14896" spans="1:11" ht="54" customHeight="1">
      <c r="A14896" s="9" t="s">
        <v>29919</v>
      </c>
      <c r="B14896" s="9" t="s">
        <v>29919</v>
      </c>
      <c r="C14896" s="9" t="s">
        <v>46</v>
      </c>
      <c r="D14896" s="9" t="s">
        <v>101</v>
      </c>
      <c r="E14896" s="10" t="s">
        <v>233</v>
      </c>
      <c r="F14896" s="9" t="s">
        <v>1810</v>
      </c>
      <c r="G14896" s="10" t="s">
        <v>176</v>
      </c>
      <c r="H14896" s="9" t="s">
        <v>22</v>
      </c>
      <c r="I14896" s="9" t="s">
        <v>29993</v>
      </c>
      <c r="J14896" s="10" t="str">
        <f>HYPERLINK("https://www.boe.es/gazeta/dias/1834/12/16/pdfs/GMD-C-1834-305.pdf#page=6","Abrir facsímil")</f>
        <v>Abrir facsímil</v>
      </c>
      <c r="K14896" s="10" t="s">
        <v>24</v>
      </c>
    </row>
    <row r="14897" spans="1:11" ht="54" customHeight="1">
      <c r="A14897" s="9" t="s">
        <v>29919</v>
      </c>
      <c r="B14897" s="9" t="s">
        <v>29919</v>
      </c>
      <c r="C14897" s="9" t="s">
        <v>46</v>
      </c>
      <c r="D14897" s="9" t="s">
        <v>101</v>
      </c>
      <c r="E14897" s="10" t="s">
        <v>233</v>
      </c>
      <c r="F14897" s="9" t="s">
        <v>1810</v>
      </c>
      <c r="G14897" s="10" t="s">
        <v>560</v>
      </c>
      <c r="H14897" s="9" t="s">
        <v>22</v>
      </c>
      <c r="I14897" s="9" t="s">
        <v>29994</v>
      </c>
      <c r="J14897" s="10" t="str">
        <f>HYPERLINK("https://www.boe.es/gazeta/dias/1834/12/16/pdfs/GMD-C-1834-305.pdf#page=7","Abrir facsímil")</f>
        <v>Abrir facsímil</v>
      </c>
      <c r="K14897" s="10" t="s">
        <v>24</v>
      </c>
    </row>
    <row r="14898" spans="1:11" ht="54" customHeight="1">
      <c r="A14898" s="9" t="s">
        <v>29919</v>
      </c>
      <c r="B14898" s="9" t="s">
        <v>29919</v>
      </c>
      <c r="C14898" s="9" t="s">
        <v>17</v>
      </c>
      <c r="D14898" s="9" t="s">
        <v>18</v>
      </c>
      <c r="E14898" s="10" t="s">
        <v>233</v>
      </c>
      <c r="F14898" s="9" t="s">
        <v>1810</v>
      </c>
      <c r="G14898" s="10" t="s">
        <v>470</v>
      </c>
      <c r="H14898" s="9" t="s">
        <v>22</v>
      </c>
      <c r="I14898" s="9" t="s">
        <v>29995</v>
      </c>
      <c r="J14898" s="10" t="str">
        <f>HYPERLINK("https://www.boe.es/gazeta/dias/1834/12/16/pdfs/GMD-C-1834-305.pdf#page=8","Abrir facsímil")</f>
        <v>Abrir facsímil</v>
      </c>
      <c r="K14898" s="10" t="s">
        <v>24</v>
      </c>
    </row>
    <row r="14899" spans="1:11" ht="54" customHeight="1">
      <c r="A14899" s="9" t="s">
        <v>29919</v>
      </c>
      <c r="B14899" s="9" t="s">
        <v>29919</v>
      </c>
      <c r="C14899" s="9" t="s">
        <v>46</v>
      </c>
      <c r="D14899" s="9" t="s">
        <v>18</v>
      </c>
      <c r="E14899" s="10" t="s">
        <v>233</v>
      </c>
      <c r="F14899" s="9" t="s">
        <v>1810</v>
      </c>
      <c r="G14899" s="10" t="s">
        <v>1343</v>
      </c>
      <c r="H14899" s="9" t="s">
        <v>22</v>
      </c>
      <c r="I14899" s="9" t="s">
        <v>29996</v>
      </c>
      <c r="J14899" s="10" t="str">
        <f>HYPERLINK("https://www.boe.es/gazeta/dias/1834/12/16/pdfs/GMD-C-1834-305.pdf#page=9","Abrir facsímil")</f>
        <v>Abrir facsímil</v>
      </c>
      <c r="K14899" s="10" t="s">
        <v>24</v>
      </c>
    </row>
    <row r="14900" spans="1:11" ht="54" customHeight="1">
      <c r="A14900" s="9" t="s">
        <v>29919</v>
      </c>
      <c r="B14900" s="9" t="s">
        <v>29919</v>
      </c>
      <c r="C14900" s="9" t="s">
        <v>122</v>
      </c>
      <c r="D14900" s="9" t="s">
        <v>18</v>
      </c>
      <c r="E14900" s="10" t="s">
        <v>19</v>
      </c>
      <c r="F14900" s="9" t="s">
        <v>20</v>
      </c>
      <c r="G14900" s="10" t="s">
        <v>21</v>
      </c>
      <c r="H14900" s="9" t="s">
        <v>22</v>
      </c>
      <c r="I14900" s="9" t="s">
        <v>29997</v>
      </c>
      <c r="J14900" s="10" t="str">
        <f>HYPERLINK("https://www.boe.es/gazeta/dias/1834/08/17/pdfs/GMD-D-1834-182.pdf#page=3","Abrir facsímil")</f>
        <v>Abrir facsímil</v>
      </c>
      <c r="K14900" s="10" t="s">
        <v>24</v>
      </c>
    </row>
    <row r="14901" spans="1:11" ht="54" customHeight="1">
      <c r="A14901" s="9" t="s">
        <v>29919</v>
      </c>
      <c r="B14901" s="9" t="s">
        <v>29919</v>
      </c>
      <c r="C14901" s="9" t="s">
        <v>17</v>
      </c>
      <c r="D14901" s="9" t="s">
        <v>18</v>
      </c>
      <c r="E14901" s="10" t="s">
        <v>715</v>
      </c>
      <c r="F14901" s="9" t="s">
        <v>716</v>
      </c>
      <c r="G14901" s="10" t="s">
        <v>75</v>
      </c>
      <c r="H14901" s="9" t="s">
        <v>22</v>
      </c>
      <c r="I14901" s="9" t="s">
        <v>29998</v>
      </c>
      <c r="J14901" s="10" t="str">
        <f>HYPERLINK("https://www.boe.es/gazeta/dias/1834/09/17/pdfs/GMD-C-1834-215.pdf#page=4","Abrir facsímil")</f>
        <v>Abrir facsímil</v>
      </c>
      <c r="K14901" s="10" t="s">
        <v>24</v>
      </c>
    </row>
    <row r="14902" spans="1:11" ht="54" customHeight="1">
      <c r="A14902" s="9" t="s">
        <v>29919</v>
      </c>
      <c r="B14902" s="9" t="s">
        <v>29919</v>
      </c>
      <c r="C14902" s="9" t="s">
        <v>46</v>
      </c>
      <c r="D14902" s="9" t="s">
        <v>18</v>
      </c>
      <c r="E14902" s="10" t="s">
        <v>1195</v>
      </c>
      <c r="F14902" s="9" t="s">
        <v>1196</v>
      </c>
      <c r="G14902" s="10" t="s">
        <v>2174</v>
      </c>
      <c r="H14902" s="9" t="s">
        <v>22</v>
      </c>
      <c r="I14902" s="9" t="s">
        <v>29999</v>
      </c>
      <c r="J14902" s="10" t="str">
        <f>HYPERLINK("https://www.boe.es/gazeta/dias/1834/10/17/pdfs/GMD-C-1834-245.pdf#page=10","Abrir facsímil")</f>
        <v>Abrir facsímil</v>
      </c>
      <c r="K14902" s="10" t="s">
        <v>24</v>
      </c>
    </row>
    <row r="14903" spans="1:11" ht="54" customHeight="1">
      <c r="A14903" s="9" t="s">
        <v>29919</v>
      </c>
      <c r="B14903" s="9" t="s">
        <v>29919</v>
      </c>
      <c r="C14903" s="9" t="s">
        <v>46</v>
      </c>
      <c r="D14903" s="9" t="s">
        <v>18</v>
      </c>
      <c r="E14903" s="10" t="s">
        <v>1195</v>
      </c>
      <c r="F14903" s="9" t="s">
        <v>1196</v>
      </c>
      <c r="G14903" s="10" t="s">
        <v>21</v>
      </c>
      <c r="H14903" s="9" t="s">
        <v>22</v>
      </c>
      <c r="I14903" s="9" t="s">
        <v>30000</v>
      </c>
      <c r="J14903" s="10" t="str">
        <f>HYPERLINK("https://www.boe.es/gazeta/dias/1834/10/17/pdfs/GMD-C-1834-245.pdf#page=3","Abrir facsímil")</f>
        <v>Abrir facsímil</v>
      </c>
      <c r="K14903" s="10" t="s">
        <v>24</v>
      </c>
    </row>
    <row r="14904" spans="1:11" ht="54" customHeight="1">
      <c r="A14904" s="9" t="s">
        <v>29919</v>
      </c>
      <c r="B14904" s="9" t="s">
        <v>29919</v>
      </c>
      <c r="C14904" s="9" t="s">
        <v>90</v>
      </c>
      <c r="D14904" s="9" t="s">
        <v>18</v>
      </c>
      <c r="E14904" s="10" t="s">
        <v>1195</v>
      </c>
      <c r="F14904" s="9" t="s">
        <v>1196</v>
      </c>
      <c r="G14904" s="10" t="s">
        <v>560</v>
      </c>
      <c r="H14904" s="9" t="s">
        <v>22</v>
      </c>
      <c r="I14904" s="9" t="s">
        <v>30001</v>
      </c>
      <c r="J14904" s="10" t="str">
        <f>HYPERLINK("https://www.boe.es/gazeta/dias/1834/10/17/pdfs/GMD-C-1834-245.pdf#page=7","Abrir facsímil")</f>
        <v>Abrir facsímil</v>
      </c>
      <c r="K14904" s="10" t="s">
        <v>24</v>
      </c>
    </row>
    <row r="14905" spans="1:11" ht="54" customHeight="1">
      <c r="A14905" s="9" t="s">
        <v>29919</v>
      </c>
      <c r="B14905" s="9" t="s">
        <v>29919</v>
      </c>
      <c r="C14905" s="9" t="s">
        <v>66</v>
      </c>
      <c r="D14905" s="9" t="s">
        <v>18</v>
      </c>
      <c r="E14905" s="10" t="s">
        <v>1195</v>
      </c>
      <c r="F14905" s="9" t="s">
        <v>1196</v>
      </c>
      <c r="G14905" s="10" t="s">
        <v>1343</v>
      </c>
      <c r="H14905" s="9" t="s">
        <v>22</v>
      </c>
      <c r="I14905" s="9" t="s">
        <v>30002</v>
      </c>
      <c r="J14905" s="10" t="str">
        <f>HYPERLINK("https://www.boe.es/gazeta/dias/1834/10/17/pdfs/GMD-C-1834-245.pdf#page=9","Abrir facsímil")</f>
        <v>Abrir facsímil</v>
      </c>
      <c r="K14905" s="10" t="s">
        <v>24</v>
      </c>
    </row>
    <row r="14906" spans="1:11" ht="54" customHeight="1">
      <c r="A14906" s="9" t="s">
        <v>29919</v>
      </c>
      <c r="B14906" s="9" t="s">
        <v>29919</v>
      </c>
      <c r="C14906" s="9" t="s">
        <v>17</v>
      </c>
      <c r="D14906" s="9" t="s">
        <v>18</v>
      </c>
      <c r="E14906" s="10" t="s">
        <v>2278</v>
      </c>
      <c r="F14906" s="9" t="s">
        <v>2279</v>
      </c>
      <c r="G14906" s="10" t="s">
        <v>86</v>
      </c>
      <c r="H14906" s="9" t="s">
        <v>22</v>
      </c>
      <c r="I14906" s="9" t="s">
        <v>30003</v>
      </c>
      <c r="J14906" s="10" t="str">
        <f>HYPERLINK("https://www.boe.es/gazeta/dias/1834/12/17/pdfs/GMD-C-1834-306.pdf#page=2","Abrir facsímil")</f>
        <v>Abrir facsímil</v>
      </c>
      <c r="K14906" s="10" t="s">
        <v>24</v>
      </c>
    </row>
    <row r="14907" spans="1:11" ht="54" customHeight="1">
      <c r="A14907" s="9" t="s">
        <v>29919</v>
      </c>
      <c r="B14907" s="9" t="s">
        <v>29919</v>
      </c>
      <c r="C14907" s="9" t="s">
        <v>17</v>
      </c>
      <c r="D14907" s="9" t="s">
        <v>18</v>
      </c>
      <c r="E14907" s="10" t="s">
        <v>2278</v>
      </c>
      <c r="F14907" s="9" t="s">
        <v>2279</v>
      </c>
      <c r="G14907" s="10" t="s">
        <v>75</v>
      </c>
      <c r="H14907" s="9" t="s">
        <v>22</v>
      </c>
      <c r="I14907" s="9" t="s">
        <v>30004</v>
      </c>
      <c r="J14907" s="10" t="str">
        <f>HYPERLINK("https://www.boe.es/gazeta/dias/1834/12/17/pdfs/GMD-C-1834-306.pdf#page=4","Abrir facsímil")</f>
        <v>Abrir facsímil</v>
      </c>
      <c r="K14907" s="10" t="s">
        <v>24</v>
      </c>
    </row>
    <row r="14908" spans="1:11" ht="54" customHeight="1">
      <c r="A14908" s="9" t="s">
        <v>29919</v>
      </c>
      <c r="B14908" s="9" t="s">
        <v>29919</v>
      </c>
      <c r="C14908" s="9" t="s">
        <v>46</v>
      </c>
      <c r="D14908" s="9" t="s">
        <v>101</v>
      </c>
      <c r="E14908" s="10" t="s">
        <v>2278</v>
      </c>
      <c r="F14908" s="9" t="s">
        <v>2279</v>
      </c>
      <c r="G14908" s="10" t="s">
        <v>28</v>
      </c>
      <c r="H14908" s="9" t="s">
        <v>22</v>
      </c>
      <c r="I14908" s="9" t="s">
        <v>30005</v>
      </c>
      <c r="J14908" s="10" t="str">
        <f>HYPERLINK("https://www.boe.es/gazeta/dias/1834/12/17/pdfs/GMD-C-1834-306.pdf#page=5","Abrir facsímil")</f>
        <v>Abrir facsímil</v>
      </c>
      <c r="K14908" s="10" t="s">
        <v>24</v>
      </c>
    </row>
    <row r="14909" spans="1:11" ht="54" customHeight="1">
      <c r="A14909" s="9" t="s">
        <v>29919</v>
      </c>
      <c r="B14909" s="9" t="s">
        <v>29919</v>
      </c>
      <c r="C14909" s="9" t="s">
        <v>66</v>
      </c>
      <c r="D14909" s="9" t="s">
        <v>67</v>
      </c>
      <c r="E14909" s="10" t="s">
        <v>772</v>
      </c>
      <c r="F14909" s="9" t="s">
        <v>2284</v>
      </c>
      <c r="G14909" s="10" t="s">
        <v>34</v>
      </c>
      <c r="H14909" s="9" t="s">
        <v>22</v>
      </c>
      <c r="I14909" s="9" t="s">
        <v>30006</v>
      </c>
      <c r="J14909" s="10" t="str">
        <f>HYPERLINK("https://www.boe.es/gazeta/dias/1834/09/18/pdfs/GMD-C-1834-216.pdf#page=1","Abrir facsímil")</f>
        <v>Abrir facsímil</v>
      </c>
      <c r="K14909" s="10" t="s">
        <v>24</v>
      </c>
    </row>
    <row r="14910" spans="1:11" ht="54" customHeight="1">
      <c r="A14910" s="9" t="s">
        <v>29919</v>
      </c>
      <c r="B14910" s="9" t="s">
        <v>29919</v>
      </c>
      <c r="C14910" s="9" t="s">
        <v>46</v>
      </c>
      <c r="D14910" s="9" t="s">
        <v>18</v>
      </c>
      <c r="E14910" s="10" t="s">
        <v>772</v>
      </c>
      <c r="F14910" s="9" t="s">
        <v>2284</v>
      </c>
      <c r="G14910" s="10" t="s">
        <v>21</v>
      </c>
      <c r="H14910" s="9" t="s">
        <v>22</v>
      </c>
      <c r="I14910" s="9" t="s">
        <v>30007</v>
      </c>
      <c r="J14910" s="10" t="str">
        <f>HYPERLINK("https://www.boe.es/gazeta/dias/1834/09/18/pdfs/GMD-C-1834-216.pdf#page=3","Abrir facsímil")</f>
        <v>Abrir facsímil</v>
      </c>
      <c r="K14910" s="10" t="s">
        <v>24</v>
      </c>
    </row>
    <row r="14911" spans="1:11" ht="54" customHeight="1">
      <c r="A14911" s="9" t="s">
        <v>29919</v>
      </c>
      <c r="B14911" s="9" t="s">
        <v>29919</v>
      </c>
      <c r="C14911" s="9" t="s">
        <v>17</v>
      </c>
      <c r="D14911" s="9" t="s">
        <v>18</v>
      </c>
      <c r="E14911" s="10" t="s">
        <v>262</v>
      </c>
      <c r="F14911" s="9" t="s">
        <v>263</v>
      </c>
      <c r="G14911" s="10" t="s">
        <v>21</v>
      </c>
      <c r="H14911" s="9" t="s">
        <v>22</v>
      </c>
      <c r="I14911" s="9" t="s">
        <v>30008</v>
      </c>
      <c r="J14911" s="10" t="str">
        <f>HYPERLINK("https://www.boe.es/gazeta/dias/1834/10/18/pdfs/GMD-C-1834-246.pdf#page=3","Abrir facsímil")</f>
        <v>Abrir facsímil</v>
      </c>
      <c r="K14911" s="10" t="s">
        <v>24</v>
      </c>
    </row>
    <row r="14912" spans="1:11" ht="54" customHeight="1">
      <c r="A14912" s="9" t="s">
        <v>29919</v>
      </c>
      <c r="B14912" s="9" t="s">
        <v>29919</v>
      </c>
      <c r="C14912" s="9" t="s">
        <v>17</v>
      </c>
      <c r="D14912" s="9" t="s">
        <v>18</v>
      </c>
      <c r="E14912" s="10" t="s">
        <v>262</v>
      </c>
      <c r="F14912" s="9" t="s">
        <v>263</v>
      </c>
      <c r="G14912" s="10" t="s">
        <v>28</v>
      </c>
      <c r="H14912" s="9" t="s">
        <v>22</v>
      </c>
      <c r="I14912" s="9" t="s">
        <v>30009</v>
      </c>
      <c r="J14912" s="10" t="str">
        <f>HYPERLINK("https://www.boe.es/gazeta/dias/1834/10/18/pdfs/GMD-C-1834-246.pdf#page=5","Abrir facsímil")</f>
        <v>Abrir facsímil</v>
      </c>
      <c r="K14912" s="10" t="s">
        <v>24</v>
      </c>
    </row>
    <row r="14913" spans="1:11" ht="54" customHeight="1">
      <c r="A14913" s="9" t="s">
        <v>29919</v>
      </c>
      <c r="B14913" s="9" t="s">
        <v>29919</v>
      </c>
      <c r="C14913" s="9" t="s">
        <v>17</v>
      </c>
      <c r="D14913" s="9" t="s">
        <v>18</v>
      </c>
      <c r="E14913" s="10" t="s">
        <v>2287</v>
      </c>
      <c r="F14913" s="9" t="s">
        <v>2288</v>
      </c>
      <c r="G14913" s="10" t="s">
        <v>21</v>
      </c>
      <c r="H14913" s="9" t="s">
        <v>22</v>
      </c>
      <c r="I14913" s="9" t="s">
        <v>30010</v>
      </c>
      <c r="J14913" s="10" t="str">
        <f>HYPERLINK("https://www.boe.es/gazeta/dias/1834/12/18/pdfs/GMD-C-1834-308.pdf#page=3","Abrir facsímil")</f>
        <v>Abrir facsímil</v>
      </c>
      <c r="K14913" s="10" t="s">
        <v>24</v>
      </c>
    </row>
    <row r="14914" spans="1:11" ht="54" customHeight="1">
      <c r="A14914" s="9" t="s">
        <v>29919</v>
      </c>
      <c r="B14914" s="9" t="s">
        <v>29919</v>
      </c>
      <c r="C14914" s="9" t="s">
        <v>17</v>
      </c>
      <c r="D14914" s="9" t="s">
        <v>18</v>
      </c>
      <c r="E14914" s="10" t="s">
        <v>2287</v>
      </c>
      <c r="F14914" s="9" t="s">
        <v>2288</v>
      </c>
      <c r="G14914" s="10" t="s">
        <v>176</v>
      </c>
      <c r="H14914" s="9" t="s">
        <v>22</v>
      </c>
      <c r="I14914" s="9" t="s">
        <v>30011</v>
      </c>
      <c r="J14914" s="10" t="str">
        <f>HYPERLINK("https://www.boe.es/gazeta/dias/1834/12/18/pdfs/GMD-C-1834-308.pdf#page=6","Abrir facsímil")</f>
        <v>Abrir facsímil</v>
      </c>
      <c r="K14914" s="10" t="s">
        <v>24</v>
      </c>
    </row>
    <row r="14915" spans="1:11" ht="54" customHeight="1">
      <c r="A14915" s="9" t="s">
        <v>29919</v>
      </c>
      <c r="B14915" s="9" t="s">
        <v>29919</v>
      </c>
      <c r="C14915" s="9" t="s">
        <v>46</v>
      </c>
      <c r="D14915" s="9" t="s">
        <v>18</v>
      </c>
      <c r="E14915" s="10" t="s">
        <v>672</v>
      </c>
      <c r="F14915" s="9" t="s">
        <v>1055</v>
      </c>
      <c r="G14915" s="10" t="s">
        <v>176</v>
      </c>
      <c r="H14915" s="9" t="s">
        <v>22</v>
      </c>
      <c r="I14915" s="9" t="s">
        <v>30012</v>
      </c>
      <c r="J14915" s="10" t="str">
        <f>HYPERLINK("https://www.boe.es/gazeta/dias/1834/09/19/pdfs/GMD-C-1834-217.pdf#page=6","Abrir facsímil")</f>
        <v>Abrir facsímil</v>
      </c>
      <c r="K14915" s="10" t="s">
        <v>24</v>
      </c>
    </row>
    <row r="14916" spans="1:11" ht="54" customHeight="1">
      <c r="A14916" s="9" t="s">
        <v>29919</v>
      </c>
      <c r="B14916" s="9" t="s">
        <v>29919</v>
      </c>
      <c r="C14916" s="9" t="s">
        <v>17</v>
      </c>
      <c r="D14916" s="9" t="s">
        <v>18</v>
      </c>
      <c r="E14916" s="10" t="s">
        <v>268</v>
      </c>
      <c r="F14916" s="9" t="s">
        <v>269</v>
      </c>
      <c r="G14916" s="10" t="s">
        <v>34</v>
      </c>
      <c r="H14916" s="9" t="s">
        <v>22</v>
      </c>
      <c r="I14916" s="9" t="s">
        <v>30013</v>
      </c>
      <c r="J14916" s="10" t="str">
        <f>HYPERLINK("https://www.boe.es/gazeta/dias/1834/12/19/pdfs/GMD-C-1834-309.pdf#page=1","Abrir facsímil")</f>
        <v>Abrir facsímil</v>
      </c>
      <c r="K14916" s="10" t="s">
        <v>24</v>
      </c>
    </row>
    <row r="14917" spans="1:11" ht="54" customHeight="1">
      <c r="A14917" s="9" t="s">
        <v>29919</v>
      </c>
      <c r="B14917" s="9" t="s">
        <v>29919</v>
      </c>
      <c r="C14917" s="9" t="s">
        <v>17</v>
      </c>
      <c r="D14917" s="9" t="s">
        <v>18</v>
      </c>
      <c r="E14917" s="10" t="s">
        <v>268</v>
      </c>
      <c r="F14917" s="9" t="s">
        <v>269</v>
      </c>
      <c r="G14917" s="10" t="s">
        <v>21</v>
      </c>
      <c r="H14917" s="9" t="s">
        <v>22</v>
      </c>
      <c r="I14917" s="9" t="s">
        <v>30014</v>
      </c>
      <c r="J14917" s="10" t="str">
        <f>HYPERLINK("https://www.boe.es/gazeta/dias/1834/12/19/pdfs/GMD-C-1834-309.pdf#page=3","Abrir facsímil")</f>
        <v>Abrir facsímil</v>
      </c>
      <c r="K14917" s="10" t="s">
        <v>24</v>
      </c>
    </row>
    <row r="14918" spans="1:11" ht="54" customHeight="1">
      <c r="A14918" s="9" t="s">
        <v>29919</v>
      </c>
      <c r="B14918" s="9" t="s">
        <v>29919</v>
      </c>
      <c r="C14918" s="9" t="s">
        <v>17</v>
      </c>
      <c r="D14918" s="9" t="s">
        <v>18</v>
      </c>
      <c r="E14918" s="10" t="s">
        <v>1973</v>
      </c>
      <c r="F14918" s="9" t="s">
        <v>1974</v>
      </c>
      <c r="G14918" s="10" t="s">
        <v>28</v>
      </c>
      <c r="H14918" s="9" t="s">
        <v>22</v>
      </c>
      <c r="I14918" s="9" t="s">
        <v>30015</v>
      </c>
      <c r="J14918" s="10" t="str">
        <f>HYPERLINK("https://www.boe.es/gazeta/dias/1834/12/20/pdfs/GMD-C-1834-310.pdf#page=5","Abrir facsímil")</f>
        <v>Abrir facsímil</v>
      </c>
      <c r="K14918" s="10" t="s">
        <v>24</v>
      </c>
    </row>
    <row r="14919" spans="1:11" ht="54" customHeight="1">
      <c r="A14919" s="9" t="s">
        <v>29919</v>
      </c>
      <c r="B14919" s="9" t="s">
        <v>29919</v>
      </c>
      <c r="C14919" s="9" t="s">
        <v>122</v>
      </c>
      <c r="D14919" s="9" t="s">
        <v>18</v>
      </c>
      <c r="E14919" s="10" t="s">
        <v>981</v>
      </c>
      <c r="F14919" s="9" t="s">
        <v>3406</v>
      </c>
      <c r="G14919" s="10" t="s">
        <v>34</v>
      </c>
      <c r="H14919" s="9" t="s">
        <v>22</v>
      </c>
      <c r="I14919" s="9" t="s">
        <v>30016</v>
      </c>
      <c r="J14919" s="10" t="str">
        <f>HYPERLINK("https://www.boe.es/gazeta/dias/1834/09/21/pdfs/GMD-C-1834-219.pdf#page=1","Abrir facsímil")</f>
        <v>Abrir facsímil</v>
      </c>
      <c r="K14919" s="10" t="s">
        <v>24</v>
      </c>
    </row>
    <row r="14920" spans="1:11" ht="54" customHeight="1">
      <c r="A14920" s="9" t="s">
        <v>29919</v>
      </c>
      <c r="B14920" s="9" t="s">
        <v>29919</v>
      </c>
      <c r="C14920" s="9" t="s">
        <v>46</v>
      </c>
      <c r="D14920" s="9" t="s">
        <v>18</v>
      </c>
      <c r="E14920" s="10" t="s">
        <v>981</v>
      </c>
      <c r="F14920" s="9" t="s">
        <v>3406</v>
      </c>
      <c r="G14920" s="10" t="s">
        <v>75</v>
      </c>
      <c r="H14920" s="9" t="s">
        <v>22</v>
      </c>
      <c r="I14920" s="9" t="s">
        <v>30017</v>
      </c>
      <c r="J14920" s="10" t="str">
        <f>HYPERLINK("https://www.boe.es/gazeta/dias/1834/09/21/pdfs/GMD-C-1834-219.pdf#page=4","Abrir facsímil")</f>
        <v>Abrir facsímil</v>
      </c>
      <c r="K14920" s="10" t="s">
        <v>24</v>
      </c>
    </row>
    <row r="14921" spans="1:11" ht="54" customHeight="1">
      <c r="A14921" s="9" t="s">
        <v>29919</v>
      </c>
      <c r="B14921" s="9" t="s">
        <v>29919</v>
      </c>
      <c r="C14921" s="9" t="s">
        <v>17</v>
      </c>
      <c r="D14921" s="9" t="s">
        <v>18</v>
      </c>
      <c r="E14921" s="10" t="s">
        <v>981</v>
      </c>
      <c r="F14921" s="9" t="s">
        <v>3406</v>
      </c>
      <c r="G14921" s="10" t="s">
        <v>28</v>
      </c>
      <c r="H14921" s="9" t="s">
        <v>22</v>
      </c>
      <c r="I14921" s="9" t="s">
        <v>30018</v>
      </c>
      <c r="J14921" s="10" t="str">
        <f>HYPERLINK("https://www.boe.es/gazeta/dias/1834/09/21/pdfs/GMD-C-1834-219.pdf#page=5","Abrir facsímil")</f>
        <v>Abrir facsímil</v>
      </c>
      <c r="K14921" s="10" t="s">
        <v>24</v>
      </c>
    </row>
    <row r="14922" spans="1:11" ht="54" customHeight="1">
      <c r="A14922" s="9" t="s">
        <v>29919</v>
      </c>
      <c r="B14922" s="9" t="s">
        <v>29919</v>
      </c>
      <c r="C14922" s="9" t="s">
        <v>90</v>
      </c>
      <c r="D14922" s="9" t="s">
        <v>18</v>
      </c>
      <c r="E14922" s="10" t="s">
        <v>647</v>
      </c>
      <c r="F14922" s="9" t="s">
        <v>648</v>
      </c>
      <c r="G14922" s="10" t="s">
        <v>86</v>
      </c>
      <c r="H14922" s="9" t="s">
        <v>22</v>
      </c>
      <c r="I14922" s="9" t="s">
        <v>30019</v>
      </c>
      <c r="J14922" s="10" t="str">
        <f>HYPERLINK("https://www.boe.es/gazeta/dias/1834/10/21/pdfs/GMD-C-1834-249.pdf#page=2","Abrir facsímil")</f>
        <v>Abrir facsímil</v>
      </c>
      <c r="K14922" s="10" t="s">
        <v>24</v>
      </c>
    </row>
    <row r="14923" spans="1:11" ht="54" customHeight="1">
      <c r="A14923" s="9" t="s">
        <v>29919</v>
      </c>
      <c r="B14923" s="9" t="s">
        <v>29919</v>
      </c>
      <c r="C14923" s="9" t="s">
        <v>17</v>
      </c>
      <c r="D14923" s="9" t="s">
        <v>18</v>
      </c>
      <c r="E14923" s="10" t="s">
        <v>647</v>
      </c>
      <c r="F14923" s="9" t="s">
        <v>648</v>
      </c>
      <c r="G14923" s="10" t="s">
        <v>75</v>
      </c>
      <c r="H14923" s="9" t="s">
        <v>22</v>
      </c>
      <c r="I14923" s="9" t="s">
        <v>30020</v>
      </c>
      <c r="J14923" s="10" t="str">
        <f>HYPERLINK("https://www.boe.es/gazeta/dias/1834/10/21/pdfs/GMD-C-1834-249.pdf#page=4","Abrir facsímil")</f>
        <v>Abrir facsímil</v>
      </c>
      <c r="K14923" s="10" t="s">
        <v>24</v>
      </c>
    </row>
    <row r="14924" spans="1:11" ht="54" customHeight="1">
      <c r="A14924" s="9" t="s">
        <v>29919</v>
      </c>
      <c r="B14924" s="9" t="s">
        <v>29919</v>
      </c>
      <c r="C14924" s="9" t="s">
        <v>66</v>
      </c>
      <c r="D14924" s="9" t="s">
        <v>18</v>
      </c>
      <c r="E14924" s="10" t="s">
        <v>647</v>
      </c>
      <c r="F14924" s="9" t="s">
        <v>648</v>
      </c>
      <c r="G14924" s="10" t="s">
        <v>560</v>
      </c>
      <c r="H14924" s="9" t="s">
        <v>22</v>
      </c>
      <c r="I14924" s="9" t="s">
        <v>30021</v>
      </c>
      <c r="J14924" s="10" t="str">
        <f>HYPERLINK("https://www.boe.es/gazeta/dias/1834/10/21/pdfs/GMD-C-1834-249.pdf#page=7","Abrir facsímil")</f>
        <v>Abrir facsímil</v>
      </c>
      <c r="K14924" s="10" t="s">
        <v>24</v>
      </c>
    </row>
    <row r="14925" spans="1:11" ht="54" customHeight="1">
      <c r="A14925" s="9" t="s">
        <v>29919</v>
      </c>
      <c r="B14925" s="9" t="s">
        <v>29919</v>
      </c>
      <c r="C14925" s="9" t="s">
        <v>90</v>
      </c>
      <c r="D14925" s="9" t="s">
        <v>18</v>
      </c>
      <c r="E14925" s="10" t="s">
        <v>492</v>
      </c>
      <c r="F14925" s="9" t="s">
        <v>493</v>
      </c>
      <c r="G14925" s="10" t="s">
        <v>34</v>
      </c>
      <c r="H14925" s="9" t="s">
        <v>22</v>
      </c>
      <c r="I14925" s="9" t="s">
        <v>30022</v>
      </c>
      <c r="J14925" s="10" t="str">
        <f>HYPERLINK("https://www.boe.es/gazeta/dias/1834/11/21/pdfs/GMD-C-1834-280.pdf#page=1","Abrir facsímil")</f>
        <v>Abrir facsímil</v>
      </c>
      <c r="K14925" s="10" t="s">
        <v>24</v>
      </c>
    </row>
    <row r="14926" spans="1:11" ht="54" customHeight="1">
      <c r="A14926" s="9" t="s">
        <v>29919</v>
      </c>
      <c r="B14926" s="9" t="s">
        <v>29919</v>
      </c>
      <c r="C14926" s="9" t="s">
        <v>122</v>
      </c>
      <c r="D14926" s="9" t="s">
        <v>18</v>
      </c>
      <c r="E14926" s="10" t="s">
        <v>492</v>
      </c>
      <c r="F14926" s="9" t="s">
        <v>493</v>
      </c>
      <c r="G14926" s="10" t="s">
        <v>28</v>
      </c>
      <c r="H14926" s="9" t="s">
        <v>22</v>
      </c>
      <c r="I14926" s="9" t="s">
        <v>30023</v>
      </c>
      <c r="J14926" s="10" t="str">
        <f>HYPERLINK("https://www.boe.es/gazeta/dias/1834/11/21/pdfs/GMD-C-1834-280.pdf#page=5","Abrir facsímil")</f>
        <v>Abrir facsímil</v>
      </c>
      <c r="K14926" s="10" t="s">
        <v>24</v>
      </c>
    </row>
    <row r="14927" spans="1:11" ht="54" customHeight="1">
      <c r="A14927" s="9" t="s">
        <v>29919</v>
      </c>
      <c r="B14927" s="9" t="s">
        <v>29919</v>
      </c>
      <c r="C14927" s="9" t="s">
        <v>17</v>
      </c>
      <c r="D14927" s="9" t="s">
        <v>18</v>
      </c>
      <c r="E14927" s="10" t="s">
        <v>610</v>
      </c>
      <c r="F14927" s="9" t="s">
        <v>611</v>
      </c>
      <c r="G14927" s="10" t="s">
        <v>34</v>
      </c>
      <c r="H14927" s="9" t="s">
        <v>22</v>
      </c>
      <c r="I14927" s="9" t="s">
        <v>30024</v>
      </c>
      <c r="J14927" s="10" t="str">
        <f>HYPERLINK("https://www.boe.es/gazeta/dias/1834/12/21/pdfs/GMD-C-1834-311.pdf#page=1","Abrir facsímil")</f>
        <v>Abrir facsímil</v>
      </c>
      <c r="K14927" s="10" t="s">
        <v>24</v>
      </c>
    </row>
    <row r="14928" spans="1:11" ht="54" customHeight="1">
      <c r="A14928" s="9" t="s">
        <v>29919</v>
      </c>
      <c r="B14928" s="9" t="s">
        <v>29919</v>
      </c>
      <c r="C14928" s="9" t="s">
        <v>46</v>
      </c>
      <c r="D14928" s="9" t="s">
        <v>101</v>
      </c>
      <c r="E14928" s="10" t="s">
        <v>627</v>
      </c>
      <c r="F14928" s="9" t="s">
        <v>628</v>
      </c>
      <c r="G14928" s="10" t="s">
        <v>34</v>
      </c>
      <c r="H14928" s="9" t="s">
        <v>22</v>
      </c>
      <c r="I14928" s="9" t="s">
        <v>30025</v>
      </c>
      <c r="J14928" s="10" t="str">
        <f>HYPERLINK("https://www.boe.es/gazeta/dias/1834/09/22/pdfs/GMD-C-1834-220.pdf#page=1","Abrir facsímil")</f>
        <v>Abrir facsímil</v>
      </c>
      <c r="K14928" s="10" t="s">
        <v>24</v>
      </c>
    </row>
    <row r="14929" spans="1:11" ht="54" customHeight="1">
      <c r="A14929" s="9" t="s">
        <v>29919</v>
      </c>
      <c r="B14929" s="9" t="s">
        <v>29919</v>
      </c>
      <c r="C14929" s="9" t="s">
        <v>17</v>
      </c>
      <c r="D14929" s="9" t="s">
        <v>18</v>
      </c>
      <c r="E14929" s="10" t="s">
        <v>627</v>
      </c>
      <c r="F14929" s="9" t="s">
        <v>628</v>
      </c>
      <c r="G14929" s="10" t="s">
        <v>86</v>
      </c>
      <c r="H14929" s="9" t="s">
        <v>22</v>
      </c>
      <c r="I14929" s="9" t="s">
        <v>30026</v>
      </c>
      <c r="J14929" s="10" t="str">
        <f>HYPERLINK("https://www.boe.es/gazeta/dias/1834/09/22/pdfs/GMD-C-1834-220.pdf#page=2","Abrir facsímil")</f>
        <v>Abrir facsímil</v>
      </c>
      <c r="K14929" s="10" t="s">
        <v>24</v>
      </c>
    </row>
    <row r="14930" spans="1:11" ht="54" customHeight="1">
      <c r="A14930" s="9" t="s">
        <v>29919</v>
      </c>
      <c r="B14930" s="9" t="s">
        <v>29919</v>
      </c>
      <c r="C14930" s="9" t="s">
        <v>122</v>
      </c>
      <c r="D14930" s="9" t="s">
        <v>40</v>
      </c>
      <c r="E14930" s="10" t="s">
        <v>702</v>
      </c>
      <c r="F14930" s="9" t="s">
        <v>703</v>
      </c>
      <c r="G14930" s="10" t="s">
        <v>34</v>
      </c>
      <c r="H14930" s="9" t="s">
        <v>22</v>
      </c>
      <c r="I14930" s="9" t="s">
        <v>30027</v>
      </c>
      <c r="J14930" s="10" t="str">
        <f>HYPERLINK("https://www.boe.es/gazeta/dias/1834/11/22/pdfs/GMD-C-1834-281.pdf#page=1","Abrir facsímil")</f>
        <v>Abrir facsímil</v>
      </c>
      <c r="K14930" s="10" t="s">
        <v>24</v>
      </c>
    </row>
    <row r="14931" spans="1:11" ht="54" customHeight="1">
      <c r="A14931" s="9" t="s">
        <v>29919</v>
      </c>
      <c r="B14931" s="9" t="s">
        <v>29919</v>
      </c>
      <c r="C14931" s="9" t="s">
        <v>90</v>
      </c>
      <c r="D14931" s="9" t="s">
        <v>18</v>
      </c>
      <c r="E14931" s="10" t="s">
        <v>247</v>
      </c>
      <c r="F14931" s="9" t="s">
        <v>248</v>
      </c>
      <c r="G14931" s="10" t="s">
        <v>34</v>
      </c>
      <c r="H14931" s="9" t="s">
        <v>22</v>
      </c>
      <c r="I14931" s="9" t="s">
        <v>30028</v>
      </c>
      <c r="J14931" s="10" t="str">
        <f>HYPERLINK("https://www.boe.es/gazeta/dias/1834/08/23/pdfs/GMD-C-1834-189.pdf#page=1","Abrir facsímil")</f>
        <v>Abrir facsímil</v>
      </c>
      <c r="K14931" s="10" t="s">
        <v>24</v>
      </c>
    </row>
    <row r="14932" spans="1:11" ht="54" customHeight="1">
      <c r="A14932" s="9" t="s">
        <v>29919</v>
      </c>
      <c r="B14932" s="9" t="s">
        <v>29919</v>
      </c>
      <c r="C14932" s="9" t="s">
        <v>17</v>
      </c>
      <c r="D14932" s="9" t="s">
        <v>18</v>
      </c>
      <c r="E14932" s="10" t="s">
        <v>247</v>
      </c>
      <c r="F14932" s="9" t="s">
        <v>248</v>
      </c>
      <c r="G14932" s="10" t="s">
        <v>86</v>
      </c>
      <c r="H14932" s="9" t="s">
        <v>22</v>
      </c>
      <c r="I14932" s="9" t="s">
        <v>30029</v>
      </c>
      <c r="J14932" s="10" t="str">
        <f>HYPERLINK("https://www.boe.es/gazeta/dias/1834/08/23/pdfs/GMD-C-1834-189.pdf#page=2","Abrir facsímil")</f>
        <v>Abrir facsímil</v>
      </c>
      <c r="K14932" s="10" t="s">
        <v>24</v>
      </c>
    </row>
    <row r="14933" spans="1:11" ht="54" customHeight="1">
      <c r="A14933" s="9" t="s">
        <v>29919</v>
      </c>
      <c r="B14933" s="9" t="s">
        <v>29919</v>
      </c>
      <c r="C14933" s="9" t="s">
        <v>17</v>
      </c>
      <c r="D14933" s="9" t="s">
        <v>18</v>
      </c>
      <c r="E14933" s="10" t="s">
        <v>667</v>
      </c>
      <c r="F14933" s="9" t="s">
        <v>668</v>
      </c>
      <c r="G14933" s="10" t="s">
        <v>34</v>
      </c>
      <c r="H14933" s="9" t="s">
        <v>22</v>
      </c>
      <c r="I14933" s="9" t="s">
        <v>30030</v>
      </c>
      <c r="J14933" s="10" t="str">
        <f>HYPERLINK("https://www.boe.es/gazeta/dias/1834/11/23/pdfs/GMD-C-1834-282.pdf#page=1","Abrir facsímil")</f>
        <v>Abrir facsímil</v>
      </c>
      <c r="K14933" s="10" t="s">
        <v>24</v>
      </c>
    </row>
    <row r="14934" spans="1:11" ht="54" customHeight="1">
      <c r="A14934" s="9" t="s">
        <v>29919</v>
      </c>
      <c r="B14934" s="9" t="s">
        <v>29919</v>
      </c>
      <c r="C14934" s="9" t="s">
        <v>66</v>
      </c>
      <c r="D14934" s="9" t="s">
        <v>67</v>
      </c>
      <c r="E14934" s="10" t="s">
        <v>667</v>
      </c>
      <c r="F14934" s="9" t="s">
        <v>668</v>
      </c>
      <c r="G14934" s="10" t="s">
        <v>86</v>
      </c>
      <c r="H14934" s="9" t="s">
        <v>22</v>
      </c>
      <c r="I14934" s="9" t="s">
        <v>30031</v>
      </c>
      <c r="J14934" s="10" t="str">
        <f>HYPERLINK("https://www.boe.es/gazeta/dias/1834/11/23/pdfs/GMD-C-1834-282.pdf#page=2","Abrir facsímil")</f>
        <v>Abrir facsímil</v>
      </c>
      <c r="K14934" s="10" t="s">
        <v>24</v>
      </c>
    </row>
    <row r="14935" spans="1:11" ht="54" customHeight="1">
      <c r="A14935" s="9" t="s">
        <v>29919</v>
      </c>
      <c r="B14935" s="9" t="s">
        <v>29919</v>
      </c>
      <c r="C14935" s="9" t="s">
        <v>17</v>
      </c>
      <c r="D14935" s="9" t="s">
        <v>18</v>
      </c>
      <c r="E14935" s="10" t="s">
        <v>667</v>
      </c>
      <c r="F14935" s="9" t="s">
        <v>668</v>
      </c>
      <c r="G14935" s="10" t="s">
        <v>21</v>
      </c>
      <c r="H14935" s="9" t="s">
        <v>22</v>
      </c>
      <c r="I14935" s="9" t="s">
        <v>30032</v>
      </c>
      <c r="J14935" s="10" t="str">
        <f>HYPERLINK("https://www.boe.es/gazeta/dias/1834/11/23/pdfs/GMD-C-1834-282.pdf#page=3","Abrir facsímil")</f>
        <v>Abrir facsímil</v>
      </c>
      <c r="K14935" s="10" t="s">
        <v>24</v>
      </c>
    </row>
    <row r="14936" spans="1:11" ht="54" customHeight="1">
      <c r="A14936" s="9" t="s">
        <v>29919</v>
      </c>
      <c r="B14936" s="9" t="s">
        <v>29919</v>
      </c>
      <c r="C14936" s="9" t="s">
        <v>17</v>
      </c>
      <c r="D14936" s="9" t="s">
        <v>55</v>
      </c>
      <c r="E14936" s="10" t="s">
        <v>394</v>
      </c>
      <c r="F14936" s="9" t="s">
        <v>459</v>
      </c>
      <c r="G14936" s="10" t="s">
        <v>86</v>
      </c>
      <c r="H14936" s="9" t="s">
        <v>22</v>
      </c>
      <c r="I14936" s="9" t="s">
        <v>30033</v>
      </c>
      <c r="J14936" s="10" t="str">
        <f>HYPERLINK("https://www.boe.es/gazeta/dias/1834/12/23/pdfs/GMD-C-1834-313.pdf#page=2","Abrir facsímil")</f>
        <v>Abrir facsímil</v>
      </c>
      <c r="K14936" s="10" t="s">
        <v>24</v>
      </c>
    </row>
    <row r="14937" spans="1:11" ht="54" customHeight="1">
      <c r="A14937" s="9" t="s">
        <v>29919</v>
      </c>
      <c r="B14937" s="9" t="s">
        <v>29919</v>
      </c>
      <c r="C14937" s="9" t="s">
        <v>46</v>
      </c>
      <c r="D14937" s="9" t="s">
        <v>18</v>
      </c>
      <c r="E14937" s="10" t="s">
        <v>394</v>
      </c>
      <c r="F14937" s="9" t="s">
        <v>459</v>
      </c>
      <c r="G14937" s="10" t="s">
        <v>28</v>
      </c>
      <c r="H14937" s="9" t="s">
        <v>22</v>
      </c>
      <c r="I14937" s="9" t="s">
        <v>30034</v>
      </c>
      <c r="J14937" s="10" t="str">
        <f>HYPERLINK("https://www.boe.es/gazeta/dias/1834/12/23/pdfs/GMD-C-1834-313.pdf#page=5","Abrir facsímil")</f>
        <v>Abrir facsímil</v>
      </c>
      <c r="K14937" s="10" t="s">
        <v>24</v>
      </c>
    </row>
    <row r="14938" spans="1:11" ht="54" customHeight="1">
      <c r="A14938" s="9" t="s">
        <v>29919</v>
      </c>
      <c r="B14938" s="9" t="s">
        <v>29919</v>
      </c>
      <c r="C14938" s="9" t="s">
        <v>46</v>
      </c>
      <c r="D14938" s="9" t="s">
        <v>101</v>
      </c>
      <c r="E14938" s="10" t="s">
        <v>378</v>
      </c>
      <c r="F14938" s="9" t="s">
        <v>888</v>
      </c>
      <c r="G14938" s="10" t="s">
        <v>34</v>
      </c>
      <c r="H14938" s="9" t="s">
        <v>22</v>
      </c>
      <c r="I14938" s="9" t="s">
        <v>30035</v>
      </c>
      <c r="J14938" s="10" t="str">
        <f>HYPERLINK("https://www.boe.es/gazeta/dias/1834/09/24/pdfs/GMD-C-1834-222.pdf#page=1","Abrir facsímil")</f>
        <v>Abrir facsímil</v>
      </c>
      <c r="K14938" s="10" t="s">
        <v>24</v>
      </c>
    </row>
    <row r="14939" spans="1:11" ht="54" customHeight="1">
      <c r="A14939" s="9" t="s">
        <v>29919</v>
      </c>
      <c r="B14939" s="9" t="s">
        <v>29919</v>
      </c>
      <c r="C14939" s="9" t="s">
        <v>17</v>
      </c>
      <c r="D14939" s="9" t="s">
        <v>18</v>
      </c>
      <c r="E14939" s="10" t="s">
        <v>378</v>
      </c>
      <c r="F14939" s="9" t="s">
        <v>888</v>
      </c>
      <c r="G14939" s="10" t="s">
        <v>75</v>
      </c>
      <c r="H14939" s="9" t="s">
        <v>22</v>
      </c>
      <c r="I14939" s="9" t="s">
        <v>30036</v>
      </c>
      <c r="J14939" s="10" t="str">
        <f>HYPERLINK("https://www.boe.es/gazeta/dias/1834/09/24/pdfs/GMD-C-1834-222.pdf#page=4","Abrir facsímil")</f>
        <v>Abrir facsímil</v>
      </c>
      <c r="K14939" s="10" t="s">
        <v>24</v>
      </c>
    </row>
    <row r="14940" spans="1:11" ht="54" customHeight="1">
      <c r="A14940" s="9" t="s">
        <v>29919</v>
      </c>
      <c r="B14940" s="9" t="s">
        <v>29919</v>
      </c>
      <c r="C14940" s="9" t="s">
        <v>46</v>
      </c>
      <c r="D14940" s="9" t="s">
        <v>18</v>
      </c>
      <c r="E14940" s="10" t="s">
        <v>128</v>
      </c>
      <c r="F14940" s="9" t="s">
        <v>129</v>
      </c>
      <c r="G14940" s="10" t="s">
        <v>28</v>
      </c>
      <c r="H14940" s="9" t="s">
        <v>22</v>
      </c>
      <c r="I14940" s="9" t="s">
        <v>30037</v>
      </c>
      <c r="J14940" s="10" t="str">
        <f>HYPERLINK("https://www.boe.es/gazeta/dias/1834/12/24/pdfs/GMD-C-1834-314.pdf#page=5","Abrir facsímil")</f>
        <v>Abrir facsímil</v>
      </c>
      <c r="K14940" s="10" t="s">
        <v>24</v>
      </c>
    </row>
    <row r="14941" spans="1:11" ht="54" customHeight="1">
      <c r="A14941" s="9" t="s">
        <v>29919</v>
      </c>
      <c r="B14941" s="9" t="s">
        <v>29919</v>
      </c>
      <c r="C14941" s="9" t="s">
        <v>17</v>
      </c>
      <c r="D14941" s="9" t="s">
        <v>18</v>
      </c>
      <c r="E14941" s="10" t="s">
        <v>403</v>
      </c>
      <c r="F14941" s="9" t="s">
        <v>404</v>
      </c>
      <c r="G14941" s="10" t="s">
        <v>34</v>
      </c>
      <c r="H14941" s="9" t="s">
        <v>22</v>
      </c>
      <c r="I14941" s="9" t="s">
        <v>30038</v>
      </c>
      <c r="J14941" s="10" t="str">
        <f>HYPERLINK("https://www.boe.es/gazeta/dias/1834/09/25/pdfs/GMD-C-1834-223.pdf#page=1","Abrir facsímil")</f>
        <v>Abrir facsímil</v>
      </c>
      <c r="K14941" s="10" t="s">
        <v>24</v>
      </c>
    </row>
    <row r="14942" spans="1:11" ht="54" customHeight="1">
      <c r="A14942" s="9" t="s">
        <v>29919</v>
      </c>
      <c r="B14942" s="9" t="s">
        <v>29919</v>
      </c>
      <c r="C14942" s="9" t="s">
        <v>46</v>
      </c>
      <c r="D14942" s="9" t="s">
        <v>101</v>
      </c>
      <c r="E14942" s="10" t="s">
        <v>403</v>
      </c>
      <c r="F14942" s="9" t="s">
        <v>404</v>
      </c>
      <c r="G14942" s="10" t="s">
        <v>176</v>
      </c>
      <c r="H14942" s="9" t="s">
        <v>22</v>
      </c>
      <c r="I14942" s="9" t="s">
        <v>30039</v>
      </c>
      <c r="J14942" s="10" t="str">
        <f>HYPERLINK("https://www.boe.es/gazeta/dias/1834/09/25/pdfs/GMD-C-1834-223.pdf#page=6","Abrir facsímil")</f>
        <v>Abrir facsímil</v>
      </c>
      <c r="K14942" s="10" t="s">
        <v>24</v>
      </c>
    </row>
    <row r="14943" spans="1:11" ht="54" customHeight="1">
      <c r="A14943" s="9" t="s">
        <v>29919</v>
      </c>
      <c r="B14943" s="9" t="s">
        <v>29919</v>
      </c>
      <c r="C14943" s="9" t="s">
        <v>17</v>
      </c>
      <c r="D14943" s="9" t="s">
        <v>18</v>
      </c>
      <c r="E14943" s="10" t="s">
        <v>1135</v>
      </c>
      <c r="F14943" s="9" t="s">
        <v>1566</v>
      </c>
      <c r="G14943" s="10" t="s">
        <v>34</v>
      </c>
      <c r="H14943" s="9" t="s">
        <v>22</v>
      </c>
      <c r="I14943" s="9" t="s">
        <v>30040</v>
      </c>
      <c r="J14943" s="10" t="str">
        <f>HYPERLINK("https://www.boe.es/gazeta/dias/1834/08/26/pdfs/GMD-C-1834-192.pdf#page=1","Abrir facsímil")</f>
        <v>Abrir facsímil</v>
      </c>
      <c r="K14943" s="10" t="s">
        <v>24</v>
      </c>
    </row>
    <row r="14944" spans="1:11" ht="54" customHeight="1">
      <c r="A14944" s="9" t="s">
        <v>29919</v>
      </c>
      <c r="B14944" s="9" t="s">
        <v>29919</v>
      </c>
      <c r="C14944" s="9" t="s">
        <v>17</v>
      </c>
      <c r="D14944" s="9" t="s">
        <v>18</v>
      </c>
      <c r="E14944" s="10" t="s">
        <v>251</v>
      </c>
      <c r="F14944" s="9" t="s">
        <v>252</v>
      </c>
      <c r="G14944" s="10" t="s">
        <v>34</v>
      </c>
      <c r="H14944" s="9" t="s">
        <v>22</v>
      </c>
      <c r="I14944" s="9" t="s">
        <v>30041</v>
      </c>
      <c r="J14944" s="10" t="str">
        <f>HYPERLINK("https://www.boe.es/gazeta/dias/1834/09/26/pdfs/GMD-C-1834-224.pdf#page=1","Abrir facsímil")</f>
        <v>Abrir facsímil</v>
      </c>
      <c r="K14944" s="10" t="s">
        <v>24</v>
      </c>
    </row>
    <row r="14945" spans="1:11" ht="54" customHeight="1">
      <c r="A14945" s="9" t="s">
        <v>29919</v>
      </c>
      <c r="B14945" s="9" t="s">
        <v>29919</v>
      </c>
      <c r="C14945" s="9" t="s">
        <v>17</v>
      </c>
      <c r="D14945" s="9" t="s">
        <v>18</v>
      </c>
      <c r="E14945" s="10" t="s">
        <v>251</v>
      </c>
      <c r="F14945" s="9" t="s">
        <v>252</v>
      </c>
      <c r="G14945" s="10" t="s">
        <v>470</v>
      </c>
      <c r="H14945" s="9" t="s">
        <v>22</v>
      </c>
      <c r="I14945" s="9" t="s">
        <v>30042</v>
      </c>
      <c r="J14945" s="10" t="str">
        <f>HYPERLINK("https://www.boe.es/gazeta/dias/1834/09/26/pdfs/GMD-C-1834-224.pdf#page=8","Abrir facsímil")</f>
        <v>Abrir facsímil</v>
      </c>
      <c r="K14945" s="10" t="s">
        <v>24</v>
      </c>
    </row>
    <row r="14946" spans="1:11" ht="54" customHeight="1">
      <c r="A14946" s="9" t="s">
        <v>29919</v>
      </c>
      <c r="B14946" s="9" t="s">
        <v>29919</v>
      </c>
      <c r="C14946" s="9" t="s">
        <v>17</v>
      </c>
      <c r="D14946" s="9" t="s">
        <v>18</v>
      </c>
      <c r="E14946" s="10" t="s">
        <v>1686</v>
      </c>
      <c r="F14946" s="9" t="s">
        <v>2311</v>
      </c>
      <c r="G14946" s="10" t="s">
        <v>34</v>
      </c>
      <c r="H14946" s="9" t="s">
        <v>22</v>
      </c>
      <c r="I14946" s="9" t="s">
        <v>30043</v>
      </c>
      <c r="J14946" s="10" t="str">
        <f>HYPERLINK("https://www.boe.es/gazeta/dias/1834/07/27/pdfs/GMD-C-1834-160.pdf#page=1","Abrir facsímil")</f>
        <v>Abrir facsímil</v>
      </c>
      <c r="K14946" s="10" t="s">
        <v>24</v>
      </c>
    </row>
    <row r="14947" spans="1:11" ht="54" customHeight="1">
      <c r="A14947" s="9" t="s">
        <v>29919</v>
      </c>
      <c r="B14947" s="9" t="s">
        <v>29919</v>
      </c>
      <c r="C14947" s="9" t="s">
        <v>46</v>
      </c>
      <c r="D14947" s="9" t="s">
        <v>101</v>
      </c>
      <c r="E14947" s="10" t="s">
        <v>462</v>
      </c>
      <c r="F14947" s="9" t="s">
        <v>463</v>
      </c>
      <c r="G14947" s="10" t="s">
        <v>34</v>
      </c>
      <c r="H14947" s="9" t="s">
        <v>22</v>
      </c>
      <c r="I14947" s="9" t="s">
        <v>30044</v>
      </c>
      <c r="J14947" s="10" t="str">
        <f>HYPERLINK("https://www.boe.es/gazeta/dias/1834/08/27/pdfs/GMD-C-1834-193.pdf#page=1","Abrir facsímil")</f>
        <v>Abrir facsímil</v>
      </c>
      <c r="K14947" s="10" t="s">
        <v>24</v>
      </c>
    </row>
    <row r="14948" spans="1:11" ht="54" customHeight="1">
      <c r="A14948" s="9" t="s">
        <v>29919</v>
      </c>
      <c r="B14948" s="9" t="s">
        <v>29919</v>
      </c>
      <c r="C14948" s="9" t="s">
        <v>17</v>
      </c>
      <c r="D14948" s="9" t="s">
        <v>18</v>
      </c>
      <c r="E14948" s="10" t="s">
        <v>462</v>
      </c>
      <c r="F14948" s="9" t="s">
        <v>463</v>
      </c>
      <c r="G14948" s="10" t="s">
        <v>86</v>
      </c>
      <c r="H14948" s="9" t="s">
        <v>22</v>
      </c>
      <c r="I14948" s="9" t="s">
        <v>30045</v>
      </c>
      <c r="J14948" s="10" t="str">
        <f>HYPERLINK("https://www.boe.es/gazeta/dias/1834/08/27/pdfs/GMD-C-1834-193.pdf#page=2","Abrir facsímil")</f>
        <v>Abrir facsímil</v>
      </c>
      <c r="K14948" s="10" t="s">
        <v>24</v>
      </c>
    </row>
    <row r="14949" spans="1:11" ht="54" customHeight="1">
      <c r="A14949" s="9" t="s">
        <v>29919</v>
      </c>
      <c r="B14949" s="9" t="s">
        <v>29919</v>
      </c>
      <c r="C14949" s="9" t="s">
        <v>46</v>
      </c>
      <c r="D14949" s="9" t="s">
        <v>55</v>
      </c>
      <c r="E14949" s="10" t="s">
        <v>294</v>
      </c>
      <c r="F14949" s="9" t="s">
        <v>959</v>
      </c>
      <c r="G14949" s="10" t="s">
        <v>34</v>
      </c>
      <c r="H14949" s="9" t="s">
        <v>22</v>
      </c>
      <c r="I14949" s="9" t="s">
        <v>30046</v>
      </c>
      <c r="J14949" s="10" t="str">
        <f>HYPERLINK("https://www.boe.es/gazeta/dias/1834/09/27/pdfs/GMD-C-1834-225.pdf#page=1","Abrir facsímil")</f>
        <v>Abrir facsímil</v>
      </c>
      <c r="K14949" s="10" t="s">
        <v>24</v>
      </c>
    </row>
    <row r="14950" spans="1:11" ht="54" customHeight="1">
      <c r="A14950" s="9" t="s">
        <v>29919</v>
      </c>
      <c r="B14950" s="9" t="s">
        <v>29919</v>
      </c>
      <c r="C14950" s="9" t="s">
        <v>17</v>
      </c>
      <c r="D14950" s="9" t="s">
        <v>18</v>
      </c>
      <c r="E14950" s="10" t="s">
        <v>465</v>
      </c>
      <c r="F14950" s="9" t="s">
        <v>466</v>
      </c>
      <c r="G14950" s="10" t="s">
        <v>21</v>
      </c>
      <c r="H14950" s="9" t="s">
        <v>22</v>
      </c>
      <c r="I14950" s="9" t="s">
        <v>30047</v>
      </c>
      <c r="J14950" s="10" t="str">
        <f>HYPERLINK("https://www.boe.es/gazeta/dias/1834/11/27/pdfs/GMD-C-1834-286.pdf#page=3","Abrir facsímil")</f>
        <v>Abrir facsímil</v>
      </c>
      <c r="K14950" s="10" t="s">
        <v>24</v>
      </c>
    </row>
    <row r="14951" spans="1:11" ht="54" customHeight="1">
      <c r="A14951" s="9" t="s">
        <v>29919</v>
      </c>
      <c r="B14951" s="9" t="s">
        <v>29919</v>
      </c>
      <c r="C14951" s="9" t="s">
        <v>90</v>
      </c>
      <c r="D14951" s="9" t="s">
        <v>18</v>
      </c>
      <c r="E14951" s="10" t="s">
        <v>465</v>
      </c>
      <c r="F14951" s="9" t="s">
        <v>466</v>
      </c>
      <c r="G14951" s="10" t="s">
        <v>28</v>
      </c>
      <c r="H14951" s="9" t="s">
        <v>22</v>
      </c>
      <c r="I14951" s="9" t="s">
        <v>30048</v>
      </c>
      <c r="J14951" s="10" t="str">
        <f>HYPERLINK("https://www.boe.es/gazeta/dias/1834/11/27/pdfs/GMD-C-1834-286.pdf#page=5","Abrir facsímil")</f>
        <v>Abrir facsímil</v>
      </c>
      <c r="K14951" s="10" t="s">
        <v>24</v>
      </c>
    </row>
    <row r="14952" spans="1:11" ht="54" customHeight="1">
      <c r="A14952" s="9" t="s">
        <v>29919</v>
      </c>
      <c r="B14952" s="9" t="s">
        <v>29919</v>
      </c>
      <c r="C14952" s="9" t="s">
        <v>66</v>
      </c>
      <c r="D14952" s="9" t="s">
        <v>67</v>
      </c>
      <c r="E14952" s="10" t="s">
        <v>465</v>
      </c>
      <c r="F14952" s="9" t="s">
        <v>466</v>
      </c>
      <c r="G14952" s="10" t="s">
        <v>176</v>
      </c>
      <c r="H14952" s="9" t="s">
        <v>22</v>
      </c>
      <c r="I14952" s="9" t="s">
        <v>30049</v>
      </c>
      <c r="J14952" s="10" t="str">
        <f>HYPERLINK("https://www.boe.es/gazeta/dias/1834/11/27/pdfs/GMD-C-1834-286.pdf#page=6","Abrir facsímil")</f>
        <v>Abrir facsímil</v>
      </c>
      <c r="K14952" s="10" t="s">
        <v>24</v>
      </c>
    </row>
    <row r="14953" spans="1:11" ht="54" customHeight="1">
      <c r="A14953" s="9" t="s">
        <v>29919</v>
      </c>
      <c r="B14953" s="9" t="s">
        <v>29919</v>
      </c>
      <c r="C14953" s="9" t="s">
        <v>17</v>
      </c>
      <c r="D14953" s="9" t="s">
        <v>18</v>
      </c>
      <c r="E14953" s="10" t="s">
        <v>2142</v>
      </c>
      <c r="F14953" s="9" t="s">
        <v>2316</v>
      </c>
      <c r="G14953" s="10" t="s">
        <v>86</v>
      </c>
      <c r="H14953" s="9" t="s">
        <v>22</v>
      </c>
      <c r="I14953" s="9" t="s">
        <v>30050</v>
      </c>
      <c r="J14953" s="10" t="str">
        <f>HYPERLINK("https://www.boe.es/gazeta/dias/1834/12/27/pdfs/GMD-C-1834-317.pdf#page=2","Abrir facsímil")</f>
        <v>Abrir facsímil</v>
      </c>
      <c r="K14953" s="10" t="s">
        <v>24</v>
      </c>
    </row>
    <row r="14954" spans="1:11" ht="54" customHeight="1">
      <c r="A14954" s="9" t="s">
        <v>29919</v>
      </c>
      <c r="B14954" s="9" t="s">
        <v>29919</v>
      </c>
      <c r="C14954" s="9" t="s">
        <v>17</v>
      </c>
      <c r="D14954" s="9" t="s">
        <v>18</v>
      </c>
      <c r="E14954" s="10" t="s">
        <v>2142</v>
      </c>
      <c r="F14954" s="9" t="s">
        <v>2316</v>
      </c>
      <c r="G14954" s="10" t="s">
        <v>21</v>
      </c>
      <c r="H14954" s="9" t="s">
        <v>22</v>
      </c>
      <c r="I14954" s="9" t="s">
        <v>30051</v>
      </c>
      <c r="J14954" s="10" t="str">
        <f>HYPERLINK("https://www.boe.es/gazeta/dias/1834/12/27/pdfs/GMD-C-1834-317.pdf#page=3","Abrir facsímil")</f>
        <v>Abrir facsímil</v>
      </c>
      <c r="K14954" s="10" t="s">
        <v>24</v>
      </c>
    </row>
    <row r="14955" spans="1:11" ht="54" customHeight="1">
      <c r="A14955" s="9" t="s">
        <v>29919</v>
      </c>
      <c r="B14955" s="9" t="s">
        <v>29919</v>
      </c>
      <c r="C14955" s="9" t="s">
        <v>46</v>
      </c>
      <c r="D14955" s="9" t="s">
        <v>18</v>
      </c>
      <c r="E14955" s="10" t="s">
        <v>1641</v>
      </c>
      <c r="F14955" s="9" t="s">
        <v>1642</v>
      </c>
      <c r="G14955" s="10" t="s">
        <v>28</v>
      </c>
      <c r="H14955" s="9" t="s">
        <v>22</v>
      </c>
      <c r="I14955" s="9" t="s">
        <v>30052</v>
      </c>
      <c r="J14955" s="10" t="str">
        <f>HYPERLINK("https://www.boe.es/gazeta/dias/1834/09/28/pdfs/GMD-C-1834-226.pdf#page=5","Abrir facsímil")</f>
        <v>Abrir facsímil</v>
      </c>
      <c r="K14955" s="10" t="s">
        <v>24</v>
      </c>
    </row>
    <row r="14956" spans="1:11" ht="54" customHeight="1">
      <c r="A14956" s="9" t="s">
        <v>29919</v>
      </c>
      <c r="B14956" s="9" t="s">
        <v>29919</v>
      </c>
      <c r="C14956" s="9" t="s">
        <v>46</v>
      </c>
      <c r="D14956" s="9" t="s">
        <v>101</v>
      </c>
      <c r="E14956" s="10" t="s">
        <v>468</v>
      </c>
      <c r="F14956" s="9" t="s">
        <v>469</v>
      </c>
      <c r="G14956" s="10" t="s">
        <v>1099</v>
      </c>
      <c r="H14956" s="9" t="s">
        <v>22</v>
      </c>
      <c r="I14956" s="9" t="s">
        <v>30053</v>
      </c>
      <c r="J14956" s="10" t="str">
        <f>HYPERLINK("https://www.boe.es/gazeta/dias/1834/12/28/pdfs/GMD-C-1834-318.pdf#page=11","Abrir facsímil")</f>
        <v>Abrir facsímil</v>
      </c>
      <c r="K14956" s="10" t="s">
        <v>24</v>
      </c>
    </row>
    <row r="14957" spans="1:11" ht="54" customHeight="1">
      <c r="A14957" s="9" t="s">
        <v>29919</v>
      </c>
      <c r="B14957" s="9" t="s">
        <v>29919</v>
      </c>
      <c r="C14957" s="9" t="s">
        <v>17</v>
      </c>
      <c r="D14957" s="9" t="s">
        <v>40</v>
      </c>
      <c r="E14957" s="10" t="s">
        <v>468</v>
      </c>
      <c r="F14957" s="9" t="s">
        <v>469</v>
      </c>
      <c r="G14957" s="10" t="s">
        <v>470</v>
      </c>
      <c r="H14957" s="9" t="s">
        <v>22</v>
      </c>
      <c r="I14957" s="9" t="s">
        <v>30054</v>
      </c>
      <c r="J14957" s="10" t="str">
        <f>HYPERLINK("https://www.boe.es/gazeta/dias/1834/12/28/pdfs/GMD-C-1834-318.pdf#page=8","Abrir facsímil")</f>
        <v>Abrir facsímil</v>
      </c>
      <c r="K14957" s="10" t="s">
        <v>24</v>
      </c>
    </row>
    <row r="14958" spans="1:11" ht="54" customHeight="1">
      <c r="A14958" s="9" t="s">
        <v>29919</v>
      </c>
      <c r="B14958" s="9" t="s">
        <v>29919</v>
      </c>
      <c r="C14958" s="9" t="s">
        <v>46</v>
      </c>
      <c r="D14958" s="9" t="s">
        <v>101</v>
      </c>
      <c r="E14958" s="10" t="s">
        <v>280</v>
      </c>
      <c r="F14958" s="9" t="s">
        <v>281</v>
      </c>
      <c r="G14958" s="10" t="s">
        <v>75</v>
      </c>
      <c r="H14958" s="9" t="s">
        <v>22</v>
      </c>
      <c r="I14958" s="9" t="s">
        <v>30055</v>
      </c>
      <c r="J14958" s="10" t="str">
        <f>HYPERLINK("https://www.boe.es/gazeta/dias/1834/08/29/pdfs/GMD-C-1834-195.pdf#page=4","Abrir facsímil")</f>
        <v>Abrir facsímil</v>
      </c>
      <c r="K14958" s="10" t="s">
        <v>24</v>
      </c>
    </row>
    <row r="14959" spans="1:11" ht="54" customHeight="1">
      <c r="A14959" s="9" t="s">
        <v>29919</v>
      </c>
      <c r="B14959" s="9" t="s">
        <v>29919</v>
      </c>
      <c r="C14959" s="9" t="s">
        <v>17</v>
      </c>
      <c r="D14959" s="9" t="s">
        <v>18</v>
      </c>
      <c r="E14959" s="10" t="s">
        <v>777</v>
      </c>
      <c r="F14959" s="9" t="s">
        <v>2535</v>
      </c>
      <c r="G14959" s="10" t="s">
        <v>34</v>
      </c>
      <c r="H14959" s="9" t="s">
        <v>22</v>
      </c>
      <c r="I14959" s="9" t="s">
        <v>30056</v>
      </c>
      <c r="J14959" s="10" t="str">
        <f>HYPERLINK("https://www.boe.es/gazeta/dias/1834/10/29/pdfs/GMD-C-1834-257.pdf#page=1","Abrir facsímil")</f>
        <v>Abrir facsímil</v>
      </c>
      <c r="K14959" s="10" t="s">
        <v>24</v>
      </c>
    </row>
    <row r="14960" spans="1:11" ht="54" customHeight="1">
      <c r="A14960" s="9" t="s">
        <v>29919</v>
      </c>
      <c r="B14960" s="9" t="s">
        <v>29919</v>
      </c>
      <c r="C14960" s="9" t="s">
        <v>17</v>
      </c>
      <c r="D14960" s="9" t="s">
        <v>18</v>
      </c>
      <c r="E14960" s="10" t="s">
        <v>777</v>
      </c>
      <c r="F14960" s="9" t="s">
        <v>2535</v>
      </c>
      <c r="G14960" s="10" t="s">
        <v>86</v>
      </c>
      <c r="H14960" s="9" t="s">
        <v>22</v>
      </c>
      <c r="I14960" s="9" t="s">
        <v>30057</v>
      </c>
      <c r="J14960" s="10" t="str">
        <f>HYPERLINK("https://www.boe.es/gazeta/dias/1834/10/29/pdfs/GMD-C-1834-257.pdf#page=2","Abrir facsímil")</f>
        <v>Abrir facsímil</v>
      </c>
      <c r="K14960" s="10" t="s">
        <v>24</v>
      </c>
    </row>
    <row r="14961" spans="1:11" ht="54" customHeight="1">
      <c r="A14961" s="9" t="s">
        <v>29919</v>
      </c>
      <c r="B14961" s="9" t="s">
        <v>29919</v>
      </c>
      <c r="C14961" s="9" t="s">
        <v>17</v>
      </c>
      <c r="D14961" s="9" t="s">
        <v>18</v>
      </c>
      <c r="E14961" s="10" t="s">
        <v>777</v>
      </c>
      <c r="F14961" s="9" t="s">
        <v>2535</v>
      </c>
      <c r="G14961" s="10" t="s">
        <v>75</v>
      </c>
      <c r="H14961" s="9" t="s">
        <v>22</v>
      </c>
      <c r="I14961" s="9" t="s">
        <v>30058</v>
      </c>
      <c r="J14961" s="10" t="str">
        <f>HYPERLINK("https://www.boe.es/gazeta/dias/1834/10/29/pdfs/GMD-C-1834-257.pdf#page=4","Abrir facsímil")</f>
        <v>Abrir facsímil</v>
      </c>
      <c r="K14961" s="10" t="s">
        <v>24</v>
      </c>
    </row>
    <row r="14962" spans="1:11" ht="54" customHeight="1">
      <c r="A14962" s="9" t="s">
        <v>29919</v>
      </c>
      <c r="B14962" s="9" t="s">
        <v>29919</v>
      </c>
      <c r="C14962" s="9" t="s">
        <v>17</v>
      </c>
      <c r="D14962" s="9" t="s">
        <v>18</v>
      </c>
      <c r="E14962" s="10" t="s">
        <v>777</v>
      </c>
      <c r="F14962" s="9" t="s">
        <v>2535</v>
      </c>
      <c r="G14962" s="10" t="s">
        <v>28</v>
      </c>
      <c r="H14962" s="9" t="s">
        <v>22</v>
      </c>
      <c r="I14962" s="9" t="s">
        <v>30059</v>
      </c>
      <c r="J14962" s="10" t="str">
        <f>HYPERLINK("https://www.boe.es/gazeta/dias/1834/10/29/pdfs/GMD-C-1834-257.pdf#page=5","Abrir facsímil")</f>
        <v>Abrir facsímil</v>
      </c>
      <c r="K14962" s="10" t="s">
        <v>24</v>
      </c>
    </row>
    <row r="14963" spans="1:11" ht="54" customHeight="1">
      <c r="A14963" s="9" t="s">
        <v>29919</v>
      </c>
      <c r="B14963" s="9" t="s">
        <v>29919</v>
      </c>
      <c r="C14963" s="9" t="s">
        <v>17</v>
      </c>
      <c r="D14963" s="9" t="s">
        <v>18</v>
      </c>
      <c r="E14963" s="10" t="s">
        <v>777</v>
      </c>
      <c r="F14963" s="9" t="s">
        <v>2535</v>
      </c>
      <c r="G14963" s="10" t="s">
        <v>176</v>
      </c>
      <c r="H14963" s="9" t="s">
        <v>22</v>
      </c>
      <c r="I14963" s="9" t="s">
        <v>30060</v>
      </c>
      <c r="J14963" s="10" t="str">
        <f>HYPERLINK("https://www.boe.es/gazeta/dias/1834/10/29/pdfs/GMD-C-1834-257.pdf#page=6","Abrir facsímil")</f>
        <v>Abrir facsímil</v>
      </c>
      <c r="K14963" s="10" t="s">
        <v>24</v>
      </c>
    </row>
    <row r="14964" spans="1:11" ht="54" customHeight="1">
      <c r="A14964" s="9" t="s">
        <v>29919</v>
      </c>
      <c r="B14964" s="9" t="s">
        <v>29919</v>
      </c>
      <c r="C14964" s="9" t="s">
        <v>17</v>
      </c>
      <c r="D14964" s="9" t="s">
        <v>18</v>
      </c>
      <c r="E14964" s="10" t="s">
        <v>777</v>
      </c>
      <c r="F14964" s="9" t="s">
        <v>2535</v>
      </c>
      <c r="G14964" s="10" t="s">
        <v>560</v>
      </c>
      <c r="H14964" s="9" t="s">
        <v>22</v>
      </c>
      <c r="I14964" s="9" t="s">
        <v>30061</v>
      </c>
      <c r="J14964" s="10" t="str">
        <f>HYPERLINK("https://www.boe.es/gazeta/dias/1834/10/29/pdfs/GMD-C-1834-257.pdf#page=7","Abrir facsímil")</f>
        <v>Abrir facsímil</v>
      </c>
      <c r="K14964" s="10" t="s">
        <v>24</v>
      </c>
    </row>
    <row r="14965" spans="1:11" ht="54" customHeight="1">
      <c r="A14965" s="9" t="s">
        <v>29919</v>
      </c>
      <c r="B14965" s="9" t="s">
        <v>29919</v>
      </c>
      <c r="C14965" s="9" t="s">
        <v>17</v>
      </c>
      <c r="D14965" s="9" t="s">
        <v>18</v>
      </c>
      <c r="E14965" s="10" t="s">
        <v>283</v>
      </c>
      <c r="F14965" s="9" t="s">
        <v>284</v>
      </c>
      <c r="G14965" s="10" t="s">
        <v>86</v>
      </c>
      <c r="H14965" s="9" t="s">
        <v>22</v>
      </c>
      <c r="I14965" s="9" t="s">
        <v>30062</v>
      </c>
      <c r="J14965" s="10" t="str">
        <f>HYPERLINK("https://www.boe.es/gazeta/dias/1834/11/29/pdfs/GMD-C-1834-288.pdf#page=2","Abrir facsímil")</f>
        <v>Abrir facsímil</v>
      </c>
      <c r="K14965" s="10" t="s">
        <v>24</v>
      </c>
    </row>
    <row r="14966" spans="1:11" ht="54" customHeight="1">
      <c r="A14966" s="9" t="s">
        <v>29919</v>
      </c>
      <c r="B14966" s="9" t="s">
        <v>29919</v>
      </c>
      <c r="C14966" s="9" t="s">
        <v>17</v>
      </c>
      <c r="D14966" s="9" t="s">
        <v>18</v>
      </c>
      <c r="E14966" s="10" t="s">
        <v>283</v>
      </c>
      <c r="F14966" s="9" t="s">
        <v>284</v>
      </c>
      <c r="G14966" s="10" t="s">
        <v>28</v>
      </c>
      <c r="H14966" s="9" t="s">
        <v>22</v>
      </c>
      <c r="I14966" s="9" t="s">
        <v>30063</v>
      </c>
      <c r="J14966" s="10" t="str">
        <f>HYPERLINK("https://www.boe.es/gazeta/dias/1834/11/29/pdfs/GMD-C-1834-288.pdf#page=5","Abrir facsímil")</f>
        <v>Abrir facsímil</v>
      </c>
      <c r="K14966" s="10" t="s">
        <v>24</v>
      </c>
    </row>
    <row r="14967" spans="1:11" ht="54" customHeight="1">
      <c r="A14967" s="9" t="s">
        <v>29919</v>
      </c>
      <c r="B14967" s="9" t="s">
        <v>29919</v>
      </c>
      <c r="C14967" s="9" t="s">
        <v>66</v>
      </c>
      <c r="D14967" s="9" t="s">
        <v>67</v>
      </c>
      <c r="E14967" s="10" t="s">
        <v>2526</v>
      </c>
      <c r="F14967" s="9" t="s">
        <v>2527</v>
      </c>
      <c r="G14967" s="10" t="s">
        <v>34</v>
      </c>
      <c r="H14967" s="9" t="s">
        <v>22</v>
      </c>
      <c r="I14967" s="9" t="s">
        <v>30064</v>
      </c>
      <c r="J14967" s="10" t="str">
        <f>HYPERLINK("https://www.boe.es/gazeta/dias/1834/12/29/pdfs/GMD-C-1834-319.pdf#page=1","Abrir facsímil")</f>
        <v>Abrir facsímil</v>
      </c>
      <c r="K14967" s="10" t="s">
        <v>24</v>
      </c>
    </row>
    <row r="14968" spans="1:11" ht="54" customHeight="1">
      <c r="A14968" s="9" t="s">
        <v>29919</v>
      </c>
      <c r="B14968" s="9" t="s">
        <v>29919</v>
      </c>
      <c r="C14968" s="9" t="s">
        <v>17</v>
      </c>
      <c r="D14968" s="9" t="s">
        <v>40</v>
      </c>
      <c r="E14968" s="10" t="s">
        <v>2526</v>
      </c>
      <c r="F14968" s="9" t="s">
        <v>2527</v>
      </c>
      <c r="G14968" s="10" t="s">
        <v>21</v>
      </c>
      <c r="H14968" s="9" t="s">
        <v>22</v>
      </c>
      <c r="I14968" s="9" t="s">
        <v>30065</v>
      </c>
      <c r="J14968" s="10" t="str">
        <f>HYPERLINK("https://www.boe.es/gazeta/dias/1834/12/29/pdfs/GMD-C-1834-319.pdf#page=3","Abrir facsímil")</f>
        <v>Abrir facsímil</v>
      </c>
      <c r="K14968" s="10" t="s">
        <v>24</v>
      </c>
    </row>
    <row r="14969" spans="1:11" ht="54" customHeight="1">
      <c r="A14969" s="9" t="s">
        <v>29919</v>
      </c>
      <c r="B14969" s="9" t="s">
        <v>29919</v>
      </c>
      <c r="C14969" s="9" t="s">
        <v>17</v>
      </c>
      <c r="D14969" s="9" t="s">
        <v>18</v>
      </c>
      <c r="E14969" s="10" t="s">
        <v>286</v>
      </c>
      <c r="F14969" s="9" t="s">
        <v>287</v>
      </c>
      <c r="G14969" s="10" t="s">
        <v>21</v>
      </c>
      <c r="H14969" s="9" t="s">
        <v>22</v>
      </c>
      <c r="I14969" s="9" t="s">
        <v>30066</v>
      </c>
      <c r="J14969" s="10" t="str">
        <f>HYPERLINK("https://www.boe.es/gazeta/dias/1834/08/30/pdfs/GMD-C-1834-196.pdf#page=3","Abrir facsímil")</f>
        <v>Abrir facsímil</v>
      </c>
      <c r="K14969" s="10" t="s">
        <v>24</v>
      </c>
    </row>
    <row r="14970" spans="1:11" ht="54" customHeight="1">
      <c r="A14970" s="9" t="s">
        <v>29919</v>
      </c>
      <c r="B14970" s="9" t="s">
        <v>29919</v>
      </c>
      <c r="C14970" s="9" t="s">
        <v>17</v>
      </c>
      <c r="D14970" s="9" t="s">
        <v>18</v>
      </c>
      <c r="E14970" s="10" t="s">
        <v>286</v>
      </c>
      <c r="F14970" s="9" t="s">
        <v>287</v>
      </c>
      <c r="G14970" s="10" t="s">
        <v>75</v>
      </c>
      <c r="H14970" s="9" t="s">
        <v>22</v>
      </c>
      <c r="I14970" s="9" t="s">
        <v>30067</v>
      </c>
      <c r="J14970" s="10" t="str">
        <f>HYPERLINK("https://www.boe.es/gazeta/dias/1834/08/30/pdfs/GMD-C-1834-196.pdf#page=4","Abrir facsímil")</f>
        <v>Abrir facsímil</v>
      </c>
      <c r="K14970" s="10" t="s">
        <v>24</v>
      </c>
    </row>
    <row r="14971" spans="1:11" ht="54" customHeight="1">
      <c r="A14971" s="9" t="s">
        <v>29919</v>
      </c>
      <c r="B14971" s="9" t="s">
        <v>29919</v>
      </c>
      <c r="C14971" s="9" t="s">
        <v>17</v>
      </c>
      <c r="D14971" s="9" t="s">
        <v>18</v>
      </c>
      <c r="E14971" s="10" t="s">
        <v>153</v>
      </c>
      <c r="F14971" s="9" t="s">
        <v>154</v>
      </c>
      <c r="G14971" s="10" t="s">
        <v>34</v>
      </c>
      <c r="H14971" s="9" t="s">
        <v>22</v>
      </c>
      <c r="I14971" s="9" t="s">
        <v>30068</v>
      </c>
      <c r="J14971" s="10" t="str">
        <f>HYPERLINK("https://www.boe.es/gazeta/dias/1834/12/30/pdfs/GMD-C-1834-320.pdf#page=1","Abrir facsímil")</f>
        <v>Abrir facsímil</v>
      </c>
      <c r="K14971" s="10" t="s">
        <v>24</v>
      </c>
    </row>
    <row r="14972" spans="1:11" ht="54" customHeight="1">
      <c r="A14972" s="9" t="s">
        <v>29919</v>
      </c>
      <c r="B14972" s="9" t="s">
        <v>29919</v>
      </c>
      <c r="C14972" s="9" t="s">
        <v>90</v>
      </c>
      <c r="D14972" s="9" t="s">
        <v>18</v>
      </c>
      <c r="E14972" s="10" t="s">
        <v>153</v>
      </c>
      <c r="F14972" s="9" t="s">
        <v>154</v>
      </c>
      <c r="G14972" s="10" t="s">
        <v>28</v>
      </c>
      <c r="H14972" s="9" t="s">
        <v>22</v>
      </c>
      <c r="I14972" s="9" t="s">
        <v>30069</v>
      </c>
      <c r="J14972" s="10" t="str">
        <f>HYPERLINK("https://www.boe.es/gazeta/dias/1834/12/30/pdfs/GMD-C-1834-320.pdf#page=5","Abrir facsímil")</f>
        <v>Abrir facsímil</v>
      </c>
      <c r="K14972" s="10" t="s">
        <v>24</v>
      </c>
    </row>
    <row r="14973" spans="1:11" ht="54" customHeight="1">
      <c r="A14973" s="9" t="s">
        <v>29919</v>
      </c>
      <c r="B14973" s="9" t="s">
        <v>29919</v>
      </c>
      <c r="C14973" s="9" t="s">
        <v>17</v>
      </c>
      <c r="D14973" s="9" t="s">
        <v>18</v>
      </c>
      <c r="E14973" s="10" t="s">
        <v>153</v>
      </c>
      <c r="F14973" s="9" t="s">
        <v>154</v>
      </c>
      <c r="G14973" s="10" t="s">
        <v>176</v>
      </c>
      <c r="H14973" s="9" t="s">
        <v>22</v>
      </c>
      <c r="I14973" s="9" t="s">
        <v>30070</v>
      </c>
      <c r="J14973" s="10" t="str">
        <f>HYPERLINK("https://www.boe.es/gazeta/dias/1834/12/30/pdfs/GMD-C-1834-320.pdf#page=6","Abrir facsímil")</f>
        <v>Abrir facsímil</v>
      </c>
      <c r="K14973" s="10" t="s">
        <v>24</v>
      </c>
    </row>
    <row r="14974" spans="1:11" ht="54" customHeight="1">
      <c r="A14974" s="9" t="s">
        <v>29919</v>
      </c>
      <c r="B14974" s="9" t="s">
        <v>29919</v>
      </c>
      <c r="C14974" s="9" t="s">
        <v>17</v>
      </c>
      <c r="D14974" s="9" t="s">
        <v>18</v>
      </c>
      <c r="E14974" s="10" t="s">
        <v>273</v>
      </c>
      <c r="F14974" s="9" t="s">
        <v>274</v>
      </c>
      <c r="G14974" s="10" t="s">
        <v>21</v>
      </c>
      <c r="H14974" s="9" t="s">
        <v>22</v>
      </c>
      <c r="I14974" s="9" t="s">
        <v>30071</v>
      </c>
      <c r="J14974" s="10" t="str">
        <f>HYPERLINK("https://www.boe.es/gazeta/dias/1834/08/31/pdfs/GMD-D-1834-198.pdf#page=3","Abrir facsímil")</f>
        <v>Abrir facsímil</v>
      </c>
      <c r="K14974" s="10" t="s">
        <v>24</v>
      </c>
    </row>
    <row r="14975" spans="1:11" ht="54" customHeight="1">
      <c r="A14975" s="9" t="s">
        <v>29919</v>
      </c>
      <c r="B14975" s="9" t="s">
        <v>29919</v>
      </c>
      <c r="C14975" s="9" t="s">
        <v>90</v>
      </c>
      <c r="D14975" s="9" t="s">
        <v>18</v>
      </c>
      <c r="E14975" s="10" t="s">
        <v>891</v>
      </c>
      <c r="F14975" s="9" t="s">
        <v>892</v>
      </c>
      <c r="G14975" s="10" t="s">
        <v>34</v>
      </c>
      <c r="H14975" s="9" t="s">
        <v>22</v>
      </c>
      <c r="I14975" s="9" t="s">
        <v>30072</v>
      </c>
      <c r="J14975" s="10" t="str">
        <f>HYPERLINK("https://www.boe.es/gazeta/dias/1834/10/31/pdfs/GMD-C-1834-259.pdf#page=1","Abrir facsímil")</f>
        <v>Abrir facsímil</v>
      </c>
      <c r="K14975" s="10" t="s">
        <v>24</v>
      </c>
    </row>
    <row r="14976" spans="1:11" ht="54" customHeight="1">
      <c r="A14976" s="9" t="s">
        <v>29919</v>
      </c>
      <c r="B14976" s="9" t="s">
        <v>29919</v>
      </c>
      <c r="C14976" s="9" t="s">
        <v>17</v>
      </c>
      <c r="D14976" s="9" t="s">
        <v>18</v>
      </c>
      <c r="E14976" s="10" t="s">
        <v>891</v>
      </c>
      <c r="F14976" s="9" t="s">
        <v>892</v>
      </c>
      <c r="G14976" s="10" t="s">
        <v>86</v>
      </c>
      <c r="H14976" s="9" t="s">
        <v>22</v>
      </c>
      <c r="I14976" s="9" t="s">
        <v>30073</v>
      </c>
      <c r="J14976" s="10" t="str">
        <f>HYPERLINK("https://www.boe.es/gazeta/dias/1834/10/31/pdfs/GMD-C-1834-259.pdf#page=2","Abrir facsímil")</f>
        <v>Abrir facsímil</v>
      </c>
      <c r="K14976" s="10" t="s">
        <v>24</v>
      </c>
    </row>
    <row r="14977" spans="1:11" ht="54" customHeight="1">
      <c r="A14977" s="9" t="s">
        <v>29919</v>
      </c>
      <c r="B14977" s="9" t="s">
        <v>29919</v>
      </c>
      <c r="C14977" s="9" t="s">
        <v>17</v>
      </c>
      <c r="D14977" s="9" t="s">
        <v>18</v>
      </c>
      <c r="E14977" s="10" t="s">
        <v>192</v>
      </c>
      <c r="F14977" s="9" t="s">
        <v>2713</v>
      </c>
      <c r="G14977" s="10" t="s">
        <v>75</v>
      </c>
      <c r="H14977" s="9" t="s">
        <v>22</v>
      </c>
      <c r="I14977" s="9" t="s">
        <v>30074</v>
      </c>
      <c r="J14977" s="10" t="str">
        <f>HYPERLINK("https://www.boe.es/gazeta/dias/1834/12/31/pdfs/GMD-C-1834-321.pdf#page=4","Abrir facsímil")</f>
        <v>Abrir facsímil</v>
      </c>
      <c r="K14977" s="10" t="s">
        <v>24</v>
      </c>
    </row>
    <row r="14978" spans="1:11" ht="54" customHeight="1">
      <c r="A14978" s="9" t="s">
        <v>30075</v>
      </c>
      <c r="B14978" s="9" t="s">
        <v>30076</v>
      </c>
      <c r="C14978" s="9" t="s">
        <v>46</v>
      </c>
      <c r="D14978" s="9" t="s">
        <v>101</v>
      </c>
      <c r="E14978" s="10" t="s">
        <v>233</v>
      </c>
      <c r="F14978" s="9" t="s">
        <v>1810</v>
      </c>
      <c r="G14978" s="10" t="s">
        <v>560</v>
      </c>
      <c r="H14978" s="9" t="s">
        <v>22</v>
      </c>
      <c r="I14978" s="9" t="s">
        <v>30077</v>
      </c>
      <c r="J14978" s="10" t="str">
        <f>HYPERLINK("https://www.boe.es/gazeta/dias/1834/12/16/pdfs/GMD-C-1834-305.pdf#page=7","Abrir facsímil")</f>
        <v>Abrir facsímil</v>
      </c>
      <c r="K14978" s="10" t="s">
        <v>24</v>
      </c>
    </row>
    <row r="14979" spans="1:11" ht="54" customHeight="1">
      <c r="A14979" s="9" t="s">
        <v>30078</v>
      </c>
      <c r="B14979" s="9" t="s">
        <v>30079</v>
      </c>
      <c r="C14979" s="9" t="s">
        <v>17</v>
      </c>
      <c r="D14979" s="9" t="s">
        <v>40</v>
      </c>
      <c r="E14979" s="10" t="s">
        <v>2748</v>
      </c>
      <c r="F14979" s="9" t="s">
        <v>2749</v>
      </c>
      <c r="G14979" s="10" t="s">
        <v>75</v>
      </c>
      <c r="H14979" s="9" t="s">
        <v>22</v>
      </c>
      <c r="I14979" s="9" t="s">
        <v>30080</v>
      </c>
      <c r="J14979" s="10" t="str">
        <f>HYPERLINK("https://www.boe.es/gazeta/dias/1834/01/09/pdfs/GMD-1834-5.pdf#page=4","Abrir facsímil")</f>
        <v>Abrir facsímil</v>
      </c>
      <c r="K14979" s="10" t="s">
        <v>24</v>
      </c>
    </row>
    <row r="14980" spans="1:11" ht="54" customHeight="1">
      <c r="A14980" s="9" t="s">
        <v>30081</v>
      </c>
      <c r="B14980" s="9" t="s">
        <v>30082</v>
      </c>
      <c r="C14980" s="9" t="s">
        <v>17</v>
      </c>
      <c r="D14980" s="9" t="s">
        <v>18</v>
      </c>
      <c r="E14980" s="10" t="s">
        <v>158</v>
      </c>
      <c r="F14980" s="9" t="s">
        <v>581</v>
      </c>
      <c r="G14980" s="10" t="s">
        <v>34</v>
      </c>
      <c r="H14980" s="9" t="s">
        <v>22</v>
      </c>
      <c r="I14980" s="9" t="s">
        <v>30083</v>
      </c>
      <c r="J14980" s="10" t="str">
        <f>HYPERLINK("https://www.boe.es/gazeta/dias/1834/10/01/pdfs/GMD-C-1834-229.pdf#page=1","Abrir facsímil")</f>
        <v>Abrir facsímil</v>
      </c>
      <c r="K14980" s="10" t="s">
        <v>24</v>
      </c>
    </row>
    <row r="14981" spans="1:11" ht="54" customHeight="1">
      <c r="A14981" s="9" t="s">
        <v>30084</v>
      </c>
      <c r="B14981" s="9" t="s">
        <v>30085</v>
      </c>
      <c r="C14981" s="9" t="s">
        <v>46</v>
      </c>
      <c r="D14981" s="9" t="s">
        <v>101</v>
      </c>
      <c r="E14981" s="10" t="s">
        <v>233</v>
      </c>
      <c r="F14981" s="9" t="s">
        <v>1810</v>
      </c>
      <c r="G14981" s="10" t="s">
        <v>560</v>
      </c>
      <c r="H14981" s="9" t="s">
        <v>22</v>
      </c>
      <c r="I14981" s="9" t="s">
        <v>30086</v>
      </c>
      <c r="J14981" s="10" t="str">
        <f>HYPERLINK("https://www.boe.es/gazeta/dias/1834/12/16/pdfs/GMD-C-1834-305.pdf#page=7","Abrir facsímil")</f>
        <v>Abrir facsímil</v>
      </c>
      <c r="K14981" s="10" t="s">
        <v>24</v>
      </c>
    </row>
    <row r="14982" spans="1:11" ht="54" customHeight="1">
      <c r="A14982" s="9" t="s">
        <v>30087</v>
      </c>
      <c r="B14982" s="9" t="s">
        <v>30087</v>
      </c>
      <c r="C14982" s="9" t="s">
        <v>17</v>
      </c>
      <c r="D14982" s="9" t="s">
        <v>18</v>
      </c>
      <c r="E14982" s="10" t="s">
        <v>251</v>
      </c>
      <c r="F14982" s="9" t="s">
        <v>252</v>
      </c>
      <c r="G14982" s="10" t="s">
        <v>470</v>
      </c>
      <c r="H14982" s="9" t="s">
        <v>22</v>
      </c>
      <c r="I14982" s="9" t="s">
        <v>30088</v>
      </c>
      <c r="J14982" s="10" t="str">
        <f>HYPERLINK("https://www.boe.es/gazeta/dias/1834/09/26/pdfs/GMD-C-1834-224.pdf#page=8","Abrir facsímil")</f>
        <v>Abrir facsímil</v>
      </c>
      <c r="K14982" s="10" t="s">
        <v>24</v>
      </c>
    </row>
    <row r="14983" spans="1:11" ht="54" customHeight="1">
      <c r="A14983" s="9" t="s">
        <v>30089</v>
      </c>
      <c r="B14983" s="9" t="s">
        <v>30089</v>
      </c>
      <c r="C14983" s="9" t="s">
        <v>17</v>
      </c>
      <c r="D14983" s="9" t="s">
        <v>18</v>
      </c>
      <c r="E14983" s="10" t="s">
        <v>1008</v>
      </c>
      <c r="F14983" s="9" t="s">
        <v>1009</v>
      </c>
      <c r="G14983" s="10" t="s">
        <v>34</v>
      </c>
      <c r="H14983" s="9" t="s">
        <v>22</v>
      </c>
      <c r="I14983" s="9" t="s">
        <v>30090</v>
      </c>
      <c r="J14983" s="10" t="str">
        <f>HYPERLINK("https://www.boe.es/gazeta/dias/1834/11/08/pdfs/GMD-C-1834-267.pdf#page=1","Abrir facsímil")</f>
        <v>Abrir facsímil</v>
      </c>
      <c r="K14983" s="10" t="s">
        <v>24</v>
      </c>
    </row>
    <row r="14984" spans="1:11" ht="54" customHeight="1">
      <c r="A14984" s="9" t="s">
        <v>30091</v>
      </c>
      <c r="B14984" s="9" t="s">
        <v>30092</v>
      </c>
      <c r="C14984" s="9" t="s">
        <v>66</v>
      </c>
      <c r="D14984" s="9" t="s">
        <v>67</v>
      </c>
      <c r="E14984" s="10" t="s">
        <v>563</v>
      </c>
      <c r="F14984" s="9" t="s">
        <v>564</v>
      </c>
      <c r="G14984" s="10" t="s">
        <v>75</v>
      </c>
      <c r="H14984" s="9" t="s">
        <v>22</v>
      </c>
      <c r="I14984" s="9" t="s">
        <v>30093</v>
      </c>
      <c r="J14984" s="10" t="str">
        <f>HYPERLINK("https://www.boe.es/gazeta/dias/1834/04/19/pdfs/GMD-1834-58.pdf#page=4","Abrir facsímil")</f>
        <v>Abrir facsímil</v>
      </c>
      <c r="K14984" s="10" t="s">
        <v>24</v>
      </c>
    </row>
    <row r="14985" spans="1:11" ht="54" customHeight="1">
      <c r="A14985" s="9" t="s">
        <v>30094</v>
      </c>
      <c r="B14985" s="9" t="s">
        <v>30095</v>
      </c>
      <c r="C14985" s="9" t="s">
        <v>17</v>
      </c>
      <c r="D14985" s="9" t="s">
        <v>18</v>
      </c>
      <c r="E14985" s="10" t="s">
        <v>590</v>
      </c>
      <c r="F14985" s="9" t="s">
        <v>17808</v>
      </c>
      <c r="G14985" s="10" t="s">
        <v>34</v>
      </c>
      <c r="H14985" s="9" t="s">
        <v>22</v>
      </c>
      <c r="I14985" s="9" t="s">
        <v>30096</v>
      </c>
      <c r="J14985" s="10" t="str">
        <f>HYPERLINK("https://www.boe.es/gazeta/dias/1834/11/30/pdfs/GMD-C-1834-289.pdf#page=1","Abrir facsímil")</f>
        <v>Abrir facsímil</v>
      </c>
      <c r="K14985" s="10" t="s">
        <v>24</v>
      </c>
    </row>
    <row r="14986" spans="1:11" ht="54" customHeight="1">
      <c r="A14986" s="9" t="s">
        <v>30097</v>
      </c>
      <c r="B14986" s="9" t="s">
        <v>30097</v>
      </c>
      <c r="C14986" s="9" t="s">
        <v>122</v>
      </c>
      <c r="D14986" s="9" t="s">
        <v>18</v>
      </c>
      <c r="E14986" s="10" t="s">
        <v>426</v>
      </c>
      <c r="F14986" s="9" t="s">
        <v>694</v>
      </c>
      <c r="G14986" s="10" t="s">
        <v>21</v>
      </c>
      <c r="H14986" s="9" t="s">
        <v>22</v>
      </c>
      <c r="I14986" s="9" t="s">
        <v>30098</v>
      </c>
      <c r="J14986" s="10" t="str">
        <f>HYPERLINK("https://www.boe.es/gazeta/dias/1834/10/04/pdfs/GMD-C-1834-232.pdf#page=3","Abrir facsímil")</f>
        <v>Abrir facsímil</v>
      </c>
      <c r="K14986" s="10" t="s">
        <v>24</v>
      </c>
    </row>
    <row r="14987" spans="1:11" ht="54" customHeight="1">
      <c r="A14987" s="9" t="s">
        <v>30099</v>
      </c>
      <c r="B14987" s="9" t="s">
        <v>30099</v>
      </c>
      <c r="C14987" s="9" t="s">
        <v>46</v>
      </c>
      <c r="D14987" s="9" t="s">
        <v>101</v>
      </c>
      <c r="E14987" s="10" t="s">
        <v>416</v>
      </c>
      <c r="F14987" s="9" t="s">
        <v>417</v>
      </c>
      <c r="G14987" s="10" t="s">
        <v>86</v>
      </c>
      <c r="H14987" s="9" t="s">
        <v>22</v>
      </c>
      <c r="I14987" s="9" t="s">
        <v>30100</v>
      </c>
      <c r="J14987" s="10" t="str">
        <f>HYPERLINK("https://www.boe.es/gazeta/dias/1834/10/02/pdfs/GMD-C-1834-230.pdf#page=2","Abrir facsímil")</f>
        <v>Abrir facsímil</v>
      </c>
      <c r="K14987" s="10" t="s">
        <v>24</v>
      </c>
    </row>
    <row r="14988" spans="1:11" ht="54" customHeight="1">
      <c r="A14988" s="9" t="s">
        <v>30101</v>
      </c>
      <c r="B14988" s="9" t="s">
        <v>30102</v>
      </c>
      <c r="C14988" s="9" t="s">
        <v>17</v>
      </c>
      <c r="D14988" s="9" t="s">
        <v>18</v>
      </c>
      <c r="E14988" s="10" t="s">
        <v>2287</v>
      </c>
      <c r="F14988" s="9" t="s">
        <v>2288</v>
      </c>
      <c r="G14988" s="10" t="s">
        <v>75</v>
      </c>
      <c r="H14988" s="9" t="s">
        <v>22</v>
      </c>
      <c r="I14988" s="9" t="s">
        <v>30103</v>
      </c>
      <c r="J14988" s="10" t="str">
        <f>HYPERLINK("https://www.boe.es/gazeta/dias/1834/12/18/pdfs/GMD-C-1834-308.pdf#page=4","Abrir facsímil")</f>
        <v>Abrir facsímil</v>
      </c>
      <c r="K14988" s="10" t="s">
        <v>24</v>
      </c>
    </row>
    <row r="14989" spans="1:11" ht="54" customHeight="1">
      <c r="A14989" s="9" t="s">
        <v>30104</v>
      </c>
      <c r="B14989" s="9" t="s">
        <v>30104</v>
      </c>
      <c r="C14989" s="9" t="s">
        <v>17</v>
      </c>
      <c r="D14989" s="9" t="s">
        <v>18</v>
      </c>
      <c r="E14989" s="10" t="s">
        <v>73</v>
      </c>
      <c r="F14989" s="9" t="s">
        <v>1416</v>
      </c>
      <c r="G14989" s="10" t="s">
        <v>34</v>
      </c>
      <c r="H14989" s="9" t="s">
        <v>22</v>
      </c>
      <c r="I14989" s="9" t="s">
        <v>30105</v>
      </c>
      <c r="J14989" s="10" t="str">
        <f>HYPERLINK("https://www.boe.es/gazeta/dias/1834/11/04/pdfs/GMD-C-1834-263.pdf#page=1","Abrir facsímil")</f>
        <v>Abrir facsímil</v>
      </c>
      <c r="K14989" s="10" t="s">
        <v>24</v>
      </c>
    </row>
    <row r="14990" spans="1:11" ht="54" customHeight="1">
      <c r="A14990" s="9" t="s">
        <v>30106</v>
      </c>
      <c r="B14990" s="9" t="s">
        <v>30106</v>
      </c>
      <c r="C14990" s="9" t="s">
        <v>17</v>
      </c>
      <c r="D14990" s="9" t="s">
        <v>18</v>
      </c>
      <c r="E14990" s="10" t="s">
        <v>375</v>
      </c>
      <c r="F14990" s="9" t="s">
        <v>4983</v>
      </c>
      <c r="G14990" s="10" t="s">
        <v>34</v>
      </c>
      <c r="H14990" s="9" t="s">
        <v>22</v>
      </c>
      <c r="I14990" s="9" t="s">
        <v>30107</v>
      </c>
      <c r="J14990" s="10" t="str">
        <f>HYPERLINK("https://www.boe.es/gazeta/dias/1834/08/21/pdfs/GMD-C-1834-187.pdf#page=1","Abrir facsímil")</f>
        <v>Abrir facsímil</v>
      </c>
      <c r="K14990" s="10" t="s">
        <v>24</v>
      </c>
    </row>
    <row r="14991" spans="1:11" ht="54" customHeight="1">
      <c r="A14991" s="9" t="s">
        <v>30108</v>
      </c>
      <c r="B14991" s="9" t="s">
        <v>30108</v>
      </c>
      <c r="C14991" s="9" t="s">
        <v>17</v>
      </c>
      <c r="D14991" s="9" t="s">
        <v>18</v>
      </c>
      <c r="E14991" s="10" t="s">
        <v>590</v>
      </c>
      <c r="F14991" s="9" t="s">
        <v>17808</v>
      </c>
      <c r="G14991" s="10" t="s">
        <v>86</v>
      </c>
      <c r="H14991" s="9" t="s">
        <v>22</v>
      </c>
      <c r="I14991" s="9" t="s">
        <v>30109</v>
      </c>
      <c r="J14991" s="10" t="str">
        <f>HYPERLINK("https://www.boe.es/gazeta/dias/1834/11/30/pdfs/GMD-C-1834-289.pdf#page=2","Abrir facsímil")</f>
        <v>Abrir facsímil</v>
      </c>
      <c r="K14991" s="10" t="s">
        <v>24</v>
      </c>
    </row>
    <row r="14992" spans="1:11" ht="54" customHeight="1">
      <c r="A14992" s="9" t="s">
        <v>30110</v>
      </c>
      <c r="B14992" s="9" t="s">
        <v>30111</v>
      </c>
      <c r="C14992" s="9" t="s">
        <v>66</v>
      </c>
      <c r="D14992" s="9" t="s">
        <v>18</v>
      </c>
      <c r="E14992" s="10" t="s">
        <v>462</v>
      </c>
      <c r="F14992" s="9" t="s">
        <v>2110</v>
      </c>
      <c r="G14992" s="10" t="s">
        <v>21</v>
      </c>
      <c r="H14992" s="9" t="s">
        <v>22</v>
      </c>
      <c r="I14992" s="9" t="s">
        <v>30112</v>
      </c>
      <c r="J14992" s="10" t="str">
        <f>HYPERLINK("https://www.boe.es/gazeta/dias/1834/08/27/pdfs/GMD-1834-193.pdf#page=3","Abrir facsímil")</f>
        <v>Abrir facsímil</v>
      </c>
      <c r="K14992" s="10" t="s">
        <v>24</v>
      </c>
    </row>
    <row r="14993" spans="1:11" ht="54" customHeight="1">
      <c r="A14993" s="9" t="s">
        <v>30113</v>
      </c>
      <c r="B14993" s="9" t="s">
        <v>30113</v>
      </c>
      <c r="C14993" s="9" t="s">
        <v>46</v>
      </c>
      <c r="D14993" s="9" t="s">
        <v>101</v>
      </c>
      <c r="E14993" s="10" t="s">
        <v>808</v>
      </c>
      <c r="F14993" s="9" t="s">
        <v>809</v>
      </c>
      <c r="G14993" s="10" t="s">
        <v>21</v>
      </c>
      <c r="H14993" s="9" t="s">
        <v>22</v>
      </c>
      <c r="I14993" s="9" t="s">
        <v>30114</v>
      </c>
      <c r="J14993" s="10" t="str">
        <f>HYPERLINK("https://www.boe.es/gazeta/dias/1834/10/11/pdfs/GMD-1834-239.pdf#page=3","Abrir facsímil")</f>
        <v>Abrir facsímil</v>
      </c>
      <c r="K14993" s="10" t="s">
        <v>24</v>
      </c>
    </row>
    <row r="14994" spans="1:11" ht="54" customHeight="1">
      <c r="A14994" s="9" t="s">
        <v>30115</v>
      </c>
      <c r="B14994" s="9" t="s">
        <v>30115</v>
      </c>
      <c r="C14994" s="9" t="s">
        <v>17</v>
      </c>
      <c r="D14994" s="9" t="s">
        <v>18</v>
      </c>
      <c r="E14994" s="10" t="s">
        <v>637</v>
      </c>
      <c r="F14994" s="9" t="s">
        <v>638</v>
      </c>
      <c r="G14994" s="10" t="s">
        <v>34</v>
      </c>
      <c r="H14994" s="9" t="s">
        <v>22</v>
      </c>
      <c r="I14994" s="9" t="s">
        <v>30116</v>
      </c>
      <c r="J14994" s="10" t="str">
        <f>HYPERLINK("https://www.boe.es/gazeta/dias/1834/06/03/pdfs/I00469-00470.pdf#page=1","Abrir facsímil")</f>
        <v>Abrir facsímil</v>
      </c>
      <c r="K14994" s="10" t="s">
        <v>24</v>
      </c>
    </row>
    <row r="14995" spans="1:11" ht="54" customHeight="1">
      <c r="A14995" s="9" t="s">
        <v>30115</v>
      </c>
      <c r="B14995" s="9" t="s">
        <v>30115</v>
      </c>
      <c r="C14995" s="9" t="s">
        <v>17</v>
      </c>
      <c r="D14995" s="9" t="s">
        <v>18</v>
      </c>
      <c r="E14995" s="10" t="s">
        <v>637</v>
      </c>
      <c r="F14995" s="9" t="s">
        <v>638</v>
      </c>
      <c r="G14995" s="10" t="s">
        <v>21</v>
      </c>
      <c r="H14995" s="9" t="s">
        <v>22</v>
      </c>
      <c r="I14995" s="9" t="s">
        <v>30117</v>
      </c>
      <c r="J14995" s="10" t="str">
        <f>HYPERLINK("https://www.boe.es/gazeta/dias/1834/06/03/pdfs/GMD-1834-105.pdf#page=3","Abrir facsímil")</f>
        <v>Abrir facsímil</v>
      </c>
      <c r="K14995" s="10" t="s">
        <v>24</v>
      </c>
    </row>
    <row r="14996" spans="1:11" ht="54" customHeight="1">
      <c r="A14996" s="9" t="s">
        <v>30118</v>
      </c>
      <c r="B14996" s="9" t="s">
        <v>30118</v>
      </c>
      <c r="C14996" s="9" t="s">
        <v>17</v>
      </c>
      <c r="D14996" s="9" t="s">
        <v>18</v>
      </c>
      <c r="E14996" s="10" t="s">
        <v>403</v>
      </c>
      <c r="F14996" s="9" t="s">
        <v>3456</v>
      </c>
      <c r="G14996" s="10" t="s">
        <v>86</v>
      </c>
      <c r="H14996" s="9" t="s">
        <v>22</v>
      </c>
      <c r="I14996" s="9" t="s">
        <v>30119</v>
      </c>
      <c r="J14996" s="10" t="str">
        <f>HYPERLINK("https://www.boe.es/gazeta/dias/1834/09/25/pdfs/GMD-1834-223.pdf#page=2","Abrir facsímil")</f>
        <v>Abrir facsímil</v>
      </c>
      <c r="K14996" s="10" t="s">
        <v>24</v>
      </c>
    </row>
    <row r="14997" spans="1:11" ht="54" customHeight="1">
      <c r="A14997" s="9" t="s">
        <v>30120</v>
      </c>
      <c r="B14997" s="9" t="s">
        <v>30120</v>
      </c>
      <c r="C14997" s="9" t="s">
        <v>17</v>
      </c>
      <c r="D14997" s="9" t="s">
        <v>18</v>
      </c>
      <c r="E14997" s="10" t="s">
        <v>905</v>
      </c>
      <c r="F14997" s="9" t="s">
        <v>906</v>
      </c>
      <c r="G14997" s="10" t="s">
        <v>34</v>
      </c>
      <c r="H14997" s="9" t="s">
        <v>22</v>
      </c>
      <c r="I14997" s="9" t="s">
        <v>30121</v>
      </c>
      <c r="J14997" s="10" t="str">
        <f>HYPERLINK("https://www.boe.es/gazeta/dias/1834/08/02/pdfs/GMD-C-1834-166.pdf#page=1","Abrir facsímil")</f>
        <v>Abrir facsímil</v>
      </c>
      <c r="K14997" s="10" t="s">
        <v>24</v>
      </c>
    </row>
    <row r="14998" spans="1:11" ht="54" customHeight="1">
      <c r="A14998" s="9" t="s">
        <v>30122</v>
      </c>
      <c r="B14998" s="9" t="s">
        <v>30123</v>
      </c>
      <c r="C14998" s="9" t="s">
        <v>17</v>
      </c>
      <c r="D14998" s="9" t="s">
        <v>55</v>
      </c>
      <c r="E14998" s="10" t="s">
        <v>518</v>
      </c>
      <c r="F14998" s="9" t="s">
        <v>519</v>
      </c>
      <c r="G14998" s="10" t="s">
        <v>75</v>
      </c>
      <c r="H14998" s="9" t="s">
        <v>22</v>
      </c>
      <c r="I14998" s="9" t="s">
        <v>30124</v>
      </c>
      <c r="J14998" s="10" t="str">
        <f>HYPERLINK("https://www.boe.es/gazeta/dias/1834/03/15/pdfs/GMD-1834-33.pdf#page=4","Abrir facsímil")</f>
        <v>Abrir facsímil</v>
      </c>
      <c r="K14998" s="10" t="s">
        <v>24</v>
      </c>
    </row>
    <row r="14999" spans="1:11" ht="54" customHeight="1">
      <c r="A14999" s="9" t="s">
        <v>30125</v>
      </c>
      <c r="B14999" s="9" t="s">
        <v>30126</v>
      </c>
      <c r="C14999" s="9" t="s">
        <v>17</v>
      </c>
      <c r="D14999" s="9" t="s">
        <v>40</v>
      </c>
      <c r="E14999" s="10" t="s">
        <v>183</v>
      </c>
      <c r="F14999" s="9" t="s">
        <v>184</v>
      </c>
      <c r="G14999" s="10" t="s">
        <v>75</v>
      </c>
      <c r="H14999" s="9" t="s">
        <v>22</v>
      </c>
      <c r="I14999" s="9" t="s">
        <v>30127</v>
      </c>
      <c r="J14999" s="10" t="str">
        <f>HYPERLINK("https://www.boe.es/gazeta/dias/1834/03/18/pdfs/GMD-1834-34.pdf#page=4","Abrir facsímil")</f>
        <v>Abrir facsímil</v>
      </c>
      <c r="K14999" s="10" t="s">
        <v>24</v>
      </c>
    </row>
    <row r="15000" spans="1:11" ht="54" customHeight="1">
      <c r="A15000" s="9" t="s">
        <v>30128</v>
      </c>
      <c r="B15000" s="9" t="s">
        <v>30128</v>
      </c>
      <c r="C15000" s="9" t="s">
        <v>46</v>
      </c>
      <c r="D15000" s="9" t="s">
        <v>101</v>
      </c>
      <c r="E15000" s="10" t="s">
        <v>1641</v>
      </c>
      <c r="F15000" s="9" t="s">
        <v>1642</v>
      </c>
      <c r="G15000" s="10" t="s">
        <v>21</v>
      </c>
      <c r="H15000" s="9" t="s">
        <v>22</v>
      </c>
      <c r="I15000" s="9" t="s">
        <v>30129</v>
      </c>
      <c r="J15000" s="10" t="str">
        <f>HYPERLINK("https://www.boe.es/gazeta/dias/1834/09/28/pdfs/GMD-C-1834-226.pdf#page=3","Abrir facsímil")</f>
        <v>Abrir facsímil</v>
      </c>
      <c r="K15000" s="10" t="s">
        <v>24</v>
      </c>
    </row>
    <row r="15001" spans="1:11" ht="54" customHeight="1">
      <c r="A15001" s="9" t="s">
        <v>30130</v>
      </c>
      <c r="B15001" s="9" t="s">
        <v>30130</v>
      </c>
      <c r="C15001" s="9" t="s">
        <v>17</v>
      </c>
      <c r="D15001" s="9" t="s">
        <v>18</v>
      </c>
      <c r="E15001" s="10" t="s">
        <v>167</v>
      </c>
      <c r="F15001" s="9" t="s">
        <v>1200</v>
      </c>
      <c r="G15001" s="10" t="s">
        <v>21</v>
      </c>
      <c r="H15001" s="9" t="s">
        <v>22</v>
      </c>
      <c r="I15001" s="9" t="s">
        <v>30131</v>
      </c>
      <c r="J15001" s="10" t="str">
        <f>HYPERLINK("https://www.boe.es/gazeta/dias/1834/09/07/pdfs/GMD-C-1834-205.pdf#page=3","Abrir facsímil")</f>
        <v>Abrir facsímil</v>
      </c>
      <c r="K15001" s="10" t="s">
        <v>24</v>
      </c>
    </row>
    <row r="15002" spans="1:11" ht="54" customHeight="1">
      <c r="A15002" s="9" t="s">
        <v>30132</v>
      </c>
      <c r="B15002" s="9" t="s">
        <v>30132</v>
      </c>
      <c r="C15002" s="9" t="s">
        <v>90</v>
      </c>
      <c r="D15002" s="9" t="s">
        <v>18</v>
      </c>
      <c r="E15002" s="10" t="s">
        <v>1410</v>
      </c>
      <c r="F15002" s="9" t="s">
        <v>2231</v>
      </c>
      <c r="G15002" s="10" t="s">
        <v>34</v>
      </c>
      <c r="H15002" s="9" t="s">
        <v>22</v>
      </c>
      <c r="I15002" s="9" t="s">
        <v>30133</v>
      </c>
      <c r="J15002" s="10" t="str">
        <f>HYPERLINK("https://www.boe.es/gazeta/dias/1834/09/09/pdfs/GMD-C-1834-207.pdf#page=1","Abrir facsímil")</f>
        <v>Abrir facsímil</v>
      </c>
      <c r="K15002" s="10" t="s">
        <v>24</v>
      </c>
    </row>
    <row r="15003" spans="1:11" ht="54" customHeight="1">
      <c r="A15003" s="9" t="s">
        <v>30134</v>
      </c>
      <c r="B15003" s="9" t="s">
        <v>30134</v>
      </c>
      <c r="C15003" s="9" t="s">
        <v>17</v>
      </c>
      <c r="D15003" s="9" t="s">
        <v>18</v>
      </c>
      <c r="E15003" s="10" t="s">
        <v>273</v>
      </c>
      <c r="F15003" s="9" t="s">
        <v>274</v>
      </c>
      <c r="G15003" s="10" t="s">
        <v>21</v>
      </c>
      <c r="H15003" s="9" t="s">
        <v>22</v>
      </c>
      <c r="I15003" s="9" t="s">
        <v>30135</v>
      </c>
      <c r="J15003" s="10" t="str">
        <f>HYPERLINK("https://www.boe.es/gazeta/dias/1834/08/31/pdfs/GMD-D-1834-198.pdf#page=3","Abrir facsímil")</f>
        <v>Abrir facsímil</v>
      </c>
      <c r="K15003" s="10" t="s">
        <v>24</v>
      </c>
    </row>
    <row r="15004" spans="1:11" ht="54" customHeight="1">
      <c r="A15004" s="9" t="s">
        <v>30136</v>
      </c>
      <c r="B15004" s="9" t="s">
        <v>30136</v>
      </c>
      <c r="C15004" s="9" t="s">
        <v>17</v>
      </c>
      <c r="D15004" s="9" t="s">
        <v>18</v>
      </c>
      <c r="E15004" s="10" t="s">
        <v>1135</v>
      </c>
      <c r="F15004" s="9" t="s">
        <v>1566</v>
      </c>
      <c r="G15004" s="10" t="s">
        <v>34</v>
      </c>
      <c r="H15004" s="9" t="s">
        <v>22</v>
      </c>
      <c r="I15004" s="9" t="s">
        <v>30137</v>
      </c>
      <c r="J15004" s="10" t="str">
        <f>HYPERLINK("https://www.boe.es/gazeta/dias/1834/08/26/pdfs/GMD-C-1834-192.pdf#page=1","Abrir facsímil")</f>
        <v>Abrir facsímil</v>
      </c>
      <c r="K15004" s="10" t="s">
        <v>24</v>
      </c>
    </row>
    <row r="15005" spans="1:11" ht="54" customHeight="1">
      <c r="A15005" s="9" t="s">
        <v>30138</v>
      </c>
      <c r="B15005" s="9" t="s">
        <v>30138</v>
      </c>
      <c r="C15005" s="9" t="s">
        <v>17</v>
      </c>
      <c r="D15005" s="9" t="s">
        <v>40</v>
      </c>
      <c r="E15005" s="10" t="s">
        <v>426</v>
      </c>
      <c r="F15005" s="9" t="s">
        <v>694</v>
      </c>
      <c r="G15005" s="10" t="s">
        <v>176</v>
      </c>
      <c r="H15005" s="9" t="s">
        <v>22</v>
      </c>
      <c r="I15005" s="9" t="s">
        <v>30139</v>
      </c>
      <c r="J15005" s="10" t="str">
        <f>HYPERLINK("https://www.boe.es/gazeta/dias/1834/10/04/pdfs/GMD-C-1834-232.pdf#page=6","Abrir facsímil")</f>
        <v>Abrir facsímil</v>
      </c>
      <c r="K15005" s="10" t="s">
        <v>24</v>
      </c>
    </row>
    <row r="15006" spans="1:11" ht="54" customHeight="1">
      <c r="A15006" s="9" t="s">
        <v>30140</v>
      </c>
      <c r="B15006" s="9" t="s">
        <v>30140</v>
      </c>
      <c r="C15006" s="9" t="s">
        <v>17</v>
      </c>
      <c r="D15006" s="9" t="s">
        <v>18</v>
      </c>
      <c r="E15006" s="10" t="s">
        <v>1340</v>
      </c>
      <c r="F15006" s="9" t="s">
        <v>1341</v>
      </c>
      <c r="G15006" s="10" t="s">
        <v>75</v>
      </c>
      <c r="H15006" s="9" t="s">
        <v>22</v>
      </c>
      <c r="I15006" s="9" t="s">
        <v>30141</v>
      </c>
      <c r="J15006" s="10" t="str">
        <f>HYPERLINK("https://www.boe.es/gazeta/dias/1834/10/05/pdfs/GMD-C-1834-233.pdf#page=4","Abrir facsímil")</f>
        <v>Abrir facsímil</v>
      </c>
      <c r="K15006" s="10" t="s">
        <v>24</v>
      </c>
    </row>
    <row r="15007" spans="1:11" ht="54" customHeight="1">
      <c r="A15007" s="9" t="s">
        <v>30142</v>
      </c>
      <c r="B15007" s="9" t="s">
        <v>30143</v>
      </c>
      <c r="C15007" s="9" t="s">
        <v>17</v>
      </c>
      <c r="D15007" s="9" t="s">
        <v>18</v>
      </c>
      <c r="E15007" s="10" t="s">
        <v>1340</v>
      </c>
      <c r="F15007" s="9" t="s">
        <v>1341</v>
      </c>
      <c r="G15007" s="10" t="s">
        <v>75</v>
      </c>
      <c r="H15007" s="9" t="s">
        <v>35</v>
      </c>
      <c r="I15007" s="9" t="s">
        <v>30144</v>
      </c>
      <c r="J15007" s="10" t="str">
        <f>HYPERLINK("https://www.boe.es/gazeta/dias/1834/10/05/pdfs/GMD-C-1834-233.pdf#page=4","Abrir facsímil")</f>
        <v>Abrir facsímil</v>
      </c>
      <c r="K15007" s="10" t="s">
        <v>37</v>
      </c>
    </row>
    <row r="15008" spans="1:11" ht="54" customHeight="1">
      <c r="A15008" s="9" t="s">
        <v>30145</v>
      </c>
      <c r="B15008" s="9" t="s">
        <v>30145</v>
      </c>
      <c r="C15008" s="9" t="s">
        <v>17</v>
      </c>
      <c r="D15008" s="9" t="s">
        <v>18</v>
      </c>
      <c r="E15008" s="10" t="s">
        <v>403</v>
      </c>
      <c r="F15008" s="9" t="s">
        <v>404</v>
      </c>
      <c r="G15008" s="10" t="s">
        <v>34</v>
      </c>
      <c r="H15008" s="9" t="s">
        <v>22</v>
      </c>
      <c r="I15008" s="9" t="s">
        <v>30146</v>
      </c>
      <c r="J15008" s="10" t="str">
        <f>HYPERLINK("https://www.boe.es/gazeta/dias/1834/09/25/pdfs/GMD-C-1834-223.pdf#page=1","Abrir facsímil")</f>
        <v>Abrir facsímil</v>
      </c>
      <c r="K15008" s="10" t="s">
        <v>24</v>
      </c>
    </row>
    <row r="15009" spans="1:11" ht="54" customHeight="1">
      <c r="A15009" s="9" t="s">
        <v>30147</v>
      </c>
      <c r="B15009" s="9" t="s">
        <v>30148</v>
      </c>
      <c r="C15009" s="9" t="s">
        <v>17</v>
      </c>
      <c r="D15009" s="9" t="s">
        <v>55</v>
      </c>
      <c r="E15009" s="10" t="s">
        <v>753</v>
      </c>
      <c r="F15009" s="9" t="s">
        <v>754</v>
      </c>
      <c r="G15009" s="10" t="s">
        <v>34</v>
      </c>
      <c r="H15009" s="9" t="s">
        <v>22</v>
      </c>
      <c r="I15009" s="9" t="s">
        <v>30149</v>
      </c>
      <c r="J15009" s="10" t="str">
        <f>HYPERLINK("https://www.boe.es/gazeta/dias/1834/04/21/pdfs/GMD-1834-60.pdf#page=1","Abrir facsímil")</f>
        <v>Abrir facsímil</v>
      </c>
      <c r="K15009" s="10" t="s">
        <v>24</v>
      </c>
    </row>
    <row r="15010" spans="1:11" ht="54" customHeight="1">
      <c r="A15010" s="9" t="s">
        <v>30150</v>
      </c>
      <c r="B15010" s="9" t="s">
        <v>30150</v>
      </c>
      <c r="C15010" s="9" t="s">
        <v>17</v>
      </c>
      <c r="D15010" s="9" t="s">
        <v>55</v>
      </c>
      <c r="E15010" s="10" t="s">
        <v>2098</v>
      </c>
      <c r="F15010" s="9" t="s">
        <v>5817</v>
      </c>
      <c r="G15010" s="10" t="s">
        <v>86</v>
      </c>
      <c r="H15010" s="9" t="s">
        <v>22</v>
      </c>
      <c r="I15010" s="9" t="s">
        <v>30151</v>
      </c>
      <c r="J15010" s="10" t="str">
        <f>HYPERLINK("https://www.boe.es/gazeta/dias/1834/08/11/pdfs/GMD-C-1834-176.pdf#page=2","Abrir facsímil")</f>
        <v>Abrir facsímil</v>
      </c>
      <c r="K15010" s="10" t="s">
        <v>24</v>
      </c>
    </row>
    <row r="15011" spans="1:11" ht="54" customHeight="1">
      <c r="A15011" s="9" t="s">
        <v>30152</v>
      </c>
      <c r="B15011" s="9" t="s">
        <v>30152</v>
      </c>
      <c r="C15011" s="9" t="s">
        <v>17</v>
      </c>
      <c r="D15011" s="9" t="s">
        <v>18</v>
      </c>
      <c r="E15011" s="10" t="s">
        <v>1186</v>
      </c>
      <c r="F15011" s="9" t="s">
        <v>1187</v>
      </c>
      <c r="G15011" s="10" t="s">
        <v>21</v>
      </c>
      <c r="H15011" s="9" t="s">
        <v>22</v>
      </c>
      <c r="I15011" s="9" t="s">
        <v>30153</v>
      </c>
      <c r="J15011" s="10" t="str">
        <f>HYPERLINK("https://www.boe.es/gazeta/dias/1834/08/14/pdfs/GMD-1834-179.pdf#page=3","Abrir facsímil")</f>
        <v>Abrir facsímil</v>
      </c>
      <c r="K15011" s="10" t="s">
        <v>24</v>
      </c>
    </row>
    <row r="15012" spans="1:11" ht="54" customHeight="1">
      <c r="A15012" s="9" t="s">
        <v>30154</v>
      </c>
      <c r="B15012" s="9" t="s">
        <v>30155</v>
      </c>
      <c r="C15012" s="9" t="s">
        <v>17</v>
      </c>
      <c r="D15012" s="9" t="s">
        <v>18</v>
      </c>
      <c r="E15012" s="10" t="s">
        <v>1186</v>
      </c>
      <c r="F15012" s="9" t="s">
        <v>1187</v>
      </c>
      <c r="G15012" s="10" t="s">
        <v>21</v>
      </c>
      <c r="H15012" s="9" t="s">
        <v>35</v>
      </c>
      <c r="I15012" s="9" t="s">
        <v>30156</v>
      </c>
      <c r="J15012" s="10" t="str">
        <f>HYPERLINK("https://www.boe.es/gazeta/dias/1834/08/14/pdfs/GMD-1834-179.pdf#page=3","Abrir facsímil")</f>
        <v>Abrir facsímil</v>
      </c>
      <c r="K15012" s="10" t="s">
        <v>37</v>
      </c>
    </row>
    <row r="15013" spans="1:11" ht="54" customHeight="1">
      <c r="A15013" s="9" t="s">
        <v>30157</v>
      </c>
      <c r="B15013" s="9" t="s">
        <v>30158</v>
      </c>
      <c r="C15013" s="9" t="s">
        <v>17</v>
      </c>
      <c r="D15013" s="9" t="s">
        <v>18</v>
      </c>
      <c r="E15013" s="10" t="s">
        <v>1186</v>
      </c>
      <c r="F15013" s="9" t="s">
        <v>1187</v>
      </c>
      <c r="G15013" s="10" t="s">
        <v>21</v>
      </c>
      <c r="H15013" s="9" t="s">
        <v>35</v>
      </c>
      <c r="I15013" s="9" t="s">
        <v>30159</v>
      </c>
      <c r="J15013" s="10" t="str">
        <f>HYPERLINK("https://www.boe.es/gazeta/dias/1834/08/14/pdfs/GMD-1834-179.pdf#page=3","Abrir facsímil")</f>
        <v>Abrir facsímil</v>
      </c>
      <c r="K15013" s="10" t="s">
        <v>37</v>
      </c>
    </row>
    <row r="15014" spans="1:11" ht="54" customHeight="1">
      <c r="A15014" s="9" t="s">
        <v>30160</v>
      </c>
      <c r="B15014" s="9" t="s">
        <v>30160</v>
      </c>
      <c r="C15014" s="9" t="s">
        <v>17</v>
      </c>
      <c r="D15014" s="9" t="s">
        <v>18</v>
      </c>
      <c r="E15014" s="10" t="s">
        <v>3057</v>
      </c>
      <c r="F15014" s="9" t="s">
        <v>3058</v>
      </c>
      <c r="G15014" s="10" t="s">
        <v>86</v>
      </c>
      <c r="H15014" s="9" t="s">
        <v>22</v>
      </c>
      <c r="I15014" s="9" t="s">
        <v>30161</v>
      </c>
      <c r="J15014" s="10" t="str">
        <f>HYPERLINK("https://www.boe.es/gazeta/dias/1834/06/14/pdfs/GMD-1834-117.pdf#page=2","Abrir facsímil")</f>
        <v>Abrir facsímil</v>
      </c>
      <c r="K15014" s="10" t="s">
        <v>24</v>
      </c>
    </row>
    <row r="15015" spans="1:11" ht="54" customHeight="1">
      <c r="A15015" s="9" t="s">
        <v>30162</v>
      </c>
      <c r="B15015" s="9" t="s">
        <v>30162</v>
      </c>
      <c r="C15015" s="9" t="s">
        <v>46</v>
      </c>
      <c r="D15015" s="9" t="s">
        <v>18</v>
      </c>
      <c r="E15015" s="10" t="s">
        <v>642</v>
      </c>
      <c r="F15015" s="9" t="s">
        <v>643</v>
      </c>
      <c r="G15015" s="10" t="s">
        <v>21</v>
      </c>
      <c r="H15015" s="9" t="s">
        <v>22</v>
      </c>
      <c r="I15015" s="9" t="s">
        <v>30163</v>
      </c>
      <c r="J15015" s="10" t="str">
        <f>HYPERLINK("https://www.boe.es/gazeta/dias/1834/11/12/pdfs/GMD-C-1834-271.pdf#page=3","Abrir facsímil")</f>
        <v>Abrir facsímil</v>
      </c>
      <c r="K15015" s="10" t="s">
        <v>24</v>
      </c>
    </row>
    <row r="15016" spans="1:11" ht="54" customHeight="1">
      <c r="A15016" s="9" t="s">
        <v>30164</v>
      </c>
      <c r="B15016" s="9" t="s">
        <v>30165</v>
      </c>
      <c r="C15016" s="9" t="s">
        <v>17</v>
      </c>
      <c r="D15016" s="9" t="s">
        <v>55</v>
      </c>
      <c r="E15016" s="10" t="s">
        <v>56</v>
      </c>
      <c r="F15016" s="9" t="s">
        <v>57</v>
      </c>
      <c r="G15016" s="10" t="s">
        <v>21</v>
      </c>
      <c r="H15016" s="9" t="s">
        <v>35</v>
      </c>
      <c r="I15016" s="9" t="s">
        <v>30166</v>
      </c>
      <c r="J15016" s="10" t="str">
        <f>HYPERLINK("https://www.boe.es/gazeta/dias/1834/07/09/pdfs/GMD-1834-142.pdf#page=3","Abrir facsímil")</f>
        <v>Abrir facsímil</v>
      </c>
      <c r="K15016" s="10" t="s">
        <v>37</v>
      </c>
    </row>
    <row r="15017" spans="1:11" ht="54" customHeight="1">
      <c r="A15017" s="9" t="s">
        <v>30167</v>
      </c>
      <c r="B15017" s="9" t="s">
        <v>30168</v>
      </c>
      <c r="C15017" s="9" t="s">
        <v>17</v>
      </c>
      <c r="D15017" s="9" t="s">
        <v>55</v>
      </c>
      <c r="E15017" s="10" t="s">
        <v>56</v>
      </c>
      <c r="F15017" s="9" t="s">
        <v>57</v>
      </c>
      <c r="G15017" s="10" t="s">
        <v>21</v>
      </c>
      <c r="H15017" s="9" t="s">
        <v>22</v>
      </c>
      <c r="I15017" s="9" t="s">
        <v>30169</v>
      </c>
      <c r="J15017" s="10" t="str">
        <f>HYPERLINK("https://www.boe.es/gazeta/dias/1834/07/09/pdfs/GMD-1834-142.pdf#page=3","Abrir facsímil")</f>
        <v>Abrir facsímil</v>
      </c>
      <c r="K15017" s="10" t="s">
        <v>24</v>
      </c>
    </row>
    <row r="15018" spans="1:11" ht="54" customHeight="1">
      <c r="A15018" s="9" t="s">
        <v>30170</v>
      </c>
      <c r="B15018" s="9" t="s">
        <v>30171</v>
      </c>
      <c r="C15018" s="9" t="s">
        <v>17</v>
      </c>
      <c r="D15018" s="9" t="s">
        <v>18</v>
      </c>
      <c r="E15018" s="10" t="s">
        <v>1883</v>
      </c>
      <c r="F15018" s="9" t="s">
        <v>1884</v>
      </c>
      <c r="G15018" s="10" t="s">
        <v>75</v>
      </c>
      <c r="H15018" s="9" t="s">
        <v>22</v>
      </c>
      <c r="I15018" s="9" t="s">
        <v>30172</v>
      </c>
      <c r="J15018" s="10" t="str">
        <f>HYPERLINK("https://www.boe.es/gazeta/dias/1834/01/11/pdfs/GMD-1834-6.pdf#page=4","Abrir facsímil")</f>
        <v>Abrir facsímil</v>
      </c>
      <c r="K15018" s="10" t="s">
        <v>24</v>
      </c>
    </row>
    <row r="15019" spans="1:11" ht="54" customHeight="1">
      <c r="A15019" s="9" t="s">
        <v>30173</v>
      </c>
      <c r="B15019" s="9" t="s">
        <v>30174</v>
      </c>
      <c r="C15019" s="9" t="s">
        <v>17</v>
      </c>
      <c r="D15019" s="9" t="s">
        <v>18</v>
      </c>
      <c r="E15019" s="10" t="s">
        <v>2945</v>
      </c>
      <c r="F15019" s="9" t="s">
        <v>2946</v>
      </c>
      <c r="G15019" s="10" t="s">
        <v>75</v>
      </c>
      <c r="H15019" s="9" t="s">
        <v>22</v>
      </c>
      <c r="I15019" s="9" t="s">
        <v>30175</v>
      </c>
      <c r="J15019" s="10" t="str">
        <f>HYPERLINK("https://www.boe.es/gazeta/dias/1834/05/29/pdfs/GMD-1834-98.pdf#page=4","Abrir facsímil")</f>
        <v>Abrir facsímil</v>
      </c>
      <c r="K15019" s="10" t="s">
        <v>24</v>
      </c>
    </row>
    <row r="15020" spans="1:11" ht="54" customHeight="1">
      <c r="A15020" s="9" t="s">
        <v>30176</v>
      </c>
      <c r="B15020" s="9" t="s">
        <v>30177</v>
      </c>
      <c r="C15020" s="9" t="s">
        <v>122</v>
      </c>
      <c r="D15020" s="9" t="s">
        <v>18</v>
      </c>
      <c r="E15020" s="10" t="s">
        <v>1318</v>
      </c>
      <c r="F15020" s="9" t="s">
        <v>1319</v>
      </c>
      <c r="G15020" s="10" t="s">
        <v>75</v>
      </c>
      <c r="H15020" s="9" t="s">
        <v>22</v>
      </c>
      <c r="I15020" s="9" t="s">
        <v>30178</v>
      </c>
      <c r="J15020" s="10" t="str">
        <f>HYPERLINK("https://www.boe.es/gazeta/dias/1834/05/10/pdfs/GMD-1834-79.pdf#page=4","Abrir facsímil")</f>
        <v>Abrir facsímil</v>
      </c>
      <c r="K15020" s="10" t="s">
        <v>24</v>
      </c>
    </row>
    <row r="15021" spans="1:11" ht="54" customHeight="1">
      <c r="A15021" s="9" t="s">
        <v>30179</v>
      </c>
      <c r="B15021" s="9" t="s">
        <v>30179</v>
      </c>
      <c r="C15021" s="9" t="s">
        <v>17</v>
      </c>
      <c r="D15021" s="9" t="s">
        <v>18</v>
      </c>
      <c r="E15021" s="10" t="s">
        <v>299</v>
      </c>
      <c r="F15021" s="9" t="s">
        <v>2255</v>
      </c>
      <c r="G15021" s="10" t="s">
        <v>34</v>
      </c>
      <c r="H15021" s="9" t="s">
        <v>22</v>
      </c>
      <c r="I15021" s="9" t="s">
        <v>30180</v>
      </c>
      <c r="J15021" s="10" t="str">
        <f>HYPERLINK("https://www.boe.es/gazeta/dias/1834/12/12/pdfs/GMD-C-1834-301.pdf#page=1","Abrir facsímil")</f>
        <v>Abrir facsímil</v>
      </c>
      <c r="K15021" s="10" t="s">
        <v>24</v>
      </c>
    </row>
    <row r="15022" spans="1:11" ht="54" customHeight="1">
      <c r="A15022" s="9" t="s">
        <v>30179</v>
      </c>
      <c r="B15022" s="9" t="s">
        <v>30179</v>
      </c>
      <c r="C15022" s="9" t="s">
        <v>17</v>
      </c>
      <c r="D15022" s="9" t="s">
        <v>18</v>
      </c>
      <c r="E15022" s="10" t="s">
        <v>1981</v>
      </c>
      <c r="F15022" s="9" t="s">
        <v>2471</v>
      </c>
      <c r="G15022" s="10" t="s">
        <v>34</v>
      </c>
      <c r="H15022" s="9" t="s">
        <v>22</v>
      </c>
      <c r="I15022" s="9" t="s">
        <v>30181</v>
      </c>
      <c r="J15022" s="10" t="str">
        <f>HYPERLINK("https://www.boe.es/gazeta/dias/1834/12/13/pdfs/GMD-C-1834-302.pdf#page=1","Abrir facsímil")</f>
        <v>Abrir facsímil</v>
      </c>
      <c r="K15022" s="10" t="s">
        <v>24</v>
      </c>
    </row>
    <row r="15023" spans="1:11" ht="54" customHeight="1">
      <c r="A15023" s="9" t="s">
        <v>30179</v>
      </c>
      <c r="B15023" s="9" t="s">
        <v>30179</v>
      </c>
      <c r="C15023" s="9" t="s">
        <v>17</v>
      </c>
      <c r="D15023" s="9" t="s">
        <v>18</v>
      </c>
      <c r="E15023" s="10" t="s">
        <v>1981</v>
      </c>
      <c r="F15023" s="9" t="s">
        <v>2471</v>
      </c>
      <c r="G15023" s="10" t="s">
        <v>75</v>
      </c>
      <c r="H15023" s="9" t="s">
        <v>22</v>
      </c>
      <c r="I15023" s="9" t="s">
        <v>30182</v>
      </c>
      <c r="J15023" s="10" t="str">
        <f>HYPERLINK("https://www.boe.es/gazeta/dias/1834/12/13/pdfs/GMD-C-1834-302.pdf#page=4","Abrir facsímil")</f>
        <v>Abrir facsímil</v>
      </c>
      <c r="K15023" s="10" t="s">
        <v>24</v>
      </c>
    </row>
    <row r="15024" spans="1:11" ht="54" customHeight="1">
      <c r="A15024" s="9" t="s">
        <v>30179</v>
      </c>
      <c r="B15024" s="9" t="s">
        <v>30179</v>
      </c>
      <c r="C15024" s="9" t="s">
        <v>17</v>
      </c>
      <c r="D15024" s="9" t="s">
        <v>55</v>
      </c>
      <c r="E15024" s="10" t="s">
        <v>3036</v>
      </c>
      <c r="F15024" s="9" t="s">
        <v>3037</v>
      </c>
      <c r="G15024" s="10" t="s">
        <v>86</v>
      </c>
      <c r="H15024" s="9" t="s">
        <v>22</v>
      </c>
      <c r="I15024" s="9" t="s">
        <v>30183</v>
      </c>
      <c r="J15024" s="10" t="str">
        <f>HYPERLINK("https://www.boe.es/gazeta/dias/1834/11/18/pdfs/GMD-C-1834-277.pdf#page=2","Abrir facsímil")</f>
        <v>Abrir facsímil</v>
      </c>
      <c r="K15024" s="10" t="s">
        <v>24</v>
      </c>
    </row>
    <row r="15025" spans="1:11" ht="54" customHeight="1">
      <c r="A15025" s="9" t="s">
        <v>30184</v>
      </c>
      <c r="B15025" s="9" t="s">
        <v>30185</v>
      </c>
      <c r="C15025" s="9" t="s">
        <v>17</v>
      </c>
      <c r="D15025" s="9" t="s">
        <v>18</v>
      </c>
      <c r="E15025" s="10" t="s">
        <v>73</v>
      </c>
      <c r="F15025" s="9" t="s">
        <v>1416</v>
      </c>
      <c r="G15025" s="10" t="s">
        <v>86</v>
      </c>
      <c r="H15025" s="9" t="s">
        <v>35</v>
      </c>
      <c r="I15025" s="9" t="s">
        <v>30186</v>
      </c>
      <c r="J15025" s="10" t="str">
        <f>HYPERLINK("https://www.boe.es/gazeta/dias/1834/11/04/pdfs/GMD-C-1834-263.pdf#page=2","Abrir facsímil")</f>
        <v>Abrir facsímil</v>
      </c>
      <c r="K15025" s="10" t="s">
        <v>37</v>
      </c>
    </row>
    <row r="15026" spans="1:11" ht="54" customHeight="1">
      <c r="A15026" s="9" t="s">
        <v>30184</v>
      </c>
      <c r="B15026" s="9" t="s">
        <v>30185</v>
      </c>
      <c r="C15026" s="9" t="s">
        <v>17</v>
      </c>
      <c r="D15026" s="9" t="s">
        <v>40</v>
      </c>
      <c r="E15026" s="10" t="s">
        <v>1008</v>
      </c>
      <c r="F15026" s="9" t="s">
        <v>1009</v>
      </c>
      <c r="G15026" s="10" t="s">
        <v>34</v>
      </c>
      <c r="H15026" s="9" t="s">
        <v>35</v>
      </c>
      <c r="I15026" s="9" t="s">
        <v>30187</v>
      </c>
      <c r="J15026" s="10" t="str">
        <f>HYPERLINK("https://www.boe.es/gazeta/dias/1834/11/08/pdfs/GMD-C-1834-267.pdf#page=1","Abrir facsímil")</f>
        <v>Abrir facsímil</v>
      </c>
      <c r="K15026" s="10" t="s">
        <v>37</v>
      </c>
    </row>
    <row r="15027" spans="1:11" ht="54" customHeight="1">
      <c r="A15027" s="9" t="s">
        <v>30188</v>
      </c>
      <c r="B15027" s="9" t="s">
        <v>30189</v>
      </c>
      <c r="C15027" s="9" t="s">
        <v>17</v>
      </c>
      <c r="D15027" s="9" t="s">
        <v>18</v>
      </c>
      <c r="E15027" s="10" t="s">
        <v>73</v>
      </c>
      <c r="F15027" s="9" t="s">
        <v>1416</v>
      </c>
      <c r="G15027" s="10" t="s">
        <v>86</v>
      </c>
      <c r="H15027" s="9" t="s">
        <v>22</v>
      </c>
      <c r="I15027" s="9" t="s">
        <v>30190</v>
      </c>
      <c r="J15027" s="10" t="str">
        <f>HYPERLINK("https://www.boe.es/gazeta/dias/1834/11/04/pdfs/GMD-C-1834-263.pdf#page=2","Abrir facsímil")</f>
        <v>Abrir facsímil</v>
      </c>
      <c r="K15027" s="10" t="s">
        <v>24</v>
      </c>
    </row>
    <row r="15028" spans="1:11" ht="54" customHeight="1">
      <c r="A15028" s="9" t="s">
        <v>30188</v>
      </c>
      <c r="B15028" s="9" t="s">
        <v>30189</v>
      </c>
      <c r="C15028" s="9" t="s">
        <v>17</v>
      </c>
      <c r="D15028" s="9" t="s">
        <v>40</v>
      </c>
      <c r="E15028" s="10" t="s">
        <v>1008</v>
      </c>
      <c r="F15028" s="9" t="s">
        <v>1009</v>
      </c>
      <c r="G15028" s="10" t="s">
        <v>34</v>
      </c>
      <c r="H15028" s="9" t="s">
        <v>22</v>
      </c>
      <c r="I15028" s="9" t="s">
        <v>30191</v>
      </c>
      <c r="J15028" s="10" t="str">
        <f>HYPERLINK("https://www.boe.es/gazeta/dias/1834/11/08/pdfs/GMD-C-1834-267.pdf#page=1","Abrir facsímil")</f>
        <v>Abrir facsímil</v>
      </c>
      <c r="K15028" s="10" t="s">
        <v>24</v>
      </c>
    </row>
    <row r="15029" spans="1:11" ht="54" customHeight="1">
      <c r="A15029" s="9" t="s">
        <v>30188</v>
      </c>
      <c r="B15029" s="9" t="s">
        <v>30189</v>
      </c>
      <c r="C15029" s="9" t="s">
        <v>66</v>
      </c>
      <c r="D15029" s="9" t="s">
        <v>67</v>
      </c>
      <c r="E15029" s="10" t="s">
        <v>389</v>
      </c>
      <c r="F15029" s="9" t="s">
        <v>390</v>
      </c>
      <c r="G15029" s="10" t="s">
        <v>21</v>
      </c>
      <c r="H15029" s="9" t="s">
        <v>22</v>
      </c>
      <c r="I15029" s="9" t="s">
        <v>30192</v>
      </c>
      <c r="J15029" s="10" t="str">
        <f>HYPERLINK("https://www.boe.es/gazeta/dias/1834/10/25/pdfs/GMD-1834-253.pdf#page=3","Abrir facsímil")</f>
        <v>Abrir facsímil</v>
      </c>
      <c r="K15029" s="10" t="s">
        <v>24</v>
      </c>
    </row>
    <row r="15030" spans="1:11" ht="54" customHeight="1">
      <c r="A15030" s="9" t="s">
        <v>30193</v>
      </c>
      <c r="B15030" s="9" t="s">
        <v>30194</v>
      </c>
      <c r="C15030" s="9" t="s">
        <v>90</v>
      </c>
      <c r="D15030" s="9" t="s">
        <v>55</v>
      </c>
      <c r="E15030" s="10" t="s">
        <v>158</v>
      </c>
      <c r="F15030" s="9" t="s">
        <v>159</v>
      </c>
      <c r="G15030" s="10" t="s">
        <v>21</v>
      </c>
      <c r="H15030" s="9" t="s">
        <v>22</v>
      </c>
      <c r="I15030" s="9" t="s">
        <v>30195</v>
      </c>
      <c r="J15030" s="10" t="str">
        <f>HYPERLINK("https://www.boe.es/gazeta/dias/1834/10/01/pdfs/GMD-1834-229.pdf#page=3","Abrir facsímil")</f>
        <v>Abrir facsímil</v>
      </c>
      <c r="K15030" s="10" t="s">
        <v>24</v>
      </c>
    </row>
    <row r="15031" spans="1:11" ht="54" customHeight="1">
      <c r="A15031" s="9" t="s">
        <v>30196</v>
      </c>
      <c r="B15031" s="9" t="s">
        <v>30197</v>
      </c>
      <c r="C15031" s="9" t="s">
        <v>46</v>
      </c>
      <c r="D15031" s="9" t="s">
        <v>18</v>
      </c>
      <c r="E15031" s="10" t="s">
        <v>506</v>
      </c>
      <c r="F15031" s="9" t="s">
        <v>507</v>
      </c>
      <c r="G15031" s="10" t="s">
        <v>75</v>
      </c>
      <c r="H15031" s="9" t="s">
        <v>22</v>
      </c>
      <c r="I15031" s="9" t="s">
        <v>30198</v>
      </c>
      <c r="J15031" s="10" t="str">
        <f>HYPERLINK("https://www.boe.es/gazeta/dias/1834/03/04/pdfs/GMD-1834-28.pdf#page=4","Abrir facsímil")</f>
        <v>Abrir facsímil</v>
      </c>
      <c r="K15031" s="10" t="s">
        <v>24</v>
      </c>
    </row>
    <row r="15032" spans="1:11" ht="54" customHeight="1">
      <c r="A15032" s="9" t="s">
        <v>30199</v>
      </c>
      <c r="B15032" s="9" t="s">
        <v>30199</v>
      </c>
      <c r="C15032" s="9" t="s">
        <v>17</v>
      </c>
      <c r="D15032" s="9" t="s">
        <v>18</v>
      </c>
      <c r="E15032" s="10" t="s">
        <v>510</v>
      </c>
      <c r="F15032" s="9" t="s">
        <v>511</v>
      </c>
      <c r="G15032" s="10" t="s">
        <v>86</v>
      </c>
      <c r="H15032" s="9" t="s">
        <v>22</v>
      </c>
      <c r="I15032" s="9" t="s">
        <v>30200</v>
      </c>
      <c r="J15032" s="10" t="str">
        <f>HYPERLINK("https://www.boe.es/gazeta/dias/1834/11/26/pdfs/GMD-1834-285.pdf#page=2","Abrir facsímil")</f>
        <v>Abrir facsímil</v>
      </c>
      <c r="K15032" s="10" t="s">
        <v>24</v>
      </c>
    </row>
    <row r="15033" spans="1:11" ht="54" customHeight="1">
      <c r="A15033" s="9" t="s">
        <v>30201</v>
      </c>
      <c r="B15033" s="9" t="s">
        <v>30202</v>
      </c>
      <c r="C15033" s="9" t="s">
        <v>17</v>
      </c>
      <c r="D15033" s="9" t="s">
        <v>18</v>
      </c>
      <c r="E15033" s="10" t="s">
        <v>3054</v>
      </c>
      <c r="F15033" s="9" t="s">
        <v>3055</v>
      </c>
      <c r="G15033" s="10" t="s">
        <v>21</v>
      </c>
      <c r="H15033" s="9" t="s">
        <v>22</v>
      </c>
      <c r="I15033" s="9" t="s">
        <v>30203</v>
      </c>
      <c r="J15033" s="10" t="str">
        <f>HYPERLINK("https://www.boe.es/gazeta/dias/1834/10/06/pdfs/GMD-1834-234.pdf#page=3","Abrir facsímil")</f>
        <v>Abrir facsímil</v>
      </c>
      <c r="K15033" s="10" t="s">
        <v>24</v>
      </c>
    </row>
    <row r="15034" spans="1:11" ht="54" customHeight="1">
      <c r="A15034" s="9" t="s">
        <v>30204</v>
      </c>
      <c r="B15034" s="9" t="s">
        <v>30204</v>
      </c>
      <c r="C15034" s="9" t="s">
        <v>66</v>
      </c>
      <c r="D15034" s="9" t="s">
        <v>67</v>
      </c>
      <c r="E15034" s="10" t="s">
        <v>1402</v>
      </c>
      <c r="F15034" s="9" t="s">
        <v>1403</v>
      </c>
      <c r="G15034" s="10" t="s">
        <v>28</v>
      </c>
      <c r="H15034" s="9" t="s">
        <v>22</v>
      </c>
      <c r="I15034" s="9" t="s">
        <v>30205</v>
      </c>
      <c r="J15034" s="10" t="str">
        <f>HYPERLINK("https://www.boe.es/gazeta/dias/1834/05/05/pdfs/GMD-1834-74.pdf#page=5","Abrir facsímil")</f>
        <v>Abrir facsímil</v>
      </c>
      <c r="K15034" s="10" t="s">
        <v>24</v>
      </c>
    </row>
    <row r="15035" spans="1:11" ht="54" customHeight="1">
      <c r="A15035" s="9" t="s">
        <v>30206</v>
      </c>
      <c r="B15035" s="9" t="s">
        <v>30206</v>
      </c>
      <c r="C15035" s="9" t="s">
        <v>17</v>
      </c>
      <c r="D15035" s="9" t="s">
        <v>18</v>
      </c>
      <c r="E15035" s="10" t="s">
        <v>2203</v>
      </c>
      <c r="F15035" s="9" t="s">
        <v>2204</v>
      </c>
      <c r="G15035" s="10" t="s">
        <v>34</v>
      </c>
      <c r="H15035" s="9" t="s">
        <v>22</v>
      </c>
      <c r="I15035" s="9" t="s">
        <v>30207</v>
      </c>
      <c r="J15035" s="10" t="str">
        <f>HYPERLINK("https://www.boe.es/gazeta/dias/1834/09/10/pdfs/GMD-C-1834-208.pdf#page=1","Abrir facsímil")</f>
        <v>Abrir facsímil</v>
      </c>
      <c r="K15035" s="10" t="s">
        <v>24</v>
      </c>
    </row>
    <row r="15036" spans="1:11" ht="54" customHeight="1">
      <c r="A15036" s="9" t="s">
        <v>30206</v>
      </c>
      <c r="B15036" s="9" t="s">
        <v>30206</v>
      </c>
      <c r="C15036" s="9" t="s">
        <v>66</v>
      </c>
      <c r="D15036" s="9" t="s">
        <v>67</v>
      </c>
      <c r="E15036" s="10" t="s">
        <v>606</v>
      </c>
      <c r="F15036" s="9" t="s">
        <v>607</v>
      </c>
      <c r="G15036" s="10" t="s">
        <v>34</v>
      </c>
      <c r="H15036" s="9" t="s">
        <v>22</v>
      </c>
      <c r="I15036" s="9" t="s">
        <v>30208</v>
      </c>
      <c r="J15036" s="10" t="str">
        <f>HYPERLINK("https://www.boe.es/gazeta/dias/1834/06/23/pdfs/GMD-1834-126.pdf#page=1","Abrir facsímil")</f>
        <v>Abrir facsímil</v>
      </c>
      <c r="K15036" s="10" t="s">
        <v>24</v>
      </c>
    </row>
    <row r="15037" spans="1:11" ht="54" customHeight="1">
      <c r="A15037" s="9" t="s">
        <v>30206</v>
      </c>
      <c r="B15037" s="9" t="s">
        <v>30206</v>
      </c>
      <c r="C15037" s="9" t="s">
        <v>17</v>
      </c>
      <c r="D15037" s="9" t="s">
        <v>18</v>
      </c>
      <c r="E15037" s="10" t="s">
        <v>3499</v>
      </c>
      <c r="F15037" s="9" t="s">
        <v>3500</v>
      </c>
      <c r="G15037" s="10" t="s">
        <v>21</v>
      </c>
      <c r="H15037" s="9" t="s">
        <v>22</v>
      </c>
      <c r="I15037" s="9" t="s">
        <v>30209</v>
      </c>
      <c r="J15037" s="10" t="str">
        <f>HYPERLINK("https://www.boe.es/gazeta/dias/1834/01/28/pdfs/GMD-1834-13.pdf#page=3","Abrir facsímil")</f>
        <v>Abrir facsímil</v>
      </c>
      <c r="K15037" s="10" t="s">
        <v>24</v>
      </c>
    </row>
    <row r="15038" spans="1:11" ht="54" customHeight="1">
      <c r="A15038" s="9" t="s">
        <v>30206</v>
      </c>
      <c r="B15038" s="9" t="s">
        <v>30206</v>
      </c>
      <c r="C15038" s="9" t="s">
        <v>17</v>
      </c>
      <c r="D15038" s="9" t="s">
        <v>18</v>
      </c>
      <c r="E15038" s="10" t="s">
        <v>777</v>
      </c>
      <c r="F15038" s="9" t="s">
        <v>2535</v>
      </c>
      <c r="G15038" s="10" t="s">
        <v>28</v>
      </c>
      <c r="H15038" s="9" t="s">
        <v>22</v>
      </c>
      <c r="I15038" s="9" t="s">
        <v>30210</v>
      </c>
      <c r="J15038" s="10" t="str">
        <f>HYPERLINK("https://www.boe.es/gazeta/dias/1834/10/29/pdfs/GMD-C-1834-257.pdf#page=5","Abrir facsímil")</f>
        <v>Abrir facsímil</v>
      </c>
      <c r="K15038" s="10" t="s">
        <v>24</v>
      </c>
    </row>
    <row r="15039" spans="1:11" ht="54" customHeight="1">
      <c r="A15039" s="9" t="s">
        <v>30211</v>
      </c>
      <c r="B15039" s="9" t="s">
        <v>30212</v>
      </c>
      <c r="C15039" s="9" t="s">
        <v>17</v>
      </c>
      <c r="D15039" s="9" t="s">
        <v>18</v>
      </c>
      <c r="E15039" s="10" t="s">
        <v>492</v>
      </c>
      <c r="F15039" s="9" t="s">
        <v>493</v>
      </c>
      <c r="G15039" s="10" t="s">
        <v>75</v>
      </c>
      <c r="H15039" s="9" t="s">
        <v>22</v>
      </c>
      <c r="I15039" s="9" t="s">
        <v>30213</v>
      </c>
      <c r="J15039" s="10" t="str">
        <f>HYPERLINK("https://www.boe.es/gazeta/dias/1834/11/21/pdfs/GMD-C-1834-280.pdf#page=4","Abrir facsímil")</f>
        <v>Abrir facsímil</v>
      </c>
      <c r="K15039" s="10" t="s">
        <v>24</v>
      </c>
    </row>
    <row r="15040" spans="1:11" ht="54" customHeight="1">
      <c r="A15040" s="9" t="s">
        <v>30214</v>
      </c>
      <c r="B15040" s="9" t="s">
        <v>30215</v>
      </c>
      <c r="C15040" s="9" t="s">
        <v>46</v>
      </c>
      <c r="D15040" s="9" t="s">
        <v>18</v>
      </c>
      <c r="E15040" s="10" t="s">
        <v>286</v>
      </c>
      <c r="F15040" s="9" t="s">
        <v>548</v>
      </c>
      <c r="G15040" s="10" t="s">
        <v>86</v>
      </c>
      <c r="H15040" s="9" t="s">
        <v>22</v>
      </c>
      <c r="I15040" s="9" t="s">
        <v>30216</v>
      </c>
      <c r="J15040" s="10" t="str">
        <f>HYPERLINK("https://www.boe.es/gazeta/dias/1834/08/30/pdfs/GMD-1834-196.pdf#page=2","Abrir facsímil")</f>
        <v>Abrir facsímil</v>
      </c>
      <c r="K15040" s="10" t="s">
        <v>24</v>
      </c>
    </row>
    <row r="15041" spans="1:11" ht="54" customHeight="1">
      <c r="A15041" s="9" t="s">
        <v>30217</v>
      </c>
      <c r="B15041" s="9" t="s">
        <v>30218</v>
      </c>
      <c r="C15041" s="9" t="s">
        <v>90</v>
      </c>
      <c r="D15041" s="9" t="s">
        <v>18</v>
      </c>
      <c r="E15041" s="10" t="s">
        <v>309</v>
      </c>
      <c r="F15041" s="9" t="s">
        <v>310</v>
      </c>
      <c r="G15041" s="10" t="s">
        <v>21</v>
      </c>
      <c r="H15041" s="9" t="s">
        <v>22</v>
      </c>
      <c r="I15041" s="9" t="s">
        <v>30219</v>
      </c>
      <c r="J15041" s="10" t="str">
        <f>HYPERLINK("https://www.boe.es/gazeta/dias/1834/05/30/pdfs/GMD-1834-99.pdf#page=3","Abrir facsímil")</f>
        <v>Abrir facsímil</v>
      </c>
      <c r="K15041" s="10" t="s">
        <v>24</v>
      </c>
    </row>
    <row r="15042" spans="1:11" ht="54" customHeight="1">
      <c r="A15042" s="9" t="s">
        <v>30220</v>
      </c>
      <c r="B15042" s="9" t="s">
        <v>30221</v>
      </c>
      <c r="C15042" s="9" t="s">
        <v>46</v>
      </c>
      <c r="D15042" s="9" t="s">
        <v>18</v>
      </c>
      <c r="E15042" s="10" t="s">
        <v>84</v>
      </c>
      <c r="F15042" s="9" t="s">
        <v>1223</v>
      </c>
      <c r="G15042" s="10" t="s">
        <v>86</v>
      </c>
      <c r="H15042" s="9" t="s">
        <v>35</v>
      </c>
      <c r="I15042" s="9" t="s">
        <v>30222</v>
      </c>
      <c r="J15042" s="10" t="str">
        <f>HYPERLINK("https://www.boe.es/gazeta/dias/1834/06/07/pdfs/GMD-1834-109.pdf#page=2","Abrir facsímil")</f>
        <v>Abrir facsímil</v>
      </c>
      <c r="K15042" s="10" t="s">
        <v>37</v>
      </c>
    </row>
    <row r="15043" spans="1:11" ht="54" customHeight="1">
      <c r="A15043" s="9" t="s">
        <v>30223</v>
      </c>
      <c r="B15043" s="9" t="s">
        <v>30224</v>
      </c>
      <c r="C15043" s="9" t="s">
        <v>17</v>
      </c>
      <c r="D15043" s="9" t="s">
        <v>18</v>
      </c>
      <c r="E15043" s="10" t="s">
        <v>777</v>
      </c>
      <c r="F15043" s="9" t="s">
        <v>778</v>
      </c>
      <c r="G15043" s="10" t="s">
        <v>75</v>
      </c>
      <c r="H15043" s="9" t="s">
        <v>22</v>
      </c>
      <c r="I15043" s="9" t="s">
        <v>30225</v>
      </c>
      <c r="J15043" s="10" t="str">
        <f>HYPERLINK("https://www.boe.es/gazeta/dias/1834/10/29/pdfs/GMD-1834-257.pdf#page=4","Abrir facsímil")</f>
        <v>Abrir facsímil</v>
      </c>
      <c r="K15043" s="10" t="s">
        <v>24</v>
      </c>
    </row>
    <row r="15044" spans="1:11" ht="54" customHeight="1">
      <c r="A15044" s="9" t="s">
        <v>30226</v>
      </c>
      <c r="B15044" s="9" t="s">
        <v>30227</v>
      </c>
      <c r="C15044" s="9" t="s">
        <v>66</v>
      </c>
      <c r="D15044" s="9" t="s">
        <v>67</v>
      </c>
      <c r="E15044" s="10" t="s">
        <v>360</v>
      </c>
      <c r="F15044" s="9" t="s">
        <v>361</v>
      </c>
      <c r="G15044" s="10" t="s">
        <v>34</v>
      </c>
      <c r="H15044" s="9" t="s">
        <v>22</v>
      </c>
      <c r="I15044" s="9" t="s">
        <v>30228</v>
      </c>
      <c r="J15044" s="10" t="str">
        <f>HYPERLINK("https://www.boe.es/gazeta/dias/1834/04/07/pdfs/GMD-1834-46.pdf#page=1","Abrir facsímil")</f>
        <v>Abrir facsímil</v>
      </c>
      <c r="K15044" s="10" t="s">
        <v>24</v>
      </c>
    </row>
    <row r="15045" spans="1:11" ht="54" customHeight="1">
      <c r="A15045" s="9" t="s">
        <v>30226</v>
      </c>
      <c r="B15045" s="9" t="s">
        <v>30227</v>
      </c>
      <c r="C15045" s="9" t="s">
        <v>122</v>
      </c>
      <c r="D15045" s="9" t="s">
        <v>18</v>
      </c>
      <c r="E15045" s="10" t="s">
        <v>2306</v>
      </c>
      <c r="F15045" s="9" t="s">
        <v>2307</v>
      </c>
      <c r="G15045" s="10" t="s">
        <v>34</v>
      </c>
      <c r="H15045" s="9" t="s">
        <v>22</v>
      </c>
      <c r="I15045" s="9" t="s">
        <v>30229</v>
      </c>
      <c r="J15045" s="10" t="str">
        <f>HYPERLINK("https://www.boe.es/gazeta/dias/1834/04/26/pdfs/GMD-1834-65.pdf#page=1","Abrir facsímil")</f>
        <v>Abrir facsímil</v>
      </c>
      <c r="K15045" s="10" t="s">
        <v>24</v>
      </c>
    </row>
    <row r="15046" spans="1:11" ht="54" customHeight="1">
      <c r="A15046" s="9" t="s">
        <v>30230</v>
      </c>
      <c r="B15046" s="9" t="s">
        <v>30231</v>
      </c>
      <c r="C15046" s="9" t="s">
        <v>17</v>
      </c>
      <c r="D15046" s="9" t="s">
        <v>18</v>
      </c>
      <c r="E15046" s="10" t="s">
        <v>1839</v>
      </c>
      <c r="F15046" s="9" t="s">
        <v>3598</v>
      </c>
      <c r="G15046" s="10" t="s">
        <v>21</v>
      </c>
      <c r="H15046" s="9" t="s">
        <v>22</v>
      </c>
      <c r="I15046" s="9" t="s">
        <v>30232</v>
      </c>
      <c r="J15046" s="10" t="str">
        <f>HYPERLINK("https://www.boe.es/gazeta/dias/1834/08/12/pdfs/GMD-1834-177.pdf#page=3","Abrir facsímil")</f>
        <v>Abrir facsímil</v>
      </c>
      <c r="K15046" s="10" t="s">
        <v>24</v>
      </c>
    </row>
    <row r="15047" spans="1:11" ht="54" customHeight="1">
      <c r="A15047" s="9" t="s">
        <v>30233</v>
      </c>
      <c r="B15047" s="9" t="s">
        <v>30233</v>
      </c>
      <c r="C15047" s="9" t="s">
        <v>17</v>
      </c>
      <c r="D15047" s="9" t="s">
        <v>18</v>
      </c>
      <c r="E15047" s="10" t="s">
        <v>672</v>
      </c>
      <c r="F15047" s="9" t="s">
        <v>1055</v>
      </c>
      <c r="G15047" s="10" t="s">
        <v>75</v>
      </c>
      <c r="H15047" s="9" t="s">
        <v>22</v>
      </c>
      <c r="I15047" s="9" t="s">
        <v>30234</v>
      </c>
      <c r="J15047" s="10" t="str">
        <f>HYPERLINK("https://www.boe.es/gazeta/dias/1834/09/19/pdfs/GMD-C-1834-217.pdf#page=4","Abrir facsímil")</f>
        <v>Abrir facsímil</v>
      </c>
      <c r="K15047" s="10" t="s">
        <v>24</v>
      </c>
    </row>
    <row r="15048" spans="1:11" ht="54" customHeight="1">
      <c r="A15048" s="9" t="s">
        <v>30235</v>
      </c>
      <c r="B15048" s="9" t="s">
        <v>30236</v>
      </c>
      <c r="C15048" s="9" t="s">
        <v>17</v>
      </c>
      <c r="D15048" s="9" t="s">
        <v>18</v>
      </c>
      <c r="E15048" s="10" t="s">
        <v>2142</v>
      </c>
      <c r="F15048" s="9" t="s">
        <v>2143</v>
      </c>
      <c r="G15048" s="10" t="s">
        <v>21</v>
      </c>
      <c r="H15048" s="9" t="s">
        <v>22</v>
      </c>
      <c r="I15048" s="9" t="s">
        <v>30237</v>
      </c>
      <c r="J15048" s="10" t="str">
        <f>HYPERLINK("https://www.boe.es/gazeta/dias/1834/12/27/pdfs/GMD-1834-317.pdf#page=3","Abrir facsímil")</f>
        <v>Abrir facsímil</v>
      </c>
      <c r="K15048" s="10" t="s">
        <v>24</v>
      </c>
    </row>
    <row r="15049" spans="1:11" ht="54" customHeight="1">
      <c r="A15049" s="9" t="s">
        <v>30238</v>
      </c>
      <c r="B15049" s="9" t="s">
        <v>30239</v>
      </c>
      <c r="C15049" s="9" t="s">
        <v>122</v>
      </c>
      <c r="D15049" s="9" t="s">
        <v>18</v>
      </c>
      <c r="E15049" s="10" t="s">
        <v>590</v>
      </c>
      <c r="F15049" s="9" t="s">
        <v>17808</v>
      </c>
      <c r="G15049" s="10" t="s">
        <v>34</v>
      </c>
      <c r="H15049" s="9" t="s">
        <v>22</v>
      </c>
      <c r="I15049" s="9" t="s">
        <v>30240</v>
      </c>
      <c r="J15049" s="10" t="str">
        <f>HYPERLINK("https://www.boe.es/gazeta/dias/1834/11/30/pdfs/GMD-C-1834-289.pdf#page=1","Abrir facsímil")</f>
        <v>Abrir facsímil</v>
      </c>
      <c r="K15049" s="10" t="s">
        <v>24</v>
      </c>
    </row>
    <row r="15050" spans="1:11" ht="54" customHeight="1">
      <c r="A15050" s="9" t="s">
        <v>30241</v>
      </c>
      <c r="B15050" s="9" t="s">
        <v>30242</v>
      </c>
      <c r="C15050" s="9" t="s">
        <v>90</v>
      </c>
      <c r="D15050" s="9" t="s">
        <v>18</v>
      </c>
      <c r="E15050" s="10" t="s">
        <v>667</v>
      </c>
      <c r="F15050" s="9" t="s">
        <v>3347</v>
      </c>
      <c r="G15050" s="10" t="s">
        <v>75</v>
      </c>
      <c r="H15050" s="9" t="s">
        <v>22</v>
      </c>
      <c r="I15050" s="9" t="s">
        <v>30243</v>
      </c>
      <c r="J15050" s="10" t="str">
        <f>HYPERLINK("https://www.boe.es/gazeta/dias/1834/11/23/pdfs/GMD-1834-282.pdf#page=4","Abrir facsímil")</f>
        <v>Abrir facsímil</v>
      </c>
      <c r="K15050" s="10" t="s">
        <v>24</v>
      </c>
    </row>
    <row r="15051" spans="1:11" ht="54" customHeight="1">
      <c r="A15051" s="9" t="s">
        <v>30244</v>
      </c>
      <c r="B15051" s="9" t="s">
        <v>30245</v>
      </c>
      <c r="C15051" s="9" t="s">
        <v>90</v>
      </c>
      <c r="D15051" s="9" t="s">
        <v>101</v>
      </c>
      <c r="E15051" s="10" t="s">
        <v>2037</v>
      </c>
      <c r="F15051" s="9" t="s">
        <v>2038</v>
      </c>
      <c r="G15051" s="10" t="s">
        <v>34</v>
      </c>
      <c r="H15051" s="9" t="s">
        <v>22</v>
      </c>
      <c r="I15051" s="9" t="s">
        <v>30246</v>
      </c>
      <c r="J15051" s="10" t="str">
        <f>HYPERLINK("https://www.boe.es/gazeta/dias/1834/12/01/pdfs/I01208-01208.pdf#page=1","Abrir facsímil")</f>
        <v>Abrir facsímil</v>
      </c>
      <c r="K15051" s="10" t="s">
        <v>24</v>
      </c>
    </row>
    <row r="15052" spans="1:11" ht="54" customHeight="1">
      <c r="A15052" s="9" t="s">
        <v>30244</v>
      </c>
      <c r="B15052" s="9" t="s">
        <v>30245</v>
      </c>
      <c r="C15052" s="9" t="s">
        <v>90</v>
      </c>
      <c r="D15052" s="9" t="s">
        <v>101</v>
      </c>
      <c r="E15052" s="10" t="s">
        <v>2037</v>
      </c>
      <c r="F15052" s="9" t="s">
        <v>2038</v>
      </c>
      <c r="G15052" s="10" t="s">
        <v>75</v>
      </c>
      <c r="H15052" s="9" t="s">
        <v>22</v>
      </c>
      <c r="I15052" s="9" t="s">
        <v>30247</v>
      </c>
      <c r="J15052" s="10" t="str">
        <f>HYPERLINK("https://www.boe.es/gazeta/dias/1834/12/01/pdfs/GMD-1834-290.pdf#page=4","Abrir facsímil")</f>
        <v>Abrir facsímil</v>
      </c>
      <c r="K15052" s="10" t="s">
        <v>24</v>
      </c>
    </row>
    <row r="15053" spans="1:11" ht="54" customHeight="1">
      <c r="A15053" s="9" t="s">
        <v>30244</v>
      </c>
      <c r="B15053" s="9" t="s">
        <v>30245</v>
      </c>
      <c r="C15053" s="9" t="s">
        <v>17</v>
      </c>
      <c r="D15053" s="9" t="s">
        <v>18</v>
      </c>
      <c r="E15053" s="10" t="s">
        <v>571</v>
      </c>
      <c r="F15053" s="9" t="s">
        <v>620</v>
      </c>
      <c r="G15053" s="10" t="s">
        <v>470</v>
      </c>
      <c r="H15053" s="9" t="s">
        <v>22</v>
      </c>
      <c r="I15053" s="9" t="s">
        <v>30248</v>
      </c>
      <c r="J15053" s="10" t="str">
        <f>HYPERLINK("https://www.boe.es/gazeta/dias/1834/09/04/pdfs/GMD-C-1834-202.pdf#page=8","Abrir facsímil")</f>
        <v>Abrir facsímil</v>
      </c>
      <c r="K15053" s="10" t="s">
        <v>24</v>
      </c>
    </row>
    <row r="15054" spans="1:11" ht="54" customHeight="1">
      <c r="A15054" s="9" t="s">
        <v>30244</v>
      </c>
      <c r="B15054" s="9" t="s">
        <v>30245</v>
      </c>
      <c r="C15054" s="9" t="s">
        <v>66</v>
      </c>
      <c r="D15054" s="9" t="s">
        <v>18</v>
      </c>
      <c r="E15054" s="10" t="s">
        <v>1674</v>
      </c>
      <c r="F15054" s="9" t="s">
        <v>3233</v>
      </c>
      <c r="G15054" s="10" t="s">
        <v>86</v>
      </c>
      <c r="H15054" s="9" t="s">
        <v>22</v>
      </c>
      <c r="I15054" s="9" t="s">
        <v>30249</v>
      </c>
      <c r="J15054" s="10" t="str">
        <f>HYPERLINK("https://www.boe.es/gazeta/dias/1834/07/25/pdfs/GMD-C-1834-158.pdf#page=2","Abrir facsímil")</f>
        <v>Abrir facsímil</v>
      </c>
      <c r="K15054" s="10" t="s">
        <v>24</v>
      </c>
    </row>
    <row r="15055" spans="1:11" ht="54" customHeight="1">
      <c r="A15055" s="9" t="s">
        <v>30244</v>
      </c>
      <c r="B15055" s="9" t="s">
        <v>30245</v>
      </c>
      <c r="C15055" s="9" t="s">
        <v>90</v>
      </c>
      <c r="D15055" s="9" t="s">
        <v>55</v>
      </c>
      <c r="E15055" s="10" t="s">
        <v>283</v>
      </c>
      <c r="F15055" s="9" t="s">
        <v>2969</v>
      </c>
      <c r="G15055" s="10" t="s">
        <v>34</v>
      </c>
      <c r="H15055" s="9" t="s">
        <v>22</v>
      </c>
      <c r="I15055" s="9" t="s">
        <v>30250</v>
      </c>
      <c r="J15055" s="10" t="str">
        <f>HYPERLINK("https://www.boe.es/gazeta/dias/1834/11/29/pdfs/GMD-1834-288.pdf#page=1","Abrir facsímil")</f>
        <v>Abrir facsímil</v>
      </c>
      <c r="K15055" s="10" t="s">
        <v>24</v>
      </c>
    </row>
    <row r="15056" spans="1:11" ht="54" customHeight="1">
      <c r="A15056" s="9" t="s">
        <v>30244</v>
      </c>
      <c r="B15056" s="9" t="s">
        <v>30245</v>
      </c>
      <c r="C15056" s="9" t="s">
        <v>122</v>
      </c>
      <c r="D15056" s="9" t="s">
        <v>18</v>
      </c>
      <c r="E15056" s="10" t="s">
        <v>590</v>
      </c>
      <c r="F15056" s="9" t="s">
        <v>17808</v>
      </c>
      <c r="G15056" s="10" t="s">
        <v>34</v>
      </c>
      <c r="H15056" s="9" t="s">
        <v>22</v>
      </c>
      <c r="I15056" s="9" t="s">
        <v>30251</v>
      </c>
      <c r="J15056" s="10" t="str">
        <f>HYPERLINK("https://www.boe.es/gazeta/dias/1834/11/30/pdfs/GMD-C-1834-289.pdf#page=1","Abrir facsímil")</f>
        <v>Abrir facsímil</v>
      </c>
      <c r="K15056" s="10" t="s">
        <v>24</v>
      </c>
    </row>
    <row r="15057" spans="1:11" ht="54" customHeight="1">
      <c r="A15057" s="9" t="s">
        <v>30252</v>
      </c>
      <c r="B15057" s="9" t="s">
        <v>30253</v>
      </c>
      <c r="C15057" s="9" t="s">
        <v>122</v>
      </c>
      <c r="D15057" s="9" t="s">
        <v>18</v>
      </c>
      <c r="E15057" s="10" t="s">
        <v>4637</v>
      </c>
      <c r="F15057" s="9" t="s">
        <v>4638</v>
      </c>
      <c r="G15057" s="10" t="s">
        <v>21</v>
      </c>
      <c r="H15057" s="9" t="s">
        <v>22</v>
      </c>
      <c r="I15057" s="9" t="s">
        <v>30254</v>
      </c>
      <c r="J15057" s="10" t="str">
        <f>HYPERLINK("https://www.boe.es/gazeta/dias/1834/12/08/pdfs/GMD-1834-297.pdf#page=3","Abrir facsímil")</f>
        <v>Abrir facsímil</v>
      </c>
      <c r="K15057" s="10" t="s">
        <v>24</v>
      </c>
    </row>
    <row r="15058" spans="1:11" ht="54" customHeight="1">
      <c r="A15058" s="9" t="s">
        <v>30255</v>
      </c>
      <c r="B15058" s="9" t="s">
        <v>30256</v>
      </c>
      <c r="C15058" s="9" t="s">
        <v>17</v>
      </c>
      <c r="D15058" s="9" t="s">
        <v>18</v>
      </c>
      <c r="E15058" s="10" t="s">
        <v>4814</v>
      </c>
      <c r="F15058" s="9" t="s">
        <v>4815</v>
      </c>
      <c r="G15058" s="10" t="s">
        <v>75</v>
      </c>
      <c r="H15058" s="9" t="s">
        <v>22</v>
      </c>
      <c r="I15058" s="9" t="s">
        <v>30257</v>
      </c>
      <c r="J15058" s="10" t="str">
        <f>HYPERLINK("https://www.boe.es/gazeta/dias/1834/06/05/pdfs/GMD-1834-107.pdf#page=4","Abrir facsímil")</f>
        <v>Abrir facsímil</v>
      </c>
      <c r="K15058" s="10" t="s">
        <v>24</v>
      </c>
    </row>
    <row r="15059" spans="1:11" ht="54" customHeight="1">
      <c r="A15059" s="9" t="s">
        <v>30258</v>
      </c>
      <c r="B15059" s="9" t="s">
        <v>30259</v>
      </c>
      <c r="C15059" s="9" t="s">
        <v>90</v>
      </c>
      <c r="D15059" s="9" t="s">
        <v>18</v>
      </c>
      <c r="E15059" s="10" t="s">
        <v>1641</v>
      </c>
      <c r="F15059" s="9" t="s">
        <v>1729</v>
      </c>
      <c r="G15059" s="10" t="s">
        <v>21</v>
      </c>
      <c r="H15059" s="9" t="s">
        <v>22</v>
      </c>
      <c r="I15059" s="9" t="s">
        <v>30260</v>
      </c>
      <c r="J15059" s="10" t="str">
        <f>HYPERLINK("https://www.boe.es/gazeta/dias/1834/09/28/pdfs/GMD-1834-226.pdf#page=3","Abrir facsímil")</f>
        <v>Abrir facsímil</v>
      </c>
      <c r="K15059" s="10" t="s">
        <v>24</v>
      </c>
    </row>
    <row r="15060" spans="1:11" ht="54" customHeight="1">
      <c r="A15060" s="9" t="s">
        <v>30261</v>
      </c>
      <c r="B15060" s="9" t="s">
        <v>30262</v>
      </c>
      <c r="C15060" s="9" t="s">
        <v>90</v>
      </c>
      <c r="D15060" s="9" t="s">
        <v>18</v>
      </c>
      <c r="E15060" s="10" t="s">
        <v>1641</v>
      </c>
      <c r="F15060" s="9" t="s">
        <v>1729</v>
      </c>
      <c r="G15060" s="10" t="s">
        <v>21</v>
      </c>
      <c r="H15060" s="9" t="s">
        <v>35</v>
      </c>
      <c r="I15060" s="9" t="s">
        <v>30263</v>
      </c>
      <c r="J15060" s="10" t="str">
        <f>HYPERLINK("https://www.boe.es/gazeta/dias/1834/09/28/pdfs/GMD-1834-226.pdf#page=3","Abrir facsímil")</f>
        <v>Abrir facsímil</v>
      </c>
      <c r="K15060" s="10" t="s">
        <v>37</v>
      </c>
    </row>
    <row r="15061" spans="1:11" ht="54" customHeight="1">
      <c r="A15061" s="9" t="s">
        <v>30264</v>
      </c>
      <c r="B15061" s="9" t="s">
        <v>30264</v>
      </c>
      <c r="C15061" s="9" t="s">
        <v>46</v>
      </c>
      <c r="D15061" s="9" t="s">
        <v>55</v>
      </c>
      <c r="E15061" s="10" t="s">
        <v>1686</v>
      </c>
      <c r="F15061" s="9" t="s">
        <v>1687</v>
      </c>
      <c r="G15061" s="10" t="s">
        <v>86</v>
      </c>
      <c r="H15061" s="9" t="s">
        <v>22</v>
      </c>
      <c r="I15061" s="9" t="s">
        <v>30265</v>
      </c>
      <c r="J15061" s="10" t="str">
        <f>HYPERLINK("https://www.boe.es/gazeta/dias/1834/07/27/pdfs/GMD-1834-160.pdf#page=2","Abrir facsímil")</f>
        <v>Abrir facsímil</v>
      </c>
      <c r="K15061" s="10" t="s">
        <v>24</v>
      </c>
    </row>
    <row r="15062" spans="1:11" ht="54" customHeight="1">
      <c r="A15062" s="9" t="s">
        <v>30266</v>
      </c>
      <c r="B15062" s="9" t="s">
        <v>30266</v>
      </c>
      <c r="C15062" s="9" t="s">
        <v>90</v>
      </c>
      <c r="D15062" s="9" t="s">
        <v>67</v>
      </c>
      <c r="E15062" s="10" t="s">
        <v>167</v>
      </c>
      <c r="F15062" s="9" t="s">
        <v>1200</v>
      </c>
      <c r="G15062" s="10" t="s">
        <v>86</v>
      </c>
      <c r="H15062" s="9" t="s">
        <v>22</v>
      </c>
      <c r="I15062" s="9" t="s">
        <v>30267</v>
      </c>
      <c r="J15062" s="10" t="str">
        <f>HYPERLINK("https://www.boe.es/gazeta/dias/1834/09/07/pdfs/GMD-C-1834-205.pdf#page=2","Abrir facsímil")</f>
        <v>Abrir facsímil</v>
      </c>
      <c r="K15062" s="10" t="s">
        <v>24</v>
      </c>
    </row>
    <row r="15063" spans="1:11" ht="54" customHeight="1">
      <c r="A15063" s="9" t="s">
        <v>30268</v>
      </c>
      <c r="B15063" s="9" t="s">
        <v>30269</v>
      </c>
      <c r="C15063" s="9" t="s">
        <v>66</v>
      </c>
      <c r="D15063" s="9" t="s">
        <v>18</v>
      </c>
      <c r="E15063" s="10" t="s">
        <v>2888</v>
      </c>
      <c r="F15063" s="9" t="s">
        <v>2889</v>
      </c>
      <c r="G15063" s="10" t="s">
        <v>86</v>
      </c>
      <c r="H15063" s="9" t="s">
        <v>22</v>
      </c>
      <c r="I15063" s="9" t="s">
        <v>30270</v>
      </c>
      <c r="J15063" s="10" t="str">
        <f>HYPERLINK("https://www.boe.es/gazeta/dias/1834/12/22/pdfs/GMD-1834-312.pdf#page=2","Abrir facsímil")</f>
        <v>Abrir facsímil</v>
      </c>
      <c r="K15063" s="10" t="s">
        <v>24</v>
      </c>
    </row>
    <row r="15064" spans="1:11" ht="54" customHeight="1">
      <c r="A15064" s="9" t="s">
        <v>30271</v>
      </c>
      <c r="B15064" s="9" t="s">
        <v>30272</v>
      </c>
      <c r="C15064" s="9" t="s">
        <v>17</v>
      </c>
      <c r="D15064" s="9" t="s">
        <v>55</v>
      </c>
      <c r="E15064" s="10" t="s">
        <v>209</v>
      </c>
      <c r="F15064" s="9" t="s">
        <v>210</v>
      </c>
      <c r="G15064" s="10" t="s">
        <v>21</v>
      </c>
      <c r="H15064" s="9" t="s">
        <v>22</v>
      </c>
      <c r="I15064" s="9" t="s">
        <v>30273</v>
      </c>
      <c r="J15064" s="10" t="str">
        <f>HYPERLINK("https://www.boe.es/gazeta/dias/1834/07/01/pdfs/GMD-1834-134.pdf#page=3","Abrir facsímil")</f>
        <v>Abrir facsímil</v>
      </c>
      <c r="K15064" s="10" t="s">
        <v>24</v>
      </c>
    </row>
    <row r="15065" spans="1:11" ht="54" customHeight="1">
      <c r="A15065" s="9" t="s">
        <v>30274</v>
      </c>
      <c r="B15065" s="9" t="s">
        <v>30274</v>
      </c>
      <c r="C15065" s="9" t="s">
        <v>122</v>
      </c>
      <c r="D15065" s="9" t="s">
        <v>18</v>
      </c>
      <c r="E15065" s="10" t="s">
        <v>1212</v>
      </c>
      <c r="F15065" s="9" t="s">
        <v>1213</v>
      </c>
      <c r="G15065" s="10" t="s">
        <v>75</v>
      </c>
      <c r="H15065" s="9" t="s">
        <v>22</v>
      </c>
      <c r="I15065" s="9" t="s">
        <v>30275</v>
      </c>
      <c r="J15065" s="10" t="str">
        <f>HYPERLINK("https://www.boe.es/gazeta/dias/1834/05/24/pdfs/GMD-1834-93.pdf#page=4","Abrir facsímil")</f>
        <v>Abrir facsímil</v>
      </c>
      <c r="K15065" s="10" t="s">
        <v>24</v>
      </c>
    </row>
    <row r="15066" spans="1:11" ht="54" customHeight="1">
      <c r="A15066" s="9" t="s">
        <v>30276</v>
      </c>
      <c r="B15066" s="9" t="s">
        <v>30276</v>
      </c>
      <c r="C15066" s="9" t="s">
        <v>122</v>
      </c>
      <c r="D15066" s="9" t="s">
        <v>18</v>
      </c>
      <c r="E15066" s="10" t="s">
        <v>777</v>
      </c>
      <c r="F15066" s="9" t="s">
        <v>2535</v>
      </c>
      <c r="G15066" s="10" t="s">
        <v>75</v>
      </c>
      <c r="H15066" s="9" t="s">
        <v>22</v>
      </c>
      <c r="I15066" s="9" t="s">
        <v>30277</v>
      </c>
      <c r="J15066" s="10" t="str">
        <f>HYPERLINK("https://www.boe.es/gazeta/dias/1834/10/29/pdfs/GMD-C-1834-257.pdf#page=4","Abrir facsímil")</f>
        <v>Abrir facsímil</v>
      </c>
      <c r="K15066" s="10" t="s">
        <v>24</v>
      </c>
    </row>
    <row r="15067" spans="1:11" ht="54" customHeight="1">
      <c r="A15067" s="9" t="s">
        <v>30278</v>
      </c>
      <c r="B15067" s="9" t="s">
        <v>30279</v>
      </c>
      <c r="C15067" s="9" t="s">
        <v>17</v>
      </c>
      <c r="D15067" s="9" t="s">
        <v>18</v>
      </c>
      <c r="E15067" s="10" t="s">
        <v>2860</v>
      </c>
      <c r="F15067" s="9" t="s">
        <v>2861</v>
      </c>
      <c r="G15067" s="10" t="s">
        <v>75</v>
      </c>
      <c r="H15067" s="9" t="s">
        <v>35</v>
      </c>
      <c r="I15067" s="9" t="s">
        <v>30280</v>
      </c>
      <c r="J15067" s="10" t="str">
        <f>HYPERLINK("https://www.boe.es/gazeta/dias/1834/07/20/pdfs/GMD-1834-153.pdf#page=4","Abrir facsímil")</f>
        <v>Abrir facsímil</v>
      </c>
      <c r="K15067" s="10" t="s">
        <v>37</v>
      </c>
    </row>
    <row r="15068" spans="1:11" ht="54" customHeight="1">
      <c r="A15068" s="9" t="s">
        <v>30281</v>
      </c>
      <c r="B15068" s="9" t="s">
        <v>30282</v>
      </c>
      <c r="C15068" s="9" t="s">
        <v>17</v>
      </c>
      <c r="D15068" s="9" t="s">
        <v>18</v>
      </c>
      <c r="E15068" s="10" t="s">
        <v>2860</v>
      </c>
      <c r="F15068" s="9" t="s">
        <v>2861</v>
      </c>
      <c r="G15068" s="10" t="s">
        <v>75</v>
      </c>
      <c r="H15068" s="9" t="s">
        <v>22</v>
      </c>
      <c r="I15068" s="9" t="s">
        <v>30283</v>
      </c>
      <c r="J15068" s="10" t="str">
        <f>HYPERLINK("https://www.boe.es/gazeta/dias/1834/07/20/pdfs/GMD-1834-153.pdf#page=4","Abrir facsímil")</f>
        <v>Abrir facsímil</v>
      </c>
      <c r="K15068" s="10" t="s">
        <v>24</v>
      </c>
    </row>
    <row r="15069" spans="1:11" ht="54" customHeight="1">
      <c r="A15069" s="9" t="s">
        <v>30284</v>
      </c>
      <c r="B15069" s="9" t="s">
        <v>30284</v>
      </c>
      <c r="C15069" s="9" t="s">
        <v>46</v>
      </c>
      <c r="D15069" s="9" t="s">
        <v>55</v>
      </c>
      <c r="E15069" s="10" t="s">
        <v>3499</v>
      </c>
      <c r="F15069" s="9" t="s">
        <v>3500</v>
      </c>
      <c r="G15069" s="10" t="s">
        <v>86</v>
      </c>
      <c r="H15069" s="9" t="s">
        <v>22</v>
      </c>
      <c r="I15069" s="9" t="s">
        <v>30285</v>
      </c>
      <c r="J15069" s="10" t="str">
        <f>HYPERLINK("https://www.boe.es/gazeta/dias/1834/01/28/pdfs/GMD-1834-13.pdf#page=2","Abrir facsímil")</f>
        <v>Abrir facsímil</v>
      </c>
      <c r="K15069" s="10" t="s">
        <v>24</v>
      </c>
    </row>
    <row r="15070" spans="1:11" ht="54" customHeight="1">
      <c r="A15070" s="9" t="s">
        <v>30286</v>
      </c>
      <c r="B15070" s="9" t="s">
        <v>30287</v>
      </c>
      <c r="C15070" s="9" t="s">
        <v>17</v>
      </c>
      <c r="D15070" s="9" t="s">
        <v>18</v>
      </c>
      <c r="E15070" s="10" t="s">
        <v>73</v>
      </c>
      <c r="F15070" s="9" t="s">
        <v>74</v>
      </c>
      <c r="G15070" s="10" t="s">
        <v>75</v>
      </c>
      <c r="H15070" s="9" t="s">
        <v>22</v>
      </c>
      <c r="I15070" s="9" t="s">
        <v>30288</v>
      </c>
      <c r="J15070" s="10" t="str">
        <f>HYPERLINK("https://www.boe.es/gazeta/dias/1834/11/04/pdfs/GMD-1834-263.pdf#page=4","Abrir facsímil")</f>
        <v>Abrir facsímil</v>
      </c>
      <c r="K15070" s="10" t="s">
        <v>24</v>
      </c>
    </row>
    <row r="15071" spans="1:11" ht="54" customHeight="1">
      <c r="A15071" s="9" t="s">
        <v>30289</v>
      </c>
      <c r="B15071" s="9" t="s">
        <v>30290</v>
      </c>
      <c r="C15071" s="9" t="s">
        <v>66</v>
      </c>
      <c r="D15071" s="9" t="s">
        <v>67</v>
      </c>
      <c r="E15071" s="10" t="s">
        <v>1094</v>
      </c>
      <c r="F15071" s="9" t="s">
        <v>1095</v>
      </c>
      <c r="G15071" s="10" t="s">
        <v>75</v>
      </c>
      <c r="H15071" s="9" t="s">
        <v>22</v>
      </c>
      <c r="I15071" s="9" t="s">
        <v>30291</v>
      </c>
      <c r="J15071" s="10" t="str">
        <f>HYPERLINK("https://www.boe.es/gazeta/dias/1834/07/13/pdfs/GMD-1834-146.pdf#page=4","Abrir facsímil")</f>
        <v>Abrir facsímil</v>
      </c>
      <c r="K15071" s="10" t="s">
        <v>24</v>
      </c>
    </row>
    <row r="15072" spans="1:11" ht="54" customHeight="1">
      <c r="A15072" s="9" t="s">
        <v>30292</v>
      </c>
      <c r="B15072" s="9" t="s">
        <v>30292</v>
      </c>
      <c r="C15072" s="9" t="s">
        <v>17</v>
      </c>
      <c r="D15072" s="9" t="s">
        <v>40</v>
      </c>
      <c r="E15072" s="10" t="s">
        <v>1669</v>
      </c>
      <c r="F15072" s="9" t="s">
        <v>1670</v>
      </c>
      <c r="G15072" s="10" t="s">
        <v>75</v>
      </c>
      <c r="H15072" s="9" t="s">
        <v>22</v>
      </c>
      <c r="I15072" s="9" t="s">
        <v>30293</v>
      </c>
      <c r="J15072" s="10" t="str">
        <f>HYPERLINK("https://www.boe.es/gazeta/dias/1834/06/19/pdfs/GMD-1834-122.pdf#page=4","Abrir facsímil")</f>
        <v>Abrir facsímil</v>
      </c>
      <c r="K15072" s="10" t="s">
        <v>24</v>
      </c>
    </row>
    <row r="15073" spans="1:11" ht="54" customHeight="1">
      <c r="A15073" s="9" t="s">
        <v>30294</v>
      </c>
      <c r="B15073" s="9" t="s">
        <v>30294</v>
      </c>
      <c r="C15073" s="9" t="s">
        <v>66</v>
      </c>
      <c r="D15073" s="9" t="s">
        <v>67</v>
      </c>
      <c r="E15073" s="10" t="s">
        <v>976</v>
      </c>
      <c r="F15073" s="9" t="s">
        <v>1061</v>
      </c>
      <c r="G15073" s="10" t="s">
        <v>86</v>
      </c>
      <c r="H15073" s="9" t="s">
        <v>22</v>
      </c>
      <c r="I15073" s="9" t="s">
        <v>30295</v>
      </c>
      <c r="J15073" s="10" t="str">
        <f>HYPERLINK("https://www.boe.es/gazeta/dias/1834/04/02/pdfs/GMD-C-1834-41.pdf#page=2","Abrir facsímil")</f>
        <v>Abrir facsímil</v>
      </c>
      <c r="K15073" s="10" t="s">
        <v>24</v>
      </c>
    </row>
    <row r="15074" spans="1:11" ht="54" customHeight="1">
      <c r="A15074" s="9" t="s">
        <v>30296</v>
      </c>
      <c r="B15074" s="9" t="s">
        <v>30296</v>
      </c>
      <c r="C15074" s="9" t="s">
        <v>17</v>
      </c>
      <c r="D15074" s="9" t="s">
        <v>18</v>
      </c>
      <c r="E15074" s="10" t="s">
        <v>4064</v>
      </c>
      <c r="F15074" s="9" t="s">
        <v>4065</v>
      </c>
      <c r="G15074" s="10" t="s">
        <v>75</v>
      </c>
      <c r="H15074" s="9" t="s">
        <v>22</v>
      </c>
      <c r="I15074" s="9" t="s">
        <v>30297</v>
      </c>
      <c r="J15074" s="10" t="str">
        <f>HYPERLINK("https://www.boe.es/gazeta/dias/1834/07/22/pdfs/GMD-1834-155.pdf#page=4","Abrir facsímil")</f>
        <v>Abrir facsímil</v>
      </c>
      <c r="K15074" s="10" t="s">
        <v>24</v>
      </c>
    </row>
    <row r="15075" spans="1:11" ht="54" customHeight="1">
      <c r="A15075" s="9" t="s">
        <v>30298</v>
      </c>
      <c r="B15075" s="9" t="s">
        <v>30298</v>
      </c>
      <c r="C15075" s="9" t="s">
        <v>17</v>
      </c>
      <c r="D15075" s="9" t="s">
        <v>18</v>
      </c>
      <c r="E15075" s="10" t="s">
        <v>1692</v>
      </c>
      <c r="F15075" s="9" t="s">
        <v>1693</v>
      </c>
      <c r="G15075" s="10" t="s">
        <v>86</v>
      </c>
      <c r="H15075" s="9" t="s">
        <v>22</v>
      </c>
      <c r="I15075" s="9" t="s">
        <v>30299</v>
      </c>
      <c r="J15075" s="10" t="str">
        <f>HYPERLINK("https://www.boe.es/gazeta/dias/1834/07/29/pdfs/GMD-1834-162.pdf#page=2","Abrir facsímil")</f>
        <v>Abrir facsímil</v>
      </c>
      <c r="K15075" s="10" t="s">
        <v>24</v>
      </c>
    </row>
    <row r="15076" spans="1:11" ht="54" customHeight="1">
      <c r="A15076" s="9" t="s">
        <v>30300</v>
      </c>
      <c r="B15076" s="9" t="s">
        <v>30301</v>
      </c>
      <c r="C15076" s="9" t="s">
        <v>17</v>
      </c>
      <c r="D15076" s="9" t="s">
        <v>18</v>
      </c>
      <c r="E15076" s="10" t="s">
        <v>2287</v>
      </c>
      <c r="F15076" s="9" t="s">
        <v>4741</v>
      </c>
      <c r="G15076" s="10" t="s">
        <v>21</v>
      </c>
      <c r="H15076" s="9" t="s">
        <v>22</v>
      </c>
      <c r="I15076" s="9" t="s">
        <v>30302</v>
      </c>
      <c r="J15076" s="10" t="str">
        <f>HYPERLINK("https://www.boe.es/gazeta/dias/1834/12/18/pdfs/GMD-1834-308.pdf#page=3","Abrir facsímil")</f>
        <v>Abrir facsímil</v>
      </c>
      <c r="K15076" s="10" t="s">
        <v>24</v>
      </c>
    </row>
    <row r="15077" spans="1:11" ht="54" customHeight="1">
      <c r="A15077" s="9" t="s">
        <v>30303</v>
      </c>
      <c r="B15077" s="9" t="s">
        <v>30303</v>
      </c>
      <c r="C15077" s="9" t="s">
        <v>46</v>
      </c>
      <c r="D15077" s="9" t="s">
        <v>101</v>
      </c>
      <c r="E15077" s="10" t="s">
        <v>79</v>
      </c>
      <c r="F15077" s="9" t="s">
        <v>80</v>
      </c>
      <c r="G15077" s="10" t="s">
        <v>75</v>
      </c>
      <c r="H15077" s="9" t="s">
        <v>22</v>
      </c>
      <c r="I15077" s="9" t="s">
        <v>30304</v>
      </c>
      <c r="J15077" s="10" t="str">
        <f>HYPERLINK("https://www.boe.es/gazeta/dias/1834/07/12/pdfs/GMD-1834-145.pdf#page=4","Abrir facsímil")</f>
        <v>Abrir facsímil</v>
      </c>
      <c r="K15077" s="10" t="s">
        <v>24</v>
      </c>
    </row>
    <row r="15078" spans="1:11" ht="54" customHeight="1">
      <c r="A15078" s="9" t="s">
        <v>30305</v>
      </c>
      <c r="B15078" s="9" t="s">
        <v>30306</v>
      </c>
      <c r="C15078" s="9" t="s">
        <v>46</v>
      </c>
      <c r="D15078" s="9" t="s">
        <v>18</v>
      </c>
      <c r="E15078" s="10" t="s">
        <v>956</v>
      </c>
      <c r="F15078" s="9" t="s">
        <v>957</v>
      </c>
      <c r="G15078" s="10" t="s">
        <v>34</v>
      </c>
      <c r="H15078" s="9" t="s">
        <v>22</v>
      </c>
      <c r="I15078" s="9" t="s">
        <v>30307</v>
      </c>
      <c r="J15078" s="10" t="str">
        <f>HYPERLINK("https://www.boe.es/gazeta/dias/1834/08/10/pdfs/GMD-C-1834-175.pdf#page=1","Abrir facsímil")</f>
        <v>Abrir facsímil</v>
      </c>
      <c r="K15078" s="10" t="s">
        <v>24</v>
      </c>
    </row>
    <row r="15079" spans="1:11" ht="54" customHeight="1">
      <c r="A15079" s="9" t="s">
        <v>30308</v>
      </c>
      <c r="B15079" s="9" t="s">
        <v>30308</v>
      </c>
      <c r="C15079" s="9" t="s">
        <v>66</v>
      </c>
      <c r="D15079" s="9" t="s">
        <v>67</v>
      </c>
      <c r="E15079" s="10" t="s">
        <v>833</v>
      </c>
      <c r="F15079" s="9" t="s">
        <v>834</v>
      </c>
      <c r="G15079" s="10" t="s">
        <v>86</v>
      </c>
      <c r="H15079" s="9" t="s">
        <v>22</v>
      </c>
      <c r="I15079" s="9" t="s">
        <v>30309</v>
      </c>
      <c r="J15079" s="10" t="str">
        <f>HYPERLINK("https://www.boe.es/gazeta/dias/1834/04/24/pdfs/GMD-1834-63.pdf#page=2","Abrir facsímil")</f>
        <v>Abrir facsímil</v>
      </c>
      <c r="K15079" s="10" t="s">
        <v>24</v>
      </c>
    </row>
    <row r="15080" spans="1:11" ht="54" customHeight="1">
      <c r="A15080" s="9" t="s">
        <v>30310</v>
      </c>
      <c r="B15080" s="9" t="s">
        <v>30311</v>
      </c>
      <c r="C15080" s="9" t="s">
        <v>17</v>
      </c>
      <c r="D15080" s="9" t="s">
        <v>18</v>
      </c>
      <c r="E15080" s="10" t="s">
        <v>454</v>
      </c>
      <c r="F15080" s="9" t="s">
        <v>455</v>
      </c>
      <c r="G15080" s="10" t="s">
        <v>86</v>
      </c>
      <c r="H15080" s="9" t="s">
        <v>22</v>
      </c>
      <c r="I15080" s="9" t="s">
        <v>30312</v>
      </c>
      <c r="J15080" s="10" t="str">
        <f>HYPERLINK("https://www.boe.es/gazeta/dias/1834/10/16/pdfs/GMD-C-1834-244.pdf#page=2","Abrir facsímil")</f>
        <v>Abrir facsímil</v>
      </c>
      <c r="K15080" s="10" t="s">
        <v>24</v>
      </c>
    </row>
    <row r="15081" spans="1:11" ht="54" customHeight="1">
      <c r="A15081" s="9" t="s">
        <v>30313</v>
      </c>
      <c r="B15081" s="9" t="s">
        <v>30314</v>
      </c>
      <c r="C15081" s="9" t="s">
        <v>17</v>
      </c>
      <c r="D15081" s="9" t="s">
        <v>18</v>
      </c>
      <c r="E15081" s="10" t="s">
        <v>479</v>
      </c>
      <c r="F15081" s="9" t="s">
        <v>2258</v>
      </c>
      <c r="G15081" s="10" t="s">
        <v>21</v>
      </c>
      <c r="H15081" s="9" t="s">
        <v>22</v>
      </c>
      <c r="I15081" s="9" t="s">
        <v>30315</v>
      </c>
      <c r="J15081" s="10" t="str">
        <f>HYPERLINK("https://www.boe.es/gazeta/dias/1834/08/13/pdfs/GMD-C-1834-178.pdf#page=3","Abrir facsímil")</f>
        <v>Abrir facsímil</v>
      </c>
      <c r="K15081" s="10" t="s">
        <v>24</v>
      </c>
    </row>
    <row r="15082" spans="1:11" ht="54" customHeight="1">
      <c r="A15082" s="9" t="s">
        <v>30316</v>
      </c>
      <c r="B15082" s="9" t="s">
        <v>30317</v>
      </c>
      <c r="C15082" s="9" t="s">
        <v>17</v>
      </c>
      <c r="D15082" s="9" t="s">
        <v>18</v>
      </c>
      <c r="E15082" s="10" t="s">
        <v>454</v>
      </c>
      <c r="F15082" s="9" t="s">
        <v>455</v>
      </c>
      <c r="G15082" s="10" t="s">
        <v>86</v>
      </c>
      <c r="H15082" s="9" t="s">
        <v>35</v>
      </c>
      <c r="I15082" s="9" t="s">
        <v>30318</v>
      </c>
      <c r="J15082" s="10" t="str">
        <f>HYPERLINK("https://www.boe.es/gazeta/dias/1834/10/16/pdfs/GMD-C-1834-244.pdf#page=2","Abrir facsímil")</f>
        <v>Abrir facsímil</v>
      </c>
      <c r="K15082" s="10" t="s">
        <v>37</v>
      </c>
    </row>
    <row r="15083" spans="1:11" ht="54" customHeight="1">
      <c r="A15083" s="9" t="s">
        <v>30319</v>
      </c>
      <c r="B15083" s="9" t="s">
        <v>30320</v>
      </c>
      <c r="C15083" s="9" t="s">
        <v>90</v>
      </c>
      <c r="D15083" s="9" t="s">
        <v>101</v>
      </c>
      <c r="E15083" s="10" t="s">
        <v>1025</v>
      </c>
      <c r="F15083" s="9" t="s">
        <v>1026</v>
      </c>
      <c r="G15083" s="10" t="s">
        <v>34</v>
      </c>
      <c r="H15083" s="9" t="s">
        <v>22</v>
      </c>
      <c r="I15083" s="9" t="s">
        <v>30321</v>
      </c>
      <c r="J15083" s="10" t="str">
        <f>HYPERLINK("https://www.boe.es/gazeta/dias/1834/03/01/pdfs/GMD-1834-27.pdf#page=1","Abrir facsímil")</f>
        <v>Abrir facsímil</v>
      </c>
      <c r="K15083" s="10" t="s">
        <v>24</v>
      </c>
    </row>
    <row r="15084" spans="1:11" ht="54" customHeight="1">
      <c r="A15084" s="9" t="s">
        <v>30322</v>
      </c>
      <c r="B15084" s="9" t="s">
        <v>30323</v>
      </c>
      <c r="C15084" s="9" t="s">
        <v>122</v>
      </c>
      <c r="D15084" s="9" t="s">
        <v>18</v>
      </c>
      <c r="E15084" s="10" t="s">
        <v>408</v>
      </c>
      <c r="F15084" s="9" t="s">
        <v>409</v>
      </c>
      <c r="G15084" s="10" t="s">
        <v>34</v>
      </c>
      <c r="H15084" s="9" t="s">
        <v>22</v>
      </c>
      <c r="I15084" s="9" t="s">
        <v>30324</v>
      </c>
      <c r="J15084" s="10" t="str">
        <f>HYPERLINK("https://www.boe.es/gazeta/dias/1834/04/28/pdfs/GMD-1834-67.pdf#page=1","Abrir facsímil")</f>
        <v>Abrir facsímil</v>
      </c>
      <c r="K15084" s="10" t="s">
        <v>24</v>
      </c>
    </row>
    <row r="15085" spans="1:11" ht="54" customHeight="1">
      <c r="A15085" s="9" t="s">
        <v>30325</v>
      </c>
      <c r="B15085" s="9" t="s">
        <v>30326</v>
      </c>
      <c r="C15085" s="9" t="s">
        <v>66</v>
      </c>
      <c r="D15085" s="9" t="s">
        <v>67</v>
      </c>
      <c r="E15085" s="10" t="s">
        <v>8279</v>
      </c>
      <c r="F15085" s="9" t="s">
        <v>8280</v>
      </c>
      <c r="G15085" s="10" t="s">
        <v>21</v>
      </c>
      <c r="H15085" s="9" t="s">
        <v>22</v>
      </c>
      <c r="I15085" s="9" t="s">
        <v>30327</v>
      </c>
      <c r="J15085" s="10" t="str">
        <f>HYPERLINK("https://www.boe.es/gazeta/dias/1834/04/22/pdfs/GMD-1834-61.pdf#page=3","Abrir facsímil")</f>
        <v>Abrir facsímil</v>
      </c>
      <c r="K15085" s="10" t="s">
        <v>24</v>
      </c>
    </row>
    <row r="15086" spans="1:11" ht="54" customHeight="1">
      <c r="A15086" s="9" t="s">
        <v>30328</v>
      </c>
      <c r="B15086" s="9" t="s">
        <v>30329</v>
      </c>
      <c r="C15086" s="9" t="s">
        <v>17</v>
      </c>
      <c r="D15086" s="9" t="s">
        <v>55</v>
      </c>
      <c r="E15086" s="10" t="s">
        <v>1680</v>
      </c>
      <c r="F15086" s="9" t="s">
        <v>1681</v>
      </c>
      <c r="G15086" s="10" t="s">
        <v>86</v>
      </c>
      <c r="H15086" s="9" t="s">
        <v>35</v>
      </c>
      <c r="I15086" s="9" t="s">
        <v>30330</v>
      </c>
      <c r="J15086" s="10" t="str">
        <f>HYPERLINK("https://www.boe.es/gazeta/dias/1834/02/27/pdfs/GMD-1834-26.pdf#page=2","Abrir facsímil")</f>
        <v>Abrir facsímil</v>
      </c>
      <c r="K15086" s="10" t="s">
        <v>37</v>
      </c>
    </row>
    <row r="15087" spans="1:11" ht="54" customHeight="1">
      <c r="A15087" s="9" t="s">
        <v>30331</v>
      </c>
      <c r="B15087" s="9" t="s">
        <v>30332</v>
      </c>
      <c r="C15087" s="9" t="s">
        <v>17</v>
      </c>
      <c r="D15087" s="9" t="s">
        <v>18</v>
      </c>
      <c r="E15087" s="10" t="s">
        <v>1747</v>
      </c>
      <c r="F15087" s="9" t="s">
        <v>1748</v>
      </c>
      <c r="G15087" s="10" t="s">
        <v>21</v>
      </c>
      <c r="H15087" s="9" t="s">
        <v>22</v>
      </c>
      <c r="I15087" s="9" t="s">
        <v>30333</v>
      </c>
      <c r="J15087" s="10" t="str">
        <f>HYPERLINK("https://www.boe.es/gazeta/dias/1834/06/29/pdfs/GMD-1834-132.pdf#page=3","Abrir facsímil")</f>
        <v>Abrir facsímil</v>
      </c>
      <c r="K15087" s="10" t="s">
        <v>24</v>
      </c>
    </row>
    <row r="15088" spans="1:11" ht="54" customHeight="1">
      <c r="A15088" s="9" t="s">
        <v>30334</v>
      </c>
      <c r="B15088" s="9" t="s">
        <v>30334</v>
      </c>
      <c r="C15088" s="9" t="s">
        <v>17</v>
      </c>
      <c r="D15088" s="9" t="s">
        <v>101</v>
      </c>
      <c r="E15088" s="10" t="s">
        <v>1850</v>
      </c>
      <c r="F15088" s="9" t="s">
        <v>1851</v>
      </c>
      <c r="G15088" s="10" t="s">
        <v>21</v>
      </c>
      <c r="H15088" s="9" t="s">
        <v>22</v>
      </c>
      <c r="I15088" s="9" t="s">
        <v>30335</v>
      </c>
      <c r="J15088" s="10" t="str">
        <f>HYPERLINK("https://www.boe.es/gazeta/dias/1834/02/18/pdfs/GMD-1834-22.pdf#page=3","Abrir facsímil")</f>
        <v>Abrir facsímil</v>
      </c>
      <c r="K15088" s="10" t="s">
        <v>24</v>
      </c>
    </row>
    <row r="15089" spans="1:11" ht="54" customHeight="1">
      <c r="A15089" s="9" t="s">
        <v>30336</v>
      </c>
      <c r="B15089" s="9" t="s">
        <v>30337</v>
      </c>
      <c r="C15089" s="9" t="s">
        <v>17</v>
      </c>
      <c r="D15089" s="9" t="s">
        <v>18</v>
      </c>
      <c r="E15089" s="10" t="s">
        <v>899</v>
      </c>
      <c r="F15089" s="9" t="s">
        <v>900</v>
      </c>
      <c r="G15089" s="10" t="s">
        <v>86</v>
      </c>
      <c r="H15089" s="9" t="s">
        <v>22</v>
      </c>
      <c r="I15089" s="9" t="s">
        <v>30338</v>
      </c>
      <c r="J15089" s="10" t="str">
        <f>HYPERLINK("https://www.boe.es/gazeta/dias/1834/01/30/pdfs/GMD-1834-14.pdf#page=2","Abrir facsímil")</f>
        <v>Abrir facsímil</v>
      </c>
      <c r="K15089" s="10" t="s">
        <v>24</v>
      </c>
    </row>
    <row r="15090" spans="1:11" ht="54" customHeight="1">
      <c r="A15090" s="9" t="s">
        <v>30339</v>
      </c>
      <c r="B15090" s="9" t="s">
        <v>30340</v>
      </c>
      <c r="C15090" s="9" t="s">
        <v>122</v>
      </c>
      <c r="D15090" s="9" t="s">
        <v>101</v>
      </c>
      <c r="E15090" s="10" t="s">
        <v>1170</v>
      </c>
      <c r="F15090" s="9" t="s">
        <v>1171</v>
      </c>
      <c r="G15090" s="10" t="s">
        <v>86</v>
      </c>
      <c r="H15090" s="9" t="s">
        <v>35</v>
      </c>
      <c r="I15090" s="9" t="s">
        <v>30341</v>
      </c>
      <c r="J15090" s="10" t="str">
        <f>HYPERLINK("https://www.boe.es/gazeta/dias/1834/01/07/pdfs/GMD-1834-4.pdf#page=2","Abrir facsímil")</f>
        <v>Abrir facsímil</v>
      </c>
      <c r="K15090" s="10" t="s">
        <v>37</v>
      </c>
    </row>
    <row r="15091" spans="1:11" ht="54" customHeight="1">
      <c r="A15091" s="9" t="s">
        <v>30342</v>
      </c>
      <c r="B15091" s="9" t="s">
        <v>30342</v>
      </c>
      <c r="C15091" s="9" t="s">
        <v>17</v>
      </c>
      <c r="D15091" s="9" t="s">
        <v>18</v>
      </c>
      <c r="E15091" s="10" t="s">
        <v>2212</v>
      </c>
      <c r="F15091" s="9" t="s">
        <v>2213</v>
      </c>
      <c r="G15091" s="10" t="s">
        <v>34</v>
      </c>
      <c r="H15091" s="9" t="s">
        <v>22</v>
      </c>
      <c r="I15091" s="9" t="s">
        <v>30343</v>
      </c>
      <c r="J15091" s="10" t="str">
        <f>HYPERLINK("https://www.boe.es/gazeta/dias/1834/08/04/pdfs/GMD-C-1834-168.pdf#page=1","Abrir facsímil")</f>
        <v>Abrir facsímil</v>
      </c>
      <c r="K15091" s="10" t="s">
        <v>24</v>
      </c>
    </row>
    <row r="15092" spans="1:11" ht="54" customHeight="1">
      <c r="A15092" s="9" t="s">
        <v>30344</v>
      </c>
      <c r="B15092" s="9" t="s">
        <v>30345</v>
      </c>
      <c r="C15092" s="9" t="s">
        <v>17</v>
      </c>
      <c r="D15092" s="9" t="s">
        <v>18</v>
      </c>
      <c r="E15092" s="10" t="s">
        <v>286</v>
      </c>
      <c r="F15092" s="9" t="s">
        <v>1928</v>
      </c>
      <c r="G15092" s="10" t="s">
        <v>86</v>
      </c>
      <c r="H15092" s="9" t="s">
        <v>22</v>
      </c>
      <c r="I15092" s="9" t="s">
        <v>30346</v>
      </c>
      <c r="J15092" s="10" t="str">
        <f>HYPERLINK("https://www.boe.es/gazeta/dias/1834/08/30/pdfs/GMD-1834-197E.pdf#page=2","Abrir facsímil")</f>
        <v>Abrir facsímil</v>
      </c>
      <c r="K15092" s="10" t="s">
        <v>24</v>
      </c>
    </row>
    <row r="15093" spans="1:11" ht="54" customHeight="1">
      <c r="A15093" s="9" t="s">
        <v>30347</v>
      </c>
      <c r="B15093" s="9" t="s">
        <v>30347</v>
      </c>
      <c r="C15093" s="9" t="s">
        <v>90</v>
      </c>
      <c r="D15093" s="9" t="s">
        <v>18</v>
      </c>
      <c r="E15093" s="10" t="s">
        <v>891</v>
      </c>
      <c r="F15093" s="9" t="s">
        <v>892</v>
      </c>
      <c r="G15093" s="10" t="s">
        <v>34</v>
      </c>
      <c r="H15093" s="9" t="s">
        <v>22</v>
      </c>
      <c r="I15093" s="9" t="s">
        <v>30348</v>
      </c>
      <c r="J15093" s="10" t="str">
        <f>HYPERLINK("https://www.boe.es/gazeta/dias/1834/10/31/pdfs/GMD-C-1834-259.pdf#page=1","Abrir facsímil")</f>
        <v>Abrir facsímil</v>
      </c>
      <c r="K15093" s="10" t="s">
        <v>24</v>
      </c>
    </row>
    <row r="15094" spans="1:11" ht="54" customHeight="1">
      <c r="A15094" s="9" t="s">
        <v>30349</v>
      </c>
      <c r="B15094" s="9" t="s">
        <v>30349</v>
      </c>
      <c r="C15094" s="9" t="s">
        <v>17</v>
      </c>
      <c r="D15094" s="9" t="s">
        <v>18</v>
      </c>
      <c r="E15094" s="10" t="s">
        <v>891</v>
      </c>
      <c r="F15094" s="9" t="s">
        <v>892</v>
      </c>
      <c r="G15094" s="10" t="s">
        <v>86</v>
      </c>
      <c r="H15094" s="9" t="s">
        <v>22</v>
      </c>
      <c r="I15094" s="9" t="s">
        <v>30350</v>
      </c>
      <c r="J15094" s="10" t="str">
        <f>HYPERLINK("https://www.boe.es/gazeta/dias/1834/10/31/pdfs/GMD-C-1834-259.pdf#page=2","Abrir facsímil")</f>
        <v>Abrir facsímil</v>
      </c>
      <c r="K15094" s="10" t="s">
        <v>24</v>
      </c>
    </row>
    <row r="15095" spans="1:11" ht="54" customHeight="1">
      <c r="A15095" s="9" t="s">
        <v>30351</v>
      </c>
      <c r="B15095" s="9" t="s">
        <v>30352</v>
      </c>
      <c r="C15095" s="9" t="s">
        <v>17</v>
      </c>
      <c r="D15095" s="9" t="s">
        <v>18</v>
      </c>
      <c r="E15095" s="10" t="s">
        <v>73</v>
      </c>
      <c r="F15095" s="9" t="s">
        <v>1416</v>
      </c>
      <c r="G15095" s="10" t="s">
        <v>86</v>
      </c>
      <c r="H15095" s="9" t="s">
        <v>35</v>
      </c>
      <c r="I15095" s="9" t="s">
        <v>30353</v>
      </c>
      <c r="J15095" s="10" t="str">
        <f>HYPERLINK("https://www.boe.es/gazeta/dias/1834/11/04/pdfs/GMD-C-1834-263.pdf#page=2","Abrir facsímil")</f>
        <v>Abrir facsímil</v>
      </c>
      <c r="K15095" s="10" t="s">
        <v>37</v>
      </c>
    </row>
    <row r="15096" spans="1:11" ht="54" customHeight="1">
      <c r="A15096" s="9" t="s">
        <v>30354</v>
      </c>
      <c r="B15096" s="9" t="s">
        <v>30355</v>
      </c>
      <c r="C15096" s="9" t="s">
        <v>66</v>
      </c>
      <c r="D15096" s="9" t="s">
        <v>67</v>
      </c>
      <c r="E15096" s="10" t="s">
        <v>1747</v>
      </c>
      <c r="F15096" s="9" t="s">
        <v>1748</v>
      </c>
      <c r="G15096" s="10" t="s">
        <v>34</v>
      </c>
      <c r="H15096" s="9" t="s">
        <v>22</v>
      </c>
      <c r="I15096" s="9" t="s">
        <v>30356</v>
      </c>
      <c r="J15096" s="10" t="str">
        <f>HYPERLINK("https://www.boe.es/gazeta/dias/1834/06/29/pdfs/GMD-1834-132.pdf#page=1","Abrir facsímil")</f>
        <v>Abrir facsímil</v>
      </c>
      <c r="K15096" s="10" t="s">
        <v>24</v>
      </c>
    </row>
    <row r="15097" spans="1:11" ht="54" customHeight="1">
      <c r="A15097" s="9" t="s">
        <v>30357</v>
      </c>
      <c r="B15097" s="9" t="s">
        <v>30358</v>
      </c>
      <c r="C15097" s="9" t="s">
        <v>90</v>
      </c>
      <c r="D15097" s="9" t="s">
        <v>18</v>
      </c>
      <c r="E15097" s="10" t="s">
        <v>375</v>
      </c>
      <c r="F15097" s="9" t="s">
        <v>376</v>
      </c>
      <c r="G15097" s="10" t="s">
        <v>34</v>
      </c>
      <c r="H15097" s="9" t="s">
        <v>22</v>
      </c>
      <c r="I15097" s="9" t="s">
        <v>30359</v>
      </c>
      <c r="J15097" s="10" t="str">
        <f>HYPERLINK("https://www.boe.es/gazeta/dias/1834/08/21/pdfs/GMD-1834-187.pdf#page=1","Abrir facsímil")</f>
        <v>Abrir facsímil</v>
      </c>
      <c r="K15097" s="10" t="s">
        <v>24</v>
      </c>
    </row>
    <row r="15098" spans="1:11" ht="54" customHeight="1">
      <c r="A15098" s="9" t="s">
        <v>30360</v>
      </c>
      <c r="B15098" s="9" t="s">
        <v>30361</v>
      </c>
      <c r="C15098" s="9" t="s">
        <v>17</v>
      </c>
      <c r="D15098" s="9" t="s">
        <v>18</v>
      </c>
      <c r="E15098" s="10" t="s">
        <v>73</v>
      </c>
      <c r="F15098" s="9" t="s">
        <v>1416</v>
      </c>
      <c r="G15098" s="10" t="s">
        <v>86</v>
      </c>
      <c r="H15098" s="9" t="s">
        <v>22</v>
      </c>
      <c r="I15098" s="9" t="s">
        <v>30362</v>
      </c>
      <c r="J15098" s="10" t="str">
        <f>HYPERLINK("https://www.boe.es/gazeta/dias/1834/11/04/pdfs/GMD-C-1834-263.pdf#page=2","Abrir facsímil")</f>
        <v>Abrir facsímil</v>
      </c>
      <c r="K15098" s="10" t="s">
        <v>24</v>
      </c>
    </row>
    <row r="15099" spans="1:11" ht="54" customHeight="1">
      <c r="A15099" s="9" t="s">
        <v>30363</v>
      </c>
      <c r="B15099" s="9" t="s">
        <v>30363</v>
      </c>
      <c r="C15099" s="9" t="s">
        <v>17</v>
      </c>
      <c r="D15099" s="9" t="s">
        <v>18</v>
      </c>
      <c r="E15099" s="10" t="s">
        <v>4527</v>
      </c>
      <c r="F15099" s="9" t="s">
        <v>4528</v>
      </c>
      <c r="G15099" s="10" t="s">
        <v>21</v>
      </c>
      <c r="H15099" s="9" t="s">
        <v>22</v>
      </c>
      <c r="I15099" s="9" t="s">
        <v>30364</v>
      </c>
      <c r="J15099" s="10" t="str">
        <f>HYPERLINK("https://www.boe.es/gazeta/dias/1834/05/03/pdfs/GMD-1834-72.pdf#page=3","Abrir facsímil")</f>
        <v>Abrir facsímil</v>
      </c>
      <c r="K15099" s="10" t="s">
        <v>24</v>
      </c>
    </row>
    <row r="15100" spans="1:11" ht="54" customHeight="1">
      <c r="A15100" s="9" t="s">
        <v>30363</v>
      </c>
      <c r="B15100" s="9" t="s">
        <v>30363</v>
      </c>
      <c r="C15100" s="9" t="s">
        <v>66</v>
      </c>
      <c r="D15100" s="9" t="s">
        <v>67</v>
      </c>
      <c r="E15100" s="10" t="s">
        <v>2241</v>
      </c>
      <c r="F15100" s="9" t="s">
        <v>2242</v>
      </c>
      <c r="G15100" s="10" t="s">
        <v>86</v>
      </c>
      <c r="H15100" s="9" t="s">
        <v>22</v>
      </c>
      <c r="I15100" s="9" t="s">
        <v>30365</v>
      </c>
      <c r="J15100" s="10" t="str">
        <f>HYPERLINK("https://www.boe.es/gazeta/dias/1834/03/11/pdfs/GMD-1834-31.pdf#page=2","Abrir facsímil")</f>
        <v>Abrir facsímil</v>
      </c>
      <c r="K15100" s="10" t="s">
        <v>24</v>
      </c>
    </row>
    <row r="15101" spans="1:11" ht="54" customHeight="1">
      <c r="A15101" s="9" t="s">
        <v>30366</v>
      </c>
      <c r="B15101" s="9" t="s">
        <v>30366</v>
      </c>
      <c r="C15101" s="9" t="s">
        <v>66</v>
      </c>
      <c r="D15101" s="9" t="s">
        <v>67</v>
      </c>
      <c r="E15101" s="10" t="s">
        <v>1212</v>
      </c>
      <c r="F15101" s="9" t="s">
        <v>1213</v>
      </c>
      <c r="G15101" s="10" t="s">
        <v>86</v>
      </c>
      <c r="H15101" s="9" t="s">
        <v>22</v>
      </c>
      <c r="I15101" s="9" t="s">
        <v>30367</v>
      </c>
      <c r="J15101" s="10" t="str">
        <f>HYPERLINK("https://www.boe.es/gazeta/dias/1834/05/24/pdfs/GMD-1834-93.pdf#page=2","Abrir facsímil")</f>
        <v>Abrir facsímil</v>
      </c>
      <c r="K15101" s="10" t="s">
        <v>24</v>
      </c>
    </row>
    <row r="15102" spans="1:11" ht="54" customHeight="1">
      <c r="A15102" s="9" t="s">
        <v>30368</v>
      </c>
      <c r="B15102" s="9" t="s">
        <v>30368</v>
      </c>
      <c r="C15102" s="9" t="s">
        <v>17</v>
      </c>
      <c r="D15102" s="9" t="s">
        <v>18</v>
      </c>
      <c r="E15102" s="10" t="s">
        <v>2142</v>
      </c>
      <c r="F15102" s="9" t="s">
        <v>2143</v>
      </c>
      <c r="G15102" s="10" t="s">
        <v>34</v>
      </c>
      <c r="H15102" s="9" t="s">
        <v>22</v>
      </c>
      <c r="I15102" s="9" t="s">
        <v>30369</v>
      </c>
      <c r="J15102" s="10" t="str">
        <f>HYPERLINK("https://www.boe.es/gazeta/dias/1834/12/27/pdfs/GMD-1834-317.pdf#page=1","Abrir facsímil")</f>
        <v>Abrir facsímil</v>
      </c>
      <c r="K15102" s="10" t="s">
        <v>24</v>
      </c>
    </row>
    <row r="15103" spans="1:11" ht="54" customHeight="1">
      <c r="A15103" s="9" t="s">
        <v>30370</v>
      </c>
      <c r="B15103" s="9" t="s">
        <v>30370</v>
      </c>
      <c r="C15103" s="9" t="s">
        <v>17</v>
      </c>
      <c r="D15103" s="9" t="s">
        <v>18</v>
      </c>
      <c r="E15103" s="10" t="s">
        <v>1680</v>
      </c>
      <c r="F15103" s="9" t="s">
        <v>1681</v>
      </c>
      <c r="G15103" s="10" t="s">
        <v>75</v>
      </c>
      <c r="H15103" s="9" t="s">
        <v>22</v>
      </c>
      <c r="I15103" s="9" t="s">
        <v>30371</v>
      </c>
      <c r="J15103" s="10" t="str">
        <f>HYPERLINK("https://www.boe.es/gazeta/dias/1834/02/27/pdfs/GMD-1834-26.pdf#page=4","Abrir facsímil")</f>
        <v>Abrir facsímil</v>
      </c>
      <c r="K15103" s="10" t="s">
        <v>24</v>
      </c>
    </row>
    <row r="15104" spans="1:11" ht="54" customHeight="1">
      <c r="A15104" s="9" t="s">
        <v>30372</v>
      </c>
      <c r="B15104" s="9" t="s">
        <v>30373</v>
      </c>
      <c r="C15104" s="9" t="s">
        <v>17</v>
      </c>
      <c r="D15104" s="9" t="s">
        <v>18</v>
      </c>
      <c r="E15104" s="10" t="s">
        <v>1862</v>
      </c>
      <c r="F15104" s="9" t="s">
        <v>1908</v>
      </c>
      <c r="G15104" s="10" t="s">
        <v>34</v>
      </c>
      <c r="H15104" s="9" t="s">
        <v>35</v>
      </c>
      <c r="I15104" s="9" t="s">
        <v>30374</v>
      </c>
      <c r="J15104" s="10" t="str">
        <f>HYPERLINK("https://www.boe.es/gazeta/dias/1834/02/04/pdfs/GMD-C-1834-16.pdf#page=1","Abrir facsímil")</f>
        <v>Abrir facsímil</v>
      </c>
      <c r="K15104" s="10" t="s">
        <v>37</v>
      </c>
    </row>
    <row r="15105" spans="1:11" ht="54" customHeight="1">
      <c r="A15105" s="9" t="s">
        <v>30375</v>
      </c>
      <c r="B15105" s="9" t="s">
        <v>30376</v>
      </c>
      <c r="C15105" s="9" t="s">
        <v>90</v>
      </c>
      <c r="D15105" s="9" t="s">
        <v>101</v>
      </c>
      <c r="E15105" s="10" t="s">
        <v>317</v>
      </c>
      <c r="F15105" s="9" t="s">
        <v>318</v>
      </c>
      <c r="G15105" s="10" t="s">
        <v>86</v>
      </c>
      <c r="H15105" s="9" t="s">
        <v>35</v>
      </c>
      <c r="I15105" s="9" t="s">
        <v>30377</v>
      </c>
      <c r="J15105" s="10" t="str">
        <f>HYPERLINK("https://www.boe.es/gazeta/dias/1834/03/06/pdfs/I00139-00140.pdf#page=2","Abrir facsímil")</f>
        <v>Abrir facsímil</v>
      </c>
      <c r="K15105" s="10" t="s">
        <v>37</v>
      </c>
    </row>
    <row r="15106" spans="1:11" ht="54" customHeight="1">
      <c r="A15106" s="9" t="s">
        <v>30375</v>
      </c>
      <c r="B15106" s="9" t="s">
        <v>30376</v>
      </c>
      <c r="C15106" s="9" t="s">
        <v>90</v>
      </c>
      <c r="D15106" s="9" t="s">
        <v>101</v>
      </c>
      <c r="E15106" s="10" t="s">
        <v>317</v>
      </c>
      <c r="F15106" s="9" t="s">
        <v>318</v>
      </c>
      <c r="G15106" s="10" t="s">
        <v>75</v>
      </c>
      <c r="H15106" s="9" t="s">
        <v>35</v>
      </c>
      <c r="I15106" s="9" t="s">
        <v>30377</v>
      </c>
      <c r="J15106" s="10" t="str">
        <f>HYPERLINK("https://www.boe.es/gazeta/dias/1834/03/06/pdfs/GMD-1834-29.pdf#page=4","Abrir facsímil")</f>
        <v>Abrir facsímil</v>
      </c>
      <c r="K15106" s="10" t="s">
        <v>37</v>
      </c>
    </row>
    <row r="15107" spans="1:11" ht="54" customHeight="1">
      <c r="A15107" s="9" t="s">
        <v>30378</v>
      </c>
      <c r="B15107" s="9" t="s">
        <v>30379</v>
      </c>
      <c r="C15107" s="9" t="s">
        <v>17</v>
      </c>
      <c r="D15107" s="9" t="s">
        <v>18</v>
      </c>
      <c r="E15107" s="10" t="s">
        <v>1862</v>
      </c>
      <c r="F15107" s="9" t="s">
        <v>1908</v>
      </c>
      <c r="G15107" s="10" t="s">
        <v>34</v>
      </c>
      <c r="H15107" s="9" t="s">
        <v>22</v>
      </c>
      <c r="I15107" s="9" t="s">
        <v>30380</v>
      </c>
      <c r="J15107" s="10" t="str">
        <f>HYPERLINK("https://www.boe.es/gazeta/dias/1834/02/04/pdfs/GMD-C-1834-16.pdf#page=1","Abrir facsímil")</f>
        <v>Abrir facsímil</v>
      </c>
      <c r="K15107" s="10" t="s">
        <v>24</v>
      </c>
    </row>
    <row r="15108" spans="1:11" ht="54" customHeight="1">
      <c r="A15108" s="9" t="s">
        <v>30381</v>
      </c>
      <c r="B15108" s="9" t="s">
        <v>30382</v>
      </c>
      <c r="C15108" s="9" t="s">
        <v>90</v>
      </c>
      <c r="D15108" s="9" t="s">
        <v>101</v>
      </c>
      <c r="E15108" s="10" t="s">
        <v>317</v>
      </c>
      <c r="F15108" s="9" t="s">
        <v>318</v>
      </c>
      <c r="G15108" s="10" t="s">
        <v>86</v>
      </c>
      <c r="H15108" s="9" t="s">
        <v>22</v>
      </c>
      <c r="I15108" s="9" t="s">
        <v>30383</v>
      </c>
      <c r="J15108" s="10" t="str">
        <f>HYPERLINK("https://www.boe.es/gazeta/dias/1834/03/06/pdfs/I00139-00140.pdf#page=2","Abrir facsímil")</f>
        <v>Abrir facsímil</v>
      </c>
      <c r="K15108" s="10" t="s">
        <v>24</v>
      </c>
    </row>
    <row r="15109" spans="1:11" ht="54" customHeight="1">
      <c r="A15109" s="9" t="s">
        <v>30381</v>
      </c>
      <c r="B15109" s="9" t="s">
        <v>30382</v>
      </c>
      <c r="C15109" s="9" t="s">
        <v>90</v>
      </c>
      <c r="D15109" s="9" t="s">
        <v>101</v>
      </c>
      <c r="E15109" s="10" t="s">
        <v>317</v>
      </c>
      <c r="F15109" s="9" t="s">
        <v>318</v>
      </c>
      <c r="G15109" s="10" t="s">
        <v>75</v>
      </c>
      <c r="H15109" s="9" t="s">
        <v>22</v>
      </c>
      <c r="I15109" s="9" t="s">
        <v>30383</v>
      </c>
      <c r="J15109" s="10" t="str">
        <f>HYPERLINK("https://www.boe.es/gazeta/dias/1834/03/06/pdfs/GMD-1834-29.pdf#page=4","Abrir facsímil")</f>
        <v>Abrir facsímil</v>
      </c>
      <c r="K15109" s="10" t="s">
        <v>24</v>
      </c>
    </row>
    <row r="15110" spans="1:11" ht="54" customHeight="1">
      <c r="A15110" s="9" t="s">
        <v>30384</v>
      </c>
      <c r="B15110" s="9" t="s">
        <v>30384</v>
      </c>
      <c r="C15110" s="9" t="s">
        <v>122</v>
      </c>
      <c r="D15110" s="9" t="s">
        <v>18</v>
      </c>
      <c r="E15110" s="10" t="s">
        <v>1850</v>
      </c>
      <c r="F15110" s="9" t="s">
        <v>1851</v>
      </c>
      <c r="G15110" s="10" t="s">
        <v>176</v>
      </c>
      <c r="H15110" s="9" t="s">
        <v>22</v>
      </c>
      <c r="I15110" s="9" t="s">
        <v>30385</v>
      </c>
      <c r="J15110" s="10" t="str">
        <f>HYPERLINK("https://www.boe.es/gazeta/dias/1834/02/18/pdfs/GMD-1834-22.pdf#page=6","Abrir facsímil")</f>
        <v>Abrir facsímil</v>
      </c>
      <c r="K15110" s="10" t="s">
        <v>24</v>
      </c>
    </row>
    <row r="15111" spans="1:11" ht="54" customHeight="1">
      <c r="A15111" s="9" t="s">
        <v>30386</v>
      </c>
      <c r="B15111" s="9" t="s">
        <v>30387</v>
      </c>
      <c r="C15111" s="9" t="s">
        <v>17</v>
      </c>
      <c r="D15111" s="9" t="s">
        <v>18</v>
      </c>
      <c r="E15111" s="10" t="s">
        <v>273</v>
      </c>
      <c r="F15111" s="9" t="s">
        <v>274</v>
      </c>
      <c r="G15111" s="10" t="s">
        <v>21</v>
      </c>
      <c r="H15111" s="9" t="s">
        <v>22</v>
      </c>
      <c r="I15111" s="9" t="s">
        <v>30388</v>
      </c>
      <c r="J15111" s="10" t="str">
        <f>HYPERLINK("https://www.boe.es/gazeta/dias/1834/08/31/pdfs/GMD-D-1834-198.pdf#page=3","Abrir facsímil")</f>
        <v>Abrir facsímil</v>
      </c>
      <c r="K15111" s="10" t="s">
        <v>24</v>
      </c>
    </row>
    <row r="15112" spans="1:11" ht="54" customHeight="1">
      <c r="A15112" s="9" t="s">
        <v>30389</v>
      </c>
      <c r="B15112" s="9" t="s">
        <v>30389</v>
      </c>
      <c r="C15112" s="9" t="s">
        <v>17</v>
      </c>
      <c r="D15112" s="9" t="s">
        <v>18</v>
      </c>
      <c r="E15112" s="10" t="s">
        <v>2203</v>
      </c>
      <c r="F15112" s="9" t="s">
        <v>2204</v>
      </c>
      <c r="G15112" s="10" t="s">
        <v>28</v>
      </c>
      <c r="H15112" s="9" t="s">
        <v>22</v>
      </c>
      <c r="I15112" s="9" t="s">
        <v>30390</v>
      </c>
      <c r="J15112" s="10" t="str">
        <f>HYPERLINK("https://www.boe.es/gazeta/dias/1834/09/10/pdfs/GMD-C-1834-208.pdf#page=5","Abrir facsímil")</f>
        <v>Abrir facsímil</v>
      </c>
      <c r="K15112" s="10" t="s">
        <v>24</v>
      </c>
    </row>
    <row r="15113" spans="1:11" ht="54" customHeight="1">
      <c r="A15113" s="9" t="s">
        <v>30391</v>
      </c>
      <c r="B15113" s="9" t="s">
        <v>30391</v>
      </c>
      <c r="C15113" s="9" t="s">
        <v>66</v>
      </c>
      <c r="D15113" s="9" t="s">
        <v>67</v>
      </c>
      <c r="E15113" s="10" t="s">
        <v>479</v>
      </c>
      <c r="F15113" s="9" t="s">
        <v>480</v>
      </c>
      <c r="G15113" s="10" t="s">
        <v>86</v>
      </c>
      <c r="H15113" s="9" t="s">
        <v>22</v>
      </c>
      <c r="I15113" s="9" t="s">
        <v>30392</v>
      </c>
      <c r="J15113" s="10" t="str">
        <f>HYPERLINK("https://www.boe.es/gazeta/dias/1834/08/13/pdfs/GMD-1834-178.pdf#page=2","Abrir facsímil")</f>
        <v>Abrir facsímil</v>
      </c>
      <c r="K15113" s="10" t="s">
        <v>24</v>
      </c>
    </row>
    <row r="15114" spans="1:11" ht="54" customHeight="1">
      <c r="A15114" s="9" t="s">
        <v>30393</v>
      </c>
      <c r="B15114" s="9" t="s">
        <v>30394</v>
      </c>
      <c r="C15114" s="9" t="s">
        <v>17</v>
      </c>
      <c r="D15114" s="9" t="s">
        <v>18</v>
      </c>
      <c r="E15114" s="10" t="s">
        <v>518</v>
      </c>
      <c r="F15114" s="9" t="s">
        <v>519</v>
      </c>
      <c r="G15114" s="10" t="s">
        <v>86</v>
      </c>
      <c r="H15114" s="9" t="s">
        <v>22</v>
      </c>
      <c r="I15114" s="9" t="s">
        <v>30395</v>
      </c>
      <c r="J15114" s="10" t="str">
        <f>HYPERLINK("https://www.boe.es/gazeta/dias/1834/03/15/pdfs/GMD-1834-33.pdf#page=2","Abrir facsímil")</f>
        <v>Abrir facsímil</v>
      </c>
      <c r="K15114" s="10" t="s">
        <v>24</v>
      </c>
    </row>
    <row r="15115" spans="1:11" ht="54" customHeight="1">
      <c r="A15115" s="9" t="s">
        <v>30396</v>
      </c>
      <c r="B15115" s="9" t="s">
        <v>30397</v>
      </c>
      <c r="C15115" s="9" t="s">
        <v>17</v>
      </c>
      <c r="D15115" s="9" t="s">
        <v>18</v>
      </c>
      <c r="E15115" s="10" t="s">
        <v>2260</v>
      </c>
      <c r="F15115" s="9" t="s">
        <v>2261</v>
      </c>
      <c r="G15115" s="10" t="s">
        <v>34</v>
      </c>
      <c r="H15115" s="9" t="s">
        <v>22</v>
      </c>
      <c r="I15115" s="9" t="s">
        <v>30398</v>
      </c>
      <c r="J15115" s="10" t="str">
        <f>HYPERLINK("https://www.boe.es/gazeta/dias/1834/11/13/pdfs/GMD-1834-272.pdf#page=1","Abrir facsímil")</f>
        <v>Abrir facsímil</v>
      </c>
      <c r="K15115" s="10" t="s">
        <v>24</v>
      </c>
    </row>
    <row r="15116" spans="1:11" ht="54" customHeight="1">
      <c r="A15116" s="9" t="s">
        <v>30399</v>
      </c>
      <c r="B15116" s="9" t="s">
        <v>30400</v>
      </c>
      <c r="C15116" s="9" t="s">
        <v>17</v>
      </c>
      <c r="D15116" s="9" t="s">
        <v>18</v>
      </c>
      <c r="E15116" s="10" t="s">
        <v>454</v>
      </c>
      <c r="F15116" s="9" t="s">
        <v>2009</v>
      </c>
      <c r="G15116" s="10" t="s">
        <v>21</v>
      </c>
      <c r="H15116" s="9" t="s">
        <v>22</v>
      </c>
      <c r="I15116" s="9" t="s">
        <v>30401</v>
      </c>
      <c r="J15116" s="10" t="str">
        <f>HYPERLINK("https://www.boe.es/gazeta/dias/1834/10/16/pdfs/GMD-1834-244.pdf#page=3","Abrir facsímil")</f>
        <v>Abrir facsímil</v>
      </c>
      <c r="K15116" s="10" t="s">
        <v>24</v>
      </c>
    </row>
    <row r="15117" spans="1:11" ht="54" customHeight="1">
      <c r="A15117" s="9" t="s">
        <v>30402</v>
      </c>
      <c r="B15117" s="9" t="s">
        <v>30402</v>
      </c>
      <c r="C15117" s="9" t="s">
        <v>17</v>
      </c>
      <c r="D15117" s="9" t="s">
        <v>18</v>
      </c>
      <c r="E15117" s="10" t="s">
        <v>1955</v>
      </c>
      <c r="F15117" s="9" t="s">
        <v>1956</v>
      </c>
      <c r="G15117" s="10" t="s">
        <v>75</v>
      </c>
      <c r="H15117" s="9" t="s">
        <v>22</v>
      </c>
      <c r="I15117" s="9" t="s">
        <v>30403</v>
      </c>
      <c r="J15117" s="10" t="str">
        <f>HYPERLINK("https://www.boe.es/gazeta/dias/1834/05/04/pdfs/GMD-1834-73.pdf#page=4","Abrir facsímil")</f>
        <v>Abrir facsímil</v>
      </c>
      <c r="K15117" s="10" t="s">
        <v>24</v>
      </c>
    </row>
    <row r="15118" spans="1:11" ht="54" customHeight="1">
      <c r="A15118" s="9" t="s">
        <v>30404</v>
      </c>
      <c r="B15118" s="9" t="s">
        <v>30404</v>
      </c>
      <c r="C15118" s="9" t="s">
        <v>17</v>
      </c>
      <c r="D15118" s="9" t="s">
        <v>18</v>
      </c>
      <c r="E15118" s="10" t="s">
        <v>939</v>
      </c>
      <c r="F15118" s="9" t="s">
        <v>940</v>
      </c>
      <c r="G15118" s="10" t="s">
        <v>75</v>
      </c>
      <c r="H15118" s="9" t="s">
        <v>22</v>
      </c>
      <c r="I15118" s="9" t="s">
        <v>30405</v>
      </c>
      <c r="J15118" s="10" t="str">
        <f>HYPERLINK("https://www.boe.es/gazeta/dias/1834/06/10/pdfs/GMD-1834-113.pdf#page=4","Abrir facsímil")</f>
        <v>Abrir facsímil</v>
      </c>
      <c r="K15118" s="10" t="s">
        <v>24</v>
      </c>
    </row>
    <row r="15119" spans="1:11" ht="54" customHeight="1">
      <c r="A15119" s="9" t="s">
        <v>30406</v>
      </c>
      <c r="B15119" s="9" t="s">
        <v>30407</v>
      </c>
      <c r="C15119" s="9" t="s">
        <v>17</v>
      </c>
      <c r="D15119" s="9" t="s">
        <v>18</v>
      </c>
      <c r="E15119" s="10" t="s">
        <v>1459</v>
      </c>
      <c r="F15119" s="9" t="s">
        <v>1460</v>
      </c>
      <c r="G15119" s="10" t="s">
        <v>21</v>
      </c>
      <c r="H15119" s="9" t="s">
        <v>22</v>
      </c>
      <c r="I15119" s="9" t="s">
        <v>30408</v>
      </c>
      <c r="J15119" s="10" t="str">
        <f>HYPERLINK("https://www.boe.es/gazeta/dias/1834/08/18/pdfs/GMD-1834-184.pdf#page=3","Abrir facsímil")</f>
        <v>Abrir facsímil</v>
      </c>
      <c r="K15119" s="10" t="s">
        <v>24</v>
      </c>
    </row>
    <row r="15120" spans="1:11" ht="54" customHeight="1">
      <c r="A15120" s="9" t="s">
        <v>30409</v>
      </c>
      <c r="B15120" s="9" t="s">
        <v>30410</v>
      </c>
      <c r="C15120" s="9" t="s">
        <v>17</v>
      </c>
      <c r="D15120" s="9" t="s">
        <v>18</v>
      </c>
      <c r="E15120" s="10" t="s">
        <v>615</v>
      </c>
      <c r="F15120" s="9" t="s">
        <v>616</v>
      </c>
      <c r="G15120" s="10" t="s">
        <v>21</v>
      </c>
      <c r="H15120" s="9" t="s">
        <v>22</v>
      </c>
      <c r="I15120" s="9" t="s">
        <v>30411</v>
      </c>
      <c r="J15120" s="10" t="str">
        <f>HYPERLINK("https://www.boe.es/gazeta/dias/1834/08/19/pdfs/GMD-1834-185.pdf#page=3","Abrir facsímil")</f>
        <v>Abrir facsímil</v>
      </c>
      <c r="K15120" s="10" t="s">
        <v>24</v>
      </c>
    </row>
    <row r="15121" spans="1:11" ht="54" customHeight="1">
      <c r="A15121" s="9" t="s">
        <v>30412</v>
      </c>
      <c r="B15121" s="9" t="s">
        <v>30413</v>
      </c>
      <c r="C15121" s="9" t="s">
        <v>90</v>
      </c>
      <c r="D15121" s="9" t="s">
        <v>101</v>
      </c>
      <c r="E15121" s="10" t="s">
        <v>1839</v>
      </c>
      <c r="F15121" s="9" t="s">
        <v>1840</v>
      </c>
      <c r="G15121" s="10" t="s">
        <v>34</v>
      </c>
      <c r="H15121" s="9" t="s">
        <v>22</v>
      </c>
      <c r="I15121" s="9" t="s">
        <v>30414</v>
      </c>
      <c r="J15121" s="10" t="str">
        <f>HYPERLINK("https://www.boe.es/gazeta/dias/1834/08/12/pdfs/GMD-C-1834-177.pdf#page=1","Abrir facsímil")</f>
        <v>Abrir facsímil</v>
      </c>
      <c r="K15121" s="10" t="s">
        <v>24</v>
      </c>
    </row>
    <row r="15122" spans="1:11" ht="54" customHeight="1">
      <c r="A15122" s="9" t="s">
        <v>30415</v>
      </c>
      <c r="B15122" s="9" t="s">
        <v>30416</v>
      </c>
      <c r="C15122" s="9" t="s">
        <v>122</v>
      </c>
      <c r="D15122" s="9" t="s">
        <v>55</v>
      </c>
      <c r="E15122" s="10" t="s">
        <v>1351</v>
      </c>
      <c r="F15122" s="9" t="s">
        <v>1352</v>
      </c>
      <c r="G15122" s="10" t="s">
        <v>75</v>
      </c>
      <c r="H15122" s="9" t="s">
        <v>35</v>
      </c>
      <c r="I15122" s="9" t="s">
        <v>30417</v>
      </c>
      <c r="J15122" s="10" t="str">
        <f>HYPERLINK("https://www.boe.es/gazeta/dias/1834/07/05/pdfs/GMD-1834-138.pdf#page=4","Abrir facsímil")</f>
        <v>Abrir facsímil</v>
      </c>
      <c r="K15122" s="10" t="s">
        <v>37</v>
      </c>
    </row>
    <row r="15123" spans="1:11" ht="54" customHeight="1">
      <c r="A15123" s="9" t="s">
        <v>30418</v>
      </c>
      <c r="B15123" s="9" t="s">
        <v>30419</v>
      </c>
      <c r="C15123" s="9" t="s">
        <v>122</v>
      </c>
      <c r="D15123" s="9" t="s">
        <v>18</v>
      </c>
      <c r="E15123" s="10" t="s">
        <v>1351</v>
      </c>
      <c r="F15123" s="9" t="s">
        <v>1352</v>
      </c>
      <c r="G15123" s="10" t="s">
        <v>75</v>
      </c>
      <c r="H15123" s="9" t="s">
        <v>22</v>
      </c>
      <c r="I15123" s="9" t="s">
        <v>30420</v>
      </c>
      <c r="J15123" s="10" t="str">
        <f>HYPERLINK("https://www.boe.es/gazeta/dias/1834/07/05/pdfs/GMD-1834-138.pdf#page=4","Abrir facsímil")</f>
        <v>Abrir facsímil</v>
      </c>
      <c r="K15123" s="10" t="s">
        <v>24</v>
      </c>
    </row>
    <row r="15124" spans="1:11" ht="54" customHeight="1">
      <c r="A15124" s="9" t="s">
        <v>30421</v>
      </c>
      <c r="B15124" s="9" t="s">
        <v>30422</v>
      </c>
      <c r="C15124" s="9" t="s">
        <v>17</v>
      </c>
      <c r="D15124" s="9" t="s">
        <v>18</v>
      </c>
      <c r="E15124" s="10" t="s">
        <v>283</v>
      </c>
      <c r="F15124" s="9" t="s">
        <v>284</v>
      </c>
      <c r="G15124" s="10" t="s">
        <v>34</v>
      </c>
      <c r="H15124" s="9" t="s">
        <v>35</v>
      </c>
      <c r="I15124" s="9" t="s">
        <v>30423</v>
      </c>
      <c r="J15124" s="10" t="str">
        <f>HYPERLINK("https://www.boe.es/gazeta/dias/1834/11/29/pdfs/GMD-C-1834-288.pdf#page=1","Abrir facsímil")</f>
        <v>Abrir facsímil</v>
      </c>
      <c r="K15124" s="10" t="s">
        <v>37</v>
      </c>
    </row>
    <row r="15125" spans="1:11" ht="54" customHeight="1">
      <c r="A15125" s="9" t="s">
        <v>30424</v>
      </c>
      <c r="B15125" s="9" t="s">
        <v>30425</v>
      </c>
      <c r="C15125" s="9" t="s">
        <v>17</v>
      </c>
      <c r="D15125" s="9" t="s">
        <v>18</v>
      </c>
      <c r="E15125" s="10" t="s">
        <v>283</v>
      </c>
      <c r="F15125" s="9" t="s">
        <v>284</v>
      </c>
      <c r="G15125" s="10" t="s">
        <v>34</v>
      </c>
      <c r="H15125" s="9" t="s">
        <v>22</v>
      </c>
      <c r="I15125" s="9" t="s">
        <v>30426</v>
      </c>
      <c r="J15125" s="10" t="str">
        <f>HYPERLINK("https://www.boe.es/gazeta/dias/1834/11/29/pdfs/GMD-C-1834-288.pdf#page=1","Abrir facsímil")</f>
        <v>Abrir facsímil</v>
      </c>
      <c r="K15125" s="10" t="s">
        <v>24</v>
      </c>
    </row>
    <row r="15126" spans="1:11" ht="54" customHeight="1">
      <c r="A15126" s="9" t="s">
        <v>30427</v>
      </c>
      <c r="B15126" s="9" t="s">
        <v>30427</v>
      </c>
      <c r="C15126" s="9" t="s">
        <v>17</v>
      </c>
      <c r="D15126" s="9" t="s">
        <v>18</v>
      </c>
      <c r="E15126" s="10" t="s">
        <v>1297</v>
      </c>
      <c r="F15126" s="9" t="s">
        <v>1879</v>
      </c>
      <c r="G15126" s="10" t="s">
        <v>86</v>
      </c>
      <c r="H15126" s="9" t="s">
        <v>22</v>
      </c>
      <c r="I15126" s="9" t="s">
        <v>30428</v>
      </c>
      <c r="J15126" s="10" t="str">
        <f>HYPERLINK("https://www.boe.es/gazeta/dias/1834/08/01/pdfs/GMD-C-1834-165.pdf#page=2","Abrir facsímil")</f>
        <v>Abrir facsímil</v>
      </c>
      <c r="K15126" s="10" t="s">
        <v>24</v>
      </c>
    </row>
    <row r="15127" spans="1:11" ht="54" customHeight="1">
      <c r="A15127" s="9" t="s">
        <v>30427</v>
      </c>
      <c r="B15127" s="9" t="s">
        <v>30427</v>
      </c>
      <c r="C15127" s="9" t="s">
        <v>66</v>
      </c>
      <c r="D15127" s="9" t="s">
        <v>67</v>
      </c>
      <c r="E15127" s="10" t="s">
        <v>1742</v>
      </c>
      <c r="F15127" s="9" t="s">
        <v>1743</v>
      </c>
      <c r="G15127" s="10" t="s">
        <v>34</v>
      </c>
      <c r="H15127" s="9" t="s">
        <v>22</v>
      </c>
      <c r="I15127" s="9" t="s">
        <v>30429</v>
      </c>
      <c r="J15127" s="10" t="str">
        <f>HYPERLINK("https://www.boe.es/gazeta/dias/1834/11/06/pdfs/GMD-1834-265.pdf#page=1","Abrir facsímil")</f>
        <v>Abrir facsímil</v>
      </c>
      <c r="K15127" s="10" t="s">
        <v>24</v>
      </c>
    </row>
    <row r="15128" spans="1:11" ht="54" customHeight="1">
      <c r="A15128" s="9" t="s">
        <v>30427</v>
      </c>
      <c r="B15128" s="9" t="s">
        <v>30427</v>
      </c>
      <c r="C15128" s="9" t="s">
        <v>17</v>
      </c>
      <c r="D15128" s="9" t="s">
        <v>18</v>
      </c>
      <c r="E15128" s="10" t="s">
        <v>939</v>
      </c>
      <c r="F15128" s="9" t="s">
        <v>940</v>
      </c>
      <c r="G15128" s="10" t="s">
        <v>75</v>
      </c>
      <c r="H15128" s="9" t="s">
        <v>22</v>
      </c>
      <c r="I15128" s="9" t="s">
        <v>30430</v>
      </c>
      <c r="J15128" s="10" t="str">
        <f>HYPERLINK("https://www.boe.es/gazeta/dias/1834/06/10/pdfs/GMD-1834-113.pdf#page=4","Abrir facsímil")</f>
        <v>Abrir facsímil</v>
      </c>
      <c r="K15128" s="10" t="s">
        <v>24</v>
      </c>
    </row>
    <row r="15129" spans="1:11" ht="54" customHeight="1">
      <c r="A15129" s="9" t="s">
        <v>30427</v>
      </c>
      <c r="B15129" s="9" t="s">
        <v>30427</v>
      </c>
      <c r="C15129" s="9" t="s">
        <v>66</v>
      </c>
      <c r="D15129" s="9" t="s">
        <v>67</v>
      </c>
      <c r="E15129" s="10" t="s">
        <v>1708</v>
      </c>
      <c r="F15129" s="9" t="s">
        <v>1709</v>
      </c>
      <c r="G15129" s="10" t="s">
        <v>28</v>
      </c>
      <c r="H15129" s="9" t="s">
        <v>22</v>
      </c>
      <c r="I15129" s="9" t="s">
        <v>30431</v>
      </c>
      <c r="J15129" s="10" t="str">
        <f>HYPERLINK("https://www.boe.es/gazeta/dias/1834/04/12/pdfs/GMD-1834-51.pdf#page=5","Abrir facsímil")</f>
        <v>Abrir facsímil</v>
      </c>
      <c r="K15129" s="10" t="s">
        <v>24</v>
      </c>
    </row>
    <row r="15130" spans="1:11" ht="54" customHeight="1">
      <c r="A15130" s="9" t="s">
        <v>30427</v>
      </c>
      <c r="B15130" s="9" t="s">
        <v>30427</v>
      </c>
      <c r="C15130" s="9" t="s">
        <v>17</v>
      </c>
      <c r="D15130" s="9" t="s">
        <v>18</v>
      </c>
      <c r="E15130" s="10" t="s">
        <v>1708</v>
      </c>
      <c r="F15130" s="9" t="s">
        <v>1709</v>
      </c>
      <c r="G15130" s="10" t="s">
        <v>176</v>
      </c>
      <c r="H15130" s="9" t="s">
        <v>22</v>
      </c>
      <c r="I15130" s="9" t="s">
        <v>30432</v>
      </c>
      <c r="J15130" s="10" t="str">
        <f>HYPERLINK("https://www.boe.es/gazeta/dias/1834/04/12/pdfs/GMD-1834-51.pdf#page=6","Abrir facsímil")</f>
        <v>Abrir facsímil</v>
      </c>
      <c r="K15130" s="10" t="s">
        <v>24</v>
      </c>
    </row>
    <row r="15131" spans="1:11" ht="54" customHeight="1">
      <c r="A15131" s="9" t="s">
        <v>30427</v>
      </c>
      <c r="B15131" s="9" t="s">
        <v>30427</v>
      </c>
      <c r="C15131" s="9" t="s">
        <v>90</v>
      </c>
      <c r="D15131" s="9" t="s">
        <v>18</v>
      </c>
      <c r="E15131" s="10" t="s">
        <v>1094</v>
      </c>
      <c r="F15131" s="9" t="s">
        <v>1095</v>
      </c>
      <c r="G15131" s="10" t="s">
        <v>75</v>
      </c>
      <c r="H15131" s="9" t="s">
        <v>22</v>
      </c>
      <c r="I15131" s="9" t="s">
        <v>30433</v>
      </c>
      <c r="J15131" s="10" t="str">
        <f>HYPERLINK("https://www.boe.es/gazeta/dias/1834/07/13/pdfs/GMD-1834-146.pdf#page=4","Abrir facsímil")</f>
        <v>Abrir facsímil</v>
      </c>
      <c r="K15131" s="10" t="s">
        <v>24</v>
      </c>
    </row>
    <row r="15132" spans="1:11" ht="54" customHeight="1">
      <c r="A15132" s="9" t="s">
        <v>30427</v>
      </c>
      <c r="B15132" s="9" t="s">
        <v>30427</v>
      </c>
      <c r="C15132" s="9" t="s">
        <v>66</v>
      </c>
      <c r="D15132" s="9" t="s">
        <v>18</v>
      </c>
      <c r="E15132" s="10" t="s">
        <v>479</v>
      </c>
      <c r="F15132" s="9" t="s">
        <v>480</v>
      </c>
      <c r="G15132" s="10" t="s">
        <v>21</v>
      </c>
      <c r="H15132" s="9" t="s">
        <v>22</v>
      </c>
      <c r="I15132" s="9" t="s">
        <v>30434</v>
      </c>
      <c r="J15132" s="10" t="str">
        <f>HYPERLINK("https://www.boe.es/gazeta/dias/1834/08/13/pdfs/GMD-1834-178.pdf#page=3","Abrir facsímil")</f>
        <v>Abrir facsímil</v>
      </c>
      <c r="K15132" s="10" t="s">
        <v>24</v>
      </c>
    </row>
    <row r="15133" spans="1:11" ht="54" customHeight="1">
      <c r="A15133" s="9" t="s">
        <v>30427</v>
      </c>
      <c r="B15133" s="9" t="s">
        <v>30427</v>
      </c>
      <c r="C15133" s="9" t="s">
        <v>66</v>
      </c>
      <c r="D15133" s="9" t="s">
        <v>18</v>
      </c>
      <c r="E15133" s="10" t="s">
        <v>863</v>
      </c>
      <c r="F15133" s="9" t="s">
        <v>864</v>
      </c>
      <c r="G15133" s="10" t="s">
        <v>21</v>
      </c>
      <c r="H15133" s="9" t="s">
        <v>22</v>
      </c>
      <c r="I15133" s="9" t="s">
        <v>30435</v>
      </c>
      <c r="J15133" s="10" t="str">
        <f>HYPERLINK("https://www.boe.es/gazeta/dias/1834/09/15/pdfs/GMD-1834-213.pdf#page=3","Abrir facsímil")</f>
        <v>Abrir facsímil</v>
      </c>
      <c r="K15133" s="10" t="s">
        <v>24</v>
      </c>
    </row>
    <row r="15134" spans="1:11" ht="54" customHeight="1">
      <c r="A15134" s="9" t="s">
        <v>30427</v>
      </c>
      <c r="B15134" s="9" t="s">
        <v>30427</v>
      </c>
      <c r="C15134" s="9" t="s">
        <v>46</v>
      </c>
      <c r="D15134" s="9" t="s">
        <v>101</v>
      </c>
      <c r="E15134" s="10" t="s">
        <v>838</v>
      </c>
      <c r="F15134" s="9" t="s">
        <v>839</v>
      </c>
      <c r="G15134" s="10" t="s">
        <v>21</v>
      </c>
      <c r="H15134" s="9" t="s">
        <v>22</v>
      </c>
      <c r="I15134" s="9" t="s">
        <v>30436</v>
      </c>
      <c r="J15134" s="10" t="str">
        <f>HYPERLINK("https://www.boe.es/gazeta/dias/1834/07/18/pdfs/GMD-1834-151.pdf#page=3","Abrir facsímil")</f>
        <v>Abrir facsímil</v>
      </c>
      <c r="K15134" s="10" t="s">
        <v>24</v>
      </c>
    </row>
    <row r="15135" spans="1:11" ht="54" customHeight="1">
      <c r="A15135" s="9" t="s">
        <v>30427</v>
      </c>
      <c r="B15135" s="9" t="s">
        <v>30427</v>
      </c>
      <c r="C15135" s="9" t="s">
        <v>17</v>
      </c>
      <c r="D15135" s="9" t="s">
        <v>18</v>
      </c>
      <c r="E15135" s="10" t="s">
        <v>672</v>
      </c>
      <c r="F15135" s="9" t="s">
        <v>1055</v>
      </c>
      <c r="G15135" s="10" t="s">
        <v>75</v>
      </c>
      <c r="H15135" s="9" t="s">
        <v>22</v>
      </c>
      <c r="I15135" s="9" t="s">
        <v>30437</v>
      </c>
      <c r="J15135" s="10" t="str">
        <f>HYPERLINK("https://www.boe.es/gazeta/dias/1834/09/19/pdfs/GMD-C-1834-217.pdf#page=4","Abrir facsímil")</f>
        <v>Abrir facsímil</v>
      </c>
      <c r="K15135" s="10" t="s">
        <v>24</v>
      </c>
    </row>
    <row r="15136" spans="1:11" ht="54" customHeight="1">
      <c r="A15136" s="9" t="s">
        <v>30427</v>
      </c>
      <c r="B15136" s="9" t="s">
        <v>30427</v>
      </c>
      <c r="C15136" s="9" t="s">
        <v>66</v>
      </c>
      <c r="D15136" s="9" t="s">
        <v>18</v>
      </c>
      <c r="E15136" s="10" t="s">
        <v>981</v>
      </c>
      <c r="F15136" s="9" t="s">
        <v>982</v>
      </c>
      <c r="G15136" s="10" t="s">
        <v>21</v>
      </c>
      <c r="H15136" s="9" t="s">
        <v>22</v>
      </c>
      <c r="I15136" s="9" t="s">
        <v>30438</v>
      </c>
      <c r="J15136" s="10" t="str">
        <f>HYPERLINK("https://www.boe.es/gazeta/dias/1834/09/21/pdfs/GMD-1834-219.pdf#page=3","Abrir facsímil")</f>
        <v>Abrir facsímil</v>
      </c>
      <c r="K15136" s="10" t="s">
        <v>24</v>
      </c>
    </row>
    <row r="15137" spans="1:11" ht="54" customHeight="1">
      <c r="A15137" s="9" t="s">
        <v>30427</v>
      </c>
      <c r="B15137" s="9" t="s">
        <v>30427</v>
      </c>
      <c r="C15137" s="9" t="s">
        <v>17</v>
      </c>
      <c r="D15137" s="9" t="s">
        <v>18</v>
      </c>
      <c r="E15137" s="10" t="s">
        <v>1677</v>
      </c>
      <c r="F15137" s="9" t="s">
        <v>2515</v>
      </c>
      <c r="G15137" s="10" t="s">
        <v>34</v>
      </c>
      <c r="H15137" s="9" t="s">
        <v>22</v>
      </c>
      <c r="I15137" s="9" t="s">
        <v>30439</v>
      </c>
      <c r="J15137" s="10" t="str">
        <f>HYPERLINK("https://www.boe.es/gazeta/dias/1834/07/26/pdfs/GMD-C-1834-159.pdf#page=1","Abrir facsímil")</f>
        <v>Abrir facsímil</v>
      </c>
      <c r="K15137" s="10" t="s">
        <v>24</v>
      </c>
    </row>
    <row r="15138" spans="1:11" ht="54" customHeight="1">
      <c r="A15138" s="9" t="s">
        <v>30427</v>
      </c>
      <c r="B15138" s="9" t="s">
        <v>30427</v>
      </c>
      <c r="C15138" s="9" t="s">
        <v>66</v>
      </c>
      <c r="D15138" s="9" t="s">
        <v>67</v>
      </c>
      <c r="E15138" s="10" t="s">
        <v>1641</v>
      </c>
      <c r="F15138" s="9" t="s">
        <v>1729</v>
      </c>
      <c r="G15138" s="10" t="s">
        <v>21</v>
      </c>
      <c r="H15138" s="9" t="s">
        <v>22</v>
      </c>
      <c r="I15138" s="9" t="s">
        <v>30440</v>
      </c>
      <c r="J15138" s="10" t="str">
        <f>HYPERLINK("https://www.boe.es/gazeta/dias/1834/09/28/pdfs/GMD-1834-226.pdf#page=3","Abrir facsímil")</f>
        <v>Abrir facsímil</v>
      </c>
      <c r="K15138" s="10" t="s">
        <v>24</v>
      </c>
    </row>
    <row r="15139" spans="1:11" ht="54" customHeight="1">
      <c r="A15139" s="9" t="s">
        <v>30427</v>
      </c>
      <c r="B15139" s="9" t="s">
        <v>30427</v>
      </c>
      <c r="C15139" s="9" t="s">
        <v>17</v>
      </c>
      <c r="D15139" s="9" t="s">
        <v>55</v>
      </c>
      <c r="E15139" s="10" t="s">
        <v>5904</v>
      </c>
      <c r="F15139" s="9" t="s">
        <v>5905</v>
      </c>
      <c r="G15139" s="10" t="s">
        <v>21</v>
      </c>
      <c r="H15139" s="9" t="s">
        <v>22</v>
      </c>
      <c r="I15139" s="9" t="s">
        <v>30441</v>
      </c>
      <c r="J15139" s="10" t="str">
        <f>HYPERLINK("https://www.boe.es/gazeta/dias/1834/09/29/pdfs/GMD-1834-227.pdf#page=3","Abrir facsímil")</f>
        <v>Abrir facsímil</v>
      </c>
      <c r="K15139" s="10" t="s">
        <v>24</v>
      </c>
    </row>
    <row r="15140" spans="1:11" ht="54" customHeight="1">
      <c r="A15140" s="9" t="s">
        <v>30442</v>
      </c>
      <c r="B15140" s="9" t="s">
        <v>30443</v>
      </c>
      <c r="C15140" s="9" t="s">
        <v>17</v>
      </c>
      <c r="D15140" s="9" t="s">
        <v>18</v>
      </c>
      <c r="E15140" s="10" t="s">
        <v>1572</v>
      </c>
      <c r="F15140" s="9" t="s">
        <v>1573</v>
      </c>
      <c r="G15140" s="10" t="s">
        <v>28</v>
      </c>
      <c r="H15140" s="9" t="s">
        <v>35</v>
      </c>
      <c r="I15140" s="9" t="s">
        <v>30444</v>
      </c>
      <c r="J15140" s="10" t="str">
        <f>HYPERLINK("https://www.boe.es/gazeta/dias/1834/03/20/pdfs/GMD-1834-35.pdf#page=5","Abrir facsímil")</f>
        <v>Abrir facsímil</v>
      </c>
      <c r="K15140" s="10" t="s">
        <v>37</v>
      </c>
    </row>
    <row r="15141" spans="1:11" ht="54" customHeight="1">
      <c r="A15141" s="9" t="s">
        <v>30445</v>
      </c>
      <c r="B15141" s="9" t="s">
        <v>30446</v>
      </c>
      <c r="C15141" s="9" t="s">
        <v>17</v>
      </c>
      <c r="D15141" s="9" t="s">
        <v>101</v>
      </c>
      <c r="E15141" s="10" t="s">
        <v>863</v>
      </c>
      <c r="F15141" s="9" t="s">
        <v>864</v>
      </c>
      <c r="G15141" s="10" t="s">
        <v>75</v>
      </c>
      <c r="H15141" s="9" t="s">
        <v>22</v>
      </c>
      <c r="I15141" s="9" t="s">
        <v>30447</v>
      </c>
      <c r="J15141" s="10" t="str">
        <f>HYPERLINK("https://www.boe.es/gazeta/dias/1834/09/15/pdfs/GMD-1834-213.pdf#page=4","Abrir facsímil")</f>
        <v>Abrir facsímil</v>
      </c>
      <c r="K15141" s="10" t="s">
        <v>24</v>
      </c>
    </row>
    <row r="15142" spans="1:11" ht="54" customHeight="1">
      <c r="A15142" s="9" t="s">
        <v>30448</v>
      </c>
      <c r="B15142" s="9" t="s">
        <v>30449</v>
      </c>
      <c r="C15142" s="9" t="s">
        <v>17</v>
      </c>
      <c r="D15142" s="9" t="s">
        <v>55</v>
      </c>
      <c r="E15142" s="10" t="s">
        <v>4064</v>
      </c>
      <c r="F15142" s="9" t="s">
        <v>4065</v>
      </c>
      <c r="G15142" s="10" t="s">
        <v>21</v>
      </c>
      <c r="H15142" s="9" t="s">
        <v>22</v>
      </c>
      <c r="I15142" s="9" t="s">
        <v>30450</v>
      </c>
      <c r="J15142" s="10" t="str">
        <f>HYPERLINK("https://www.boe.es/gazeta/dias/1834/07/22/pdfs/GMD-1834-155.pdf#page=3","Abrir facsímil")</f>
        <v>Abrir facsímil</v>
      </c>
      <c r="K15142" s="10" t="s">
        <v>24</v>
      </c>
    </row>
    <row r="15143" spans="1:11" ht="54" customHeight="1">
      <c r="A15143" s="9" t="s">
        <v>30448</v>
      </c>
      <c r="B15143" s="9" t="s">
        <v>30449</v>
      </c>
      <c r="C15143" s="9" t="s">
        <v>17</v>
      </c>
      <c r="D15143" s="9" t="s">
        <v>18</v>
      </c>
      <c r="E15143" s="10" t="s">
        <v>1677</v>
      </c>
      <c r="F15143" s="9" t="s">
        <v>2515</v>
      </c>
      <c r="G15143" s="10" t="s">
        <v>34</v>
      </c>
      <c r="H15143" s="9" t="s">
        <v>22</v>
      </c>
      <c r="I15143" s="9" t="s">
        <v>30451</v>
      </c>
      <c r="J15143" s="10" t="str">
        <f>HYPERLINK("https://www.boe.es/gazeta/dias/1834/07/26/pdfs/GMD-C-1834-159.pdf#page=1","Abrir facsímil")</f>
        <v>Abrir facsímil</v>
      </c>
      <c r="K15143" s="10" t="s">
        <v>24</v>
      </c>
    </row>
    <row r="15144" spans="1:11" ht="54" customHeight="1">
      <c r="A15144" s="9" t="s">
        <v>30452</v>
      </c>
      <c r="B15144" s="9" t="s">
        <v>30453</v>
      </c>
      <c r="C15144" s="9" t="s">
        <v>17</v>
      </c>
      <c r="D15144" s="9" t="s">
        <v>18</v>
      </c>
      <c r="E15144" s="10" t="s">
        <v>1708</v>
      </c>
      <c r="F15144" s="9" t="s">
        <v>1709</v>
      </c>
      <c r="G15144" s="10" t="s">
        <v>28</v>
      </c>
      <c r="H15144" s="9" t="s">
        <v>22</v>
      </c>
      <c r="I15144" s="9" t="s">
        <v>30454</v>
      </c>
      <c r="J15144" s="10" t="str">
        <f>HYPERLINK("https://www.boe.es/gazeta/dias/1834/04/12/pdfs/GMD-1834-51.pdf#page=5","Abrir facsímil")</f>
        <v>Abrir facsímil</v>
      </c>
      <c r="K15144" s="10" t="s">
        <v>24</v>
      </c>
    </row>
    <row r="15145" spans="1:11" ht="54" customHeight="1">
      <c r="A15145" s="9" t="s">
        <v>30452</v>
      </c>
      <c r="B15145" s="9" t="s">
        <v>30453</v>
      </c>
      <c r="C15145" s="9" t="s">
        <v>17</v>
      </c>
      <c r="D15145" s="9" t="s">
        <v>18</v>
      </c>
      <c r="E15145" s="10" t="s">
        <v>133</v>
      </c>
      <c r="F15145" s="9" t="s">
        <v>134</v>
      </c>
      <c r="G15145" s="10" t="s">
        <v>34</v>
      </c>
      <c r="H15145" s="9" t="s">
        <v>22</v>
      </c>
      <c r="I15145" s="9" t="s">
        <v>30455</v>
      </c>
      <c r="J15145" s="10" t="str">
        <f>HYPERLINK("https://www.boe.es/gazeta/dias/1834/06/18/pdfs/GMD-1834-121.pdf#page=1","Abrir facsímil")</f>
        <v>Abrir facsímil</v>
      </c>
      <c r="K15145" s="10" t="s">
        <v>24</v>
      </c>
    </row>
    <row r="15146" spans="1:11" ht="54" customHeight="1">
      <c r="A15146" s="9" t="s">
        <v>30452</v>
      </c>
      <c r="B15146" s="9" t="s">
        <v>30453</v>
      </c>
      <c r="C15146" s="9" t="s">
        <v>90</v>
      </c>
      <c r="D15146" s="9" t="s">
        <v>18</v>
      </c>
      <c r="E15146" s="10" t="s">
        <v>128</v>
      </c>
      <c r="F15146" s="9" t="s">
        <v>129</v>
      </c>
      <c r="G15146" s="10" t="s">
        <v>34</v>
      </c>
      <c r="H15146" s="9" t="s">
        <v>22</v>
      </c>
      <c r="I15146" s="9" t="s">
        <v>30456</v>
      </c>
      <c r="J15146" s="10" t="str">
        <f>HYPERLINK("https://www.boe.es/gazeta/dias/1834/12/24/pdfs/GMD-C-1834-314.pdf#page=1","Abrir facsímil")</f>
        <v>Abrir facsímil</v>
      </c>
      <c r="K15146" s="10" t="s">
        <v>24</v>
      </c>
    </row>
    <row r="15147" spans="1:11" ht="54" customHeight="1">
      <c r="A15147" s="9" t="s">
        <v>30457</v>
      </c>
      <c r="B15147" s="9" t="s">
        <v>30458</v>
      </c>
      <c r="C15147" s="9" t="s">
        <v>90</v>
      </c>
      <c r="D15147" s="9" t="s">
        <v>18</v>
      </c>
      <c r="E15147" s="10" t="s">
        <v>563</v>
      </c>
      <c r="F15147" s="9" t="s">
        <v>564</v>
      </c>
      <c r="G15147" s="10" t="s">
        <v>176</v>
      </c>
      <c r="H15147" s="9" t="s">
        <v>22</v>
      </c>
      <c r="I15147" s="9" t="s">
        <v>30459</v>
      </c>
      <c r="J15147" s="10" t="str">
        <f>HYPERLINK("https://www.boe.es/gazeta/dias/1834/04/19/pdfs/GMD-1834-58.pdf#page=6","Abrir facsímil")</f>
        <v>Abrir facsímil</v>
      </c>
      <c r="K15147" s="10" t="s">
        <v>24</v>
      </c>
    </row>
    <row r="15148" spans="1:11" ht="54" customHeight="1">
      <c r="A15148" s="9" t="s">
        <v>30460</v>
      </c>
      <c r="B15148" s="9" t="s">
        <v>30461</v>
      </c>
      <c r="C15148" s="9" t="s">
        <v>90</v>
      </c>
      <c r="D15148" s="9" t="s">
        <v>67</v>
      </c>
      <c r="E15148" s="10" t="s">
        <v>465</v>
      </c>
      <c r="F15148" s="9" t="s">
        <v>466</v>
      </c>
      <c r="G15148" s="10" t="s">
        <v>176</v>
      </c>
      <c r="H15148" s="9" t="s">
        <v>22</v>
      </c>
      <c r="I15148" s="9" t="s">
        <v>30462</v>
      </c>
      <c r="J15148" s="10" t="str">
        <f>HYPERLINK("https://www.boe.es/gazeta/dias/1834/11/27/pdfs/GMD-C-1834-286.pdf#page=6","Abrir facsímil")</f>
        <v>Abrir facsímil</v>
      </c>
      <c r="K15148" s="10" t="s">
        <v>24</v>
      </c>
    </row>
    <row r="15149" spans="1:11" ht="54" customHeight="1">
      <c r="A15149" s="9" t="s">
        <v>30463</v>
      </c>
      <c r="B15149" s="9" t="s">
        <v>30464</v>
      </c>
      <c r="C15149" s="9" t="s">
        <v>17</v>
      </c>
      <c r="D15149" s="9" t="s">
        <v>18</v>
      </c>
      <c r="E15149" s="10" t="s">
        <v>571</v>
      </c>
      <c r="F15149" s="9" t="s">
        <v>620</v>
      </c>
      <c r="G15149" s="10" t="s">
        <v>470</v>
      </c>
      <c r="H15149" s="9" t="s">
        <v>22</v>
      </c>
      <c r="I15149" s="9" t="s">
        <v>30465</v>
      </c>
      <c r="J15149" s="10" t="str">
        <f>HYPERLINK("https://www.boe.es/gazeta/dias/1834/09/04/pdfs/GMD-C-1834-202.pdf#page=8","Abrir facsímil")</f>
        <v>Abrir facsímil</v>
      </c>
      <c r="K15149" s="10" t="s">
        <v>24</v>
      </c>
    </row>
    <row r="15150" spans="1:11" ht="54" customHeight="1">
      <c r="A15150" s="9" t="s">
        <v>30466</v>
      </c>
      <c r="B15150" s="9" t="s">
        <v>30467</v>
      </c>
      <c r="C15150" s="9" t="s">
        <v>17</v>
      </c>
      <c r="D15150" s="9" t="s">
        <v>18</v>
      </c>
      <c r="E15150" s="10" t="s">
        <v>468</v>
      </c>
      <c r="F15150" s="9" t="s">
        <v>469</v>
      </c>
      <c r="G15150" s="10" t="s">
        <v>34</v>
      </c>
      <c r="H15150" s="9" t="s">
        <v>22</v>
      </c>
      <c r="I15150" s="9" t="s">
        <v>30468</v>
      </c>
      <c r="J15150" s="10" t="str">
        <f>HYPERLINK("https://www.boe.es/gazeta/dias/1834/12/28/pdfs/GMD-C-1834-318.pdf#page=1","Abrir facsímil")</f>
        <v>Abrir facsímil</v>
      </c>
      <c r="K15150" s="10" t="s">
        <v>24</v>
      </c>
    </row>
    <row r="15151" spans="1:11" ht="54" customHeight="1">
      <c r="A15151" s="9" t="s">
        <v>30469</v>
      </c>
      <c r="B15151" s="9" t="s">
        <v>30470</v>
      </c>
      <c r="C15151" s="9" t="s">
        <v>17</v>
      </c>
      <c r="D15151" s="9" t="s">
        <v>18</v>
      </c>
      <c r="E15151" s="10" t="s">
        <v>1459</v>
      </c>
      <c r="F15151" s="9" t="s">
        <v>1460</v>
      </c>
      <c r="G15151" s="10" t="s">
        <v>21</v>
      </c>
      <c r="H15151" s="9" t="s">
        <v>22</v>
      </c>
      <c r="I15151" s="9" t="s">
        <v>30471</v>
      </c>
      <c r="J15151" s="10" t="str">
        <f>HYPERLINK("https://www.boe.es/gazeta/dias/1834/08/18/pdfs/GMD-1834-184.pdf#page=3","Abrir facsímil")</f>
        <v>Abrir facsímil</v>
      </c>
      <c r="K15151" s="10" t="s">
        <v>24</v>
      </c>
    </row>
    <row r="15152" spans="1:11" ht="54" customHeight="1">
      <c r="A15152" s="9" t="s">
        <v>30472</v>
      </c>
      <c r="B15152" s="9" t="s">
        <v>30473</v>
      </c>
      <c r="C15152" s="9" t="s">
        <v>17</v>
      </c>
      <c r="D15152" s="9" t="s">
        <v>18</v>
      </c>
      <c r="E15152" s="10" t="s">
        <v>1186</v>
      </c>
      <c r="F15152" s="9" t="s">
        <v>1187</v>
      </c>
      <c r="G15152" s="10" t="s">
        <v>34</v>
      </c>
      <c r="H15152" s="9" t="s">
        <v>22</v>
      </c>
      <c r="I15152" s="9" t="s">
        <v>30474</v>
      </c>
      <c r="J15152" s="10" t="str">
        <f>HYPERLINK("https://www.boe.es/gazeta/dias/1834/08/14/pdfs/GMD-1834-179.pdf#page=1","Abrir facsímil")</f>
        <v>Abrir facsímil</v>
      </c>
      <c r="K15152" s="10" t="s">
        <v>24</v>
      </c>
    </row>
    <row r="15153" spans="1:11" ht="54" customHeight="1">
      <c r="A15153" s="9" t="s">
        <v>30475</v>
      </c>
      <c r="B15153" s="9" t="s">
        <v>30476</v>
      </c>
      <c r="C15153" s="9" t="s">
        <v>66</v>
      </c>
      <c r="D15153" s="9" t="s">
        <v>67</v>
      </c>
      <c r="E15153" s="10" t="s">
        <v>138</v>
      </c>
      <c r="F15153" s="9" t="s">
        <v>139</v>
      </c>
      <c r="G15153" s="10" t="s">
        <v>21</v>
      </c>
      <c r="H15153" s="9" t="s">
        <v>22</v>
      </c>
      <c r="I15153" s="9" t="s">
        <v>30477</v>
      </c>
      <c r="J15153" s="10" t="str">
        <f>HYPERLINK("https://www.boe.es/gazeta/dias/1834/05/17/pdfs/GMD-1834-86.pdf#page=3","Abrir facsímil")</f>
        <v>Abrir facsímil</v>
      </c>
      <c r="K15153" s="10" t="s">
        <v>24</v>
      </c>
    </row>
    <row r="15154" spans="1:11" ht="54" customHeight="1">
      <c r="A15154" s="9" t="s">
        <v>30478</v>
      </c>
      <c r="B15154" s="9" t="s">
        <v>30479</v>
      </c>
      <c r="C15154" s="9" t="s">
        <v>17</v>
      </c>
      <c r="D15154" s="9" t="s">
        <v>18</v>
      </c>
      <c r="E15154" s="10" t="s">
        <v>524</v>
      </c>
      <c r="F15154" s="9" t="s">
        <v>4743</v>
      </c>
      <c r="G15154" s="10" t="s">
        <v>86</v>
      </c>
      <c r="H15154" s="9" t="s">
        <v>35</v>
      </c>
      <c r="I15154" s="9" t="s">
        <v>30480</v>
      </c>
      <c r="J15154" s="10" t="str">
        <f>HYPERLINK("https://www.boe.es/gazeta/dias/1834/12/25/pdfs/GMD-1834-315.pdf#page=2","Abrir facsímil")</f>
        <v>Abrir facsímil</v>
      </c>
      <c r="K15154" s="10" t="s">
        <v>37</v>
      </c>
    </row>
    <row r="15155" spans="1:11" ht="54" customHeight="1">
      <c r="A15155" s="9" t="s">
        <v>30481</v>
      </c>
      <c r="B15155" s="9" t="s">
        <v>30481</v>
      </c>
      <c r="C15155" s="9" t="s">
        <v>66</v>
      </c>
      <c r="D15155" s="9" t="s">
        <v>67</v>
      </c>
      <c r="E15155" s="10" t="s">
        <v>1406</v>
      </c>
      <c r="F15155" s="9" t="s">
        <v>1407</v>
      </c>
      <c r="G15155" s="10" t="s">
        <v>86</v>
      </c>
      <c r="H15155" s="9" t="s">
        <v>22</v>
      </c>
      <c r="I15155" s="9" t="s">
        <v>30482</v>
      </c>
      <c r="J15155" s="10" t="str">
        <f>HYPERLINK("https://www.boe.es/gazeta/dias/1834/11/03/pdfs/GMD-1834-262.pdf#page=2","Abrir facsímil")</f>
        <v>Abrir facsímil</v>
      </c>
      <c r="K15155" s="10" t="s">
        <v>24</v>
      </c>
    </row>
    <row r="15156" spans="1:11" ht="54" customHeight="1">
      <c r="A15156" s="9" t="s">
        <v>30481</v>
      </c>
      <c r="B15156" s="9" t="s">
        <v>30481</v>
      </c>
      <c r="C15156" s="9" t="s">
        <v>17</v>
      </c>
      <c r="D15156" s="9" t="s">
        <v>18</v>
      </c>
      <c r="E15156" s="10" t="s">
        <v>73</v>
      </c>
      <c r="F15156" s="9" t="s">
        <v>74</v>
      </c>
      <c r="G15156" s="10" t="s">
        <v>86</v>
      </c>
      <c r="H15156" s="9" t="s">
        <v>22</v>
      </c>
      <c r="I15156" s="9" t="s">
        <v>30483</v>
      </c>
      <c r="J15156" s="10" t="str">
        <f>HYPERLINK("https://www.boe.es/gazeta/dias/1834/11/04/pdfs/GMD-1834-263.pdf#page=2","Abrir facsímil")</f>
        <v>Abrir facsímil</v>
      </c>
      <c r="K15156" s="10" t="s">
        <v>24</v>
      </c>
    </row>
    <row r="15157" spans="1:11" ht="54" customHeight="1">
      <c r="A15157" s="9" t="s">
        <v>30484</v>
      </c>
      <c r="B15157" s="9" t="s">
        <v>30485</v>
      </c>
      <c r="C15157" s="9" t="s">
        <v>66</v>
      </c>
      <c r="D15157" s="9" t="s">
        <v>67</v>
      </c>
      <c r="E15157" s="10" t="s">
        <v>1406</v>
      </c>
      <c r="F15157" s="9" t="s">
        <v>1407</v>
      </c>
      <c r="G15157" s="10" t="s">
        <v>86</v>
      </c>
      <c r="H15157" s="9" t="s">
        <v>22</v>
      </c>
      <c r="I15157" s="9" t="s">
        <v>30486</v>
      </c>
      <c r="J15157" s="10" t="str">
        <f>HYPERLINK("https://www.boe.es/gazeta/dias/1834/11/03/pdfs/GMD-1834-262.pdf#page=2","Abrir facsímil")</f>
        <v>Abrir facsímil</v>
      </c>
      <c r="K15157" s="10" t="s">
        <v>24</v>
      </c>
    </row>
    <row r="15158" spans="1:11" ht="54" customHeight="1">
      <c r="A15158" s="9" t="s">
        <v>30487</v>
      </c>
      <c r="B15158" s="9" t="s">
        <v>30488</v>
      </c>
      <c r="C15158" s="9" t="s">
        <v>90</v>
      </c>
      <c r="D15158" s="9" t="s">
        <v>18</v>
      </c>
      <c r="E15158" s="10" t="s">
        <v>905</v>
      </c>
      <c r="F15158" s="9" t="s">
        <v>906</v>
      </c>
      <c r="G15158" s="10" t="s">
        <v>86</v>
      </c>
      <c r="H15158" s="9" t="s">
        <v>22</v>
      </c>
      <c r="I15158" s="9" t="s">
        <v>30489</v>
      </c>
      <c r="J15158" s="10" t="str">
        <f>HYPERLINK("https://www.boe.es/gazeta/dias/1834/08/02/pdfs/GMD-C-1834-166.pdf#page=2","Abrir facsímil")</f>
        <v>Abrir facsímil</v>
      </c>
      <c r="K15158" s="10" t="s">
        <v>24</v>
      </c>
    </row>
    <row r="15159" spans="1:11" ht="54" customHeight="1">
      <c r="A15159" s="9" t="s">
        <v>30490</v>
      </c>
      <c r="B15159" s="9" t="s">
        <v>30491</v>
      </c>
      <c r="C15159" s="9" t="s">
        <v>17</v>
      </c>
      <c r="D15159" s="9" t="s">
        <v>18</v>
      </c>
      <c r="E15159" s="10" t="s">
        <v>653</v>
      </c>
      <c r="F15159" s="9" t="s">
        <v>654</v>
      </c>
      <c r="G15159" s="10" t="s">
        <v>21</v>
      </c>
      <c r="H15159" s="9" t="s">
        <v>22</v>
      </c>
      <c r="I15159" s="9" t="s">
        <v>30492</v>
      </c>
      <c r="J15159" s="10" t="str">
        <f>HYPERLINK("https://www.boe.es/gazeta/dias/1834/08/06/pdfs/GMD-C-1834-170.pdf#page=3","Abrir facsímil")</f>
        <v>Abrir facsímil</v>
      </c>
      <c r="K15159" s="10" t="s">
        <v>24</v>
      </c>
    </row>
    <row r="15160" spans="1:11" ht="54" customHeight="1">
      <c r="A15160" s="9" t="s">
        <v>30493</v>
      </c>
      <c r="B15160" s="9" t="s">
        <v>30494</v>
      </c>
      <c r="C15160" s="9" t="s">
        <v>17</v>
      </c>
      <c r="D15160" s="9" t="s">
        <v>18</v>
      </c>
      <c r="E15160" s="10" t="s">
        <v>702</v>
      </c>
      <c r="F15160" s="9" t="s">
        <v>703</v>
      </c>
      <c r="G15160" s="10" t="s">
        <v>28</v>
      </c>
      <c r="H15160" s="9" t="s">
        <v>22</v>
      </c>
      <c r="I15160" s="9" t="s">
        <v>30495</v>
      </c>
      <c r="J15160" s="10" t="str">
        <f>HYPERLINK("https://www.boe.es/gazeta/dias/1834/11/22/pdfs/GMD-C-1834-281.pdf#page=5","Abrir facsímil")</f>
        <v>Abrir facsímil</v>
      </c>
      <c r="K15160" s="10" t="s">
        <v>24</v>
      </c>
    </row>
    <row r="15161" spans="1:11" ht="54" customHeight="1">
      <c r="A15161" s="9" t="s">
        <v>30496</v>
      </c>
      <c r="B15161" s="9" t="s">
        <v>30497</v>
      </c>
      <c r="C15161" s="9" t="s">
        <v>17</v>
      </c>
      <c r="D15161" s="9" t="s">
        <v>18</v>
      </c>
      <c r="E15161" s="10" t="s">
        <v>183</v>
      </c>
      <c r="F15161" s="9" t="s">
        <v>184</v>
      </c>
      <c r="G15161" s="10" t="s">
        <v>75</v>
      </c>
      <c r="H15161" s="9" t="s">
        <v>22</v>
      </c>
      <c r="I15161" s="9" t="s">
        <v>30498</v>
      </c>
      <c r="J15161" s="10" t="str">
        <f>HYPERLINK("https://www.boe.es/gazeta/dias/1834/03/18/pdfs/GMD-1834-34.pdf#page=4","Abrir facsímil")</f>
        <v>Abrir facsímil</v>
      </c>
      <c r="K15161" s="10" t="s">
        <v>24</v>
      </c>
    </row>
    <row r="15162" spans="1:11" ht="54" customHeight="1">
      <c r="A15162" s="9" t="s">
        <v>30499</v>
      </c>
      <c r="B15162" s="9" t="s">
        <v>30499</v>
      </c>
      <c r="C15162" s="9" t="s">
        <v>17</v>
      </c>
      <c r="D15162" s="9" t="s">
        <v>18</v>
      </c>
      <c r="E15162" s="10" t="s">
        <v>1297</v>
      </c>
      <c r="F15162" s="9" t="s">
        <v>1879</v>
      </c>
      <c r="G15162" s="10" t="s">
        <v>86</v>
      </c>
      <c r="H15162" s="9" t="s">
        <v>22</v>
      </c>
      <c r="I15162" s="9" t="s">
        <v>30500</v>
      </c>
      <c r="J15162" s="10" t="str">
        <f>HYPERLINK("https://www.boe.es/gazeta/dias/1834/08/01/pdfs/GMD-C-1834-165.pdf#page=2","Abrir facsímil")</f>
        <v>Abrir facsímil</v>
      </c>
      <c r="K15162" s="10" t="s">
        <v>24</v>
      </c>
    </row>
    <row r="15163" spans="1:11" ht="54" customHeight="1">
      <c r="A15163" s="9" t="s">
        <v>30501</v>
      </c>
      <c r="B15163" s="9" t="s">
        <v>30502</v>
      </c>
      <c r="C15163" s="9" t="s">
        <v>46</v>
      </c>
      <c r="D15163" s="9" t="s">
        <v>18</v>
      </c>
      <c r="E15163" s="10" t="s">
        <v>838</v>
      </c>
      <c r="F15163" s="9" t="s">
        <v>839</v>
      </c>
      <c r="G15163" s="10" t="s">
        <v>21</v>
      </c>
      <c r="H15163" s="9" t="s">
        <v>35</v>
      </c>
      <c r="I15163" s="9" t="s">
        <v>30503</v>
      </c>
      <c r="J15163" s="10" t="str">
        <f>HYPERLINK("https://www.boe.es/gazeta/dias/1834/07/18/pdfs/GMD-1834-151.pdf#page=3","Abrir facsímil")</f>
        <v>Abrir facsímil</v>
      </c>
      <c r="K15163" s="10" t="s">
        <v>37</v>
      </c>
    </row>
    <row r="15164" spans="1:11" ht="54" customHeight="1">
      <c r="A15164" s="9" t="s">
        <v>30504</v>
      </c>
      <c r="B15164" s="9" t="s">
        <v>30505</v>
      </c>
      <c r="C15164" s="9" t="s">
        <v>122</v>
      </c>
      <c r="D15164" s="9" t="s">
        <v>101</v>
      </c>
      <c r="E15164" s="10" t="s">
        <v>262</v>
      </c>
      <c r="F15164" s="9" t="s">
        <v>7012</v>
      </c>
      <c r="G15164" s="10" t="s">
        <v>34</v>
      </c>
      <c r="H15164" s="9" t="s">
        <v>35</v>
      </c>
      <c r="I15164" s="9" t="s">
        <v>30506</v>
      </c>
      <c r="J15164" s="10" t="str">
        <f>HYPERLINK("https://www.boe.es/gazeta/dias/1834/10/18/pdfs/GMD-1834-246.pdf#page=1","Abrir facsímil")</f>
        <v>Abrir facsímil</v>
      </c>
      <c r="K15164" s="10" t="s">
        <v>37</v>
      </c>
    </row>
    <row r="15165" spans="1:11" ht="54" customHeight="1">
      <c r="A15165" s="9" t="s">
        <v>30507</v>
      </c>
      <c r="B15165" s="9" t="s">
        <v>30508</v>
      </c>
      <c r="C15165" s="9" t="s">
        <v>17</v>
      </c>
      <c r="D15165" s="9" t="s">
        <v>55</v>
      </c>
      <c r="E15165" s="10" t="s">
        <v>1789</v>
      </c>
      <c r="F15165" s="9" t="s">
        <v>1790</v>
      </c>
      <c r="G15165" s="10" t="s">
        <v>21</v>
      </c>
      <c r="H15165" s="9" t="s">
        <v>35</v>
      </c>
      <c r="I15165" s="9" t="s">
        <v>30509</v>
      </c>
      <c r="J15165" s="10" t="str">
        <f>HYPERLINK("https://www.boe.es/gazeta/dias/1834/05/31/pdfs/GMD-1834-100.pdf#page=3","Abrir facsímil")</f>
        <v>Abrir facsímil</v>
      </c>
      <c r="K15165" s="10" t="s">
        <v>37</v>
      </c>
    </row>
    <row r="15166" spans="1:11" ht="54" customHeight="1">
      <c r="A15166" s="9" t="s">
        <v>30510</v>
      </c>
      <c r="B15166" s="9" t="s">
        <v>30510</v>
      </c>
      <c r="C15166" s="9" t="s">
        <v>17</v>
      </c>
      <c r="D15166" s="9" t="s">
        <v>18</v>
      </c>
      <c r="E15166" s="10" t="s">
        <v>753</v>
      </c>
      <c r="F15166" s="9" t="s">
        <v>754</v>
      </c>
      <c r="G15166" s="10" t="s">
        <v>28</v>
      </c>
      <c r="H15166" s="9" t="s">
        <v>22</v>
      </c>
      <c r="I15166" s="9" t="s">
        <v>30511</v>
      </c>
      <c r="J15166" s="10" t="str">
        <f>HYPERLINK("https://www.boe.es/gazeta/dias/1834/04/21/pdfs/GMD-1834-60.pdf#page=5","Abrir facsímil")</f>
        <v>Abrir facsímil</v>
      </c>
      <c r="K15166" s="10" t="s">
        <v>24</v>
      </c>
    </row>
    <row r="15167" spans="1:11" ht="54" customHeight="1">
      <c r="A15167" s="9" t="s">
        <v>30512</v>
      </c>
      <c r="B15167" s="9" t="s">
        <v>30513</v>
      </c>
      <c r="C15167" s="9" t="s">
        <v>122</v>
      </c>
      <c r="D15167" s="9" t="s">
        <v>18</v>
      </c>
      <c r="E15167" s="10" t="s">
        <v>563</v>
      </c>
      <c r="F15167" s="9" t="s">
        <v>564</v>
      </c>
      <c r="G15167" s="10" t="s">
        <v>176</v>
      </c>
      <c r="H15167" s="9" t="s">
        <v>35</v>
      </c>
      <c r="I15167" s="9" t="s">
        <v>30514</v>
      </c>
      <c r="J15167" s="10" t="str">
        <f>HYPERLINK("https://www.boe.es/gazeta/dias/1834/04/19/pdfs/GMD-1834-58.pdf#page=6","Abrir facsímil")</f>
        <v>Abrir facsímil</v>
      </c>
      <c r="K15167" s="10" t="s">
        <v>37</v>
      </c>
    </row>
    <row r="15168" spans="1:11" ht="54" customHeight="1">
      <c r="A15168" s="9" t="s">
        <v>30515</v>
      </c>
      <c r="B15168" s="9" t="s">
        <v>30516</v>
      </c>
      <c r="C15168" s="9" t="s">
        <v>122</v>
      </c>
      <c r="D15168" s="9" t="s">
        <v>18</v>
      </c>
      <c r="E15168" s="10" t="s">
        <v>563</v>
      </c>
      <c r="F15168" s="9" t="s">
        <v>564</v>
      </c>
      <c r="G15168" s="10" t="s">
        <v>176</v>
      </c>
      <c r="H15168" s="9" t="s">
        <v>22</v>
      </c>
      <c r="I15168" s="9" t="s">
        <v>30517</v>
      </c>
      <c r="J15168" s="10" t="str">
        <f>HYPERLINK("https://www.boe.es/gazeta/dias/1834/04/19/pdfs/GMD-1834-58.pdf#page=6","Abrir facsímil")</f>
        <v>Abrir facsímil</v>
      </c>
      <c r="K15168" s="10" t="s">
        <v>24</v>
      </c>
    </row>
    <row r="15169" spans="1:11" ht="54" customHeight="1">
      <c r="A15169" s="9" t="s">
        <v>30518</v>
      </c>
      <c r="B15169" s="9" t="s">
        <v>30519</v>
      </c>
      <c r="C15169" s="9" t="s">
        <v>90</v>
      </c>
      <c r="D15169" s="9" t="s">
        <v>101</v>
      </c>
      <c r="E15169" s="10" t="s">
        <v>375</v>
      </c>
      <c r="F15169" s="9" t="s">
        <v>376</v>
      </c>
      <c r="G15169" s="10" t="s">
        <v>34</v>
      </c>
      <c r="H15169" s="9" t="s">
        <v>22</v>
      </c>
      <c r="I15169" s="9" t="s">
        <v>30520</v>
      </c>
      <c r="J15169" s="10" t="str">
        <f>HYPERLINK("https://www.boe.es/gazeta/dias/1834/08/21/pdfs/GMD-1834-187.pdf#page=1","Abrir facsímil")</f>
        <v>Abrir facsímil</v>
      </c>
      <c r="K15169" s="10" t="s">
        <v>24</v>
      </c>
    </row>
    <row r="15170" spans="1:11" ht="54" customHeight="1">
      <c r="A15170" s="9" t="s">
        <v>30521</v>
      </c>
      <c r="B15170" s="9" t="s">
        <v>30522</v>
      </c>
      <c r="C15170" s="9" t="s">
        <v>17</v>
      </c>
      <c r="D15170" s="9" t="s">
        <v>18</v>
      </c>
      <c r="E15170" s="10" t="s">
        <v>19</v>
      </c>
      <c r="F15170" s="9" t="s">
        <v>107</v>
      </c>
      <c r="G15170" s="10" t="s">
        <v>75</v>
      </c>
      <c r="H15170" s="9" t="s">
        <v>35</v>
      </c>
      <c r="I15170" s="9" t="s">
        <v>30523</v>
      </c>
      <c r="J15170" s="10" t="str">
        <f>HYPERLINK("https://www.boe.es/gazeta/dias/1834/08/17/pdfs/GMD-1834-182.pdf#page=4","Abrir facsímil")</f>
        <v>Abrir facsímil</v>
      </c>
      <c r="K15170" s="10" t="s">
        <v>37</v>
      </c>
    </row>
    <row r="15171" spans="1:11" ht="54" customHeight="1">
      <c r="A15171" s="9" t="s">
        <v>30524</v>
      </c>
      <c r="B15171" s="9" t="s">
        <v>30524</v>
      </c>
      <c r="C15171" s="9" t="s">
        <v>17</v>
      </c>
      <c r="D15171" s="9" t="s">
        <v>18</v>
      </c>
      <c r="E15171" s="10" t="s">
        <v>1597</v>
      </c>
      <c r="F15171" s="9" t="s">
        <v>1598</v>
      </c>
      <c r="G15171" s="10" t="s">
        <v>34</v>
      </c>
      <c r="H15171" s="9" t="s">
        <v>22</v>
      </c>
      <c r="I15171" s="9" t="s">
        <v>30525</v>
      </c>
      <c r="J15171" s="10" t="str">
        <f>HYPERLINK("https://www.boe.es/gazeta/dias/1834/10/03/pdfs/GMD-1834-231.pdf#page=1","Abrir facsímil")</f>
        <v>Abrir facsímil</v>
      </c>
      <c r="K15171" s="10" t="s">
        <v>24</v>
      </c>
    </row>
    <row r="15172" spans="1:11" ht="54" customHeight="1">
      <c r="A15172" s="9" t="s">
        <v>30526</v>
      </c>
      <c r="B15172" s="9" t="s">
        <v>30526</v>
      </c>
      <c r="C15172" s="9" t="s">
        <v>122</v>
      </c>
      <c r="D15172" s="9" t="s">
        <v>18</v>
      </c>
      <c r="E15172" s="10" t="s">
        <v>1170</v>
      </c>
      <c r="F15172" s="9" t="s">
        <v>1171</v>
      </c>
      <c r="G15172" s="10" t="s">
        <v>21</v>
      </c>
      <c r="H15172" s="9" t="s">
        <v>22</v>
      </c>
      <c r="I15172" s="9" t="s">
        <v>30527</v>
      </c>
      <c r="J15172" s="10" t="str">
        <f>HYPERLINK("https://www.boe.es/gazeta/dias/1834/01/07/pdfs/GMD-1834-4.pdf#page=3","Abrir facsímil")</f>
        <v>Abrir facsímil</v>
      </c>
      <c r="K15172" s="10" t="s">
        <v>24</v>
      </c>
    </row>
    <row r="15173" spans="1:11" ht="54" customHeight="1">
      <c r="A15173" s="9" t="s">
        <v>30526</v>
      </c>
      <c r="B15173" s="9" t="s">
        <v>30526</v>
      </c>
      <c r="C15173" s="9" t="s">
        <v>17</v>
      </c>
      <c r="D15173" s="9" t="s">
        <v>18</v>
      </c>
      <c r="E15173" s="10" t="s">
        <v>304</v>
      </c>
      <c r="F15173" s="9" t="s">
        <v>305</v>
      </c>
      <c r="G15173" s="10" t="s">
        <v>86</v>
      </c>
      <c r="H15173" s="9" t="s">
        <v>22</v>
      </c>
      <c r="I15173" s="9" t="s">
        <v>30528</v>
      </c>
      <c r="J15173" s="10" t="str">
        <f>HYPERLINK("https://www.boe.es/gazeta/dias/1834/01/21/pdfs/GMD-1834-10.pdf#page=2","Abrir facsímil")</f>
        <v>Abrir facsímil</v>
      </c>
      <c r="K15173" s="10" t="s">
        <v>24</v>
      </c>
    </row>
    <row r="15174" spans="1:11" ht="54" customHeight="1">
      <c r="A15174" s="9" t="s">
        <v>30526</v>
      </c>
      <c r="B15174" s="9" t="s">
        <v>30526</v>
      </c>
      <c r="C15174" s="9" t="s">
        <v>90</v>
      </c>
      <c r="D15174" s="9" t="s">
        <v>18</v>
      </c>
      <c r="E15174" s="10" t="s">
        <v>1747</v>
      </c>
      <c r="F15174" s="9" t="s">
        <v>1748</v>
      </c>
      <c r="G15174" s="10" t="s">
        <v>34</v>
      </c>
      <c r="H15174" s="9" t="s">
        <v>22</v>
      </c>
      <c r="I15174" s="9" t="s">
        <v>30529</v>
      </c>
      <c r="J15174" s="10" t="str">
        <f>HYPERLINK("https://www.boe.es/gazeta/dias/1834/06/29/pdfs/GMD-1834-132.pdf#page=1","Abrir facsímil")</f>
        <v>Abrir facsímil</v>
      </c>
      <c r="K15174" s="10" t="s">
        <v>24</v>
      </c>
    </row>
    <row r="15175" spans="1:11" ht="54" customHeight="1">
      <c r="A15175" s="9" t="s">
        <v>30530</v>
      </c>
      <c r="B15175" s="9" t="s">
        <v>30530</v>
      </c>
      <c r="C15175" s="9" t="s">
        <v>66</v>
      </c>
      <c r="D15175" s="9" t="s">
        <v>67</v>
      </c>
      <c r="E15175" s="10" t="s">
        <v>715</v>
      </c>
      <c r="F15175" s="9" t="s">
        <v>7773</v>
      </c>
      <c r="G15175" s="10" t="s">
        <v>34</v>
      </c>
      <c r="H15175" s="9" t="s">
        <v>22</v>
      </c>
      <c r="I15175" s="9" t="s">
        <v>30531</v>
      </c>
      <c r="J15175" s="10" t="str">
        <f>HYPERLINK("https://www.boe.es/gazeta/dias/1834/09/17/pdfs/GMD-1834-215.pdf#page=1","Abrir facsímil")</f>
        <v>Abrir facsímil</v>
      </c>
      <c r="K15175" s="10" t="s">
        <v>24</v>
      </c>
    </row>
    <row r="15176" spans="1:11" ht="54" customHeight="1">
      <c r="A15176" s="9" t="s">
        <v>30532</v>
      </c>
      <c r="B15176" s="9" t="s">
        <v>30533</v>
      </c>
      <c r="C15176" s="9" t="s">
        <v>17</v>
      </c>
      <c r="D15176" s="9" t="s">
        <v>18</v>
      </c>
      <c r="E15176" s="10" t="s">
        <v>451</v>
      </c>
      <c r="F15176" s="9" t="s">
        <v>3350</v>
      </c>
      <c r="G15176" s="10" t="s">
        <v>21</v>
      </c>
      <c r="H15176" s="9" t="s">
        <v>22</v>
      </c>
      <c r="I15176" s="9" t="s">
        <v>30534</v>
      </c>
      <c r="J15176" s="10" t="str">
        <f>HYPERLINK("https://www.boe.es/gazeta/dias/1834/10/15/pdfs/GMD-1834-243.pdf#page=3","Abrir facsímil")</f>
        <v>Abrir facsímil</v>
      </c>
      <c r="K15176" s="10" t="s">
        <v>24</v>
      </c>
    </row>
    <row r="15177" spans="1:11" ht="54" customHeight="1">
      <c r="A15177" s="9" t="s">
        <v>30535</v>
      </c>
      <c r="B15177" s="9" t="s">
        <v>30536</v>
      </c>
      <c r="C15177" s="9" t="s">
        <v>17</v>
      </c>
      <c r="D15177" s="9" t="s">
        <v>18</v>
      </c>
      <c r="E15177" s="10" t="s">
        <v>237</v>
      </c>
      <c r="F15177" s="9" t="s">
        <v>4609</v>
      </c>
      <c r="G15177" s="10" t="s">
        <v>75</v>
      </c>
      <c r="H15177" s="9" t="s">
        <v>22</v>
      </c>
      <c r="I15177" s="9" t="s">
        <v>30537</v>
      </c>
      <c r="J15177" s="10" t="str">
        <f>HYPERLINK("https://www.boe.es/gazeta/dias/1834/08/15/pdfs/GMD-1834-180.pdf#page=4","Abrir facsímil")</f>
        <v>Abrir facsímil</v>
      </c>
      <c r="K15177" s="10" t="s">
        <v>24</v>
      </c>
    </row>
    <row r="15178" spans="1:11" ht="54" customHeight="1">
      <c r="A15178" s="9" t="s">
        <v>30538</v>
      </c>
      <c r="B15178" s="9" t="s">
        <v>30538</v>
      </c>
      <c r="C15178" s="9" t="s">
        <v>66</v>
      </c>
      <c r="D15178" s="9" t="s">
        <v>67</v>
      </c>
      <c r="E15178" s="10" t="s">
        <v>330</v>
      </c>
      <c r="F15178" s="9" t="s">
        <v>331</v>
      </c>
      <c r="G15178" s="10" t="s">
        <v>21</v>
      </c>
      <c r="H15178" s="9" t="s">
        <v>22</v>
      </c>
      <c r="I15178" s="9" t="s">
        <v>30539</v>
      </c>
      <c r="J15178" s="10" t="str">
        <f>HYPERLINK("https://www.boe.es/gazeta/dias/1834/12/03/pdfs/GMD-1834-292.pdf#page=3","Abrir facsímil")</f>
        <v>Abrir facsímil</v>
      </c>
      <c r="K15178" s="10" t="s">
        <v>24</v>
      </c>
    </row>
    <row r="15179" spans="1:11" ht="54" customHeight="1">
      <c r="A15179" s="9" t="s">
        <v>30540</v>
      </c>
      <c r="B15179" s="9" t="s">
        <v>30541</v>
      </c>
      <c r="C15179" s="9" t="s">
        <v>17</v>
      </c>
      <c r="D15179" s="9" t="s">
        <v>18</v>
      </c>
      <c r="E15179" s="10" t="s">
        <v>158</v>
      </c>
      <c r="F15179" s="9" t="s">
        <v>159</v>
      </c>
      <c r="G15179" s="10" t="s">
        <v>75</v>
      </c>
      <c r="H15179" s="9" t="s">
        <v>22</v>
      </c>
      <c r="I15179" s="9" t="s">
        <v>30542</v>
      </c>
      <c r="J15179" s="10" t="str">
        <f>HYPERLINK("https://www.boe.es/gazeta/dias/1834/10/01/pdfs/GMD-1834-229.pdf#page=4","Abrir facsímil")</f>
        <v>Abrir facsímil</v>
      </c>
      <c r="K15179" s="10" t="s">
        <v>24</v>
      </c>
    </row>
    <row r="15180" spans="1:11" ht="54" customHeight="1">
      <c r="A15180" s="9" t="s">
        <v>30543</v>
      </c>
      <c r="B15180" s="9" t="s">
        <v>30543</v>
      </c>
      <c r="C15180" s="9" t="s">
        <v>122</v>
      </c>
      <c r="D15180" s="9" t="s">
        <v>40</v>
      </c>
      <c r="E15180" s="10" t="s">
        <v>2748</v>
      </c>
      <c r="F15180" s="9" t="s">
        <v>2749</v>
      </c>
      <c r="G15180" s="10" t="s">
        <v>75</v>
      </c>
      <c r="H15180" s="9" t="s">
        <v>22</v>
      </c>
      <c r="I15180" s="9" t="s">
        <v>30544</v>
      </c>
      <c r="J15180" s="10" t="str">
        <f>HYPERLINK("https://www.boe.es/gazeta/dias/1834/01/09/pdfs/GMD-1834-5.pdf#page=4","Abrir facsímil")</f>
        <v>Abrir facsímil</v>
      </c>
      <c r="K15180" s="10" t="s">
        <v>24</v>
      </c>
    </row>
    <row r="15181" spans="1:11" ht="54" customHeight="1">
      <c r="A15181" s="9" t="s">
        <v>30543</v>
      </c>
      <c r="B15181" s="9" t="s">
        <v>30543</v>
      </c>
      <c r="C15181" s="9" t="s">
        <v>17</v>
      </c>
      <c r="D15181" s="9" t="s">
        <v>18</v>
      </c>
      <c r="E15181" s="10" t="s">
        <v>1318</v>
      </c>
      <c r="F15181" s="9" t="s">
        <v>1319</v>
      </c>
      <c r="G15181" s="10" t="s">
        <v>21</v>
      </c>
      <c r="H15181" s="9" t="s">
        <v>22</v>
      </c>
      <c r="I15181" s="9" t="s">
        <v>30545</v>
      </c>
      <c r="J15181" s="10" t="str">
        <f>HYPERLINK("https://www.boe.es/gazeta/dias/1834/05/10/pdfs/GMD-1834-79.pdf#page=3","Abrir facsímil")</f>
        <v>Abrir facsímil</v>
      </c>
      <c r="K15181" s="10" t="s">
        <v>24</v>
      </c>
    </row>
    <row r="15182" spans="1:11" ht="54" customHeight="1">
      <c r="A15182" s="9" t="s">
        <v>30543</v>
      </c>
      <c r="B15182" s="9" t="s">
        <v>30543</v>
      </c>
      <c r="C15182" s="9" t="s">
        <v>17</v>
      </c>
      <c r="D15182" s="9" t="s">
        <v>18</v>
      </c>
      <c r="E15182" s="10" t="s">
        <v>222</v>
      </c>
      <c r="F15182" s="9" t="s">
        <v>4015</v>
      </c>
      <c r="G15182" s="10" t="s">
        <v>34</v>
      </c>
      <c r="H15182" s="9" t="s">
        <v>22</v>
      </c>
      <c r="I15182" s="9" t="s">
        <v>30546</v>
      </c>
      <c r="J15182" s="10" t="str">
        <f>HYPERLINK("https://www.boe.es/gazeta/dias/1834/09/14/pdfs/GMD-C-1834-212.pdf#page=1","Abrir facsímil")</f>
        <v>Abrir facsímil</v>
      </c>
      <c r="K15182" s="10" t="s">
        <v>24</v>
      </c>
    </row>
    <row r="15183" spans="1:11" ht="54" customHeight="1">
      <c r="A15183" s="9" t="s">
        <v>30543</v>
      </c>
      <c r="B15183" s="9" t="s">
        <v>30543</v>
      </c>
      <c r="C15183" s="9" t="s">
        <v>17</v>
      </c>
      <c r="D15183" s="9" t="s">
        <v>18</v>
      </c>
      <c r="E15183" s="10" t="s">
        <v>2945</v>
      </c>
      <c r="F15183" s="9" t="s">
        <v>2946</v>
      </c>
      <c r="G15183" s="10" t="s">
        <v>75</v>
      </c>
      <c r="H15183" s="9" t="s">
        <v>22</v>
      </c>
      <c r="I15183" s="9" t="s">
        <v>30547</v>
      </c>
      <c r="J15183" s="10" t="str">
        <f>HYPERLINK("https://www.boe.es/gazeta/dias/1834/05/29/pdfs/GMD-1834-98.pdf#page=4","Abrir facsímil")</f>
        <v>Abrir facsímil</v>
      </c>
      <c r="K15183" s="10" t="s">
        <v>24</v>
      </c>
    </row>
    <row r="15184" spans="1:11" ht="54" customHeight="1">
      <c r="A15184" s="9" t="s">
        <v>30548</v>
      </c>
      <c r="B15184" s="9" t="s">
        <v>30549</v>
      </c>
      <c r="C15184" s="9" t="s">
        <v>17</v>
      </c>
      <c r="D15184" s="9" t="s">
        <v>18</v>
      </c>
      <c r="E15184" s="10" t="s">
        <v>222</v>
      </c>
      <c r="F15184" s="9" t="s">
        <v>4015</v>
      </c>
      <c r="G15184" s="10" t="s">
        <v>34</v>
      </c>
      <c r="H15184" s="9" t="s">
        <v>35</v>
      </c>
      <c r="I15184" s="9" t="s">
        <v>30550</v>
      </c>
      <c r="J15184" s="10" t="str">
        <f>HYPERLINK("https://www.boe.es/gazeta/dias/1834/09/14/pdfs/GMD-C-1834-212.pdf#page=1","Abrir facsímil")</f>
        <v>Abrir facsímil</v>
      </c>
      <c r="K15184" s="10" t="s">
        <v>37</v>
      </c>
    </row>
    <row r="15185" spans="1:11" ht="54" customHeight="1">
      <c r="A15185" s="9" t="s">
        <v>30548</v>
      </c>
      <c r="B15185" s="9" t="s">
        <v>30549</v>
      </c>
      <c r="C15185" s="9" t="s">
        <v>17</v>
      </c>
      <c r="D15185" s="9" t="s">
        <v>18</v>
      </c>
      <c r="E15185" s="10" t="s">
        <v>2945</v>
      </c>
      <c r="F15185" s="9" t="s">
        <v>2946</v>
      </c>
      <c r="G15185" s="10" t="s">
        <v>75</v>
      </c>
      <c r="H15185" s="9" t="s">
        <v>35</v>
      </c>
      <c r="I15185" s="9" t="s">
        <v>30551</v>
      </c>
      <c r="J15185" s="10" t="str">
        <f>HYPERLINK("https://www.boe.es/gazeta/dias/1834/05/29/pdfs/GMD-1834-98.pdf#page=4","Abrir facsímil")</f>
        <v>Abrir facsímil</v>
      </c>
      <c r="K15185" s="10" t="s">
        <v>37</v>
      </c>
    </row>
    <row r="15186" spans="1:11" ht="54" customHeight="1">
      <c r="A15186" s="9" t="s">
        <v>30552</v>
      </c>
      <c r="B15186" s="9" t="s">
        <v>30552</v>
      </c>
      <c r="C15186" s="9" t="s">
        <v>17</v>
      </c>
      <c r="D15186" s="9" t="s">
        <v>18</v>
      </c>
      <c r="E15186" s="10" t="s">
        <v>860</v>
      </c>
      <c r="F15186" s="9" t="s">
        <v>861</v>
      </c>
      <c r="G15186" s="10" t="s">
        <v>28</v>
      </c>
      <c r="H15186" s="9" t="s">
        <v>22</v>
      </c>
      <c r="I15186" s="9" t="s">
        <v>30553</v>
      </c>
      <c r="J15186" s="10" t="str">
        <f>HYPERLINK("https://www.boe.es/gazeta/dias/1834/02/08/pdfs/GMD-1834-18.pdf#page=5","Abrir facsímil")</f>
        <v>Abrir facsímil</v>
      </c>
      <c r="K15186" s="10" t="s">
        <v>24</v>
      </c>
    </row>
    <row r="15187" spans="1:11" ht="54" customHeight="1">
      <c r="A15187" s="9" t="s">
        <v>30554</v>
      </c>
      <c r="B15187" s="9" t="s">
        <v>30555</v>
      </c>
      <c r="C15187" s="9" t="s">
        <v>17</v>
      </c>
      <c r="D15187" s="9" t="s">
        <v>18</v>
      </c>
      <c r="E15187" s="10" t="s">
        <v>1505</v>
      </c>
      <c r="F15187" s="9" t="s">
        <v>1506</v>
      </c>
      <c r="G15187" s="10" t="s">
        <v>21</v>
      </c>
      <c r="H15187" s="9" t="s">
        <v>22</v>
      </c>
      <c r="I15187" s="9" t="s">
        <v>30556</v>
      </c>
      <c r="J15187" s="10" t="str">
        <f>HYPERLINK("https://www.boe.es/gazeta/dias/1834/05/08/pdfs/GMD-1834-77.pdf#page=3","Abrir facsímil")</f>
        <v>Abrir facsímil</v>
      </c>
      <c r="K15187" s="10" t="s">
        <v>24</v>
      </c>
    </row>
    <row r="15188" spans="1:11" ht="54" customHeight="1">
      <c r="A15188" s="9" t="s">
        <v>30557</v>
      </c>
      <c r="B15188" s="9" t="s">
        <v>30557</v>
      </c>
      <c r="C15188" s="9" t="s">
        <v>17</v>
      </c>
      <c r="D15188" s="9" t="s">
        <v>18</v>
      </c>
      <c r="E15188" s="10" t="s">
        <v>535</v>
      </c>
      <c r="F15188" s="9" t="s">
        <v>536</v>
      </c>
      <c r="G15188" s="10" t="s">
        <v>75</v>
      </c>
      <c r="H15188" s="9" t="s">
        <v>22</v>
      </c>
      <c r="I15188" s="9" t="s">
        <v>30558</v>
      </c>
      <c r="J15188" s="10" t="str">
        <f>HYPERLINK("https://www.boe.es/gazeta/dias/1834/05/21/pdfs/GMD-1834-90.pdf#page=4","Abrir facsímil")</f>
        <v>Abrir facsímil</v>
      </c>
      <c r="K15188" s="10" t="s">
        <v>24</v>
      </c>
    </row>
    <row r="15189" spans="1:11" ht="54" customHeight="1">
      <c r="A15189" s="9" t="s">
        <v>30559</v>
      </c>
      <c r="B15189" s="9" t="s">
        <v>30559</v>
      </c>
      <c r="C15189" s="9" t="s">
        <v>17</v>
      </c>
      <c r="D15189" s="9" t="s">
        <v>18</v>
      </c>
      <c r="E15189" s="10" t="s">
        <v>1186</v>
      </c>
      <c r="F15189" s="9" t="s">
        <v>1187</v>
      </c>
      <c r="G15189" s="10" t="s">
        <v>34</v>
      </c>
      <c r="H15189" s="9" t="s">
        <v>22</v>
      </c>
      <c r="I15189" s="9" t="s">
        <v>30560</v>
      </c>
      <c r="J15189" s="10" t="str">
        <f>HYPERLINK("https://www.boe.es/gazeta/dias/1834/08/14/pdfs/GMD-1834-179.pdf#page=1","Abrir facsímil")</f>
        <v>Abrir facsímil</v>
      </c>
      <c r="K15189" s="10" t="s">
        <v>24</v>
      </c>
    </row>
    <row r="15190" spans="1:11" ht="54" customHeight="1">
      <c r="A15190" s="9" t="s">
        <v>30561</v>
      </c>
      <c r="B15190" s="9" t="s">
        <v>30562</v>
      </c>
      <c r="C15190" s="9" t="s">
        <v>66</v>
      </c>
      <c r="D15190" s="9" t="s">
        <v>67</v>
      </c>
      <c r="E15190" s="10" t="s">
        <v>123</v>
      </c>
      <c r="F15190" s="9" t="s">
        <v>124</v>
      </c>
      <c r="G15190" s="10" t="s">
        <v>21</v>
      </c>
      <c r="H15190" s="9" t="s">
        <v>22</v>
      </c>
      <c r="I15190" s="9" t="s">
        <v>30563</v>
      </c>
      <c r="J15190" s="10" t="str">
        <f>HYPERLINK("https://www.boe.es/gazeta/dias/1834/07/11/pdfs/GMD-1834-144.pdf#page=3","Abrir facsímil")</f>
        <v>Abrir facsímil</v>
      </c>
      <c r="K15190" s="10" t="s">
        <v>24</v>
      </c>
    </row>
    <row r="15191" spans="1:11" ht="54" customHeight="1">
      <c r="A15191" s="9" t="s">
        <v>30564</v>
      </c>
      <c r="B15191" s="9" t="s">
        <v>30564</v>
      </c>
      <c r="C15191" s="9" t="s">
        <v>17</v>
      </c>
      <c r="D15191" s="9" t="s">
        <v>18</v>
      </c>
      <c r="E15191" s="10" t="s">
        <v>1340</v>
      </c>
      <c r="F15191" s="9" t="s">
        <v>1341</v>
      </c>
      <c r="G15191" s="10" t="s">
        <v>34</v>
      </c>
      <c r="H15191" s="9" t="s">
        <v>22</v>
      </c>
      <c r="I15191" s="9" t="s">
        <v>30565</v>
      </c>
      <c r="J15191" s="10" t="str">
        <f>HYPERLINK("https://www.boe.es/gazeta/dias/1834/10/05/pdfs/GMD-C-1834-233.pdf#page=1","Abrir facsímil")</f>
        <v>Abrir facsímil</v>
      </c>
      <c r="K15191" s="10" t="s">
        <v>24</v>
      </c>
    </row>
    <row r="15192" spans="1:11" ht="54" customHeight="1">
      <c r="A15192" s="9" t="s">
        <v>30564</v>
      </c>
      <c r="B15192" s="9" t="s">
        <v>30564</v>
      </c>
      <c r="C15192" s="9" t="s">
        <v>90</v>
      </c>
      <c r="D15192" s="9" t="s">
        <v>18</v>
      </c>
      <c r="E15192" s="10" t="s">
        <v>1340</v>
      </c>
      <c r="F15192" s="9" t="s">
        <v>1341</v>
      </c>
      <c r="G15192" s="10" t="s">
        <v>86</v>
      </c>
      <c r="H15192" s="9" t="s">
        <v>22</v>
      </c>
      <c r="I15192" s="9" t="s">
        <v>30566</v>
      </c>
      <c r="J15192" s="10" t="str">
        <f>HYPERLINK("https://www.boe.es/gazeta/dias/1834/10/05/pdfs/GMD-C-1834-233.pdf#page=2","Abrir facsímil")</f>
        <v>Abrir facsímil</v>
      </c>
      <c r="K15192" s="10" t="s">
        <v>24</v>
      </c>
    </row>
    <row r="15193" spans="1:11" ht="54" customHeight="1">
      <c r="A15193" s="9" t="s">
        <v>30567</v>
      </c>
      <c r="B15193" s="9" t="s">
        <v>30568</v>
      </c>
      <c r="C15193" s="9" t="s">
        <v>66</v>
      </c>
      <c r="D15193" s="9" t="s">
        <v>67</v>
      </c>
      <c r="E15193" s="10" t="s">
        <v>3952</v>
      </c>
      <c r="F15193" s="9" t="s">
        <v>3953</v>
      </c>
      <c r="G15193" s="10" t="s">
        <v>176</v>
      </c>
      <c r="H15193" s="9" t="s">
        <v>22</v>
      </c>
      <c r="I15193" s="9" t="s">
        <v>30569</v>
      </c>
      <c r="J15193" s="10" t="str">
        <f>HYPERLINK("https://www.boe.es/gazeta/dias/1834/02/22/pdfs/GMD-1834-24.pdf#page=6","Abrir facsímil")</f>
        <v>Abrir facsímil</v>
      </c>
      <c r="K15193" s="10" t="s">
        <v>24</v>
      </c>
    </row>
    <row r="15194" spans="1:11" ht="54" customHeight="1">
      <c r="A15194" s="9" t="s">
        <v>30570</v>
      </c>
      <c r="B15194" s="9" t="s">
        <v>30571</v>
      </c>
      <c r="C15194" s="9" t="s">
        <v>66</v>
      </c>
      <c r="D15194" s="9" t="s">
        <v>67</v>
      </c>
      <c r="E15194" s="10" t="s">
        <v>448</v>
      </c>
      <c r="F15194" s="9" t="s">
        <v>2058</v>
      </c>
      <c r="G15194" s="10" t="s">
        <v>21</v>
      </c>
      <c r="H15194" s="9" t="s">
        <v>22</v>
      </c>
      <c r="I15194" s="9" t="s">
        <v>30572</v>
      </c>
      <c r="J15194" s="10" t="str">
        <f>HYPERLINK("https://www.boe.es/gazeta/dias/1834/10/14/pdfs/GMD-1834-242.pdf#page=3","Abrir facsímil")</f>
        <v>Abrir facsímil</v>
      </c>
      <c r="K15194" s="10" t="s">
        <v>24</v>
      </c>
    </row>
    <row r="15195" spans="1:11" ht="54" customHeight="1">
      <c r="A15195" s="9" t="s">
        <v>30573</v>
      </c>
      <c r="B15195" s="9" t="s">
        <v>30574</v>
      </c>
      <c r="C15195" s="9" t="s">
        <v>66</v>
      </c>
      <c r="D15195" s="9" t="s">
        <v>67</v>
      </c>
      <c r="E15195" s="10" t="s">
        <v>3066</v>
      </c>
      <c r="F15195" s="9" t="s">
        <v>3188</v>
      </c>
      <c r="G15195" s="10" t="s">
        <v>86</v>
      </c>
      <c r="H15195" s="9" t="s">
        <v>35</v>
      </c>
      <c r="I15195" s="9" t="s">
        <v>30575</v>
      </c>
      <c r="J15195" s="10" t="str">
        <f>HYPERLINK("https://www.boe.es/gazeta/dias/1834/08/03/pdfs/GMD-1834-167.pdf#page=2","Abrir facsímil")</f>
        <v>Abrir facsímil</v>
      </c>
      <c r="K15195" s="10" t="s">
        <v>37</v>
      </c>
    </row>
    <row r="15196" spans="1:11" ht="54" customHeight="1">
      <c r="A15196" s="9" t="s">
        <v>30576</v>
      </c>
      <c r="B15196" s="9" t="s">
        <v>30577</v>
      </c>
      <c r="C15196" s="9" t="s">
        <v>66</v>
      </c>
      <c r="D15196" s="9" t="s">
        <v>67</v>
      </c>
      <c r="E15196" s="10" t="s">
        <v>696</v>
      </c>
      <c r="F15196" s="9" t="s">
        <v>854</v>
      </c>
      <c r="G15196" s="10" t="s">
        <v>21</v>
      </c>
      <c r="H15196" s="9" t="s">
        <v>35</v>
      </c>
      <c r="I15196" s="9" t="s">
        <v>30578</v>
      </c>
      <c r="J15196" s="10" t="str">
        <f>HYPERLINK("https://www.boe.es/gazeta/dias/1834/12/06/pdfs/GMD-1834-295.pdf#page=3","Abrir facsímil")</f>
        <v>Abrir facsímil</v>
      </c>
      <c r="K15196" s="10" t="s">
        <v>37</v>
      </c>
    </row>
    <row r="15197" spans="1:11" ht="54" customHeight="1">
      <c r="A15197" s="9" t="s">
        <v>30579</v>
      </c>
      <c r="B15197" s="9" t="s">
        <v>30580</v>
      </c>
      <c r="C15197" s="9" t="s">
        <v>122</v>
      </c>
      <c r="D15197" s="9" t="s">
        <v>18</v>
      </c>
      <c r="E15197" s="10" t="s">
        <v>1686</v>
      </c>
      <c r="F15197" s="9" t="s">
        <v>1687</v>
      </c>
      <c r="G15197" s="10" t="s">
        <v>34</v>
      </c>
      <c r="H15197" s="9" t="s">
        <v>22</v>
      </c>
      <c r="I15197" s="9" t="s">
        <v>30581</v>
      </c>
      <c r="J15197" s="10" t="str">
        <f>HYPERLINK("https://www.boe.es/gazeta/dias/1834/07/27/pdfs/GMD-1834-160.pdf#page=1","Abrir facsímil")</f>
        <v>Abrir facsímil</v>
      </c>
      <c r="K15197" s="10" t="s">
        <v>24</v>
      </c>
    </row>
    <row r="15198" spans="1:11" ht="54" customHeight="1">
      <c r="A15198" s="9" t="s">
        <v>30582</v>
      </c>
      <c r="B15198" s="9" t="s">
        <v>30583</v>
      </c>
      <c r="C15198" s="9" t="s">
        <v>90</v>
      </c>
      <c r="D15198" s="9" t="s">
        <v>18</v>
      </c>
      <c r="E15198" s="10" t="s">
        <v>158</v>
      </c>
      <c r="F15198" s="9" t="s">
        <v>581</v>
      </c>
      <c r="G15198" s="10" t="s">
        <v>34</v>
      </c>
      <c r="H15198" s="9" t="s">
        <v>22</v>
      </c>
      <c r="I15198" s="9" t="s">
        <v>30584</v>
      </c>
      <c r="J15198" s="10" t="str">
        <f>HYPERLINK("https://www.boe.es/gazeta/dias/1834/10/01/pdfs/GMD-C-1834-229.pdf#page=1","Abrir facsímil")</f>
        <v>Abrir facsímil</v>
      </c>
      <c r="K15198" s="10" t="s">
        <v>24</v>
      </c>
    </row>
    <row r="15199" spans="1:11" ht="54" customHeight="1">
      <c r="A15199" s="9" t="s">
        <v>30582</v>
      </c>
      <c r="B15199" s="9" t="s">
        <v>30583</v>
      </c>
      <c r="C15199" s="9" t="s">
        <v>17</v>
      </c>
      <c r="D15199" s="9" t="s">
        <v>18</v>
      </c>
      <c r="E15199" s="10" t="s">
        <v>623</v>
      </c>
      <c r="F15199" s="9" t="s">
        <v>624</v>
      </c>
      <c r="G15199" s="10" t="s">
        <v>34</v>
      </c>
      <c r="H15199" s="9" t="s">
        <v>22</v>
      </c>
      <c r="I15199" s="9" t="s">
        <v>30585</v>
      </c>
      <c r="J15199" s="10" t="str">
        <f>HYPERLINK("https://www.boe.es/gazeta/dias/1834/10/12/pdfs/GMD-C-1834-240.pdf#page=1","Abrir facsímil")</f>
        <v>Abrir facsímil</v>
      </c>
      <c r="K15199" s="10" t="s">
        <v>24</v>
      </c>
    </row>
    <row r="15200" spans="1:11" ht="54" customHeight="1">
      <c r="A15200" s="9" t="s">
        <v>30586</v>
      </c>
      <c r="B15200" s="9" t="s">
        <v>30587</v>
      </c>
      <c r="C15200" s="9" t="s">
        <v>66</v>
      </c>
      <c r="D15200" s="9" t="s">
        <v>67</v>
      </c>
      <c r="E15200" s="10" t="s">
        <v>3066</v>
      </c>
      <c r="F15200" s="9" t="s">
        <v>3188</v>
      </c>
      <c r="G15200" s="10" t="s">
        <v>86</v>
      </c>
      <c r="H15200" s="9" t="s">
        <v>22</v>
      </c>
      <c r="I15200" s="9" t="s">
        <v>30588</v>
      </c>
      <c r="J15200" s="10" t="str">
        <f>HYPERLINK("https://www.boe.es/gazeta/dias/1834/08/03/pdfs/GMD-1834-167.pdf#page=2","Abrir facsímil")</f>
        <v>Abrir facsímil</v>
      </c>
      <c r="K15200" s="10" t="s">
        <v>24</v>
      </c>
    </row>
    <row r="15201" spans="1:11" ht="54" customHeight="1">
      <c r="A15201" s="9" t="s">
        <v>30586</v>
      </c>
      <c r="B15201" s="9" t="s">
        <v>30587</v>
      </c>
      <c r="C15201" s="9" t="s">
        <v>66</v>
      </c>
      <c r="D15201" s="9" t="s">
        <v>67</v>
      </c>
      <c r="E15201" s="10" t="s">
        <v>734</v>
      </c>
      <c r="F15201" s="9" t="s">
        <v>735</v>
      </c>
      <c r="G15201" s="10" t="s">
        <v>21</v>
      </c>
      <c r="H15201" s="9" t="s">
        <v>22</v>
      </c>
      <c r="I15201" s="9" t="s">
        <v>30589</v>
      </c>
      <c r="J15201" s="10" t="str">
        <f>HYPERLINK("https://www.boe.es/gazeta/dias/1834/05/06/pdfs/GMD-1834-75.pdf#page=3","Abrir facsímil")</f>
        <v>Abrir facsímil</v>
      </c>
      <c r="K15201" s="10" t="s">
        <v>24</v>
      </c>
    </row>
    <row r="15202" spans="1:11" ht="54" customHeight="1">
      <c r="A15202" s="9" t="s">
        <v>30590</v>
      </c>
      <c r="B15202" s="9" t="s">
        <v>30591</v>
      </c>
      <c r="C15202" s="9" t="s">
        <v>66</v>
      </c>
      <c r="D15202" s="9" t="s">
        <v>67</v>
      </c>
      <c r="E15202" s="10" t="s">
        <v>696</v>
      </c>
      <c r="F15202" s="9" t="s">
        <v>854</v>
      </c>
      <c r="G15202" s="10" t="s">
        <v>21</v>
      </c>
      <c r="H15202" s="9" t="s">
        <v>22</v>
      </c>
      <c r="I15202" s="9" t="s">
        <v>30592</v>
      </c>
      <c r="J15202" s="10" t="str">
        <f>HYPERLINK("https://www.boe.es/gazeta/dias/1834/12/06/pdfs/GMD-1834-295.pdf#page=3","Abrir facsímil")</f>
        <v>Abrir facsímil</v>
      </c>
      <c r="K15202" s="10" t="s">
        <v>24</v>
      </c>
    </row>
    <row r="15203" spans="1:11" ht="54" customHeight="1">
      <c r="A15203" s="9" t="s">
        <v>30593</v>
      </c>
      <c r="B15203" s="9" t="s">
        <v>30594</v>
      </c>
      <c r="C15203" s="9" t="s">
        <v>17</v>
      </c>
      <c r="D15203" s="9" t="s">
        <v>18</v>
      </c>
      <c r="E15203" s="10" t="s">
        <v>715</v>
      </c>
      <c r="F15203" s="9" t="s">
        <v>7773</v>
      </c>
      <c r="G15203" s="10" t="s">
        <v>75</v>
      </c>
      <c r="H15203" s="9" t="s">
        <v>35</v>
      </c>
      <c r="I15203" s="9" t="s">
        <v>30595</v>
      </c>
      <c r="J15203" s="10" t="str">
        <f>HYPERLINK("https://www.boe.es/gazeta/dias/1834/09/17/pdfs/GMD-1834-215.pdf#page=4","Abrir facsímil")</f>
        <v>Abrir facsímil</v>
      </c>
      <c r="K15203" s="10" t="s">
        <v>37</v>
      </c>
    </row>
    <row r="15204" spans="1:11" ht="54" customHeight="1">
      <c r="A15204" s="9" t="s">
        <v>30596</v>
      </c>
      <c r="B15204" s="9" t="s">
        <v>30596</v>
      </c>
      <c r="C15204" s="9" t="s">
        <v>17</v>
      </c>
      <c r="D15204" s="9" t="s">
        <v>18</v>
      </c>
      <c r="E15204" s="10" t="s">
        <v>1340</v>
      </c>
      <c r="F15204" s="9" t="s">
        <v>1341</v>
      </c>
      <c r="G15204" s="10" t="s">
        <v>34</v>
      </c>
      <c r="H15204" s="9" t="s">
        <v>22</v>
      </c>
      <c r="I15204" s="9" t="s">
        <v>30597</v>
      </c>
      <c r="J15204" s="10" t="str">
        <f>HYPERLINK("https://www.boe.es/gazeta/dias/1834/10/05/pdfs/GMD-C-1834-233.pdf#page=1","Abrir facsímil")</f>
        <v>Abrir facsímil</v>
      </c>
      <c r="K15204" s="10" t="s">
        <v>24</v>
      </c>
    </row>
    <row r="15205" spans="1:11" ht="54" customHeight="1">
      <c r="A15205" s="9" t="s">
        <v>30596</v>
      </c>
      <c r="B15205" s="9" t="s">
        <v>30596</v>
      </c>
      <c r="C15205" s="9" t="s">
        <v>17</v>
      </c>
      <c r="D15205" s="9" t="s">
        <v>18</v>
      </c>
      <c r="E15205" s="10" t="s">
        <v>1340</v>
      </c>
      <c r="F15205" s="9" t="s">
        <v>1341</v>
      </c>
      <c r="G15205" s="10" t="s">
        <v>86</v>
      </c>
      <c r="H15205" s="9" t="s">
        <v>22</v>
      </c>
      <c r="I15205" s="9" t="s">
        <v>30598</v>
      </c>
      <c r="J15205" s="10" t="str">
        <f>HYPERLINK("https://www.boe.es/gazeta/dias/1834/10/05/pdfs/GMD-C-1834-233.pdf#page=2","Abrir facsímil")</f>
        <v>Abrir facsímil</v>
      </c>
      <c r="K15205" s="10" t="s">
        <v>24</v>
      </c>
    </row>
    <row r="15206" spans="1:11" ht="54" customHeight="1">
      <c r="A15206" s="9" t="s">
        <v>30596</v>
      </c>
      <c r="B15206" s="9" t="s">
        <v>30596</v>
      </c>
      <c r="C15206" s="9" t="s">
        <v>17</v>
      </c>
      <c r="D15206" s="9" t="s">
        <v>18</v>
      </c>
      <c r="E15206" s="10" t="s">
        <v>672</v>
      </c>
      <c r="F15206" s="9" t="s">
        <v>1055</v>
      </c>
      <c r="G15206" s="10" t="s">
        <v>21</v>
      </c>
      <c r="H15206" s="9" t="s">
        <v>22</v>
      </c>
      <c r="I15206" s="9" t="s">
        <v>30599</v>
      </c>
      <c r="J15206" s="10" t="str">
        <f>HYPERLINK("https://www.boe.es/gazeta/dias/1834/09/19/pdfs/GMD-C-1834-217.pdf#page=3","Abrir facsímil")</f>
        <v>Abrir facsímil</v>
      </c>
      <c r="K15206" s="10" t="s">
        <v>24</v>
      </c>
    </row>
    <row r="15207" spans="1:11" ht="54" customHeight="1">
      <c r="A15207" s="9" t="s">
        <v>30596</v>
      </c>
      <c r="B15207" s="9" t="s">
        <v>30596</v>
      </c>
      <c r="C15207" s="9" t="s">
        <v>66</v>
      </c>
      <c r="D15207" s="9" t="s">
        <v>67</v>
      </c>
      <c r="E15207" s="10" t="s">
        <v>280</v>
      </c>
      <c r="F15207" s="9" t="s">
        <v>281</v>
      </c>
      <c r="G15207" s="10" t="s">
        <v>28</v>
      </c>
      <c r="H15207" s="9" t="s">
        <v>22</v>
      </c>
      <c r="I15207" s="9" t="s">
        <v>30600</v>
      </c>
      <c r="J15207" s="10" t="str">
        <f>HYPERLINK("https://www.boe.es/gazeta/dias/1834/08/29/pdfs/GMD-C-1834-195.pdf#page=5","Abrir facsímil")</f>
        <v>Abrir facsímil</v>
      </c>
      <c r="K15207" s="10" t="s">
        <v>24</v>
      </c>
    </row>
    <row r="15208" spans="1:11" ht="54" customHeight="1">
      <c r="A15208" s="9" t="s">
        <v>30596</v>
      </c>
      <c r="B15208" s="9" t="s">
        <v>30596</v>
      </c>
      <c r="C15208" s="9" t="s">
        <v>17</v>
      </c>
      <c r="D15208" s="9" t="s">
        <v>18</v>
      </c>
      <c r="E15208" s="10" t="s">
        <v>273</v>
      </c>
      <c r="F15208" s="9" t="s">
        <v>274</v>
      </c>
      <c r="G15208" s="10" t="s">
        <v>75</v>
      </c>
      <c r="H15208" s="9" t="s">
        <v>22</v>
      </c>
      <c r="I15208" s="9" t="s">
        <v>30601</v>
      </c>
      <c r="J15208" s="10" t="str">
        <f>HYPERLINK("https://www.boe.es/gazeta/dias/1834/08/31/pdfs/GMD-D-1834-198.pdf#page=4","Abrir facsímil")</f>
        <v>Abrir facsímil</v>
      </c>
      <c r="K15208" s="10" t="s">
        <v>24</v>
      </c>
    </row>
    <row r="15209" spans="1:11" ht="54" customHeight="1">
      <c r="A15209" s="9" t="s">
        <v>30602</v>
      </c>
      <c r="B15209" s="9" t="s">
        <v>30603</v>
      </c>
      <c r="C15209" s="9" t="s">
        <v>66</v>
      </c>
      <c r="D15209" s="9" t="s">
        <v>67</v>
      </c>
      <c r="E15209" s="10" t="s">
        <v>280</v>
      </c>
      <c r="F15209" s="9" t="s">
        <v>281</v>
      </c>
      <c r="G15209" s="10" t="s">
        <v>28</v>
      </c>
      <c r="H15209" s="9" t="s">
        <v>35</v>
      </c>
      <c r="I15209" s="9" t="s">
        <v>30604</v>
      </c>
      <c r="J15209" s="10" t="str">
        <f>HYPERLINK("https://www.boe.es/gazeta/dias/1834/08/29/pdfs/GMD-C-1834-195.pdf#page=5","Abrir facsímil")</f>
        <v>Abrir facsímil</v>
      </c>
      <c r="K15209" s="10" t="s">
        <v>37</v>
      </c>
    </row>
    <row r="15210" spans="1:11" ht="54" customHeight="1">
      <c r="A15210" s="9" t="s">
        <v>30605</v>
      </c>
      <c r="B15210" s="9" t="s">
        <v>30606</v>
      </c>
      <c r="C15210" s="9" t="s">
        <v>46</v>
      </c>
      <c r="D15210" s="9" t="s">
        <v>101</v>
      </c>
      <c r="E15210" s="10" t="s">
        <v>462</v>
      </c>
      <c r="F15210" s="9" t="s">
        <v>463</v>
      </c>
      <c r="G15210" s="10" t="s">
        <v>21</v>
      </c>
      <c r="H15210" s="9" t="s">
        <v>35</v>
      </c>
      <c r="I15210" s="9" t="s">
        <v>30607</v>
      </c>
      <c r="J15210" s="10" t="str">
        <f>HYPERLINK("https://www.boe.es/gazeta/dias/1834/08/27/pdfs/GMD-C-1834-193.pdf#page=3","Abrir facsímil")</f>
        <v>Abrir facsímil</v>
      </c>
      <c r="K15210" s="10" t="s">
        <v>37</v>
      </c>
    </row>
    <row r="15211" spans="1:11" ht="54" customHeight="1">
      <c r="A15211" s="9" t="s">
        <v>30608</v>
      </c>
      <c r="B15211" s="9" t="s">
        <v>30609</v>
      </c>
      <c r="C15211" s="9" t="s">
        <v>66</v>
      </c>
      <c r="D15211" s="9" t="s">
        <v>67</v>
      </c>
      <c r="E15211" s="10" t="s">
        <v>133</v>
      </c>
      <c r="F15211" s="9" t="s">
        <v>134</v>
      </c>
      <c r="G15211" s="10" t="s">
        <v>34</v>
      </c>
      <c r="H15211" s="9" t="s">
        <v>22</v>
      </c>
      <c r="I15211" s="9" t="s">
        <v>30610</v>
      </c>
      <c r="J15211" s="10" t="str">
        <f>HYPERLINK("https://www.boe.es/gazeta/dias/1834/06/18/pdfs/GMD-1834-121.pdf#page=1","Abrir facsímil")</f>
        <v>Abrir facsímil</v>
      </c>
      <c r="K15211" s="10" t="s">
        <v>24</v>
      </c>
    </row>
    <row r="15212" spans="1:11" ht="54" customHeight="1">
      <c r="A15212" s="9" t="s">
        <v>30611</v>
      </c>
      <c r="B15212" s="9" t="s">
        <v>30611</v>
      </c>
      <c r="C15212" s="9" t="s">
        <v>17</v>
      </c>
      <c r="D15212" s="9" t="s">
        <v>18</v>
      </c>
      <c r="E15212" s="10" t="s">
        <v>258</v>
      </c>
      <c r="F15212" s="9" t="s">
        <v>259</v>
      </c>
      <c r="G15212" s="10" t="s">
        <v>176</v>
      </c>
      <c r="H15212" s="9" t="s">
        <v>22</v>
      </c>
      <c r="I15212" s="9" t="s">
        <v>30612</v>
      </c>
      <c r="J15212" s="10" t="str">
        <f>HYPERLINK("https://www.boe.es/gazeta/dias/1834/10/09/pdfs/GMD-C-1834-237.pdf#page=6","Abrir facsímil")</f>
        <v>Abrir facsímil</v>
      </c>
      <c r="K15212" s="10" t="s">
        <v>24</v>
      </c>
    </row>
    <row r="15213" spans="1:11" ht="54" customHeight="1">
      <c r="A15213" s="9" t="s">
        <v>30611</v>
      </c>
      <c r="B15213" s="9" t="s">
        <v>30611</v>
      </c>
      <c r="C15213" s="9" t="s">
        <v>17</v>
      </c>
      <c r="D15213" s="9" t="s">
        <v>18</v>
      </c>
      <c r="E15213" s="10" t="s">
        <v>642</v>
      </c>
      <c r="F15213" s="9" t="s">
        <v>643</v>
      </c>
      <c r="G15213" s="10" t="s">
        <v>21</v>
      </c>
      <c r="H15213" s="9" t="s">
        <v>22</v>
      </c>
      <c r="I15213" s="9" t="s">
        <v>30613</v>
      </c>
      <c r="J15213" s="10" t="str">
        <f>HYPERLINK("https://www.boe.es/gazeta/dias/1834/11/12/pdfs/GMD-C-1834-271.pdf#page=3","Abrir facsímil")</f>
        <v>Abrir facsímil</v>
      </c>
      <c r="K15213" s="10" t="s">
        <v>24</v>
      </c>
    </row>
    <row r="15214" spans="1:11" ht="54" customHeight="1">
      <c r="A15214" s="9" t="s">
        <v>30611</v>
      </c>
      <c r="B15214" s="9" t="s">
        <v>30611</v>
      </c>
      <c r="C15214" s="9" t="s">
        <v>90</v>
      </c>
      <c r="D15214" s="9" t="s">
        <v>18</v>
      </c>
      <c r="E15214" s="10" t="s">
        <v>299</v>
      </c>
      <c r="F15214" s="9" t="s">
        <v>300</v>
      </c>
      <c r="G15214" s="10" t="s">
        <v>21</v>
      </c>
      <c r="H15214" s="9" t="s">
        <v>22</v>
      </c>
      <c r="I15214" s="9" t="s">
        <v>30614</v>
      </c>
      <c r="J15214" s="10" t="str">
        <f>HYPERLINK("https://www.boe.es/gazeta/dias/1834/12/12/pdfs/GMD-1834-301.pdf#page=3","Abrir facsímil")</f>
        <v>Abrir facsímil</v>
      </c>
      <c r="K15214" s="10" t="s">
        <v>24</v>
      </c>
    </row>
    <row r="15215" spans="1:11" ht="54" customHeight="1">
      <c r="A15215" s="9" t="s">
        <v>30611</v>
      </c>
      <c r="B15215" s="9" t="s">
        <v>30611</v>
      </c>
      <c r="C15215" s="9" t="s">
        <v>122</v>
      </c>
      <c r="D15215" s="9" t="s">
        <v>18</v>
      </c>
      <c r="E15215" s="10" t="s">
        <v>1186</v>
      </c>
      <c r="F15215" s="9" t="s">
        <v>1187</v>
      </c>
      <c r="G15215" s="10" t="s">
        <v>75</v>
      </c>
      <c r="H15215" s="9" t="s">
        <v>22</v>
      </c>
      <c r="I15215" s="9" t="s">
        <v>30615</v>
      </c>
      <c r="J15215" s="10" t="str">
        <f>HYPERLINK("https://www.boe.es/gazeta/dias/1834/08/14/pdfs/GMD-1834-179.pdf#page=4","Abrir facsímil")</f>
        <v>Abrir facsímil</v>
      </c>
      <c r="K15215" s="10" t="s">
        <v>24</v>
      </c>
    </row>
    <row r="15216" spans="1:11" ht="54" customHeight="1">
      <c r="A15216" s="9" t="s">
        <v>30611</v>
      </c>
      <c r="B15216" s="9" t="s">
        <v>30611</v>
      </c>
      <c r="C15216" s="9" t="s">
        <v>46</v>
      </c>
      <c r="D15216" s="9" t="s">
        <v>18</v>
      </c>
      <c r="E15216" s="10" t="s">
        <v>1424</v>
      </c>
      <c r="F15216" s="9" t="s">
        <v>3445</v>
      </c>
      <c r="G15216" s="10" t="s">
        <v>75</v>
      </c>
      <c r="H15216" s="9" t="s">
        <v>22</v>
      </c>
      <c r="I15216" s="9" t="s">
        <v>30616</v>
      </c>
      <c r="J15216" s="10" t="str">
        <f>HYPERLINK("https://www.boe.es/gazeta/dias/1834/11/14/pdfs/GMD-1834-273.pdf#page=4","Abrir facsímil")</f>
        <v>Abrir facsímil</v>
      </c>
      <c r="K15216" s="10" t="s">
        <v>24</v>
      </c>
    </row>
    <row r="15217" spans="1:11" ht="54" customHeight="1">
      <c r="A15217" s="9" t="s">
        <v>30611</v>
      </c>
      <c r="B15217" s="9" t="s">
        <v>30611</v>
      </c>
      <c r="C15217" s="9" t="s">
        <v>66</v>
      </c>
      <c r="D15217" s="9" t="s">
        <v>101</v>
      </c>
      <c r="E15217" s="10" t="s">
        <v>518</v>
      </c>
      <c r="F15217" s="9" t="s">
        <v>519</v>
      </c>
      <c r="G15217" s="10" t="s">
        <v>75</v>
      </c>
      <c r="H15217" s="9" t="s">
        <v>22</v>
      </c>
      <c r="I15217" s="9" t="s">
        <v>30617</v>
      </c>
      <c r="J15217" s="10" t="str">
        <f>HYPERLINK("https://www.boe.es/gazeta/dias/1834/03/15/pdfs/GMD-1834-33.pdf#page=4","Abrir facsímil")</f>
        <v>Abrir facsímil</v>
      </c>
      <c r="K15217" s="10" t="s">
        <v>24</v>
      </c>
    </row>
    <row r="15218" spans="1:11" ht="54" customHeight="1">
      <c r="A15218" s="9" t="s">
        <v>30611</v>
      </c>
      <c r="B15218" s="9" t="s">
        <v>30611</v>
      </c>
      <c r="C15218" s="9" t="s">
        <v>90</v>
      </c>
      <c r="D15218" s="9" t="s">
        <v>18</v>
      </c>
      <c r="E15218" s="10" t="s">
        <v>454</v>
      </c>
      <c r="F15218" s="9" t="s">
        <v>455</v>
      </c>
      <c r="G15218" s="10" t="s">
        <v>75</v>
      </c>
      <c r="H15218" s="9" t="s">
        <v>22</v>
      </c>
      <c r="I15218" s="9" t="s">
        <v>30618</v>
      </c>
      <c r="J15218" s="10" t="str">
        <f>HYPERLINK("https://www.boe.es/gazeta/dias/1834/10/16/pdfs/GMD-C-1834-244.pdf#page=4","Abrir facsímil")</f>
        <v>Abrir facsímil</v>
      </c>
      <c r="K15218" s="10" t="s">
        <v>24</v>
      </c>
    </row>
    <row r="15219" spans="1:11" ht="54" customHeight="1">
      <c r="A15219" s="9" t="s">
        <v>30611</v>
      </c>
      <c r="B15219" s="9" t="s">
        <v>30611</v>
      </c>
      <c r="C15219" s="9" t="s">
        <v>17</v>
      </c>
      <c r="D15219" s="9" t="s">
        <v>18</v>
      </c>
      <c r="E15219" s="10" t="s">
        <v>2278</v>
      </c>
      <c r="F15219" s="9" t="s">
        <v>2279</v>
      </c>
      <c r="G15219" s="10" t="s">
        <v>75</v>
      </c>
      <c r="H15219" s="9" t="s">
        <v>22</v>
      </c>
      <c r="I15219" s="9" t="s">
        <v>30619</v>
      </c>
      <c r="J15219" s="10" t="str">
        <f>HYPERLINK("https://www.boe.es/gazeta/dias/1834/12/17/pdfs/GMD-C-1834-306.pdf#page=4","Abrir facsímil")</f>
        <v>Abrir facsímil</v>
      </c>
      <c r="K15219" s="10" t="s">
        <v>24</v>
      </c>
    </row>
    <row r="15220" spans="1:11" ht="54" customHeight="1">
      <c r="A15220" s="9" t="s">
        <v>30611</v>
      </c>
      <c r="B15220" s="9" t="s">
        <v>30611</v>
      </c>
      <c r="C15220" s="9" t="s">
        <v>17</v>
      </c>
      <c r="D15220" s="9" t="s">
        <v>18</v>
      </c>
      <c r="E15220" s="10" t="s">
        <v>268</v>
      </c>
      <c r="F15220" s="9" t="s">
        <v>269</v>
      </c>
      <c r="G15220" s="10" t="s">
        <v>21</v>
      </c>
      <c r="H15220" s="9" t="s">
        <v>22</v>
      </c>
      <c r="I15220" s="9" t="s">
        <v>30620</v>
      </c>
      <c r="J15220" s="10" t="str">
        <f>HYPERLINK("https://www.boe.es/gazeta/dias/1834/12/19/pdfs/GMD-C-1834-309.pdf#page=3","Abrir facsímil")</f>
        <v>Abrir facsímil</v>
      </c>
      <c r="K15220" s="10" t="s">
        <v>24</v>
      </c>
    </row>
    <row r="15221" spans="1:11" ht="54" customHeight="1">
      <c r="A15221" s="9" t="s">
        <v>30611</v>
      </c>
      <c r="B15221" s="9" t="s">
        <v>30611</v>
      </c>
      <c r="C15221" s="9" t="s">
        <v>66</v>
      </c>
      <c r="D15221" s="9" t="s">
        <v>18</v>
      </c>
      <c r="E15221" s="10" t="s">
        <v>2950</v>
      </c>
      <c r="F15221" s="9" t="s">
        <v>2951</v>
      </c>
      <c r="G15221" s="10" t="s">
        <v>21</v>
      </c>
      <c r="H15221" s="9" t="s">
        <v>22</v>
      </c>
      <c r="I15221" s="9" t="s">
        <v>30621</v>
      </c>
      <c r="J15221" s="10" t="str">
        <f>HYPERLINK("https://www.boe.es/gazeta/dias/1834/05/20/pdfs/GMD-1834-89.pdf#page=3","Abrir facsímil")</f>
        <v>Abrir facsímil</v>
      </c>
      <c r="K15221" s="10" t="s">
        <v>24</v>
      </c>
    </row>
    <row r="15222" spans="1:11" ht="54" customHeight="1">
      <c r="A15222" s="9" t="s">
        <v>30611</v>
      </c>
      <c r="B15222" s="9" t="s">
        <v>30611</v>
      </c>
      <c r="C15222" s="9" t="s">
        <v>857</v>
      </c>
      <c r="D15222" s="9" t="s">
        <v>18</v>
      </c>
      <c r="E15222" s="10" t="s">
        <v>304</v>
      </c>
      <c r="F15222" s="9" t="s">
        <v>305</v>
      </c>
      <c r="G15222" s="10" t="s">
        <v>86</v>
      </c>
      <c r="H15222" s="9" t="s">
        <v>22</v>
      </c>
      <c r="I15222" s="9" t="s">
        <v>30622</v>
      </c>
      <c r="J15222" s="10" t="str">
        <f>HYPERLINK("https://www.boe.es/gazeta/dias/1834/01/21/pdfs/GMD-1834-10.pdf#page=2","Abrir facsímil")</f>
        <v>Abrir facsímil</v>
      </c>
      <c r="K15222" s="10" t="s">
        <v>24</v>
      </c>
    </row>
    <row r="15223" spans="1:11" ht="54" customHeight="1">
      <c r="A15223" s="9" t="s">
        <v>30611</v>
      </c>
      <c r="B15223" s="9" t="s">
        <v>30611</v>
      </c>
      <c r="C15223" s="9" t="s">
        <v>17</v>
      </c>
      <c r="D15223" s="9" t="s">
        <v>18</v>
      </c>
      <c r="E15223" s="10" t="s">
        <v>724</v>
      </c>
      <c r="F15223" s="9" t="s">
        <v>725</v>
      </c>
      <c r="G15223" s="10" t="s">
        <v>75</v>
      </c>
      <c r="H15223" s="9" t="s">
        <v>22</v>
      </c>
      <c r="I15223" s="9" t="s">
        <v>30623</v>
      </c>
      <c r="J15223" s="10" t="str">
        <f>HYPERLINK("https://www.boe.es/gazeta/dias/1834/04/25/pdfs/GMD-1834-64.pdf#page=4","Abrir facsímil")</f>
        <v>Abrir facsímil</v>
      </c>
      <c r="K15223" s="10" t="s">
        <v>24</v>
      </c>
    </row>
    <row r="15224" spans="1:11" ht="54" customHeight="1">
      <c r="A15224" s="9" t="s">
        <v>30611</v>
      </c>
      <c r="B15224" s="9" t="s">
        <v>30611</v>
      </c>
      <c r="C15224" s="9" t="s">
        <v>17</v>
      </c>
      <c r="D15224" s="9" t="s">
        <v>18</v>
      </c>
      <c r="E15224" s="10" t="s">
        <v>1135</v>
      </c>
      <c r="F15224" s="9" t="s">
        <v>1566</v>
      </c>
      <c r="G15224" s="10" t="s">
        <v>34</v>
      </c>
      <c r="H15224" s="9" t="s">
        <v>22</v>
      </c>
      <c r="I15224" s="9" t="s">
        <v>30624</v>
      </c>
      <c r="J15224" s="10" t="str">
        <f>HYPERLINK("https://www.boe.es/gazeta/dias/1834/08/26/pdfs/GMD-C-1834-192.pdf#page=1","Abrir facsímil")</f>
        <v>Abrir facsímil</v>
      </c>
      <c r="K15224" s="10" t="s">
        <v>24</v>
      </c>
    </row>
    <row r="15225" spans="1:11" ht="54" customHeight="1">
      <c r="A15225" s="9" t="s">
        <v>30611</v>
      </c>
      <c r="B15225" s="9" t="s">
        <v>30611</v>
      </c>
      <c r="C15225" s="9" t="s">
        <v>90</v>
      </c>
      <c r="D15225" s="9" t="s">
        <v>18</v>
      </c>
      <c r="E15225" s="10" t="s">
        <v>777</v>
      </c>
      <c r="F15225" s="9" t="s">
        <v>2535</v>
      </c>
      <c r="G15225" s="10" t="s">
        <v>560</v>
      </c>
      <c r="H15225" s="9" t="s">
        <v>22</v>
      </c>
      <c r="I15225" s="9" t="s">
        <v>30625</v>
      </c>
      <c r="J15225" s="10" t="str">
        <f>HYPERLINK("https://www.boe.es/gazeta/dias/1834/10/29/pdfs/GMD-C-1834-257.pdf#page=7","Abrir facsímil")</f>
        <v>Abrir facsímil</v>
      </c>
      <c r="K15225" s="10" t="s">
        <v>24</v>
      </c>
    </row>
    <row r="15226" spans="1:11" ht="54" customHeight="1">
      <c r="A15226" s="9" t="s">
        <v>30626</v>
      </c>
      <c r="B15226" s="9" t="s">
        <v>30626</v>
      </c>
      <c r="C15226" s="9" t="s">
        <v>17</v>
      </c>
      <c r="D15226" s="9" t="s">
        <v>18</v>
      </c>
      <c r="E15226" s="10" t="s">
        <v>606</v>
      </c>
      <c r="F15226" s="9" t="s">
        <v>607</v>
      </c>
      <c r="G15226" s="10" t="s">
        <v>75</v>
      </c>
      <c r="H15226" s="9" t="s">
        <v>22</v>
      </c>
      <c r="I15226" s="9" t="s">
        <v>30627</v>
      </c>
      <c r="J15226" s="10" t="str">
        <f>HYPERLINK("https://www.boe.es/gazeta/dias/1834/06/23/pdfs/GMD-1834-126.pdf#page=4","Abrir facsímil")</f>
        <v>Abrir facsímil</v>
      </c>
      <c r="K15226" s="10" t="s">
        <v>24</v>
      </c>
    </row>
    <row r="15227" spans="1:11" ht="54" customHeight="1">
      <c r="A15227" s="9" t="s">
        <v>30628</v>
      </c>
      <c r="B15227" s="9" t="s">
        <v>30629</v>
      </c>
      <c r="C15227" s="9" t="s">
        <v>17</v>
      </c>
      <c r="D15227" s="9" t="s">
        <v>18</v>
      </c>
      <c r="E15227" s="10" t="s">
        <v>1239</v>
      </c>
      <c r="F15227" s="9" t="s">
        <v>1240</v>
      </c>
      <c r="G15227" s="10" t="s">
        <v>34</v>
      </c>
      <c r="H15227" s="9" t="s">
        <v>22</v>
      </c>
      <c r="I15227" s="9" t="s">
        <v>30630</v>
      </c>
      <c r="J15227" s="10" t="str">
        <f>HYPERLINK("https://www.boe.es/gazeta/dias/1834/08/20/pdfs/GMD-1834-186.pdf#page=1","Abrir facsímil")</f>
        <v>Abrir facsímil</v>
      </c>
      <c r="K15227" s="10" t="s">
        <v>24</v>
      </c>
    </row>
    <row r="15228" spans="1:11" ht="54" customHeight="1">
      <c r="A15228" s="9" t="s">
        <v>30631</v>
      </c>
      <c r="B15228" s="9" t="s">
        <v>30632</v>
      </c>
      <c r="C15228" s="9" t="s">
        <v>66</v>
      </c>
      <c r="D15228" s="9" t="s">
        <v>18</v>
      </c>
      <c r="E15228" s="10" t="s">
        <v>1641</v>
      </c>
      <c r="F15228" s="9" t="s">
        <v>1729</v>
      </c>
      <c r="G15228" s="10" t="s">
        <v>21</v>
      </c>
      <c r="H15228" s="9" t="s">
        <v>22</v>
      </c>
      <c r="I15228" s="9" t="s">
        <v>30633</v>
      </c>
      <c r="J15228" s="10" t="str">
        <f>HYPERLINK("https://www.boe.es/gazeta/dias/1834/09/28/pdfs/GMD-1834-226.pdf#page=3","Abrir facsímil")</f>
        <v>Abrir facsímil</v>
      </c>
      <c r="K15228" s="10" t="s">
        <v>24</v>
      </c>
    </row>
    <row r="15229" spans="1:11" ht="54" customHeight="1">
      <c r="A15229" s="9" t="s">
        <v>30634</v>
      </c>
      <c r="B15229" s="9" t="s">
        <v>30635</v>
      </c>
      <c r="C15229" s="9" t="s">
        <v>17</v>
      </c>
      <c r="D15229" s="9" t="s">
        <v>18</v>
      </c>
      <c r="E15229" s="10" t="s">
        <v>3066</v>
      </c>
      <c r="F15229" s="9" t="s">
        <v>3067</v>
      </c>
      <c r="G15229" s="10" t="s">
        <v>34</v>
      </c>
      <c r="H15229" s="9" t="s">
        <v>22</v>
      </c>
      <c r="I15229" s="9" t="s">
        <v>30636</v>
      </c>
      <c r="J15229" s="10" t="str">
        <f>HYPERLINK("https://www.boe.es/gazeta/dias/1834/08/03/pdfs/GMD-C-1834-167.pdf#page=1","Abrir facsímil")</f>
        <v>Abrir facsímil</v>
      </c>
      <c r="K15229" s="10" t="s">
        <v>24</v>
      </c>
    </row>
    <row r="15230" spans="1:11" ht="54" customHeight="1">
      <c r="A15230" s="9" t="s">
        <v>30634</v>
      </c>
      <c r="B15230" s="9" t="s">
        <v>30635</v>
      </c>
      <c r="C15230" s="9" t="s">
        <v>66</v>
      </c>
      <c r="D15230" s="9" t="s">
        <v>67</v>
      </c>
      <c r="E15230" s="10" t="s">
        <v>1002</v>
      </c>
      <c r="F15230" s="9" t="s">
        <v>1003</v>
      </c>
      <c r="G15230" s="10" t="s">
        <v>86</v>
      </c>
      <c r="H15230" s="9" t="s">
        <v>22</v>
      </c>
      <c r="I15230" s="9" t="s">
        <v>30637</v>
      </c>
      <c r="J15230" s="10" t="str">
        <f>HYPERLINK("https://www.boe.es/gazeta/dias/1834/06/26/pdfs/GMD-1834-129.pdf#page=2","Abrir facsímil")</f>
        <v>Abrir facsímil</v>
      </c>
      <c r="K15230" s="10" t="s">
        <v>24</v>
      </c>
    </row>
    <row r="15231" spans="1:11" ht="54" customHeight="1">
      <c r="A15231" s="9" t="s">
        <v>30638</v>
      </c>
      <c r="B15231" s="9" t="s">
        <v>30639</v>
      </c>
      <c r="C15231" s="9" t="s">
        <v>17</v>
      </c>
      <c r="D15231" s="9" t="s">
        <v>55</v>
      </c>
      <c r="E15231" s="10" t="s">
        <v>251</v>
      </c>
      <c r="F15231" s="9" t="s">
        <v>1278</v>
      </c>
      <c r="G15231" s="10" t="s">
        <v>86</v>
      </c>
      <c r="H15231" s="9" t="s">
        <v>22</v>
      </c>
      <c r="I15231" s="9" t="s">
        <v>30640</v>
      </c>
      <c r="J15231" s="10" t="str">
        <f>HYPERLINK("https://www.boe.es/gazeta/dias/1834/09/26/pdfs/GMD-1834-224.pdf#page=2","Abrir facsímil")</f>
        <v>Abrir facsímil</v>
      </c>
      <c r="K15231" s="10" t="s">
        <v>24</v>
      </c>
    </row>
    <row r="15232" spans="1:11" ht="54" customHeight="1">
      <c r="A15232" s="9" t="s">
        <v>30641</v>
      </c>
      <c r="B15232" s="9" t="s">
        <v>30641</v>
      </c>
      <c r="C15232" s="9" t="s">
        <v>17</v>
      </c>
      <c r="D15232" s="9" t="s">
        <v>18</v>
      </c>
      <c r="E15232" s="10" t="s">
        <v>258</v>
      </c>
      <c r="F15232" s="9" t="s">
        <v>259</v>
      </c>
      <c r="G15232" s="10" t="s">
        <v>21</v>
      </c>
      <c r="H15232" s="9" t="s">
        <v>22</v>
      </c>
      <c r="I15232" s="9" t="s">
        <v>30642</v>
      </c>
      <c r="J15232" s="10" t="str">
        <f>HYPERLINK("https://www.boe.es/gazeta/dias/1834/10/09/pdfs/GMD-C-1834-237.pdf#page=3","Abrir facsímil")</f>
        <v>Abrir facsímil</v>
      </c>
      <c r="K15232" s="10" t="s">
        <v>24</v>
      </c>
    </row>
    <row r="15233" spans="1:11" ht="54" customHeight="1">
      <c r="A15233" s="9" t="s">
        <v>30643</v>
      </c>
      <c r="B15233" s="9" t="s">
        <v>30644</v>
      </c>
      <c r="C15233" s="9" t="s">
        <v>17</v>
      </c>
      <c r="D15233" s="9" t="s">
        <v>18</v>
      </c>
      <c r="E15233" s="10" t="s">
        <v>408</v>
      </c>
      <c r="F15233" s="9" t="s">
        <v>409</v>
      </c>
      <c r="G15233" s="10" t="s">
        <v>75</v>
      </c>
      <c r="H15233" s="9" t="s">
        <v>22</v>
      </c>
      <c r="I15233" s="9" t="s">
        <v>30645</v>
      </c>
      <c r="J15233" s="10" t="str">
        <f>HYPERLINK("https://www.boe.es/gazeta/dias/1834/04/28/pdfs/GMD-1834-67.pdf#page=4","Abrir facsímil")</f>
        <v>Abrir facsímil</v>
      </c>
      <c r="K15233" s="10" t="s">
        <v>24</v>
      </c>
    </row>
    <row r="15234" spans="1:11" ht="54" customHeight="1">
      <c r="A15234" s="9" t="s">
        <v>30646</v>
      </c>
      <c r="B15234" s="9" t="s">
        <v>30647</v>
      </c>
      <c r="C15234" s="9" t="s">
        <v>90</v>
      </c>
      <c r="D15234" s="9" t="s">
        <v>67</v>
      </c>
      <c r="E15234" s="10" t="s">
        <v>255</v>
      </c>
      <c r="F15234" s="9" t="s">
        <v>2368</v>
      </c>
      <c r="G15234" s="10" t="s">
        <v>86</v>
      </c>
      <c r="H15234" s="9" t="s">
        <v>22</v>
      </c>
      <c r="I15234" s="9" t="s">
        <v>30648</v>
      </c>
      <c r="J15234" s="10" t="str">
        <f>HYPERLINK("https://www.boe.es/gazeta/dias/1834/09/01/pdfs/I00843-00844.pdf#page=2","Abrir facsímil")</f>
        <v>Abrir facsímil</v>
      </c>
      <c r="K15234" s="10" t="s">
        <v>24</v>
      </c>
    </row>
    <row r="15235" spans="1:11" ht="54" customHeight="1">
      <c r="A15235" s="9" t="s">
        <v>30646</v>
      </c>
      <c r="B15235" s="9" t="s">
        <v>30647</v>
      </c>
      <c r="C15235" s="9" t="s">
        <v>90</v>
      </c>
      <c r="D15235" s="9" t="s">
        <v>67</v>
      </c>
      <c r="E15235" s="10" t="s">
        <v>255</v>
      </c>
      <c r="F15235" s="9" t="s">
        <v>2368</v>
      </c>
      <c r="G15235" s="10" t="s">
        <v>75</v>
      </c>
      <c r="H15235" s="9" t="s">
        <v>22</v>
      </c>
      <c r="I15235" s="9" t="s">
        <v>30648</v>
      </c>
      <c r="J15235" s="10" t="str">
        <f>HYPERLINK("https://www.boe.es/gazeta/dias/1834/09/01/pdfs/GMD-1834-199.pdf#page=4","Abrir facsímil")</f>
        <v>Abrir facsímil</v>
      </c>
      <c r="K15235" s="10" t="s">
        <v>24</v>
      </c>
    </row>
    <row r="15236" spans="1:11" ht="54" customHeight="1">
      <c r="A15236" s="9" t="s">
        <v>30646</v>
      </c>
      <c r="B15236" s="9" t="s">
        <v>30647</v>
      </c>
      <c r="C15236" s="9" t="s">
        <v>66</v>
      </c>
      <c r="D15236" s="9" t="s">
        <v>67</v>
      </c>
      <c r="E15236" s="10" t="s">
        <v>360</v>
      </c>
      <c r="F15236" s="9" t="s">
        <v>361</v>
      </c>
      <c r="G15236" s="10" t="s">
        <v>34</v>
      </c>
      <c r="H15236" s="9" t="s">
        <v>22</v>
      </c>
      <c r="I15236" s="9" t="s">
        <v>30649</v>
      </c>
      <c r="J15236" s="10" t="str">
        <f>HYPERLINK("https://www.boe.es/gazeta/dias/1834/04/07/pdfs/GMD-1834-46.pdf#page=1","Abrir facsímil")</f>
        <v>Abrir facsímil</v>
      </c>
      <c r="K15236" s="10" t="s">
        <v>24</v>
      </c>
    </row>
    <row r="15237" spans="1:11" ht="54" customHeight="1">
      <c r="A15237" s="9" t="s">
        <v>30650</v>
      </c>
      <c r="B15237" s="9" t="s">
        <v>30651</v>
      </c>
      <c r="C15237" s="9" t="s">
        <v>17</v>
      </c>
      <c r="D15237" s="9" t="s">
        <v>18</v>
      </c>
      <c r="E15237" s="10" t="s">
        <v>563</v>
      </c>
      <c r="F15237" s="9" t="s">
        <v>564</v>
      </c>
      <c r="G15237" s="10" t="s">
        <v>28</v>
      </c>
      <c r="H15237" s="9" t="s">
        <v>22</v>
      </c>
      <c r="I15237" s="9" t="s">
        <v>30652</v>
      </c>
      <c r="J15237" s="10" t="str">
        <f>HYPERLINK("https://www.boe.es/gazeta/dias/1834/04/19/pdfs/GMD-1834-58.pdf#page=5","Abrir facsímil")</f>
        <v>Abrir facsímil</v>
      </c>
      <c r="K15237" s="10" t="s">
        <v>24</v>
      </c>
    </row>
    <row r="15238" spans="1:11" ht="54" customHeight="1">
      <c r="A15238" s="9" t="s">
        <v>30653</v>
      </c>
      <c r="B15238" s="9" t="s">
        <v>30653</v>
      </c>
      <c r="C15238" s="9" t="s">
        <v>17</v>
      </c>
      <c r="D15238" s="9" t="s">
        <v>18</v>
      </c>
      <c r="E15238" s="10" t="s">
        <v>724</v>
      </c>
      <c r="F15238" s="9" t="s">
        <v>725</v>
      </c>
      <c r="G15238" s="10" t="s">
        <v>75</v>
      </c>
      <c r="H15238" s="9" t="s">
        <v>22</v>
      </c>
      <c r="I15238" s="9" t="s">
        <v>30654</v>
      </c>
      <c r="J15238" s="10" t="str">
        <f>HYPERLINK("https://www.boe.es/gazeta/dias/1834/04/25/pdfs/GMD-1834-64.pdf#page=4","Abrir facsímil")</f>
        <v>Abrir facsímil</v>
      </c>
      <c r="K15238" s="10" t="s">
        <v>24</v>
      </c>
    </row>
    <row r="15239" spans="1:11" ht="54" customHeight="1">
      <c r="A15239" s="9" t="s">
        <v>30655</v>
      </c>
      <c r="B15239" s="9" t="s">
        <v>30656</v>
      </c>
      <c r="C15239" s="9" t="s">
        <v>90</v>
      </c>
      <c r="D15239" s="9" t="s">
        <v>18</v>
      </c>
      <c r="E15239" s="10" t="s">
        <v>1641</v>
      </c>
      <c r="F15239" s="9" t="s">
        <v>1729</v>
      </c>
      <c r="G15239" s="10" t="s">
        <v>21</v>
      </c>
      <c r="H15239" s="9" t="s">
        <v>22</v>
      </c>
      <c r="I15239" s="9" t="s">
        <v>30657</v>
      </c>
      <c r="J15239" s="10" t="str">
        <f>HYPERLINK("https://www.boe.es/gazeta/dias/1834/09/28/pdfs/GMD-1834-226.pdf#page=3","Abrir facsímil")</f>
        <v>Abrir facsímil</v>
      </c>
      <c r="K15239" s="10" t="s">
        <v>24</v>
      </c>
    </row>
    <row r="15240" spans="1:11" ht="54" customHeight="1">
      <c r="A15240" s="9" t="s">
        <v>30658</v>
      </c>
      <c r="B15240" s="9" t="s">
        <v>30659</v>
      </c>
      <c r="C15240" s="9" t="s">
        <v>17</v>
      </c>
      <c r="D15240" s="9" t="s">
        <v>18</v>
      </c>
      <c r="E15240" s="10" t="s">
        <v>26</v>
      </c>
      <c r="F15240" s="9" t="s">
        <v>818</v>
      </c>
      <c r="G15240" s="10" t="s">
        <v>75</v>
      </c>
      <c r="H15240" s="9" t="s">
        <v>35</v>
      </c>
      <c r="I15240" s="9" t="s">
        <v>30660</v>
      </c>
      <c r="J15240" s="10" t="str">
        <f>HYPERLINK("https://www.boe.es/gazeta/dias/1834/10/19/pdfs/GMD-1834-247.pdf#page=4","Abrir facsímil")</f>
        <v>Abrir facsímil</v>
      </c>
      <c r="K15240" s="10" t="s">
        <v>37</v>
      </c>
    </row>
    <row r="15241" spans="1:11" ht="54" customHeight="1">
      <c r="A15241" s="9" t="s">
        <v>30661</v>
      </c>
      <c r="B15241" s="9" t="s">
        <v>30662</v>
      </c>
      <c r="C15241" s="9" t="s">
        <v>122</v>
      </c>
      <c r="D15241" s="9" t="s">
        <v>40</v>
      </c>
      <c r="E15241" s="10" t="s">
        <v>1517</v>
      </c>
      <c r="F15241" s="9" t="s">
        <v>1518</v>
      </c>
      <c r="G15241" s="10" t="s">
        <v>75</v>
      </c>
      <c r="H15241" s="9" t="s">
        <v>35</v>
      </c>
      <c r="I15241" s="9" t="s">
        <v>30663</v>
      </c>
      <c r="J15241" s="10" t="str">
        <f>HYPERLINK("https://www.boe.es/gazeta/dias/1834/05/18/pdfs/GMD-1834-87.pdf#page=4","Abrir facsímil")</f>
        <v>Abrir facsímil</v>
      </c>
      <c r="K15241" s="10" t="s">
        <v>37</v>
      </c>
    </row>
    <row r="15242" spans="1:11" ht="54" customHeight="1">
      <c r="A15242" s="9" t="s">
        <v>30664</v>
      </c>
      <c r="B15242" s="9" t="s">
        <v>30665</v>
      </c>
      <c r="C15242" s="9" t="s">
        <v>46</v>
      </c>
      <c r="D15242" s="9" t="s">
        <v>18</v>
      </c>
      <c r="E15242" s="10" t="s">
        <v>3328</v>
      </c>
      <c r="F15242" s="9" t="s">
        <v>3329</v>
      </c>
      <c r="G15242" s="10" t="s">
        <v>34</v>
      </c>
      <c r="H15242" s="9" t="s">
        <v>22</v>
      </c>
      <c r="I15242" s="9" t="s">
        <v>30666</v>
      </c>
      <c r="J15242" s="10" t="str">
        <f>HYPERLINK("https://www.boe.es/gazeta/dias/1834/06/04/pdfs/GMD-1834-106.pdf#page=1","Abrir facsímil")</f>
        <v>Abrir facsímil</v>
      </c>
      <c r="K15242" s="10" t="s">
        <v>24</v>
      </c>
    </row>
    <row r="15243" spans="1:11" ht="54" customHeight="1">
      <c r="A15243" s="9" t="s">
        <v>30667</v>
      </c>
      <c r="B15243" s="9" t="s">
        <v>30668</v>
      </c>
      <c r="C15243" s="9" t="s">
        <v>17</v>
      </c>
      <c r="D15243" s="9" t="s">
        <v>40</v>
      </c>
      <c r="E15243" s="10" t="s">
        <v>758</v>
      </c>
      <c r="F15243" s="9" t="s">
        <v>759</v>
      </c>
      <c r="G15243" s="10" t="s">
        <v>86</v>
      </c>
      <c r="H15243" s="9" t="s">
        <v>22</v>
      </c>
      <c r="I15243" s="9" t="s">
        <v>30669</v>
      </c>
      <c r="J15243" s="10" t="str">
        <f>HYPERLINK("https://www.boe.es/gazeta/dias/1834/01/04/pdfs/GMD-1834-3.pdf#page=2","Abrir facsímil")</f>
        <v>Abrir facsímil</v>
      </c>
      <c r="K15243" s="10" t="s">
        <v>24</v>
      </c>
    </row>
    <row r="15244" spans="1:11" ht="54" customHeight="1">
      <c r="A15244" s="9" t="s">
        <v>30670</v>
      </c>
      <c r="B15244" s="9" t="s">
        <v>30671</v>
      </c>
      <c r="C15244" s="9" t="s">
        <v>17</v>
      </c>
      <c r="D15244" s="9" t="s">
        <v>18</v>
      </c>
      <c r="E15244" s="10" t="s">
        <v>317</v>
      </c>
      <c r="F15244" s="9" t="s">
        <v>318</v>
      </c>
      <c r="G15244" s="10" t="s">
        <v>34</v>
      </c>
      <c r="H15244" s="9" t="s">
        <v>22</v>
      </c>
      <c r="I15244" s="9" t="s">
        <v>30672</v>
      </c>
      <c r="J15244" s="10" t="str">
        <f>HYPERLINK("https://www.boe.es/gazeta/dias/1834/03/06/pdfs/I00139-00140.pdf#page=1","Abrir facsímil")</f>
        <v>Abrir facsímil</v>
      </c>
      <c r="K15244" s="10" t="s">
        <v>24</v>
      </c>
    </row>
    <row r="15245" spans="1:11" ht="54" customHeight="1">
      <c r="A15245" s="9" t="s">
        <v>30670</v>
      </c>
      <c r="B15245" s="9" t="s">
        <v>30671</v>
      </c>
      <c r="C15245" s="9" t="s">
        <v>17</v>
      </c>
      <c r="D15245" s="9" t="s">
        <v>18</v>
      </c>
      <c r="E15245" s="10" t="s">
        <v>317</v>
      </c>
      <c r="F15245" s="9" t="s">
        <v>318</v>
      </c>
      <c r="G15245" s="10" t="s">
        <v>21</v>
      </c>
      <c r="H15245" s="9" t="s">
        <v>22</v>
      </c>
      <c r="I15245" s="9" t="s">
        <v>30673</v>
      </c>
      <c r="J15245" s="10" t="str">
        <f>HYPERLINK("https://www.boe.es/gazeta/dias/1834/03/06/pdfs/GMD-1834-29.pdf#page=3","Abrir facsímil")</f>
        <v>Abrir facsímil</v>
      </c>
      <c r="K15245" s="10" t="s">
        <v>24</v>
      </c>
    </row>
    <row r="15246" spans="1:11" ht="54" customHeight="1">
      <c r="A15246" s="9" t="s">
        <v>30670</v>
      </c>
      <c r="B15246" s="9" t="s">
        <v>30671</v>
      </c>
      <c r="C15246" s="9" t="s">
        <v>17</v>
      </c>
      <c r="D15246" s="9" t="s">
        <v>18</v>
      </c>
      <c r="E15246" s="10" t="s">
        <v>26</v>
      </c>
      <c r="F15246" s="9" t="s">
        <v>818</v>
      </c>
      <c r="G15246" s="10" t="s">
        <v>75</v>
      </c>
      <c r="H15246" s="9" t="s">
        <v>22</v>
      </c>
      <c r="I15246" s="9" t="s">
        <v>30674</v>
      </c>
      <c r="J15246" s="10" t="str">
        <f>HYPERLINK("https://www.boe.es/gazeta/dias/1834/10/19/pdfs/GMD-1834-247.pdf#page=4","Abrir facsímil")</f>
        <v>Abrir facsímil</v>
      </c>
      <c r="K15246" s="10" t="s">
        <v>24</v>
      </c>
    </row>
    <row r="15247" spans="1:11" ht="54" customHeight="1">
      <c r="A15247" s="9" t="s">
        <v>30675</v>
      </c>
      <c r="B15247" s="9" t="s">
        <v>30676</v>
      </c>
      <c r="C15247" s="9" t="s">
        <v>17</v>
      </c>
      <c r="D15247" s="9" t="s">
        <v>18</v>
      </c>
      <c r="E15247" s="10" t="s">
        <v>3170</v>
      </c>
      <c r="F15247" s="9" t="s">
        <v>3171</v>
      </c>
      <c r="G15247" s="10" t="s">
        <v>21</v>
      </c>
      <c r="H15247" s="9" t="s">
        <v>22</v>
      </c>
      <c r="I15247" s="9" t="s">
        <v>30677</v>
      </c>
      <c r="J15247" s="10" t="str">
        <f>HYPERLINK("https://www.boe.es/gazeta/dias/1834/12/07/pdfs/GMD-1834-296.pdf#page=3","Abrir facsímil")</f>
        <v>Abrir facsímil</v>
      </c>
      <c r="K15247" s="10" t="s">
        <v>24</v>
      </c>
    </row>
    <row r="15248" spans="1:11" ht="54" customHeight="1">
      <c r="A15248" s="9" t="s">
        <v>30675</v>
      </c>
      <c r="B15248" s="9" t="s">
        <v>30676</v>
      </c>
      <c r="C15248" s="9" t="s">
        <v>122</v>
      </c>
      <c r="D15248" s="9" t="s">
        <v>40</v>
      </c>
      <c r="E15248" s="10" t="s">
        <v>1517</v>
      </c>
      <c r="F15248" s="9" t="s">
        <v>1518</v>
      </c>
      <c r="G15248" s="10" t="s">
        <v>75</v>
      </c>
      <c r="H15248" s="9" t="s">
        <v>22</v>
      </c>
      <c r="I15248" s="9" t="s">
        <v>30678</v>
      </c>
      <c r="J15248" s="10" t="str">
        <f>HYPERLINK("https://www.boe.es/gazeta/dias/1834/05/18/pdfs/GMD-1834-87.pdf#page=4","Abrir facsímil")</f>
        <v>Abrir facsímil</v>
      </c>
      <c r="K15248" s="10" t="s">
        <v>24</v>
      </c>
    </row>
    <row r="15249" spans="1:11" ht="54" customHeight="1">
      <c r="A15249" s="9" t="s">
        <v>30679</v>
      </c>
      <c r="B15249" s="9" t="s">
        <v>30679</v>
      </c>
      <c r="C15249" s="9" t="s">
        <v>17</v>
      </c>
      <c r="D15249" s="9" t="s">
        <v>18</v>
      </c>
      <c r="E15249" s="10" t="s">
        <v>3488</v>
      </c>
      <c r="F15249" s="9" t="s">
        <v>3489</v>
      </c>
      <c r="G15249" s="10" t="s">
        <v>34</v>
      </c>
      <c r="H15249" s="9" t="s">
        <v>22</v>
      </c>
      <c r="I15249" s="9" t="s">
        <v>30680</v>
      </c>
      <c r="J15249" s="10" t="str">
        <f>HYPERLINK("https://www.boe.es/gazeta/dias/1834/06/22/pdfs/GMD-1834-125.pdf#page=1","Abrir facsímil")</f>
        <v>Abrir facsímil</v>
      </c>
      <c r="K15249" s="10" t="s">
        <v>24</v>
      </c>
    </row>
    <row r="15250" spans="1:11" ht="54" customHeight="1">
      <c r="A15250" s="9" t="s">
        <v>30681</v>
      </c>
      <c r="B15250" s="9" t="s">
        <v>30682</v>
      </c>
      <c r="C15250" s="9" t="s">
        <v>17</v>
      </c>
      <c r="D15250" s="9" t="s">
        <v>18</v>
      </c>
      <c r="E15250" s="10" t="s">
        <v>339</v>
      </c>
      <c r="F15250" s="9" t="s">
        <v>340</v>
      </c>
      <c r="G15250" s="10" t="s">
        <v>34</v>
      </c>
      <c r="H15250" s="9" t="s">
        <v>22</v>
      </c>
      <c r="I15250" s="9" t="s">
        <v>30683</v>
      </c>
      <c r="J15250" s="10" t="str">
        <f>HYPERLINK("https://www.boe.es/gazeta/dias/1834/05/02/pdfs/GMD-1834-71.pdf#page=1","Abrir facsímil")</f>
        <v>Abrir facsímil</v>
      </c>
      <c r="K15250" s="10" t="s">
        <v>24</v>
      </c>
    </row>
    <row r="15251" spans="1:11" ht="54" customHeight="1">
      <c r="A15251" s="9" t="s">
        <v>30684</v>
      </c>
      <c r="B15251" s="9" t="s">
        <v>30685</v>
      </c>
      <c r="C15251" s="9" t="s">
        <v>17</v>
      </c>
      <c r="D15251" s="9" t="s">
        <v>18</v>
      </c>
      <c r="E15251" s="10" t="s">
        <v>1862</v>
      </c>
      <c r="F15251" s="9" t="s">
        <v>1863</v>
      </c>
      <c r="G15251" s="10" t="s">
        <v>75</v>
      </c>
      <c r="H15251" s="9" t="s">
        <v>22</v>
      </c>
      <c r="I15251" s="9" t="s">
        <v>30686</v>
      </c>
      <c r="J15251" s="10" t="str">
        <f>HYPERLINK("https://www.boe.es/gazeta/dias/1834/02/04/pdfs/GMD-1834-16.pdf#page=4","Abrir facsímil")</f>
        <v>Abrir facsímil</v>
      </c>
      <c r="K15251" s="10" t="s">
        <v>24</v>
      </c>
    </row>
    <row r="15252" spans="1:11" ht="54" customHeight="1">
      <c r="A15252" s="9" t="s">
        <v>30687</v>
      </c>
      <c r="B15252" s="9" t="s">
        <v>30688</v>
      </c>
      <c r="C15252" s="9" t="s">
        <v>90</v>
      </c>
      <c r="D15252" s="9" t="s">
        <v>18</v>
      </c>
      <c r="E15252" s="10" t="s">
        <v>627</v>
      </c>
      <c r="F15252" s="9" t="s">
        <v>628</v>
      </c>
      <c r="G15252" s="10" t="s">
        <v>560</v>
      </c>
      <c r="H15252" s="9" t="s">
        <v>22</v>
      </c>
      <c r="I15252" s="9" t="s">
        <v>30689</v>
      </c>
      <c r="J15252" s="10" t="str">
        <f>HYPERLINK("https://www.boe.es/gazeta/dias/1834/09/22/pdfs/GMD-C-1834-220.pdf#page=7","Abrir facsímil")</f>
        <v>Abrir facsímil</v>
      </c>
      <c r="K15252" s="10" t="s">
        <v>24</v>
      </c>
    </row>
    <row r="15253" spans="1:11" ht="54" customHeight="1">
      <c r="A15253" s="9" t="s">
        <v>30690</v>
      </c>
      <c r="B15253" s="9" t="s">
        <v>30691</v>
      </c>
      <c r="C15253" s="9" t="s">
        <v>17</v>
      </c>
      <c r="D15253" s="9" t="s">
        <v>18</v>
      </c>
      <c r="E15253" s="10" t="s">
        <v>233</v>
      </c>
      <c r="F15253" s="9" t="s">
        <v>1810</v>
      </c>
      <c r="G15253" s="10" t="s">
        <v>2274</v>
      </c>
      <c r="H15253" s="9" t="s">
        <v>22</v>
      </c>
      <c r="I15253" s="9" t="s">
        <v>30692</v>
      </c>
      <c r="J15253" s="10" t="str">
        <f>HYPERLINK("https://www.boe.es/gazeta/dias/1834/12/16/pdfs/GMD-C-1834-305.pdf#page=13","Abrir facsímil")</f>
        <v>Abrir facsímil</v>
      </c>
      <c r="K15253" s="10" t="s">
        <v>24</v>
      </c>
    </row>
    <row r="15254" spans="1:11" ht="54" customHeight="1">
      <c r="A15254" s="9" t="s">
        <v>30693</v>
      </c>
      <c r="B15254" s="9" t="s">
        <v>30694</v>
      </c>
      <c r="C15254" s="9" t="s">
        <v>66</v>
      </c>
      <c r="D15254" s="9" t="s">
        <v>18</v>
      </c>
      <c r="E15254" s="10" t="s">
        <v>1186</v>
      </c>
      <c r="F15254" s="9" t="s">
        <v>1187</v>
      </c>
      <c r="G15254" s="10" t="s">
        <v>86</v>
      </c>
      <c r="H15254" s="9" t="s">
        <v>35</v>
      </c>
      <c r="I15254" s="9" t="s">
        <v>30695</v>
      </c>
      <c r="J15254" s="10" t="str">
        <f>HYPERLINK("https://www.boe.es/gazeta/dias/1834/08/14/pdfs/GMD-1834-179.pdf#page=2","Abrir facsímil")</f>
        <v>Abrir facsímil</v>
      </c>
      <c r="K15254" s="10" t="s">
        <v>37</v>
      </c>
    </row>
    <row r="15255" spans="1:11" ht="54" customHeight="1">
      <c r="A15255" s="9" t="s">
        <v>30696</v>
      </c>
      <c r="B15255" s="9" t="s">
        <v>30697</v>
      </c>
      <c r="C15255" s="9" t="s">
        <v>17</v>
      </c>
      <c r="D15255" s="9" t="s">
        <v>18</v>
      </c>
      <c r="E15255" s="10" t="s">
        <v>237</v>
      </c>
      <c r="F15255" s="9" t="s">
        <v>238</v>
      </c>
      <c r="G15255" s="10" t="s">
        <v>34</v>
      </c>
      <c r="H15255" s="9" t="s">
        <v>22</v>
      </c>
      <c r="I15255" s="9" t="s">
        <v>30698</v>
      </c>
      <c r="J15255" s="10" t="str">
        <f>HYPERLINK("https://www.boe.es/gazeta/dias/1834/08/15/pdfs/GMD-C-1834-180.pdf#page=1","Abrir facsímil")</f>
        <v>Abrir facsímil</v>
      </c>
      <c r="K15255" s="10" t="s">
        <v>24</v>
      </c>
    </row>
    <row r="15256" spans="1:11" ht="54" customHeight="1">
      <c r="A15256" s="9" t="s">
        <v>30699</v>
      </c>
      <c r="B15256" s="9" t="s">
        <v>30700</v>
      </c>
      <c r="C15256" s="9" t="s">
        <v>17</v>
      </c>
      <c r="D15256" s="9" t="s">
        <v>18</v>
      </c>
      <c r="E15256" s="10" t="s">
        <v>167</v>
      </c>
      <c r="F15256" s="9" t="s">
        <v>1200</v>
      </c>
      <c r="G15256" s="10" t="s">
        <v>86</v>
      </c>
      <c r="H15256" s="9" t="s">
        <v>22</v>
      </c>
      <c r="I15256" s="9" t="s">
        <v>30701</v>
      </c>
      <c r="J15256" s="10" t="str">
        <f>HYPERLINK("https://www.boe.es/gazeta/dias/1834/09/07/pdfs/GMD-C-1834-205.pdf#page=2","Abrir facsímil")</f>
        <v>Abrir facsímil</v>
      </c>
      <c r="K15256" s="10" t="s">
        <v>24</v>
      </c>
    </row>
    <row r="15257" spans="1:11" ht="54" customHeight="1">
      <c r="A15257" s="9" t="s">
        <v>30699</v>
      </c>
      <c r="B15257" s="9" t="s">
        <v>30700</v>
      </c>
      <c r="C15257" s="9" t="s">
        <v>17</v>
      </c>
      <c r="D15257" s="9" t="s">
        <v>18</v>
      </c>
      <c r="E15257" s="10" t="s">
        <v>1410</v>
      </c>
      <c r="F15257" s="9" t="s">
        <v>2231</v>
      </c>
      <c r="G15257" s="10" t="s">
        <v>34</v>
      </c>
      <c r="H15257" s="9" t="s">
        <v>22</v>
      </c>
      <c r="I15257" s="9" t="s">
        <v>30702</v>
      </c>
      <c r="J15257" s="10" t="str">
        <f>HYPERLINK("https://www.boe.es/gazeta/dias/1834/09/09/pdfs/GMD-C-1834-207.pdf#page=1","Abrir facsímil")</f>
        <v>Abrir facsímil</v>
      </c>
      <c r="K15257" s="10" t="s">
        <v>24</v>
      </c>
    </row>
    <row r="15258" spans="1:11" ht="54" customHeight="1">
      <c r="A15258" s="9" t="s">
        <v>30703</v>
      </c>
      <c r="B15258" s="9" t="s">
        <v>30704</v>
      </c>
      <c r="C15258" s="9" t="s">
        <v>66</v>
      </c>
      <c r="D15258" s="9" t="s">
        <v>18</v>
      </c>
      <c r="E15258" s="10" t="s">
        <v>1186</v>
      </c>
      <c r="F15258" s="9" t="s">
        <v>1187</v>
      </c>
      <c r="G15258" s="10" t="s">
        <v>86</v>
      </c>
      <c r="H15258" s="9" t="s">
        <v>22</v>
      </c>
      <c r="I15258" s="9" t="s">
        <v>30705</v>
      </c>
      <c r="J15258" s="10" t="str">
        <f>HYPERLINK("https://www.boe.es/gazeta/dias/1834/08/14/pdfs/GMD-1834-179.pdf#page=2","Abrir facsímil")</f>
        <v>Abrir facsímil</v>
      </c>
      <c r="K15258" s="10" t="s">
        <v>24</v>
      </c>
    </row>
    <row r="15259" spans="1:11" ht="54" customHeight="1">
      <c r="A15259" s="9" t="s">
        <v>30706</v>
      </c>
      <c r="B15259" s="9" t="s">
        <v>30707</v>
      </c>
      <c r="C15259" s="9" t="s">
        <v>857</v>
      </c>
      <c r="D15259" s="9" t="s">
        <v>18</v>
      </c>
      <c r="E15259" s="10" t="s">
        <v>2153</v>
      </c>
      <c r="F15259" s="9" t="s">
        <v>2154</v>
      </c>
      <c r="G15259" s="10" t="s">
        <v>21</v>
      </c>
      <c r="H15259" s="9" t="s">
        <v>22</v>
      </c>
      <c r="I15259" s="9" t="s">
        <v>30708</v>
      </c>
      <c r="J15259" s="10" t="str">
        <f>HYPERLINK("https://www.boe.es/gazeta/dias/1834/01/23/pdfs/GMD-1834-11.pdf#page=3","Abrir facsímil")</f>
        <v>Abrir facsímil</v>
      </c>
      <c r="K15259" s="10" t="s">
        <v>24</v>
      </c>
    </row>
    <row r="15260" spans="1:11" ht="54" customHeight="1">
      <c r="A15260" s="9" t="s">
        <v>30709</v>
      </c>
      <c r="B15260" s="9" t="s">
        <v>30709</v>
      </c>
      <c r="C15260" s="9" t="s">
        <v>17</v>
      </c>
      <c r="D15260" s="9" t="s">
        <v>18</v>
      </c>
      <c r="E15260" s="10" t="s">
        <v>4637</v>
      </c>
      <c r="F15260" s="9" t="s">
        <v>4638</v>
      </c>
      <c r="G15260" s="10" t="s">
        <v>86</v>
      </c>
      <c r="H15260" s="9" t="s">
        <v>22</v>
      </c>
      <c r="I15260" s="9" t="s">
        <v>30710</v>
      </c>
      <c r="J15260" s="10" t="str">
        <f>HYPERLINK("https://www.boe.es/gazeta/dias/1834/12/08/pdfs/GMD-1834-297.pdf#page=2","Abrir facsímil")</f>
        <v>Abrir facsímil</v>
      </c>
      <c r="K15260" s="10" t="s">
        <v>24</v>
      </c>
    </row>
    <row r="15261" spans="1:11" ht="54" customHeight="1">
      <c r="A15261" s="9" t="s">
        <v>30711</v>
      </c>
      <c r="B15261" s="9" t="s">
        <v>30712</v>
      </c>
      <c r="C15261" s="9" t="s">
        <v>17</v>
      </c>
      <c r="D15261" s="9" t="s">
        <v>18</v>
      </c>
      <c r="E15261" s="10" t="s">
        <v>183</v>
      </c>
      <c r="F15261" s="9" t="s">
        <v>184</v>
      </c>
      <c r="G15261" s="10" t="s">
        <v>75</v>
      </c>
      <c r="H15261" s="9" t="s">
        <v>35</v>
      </c>
      <c r="I15261" s="9" t="s">
        <v>30713</v>
      </c>
      <c r="J15261" s="10" t="str">
        <f>HYPERLINK("https://www.boe.es/gazeta/dias/1834/03/18/pdfs/GMD-1834-34.pdf#page=4","Abrir facsímil")</f>
        <v>Abrir facsímil</v>
      </c>
      <c r="K15261" s="10" t="s">
        <v>37</v>
      </c>
    </row>
    <row r="15262" spans="1:11" ht="54" customHeight="1">
      <c r="A15262" s="9" t="s">
        <v>30714</v>
      </c>
      <c r="B15262" s="9" t="s">
        <v>30715</v>
      </c>
      <c r="C15262" s="9" t="s">
        <v>17</v>
      </c>
      <c r="D15262" s="9" t="s">
        <v>18</v>
      </c>
      <c r="E15262" s="10" t="s">
        <v>183</v>
      </c>
      <c r="F15262" s="9" t="s">
        <v>184</v>
      </c>
      <c r="G15262" s="10" t="s">
        <v>75</v>
      </c>
      <c r="H15262" s="9" t="s">
        <v>22</v>
      </c>
      <c r="I15262" s="9" t="s">
        <v>30716</v>
      </c>
      <c r="J15262" s="10" t="str">
        <f>HYPERLINK("https://www.boe.es/gazeta/dias/1834/03/18/pdfs/GMD-1834-34.pdf#page=4","Abrir facsímil")</f>
        <v>Abrir facsímil</v>
      </c>
      <c r="K15262" s="10" t="s">
        <v>24</v>
      </c>
    </row>
    <row r="15263" spans="1:11" ht="54" customHeight="1">
      <c r="A15263" s="9" t="s">
        <v>30717</v>
      </c>
      <c r="B15263" s="9" t="s">
        <v>30717</v>
      </c>
      <c r="C15263" s="9" t="s">
        <v>66</v>
      </c>
      <c r="D15263" s="9" t="s">
        <v>67</v>
      </c>
      <c r="E15263" s="10" t="s">
        <v>663</v>
      </c>
      <c r="F15263" s="9" t="s">
        <v>664</v>
      </c>
      <c r="G15263" s="10" t="s">
        <v>34</v>
      </c>
      <c r="H15263" s="9" t="s">
        <v>22</v>
      </c>
      <c r="I15263" s="9" t="s">
        <v>30718</v>
      </c>
      <c r="J15263" s="10" t="str">
        <f>HYPERLINK("https://www.boe.es/gazeta/dias/1834/07/16/pdfs/GMD-1834-149.pdf#page=1","Abrir facsímil")</f>
        <v>Abrir facsímil</v>
      </c>
      <c r="K15263" s="10" t="s">
        <v>24</v>
      </c>
    </row>
    <row r="15264" spans="1:11" ht="54" customHeight="1">
      <c r="A15264" s="9" t="s">
        <v>30719</v>
      </c>
      <c r="B15264" s="9" t="s">
        <v>30720</v>
      </c>
      <c r="C15264" s="9" t="s">
        <v>122</v>
      </c>
      <c r="D15264" s="9" t="s">
        <v>55</v>
      </c>
      <c r="E15264" s="10" t="s">
        <v>1307</v>
      </c>
      <c r="F15264" s="9" t="s">
        <v>1308</v>
      </c>
      <c r="G15264" s="10" t="s">
        <v>21</v>
      </c>
      <c r="H15264" s="9" t="s">
        <v>22</v>
      </c>
      <c r="I15264" s="9" t="s">
        <v>30721</v>
      </c>
      <c r="J15264" s="10" t="str">
        <f>HYPERLINK("https://www.boe.es/gazeta/dias/1834/08/25/pdfs/GMD-1834-191.pdf#page=3","Abrir facsímil")</f>
        <v>Abrir facsímil</v>
      </c>
      <c r="K15264" s="10" t="s">
        <v>24</v>
      </c>
    </row>
    <row r="15265" spans="1:11" ht="54" customHeight="1">
      <c r="A15265" s="9" t="s">
        <v>30722</v>
      </c>
      <c r="B15265" s="9" t="s">
        <v>30723</v>
      </c>
      <c r="C15265" s="9" t="s">
        <v>17</v>
      </c>
      <c r="D15265" s="9" t="s">
        <v>18</v>
      </c>
      <c r="E15265" s="10" t="s">
        <v>84</v>
      </c>
      <c r="F15265" s="9" t="s">
        <v>1223</v>
      </c>
      <c r="G15265" s="10" t="s">
        <v>21</v>
      </c>
      <c r="H15265" s="9" t="s">
        <v>35</v>
      </c>
      <c r="I15265" s="9" t="s">
        <v>30724</v>
      </c>
      <c r="J15265" s="10" t="str">
        <f>HYPERLINK("https://www.boe.es/gazeta/dias/1834/06/07/pdfs/GMD-1834-109.pdf#page=3","Abrir facsímil")</f>
        <v>Abrir facsímil</v>
      </c>
      <c r="K15265" s="10" t="s">
        <v>37</v>
      </c>
    </row>
    <row r="15266" spans="1:11" ht="54" customHeight="1">
      <c r="A15266" s="9" t="s">
        <v>30722</v>
      </c>
      <c r="B15266" s="9" t="s">
        <v>30723</v>
      </c>
      <c r="C15266" s="9" t="s">
        <v>90</v>
      </c>
      <c r="D15266" s="9" t="s">
        <v>18</v>
      </c>
      <c r="E15266" s="10" t="s">
        <v>84</v>
      </c>
      <c r="F15266" s="9" t="s">
        <v>1223</v>
      </c>
      <c r="G15266" s="10" t="s">
        <v>75</v>
      </c>
      <c r="H15266" s="9" t="s">
        <v>35</v>
      </c>
      <c r="I15266" s="9" t="s">
        <v>30725</v>
      </c>
      <c r="J15266" s="10" t="str">
        <f>HYPERLINK("https://www.boe.es/gazeta/dias/1834/06/07/pdfs/GMD-1834-109.pdf#page=4","Abrir facsímil")</f>
        <v>Abrir facsímil</v>
      </c>
      <c r="K15266" s="10" t="s">
        <v>37</v>
      </c>
    </row>
    <row r="15267" spans="1:11" ht="54" customHeight="1">
      <c r="A15267" s="9" t="s">
        <v>30726</v>
      </c>
      <c r="B15267" s="9" t="s">
        <v>30727</v>
      </c>
      <c r="C15267" s="9" t="s">
        <v>90</v>
      </c>
      <c r="D15267" s="9" t="s">
        <v>18</v>
      </c>
      <c r="E15267" s="10" t="s">
        <v>84</v>
      </c>
      <c r="F15267" s="9" t="s">
        <v>1223</v>
      </c>
      <c r="G15267" s="10" t="s">
        <v>75</v>
      </c>
      <c r="H15267" s="9" t="s">
        <v>22</v>
      </c>
      <c r="I15267" s="9" t="s">
        <v>30728</v>
      </c>
      <c r="J15267" s="10" t="str">
        <f>HYPERLINK("https://www.boe.es/gazeta/dias/1834/06/07/pdfs/GMD-1834-109.pdf#page=4","Abrir facsímil")</f>
        <v>Abrir facsímil</v>
      </c>
      <c r="K15267" s="10" t="s">
        <v>24</v>
      </c>
    </row>
    <row r="15268" spans="1:11" ht="54" customHeight="1">
      <c r="A15268" s="9" t="s">
        <v>30729</v>
      </c>
      <c r="B15268" s="9" t="s">
        <v>30730</v>
      </c>
      <c r="C15268" s="9" t="s">
        <v>17</v>
      </c>
      <c r="D15268" s="9" t="s">
        <v>18</v>
      </c>
      <c r="E15268" s="10" t="s">
        <v>3952</v>
      </c>
      <c r="F15268" s="9" t="s">
        <v>3953</v>
      </c>
      <c r="G15268" s="10" t="s">
        <v>34</v>
      </c>
      <c r="H15268" s="9" t="s">
        <v>22</v>
      </c>
      <c r="I15268" s="9" t="s">
        <v>30731</v>
      </c>
      <c r="J15268" s="10" t="str">
        <f>HYPERLINK("https://www.boe.es/gazeta/dias/1834/02/22/pdfs/GMD-1834-24.pdf#page=1","Abrir facsímil")</f>
        <v>Abrir facsímil</v>
      </c>
      <c r="K15268" s="10" t="s">
        <v>24</v>
      </c>
    </row>
    <row r="15269" spans="1:11" ht="54" customHeight="1">
      <c r="A15269" s="9" t="s">
        <v>30732</v>
      </c>
      <c r="B15269" s="9" t="s">
        <v>30733</v>
      </c>
      <c r="C15269" s="9" t="s">
        <v>66</v>
      </c>
      <c r="D15269" s="9" t="s">
        <v>67</v>
      </c>
      <c r="E15269" s="10" t="s">
        <v>2526</v>
      </c>
      <c r="F15269" s="9" t="s">
        <v>8236</v>
      </c>
      <c r="G15269" s="10" t="s">
        <v>75</v>
      </c>
      <c r="H15269" s="9" t="s">
        <v>22</v>
      </c>
      <c r="I15269" s="9" t="s">
        <v>30734</v>
      </c>
      <c r="J15269" s="10" t="str">
        <f>HYPERLINK("https://www.boe.es/gazeta/dias/1834/12/29/pdfs/GMD-1834-319.pdf#page=4","Abrir facsímil")</f>
        <v>Abrir facsímil</v>
      </c>
      <c r="K15269" s="10" t="s">
        <v>24</v>
      </c>
    </row>
    <row r="15270" spans="1:11" ht="54" customHeight="1">
      <c r="A15270" s="9" t="s">
        <v>30735</v>
      </c>
      <c r="B15270" s="9" t="s">
        <v>30736</v>
      </c>
      <c r="C15270" s="9" t="s">
        <v>46</v>
      </c>
      <c r="D15270" s="9" t="s">
        <v>101</v>
      </c>
      <c r="E15270" s="10" t="s">
        <v>371</v>
      </c>
      <c r="F15270" s="9" t="s">
        <v>372</v>
      </c>
      <c r="G15270" s="10" t="s">
        <v>21</v>
      </c>
      <c r="H15270" s="9" t="s">
        <v>35</v>
      </c>
      <c r="I15270" s="9" t="s">
        <v>30737</v>
      </c>
      <c r="J15270" s="10" t="str">
        <f>HYPERLINK("https://www.boe.es/gazeta/dias/1834/05/27/pdfs/GMD-1834-96.pdf#page=3","Abrir facsímil")</f>
        <v>Abrir facsímil</v>
      </c>
      <c r="K15270" s="10" t="s">
        <v>37</v>
      </c>
    </row>
    <row r="15271" spans="1:11" ht="54" customHeight="1">
      <c r="A15271" s="9" t="s">
        <v>30738</v>
      </c>
      <c r="B15271" s="9" t="s">
        <v>30739</v>
      </c>
      <c r="C15271" s="9" t="s">
        <v>46</v>
      </c>
      <c r="D15271" s="9" t="s">
        <v>101</v>
      </c>
      <c r="E15271" s="10" t="s">
        <v>371</v>
      </c>
      <c r="F15271" s="9" t="s">
        <v>372</v>
      </c>
      <c r="G15271" s="10" t="s">
        <v>21</v>
      </c>
      <c r="H15271" s="9" t="s">
        <v>22</v>
      </c>
      <c r="I15271" s="9" t="s">
        <v>30740</v>
      </c>
      <c r="J15271" s="10" t="str">
        <f>HYPERLINK("https://www.boe.es/gazeta/dias/1834/05/27/pdfs/GMD-1834-96.pdf#page=3","Abrir facsímil")</f>
        <v>Abrir facsímil</v>
      </c>
      <c r="K15271" s="10" t="s">
        <v>24</v>
      </c>
    </row>
    <row r="15272" spans="1:11" ht="54" customHeight="1">
      <c r="A15272" s="9" t="s">
        <v>30741</v>
      </c>
      <c r="B15272" s="9" t="s">
        <v>30742</v>
      </c>
      <c r="C15272" s="9" t="s">
        <v>17</v>
      </c>
      <c r="D15272" s="9" t="s">
        <v>18</v>
      </c>
      <c r="E15272" s="10" t="s">
        <v>1103</v>
      </c>
      <c r="F15272" s="9" t="s">
        <v>1259</v>
      </c>
      <c r="G15272" s="10" t="s">
        <v>21</v>
      </c>
      <c r="H15272" s="9" t="s">
        <v>35</v>
      </c>
      <c r="I15272" s="9" t="s">
        <v>30743</v>
      </c>
      <c r="J15272" s="10" t="str">
        <f>HYPERLINK("https://www.boe.es/gazeta/dias/1834/10/10/pdfs/GMD-1834-238.pdf#page=3","Abrir facsímil")</f>
        <v>Abrir facsímil</v>
      </c>
      <c r="K15272" s="10" t="s">
        <v>37</v>
      </c>
    </row>
    <row r="15273" spans="1:11" ht="54" customHeight="1">
      <c r="A15273" s="9" t="s">
        <v>30744</v>
      </c>
      <c r="B15273" s="9" t="s">
        <v>30745</v>
      </c>
      <c r="C15273" s="9" t="s">
        <v>46</v>
      </c>
      <c r="D15273" s="9" t="s">
        <v>55</v>
      </c>
      <c r="E15273" s="10" t="s">
        <v>2748</v>
      </c>
      <c r="F15273" s="9" t="s">
        <v>2749</v>
      </c>
      <c r="G15273" s="10" t="s">
        <v>86</v>
      </c>
      <c r="H15273" s="9" t="s">
        <v>22</v>
      </c>
      <c r="I15273" s="9" t="s">
        <v>30746</v>
      </c>
      <c r="J15273" s="10" t="str">
        <f>HYPERLINK("https://www.boe.es/gazeta/dias/1834/01/09/pdfs/GMD-1834-5.pdf#page=2","Abrir facsímil")</f>
        <v>Abrir facsímil</v>
      </c>
      <c r="K15273" s="10" t="s">
        <v>24</v>
      </c>
    </row>
    <row r="15274" spans="1:11" ht="54" customHeight="1">
      <c r="A15274" s="9" t="s">
        <v>30744</v>
      </c>
      <c r="B15274" s="9" t="s">
        <v>30745</v>
      </c>
      <c r="C15274" s="9" t="s">
        <v>66</v>
      </c>
      <c r="D15274" s="9" t="s">
        <v>67</v>
      </c>
      <c r="E15274" s="10" t="s">
        <v>2241</v>
      </c>
      <c r="F15274" s="9" t="s">
        <v>2242</v>
      </c>
      <c r="G15274" s="10" t="s">
        <v>21</v>
      </c>
      <c r="H15274" s="9" t="s">
        <v>22</v>
      </c>
      <c r="I15274" s="9" t="s">
        <v>30747</v>
      </c>
      <c r="J15274" s="10" t="str">
        <f>HYPERLINK("https://www.boe.es/gazeta/dias/1834/03/11/pdfs/GMD-1834-31.pdf#page=3","Abrir facsímil")</f>
        <v>Abrir facsímil</v>
      </c>
      <c r="K15274" s="10" t="s">
        <v>24</v>
      </c>
    </row>
    <row r="15275" spans="1:11" ht="54" customHeight="1">
      <c r="A15275" s="9" t="s">
        <v>30744</v>
      </c>
      <c r="B15275" s="9" t="s">
        <v>30745</v>
      </c>
      <c r="C15275" s="9" t="s">
        <v>17</v>
      </c>
      <c r="D15275" s="9" t="s">
        <v>101</v>
      </c>
      <c r="E15275" s="10" t="s">
        <v>2153</v>
      </c>
      <c r="F15275" s="9" t="s">
        <v>2154</v>
      </c>
      <c r="G15275" s="10" t="s">
        <v>34</v>
      </c>
      <c r="H15275" s="9" t="s">
        <v>22</v>
      </c>
      <c r="I15275" s="9" t="s">
        <v>30748</v>
      </c>
      <c r="J15275" s="10" t="str">
        <f>HYPERLINK("https://www.boe.es/gazeta/dias/1834/01/23/pdfs/GMD-1834-11.pdf#page=1","Abrir facsímil")</f>
        <v>Abrir facsímil</v>
      </c>
      <c r="K15275" s="10" t="s">
        <v>24</v>
      </c>
    </row>
    <row r="15276" spans="1:11" ht="54" customHeight="1">
      <c r="A15276" s="9" t="s">
        <v>30749</v>
      </c>
      <c r="B15276" s="9" t="s">
        <v>30750</v>
      </c>
      <c r="C15276" s="9" t="s">
        <v>17</v>
      </c>
      <c r="D15276" s="9" t="s">
        <v>18</v>
      </c>
      <c r="E15276" s="10" t="s">
        <v>758</v>
      </c>
      <c r="F15276" s="9" t="s">
        <v>759</v>
      </c>
      <c r="G15276" s="10" t="s">
        <v>86</v>
      </c>
      <c r="H15276" s="9" t="s">
        <v>22</v>
      </c>
      <c r="I15276" s="9" t="s">
        <v>30751</v>
      </c>
      <c r="J15276" s="10" t="str">
        <f>HYPERLINK("https://www.boe.es/gazeta/dias/1834/01/04/pdfs/GMD-1834-3.pdf#page=2","Abrir facsímil")</f>
        <v>Abrir facsímil</v>
      </c>
      <c r="K15276" s="10" t="s">
        <v>24</v>
      </c>
    </row>
    <row r="15277" spans="1:11" ht="54" customHeight="1">
      <c r="A15277" s="9" t="s">
        <v>30752</v>
      </c>
      <c r="B15277" s="9" t="s">
        <v>30753</v>
      </c>
      <c r="C15277" s="9" t="s">
        <v>90</v>
      </c>
      <c r="D15277" s="9" t="s">
        <v>18</v>
      </c>
      <c r="E15277" s="10" t="s">
        <v>91</v>
      </c>
      <c r="F15277" s="9" t="s">
        <v>92</v>
      </c>
      <c r="G15277" s="10" t="s">
        <v>34</v>
      </c>
      <c r="H15277" s="9" t="s">
        <v>35</v>
      </c>
      <c r="I15277" s="9" t="s">
        <v>30754</v>
      </c>
      <c r="J15277" s="10" t="str">
        <f>HYPERLINK("https://www.boe.es/gazeta/dias/1834/02/13/pdfs/GMD-1834-20.pdf#page=1","Abrir facsímil")</f>
        <v>Abrir facsímil</v>
      </c>
      <c r="K15277" s="10" t="s">
        <v>37</v>
      </c>
    </row>
    <row r="15278" spans="1:11" ht="54" customHeight="1">
      <c r="A15278" s="9" t="s">
        <v>30755</v>
      </c>
      <c r="B15278" s="9" t="s">
        <v>30756</v>
      </c>
      <c r="C15278" s="9" t="s">
        <v>90</v>
      </c>
      <c r="D15278" s="9" t="s">
        <v>18</v>
      </c>
      <c r="E15278" s="10" t="s">
        <v>729</v>
      </c>
      <c r="F15278" s="9" t="s">
        <v>730</v>
      </c>
      <c r="G15278" s="10" t="s">
        <v>34</v>
      </c>
      <c r="H15278" s="9" t="s">
        <v>22</v>
      </c>
      <c r="I15278" s="9" t="s">
        <v>30757</v>
      </c>
      <c r="J15278" s="10" t="str">
        <f>HYPERLINK("https://www.boe.es/gazeta/dias/1834/04/13/pdfs/GMD-1834-52.pdf#page=1","Abrir facsímil")</f>
        <v>Abrir facsímil</v>
      </c>
      <c r="K15278" s="10" t="s">
        <v>24</v>
      </c>
    </row>
    <row r="15279" spans="1:11" ht="54" customHeight="1">
      <c r="A15279" s="9" t="s">
        <v>30758</v>
      </c>
      <c r="B15279" s="9" t="s">
        <v>30759</v>
      </c>
      <c r="C15279" s="9" t="s">
        <v>17</v>
      </c>
      <c r="D15279" s="9" t="s">
        <v>18</v>
      </c>
      <c r="E15279" s="10" t="s">
        <v>823</v>
      </c>
      <c r="F15279" s="9" t="s">
        <v>824</v>
      </c>
      <c r="G15279" s="10" t="s">
        <v>28</v>
      </c>
      <c r="H15279" s="9" t="s">
        <v>22</v>
      </c>
      <c r="I15279" s="9" t="s">
        <v>30760</v>
      </c>
      <c r="J15279" s="10" t="str">
        <f>HYPERLINK("https://www.boe.es/gazeta/dias/1834/07/23/pdfs/GMD-1834-156.pdf#page=5","Abrir facsímil")</f>
        <v>Abrir facsímil</v>
      </c>
      <c r="K15279" s="10" t="s">
        <v>24</v>
      </c>
    </row>
    <row r="15280" spans="1:11" ht="54" customHeight="1">
      <c r="A15280" s="9" t="s">
        <v>30761</v>
      </c>
      <c r="B15280" s="9" t="s">
        <v>30762</v>
      </c>
      <c r="C15280" s="9" t="s">
        <v>17</v>
      </c>
      <c r="D15280" s="9" t="s">
        <v>18</v>
      </c>
      <c r="E15280" s="10" t="s">
        <v>429</v>
      </c>
      <c r="F15280" s="9" t="s">
        <v>430</v>
      </c>
      <c r="G15280" s="10" t="s">
        <v>34</v>
      </c>
      <c r="H15280" s="9" t="s">
        <v>22</v>
      </c>
      <c r="I15280" s="9" t="s">
        <v>30763</v>
      </c>
      <c r="J15280" s="10" t="str">
        <f>HYPERLINK("https://www.boe.es/gazeta/dias/1834/08/07/pdfs/GMD-C-1834-172.pdf#page=1","Abrir facsímil")</f>
        <v>Abrir facsímil</v>
      </c>
      <c r="K15280" s="10" t="s">
        <v>24</v>
      </c>
    </row>
    <row r="15281" spans="1:11" ht="54" customHeight="1">
      <c r="A15281" s="9" t="s">
        <v>30764</v>
      </c>
      <c r="B15281" s="9" t="s">
        <v>30765</v>
      </c>
      <c r="C15281" s="9" t="s">
        <v>90</v>
      </c>
      <c r="D15281" s="9" t="s">
        <v>18</v>
      </c>
      <c r="E15281" s="10" t="s">
        <v>1922</v>
      </c>
      <c r="F15281" s="9" t="s">
        <v>1923</v>
      </c>
      <c r="G15281" s="10" t="s">
        <v>28</v>
      </c>
      <c r="H15281" s="9" t="s">
        <v>22</v>
      </c>
      <c r="I15281" s="9" t="s">
        <v>30766</v>
      </c>
      <c r="J15281" s="10" t="str">
        <f>HYPERLINK("https://www.boe.es/gazeta/dias/1834/02/25/pdfs/GMD-1834-25.pdf#page=5","Abrir facsímil")</f>
        <v>Abrir facsímil</v>
      </c>
      <c r="K15281" s="10" t="s">
        <v>24</v>
      </c>
    </row>
    <row r="15282" spans="1:11" ht="54" customHeight="1">
      <c r="A15282" s="9" t="s">
        <v>30767</v>
      </c>
      <c r="B15282" s="9" t="s">
        <v>30768</v>
      </c>
      <c r="C15282" s="9" t="s">
        <v>66</v>
      </c>
      <c r="D15282" s="9" t="s">
        <v>67</v>
      </c>
      <c r="E15282" s="10" t="s">
        <v>262</v>
      </c>
      <c r="F15282" s="9" t="s">
        <v>7012</v>
      </c>
      <c r="G15282" s="10" t="s">
        <v>75</v>
      </c>
      <c r="H15282" s="9" t="s">
        <v>22</v>
      </c>
      <c r="I15282" s="9" t="s">
        <v>30769</v>
      </c>
      <c r="J15282" s="10" t="str">
        <f>HYPERLINK("https://www.boe.es/gazeta/dias/1834/10/18/pdfs/GMD-1834-246.pdf#page=4","Abrir facsímil")</f>
        <v>Abrir facsímil</v>
      </c>
      <c r="K15282" s="10" t="s">
        <v>24</v>
      </c>
    </row>
    <row r="15283" spans="1:11" ht="54" customHeight="1">
      <c r="A15283" s="9" t="s">
        <v>30770</v>
      </c>
      <c r="B15283" s="9" t="s">
        <v>30770</v>
      </c>
      <c r="C15283" s="9" t="s">
        <v>90</v>
      </c>
      <c r="D15283" s="9" t="s">
        <v>18</v>
      </c>
      <c r="E15283" s="10" t="s">
        <v>1918</v>
      </c>
      <c r="F15283" s="9" t="s">
        <v>1919</v>
      </c>
      <c r="G15283" s="10" t="s">
        <v>86</v>
      </c>
      <c r="H15283" s="9" t="s">
        <v>22</v>
      </c>
      <c r="I15283" s="9" t="s">
        <v>30771</v>
      </c>
      <c r="J15283" s="10" t="str">
        <f>HYPERLINK("https://www.boe.es/gazeta/dias/1834/03/22/pdfs/GMD-1834-36.pdf#page=2","Abrir facsímil")</f>
        <v>Abrir facsímil</v>
      </c>
      <c r="K15283" s="10" t="s">
        <v>24</v>
      </c>
    </row>
    <row r="15284" spans="1:11" ht="54" customHeight="1">
      <c r="A15284" s="9" t="s">
        <v>30772</v>
      </c>
      <c r="B15284" s="9" t="s">
        <v>30772</v>
      </c>
      <c r="C15284" s="9" t="s">
        <v>17</v>
      </c>
      <c r="D15284" s="9" t="s">
        <v>40</v>
      </c>
      <c r="E15284" s="10" t="s">
        <v>541</v>
      </c>
      <c r="F15284" s="9" t="s">
        <v>542</v>
      </c>
      <c r="G15284" s="10" t="s">
        <v>75</v>
      </c>
      <c r="H15284" s="9" t="s">
        <v>22</v>
      </c>
      <c r="I15284" s="9" t="s">
        <v>30773</v>
      </c>
      <c r="J15284" s="10" t="str">
        <f>HYPERLINK("https://www.boe.es/gazeta/dias/1834/04/18/pdfs/GMD-1834-57.pdf#page=4","Abrir facsímil")</f>
        <v>Abrir facsímil</v>
      </c>
      <c r="K15284" s="10" t="s">
        <v>24</v>
      </c>
    </row>
    <row r="15285" spans="1:11" ht="54" customHeight="1">
      <c r="A15285" s="9" t="s">
        <v>30774</v>
      </c>
      <c r="B15285" s="9" t="s">
        <v>30775</v>
      </c>
      <c r="C15285" s="9" t="s">
        <v>66</v>
      </c>
      <c r="D15285" s="9" t="s">
        <v>67</v>
      </c>
      <c r="E15285" s="10" t="s">
        <v>833</v>
      </c>
      <c r="F15285" s="9" t="s">
        <v>834</v>
      </c>
      <c r="G15285" s="10" t="s">
        <v>75</v>
      </c>
      <c r="H15285" s="9" t="s">
        <v>22</v>
      </c>
      <c r="I15285" s="9" t="s">
        <v>30776</v>
      </c>
      <c r="J15285" s="10" t="str">
        <f>HYPERLINK("https://www.boe.es/gazeta/dias/1834/04/24/pdfs/GMD-1834-63.pdf#page=4","Abrir facsímil")</f>
        <v>Abrir facsímil</v>
      </c>
      <c r="K15285" s="10" t="s">
        <v>24</v>
      </c>
    </row>
    <row r="15286" spans="1:11" ht="54" customHeight="1">
      <c r="A15286" s="9" t="s">
        <v>30777</v>
      </c>
      <c r="B15286" s="9" t="s">
        <v>30778</v>
      </c>
      <c r="C15286" s="9" t="s">
        <v>17</v>
      </c>
      <c r="D15286" s="9" t="s">
        <v>18</v>
      </c>
      <c r="E15286" s="10" t="s">
        <v>1186</v>
      </c>
      <c r="F15286" s="9" t="s">
        <v>4286</v>
      </c>
      <c r="G15286" s="10" t="s">
        <v>86</v>
      </c>
      <c r="H15286" s="9" t="s">
        <v>22</v>
      </c>
      <c r="I15286" s="9" t="s">
        <v>30779</v>
      </c>
      <c r="J15286" s="10" t="str">
        <f>HYPERLINK("https://www.boe.es/gazeta/dias/1834/08/14/pdfs/GMD-C-1834-179.pdf#page=2","Abrir facsímil")</f>
        <v>Abrir facsímil</v>
      </c>
      <c r="K15286" s="10" t="s">
        <v>24</v>
      </c>
    </row>
    <row r="15287" spans="1:11" ht="54" customHeight="1">
      <c r="A15287" s="9" t="s">
        <v>30780</v>
      </c>
      <c r="B15287" s="9" t="s">
        <v>30781</v>
      </c>
      <c r="C15287" s="9" t="s">
        <v>90</v>
      </c>
      <c r="D15287" s="9" t="s">
        <v>101</v>
      </c>
      <c r="E15287" s="10" t="s">
        <v>2053</v>
      </c>
      <c r="F15287" s="9" t="s">
        <v>2912</v>
      </c>
      <c r="G15287" s="10" t="s">
        <v>34</v>
      </c>
      <c r="H15287" s="9" t="s">
        <v>22</v>
      </c>
      <c r="I15287" s="9" t="s">
        <v>30782</v>
      </c>
      <c r="J15287" s="10" t="str">
        <f>HYPERLINK("https://www.boe.es/gazeta/dias/1834/06/02/pdfs/GMD-1834-104E.pdf#page=1","Abrir facsímil")</f>
        <v>Abrir facsímil</v>
      </c>
      <c r="K15287" s="10" t="s">
        <v>24</v>
      </c>
    </row>
    <row r="15288" spans="1:11" ht="54" customHeight="1">
      <c r="A15288" s="9" t="s">
        <v>30783</v>
      </c>
      <c r="B15288" s="9" t="s">
        <v>30784</v>
      </c>
      <c r="C15288" s="9" t="s">
        <v>17</v>
      </c>
      <c r="D15288" s="9" t="s">
        <v>40</v>
      </c>
      <c r="E15288" s="10" t="s">
        <v>642</v>
      </c>
      <c r="F15288" s="9" t="s">
        <v>643</v>
      </c>
      <c r="G15288" s="10" t="s">
        <v>470</v>
      </c>
      <c r="H15288" s="9" t="s">
        <v>22</v>
      </c>
      <c r="I15288" s="9" t="s">
        <v>30785</v>
      </c>
      <c r="J15288" s="10" t="str">
        <f>HYPERLINK("https://www.boe.es/gazeta/dias/1834/11/12/pdfs/GMD-C-1834-271.pdf#page=8","Abrir facsímil")</f>
        <v>Abrir facsímil</v>
      </c>
      <c r="K15288" s="10" t="s">
        <v>24</v>
      </c>
    </row>
    <row r="15289" spans="1:11" ht="54" customHeight="1">
      <c r="A15289" s="9" t="s">
        <v>30786</v>
      </c>
      <c r="B15289" s="9" t="s">
        <v>30787</v>
      </c>
      <c r="C15289" s="9" t="s">
        <v>46</v>
      </c>
      <c r="D15289" s="9" t="s">
        <v>101</v>
      </c>
      <c r="E15289" s="10" t="s">
        <v>2748</v>
      </c>
      <c r="F15289" s="9" t="s">
        <v>2749</v>
      </c>
      <c r="G15289" s="10" t="s">
        <v>34</v>
      </c>
      <c r="H15289" s="9" t="s">
        <v>22</v>
      </c>
      <c r="I15289" s="9" t="s">
        <v>30788</v>
      </c>
      <c r="J15289" s="10" t="str">
        <f>HYPERLINK("https://www.boe.es/gazeta/dias/1834/01/09/pdfs/GMD-1834-5.pdf#page=1","Abrir facsímil")</f>
        <v>Abrir facsímil</v>
      </c>
      <c r="K15289" s="10" t="s">
        <v>24</v>
      </c>
    </row>
    <row r="15290" spans="1:11" ht="54" customHeight="1">
      <c r="A15290" s="9" t="s">
        <v>30789</v>
      </c>
      <c r="B15290" s="9" t="s">
        <v>30790</v>
      </c>
      <c r="C15290" s="9" t="s">
        <v>46</v>
      </c>
      <c r="D15290" s="9" t="s">
        <v>101</v>
      </c>
      <c r="E15290" s="10" t="s">
        <v>317</v>
      </c>
      <c r="F15290" s="9" t="s">
        <v>318</v>
      </c>
      <c r="G15290" s="10" t="s">
        <v>34</v>
      </c>
      <c r="H15290" s="9" t="s">
        <v>35</v>
      </c>
      <c r="I15290" s="9" t="s">
        <v>30791</v>
      </c>
      <c r="J15290" s="10" t="str">
        <f>HYPERLINK("https://www.boe.es/gazeta/dias/1834/03/06/pdfs/GMD-1834-29.pdf#page=1","Abrir facsímil")</f>
        <v>Abrir facsímil</v>
      </c>
      <c r="K15290" s="10" t="s">
        <v>37</v>
      </c>
    </row>
    <row r="15291" spans="1:11" ht="54" customHeight="1">
      <c r="A15291" s="9" t="s">
        <v>30792</v>
      </c>
      <c r="B15291" s="9" t="s">
        <v>30793</v>
      </c>
      <c r="C15291" s="9" t="s">
        <v>90</v>
      </c>
      <c r="D15291" s="9" t="s">
        <v>101</v>
      </c>
      <c r="E15291" s="10" t="s">
        <v>777</v>
      </c>
      <c r="F15291" s="9" t="s">
        <v>778</v>
      </c>
      <c r="G15291" s="10" t="s">
        <v>21</v>
      </c>
      <c r="H15291" s="9" t="s">
        <v>35</v>
      </c>
      <c r="I15291" s="9" t="s">
        <v>30794</v>
      </c>
      <c r="J15291" s="10" t="str">
        <f>HYPERLINK("https://www.boe.es/gazeta/dias/1834/10/29/pdfs/GMD-1834-257.pdf#page=3","Abrir facsímil")</f>
        <v>Abrir facsímil</v>
      </c>
      <c r="K15291" s="10" t="s">
        <v>37</v>
      </c>
    </row>
    <row r="15292" spans="1:11" ht="54" customHeight="1">
      <c r="A15292" s="9" t="s">
        <v>30795</v>
      </c>
      <c r="B15292" s="9" t="s">
        <v>30796</v>
      </c>
      <c r="C15292" s="9" t="s">
        <v>17</v>
      </c>
      <c r="D15292" s="9" t="s">
        <v>18</v>
      </c>
      <c r="E15292" s="10" t="s">
        <v>1883</v>
      </c>
      <c r="F15292" s="9" t="s">
        <v>1884</v>
      </c>
      <c r="G15292" s="10" t="s">
        <v>34</v>
      </c>
      <c r="H15292" s="9" t="s">
        <v>22</v>
      </c>
      <c r="I15292" s="9" t="s">
        <v>30797</v>
      </c>
      <c r="J15292" s="10" t="str">
        <f>HYPERLINK("https://www.boe.es/gazeta/dias/1834/01/11/pdfs/GMD-1834-6.pdf#page=1","Abrir facsímil")</f>
        <v>Abrir facsímil</v>
      </c>
      <c r="K15292" s="10" t="s">
        <v>24</v>
      </c>
    </row>
    <row r="15293" spans="1:11" ht="54" customHeight="1">
      <c r="A15293" s="9" t="s">
        <v>30798</v>
      </c>
      <c r="B15293" s="9" t="s">
        <v>30799</v>
      </c>
      <c r="C15293" s="9" t="s">
        <v>46</v>
      </c>
      <c r="D15293" s="9" t="s">
        <v>101</v>
      </c>
      <c r="E15293" s="10" t="s">
        <v>408</v>
      </c>
      <c r="F15293" s="9" t="s">
        <v>409</v>
      </c>
      <c r="G15293" s="10" t="s">
        <v>86</v>
      </c>
      <c r="H15293" s="9" t="s">
        <v>22</v>
      </c>
      <c r="I15293" s="9" t="s">
        <v>30800</v>
      </c>
      <c r="J15293" s="10" t="str">
        <f>HYPERLINK("https://www.boe.es/gazeta/dias/1834/04/28/pdfs/GMD-1834-67.pdf#page=2","Abrir facsímil")</f>
        <v>Abrir facsímil</v>
      </c>
      <c r="K15293" s="10" t="s">
        <v>24</v>
      </c>
    </row>
    <row r="15294" spans="1:11" ht="54" customHeight="1">
      <c r="A15294" s="9" t="s">
        <v>30801</v>
      </c>
      <c r="B15294" s="9" t="s">
        <v>30802</v>
      </c>
      <c r="C15294" s="9" t="s">
        <v>17</v>
      </c>
      <c r="D15294" s="9" t="s">
        <v>18</v>
      </c>
      <c r="E15294" s="10" t="s">
        <v>1340</v>
      </c>
      <c r="F15294" s="9" t="s">
        <v>3300</v>
      </c>
      <c r="G15294" s="10" t="s">
        <v>75</v>
      </c>
      <c r="H15294" s="9" t="s">
        <v>22</v>
      </c>
      <c r="I15294" s="9" t="s">
        <v>30803</v>
      </c>
      <c r="J15294" s="10" t="str">
        <f>HYPERLINK("https://www.boe.es/gazeta/dias/1834/10/05/pdfs/GMD-1834-233.pdf#page=4","Abrir facsímil")</f>
        <v>Abrir facsímil</v>
      </c>
      <c r="K15294" s="10" t="s">
        <v>24</v>
      </c>
    </row>
    <row r="15295" spans="1:11" ht="54" customHeight="1">
      <c r="A15295" s="9" t="s">
        <v>30801</v>
      </c>
      <c r="B15295" s="9" t="s">
        <v>30802</v>
      </c>
      <c r="C15295" s="9" t="s">
        <v>17</v>
      </c>
      <c r="D15295" s="9" t="s">
        <v>18</v>
      </c>
      <c r="E15295" s="10" t="s">
        <v>375</v>
      </c>
      <c r="F15295" s="9" t="s">
        <v>376</v>
      </c>
      <c r="G15295" s="10" t="s">
        <v>75</v>
      </c>
      <c r="H15295" s="9" t="s">
        <v>22</v>
      </c>
      <c r="I15295" s="9" t="s">
        <v>30804</v>
      </c>
      <c r="J15295" s="10" t="str">
        <f>HYPERLINK("https://www.boe.es/gazeta/dias/1834/08/21/pdfs/GMD-1834-187.pdf#page=4","Abrir facsímil")</f>
        <v>Abrir facsímil</v>
      </c>
      <c r="K15295" s="10" t="s">
        <v>24</v>
      </c>
    </row>
    <row r="15296" spans="1:11" ht="54" customHeight="1">
      <c r="A15296" s="9" t="s">
        <v>30805</v>
      </c>
      <c r="B15296" s="9" t="s">
        <v>30806</v>
      </c>
      <c r="C15296" s="9" t="s">
        <v>17</v>
      </c>
      <c r="D15296" s="9" t="s">
        <v>101</v>
      </c>
      <c r="E15296" s="10" t="s">
        <v>2950</v>
      </c>
      <c r="F15296" s="9" t="s">
        <v>2951</v>
      </c>
      <c r="G15296" s="10" t="s">
        <v>75</v>
      </c>
      <c r="H15296" s="9" t="s">
        <v>22</v>
      </c>
      <c r="I15296" s="9" t="s">
        <v>30807</v>
      </c>
      <c r="J15296" s="10" t="str">
        <f>HYPERLINK("https://www.boe.es/gazeta/dias/1834/05/20/pdfs/GMD-1834-89.pdf#page=4","Abrir facsímil")</f>
        <v>Abrir facsímil</v>
      </c>
      <c r="K15296" s="10" t="s">
        <v>24</v>
      </c>
    </row>
    <row r="15297" spans="1:11" ht="54" customHeight="1">
      <c r="A15297" s="9" t="s">
        <v>30808</v>
      </c>
      <c r="B15297" s="9" t="s">
        <v>30809</v>
      </c>
      <c r="C15297" s="9" t="s">
        <v>90</v>
      </c>
      <c r="D15297" s="9" t="s">
        <v>101</v>
      </c>
      <c r="E15297" s="10" t="s">
        <v>326</v>
      </c>
      <c r="F15297" s="9" t="s">
        <v>327</v>
      </c>
      <c r="G15297" s="10" t="s">
        <v>34</v>
      </c>
      <c r="H15297" s="9" t="s">
        <v>22</v>
      </c>
      <c r="I15297" s="9" t="s">
        <v>30810</v>
      </c>
      <c r="J15297" s="10" t="str">
        <f>HYPERLINK("https://www.boe.es/gazeta/dias/1834/07/15/pdfs/GMD-1834-148.pdf#page=1","Abrir facsímil")</f>
        <v>Abrir facsímil</v>
      </c>
      <c r="K15297" s="10" t="s">
        <v>24</v>
      </c>
    </row>
    <row r="15298" spans="1:11" ht="54" customHeight="1">
      <c r="A15298" s="9" t="s">
        <v>30811</v>
      </c>
      <c r="B15298" s="9" t="s">
        <v>30812</v>
      </c>
      <c r="C15298" s="9" t="s">
        <v>122</v>
      </c>
      <c r="D15298" s="9" t="s">
        <v>18</v>
      </c>
      <c r="E15298" s="10" t="s">
        <v>844</v>
      </c>
      <c r="F15298" s="9" t="s">
        <v>845</v>
      </c>
      <c r="G15298" s="10" t="s">
        <v>75</v>
      </c>
      <c r="H15298" s="9" t="s">
        <v>22</v>
      </c>
      <c r="I15298" s="9" t="s">
        <v>30813</v>
      </c>
      <c r="J15298" s="10" t="str">
        <f>HYPERLINK("https://www.boe.es/gazeta/dias/1834/03/13/pdfs/GMD-1834-32.pdf#page=4","Abrir facsímil")</f>
        <v>Abrir facsímil</v>
      </c>
      <c r="K15298" s="10" t="s">
        <v>24</v>
      </c>
    </row>
    <row r="15299" spans="1:11" ht="54" customHeight="1">
      <c r="A15299" s="9" t="s">
        <v>30814</v>
      </c>
      <c r="B15299" s="9" t="s">
        <v>30815</v>
      </c>
      <c r="C15299" s="9" t="s">
        <v>17</v>
      </c>
      <c r="D15299" s="9" t="s">
        <v>18</v>
      </c>
      <c r="E15299" s="10" t="s">
        <v>2098</v>
      </c>
      <c r="F15299" s="9" t="s">
        <v>5817</v>
      </c>
      <c r="G15299" s="10" t="s">
        <v>34</v>
      </c>
      <c r="H15299" s="9" t="s">
        <v>22</v>
      </c>
      <c r="I15299" s="9" t="s">
        <v>30816</v>
      </c>
      <c r="J15299" s="10" t="str">
        <f>HYPERLINK("https://www.boe.es/gazeta/dias/1834/08/11/pdfs/GMD-C-1834-176.pdf#page=1","Abrir facsímil")</f>
        <v>Abrir facsímil</v>
      </c>
      <c r="K15299" s="10" t="s">
        <v>24</v>
      </c>
    </row>
    <row r="15300" spans="1:11" ht="54" customHeight="1">
      <c r="A15300" s="9" t="s">
        <v>30817</v>
      </c>
      <c r="B15300" s="9" t="s">
        <v>30818</v>
      </c>
      <c r="C15300" s="9" t="s">
        <v>66</v>
      </c>
      <c r="D15300" s="9" t="s">
        <v>101</v>
      </c>
      <c r="E15300" s="10" t="s">
        <v>479</v>
      </c>
      <c r="F15300" s="9" t="s">
        <v>480</v>
      </c>
      <c r="G15300" s="10" t="s">
        <v>34</v>
      </c>
      <c r="H15300" s="9" t="s">
        <v>22</v>
      </c>
      <c r="I15300" s="9" t="s">
        <v>30819</v>
      </c>
      <c r="J15300" s="10" t="str">
        <f>HYPERLINK("https://www.boe.es/gazeta/dias/1834/08/13/pdfs/GMD-1834-178.pdf#page=1","Abrir facsímil")</f>
        <v>Abrir facsímil</v>
      </c>
      <c r="K15300" s="10" t="s">
        <v>24</v>
      </c>
    </row>
    <row r="15301" spans="1:11" ht="54" customHeight="1">
      <c r="A15301" s="9" t="s">
        <v>30820</v>
      </c>
      <c r="B15301" s="9" t="s">
        <v>30821</v>
      </c>
      <c r="C15301" s="9" t="s">
        <v>46</v>
      </c>
      <c r="D15301" s="9" t="s">
        <v>101</v>
      </c>
      <c r="E15301" s="10" t="s">
        <v>753</v>
      </c>
      <c r="F15301" s="9" t="s">
        <v>754</v>
      </c>
      <c r="G15301" s="10" t="s">
        <v>34</v>
      </c>
      <c r="H15301" s="9" t="s">
        <v>22</v>
      </c>
      <c r="I15301" s="9" t="s">
        <v>30822</v>
      </c>
      <c r="J15301" s="10" t="str">
        <f>HYPERLINK("https://www.boe.es/gazeta/dias/1834/04/21/pdfs/GMD-1834-60.pdf#page=1","Abrir facsímil")</f>
        <v>Abrir facsímil</v>
      </c>
      <c r="K15301" s="10" t="s">
        <v>24</v>
      </c>
    </row>
    <row r="15302" spans="1:11" ht="54" customHeight="1">
      <c r="A15302" s="9" t="s">
        <v>30823</v>
      </c>
      <c r="B15302" s="9" t="s">
        <v>30824</v>
      </c>
      <c r="C15302" s="9" t="s">
        <v>46</v>
      </c>
      <c r="D15302" s="9" t="s">
        <v>101</v>
      </c>
      <c r="E15302" s="10" t="s">
        <v>317</v>
      </c>
      <c r="F15302" s="9" t="s">
        <v>318</v>
      </c>
      <c r="G15302" s="10" t="s">
        <v>34</v>
      </c>
      <c r="H15302" s="9" t="s">
        <v>22</v>
      </c>
      <c r="I15302" s="9" t="s">
        <v>30825</v>
      </c>
      <c r="J15302" s="10" t="str">
        <f>HYPERLINK("https://www.boe.es/gazeta/dias/1834/03/06/pdfs/GMD-1834-29.pdf#page=1","Abrir facsímil")</f>
        <v>Abrir facsímil</v>
      </c>
      <c r="K15302" s="10" t="s">
        <v>24</v>
      </c>
    </row>
    <row r="15303" spans="1:11" ht="54" customHeight="1">
      <c r="A15303" s="9" t="s">
        <v>30826</v>
      </c>
      <c r="B15303" s="9" t="s">
        <v>30827</v>
      </c>
      <c r="C15303" s="9" t="s">
        <v>46</v>
      </c>
      <c r="D15303" s="9" t="s">
        <v>101</v>
      </c>
      <c r="E15303" s="10" t="s">
        <v>375</v>
      </c>
      <c r="F15303" s="9" t="s">
        <v>4983</v>
      </c>
      <c r="G15303" s="10" t="s">
        <v>34</v>
      </c>
      <c r="H15303" s="9" t="s">
        <v>22</v>
      </c>
      <c r="I15303" s="9" t="s">
        <v>30828</v>
      </c>
      <c r="J15303" s="10" t="str">
        <f>HYPERLINK("https://www.boe.es/gazeta/dias/1834/08/21/pdfs/GMD-C-1834-187.pdf#page=1","Abrir facsímil")</f>
        <v>Abrir facsímil</v>
      </c>
      <c r="K15303" s="10" t="s">
        <v>24</v>
      </c>
    </row>
    <row r="15304" spans="1:11" ht="54" customHeight="1">
      <c r="A15304" s="9" t="s">
        <v>30829</v>
      </c>
      <c r="B15304" s="9" t="s">
        <v>30830</v>
      </c>
      <c r="C15304" s="9" t="s">
        <v>17</v>
      </c>
      <c r="D15304" s="9" t="s">
        <v>18</v>
      </c>
      <c r="E15304" s="10" t="s">
        <v>563</v>
      </c>
      <c r="F15304" s="9" t="s">
        <v>5858</v>
      </c>
      <c r="G15304" s="10" t="s">
        <v>86</v>
      </c>
      <c r="H15304" s="9" t="s">
        <v>22</v>
      </c>
      <c r="I15304" s="9" t="s">
        <v>30831</v>
      </c>
      <c r="J15304" s="10" t="str">
        <f>HYPERLINK("https://www.boe.es/gazeta/dias/1834/04/19/pdfs/GMD-C-1834-58.pdf#page=2","Abrir facsímil")</f>
        <v>Abrir facsímil</v>
      </c>
      <c r="K15304" s="10" t="s">
        <v>24</v>
      </c>
    </row>
    <row r="15305" spans="1:11" ht="54" customHeight="1">
      <c r="A15305" s="9" t="s">
        <v>30832</v>
      </c>
      <c r="B15305" s="9" t="s">
        <v>30833</v>
      </c>
      <c r="C15305" s="9" t="s">
        <v>90</v>
      </c>
      <c r="D15305" s="9" t="s">
        <v>18</v>
      </c>
      <c r="E15305" s="10" t="s">
        <v>1674</v>
      </c>
      <c r="F15305" s="9" t="s">
        <v>3233</v>
      </c>
      <c r="G15305" s="10" t="s">
        <v>86</v>
      </c>
      <c r="H15305" s="9" t="s">
        <v>22</v>
      </c>
      <c r="I15305" s="9" t="s">
        <v>30834</v>
      </c>
      <c r="J15305" s="10" t="str">
        <f>HYPERLINK("https://www.boe.es/gazeta/dias/1834/07/25/pdfs/GMD-C-1834-158.pdf#page=2","Abrir facsímil")</f>
        <v>Abrir facsímil</v>
      </c>
      <c r="K15305" s="10" t="s">
        <v>24</v>
      </c>
    </row>
    <row r="15306" spans="1:11" ht="54" customHeight="1">
      <c r="A15306" s="9" t="s">
        <v>30835</v>
      </c>
      <c r="B15306" s="9" t="s">
        <v>30836</v>
      </c>
      <c r="C15306" s="9" t="s">
        <v>122</v>
      </c>
      <c r="D15306" s="9" t="s">
        <v>18</v>
      </c>
      <c r="E15306" s="10" t="s">
        <v>8279</v>
      </c>
      <c r="F15306" s="9" t="s">
        <v>8280</v>
      </c>
      <c r="G15306" s="10" t="s">
        <v>34</v>
      </c>
      <c r="H15306" s="9" t="s">
        <v>22</v>
      </c>
      <c r="I15306" s="9" t="s">
        <v>30837</v>
      </c>
      <c r="J15306" s="10" t="str">
        <f>HYPERLINK("https://www.boe.es/gazeta/dias/1834/04/22/pdfs/GMD-1834-61.pdf#page=1","Abrir facsímil")</f>
        <v>Abrir facsímil</v>
      </c>
      <c r="K15306" s="10" t="s">
        <v>24</v>
      </c>
    </row>
    <row r="15307" spans="1:11" ht="54" customHeight="1">
      <c r="A15307" s="9" t="s">
        <v>30838</v>
      </c>
      <c r="B15307" s="9" t="s">
        <v>30839</v>
      </c>
      <c r="C15307" s="9" t="s">
        <v>17</v>
      </c>
      <c r="D15307" s="9" t="s">
        <v>18</v>
      </c>
      <c r="E15307" s="10" t="s">
        <v>138</v>
      </c>
      <c r="F15307" s="9" t="s">
        <v>139</v>
      </c>
      <c r="G15307" s="10" t="s">
        <v>75</v>
      </c>
      <c r="H15307" s="9" t="s">
        <v>22</v>
      </c>
      <c r="I15307" s="9" t="s">
        <v>30840</v>
      </c>
      <c r="J15307" s="10" t="str">
        <f>HYPERLINK("https://www.boe.es/gazeta/dias/1834/05/17/pdfs/GMD-1834-86.pdf#page=4","Abrir facsímil")</f>
        <v>Abrir facsímil</v>
      </c>
      <c r="K15307" s="10" t="s">
        <v>24</v>
      </c>
    </row>
    <row r="15308" spans="1:11" ht="54" customHeight="1">
      <c r="A15308" s="9" t="s">
        <v>30841</v>
      </c>
      <c r="B15308" s="9" t="s">
        <v>30842</v>
      </c>
      <c r="C15308" s="9" t="s">
        <v>17</v>
      </c>
      <c r="D15308" s="9" t="s">
        <v>18</v>
      </c>
      <c r="E15308" s="10" t="s">
        <v>3328</v>
      </c>
      <c r="F15308" s="9" t="s">
        <v>3329</v>
      </c>
      <c r="G15308" s="10" t="s">
        <v>21</v>
      </c>
      <c r="H15308" s="9" t="s">
        <v>22</v>
      </c>
      <c r="I15308" s="9" t="s">
        <v>30843</v>
      </c>
      <c r="J15308" s="10" t="str">
        <f>HYPERLINK("https://www.boe.es/gazeta/dias/1834/06/04/pdfs/GMD-1834-106.pdf#page=3","Abrir facsímil")</f>
        <v>Abrir facsímil</v>
      </c>
      <c r="K15308" s="10" t="s">
        <v>24</v>
      </c>
    </row>
    <row r="15309" spans="1:11" ht="54" customHeight="1">
      <c r="A15309" s="9" t="s">
        <v>30844</v>
      </c>
      <c r="B15309" s="9" t="s">
        <v>30845</v>
      </c>
      <c r="C15309" s="9" t="s">
        <v>46</v>
      </c>
      <c r="D15309" s="9" t="s">
        <v>18</v>
      </c>
      <c r="E15309" s="10" t="s">
        <v>2153</v>
      </c>
      <c r="F15309" s="9" t="s">
        <v>2154</v>
      </c>
      <c r="G15309" s="10" t="s">
        <v>86</v>
      </c>
      <c r="H15309" s="9" t="s">
        <v>22</v>
      </c>
      <c r="I15309" s="9" t="s">
        <v>30846</v>
      </c>
      <c r="J15309" s="10" t="str">
        <f>HYPERLINK("https://www.boe.es/gazeta/dias/1834/01/23/pdfs/GMD-1834-11.pdf#page=2","Abrir facsímil")</f>
        <v>Abrir facsímil</v>
      </c>
      <c r="K15309" s="10" t="s">
        <v>24</v>
      </c>
    </row>
    <row r="15310" spans="1:11" ht="54" customHeight="1">
      <c r="A15310" s="9" t="s">
        <v>30847</v>
      </c>
      <c r="B15310" s="9" t="s">
        <v>30848</v>
      </c>
      <c r="C15310" s="9" t="s">
        <v>66</v>
      </c>
      <c r="D15310" s="9" t="s">
        <v>101</v>
      </c>
      <c r="E15310" s="10" t="s">
        <v>479</v>
      </c>
      <c r="F15310" s="9" t="s">
        <v>480</v>
      </c>
      <c r="G15310" s="10" t="s">
        <v>34</v>
      </c>
      <c r="H15310" s="9" t="s">
        <v>22</v>
      </c>
      <c r="I15310" s="9" t="s">
        <v>30849</v>
      </c>
      <c r="J15310" s="10" t="str">
        <f>HYPERLINK("https://www.boe.es/gazeta/dias/1834/08/13/pdfs/GMD-1834-178.pdf#page=1","Abrir facsímil")</f>
        <v>Abrir facsímil</v>
      </c>
      <c r="K15310" s="10" t="s">
        <v>24</v>
      </c>
    </row>
    <row r="15311" spans="1:11" ht="54" customHeight="1">
      <c r="A15311" s="9" t="s">
        <v>30850</v>
      </c>
      <c r="B15311" s="9" t="s">
        <v>30851</v>
      </c>
      <c r="C15311" s="9" t="s">
        <v>46</v>
      </c>
      <c r="D15311" s="9" t="s">
        <v>101</v>
      </c>
      <c r="E15311" s="10" t="s">
        <v>594</v>
      </c>
      <c r="F15311" s="9" t="s">
        <v>595</v>
      </c>
      <c r="G15311" s="10" t="s">
        <v>34</v>
      </c>
      <c r="H15311" s="9" t="s">
        <v>22</v>
      </c>
      <c r="I15311" s="9" t="s">
        <v>30852</v>
      </c>
      <c r="J15311" s="10" t="str">
        <f>HYPERLINK("https://www.boe.es/gazeta/dias/1834/06/01/pdfs/GMD-1834-102.pdf#page=1","Abrir facsímil")</f>
        <v>Abrir facsímil</v>
      </c>
      <c r="K15311" s="10" t="s">
        <v>24</v>
      </c>
    </row>
    <row r="15312" spans="1:11" ht="54" customHeight="1">
      <c r="A15312" s="9" t="s">
        <v>30853</v>
      </c>
      <c r="B15312" s="9" t="s">
        <v>30854</v>
      </c>
      <c r="C15312" s="9" t="s">
        <v>17</v>
      </c>
      <c r="D15312" s="9" t="s">
        <v>18</v>
      </c>
      <c r="E15312" s="10" t="s">
        <v>2459</v>
      </c>
      <c r="F15312" s="9" t="s">
        <v>2460</v>
      </c>
      <c r="G15312" s="10" t="s">
        <v>75</v>
      </c>
      <c r="H15312" s="9" t="s">
        <v>22</v>
      </c>
      <c r="I15312" s="9" t="s">
        <v>30855</v>
      </c>
      <c r="J15312" s="10" t="str">
        <f>HYPERLINK("https://www.boe.es/gazeta/dias/1834/04/04/pdfs/GMD-1834-43.pdf#page=4","Abrir facsímil")</f>
        <v>Abrir facsímil</v>
      </c>
      <c r="K15312" s="10" t="s">
        <v>24</v>
      </c>
    </row>
    <row r="15313" spans="1:11" ht="54" customHeight="1">
      <c r="A15313" s="9" t="s">
        <v>30856</v>
      </c>
      <c r="B15313" s="9" t="s">
        <v>30857</v>
      </c>
      <c r="C15313" s="9" t="s">
        <v>17</v>
      </c>
      <c r="D15313" s="9" t="s">
        <v>18</v>
      </c>
      <c r="E15313" s="10" t="s">
        <v>3282</v>
      </c>
      <c r="F15313" s="9" t="s">
        <v>3283</v>
      </c>
      <c r="G15313" s="10" t="s">
        <v>75</v>
      </c>
      <c r="H15313" s="9" t="s">
        <v>22</v>
      </c>
      <c r="I15313" s="9" t="s">
        <v>30858</v>
      </c>
      <c r="J15313" s="10" t="str">
        <f>HYPERLINK("https://www.boe.es/gazeta/dias/1834/04/15/pdfs/GMD-1834-54.pdf#page=4","Abrir facsímil")</f>
        <v>Abrir facsímil</v>
      </c>
      <c r="K15313" s="10" t="s">
        <v>24</v>
      </c>
    </row>
    <row r="15314" spans="1:11" ht="54" customHeight="1">
      <c r="A15314" s="9" t="s">
        <v>30859</v>
      </c>
      <c r="B15314" s="9" t="s">
        <v>30860</v>
      </c>
      <c r="C15314" s="9" t="s">
        <v>90</v>
      </c>
      <c r="D15314" s="9" t="s">
        <v>101</v>
      </c>
      <c r="E15314" s="10" t="s">
        <v>777</v>
      </c>
      <c r="F15314" s="9" t="s">
        <v>778</v>
      </c>
      <c r="G15314" s="10" t="s">
        <v>21</v>
      </c>
      <c r="H15314" s="9" t="s">
        <v>22</v>
      </c>
      <c r="I15314" s="9" t="s">
        <v>30861</v>
      </c>
      <c r="J15314" s="10" t="str">
        <f>HYPERLINK("https://www.boe.es/gazeta/dias/1834/10/29/pdfs/GMD-1834-257.pdf#page=3","Abrir facsímil")</f>
        <v>Abrir facsímil</v>
      </c>
      <c r="K15314" s="10" t="s">
        <v>24</v>
      </c>
    </row>
    <row r="15315" spans="1:11" ht="54" customHeight="1">
      <c r="A15315" s="9" t="s">
        <v>30862</v>
      </c>
      <c r="B15315" s="9" t="s">
        <v>30863</v>
      </c>
      <c r="C15315" s="9" t="s">
        <v>46</v>
      </c>
      <c r="D15315" s="9" t="s">
        <v>101</v>
      </c>
      <c r="E15315" s="10" t="s">
        <v>2241</v>
      </c>
      <c r="F15315" s="9" t="s">
        <v>2242</v>
      </c>
      <c r="G15315" s="10" t="s">
        <v>34</v>
      </c>
      <c r="H15315" s="9" t="s">
        <v>22</v>
      </c>
      <c r="I15315" s="9" t="s">
        <v>30864</v>
      </c>
      <c r="J15315" s="10" t="str">
        <f>HYPERLINK("https://www.boe.es/gazeta/dias/1834/03/11/pdfs/GMD-1834-31.pdf#page=1","Abrir facsímil")</f>
        <v>Abrir facsímil</v>
      </c>
      <c r="K15315" s="10" t="s">
        <v>24</v>
      </c>
    </row>
    <row r="15316" spans="1:11" ht="54" customHeight="1">
      <c r="A15316" s="9" t="s">
        <v>30862</v>
      </c>
      <c r="B15316" s="9" t="s">
        <v>30863</v>
      </c>
      <c r="C15316" s="9" t="s">
        <v>122</v>
      </c>
      <c r="D15316" s="9" t="s">
        <v>101</v>
      </c>
      <c r="E15316" s="10" t="s">
        <v>808</v>
      </c>
      <c r="F15316" s="9" t="s">
        <v>809</v>
      </c>
      <c r="G15316" s="10" t="s">
        <v>34</v>
      </c>
      <c r="H15316" s="9" t="s">
        <v>22</v>
      </c>
      <c r="I15316" s="9" t="s">
        <v>30865</v>
      </c>
      <c r="J15316" s="10" t="str">
        <f>HYPERLINK("https://www.boe.es/gazeta/dias/1834/10/11/pdfs/GMD-1834-239.pdf#page=1","Abrir facsímil")</f>
        <v>Abrir facsímil</v>
      </c>
      <c r="K15316" s="10" t="s">
        <v>24</v>
      </c>
    </row>
    <row r="15317" spans="1:11" ht="54" customHeight="1">
      <c r="A15317" s="9" t="s">
        <v>30866</v>
      </c>
      <c r="B15317" s="9" t="s">
        <v>30867</v>
      </c>
      <c r="C15317" s="9" t="s">
        <v>17</v>
      </c>
      <c r="D15317" s="9" t="s">
        <v>18</v>
      </c>
      <c r="E15317" s="10" t="s">
        <v>506</v>
      </c>
      <c r="F15317" s="9" t="s">
        <v>507</v>
      </c>
      <c r="G15317" s="10" t="s">
        <v>86</v>
      </c>
      <c r="H15317" s="9" t="s">
        <v>22</v>
      </c>
      <c r="I15317" s="9" t="s">
        <v>30868</v>
      </c>
      <c r="J15317" s="10" t="str">
        <f>HYPERLINK("https://www.boe.es/gazeta/dias/1834/03/04/pdfs/GMD-1834-28.pdf#page=2","Abrir facsímil")</f>
        <v>Abrir facsímil</v>
      </c>
      <c r="K15317" s="10" t="s">
        <v>24</v>
      </c>
    </row>
    <row r="15318" spans="1:11" ht="54" customHeight="1">
      <c r="A15318" s="9" t="s">
        <v>30866</v>
      </c>
      <c r="B15318" s="9" t="s">
        <v>30867</v>
      </c>
      <c r="C15318" s="9" t="s">
        <v>66</v>
      </c>
      <c r="D15318" s="9" t="s">
        <v>67</v>
      </c>
      <c r="E15318" s="10" t="s">
        <v>899</v>
      </c>
      <c r="F15318" s="9" t="s">
        <v>900</v>
      </c>
      <c r="G15318" s="10" t="s">
        <v>86</v>
      </c>
      <c r="H15318" s="9" t="s">
        <v>22</v>
      </c>
      <c r="I15318" s="9" t="s">
        <v>30869</v>
      </c>
      <c r="J15318" s="10" t="str">
        <f>HYPERLINK("https://www.boe.es/gazeta/dias/1834/01/30/pdfs/GMD-1834-14.pdf#page=2","Abrir facsímil")</f>
        <v>Abrir facsímil</v>
      </c>
      <c r="K15318" s="10" t="s">
        <v>24</v>
      </c>
    </row>
    <row r="15319" spans="1:11" ht="54" customHeight="1">
      <c r="A15319" s="9" t="s">
        <v>30870</v>
      </c>
      <c r="B15319" s="9" t="s">
        <v>30871</v>
      </c>
      <c r="C15319" s="9" t="s">
        <v>66</v>
      </c>
      <c r="D15319" s="9" t="s">
        <v>67</v>
      </c>
      <c r="E15319" s="10" t="s">
        <v>3488</v>
      </c>
      <c r="F15319" s="9" t="s">
        <v>3489</v>
      </c>
      <c r="G15319" s="10" t="s">
        <v>34</v>
      </c>
      <c r="H15319" s="9" t="s">
        <v>22</v>
      </c>
      <c r="I15319" s="9" t="s">
        <v>30872</v>
      </c>
      <c r="J15319" s="10" t="str">
        <f>HYPERLINK("https://www.boe.es/gazeta/dias/1834/06/22/pdfs/GMD-1834-125.pdf#page=1","Abrir facsímil")</f>
        <v>Abrir facsímil</v>
      </c>
      <c r="K15319" s="10" t="s">
        <v>24</v>
      </c>
    </row>
    <row r="15320" spans="1:11" ht="54" customHeight="1">
      <c r="A15320" s="9" t="s">
        <v>30873</v>
      </c>
      <c r="B15320" s="9" t="s">
        <v>30874</v>
      </c>
      <c r="C15320" s="9" t="s">
        <v>17</v>
      </c>
      <c r="D15320" s="9" t="s">
        <v>55</v>
      </c>
      <c r="E15320" s="10" t="s">
        <v>2379</v>
      </c>
      <c r="F15320" s="9" t="s">
        <v>2380</v>
      </c>
      <c r="G15320" s="10" t="s">
        <v>34</v>
      </c>
      <c r="H15320" s="9" t="s">
        <v>22</v>
      </c>
      <c r="I15320" s="9" t="s">
        <v>30875</v>
      </c>
      <c r="J15320" s="10" t="str">
        <f>HYPERLINK("https://www.boe.es/gazeta/dias/1834/04/03/pdfs/GMD-1834-42.pdf#page=1","Abrir facsímil")</f>
        <v>Abrir facsímil</v>
      </c>
      <c r="K15320" s="10" t="s">
        <v>24</v>
      </c>
    </row>
    <row r="15321" spans="1:11" ht="54" customHeight="1">
      <c r="A15321" s="9" t="s">
        <v>30876</v>
      </c>
      <c r="B15321" s="9" t="s">
        <v>30877</v>
      </c>
      <c r="C15321" s="9" t="s">
        <v>17</v>
      </c>
      <c r="D15321" s="9" t="s">
        <v>101</v>
      </c>
      <c r="E15321" s="10" t="s">
        <v>863</v>
      </c>
      <c r="F15321" s="9" t="s">
        <v>864</v>
      </c>
      <c r="G15321" s="10" t="s">
        <v>75</v>
      </c>
      <c r="H15321" s="9" t="s">
        <v>22</v>
      </c>
      <c r="I15321" s="9" t="s">
        <v>30878</v>
      </c>
      <c r="J15321" s="10" t="str">
        <f>HYPERLINK("https://www.boe.es/gazeta/dias/1834/09/15/pdfs/GMD-1834-213.pdf#page=4","Abrir facsímil")</f>
        <v>Abrir facsímil</v>
      </c>
      <c r="K15321" s="10" t="s">
        <v>24</v>
      </c>
    </row>
    <row r="15322" spans="1:11" ht="54" customHeight="1">
      <c r="A15322" s="9" t="s">
        <v>30879</v>
      </c>
      <c r="B15322" s="9" t="s">
        <v>30880</v>
      </c>
      <c r="C15322" s="9" t="s">
        <v>90</v>
      </c>
      <c r="D15322" s="9" t="s">
        <v>18</v>
      </c>
      <c r="E15322" s="10" t="s">
        <v>690</v>
      </c>
      <c r="F15322" s="9" t="s">
        <v>5765</v>
      </c>
      <c r="G15322" s="10" t="s">
        <v>75</v>
      </c>
      <c r="H15322" s="9" t="s">
        <v>22</v>
      </c>
      <c r="I15322" s="9" t="s">
        <v>30881</v>
      </c>
      <c r="J15322" s="10" t="str">
        <f>HYPERLINK("https://www.boe.es/gazeta/dias/1834/09/03/pdfs/GMD-1834-201.pdf#page=4","Abrir facsímil")</f>
        <v>Abrir facsímil</v>
      </c>
      <c r="K15322" s="10" t="s">
        <v>24</v>
      </c>
    </row>
    <row r="15323" spans="1:11" ht="54" customHeight="1">
      <c r="A15323" s="9" t="s">
        <v>30882</v>
      </c>
      <c r="B15323" s="9" t="s">
        <v>30883</v>
      </c>
      <c r="C15323" s="9" t="s">
        <v>90</v>
      </c>
      <c r="D15323" s="9" t="s">
        <v>18</v>
      </c>
      <c r="E15323" s="10" t="s">
        <v>32</v>
      </c>
      <c r="F15323" s="9" t="s">
        <v>33</v>
      </c>
      <c r="G15323" s="10" t="s">
        <v>34</v>
      </c>
      <c r="H15323" s="9" t="s">
        <v>22</v>
      </c>
      <c r="I15323" s="9" t="s">
        <v>30884</v>
      </c>
      <c r="J15323" s="10" t="str">
        <f>HYPERLINK("https://www.boe.es/gazeta/dias/1834/04/23/pdfs/GMD-1834-62.pdf#page=1","Abrir facsímil")</f>
        <v>Abrir facsímil</v>
      </c>
      <c r="K15323" s="10" t="s">
        <v>24</v>
      </c>
    </row>
    <row r="15324" spans="1:11" ht="54" customHeight="1">
      <c r="A15324" s="9" t="s">
        <v>30885</v>
      </c>
      <c r="B15324" s="9" t="s">
        <v>30886</v>
      </c>
      <c r="C15324" s="9" t="s">
        <v>90</v>
      </c>
      <c r="D15324" s="9" t="s">
        <v>67</v>
      </c>
      <c r="E15324" s="10" t="s">
        <v>2306</v>
      </c>
      <c r="F15324" s="9" t="s">
        <v>2307</v>
      </c>
      <c r="G15324" s="10" t="s">
        <v>34</v>
      </c>
      <c r="H15324" s="9" t="s">
        <v>35</v>
      </c>
      <c r="I15324" s="9" t="s">
        <v>30887</v>
      </c>
      <c r="J15324" s="10" t="str">
        <f>HYPERLINK("https://www.boe.es/gazeta/dias/1834/04/26/pdfs/GMD-1834-65.pdf#page=1","Abrir facsímil")</f>
        <v>Abrir facsímil</v>
      </c>
      <c r="K15324" s="10" t="s">
        <v>37</v>
      </c>
    </row>
    <row r="15325" spans="1:11" ht="54" customHeight="1">
      <c r="A15325" s="9" t="s">
        <v>30888</v>
      </c>
      <c r="B15325" s="9" t="s">
        <v>30889</v>
      </c>
      <c r="C15325" s="9" t="s">
        <v>90</v>
      </c>
      <c r="D15325" s="9" t="s">
        <v>18</v>
      </c>
      <c r="E15325" s="10" t="s">
        <v>785</v>
      </c>
      <c r="F15325" s="9" t="s">
        <v>786</v>
      </c>
      <c r="G15325" s="10" t="s">
        <v>34</v>
      </c>
      <c r="H15325" s="9" t="s">
        <v>22</v>
      </c>
      <c r="I15325" s="9" t="s">
        <v>30890</v>
      </c>
      <c r="J15325" s="10" t="str">
        <f>HYPERLINK("https://www.boe.es/gazeta/dias/1834/02/11/pdfs/GMD-1834-19.pdf#page=1","Abrir facsímil")</f>
        <v>Abrir facsímil</v>
      </c>
      <c r="K15325" s="10" t="s">
        <v>24</v>
      </c>
    </row>
    <row r="15326" spans="1:11" ht="54" customHeight="1">
      <c r="A15326" s="9" t="s">
        <v>30891</v>
      </c>
      <c r="B15326" s="9" t="s">
        <v>30892</v>
      </c>
      <c r="C15326" s="9" t="s">
        <v>90</v>
      </c>
      <c r="D15326" s="9" t="s">
        <v>67</v>
      </c>
      <c r="E15326" s="10" t="s">
        <v>2306</v>
      </c>
      <c r="F15326" s="9" t="s">
        <v>2307</v>
      </c>
      <c r="G15326" s="10" t="s">
        <v>34</v>
      </c>
      <c r="H15326" s="9" t="s">
        <v>22</v>
      </c>
      <c r="I15326" s="9" t="s">
        <v>30893</v>
      </c>
      <c r="J15326" s="10" t="str">
        <f>HYPERLINK("https://www.boe.es/gazeta/dias/1834/04/26/pdfs/GMD-1834-65.pdf#page=1","Abrir facsímil")</f>
        <v>Abrir facsímil</v>
      </c>
      <c r="K15326" s="10" t="s">
        <v>24</v>
      </c>
    </row>
    <row r="15327" spans="1:11" ht="54" customHeight="1">
      <c r="A15327" s="9" t="s">
        <v>30894</v>
      </c>
      <c r="B15327" s="9" t="s">
        <v>30895</v>
      </c>
      <c r="C15327" s="9" t="s">
        <v>122</v>
      </c>
      <c r="D15327" s="9" t="s">
        <v>101</v>
      </c>
      <c r="E15327" s="10" t="s">
        <v>317</v>
      </c>
      <c r="F15327" s="9" t="s">
        <v>318</v>
      </c>
      <c r="G15327" s="10" t="s">
        <v>34</v>
      </c>
      <c r="H15327" s="9" t="s">
        <v>22</v>
      </c>
      <c r="I15327" s="9" t="s">
        <v>30896</v>
      </c>
      <c r="J15327" s="10" t="str">
        <f>HYPERLINK("https://www.boe.es/gazeta/dias/1834/03/06/pdfs/I00139-00140.pdf#page=1","Abrir facsímil")</f>
        <v>Abrir facsímil</v>
      </c>
      <c r="K15327" s="10" t="s">
        <v>24</v>
      </c>
    </row>
    <row r="15328" spans="1:11" ht="54" customHeight="1">
      <c r="A15328" s="9" t="s">
        <v>30894</v>
      </c>
      <c r="B15328" s="9" t="s">
        <v>30895</v>
      </c>
      <c r="C15328" s="9" t="s">
        <v>122</v>
      </c>
      <c r="D15328" s="9" t="s">
        <v>101</v>
      </c>
      <c r="E15328" s="10" t="s">
        <v>317</v>
      </c>
      <c r="F15328" s="9" t="s">
        <v>318</v>
      </c>
      <c r="G15328" s="10" t="s">
        <v>21</v>
      </c>
      <c r="H15328" s="9" t="s">
        <v>22</v>
      </c>
      <c r="I15328" s="9" t="s">
        <v>30896</v>
      </c>
      <c r="J15328" s="10" t="str">
        <f>HYPERLINK("https://www.boe.es/gazeta/dias/1834/03/06/pdfs/GMD-1834-29.pdf#page=3","Abrir facsímil")</f>
        <v>Abrir facsímil</v>
      </c>
      <c r="K15328" s="10" t="s">
        <v>24</v>
      </c>
    </row>
    <row r="15329" spans="1:11" ht="54" customHeight="1">
      <c r="A15329" s="9" t="s">
        <v>30897</v>
      </c>
      <c r="B15329" s="9" t="s">
        <v>30898</v>
      </c>
      <c r="C15329" s="9" t="s">
        <v>90</v>
      </c>
      <c r="D15329" s="9" t="s">
        <v>18</v>
      </c>
      <c r="E15329" s="10" t="s">
        <v>1459</v>
      </c>
      <c r="F15329" s="9" t="s">
        <v>1460</v>
      </c>
      <c r="G15329" s="10" t="s">
        <v>34</v>
      </c>
      <c r="H15329" s="9" t="s">
        <v>22</v>
      </c>
      <c r="I15329" s="9" t="s">
        <v>30899</v>
      </c>
      <c r="J15329" s="10" t="str">
        <f>HYPERLINK("https://www.boe.es/gazeta/dias/1834/08/18/pdfs/GMD-1834-184.pdf#page=1","Abrir facsímil")</f>
        <v>Abrir facsímil</v>
      </c>
      <c r="K15329" s="10" t="s">
        <v>24</v>
      </c>
    </row>
    <row r="15330" spans="1:11" ht="54" customHeight="1">
      <c r="A15330" s="9" t="s">
        <v>30900</v>
      </c>
      <c r="B15330" s="9" t="s">
        <v>30901</v>
      </c>
      <c r="C15330" s="9" t="s">
        <v>90</v>
      </c>
      <c r="D15330" s="9" t="s">
        <v>18</v>
      </c>
      <c r="E15330" s="10" t="s">
        <v>1402</v>
      </c>
      <c r="F15330" s="9" t="s">
        <v>1403</v>
      </c>
      <c r="G15330" s="10" t="s">
        <v>86</v>
      </c>
      <c r="H15330" s="9" t="s">
        <v>22</v>
      </c>
      <c r="I15330" s="9" t="s">
        <v>30902</v>
      </c>
      <c r="J15330" s="10" t="str">
        <f>HYPERLINK("https://www.boe.es/gazeta/dias/1834/05/05/pdfs/I00347-00348.pdf#page=2","Abrir facsímil")</f>
        <v>Abrir facsímil</v>
      </c>
      <c r="K15330" s="10" t="s">
        <v>24</v>
      </c>
    </row>
    <row r="15331" spans="1:11" ht="54" customHeight="1">
      <c r="A15331" s="9" t="s">
        <v>30903</v>
      </c>
      <c r="B15331" s="9" t="s">
        <v>30904</v>
      </c>
      <c r="C15331" s="9" t="s">
        <v>66</v>
      </c>
      <c r="D15331" s="9" t="s">
        <v>67</v>
      </c>
      <c r="E15331" s="10" t="s">
        <v>133</v>
      </c>
      <c r="F15331" s="9" t="s">
        <v>134</v>
      </c>
      <c r="G15331" s="10" t="s">
        <v>34</v>
      </c>
      <c r="H15331" s="9" t="s">
        <v>22</v>
      </c>
      <c r="I15331" s="9" t="s">
        <v>30905</v>
      </c>
      <c r="J15331" s="10" t="str">
        <f>HYPERLINK("https://www.boe.es/gazeta/dias/1834/06/18/pdfs/GMD-1834-121.pdf#page=1","Abrir facsímil")</f>
        <v>Abrir facsímil</v>
      </c>
      <c r="K15331" s="10" t="s">
        <v>24</v>
      </c>
    </row>
    <row r="15332" spans="1:11" ht="54" customHeight="1">
      <c r="A15332" s="9" t="s">
        <v>30906</v>
      </c>
      <c r="B15332" s="9" t="s">
        <v>30907</v>
      </c>
      <c r="C15332" s="9" t="s">
        <v>17</v>
      </c>
      <c r="D15332" s="9" t="s">
        <v>18</v>
      </c>
      <c r="E15332" s="10" t="s">
        <v>1402</v>
      </c>
      <c r="F15332" s="9" t="s">
        <v>1403</v>
      </c>
      <c r="G15332" s="10" t="s">
        <v>86</v>
      </c>
      <c r="H15332" s="9" t="s">
        <v>22</v>
      </c>
      <c r="I15332" s="9" t="s">
        <v>30908</v>
      </c>
      <c r="J15332" s="10" t="str">
        <f>HYPERLINK("https://www.boe.es/gazeta/dias/1834/05/05/pdfs/I00347-00348.pdf#page=2","Abrir facsímil")</f>
        <v>Abrir facsímil</v>
      </c>
      <c r="K15332" s="10" t="s">
        <v>24</v>
      </c>
    </row>
    <row r="15333" spans="1:11" ht="54" customHeight="1">
      <c r="A15333" s="9" t="s">
        <v>30906</v>
      </c>
      <c r="B15333" s="9" t="s">
        <v>30907</v>
      </c>
      <c r="C15333" s="9" t="s">
        <v>17</v>
      </c>
      <c r="D15333" s="9" t="s">
        <v>18</v>
      </c>
      <c r="E15333" s="10" t="s">
        <v>1402</v>
      </c>
      <c r="F15333" s="9" t="s">
        <v>1403</v>
      </c>
      <c r="G15333" s="10" t="s">
        <v>176</v>
      </c>
      <c r="H15333" s="9" t="s">
        <v>22</v>
      </c>
      <c r="I15333" s="9" t="s">
        <v>30909</v>
      </c>
      <c r="J15333" s="10" t="str">
        <f>HYPERLINK("https://www.boe.es/gazeta/dias/1834/05/05/pdfs/GMD-1834-74.pdf#page=6","Abrir facsímil")</f>
        <v>Abrir facsímil</v>
      </c>
      <c r="K15333" s="10" t="s">
        <v>24</v>
      </c>
    </row>
    <row r="15334" spans="1:11" ht="54" customHeight="1">
      <c r="A15334" s="9" t="s">
        <v>30910</v>
      </c>
      <c r="B15334" s="9" t="s">
        <v>30911</v>
      </c>
      <c r="C15334" s="9" t="s">
        <v>66</v>
      </c>
      <c r="D15334" s="9" t="s">
        <v>67</v>
      </c>
      <c r="E15334" s="10" t="s">
        <v>772</v>
      </c>
      <c r="F15334" s="9" t="s">
        <v>773</v>
      </c>
      <c r="G15334" s="10" t="s">
        <v>75</v>
      </c>
      <c r="H15334" s="9" t="s">
        <v>22</v>
      </c>
      <c r="I15334" s="9" t="s">
        <v>30912</v>
      </c>
      <c r="J15334" s="10" t="str">
        <f>HYPERLINK("https://www.boe.es/gazeta/dias/1834/09/18/pdfs/GMD-1834-216.pdf#page=4","Abrir facsímil")</f>
        <v>Abrir facsímil</v>
      </c>
      <c r="K15334" s="10" t="s">
        <v>24</v>
      </c>
    </row>
    <row r="15335" spans="1:11" ht="54" customHeight="1">
      <c r="A15335" s="9" t="s">
        <v>30910</v>
      </c>
      <c r="B15335" s="9" t="s">
        <v>30911</v>
      </c>
      <c r="C15335" s="9" t="s">
        <v>17</v>
      </c>
      <c r="D15335" s="9" t="s">
        <v>18</v>
      </c>
      <c r="E15335" s="10" t="s">
        <v>389</v>
      </c>
      <c r="F15335" s="9" t="s">
        <v>390</v>
      </c>
      <c r="G15335" s="10" t="s">
        <v>75</v>
      </c>
      <c r="H15335" s="9" t="s">
        <v>22</v>
      </c>
      <c r="I15335" s="9" t="s">
        <v>30913</v>
      </c>
      <c r="J15335" s="10" t="str">
        <f>HYPERLINK("https://www.boe.es/gazeta/dias/1834/10/25/pdfs/GMD-1834-253.pdf#page=4","Abrir facsímil")</f>
        <v>Abrir facsímil</v>
      </c>
      <c r="K15335" s="10" t="s">
        <v>24</v>
      </c>
    </row>
    <row r="15336" spans="1:11" ht="54" customHeight="1">
      <c r="A15336" s="9" t="s">
        <v>30914</v>
      </c>
      <c r="B15336" s="9" t="s">
        <v>30915</v>
      </c>
      <c r="C15336" s="9" t="s">
        <v>17</v>
      </c>
      <c r="D15336" s="9" t="s">
        <v>18</v>
      </c>
      <c r="E15336" s="10" t="s">
        <v>1556</v>
      </c>
      <c r="F15336" s="9" t="s">
        <v>1557</v>
      </c>
      <c r="G15336" s="10" t="s">
        <v>75</v>
      </c>
      <c r="H15336" s="9" t="s">
        <v>22</v>
      </c>
      <c r="I15336" s="9" t="s">
        <v>30916</v>
      </c>
      <c r="J15336" s="10" t="str">
        <f>HYPERLINK("https://www.boe.es/gazeta/dias/1834/06/06/pdfs/GMD-1834-108.pdf#page=4","Abrir facsímil")</f>
        <v>Abrir facsímil</v>
      </c>
      <c r="K15336" s="10" t="s">
        <v>24</v>
      </c>
    </row>
    <row r="15337" spans="1:11" ht="54" customHeight="1">
      <c r="A15337" s="9" t="s">
        <v>30917</v>
      </c>
      <c r="B15337" s="9" t="s">
        <v>30917</v>
      </c>
      <c r="C15337" s="9" t="s">
        <v>17</v>
      </c>
      <c r="D15337" s="9" t="s">
        <v>18</v>
      </c>
      <c r="E15337" s="10" t="s">
        <v>2091</v>
      </c>
      <c r="F15337" s="9" t="s">
        <v>2092</v>
      </c>
      <c r="G15337" s="10" t="s">
        <v>86</v>
      </c>
      <c r="H15337" s="9" t="s">
        <v>22</v>
      </c>
      <c r="I15337" s="9" t="s">
        <v>30918</v>
      </c>
      <c r="J15337" s="10" t="str">
        <f>HYPERLINK("https://www.boe.es/gazeta/dias/1834/03/08/pdfs/GMD-1834-30.pdf#page=2","Abrir facsímil")</f>
        <v>Abrir facsímil</v>
      </c>
      <c r="K15337" s="10" t="s">
        <v>24</v>
      </c>
    </row>
    <row r="15338" spans="1:11" ht="54" customHeight="1">
      <c r="A15338" s="9" t="s">
        <v>30917</v>
      </c>
      <c r="B15338" s="9" t="s">
        <v>30917</v>
      </c>
      <c r="C15338" s="9" t="s">
        <v>17</v>
      </c>
      <c r="D15338" s="9" t="s">
        <v>18</v>
      </c>
      <c r="E15338" s="10" t="s">
        <v>2241</v>
      </c>
      <c r="F15338" s="9" t="s">
        <v>2242</v>
      </c>
      <c r="G15338" s="10" t="s">
        <v>86</v>
      </c>
      <c r="H15338" s="9" t="s">
        <v>22</v>
      </c>
      <c r="I15338" s="9" t="s">
        <v>30919</v>
      </c>
      <c r="J15338" s="10" t="str">
        <f>HYPERLINK("https://www.boe.es/gazeta/dias/1834/03/11/pdfs/GMD-1834-31.pdf#page=2","Abrir facsímil")</f>
        <v>Abrir facsímil</v>
      </c>
      <c r="K15338" s="10" t="s">
        <v>24</v>
      </c>
    </row>
    <row r="15339" spans="1:11" ht="54" customHeight="1">
      <c r="A15339" s="9" t="s">
        <v>30920</v>
      </c>
      <c r="B15339" s="9" t="s">
        <v>30920</v>
      </c>
      <c r="C15339" s="9" t="s">
        <v>17</v>
      </c>
      <c r="D15339" s="9" t="s">
        <v>18</v>
      </c>
      <c r="E15339" s="10" t="s">
        <v>785</v>
      </c>
      <c r="F15339" s="9" t="s">
        <v>786</v>
      </c>
      <c r="G15339" s="10" t="s">
        <v>21</v>
      </c>
      <c r="H15339" s="9" t="s">
        <v>22</v>
      </c>
      <c r="I15339" s="9" t="s">
        <v>30921</v>
      </c>
      <c r="J15339" s="10" t="str">
        <f>HYPERLINK("https://www.boe.es/gazeta/dias/1834/02/11/pdfs/GMD-1834-19.pdf#page=3","Abrir facsímil")</f>
        <v>Abrir facsímil</v>
      </c>
      <c r="K15339" s="10" t="s">
        <v>24</v>
      </c>
    </row>
    <row r="15340" spans="1:11" ht="54" customHeight="1">
      <c r="A15340" s="9" t="s">
        <v>30922</v>
      </c>
      <c r="B15340" s="9" t="s">
        <v>30922</v>
      </c>
      <c r="C15340" s="9" t="s">
        <v>66</v>
      </c>
      <c r="D15340" s="9" t="s">
        <v>18</v>
      </c>
      <c r="E15340" s="10" t="s">
        <v>317</v>
      </c>
      <c r="F15340" s="9" t="s">
        <v>318</v>
      </c>
      <c r="G15340" s="10" t="s">
        <v>86</v>
      </c>
      <c r="H15340" s="9" t="s">
        <v>22</v>
      </c>
      <c r="I15340" s="9" t="s">
        <v>30923</v>
      </c>
      <c r="J15340" s="10" t="str">
        <f>HYPERLINK("https://www.boe.es/gazeta/dias/1834/03/06/pdfs/GMD-1834-29.pdf#page=2","Abrir facsímil")</f>
        <v>Abrir facsímil</v>
      </c>
      <c r="K15340" s="10" t="s">
        <v>24</v>
      </c>
    </row>
    <row r="15341" spans="1:11" ht="54" customHeight="1">
      <c r="A15341" s="9" t="s">
        <v>30924</v>
      </c>
      <c r="B15341" s="9" t="s">
        <v>30924</v>
      </c>
      <c r="C15341" s="9" t="s">
        <v>17</v>
      </c>
      <c r="D15341" s="9" t="s">
        <v>18</v>
      </c>
      <c r="E15341" s="10" t="s">
        <v>371</v>
      </c>
      <c r="F15341" s="9" t="s">
        <v>372</v>
      </c>
      <c r="G15341" s="10" t="s">
        <v>21</v>
      </c>
      <c r="H15341" s="9" t="s">
        <v>22</v>
      </c>
      <c r="I15341" s="9" t="s">
        <v>30925</v>
      </c>
      <c r="J15341" s="10" t="str">
        <f>HYPERLINK("https://www.boe.es/gazeta/dias/1834/05/27/pdfs/GMD-1834-96.pdf#page=3","Abrir facsímil")</f>
        <v>Abrir facsímil</v>
      </c>
      <c r="K15341" s="10" t="s">
        <v>24</v>
      </c>
    </row>
    <row r="15342" spans="1:11" ht="54" customHeight="1">
      <c r="A15342" s="9" t="s">
        <v>30926</v>
      </c>
      <c r="B15342" s="9" t="s">
        <v>30926</v>
      </c>
      <c r="C15342" s="9" t="s">
        <v>90</v>
      </c>
      <c r="D15342" s="9" t="s">
        <v>40</v>
      </c>
      <c r="E15342" s="10" t="s">
        <v>1084</v>
      </c>
      <c r="F15342" s="9" t="s">
        <v>1085</v>
      </c>
      <c r="G15342" s="10" t="s">
        <v>176</v>
      </c>
      <c r="H15342" s="9" t="s">
        <v>22</v>
      </c>
      <c r="I15342" s="9" t="s">
        <v>30927</v>
      </c>
      <c r="J15342" s="10" t="str">
        <f>HYPERLINK("https://www.boe.es/gazeta/dias/1834/05/01/pdfs/GMD-1834-70.pdf#page=6","Abrir facsímil")</f>
        <v>Abrir facsímil</v>
      </c>
      <c r="K15342" s="10" t="s">
        <v>24</v>
      </c>
    </row>
    <row r="15343" spans="1:11" ht="54" customHeight="1">
      <c r="A15343" s="9" t="s">
        <v>30926</v>
      </c>
      <c r="B15343" s="9" t="s">
        <v>30926</v>
      </c>
      <c r="C15343" s="9" t="s">
        <v>17</v>
      </c>
      <c r="D15343" s="9" t="s">
        <v>18</v>
      </c>
      <c r="E15343" s="10" t="s">
        <v>1999</v>
      </c>
      <c r="F15343" s="9" t="s">
        <v>2000</v>
      </c>
      <c r="G15343" s="10" t="s">
        <v>75</v>
      </c>
      <c r="H15343" s="9" t="s">
        <v>22</v>
      </c>
      <c r="I15343" s="9" t="s">
        <v>30928</v>
      </c>
      <c r="J15343" s="10" t="str">
        <f>HYPERLINK("https://www.boe.es/gazeta/dias/1834/04/09/pdfs/GMD-1834-48.pdf#page=4","Abrir facsímil")</f>
        <v>Abrir facsímil</v>
      </c>
      <c r="K15343" s="10" t="s">
        <v>24</v>
      </c>
    </row>
    <row r="15344" spans="1:11" ht="54" customHeight="1">
      <c r="A15344" s="9" t="s">
        <v>30926</v>
      </c>
      <c r="B15344" s="9" t="s">
        <v>30926</v>
      </c>
      <c r="C15344" s="9" t="s">
        <v>90</v>
      </c>
      <c r="D15344" s="9" t="s">
        <v>18</v>
      </c>
      <c r="E15344" s="10" t="s">
        <v>1268</v>
      </c>
      <c r="F15344" s="9" t="s">
        <v>1269</v>
      </c>
      <c r="G15344" s="10" t="s">
        <v>75</v>
      </c>
      <c r="H15344" s="9" t="s">
        <v>22</v>
      </c>
      <c r="I15344" s="9" t="s">
        <v>30929</v>
      </c>
      <c r="J15344" s="10" t="str">
        <f>HYPERLINK("https://www.boe.es/gazeta/dias/1834/12/09/pdfs/GMD-1834-298.pdf#page=4","Abrir facsímil")</f>
        <v>Abrir facsímil</v>
      </c>
      <c r="K15344" s="10" t="s">
        <v>24</v>
      </c>
    </row>
    <row r="15345" spans="1:11" ht="54" customHeight="1">
      <c r="A15345" s="9" t="s">
        <v>30926</v>
      </c>
      <c r="B15345" s="9" t="s">
        <v>30926</v>
      </c>
      <c r="C15345" s="9" t="s">
        <v>66</v>
      </c>
      <c r="D15345" s="9" t="s">
        <v>67</v>
      </c>
      <c r="E15345" s="10" t="s">
        <v>1103</v>
      </c>
      <c r="F15345" s="9" t="s">
        <v>1259</v>
      </c>
      <c r="G15345" s="10" t="s">
        <v>21</v>
      </c>
      <c r="H15345" s="9" t="s">
        <v>22</v>
      </c>
      <c r="I15345" s="9" t="s">
        <v>30930</v>
      </c>
      <c r="J15345" s="10" t="str">
        <f>HYPERLINK("https://www.boe.es/gazeta/dias/1834/10/10/pdfs/GMD-1834-238.pdf#page=3","Abrir facsímil")</f>
        <v>Abrir facsímil</v>
      </c>
      <c r="K15345" s="10" t="s">
        <v>24</v>
      </c>
    </row>
    <row r="15346" spans="1:11" ht="54" customHeight="1">
      <c r="A15346" s="9" t="s">
        <v>30926</v>
      </c>
      <c r="B15346" s="9" t="s">
        <v>30926</v>
      </c>
      <c r="C15346" s="9" t="s">
        <v>17</v>
      </c>
      <c r="D15346" s="9" t="s">
        <v>18</v>
      </c>
      <c r="E15346" s="10" t="s">
        <v>123</v>
      </c>
      <c r="F15346" s="9" t="s">
        <v>124</v>
      </c>
      <c r="G15346" s="10" t="s">
        <v>21</v>
      </c>
      <c r="H15346" s="9" t="s">
        <v>22</v>
      </c>
      <c r="I15346" s="9" t="s">
        <v>30931</v>
      </c>
      <c r="J15346" s="10" t="str">
        <f>HYPERLINK("https://www.boe.es/gazeta/dias/1834/07/11/pdfs/GMD-1834-144.pdf#page=3","Abrir facsímil")</f>
        <v>Abrir facsímil</v>
      </c>
      <c r="K15346" s="10" t="s">
        <v>24</v>
      </c>
    </row>
    <row r="15347" spans="1:11" ht="54" customHeight="1">
      <c r="A15347" s="9" t="s">
        <v>30926</v>
      </c>
      <c r="B15347" s="9" t="s">
        <v>30926</v>
      </c>
      <c r="C15347" s="9" t="s">
        <v>17</v>
      </c>
      <c r="D15347" s="9" t="s">
        <v>18</v>
      </c>
      <c r="E15347" s="10" t="s">
        <v>348</v>
      </c>
      <c r="F15347" s="9" t="s">
        <v>349</v>
      </c>
      <c r="G15347" s="10" t="s">
        <v>34</v>
      </c>
      <c r="H15347" s="9" t="s">
        <v>22</v>
      </c>
      <c r="I15347" s="9" t="s">
        <v>30932</v>
      </c>
      <c r="J15347" s="10" t="str">
        <f>HYPERLINK("https://www.boe.es/gazeta/dias/1834/06/12/pdfs/GMD-C-1834-115.pdf#page=1","Abrir facsímil")</f>
        <v>Abrir facsímil</v>
      </c>
      <c r="K15347" s="10" t="s">
        <v>24</v>
      </c>
    </row>
    <row r="15348" spans="1:11" ht="54" customHeight="1">
      <c r="A15348" s="9" t="s">
        <v>30926</v>
      </c>
      <c r="B15348" s="9" t="s">
        <v>30926</v>
      </c>
      <c r="C15348" s="9" t="s">
        <v>17</v>
      </c>
      <c r="D15348" s="9" t="s">
        <v>18</v>
      </c>
      <c r="E15348" s="10" t="s">
        <v>1113</v>
      </c>
      <c r="F15348" s="9" t="s">
        <v>1114</v>
      </c>
      <c r="G15348" s="10" t="s">
        <v>75</v>
      </c>
      <c r="H15348" s="9" t="s">
        <v>22</v>
      </c>
      <c r="I15348" s="9" t="s">
        <v>30933</v>
      </c>
      <c r="J15348" s="10" t="str">
        <f>HYPERLINK("https://www.boe.es/gazeta/dias/1834/04/14/pdfs/GMD-1834-53.pdf#page=4","Abrir facsímil")</f>
        <v>Abrir facsímil</v>
      </c>
      <c r="K15348" s="10" t="s">
        <v>24</v>
      </c>
    </row>
    <row r="15349" spans="1:11" ht="54" customHeight="1">
      <c r="A15349" s="9" t="s">
        <v>30926</v>
      </c>
      <c r="B15349" s="9" t="s">
        <v>30926</v>
      </c>
      <c r="C15349" s="9" t="s">
        <v>17</v>
      </c>
      <c r="D15349" s="9" t="s">
        <v>18</v>
      </c>
      <c r="E15349" s="10" t="s">
        <v>928</v>
      </c>
      <c r="F15349" s="9" t="s">
        <v>3338</v>
      </c>
      <c r="G15349" s="10" t="s">
        <v>21</v>
      </c>
      <c r="H15349" s="9" t="s">
        <v>22</v>
      </c>
      <c r="I15349" s="9" t="s">
        <v>30934</v>
      </c>
      <c r="J15349" s="10" t="str">
        <f>HYPERLINK("https://www.boe.es/gazeta/dias/1834/11/15/pdfs/GMD-1834-274.pdf#page=3","Abrir facsímil")</f>
        <v>Abrir facsímil</v>
      </c>
      <c r="K15349" s="10" t="s">
        <v>24</v>
      </c>
    </row>
    <row r="15350" spans="1:11" ht="54" customHeight="1">
      <c r="A15350" s="9" t="s">
        <v>30926</v>
      </c>
      <c r="B15350" s="9" t="s">
        <v>30926</v>
      </c>
      <c r="C15350" s="9" t="s">
        <v>122</v>
      </c>
      <c r="D15350" s="9" t="s">
        <v>18</v>
      </c>
      <c r="E15350" s="10" t="s">
        <v>1394</v>
      </c>
      <c r="F15350" s="9" t="s">
        <v>1395</v>
      </c>
      <c r="G15350" s="10" t="s">
        <v>75</v>
      </c>
      <c r="H15350" s="9" t="s">
        <v>22</v>
      </c>
      <c r="I15350" s="9" t="s">
        <v>30935</v>
      </c>
      <c r="J15350" s="10" t="str">
        <f>HYPERLINK("https://www.boe.es/gazeta/dias/1834/04/16/pdfs/GMD-1834-55.pdf#page=4","Abrir facsímil")</f>
        <v>Abrir facsímil</v>
      </c>
      <c r="K15350" s="10" t="s">
        <v>24</v>
      </c>
    </row>
    <row r="15351" spans="1:11" ht="54" customHeight="1">
      <c r="A15351" s="9" t="s">
        <v>30926</v>
      </c>
      <c r="B15351" s="9" t="s">
        <v>30926</v>
      </c>
      <c r="C15351" s="9" t="s">
        <v>90</v>
      </c>
      <c r="D15351" s="9" t="s">
        <v>101</v>
      </c>
      <c r="E15351" s="10" t="s">
        <v>5574</v>
      </c>
      <c r="F15351" s="9" t="s">
        <v>5575</v>
      </c>
      <c r="G15351" s="10" t="s">
        <v>21</v>
      </c>
      <c r="H15351" s="9" t="s">
        <v>22</v>
      </c>
      <c r="I15351" s="9" t="s">
        <v>30936</v>
      </c>
      <c r="J15351" s="10" t="str">
        <f>HYPERLINK("https://www.boe.es/gazeta/dias/1834/06/16/pdfs/GMD-1834-119.pdf#page=3","Abrir facsímil")</f>
        <v>Abrir facsímil</v>
      </c>
      <c r="K15351" s="10" t="s">
        <v>24</v>
      </c>
    </row>
    <row r="15352" spans="1:11" ht="54" customHeight="1">
      <c r="A15352" s="9" t="s">
        <v>30926</v>
      </c>
      <c r="B15352" s="9" t="s">
        <v>30926</v>
      </c>
      <c r="C15352" s="9" t="s">
        <v>66</v>
      </c>
      <c r="D15352" s="9" t="s">
        <v>67</v>
      </c>
      <c r="E15352" s="10" t="s">
        <v>19</v>
      </c>
      <c r="F15352" s="9" t="s">
        <v>1933</v>
      </c>
      <c r="G15352" s="10" t="s">
        <v>86</v>
      </c>
      <c r="H15352" s="9" t="s">
        <v>22</v>
      </c>
      <c r="I15352" s="9" t="s">
        <v>30937</v>
      </c>
      <c r="J15352" s="10" t="str">
        <f>HYPERLINK("https://www.boe.es/gazeta/dias/1834/08/17/pdfs/GMD-1834-183E.pdf#page=2","Abrir facsímil")</f>
        <v>Abrir facsímil</v>
      </c>
      <c r="K15352" s="10" t="s">
        <v>24</v>
      </c>
    </row>
    <row r="15353" spans="1:11" ht="54" customHeight="1">
      <c r="A15353" s="9" t="s">
        <v>30926</v>
      </c>
      <c r="B15353" s="9" t="s">
        <v>30926</v>
      </c>
      <c r="C15353" s="9" t="s">
        <v>66</v>
      </c>
      <c r="D15353" s="9" t="s">
        <v>67</v>
      </c>
      <c r="E15353" s="10" t="s">
        <v>667</v>
      </c>
      <c r="F15353" s="9" t="s">
        <v>3347</v>
      </c>
      <c r="G15353" s="10" t="s">
        <v>21</v>
      </c>
      <c r="H15353" s="9" t="s">
        <v>22</v>
      </c>
      <c r="I15353" s="9" t="s">
        <v>30938</v>
      </c>
      <c r="J15353" s="10" t="str">
        <f>HYPERLINK("https://www.boe.es/gazeta/dias/1834/11/23/pdfs/GMD-1834-282.pdf#page=3","Abrir facsímil")</f>
        <v>Abrir facsímil</v>
      </c>
      <c r="K15353" s="10" t="s">
        <v>24</v>
      </c>
    </row>
    <row r="15354" spans="1:11" ht="54" customHeight="1">
      <c r="A15354" s="9" t="s">
        <v>30926</v>
      </c>
      <c r="B15354" s="9" t="s">
        <v>30926</v>
      </c>
      <c r="C15354" s="9" t="s">
        <v>46</v>
      </c>
      <c r="D15354" s="9" t="s">
        <v>101</v>
      </c>
      <c r="E15354" s="10" t="s">
        <v>658</v>
      </c>
      <c r="F15354" s="9" t="s">
        <v>659</v>
      </c>
      <c r="G15354" s="10" t="s">
        <v>75</v>
      </c>
      <c r="H15354" s="9" t="s">
        <v>22</v>
      </c>
      <c r="I15354" s="9" t="s">
        <v>30939</v>
      </c>
      <c r="J15354" s="10" t="str">
        <f>HYPERLINK("https://www.boe.es/gazeta/dias/1834/05/26/pdfs/GMD-1834-95.pdf#page=4","Abrir facsímil")</f>
        <v>Abrir facsímil</v>
      </c>
      <c r="K15354" s="10" t="s">
        <v>24</v>
      </c>
    </row>
    <row r="15355" spans="1:11" ht="54" customHeight="1">
      <c r="A15355" s="9" t="s">
        <v>30926</v>
      </c>
      <c r="B15355" s="9" t="s">
        <v>30926</v>
      </c>
      <c r="C15355" s="9" t="s">
        <v>17</v>
      </c>
      <c r="D15355" s="9" t="s">
        <v>18</v>
      </c>
      <c r="E15355" s="10" t="s">
        <v>283</v>
      </c>
      <c r="F15355" s="9" t="s">
        <v>2969</v>
      </c>
      <c r="G15355" s="10" t="s">
        <v>75</v>
      </c>
      <c r="H15355" s="9" t="s">
        <v>22</v>
      </c>
      <c r="I15355" s="9" t="s">
        <v>30940</v>
      </c>
      <c r="J15355" s="10" t="str">
        <f>HYPERLINK("https://www.boe.es/gazeta/dias/1834/11/29/pdfs/GMD-1834-288.pdf#page=4","Abrir facsímil")</f>
        <v>Abrir facsímil</v>
      </c>
      <c r="K15355" s="10" t="s">
        <v>24</v>
      </c>
    </row>
    <row r="15356" spans="1:11" ht="54" customHeight="1">
      <c r="A15356" s="9" t="s">
        <v>30926</v>
      </c>
      <c r="B15356" s="9" t="s">
        <v>30926</v>
      </c>
      <c r="C15356" s="9" t="s">
        <v>17</v>
      </c>
      <c r="D15356" s="9" t="s">
        <v>18</v>
      </c>
      <c r="E15356" s="10" t="s">
        <v>590</v>
      </c>
      <c r="F15356" s="9" t="s">
        <v>591</v>
      </c>
      <c r="G15356" s="10" t="s">
        <v>75</v>
      </c>
      <c r="H15356" s="9" t="s">
        <v>22</v>
      </c>
      <c r="I15356" s="9" t="s">
        <v>30941</v>
      </c>
      <c r="J15356" s="10" t="str">
        <f>HYPERLINK("https://www.boe.es/gazeta/dias/1834/11/30/pdfs/GMD-1834-289.pdf#page=4","Abrir facsímil")</f>
        <v>Abrir facsímil</v>
      </c>
      <c r="K15356" s="10" t="s">
        <v>24</v>
      </c>
    </row>
    <row r="15357" spans="1:11" ht="54" customHeight="1">
      <c r="A15357" s="9" t="s">
        <v>30942</v>
      </c>
      <c r="B15357" s="9" t="s">
        <v>30943</v>
      </c>
      <c r="C15357" s="9" t="s">
        <v>17</v>
      </c>
      <c r="D15357" s="9" t="s">
        <v>18</v>
      </c>
      <c r="E15357" s="10" t="s">
        <v>1510</v>
      </c>
      <c r="F15357" s="9" t="s">
        <v>1511</v>
      </c>
      <c r="G15357" s="10" t="s">
        <v>21</v>
      </c>
      <c r="H15357" s="9" t="s">
        <v>35</v>
      </c>
      <c r="I15357" s="9" t="s">
        <v>30944</v>
      </c>
      <c r="J15357" s="10" t="str">
        <f>HYPERLINK("https://www.boe.es/gazeta/dias/1834/06/13/pdfs/GMD-1834-116.pdf#page=3","Abrir facsímil")</f>
        <v>Abrir facsímil</v>
      </c>
      <c r="K15357" s="10" t="s">
        <v>37</v>
      </c>
    </row>
    <row r="15358" spans="1:11" ht="54" customHeight="1">
      <c r="A15358" s="9" t="s">
        <v>30945</v>
      </c>
      <c r="B15358" s="9" t="s">
        <v>30946</v>
      </c>
      <c r="C15358" s="9" t="s">
        <v>66</v>
      </c>
      <c r="D15358" s="9" t="s">
        <v>67</v>
      </c>
      <c r="E15358" s="10" t="s">
        <v>32</v>
      </c>
      <c r="F15358" s="9" t="s">
        <v>33</v>
      </c>
      <c r="G15358" s="10" t="s">
        <v>75</v>
      </c>
      <c r="H15358" s="9" t="s">
        <v>22</v>
      </c>
      <c r="I15358" s="9" t="s">
        <v>30947</v>
      </c>
      <c r="J15358" s="10" t="str">
        <f>HYPERLINK("https://www.boe.es/gazeta/dias/1834/04/23/pdfs/GMD-1834-62.pdf#page=4","Abrir facsímil")</f>
        <v>Abrir facsímil</v>
      </c>
      <c r="K15358" s="10" t="s">
        <v>24</v>
      </c>
    </row>
    <row r="15359" spans="1:11" ht="54" customHeight="1">
      <c r="A15359" s="9" t="s">
        <v>30948</v>
      </c>
      <c r="B15359" s="9" t="s">
        <v>30949</v>
      </c>
      <c r="C15359" s="9" t="s">
        <v>46</v>
      </c>
      <c r="D15359" s="9" t="s">
        <v>18</v>
      </c>
      <c r="E15359" s="10" t="s">
        <v>3810</v>
      </c>
      <c r="F15359" s="9" t="s">
        <v>3811</v>
      </c>
      <c r="G15359" s="10" t="s">
        <v>75</v>
      </c>
      <c r="H15359" s="9" t="s">
        <v>22</v>
      </c>
      <c r="I15359" s="9" t="s">
        <v>30950</v>
      </c>
      <c r="J15359" s="10" t="str">
        <f>HYPERLINK("https://www.boe.es/gazeta/dias/1834/02/20/pdfs/GMD-1834-23.pdf#page=4","Abrir facsímil")</f>
        <v>Abrir facsímil</v>
      </c>
      <c r="K15359" s="10" t="s">
        <v>24</v>
      </c>
    </row>
    <row r="15360" spans="1:11" ht="54" customHeight="1">
      <c r="A15360" s="9" t="s">
        <v>30951</v>
      </c>
      <c r="B15360" s="9" t="s">
        <v>30952</v>
      </c>
      <c r="C15360" s="9" t="s">
        <v>17</v>
      </c>
      <c r="D15360" s="9" t="s">
        <v>18</v>
      </c>
      <c r="E15360" s="10" t="s">
        <v>1103</v>
      </c>
      <c r="F15360" s="9" t="s">
        <v>1259</v>
      </c>
      <c r="G15360" s="10" t="s">
        <v>21</v>
      </c>
      <c r="H15360" s="9" t="s">
        <v>22</v>
      </c>
      <c r="I15360" s="9" t="s">
        <v>30953</v>
      </c>
      <c r="J15360" s="10" t="str">
        <f>HYPERLINK("https://www.boe.es/gazeta/dias/1834/10/10/pdfs/GMD-1834-238.pdf#page=3","Abrir facsímil")</f>
        <v>Abrir facsímil</v>
      </c>
      <c r="K15360" s="10" t="s">
        <v>24</v>
      </c>
    </row>
    <row r="15361" spans="1:11" ht="54" customHeight="1">
      <c r="A15361" s="9" t="s">
        <v>30951</v>
      </c>
      <c r="B15361" s="9" t="s">
        <v>30952</v>
      </c>
      <c r="C15361" s="9" t="s">
        <v>17</v>
      </c>
      <c r="D15361" s="9" t="s">
        <v>18</v>
      </c>
      <c r="E15361" s="10" t="s">
        <v>1510</v>
      </c>
      <c r="F15361" s="9" t="s">
        <v>1511</v>
      </c>
      <c r="G15361" s="10" t="s">
        <v>21</v>
      </c>
      <c r="H15361" s="9" t="s">
        <v>22</v>
      </c>
      <c r="I15361" s="9" t="s">
        <v>30954</v>
      </c>
      <c r="J15361" s="10" t="str">
        <f>HYPERLINK("https://www.boe.es/gazeta/dias/1834/06/13/pdfs/GMD-1834-116.pdf#page=3","Abrir facsímil")</f>
        <v>Abrir facsímil</v>
      </c>
      <c r="K15361" s="10" t="s">
        <v>24</v>
      </c>
    </row>
    <row r="15362" spans="1:11" ht="54" customHeight="1">
      <c r="A15362" s="9" t="s">
        <v>30955</v>
      </c>
      <c r="B15362" s="9" t="s">
        <v>30956</v>
      </c>
      <c r="C15362" s="9" t="s">
        <v>17</v>
      </c>
      <c r="D15362" s="9" t="s">
        <v>18</v>
      </c>
      <c r="E15362" s="10" t="s">
        <v>1955</v>
      </c>
      <c r="F15362" s="9" t="s">
        <v>1956</v>
      </c>
      <c r="G15362" s="10" t="s">
        <v>21</v>
      </c>
      <c r="H15362" s="9" t="s">
        <v>22</v>
      </c>
      <c r="I15362" s="9" t="s">
        <v>30957</v>
      </c>
      <c r="J15362" s="10" t="str">
        <f>HYPERLINK("https://www.boe.es/gazeta/dias/1834/05/04/pdfs/GMD-1834-73.pdf#page=3","Abrir facsímil")</f>
        <v>Abrir facsímil</v>
      </c>
      <c r="K15362" s="10" t="s">
        <v>24</v>
      </c>
    </row>
    <row r="15363" spans="1:11" ht="54" customHeight="1">
      <c r="A15363" s="9" t="s">
        <v>30955</v>
      </c>
      <c r="B15363" s="9" t="s">
        <v>30956</v>
      </c>
      <c r="C15363" s="9" t="s">
        <v>17</v>
      </c>
      <c r="D15363" s="9" t="s">
        <v>18</v>
      </c>
      <c r="E15363" s="10" t="s">
        <v>1510</v>
      </c>
      <c r="F15363" s="9" t="s">
        <v>1511</v>
      </c>
      <c r="G15363" s="10" t="s">
        <v>21</v>
      </c>
      <c r="H15363" s="9" t="s">
        <v>22</v>
      </c>
      <c r="I15363" s="9" t="s">
        <v>30958</v>
      </c>
      <c r="J15363" s="10" t="str">
        <f>HYPERLINK("https://www.boe.es/gazeta/dias/1834/06/13/pdfs/GMD-1834-116.pdf#page=3","Abrir facsímil")</f>
        <v>Abrir facsímil</v>
      </c>
      <c r="K15363" s="10" t="s">
        <v>24</v>
      </c>
    </row>
    <row r="15364" spans="1:11" ht="54" customHeight="1">
      <c r="A15364" s="9" t="s">
        <v>30955</v>
      </c>
      <c r="B15364" s="9" t="s">
        <v>30956</v>
      </c>
      <c r="C15364" s="9" t="s">
        <v>66</v>
      </c>
      <c r="D15364" s="9" t="s">
        <v>67</v>
      </c>
      <c r="E15364" s="10" t="s">
        <v>3248</v>
      </c>
      <c r="F15364" s="9" t="s">
        <v>3249</v>
      </c>
      <c r="G15364" s="10" t="s">
        <v>21</v>
      </c>
      <c r="H15364" s="9" t="s">
        <v>22</v>
      </c>
      <c r="I15364" s="9" t="s">
        <v>30959</v>
      </c>
      <c r="J15364" s="10" t="str">
        <f>HYPERLINK("https://www.boe.es/gazeta/dias/1834/09/20/pdfs/GMD-1834-218.pdf#page=3","Abrir facsímil")</f>
        <v>Abrir facsímil</v>
      </c>
      <c r="K15364" s="10" t="s">
        <v>24</v>
      </c>
    </row>
    <row r="15365" spans="1:11" ht="54" customHeight="1">
      <c r="A15365" s="9" t="s">
        <v>30960</v>
      </c>
      <c r="B15365" s="9" t="s">
        <v>30961</v>
      </c>
      <c r="C15365" s="9" t="s">
        <v>46</v>
      </c>
      <c r="D15365" s="9" t="s">
        <v>101</v>
      </c>
      <c r="E15365" s="10" t="s">
        <v>32</v>
      </c>
      <c r="F15365" s="9" t="s">
        <v>33</v>
      </c>
      <c r="G15365" s="10" t="s">
        <v>28</v>
      </c>
      <c r="H15365" s="9" t="s">
        <v>22</v>
      </c>
      <c r="I15365" s="9" t="s">
        <v>30962</v>
      </c>
      <c r="J15365" s="10" t="str">
        <f>HYPERLINK("https://www.boe.es/gazeta/dias/1834/04/23/pdfs/GMD-1834-62.pdf#page=5","Abrir facsímil")</f>
        <v>Abrir facsímil</v>
      </c>
      <c r="K15365" s="10" t="s">
        <v>24</v>
      </c>
    </row>
    <row r="15366" spans="1:11" ht="54" customHeight="1">
      <c r="A15366" s="9" t="s">
        <v>30963</v>
      </c>
      <c r="B15366" s="9" t="s">
        <v>30964</v>
      </c>
      <c r="C15366" s="9" t="s">
        <v>17</v>
      </c>
      <c r="D15366" s="9" t="s">
        <v>18</v>
      </c>
      <c r="E15366" s="10" t="s">
        <v>3225</v>
      </c>
      <c r="F15366" s="9" t="s">
        <v>3226</v>
      </c>
      <c r="G15366" s="10" t="s">
        <v>86</v>
      </c>
      <c r="H15366" s="9" t="s">
        <v>22</v>
      </c>
      <c r="I15366" s="9" t="s">
        <v>30965</v>
      </c>
      <c r="J15366" s="10" t="str">
        <f>HYPERLINK("https://www.boe.es/gazeta/dias/1834/08/22/pdfs/GMD-1834-188.pdf#page=2","Abrir facsímil")</f>
        <v>Abrir facsímil</v>
      </c>
      <c r="K15366" s="10" t="s">
        <v>24</v>
      </c>
    </row>
    <row r="15367" spans="1:11" ht="54" customHeight="1">
      <c r="A15367" s="9" t="s">
        <v>30966</v>
      </c>
      <c r="B15367" s="9" t="s">
        <v>30967</v>
      </c>
      <c r="C15367" s="9" t="s">
        <v>17</v>
      </c>
      <c r="D15367" s="9" t="s">
        <v>18</v>
      </c>
      <c r="E15367" s="10" t="s">
        <v>976</v>
      </c>
      <c r="F15367" s="9" t="s">
        <v>1061</v>
      </c>
      <c r="G15367" s="10" t="s">
        <v>34</v>
      </c>
      <c r="H15367" s="9" t="s">
        <v>22</v>
      </c>
      <c r="I15367" s="9" t="s">
        <v>30968</v>
      </c>
      <c r="J15367" s="10" t="str">
        <f>HYPERLINK("https://www.boe.es/gazeta/dias/1834/04/02/pdfs/GMD-C-1834-41.pdf#page=1","Abrir facsímil")</f>
        <v>Abrir facsímil</v>
      </c>
      <c r="K15367" s="10" t="s">
        <v>24</v>
      </c>
    </row>
    <row r="15368" spans="1:11" ht="54" customHeight="1">
      <c r="A15368" s="9" t="s">
        <v>30969</v>
      </c>
      <c r="B15368" s="9" t="s">
        <v>30970</v>
      </c>
      <c r="C15368" s="9" t="s">
        <v>17</v>
      </c>
      <c r="D15368" s="9" t="s">
        <v>18</v>
      </c>
      <c r="E15368" s="10" t="s">
        <v>707</v>
      </c>
      <c r="F15368" s="9" t="s">
        <v>1359</v>
      </c>
      <c r="G15368" s="10" t="s">
        <v>75</v>
      </c>
      <c r="H15368" s="9" t="s">
        <v>22</v>
      </c>
      <c r="I15368" s="9" t="s">
        <v>30971</v>
      </c>
      <c r="J15368" s="10" t="str">
        <f>HYPERLINK("https://www.boe.es/gazeta/dias/1834/11/25/pdfs/GMD-1834-284.pdf#page=4","Abrir facsímil")</f>
        <v>Abrir facsímil</v>
      </c>
      <c r="K15368" s="10" t="s">
        <v>24</v>
      </c>
    </row>
    <row r="15369" spans="1:11" ht="54" customHeight="1">
      <c r="A15369" s="9" t="s">
        <v>30972</v>
      </c>
      <c r="B15369" s="9" t="s">
        <v>30973</v>
      </c>
      <c r="C15369" s="9" t="s">
        <v>17</v>
      </c>
      <c r="D15369" s="9" t="s">
        <v>18</v>
      </c>
      <c r="E15369" s="10" t="s">
        <v>615</v>
      </c>
      <c r="F15369" s="9" t="s">
        <v>616</v>
      </c>
      <c r="G15369" s="10" t="s">
        <v>86</v>
      </c>
      <c r="H15369" s="9" t="s">
        <v>22</v>
      </c>
      <c r="I15369" s="9" t="s">
        <v>30974</v>
      </c>
      <c r="J15369" s="10" t="str">
        <f>HYPERLINK("https://www.boe.es/gazeta/dias/1834/08/19/pdfs/GMD-1834-185.pdf#page=2","Abrir facsímil")</f>
        <v>Abrir facsímil</v>
      </c>
      <c r="K15369" s="10" t="s">
        <v>24</v>
      </c>
    </row>
    <row r="15370" spans="1:11" ht="54" customHeight="1">
      <c r="A15370" s="9" t="s">
        <v>30975</v>
      </c>
      <c r="B15370" s="9" t="s">
        <v>30975</v>
      </c>
      <c r="C15370" s="9" t="s">
        <v>17</v>
      </c>
      <c r="D15370" s="9" t="s">
        <v>18</v>
      </c>
      <c r="E15370" s="10" t="s">
        <v>265</v>
      </c>
      <c r="F15370" s="9" t="s">
        <v>969</v>
      </c>
      <c r="G15370" s="10" t="s">
        <v>86</v>
      </c>
      <c r="H15370" s="9" t="s">
        <v>22</v>
      </c>
      <c r="I15370" s="9" t="s">
        <v>30976</v>
      </c>
      <c r="J15370" s="10" t="str">
        <f>HYPERLINK("https://www.boe.es/gazeta/dias/1834/11/19/pdfs/GMD-1834-278.pdf#page=2","Abrir facsímil")</f>
        <v>Abrir facsímil</v>
      </c>
      <c r="K15370" s="10" t="s">
        <v>24</v>
      </c>
    </row>
    <row r="15371" spans="1:11" ht="54" customHeight="1">
      <c r="A15371" s="9" t="s">
        <v>30977</v>
      </c>
      <c r="B15371" s="9" t="s">
        <v>30977</v>
      </c>
      <c r="C15371" s="9" t="s">
        <v>17</v>
      </c>
      <c r="D15371" s="9" t="s">
        <v>18</v>
      </c>
      <c r="E15371" s="10" t="s">
        <v>243</v>
      </c>
      <c r="F15371" s="9" t="s">
        <v>244</v>
      </c>
      <c r="G15371" s="10" t="s">
        <v>86</v>
      </c>
      <c r="H15371" s="9" t="s">
        <v>22</v>
      </c>
      <c r="I15371" s="9" t="s">
        <v>30978</v>
      </c>
      <c r="J15371" s="10" t="str">
        <f>HYPERLINK("https://www.boe.es/gazeta/dias/1834/08/05/pdfs/GMD-C-1834-169.pdf#page=2","Abrir facsímil")</f>
        <v>Abrir facsímil</v>
      </c>
      <c r="K15371" s="10" t="s">
        <v>24</v>
      </c>
    </row>
    <row r="15372" spans="1:11" ht="54" customHeight="1">
      <c r="A15372" s="9" t="s">
        <v>30979</v>
      </c>
      <c r="B15372" s="9" t="s">
        <v>30979</v>
      </c>
      <c r="C15372" s="9" t="s">
        <v>17</v>
      </c>
      <c r="D15372" s="9" t="s">
        <v>18</v>
      </c>
      <c r="E15372" s="10" t="s">
        <v>243</v>
      </c>
      <c r="F15372" s="9" t="s">
        <v>244</v>
      </c>
      <c r="G15372" s="10" t="s">
        <v>86</v>
      </c>
      <c r="H15372" s="9" t="s">
        <v>22</v>
      </c>
      <c r="I15372" s="9" t="s">
        <v>30980</v>
      </c>
      <c r="J15372" s="10" t="str">
        <f>HYPERLINK("https://www.boe.es/gazeta/dias/1834/08/05/pdfs/GMD-C-1834-169.pdf#page=2","Abrir facsímil")</f>
        <v>Abrir facsímil</v>
      </c>
      <c r="K15372" s="10" t="s">
        <v>24</v>
      </c>
    </row>
    <row r="15373" spans="1:11" ht="54" customHeight="1">
      <c r="A15373" s="9" t="s">
        <v>30981</v>
      </c>
      <c r="B15373" s="9" t="s">
        <v>30981</v>
      </c>
      <c r="C15373" s="9" t="s">
        <v>17</v>
      </c>
      <c r="D15373" s="9" t="s">
        <v>18</v>
      </c>
      <c r="E15373" s="10" t="s">
        <v>158</v>
      </c>
      <c r="F15373" s="9" t="s">
        <v>581</v>
      </c>
      <c r="G15373" s="10" t="s">
        <v>86</v>
      </c>
      <c r="H15373" s="9" t="s">
        <v>22</v>
      </c>
      <c r="I15373" s="9" t="s">
        <v>30982</v>
      </c>
      <c r="J15373" s="10" t="str">
        <f>HYPERLINK("https://www.boe.es/gazeta/dias/1834/10/01/pdfs/GMD-C-1834-229.pdf#page=2","Abrir facsímil")</f>
        <v>Abrir facsímil</v>
      </c>
      <c r="K15373" s="10" t="s">
        <v>24</v>
      </c>
    </row>
    <row r="15374" spans="1:11" ht="54" customHeight="1">
      <c r="A15374" s="9" t="s">
        <v>30981</v>
      </c>
      <c r="B15374" s="9" t="s">
        <v>30981</v>
      </c>
      <c r="C15374" s="9" t="s">
        <v>90</v>
      </c>
      <c r="D15374" s="9" t="s">
        <v>18</v>
      </c>
      <c r="E15374" s="10" t="s">
        <v>3036</v>
      </c>
      <c r="F15374" s="9" t="s">
        <v>3037</v>
      </c>
      <c r="G15374" s="10" t="s">
        <v>21</v>
      </c>
      <c r="H15374" s="9" t="s">
        <v>22</v>
      </c>
      <c r="I15374" s="9" t="s">
        <v>30983</v>
      </c>
      <c r="J15374" s="10" t="str">
        <f>HYPERLINK("https://www.boe.es/gazeta/dias/1834/11/18/pdfs/GMD-C-1834-277.pdf#page=3","Abrir facsímil")</f>
        <v>Abrir facsímil</v>
      </c>
      <c r="K15374" s="10" t="s">
        <v>24</v>
      </c>
    </row>
    <row r="15375" spans="1:11" ht="54" customHeight="1">
      <c r="A15375" s="9" t="s">
        <v>30981</v>
      </c>
      <c r="B15375" s="9" t="s">
        <v>30981</v>
      </c>
      <c r="C15375" s="9" t="s">
        <v>17</v>
      </c>
      <c r="D15375" s="9" t="s">
        <v>18</v>
      </c>
      <c r="E15375" s="10" t="s">
        <v>378</v>
      </c>
      <c r="F15375" s="9" t="s">
        <v>888</v>
      </c>
      <c r="G15375" s="10" t="s">
        <v>75</v>
      </c>
      <c r="H15375" s="9" t="s">
        <v>22</v>
      </c>
      <c r="I15375" s="9" t="s">
        <v>30984</v>
      </c>
      <c r="J15375" s="10" t="str">
        <f>HYPERLINK("https://www.boe.es/gazeta/dias/1834/09/24/pdfs/GMD-C-1834-222.pdf#page=4","Abrir facsímil")</f>
        <v>Abrir facsímil</v>
      </c>
      <c r="K15375" s="10" t="s">
        <v>24</v>
      </c>
    </row>
    <row r="15376" spans="1:11" ht="54" customHeight="1">
      <c r="A15376" s="9" t="s">
        <v>30981</v>
      </c>
      <c r="B15376" s="9" t="s">
        <v>30981</v>
      </c>
      <c r="C15376" s="9" t="s">
        <v>17</v>
      </c>
      <c r="D15376" s="9" t="s">
        <v>18</v>
      </c>
      <c r="E15376" s="10" t="s">
        <v>128</v>
      </c>
      <c r="F15376" s="9" t="s">
        <v>129</v>
      </c>
      <c r="G15376" s="10" t="s">
        <v>86</v>
      </c>
      <c r="H15376" s="9" t="s">
        <v>22</v>
      </c>
      <c r="I15376" s="9" t="s">
        <v>30985</v>
      </c>
      <c r="J15376" s="10" t="str">
        <f>HYPERLINK("https://www.boe.es/gazeta/dias/1834/12/24/pdfs/GMD-C-1834-314.pdf#page=2","Abrir facsímil")</f>
        <v>Abrir facsímil</v>
      </c>
      <c r="K15376" s="10" t="s">
        <v>24</v>
      </c>
    </row>
    <row r="15377" spans="1:11" ht="54" customHeight="1">
      <c r="A15377" s="9" t="s">
        <v>30981</v>
      </c>
      <c r="B15377" s="9" t="s">
        <v>30981</v>
      </c>
      <c r="C15377" s="9" t="s">
        <v>17</v>
      </c>
      <c r="D15377" s="9" t="s">
        <v>18</v>
      </c>
      <c r="E15377" s="10" t="s">
        <v>128</v>
      </c>
      <c r="F15377" s="9" t="s">
        <v>129</v>
      </c>
      <c r="G15377" s="10" t="s">
        <v>21</v>
      </c>
      <c r="H15377" s="9" t="s">
        <v>22</v>
      </c>
      <c r="I15377" s="9" t="s">
        <v>30986</v>
      </c>
      <c r="J15377" s="10" t="str">
        <f>HYPERLINK("https://www.boe.es/gazeta/dias/1834/12/24/pdfs/GMD-C-1834-314.pdf#page=3","Abrir facsímil")</f>
        <v>Abrir facsímil</v>
      </c>
      <c r="K15377" s="10" t="s">
        <v>24</v>
      </c>
    </row>
    <row r="15378" spans="1:11" ht="54" customHeight="1">
      <c r="A15378" s="9" t="s">
        <v>30981</v>
      </c>
      <c r="B15378" s="9" t="s">
        <v>30981</v>
      </c>
      <c r="C15378" s="9" t="s">
        <v>17</v>
      </c>
      <c r="D15378" s="9" t="s">
        <v>18</v>
      </c>
      <c r="E15378" s="10" t="s">
        <v>510</v>
      </c>
      <c r="F15378" s="9" t="s">
        <v>531</v>
      </c>
      <c r="G15378" s="10" t="s">
        <v>75</v>
      </c>
      <c r="H15378" s="9" t="s">
        <v>22</v>
      </c>
      <c r="I15378" s="9" t="s">
        <v>30987</v>
      </c>
      <c r="J15378" s="10" t="str">
        <f>HYPERLINK("https://www.boe.es/gazeta/dias/1834/11/26/pdfs/GMD-C-1834-285.pdf#page=4","Abrir facsímil")</f>
        <v>Abrir facsímil</v>
      </c>
      <c r="K15378" s="10" t="s">
        <v>24</v>
      </c>
    </row>
    <row r="15379" spans="1:11" ht="54" customHeight="1">
      <c r="A15379" s="9" t="s">
        <v>30981</v>
      </c>
      <c r="B15379" s="9" t="s">
        <v>30981</v>
      </c>
      <c r="C15379" s="9" t="s">
        <v>17</v>
      </c>
      <c r="D15379" s="9" t="s">
        <v>18</v>
      </c>
      <c r="E15379" s="10" t="s">
        <v>468</v>
      </c>
      <c r="F15379" s="9" t="s">
        <v>469</v>
      </c>
      <c r="G15379" s="10" t="s">
        <v>1099</v>
      </c>
      <c r="H15379" s="9" t="s">
        <v>22</v>
      </c>
      <c r="I15379" s="9" t="s">
        <v>30988</v>
      </c>
      <c r="J15379" s="10" t="str">
        <f>HYPERLINK("https://www.boe.es/gazeta/dias/1834/12/28/pdfs/GMD-C-1834-318.pdf#page=11","Abrir facsímil")</f>
        <v>Abrir facsímil</v>
      </c>
      <c r="K15379" s="10" t="s">
        <v>24</v>
      </c>
    </row>
    <row r="15380" spans="1:11" ht="54" customHeight="1">
      <c r="A15380" s="9" t="s">
        <v>30981</v>
      </c>
      <c r="B15380" s="9" t="s">
        <v>30981</v>
      </c>
      <c r="C15380" s="9" t="s">
        <v>17</v>
      </c>
      <c r="D15380" s="9" t="s">
        <v>18</v>
      </c>
      <c r="E15380" s="10" t="s">
        <v>891</v>
      </c>
      <c r="F15380" s="9" t="s">
        <v>892</v>
      </c>
      <c r="G15380" s="10" t="s">
        <v>176</v>
      </c>
      <c r="H15380" s="9" t="s">
        <v>22</v>
      </c>
      <c r="I15380" s="9" t="s">
        <v>30989</v>
      </c>
      <c r="J15380" s="10" t="str">
        <f>HYPERLINK("https://www.boe.es/gazeta/dias/1834/10/31/pdfs/GMD-C-1834-259.pdf#page=6","Abrir facsímil")</f>
        <v>Abrir facsímil</v>
      </c>
      <c r="K15380" s="10" t="s">
        <v>24</v>
      </c>
    </row>
    <row r="15381" spans="1:11" ht="54" customHeight="1">
      <c r="A15381" s="9" t="s">
        <v>30990</v>
      </c>
      <c r="B15381" s="9" t="s">
        <v>30991</v>
      </c>
      <c r="C15381" s="9" t="s">
        <v>122</v>
      </c>
      <c r="D15381" s="9" t="s">
        <v>18</v>
      </c>
      <c r="E15381" s="10" t="s">
        <v>1351</v>
      </c>
      <c r="F15381" s="9" t="s">
        <v>1352</v>
      </c>
      <c r="G15381" s="10" t="s">
        <v>75</v>
      </c>
      <c r="H15381" s="9" t="s">
        <v>35</v>
      </c>
      <c r="I15381" s="9" t="s">
        <v>30992</v>
      </c>
      <c r="J15381" s="10" t="str">
        <f>HYPERLINK("https://www.boe.es/gazeta/dias/1834/07/05/pdfs/GMD-1834-138.pdf#page=4","Abrir facsímil")</f>
        <v>Abrir facsímil</v>
      </c>
      <c r="K15381" s="10" t="s">
        <v>37</v>
      </c>
    </row>
    <row r="15382" spans="1:11" ht="54" customHeight="1">
      <c r="A15382" s="9" t="s">
        <v>30993</v>
      </c>
      <c r="B15382" s="9" t="s">
        <v>30994</v>
      </c>
      <c r="C15382" s="9" t="s">
        <v>17</v>
      </c>
      <c r="D15382" s="9" t="s">
        <v>18</v>
      </c>
      <c r="E15382" s="10" t="s">
        <v>976</v>
      </c>
      <c r="F15382" s="9" t="s">
        <v>1061</v>
      </c>
      <c r="G15382" s="10" t="s">
        <v>34</v>
      </c>
      <c r="H15382" s="9" t="s">
        <v>22</v>
      </c>
      <c r="I15382" s="9" t="s">
        <v>30995</v>
      </c>
      <c r="J15382" s="10" t="str">
        <f>HYPERLINK("https://www.boe.es/gazeta/dias/1834/04/02/pdfs/GMD-C-1834-41.pdf#page=1","Abrir facsímil")</f>
        <v>Abrir facsímil</v>
      </c>
      <c r="K15382" s="10" t="s">
        <v>24</v>
      </c>
    </row>
    <row r="15383" spans="1:11" ht="54" customHeight="1">
      <c r="A15383" s="9" t="s">
        <v>30993</v>
      </c>
      <c r="B15383" s="9" t="s">
        <v>30994</v>
      </c>
      <c r="C15383" s="9" t="s">
        <v>122</v>
      </c>
      <c r="D15383" s="9" t="s">
        <v>18</v>
      </c>
      <c r="E15383" s="10" t="s">
        <v>1351</v>
      </c>
      <c r="F15383" s="9" t="s">
        <v>1352</v>
      </c>
      <c r="G15383" s="10" t="s">
        <v>75</v>
      </c>
      <c r="H15383" s="9" t="s">
        <v>22</v>
      </c>
      <c r="I15383" s="9" t="s">
        <v>30996</v>
      </c>
      <c r="J15383" s="10" t="str">
        <f>HYPERLINK("https://www.boe.es/gazeta/dias/1834/07/05/pdfs/GMD-1834-138.pdf#page=4","Abrir facsímil")</f>
        <v>Abrir facsímil</v>
      </c>
      <c r="K15383" s="10" t="s">
        <v>24</v>
      </c>
    </row>
    <row r="15384" spans="1:11" ht="54" customHeight="1">
      <c r="A15384" s="9" t="s">
        <v>30993</v>
      </c>
      <c r="B15384" s="9" t="s">
        <v>30994</v>
      </c>
      <c r="C15384" s="9" t="s">
        <v>17</v>
      </c>
      <c r="D15384" s="9" t="s">
        <v>18</v>
      </c>
      <c r="E15384" s="10" t="s">
        <v>1850</v>
      </c>
      <c r="F15384" s="9" t="s">
        <v>1851</v>
      </c>
      <c r="G15384" s="10" t="s">
        <v>86</v>
      </c>
      <c r="H15384" s="9" t="s">
        <v>22</v>
      </c>
      <c r="I15384" s="9" t="s">
        <v>30997</v>
      </c>
      <c r="J15384" s="10" t="str">
        <f>HYPERLINK("https://www.boe.es/gazeta/dias/1834/02/18/pdfs/GMD-1834-22.pdf#page=2","Abrir facsímil")</f>
        <v>Abrir facsímil</v>
      </c>
      <c r="K15384" s="10" t="s">
        <v>24</v>
      </c>
    </row>
    <row r="15385" spans="1:11" ht="54" customHeight="1">
      <c r="A15385" s="9" t="s">
        <v>30993</v>
      </c>
      <c r="B15385" s="9" t="s">
        <v>30994</v>
      </c>
      <c r="C15385" s="9" t="s">
        <v>17</v>
      </c>
      <c r="D15385" s="9" t="s">
        <v>101</v>
      </c>
      <c r="E15385" s="10" t="s">
        <v>606</v>
      </c>
      <c r="F15385" s="9" t="s">
        <v>607</v>
      </c>
      <c r="G15385" s="10" t="s">
        <v>34</v>
      </c>
      <c r="H15385" s="9" t="s">
        <v>22</v>
      </c>
      <c r="I15385" s="9" t="s">
        <v>30998</v>
      </c>
      <c r="J15385" s="10" t="str">
        <f>HYPERLINK("https://www.boe.es/gazeta/dias/1834/06/23/pdfs/GMD-1834-126.pdf#page=1","Abrir facsímil")</f>
        <v>Abrir facsímil</v>
      </c>
      <c r="K15385" s="10" t="s">
        <v>24</v>
      </c>
    </row>
    <row r="15386" spans="1:11" ht="54" customHeight="1">
      <c r="A15386" s="9" t="s">
        <v>30993</v>
      </c>
      <c r="B15386" s="9" t="s">
        <v>30994</v>
      </c>
      <c r="C15386" s="9" t="s">
        <v>17</v>
      </c>
      <c r="D15386" s="9" t="s">
        <v>18</v>
      </c>
      <c r="E15386" s="10" t="s">
        <v>1017</v>
      </c>
      <c r="F15386" s="9" t="s">
        <v>1018</v>
      </c>
      <c r="G15386" s="10" t="s">
        <v>21</v>
      </c>
      <c r="H15386" s="9" t="s">
        <v>22</v>
      </c>
      <c r="I15386" s="9" t="s">
        <v>30999</v>
      </c>
      <c r="J15386" s="10" t="str">
        <f>HYPERLINK("https://www.boe.es/gazeta/dias/1834/07/24/pdfs/GMD-1834-157.pdf#page=3","Abrir facsímil")</f>
        <v>Abrir facsímil</v>
      </c>
      <c r="K15386" s="10" t="s">
        <v>24</v>
      </c>
    </row>
    <row r="15387" spans="1:11" ht="54" customHeight="1">
      <c r="A15387" s="9" t="s">
        <v>31000</v>
      </c>
      <c r="B15387" s="9" t="s">
        <v>31000</v>
      </c>
      <c r="C15387" s="9" t="s">
        <v>46</v>
      </c>
      <c r="D15387" s="9" t="s">
        <v>18</v>
      </c>
      <c r="E15387" s="10" t="s">
        <v>1766</v>
      </c>
      <c r="F15387" s="9" t="s">
        <v>5600</v>
      </c>
      <c r="G15387" s="10" t="s">
        <v>86</v>
      </c>
      <c r="H15387" s="9" t="s">
        <v>22</v>
      </c>
      <c r="I15387" s="9" t="s">
        <v>31001</v>
      </c>
      <c r="J15387" s="10" t="str">
        <f>HYPERLINK("https://www.boe.es/gazeta/dias/1834/10/26/pdfs/GMD-1834-254.pdf#page=2","Abrir facsímil")</f>
        <v>Abrir facsímil</v>
      </c>
      <c r="K15387" s="10" t="s">
        <v>24</v>
      </c>
    </row>
    <row r="15388" spans="1:11" ht="54" customHeight="1">
      <c r="A15388" s="9" t="s">
        <v>31002</v>
      </c>
      <c r="B15388" s="9" t="s">
        <v>31002</v>
      </c>
      <c r="C15388" s="9" t="s">
        <v>17</v>
      </c>
      <c r="D15388" s="9" t="s">
        <v>18</v>
      </c>
      <c r="E15388" s="10" t="s">
        <v>2098</v>
      </c>
      <c r="F15388" s="9" t="s">
        <v>5817</v>
      </c>
      <c r="G15388" s="10" t="s">
        <v>86</v>
      </c>
      <c r="H15388" s="9" t="s">
        <v>22</v>
      </c>
      <c r="I15388" s="9" t="s">
        <v>31003</v>
      </c>
      <c r="J15388" s="10" t="str">
        <f>HYPERLINK("https://www.boe.es/gazeta/dias/1834/08/11/pdfs/GMD-C-1834-176.pdf#page=2","Abrir facsímil")</f>
        <v>Abrir facsímil</v>
      </c>
      <c r="K15388" s="10" t="s">
        <v>24</v>
      </c>
    </row>
    <row r="15389" spans="1:11" ht="54" customHeight="1">
      <c r="A15389" s="9" t="s">
        <v>31004</v>
      </c>
      <c r="B15389" s="9" t="s">
        <v>31004</v>
      </c>
      <c r="C15389" s="9" t="s">
        <v>17</v>
      </c>
      <c r="D15389" s="9" t="s">
        <v>18</v>
      </c>
      <c r="E15389" s="10" t="s">
        <v>2278</v>
      </c>
      <c r="F15389" s="9" t="s">
        <v>2279</v>
      </c>
      <c r="G15389" s="10" t="s">
        <v>28</v>
      </c>
      <c r="H15389" s="9" t="s">
        <v>22</v>
      </c>
      <c r="I15389" s="9" t="s">
        <v>31005</v>
      </c>
      <c r="J15389" s="10" t="str">
        <f>HYPERLINK("https://www.boe.es/gazeta/dias/1834/12/17/pdfs/GMD-C-1834-306.pdf#page=5","Abrir facsímil")</f>
        <v>Abrir facsímil</v>
      </c>
      <c r="K15389" s="10" t="s">
        <v>24</v>
      </c>
    </row>
    <row r="15390" spans="1:11" ht="54" customHeight="1">
      <c r="A15390" s="9" t="s">
        <v>31006</v>
      </c>
      <c r="B15390" s="9" t="s">
        <v>31006</v>
      </c>
      <c r="C15390" s="9" t="s">
        <v>66</v>
      </c>
      <c r="D15390" s="9" t="s">
        <v>67</v>
      </c>
      <c r="E15390" s="10" t="s">
        <v>426</v>
      </c>
      <c r="F15390" s="9" t="s">
        <v>427</v>
      </c>
      <c r="G15390" s="10" t="s">
        <v>21</v>
      </c>
      <c r="H15390" s="9" t="s">
        <v>22</v>
      </c>
      <c r="I15390" s="9" t="s">
        <v>31007</v>
      </c>
      <c r="J15390" s="10" t="str">
        <f>HYPERLINK("https://www.boe.es/gazeta/dias/1834/10/04/pdfs/GMD-1834-232.pdf#page=3","Abrir facsímil")</f>
        <v>Abrir facsímil</v>
      </c>
      <c r="K15390" s="10" t="s">
        <v>24</v>
      </c>
    </row>
    <row r="15391" spans="1:11" ht="54" customHeight="1">
      <c r="A15391" s="9" t="s">
        <v>31006</v>
      </c>
      <c r="B15391" s="9" t="s">
        <v>31006</v>
      </c>
      <c r="C15391" s="9" t="s">
        <v>66</v>
      </c>
      <c r="D15391" s="9" t="s">
        <v>67</v>
      </c>
      <c r="E15391" s="10" t="s">
        <v>61</v>
      </c>
      <c r="F15391" s="9" t="s">
        <v>62</v>
      </c>
      <c r="G15391" s="10" t="s">
        <v>34</v>
      </c>
      <c r="H15391" s="9" t="s">
        <v>22</v>
      </c>
      <c r="I15391" s="9" t="s">
        <v>31008</v>
      </c>
      <c r="J15391" s="10" t="str">
        <f>HYPERLINK("https://www.boe.es/gazeta/dias/1834/06/08/pdfs/GMD-1834-111E.pdf#page=1","Abrir facsímil")</f>
        <v>Abrir facsímil</v>
      </c>
      <c r="K15391" s="10" t="s">
        <v>24</v>
      </c>
    </row>
    <row r="15392" spans="1:11" ht="54" customHeight="1">
      <c r="A15392" s="9" t="s">
        <v>31006</v>
      </c>
      <c r="B15392" s="9" t="s">
        <v>31006</v>
      </c>
      <c r="C15392" s="9" t="s">
        <v>17</v>
      </c>
      <c r="D15392" s="9" t="s">
        <v>55</v>
      </c>
      <c r="E15392" s="10" t="s">
        <v>56</v>
      </c>
      <c r="F15392" s="9" t="s">
        <v>57</v>
      </c>
      <c r="G15392" s="10" t="s">
        <v>21</v>
      </c>
      <c r="H15392" s="9" t="s">
        <v>22</v>
      </c>
      <c r="I15392" s="9" t="s">
        <v>31009</v>
      </c>
      <c r="J15392" s="10" t="str">
        <f>HYPERLINK("https://www.boe.es/gazeta/dias/1834/07/09/pdfs/GMD-1834-142.pdf#page=3","Abrir facsímil")</f>
        <v>Abrir facsímil</v>
      </c>
      <c r="K15392" s="10" t="s">
        <v>24</v>
      </c>
    </row>
    <row r="15393" spans="1:11" ht="54" customHeight="1">
      <c r="A15393" s="9" t="s">
        <v>31006</v>
      </c>
      <c r="B15393" s="9" t="s">
        <v>31006</v>
      </c>
      <c r="C15393" s="9" t="s">
        <v>66</v>
      </c>
      <c r="D15393" s="9" t="s">
        <v>67</v>
      </c>
      <c r="E15393" s="10" t="s">
        <v>2098</v>
      </c>
      <c r="F15393" s="9" t="s">
        <v>5817</v>
      </c>
      <c r="G15393" s="10" t="s">
        <v>86</v>
      </c>
      <c r="H15393" s="9" t="s">
        <v>22</v>
      </c>
      <c r="I15393" s="9" t="s">
        <v>31010</v>
      </c>
      <c r="J15393" s="10" t="str">
        <f>HYPERLINK("https://www.boe.es/gazeta/dias/1834/08/11/pdfs/GMD-C-1834-176.pdf#page=2","Abrir facsímil")</f>
        <v>Abrir facsímil</v>
      </c>
      <c r="K15393" s="10" t="s">
        <v>24</v>
      </c>
    </row>
    <row r="15394" spans="1:11" ht="54" customHeight="1">
      <c r="A15394" s="9" t="s">
        <v>31006</v>
      </c>
      <c r="B15394" s="9" t="s">
        <v>31006</v>
      </c>
      <c r="C15394" s="9" t="s">
        <v>122</v>
      </c>
      <c r="D15394" s="9" t="s">
        <v>55</v>
      </c>
      <c r="E15394" s="10" t="s">
        <v>3488</v>
      </c>
      <c r="F15394" s="9" t="s">
        <v>3489</v>
      </c>
      <c r="G15394" s="10" t="s">
        <v>21</v>
      </c>
      <c r="H15394" s="9" t="s">
        <v>22</v>
      </c>
      <c r="I15394" s="9" t="s">
        <v>31011</v>
      </c>
      <c r="J15394" s="10" t="str">
        <f>HYPERLINK("https://www.boe.es/gazeta/dias/1834/06/22/pdfs/GMD-1834-125.pdf#page=3","Abrir facsímil")</f>
        <v>Abrir facsímil</v>
      </c>
      <c r="K15394" s="10" t="s">
        <v>24</v>
      </c>
    </row>
    <row r="15395" spans="1:11" ht="54" customHeight="1">
      <c r="A15395" s="9" t="s">
        <v>31006</v>
      </c>
      <c r="B15395" s="9" t="s">
        <v>31006</v>
      </c>
      <c r="C15395" s="9" t="s">
        <v>17</v>
      </c>
      <c r="D15395" s="9" t="s">
        <v>18</v>
      </c>
      <c r="E15395" s="10" t="s">
        <v>2107</v>
      </c>
      <c r="F15395" s="9" t="s">
        <v>2108</v>
      </c>
      <c r="G15395" s="10" t="s">
        <v>21</v>
      </c>
      <c r="H15395" s="9" t="s">
        <v>22</v>
      </c>
      <c r="I15395" s="9" t="s">
        <v>31012</v>
      </c>
      <c r="J15395" s="10" t="str">
        <f>HYPERLINK("https://www.boe.es/gazeta/dias/1834/08/24/pdfs/GMD-1834-190.pdf#page=3","Abrir facsímil")</f>
        <v>Abrir facsímil</v>
      </c>
      <c r="K15395" s="10" t="s">
        <v>24</v>
      </c>
    </row>
    <row r="15396" spans="1:11" ht="54" customHeight="1">
      <c r="A15396" s="9" t="s">
        <v>31013</v>
      </c>
      <c r="B15396" s="9" t="s">
        <v>31014</v>
      </c>
      <c r="C15396" s="9" t="s">
        <v>46</v>
      </c>
      <c r="D15396" s="9" t="s">
        <v>101</v>
      </c>
      <c r="E15396" s="10" t="s">
        <v>1297</v>
      </c>
      <c r="F15396" s="9" t="s">
        <v>1298</v>
      </c>
      <c r="G15396" s="10" t="s">
        <v>34</v>
      </c>
      <c r="H15396" s="9" t="s">
        <v>22</v>
      </c>
      <c r="I15396" s="9" t="s">
        <v>31015</v>
      </c>
      <c r="J15396" s="10" t="str">
        <f>HYPERLINK("https://www.boe.es/gazeta/dias/1834/08/01/pdfs/GMD-1834-165.pdf#page=1","Abrir facsímil")</f>
        <v>Abrir facsímil</v>
      </c>
      <c r="K15396" s="10" t="s">
        <v>24</v>
      </c>
    </row>
    <row r="15397" spans="1:11" ht="54" customHeight="1">
      <c r="A15397" s="9" t="s">
        <v>31016</v>
      </c>
      <c r="B15397" s="9" t="s">
        <v>31017</v>
      </c>
      <c r="C15397" s="9" t="s">
        <v>66</v>
      </c>
      <c r="D15397" s="9" t="s">
        <v>67</v>
      </c>
      <c r="E15397" s="10" t="s">
        <v>426</v>
      </c>
      <c r="F15397" s="9" t="s">
        <v>427</v>
      </c>
      <c r="G15397" s="10" t="s">
        <v>21</v>
      </c>
      <c r="H15397" s="9" t="s">
        <v>22</v>
      </c>
      <c r="I15397" s="9" t="s">
        <v>31018</v>
      </c>
      <c r="J15397" s="10" t="str">
        <f>HYPERLINK("https://www.boe.es/gazeta/dias/1834/10/04/pdfs/GMD-1834-232.pdf#page=3","Abrir facsímil")</f>
        <v>Abrir facsímil</v>
      </c>
      <c r="K15397" s="10" t="s">
        <v>24</v>
      </c>
    </row>
    <row r="15398" spans="1:11" ht="54" customHeight="1">
      <c r="A15398" s="9" t="s">
        <v>31019</v>
      </c>
      <c r="B15398" s="9" t="s">
        <v>31020</v>
      </c>
      <c r="C15398" s="9" t="s">
        <v>122</v>
      </c>
      <c r="D15398" s="9" t="s">
        <v>18</v>
      </c>
      <c r="E15398" s="10" t="s">
        <v>863</v>
      </c>
      <c r="F15398" s="9" t="s">
        <v>864</v>
      </c>
      <c r="G15398" s="10" t="s">
        <v>86</v>
      </c>
      <c r="H15398" s="9" t="s">
        <v>35</v>
      </c>
      <c r="I15398" s="9" t="s">
        <v>31021</v>
      </c>
      <c r="J15398" s="10" t="str">
        <f>HYPERLINK("https://www.boe.es/gazeta/dias/1834/09/15/pdfs/GMD-1834-213.pdf#page=2","Abrir facsímil")</f>
        <v>Abrir facsímil</v>
      </c>
      <c r="K15398" s="10" t="s">
        <v>37</v>
      </c>
    </row>
    <row r="15399" spans="1:11" ht="54" customHeight="1">
      <c r="A15399" s="9" t="s">
        <v>31022</v>
      </c>
      <c r="B15399" s="9" t="s">
        <v>31023</v>
      </c>
      <c r="C15399" s="9" t="s">
        <v>90</v>
      </c>
      <c r="D15399" s="9" t="s">
        <v>18</v>
      </c>
      <c r="E15399" s="10" t="s">
        <v>56</v>
      </c>
      <c r="F15399" s="9" t="s">
        <v>57</v>
      </c>
      <c r="G15399" s="10" t="s">
        <v>75</v>
      </c>
      <c r="H15399" s="9" t="s">
        <v>22</v>
      </c>
      <c r="I15399" s="9" t="s">
        <v>31024</v>
      </c>
      <c r="J15399" s="10" t="str">
        <f>HYPERLINK("https://www.boe.es/gazeta/dias/1834/07/09/pdfs/GMD-1834-142.pdf#page=4","Abrir facsímil")</f>
        <v>Abrir facsímil</v>
      </c>
      <c r="K15399" s="10" t="s">
        <v>24</v>
      </c>
    </row>
    <row r="15400" spans="1:11" ht="54" customHeight="1">
      <c r="A15400" s="9" t="s">
        <v>31025</v>
      </c>
      <c r="B15400" s="9" t="s">
        <v>31026</v>
      </c>
      <c r="C15400" s="9" t="s">
        <v>17</v>
      </c>
      <c r="D15400" s="9" t="s">
        <v>18</v>
      </c>
      <c r="E15400" s="10" t="s">
        <v>2379</v>
      </c>
      <c r="F15400" s="9" t="s">
        <v>2380</v>
      </c>
      <c r="G15400" s="10" t="s">
        <v>75</v>
      </c>
      <c r="H15400" s="9" t="s">
        <v>22</v>
      </c>
      <c r="I15400" s="9" t="s">
        <v>31027</v>
      </c>
      <c r="J15400" s="10" t="str">
        <f>HYPERLINK("https://www.boe.es/gazeta/dias/1834/04/03/pdfs/GMD-1834-42.pdf#page=4","Abrir facsímil")</f>
        <v>Abrir facsímil</v>
      </c>
      <c r="K15400" s="10" t="s">
        <v>24</v>
      </c>
    </row>
    <row r="15401" spans="1:11" ht="54" customHeight="1">
      <c r="A15401" s="9" t="s">
        <v>31028</v>
      </c>
      <c r="B15401" s="9" t="s">
        <v>31028</v>
      </c>
      <c r="C15401" s="9" t="s">
        <v>17</v>
      </c>
      <c r="D15401" s="9" t="s">
        <v>18</v>
      </c>
      <c r="E15401" s="10" t="s">
        <v>663</v>
      </c>
      <c r="F15401" s="9" t="s">
        <v>664</v>
      </c>
      <c r="G15401" s="10" t="s">
        <v>86</v>
      </c>
      <c r="H15401" s="9" t="s">
        <v>22</v>
      </c>
      <c r="I15401" s="9" t="s">
        <v>31029</v>
      </c>
      <c r="J15401" s="10" t="str">
        <f>HYPERLINK("https://www.boe.es/gazeta/dias/1834/07/16/pdfs/GMD-1834-149.pdf#page=2","Abrir facsímil")</f>
        <v>Abrir facsímil</v>
      </c>
      <c r="K15401" s="10" t="s">
        <v>24</v>
      </c>
    </row>
    <row r="15402" spans="1:11" ht="54" customHeight="1">
      <c r="A15402" s="9" t="s">
        <v>31030</v>
      </c>
      <c r="B15402" s="9" t="s">
        <v>31030</v>
      </c>
      <c r="C15402" s="9" t="s">
        <v>66</v>
      </c>
      <c r="D15402" s="9" t="s">
        <v>67</v>
      </c>
      <c r="E15402" s="10" t="s">
        <v>3248</v>
      </c>
      <c r="F15402" s="9" t="s">
        <v>3249</v>
      </c>
      <c r="G15402" s="10" t="s">
        <v>21</v>
      </c>
      <c r="H15402" s="9" t="s">
        <v>22</v>
      </c>
      <c r="I15402" s="9" t="s">
        <v>31031</v>
      </c>
      <c r="J15402" s="10" t="str">
        <f>HYPERLINK("https://www.boe.es/gazeta/dias/1834/09/20/pdfs/GMD-1834-218.pdf#page=3","Abrir facsímil")</f>
        <v>Abrir facsímil</v>
      </c>
      <c r="K15402" s="10" t="s">
        <v>24</v>
      </c>
    </row>
    <row r="15403" spans="1:11" ht="54" customHeight="1">
      <c r="A15403" s="9" t="s">
        <v>31032</v>
      </c>
      <c r="B15403" s="9" t="s">
        <v>31033</v>
      </c>
      <c r="C15403" s="9" t="s">
        <v>17</v>
      </c>
      <c r="D15403" s="9" t="s">
        <v>18</v>
      </c>
      <c r="E15403" s="10" t="s">
        <v>1747</v>
      </c>
      <c r="F15403" s="9" t="s">
        <v>1748</v>
      </c>
      <c r="G15403" s="10" t="s">
        <v>34</v>
      </c>
      <c r="H15403" s="9" t="s">
        <v>35</v>
      </c>
      <c r="I15403" s="9" t="s">
        <v>31034</v>
      </c>
      <c r="J15403" s="10" t="str">
        <f>HYPERLINK("https://www.boe.es/gazeta/dias/1834/06/29/pdfs/GMD-1834-132.pdf#page=1","Abrir facsímil")</f>
        <v>Abrir facsímil</v>
      </c>
      <c r="K15403" s="10" t="s">
        <v>37</v>
      </c>
    </row>
    <row r="15404" spans="1:11" ht="54" customHeight="1">
      <c r="A15404" s="9" t="s">
        <v>31035</v>
      </c>
      <c r="B15404" s="9" t="s">
        <v>31036</v>
      </c>
      <c r="C15404" s="9" t="s">
        <v>66</v>
      </c>
      <c r="D15404" s="9" t="s">
        <v>18</v>
      </c>
      <c r="E15404" s="10" t="s">
        <v>4637</v>
      </c>
      <c r="F15404" s="9" t="s">
        <v>4638</v>
      </c>
      <c r="G15404" s="10" t="s">
        <v>34</v>
      </c>
      <c r="H15404" s="9" t="s">
        <v>35</v>
      </c>
      <c r="I15404" s="9" t="s">
        <v>31037</v>
      </c>
      <c r="J15404" s="10" t="str">
        <f>HYPERLINK("https://www.boe.es/gazeta/dias/1834/12/08/pdfs/GMD-1834-297.pdf#page=1","Abrir facsímil")</f>
        <v>Abrir facsímil</v>
      </c>
      <c r="K15404" s="10" t="s">
        <v>37</v>
      </c>
    </row>
    <row r="15405" spans="1:11" ht="54" customHeight="1">
      <c r="A15405" s="9" t="s">
        <v>31038</v>
      </c>
      <c r="B15405" s="9" t="s">
        <v>31039</v>
      </c>
      <c r="C15405" s="9" t="s">
        <v>66</v>
      </c>
      <c r="D15405" s="9" t="s">
        <v>18</v>
      </c>
      <c r="E15405" s="10" t="s">
        <v>4637</v>
      </c>
      <c r="F15405" s="9" t="s">
        <v>4638</v>
      </c>
      <c r="G15405" s="10" t="s">
        <v>34</v>
      </c>
      <c r="H15405" s="9" t="s">
        <v>35</v>
      </c>
      <c r="I15405" s="9" t="s">
        <v>31040</v>
      </c>
      <c r="J15405" s="10" t="str">
        <f>HYPERLINK("https://www.boe.es/gazeta/dias/1834/12/08/pdfs/GMD-1834-297.pdf#page=1","Abrir facsímil")</f>
        <v>Abrir facsímil</v>
      </c>
      <c r="K15405" s="10" t="s">
        <v>37</v>
      </c>
    </row>
    <row r="15406" spans="1:11" ht="54" customHeight="1">
      <c r="A15406" s="9" t="s">
        <v>31041</v>
      </c>
      <c r="B15406" s="9" t="s">
        <v>31042</v>
      </c>
      <c r="C15406" s="9" t="s">
        <v>17</v>
      </c>
      <c r="D15406" s="9" t="s">
        <v>18</v>
      </c>
      <c r="E15406" s="10" t="s">
        <v>13660</v>
      </c>
      <c r="F15406" s="9" t="s">
        <v>13661</v>
      </c>
      <c r="G15406" s="10" t="s">
        <v>34</v>
      </c>
      <c r="H15406" s="9" t="s">
        <v>35</v>
      </c>
      <c r="I15406" s="9" t="s">
        <v>31043</v>
      </c>
      <c r="J15406" s="10" t="str">
        <f>HYPERLINK("https://www.boe.es/gazeta/dias/1834/12/15/pdfs/GMD-1834-304.pdf#page=1","Abrir facsímil")</f>
        <v>Abrir facsímil</v>
      </c>
      <c r="K15406" s="10" t="s">
        <v>37</v>
      </c>
    </row>
    <row r="15407" spans="1:11" ht="54" customHeight="1">
      <c r="A15407" s="9" t="s">
        <v>31044</v>
      </c>
      <c r="B15407" s="9" t="s">
        <v>31044</v>
      </c>
      <c r="C15407" s="9" t="s">
        <v>90</v>
      </c>
      <c r="D15407" s="9" t="s">
        <v>18</v>
      </c>
      <c r="E15407" s="10" t="s">
        <v>1170</v>
      </c>
      <c r="F15407" s="9" t="s">
        <v>1171</v>
      </c>
      <c r="G15407" s="10" t="s">
        <v>75</v>
      </c>
      <c r="H15407" s="9" t="s">
        <v>22</v>
      </c>
      <c r="I15407" s="9" t="s">
        <v>31045</v>
      </c>
      <c r="J15407" s="10" t="str">
        <f>HYPERLINK("https://www.boe.es/gazeta/dias/1834/01/07/pdfs/GMD-1834-4.pdf#page=4","Abrir facsímil")</f>
        <v>Abrir facsímil</v>
      </c>
      <c r="K15407" s="10" t="s">
        <v>24</v>
      </c>
    </row>
    <row r="15408" spans="1:11" ht="54" customHeight="1">
      <c r="A15408" s="9" t="s">
        <v>31044</v>
      </c>
      <c r="B15408" s="9" t="s">
        <v>31044</v>
      </c>
      <c r="C15408" s="9" t="s">
        <v>66</v>
      </c>
      <c r="D15408" s="9" t="s">
        <v>67</v>
      </c>
      <c r="E15408" s="10" t="s">
        <v>2048</v>
      </c>
      <c r="F15408" s="9" t="s">
        <v>2049</v>
      </c>
      <c r="G15408" s="10" t="s">
        <v>86</v>
      </c>
      <c r="H15408" s="9" t="s">
        <v>22</v>
      </c>
      <c r="I15408" s="9" t="s">
        <v>31046</v>
      </c>
      <c r="J15408" s="10" t="str">
        <f>HYPERLINK("https://www.boe.es/gazeta/dias/1834/05/12/pdfs/GMD-1834-81.pdf#page=2","Abrir facsímil")</f>
        <v>Abrir facsímil</v>
      </c>
      <c r="K15408" s="10" t="s">
        <v>24</v>
      </c>
    </row>
    <row r="15409" spans="1:11" ht="54" customHeight="1">
      <c r="A15409" s="9" t="s">
        <v>31047</v>
      </c>
      <c r="B15409" s="9" t="s">
        <v>31047</v>
      </c>
      <c r="C15409" s="9" t="s">
        <v>66</v>
      </c>
      <c r="D15409" s="9" t="s">
        <v>67</v>
      </c>
      <c r="E15409" s="10" t="s">
        <v>32</v>
      </c>
      <c r="F15409" s="9" t="s">
        <v>7431</v>
      </c>
      <c r="G15409" s="10" t="s">
        <v>34</v>
      </c>
      <c r="H15409" s="9" t="s">
        <v>22</v>
      </c>
      <c r="I15409" s="9" t="s">
        <v>31048</v>
      </c>
      <c r="J15409" s="10" t="str">
        <f>HYPERLINK("https://www.boe.es/gazeta/dias/1834/04/23/pdfs/GMD-C-1834-62.pdf#page=1","Abrir facsímil")</f>
        <v>Abrir facsímil</v>
      </c>
      <c r="K15409" s="10" t="s">
        <v>24</v>
      </c>
    </row>
    <row r="15410" spans="1:11" ht="54" customHeight="1">
      <c r="A15410" s="9" t="s">
        <v>31047</v>
      </c>
      <c r="B15410" s="9" t="s">
        <v>31047</v>
      </c>
      <c r="C15410" s="9" t="s">
        <v>46</v>
      </c>
      <c r="D15410" s="9" t="s">
        <v>18</v>
      </c>
      <c r="E15410" s="10" t="s">
        <v>294</v>
      </c>
      <c r="F15410" s="9" t="s">
        <v>959</v>
      </c>
      <c r="G15410" s="10" t="s">
        <v>86</v>
      </c>
      <c r="H15410" s="9" t="s">
        <v>22</v>
      </c>
      <c r="I15410" s="9" t="s">
        <v>31049</v>
      </c>
      <c r="J15410" s="10" t="str">
        <f>HYPERLINK("https://www.boe.es/gazeta/dias/1834/09/27/pdfs/GMD-C-1834-225.pdf#page=2","Abrir facsímil")</f>
        <v>Abrir facsímil</v>
      </c>
      <c r="K15410" s="10" t="s">
        <v>24</v>
      </c>
    </row>
    <row r="15411" spans="1:11" ht="54" customHeight="1">
      <c r="A15411" s="9" t="s">
        <v>31050</v>
      </c>
      <c r="B15411" s="9" t="s">
        <v>31051</v>
      </c>
      <c r="C15411" s="9" t="s">
        <v>66</v>
      </c>
      <c r="D15411" s="9" t="s">
        <v>18</v>
      </c>
      <c r="E15411" s="10" t="s">
        <v>408</v>
      </c>
      <c r="F15411" s="9" t="s">
        <v>409</v>
      </c>
      <c r="G15411" s="10" t="s">
        <v>34</v>
      </c>
      <c r="H15411" s="9" t="s">
        <v>22</v>
      </c>
      <c r="I15411" s="9" t="s">
        <v>31052</v>
      </c>
      <c r="J15411" s="10" t="str">
        <f>HYPERLINK("https://www.boe.es/gazeta/dias/1834/04/28/pdfs/GMD-1834-67.pdf#page=1","Abrir facsímil")</f>
        <v>Abrir facsímil</v>
      </c>
      <c r="K15411" s="10" t="s">
        <v>24</v>
      </c>
    </row>
    <row r="15412" spans="1:11" ht="54" customHeight="1">
      <c r="A15412" s="9" t="s">
        <v>31053</v>
      </c>
      <c r="B15412" s="9" t="s">
        <v>31054</v>
      </c>
      <c r="C15412" s="9" t="s">
        <v>17</v>
      </c>
      <c r="D15412" s="9" t="s">
        <v>18</v>
      </c>
      <c r="E15412" s="10" t="s">
        <v>479</v>
      </c>
      <c r="F15412" s="9" t="s">
        <v>480</v>
      </c>
      <c r="G15412" s="10" t="s">
        <v>34</v>
      </c>
      <c r="H15412" s="9" t="s">
        <v>22</v>
      </c>
      <c r="I15412" s="9" t="s">
        <v>31055</v>
      </c>
      <c r="J15412" s="10" t="str">
        <f>HYPERLINK("https://www.boe.es/gazeta/dias/1834/08/13/pdfs/GMD-1834-178.pdf#page=1","Abrir facsímil")</f>
        <v>Abrir facsímil</v>
      </c>
      <c r="K15412" s="10" t="s">
        <v>24</v>
      </c>
    </row>
    <row r="15413" spans="1:11" ht="54" customHeight="1">
      <c r="A15413" s="9" t="s">
        <v>31056</v>
      </c>
      <c r="B15413" s="9" t="s">
        <v>31057</v>
      </c>
      <c r="C15413" s="9" t="s">
        <v>46</v>
      </c>
      <c r="D15413" s="9" t="s">
        <v>18</v>
      </c>
      <c r="E15413" s="10" t="s">
        <v>294</v>
      </c>
      <c r="F15413" s="9" t="s">
        <v>959</v>
      </c>
      <c r="G15413" s="10" t="s">
        <v>86</v>
      </c>
      <c r="H15413" s="9" t="s">
        <v>22</v>
      </c>
      <c r="I15413" s="9" t="s">
        <v>31058</v>
      </c>
      <c r="J15413" s="10" t="str">
        <f>HYPERLINK("https://www.boe.es/gazeta/dias/1834/09/27/pdfs/GMD-C-1834-225.pdf#page=2","Abrir facsímil")</f>
        <v>Abrir facsímil</v>
      </c>
      <c r="K15413" s="10" t="s">
        <v>24</v>
      </c>
    </row>
    <row r="15414" spans="1:11" ht="54" customHeight="1">
      <c r="A15414" s="9" t="s">
        <v>31059</v>
      </c>
      <c r="B15414" s="9" t="s">
        <v>31060</v>
      </c>
      <c r="C15414" s="9" t="s">
        <v>17</v>
      </c>
      <c r="D15414" s="9" t="s">
        <v>101</v>
      </c>
      <c r="E15414" s="10" t="s">
        <v>1641</v>
      </c>
      <c r="F15414" s="9" t="s">
        <v>1729</v>
      </c>
      <c r="G15414" s="10" t="s">
        <v>34</v>
      </c>
      <c r="H15414" s="9" t="s">
        <v>35</v>
      </c>
      <c r="I15414" s="9" t="s">
        <v>31061</v>
      </c>
      <c r="J15414" s="10" t="str">
        <f>HYPERLINK("https://www.boe.es/gazeta/dias/1834/09/28/pdfs/GMD-1834-226.pdf#page=1","Abrir facsímil")</f>
        <v>Abrir facsímil</v>
      </c>
      <c r="K15414" s="10" t="s">
        <v>37</v>
      </c>
    </row>
    <row r="15415" spans="1:11" ht="54" customHeight="1">
      <c r="A15415" s="9" t="s">
        <v>31062</v>
      </c>
      <c r="B15415" s="9" t="s">
        <v>31063</v>
      </c>
      <c r="C15415" s="9" t="s">
        <v>46</v>
      </c>
      <c r="D15415" s="9" t="s">
        <v>101</v>
      </c>
      <c r="E15415" s="10" t="s">
        <v>3471</v>
      </c>
      <c r="F15415" s="9" t="s">
        <v>3472</v>
      </c>
      <c r="G15415" s="10" t="s">
        <v>34</v>
      </c>
      <c r="H15415" s="9" t="s">
        <v>35</v>
      </c>
      <c r="I15415" s="9" t="s">
        <v>31064</v>
      </c>
      <c r="J15415" s="10" t="str">
        <f>HYPERLINK("https://www.boe.es/gazeta/dias/1834/07/07/pdfs/GMD-1834-140.pdf#page=1","Abrir facsímil")</f>
        <v>Abrir facsímil</v>
      </c>
      <c r="K15415" s="10" t="s">
        <v>37</v>
      </c>
    </row>
    <row r="15416" spans="1:11" ht="54" customHeight="1">
      <c r="A15416" s="9" t="s">
        <v>31062</v>
      </c>
      <c r="B15416" s="9" t="s">
        <v>31063</v>
      </c>
      <c r="C15416" s="9" t="s">
        <v>17</v>
      </c>
      <c r="D15416" s="9" t="s">
        <v>18</v>
      </c>
      <c r="E15416" s="10" t="s">
        <v>258</v>
      </c>
      <c r="F15416" s="9" t="s">
        <v>1075</v>
      </c>
      <c r="G15416" s="10" t="s">
        <v>34</v>
      </c>
      <c r="H15416" s="9" t="s">
        <v>35</v>
      </c>
      <c r="I15416" s="9" t="s">
        <v>31065</v>
      </c>
      <c r="J15416" s="10" t="str">
        <f>HYPERLINK("https://www.boe.es/gazeta/dias/1834/10/09/pdfs/GMD-1834-237.pdf#page=1","Abrir facsímil")</f>
        <v>Abrir facsímil</v>
      </c>
      <c r="K15416" s="10" t="s">
        <v>37</v>
      </c>
    </row>
    <row r="15417" spans="1:11" ht="54" customHeight="1">
      <c r="A15417" s="9" t="s">
        <v>31062</v>
      </c>
      <c r="B15417" s="9" t="s">
        <v>31063</v>
      </c>
      <c r="C15417" s="9" t="s">
        <v>46</v>
      </c>
      <c r="D15417" s="9" t="s">
        <v>101</v>
      </c>
      <c r="E15417" s="10" t="s">
        <v>4565</v>
      </c>
      <c r="F15417" s="9" t="s">
        <v>4566</v>
      </c>
      <c r="G15417" s="10" t="s">
        <v>34</v>
      </c>
      <c r="H15417" s="9" t="s">
        <v>35</v>
      </c>
      <c r="I15417" s="9" t="s">
        <v>31066</v>
      </c>
      <c r="J15417" s="10" t="str">
        <f>HYPERLINK("https://www.boe.es/gazeta/dias/1834/07/10/pdfs/GMD-1834-143.pdf#page=1","Abrir facsímil")</f>
        <v>Abrir facsímil</v>
      </c>
      <c r="K15417" s="10" t="s">
        <v>37</v>
      </c>
    </row>
    <row r="15418" spans="1:11" ht="54" customHeight="1">
      <c r="A15418" s="9" t="s">
        <v>31062</v>
      </c>
      <c r="B15418" s="9" t="s">
        <v>31063</v>
      </c>
      <c r="C15418" s="9" t="s">
        <v>46</v>
      </c>
      <c r="D15418" s="9" t="s">
        <v>101</v>
      </c>
      <c r="E15418" s="10" t="s">
        <v>123</v>
      </c>
      <c r="F15418" s="9" t="s">
        <v>124</v>
      </c>
      <c r="G15418" s="10" t="s">
        <v>34</v>
      </c>
      <c r="H15418" s="9" t="s">
        <v>35</v>
      </c>
      <c r="I15418" s="9" t="s">
        <v>31067</v>
      </c>
      <c r="J15418" s="10" t="str">
        <f>HYPERLINK("https://www.boe.es/gazeta/dias/1834/07/11/pdfs/GMD-1834-144.pdf#page=1","Abrir facsímil")</f>
        <v>Abrir facsímil</v>
      </c>
      <c r="K15418" s="10" t="s">
        <v>37</v>
      </c>
    </row>
    <row r="15419" spans="1:11" ht="54" customHeight="1">
      <c r="A15419" s="9" t="s">
        <v>31062</v>
      </c>
      <c r="B15419" s="9" t="s">
        <v>31063</v>
      </c>
      <c r="C15419" s="9" t="s">
        <v>66</v>
      </c>
      <c r="D15419" s="9" t="s">
        <v>18</v>
      </c>
      <c r="E15419" s="10" t="s">
        <v>642</v>
      </c>
      <c r="F15419" s="9" t="s">
        <v>1843</v>
      </c>
      <c r="G15419" s="10" t="s">
        <v>34</v>
      </c>
      <c r="H15419" s="9" t="s">
        <v>35</v>
      </c>
      <c r="I15419" s="9" t="s">
        <v>31068</v>
      </c>
      <c r="J15419" s="10" t="str">
        <f>HYPERLINK("https://www.boe.es/gazeta/dias/1834/11/12/pdfs/GMD-1834-271.pdf#page=1","Abrir facsímil")</f>
        <v>Abrir facsímil</v>
      </c>
      <c r="K15419" s="10" t="s">
        <v>37</v>
      </c>
    </row>
    <row r="15420" spans="1:11" ht="54" customHeight="1">
      <c r="A15420" s="9" t="s">
        <v>31062</v>
      </c>
      <c r="B15420" s="9" t="s">
        <v>31063</v>
      </c>
      <c r="C15420" s="9" t="s">
        <v>66</v>
      </c>
      <c r="D15420" s="9" t="s">
        <v>67</v>
      </c>
      <c r="E15420" s="10" t="s">
        <v>1094</v>
      </c>
      <c r="F15420" s="9" t="s">
        <v>1095</v>
      </c>
      <c r="G15420" s="10" t="s">
        <v>34</v>
      </c>
      <c r="H15420" s="9" t="s">
        <v>35</v>
      </c>
      <c r="I15420" s="9" t="s">
        <v>31069</v>
      </c>
      <c r="J15420" s="10" t="str">
        <f>HYPERLINK("https://www.boe.es/gazeta/dias/1834/07/13/pdfs/GMD-1834-146.pdf#page=1","Abrir facsímil")</f>
        <v>Abrir facsímil</v>
      </c>
      <c r="K15420" s="10" t="s">
        <v>37</v>
      </c>
    </row>
    <row r="15421" spans="1:11" ht="54" customHeight="1">
      <c r="A15421" s="9" t="s">
        <v>31062</v>
      </c>
      <c r="B15421" s="9" t="s">
        <v>31063</v>
      </c>
      <c r="C15421" s="9" t="s">
        <v>46</v>
      </c>
      <c r="D15421" s="9" t="s">
        <v>55</v>
      </c>
      <c r="E15421" s="10" t="s">
        <v>1226</v>
      </c>
      <c r="F15421" s="9" t="s">
        <v>1227</v>
      </c>
      <c r="G15421" s="10" t="s">
        <v>34</v>
      </c>
      <c r="H15421" s="9" t="s">
        <v>35</v>
      </c>
      <c r="I15421" s="9" t="s">
        <v>31070</v>
      </c>
      <c r="J15421" s="10" t="str">
        <f>HYPERLINK("https://www.boe.es/gazeta/dias/1834/07/14/pdfs/GMD-1834-147.pdf#page=1","Abrir facsímil")</f>
        <v>Abrir facsímil</v>
      </c>
      <c r="K15421" s="10" t="s">
        <v>37</v>
      </c>
    </row>
    <row r="15422" spans="1:11" ht="54" customHeight="1">
      <c r="A15422" s="9" t="s">
        <v>31071</v>
      </c>
      <c r="B15422" s="9" t="s">
        <v>31072</v>
      </c>
      <c r="C15422" s="9" t="s">
        <v>122</v>
      </c>
      <c r="D15422" s="9" t="s">
        <v>101</v>
      </c>
      <c r="E15422" s="10" t="s">
        <v>1119</v>
      </c>
      <c r="F15422" s="9" t="s">
        <v>1120</v>
      </c>
      <c r="G15422" s="10" t="s">
        <v>34</v>
      </c>
      <c r="H15422" s="9" t="s">
        <v>35</v>
      </c>
      <c r="I15422" s="9" t="s">
        <v>31073</v>
      </c>
      <c r="J15422" s="10" t="str">
        <f>HYPERLINK("https://www.boe.es/gazeta/dias/1834/07/17/pdfs/GMD-1834-150.pdf#page=1","Abrir facsímil")</f>
        <v>Abrir facsímil</v>
      </c>
      <c r="K15422" s="10" t="s">
        <v>37</v>
      </c>
    </row>
    <row r="15423" spans="1:11" ht="54" customHeight="1">
      <c r="A15423" s="9" t="s">
        <v>31062</v>
      </c>
      <c r="B15423" s="9" t="s">
        <v>31063</v>
      </c>
      <c r="C15423" s="9" t="s">
        <v>66</v>
      </c>
      <c r="D15423" s="9" t="s">
        <v>67</v>
      </c>
      <c r="E15423" s="10" t="s">
        <v>102</v>
      </c>
      <c r="F15423" s="9" t="s">
        <v>103</v>
      </c>
      <c r="G15423" s="10" t="s">
        <v>34</v>
      </c>
      <c r="H15423" s="9" t="s">
        <v>35</v>
      </c>
      <c r="I15423" s="9" t="s">
        <v>31074</v>
      </c>
      <c r="J15423" s="10" t="str">
        <f>HYPERLINK("https://www.boe.es/gazeta/dias/1834/07/19/pdfs/GMD-1834-152.pdf#page=1","Abrir facsímil")</f>
        <v>Abrir facsímil</v>
      </c>
      <c r="K15423" s="10" t="s">
        <v>37</v>
      </c>
    </row>
    <row r="15424" spans="1:11" ht="54" customHeight="1">
      <c r="A15424" s="9" t="s">
        <v>31062</v>
      </c>
      <c r="B15424" s="9" t="s">
        <v>31063</v>
      </c>
      <c r="C15424" s="9" t="s">
        <v>46</v>
      </c>
      <c r="D15424" s="9" t="s">
        <v>101</v>
      </c>
      <c r="E15424" s="10" t="s">
        <v>117</v>
      </c>
      <c r="F15424" s="9" t="s">
        <v>118</v>
      </c>
      <c r="G15424" s="10" t="s">
        <v>34</v>
      </c>
      <c r="H15424" s="9" t="s">
        <v>35</v>
      </c>
      <c r="I15424" s="9" t="s">
        <v>31075</v>
      </c>
      <c r="J15424" s="10" t="str">
        <f>HYPERLINK("https://www.boe.es/gazeta/dias/1834/07/21/pdfs/GMD-1834-154.pdf#page=1","Abrir facsímil")</f>
        <v>Abrir facsímil</v>
      </c>
      <c r="K15424" s="10" t="s">
        <v>37</v>
      </c>
    </row>
    <row r="15425" spans="1:11" ht="54" customHeight="1">
      <c r="A15425" s="9" t="s">
        <v>31062</v>
      </c>
      <c r="B15425" s="9" t="s">
        <v>31063</v>
      </c>
      <c r="C15425" s="9" t="s">
        <v>46</v>
      </c>
      <c r="D15425" s="9" t="s">
        <v>101</v>
      </c>
      <c r="E15425" s="10" t="s">
        <v>4064</v>
      </c>
      <c r="F15425" s="9" t="s">
        <v>4065</v>
      </c>
      <c r="G15425" s="10" t="s">
        <v>34</v>
      </c>
      <c r="H15425" s="9" t="s">
        <v>35</v>
      </c>
      <c r="I15425" s="9" t="s">
        <v>31076</v>
      </c>
      <c r="J15425" s="10" t="str">
        <f>HYPERLINK("https://www.boe.es/gazeta/dias/1834/07/22/pdfs/GMD-1834-155.pdf#page=1","Abrir facsímil")</f>
        <v>Abrir facsímil</v>
      </c>
      <c r="K15425" s="10" t="s">
        <v>37</v>
      </c>
    </row>
    <row r="15426" spans="1:11" ht="54" customHeight="1">
      <c r="A15426" s="9" t="s">
        <v>31062</v>
      </c>
      <c r="B15426" s="9" t="s">
        <v>31063</v>
      </c>
      <c r="C15426" s="9" t="s">
        <v>46</v>
      </c>
      <c r="D15426" s="9" t="s">
        <v>101</v>
      </c>
      <c r="E15426" s="10" t="s">
        <v>823</v>
      </c>
      <c r="F15426" s="9" t="s">
        <v>824</v>
      </c>
      <c r="G15426" s="10" t="s">
        <v>34</v>
      </c>
      <c r="H15426" s="9" t="s">
        <v>35</v>
      </c>
      <c r="I15426" s="9" t="s">
        <v>31077</v>
      </c>
      <c r="J15426" s="10" t="str">
        <f>HYPERLINK("https://www.boe.es/gazeta/dias/1834/07/23/pdfs/GMD-1834-156.pdf#page=1","Abrir facsímil")</f>
        <v>Abrir facsímil</v>
      </c>
      <c r="K15426" s="10" t="s">
        <v>37</v>
      </c>
    </row>
    <row r="15427" spans="1:11" ht="54" customHeight="1">
      <c r="A15427" s="9" t="s">
        <v>31062</v>
      </c>
      <c r="B15427" s="9" t="s">
        <v>31063</v>
      </c>
      <c r="C15427" s="9" t="s">
        <v>66</v>
      </c>
      <c r="D15427" s="9" t="s">
        <v>18</v>
      </c>
      <c r="E15427" s="10" t="s">
        <v>1575</v>
      </c>
      <c r="F15427" s="9" t="s">
        <v>1576</v>
      </c>
      <c r="G15427" s="10" t="s">
        <v>34</v>
      </c>
      <c r="H15427" s="9" t="s">
        <v>35</v>
      </c>
      <c r="I15427" s="9" t="s">
        <v>31078</v>
      </c>
      <c r="J15427" s="10" t="str">
        <f>HYPERLINK("https://www.boe.es/gazeta/dias/1834/11/24/pdfs/GMD-1834-283.pdf#page=1","Abrir facsímil")</f>
        <v>Abrir facsímil</v>
      </c>
      <c r="K15427" s="10" t="s">
        <v>37</v>
      </c>
    </row>
    <row r="15428" spans="1:11" ht="54" customHeight="1">
      <c r="A15428" s="9" t="s">
        <v>31062</v>
      </c>
      <c r="B15428" s="9" t="s">
        <v>31063</v>
      </c>
      <c r="C15428" s="9" t="s">
        <v>46</v>
      </c>
      <c r="D15428" s="9" t="s">
        <v>55</v>
      </c>
      <c r="E15428" s="10" t="s">
        <v>1695</v>
      </c>
      <c r="F15428" s="9" t="s">
        <v>1696</v>
      </c>
      <c r="G15428" s="10" t="s">
        <v>34</v>
      </c>
      <c r="H15428" s="9" t="s">
        <v>35</v>
      </c>
      <c r="I15428" s="9" t="s">
        <v>31079</v>
      </c>
      <c r="J15428" s="10" t="str">
        <f>HYPERLINK("https://www.boe.es/gazeta/dias/1834/06/30/pdfs/GMD-1834-133.pdf#page=1","Abrir facsímil")</f>
        <v>Abrir facsímil</v>
      </c>
      <c r="K15428" s="10" t="s">
        <v>37</v>
      </c>
    </row>
    <row r="15429" spans="1:11" ht="54" customHeight="1">
      <c r="A15429" s="9" t="s">
        <v>31080</v>
      </c>
      <c r="B15429" s="9" t="s">
        <v>31081</v>
      </c>
      <c r="C15429" s="9" t="s">
        <v>122</v>
      </c>
      <c r="D15429" s="9" t="s">
        <v>101</v>
      </c>
      <c r="E15429" s="10" t="s">
        <v>326</v>
      </c>
      <c r="F15429" s="9" t="s">
        <v>327</v>
      </c>
      <c r="G15429" s="10" t="s">
        <v>34</v>
      </c>
      <c r="H15429" s="9" t="s">
        <v>35</v>
      </c>
      <c r="I15429" s="9" t="s">
        <v>31082</v>
      </c>
      <c r="J15429" s="10" t="str">
        <f>HYPERLINK("https://www.boe.es/gazeta/dias/1834/07/15/pdfs/GMD-1834-148.pdf#page=1","Abrir facsímil")</f>
        <v>Abrir facsímil</v>
      </c>
      <c r="K15429" s="10" t="s">
        <v>37</v>
      </c>
    </row>
    <row r="15430" spans="1:11" ht="54" customHeight="1">
      <c r="A15430" s="9" t="s">
        <v>31083</v>
      </c>
      <c r="B15430" s="9" t="s">
        <v>31084</v>
      </c>
      <c r="C15430" s="9" t="s">
        <v>66</v>
      </c>
      <c r="D15430" s="9" t="s">
        <v>67</v>
      </c>
      <c r="E15430" s="10" t="s">
        <v>1351</v>
      </c>
      <c r="F15430" s="9" t="s">
        <v>1352</v>
      </c>
      <c r="G15430" s="10" t="s">
        <v>34</v>
      </c>
      <c r="H15430" s="9" t="s">
        <v>35</v>
      </c>
      <c r="I15430" s="9" t="s">
        <v>31085</v>
      </c>
      <c r="J15430" s="10" t="str">
        <f>HYPERLINK("https://www.boe.es/gazeta/dias/1834/07/05/pdfs/GMD-1834-138.pdf#page=1","Abrir facsímil")</f>
        <v>Abrir facsímil</v>
      </c>
      <c r="K15430" s="10" t="s">
        <v>37</v>
      </c>
    </row>
    <row r="15431" spans="1:11" ht="54" customHeight="1">
      <c r="A15431" s="9" t="s">
        <v>31086</v>
      </c>
      <c r="B15431" s="9" t="s">
        <v>31087</v>
      </c>
      <c r="C15431" s="9" t="s">
        <v>46</v>
      </c>
      <c r="D15431" s="9" t="s">
        <v>101</v>
      </c>
      <c r="E15431" s="10" t="s">
        <v>1653</v>
      </c>
      <c r="F15431" s="9" t="s">
        <v>1654</v>
      </c>
      <c r="G15431" s="10" t="s">
        <v>34</v>
      </c>
      <c r="H15431" s="9" t="s">
        <v>22</v>
      </c>
      <c r="I15431" s="9" t="s">
        <v>31088</v>
      </c>
      <c r="J15431" s="10" t="str">
        <f>HYPERLINK("https://www.boe.es/gazeta/dias/1834/07/03/pdfs/GMD-1834-136.pdf#page=1","Abrir facsímil")</f>
        <v>Abrir facsímil</v>
      </c>
      <c r="K15431" s="10" t="s">
        <v>24</v>
      </c>
    </row>
    <row r="15432" spans="1:11" ht="54" customHeight="1">
      <c r="A15432" s="9" t="s">
        <v>31086</v>
      </c>
      <c r="B15432" s="9" t="s">
        <v>31087</v>
      </c>
      <c r="C15432" s="9" t="s">
        <v>90</v>
      </c>
      <c r="D15432" s="9" t="s">
        <v>101</v>
      </c>
      <c r="E15432" s="10" t="s">
        <v>2865</v>
      </c>
      <c r="F15432" s="9" t="s">
        <v>2866</v>
      </c>
      <c r="G15432" s="10" t="s">
        <v>34</v>
      </c>
      <c r="H15432" s="9" t="s">
        <v>22</v>
      </c>
      <c r="I15432" s="9" t="s">
        <v>31089</v>
      </c>
      <c r="J15432" s="10" t="str">
        <f>HYPERLINK("https://www.boe.es/gazeta/dias/1834/07/06/pdfs/GMD-1834-139.pdf#page=1","Abrir facsímil")</f>
        <v>Abrir facsímil</v>
      </c>
      <c r="K15432" s="10" t="s">
        <v>24</v>
      </c>
    </row>
    <row r="15433" spans="1:11" ht="54" customHeight="1">
      <c r="A15433" s="9" t="s">
        <v>31086</v>
      </c>
      <c r="B15433" s="9" t="s">
        <v>31087</v>
      </c>
      <c r="C15433" s="9" t="s">
        <v>46</v>
      </c>
      <c r="D15433" s="9" t="s">
        <v>101</v>
      </c>
      <c r="E15433" s="10" t="s">
        <v>56</v>
      </c>
      <c r="F15433" s="9" t="s">
        <v>57</v>
      </c>
      <c r="G15433" s="10" t="s">
        <v>34</v>
      </c>
      <c r="H15433" s="9" t="s">
        <v>22</v>
      </c>
      <c r="I15433" s="9" t="s">
        <v>31090</v>
      </c>
      <c r="J15433" s="10" t="str">
        <f>HYPERLINK("https://www.boe.es/gazeta/dias/1834/07/09/pdfs/GMD-1834-142.pdf#page=1","Abrir facsímil")</f>
        <v>Abrir facsímil</v>
      </c>
      <c r="K15433" s="10" t="s">
        <v>24</v>
      </c>
    </row>
    <row r="15434" spans="1:11" ht="54" customHeight="1">
      <c r="A15434" s="9" t="s">
        <v>31091</v>
      </c>
      <c r="B15434" s="9" t="s">
        <v>31092</v>
      </c>
      <c r="C15434" s="9" t="s">
        <v>122</v>
      </c>
      <c r="D15434" s="9" t="s">
        <v>101</v>
      </c>
      <c r="E15434" s="10" t="s">
        <v>1116</v>
      </c>
      <c r="F15434" s="9" t="s">
        <v>1117</v>
      </c>
      <c r="G15434" s="10" t="s">
        <v>34</v>
      </c>
      <c r="H15434" s="9" t="s">
        <v>22</v>
      </c>
      <c r="I15434" s="9" t="s">
        <v>31093</v>
      </c>
      <c r="J15434" s="10" t="str">
        <f>HYPERLINK("https://www.boe.es/gazeta/dias/1834/05/16/pdfs/GMD-1834-85.pdf#page=1","Abrir facsímil")</f>
        <v>Abrir facsímil</v>
      </c>
      <c r="K15434" s="10" t="s">
        <v>24</v>
      </c>
    </row>
    <row r="15435" spans="1:11" ht="54" customHeight="1">
      <c r="A15435" s="9" t="s">
        <v>31094</v>
      </c>
      <c r="B15435" s="9" t="s">
        <v>31095</v>
      </c>
      <c r="C15435" s="9" t="s">
        <v>122</v>
      </c>
      <c r="D15435" s="9" t="s">
        <v>101</v>
      </c>
      <c r="E15435" s="10" t="s">
        <v>1850</v>
      </c>
      <c r="F15435" s="9" t="s">
        <v>1851</v>
      </c>
      <c r="G15435" s="10" t="s">
        <v>75</v>
      </c>
      <c r="H15435" s="9" t="s">
        <v>22</v>
      </c>
      <c r="I15435" s="9" t="s">
        <v>31096</v>
      </c>
      <c r="J15435" s="10" t="str">
        <f>HYPERLINK("https://www.boe.es/gazeta/dias/1834/02/18/pdfs/GMD-1834-22.pdf#page=4","Abrir facsímil")</f>
        <v>Abrir facsímil</v>
      </c>
      <c r="K15435" s="10" t="s">
        <v>24</v>
      </c>
    </row>
    <row r="15436" spans="1:11" ht="54" customHeight="1">
      <c r="A15436" s="9" t="s">
        <v>31097</v>
      </c>
      <c r="B15436" s="9" t="s">
        <v>31098</v>
      </c>
      <c r="C15436" s="9" t="s">
        <v>17</v>
      </c>
      <c r="D15436" s="9" t="s">
        <v>18</v>
      </c>
      <c r="E15436" s="10" t="s">
        <v>1850</v>
      </c>
      <c r="F15436" s="9" t="s">
        <v>1851</v>
      </c>
      <c r="G15436" s="10" t="s">
        <v>21</v>
      </c>
      <c r="H15436" s="9" t="s">
        <v>22</v>
      </c>
      <c r="I15436" s="9" t="s">
        <v>31099</v>
      </c>
      <c r="J15436" s="10" t="str">
        <f>HYPERLINK("https://www.boe.es/gazeta/dias/1834/02/18/pdfs/GMD-1834-22.pdf#page=3","Abrir facsímil")</f>
        <v>Abrir facsímil</v>
      </c>
      <c r="K15436" s="10" t="s">
        <v>24</v>
      </c>
    </row>
    <row r="15437" spans="1:11" ht="54" customHeight="1">
      <c r="A15437" s="9" t="s">
        <v>31100</v>
      </c>
      <c r="B15437" s="9" t="s">
        <v>31101</v>
      </c>
      <c r="C15437" s="9" t="s">
        <v>17</v>
      </c>
      <c r="D15437" s="9" t="s">
        <v>18</v>
      </c>
      <c r="E15437" s="10" t="s">
        <v>1410</v>
      </c>
      <c r="F15437" s="9" t="s">
        <v>1411</v>
      </c>
      <c r="G15437" s="10" t="s">
        <v>21</v>
      </c>
      <c r="H15437" s="9" t="s">
        <v>22</v>
      </c>
      <c r="I15437" s="9" t="s">
        <v>31102</v>
      </c>
      <c r="J15437" s="10" t="str">
        <f>HYPERLINK("https://www.boe.es/gazeta/dias/1834/09/09/pdfs/GMD-1834-207.pdf#page=3","Abrir facsímil")</f>
        <v>Abrir facsímil</v>
      </c>
      <c r="K15437" s="10" t="s">
        <v>24</v>
      </c>
    </row>
    <row r="15438" spans="1:11" ht="54" customHeight="1">
      <c r="A15438" s="9" t="s">
        <v>31103</v>
      </c>
      <c r="B15438" s="9" t="s">
        <v>31104</v>
      </c>
      <c r="C15438" s="9" t="s">
        <v>90</v>
      </c>
      <c r="D15438" s="9" t="s">
        <v>101</v>
      </c>
      <c r="E15438" s="10" t="s">
        <v>758</v>
      </c>
      <c r="F15438" s="9" t="s">
        <v>759</v>
      </c>
      <c r="G15438" s="10" t="s">
        <v>34</v>
      </c>
      <c r="H15438" s="9" t="s">
        <v>22</v>
      </c>
      <c r="I15438" s="9" t="s">
        <v>31105</v>
      </c>
      <c r="J15438" s="10" t="str">
        <f>HYPERLINK("https://www.boe.es/gazeta/dias/1834/01/04/pdfs/GMD-1834-3.pdf#page=1","Abrir facsímil")</f>
        <v>Abrir facsímil</v>
      </c>
      <c r="K15438" s="10" t="s">
        <v>24</v>
      </c>
    </row>
    <row r="15439" spans="1:11" ht="54" customHeight="1">
      <c r="A15439" s="9" t="s">
        <v>31106</v>
      </c>
      <c r="B15439" s="9" t="s">
        <v>31107</v>
      </c>
      <c r="C15439" s="9" t="s">
        <v>17</v>
      </c>
      <c r="D15439" s="9" t="s">
        <v>18</v>
      </c>
      <c r="E15439" s="10" t="s">
        <v>1658</v>
      </c>
      <c r="F15439" s="9" t="s">
        <v>1659</v>
      </c>
      <c r="G15439" s="10" t="s">
        <v>75</v>
      </c>
      <c r="H15439" s="9" t="s">
        <v>22</v>
      </c>
      <c r="I15439" s="9" t="s">
        <v>31108</v>
      </c>
      <c r="J15439" s="10" t="str">
        <f>HYPERLINK("https://www.boe.es/gazeta/dias/1834/04/05/pdfs/GMD-1834-44.pdf#page=4","Abrir facsímil")</f>
        <v>Abrir facsímil</v>
      </c>
      <c r="K15439" s="10" t="s">
        <v>24</v>
      </c>
    </row>
    <row r="15440" spans="1:11" ht="54" customHeight="1">
      <c r="A15440" s="9" t="s">
        <v>31109</v>
      </c>
      <c r="B15440" s="9" t="s">
        <v>31109</v>
      </c>
      <c r="C15440" s="9" t="s">
        <v>122</v>
      </c>
      <c r="D15440" s="9" t="s">
        <v>18</v>
      </c>
      <c r="E15440" s="10" t="s">
        <v>174</v>
      </c>
      <c r="F15440" s="9" t="s">
        <v>175</v>
      </c>
      <c r="G15440" s="10" t="s">
        <v>21</v>
      </c>
      <c r="H15440" s="9" t="s">
        <v>22</v>
      </c>
      <c r="I15440" s="9" t="s">
        <v>31110</v>
      </c>
      <c r="J15440" s="10" t="str">
        <f>HYPERLINK("https://www.boe.es/gazeta/dias/1834/03/27/pdfs/GMD-1834-38.pdf#page=3","Abrir facsímil")</f>
        <v>Abrir facsímil</v>
      </c>
      <c r="K15440" s="10" t="s">
        <v>24</v>
      </c>
    </row>
    <row r="15441" spans="1:11" ht="54" customHeight="1">
      <c r="A15441" s="9" t="s">
        <v>31111</v>
      </c>
      <c r="B15441" s="9" t="s">
        <v>31112</v>
      </c>
      <c r="C15441" s="9" t="s">
        <v>17</v>
      </c>
      <c r="D15441" s="9" t="s">
        <v>18</v>
      </c>
      <c r="E15441" s="10" t="s">
        <v>1318</v>
      </c>
      <c r="F15441" s="9" t="s">
        <v>1319</v>
      </c>
      <c r="G15441" s="10" t="s">
        <v>34</v>
      </c>
      <c r="H15441" s="9" t="s">
        <v>22</v>
      </c>
      <c r="I15441" s="9" t="s">
        <v>31113</v>
      </c>
      <c r="J15441" s="10" t="str">
        <f>HYPERLINK("https://www.boe.es/gazeta/dias/1834/05/10/pdfs/GMD-1834-79.pdf#page=1","Abrir facsímil")</f>
        <v>Abrir facsímil</v>
      </c>
      <c r="K15441" s="10" t="s">
        <v>24</v>
      </c>
    </row>
    <row r="15442" spans="1:11" ht="54" customHeight="1">
      <c r="A15442" s="9" t="s">
        <v>31114</v>
      </c>
      <c r="B15442" s="9" t="s">
        <v>31114</v>
      </c>
      <c r="C15442" s="9" t="s">
        <v>17</v>
      </c>
      <c r="D15442" s="9" t="s">
        <v>18</v>
      </c>
      <c r="E15442" s="10" t="s">
        <v>2888</v>
      </c>
      <c r="F15442" s="9" t="s">
        <v>2889</v>
      </c>
      <c r="G15442" s="10" t="s">
        <v>21</v>
      </c>
      <c r="H15442" s="9" t="s">
        <v>22</v>
      </c>
      <c r="I15442" s="9" t="s">
        <v>31115</v>
      </c>
      <c r="J15442" s="10" t="str">
        <f>HYPERLINK("https://www.boe.es/gazeta/dias/1834/12/22/pdfs/GMD-1834-312.pdf#page=3","Abrir facsímil")</f>
        <v>Abrir facsímil</v>
      </c>
      <c r="K15442" s="10" t="s">
        <v>24</v>
      </c>
    </row>
    <row r="15443" spans="1:11" ht="54" customHeight="1">
      <c r="A15443" s="9" t="s">
        <v>31116</v>
      </c>
      <c r="B15443" s="9" t="s">
        <v>31116</v>
      </c>
      <c r="C15443" s="9" t="s">
        <v>46</v>
      </c>
      <c r="D15443" s="9" t="s">
        <v>18</v>
      </c>
      <c r="E15443" s="10" t="s">
        <v>912</v>
      </c>
      <c r="F15443" s="9" t="s">
        <v>913</v>
      </c>
      <c r="G15443" s="10" t="s">
        <v>75</v>
      </c>
      <c r="H15443" s="9" t="s">
        <v>22</v>
      </c>
      <c r="I15443" s="9" t="s">
        <v>31117</v>
      </c>
      <c r="J15443" s="10" t="str">
        <f>HYPERLINK("https://www.boe.es/gazeta/dias/1834/02/15/pdfs/GMD-1834-21.pdf#page=4","Abrir facsímil")</f>
        <v>Abrir facsímil</v>
      </c>
      <c r="K15443" s="10" t="s">
        <v>24</v>
      </c>
    </row>
    <row r="15444" spans="1:11" ht="54" customHeight="1">
      <c r="A15444" s="9" t="s">
        <v>31118</v>
      </c>
      <c r="B15444" s="9" t="s">
        <v>31119</v>
      </c>
      <c r="C15444" s="9" t="s">
        <v>17</v>
      </c>
      <c r="D15444" s="9" t="s">
        <v>18</v>
      </c>
      <c r="E15444" s="10" t="s">
        <v>1141</v>
      </c>
      <c r="F15444" s="9" t="s">
        <v>1142</v>
      </c>
      <c r="G15444" s="10" t="s">
        <v>34</v>
      </c>
      <c r="H15444" s="9" t="s">
        <v>22</v>
      </c>
      <c r="I15444" s="9" t="s">
        <v>31120</v>
      </c>
      <c r="J15444" s="10" t="str">
        <f>HYPERLINK("https://www.boe.es/gazeta/dias/1834/04/30/pdfs/GMD-1834-69.pdf#page=1","Abrir facsímil")</f>
        <v>Abrir facsímil</v>
      </c>
      <c r="K15444" s="10" t="s">
        <v>24</v>
      </c>
    </row>
    <row r="15445" spans="1:11" ht="54" customHeight="1">
      <c r="A15445" s="9" t="s">
        <v>31121</v>
      </c>
      <c r="B15445" s="9" t="s">
        <v>31121</v>
      </c>
      <c r="C15445" s="9" t="s">
        <v>17</v>
      </c>
      <c r="D15445" s="9" t="s">
        <v>18</v>
      </c>
      <c r="E15445" s="10" t="s">
        <v>273</v>
      </c>
      <c r="F15445" s="9" t="s">
        <v>274</v>
      </c>
      <c r="G15445" s="10" t="s">
        <v>176</v>
      </c>
      <c r="H15445" s="9" t="s">
        <v>22</v>
      </c>
      <c r="I15445" s="9" t="s">
        <v>31122</v>
      </c>
      <c r="J15445" s="10" t="str">
        <f>HYPERLINK("https://www.boe.es/gazeta/dias/1834/08/31/pdfs/GMD-D-1834-198.pdf#page=6","Abrir facsímil")</f>
        <v>Abrir facsímil</v>
      </c>
      <c r="K15445" s="10" t="s">
        <v>24</v>
      </c>
    </row>
    <row r="15446" spans="1:11" ht="54" customHeight="1">
      <c r="A15446" s="9" t="s">
        <v>31123</v>
      </c>
      <c r="B15446" s="9" t="s">
        <v>31123</v>
      </c>
      <c r="C15446" s="9" t="s">
        <v>17</v>
      </c>
      <c r="D15446" s="9" t="s">
        <v>18</v>
      </c>
      <c r="E15446" s="10" t="s">
        <v>2287</v>
      </c>
      <c r="F15446" s="9" t="s">
        <v>2288</v>
      </c>
      <c r="G15446" s="10" t="s">
        <v>176</v>
      </c>
      <c r="H15446" s="9" t="s">
        <v>22</v>
      </c>
      <c r="I15446" s="9" t="s">
        <v>31124</v>
      </c>
      <c r="J15446" s="10" t="str">
        <f>HYPERLINK("https://www.boe.es/gazeta/dias/1834/12/18/pdfs/GMD-C-1834-308.pdf#page=6","Abrir facsímil")</f>
        <v>Abrir facsímil</v>
      </c>
      <c r="K15446" s="10" t="s">
        <v>24</v>
      </c>
    </row>
    <row r="15447" spans="1:11" ht="54" customHeight="1">
      <c r="A15447" s="9" t="s">
        <v>31125</v>
      </c>
      <c r="B15447" s="9" t="s">
        <v>31126</v>
      </c>
      <c r="C15447" s="9" t="s">
        <v>66</v>
      </c>
      <c r="D15447" s="9" t="s">
        <v>18</v>
      </c>
      <c r="E15447" s="10" t="s">
        <v>339</v>
      </c>
      <c r="F15447" s="9" t="s">
        <v>340</v>
      </c>
      <c r="G15447" s="10" t="s">
        <v>21</v>
      </c>
      <c r="H15447" s="9" t="s">
        <v>22</v>
      </c>
      <c r="I15447" s="9" t="s">
        <v>31127</v>
      </c>
      <c r="J15447" s="10" t="str">
        <f>HYPERLINK("https://www.boe.es/gazeta/dias/1834/05/02/pdfs/GMD-1834-71.pdf#page=3","Abrir facsímil")</f>
        <v>Abrir facsímil</v>
      </c>
      <c r="K15447" s="10" t="s">
        <v>24</v>
      </c>
    </row>
    <row r="15448" spans="1:11" ht="54" customHeight="1">
      <c r="A15448" s="9" t="s">
        <v>31128</v>
      </c>
      <c r="B15448" s="9" t="s">
        <v>31129</v>
      </c>
      <c r="C15448" s="9" t="s">
        <v>90</v>
      </c>
      <c r="D15448" s="9" t="s">
        <v>40</v>
      </c>
      <c r="E15448" s="10" t="s">
        <v>317</v>
      </c>
      <c r="F15448" s="9" t="s">
        <v>318</v>
      </c>
      <c r="G15448" s="10" t="s">
        <v>34</v>
      </c>
      <c r="H15448" s="9" t="s">
        <v>22</v>
      </c>
      <c r="I15448" s="9" t="s">
        <v>31130</v>
      </c>
      <c r="J15448" s="10" t="str">
        <f>HYPERLINK("https://www.boe.es/gazeta/dias/1834/03/06/pdfs/I00139-00140.pdf#page=1","Abrir facsímil")</f>
        <v>Abrir facsímil</v>
      </c>
      <c r="K15448" s="10" t="s">
        <v>24</v>
      </c>
    </row>
    <row r="15449" spans="1:11" ht="54" customHeight="1">
      <c r="A15449" s="9" t="s">
        <v>31128</v>
      </c>
      <c r="B15449" s="9" t="s">
        <v>31129</v>
      </c>
      <c r="C15449" s="9" t="s">
        <v>90</v>
      </c>
      <c r="D15449" s="9" t="s">
        <v>40</v>
      </c>
      <c r="E15449" s="10" t="s">
        <v>317</v>
      </c>
      <c r="F15449" s="9" t="s">
        <v>318</v>
      </c>
      <c r="G15449" s="10" t="s">
        <v>21</v>
      </c>
      <c r="H15449" s="9" t="s">
        <v>22</v>
      </c>
      <c r="I15449" s="9" t="s">
        <v>31130</v>
      </c>
      <c r="J15449" s="10" t="str">
        <f>HYPERLINK("https://www.boe.es/gazeta/dias/1834/03/06/pdfs/GMD-1834-29.pdf#page=3","Abrir facsímil")</f>
        <v>Abrir facsímil</v>
      </c>
      <c r="K15449" s="10" t="s">
        <v>24</v>
      </c>
    </row>
    <row r="15450" spans="1:11" ht="54" customHeight="1">
      <c r="A15450" s="9" t="s">
        <v>31131</v>
      </c>
      <c r="B15450" s="9" t="s">
        <v>31132</v>
      </c>
      <c r="C15450" s="9" t="s">
        <v>17</v>
      </c>
      <c r="D15450" s="9" t="s">
        <v>18</v>
      </c>
      <c r="E15450" s="10" t="s">
        <v>734</v>
      </c>
      <c r="F15450" s="9" t="s">
        <v>735</v>
      </c>
      <c r="G15450" s="10" t="s">
        <v>21</v>
      </c>
      <c r="H15450" s="9" t="s">
        <v>22</v>
      </c>
      <c r="I15450" s="9" t="s">
        <v>31133</v>
      </c>
      <c r="J15450" s="10" t="str">
        <f>HYPERLINK("https://www.boe.es/gazeta/dias/1834/05/06/pdfs/GMD-1834-75.pdf#page=3","Abrir facsímil")</f>
        <v>Abrir facsímil</v>
      </c>
      <c r="K15450" s="10" t="s">
        <v>24</v>
      </c>
    </row>
    <row r="15451" spans="1:11" ht="54" customHeight="1">
      <c r="A15451" s="9" t="s">
        <v>31131</v>
      </c>
      <c r="B15451" s="9" t="s">
        <v>31132</v>
      </c>
      <c r="C15451" s="9" t="s">
        <v>66</v>
      </c>
      <c r="D15451" s="9" t="s">
        <v>67</v>
      </c>
      <c r="E15451" s="10" t="s">
        <v>541</v>
      </c>
      <c r="F15451" s="9" t="s">
        <v>542</v>
      </c>
      <c r="G15451" s="10" t="s">
        <v>86</v>
      </c>
      <c r="H15451" s="9" t="s">
        <v>22</v>
      </c>
      <c r="I15451" s="9" t="s">
        <v>31134</v>
      </c>
      <c r="J15451" s="10" t="str">
        <f>HYPERLINK("https://www.boe.es/gazeta/dias/1834/04/18/pdfs/GMD-1834-57.pdf#page=2","Abrir facsímil")</f>
        <v>Abrir facsímil</v>
      </c>
      <c r="K15451" s="10" t="s">
        <v>24</v>
      </c>
    </row>
    <row r="15452" spans="1:11" ht="54" customHeight="1">
      <c r="A15452" s="9" t="s">
        <v>31135</v>
      </c>
      <c r="B15452" s="9" t="s">
        <v>31136</v>
      </c>
      <c r="C15452" s="9" t="s">
        <v>17</v>
      </c>
      <c r="D15452" s="9" t="s">
        <v>101</v>
      </c>
      <c r="E15452" s="10" t="s">
        <v>375</v>
      </c>
      <c r="F15452" s="9" t="s">
        <v>376</v>
      </c>
      <c r="G15452" s="10" t="s">
        <v>34</v>
      </c>
      <c r="H15452" s="9" t="s">
        <v>22</v>
      </c>
      <c r="I15452" s="9" t="s">
        <v>31137</v>
      </c>
      <c r="J15452" s="10" t="str">
        <f>HYPERLINK("https://www.boe.es/gazeta/dias/1834/08/21/pdfs/GMD-1834-187.pdf#page=1","Abrir facsímil")</f>
        <v>Abrir facsímil</v>
      </c>
      <c r="K15452" s="10" t="s">
        <v>24</v>
      </c>
    </row>
    <row r="15453" spans="1:11" ht="54" customHeight="1">
      <c r="A15453" s="9" t="s">
        <v>31138</v>
      </c>
      <c r="B15453" s="9" t="s">
        <v>31138</v>
      </c>
      <c r="C15453" s="9" t="s">
        <v>66</v>
      </c>
      <c r="D15453" s="9" t="s">
        <v>18</v>
      </c>
      <c r="E15453" s="10" t="s">
        <v>2287</v>
      </c>
      <c r="F15453" s="9" t="s">
        <v>4741</v>
      </c>
      <c r="G15453" s="10" t="s">
        <v>21</v>
      </c>
      <c r="H15453" s="9" t="s">
        <v>22</v>
      </c>
      <c r="I15453" s="9" t="s">
        <v>31139</v>
      </c>
      <c r="J15453" s="10" t="str">
        <f>HYPERLINK("https://www.boe.es/gazeta/dias/1834/12/18/pdfs/GMD-1834-308.pdf#page=3","Abrir facsímil")</f>
        <v>Abrir facsímil</v>
      </c>
      <c r="K15453" s="10" t="s">
        <v>24</v>
      </c>
    </row>
    <row r="15454" spans="1:11" ht="54" customHeight="1">
      <c r="A15454" s="9" t="s">
        <v>31140</v>
      </c>
      <c r="B15454" s="9" t="s">
        <v>31141</v>
      </c>
      <c r="C15454" s="9" t="s">
        <v>122</v>
      </c>
      <c r="D15454" s="9" t="s">
        <v>18</v>
      </c>
      <c r="E15454" s="10" t="s">
        <v>905</v>
      </c>
      <c r="F15454" s="9" t="s">
        <v>1651</v>
      </c>
      <c r="G15454" s="10" t="s">
        <v>21</v>
      </c>
      <c r="H15454" s="9" t="s">
        <v>22</v>
      </c>
      <c r="I15454" s="9" t="s">
        <v>31142</v>
      </c>
      <c r="J15454" s="10" t="str">
        <f>HYPERLINK("https://www.boe.es/gazeta/dias/1834/08/02/pdfs/GMD-1834-166.pdf#page=3","Abrir facsímil")</f>
        <v>Abrir facsímil</v>
      </c>
      <c r="K15454" s="10" t="s">
        <v>24</v>
      </c>
    </row>
    <row r="15455" spans="1:11" ht="54" customHeight="1">
      <c r="A15455" s="9" t="s">
        <v>31143</v>
      </c>
      <c r="B15455" s="9" t="s">
        <v>31143</v>
      </c>
      <c r="C15455" s="9" t="s">
        <v>122</v>
      </c>
      <c r="D15455" s="9" t="s">
        <v>18</v>
      </c>
      <c r="E15455" s="10" t="s">
        <v>734</v>
      </c>
      <c r="F15455" s="9" t="s">
        <v>735</v>
      </c>
      <c r="G15455" s="10" t="s">
        <v>21</v>
      </c>
      <c r="H15455" s="9" t="s">
        <v>22</v>
      </c>
      <c r="I15455" s="9" t="s">
        <v>31144</v>
      </c>
      <c r="J15455" s="10" t="str">
        <f>HYPERLINK("https://www.boe.es/gazeta/dias/1834/05/06/pdfs/GMD-1834-75.pdf#page=3","Abrir facsímil")</f>
        <v>Abrir facsímil</v>
      </c>
      <c r="K15455" s="10" t="s">
        <v>24</v>
      </c>
    </row>
    <row r="15456" spans="1:11" ht="54" customHeight="1">
      <c r="A15456" s="9" t="s">
        <v>31145</v>
      </c>
      <c r="B15456" s="9" t="s">
        <v>31145</v>
      </c>
      <c r="C15456" s="9" t="s">
        <v>17</v>
      </c>
      <c r="D15456" s="9" t="s">
        <v>18</v>
      </c>
      <c r="E15456" s="10" t="s">
        <v>73</v>
      </c>
      <c r="F15456" s="9" t="s">
        <v>1416</v>
      </c>
      <c r="G15456" s="10" t="s">
        <v>21</v>
      </c>
      <c r="H15456" s="9" t="s">
        <v>22</v>
      </c>
      <c r="I15456" s="9" t="s">
        <v>31146</v>
      </c>
      <c r="J15456" s="10" t="str">
        <f>HYPERLINK("https://www.boe.es/gazeta/dias/1834/11/04/pdfs/GMD-C-1834-263.pdf#page=3","Abrir facsímil")</f>
        <v>Abrir facsímil</v>
      </c>
      <c r="K15456" s="10" t="s">
        <v>24</v>
      </c>
    </row>
    <row r="15457" spans="1:11" ht="54" customHeight="1">
      <c r="A15457" s="9" t="s">
        <v>31147</v>
      </c>
      <c r="B15457" s="9" t="s">
        <v>31147</v>
      </c>
      <c r="C15457" s="9" t="s">
        <v>46</v>
      </c>
      <c r="D15457" s="9" t="s">
        <v>55</v>
      </c>
      <c r="E15457" s="10" t="s">
        <v>610</v>
      </c>
      <c r="F15457" s="9" t="s">
        <v>611</v>
      </c>
      <c r="G15457" s="10" t="s">
        <v>75</v>
      </c>
      <c r="H15457" s="9" t="s">
        <v>22</v>
      </c>
      <c r="I15457" s="9" t="s">
        <v>31148</v>
      </c>
      <c r="J15457" s="10" t="str">
        <f>HYPERLINK("https://www.boe.es/gazeta/dias/1834/12/21/pdfs/GMD-C-1834-311.pdf#page=4","Abrir facsímil")</f>
        <v>Abrir facsímil</v>
      </c>
      <c r="K15457" s="10" t="s">
        <v>24</v>
      </c>
    </row>
    <row r="15458" spans="1:11" ht="54" customHeight="1">
      <c r="A15458" s="9" t="s">
        <v>31147</v>
      </c>
      <c r="B15458" s="9" t="s">
        <v>31147</v>
      </c>
      <c r="C15458" s="9" t="s">
        <v>17</v>
      </c>
      <c r="D15458" s="9" t="s">
        <v>40</v>
      </c>
      <c r="E15458" s="10" t="s">
        <v>128</v>
      </c>
      <c r="F15458" s="9" t="s">
        <v>129</v>
      </c>
      <c r="G15458" s="10" t="s">
        <v>21</v>
      </c>
      <c r="H15458" s="9" t="s">
        <v>22</v>
      </c>
      <c r="I15458" s="9" t="s">
        <v>31149</v>
      </c>
      <c r="J15458" s="10" t="str">
        <f>HYPERLINK("https://www.boe.es/gazeta/dias/1834/12/24/pdfs/GMD-C-1834-314.pdf#page=3","Abrir facsímil")</f>
        <v>Abrir facsímil</v>
      </c>
      <c r="K15458" s="10" t="s">
        <v>24</v>
      </c>
    </row>
    <row r="15459" spans="1:11" ht="54" customHeight="1">
      <c r="A15459" s="9" t="s">
        <v>31147</v>
      </c>
      <c r="B15459" s="9" t="s">
        <v>31147</v>
      </c>
      <c r="C15459" s="9" t="s">
        <v>17</v>
      </c>
      <c r="D15459" s="9" t="s">
        <v>18</v>
      </c>
      <c r="E15459" s="10" t="s">
        <v>294</v>
      </c>
      <c r="F15459" s="9" t="s">
        <v>959</v>
      </c>
      <c r="G15459" s="10" t="s">
        <v>86</v>
      </c>
      <c r="H15459" s="9" t="s">
        <v>22</v>
      </c>
      <c r="I15459" s="9" t="s">
        <v>31150</v>
      </c>
      <c r="J15459" s="10" t="str">
        <f>HYPERLINK("https://www.boe.es/gazeta/dias/1834/09/27/pdfs/GMD-C-1834-225.pdf#page=2","Abrir facsímil")</f>
        <v>Abrir facsímil</v>
      </c>
      <c r="K15459" s="10" t="s">
        <v>24</v>
      </c>
    </row>
    <row r="15460" spans="1:11" ht="54" customHeight="1">
      <c r="A15460" s="9" t="s">
        <v>31151</v>
      </c>
      <c r="B15460" s="9" t="s">
        <v>31152</v>
      </c>
      <c r="C15460" s="9" t="s">
        <v>17</v>
      </c>
      <c r="D15460" s="9" t="s">
        <v>18</v>
      </c>
      <c r="E15460" s="10" t="s">
        <v>255</v>
      </c>
      <c r="F15460" s="9" t="s">
        <v>256</v>
      </c>
      <c r="G15460" s="10" t="s">
        <v>86</v>
      </c>
      <c r="H15460" s="9" t="s">
        <v>22</v>
      </c>
      <c r="I15460" s="9" t="s">
        <v>31153</v>
      </c>
      <c r="J15460" s="10" t="str">
        <f>HYPERLINK("https://www.boe.es/gazeta/dias/1834/09/01/pdfs/GMD-D-1834-199.pdf#page=2","Abrir facsímil")</f>
        <v>Abrir facsímil</v>
      </c>
      <c r="K15460" s="10" t="s">
        <v>24</v>
      </c>
    </row>
    <row r="15461" spans="1:11" ht="54" customHeight="1">
      <c r="A15461" s="9" t="s">
        <v>31154</v>
      </c>
      <c r="B15461" s="9" t="s">
        <v>31155</v>
      </c>
      <c r="C15461" s="9" t="s">
        <v>46</v>
      </c>
      <c r="D15461" s="9" t="s">
        <v>18</v>
      </c>
      <c r="E15461" s="10" t="s">
        <v>163</v>
      </c>
      <c r="F15461" s="9" t="s">
        <v>164</v>
      </c>
      <c r="G15461" s="10" t="s">
        <v>86</v>
      </c>
      <c r="H15461" s="9" t="s">
        <v>22</v>
      </c>
      <c r="I15461" s="9" t="s">
        <v>31156</v>
      </c>
      <c r="J15461" s="10" t="str">
        <f>HYPERLINK("https://www.boe.es/gazeta/dias/1834/08/09/pdfs/GMD-1834-174.pdf#page=2","Abrir facsímil")</f>
        <v>Abrir facsímil</v>
      </c>
      <c r="K15461" s="10" t="s">
        <v>24</v>
      </c>
    </row>
    <row r="15462" spans="1:11" ht="54" customHeight="1">
      <c r="A15462" s="9" t="s">
        <v>31157</v>
      </c>
      <c r="B15462" s="9" t="s">
        <v>31158</v>
      </c>
      <c r="C15462" s="9" t="s">
        <v>17</v>
      </c>
      <c r="D15462" s="9" t="s">
        <v>101</v>
      </c>
      <c r="E15462" s="10" t="s">
        <v>2950</v>
      </c>
      <c r="F15462" s="9" t="s">
        <v>2951</v>
      </c>
      <c r="G15462" s="10" t="s">
        <v>21</v>
      </c>
      <c r="H15462" s="9" t="s">
        <v>22</v>
      </c>
      <c r="I15462" s="9" t="s">
        <v>31159</v>
      </c>
      <c r="J15462" s="10" t="str">
        <f>HYPERLINK("https://www.boe.es/gazeta/dias/1834/05/20/pdfs/GMD-1834-89.pdf#page=3","Abrir facsímil")</f>
        <v>Abrir facsímil</v>
      </c>
      <c r="K15462" s="10" t="s">
        <v>24</v>
      </c>
    </row>
    <row r="15463" spans="1:11" ht="54" customHeight="1">
      <c r="A15463" s="9" t="s">
        <v>31160</v>
      </c>
      <c r="B15463" s="9" t="s">
        <v>31160</v>
      </c>
      <c r="C15463" s="9" t="s">
        <v>17</v>
      </c>
      <c r="D15463" s="9" t="s">
        <v>40</v>
      </c>
      <c r="E15463" s="10" t="s">
        <v>26</v>
      </c>
      <c r="F15463" s="9" t="s">
        <v>818</v>
      </c>
      <c r="G15463" s="10" t="s">
        <v>75</v>
      </c>
      <c r="H15463" s="9" t="s">
        <v>22</v>
      </c>
      <c r="I15463" s="9" t="s">
        <v>31161</v>
      </c>
      <c r="J15463" s="10" t="str">
        <f>HYPERLINK("https://www.boe.es/gazeta/dias/1834/10/19/pdfs/GMD-1834-247.pdf#page=4","Abrir facsímil")</f>
        <v>Abrir facsímil</v>
      </c>
      <c r="K15463" s="10" t="s">
        <v>24</v>
      </c>
    </row>
    <row r="15464" spans="1:11" ht="54" customHeight="1">
      <c r="A15464" s="9" t="s">
        <v>31160</v>
      </c>
      <c r="B15464" s="9" t="s">
        <v>31160</v>
      </c>
      <c r="C15464" s="9" t="s">
        <v>17</v>
      </c>
      <c r="D15464" s="9" t="s">
        <v>18</v>
      </c>
      <c r="E15464" s="10" t="s">
        <v>1766</v>
      </c>
      <c r="F15464" s="9" t="s">
        <v>5600</v>
      </c>
      <c r="G15464" s="10" t="s">
        <v>75</v>
      </c>
      <c r="H15464" s="9" t="s">
        <v>22</v>
      </c>
      <c r="I15464" s="9" t="s">
        <v>31162</v>
      </c>
      <c r="J15464" s="10" t="str">
        <f>HYPERLINK("https://www.boe.es/gazeta/dias/1834/10/26/pdfs/GMD-1834-254.pdf#page=4","Abrir facsímil")</f>
        <v>Abrir facsímil</v>
      </c>
      <c r="K15464" s="10" t="s">
        <v>24</v>
      </c>
    </row>
    <row r="15465" spans="1:11" ht="54" customHeight="1">
      <c r="A15465" s="9" t="s">
        <v>31163</v>
      </c>
      <c r="B15465" s="9" t="s">
        <v>31163</v>
      </c>
      <c r="C15465" s="9" t="s">
        <v>90</v>
      </c>
      <c r="D15465" s="9" t="s">
        <v>67</v>
      </c>
      <c r="E15465" s="10" t="s">
        <v>1708</v>
      </c>
      <c r="F15465" s="9" t="s">
        <v>1709</v>
      </c>
      <c r="G15465" s="10" t="s">
        <v>34</v>
      </c>
      <c r="H15465" s="9" t="s">
        <v>22</v>
      </c>
      <c r="I15465" s="9" t="s">
        <v>31164</v>
      </c>
      <c r="J15465" s="10" t="str">
        <f>HYPERLINK("https://www.boe.es/gazeta/dias/1834/04/12/pdfs/GMD-1834-51.pdf#page=1","Abrir facsímil")</f>
        <v>Abrir facsímil</v>
      </c>
      <c r="K15465" s="10" t="s">
        <v>24</v>
      </c>
    </row>
    <row r="15466" spans="1:11" ht="54" customHeight="1">
      <c r="A15466" s="9" t="s">
        <v>31165</v>
      </c>
      <c r="B15466" s="9" t="s">
        <v>31165</v>
      </c>
      <c r="C15466" s="9" t="s">
        <v>17</v>
      </c>
      <c r="D15466" s="9" t="s">
        <v>55</v>
      </c>
      <c r="E15466" s="10" t="s">
        <v>3163</v>
      </c>
      <c r="F15466" s="9" t="s">
        <v>3164</v>
      </c>
      <c r="G15466" s="10" t="s">
        <v>75</v>
      </c>
      <c r="H15466" s="9" t="s">
        <v>22</v>
      </c>
      <c r="I15466" s="9" t="s">
        <v>31166</v>
      </c>
      <c r="J15466" s="10" t="str">
        <f>HYPERLINK("https://www.boe.es/gazeta/dias/1834/11/02/pdfs/GMD-1834-261.pdf#page=4","Abrir facsímil")</f>
        <v>Abrir facsímil</v>
      </c>
      <c r="K15466" s="10" t="s">
        <v>24</v>
      </c>
    </row>
    <row r="15467" spans="1:11" ht="54" customHeight="1">
      <c r="A15467" s="9" t="s">
        <v>31167</v>
      </c>
      <c r="B15467" s="9" t="s">
        <v>31168</v>
      </c>
      <c r="C15467" s="9" t="s">
        <v>122</v>
      </c>
      <c r="D15467" s="9" t="s">
        <v>18</v>
      </c>
      <c r="E15467" s="10" t="s">
        <v>2729</v>
      </c>
      <c r="F15467" s="9" t="s">
        <v>2730</v>
      </c>
      <c r="G15467" s="10" t="s">
        <v>21</v>
      </c>
      <c r="H15467" s="9" t="s">
        <v>22</v>
      </c>
      <c r="I15467" s="9" t="s">
        <v>31169</v>
      </c>
      <c r="J15467" s="10" t="str">
        <f>HYPERLINK("https://www.boe.es/gazeta/dias/1834/07/02/pdfs/GMD-1834-135.pdf#page=3","Abrir facsímil")</f>
        <v>Abrir facsímil</v>
      </c>
      <c r="K15467" s="10" t="s">
        <v>24</v>
      </c>
    </row>
    <row r="15468" spans="1:11" ht="54" customHeight="1">
      <c r="A15468" s="9" t="s">
        <v>31170</v>
      </c>
      <c r="B15468" s="9" t="s">
        <v>31171</v>
      </c>
      <c r="C15468" s="9" t="s">
        <v>122</v>
      </c>
      <c r="D15468" s="9" t="s">
        <v>18</v>
      </c>
      <c r="E15468" s="10" t="s">
        <v>2729</v>
      </c>
      <c r="F15468" s="9" t="s">
        <v>2730</v>
      </c>
      <c r="G15468" s="10" t="s">
        <v>21</v>
      </c>
      <c r="H15468" s="9" t="s">
        <v>35</v>
      </c>
      <c r="I15468" s="9" t="s">
        <v>31172</v>
      </c>
      <c r="J15468" s="10" t="str">
        <f>HYPERLINK("https://www.boe.es/gazeta/dias/1834/07/02/pdfs/GMD-1834-135.pdf#page=3","Abrir facsímil")</f>
        <v>Abrir facsímil</v>
      </c>
      <c r="K15468" s="10" t="s">
        <v>37</v>
      </c>
    </row>
    <row r="15469" spans="1:11" ht="54" customHeight="1">
      <c r="A15469" s="9" t="s">
        <v>31173</v>
      </c>
      <c r="B15469" s="9" t="s">
        <v>31174</v>
      </c>
      <c r="C15469" s="9" t="s">
        <v>46</v>
      </c>
      <c r="D15469" s="9" t="s">
        <v>40</v>
      </c>
      <c r="E15469" s="10" t="s">
        <v>3036</v>
      </c>
      <c r="F15469" s="9" t="s">
        <v>3037</v>
      </c>
      <c r="G15469" s="10" t="s">
        <v>28</v>
      </c>
      <c r="H15469" s="9" t="s">
        <v>22</v>
      </c>
      <c r="I15469" s="9" t="s">
        <v>31175</v>
      </c>
      <c r="J15469" s="10" t="str">
        <f>HYPERLINK("https://www.boe.es/gazeta/dias/1834/11/18/pdfs/GMD-C-1834-277.pdf#page=5","Abrir facsímil")</f>
        <v>Abrir facsímil</v>
      </c>
      <c r="K15469" s="10" t="s">
        <v>24</v>
      </c>
    </row>
    <row r="15470" spans="1:11" ht="54" customHeight="1">
      <c r="A15470" s="9" t="s">
        <v>31176</v>
      </c>
      <c r="B15470" s="9" t="s">
        <v>31177</v>
      </c>
      <c r="C15470" s="9" t="s">
        <v>17</v>
      </c>
      <c r="D15470" s="9" t="s">
        <v>18</v>
      </c>
      <c r="E15470" s="10" t="s">
        <v>1402</v>
      </c>
      <c r="F15470" s="9" t="s">
        <v>1403</v>
      </c>
      <c r="G15470" s="10" t="s">
        <v>34</v>
      </c>
      <c r="H15470" s="9" t="s">
        <v>22</v>
      </c>
      <c r="I15470" s="9" t="s">
        <v>31178</v>
      </c>
      <c r="J15470" s="10" t="str">
        <f>HYPERLINK("https://www.boe.es/gazeta/dias/1834/05/05/pdfs/I00347-00348.pdf#page=1","Abrir facsímil")</f>
        <v>Abrir facsímil</v>
      </c>
      <c r="K15470" s="10" t="s">
        <v>24</v>
      </c>
    </row>
    <row r="15471" spans="1:11" ht="54" customHeight="1">
      <c r="A15471" s="9" t="s">
        <v>31176</v>
      </c>
      <c r="B15471" s="9" t="s">
        <v>31177</v>
      </c>
      <c r="C15471" s="9" t="s">
        <v>17</v>
      </c>
      <c r="D15471" s="9" t="s">
        <v>101</v>
      </c>
      <c r="E15471" s="10" t="s">
        <v>1402</v>
      </c>
      <c r="F15471" s="9" t="s">
        <v>1403</v>
      </c>
      <c r="G15471" s="10" t="s">
        <v>28</v>
      </c>
      <c r="H15471" s="9" t="s">
        <v>22</v>
      </c>
      <c r="I15471" s="9" t="s">
        <v>31179</v>
      </c>
      <c r="J15471" s="10" t="str">
        <f>HYPERLINK("https://www.boe.es/gazeta/dias/1834/05/05/pdfs/GMD-1834-74.pdf#page=5","Abrir facsímil")</f>
        <v>Abrir facsímil</v>
      </c>
      <c r="K15471" s="10" t="s">
        <v>24</v>
      </c>
    </row>
    <row r="15472" spans="1:11" ht="54" customHeight="1">
      <c r="A15472" s="9" t="s">
        <v>31176</v>
      </c>
      <c r="B15472" s="9" t="s">
        <v>31177</v>
      </c>
      <c r="C15472" s="9" t="s">
        <v>90</v>
      </c>
      <c r="D15472" s="9" t="s">
        <v>18</v>
      </c>
      <c r="E15472" s="10" t="s">
        <v>899</v>
      </c>
      <c r="F15472" s="9" t="s">
        <v>900</v>
      </c>
      <c r="G15472" s="10" t="s">
        <v>176</v>
      </c>
      <c r="H15472" s="9" t="s">
        <v>22</v>
      </c>
      <c r="I15472" s="9" t="s">
        <v>31180</v>
      </c>
      <c r="J15472" s="10" t="str">
        <f>HYPERLINK("https://www.boe.es/gazeta/dias/1834/01/30/pdfs/GMD-1834-14.pdf#page=6","Abrir facsímil")</f>
        <v>Abrir facsímil</v>
      </c>
      <c r="K15472" s="10" t="s">
        <v>24</v>
      </c>
    </row>
    <row r="15473" spans="1:11" ht="54" customHeight="1">
      <c r="A15473" s="9" t="s">
        <v>31181</v>
      </c>
      <c r="B15473" s="9" t="s">
        <v>31182</v>
      </c>
      <c r="C15473" s="9" t="s">
        <v>90</v>
      </c>
      <c r="D15473" s="9" t="s">
        <v>18</v>
      </c>
      <c r="E15473" s="10" t="s">
        <v>866</v>
      </c>
      <c r="F15473" s="9" t="s">
        <v>867</v>
      </c>
      <c r="G15473" s="10" t="s">
        <v>75</v>
      </c>
      <c r="H15473" s="9" t="s">
        <v>22</v>
      </c>
      <c r="I15473" s="9" t="s">
        <v>31183</v>
      </c>
      <c r="J15473" s="10" t="str">
        <f>HYPERLINK("https://www.boe.es/gazeta/dias/1834/01/18/pdfs/GMD-1834-9.pdf#page=4","Abrir facsímil")</f>
        <v>Abrir facsímil</v>
      </c>
      <c r="K15473" s="10" t="s">
        <v>24</v>
      </c>
    </row>
    <row r="15474" spans="1:11" ht="54" customHeight="1">
      <c r="A15474" s="9" t="s">
        <v>31181</v>
      </c>
      <c r="B15474" s="9" t="s">
        <v>31182</v>
      </c>
      <c r="C15474" s="9" t="s">
        <v>90</v>
      </c>
      <c r="D15474" s="9" t="s">
        <v>18</v>
      </c>
      <c r="E15474" s="10" t="s">
        <v>899</v>
      </c>
      <c r="F15474" s="9" t="s">
        <v>900</v>
      </c>
      <c r="G15474" s="10" t="s">
        <v>176</v>
      </c>
      <c r="H15474" s="9" t="s">
        <v>22</v>
      </c>
      <c r="I15474" s="9" t="s">
        <v>31184</v>
      </c>
      <c r="J15474" s="10" t="str">
        <f>HYPERLINK("https://www.boe.es/gazeta/dias/1834/01/30/pdfs/GMD-1834-14.pdf#page=6","Abrir facsímil")</f>
        <v>Abrir facsímil</v>
      </c>
      <c r="K15474" s="10" t="s">
        <v>24</v>
      </c>
    </row>
    <row r="15475" spans="1:11" ht="54" customHeight="1">
      <c r="A15475" s="9" t="s">
        <v>31185</v>
      </c>
      <c r="B15475" s="9" t="s">
        <v>31186</v>
      </c>
      <c r="C15475" s="9" t="s">
        <v>46</v>
      </c>
      <c r="D15475" s="9" t="s">
        <v>101</v>
      </c>
      <c r="E15475" s="10" t="s">
        <v>615</v>
      </c>
      <c r="F15475" s="9" t="s">
        <v>1205</v>
      </c>
      <c r="G15475" s="10" t="s">
        <v>34</v>
      </c>
      <c r="H15475" s="9" t="s">
        <v>35</v>
      </c>
      <c r="I15475" s="9" t="s">
        <v>31187</v>
      </c>
      <c r="J15475" s="10" t="str">
        <f>HYPERLINK("https://www.boe.es/gazeta/dias/1834/08/19/pdfs/GMD-C-1834-185.pdf#page=1","Abrir facsímil")</f>
        <v>Abrir facsímil</v>
      </c>
      <c r="K15475" s="10" t="s">
        <v>37</v>
      </c>
    </row>
    <row r="15476" spans="1:11" ht="54" customHeight="1">
      <c r="A15476" s="9" t="s">
        <v>31188</v>
      </c>
      <c r="B15476" s="9" t="s">
        <v>31189</v>
      </c>
      <c r="C15476" s="9" t="s">
        <v>46</v>
      </c>
      <c r="D15476" s="9" t="s">
        <v>101</v>
      </c>
      <c r="E15476" s="10" t="s">
        <v>1674</v>
      </c>
      <c r="F15476" s="9" t="s">
        <v>1675</v>
      </c>
      <c r="G15476" s="10" t="s">
        <v>34</v>
      </c>
      <c r="H15476" s="9" t="s">
        <v>35</v>
      </c>
      <c r="I15476" s="9" t="s">
        <v>31190</v>
      </c>
      <c r="J15476" s="10" t="str">
        <f>HYPERLINK("https://www.boe.es/gazeta/dias/1834/07/25/pdfs/GMD-1834-158.pdf#page=1","Abrir facsímil")</f>
        <v>Abrir facsímil</v>
      </c>
      <c r="K15476" s="10" t="s">
        <v>37</v>
      </c>
    </row>
    <row r="15477" spans="1:11" ht="54" customHeight="1">
      <c r="A15477" s="9" t="s">
        <v>31191</v>
      </c>
      <c r="B15477" s="9" t="s">
        <v>31192</v>
      </c>
      <c r="C15477" s="9" t="s">
        <v>17</v>
      </c>
      <c r="D15477" s="9" t="s">
        <v>101</v>
      </c>
      <c r="E15477" s="10" t="s">
        <v>3952</v>
      </c>
      <c r="F15477" s="9" t="s">
        <v>3953</v>
      </c>
      <c r="G15477" s="10" t="s">
        <v>34</v>
      </c>
      <c r="H15477" s="9" t="s">
        <v>22</v>
      </c>
      <c r="I15477" s="9" t="s">
        <v>31193</v>
      </c>
      <c r="J15477" s="10" t="str">
        <f>HYPERLINK("https://www.boe.es/gazeta/dias/1834/02/22/pdfs/GMD-1834-24.pdf#page=1","Abrir facsímil")</f>
        <v>Abrir facsímil</v>
      </c>
      <c r="K15477" s="10" t="s">
        <v>24</v>
      </c>
    </row>
    <row r="15478" spans="1:11" ht="54" customHeight="1">
      <c r="A15478" s="9" t="s">
        <v>31194</v>
      </c>
      <c r="B15478" s="9" t="s">
        <v>31194</v>
      </c>
      <c r="C15478" s="9" t="s">
        <v>17</v>
      </c>
      <c r="D15478" s="9" t="s">
        <v>18</v>
      </c>
      <c r="E15478" s="10" t="s">
        <v>416</v>
      </c>
      <c r="F15478" s="9" t="s">
        <v>417</v>
      </c>
      <c r="G15478" s="10" t="s">
        <v>86</v>
      </c>
      <c r="H15478" s="9" t="s">
        <v>22</v>
      </c>
      <c r="I15478" s="9" t="s">
        <v>31195</v>
      </c>
      <c r="J15478" s="10" t="str">
        <f>HYPERLINK("https://www.boe.es/gazeta/dias/1834/10/02/pdfs/GMD-C-1834-230.pdf#page=2","Abrir facsímil")</f>
        <v>Abrir facsímil</v>
      </c>
      <c r="K15478" s="10" t="s">
        <v>24</v>
      </c>
    </row>
    <row r="15479" spans="1:11" ht="54" customHeight="1">
      <c r="A15479" s="9" t="s">
        <v>31196</v>
      </c>
      <c r="B15479" s="9" t="s">
        <v>31197</v>
      </c>
      <c r="C15479" s="9" t="s">
        <v>90</v>
      </c>
      <c r="D15479" s="9" t="s">
        <v>18</v>
      </c>
      <c r="E15479" s="10" t="s">
        <v>2278</v>
      </c>
      <c r="F15479" s="9" t="s">
        <v>2279</v>
      </c>
      <c r="G15479" s="10" t="s">
        <v>86</v>
      </c>
      <c r="H15479" s="9" t="s">
        <v>35</v>
      </c>
      <c r="I15479" s="9" t="s">
        <v>31198</v>
      </c>
      <c r="J15479" s="10" t="str">
        <f>HYPERLINK("https://www.boe.es/gazeta/dias/1834/12/17/pdfs/GMD-C-1834-306.pdf#page=2","Abrir facsímil")</f>
        <v>Abrir facsímil</v>
      </c>
      <c r="K15479" s="10" t="s">
        <v>37</v>
      </c>
    </row>
    <row r="15480" spans="1:11" ht="54" customHeight="1">
      <c r="A15480" s="9" t="s">
        <v>31199</v>
      </c>
      <c r="B15480" s="9" t="s">
        <v>31200</v>
      </c>
      <c r="C15480" s="9" t="s">
        <v>17</v>
      </c>
      <c r="D15480" s="9" t="s">
        <v>18</v>
      </c>
      <c r="E15480" s="10" t="s">
        <v>1186</v>
      </c>
      <c r="F15480" s="9" t="s">
        <v>1187</v>
      </c>
      <c r="G15480" s="10" t="s">
        <v>75</v>
      </c>
      <c r="H15480" s="9" t="s">
        <v>22</v>
      </c>
      <c r="I15480" s="9" t="s">
        <v>31201</v>
      </c>
      <c r="J15480" s="10" t="str">
        <f>HYPERLINK("https://www.boe.es/gazeta/dias/1834/08/14/pdfs/GMD-1834-179.pdf#page=4","Abrir facsímil")</f>
        <v>Abrir facsímil</v>
      </c>
      <c r="K15480" s="10" t="s">
        <v>24</v>
      </c>
    </row>
    <row r="15481" spans="1:11" ht="54" customHeight="1">
      <c r="A15481" s="9" t="s">
        <v>31202</v>
      </c>
      <c r="B15481" s="9" t="s">
        <v>31203</v>
      </c>
      <c r="C15481" s="9" t="s">
        <v>90</v>
      </c>
      <c r="D15481" s="9" t="s">
        <v>18</v>
      </c>
      <c r="E15481" s="10" t="s">
        <v>2278</v>
      </c>
      <c r="F15481" s="9" t="s">
        <v>2279</v>
      </c>
      <c r="G15481" s="10" t="s">
        <v>86</v>
      </c>
      <c r="H15481" s="9" t="s">
        <v>22</v>
      </c>
      <c r="I15481" s="9" t="s">
        <v>31204</v>
      </c>
      <c r="J15481" s="10" t="str">
        <f>HYPERLINK("https://www.boe.es/gazeta/dias/1834/12/17/pdfs/GMD-C-1834-306.pdf#page=2","Abrir facsímil")</f>
        <v>Abrir facsímil</v>
      </c>
      <c r="K15481" s="10" t="s">
        <v>24</v>
      </c>
    </row>
    <row r="15482" spans="1:11" ht="54" customHeight="1">
      <c r="A15482" s="9" t="s">
        <v>31205</v>
      </c>
      <c r="B15482" s="9" t="s">
        <v>31206</v>
      </c>
      <c r="C15482" s="9" t="s">
        <v>90</v>
      </c>
      <c r="D15482" s="9" t="s">
        <v>18</v>
      </c>
      <c r="E15482" s="10" t="s">
        <v>1641</v>
      </c>
      <c r="F15482" s="9" t="s">
        <v>1729</v>
      </c>
      <c r="G15482" s="10" t="s">
        <v>34</v>
      </c>
      <c r="H15482" s="9" t="s">
        <v>22</v>
      </c>
      <c r="I15482" s="9" t="s">
        <v>31207</v>
      </c>
      <c r="J15482" s="10" t="str">
        <f>HYPERLINK("https://www.boe.es/gazeta/dias/1834/09/28/pdfs/GMD-1834-226.pdf#page=1","Abrir facsímil")</f>
        <v>Abrir facsímil</v>
      </c>
      <c r="K15482" s="10" t="s">
        <v>24</v>
      </c>
    </row>
    <row r="15483" spans="1:11" ht="54" customHeight="1">
      <c r="A15483" s="9" t="s">
        <v>31208</v>
      </c>
      <c r="B15483" s="9" t="s">
        <v>31209</v>
      </c>
      <c r="C15483" s="9" t="s">
        <v>122</v>
      </c>
      <c r="D15483" s="9" t="s">
        <v>18</v>
      </c>
      <c r="E15483" s="10" t="s">
        <v>2203</v>
      </c>
      <c r="F15483" s="9" t="s">
        <v>3917</v>
      </c>
      <c r="G15483" s="10" t="s">
        <v>75</v>
      </c>
      <c r="H15483" s="9" t="s">
        <v>22</v>
      </c>
      <c r="I15483" s="9" t="s">
        <v>31210</v>
      </c>
      <c r="J15483" s="10" t="str">
        <f>HYPERLINK("https://www.boe.es/gazeta/dias/1834/09/10/pdfs/GMD-1834-208.pdf#page=4","Abrir facsímil")</f>
        <v>Abrir facsímil</v>
      </c>
      <c r="K15483" s="10" t="s">
        <v>24</v>
      </c>
    </row>
    <row r="15484" spans="1:11" ht="54" customHeight="1">
      <c r="A15484" s="9" t="s">
        <v>31211</v>
      </c>
      <c r="B15484" s="9" t="s">
        <v>31212</v>
      </c>
      <c r="C15484" s="9" t="s">
        <v>66</v>
      </c>
      <c r="D15484" s="9" t="s">
        <v>67</v>
      </c>
      <c r="E15484" s="10" t="s">
        <v>1572</v>
      </c>
      <c r="F15484" s="9" t="s">
        <v>1573</v>
      </c>
      <c r="G15484" s="10" t="s">
        <v>28</v>
      </c>
      <c r="H15484" s="9" t="s">
        <v>22</v>
      </c>
      <c r="I15484" s="9" t="s">
        <v>31213</v>
      </c>
      <c r="J15484" s="10" t="str">
        <f>HYPERLINK("https://www.boe.es/gazeta/dias/1834/03/20/pdfs/GMD-1834-35.pdf#page=5","Abrir facsímil")</f>
        <v>Abrir facsímil</v>
      </c>
      <c r="K15484" s="10" t="s">
        <v>24</v>
      </c>
    </row>
    <row r="15485" spans="1:11" ht="54" customHeight="1">
      <c r="A15485" s="9" t="s">
        <v>31214</v>
      </c>
      <c r="B15485" s="9" t="s">
        <v>31214</v>
      </c>
      <c r="C15485" s="9" t="s">
        <v>90</v>
      </c>
      <c r="D15485" s="9" t="s">
        <v>18</v>
      </c>
      <c r="E15485" s="10" t="s">
        <v>571</v>
      </c>
      <c r="F15485" s="9" t="s">
        <v>572</v>
      </c>
      <c r="G15485" s="10" t="s">
        <v>21</v>
      </c>
      <c r="H15485" s="9" t="s">
        <v>22</v>
      </c>
      <c r="I15485" s="9" t="s">
        <v>31215</v>
      </c>
      <c r="J15485" s="10" t="str">
        <f>HYPERLINK("https://www.boe.es/gazeta/dias/1834/09/04/pdfs/GMD-1834-202.pdf#page=3","Abrir facsímil")</f>
        <v>Abrir facsímil</v>
      </c>
      <c r="K15485" s="10" t="s">
        <v>24</v>
      </c>
    </row>
    <row r="15486" spans="1:11" ht="54" customHeight="1">
      <c r="A15486" s="9" t="s">
        <v>31216</v>
      </c>
      <c r="B15486" s="9" t="s">
        <v>31217</v>
      </c>
      <c r="C15486" s="9" t="s">
        <v>66</v>
      </c>
      <c r="D15486" s="9" t="s">
        <v>67</v>
      </c>
      <c r="E15486" s="10" t="s">
        <v>133</v>
      </c>
      <c r="F15486" s="9" t="s">
        <v>134</v>
      </c>
      <c r="G15486" s="10" t="s">
        <v>34</v>
      </c>
      <c r="H15486" s="9" t="s">
        <v>22</v>
      </c>
      <c r="I15486" s="9" t="s">
        <v>31218</v>
      </c>
      <c r="J15486" s="10" t="str">
        <f>HYPERLINK("https://www.boe.es/gazeta/dias/1834/06/18/pdfs/GMD-1834-121.pdf#page=1","Abrir facsímil")</f>
        <v>Abrir facsímil</v>
      </c>
      <c r="K15486" s="10" t="s">
        <v>24</v>
      </c>
    </row>
    <row r="15487" spans="1:11" ht="54" customHeight="1">
      <c r="A15487" s="9" t="s">
        <v>31219</v>
      </c>
      <c r="B15487" s="9" t="s">
        <v>31219</v>
      </c>
      <c r="C15487" s="9" t="s">
        <v>90</v>
      </c>
      <c r="D15487" s="9" t="s">
        <v>55</v>
      </c>
      <c r="E15487" s="10" t="s">
        <v>912</v>
      </c>
      <c r="F15487" s="9" t="s">
        <v>913</v>
      </c>
      <c r="G15487" s="10" t="s">
        <v>21</v>
      </c>
      <c r="H15487" s="9" t="s">
        <v>22</v>
      </c>
      <c r="I15487" s="9" t="s">
        <v>31220</v>
      </c>
      <c r="J15487" s="10" t="str">
        <f>HYPERLINK("https://www.boe.es/gazeta/dias/1834/02/15/pdfs/GMD-1834-21.pdf#page=3","Abrir facsímil")</f>
        <v>Abrir facsímil</v>
      </c>
      <c r="K15487" s="10" t="s">
        <v>24</v>
      </c>
    </row>
    <row r="15488" spans="1:11" ht="54" customHeight="1">
      <c r="A15488" s="9" t="s">
        <v>31221</v>
      </c>
      <c r="B15488" s="9" t="s">
        <v>31221</v>
      </c>
      <c r="C15488" s="9" t="s">
        <v>17</v>
      </c>
      <c r="D15488" s="9" t="s">
        <v>18</v>
      </c>
      <c r="E15488" s="10" t="s">
        <v>237</v>
      </c>
      <c r="F15488" s="9" t="s">
        <v>4609</v>
      </c>
      <c r="G15488" s="10" t="s">
        <v>86</v>
      </c>
      <c r="H15488" s="9" t="s">
        <v>22</v>
      </c>
      <c r="I15488" s="9" t="s">
        <v>31222</v>
      </c>
      <c r="J15488" s="10" t="str">
        <f>HYPERLINK("https://www.boe.es/gazeta/dias/1834/08/15/pdfs/GMD-1834-180.pdf#page=2","Abrir facsímil")</f>
        <v>Abrir facsímil</v>
      </c>
      <c r="K15488" s="10" t="s">
        <v>24</v>
      </c>
    </row>
    <row r="15489" spans="1:11" ht="54" customHeight="1">
      <c r="A15489" s="9" t="s">
        <v>31223</v>
      </c>
      <c r="B15489" s="9" t="s">
        <v>31224</v>
      </c>
      <c r="C15489" s="9" t="s">
        <v>17</v>
      </c>
      <c r="D15489" s="9" t="s">
        <v>18</v>
      </c>
      <c r="E15489" s="10" t="s">
        <v>3248</v>
      </c>
      <c r="F15489" s="9" t="s">
        <v>3249</v>
      </c>
      <c r="G15489" s="10" t="s">
        <v>21</v>
      </c>
      <c r="H15489" s="9" t="s">
        <v>22</v>
      </c>
      <c r="I15489" s="9" t="s">
        <v>31225</v>
      </c>
      <c r="J15489" s="10" t="str">
        <f>HYPERLINK("https://www.boe.es/gazeta/dias/1834/09/20/pdfs/GMD-1834-218.pdf#page=3","Abrir facsímil")</f>
        <v>Abrir facsímil</v>
      </c>
      <c r="K15489" s="10" t="s">
        <v>24</v>
      </c>
    </row>
    <row r="15490" spans="1:11" ht="54" customHeight="1">
      <c r="A15490" s="9" t="s">
        <v>31223</v>
      </c>
      <c r="B15490" s="9" t="s">
        <v>31224</v>
      </c>
      <c r="C15490" s="9" t="s">
        <v>17</v>
      </c>
      <c r="D15490" s="9" t="s">
        <v>55</v>
      </c>
      <c r="E15490" s="10" t="s">
        <v>707</v>
      </c>
      <c r="F15490" s="9" t="s">
        <v>1359</v>
      </c>
      <c r="G15490" s="10" t="s">
        <v>75</v>
      </c>
      <c r="H15490" s="9" t="s">
        <v>22</v>
      </c>
      <c r="I15490" s="9" t="s">
        <v>31226</v>
      </c>
      <c r="J15490" s="10" t="str">
        <f>HYPERLINK("https://www.boe.es/gazeta/dias/1834/11/25/pdfs/GMD-1834-284.pdf#page=4","Abrir facsímil")</f>
        <v>Abrir facsímil</v>
      </c>
      <c r="K15490" s="10" t="s">
        <v>24</v>
      </c>
    </row>
    <row r="15491" spans="1:11" ht="54" customHeight="1">
      <c r="A15491" s="9" t="s">
        <v>31227</v>
      </c>
      <c r="B15491" s="9" t="s">
        <v>31228</v>
      </c>
      <c r="C15491" s="9" t="s">
        <v>46</v>
      </c>
      <c r="D15491" s="9" t="s">
        <v>101</v>
      </c>
      <c r="E15491" s="10" t="s">
        <v>3025</v>
      </c>
      <c r="F15491" s="9" t="s">
        <v>3026</v>
      </c>
      <c r="G15491" s="10" t="s">
        <v>21</v>
      </c>
      <c r="H15491" s="9" t="s">
        <v>22</v>
      </c>
      <c r="I15491" s="9" t="s">
        <v>31229</v>
      </c>
      <c r="J15491" s="10" t="str">
        <f>HYPERLINK("https://www.boe.es/gazeta/dias/1834/05/25/pdfs/GMD-1834-94.pdf#page=3","Abrir facsímil")</f>
        <v>Abrir facsímil</v>
      </c>
      <c r="K15491" s="10" t="s">
        <v>24</v>
      </c>
    </row>
    <row r="15492" spans="1:11" ht="54" customHeight="1">
      <c r="A15492" s="9" t="s">
        <v>31230</v>
      </c>
      <c r="B15492" s="9" t="s">
        <v>31230</v>
      </c>
      <c r="C15492" s="9" t="s">
        <v>66</v>
      </c>
      <c r="D15492" s="9" t="s">
        <v>67</v>
      </c>
      <c r="E15492" s="10" t="s">
        <v>1812</v>
      </c>
      <c r="F15492" s="9" t="s">
        <v>1813</v>
      </c>
      <c r="G15492" s="10" t="s">
        <v>75</v>
      </c>
      <c r="H15492" s="9" t="s">
        <v>22</v>
      </c>
      <c r="I15492" s="9" t="s">
        <v>31231</v>
      </c>
      <c r="J15492" s="10" t="str">
        <f>HYPERLINK("https://www.boe.es/gazeta/dias/1834/10/23/pdfs/GMD-1834-251.pdf#page=4","Abrir facsímil")</f>
        <v>Abrir facsímil</v>
      </c>
      <c r="K15492" s="10" t="s">
        <v>24</v>
      </c>
    </row>
    <row r="15493" spans="1:11" ht="54" customHeight="1">
      <c r="A15493" s="9" t="s">
        <v>31230</v>
      </c>
      <c r="B15493" s="9" t="s">
        <v>31230</v>
      </c>
      <c r="C15493" s="9" t="s">
        <v>90</v>
      </c>
      <c r="D15493" s="9" t="s">
        <v>55</v>
      </c>
      <c r="E15493" s="10" t="s">
        <v>2302</v>
      </c>
      <c r="F15493" s="9" t="s">
        <v>2303</v>
      </c>
      <c r="G15493" s="10" t="s">
        <v>86</v>
      </c>
      <c r="H15493" s="9" t="s">
        <v>22</v>
      </c>
      <c r="I15493" s="9" t="s">
        <v>31232</v>
      </c>
      <c r="J15493" s="10" t="str">
        <f>HYPERLINK("https://www.boe.es/gazeta/dias/1834/01/25/pdfs/GMD-1834-12.pdf#page=2","Abrir facsímil")</f>
        <v>Abrir facsímil</v>
      </c>
      <c r="K15493" s="10" t="s">
        <v>24</v>
      </c>
    </row>
    <row r="15494" spans="1:11" ht="54" customHeight="1">
      <c r="A15494" s="9" t="s">
        <v>31233</v>
      </c>
      <c r="B15494" s="9" t="s">
        <v>31234</v>
      </c>
      <c r="C15494" s="9" t="s">
        <v>17</v>
      </c>
      <c r="D15494" s="9" t="s">
        <v>55</v>
      </c>
      <c r="E15494" s="10" t="s">
        <v>343</v>
      </c>
      <c r="F15494" s="9" t="s">
        <v>344</v>
      </c>
      <c r="G15494" s="10" t="s">
        <v>21</v>
      </c>
      <c r="H15494" s="9" t="s">
        <v>22</v>
      </c>
      <c r="I15494" s="9" t="s">
        <v>31235</v>
      </c>
      <c r="J15494" s="10" t="str">
        <f>HYPERLINK("https://www.boe.es/gazeta/dias/1834/01/14/pdfs/GMD-1834-7.pdf#page=3","Abrir facsímil")</f>
        <v>Abrir facsímil</v>
      </c>
      <c r="K15494" s="10" t="s">
        <v>24</v>
      </c>
    </row>
    <row r="15495" spans="1:11" ht="54" customHeight="1">
      <c r="A15495" s="9" t="s">
        <v>31236</v>
      </c>
      <c r="B15495" s="9" t="s">
        <v>31237</v>
      </c>
      <c r="C15495" s="9" t="s">
        <v>90</v>
      </c>
      <c r="D15495" s="9" t="s">
        <v>18</v>
      </c>
      <c r="E15495" s="10" t="s">
        <v>79</v>
      </c>
      <c r="F15495" s="9" t="s">
        <v>80</v>
      </c>
      <c r="G15495" s="10" t="s">
        <v>86</v>
      </c>
      <c r="H15495" s="9" t="s">
        <v>35</v>
      </c>
      <c r="I15495" s="9" t="s">
        <v>31238</v>
      </c>
      <c r="J15495" s="10" t="str">
        <f>HYPERLINK("https://www.boe.es/gazeta/dias/1834/07/12/pdfs/GMD-1834-145.pdf#page=2","Abrir facsímil")</f>
        <v>Abrir facsímil</v>
      </c>
      <c r="K15495" s="10" t="s">
        <v>37</v>
      </c>
    </row>
    <row r="15496" spans="1:11" ht="54" customHeight="1">
      <c r="A15496" s="9" t="s">
        <v>31239</v>
      </c>
      <c r="B15496" s="9" t="s">
        <v>31240</v>
      </c>
      <c r="C15496" s="9" t="s">
        <v>46</v>
      </c>
      <c r="D15496" s="9" t="s">
        <v>101</v>
      </c>
      <c r="E15496" s="10" t="s">
        <v>1262</v>
      </c>
      <c r="F15496" s="9" t="s">
        <v>1263</v>
      </c>
      <c r="G15496" s="10" t="s">
        <v>21</v>
      </c>
      <c r="H15496" s="9" t="s">
        <v>22</v>
      </c>
      <c r="I15496" s="9" t="s">
        <v>31241</v>
      </c>
      <c r="J15496" s="10" t="str">
        <f>HYPERLINK("https://www.boe.es/gazeta/dias/1834/02/01/pdfs/GMD-1834-15.pdf#page=3","Abrir facsímil")</f>
        <v>Abrir facsímil</v>
      </c>
      <c r="K15496" s="10" t="s">
        <v>24</v>
      </c>
    </row>
    <row r="15497" spans="1:11" ht="54" customHeight="1">
      <c r="A15497" s="9" t="s">
        <v>31242</v>
      </c>
      <c r="B15497" s="9" t="s">
        <v>31242</v>
      </c>
      <c r="C15497" s="9" t="s">
        <v>46</v>
      </c>
      <c r="D15497" s="9" t="s">
        <v>55</v>
      </c>
      <c r="E15497" s="10" t="s">
        <v>762</v>
      </c>
      <c r="F15497" s="9" t="s">
        <v>763</v>
      </c>
      <c r="G15497" s="10" t="s">
        <v>86</v>
      </c>
      <c r="H15497" s="9" t="s">
        <v>22</v>
      </c>
      <c r="I15497" s="9" t="s">
        <v>31243</v>
      </c>
      <c r="J15497" s="10" t="str">
        <f>HYPERLINK("https://www.boe.es/gazeta/dias/1834/11/07/pdfs/GMD-1834-266.pdf#page=2","Abrir facsímil")</f>
        <v>Abrir facsímil</v>
      </c>
      <c r="K15497" s="10" t="s">
        <v>24</v>
      </c>
    </row>
    <row r="15498" spans="1:11" ht="54" customHeight="1">
      <c r="A15498" s="9" t="s">
        <v>31244</v>
      </c>
      <c r="B15498" s="9" t="s">
        <v>31244</v>
      </c>
      <c r="C15498" s="9" t="s">
        <v>46</v>
      </c>
      <c r="D15498" s="9" t="s">
        <v>101</v>
      </c>
      <c r="E15498" s="10" t="s">
        <v>3328</v>
      </c>
      <c r="F15498" s="9" t="s">
        <v>3329</v>
      </c>
      <c r="G15498" s="10" t="s">
        <v>34</v>
      </c>
      <c r="H15498" s="9" t="s">
        <v>22</v>
      </c>
      <c r="I15498" s="9" t="s">
        <v>31245</v>
      </c>
      <c r="J15498" s="10" t="str">
        <f>HYPERLINK("https://www.boe.es/gazeta/dias/1834/06/04/pdfs/GMD-1834-106.pdf#page=1","Abrir facsímil")</f>
        <v>Abrir facsímil</v>
      </c>
      <c r="K15498" s="10" t="s">
        <v>24</v>
      </c>
    </row>
    <row r="15499" spans="1:11" ht="54" customHeight="1">
      <c r="A15499" s="9" t="s">
        <v>31244</v>
      </c>
      <c r="B15499" s="9" t="s">
        <v>31244</v>
      </c>
      <c r="C15499" s="9" t="s">
        <v>90</v>
      </c>
      <c r="D15499" s="9" t="s">
        <v>55</v>
      </c>
      <c r="E15499" s="10" t="s">
        <v>41</v>
      </c>
      <c r="F15499" s="9" t="s">
        <v>42</v>
      </c>
      <c r="G15499" s="10" t="s">
        <v>86</v>
      </c>
      <c r="H15499" s="9" t="s">
        <v>22</v>
      </c>
      <c r="I15499" s="9" t="s">
        <v>31246</v>
      </c>
      <c r="J15499" s="10" t="str">
        <f>HYPERLINK("https://www.boe.es/gazeta/dias/1834/06/11/pdfs/GMD-1834-114.pdf#page=2","Abrir facsímil")</f>
        <v>Abrir facsímil</v>
      </c>
      <c r="K15499" s="10" t="s">
        <v>24</v>
      </c>
    </row>
    <row r="15500" spans="1:11" ht="54" customHeight="1">
      <c r="A15500" s="9" t="s">
        <v>31244</v>
      </c>
      <c r="B15500" s="9" t="s">
        <v>31244</v>
      </c>
      <c r="C15500" s="9" t="s">
        <v>17</v>
      </c>
      <c r="D15500" s="9" t="s">
        <v>18</v>
      </c>
      <c r="E15500" s="10" t="s">
        <v>1424</v>
      </c>
      <c r="F15500" s="9" t="s">
        <v>3445</v>
      </c>
      <c r="G15500" s="10" t="s">
        <v>86</v>
      </c>
      <c r="H15500" s="9" t="s">
        <v>22</v>
      </c>
      <c r="I15500" s="9" t="s">
        <v>31247</v>
      </c>
      <c r="J15500" s="10" t="str">
        <f>HYPERLINK("https://www.boe.es/gazeta/dias/1834/11/14/pdfs/GMD-1834-273.pdf#page=2","Abrir facsímil")</f>
        <v>Abrir facsímil</v>
      </c>
      <c r="K15500" s="10" t="s">
        <v>24</v>
      </c>
    </row>
    <row r="15501" spans="1:11" ht="54" customHeight="1">
      <c r="A15501" s="9" t="s">
        <v>31248</v>
      </c>
      <c r="B15501" s="9" t="s">
        <v>31248</v>
      </c>
      <c r="C15501" s="9" t="s">
        <v>90</v>
      </c>
      <c r="D15501" s="9" t="s">
        <v>55</v>
      </c>
      <c r="E15501" s="10" t="s">
        <v>133</v>
      </c>
      <c r="F15501" s="9" t="s">
        <v>134</v>
      </c>
      <c r="G15501" s="10" t="s">
        <v>86</v>
      </c>
      <c r="H15501" s="9" t="s">
        <v>22</v>
      </c>
      <c r="I15501" s="9" t="s">
        <v>31249</v>
      </c>
      <c r="J15501" s="10" t="str">
        <f>HYPERLINK("https://www.boe.es/gazeta/dias/1834/06/18/pdfs/GMD-1834-121.pdf#page=2","Abrir facsímil")</f>
        <v>Abrir facsímil</v>
      </c>
      <c r="K15501" s="10" t="s">
        <v>24</v>
      </c>
    </row>
    <row r="15502" spans="1:11" ht="54" customHeight="1">
      <c r="A15502" s="9" t="s">
        <v>31250</v>
      </c>
      <c r="B15502" s="9" t="s">
        <v>31251</v>
      </c>
      <c r="C15502" s="9" t="s">
        <v>17</v>
      </c>
      <c r="D15502" s="9" t="s">
        <v>18</v>
      </c>
      <c r="E15502" s="10" t="s">
        <v>334</v>
      </c>
      <c r="F15502" s="9" t="s">
        <v>567</v>
      </c>
      <c r="G15502" s="10" t="s">
        <v>75</v>
      </c>
      <c r="H15502" s="9" t="s">
        <v>22</v>
      </c>
      <c r="I15502" s="9" t="s">
        <v>31252</v>
      </c>
      <c r="J15502" s="10" t="str">
        <f>HYPERLINK("https://www.boe.es/gazeta/dias/1834/09/11/pdfs/GMD-1834-209.pdf#page=4","Abrir facsímil")</f>
        <v>Abrir facsímil</v>
      </c>
      <c r="K15502" s="10" t="s">
        <v>24</v>
      </c>
    </row>
    <row r="15503" spans="1:11" ht="54" customHeight="1">
      <c r="A15503" s="9" t="s">
        <v>31253</v>
      </c>
      <c r="B15503" s="9" t="s">
        <v>31253</v>
      </c>
      <c r="C15503" s="9" t="s">
        <v>17</v>
      </c>
      <c r="D15503" s="9" t="s">
        <v>18</v>
      </c>
      <c r="E15503" s="10" t="s">
        <v>330</v>
      </c>
      <c r="F15503" s="9" t="s">
        <v>331</v>
      </c>
      <c r="G15503" s="10" t="s">
        <v>86</v>
      </c>
      <c r="H15503" s="9" t="s">
        <v>22</v>
      </c>
      <c r="I15503" s="9" t="s">
        <v>31254</v>
      </c>
      <c r="J15503" s="10" t="str">
        <f>HYPERLINK("https://www.boe.es/gazeta/dias/1834/12/03/pdfs/GMD-1834-292.pdf#page=2","Abrir facsímil")</f>
        <v>Abrir facsímil</v>
      </c>
      <c r="K15503" s="10" t="s">
        <v>24</v>
      </c>
    </row>
    <row r="15504" spans="1:11" ht="54" customHeight="1">
      <c r="A15504" s="9" t="s">
        <v>31255</v>
      </c>
      <c r="B15504" s="9" t="s">
        <v>31256</v>
      </c>
      <c r="C15504" s="9" t="s">
        <v>46</v>
      </c>
      <c r="D15504" s="9" t="s">
        <v>55</v>
      </c>
      <c r="E15504" s="10" t="s">
        <v>838</v>
      </c>
      <c r="F15504" s="9" t="s">
        <v>839</v>
      </c>
      <c r="G15504" s="10" t="s">
        <v>34</v>
      </c>
      <c r="H15504" s="9" t="s">
        <v>35</v>
      </c>
      <c r="I15504" s="9" t="s">
        <v>31257</v>
      </c>
      <c r="J15504" s="10" t="str">
        <f>HYPERLINK("https://www.boe.es/gazeta/dias/1834/07/18/pdfs/GMD-1834-151.pdf#page=1","Abrir facsímil")</f>
        <v>Abrir facsímil</v>
      </c>
      <c r="K15504" s="10" t="s">
        <v>37</v>
      </c>
    </row>
    <row r="15505" spans="1:11" ht="54" customHeight="1">
      <c r="A15505" s="9" t="s">
        <v>31258</v>
      </c>
      <c r="B15505" s="9" t="s">
        <v>31258</v>
      </c>
      <c r="C15505" s="9" t="s">
        <v>17</v>
      </c>
      <c r="D15505" s="9" t="s">
        <v>40</v>
      </c>
      <c r="E15505" s="10" t="s">
        <v>375</v>
      </c>
      <c r="F15505" s="9" t="s">
        <v>4983</v>
      </c>
      <c r="G15505" s="10" t="s">
        <v>86</v>
      </c>
      <c r="H15505" s="9" t="s">
        <v>22</v>
      </c>
      <c r="I15505" s="9" t="s">
        <v>31259</v>
      </c>
      <c r="J15505" s="10" t="str">
        <f>HYPERLINK("https://www.boe.es/gazeta/dias/1834/08/21/pdfs/GMD-C-1834-187.pdf#page=2","Abrir facsímil")</f>
        <v>Abrir facsímil</v>
      </c>
      <c r="K15505" s="10" t="s">
        <v>24</v>
      </c>
    </row>
    <row r="15506" spans="1:11" ht="54" customHeight="1">
      <c r="A15506" s="9" t="s">
        <v>31260</v>
      </c>
      <c r="B15506" s="9" t="s">
        <v>31260</v>
      </c>
      <c r="C15506" s="9" t="s">
        <v>46</v>
      </c>
      <c r="D15506" s="9" t="s">
        <v>18</v>
      </c>
      <c r="E15506" s="10" t="s">
        <v>273</v>
      </c>
      <c r="F15506" s="9" t="s">
        <v>413</v>
      </c>
      <c r="G15506" s="10" t="s">
        <v>86</v>
      </c>
      <c r="H15506" s="9" t="s">
        <v>22</v>
      </c>
      <c r="I15506" s="9" t="s">
        <v>31261</v>
      </c>
      <c r="J15506" s="10" t="str">
        <f>HYPERLINK("https://www.boe.es/gazeta/dias/1834/08/31/pdfs/GMD-1834-198.pdf#page=2","Abrir facsímil")</f>
        <v>Abrir facsímil</v>
      </c>
      <c r="K15506" s="10" t="s">
        <v>24</v>
      </c>
    </row>
    <row r="15507" spans="1:11" ht="54" customHeight="1">
      <c r="A15507" s="9" t="s">
        <v>31262</v>
      </c>
      <c r="B15507" s="9" t="s">
        <v>31263</v>
      </c>
      <c r="C15507" s="9" t="s">
        <v>17</v>
      </c>
      <c r="D15507" s="9" t="s">
        <v>18</v>
      </c>
      <c r="E15507" s="10" t="s">
        <v>84</v>
      </c>
      <c r="F15507" s="9" t="s">
        <v>1223</v>
      </c>
      <c r="G15507" s="10" t="s">
        <v>34</v>
      </c>
      <c r="H15507" s="9" t="s">
        <v>22</v>
      </c>
      <c r="I15507" s="9" t="s">
        <v>31264</v>
      </c>
      <c r="J15507" s="10" t="str">
        <f>HYPERLINK("https://www.boe.es/gazeta/dias/1834/06/07/pdfs/GMD-1834-109.pdf#page=1","Abrir facsímil")</f>
        <v>Abrir facsímil</v>
      </c>
      <c r="K15507" s="10" t="s">
        <v>24</v>
      </c>
    </row>
    <row r="15508" spans="1:11" ht="54" customHeight="1">
      <c r="A15508" s="9" t="s">
        <v>31265</v>
      </c>
      <c r="B15508" s="9" t="s">
        <v>31266</v>
      </c>
      <c r="C15508" s="9" t="s">
        <v>17</v>
      </c>
      <c r="D15508" s="9" t="s">
        <v>18</v>
      </c>
      <c r="E15508" s="10" t="s">
        <v>627</v>
      </c>
      <c r="F15508" s="9" t="s">
        <v>628</v>
      </c>
      <c r="G15508" s="10" t="s">
        <v>560</v>
      </c>
      <c r="H15508" s="9" t="s">
        <v>22</v>
      </c>
      <c r="I15508" s="9" t="s">
        <v>31267</v>
      </c>
      <c r="J15508" s="10" t="str">
        <f>HYPERLINK("https://www.boe.es/gazeta/dias/1834/09/22/pdfs/GMD-C-1834-220.pdf#page=7","Abrir facsímil")</f>
        <v>Abrir facsímil</v>
      </c>
      <c r="K15508" s="10" t="s">
        <v>24</v>
      </c>
    </row>
    <row r="15509" spans="1:11" ht="54" customHeight="1">
      <c r="A15509" s="9" t="s">
        <v>31268</v>
      </c>
      <c r="B15509" s="9" t="s">
        <v>31269</v>
      </c>
      <c r="C15509" s="9" t="s">
        <v>17</v>
      </c>
      <c r="D15509" s="9" t="s">
        <v>18</v>
      </c>
      <c r="E15509" s="10" t="s">
        <v>334</v>
      </c>
      <c r="F15509" s="9" t="s">
        <v>335</v>
      </c>
      <c r="G15509" s="10" t="s">
        <v>86</v>
      </c>
      <c r="H15509" s="9" t="s">
        <v>22</v>
      </c>
      <c r="I15509" s="9" t="s">
        <v>31270</v>
      </c>
      <c r="J15509" s="10" t="str">
        <f>HYPERLINK("https://www.boe.es/gazeta/dias/1834/09/11/pdfs/GMD-C-1834-209.pdf#page=2","Abrir facsímil")</f>
        <v>Abrir facsímil</v>
      </c>
      <c r="K15509" s="10" t="s">
        <v>24</v>
      </c>
    </row>
    <row r="15510" spans="1:11" ht="54" customHeight="1">
      <c r="A15510" s="9" t="s">
        <v>31271</v>
      </c>
      <c r="B15510" s="9" t="s">
        <v>31272</v>
      </c>
      <c r="C15510" s="9" t="s">
        <v>17</v>
      </c>
      <c r="D15510" s="9" t="s">
        <v>18</v>
      </c>
      <c r="E15510" s="10" t="s">
        <v>690</v>
      </c>
      <c r="F15510" s="9" t="s">
        <v>691</v>
      </c>
      <c r="G15510" s="10" t="s">
        <v>560</v>
      </c>
      <c r="H15510" s="9" t="s">
        <v>22</v>
      </c>
      <c r="I15510" s="9" t="s">
        <v>31273</v>
      </c>
      <c r="J15510" s="10" t="str">
        <f>HYPERLINK("https://www.boe.es/gazeta/dias/1834/09/03/pdfs/GMD-C-1834-201.pdf#page=7","Abrir facsímil")</f>
        <v>Abrir facsímil</v>
      </c>
      <c r="K15510" s="10" t="s">
        <v>24</v>
      </c>
    </row>
    <row r="15511" spans="1:11" ht="54" customHeight="1">
      <c r="A15511" s="9" t="s">
        <v>31271</v>
      </c>
      <c r="B15511" s="9" t="s">
        <v>31272</v>
      </c>
      <c r="C15511" s="9" t="s">
        <v>17</v>
      </c>
      <c r="D15511" s="9" t="s">
        <v>18</v>
      </c>
      <c r="E15511" s="10" t="s">
        <v>426</v>
      </c>
      <c r="F15511" s="9" t="s">
        <v>694</v>
      </c>
      <c r="G15511" s="10" t="s">
        <v>21</v>
      </c>
      <c r="H15511" s="9" t="s">
        <v>22</v>
      </c>
      <c r="I15511" s="9" t="s">
        <v>31274</v>
      </c>
      <c r="J15511" s="10" t="str">
        <f>HYPERLINK("https://www.boe.es/gazeta/dias/1834/10/04/pdfs/GMD-C-1834-232.pdf#page=3","Abrir facsímil")</f>
        <v>Abrir facsímil</v>
      </c>
      <c r="K15511" s="10" t="s">
        <v>24</v>
      </c>
    </row>
    <row r="15512" spans="1:11" ht="54" customHeight="1">
      <c r="A15512" s="9" t="s">
        <v>31271</v>
      </c>
      <c r="B15512" s="9" t="s">
        <v>31272</v>
      </c>
      <c r="C15512" s="9" t="s">
        <v>90</v>
      </c>
      <c r="D15512" s="9" t="s">
        <v>18</v>
      </c>
      <c r="E15512" s="10" t="s">
        <v>1340</v>
      </c>
      <c r="F15512" s="9" t="s">
        <v>1341</v>
      </c>
      <c r="G15512" s="10" t="s">
        <v>75</v>
      </c>
      <c r="H15512" s="9" t="s">
        <v>22</v>
      </c>
      <c r="I15512" s="9" t="s">
        <v>31275</v>
      </c>
      <c r="J15512" s="10" t="str">
        <f>HYPERLINK("https://www.boe.es/gazeta/dias/1834/10/05/pdfs/GMD-C-1834-233.pdf#page=4","Abrir facsímil")</f>
        <v>Abrir facsímil</v>
      </c>
      <c r="K15512" s="10" t="s">
        <v>24</v>
      </c>
    </row>
    <row r="15513" spans="1:11" ht="54" customHeight="1">
      <c r="A15513" s="9" t="s">
        <v>31271</v>
      </c>
      <c r="B15513" s="9" t="s">
        <v>31272</v>
      </c>
      <c r="C15513" s="9" t="s">
        <v>17</v>
      </c>
      <c r="D15513" s="9" t="s">
        <v>18</v>
      </c>
      <c r="E15513" s="10" t="s">
        <v>334</v>
      </c>
      <c r="F15513" s="9" t="s">
        <v>335</v>
      </c>
      <c r="G15513" s="10" t="s">
        <v>34</v>
      </c>
      <c r="H15513" s="9" t="s">
        <v>22</v>
      </c>
      <c r="I15513" s="9" t="s">
        <v>31276</v>
      </c>
      <c r="J15513" s="10" t="str">
        <f>HYPERLINK("https://www.boe.es/gazeta/dias/1834/09/11/pdfs/GMD-C-1834-209.pdf#page=1","Abrir facsímil")</f>
        <v>Abrir facsímil</v>
      </c>
      <c r="K15513" s="10" t="s">
        <v>24</v>
      </c>
    </row>
    <row r="15514" spans="1:11" ht="54" customHeight="1">
      <c r="A15514" s="9" t="s">
        <v>31271</v>
      </c>
      <c r="B15514" s="9" t="s">
        <v>31272</v>
      </c>
      <c r="C15514" s="9" t="s">
        <v>17</v>
      </c>
      <c r="D15514" s="9" t="s">
        <v>18</v>
      </c>
      <c r="E15514" s="10" t="s">
        <v>334</v>
      </c>
      <c r="F15514" s="9" t="s">
        <v>335</v>
      </c>
      <c r="G15514" s="10" t="s">
        <v>86</v>
      </c>
      <c r="H15514" s="9" t="s">
        <v>22</v>
      </c>
      <c r="I15514" s="9" t="s">
        <v>31277</v>
      </c>
      <c r="J15514" s="10" t="str">
        <f>HYPERLINK("https://www.boe.es/gazeta/dias/1834/09/11/pdfs/GMD-C-1834-209.pdf#page=2","Abrir facsímil")</f>
        <v>Abrir facsímil</v>
      </c>
      <c r="K15514" s="10" t="s">
        <v>24</v>
      </c>
    </row>
    <row r="15515" spans="1:11" ht="54" customHeight="1">
      <c r="A15515" s="9" t="s">
        <v>31271</v>
      </c>
      <c r="B15515" s="9" t="s">
        <v>31272</v>
      </c>
      <c r="C15515" s="9" t="s">
        <v>17</v>
      </c>
      <c r="D15515" s="9" t="s">
        <v>18</v>
      </c>
      <c r="E15515" s="10" t="s">
        <v>96</v>
      </c>
      <c r="F15515" s="9" t="s">
        <v>97</v>
      </c>
      <c r="G15515" s="10" t="s">
        <v>86</v>
      </c>
      <c r="H15515" s="9" t="s">
        <v>22</v>
      </c>
      <c r="I15515" s="9" t="s">
        <v>31278</v>
      </c>
      <c r="J15515" s="10" t="str">
        <f>HYPERLINK("https://www.boe.es/gazeta/dias/1834/11/11/pdfs/GMD-C-1834-270.pdf#page=2","Abrir facsímil")</f>
        <v>Abrir facsímil</v>
      </c>
      <c r="K15515" s="10" t="s">
        <v>24</v>
      </c>
    </row>
    <row r="15516" spans="1:11" ht="54" customHeight="1">
      <c r="A15516" s="9" t="s">
        <v>31271</v>
      </c>
      <c r="B15516" s="9" t="s">
        <v>31272</v>
      </c>
      <c r="C15516" s="9" t="s">
        <v>17</v>
      </c>
      <c r="D15516" s="9" t="s">
        <v>18</v>
      </c>
      <c r="E15516" s="10" t="s">
        <v>642</v>
      </c>
      <c r="F15516" s="9" t="s">
        <v>643</v>
      </c>
      <c r="G15516" s="10" t="s">
        <v>470</v>
      </c>
      <c r="H15516" s="9" t="s">
        <v>22</v>
      </c>
      <c r="I15516" s="9" t="s">
        <v>31279</v>
      </c>
      <c r="J15516" s="10" t="str">
        <f>HYPERLINK("https://www.boe.es/gazeta/dias/1834/11/12/pdfs/GMD-C-1834-271.pdf#page=8","Abrir facsímil")</f>
        <v>Abrir facsímil</v>
      </c>
      <c r="K15516" s="10" t="s">
        <v>24</v>
      </c>
    </row>
    <row r="15517" spans="1:11" ht="54" customHeight="1">
      <c r="A15517" s="9" t="s">
        <v>31271</v>
      </c>
      <c r="B15517" s="9" t="s">
        <v>31272</v>
      </c>
      <c r="C15517" s="9" t="s">
        <v>17</v>
      </c>
      <c r="D15517" s="9" t="s">
        <v>18</v>
      </c>
      <c r="E15517" s="10" t="s">
        <v>451</v>
      </c>
      <c r="F15517" s="9" t="s">
        <v>452</v>
      </c>
      <c r="G15517" s="10" t="s">
        <v>21</v>
      </c>
      <c r="H15517" s="9" t="s">
        <v>22</v>
      </c>
      <c r="I15517" s="9" t="s">
        <v>31280</v>
      </c>
      <c r="J15517" s="10" t="str">
        <f>HYPERLINK("https://www.boe.es/gazeta/dias/1834/10/15/pdfs/GMD-C-1834-243.pdf#page=3","Abrir facsímil")</f>
        <v>Abrir facsímil</v>
      </c>
      <c r="K15517" s="10" t="s">
        <v>24</v>
      </c>
    </row>
    <row r="15518" spans="1:11" ht="54" customHeight="1">
      <c r="A15518" s="9" t="s">
        <v>31271</v>
      </c>
      <c r="B15518" s="9" t="s">
        <v>31272</v>
      </c>
      <c r="C15518" s="9" t="s">
        <v>17</v>
      </c>
      <c r="D15518" s="9" t="s">
        <v>18</v>
      </c>
      <c r="E15518" s="10" t="s">
        <v>3036</v>
      </c>
      <c r="F15518" s="9" t="s">
        <v>3037</v>
      </c>
      <c r="G15518" s="10" t="s">
        <v>86</v>
      </c>
      <c r="H15518" s="9" t="s">
        <v>22</v>
      </c>
      <c r="I15518" s="9" t="s">
        <v>31281</v>
      </c>
      <c r="J15518" s="10" t="str">
        <f>HYPERLINK("https://www.boe.es/gazeta/dias/1834/11/18/pdfs/GMD-C-1834-277.pdf#page=2","Abrir facsímil")</f>
        <v>Abrir facsímil</v>
      </c>
      <c r="K15518" s="10" t="s">
        <v>24</v>
      </c>
    </row>
    <row r="15519" spans="1:11" ht="54" customHeight="1">
      <c r="A15519" s="9" t="s">
        <v>31282</v>
      </c>
      <c r="B15519" s="9" t="s">
        <v>31283</v>
      </c>
      <c r="C15519" s="9" t="s">
        <v>17</v>
      </c>
      <c r="D15519" s="9" t="s">
        <v>18</v>
      </c>
      <c r="E15519" s="10" t="s">
        <v>3036</v>
      </c>
      <c r="F15519" s="9" t="s">
        <v>3037</v>
      </c>
      <c r="G15519" s="10" t="s">
        <v>21</v>
      </c>
      <c r="H15519" s="9" t="s">
        <v>22</v>
      </c>
      <c r="I15519" s="9" t="s">
        <v>31284</v>
      </c>
      <c r="J15519" s="10" t="str">
        <f>HYPERLINK("https://www.boe.es/gazeta/dias/1834/11/18/pdfs/GMD-C-1834-277.pdf#page=3","Abrir facsímil")</f>
        <v>Abrir facsímil</v>
      </c>
      <c r="K15519" s="10" t="s">
        <v>24</v>
      </c>
    </row>
    <row r="15520" spans="1:11" ht="54" customHeight="1">
      <c r="A15520" s="9" t="s">
        <v>31271</v>
      </c>
      <c r="B15520" s="9" t="s">
        <v>31272</v>
      </c>
      <c r="C15520" s="9" t="s">
        <v>17</v>
      </c>
      <c r="D15520" s="9" t="s">
        <v>18</v>
      </c>
      <c r="E15520" s="10" t="s">
        <v>3248</v>
      </c>
      <c r="F15520" s="9" t="s">
        <v>4798</v>
      </c>
      <c r="G15520" s="10" t="s">
        <v>28</v>
      </c>
      <c r="H15520" s="9" t="s">
        <v>22</v>
      </c>
      <c r="I15520" s="9" t="s">
        <v>31285</v>
      </c>
      <c r="J15520" s="10" t="str">
        <f>HYPERLINK("https://www.boe.es/gazeta/dias/1834/09/20/pdfs/GMD-C-1834-218.pdf#page=5","Abrir facsímil")</f>
        <v>Abrir facsímil</v>
      </c>
      <c r="K15520" s="10" t="s">
        <v>24</v>
      </c>
    </row>
    <row r="15521" spans="1:11" ht="54" customHeight="1">
      <c r="A15521" s="9" t="s">
        <v>31271</v>
      </c>
      <c r="B15521" s="9" t="s">
        <v>31272</v>
      </c>
      <c r="C15521" s="9" t="s">
        <v>122</v>
      </c>
      <c r="D15521" s="9" t="s">
        <v>18</v>
      </c>
      <c r="E15521" s="10" t="s">
        <v>981</v>
      </c>
      <c r="F15521" s="9" t="s">
        <v>3406</v>
      </c>
      <c r="G15521" s="10" t="s">
        <v>34</v>
      </c>
      <c r="H15521" s="9" t="s">
        <v>22</v>
      </c>
      <c r="I15521" s="9" t="s">
        <v>31286</v>
      </c>
      <c r="J15521" s="10" t="str">
        <f>HYPERLINK("https://www.boe.es/gazeta/dias/1834/09/21/pdfs/GMD-C-1834-219.pdf#page=1","Abrir facsímil")</f>
        <v>Abrir facsímil</v>
      </c>
      <c r="K15521" s="10" t="s">
        <v>24</v>
      </c>
    </row>
    <row r="15522" spans="1:11" ht="54" customHeight="1">
      <c r="A15522" s="9" t="s">
        <v>31271</v>
      </c>
      <c r="B15522" s="9" t="s">
        <v>31272</v>
      </c>
      <c r="C15522" s="9" t="s">
        <v>46</v>
      </c>
      <c r="D15522" s="9" t="s">
        <v>101</v>
      </c>
      <c r="E15522" s="10" t="s">
        <v>981</v>
      </c>
      <c r="F15522" s="9" t="s">
        <v>3406</v>
      </c>
      <c r="G15522" s="10" t="s">
        <v>75</v>
      </c>
      <c r="H15522" s="9" t="s">
        <v>22</v>
      </c>
      <c r="I15522" s="9" t="s">
        <v>31287</v>
      </c>
      <c r="J15522" s="10" t="str">
        <f>HYPERLINK("https://www.boe.es/gazeta/dias/1834/09/21/pdfs/GMD-C-1834-219.pdf#page=4","Abrir facsímil")</f>
        <v>Abrir facsímil</v>
      </c>
      <c r="K15522" s="10" t="s">
        <v>24</v>
      </c>
    </row>
    <row r="15523" spans="1:11" ht="54" customHeight="1">
      <c r="A15523" s="9" t="s">
        <v>31271</v>
      </c>
      <c r="B15523" s="9" t="s">
        <v>31272</v>
      </c>
      <c r="C15523" s="9" t="s">
        <v>17</v>
      </c>
      <c r="D15523" s="9" t="s">
        <v>18</v>
      </c>
      <c r="E15523" s="10" t="s">
        <v>627</v>
      </c>
      <c r="F15523" s="9" t="s">
        <v>628</v>
      </c>
      <c r="G15523" s="10" t="s">
        <v>560</v>
      </c>
      <c r="H15523" s="9" t="s">
        <v>22</v>
      </c>
      <c r="I15523" s="9" t="s">
        <v>31288</v>
      </c>
      <c r="J15523" s="10" t="str">
        <f>HYPERLINK("https://www.boe.es/gazeta/dias/1834/09/22/pdfs/GMD-C-1834-220.pdf#page=7","Abrir facsímil")</f>
        <v>Abrir facsímil</v>
      </c>
      <c r="K15523" s="10" t="s">
        <v>24</v>
      </c>
    </row>
    <row r="15524" spans="1:11" ht="54" customHeight="1">
      <c r="A15524" s="9" t="s">
        <v>31271</v>
      </c>
      <c r="B15524" s="9" t="s">
        <v>31272</v>
      </c>
      <c r="C15524" s="9" t="s">
        <v>17</v>
      </c>
      <c r="D15524" s="9" t="s">
        <v>18</v>
      </c>
      <c r="E15524" s="10" t="s">
        <v>667</v>
      </c>
      <c r="F15524" s="9" t="s">
        <v>668</v>
      </c>
      <c r="G15524" s="10" t="s">
        <v>86</v>
      </c>
      <c r="H15524" s="9" t="s">
        <v>22</v>
      </c>
      <c r="I15524" s="9" t="s">
        <v>31289</v>
      </c>
      <c r="J15524" s="10" t="str">
        <f>HYPERLINK("https://www.boe.es/gazeta/dias/1834/11/23/pdfs/GMD-C-1834-282.pdf#page=2","Abrir facsímil")</f>
        <v>Abrir facsímil</v>
      </c>
      <c r="K15524" s="10" t="s">
        <v>24</v>
      </c>
    </row>
    <row r="15525" spans="1:11" ht="54" customHeight="1">
      <c r="A15525" s="9" t="s">
        <v>31271</v>
      </c>
      <c r="B15525" s="9" t="s">
        <v>31272</v>
      </c>
      <c r="C15525" s="9" t="s">
        <v>17</v>
      </c>
      <c r="D15525" s="9" t="s">
        <v>18</v>
      </c>
      <c r="E15525" s="10" t="s">
        <v>378</v>
      </c>
      <c r="F15525" s="9" t="s">
        <v>888</v>
      </c>
      <c r="G15525" s="10" t="s">
        <v>86</v>
      </c>
      <c r="H15525" s="9" t="s">
        <v>22</v>
      </c>
      <c r="I15525" s="9" t="s">
        <v>31290</v>
      </c>
      <c r="J15525" s="10" t="str">
        <f>HYPERLINK("https://www.boe.es/gazeta/dias/1834/09/24/pdfs/GMD-C-1834-222.pdf#page=2","Abrir facsímil")</f>
        <v>Abrir facsímil</v>
      </c>
      <c r="K15525" s="10" t="s">
        <v>24</v>
      </c>
    </row>
    <row r="15526" spans="1:11" ht="54" customHeight="1">
      <c r="A15526" s="9" t="s">
        <v>31271</v>
      </c>
      <c r="B15526" s="9" t="s">
        <v>31272</v>
      </c>
      <c r="C15526" s="9" t="s">
        <v>17</v>
      </c>
      <c r="D15526" s="9" t="s">
        <v>18</v>
      </c>
      <c r="E15526" s="10" t="s">
        <v>128</v>
      </c>
      <c r="F15526" s="9" t="s">
        <v>129</v>
      </c>
      <c r="G15526" s="10" t="s">
        <v>28</v>
      </c>
      <c r="H15526" s="9" t="s">
        <v>22</v>
      </c>
      <c r="I15526" s="9" t="s">
        <v>31291</v>
      </c>
      <c r="J15526" s="10" t="str">
        <f>HYPERLINK("https://www.boe.es/gazeta/dias/1834/12/24/pdfs/GMD-C-1834-314.pdf#page=5","Abrir facsímil")</f>
        <v>Abrir facsímil</v>
      </c>
      <c r="K15526" s="10" t="s">
        <v>24</v>
      </c>
    </row>
    <row r="15527" spans="1:11" ht="54" customHeight="1">
      <c r="A15527" s="9" t="s">
        <v>31271</v>
      </c>
      <c r="B15527" s="9" t="s">
        <v>31272</v>
      </c>
      <c r="C15527" s="9" t="s">
        <v>17</v>
      </c>
      <c r="D15527" s="9" t="s">
        <v>18</v>
      </c>
      <c r="E15527" s="10" t="s">
        <v>707</v>
      </c>
      <c r="F15527" s="9" t="s">
        <v>708</v>
      </c>
      <c r="G15527" s="10" t="s">
        <v>560</v>
      </c>
      <c r="H15527" s="9" t="s">
        <v>22</v>
      </c>
      <c r="I15527" s="9" t="s">
        <v>31292</v>
      </c>
      <c r="J15527" s="10" t="str">
        <f>HYPERLINK("https://www.boe.es/gazeta/dias/1834/11/25/pdfs/GMD-C-1834-284.pdf#page=7","Abrir facsímil")</f>
        <v>Abrir facsímil</v>
      </c>
      <c r="K15527" s="10" t="s">
        <v>24</v>
      </c>
    </row>
    <row r="15528" spans="1:11" ht="54" customHeight="1">
      <c r="A15528" s="9" t="s">
        <v>31293</v>
      </c>
      <c r="B15528" s="9" t="s">
        <v>31294</v>
      </c>
      <c r="C15528" s="9" t="s">
        <v>17</v>
      </c>
      <c r="D15528" s="9" t="s">
        <v>18</v>
      </c>
      <c r="E15528" s="10" t="s">
        <v>283</v>
      </c>
      <c r="F15528" s="9" t="s">
        <v>284</v>
      </c>
      <c r="G15528" s="10" t="s">
        <v>21</v>
      </c>
      <c r="H15528" s="9" t="s">
        <v>22</v>
      </c>
      <c r="I15528" s="9" t="s">
        <v>31295</v>
      </c>
      <c r="J15528" s="10" t="str">
        <f>HYPERLINK("https://www.boe.es/gazeta/dias/1834/11/29/pdfs/GMD-C-1834-288.pdf#page=3","Abrir facsímil")</f>
        <v>Abrir facsímil</v>
      </c>
      <c r="K15528" s="10" t="s">
        <v>24</v>
      </c>
    </row>
    <row r="15529" spans="1:11" ht="54" customHeight="1">
      <c r="A15529" s="9" t="s">
        <v>31271</v>
      </c>
      <c r="B15529" s="9" t="s">
        <v>31272</v>
      </c>
      <c r="C15529" s="9" t="s">
        <v>66</v>
      </c>
      <c r="D15529" s="9" t="s">
        <v>67</v>
      </c>
      <c r="E15529" s="10" t="s">
        <v>283</v>
      </c>
      <c r="F15529" s="9" t="s">
        <v>284</v>
      </c>
      <c r="G15529" s="10" t="s">
        <v>28</v>
      </c>
      <c r="H15529" s="9" t="s">
        <v>22</v>
      </c>
      <c r="I15529" s="9" t="s">
        <v>31296</v>
      </c>
      <c r="J15529" s="10" t="str">
        <f>HYPERLINK("https://www.boe.es/gazeta/dias/1834/11/29/pdfs/GMD-C-1834-288.pdf#page=5","Abrir facsímil")</f>
        <v>Abrir facsímil</v>
      </c>
      <c r="K15529" s="10" t="s">
        <v>24</v>
      </c>
    </row>
    <row r="15530" spans="1:11" ht="54" customHeight="1">
      <c r="A15530" s="9" t="s">
        <v>31271</v>
      </c>
      <c r="B15530" s="9" t="s">
        <v>31272</v>
      </c>
      <c r="C15530" s="9" t="s">
        <v>17</v>
      </c>
      <c r="D15530" s="9" t="s">
        <v>18</v>
      </c>
      <c r="E15530" s="10" t="s">
        <v>891</v>
      </c>
      <c r="F15530" s="9" t="s">
        <v>892</v>
      </c>
      <c r="G15530" s="10" t="s">
        <v>176</v>
      </c>
      <c r="H15530" s="9" t="s">
        <v>22</v>
      </c>
      <c r="I15530" s="9" t="s">
        <v>31297</v>
      </c>
      <c r="J15530" s="10" t="str">
        <f>HYPERLINK("https://www.boe.es/gazeta/dias/1834/10/31/pdfs/GMD-C-1834-259.pdf#page=6","Abrir facsímil")</f>
        <v>Abrir facsímil</v>
      </c>
      <c r="K15530" s="10" t="s">
        <v>24</v>
      </c>
    </row>
    <row r="15531" spans="1:11" ht="54" customHeight="1">
      <c r="A15531" s="9" t="s">
        <v>31298</v>
      </c>
      <c r="B15531" s="9" t="s">
        <v>31299</v>
      </c>
      <c r="C15531" s="9" t="s">
        <v>17</v>
      </c>
      <c r="D15531" s="9" t="s">
        <v>18</v>
      </c>
      <c r="E15531" s="10" t="s">
        <v>1680</v>
      </c>
      <c r="F15531" s="9" t="s">
        <v>1681</v>
      </c>
      <c r="G15531" s="10" t="s">
        <v>21</v>
      </c>
      <c r="H15531" s="9" t="s">
        <v>22</v>
      </c>
      <c r="I15531" s="9" t="s">
        <v>31300</v>
      </c>
      <c r="J15531" s="10" t="str">
        <f>HYPERLINK("https://www.boe.es/gazeta/dias/1834/02/27/pdfs/GMD-1834-26.pdf#page=3","Abrir facsímil")</f>
        <v>Abrir facsímil</v>
      </c>
      <c r="K15531" s="10" t="s">
        <v>24</v>
      </c>
    </row>
    <row r="15532" spans="1:11" ht="54" customHeight="1">
      <c r="A15532" s="9" t="s">
        <v>31301</v>
      </c>
      <c r="B15532" s="9" t="s">
        <v>31301</v>
      </c>
      <c r="C15532" s="9" t="s">
        <v>17</v>
      </c>
      <c r="D15532" s="9" t="s">
        <v>18</v>
      </c>
      <c r="E15532" s="10" t="s">
        <v>3328</v>
      </c>
      <c r="F15532" s="9" t="s">
        <v>3329</v>
      </c>
      <c r="G15532" s="10" t="s">
        <v>21</v>
      </c>
      <c r="H15532" s="9" t="s">
        <v>22</v>
      </c>
      <c r="I15532" s="9" t="s">
        <v>31302</v>
      </c>
      <c r="J15532" s="10" t="str">
        <f>HYPERLINK("https://www.boe.es/gazeta/dias/1834/06/04/pdfs/GMD-1834-106.pdf#page=3","Abrir facsímil")</f>
        <v>Abrir facsímil</v>
      </c>
      <c r="K15532" s="10" t="s">
        <v>24</v>
      </c>
    </row>
    <row r="15533" spans="1:11" ht="54" customHeight="1">
      <c r="A15533" s="9" t="s">
        <v>31303</v>
      </c>
      <c r="B15533" s="9" t="s">
        <v>31304</v>
      </c>
      <c r="C15533" s="9" t="s">
        <v>17</v>
      </c>
      <c r="D15533" s="9" t="s">
        <v>18</v>
      </c>
      <c r="E15533" s="10" t="s">
        <v>451</v>
      </c>
      <c r="F15533" s="9" t="s">
        <v>3350</v>
      </c>
      <c r="G15533" s="10" t="s">
        <v>21</v>
      </c>
      <c r="H15533" s="9" t="s">
        <v>22</v>
      </c>
      <c r="I15533" s="9" t="s">
        <v>31305</v>
      </c>
      <c r="J15533" s="10" t="str">
        <f>HYPERLINK("https://www.boe.es/gazeta/dias/1834/10/15/pdfs/GMD-1834-243.pdf#page=3","Abrir facsímil")</f>
        <v>Abrir facsímil</v>
      </c>
      <c r="K15533" s="10" t="s">
        <v>24</v>
      </c>
    </row>
    <row r="15534" spans="1:11" ht="54" customHeight="1">
      <c r="A15534" s="9" t="s">
        <v>31303</v>
      </c>
      <c r="B15534" s="9" t="s">
        <v>31304</v>
      </c>
      <c r="C15534" s="9" t="s">
        <v>46</v>
      </c>
      <c r="D15534" s="9" t="s">
        <v>55</v>
      </c>
      <c r="E15534" s="10" t="s">
        <v>26</v>
      </c>
      <c r="F15534" s="9" t="s">
        <v>818</v>
      </c>
      <c r="G15534" s="10" t="s">
        <v>21</v>
      </c>
      <c r="H15534" s="9" t="s">
        <v>22</v>
      </c>
      <c r="I15534" s="9" t="s">
        <v>31306</v>
      </c>
      <c r="J15534" s="10" t="str">
        <f>HYPERLINK("https://www.boe.es/gazeta/dias/1834/10/19/pdfs/GMD-1834-247.pdf#page=3","Abrir facsímil")</f>
        <v>Abrir facsímil</v>
      </c>
      <c r="K15534" s="10" t="s">
        <v>24</v>
      </c>
    </row>
    <row r="15535" spans="1:11" ht="54" customHeight="1">
      <c r="A15535" s="9" t="s">
        <v>31307</v>
      </c>
      <c r="B15535" s="9" t="s">
        <v>31308</v>
      </c>
      <c r="C15535" s="9" t="s">
        <v>66</v>
      </c>
      <c r="D15535" s="9" t="s">
        <v>67</v>
      </c>
      <c r="E15535" s="10" t="s">
        <v>2860</v>
      </c>
      <c r="F15535" s="9" t="s">
        <v>2861</v>
      </c>
      <c r="G15535" s="10" t="s">
        <v>75</v>
      </c>
      <c r="H15535" s="9" t="s">
        <v>22</v>
      </c>
      <c r="I15535" s="9" t="s">
        <v>31309</v>
      </c>
      <c r="J15535" s="10" t="str">
        <f>HYPERLINK("https://www.boe.es/gazeta/dias/1834/07/20/pdfs/GMD-1834-153.pdf#page=4","Abrir facsímil")</f>
        <v>Abrir facsímil</v>
      </c>
      <c r="K15535" s="10" t="s">
        <v>24</v>
      </c>
    </row>
    <row r="15536" spans="1:11" ht="54" customHeight="1">
      <c r="A15536" s="9" t="s">
        <v>31310</v>
      </c>
      <c r="B15536" s="9" t="s">
        <v>31311</v>
      </c>
      <c r="C15536" s="9" t="s">
        <v>17</v>
      </c>
      <c r="D15536" s="9" t="s">
        <v>18</v>
      </c>
      <c r="E15536" s="10" t="s">
        <v>3328</v>
      </c>
      <c r="F15536" s="9" t="s">
        <v>3329</v>
      </c>
      <c r="G15536" s="10" t="s">
        <v>21</v>
      </c>
      <c r="H15536" s="9" t="s">
        <v>35</v>
      </c>
      <c r="I15536" s="9" t="s">
        <v>31312</v>
      </c>
      <c r="J15536" s="10" t="str">
        <f>HYPERLINK("https://www.boe.es/gazeta/dias/1834/06/04/pdfs/GMD-1834-106.pdf#page=3","Abrir facsímil")</f>
        <v>Abrir facsímil</v>
      </c>
      <c r="K15536" s="10" t="s">
        <v>37</v>
      </c>
    </row>
    <row r="15537" spans="1:11" ht="54" customHeight="1">
      <c r="A15537" s="9" t="s">
        <v>31313</v>
      </c>
      <c r="B15537" s="9" t="s">
        <v>31314</v>
      </c>
      <c r="C15537" s="9" t="s">
        <v>17</v>
      </c>
      <c r="D15537" s="9" t="s">
        <v>18</v>
      </c>
      <c r="E15537" s="10" t="s">
        <v>375</v>
      </c>
      <c r="F15537" s="9" t="s">
        <v>376</v>
      </c>
      <c r="G15537" s="10" t="s">
        <v>34</v>
      </c>
      <c r="H15537" s="9" t="s">
        <v>22</v>
      </c>
      <c r="I15537" s="9" t="s">
        <v>31315</v>
      </c>
      <c r="J15537" s="10" t="str">
        <f>HYPERLINK("https://www.boe.es/gazeta/dias/1834/08/21/pdfs/GMD-1834-187.pdf#page=1","Abrir facsímil")</f>
        <v>Abrir facsímil</v>
      </c>
      <c r="K15537" s="10" t="s">
        <v>24</v>
      </c>
    </row>
    <row r="15538" spans="1:11" ht="54" customHeight="1">
      <c r="A15538" s="9" t="s">
        <v>31316</v>
      </c>
      <c r="B15538" s="9" t="s">
        <v>31317</v>
      </c>
      <c r="C15538" s="9" t="s">
        <v>17</v>
      </c>
      <c r="D15538" s="9" t="s">
        <v>18</v>
      </c>
      <c r="E15538" s="10" t="s">
        <v>3328</v>
      </c>
      <c r="F15538" s="9" t="s">
        <v>3329</v>
      </c>
      <c r="G15538" s="10" t="s">
        <v>21</v>
      </c>
      <c r="H15538" s="9" t="s">
        <v>22</v>
      </c>
      <c r="I15538" s="9" t="s">
        <v>31318</v>
      </c>
      <c r="J15538" s="10" t="str">
        <f>HYPERLINK("https://www.boe.es/gazeta/dias/1834/06/04/pdfs/GMD-1834-106.pdf#page=3","Abrir facsímil")</f>
        <v>Abrir facsímil</v>
      </c>
      <c r="K15538" s="10" t="s">
        <v>24</v>
      </c>
    </row>
    <row r="15539" spans="1:11" ht="54" customHeight="1">
      <c r="A15539" s="9" t="s">
        <v>31319</v>
      </c>
      <c r="B15539" s="9" t="s">
        <v>31320</v>
      </c>
      <c r="C15539" s="9" t="s">
        <v>17</v>
      </c>
      <c r="D15539" s="9" t="s">
        <v>18</v>
      </c>
      <c r="E15539" s="10" t="s">
        <v>1094</v>
      </c>
      <c r="F15539" s="9" t="s">
        <v>1095</v>
      </c>
      <c r="G15539" s="10" t="s">
        <v>75</v>
      </c>
      <c r="H15539" s="9" t="s">
        <v>22</v>
      </c>
      <c r="I15539" s="9" t="s">
        <v>31321</v>
      </c>
      <c r="J15539" s="10" t="str">
        <f>HYPERLINK("https://www.boe.es/gazeta/dias/1834/07/13/pdfs/GMD-1834-146.pdf#page=4","Abrir facsímil")</f>
        <v>Abrir facsímil</v>
      </c>
      <c r="K15539" s="10" t="s">
        <v>24</v>
      </c>
    </row>
    <row r="15540" spans="1:11" ht="54" customHeight="1">
      <c r="A15540" s="9" t="s">
        <v>31322</v>
      </c>
      <c r="B15540" s="9" t="s">
        <v>31323</v>
      </c>
      <c r="C15540" s="9" t="s">
        <v>17</v>
      </c>
      <c r="D15540" s="9" t="s">
        <v>18</v>
      </c>
      <c r="E15540" s="10" t="s">
        <v>258</v>
      </c>
      <c r="F15540" s="9" t="s">
        <v>1075</v>
      </c>
      <c r="G15540" s="10" t="s">
        <v>86</v>
      </c>
      <c r="H15540" s="9" t="s">
        <v>22</v>
      </c>
      <c r="I15540" s="9" t="s">
        <v>31324</v>
      </c>
      <c r="J15540" s="10" t="str">
        <f>HYPERLINK("https://www.boe.es/gazeta/dias/1834/10/09/pdfs/GMD-1834-237.pdf#page=2","Abrir facsímil")</f>
        <v>Abrir facsímil</v>
      </c>
      <c r="K15540" s="10" t="s">
        <v>24</v>
      </c>
    </row>
    <row r="15541" spans="1:11" ht="54" customHeight="1">
      <c r="A15541" s="9" t="s">
        <v>31325</v>
      </c>
      <c r="B15541" s="9" t="s">
        <v>31325</v>
      </c>
      <c r="C15541" s="9" t="s">
        <v>46</v>
      </c>
      <c r="D15541" s="9" t="s">
        <v>55</v>
      </c>
      <c r="E15541" s="10" t="s">
        <v>283</v>
      </c>
      <c r="F15541" s="9" t="s">
        <v>2969</v>
      </c>
      <c r="G15541" s="10" t="s">
        <v>34</v>
      </c>
      <c r="H15541" s="9" t="s">
        <v>22</v>
      </c>
      <c r="I15541" s="9" t="s">
        <v>31326</v>
      </c>
      <c r="J15541" s="10" t="str">
        <f>HYPERLINK("https://www.boe.es/gazeta/dias/1834/11/29/pdfs/GMD-1834-288.pdf#page=1","Abrir facsímil")</f>
        <v>Abrir facsímil</v>
      </c>
      <c r="K15541" s="10" t="s">
        <v>24</v>
      </c>
    </row>
    <row r="15542" spans="1:11" ht="54" customHeight="1">
      <c r="A15542" s="9" t="s">
        <v>31327</v>
      </c>
      <c r="B15542" s="9" t="s">
        <v>31327</v>
      </c>
      <c r="C15542" s="9" t="s">
        <v>90</v>
      </c>
      <c r="D15542" s="9" t="s">
        <v>18</v>
      </c>
      <c r="E15542" s="10" t="s">
        <v>905</v>
      </c>
      <c r="F15542" s="9" t="s">
        <v>1651</v>
      </c>
      <c r="G15542" s="10" t="s">
        <v>86</v>
      </c>
      <c r="H15542" s="9" t="s">
        <v>22</v>
      </c>
      <c r="I15542" s="9" t="s">
        <v>31328</v>
      </c>
      <c r="J15542" s="10" t="str">
        <f>HYPERLINK("https://www.boe.es/gazeta/dias/1834/08/02/pdfs/GMD-1834-166.pdf#page=2","Abrir facsímil")</f>
        <v>Abrir facsímil</v>
      </c>
      <c r="K15542" s="10" t="s">
        <v>24</v>
      </c>
    </row>
    <row r="15543" spans="1:11" ht="54" customHeight="1">
      <c r="A15543" s="9" t="s">
        <v>31329</v>
      </c>
      <c r="B15543" s="9" t="s">
        <v>31330</v>
      </c>
      <c r="C15543" s="9" t="s">
        <v>17</v>
      </c>
      <c r="D15543" s="9" t="s">
        <v>18</v>
      </c>
      <c r="E15543" s="10" t="s">
        <v>905</v>
      </c>
      <c r="F15543" s="9" t="s">
        <v>1651</v>
      </c>
      <c r="G15543" s="10" t="s">
        <v>86</v>
      </c>
      <c r="H15543" s="9" t="s">
        <v>22</v>
      </c>
      <c r="I15543" s="9" t="s">
        <v>31331</v>
      </c>
      <c r="J15543" s="10" t="str">
        <f>HYPERLINK("https://www.boe.es/gazeta/dias/1834/08/02/pdfs/GMD-1834-166.pdf#page=2","Abrir facsímil")</f>
        <v>Abrir facsímil</v>
      </c>
      <c r="K15543" s="10" t="s">
        <v>24</v>
      </c>
    </row>
    <row r="15544" spans="1:11" ht="54" customHeight="1">
      <c r="A15544" s="9" t="s">
        <v>31332</v>
      </c>
      <c r="B15544" s="9" t="s">
        <v>31333</v>
      </c>
      <c r="C15544" s="9" t="s">
        <v>17</v>
      </c>
      <c r="D15544" s="9" t="s">
        <v>18</v>
      </c>
      <c r="E15544" s="10" t="s">
        <v>627</v>
      </c>
      <c r="F15544" s="9" t="s">
        <v>1013</v>
      </c>
      <c r="G15544" s="10" t="s">
        <v>21</v>
      </c>
      <c r="H15544" s="9" t="s">
        <v>22</v>
      </c>
      <c r="I15544" s="9" t="s">
        <v>31334</v>
      </c>
      <c r="J15544" s="10" t="str">
        <f>HYPERLINK("https://www.boe.es/gazeta/dias/1834/09/22/pdfs/GMD-1834-220.pdf#page=3","Abrir facsímil")</f>
        <v>Abrir facsímil</v>
      </c>
      <c r="K15544" s="10" t="s">
        <v>24</v>
      </c>
    </row>
    <row r="15545" spans="1:11" ht="54" customHeight="1">
      <c r="A15545" s="9" t="s">
        <v>31335</v>
      </c>
      <c r="B15545" s="9" t="s">
        <v>31336</v>
      </c>
      <c r="C15545" s="9" t="s">
        <v>90</v>
      </c>
      <c r="D15545" s="9" t="s">
        <v>55</v>
      </c>
      <c r="E15545" s="10" t="s">
        <v>339</v>
      </c>
      <c r="F15545" s="9" t="s">
        <v>340</v>
      </c>
      <c r="G15545" s="10" t="s">
        <v>34</v>
      </c>
      <c r="H15545" s="9" t="s">
        <v>22</v>
      </c>
      <c r="I15545" s="9" t="s">
        <v>31337</v>
      </c>
      <c r="J15545" s="10" t="str">
        <f>HYPERLINK("https://www.boe.es/gazeta/dias/1834/05/02/pdfs/GMD-1834-71.pdf#page=1","Abrir facsímil")</f>
        <v>Abrir facsímil</v>
      </c>
      <c r="K15545" s="10" t="s">
        <v>24</v>
      </c>
    </row>
    <row r="15546" spans="1:11" ht="54" customHeight="1">
      <c r="A15546" s="9" t="s">
        <v>31338</v>
      </c>
      <c r="B15546" s="9" t="s">
        <v>31339</v>
      </c>
      <c r="C15546" s="9" t="s">
        <v>17</v>
      </c>
      <c r="D15546" s="9" t="s">
        <v>18</v>
      </c>
      <c r="E15546" s="10" t="s">
        <v>343</v>
      </c>
      <c r="F15546" s="9" t="s">
        <v>344</v>
      </c>
      <c r="G15546" s="10" t="s">
        <v>75</v>
      </c>
      <c r="H15546" s="9" t="s">
        <v>22</v>
      </c>
      <c r="I15546" s="9" t="s">
        <v>31340</v>
      </c>
      <c r="J15546" s="10" t="str">
        <f>HYPERLINK("https://www.boe.es/gazeta/dias/1834/01/14/pdfs/GMD-1834-7.pdf#page=4","Abrir facsímil")</f>
        <v>Abrir facsímil</v>
      </c>
      <c r="K15546" s="10" t="s">
        <v>24</v>
      </c>
    </row>
    <row r="15547" spans="1:11" ht="54" customHeight="1">
      <c r="A15547" s="9" t="s">
        <v>31341</v>
      </c>
      <c r="B15547" s="9" t="s">
        <v>31342</v>
      </c>
      <c r="C15547" s="9" t="s">
        <v>17</v>
      </c>
      <c r="D15547" s="9" t="s">
        <v>55</v>
      </c>
      <c r="E15547" s="10" t="s">
        <v>243</v>
      </c>
      <c r="F15547" s="9" t="s">
        <v>1109</v>
      </c>
      <c r="G15547" s="10" t="s">
        <v>34</v>
      </c>
      <c r="H15547" s="9" t="s">
        <v>22</v>
      </c>
      <c r="I15547" s="9" t="s">
        <v>31343</v>
      </c>
      <c r="J15547" s="10" t="str">
        <f>HYPERLINK("https://www.boe.es/gazeta/dias/1834/08/05/pdfs/GMD-1834-169.pdf#page=1","Abrir facsímil")</f>
        <v>Abrir facsímil</v>
      </c>
      <c r="K15547" s="10" t="s">
        <v>24</v>
      </c>
    </row>
    <row r="15548" spans="1:11" ht="54" customHeight="1">
      <c r="A15548" s="9" t="s">
        <v>31341</v>
      </c>
      <c r="B15548" s="9" t="s">
        <v>31342</v>
      </c>
      <c r="C15548" s="9" t="s">
        <v>17</v>
      </c>
      <c r="D15548" s="9" t="s">
        <v>18</v>
      </c>
      <c r="E15548" s="10" t="s">
        <v>653</v>
      </c>
      <c r="F15548" s="9" t="s">
        <v>654</v>
      </c>
      <c r="G15548" s="10" t="s">
        <v>34</v>
      </c>
      <c r="H15548" s="9" t="s">
        <v>22</v>
      </c>
      <c r="I15548" s="9" t="s">
        <v>31344</v>
      </c>
      <c r="J15548" s="10" t="str">
        <f>HYPERLINK("https://www.boe.es/gazeta/dias/1834/08/06/pdfs/GMD-C-1834-170.pdf#page=1","Abrir facsímil")</f>
        <v>Abrir facsímil</v>
      </c>
      <c r="K15548" s="10" t="s">
        <v>24</v>
      </c>
    </row>
    <row r="15549" spans="1:11" ht="54" customHeight="1">
      <c r="A15549" s="9" t="s">
        <v>31345</v>
      </c>
      <c r="B15549" s="9" t="s">
        <v>31346</v>
      </c>
      <c r="C15549" s="9" t="s">
        <v>17</v>
      </c>
      <c r="D15549" s="9" t="s">
        <v>40</v>
      </c>
      <c r="E15549" s="10" t="s">
        <v>690</v>
      </c>
      <c r="F15549" s="9" t="s">
        <v>691</v>
      </c>
      <c r="G15549" s="10" t="s">
        <v>34</v>
      </c>
      <c r="H15549" s="9" t="s">
        <v>35</v>
      </c>
      <c r="I15549" s="9" t="s">
        <v>31347</v>
      </c>
      <c r="J15549" s="10" t="str">
        <f>HYPERLINK("https://www.boe.es/gazeta/dias/1834/09/03/pdfs/GMD-C-1834-201.pdf#page=1","Abrir facsímil")</f>
        <v>Abrir facsímil</v>
      </c>
      <c r="K15549" s="10" t="s">
        <v>37</v>
      </c>
    </row>
    <row r="15550" spans="1:11" ht="54" customHeight="1">
      <c r="A15550" s="9" t="s">
        <v>31348</v>
      </c>
      <c r="B15550" s="9" t="s">
        <v>31349</v>
      </c>
      <c r="C15550" s="9" t="s">
        <v>17</v>
      </c>
      <c r="D15550" s="9" t="s">
        <v>40</v>
      </c>
      <c r="E15550" s="10" t="s">
        <v>690</v>
      </c>
      <c r="F15550" s="9" t="s">
        <v>691</v>
      </c>
      <c r="G15550" s="10" t="s">
        <v>34</v>
      </c>
      <c r="H15550" s="9" t="s">
        <v>35</v>
      </c>
      <c r="I15550" s="9" t="s">
        <v>31350</v>
      </c>
      <c r="J15550" s="10" t="str">
        <f>HYPERLINK("https://www.boe.es/gazeta/dias/1834/09/03/pdfs/GMD-C-1834-201.pdf#page=1","Abrir facsímil")</f>
        <v>Abrir facsímil</v>
      </c>
      <c r="K15550" s="10" t="s">
        <v>37</v>
      </c>
    </row>
    <row r="15551" spans="1:11" ht="54" customHeight="1">
      <c r="A15551" s="9" t="s">
        <v>31351</v>
      </c>
      <c r="B15551" s="9" t="s">
        <v>31351</v>
      </c>
      <c r="C15551" s="9" t="s">
        <v>66</v>
      </c>
      <c r="D15551" s="9" t="s">
        <v>18</v>
      </c>
      <c r="E15551" s="10" t="s">
        <v>416</v>
      </c>
      <c r="F15551" s="9" t="s">
        <v>417</v>
      </c>
      <c r="G15551" s="10" t="s">
        <v>21</v>
      </c>
      <c r="H15551" s="9" t="s">
        <v>22</v>
      </c>
      <c r="I15551" s="9" t="s">
        <v>31352</v>
      </c>
      <c r="J15551" s="10" t="str">
        <f>HYPERLINK("https://www.boe.es/gazeta/dias/1834/10/02/pdfs/GMD-C-1834-230.pdf#page=3","Abrir facsímil")</f>
        <v>Abrir facsímil</v>
      </c>
      <c r="K15551" s="10" t="s">
        <v>24</v>
      </c>
    </row>
    <row r="15552" spans="1:11" ht="54" customHeight="1">
      <c r="A15552" s="9" t="s">
        <v>31353</v>
      </c>
      <c r="B15552" s="9" t="s">
        <v>31353</v>
      </c>
      <c r="C15552" s="9" t="s">
        <v>17</v>
      </c>
      <c r="D15552" s="9" t="s">
        <v>18</v>
      </c>
      <c r="E15552" s="10" t="s">
        <v>556</v>
      </c>
      <c r="F15552" s="9" t="s">
        <v>557</v>
      </c>
      <c r="G15552" s="10" t="s">
        <v>86</v>
      </c>
      <c r="H15552" s="9" t="s">
        <v>22</v>
      </c>
      <c r="I15552" s="9" t="s">
        <v>31354</v>
      </c>
      <c r="J15552" s="10" t="str">
        <f>HYPERLINK("https://www.boe.es/gazeta/dias/1834/09/13/pdfs/GMD-1834-211.pdf#page=2","Abrir facsímil")</f>
        <v>Abrir facsímil</v>
      </c>
      <c r="K15552" s="10" t="s">
        <v>24</v>
      </c>
    </row>
    <row r="15553" spans="1:11" ht="54" customHeight="1">
      <c r="A15553" s="9" t="s">
        <v>31355</v>
      </c>
      <c r="B15553" s="9" t="s">
        <v>31355</v>
      </c>
      <c r="C15553" s="9" t="s">
        <v>17</v>
      </c>
      <c r="D15553" s="9" t="s">
        <v>55</v>
      </c>
      <c r="E15553" s="10" t="s">
        <v>1135</v>
      </c>
      <c r="F15553" s="9" t="s">
        <v>1136</v>
      </c>
      <c r="G15553" s="10" t="s">
        <v>21</v>
      </c>
      <c r="H15553" s="9" t="s">
        <v>22</v>
      </c>
      <c r="I15553" s="9" t="s">
        <v>31356</v>
      </c>
      <c r="J15553" s="10" t="str">
        <f>HYPERLINK("https://www.boe.es/gazeta/dias/1834/08/26/pdfs/GMD-1834-192.pdf#page=3","Abrir facsímil")</f>
        <v>Abrir facsímil</v>
      </c>
      <c r="K15553" s="10" t="s">
        <v>24</v>
      </c>
    </row>
    <row r="15554" spans="1:11" ht="54" customHeight="1">
      <c r="A15554" s="9" t="s">
        <v>31357</v>
      </c>
      <c r="B15554" s="9" t="s">
        <v>31358</v>
      </c>
      <c r="C15554" s="9" t="s">
        <v>66</v>
      </c>
      <c r="D15554" s="9" t="s">
        <v>67</v>
      </c>
      <c r="E15554" s="10" t="s">
        <v>133</v>
      </c>
      <c r="F15554" s="9" t="s">
        <v>134</v>
      </c>
      <c r="G15554" s="10" t="s">
        <v>34</v>
      </c>
      <c r="H15554" s="9" t="s">
        <v>22</v>
      </c>
      <c r="I15554" s="9" t="s">
        <v>31359</v>
      </c>
      <c r="J15554" s="10" t="str">
        <f>HYPERLINK("https://www.boe.es/gazeta/dias/1834/06/18/pdfs/GMD-1834-121.pdf#page=1","Abrir facsímil")</f>
        <v>Abrir facsímil</v>
      </c>
      <c r="K15554" s="10" t="s">
        <v>24</v>
      </c>
    </row>
    <row r="15555" spans="1:11" ht="54" customHeight="1">
      <c r="A15555" s="9" t="s">
        <v>31360</v>
      </c>
      <c r="B15555" s="9" t="s">
        <v>31361</v>
      </c>
      <c r="C15555" s="9" t="s">
        <v>66</v>
      </c>
      <c r="D15555" s="9" t="s">
        <v>67</v>
      </c>
      <c r="E15555" s="10" t="s">
        <v>1351</v>
      </c>
      <c r="F15555" s="9" t="s">
        <v>1352</v>
      </c>
      <c r="G15555" s="10" t="s">
        <v>75</v>
      </c>
      <c r="H15555" s="9" t="s">
        <v>35</v>
      </c>
      <c r="I15555" s="9" t="s">
        <v>31362</v>
      </c>
      <c r="J15555" s="10" t="str">
        <f>HYPERLINK("https://www.boe.es/gazeta/dias/1834/07/05/pdfs/GMD-1834-138.pdf#page=4","Abrir facsímil")</f>
        <v>Abrir facsímil</v>
      </c>
      <c r="K15555" s="10" t="s">
        <v>37</v>
      </c>
    </row>
    <row r="15556" spans="1:11" ht="54" customHeight="1">
      <c r="A15556" s="9" t="s">
        <v>31363</v>
      </c>
      <c r="B15556" s="9" t="s">
        <v>31363</v>
      </c>
      <c r="C15556" s="9" t="s">
        <v>17</v>
      </c>
      <c r="D15556" s="9" t="s">
        <v>18</v>
      </c>
      <c r="E15556" s="10" t="s">
        <v>73</v>
      </c>
      <c r="F15556" s="9" t="s">
        <v>1416</v>
      </c>
      <c r="G15556" s="10" t="s">
        <v>86</v>
      </c>
      <c r="H15556" s="9" t="s">
        <v>22</v>
      </c>
      <c r="I15556" s="9" t="s">
        <v>31364</v>
      </c>
      <c r="J15556" s="10" t="str">
        <f>HYPERLINK("https://www.boe.es/gazeta/dias/1834/11/04/pdfs/GMD-C-1834-263.pdf#page=2","Abrir facsímil")</f>
        <v>Abrir facsímil</v>
      </c>
      <c r="K15556" s="10" t="s">
        <v>24</v>
      </c>
    </row>
    <row r="15557" spans="1:11" ht="54" customHeight="1">
      <c r="A15557" s="9" t="s">
        <v>31363</v>
      </c>
      <c r="B15557" s="9" t="s">
        <v>31363</v>
      </c>
      <c r="C15557" s="9" t="s">
        <v>46</v>
      </c>
      <c r="D15557" s="9" t="s">
        <v>101</v>
      </c>
      <c r="E15557" s="10" t="s">
        <v>364</v>
      </c>
      <c r="F15557" s="9" t="s">
        <v>365</v>
      </c>
      <c r="G15557" s="10" t="s">
        <v>75</v>
      </c>
      <c r="H15557" s="9" t="s">
        <v>22</v>
      </c>
      <c r="I15557" s="9" t="s">
        <v>31365</v>
      </c>
      <c r="J15557" s="10" t="str">
        <f>HYPERLINK("https://www.boe.es/gazeta/dias/1834/09/06/pdfs/GMD-C-1834-204.pdf#page=4","Abrir facsímil")</f>
        <v>Abrir facsímil</v>
      </c>
      <c r="K15557" s="10" t="s">
        <v>24</v>
      </c>
    </row>
    <row r="15558" spans="1:11" ht="54" customHeight="1">
      <c r="A15558" s="9" t="s">
        <v>31363</v>
      </c>
      <c r="B15558" s="9" t="s">
        <v>31363</v>
      </c>
      <c r="C15558" s="9" t="s">
        <v>17</v>
      </c>
      <c r="D15558" s="9" t="s">
        <v>18</v>
      </c>
      <c r="E15558" s="10" t="s">
        <v>1103</v>
      </c>
      <c r="F15558" s="9" t="s">
        <v>1104</v>
      </c>
      <c r="G15558" s="10" t="s">
        <v>34</v>
      </c>
      <c r="H15558" s="9" t="s">
        <v>22</v>
      </c>
      <c r="I15558" s="9" t="s">
        <v>31366</v>
      </c>
      <c r="J15558" s="10" t="str">
        <f>HYPERLINK("https://www.boe.es/gazeta/dias/1834/10/10/pdfs/GMD-C-1834-238.pdf#page=1","Abrir facsímil")</f>
        <v>Abrir facsímil</v>
      </c>
      <c r="K15558" s="10" t="s">
        <v>24</v>
      </c>
    </row>
    <row r="15559" spans="1:11" ht="54" customHeight="1">
      <c r="A15559" s="9" t="s">
        <v>31363</v>
      </c>
      <c r="B15559" s="9" t="s">
        <v>31363</v>
      </c>
      <c r="C15559" s="9" t="s">
        <v>17</v>
      </c>
      <c r="D15559" s="9" t="s">
        <v>18</v>
      </c>
      <c r="E15559" s="10" t="s">
        <v>96</v>
      </c>
      <c r="F15559" s="9" t="s">
        <v>97</v>
      </c>
      <c r="G15559" s="10" t="s">
        <v>86</v>
      </c>
      <c r="H15559" s="9" t="s">
        <v>22</v>
      </c>
      <c r="I15559" s="9" t="s">
        <v>31367</v>
      </c>
      <c r="J15559" s="10" t="str">
        <f>HYPERLINK("https://www.boe.es/gazeta/dias/1834/11/11/pdfs/GMD-C-1834-270.pdf#page=2","Abrir facsímil")</f>
        <v>Abrir facsímil</v>
      </c>
      <c r="K15559" s="10" t="s">
        <v>24</v>
      </c>
    </row>
    <row r="15560" spans="1:11" ht="54" customHeight="1">
      <c r="A15560" s="9" t="s">
        <v>31363</v>
      </c>
      <c r="B15560" s="9" t="s">
        <v>31363</v>
      </c>
      <c r="C15560" s="9" t="s">
        <v>17</v>
      </c>
      <c r="D15560" s="9" t="s">
        <v>18</v>
      </c>
      <c r="E15560" s="10" t="s">
        <v>222</v>
      </c>
      <c r="F15560" s="9" t="s">
        <v>4015</v>
      </c>
      <c r="G15560" s="10" t="s">
        <v>34</v>
      </c>
      <c r="H15560" s="9" t="s">
        <v>22</v>
      </c>
      <c r="I15560" s="9" t="s">
        <v>31368</v>
      </c>
      <c r="J15560" s="10" t="str">
        <f>HYPERLINK("https://www.boe.es/gazeta/dias/1834/09/14/pdfs/GMD-C-1834-212.pdf#page=1","Abrir facsímil")</f>
        <v>Abrir facsímil</v>
      </c>
      <c r="K15560" s="10" t="s">
        <v>24</v>
      </c>
    </row>
    <row r="15561" spans="1:11" ht="54" customHeight="1">
      <c r="A15561" s="9" t="s">
        <v>31363</v>
      </c>
      <c r="B15561" s="9" t="s">
        <v>31363</v>
      </c>
      <c r="C15561" s="9" t="s">
        <v>17</v>
      </c>
      <c r="D15561" s="9" t="s">
        <v>18</v>
      </c>
      <c r="E15561" s="10" t="s">
        <v>448</v>
      </c>
      <c r="F15561" s="9" t="s">
        <v>449</v>
      </c>
      <c r="G15561" s="10" t="s">
        <v>86</v>
      </c>
      <c r="H15561" s="9" t="s">
        <v>22</v>
      </c>
      <c r="I15561" s="9" t="s">
        <v>31369</v>
      </c>
      <c r="J15561" s="10" t="str">
        <f>HYPERLINK("https://www.boe.es/gazeta/dias/1834/10/14/pdfs/GMD-C-1834-242.pdf#page=2","Abrir facsímil")</f>
        <v>Abrir facsímil</v>
      </c>
      <c r="K15561" s="10" t="s">
        <v>24</v>
      </c>
    </row>
    <row r="15562" spans="1:11" ht="54" customHeight="1">
      <c r="A15562" s="9" t="s">
        <v>31363</v>
      </c>
      <c r="B15562" s="9" t="s">
        <v>31363</v>
      </c>
      <c r="C15562" s="9" t="s">
        <v>46</v>
      </c>
      <c r="D15562" s="9" t="s">
        <v>101</v>
      </c>
      <c r="E15562" s="10" t="s">
        <v>403</v>
      </c>
      <c r="F15562" s="9" t="s">
        <v>404</v>
      </c>
      <c r="G15562" s="10" t="s">
        <v>34</v>
      </c>
      <c r="H15562" s="9" t="s">
        <v>22</v>
      </c>
      <c r="I15562" s="9" t="s">
        <v>31370</v>
      </c>
      <c r="J15562" s="10" t="str">
        <f>HYPERLINK("https://www.boe.es/gazeta/dias/1834/09/25/pdfs/GMD-C-1834-223.pdf#page=1","Abrir facsímil")</f>
        <v>Abrir facsímil</v>
      </c>
      <c r="K15562" s="10" t="s">
        <v>24</v>
      </c>
    </row>
    <row r="15563" spans="1:11" ht="54" customHeight="1">
      <c r="A15563" s="9" t="s">
        <v>31371</v>
      </c>
      <c r="B15563" s="9" t="s">
        <v>31372</v>
      </c>
      <c r="C15563" s="9" t="s">
        <v>17</v>
      </c>
      <c r="D15563" s="9" t="s">
        <v>40</v>
      </c>
      <c r="E15563" s="10" t="s">
        <v>3328</v>
      </c>
      <c r="F15563" s="9" t="s">
        <v>3329</v>
      </c>
      <c r="G15563" s="10" t="s">
        <v>75</v>
      </c>
      <c r="H15563" s="9" t="s">
        <v>22</v>
      </c>
      <c r="I15563" s="9" t="s">
        <v>31373</v>
      </c>
      <c r="J15563" s="10" t="str">
        <f>HYPERLINK("https://www.boe.es/gazeta/dias/1834/06/04/pdfs/GMD-1834-106.pdf#page=4","Abrir facsímil")</f>
        <v>Abrir facsímil</v>
      </c>
      <c r="K15563" s="10" t="s">
        <v>24</v>
      </c>
    </row>
    <row r="15564" spans="1:11" ht="54" customHeight="1">
      <c r="A15564" s="9" t="s">
        <v>31374</v>
      </c>
      <c r="B15564" s="9" t="s">
        <v>31375</v>
      </c>
      <c r="C15564" s="9" t="s">
        <v>46</v>
      </c>
      <c r="D15564" s="9" t="s">
        <v>101</v>
      </c>
      <c r="E15564" s="10" t="s">
        <v>1234</v>
      </c>
      <c r="F15564" s="9" t="s">
        <v>1455</v>
      </c>
      <c r="G15564" s="10" t="s">
        <v>21</v>
      </c>
      <c r="H15564" s="9" t="s">
        <v>22</v>
      </c>
      <c r="I15564" s="9" t="s">
        <v>31376</v>
      </c>
      <c r="J15564" s="10" t="str">
        <f>HYPERLINK("https://www.boe.es/gazeta/dias/1834/05/15/pdfs/GMD-1834-84.pdf#page=3","Abrir facsímil")</f>
        <v>Abrir facsímil</v>
      </c>
      <c r="K15564" s="10" t="s">
        <v>24</v>
      </c>
    </row>
    <row r="15565" spans="1:11" ht="54" customHeight="1">
      <c r="A15565" s="9" t="s">
        <v>31377</v>
      </c>
      <c r="B15565" s="9" t="s">
        <v>31378</v>
      </c>
      <c r="C15565" s="9" t="s">
        <v>17</v>
      </c>
      <c r="D15565" s="9" t="s">
        <v>18</v>
      </c>
      <c r="E15565" s="10" t="s">
        <v>1307</v>
      </c>
      <c r="F15565" s="9" t="s">
        <v>1308</v>
      </c>
      <c r="G15565" s="10" t="s">
        <v>75</v>
      </c>
      <c r="H15565" s="9" t="s">
        <v>22</v>
      </c>
      <c r="I15565" s="9" t="s">
        <v>31379</v>
      </c>
      <c r="J15565" s="10" t="str">
        <f>HYPERLINK("https://www.boe.es/gazeta/dias/1834/08/25/pdfs/GMD-1834-191.pdf#page=4","Abrir facsímil")</f>
        <v>Abrir facsímil</v>
      </c>
      <c r="K15565" s="10" t="s">
        <v>24</v>
      </c>
    </row>
    <row r="15566" spans="1:11" ht="54" customHeight="1">
      <c r="A15566" s="9" t="s">
        <v>31380</v>
      </c>
      <c r="B15566" s="9" t="s">
        <v>31381</v>
      </c>
      <c r="C15566" s="9" t="s">
        <v>17</v>
      </c>
      <c r="D15566" s="9" t="s">
        <v>18</v>
      </c>
      <c r="E15566" s="10" t="s">
        <v>3066</v>
      </c>
      <c r="F15566" s="9" t="s">
        <v>3188</v>
      </c>
      <c r="G15566" s="10" t="s">
        <v>34</v>
      </c>
      <c r="H15566" s="9" t="s">
        <v>22</v>
      </c>
      <c r="I15566" s="9" t="s">
        <v>31382</v>
      </c>
      <c r="J15566" s="10" t="str">
        <f>HYPERLINK("https://www.boe.es/gazeta/dias/1834/08/03/pdfs/I00721-00722.pdf#page=1","Abrir facsímil")</f>
        <v>Abrir facsímil</v>
      </c>
      <c r="K15566" s="10" t="s">
        <v>24</v>
      </c>
    </row>
    <row r="15567" spans="1:11" ht="54" customHeight="1">
      <c r="A15567" s="9" t="s">
        <v>31380</v>
      </c>
      <c r="B15567" s="9" t="s">
        <v>31381</v>
      </c>
      <c r="C15567" s="9" t="s">
        <v>17</v>
      </c>
      <c r="D15567" s="9" t="s">
        <v>18</v>
      </c>
      <c r="E15567" s="10" t="s">
        <v>3066</v>
      </c>
      <c r="F15567" s="9" t="s">
        <v>3188</v>
      </c>
      <c r="G15567" s="10" t="s">
        <v>21</v>
      </c>
      <c r="H15567" s="9" t="s">
        <v>22</v>
      </c>
      <c r="I15567" s="9" t="s">
        <v>31383</v>
      </c>
      <c r="J15567" s="10" t="str">
        <f>HYPERLINK("https://www.boe.es/gazeta/dias/1834/08/03/pdfs/GMD-1834-167.pdf#page=3","Abrir facsímil")</f>
        <v>Abrir facsímil</v>
      </c>
      <c r="K15567" s="10" t="s">
        <v>24</v>
      </c>
    </row>
    <row r="15568" spans="1:11" ht="54" customHeight="1">
      <c r="A15568" s="9" t="s">
        <v>31384</v>
      </c>
      <c r="B15568" s="9" t="s">
        <v>31385</v>
      </c>
      <c r="C15568" s="9" t="s">
        <v>46</v>
      </c>
      <c r="D15568" s="9" t="s">
        <v>101</v>
      </c>
      <c r="E15568" s="10" t="s">
        <v>1017</v>
      </c>
      <c r="F15568" s="9" t="s">
        <v>1018</v>
      </c>
      <c r="G15568" s="10" t="s">
        <v>34</v>
      </c>
      <c r="H15568" s="9" t="s">
        <v>35</v>
      </c>
      <c r="I15568" s="9" t="s">
        <v>31386</v>
      </c>
      <c r="J15568" s="10" t="str">
        <f>HYPERLINK("https://www.boe.es/gazeta/dias/1834/07/24/pdfs/GMD-1834-157.pdf#page=1","Abrir facsímil")</f>
        <v>Abrir facsímil</v>
      </c>
      <c r="K15568" s="10" t="s">
        <v>37</v>
      </c>
    </row>
    <row r="15569" spans="1:11" ht="54" customHeight="1">
      <c r="A15569" s="9" t="s">
        <v>31387</v>
      </c>
      <c r="B15569" s="9" t="s">
        <v>31388</v>
      </c>
      <c r="C15569" s="9" t="s">
        <v>17</v>
      </c>
      <c r="D15569" s="9" t="s">
        <v>18</v>
      </c>
      <c r="E15569" s="10" t="s">
        <v>334</v>
      </c>
      <c r="F15569" s="9" t="s">
        <v>567</v>
      </c>
      <c r="G15569" s="10" t="s">
        <v>75</v>
      </c>
      <c r="H15569" s="9" t="s">
        <v>22</v>
      </c>
      <c r="I15569" s="9" t="s">
        <v>31389</v>
      </c>
      <c r="J15569" s="10" t="str">
        <f>HYPERLINK("https://www.boe.es/gazeta/dias/1834/09/11/pdfs/GMD-1834-209.pdf#page=4","Abrir facsímil")</f>
        <v>Abrir facsímil</v>
      </c>
      <c r="K15569" s="10" t="s">
        <v>24</v>
      </c>
    </row>
    <row r="15570" spans="1:11" ht="54" customHeight="1">
      <c r="A15570" s="9" t="s">
        <v>31390</v>
      </c>
      <c r="B15570" s="9" t="s">
        <v>31390</v>
      </c>
      <c r="C15570" s="9" t="s">
        <v>17</v>
      </c>
      <c r="D15570" s="9" t="s">
        <v>55</v>
      </c>
      <c r="E15570" s="10" t="s">
        <v>1677</v>
      </c>
      <c r="F15570" s="9" t="s">
        <v>1678</v>
      </c>
      <c r="G15570" s="10" t="s">
        <v>21</v>
      </c>
      <c r="H15570" s="9" t="s">
        <v>22</v>
      </c>
      <c r="I15570" s="9" t="s">
        <v>31391</v>
      </c>
      <c r="J15570" s="10" t="str">
        <f>HYPERLINK("https://www.boe.es/gazeta/dias/1834/07/26/pdfs/GMD-1834-159.pdf#page=3","Abrir facsímil")</f>
        <v>Abrir facsímil</v>
      </c>
      <c r="K15570" s="10" t="s">
        <v>24</v>
      </c>
    </row>
    <row r="15571" spans="1:11" ht="54" customHeight="1">
      <c r="A15571" s="9" t="s">
        <v>31392</v>
      </c>
      <c r="B15571" s="9" t="s">
        <v>31392</v>
      </c>
      <c r="C15571" s="9" t="s">
        <v>66</v>
      </c>
      <c r="D15571" s="9" t="s">
        <v>67</v>
      </c>
      <c r="E15571" s="10" t="s">
        <v>280</v>
      </c>
      <c r="F15571" s="9" t="s">
        <v>281</v>
      </c>
      <c r="G15571" s="10" t="s">
        <v>21</v>
      </c>
      <c r="H15571" s="9" t="s">
        <v>22</v>
      </c>
      <c r="I15571" s="9" t="s">
        <v>31393</v>
      </c>
      <c r="J15571" s="10" t="str">
        <f>HYPERLINK("https://www.boe.es/gazeta/dias/1834/08/29/pdfs/GMD-C-1834-195.pdf#page=3","Abrir facsímil")</f>
        <v>Abrir facsímil</v>
      </c>
      <c r="K15571" s="10" t="s">
        <v>24</v>
      </c>
    </row>
    <row r="15572" spans="1:11" ht="54" customHeight="1">
      <c r="A15572" s="9" t="s">
        <v>31394</v>
      </c>
      <c r="B15572" s="9" t="s">
        <v>31395</v>
      </c>
      <c r="C15572" s="9" t="s">
        <v>90</v>
      </c>
      <c r="D15572" s="9" t="s">
        <v>55</v>
      </c>
      <c r="E15572" s="10" t="s">
        <v>1674</v>
      </c>
      <c r="F15572" s="9" t="s">
        <v>1675</v>
      </c>
      <c r="G15572" s="10" t="s">
        <v>21</v>
      </c>
      <c r="H15572" s="9" t="s">
        <v>22</v>
      </c>
      <c r="I15572" s="9" t="s">
        <v>31396</v>
      </c>
      <c r="J15572" s="10" t="str">
        <f>HYPERLINK("https://www.boe.es/gazeta/dias/1834/07/25/pdfs/GMD-1834-158.pdf#page=3","Abrir facsímil")</f>
        <v>Abrir facsímil</v>
      </c>
      <c r="K15572" s="10" t="s">
        <v>24</v>
      </c>
    </row>
    <row r="15573" spans="1:11" ht="54" customHeight="1">
      <c r="A15573" s="9" t="s">
        <v>31397</v>
      </c>
      <c r="B15573" s="9" t="s">
        <v>31398</v>
      </c>
      <c r="C15573" s="9" t="s">
        <v>66</v>
      </c>
      <c r="D15573" s="9" t="s">
        <v>67</v>
      </c>
      <c r="E15573" s="10" t="s">
        <v>863</v>
      </c>
      <c r="F15573" s="9" t="s">
        <v>864</v>
      </c>
      <c r="G15573" s="10" t="s">
        <v>86</v>
      </c>
      <c r="H15573" s="9" t="s">
        <v>22</v>
      </c>
      <c r="I15573" s="9" t="s">
        <v>31399</v>
      </c>
      <c r="J15573" s="10" t="str">
        <f>HYPERLINK("https://www.boe.es/gazeta/dias/1834/09/15/pdfs/GMD-1834-213.pdf#page=2","Abrir facsímil")</f>
        <v>Abrir facsímil</v>
      </c>
      <c r="K15573" s="10" t="s">
        <v>24</v>
      </c>
    </row>
    <row r="15574" spans="1:11" ht="54" customHeight="1">
      <c r="A15574" s="9" t="s">
        <v>31400</v>
      </c>
      <c r="B15574" s="9" t="s">
        <v>31401</v>
      </c>
      <c r="C15574" s="9" t="s">
        <v>46</v>
      </c>
      <c r="D15574" s="9" t="s">
        <v>101</v>
      </c>
      <c r="E15574" s="10" t="s">
        <v>429</v>
      </c>
      <c r="F15574" s="9" t="s">
        <v>430</v>
      </c>
      <c r="G15574" s="10" t="s">
        <v>34</v>
      </c>
      <c r="H15574" s="9" t="s">
        <v>22</v>
      </c>
      <c r="I15574" s="9" t="s">
        <v>31402</v>
      </c>
      <c r="J15574" s="10" t="str">
        <f>HYPERLINK("https://www.boe.es/gazeta/dias/1834/08/07/pdfs/GMD-C-1834-172.pdf#page=1","Abrir facsímil")</f>
        <v>Abrir facsímil</v>
      </c>
      <c r="K15574" s="10" t="s">
        <v>24</v>
      </c>
    </row>
    <row r="15575" spans="1:11" ht="54" customHeight="1">
      <c r="A15575" s="9" t="s">
        <v>31403</v>
      </c>
      <c r="B15575" s="9" t="s">
        <v>31404</v>
      </c>
      <c r="C15575" s="9" t="s">
        <v>66</v>
      </c>
      <c r="D15575" s="9" t="s">
        <v>18</v>
      </c>
      <c r="E15575" s="10" t="s">
        <v>1394</v>
      </c>
      <c r="F15575" s="9" t="s">
        <v>2923</v>
      </c>
      <c r="G15575" s="10" t="s">
        <v>34</v>
      </c>
      <c r="H15575" s="9" t="s">
        <v>22</v>
      </c>
      <c r="I15575" s="9" t="s">
        <v>31405</v>
      </c>
      <c r="J15575" s="10" t="str">
        <f>HYPERLINK("https://www.boe.es/gazeta/dias/1834/04/16/pdfs/GMD-C-1834-55.pdf#page=1","Abrir facsímil")</f>
        <v>Abrir facsímil</v>
      </c>
      <c r="K15575" s="10" t="s">
        <v>24</v>
      </c>
    </row>
    <row r="15576" spans="1:11" ht="54" customHeight="1">
      <c r="A15576" s="9" t="s">
        <v>31406</v>
      </c>
      <c r="B15576" s="9" t="s">
        <v>31407</v>
      </c>
      <c r="C15576" s="9" t="s">
        <v>66</v>
      </c>
      <c r="D15576" s="9" t="s">
        <v>67</v>
      </c>
      <c r="E15576" s="10" t="s">
        <v>174</v>
      </c>
      <c r="F15576" s="9" t="s">
        <v>175</v>
      </c>
      <c r="G15576" s="10" t="s">
        <v>176</v>
      </c>
      <c r="H15576" s="9" t="s">
        <v>22</v>
      </c>
      <c r="I15576" s="9" t="s">
        <v>31408</v>
      </c>
      <c r="J15576" s="10" t="str">
        <f>HYPERLINK("https://www.boe.es/gazeta/dias/1834/03/27/pdfs/GMD-1834-38.pdf#page=6","Abrir facsímil")</f>
        <v>Abrir facsímil</v>
      </c>
      <c r="K15576" s="10" t="s">
        <v>24</v>
      </c>
    </row>
    <row r="15577" spans="1:11" ht="54" customHeight="1">
      <c r="A15577" s="9" t="s">
        <v>31409</v>
      </c>
      <c r="B15577" s="9" t="s">
        <v>31410</v>
      </c>
      <c r="C15577" s="9" t="s">
        <v>66</v>
      </c>
      <c r="D15577" s="9" t="s">
        <v>67</v>
      </c>
      <c r="E15577" s="10" t="s">
        <v>919</v>
      </c>
      <c r="F15577" s="9" t="s">
        <v>920</v>
      </c>
      <c r="G15577" s="10" t="s">
        <v>86</v>
      </c>
      <c r="H15577" s="9" t="s">
        <v>22</v>
      </c>
      <c r="I15577" s="9" t="s">
        <v>31411</v>
      </c>
      <c r="J15577" s="10" t="str">
        <f>HYPERLINK("https://www.boe.es/gazeta/dias/1834/06/24/pdfs/GMD-1834-127.pdf#page=2","Abrir facsímil")</f>
        <v>Abrir facsímil</v>
      </c>
      <c r="K15577" s="10" t="s">
        <v>24</v>
      </c>
    </row>
    <row r="15578" spans="1:11" ht="54" customHeight="1">
      <c r="A15578" s="9" t="s">
        <v>31412</v>
      </c>
      <c r="B15578" s="9" t="s">
        <v>31413</v>
      </c>
      <c r="C15578" s="9" t="s">
        <v>46</v>
      </c>
      <c r="D15578" s="9" t="s">
        <v>18</v>
      </c>
      <c r="E15578" s="10" t="s">
        <v>375</v>
      </c>
      <c r="F15578" s="9" t="s">
        <v>376</v>
      </c>
      <c r="G15578" s="10" t="s">
        <v>75</v>
      </c>
      <c r="H15578" s="9" t="s">
        <v>22</v>
      </c>
      <c r="I15578" s="9" t="s">
        <v>31414</v>
      </c>
      <c r="J15578" s="10" t="str">
        <f>HYPERLINK("https://www.boe.es/gazeta/dias/1834/08/21/pdfs/GMD-1834-187.pdf#page=4","Abrir facsímil")</f>
        <v>Abrir facsímil</v>
      </c>
      <c r="K15578" s="10" t="s">
        <v>24</v>
      </c>
    </row>
    <row r="15579" spans="1:11" ht="54" customHeight="1">
      <c r="A15579" s="9" t="s">
        <v>31415</v>
      </c>
      <c r="B15579" s="9" t="s">
        <v>31416</v>
      </c>
      <c r="C15579" s="9" t="s">
        <v>90</v>
      </c>
      <c r="D15579" s="9" t="s">
        <v>18</v>
      </c>
      <c r="E15579" s="10" t="s">
        <v>647</v>
      </c>
      <c r="F15579" s="9" t="s">
        <v>2176</v>
      </c>
      <c r="G15579" s="10" t="s">
        <v>75</v>
      </c>
      <c r="H15579" s="9" t="s">
        <v>22</v>
      </c>
      <c r="I15579" s="9" t="s">
        <v>31417</v>
      </c>
      <c r="J15579" s="10" t="str">
        <f>HYPERLINK("https://www.boe.es/gazeta/dias/1834/10/21/pdfs/GMD-1834-249.pdf#page=4","Abrir facsímil")</f>
        <v>Abrir facsímil</v>
      </c>
      <c r="K15579" s="10" t="s">
        <v>24</v>
      </c>
    </row>
    <row r="15580" spans="1:11" ht="54" customHeight="1">
      <c r="A15580" s="9" t="s">
        <v>31418</v>
      </c>
      <c r="B15580" s="9" t="s">
        <v>31418</v>
      </c>
      <c r="C15580" s="9" t="s">
        <v>46</v>
      </c>
      <c r="D15580" s="9" t="s">
        <v>18</v>
      </c>
      <c r="E15580" s="10" t="s">
        <v>866</v>
      </c>
      <c r="F15580" s="9" t="s">
        <v>867</v>
      </c>
      <c r="G15580" s="10" t="s">
        <v>75</v>
      </c>
      <c r="H15580" s="9" t="s">
        <v>22</v>
      </c>
      <c r="I15580" s="9" t="s">
        <v>31419</v>
      </c>
      <c r="J15580" s="10" t="str">
        <f>HYPERLINK("https://www.boe.es/gazeta/dias/1834/01/18/pdfs/GMD-1834-9.pdf#page=4","Abrir facsímil")</f>
        <v>Abrir facsímil</v>
      </c>
      <c r="K15580" s="10" t="s">
        <v>24</v>
      </c>
    </row>
    <row r="15581" spans="1:11" ht="54" customHeight="1">
      <c r="A15581" s="9" t="s">
        <v>31420</v>
      </c>
      <c r="B15581" s="9" t="s">
        <v>31421</v>
      </c>
      <c r="C15581" s="9" t="s">
        <v>66</v>
      </c>
      <c r="D15581" s="9" t="s">
        <v>67</v>
      </c>
      <c r="E15581" s="10" t="s">
        <v>1119</v>
      </c>
      <c r="F15581" s="9" t="s">
        <v>1120</v>
      </c>
      <c r="G15581" s="10" t="s">
        <v>21</v>
      </c>
      <c r="H15581" s="9" t="s">
        <v>22</v>
      </c>
      <c r="I15581" s="9" t="s">
        <v>31422</v>
      </c>
      <c r="J15581" s="10" t="str">
        <f>HYPERLINK("https://www.boe.es/gazeta/dias/1834/07/17/pdfs/GMD-1834-150.pdf#page=3","Abrir facsímil")</f>
        <v>Abrir facsímil</v>
      </c>
      <c r="K15581" s="10" t="s">
        <v>24</v>
      </c>
    </row>
    <row r="15582" spans="1:11" ht="54" customHeight="1">
      <c r="A15582" s="9" t="s">
        <v>31423</v>
      </c>
      <c r="B15582" s="9" t="s">
        <v>31424</v>
      </c>
      <c r="C15582" s="9" t="s">
        <v>66</v>
      </c>
      <c r="D15582" s="9" t="s">
        <v>18</v>
      </c>
      <c r="E15582" s="10" t="s">
        <v>2218</v>
      </c>
      <c r="F15582" s="9" t="s">
        <v>2219</v>
      </c>
      <c r="G15582" s="10" t="s">
        <v>21</v>
      </c>
      <c r="H15582" s="9" t="s">
        <v>22</v>
      </c>
      <c r="I15582" s="9" t="s">
        <v>31425</v>
      </c>
      <c r="J15582" s="10" t="str">
        <f>HYPERLINK("https://www.boe.es/gazeta/dias/1834/11/05/pdfs/GMD-1834-264.pdf#page=3","Abrir facsímil")</f>
        <v>Abrir facsímil</v>
      </c>
      <c r="K15582" s="10" t="s">
        <v>24</v>
      </c>
    </row>
    <row r="15583" spans="1:11" ht="54" customHeight="1">
      <c r="A15583" s="9" t="s">
        <v>31426</v>
      </c>
      <c r="B15583" s="9" t="s">
        <v>31426</v>
      </c>
      <c r="C15583" s="9" t="s">
        <v>17</v>
      </c>
      <c r="D15583" s="9" t="s">
        <v>18</v>
      </c>
      <c r="E15583" s="10" t="s">
        <v>19</v>
      </c>
      <c r="F15583" s="9" t="s">
        <v>107</v>
      </c>
      <c r="G15583" s="10" t="s">
        <v>75</v>
      </c>
      <c r="H15583" s="9" t="s">
        <v>22</v>
      </c>
      <c r="I15583" s="9" t="s">
        <v>31427</v>
      </c>
      <c r="J15583" s="10" t="str">
        <f>HYPERLINK("https://www.boe.es/gazeta/dias/1834/08/17/pdfs/GMD-1834-182.pdf#page=4","Abrir facsímil")</f>
        <v>Abrir facsímil</v>
      </c>
      <c r="K15583" s="10" t="s">
        <v>24</v>
      </c>
    </row>
    <row r="15584" spans="1:11" ht="54" customHeight="1">
      <c r="A15584" s="9" t="s">
        <v>31428</v>
      </c>
      <c r="B15584" s="9" t="s">
        <v>31429</v>
      </c>
      <c r="C15584" s="9" t="s">
        <v>17</v>
      </c>
      <c r="D15584" s="9" t="s">
        <v>18</v>
      </c>
      <c r="E15584" s="10" t="s">
        <v>19</v>
      </c>
      <c r="F15584" s="9" t="s">
        <v>107</v>
      </c>
      <c r="G15584" s="10" t="s">
        <v>75</v>
      </c>
      <c r="H15584" s="9" t="s">
        <v>35</v>
      </c>
      <c r="I15584" s="9" t="s">
        <v>31430</v>
      </c>
      <c r="J15584" s="10" t="str">
        <f>HYPERLINK("https://www.boe.es/gazeta/dias/1834/08/17/pdfs/GMD-1834-182.pdf#page=4","Abrir facsímil")</f>
        <v>Abrir facsímil</v>
      </c>
      <c r="K15584" s="10" t="s">
        <v>37</v>
      </c>
    </row>
    <row r="15585" spans="1:11" ht="54" customHeight="1">
      <c r="A15585" s="9" t="s">
        <v>31431</v>
      </c>
      <c r="B15585" s="9" t="s">
        <v>31432</v>
      </c>
      <c r="C15585" s="9" t="s">
        <v>46</v>
      </c>
      <c r="D15585" s="9" t="s">
        <v>55</v>
      </c>
      <c r="E15585" s="10" t="s">
        <v>563</v>
      </c>
      <c r="F15585" s="9" t="s">
        <v>564</v>
      </c>
      <c r="G15585" s="10" t="s">
        <v>176</v>
      </c>
      <c r="H15585" s="9" t="s">
        <v>22</v>
      </c>
      <c r="I15585" s="9" t="s">
        <v>31433</v>
      </c>
      <c r="J15585" s="10" t="str">
        <f>HYPERLINK("https://www.boe.es/gazeta/dias/1834/04/19/pdfs/GMD-1834-58.pdf#page=6","Abrir facsímil")</f>
        <v>Abrir facsímil</v>
      </c>
      <c r="K15585" s="10" t="s">
        <v>24</v>
      </c>
    </row>
    <row r="15586" spans="1:11" ht="54" customHeight="1">
      <c r="A15586" s="9" t="s">
        <v>31434</v>
      </c>
      <c r="B15586" s="9" t="s">
        <v>31435</v>
      </c>
      <c r="C15586" s="9" t="s">
        <v>66</v>
      </c>
      <c r="D15586" s="9" t="s">
        <v>67</v>
      </c>
      <c r="E15586" s="10" t="s">
        <v>715</v>
      </c>
      <c r="F15586" s="9" t="s">
        <v>7773</v>
      </c>
      <c r="G15586" s="10" t="s">
        <v>75</v>
      </c>
      <c r="H15586" s="9" t="s">
        <v>22</v>
      </c>
      <c r="I15586" s="9" t="s">
        <v>31436</v>
      </c>
      <c r="J15586" s="10" t="str">
        <f>HYPERLINK("https://www.boe.es/gazeta/dias/1834/09/17/pdfs/GMD-1834-215.pdf#page=4","Abrir facsímil")</f>
        <v>Abrir facsímil</v>
      </c>
      <c r="K15586" s="10" t="s">
        <v>24</v>
      </c>
    </row>
    <row r="15587" spans="1:11" ht="54" customHeight="1">
      <c r="A15587" s="9" t="s">
        <v>31437</v>
      </c>
      <c r="B15587" s="9" t="s">
        <v>31438</v>
      </c>
      <c r="C15587" s="9" t="s">
        <v>17</v>
      </c>
      <c r="D15587" s="9" t="s">
        <v>18</v>
      </c>
      <c r="E15587" s="10" t="s">
        <v>32</v>
      </c>
      <c r="F15587" s="9" t="s">
        <v>7431</v>
      </c>
      <c r="G15587" s="10" t="s">
        <v>34</v>
      </c>
      <c r="H15587" s="9" t="s">
        <v>22</v>
      </c>
      <c r="I15587" s="9" t="s">
        <v>31439</v>
      </c>
      <c r="J15587" s="10" t="str">
        <f>HYPERLINK("https://www.boe.es/gazeta/dias/1834/04/23/pdfs/GMD-C-1834-62.pdf#page=1","Abrir facsímil")</f>
        <v>Abrir facsímil</v>
      </c>
      <c r="K15587" s="10" t="s">
        <v>24</v>
      </c>
    </row>
    <row r="15588" spans="1:11" ht="54" customHeight="1">
      <c r="A15588" s="9" t="s">
        <v>31440</v>
      </c>
      <c r="B15588" s="9" t="s">
        <v>31441</v>
      </c>
      <c r="C15588" s="9" t="s">
        <v>90</v>
      </c>
      <c r="D15588" s="9" t="s">
        <v>40</v>
      </c>
      <c r="E15588" s="10" t="s">
        <v>513</v>
      </c>
      <c r="F15588" s="9" t="s">
        <v>514</v>
      </c>
      <c r="G15588" s="10" t="s">
        <v>34</v>
      </c>
      <c r="H15588" s="9" t="s">
        <v>22</v>
      </c>
      <c r="I15588" s="9" t="s">
        <v>31442</v>
      </c>
      <c r="J15588" s="10" t="str">
        <f>HYPERLINK("https://www.boe.es/gazeta/dias/1834/04/27/pdfs/GMD-1834-66.pdf#page=1","Abrir facsímil")</f>
        <v>Abrir facsímil</v>
      </c>
      <c r="K15588" s="10" t="s">
        <v>24</v>
      </c>
    </row>
    <row r="15589" spans="1:11" ht="54" customHeight="1">
      <c r="A15589" s="9" t="s">
        <v>31443</v>
      </c>
      <c r="B15589" s="9" t="s">
        <v>31444</v>
      </c>
      <c r="C15589" s="9" t="s">
        <v>90</v>
      </c>
      <c r="D15589" s="9" t="s">
        <v>18</v>
      </c>
      <c r="E15589" s="10" t="s">
        <v>237</v>
      </c>
      <c r="F15589" s="9" t="s">
        <v>238</v>
      </c>
      <c r="G15589" s="10" t="s">
        <v>34</v>
      </c>
      <c r="H15589" s="9" t="s">
        <v>22</v>
      </c>
      <c r="I15589" s="9" t="s">
        <v>31445</v>
      </c>
      <c r="J15589" s="10" t="str">
        <f>HYPERLINK("https://www.boe.es/gazeta/dias/1834/08/15/pdfs/GMD-C-1834-180.pdf#page=1","Abrir facsímil")</f>
        <v>Abrir facsímil</v>
      </c>
      <c r="K15589" s="10" t="s">
        <v>24</v>
      </c>
    </row>
    <row r="15590" spans="1:11" ht="54" customHeight="1">
      <c r="A15590" s="9" t="s">
        <v>31446</v>
      </c>
      <c r="B15590" s="9" t="s">
        <v>31447</v>
      </c>
      <c r="C15590" s="9" t="s">
        <v>46</v>
      </c>
      <c r="D15590" s="9" t="s">
        <v>18</v>
      </c>
      <c r="E15590" s="10" t="s">
        <v>1812</v>
      </c>
      <c r="F15590" s="9" t="s">
        <v>1813</v>
      </c>
      <c r="G15590" s="10" t="s">
        <v>21</v>
      </c>
      <c r="H15590" s="9" t="s">
        <v>22</v>
      </c>
      <c r="I15590" s="9" t="s">
        <v>31448</v>
      </c>
      <c r="J15590" s="10" t="str">
        <f>HYPERLINK("https://www.boe.es/gazeta/dias/1834/10/23/pdfs/GMD-1834-251.pdf#page=3","Abrir facsímil")</f>
        <v>Abrir facsímil</v>
      </c>
      <c r="K15590" s="10" t="s">
        <v>24</v>
      </c>
    </row>
    <row r="15591" spans="1:11" ht="54" customHeight="1">
      <c r="A15591" s="9" t="s">
        <v>31449</v>
      </c>
      <c r="B15591" s="9" t="s">
        <v>31449</v>
      </c>
      <c r="C15591" s="9" t="s">
        <v>17</v>
      </c>
      <c r="D15591" s="9" t="s">
        <v>18</v>
      </c>
      <c r="E15591" s="10" t="s">
        <v>68</v>
      </c>
      <c r="F15591" s="9" t="s">
        <v>69</v>
      </c>
      <c r="G15591" s="10" t="s">
        <v>21</v>
      </c>
      <c r="H15591" s="9" t="s">
        <v>22</v>
      </c>
      <c r="I15591" s="9" t="s">
        <v>31450</v>
      </c>
      <c r="J15591" s="10" t="str">
        <f>HYPERLINK("https://www.boe.es/gazeta/dias/1834/11/01/pdfs/GMD-1834-260.pdf#page=3","Abrir facsímil")</f>
        <v>Abrir facsímil</v>
      </c>
      <c r="K15591" s="10" t="s">
        <v>24</v>
      </c>
    </row>
    <row r="15592" spans="1:11" ht="54" customHeight="1">
      <c r="A15592" s="9" t="s">
        <v>31451</v>
      </c>
      <c r="B15592" s="9" t="s">
        <v>31452</v>
      </c>
      <c r="C15592" s="9" t="s">
        <v>17</v>
      </c>
      <c r="D15592" s="9" t="s">
        <v>18</v>
      </c>
      <c r="E15592" s="10" t="s">
        <v>739</v>
      </c>
      <c r="F15592" s="9" t="s">
        <v>740</v>
      </c>
      <c r="G15592" s="10" t="s">
        <v>21</v>
      </c>
      <c r="H15592" s="9" t="s">
        <v>35</v>
      </c>
      <c r="I15592" s="9" t="s">
        <v>31453</v>
      </c>
      <c r="J15592" s="10" t="str">
        <f>HYPERLINK("https://www.boe.es/gazeta/dias/1834/03/25/pdfs/GMD-1834-37.pdf#page=3","Abrir facsímil")</f>
        <v>Abrir facsímil</v>
      </c>
      <c r="K15592" s="10" t="s">
        <v>37</v>
      </c>
    </row>
    <row r="15593" spans="1:11" ht="54" customHeight="1">
      <c r="A15593" s="9" t="s">
        <v>31454</v>
      </c>
      <c r="B15593" s="9" t="s">
        <v>31455</v>
      </c>
      <c r="C15593" s="9" t="s">
        <v>17</v>
      </c>
      <c r="D15593" s="9" t="s">
        <v>18</v>
      </c>
      <c r="E15593" s="10" t="s">
        <v>739</v>
      </c>
      <c r="F15593" s="9" t="s">
        <v>740</v>
      </c>
      <c r="G15593" s="10" t="s">
        <v>21</v>
      </c>
      <c r="H15593" s="9" t="s">
        <v>22</v>
      </c>
      <c r="I15593" s="9" t="s">
        <v>31456</v>
      </c>
      <c r="J15593" s="10" t="str">
        <f>HYPERLINK("https://www.boe.es/gazeta/dias/1834/03/25/pdfs/GMD-1834-37.pdf#page=3","Abrir facsímil")</f>
        <v>Abrir facsímil</v>
      </c>
      <c r="K15593" s="10" t="s">
        <v>24</v>
      </c>
    </row>
    <row r="15594" spans="1:11" ht="54" customHeight="1">
      <c r="A15594" s="9" t="s">
        <v>31457</v>
      </c>
      <c r="B15594" s="9" t="s">
        <v>31457</v>
      </c>
      <c r="C15594" s="9" t="s">
        <v>46</v>
      </c>
      <c r="D15594" s="9" t="s">
        <v>55</v>
      </c>
      <c r="E15594" s="10" t="s">
        <v>283</v>
      </c>
      <c r="F15594" s="9" t="s">
        <v>2969</v>
      </c>
      <c r="G15594" s="10" t="s">
        <v>34</v>
      </c>
      <c r="H15594" s="9" t="s">
        <v>22</v>
      </c>
      <c r="I15594" s="9" t="s">
        <v>31458</v>
      </c>
      <c r="J15594" s="10" t="str">
        <f>HYPERLINK("https://www.boe.es/gazeta/dias/1834/11/29/pdfs/GMD-1834-288.pdf#page=1","Abrir facsímil")</f>
        <v>Abrir facsímil</v>
      </c>
      <c r="K15594" s="10" t="s">
        <v>24</v>
      </c>
    </row>
    <row r="15595" spans="1:11" ht="54" customHeight="1">
      <c r="A15595" s="9" t="s">
        <v>31459</v>
      </c>
      <c r="B15595" s="9" t="s">
        <v>31460</v>
      </c>
      <c r="C15595" s="9" t="s">
        <v>66</v>
      </c>
      <c r="D15595" s="9" t="s">
        <v>18</v>
      </c>
      <c r="E15595" s="10" t="s">
        <v>2945</v>
      </c>
      <c r="F15595" s="9" t="s">
        <v>2946</v>
      </c>
      <c r="G15595" s="10" t="s">
        <v>21</v>
      </c>
      <c r="H15595" s="9" t="s">
        <v>35</v>
      </c>
      <c r="I15595" s="9" t="s">
        <v>31461</v>
      </c>
      <c r="J15595" s="10" t="str">
        <f>HYPERLINK("https://www.boe.es/gazeta/dias/1834/05/29/pdfs/GMD-1834-98.pdf#page=3","Abrir facsímil")</f>
        <v>Abrir facsímil</v>
      </c>
      <c r="K15595" s="10" t="s">
        <v>37</v>
      </c>
    </row>
    <row r="15596" spans="1:11" ht="54" customHeight="1">
      <c r="A15596" s="9" t="s">
        <v>31462</v>
      </c>
      <c r="B15596" s="9" t="s">
        <v>31463</v>
      </c>
      <c r="C15596" s="9" t="s">
        <v>66</v>
      </c>
      <c r="D15596" s="9" t="s">
        <v>18</v>
      </c>
      <c r="E15596" s="10" t="s">
        <v>2945</v>
      </c>
      <c r="F15596" s="9" t="s">
        <v>2946</v>
      </c>
      <c r="G15596" s="10" t="s">
        <v>21</v>
      </c>
      <c r="H15596" s="9" t="s">
        <v>22</v>
      </c>
      <c r="I15596" s="9" t="s">
        <v>31464</v>
      </c>
      <c r="J15596" s="10" t="str">
        <f>HYPERLINK("https://www.boe.es/gazeta/dias/1834/05/29/pdfs/GMD-1834-98.pdf#page=3","Abrir facsímil")</f>
        <v>Abrir facsímil</v>
      </c>
      <c r="K15596" s="10" t="s">
        <v>24</v>
      </c>
    </row>
    <row r="15597" spans="1:11" ht="54" customHeight="1">
      <c r="A15597" s="9" t="s">
        <v>31465</v>
      </c>
      <c r="B15597" s="9" t="s">
        <v>31465</v>
      </c>
      <c r="C15597" s="9" t="s">
        <v>66</v>
      </c>
      <c r="D15597" s="9" t="s">
        <v>67</v>
      </c>
      <c r="E15597" s="10" t="s">
        <v>2729</v>
      </c>
      <c r="F15597" s="9" t="s">
        <v>2730</v>
      </c>
      <c r="G15597" s="10" t="s">
        <v>21</v>
      </c>
      <c r="H15597" s="9" t="s">
        <v>22</v>
      </c>
      <c r="I15597" s="9" t="s">
        <v>31466</v>
      </c>
      <c r="J15597" s="10" t="str">
        <f>HYPERLINK("https://www.boe.es/gazeta/dias/1834/07/02/pdfs/GMD-1834-135.pdf#page=3","Abrir facsímil")</f>
        <v>Abrir facsímil</v>
      </c>
      <c r="K15597" s="10" t="s">
        <v>24</v>
      </c>
    </row>
    <row r="15598" spans="1:11" ht="54" customHeight="1">
      <c r="A15598" s="9" t="s">
        <v>31465</v>
      </c>
      <c r="B15598" s="9" t="s">
        <v>31465</v>
      </c>
      <c r="C15598" s="9" t="s">
        <v>66</v>
      </c>
      <c r="D15598" s="9" t="s">
        <v>67</v>
      </c>
      <c r="E15598" s="10" t="s">
        <v>3066</v>
      </c>
      <c r="F15598" s="9" t="s">
        <v>3067</v>
      </c>
      <c r="G15598" s="10" t="s">
        <v>75</v>
      </c>
      <c r="H15598" s="9" t="s">
        <v>22</v>
      </c>
      <c r="I15598" s="9" t="s">
        <v>31467</v>
      </c>
      <c r="J15598" s="10" t="str">
        <f>HYPERLINK("https://www.boe.es/gazeta/dias/1834/08/03/pdfs/GMD-C-1834-167.pdf#page=4","Abrir facsímil")</f>
        <v>Abrir facsímil</v>
      </c>
      <c r="K15598" s="10" t="s">
        <v>24</v>
      </c>
    </row>
    <row r="15599" spans="1:11" ht="54" customHeight="1">
      <c r="A15599" s="9" t="s">
        <v>31465</v>
      </c>
      <c r="B15599" s="9" t="s">
        <v>31465</v>
      </c>
      <c r="C15599" s="9" t="s">
        <v>66</v>
      </c>
      <c r="D15599" s="9" t="s">
        <v>67</v>
      </c>
      <c r="E15599" s="10" t="s">
        <v>1955</v>
      </c>
      <c r="F15599" s="9" t="s">
        <v>1956</v>
      </c>
      <c r="G15599" s="10" t="s">
        <v>75</v>
      </c>
      <c r="H15599" s="9" t="s">
        <v>22</v>
      </c>
      <c r="I15599" s="9" t="s">
        <v>31468</v>
      </c>
      <c r="J15599" s="10" t="str">
        <f>HYPERLINK("https://www.boe.es/gazeta/dias/1834/05/04/pdfs/GMD-1834-73.pdf#page=4","Abrir facsímil")</f>
        <v>Abrir facsímil</v>
      </c>
      <c r="K15599" s="10" t="s">
        <v>24</v>
      </c>
    </row>
    <row r="15600" spans="1:11" ht="54" customHeight="1">
      <c r="A15600" s="9" t="s">
        <v>31465</v>
      </c>
      <c r="B15600" s="9" t="s">
        <v>31465</v>
      </c>
      <c r="C15600" s="9" t="s">
        <v>66</v>
      </c>
      <c r="D15600" s="9" t="s">
        <v>18</v>
      </c>
      <c r="E15600" s="10" t="s">
        <v>355</v>
      </c>
      <c r="F15600" s="9" t="s">
        <v>356</v>
      </c>
      <c r="G15600" s="10" t="s">
        <v>34</v>
      </c>
      <c r="H15600" s="9" t="s">
        <v>22</v>
      </c>
      <c r="I15600" s="9" t="s">
        <v>31469</v>
      </c>
      <c r="J15600" s="10" t="str">
        <f>HYPERLINK("https://www.boe.es/gazeta/dias/1834/07/04/pdfs/I00597-00598.pdf#page=1","Abrir facsímil")</f>
        <v>Abrir facsímil</v>
      </c>
      <c r="K15600" s="10" t="s">
        <v>24</v>
      </c>
    </row>
    <row r="15601" spans="1:11" ht="54" customHeight="1">
      <c r="A15601" s="9" t="s">
        <v>31465</v>
      </c>
      <c r="B15601" s="9" t="s">
        <v>31465</v>
      </c>
      <c r="C15601" s="9" t="s">
        <v>66</v>
      </c>
      <c r="D15601" s="9" t="s">
        <v>18</v>
      </c>
      <c r="E15601" s="10" t="s">
        <v>355</v>
      </c>
      <c r="F15601" s="9" t="s">
        <v>356</v>
      </c>
      <c r="G15601" s="10" t="s">
        <v>21</v>
      </c>
      <c r="H15601" s="9" t="s">
        <v>22</v>
      </c>
      <c r="I15601" s="9" t="s">
        <v>31469</v>
      </c>
      <c r="J15601" s="10" t="str">
        <f>HYPERLINK("https://www.boe.es/gazeta/dias/1834/07/04/pdfs/GMD-1834-137.pdf#page=3","Abrir facsímil")</f>
        <v>Abrir facsímil</v>
      </c>
      <c r="K15601" s="10" t="s">
        <v>24</v>
      </c>
    </row>
    <row r="15602" spans="1:11" ht="54" customHeight="1">
      <c r="A15602" s="9" t="s">
        <v>31465</v>
      </c>
      <c r="B15602" s="9" t="s">
        <v>31465</v>
      </c>
      <c r="C15602" s="9" t="s">
        <v>66</v>
      </c>
      <c r="D15602" s="9" t="s">
        <v>67</v>
      </c>
      <c r="E15602" s="10" t="s">
        <v>1351</v>
      </c>
      <c r="F15602" s="9" t="s">
        <v>1352</v>
      </c>
      <c r="G15602" s="10" t="s">
        <v>28</v>
      </c>
      <c r="H15602" s="9" t="s">
        <v>22</v>
      </c>
      <c r="I15602" s="9" t="s">
        <v>31470</v>
      </c>
      <c r="J15602" s="10" t="str">
        <f>HYPERLINK("https://www.boe.es/gazeta/dias/1834/07/05/pdfs/GMD-1834-138.pdf#page=5","Abrir facsímil")</f>
        <v>Abrir facsímil</v>
      </c>
      <c r="K15602" s="10" t="s">
        <v>24</v>
      </c>
    </row>
    <row r="15603" spans="1:11" ht="54" customHeight="1">
      <c r="A15603" s="9" t="s">
        <v>31465</v>
      </c>
      <c r="B15603" s="9" t="s">
        <v>31465</v>
      </c>
      <c r="C15603" s="9" t="s">
        <v>66</v>
      </c>
      <c r="D15603" s="9" t="s">
        <v>67</v>
      </c>
      <c r="E15603" s="10" t="s">
        <v>734</v>
      </c>
      <c r="F15603" s="9" t="s">
        <v>735</v>
      </c>
      <c r="G15603" s="10" t="s">
        <v>21</v>
      </c>
      <c r="H15603" s="9" t="s">
        <v>22</v>
      </c>
      <c r="I15603" s="9" t="s">
        <v>31471</v>
      </c>
      <c r="J15603" s="10" t="str">
        <f>HYPERLINK("https://www.boe.es/gazeta/dias/1834/05/06/pdfs/GMD-1834-75.pdf#page=3","Abrir facsímil")</f>
        <v>Abrir facsímil</v>
      </c>
      <c r="K15603" s="10" t="s">
        <v>24</v>
      </c>
    </row>
    <row r="15604" spans="1:11" ht="54" customHeight="1">
      <c r="A15604" s="9" t="s">
        <v>31465</v>
      </c>
      <c r="B15604" s="9" t="s">
        <v>31465</v>
      </c>
      <c r="C15604" s="9" t="s">
        <v>90</v>
      </c>
      <c r="D15604" s="9" t="s">
        <v>101</v>
      </c>
      <c r="E15604" s="10" t="s">
        <v>3306</v>
      </c>
      <c r="F15604" s="9" t="s">
        <v>3307</v>
      </c>
      <c r="G15604" s="10" t="s">
        <v>75</v>
      </c>
      <c r="H15604" s="9" t="s">
        <v>22</v>
      </c>
      <c r="I15604" s="9" t="s">
        <v>31472</v>
      </c>
      <c r="J15604" s="10" t="str">
        <f>HYPERLINK("https://www.boe.es/gazeta/dias/1834/05/07/pdfs/GMD-1834-76.pdf#page=4","Abrir facsímil")</f>
        <v>Abrir facsímil</v>
      </c>
      <c r="K15604" s="10" t="s">
        <v>24</v>
      </c>
    </row>
    <row r="15605" spans="1:11" ht="54" customHeight="1">
      <c r="A15605" s="9" t="s">
        <v>31465</v>
      </c>
      <c r="B15605" s="9" t="s">
        <v>31465</v>
      </c>
      <c r="C15605" s="9" t="s">
        <v>46</v>
      </c>
      <c r="D15605" s="9" t="s">
        <v>18</v>
      </c>
      <c r="E15605" s="10" t="s">
        <v>84</v>
      </c>
      <c r="F15605" s="9" t="s">
        <v>1223</v>
      </c>
      <c r="G15605" s="10" t="s">
        <v>21</v>
      </c>
      <c r="H15605" s="9" t="s">
        <v>22</v>
      </c>
      <c r="I15605" s="9" t="s">
        <v>31473</v>
      </c>
      <c r="J15605" s="10" t="str">
        <f>HYPERLINK("https://www.boe.es/gazeta/dias/1834/06/07/pdfs/GMD-1834-109.pdf#page=3","Abrir facsímil")</f>
        <v>Abrir facsímil</v>
      </c>
      <c r="K15605" s="10" t="s">
        <v>24</v>
      </c>
    </row>
    <row r="15606" spans="1:11" ht="54" customHeight="1">
      <c r="A15606" s="9" t="s">
        <v>31465</v>
      </c>
      <c r="B15606" s="9" t="s">
        <v>31465</v>
      </c>
      <c r="C15606" s="9" t="s">
        <v>17</v>
      </c>
      <c r="D15606" s="9" t="s">
        <v>18</v>
      </c>
      <c r="E15606" s="10" t="s">
        <v>793</v>
      </c>
      <c r="F15606" s="9" t="s">
        <v>794</v>
      </c>
      <c r="G15606" s="10" t="s">
        <v>86</v>
      </c>
      <c r="H15606" s="9" t="s">
        <v>22</v>
      </c>
      <c r="I15606" s="9" t="s">
        <v>31474</v>
      </c>
      <c r="J15606" s="10" t="str">
        <f>HYPERLINK("https://www.boe.es/gazeta/dias/1834/10/08/pdfs/GMD-1834-236.pdf#page=2","Abrir facsímil")</f>
        <v>Abrir facsímil</v>
      </c>
      <c r="K15606" s="10" t="s">
        <v>24</v>
      </c>
    </row>
    <row r="15607" spans="1:11" ht="54" customHeight="1">
      <c r="A15607" s="9" t="s">
        <v>31465</v>
      </c>
      <c r="B15607" s="9" t="s">
        <v>31465</v>
      </c>
      <c r="C15607" s="9" t="s">
        <v>17</v>
      </c>
      <c r="D15607" s="9" t="s">
        <v>18</v>
      </c>
      <c r="E15607" s="10" t="s">
        <v>2004</v>
      </c>
      <c r="F15607" s="9" t="s">
        <v>2005</v>
      </c>
      <c r="G15607" s="10" t="s">
        <v>75</v>
      </c>
      <c r="H15607" s="9" t="s">
        <v>22</v>
      </c>
      <c r="I15607" s="9" t="s">
        <v>31475</v>
      </c>
      <c r="J15607" s="10" t="str">
        <f>HYPERLINK("https://www.boe.es/gazeta/dias/1834/05/09/pdfs/GMD-1834-78.pdf#page=4","Abrir facsímil")</f>
        <v>Abrir facsímil</v>
      </c>
      <c r="K15607" s="10" t="s">
        <v>24</v>
      </c>
    </row>
    <row r="15608" spans="1:11" ht="54" customHeight="1">
      <c r="A15608" s="9" t="s">
        <v>31465</v>
      </c>
      <c r="B15608" s="9" t="s">
        <v>31465</v>
      </c>
      <c r="C15608" s="9" t="s">
        <v>66</v>
      </c>
      <c r="D15608" s="9" t="s">
        <v>67</v>
      </c>
      <c r="E15608" s="10" t="s">
        <v>163</v>
      </c>
      <c r="F15608" s="9" t="s">
        <v>164</v>
      </c>
      <c r="G15608" s="10" t="s">
        <v>86</v>
      </c>
      <c r="H15608" s="9" t="s">
        <v>22</v>
      </c>
      <c r="I15608" s="9" t="s">
        <v>31476</v>
      </c>
      <c r="J15608" s="10" t="str">
        <f>HYPERLINK("https://www.boe.es/gazeta/dias/1834/08/09/pdfs/GMD-1834-174.pdf#page=2","Abrir facsímil")</f>
        <v>Abrir facsímil</v>
      </c>
      <c r="K15608" s="10" t="s">
        <v>24</v>
      </c>
    </row>
    <row r="15609" spans="1:11" ht="54" customHeight="1">
      <c r="A15609" s="9" t="s">
        <v>31465</v>
      </c>
      <c r="B15609" s="9" t="s">
        <v>31465</v>
      </c>
      <c r="C15609" s="9" t="s">
        <v>90</v>
      </c>
      <c r="D15609" s="9" t="s">
        <v>18</v>
      </c>
      <c r="E15609" s="10" t="s">
        <v>258</v>
      </c>
      <c r="F15609" s="9" t="s">
        <v>259</v>
      </c>
      <c r="G15609" s="10" t="s">
        <v>75</v>
      </c>
      <c r="H15609" s="9" t="s">
        <v>22</v>
      </c>
      <c r="I15609" s="9" t="s">
        <v>31477</v>
      </c>
      <c r="J15609" s="10" t="str">
        <f>HYPERLINK("https://www.boe.es/gazeta/dias/1834/10/09/pdfs/GMD-C-1834-237.pdf#page=4","Abrir facsímil")</f>
        <v>Abrir facsímil</v>
      </c>
      <c r="K15609" s="10" t="s">
        <v>24</v>
      </c>
    </row>
    <row r="15610" spans="1:11" ht="54" customHeight="1">
      <c r="A15610" s="9" t="s">
        <v>31465</v>
      </c>
      <c r="B15610" s="9" t="s">
        <v>31465</v>
      </c>
      <c r="C15610" s="9" t="s">
        <v>46</v>
      </c>
      <c r="D15610" s="9" t="s">
        <v>55</v>
      </c>
      <c r="E15610" s="10" t="s">
        <v>939</v>
      </c>
      <c r="F15610" s="9" t="s">
        <v>940</v>
      </c>
      <c r="G15610" s="10" t="s">
        <v>21</v>
      </c>
      <c r="H15610" s="9" t="s">
        <v>22</v>
      </c>
      <c r="I15610" s="9" t="s">
        <v>31478</v>
      </c>
      <c r="J15610" s="10" t="str">
        <f>HYPERLINK("https://www.boe.es/gazeta/dias/1834/06/10/pdfs/GMD-1834-113.pdf#page=3","Abrir facsímil")</f>
        <v>Abrir facsímil</v>
      </c>
      <c r="K15610" s="10" t="s">
        <v>24</v>
      </c>
    </row>
    <row r="15611" spans="1:11" ht="54" customHeight="1">
      <c r="A15611" s="9" t="s">
        <v>31465</v>
      </c>
      <c r="B15611" s="9" t="s">
        <v>31465</v>
      </c>
      <c r="C15611" s="9" t="s">
        <v>66</v>
      </c>
      <c r="D15611" s="9" t="s">
        <v>67</v>
      </c>
      <c r="E15611" s="10" t="s">
        <v>5435</v>
      </c>
      <c r="F15611" s="9" t="s">
        <v>5436</v>
      </c>
      <c r="G15611" s="10" t="s">
        <v>21</v>
      </c>
      <c r="H15611" s="9" t="s">
        <v>22</v>
      </c>
      <c r="I15611" s="9" t="s">
        <v>31479</v>
      </c>
      <c r="J15611" s="10" t="str">
        <f>HYPERLINK("https://www.boe.es/gazeta/dias/1834/05/11/pdfs/GMD-1834-80.pdf#page=3","Abrir facsímil")</f>
        <v>Abrir facsímil</v>
      </c>
      <c r="K15611" s="10" t="s">
        <v>24</v>
      </c>
    </row>
    <row r="15612" spans="1:11" ht="54" customHeight="1">
      <c r="A15612" s="9" t="s">
        <v>31465</v>
      </c>
      <c r="B15612" s="9" t="s">
        <v>31465</v>
      </c>
      <c r="C15612" s="9" t="s">
        <v>66</v>
      </c>
      <c r="D15612" s="9" t="s">
        <v>67</v>
      </c>
      <c r="E15612" s="10" t="s">
        <v>2048</v>
      </c>
      <c r="F15612" s="9" t="s">
        <v>2049</v>
      </c>
      <c r="G15612" s="10" t="s">
        <v>75</v>
      </c>
      <c r="H15612" s="9" t="s">
        <v>22</v>
      </c>
      <c r="I15612" s="9" t="s">
        <v>31480</v>
      </c>
      <c r="J15612" s="10" t="str">
        <f>HYPERLINK("https://www.boe.es/gazeta/dias/1834/05/12/pdfs/GMD-1834-81.pdf#page=4","Abrir facsímil")</f>
        <v>Abrir facsímil</v>
      </c>
      <c r="K15612" s="10" t="s">
        <v>24</v>
      </c>
    </row>
    <row r="15613" spans="1:11" ht="54" customHeight="1">
      <c r="A15613" s="9" t="s">
        <v>31465</v>
      </c>
      <c r="B15613" s="9" t="s">
        <v>31465</v>
      </c>
      <c r="C15613" s="9" t="s">
        <v>90</v>
      </c>
      <c r="D15613" s="9" t="s">
        <v>67</v>
      </c>
      <c r="E15613" s="10" t="s">
        <v>479</v>
      </c>
      <c r="F15613" s="9" t="s">
        <v>480</v>
      </c>
      <c r="G15613" s="10" t="s">
        <v>34</v>
      </c>
      <c r="H15613" s="9" t="s">
        <v>22</v>
      </c>
      <c r="I15613" s="9" t="s">
        <v>31481</v>
      </c>
      <c r="J15613" s="10" t="str">
        <f>HYPERLINK("https://www.boe.es/gazeta/dias/1834/08/13/pdfs/GMD-1834-178.pdf#page=1","Abrir facsímil")</f>
        <v>Abrir facsímil</v>
      </c>
      <c r="K15613" s="10" t="s">
        <v>24</v>
      </c>
    </row>
    <row r="15614" spans="1:11" ht="54" customHeight="1">
      <c r="A15614" s="9" t="s">
        <v>31465</v>
      </c>
      <c r="B15614" s="9" t="s">
        <v>31465</v>
      </c>
      <c r="C15614" s="9" t="s">
        <v>66</v>
      </c>
      <c r="D15614" s="9" t="s">
        <v>67</v>
      </c>
      <c r="E15614" s="10" t="s">
        <v>1113</v>
      </c>
      <c r="F15614" s="9" t="s">
        <v>1114</v>
      </c>
      <c r="G15614" s="10" t="s">
        <v>75</v>
      </c>
      <c r="H15614" s="9" t="s">
        <v>22</v>
      </c>
      <c r="I15614" s="9" t="s">
        <v>31482</v>
      </c>
      <c r="J15614" s="10" t="str">
        <f>HYPERLINK("https://www.boe.es/gazeta/dias/1834/04/14/pdfs/GMD-1834-53.pdf#page=4","Abrir facsímil")</f>
        <v>Abrir facsímil</v>
      </c>
      <c r="K15614" s="10" t="s">
        <v>24</v>
      </c>
    </row>
    <row r="15615" spans="1:11" ht="54" customHeight="1">
      <c r="A15615" s="9" t="s">
        <v>31465</v>
      </c>
      <c r="B15615" s="9" t="s">
        <v>31465</v>
      </c>
      <c r="C15615" s="9" t="s">
        <v>17</v>
      </c>
      <c r="D15615" s="9" t="s">
        <v>18</v>
      </c>
      <c r="E15615" s="10" t="s">
        <v>1273</v>
      </c>
      <c r="F15615" s="9" t="s">
        <v>1274</v>
      </c>
      <c r="G15615" s="10" t="s">
        <v>21</v>
      </c>
      <c r="H15615" s="9" t="s">
        <v>22</v>
      </c>
      <c r="I15615" s="9" t="s">
        <v>31483</v>
      </c>
      <c r="J15615" s="10" t="str">
        <f>HYPERLINK("https://www.boe.es/gazeta/dias/1834/05/14/pdfs/GMD-1834-83.pdf#page=3","Abrir facsímil")</f>
        <v>Abrir facsímil</v>
      </c>
      <c r="K15615" s="10" t="s">
        <v>24</v>
      </c>
    </row>
    <row r="15616" spans="1:11" ht="54" customHeight="1">
      <c r="A15616" s="9" t="s">
        <v>31465</v>
      </c>
      <c r="B15616" s="9" t="s">
        <v>31465</v>
      </c>
      <c r="C15616" s="9" t="s">
        <v>66</v>
      </c>
      <c r="D15616" s="9" t="s">
        <v>67</v>
      </c>
      <c r="E15616" s="10" t="s">
        <v>1234</v>
      </c>
      <c r="F15616" s="9" t="s">
        <v>1455</v>
      </c>
      <c r="G15616" s="10" t="s">
        <v>21</v>
      </c>
      <c r="H15616" s="9" t="s">
        <v>22</v>
      </c>
      <c r="I15616" s="9" t="s">
        <v>31484</v>
      </c>
      <c r="J15616" s="10" t="str">
        <f>HYPERLINK("https://www.boe.es/gazeta/dias/1834/05/15/pdfs/GMD-1834-84.pdf#page=3","Abrir facsímil")</f>
        <v>Abrir facsímil</v>
      </c>
      <c r="K15616" s="10" t="s">
        <v>24</v>
      </c>
    </row>
    <row r="15617" spans="1:11" ht="54" customHeight="1">
      <c r="A15617" s="9" t="s">
        <v>31465</v>
      </c>
      <c r="B15617" s="9" t="s">
        <v>31465</v>
      </c>
      <c r="C15617" s="9" t="s">
        <v>17</v>
      </c>
      <c r="D15617" s="9" t="s">
        <v>18</v>
      </c>
      <c r="E15617" s="10" t="s">
        <v>863</v>
      </c>
      <c r="F15617" s="9" t="s">
        <v>864</v>
      </c>
      <c r="G15617" s="10" t="s">
        <v>34</v>
      </c>
      <c r="H15617" s="9" t="s">
        <v>22</v>
      </c>
      <c r="I15617" s="9" t="s">
        <v>31485</v>
      </c>
      <c r="J15617" s="10" t="str">
        <f>HYPERLINK("https://www.boe.es/gazeta/dias/1834/09/15/pdfs/GMD-1834-213.pdf#page=1","Abrir facsímil")</f>
        <v>Abrir facsímil</v>
      </c>
      <c r="K15617" s="10" t="s">
        <v>24</v>
      </c>
    </row>
    <row r="15618" spans="1:11" ht="54" customHeight="1">
      <c r="A15618" s="9" t="s">
        <v>31465</v>
      </c>
      <c r="B15618" s="9" t="s">
        <v>31465</v>
      </c>
      <c r="C15618" s="9" t="s">
        <v>90</v>
      </c>
      <c r="D15618" s="9" t="s">
        <v>18</v>
      </c>
      <c r="E15618" s="10" t="s">
        <v>863</v>
      </c>
      <c r="F15618" s="9" t="s">
        <v>864</v>
      </c>
      <c r="G15618" s="10" t="s">
        <v>86</v>
      </c>
      <c r="H15618" s="9" t="s">
        <v>22</v>
      </c>
      <c r="I15618" s="9" t="s">
        <v>31486</v>
      </c>
      <c r="J15618" s="10" t="str">
        <f>HYPERLINK("https://www.boe.es/gazeta/dias/1834/09/15/pdfs/GMD-1834-213.pdf#page=2","Abrir facsímil")</f>
        <v>Abrir facsímil</v>
      </c>
      <c r="K15618" s="10" t="s">
        <v>24</v>
      </c>
    </row>
    <row r="15619" spans="1:11" ht="54" customHeight="1">
      <c r="A15619" s="9" t="s">
        <v>31465</v>
      </c>
      <c r="B15619" s="9" t="s">
        <v>31465</v>
      </c>
      <c r="C15619" s="9" t="s">
        <v>17</v>
      </c>
      <c r="D15619" s="9" t="s">
        <v>18</v>
      </c>
      <c r="E15619" s="10" t="s">
        <v>138</v>
      </c>
      <c r="F15619" s="9" t="s">
        <v>139</v>
      </c>
      <c r="G15619" s="10" t="s">
        <v>86</v>
      </c>
      <c r="H15619" s="9" t="s">
        <v>22</v>
      </c>
      <c r="I15619" s="9" t="s">
        <v>31487</v>
      </c>
      <c r="J15619" s="10" t="str">
        <f>HYPERLINK("https://www.boe.es/gazeta/dias/1834/05/17/pdfs/GMD-1834-86.pdf#page=2","Abrir facsímil")</f>
        <v>Abrir facsímil</v>
      </c>
      <c r="K15619" s="10" t="s">
        <v>24</v>
      </c>
    </row>
    <row r="15620" spans="1:11" ht="54" customHeight="1">
      <c r="A15620" s="9" t="s">
        <v>31465</v>
      </c>
      <c r="B15620" s="9" t="s">
        <v>31465</v>
      </c>
      <c r="C15620" s="9" t="s">
        <v>17</v>
      </c>
      <c r="D15620" s="9" t="s">
        <v>55</v>
      </c>
      <c r="E15620" s="10" t="s">
        <v>138</v>
      </c>
      <c r="F15620" s="9" t="s">
        <v>139</v>
      </c>
      <c r="G15620" s="10" t="s">
        <v>21</v>
      </c>
      <c r="H15620" s="9" t="s">
        <v>22</v>
      </c>
      <c r="I15620" s="9" t="s">
        <v>31488</v>
      </c>
      <c r="J15620" s="10" t="str">
        <f>HYPERLINK("https://www.boe.es/gazeta/dias/1834/05/17/pdfs/GMD-1834-86.pdf#page=3","Abrir facsímil")</f>
        <v>Abrir facsímil</v>
      </c>
      <c r="K15620" s="10" t="s">
        <v>24</v>
      </c>
    </row>
    <row r="15621" spans="1:11" ht="54" customHeight="1">
      <c r="A15621" s="9" t="s">
        <v>31465</v>
      </c>
      <c r="B15621" s="9" t="s">
        <v>31465</v>
      </c>
      <c r="C15621" s="9" t="s">
        <v>66</v>
      </c>
      <c r="D15621" s="9" t="s">
        <v>67</v>
      </c>
      <c r="E15621" s="10" t="s">
        <v>1119</v>
      </c>
      <c r="F15621" s="9" t="s">
        <v>1120</v>
      </c>
      <c r="G15621" s="10" t="s">
        <v>75</v>
      </c>
      <c r="H15621" s="9" t="s">
        <v>22</v>
      </c>
      <c r="I15621" s="9" t="s">
        <v>31489</v>
      </c>
      <c r="J15621" s="10" t="str">
        <f>HYPERLINK("https://www.boe.es/gazeta/dias/1834/07/17/pdfs/GMD-1834-150.pdf#page=4","Abrir facsímil")</f>
        <v>Abrir facsímil</v>
      </c>
      <c r="K15621" s="10" t="s">
        <v>24</v>
      </c>
    </row>
    <row r="15622" spans="1:11" ht="54" customHeight="1">
      <c r="A15622" s="9" t="s">
        <v>31465</v>
      </c>
      <c r="B15622" s="9" t="s">
        <v>31465</v>
      </c>
      <c r="C15622" s="9" t="s">
        <v>17</v>
      </c>
      <c r="D15622" s="9" t="s">
        <v>55</v>
      </c>
      <c r="E15622" s="10" t="s">
        <v>19</v>
      </c>
      <c r="F15622" s="9" t="s">
        <v>107</v>
      </c>
      <c r="G15622" s="10" t="s">
        <v>86</v>
      </c>
      <c r="H15622" s="9" t="s">
        <v>22</v>
      </c>
      <c r="I15622" s="9" t="s">
        <v>31490</v>
      </c>
      <c r="J15622" s="10" t="str">
        <f>HYPERLINK("https://www.boe.es/gazeta/dias/1834/08/17/pdfs/GMD-1834-182.pdf#page=2","Abrir facsímil")</f>
        <v>Abrir facsímil</v>
      </c>
      <c r="K15622" s="10" t="s">
        <v>24</v>
      </c>
    </row>
    <row r="15623" spans="1:11" ht="54" customHeight="1">
      <c r="A15623" s="9" t="s">
        <v>31465</v>
      </c>
      <c r="B15623" s="9" t="s">
        <v>31465</v>
      </c>
      <c r="C15623" s="9" t="s">
        <v>66</v>
      </c>
      <c r="D15623" s="9" t="s">
        <v>18</v>
      </c>
      <c r="E15623" s="10" t="s">
        <v>19</v>
      </c>
      <c r="F15623" s="9" t="s">
        <v>1933</v>
      </c>
      <c r="G15623" s="10" t="s">
        <v>86</v>
      </c>
      <c r="H15623" s="9" t="s">
        <v>22</v>
      </c>
      <c r="I15623" s="9" t="s">
        <v>31491</v>
      </c>
      <c r="J15623" s="10" t="str">
        <f>HYPERLINK("https://www.boe.es/gazeta/dias/1834/08/17/pdfs/GMD-1834-183E.pdf#page=2","Abrir facsímil")</f>
        <v>Abrir facsímil</v>
      </c>
      <c r="K15623" s="10" t="s">
        <v>24</v>
      </c>
    </row>
    <row r="15624" spans="1:11" ht="54" customHeight="1">
      <c r="A15624" s="9" t="s">
        <v>31465</v>
      </c>
      <c r="B15624" s="9" t="s">
        <v>31465</v>
      </c>
      <c r="C15624" s="9" t="s">
        <v>66</v>
      </c>
      <c r="D15624" s="9" t="s">
        <v>67</v>
      </c>
      <c r="E15624" s="10" t="s">
        <v>1517</v>
      </c>
      <c r="F15624" s="9" t="s">
        <v>1518</v>
      </c>
      <c r="G15624" s="10" t="s">
        <v>75</v>
      </c>
      <c r="H15624" s="9" t="s">
        <v>22</v>
      </c>
      <c r="I15624" s="9" t="s">
        <v>31492</v>
      </c>
      <c r="J15624" s="10" t="str">
        <f>HYPERLINK("https://www.boe.es/gazeta/dias/1834/05/18/pdfs/GMD-1834-87.pdf#page=4","Abrir facsímil")</f>
        <v>Abrir facsímil</v>
      </c>
      <c r="K15624" s="10" t="s">
        <v>24</v>
      </c>
    </row>
    <row r="15625" spans="1:11" ht="54" customHeight="1">
      <c r="A15625" s="9" t="s">
        <v>31465</v>
      </c>
      <c r="B15625" s="9" t="s">
        <v>31465</v>
      </c>
      <c r="C15625" s="9" t="s">
        <v>17</v>
      </c>
      <c r="D15625" s="9" t="s">
        <v>18</v>
      </c>
      <c r="E15625" s="10" t="s">
        <v>1459</v>
      </c>
      <c r="F15625" s="9" t="s">
        <v>1460</v>
      </c>
      <c r="G15625" s="10" t="s">
        <v>34</v>
      </c>
      <c r="H15625" s="9" t="s">
        <v>22</v>
      </c>
      <c r="I15625" s="9" t="s">
        <v>31493</v>
      </c>
      <c r="J15625" s="10" t="str">
        <f>HYPERLINK("https://www.boe.es/gazeta/dias/1834/08/18/pdfs/GMD-1834-184.pdf#page=1","Abrir facsímil")</f>
        <v>Abrir facsímil</v>
      </c>
      <c r="K15625" s="10" t="s">
        <v>24</v>
      </c>
    </row>
    <row r="15626" spans="1:11" ht="54" customHeight="1">
      <c r="A15626" s="9" t="s">
        <v>31465</v>
      </c>
      <c r="B15626" s="9" t="s">
        <v>31465</v>
      </c>
      <c r="C15626" s="9" t="s">
        <v>66</v>
      </c>
      <c r="D15626" s="9" t="s">
        <v>67</v>
      </c>
      <c r="E15626" s="10" t="s">
        <v>772</v>
      </c>
      <c r="F15626" s="9" t="s">
        <v>2284</v>
      </c>
      <c r="G15626" s="10" t="s">
        <v>86</v>
      </c>
      <c r="H15626" s="9" t="s">
        <v>22</v>
      </c>
      <c r="I15626" s="9" t="s">
        <v>31494</v>
      </c>
      <c r="J15626" s="10" t="str">
        <f>HYPERLINK("https://www.boe.es/gazeta/dias/1834/09/18/pdfs/GMD-C-1834-216.pdf#page=2","Abrir facsímil")</f>
        <v>Abrir facsímil</v>
      </c>
      <c r="K15626" s="10" t="s">
        <v>24</v>
      </c>
    </row>
    <row r="15627" spans="1:11" ht="54" customHeight="1">
      <c r="A15627" s="9" t="s">
        <v>31465</v>
      </c>
      <c r="B15627" s="9" t="s">
        <v>31465</v>
      </c>
      <c r="C15627" s="9" t="s">
        <v>17</v>
      </c>
      <c r="D15627" s="9" t="s">
        <v>18</v>
      </c>
      <c r="E15627" s="10" t="s">
        <v>772</v>
      </c>
      <c r="F15627" s="9" t="s">
        <v>2284</v>
      </c>
      <c r="G15627" s="10" t="s">
        <v>21</v>
      </c>
      <c r="H15627" s="9" t="s">
        <v>22</v>
      </c>
      <c r="I15627" s="9" t="s">
        <v>31495</v>
      </c>
      <c r="J15627" s="10" t="str">
        <f>HYPERLINK("https://www.boe.es/gazeta/dias/1834/09/18/pdfs/GMD-C-1834-216.pdf#page=3","Abrir facsímil")</f>
        <v>Abrir facsímil</v>
      </c>
      <c r="K15627" s="10" t="s">
        <v>24</v>
      </c>
    </row>
    <row r="15628" spans="1:11" ht="54" customHeight="1">
      <c r="A15628" s="9" t="s">
        <v>31465</v>
      </c>
      <c r="B15628" s="9" t="s">
        <v>31465</v>
      </c>
      <c r="C15628" s="9" t="s">
        <v>17</v>
      </c>
      <c r="D15628" s="9" t="s">
        <v>18</v>
      </c>
      <c r="E15628" s="10" t="s">
        <v>563</v>
      </c>
      <c r="F15628" s="9" t="s">
        <v>5858</v>
      </c>
      <c r="G15628" s="10" t="s">
        <v>34</v>
      </c>
      <c r="H15628" s="9" t="s">
        <v>22</v>
      </c>
      <c r="I15628" s="9" t="s">
        <v>31496</v>
      </c>
      <c r="J15628" s="10" t="str">
        <f>HYPERLINK("https://www.boe.es/gazeta/dias/1834/04/19/pdfs/GMD-C-1834-58.pdf#page=1","Abrir facsímil")</f>
        <v>Abrir facsímil</v>
      </c>
      <c r="K15628" s="10" t="s">
        <v>24</v>
      </c>
    </row>
    <row r="15629" spans="1:11" ht="54" customHeight="1">
      <c r="A15629" s="9" t="s">
        <v>31465</v>
      </c>
      <c r="B15629" s="9" t="s">
        <v>31465</v>
      </c>
      <c r="C15629" s="9" t="s">
        <v>122</v>
      </c>
      <c r="D15629" s="9" t="s">
        <v>18</v>
      </c>
      <c r="E15629" s="10" t="s">
        <v>2860</v>
      </c>
      <c r="F15629" s="9" t="s">
        <v>2861</v>
      </c>
      <c r="G15629" s="10" t="s">
        <v>75</v>
      </c>
      <c r="H15629" s="9" t="s">
        <v>22</v>
      </c>
      <c r="I15629" s="9" t="s">
        <v>31497</v>
      </c>
      <c r="J15629" s="10" t="str">
        <f>HYPERLINK("https://www.boe.es/gazeta/dias/1834/07/20/pdfs/GMD-1834-153.pdf#page=4","Abrir facsímil")</f>
        <v>Abrir facsímil</v>
      </c>
      <c r="K15629" s="10" t="s">
        <v>24</v>
      </c>
    </row>
    <row r="15630" spans="1:11" ht="54" customHeight="1">
      <c r="A15630" s="9" t="s">
        <v>31465</v>
      </c>
      <c r="B15630" s="9" t="s">
        <v>31465</v>
      </c>
      <c r="C15630" s="9" t="s">
        <v>66</v>
      </c>
      <c r="D15630" s="9" t="s">
        <v>67</v>
      </c>
      <c r="E15630" s="10" t="s">
        <v>3248</v>
      </c>
      <c r="F15630" s="9" t="s">
        <v>3249</v>
      </c>
      <c r="G15630" s="10" t="s">
        <v>21</v>
      </c>
      <c r="H15630" s="9" t="s">
        <v>22</v>
      </c>
      <c r="I15630" s="9" t="s">
        <v>31498</v>
      </c>
      <c r="J15630" s="10" t="str">
        <f>HYPERLINK("https://www.boe.es/gazeta/dias/1834/09/20/pdfs/GMD-1834-218.pdf#page=3","Abrir facsímil")</f>
        <v>Abrir facsímil</v>
      </c>
      <c r="K15630" s="10" t="s">
        <v>24</v>
      </c>
    </row>
    <row r="15631" spans="1:11" ht="54" customHeight="1">
      <c r="A15631" s="9" t="s">
        <v>31465</v>
      </c>
      <c r="B15631" s="9" t="s">
        <v>31465</v>
      </c>
      <c r="C15631" s="9" t="s">
        <v>90</v>
      </c>
      <c r="D15631" s="9" t="s">
        <v>18</v>
      </c>
      <c r="E15631" s="10" t="s">
        <v>1973</v>
      </c>
      <c r="F15631" s="9" t="s">
        <v>1974</v>
      </c>
      <c r="G15631" s="10" t="s">
        <v>560</v>
      </c>
      <c r="H15631" s="9" t="s">
        <v>22</v>
      </c>
      <c r="I15631" s="9" t="s">
        <v>31499</v>
      </c>
      <c r="J15631" s="10" t="str">
        <f>HYPERLINK("https://www.boe.es/gazeta/dias/1834/12/20/pdfs/GMD-C-1834-310.pdf#page=7","Abrir facsímil")</f>
        <v>Abrir facsímil</v>
      </c>
      <c r="K15631" s="10" t="s">
        <v>24</v>
      </c>
    </row>
    <row r="15632" spans="1:11" ht="54" customHeight="1">
      <c r="A15632" s="9" t="s">
        <v>31465</v>
      </c>
      <c r="B15632" s="9" t="s">
        <v>31465</v>
      </c>
      <c r="C15632" s="9" t="s">
        <v>66</v>
      </c>
      <c r="D15632" s="9" t="s">
        <v>67</v>
      </c>
      <c r="E15632" s="10" t="s">
        <v>535</v>
      </c>
      <c r="F15632" s="9" t="s">
        <v>536</v>
      </c>
      <c r="G15632" s="10" t="s">
        <v>21</v>
      </c>
      <c r="H15632" s="9" t="s">
        <v>22</v>
      </c>
      <c r="I15632" s="9" t="s">
        <v>31500</v>
      </c>
      <c r="J15632" s="10" t="str">
        <f>HYPERLINK("https://www.boe.es/gazeta/dias/1834/05/21/pdfs/GMD-1834-90.pdf#page=3","Abrir facsímil")</f>
        <v>Abrir facsímil</v>
      </c>
      <c r="K15632" s="10" t="s">
        <v>24</v>
      </c>
    </row>
    <row r="15633" spans="1:11" ht="54" customHeight="1">
      <c r="A15633" s="9" t="s">
        <v>31465</v>
      </c>
      <c r="B15633" s="9" t="s">
        <v>31465</v>
      </c>
      <c r="C15633" s="9" t="s">
        <v>66</v>
      </c>
      <c r="D15633" s="9" t="s">
        <v>67</v>
      </c>
      <c r="E15633" s="10" t="s">
        <v>375</v>
      </c>
      <c r="F15633" s="9" t="s">
        <v>376</v>
      </c>
      <c r="G15633" s="10" t="s">
        <v>86</v>
      </c>
      <c r="H15633" s="9" t="s">
        <v>22</v>
      </c>
      <c r="I15633" s="9" t="s">
        <v>31501</v>
      </c>
      <c r="J15633" s="10" t="str">
        <f>HYPERLINK("https://www.boe.es/gazeta/dias/1834/08/21/pdfs/GMD-1834-187.pdf#page=2","Abrir facsímil")</f>
        <v>Abrir facsímil</v>
      </c>
      <c r="K15633" s="10" t="s">
        <v>24</v>
      </c>
    </row>
    <row r="15634" spans="1:11" ht="54" customHeight="1">
      <c r="A15634" s="9" t="s">
        <v>31465</v>
      </c>
      <c r="B15634" s="9" t="s">
        <v>31465</v>
      </c>
      <c r="C15634" s="9" t="s">
        <v>66</v>
      </c>
      <c r="D15634" s="9" t="s">
        <v>67</v>
      </c>
      <c r="E15634" s="10" t="s">
        <v>8279</v>
      </c>
      <c r="F15634" s="9" t="s">
        <v>16809</v>
      </c>
      <c r="G15634" s="10" t="s">
        <v>34</v>
      </c>
      <c r="H15634" s="9" t="s">
        <v>22</v>
      </c>
      <c r="I15634" s="9" t="s">
        <v>31502</v>
      </c>
      <c r="J15634" s="10" t="str">
        <f>HYPERLINK("https://www.boe.es/gazeta/dias/1834/04/22/pdfs/GMD-C-1834-61.pdf#page=1","Abrir facsímil")</f>
        <v>Abrir facsímil</v>
      </c>
      <c r="K15634" s="10" t="s">
        <v>24</v>
      </c>
    </row>
    <row r="15635" spans="1:11" ht="54" customHeight="1">
      <c r="A15635" s="9" t="s">
        <v>31465</v>
      </c>
      <c r="B15635" s="9" t="s">
        <v>31465</v>
      </c>
      <c r="C15635" s="9" t="s">
        <v>66</v>
      </c>
      <c r="D15635" s="9" t="s">
        <v>67</v>
      </c>
      <c r="E15635" s="10" t="s">
        <v>1323</v>
      </c>
      <c r="F15635" s="9" t="s">
        <v>1324</v>
      </c>
      <c r="G15635" s="10" t="s">
        <v>75</v>
      </c>
      <c r="H15635" s="9" t="s">
        <v>22</v>
      </c>
      <c r="I15635" s="9" t="s">
        <v>31503</v>
      </c>
      <c r="J15635" s="10" t="str">
        <f>HYPERLINK("https://www.boe.es/gazeta/dias/1834/05/22/pdfs/GMD-1834-91.pdf#page=4","Abrir facsímil")</f>
        <v>Abrir facsímil</v>
      </c>
      <c r="K15635" s="10" t="s">
        <v>24</v>
      </c>
    </row>
    <row r="15636" spans="1:11" ht="54" customHeight="1">
      <c r="A15636" s="9" t="s">
        <v>31465</v>
      </c>
      <c r="B15636" s="9" t="s">
        <v>31465</v>
      </c>
      <c r="C15636" s="9" t="s">
        <v>17</v>
      </c>
      <c r="D15636" s="9" t="s">
        <v>101</v>
      </c>
      <c r="E15636" s="10" t="s">
        <v>1212</v>
      </c>
      <c r="F15636" s="9" t="s">
        <v>1213</v>
      </c>
      <c r="G15636" s="10" t="s">
        <v>34</v>
      </c>
      <c r="H15636" s="9" t="s">
        <v>22</v>
      </c>
      <c r="I15636" s="9" t="s">
        <v>31504</v>
      </c>
      <c r="J15636" s="10" t="str">
        <f>HYPERLINK("https://www.boe.es/gazeta/dias/1834/05/24/pdfs/GMD-1834-93.pdf#page=1","Abrir facsímil")</f>
        <v>Abrir facsímil</v>
      </c>
      <c r="K15636" s="10" t="s">
        <v>24</v>
      </c>
    </row>
    <row r="15637" spans="1:11" ht="54" customHeight="1">
      <c r="A15637" s="9" t="s">
        <v>31465</v>
      </c>
      <c r="B15637" s="9" t="s">
        <v>31465</v>
      </c>
      <c r="C15637" s="9" t="s">
        <v>17</v>
      </c>
      <c r="D15637" s="9" t="s">
        <v>18</v>
      </c>
      <c r="E15637" s="10" t="s">
        <v>3025</v>
      </c>
      <c r="F15637" s="9" t="s">
        <v>3026</v>
      </c>
      <c r="G15637" s="10" t="s">
        <v>176</v>
      </c>
      <c r="H15637" s="9" t="s">
        <v>22</v>
      </c>
      <c r="I15637" s="9" t="s">
        <v>31505</v>
      </c>
      <c r="J15637" s="10" t="str">
        <f>HYPERLINK("https://www.boe.es/gazeta/dias/1834/05/25/pdfs/GMD-1834-94.pdf#page=6","Abrir facsímil")</f>
        <v>Abrir facsímil</v>
      </c>
      <c r="K15637" s="10" t="s">
        <v>24</v>
      </c>
    </row>
    <row r="15638" spans="1:11" ht="54" customHeight="1">
      <c r="A15638" s="9" t="s">
        <v>31465</v>
      </c>
      <c r="B15638" s="9" t="s">
        <v>31465</v>
      </c>
      <c r="C15638" s="9" t="s">
        <v>17</v>
      </c>
      <c r="D15638" s="9" t="s">
        <v>18</v>
      </c>
      <c r="E15638" s="10" t="s">
        <v>2306</v>
      </c>
      <c r="F15638" s="9" t="s">
        <v>2307</v>
      </c>
      <c r="G15638" s="10" t="s">
        <v>21</v>
      </c>
      <c r="H15638" s="9" t="s">
        <v>22</v>
      </c>
      <c r="I15638" s="9" t="s">
        <v>31506</v>
      </c>
      <c r="J15638" s="10" t="str">
        <f>HYPERLINK("https://www.boe.es/gazeta/dias/1834/04/26/pdfs/GMD-1834-65.pdf#page=3","Abrir facsímil")</f>
        <v>Abrir facsímil</v>
      </c>
      <c r="K15638" s="10" t="s">
        <v>24</v>
      </c>
    </row>
    <row r="15639" spans="1:11" ht="54" customHeight="1">
      <c r="A15639" s="9" t="s">
        <v>31465</v>
      </c>
      <c r="B15639" s="9" t="s">
        <v>31465</v>
      </c>
      <c r="C15639" s="9" t="s">
        <v>17</v>
      </c>
      <c r="D15639" s="9" t="s">
        <v>18</v>
      </c>
      <c r="E15639" s="10" t="s">
        <v>658</v>
      </c>
      <c r="F15639" s="9" t="s">
        <v>2167</v>
      </c>
      <c r="G15639" s="10" t="s">
        <v>34</v>
      </c>
      <c r="H15639" s="9" t="s">
        <v>22</v>
      </c>
      <c r="I15639" s="9" t="s">
        <v>31507</v>
      </c>
      <c r="J15639" s="10" t="str">
        <f>HYPERLINK("https://www.boe.es/gazeta/dias/1834/05/26/pdfs/C00001-00001.pdf#page=1","Abrir facsímil")</f>
        <v>Abrir facsímil</v>
      </c>
      <c r="K15639" s="10" t="s">
        <v>24</v>
      </c>
    </row>
    <row r="15640" spans="1:11" ht="54" customHeight="1">
      <c r="A15640" s="9" t="s">
        <v>31465</v>
      </c>
      <c r="B15640" s="9" t="s">
        <v>31465</v>
      </c>
      <c r="C15640" s="9" t="s">
        <v>17</v>
      </c>
      <c r="D15640" s="9" t="s">
        <v>55</v>
      </c>
      <c r="E15640" s="10" t="s">
        <v>1002</v>
      </c>
      <c r="F15640" s="9" t="s">
        <v>1003</v>
      </c>
      <c r="G15640" s="10" t="s">
        <v>86</v>
      </c>
      <c r="H15640" s="9" t="s">
        <v>22</v>
      </c>
      <c r="I15640" s="9" t="s">
        <v>31508</v>
      </c>
      <c r="J15640" s="10" t="str">
        <f>HYPERLINK("https://www.boe.es/gazeta/dias/1834/06/26/pdfs/GMD-1834-129.pdf#page=2","Abrir facsímil")</f>
        <v>Abrir facsímil</v>
      </c>
      <c r="K15640" s="10" t="s">
        <v>24</v>
      </c>
    </row>
    <row r="15641" spans="1:11" ht="54" customHeight="1">
      <c r="A15641" s="9" t="s">
        <v>31465</v>
      </c>
      <c r="B15641" s="9" t="s">
        <v>31465</v>
      </c>
      <c r="C15641" s="9" t="s">
        <v>66</v>
      </c>
      <c r="D15641" s="9" t="s">
        <v>67</v>
      </c>
      <c r="E15641" s="10" t="s">
        <v>513</v>
      </c>
      <c r="F15641" s="9" t="s">
        <v>514</v>
      </c>
      <c r="G15641" s="10" t="s">
        <v>28</v>
      </c>
      <c r="H15641" s="9" t="s">
        <v>22</v>
      </c>
      <c r="I15641" s="9" t="s">
        <v>31509</v>
      </c>
      <c r="J15641" s="10" t="str">
        <f>HYPERLINK("https://www.boe.es/gazeta/dias/1834/04/27/pdfs/GMD-1834-66.pdf#page=5","Abrir facsímil")</f>
        <v>Abrir facsímil</v>
      </c>
      <c r="K15641" s="10" t="s">
        <v>24</v>
      </c>
    </row>
    <row r="15642" spans="1:11" ht="54" customHeight="1">
      <c r="A15642" s="9" t="s">
        <v>31465</v>
      </c>
      <c r="B15642" s="9" t="s">
        <v>31465</v>
      </c>
      <c r="C15642" s="9" t="s">
        <v>66</v>
      </c>
      <c r="D15642" s="9" t="s">
        <v>67</v>
      </c>
      <c r="E15642" s="10" t="s">
        <v>8010</v>
      </c>
      <c r="F15642" s="9" t="s">
        <v>8011</v>
      </c>
      <c r="G15642" s="10" t="s">
        <v>21</v>
      </c>
      <c r="H15642" s="9" t="s">
        <v>22</v>
      </c>
      <c r="I15642" s="9" t="s">
        <v>31510</v>
      </c>
      <c r="J15642" s="10" t="str">
        <f>HYPERLINK("https://www.boe.es/gazeta/dias/1834/08/28/pdfs/GMD-1834-194.pdf#page=3","Abrir facsímil")</f>
        <v>Abrir facsímil</v>
      </c>
      <c r="K15642" s="10" t="s">
        <v>24</v>
      </c>
    </row>
    <row r="15643" spans="1:11" ht="54" customHeight="1">
      <c r="A15643" s="9" t="s">
        <v>31465</v>
      </c>
      <c r="B15643" s="9" t="s">
        <v>31465</v>
      </c>
      <c r="C15643" s="9" t="s">
        <v>17</v>
      </c>
      <c r="D15643" s="9" t="s">
        <v>18</v>
      </c>
      <c r="E15643" s="10" t="s">
        <v>1141</v>
      </c>
      <c r="F15643" s="9" t="s">
        <v>1142</v>
      </c>
      <c r="G15643" s="10" t="s">
        <v>75</v>
      </c>
      <c r="H15643" s="9" t="s">
        <v>22</v>
      </c>
      <c r="I15643" s="9" t="s">
        <v>31511</v>
      </c>
      <c r="J15643" s="10" t="str">
        <f>HYPERLINK("https://www.boe.es/gazeta/dias/1834/04/30/pdfs/GMD-1834-69.pdf#page=4","Abrir facsímil")</f>
        <v>Abrir facsímil</v>
      </c>
      <c r="K15643" s="10" t="s">
        <v>24</v>
      </c>
    </row>
    <row r="15644" spans="1:11" ht="54" customHeight="1">
      <c r="A15644" s="9" t="s">
        <v>31465</v>
      </c>
      <c r="B15644" s="9" t="s">
        <v>31465</v>
      </c>
      <c r="C15644" s="9" t="s">
        <v>17</v>
      </c>
      <c r="D15644" s="9" t="s">
        <v>18</v>
      </c>
      <c r="E15644" s="10" t="s">
        <v>286</v>
      </c>
      <c r="F15644" s="9" t="s">
        <v>287</v>
      </c>
      <c r="G15644" s="10" t="s">
        <v>21</v>
      </c>
      <c r="H15644" s="9" t="s">
        <v>22</v>
      </c>
      <c r="I15644" s="9" t="s">
        <v>31512</v>
      </c>
      <c r="J15644" s="10" t="str">
        <f>HYPERLINK("https://www.boe.es/gazeta/dias/1834/08/30/pdfs/GMD-D-1834-196.pdf#page=3","Abrir facsímil")</f>
        <v>Abrir facsímil</v>
      </c>
      <c r="K15644" s="10" t="s">
        <v>24</v>
      </c>
    </row>
    <row r="15645" spans="1:11" ht="54" customHeight="1">
      <c r="A15645" s="9" t="s">
        <v>31465</v>
      </c>
      <c r="B15645" s="9" t="s">
        <v>31465</v>
      </c>
      <c r="C15645" s="9" t="s">
        <v>17</v>
      </c>
      <c r="D15645" s="9" t="s">
        <v>18</v>
      </c>
      <c r="E15645" s="10" t="s">
        <v>1789</v>
      </c>
      <c r="F15645" s="9" t="s">
        <v>31513</v>
      </c>
      <c r="G15645" s="10" t="s">
        <v>34</v>
      </c>
      <c r="H15645" s="9" t="s">
        <v>22</v>
      </c>
      <c r="I15645" s="9" t="s">
        <v>31514</v>
      </c>
      <c r="J15645" s="10" t="str">
        <f>HYPERLINK("https://www.boe.es/gazeta/dias/1834/05/31/pdfs/GMD-1834-101E.pdf#page=1","Abrir facsímil")</f>
        <v>Abrir facsímil</v>
      </c>
      <c r="K15645" s="10" t="s">
        <v>24</v>
      </c>
    </row>
    <row r="15646" spans="1:11" ht="54" customHeight="1">
      <c r="A15646" s="9" t="s">
        <v>31515</v>
      </c>
      <c r="B15646" s="9" t="s">
        <v>31516</v>
      </c>
      <c r="C15646" s="9" t="s">
        <v>17</v>
      </c>
      <c r="D15646" s="9" t="s">
        <v>18</v>
      </c>
      <c r="E15646" s="10" t="s">
        <v>3328</v>
      </c>
      <c r="F15646" s="9" t="s">
        <v>3329</v>
      </c>
      <c r="G15646" s="10" t="s">
        <v>21</v>
      </c>
      <c r="H15646" s="9" t="s">
        <v>35</v>
      </c>
      <c r="I15646" s="9" t="s">
        <v>31517</v>
      </c>
      <c r="J15646" s="10" t="str">
        <f>HYPERLINK("https://www.boe.es/gazeta/dias/1834/06/04/pdfs/GMD-1834-106.pdf#page=3","Abrir facsímil")</f>
        <v>Abrir facsímil</v>
      </c>
      <c r="K15646" s="10" t="s">
        <v>37</v>
      </c>
    </row>
    <row r="15647" spans="1:11" ht="54" customHeight="1">
      <c r="A15647" s="9" t="s">
        <v>31515</v>
      </c>
      <c r="B15647" s="9" t="s">
        <v>31516</v>
      </c>
      <c r="C15647" s="9" t="s">
        <v>66</v>
      </c>
      <c r="D15647" s="9" t="s">
        <v>67</v>
      </c>
      <c r="E15647" s="10" t="s">
        <v>563</v>
      </c>
      <c r="F15647" s="9" t="s">
        <v>5858</v>
      </c>
      <c r="G15647" s="10" t="s">
        <v>34</v>
      </c>
      <c r="H15647" s="9" t="s">
        <v>35</v>
      </c>
      <c r="I15647" s="9" t="s">
        <v>31518</v>
      </c>
      <c r="J15647" s="10" t="str">
        <f>HYPERLINK("https://www.boe.es/gazeta/dias/1834/04/19/pdfs/GMD-C-1834-58.pdf#page=1","Abrir facsímil")</f>
        <v>Abrir facsímil</v>
      </c>
      <c r="K15647" s="10" t="s">
        <v>37</v>
      </c>
    </row>
    <row r="15648" spans="1:11" ht="54" customHeight="1">
      <c r="A15648" s="9" t="s">
        <v>31515</v>
      </c>
      <c r="B15648" s="9" t="s">
        <v>31516</v>
      </c>
      <c r="C15648" s="9" t="s">
        <v>66</v>
      </c>
      <c r="D15648" s="9" t="s">
        <v>67</v>
      </c>
      <c r="E15648" s="10" t="s">
        <v>563</v>
      </c>
      <c r="F15648" s="9" t="s">
        <v>5858</v>
      </c>
      <c r="G15648" s="10" t="s">
        <v>86</v>
      </c>
      <c r="H15648" s="9" t="s">
        <v>35</v>
      </c>
      <c r="I15648" s="9" t="s">
        <v>31519</v>
      </c>
      <c r="J15648" s="10" t="str">
        <f>HYPERLINK("https://www.boe.es/gazeta/dias/1834/04/19/pdfs/GMD-C-1834-58.pdf#page=2","Abrir facsímil")</f>
        <v>Abrir facsímil</v>
      </c>
      <c r="K15648" s="10" t="s">
        <v>37</v>
      </c>
    </row>
    <row r="15649" spans="1:11" ht="54" customHeight="1">
      <c r="A15649" s="9" t="s">
        <v>31515</v>
      </c>
      <c r="B15649" s="9" t="s">
        <v>31516</v>
      </c>
      <c r="C15649" s="9" t="s">
        <v>17</v>
      </c>
      <c r="D15649" s="9" t="s">
        <v>101</v>
      </c>
      <c r="E15649" s="10" t="s">
        <v>724</v>
      </c>
      <c r="F15649" s="9" t="s">
        <v>725</v>
      </c>
      <c r="G15649" s="10" t="s">
        <v>34</v>
      </c>
      <c r="H15649" s="9" t="s">
        <v>35</v>
      </c>
      <c r="I15649" s="9" t="s">
        <v>31520</v>
      </c>
      <c r="J15649" s="10" t="str">
        <f>HYPERLINK("https://www.boe.es/gazeta/dias/1834/04/25/pdfs/GMD-1834-64.pdf#page=1","Abrir facsímil")</f>
        <v>Abrir facsímil</v>
      </c>
      <c r="K15649" s="10" t="s">
        <v>37</v>
      </c>
    </row>
    <row r="15650" spans="1:11" ht="54" customHeight="1">
      <c r="A15650" s="9" t="s">
        <v>31521</v>
      </c>
      <c r="B15650" s="9" t="s">
        <v>31522</v>
      </c>
      <c r="C15650" s="9" t="s">
        <v>17</v>
      </c>
      <c r="D15650" s="9" t="s">
        <v>55</v>
      </c>
      <c r="E15650" s="10" t="s">
        <v>1658</v>
      </c>
      <c r="F15650" s="9" t="s">
        <v>1659</v>
      </c>
      <c r="G15650" s="10" t="s">
        <v>21</v>
      </c>
      <c r="H15650" s="9" t="s">
        <v>35</v>
      </c>
      <c r="I15650" s="9" t="s">
        <v>31523</v>
      </c>
      <c r="J15650" s="10" t="str">
        <f>HYPERLINK("https://www.boe.es/gazeta/dias/1834/04/05/pdfs/GMD-1834-44.pdf#page=3","Abrir facsímil")</f>
        <v>Abrir facsímil</v>
      </c>
      <c r="K15650" s="10" t="s">
        <v>37</v>
      </c>
    </row>
    <row r="15651" spans="1:11" ht="54" customHeight="1">
      <c r="A15651" s="9" t="s">
        <v>31524</v>
      </c>
      <c r="B15651" s="9" t="s">
        <v>31525</v>
      </c>
      <c r="C15651" s="9" t="s">
        <v>17</v>
      </c>
      <c r="D15651" s="9" t="s">
        <v>101</v>
      </c>
      <c r="E15651" s="10" t="s">
        <v>1402</v>
      </c>
      <c r="F15651" s="9" t="s">
        <v>1403</v>
      </c>
      <c r="G15651" s="10" t="s">
        <v>86</v>
      </c>
      <c r="H15651" s="9" t="s">
        <v>22</v>
      </c>
      <c r="I15651" s="9" t="s">
        <v>31526</v>
      </c>
      <c r="J15651" s="10" t="str">
        <f>HYPERLINK("https://www.boe.es/gazeta/dias/1834/05/05/pdfs/I00347-00348.pdf#page=2","Abrir facsímil")</f>
        <v>Abrir facsímil</v>
      </c>
      <c r="K15651" s="10" t="s">
        <v>24</v>
      </c>
    </row>
    <row r="15652" spans="1:11" ht="54" customHeight="1">
      <c r="A15652" s="9" t="s">
        <v>31527</v>
      </c>
      <c r="B15652" s="9" t="s">
        <v>31528</v>
      </c>
      <c r="C15652" s="9" t="s">
        <v>17</v>
      </c>
      <c r="D15652" s="9" t="s">
        <v>101</v>
      </c>
      <c r="E15652" s="10" t="s">
        <v>1402</v>
      </c>
      <c r="F15652" s="9" t="s">
        <v>1403</v>
      </c>
      <c r="G15652" s="10" t="s">
        <v>176</v>
      </c>
      <c r="H15652" s="9" t="s">
        <v>22</v>
      </c>
      <c r="I15652" s="9" t="s">
        <v>31529</v>
      </c>
      <c r="J15652" s="10" t="str">
        <f>HYPERLINK("https://www.boe.es/gazeta/dias/1834/05/05/pdfs/GMD-1834-74.pdf#page=6","Abrir facsímil")</f>
        <v>Abrir facsímil</v>
      </c>
      <c r="K15652" s="10" t="s">
        <v>24</v>
      </c>
    </row>
    <row r="15653" spans="1:11" ht="54" customHeight="1">
      <c r="A15653" s="9" t="s">
        <v>31530</v>
      </c>
      <c r="B15653" s="9" t="s">
        <v>31531</v>
      </c>
      <c r="C15653" s="9" t="s">
        <v>66</v>
      </c>
      <c r="D15653" s="9" t="s">
        <v>67</v>
      </c>
      <c r="E15653" s="10" t="s">
        <v>849</v>
      </c>
      <c r="F15653" s="9" t="s">
        <v>850</v>
      </c>
      <c r="G15653" s="10" t="s">
        <v>34</v>
      </c>
      <c r="H15653" s="9" t="s">
        <v>22</v>
      </c>
      <c r="I15653" s="9" t="s">
        <v>31532</v>
      </c>
      <c r="J15653" s="10" t="str">
        <f>HYPERLINK("https://www.boe.es/gazeta/dias/1834/06/21/pdfs/GMD-1834-124.pdf#page=1","Abrir facsímil")</f>
        <v>Abrir facsímil</v>
      </c>
      <c r="K15653" s="10" t="s">
        <v>24</v>
      </c>
    </row>
    <row r="15654" spans="1:11" ht="54" customHeight="1">
      <c r="A15654" s="9" t="s">
        <v>31533</v>
      </c>
      <c r="B15654" s="9" t="s">
        <v>31534</v>
      </c>
      <c r="C15654" s="9" t="s">
        <v>17</v>
      </c>
      <c r="D15654" s="9" t="s">
        <v>55</v>
      </c>
      <c r="E15654" s="10" t="s">
        <v>3328</v>
      </c>
      <c r="F15654" s="9" t="s">
        <v>3329</v>
      </c>
      <c r="G15654" s="10" t="s">
        <v>21</v>
      </c>
      <c r="H15654" s="9" t="s">
        <v>22</v>
      </c>
      <c r="I15654" s="9" t="s">
        <v>31535</v>
      </c>
      <c r="J15654" s="10" t="str">
        <f>HYPERLINK("https://www.boe.es/gazeta/dias/1834/06/04/pdfs/GMD-1834-106.pdf#page=3","Abrir facsímil")</f>
        <v>Abrir facsímil</v>
      </c>
      <c r="K15654" s="10" t="s">
        <v>24</v>
      </c>
    </row>
    <row r="15655" spans="1:11" ht="54" customHeight="1">
      <c r="A15655" s="9" t="s">
        <v>31536</v>
      </c>
      <c r="B15655" s="9" t="s">
        <v>31537</v>
      </c>
      <c r="C15655" s="9" t="s">
        <v>17</v>
      </c>
      <c r="D15655" s="9" t="s">
        <v>18</v>
      </c>
      <c r="E15655" s="10" t="s">
        <v>3328</v>
      </c>
      <c r="F15655" s="9" t="s">
        <v>3329</v>
      </c>
      <c r="G15655" s="10" t="s">
        <v>21</v>
      </c>
      <c r="H15655" s="9" t="s">
        <v>22</v>
      </c>
      <c r="I15655" s="9" t="s">
        <v>31538</v>
      </c>
      <c r="J15655" s="10" t="str">
        <f>HYPERLINK("https://www.boe.es/gazeta/dias/1834/06/04/pdfs/GMD-1834-106.pdf#page=3","Abrir facsímil")</f>
        <v>Abrir facsímil</v>
      </c>
      <c r="K15655" s="10" t="s">
        <v>24</v>
      </c>
    </row>
    <row r="15656" spans="1:11" ht="54" customHeight="1">
      <c r="A15656" s="9" t="s">
        <v>31536</v>
      </c>
      <c r="B15656" s="9" t="s">
        <v>31537</v>
      </c>
      <c r="C15656" s="9" t="s">
        <v>66</v>
      </c>
      <c r="D15656" s="9" t="s">
        <v>18</v>
      </c>
      <c r="E15656" s="10" t="s">
        <v>1658</v>
      </c>
      <c r="F15656" s="9" t="s">
        <v>1659</v>
      </c>
      <c r="G15656" s="10" t="s">
        <v>21</v>
      </c>
      <c r="H15656" s="9" t="s">
        <v>22</v>
      </c>
      <c r="I15656" s="9" t="s">
        <v>31539</v>
      </c>
      <c r="J15656" s="10" t="str">
        <f>HYPERLINK("https://www.boe.es/gazeta/dias/1834/04/05/pdfs/GMD-1834-44.pdf#page=3","Abrir facsímil")</f>
        <v>Abrir facsímil</v>
      </c>
      <c r="K15656" s="10" t="s">
        <v>24</v>
      </c>
    </row>
    <row r="15657" spans="1:11" ht="54" customHeight="1">
      <c r="A15657" s="9" t="s">
        <v>31536</v>
      </c>
      <c r="B15657" s="9" t="s">
        <v>31537</v>
      </c>
      <c r="C15657" s="9" t="s">
        <v>66</v>
      </c>
      <c r="D15657" s="9" t="s">
        <v>67</v>
      </c>
      <c r="E15657" s="10" t="s">
        <v>653</v>
      </c>
      <c r="F15657" s="9" t="s">
        <v>3167</v>
      </c>
      <c r="G15657" s="10" t="s">
        <v>34</v>
      </c>
      <c r="H15657" s="9" t="s">
        <v>22</v>
      </c>
      <c r="I15657" s="9" t="s">
        <v>31540</v>
      </c>
      <c r="J15657" s="10" t="str">
        <f>HYPERLINK("https://www.boe.es/gazeta/dias/1834/08/06/pdfs/GMD-1834-171E.pdf#page=1","Abrir facsímil")</f>
        <v>Abrir facsímil</v>
      </c>
      <c r="K15657" s="10" t="s">
        <v>24</v>
      </c>
    </row>
    <row r="15658" spans="1:11" ht="54" customHeight="1">
      <c r="A15658" s="9" t="s">
        <v>31536</v>
      </c>
      <c r="B15658" s="9" t="s">
        <v>31537</v>
      </c>
      <c r="C15658" s="9" t="s">
        <v>66</v>
      </c>
      <c r="D15658" s="9" t="s">
        <v>67</v>
      </c>
      <c r="E15658" s="10" t="s">
        <v>1318</v>
      </c>
      <c r="F15658" s="9" t="s">
        <v>1319</v>
      </c>
      <c r="G15658" s="10" t="s">
        <v>21</v>
      </c>
      <c r="H15658" s="9" t="s">
        <v>22</v>
      </c>
      <c r="I15658" s="9" t="s">
        <v>31541</v>
      </c>
      <c r="J15658" s="10" t="str">
        <f>HYPERLINK("https://www.boe.es/gazeta/dias/1834/05/10/pdfs/GMD-1834-79.pdf#page=3","Abrir facsímil")</f>
        <v>Abrir facsímil</v>
      </c>
      <c r="K15658" s="10" t="s">
        <v>24</v>
      </c>
    </row>
    <row r="15659" spans="1:11" ht="54" customHeight="1">
      <c r="A15659" s="9" t="s">
        <v>31536</v>
      </c>
      <c r="B15659" s="9" t="s">
        <v>31537</v>
      </c>
      <c r="C15659" s="9" t="s">
        <v>66</v>
      </c>
      <c r="D15659" s="9" t="s">
        <v>67</v>
      </c>
      <c r="E15659" s="10" t="s">
        <v>4565</v>
      </c>
      <c r="F15659" s="9" t="s">
        <v>4566</v>
      </c>
      <c r="G15659" s="10" t="s">
        <v>75</v>
      </c>
      <c r="H15659" s="9" t="s">
        <v>22</v>
      </c>
      <c r="I15659" s="9" t="s">
        <v>31542</v>
      </c>
      <c r="J15659" s="10" t="str">
        <f>HYPERLINK("https://www.boe.es/gazeta/dias/1834/07/10/pdfs/GMD-1834-143.pdf#page=4","Abrir facsímil")</f>
        <v>Abrir facsímil</v>
      </c>
      <c r="K15659" s="10" t="s">
        <v>24</v>
      </c>
    </row>
    <row r="15660" spans="1:11" ht="54" customHeight="1">
      <c r="A15660" s="9" t="s">
        <v>31536</v>
      </c>
      <c r="B15660" s="9" t="s">
        <v>31537</v>
      </c>
      <c r="C15660" s="9" t="s">
        <v>66</v>
      </c>
      <c r="D15660" s="9" t="s">
        <v>67</v>
      </c>
      <c r="E15660" s="10" t="s">
        <v>1226</v>
      </c>
      <c r="F15660" s="9" t="s">
        <v>1227</v>
      </c>
      <c r="G15660" s="10" t="s">
        <v>21</v>
      </c>
      <c r="H15660" s="9" t="s">
        <v>22</v>
      </c>
      <c r="I15660" s="9" t="s">
        <v>31543</v>
      </c>
      <c r="J15660" s="10" t="str">
        <f>HYPERLINK("https://www.boe.es/gazeta/dias/1834/07/14/pdfs/GMD-1834-147.pdf#page=3","Abrir facsímil")</f>
        <v>Abrir facsímil</v>
      </c>
      <c r="K15660" s="10" t="s">
        <v>24</v>
      </c>
    </row>
    <row r="15661" spans="1:11" ht="54" customHeight="1">
      <c r="A15661" s="9" t="s">
        <v>31536</v>
      </c>
      <c r="B15661" s="9" t="s">
        <v>31537</v>
      </c>
      <c r="C15661" s="9" t="s">
        <v>66</v>
      </c>
      <c r="D15661" s="9" t="s">
        <v>67</v>
      </c>
      <c r="E15661" s="10" t="s">
        <v>133</v>
      </c>
      <c r="F15661" s="9" t="s">
        <v>134</v>
      </c>
      <c r="G15661" s="10" t="s">
        <v>34</v>
      </c>
      <c r="H15661" s="9" t="s">
        <v>22</v>
      </c>
      <c r="I15661" s="9" t="s">
        <v>31544</v>
      </c>
      <c r="J15661" s="10" t="str">
        <f>HYPERLINK("https://www.boe.es/gazeta/dias/1834/06/18/pdfs/GMD-1834-121.pdf#page=1","Abrir facsímil")</f>
        <v>Abrir facsímil</v>
      </c>
      <c r="K15661" s="10" t="s">
        <v>24</v>
      </c>
    </row>
    <row r="15662" spans="1:11" ht="54" customHeight="1">
      <c r="A15662" s="9" t="s">
        <v>31536</v>
      </c>
      <c r="B15662" s="9" t="s">
        <v>31537</v>
      </c>
      <c r="C15662" s="9" t="s">
        <v>66</v>
      </c>
      <c r="D15662" s="9" t="s">
        <v>67</v>
      </c>
      <c r="E15662" s="10" t="s">
        <v>563</v>
      </c>
      <c r="F15662" s="9" t="s">
        <v>5858</v>
      </c>
      <c r="G15662" s="10" t="s">
        <v>34</v>
      </c>
      <c r="H15662" s="9" t="s">
        <v>22</v>
      </c>
      <c r="I15662" s="9" t="s">
        <v>31545</v>
      </c>
      <c r="J15662" s="10" t="str">
        <f>HYPERLINK("https://www.boe.es/gazeta/dias/1834/04/19/pdfs/GMD-C-1834-58.pdf#page=1","Abrir facsímil")</f>
        <v>Abrir facsímil</v>
      </c>
      <c r="K15662" s="10" t="s">
        <v>24</v>
      </c>
    </row>
    <row r="15663" spans="1:11" ht="54" customHeight="1">
      <c r="A15663" s="9" t="s">
        <v>31536</v>
      </c>
      <c r="B15663" s="9" t="s">
        <v>31537</v>
      </c>
      <c r="C15663" s="9" t="s">
        <v>66</v>
      </c>
      <c r="D15663" s="9" t="s">
        <v>67</v>
      </c>
      <c r="E15663" s="10" t="s">
        <v>563</v>
      </c>
      <c r="F15663" s="9" t="s">
        <v>5858</v>
      </c>
      <c r="G15663" s="10" t="s">
        <v>86</v>
      </c>
      <c r="H15663" s="9" t="s">
        <v>22</v>
      </c>
      <c r="I15663" s="9" t="s">
        <v>31546</v>
      </c>
      <c r="J15663" s="10" t="str">
        <f>HYPERLINK("https://www.boe.es/gazeta/dias/1834/04/19/pdfs/GMD-C-1834-58.pdf#page=2","Abrir facsímil")</f>
        <v>Abrir facsímil</v>
      </c>
      <c r="K15663" s="10" t="s">
        <v>24</v>
      </c>
    </row>
    <row r="15664" spans="1:11" ht="54" customHeight="1">
      <c r="A15664" s="9" t="s">
        <v>31536</v>
      </c>
      <c r="B15664" s="9" t="s">
        <v>31537</v>
      </c>
      <c r="C15664" s="9" t="s">
        <v>66</v>
      </c>
      <c r="D15664" s="9" t="s">
        <v>67</v>
      </c>
      <c r="E15664" s="10" t="s">
        <v>102</v>
      </c>
      <c r="F15664" s="9" t="s">
        <v>103</v>
      </c>
      <c r="G15664" s="10" t="s">
        <v>75</v>
      </c>
      <c r="H15664" s="9" t="s">
        <v>22</v>
      </c>
      <c r="I15664" s="9" t="s">
        <v>31547</v>
      </c>
      <c r="J15664" s="10" t="str">
        <f>HYPERLINK("https://www.boe.es/gazeta/dias/1834/07/19/pdfs/GMD-1834-152.pdf#page=4","Abrir facsímil")</f>
        <v>Abrir facsímil</v>
      </c>
      <c r="K15664" s="10" t="s">
        <v>24</v>
      </c>
    </row>
    <row r="15665" spans="1:11" ht="54" customHeight="1">
      <c r="A15665" s="9" t="s">
        <v>31536</v>
      </c>
      <c r="B15665" s="9" t="s">
        <v>31537</v>
      </c>
      <c r="C15665" s="9" t="s">
        <v>66</v>
      </c>
      <c r="D15665" s="9" t="s">
        <v>67</v>
      </c>
      <c r="E15665" s="10" t="s">
        <v>8279</v>
      </c>
      <c r="F15665" s="9" t="s">
        <v>8280</v>
      </c>
      <c r="G15665" s="10" t="s">
        <v>21</v>
      </c>
      <c r="H15665" s="9" t="s">
        <v>22</v>
      </c>
      <c r="I15665" s="9" t="s">
        <v>31548</v>
      </c>
      <c r="J15665" s="10" t="str">
        <f>HYPERLINK("https://www.boe.es/gazeta/dias/1834/04/22/pdfs/GMD-1834-61.pdf#page=3","Abrir facsímil")</f>
        <v>Abrir facsímil</v>
      </c>
      <c r="K15665" s="10" t="s">
        <v>24</v>
      </c>
    </row>
    <row r="15666" spans="1:11" ht="54" customHeight="1">
      <c r="A15666" s="9" t="s">
        <v>31536</v>
      </c>
      <c r="B15666" s="9" t="s">
        <v>31537</v>
      </c>
      <c r="C15666" s="9" t="s">
        <v>17</v>
      </c>
      <c r="D15666" s="9" t="s">
        <v>101</v>
      </c>
      <c r="E15666" s="10" t="s">
        <v>724</v>
      </c>
      <c r="F15666" s="9" t="s">
        <v>725</v>
      </c>
      <c r="G15666" s="10" t="s">
        <v>34</v>
      </c>
      <c r="H15666" s="9" t="s">
        <v>22</v>
      </c>
      <c r="I15666" s="9" t="s">
        <v>31549</v>
      </c>
      <c r="J15666" s="10" t="str">
        <f>HYPERLINK("https://www.boe.es/gazeta/dias/1834/04/25/pdfs/GMD-1834-64.pdf#page=1","Abrir facsímil")</f>
        <v>Abrir facsímil</v>
      </c>
      <c r="K15666" s="10" t="s">
        <v>24</v>
      </c>
    </row>
    <row r="15667" spans="1:11" ht="54" customHeight="1">
      <c r="A15667" s="9" t="s">
        <v>31536</v>
      </c>
      <c r="B15667" s="9" t="s">
        <v>31537</v>
      </c>
      <c r="C15667" s="9" t="s">
        <v>66</v>
      </c>
      <c r="D15667" s="9" t="s">
        <v>67</v>
      </c>
      <c r="E15667" s="10" t="s">
        <v>1002</v>
      </c>
      <c r="F15667" s="9" t="s">
        <v>1003</v>
      </c>
      <c r="G15667" s="10" t="s">
        <v>34</v>
      </c>
      <c r="H15667" s="9" t="s">
        <v>22</v>
      </c>
      <c r="I15667" s="9" t="s">
        <v>31550</v>
      </c>
      <c r="J15667" s="10" t="str">
        <f>HYPERLINK("https://www.boe.es/gazeta/dias/1834/06/26/pdfs/GMD-1834-129.pdf#page=1","Abrir facsímil")</f>
        <v>Abrir facsímil</v>
      </c>
      <c r="K15667" s="10" t="s">
        <v>24</v>
      </c>
    </row>
    <row r="15668" spans="1:11" ht="54" customHeight="1">
      <c r="A15668" s="9" t="s">
        <v>31536</v>
      </c>
      <c r="B15668" s="9" t="s">
        <v>31537</v>
      </c>
      <c r="C15668" s="9" t="s">
        <v>66</v>
      </c>
      <c r="D15668" s="9" t="s">
        <v>67</v>
      </c>
      <c r="E15668" s="10" t="s">
        <v>2945</v>
      </c>
      <c r="F15668" s="9" t="s">
        <v>2946</v>
      </c>
      <c r="G15668" s="10" t="s">
        <v>21</v>
      </c>
      <c r="H15668" s="9" t="s">
        <v>22</v>
      </c>
      <c r="I15668" s="9" t="s">
        <v>31551</v>
      </c>
      <c r="J15668" s="10" t="str">
        <f>HYPERLINK("https://www.boe.es/gazeta/dias/1834/05/29/pdfs/GMD-1834-98.pdf#page=3","Abrir facsímil")</f>
        <v>Abrir facsímil</v>
      </c>
      <c r="K15668" s="10" t="s">
        <v>24</v>
      </c>
    </row>
    <row r="15669" spans="1:11" ht="54" customHeight="1">
      <c r="A15669" s="9" t="s">
        <v>31536</v>
      </c>
      <c r="B15669" s="9" t="s">
        <v>31537</v>
      </c>
      <c r="C15669" s="9" t="s">
        <v>90</v>
      </c>
      <c r="D15669" s="9" t="s">
        <v>18</v>
      </c>
      <c r="E15669" s="10" t="s">
        <v>1692</v>
      </c>
      <c r="F15669" s="9" t="s">
        <v>3985</v>
      </c>
      <c r="G15669" s="10" t="s">
        <v>34</v>
      </c>
      <c r="H15669" s="9" t="s">
        <v>22</v>
      </c>
      <c r="I15669" s="9" t="s">
        <v>31552</v>
      </c>
      <c r="J15669" s="10" t="str">
        <f>HYPERLINK("https://www.boe.es/gazeta/dias/1834/07/29/pdfs/GMD-C-1834-162.pdf#page=1","Abrir facsímil")</f>
        <v>Abrir facsímil</v>
      </c>
      <c r="K15669" s="10" t="s">
        <v>24</v>
      </c>
    </row>
    <row r="15670" spans="1:11" ht="54" customHeight="1">
      <c r="A15670" s="9" t="s">
        <v>31536</v>
      </c>
      <c r="B15670" s="9" t="s">
        <v>31537</v>
      </c>
      <c r="C15670" s="9" t="s">
        <v>90</v>
      </c>
      <c r="D15670" s="9" t="s">
        <v>67</v>
      </c>
      <c r="E15670" s="10" t="s">
        <v>1789</v>
      </c>
      <c r="F15670" s="9" t="s">
        <v>31513</v>
      </c>
      <c r="G15670" s="10" t="s">
        <v>34</v>
      </c>
      <c r="H15670" s="9" t="s">
        <v>22</v>
      </c>
      <c r="I15670" s="9" t="s">
        <v>31553</v>
      </c>
      <c r="J15670" s="10" t="str">
        <f>HYPERLINK("https://www.boe.es/gazeta/dias/1834/05/31/pdfs/GMD-1834-101E.pdf#page=1","Abrir facsímil")</f>
        <v>Abrir facsímil</v>
      </c>
      <c r="K15670" s="10" t="s">
        <v>24</v>
      </c>
    </row>
    <row r="15671" spans="1:11" ht="54" customHeight="1">
      <c r="A15671" s="9" t="s">
        <v>31554</v>
      </c>
      <c r="B15671" s="9" t="s">
        <v>31555</v>
      </c>
      <c r="C15671" s="9" t="s">
        <v>17</v>
      </c>
      <c r="D15671" s="9" t="s">
        <v>55</v>
      </c>
      <c r="E15671" s="10" t="s">
        <v>1658</v>
      </c>
      <c r="F15671" s="9" t="s">
        <v>1659</v>
      </c>
      <c r="G15671" s="10" t="s">
        <v>21</v>
      </c>
      <c r="H15671" s="9" t="s">
        <v>22</v>
      </c>
      <c r="I15671" s="9" t="s">
        <v>31556</v>
      </c>
      <c r="J15671" s="10" t="str">
        <f>HYPERLINK("https://www.boe.es/gazeta/dias/1834/04/05/pdfs/GMD-1834-44.pdf#page=3","Abrir facsímil")</f>
        <v>Abrir facsímil</v>
      </c>
      <c r="K15671" s="10" t="s">
        <v>24</v>
      </c>
    </row>
    <row r="15672" spans="1:11" ht="54" customHeight="1">
      <c r="A15672" s="9" t="s">
        <v>31557</v>
      </c>
      <c r="B15672" s="9" t="s">
        <v>31558</v>
      </c>
      <c r="C15672" s="9" t="s">
        <v>66</v>
      </c>
      <c r="D15672" s="9" t="s">
        <v>67</v>
      </c>
      <c r="E15672" s="10" t="s">
        <v>32</v>
      </c>
      <c r="F15672" s="9" t="s">
        <v>7431</v>
      </c>
      <c r="G15672" s="10" t="s">
        <v>34</v>
      </c>
      <c r="H15672" s="9" t="s">
        <v>22</v>
      </c>
      <c r="I15672" s="9" t="s">
        <v>31559</v>
      </c>
      <c r="J15672" s="10" t="str">
        <f>HYPERLINK("https://www.boe.es/gazeta/dias/1834/04/23/pdfs/GMD-C-1834-62.pdf#page=1","Abrir facsímil")</f>
        <v>Abrir facsímil</v>
      </c>
      <c r="K15672" s="10" t="s">
        <v>24</v>
      </c>
    </row>
    <row r="15673" spans="1:11" ht="54" customHeight="1">
      <c r="A15673" s="9" t="s">
        <v>31560</v>
      </c>
      <c r="B15673" s="9" t="s">
        <v>31561</v>
      </c>
      <c r="C15673" s="9" t="s">
        <v>17</v>
      </c>
      <c r="D15673" s="9" t="s">
        <v>18</v>
      </c>
      <c r="E15673" s="10" t="s">
        <v>1850</v>
      </c>
      <c r="F15673" s="9" t="s">
        <v>1851</v>
      </c>
      <c r="G15673" s="10" t="s">
        <v>560</v>
      </c>
      <c r="H15673" s="9" t="s">
        <v>22</v>
      </c>
      <c r="I15673" s="9" t="s">
        <v>31562</v>
      </c>
      <c r="J15673" s="10" t="str">
        <f>HYPERLINK("https://www.boe.es/gazeta/dias/1834/02/18/pdfs/GMD-1834-22.pdf#page=7","Abrir facsímil")</f>
        <v>Abrir facsímil</v>
      </c>
      <c r="K15673" s="10" t="s">
        <v>24</v>
      </c>
    </row>
    <row r="15674" spans="1:11" ht="54" customHeight="1">
      <c r="A15674" s="9" t="s">
        <v>31563</v>
      </c>
      <c r="B15674" s="9" t="s">
        <v>31564</v>
      </c>
      <c r="C15674" s="9" t="s">
        <v>66</v>
      </c>
      <c r="D15674" s="9" t="s">
        <v>67</v>
      </c>
      <c r="E15674" s="10" t="s">
        <v>1510</v>
      </c>
      <c r="F15674" s="9" t="s">
        <v>1511</v>
      </c>
      <c r="G15674" s="10" t="s">
        <v>75</v>
      </c>
      <c r="H15674" s="9" t="s">
        <v>22</v>
      </c>
      <c r="I15674" s="9" t="s">
        <v>31565</v>
      </c>
      <c r="J15674" s="10" t="str">
        <f>HYPERLINK("https://www.boe.es/gazeta/dias/1834/06/13/pdfs/GMD-1834-116.pdf#page=4","Abrir facsímil")</f>
        <v>Abrir facsímil</v>
      </c>
      <c r="K15674" s="10" t="s">
        <v>24</v>
      </c>
    </row>
    <row r="15675" spans="1:11" ht="54" customHeight="1">
      <c r="A15675" s="9" t="s">
        <v>31566</v>
      </c>
      <c r="B15675" s="9" t="s">
        <v>31567</v>
      </c>
      <c r="C15675" s="9" t="s">
        <v>17</v>
      </c>
      <c r="D15675" s="9" t="s">
        <v>18</v>
      </c>
      <c r="E15675" s="10" t="s">
        <v>4237</v>
      </c>
      <c r="F15675" s="9" t="s">
        <v>4238</v>
      </c>
      <c r="G15675" s="10" t="s">
        <v>21</v>
      </c>
      <c r="H15675" s="9" t="s">
        <v>22</v>
      </c>
      <c r="I15675" s="9" t="s">
        <v>31568</v>
      </c>
      <c r="J15675" s="10" t="str">
        <f>HYPERLINK("https://www.boe.es/gazeta/dias/1834/06/17/pdfs/GMD-1834-120.pdf#page=3","Abrir facsímil")</f>
        <v>Abrir facsímil</v>
      </c>
      <c r="K15675" s="10" t="s">
        <v>24</v>
      </c>
    </row>
    <row r="15676" spans="1:11" ht="54" customHeight="1">
      <c r="A15676" s="9" t="s">
        <v>31569</v>
      </c>
      <c r="B15676" s="9" t="s">
        <v>31570</v>
      </c>
      <c r="C15676" s="9" t="s">
        <v>46</v>
      </c>
      <c r="D15676" s="9" t="s">
        <v>101</v>
      </c>
      <c r="E15676" s="10" t="s">
        <v>1125</v>
      </c>
      <c r="F15676" s="9" t="s">
        <v>2490</v>
      </c>
      <c r="G15676" s="10" t="s">
        <v>560</v>
      </c>
      <c r="H15676" s="9" t="s">
        <v>22</v>
      </c>
      <c r="I15676" s="9" t="s">
        <v>31571</v>
      </c>
      <c r="J15676" s="10" t="str">
        <f>HYPERLINK("https://www.boe.es/gazeta/dias/1834/04/17/pdfs/GMD-1834-56.pdf#page=7","Abrir facsímil")</f>
        <v>Abrir facsímil</v>
      </c>
      <c r="K15676" s="10" t="s">
        <v>24</v>
      </c>
    </row>
    <row r="15677" spans="1:11" ht="54" customHeight="1">
      <c r="A15677" s="9" t="s">
        <v>31572</v>
      </c>
      <c r="B15677" s="9" t="s">
        <v>31573</v>
      </c>
      <c r="C15677" s="9" t="s">
        <v>122</v>
      </c>
      <c r="D15677" s="9" t="s">
        <v>40</v>
      </c>
      <c r="E15677" s="10" t="s">
        <v>268</v>
      </c>
      <c r="F15677" s="9" t="s">
        <v>3529</v>
      </c>
      <c r="G15677" s="10" t="s">
        <v>75</v>
      </c>
      <c r="H15677" s="9" t="s">
        <v>22</v>
      </c>
      <c r="I15677" s="9" t="s">
        <v>31574</v>
      </c>
      <c r="J15677" s="10" t="str">
        <f>HYPERLINK("https://www.boe.es/gazeta/dias/1834/12/19/pdfs/GMD-1834-309.pdf#page=4","Abrir facsímil")</f>
        <v>Abrir facsímil</v>
      </c>
      <c r="K15677" s="10" t="s">
        <v>24</v>
      </c>
    </row>
    <row r="15678" spans="1:11" ht="54" customHeight="1">
      <c r="A15678" s="9" t="s">
        <v>31575</v>
      </c>
      <c r="B15678" s="9" t="s">
        <v>31575</v>
      </c>
      <c r="C15678" s="9" t="s">
        <v>90</v>
      </c>
      <c r="D15678" s="9" t="s">
        <v>18</v>
      </c>
      <c r="E15678" s="10" t="s">
        <v>2596</v>
      </c>
      <c r="F15678" s="9" t="s">
        <v>5480</v>
      </c>
      <c r="G15678" s="10" t="s">
        <v>86</v>
      </c>
      <c r="H15678" s="9" t="s">
        <v>22</v>
      </c>
      <c r="I15678" s="9" t="s">
        <v>31576</v>
      </c>
      <c r="J15678" s="10" t="str">
        <f>HYPERLINK("https://www.boe.es/gazeta/dias/1834/10/22/pdfs/GMD-C-1834-250.pdf#page=2","Abrir facsímil")</f>
        <v>Abrir facsímil</v>
      </c>
      <c r="K15678" s="10" t="s">
        <v>24</v>
      </c>
    </row>
    <row r="15679" spans="1:11" ht="54" customHeight="1">
      <c r="A15679" s="9" t="s">
        <v>31575</v>
      </c>
      <c r="B15679" s="9" t="s">
        <v>31575</v>
      </c>
      <c r="C15679" s="9" t="s">
        <v>66</v>
      </c>
      <c r="D15679" s="9" t="s">
        <v>67</v>
      </c>
      <c r="E15679" s="10" t="s">
        <v>280</v>
      </c>
      <c r="F15679" s="9" t="s">
        <v>3217</v>
      </c>
      <c r="G15679" s="10" t="s">
        <v>75</v>
      </c>
      <c r="H15679" s="9" t="s">
        <v>22</v>
      </c>
      <c r="I15679" s="9" t="s">
        <v>31577</v>
      </c>
      <c r="J15679" s="10" t="str">
        <f>HYPERLINK("https://www.boe.es/gazeta/dias/1834/08/29/pdfs/GMD-1834-195.pdf#page=4","Abrir facsímil")</f>
        <v>Abrir facsímil</v>
      </c>
      <c r="K15679" s="10" t="s">
        <v>24</v>
      </c>
    </row>
    <row r="15680" spans="1:11" ht="54" customHeight="1">
      <c r="A15680" s="9" t="s">
        <v>31575</v>
      </c>
      <c r="B15680" s="9" t="s">
        <v>31575</v>
      </c>
      <c r="C15680" s="9" t="s">
        <v>90</v>
      </c>
      <c r="D15680" s="9" t="s">
        <v>18</v>
      </c>
      <c r="E15680" s="10" t="s">
        <v>2526</v>
      </c>
      <c r="F15680" s="9" t="s">
        <v>2527</v>
      </c>
      <c r="G15680" s="10" t="s">
        <v>86</v>
      </c>
      <c r="H15680" s="9" t="s">
        <v>22</v>
      </c>
      <c r="I15680" s="9" t="s">
        <v>31578</v>
      </c>
      <c r="J15680" s="10" t="str">
        <f>HYPERLINK("https://www.boe.es/gazeta/dias/1834/12/29/pdfs/GMD-C-1834-319.pdf#page=2","Abrir facsímil")</f>
        <v>Abrir facsímil</v>
      </c>
      <c r="K15680" s="10" t="s">
        <v>24</v>
      </c>
    </row>
    <row r="15681" spans="1:11" ht="54" customHeight="1">
      <c r="A15681" s="9" t="s">
        <v>31575</v>
      </c>
      <c r="B15681" s="9" t="s">
        <v>31575</v>
      </c>
      <c r="C15681" s="9" t="s">
        <v>66</v>
      </c>
      <c r="D15681" s="9" t="s">
        <v>67</v>
      </c>
      <c r="E15681" s="10" t="s">
        <v>192</v>
      </c>
      <c r="F15681" s="9" t="s">
        <v>2713</v>
      </c>
      <c r="G15681" s="10" t="s">
        <v>21</v>
      </c>
      <c r="H15681" s="9" t="s">
        <v>22</v>
      </c>
      <c r="I15681" s="9" t="s">
        <v>31579</v>
      </c>
      <c r="J15681" s="10" t="str">
        <f>HYPERLINK("https://www.boe.es/gazeta/dias/1834/12/31/pdfs/GMD-C-1834-321.pdf#page=3","Abrir facsímil")</f>
        <v>Abrir facsímil</v>
      </c>
      <c r="K15681" s="10" t="s">
        <v>24</v>
      </c>
    </row>
    <row r="15682" spans="1:11" ht="54" customHeight="1">
      <c r="A15682" s="9" t="s">
        <v>31580</v>
      </c>
      <c r="B15682" s="9" t="s">
        <v>31581</v>
      </c>
      <c r="C15682" s="9" t="s">
        <v>122</v>
      </c>
      <c r="D15682" s="9" t="s">
        <v>18</v>
      </c>
      <c r="E15682" s="10" t="s">
        <v>758</v>
      </c>
      <c r="F15682" s="9" t="s">
        <v>759</v>
      </c>
      <c r="G15682" s="10" t="s">
        <v>34</v>
      </c>
      <c r="H15682" s="9" t="s">
        <v>22</v>
      </c>
      <c r="I15682" s="9" t="s">
        <v>31582</v>
      </c>
      <c r="J15682" s="10" t="str">
        <f>HYPERLINK("https://www.boe.es/gazeta/dias/1834/01/04/pdfs/GMD-1834-3.pdf#page=1","Abrir facsímil")</f>
        <v>Abrir facsímil</v>
      </c>
      <c r="K15682" s="10" t="s">
        <v>24</v>
      </c>
    </row>
    <row r="15683" spans="1:11" ht="54" customHeight="1">
      <c r="A15683" s="9" t="s">
        <v>31580</v>
      </c>
      <c r="B15683" s="9" t="s">
        <v>31581</v>
      </c>
      <c r="C15683" s="9" t="s">
        <v>90</v>
      </c>
      <c r="D15683" s="9" t="s">
        <v>18</v>
      </c>
      <c r="E15683" s="10" t="s">
        <v>1747</v>
      </c>
      <c r="F15683" s="9" t="s">
        <v>1748</v>
      </c>
      <c r="G15683" s="10" t="s">
        <v>34</v>
      </c>
      <c r="H15683" s="9" t="s">
        <v>22</v>
      </c>
      <c r="I15683" s="9" t="s">
        <v>31583</v>
      </c>
      <c r="J15683" s="10" t="str">
        <f>HYPERLINK("https://www.boe.es/gazeta/dias/1834/06/29/pdfs/GMD-1834-132.pdf#page=1","Abrir facsímil")</f>
        <v>Abrir facsímil</v>
      </c>
      <c r="K15683" s="10" t="s">
        <v>24</v>
      </c>
    </row>
    <row r="15684" spans="1:11" ht="54" customHeight="1">
      <c r="A15684" s="9" t="s">
        <v>31584</v>
      </c>
      <c r="B15684" s="9" t="s">
        <v>31585</v>
      </c>
      <c r="C15684" s="9" t="s">
        <v>122</v>
      </c>
      <c r="D15684" s="9" t="s">
        <v>18</v>
      </c>
      <c r="E15684" s="10" t="s">
        <v>1025</v>
      </c>
      <c r="F15684" s="9" t="s">
        <v>1026</v>
      </c>
      <c r="G15684" s="10" t="s">
        <v>21</v>
      </c>
      <c r="H15684" s="9" t="s">
        <v>22</v>
      </c>
      <c r="I15684" s="9" t="s">
        <v>31586</v>
      </c>
      <c r="J15684" s="10" t="str">
        <f>HYPERLINK("https://www.boe.es/gazeta/dias/1834/03/01/pdfs/GMD-1834-27.pdf#page=3","Abrir facsímil")</f>
        <v>Abrir facsímil</v>
      </c>
      <c r="K15684" s="10" t="s">
        <v>24</v>
      </c>
    </row>
    <row r="15685" spans="1:11" ht="54" customHeight="1">
      <c r="A15685" s="9" t="s">
        <v>31584</v>
      </c>
      <c r="B15685" s="9" t="s">
        <v>31585</v>
      </c>
      <c r="C15685" s="9" t="s">
        <v>17</v>
      </c>
      <c r="D15685" s="9" t="s">
        <v>18</v>
      </c>
      <c r="E15685" s="10" t="s">
        <v>734</v>
      </c>
      <c r="F15685" s="9" t="s">
        <v>735</v>
      </c>
      <c r="G15685" s="10" t="s">
        <v>21</v>
      </c>
      <c r="H15685" s="9" t="s">
        <v>22</v>
      </c>
      <c r="I15685" s="9" t="s">
        <v>31587</v>
      </c>
      <c r="J15685" s="10" t="str">
        <f>HYPERLINK("https://www.boe.es/gazeta/dias/1834/05/06/pdfs/GMD-1834-75.pdf#page=3","Abrir facsímil")</f>
        <v>Abrir facsímil</v>
      </c>
      <c r="K15685" s="10" t="s">
        <v>24</v>
      </c>
    </row>
    <row r="15686" spans="1:11" ht="54" customHeight="1">
      <c r="A15686" s="9" t="s">
        <v>31588</v>
      </c>
      <c r="B15686" s="9" t="s">
        <v>31589</v>
      </c>
      <c r="C15686" s="9" t="s">
        <v>17</v>
      </c>
      <c r="D15686" s="9" t="s">
        <v>18</v>
      </c>
      <c r="E15686" s="10" t="s">
        <v>222</v>
      </c>
      <c r="F15686" s="9" t="s">
        <v>223</v>
      </c>
      <c r="G15686" s="10" t="s">
        <v>21</v>
      </c>
      <c r="H15686" s="9" t="s">
        <v>22</v>
      </c>
      <c r="I15686" s="9" t="s">
        <v>31590</v>
      </c>
      <c r="J15686" s="10" t="str">
        <f>HYPERLINK("https://www.boe.es/gazeta/dias/1834/09/14/pdfs/GMD-1834-212.pdf#page=3","Abrir facsímil")</f>
        <v>Abrir facsímil</v>
      </c>
      <c r="K15686" s="10" t="s">
        <v>24</v>
      </c>
    </row>
    <row r="15687" spans="1:11" ht="54" customHeight="1">
      <c r="A15687" s="9" t="s">
        <v>31588</v>
      </c>
      <c r="B15687" s="9" t="s">
        <v>31589</v>
      </c>
      <c r="C15687" s="9" t="s">
        <v>17</v>
      </c>
      <c r="D15687" s="9" t="s">
        <v>18</v>
      </c>
      <c r="E15687" s="10" t="s">
        <v>863</v>
      </c>
      <c r="F15687" s="9" t="s">
        <v>864</v>
      </c>
      <c r="G15687" s="10" t="s">
        <v>21</v>
      </c>
      <c r="H15687" s="9" t="s">
        <v>22</v>
      </c>
      <c r="I15687" s="9" t="s">
        <v>31591</v>
      </c>
      <c r="J15687" s="10" t="str">
        <f>HYPERLINK("https://www.boe.es/gazeta/dias/1834/09/15/pdfs/GMD-1834-213.pdf#page=3","Abrir facsímil")</f>
        <v>Abrir facsímil</v>
      </c>
      <c r="K15687" s="10" t="s">
        <v>24</v>
      </c>
    </row>
    <row r="15688" spans="1:11" ht="54" customHeight="1">
      <c r="A15688" s="9" t="s">
        <v>31592</v>
      </c>
      <c r="B15688" s="9" t="s">
        <v>31593</v>
      </c>
      <c r="C15688" s="9" t="s">
        <v>17</v>
      </c>
      <c r="D15688" s="9" t="s">
        <v>40</v>
      </c>
      <c r="E15688" s="10" t="s">
        <v>2748</v>
      </c>
      <c r="F15688" s="9" t="s">
        <v>2749</v>
      </c>
      <c r="G15688" s="10" t="s">
        <v>75</v>
      </c>
      <c r="H15688" s="9" t="s">
        <v>35</v>
      </c>
      <c r="I15688" s="9" t="s">
        <v>31594</v>
      </c>
      <c r="J15688" s="10" t="str">
        <f>HYPERLINK("https://www.boe.es/gazeta/dias/1834/01/09/pdfs/GMD-1834-5.pdf#page=4","Abrir facsímil")</f>
        <v>Abrir facsímil</v>
      </c>
      <c r="K15688" s="10" t="s">
        <v>37</v>
      </c>
    </row>
    <row r="15689" spans="1:11" ht="54" customHeight="1">
      <c r="A15689" s="9" t="s">
        <v>31595</v>
      </c>
      <c r="B15689" s="9" t="s">
        <v>31596</v>
      </c>
      <c r="C15689" s="9" t="s">
        <v>90</v>
      </c>
      <c r="D15689" s="9" t="s">
        <v>18</v>
      </c>
      <c r="E15689" s="10" t="s">
        <v>73</v>
      </c>
      <c r="F15689" s="9" t="s">
        <v>74</v>
      </c>
      <c r="G15689" s="10" t="s">
        <v>86</v>
      </c>
      <c r="H15689" s="9" t="s">
        <v>35</v>
      </c>
      <c r="I15689" s="9" t="s">
        <v>31597</v>
      </c>
      <c r="J15689" s="10" t="str">
        <f>HYPERLINK("https://www.boe.es/gazeta/dias/1834/11/04/pdfs/GMD-1834-263.pdf#page=2","Abrir facsímil")</f>
        <v>Abrir facsímil</v>
      </c>
      <c r="K15689" s="10" t="s">
        <v>37</v>
      </c>
    </row>
    <row r="15690" spans="1:11" ht="54" customHeight="1">
      <c r="A15690" s="9" t="s">
        <v>31598</v>
      </c>
      <c r="B15690" s="9" t="s">
        <v>31599</v>
      </c>
      <c r="C15690" s="9" t="s">
        <v>17</v>
      </c>
      <c r="D15690" s="9" t="s">
        <v>18</v>
      </c>
      <c r="E15690" s="10" t="s">
        <v>3952</v>
      </c>
      <c r="F15690" s="9" t="s">
        <v>3953</v>
      </c>
      <c r="G15690" s="10" t="s">
        <v>34</v>
      </c>
      <c r="H15690" s="9" t="s">
        <v>22</v>
      </c>
      <c r="I15690" s="9" t="s">
        <v>31600</v>
      </c>
      <c r="J15690" s="10" t="str">
        <f>HYPERLINK("https://www.boe.es/gazeta/dias/1834/02/22/pdfs/GMD-1834-24.pdf#page=1","Abrir facsímil")</f>
        <v>Abrir facsímil</v>
      </c>
      <c r="K15690" s="10" t="s">
        <v>24</v>
      </c>
    </row>
    <row r="15691" spans="1:11" ht="54" customHeight="1">
      <c r="A15691" s="9" t="s">
        <v>31601</v>
      </c>
      <c r="B15691" s="9" t="s">
        <v>31602</v>
      </c>
      <c r="C15691" s="9" t="s">
        <v>90</v>
      </c>
      <c r="D15691" s="9" t="s">
        <v>18</v>
      </c>
      <c r="E15691" s="10" t="s">
        <v>73</v>
      </c>
      <c r="F15691" s="9" t="s">
        <v>74</v>
      </c>
      <c r="G15691" s="10" t="s">
        <v>86</v>
      </c>
      <c r="H15691" s="9" t="s">
        <v>22</v>
      </c>
      <c r="I15691" s="9" t="s">
        <v>31603</v>
      </c>
      <c r="J15691" s="10" t="str">
        <f>HYPERLINK("https://www.boe.es/gazeta/dias/1834/11/04/pdfs/GMD-1834-263.pdf#page=2","Abrir facsímil")</f>
        <v>Abrir facsímil</v>
      </c>
      <c r="K15691" s="10" t="s">
        <v>24</v>
      </c>
    </row>
    <row r="15692" spans="1:11" ht="54" customHeight="1">
      <c r="A15692" s="9" t="s">
        <v>31604</v>
      </c>
      <c r="B15692" s="9" t="s">
        <v>31605</v>
      </c>
      <c r="C15692" s="9" t="s">
        <v>17</v>
      </c>
      <c r="D15692" s="9" t="s">
        <v>18</v>
      </c>
      <c r="E15692" s="10" t="s">
        <v>1337</v>
      </c>
      <c r="F15692" s="9" t="s">
        <v>1338</v>
      </c>
      <c r="G15692" s="10" t="s">
        <v>21</v>
      </c>
      <c r="H15692" s="9" t="s">
        <v>22</v>
      </c>
      <c r="I15692" s="9" t="s">
        <v>31606</v>
      </c>
      <c r="J15692" s="10" t="str">
        <f>HYPERLINK("https://www.boe.es/gazeta/dias/1834/01/02/pdfs/GMD-1834-1.pdf#page=3","Abrir facsímil")</f>
        <v>Abrir facsímil</v>
      </c>
      <c r="K15692" s="10" t="s">
        <v>24</v>
      </c>
    </row>
    <row r="15693" spans="1:11" ht="54" customHeight="1">
      <c r="A15693" s="9" t="s">
        <v>31607</v>
      </c>
      <c r="B15693" s="9" t="s">
        <v>31608</v>
      </c>
      <c r="C15693" s="9" t="s">
        <v>17</v>
      </c>
      <c r="D15693" s="9" t="s">
        <v>18</v>
      </c>
      <c r="E15693" s="10" t="s">
        <v>280</v>
      </c>
      <c r="F15693" s="9" t="s">
        <v>3217</v>
      </c>
      <c r="G15693" s="10" t="s">
        <v>21</v>
      </c>
      <c r="H15693" s="9" t="s">
        <v>22</v>
      </c>
      <c r="I15693" s="9" t="s">
        <v>31609</v>
      </c>
      <c r="J15693" s="10" t="str">
        <f>HYPERLINK("https://www.boe.es/gazeta/dias/1834/08/29/pdfs/GMD-1834-195.pdf#page=3","Abrir facsímil")</f>
        <v>Abrir facsímil</v>
      </c>
      <c r="K15693" s="10" t="s">
        <v>24</v>
      </c>
    </row>
    <row r="15694" spans="1:11" ht="54" customHeight="1">
      <c r="A15694" s="9" t="s">
        <v>31610</v>
      </c>
      <c r="B15694" s="9" t="s">
        <v>31611</v>
      </c>
      <c r="C15694" s="9" t="s">
        <v>17</v>
      </c>
      <c r="D15694" s="9" t="s">
        <v>18</v>
      </c>
      <c r="E15694" s="10" t="s">
        <v>367</v>
      </c>
      <c r="F15694" s="9" t="s">
        <v>368</v>
      </c>
      <c r="G15694" s="10" t="s">
        <v>75</v>
      </c>
      <c r="H15694" s="9" t="s">
        <v>22</v>
      </c>
      <c r="I15694" s="9" t="s">
        <v>31612</v>
      </c>
      <c r="J15694" s="10" t="str">
        <f>HYPERLINK("https://www.boe.es/gazeta/dias/1834/05/19/pdfs/GMD-1834-88.pdf#page=4","Abrir facsímil")</f>
        <v>Abrir facsímil</v>
      </c>
      <c r="K15694" s="10" t="s">
        <v>24</v>
      </c>
    </row>
    <row r="15695" spans="1:11" ht="54" customHeight="1">
      <c r="A15695" s="9" t="s">
        <v>31613</v>
      </c>
      <c r="B15695" s="9" t="s">
        <v>31614</v>
      </c>
      <c r="C15695" s="9" t="s">
        <v>17</v>
      </c>
      <c r="D15695" s="9" t="s">
        <v>40</v>
      </c>
      <c r="E15695" s="10" t="s">
        <v>2748</v>
      </c>
      <c r="F15695" s="9" t="s">
        <v>2749</v>
      </c>
      <c r="G15695" s="10" t="s">
        <v>75</v>
      </c>
      <c r="H15695" s="9" t="s">
        <v>22</v>
      </c>
      <c r="I15695" s="9" t="s">
        <v>31615</v>
      </c>
      <c r="J15695" s="10" t="str">
        <f>HYPERLINK("https://www.boe.es/gazeta/dias/1834/01/09/pdfs/GMD-1834-5.pdf#page=4","Abrir facsímil")</f>
        <v>Abrir facsímil</v>
      </c>
      <c r="K15695" s="10" t="s">
        <v>24</v>
      </c>
    </row>
    <row r="15696" spans="1:11" ht="54" customHeight="1">
      <c r="A15696" s="9" t="s">
        <v>31616</v>
      </c>
      <c r="B15696" s="9" t="s">
        <v>31617</v>
      </c>
      <c r="C15696" s="9" t="s">
        <v>17</v>
      </c>
      <c r="D15696" s="9" t="s">
        <v>18</v>
      </c>
      <c r="E15696" s="10" t="s">
        <v>8346</v>
      </c>
      <c r="F15696" s="9" t="s">
        <v>8347</v>
      </c>
      <c r="G15696" s="10" t="s">
        <v>21</v>
      </c>
      <c r="H15696" s="9" t="s">
        <v>22</v>
      </c>
      <c r="I15696" s="9" t="s">
        <v>31618</v>
      </c>
      <c r="J15696" s="10" t="str">
        <f>HYPERLINK("https://www.boe.es/gazeta/dias/1834/12/04/pdfs/GMD-1834-293.pdf#page=3","Abrir facsímil")</f>
        <v>Abrir facsímil</v>
      </c>
      <c r="K15696" s="10" t="s">
        <v>24</v>
      </c>
    </row>
    <row r="15697" spans="1:11" ht="54" customHeight="1">
      <c r="A15697" s="9" t="s">
        <v>31619</v>
      </c>
      <c r="B15697" s="9" t="s">
        <v>31620</v>
      </c>
      <c r="C15697" s="9" t="s">
        <v>66</v>
      </c>
      <c r="D15697" s="9" t="s">
        <v>67</v>
      </c>
      <c r="E15697" s="10" t="s">
        <v>601</v>
      </c>
      <c r="F15697" s="9" t="s">
        <v>602</v>
      </c>
      <c r="G15697" s="10" t="s">
        <v>75</v>
      </c>
      <c r="H15697" s="9" t="s">
        <v>22</v>
      </c>
      <c r="I15697" s="9" t="s">
        <v>31621</v>
      </c>
      <c r="J15697" s="10" t="str">
        <f>HYPERLINK("https://www.boe.es/gazeta/dias/1834/08/16/pdfs/GMD-1834-181.pdf#page=4","Abrir facsímil")</f>
        <v>Abrir facsímil</v>
      </c>
      <c r="K15697" s="10" t="s">
        <v>24</v>
      </c>
    </row>
    <row r="15698" spans="1:11" ht="54" customHeight="1">
      <c r="A15698" s="9" t="s">
        <v>31622</v>
      </c>
      <c r="B15698" s="9" t="s">
        <v>31623</v>
      </c>
      <c r="C15698" s="9" t="s">
        <v>17</v>
      </c>
      <c r="D15698" s="9" t="s">
        <v>18</v>
      </c>
      <c r="E15698" s="10" t="s">
        <v>2053</v>
      </c>
      <c r="F15698" s="9" t="s">
        <v>2054</v>
      </c>
      <c r="G15698" s="10" t="s">
        <v>21</v>
      </c>
      <c r="H15698" s="9" t="s">
        <v>22</v>
      </c>
      <c r="I15698" s="9" t="s">
        <v>31624</v>
      </c>
      <c r="J15698" s="10" t="str">
        <f>HYPERLINK("https://www.boe.es/gazeta/dias/1834/06/02/pdfs/GMD-1834-103.pdf#page=3","Abrir facsímil")</f>
        <v>Abrir facsímil</v>
      </c>
      <c r="K15698" s="10" t="s">
        <v>24</v>
      </c>
    </row>
    <row r="15699" spans="1:11" ht="54" customHeight="1">
      <c r="A15699" s="9" t="s">
        <v>31622</v>
      </c>
      <c r="B15699" s="9" t="s">
        <v>31623</v>
      </c>
      <c r="C15699" s="9" t="s">
        <v>90</v>
      </c>
      <c r="D15699" s="9" t="s">
        <v>67</v>
      </c>
      <c r="E15699" s="10" t="s">
        <v>348</v>
      </c>
      <c r="F15699" s="9" t="s">
        <v>501</v>
      </c>
      <c r="G15699" s="10" t="s">
        <v>21</v>
      </c>
      <c r="H15699" s="9" t="s">
        <v>22</v>
      </c>
      <c r="I15699" s="9" t="s">
        <v>31625</v>
      </c>
      <c r="J15699" s="10" t="str">
        <f>HYPERLINK("https://www.boe.es/gazeta/dias/1834/06/12/pdfs/GMD-1834-115.pdf#page=3","Abrir facsímil")</f>
        <v>Abrir facsímil</v>
      </c>
      <c r="K15699" s="10" t="s">
        <v>24</v>
      </c>
    </row>
    <row r="15700" spans="1:11" ht="54" customHeight="1">
      <c r="A15700" s="9" t="s">
        <v>31626</v>
      </c>
      <c r="B15700" s="9" t="s">
        <v>31627</v>
      </c>
      <c r="C15700" s="9" t="s">
        <v>90</v>
      </c>
      <c r="D15700" s="9" t="s">
        <v>67</v>
      </c>
      <c r="E15700" s="10" t="s">
        <v>1103</v>
      </c>
      <c r="F15700" s="9" t="s">
        <v>1259</v>
      </c>
      <c r="G15700" s="10" t="s">
        <v>21</v>
      </c>
      <c r="H15700" s="9" t="s">
        <v>22</v>
      </c>
      <c r="I15700" s="9" t="s">
        <v>31628</v>
      </c>
      <c r="J15700" s="10" t="str">
        <f>HYPERLINK("https://www.boe.es/gazeta/dias/1834/10/10/pdfs/GMD-1834-238.pdf#page=3","Abrir facsímil")</f>
        <v>Abrir facsímil</v>
      </c>
      <c r="K15700" s="10" t="s">
        <v>24</v>
      </c>
    </row>
    <row r="15701" spans="1:11" ht="54" customHeight="1">
      <c r="A15701" s="9" t="s">
        <v>31629</v>
      </c>
      <c r="B15701" s="9" t="s">
        <v>31630</v>
      </c>
      <c r="C15701" s="9" t="s">
        <v>17</v>
      </c>
      <c r="D15701" s="9" t="s">
        <v>18</v>
      </c>
      <c r="E15701" s="10" t="s">
        <v>19</v>
      </c>
      <c r="F15701" s="9" t="s">
        <v>107</v>
      </c>
      <c r="G15701" s="10" t="s">
        <v>75</v>
      </c>
      <c r="H15701" s="9" t="s">
        <v>22</v>
      </c>
      <c r="I15701" s="9" t="s">
        <v>31631</v>
      </c>
      <c r="J15701" s="10" t="str">
        <f>HYPERLINK("https://www.boe.es/gazeta/dias/1834/08/17/pdfs/GMD-1834-182.pdf#page=4","Abrir facsímil")</f>
        <v>Abrir facsímil</v>
      </c>
      <c r="K15701" s="10" t="s">
        <v>24</v>
      </c>
    </row>
    <row r="15702" spans="1:11" ht="54" customHeight="1">
      <c r="A15702" s="9" t="s">
        <v>31632</v>
      </c>
      <c r="B15702" s="9" t="s">
        <v>31633</v>
      </c>
      <c r="C15702" s="9" t="s">
        <v>122</v>
      </c>
      <c r="D15702" s="9" t="s">
        <v>18</v>
      </c>
      <c r="E15702" s="10" t="s">
        <v>1119</v>
      </c>
      <c r="F15702" s="9" t="s">
        <v>1120</v>
      </c>
      <c r="G15702" s="10" t="s">
        <v>21</v>
      </c>
      <c r="H15702" s="9" t="s">
        <v>22</v>
      </c>
      <c r="I15702" s="9" t="s">
        <v>31634</v>
      </c>
      <c r="J15702" s="10" t="str">
        <f>HYPERLINK("https://www.boe.es/gazeta/dias/1834/07/17/pdfs/GMD-1834-150.pdf#page=3","Abrir facsímil")</f>
        <v>Abrir facsímil</v>
      </c>
      <c r="K15702" s="10" t="s">
        <v>24</v>
      </c>
    </row>
    <row r="15703" spans="1:11" ht="54" customHeight="1">
      <c r="A15703" s="9" t="s">
        <v>31635</v>
      </c>
      <c r="B15703" s="9" t="s">
        <v>31635</v>
      </c>
      <c r="C15703" s="9" t="s">
        <v>17</v>
      </c>
      <c r="D15703" s="9" t="s">
        <v>18</v>
      </c>
      <c r="E15703" s="10" t="s">
        <v>4527</v>
      </c>
      <c r="F15703" s="9" t="s">
        <v>4528</v>
      </c>
      <c r="G15703" s="10" t="s">
        <v>86</v>
      </c>
      <c r="H15703" s="9" t="s">
        <v>22</v>
      </c>
      <c r="I15703" s="9" t="s">
        <v>31636</v>
      </c>
      <c r="J15703" s="10" t="str">
        <f>HYPERLINK("https://www.boe.es/gazeta/dias/1834/05/03/pdfs/GMD-1834-72.pdf#page=2","Abrir facsímil")</f>
        <v>Abrir facsímil</v>
      </c>
      <c r="K15703" s="10" t="s">
        <v>24</v>
      </c>
    </row>
    <row r="15704" spans="1:11" ht="54" customHeight="1">
      <c r="A15704" s="9" t="s">
        <v>31637</v>
      </c>
      <c r="B15704" s="9" t="s">
        <v>31638</v>
      </c>
      <c r="C15704" s="9" t="s">
        <v>90</v>
      </c>
      <c r="D15704" s="9" t="s">
        <v>18</v>
      </c>
      <c r="E15704" s="10" t="s">
        <v>73</v>
      </c>
      <c r="F15704" s="9" t="s">
        <v>74</v>
      </c>
      <c r="G15704" s="10" t="s">
        <v>75</v>
      </c>
      <c r="H15704" s="9" t="s">
        <v>22</v>
      </c>
      <c r="I15704" s="9" t="s">
        <v>31639</v>
      </c>
      <c r="J15704" s="10" t="str">
        <f>HYPERLINK("https://www.boe.es/gazeta/dias/1834/11/04/pdfs/GMD-1834-263.pdf#page=4","Abrir facsímil")</f>
        <v>Abrir facsímil</v>
      </c>
      <c r="K15704" s="10" t="s">
        <v>24</v>
      </c>
    </row>
    <row r="15705" spans="1:11" ht="54" customHeight="1">
      <c r="A15705" s="9" t="s">
        <v>31640</v>
      </c>
      <c r="B15705" s="9" t="s">
        <v>31640</v>
      </c>
      <c r="C15705" s="9" t="s">
        <v>17</v>
      </c>
      <c r="D15705" s="9" t="s">
        <v>18</v>
      </c>
      <c r="E15705" s="10" t="s">
        <v>2241</v>
      </c>
      <c r="F15705" s="9" t="s">
        <v>2242</v>
      </c>
      <c r="G15705" s="10" t="s">
        <v>86</v>
      </c>
      <c r="H15705" s="9" t="s">
        <v>22</v>
      </c>
      <c r="I15705" s="9" t="s">
        <v>31641</v>
      </c>
      <c r="J15705" s="10" t="str">
        <f>HYPERLINK("https://www.boe.es/gazeta/dias/1834/03/11/pdfs/GMD-1834-31.pdf#page=2","Abrir facsímil")</f>
        <v>Abrir facsímil</v>
      </c>
      <c r="K15705" s="10" t="s">
        <v>24</v>
      </c>
    </row>
    <row r="15706" spans="1:11" ht="54" customHeight="1">
      <c r="A15706" s="9" t="s">
        <v>31642</v>
      </c>
      <c r="B15706" s="9" t="s">
        <v>31642</v>
      </c>
      <c r="C15706" s="9" t="s">
        <v>17</v>
      </c>
      <c r="D15706" s="9" t="s">
        <v>18</v>
      </c>
      <c r="E15706" s="10" t="s">
        <v>2241</v>
      </c>
      <c r="F15706" s="9" t="s">
        <v>2242</v>
      </c>
      <c r="G15706" s="10" t="s">
        <v>86</v>
      </c>
      <c r="H15706" s="9" t="s">
        <v>22</v>
      </c>
      <c r="I15706" s="9" t="s">
        <v>31643</v>
      </c>
      <c r="J15706" s="10" t="str">
        <f>HYPERLINK("https://www.boe.es/gazeta/dias/1834/03/11/pdfs/GMD-1834-31.pdf#page=2","Abrir facsímil")</f>
        <v>Abrir facsímil</v>
      </c>
      <c r="K15706" s="10" t="s">
        <v>24</v>
      </c>
    </row>
    <row r="15707" spans="1:11" ht="54" customHeight="1">
      <c r="A15707" s="9" t="s">
        <v>31644</v>
      </c>
      <c r="B15707" s="9" t="s">
        <v>31645</v>
      </c>
      <c r="C15707" s="9" t="s">
        <v>17</v>
      </c>
      <c r="D15707" s="9" t="s">
        <v>18</v>
      </c>
      <c r="E15707" s="10" t="s">
        <v>280</v>
      </c>
      <c r="F15707" s="9" t="s">
        <v>3217</v>
      </c>
      <c r="G15707" s="10" t="s">
        <v>21</v>
      </c>
      <c r="H15707" s="9" t="s">
        <v>22</v>
      </c>
      <c r="I15707" s="9" t="s">
        <v>31646</v>
      </c>
      <c r="J15707" s="10" t="str">
        <f>HYPERLINK("https://www.boe.es/gazeta/dias/1834/08/29/pdfs/GMD-1834-195.pdf#page=3","Abrir facsímil")</f>
        <v>Abrir facsímil</v>
      </c>
      <c r="K15707" s="10" t="s">
        <v>24</v>
      </c>
    </row>
    <row r="15708" spans="1:11" ht="54" customHeight="1">
      <c r="A15708" s="9" t="s">
        <v>31647</v>
      </c>
      <c r="B15708" s="9" t="s">
        <v>31648</v>
      </c>
      <c r="C15708" s="9" t="s">
        <v>17</v>
      </c>
      <c r="D15708" s="9" t="s">
        <v>18</v>
      </c>
      <c r="E15708" s="10" t="s">
        <v>690</v>
      </c>
      <c r="F15708" s="9" t="s">
        <v>691</v>
      </c>
      <c r="G15708" s="10" t="s">
        <v>176</v>
      </c>
      <c r="H15708" s="9" t="s">
        <v>22</v>
      </c>
      <c r="I15708" s="9" t="s">
        <v>31649</v>
      </c>
      <c r="J15708" s="10" t="str">
        <f>HYPERLINK("https://www.boe.es/gazeta/dias/1834/09/03/pdfs/GMD-C-1834-201.pdf#page=6","Abrir facsímil")</f>
        <v>Abrir facsímil</v>
      </c>
      <c r="K15708" s="10" t="s">
        <v>24</v>
      </c>
    </row>
    <row r="15709" spans="1:11" ht="54" customHeight="1">
      <c r="A15709" s="9" t="s">
        <v>31650</v>
      </c>
      <c r="B15709" s="9" t="s">
        <v>31650</v>
      </c>
      <c r="C15709" s="9" t="s">
        <v>122</v>
      </c>
      <c r="D15709" s="9" t="s">
        <v>55</v>
      </c>
      <c r="E15709" s="10" t="s">
        <v>262</v>
      </c>
      <c r="F15709" s="9" t="s">
        <v>7012</v>
      </c>
      <c r="G15709" s="10" t="s">
        <v>34</v>
      </c>
      <c r="H15709" s="9" t="s">
        <v>22</v>
      </c>
      <c r="I15709" s="9" t="s">
        <v>31651</v>
      </c>
      <c r="J15709" s="10" t="str">
        <f>HYPERLINK("https://www.boe.es/gazeta/dias/1834/10/18/pdfs/GMD-1834-246.pdf#page=1","Abrir facsímil")</f>
        <v>Abrir facsímil</v>
      </c>
      <c r="K15709" s="10" t="s">
        <v>24</v>
      </c>
    </row>
    <row r="15710" spans="1:11" ht="54" customHeight="1">
      <c r="A15710" s="9" t="s">
        <v>31652</v>
      </c>
      <c r="B15710" s="9" t="s">
        <v>31653</v>
      </c>
      <c r="C15710" s="9" t="s">
        <v>90</v>
      </c>
      <c r="D15710" s="9" t="s">
        <v>18</v>
      </c>
      <c r="E15710" s="10" t="s">
        <v>658</v>
      </c>
      <c r="F15710" s="9" t="s">
        <v>659</v>
      </c>
      <c r="G15710" s="10" t="s">
        <v>34</v>
      </c>
      <c r="H15710" s="9" t="s">
        <v>22</v>
      </c>
      <c r="I15710" s="9" t="s">
        <v>31654</v>
      </c>
      <c r="J15710" s="10" t="str">
        <f>HYPERLINK("https://www.boe.es/gazeta/dias/1834/05/26/pdfs/GMD-1834-95.pdf#page=1","Abrir facsímil")</f>
        <v>Abrir facsímil</v>
      </c>
      <c r="K15710" s="10" t="s">
        <v>24</v>
      </c>
    </row>
    <row r="15711" spans="1:11" ht="54" customHeight="1">
      <c r="A15711" s="9" t="s">
        <v>31655</v>
      </c>
      <c r="B15711" s="9" t="s">
        <v>31656</v>
      </c>
      <c r="C15711" s="9" t="s">
        <v>17</v>
      </c>
      <c r="D15711" s="9" t="s">
        <v>101</v>
      </c>
      <c r="E15711" s="10" t="s">
        <v>56</v>
      </c>
      <c r="F15711" s="9" t="s">
        <v>57</v>
      </c>
      <c r="G15711" s="10" t="s">
        <v>75</v>
      </c>
      <c r="H15711" s="9" t="s">
        <v>35</v>
      </c>
      <c r="I15711" s="9" t="s">
        <v>31657</v>
      </c>
      <c r="J15711" s="10" t="str">
        <f>HYPERLINK("https://www.boe.es/gazeta/dias/1834/07/09/pdfs/GMD-1834-142.pdf#page=4","Abrir facsímil")</f>
        <v>Abrir facsímil</v>
      </c>
      <c r="K15711" s="10" t="s">
        <v>37</v>
      </c>
    </row>
    <row r="15712" spans="1:11" ht="54" customHeight="1">
      <c r="A15712" s="9" t="s">
        <v>31658</v>
      </c>
      <c r="B15712" s="9" t="s">
        <v>31659</v>
      </c>
      <c r="C15712" s="9" t="s">
        <v>17</v>
      </c>
      <c r="D15712" s="9" t="s">
        <v>18</v>
      </c>
      <c r="E15712" s="10" t="s">
        <v>403</v>
      </c>
      <c r="F15712" s="9" t="s">
        <v>3456</v>
      </c>
      <c r="G15712" s="10" t="s">
        <v>21</v>
      </c>
      <c r="H15712" s="9" t="s">
        <v>22</v>
      </c>
      <c r="I15712" s="9" t="s">
        <v>31660</v>
      </c>
      <c r="J15712" s="10" t="str">
        <f>HYPERLINK("https://www.boe.es/gazeta/dias/1834/09/25/pdfs/GMD-1834-223.pdf#page=3","Abrir facsímil")</f>
        <v>Abrir facsímil</v>
      </c>
      <c r="K15712" s="10" t="s">
        <v>24</v>
      </c>
    </row>
    <row r="15713" spans="1:11" ht="54" customHeight="1">
      <c r="A15713" s="9" t="s">
        <v>31661</v>
      </c>
      <c r="B15713" s="9" t="s">
        <v>31661</v>
      </c>
      <c r="C15713" s="9" t="s">
        <v>17</v>
      </c>
      <c r="D15713" s="9" t="s">
        <v>18</v>
      </c>
      <c r="E15713" s="10" t="s">
        <v>1265</v>
      </c>
      <c r="F15713" s="9" t="s">
        <v>1266</v>
      </c>
      <c r="G15713" s="10" t="s">
        <v>34</v>
      </c>
      <c r="H15713" s="9" t="s">
        <v>22</v>
      </c>
      <c r="I15713" s="9" t="s">
        <v>31662</v>
      </c>
      <c r="J15713" s="10" t="str">
        <f>HYPERLINK("https://www.boe.es/gazeta/dias/1834/09/08/pdfs/GMD-1834-206.pdf#page=1","Abrir facsímil")</f>
        <v>Abrir facsímil</v>
      </c>
      <c r="K15713" s="10" t="s">
        <v>24</v>
      </c>
    </row>
    <row r="15714" spans="1:11" ht="54" customHeight="1">
      <c r="A15714" s="9" t="s">
        <v>31663</v>
      </c>
      <c r="B15714" s="9" t="s">
        <v>31663</v>
      </c>
      <c r="C15714" s="9" t="s">
        <v>122</v>
      </c>
      <c r="D15714" s="9" t="s">
        <v>18</v>
      </c>
      <c r="E15714" s="10" t="s">
        <v>658</v>
      </c>
      <c r="F15714" s="9" t="s">
        <v>2167</v>
      </c>
      <c r="G15714" s="10" t="s">
        <v>34</v>
      </c>
      <c r="H15714" s="9" t="s">
        <v>22</v>
      </c>
      <c r="I15714" s="9" t="s">
        <v>31664</v>
      </c>
      <c r="J15714" s="10" t="str">
        <f>HYPERLINK("https://www.boe.es/gazeta/dias/1834/05/26/pdfs/C00001-00001.pdf#page=1","Abrir facsímil")</f>
        <v>Abrir facsímil</v>
      </c>
      <c r="K15714" s="10" t="s">
        <v>24</v>
      </c>
    </row>
    <row r="15715" spans="1:11" ht="54" customHeight="1">
      <c r="A15715" s="9" t="s">
        <v>31665</v>
      </c>
      <c r="B15715" s="9" t="s">
        <v>31666</v>
      </c>
      <c r="C15715" s="9" t="s">
        <v>66</v>
      </c>
      <c r="D15715" s="9" t="s">
        <v>67</v>
      </c>
      <c r="E15715" s="10" t="s">
        <v>1572</v>
      </c>
      <c r="F15715" s="9" t="s">
        <v>1573</v>
      </c>
      <c r="G15715" s="10" t="s">
        <v>176</v>
      </c>
      <c r="H15715" s="9" t="s">
        <v>22</v>
      </c>
      <c r="I15715" s="9" t="s">
        <v>31667</v>
      </c>
      <c r="J15715" s="10" t="str">
        <f>HYPERLINK("https://www.boe.es/gazeta/dias/1834/03/20/pdfs/GMD-1834-35.pdf#page=6","Abrir facsímil")</f>
        <v>Abrir facsímil</v>
      </c>
      <c r="K15715" s="10" t="s">
        <v>24</v>
      </c>
    </row>
    <row r="15716" spans="1:11" ht="54" customHeight="1">
      <c r="A15716" s="9" t="s">
        <v>31668</v>
      </c>
      <c r="B15716" s="9" t="s">
        <v>31668</v>
      </c>
      <c r="C15716" s="9" t="s">
        <v>17</v>
      </c>
      <c r="D15716" s="9" t="s">
        <v>18</v>
      </c>
      <c r="E15716" s="10" t="s">
        <v>2398</v>
      </c>
      <c r="F15716" s="9" t="s">
        <v>2399</v>
      </c>
      <c r="G15716" s="10" t="s">
        <v>75</v>
      </c>
      <c r="H15716" s="9" t="s">
        <v>22</v>
      </c>
      <c r="I15716" s="9" t="s">
        <v>31669</v>
      </c>
      <c r="J15716" s="10" t="str">
        <f>HYPERLINK("https://www.boe.es/gazeta/dias/1834/01/16/pdfs/GMD-1834-8.pdf#page=4","Abrir facsímil")</f>
        <v>Abrir facsímil</v>
      </c>
      <c r="K15716" s="10" t="s">
        <v>24</v>
      </c>
    </row>
    <row r="15717" spans="1:11" ht="54" customHeight="1">
      <c r="A15717" s="9" t="s">
        <v>31670</v>
      </c>
      <c r="B15717" s="9" t="s">
        <v>31670</v>
      </c>
      <c r="C15717" s="9" t="s">
        <v>17</v>
      </c>
      <c r="D15717" s="9" t="s">
        <v>18</v>
      </c>
      <c r="E15717" s="10" t="s">
        <v>627</v>
      </c>
      <c r="F15717" s="9" t="s">
        <v>1013</v>
      </c>
      <c r="G15717" s="10" t="s">
        <v>86</v>
      </c>
      <c r="H15717" s="9" t="s">
        <v>22</v>
      </c>
      <c r="I15717" s="9" t="s">
        <v>31671</v>
      </c>
      <c r="J15717" s="10" t="str">
        <f>HYPERLINK("https://www.boe.es/gazeta/dias/1834/09/22/pdfs/GMD-1834-220.pdf#page=2","Abrir facsímil")</f>
        <v>Abrir facsímil</v>
      </c>
      <c r="K15717" s="10" t="s">
        <v>24</v>
      </c>
    </row>
    <row r="15718" spans="1:11" ht="54" customHeight="1">
      <c r="A15718" s="9" t="s">
        <v>31670</v>
      </c>
      <c r="B15718" s="9" t="s">
        <v>31670</v>
      </c>
      <c r="C15718" s="9" t="s">
        <v>17</v>
      </c>
      <c r="D15718" s="9" t="s">
        <v>18</v>
      </c>
      <c r="E15718" s="10" t="s">
        <v>294</v>
      </c>
      <c r="F15718" s="9" t="s">
        <v>295</v>
      </c>
      <c r="G15718" s="10" t="s">
        <v>86</v>
      </c>
      <c r="H15718" s="9" t="s">
        <v>22</v>
      </c>
      <c r="I15718" s="9" t="s">
        <v>31672</v>
      </c>
      <c r="J15718" s="10" t="str">
        <f>HYPERLINK("https://www.boe.es/gazeta/dias/1834/09/27/pdfs/GMD-1834-225.pdf#page=2","Abrir facsímil")</f>
        <v>Abrir facsímil</v>
      </c>
      <c r="K15718" s="10" t="s">
        <v>24</v>
      </c>
    </row>
    <row r="15719" spans="1:11" ht="54" customHeight="1">
      <c r="A15719" s="9" t="s">
        <v>31673</v>
      </c>
      <c r="B15719" s="9" t="s">
        <v>31674</v>
      </c>
      <c r="C15719" s="9" t="s">
        <v>90</v>
      </c>
      <c r="D15719" s="9" t="s">
        <v>55</v>
      </c>
      <c r="E15719" s="10" t="s">
        <v>251</v>
      </c>
      <c r="F15719" s="9" t="s">
        <v>1278</v>
      </c>
      <c r="G15719" s="10" t="s">
        <v>86</v>
      </c>
      <c r="H15719" s="9" t="s">
        <v>22</v>
      </c>
      <c r="I15719" s="9" t="s">
        <v>31675</v>
      </c>
      <c r="J15719" s="10" t="str">
        <f>HYPERLINK("https://www.boe.es/gazeta/dias/1834/09/26/pdfs/GMD-1834-224.pdf#page=2","Abrir facsímil")</f>
        <v>Abrir facsímil</v>
      </c>
      <c r="K15719" s="10" t="s">
        <v>24</v>
      </c>
    </row>
    <row r="15720" spans="1:11" ht="54" customHeight="1">
      <c r="A15720" s="9" t="s">
        <v>31676</v>
      </c>
      <c r="B15720" s="9" t="s">
        <v>31677</v>
      </c>
      <c r="C15720" s="9" t="s">
        <v>17</v>
      </c>
      <c r="D15720" s="9" t="s">
        <v>18</v>
      </c>
      <c r="E15720" s="10" t="s">
        <v>339</v>
      </c>
      <c r="F15720" s="9" t="s">
        <v>340</v>
      </c>
      <c r="G15720" s="10" t="s">
        <v>21</v>
      </c>
      <c r="H15720" s="9" t="s">
        <v>35</v>
      </c>
      <c r="I15720" s="9" t="s">
        <v>31678</v>
      </c>
      <c r="J15720" s="10" t="str">
        <f>HYPERLINK("https://www.boe.es/gazeta/dias/1834/05/02/pdfs/GMD-1834-71.pdf#page=3","Abrir facsímil")</f>
        <v>Abrir facsímil</v>
      </c>
      <c r="K15720" s="10" t="s">
        <v>37</v>
      </c>
    </row>
    <row r="15721" spans="1:11" ht="54" customHeight="1">
      <c r="A15721" s="9" t="s">
        <v>31679</v>
      </c>
      <c r="B15721" s="9" t="s">
        <v>31680</v>
      </c>
      <c r="C15721" s="9" t="s">
        <v>17</v>
      </c>
      <c r="D15721" s="9" t="s">
        <v>18</v>
      </c>
      <c r="E15721" s="10" t="s">
        <v>339</v>
      </c>
      <c r="F15721" s="9" t="s">
        <v>340</v>
      </c>
      <c r="G15721" s="10" t="s">
        <v>21</v>
      </c>
      <c r="H15721" s="9" t="s">
        <v>22</v>
      </c>
      <c r="I15721" s="9" t="s">
        <v>31681</v>
      </c>
      <c r="J15721" s="10" t="str">
        <f>HYPERLINK("https://www.boe.es/gazeta/dias/1834/05/02/pdfs/GMD-1834-71.pdf#page=3","Abrir facsímil")</f>
        <v>Abrir facsímil</v>
      </c>
      <c r="K15721" s="10" t="s">
        <v>24</v>
      </c>
    </row>
    <row r="15722" spans="1:11" ht="54" customHeight="1">
      <c r="A15722" s="9" t="s">
        <v>31682</v>
      </c>
      <c r="B15722" s="9" t="s">
        <v>31683</v>
      </c>
      <c r="C15722" s="9" t="s">
        <v>17</v>
      </c>
      <c r="D15722" s="9" t="s">
        <v>18</v>
      </c>
      <c r="E15722" s="10" t="s">
        <v>1708</v>
      </c>
      <c r="F15722" s="9" t="s">
        <v>1709</v>
      </c>
      <c r="G15722" s="10" t="s">
        <v>176</v>
      </c>
      <c r="H15722" s="9" t="s">
        <v>22</v>
      </c>
      <c r="I15722" s="9" t="s">
        <v>31684</v>
      </c>
      <c r="J15722" s="10" t="str">
        <f>HYPERLINK("https://www.boe.es/gazeta/dias/1834/04/12/pdfs/GMD-1834-51.pdf#page=6","Abrir facsímil")</f>
        <v>Abrir facsímil</v>
      </c>
      <c r="K15722" s="10" t="s">
        <v>24</v>
      </c>
    </row>
    <row r="15723" spans="1:11" ht="54" customHeight="1">
      <c r="A15723" s="9" t="s">
        <v>31685</v>
      </c>
      <c r="B15723" s="9" t="s">
        <v>31686</v>
      </c>
      <c r="C15723" s="9" t="s">
        <v>17</v>
      </c>
      <c r="D15723" s="9" t="s">
        <v>18</v>
      </c>
      <c r="E15723" s="10" t="s">
        <v>1708</v>
      </c>
      <c r="F15723" s="9" t="s">
        <v>1709</v>
      </c>
      <c r="G15723" s="10" t="s">
        <v>176</v>
      </c>
      <c r="H15723" s="9" t="s">
        <v>35</v>
      </c>
      <c r="I15723" s="9" t="s">
        <v>31687</v>
      </c>
      <c r="J15723" s="10" t="str">
        <f>HYPERLINK("https://www.boe.es/gazeta/dias/1834/04/12/pdfs/GMD-1834-51.pdf#page=6","Abrir facsímil")</f>
        <v>Abrir facsímil</v>
      </c>
      <c r="K15723" s="10" t="s">
        <v>37</v>
      </c>
    </row>
    <row r="15724" spans="1:11" ht="54" customHeight="1">
      <c r="A15724" s="9" t="s">
        <v>31688</v>
      </c>
      <c r="B15724" s="9" t="s">
        <v>31688</v>
      </c>
      <c r="C15724" s="9" t="s">
        <v>17</v>
      </c>
      <c r="D15724" s="9" t="s">
        <v>18</v>
      </c>
      <c r="E15724" s="10" t="s">
        <v>19</v>
      </c>
      <c r="F15724" s="9" t="s">
        <v>20</v>
      </c>
      <c r="G15724" s="10" t="s">
        <v>21</v>
      </c>
      <c r="H15724" s="9" t="s">
        <v>22</v>
      </c>
      <c r="I15724" s="9" t="s">
        <v>31689</v>
      </c>
      <c r="J15724" s="10" t="str">
        <f>HYPERLINK("https://www.boe.es/gazeta/dias/1834/08/17/pdfs/GMD-D-1834-182.pdf#page=3","Abrir facsímil")</f>
        <v>Abrir facsímil</v>
      </c>
      <c r="K15724" s="10" t="s">
        <v>24</v>
      </c>
    </row>
    <row r="15725" spans="1:11" ht="54" customHeight="1">
      <c r="A15725" s="9" t="s">
        <v>31690</v>
      </c>
      <c r="B15725" s="9" t="s">
        <v>31691</v>
      </c>
      <c r="C15725" s="9" t="s">
        <v>122</v>
      </c>
      <c r="D15725" s="9" t="s">
        <v>18</v>
      </c>
      <c r="E15725" s="10" t="s">
        <v>375</v>
      </c>
      <c r="F15725" s="9" t="s">
        <v>4983</v>
      </c>
      <c r="G15725" s="10" t="s">
        <v>86</v>
      </c>
      <c r="H15725" s="9" t="s">
        <v>35</v>
      </c>
      <c r="I15725" s="9" t="s">
        <v>31692</v>
      </c>
      <c r="J15725" s="10" t="str">
        <f>HYPERLINK("https://www.boe.es/gazeta/dias/1834/08/21/pdfs/GMD-C-1834-187.pdf#page=2","Abrir facsímil")</f>
        <v>Abrir facsímil</v>
      </c>
      <c r="K15725" s="10" t="s">
        <v>37</v>
      </c>
    </row>
    <row r="15726" spans="1:11" ht="54" customHeight="1">
      <c r="A15726" s="9" t="s">
        <v>31693</v>
      </c>
      <c r="B15726" s="9" t="s">
        <v>31694</v>
      </c>
      <c r="C15726" s="9" t="s">
        <v>46</v>
      </c>
      <c r="D15726" s="9" t="s">
        <v>101</v>
      </c>
      <c r="E15726" s="10" t="s">
        <v>1094</v>
      </c>
      <c r="F15726" s="9" t="s">
        <v>1095</v>
      </c>
      <c r="G15726" s="10" t="s">
        <v>75</v>
      </c>
      <c r="H15726" s="9" t="s">
        <v>22</v>
      </c>
      <c r="I15726" s="9" t="s">
        <v>31695</v>
      </c>
      <c r="J15726" s="10" t="str">
        <f>HYPERLINK("https://www.boe.es/gazeta/dias/1834/07/13/pdfs/GMD-1834-146.pdf#page=4","Abrir facsímil")</f>
        <v>Abrir facsímil</v>
      </c>
      <c r="K15726" s="10" t="s">
        <v>24</v>
      </c>
    </row>
    <row r="15727" spans="1:11" ht="54" customHeight="1">
      <c r="A15727" s="9" t="s">
        <v>31693</v>
      </c>
      <c r="B15727" s="9" t="s">
        <v>31694</v>
      </c>
      <c r="C15727" s="9" t="s">
        <v>90</v>
      </c>
      <c r="D15727" s="9" t="s">
        <v>18</v>
      </c>
      <c r="E15727" s="10" t="s">
        <v>615</v>
      </c>
      <c r="F15727" s="9" t="s">
        <v>1205</v>
      </c>
      <c r="G15727" s="10" t="s">
        <v>86</v>
      </c>
      <c r="H15727" s="9" t="s">
        <v>22</v>
      </c>
      <c r="I15727" s="9" t="s">
        <v>31696</v>
      </c>
      <c r="J15727" s="10" t="str">
        <f>HYPERLINK("https://www.boe.es/gazeta/dias/1834/08/19/pdfs/GMD-D-1834-185.pdf#page=2","Abrir facsímil")</f>
        <v>Abrir facsímil</v>
      </c>
      <c r="K15727" s="10" t="s">
        <v>24</v>
      </c>
    </row>
    <row r="15728" spans="1:11" ht="54" customHeight="1">
      <c r="A15728" s="9" t="s">
        <v>31693</v>
      </c>
      <c r="B15728" s="9" t="s">
        <v>31694</v>
      </c>
      <c r="C15728" s="9" t="s">
        <v>122</v>
      </c>
      <c r="D15728" s="9" t="s">
        <v>18</v>
      </c>
      <c r="E15728" s="10" t="s">
        <v>375</v>
      </c>
      <c r="F15728" s="9" t="s">
        <v>4983</v>
      </c>
      <c r="G15728" s="10" t="s">
        <v>86</v>
      </c>
      <c r="H15728" s="9" t="s">
        <v>22</v>
      </c>
      <c r="I15728" s="9" t="s">
        <v>31697</v>
      </c>
      <c r="J15728" s="10" t="str">
        <f>HYPERLINK("https://www.boe.es/gazeta/dias/1834/08/21/pdfs/GMD-C-1834-187.pdf#page=2","Abrir facsímil")</f>
        <v>Abrir facsímil</v>
      </c>
      <c r="K15728" s="10" t="s">
        <v>24</v>
      </c>
    </row>
    <row r="15729" spans="1:11" ht="54" customHeight="1">
      <c r="A15729" s="9" t="s">
        <v>31698</v>
      </c>
      <c r="B15729" s="9" t="s">
        <v>31698</v>
      </c>
      <c r="C15729" s="9" t="s">
        <v>66</v>
      </c>
      <c r="D15729" s="9" t="s">
        <v>67</v>
      </c>
      <c r="E15729" s="10" t="s">
        <v>563</v>
      </c>
      <c r="F15729" s="9" t="s">
        <v>564</v>
      </c>
      <c r="G15729" s="10" t="s">
        <v>86</v>
      </c>
      <c r="H15729" s="9" t="s">
        <v>22</v>
      </c>
      <c r="I15729" s="9" t="s">
        <v>31699</v>
      </c>
      <c r="J15729" s="10" t="str">
        <f>HYPERLINK("https://www.boe.es/gazeta/dias/1834/04/19/pdfs/GMD-1834-58.pdf#page=2","Abrir facsímil")</f>
        <v>Abrir facsímil</v>
      </c>
      <c r="K15729" s="10" t="s">
        <v>24</v>
      </c>
    </row>
    <row r="15730" spans="1:11" ht="54" customHeight="1">
      <c r="A15730" s="9" t="s">
        <v>31698</v>
      </c>
      <c r="B15730" s="9" t="s">
        <v>31698</v>
      </c>
      <c r="C15730" s="9" t="s">
        <v>17</v>
      </c>
      <c r="D15730" s="9" t="s">
        <v>40</v>
      </c>
      <c r="E15730" s="10" t="s">
        <v>1680</v>
      </c>
      <c r="F15730" s="9" t="s">
        <v>1681</v>
      </c>
      <c r="G15730" s="10" t="s">
        <v>86</v>
      </c>
      <c r="H15730" s="9" t="s">
        <v>22</v>
      </c>
      <c r="I15730" s="9" t="s">
        <v>31700</v>
      </c>
      <c r="J15730" s="10" t="str">
        <f>HYPERLINK("https://www.boe.es/gazeta/dias/1834/02/27/pdfs/GMD-1834-26.pdf#page=2","Abrir facsímil")</f>
        <v>Abrir facsímil</v>
      </c>
      <c r="K15730" s="10" t="s">
        <v>24</v>
      </c>
    </row>
    <row r="15731" spans="1:11" ht="54" customHeight="1">
      <c r="A15731" s="9" t="s">
        <v>31701</v>
      </c>
      <c r="B15731" s="9" t="s">
        <v>31701</v>
      </c>
      <c r="C15731" s="9" t="s">
        <v>17</v>
      </c>
      <c r="D15731" s="9" t="s">
        <v>18</v>
      </c>
      <c r="E15731" s="10" t="s">
        <v>378</v>
      </c>
      <c r="F15731" s="9" t="s">
        <v>888</v>
      </c>
      <c r="G15731" s="10" t="s">
        <v>86</v>
      </c>
      <c r="H15731" s="9" t="s">
        <v>22</v>
      </c>
      <c r="I15731" s="9" t="s">
        <v>31702</v>
      </c>
      <c r="J15731" s="10" t="str">
        <f>HYPERLINK("https://www.boe.es/gazeta/dias/1834/09/24/pdfs/GMD-C-1834-222.pdf#page=2","Abrir facsímil")</f>
        <v>Abrir facsímil</v>
      </c>
      <c r="K15731" s="10" t="s">
        <v>24</v>
      </c>
    </row>
    <row r="15732" spans="1:11" ht="54" customHeight="1">
      <c r="A15732" s="9" t="s">
        <v>31703</v>
      </c>
      <c r="B15732" s="9" t="s">
        <v>31704</v>
      </c>
      <c r="C15732" s="9" t="s">
        <v>90</v>
      </c>
      <c r="D15732" s="9" t="s">
        <v>55</v>
      </c>
      <c r="E15732" s="10" t="s">
        <v>251</v>
      </c>
      <c r="F15732" s="9" t="s">
        <v>1278</v>
      </c>
      <c r="G15732" s="10" t="s">
        <v>86</v>
      </c>
      <c r="H15732" s="9" t="s">
        <v>22</v>
      </c>
      <c r="I15732" s="9" t="s">
        <v>31705</v>
      </c>
      <c r="J15732" s="10" t="str">
        <f>HYPERLINK("https://www.boe.es/gazeta/dias/1834/09/26/pdfs/GMD-1834-224.pdf#page=2","Abrir facsímil")</f>
        <v>Abrir facsímil</v>
      </c>
      <c r="K15732" s="10" t="s">
        <v>24</v>
      </c>
    </row>
    <row r="15733" spans="1:11" ht="54" customHeight="1">
      <c r="A15733" s="9" t="s">
        <v>31706</v>
      </c>
      <c r="B15733" s="9" t="s">
        <v>31706</v>
      </c>
      <c r="C15733" s="9" t="s">
        <v>17</v>
      </c>
      <c r="D15733" s="9" t="s">
        <v>40</v>
      </c>
      <c r="E15733" s="10" t="s">
        <v>1742</v>
      </c>
      <c r="F15733" s="9" t="s">
        <v>1743</v>
      </c>
      <c r="G15733" s="10" t="s">
        <v>75</v>
      </c>
      <c r="H15733" s="9" t="s">
        <v>22</v>
      </c>
      <c r="I15733" s="9" t="s">
        <v>31707</v>
      </c>
      <c r="J15733" s="10" t="str">
        <f>HYPERLINK("https://www.boe.es/gazeta/dias/1834/11/06/pdfs/GMD-1834-265.pdf#page=4","Abrir facsímil")</f>
        <v>Abrir facsímil</v>
      </c>
      <c r="K15733" s="10" t="s">
        <v>24</v>
      </c>
    </row>
    <row r="15734" spans="1:11" ht="54" customHeight="1">
      <c r="A15734" s="9" t="s">
        <v>31706</v>
      </c>
      <c r="B15734" s="9" t="s">
        <v>31706</v>
      </c>
      <c r="C15734" s="9" t="s">
        <v>17</v>
      </c>
      <c r="D15734" s="9" t="s">
        <v>18</v>
      </c>
      <c r="E15734" s="10" t="s">
        <v>1170</v>
      </c>
      <c r="F15734" s="9" t="s">
        <v>1171</v>
      </c>
      <c r="G15734" s="10" t="s">
        <v>176</v>
      </c>
      <c r="H15734" s="9" t="s">
        <v>22</v>
      </c>
      <c r="I15734" s="9" t="s">
        <v>31708</v>
      </c>
      <c r="J15734" s="10" t="str">
        <f>HYPERLINK("https://www.boe.es/gazeta/dias/1834/01/07/pdfs/GMD-1834-4.pdf#page=6","Abrir facsímil")</f>
        <v>Abrir facsímil</v>
      </c>
      <c r="K15734" s="10" t="s">
        <v>24</v>
      </c>
    </row>
    <row r="15735" spans="1:11" ht="54" customHeight="1">
      <c r="A15735" s="9" t="s">
        <v>31706</v>
      </c>
      <c r="B15735" s="9" t="s">
        <v>31706</v>
      </c>
      <c r="C15735" s="9" t="s">
        <v>122</v>
      </c>
      <c r="D15735" s="9" t="s">
        <v>18</v>
      </c>
      <c r="E15735" s="10" t="s">
        <v>4565</v>
      </c>
      <c r="F15735" s="9" t="s">
        <v>4566</v>
      </c>
      <c r="G15735" s="10" t="s">
        <v>75</v>
      </c>
      <c r="H15735" s="9" t="s">
        <v>22</v>
      </c>
      <c r="I15735" s="9" t="s">
        <v>31709</v>
      </c>
      <c r="J15735" s="10" t="str">
        <f>HYPERLINK("https://www.boe.es/gazeta/dias/1834/07/10/pdfs/GMD-1834-143.pdf#page=4","Abrir facsímil")</f>
        <v>Abrir facsímil</v>
      </c>
      <c r="K15735" s="10" t="s">
        <v>24</v>
      </c>
    </row>
    <row r="15736" spans="1:11" ht="54" customHeight="1">
      <c r="A15736" s="9" t="s">
        <v>31706</v>
      </c>
      <c r="B15736" s="9" t="s">
        <v>31706</v>
      </c>
      <c r="C15736" s="9" t="s">
        <v>66</v>
      </c>
      <c r="D15736" s="9" t="s">
        <v>18</v>
      </c>
      <c r="E15736" s="10" t="s">
        <v>343</v>
      </c>
      <c r="F15736" s="9" t="s">
        <v>344</v>
      </c>
      <c r="G15736" s="10" t="s">
        <v>75</v>
      </c>
      <c r="H15736" s="9" t="s">
        <v>22</v>
      </c>
      <c r="I15736" s="9" t="s">
        <v>31710</v>
      </c>
      <c r="J15736" s="10" t="str">
        <f>HYPERLINK("https://www.boe.es/gazeta/dias/1834/01/14/pdfs/GMD-1834-7.pdf#page=4","Abrir facsímil")</f>
        <v>Abrir facsímil</v>
      </c>
      <c r="K15736" s="10" t="s">
        <v>24</v>
      </c>
    </row>
    <row r="15737" spans="1:11" ht="54" customHeight="1">
      <c r="A15737" s="9" t="s">
        <v>31706</v>
      </c>
      <c r="B15737" s="9" t="s">
        <v>31706</v>
      </c>
      <c r="C15737" s="9" t="s">
        <v>17</v>
      </c>
      <c r="D15737" s="9" t="s">
        <v>55</v>
      </c>
      <c r="E15737" s="10" t="s">
        <v>262</v>
      </c>
      <c r="F15737" s="9" t="s">
        <v>7012</v>
      </c>
      <c r="G15737" s="10" t="s">
        <v>75</v>
      </c>
      <c r="H15737" s="9" t="s">
        <v>22</v>
      </c>
      <c r="I15737" s="9" t="s">
        <v>31711</v>
      </c>
      <c r="J15737" s="10" t="str">
        <f>HYPERLINK("https://www.boe.es/gazeta/dias/1834/10/18/pdfs/GMD-1834-246.pdf#page=4","Abrir facsímil")</f>
        <v>Abrir facsímil</v>
      </c>
      <c r="K15737" s="10" t="s">
        <v>24</v>
      </c>
    </row>
    <row r="15738" spans="1:11" ht="54" customHeight="1">
      <c r="A15738" s="9" t="s">
        <v>31706</v>
      </c>
      <c r="B15738" s="9" t="s">
        <v>31706</v>
      </c>
      <c r="C15738" s="9" t="s">
        <v>122</v>
      </c>
      <c r="D15738" s="9" t="s">
        <v>18</v>
      </c>
      <c r="E15738" s="10" t="s">
        <v>5885</v>
      </c>
      <c r="F15738" s="9" t="s">
        <v>5886</v>
      </c>
      <c r="G15738" s="10" t="s">
        <v>75</v>
      </c>
      <c r="H15738" s="9" t="s">
        <v>22</v>
      </c>
      <c r="I15738" s="9" t="s">
        <v>31712</v>
      </c>
      <c r="J15738" s="10" t="str">
        <f>HYPERLINK("https://www.boe.es/gazeta/dias/1834/05/23/pdfs/GMD-1834-92.pdf#page=4","Abrir facsímil")</f>
        <v>Abrir facsímil</v>
      </c>
      <c r="K15738" s="10" t="s">
        <v>24</v>
      </c>
    </row>
    <row r="15739" spans="1:11" ht="54" customHeight="1">
      <c r="A15739" s="9" t="s">
        <v>31706</v>
      </c>
      <c r="B15739" s="9" t="s">
        <v>31706</v>
      </c>
      <c r="C15739" s="9" t="s">
        <v>122</v>
      </c>
      <c r="D15739" s="9" t="s">
        <v>18</v>
      </c>
      <c r="E15739" s="10" t="s">
        <v>1575</v>
      </c>
      <c r="F15739" s="9" t="s">
        <v>1576</v>
      </c>
      <c r="G15739" s="10" t="s">
        <v>75</v>
      </c>
      <c r="H15739" s="9" t="s">
        <v>22</v>
      </c>
      <c r="I15739" s="9" t="s">
        <v>31713</v>
      </c>
      <c r="J15739" s="10" t="str">
        <f>HYPERLINK("https://www.boe.es/gazeta/dias/1834/11/24/pdfs/GMD-1834-283.pdf#page=4","Abrir facsímil")</f>
        <v>Abrir facsímil</v>
      </c>
      <c r="K15739" s="10" t="s">
        <v>24</v>
      </c>
    </row>
    <row r="15740" spans="1:11" ht="54" customHeight="1">
      <c r="A15740" s="9" t="s">
        <v>31706</v>
      </c>
      <c r="B15740" s="9" t="s">
        <v>31706</v>
      </c>
      <c r="C15740" s="9" t="s">
        <v>122</v>
      </c>
      <c r="D15740" s="9" t="s">
        <v>18</v>
      </c>
      <c r="E15740" s="10" t="s">
        <v>2302</v>
      </c>
      <c r="F15740" s="9" t="s">
        <v>2303</v>
      </c>
      <c r="G15740" s="10" t="s">
        <v>75</v>
      </c>
      <c r="H15740" s="9" t="s">
        <v>22</v>
      </c>
      <c r="I15740" s="9" t="s">
        <v>31714</v>
      </c>
      <c r="J15740" s="10" t="str">
        <f>HYPERLINK("https://www.boe.es/gazeta/dias/1834/01/25/pdfs/GMD-1834-12.pdf#page=4","Abrir facsímil")</f>
        <v>Abrir facsímil</v>
      </c>
      <c r="K15740" s="10" t="s">
        <v>24</v>
      </c>
    </row>
    <row r="15741" spans="1:11" ht="54" customHeight="1">
      <c r="A15741" s="9" t="s">
        <v>31715</v>
      </c>
      <c r="B15741" s="9" t="s">
        <v>31716</v>
      </c>
      <c r="C15741" s="9" t="s">
        <v>17</v>
      </c>
      <c r="D15741" s="9" t="s">
        <v>18</v>
      </c>
      <c r="E15741" s="10" t="s">
        <v>73</v>
      </c>
      <c r="F15741" s="9" t="s">
        <v>74</v>
      </c>
      <c r="G15741" s="10" t="s">
        <v>75</v>
      </c>
      <c r="H15741" s="9" t="s">
        <v>22</v>
      </c>
      <c r="I15741" s="9" t="s">
        <v>31717</v>
      </c>
      <c r="J15741" s="10" t="str">
        <f>HYPERLINK("https://www.boe.es/gazeta/dias/1834/11/04/pdfs/GMD-1834-263.pdf#page=4","Abrir facsímil")</f>
        <v>Abrir facsímil</v>
      </c>
      <c r="K15741" s="10" t="s">
        <v>24</v>
      </c>
    </row>
    <row r="15742" spans="1:11" ht="54" customHeight="1">
      <c r="A15742" s="9" t="s">
        <v>31715</v>
      </c>
      <c r="B15742" s="9" t="s">
        <v>31716</v>
      </c>
      <c r="C15742" s="9" t="s">
        <v>17</v>
      </c>
      <c r="D15742" s="9" t="s">
        <v>18</v>
      </c>
      <c r="E15742" s="10" t="s">
        <v>309</v>
      </c>
      <c r="F15742" s="9" t="s">
        <v>310</v>
      </c>
      <c r="G15742" s="10" t="s">
        <v>34</v>
      </c>
      <c r="H15742" s="9" t="s">
        <v>22</v>
      </c>
      <c r="I15742" s="9" t="s">
        <v>31718</v>
      </c>
      <c r="J15742" s="10" t="str">
        <f>HYPERLINK("https://www.boe.es/gazeta/dias/1834/05/30/pdfs/GMD-1834-99.pdf#page=1","Abrir facsímil")</f>
        <v>Abrir facsímil</v>
      </c>
      <c r="K15742" s="10" t="s">
        <v>24</v>
      </c>
    </row>
    <row r="15743" spans="1:11" ht="54" customHeight="1">
      <c r="A15743" s="9" t="s">
        <v>31719</v>
      </c>
      <c r="B15743" s="9" t="s">
        <v>31720</v>
      </c>
      <c r="C15743" s="9" t="s">
        <v>17</v>
      </c>
      <c r="D15743" s="9" t="s">
        <v>18</v>
      </c>
      <c r="E15743" s="10" t="s">
        <v>1692</v>
      </c>
      <c r="F15743" s="9" t="s">
        <v>1693</v>
      </c>
      <c r="G15743" s="10" t="s">
        <v>21</v>
      </c>
      <c r="H15743" s="9" t="s">
        <v>22</v>
      </c>
      <c r="I15743" s="9" t="s">
        <v>31721</v>
      </c>
      <c r="J15743" s="10" t="str">
        <f>HYPERLINK("https://www.boe.es/gazeta/dias/1834/07/29/pdfs/GMD-1834-162.pdf#page=3","Abrir facsímil")</f>
        <v>Abrir facsímil</v>
      </c>
      <c r="K15743" s="10" t="s">
        <v>24</v>
      </c>
    </row>
    <row r="15744" spans="1:11" ht="54" customHeight="1">
      <c r="A15744" s="9" t="s">
        <v>31722</v>
      </c>
      <c r="B15744" s="9" t="s">
        <v>31723</v>
      </c>
      <c r="C15744" s="9" t="s">
        <v>17</v>
      </c>
      <c r="D15744" s="9" t="s">
        <v>40</v>
      </c>
      <c r="E15744" s="10" t="s">
        <v>753</v>
      </c>
      <c r="F15744" s="9" t="s">
        <v>754</v>
      </c>
      <c r="G15744" s="10" t="s">
        <v>28</v>
      </c>
      <c r="H15744" s="9" t="s">
        <v>22</v>
      </c>
      <c r="I15744" s="9" t="s">
        <v>31724</v>
      </c>
      <c r="J15744" s="10" t="str">
        <f>HYPERLINK("https://www.boe.es/gazeta/dias/1834/04/21/pdfs/GMD-1834-60.pdf#page=5","Abrir facsímil")</f>
        <v>Abrir facsímil</v>
      </c>
      <c r="K15744" s="10" t="s">
        <v>24</v>
      </c>
    </row>
    <row r="15745" spans="1:11" ht="54" customHeight="1">
      <c r="A15745" s="9" t="s">
        <v>31725</v>
      </c>
      <c r="B15745" s="9" t="s">
        <v>31726</v>
      </c>
      <c r="C15745" s="9" t="s">
        <v>66</v>
      </c>
      <c r="D15745" s="9" t="s">
        <v>67</v>
      </c>
      <c r="E15745" s="10" t="s">
        <v>19</v>
      </c>
      <c r="F15745" s="9" t="s">
        <v>107</v>
      </c>
      <c r="G15745" s="10" t="s">
        <v>75</v>
      </c>
      <c r="H15745" s="9" t="s">
        <v>35</v>
      </c>
      <c r="I15745" s="9" t="s">
        <v>31727</v>
      </c>
      <c r="J15745" s="10" t="str">
        <f>HYPERLINK("https://www.boe.es/gazeta/dias/1834/08/17/pdfs/GMD-1834-182.pdf#page=4","Abrir facsímil")</f>
        <v>Abrir facsímil</v>
      </c>
      <c r="K15745" s="10" t="s">
        <v>37</v>
      </c>
    </row>
    <row r="15746" spans="1:11" ht="54" customHeight="1">
      <c r="A15746" s="9" t="s">
        <v>31728</v>
      </c>
      <c r="B15746" s="9" t="s">
        <v>31729</v>
      </c>
      <c r="C15746" s="9" t="s">
        <v>66</v>
      </c>
      <c r="D15746" s="9" t="s">
        <v>67</v>
      </c>
      <c r="E15746" s="10" t="s">
        <v>19</v>
      </c>
      <c r="F15746" s="9" t="s">
        <v>107</v>
      </c>
      <c r="G15746" s="10" t="s">
        <v>75</v>
      </c>
      <c r="H15746" s="9" t="s">
        <v>22</v>
      </c>
      <c r="I15746" s="9" t="s">
        <v>31730</v>
      </c>
      <c r="J15746" s="10" t="str">
        <f>HYPERLINK("https://www.boe.es/gazeta/dias/1834/08/17/pdfs/GMD-1834-182.pdf#page=4","Abrir facsímil")</f>
        <v>Abrir facsímil</v>
      </c>
      <c r="K15746" s="10" t="s">
        <v>24</v>
      </c>
    </row>
    <row r="15747" spans="1:11" ht="54" customHeight="1">
      <c r="A15747" s="9" t="s">
        <v>31731</v>
      </c>
      <c r="B15747" s="9" t="s">
        <v>31731</v>
      </c>
      <c r="C15747" s="9" t="s">
        <v>90</v>
      </c>
      <c r="D15747" s="9" t="s">
        <v>18</v>
      </c>
      <c r="E15747" s="10" t="s">
        <v>3057</v>
      </c>
      <c r="F15747" s="9" t="s">
        <v>3058</v>
      </c>
      <c r="G15747" s="10" t="s">
        <v>21</v>
      </c>
      <c r="H15747" s="9" t="s">
        <v>22</v>
      </c>
      <c r="I15747" s="9" t="s">
        <v>31732</v>
      </c>
      <c r="J15747" s="10" t="str">
        <f>HYPERLINK("https://www.boe.es/gazeta/dias/1834/06/14/pdfs/GMD-1834-117.pdf#page=3","Abrir facsímil")</f>
        <v>Abrir facsímil</v>
      </c>
      <c r="K15747" s="10" t="s">
        <v>24</v>
      </c>
    </row>
    <row r="15748" spans="1:11" ht="54" customHeight="1">
      <c r="A15748" s="9" t="s">
        <v>31733</v>
      </c>
      <c r="B15748" s="9" t="s">
        <v>31734</v>
      </c>
      <c r="C15748" s="9" t="s">
        <v>17</v>
      </c>
      <c r="D15748" s="9" t="s">
        <v>18</v>
      </c>
      <c r="E15748" s="10" t="s">
        <v>1505</v>
      </c>
      <c r="F15748" s="9" t="s">
        <v>1506</v>
      </c>
      <c r="G15748" s="10" t="s">
        <v>75</v>
      </c>
      <c r="H15748" s="9" t="s">
        <v>35</v>
      </c>
      <c r="I15748" s="9" t="s">
        <v>31735</v>
      </c>
      <c r="J15748" s="10" t="str">
        <f>HYPERLINK("https://www.boe.es/gazeta/dias/1834/05/08/pdfs/GMD-1834-77.pdf#page=4","Abrir facsímil")</f>
        <v>Abrir facsímil</v>
      </c>
      <c r="K15748" s="10" t="s">
        <v>37</v>
      </c>
    </row>
    <row r="15749" spans="1:11" ht="54" customHeight="1">
      <c r="A15749" s="9" t="s">
        <v>31736</v>
      </c>
      <c r="B15749" s="9" t="s">
        <v>31737</v>
      </c>
      <c r="C15749" s="9" t="s">
        <v>17</v>
      </c>
      <c r="D15749" s="9" t="s">
        <v>18</v>
      </c>
      <c r="E15749" s="10" t="s">
        <v>1505</v>
      </c>
      <c r="F15749" s="9" t="s">
        <v>1506</v>
      </c>
      <c r="G15749" s="10" t="s">
        <v>75</v>
      </c>
      <c r="H15749" s="9" t="s">
        <v>22</v>
      </c>
      <c r="I15749" s="9" t="s">
        <v>31738</v>
      </c>
      <c r="J15749" s="10" t="str">
        <f>HYPERLINK("https://www.boe.es/gazeta/dias/1834/05/08/pdfs/GMD-1834-77.pdf#page=4","Abrir facsímil")</f>
        <v>Abrir facsímil</v>
      </c>
      <c r="K15749" s="10" t="s">
        <v>24</v>
      </c>
    </row>
    <row r="15750" spans="1:11" ht="54" customHeight="1">
      <c r="A15750" s="9" t="s">
        <v>31739</v>
      </c>
      <c r="B15750" s="9" t="s">
        <v>31740</v>
      </c>
      <c r="C15750" s="9" t="s">
        <v>66</v>
      </c>
      <c r="D15750" s="9" t="s">
        <v>18</v>
      </c>
      <c r="E15750" s="10" t="s">
        <v>813</v>
      </c>
      <c r="F15750" s="9" t="s">
        <v>814</v>
      </c>
      <c r="G15750" s="10" t="s">
        <v>21</v>
      </c>
      <c r="H15750" s="9" t="s">
        <v>22</v>
      </c>
      <c r="I15750" s="9" t="s">
        <v>31741</v>
      </c>
      <c r="J15750" s="10" t="str">
        <f>HYPERLINK("https://www.boe.es/gazeta/dias/1834/08/08/pdfs/GMD-1834-173.pdf#page=3","Abrir facsímil")</f>
        <v>Abrir facsímil</v>
      </c>
      <c r="K15750" s="10" t="s">
        <v>24</v>
      </c>
    </row>
    <row r="15751" spans="1:11" ht="54" customHeight="1">
      <c r="A15751" s="9" t="s">
        <v>31742</v>
      </c>
      <c r="B15751" s="9" t="s">
        <v>31743</v>
      </c>
      <c r="C15751" s="9" t="s">
        <v>17</v>
      </c>
      <c r="D15751" s="9" t="s">
        <v>18</v>
      </c>
      <c r="E15751" s="10" t="s">
        <v>378</v>
      </c>
      <c r="F15751" s="9" t="s">
        <v>379</v>
      </c>
      <c r="G15751" s="10" t="s">
        <v>75</v>
      </c>
      <c r="H15751" s="9" t="s">
        <v>22</v>
      </c>
      <c r="I15751" s="9" t="s">
        <v>31744</v>
      </c>
      <c r="J15751" s="10" t="str">
        <f>HYPERLINK("https://www.boe.es/gazeta/dias/1834/09/24/pdfs/GMD-1834-222.pdf#page=4","Abrir facsímil")</f>
        <v>Abrir facsímil</v>
      </c>
      <c r="K15751" s="10" t="s">
        <v>24</v>
      </c>
    </row>
    <row r="15752" spans="1:11" ht="54" customHeight="1">
      <c r="A15752" s="9" t="s">
        <v>31745</v>
      </c>
      <c r="B15752" s="9" t="s">
        <v>31745</v>
      </c>
      <c r="C15752" s="9" t="s">
        <v>90</v>
      </c>
      <c r="D15752" s="9" t="s">
        <v>18</v>
      </c>
      <c r="E15752" s="10" t="s">
        <v>454</v>
      </c>
      <c r="F15752" s="9" t="s">
        <v>2009</v>
      </c>
      <c r="G15752" s="10" t="s">
        <v>21</v>
      </c>
      <c r="H15752" s="9" t="s">
        <v>22</v>
      </c>
      <c r="I15752" s="9" t="s">
        <v>31746</v>
      </c>
      <c r="J15752" s="10" t="str">
        <f>HYPERLINK("https://www.boe.es/gazeta/dias/1834/10/16/pdfs/GMD-1834-244.pdf#page=3","Abrir facsímil")</f>
        <v>Abrir facsímil</v>
      </c>
      <c r="K15752" s="10" t="s">
        <v>24</v>
      </c>
    </row>
    <row r="15753" spans="1:11" ht="54" customHeight="1">
      <c r="A15753" s="9" t="s">
        <v>31745</v>
      </c>
      <c r="B15753" s="9" t="s">
        <v>31745</v>
      </c>
      <c r="C15753" s="9" t="s">
        <v>17</v>
      </c>
      <c r="D15753" s="9" t="s">
        <v>18</v>
      </c>
      <c r="E15753" s="10" t="s">
        <v>148</v>
      </c>
      <c r="F15753" s="9" t="s">
        <v>149</v>
      </c>
      <c r="G15753" s="10" t="s">
        <v>34</v>
      </c>
      <c r="H15753" s="9" t="s">
        <v>22</v>
      </c>
      <c r="I15753" s="9" t="s">
        <v>31747</v>
      </c>
      <c r="J15753" s="10" t="str">
        <f>HYPERLINK("https://www.boe.es/gazeta/dias/1834/10/20/pdfs/GMD-1834-248.pdf#page=1","Abrir facsímil")</f>
        <v>Abrir facsímil</v>
      </c>
      <c r="K15753" s="10" t="s">
        <v>24</v>
      </c>
    </row>
    <row r="15754" spans="1:11" ht="54" customHeight="1">
      <c r="A15754" s="9" t="s">
        <v>31748</v>
      </c>
      <c r="B15754" s="9" t="s">
        <v>31749</v>
      </c>
      <c r="C15754" s="9" t="s">
        <v>17</v>
      </c>
      <c r="D15754" s="9" t="s">
        <v>18</v>
      </c>
      <c r="E15754" s="10" t="s">
        <v>772</v>
      </c>
      <c r="F15754" s="9" t="s">
        <v>2284</v>
      </c>
      <c r="G15754" s="10" t="s">
        <v>34</v>
      </c>
      <c r="H15754" s="9" t="s">
        <v>35</v>
      </c>
      <c r="I15754" s="9" t="s">
        <v>31750</v>
      </c>
      <c r="J15754" s="10" t="str">
        <f>HYPERLINK("https://www.boe.es/gazeta/dias/1834/09/18/pdfs/GMD-C-1834-216.pdf#page=1","Abrir facsímil")</f>
        <v>Abrir facsímil</v>
      </c>
      <c r="K15754" s="10" t="s">
        <v>37</v>
      </c>
    </row>
    <row r="15755" spans="1:11" ht="54" customHeight="1">
      <c r="A15755" s="9" t="s">
        <v>31751</v>
      </c>
      <c r="B15755" s="9" t="s">
        <v>31752</v>
      </c>
      <c r="C15755" s="9" t="s">
        <v>17</v>
      </c>
      <c r="D15755" s="9" t="s">
        <v>18</v>
      </c>
      <c r="E15755" s="10" t="s">
        <v>772</v>
      </c>
      <c r="F15755" s="9" t="s">
        <v>2284</v>
      </c>
      <c r="G15755" s="10" t="s">
        <v>34</v>
      </c>
      <c r="H15755" s="9" t="s">
        <v>22</v>
      </c>
      <c r="I15755" s="9" t="s">
        <v>31753</v>
      </c>
      <c r="J15755" s="10" t="str">
        <f>HYPERLINK("https://www.boe.es/gazeta/dias/1834/09/18/pdfs/GMD-C-1834-216.pdf#page=1","Abrir facsímil")</f>
        <v>Abrir facsímil</v>
      </c>
      <c r="K15755" s="10" t="s">
        <v>24</v>
      </c>
    </row>
    <row r="15756" spans="1:11" ht="54" customHeight="1">
      <c r="A15756" s="9" t="s">
        <v>31754</v>
      </c>
      <c r="B15756" s="9" t="s">
        <v>31755</v>
      </c>
      <c r="C15756" s="9" t="s">
        <v>66</v>
      </c>
      <c r="D15756" s="9" t="s">
        <v>67</v>
      </c>
      <c r="E15756" s="10" t="s">
        <v>339</v>
      </c>
      <c r="F15756" s="9" t="s">
        <v>340</v>
      </c>
      <c r="G15756" s="10" t="s">
        <v>21</v>
      </c>
      <c r="H15756" s="9" t="s">
        <v>22</v>
      </c>
      <c r="I15756" s="9" t="s">
        <v>31756</v>
      </c>
      <c r="J15756" s="10" t="str">
        <f>HYPERLINK("https://www.boe.es/gazeta/dias/1834/05/02/pdfs/GMD-1834-71.pdf#page=3","Abrir facsímil")</f>
        <v>Abrir facsímil</v>
      </c>
      <c r="K15756" s="10" t="s">
        <v>24</v>
      </c>
    </row>
    <row r="15757" spans="1:11" ht="54" customHeight="1">
      <c r="A15757" s="9" t="s">
        <v>31757</v>
      </c>
      <c r="B15757" s="9" t="s">
        <v>31757</v>
      </c>
      <c r="C15757" s="9" t="s">
        <v>17</v>
      </c>
      <c r="D15757" s="9" t="s">
        <v>101</v>
      </c>
      <c r="E15757" s="10" t="s">
        <v>753</v>
      </c>
      <c r="F15757" s="9" t="s">
        <v>754</v>
      </c>
      <c r="G15757" s="10" t="s">
        <v>21</v>
      </c>
      <c r="H15757" s="9" t="s">
        <v>22</v>
      </c>
      <c r="I15757" s="9" t="s">
        <v>31758</v>
      </c>
      <c r="J15757" s="10" t="str">
        <f>HYPERLINK("https://www.boe.es/gazeta/dias/1834/04/21/pdfs/GMD-1834-60.pdf#page=3","Abrir facsímil")</f>
        <v>Abrir facsímil</v>
      </c>
      <c r="K15757" s="10" t="s">
        <v>24</v>
      </c>
    </row>
    <row r="15758" spans="1:11" ht="54" customHeight="1">
      <c r="A15758" s="9" t="s">
        <v>31759</v>
      </c>
      <c r="B15758" s="9" t="s">
        <v>31760</v>
      </c>
      <c r="C15758" s="9" t="s">
        <v>17</v>
      </c>
      <c r="D15758" s="9" t="s">
        <v>18</v>
      </c>
      <c r="E15758" s="10" t="s">
        <v>563</v>
      </c>
      <c r="F15758" s="9" t="s">
        <v>564</v>
      </c>
      <c r="G15758" s="10" t="s">
        <v>34</v>
      </c>
      <c r="H15758" s="9" t="s">
        <v>22</v>
      </c>
      <c r="I15758" s="9" t="s">
        <v>31761</v>
      </c>
      <c r="J15758" s="10" t="str">
        <f>HYPERLINK("https://www.boe.es/gazeta/dias/1834/04/19/pdfs/GMD-1834-58.pdf#page=1","Abrir facsímil")</f>
        <v>Abrir facsímil</v>
      </c>
      <c r="K15758" s="10" t="s">
        <v>24</v>
      </c>
    </row>
    <row r="15759" spans="1:11" ht="54" customHeight="1">
      <c r="A15759" s="9" t="s">
        <v>31762</v>
      </c>
      <c r="B15759" s="9" t="s">
        <v>31763</v>
      </c>
      <c r="C15759" s="9" t="s">
        <v>122</v>
      </c>
      <c r="D15759" s="9" t="s">
        <v>18</v>
      </c>
      <c r="E15759" s="10" t="s">
        <v>416</v>
      </c>
      <c r="F15759" s="9" t="s">
        <v>1130</v>
      </c>
      <c r="G15759" s="10" t="s">
        <v>75</v>
      </c>
      <c r="H15759" s="9" t="s">
        <v>22</v>
      </c>
      <c r="I15759" s="9" t="s">
        <v>31764</v>
      </c>
      <c r="J15759" s="10" t="str">
        <f>HYPERLINK("https://www.boe.es/gazeta/dias/1834/10/02/pdfs/GMD-1834-230.pdf#page=4","Abrir facsímil")</f>
        <v>Abrir facsímil</v>
      </c>
      <c r="K15759" s="10" t="s">
        <v>24</v>
      </c>
    </row>
    <row r="15760" spans="1:11" ht="54" customHeight="1">
      <c r="A15760" s="9" t="s">
        <v>31762</v>
      </c>
      <c r="B15760" s="9" t="s">
        <v>31763</v>
      </c>
      <c r="C15760" s="9" t="s">
        <v>66</v>
      </c>
      <c r="D15760" s="9" t="s">
        <v>67</v>
      </c>
      <c r="E15760" s="10" t="s">
        <v>2218</v>
      </c>
      <c r="F15760" s="9" t="s">
        <v>2219</v>
      </c>
      <c r="G15760" s="10" t="s">
        <v>34</v>
      </c>
      <c r="H15760" s="9" t="s">
        <v>22</v>
      </c>
      <c r="I15760" s="9" t="s">
        <v>31765</v>
      </c>
      <c r="J15760" s="10" t="str">
        <f>HYPERLINK("https://www.boe.es/gazeta/dias/1834/11/05/pdfs/GMD-1834-264.pdf#page=1","Abrir facsímil")</f>
        <v>Abrir facsímil</v>
      </c>
      <c r="K15760" s="10" t="s">
        <v>24</v>
      </c>
    </row>
    <row r="15761" spans="1:11" ht="54" customHeight="1">
      <c r="A15761" s="9" t="s">
        <v>31762</v>
      </c>
      <c r="B15761" s="9" t="s">
        <v>31763</v>
      </c>
      <c r="C15761" s="9" t="s">
        <v>46</v>
      </c>
      <c r="D15761" s="9" t="s">
        <v>101</v>
      </c>
      <c r="E15761" s="10" t="s">
        <v>3699</v>
      </c>
      <c r="F15761" s="9" t="s">
        <v>3700</v>
      </c>
      <c r="G15761" s="10" t="s">
        <v>34</v>
      </c>
      <c r="H15761" s="9" t="s">
        <v>22</v>
      </c>
      <c r="I15761" s="9" t="s">
        <v>31766</v>
      </c>
      <c r="J15761" s="10" t="str">
        <f>HYPERLINK("https://www.boe.es/gazeta/dias/1834/02/06/pdfs/I00074-00074.pdf#page=1","Abrir facsímil")</f>
        <v>Abrir facsímil</v>
      </c>
      <c r="K15761" s="10" t="s">
        <v>24</v>
      </c>
    </row>
    <row r="15762" spans="1:11" ht="54" customHeight="1">
      <c r="A15762" s="9" t="s">
        <v>31762</v>
      </c>
      <c r="B15762" s="9" t="s">
        <v>31763</v>
      </c>
      <c r="C15762" s="9" t="s">
        <v>46</v>
      </c>
      <c r="D15762" s="9" t="s">
        <v>101</v>
      </c>
      <c r="E15762" s="10" t="s">
        <v>3699</v>
      </c>
      <c r="F15762" s="9" t="s">
        <v>3700</v>
      </c>
      <c r="G15762" s="10" t="s">
        <v>75</v>
      </c>
      <c r="H15762" s="9" t="s">
        <v>22</v>
      </c>
      <c r="I15762" s="9" t="s">
        <v>31767</v>
      </c>
      <c r="J15762" s="10" t="str">
        <f>HYPERLINK("https://www.boe.es/gazeta/dias/1834/02/06/pdfs/GMD-1834-17.pdf#page=4","Abrir facsímil")</f>
        <v>Abrir facsímil</v>
      </c>
      <c r="K15762" s="10" t="s">
        <v>24</v>
      </c>
    </row>
    <row r="15763" spans="1:11" ht="54" customHeight="1">
      <c r="A15763" s="9" t="s">
        <v>31762</v>
      </c>
      <c r="B15763" s="9" t="s">
        <v>31763</v>
      </c>
      <c r="C15763" s="9" t="s">
        <v>90</v>
      </c>
      <c r="D15763" s="9" t="s">
        <v>67</v>
      </c>
      <c r="E15763" s="10" t="s">
        <v>715</v>
      </c>
      <c r="F15763" s="9" t="s">
        <v>7773</v>
      </c>
      <c r="G15763" s="10" t="s">
        <v>34</v>
      </c>
      <c r="H15763" s="9" t="s">
        <v>22</v>
      </c>
      <c r="I15763" s="9" t="s">
        <v>31768</v>
      </c>
      <c r="J15763" s="10" t="str">
        <f>HYPERLINK("https://www.boe.es/gazeta/dias/1834/09/17/pdfs/GMD-1834-215.pdf#page=1","Abrir facsímil")</f>
        <v>Abrir facsímil</v>
      </c>
      <c r="K15763" s="10" t="s">
        <v>24</v>
      </c>
    </row>
    <row r="15764" spans="1:11" ht="54" customHeight="1">
      <c r="A15764" s="9" t="s">
        <v>31762</v>
      </c>
      <c r="B15764" s="9" t="s">
        <v>31763</v>
      </c>
      <c r="C15764" s="9" t="s">
        <v>17</v>
      </c>
      <c r="D15764" s="9" t="s">
        <v>18</v>
      </c>
      <c r="E15764" s="10" t="s">
        <v>183</v>
      </c>
      <c r="F15764" s="9" t="s">
        <v>184</v>
      </c>
      <c r="G15764" s="10" t="s">
        <v>34</v>
      </c>
      <c r="H15764" s="9" t="s">
        <v>22</v>
      </c>
      <c r="I15764" s="9" t="s">
        <v>31769</v>
      </c>
      <c r="J15764" s="10" t="str">
        <f>HYPERLINK("https://www.boe.es/gazeta/dias/1834/03/18/pdfs/GMD-1834-34.pdf#page=1","Abrir facsímil")</f>
        <v>Abrir facsímil</v>
      </c>
      <c r="K15764" s="10" t="s">
        <v>24</v>
      </c>
    </row>
    <row r="15765" spans="1:11" ht="54" customHeight="1">
      <c r="A15765" s="9" t="s">
        <v>31770</v>
      </c>
      <c r="B15765" s="9" t="s">
        <v>31771</v>
      </c>
      <c r="C15765" s="9" t="s">
        <v>17</v>
      </c>
      <c r="D15765" s="9" t="s">
        <v>18</v>
      </c>
      <c r="E15765" s="10" t="s">
        <v>563</v>
      </c>
      <c r="F15765" s="9" t="s">
        <v>564</v>
      </c>
      <c r="G15765" s="10" t="s">
        <v>34</v>
      </c>
      <c r="H15765" s="9" t="s">
        <v>22</v>
      </c>
      <c r="I15765" s="9" t="s">
        <v>31772</v>
      </c>
      <c r="J15765" s="10" t="str">
        <f>HYPERLINK("https://www.boe.es/gazeta/dias/1834/04/19/pdfs/GMD-1834-58.pdf#page=1","Abrir facsímil")</f>
        <v>Abrir facsímil</v>
      </c>
      <c r="K15765" s="10" t="s">
        <v>24</v>
      </c>
    </row>
    <row r="15766" spans="1:11" ht="54" customHeight="1">
      <c r="A15766" s="9" t="s">
        <v>31762</v>
      </c>
      <c r="B15766" s="9" t="s">
        <v>31763</v>
      </c>
      <c r="C15766" s="9" t="s">
        <v>66</v>
      </c>
      <c r="D15766" s="9" t="s">
        <v>67</v>
      </c>
      <c r="E15766" s="10" t="s">
        <v>102</v>
      </c>
      <c r="F15766" s="9" t="s">
        <v>103</v>
      </c>
      <c r="G15766" s="10" t="s">
        <v>34</v>
      </c>
      <c r="H15766" s="9" t="s">
        <v>22</v>
      </c>
      <c r="I15766" s="9" t="s">
        <v>31773</v>
      </c>
      <c r="J15766" s="10" t="str">
        <f>HYPERLINK("https://www.boe.es/gazeta/dias/1834/07/19/pdfs/GMD-1834-152.pdf#page=1","Abrir facsímil")</f>
        <v>Abrir facsímil</v>
      </c>
      <c r="K15766" s="10" t="s">
        <v>24</v>
      </c>
    </row>
    <row r="15767" spans="1:11" ht="54" customHeight="1">
      <c r="A15767" s="9" t="s">
        <v>31762</v>
      </c>
      <c r="B15767" s="9" t="s">
        <v>31763</v>
      </c>
      <c r="C15767" s="9" t="s">
        <v>17</v>
      </c>
      <c r="D15767" s="9" t="s">
        <v>18</v>
      </c>
      <c r="E15767" s="10" t="s">
        <v>3225</v>
      </c>
      <c r="F15767" s="9" t="s">
        <v>3226</v>
      </c>
      <c r="G15767" s="10" t="s">
        <v>86</v>
      </c>
      <c r="H15767" s="9" t="s">
        <v>22</v>
      </c>
      <c r="I15767" s="9" t="s">
        <v>31774</v>
      </c>
      <c r="J15767" s="10" t="str">
        <f>HYPERLINK("https://www.boe.es/gazeta/dias/1834/08/22/pdfs/GMD-1834-188.pdf#page=2","Abrir facsímil")</f>
        <v>Abrir facsímil</v>
      </c>
      <c r="K15767" s="10" t="s">
        <v>24</v>
      </c>
    </row>
    <row r="15768" spans="1:11" ht="54" customHeight="1">
      <c r="A15768" s="9" t="s">
        <v>31762</v>
      </c>
      <c r="B15768" s="9" t="s">
        <v>31763</v>
      </c>
      <c r="C15768" s="9" t="s">
        <v>66</v>
      </c>
      <c r="D15768" s="9" t="s">
        <v>67</v>
      </c>
      <c r="E15768" s="10" t="s">
        <v>1212</v>
      </c>
      <c r="F15768" s="9" t="s">
        <v>1213</v>
      </c>
      <c r="G15768" s="10" t="s">
        <v>34</v>
      </c>
      <c r="H15768" s="9" t="s">
        <v>22</v>
      </c>
      <c r="I15768" s="9" t="s">
        <v>31775</v>
      </c>
      <c r="J15768" s="10" t="str">
        <f>HYPERLINK("https://www.boe.es/gazeta/dias/1834/05/24/pdfs/GMD-1834-93.pdf#page=1","Abrir facsímil")</f>
        <v>Abrir facsímil</v>
      </c>
      <c r="K15768" s="10" t="s">
        <v>24</v>
      </c>
    </row>
    <row r="15769" spans="1:11" ht="54" customHeight="1">
      <c r="A15769" s="9" t="s">
        <v>31762</v>
      </c>
      <c r="B15769" s="9" t="s">
        <v>31763</v>
      </c>
      <c r="C15769" s="9" t="s">
        <v>46</v>
      </c>
      <c r="D15769" s="9" t="s">
        <v>101</v>
      </c>
      <c r="E15769" s="10" t="s">
        <v>3025</v>
      </c>
      <c r="F15769" s="9" t="s">
        <v>3026</v>
      </c>
      <c r="G15769" s="10" t="s">
        <v>21</v>
      </c>
      <c r="H15769" s="9" t="s">
        <v>22</v>
      </c>
      <c r="I15769" s="9" t="s">
        <v>31776</v>
      </c>
      <c r="J15769" s="10" t="str">
        <f>HYPERLINK("https://www.boe.es/gazeta/dias/1834/05/25/pdfs/GMD-1834-94.pdf#page=3","Abrir facsímil")</f>
        <v>Abrir facsímil</v>
      </c>
      <c r="K15769" s="10" t="s">
        <v>24</v>
      </c>
    </row>
    <row r="15770" spans="1:11" ht="54" customHeight="1">
      <c r="A15770" s="9" t="s">
        <v>31762</v>
      </c>
      <c r="B15770" s="9" t="s">
        <v>31763</v>
      </c>
      <c r="C15770" s="9" t="s">
        <v>46</v>
      </c>
      <c r="D15770" s="9" t="s">
        <v>101</v>
      </c>
      <c r="E15770" s="10" t="s">
        <v>1002</v>
      </c>
      <c r="F15770" s="9" t="s">
        <v>1003</v>
      </c>
      <c r="G15770" s="10" t="s">
        <v>34</v>
      </c>
      <c r="H15770" s="9" t="s">
        <v>22</v>
      </c>
      <c r="I15770" s="9" t="s">
        <v>31777</v>
      </c>
      <c r="J15770" s="10" t="str">
        <f>HYPERLINK("https://www.boe.es/gazeta/dias/1834/06/26/pdfs/GMD-1834-129.pdf#page=1","Abrir facsímil")</f>
        <v>Abrir facsímil</v>
      </c>
      <c r="K15770" s="10" t="s">
        <v>24</v>
      </c>
    </row>
    <row r="15771" spans="1:11" ht="54" customHeight="1">
      <c r="A15771" s="9" t="s">
        <v>31762</v>
      </c>
      <c r="B15771" s="9" t="s">
        <v>31763</v>
      </c>
      <c r="C15771" s="9" t="s">
        <v>46</v>
      </c>
      <c r="D15771" s="9" t="s">
        <v>18</v>
      </c>
      <c r="E15771" s="10" t="s">
        <v>468</v>
      </c>
      <c r="F15771" s="9" t="s">
        <v>11413</v>
      </c>
      <c r="G15771" s="10" t="s">
        <v>34</v>
      </c>
      <c r="H15771" s="9" t="s">
        <v>22</v>
      </c>
      <c r="I15771" s="9" t="s">
        <v>31778</v>
      </c>
      <c r="J15771" s="10" t="str">
        <f>HYPERLINK("https://www.boe.es/gazeta/dias/1834/12/28/pdfs/GMD-1834-318.pdf#page=1","Abrir facsímil")</f>
        <v>Abrir facsímil</v>
      </c>
      <c r="K15771" s="10" t="s">
        <v>24</v>
      </c>
    </row>
    <row r="15772" spans="1:11" ht="54" customHeight="1">
      <c r="A15772" s="9" t="s">
        <v>31762</v>
      </c>
      <c r="B15772" s="9" t="s">
        <v>31763</v>
      </c>
      <c r="C15772" s="9" t="s">
        <v>90</v>
      </c>
      <c r="D15772" s="9" t="s">
        <v>101</v>
      </c>
      <c r="E15772" s="10" t="s">
        <v>192</v>
      </c>
      <c r="F15772" s="9" t="s">
        <v>2713</v>
      </c>
      <c r="G15772" s="10" t="s">
        <v>34</v>
      </c>
      <c r="H15772" s="9" t="s">
        <v>22</v>
      </c>
      <c r="I15772" s="9" t="s">
        <v>31779</v>
      </c>
      <c r="J15772" s="10" t="str">
        <f>HYPERLINK("https://www.boe.es/gazeta/dias/1834/12/31/pdfs/GMD-D-1834-321.pdf#page=1","Abrir facsímil")</f>
        <v>Abrir facsímil</v>
      </c>
      <c r="K15772" s="10" t="s">
        <v>24</v>
      </c>
    </row>
    <row r="15773" spans="1:11" ht="54" customHeight="1">
      <c r="A15773" s="9" t="s">
        <v>31780</v>
      </c>
      <c r="B15773" s="9" t="s">
        <v>31781</v>
      </c>
      <c r="C15773" s="9" t="s">
        <v>90</v>
      </c>
      <c r="D15773" s="9" t="s">
        <v>18</v>
      </c>
      <c r="E15773" s="10" t="s">
        <v>715</v>
      </c>
      <c r="F15773" s="9" t="s">
        <v>7773</v>
      </c>
      <c r="G15773" s="10" t="s">
        <v>34</v>
      </c>
      <c r="H15773" s="9" t="s">
        <v>22</v>
      </c>
      <c r="I15773" s="9" t="s">
        <v>31782</v>
      </c>
      <c r="J15773" s="10" t="str">
        <f>HYPERLINK("https://www.boe.es/gazeta/dias/1834/09/17/pdfs/GMD-1834-215.pdf#page=1","Abrir facsímil")</f>
        <v>Abrir facsímil</v>
      </c>
      <c r="K15773" s="10" t="s">
        <v>24</v>
      </c>
    </row>
    <row r="15774" spans="1:11" ht="54" customHeight="1">
      <c r="A15774" s="9" t="s">
        <v>31783</v>
      </c>
      <c r="B15774" s="9" t="s">
        <v>31784</v>
      </c>
      <c r="C15774" s="9" t="s">
        <v>17</v>
      </c>
      <c r="D15774" s="9" t="s">
        <v>18</v>
      </c>
      <c r="E15774" s="10" t="s">
        <v>860</v>
      </c>
      <c r="F15774" s="9" t="s">
        <v>861</v>
      </c>
      <c r="G15774" s="10" t="s">
        <v>34</v>
      </c>
      <c r="H15774" s="9" t="s">
        <v>22</v>
      </c>
      <c r="I15774" s="9" t="s">
        <v>31785</v>
      </c>
      <c r="J15774" s="10" t="str">
        <f>HYPERLINK("https://www.boe.es/gazeta/dias/1834/02/08/pdfs/GMD-1834-18.pdf#page=1","Abrir facsímil")</f>
        <v>Abrir facsímil</v>
      </c>
      <c r="K15774" s="10" t="s">
        <v>24</v>
      </c>
    </row>
    <row r="15775" spans="1:11" ht="54" customHeight="1">
      <c r="A15775" s="9" t="s">
        <v>31786</v>
      </c>
      <c r="B15775" s="9" t="s">
        <v>31787</v>
      </c>
      <c r="C15775" s="9" t="s">
        <v>66</v>
      </c>
      <c r="D15775" s="9" t="s">
        <v>67</v>
      </c>
      <c r="E15775" s="10" t="s">
        <v>753</v>
      </c>
      <c r="F15775" s="9" t="s">
        <v>754</v>
      </c>
      <c r="G15775" s="10" t="s">
        <v>34</v>
      </c>
      <c r="H15775" s="9" t="s">
        <v>22</v>
      </c>
      <c r="I15775" s="9" t="s">
        <v>31788</v>
      </c>
      <c r="J15775" s="10" t="str">
        <f>HYPERLINK("https://www.boe.es/gazeta/dias/1834/04/21/pdfs/GMD-1834-60.pdf#page=1","Abrir facsímil")</f>
        <v>Abrir facsímil</v>
      </c>
      <c r="K15775" s="10" t="s">
        <v>24</v>
      </c>
    </row>
    <row r="15776" spans="1:11" ht="54" customHeight="1">
      <c r="A15776" s="9" t="s">
        <v>31789</v>
      </c>
      <c r="B15776" s="9" t="s">
        <v>31790</v>
      </c>
      <c r="C15776" s="9" t="s">
        <v>46</v>
      </c>
      <c r="D15776" s="9" t="s">
        <v>18</v>
      </c>
      <c r="E15776" s="10" t="s">
        <v>690</v>
      </c>
      <c r="F15776" s="9" t="s">
        <v>691</v>
      </c>
      <c r="G15776" s="10" t="s">
        <v>560</v>
      </c>
      <c r="H15776" s="9" t="s">
        <v>22</v>
      </c>
      <c r="I15776" s="9" t="s">
        <v>31791</v>
      </c>
      <c r="J15776" s="10" t="str">
        <f>HYPERLINK("https://www.boe.es/gazeta/dias/1834/09/03/pdfs/GMD-C-1834-201.pdf#page=7","Abrir facsímil")</f>
        <v>Abrir facsímil</v>
      </c>
      <c r="K15776" s="10" t="s">
        <v>24</v>
      </c>
    </row>
    <row r="15777" spans="1:11" ht="54" customHeight="1">
      <c r="A15777" s="9" t="s">
        <v>31789</v>
      </c>
      <c r="B15777" s="9" t="s">
        <v>31790</v>
      </c>
      <c r="C15777" s="9" t="s">
        <v>17</v>
      </c>
      <c r="D15777" s="9" t="s">
        <v>18</v>
      </c>
      <c r="E15777" s="10" t="s">
        <v>653</v>
      </c>
      <c r="F15777" s="9" t="s">
        <v>654</v>
      </c>
      <c r="G15777" s="10" t="s">
        <v>34</v>
      </c>
      <c r="H15777" s="9" t="s">
        <v>22</v>
      </c>
      <c r="I15777" s="9" t="s">
        <v>31792</v>
      </c>
      <c r="J15777" s="10" t="str">
        <f>HYPERLINK("https://www.boe.es/gazeta/dias/1834/08/06/pdfs/GMD-C-1834-170.pdf#page=1","Abrir facsímil")</f>
        <v>Abrir facsímil</v>
      </c>
      <c r="K15777" s="10" t="s">
        <v>24</v>
      </c>
    </row>
    <row r="15778" spans="1:11" ht="54" customHeight="1">
      <c r="A15778" s="9" t="s">
        <v>31789</v>
      </c>
      <c r="B15778" s="9" t="s">
        <v>31790</v>
      </c>
      <c r="C15778" s="9" t="s">
        <v>17</v>
      </c>
      <c r="D15778" s="9" t="s">
        <v>18</v>
      </c>
      <c r="E15778" s="10" t="s">
        <v>653</v>
      </c>
      <c r="F15778" s="9" t="s">
        <v>654</v>
      </c>
      <c r="G15778" s="10" t="s">
        <v>86</v>
      </c>
      <c r="H15778" s="9" t="s">
        <v>22</v>
      </c>
      <c r="I15778" s="9" t="s">
        <v>31793</v>
      </c>
      <c r="J15778" s="10" t="str">
        <f>HYPERLINK("https://www.boe.es/gazeta/dias/1834/08/06/pdfs/GMD-C-1834-170.pdf#page=2","Abrir facsímil")</f>
        <v>Abrir facsímil</v>
      </c>
      <c r="K15778" s="10" t="s">
        <v>24</v>
      </c>
    </row>
    <row r="15779" spans="1:11" ht="54" customHeight="1">
      <c r="A15779" s="9" t="s">
        <v>31789</v>
      </c>
      <c r="B15779" s="9" t="s">
        <v>31790</v>
      </c>
      <c r="C15779" s="9" t="s">
        <v>17</v>
      </c>
      <c r="D15779" s="9" t="s">
        <v>18</v>
      </c>
      <c r="E15779" s="10" t="s">
        <v>364</v>
      </c>
      <c r="F15779" s="9" t="s">
        <v>365</v>
      </c>
      <c r="G15779" s="10" t="s">
        <v>86</v>
      </c>
      <c r="H15779" s="9" t="s">
        <v>22</v>
      </c>
      <c r="I15779" s="9" t="s">
        <v>31794</v>
      </c>
      <c r="J15779" s="10" t="str">
        <f>HYPERLINK("https://www.boe.es/gazeta/dias/1834/09/06/pdfs/GMD-C-1834-204.pdf#page=2","Abrir facsímil")</f>
        <v>Abrir facsímil</v>
      </c>
      <c r="K15779" s="10" t="s">
        <v>24</v>
      </c>
    </row>
    <row r="15780" spans="1:11" ht="54" customHeight="1">
      <c r="A15780" s="9" t="s">
        <v>31789</v>
      </c>
      <c r="B15780" s="9" t="s">
        <v>31790</v>
      </c>
      <c r="C15780" s="9" t="s">
        <v>17</v>
      </c>
      <c r="D15780" s="9" t="s">
        <v>18</v>
      </c>
      <c r="E15780" s="10" t="s">
        <v>167</v>
      </c>
      <c r="F15780" s="9" t="s">
        <v>1200</v>
      </c>
      <c r="G15780" s="10" t="s">
        <v>2174</v>
      </c>
      <c r="H15780" s="9" t="s">
        <v>22</v>
      </c>
      <c r="I15780" s="9" t="s">
        <v>31795</v>
      </c>
      <c r="J15780" s="10" t="str">
        <f>HYPERLINK("https://www.boe.es/gazeta/dias/1834/09/07/pdfs/GMD-C-1834-205.pdf#page=10","Abrir facsímil")</f>
        <v>Abrir facsímil</v>
      </c>
      <c r="K15780" s="10" t="s">
        <v>24</v>
      </c>
    </row>
    <row r="15781" spans="1:11" ht="54" customHeight="1">
      <c r="A15781" s="9" t="s">
        <v>31789</v>
      </c>
      <c r="B15781" s="9" t="s">
        <v>31790</v>
      </c>
      <c r="C15781" s="9" t="s">
        <v>46</v>
      </c>
      <c r="D15781" s="9" t="s">
        <v>18</v>
      </c>
      <c r="E15781" s="10" t="s">
        <v>163</v>
      </c>
      <c r="F15781" s="9" t="s">
        <v>4896</v>
      </c>
      <c r="G15781" s="10" t="s">
        <v>86</v>
      </c>
      <c r="H15781" s="9" t="s">
        <v>22</v>
      </c>
      <c r="I15781" s="9" t="s">
        <v>31796</v>
      </c>
      <c r="J15781" s="10" t="str">
        <f>HYPERLINK("https://www.boe.es/gazeta/dias/1834/08/09/pdfs/GMD-C-1834-174.pdf#page=2","Abrir facsímil")</f>
        <v>Abrir facsímil</v>
      </c>
      <c r="K15781" s="10" t="s">
        <v>24</v>
      </c>
    </row>
    <row r="15782" spans="1:11" ht="54" customHeight="1">
      <c r="A15782" s="9" t="s">
        <v>31789</v>
      </c>
      <c r="B15782" s="9" t="s">
        <v>31790</v>
      </c>
      <c r="C15782" s="9" t="s">
        <v>90</v>
      </c>
      <c r="D15782" s="9" t="s">
        <v>67</v>
      </c>
      <c r="E15782" s="10" t="s">
        <v>1103</v>
      </c>
      <c r="F15782" s="9" t="s">
        <v>1104</v>
      </c>
      <c r="G15782" s="10" t="s">
        <v>86</v>
      </c>
      <c r="H15782" s="9" t="s">
        <v>22</v>
      </c>
      <c r="I15782" s="9" t="s">
        <v>31797</v>
      </c>
      <c r="J15782" s="10" t="str">
        <f>HYPERLINK("https://www.boe.es/gazeta/dias/1834/10/10/pdfs/GMD-C-1834-238.pdf#page=2","Abrir facsímil")</f>
        <v>Abrir facsímil</v>
      </c>
      <c r="K15782" s="10" t="s">
        <v>24</v>
      </c>
    </row>
    <row r="15783" spans="1:11" ht="54" customHeight="1">
      <c r="A15783" s="9" t="s">
        <v>31789</v>
      </c>
      <c r="B15783" s="9" t="s">
        <v>31790</v>
      </c>
      <c r="C15783" s="9" t="s">
        <v>17</v>
      </c>
      <c r="D15783" s="9" t="s">
        <v>18</v>
      </c>
      <c r="E15783" s="10" t="s">
        <v>679</v>
      </c>
      <c r="F15783" s="9" t="s">
        <v>699</v>
      </c>
      <c r="G15783" s="10" t="s">
        <v>21</v>
      </c>
      <c r="H15783" s="9" t="s">
        <v>22</v>
      </c>
      <c r="I15783" s="9" t="s">
        <v>31798</v>
      </c>
      <c r="J15783" s="10" t="str">
        <f>HYPERLINK("https://www.boe.es/gazeta/dias/1834/12/10/pdfs/GMD-C-1834-299.pdf#page=3","Abrir facsímil")</f>
        <v>Abrir facsímil</v>
      </c>
      <c r="K15783" s="10" t="s">
        <v>24</v>
      </c>
    </row>
    <row r="15784" spans="1:11" ht="54" customHeight="1">
      <c r="A15784" s="9" t="s">
        <v>31789</v>
      </c>
      <c r="B15784" s="9" t="s">
        <v>31790</v>
      </c>
      <c r="C15784" s="9" t="s">
        <v>17</v>
      </c>
      <c r="D15784" s="9" t="s">
        <v>18</v>
      </c>
      <c r="E15784" s="10" t="s">
        <v>1839</v>
      </c>
      <c r="F15784" s="9" t="s">
        <v>1840</v>
      </c>
      <c r="G15784" s="10" t="s">
        <v>86</v>
      </c>
      <c r="H15784" s="9" t="s">
        <v>22</v>
      </c>
      <c r="I15784" s="9" t="s">
        <v>31799</v>
      </c>
      <c r="J15784" s="10" t="str">
        <f>HYPERLINK("https://www.boe.es/gazeta/dias/1834/08/12/pdfs/GMD-C-1834-177.pdf#page=2","Abrir facsímil")</f>
        <v>Abrir facsímil</v>
      </c>
      <c r="K15784" s="10" t="s">
        <v>24</v>
      </c>
    </row>
    <row r="15785" spans="1:11" ht="54" customHeight="1">
      <c r="A15785" s="9" t="s">
        <v>31789</v>
      </c>
      <c r="B15785" s="9" t="s">
        <v>31790</v>
      </c>
      <c r="C15785" s="9" t="s">
        <v>90</v>
      </c>
      <c r="D15785" s="9" t="s">
        <v>18</v>
      </c>
      <c r="E15785" s="10" t="s">
        <v>1195</v>
      </c>
      <c r="F15785" s="9" t="s">
        <v>1196</v>
      </c>
      <c r="G15785" s="10" t="s">
        <v>470</v>
      </c>
      <c r="H15785" s="9" t="s">
        <v>22</v>
      </c>
      <c r="I15785" s="9" t="s">
        <v>31800</v>
      </c>
      <c r="J15785" s="10" t="str">
        <f>HYPERLINK("https://www.boe.es/gazeta/dias/1834/10/17/pdfs/GMD-C-1834-245.pdf#page=8","Abrir facsímil")</f>
        <v>Abrir facsímil</v>
      </c>
      <c r="K15785" s="10" t="s">
        <v>24</v>
      </c>
    </row>
    <row r="15786" spans="1:11" ht="54" customHeight="1">
      <c r="A15786" s="9" t="s">
        <v>31789</v>
      </c>
      <c r="B15786" s="9" t="s">
        <v>31790</v>
      </c>
      <c r="C15786" s="9" t="s">
        <v>46</v>
      </c>
      <c r="D15786" s="9" t="s">
        <v>55</v>
      </c>
      <c r="E15786" s="10" t="s">
        <v>981</v>
      </c>
      <c r="F15786" s="9" t="s">
        <v>3406</v>
      </c>
      <c r="G15786" s="10" t="s">
        <v>28</v>
      </c>
      <c r="H15786" s="9" t="s">
        <v>22</v>
      </c>
      <c r="I15786" s="9" t="s">
        <v>31801</v>
      </c>
      <c r="J15786" s="10" t="str">
        <f>HYPERLINK("https://www.boe.es/gazeta/dias/1834/09/21/pdfs/GMD-C-1834-219.pdf#page=5","Abrir facsímil")</f>
        <v>Abrir facsímil</v>
      </c>
      <c r="K15786" s="10" t="s">
        <v>24</v>
      </c>
    </row>
    <row r="15787" spans="1:11" ht="54" customHeight="1">
      <c r="A15787" s="9" t="s">
        <v>31789</v>
      </c>
      <c r="B15787" s="9" t="s">
        <v>31790</v>
      </c>
      <c r="C15787" s="9" t="s">
        <v>17</v>
      </c>
      <c r="D15787" s="9" t="s">
        <v>55</v>
      </c>
      <c r="E15787" s="10" t="s">
        <v>823</v>
      </c>
      <c r="F15787" s="9" t="s">
        <v>824</v>
      </c>
      <c r="G15787" s="10" t="s">
        <v>75</v>
      </c>
      <c r="H15787" s="9" t="s">
        <v>22</v>
      </c>
      <c r="I15787" s="9" t="s">
        <v>31802</v>
      </c>
      <c r="J15787" s="10" t="str">
        <f>HYPERLINK("https://www.boe.es/gazeta/dias/1834/07/23/pdfs/GMD-1834-156.pdf#page=4","Abrir facsímil")</f>
        <v>Abrir facsímil</v>
      </c>
      <c r="K15787" s="10" t="s">
        <v>24</v>
      </c>
    </row>
    <row r="15788" spans="1:11" ht="54" customHeight="1">
      <c r="A15788" s="9" t="s">
        <v>31789</v>
      </c>
      <c r="B15788" s="9" t="s">
        <v>31790</v>
      </c>
      <c r="C15788" s="9" t="s">
        <v>46</v>
      </c>
      <c r="D15788" s="9" t="s">
        <v>101</v>
      </c>
      <c r="E15788" s="10" t="s">
        <v>403</v>
      </c>
      <c r="F15788" s="9" t="s">
        <v>404</v>
      </c>
      <c r="G15788" s="10" t="s">
        <v>34</v>
      </c>
      <c r="H15788" s="9" t="s">
        <v>22</v>
      </c>
      <c r="I15788" s="9" t="s">
        <v>31803</v>
      </c>
      <c r="J15788" s="10" t="str">
        <f>HYPERLINK("https://www.boe.es/gazeta/dias/1834/09/25/pdfs/GMD-C-1834-223.pdf#page=1","Abrir facsímil")</f>
        <v>Abrir facsímil</v>
      </c>
      <c r="K15788" s="10" t="s">
        <v>24</v>
      </c>
    </row>
    <row r="15789" spans="1:11" ht="54" customHeight="1">
      <c r="A15789" s="9" t="s">
        <v>31804</v>
      </c>
      <c r="B15789" s="9" t="s">
        <v>31805</v>
      </c>
      <c r="C15789" s="9" t="s">
        <v>17</v>
      </c>
      <c r="D15789" s="9" t="s">
        <v>18</v>
      </c>
      <c r="E15789" s="10" t="s">
        <v>1135</v>
      </c>
      <c r="F15789" s="9" t="s">
        <v>1566</v>
      </c>
      <c r="G15789" s="10" t="s">
        <v>34</v>
      </c>
      <c r="H15789" s="9" t="s">
        <v>22</v>
      </c>
      <c r="I15789" s="9" t="s">
        <v>31806</v>
      </c>
      <c r="J15789" s="10" t="str">
        <f>HYPERLINK("https://www.boe.es/gazeta/dias/1834/08/26/pdfs/GMD-C-1834-192.pdf#page=1","Abrir facsímil")</f>
        <v>Abrir facsímil</v>
      </c>
      <c r="K15789" s="10" t="s">
        <v>24</v>
      </c>
    </row>
    <row r="15790" spans="1:11" ht="54" customHeight="1">
      <c r="A15790" s="9" t="s">
        <v>31789</v>
      </c>
      <c r="B15790" s="9" t="s">
        <v>31790</v>
      </c>
      <c r="C15790" s="9" t="s">
        <v>17</v>
      </c>
      <c r="D15790" s="9" t="s">
        <v>18</v>
      </c>
      <c r="E15790" s="10" t="s">
        <v>174</v>
      </c>
      <c r="F15790" s="9" t="s">
        <v>175</v>
      </c>
      <c r="G15790" s="10" t="s">
        <v>28</v>
      </c>
      <c r="H15790" s="9" t="s">
        <v>22</v>
      </c>
      <c r="I15790" s="9" t="s">
        <v>31807</v>
      </c>
      <c r="J15790" s="10" t="str">
        <f>HYPERLINK("https://www.boe.es/gazeta/dias/1834/03/27/pdfs/GMD-1834-38.pdf#page=5","Abrir facsímil")</f>
        <v>Abrir facsímil</v>
      </c>
      <c r="K15790" s="10" t="s">
        <v>24</v>
      </c>
    </row>
    <row r="15791" spans="1:11" ht="54" customHeight="1">
      <c r="A15791" s="9" t="s">
        <v>31789</v>
      </c>
      <c r="B15791" s="9" t="s">
        <v>31790</v>
      </c>
      <c r="C15791" s="9" t="s">
        <v>17</v>
      </c>
      <c r="D15791" s="9" t="s">
        <v>18</v>
      </c>
      <c r="E15791" s="10" t="s">
        <v>280</v>
      </c>
      <c r="F15791" s="9" t="s">
        <v>281</v>
      </c>
      <c r="G15791" s="10" t="s">
        <v>560</v>
      </c>
      <c r="H15791" s="9" t="s">
        <v>22</v>
      </c>
      <c r="I15791" s="9" t="s">
        <v>31808</v>
      </c>
      <c r="J15791" s="10" t="str">
        <f>HYPERLINK("https://www.boe.es/gazeta/dias/1834/08/29/pdfs/GMD-C-1834-195.pdf#page=7","Abrir facsímil")</f>
        <v>Abrir facsímil</v>
      </c>
      <c r="K15791" s="10" t="s">
        <v>24</v>
      </c>
    </row>
    <row r="15792" spans="1:11" ht="54" customHeight="1">
      <c r="A15792" s="9" t="s">
        <v>31809</v>
      </c>
      <c r="B15792" s="9" t="s">
        <v>31810</v>
      </c>
      <c r="C15792" s="9" t="s">
        <v>90</v>
      </c>
      <c r="D15792" s="9" t="s">
        <v>55</v>
      </c>
      <c r="E15792" s="10" t="s">
        <v>438</v>
      </c>
      <c r="F15792" s="9" t="s">
        <v>528</v>
      </c>
      <c r="G15792" s="10" t="s">
        <v>21</v>
      </c>
      <c r="H15792" s="9" t="s">
        <v>35</v>
      </c>
      <c r="I15792" s="9" t="s">
        <v>31811</v>
      </c>
      <c r="J15792" s="10" t="str">
        <f>HYPERLINK("https://www.boe.es/gazeta/dias/1834/11/09/pdfs/GMD-C-1834-268.pdf#page=3","Abrir facsímil")</f>
        <v>Abrir facsímil</v>
      </c>
      <c r="K15792" s="10" t="s">
        <v>37</v>
      </c>
    </row>
    <row r="15793" spans="1:11" ht="54" customHeight="1">
      <c r="A15793" s="9" t="s">
        <v>31812</v>
      </c>
      <c r="B15793" s="9" t="s">
        <v>31813</v>
      </c>
      <c r="C15793" s="9" t="s">
        <v>90</v>
      </c>
      <c r="D15793" s="9" t="s">
        <v>18</v>
      </c>
      <c r="E15793" s="10" t="s">
        <v>163</v>
      </c>
      <c r="F15793" s="9" t="s">
        <v>4896</v>
      </c>
      <c r="G15793" s="10" t="s">
        <v>86</v>
      </c>
      <c r="H15793" s="9" t="s">
        <v>35</v>
      </c>
      <c r="I15793" s="9" t="s">
        <v>31814</v>
      </c>
      <c r="J15793" s="10" t="str">
        <f>HYPERLINK("https://www.boe.es/gazeta/dias/1834/08/09/pdfs/GMD-C-1834-174.pdf#page=2","Abrir facsímil")</f>
        <v>Abrir facsímil</v>
      </c>
      <c r="K15793" s="10" t="s">
        <v>37</v>
      </c>
    </row>
    <row r="15794" spans="1:11" ht="54" customHeight="1">
      <c r="A15794" s="9" t="s">
        <v>31815</v>
      </c>
      <c r="B15794" s="9" t="s">
        <v>31816</v>
      </c>
      <c r="C15794" s="9" t="s">
        <v>17</v>
      </c>
      <c r="D15794" s="9" t="s">
        <v>18</v>
      </c>
      <c r="E15794" s="10" t="s">
        <v>3066</v>
      </c>
      <c r="F15794" s="9" t="s">
        <v>3067</v>
      </c>
      <c r="G15794" s="10" t="s">
        <v>34</v>
      </c>
      <c r="H15794" s="9" t="s">
        <v>22</v>
      </c>
      <c r="I15794" s="9" t="s">
        <v>31817</v>
      </c>
      <c r="J15794" s="10" t="str">
        <f>HYPERLINK("https://www.boe.es/gazeta/dias/1834/08/03/pdfs/GMD-C-1834-167.pdf#page=1","Abrir facsímil")</f>
        <v>Abrir facsímil</v>
      </c>
      <c r="K15794" s="10" t="s">
        <v>24</v>
      </c>
    </row>
    <row r="15795" spans="1:11" ht="54" customHeight="1">
      <c r="A15795" s="9" t="s">
        <v>31818</v>
      </c>
      <c r="B15795" s="9" t="s">
        <v>31819</v>
      </c>
      <c r="C15795" s="9" t="s">
        <v>66</v>
      </c>
      <c r="D15795" s="9" t="s">
        <v>67</v>
      </c>
      <c r="E15795" s="10" t="s">
        <v>174</v>
      </c>
      <c r="F15795" s="9" t="s">
        <v>175</v>
      </c>
      <c r="G15795" s="10" t="s">
        <v>176</v>
      </c>
      <c r="H15795" s="9" t="s">
        <v>22</v>
      </c>
      <c r="I15795" s="9" t="s">
        <v>31820</v>
      </c>
      <c r="J15795" s="10" t="str">
        <f>HYPERLINK("https://www.boe.es/gazeta/dias/1834/03/27/pdfs/GMD-1834-38.pdf#page=6","Abrir facsímil")</f>
        <v>Abrir facsímil</v>
      </c>
      <c r="K15795" s="10" t="s">
        <v>24</v>
      </c>
    </row>
    <row r="15796" spans="1:11" ht="54" customHeight="1">
      <c r="A15796" s="9" t="s">
        <v>31821</v>
      </c>
      <c r="B15796" s="9" t="s">
        <v>31821</v>
      </c>
      <c r="C15796" s="9" t="s">
        <v>857</v>
      </c>
      <c r="D15796" s="9" t="s">
        <v>40</v>
      </c>
      <c r="E15796" s="10" t="s">
        <v>5885</v>
      </c>
      <c r="F15796" s="9" t="s">
        <v>5886</v>
      </c>
      <c r="G15796" s="10" t="s">
        <v>75</v>
      </c>
      <c r="H15796" s="9" t="s">
        <v>22</v>
      </c>
      <c r="I15796" s="9" t="s">
        <v>31822</v>
      </c>
      <c r="J15796" s="10" t="str">
        <f>HYPERLINK("https://www.boe.es/gazeta/dias/1834/05/23/pdfs/GMD-1834-92.pdf#page=4","Abrir facsímil")</f>
        <v>Abrir facsímil</v>
      </c>
      <c r="K15796" s="10" t="s">
        <v>24</v>
      </c>
    </row>
    <row r="15797" spans="1:11" ht="54" customHeight="1">
      <c r="A15797" s="9" t="s">
        <v>31823</v>
      </c>
      <c r="B15797" s="9" t="s">
        <v>31824</v>
      </c>
      <c r="C15797" s="9" t="s">
        <v>17</v>
      </c>
      <c r="D15797" s="9" t="s">
        <v>18</v>
      </c>
      <c r="E15797" s="10" t="s">
        <v>777</v>
      </c>
      <c r="F15797" s="9" t="s">
        <v>778</v>
      </c>
      <c r="G15797" s="10" t="s">
        <v>75</v>
      </c>
      <c r="H15797" s="9" t="s">
        <v>22</v>
      </c>
      <c r="I15797" s="9" t="s">
        <v>31825</v>
      </c>
      <c r="J15797" s="10" t="str">
        <f>HYPERLINK("https://www.boe.es/gazeta/dias/1834/10/29/pdfs/GMD-1834-257.pdf#page=4","Abrir facsímil")</f>
        <v>Abrir facsímil</v>
      </c>
      <c r="K15797" s="10" t="s">
        <v>24</v>
      </c>
    </row>
    <row r="15798" spans="1:11" ht="54" customHeight="1">
      <c r="A15798" s="9" t="s">
        <v>31826</v>
      </c>
      <c r="B15798" s="9" t="s">
        <v>31826</v>
      </c>
      <c r="C15798" s="9" t="s">
        <v>857</v>
      </c>
      <c r="D15798" s="9" t="s">
        <v>18</v>
      </c>
      <c r="E15798" s="10" t="s">
        <v>343</v>
      </c>
      <c r="F15798" s="9" t="s">
        <v>344</v>
      </c>
      <c r="G15798" s="10" t="s">
        <v>21</v>
      </c>
      <c r="H15798" s="9" t="s">
        <v>22</v>
      </c>
      <c r="I15798" s="9" t="s">
        <v>31827</v>
      </c>
      <c r="J15798" s="10" t="str">
        <f>HYPERLINK("https://www.boe.es/gazeta/dias/1834/01/14/pdfs/GMD-1834-7.pdf#page=3","Abrir facsímil")</f>
        <v>Abrir facsímil</v>
      </c>
      <c r="K15798" s="10" t="s">
        <v>24</v>
      </c>
    </row>
    <row r="15799" spans="1:11" ht="54" customHeight="1">
      <c r="A15799" s="9" t="s">
        <v>31828</v>
      </c>
      <c r="B15799" s="9" t="s">
        <v>31828</v>
      </c>
      <c r="C15799" s="9" t="s">
        <v>122</v>
      </c>
      <c r="D15799" s="9" t="s">
        <v>18</v>
      </c>
      <c r="E15799" s="10" t="s">
        <v>91</v>
      </c>
      <c r="F15799" s="9" t="s">
        <v>92</v>
      </c>
      <c r="G15799" s="10" t="s">
        <v>86</v>
      </c>
      <c r="H15799" s="9" t="s">
        <v>22</v>
      </c>
      <c r="I15799" s="9" t="s">
        <v>31829</v>
      </c>
      <c r="J15799" s="10" t="str">
        <f>HYPERLINK("https://www.boe.es/gazeta/dias/1834/02/13/pdfs/GMD-1834-20.pdf#page=2","Abrir facsímil")</f>
        <v>Abrir facsímil</v>
      </c>
      <c r="K15799" s="10" t="s">
        <v>24</v>
      </c>
    </row>
    <row r="15800" spans="1:11" ht="54" customHeight="1">
      <c r="A15800" s="9" t="s">
        <v>31830</v>
      </c>
      <c r="B15800" s="9" t="s">
        <v>31831</v>
      </c>
      <c r="C15800" s="9" t="s">
        <v>66</v>
      </c>
      <c r="D15800" s="9" t="s">
        <v>67</v>
      </c>
      <c r="E15800" s="10" t="s">
        <v>866</v>
      </c>
      <c r="F15800" s="9" t="s">
        <v>867</v>
      </c>
      <c r="G15800" s="10" t="s">
        <v>86</v>
      </c>
      <c r="H15800" s="9" t="s">
        <v>22</v>
      </c>
      <c r="I15800" s="9" t="s">
        <v>31832</v>
      </c>
      <c r="J15800" s="10" t="str">
        <f>HYPERLINK("https://www.boe.es/gazeta/dias/1834/01/18/pdfs/GMD-1834-9.pdf#page=2","Abrir facsímil")</f>
        <v>Abrir facsímil</v>
      </c>
      <c r="K15800" s="10" t="s">
        <v>24</v>
      </c>
    </row>
    <row r="15801" spans="1:11" ht="54" customHeight="1">
      <c r="A15801" s="9" t="s">
        <v>31833</v>
      </c>
      <c r="B15801" s="9" t="s">
        <v>31834</v>
      </c>
      <c r="C15801" s="9" t="s">
        <v>17</v>
      </c>
      <c r="D15801" s="9" t="s">
        <v>18</v>
      </c>
      <c r="E15801" s="10" t="s">
        <v>860</v>
      </c>
      <c r="F15801" s="9" t="s">
        <v>861</v>
      </c>
      <c r="G15801" s="10" t="s">
        <v>176</v>
      </c>
      <c r="H15801" s="9" t="s">
        <v>22</v>
      </c>
      <c r="I15801" s="9" t="s">
        <v>31835</v>
      </c>
      <c r="J15801" s="10" t="str">
        <f>HYPERLINK("https://www.boe.es/gazeta/dias/1834/02/08/pdfs/GMD-1834-18.pdf#page=6","Abrir facsímil")</f>
        <v>Abrir facsímil</v>
      </c>
      <c r="K15801" s="10" t="s">
        <v>24</v>
      </c>
    </row>
    <row r="15802" spans="1:11" ht="54" customHeight="1">
      <c r="A15802" s="9" t="s">
        <v>31836</v>
      </c>
      <c r="B15802" s="9" t="s">
        <v>31836</v>
      </c>
      <c r="C15802" s="9" t="s">
        <v>17</v>
      </c>
      <c r="D15802" s="9" t="s">
        <v>18</v>
      </c>
      <c r="E15802" s="10" t="s">
        <v>4565</v>
      </c>
      <c r="F15802" s="9" t="s">
        <v>4566</v>
      </c>
      <c r="G15802" s="10" t="s">
        <v>21</v>
      </c>
      <c r="H15802" s="9" t="s">
        <v>22</v>
      </c>
      <c r="I15802" s="9" t="s">
        <v>31837</v>
      </c>
      <c r="J15802" s="10" t="str">
        <f>HYPERLINK("https://www.boe.es/gazeta/dias/1834/07/10/pdfs/GMD-1834-143.pdf#page=3","Abrir facsímil")</f>
        <v>Abrir facsímil</v>
      </c>
      <c r="K15802" s="10" t="s">
        <v>24</v>
      </c>
    </row>
    <row r="15803" spans="1:11" ht="54" customHeight="1">
      <c r="A15803" s="9" t="s">
        <v>31836</v>
      </c>
      <c r="B15803" s="9" t="s">
        <v>31836</v>
      </c>
      <c r="C15803" s="9" t="s">
        <v>17</v>
      </c>
      <c r="D15803" s="9" t="s">
        <v>18</v>
      </c>
      <c r="E15803" s="10" t="s">
        <v>3488</v>
      </c>
      <c r="F15803" s="9" t="s">
        <v>3489</v>
      </c>
      <c r="G15803" s="10" t="s">
        <v>21</v>
      </c>
      <c r="H15803" s="9" t="s">
        <v>22</v>
      </c>
      <c r="I15803" s="9" t="s">
        <v>31838</v>
      </c>
      <c r="J15803" s="10" t="str">
        <f>HYPERLINK("https://www.boe.es/gazeta/dias/1834/06/22/pdfs/GMD-1834-125.pdf#page=3","Abrir facsímil")</f>
        <v>Abrir facsímil</v>
      </c>
      <c r="K15803" s="10" t="s">
        <v>24</v>
      </c>
    </row>
    <row r="15804" spans="1:11" ht="54" customHeight="1">
      <c r="A15804" s="9" t="s">
        <v>31836</v>
      </c>
      <c r="B15804" s="9" t="s">
        <v>31836</v>
      </c>
      <c r="C15804" s="9" t="s">
        <v>17</v>
      </c>
      <c r="D15804" s="9" t="s">
        <v>55</v>
      </c>
      <c r="E15804" s="10" t="s">
        <v>1307</v>
      </c>
      <c r="F15804" s="9" t="s">
        <v>1308</v>
      </c>
      <c r="G15804" s="10" t="s">
        <v>86</v>
      </c>
      <c r="H15804" s="9" t="s">
        <v>22</v>
      </c>
      <c r="I15804" s="9" t="s">
        <v>31839</v>
      </c>
      <c r="J15804" s="10" t="str">
        <f>HYPERLINK("https://www.boe.es/gazeta/dias/1834/08/25/pdfs/GMD-1834-191.pdf#page=2","Abrir facsímil")</f>
        <v>Abrir facsímil</v>
      </c>
      <c r="K15804" s="10" t="s">
        <v>24</v>
      </c>
    </row>
    <row r="15805" spans="1:11" ht="54" customHeight="1">
      <c r="A15805" s="9" t="s">
        <v>31836</v>
      </c>
      <c r="B15805" s="9" t="s">
        <v>31836</v>
      </c>
      <c r="C15805" s="9" t="s">
        <v>122</v>
      </c>
      <c r="D15805" s="9" t="s">
        <v>55</v>
      </c>
      <c r="E15805" s="10" t="s">
        <v>1683</v>
      </c>
      <c r="F15805" s="9" t="s">
        <v>1684</v>
      </c>
      <c r="G15805" s="10" t="s">
        <v>86</v>
      </c>
      <c r="H15805" s="9" t="s">
        <v>22</v>
      </c>
      <c r="I15805" s="9" t="s">
        <v>31840</v>
      </c>
      <c r="J15805" s="10" t="str">
        <f>HYPERLINK("https://www.boe.es/gazeta/dias/1834/06/27/pdfs/GMD-1834-130.pdf#page=2","Abrir facsímil")</f>
        <v>Abrir facsímil</v>
      </c>
      <c r="K15805" s="10" t="s">
        <v>24</v>
      </c>
    </row>
    <row r="15806" spans="1:11" ht="54" customHeight="1">
      <c r="A15806" s="9" t="s">
        <v>31836</v>
      </c>
      <c r="B15806" s="9" t="s">
        <v>31836</v>
      </c>
      <c r="C15806" s="9" t="s">
        <v>46</v>
      </c>
      <c r="D15806" s="9" t="s">
        <v>101</v>
      </c>
      <c r="E15806" s="10" t="s">
        <v>283</v>
      </c>
      <c r="F15806" s="9" t="s">
        <v>2969</v>
      </c>
      <c r="G15806" s="10" t="s">
        <v>86</v>
      </c>
      <c r="H15806" s="9" t="s">
        <v>22</v>
      </c>
      <c r="I15806" s="9" t="s">
        <v>31841</v>
      </c>
      <c r="J15806" s="10" t="str">
        <f>HYPERLINK("https://www.boe.es/gazeta/dias/1834/11/29/pdfs/GMD-1834-288.pdf#page=2","Abrir facsímil")</f>
        <v>Abrir facsímil</v>
      </c>
      <c r="K15806" s="10" t="s">
        <v>24</v>
      </c>
    </row>
    <row r="15807" spans="1:11" ht="54" customHeight="1">
      <c r="A15807" s="9" t="s">
        <v>31842</v>
      </c>
      <c r="B15807" s="9" t="s">
        <v>31842</v>
      </c>
      <c r="C15807" s="9" t="s">
        <v>90</v>
      </c>
      <c r="D15807" s="9" t="s">
        <v>18</v>
      </c>
      <c r="E15807" s="10" t="s">
        <v>47</v>
      </c>
      <c r="F15807" s="9" t="s">
        <v>1466</v>
      </c>
      <c r="G15807" s="10" t="s">
        <v>34</v>
      </c>
      <c r="H15807" s="9" t="s">
        <v>22</v>
      </c>
      <c r="I15807" s="9" t="s">
        <v>31843</v>
      </c>
      <c r="J15807" s="10" t="str">
        <f>HYPERLINK("https://www.boe.es/gazeta/dias/1834/09/05/pdfs/GMD-1834-203.pdf#page=1","Abrir facsímil")</f>
        <v>Abrir facsímil</v>
      </c>
      <c r="K15807" s="10" t="s">
        <v>24</v>
      </c>
    </row>
    <row r="15808" spans="1:11" ht="54" customHeight="1">
      <c r="A15808" s="9" t="s">
        <v>31842</v>
      </c>
      <c r="B15808" s="9" t="s">
        <v>31842</v>
      </c>
      <c r="C15808" s="9" t="s">
        <v>66</v>
      </c>
      <c r="D15808" s="9" t="s">
        <v>67</v>
      </c>
      <c r="E15808" s="10" t="s">
        <v>451</v>
      </c>
      <c r="F15808" s="9" t="s">
        <v>3350</v>
      </c>
      <c r="G15808" s="10" t="s">
        <v>21</v>
      </c>
      <c r="H15808" s="9" t="s">
        <v>22</v>
      </c>
      <c r="I15808" s="9" t="s">
        <v>31844</v>
      </c>
      <c r="J15808" s="10" t="str">
        <f>HYPERLINK("https://www.boe.es/gazeta/dias/1834/10/15/pdfs/GMD-1834-243.pdf#page=3","Abrir facsímil")</f>
        <v>Abrir facsímil</v>
      </c>
      <c r="K15808" s="10" t="s">
        <v>24</v>
      </c>
    </row>
    <row r="15809" spans="1:11" ht="54" customHeight="1">
      <c r="A15809" s="9" t="s">
        <v>31845</v>
      </c>
      <c r="B15809" s="9" t="s">
        <v>31845</v>
      </c>
      <c r="C15809" s="9" t="s">
        <v>46</v>
      </c>
      <c r="D15809" s="9" t="s">
        <v>18</v>
      </c>
      <c r="E15809" s="10" t="s">
        <v>378</v>
      </c>
      <c r="F15809" s="9" t="s">
        <v>379</v>
      </c>
      <c r="G15809" s="10" t="s">
        <v>86</v>
      </c>
      <c r="H15809" s="9" t="s">
        <v>22</v>
      </c>
      <c r="I15809" s="9" t="s">
        <v>31846</v>
      </c>
      <c r="J15809" s="10" t="str">
        <f>HYPERLINK("https://www.boe.es/gazeta/dias/1834/09/24/pdfs/GMD-1834-222.pdf#page=2","Abrir facsímil")</f>
        <v>Abrir facsímil</v>
      </c>
      <c r="K15809" s="10" t="s">
        <v>24</v>
      </c>
    </row>
    <row r="15810" spans="1:11" ht="54" customHeight="1">
      <c r="A15810" s="9" t="s">
        <v>31847</v>
      </c>
      <c r="B15810" s="9" t="s">
        <v>31847</v>
      </c>
      <c r="C15810" s="9" t="s">
        <v>46</v>
      </c>
      <c r="D15810" s="9" t="s">
        <v>55</v>
      </c>
      <c r="E15810" s="10" t="s">
        <v>299</v>
      </c>
      <c r="F15810" s="9" t="s">
        <v>300</v>
      </c>
      <c r="G15810" s="10" t="s">
        <v>86</v>
      </c>
      <c r="H15810" s="9" t="s">
        <v>22</v>
      </c>
      <c r="I15810" s="9" t="s">
        <v>31848</v>
      </c>
      <c r="J15810" s="10" t="str">
        <f>HYPERLINK("https://www.boe.es/gazeta/dias/1834/12/12/pdfs/GMD-1834-301.pdf#page=2","Abrir facsímil")</f>
        <v>Abrir facsímil</v>
      </c>
      <c r="K15810" s="10" t="s">
        <v>24</v>
      </c>
    </row>
    <row r="15811" spans="1:11" ht="54" customHeight="1">
      <c r="A15811" s="9" t="s">
        <v>31849</v>
      </c>
      <c r="B15811" s="9" t="s">
        <v>31850</v>
      </c>
      <c r="C15811" s="9" t="s">
        <v>17</v>
      </c>
      <c r="D15811" s="9" t="s">
        <v>18</v>
      </c>
      <c r="E15811" s="10" t="s">
        <v>2212</v>
      </c>
      <c r="F15811" s="9" t="s">
        <v>2213</v>
      </c>
      <c r="G15811" s="10" t="s">
        <v>176</v>
      </c>
      <c r="H15811" s="9" t="s">
        <v>22</v>
      </c>
      <c r="I15811" s="9" t="s">
        <v>31851</v>
      </c>
      <c r="J15811" s="10" t="str">
        <f>HYPERLINK("https://www.boe.es/gazeta/dias/1834/08/04/pdfs/GMD-C-1834-168.pdf#page=6","Abrir facsímil")</f>
        <v>Abrir facsímil</v>
      </c>
      <c r="K15811" s="10" t="s">
        <v>24</v>
      </c>
    </row>
    <row r="15812" spans="1:11" ht="54" customHeight="1">
      <c r="A15812" s="9" t="s">
        <v>31852</v>
      </c>
      <c r="B15812" s="9" t="s">
        <v>31853</v>
      </c>
      <c r="C15812" s="9" t="s">
        <v>17</v>
      </c>
      <c r="D15812" s="9" t="s">
        <v>18</v>
      </c>
      <c r="E15812" s="10" t="s">
        <v>690</v>
      </c>
      <c r="F15812" s="9" t="s">
        <v>691</v>
      </c>
      <c r="G15812" s="10" t="s">
        <v>176</v>
      </c>
      <c r="H15812" s="9" t="s">
        <v>22</v>
      </c>
      <c r="I15812" s="9" t="s">
        <v>31854</v>
      </c>
      <c r="J15812" s="10" t="str">
        <f>HYPERLINK("https://www.boe.es/gazeta/dias/1834/09/03/pdfs/GMD-C-1834-201.pdf#page=6","Abrir facsímil")</f>
        <v>Abrir facsímil</v>
      </c>
      <c r="K15812" s="10" t="s">
        <v>24</v>
      </c>
    </row>
    <row r="15813" spans="1:11" ht="54" customHeight="1">
      <c r="A15813" s="9" t="s">
        <v>31855</v>
      </c>
      <c r="B15813" s="9" t="s">
        <v>31855</v>
      </c>
      <c r="C15813" s="9" t="s">
        <v>17</v>
      </c>
      <c r="D15813" s="9" t="s">
        <v>101</v>
      </c>
      <c r="E15813" s="10" t="s">
        <v>258</v>
      </c>
      <c r="F15813" s="9" t="s">
        <v>1075</v>
      </c>
      <c r="G15813" s="10" t="s">
        <v>34</v>
      </c>
      <c r="H15813" s="9" t="s">
        <v>22</v>
      </c>
      <c r="I15813" s="9" t="s">
        <v>31856</v>
      </c>
      <c r="J15813" s="10" t="str">
        <f>HYPERLINK("https://www.boe.es/gazeta/dias/1834/10/09/pdfs/GMD-1834-237.pdf#page=1","Abrir facsímil")</f>
        <v>Abrir facsímil</v>
      </c>
      <c r="K15813" s="10" t="s">
        <v>24</v>
      </c>
    </row>
    <row r="15814" spans="1:11" ht="54" customHeight="1">
      <c r="A15814" s="9" t="s">
        <v>31857</v>
      </c>
      <c r="B15814" s="9" t="s">
        <v>31858</v>
      </c>
      <c r="C15814" s="9" t="s">
        <v>17</v>
      </c>
      <c r="D15814" s="9" t="s">
        <v>55</v>
      </c>
      <c r="E15814" s="10" t="s">
        <v>91</v>
      </c>
      <c r="F15814" s="9" t="s">
        <v>92</v>
      </c>
      <c r="G15814" s="10" t="s">
        <v>86</v>
      </c>
      <c r="H15814" s="9" t="s">
        <v>35</v>
      </c>
      <c r="I15814" s="9" t="s">
        <v>31859</v>
      </c>
      <c r="J15814" s="10" t="str">
        <f>HYPERLINK("https://www.boe.es/gazeta/dias/1834/02/13/pdfs/GMD-1834-20.pdf#page=2","Abrir facsímil")</f>
        <v>Abrir facsímil</v>
      </c>
      <c r="K15814" s="10" t="s">
        <v>37</v>
      </c>
    </row>
    <row r="15815" spans="1:11" ht="54" customHeight="1">
      <c r="A15815" s="9" t="s">
        <v>31860</v>
      </c>
      <c r="B15815" s="9" t="s">
        <v>31860</v>
      </c>
      <c r="C15815" s="9" t="s">
        <v>17</v>
      </c>
      <c r="D15815" s="9" t="s">
        <v>18</v>
      </c>
      <c r="E15815" s="10" t="s">
        <v>258</v>
      </c>
      <c r="F15815" s="9" t="s">
        <v>1075</v>
      </c>
      <c r="G15815" s="10" t="s">
        <v>34</v>
      </c>
      <c r="H15815" s="9" t="s">
        <v>22</v>
      </c>
      <c r="I15815" s="9" t="s">
        <v>31861</v>
      </c>
      <c r="J15815" s="10" t="str">
        <f>HYPERLINK("https://www.boe.es/gazeta/dias/1834/10/09/pdfs/GMD-1834-237.pdf#page=1","Abrir facsímil")</f>
        <v>Abrir facsímil</v>
      </c>
      <c r="K15815" s="10" t="s">
        <v>24</v>
      </c>
    </row>
    <row r="15816" spans="1:11" ht="54" customHeight="1">
      <c r="A15816" s="9" t="s">
        <v>31860</v>
      </c>
      <c r="B15816" s="9" t="s">
        <v>31860</v>
      </c>
      <c r="C15816" s="9" t="s">
        <v>17</v>
      </c>
      <c r="D15816" s="9" t="s">
        <v>18</v>
      </c>
      <c r="E15816" s="10" t="s">
        <v>4169</v>
      </c>
      <c r="F15816" s="9" t="s">
        <v>4170</v>
      </c>
      <c r="G15816" s="10" t="s">
        <v>86</v>
      </c>
      <c r="H15816" s="9" t="s">
        <v>22</v>
      </c>
      <c r="I15816" s="9" t="s">
        <v>31862</v>
      </c>
      <c r="J15816" s="10" t="str">
        <f>HYPERLINK("https://www.boe.es/gazeta/dias/1834/11/20/pdfs/GMD-1834-279.pdf#page=2","Abrir facsímil")</f>
        <v>Abrir facsímil</v>
      </c>
      <c r="K15816" s="10" t="s">
        <v>24</v>
      </c>
    </row>
    <row r="15817" spans="1:11" ht="54" customHeight="1">
      <c r="A15817" s="9" t="s">
        <v>31863</v>
      </c>
      <c r="B15817" s="9" t="s">
        <v>31864</v>
      </c>
      <c r="C15817" s="9" t="s">
        <v>66</v>
      </c>
      <c r="D15817" s="9" t="s">
        <v>18</v>
      </c>
      <c r="E15817" s="10" t="s">
        <v>258</v>
      </c>
      <c r="F15817" s="9" t="s">
        <v>1075</v>
      </c>
      <c r="G15817" s="10" t="s">
        <v>34</v>
      </c>
      <c r="H15817" s="9" t="s">
        <v>22</v>
      </c>
      <c r="I15817" s="9" t="s">
        <v>31865</v>
      </c>
      <c r="J15817" s="10" t="str">
        <f>HYPERLINK("https://www.boe.es/gazeta/dias/1834/10/09/pdfs/GMD-1834-237.pdf#page=1","Abrir facsímil")</f>
        <v>Abrir facsímil</v>
      </c>
      <c r="K15817" s="10" t="s">
        <v>24</v>
      </c>
    </row>
    <row r="15818" spans="1:11" ht="54" customHeight="1">
      <c r="A15818" s="9" t="s">
        <v>31866</v>
      </c>
      <c r="B15818" s="9" t="s">
        <v>31867</v>
      </c>
      <c r="C15818" s="9" t="s">
        <v>90</v>
      </c>
      <c r="D15818" s="9" t="s">
        <v>18</v>
      </c>
      <c r="E15818" s="10" t="s">
        <v>1402</v>
      </c>
      <c r="F15818" s="9" t="s">
        <v>1403</v>
      </c>
      <c r="G15818" s="10" t="s">
        <v>176</v>
      </c>
      <c r="H15818" s="9" t="s">
        <v>22</v>
      </c>
      <c r="I15818" s="9" t="s">
        <v>31868</v>
      </c>
      <c r="J15818" s="10" t="str">
        <f>HYPERLINK("https://www.boe.es/gazeta/dias/1834/05/05/pdfs/GMD-1834-74.pdf#page=6","Abrir facsímil")</f>
        <v>Abrir facsímil</v>
      </c>
      <c r="K15818" s="10" t="s">
        <v>24</v>
      </c>
    </row>
    <row r="15819" spans="1:11" ht="54" customHeight="1">
      <c r="A15819" s="9" t="s">
        <v>31869</v>
      </c>
      <c r="B15819" s="9" t="s">
        <v>31869</v>
      </c>
      <c r="C15819" s="9" t="s">
        <v>122</v>
      </c>
      <c r="D15819" s="9" t="s">
        <v>101</v>
      </c>
      <c r="E15819" s="10" t="s">
        <v>304</v>
      </c>
      <c r="F15819" s="9" t="s">
        <v>305</v>
      </c>
      <c r="G15819" s="10" t="s">
        <v>28</v>
      </c>
      <c r="H15819" s="9" t="s">
        <v>22</v>
      </c>
      <c r="I15819" s="9" t="s">
        <v>31870</v>
      </c>
      <c r="J15819" s="10" t="str">
        <f>HYPERLINK("https://www.boe.es/gazeta/dias/1834/01/21/pdfs/GMD-1834-10.pdf#page=5","Abrir facsímil")</f>
        <v>Abrir facsímil</v>
      </c>
      <c r="K15819" s="10" t="s">
        <v>24</v>
      </c>
    </row>
    <row r="15820" spans="1:11" ht="54" customHeight="1">
      <c r="A15820" s="9" t="s">
        <v>31871</v>
      </c>
      <c r="B15820" s="9" t="s">
        <v>31871</v>
      </c>
      <c r="C15820" s="9" t="s">
        <v>90</v>
      </c>
      <c r="D15820" s="9" t="s">
        <v>18</v>
      </c>
      <c r="E15820" s="10" t="s">
        <v>3057</v>
      </c>
      <c r="F15820" s="9" t="s">
        <v>3058</v>
      </c>
      <c r="G15820" s="10" t="s">
        <v>21</v>
      </c>
      <c r="H15820" s="9" t="s">
        <v>22</v>
      </c>
      <c r="I15820" s="9" t="s">
        <v>31872</v>
      </c>
      <c r="J15820" s="10" t="str">
        <f>HYPERLINK("https://www.boe.es/gazeta/dias/1834/06/14/pdfs/GMD-1834-117.pdf#page=3","Abrir facsímil")</f>
        <v>Abrir facsímil</v>
      </c>
      <c r="K15820" s="10" t="s">
        <v>24</v>
      </c>
    </row>
    <row r="15821" spans="1:11" ht="54" customHeight="1">
      <c r="A15821" s="9" t="s">
        <v>31873</v>
      </c>
      <c r="B15821" s="9" t="s">
        <v>31873</v>
      </c>
      <c r="C15821" s="9" t="s">
        <v>46</v>
      </c>
      <c r="D15821" s="9" t="s">
        <v>101</v>
      </c>
      <c r="E15821" s="10" t="s">
        <v>3328</v>
      </c>
      <c r="F15821" s="9" t="s">
        <v>3329</v>
      </c>
      <c r="G15821" s="10" t="s">
        <v>34</v>
      </c>
      <c r="H15821" s="9" t="s">
        <v>22</v>
      </c>
      <c r="I15821" s="9" t="s">
        <v>31874</v>
      </c>
      <c r="J15821" s="10" t="str">
        <f>HYPERLINK("https://www.boe.es/gazeta/dias/1834/06/04/pdfs/GMD-1834-106.pdf#page=1","Abrir facsímil")</f>
        <v>Abrir facsímil</v>
      </c>
      <c r="K15821" s="10" t="s">
        <v>24</v>
      </c>
    </row>
    <row r="15822" spans="1:11" ht="54" customHeight="1">
      <c r="A15822" s="9" t="s">
        <v>31873</v>
      </c>
      <c r="B15822" s="9" t="s">
        <v>31873</v>
      </c>
      <c r="C15822" s="9" t="s">
        <v>122</v>
      </c>
      <c r="D15822" s="9" t="s">
        <v>101</v>
      </c>
      <c r="E15822" s="10" t="s">
        <v>5574</v>
      </c>
      <c r="F15822" s="9" t="s">
        <v>5575</v>
      </c>
      <c r="G15822" s="10" t="s">
        <v>34</v>
      </c>
      <c r="H15822" s="9" t="s">
        <v>22</v>
      </c>
      <c r="I15822" s="9" t="s">
        <v>31875</v>
      </c>
      <c r="J15822" s="10" t="str">
        <f>HYPERLINK("https://www.boe.es/gazeta/dias/1834/06/16/pdfs/GMD-1834-119.pdf#page=1","Abrir facsímil")</f>
        <v>Abrir facsímil</v>
      </c>
      <c r="K15822" s="10" t="s">
        <v>24</v>
      </c>
    </row>
    <row r="15823" spans="1:11" ht="54" customHeight="1">
      <c r="A15823" s="9" t="s">
        <v>31873</v>
      </c>
      <c r="B15823" s="9" t="s">
        <v>31873</v>
      </c>
      <c r="C15823" s="9" t="s">
        <v>17</v>
      </c>
      <c r="D15823" s="9" t="s">
        <v>55</v>
      </c>
      <c r="E15823" s="10" t="s">
        <v>4736</v>
      </c>
      <c r="F15823" s="9" t="s">
        <v>4737</v>
      </c>
      <c r="G15823" s="10" t="s">
        <v>34</v>
      </c>
      <c r="H15823" s="9" t="s">
        <v>22</v>
      </c>
      <c r="I15823" s="9" t="s">
        <v>31876</v>
      </c>
      <c r="J15823" s="10" t="str">
        <f>HYPERLINK("https://www.boe.es/gazeta/dias/1834/09/16/pdfs/GMD-1834-214.pdf#page=1","Abrir facsímil")</f>
        <v>Abrir facsímil</v>
      </c>
      <c r="K15823" s="10" t="s">
        <v>24</v>
      </c>
    </row>
    <row r="15824" spans="1:11" ht="54" customHeight="1">
      <c r="A15824" s="9" t="s">
        <v>31873</v>
      </c>
      <c r="B15824" s="9" t="s">
        <v>31873</v>
      </c>
      <c r="C15824" s="9" t="s">
        <v>122</v>
      </c>
      <c r="D15824" s="9" t="s">
        <v>18</v>
      </c>
      <c r="E15824" s="10" t="s">
        <v>563</v>
      </c>
      <c r="F15824" s="9" t="s">
        <v>564</v>
      </c>
      <c r="G15824" s="10" t="s">
        <v>21</v>
      </c>
      <c r="H15824" s="9" t="s">
        <v>22</v>
      </c>
      <c r="I15824" s="9" t="s">
        <v>31877</v>
      </c>
      <c r="J15824" s="10" t="str">
        <f>HYPERLINK("https://www.boe.es/gazeta/dias/1834/04/19/pdfs/GMD-1834-58.pdf#page=3","Abrir facsímil")</f>
        <v>Abrir facsímil</v>
      </c>
      <c r="K15824" s="10" t="s">
        <v>24</v>
      </c>
    </row>
    <row r="15825" spans="1:11" ht="54" customHeight="1">
      <c r="A15825" s="9" t="s">
        <v>31873</v>
      </c>
      <c r="B15825" s="9" t="s">
        <v>31873</v>
      </c>
      <c r="C15825" s="9" t="s">
        <v>17</v>
      </c>
      <c r="D15825" s="9" t="s">
        <v>18</v>
      </c>
      <c r="E15825" s="10" t="s">
        <v>552</v>
      </c>
      <c r="F15825" s="9" t="s">
        <v>553</v>
      </c>
      <c r="G15825" s="10" t="s">
        <v>34</v>
      </c>
      <c r="H15825" s="9" t="s">
        <v>22</v>
      </c>
      <c r="I15825" s="9" t="s">
        <v>31878</v>
      </c>
      <c r="J15825" s="10" t="str">
        <f>HYPERLINK("https://www.boe.es/gazeta/dias/1834/07/30/pdfs/GMD-1834-163.pdf#page=1","Abrir facsímil")</f>
        <v>Abrir facsímil</v>
      </c>
      <c r="K15825" s="10" t="s">
        <v>24</v>
      </c>
    </row>
    <row r="15826" spans="1:11" ht="54" customHeight="1">
      <c r="A15826" s="9" t="s">
        <v>31879</v>
      </c>
      <c r="B15826" s="9" t="s">
        <v>31879</v>
      </c>
      <c r="C15826" s="9" t="s">
        <v>17</v>
      </c>
      <c r="D15826" s="9" t="s">
        <v>101</v>
      </c>
      <c r="E15826" s="10" t="s">
        <v>262</v>
      </c>
      <c r="F15826" s="9" t="s">
        <v>7012</v>
      </c>
      <c r="G15826" s="10" t="s">
        <v>34</v>
      </c>
      <c r="H15826" s="9" t="s">
        <v>22</v>
      </c>
      <c r="I15826" s="9" t="s">
        <v>31880</v>
      </c>
      <c r="J15826" s="10" t="str">
        <f>HYPERLINK("https://www.boe.es/gazeta/dias/1834/10/18/pdfs/GMD-1834-246.pdf#page=1","Abrir facsímil")</f>
        <v>Abrir facsímil</v>
      </c>
      <c r="K15826" s="10" t="s">
        <v>24</v>
      </c>
    </row>
    <row r="15827" spans="1:11" ht="54" customHeight="1">
      <c r="A15827" s="9" t="s">
        <v>31881</v>
      </c>
      <c r="B15827" s="9" t="s">
        <v>31882</v>
      </c>
      <c r="C15827" s="9" t="s">
        <v>17</v>
      </c>
      <c r="D15827" s="9" t="s">
        <v>18</v>
      </c>
      <c r="E15827" s="10" t="s">
        <v>981</v>
      </c>
      <c r="F15827" s="9" t="s">
        <v>982</v>
      </c>
      <c r="G15827" s="10" t="s">
        <v>75</v>
      </c>
      <c r="H15827" s="9" t="s">
        <v>22</v>
      </c>
      <c r="I15827" s="9" t="s">
        <v>31883</v>
      </c>
      <c r="J15827" s="10" t="str">
        <f>HYPERLINK("https://www.boe.es/gazeta/dias/1834/09/21/pdfs/GMD-1834-219.pdf#page=4","Abrir facsímil")</f>
        <v>Abrir facsímil</v>
      </c>
      <c r="K15827" s="10" t="s">
        <v>24</v>
      </c>
    </row>
    <row r="15828" spans="1:11" ht="54" customHeight="1">
      <c r="A15828" s="9" t="s">
        <v>31884</v>
      </c>
      <c r="B15828" s="9" t="s">
        <v>31884</v>
      </c>
      <c r="C15828" s="9" t="s">
        <v>66</v>
      </c>
      <c r="D15828" s="9" t="s">
        <v>55</v>
      </c>
      <c r="E15828" s="10" t="s">
        <v>2379</v>
      </c>
      <c r="F15828" s="9" t="s">
        <v>2380</v>
      </c>
      <c r="G15828" s="10" t="s">
        <v>34</v>
      </c>
      <c r="H15828" s="9" t="s">
        <v>22</v>
      </c>
      <c r="I15828" s="9" t="s">
        <v>31885</v>
      </c>
      <c r="J15828" s="10" t="str">
        <f>HYPERLINK("https://www.boe.es/gazeta/dias/1834/04/03/pdfs/GMD-1834-42.pdf#page=1","Abrir facsímil")</f>
        <v>Abrir facsímil</v>
      </c>
      <c r="K15828" s="10" t="s">
        <v>24</v>
      </c>
    </row>
    <row r="15829" spans="1:11" ht="54" customHeight="1">
      <c r="A15829" s="9" t="s">
        <v>31886</v>
      </c>
      <c r="B15829" s="9" t="s">
        <v>31886</v>
      </c>
      <c r="C15829" s="9" t="s">
        <v>66</v>
      </c>
      <c r="D15829" s="9" t="s">
        <v>67</v>
      </c>
      <c r="E15829" s="10" t="s">
        <v>518</v>
      </c>
      <c r="F15829" s="9" t="s">
        <v>519</v>
      </c>
      <c r="G15829" s="10" t="s">
        <v>86</v>
      </c>
      <c r="H15829" s="9" t="s">
        <v>22</v>
      </c>
      <c r="I15829" s="9" t="s">
        <v>31887</v>
      </c>
      <c r="J15829" s="10" t="str">
        <f>HYPERLINK("https://www.boe.es/gazeta/dias/1834/03/15/pdfs/GMD-1834-33.pdf#page=2","Abrir facsímil")</f>
        <v>Abrir facsímil</v>
      </c>
      <c r="K15829" s="10" t="s">
        <v>24</v>
      </c>
    </row>
    <row r="15830" spans="1:11" ht="54" customHeight="1">
      <c r="A15830" s="9" t="s">
        <v>31888</v>
      </c>
      <c r="B15830" s="9" t="s">
        <v>31889</v>
      </c>
      <c r="C15830" s="9" t="s">
        <v>46</v>
      </c>
      <c r="D15830" s="9" t="s">
        <v>18</v>
      </c>
      <c r="E15830" s="10" t="s">
        <v>4565</v>
      </c>
      <c r="F15830" s="9" t="s">
        <v>4566</v>
      </c>
      <c r="G15830" s="10" t="s">
        <v>21</v>
      </c>
      <c r="H15830" s="9" t="s">
        <v>35</v>
      </c>
      <c r="I15830" s="9" t="s">
        <v>31890</v>
      </c>
      <c r="J15830" s="10" t="str">
        <f>HYPERLINK("https://www.boe.es/gazeta/dias/1834/07/10/pdfs/GMD-1834-143.pdf#page=3","Abrir facsímil")</f>
        <v>Abrir facsímil</v>
      </c>
      <c r="K15830" s="10" t="s">
        <v>37</v>
      </c>
    </row>
    <row r="15831" spans="1:11" ht="54" customHeight="1">
      <c r="A15831" s="9" t="s">
        <v>31891</v>
      </c>
      <c r="B15831" s="9" t="s">
        <v>31892</v>
      </c>
      <c r="C15831" s="9" t="s">
        <v>17</v>
      </c>
      <c r="D15831" s="9" t="s">
        <v>18</v>
      </c>
      <c r="E15831" s="10" t="s">
        <v>61</v>
      </c>
      <c r="F15831" s="9" t="s">
        <v>205</v>
      </c>
      <c r="G15831" s="10" t="s">
        <v>21</v>
      </c>
      <c r="H15831" s="9" t="s">
        <v>22</v>
      </c>
      <c r="I15831" s="9" t="s">
        <v>31893</v>
      </c>
      <c r="J15831" s="10" t="str">
        <f>HYPERLINK("https://www.boe.es/gazeta/dias/1834/06/08/pdfs/GMD-1834-110.pdf#page=3","Abrir facsímil")</f>
        <v>Abrir facsímil</v>
      </c>
      <c r="K15831" s="10" t="s">
        <v>24</v>
      </c>
    </row>
    <row r="15832" spans="1:11" ht="54" customHeight="1">
      <c r="A15832" s="9" t="s">
        <v>31891</v>
      </c>
      <c r="B15832" s="9" t="s">
        <v>31892</v>
      </c>
      <c r="C15832" s="9" t="s">
        <v>66</v>
      </c>
      <c r="D15832" s="9" t="s">
        <v>18</v>
      </c>
      <c r="E15832" s="10" t="s">
        <v>928</v>
      </c>
      <c r="F15832" s="9" t="s">
        <v>3338</v>
      </c>
      <c r="G15832" s="10" t="s">
        <v>21</v>
      </c>
      <c r="H15832" s="9" t="s">
        <v>22</v>
      </c>
      <c r="I15832" s="9" t="s">
        <v>31894</v>
      </c>
      <c r="J15832" s="10" t="str">
        <f>HYPERLINK("https://www.boe.es/gazeta/dias/1834/11/15/pdfs/GMD-1834-274.pdf#page=3","Abrir facsímil")</f>
        <v>Abrir facsímil</v>
      </c>
      <c r="K15832" s="10" t="s">
        <v>24</v>
      </c>
    </row>
    <row r="15833" spans="1:11" ht="54" customHeight="1">
      <c r="A15833" s="9" t="s">
        <v>31895</v>
      </c>
      <c r="B15833" s="9" t="s">
        <v>31896</v>
      </c>
      <c r="C15833" s="9" t="s">
        <v>17</v>
      </c>
      <c r="D15833" s="9" t="s">
        <v>18</v>
      </c>
      <c r="E15833" s="10" t="s">
        <v>61</v>
      </c>
      <c r="F15833" s="9" t="s">
        <v>205</v>
      </c>
      <c r="G15833" s="10" t="s">
        <v>21</v>
      </c>
      <c r="H15833" s="9" t="s">
        <v>35</v>
      </c>
      <c r="I15833" s="9" t="s">
        <v>31897</v>
      </c>
      <c r="J15833" s="10" t="str">
        <f>HYPERLINK("https://www.boe.es/gazeta/dias/1834/06/08/pdfs/GMD-1834-110.pdf#page=3","Abrir facsímil")</f>
        <v>Abrir facsímil</v>
      </c>
      <c r="K15833" s="10" t="s">
        <v>37</v>
      </c>
    </row>
    <row r="15834" spans="1:11" ht="54" customHeight="1">
      <c r="A15834" s="9" t="s">
        <v>31898</v>
      </c>
      <c r="B15834" s="9" t="s">
        <v>31899</v>
      </c>
      <c r="C15834" s="9" t="s">
        <v>66</v>
      </c>
      <c r="D15834" s="9" t="s">
        <v>67</v>
      </c>
      <c r="E15834" s="10" t="s">
        <v>808</v>
      </c>
      <c r="F15834" s="9" t="s">
        <v>809</v>
      </c>
      <c r="G15834" s="10" t="s">
        <v>21</v>
      </c>
      <c r="H15834" s="9" t="s">
        <v>35</v>
      </c>
      <c r="I15834" s="9" t="s">
        <v>31900</v>
      </c>
      <c r="J15834" s="10" t="str">
        <f>HYPERLINK("https://www.boe.es/gazeta/dias/1834/10/11/pdfs/GMD-1834-239.pdf#page=3","Abrir facsímil")</f>
        <v>Abrir facsímil</v>
      </c>
      <c r="K15834" s="10" t="s">
        <v>37</v>
      </c>
    </row>
    <row r="15835" spans="1:11" ht="54" customHeight="1">
      <c r="A15835" s="9" t="s">
        <v>31901</v>
      </c>
      <c r="B15835" s="9" t="s">
        <v>31902</v>
      </c>
      <c r="C15835" s="9" t="s">
        <v>66</v>
      </c>
      <c r="D15835" s="9" t="s">
        <v>67</v>
      </c>
      <c r="E15835" s="10" t="s">
        <v>808</v>
      </c>
      <c r="F15835" s="9" t="s">
        <v>809</v>
      </c>
      <c r="G15835" s="10" t="s">
        <v>21</v>
      </c>
      <c r="H15835" s="9" t="s">
        <v>22</v>
      </c>
      <c r="I15835" s="9" t="s">
        <v>31903</v>
      </c>
      <c r="J15835" s="10" t="str">
        <f>HYPERLINK("https://www.boe.es/gazeta/dias/1834/10/11/pdfs/GMD-1834-239.pdf#page=3","Abrir facsímil")</f>
        <v>Abrir facsímil</v>
      </c>
      <c r="K15835" s="10" t="s">
        <v>24</v>
      </c>
    </row>
    <row r="15836" spans="1:11" ht="54" customHeight="1">
      <c r="A15836" s="9" t="s">
        <v>31904</v>
      </c>
      <c r="B15836" s="9" t="s">
        <v>31905</v>
      </c>
      <c r="C15836" s="9" t="s">
        <v>17</v>
      </c>
      <c r="D15836" s="9" t="s">
        <v>18</v>
      </c>
      <c r="E15836" s="10" t="s">
        <v>408</v>
      </c>
      <c r="F15836" s="9" t="s">
        <v>409</v>
      </c>
      <c r="G15836" s="10" t="s">
        <v>86</v>
      </c>
      <c r="H15836" s="9" t="s">
        <v>22</v>
      </c>
      <c r="I15836" s="9" t="s">
        <v>31906</v>
      </c>
      <c r="J15836" s="10" t="str">
        <f>HYPERLINK("https://www.boe.es/gazeta/dias/1834/04/28/pdfs/GMD-1834-67.pdf#page=2","Abrir facsímil")</f>
        <v>Abrir facsímil</v>
      </c>
      <c r="K15836" s="10" t="s">
        <v>24</v>
      </c>
    </row>
    <row r="15837" spans="1:11" ht="54" customHeight="1">
      <c r="A15837" s="9" t="s">
        <v>31907</v>
      </c>
      <c r="B15837" s="9" t="s">
        <v>31908</v>
      </c>
      <c r="C15837" s="9" t="s">
        <v>17</v>
      </c>
      <c r="D15837" s="9" t="s">
        <v>18</v>
      </c>
      <c r="E15837" s="10" t="s">
        <v>2218</v>
      </c>
      <c r="F15837" s="9" t="s">
        <v>2219</v>
      </c>
      <c r="G15837" s="10" t="s">
        <v>34</v>
      </c>
      <c r="H15837" s="9" t="s">
        <v>22</v>
      </c>
      <c r="I15837" s="9" t="s">
        <v>31909</v>
      </c>
      <c r="J15837" s="10" t="str">
        <f>HYPERLINK("https://www.boe.es/gazeta/dias/1834/11/05/pdfs/GMD-1834-264.pdf#page=1","Abrir facsímil")</f>
        <v>Abrir facsímil</v>
      </c>
      <c r="K15837" s="10" t="s">
        <v>24</v>
      </c>
    </row>
    <row r="15838" spans="1:11" ht="54" customHeight="1">
      <c r="A15838" s="9" t="s">
        <v>31910</v>
      </c>
      <c r="B15838" s="9" t="s">
        <v>31910</v>
      </c>
      <c r="C15838" s="9" t="s">
        <v>66</v>
      </c>
      <c r="D15838" s="9" t="s">
        <v>67</v>
      </c>
      <c r="E15838" s="10" t="s">
        <v>47</v>
      </c>
      <c r="F15838" s="9" t="s">
        <v>1466</v>
      </c>
      <c r="G15838" s="10" t="s">
        <v>86</v>
      </c>
      <c r="H15838" s="9" t="s">
        <v>22</v>
      </c>
      <c r="I15838" s="9" t="s">
        <v>31911</v>
      </c>
      <c r="J15838" s="10" t="str">
        <f>HYPERLINK("https://www.boe.es/gazeta/dias/1834/09/05/pdfs/GMD-1834-203.pdf#page=2","Abrir facsímil")</f>
        <v>Abrir facsímil</v>
      </c>
      <c r="K15838" s="10" t="s">
        <v>24</v>
      </c>
    </row>
    <row r="15839" spans="1:11" ht="54" customHeight="1">
      <c r="A15839" s="9" t="s">
        <v>31912</v>
      </c>
      <c r="B15839" s="9" t="s">
        <v>31912</v>
      </c>
      <c r="C15839" s="9" t="s">
        <v>17</v>
      </c>
      <c r="D15839" s="9" t="s">
        <v>18</v>
      </c>
      <c r="E15839" s="10" t="s">
        <v>707</v>
      </c>
      <c r="F15839" s="9" t="s">
        <v>708</v>
      </c>
      <c r="G15839" s="10" t="s">
        <v>21</v>
      </c>
      <c r="H15839" s="9" t="s">
        <v>22</v>
      </c>
      <c r="I15839" s="9" t="s">
        <v>31913</v>
      </c>
      <c r="J15839" s="10" t="str">
        <f>HYPERLINK("https://www.boe.es/gazeta/dias/1834/11/25/pdfs/GMD-C-1834-284.pdf#page=3","Abrir facsímil")</f>
        <v>Abrir facsímil</v>
      </c>
      <c r="K15839" s="10" t="s">
        <v>24</v>
      </c>
    </row>
    <row r="15840" spans="1:11" ht="54" customHeight="1">
      <c r="A15840" s="9" t="s">
        <v>31914</v>
      </c>
      <c r="B15840" s="9" t="s">
        <v>31914</v>
      </c>
      <c r="C15840" s="9" t="s">
        <v>17</v>
      </c>
      <c r="D15840" s="9" t="s">
        <v>18</v>
      </c>
      <c r="E15840" s="10" t="s">
        <v>777</v>
      </c>
      <c r="F15840" s="9" t="s">
        <v>2535</v>
      </c>
      <c r="G15840" s="10" t="s">
        <v>34</v>
      </c>
      <c r="H15840" s="9" t="s">
        <v>22</v>
      </c>
      <c r="I15840" s="9" t="s">
        <v>31915</v>
      </c>
      <c r="J15840" s="10" t="str">
        <f>HYPERLINK("https://www.boe.es/gazeta/dias/1834/10/29/pdfs/GMD-C-1834-257.pdf#page=1","Abrir facsímil")</f>
        <v>Abrir facsímil</v>
      </c>
      <c r="K15840" s="10" t="s">
        <v>24</v>
      </c>
    </row>
    <row r="15841" spans="1:11" ht="54" customHeight="1">
      <c r="A15841" s="9" t="s">
        <v>31916</v>
      </c>
      <c r="B15841" s="9" t="s">
        <v>31917</v>
      </c>
      <c r="C15841" s="9" t="s">
        <v>17</v>
      </c>
      <c r="D15841" s="9" t="s">
        <v>18</v>
      </c>
      <c r="E15841" s="10" t="s">
        <v>1410</v>
      </c>
      <c r="F15841" s="9" t="s">
        <v>1411</v>
      </c>
      <c r="G15841" s="10" t="s">
        <v>21</v>
      </c>
      <c r="H15841" s="9" t="s">
        <v>22</v>
      </c>
      <c r="I15841" s="9" t="s">
        <v>31918</v>
      </c>
      <c r="J15841" s="10" t="str">
        <f>HYPERLINK("https://www.boe.es/gazeta/dias/1834/09/09/pdfs/GMD-1834-207.pdf#page=3","Abrir facsímil")</f>
        <v>Abrir facsímil</v>
      </c>
      <c r="K15841" s="10" t="s">
        <v>24</v>
      </c>
    </row>
    <row r="15842" spans="1:11" ht="54" customHeight="1">
      <c r="A15842" s="9" t="s">
        <v>31919</v>
      </c>
      <c r="B15842" s="9" t="s">
        <v>31920</v>
      </c>
      <c r="C15842" s="9" t="s">
        <v>66</v>
      </c>
      <c r="D15842" s="9" t="s">
        <v>67</v>
      </c>
      <c r="E15842" s="10" t="s">
        <v>2048</v>
      </c>
      <c r="F15842" s="9" t="s">
        <v>2049</v>
      </c>
      <c r="G15842" s="10" t="s">
        <v>34</v>
      </c>
      <c r="H15842" s="9" t="s">
        <v>35</v>
      </c>
      <c r="I15842" s="9" t="s">
        <v>31921</v>
      </c>
      <c r="J15842" s="10" t="str">
        <f>HYPERLINK("https://www.boe.es/gazeta/dias/1834/05/12/pdfs/GMD-1834-81.pdf#page=1","Abrir facsímil")</f>
        <v>Abrir facsímil</v>
      </c>
      <c r="K15842" s="10" t="s">
        <v>37</v>
      </c>
    </row>
    <row r="15843" spans="1:11" ht="54" customHeight="1">
      <c r="A15843" s="9" t="s">
        <v>31922</v>
      </c>
      <c r="B15843" s="9" t="s">
        <v>31922</v>
      </c>
      <c r="C15843" s="9" t="s">
        <v>17</v>
      </c>
      <c r="D15843" s="9" t="s">
        <v>55</v>
      </c>
      <c r="E15843" s="10" t="s">
        <v>2287</v>
      </c>
      <c r="F15843" s="9" t="s">
        <v>4741</v>
      </c>
      <c r="G15843" s="10" t="s">
        <v>86</v>
      </c>
      <c r="H15843" s="9" t="s">
        <v>22</v>
      </c>
      <c r="I15843" s="9" t="s">
        <v>31923</v>
      </c>
      <c r="J15843" s="10" t="str">
        <f>HYPERLINK("https://www.boe.es/gazeta/dias/1834/12/18/pdfs/GMD-1834-308.pdf#page=2","Abrir facsímil")</f>
        <v>Abrir facsímil</v>
      </c>
      <c r="K15843" s="10" t="s">
        <v>24</v>
      </c>
    </row>
    <row r="15844" spans="1:11" ht="54" customHeight="1">
      <c r="A15844" s="9" t="s">
        <v>31924</v>
      </c>
      <c r="B15844" s="9" t="s">
        <v>31924</v>
      </c>
      <c r="C15844" s="9" t="s">
        <v>17</v>
      </c>
      <c r="D15844" s="9" t="s">
        <v>18</v>
      </c>
      <c r="E15844" s="10" t="s">
        <v>2287</v>
      </c>
      <c r="F15844" s="9" t="s">
        <v>2288</v>
      </c>
      <c r="G15844" s="10" t="s">
        <v>21</v>
      </c>
      <c r="H15844" s="9" t="s">
        <v>22</v>
      </c>
      <c r="I15844" s="9" t="s">
        <v>31925</v>
      </c>
      <c r="J15844" s="10" t="str">
        <f>HYPERLINK("https://www.boe.es/gazeta/dias/1834/12/18/pdfs/GMD-C-1834-308.pdf#page=3","Abrir facsímil")</f>
        <v>Abrir facsímil</v>
      </c>
      <c r="K15844" s="10" t="s">
        <v>24</v>
      </c>
    </row>
    <row r="15845" spans="1:11" ht="54" customHeight="1">
      <c r="A15845" s="9" t="s">
        <v>31926</v>
      </c>
      <c r="B15845" s="9" t="s">
        <v>31927</v>
      </c>
      <c r="C15845" s="9" t="s">
        <v>17</v>
      </c>
      <c r="D15845" s="9" t="s">
        <v>18</v>
      </c>
      <c r="E15845" s="10" t="s">
        <v>19</v>
      </c>
      <c r="F15845" s="9" t="s">
        <v>107</v>
      </c>
      <c r="G15845" s="10" t="s">
        <v>75</v>
      </c>
      <c r="H15845" s="9" t="s">
        <v>22</v>
      </c>
      <c r="I15845" s="9" t="s">
        <v>31928</v>
      </c>
      <c r="J15845" s="10" t="str">
        <f>HYPERLINK("https://www.boe.es/gazeta/dias/1834/08/17/pdfs/GMD-1834-182.pdf#page=4","Abrir facsímil")</f>
        <v>Abrir facsímil</v>
      </c>
      <c r="K15845" s="10" t="s">
        <v>24</v>
      </c>
    </row>
    <row r="15846" spans="1:11" ht="54" customHeight="1">
      <c r="A15846" s="9" t="s">
        <v>31929</v>
      </c>
      <c r="B15846" s="9" t="s">
        <v>31930</v>
      </c>
      <c r="C15846" s="9" t="s">
        <v>17</v>
      </c>
      <c r="D15846" s="9" t="s">
        <v>55</v>
      </c>
      <c r="E15846" s="10" t="s">
        <v>1239</v>
      </c>
      <c r="F15846" s="9" t="s">
        <v>1240</v>
      </c>
      <c r="G15846" s="10" t="s">
        <v>34</v>
      </c>
      <c r="H15846" s="9" t="s">
        <v>22</v>
      </c>
      <c r="I15846" s="9" t="s">
        <v>31931</v>
      </c>
      <c r="J15846" s="10" t="str">
        <f>HYPERLINK("https://www.boe.es/gazeta/dias/1834/08/20/pdfs/GMD-1834-186.pdf#page=1","Abrir facsímil")</f>
        <v>Abrir facsímil</v>
      </c>
      <c r="K15846" s="10" t="s">
        <v>24</v>
      </c>
    </row>
    <row r="15847" spans="1:11" ht="54" customHeight="1">
      <c r="A15847" s="9" t="s">
        <v>31932</v>
      </c>
      <c r="B15847" s="9" t="s">
        <v>31933</v>
      </c>
      <c r="C15847" s="9" t="s">
        <v>66</v>
      </c>
      <c r="D15847" s="9" t="s">
        <v>67</v>
      </c>
      <c r="E15847" s="10" t="s">
        <v>304</v>
      </c>
      <c r="F15847" s="9" t="s">
        <v>305</v>
      </c>
      <c r="G15847" s="10" t="s">
        <v>21</v>
      </c>
      <c r="H15847" s="9" t="s">
        <v>22</v>
      </c>
      <c r="I15847" s="9" t="s">
        <v>31934</v>
      </c>
      <c r="J15847" s="10" t="str">
        <f>HYPERLINK("https://www.boe.es/gazeta/dias/1834/01/21/pdfs/GMD-1834-10.pdf#page=3","Abrir facsímil")</f>
        <v>Abrir facsímil</v>
      </c>
      <c r="K15847" s="10" t="s">
        <v>24</v>
      </c>
    </row>
    <row r="15848" spans="1:11" ht="54" customHeight="1">
      <c r="A15848" s="9" t="s">
        <v>31935</v>
      </c>
      <c r="B15848" s="9" t="s">
        <v>31936</v>
      </c>
      <c r="C15848" s="9" t="s">
        <v>17</v>
      </c>
      <c r="D15848" s="9" t="s">
        <v>18</v>
      </c>
      <c r="E15848" s="10" t="s">
        <v>375</v>
      </c>
      <c r="F15848" s="9" t="s">
        <v>376</v>
      </c>
      <c r="G15848" s="10" t="s">
        <v>34</v>
      </c>
      <c r="H15848" s="9" t="s">
        <v>22</v>
      </c>
      <c r="I15848" s="9" t="s">
        <v>31937</v>
      </c>
      <c r="J15848" s="10" t="str">
        <f>HYPERLINK("https://www.boe.es/gazeta/dias/1834/08/21/pdfs/GMD-1834-187.pdf#page=1","Abrir facsímil")</f>
        <v>Abrir facsímil</v>
      </c>
      <c r="K15848" s="10" t="s">
        <v>24</v>
      </c>
    </row>
    <row r="15849" spans="1:11" ht="54" customHeight="1">
      <c r="A15849" s="9" t="s">
        <v>31938</v>
      </c>
      <c r="B15849" s="9" t="s">
        <v>31939</v>
      </c>
      <c r="C15849" s="9" t="s">
        <v>66</v>
      </c>
      <c r="D15849" s="9" t="s">
        <v>67</v>
      </c>
      <c r="E15849" s="10" t="s">
        <v>1262</v>
      </c>
      <c r="F15849" s="9" t="s">
        <v>1263</v>
      </c>
      <c r="G15849" s="10" t="s">
        <v>75</v>
      </c>
      <c r="H15849" s="9" t="s">
        <v>35</v>
      </c>
      <c r="I15849" s="9" t="s">
        <v>31940</v>
      </c>
      <c r="J15849" s="10" t="str">
        <f>HYPERLINK("https://www.boe.es/gazeta/dias/1834/02/01/pdfs/GMD-1834-15.pdf#page=4","Abrir facsímil")</f>
        <v>Abrir facsímil</v>
      </c>
      <c r="K15849" s="10" t="s">
        <v>37</v>
      </c>
    </row>
    <row r="15850" spans="1:11" ht="54" customHeight="1">
      <c r="A15850" s="9" t="s">
        <v>31938</v>
      </c>
      <c r="B15850" s="9" t="s">
        <v>31939</v>
      </c>
      <c r="C15850" s="9" t="s">
        <v>17</v>
      </c>
      <c r="D15850" s="9" t="s">
        <v>18</v>
      </c>
      <c r="E15850" s="10" t="s">
        <v>3248</v>
      </c>
      <c r="F15850" s="9" t="s">
        <v>3249</v>
      </c>
      <c r="G15850" s="10" t="s">
        <v>21</v>
      </c>
      <c r="H15850" s="9" t="s">
        <v>35</v>
      </c>
      <c r="I15850" s="9" t="s">
        <v>31941</v>
      </c>
      <c r="J15850" s="10" t="str">
        <f>HYPERLINK("https://www.boe.es/gazeta/dias/1834/09/20/pdfs/GMD-1834-218.pdf#page=3","Abrir facsímil")</f>
        <v>Abrir facsímil</v>
      </c>
      <c r="K15850" s="10" t="s">
        <v>37</v>
      </c>
    </row>
    <row r="15851" spans="1:11" ht="54" customHeight="1">
      <c r="A15851" s="9" t="s">
        <v>31942</v>
      </c>
      <c r="B15851" s="9" t="s">
        <v>31943</v>
      </c>
      <c r="C15851" s="9" t="s">
        <v>17</v>
      </c>
      <c r="D15851" s="9" t="s">
        <v>18</v>
      </c>
      <c r="E15851" s="10" t="s">
        <v>286</v>
      </c>
      <c r="F15851" s="9" t="s">
        <v>287</v>
      </c>
      <c r="G15851" s="10" t="s">
        <v>21</v>
      </c>
      <c r="H15851" s="9" t="s">
        <v>35</v>
      </c>
      <c r="I15851" s="9" t="s">
        <v>31944</v>
      </c>
      <c r="J15851" s="10" t="str">
        <f>HYPERLINK("https://www.boe.es/gazeta/dias/1834/08/30/pdfs/GMD-C-1834-196.pdf#page=3","Abrir facsímil")</f>
        <v>Abrir facsímil</v>
      </c>
      <c r="K15851" s="10" t="s">
        <v>37</v>
      </c>
    </row>
    <row r="15852" spans="1:11" ht="54" customHeight="1">
      <c r="A15852" s="9" t="s">
        <v>31945</v>
      </c>
      <c r="B15852" s="9" t="s">
        <v>31946</v>
      </c>
      <c r="C15852" s="9" t="s">
        <v>17</v>
      </c>
      <c r="D15852" s="9" t="s">
        <v>18</v>
      </c>
      <c r="E15852" s="10" t="s">
        <v>719</v>
      </c>
      <c r="F15852" s="9" t="s">
        <v>720</v>
      </c>
      <c r="G15852" s="10" t="s">
        <v>21</v>
      </c>
      <c r="H15852" s="9" t="s">
        <v>22</v>
      </c>
      <c r="I15852" s="9" t="s">
        <v>31947</v>
      </c>
      <c r="J15852" s="10" t="str">
        <f>HYPERLINK("https://www.boe.es/gazeta/dias/1834/04/29/pdfs/GMD-1834-68.pdf#page=3","Abrir facsímil")</f>
        <v>Abrir facsímil</v>
      </c>
      <c r="K15852" s="10" t="s">
        <v>24</v>
      </c>
    </row>
    <row r="15853" spans="1:11" ht="54" customHeight="1">
      <c r="A15853" s="9" t="s">
        <v>31948</v>
      </c>
      <c r="B15853" s="9" t="s">
        <v>31949</v>
      </c>
      <c r="C15853" s="9" t="s">
        <v>90</v>
      </c>
      <c r="D15853" s="9" t="s">
        <v>18</v>
      </c>
      <c r="E15853" s="10" t="s">
        <v>863</v>
      </c>
      <c r="F15853" s="9" t="s">
        <v>864</v>
      </c>
      <c r="G15853" s="10" t="s">
        <v>75</v>
      </c>
      <c r="H15853" s="9" t="s">
        <v>22</v>
      </c>
      <c r="I15853" s="9" t="s">
        <v>31950</v>
      </c>
      <c r="J15853" s="10" t="str">
        <f>HYPERLINK("https://www.boe.es/gazeta/dias/1834/09/15/pdfs/GMD-1834-213.pdf#page=4","Abrir facsímil")</f>
        <v>Abrir facsímil</v>
      </c>
      <c r="K15853" s="10" t="s">
        <v>24</v>
      </c>
    </row>
    <row r="15854" spans="1:11" ht="54" customHeight="1">
      <c r="A15854" s="9" t="s">
        <v>31951</v>
      </c>
      <c r="B15854" s="9" t="s">
        <v>31952</v>
      </c>
      <c r="C15854" s="9" t="s">
        <v>66</v>
      </c>
      <c r="D15854" s="9" t="s">
        <v>67</v>
      </c>
      <c r="E15854" s="10" t="s">
        <v>1262</v>
      </c>
      <c r="F15854" s="9" t="s">
        <v>1263</v>
      </c>
      <c r="G15854" s="10" t="s">
        <v>75</v>
      </c>
      <c r="H15854" s="9" t="s">
        <v>22</v>
      </c>
      <c r="I15854" s="9" t="s">
        <v>31953</v>
      </c>
      <c r="J15854" s="10" t="str">
        <f>HYPERLINK("https://www.boe.es/gazeta/dias/1834/02/01/pdfs/GMD-1834-15.pdf#page=4","Abrir facsímil")</f>
        <v>Abrir facsímil</v>
      </c>
      <c r="K15854" s="10" t="s">
        <v>24</v>
      </c>
    </row>
    <row r="15855" spans="1:11" ht="54" customHeight="1">
      <c r="A15855" s="9" t="s">
        <v>31951</v>
      </c>
      <c r="B15855" s="9" t="s">
        <v>31952</v>
      </c>
      <c r="C15855" s="9" t="s">
        <v>66</v>
      </c>
      <c r="D15855" s="9" t="s">
        <v>67</v>
      </c>
      <c r="E15855" s="10" t="s">
        <v>3248</v>
      </c>
      <c r="F15855" s="9" t="s">
        <v>3249</v>
      </c>
      <c r="G15855" s="10" t="s">
        <v>21</v>
      </c>
      <c r="H15855" s="9" t="s">
        <v>22</v>
      </c>
      <c r="I15855" s="9" t="s">
        <v>31954</v>
      </c>
      <c r="J15855" s="10" t="str">
        <f>HYPERLINK("https://www.boe.es/gazeta/dias/1834/09/20/pdfs/GMD-1834-218.pdf#page=3","Abrir facsímil")</f>
        <v>Abrir facsímil</v>
      </c>
      <c r="K15855" s="10" t="s">
        <v>24</v>
      </c>
    </row>
    <row r="15856" spans="1:11" ht="54" customHeight="1">
      <c r="A15856" s="9" t="s">
        <v>31955</v>
      </c>
      <c r="B15856" s="9" t="s">
        <v>31956</v>
      </c>
      <c r="C15856" s="9" t="s">
        <v>17</v>
      </c>
      <c r="D15856" s="9" t="s">
        <v>18</v>
      </c>
      <c r="E15856" s="10" t="s">
        <v>209</v>
      </c>
      <c r="F15856" s="9" t="s">
        <v>210</v>
      </c>
      <c r="G15856" s="10" t="s">
        <v>75</v>
      </c>
      <c r="H15856" s="9" t="s">
        <v>22</v>
      </c>
      <c r="I15856" s="9" t="s">
        <v>31957</v>
      </c>
      <c r="J15856" s="10" t="str">
        <f>HYPERLINK("https://www.boe.es/gazeta/dias/1834/07/01/pdfs/GMD-1834-134.pdf#page=4","Abrir facsímil")</f>
        <v>Abrir facsímil</v>
      </c>
      <c r="K15856" s="10" t="s">
        <v>24</v>
      </c>
    </row>
    <row r="15857" spans="1:11" ht="54" customHeight="1">
      <c r="A15857" s="9" t="s">
        <v>31955</v>
      </c>
      <c r="B15857" s="9" t="s">
        <v>31956</v>
      </c>
      <c r="C15857" s="9" t="s">
        <v>122</v>
      </c>
      <c r="D15857" s="9" t="s">
        <v>18</v>
      </c>
      <c r="E15857" s="10" t="s">
        <v>348</v>
      </c>
      <c r="F15857" s="9" t="s">
        <v>501</v>
      </c>
      <c r="G15857" s="10" t="s">
        <v>86</v>
      </c>
      <c r="H15857" s="9" t="s">
        <v>22</v>
      </c>
      <c r="I15857" s="9" t="s">
        <v>31958</v>
      </c>
      <c r="J15857" s="10" t="str">
        <f>HYPERLINK("https://www.boe.es/gazeta/dias/1834/06/12/pdfs/GMD-1834-115.pdf#page=2","Abrir facsímil")</f>
        <v>Abrir facsímil</v>
      </c>
      <c r="K15857" s="10" t="s">
        <v>24</v>
      </c>
    </row>
    <row r="15858" spans="1:11" ht="54" customHeight="1">
      <c r="A15858" s="9" t="s">
        <v>31955</v>
      </c>
      <c r="B15858" s="9" t="s">
        <v>31956</v>
      </c>
      <c r="C15858" s="9" t="s">
        <v>46</v>
      </c>
      <c r="D15858" s="9" t="s">
        <v>101</v>
      </c>
      <c r="E15858" s="10" t="s">
        <v>919</v>
      </c>
      <c r="F15858" s="9" t="s">
        <v>920</v>
      </c>
      <c r="G15858" s="10" t="s">
        <v>75</v>
      </c>
      <c r="H15858" s="9" t="s">
        <v>22</v>
      </c>
      <c r="I15858" s="9" t="s">
        <v>31959</v>
      </c>
      <c r="J15858" s="10" t="str">
        <f>HYPERLINK("https://www.boe.es/gazeta/dias/1834/06/24/pdfs/GMD-1834-127.pdf#page=4","Abrir facsímil")</f>
        <v>Abrir facsímil</v>
      </c>
      <c r="K15858" s="10" t="s">
        <v>24</v>
      </c>
    </row>
    <row r="15859" spans="1:11" ht="54" customHeight="1">
      <c r="A15859" s="9" t="s">
        <v>31955</v>
      </c>
      <c r="B15859" s="9" t="s">
        <v>31956</v>
      </c>
      <c r="C15859" s="9" t="s">
        <v>66</v>
      </c>
      <c r="D15859" s="9" t="s">
        <v>101</v>
      </c>
      <c r="E15859" s="10" t="s">
        <v>2937</v>
      </c>
      <c r="F15859" s="9" t="s">
        <v>2938</v>
      </c>
      <c r="G15859" s="10" t="s">
        <v>75</v>
      </c>
      <c r="H15859" s="9" t="s">
        <v>22</v>
      </c>
      <c r="I15859" s="9" t="s">
        <v>31960</v>
      </c>
      <c r="J15859" s="10" t="str">
        <f>HYPERLINK("https://www.boe.es/gazeta/dias/1834/06/25/pdfs/GMD-1834-128.pdf#page=4","Abrir facsímil")</f>
        <v>Abrir facsímil</v>
      </c>
      <c r="K15859" s="10" t="s">
        <v>24</v>
      </c>
    </row>
    <row r="15860" spans="1:11" ht="54" customHeight="1">
      <c r="A15860" s="9" t="s">
        <v>31955</v>
      </c>
      <c r="B15860" s="9" t="s">
        <v>31956</v>
      </c>
      <c r="C15860" s="9" t="s">
        <v>122</v>
      </c>
      <c r="D15860" s="9" t="s">
        <v>18</v>
      </c>
      <c r="E15860" s="10" t="s">
        <v>1002</v>
      </c>
      <c r="F15860" s="9" t="s">
        <v>1003</v>
      </c>
      <c r="G15860" s="10" t="s">
        <v>75</v>
      </c>
      <c r="H15860" s="9" t="s">
        <v>22</v>
      </c>
      <c r="I15860" s="9" t="s">
        <v>31961</v>
      </c>
      <c r="J15860" s="10" t="str">
        <f>HYPERLINK("https://www.boe.es/gazeta/dias/1834/06/26/pdfs/GMD-1834-129.pdf#page=4","Abrir facsímil")</f>
        <v>Abrir facsímil</v>
      </c>
      <c r="K15860" s="10" t="s">
        <v>24</v>
      </c>
    </row>
    <row r="15861" spans="1:11" ht="54" customHeight="1">
      <c r="A15861" s="9" t="s">
        <v>31955</v>
      </c>
      <c r="B15861" s="9" t="s">
        <v>31956</v>
      </c>
      <c r="C15861" s="9" t="s">
        <v>17</v>
      </c>
      <c r="D15861" s="9" t="s">
        <v>18</v>
      </c>
      <c r="E15861" s="10" t="s">
        <v>1773</v>
      </c>
      <c r="F15861" s="9" t="s">
        <v>1774</v>
      </c>
      <c r="G15861" s="10" t="s">
        <v>75</v>
      </c>
      <c r="H15861" s="9" t="s">
        <v>22</v>
      </c>
      <c r="I15861" s="9" t="s">
        <v>31962</v>
      </c>
      <c r="J15861" s="10" t="str">
        <f>HYPERLINK("https://www.boe.es/gazeta/dias/1834/06/28/pdfs/GMD-1834-131.pdf#page=4","Abrir facsímil")</f>
        <v>Abrir facsímil</v>
      </c>
      <c r="K15861" s="10" t="s">
        <v>24</v>
      </c>
    </row>
    <row r="15862" spans="1:11" ht="54" customHeight="1">
      <c r="A15862" s="9" t="s">
        <v>31955</v>
      </c>
      <c r="B15862" s="9" t="s">
        <v>31956</v>
      </c>
      <c r="C15862" s="9" t="s">
        <v>17</v>
      </c>
      <c r="D15862" s="9" t="s">
        <v>18</v>
      </c>
      <c r="E15862" s="10" t="s">
        <v>1695</v>
      </c>
      <c r="F15862" s="9" t="s">
        <v>1696</v>
      </c>
      <c r="G15862" s="10" t="s">
        <v>75</v>
      </c>
      <c r="H15862" s="9" t="s">
        <v>22</v>
      </c>
      <c r="I15862" s="9" t="s">
        <v>31963</v>
      </c>
      <c r="J15862" s="10" t="str">
        <f>HYPERLINK("https://www.boe.es/gazeta/dias/1834/06/30/pdfs/GMD-1834-133.pdf#page=4","Abrir facsímil")</f>
        <v>Abrir facsímil</v>
      </c>
      <c r="K15862" s="10" t="s">
        <v>24</v>
      </c>
    </row>
    <row r="15863" spans="1:11" ht="54" customHeight="1">
      <c r="A15863" s="9" t="s">
        <v>31964</v>
      </c>
      <c r="B15863" s="9" t="s">
        <v>31964</v>
      </c>
      <c r="C15863" s="9" t="s">
        <v>66</v>
      </c>
      <c r="D15863" s="9" t="s">
        <v>67</v>
      </c>
      <c r="E15863" s="10" t="s">
        <v>441</v>
      </c>
      <c r="F15863" s="9" t="s">
        <v>442</v>
      </c>
      <c r="G15863" s="10" t="s">
        <v>86</v>
      </c>
      <c r="H15863" s="9" t="s">
        <v>22</v>
      </c>
      <c r="I15863" s="9" t="s">
        <v>31965</v>
      </c>
      <c r="J15863" s="10" t="str">
        <f>HYPERLINK("https://www.boe.es/gazeta/dias/1834/11/10/pdfs/GMD-1834-269.pdf#page=2","Abrir facsímil")</f>
        <v>Abrir facsímil</v>
      </c>
      <c r="K15863" s="10" t="s">
        <v>24</v>
      </c>
    </row>
    <row r="15864" spans="1:11" ht="54" customHeight="1">
      <c r="A15864" s="9" t="s">
        <v>31964</v>
      </c>
      <c r="B15864" s="9" t="s">
        <v>31964</v>
      </c>
      <c r="C15864" s="9" t="s">
        <v>66</v>
      </c>
      <c r="D15864" s="9" t="s">
        <v>67</v>
      </c>
      <c r="E15864" s="10" t="s">
        <v>510</v>
      </c>
      <c r="F15864" s="9" t="s">
        <v>511</v>
      </c>
      <c r="G15864" s="10" t="s">
        <v>75</v>
      </c>
      <c r="H15864" s="9" t="s">
        <v>22</v>
      </c>
      <c r="I15864" s="9" t="s">
        <v>31966</v>
      </c>
      <c r="J15864" s="10" t="str">
        <f>HYPERLINK("https://www.boe.es/gazeta/dias/1834/11/26/pdfs/GMD-1834-285.pdf#page=4","Abrir facsímil")</f>
        <v>Abrir facsímil</v>
      </c>
      <c r="K15864" s="10" t="s">
        <v>24</v>
      </c>
    </row>
    <row r="15865" spans="1:11" ht="54" customHeight="1">
      <c r="A15865" s="9" t="s">
        <v>31967</v>
      </c>
      <c r="B15865" s="9" t="s">
        <v>31967</v>
      </c>
      <c r="C15865" s="9" t="s">
        <v>66</v>
      </c>
      <c r="D15865" s="9" t="s">
        <v>67</v>
      </c>
      <c r="E15865" s="10" t="s">
        <v>448</v>
      </c>
      <c r="F15865" s="9" t="s">
        <v>2058</v>
      </c>
      <c r="G15865" s="10" t="s">
        <v>75</v>
      </c>
      <c r="H15865" s="9" t="s">
        <v>22</v>
      </c>
      <c r="I15865" s="9" t="s">
        <v>31968</v>
      </c>
      <c r="J15865" s="10" t="str">
        <f>HYPERLINK("https://www.boe.es/gazeta/dias/1834/10/14/pdfs/GMD-1834-242.pdf#page=4","Abrir facsímil")</f>
        <v>Abrir facsímil</v>
      </c>
      <c r="K15865" s="10" t="s">
        <v>24</v>
      </c>
    </row>
    <row r="15866" spans="1:11" ht="54" customHeight="1">
      <c r="A15866" s="9" t="s">
        <v>31969</v>
      </c>
      <c r="B15866" s="9" t="s">
        <v>31970</v>
      </c>
      <c r="C15866" s="9" t="s">
        <v>17</v>
      </c>
      <c r="D15866" s="9" t="s">
        <v>18</v>
      </c>
      <c r="E15866" s="10" t="s">
        <v>518</v>
      </c>
      <c r="F15866" s="9" t="s">
        <v>519</v>
      </c>
      <c r="G15866" s="10" t="s">
        <v>86</v>
      </c>
      <c r="H15866" s="9" t="s">
        <v>22</v>
      </c>
      <c r="I15866" s="9" t="s">
        <v>31971</v>
      </c>
      <c r="J15866" s="10" t="str">
        <f>HYPERLINK("https://www.boe.es/gazeta/dias/1834/03/15/pdfs/GMD-1834-33.pdf#page=2","Abrir facsímil")</f>
        <v>Abrir facsímil</v>
      </c>
      <c r="K15866" s="10" t="s">
        <v>24</v>
      </c>
    </row>
    <row r="15867" spans="1:11" ht="54" customHeight="1">
      <c r="A15867" s="9" t="s">
        <v>31972</v>
      </c>
      <c r="B15867" s="9" t="s">
        <v>31973</v>
      </c>
      <c r="C15867" s="9" t="s">
        <v>46</v>
      </c>
      <c r="D15867" s="9" t="s">
        <v>101</v>
      </c>
      <c r="E15867" s="10" t="s">
        <v>772</v>
      </c>
      <c r="F15867" s="9" t="s">
        <v>2284</v>
      </c>
      <c r="G15867" s="10" t="s">
        <v>176</v>
      </c>
      <c r="H15867" s="9" t="s">
        <v>22</v>
      </c>
      <c r="I15867" s="9" t="s">
        <v>31974</v>
      </c>
      <c r="J15867" s="10" t="str">
        <f>HYPERLINK("https://www.boe.es/gazeta/dias/1834/09/18/pdfs/GMD-C-1834-216.pdf#page=6","Abrir facsímil")</f>
        <v>Abrir facsímil</v>
      </c>
      <c r="K15867" s="10" t="s">
        <v>24</v>
      </c>
    </row>
    <row r="15868" spans="1:11" ht="54" customHeight="1">
      <c r="A15868" s="9" t="s">
        <v>31975</v>
      </c>
      <c r="B15868" s="9" t="s">
        <v>31975</v>
      </c>
      <c r="C15868" s="9" t="s">
        <v>66</v>
      </c>
      <c r="D15868" s="9" t="s">
        <v>18</v>
      </c>
      <c r="E15868" s="10" t="s">
        <v>339</v>
      </c>
      <c r="F15868" s="9" t="s">
        <v>340</v>
      </c>
      <c r="G15868" s="10" t="s">
        <v>21</v>
      </c>
      <c r="H15868" s="9" t="s">
        <v>22</v>
      </c>
      <c r="I15868" s="9" t="s">
        <v>31976</v>
      </c>
      <c r="J15868" s="10" t="str">
        <f>HYPERLINK("https://www.boe.es/gazeta/dias/1834/05/02/pdfs/GMD-1834-71.pdf#page=3","Abrir facsímil")</f>
        <v>Abrir facsímil</v>
      </c>
      <c r="K15868" s="10" t="s">
        <v>24</v>
      </c>
    </row>
    <row r="15869" spans="1:11" ht="54" customHeight="1">
      <c r="A15869" s="9" t="s">
        <v>31977</v>
      </c>
      <c r="B15869" s="9" t="s">
        <v>31978</v>
      </c>
      <c r="C15869" s="9" t="s">
        <v>122</v>
      </c>
      <c r="D15869" s="9" t="s">
        <v>18</v>
      </c>
      <c r="E15869" s="10" t="s">
        <v>4565</v>
      </c>
      <c r="F15869" s="9" t="s">
        <v>4566</v>
      </c>
      <c r="G15869" s="10" t="s">
        <v>75</v>
      </c>
      <c r="H15869" s="9" t="s">
        <v>22</v>
      </c>
      <c r="I15869" s="9" t="s">
        <v>31979</v>
      </c>
      <c r="J15869" s="10" t="str">
        <f>HYPERLINK("https://www.boe.es/gazeta/dias/1834/07/10/pdfs/GMD-1834-143.pdf#page=4","Abrir facsímil")</f>
        <v>Abrir facsímil</v>
      </c>
      <c r="K15869" s="10" t="s">
        <v>24</v>
      </c>
    </row>
    <row r="15870" spans="1:11" ht="54" customHeight="1">
      <c r="A15870" s="9" t="s">
        <v>31980</v>
      </c>
      <c r="B15870" s="9" t="s">
        <v>31981</v>
      </c>
      <c r="C15870" s="9" t="s">
        <v>17</v>
      </c>
      <c r="D15870" s="9" t="s">
        <v>55</v>
      </c>
      <c r="E15870" s="10" t="s">
        <v>1084</v>
      </c>
      <c r="F15870" s="9" t="s">
        <v>1085</v>
      </c>
      <c r="G15870" s="10" t="s">
        <v>75</v>
      </c>
      <c r="H15870" s="9" t="s">
        <v>22</v>
      </c>
      <c r="I15870" s="9" t="s">
        <v>31982</v>
      </c>
      <c r="J15870" s="10" t="str">
        <f>HYPERLINK("https://www.boe.es/gazeta/dias/1834/05/01/pdfs/GMD-1834-70.pdf#page=4","Abrir facsímil")</f>
        <v>Abrir facsímil</v>
      </c>
      <c r="K15870" s="10" t="s">
        <v>24</v>
      </c>
    </row>
    <row r="15871" spans="1:11" ht="54" customHeight="1">
      <c r="A15871" s="9" t="s">
        <v>31983</v>
      </c>
      <c r="B15871" s="9" t="s">
        <v>31984</v>
      </c>
      <c r="C15871" s="9" t="s">
        <v>17</v>
      </c>
      <c r="D15871" s="9" t="s">
        <v>18</v>
      </c>
      <c r="E15871" s="10" t="s">
        <v>1239</v>
      </c>
      <c r="F15871" s="9" t="s">
        <v>1240</v>
      </c>
      <c r="G15871" s="10" t="s">
        <v>75</v>
      </c>
      <c r="H15871" s="9" t="s">
        <v>22</v>
      </c>
      <c r="I15871" s="9" t="s">
        <v>31985</v>
      </c>
      <c r="J15871" s="10" t="str">
        <f>HYPERLINK("https://www.boe.es/gazeta/dias/1834/08/20/pdfs/GMD-1834-186.pdf#page=4","Abrir facsímil")</f>
        <v>Abrir facsímil</v>
      </c>
      <c r="K15871" s="10" t="s">
        <v>24</v>
      </c>
    </row>
    <row r="15872" spans="1:11" ht="54" customHeight="1">
      <c r="A15872" s="9" t="s">
        <v>31986</v>
      </c>
      <c r="B15872" s="9" t="s">
        <v>31986</v>
      </c>
      <c r="C15872" s="9" t="s">
        <v>17</v>
      </c>
      <c r="D15872" s="9" t="s">
        <v>18</v>
      </c>
      <c r="E15872" s="10" t="s">
        <v>1239</v>
      </c>
      <c r="F15872" s="9" t="s">
        <v>1240</v>
      </c>
      <c r="G15872" s="10" t="s">
        <v>75</v>
      </c>
      <c r="H15872" s="9" t="s">
        <v>22</v>
      </c>
      <c r="I15872" s="9" t="s">
        <v>31987</v>
      </c>
      <c r="J15872" s="10" t="str">
        <f>HYPERLINK("https://www.boe.es/gazeta/dias/1834/08/20/pdfs/GMD-1834-186.pdf#page=4","Abrir facsímil")</f>
        <v>Abrir facsímil</v>
      </c>
      <c r="K15872" s="10" t="s">
        <v>24</v>
      </c>
    </row>
    <row r="15873" spans="1:11" ht="54" customHeight="1">
      <c r="A15873" s="9" t="s">
        <v>31988</v>
      </c>
      <c r="B15873" s="9" t="s">
        <v>31989</v>
      </c>
      <c r="C15873" s="9" t="s">
        <v>17</v>
      </c>
      <c r="D15873" s="9" t="s">
        <v>18</v>
      </c>
      <c r="E15873" s="10" t="s">
        <v>19</v>
      </c>
      <c r="F15873" s="9" t="s">
        <v>107</v>
      </c>
      <c r="G15873" s="10" t="s">
        <v>75</v>
      </c>
      <c r="H15873" s="9" t="s">
        <v>22</v>
      </c>
      <c r="I15873" s="9" t="s">
        <v>31990</v>
      </c>
      <c r="J15873" s="10" t="str">
        <f>HYPERLINK("https://www.boe.es/gazeta/dias/1834/08/17/pdfs/GMD-1834-182.pdf#page=4","Abrir facsímil")</f>
        <v>Abrir facsímil</v>
      </c>
      <c r="K15873" s="10" t="s">
        <v>24</v>
      </c>
    </row>
    <row r="15874" spans="1:11" ht="54" customHeight="1">
      <c r="A15874" s="9" t="s">
        <v>31991</v>
      </c>
      <c r="B15874" s="9" t="s">
        <v>31991</v>
      </c>
      <c r="C15874" s="9" t="s">
        <v>17</v>
      </c>
      <c r="D15874" s="9" t="s">
        <v>18</v>
      </c>
      <c r="E15874" s="10" t="s">
        <v>541</v>
      </c>
      <c r="F15874" s="9" t="s">
        <v>542</v>
      </c>
      <c r="G15874" s="10" t="s">
        <v>75</v>
      </c>
      <c r="H15874" s="9" t="s">
        <v>22</v>
      </c>
      <c r="I15874" s="9" t="s">
        <v>31992</v>
      </c>
      <c r="J15874" s="10" t="str">
        <f>HYPERLINK("https://www.boe.es/gazeta/dias/1834/04/18/pdfs/GMD-1834-57.pdf#page=4","Abrir facsímil")</f>
        <v>Abrir facsímil</v>
      </c>
      <c r="K15874" s="10" t="s">
        <v>24</v>
      </c>
    </row>
    <row r="15875" spans="1:11" ht="54" customHeight="1">
      <c r="A15875" s="9" t="s">
        <v>31993</v>
      </c>
      <c r="B15875" s="9" t="s">
        <v>31994</v>
      </c>
      <c r="C15875" s="9" t="s">
        <v>66</v>
      </c>
      <c r="D15875" s="9" t="s">
        <v>18</v>
      </c>
      <c r="E15875" s="10" t="s">
        <v>3066</v>
      </c>
      <c r="F15875" s="9" t="s">
        <v>3188</v>
      </c>
      <c r="G15875" s="10" t="s">
        <v>34</v>
      </c>
      <c r="H15875" s="9" t="s">
        <v>22</v>
      </c>
      <c r="I15875" s="9" t="s">
        <v>31995</v>
      </c>
      <c r="J15875" s="10" t="str">
        <f>HYPERLINK("https://www.boe.es/gazeta/dias/1834/08/03/pdfs/GMD-1834-167.pdf#page=1","Abrir facsímil")</f>
        <v>Abrir facsímil</v>
      </c>
      <c r="K15875" s="10" t="s">
        <v>24</v>
      </c>
    </row>
    <row r="15876" spans="1:11" ht="54" customHeight="1">
      <c r="A15876" s="9" t="s">
        <v>31996</v>
      </c>
      <c r="B15876" s="9" t="s">
        <v>31997</v>
      </c>
      <c r="C15876" s="9" t="s">
        <v>66</v>
      </c>
      <c r="D15876" s="9" t="s">
        <v>18</v>
      </c>
      <c r="E15876" s="10" t="s">
        <v>3066</v>
      </c>
      <c r="F15876" s="9" t="s">
        <v>3188</v>
      </c>
      <c r="G15876" s="10" t="s">
        <v>34</v>
      </c>
      <c r="H15876" s="9" t="s">
        <v>22</v>
      </c>
      <c r="I15876" s="9" t="s">
        <v>31998</v>
      </c>
      <c r="J15876" s="10" t="str">
        <f>HYPERLINK("https://www.boe.es/gazeta/dias/1834/08/03/pdfs/GMD-1834-167.pdf#page=1","Abrir facsímil")</f>
        <v>Abrir facsímil</v>
      </c>
      <c r="K15876" s="10" t="s">
        <v>24</v>
      </c>
    </row>
    <row r="15877" spans="1:11" ht="54" customHeight="1">
      <c r="A15877" s="9" t="s">
        <v>31999</v>
      </c>
      <c r="B15877" s="9" t="s">
        <v>31999</v>
      </c>
      <c r="C15877" s="9" t="s">
        <v>17</v>
      </c>
      <c r="D15877" s="9" t="s">
        <v>18</v>
      </c>
      <c r="E15877" s="10" t="s">
        <v>465</v>
      </c>
      <c r="F15877" s="9" t="s">
        <v>466</v>
      </c>
      <c r="G15877" s="10" t="s">
        <v>34</v>
      </c>
      <c r="H15877" s="9" t="s">
        <v>22</v>
      </c>
      <c r="I15877" s="9" t="s">
        <v>32000</v>
      </c>
      <c r="J15877" s="10" t="str">
        <f>HYPERLINK("https://www.boe.es/gazeta/dias/1834/11/27/pdfs/GMD-C-1834-286.pdf#page=1","Abrir facsímil")</f>
        <v>Abrir facsímil</v>
      </c>
      <c r="K15877" s="10" t="s">
        <v>24</v>
      </c>
    </row>
    <row r="15878" spans="1:11" ht="54" customHeight="1">
      <c r="A15878" s="9" t="s">
        <v>32001</v>
      </c>
      <c r="B15878" s="9" t="s">
        <v>32002</v>
      </c>
      <c r="C15878" s="9" t="s">
        <v>17</v>
      </c>
      <c r="D15878" s="9" t="s">
        <v>18</v>
      </c>
      <c r="E15878" s="10" t="s">
        <v>1556</v>
      </c>
      <c r="F15878" s="9" t="s">
        <v>1557</v>
      </c>
      <c r="G15878" s="10" t="s">
        <v>21</v>
      </c>
      <c r="H15878" s="9" t="s">
        <v>35</v>
      </c>
      <c r="I15878" s="9" t="s">
        <v>32003</v>
      </c>
      <c r="J15878" s="10" t="str">
        <f>HYPERLINK("https://www.boe.es/gazeta/dias/1834/06/06/pdfs/GMD-1834-108.pdf#page=3","Abrir facsímil")</f>
        <v>Abrir facsímil</v>
      </c>
      <c r="K15878" s="10" t="s">
        <v>37</v>
      </c>
    </row>
    <row r="15879" spans="1:11" ht="54" customHeight="1">
      <c r="A15879" s="9" t="s">
        <v>32004</v>
      </c>
      <c r="B15879" s="9" t="s">
        <v>32005</v>
      </c>
      <c r="C15879" s="9" t="s">
        <v>857</v>
      </c>
      <c r="D15879" s="9" t="s">
        <v>18</v>
      </c>
      <c r="E15879" s="10" t="s">
        <v>724</v>
      </c>
      <c r="F15879" s="9" t="s">
        <v>725</v>
      </c>
      <c r="G15879" s="10" t="s">
        <v>75</v>
      </c>
      <c r="H15879" s="9" t="s">
        <v>35</v>
      </c>
      <c r="I15879" s="9" t="s">
        <v>32006</v>
      </c>
      <c r="J15879" s="10" t="str">
        <f>HYPERLINK("https://www.boe.es/gazeta/dias/1834/04/25/pdfs/GMD-1834-64.pdf#page=4","Abrir facsímil")</f>
        <v>Abrir facsímil</v>
      </c>
      <c r="K15879" s="10" t="s">
        <v>37</v>
      </c>
    </row>
    <row r="15880" spans="1:11" ht="54" customHeight="1">
      <c r="A15880" s="9" t="s">
        <v>32007</v>
      </c>
      <c r="B15880" s="9" t="s">
        <v>32008</v>
      </c>
      <c r="C15880" s="9" t="s">
        <v>17</v>
      </c>
      <c r="D15880" s="9" t="s">
        <v>18</v>
      </c>
      <c r="E15880" s="10" t="s">
        <v>389</v>
      </c>
      <c r="F15880" s="9" t="s">
        <v>390</v>
      </c>
      <c r="G15880" s="10" t="s">
        <v>75</v>
      </c>
      <c r="H15880" s="9" t="s">
        <v>35</v>
      </c>
      <c r="I15880" s="9" t="s">
        <v>32009</v>
      </c>
      <c r="J15880" s="10" t="str">
        <f>HYPERLINK("https://www.boe.es/gazeta/dias/1834/10/25/pdfs/GMD-1834-253.pdf#page=4","Abrir facsímil")</f>
        <v>Abrir facsímil</v>
      </c>
      <c r="K15880" s="10" t="s">
        <v>37</v>
      </c>
    </row>
    <row r="15881" spans="1:11" ht="54" customHeight="1">
      <c r="A15881" s="9" t="s">
        <v>32010</v>
      </c>
      <c r="B15881" s="9" t="s">
        <v>32011</v>
      </c>
      <c r="C15881" s="9" t="s">
        <v>17</v>
      </c>
      <c r="D15881" s="9" t="s">
        <v>18</v>
      </c>
      <c r="E15881" s="10" t="s">
        <v>1402</v>
      </c>
      <c r="F15881" s="9" t="s">
        <v>1403</v>
      </c>
      <c r="G15881" s="10" t="s">
        <v>75</v>
      </c>
      <c r="H15881" s="9" t="s">
        <v>22</v>
      </c>
      <c r="I15881" s="9" t="s">
        <v>32012</v>
      </c>
      <c r="J15881" s="10" t="str">
        <f>HYPERLINK("https://www.boe.es/gazeta/dias/1834/05/05/pdfs/GMD-1834-74.pdf#page=4","Abrir facsímil")</f>
        <v>Abrir facsímil</v>
      </c>
      <c r="K15881" s="10" t="s">
        <v>24</v>
      </c>
    </row>
    <row r="15882" spans="1:11" ht="54" customHeight="1">
      <c r="A15882" s="9" t="s">
        <v>32013</v>
      </c>
      <c r="B15882" s="9" t="s">
        <v>32014</v>
      </c>
      <c r="C15882" s="9" t="s">
        <v>857</v>
      </c>
      <c r="D15882" s="9" t="s">
        <v>18</v>
      </c>
      <c r="E15882" s="10" t="s">
        <v>724</v>
      </c>
      <c r="F15882" s="9" t="s">
        <v>725</v>
      </c>
      <c r="G15882" s="10" t="s">
        <v>75</v>
      </c>
      <c r="H15882" s="9" t="s">
        <v>22</v>
      </c>
      <c r="I15882" s="9" t="s">
        <v>32015</v>
      </c>
      <c r="J15882" s="10" t="str">
        <f>HYPERLINK("https://www.boe.es/gazeta/dias/1834/04/25/pdfs/GMD-1834-64.pdf#page=4","Abrir facsímil")</f>
        <v>Abrir facsímil</v>
      </c>
      <c r="K15882" s="10" t="s">
        <v>24</v>
      </c>
    </row>
    <row r="15883" spans="1:11" ht="54" customHeight="1">
      <c r="A15883" s="9" t="s">
        <v>32016</v>
      </c>
      <c r="B15883" s="9" t="s">
        <v>32017</v>
      </c>
      <c r="C15883" s="9" t="s">
        <v>17</v>
      </c>
      <c r="D15883" s="9" t="s">
        <v>18</v>
      </c>
      <c r="E15883" s="10" t="s">
        <v>389</v>
      </c>
      <c r="F15883" s="9" t="s">
        <v>390</v>
      </c>
      <c r="G15883" s="10" t="s">
        <v>75</v>
      </c>
      <c r="H15883" s="9" t="s">
        <v>22</v>
      </c>
      <c r="I15883" s="9" t="s">
        <v>32018</v>
      </c>
      <c r="J15883" s="10" t="str">
        <f>HYPERLINK("https://www.boe.es/gazeta/dias/1834/10/25/pdfs/GMD-1834-253.pdf#page=4","Abrir facsímil")</f>
        <v>Abrir facsímil</v>
      </c>
      <c r="K15883" s="10" t="s">
        <v>24</v>
      </c>
    </row>
    <row r="15884" spans="1:11" ht="54" customHeight="1">
      <c r="A15884" s="9" t="s">
        <v>32019</v>
      </c>
      <c r="B15884" s="9" t="s">
        <v>32019</v>
      </c>
      <c r="C15884" s="9" t="s">
        <v>46</v>
      </c>
      <c r="D15884" s="9" t="s">
        <v>18</v>
      </c>
      <c r="E15884" s="10" t="s">
        <v>506</v>
      </c>
      <c r="F15884" s="9" t="s">
        <v>507</v>
      </c>
      <c r="G15884" s="10" t="s">
        <v>75</v>
      </c>
      <c r="H15884" s="9" t="s">
        <v>22</v>
      </c>
      <c r="I15884" s="9" t="s">
        <v>32020</v>
      </c>
      <c r="J15884" s="10" t="str">
        <f>HYPERLINK("https://www.boe.es/gazeta/dias/1834/03/04/pdfs/GMD-1834-28.pdf#page=4","Abrir facsímil")</f>
        <v>Abrir facsímil</v>
      </c>
      <c r="K15884" s="10" t="s">
        <v>24</v>
      </c>
    </row>
    <row r="15885" spans="1:11" ht="54" customHeight="1">
      <c r="A15885" s="9" t="s">
        <v>32021</v>
      </c>
      <c r="B15885" s="9" t="s">
        <v>32022</v>
      </c>
      <c r="C15885" s="9" t="s">
        <v>46</v>
      </c>
      <c r="D15885" s="9" t="s">
        <v>101</v>
      </c>
      <c r="E15885" s="10" t="s">
        <v>663</v>
      </c>
      <c r="F15885" s="9" t="s">
        <v>664</v>
      </c>
      <c r="G15885" s="10" t="s">
        <v>34</v>
      </c>
      <c r="H15885" s="9" t="s">
        <v>35</v>
      </c>
      <c r="I15885" s="9" t="s">
        <v>32023</v>
      </c>
      <c r="J15885" s="10" t="str">
        <f>HYPERLINK("https://www.boe.es/gazeta/dias/1834/07/16/pdfs/GMD-1834-149.pdf#page=1","Abrir facsímil")</f>
        <v>Abrir facsímil</v>
      </c>
      <c r="K15885" s="10" t="s">
        <v>37</v>
      </c>
    </row>
    <row r="15886" spans="1:11" ht="54" customHeight="1">
      <c r="A15886" s="9" t="s">
        <v>32024</v>
      </c>
      <c r="B15886" s="9" t="s">
        <v>32025</v>
      </c>
      <c r="C15886" s="9" t="s">
        <v>17</v>
      </c>
      <c r="D15886" s="9" t="s">
        <v>18</v>
      </c>
      <c r="E15886" s="10" t="s">
        <v>1318</v>
      </c>
      <c r="F15886" s="9" t="s">
        <v>1319</v>
      </c>
      <c r="G15886" s="10" t="s">
        <v>34</v>
      </c>
      <c r="H15886" s="9" t="s">
        <v>35</v>
      </c>
      <c r="I15886" s="9" t="s">
        <v>32026</v>
      </c>
      <c r="J15886" s="10" t="str">
        <f>HYPERLINK("https://www.boe.es/gazeta/dias/1834/05/10/pdfs/GMD-1834-79.pdf#page=1","Abrir facsímil")</f>
        <v>Abrir facsímil</v>
      </c>
      <c r="K15886" s="10" t="s">
        <v>37</v>
      </c>
    </row>
    <row r="15887" spans="1:11" ht="54" customHeight="1">
      <c r="A15887" s="9" t="s">
        <v>32027</v>
      </c>
      <c r="B15887" s="9" t="s">
        <v>32028</v>
      </c>
      <c r="C15887" s="9" t="s">
        <v>17</v>
      </c>
      <c r="D15887" s="9" t="s">
        <v>18</v>
      </c>
      <c r="E15887" s="10" t="s">
        <v>1318</v>
      </c>
      <c r="F15887" s="9" t="s">
        <v>1319</v>
      </c>
      <c r="G15887" s="10" t="s">
        <v>34</v>
      </c>
      <c r="H15887" s="9" t="s">
        <v>22</v>
      </c>
      <c r="I15887" s="9" t="s">
        <v>32029</v>
      </c>
      <c r="J15887" s="10" t="str">
        <f>HYPERLINK("https://www.boe.es/gazeta/dias/1834/05/10/pdfs/GMD-1834-79.pdf#page=1","Abrir facsímil")</f>
        <v>Abrir facsímil</v>
      </c>
      <c r="K15887" s="10" t="s">
        <v>24</v>
      </c>
    </row>
    <row r="15888" spans="1:11" ht="54" customHeight="1">
      <c r="A15888" s="9" t="s">
        <v>32030</v>
      </c>
      <c r="B15888" s="9" t="s">
        <v>32030</v>
      </c>
      <c r="C15888" s="9" t="s">
        <v>17</v>
      </c>
      <c r="D15888" s="9" t="s">
        <v>55</v>
      </c>
      <c r="E15888" s="10" t="s">
        <v>2379</v>
      </c>
      <c r="F15888" s="9" t="s">
        <v>2380</v>
      </c>
      <c r="G15888" s="10" t="s">
        <v>21</v>
      </c>
      <c r="H15888" s="9" t="s">
        <v>22</v>
      </c>
      <c r="I15888" s="9" t="s">
        <v>32031</v>
      </c>
      <c r="J15888" s="10" t="str">
        <f>HYPERLINK("https://www.boe.es/gazeta/dias/1834/04/03/pdfs/GMD-1834-42.pdf#page=3","Abrir facsímil")</f>
        <v>Abrir facsímil</v>
      </c>
      <c r="K15888" s="10" t="s">
        <v>24</v>
      </c>
    </row>
    <row r="15889" spans="1:11" ht="54" customHeight="1">
      <c r="A15889" s="9" t="s">
        <v>32032</v>
      </c>
      <c r="B15889" s="9" t="s">
        <v>32033</v>
      </c>
      <c r="C15889" s="9" t="s">
        <v>17</v>
      </c>
      <c r="D15889" s="9" t="s">
        <v>18</v>
      </c>
      <c r="E15889" s="10" t="s">
        <v>1262</v>
      </c>
      <c r="F15889" s="9" t="s">
        <v>1263</v>
      </c>
      <c r="G15889" s="10" t="s">
        <v>86</v>
      </c>
      <c r="H15889" s="9" t="s">
        <v>22</v>
      </c>
      <c r="I15889" s="9" t="s">
        <v>32034</v>
      </c>
      <c r="J15889" s="10" t="str">
        <f>HYPERLINK("https://www.boe.es/gazeta/dias/1834/02/01/pdfs/GMD-1834-15.pdf#page=2","Abrir facsímil")</f>
        <v>Abrir facsímil</v>
      </c>
      <c r="K15889" s="10" t="s">
        <v>24</v>
      </c>
    </row>
    <row r="15890" spans="1:11" ht="54" customHeight="1">
      <c r="A15890" s="9" t="s">
        <v>32035</v>
      </c>
      <c r="B15890" s="9" t="s">
        <v>32035</v>
      </c>
      <c r="C15890" s="9" t="s">
        <v>17</v>
      </c>
      <c r="D15890" s="9" t="s">
        <v>55</v>
      </c>
      <c r="E15890" s="10" t="s">
        <v>4237</v>
      </c>
      <c r="F15890" s="9" t="s">
        <v>4238</v>
      </c>
      <c r="G15890" s="10" t="s">
        <v>86</v>
      </c>
      <c r="H15890" s="9" t="s">
        <v>22</v>
      </c>
      <c r="I15890" s="9" t="s">
        <v>32036</v>
      </c>
      <c r="J15890" s="10" t="str">
        <f>HYPERLINK("https://www.boe.es/gazeta/dias/1834/06/17/pdfs/GMD-1834-120.pdf#page=2","Abrir facsímil")</f>
        <v>Abrir facsímil</v>
      </c>
      <c r="K15890" s="10" t="s">
        <v>24</v>
      </c>
    </row>
    <row r="15891" spans="1:11" ht="54" customHeight="1">
      <c r="A15891" s="9" t="s">
        <v>32037</v>
      </c>
      <c r="B15891" s="9" t="s">
        <v>32038</v>
      </c>
      <c r="C15891" s="9" t="s">
        <v>17</v>
      </c>
      <c r="D15891" s="9" t="s">
        <v>55</v>
      </c>
      <c r="E15891" s="10" t="s">
        <v>158</v>
      </c>
      <c r="F15891" s="9" t="s">
        <v>159</v>
      </c>
      <c r="G15891" s="10" t="s">
        <v>75</v>
      </c>
      <c r="H15891" s="9" t="s">
        <v>35</v>
      </c>
      <c r="I15891" s="9" t="s">
        <v>32039</v>
      </c>
      <c r="J15891" s="10" t="str">
        <f>HYPERLINK("https://www.boe.es/gazeta/dias/1834/10/01/pdfs/GMD-1834-229.pdf#page=4","Abrir facsímil")</f>
        <v>Abrir facsímil</v>
      </c>
      <c r="K15891" s="10" t="s">
        <v>37</v>
      </c>
    </row>
    <row r="15892" spans="1:11" ht="54" customHeight="1">
      <c r="A15892" s="9" t="s">
        <v>32040</v>
      </c>
      <c r="B15892" s="9" t="s">
        <v>32041</v>
      </c>
      <c r="C15892" s="9" t="s">
        <v>90</v>
      </c>
      <c r="D15892" s="9" t="s">
        <v>55</v>
      </c>
      <c r="E15892" s="10" t="s">
        <v>707</v>
      </c>
      <c r="F15892" s="9" t="s">
        <v>1359</v>
      </c>
      <c r="G15892" s="10" t="s">
        <v>86</v>
      </c>
      <c r="H15892" s="9" t="s">
        <v>35</v>
      </c>
      <c r="I15892" s="9" t="s">
        <v>32042</v>
      </c>
      <c r="J15892" s="10" t="str">
        <f>HYPERLINK("https://www.boe.es/gazeta/dias/1834/11/25/pdfs/GMD-1834-284.pdf#page=2","Abrir facsímil")</f>
        <v>Abrir facsímil</v>
      </c>
      <c r="K15892" s="10" t="s">
        <v>37</v>
      </c>
    </row>
    <row r="15893" spans="1:11" ht="54" customHeight="1">
      <c r="A15893" s="9" t="s">
        <v>32043</v>
      </c>
      <c r="B15893" s="9" t="s">
        <v>32044</v>
      </c>
      <c r="C15893" s="9" t="s">
        <v>17</v>
      </c>
      <c r="D15893" s="9" t="s">
        <v>18</v>
      </c>
      <c r="E15893" s="10" t="s">
        <v>1658</v>
      </c>
      <c r="F15893" s="9" t="s">
        <v>1659</v>
      </c>
      <c r="G15893" s="10" t="s">
        <v>34</v>
      </c>
      <c r="H15893" s="9" t="s">
        <v>35</v>
      </c>
      <c r="I15893" s="9" t="s">
        <v>32045</v>
      </c>
      <c r="J15893" s="10" t="str">
        <f>HYPERLINK("https://www.boe.es/gazeta/dias/1834/04/05/pdfs/GMD-1834-44.pdf#page=1","Abrir facsímil")</f>
        <v>Abrir facsímil</v>
      </c>
      <c r="K15893" s="10" t="s">
        <v>37</v>
      </c>
    </row>
    <row r="15894" spans="1:11" ht="54" customHeight="1">
      <c r="A15894" s="9" t="s">
        <v>32046</v>
      </c>
      <c r="B15894" s="9" t="s">
        <v>32047</v>
      </c>
      <c r="C15894" s="9" t="s">
        <v>90</v>
      </c>
      <c r="D15894" s="9" t="s">
        <v>55</v>
      </c>
      <c r="E15894" s="10" t="s">
        <v>1766</v>
      </c>
      <c r="F15894" s="9" t="s">
        <v>5600</v>
      </c>
      <c r="G15894" s="10" t="s">
        <v>34</v>
      </c>
      <c r="H15894" s="9" t="s">
        <v>22</v>
      </c>
      <c r="I15894" s="9" t="s">
        <v>32048</v>
      </c>
      <c r="J15894" s="10" t="str">
        <f>HYPERLINK("https://www.boe.es/gazeta/dias/1834/10/26/pdfs/GMD-1834-254.pdf#page=1","Abrir facsímil")</f>
        <v>Abrir facsímil</v>
      </c>
      <c r="K15894" s="10" t="s">
        <v>24</v>
      </c>
    </row>
    <row r="15895" spans="1:11" ht="54" customHeight="1">
      <c r="A15895" s="9" t="s">
        <v>32049</v>
      </c>
      <c r="B15895" s="9" t="s">
        <v>32050</v>
      </c>
      <c r="C15895" s="9" t="s">
        <v>66</v>
      </c>
      <c r="D15895" s="9" t="s">
        <v>67</v>
      </c>
      <c r="E15895" s="10" t="s">
        <v>1653</v>
      </c>
      <c r="F15895" s="9" t="s">
        <v>1654</v>
      </c>
      <c r="G15895" s="10" t="s">
        <v>86</v>
      </c>
      <c r="H15895" s="9" t="s">
        <v>22</v>
      </c>
      <c r="I15895" s="9" t="s">
        <v>32051</v>
      </c>
      <c r="J15895" s="10" t="str">
        <f>HYPERLINK("https://www.boe.es/gazeta/dias/1834/07/03/pdfs/GMD-1834-136.pdf#page=2","Abrir facsímil")</f>
        <v>Abrir facsímil</v>
      </c>
      <c r="K15895" s="10" t="s">
        <v>24</v>
      </c>
    </row>
    <row r="15896" spans="1:11" ht="54" customHeight="1">
      <c r="A15896" s="9" t="s">
        <v>32052</v>
      </c>
      <c r="B15896" s="9" t="s">
        <v>32053</v>
      </c>
      <c r="C15896" s="9" t="s">
        <v>66</v>
      </c>
      <c r="D15896" s="9" t="s">
        <v>67</v>
      </c>
      <c r="E15896" s="10" t="s">
        <v>1572</v>
      </c>
      <c r="F15896" s="9" t="s">
        <v>1573</v>
      </c>
      <c r="G15896" s="10" t="s">
        <v>28</v>
      </c>
      <c r="H15896" s="9" t="s">
        <v>35</v>
      </c>
      <c r="I15896" s="9" t="s">
        <v>32054</v>
      </c>
      <c r="J15896" s="10" t="str">
        <f>HYPERLINK("https://www.boe.es/gazeta/dias/1834/03/20/pdfs/GMD-1834-35.pdf#page=5","Abrir facsímil")</f>
        <v>Abrir facsímil</v>
      </c>
      <c r="K15896" s="10" t="s">
        <v>37</v>
      </c>
    </row>
    <row r="15897" spans="1:11" ht="54" customHeight="1">
      <c r="A15897" s="9" t="s">
        <v>32055</v>
      </c>
      <c r="B15897" s="9" t="s">
        <v>32056</v>
      </c>
      <c r="C15897" s="9" t="s">
        <v>17</v>
      </c>
      <c r="D15897" s="9" t="s">
        <v>18</v>
      </c>
      <c r="E15897" s="10" t="s">
        <v>1922</v>
      </c>
      <c r="F15897" s="9" t="s">
        <v>1923</v>
      </c>
      <c r="G15897" s="10" t="s">
        <v>28</v>
      </c>
      <c r="H15897" s="9" t="s">
        <v>22</v>
      </c>
      <c r="I15897" s="9" t="s">
        <v>32057</v>
      </c>
      <c r="J15897" s="10" t="str">
        <f>HYPERLINK("https://www.boe.es/gazeta/dias/1834/02/25/pdfs/GMD-1834-25.pdf#page=5","Abrir facsímil")</f>
        <v>Abrir facsímil</v>
      </c>
      <c r="K15897" s="10" t="s">
        <v>24</v>
      </c>
    </row>
    <row r="15898" spans="1:11" ht="54" customHeight="1">
      <c r="A15898" s="9" t="s">
        <v>32058</v>
      </c>
      <c r="B15898" s="9" t="s">
        <v>32059</v>
      </c>
      <c r="C15898" s="9" t="s">
        <v>66</v>
      </c>
      <c r="D15898" s="9" t="s">
        <v>67</v>
      </c>
      <c r="E15898" s="10" t="s">
        <v>1572</v>
      </c>
      <c r="F15898" s="9" t="s">
        <v>1573</v>
      </c>
      <c r="G15898" s="10" t="s">
        <v>28</v>
      </c>
      <c r="H15898" s="9" t="s">
        <v>22</v>
      </c>
      <c r="I15898" s="9" t="s">
        <v>32060</v>
      </c>
      <c r="J15898" s="10" t="str">
        <f>HYPERLINK("https://www.boe.es/gazeta/dias/1834/03/20/pdfs/GMD-1834-35.pdf#page=5","Abrir facsímil")</f>
        <v>Abrir facsímil</v>
      </c>
      <c r="K15898" s="10" t="s">
        <v>24</v>
      </c>
    </row>
    <row r="15899" spans="1:11" ht="54" customHeight="1">
      <c r="A15899" s="9" t="s">
        <v>32061</v>
      </c>
      <c r="B15899" s="9" t="s">
        <v>32062</v>
      </c>
      <c r="C15899" s="9" t="s">
        <v>17</v>
      </c>
      <c r="D15899" s="9" t="s">
        <v>18</v>
      </c>
      <c r="E15899" s="10" t="s">
        <v>1103</v>
      </c>
      <c r="F15899" s="9" t="s">
        <v>1259</v>
      </c>
      <c r="G15899" s="10" t="s">
        <v>21</v>
      </c>
      <c r="H15899" s="9" t="s">
        <v>22</v>
      </c>
      <c r="I15899" s="9" t="s">
        <v>32063</v>
      </c>
      <c r="J15899" s="10" t="str">
        <f>HYPERLINK("https://www.boe.es/gazeta/dias/1834/10/10/pdfs/GMD-1834-238.pdf#page=3","Abrir facsímil")</f>
        <v>Abrir facsímil</v>
      </c>
      <c r="K15899" s="10" t="s">
        <v>24</v>
      </c>
    </row>
    <row r="15900" spans="1:11" ht="54" customHeight="1">
      <c r="A15900" s="9" t="s">
        <v>32064</v>
      </c>
      <c r="B15900" s="9" t="s">
        <v>32065</v>
      </c>
      <c r="C15900" s="9" t="s">
        <v>46</v>
      </c>
      <c r="D15900" s="9" t="s">
        <v>101</v>
      </c>
      <c r="E15900" s="10" t="s">
        <v>339</v>
      </c>
      <c r="F15900" s="9" t="s">
        <v>340</v>
      </c>
      <c r="G15900" s="10" t="s">
        <v>86</v>
      </c>
      <c r="H15900" s="9" t="s">
        <v>22</v>
      </c>
      <c r="I15900" s="9" t="s">
        <v>32066</v>
      </c>
      <c r="J15900" s="10" t="str">
        <f>HYPERLINK("https://www.boe.es/gazeta/dias/1834/05/02/pdfs/GMD-1834-71.pdf#page=2","Abrir facsímil")</f>
        <v>Abrir facsímil</v>
      </c>
      <c r="K15900" s="10" t="s">
        <v>24</v>
      </c>
    </row>
    <row r="15901" spans="1:11" ht="54" customHeight="1">
      <c r="A15901" s="9" t="s">
        <v>32067</v>
      </c>
      <c r="B15901" s="9" t="s">
        <v>32068</v>
      </c>
      <c r="C15901" s="9" t="s">
        <v>66</v>
      </c>
      <c r="D15901" s="9" t="s">
        <v>67</v>
      </c>
      <c r="E15901" s="10" t="s">
        <v>1572</v>
      </c>
      <c r="F15901" s="9" t="s">
        <v>1573</v>
      </c>
      <c r="G15901" s="10" t="s">
        <v>28</v>
      </c>
      <c r="H15901" s="9" t="s">
        <v>35</v>
      </c>
      <c r="I15901" s="9" t="s">
        <v>32069</v>
      </c>
      <c r="J15901" s="10" t="str">
        <f>HYPERLINK("https://www.boe.es/gazeta/dias/1834/03/20/pdfs/GMD-1834-35.pdf#page=5","Abrir facsímil")</f>
        <v>Abrir facsímil</v>
      </c>
      <c r="K15901" s="10" t="s">
        <v>37</v>
      </c>
    </row>
    <row r="15902" spans="1:11" ht="54" customHeight="1">
      <c r="A15902" s="9" t="s">
        <v>32070</v>
      </c>
      <c r="B15902" s="9" t="s">
        <v>32071</v>
      </c>
      <c r="C15902" s="9" t="s">
        <v>66</v>
      </c>
      <c r="D15902" s="9" t="s">
        <v>67</v>
      </c>
      <c r="E15902" s="10" t="s">
        <v>1572</v>
      </c>
      <c r="F15902" s="9" t="s">
        <v>1573</v>
      </c>
      <c r="G15902" s="10" t="s">
        <v>28</v>
      </c>
      <c r="H15902" s="9" t="s">
        <v>22</v>
      </c>
      <c r="I15902" s="9" t="s">
        <v>32072</v>
      </c>
      <c r="J15902" s="10" t="str">
        <f>HYPERLINK("https://www.boe.es/gazeta/dias/1834/03/20/pdfs/GMD-1834-35.pdf#page=5","Abrir facsímil")</f>
        <v>Abrir facsímil</v>
      </c>
      <c r="K15902" s="10" t="s">
        <v>24</v>
      </c>
    </row>
    <row r="15903" spans="1:11" ht="54" customHeight="1">
      <c r="A15903" s="9" t="s">
        <v>32073</v>
      </c>
      <c r="B15903" s="9" t="s">
        <v>32074</v>
      </c>
      <c r="C15903" s="9" t="s">
        <v>17</v>
      </c>
      <c r="D15903" s="9" t="s">
        <v>18</v>
      </c>
      <c r="E15903" s="10" t="s">
        <v>1766</v>
      </c>
      <c r="F15903" s="9" t="s">
        <v>1767</v>
      </c>
      <c r="G15903" s="10" t="s">
        <v>34</v>
      </c>
      <c r="H15903" s="9" t="s">
        <v>35</v>
      </c>
      <c r="I15903" s="9" t="s">
        <v>32075</v>
      </c>
      <c r="J15903" s="10" t="str">
        <f>HYPERLINK("https://www.boe.es/gazeta/dias/1834/10/26/pdfs/GMD-C-1834-254.pdf#page=1","Abrir facsímil")</f>
        <v>Abrir facsímil</v>
      </c>
      <c r="K15903" s="10" t="s">
        <v>37</v>
      </c>
    </row>
    <row r="15904" spans="1:11" ht="54" customHeight="1">
      <c r="A15904" s="9" t="s">
        <v>32076</v>
      </c>
      <c r="B15904" s="9" t="s">
        <v>32077</v>
      </c>
      <c r="C15904" s="9" t="s">
        <v>17</v>
      </c>
      <c r="D15904" s="9" t="s">
        <v>18</v>
      </c>
      <c r="E15904" s="10" t="s">
        <v>1424</v>
      </c>
      <c r="F15904" s="9" t="s">
        <v>1425</v>
      </c>
      <c r="G15904" s="10" t="s">
        <v>75</v>
      </c>
      <c r="H15904" s="9" t="s">
        <v>35</v>
      </c>
      <c r="I15904" s="9" t="s">
        <v>32078</v>
      </c>
      <c r="J15904" s="10" t="str">
        <f>HYPERLINK("https://www.boe.es/gazeta/dias/1834/11/14/pdfs/GMD-C-1834-273.pdf#page=4","Abrir facsímil")</f>
        <v>Abrir facsímil</v>
      </c>
      <c r="K15904" s="10" t="s">
        <v>37</v>
      </c>
    </row>
    <row r="15905" spans="1:11" ht="54" customHeight="1">
      <c r="A15905" s="9" t="s">
        <v>32079</v>
      </c>
      <c r="B15905" s="9" t="s">
        <v>32080</v>
      </c>
      <c r="C15905" s="9" t="s">
        <v>46</v>
      </c>
      <c r="D15905" s="9" t="s">
        <v>101</v>
      </c>
      <c r="E15905" s="10" t="s">
        <v>981</v>
      </c>
      <c r="F15905" s="9" t="s">
        <v>3406</v>
      </c>
      <c r="G15905" s="10" t="s">
        <v>75</v>
      </c>
      <c r="H15905" s="9" t="s">
        <v>35</v>
      </c>
      <c r="I15905" s="9" t="s">
        <v>32081</v>
      </c>
      <c r="J15905" s="10" t="str">
        <f>HYPERLINK("https://www.boe.es/gazeta/dias/1834/09/21/pdfs/GMD-C-1834-219.pdf#page=4","Abrir facsímil")</f>
        <v>Abrir facsímil</v>
      </c>
      <c r="K15905" s="10" t="s">
        <v>37</v>
      </c>
    </row>
    <row r="15906" spans="1:11" ht="54" customHeight="1">
      <c r="A15906" s="9" t="s">
        <v>32082</v>
      </c>
      <c r="B15906" s="9" t="s">
        <v>32083</v>
      </c>
      <c r="C15906" s="9" t="s">
        <v>66</v>
      </c>
      <c r="D15906" s="9" t="s">
        <v>67</v>
      </c>
      <c r="E15906" s="10" t="s">
        <v>294</v>
      </c>
      <c r="F15906" s="9" t="s">
        <v>295</v>
      </c>
      <c r="G15906" s="10" t="s">
        <v>86</v>
      </c>
      <c r="H15906" s="9" t="s">
        <v>35</v>
      </c>
      <c r="I15906" s="9" t="s">
        <v>32084</v>
      </c>
      <c r="J15906" s="10" t="str">
        <f>HYPERLINK("https://www.boe.es/gazeta/dias/1834/09/27/pdfs/GMD-1834-225.pdf#page=2","Abrir facsímil")</f>
        <v>Abrir facsímil</v>
      </c>
      <c r="K15906" s="10" t="s">
        <v>37</v>
      </c>
    </row>
    <row r="15907" spans="1:11" ht="54" customHeight="1">
      <c r="A15907" s="9" t="s">
        <v>32085</v>
      </c>
      <c r="B15907" s="9" t="s">
        <v>32086</v>
      </c>
      <c r="C15907" s="9" t="s">
        <v>17</v>
      </c>
      <c r="D15907" s="9" t="s">
        <v>55</v>
      </c>
      <c r="E15907" s="10" t="s">
        <v>79</v>
      </c>
      <c r="F15907" s="9" t="s">
        <v>80</v>
      </c>
      <c r="G15907" s="10" t="s">
        <v>21</v>
      </c>
      <c r="H15907" s="9" t="s">
        <v>35</v>
      </c>
      <c r="I15907" s="9" t="s">
        <v>32087</v>
      </c>
      <c r="J15907" s="10" t="str">
        <f>HYPERLINK("https://www.boe.es/gazeta/dias/1834/07/12/pdfs/GMD-1834-145.pdf#page=3","Abrir facsímil")</f>
        <v>Abrir facsímil</v>
      </c>
      <c r="K15907" s="10" t="s">
        <v>37</v>
      </c>
    </row>
    <row r="15908" spans="1:11" ht="54" customHeight="1">
      <c r="A15908" s="9" t="s">
        <v>32088</v>
      </c>
      <c r="B15908" s="9" t="s">
        <v>32089</v>
      </c>
      <c r="C15908" s="9" t="s">
        <v>17</v>
      </c>
      <c r="D15908" s="9" t="s">
        <v>55</v>
      </c>
      <c r="E15908" s="10" t="s">
        <v>68</v>
      </c>
      <c r="F15908" s="9" t="s">
        <v>69</v>
      </c>
      <c r="G15908" s="10" t="s">
        <v>86</v>
      </c>
      <c r="H15908" s="9" t="s">
        <v>35</v>
      </c>
      <c r="I15908" s="9" t="s">
        <v>32090</v>
      </c>
      <c r="J15908" s="10" t="str">
        <f>HYPERLINK("https://www.boe.es/gazeta/dias/1834/11/01/pdfs/GMD-1834-260.pdf#page=2","Abrir facsímil")</f>
        <v>Abrir facsímil</v>
      </c>
      <c r="K15908" s="10" t="s">
        <v>37</v>
      </c>
    </row>
    <row r="15909" spans="1:11" ht="54" customHeight="1">
      <c r="A15909" s="9" t="s">
        <v>32091</v>
      </c>
      <c r="B15909" s="9" t="s">
        <v>32092</v>
      </c>
      <c r="C15909" s="9" t="s">
        <v>66</v>
      </c>
      <c r="D15909" s="9" t="s">
        <v>101</v>
      </c>
      <c r="E15909" s="10" t="s">
        <v>32</v>
      </c>
      <c r="F15909" s="9" t="s">
        <v>33</v>
      </c>
      <c r="G15909" s="10" t="s">
        <v>34</v>
      </c>
      <c r="H15909" s="9" t="s">
        <v>35</v>
      </c>
      <c r="I15909" s="9" t="s">
        <v>32093</v>
      </c>
      <c r="J15909" s="10" t="str">
        <f>HYPERLINK("https://www.boe.es/gazeta/dias/1834/04/23/pdfs/GMD-1834-62.pdf#page=1","Abrir facsímil")</f>
        <v>Abrir facsímil</v>
      </c>
      <c r="K15909" s="10" t="s">
        <v>37</v>
      </c>
    </row>
    <row r="15910" spans="1:11" ht="54" customHeight="1">
      <c r="A15910" s="9" t="s">
        <v>32094</v>
      </c>
      <c r="B15910" s="9" t="s">
        <v>32095</v>
      </c>
      <c r="C15910" s="9" t="s">
        <v>66</v>
      </c>
      <c r="D15910" s="9" t="s">
        <v>18</v>
      </c>
      <c r="E15910" s="10" t="s">
        <v>183</v>
      </c>
      <c r="F15910" s="9" t="s">
        <v>184</v>
      </c>
      <c r="G15910" s="10" t="s">
        <v>34</v>
      </c>
      <c r="H15910" s="9" t="s">
        <v>35</v>
      </c>
      <c r="I15910" s="9" t="s">
        <v>32096</v>
      </c>
      <c r="J15910" s="10" t="str">
        <f>HYPERLINK("https://www.boe.es/gazeta/dias/1834/03/18/pdfs/GMD-1834-34.pdf#page=1","Abrir facsímil")</f>
        <v>Abrir facsímil</v>
      </c>
      <c r="K15910" s="10" t="s">
        <v>37</v>
      </c>
    </row>
    <row r="15911" spans="1:11" ht="54" customHeight="1">
      <c r="A15911" s="9" t="s">
        <v>32097</v>
      </c>
      <c r="B15911" s="9" t="s">
        <v>32098</v>
      </c>
      <c r="C15911" s="9" t="s">
        <v>17</v>
      </c>
      <c r="D15911" s="9" t="s">
        <v>18</v>
      </c>
      <c r="E15911" s="10" t="s">
        <v>426</v>
      </c>
      <c r="F15911" s="9" t="s">
        <v>694</v>
      </c>
      <c r="G15911" s="10" t="s">
        <v>28</v>
      </c>
      <c r="H15911" s="9" t="s">
        <v>35</v>
      </c>
      <c r="I15911" s="9" t="s">
        <v>32099</v>
      </c>
      <c r="J15911" s="10" t="str">
        <f>HYPERLINK("https://www.boe.es/gazeta/dias/1834/10/04/pdfs/GMD-C-1834-232.pdf#page=5","Abrir facsímil")</f>
        <v>Abrir facsímil</v>
      </c>
      <c r="K15911" s="10" t="s">
        <v>37</v>
      </c>
    </row>
    <row r="15912" spans="1:11" ht="54" customHeight="1">
      <c r="A15912" s="9" t="s">
        <v>32100</v>
      </c>
      <c r="B15912" s="9" t="s">
        <v>32101</v>
      </c>
      <c r="C15912" s="9" t="s">
        <v>17</v>
      </c>
      <c r="D15912" s="9" t="s">
        <v>18</v>
      </c>
      <c r="E15912" s="10" t="s">
        <v>68</v>
      </c>
      <c r="F15912" s="9" t="s">
        <v>69</v>
      </c>
      <c r="G15912" s="10" t="s">
        <v>21</v>
      </c>
      <c r="H15912" s="9" t="s">
        <v>35</v>
      </c>
      <c r="I15912" s="9" t="s">
        <v>32102</v>
      </c>
      <c r="J15912" s="10" t="str">
        <f>HYPERLINK("https://www.boe.es/gazeta/dias/1834/11/01/pdfs/GMD-1834-260.pdf#page=3","Abrir facsímil")</f>
        <v>Abrir facsímil</v>
      </c>
      <c r="K15912" s="10" t="s">
        <v>37</v>
      </c>
    </row>
    <row r="15913" spans="1:11" ht="54" customHeight="1">
      <c r="A15913" s="9" t="s">
        <v>32103</v>
      </c>
      <c r="B15913" s="9" t="s">
        <v>32104</v>
      </c>
      <c r="C15913" s="9" t="s">
        <v>17</v>
      </c>
      <c r="D15913" s="9" t="s">
        <v>18</v>
      </c>
      <c r="E15913" s="10" t="s">
        <v>468</v>
      </c>
      <c r="F15913" s="9" t="s">
        <v>469</v>
      </c>
      <c r="G15913" s="10" t="s">
        <v>1343</v>
      </c>
      <c r="H15913" s="9" t="s">
        <v>35</v>
      </c>
      <c r="I15913" s="9" t="s">
        <v>32105</v>
      </c>
      <c r="J15913" s="10" t="str">
        <f>HYPERLINK("https://www.boe.es/gazeta/dias/1834/12/28/pdfs/GMD-C-1834-318.pdf#page=9","Abrir facsímil")</f>
        <v>Abrir facsímil</v>
      </c>
      <c r="K15913" s="10" t="s">
        <v>37</v>
      </c>
    </row>
    <row r="15914" spans="1:11" ht="54" customHeight="1">
      <c r="A15914" s="9" t="s">
        <v>32106</v>
      </c>
      <c r="B15914" s="9" t="s">
        <v>32107</v>
      </c>
      <c r="C15914" s="9" t="s">
        <v>46</v>
      </c>
      <c r="D15914" s="9" t="s">
        <v>101</v>
      </c>
      <c r="E15914" s="10" t="s">
        <v>610</v>
      </c>
      <c r="F15914" s="9" t="s">
        <v>611</v>
      </c>
      <c r="G15914" s="10" t="s">
        <v>28</v>
      </c>
      <c r="H15914" s="9" t="s">
        <v>35</v>
      </c>
      <c r="I15914" s="9" t="s">
        <v>32108</v>
      </c>
      <c r="J15914" s="10" t="str">
        <f>HYPERLINK("https://www.boe.es/gazeta/dias/1834/12/21/pdfs/GMD-C-1834-311.pdf#page=5","Abrir facsímil")</f>
        <v>Abrir facsímil</v>
      </c>
      <c r="K15914" s="10" t="s">
        <v>37</v>
      </c>
    </row>
    <row r="15915" spans="1:11" ht="54" customHeight="1">
      <c r="A15915" s="9" t="s">
        <v>32109</v>
      </c>
      <c r="B15915" s="9" t="s">
        <v>32110</v>
      </c>
      <c r="C15915" s="9" t="s">
        <v>17</v>
      </c>
      <c r="D15915" s="9" t="s">
        <v>18</v>
      </c>
      <c r="E15915" s="10" t="s">
        <v>2260</v>
      </c>
      <c r="F15915" s="9" t="s">
        <v>2263</v>
      </c>
      <c r="G15915" s="10" t="s">
        <v>86</v>
      </c>
      <c r="H15915" s="9" t="s">
        <v>35</v>
      </c>
      <c r="I15915" s="9" t="s">
        <v>32111</v>
      </c>
      <c r="J15915" s="10" t="str">
        <f>HYPERLINK("https://www.boe.es/gazeta/dias/1834/11/13/pdfs/GMD-C-1834-272.pdf#page=2","Abrir facsímil")</f>
        <v>Abrir facsímil</v>
      </c>
      <c r="K15915" s="10" t="s">
        <v>37</v>
      </c>
    </row>
    <row r="15916" spans="1:11" ht="54" customHeight="1">
      <c r="A15916" s="9" t="s">
        <v>32112</v>
      </c>
      <c r="B15916" s="9" t="s">
        <v>32113</v>
      </c>
      <c r="C15916" s="9" t="s">
        <v>17</v>
      </c>
      <c r="D15916" s="9" t="s">
        <v>18</v>
      </c>
      <c r="E15916" s="10" t="s">
        <v>378</v>
      </c>
      <c r="F15916" s="9" t="s">
        <v>888</v>
      </c>
      <c r="G15916" s="10" t="s">
        <v>86</v>
      </c>
      <c r="H15916" s="9" t="s">
        <v>35</v>
      </c>
      <c r="I15916" s="9" t="s">
        <v>32114</v>
      </c>
      <c r="J15916" s="10" t="str">
        <f>HYPERLINK("https://www.boe.es/gazeta/dias/1834/09/24/pdfs/GMD-C-1834-222.pdf#page=2","Abrir facsímil")</f>
        <v>Abrir facsímil</v>
      </c>
      <c r="K15916" s="10" t="s">
        <v>37</v>
      </c>
    </row>
    <row r="15917" spans="1:11" ht="54" customHeight="1">
      <c r="A15917" s="9" t="s">
        <v>32115</v>
      </c>
      <c r="B15917" s="9" t="s">
        <v>32116</v>
      </c>
      <c r="C15917" s="9" t="s">
        <v>46</v>
      </c>
      <c r="D15917" s="9" t="s">
        <v>101</v>
      </c>
      <c r="E15917" s="10" t="s">
        <v>2729</v>
      </c>
      <c r="F15917" s="9" t="s">
        <v>2730</v>
      </c>
      <c r="G15917" s="10" t="s">
        <v>34</v>
      </c>
      <c r="H15917" s="9" t="s">
        <v>35</v>
      </c>
      <c r="I15917" s="9" t="s">
        <v>32117</v>
      </c>
      <c r="J15917" s="10" t="str">
        <f>HYPERLINK("https://www.boe.es/gazeta/dias/1834/07/02/pdfs/GMD-1834-135.pdf#page=1","Abrir facsímil")</f>
        <v>Abrir facsímil</v>
      </c>
      <c r="K15917" s="10" t="s">
        <v>37</v>
      </c>
    </row>
    <row r="15918" spans="1:11" ht="54" customHeight="1">
      <c r="A15918" s="9" t="s">
        <v>32118</v>
      </c>
      <c r="B15918" s="9" t="s">
        <v>32118</v>
      </c>
      <c r="C15918" s="9" t="s">
        <v>17</v>
      </c>
      <c r="D15918" s="9" t="s">
        <v>18</v>
      </c>
      <c r="E15918" s="10" t="s">
        <v>1766</v>
      </c>
      <c r="F15918" s="9" t="s">
        <v>1767</v>
      </c>
      <c r="G15918" s="10" t="s">
        <v>34</v>
      </c>
      <c r="H15918" s="9" t="s">
        <v>22</v>
      </c>
      <c r="I15918" s="9" t="s">
        <v>32119</v>
      </c>
      <c r="J15918" s="10" t="str">
        <f>HYPERLINK("https://www.boe.es/gazeta/dias/1834/10/26/pdfs/GMD-C-1834-254.pdf#page=1","Abrir facsímil")</f>
        <v>Abrir facsímil</v>
      </c>
      <c r="K15918" s="10" t="s">
        <v>24</v>
      </c>
    </row>
    <row r="15919" spans="1:11" ht="54" customHeight="1">
      <c r="A15919" s="9" t="s">
        <v>32120</v>
      </c>
      <c r="B15919" s="9" t="s">
        <v>32121</v>
      </c>
      <c r="C15919" s="9" t="s">
        <v>17</v>
      </c>
      <c r="D15919" s="9" t="s">
        <v>40</v>
      </c>
      <c r="E15919" s="10" t="s">
        <v>672</v>
      </c>
      <c r="F15919" s="9" t="s">
        <v>673</v>
      </c>
      <c r="G15919" s="10" t="s">
        <v>75</v>
      </c>
      <c r="H15919" s="9" t="s">
        <v>22</v>
      </c>
      <c r="I15919" s="9" t="s">
        <v>32122</v>
      </c>
      <c r="J15919" s="10" t="str">
        <f>HYPERLINK("https://www.boe.es/gazeta/dias/1834/09/19/pdfs/GMD-1834-217.pdf#page=4","Abrir facsímil")</f>
        <v>Abrir facsímil</v>
      </c>
      <c r="K15919" s="10" t="s">
        <v>24</v>
      </c>
    </row>
    <row r="15920" spans="1:11" ht="54" customHeight="1">
      <c r="A15920" s="9" t="s">
        <v>32123</v>
      </c>
      <c r="B15920" s="9" t="s">
        <v>32123</v>
      </c>
      <c r="C15920" s="9" t="s">
        <v>17</v>
      </c>
      <c r="D15920" s="9" t="s">
        <v>18</v>
      </c>
      <c r="E15920" s="10" t="s">
        <v>576</v>
      </c>
      <c r="F15920" s="9" t="s">
        <v>5888</v>
      </c>
      <c r="G15920" s="10" t="s">
        <v>28</v>
      </c>
      <c r="H15920" s="9" t="s">
        <v>22</v>
      </c>
      <c r="I15920" s="9" t="s">
        <v>32124</v>
      </c>
      <c r="J15920" s="10" t="str">
        <f>HYPERLINK("https://www.boe.es/gazeta/dias/1834/09/23/pdfs/GMD-C-1834-221.pdf#page=5","Abrir facsímil")</f>
        <v>Abrir facsímil</v>
      </c>
      <c r="K15920" s="10" t="s">
        <v>24</v>
      </c>
    </row>
    <row r="15921" spans="1:11" ht="54" customHeight="1">
      <c r="A15921" s="9" t="s">
        <v>32125</v>
      </c>
      <c r="B15921" s="9" t="s">
        <v>32125</v>
      </c>
      <c r="C15921" s="9" t="s">
        <v>46</v>
      </c>
      <c r="D15921" s="9" t="s">
        <v>101</v>
      </c>
      <c r="E15921" s="10" t="s">
        <v>524</v>
      </c>
      <c r="F15921" s="9" t="s">
        <v>4743</v>
      </c>
      <c r="G15921" s="10" t="s">
        <v>21</v>
      </c>
      <c r="H15921" s="9" t="s">
        <v>22</v>
      </c>
      <c r="I15921" s="9" t="s">
        <v>32126</v>
      </c>
      <c r="J15921" s="10" t="str">
        <f>HYPERLINK("https://www.boe.es/gazeta/dias/1834/12/25/pdfs/GMD-1834-315.pdf#page=3","Abrir facsímil")</f>
        <v>Abrir facsímil</v>
      </c>
      <c r="K15921" s="10" t="s">
        <v>24</v>
      </c>
    </row>
    <row r="15922" spans="1:11" ht="54" customHeight="1">
      <c r="A15922" s="9" t="s">
        <v>32127</v>
      </c>
      <c r="B15922" s="9" t="s">
        <v>32128</v>
      </c>
      <c r="C15922" s="9" t="s">
        <v>17</v>
      </c>
      <c r="D15922" s="9" t="s">
        <v>18</v>
      </c>
      <c r="E15922" s="10" t="s">
        <v>883</v>
      </c>
      <c r="F15922" s="9" t="s">
        <v>3449</v>
      </c>
      <c r="G15922" s="10" t="s">
        <v>21</v>
      </c>
      <c r="H15922" s="9" t="s">
        <v>22</v>
      </c>
      <c r="I15922" s="9" t="s">
        <v>32129</v>
      </c>
      <c r="J15922" s="10" t="str">
        <f>HYPERLINK("https://www.boe.es/gazeta/dias/1834/11/16/pdfs/GMD-1834-275.pdf#page=3","Abrir facsímil")</f>
        <v>Abrir facsímil</v>
      </c>
      <c r="K15922" s="10" t="s">
        <v>24</v>
      </c>
    </row>
    <row r="15923" spans="1:11" ht="54" customHeight="1">
      <c r="A15923" s="9" t="s">
        <v>32130</v>
      </c>
      <c r="B15923" s="9" t="s">
        <v>32130</v>
      </c>
      <c r="C15923" s="9" t="s">
        <v>17</v>
      </c>
      <c r="D15923" s="9" t="s">
        <v>40</v>
      </c>
      <c r="E15923" s="10" t="s">
        <v>5885</v>
      </c>
      <c r="F15923" s="9" t="s">
        <v>5886</v>
      </c>
      <c r="G15923" s="10" t="s">
        <v>21</v>
      </c>
      <c r="H15923" s="9" t="s">
        <v>22</v>
      </c>
      <c r="I15923" s="9" t="s">
        <v>32131</v>
      </c>
      <c r="J15923" s="10" t="str">
        <f>HYPERLINK("https://www.boe.es/gazeta/dias/1834/05/23/pdfs/GMD-1834-92.pdf#page=3","Abrir facsímil")</f>
        <v>Abrir facsímil</v>
      </c>
      <c r="K15923" s="10" t="s">
        <v>24</v>
      </c>
    </row>
    <row r="15924" spans="1:11" ht="54" customHeight="1">
      <c r="A15924" s="9" t="s">
        <v>32132</v>
      </c>
      <c r="B15924" s="9" t="s">
        <v>32132</v>
      </c>
      <c r="C15924" s="9" t="s">
        <v>66</v>
      </c>
      <c r="D15924" s="9" t="s">
        <v>40</v>
      </c>
      <c r="E15924" s="10" t="s">
        <v>1789</v>
      </c>
      <c r="F15924" s="9" t="s">
        <v>1790</v>
      </c>
      <c r="G15924" s="10" t="s">
        <v>75</v>
      </c>
      <c r="H15924" s="9" t="s">
        <v>22</v>
      </c>
      <c r="I15924" s="9" t="s">
        <v>32133</v>
      </c>
      <c r="J15924" s="10" t="str">
        <f>HYPERLINK("https://www.boe.es/gazeta/dias/1834/05/31/pdfs/GMD-1834-100.pdf#page=4","Abrir facsímil")</f>
        <v>Abrir facsímil</v>
      </c>
      <c r="K15924" s="10" t="s">
        <v>24</v>
      </c>
    </row>
    <row r="15925" spans="1:11" ht="54" customHeight="1">
      <c r="A15925" s="9" t="s">
        <v>32134</v>
      </c>
      <c r="B15925" s="9" t="s">
        <v>32135</v>
      </c>
      <c r="C15925" s="9" t="s">
        <v>17</v>
      </c>
      <c r="D15925" s="9" t="s">
        <v>18</v>
      </c>
      <c r="E15925" s="10" t="s">
        <v>133</v>
      </c>
      <c r="F15925" s="9" t="s">
        <v>134</v>
      </c>
      <c r="G15925" s="10" t="s">
        <v>75</v>
      </c>
      <c r="H15925" s="9" t="s">
        <v>22</v>
      </c>
      <c r="I15925" s="9" t="s">
        <v>32136</v>
      </c>
      <c r="J15925" s="10" t="str">
        <f>HYPERLINK("https://www.boe.es/gazeta/dias/1834/06/18/pdfs/GMD-1834-121.pdf#page=4","Abrir facsímil")</f>
        <v>Abrir facsímil</v>
      </c>
      <c r="K15925" s="10" t="s">
        <v>24</v>
      </c>
    </row>
    <row r="15926" spans="1:11" ht="54" customHeight="1">
      <c r="A15926" s="9" t="s">
        <v>32137</v>
      </c>
      <c r="B15926" s="9" t="s">
        <v>32138</v>
      </c>
      <c r="C15926" s="9" t="s">
        <v>66</v>
      </c>
      <c r="D15926" s="9" t="s">
        <v>67</v>
      </c>
      <c r="E15926" s="10" t="s">
        <v>2142</v>
      </c>
      <c r="F15926" s="9" t="s">
        <v>2143</v>
      </c>
      <c r="G15926" s="10" t="s">
        <v>21</v>
      </c>
      <c r="H15926" s="9" t="s">
        <v>22</v>
      </c>
      <c r="I15926" s="9" t="s">
        <v>32139</v>
      </c>
      <c r="J15926" s="10" t="str">
        <f>HYPERLINK("https://www.boe.es/gazeta/dias/1834/12/27/pdfs/GMD-1834-317.pdf#page=3","Abrir facsímil")</f>
        <v>Abrir facsímil</v>
      </c>
      <c r="K15926" s="10" t="s">
        <v>24</v>
      </c>
    </row>
    <row r="15927" spans="1:11" ht="54" customHeight="1">
      <c r="A15927" s="9" t="s">
        <v>32140</v>
      </c>
      <c r="B15927" s="9" t="s">
        <v>32141</v>
      </c>
      <c r="C15927" s="9" t="s">
        <v>66</v>
      </c>
      <c r="D15927" s="9" t="s">
        <v>67</v>
      </c>
      <c r="E15927" s="10" t="s">
        <v>1850</v>
      </c>
      <c r="F15927" s="9" t="s">
        <v>1851</v>
      </c>
      <c r="G15927" s="10" t="s">
        <v>28</v>
      </c>
      <c r="H15927" s="9" t="s">
        <v>22</v>
      </c>
      <c r="I15927" s="9" t="s">
        <v>32142</v>
      </c>
      <c r="J15927" s="10" t="str">
        <f>HYPERLINK("https://www.boe.es/gazeta/dias/1834/02/18/pdfs/GMD-1834-22.pdf#page=5","Abrir facsímil")</f>
        <v>Abrir facsímil</v>
      </c>
      <c r="K15927" s="10" t="s">
        <v>24</v>
      </c>
    </row>
    <row r="15928" spans="1:11" ht="54" customHeight="1">
      <c r="A15928" s="9" t="s">
        <v>32143</v>
      </c>
      <c r="B15928" s="9" t="s">
        <v>32144</v>
      </c>
      <c r="C15928" s="9" t="s">
        <v>17</v>
      </c>
      <c r="D15928" s="9" t="s">
        <v>18</v>
      </c>
      <c r="E15928" s="10" t="s">
        <v>378</v>
      </c>
      <c r="F15928" s="9" t="s">
        <v>379</v>
      </c>
      <c r="G15928" s="10" t="s">
        <v>75</v>
      </c>
      <c r="H15928" s="9" t="s">
        <v>22</v>
      </c>
      <c r="I15928" s="9" t="s">
        <v>32145</v>
      </c>
      <c r="J15928" s="10" t="str">
        <f>HYPERLINK("https://www.boe.es/gazeta/dias/1834/09/24/pdfs/GMD-1834-222.pdf#page=4","Abrir facsímil")</f>
        <v>Abrir facsímil</v>
      </c>
      <c r="K15928" s="10" t="s">
        <v>24</v>
      </c>
    </row>
    <row r="15929" spans="1:11" ht="54" customHeight="1">
      <c r="A15929" s="9" t="s">
        <v>32146</v>
      </c>
      <c r="B15929" s="9" t="s">
        <v>32146</v>
      </c>
      <c r="C15929" s="9" t="s">
        <v>46</v>
      </c>
      <c r="D15929" s="9" t="s">
        <v>18</v>
      </c>
      <c r="E15929" s="10" t="s">
        <v>1973</v>
      </c>
      <c r="F15929" s="9" t="s">
        <v>1974</v>
      </c>
      <c r="G15929" s="10" t="s">
        <v>28</v>
      </c>
      <c r="H15929" s="9" t="s">
        <v>22</v>
      </c>
      <c r="I15929" s="9" t="s">
        <v>32147</v>
      </c>
      <c r="J15929" s="10" t="str">
        <f>HYPERLINK("https://www.boe.es/gazeta/dias/1834/12/20/pdfs/GMD-C-1834-310.pdf#page=5","Abrir facsímil")</f>
        <v>Abrir facsímil</v>
      </c>
      <c r="K15929" s="10" t="s">
        <v>24</v>
      </c>
    </row>
    <row r="15930" spans="1:11" ht="54" customHeight="1">
      <c r="A15930" s="9" t="s">
        <v>32148</v>
      </c>
      <c r="B15930" s="9" t="s">
        <v>32149</v>
      </c>
      <c r="C15930" s="9" t="s">
        <v>17</v>
      </c>
      <c r="D15930" s="9" t="s">
        <v>18</v>
      </c>
      <c r="E15930" s="10" t="s">
        <v>3163</v>
      </c>
      <c r="F15930" s="9" t="s">
        <v>3164</v>
      </c>
      <c r="G15930" s="10" t="s">
        <v>75</v>
      </c>
      <c r="H15930" s="9" t="s">
        <v>22</v>
      </c>
      <c r="I15930" s="9" t="s">
        <v>32150</v>
      </c>
      <c r="J15930" s="10" t="str">
        <f>HYPERLINK("https://www.boe.es/gazeta/dias/1834/11/02/pdfs/GMD-1834-261.pdf#page=4","Abrir facsímil")</f>
        <v>Abrir facsímil</v>
      </c>
      <c r="K15930" s="10" t="s">
        <v>24</v>
      </c>
    </row>
    <row r="15931" spans="1:11" ht="54" customHeight="1">
      <c r="A15931" s="9" t="s">
        <v>32148</v>
      </c>
      <c r="B15931" s="9" t="s">
        <v>32149</v>
      </c>
      <c r="C15931" s="9" t="s">
        <v>17</v>
      </c>
      <c r="D15931" s="9" t="s">
        <v>18</v>
      </c>
      <c r="E15931" s="10" t="s">
        <v>451</v>
      </c>
      <c r="F15931" s="9" t="s">
        <v>3350</v>
      </c>
      <c r="G15931" s="10" t="s">
        <v>75</v>
      </c>
      <c r="H15931" s="9" t="s">
        <v>22</v>
      </c>
      <c r="I15931" s="9" t="s">
        <v>32151</v>
      </c>
      <c r="J15931" s="10" t="str">
        <f>HYPERLINK("https://www.boe.es/gazeta/dias/1834/10/15/pdfs/GMD-1834-243.pdf#page=4","Abrir facsímil")</f>
        <v>Abrir facsímil</v>
      </c>
      <c r="K15931" s="10" t="s">
        <v>24</v>
      </c>
    </row>
    <row r="15932" spans="1:11" ht="54" customHeight="1">
      <c r="A15932" s="9" t="s">
        <v>32148</v>
      </c>
      <c r="B15932" s="9" t="s">
        <v>32149</v>
      </c>
      <c r="C15932" s="9" t="s">
        <v>17</v>
      </c>
      <c r="D15932" s="9" t="s">
        <v>40</v>
      </c>
      <c r="E15932" s="10" t="s">
        <v>1307</v>
      </c>
      <c r="F15932" s="9" t="s">
        <v>1308</v>
      </c>
      <c r="G15932" s="10" t="s">
        <v>75</v>
      </c>
      <c r="H15932" s="9" t="s">
        <v>22</v>
      </c>
      <c r="I15932" s="9" t="s">
        <v>32152</v>
      </c>
      <c r="J15932" s="10" t="str">
        <f>HYPERLINK("https://www.boe.es/gazeta/dias/1834/08/25/pdfs/GMD-1834-191.pdf#page=4","Abrir facsímil")</f>
        <v>Abrir facsímil</v>
      </c>
      <c r="K15932" s="10" t="s">
        <v>24</v>
      </c>
    </row>
    <row r="15933" spans="1:11" ht="54" customHeight="1">
      <c r="A15933" s="9" t="s">
        <v>32153</v>
      </c>
      <c r="B15933" s="9" t="s">
        <v>32153</v>
      </c>
      <c r="C15933" s="9" t="s">
        <v>17</v>
      </c>
      <c r="D15933" s="9" t="s">
        <v>18</v>
      </c>
      <c r="E15933" s="10" t="s">
        <v>753</v>
      </c>
      <c r="F15933" s="9" t="s">
        <v>754</v>
      </c>
      <c r="G15933" s="10" t="s">
        <v>21</v>
      </c>
      <c r="H15933" s="9" t="s">
        <v>22</v>
      </c>
      <c r="I15933" s="9" t="s">
        <v>32154</v>
      </c>
      <c r="J15933" s="10" t="str">
        <f>HYPERLINK("https://www.boe.es/gazeta/dias/1834/04/21/pdfs/GMD-1834-60.pdf#page=3","Abrir facsímil")</f>
        <v>Abrir facsímil</v>
      </c>
      <c r="K15933" s="10" t="s">
        <v>24</v>
      </c>
    </row>
    <row r="15934" spans="1:11" ht="54" customHeight="1">
      <c r="A15934" s="9" t="s">
        <v>32155</v>
      </c>
      <c r="B15934" s="9" t="s">
        <v>32155</v>
      </c>
      <c r="C15934" s="9" t="s">
        <v>122</v>
      </c>
      <c r="D15934" s="9" t="s">
        <v>55</v>
      </c>
      <c r="E15934" s="10" t="s">
        <v>1094</v>
      </c>
      <c r="F15934" s="9" t="s">
        <v>1095</v>
      </c>
      <c r="G15934" s="10" t="s">
        <v>34</v>
      </c>
      <c r="H15934" s="9" t="s">
        <v>22</v>
      </c>
      <c r="I15934" s="9" t="s">
        <v>32156</v>
      </c>
      <c r="J15934" s="10" t="str">
        <f>HYPERLINK("https://www.boe.es/gazeta/dias/1834/07/13/pdfs/GMD-1834-146.pdf#page=1","Abrir facsímil")</f>
        <v>Abrir facsímil</v>
      </c>
      <c r="K15934" s="10" t="s">
        <v>24</v>
      </c>
    </row>
    <row r="15935" spans="1:11" ht="54" customHeight="1">
      <c r="A15935" s="9" t="s">
        <v>32157</v>
      </c>
      <c r="B15935" s="9" t="s">
        <v>32158</v>
      </c>
      <c r="C15935" s="9" t="s">
        <v>17</v>
      </c>
      <c r="D15935" s="9" t="s">
        <v>101</v>
      </c>
      <c r="E15935" s="10" t="s">
        <v>535</v>
      </c>
      <c r="F15935" s="9" t="s">
        <v>536</v>
      </c>
      <c r="G15935" s="10" t="s">
        <v>34</v>
      </c>
      <c r="H15935" s="9" t="s">
        <v>22</v>
      </c>
      <c r="I15935" s="9" t="s">
        <v>32159</v>
      </c>
      <c r="J15935" s="10" t="str">
        <f>HYPERLINK("https://www.boe.es/gazeta/dias/1834/05/21/pdfs/GMD-1834-90.pdf#page=1","Abrir facsímil")</f>
        <v>Abrir facsímil</v>
      </c>
      <c r="K15935" s="10" t="s">
        <v>24</v>
      </c>
    </row>
    <row r="15936" spans="1:11" ht="54" customHeight="1">
      <c r="A15936" s="9" t="s">
        <v>32160</v>
      </c>
      <c r="B15936" s="9" t="s">
        <v>32161</v>
      </c>
      <c r="C15936" s="9" t="s">
        <v>66</v>
      </c>
      <c r="D15936" s="9" t="s">
        <v>18</v>
      </c>
      <c r="E15936" s="10" t="s">
        <v>813</v>
      </c>
      <c r="F15936" s="9" t="s">
        <v>814</v>
      </c>
      <c r="G15936" s="10" t="s">
        <v>34</v>
      </c>
      <c r="H15936" s="9" t="s">
        <v>22</v>
      </c>
      <c r="I15936" s="9" t="s">
        <v>32162</v>
      </c>
      <c r="J15936" s="10" t="str">
        <f>HYPERLINK("https://www.boe.es/gazeta/dias/1834/08/08/pdfs/GMD-1834-173.pdf#page=1","Abrir facsímil")</f>
        <v>Abrir facsímil</v>
      </c>
      <c r="K15936" s="10" t="s">
        <v>24</v>
      </c>
    </row>
    <row r="15937" spans="1:11" ht="54" customHeight="1">
      <c r="A15937" s="9" t="s">
        <v>32163</v>
      </c>
      <c r="B15937" s="9" t="s">
        <v>32164</v>
      </c>
      <c r="C15937" s="9" t="s">
        <v>17</v>
      </c>
      <c r="D15937" s="9" t="s">
        <v>55</v>
      </c>
      <c r="E15937" s="10" t="s">
        <v>2729</v>
      </c>
      <c r="F15937" s="9" t="s">
        <v>2730</v>
      </c>
      <c r="G15937" s="10" t="s">
        <v>86</v>
      </c>
      <c r="H15937" s="9" t="s">
        <v>22</v>
      </c>
      <c r="I15937" s="9" t="s">
        <v>32165</v>
      </c>
      <c r="J15937" s="10" t="str">
        <f>HYPERLINK("https://www.boe.es/gazeta/dias/1834/07/02/pdfs/GMD-1834-135.pdf#page=2","Abrir facsímil")</f>
        <v>Abrir facsímil</v>
      </c>
      <c r="K15937" s="10" t="s">
        <v>24</v>
      </c>
    </row>
    <row r="15938" spans="1:11" ht="54" customHeight="1">
      <c r="A15938" s="9" t="s">
        <v>32166</v>
      </c>
      <c r="B15938" s="9" t="s">
        <v>32166</v>
      </c>
      <c r="C15938" s="9" t="s">
        <v>17</v>
      </c>
      <c r="D15938" s="9" t="s">
        <v>18</v>
      </c>
      <c r="E15938" s="10" t="s">
        <v>343</v>
      </c>
      <c r="F15938" s="9" t="s">
        <v>344</v>
      </c>
      <c r="G15938" s="10" t="s">
        <v>21</v>
      </c>
      <c r="H15938" s="9" t="s">
        <v>22</v>
      </c>
      <c r="I15938" s="9" t="s">
        <v>32167</v>
      </c>
      <c r="J15938" s="10" t="str">
        <f>HYPERLINK("https://www.boe.es/gazeta/dias/1834/01/14/pdfs/GMD-1834-7.pdf#page=3","Abrir facsímil")</f>
        <v>Abrir facsímil</v>
      </c>
      <c r="K15938" s="10" t="s">
        <v>24</v>
      </c>
    </row>
    <row r="15939" spans="1:11" ht="54" customHeight="1">
      <c r="A15939" s="9" t="s">
        <v>32168</v>
      </c>
      <c r="B15939" s="9" t="s">
        <v>32169</v>
      </c>
      <c r="C15939" s="9" t="s">
        <v>66</v>
      </c>
      <c r="D15939" s="9" t="s">
        <v>18</v>
      </c>
      <c r="E15939" s="10" t="s">
        <v>433</v>
      </c>
      <c r="F15939" s="9" t="s">
        <v>2773</v>
      </c>
      <c r="G15939" s="10" t="s">
        <v>34</v>
      </c>
      <c r="H15939" s="9" t="s">
        <v>22</v>
      </c>
      <c r="I15939" s="9" t="s">
        <v>32170</v>
      </c>
      <c r="J15939" s="10" t="str">
        <f>HYPERLINK("https://www.boe.es/gazeta/dias/1834/10/07/pdfs/GMD-1834-235.pdf#page=1","Abrir facsímil")</f>
        <v>Abrir facsímil</v>
      </c>
      <c r="K15939" s="10" t="s">
        <v>24</v>
      </c>
    </row>
    <row r="15940" spans="1:11" ht="54" customHeight="1">
      <c r="A15940" s="9" t="s">
        <v>32171</v>
      </c>
      <c r="B15940" s="9" t="s">
        <v>32172</v>
      </c>
      <c r="C15940" s="9" t="s">
        <v>17</v>
      </c>
      <c r="D15940" s="9" t="s">
        <v>18</v>
      </c>
      <c r="E15940" s="10" t="s">
        <v>454</v>
      </c>
      <c r="F15940" s="9" t="s">
        <v>2009</v>
      </c>
      <c r="G15940" s="10" t="s">
        <v>21</v>
      </c>
      <c r="H15940" s="9" t="s">
        <v>22</v>
      </c>
      <c r="I15940" s="9" t="s">
        <v>32173</v>
      </c>
      <c r="J15940" s="10" t="str">
        <f>HYPERLINK("https://www.boe.es/gazeta/dias/1834/10/16/pdfs/GMD-1834-244.pdf#page=3","Abrir facsímil")</f>
        <v>Abrir facsímil</v>
      </c>
      <c r="K15940" s="10" t="s">
        <v>24</v>
      </c>
    </row>
    <row r="15941" spans="1:11" ht="54" customHeight="1">
      <c r="A15941" s="9" t="s">
        <v>32174</v>
      </c>
      <c r="B15941" s="9" t="s">
        <v>32175</v>
      </c>
      <c r="C15941" s="9" t="s">
        <v>17</v>
      </c>
      <c r="D15941" s="9" t="s">
        <v>18</v>
      </c>
      <c r="E15941" s="10" t="s">
        <v>3248</v>
      </c>
      <c r="F15941" s="9" t="s">
        <v>4798</v>
      </c>
      <c r="G15941" s="10" t="s">
        <v>86</v>
      </c>
      <c r="H15941" s="9" t="s">
        <v>22</v>
      </c>
      <c r="I15941" s="9" t="s">
        <v>32176</v>
      </c>
      <c r="J15941" s="10" t="str">
        <f>HYPERLINK("https://www.boe.es/gazeta/dias/1834/09/20/pdfs/GMD-C-1834-218.pdf#page=2","Abrir facsímil")</f>
        <v>Abrir facsímil</v>
      </c>
      <c r="K15941" s="10" t="s">
        <v>24</v>
      </c>
    </row>
    <row r="15942" spans="1:11" ht="54" customHeight="1">
      <c r="A15942" s="9" t="s">
        <v>32177</v>
      </c>
      <c r="B15942" s="9" t="s">
        <v>32177</v>
      </c>
      <c r="C15942" s="9" t="s">
        <v>46</v>
      </c>
      <c r="D15942" s="9" t="s">
        <v>101</v>
      </c>
      <c r="E15942" s="10" t="s">
        <v>642</v>
      </c>
      <c r="F15942" s="9" t="s">
        <v>1843</v>
      </c>
      <c r="G15942" s="10" t="s">
        <v>34</v>
      </c>
      <c r="H15942" s="9" t="s">
        <v>22</v>
      </c>
      <c r="I15942" s="9" t="s">
        <v>32178</v>
      </c>
      <c r="J15942" s="10" t="str">
        <f>HYPERLINK("https://www.boe.es/gazeta/dias/1834/11/12/pdfs/GMD-1834-271.pdf#page=1","Abrir facsímil")</f>
        <v>Abrir facsímil</v>
      </c>
      <c r="K15942" s="10" t="s">
        <v>24</v>
      </c>
    </row>
    <row r="15943" spans="1:11" ht="54" customHeight="1">
      <c r="A15943" s="9" t="s">
        <v>32179</v>
      </c>
      <c r="B15943" s="9" t="s">
        <v>32179</v>
      </c>
      <c r="C15943" s="9" t="s">
        <v>46</v>
      </c>
      <c r="D15943" s="9" t="s">
        <v>55</v>
      </c>
      <c r="E15943" s="10" t="s">
        <v>1273</v>
      </c>
      <c r="F15943" s="9" t="s">
        <v>1274</v>
      </c>
      <c r="G15943" s="10" t="s">
        <v>86</v>
      </c>
      <c r="H15943" s="9" t="s">
        <v>22</v>
      </c>
      <c r="I15943" s="9" t="s">
        <v>32180</v>
      </c>
      <c r="J15943" s="10" t="str">
        <f>HYPERLINK("https://www.boe.es/gazeta/dias/1834/05/14/pdfs/GMD-1834-83.pdf#page=2","Abrir facsímil")</f>
        <v>Abrir facsímil</v>
      </c>
      <c r="K15943" s="10" t="s">
        <v>24</v>
      </c>
    </row>
    <row r="15944" spans="1:11" ht="54" customHeight="1">
      <c r="A15944" s="9" t="s">
        <v>32181</v>
      </c>
      <c r="B15944" s="9" t="s">
        <v>32181</v>
      </c>
      <c r="C15944" s="9" t="s">
        <v>17</v>
      </c>
      <c r="D15944" s="9" t="s">
        <v>18</v>
      </c>
      <c r="E15944" s="10" t="s">
        <v>1922</v>
      </c>
      <c r="F15944" s="9" t="s">
        <v>1923</v>
      </c>
      <c r="G15944" s="10" t="s">
        <v>21</v>
      </c>
      <c r="H15944" s="9" t="s">
        <v>22</v>
      </c>
      <c r="I15944" s="9" t="s">
        <v>32182</v>
      </c>
      <c r="J15944" s="10" t="str">
        <f>HYPERLINK("https://www.boe.es/gazeta/dias/1834/02/25/pdfs/GMD-1834-25.pdf#page=3","Abrir facsímil")</f>
        <v>Abrir facsímil</v>
      </c>
      <c r="K15944" s="10" t="s">
        <v>24</v>
      </c>
    </row>
    <row r="15945" spans="1:11" ht="54" customHeight="1">
      <c r="A15945" s="9" t="s">
        <v>32183</v>
      </c>
      <c r="B15945" s="9" t="s">
        <v>32183</v>
      </c>
      <c r="C15945" s="9" t="s">
        <v>46</v>
      </c>
      <c r="D15945" s="9" t="s">
        <v>18</v>
      </c>
      <c r="E15945" s="10" t="s">
        <v>1025</v>
      </c>
      <c r="F15945" s="9" t="s">
        <v>1026</v>
      </c>
      <c r="G15945" s="10" t="s">
        <v>86</v>
      </c>
      <c r="H15945" s="9" t="s">
        <v>22</v>
      </c>
      <c r="I15945" s="9" t="s">
        <v>32184</v>
      </c>
      <c r="J15945" s="10" t="str">
        <f>HYPERLINK("https://www.boe.es/gazeta/dias/1834/03/01/pdfs/GMD-1834-27.pdf#page=2","Abrir facsímil")</f>
        <v>Abrir facsímil</v>
      </c>
      <c r="K15945" s="10" t="s">
        <v>24</v>
      </c>
    </row>
    <row r="15946" spans="1:11" ht="54" customHeight="1">
      <c r="A15946" s="9" t="s">
        <v>32183</v>
      </c>
      <c r="B15946" s="9" t="s">
        <v>32183</v>
      </c>
      <c r="C15946" s="9" t="s">
        <v>46</v>
      </c>
      <c r="D15946" s="9" t="s">
        <v>18</v>
      </c>
      <c r="E15946" s="10" t="s">
        <v>3952</v>
      </c>
      <c r="F15946" s="9" t="s">
        <v>3953</v>
      </c>
      <c r="G15946" s="10" t="s">
        <v>21</v>
      </c>
      <c r="H15946" s="9" t="s">
        <v>22</v>
      </c>
      <c r="I15946" s="9" t="s">
        <v>32185</v>
      </c>
      <c r="J15946" s="10" t="str">
        <f>HYPERLINK("https://www.boe.es/gazeta/dias/1834/02/22/pdfs/GMD-1834-24.pdf#page=3","Abrir facsímil")</f>
        <v>Abrir facsímil</v>
      </c>
      <c r="K15946" s="10" t="s">
        <v>24</v>
      </c>
    </row>
    <row r="15947" spans="1:11" ht="54" customHeight="1">
      <c r="A15947" s="9" t="s">
        <v>32183</v>
      </c>
      <c r="B15947" s="9" t="s">
        <v>32183</v>
      </c>
      <c r="C15947" s="9" t="s">
        <v>17</v>
      </c>
      <c r="D15947" s="9" t="s">
        <v>18</v>
      </c>
      <c r="E15947" s="10" t="s">
        <v>1922</v>
      </c>
      <c r="F15947" s="9" t="s">
        <v>1923</v>
      </c>
      <c r="G15947" s="10" t="s">
        <v>21</v>
      </c>
      <c r="H15947" s="9" t="s">
        <v>22</v>
      </c>
      <c r="I15947" s="9" t="s">
        <v>32186</v>
      </c>
      <c r="J15947" s="10" t="str">
        <f>HYPERLINK("https://www.boe.es/gazeta/dias/1834/02/25/pdfs/GMD-1834-25.pdf#page=3","Abrir facsímil")</f>
        <v>Abrir facsímil</v>
      </c>
      <c r="K15947" s="10" t="s">
        <v>24</v>
      </c>
    </row>
    <row r="15948" spans="1:11" ht="54" customHeight="1">
      <c r="A15948" s="9" t="s">
        <v>32187</v>
      </c>
      <c r="B15948" s="9" t="s">
        <v>32188</v>
      </c>
      <c r="C15948" s="9" t="s">
        <v>122</v>
      </c>
      <c r="D15948" s="9" t="s">
        <v>18</v>
      </c>
      <c r="E15948" s="10" t="s">
        <v>1170</v>
      </c>
      <c r="F15948" s="9" t="s">
        <v>1171</v>
      </c>
      <c r="G15948" s="10" t="s">
        <v>21</v>
      </c>
      <c r="H15948" s="9" t="s">
        <v>22</v>
      </c>
      <c r="I15948" s="9" t="s">
        <v>32189</v>
      </c>
      <c r="J15948" s="10" t="str">
        <f>HYPERLINK("https://www.boe.es/gazeta/dias/1834/01/07/pdfs/GMD-1834-4.pdf#page=3","Abrir facsímil")</f>
        <v>Abrir facsímil</v>
      </c>
      <c r="K15948" s="10" t="s">
        <v>24</v>
      </c>
    </row>
    <row r="15949" spans="1:11" ht="54" customHeight="1">
      <c r="A15949" s="9" t="s">
        <v>32190</v>
      </c>
      <c r="B15949" s="9" t="s">
        <v>32191</v>
      </c>
      <c r="C15949" s="9" t="s">
        <v>66</v>
      </c>
      <c r="D15949" s="9" t="s">
        <v>67</v>
      </c>
      <c r="E15949" s="10" t="s">
        <v>696</v>
      </c>
      <c r="F15949" s="9" t="s">
        <v>697</v>
      </c>
      <c r="G15949" s="10" t="s">
        <v>34</v>
      </c>
      <c r="H15949" s="9" t="s">
        <v>35</v>
      </c>
      <c r="I15949" s="9" t="s">
        <v>32192</v>
      </c>
      <c r="J15949" s="10" t="str">
        <f>HYPERLINK("https://www.boe.es/gazeta/dias/1834/12/06/pdfs/GMD-C-1834-295.pdf#page=1","Abrir facsímil")</f>
        <v>Abrir facsímil</v>
      </c>
      <c r="K15949" s="10" t="s">
        <v>37</v>
      </c>
    </row>
    <row r="15950" spans="1:11" ht="54" customHeight="1">
      <c r="A15950" s="9" t="s">
        <v>32193</v>
      </c>
      <c r="B15950" s="9" t="s">
        <v>32194</v>
      </c>
      <c r="C15950" s="9" t="s">
        <v>17</v>
      </c>
      <c r="D15950" s="9" t="s">
        <v>18</v>
      </c>
      <c r="E15950" s="10" t="s">
        <v>1307</v>
      </c>
      <c r="F15950" s="9" t="s">
        <v>1308</v>
      </c>
      <c r="G15950" s="10" t="s">
        <v>75</v>
      </c>
      <c r="H15950" s="9" t="s">
        <v>22</v>
      </c>
      <c r="I15950" s="9" t="s">
        <v>32195</v>
      </c>
      <c r="J15950" s="10" t="str">
        <f>HYPERLINK("https://www.boe.es/gazeta/dias/1834/08/25/pdfs/GMD-1834-191.pdf#page=4","Abrir facsímil")</f>
        <v>Abrir facsímil</v>
      </c>
      <c r="K15950" s="10" t="s">
        <v>24</v>
      </c>
    </row>
    <row r="15951" spans="1:11" ht="54" customHeight="1">
      <c r="A15951" s="9" t="s">
        <v>32196</v>
      </c>
      <c r="B15951" s="9" t="s">
        <v>32197</v>
      </c>
      <c r="C15951" s="9" t="s">
        <v>66</v>
      </c>
      <c r="D15951" s="9" t="s">
        <v>67</v>
      </c>
      <c r="E15951" s="10" t="s">
        <v>696</v>
      </c>
      <c r="F15951" s="9" t="s">
        <v>697</v>
      </c>
      <c r="G15951" s="10" t="s">
        <v>34</v>
      </c>
      <c r="H15951" s="9" t="s">
        <v>22</v>
      </c>
      <c r="I15951" s="9" t="s">
        <v>32198</v>
      </c>
      <c r="J15951" s="10" t="str">
        <f>HYPERLINK("https://www.boe.es/gazeta/dias/1834/12/06/pdfs/GMD-C-1834-295.pdf#page=1","Abrir facsímil")</f>
        <v>Abrir facsímil</v>
      </c>
      <c r="K15951" s="10" t="s">
        <v>24</v>
      </c>
    </row>
    <row r="15952" spans="1:11" ht="54" customHeight="1">
      <c r="A15952" s="9" t="s">
        <v>32199</v>
      </c>
      <c r="B15952" s="9" t="s">
        <v>32199</v>
      </c>
      <c r="C15952" s="9" t="s">
        <v>66</v>
      </c>
      <c r="D15952" s="9" t="s">
        <v>67</v>
      </c>
      <c r="E15952" s="10" t="s">
        <v>1556</v>
      </c>
      <c r="F15952" s="9" t="s">
        <v>1557</v>
      </c>
      <c r="G15952" s="10" t="s">
        <v>21</v>
      </c>
      <c r="H15952" s="9" t="s">
        <v>22</v>
      </c>
      <c r="I15952" s="9" t="s">
        <v>32200</v>
      </c>
      <c r="J15952" s="10" t="str">
        <f>HYPERLINK("https://www.boe.es/gazeta/dias/1834/06/06/pdfs/GMD-1834-108.pdf#page=3","Abrir facsímil")</f>
        <v>Abrir facsímil</v>
      </c>
      <c r="K15952" s="10" t="s">
        <v>24</v>
      </c>
    </row>
    <row r="15953" spans="1:11" ht="54" customHeight="1">
      <c r="A15953" s="9" t="s">
        <v>32201</v>
      </c>
      <c r="B15953" s="9" t="s">
        <v>32202</v>
      </c>
      <c r="C15953" s="9" t="s">
        <v>17</v>
      </c>
      <c r="D15953" s="9" t="s">
        <v>18</v>
      </c>
      <c r="E15953" s="10" t="s">
        <v>258</v>
      </c>
      <c r="F15953" s="9" t="s">
        <v>1075</v>
      </c>
      <c r="G15953" s="10" t="s">
        <v>21</v>
      </c>
      <c r="H15953" s="9" t="s">
        <v>22</v>
      </c>
      <c r="I15953" s="9" t="s">
        <v>32203</v>
      </c>
      <c r="J15953" s="10" t="str">
        <f>HYPERLINK("https://www.boe.es/gazeta/dias/1834/10/09/pdfs/GMD-1834-237.pdf#page=3","Abrir facsímil")</f>
        <v>Abrir facsímil</v>
      </c>
      <c r="K15953" s="10" t="s">
        <v>24</v>
      </c>
    </row>
    <row r="15954" spans="1:11" ht="54" customHeight="1">
      <c r="A15954" s="9" t="s">
        <v>32204</v>
      </c>
      <c r="B15954" s="9" t="s">
        <v>32204</v>
      </c>
      <c r="C15954" s="9" t="s">
        <v>17</v>
      </c>
      <c r="D15954" s="9" t="s">
        <v>55</v>
      </c>
      <c r="E15954" s="10" t="s">
        <v>883</v>
      </c>
      <c r="F15954" s="9" t="s">
        <v>3449</v>
      </c>
      <c r="G15954" s="10" t="s">
        <v>21</v>
      </c>
      <c r="H15954" s="9" t="s">
        <v>22</v>
      </c>
      <c r="I15954" s="9" t="s">
        <v>32205</v>
      </c>
      <c r="J15954" s="10" t="str">
        <f>HYPERLINK("https://www.boe.es/gazeta/dias/1834/11/16/pdfs/GMD-1834-275.pdf#page=3","Abrir facsímil")</f>
        <v>Abrir facsímil</v>
      </c>
      <c r="K15954" s="10" t="s">
        <v>24</v>
      </c>
    </row>
    <row r="15955" spans="1:11" ht="54" customHeight="1">
      <c r="A15955" s="9" t="s">
        <v>32206</v>
      </c>
      <c r="B15955" s="9" t="s">
        <v>32207</v>
      </c>
      <c r="C15955" s="9" t="s">
        <v>122</v>
      </c>
      <c r="D15955" s="9" t="s">
        <v>18</v>
      </c>
      <c r="E15955" s="10" t="s">
        <v>513</v>
      </c>
      <c r="F15955" s="9" t="s">
        <v>514</v>
      </c>
      <c r="G15955" s="10" t="s">
        <v>21</v>
      </c>
      <c r="H15955" s="9" t="s">
        <v>35</v>
      </c>
      <c r="I15955" s="9" t="s">
        <v>32208</v>
      </c>
      <c r="J15955" s="10" t="str">
        <f>HYPERLINK("https://www.boe.es/gazeta/dias/1834/04/27/pdfs/GMD-1834-66.pdf#page=3","Abrir facsímil")</f>
        <v>Abrir facsímil</v>
      </c>
      <c r="K15955" s="10" t="s">
        <v>37</v>
      </c>
    </row>
    <row r="15956" spans="1:11" ht="54" customHeight="1">
      <c r="A15956" s="9" t="s">
        <v>32209</v>
      </c>
      <c r="B15956" s="9" t="s">
        <v>32210</v>
      </c>
      <c r="C15956" s="9" t="s">
        <v>17</v>
      </c>
      <c r="D15956" s="9" t="s">
        <v>18</v>
      </c>
      <c r="E15956" s="10" t="s">
        <v>334</v>
      </c>
      <c r="F15956" s="9" t="s">
        <v>567</v>
      </c>
      <c r="G15956" s="10" t="s">
        <v>75</v>
      </c>
      <c r="H15956" s="9" t="s">
        <v>22</v>
      </c>
      <c r="I15956" s="9" t="s">
        <v>32211</v>
      </c>
      <c r="J15956" s="10" t="str">
        <f>HYPERLINK("https://www.boe.es/gazeta/dias/1834/09/11/pdfs/GMD-1834-209.pdf#page=4","Abrir facsímil")</f>
        <v>Abrir facsímil</v>
      </c>
      <c r="K15956" s="10" t="s">
        <v>24</v>
      </c>
    </row>
    <row r="15957" spans="1:11" ht="54" customHeight="1">
      <c r="A15957" s="9" t="s">
        <v>32212</v>
      </c>
      <c r="B15957" s="9" t="s">
        <v>32213</v>
      </c>
      <c r="C15957" s="9" t="s">
        <v>66</v>
      </c>
      <c r="D15957" s="9" t="s">
        <v>67</v>
      </c>
      <c r="E15957" s="10" t="s">
        <v>309</v>
      </c>
      <c r="F15957" s="9" t="s">
        <v>310</v>
      </c>
      <c r="G15957" s="10" t="s">
        <v>34</v>
      </c>
      <c r="H15957" s="9" t="s">
        <v>22</v>
      </c>
      <c r="I15957" s="9" t="s">
        <v>32214</v>
      </c>
      <c r="J15957" s="10" t="str">
        <f>HYPERLINK("https://www.boe.es/gazeta/dias/1834/05/30/pdfs/GMD-1834-99.pdf#page=1","Abrir facsímil")</f>
        <v>Abrir facsímil</v>
      </c>
      <c r="K15957" s="10" t="s">
        <v>24</v>
      </c>
    </row>
    <row r="15958" spans="1:11" ht="54" customHeight="1">
      <c r="A15958" s="9" t="s">
        <v>32215</v>
      </c>
      <c r="B15958" s="9" t="s">
        <v>32215</v>
      </c>
      <c r="C15958" s="9" t="s">
        <v>17</v>
      </c>
      <c r="D15958" s="9" t="s">
        <v>18</v>
      </c>
      <c r="E15958" s="10" t="s">
        <v>237</v>
      </c>
      <c r="F15958" s="9" t="s">
        <v>238</v>
      </c>
      <c r="G15958" s="10" t="s">
        <v>21</v>
      </c>
      <c r="H15958" s="9" t="s">
        <v>22</v>
      </c>
      <c r="I15958" s="9" t="s">
        <v>32216</v>
      </c>
      <c r="J15958" s="10" t="str">
        <f>HYPERLINK("https://www.boe.es/gazeta/dias/1834/08/15/pdfs/GMD-C-1834-180.pdf#page=3","Abrir facsímil")</f>
        <v>Abrir facsímil</v>
      </c>
      <c r="K15958" s="10" t="s">
        <v>24</v>
      </c>
    </row>
    <row r="15959" spans="1:11" ht="54" customHeight="1">
      <c r="A15959" s="9" t="s">
        <v>32217</v>
      </c>
      <c r="B15959" s="9" t="s">
        <v>32217</v>
      </c>
      <c r="C15959" s="9" t="s">
        <v>66</v>
      </c>
      <c r="D15959" s="9" t="s">
        <v>67</v>
      </c>
      <c r="E15959" s="10" t="s">
        <v>1839</v>
      </c>
      <c r="F15959" s="9" t="s">
        <v>3598</v>
      </c>
      <c r="G15959" s="10" t="s">
        <v>86</v>
      </c>
      <c r="H15959" s="9" t="s">
        <v>22</v>
      </c>
      <c r="I15959" s="9" t="s">
        <v>32218</v>
      </c>
      <c r="J15959" s="10" t="str">
        <f>HYPERLINK("https://www.boe.es/gazeta/dias/1834/08/12/pdfs/GMD-1834-177.pdf#page=2","Abrir facsímil")</f>
        <v>Abrir facsímil</v>
      </c>
      <c r="K15959" s="10" t="s">
        <v>24</v>
      </c>
    </row>
    <row r="15960" spans="1:11" ht="54" customHeight="1">
      <c r="A15960" s="9" t="s">
        <v>32219</v>
      </c>
      <c r="B15960" s="9" t="s">
        <v>32219</v>
      </c>
      <c r="C15960" s="9" t="s">
        <v>17</v>
      </c>
      <c r="D15960" s="9" t="s">
        <v>18</v>
      </c>
      <c r="E15960" s="10" t="s">
        <v>233</v>
      </c>
      <c r="F15960" s="9" t="s">
        <v>1810</v>
      </c>
      <c r="G15960" s="10" t="s">
        <v>176</v>
      </c>
      <c r="H15960" s="9" t="s">
        <v>22</v>
      </c>
      <c r="I15960" s="9" t="s">
        <v>32220</v>
      </c>
      <c r="J15960" s="10" t="str">
        <f>HYPERLINK("https://www.boe.es/gazeta/dias/1834/12/16/pdfs/GMD-C-1834-305.pdf#page=6","Abrir facsímil")</f>
        <v>Abrir facsímil</v>
      </c>
      <c r="K15960" s="10" t="s">
        <v>24</v>
      </c>
    </row>
    <row r="15961" spans="1:11" ht="54" customHeight="1">
      <c r="A15961" s="9" t="s">
        <v>32221</v>
      </c>
      <c r="B15961" s="9" t="s">
        <v>32222</v>
      </c>
      <c r="C15961" s="9" t="s">
        <v>66</v>
      </c>
      <c r="D15961" s="9" t="s">
        <v>67</v>
      </c>
      <c r="E15961" s="10" t="s">
        <v>1234</v>
      </c>
      <c r="F15961" s="9" t="s">
        <v>1235</v>
      </c>
      <c r="G15961" s="10" t="s">
        <v>34</v>
      </c>
      <c r="H15961" s="9" t="s">
        <v>22</v>
      </c>
      <c r="I15961" s="9" t="s">
        <v>32223</v>
      </c>
      <c r="J15961" s="10" t="str">
        <f>HYPERLINK("https://www.boe.es/gazeta/dias/1834/05/15/pdfs/GMD-C-1834-84.pdf#page=1","Abrir facsímil")</f>
        <v>Abrir facsímil</v>
      </c>
      <c r="K15961" s="10" t="s">
        <v>24</v>
      </c>
    </row>
    <row r="15962" spans="1:11" ht="54" customHeight="1">
      <c r="A15962" s="9" t="s">
        <v>32224</v>
      </c>
      <c r="B15962" s="9" t="s">
        <v>32225</v>
      </c>
      <c r="C15962" s="9" t="s">
        <v>17</v>
      </c>
      <c r="D15962" s="9" t="s">
        <v>18</v>
      </c>
      <c r="E15962" s="10" t="s">
        <v>1212</v>
      </c>
      <c r="F15962" s="9" t="s">
        <v>1213</v>
      </c>
      <c r="G15962" s="10" t="s">
        <v>75</v>
      </c>
      <c r="H15962" s="9" t="s">
        <v>22</v>
      </c>
      <c r="I15962" s="9" t="s">
        <v>32226</v>
      </c>
      <c r="J15962" s="10" t="str">
        <f>HYPERLINK("https://www.boe.es/gazeta/dias/1834/05/24/pdfs/GMD-1834-93.pdf#page=4","Abrir facsímil")</f>
        <v>Abrir facsímil</v>
      </c>
      <c r="K15962" s="10" t="s">
        <v>24</v>
      </c>
    </row>
    <row r="15963" spans="1:11" ht="54" customHeight="1">
      <c r="A15963" s="9" t="s">
        <v>32227</v>
      </c>
      <c r="B15963" s="9" t="s">
        <v>32228</v>
      </c>
      <c r="C15963" s="9" t="s">
        <v>122</v>
      </c>
      <c r="D15963" s="9" t="s">
        <v>18</v>
      </c>
      <c r="E15963" s="10" t="s">
        <v>863</v>
      </c>
      <c r="F15963" s="9" t="s">
        <v>864</v>
      </c>
      <c r="G15963" s="10" t="s">
        <v>75</v>
      </c>
      <c r="H15963" s="9" t="s">
        <v>22</v>
      </c>
      <c r="I15963" s="9" t="s">
        <v>32229</v>
      </c>
      <c r="J15963" s="10" t="str">
        <f>HYPERLINK("https://www.boe.es/gazeta/dias/1834/09/15/pdfs/GMD-1834-213.pdf#page=4","Abrir facsímil")</f>
        <v>Abrir facsímil</v>
      </c>
      <c r="K15963" s="10" t="s">
        <v>24</v>
      </c>
    </row>
    <row r="15964" spans="1:11" ht="54" customHeight="1">
      <c r="A15964" s="9" t="s">
        <v>32230</v>
      </c>
      <c r="B15964" s="9" t="s">
        <v>32230</v>
      </c>
      <c r="C15964" s="9" t="s">
        <v>90</v>
      </c>
      <c r="D15964" s="9" t="s">
        <v>18</v>
      </c>
      <c r="E15964" s="10" t="s">
        <v>2091</v>
      </c>
      <c r="F15964" s="9" t="s">
        <v>2092</v>
      </c>
      <c r="G15964" s="10" t="s">
        <v>86</v>
      </c>
      <c r="H15964" s="9" t="s">
        <v>22</v>
      </c>
      <c r="I15964" s="9" t="s">
        <v>32231</v>
      </c>
      <c r="J15964" s="10" t="str">
        <f>HYPERLINK("https://www.boe.es/gazeta/dias/1834/03/08/pdfs/GMD-1834-30.pdf#page=2","Abrir facsímil")</f>
        <v>Abrir facsímil</v>
      </c>
      <c r="K15964" s="10" t="s">
        <v>24</v>
      </c>
    </row>
    <row r="15965" spans="1:11" ht="54" customHeight="1">
      <c r="A15965" s="9" t="s">
        <v>32232</v>
      </c>
      <c r="B15965" s="9" t="s">
        <v>32232</v>
      </c>
      <c r="C15965" s="9" t="s">
        <v>66</v>
      </c>
      <c r="D15965" s="9" t="s">
        <v>67</v>
      </c>
      <c r="E15965" s="10" t="s">
        <v>870</v>
      </c>
      <c r="F15965" s="9" t="s">
        <v>871</v>
      </c>
      <c r="G15965" s="10" t="s">
        <v>75</v>
      </c>
      <c r="H15965" s="9" t="s">
        <v>22</v>
      </c>
      <c r="I15965" s="9" t="s">
        <v>32233</v>
      </c>
      <c r="J15965" s="10" t="str">
        <f>HYPERLINK("https://www.boe.es/gazeta/dias/1834/05/28/pdfs/GMD-1834-97.pdf#page=4","Abrir facsímil")</f>
        <v>Abrir facsímil</v>
      </c>
      <c r="K15965" s="10" t="s">
        <v>24</v>
      </c>
    </row>
    <row r="15966" spans="1:11" ht="54" customHeight="1">
      <c r="A15966" s="9" t="s">
        <v>32234</v>
      </c>
      <c r="B15966" s="9" t="s">
        <v>32235</v>
      </c>
      <c r="C15966" s="9" t="s">
        <v>17</v>
      </c>
      <c r="D15966" s="9" t="s">
        <v>18</v>
      </c>
      <c r="E15966" s="10" t="s">
        <v>360</v>
      </c>
      <c r="F15966" s="9" t="s">
        <v>361</v>
      </c>
      <c r="G15966" s="10" t="s">
        <v>75</v>
      </c>
      <c r="H15966" s="9" t="s">
        <v>35</v>
      </c>
      <c r="I15966" s="9" t="s">
        <v>32236</v>
      </c>
      <c r="J15966" s="10" t="str">
        <f>HYPERLINK("https://www.boe.es/gazeta/dias/1834/04/07/pdfs/GMD-1834-46.pdf#page=4","Abrir facsímil")</f>
        <v>Abrir facsímil</v>
      </c>
      <c r="K15966" s="10" t="s">
        <v>37</v>
      </c>
    </row>
    <row r="15967" spans="1:11" ht="54" customHeight="1">
      <c r="A15967" s="9" t="s">
        <v>32237</v>
      </c>
      <c r="B15967" s="9" t="s">
        <v>32238</v>
      </c>
      <c r="C15967" s="9" t="s">
        <v>66</v>
      </c>
      <c r="D15967" s="9" t="s">
        <v>67</v>
      </c>
      <c r="E15967" s="10" t="s">
        <v>1234</v>
      </c>
      <c r="F15967" s="9" t="s">
        <v>1235</v>
      </c>
      <c r="G15967" s="10" t="s">
        <v>34</v>
      </c>
      <c r="H15967" s="9" t="s">
        <v>35</v>
      </c>
      <c r="I15967" s="9" t="s">
        <v>32239</v>
      </c>
      <c r="J15967" s="10" t="str">
        <f>HYPERLINK("https://www.boe.es/gazeta/dias/1834/05/15/pdfs/GMD-C-1834-84.pdf#page=1","Abrir facsímil")</f>
        <v>Abrir facsímil</v>
      </c>
      <c r="K15967" s="10" t="s">
        <v>37</v>
      </c>
    </row>
    <row r="15968" spans="1:11" ht="54" customHeight="1">
      <c r="A15968" s="9" t="s">
        <v>32240</v>
      </c>
      <c r="B15968" s="9" t="s">
        <v>32241</v>
      </c>
      <c r="C15968" s="9" t="s">
        <v>66</v>
      </c>
      <c r="D15968" s="9" t="s">
        <v>67</v>
      </c>
      <c r="E15968" s="10" t="s">
        <v>465</v>
      </c>
      <c r="F15968" s="9" t="s">
        <v>1361</v>
      </c>
      <c r="G15968" s="10" t="s">
        <v>75</v>
      </c>
      <c r="H15968" s="9" t="s">
        <v>35</v>
      </c>
      <c r="I15968" s="9" t="s">
        <v>32242</v>
      </c>
      <c r="J15968" s="10" t="str">
        <f>HYPERLINK("https://www.boe.es/gazeta/dias/1834/11/27/pdfs/GMD-1834-286.pdf#page=4","Abrir facsímil")</f>
        <v>Abrir facsímil</v>
      </c>
      <c r="K15968" s="10" t="s">
        <v>37</v>
      </c>
    </row>
    <row r="15969" spans="1:11" ht="54" customHeight="1">
      <c r="A15969" s="9" t="s">
        <v>32243</v>
      </c>
      <c r="B15969" s="9" t="s">
        <v>32244</v>
      </c>
      <c r="C15969" s="9" t="s">
        <v>17</v>
      </c>
      <c r="D15969" s="9" t="s">
        <v>18</v>
      </c>
      <c r="E15969" s="10" t="s">
        <v>360</v>
      </c>
      <c r="F15969" s="9" t="s">
        <v>361</v>
      </c>
      <c r="G15969" s="10" t="s">
        <v>75</v>
      </c>
      <c r="H15969" s="9" t="s">
        <v>22</v>
      </c>
      <c r="I15969" s="9" t="s">
        <v>32245</v>
      </c>
      <c r="J15969" s="10" t="str">
        <f>HYPERLINK("https://www.boe.es/gazeta/dias/1834/04/07/pdfs/GMD-1834-46.pdf#page=4","Abrir facsímil")</f>
        <v>Abrir facsímil</v>
      </c>
      <c r="K15969" s="10" t="s">
        <v>24</v>
      </c>
    </row>
    <row r="15970" spans="1:11" ht="54" customHeight="1">
      <c r="A15970" s="9" t="s">
        <v>32246</v>
      </c>
      <c r="B15970" s="9" t="s">
        <v>32247</v>
      </c>
      <c r="C15970" s="9" t="s">
        <v>17</v>
      </c>
      <c r="D15970" s="9" t="s">
        <v>40</v>
      </c>
      <c r="E15970" s="10" t="s">
        <v>433</v>
      </c>
      <c r="F15970" s="9" t="s">
        <v>2773</v>
      </c>
      <c r="G15970" s="10" t="s">
        <v>75</v>
      </c>
      <c r="H15970" s="9" t="s">
        <v>22</v>
      </c>
      <c r="I15970" s="9" t="s">
        <v>32248</v>
      </c>
      <c r="J15970" s="10" t="str">
        <f>HYPERLINK("https://www.boe.es/gazeta/dias/1834/10/07/pdfs/GMD-1834-235.pdf#page=4","Abrir facsímil")</f>
        <v>Abrir facsímil</v>
      </c>
      <c r="K15970" s="10" t="s">
        <v>24</v>
      </c>
    </row>
    <row r="15971" spans="1:11" ht="54" customHeight="1">
      <c r="A15971" s="9" t="s">
        <v>32246</v>
      </c>
      <c r="B15971" s="9" t="s">
        <v>32247</v>
      </c>
      <c r="C15971" s="9" t="s">
        <v>17</v>
      </c>
      <c r="D15971" s="9" t="s">
        <v>40</v>
      </c>
      <c r="E15971" s="10" t="s">
        <v>860</v>
      </c>
      <c r="F15971" s="9" t="s">
        <v>861</v>
      </c>
      <c r="G15971" s="10" t="s">
        <v>470</v>
      </c>
      <c r="H15971" s="9" t="s">
        <v>22</v>
      </c>
      <c r="I15971" s="9" t="s">
        <v>32249</v>
      </c>
      <c r="J15971" s="10" t="str">
        <f>HYPERLINK("https://www.boe.es/gazeta/dias/1834/02/08/pdfs/GMD-1834-18.pdf#page=8","Abrir facsímil")</f>
        <v>Abrir facsímil</v>
      </c>
      <c r="K15971" s="10" t="s">
        <v>24</v>
      </c>
    </row>
    <row r="15972" spans="1:11" ht="54" customHeight="1">
      <c r="A15972" s="9" t="s">
        <v>32246</v>
      </c>
      <c r="B15972" s="9" t="s">
        <v>32247</v>
      </c>
      <c r="C15972" s="9" t="s">
        <v>46</v>
      </c>
      <c r="D15972" s="9" t="s">
        <v>18</v>
      </c>
      <c r="E15972" s="10" t="s">
        <v>627</v>
      </c>
      <c r="F15972" s="9" t="s">
        <v>1013</v>
      </c>
      <c r="G15972" s="10" t="s">
        <v>75</v>
      </c>
      <c r="H15972" s="9" t="s">
        <v>22</v>
      </c>
      <c r="I15972" s="9" t="s">
        <v>32250</v>
      </c>
      <c r="J15972" s="10" t="str">
        <f>HYPERLINK("https://www.boe.es/gazeta/dias/1834/09/22/pdfs/GMD-1834-220.pdf#page=4","Abrir facsímil")</f>
        <v>Abrir facsímil</v>
      </c>
      <c r="K15972" s="10" t="s">
        <v>24</v>
      </c>
    </row>
    <row r="15973" spans="1:11" ht="54" customHeight="1">
      <c r="A15973" s="9" t="s">
        <v>32251</v>
      </c>
      <c r="B15973" s="9" t="s">
        <v>32252</v>
      </c>
      <c r="C15973" s="9" t="s">
        <v>66</v>
      </c>
      <c r="D15973" s="9" t="s">
        <v>67</v>
      </c>
      <c r="E15973" s="10" t="s">
        <v>1234</v>
      </c>
      <c r="F15973" s="9" t="s">
        <v>1235</v>
      </c>
      <c r="G15973" s="10" t="s">
        <v>34</v>
      </c>
      <c r="H15973" s="9" t="s">
        <v>22</v>
      </c>
      <c r="I15973" s="9" t="s">
        <v>32253</v>
      </c>
      <c r="J15973" s="10" t="str">
        <f>HYPERLINK("https://www.boe.es/gazeta/dias/1834/05/15/pdfs/GMD-C-1834-84.pdf#page=1","Abrir facsímil")</f>
        <v>Abrir facsímil</v>
      </c>
      <c r="K15973" s="10" t="s">
        <v>24</v>
      </c>
    </row>
    <row r="15974" spans="1:11" ht="54" customHeight="1">
      <c r="A15974" s="9" t="s">
        <v>32254</v>
      </c>
      <c r="B15974" s="9" t="s">
        <v>32255</v>
      </c>
      <c r="C15974" s="9" t="s">
        <v>66</v>
      </c>
      <c r="D15974" s="9" t="s">
        <v>67</v>
      </c>
      <c r="E15974" s="10" t="s">
        <v>465</v>
      </c>
      <c r="F15974" s="9" t="s">
        <v>1361</v>
      </c>
      <c r="G15974" s="10" t="s">
        <v>75</v>
      </c>
      <c r="H15974" s="9" t="s">
        <v>22</v>
      </c>
      <c r="I15974" s="9" t="s">
        <v>32256</v>
      </c>
      <c r="J15974" s="10" t="str">
        <f>HYPERLINK("https://www.boe.es/gazeta/dias/1834/11/27/pdfs/GMD-1834-286.pdf#page=4","Abrir facsímil")</f>
        <v>Abrir facsímil</v>
      </c>
      <c r="K15974" s="10" t="s">
        <v>24</v>
      </c>
    </row>
    <row r="15975" spans="1:11" ht="54" customHeight="1">
      <c r="A15975" s="9" t="s">
        <v>32257</v>
      </c>
      <c r="B15975" s="9" t="s">
        <v>32258</v>
      </c>
      <c r="C15975" s="9" t="s">
        <v>857</v>
      </c>
      <c r="D15975" s="9" t="s">
        <v>67</v>
      </c>
      <c r="E15975" s="10" t="s">
        <v>1918</v>
      </c>
      <c r="F15975" s="9" t="s">
        <v>2024</v>
      </c>
      <c r="G15975" s="10" t="s">
        <v>34</v>
      </c>
      <c r="H15975" s="9" t="s">
        <v>35</v>
      </c>
      <c r="I15975" s="9" t="s">
        <v>32259</v>
      </c>
      <c r="J15975" s="10" t="str">
        <f>HYPERLINK("https://www.boe.es/gazeta/dias/1834/03/22/pdfs/GMD-C-1834-36.pdf#page=1","Abrir facsímil")</f>
        <v>Abrir facsímil</v>
      </c>
      <c r="K15975" s="10" t="s">
        <v>37</v>
      </c>
    </row>
    <row r="15976" spans="1:11" ht="54" customHeight="1">
      <c r="A15976" s="9" t="s">
        <v>32260</v>
      </c>
      <c r="B15976" s="9" t="s">
        <v>32261</v>
      </c>
      <c r="C15976" s="9" t="s">
        <v>857</v>
      </c>
      <c r="D15976" s="9" t="s">
        <v>67</v>
      </c>
      <c r="E15976" s="10" t="s">
        <v>1918</v>
      </c>
      <c r="F15976" s="9" t="s">
        <v>2024</v>
      </c>
      <c r="G15976" s="10" t="s">
        <v>34</v>
      </c>
      <c r="H15976" s="9" t="s">
        <v>22</v>
      </c>
      <c r="I15976" s="9" t="s">
        <v>32262</v>
      </c>
      <c r="J15976" s="10" t="str">
        <f>HYPERLINK("https://www.boe.es/gazeta/dias/1834/03/22/pdfs/GMD-C-1834-36.pdf#page=1","Abrir facsímil")</f>
        <v>Abrir facsímil</v>
      </c>
      <c r="K15976" s="10" t="s">
        <v>24</v>
      </c>
    </row>
    <row r="15977" spans="1:11" ht="54" customHeight="1">
      <c r="A15977" s="9" t="s">
        <v>32263</v>
      </c>
      <c r="B15977" s="9" t="s">
        <v>32263</v>
      </c>
      <c r="C15977" s="9" t="s">
        <v>17</v>
      </c>
      <c r="D15977" s="9" t="s">
        <v>18</v>
      </c>
      <c r="E15977" s="10" t="s">
        <v>251</v>
      </c>
      <c r="F15977" s="9" t="s">
        <v>1278</v>
      </c>
      <c r="G15977" s="10" t="s">
        <v>21</v>
      </c>
      <c r="H15977" s="9" t="s">
        <v>22</v>
      </c>
      <c r="I15977" s="9" t="s">
        <v>32264</v>
      </c>
      <c r="J15977" s="10" t="str">
        <f>HYPERLINK("https://www.boe.es/gazeta/dias/1834/09/26/pdfs/GMD-1834-224.pdf#page=3","Abrir facsímil")</f>
        <v>Abrir facsímil</v>
      </c>
      <c r="K15977" s="10" t="s">
        <v>24</v>
      </c>
    </row>
    <row r="15978" spans="1:11" ht="54" customHeight="1">
      <c r="A15978" s="9" t="s">
        <v>32265</v>
      </c>
      <c r="B15978" s="9" t="s">
        <v>32266</v>
      </c>
      <c r="C15978" s="9" t="s">
        <v>17</v>
      </c>
      <c r="D15978" s="9" t="s">
        <v>40</v>
      </c>
      <c r="E15978" s="10" t="s">
        <v>11736</v>
      </c>
      <c r="F15978" s="9" t="s">
        <v>11737</v>
      </c>
      <c r="G15978" s="10" t="s">
        <v>75</v>
      </c>
      <c r="H15978" s="9" t="s">
        <v>22</v>
      </c>
      <c r="I15978" s="9" t="s">
        <v>32267</v>
      </c>
      <c r="J15978" s="10" t="str">
        <f>HYPERLINK("https://www.boe.es/gazeta/dias/1834/04/11/pdfs/GMD-1834-50.pdf#page=4","Abrir facsímil")</f>
        <v>Abrir facsímil</v>
      </c>
      <c r="K15978" s="10" t="s">
        <v>24</v>
      </c>
    </row>
    <row r="15979" spans="1:11" ht="54" customHeight="1">
      <c r="A15979" s="9" t="s">
        <v>32268</v>
      </c>
      <c r="B15979" s="9" t="s">
        <v>32269</v>
      </c>
      <c r="C15979" s="9" t="s">
        <v>17</v>
      </c>
      <c r="D15979" s="9" t="s">
        <v>18</v>
      </c>
      <c r="E15979" s="10" t="s">
        <v>1017</v>
      </c>
      <c r="F15979" s="9" t="s">
        <v>1018</v>
      </c>
      <c r="G15979" s="10" t="s">
        <v>21</v>
      </c>
      <c r="H15979" s="9" t="s">
        <v>22</v>
      </c>
      <c r="I15979" s="9" t="s">
        <v>32270</v>
      </c>
      <c r="J15979" s="10" t="str">
        <f>HYPERLINK("https://www.boe.es/gazeta/dias/1834/07/24/pdfs/GMD-1834-157.pdf#page=3","Abrir facsímil")</f>
        <v>Abrir facsímil</v>
      </c>
      <c r="K15979" s="10" t="s">
        <v>24</v>
      </c>
    </row>
    <row r="15980" spans="1:11" ht="54" customHeight="1">
      <c r="A15980" s="9" t="s">
        <v>32271</v>
      </c>
      <c r="B15980" s="9" t="s">
        <v>32272</v>
      </c>
      <c r="C15980" s="9" t="s">
        <v>17</v>
      </c>
      <c r="D15980" s="9" t="s">
        <v>101</v>
      </c>
      <c r="E15980" s="10" t="s">
        <v>1410</v>
      </c>
      <c r="F15980" s="9" t="s">
        <v>1411</v>
      </c>
      <c r="G15980" s="10" t="s">
        <v>21</v>
      </c>
      <c r="H15980" s="9" t="s">
        <v>22</v>
      </c>
      <c r="I15980" s="9" t="s">
        <v>32273</v>
      </c>
      <c r="J15980" s="10" t="str">
        <f>HYPERLINK("https://www.boe.es/gazeta/dias/1834/09/09/pdfs/GMD-1834-207.pdf#page=3","Abrir facsímil")</f>
        <v>Abrir facsímil</v>
      </c>
      <c r="K15980" s="10" t="s">
        <v>24</v>
      </c>
    </row>
    <row r="15981" spans="1:11" ht="54" customHeight="1">
      <c r="A15981" s="9" t="s">
        <v>32274</v>
      </c>
      <c r="B15981" s="9" t="s">
        <v>32275</v>
      </c>
      <c r="C15981" s="9" t="s">
        <v>857</v>
      </c>
      <c r="D15981" s="9" t="s">
        <v>67</v>
      </c>
      <c r="E15981" s="10" t="s">
        <v>1918</v>
      </c>
      <c r="F15981" s="9" t="s">
        <v>2024</v>
      </c>
      <c r="G15981" s="10" t="s">
        <v>34</v>
      </c>
      <c r="H15981" s="9" t="s">
        <v>22</v>
      </c>
      <c r="I15981" s="9" t="s">
        <v>32276</v>
      </c>
      <c r="J15981" s="10" t="str">
        <f>HYPERLINK("https://www.boe.es/gazeta/dias/1834/03/22/pdfs/GMD-C-1834-36.pdf#page=1","Abrir facsímil")</f>
        <v>Abrir facsímil</v>
      </c>
      <c r="K15981" s="10" t="s">
        <v>24</v>
      </c>
    </row>
    <row r="15982" spans="1:11" ht="54" customHeight="1">
      <c r="A15982" s="9" t="s">
        <v>32277</v>
      </c>
      <c r="B15982" s="9" t="s">
        <v>32278</v>
      </c>
      <c r="C15982" s="9" t="s">
        <v>66</v>
      </c>
      <c r="D15982" s="9" t="s">
        <v>67</v>
      </c>
      <c r="E15982" s="10" t="s">
        <v>1510</v>
      </c>
      <c r="F15982" s="9" t="s">
        <v>1511</v>
      </c>
      <c r="G15982" s="10" t="s">
        <v>75</v>
      </c>
      <c r="H15982" s="9" t="s">
        <v>22</v>
      </c>
      <c r="I15982" s="9" t="s">
        <v>32279</v>
      </c>
      <c r="J15982" s="10" t="str">
        <f>HYPERLINK("https://www.boe.es/gazeta/dias/1834/06/13/pdfs/GMD-1834-116.pdf#page=4","Abrir facsímil")</f>
        <v>Abrir facsímil</v>
      </c>
      <c r="K15982" s="10" t="s">
        <v>24</v>
      </c>
    </row>
    <row r="15983" spans="1:11" ht="54" customHeight="1">
      <c r="A15983" s="9" t="s">
        <v>32280</v>
      </c>
      <c r="B15983" s="9" t="s">
        <v>32280</v>
      </c>
      <c r="C15983" s="9" t="s">
        <v>17</v>
      </c>
      <c r="D15983" s="9" t="s">
        <v>18</v>
      </c>
      <c r="E15983" s="10" t="s">
        <v>1212</v>
      </c>
      <c r="F15983" s="9" t="s">
        <v>1213</v>
      </c>
      <c r="G15983" s="10" t="s">
        <v>86</v>
      </c>
      <c r="H15983" s="9" t="s">
        <v>22</v>
      </c>
      <c r="I15983" s="9" t="s">
        <v>32281</v>
      </c>
      <c r="J15983" s="10" t="str">
        <f>HYPERLINK("https://www.boe.es/gazeta/dias/1834/05/24/pdfs/GMD-1834-93.pdf#page=2","Abrir facsímil")</f>
        <v>Abrir facsímil</v>
      </c>
      <c r="K15983" s="10" t="s">
        <v>24</v>
      </c>
    </row>
    <row r="15984" spans="1:11" ht="54" customHeight="1">
      <c r="A15984" s="9" t="s">
        <v>32282</v>
      </c>
      <c r="B15984" s="9" t="s">
        <v>32282</v>
      </c>
      <c r="C15984" s="9" t="s">
        <v>66</v>
      </c>
      <c r="D15984" s="9" t="s">
        <v>67</v>
      </c>
      <c r="E15984" s="10" t="s">
        <v>317</v>
      </c>
      <c r="F15984" s="9" t="s">
        <v>318</v>
      </c>
      <c r="G15984" s="10" t="s">
        <v>86</v>
      </c>
      <c r="H15984" s="9" t="s">
        <v>22</v>
      </c>
      <c r="I15984" s="9" t="s">
        <v>32283</v>
      </c>
      <c r="J15984" s="10" t="str">
        <f>HYPERLINK("https://www.boe.es/gazeta/dias/1834/03/06/pdfs/GMD-1834-29.pdf#page=2","Abrir facsímil")</f>
        <v>Abrir facsímil</v>
      </c>
      <c r="K15984" s="10" t="s">
        <v>24</v>
      </c>
    </row>
    <row r="15985" spans="1:11" ht="54" customHeight="1">
      <c r="A15985" s="9" t="s">
        <v>32282</v>
      </c>
      <c r="B15985" s="9" t="s">
        <v>32282</v>
      </c>
      <c r="C15985" s="9" t="s">
        <v>17</v>
      </c>
      <c r="D15985" s="9" t="s">
        <v>18</v>
      </c>
      <c r="E15985" s="10" t="s">
        <v>1677</v>
      </c>
      <c r="F15985" s="9" t="s">
        <v>1678</v>
      </c>
      <c r="G15985" s="10" t="s">
        <v>21</v>
      </c>
      <c r="H15985" s="9" t="s">
        <v>22</v>
      </c>
      <c r="I15985" s="9" t="s">
        <v>32284</v>
      </c>
      <c r="J15985" s="10" t="str">
        <f>HYPERLINK("https://www.boe.es/gazeta/dias/1834/07/26/pdfs/GMD-1834-159.pdf#page=3","Abrir facsímil")</f>
        <v>Abrir facsímil</v>
      </c>
      <c r="K15985" s="10" t="s">
        <v>24</v>
      </c>
    </row>
    <row r="15986" spans="1:11" ht="54" customHeight="1">
      <c r="A15986" s="9" t="s">
        <v>32282</v>
      </c>
      <c r="B15986" s="9" t="s">
        <v>32282</v>
      </c>
      <c r="C15986" s="9" t="s">
        <v>66</v>
      </c>
      <c r="D15986" s="9" t="s">
        <v>67</v>
      </c>
      <c r="E15986" s="10" t="s">
        <v>174</v>
      </c>
      <c r="F15986" s="9" t="s">
        <v>175</v>
      </c>
      <c r="G15986" s="10" t="s">
        <v>86</v>
      </c>
      <c r="H15986" s="9" t="s">
        <v>22</v>
      </c>
      <c r="I15986" s="9" t="s">
        <v>32285</v>
      </c>
      <c r="J15986" s="10" t="str">
        <f>HYPERLINK("https://www.boe.es/gazeta/dias/1834/03/27/pdfs/GMD-1834-38.pdf#page=2","Abrir facsímil")</f>
        <v>Abrir facsímil</v>
      </c>
      <c r="K15986" s="10" t="s">
        <v>24</v>
      </c>
    </row>
    <row r="15987" spans="1:11" ht="54" customHeight="1">
      <c r="A15987" s="9" t="s">
        <v>32282</v>
      </c>
      <c r="B15987" s="9" t="s">
        <v>32282</v>
      </c>
      <c r="C15987" s="9" t="s">
        <v>17</v>
      </c>
      <c r="D15987" s="9" t="s">
        <v>18</v>
      </c>
      <c r="E15987" s="10" t="s">
        <v>870</v>
      </c>
      <c r="F15987" s="9" t="s">
        <v>871</v>
      </c>
      <c r="G15987" s="10" t="s">
        <v>75</v>
      </c>
      <c r="H15987" s="9" t="s">
        <v>22</v>
      </c>
      <c r="I15987" s="9" t="s">
        <v>32286</v>
      </c>
      <c r="J15987" s="10" t="str">
        <f>HYPERLINK("https://www.boe.es/gazeta/dias/1834/05/28/pdfs/GMD-1834-97.pdf#page=4","Abrir facsímil")</f>
        <v>Abrir facsímil</v>
      </c>
      <c r="K15987" s="10" t="s">
        <v>24</v>
      </c>
    </row>
    <row r="15988" spans="1:11" ht="54" customHeight="1">
      <c r="A15988" s="9" t="s">
        <v>32287</v>
      </c>
      <c r="B15988" s="9" t="s">
        <v>32287</v>
      </c>
      <c r="C15988" s="9" t="s">
        <v>66</v>
      </c>
      <c r="D15988" s="9" t="s">
        <v>67</v>
      </c>
      <c r="E15988" s="10" t="s">
        <v>1273</v>
      </c>
      <c r="F15988" s="9" t="s">
        <v>1274</v>
      </c>
      <c r="G15988" s="10" t="s">
        <v>21</v>
      </c>
      <c r="H15988" s="9" t="s">
        <v>22</v>
      </c>
      <c r="I15988" s="9" t="s">
        <v>32288</v>
      </c>
      <c r="J15988" s="10" t="str">
        <f>HYPERLINK("https://www.boe.es/gazeta/dias/1834/05/14/pdfs/GMD-1834-83.pdf#page=3","Abrir facsímil")</f>
        <v>Abrir facsímil</v>
      </c>
      <c r="K15988" s="10" t="s">
        <v>24</v>
      </c>
    </row>
    <row r="15989" spans="1:11" ht="54" customHeight="1">
      <c r="A15989" s="9" t="s">
        <v>32287</v>
      </c>
      <c r="B15989" s="9" t="s">
        <v>32287</v>
      </c>
      <c r="C15989" s="9" t="s">
        <v>17</v>
      </c>
      <c r="D15989" s="9" t="s">
        <v>18</v>
      </c>
      <c r="E15989" s="10" t="s">
        <v>1234</v>
      </c>
      <c r="F15989" s="9" t="s">
        <v>1455</v>
      </c>
      <c r="G15989" s="10" t="s">
        <v>21</v>
      </c>
      <c r="H15989" s="9" t="s">
        <v>22</v>
      </c>
      <c r="I15989" s="9" t="s">
        <v>32289</v>
      </c>
      <c r="J15989" s="10" t="str">
        <f>HYPERLINK("https://www.boe.es/gazeta/dias/1834/05/15/pdfs/GMD-1834-84.pdf#page=3","Abrir facsímil")</f>
        <v>Abrir facsímil</v>
      </c>
      <c r="K15989" s="10" t="s">
        <v>24</v>
      </c>
    </row>
    <row r="15990" spans="1:11" ht="54" customHeight="1">
      <c r="A15990" s="9" t="s">
        <v>32290</v>
      </c>
      <c r="B15990" s="9" t="s">
        <v>32291</v>
      </c>
      <c r="C15990" s="9" t="s">
        <v>66</v>
      </c>
      <c r="D15990" s="9" t="s">
        <v>67</v>
      </c>
      <c r="E15990" s="10" t="s">
        <v>860</v>
      </c>
      <c r="F15990" s="9" t="s">
        <v>1755</v>
      </c>
      <c r="G15990" s="10" t="s">
        <v>34</v>
      </c>
      <c r="H15990" s="9" t="s">
        <v>22</v>
      </c>
      <c r="I15990" s="9" t="s">
        <v>32292</v>
      </c>
      <c r="J15990" s="10" t="str">
        <f>HYPERLINK("https://www.boe.es/gazeta/dias/1834/02/08/pdfs/GMD-C-1834-18.pdf#page=1","Abrir facsímil")</f>
        <v>Abrir facsímil</v>
      </c>
      <c r="K15990" s="10" t="s">
        <v>24</v>
      </c>
    </row>
    <row r="15991" spans="1:11" ht="54" customHeight="1">
      <c r="A15991" s="9" t="s">
        <v>32293</v>
      </c>
      <c r="B15991" s="9" t="s">
        <v>32294</v>
      </c>
      <c r="C15991" s="9" t="s">
        <v>17</v>
      </c>
      <c r="D15991" s="9" t="s">
        <v>18</v>
      </c>
      <c r="E15991" s="10" t="s">
        <v>860</v>
      </c>
      <c r="F15991" s="9" t="s">
        <v>861</v>
      </c>
      <c r="G15991" s="10" t="s">
        <v>176</v>
      </c>
      <c r="H15991" s="9" t="s">
        <v>22</v>
      </c>
      <c r="I15991" s="9" t="s">
        <v>32295</v>
      </c>
      <c r="J15991" s="10" t="str">
        <f>HYPERLINK("https://www.boe.es/gazeta/dias/1834/02/08/pdfs/GMD-1834-18.pdf#page=6","Abrir facsímil")</f>
        <v>Abrir facsímil</v>
      </c>
      <c r="K15991" s="10" t="s">
        <v>24</v>
      </c>
    </row>
    <row r="15992" spans="1:11" ht="54" customHeight="1">
      <c r="A15992" s="9" t="s">
        <v>32296</v>
      </c>
      <c r="B15992" s="9" t="s">
        <v>32297</v>
      </c>
      <c r="C15992" s="9" t="s">
        <v>17</v>
      </c>
      <c r="D15992" s="9" t="s">
        <v>18</v>
      </c>
      <c r="E15992" s="10" t="s">
        <v>860</v>
      </c>
      <c r="F15992" s="9" t="s">
        <v>861</v>
      </c>
      <c r="G15992" s="10" t="s">
        <v>176</v>
      </c>
      <c r="H15992" s="9" t="s">
        <v>22</v>
      </c>
      <c r="I15992" s="9" t="s">
        <v>32298</v>
      </c>
      <c r="J15992" s="10" t="str">
        <f>HYPERLINK("https://www.boe.es/gazeta/dias/1834/02/08/pdfs/GMD-1834-18.pdf#page=6","Abrir facsímil")</f>
        <v>Abrir facsímil</v>
      </c>
      <c r="K15992" s="10" t="s">
        <v>24</v>
      </c>
    </row>
    <row r="15993" spans="1:11" ht="54" customHeight="1">
      <c r="A15993" s="9" t="s">
        <v>32299</v>
      </c>
      <c r="B15993" s="9" t="s">
        <v>32300</v>
      </c>
      <c r="C15993" s="9" t="s">
        <v>66</v>
      </c>
      <c r="D15993" s="9" t="s">
        <v>67</v>
      </c>
      <c r="E15993" s="10" t="s">
        <v>2153</v>
      </c>
      <c r="F15993" s="9" t="s">
        <v>2154</v>
      </c>
      <c r="G15993" s="10" t="s">
        <v>21</v>
      </c>
      <c r="H15993" s="9" t="s">
        <v>22</v>
      </c>
      <c r="I15993" s="9" t="s">
        <v>32301</v>
      </c>
      <c r="J15993" s="10" t="str">
        <f>HYPERLINK("https://www.boe.es/gazeta/dias/1834/01/23/pdfs/GMD-1834-11.pdf#page=3","Abrir facsímil")</f>
        <v>Abrir facsímil</v>
      </c>
      <c r="K15993" s="10" t="s">
        <v>24</v>
      </c>
    </row>
    <row r="15994" spans="1:11" ht="54" customHeight="1">
      <c r="A15994" s="9" t="s">
        <v>32302</v>
      </c>
      <c r="B15994" s="9" t="s">
        <v>32303</v>
      </c>
      <c r="C15994" s="9" t="s">
        <v>17</v>
      </c>
      <c r="D15994" s="9" t="s">
        <v>18</v>
      </c>
      <c r="E15994" s="10" t="s">
        <v>1103</v>
      </c>
      <c r="F15994" s="9" t="s">
        <v>1259</v>
      </c>
      <c r="G15994" s="10" t="s">
        <v>86</v>
      </c>
      <c r="H15994" s="9" t="s">
        <v>22</v>
      </c>
      <c r="I15994" s="9" t="s">
        <v>32304</v>
      </c>
      <c r="J15994" s="10" t="str">
        <f>HYPERLINK("https://www.boe.es/gazeta/dias/1834/10/10/pdfs/GMD-1834-238.pdf#page=2","Abrir facsímil")</f>
        <v>Abrir facsímil</v>
      </c>
      <c r="K15994" s="10" t="s">
        <v>24</v>
      </c>
    </row>
    <row r="15995" spans="1:11" ht="54" customHeight="1">
      <c r="A15995" s="9" t="s">
        <v>32305</v>
      </c>
      <c r="B15995" s="9" t="s">
        <v>32305</v>
      </c>
      <c r="C15995" s="9" t="s">
        <v>66</v>
      </c>
      <c r="D15995" s="9" t="s">
        <v>67</v>
      </c>
      <c r="E15995" s="10" t="s">
        <v>1084</v>
      </c>
      <c r="F15995" s="9" t="s">
        <v>1085</v>
      </c>
      <c r="G15995" s="10" t="s">
        <v>176</v>
      </c>
      <c r="H15995" s="9" t="s">
        <v>22</v>
      </c>
      <c r="I15995" s="9" t="s">
        <v>32306</v>
      </c>
      <c r="J15995" s="10" t="str">
        <f>HYPERLINK("https://www.boe.es/gazeta/dias/1834/05/01/pdfs/GMD-1834-70.pdf#page=6","Abrir facsímil")</f>
        <v>Abrir facsímil</v>
      </c>
      <c r="K15995" s="10" t="s">
        <v>24</v>
      </c>
    </row>
    <row r="15996" spans="1:11" ht="54" customHeight="1">
      <c r="A15996" s="9" t="s">
        <v>32305</v>
      </c>
      <c r="B15996" s="9" t="s">
        <v>32305</v>
      </c>
      <c r="C15996" s="9" t="s">
        <v>66</v>
      </c>
      <c r="D15996" s="9" t="s">
        <v>18</v>
      </c>
      <c r="E15996" s="10" t="s">
        <v>375</v>
      </c>
      <c r="F15996" s="9" t="s">
        <v>376</v>
      </c>
      <c r="G15996" s="10" t="s">
        <v>21</v>
      </c>
      <c r="H15996" s="9" t="s">
        <v>22</v>
      </c>
      <c r="I15996" s="9" t="s">
        <v>32307</v>
      </c>
      <c r="J15996" s="10" t="str">
        <f>HYPERLINK("https://www.boe.es/gazeta/dias/1834/08/21/pdfs/GMD-1834-187.pdf#page=3","Abrir facsímil")</f>
        <v>Abrir facsímil</v>
      </c>
      <c r="K15996" s="10" t="s">
        <v>24</v>
      </c>
    </row>
    <row r="15997" spans="1:11" ht="54" customHeight="1">
      <c r="A15997" s="9" t="s">
        <v>32308</v>
      </c>
      <c r="B15997" s="9" t="s">
        <v>32308</v>
      </c>
      <c r="C15997" s="9" t="s">
        <v>17</v>
      </c>
      <c r="D15997" s="9" t="s">
        <v>18</v>
      </c>
      <c r="E15997" s="10" t="s">
        <v>367</v>
      </c>
      <c r="F15997" s="9" t="s">
        <v>368</v>
      </c>
      <c r="G15997" s="10" t="s">
        <v>86</v>
      </c>
      <c r="H15997" s="9" t="s">
        <v>22</v>
      </c>
      <c r="I15997" s="9" t="s">
        <v>32309</v>
      </c>
      <c r="J15997" s="10" t="str">
        <f>HYPERLINK("https://www.boe.es/gazeta/dias/1834/05/19/pdfs/GMD-1834-88.pdf#page=2","Abrir facsímil")</f>
        <v>Abrir facsímil</v>
      </c>
      <c r="K15997" s="10" t="s">
        <v>24</v>
      </c>
    </row>
    <row r="15998" spans="1:11" ht="54" customHeight="1">
      <c r="A15998" s="9" t="s">
        <v>32310</v>
      </c>
      <c r="B15998" s="9" t="s">
        <v>32310</v>
      </c>
      <c r="C15998" s="9" t="s">
        <v>66</v>
      </c>
      <c r="D15998" s="9" t="s">
        <v>67</v>
      </c>
      <c r="E15998" s="10" t="s">
        <v>3328</v>
      </c>
      <c r="F15998" s="9" t="s">
        <v>3329</v>
      </c>
      <c r="G15998" s="10" t="s">
        <v>75</v>
      </c>
      <c r="H15998" s="9" t="s">
        <v>22</v>
      </c>
      <c r="I15998" s="9" t="s">
        <v>32311</v>
      </c>
      <c r="J15998" s="10" t="str">
        <f>HYPERLINK("https://www.boe.es/gazeta/dias/1834/06/04/pdfs/GMD-1834-106.pdf#page=4","Abrir facsímil")</f>
        <v>Abrir facsímil</v>
      </c>
      <c r="K15998" s="10" t="s">
        <v>24</v>
      </c>
    </row>
    <row r="15999" spans="1:11" ht="54" customHeight="1">
      <c r="A15999" s="9" t="s">
        <v>32312</v>
      </c>
      <c r="B15999" s="9" t="s">
        <v>32313</v>
      </c>
      <c r="C15999" s="9" t="s">
        <v>66</v>
      </c>
      <c r="D15999" s="9" t="s">
        <v>67</v>
      </c>
      <c r="E15999" s="10" t="s">
        <v>1510</v>
      </c>
      <c r="F15999" s="9" t="s">
        <v>1511</v>
      </c>
      <c r="G15999" s="10" t="s">
        <v>75</v>
      </c>
      <c r="H15999" s="9" t="s">
        <v>22</v>
      </c>
      <c r="I15999" s="9" t="s">
        <v>32314</v>
      </c>
      <c r="J15999" s="10" t="str">
        <f>HYPERLINK("https://www.boe.es/gazeta/dias/1834/06/13/pdfs/GMD-1834-116.pdf#page=4","Abrir facsímil")</f>
        <v>Abrir facsímil</v>
      </c>
      <c r="K15999" s="10" t="s">
        <v>24</v>
      </c>
    </row>
    <row r="16000" spans="1:11" ht="54" customHeight="1">
      <c r="A16000" s="9" t="s">
        <v>32315</v>
      </c>
      <c r="B16000" s="9" t="s">
        <v>32315</v>
      </c>
      <c r="C16000" s="9" t="s">
        <v>66</v>
      </c>
      <c r="D16000" s="9" t="s">
        <v>67</v>
      </c>
      <c r="E16000" s="10" t="s">
        <v>2526</v>
      </c>
      <c r="F16000" s="9" t="s">
        <v>8236</v>
      </c>
      <c r="G16000" s="10" t="s">
        <v>75</v>
      </c>
      <c r="H16000" s="9" t="s">
        <v>22</v>
      </c>
      <c r="I16000" s="9" t="s">
        <v>32316</v>
      </c>
      <c r="J16000" s="10" t="str">
        <f>HYPERLINK("https://www.boe.es/gazeta/dias/1834/12/29/pdfs/GMD-1834-319.pdf#page=4","Abrir facsímil")</f>
        <v>Abrir facsímil</v>
      </c>
      <c r="K16000" s="10" t="s">
        <v>24</v>
      </c>
    </row>
    <row r="16001" spans="1:11" ht="54" customHeight="1">
      <c r="A16001" s="9" t="s">
        <v>32317</v>
      </c>
      <c r="B16001" s="9" t="s">
        <v>32318</v>
      </c>
      <c r="C16001" s="9" t="s">
        <v>66</v>
      </c>
      <c r="D16001" s="9" t="s">
        <v>40</v>
      </c>
      <c r="E16001" s="10" t="s">
        <v>590</v>
      </c>
      <c r="F16001" s="9" t="s">
        <v>591</v>
      </c>
      <c r="G16001" s="10" t="s">
        <v>75</v>
      </c>
      <c r="H16001" s="9" t="s">
        <v>22</v>
      </c>
      <c r="I16001" s="9" t="s">
        <v>32319</v>
      </c>
      <c r="J16001" s="10" t="str">
        <f>HYPERLINK("https://www.boe.es/gazeta/dias/1834/11/30/pdfs/GMD-1834-289.pdf#page=4","Abrir facsímil")</f>
        <v>Abrir facsímil</v>
      </c>
      <c r="K16001" s="10" t="s">
        <v>24</v>
      </c>
    </row>
    <row r="16002" spans="1:11" ht="54" customHeight="1">
      <c r="A16002" s="9" t="s">
        <v>32320</v>
      </c>
      <c r="B16002" s="9" t="s">
        <v>32321</v>
      </c>
      <c r="C16002" s="9" t="s">
        <v>66</v>
      </c>
      <c r="D16002" s="9" t="s">
        <v>67</v>
      </c>
      <c r="E16002" s="10" t="s">
        <v>438</v>
      </c>
      <c r="F16002" s="9" t="s">
        <v>439</v>
      </c>
      <c r="G16002" s="10" t="s">
        <v>75</v>
      </c>
      <c r="H16002" s="9" t="s">
        <v>35</v>
      </c>
      <c r="I16002" s="9" t="s">
        <v>32322</v>
      </c>
      <c r="J16002" s="10" t="str">
        <f>HYPERLINK("https://www.boe.es/gazeta/dias/1834/11/09/pdfs/GMD-1834-268.pdf#page=4","Abrir facsímil")</f>
        <v>Abrir facsímil</v>
      </c>
      <c r="K16002" s="10" t="s">
        <v>37</v>
      </c>
    </row>
    <row r="16003" spans="1:11" ht="54" customHeight="1">
      <c r="A16003" s="9" t="s">
        <v>32323</v>
      </c>
      <c r="B16003" s="9" t="s">
        <v>32324</v>
      </c>
      <c r="C16003" s="9" t="s">
        <v>66</v>
      </c>
      <c r="D16003" s="9" t="s">
        <v>67</v>
      </c>
      <c r="E16003" s="10" t="s">
        <v>438</v>
      </c>
      <c r="F16003" s="9" t="s">
        <v>439</v>
      </c>
      <c r="G16003" s="10" t="s">
        <v>75</v>
      </c>
      <c r="H16003" s="9" t="s">
        <v>22</v>
      </c>
      <c r="I16003" s="9" t="s">
        <v>32325</v>
      </c>
      <c r="J16003" s="10" t="str">
        <f>HYPERLINK("https://www.boe.es/gazeta/dias/1834/11/09/pdfs/GMD-1834-268.pdf#page=4","Abrir facsímil")</f>
        <v>Abrir facsímil</v>
      </c>
      <c r="K16003" s="10" t="s">
        <v>24</v>
      </c>
    </row>
    <row r="16004" spans="1:11" ht="54" customHeight="1">
      <c r="A16004" s="9" t="s">
        <v>32326</v>
      </c>
      <c r="B16004" s="9" t="s">
        <v>32327</v>
      </c>
      <c r="C16004" s="9" t="s">
        <v>46</v>
      </c>
      <c r="D16004" s="9" t="s">
        <v>101</v>
      </c>
      <c r="E16004" s="10" t="s">
        <v>615</v>
      </c>
      <c r="F16004" s="9" t="s">
        <v>1205</v>
      </c>
      <c r="G16004" s="10" t="s">
        <v>34</v>
      </c>
      <c r="H16004" s="9" t="s">
        <v>22</v>
      </c>
      <c r="I16004" s="9" t="s">
        <v>32328</v>
      </c>
      <c r="J16004" s="10" t="str">
        <f>HYPERLINK("https://www.boe.es/gazeta/dias/1834/08/19/pdfs/GMD-C-1834-185.pdf#page=1","Abrir facsímil")</f>
        <v>Abrir facsímil</v>
      </c>
      <c r="K16004" s="10" t="s">
        <v>24</v>
      </c>
    </row>
    <row r="16005" spans="1:11" ht="54" customHeight="1">
      <c r="A16005" s="9" t="s">
        <v>32329</v>
      </c>
      <c r="B16005" s="9" t="s">
        <v>32330</v>
      </c>
      <c r="C16005" s="9" t="s">
        <v>17</v>
      </c>
      <c r="D16005" s="9" t="s">
        <v>18</v>
      </c>
      <c r="E16005" s="10" t="s">
        <v>1410</v>
      </c>
      <c r="F16005" s="9" t="s">
        <v>1411</v>
      </c>
      <c r="G16005" s="10" t="s">
        <v>21</v>
      </c>
      <c r="H16005" s="9" t="s">
        <v>22</v>
      </c>
      <c r="I16005" s="9" t="s">
        <v>32331</v>
      </c>
      <c r="J16005" s="10" t="str">
        <f>HYPERLINK("https://www.boe.es/gazeta/dias/1834/09/09/pdfs/GMD-1834-207.pdf#page=3","Abrir facsímil")</f>
        <v>Abrir facsímil</v>
      </c>
      <c r="K16005" s="10" t="s">
        <v>24</v>
      </c>
    </row>
    <row r="16006" spans="1:11" ht="54" customHeight="1">
      <c r="A16006" s="9" t="s">
        <v>32329</v>
      </c>
      <c r="B16006" s="9" t="s">
        <v>32330</v>
      </c>
      <c r="C16006" s="9" t="s">
        <v>17</v>
      </c>
      <c r="D16006" s="9" t="s">
        <v>18</v>
      </c>
      <c r="E16006" s="10" t="s">
        <v>1017</v>
      </c>
      <c r="F16006" s="9" t="s">
        <v>1018</v>
      </c>
      <c r="G16006" s="10" t="s">
        <v>21</v>
      </c>
      <c r="H16006" s="9" t="s">
        <v>22</v>
      </c>
      <c r="I16006" s="9" t="s">
        <v>32332</v>
      </c>
      <c r="J16006" s="10" t="str">
        <f>HYPERLINK("https://www.boe.es/gazeta/dias/1834/07/24/pdfs/GMD-1834-157.pdf#page=3","Abrir facsímil")</f>
        <v>Abrir facsímil</v>
      </c>
      <c r="K16006" s="10" t="s">
        <v>24</v>
      </c>
    </row>
    <row r="16007" spans="1:11" ht="54" customHeight="1">
      <c r="A16007" s="9" t="s">
        <v>32333</v>
      </c>
      <c r="B16007" s="9" t="s">
        <v>32334</v>
      </c>
      <c r="C16007" s="9" t="s">
        <v>90</v>
      </c>
      <c r="D16007" s="9" t="s">
        <v>67</v>
      </c>
      <c r="E16007" s="10" t="s">
        <v>1918</v>
      </c>
      <c r="F16007" s="9" t="s">
        <v>2024</v>
      </c>
      <c r="G16007" s="10" t="s">
        <v>34</v>
      </c>
      <c r="H16007" s="9" t="s">
        <v>22</v>
      </c>
      <c r="I16007" s="9" t="s">
        <v>32335</v>
      </c>
      <c r="J16007" s="10" t="str">
        <f>HYPERLINK("https://www.boe.es/gazeta/dias/1834/03/22/pdfs/GMD-C-1834-36.pdf#page=1","Abrir facsímil")</f>
        <v>Abrir facsímil</v>
      </c>
      <c r="K16007" s="10" t="s">
        <v>24</v>
      </c>
    </row>
    <row r="16008" spans="1:11" ht="54" customHeight="1">
      <c r="A16008" s="9" t="s">
        <v>32336</v>
      </c>
      <c r="B16008" s="9" t="s">
        <v>32337</v>
      </c>
      <c r="C16008" s="9" t="s">
        <v>90</v>
      </c>
      <c r="D16008" s="9" t="s">
        <v>67</v>
      </c>
      <c r="E16008" s="10" t="s">
        <v>1918</v>
      </c>
      <c r="F16008" s="9" t="s">
        <v>2024</v>
      </c>
      <c r="G16008" s="10" t="s">
        <v>34</v>
      </c>
      <c r="H16008" s="9" t="s">
        <v>35</v>
      </c>
      <c r="I16008" s="9" t="s">
        <v>32338</v>
      </c>
      <c r="J16008" s="10" t="str">
        <f>HYPERLINK("https://www.boe.es/gazeta/dias/1834/03/22/pdfs/GMD-C-1834-36.pdf#page=1","Abrir facsímil")</f>
        <v>Abrir facsímil</v>
      </c>
      <c r="K16008" s="10" t="s">
        <v>37</v>
      </c>
    </row>
    <row r="16009" spans="1:11" ht="54" customHeight="1">
      <c r="A16009" s="9" t="s">
        <v>32339</v>
      </c>
      <c r="B16009" s="9" t="s">
        <v>32339</v>
      </c>
      <c r="C16009" s="9" t="s">
        <v>17</v>
      </c>
      <c r="D16009" s="9" t="s">
        <v>18</v>
      </c>
      <c r="E16009" s="10" t="s">
        <v>1704</v>
      </c>
      <c r="F16009" s="9" t="s">
        <v>1705</v>
      </c>
      <c r="G16009" s="10" t="s">
        <v>75</v>
      </c>
      <c r="H16009" s="9" t="s">
        <v>22</v>
      </c>
      <c r="I16009" s="9" t="s">
        <v>32340</v>
      </c>
      <c r="J16009" s="10" t="str">
        <f>HYPERLINK("https://www.boe.es/gazeta/dias/1834/12/02/pdfs/GMD-1834-291.pdf#page=4","Abrir facsímil")</f>
        <v>Abrir facsímil</v>
      </c>
      <c r="K16009" s="10" t="s">
        <v>24</v>
      </c>
    </row>
    <row r="16010" spans="1:11" ht="54" customHeight="1">
      <c r="A16010" s="9" t="s">
        <v>32339</v>
      </c>
      <c r="B16010" s="9" t="s">
        <v>32339</v>
      </c>
      <c r="C16010" s="9" t="s">
        <v>66</v>
      </c>
      <c r="D16010" s="9" t="s">
        <v>67</v>
      </c>
      <c r="E16010" s="10" t="s">
        <v>1170</v>
      </c>
      <c r="F16010" s="9" t="s">
        <v>1171</v>
      </c>
      <c r="G16010" s="10" t="s">
        <v>176</v>
      </c>
      <c r="H16010" s="9" t="s">
        <v>22</v>
      </c>
      <c r="I16010" s="9" t="s">
        <v>32341</v>
      </c>
      <c r="J16010" s="10" t="str">
        <f>HYPERLINK("https://www.boe.es/gazeta/dias/1834/01/07/pdfs/GMD-1834-4.pdf#page=6","Abrir facsímil")</f>
        <v>Abrir facsímil</v>
      </c>
      <c r="K16010" s="10" t="s">
        <v>24</v>
      </c>
    </row>
    <row r="16011" spans="1:11" ht="54" customHeight="1">
      <c r="A16011" s="9" t="s">
        <v>32339</v>
      </c>
      <c r="B16011" s="9" t="s">
        <v>32339</v>
      </c>
      <c r="C16011" s="9" t="s">
        <v>90</v>
      </c>
      <c r="D16011" s="9" t="s">
        <v>18</v>
      </c>
      <c r="E16011" s="10" t="s">
        <v>1922</v>
      </c>
      <c r="F16011" s="9" t="s">
        <v>1923</v>
      </c>
      <c r="G16011" s="10" t="s">
        <v>28</v>
      </c>
      <c r="H16011" s="9" t="s">
        <v>22</v>
      </c>
      <c r="I16011" s="9" t="s">
        <v>32342</v>
      </c>
      <c r="J16011" s="10" t="str">
        <f>HYPERLINK("https://www.boe.es/gazeta/dias/1834/02/25/pdfs/GMD-1834-25.pdf#page=5","Abrir facsímil")</f>
        <v>Abrir facsímil</v>
      </c>
      <c r="K16011" s="10" t="s">
        <v>24</v>
      </c>
    </row>
    <row r="16012" spans="1:11" ht="54" customHeight="1">
      <c r="A16012" s="9" t="s">
        <v>32343</v>
      </c>
      <c r="B16012" s="9" t="s">
        <v>32344</v>
      </c>
      <c r="C16012" s="9" t="s">
        <v>46</v>
      </c>
      <c r="D16012" s="9" t="s">
        <v>101</v>
      </c>
      <c r="E16012" s="10" t="s">
        <v>1170</v>
      </c>
      <c r="F16012" s="9" t="s">
        <v>1171</v>
      </c>
      <c r="G16012" s="10" t="s">
        <v>28</v>
      </c>
      <c r="H16012" s="9" t="s">
        <v>35</v>
      </c>
      <c r="I16012" s="9" t="s">
        <v>32345</v>
      </c>
      <c r="J16012" s="10" t="str">
        <f>HYPERLINK("https://www.boe.es/gazeta/dias/1834/01/07/pdfs/GMD-1834-4.pdf#page=5","Abrir facsímil")</f>
        <v>Abrir facsímil</v>
      </c>
      <c r="K16012" s="10" t="s">
        <v>37</v>
      </c>
    </row>
    <row r="16013" spans="1:11" ht="54" customHeight="1">
      <c r="A16013" s="9" t="s">
        <v>32343</v>
      </c>
      <c r="B16013" s="9" t="s">
        <v>32344</v>
      </c>
      <c r="C16013" s="9" t="s">
        <v>66</v>
      </c>
      <c r="D16013" s="9" t="s">
        <v>67</v>
      </c>
      <c r="E16013" s="10" t="s">
        <v>1178</v>
      </c>
      <c r="F16013" s="9" t="s">
        <v>1179</v>
      </c>
      <c r="G16013" s="10" t="s">
        <v>86</v>
      </c>
      <c r="H16013" s="9" t="s">
        <v>35</v>
      </c>
      <c r="I16013" s="9" t="s">
        <v>32346</v>
      </c>
      <c r="J16013" s="10" t="str">
        <f>HYPERLINK("https://www.boe.es/gazeta/dias/1834/04/10/pdfs/GMD-C-1834-49.pdf#page=2","Abrir facsímil")</f>
        <v>Abrir facsímil</v>
      </c>
      <c r="K16013" s="10" t="s">
        <v>37</v>
      </c>
    </row>
    <row r="16014" spans="1:11" ht="54" customHeight="1">
      <c r="A16014" s="9" t="s">
        <v>32347</v>
      </c>
      <c r="B16014" s="9" t="s">
        <v>32348</v>
      </c>
      <c r="C16014" s="9" t="s">
        <v>46</v>
      </c>
      <c r="D16014" s="9" t="s">
        <v>101</v>
      </c>
      <c r="E16014" s="10" t="s">
        <v>1170</v>
      </c>
      <c r="F16014" s="9" t="s">
        <v>1171</v>
      </c>
      <c r="G16014" s="10" t="s">
        <v>28</v>
      </c>
      <c r="H16014" s="9" t="s">
        <v>22</v>
      </c>
      <c r="I16014" s="9" t="s">
        <v>32349</v>
      </c>
      <c r="J16014" s="10" t="str">
        <f>HYPERLINK("https://www.boe.es/gazeta/dias/1834/01/07/pdfs/GMD-1834-4.pdf#page=5","Abrir facsímil")</f>
        <v>Abrir facsímil</v>
      </c>
      <c r="K16014" s="10" t="s">
        <v>24</v>
      </c>
    </row>
    <row r="16015" spans="1:11" ht="54" customHeight="1">
      <c r="A16015" s="9" t="s">
        <v>32347</v>
      </c>
      <c r="B16015" s="9" t="s">
        <v>32348</v>
      </c>
      <c r="C16015" s="9" t="s">
        <v>66</v>
      </c>
      <c r="D16015" s="9" t="s">
        <v>67</v>
      </c>
      <c r="E16015" s="10" t="s">
        <v>1178</v>
      </c>
      <c r="F16015" s="9" t="s">
        <v>1179</v>
      </c>
      <c r="G16015" s="10" t="s">
        <v>86</v>
      </c>
      <c r="H16015" s="9" t="s">
        <v>22</v>
      </c>
      <c r="I16015" s="9" t="s">
        <v>32350</v>
      </c>
      <c r="J16015" s="10" t="str">
        <f>HYPERLINK("https://www.boe.es/gazeta/dias/1834/04/10/pdfs/GMD-C-1834-49.pdf#page=2","Abrir facsímil")</f>
        <v>Abrir facsímil</v>
      </c>
      <c r="K16015" s="10" t="s">
        <v>24</v>
      </c>
    </row>
    <row r="16016" spans="1:11" ht="54" customHeight="1">
      <c r="A16016" s="9" t="s">
        <v>32351</v>
      </c>
      <c r="B16016" s="9" t="s">
        <v>32352</v>
      </c>
      <c r="C16016" s="9" t="s">
        <v>66</v>
      </c>
      <c r="D16016" s="9" t="s">
        <v>67</v>
      </c>
      <c r="E16016" s="10" t="s">
        <v>724</v>
      </c>
      <c r="F16016" s="9" t="s">
        <v>725</v>
      </c>
      <c r="G16016" s="10" t="s">
        <v>28</v>
      </c>
      <c r="H16016" s="9" t="s">
        <v>22</v>
      </c>
      <c r="I16016" s="9" t="s">
        <v>32353</v>
      </c>
      <c r="J16016" s="10" t="str">
        <f>HYPERLINK("https://www.boe.es/gazeta/dias/1834/04/25/pdfs/GMD-1834-64.pdf#page=5","Abrir facsímil")</f>
        <v>Abrir facsímil</v>
      </c>
      <c r="K16016" s="10" t="s">
        <v>24</v>
      </c>
    </row>
    <row r="16017" spans="1:11" ht="54" customHeight="1">
      <c r="A16017" s="9" t="s">
        <v>32354</v>
      </c>
      <c r="B16017" s="9" t="s">
        <v>32355</v>
      </c>
      <c r="C16017" s="9" t="s">
        <v>66</v>
      </c>
      <c r="D16017" s="9" t="s">
        <v>67</v>
      </c>
      <c r="E16017" s="10" t="s">
        <v>56</v>
      </c>
      <c r="F16017" s="9" t="s">
        <v>57</v>
      </c>
      <c r="G16017" s="10" t="s">
        <v>75</v>
      </c>
      <c r="H16017" s="9" t="s">
        <v>35</v>
      </c>
      <c r="I16017" s="9" t="s">
        <v>32356</v>
      </c>
      <c r="J16017" s="10" t="str">
        <f>HYPERLINK("https://www.boe.es/gazeta/dias/1834/07/09/pdfs/GMD-1834-142.pdf#page=4","Abrir facsímil")</f>
        <v>Abrir facsímil</v>
      </c>
      <c r="K16017" s="10" t="s">
        <v>37</v>
      </c>
    </row>
    <row r="16018" spans="1:11" ht="54" customHeight="1">
      <c r="A16018" s="9" t="s">
        <v>32357</v>
      </c>
      <c r="B16018" s="9" t="s">
        <v>32358</v>
      </c>
      <c r="C16018" s="9" t="s">
        <v>17</v>
      </c>
      <c r="D16018" s="9" t="s">
        <v>18</v>
      </c>
      <c r="E16018" s="10" t="s">
        <v>1195</v>
      </c>
      <c r="F16018" s="9" t="s">
        <v>1916</v>
      </c>
      <c r="G16018" s="10" t="s">
        <v>21</v>
      </c>
      <c r="H16018" s="9" t="s">
        <v>22</v>
      </c>
      <c r="I16018" s="9" t="s">
        <v>32359</v>
      </c>
      <c r="J16018" s="10" t="str">
        <f>HYPERLINK("https://www.boe.es/gazeta/dias/1834/10/17/pdfs/GMD-1834-245.pdf#page=3","Abrir facsímil")</f>
        <v>Abrir facsímil</v>
      </c>
      <c r="K16018" s="10" t="s">
        <v>24</v>
      </c>
    </row>
    <row r="16019" spans="1:11" ht="54" customHeight="1">
      <c r="A16019" s="9" t="s">
        <v>32360</v>
      </c>
      <c r="B16019" s="9" t="s">
        <v>32360</v>
      </c>
      <c r="C16019" s="9" t="s">
        <v>17</v>
      </c>
      <c r="D16019" s="9" t="s">
        <v>55</v>
      </c>
      <c r="E16019" s="10" t="s">
        <v>1025</v>
      </c>
      <c r="F16019" s="9" t="s">
        <v>1026</v>
      </c>
      <c r="G16019" s="10" t="s">
        <v>86</v>
      </c>
      <c r="H16019" s="9" t="s">
        <v>22</v>
      </c>
      <c r="I16019" s="9" t="s">
        <v>32361</v>
      </c>
      <c r="J16019" s="10" t="str">
        <f>HYPERLINK("https://www.boe.es/gazeta/dias/1834/03/01/pdfs/GMD-1834-27.pdf#page=2","Abrir facsímil")</f>
        <v>Abrir facsímil</v>
      </c>
      <c r="K16019" s="10" t="s">
        <v>24</v>
      </c>
    </row>
    <row r="16020" spans="1:11" ht="54" customHeight="1">
      <c r="A16020" s="9" t="s">
        <v>32360</v>
      </c>
      <c r="B16020" s="9" t="s">
        <v>32360</v>
      </c>
      <c r="C16020" s="9" t="s">
        <v>66</v>
      </c>
      <c r="D16020" s="9" t="s">
        <v>67</v>
      </c>
      <c r="E16020" s="10" t="s">
        <v>976</v>
      </c>
      <c r="F16020" s="9" t="s">
        <v>977</v>
      </c>
      <c r="G16020" s="10" t="s">
        <v>21</v>
      </c>
      <c r="H16020" s="9" t="s">
        <v>22</v>
      </c>
      <c r="I16020" s="9" t="s">
        <v>32362</v>
      </c>
      <c r="J16020" s="10" t="str">
        <f>HYPERLINK("https://www.boe.es/gazeta/dias/1834/04/02/pdfs/GMD-1834-41.pdf#page=3","Abrir facsímil")</f>
        <v>Abrir facsímil</v>
      </c>
      <c r="K16020" s="10" t="s">
        <v>24</v>
      </c>
    </row>
    <row r="16021" spans="1:11" ht="54" customHeight="1">
      <c r="A16021" s="9" t="s">
        <v>32360</v>
      </c>
      <c r="B16021" s="9" t="s">
        <v>32360</v>
      </c>
      <c r="C16021" s="9" t="s">
        <v>90</v>
      </c>
      <c r="D16021" s="9" t="s">
        <v>18</v>
      </c>
      <c r="E16021" s="10" t="s">
        <v>2091</v>
      </c>
      <c r="F16021" s="9" t="s">
        <v>2092</v>
      </c>
      <c r="G16021" s="10" t="s">
        <v>86</v>
      </c>
      <c r="H16021" s="9" t="s">
        <v>22</v>
      </c>
      <c r="I16021" s="9" t="s">
        <v>32363</v>
      </c>
      <c r="J16021" s="10" t="str">
        <f>HYPERLINK("https://www.boe.es/gazeta/dias/1834/03/08/pdfs/GMD-1834-30.pdf#page=2","Abrir facsímil")</f>
        <v>Abrir facsímil</v>
      </c>
      <c r="K16021" s="10" t="s">
        <v>24</v>
      </c>
    </row>
    <row r="16022" spans="1:11" ht="54" customHeight="1">
      <c r="A16022" s="9" t="s">
        <v>32364</v>
      </c>
      <c r="B16022" s="9" t="s">
        <v>32364</v>
      </c>
      <c r="C16022" s="9" t="s">
        <v>66</v>
      </c>
      <c r="D16022" s="9" t="s">
        <v>67</v>
      </c>
      <c r="E16022" s="10" t="s">
        <v>1025</v>
      </c>
      <c r="F16022" s="9" t="s">
        <v>1026</v>
      </c>
      <c r="G16022" s="10" t="s">
        <v>86</v>
      </c>
      <c r="H16022" s="9" t="s">
        <v>22</v>
      </c>
      <c r="I16022" s="9" t="s">
        <v>32365</v>
      </c>
      <c r="J16022" s="10" t="str">
        <f>HYPERLINK("https://www.boe.es/gazeta/dias/1834/03/01/pdfs/GMD-1834-27.pdf#page=2","Abrir facsímil")</f>
        <v>Abrir facsímil</v>
      </c>
      <c r="K16022" s="10" t="s">
        <v>24</v>
      </c>
    </row>
    <row r="16023" spans="1:11" ht="54" customHeight="1">
      <c r="A16023" s="9" t="s">
        <v>32366</v>
      </c>
      <c r="B16023" s="9" t="s">
        <v>32366</v>
      </c>
      <c r="C16023" s="9" t="s">
        <v>17</v>
      </c>
      <c r="D16023" s="9" t="s">
        <v>18</v>
      </c>
      <c r="E16023" s="10" t="s">
        <v>785</v>
      </c>
      <c r="F16023" s="9" t="s">
        <v>786</v>
      </c>
      <c r="G16023" s="10" t="s">
        <v>86</v>
      </c>
      <c r="H16023" s="9" t="s">
        <v>22</v>
      </c>
      <c r="I16023" s="9" t="s">
        <v>32367</v>
      </c>
      <c r="J16023" s="10" t="str">
        <f>HYPERLINK("https://www.boe.es/gazeta/dias/1834/02/11/pdfs/GMD-1834-19.pdf#page=2","Abrir facsímil")</f>
        <v>Abrir facsímil</v>
      </c>
      <c r="K16023" s="10" t="s">
        <v>24</v>
      </c>
    </row>
    <row r="16024" spans="1:11" ht="54" customHeight="1">
      <c r="A16024" s="9" t="s">
        <v>32366</v>
      </c>
      <c r="B16024" s="9" t="s">
        <v>32366</v>
      </c>
      <c r="C16024" s="9" t="s">
        <v>17</v>
      </c>
      <c r="D16024" s="9" t="s">
        <v>18</v>
      </c>
      <c r="E16024" s="10" t="s">
        <v>2241</v>
      </c>
      <c r="F16024" s="9" t="s">
        <v>2242</v>
      </c>
      <c r="G16024" s="10" t="s">
        <v>86</v>
      </c>
      <c r="H16024" s="9" t="s">
        <v>22</v>
      </c>
      <c r="I16024" s="9" t="s">
        <v>32368</v>
      </c>
      <c r="J16024" s="10" t="str">
        <f>HYPERLINK("https://www.boe.es/gazeta/dias/1834/03/11/pdfs/GMD-1834-31.pdf#page=2","Abrir facsímil")</f>
        <v>Abrir facsímil</v>
      </c>
      <c r="K16024" s="10" t="s">
        <v>24</v>
      </c>
    </row>
    <row r="16025" spans="1:11" ht="54" customHeight="1">
      <c r="A16025" s="9" t="s">
        <v>32366</v>
      </c>
      <c r="B16025" s="9" t="s">
        <v>32366</v>
      </c>
      <c r="C16025" s="9" t="s">
        <v>66</v>
      </c>
      <c r="D16025" s="9" t="s">
        <v>55</v>
      </c>
      <c r="E16025" s="10" t="s">
        <v>844</v>
      </c>
      <c r="F16025" s="9" t="s">
        <v>845</v>
      </c>
      <c r="G16025" s="10" t="s">
        <v>86</v>
      </c>
      <c r="H16025" s="9" t="s">
        <v>22</v>
      </c>
      <c r="I16025" s="9" t="s">
        <v>32369</v>
      </c>
      <c r="J16025" s="10" t="str">
        <f>HYPERLINK("https://www.boe.es/gazeta/dias/1834/03/13/pdfs/GMD-1834-32.pdf#page=2","Abrir facsímil")</f>
        <v>Abrir facsímil</v>
      </c>
      <c r="K16025" s="10" t="s">
        <v>24</v>
      </c>
    </row>
    <row r="16026" spans="1:11" ht="54" customHeight="1">
      <c r="A16026" s="9" t="s">
        <v>32366</v>
      </c>
      <c r="B16026" s="9" t="s">
        <v>32366</v>
      </c>
      <c r="C16026" s="9" t="s">
        <v>17</v>
      </c>
      <c r="D16026" s="9" t="s">
        <v>55</v>
      </c>
      <c r="E16026" s="10" t="s">
        <v>304</v>
      </c>
      <c r="F16026" s="9" t="s">
        <v>305</v>
      </c>
      <c r="G16026" s="10" t="s">
        <v>75</v>
      </c>
      <c r="H16026" s="9" t="s">
        <v>22</v>
      </c>
      <c r="I16026" s="9" t="s">
        <v>32370</v>
      </c>
      <c r="J16026" s="10" t="str">
        <f>HYPERLINK("https://www.boe.es/gazeta/dias/1834/01/21/pdfs/GMD-1834-10.pdf#page=4","Abrir facsímil")</f>
        <v>Abrir facsímil</v>
      </c>
      <c r="K16026" s="10" t="s">
        <v>24</v>
      </c>
    </row>
    <row r="16027" spans="1:11" ht="54" customHeight="1">
      <c r="A16027" s="9" t="s">
        <v>32366</v>
      </c>
      <c r="B16027" s="9" t="s">
        <v>32366</v>
      </c>
      <c r="C16027" s="9" t="s">
        <v>17</v>
      </c>
      <c r="D16027" s="9" t="s">
        <v>18</v>
      </c>
      <c r="E16027" s="10" t="s">
        <v>3952</v>
      </c>
      <c r="F16027" s="9" t="s">
        <v>3953</v>
      </c>
      <c r="G16027" s="10" t="s">
        <v>21</v>
      </c>
      <c r="H16027" s="9" t="s">
        <v>22</v>
      </c>
      <c r="I16027" s="9" t="s">
        <v>32371</v>
      </c>
      <c r="J16027" s="10" t="str">
        <f>HYPERLINK("https://www.boe.es/gazeta/dias/1834/02/22/pdfs/GMD-1834-24.pdf#page=3","Abrir facsímil")</f>
        <v>Abrir facsímil</v>
      </c>
      <c r="K16027" s="10" t="s">
        <v>24</v>
      </c>
    </row>
    <row r="16028" spans="1:11" ht="54" customHeight="1">
      <c r="A16028" s="9" t="s">
        <v>32366</v>
      </c>
      <c r="B16028" s="9" t="s">
        <v>32366</v>
      </c>
      <c r="C16028" s="9" t="s">
        <v>46</v>
      </c>
      <c r="D16028" s="9" t="s">
        <v>18</v>
      </c>
      <c r="E16028" s="10" t="s">
        <v>1918</v>
      </c>
      <c r="F16028" s="9" t="s">
        <v>1919</v>
      </c>
      <c r="G16028" s="10" t="s">
        <v>21</v>
      </c>
      <c r="H16028" s="9" t="s">
        <v>22</v>
      </c>
      <c r="I16028" s="9" t="s">
        <v>32372</v>
      </c>
      <c r="J16028" s="10" t="str">
        <f>HYPERLINK("https://www.boe.es/gazeta/dias/1834/03/22/pdfs/GMD-1834-36.pdf#page=3","Abrir facsímil")</f>
        <v>Abrir facsímil</v>
      </c>
      <c r="K16028" s="10" t="s">
        <v>24</v>
      </c>
    </row>
    <row r="16029" spans="1:11" ht="54" customHeight="1">
      <c r="A16029" s="9" t="s">
        <v>32366</v>
      </c>
      <c r="B16029" s="9" t="s">
        <v>32366</v>
      </c>
      <c r="C16029" s="9" t="s">
        <v>46</v>
      </c>
      <c r="D16029" s="9" t="s">
        <v>18</v>
      </c>
      <c r="E16029" s="10" t="s">
        <v>739</v>
      </c>
      <c r="F16029" s="9" t="s">
        <v>740</v>
      </c>
      <c r="G16029" s="10" t="s">
        <v>86</v>
      </c>
      <c r="H16029" s="9" t="s">
        <v>22</v>
      </c>
      <c r="I16029" s="9" t="s">
        <v>32373</v>
      </c>
      <c r="J16029" s="10" t="str">
        <f>HYPERLINK("https://www.boe.es/gazeta/dias/1834/03/25/pdfs/GMD-1834-37.pdf#page=2","Abrir facsímil")</f>
        <v>Abrir facsímil</v>
      </c>
      <c r="K16029" s="10" t="s">
        <v>24</v>
      </c>
    </row>
    <row r="16030" spans="1:11" ht="54" customHeight="1">
      <c r="A16030" s="9" t="s">
        <v>32366</v>
      </c>
      <c r="B16030" s="9" t="s">
        <v>32366</v>
      </c>
      <c r="C16030" s="9" t="s">
        <v>90</v>
      </c>
      <c r="D16030" s="9" t="s">
        <v>18</v>
      </c>
      <c r="E16030" s="10" t="s">
        <v>739</v>
      </c>
      <c r="F16030" s="9" t="s">
        <v>740</v>
      </c>
      <c r="G16030" s="10" t="s">
        <v>21</v>
      </c>
      <c r="H16030" s="9" t="s">
        <v>22</v>
      </c>
      <c r="I16030" s="9" t="s">
        <v>32374</v>
      </c>
      <c r="J16030" s="10" t="str">
        <f>HYPERLINK("https://www.boe.es/gazeta/dias/1834/03/25/pdfs/GMD-1834-37.pdf#page=3","Abrir facsímil")</f>
        <v>Abrir facsímil</v>
      </c>
      <c r="K16030" s="10" t="s">
        <v>24</v>
      </c>
    </row>
    <row r="16031" spans="1:11" ht="54" customHeight="1">
      <c r="A16031" s="9" t="s">
        <v>32366</v>
      </c>
      <c r="B16031" s="9" t="s">
        <v>32366</v>
      </c>
      <c r="C16031" s="9" t="s">
        <v>17</v>
      </c>
      <c r="D16031" s="9" t="s">
        <v>18</v>
      </c>
      <c r="E16031" s="10" t="s">
        <v>899</v>
      </c>
      <c r="F16031" s="9" t="s">
        <v>900</v>
      </c>
      <c r="G16031" s="10" t="s">
        <v>75</v>
      </c>
      <c r="H16031" s="9" t="s">
        <v>22</v>
      </c>
      <c r="I16031" s="9" t="s">
        <v>32375</v>
      </c>
      <c r="J16031" s="10" t="str">
        <f>HYPERLINK("https://www.boe.es/gazeta/dias/1834/01/30/pdfs/GMD-1834-14.pdf#page=4","Abrir facsímil")</f>
        <v>Abrir facsímil</v>
      </c>
      <c r="K16031" s="10" t="s">
        <v>24</v>
      </c>
    </row>
    <row r="16032" spans="1:11" ht="54" customHeight="1">
      <c r="A16032" s="9" t="s">
        <v>32366</v>
      </c>
      <c r="B16032" s="9" t="s">
        <v>32366</v>
      </c>
      <c r="C16032" s="9" t="s">
        <v>122</v>
      </c>
      <c r="D16032" s="9" t="s">
        <v>18</v>
      </c>
      <c r="E16032" s="10" t="s">
        <v>899</v>
      </c>
      <c r="F16032" s="9" t="s">
        <v>900</v>
      </c>
      <c r="G16032" s="10" t="s">
        <v>28</v>
      </c>
      <c r="H16032" s="9" t="s">
        <v>22</v>
      </c>
      <c r="I16032" s="9" t="s">
        <v>32376</v>
      </c>
      <c r="J16032" s="10" t="str">
        <f>HYPERLINK("https://www.boe.es/gazeta/dias/1834/01/30/pdfs/GMD-1834-14.pdf#page=5","Abrir facsímil")</f>
        <v>Abrir facsímil</v>
      </c>
      <c r="K16032" s="10" t="s">
        <v>24</v>
      </c>
    </row>
    <row r="16033" spans="1:11" ht="54" customHeight="1">
      <c r="A16033" s="9" t="s">
        <v>32377</v>
      </c>
      <c r="B16033" s="9" t="s">
        <v>32377</v>
      </c>
      <c r="C16033" s="9" t="s">
        <v>17</v>
      </c>
      <c r="D16033" s="9" t="s">
        <v>40</v>
      </c>
      <c r="E16033" s="10" t="s">
        <v>1438</v>
      </c>
      <c r="F16033" s="9" t="s">
        <v>1439</v>
      </c>
      <c r="G16033" s="10" t="s">
        <v>86</v>
      </c>
      <c r="H16033" s="9" t="s">
        <v>22</v>
      </c>
      <c r="I16033" s="9" t="s">
        <v>32378</v>
      </c>
      <c r="J16033" s="10" t="str">
        <f>HYPERLINK("https://www.boe.es/gazeta/dias/1834/05/13/pdfs/GMD-1834-82.pdf#page=2","Abrir facsímil")</f>
        <v>Abrir facsímil</v>
      </c>
      <c r="K16033" s="10" t="s">
        <v>24</v>
      </c>
    </row>
    <row r="16034" spans="1:11" ht="54" customHeight="1">
      <c r="A16034" s="9" t="s">
        <v>32379</v>
      </c>
      <c r="B16034" s="9" t="s">
        <v>32379</v>
      </c>
      <c r="C16034" s="9" t="s">
        <v>17</v>
      </c>
      <c r="D16034" s="9" t="s">
        <v>18</v>
      </c>
      <c r="E16034" s="10" t="s">
        <v>3083</v>
      </c>
      <c r="F16034" s="9" t="s">
        <v>3084</v>
      </c>
      <c r="G16034" s="10" t="s">
        <v>86</v>
      </c>
      <c r="H16034" s="9" t="s">
        <v>22</v>
      </c>
      <c r="I16034" s="9" t="s">
        <v>32380</v>
      </c>
      <c r="J16034" s="10" t="str">
        <f>HYPERLINK("https://www.boe.es/gazeta/dias/1834/10/30/pdfs/GMD-1834-258.pdf#page=2","Abrir facsímil")</f>
        <v>Abrir facsímil</v>
      </c>
      <c r="K16034" s="10" t="s">
        <v>24</v>
      </c>
    </row>
    <row r="16035" spans="1:11" ht="54" customHeight="1">
      <c r="A16035" s="9" t="s">
        <v>32381</v>
      </c>
      <c r="B16035" s="9" t="s">
        <v>32382</v>
      </c>
      <c r="C16035" s="9" t="s">
        <v>17</v>
      </c>
      <c r="D16035" s="9" t="s">
        <v>18</v>
      </c>
      <c r="E16035" s="10" t="s">
        <v>367</v>
      </c>
      <c r="F16035" s="9" t="s">
        <v>368</v>
      </c>
      <c r="G16035" s="10" t="s">
        <v>75</v>
      </c>
      <c r="H16035" s="9" t="s">
        <v>35</v>
      </c>
      <c r="I16035" s="9" t="s">
        <v>32383</v>
      </c>
      <c r="J16035" s="10" t="str">
        <f>HYPERLINK("https://www.boe.es/gazeta/dias/1834/05/19/pdfs/GMD-1834-88.pdf#page=4","Abrir facsímil")</f>
        <v>Abrir facsímil</v>
      </c>
      <c r="K16035" s="10" t="s">
        <v>37</v>
      </c>
    </row>
    <row r="16036" spans="1:11" ht="54" customHeight="1">
      <c r="A16036" s="9" t="s">
        <v>32384</v>
      </c>
      <c r="B16036" s="9" t="s">
        <v>32385</v>
      </c>
      <c r="C16036" s="9" t="s">
        <v>66</v>
      </c>
      <c r="D16036" s="9" t="s">
        <v>67</v>
      </c>
      <c r="E16036" s="10" t="s">
        <v>1556</v>
      </c>
      <c r="F16036" s="9" t="s">
        <v>1557</v>
      </c>
      <c r="G16036" s="10" t="s">
        <v>21</v>
      </c>
      <c r="H16036" s="9" t="s">
        <v>22</v>
      </c>
      <c r="I16036" s="9" t="s">
        <v>32386</v>
      </c>
      <c r="J16036" s="10" t="str">
        <f>HYPERLINK("https://www.boe.es/gazeta/dias/1834/06/06/pdfs/GMD-1834-108.pdf#page=3","Abrir facsímil")</f>
        <v>Abrir facsímil</v>
      </c>
      <c r="K16036" s="10" t="s">
        <v>24</v>
      </c>
    </row>
    <row r="16037" spans="1:11" ht="54" customHeight="1">
      <c r="A16037" s="9" t="s">
        <v>32384</v>
      </c>
      <c r="B16037" s="9" t="s">
        <v>32385</v>
      </c>
      <c r="C16037" s="9" t="s">
        <v>17</v>
      </c>
      <c r="D16037" s="9" t="s">
        <v>18</v>
      </c>
      <c r="E16037" s="10" t="s">
        <v>367</v>
      </c>
      <c r="F16037" s="9" t="s">
        <v>368</v>
      </c>
      <c r="G16037" s="10" t="s">
        <v>75</v>
      </c>
      <c r="H16037" s="9" t="s">
        <v>22</v>
      </c>
      <c r="I16037" s="9" t="s">
        <v>32387</v>
      </c>
      <c r="J16037" s="10" t="str">
        <f>HYPERLINK("https://www.boe.es/gazeta/dias/1834/05/19/pdfs/GMD-1834-88.pdf#page=4","Abrir facsímil")</f>
        <v>Abrir facsímil</v>
      </c>
      <c r="K16037" s="10" t="s">
        <v>24</v>
      </c>
    </row>
    <row r="16038" spans="1:11" ht="54" customHeight="1">
      <c r="A16038" s="9" t="s">
        <v>32388</v>
      </c>
      <c r="B16038" s="9" t="s">
        <v>32389</v>
      </c>
      <c r="C16038" s="9" t="s">
        <v>90</v>
      </c>
      <c r="D16038" s="9" t="s">
        <v>18</v>
      </c>
      <c r="E16038" s="10" t="s">
        <v>1402</v>
      </c>
      <c r="F16038" s="9" t="s">
        <v>1403</v>
      </c>
      <c r="G16038" s="10" t="s">
        <v>75</v>
      </c>
      <c r="H16038" s="9" t="s">
        <v>22</v>
      </c>
      <c r="I16038" s="9" t="s">
        <v>32390</v>
      </c>
      <c r="J16038" s="10" t="str">
        <f>HYPERLINK("https://www.boe.es/gazeta/dias/1834/05/05/pdfs/GMD-1834-74.pdf#page=4","Abrir facsímil")</f>
        <v>Abrir facsímil</v>
      </c>
      <c r="K16038" s="10" t="s">
        <v>24</v>
      </c>
    </row>
    <row r="16039" spans="1:11" ht="54" customHeight="1">
      <c r="A16039" s="9" t="s">
        <v>32391</v>
      </c>
      <c r="B16039" s="9" t="s">
        <v>32392</v>
      </c>
      <c r="C16039" s="9" t="s">
        <v>17</v>
      </c>
      <c r="D16039" s="9" t="s">
        <v>101</v>
      </c>
      <c r="E16039" s="10" t="s">
        <v>454</v>
      </c>
      <c r="F16039" s="9" t="s">
        <v>2009</v>
      </c>
      <c r="G16039" s="10" t="s">
        <v>21</v>
      </c>
      <c r="H16039" s="9" t="s">
        <v>22</v>
      </c>
      <c r="I16039" s="9" t="s">
        <v>32393</v>
      </c>
      <c r="J16039" s="10" t="str">
        <f>HYPERLINK("https://www.boe.es/gazeta/dias/1834/10/16/pdfs/GMD-1834-244.pdf#page=3","Abrir facsímil")</f>
        <v>Abrir facsímil</v>
      </c>
      <c r="K16039" s="10" t="s">
        <v>24</v>
      </c>
    </row>
    <row r="16040" spans="1:11" ht="54" customHeight="1">
      <c r="A16040" s="9" t="s">
        <v>32394</v>
      </c>
      <c r="B16040" s="9" t="s">
        <v>32395</v>
      </c>
      <c r="C16040" s="9" t="s">
        <v>17</v>
      </c>
      <c r="D16040" s="9" t="s">
        <v>18</v>
      </c>
      <c r="E16040" s="10" t="s">
        <v>1572</v>
      </c>
      <c r="F16040" s="9" t="s">
        <v>1573</v>
      </c>
      <c r="G16040" s="10" t="s">
        <v>28</v>
      </c>
      <c r="H16040" s="9" t="s">
        <v>22</v>
      </c>
      <c r="I16040" s="9" t="s">
        <v>32396</v>
      </c>
      <c r="J16040" s="10" t="str">
        <f>HYPERLINK("https://www.boe.es/gazeta/dias/1834/03/20/pdfs/GMD-1834-35.pdf#page=5","Abrir facsímil")</f>
        <v>Abrir facsímil</v>
      </c>
      <c r="K16040" s="10" t="s">
        <v>24</v>
      </c>
    </row>
    <row r="16041" spans="1:11" ht="54" customHeight="1">
      <c r="A16041" s="9" t="s">
        <v>32397</v>
      </c>
      <c r="B16041" s="9" t="s">
        <v>32397</v>
      </c>
      <c r="C16041" s="9" t="s">
        <v>17</v>
      </c>
      <c r="D16041" s="9" t="s">
        <v>18</v>
      </c>
      <c r="E16041" s="10" t="s">
        <v>11991</v>
      </c>
      <c r="F16041" s="9" t="s">
        <v>11992</v>
      </c>
      <c r="G16041" s="10" t="s">
        <v>34</v>
      </c>
      <c r="H16041" s="9" t="s">
        <v>22</v>
      </c>
      <c r="I16041" s="9" t="s">
        <v>32398</v>
      </c>
      <c r="J16041" s="10" t="str">
        <f>HYPERLINK("https://www.boe.es/gazeta/dias/1834/12/05/pdfs/GMD-C-1834-294.pdf#page=1","Abrir facsímil")</f>
        <v>Abrir facsímil</v>
      </c>
      <c r="K16041" s="10" t="s">
        <v>24</v>
      </c>
    </row>
    <row r="16042" spans="1:11" ht="54" customHeight="1">
      <c r="A16042" s="9" t="s">
        <v>32399</v>
      </c>
      <c r="B16042" s="9" t="s">
        <v>32399</v>
      </c>
      <c r="C16042" s="9" t="s">
        <v>17</v>
      </c>
      <c r="D16042" s="9" t="s">
        <v>40</v>
      </c>
      <c r="E16042" s="10" t="s">
        <v>2087</v>
      </c>
      <c r="F16042" s="9" t="s">
        <v>2267</v>
      </c>
      <c r="G16042" s="10" t="s">
        <v>1343</v>
      </c>
      <c r="H16042" s="9" t="s">
        <v>22</v>
      </c>
      <c r="I16042" s="9" t="s">
        <v>32400</v>
      </c>
      <c r="J16042" s="10" t="str">
        <f>HYPERLINK("https://www.boe.es/gazeta/dias/1834/12/14/pdfs/GMD-C-1834-303.pdf#page=9","Abrir facsímil")</f>
        <v>Abrir facsímil</v>
      </c>
      <c r="K16042" s="10" t="s">
        <v>24</v>
      </c>
    </row>
    <row r="16043" spans="1:11" ht="54" customHeight="1">
      <c r="A16043" s="9" t="s">
        <v>32401</v>
      </c>
      <c r="B16043" s="9" t="s">
        <v>32401</v>
      </c>
      <c r="C16043" s="9" t="s">
        <v>17</v>
      </c>
      <c r="D16043" s="9" t="s">
        <v>18</v>
      </c>
      <c r="E16043" s="10" t="s">
        <v>416</v>
      </c>
      <c r="F16043" s="9" t="s">
        <v>417</v>
      </c>
      <c r="G16043" s="10" t="s">
        <v>86</v>
      </c>
      <c r="H16043" s="9" t="s">
        <v>22</v>
      </c>
      <c r="I16043" s="9" t="s">
        <v>32402</v>
      </c>
      <c r="J16043" s="10" t="str">
        <f>HYPERLINK("https://www.boe.es/gazeta/dias/1834/10/02/pdfs/GMD-C-1834-230.pdf#page=2","Abrir facsímil")</f>
        <v>Abrir facsímil</v>
      </c>
      <c r="K16043" s="10" t="s">
        <v>24</v>
      </c>
    </row>
    <row r="16044" spans="1:11" ht="54" customHeight="1">
      <c r="A16044" s="9" t="s">
        <v>32401</v>
      </c>
      <c r="B16044" s="9" t="s">
        <v>32401</v>
      </c>
      <c r="C16044" s="9" t="s">
        <v>17</v>
      </c>
      <c r="D16044" s="9" t="s">
        <v>18</v>
      </c>
      <c r="E16044" s="10" t="s">
        <v>2087</v>
      </c>
      <c r="F16044" s="9" t="s">
        <v>2267</v>
      </c>
      <c r="G16044" s="10" t="s">
        <v>560</v>
      </c>
      <c r="H16044" s="9" t="s">
        <v>22</v>
      </c>
      <c r="I16044" s="9" t="s">
        <v>32403</v>
      </c>
      <c r="J16044" s="10" t="str">
        <f>HYPERLINK("https://www.boe.es/gazeta/dias/1834/12/14/pdfs/GMD-C-1834-303.pdf#page=7","Abrir facsímil")</f>
        <v>Abrir facsímil</v>
      </c>
      <c r="K16044" s="10" t="s">
        <v>24</v>
      </c>
    </row>
    <row r="16045" spans="1:11" ht="54" customHeight="1">
      <c r="A16045" s="9" t="s">
        <v>32404</v>
      </c>
      <c r="B16045" s="9" t="s">
        <v>32405</v>
      </c>
      <c r="C16045" s="9" t="s">
        <v>122</v>
      </c>
      <c r="D16045" s="9" t="s">
        <v>18</v>
      </c>
      <c r="E16045" s="10" t="s">
        <v>294</v>
      </c>
      <c r="F16045" s="9" t="s">
        <v>959</v>
      </c>
      <c r="G16045" s="10" t="s">
        <v>34</v>
      </c>
      <c r="H16045" s="9" t="s">
        <v>35</v>
      </c>
      <c r="I16045" s="9" t="s">
        <v>32406</v>
      </c>
      <c r="J16045" s="10" t="str">
        <f>HYPERLINK("https://www.boe.es/gazeta/dias/1834/09/27/pdfs/GMD-C-1834-225.pdf#page=1","Abrir facsímil")</f>
        <v>Abrir facsímil</v>
      </c>
      <c r="K16045" s="10" t="s">
        <v>37</v>
      </c>
    </row>
    <row r="16046" spans="1:11" ht="54" customHeight="1">
      <c r="A16046" s="9" t="s">
        <v>32407</v>
      </c>
      <c r="B16046" s="9" t="s">
        <v>32407</v>
      </c>
      <c r="C16046" s="9" t="s">
        <v>17</v>
      </c>
      <c r="D16046" s="9" t="s">
        <v>55</v>
      </c>
      <c r="E16046" s="10" t="s">
        <v>2087</v>
      </c>
      <c r="F16046" s="9" t="s">
        <v>2267</v>
      </c>
      <c r="G16046" s="10" t="s">
        <v>560</v>
      </c>
      <c r="H16046" s="9" t="s">
        <v>22</v>
      </c>
      <c r="I16046" s="9" t="s">
        <v>32408</v>
      </c>
      <c r="J16046" s="10" t="str">
        <f>HYPERLINK("https://www.boe.es/gazeta/dias/1834/12/14/pdfs/GMD-C-1834-303.pdf#page=7","Abrir facsímil")</f>
        <v>Abrir facsímil</v>
      </c>
      <c r="K16046" s="10" t="s">
        <v>24</v>
      </c>
    </row>
    <row r="16047" spans="1:11" ht="54" customHeight="1">
      <c r="A16047" s="9" t="s">
        <v>32409</v>
      </c>
      <c r="B16047" s="9" t="s">
        <v>32409</v>
      </c>
      <c r="C16047" s="9" t="s">
        <v>17</v>
      </c>
      <c r="D16047" s="9" t="s">
        <v>18</v>
      </c>
      <c r="E16047" s="10" t="s">
        <v>2087</v>
      </c>
      <c r="F16047" s="9" t="s">
        <v>2267</v>
      </c>
      <c r="G16047" s="10" t="s">
        <v>470</v>
      </c>
      <c r="H16047" s="9" t="s">
        <v>22</v>
      </c>
      <c r="I16047" s="9" t="s">
        <v>32410</v>
      </c>
      <c r="J16047" s="10" t="str">
        <f>HYPERLINK("https://www.boe.es/gazeta/dias/1834/12/14/pdfs/GMD-C-1834-303.pdf#page=8","Abrir facsímil")</f>
        <v>Abrir facsímil</v>
      </c>
      <c r="K16047" s="10" t="s">
        <v>24</v>
      </c>
    </row>
    <row r="16048" spans="1:11" ht="54" customHeight="1">
      <c r="A16048" s="9" t="s">
        <v>32407</v>
      </c>
      <c r="B16048" s="9" t="s">
        <v>32407</v>
      </c>
      <c r="C16048" s="9" t="s">
        <v>17</v>
      </c>
      <c r="D16048" s="9" t="s">
        <v>18</v>
      </c>
      <c r="E16048" s="10" t="s">
        <v>2087</v>
      </c>
      <c r="F16048" s="9" t="s">
        <v>2267</v>
      </c>
      <c r="G16048" s="10" t="s">
        <v>1343</v>
      </c>
      <c r="H16048" s="9" t="s">
        <v>22</v>
      </c>
      <c r="I16048" s="9" t="s">
        <v>32411</v>
      </c>
      <c r="J16048" s="10" t="str">
        <f>HYPERLINK("https://www.boe.es/gazeta/dias/1834/12/14/pdfs/GMD-C-1834-303.pdf#page=9","Abrir facsímil")</f>
        <v>Abrir facsímil</v>
      </c>
      <c r="K16048" s="10" t="s">
        <v>24</v>
      </c>
    </row>
    <row r="16049" spans="1:11" ht="54" customHeight="1">
      <c r="A16049" s="9" t="s">
        <v>32407</v>
      </c>
      <c r="B16049" s="9" t="s">
        <v>32407</v>
      </c>
      <c r="C16049" s="9" t="s">
        <v>90</v>
      </c>
      <c r="D16049" s="9" t="s">
        <v>18</v>
      </c>
      <c r="E16049" s="10" t="s">
        <v>233</v>
      </c>
      <c r="F16049" s="9" t="s">
        <v>1810</v>
      </c>
      <c r="G16049" s="10" t="s">
        <v>2272</v>
      </c>
      <c r="H16049" s="9" t="s">
        <v>22</v>
      </c>
      <c r="I16049" s="9" t="s">
        <v>32412</v>
      </c>
      <c r="J16049" s="10" t="str">
        <f>HYPERLINK("https://www.boe.es/gazeta/dias/1834/12/16/pdfs/GMD-C-1834-305.pdf#page=12","Abrir facsímil")</f>
        <v>Abrir facsímil</v>
      </c>
      <c r="K16049" s="10" t="s">
        <v>24</v>
      </c>
    </row>
    <row r="16050" spans="1:11" ht="54" customHeight="1">
      <c r="A16050" s="9" t="s">
        <v>32407</v>
      </c>
      <c r="B16050" s="9" t="s">
        <v>32407</v>
      </c>
      <c r="C16050" s="9" t="s">
        <v>17</v>
      </c>
      <c r="D16050" s="9" t="s">
        <v>18</v>
      </c>
      <c r="E16050" s="10" t="s">
        <v>233</v>
      </c>
      <c r="F16050" s="9" t="s">
        <v>1810</v>
      </c>
      <c r="G16050" s="10" t="s">
        <v>2274</v>
      </c>
      <c r="H16050" s="9" t="s">
        <v>22</v>
      </c>
      <c r="I16050" s="9" t="s">
        <v>32413</v>
      </c>
      <c r="J16050" s="10" t="str">
        <f>HYPERLINK("https://www.boe.es/gazeta/dias/1834/12/16/pdfs/GMD-C-1834-305.pdf#page=13","Abrir facsímil")</f>
        <v>Abrir facsímil</v>
      </c>
      <c r="K16050" s="10" t="s">
        <v>24</v>
      </c>
    </row>
    <row r="16051" spans="1:11" ht="54" customHeight="1">
      <c r="A16051" s="9" t="s">
        <v>32407</v>
      </c>
      <c r="B16051" s="9" t="s">
        <v>32407</v>
      </c>
      <c r="C16051" s="9" t="s">
        <v>17</v>
      </c>
      <c r="D16051" s="9" t="s">
        <v>18</v>
      </c>
      <c r="E16051" s="10" t="s">
        <v>233</v>
      </c>
      <c r="F16051" s="9" t="s">
        <v>1810</v>
      </c>
      <c r="G16051" s="10" t="s">
        <v>176</v>
      </c>
      <c r="H16051" s="9" t="s">
        <v>22</v>
      </c>
      <c r="I16051" s="9" t="s">
        <v>32414</v>
      </c>
      <c r="J16051" s="10" t="str">
        <f>HYPERLINK("https://www.boe.es/gazeta/dias/1834/12/16/pdfs/GMD-C-1834-305.pdf#page=6","Abrir facsímil")</f>
        <v>Abrir facsímil</v>
      </c>
      <c r="K16051" s="10" t="s">
        <v>24</v>
      </c>
    </row>
    <row r="16052" spans="1:11" ht="54" customHeight="1">
      <c r="A16052" s="9" t="s">
        <v>32407</v>
      </c>
      <c r="B16052" s="9" t="s">
        <v>32407</v>
      </c>
      <c r="C16052" s="9" t="s">
        <v>46</v>
      </c>
      <c r="D16052" s="9" t="s">
        <v>101</v>
      </c>
      <c r="E16052" s="10" t="s">
        <v>233</v>
      </c>
      <c r="F16052" s="9" t="s">
        <v>1810</v>
      </c>
      <c r="G16052" s="10" t="s">
        <v>560</v>
      </c>
      <c r="H16052" s="9" t="s">
        <v>22</v>
      </c>
      <c r="I16052" s="9" t="s">
        <v>32415</v>
      </c>
      <c r="J16052" s="10" t="str">
        <f>HYPERLINK("https://www.boe.es/gazeta/dias/1834/12/16/pdfs/GMD-C-1834-305.pdf#page=7","Abrir facsímil")</f>
        <v>Abrir facsímil</v>
      </c>
      <c r="K16052" s="10" t="s">
        <v>24</v>
      </c>
    </row>
    <row r="16053" spans="1:11" ht="54" customHeight="1">
      <c r="A16053" s="9" t="s">
        <v>32407</v>
      </c>
      <c r="B16053" s="9" t="s">
        <v>32407</v>
      </c>
      <c r="C16053" s="9" t="s">
        <v>17</v>
      </c>
      <c r="D16053" s="9" t="s">
        <v>18</v>
      </c>
      <c r="E16053" s="10" t="s">
        <v>2278</v>
      </c>
      <c r="F16053" s="9" t="s">
        <v>2279</v>
      </c>
      <c r="G16053" s="10" t="s">
        <v>75</v>
      </c>
      <c r="H16053" s="9" t="s">
        <v>22</v>
      </c>
      <c r="I16053" s="9" t="s">
        <v>32416</v>
      </c>
      <c r="J16053" s="10" t="str">
        <f>HYPERLINK("https://www.boe.es/gazeta/dias/1834/12/17/pdfs/GMD-C-1834-306.pdf#page=4","Abrir facsímil")</f>
        <v>Abrir facsímil</v>
      </c>
      <c r="K16053" s="10" t="s">
        <v>24</v>
      </c>
    </row>
    <row r="16054" spans="1:11" ht="54" customHeight="1">
      <c r="A16054" s="9" t="s">
        <v>32407</v>
      </c>
      <c r="B16054" s="9" t="s">
        <v>32407</v>
      </c>
      <c r="C16054" s="9" t="s">
        <v>17</v>
      </c>
      <c r="D16054" s="9" t="s">
        <v>18</v>
      </c>
      <c r="E16054" s="10" t="s">
        <v>2278</v>
      </c>
      <c r="F16054" s="9" t="s">
        <v>2279</v>
      </c>
      <c r="G16054" s="10" t="s">
        <v>28</v>
      </c>
      <c r="H16054" s="9" t="s">
        <v>22</v>
      </c>
      <c r="I16054" s="9" t="s">
        <v>32417</v>
      </c>
      <c r="J16054" s="10" t="str">
        <f>HYPERLINK("https://www.boe.es/gazeta/dias/1834/12/17/pdfs/GMD-C-1834-306.pdf#page=5","Abrir facsímil")</f>
        <v>Abrir facsímil</v>
      </c>
      <c r="K16054" s="10" t="s">
        <v>24</v>
      </c>
    </row>
    <row r="16055" spans="1:11" ht="54" customHeight="1">
      <c r="A16055" s="9" t="s">
        <v>32407</v>
      </c>
      <c r="B16055" s="9" t="s">
        <v>32407</v>
      </c>
      <c r="C16055" s="9" t="s">
        <v>17</v>
      </c>
      <c r="D16055" s="9" t="s">
        <v>18</v>
      </c>
      <c r="E16055" s="10" t="s">
        <v>2287</v>
      </c>
      <c r="F16055" s="9" t="s">
        <v>2288</v>
      </c>
      <c r="G16055" s="10" t="s">
        <v>86</v>
      </c>
      <c r="H16055" s="9" t="s">
        <v>22</v>
      </c>
      <c r="I16055" s="9" t="s">
        <v>32418</v>
      </c>
      <c r="J16055" s="10" t="str">
        <f>HYPERLINK("https://www.boe.es/gazeta/dias/1834/12/18/pdfs/GMD-C-1834-308.pdf#page=2","Abrir facsímil")</f>
        <v>Abrir facsímil</v>
      </c>
      <c r="K16055" s="10" t="s">
        <v>24</v>
      </c>
    </row>
    <row r="16056" spans="1:11" ht="54" customHeight="1">
      <c r="A16056" s="9" t="s">
        <v>32407</v>
      </c>
      <c r="B16056" s="9" t="s">
        <v>32407</v>
      </c>
      <c r="C16056" s="9" t="s">
        <v>17</v>
      </c>
      <c r="D16056" s="9" t="s">
        <v>18</v>
      </c>
      <c r="E16056" s="10" t="s">
        <v>2287</v>
      </c>
      <c r="F16056" s="9" t="s">
        <v>2288</v>
      </c>
      <c r="G16056" s="10" t="s">
        <v>21</v>
      </c>
      <c r="H16056" s="9" t="s">
        <v>22</v>
      </c>
      <c r="I16056" s="9" t="s">
        <v>32419</v>
      </c>
      <c r="J16056" s="10" t="str">
        <f>HYPERLINK("https://www.boe.es/gazeta/dias/1834/12/18/pdfs/GMD-C-1834-308.pdf#page=3","Abrir facsímil")</f>
        <v>Abrir facsímil</v>
      </c>
      <c r="K16056" s="10" t="s">
        <v>24</v>
      </c>
    </row>
    <row r="16057" spans="1:11" ht="54" customHeight="1">
      <c r="A16057" s="9" t="s">
        <v>32407</v>
      </c>
      <c r="B16057" s="9" t="s">
        <v>32407</v>
      </c>
      <c r="C16057" s="9" t="s">
        <v>46</v>
      </c>
      <c r="D16057" s="9" t="s">
        <v>18</v>
      </c>
      <c r="E16057" s="10" t="s">
        <v>2287</v>
      </c>
      <c r="F16057" s="9" t="s">
        <v>2288</v>
      </c>
      <c r="G16057" s="10" t="s">
        <v>75</v>
      </c>
      <c r="H16057" s="9" t="s">
        <v>22</v>
      </c>
      <c r="I16057" s="9" t="s">
        <v>32420</v>
      </c>
      <c r="J16057" s="10" t="str">
        <f>HYPERLINK("https://www.boe.es/gazeta/dias/1834/12/18/pdfs/GMD-C-1834-308.pdf#page=4","Abrir facsímil")</f>
        <v>Abrir facsímil</v>
      </c>
      <c r="K16057" s="10" t="s">
        <v>24</v>
      </c>
    </row>
    <row r="16058" spans="1:11" ht="54" customHeight="1">
      <c r="A16058" s="9" t="s">
        <v>32407</v>
      </c>
      <c r="B16058" s="9" t="s">
        <v>32407</v>
      </c>
      <c r="C16058" s="9" t="s">
        <v>17</v>
      </c>
      <c r="D16058" s="9" t="s">
        <v>18</v>
      </c>
      <c r="E16058" s="10" t="s">
        <v>2287</v>
      </c>
      <c r="F16058" s="9" t="s">
        <v>2288</v>
      </c>
      <c r="G16058" s="10" t="s">
        <v>28</v>
      </c>
      <c r="H16058" s="9" t="s">
        <v>22</v>
      </c>
      <c r="I16058" s="9" t="s">
        <v>32421</v>
      </c>
      <c r="J16058" s="10" t="str">
        <f>HYPERLINK("https://www.boe.es/gazeta/dias/1834/12/18/pdfs/GMD-C-1834-308.pdf#page=5","Abrir facsímil")</f>
        <v>Abrir facsímil</v>
      </c>
      <c r="K16058" s="10" t="s">
        <v>24</v>
      </c>
    </row>
    <row r="16059" spans="1:11" ht="54" customHeight="1">
      <c r="A16059" s="9" t="s">
        <v>32407</v>
      </c>
      <c r="B16059" s="9" t="s">
        <v>32407</v>
      </c>
      <c r="C16059" s="9" t="s">
        <v>46</v>
      </c>
      <c r="D16059" s="9" t="s">
        <v>101</v>
      </c>
      <c r="E16059" s="10" t="s">
        <v>2287</v>
      </c>
      <c r="F16059" s="9" t="s">
        <v>2288</v>
      </c>
      <c r="G16059" s="10" t="s">
        <v>176</v>
      </c>
      <c r="H16059" s="9" t="s">
        <v>22</v>
      </c>
      <c r="I16059" s="9" t="s">
        <v>32422</v>
      </c>
      <c r="J16059" s="10" t="str">
        <f>HYPERLINK("https://www.boe.es/gazeta/dias/1834/12/18/pdfs/GMD-C-1834-308.pdf#page=6","Abrir facsímil")</f>
        <v>Abrir facsímil</v>
      </c>
      <c r="K16059" s="10" t="s">
        <v>24</v>
      </c>
    </row>
    <row r="16060" spans="1:11" ht="54" customHeight="1">
      <c r="A16060" s="9" t="s">
        <v>32407</v>
      </c>
      <c r="B16060" s="9" t="s">
        <v>32407</v>
      </c>
      <c r="C16060" s="9" t="s">
        <v>17</v>
      </c>
      <c r="D16060" s="9" t="s">
        <v>18</v>
      </c>
      <c r="E16060" s="10" t="s">
        <v>268</v>
      </c>
      <c r="F16060" s="9" t="s">
        <v>269</v>
      </c>
      <c r="G16060" s="10" t="s">
        <v>34</v>
      </c>
      <c r="H16060" s="9" t="s">
        <v>22</v>
      </c>
      <c r="I16060" s="9" t="s">
        <v>32423</v>
      </c>
      <c r="J16060" s="10" t="str">
        <f>HYPERLINK("https://www.boe.es/gazeta/dias/1834/12/19/pdfs/GMD-C-1834-309.pdf#page=1","Abrir facsímil")</f>
        <v>Abrir facsímil</v>
      </c>
      <c r="K16060" s="10" t="s">
        <v>24</v>
      </c>
    </row>
    <row r="16061" spans="1:11" ht="54" customHeight="1">
      <c r="A16061" s="9" t="s">
        <v>32407</v>
      </c>
      <c r="B16061" s="9" t="s">
        <v>32407</v>
      </c>
      <c r="C16061" s="9" t="s">
        <v>17</v>
      </c>
      <c r="D16061" s="9" t="s">
        <v>18</v>
      </c>
      <c r="E16061" s="10" t="s">
        <v>128</v>
      </c>
      <c r="F16061" s="9" t="s">
        <v>129</v>
      </c>
      <c r="G16061" s="10" t="s">
        <v>86</v>
      </c>
      <c r="H16061" s="9" t="s">
        <v>22</v>
      </c>
      <c r="I16061" s="9" t="s">
        <v>32424</v>
      </c>
      <c r="J16061" s="10" t="str">
        <f>HYPERLINK("https://www.boe.es/gazeta/dias/1834/12/24/pdfs/GMD-C-1834-314.pdf#page=2","Abrir facsímil")</f>
        <v>Abrir facsímil</v>
      </c>
      <c r="K16061" s="10" t="s">
        <v>24</v>
      </c>
    </row>
    <row r="16062" spans="1:11" ht="54" customHeight="1">
      <c r="A16062" s="9" t="s">
        <v>32407</v>
      </c>
      <c r="B16062" s="9" t="s">
        <v>32407</v>
      </c>
      <c r="C16062" s="9" t="s">
        <v>17</v>
      </c>
      <c r="D16062" s="9" t="s">
        <v>18</v>
      </c>
      <c r="E16062" s="10" t="s">
        <v>2142</v>
      </c>
      <c r="F16062" s="9" t="s">
        <v>2316</v>
      </c>
      <c r="G16062" s="10" t="s">
        <v>86</v>
      </c>
      <c r="H16062" s="9" t="s">
        <v>22</v>
      </c>
      <c r="I16062" s="9" t="s">
        <v>32425</v>
      </c>
      <c r="J16062" s="10" t="str">
        <f>HYPERLINK("https://www.boe.es/gazeta/dias/1834/12/27/pdfs/GMD-C-1834-317.pdf#page=2","Abrir facsímil")</f>
        <v>Abrir facsímil</v>
      </c>
      <c r="K16062" s="10" t="s">
        <v>24</v>
      </c>
    </row>
    <row r="16063" spans="1:11" ht="54" customHeight="1">
      <c r="A16063" s="9" t="s">
        <v>32426</v>
      </c>
      <c r="B16063" s="9" t="s">
        <v>32426</v>
      </c>
      <c r="C16063" s="9" t="s">
        <v>17</v>
      </c>
      <c r="D16063" s="9" t="s">
        <v>18</v>
      </c>
      <c r="E16063" s="10" t="s">
        <v>2278</v>
      </c>
      <c r="F16063" s="9" t="s">
        <v>2279</v>
      </c>
      <c r="G16063" s="10" t="s">
        <v>28</v>
      </c>
      <c r="H16063" s="9" t="s">
        <v>22</v>
      </c>
      <c r="I16063" s="9" t="s">
        <v>32427</v>
      </c>
      <c r="J16063" s="10" t="str">
        <f>HYPERLINK("https://www.boe.es/gazeta/dias/1834/12/17/pdfs/GMD-C-1834-306.pdf#page=5","Abrir facsímil")</f>
        <v>Abrir facsímil</v>
      </c>
      <c r="K16063" s="10" t="s">
        <v>24</v>
      </c>
    </row>
    <row r="16064" spans="1:11" ht="54" customHeight="1">
      <c r="A16064" s="9" t="s">
        <v>32428</v>
      </c>
      <c r="B16064" s="9" t="s">
        <v>32428</v>
      </c>
      <c r="C16064" s="9" t="s">
        <v>17</v>
      </c>
      <c r="D16064" s="9" t="s">
        <v>18</v>
      </c>
      <c r="E16064" s="10" t="s">
        <v>128</v>
      </c>
      <c r="F16064" s="9" t="s">
        <v>129</v>
      </c>
      <c r="G16064" s="10" t="s">
        <v>86</v>
      </c>
      <c r="H16064" s="9" t="s">
        <v>22</v>
      </c>
      <c r="I16064" s="9" t="s">
        <v>32429</v>
      </c>
      <c r="J16064" s="10" t="str">
        <f>HYPERLINK("https://www.boe.es/gazeta/dias/1834/12/24/pdfs/GMD-C-1834-314.pdf#page=2","Abrir facsímil")</f>
        <v>Abrir facsímil</v>
      </c>
      <c r="K16064" s="10" t="s">
        <v>24</v>
      </c>
    </row>
    <row r="16065" spans="1:11" ht="54" customHeight="1">
      <c r="A16065" s="9" t="s">
        <v>32430</v>
      </c>
      <c r="B16065" s="9" t="s">
        <v>32431</v>
      </c>
      <c r="C16065" s="9" t="s">
        <v>17</v>
      </c>
      <c r="D16065" s="9" t="s">
        <v>18</v>
      </c>
      <c r="E16065" s="10" t="s">
        <v>143</v>
      </c>
      <c r="F16065" s="9" t="s">
        <v>144</v>
      </c>
      <c r="G16065" s="10" t="s">
        <v>75</v>
      </c>
      <c r="H16065" s="9" t="s">
        <v>22</v>
      </c>
      <c r="I16065" s="9" t="s">
        <v>32432</v>
      </c>
      <c r="J16065" s="10" t="str">
        <f>HYPERLINK("https://www.boe.es/gazeta/dias/1834/07/31/pdfs/GMD-1834-164.pdf#page=4","Abrir facsímil")</f>
        <v>Abrir facsímil</v>
      </c>
      <c r="K16065" s="10" t="s">
        <v>24</v>
      </c>
    </row>
    <row r="16066" spans="1:11" ht="54" customHeight="1">
      <c r="A16066" s="9" t="s">
        <v>32433</v>
      </c>
      <c r="B16066" s="9" t="s">
        <v>32434</v>
      </c>
      <c r="C16066" s="9" t="s">
        <v>17</v>
      </c>
      <c r="D16066" s="9" t="s">
        <v>18</v>
      </c>
      <c r="E16066" s="10" t="s">
        <v>4814</v>
      </c>
      <c r="F16066" s="9" t="s">
        <v>4815</v>
      </c>
      <c r="G16066" s="10" t="s">
        <v>34</v>
      </c>
      <c r="H16066" s="9" t="s">
        <v>22</v>
      </c>
      <c r="I16066" s="9" t="s">
        <v>32435</v>
      </c>
      <c r="J16066" s="10" t="str">
        <f>HYPERLINK("https://www.boe.es/gazeta/dias/1834/06/05/pdfs/GMD-1834-107.pdf#page=1","Abrir facsímil")</f>
        <v>Abrir facsímil</v>
      </c>
      <c r="K16066" s="10" t="s">
        <v>24</v>
      </c>
    </row>
    <row r="16067" spans="1:11" ht="54" customHeight="1">
      <c r="A16067" s="9" t="s">
        <v>32436</v>
      </c>
      <c r="B16067" s="9" t="s">
        <v>32437</v>
      </c>
      <c r="C16067" s="9" t="s">
        <v>17</v>
      </c>
      <c r="D16067" s="9" t="s">
        <v>18</v>
      </c>
      <c r="E16067" s="10" t="s">
        <v>19</v>
      </c>
      <c r="F16067" s="9" t="s">
        <v>107</v>
      </c>
      <c r="G16067" s="10" t="s">
        <v>75</v>
      </c>
      <c r="H16067" s="9" t="s">
        <v>22</v>
      </c>
      <c r="I16067" s="9" t="s">
        <v>32438</v>
      </c>
      <c r="J16067" s="10" t="str">
        <f>HYPERLINK("https://www.boe.es/gazeta/dias/1834/08/17/pdfs/GMD-1834-182.pdf#page=4","Abrir facsímil")</f>
        <v>Abrir facsímil</v>
      </c>
      <c r="K16067" s="10" t="s">
        <v>24</v>
      </c>
    </row>
    <row r="16068" spans="1:11" ht="54" customHeight="1">
      <c r="A16068" s="9" t="s">
        <v>32439</v>
      </c>
      <c r="B16068" s="9" t="s">
        <v>32440</v>
      </c>
      <c r="C16068" s="9" t="s">
        <v>90</v>
      </c>
      <c r="D16068" s="9" t="s">
        <v>18</v>
      </c>
      <c r="E16068" s="10" t="s">
        <v>343</v>
      </c>
      <c r="F16068" s="9" t="s">
        <v>344</v>
      </c>
      <c r="G16068" s="10" t="s">
        <v>34</v>
      </c>
      <c r="H16068" s="9" t="s">
        <v>22</v>
      </c>
      <c r="I16068" s="9" t="s">
        <v>32441</v>
      </c>
      <c r="J16068" s="10" t="str">
        <f>HYPERLINK("https://www.boe.es/gazeta/dias/1834/01/14/pdfs/GMD-1834-7.pdf#page=1","Abrir facsímil")</f>
        <v>Abrir facsímil</v>
      </c>
      <c r="K16068" s="10" t="s">
        <v>24</v>
      </c>
    </row>
    <row r="16069" spans="1:11" ht="54" customHeight="1">
      <c r="A16069" s="9" t="s">
        <v>32442</v>
      </c>
      <c r="B16069" s="9" t="s">
        <v>32443</v>
      </c>
      <c r="C16069" s="9" t="s">
        <v>17</v>
      </c>
      <c r="D16069" s="9" t="s">
        <v>101</v>
      </c>
      <c r="E16069" s="10" t="s">
        <v>976</v>
      </c>
      <c r="F16069" s="9" t="s">
        <v>1061</v>
      </c>
      <c r="G16069" s="10" t="s">
        <v>34</v>
      </c>
      <c r="H16069" s="9" t="s">
        <v>22</v>
      </c>
      <c r="I16069" s="9" t="s">
        <v>32444</v>
      </c>
      <c r="J16069" s="10" t="str">
        <f>HYPERLINK("https://www.boe.es/gazeta/dias/1834/04/02/pdfs/GMD-C-1834-41.pdf#page=1","Abrir facsímil")</f>
        <v>Abrir facsímil</v>
      </c>
      <c r="K16069" s="10" t="s">
        <v>24</v>
      </c>
    </row>
    <row r="16070" spans="1:11" ht="54" customHeight="1">
      <c r="A16070" s="9" t="s">
        <v>32445</v>
      </c>
      <c r="B16070" s="9" t="s">
        <v>32446</v>
      </c>
      <c r="C16070" s="9" t="s">
        <v>122</v>
      </c>
      <c r="D16070" s="9" t="s">
        <v>18</v>
      </c>
      <c r="E16070" s="10" t="s">
        <v>73</v>
      </c>
      <c r="F16070" s="9" t="s">
        <v>74</v>
      </c>
      <c r="G16070" s="10" t="s">
        <v>75</v>
      </c>
      <c r="H16070" s="9" t="s">
        <v>22</v>
      </c>
      <c r="I16070" s="9" t="s">
        <v>32447</v>
      </c>
      <c r="J16070" s="10" t="str">
        <f>HYPERLINK("https://www.boe.es/gazeta/dias/1834/11/04/pdfs/GMD-1834-263.pdf#page=4","Abrir facsímil")</f>
        <v>Abrir facsímil</v>
      </c>
      <c r="K16070" s="10" t="s">
        <v>24</v>
      </c>
    </row>
    <row r="16071" spans="1:11" ht="54" customHeight="1">
      <c r="A16071" s="9" t="s">
        <v>32448</v>
      </c>
      <c r="B16071" s="9" t="s">
        <v>32448</v>
      </c>
      <c r="C16071" s="9" t="s">
        <v>46</v>
      </c>
      <c r="D16071" s="9" t="s">
        <v>101</v>
      </c>
      <c r="E16071" s="10" t="s">
        <v>258</v>
      </c>
      <c r="F16071" s="9" t="s">
        <v>259</v>
      </c>
      <c r="G16071" s="10" t="s">
        <v>86</v>
      </c>
      <c r="H16071" s="9" t="s">
        <v>22</v>
      </c>
      <c r="I16071" s="9" t="s">
        <v>32449</v>
      </c>
      <c r="J16071" s="10" t="str">
        <f>HYPERLINK("https://www.boe.es/gazeta/dias/1834/10/09/pdfs/GMD-C-1834-237.pdf#page=2","Abrir facsímil")</f>
        <v>Abrir facsímil</v>
      </c>
      <c r="K16071" s="10" t="s">
        <v>24</v>
      </c>
    </row>
    <row r="16072" spans="1:11" ht="54" customHeight="1">
      <c r="A16072" s="9" t="s">
        <v>32450</v>
      </c>
      <c r="B16072" s="9" t="s">
        <v>32451</v>
      </c>
      <c r="C16072" s="9" t="s">
        <v>17</v>
      </c>
      <c r="D16072" s="9" t="s">
        <v>18</v>
      </c>
      <c r="E16072" s="10" t="s">
        <v>860</v>
      </c>
      <c r="F16072" s="9" t="s">
        <v>861</v>
      </c>
      <c r="G16072" s="10" t="s">
        <v>176</v>
      </c>
      <c r="H16072" s="9" t="s">
        <v>22</v>
      </c>
      <c r="I16072" s="9" t="s">
        <v>32452</v>
      </c>
      <c r="J16072" s="10" t="str">
        <f>HYPERLINK("https://www.boe.es/gazeta/dias/1834/02/08/pdfs/GMD-1834-18.pdf#page=6","Abrir facsímil")</f>
        <v>Abrir facsímil</v>
      </c>
      <c r="K16072" s="10" t="s">
        <v>24</v>
      </c>
    </row>
    <row r="16073" spans="1:11" ht="54" customHeight="1">
      <c r="A16073" s="9" t="s">
        <v>32453</v>
      </c>
      <c r="B16073" s="9" t="s">
        <v>32453</v>
      </c>
      <c r="C16073" s="9" t="s">
        <v>17</v>
      </c>
      <c r="D16073" s="9" t="s">
        <v>18</v>
      </c>
      <c r="E16073" s="10" t="s">
        <v>1742</v>
      </c>
      <c r="F16073" s="9" t="s">
        <v>1743</v>
      </c>
      <c r="G16073" s="10" t="s">
        <v>86</v>
      </c>
      <c r="H16073" s="9" t="s">
        <v>22</v>
      </c>
      <c r="I16073" s="9" t="s">
        <v>32454</v>
      </c>
      <c r="J16073" s="10" t="str">
        <f>HYPERLINK("https://www.boe.es/gazeta/dias/1834/11/06/pdfs/GMD-1834-265.pdf#page=2","Abrir facsímil")</f>
        <v>Abrir facsímil</v>
      </c>
      <c r="K16073" s="10" t="s">
        <v>24</v>
      </c>
    </row>
    <row r="16074" spans="1:11" ht="54" customHeight="1">
      <c r="A16074" s="9" t="s">
        <v>32453</v>
      </c>
      <c r="B16074" s="9" t="s">
        <v>32453</v>
      </c>
      <c r="C16074" s="9" t="s">
        <v>90</v>
      </c>
      <c r="D16074" s="9" t="s">
        <v>67</v>
      </c>
      <c r="E16074" s="10" t="s">
        <v>441</v>
      </c>
      <c r="F16074" s="9" t="s">
        <v>442</v>
      </c>
      <c r="G16074" s="10" t="s">
        <v>86</v>
      </c>
      <c r="H16074" s="9" t="s">
        <v>22</v>
      </c>
      <c r="I16074" s="9" t="s">
        <v>32455</v>
      </c>
      <c r="J16074" s="10" t="str">
        <f>HYPERLINK("https://www.boe.es/gazeta/dias/1834/11/10/pdfs/GMD-1834-269.pdf#page=2","Abrir facsímil")</f>
        <v>Abrir facsímil</v>
      </c>
      <c r="K16074" s="10" t="s">
        <v>24</v>
      </c>
    </row>
    <row r="16075" spans="1:11" ht="54" customHeight="1">
      <c r="A16075" s="9" t="s">
        <v>32456</v>
      </c>
      <c r="B16075" s="9" t="s">
        <v>32457</v>
      </c>
      <c r="C16075" s="9" t="s">
        <v>17</v>
      </c>
      <c r="D16075" s="9" t="s">
        <v>18</v>
      </c>
      <c r="E16075" s="10" t="s">
        <v>309</v>
      </c>
      <c r="F16075" s="9" t="s">
        <v>310</v>
      </c>
      <c r="G16075" s="10" t="s">
        <v>34</v>
      </c>
      <c r="H16075" s="9" t="s">
        <v>22</v>
      </c>
      <c r="I16075" s="9" t="s">
        <v>32458</v>
      </c>
      <c r="J16075" s="10" t="str">
        <f>HYPERLINK("https://www.boe.es/gazeta/dias/1834/05/30/pdfs/GMD-1834-99.pdf#page=1","Abrir facsímil")</f>
        <v>Abrir facsímil</v>
      </c>
      <c r="K16075" s="10" t="s">
        <v>24</v>
      </c>
    </row>
    <row r="16076" spans="1:11" ht="54" customHeight="1">
      <c r="A16076" s="9" t="s">
        <v>32459</v>
      </c>
      <c r="B16076" s="9" t="s">
        <v>32460</v>
      </c>
      <c r="C16076" s="9" t="s">
        <v>66</v>
      </c>
      <c r="D16076" s="9" t="s">
        <v>67</v>
      </c>
      <c r="E16076" s="10" t="s">
        <v>32</v>
      </c>
      <c r="F16076" s="9" t="s">
        <v>33</v>
      </c>
      <c r="G16076" s="10" t="s">
        <v>86</v>
      </c>
      <c r="H16076" s="9" t="s">
        <v>22</v>
      </c>
      <c r="I16076" s="9" t="s">
        <v>32461</v>
      </c>
      <c r="J16076" s="10" t="str">
        <f>HYPERLINK("https://www.boe.es/gazeta/dias/1834/04/23/pdfs/GMD-1834-62.pdf#page=2","Abrir facsímil")</f>
        <v>Abrir facsímil</v>
      </c>
      <c r="K16076" s="10" t="s">
        <v>24</v>
      </c>
    </row>
    <row r="16077" spans="1:11" ht="54" customHeight="1">
      <c r="A16077" s="9" t="s">
        <v>32462</v>
      </c>
      <c r="B16077" s="9" t="s">
        <v>32463</v>
      </c>
      <c r="C16077" s="9" t="s">
        <v>66</v>
      </c>
      <c r="D16077" s="9" t="s">
        <v>67</v>
      </c>
      <c r="E16077" s="10" t="s">
        <v>133</v>
      </c>
      <c r="F16077" s="9" t="s">
        <v>134</v>
      </c>
      <c r="G16077" s="10" t="s">
        <v>34</v>
      </c>
      <c r="H16077" s="9" t="s">
        <v>22</v>
      </c>
      <c r="I16077" s="9" t="s">
        <v>32464</v>
      </c>
      <c r="J16077" s="10" t="str">
        <f>HYPERLINK("https://www.boe.es/gazeta/dias/1834/06/18/pdfs/GMD-1834-121.pdf#page=1","Abrir facsímil")</f>
        <v>Abrir facsímil</v>
      </c>
      <c r="K16077" s="10" t="s">
        <v>24</v>
      </c>
    </row>
    <row r="16078" spans="1:11" ht="54" customHeight="1">
      <c r="A16078" s="9" t="s">
        <v>32465</v>
      </c>
      <c r="B16078" s="9" t="s">
        <v>32466</v>
      </c>
      <c r="C16078" s="9" t="s">
        <v>122</v>
      </c>
      <c r="D16078" s="9" t="s">
        <v>55</v>
      </c>
      <c r="E16078" s="10" t="s">
        <v>258</v>
      </c>
      <c r="F16078" s="9" t="s">
        <v>1075</v>
      </c>
      <c r="G16078" s="10" t="s">
        <v>75</v>
      </c>
      <c r="H16078" s="9" t="s">
        <v>22</v>
      </c>
      <c r="I16078" s="9" t="s">
        <v>32467</v>
      </c>
      <c r="J16078" s="10" t="str">
        <f>HYPERLINK("https://www.boe.es/gazeta/dias/1834/10/09/pdfs/GMD-1834-237.pdf#page=4","Abrir facsímil")</f>
        <v>Abrir facsímil</v>
      </c>
      <c r="K16078" s="10" t="s">
        <v>24</v>
      </c>
    </row>
    <row r="16079" spans="1:11" ht="54" customHeight="1">
      <c r="A16079" s="9" t="s">
        <v>32468</v>
      </c>
      <c r="B16079" s="9" t="s">
        <v>32469</v>
      </c>
      <c r="C16079" s="9" t="s">
        <v>17</v>
      </c>
      <c r="D16079" s="9" t="s">
        <v>101</v>
      </c>
      <c r="E16079" s="10" t="s">
        <v>2218</v>
      </c>
      <c r="F16079" s="9" t="s">
        <v>2219</v>
      </c>
      <c r="G16079" s="10" t="s">
        <v>21</v>
      </c>
      <c r="H16079" s="9" t="s">
        <v>22</v>
      </c>
      <c r="I16079" s="9" t="s">
        <v>32470</v>
      </c>
      <c r="J16079" s="10" t="str">
        <f>HYPERLINK("https://www.boe.es/gazeta/dias/1834/11/05/pdfs/GMD-1834-264.pdf#page=3","Abrir facsímil")</f>
        <v>Abrir facsímil</v>
      </c>
      <c r="K16079" s="10" t="s">
        <v>24</v>
      </c>
    </row>
    <row r="16080" spans="1:11" ht="54" customHeight="1">
      <c r="A16080" s="9" t="s">
        <v>32468</v>
      </c>
      <c r="B16080" s="9" t="s">
        <v>32469</v>
      </c>
      <c r="C16080" s="9" t="s">
        <v>17</v>
      </c>
      <c r="D16080" s="9" t="s">
        <v>18</v>
      </c>
      <c r="E16080" s="10" t="s">
        <v>1918</v>
      </c>
      <c r="F16080" s="9" t="s">
        <v>2024</v>
      </c>
      <c r="G16080" s="10" t="s">
        <v>34</v>
      </c>
      <c r="H16080" s="9" t="s">
        <v>22</v>
      </c>
      <c r="I16080" s="9" t="s">
        <v>32471</v>
      </c>
      <c r="J16080" s="10" t="str">
        <f>HYPERLINK("https://www.boe.es/gazeta/dias/1834/03/22/pdfs/GMD-C-1834-36.pdf#page=1","Abrir facsímil")</f>
        <v>Abrir facsímil</v>
      </c>
      <c r="K16080" s="10" t="s">
        <v>24</v>
      </c>
    </row>
    <row r="16081" spans="1:11" ht="54" customHeight="1">
      <c r="A16081" s="9" t="s">
        <v>32472</v>
      </c>
      <c r="B16081" s="9" t="s">
        <v>32473</v>
      </c>
      <c r="C16081" s="9" t="s">
        <v>17</v>
      </c>
      <c r="D16081" s="9" t="s">
        <v>18</v>
      </c>
      <c r="E16081" s="10" t="s">
        <v>860</v>
      </c>
      <c r="F16081" s="9" t="s">
        <v>861</v>
      </c>
      <c r="G16081" s="10" t="s">
        <v>176</v>
      </c>
      <c r="H16081" s="9" t="s">
        <v>22</v>
      </c>
      <c r="I16081" s="9" t="s">
        <v>32474</v>
      </c>
      <c r="J16081" s="10" t="str">
        <f>HYPERLINK("https://www.boe.es/gazeta/dias/1834/02/08/pdfs/GMD-1834-18.pdf#page=6","Abrir facsímil")</f>
        <v>Abrir facsímil</v>
      </c>
      <c r="K16081" s="10" t="s">
        <v>24</v>
      </c>
    </row>
    <row r="16082" spans="1:11" ht="54" customHeight="1">
      <c r="A16082" s="9" t="s">
        <v>32475</v>
      </c>
      <c r="B16082" s="9" t="s">
        <v>32476</v>
      </c>
      <c r="C16082" s="9" t="s">
        <v>46</v>
      </c>
      <c r="D16082" s="9" t="s">
        <v>101</v>
      </c>
      <c r="E16082" s="10" t="s">
        <v>262</v>
      </c>
      <c r="F16082" s="9" t="s">
        <v>7012</v>
      </c>
      <c r="G16082" s="10" t="s">
        <v>21</v>
      </c>
      <c r="H16082" s="9" t="s">
        <v>35</v>
      </c>
      <c r="I16082" s="9" t="s">
        <v>32477</v>
      </c>
      <c r="J16082" s="10" t="str">
        <f>HYPERLINK("https://www.boe.es/gazeta/dias/1834/10/18/pdfs/GMD-1834-246.pdf#page=3","Abrir facsímil")</f>
        <v>Abrir facsímil</v>
      </c>
      <c r="K16082" s="10" t="s">
        <v>37</v>
      </c>
    </row>
    <row r="16083" spans="1:11" ht="54" customHeight="1">
      <c r="A16083" s="9" t="s">
        <v>32478</v>
      </c>
      <c r="B16083" s="9" t="s">
        <v>32479</v>
      </c>
      <c r="C16083" s="9" t="s">
        <v>17</v>
      </c>
      <c r="D16083" s="9" t="s">
        <v>18</v>
      </c>
      <c r="E16083" s="10" t="s">
        <v>200</v>
      </c>
      <c r="F16083" s="9" t="s">
        <v>201</v>
      </c>
      <c r="G16083" s="10" t="s">
        <v>21</v>
      </c>
      <c r="H16083" s="9" t="s">
        <v>22</v>
      </c>
      <c r="I16083" s="9" t="s">
        <v>32480</v>
      </c>
      <c r="J16083" s="10" t="str">
        <f>HYPERLINK("https://www.boe.es/gazeta/dias/1834/12/11/pdfs/GMD-1834-300.pdf#page=3","Abrir facsímil")</f>
        <v>Abrir facsímil</v>
      </c>
      <c r="K16083" s="10" t="s">
        <v>24</v>
      </c>
    </row>
    <row r="16084" spans="1:11" ht="54" customHeight="1">
      <c r="A16084" s="9" t="s">
        <v>32481</v>
      </c>
      <c r="B16084" s="9" t="s">
        <v>32482</v>
      </c>
      <c r="C16084" s="9" t="s">
        <v>66</v>
      </c>
      <c r="D16084" s="9" t="s">
        <v>67</v>
      </c>
      <c r="E16084" s="10" t="s">
        <v>286</v>
      </c>
      <c r="F16084" s="9" t="s">
        <v>548</v>
      </c>
      <c r="G16084" s="10" t="s">
        <v>75</v>
      </c>
      <c r="H16084" s="9" t="s">
        <v>22</v>
      </c>
      <c r="I16084" s="9" t="s">
        <v>32483</v>
      </c>
      <c r="J16084" s="10" t="str">
        <f>HYPERLINK("https://www.boe.es/gazeta/dias/1834/08/30/pdfs/GMD-1834-196.pdf#page=4","Abrir facsímil")</f>
        <v>Abrir facsímil</v>
      </c>
      <c r="K16084" s="10" t="s">
        <v>24</v>
      </c>
    </row>
    <row r="16085" spans="1:11" ht="54" customHeight="1">
      <c r="A16085" s="9" t="s">
        <v>32484</v>
      </c>
      <c r="B16085" s="9" t="s">
        <v>32484</v>
      </c>
      <c r="C16085" s="9" t="s">
        <v>46</v>
      </c>
      <c r="D16085" s="9" t="s">
        <v>101</v>
      </c>
      <c r="E16085" s="10" t="s">
        <v>571</v>
      </c>
      <c r="F16085" s="9" t="s">
        <v>620</v>
      </c>
      <c r="G16085" s="10" t="s">
        <v>21</v>
      </c>
      <c r="H16085" s="9" t="s">
        <v>22</v>
      </c>
      <c r="I16085" s="9" t="s">
        <v>32485</v>
      </c>
      <c r="J16085" s="10" t="str">
        <f>HYPERLINK("https://www.boe.es/gazeta/dias/1834/09/04/pdfs/GMD-C-1834-202.pdf#page=3","Abrir facsímil")</f>
        <v>Abrir facsímil</v>
      </c>
      <c r="K16085" s="10" t="s">
        <v>24</v>
      </c>
    </row>
    <row r="16086" spans="1:11" ht="54" customHeight="1">
      <c r="A16086" s="9" t="s">
        <v>32484</v>
      </c>
      <c r="B16086" s="9" t="s">
        <v>32484</v>
      </c>
      <c r="C16086" s="9" t="s">
        <v>17</v>
      </c>
      <c r="D16086" s="9" t="s">
        <v>18</v>
      </c>
      <c r="E16086" s="10" t="s">
        <v>571</v>
      </c>
      <c r="F16086" s="9" t="s">
        <v>620</v>
      </c>
      <c r="G16086" s="10" t="s">
        <v>176</v>
      </c>
      <c r="H16086" s="9" t="s">
        <v>22</v>
      </c>
      <c r="I16086" s="9" t="s">
        <v>32486</v>
      </c>
      <c r="J16086" s="10" t="str">
        <f>HYPERLINK("https://www.boe.es/gazeta/dias/1834/09/04/pdfs/GMD-C-1834-202.pdf#page=6","Abrir facsímil")</f>
        <v>Abrir facsímil</v>
      </c>
      <c r="K16086" s="10" t="s">
        <v>24</v>
      </c>
    </row>
    <row r="16087" spans="1:11" ht="54" customHeight="1">
      <c r="A16087" s="9" t="s">
        <v>32484</v>
      </c>
      <c r="B16087" s="9" t="s">
        <v>32484</v>
      </c>
      <c r="C16087" s="9" t="s">
        <v>17</v>
      </c>
      <c r="D16087" s="9" t="s">
        <v>18</v>
      </c>
      <c r="E16087" s="10" t="s">
        <v>433</v>
      </c>
      <c r="F16087" s="9" t="s">
        <v>434</v>
      </c>
      <c r="G16087" s="10" t="s">
        <v>34</v>
      </c>
      <c r="H16087" s="9" t="s">
        <v>22</v>
      </c>
      <c r="I16087" s="9" t="s">
        <v>32487</v>
      </c>
      <c r="J16087" s="10" t="str">
        <f>HYPERLINK("https://www.boe.es/gazeta/dias/1834/10/07/pdfs/GMD-C-1834-235.pdf#page=1","Abrir facsímil")</f>
        <v>Abrir facsímil</v>
      </c>
      <c r="K16087" s="10" t="s">
        <v>24</v>
      </c>
    </row>
    <row r="16088" spans="1:11" ht="54" customHeight="1">
      <c r="A16088" s="9" t="s">
        <v>32484</v>
      </c>
      <c r="B16088" s="9" t="s">
        <v>32484</v>
      </c>
      <c r="C16088" s="9" t="s">
        <v>46</v>
      </c>
      <c r="D16088" s="9" t="s">
        <v>101</v>
      </c>
      <c r="E16088" s="10" t="s">
        <v>258</v>
      </c>
      <c r="F16088" s="9" t="s">
        <v>259</v>
      </c>
      <c r="G16088" s="10" t="s">
        <v>86</v>
      </c>
      <c r="H16088" s="9" t="s">
        <v>22</v>
      </c>
      <c r="I16088" s="9" t="s">
        <v>32488</v>
      </c>
      <c r="J16088" s="10" t="str">
        <f>HYPERLINK("https://www.boe.es/gazeta/dias/1834/10/09/pdfs/GMD-C-1834-237.pdf#page=2","Abrir facsímil")</f>
        <v>Abrir facsímil</v>
      </c>
      <c r="K16088" s="10" t="s">
        <v>24</v>
      </c>
    </row>
    <row r="16089" spans="1:11" ht="54" customHeight="1">
      <c r="A16089" s="9" t="s">
        <v>32484</v>
      </c>
      <c r="B16089" s="9" t="s">
        <v>32484</v>
      </c>
      <c r="C16089" s="9" t="s">
        <v>66</v>
      </c>
      <c r="D16089" s="9" t="s">
        <v>67</v>
      </c>
      <c r="E16089" s="10" t="s">
        <v>448</v>
      </c>
      <c r="F16089" s="9" t="s">
        <v>449</v>
      </c>
      <c r="G16089" s="10" t="s">
        <v>21</v>
      </c>
      <c r="H16089" s="9" t="s">
        <v>22</v>
      </c>
      <c r="I16089" s="9" t="s">
        <v>32489</v>
      </c>
      <c r="J16089" s="10" t="str">
        <f>HYPERLINK("https://www.boe.es/gazeta/dias/1834/10/14/pdfs/GMD-C-1834-242.pdf#page=3","Abrir facsímil")</f>
        <v>Abrir facsímil</v>
      </c>
      <c r="K16089" s="10" t="s">
        <v>24</v>
      </c>
    </row>
    <row r="16090" spans="1:11" ht="54" customHeight="1">
      <c r="A16090" s="9" t="s">
        <v>32490</v>
      </c>
      <c r="B16090" s="9" t="s">
        <v>32490</v>
      </c>
      <c r="C16090" s="9" t="s">
        <v>46</v>
      </c>
      <c r="D16090" s="9" t="s">
        <v>101</v>
      </c>
      <c r="E16090" s="10" t="s">
        <v>258</v>
      </c>
      <c r="F16090" s="9" t="s">
        <v>259</v>
      </c>
      <c r="G16090" s="10" t="s">
        <v>86</v>
      </c>
      <c r="H16090" s="9" t="s">
        <v>22</v>
      </c>
      <c r="I16090" s="9" t="s">
        <v>32491</v>
      </c>
      <c r="J16090" s="10" t="str">
        <f>HYPERLINK("https://www.boe.es/gazeta/dias/1834/10/09/pdfs/GMD-C-1834-237.pdf#page=2","Abrir facsímil")</f>
        <v>Abrir facsímil</v>
      </c>
      <c r="K16090" s="10" t="s">
        <v>24</v>
      </c>
    </row>
    <row r="16091" spans="1:11" ht="54" customHeight="1">
      <c r="A16091" s="9" t="s">
        <v>32492</v>
      </c>
      <c r="B16091" s="9" t="s">
        <v>32493</v>
      </c>
      <c r="C16091" s="9" t="s">
        <v>17</v>
      </c>
      <c r="D16091" s="9" t="s">
        <v>18</v>
      </c>
      <c r="E16091" s="10" t="s">
        <v>1641</v>
      </c>
      <c r="F16091" s="9" t="s">
        <v>1642</v>
      </c>
      <c r="G16091" s="10" t="s">
        <v>28</v>
      </c>
      <c r="H16091" s="9" t="s">
        <v>22</v>
      </c>
      <c r="I16091" s="9" t="s">
        <v>32494</v>
      </c>
      <c r="J16091" s="10" t="str">
        <f>HYPERLINK("https://www.boe.es/gazeta/dias/1834/09/28/pdfs/GMD-C-1834-226.pdf#page=5","Abrir facsímil")</f>
        <v>Abrir facsímil</v>
      </c>
      <c r="K16091" s="10" t="s">
        <v>24</v>
      </c>
    </row>
    <row r="16092" spans="1:11" ht="54" customHeight="1">
      <c r="A16092" s="9" t="s">
        <v>32495</v>
      </c>
      <c r="B16092" s="9" t="s">
        <v>32495</v>
      </c>
      <c r="C16092" s="9" t="s">
        <v>17</v>
      </c>
      <c r="D16092" s="9" t="s">
        <v>18</v>
      </c>
      <c r="E16092" s="10" t="s">
        <v>762</v>
      </c>
      <c r="F16092" s="9" t="s">
        <v>763</v>
      </c>
      <c r="G16092" s="10" t="s">
        <v>34</v>
      </c>
      <c r="H16092" s="9" t="s">
        <v>22</v>
      </c>
      <c r="I16092" s="9" t="s">
        <v>32496</v>
      </c>
      <c r="J16092" s="10" t="str">
        <f>HYPERLINK("https://www.boe.es/gazeta/dias/1834/11/07/pdfs/GMD-1834-266.pdf#page=1","Abrir facsímil")</f>
        <v>Abrir facsímil</v>
      </c>
      <c r="K16092" s="10" t="s">
        <v>24</v>
      </c>
    </row>
    <row r="16093" spans="1:11" ht="54" customHeight="1">
      <c r="A16093" s="9" t="s">
        <v>32497</v>
      </c>
      <c r="B16093" s="9" t="s">
        <v>32498</v>
      </c>
      <c r="C16093" s="9" t="s">
        <v>17</v>
      </c>
      <c r="D16093" s="9" t="s">
        <v>18</v>
      </c>
      <c r="E16093" s="10" t="s">
        <v>2218</v>
      </c>
      <c r="F16093" s="9" t="s">
        <v>2219</v>
      </c>
      <c r="G16093" s="10" t="s">
        <v>21</v>
      </c>
      <c r="H16093" s="9" t="s">
        <v>22</v>
      </c>
      <c r="I16093" s="9" t="s">
        <v>32499</v>
      </c>
      <c r="J16093" s="10" t="str">
        <f>HYPERLINK("https://www.boe.es/gazeta/dias/1834/11/05/pdfs/GMD-1834-264.pdf#page=3","Abrir facsímil")</f>
        <v>Abrir facsímil</v>
      </c>
      <c r="K16093" s="10" t="s">
        <v>24</v>
      </c>
    </row>
    <row r="16094" spans="1:11" ht="54" customHeight="1">
      <c r="A16094" s="9" t="s">
        <v>32500</v>
      </c>
      <c r="B16094" s="9" t="s">
        <v>32501</v>
      </c>
      <c r="C16094" s="9" t="s">
        <v>17</v>
      </c>
      <c r="D16094" s="9" t="s">
        <v>18</v>
      </c>
      <c r="E16094" s="10" t="s">
        <v>762</v>
      </c>
      <c r="F16094" s="9" t="s">
        <v>763</v>
      </c>
      <c r="G16094" s="10" t="s">
        <v>34</v>
      </c>
      <c r="H16094" s="9" t="s">
        <v>22</v>
      </c>
      <c r="I16094" s="9" t="s">
        <v>32502</v>
      </c>
      <c r="J16094" s="10" t="str">
        <f>HYPERLINK("https://www.boe.es/gazeta/dias/1834/11/07/pdfs/GMD-1834-266.pdf#page=1","Abrir facsímil")</f>
        <v>Abrir facsímil</v>
      </c>
      <c r="K16094" s="10" t="s">
        <v>24</v>
      </c>
    </row>
    <row r="16095" spans="1:11" ht="54" customHeight="1">
      <c r="A16095" s="9" t="s">
        <v>32503</v>
      </c>
      <c r="B16095" s="9" t="s">
        <v>32503</v>
      </c>
      <c r="C16095" s="9" t="s">
        <v>46</v>
      </c>
      <c r="D16095" s="9" t="s">
        <v>101</v>
      </c>
      <c r="E16095" s="10" t="s">
        <v>571</v>
      </c>
      <c r="F16095" s="9" t="s">
        <v>620</v>
      </c>
      <c r="G16095" s="10" t="s">
        <v>21</v>
      </c>
      <c r="H16095" s="9" t="s">
        <v>22</v>
      </c>
      <c r="I16095" s="9" t="s">
        <v>32504</v>
      </c>
      <c r="J16095" s="10" t="str">
        <f>HYPERLINK("https://www.boe.es/gazeta/dias/1834/09/04/pdfs/GMD-C-1834-202.pdf#page=3","Abrir facsímil")</f>
        <v>Abrir facsímil</v>
      </c>
      <c r="K16095" s="10" t="s">
        <v>24</v>
      </c>
    </row>
    <row r="16096" spans="1:11" ht="54" customHeight="1">
      <c r="A16096" s="9" t="s">
        <v>32505</v>
      </c>
      <c r="B16096" s="9" t="s">
        <v>32505</v>
      </c>
      <c r="C16096" s="9" t="s">
        <v>17</v>
      </c>
      <c r="D16096" s="9" t="s">
        <v>55</v>
      </c>
      <c r="E16096" s="10" t="s">
        <v>1212</v>
      </c>
      <c r="F16096" s="9" t="s">
        <v>1213</v>
      </c>
      <c r="G16096" s="10" t="s">
        <v>21</v>
      </c>
      <c r="H16096" s="9" t="s">
        <v>22</v>
      </c>
      <c r="I16096" s="9" t="s">
        <v>32506</v>
      </c>
      <c r="J16096" s="10" t="str">
        <f>HYPERLINK("https://www.boe.es/gazeta/dias/1834/05/24/pdfs/GMD-1834-93.pdf#page=3","Abrir facsímil")</f>
        <v>Abrir facsímil</v>
      </c>
      <c r="K16096" s="10" t="s">
        <v>24</v>
      </c>
    </row>
    <row r="16097" spans="1:11" ht="54" customHeight="1">
      <c r="A16097" s="9" t="s">
        <v>32507</v>
      </c>
      <c r="B16097" s="9" t="s">
        <v>32508</v>
      </c>
      <c r="C16097" s="9" t="s">
        <v>66</v>
      </c>
      <c r="D16097" s="9" t="s">
        <v>18</v>
      </c>
      <c r="E16097" s="10" t="s">
        <v>2945</v>
      </c>
      <c r="F16097" s="9" t="s">
        <v>2946</v>
      </c>
      <c r="G16097" s="10" t="s">
        <v>75</v>
      </c>
      <c r="H16097" s="9" t="s">
        <v>22</v>
      </c>
      <c r="I16097" s="9" t="s">
        <v>32509</v>
      </c>
      <c r="J16097" s="10" t="str">
        <f>HYPERLINK("https://www.boe.es/gazeta/dias/1834/05/29/pdfs/GMD-1834-98.pdf#page=4","Abrir facsímil")</f>
        <v>Abrir facsímil</v>
      </c>
      <c r="K16097" s="10" t="s">
        <v>24</v>
      </c>
    </row>
    <row r="16098" spans="1:11" ht="54" customHeight="1">
      <c r="A16098" s="9" t="s">
        <v>32510</v>
      </c>
      <c r="B16098" s="9" t="s">
        <v>32511</v>
      </c>
      <c r="C16098" s="9" t="s">
        <v>90</v>
      </c>
      <c r="D16098" s="9" t="s">
        <v>40</v>
      </c>
      <c r="E16098" s="10" t="s">
        <v>163</v>
      </c>
      <c r="F16098" s="9" t="s">
        <v>4896</v>
      </c>
      <c r="G16098" s="10" t="s">
        <v>34</v>
      </c>
      <c r="H16098" s="9" t="s">
        <v>22</v>
      </c>
      <c r="I16098" s="9" t="s">
        <v>32512</v>
      </c>
      <c r="J16098" s="10" t="str">
        <f>HYPERLINK("https://www.boe.es/gazeta/dias/1834/08/09/pdfs/GMD-C-1834-174.pdf#page=1","Abrir facsímil")</f>
        <v>Abrir facsímil</v>
      </c>
      <c r="K16098" s="10" t="s">
        <v>24</v>
      </c>
    </row>
    <row r="16099" spans="1:11" ht="54" customHeight="1">
      <c r="A16099" s="9" t="s">
        <v>32510</v>
      </c>
      <c r="B16099" s="9" t="s">
        <v>32511</v>
      </c>
      <c r="C16099" s="9" t="s">
        <v>17</v>
      </c>
      <c r="D16099" s="9" t="s">
        <v>18</v>
      </c>
      <c r="E16099" s="10" t="s">
        <v>1186</v>
      </c>
      <c r="F16099" s="9" t="s">
        <v>4286</v>
      </c>
      <c r="G16099" s="10" t="s">
        <v>86</v>
      </c>
      <c r="H16099" s="9" t="s">
        <v>22</v>
      </c>
      <c r="I16099" s="9" t="s">
        <v>32513</v>
      </c>
      <c r="J16099" s="10" t="str">
        <f>HYPERLINK("https://www.boe.es/gazeta/dias/1834/08/14/pdfs/GMD-C-1834-179.pdf#page=2","Abrir facsímil")</f>
        <v>Abrir facsímil</v>
      </c>
      <c r="K16099" s="10" t="s">
        <v>24</v>
      </c>
    </row>
    <row r="16100" spans="1:11" ht="54" customHeight="1">
      <c r="A16100" s="9" t="s">
        <v>32510</v>
      </c>
      <c r="B16100" s="9" t="s">
        <v>32511</v>
      </c>
      <c r="C16100" s="9" t="s">
        <v>46</v>
      </c>
      <c r="D16100" s="9" t="s">
        <v>101</v>
      </c>
      <c r="E16100" s="10" t="s">
        <v>672</v>
      </c>
      <c r="F16100" s="9" t="s">
        <v>1055</v>
      </c>
      <c r="G16100" s="10" t="s">
        <v>28</v>
      </c>
      <c r="H16100" s="9" t="s">
        <v>22</v>
      </c>
      <c r="I16100" s="9" t="s">
        <v>32514</v>
      </c>
      <c r="J16100" s="10" t="str">
        <f>HYPERLINK("https://www.boe.es/gazeta/dias/1834/09/19/pdfs/GMD-C-1834-217.pdf#page=5","Abrir facsímil")</f>
        <v>Abrir facsímil</v>
      </c>
      <c r="K16100" s="10" t="s">
        <v>24</v>
      </c>
    </row>
    <row r="16101" spans="1:11" ht="54" customHeight="1">
      <c r="A16101" s="9" t="s">
        <v>32515</v>
      </c>
      <c r="B16101" s="9" t="s">
        <v>32516</v>
      </c>
      <c r="C16101" s="9" t="s">
        <v>17</v>
      </c>
      <c r="D16101" s="9" t="s">
        <v>18</v>
      </c>
      <c r="E16101" s="10" t="s">
        <v>672</v>
      </c>
      <c r="F16101" s="9" t="s">
        <v>1055</v>
      </c>
      <c r="G16101" s="10" t="s">
        <v>75</v>
      </c>
      <c r="H16101" s="9" t="s">
        <v>22</v>
      </c>
      <c r="I16101" s="9" t="s">
        <v>32517</v>
      </c>
      <c r="J16101" s="10" t="str">
        <f>HYPERLINK("https://www.boe.es/gazeta/dias/1834/09/19/pdfs/GMD-C-1834-217.pdf#page=4","Abrir facsímil")</f>
        <v>Abrir facsímil</v>
      </c>
      <c r="K16101" s="10" t="s">
        <v>24</v>
      </c>
    </row>
    <row r="16102" spans="1:11" ht="54" customHeight="1">
      <c r="A16102" s="9" t="s">
        <v>32518</v>
      </c>
      <c r="B16102" s="9" t="s">
        <v>32519</v>
      </c>
      <c r="C16102" s="9" t="s">
        <v>17</v>
      </c>
      <c r="D16102" s="9" t="s">
        <v>18</v>
      </c>
      <c r="E16102" s="10" t="s">
        <v>468</v>
      </c>
      <c r="F16102" s="9" t="s">
        <v>469</v>
      </c>
      <c r="G16102" s="10" t="s">
        <v>34</v>
      </c>
      <c r="H16102" s="9" t="s">
        <v>22</v>
      </c>
      <c r="I16102" s="9" t="s">
        <v>32520</v>
      </c>
      <c r="J16102" s="10" t="str">
        <f>HYPERLINK("https://www.boe.es/gazeta/dias/1834/12/28/pdfs/GMD-C-1834-318.pdf#page=1","Abrir facsímil")</f>
        <v>Abrir facsímil</v>
      </c>
      <c r="K16102" s="10" t="s">
        <v>24</v>
      </c>
    </row>
    <row r="16103" spans="1:11" ht="54" customHeight="1">
      <c r="A16103" s="9" t="s">
        <v>32521</v>
      </c>
      <c r="B16103" s="9" t="s">
        <v>32521</v>
      </c>
      <c r="C16103" s="9" t="s">
        <v>17</v>
      </c>
      <c r="D16103" s="9" t="s">
        <v>18</v>
      </c>
      <c r="E16103" s="10" t="s">
        <v>4105</v>
      </c>
      <c r="F16103" s="9" t="s">
        <v>4106</v>
      </c>
      <c r="G16103" s="10" t="s">
        <v>75</v>
      </c>
      <c r="H16103" s="9" t="s">
        <v>22</v>
      </c>
      <c r="I16103" s="9" t="s">
        <v>32522</v>
      </c>
      <c r="J16103" s="10" t="str">
        <f>HYPERLINK("https://www.boe.es/gazeta/dias/1834/09/02/pdfs/GMD-C-1834-200.pdf#page=4","Abrir facsímil")</f>
        <v>Abrir facsímil</v>
      </c>
      <c r="K16103" s="10" t="s">
        <v>24</v>
      </c>
    </row>
    <row r="16104" spans="1:11" ht="54" customHeight="1">
      <c r="A16104" s="9" t="s">
        <v>32523</v>
      </c>
      <c r="B16104" s="9" t="s">
        <v>32524</v>
      </c>
      <c r="C16104" s="9" t="s">
        <v>17</v>
      </c>
      <c r="D16104" s="9" t="s">
        <v>101</v>
      </c>
      <c r="E16104" s="10" t="s">
        <v>1677</v>
      </c>
      <c r="F16104" s="9" t="s">
        <v>1678</v>
      </c>
      <c r="G16104" s="10" t="s">
        <v>75</v>
      </c>
      <c r="H16104" s="9" t="s">
        <v>22</v>
      </c>
      <c r="I16104" s="9" t="s">
        <v>32525</v>
      </c>
      <c r="J16104" s="10" t="str">
        <f>HYPERLINK("https://www.boe.es/gazeta/dias/1834/07/26/pdfs/GMD-1834-159.pdf#page=4","Abrir facsímil")</f>
        <v>Abrir facsímil</v>
      </c>
      <c r="K16104" s="10" t="s">
        <v>24</v>
      </c>
    </row>
    <row r="16105" spans="1:11" ht="54" customHeight="1">
      <c r="A16105" s="9" t="s">
        <v>32526</v>
      </c>
      <c r="B16105" s="9" t="s">
        <v>32526</v>
      </c>
      <c r="C16105" s="9" t="s">
        <v>66</v>
      </c>
      <c r="D16105" s="9" t="s">
        <v>67</v>
      </c>
      <c r="E16105" s="10" t="s">
        <v>513</v>
      </c>
      <c r="F16105" s="9" t="s">
        <v>514</v>
      </c>
      <c r="G16105" s="10" t="s">
        <v>28</v>
      </c>
      <c r="H16105" s="9" t="s">
        <v>22</v>
      </c>
      <c r="I16105" s="9" t="s">
        <v>32527</v>
      </c>
      <c r="J16105" s="10" t="str">
        <f>HYPERLINK("https://www.boe.es/gazeta/dias/1834/04/27/pdfs/GMD-1834-66.pdf#page=5","Abrir facsímil")</f>
        <v>Abrir facsímil</v>
      </c>
      <c r="K16105" s="10" t="s">
        <v>24</v>
      </c>
    </row>
    <row r="16106" spans="1:11" ht="54" customHeight="1">
      <c r="A16106" s="9" t="s">
        <v>32528</v>
      </c>
      <c r="B16106" s="9" t="s">
        <v>32529</v>
      </c>
      <c r="C16106" s="9" t="s">
        <v>17</v>
      </c>
      <c r="D16106" s="9" t="s">
        <v>18</v>
      </c>
      <c r="E16106" s="10" t="s">
        <v>1084</v>
      </c>
      <c r="F16106" s="9" t="s">
        <v>1085</v>
      </c>
      <c r="G16106" s="10" t="s">
        <v>176</v>
      </c>
      <c r="H16106" s="9" t="s">
        <v>22</v>
      </c>
      <c r="I16106" s="9" t="s">
        <v>32530</v>
      </c>
      <c r="J16106" s="10" t="str">
        <f>HYPERLINK("https://www.boe.es/gazeta/dias/1834/05/01/pdfs/GMD-1834-70.pdf#page=6","Abrir facsímil")</f>
        <v>Abrir facsímil</v>
      </c>
      <c r="K16106" s="10" t="s">
        <v>24</v>
      </c>
    </row>
    <row r="16107" spans="1:11" ht="54" customHeight="1">
      <c r="A16107" s="9" t="s">
        <v>32531</v>
      </c>
      <c r="B16107" s="9" t="s">
        <v>32531</v>
      </c>
      <c r="C16107" s="9" t="s">
        <v>66</v>
      </c>
      <c r="D16107" s="9" t="s">
        <v>67</v>
      </c>
      <c r="E16107" s="10" t="s">
        <v>8279</v>
      </c>
      <c r="F16107" s="9" t="s">
        <v>8280</v>
      </c>
      <c r="G16107" s="10" t="s">
        <v>75</v>
      </c>
      <c r="H16107" s="9" t="s">
        <v>22</v>
      </c>
      <c r="I16107" s="9" t="s">
        <v>32532</v>
      </c>
      <c r="J16107" s="10" t="str">
        <f>HYPERLINK("https://www.boe.es/gazeta/dias/1834/04/22/pdfs/GMD-1834-61.pdf#page=4","Abrir facsímil")</f>
        <v>Abrir facsímil</v>
      </c>
      <c r="K16107" s="10" t="s">
        <v>24</v>
      </c>
    </row>
    <row r="16108" spans="1:11" ht="54" customHeight="1">
      <c r="A16108" s="9" t="s">
        <v>32533</v>
      </c>
      <c r="B16108" s="9" t="s">
        <v>32534</v>
      </c>
      <c r="C16108" s="9" t="s">
        <v>90</v>
      </c>
      <c r="D16108" s="9" t="s">
        <v>18</v>
      </c>
      <c r="E16108" s="10" t="s">
        <v>2124</v>
      </c>
      <c r="F16108" s="9" t="s">
        <v>2125</v>
      </c>
      <c r="G16108" s="10" t="s">
        <v>75</v>
      </c>
      <c r="H16108" s="9" t="s">
        <v>22</v>
      </c>
      <c r="I16108" s="9" t="s">
        <v>32535</v>
      </c>
      <c r="J16108" s="10" t="str">
        <f>HYPERLINK("https://www.boe.es/gazeta/dias/1834/06/09/pdfs/GMD-1834-112.pdf#page=4","Abrir facsímil")</f>
        <v>Abrir facsímil</v>
      </c>
      <c r="K16108" s="10" t="s">
        <v>24</v>
      </c>
    </row>
    <row r="16109" spans="1:11" ht="54" customHeight="1">
      <c r="A16109" s="9" t="s">
        <v>32536</v>
      </c>
      <c r="B16109" s="9" t="s">
        <v>32536</v>
      </c>
      <c r="C16109" s="9" t="s">
        <v>17</v>
      </c>
      <c r="D16109" s="9" t="s">
        <v>18</v>
      </c>
      <c r="E16109" s="10" t="s">
        <v>1955</v>
      </c>
      <c r="F16109" s="9" t="s">
        <v>1956</v>
      </c>
      <c r="G16109" s="10" t="s">
        <v>75</v>
      </c>
      <c r="H16109" s="9" t="s">
        <v>22</v>
      </c>
      <c r="I16109" s="9" t="s">
        <v>32537</v>
      </c>
      <c r="J16109" s="10" t="str">
        <f>HYPERLINK("https://www.boe.es/gazeta/dias/1834/05/04/pdfs/GMD-1834-73.pdf#page=4","Abrir facsímil")</f>
        <v>Abrir facsímil</v>
      </c>
      <c r="K16109" s="10" t="s">
        <v>24</v>
      </c>
    </row>
    <row r="16110" spans="1:11" ht="54" customHeight="1">
      <c r="A16110" s="9" t="s">
        <v>32536</v>
      </c>
      <c r="B16110" s="9" t="s">
        <v>32536</v>
      </c>
      <c r="C16110" s="9" t="s">
        <v>17</v>
      </c>
      <c r="D16110" s="9" t="s">
        <v>18</v>
      </c>
      <c r="E16110" s="10" t="s">
        <v>563</v>
      </c>
      <c r="F16110" s="9" t="s">
        <v>5858</v>
      </c>
      <c r="G16110" s="10" t="s">
        <v>34</v>
      </c>
      <c r="H16110" s="9" t="s">
        <v>22</v>
      </c>
      <c r="I16110" s="9" t="s">
        <v>32538</v>
      </c>
      <c r="J16110" s="10" t="str">
        <f>HYPERLINK("https://www.boe.es/gazeta/dias/1834/04/19/pdfs/GMD-C-1834-58.pdf#page=1","Abrir facsímil")</f>
        <v>Abrir facsímil</v>
      </c>
      <c r="K16110" s="10" t="s">
        <v>24</v>
      </c>
    </row>
    <row r="16111" spans="1:11" ht="54" customHeight="1">
      <c r="A16111" s="9" t="s">
        <v>32536</v>
      </c>
      <c r="B16111" s="9" t="s">
        <v>32536</v>
      </c>
      <c r="C16111" s="9" t="s">
        <v>66</v>
      </c>
      <c r="D16111" s="9" t="s">
        <v>67</v>
      </c>
      <c r="E16111" s="10" t="s">
        <v>513</v>
      </c>
      <c r="F16111" s="9" t="s">
        <v>514</v>
      </c>
      <c r="G16111" s="10" t="s">
        <v>28</v>
      </c>
      <c r="H16111" s="9" t="s">
        <v>22</v>
      </c>
      <c r="I16111" s="9" t="s">
        <v>32539</v>
      </c>
      <c r="J16111" s="10" t="str">
        <f>HYPERLINK("https://www.boe.es/gazeta/dias/1834/04/27/pdfs/GMD-1834-66.pdf#page=5","Abrir facsímil")</f>
        <v>Abrir facsímil</v>
      </c>
      <c r="K16111" s="10" t="s">
        <v>24</v>
      </c>
    </row>
    <row r="16112" spans="1:11" ht="54" customHeight="1">
      <c r="A16112" s="9" t="s">
        <v>32536</v>
      </c>
      <c r="B16112" s="9" t="s">
        <v>32536</v>
      </c>
      <c r="C16112" s="9" t="s">
        <v>66</v>
      </c>
      <c r="D16112" s="9" t="s">
        <v>67</v>
      </c>
      <c r="E16112" s="10" t="s">
        <v>408</v>
      </c>
      <c r="F16112" s="9" t="s">
        <v>409</v>
      </c>
      <c r="G16112" s="10" t="s">
        <v>75</v>
      </c>
      <c r="H16112" s="9" t="s">
        <v>22</v>
      </c>
      <c r="I16112" s="9" t="s">
        <v>32540</v>
      </c>
      <c r="J16112" s="10" t="str">
        <f>HYPERLINK("https://www.boe.es/gazeta/dias/1834/04/28/pdfs/GMD-1834-67.pdf#page=4","Abrir facsímil")</f>
        <v>Abrir facsímil</v>
      </c>
      <c r="K16112" s="10" t="s">
        <v>24</v>
      </c>
    </row>
    <row r="16113" spans="1:11" ht="54" customHeight="1">
      <c r="A16113" s="9" t="s">
        <v>32541</v>
      </c>
      <c r="B16113" s="9" t="s">
        <v>32542</v>
      </c>
      <c r="C16113" s="9" t="s">
        <v>66</v>
      </c>
      <c r="D16113" s="9" t="s">
        <v>67</v>
      </c>
      <c r="E16113" s="10" t="s">
        <v>563</v>
      </c>
      <c r="F16113" s="9" t="s">
        <v>5858</v>
      </c>
      <c r="G16113" s="10" t="s">
        <v>86</v>
      </c>
      <c r="H16113" s="9" t="s">
        <v>35</v>
      </c>
      <c r="I16113" s="9" t="s">
        <v>32543</v>
      </c>
      <c r="J16113" s="10" t="str">
        <f>HYPERLINK("https://www.boe.es/gazeta/dias/1834/04/19/pdfs/GMD-C-1834-58.pdf#page=2","Abrir facsímil")</f>
        <v>Abrir facsímil</v>
      </c>
      <c r="K16113" s="10" t="s">
        <v>37</v>
      </c>
    </row>
    <row r="16114" spans="1:11" ht="54" customHeight="1">
      <c r="A16114" s="9" t="s">
        <v>32544</v>
      </c>
      <c r="B16114" s="9" t="s">
        <v>32545</v>
      </c>
      <c r="C16114" s="9" t="s">
        <v>17</v>
      </c>
      <c r="D16114" s="9" t="s">
        <v>18</v>
      </c>
      <c r="E16114" s="10" t="s">
        <v>32</v>
      </c>
      <c r="F16114" s="9" t="s">
        <v>7431</v>
      </c>
      <c r="G16114" s="10" t="s">
        <v>34</v>
      </c>
      <c r="H16114" s="9" t="s">
        <v>35</v>
      </c>
      <c r="I16114" s="9" t="s">
        <v>32546</v>
      </c>
      <c r="J16114" s="10" t="str">
        <f>HYPERLINK("https://www.boe.es/gazeta/dias/1834/04/23/pdfs/GMD-C-1834-62.pdf#page=1","Abrir facsímil")</f>
        <v>Abrir facsímil</v>
      </c>
      <c r="K16114" s="10" t="s">
        <v>37</v>
      </c>
    </row>
    <row r="16115" spans="1:11" ht="54" customHeight="1">
      <c r="A16115" s="9" t="s">
        <v>32541</v>
      </c>
      <c r="B16115" s="9" t="s">
        <v>32542</v>
      </c>
      <c r="C16115" s="9" t="s">
        <v>17</v>
      </c>
      <c r="D16115" s="9" t="s">
        <v>18</v>
      </c>
      <c r="E16115" s="10" t="s">
        <v>777</v>
      </c>
      <c r="F16115" s="9" t="s">
        <v>778</v>
      </c>
      <c r="G16115" s="10" t="s">
        <v>75</v>
      </c>
      <c r="H16115" s="9" t="s">
        <v>35</v>
      </c>
      <c r="I16115" s="9" t="s">
        <v>32547</v>
      </c>
      <c r="J16115" s="10" t="str">
        <f>HYPERLINK("https://www.boe.es/gazeta/dias/1834/10/29/pdfs/GMD-1834-257.pdf#page=4","Abrir facsímil")</f>
        <v>Abrir facsímil</v>
      </c>
      <c r="K16115" s="10" t="s">
        <v>37</v>
      </c>
    </row>
    <row r="16116" spans="1:11" ht="54" customHeight="1">
      <c r="A16116" s="9" t="s">
        <v>32548</v>
      </c>
      <c r="B16116" s="9" t="s">
        <v>32549</v>
      </c>
      <c r="C16116" s="9" t="s">
        <v>17</v>
      </c>
      <c r="D16116" s="9" t="s">
        <v>18</v>
      </c>
      <c r="E16116" s="10" t="s">
        <v>448</v>
      </c>
      <c r="F16116" s="9" t="s">
        <v>2058</v>
      </c>
      <c r="G16116" s="10" t="s">
        <v>75</v>
      </c>
      <c r="H16116" s="9" t="s">
        <v>22</v>
      </c>
      <c r="I16116" s="9" t="s">
        <v>32550</v>
      </c>
      <c r="J16116" s="10" t="str">
        <f>HYPERLINK("https://www.boe.es/gazeta/dias/1834/10/14/pdfs/GMD-1834-242.pdf#page=4","Abrir facsímil")</f>
        <v>Abrir facsímil</v>
      </c>
      <c r="K16116" s="10" t="s">
        <v>24</v>
      </c>
    </row>
    <row r="16117" spans="1:11" ht="54" customHeight="1">
      <c r="A16117" s="9" t="s">
        <v>32548</v>
      </c>
      <c r="B16117" s="9" t="s">
        <v>32549</v>
      </c>
      <c r="C16117" s="9" t="s">
        <v>66</v>
      </c>
      <c r="D16117" s="9" t="s">
        <v>67</v>
      </c>
      <c r="E16117" s="10" t="s">
        <v>563</v>
      </c>
      <c r="F16117" s="9" t="s">
        <v>5858</v>
      </c>
      <c r="G16117" s="10" t="s">
        <v>86</v>
      </c>
      <c r="H16117" s="9" t="s">
        <v>22</v>
      </c>
      <c r="I16117" s="9" t="s">
        <v>32551</v>
      </c>
      <c r="J16117" s="10" t="str">
        <f>HYPERLINK("https://www.boe.es/gazeta/dias/1834/04/19/pdfs/GMD-C-1834-58.pdf#page=2","Abrir facsímil")</f>
        <v>Abrir facsímil</v>
      </c>
      <c r="K16117" s="10" t="s">
        <v>24</v>
      </c>
    </row>
    <row r="16118" spans="1:11" ht="54" customHeight="1">
      <c r="A16118" s="9" t="s">
        <v>32552</v>
      </c>
      <c r="B16118" s="9" t="s">
        <v>32553</v>
      </c>
      <c r="C16118" s="9" t="s">
        <v>17</v>
      </c>
      <c r="D16118" s="9" t="s">
        <v>18</v>
      </c>
      <c r="E16118" s="10" t="s">
        <v>32</v>
      </c>
      <c r="F16118" s="9" t="s">
        <v>7431</v>
      </c>
      <c r="G16118" s="10" t="s">
        <v>34</v>
      </c>
      <c r="H16118" s="9" t="s">
        <v>22</v>
      </c>
      <c r="I16118" s="9" t="s">
        <v>32554</v>
      </c>
      <c r="J16118" s="10" t="str">
        <f>HYPERLINK("https://www.boe.es/gazeta/dias/1834/04/23/pdfs/GMD-C-1834-62.pdf#page=1","Abrir facsímil")</f>
        <v>Abrir facsímil</v>
      </c>
      <c r="K16118" s="10" t="s">
        <v>24</v>
      </c>
    </row>
    <row r="16119" spans="1:11" ht="54" customHeight="1">
      <c r="A16119" s="9" t="s">
        <v>32548</v>
      </c>
      <c r="B16119" s="9" t="s">
        <v>32549</v>
      </c>
      <c r="C16119" s="9" t="s">
        <v>17</v>
      </c>
      <c r="D16119" s="9" t="s">
        <v>18</v>
      </c>
      <c r="E16119" s="10" t="s">
        <v>777</v>
      </c>
      <c r="F16119" s="9" t="s">
        <v>778</v>
      </c>
      <c r="G16119" s="10" t="s">
        <v>75</v>
      </c>
      <c r="H16119" s="9" t="s">
        <v>22</v>
      </c>
      <c r="I16119" s="9" t="s">
        <v>32555</v>
      </c>
      <c r="J16119" s="10" t="str">
        <f>HYPERLINK("https://www.boe.es/gazeta/dias/1834/10/29/pdfs/GMD-1834-257.pdf#page=4","Abrir facsímil")</f>
        <v>Abrir facsímil</v>
      </c>
      <c r="K16119" s="10" t="s">
        <v>24</v>
      </c>
    </row>
    <row r="16120" spans="1:11" ht="54" customHeight="1">
      <c r="A16120" s="9" t="s">
        <v>32556</v>
      </c>
      <c r="B16120" s="9" t="s">
        <v>32557</v>
      </c>
      <c r="C16120" s="9" t="s">
        <v>66</v>
      </c>
      <c r="D16120" s="9" t="s">
        <v>67</v>
      </c>
      <c r="E16120" s="10" t="s">
        <v>1402</v>
      </c>
      <c r="F16120" s="9" t="s">
        <v>1403</v>
      </c>
      <c r="G16120" s="10" t="s">
        <v>75</v>
      </c>
      <c r="H16120" s="9" t="s">
        <v>35</v>
      </c>
      <c r="I16120" s="9" t="s">
        <v>32558</v>
      </c>
      <c r="J16120" s="10" t="str">
        <f>HYPERLINK("https://www.boe.es/gazeta/dias/1834/05/05/pdfs/GMD-1834-74.pdf#page=4","Abrir facsímil")</f>
        <v>Abrir facsímil</v>
      </c>
      <c r="K16120" s="10" t="s">
        <v>37</v>
      </c>
    </row>
    <row r="16121" spans="1:11" ht="54" customHeight="1">
      <c r="A16121" s="9" t="s">
        <v>32559</v>
      </c>
      <c r="B16121" s="9" t="s">
        <v>32560</v>
      </c>
      <c r="C16121" s="9" t="s">
        <v>17</v>
      </c>
      <c r="D16121" s="9" t="s">
        <v>55</v>
      </c>
      <c r="E16121" s="10" t="s">
        <v>919</v>
      </c>
      <c r="F16121" s="9" t="s">
        <v>920</v>
      </c>
      <c r="G16121" s="10" t="s">
        <v>86</v>
      </c>
      <c r="H16121" s="9" t="s">
        <v>22</v>
      </c>
      <c r="I16121" s="9" t="s">
        <v>32561</v>
      </c>
      <c r="J16121" s="10" t="str">
        <f>HYPERLINK("https://www.boe.es/gazeta/dias/1834/06/24/pdfs/GMD-1834-127.pdf#page=2","Abrir facsímil")</f>
        <v>Abrir facsímil</v>
      </c>
      <c r="K16121" s="10" t="s">
        <v>24</v>
      </c>
    </row>
    <row r="16122" spans="1:11" ht="54" customHeight="1">
      <c r="A16122" s="9" t="s">
        <v>32562</v>
      </c>
      <c r="B16122" s="9" t="s">
        <v>32563</v>
      </c>
      <c r="C16122" s="9" t="s">
        <v>66</v>
      </c>
      <c r="D16122" s="9" t="s">
        <v>67</v>
      </c>
      <c r="E16122" s="10" t="s">
        <v>1402</v>
      </c>
      <c r="F16122" s="9" t="s">
        <v>1403</v>
      </c>
      <c r="G16122" s="10" t="s">
        <v>75</v>
      </c>
      <c r="H16122" s="9" t="s">
        <v>22</v>
      </c>
      <c r="I16122" s="9" t="s">
        <v>32564</v>
      </c>
      <c r="J16122" s="10" t="str">
        <f>HYPERLINK("https://www.boe.es/gazeta/dias/1834/05/05/pdfs/GMD-1834-74.pdf#page=4","Abrir facsímil")</f>
        <v>Abrir facsímil</v>
      </c>
      <c r="K16122" s="10" t="s">
        <v>24</v>
      </c>
    </row>
    <row r="16123" spans="1:11" ht="54" customHeight="1">
      <c r="A16123" s="9" t="s">
        <v>32565</v>
      </c>
      <c r="B16123" s="9" t="s">
        <v>32566</v>
      </c>
      <c r="C16123" s="9" t="s">
        <v>66</v>
      </c>
      <c r="D16123" s="9" t="s">
        <v>67</v>
      </c>
      <c r="E16123" s="10" t="s">
        <v>3025</v>
      </c>
      <c r="F16123" s="9" t="s">
        <v>3026</v>
      </c>
      <c r="G16123" s="10" t="s">
        <v>176</v>
      </c>
      <c r="H16123" s="9" t="s">
        <v>22</v>
      </c>
      <c r="I16123" s="9" t="s">
        <v>32567</v>
      </c>
      <c r="J16123" s="10" t="str">
        <f>HYPERLINK("https://www.boe.es/gazeta/dias/1834/05/25/pdfs/GMD-1834-94.pdf#page=6","Abrir facsímil")</f>
        <v>Abrir facsímil</v>
      </c>
      <c r="K16123" s="10" t="s">
        <v>24</v>
      </c>
    </row>
    <row r="16124" spans="1:11" ht="54" customHeight="1">
      <c r="A16124" s="9" t="s">
        <v>32568</v>
      </c>
      <c r="B16124" s="9" t="s">
        <v>32568</v>
      </c>
      <c r="C16124" s="9" t="s">
        <v>122</v>
      </c>
      <c r="D16124" s="9" t="s">
        <v>18</v>
      </c>
      <c r="E16124" s="10" t="s">
        <v>3025</v>
      </c>
      <c r="F16124" s="9" t="s">
        <v>3026</v>
      </c>
      <c r="G16124" s="10" t="s">
        <v>176</v>
      </c>
      <c r="H16124" s="9" t="s">
        <v>22</v>
      </c>
      <c r="I16124" s="9" t="s">
        <v>32569</v>
      </c>
      <c r="J16124" s="10" t="str">
        <f>HYPERLINK("https://www.boe.es/gazeta/dias/1834/05/25/pdfs/GMD-1834-94.pdf#page=6","Abrir facsímil")</f>
        <v>Abrir facsímil</v>
      </c>
      <c r="K16124" s="10" t="s">
        <v>24</v>
      </c>
    </row>
    <row r="16125" spans="1:11" ht="54" customHeight="1">
      <c r="A16125" s="9" t="s">
        <v>32570</v>
      </c>
      <c r="B16125" s="9" t="s">
        <v>32571</v>
      </c>
      <c r="C16125" s="9" t="s">
        <v>46</v>
      </c>
      <c r="D16125" s="9" t="s">
        <v>18</v>
      </c>
      <c r="E16125" s="10" t="s">
        <v>3025</v>
      </c>
      <c r="F16125" s="9" t="s">
        <v>3026</v>
      </c>
      <c r="G16125" s="10" t="s">
        <v>176</v>
      </c>
      <c r="H16125" s="9" t="s">
        <v>22</v>
      </c>
      <c r="I16125" s="9" t="s">
        <v>32572</v>
      </c>
      <c r="J16125" s="10" t="str">
        <f>HYPERLINK("https://www.boe.es/gazeta/dias/1834/05/25/pdfs/GMD-1834-94.pdf#page=6","Abrir facsímil")</f>
        <v>Abrir facsímil</v>
      </c>
      <c r="K16125" s="10" t="s">
        <v>24</v>
      </c>
    </row>
    <row r="16126" spans="1:11" ht="54" customHeight="1">
      <c r="A16126" s="9" t="s">
        <v>32573</v>
      </c>
      <c r="B16126" s="9" t="s">
        <v>32573</v>
      </c>
      <c r="C16126" s="9" t="s">
        <v>17</v>
      </c>
      <c r="D16126" s="9" t="s">
        <v>55</v>
      </c>
      <c r="E16126" s="10" t="s">
        <v>627</v>
      </c>
      <c r="F16126" s="9" t="s">
        <v>628</v>
      </c>
      <c r="G16126" s="10" t="s">
        <v>21</v>
      </c>
      <c r="H16126" s="9" t="s">
        <v>22</v>
      </c>
      <c r="I16126" s="9" t="s">
        <v>32574</v>
      </c>
      <c r="J16126" s="10" t="str">
        <f>HYPERLINK("https://www.boe.es/gazeta/dias/1834/09/22/pdfs/GMD-C-1834-220.pdf#page=3","Abrir facsímil")</f>
        <v>Abrir facsímil</v>
      </c>
      <c r="K16126" s="10" t="s">
        <v>24</v>
      </c>
    </row>
    <row r="16127" spans="1:11" ht="54" customHeight="1">
      <c r="A16127" s="9" t="s">
        <v>32575</v>
      </c>
      <c r="B16127" s="9" t="s">
        <v>32575</v>
      </c>
      <c r="C16127" s="9" t="s">
        <v>17</v>
      </c>
      <c r="D16127" s="9" t="s">
        <v>18</v>
      </c>
      <c r="E16127" s="10" t="s">
        <v>1677</v>
      </c>
      <c r="F16127" s="9" t="s">
        <v>2515</v>
      </c>
      <c r="G16127" s="10" t="s">
        <v>34</v>
      </c>
      <c r="H16127" s="9" t="s">
        <v>22</v>
      </c>
      <c r="I16127" s="9" t="s">
        <v>32576</v>
      </c>
      <c r="J16127" s="10" t="str">
        <f>HYPERLINK("https://www.boe.es/gazeta/dias/1834/07/26/pdfs/GMD-C-1834-159.pdf#page=1","Abrir facsímil")</f>
        <v>Abrir facsímil</v>
      </c>
      <c r="K16127" s="10" t="s">
        <v>24</v>
      </c>
    </row>
    <row r="16128" spans="1:11" ht="54" customHeight="1">
      <c r="A16128" s="9" t="s">
        <v>32577</v>
      </c>
      <c r="B16128" s="9" t="s">
        <v>32578</v>
      </c>
      <c r="C16128" s="9" t="s">
        <v>122</v>
      </c>
      <c r="D16128" s="9" t="s">
        <v>101</v>
      </c>
      <c r="E16128" s="10" t="s">
        <v>1239</v>
      </c>
      <c r="F16128" s="9" t="s">
        <v>1240</v>
      </c>
      <c r="G16128" s="10" t="s">
        <v>21</v>
      </c>
      <c r="H16128" s="9" t="s">
        <v>35</v>
      </c>
      <c r="I16128" s="9" t="s">
        <v>32579</v>
      </c>
      <c r="J16128" s="10" t="str">
        <f>HYPERLINK("https://www.boe.es/gazeta/dias/1834/08/20/pdfs/GMD-1834-186.pdf#page=3","Abrir facsímil")</f>
        <v>Abrir facsímil</v>
      </c>
      <c r="K16128" s="10" t="s">
        <v>37</v>
      </c>
    </row>
    <row r="16129" spans="1:11" ht="54" customHeight="1">
      <c r="A16129" s="9" t="s">
        <v>32580</v>
      </c>
      <c r="B16129" s="9" t="s">
        <v>32581</v>
      </c>
      <c r="C16129" s="9" t="s">
        <v>122</v>
      </c>
      <c r="D16129" s="9" t="s">
        <v>101</v>
      </c>
      <c r="E16129" s="10" t="s">
        <v>1239</v>
      </c>
      <c r="F16129" s="9" t="s">
        <v>1240</v>
      </c>
      <c r="G16129" s="10" t="s">
        <v>21</v>
      </c>
      <c r="H16129" s="9" t="s">
        <v>22</v>
      </c>
      <c r="I16129" s="9" t="s">
        <v>32582</v>
      </c>
      <c r="J16129" s="10" t="str">
        <f>HYPERLINK("https://www.boe.es/gazeta/dias/1834/08/20/pdfs/GMD-1834-186.pdf#page=3","Abrir facsímil")</f>
        <v>Abrir facsímil</v>
      </c>
      <c r="K16129" s="10" t="s">
        <v>24</v>
      </c>
    </row>
    <row r="16130" spans="1:11" ht="54" customHeight="1">
      <c r="A16130" s="9" t="s">
        <v>32583</v>
      </c>
      <c r="B16130" s="9" t="s">
        <v>32583</v>
      </c>
      <c r="C16130" s="9" t="s">
        <v>17</v>
      </c>
      <c r="D16130" s="9" t="s">
        <v>18</v>
      </c>
      <c r="E16130" s="10" t="s">
        <v>1351</v>
      </c>
      <c r="F16130" s="9" t="s">
        <v>1352</v>
      </c>
      <c r="G16130" s="10" t="s">
        <v>28</v>
      </c>
      <c r="H16130" s="9" t="s">
        <v>22</v>
      </c>
      <c r="I16130" s="9" t="s">
        <v>32584</v>
      </c>
      <c r="J16130" s="10" t="str">
        <f>HYPERLINK("https://www.boe.es/gazeta/dias/1834/07/05/pdfs/GMD-1834-138.pdf#page=5","Abrir facsímil")</f>
        <v>Abrir facsímil</v>
      </c>
      <c r="K16130" s="10" t="s">
        <v>24</v>
      </c>
    </row>
    <row r="16131" spans="1:11" ht="54" customHeight="1">
      <c r="A16131" s="9" t="s">
        <v>32583</v>
      </c>
      <c r="B16131" s="9" t="s">
        <v>32583</v>
      </c>
      <c r="C16131" s="9" t="s">
        <v>17</v>
      </c>
      <c r="D16131" s="9" t="s">
        <v>40</v>
      </c>
      <c r="E16131" s="10" t="s">
        <v>2087</v>
      </c>
      <c r="F16131" s="9" t="s">
        <v>2267</v>
      </c>
      <c r="G16131" s="10" t="s">
        <v>75</v>
      </c>
      <c r="H16131" s="9" t="s">
        <v>22</v>
      </c>
      <c r="I16131" s="9" t="s">
        <v>32585</v>
      </c>
      <c r="J16131" s="10" t="str">
        <f>HYPERLINK("https://www.boe.es/gazeta/dias/1834/12/14/pdfs/GMD-C-1834-303.pdf#page=4","Abrir facsímil")</f>
        <v>Abrir facsímil</v>
      </c>
      <c r="K16131" s="10" t="s">
        <v>24</v>
      </c>
    </row>
    <row r="16132" spans="1:11" ht="54" customHeight="1">
      <c r="A16132" s="9" t="s">
        <v>32583</v>
      </c>
      <c r="B16132" s="9" t="s">
        <v>32583</v>
      </c>
      <c r="C16132" s="9" t="s">
        <v>46</v>
      </c>
      <c r="D16132" s="9" t="s">
        <v>18</v>
      </c>
      <c r="E16132" s="10" t="s">
        <v>928</v>
      </c>
      <c r="F16132" s="9" t="s">
        <v>929</v>
      </c>
      <c r="G16132" s="10" t="s">
        <v>21</v>
      </c>
      <c r="H16132" s="9" t="s">
        <v>22</v>
      </c>
      <c r="I16132" s="9" t="s">
        <v>32586</v>
      </c>
      <c r="J16132" s="10" t="str">
        <f>HYPERLINK("https://www.boe.es/gazeta/dias/1834/11/15/pdfs/GMD-C-1834-274.pdf#page=3","Abrir facsímil")</f>
        <v>Abrir facsímil</v>
      </c>
      <c r="K16132" s="10" t="s">
        <v>24</v>
      </c>
    </row>
    <row r="16133" spans="1:11" ht="54" customHeight="1">
      <c r="A16133" s="9" t="s">
        <v>32583</v>
      </c>
      <c r="B16133" s="9" t="s">
        <v>32583</v>
      </c>
      <c r="C16133" s="9" t="s">
        <v>66</v>
      </c>
      <c r="D16133" s="9" t="s">
        <v>67</v>
      </c>
      <c r="E16133" s="10" t="s">
        <v>2937</v>
      </c>
      <c r="F16133" s="9" t="s">
        <v>2938</v>
      </c>
      <c r="G16133" s="10" t="s">
        <v>75</v>
      </c>
      <c r="H16133" s="9" t="s">
        <v>22</v>
      </c>
      <c r="I16133" s="9" t="s">
        <v>32587</v>
      </c>
      <c r="J16133" s="10" t="str">
        <f>HYPERLINK("https://www.boe.es/gazeta/dias/1834/06/25/pdfs/GMD-1834-128.pdf#page=4","Abrir facsímil")</f>
        <v>Abrir facsímil</v>
      </c>
      <c r="K16133" s="10" t="s">
        <v>24</v>
      </c>
    </row>
    <row r="16134" spans="1:11" ht="54" customHeight="1">
      <c r="A16134" s="9" t="s">
        <v>32583</v>
      </c>
      <c r="B16134" s="9" t="s">
        <v>32583</v>
      </c>
      <c r="C16134" s="9" t="s">
        <v>17</v>
      </c>
      <c r="D16134" s="9" t="s">
        <v>18</v>
      </c>
      <c r="E16134" s="10" t="s">
        <v>280</v>
      </c>
      <c r="F16134" s="9" t="s">
        <v>281</v>
      </c>
      <c r="G16134" s="10" t="s">
        <v>21</v>
      </c>
      <c r="H16134" s="9" t="s">
        <v>22</v>
      </c>
      <c r="I16134" s="9" t="s">
        <v>32588</v>
      </c>
      <c r="J16134" s="10" t="str">
        <f>HYPERLINK("https://www.boe.es/gazeta/dias/1834/08/29/pdfs/GMD-C-1834-195.pdf#page=3","Abrir facsímil")</f>
        <v>Abrir facsímil</v>
      </c>
      <c r="K16134" s="10" t="s">
        <v>24</v>
      </c>
    </row>
    <row r="16135" spans="1:11" ht="54" customHeight="1">
      <c r="A16135" s="9" t="s">
        <v>32589</v>
      </c>
      <c r="B16135" s="9" t="s">
        <v>32590</v>
      </c>
      <c r="C16135" s="9" t="s">
        <v>122</v>
      </c>
      <c r="D16135" s="9" t="s">
        <v>18</v>
      </c>
      <c r="E16135" s="10" t="s">
        <v>1351</v>
      </c>
      <c r="F16135" s="9" t="s">
        <v>1352</v>
      </c>
      <c r="G16135" s="10" t="s">
        <v>75</v>
      </c>
      <c r="H16135" s="9" t="s">
        <v>35</v>
      </c>
      <c r="I16135" s="9" t="s">
        <v>32591</v>
      </c>
      <c r="J16135" s="10" t="str">
        <f>HYPERLINK("https://www.boe.es/gazeta/dias/1834/07/05/pdfs/GMD-1834-138.pdf#page=4","Abrir facsímil")</f>
        <v>Abrir facsímil</v>
      </c>
      <c r="K16135" s="10" t="s">
        <v>37</v>
      </c>
    </row>
    <row r="16136" spans="1:11" ht="54" customHeight="1">
      <c r="A16136" s="9" t="s">
        <v>32592</v>
      </c>
      <c r="B16136" s="9" t="s">
        <v>32593</v>
      </c>
      <c r="C16136" s="9" t="s">
        <v>122</v>
      </c>
      <c r="D16136" s="9" t="s">
        <v>18</v>
      </c>
      <c r="E16136" s="10" t="s">
        <v>1351</v>
      </c>
      <c r="F16136" s="9" t="s">
        <v>1352</v>
      </c>
      <c r="G16136" s="10" t="s">
        <v>75</v>
      </c>
      <c r="H16136" s="9" t="s">
        <v>22</v>
      </c>
      <c r="I16136" s="9" t="s">
        <v>32594</v>
      </c>
      <c r="J16136" s="10" t="str">
        <f>HYPERLINK("https://www.boe.es/gazeta/dias/1834/07/05/pdfs/GMD-1834-138.pdf#page=4","Abrir facsímil")</f>
        <v>Abrir facsímil</v>
      </c>
      <c r="K16136" s="10" t="s">
        <v>24</v>
      </c>
    </row>
    <row r="16137" spans="1:11" ht="54" customHeight="1">
      <c r="A16137" s="9" t="s">
        <v>32595</v>
      </c>
      <c r="B16137" s="9" t="s">
        <v>32596</v>
      </c>
      <c r="C16137" s="9" t="s">
        <v>122</v>
      </c>
      <c r="D16137" s="9" t="s">
        <v>18</v>
      </c>
      <c r="E16137" s="10" t="s">
        <v>2306</v>
      </c>
      <c r="F16137" s="9" t="s">
        <v>2307</v>
      </c>
      <c r="G16137" s="10" t="s">
        <v>34</v>
      </c>
      <c r="H16137" s="9" t="s">
        <v>22</v>
      </c>
      <c r="I16137" s="9" t="s">
        <v>32597</v>
      </c>
      <c r="J16137" s="10" t="str">
        <f>HYPERLINK("https://www.boe.es/gazeta/dias/1834/04/26/pdfs/GMD-1834-65.pdf#page=1","Abrir facsímil")</f>
        <v>Abrir facsímil</v>
      </c>
      <c r="K16137" s="10" t="s">
        <v>24</v>
      </c>
    </row>
    <row r="16138" spans="1:11" ht="54" customHeight="1">
      <c r="A16138" s="9" t="s">
        <v>32598</v>
      </c>
      <c r="B16138" s="9" t="s">
        <v>32599</v>
      </c>
      <c r="C16138" s="9" t="s">
        <v>122</v>
      </c>
      <c r="D16138" s="9" t="s">
        <v>18</v>
      </c>
      <c r="E16138" s="10" t="s">
        <v>3025</v>
      </c>
      <c r="F16138" s="9" t="s">
        <v>3026</v>
      </c>
      <c r="G16138" s="10" t="s">
        <v>28</v>
      </c>
      <c r="H16138" s="9" t="s">
        <v>22</v>
      </c>
      <c r="I16138" s="9" t="s">
        <v>32600</v>
      </c>
      <c r="J16138" s="10" t="str">
        <f>HYPERLINK("https://www.boe.es/gazeta/dias/1834/05/25/pdfs/GMD-1834-94.pdf#page=5","Abrir facsímil")</f>
        <v>Abrir facsímil</v>
      </c>
      <c r="K16138" s="10" t="s">
        <v>24</v>
      </c>
    </row>
    <row r="16139" spans="1:11" ht="54" customHeight="1">
      <c r="A16139" s="9" t="s">
        <v>32601</v>
      </c>
      <c r="B16139" s="9" t="s">
        <v>32601</v>
      </c>
      <c r="C16139" s="9" t="s">
        <v>17</v>
      </c>
      <c r="D16139" s="9" t="s">
        <v>18</v>
      </c>
      <c r="E16139" s="10" t="s">
        <v>158</v>
      </c>
      <c r="F16139" s="9" t="s">
        <v>581</v>
      </c>
      <c r="G16139" s="10" t="s">
        <v>28</v>
      </c>
      <c r="H16139" s="9" t="s">
        <v>22</v>
      </c>
      <c r="I16139" s="9" t="s">
        <v>32602</v>
      </c>
      <c r="J16139" s="10" t="str">
        <f>HYPERLINK("https://www.boe.es/gazeta/dias/1834/10/01/pdfs/GMD-C-1834-229.pdf#page=5","Abrir facsímil")</f>
        <v>Abrir facsímil</v>
      </c>
      <c r="K16139" s="10" t="s">
        <v>24</v>
      </c>
    </row>
    <row r="16140" spans="1:11" ht="54" customHeight="1">
      <c r="A16140" s="9" t="s">
        <v>32603</v>
      </c>
      <c r="B16140" s="9" t="s">
        <v>32603</v>
      </c>
      <c r="C16140" s="9" t="s">
        <v>17</v>
      </c>
      <c r="D16140" s="9" t="s">
        <v>18</v>
      </c>
      <c r="E16140" s="10" t="s">
        <v>158</v>
      </c>
      <c r="F16140" s="9" t="s">
        <v>581</v>
      </c>
      <c r="G16140" s="10" t="s">
        <v>28</v>
      </c>
      <c r="H16140" s="9" t="s">
        <v>22</v>
      </c>
      <c r="I16140" s="9" t="s">
        <v>32604</v>
      </c>
      <c r="J16140" s="10" t="str">
        <f>HYPERLINK("https://www.boe.es/gazeta/dias/1834/10/01/pdfs/GMD-C-1834-229.pdf#page=5","Abrir facsímil")</f>
        <v>Abrir facsímil</v>
      </c>
      <c r="K16140" s="10" t="s">
        <v>24</v>
      </c>
    </row>
    <row r="16141" spans="1:11" ht="54" customHeight="1">
      <c r="A16141" s="9" t="s">
        <v>32603</v>
      </c>
      <c r="B16141" s="9" t="s">
        <v>32603</v>
      </c>
      <c r="C16141" s="9" t="s">
        <v>17</v>
      </c>
      <c r="D16141" s="9" t="s">
        <v>18</v>
      </c>
      <c r="E16141" s="10" t="s">
        <v>158</v>
      </c>
      <c r="F16141" s="9" t="s">
        <v>581</v>
      </c>
      <c r="G16141" s="10" t="s">
        <v>176</v>
      </c>
      <c r="H16141" s="9" t="s">
        <v>22</v>
      </c>
      <c r="I16141" s="9" t="s">
        <v>32605</v>
      </c>
      <c r="J16141" s="10" t="str">
        <f>HYPERLINK("https://www.boe.es/gazeta/dias/1834/10/01/pdfs/GMD-C-1834-229.pdf#page=6","Abrir facsímil")</f>
        <v>Abrir facsímil</v>
      </c>
      <c r="K16141" s="10" t="s">
        <v>24</v>
      </c>
    </row>
    <row r="16142" spans="1:11" ht="54" customHeight="1">
      <c r="A16142" s="9" t="s">
        <v>32606</v>
      </c>
      <c r="B16142" s="9" t="s">
        <v>32606</v>
      </c>
      <c r="C16142" s="9" t="s">
        <v>46</v>
      </c>
      <c r="D16142" s="9" t="s">
        <v>101</v>
      </c>
      <c r="E16142" s="10" t="s">
        <v>4105</v>
      </c>
      <c r="F16142" s="9" t="s">
        <v>4106</v>
      </c>
      <c r="G16142" s="10" t="s">
        <v>75</v>
      </c>
      <c r="H16142" s="9" t="s">
        <v>22</v>
      </c>
      <c r="I16142" s="9" t="s">
        <v>32607</v>
      </c>
      <c r="J16142" s="10" t="str">
        <f>HYPERLINK("https://www.boe.es/gazeta/dias/1834/09/02/pdfs/GMD-C-1834-200.pdf#page=4","Abrir facsímil")</f>
        <v>Abrir facsímil</v>
      </c>
      <c r="K16142" s="10" t="s">
        <v>24</v>
      </c>
    </row>
    <row r="16143" spans="1:11" ht="54" customHeight="1">
      <c r="A16143" s="9" t="s">
        <v>32608</v>
      </c>
      <c r="B16143" s="9" t="s">
        <v>32608</v>
      </c>
      <c r="C16143" s="9" t="s">
        <v>17</v>
      </c>
      <c r="D16143" s="9" t="s">
        <v>18</v>
      </c>
      <c r="E16143" s="10" t="s">
        <v>416</v>
      </c>
      <c r="F16143" s="9" t="s">
        <v>417</v>
      </c>
      <c r="G16143" s="10" t="s">
        <v>21</v>
      </c>
      <c r="H16143" s="9" t="s">
        <v>22</v>
      </c>
      <c r="I16143" s="9" t="s">
        <v>32609</v>
      </c>
      <c r="J16143" s="10" t="str">
        <f>HYPERLINK("https://www.boe.es/gazeta/dias/1834/10/02/pdfs/GMD-C-1834-230.pdf#page=3","Abrir facsímil")</f>
        <v>Abrir facsímil</v>
      </c>
      <c r="K16143" s="10" t="s">
        <v>24</v>
      </c>
    </row>
    <row r="16144" spans="1:11" ht="54" customHeight="1">
      <c r="A16144" s="9" t="s">
        <v>32608</v>
      </c>
      <c r="B16144" s="9" t="s">
        <v>32608</v>
      </c>
      <c r="C16144" s="9" t="s">
        <v>17</v>
      </c>
      <c r="D16144" s="9" t="s">
        <v>18</v>
      </c>
      <c r="E16144" s="10" t="s">
        <v>690</v>
      </c>
      <c r="F16144" s="9" t="s">
        <v>691</v>
      </c>
      <c r="G16144" s="10" t="s">
        <v>86</v>
      </c>
      <c r="H16144" s="9" t="s">
        <v>22</v>
      </c>
      <c r="I16144" s="9" t="s">
        <v>32610</v>
      </c>
      <c r="J16144" s="10" t="str">
        <f>HYPERLINK("https://www.boe.es/gazeta/dias/1834/09/03/pdfs/GMD-C-1834-201.pdf#page=2","Abrir facsímil")</f>
        <v>Abrir facsímil</v>
      </c>
      <c r="K16144" s="10" t="s">
        <v>24</v>
      </c>
    </row>
    <row r="16145" spans="1:11" ht="54" customHeight="1">
      <c r="A16145" s="9" t="s">
        <v>32608</v>
      </c>
      <c r="B16145" s="9" t="s">
        <v>32608</v>
      </c>
      <c r="C16145" s="9" t="s">
        <v>46</v>
      </c>
      <c r="D16145" s="9" t="s">
        <v>18</v>
      </c>
      <c r="E16145" s="10" t="s">
        <v>690</v>
      </c>
      <c r="F16145" s="9" t="s">
        <v>691</v>
      </c>
      <c r="G16145" s="10" t="s">
        <v>75</v>
      </c>
      <c r="H16145" s="9" t="s">
        <v>22</v>
      </c>
      <c r="I16145" s="9" t="s">
        <v>32611</v>
      </c>
      <c r="J16145" s="10" t="str">
        <f>HYPERLINK("https://www.boe.es/gazeta/dias/1834/09/03/pdfs/GMD-C-1834-201.pdf#page=4","Abrir facsímil")</f>
        <v>Abrir facsímil</v>
      </c>
      <c r="K16145" s="10" t="s">
        <v>24</v>
      </c>
    </row>
    <row r="16146" spans="1:11" ht="54" customHeight="1">
      <c r="A16146" s="9" t="s">
        <v>32608</v>
      </c>
      <c r="B16146" s="9" t="s">
        <v>32608</v>
      </c>
      <c r="C16146" s="9" t="s">
        <v>46</v>
      </c>
      <c r="D16146" s="9" t="s">
        <v>18</v>
      </c>
      <c r="E16146" s="10" t="s">
        <v>690</v>
      </c>
      <c r="F16146" s="9" t="s">
        <v>691</v>
      </c>
      <c r="G16146" s="10" t="s">
        <v>28</v>
      </c>
      <c r="H16146" s="9" t="s">
        <v>22</v>
      </c>
      <c r="I16146" s="9" t="s">
        <v>32612</v>
      </c>
      <c r="J16146" s="10" t="str">
        <f>HYPERLINK("https://www.boe.es/gazeta/dias/1834/09/03/pdfs/GMD-C-1834-201.pdf#page=5","Abrir facsímil")</f>
        <v>Abrir facsímil</v>
      </c>
      <c r="K16146" s="10" t="s">
        <v>24</v>
      </c>
    </row>
    <row r="16147" spans="1:11" ht="54" customHeight="1">
      <c r="A16147" s="9" t="s">
        <v>32608</v>
      </c>
      <c r="B16147" s="9" t="s">
        <v>32608</v>
      </c>
      <c r="C16147" s="9" t="s">
        <v>17</v>
      </c>
      <c r="D16147" s="9" t="s">
        <v>18</v>
      </c>
      <c r="E16147" s="10" t="s">
        <v>690</v>
      </c>
      <c r="F16147" s="9" t="s">
        <v>691</v>
      </c>
      <c r="G16147" s="10" t="s">
        <v>176</v>
      </c>
      <c r="H16147" s="9" t="s">
        <v>22</v>
      </c>
      <c r="I16147" s="9" t="s">
        <v>32613</v>
      </c>
      <c r="J16147" s="10" t="str">
        <f>HYPERLINK("https://www.boe.es/gazeta/dias/1834/09/03/pdfs/GMD-C-1834-201.pdf#page=6","Abrir facsímil")</f>
        <v>Abrir facsímil</v>
      </c>
      <c r="K16147" s="10" t="s">
        <v>24</v>
      </c>
    </row>
    <row r="16148" spans="1:11" ht="54" customHeight="1">
      <c r="A16148" s="9" t="s">
        <v>32608</v>
      </c>
      <c r="B16148" s="9" t="s">
        <v>32608</v>
      </c>
      <c r="C16148" s="9" t="s">
        <v>17</v>
      </c>
      <c r="D16148" s="9" t="s">
        <v>18</v>
      </c>
      <c r="E16148" s="10" t="s">
        <v>243</v>
      </c>
      <c r="F16148" s="9" t="s">
        <v>244</v>
      </c>
      <c r="G16148" s="10" t="s">
        <v>86</v>
      </c>
      <c r="H16148" s="9" t="s">
        <v>22</v>
      </c>
      <c r="I16148" s="9" t="s">
        <v>32614</v>
      </c>
      <c r="J16148" s="10" t="str">
        <f>HYPERLINK("https://www.boe.es/gazeta/dias/1834/08/05/pdfs/GMD-C-1834-169.pdf#page=2","Abrir facsímil")</f>
        <v>Abrir facsímil</v>
      </c>
      <c r="K16148" s="10" t="s">
        <v>24</v>
      </c>
    </row>
    <row r="16149" spans="1:11" ht="54" customHeight="1">
      <c r="A16149" s="9" t="s">
        <v>32608</v>
      </c>
      <c r="B16149" s="9" t="s">
        <v>32608</v>
      </c>
      <c r="C16149" s="9" t="s">
        <v>17</v>
      </c>
      <c r="D16149" s="9" t="s">
        <v>18</v>
      </c>
      <c r="E16149" s="10" t="s">
        <v>167</v>
      </c>
      <c r="F16149" s="9" t="s">
        <v>1200</v>
      </c>
      <c r="G16149" s="10" t="s">
        <v>86</v>
      </c>
      <c r="H16149" s="9" t="s">
        <v>22</v>
      </c>
      <c r="I16149" s="9" t="s">
        <v>32615</v>
      </c>
      <c r="J16149" s="10" t="str">
        <f>HYPERLINK("https://www.boe.es/gazeta/dias/1834/09/07/pdfs/GMD-C-1834-205.pdf#page=2","Abrir facsímil")</f>
        <v>Abrir facsímil</v>
      </c>
      <c r="K16149" s="10" t="s">
        <v>24</v>
      </c>
    </row>
    <row r="16150" spans="1:11" ht="54" customHeight="1">
      <c r="A16150" s="9" t="s">
        <v>32608</v>
      </c>
      <c r="B16150" s="9" t="s">
        <v>32608</v>
      </c>
      <c r="C16150" s="9" t="s">
        <v>17</v>
      </c>
      <c r="D16150" s="9" t="s">
        <v>18</v>
      </c>
      <c r="E16150" s="10" t="s">
        <v>334</v>
      </c>
      <c r="F16150" s="9" t="s">
        <v>335</v>
      </c>
      <c r="G16150" s="10" t="s">
        <v>34</v>
      </c>
      <c r="H16150" s="9" t="s">
        <v>22</v>
      </c>
      <c r="I16150" s="9" t="s">
        <v>32616</v>
      </c>
      <c r="J16150" s="10" t="str">
        <f>HYPERLINK("https://www.boe.es/gazeta/dias/1834/09/11/pdfs/GMD-C-1834-209.pdf#page=1","Abrir facsímil")</f>
        <v>Abrir facsímil</v>
      </c>
      <c r="K16150" s="10" t="s">
        <v>24</v>
      </c>
    </row>
    <row r="16151" spans="1:11" ht="54" customHeight="1">
      <c r="A16151" s="9" t="s">
        <v>32608</v>
      </c>
      <c r="B16151" s="9" t="s">
        <v>32608</v>
      </c>
      <c r="C16151" s="9" t="s">
        <v>17</v>
      </c>
      <c r="D16151" s="9" t="s">
        <v>18</v>
      </c>
      <c r="E16151" s="10" t="s">
        <v>1981</v>
      </c>
      <c r="F16151" s="9" t="s">
        <v>2471</v>
      </c>
      <c r="G16151" s="10" t="s">
        <v>21</v>
      </c>
      <c r="H16151" s="9" t="s">
        <v>22</v>
      </c>
      <c r="I16151" s="9" t="s">
        <v>32617</v>
      </c>
      <c r="J16151" s="10" t="str">
        <f>HYPERLINK("https://www.boe.es/gazeta/dias/1834/12/13/pdfs/GMD-C-1834-302.pdf#page=3","Abrir facsímil")</f>
        <v>Abrir facsímil</v>
      </c>
      <c r="K16151" s="10" t="s">
        <v>24</v>
      </c>
    </row>
    <row r="16152" spans="1:11" ht="54" customHeight="1">
      <c r="A16152" s="9" t="s">
        <v>32603</v>
      </c>
      <c r="B16152" s="9" t="s">
        <v>32603</v>
      </c>
      <c r="C16152" s="9" t="s">
        <v>122</v>
      </c>
      <c r="D16152" s="9" t="s">
        <v>18</v>
      </c>
      <c r="E16152" s="10" t="s">
        <v>2087</v>
      </c>
      <c r="F16152" s="9" t="s">
        <v>2267</v>
      </c>
      <c r="G16152" s="10" t="s">
        <v>28</v>
      </c>
      <c r="H16152" s="9" t="s">
        <v>22</v>
      </c>
      <c r="I16152" s="9" t="s">
        <v>32618</v>
      </c>
      <c r="J16152" s="10" t="str">
        <f>HYPERLINK("https://www.boe.es/gazeta/dias/1834/12/14/pdfs/GMD-C-1834-303.pdf#page=5","Abrir facsímil")</f>
        <v>Abrir facsímil</v>
      </c>
      <c r="K16152" s="10" t="s">
        <v>24</v>
      </c>
    </row>
    <row r="16153" spans="1:11" ht="54" customHeight="1">
      <c r="A16153" s="9" t="s">
        <v>32608</v>
      </c>
      <c r="B16153" s="9" t="s">
        <v>32608</v>
      </c>
      <c r="C16153" s="9" t="s">
        <v>17</v>
      </c>
      <c r="D16153" s="9" t="s">
        <v>18</v>
      </c>
      <c r="E16153" s="10" t="s">
        <v>451</v>
      </c>
      <c r="F16153" s="9" t="s">
        <v>452</v>
      </c>
      <c r="G16153" s="10" t="s">
        <v>21</v>
      </c>
      <c r="H16153" s="9" t="s">
        <v>22</v>
      </c>
      <c r="I16153" s="9" t="s">
        <v>32619</v>
      </c>
      <c r="J16153" s="10" t="str">
        <f>HYPERLINK("https://www.boe.es/gazeta/dias/1834/10/15/pdfs/GMD-C-1834-243.pdf#page=3","Abrir facsímil")</f>
        <v>Abrir facsímil</v>
      </c>
      <c r="K16153" s="10" t="s">
        <v>24</v>
      </c>
    </row>
    <row r="16154" spans="1:11" ht="54" customHeight="1">
      <c r="A16154" s="9" t="s">
        <v>32608</v>
      </c>
      <c r="B16154" s="9" t="s">
        <v>32608</v>
      </c>
      <c r="C16154" s="9" t="s">
        <v>66</v>
      </c>
      <c r="D16154" s="9" t="s">
        <v>67</v>
      </c>
      <c r="E16154" s="10" t="s">
        <v>928</v>
      </c>
      <c r="F16154" s="9" t="s">
        <v>929</v>
      </c>
      <c r="G16154" s="10" t="s">
        <v>86</v>
      </c>
      <c r="H16154" s="9" t="s">
        <v>22</v>
      </c>
      <c r="I16154" s="9" t="s">
        <v>32620</v>
      </c>
      <c r="J16154" s="10" t="str">
        <f>HYPERLINK("https://www.boe.es/gazeta/dias/1834/11/15/pdfs/GMD-C-1834-274.pdf#page=2","Abrir facsímil")</f>
        <v>Abrir facsímil</v>
      </c>
      <c r="K16154" s="10" t="s">
        <v>24</v>
      </c>
    </row>
    <row r="16155" spans="1:11" ht="54" customHeight="1">
      <c r="A16155" s="9" t="s">
        <v>32608</v>
      </c>
      <c r="B16155" s="9" t="s">
        <v>32608</v>
      </c>
      <c r="C16155" s="9" t="s">
        <v>17</v>
      </c>
      <c r="D16155" s="9" t="s">
        <v>18</v>
      </c>
      <c r="E16155" s="10" t="s">
        <v>2278</v>
      </c>
      <c r="F16155" s="9" t="s">
        <v>2279</v>
      </c>
      <c r="G16155" s="10" t="s">
        <v>28</v>
      </c>
      <c r="H16155" s="9" t="s">
        <v>22</v>
      </c>
      <c r="I16155" s="9" t="s">
        <v>32621</v>
      </c>
      <c r="J16155" s="10" t="str">
        <f>HYPERLINK("https://www.boe.es/gazeta/dias/1834/12/17/pdfs/GMD-C-1834-306.pdf#page=5","Abrir facsímil")</f>
        <v>Abrir facsímil</v>
      </c>
      <c r="K16155" s="10" t="s">
        <v>24</v>
      </c>
    </row>
    <row r="16156" spans="1:11" ht="54" customHeight="1">
      <c r="A16156" s="9" t="s">
        <v>32622</v>
      </c>
      <c r="B16156" s="9" t="s">
        <v>32623</v>
      </c>
      <c r="C16156" s="9" t="s">
        <v>17</v>
      </c>
      <c r="D16156" s="9" t="s">
        <v>18</v>
      </c>
      <c r="E16156" s="10" t="s">
        <v>4105</v>
      </c>
      <c r="F16156" s="9" t="s">
        <v>4106</v>
      </c>
      <c r="G16156" s="10" t="s">
        <v>34</v>
      </c>
      <c r="H16156" s="9" t="s">
        <v>22</v>
      </c>
      <c r="I16156" s="9" t="s">
        <v>32624</v>
      </c>
      <c r="J16156" s="10" t="str">
        <f>HYPERLINK("https://www.boe.es/gazeta/dias/1834/09/02/pdfs/GMD-C-1834-200.pdf#page=1","Abrir facsímil")</f>
        <v>Abrir facsímil</v>
      </c>
      <c r="K16156" s="10" t="s">
        <v>24</v>
      </c>
    </row>
    <row r="16157" spans="1:11" ht="54" customHeight="1">
      <c r="A16157" s="9" t="s">
        <v>32625</v>
      </c>
      <c r="B16157" s="9" t="s">
        <v>32626</v>
      </c>
      <c r="C16157" s="9" t="s">
        <v>17</v>
      </c>
      <c r="D16157" s="9" t="s">
        <v>18</v>
      </c>
      <c r="E16157" s="10" t="s">
        <v>1351</v>
      </c>
      <c r="F16157" s="9" t="s">
        <v>1352</v>
      </c>
      <c r="G16157" s="10" t="s">
        <v>75</v>
      </c>
      <c r="H16157" s="9" t="s">
        <v>35</v>
      </c>
      <c r="I16157" s="9" t="s">
        <v>32627</v>
      </c>
      <c r="J16157" s="10" t="str">
        <f>HYPERLINK("https://www.boe.es/gazeta/dias/1834/07/05/pdfs/GMD-1834-138.pdf#page=4","Abrir facsímil")</f>
        <v>Abrir facsímil</v>
      </c>
      <c r="K16157" s="10" t="s">
        <v>37</v>
      </c>
    </row>
    <row r="16158" spans="1:11" ht="54" customHeight="1">
      <c r="A16158" s="9" t="s">
        <v>32628</v>
      </c>
      <c r="B16158" s="9" t="s">
        <v>32629</v>
      </c>
      <c r="C16158" s="9" t="s">
        <v>17</v>
      </c>
      <c r="D16158" s="9" t="s">
        <v>18</v>
      </c>
      <c r="E16158" s="10" t="s">
        <v>1351</v>
      </c>
      <c r="F16158" s="9" t="s">
        <v>1352</v>
      </c>
      <c r="G16158" s="10" t="s">
        <v>75</v>
      </c>
      <c r="H16158" s="9" t="s">
        <v>22</v>
      </c>
      <c r="I16158" s="9" t="s">
        <v>32630</v>
      </c>
      <c r="J16158" s="10" t="str">
        <f>HYPERLINK("https://www.boe.es/gazeta/dias/1834/07/05/pdfs/GMD-1834-138.pdf#page=4","Abrir facsímil")</f>
        <v>Abrir facsímil</v>
      </c>
      <c r="K16158" s="10" t="s">
        <v>24</v>
      </c>
    </row>
    <row r="16159" spans="1:11" ht="54" customHeight="1">
      <c r="A16159" s="9" t="s">
        <v>32631</v>
      </c>
      <c r="B16159" s="9" t="s">
        <v>32631</v>
      </c>
      <c r="C16159" s="9" t="s">
        <v>17</v>
      </c>
      <c r="D16159" s="9" t="s">
        <v>55</v>
      </c>
      <c r="E16159" s="10" t="s">
        <v>642</v>
      </c>
      <c r="F16159" s="9" t="s">
        <v>1843</v>
      </c>
      <c r="G16159" s="10" t="s">
        <v>34</v>
      </c>
      <c r="H16159" s="9" t="s">
        <v>22</v>
      </c>
      <c r="I16159" s="9" t="s">
        <v>32632</v>
      </c>
      <c r="J16159" s="10" t="str">
        <f>HYPERLINK("https://www.boe.es/gazeta/dias/1834/11/12/pdfs/GMD-1834-271.pdf#page=1","Abrir facsímil")</f>
        <v>Abrir facsímil</v>
      </c>
      <c r="K16159" s="10" t="s">
        <v>24</v>
      </c>
    </row>
    <row r="16160" spans="1:11" ht="54" customHeight="1">
      <c r="A16160" s="9" t="s">
        <v>32631</v>
      </c>
      <c r="B16160" s="9" t="s">
        <v>32631</v>
      </c>
      <c r="C16160" s="9" t="s">
        <v>17</v>
      </c>
      <c r="D16160" s="9" t="s">
        <v>55</v>
      </c>
      <c r="E16160" s="10" t="s">
        <v>1094</v>
      </c>
      <c r="F16160" s="9" t="s">
        <v>1095</v>
      </c>
      <c r="G16160" s="10" t="s">
        <v>86</v>
      </c>
      <c r="H16160" s="9" t="s">
        <v>22</v>
      </c>
      <c r="I16160" s="9" t="s">
        <v>32633</v>
      </c>
      <c r="J16160" s="10" t="str">
        <f>HYPERLINK("https://www.boe.es/gazeta/dias/1834/07/13/pdfs/GMD-1834-146.pdf#page=2","Abrir facsímil")</f>
        <v>Abrir facsímil</v>
      </c>
      <c r="K16160" s="10" t="s">
        <v>24</v>
      </c>
    </row>
    <row r="16161" spans="1:11" ht="54" customHeight="1">
      <c r="A16161" s="9" t="s">
        <v>32631</v>
      </c>
      <c r="B16161" s="9" t="s">
        <v>32631</v>
      </c>
      <c r="C16161" s="9" t="s">
        <v>17</v>
      </c>
      <c r="D16161" s="9" t="s">
        <v>18</v>
      </c>
      <c r="E16161" s="10" t="s">
        <v>280</v>
      </c>
      <c r="F16161" s="9" t="s">
        <v>3217</v>
      </c>
      <c r="G16161" s="10" t="s">
        <v>86</v>
      </c>
      <c r="H16161" s="9" t="s">
        <v>22</v>
      </c>
      <c r="I16161" s="9" t="s">
        <v>32634</v>
      </c>
      <c r="J16161" s="10" t="str">
        <f>HYPERLINK("https://www.boe.es/gazeta/dias/1834/08/29/pdfs/GMD-1834-195.pdf#page=2","Abrir facsímil")</f>
        <v>Abrir facsímil</v>
      </c>
      <c r="K16161" s="10" t="s">
        <v>24</v>
      </c>
    </row>
    <row r="16162" spans="1:11" ht="54" customHeight="1">
      <c r="A16162" s="9" t="s">
        <v>32631</v>
      </c>
      <c r="B16162" s="9" t="s">
        <v>32631</v>
      </c>
      <c r="C16162" s="9" t="s">
        <v>66</v>
      </c>
      <c r="D16162" s="9" t="s">
        <v>67</v>
      </c>
      <c r="E16162" s="10" t="s">
        <v>283</v>
      </c>
      <c r="F16162" s="9" t="s">
        <v>2969</v>
      </c>
      <c r="G16162" s="10" t="s">
        <v>21</v>
      </c>
      <c r="H16162" s="9" t="s">
        <v>22</v>
      </c>
      <c r="I16162" s="9" t="s">
        <v>32635</v>
      </c>
      <c r="J16162" s="10" t="str">
        <f>HYPERLINK("https://www.boe.es/gazeta/dias/1834/11/29/pdfs/GMD-1834-288.pdf#page=3","Abrir facsímil")</f>
        <v>Abrir facsímil</v>
      </c>
      <c r="K16162" s="10" t="s">
        <v>24</v>
      </c>
    </row>
    <row r="16163" spans="1:11" ht="54" customHeight="1">
      <c r="A16163" s="9" t="s">
        <v>32636</v>
      </c>
      <c r="B16163" s="9" t="s">
        <v>32636</v>
      </c>
      <c r="C16163" s="9" t="s">
        <v>17</v>
      </c>
      <c r="D16163" s="9" t="s">
        <v>18</v>
      </c>
      <c r="E16163" s="10" t="s">
        <v>339</v>
      </c>
      <c r="F16163" s="9" t="s">
        <v>340</v>
      </c>
      <c r="G16163" s="10" t="s">
        <v>75</v>
      </c>
      <c r="H16163" s="9" t="s">
        <v>22</v>
      </c>
      <c r="I16163" s="9" t="s">
        <v>32637</v>
      </c>
      <c r="J16163" s="10" t="str">
        <f>HYPERLINK("https://www.boe.es/gazeta/dias/1834/05/02/pdfs/GMD-1834-71.pdf#page=4","Abrir facsímil")</f>
        <v>Abrir facsímil</v>
      </c>
      <c r="K16163" s="10" t="s">
        <v>24</v>
      </c>
    </row>
    <row r="16164" spans="1:11" ht="54" customHeight="1">
      <c r="A16164" s="9" t="s">
        <v>32636</v>
      </c>
      <c r="B16164" s="9" t="s">
        <v>32636</v>
      </c>
      <c r="C16164" s="9" t="s">
        <v>66</v>
      </c>
      <c r="D16164" s="9" t="s">
        <v>40</v>
      </c>
      <c r="E16164" s="10" t="s">
        <v>102</v>
      </c>
      <c r="F16164" s="9" t="s">
        <v>103</v>
      </c>
      <c r="G16164" s="10" t="s">
        <v>75</v>
      </c>
      <c r="H16164" s="9" t="s">
        <v>22</v>
      </c>
      <c r="I16164" s="9" t="s">
        <v>32638</v>
      </c>
      <c r="J16164" s="10" t="str">
        <f>HYPERLINK("https://www.boe.es/gazeta/dias/1834/07/19/pdfs/GMD-1834-152.pdf#page=4","Abrir facsímil")</f>
        <v>Abrir facsímil</v>
      </c>
      <c r="K16164" s="10" t="s">
        <v>24</v>
      </c>
    </row>
    <row r="16165" spans="1:11" ht="54" customHeight="1">
      <c r="A16165" s="9" t="s">
        <v>32636</v>
      </c>
      <c r="B16165" s="9" t="s">
        <v>32636</v>
      </c>
      <c r="C16165" s="9" t="s">
        <v>17</v>
      </c>
      <c r="D16165" s="9" t="s">
        <v>18</v>
      </c>
      <c r="E16165" s="10" t="s">
        <v>4169</v>
      </c>
      <c r="F16165" s="9" t="s">
        <v>4170</v>
      </c>
      <c r="G16165" s="10" t="s">
        <v>75</v>
      </c>
      <c r="H16165" s="9" t="s">
        <v>22</v>
      </c>
      <c r="I16165" s="9" t="s">
        <v>32639</v>
      </c>
      <c r="J16165" s="10" t="str">
        <f>HYPERLINK("https://www.boe.es/gazeta/dias/1834/11/20/pdfs/GMD-1834-279.pdf#page=4","Abrir facsímil")</f>
        <v>Abrir facsímil</v>
      </c>
      <c r="K16165" s="10" t="s">
        <v>24</v>
      </c>
    </row>
    <row r="16166" spans="1:11" ht="54" customHeight="1">
      <c r="A16166" s="9" t="s">
        <v>32636</v>
      </c>
      <c r="B16166" s="9" t="s">
        <v>32636</v>
      </c>
      <c r="C16166" s="9" t="s">
        <v>17</v>
      </c>
      <c r="D16166" s="9" t="s">
        <v>18</v>
      </c>
      <c r="E16166" s="10" t="s">
        <v>304</v>
      </c>
      <c r="F16166" s="9" t="s">
        <v>305</v>
      </c>
      <c r="G16166" s="10" t="s">
        <v>75</v>
      </c>
      <c r="H16166" s="9" t="s">
        <v>22</v>
      </c>
      <c r="I16166" s="9" t="s">
        <v>32640</v>
      </c>
      <c r="J16166" s="10" t="str">
        <f>HYPERLINK("https://www.boe.es/gazeta/dias/1834/01/21/pdfs/GMD-1834-10.pdf#page=4","Abrir facsímil")</f>
        <v>Abrir facsímil</v>
      </c>
      <c r="K16166" s="10" t="s">
        <v>24</v>
      </c>
    </row>
    <row r="16167" spans="1:11" ht="54" customHeight="1">
      <c r="A16167" s="9" t="s">
        <v>32636</v>
      </c>
      <c r="B16167" s="9" t="s">
        <v>32636</v>
      </c>
      <c r="C16167" s="9" t="s">
        <v>17</v>
      </c>
      <c r="D16167" s="9" t="s">
        <v>40</v>
      </c>
      <c r="E16167" s="10" t="s">
        <v>981</v>
      </c>
      <c r="F16167" s="9" t="s">
        <v>982</v>
      </c>
      <c r="G16167" s="10" t="s">
        <v>75</v>
      </c>
      <c r="H16167" s="9" t="s">
        <v>22</v>
      </c>
      <c r="I16167" s="9" t="s">
        <v>32641</v>
      </c>
      <c r="J16167" s="10" t="str">
        <f>HYPERLINK("https://www.boe.es/gazeta/dias/1834/09/21/pdfs/GMD-1834-219.pdf#page=4","Abrir facsímil")</f>
        <v>Abrir facsímil</v>
      </c>
      <c r="K16167" s="10" t="s">
        <v>24</v>
      </c>
    </row>
    <row r="16168" spans="1:11" ht="54" customHeight="1">
      <c r="A16168" s="9" t="s">
        <v>32636</v>
      </c>
      <c r="B16168" s="9" t="s">
        <v>32636</v>
      </c>
      <c r="C16168" s="9" t="s">
        <v>17</v>
      </c>
      <c r="D16168" s="9" t="s">
        <v>18</v>
      </c>
      <c r="E16168" s="10" t="s">
        <v>576</v>
      </c>
      <c r="F16168" s="9" t="s">
        <v>577</v>
      </c>
      <c r="G16168" s="10" t="s">
        <v>75</v>
      </c>
      <c r="H16168" s="9" t="s">
        <v>22</v>
      </c>
      <c r="I16168" s="9" t="s">
        <v>32642</v>
      </c>
      <c r="J16168" s="10" t="str">
        <f>HYPERLINK("https://www.boe.es/gazeta/dias/1834/09/23/pdfs/GMD-1834-221.pdf#page=4","Abrir facsímil")</f>
        <v>Abrir facsímil</v>
      </c>
      <c r="K16168" s="10" t="s">
        <v>24</v>
      </c>
    </row>
    <row r="16169" spans="1:11" ht="54" customHeight="1">
      <c r="A16169" s="9" t="s">
        <v>32636</v>
      </c>
      <c r="B16169" s="9" t="s">
        <v>32636</v>
      </c>
      <c r="C16169" s="9" t="s">
        <v>122</v>
      </c>
      <c r="D16169" s="9" t="s">
        <v>40</v>
      </c>
      <c r="E16169" s="10" t="s">
        <v>462</v>
      </c>
      <c r="F16169" s="9" t="s">
        <v>2110</v>
      </c>
      <c r="G16169" s="10" t="s">
        <v>75</v>
      </c>
      <c r="H16169" s="9" t="s">
        <v>22</v>
      </c>
      <c r="I16169" s="9" t="s">
        <v>32643</v>
      </c>
      <c r="J16169" s="10" t="str">
        <f>HYPERLINK("https://www.boe.es/gazeta/dias/1834/08/27/pdfs/GMD-1834-193.pdf#page=4","Abrir facsímil")</f>
        <v>Abrir facsímil</v>
      </c>
      <c r="K16169" s="10" t="s">
        <v>24</v>
      </c>
    </row>
    <row r="16170" spans="1:11" ht="54" customHeight="1">
      <c r="A16170" s="9" t="s">
        <v>32636</v>
      </c>
      <c r="B16170" s="9" t="s">
        <v>32636</v>
      </c>
      <c r="C16170" s="9" t="s">
        <v>17</v>
      </c>
      <c r="D16170" s="9" t="s">
        <v>18</v>
      </c>
      <c r="E16170" s="10" t="s">
        <v>179</v>
      </c>
      <c r="F16170" s="9" t="s">
        <v>180</v>
      </c>
      <c r="G16170" s="10" t="s">
        <v>75</v>
      </c>
      <c r="H16170" s="9" t="s">
        <v>22</v>
      </c>
      <c r="I16170" s="9" t="s">
        <v>32644</v>
      </c>
      <c r="J16170" s="10" t="str">
        <f>HYPERLINK("https://www.boe.es/gazeta/dias/1834/10/28/pdfs/GMD-1834-256.pdf#page=4","Abrir facsímil")</f>
        <v>Abrir facsímil</v>
      </c>
      <c r="K16170" s="10" t="s">
        <v>24</v>
      </c>
    </row>
    <row r="16171" spans="1:11" ht="54" customHeight="1">
      <c r="A16171" s="9" t="s">
        <v>32645</v>
      </c>
      <c r="B16171" s="9" t="s">
        <v>32646</v>
      </c>
      <c r="C16171" s="9" t="s">
        <v>17</v>
      </c>
      <c r="D16171" s="9" t="s">
        <v>18</v>
      </c>
      <c r="E16171" s="10" t="s">
        <v>73</v>
      </c>
      <c r="F16171" s="9" t="s">
        <v>74</v>
      </c>
      <c r="G16171" s="10" t="s">
        <v>75</v>
      </c>
      <c r="H16171" s="9" t="s">
        <v>22</v>
      </c>
      <c r="I16171" s="9" t="s">
        <v>32647</v>
      </c>
      <c r="J16171" s="10" t="str">
        <f>HYPERLINK("https://www.boe.es/gazeta/dias/1834/11/04/pdfs/GMD-1834-263.pdf#page=4","Abrir facsímil")</f>
        <v>Abrir facsímil</v>
      </c>
      <c r="K16171" s="10" t="s">
        <v>24</v>
      </c>
    </row>
    <row r="16172" spans="1:11" ht="54" customHeight="1">
      <c r="A16172" s="9" t="s">
        <v>32648</v>
      </c>
      <c r="B16172" s="9" t="s">
        <v>32649</v>
      </c>
      <c r="C16172" s="9" t="s">
        <v>122</v>
      </c>
      <c r="D16172" s="9" t="s">
        <v>40</v>
      </c>
      <c r="E16172" s="10" t="s">
        <v>1438</v>
      </c>
      <c r="F16172" s="9" t="s">
        <v>1439</v>
      </c>
      <c r="G16172" s="10" t="s">
        <v>75</v>
      </c>
      <c r="H16172" s="9" t="s">
        <v>22</v>
      </c>
      <c r="I16172" s="9" t="s">
        <v>32650</v>
      </c>
      <c r="J16172" s="10" t="str">
        <f>HYPERLINK("https://www.boe.es/gazeta/dias/1834/05/13/pdfs/GMD-1834-82.pdf#page=4","Abrir facsímil")</f>
        <v>Abrir facsímil</v>
      </c>
      <c r="K16172" s="10" t="s">
        <v>24</v>
      </c>
    </row>
    <row r="16173" spans="1:11" ht="54" customHeight="1">
      <c r="A16173" s="9" t="s">
        <v>32651</v>
      </c>
      <c r="B16173" s="9" t="s">
        <v>32652</v>
      </c>
      <c r="C16173" s="9" t="s">
        <v>122</v>
      </c>
      <c r="D16173" s="9" t="s">
        <v>40</v>
      </c>
      <c r="E16173" s="10" t="s">
        <v>2287</v>
      </c>
      <c r="F16173" s="9" t="s">
        <v>4741</v>
      </c>
      <c r="G16173" s="10" t="s">
        <v>75</v>
      </c>
      <c r="H16173" s="9" t="s">
        <v>22</v>
      </c>
      <c r="I16173" s="9" t="s">
        <v>32653</v>
      </c>
      <c r="J16173" s="10" t="str">
        <f>HYPERLINK("https://www.boe.es/gazeta/dias/1834/12/18/pdfs/GMD-1834-308.pdf#page=4","Abrir facsímil")</f>
        <v>Abrir facsímil</v>
      </c>
      <c r="K16173" s="10" t="s">
        <v>24</v>
      </c>
    </row>
    <row r="16174" spans="1:11" ht="54" customHeight="1">
      <c r="A16174" s="9" t="s">
        <v>32654</v>
      </c>
      <c r="B16174" s="9" t="s">
        <v>32654</v>
      </c>
      <c r="C16174" s="9" t="s">
        <v>66</v>
      </c>
      <c r="D16174" s="9" t="s">
        <v>67</v>
      </c>
      <c r="E16174" s="10" t="s">
        <v>1262</v>
      </c>
      <c r="F16174" s="9" t="s">
        <v>1263</v>
      </c>
      <c r="G16174" s="10" t="s">
        <v>75</v>
      </c>
      <c r="H16174" s="9" t="s">
        <v>22</v>
      </c>
      <c r="I16174" s="9" t="s">
        <v>32655</v>
      </c>
      <c r="J16174" s="10" t="str">
        <f>HYPERLINK("https://www.boe.es/gazeta/dias/1834/02/01/pdfs/GMD-1834-15.pdf#page=4","Abrir facsímil")</f>
        <v>Abrir facsímil</v>
      </c>
      <c r="K16174" s="10" t="s">
        <v>24</v>
      </c>
    </row>
    <row r="16175" spans="1:11" ht="54" customHeight="1">
      <c r="A16175" s="9" t="s">
        <v>32654</v>
      </c>
      <c r="B16175" s="9" t="s">
        <v>32654</v>
      </c>
      <c r="C16175" s="9" t="s">
        <v>66</v>
      </c>
      <c r="D16175" s="9" t="s">
        <v>67</v>
      </c>
      <c r="E16175" s="10" t="s">
        <v>1084</v>
      </c>
      <c r="F16175" s="9" t="s">
        <v>1085</v>
      </c>
      <c r="G16175" s="10" t="s">
        <v>176</v>
      </c>
      <c r="H16175" s="9" t="s">
        <v>22</v>
      </c>
      <c r="I16175" s="9" t="s">
        <v>32656</v>
      </c>
      <c r="J16175" s="10" t="str">
        <f>HYPERLINK("https://www.boe.es/gazeta/dias/1834/05/01/pdfs/GMD-1834-70.pdf#page=6","Abrir facsímil")</f>
        <v>Abrir facsímil</v>
      </c>
      <c r="K16175" s="10" t="s">
        <v>24</v>
      </c>
    </row>
    <row r="16176" spans="1:11" ht="54" customHeight="1">
      <c r="A16176" s="9" t="s">
        <v>32654</v>
      </c>
      <c r="B16176" s="9" t="s">
        <v>32654</v>
      </c>
      <c r="C16176" s="9" t="s">
        <v>17</v>
      </c>
      <c r="D16176" s="9" t="s">
        <v>40</v>
      </c>
      <c r="E16176" s="10" t="s">
        <v>594</v>
      </c>
      <c r="F16176" s="9" t="s">
        <v>595</v>
      </c>
      <c r="G16176" s="10" t="s">
        <v>75</v>
      </c>
      <c r="H16176" s="9" t="s">
        <v>22</v>
      </c>
      <c r="I16176" s="9" t="s">
        <v>32657</v>
      </c>
      <c r="J16176" s="10" t="str">
        <f>HYPERLINK("https://www.boe.es/gazeta/dias/1834/06/01/pdfs/GMD-1834-102.pdf#page=4","Abrir facsímil")</f>
        <v>Abrir facsímil</v>
      </c>
      <c r="K16176" s="10" t="s">
        <v>24</v>
      </c>
    </row>
    <row r="16177" spans="1:11" ht="54" customHeight="1">
      <c r="A16177" s="9" t="s">
        <v>32654</v>
      </c>
      <c r="B16177" s="9" t="s">
        <v>32654</v>
      </c>
      <c r="C16177" s="9" t="s">
        <v>17</v>
      </c>
      <c r="D16177" s="9" t="s">
        <v>55</v>
      </c>
      <c r="E16177" s="10" t="s">
        <v>209</v>
      </c>
      <c r="F16177" s="9" t="s">
        <v>210</v>
      </c>
      <c r="G16177" s="10" t="s">
        <v>75</v>
      </c>
      <c r="H16177" s="9" t="s">
        <v>22</v>
      </c>
      <c r="I16177" s="9" t="s">
        <v>32658</v>
      </c>
      <c r="J16177" s="10" t="str">
        <f>HYPERLINK("https://www.boe.es/gazeta/dias/1834/07/01/pdfs/GMD-1834-134.pdf#page=4","Abrir facsímil")</f>
        <v>Abrir facsímil</v>
      </c>
      <c r="K16177" s="10" t="s">
        <v>24</v>
      </c>
    </row>
    <row r="16178" spans="1:11" ht="54" customHeight="1">
      <c r="A16178" s="9" t="s">
        <v>32654</v>
      </c>
      <c r="B16178" s="9" t="s">
        <v>32654</v>
      </c>
      <c r="C16178" s="9" t="s">
        <v>66</v>
      </c>
      <c r="D16178" s="9" t="s">
        <v>40</v>
      </c>
      <c r="E16178" s="10" t="s">
        <v>1297</v>
      </c>
      <c r="F16178" s="9" t="s">
        <v>1298</v>
      </c>
      <c r="G16178" s="10" t="s">
        <v>75</v>
      </c>
      <c r="H16178" s="9" t="s">
        <v>22</v>
      </c>
      <c r="I16178" s="9" t="s">
        <v>32659</v>
      </c>
      <c r="J16178" s="10" t="str">
        <f>HYPERLINK("https://www.boe.es/gazeta/dias/1834/08/01/pdfs/GMD-1834-165.pdf#page=4","Abrir facsímil")</f>
        <v>Abrir facsímil</v>
      </c>
      <c r="K16178" s="10" t="s">
        <v>24</v>
      </c>
    </row>
    <row r="16179" spans="1:11" ht="54" customHeight="1">
      <c r="A16179" s="9" t="s">
        <v>32654</v>
      </c>
      <c r="B16179" s="9" t="s">
        <v>32654</v>
      </c>
      <c r="C16179" s="9" t="s">
        <v>17</v>
      </c>
      <c r="D16179" s="9" t="s">
        <v>40</v>
      </c>
      <c r="E16179" s="10" t="s">
        <v>1704</v>
      </c>
      <c r="F16179" s="9" t="s">
        <v>1705</v>
      </c>
      <c r="G16179" s="10" t="s">
        <v>75</v>
      </c>
      <c r="H16179" s="9" t="s">
        <v>22</v>
      </c>
      <c r="I16179" s="9" t="s">
        <v>32660</v>
      </c>
      <c r="J16179" s="10" t="str">
        <f>HYPERLINK("https://www.boe.es/gazeta/dias/1834/12/02/pdfs/GMD-1834-291.pdf#page=4","Abrir facsímil")</f>
        <v>Abrir facsímil</v>
      </c>
      <c r="K16179" s="10" t="s">
        <v>24</v>
      </c>
    </row>
    <row r="16180" spans="1:11" ht="54" customHeight="1">
      <c r="A16180" s="9" t="s">
        <v>32654</v>
      </c>
      <c r="B16180" s="9" t="s">
        <v>32654</v>
      </c>
      <c r="C16180" s="9" t="s">
        <v>17</v>
      </c>
      <c r="D16180" s="9" t="s">
        <v>40</v>
      </c>
      <c r="E16180" s="10" t="s">
        <v>4527</v>
      </c>
      <c r="F16180" s="9" t="s">
        <v>4528</v>
      </c>
      <c r="G16180" s="10" t="s">
        <v>75</v>
      </c>
      <c r="H16180" s="9" t="s">
        <v>22</v>
      </c>
      <c r="I16180" s="9" t="s">
        <v>32661</v>
      </c>
      <c r="J16180" s="10" t="str">
        <f>HYPERLINK("https://www.boe.es/gazeta/dias/1834/05/03/pdfs/GMD-1834-72.pdf#page=4","Abrir facsímil")</f>
        <v>Abrir facsímil</v>
      </c>
      <c r="K16180" s="10" t="s">
        <v>24</v>
      </c>
    </row>
    <row r="16181" spans="1:11" ht="54" customHeight="1">
      <c r="A16181" s="9" t="s">
        <v>32654</v>
      </c>
      <c r="B16181" s="9" t="s">
        <v>32654</v>
      </c>
      <c r="C16181" s="9" t="s">
        <v>17</v>
      </c>
      <c r="D16181" s="9" t="s">
        <v>18</v>
      </c>
      <c r="E16181" s="10" t="s">
        <v>1653</v>
      </c>
      <c r="F16181" s="9" t="s">
        <v>1654</v>
      </c>
      <c r="G16181" s="10" t="s">
        <v>75</v>
      </c>
      <c r="H16181" s="9" t="s">
        <v>22</v>
      </c>
      <c r="I16181" s="9" t="s">
        <v>32662</v>
      </c>
      <c r="J16181" s="10" t="str">
        <f>HYPERLINK("https://www.boe.es/gazeta/dias/1834/07/03/pdfs/GMD-1834-136.pdf#page=4","Abrir facsímil")</f>
        <v>Abrir facsímil</v>
      </c>
      <c r="K16181" s="10" t="s">
        <v>24</v>
      </c>
    </row>
    <row r="16182" spans="1:11" ht="54" customHeight="1">
      <c r="A16182" s="9" t="s">
        <v>32654</v>
      </c>
      <c r="B16182" s="9" t="s">
        <v>32654</v>
      </c>
      <c r="C16182" s="9" t="s">
        <v>17</v>
      </c>
      <c r="D16182" s="9" t="s">
        <v>101</v>
      </c>
      <c r="E16182" s="10" t="s">
        <v>3066</v>
      </c>
      <c r="F16182" s="9" t="s">
        <v>3188</v>
      </c>
      <c r="G16182" s="10" t="s">
        <v>86</v>
      </c>
      <c r="H16182" s="9" t="s">
        <v>22</v>
      </c>
      <c r="I16182" s="9" t="s">
        <v>32663</v>
      </c>
      <c r="J16182" s="10" t="str">
        <f>HYPERLINK("https://www.boe.es/gazeta/dias/1834/08/03/pdfs/I00721-00722.pdf#page=2","Abrir facsímil")</f>
        <v>Abrir facsímil</v>
      </c>
      <c r="K16182" s="10" t="s">
        <v>24</v>
      </c>
    </row>
    <row r="16183" spans="1:11" ht="54" customHeight="1">
      <c r="A16183" s="9" t="s">
        <v>32654</v>
      </c>
      <c r="B16183" s="9" t="s">
        <v>32654</v>
      </c>
      <c r="C16183" s="9" t="s">
        <v>17</v>
      </c>
      <c r="D16183" s="9" t="s">
        <v>101</v>
      </c>
      <c r="E16183" s="10" t="s">
        <v>3066</v>
      </c>
      <c r="F16183" s="9" t="s">
        <v>3188</v>
      </c>
      <c r="G16183" s="10" t="s">
        <v>75</v>
      </c>
      <c r="H16183" s="9" t="s">
        <v>22</v>
      </c>
      <c r="I16183" s="9" t="s">
        <v>32664</v>
      </c>
      <c r="J16183" s="10" t="str">
        <f>HYPERLINK("https://www.boe.es/gazeta/dias/1834/08/03/pdfs/GMD-1834-167.pdf#page=4","Abrir facsímil")</f>
        <v>Abrir facsímil</v>
      </c>
      <c r="K16183" s="10" t="s">
        <v>24</v>
      </c>
    </row>
    <row r="16184" spans="1:11" ht="54" customHeight="1">
      <c r="A16184" s="9" t="s">
        <v>32654</v>
      </c>
      <c r="B16184" s="9" t="s">
        <v>32654</v>
      </c>
      <c r="C16184" s="9" t="s">
        <v>17</v>
      </c>
      <c r="D16184" s="9" t="s">
        <v>40</v>
      </c>
      <c r="E16184" s="10" t="s">
        <v>1955</v>
      </c>
      <c r="F16184" s="9" t="s">
        <v>1956</v>
      </c>
      <c r="G16184" s="10" t="s">
        <v>75</v>
      </c>
      <c r="H16184" s="9" t="s">
        <v>22</v>
      </c>
      <c r="I16184" s="9" t="s">
        <v>32665</v>
      </c>
      <c r="J16184" s="10" t="str">
        <f>HYPERLINK("https://www.boe.es/gazeta/dias/1834/05/04/pdfs/GMD-1834-73.pdf#page=4","Abrir facsímil")</f>
        <v>Abrir facsímil</v>
      </c>
      <c r="K16184" s="10" t="s">
        <v>24</v>
      </c>
    </row>
    <row r="16185" spans="1:11" ht="54" customHeight="1">
      <c r="A16185" s="9" t="s">
        <v>32654</v>
      </c>
      <c r="B16185" s="9" t="s">
        <v>32654</v>
      </c>
      <c r="C16185" s="9" t="s">
        <v>17</v>
      </c>
      <c r="D16185" s="9" t="s">
        <v>40</v>
      </c>
      <c r="E16185" s="10" t="s">
        <v>3328</v>
      </c>
      <c r="F16185" s="9" t="s">
        <v>3329</v>
      </c>
      <c r="G16185" s="10" t="s">
        <v>75</v>
      </c>
      <c r="H16185" s="9" t="s">
        <v>22</v>
      </c>
      <c r="I16185" s="9" t="s">
        <v>32666</v>
      </c>
      <c r="J16185" s="10" t="str">
        <f>HYPERLINK("https://www.boe.es/gazeta/dias/1834/06/04/pdfs/GMD-1834-106.pdf#page=4","Abrir facsímil")</f>
        <v>Abrir facsímil</v>
      </c>
      <c r="K16185" s="10" t="s">
        <v>24</v>
      </c>
    </row>
    <row r="16186" spans="1:11" ht="54" customHeight="1">
      <c r="A16186" s="9" t="s">
        <v>32654</v>
      </c>
      <c r="B16186" s="9" t="s">
        <v>32654</v>
      </c>
      <c r="C16186" s="9" t="s">
        <v>17</v>
      </c>
      <c r="D16186" s="9" t="s">
        <v>101</v>
      </c>
      <c r="E16186" s="10" t="s">
        <v>355</v>
      </c>
      <c r="F16186" s="9" t="s">
        <v>356</v>
      </c>
      <c r="G16186" s="10" t="s">
        <v>86</v>
      </c>
      <c r="H16186" s="9" t="s">
        <v>22</v>
      </c>
      <c r="I16186" s="9" t="s">
        <v>32667</v>
      </c>
      <c r="J16186" s="10" t="str">
        <f>HYPERLINK("https://www.boe.es/gazeta/dias/1834/07/04/pdfs/I00597-00598.pdf#page=2","Abrir facsímil")</f>
        <v>Abrir facsímil</v>
      </c>
      <c r="K16186" s="10" t="s">
        <v>24</v>
      </c>
    </row>
    <row r="16187" spans="1:11" ht="54" customHeight="1">
      <c r="A16187" s="9" t="s">
        <v>32654</v>
      </c>
      <c r="B16187" s="9" t="s">
        <v>32654</v>
      </c>
      <c r="C16187" s="9" t="s">
        <v>17</v>
      </c>
      <c r="D16187" s="9" t="s">
        <v>101</v>
      </c>
      <c r="E16187" s="10" t="s">
        <v>355</v>
      </c>
      <c r="F16187" s="9" t="s">
        <v>356</v>
      </c>
      <c r="G16187" s="10" t="s">
        <v>75</v>
      </c>
      <c r="H16187" s="9" t="s">
        <v>22</v>
      </c>
      <c r="I16187" s="9" t="s">
        <v>32667</v>
      </c>
      <c r="J16187" s="10" t="str">
        <f>HYPERLINK("https://www.boe.es/gazeta/dias/1834/07/04/pdfs/GMD-1834-137.pdf#page=4","Abrir facsímil")</f>
        <v>Abrir facsímil</v>
      </c>
      <c r="K16187" s="10" t="s">
        <v>24</v>
      </c>
    </row>
    <row r="16188" spans="1:11" ht="54" customHeight="1">
      <c r="A16188" s="9" t="s">
        <v>32654</v>
      </c>
      <c r="B16188" s="9" t="s">
        <v>32654</v>
      </c>
      <c r="C16188" s="9" t="s">
        <v>17</v>
      </c>
      <c r="D16188" s="9" t="s">
        <v>40</v>
      </c>
      <c r="E16188" s="10" t="s">
        <v>8346</v>
      </c>
      <c r="F16188" s="9" t="s">
        <v>8347</v>
      </c>
      <c r="G16188" s="10" t="s">
        <v>75</v>
      </c>
      <c r="H16188" s="9" t="s">
        <v>22</v>
      </c>
      <c r="I16188" s="9" t="s">
        <v>32668</v>
      </c>
      <c r="J16188" s="10" t="str">
        <f>HYPERLINK("https://www.boe.es/gazeta/dias/1834/12/04/pdfs/GMD-1834-293.pdf#page=4","Abrir facsímil")</f>
        <v>Abrir facsímil</v>
      </c>
      <c r="K16188" s="10" t="s">
        <v>24</v>
      </c>
    </row>
    <row r="16189" spans="1:11" ht="54" customHeight="1">
      <c r="A16189" s="9" t="s">
        <v>32654</v>
      </c>
      <c r="B16189" s="9" t="s">
        <v>32654</v>
      </c>
      <c r="C16189" s="9" t="s">
        <v>17</v>
      </c>
      <c r="D16189" s="9" t="s">
        <v>40</v>
      </c>
      <c r="E16189" s="10" t="s">
        <v>243</v>
      </c>
      <c r="F16189" s="9" t="s">
        <v>1109</v>
      </c>
      <c r="G16189" s="10" t="s">
        <v>75</v>
      </c>
      <c r="H16189" s="9" t="s">
        <v>22</v>
      </c>
      <c r="I16189" s="9" t="s">
        <v>32669</v>
      </c>
      <c r="J16189" s="10" t="str">
        <f>HYPERLINK("https://www.boe.es/gazeta/dias/1834/08/05/pdfs/GMD-1834-169.pdf#page=4","Abrir facsímil")</f>
        <v>Abrir facsímil</v>
      </c>
      <c r="K16189" s="10" t="s">
        <v>24</v>
      </c>
    </row>
    <row r="16190" spans="1:11" ht="54" customHeight="1">
      <c r="A16190" s="9" t="s">
        <v>32654</v>
      </c>
      <c r="B16190" s="9" t="s">
        <v>32654</v>
      </c>
      <c r="C16190" s="9" t="s">
        <v>17</v>
      </c>
      <c r="D16190" s="9" t="s">
        <v>40</v>
      </c>
      <c r="E16190" s="10" t="s">
        <v>734</v>
      </c>
      <c r="F16190" s="9" t="s">
        <v>735</v>
      </c>
      <c r="G16190" s="10" t="s">
        <v>75</v>
      </c>
      <c r="H16190" s="9" t="s">
        <v>22</v>
      </c>
      <c r="I16190" s="9" t="s">
        <v>32670</v>
      </c>
      <c r="J16190" s="10" t="str">
        <f>HYPERLINK("https://www.boe.es/gazeta/dias/1834/05/06/pdfs/GMD-1834-75.pdf#page=4","Abrir facsímil")</f>
        <v>Abrir facsímil</v>
      </c>
      <c r="K16190" s="10" t="s">
        <v>24</v>
      </c>
    </row>
    <row r="16191" spans="1:11" ht="54" customHeight="1">
      <c r="A16191" s="9" t="s">
        <v>32654</v>
      </c>
      <c r="B16191" s="9" t="s">
        <v>32654</v>
      </c>
      <c r="C16191" s="9" t="s">
        <v>66</v>
      </c>
      <c r="D16191" s="9" t="s">
        <v>67</v>
      </c>
      <c r="E16191" s="10" t="s">
        <v>1556</v>
      </c>
      <c r="F16191" s="9" t="s">
        <v>1557</v>
      </c>
      <c r="G16191" s="10" t="s">
        <v>75</v>
      </c>
      <c r="H16191" s="9" t="s">
        <v>22</v>
      </c>
      <c r="I16191" s="9" t="s">
        <v>32671</v>
      </c>
      <c r="J16191" s="10" t="str">
        <f>HYPERLINK("https://www.boe.es/gazeta/dias/1834/06/06/pdfs/GMD-1834-108.pdf#page=4","Abrir facsímil")</f>
        <v>Abrir facsímil</v>
      </c>
      <c r="K16191" s="10" t="s">
        <v>24</v>
      </c>
    </row>
    <row r="16192" spans="1:11" ht="54" customHeight="1">
      <c r="A16192" s="9" t="s">
        <v>32654</v>
      </c>
      <c r="B16192" s="9" t="s">
        <v>32654</v>
      </c>
      <c r="C16192" s="9" t="s">
        <v>46</v>
      </c>
      <c r="D16192" s="9" t="s">
        <v>40</v>
      </c>
      <c r="E16192" s="10" t="s">
        <v>653</v>
      </c>
      <c r="F16192" s="9" t="s">
        <v>3369</v>
      </c>
      <c r="G16192" s="10" t="s">
        <v>75</v>
      </c>
      <c r="H16192" s="9" t="s">
        <v>22</v>
      </c>
      <c r="I16192" s="9" t="s">
        <v>32672</v>
      </c>
      <c r="J16192" s="10" t="str">
        <f>HYPERLINK("https://www.boe.es/gazeta/dias/1834/08/06/pdfs/GMD-1834-170.pdf#page=4","Abrir facsímil")</f>
        <v>Abrir facsímil</v>
      </c>
      <c r="K16192" s="10" t="s">
        <v>24</v>
      </c>
    </row>
    <row r="16193" spans="1:11" ht="54" customHeight="1">
      <c r="A16193" s="9" t="s">
        <v>32654</v>
      </c>
      <c r="B16193" s="9" t="s">
        <v>32654</v>
      </c>
      <c r="C16193" s="9" t="s">
        <v>17</v>
      </c>
      <c r="D16193" s="9" t="s">
        <v>18</v>
      </c>
      <c r="E16193" s="10" t="s">
        <v>364</v>
      </c>
      <c r="F16193" s="9" t="s">
        <v>2102</v>
      </c>
      <c r="G16193" s="10" t="s">
        <v>75</v>
      </c>
      <c r="H16193" s="9" t="s">
        <v>22</v>
      </c>
      <c r="I16193" s="9" t="s">
        <v>32673</v>
      </c>
      <c r="J16193" s="10" t="str">
        <f>HYPERLINK("https://www.boe.es/gazeta/dias/1834/09/06/pdfs/GMD-1834-204.pdf#page=4","Abrir facsímil")</f>
        <v>Abrir facsímil</v>
      </c>
      <c r="K16193" s="10" t="s">
        <v>24</v>
      </c>
    </row>
    <row r="16194" spans="1:11" ht="54" customHeight="1">
      <c r="A16194" s="9" t="s">
        <v>32654</v>
      </c>
      <c r="B16194" s="9" t="s">
        <v>32654</v>
      </c>
      <c r="C16194" s="9" t="s">
        <v>17</v>
      </c>
      <c r="D16194" s="9" t="s">
        <v>40</v>
      </c>
      <c r="E16194" s="10" t="s">
        <v>429</v>
      </c>
      <c r="F16194" s="9" t="s">
        <v>3421</v>
      </c>
      <c r="G16194" s="10" t="s">
        <v>75</v>
      </c>
      <c r="H16194" s="9" t="s">
        <v>22</v>
      </c>
      <c r="I16194" s="9" t="s">
        <v>32674</v>
      </c>
      <c r="J16194" s="10" t="str">
        <f>HYPERLINK("https://www.boe.es/gazeta/dias/1834/08/07/pdfs/GMD-1834-172.pdf#page=4","Abrir facsímil")</f>
        <v>Abrir facsímil</v>
      </c>
      <c r="K16194" s="10" t="s">
        <v>24</v>
      </c>
    </row>
    <row r="16195" spans="1:11" ht="54" customHeight="1">
      <c r="A16195" s="9" t="s">
        <v>32654</v>
      </c>
      <c r="B16195" s="9" t="s">
        <v>32654</v>
      </c>
      <c r="C16195" s="9" t="s">
        <v>66</v>
      </c>
      <c r="D16195" s="9" t="s">
        <v>67</v>
      </c>
      <c r="E16195" s="10" t="s">
        <v>860</v>
      </c>
      <c r="F16195" s="9" t="s">
        <v>861</v>
      </c>
      <c r="G16195" s="10" t="s">
        <v>470</v>
      </c>
      <c r="H16195" s="9" t="s">
        <v>22</v>
      </c>
      <c r="I16195" s="9" t="s">
        <v>32675</v>
      </c>
      <c r="J16195" s="10" t="str">
        <f>HYPERLINK("https://www.boe.es/gazeta/dias/1834/02/08/pdfs/GMD-1834-18.pdf#page=8","Abrir facsímil")</f>
        <v>Abrir facsímil</v>
      </c>
      <c r="K16195" s="10" t="s">
        <v>24</v>
      </c>
    </row>
    <row r="16196" spans="1:11" ht="54" customHeight="1">
      <c r="A16196" s="9" t="s">
        <v>32654</v>
      </c>
      <c r="B16196" s="9" t="s">
        <v>32654</v>
      </c>
      <c r="C16196" s="9" t="s">
        <v>46</v>
      </c>
      <c r="D16196" s="9" t="s">
        <v>101</v>
      </c>
      <c r="E16196" s="10" t="s">
        <v>1505</v>
      </c>
      <c r="F16196" s="9" t="s">
        <v>1506</v>
      </c>
      <c r="G16196" s="10" t="s">
        <v>75</v>
      </c>
      <c r="H16196" s="9" t="s">
        <v>22</v>
      </c>
      <c r="I16196" s="9" t="s">
        <v>32676</v>
      </c>
      <c r="J16196" s="10" t="str">
        <f>HYPERLINK("https://www.boe.es/gazeta/dias/1834/05/08/pdfs/GMD-1834-77.pdf#page=4","Abrir facsímil")</f>
        <v>Abrir facsímil</v>
      </c>
      <c r="K16196" s="10" t="s">
        <v>24</v>
      </c>
    </row>
    <row r="16197" spans="1:11" ht="54" customHeight="1">
      <c r="A16197" s="9" t="s">
        <v>32654</v>
      </c>
      <c r="B16197" s="9" t="s">
        <v>32654</v>
      </c>
      <c r="C16197" s="9" t="s">
        <v>17</v>
      </c>
      <c r="D16197" s="9" t="s">
        <v>18</v>
      </c>
      <c r="E16197" s="10" t="s">
        <v>61</v>
      </c>
      <c r="F16197" s="9" t="s">
        <v>205</v>
      </c>
      <c r="G16197" s="10" t="s">
        <v>75</v>
      </c>
      <c r="H16197" s="9" t="s">
        <v>22</v>
      </c>
      <c r="I16197" s="9" t="s">
        <v>32677</v>
      </c>
      <c r="J16197" s="10" t="str">
        <f>HYPERLINK("https://www.boe.es/gazeta/dias/1834/06/08/pdfs/GMD-1834-110.pdf#page=4","Abrir facsímil")</f>
        <v>Abrir facsímil</v>
      </c>
      <c r="K16197" s="10" t="s">
        <v>24</v>
      </c>
    </row>
    <row r="16198" spans="1:11" ht="54" customHeight="1">
      <c r="A16198" s="9" t="s">
        <v>32654</v>
      </c>
      <c r="B16198" s="9" t="s">
        <v>32654</v>
      </c>
      <c r="C16198" s="9" t="s">
        <v>17</v>
      </c>
      <c r="D16198" s="9" t="s">
        <v>101</v>
      </c>
      <c r="E16198" s="10" t="s">
        <v>1318</v>
      </c>
      <c r="F16198" s="9" t="s">
        <v>1319</v>
      </c>
      <c r="G16198" s="10" t="s">
        <v>75</v>
      </c>
      <c r="H16198" s="9" t="s">
        <v>22</v>
      </c>
      <c r="I16198" s="9" t="s">
        <v>32678</v>
      </c>
      <c r="J16198" s="10" t="str">
        <f>HYPERLINK("https://www.boe.es/gazeta/dias/1834/05/10/pdfs/GMD-1834-79.pdf#page=4","Abrir facsímil")</f>
        <v>Abrir facsímil</v>
      </c>
      <c r="K16198" s="10" t="s">
        <v>24</v>
      </c>
    </row>
    <row r="16199" spans="1:11" ht="54" customHeight="1">
      <c r="A16199" s="9" t="s">
        <v>32654</v>
      </c>
      <c r="B16199" s="9" t="s">
        <v>32654</v>
      </c>
      <c r="C16199" s="9" t="s">
        <v>17</v>
      </c>
      <c r="D16199" s="9" t="s">
        <v>18</v>
      </c>
      <c r="E16199" s="10" t="s">
        <v>939</v>
      </c>
      <c r="F16199" s="9" t="s">
        <v>940</v>
      </c>
      <c r="G16199" s="10" t="s">
        <v>75</v>
      </c>
      <c r="H16199" s="9" t="s">
        <v>22</v>
      </c>
      <c r="I16199" s="9" t="s">
        <v>32679</v>
      </c>
      <c r="J16199" s="10" t="str">
        <f>HYPERLINK("https://www.boe.es/gazeta/dias/1834/06/10/pdfs/GMD-1834-113.pdf#page=4","Abrir facsímil")</f>
        <v>Abrir facsímil</v>
      </c>
      <c r="K16199" s="10" t="s">
        <v>24</v>
      </c>
    </row>
    <row r="16200" spans="1:11" ht="54" customHeight="1">
      <c r="A16200" s="9" t="s">
        <v>32654</v>
      </c>
      <c r="B16200" s="9" t="s">
        <v>32654</v>
      </c>
      <c r="C16200" s="9" t="s">
        <v>17</v>
      </c>
      <c r="D16200" s="9" t="s">
        <v>40</v>
      </c>
      <c r="E16200" s="10" t="s">
        <v>4565</v>
      </c>
      <c r="F16200" s="9" t="s">
        <v>4566</v>
      </c>
      <c r="G16200" s="10" t="s">
        <v>75</v>
      </c>
      <c r="H16200" s="9" t="s">
        <v>22</v>
      </c>
      <c r="I16200" s="9" t="s">
        <v>32680</v>
      </c>
      <c r="J16200" s="10" t="str">
        <f>HYPERLINK("https://www.boe.es/gazeta/dias/1834/07/10/pdfs/GMD-1834-143.pdf#page=4","Abrir facsímil")</f>
        <v>Abrir facsímil</v>
      </c>
      <c r="K16200" s="10" t="s">
        <v>24</v>
      </c>
    </row>
    <row r="16201" spans="1:11" ht="54" customHeight="1">
      <c r="A16201" s="9" t="s">
        <v>32654</v>
      </c>
      <c r="B16201" s="9" t="s">
        <v>32654</v>
      </c>
      <c r="C16201" s="9" t="s">
        <v>17</v>
      </c>
      <c r="D16201" s="9" t="s">
        <v>40</v>
      </c>
      <c r="E16201" s="10" t="s">
        <v>956</v>
      </c>
      <c r="F16201" s="9" t="s">
        <v>1508</v>
      </c>
      <c r="G16201" s="10" t="s">
        <v>75</v>
      </c>
      <c r="H16201" s="9" t="s">
        <v>22</v>
      </c>
      <c r="I16201" s="9" t="s">
        <v>32681</v>
      </c>
      <c r="J16201" s="10" t="str">
        <f>HYPERLINK("https://www.boe.es/gazeta/dias/1834/08/10/pdfs/GMD-1834-175.pdf#page=4","Abrir facsímil")</f>
        <v>Abrir facsímil</v>
      </c>
      <c r="K16201" s="10" t="s">
        <v>24</v>
      </c>
    </row>
    <row r="16202" spans="1:11" ht="54" customHeight="1">
      <c r="A16202" s="9" t="s">
        <v>32654</v>
      </c>
      <c r="B16202" s="9" t="s">
        <v>32654</v>
      </c>
      <c r="C16202" s="9" t="s">
        <v>17</v>
      </c>
      <c r="D16202" s="9" t="s">
        <v>40</v>
      </c>
      <c r="E16202" s="10" t="s">
        <v>5435</v>
      </c>
      <c r="F16202" s="9" t="s">
        <v>5436</v>
      </c>
      <c r="G16202" s="10" t="s">
        <v>75</v>
      </c>
      <c r="H16202" s="9" t="s">
        <v>22</v>
      </c>
      <c r="I16202" s="9" t="s">
        <v>32682</v>
      </c>
      <c r="J16202" s="10" t="str">
        <f>HYPERLINK("https://www.boe.es/gazeta/dias/1834/05/11/pdfs/GMD-1834-80.pdf#page=4","Abrir facsímil")</f>
        <v>Abrir facsímil</v>
      </c>
      <c r="K16202" s="10" t="s">
        <v>24</v>
      </c>
    </row>
    <row r="16203" spans="1:11" ht="54" customHeight="1">
      <c r="A16203" s="9" t="s">
        <v>32654</v>
      </c>
      <c r="B16203" s="9" t="s">
        <v>32654</v>
      </c>
      <c r="C16203" s="9" t="s">
        <v>17</v>
      </c>
      <c r="D16203" s="9" t="s">
        <v>40</v>
      </c>
      <c r="E16203" s="10" t="s">
        <v>1839</v>
      </c>
      <c r="F16203" s="9" t="s">
        <v>3598</v>
      </c>
      <c r="G16203" s="10" t="s">
        <v>75</v>
      </c>
      <c r="H16203" s="9" t="s">
        <v>22</v>
      </c>
      <c r="I16203" s="9" t="s">
        <v>32683</v>
      </c>
      <c r="J16203" s="10" t="str">
        <f>HYPERLINK("https://www.boe.es/gazeta/dias/1834/08/12/pdfs/GMD-1834-177.pdf#page=4","Abrir facsímil")</f>
        <v>Abrir facsímil</v>
      </c>
      <c r="K16203" s="10" t="s">
        <v>24</v>
      </c>
    </row>
    <row r="16204" spans="1:11" ht="54" customHeight="1">
      <c r="A16204" s="9" t="s">
        <v>32654</v>
      </c>
      <c r="B16204" s="9" t="s">
        <v>32654</v>
      </c>
      <c r="C16204" s="9" t="s">
        <v>66</v>
      </c>
      <c r="D16204" s="9" t="s">
        <v>67</v>
      </c>
      <c r="E16204" s="10" t="s">
        <v>299</v>
      </c>
      <c r="F16204" s="9" t="s">
        <v>300</v>
      </c>
      <c r="G16204" s="10" t="s">
        <v>75</v>
      </c>
      <c r="H16204" s="9" t="s">
        <v>22</v>
      </c>
      <c r="I16204" s="9" t="s">
        <v>32684</v>
      </c>
      <c r="J16204" s="10" t="str">
        <f>HYPERLINK("https://www.boe.es/gazeta/dias/1834/12/12/pdfs/GMD-1834-301.pdf#page=4","Abrir facsímil")</f>
        <v>Abrir facsímil</v>
      </c>
      <c r="K16204" s="10" t="s">
        <v>24</v>
      </c>
    </row>
    <row r="16205" spans="1:11" ht="54" customHeight="1">
      <c r="A16205" s="9" t="s">
        <v>32654</v>
      </c>
      <c r="B16205" s="9" t="s">
        <v>32654</v>
      </c>
      <c r="C16205" s="9" t="s">
        <v>17</v>
      </c>
      <c r="D16205" s="9" t="s">
        <v>40</v>
      </c>
      <c r="E16205" s="10" t="s">
        <v>91</v>
      </c>
      <c r="F16205" s="9" t="s">
        <v>92</v>
      </c>
      <c r="G16205" s="10" t="s">
        <v>75</v>
      </c>
      <c r="H16205" s="9" t="s">
        <v>22</v>
      </c>
      <c r="I16205" s="9" t="s">
        <v>32685</v>
      </c>
      <c r="J16205" s="10" t="str">
        <f>HYPERLINK("https://www.boe.es/gazeta/dias/1834/02/13/pdfs/GMD-1834-20.pdf#page=4","Abrir facsímil")</f>
        <v>Abrir facsímil</v>
      </c>
      <c r="K16205" s="10" t="s">
        <v>24</v>
      </c>
    </row>
    <row r="16206" spans="1:11" ht="54" customHeight="1">
      <c r="A16206" s="9" t="s">
        <v>32654</v>
      </c>
      <c r="B16206" s="9" t="s">
        <v>32654</v>
      </c>
      <c r="C16206" s="9" t="s">
        <v>66</v>
      </c>
      <c r="D16206" s="9" t="s">
        <v>67</v>
      </c>
      <c r="E16206" s="10" t="s">
        <v>1094</v>
      </c>
      <c r="F16206" s="9" t="s">
        <v>1095</v>
      </c>
      <c r="G16206" s="10" t="s">
        <v>75</v>
      </c>
      <c r="H16206" s="9" t="s">
        <v>22</v>
      </c>
      <c r="I16206" s="9" t="s">
        <v>32686</v>
      </c>
      <c r="J16206" s="10" t="str">
        <f>HYPERLINK("https://www.boe.es/gazeta/dias/1834/07/13/pdfs/GMD-1834-146.pdf#page=4","Abrir facsímil")</f>
        <v>Abrir facsímil</v>
      </c>
      <c r="K16206" s="10" t="s">
        <v>24</v>
      </c>
    </row>
    <row r="16207" spans="1:11" ht="54" customHeight="1">
      <c r="A16207" s="9" t="s">
        <v>32654</v>
      </c>
      <c r="B16207" s="9" t="s">
        <v>32654</v>
      </c>
      <c r="C16207" s="9" t="s">
        <v>17</v>
      </c>
      <c r="D16207" s="9" t="s">
        <v>18</v>
      </c>
      <c r="E16207" s="10" t="s">
        <v>479</v>
      </c>
      <c r="F16207" s="9" t="s">
        <v>480</v>
      </c>
      <c r="G16207" s="10" t="s">
        <v>75</v>
      </c>
      <c r="H16207" s="9" t="s">
        <v>22</v>
      </c>
      <c r="I16207" s="9" t="s">
        <v>32687</v>
      </c>
      <c r="J16207" s="10" t="str">
        <f>HYPERLINK("https://www.boe.es/gazeta/dias/1834/08/13/pdfs/GMD-1834-178.pdf#page=4","Abrir facsímil")</f>
        <v>Abrir facsímil</v>
      </c>
      <c r="K16207" s="10" t="s">
        <v>24</v>
      </c>
    </row>
    <row r="16208" spans="1:11" ht="54" customHeight="1">
      <c r="A16208" s="9" t="s">
        <v>32654</v>
      </c>
      <c r="B16208" s="9" t="s">
        <v>32654</v>
      </c>
      <c r="C16208" s="9" t="s">
        <v>17</v>
      </c>
      <c r="D16208" s="9" t="s">
        <v>18</v>
      </c>
      <c r="E16208" s="10" t="s">
        <v>1981</v>
      </c>
      <c r="F16208" s="9" t="s">
        <v>1982</v>
      </c>
      <c r="G16208" s="10" t="s">
        <v>75</v>
      </c>
      <c r="H16208" s="9" t="s">
        <v>22</v>
      </c>
      <c r="I16208" s="9" t="s">
        <v>32688</v>
      </c>
      <c r="J16208" s="10" t="str">
        <f>HYPERLINK("https://www.boe.es/gazeta/dias/1834/12/13/pdfs/GMD-1834-302.pdf#page=4","Abrir facsímil")</f>
        <v>Abrir facsímil</v>
      </c>
      <c r="K16208" s="10" t="s">
        <v>24</v>
      </c>
    </row>
    <row r="16209" spans="1:11" ht="54" customHeight="1">
      <c r="A16209" s="9" t="s">
        <v>32654</v>
      </c>
      <c r="B16209" s="9" t="s">
        <v>32654</v>
      </c>
      <c r="C16209" s="9" t="s">
        <v>17</v>
      </c>
      <c r="D16209" s="9" t="s">
        <v>40</v>
      </c>
      <c r="E16209" s="10" t="s">
        <v>343</v>
      </c>
      <c r="F16209" s="9" t="s">
        <v>344</v>
      </c>
      <c r="G16209" s="10" t="s">
        <v>75</v>
      </c>
      <c r="H16209" s="9" t="s">
        <v>22</v>
      </c>
      <c r="I16209" s="9" t="s">
        <v>32689</v>
      </c>
      <c r="J16209" s="10" t="str">
        <f>HYPERLINK("https://www.boe.es/gazeta/dias/1834/01/14/pdfs/GMD-1834-7.pdf#page=4","Abrir facsímil")</f>
        <v>Abrir facsímil</v>
      </c>
      <c r="K16209" s="10" t="s">
        <v>24</v>
      </c>
    </row>
    <row r="16210" spans="1:11" ht="54" customHeight="1">
      <c r="A16210" s="9" t="s">
        <v>32654</v>
      </c>
      <c r="B16210" s="9" t="s">
        <v>32654</v>
      </c>
      <c r="C16210" s="9" t="s">
        <v>17</v>
      </c>
      <c r="D16210" s="9" t="s">
        <v>40</v>
      </c>
      <c r="E16210" s="10" t="s">
        <v>1273</v>
      </c>
      <c r="F16210" s="9" t="s">
        <v>1274</v>
      </c>
      <c r="G16210" s="10" t="s">
        <v>75</v>
      </c>
      <c r="H16210" s="9" t="s">
        <v>22</v>
      </c>
      <c r="I16210" s="9" t="s">
        <v>32690</v>
      </c>
      <c r="J16210" s="10" t="str">
        <f>HYPERLINK("https://www.boe.es/gazeta/dias/1834/05/14/pdfs/GMD-1834-83.pdf#page=4","Abrir facsímil")</f>
        <v>Abrir facsímil</v>
      </c>
      <c r="K16210" s="10" t="s">
        <v>24</v>
      </c>
    </row>
    <row r="16211" spans="1:11" ht="54" customHeight="1">
      <c r="A16211" s="9" t="s">
        <v>32654</v>
      </c>
      <c r="B16211" s="9" t="s">
        <v>32654</v>
      </c>
      <c r="C16211" s="9" t="s">
        <v>17</v>
      </c>
      <c r="D16211" s="9" t="s">
        <v>18</v>
      </c>
      <c r="E16211" s="10" t="s">
        <v>3057</v>
      </c>
      <c r="F16211" s="9" t="s">
        <v>3058</v>
      </c>
      <c r="G16211" s="10" t="s">
        <v>75</v>
      </c>
      <c r="H16211" s="9" t="s">
        <v>22</v>
      </c>
      <c r="I16211" s="9" t="s">
        <v>32691</v>
      </c>
      <c r="J16211" s="10" t="str">
        <f>HYPERLINK("https://www.boe.es/gazeta/dias/1834/06/14/pdfs/GMD-1834-117.pdf#page=4","Abrir facsímil")</f>
        <v>Abrir facsímil</v>
      </c>
      <c r="K16211" s="10" t="s">
        <v>24</v>
      </c>
    </row>
    <row r="16212" spans="1:11" ht="54" customHeight="1">
      <c r="A16212" s="9" t="s">
        <v>32654</v>
      </c>
      <c r="B16212" s="9" t="s">
        <v>32654</v>
      </c>
      <c r="C16212" s="9" t="s">
        <v>17</v>
      </c>
      <c r="D16212" s="9" t="s">
        <v>40</v>
      </c>
      <c r="E16212" s="10" t="s">
        <v>2087</v>
      </c>
      <c r="F16212" s="9" t="s">
        <v>2088</v>
      </c>
      <c r="G16212" s="10" t="s">
        <v>75</v>
      </c>
      <c r="H16212" s="9" t="s">
        <v>22</v>
      </c>
      <c r="I16212" s="9" t="s">
        <v>32692</v>
      </c>
      <c r="J16212" s="10" t="str">
        <f>HYPERLINK("https://www.boe.es/gazeta/dias/1834/12/14/pdfs/GMD-1834-303.pdf#page=4","Abrir facsímil")</f>
        <v>Abrir facsímil</v>
      </c>
      <c r="K16212" s="10" t="s">
        <v>24</v>
      </c>
    </row>
    <row r="16213" spans="1:11" ht="54" customHeight="1">
      <c r="A16213" s="9" t="s">
        <v>32654</v>
      </c>
      <c r="B16213" s="9" t="s">
        <v>32654</v>
      </c>
      <c r="C16213" s="9" t="s">
        <v>17</v>
      </c>
      <c r="D16213" s="9" t="s">
        <v>40</v>
      </c>
      <c r="E16213" s="10" t="s">
        <v>912</v>
      </c>
      <c r="F16213" s="9" t="s">
        <v>913</v>
      </c>
      <c r="G16213" s="10" t="s">
        <v>176</v>
      </c>
      <c r="H16213" s="9" t="s">
        <v>22</v>
      </c>
      <c r="I16213" s="9" t="s">
        <v>32693</v>
      </c>
      <c r="J16213" s="10" t="str">
        <f>HYPERLINK("https://www.boe.es/gazeta/dias/1834/02/15/pdfs/GMD-1834-21.pdf#page=6","Abrir facsímil")</f>
        <v>Abrir facsímil</v>
      </c>
      <c r="K16213" s="10" t="s">
        <v>24</v>
      </c>
    </row>
    <row r="16214" spans="1:11" ht="54" customHeight="1">
      <c r="A16214" s="9" t="s">
        <v>32654</v>
      </c>
      <c r="B16214" s="9" t="s">
        <v>32654</v>
      </c>
      <c r="C16214" s="9" t="s">
        <v>66</v>
      </c>
      <c r="D16214" s="9" t="s">
        <v>67</v>
      </c>
      <c r="E16214" s="10" t="s">
        <v>1234</v>
      </c>
      <c r="F16214" s="9" t="s">
        <v>1455</v>
      </c>
      <c r="G16214" s="10" t="s">
        <v>75</v>
      </c>
      <c r="H16214" s="9" t="s">
        <v>22</v>
      </c>
      <c r="I16214" s="9" t="s">
        <v>32694</v>
      </c>
      <c r="J16214" s="10" t="str">
        <f>HYPERLINK("https://www.boe.es/gazeta/dias/1834/05/15/pdfs/GMD-1834-84.pdf#page=4","Abrir facsímil")</f>
        <v>Abrir facsímil</v>
      </c>
      <c r="K16214" s="10" t="s">
        <v>24</v>
      </c>
    </row>
    <row r="16215" spans="1:11" ht="54" customHeight="1">
      <c r="A16215" s="9" t="s">
        <v>32654</v>
      </c>
      <c r="B16215" s="9" t="s">
        <v>32654</v>
      </c>
      <c r="C16215" s="9" t="s">
        <v>17</v>
      </c>
      <c r="D16215" s="9" t="s">
        <v>40</v>
      </c>
      <c r="E16215" s="10" t="s">
        <v>326</v>
      </c>
      <c r="F16215" s="9" t="s">
        <v>327</v>
      </c>
      <c r="G16215" s="10" t="s">
        <v>75</v>
      </c>
      <c r="H16215" s="9" t="s">
        <v>22</v>
      </c>
      <c r="I16215" s="9" t="s">
        <v>32695</v>
      </c>
      <c r="J16215" s="10" t="str">
        <f>HYPERLINK("https://www.boe.es/gazeta/dias/1834/07/15/pdfs/GMD-1834-148.pdf#page=4","Abrir facsímil")</f>
        <v>Abrir facsímil</v>
      </c>
      <c r="K16215" s="10" t="s">
        <v>24</v>
      </c>
    </row>
    <row r="16216" spans="1:11" ht="54" customHeight="1">
      <c r="A16216" s="9" t="s">
        <v>32654</v>
      </c>
      <c r="B16216" s="9" t="s">
        <v>32654</v>
      </c>
      <c r="C16216" s="9" t="s">
        <v>17</v>
      </c>
      <c r="D16216" s="9" t="s">
        <v>18</v>
      </c>
      <c r="E16216" s="10" t="s">
        <v>928</v>
      </c>
      <c r="F16216" s="9" t="s">
        <v>3338</v>
      </c>
      <c r="G16216" s="10" t="s">
        <v>75</v>
      </c>
      <c r="H16216" s="9" t="s">
        <v>22</v>
      </c>
      <c r="I16216" s="9" t="s">
        <v>32696</v>
      </c>
      <c r="J16216" s="10" t="str">
        <f>HYPERLINK("https://www.boe.es/gazeta/dias/1834/11/15/pdfs/GMD-1834-274.pdf#page=4","Abrir facsímil")</f>
        <v>Abrir facsímil</v>
      </c>
      <c r="K16216" s="10" t="s">
        <v>24</v>
      </c>
    </row>
    <row r="16217" spans="1:11" ht="54" customHeight="1">
      <c r="A16217" s="9" t="s">
        <v>32654</v>
      </c>
      <c r="B16217" s="9" t="s">
        <v>32654</v>
      </c>
      <c r="C16217" s="9" t="s">
        <v>17</v>
      </c>
      <c r="D16217" s="9" t="s">
        <v>40</v>
      </c>
      <c r="E16217" s="10" t="s">
        <v>2398</v>
      </c>
      <c r="F16217" s="9" t="s">
        <v>2399</v>
      </c>
      <c r="G16217" s="10" t="s">
        <v>75</v>
      </c>
      <c r="H16217" s="9" t="s">
        <v>22</v>
      </c>
      <c r="I16217" s="9" t="s">
        <v>32697</v>
      </c>
      <c r="J16217" s="10" t="str">
        <f>HYPERLINK("https://www.boe.es/gazeta/dias/1834/01/16/pdfs/GMD-1834-8.pdf#page=4","Abrir facsímil")</f>
        <v>Abrir facsímil</v>
      </c>
      <c r="K16217" s="10" t="s">
        <v>24</v>
      </c>
    </row>
    <row r="16218" spans="1:11" ht="54" customHeight="1">
      <c r="A16218" s="9" t="s">
        <v>32654</v>
      </c>
      <c r="B16218" s="9" t="s">
        <v>32654</v>
      </c>
      <c r="C16218" s="9" t="s">
        <v>857</v>
      </c>
      <c r="D16218" s="9" t="s">
        <v>40</v>
      </c>
      <c r="E16218" s="10" t="s">
        <v>663</v>
      </c>
      <c r="F16218" s="9" t="s">
        <v>664</v>
      </c>
      <c r="G16218" s="10" t="s">
        <v>75</v>
      </c>
      <c r="H16218" s="9" t="s">
        <v>22</v>
      </c>
      <c r="I16218" s="9" t="s">
        <v>32698</v>
      </c>
      <c r="J16218" s="10" t="str">
        <f>HYPERLINK("https://www.boe.es/gazeta/dias/1834/07/16/pdfs/GMD-1834-149.pdf#page=4","Abrir facsímil")</f>
        <v>Abrir facsímil</v>
      </c>
      <c r="K16218" s="10" t="s">
        <v>24</v>
      </c>
    </row>
    <row r="16219" spans="1:11" ht="54" customHeight="1">
      <c r="A16219" s="9" t="s">
        <v>32654</v>
      </c>
      <c r="B16219" s="9" t="s">
        <v>32654</v>
      </c>
      <c r="C16219" s="9" t="s">
        <v>46</v>
      </c>
      <c r="D16219" s="9" t="s">
        <v>101</v>
      </c>
      <c r="E16219" s="10" t="s">
        <v>233</v>
      </c>
      <c r="F16219" s="9" t="s">
        <v>234</v>
      </c>
      <c r="G16219" s="10" t="s">
        <v>75</v>
      </c>
      <c r="H16219" s="9" t="s">
        <v>22</v>
      </c>
      <c r="I16219" s="9" t="s">
        <v>32699</v>
      </c>
      <c r="J16219" s="10" t="str">
        <f>HYPERLINK("https://www.boe.es/gazeta/dias/1834/12/16/pdfs/GMD-1834-305.pdf#page=4","Abrir facsímil")</f>
        <v>Abrir facsímil</v>
      </c>
      <c r="K16219" s="10" t="s">
        <v>24</v>
      </c>
    </row>
    <row r="16220" spans="1:11" ht="54" customHeight="1">
      <c r="A16220" s="9" t="s">
        <v>32654</v>
      </c>
      <c r="B16220" s="9" t="s">
        <v>32654</v>
      </c>
      <c r="C16220" s="9" t="s">
        <v>17</v>
      </c>
      <c r="D16220" s="9" t="s">
        <v>40</v>
      </c>
      <c r="E16220" s="10" t="s">
        <v>138</v>
      </c>
      <c r="F16220" s="9" t="s">
        <v>139</v>
      </c>
      <c r="G16220" s="10" t="s">
        <v>75</v>
      </c>
      <c r="H16220" s="9" t="s">
        <v>22</v>
      </c>
      <c r="I16220" s="9" t="s">
        <v>32700</v>
      </c>
      <c r="J16220" s="10" t="str">
        <f>HYPERLINK("https://www.boe.es/gazeta/dias/1834/05/17/pdfs/GMD-1834-86.pdf#page=4","Abrir facsímil")</f>
        <v>Abrir facsímil</v>
      </c>
      <c r="K16220" s="10" t="s">
        <v>24</v>
      </c>
    </row>
    <row r="16221" spans="1:11" ht="54" customHeight="1">
      <c r="A16221" s="9" t="s">
        <v>32654</v>
      </c>
      <c r="B16221" s="9" t="s">
        <v>32654</v>
      </c>
      <c r="C16221" s="9" t="s">
        <v>17</v>
      </c>
      <c r="D16221" s="9" t="s">
        <v>18</v>
      </c>
      <c r="E16221" s="10" t="s">
        <v>4237</v>
      </c>
      <c r="F16221" s="9" t="s">
        <v>4238</v>
      </c>
      <c r="G16221" s="10" t="s">
        <v>75</v>
      </c>
      <c r="H16221" s="9" t="s">
        <v>22</v>
      </c>
      <c r="I16221" s="9" t="s">
        <v>32701</v>
      </c>
      <c r="J16221" s="10" t="str">
        <f>HYPERLINK("https://www.boe.es/gazeta/dias/1834/06/17/pdfs/GMD-1834-120.pdf#page=4","Abrir facsímil")</f>
        <v>Abrir facsímil</v>
      </c>
      <c r="K16221" s="10" t="s">
        <v>24</v>
      </c>
    </row>
    <row r="16222" spans="1:11" ht="54" customHeight="1">
      <c r="A16222" s="9" t="s">
        <v>32654</v>
      </c>
      <c r="B16222" s="9" t="s">
        <v>32654</v>
      </c>
      <c r="C16222" s="9" t="s">
        <v>17</v>
      </c>
      <c r="D16222" s="9" t="s">
        <v>18</v>
      </c>
      <c r="E16222" s="10" t="s">
        <v>866</v>
      </c>
      <c r="F16222" s="9" t="s">
        <v>867</v>
      </c>
      <c r="G16222" s="10" t="s">
        <v>75</v>
      </c>
      <c r="H16222" s="9" t="s">
        <v>22</v>
      </c>
      <c r="I16222" s="9" t="s">
        <v>32702</v>
      </c>
      <c r="J16222" s="10" t="str">
        <f>HYPERLINK("https://www.boe.es/gazeta/dias/1834/01/18/pdfs/GMD-1834-9.pdf#page=4","Abrir facsímil")</f>
        <v>Abrir facsímil</v>
      </c>
      <c r="K16222" s="10" t="s">
        <v>24</v>
      </c>
    </row>
    <row r="16223" spans="1:11" ht="54" customHeight="1">
      <c r="A16223" s="9" t="s">
        <v>32654</v>
      </c>
      <c r="B16223" s="9" t="s">
        <v>32654</v>
      </c>
      <c r="C16223" s="9" t="s">
        <v>17</v>
      </c>
      <c r="D16223" s="9" t="s">
        <v>55</v>
      </c>
      <c r="E16223" s="10" t="s">
        <v>133</v>
      </c>
      <c r="F16223" s="9" t="s">
        <v>134</v>
      </c>
      <c r="G16223" s="10" t="s">
        <v>75</v>
      </c>
      <c r="H16223" s="9" t="s">
        <v>22</v>
      </c>
      <c r="I16223" s="9" t="s">
        <v>32703</v>
      </c>
      <c r="J16223" s="10" t="str">
        <f>HYPERLINK("https://www.boe.es/gazeta/dias/1834/06/18/pdfs/GMD-1834-121.pdf#page=4","Abrir facsímil")</f>
        <v>Abrir facsímil</v>
      </c>
      <c r="K16223" s="10" t="s">
        <v>24</v>
      </c>
    </row>
    <row r="16224" spans="1:11" ht="54" customHeight="1">
      <c r="A16224" s="9" t="s">
        <v>32654</v>
      </c>
      <c r="B16224" s="9" t="s">
        <v>32654</v>
      </c>
      <c r="C16224" s="9" t="s">
        <v>17</v>
      </c>
      <c r="D16224" s="9" t="s">
        <v>40</v>
      </c>
      <c r="E16224" s="10" t="s">
        <v>838</v>
      </c>
      <c r="F16224" s="9" t="s">
        <v>839</v>
      </c>
      <c r="G16224" s="10" t="s">
        <v>75</v>
      </c>
      <c r="H16224" s="9" t="s">
        <v>22</v>
      </c>
      <c r="I16224" s="9" t="s">
        <v>32704</v>
      </c>
      <c r="J16224" s="10" t="str">
        <f>HYPERLINK("https://www.boe.es/gazeta/dias/1834/07/18/pdfs/GMD-1834-151.pdf#page=4","Abrir facsímil")</f>
        <v>Abrir facsímil</v>
      </c>
      <c r="K16224" s="10" t="s">
        <v>24</v>
      </c>
    </row>
    <row r="16225" spans="1:11" ht="54" customHeight="1">
      <c r="A16225" s="9" t="s">
        <v>32654</v>
      </c>
      <c r="B16225" s="9" t="s">
        <v>32654</v>
      </c>
      <c r="C16225" s="9" t="s">
        <v>17</v>
      </c>
      <c r="D16225" s="9" t="s">
        <v>55</v>
      </c>
      <c r="E16225" s="10" t="s">
        <v>3036</v>
      </c>
      <c r="F16225" s="9" t="s">
        <v>3372</v>
      </c>
      <c r="G16225" s="10" t="s">
        <v>75</v>
      </c>
      <c r="H16225" s="9" t="s">
        <v>22</v>
      </c>
      <c r="I16225" s="9" t="s">
        <v>32705</v>
      </c>
      <c r="J16225" s="10" t="str">
        <f>HYPERLINK("https://www.boe.es/gazeta/dias/1834/11/18/pdfs/GMD-1834-277.pdf#page=4","Abrir facsímil")</f>
        <v>Abrir facsímil</v>
      </c>
      <c r="K16225" s="10" t="s">
        <v>24</v>
      </c>
    </row>
    <row r="16226" spans="1:11" ht="54" customHeight="1">
      <c r="A16226" s="9" t="s">
        <v>32654</v>
      </c>
      <c r="B16226" s="9" t="s">
        <v>32654</v>
      </c>
      <c r="C16226" s="9" t="s">
        <v>17</v>
      </c>
      <c r="D16226" s="9" t="s">
        <v>40</v>
      </c>
      <c r="E16226" s="10" t="s">
        <v>1669</v>
      </c>
      <c r="F16226" s="9" t="s">
        <v>1670</v>
      </c>
      <c r="G16226" s="10" t="s">
        <v>75</v>
      </c>
      <c r="H16226" s="9" t="s">
        <v>22</v>
      </c>
      <c r="I16226" s="9" t="s">
        <v>32706</v>
      </c>
      <c r="J16226" s="10" t="str">
        <f>HYPERLINK("https://www.boe.es/gazeta/dias/1834/06/19/pdfs/GMD-1834-122.pdf#page=4","Abrir facsímil")</f>
        <v>Abrir facsímil</v>
      </c>
      <c r="K16226" s="10" t="s">
        <v>24</v>
      </c>
    </row>
    <row r="16227" spans="1:11" ht="54" customHeight="1">
      <c r="A16227" s="9" t="s">
        <v>32654</v>
      </c>
      <c r="B16227" s="9" t="s">
        <v>32654</v>
      </c>
      <c r="C16227" s="9" t="s">
        <v>17</v>
      </c>
      <c r="D16227" s="9" t="s">
        <v>40</v>
      </c>
      <c r="E16227" s="10" t="s">
        <v>3810</v>
      </c>
      <c r="F16227" s="9" t="s">
        <v>3811</v>
      </c>
      <c r="G16227" s="10" t="s">
        <v>75</v>
      </c>
      <c r="H16227" s="9" t="s">
        <v>22</v>
      </c>
      <c r="I16227" s="9" t="s">
        <v>32707</v>
      </c>
      <c r="J16227" s="10" t="str">
        <f>HYPERLINK("https://www.boe.es/gazeta/dias/1834/02/20/pdfs/GMD-1834-23.pdf#page=4","Abrir facsímil")</f>
        <v>Abrir facsímil</v>
      </c>
      <c r="K16227" s="10" t="s">
        <v>24</v>
      </c>
    </row>
    <row r="16228" spans="1:11" ht="54" customHeight="1">
      <c r="A16228" s="9" t="s">
        <v>32654</v>
      </c>
      <c r="B16228" s="9" t="s">
        <v>32654</v>
      </c>
      <c r="C16228" s="9" t="s">
        <v>17</v>
      </c>
      <c r="D16228" s="9" t="s">
        <v>18</v>
      </c>
      <c r="E16228" s="10" t="s">
        <v>4169</v>
      </c>
      <c r="F16228" s="9" t="s">
        <v>4170</v>
      </c>
      <c r="G16228" s="10" t="s">
        <v>75</v>
      </c>
      <c r="H16228" s="9" t="s">
        <v>22</v>
      </c>
      <c r="I16228" s="9" t="s">
        <v>32708</v>
      </c>
      <c r="J16228" s="10" t="str">
        <f>HYPERLINK("https://www.boe.es/gazeta/dias/1834/11/20/pdfs/GMD-1834-279.pdf#page=4","Abrir facsímil")</f>
        <v>Abrir facsímil</v>
      </c>
      <c r="K16228" s="10" t="s">
        <v>24</v>
      </c>
    </row>
    <row r="16229" spans="1:11" ht="54" customHeight="1">
      <c r="A16229" s="9" t="s">
        <v>32654</v>
      </c>
      <c r="B16229" s="9" t="s">
        <v>32654</v>
      </c>
      <c r="C16229" s="9" t="s">
        <v>17</v>
      </c>
      <c r="D16229" s="9" t="s">
        <v>40</v>
      </c>
      <c r="E16229" s="10" t="s">
        <v>1973</v>
      </c>
      <c r="F16229" s="9" t="s">
        <v>4832</v>
      </c>
      <c r="G16229" s="10" t="s">
        <v>75</v>
      </c>
      <c r="H16229" s="9" t="s">
        <v>22</v>
      </c>
      <c r="I16229" s="9" t="s">
        <v>32709</v>
      </c>
      <c r="J16229" s="10" t="str">
        <f>HYPERLINK("https://www.boe.es/gazeta/dias/1834/12/20/pdfs/GMD-1834-310.pdf#page=4","Abrir facsímil")</f>
        <v>Abrir facsímil</v>
      </c>
      <c r="K16229" s="10" t="s">
        <v>24</v>
      </c>
    </row>
    <row r="16230" spans="1:11" ht="54" customHeight="1">
      <c r="A16230" s="9" t="s">
        <v>32654</v>
      </c>
      <c r="B16230" s="9" t="s">
        <v>32654</v>
      </c>
      <c r="C16230" s="9" t="s">
        <v>17</v>
      </c>
      <c r="D16230" s="9" t="s">
        <v>40</v>
      </c>
      <c r="E16230" s="10" t="s">
        <v>849</v>
      </c>
      <c r="F16230" s="9" t="s">
        <v>850</v>
      </c>
      <c r="G16230" s="10" t="s">
        <v>75</v>
      </c>
      <c r="H16230" s="9" t="s">
        <v>22</v>
      </c>
      <c r="I16230" s="9" t="s">
        <v>32710</v>
      </c>
      <c r="J16230" s="10" t="str">
        <f>HYPERLINK("https://www.boe.es/gazeta/dias/1834/06/21/pdfs/GMD-1834-124.pdf#page=4","Abrir facsímil")</f>
        <v>Abrir facsímil</v>
      </c>
      <c r="K16230" s="10" t="s">
        <v>24</v>
      </c>
    </row>
    <row r="16231" spans="1:11" ht="54" customHeight="1">
      <c r="A16231" s="9" t="s">
        <v>32654</v>
      </c>
      <c r="B16231" s="9" t="s">
        <v>32654</v>
      </c>
      <c r="C16231" s="9" t="s">
        <v>17</v>
      </c>
      <c r="D16231" s="9" t="s">
        <v>18</v>
      </c>
      <c r="E16231" s="10" t="s">
        <v>492</v>
      </c>
      <c r="F16231" s="9" t="s">
        <v>1672</v>
      </c>
      <c r="G16231" s="10" t="s">
        <v>75</v>
      </c>
      <c r="H16231" s="9" t="s">
        <v>22</v>
      </c>
      <c r="I16231" s="9" t="s">
        <v>32711</v>
      </c>
      <c r="J16231" s="10" t="str">
        <f>HYPERLINK("https://www.boe.es/gazeta/dias/1834/11/21/pdfs/GMD-1834-280.pdf#page=4","Abrir facsímil")</f>
        <v>Abrir facsímil</v>
      </c>
      <c r="K16231" s="10" t="s">
        <v>24</v>
      </c>
    </row>
    <row r="16232" spans="1:11" ht="54" customHeight="1">
      <c r="A16232" s="9" t="s">
        <v>32654</v>
      </c>
      <c r="B16232" s="9" t="s">
        <v>32654</v>
      </c>
      <c r="C16232" s="9" t="s">
        <v>17</v>
      </c>
      <c r="D16232" s="9" t="s">
        <v>18</v>
      </c>
      <c r="E16232" s="10" t="s">
        <v>610</v>
      </c>
      <c r="F16232" s="9" t="s">
        <v>1374</v>
      </c>
      <c r="G16232" s="10" t="s">
        <v>75</v>
      </c>
      <c r="H16232" s="9" t="s">
        <v>22</v>
      </c>
      <c r="I16232" s="9" t="s">
        <v>32712</v>
      </c>
      <c r="J16232" s="10" t="str">
        <f>HYPERLINK("https://www.boe.es/gazeta/dias/1834/12/21/pdfs/GMD-1834-311.pdf#page=4","Abrir facsímil")</f>
        <v>Abrir facsímil</v>
      </c>
      <c r="K16232" s="10" t="s">
        <v>24</v>
      </c>
    </row>
    <row r="16233" spans="1:11" ht="54" customHeight="1">
      <c r="A16233" s="9" t="s">
        <v>32654</v>
      </c>
      <c r="B16233" s="9" t="s">
        <v>32654</v>
      </c>
      <c r="C16233" s="9" t="s">
        <v>17</v>
      </c>
      <c r="D16233" s="9" t="s">
        <v>40</v>
      </c>
      <c r="E16233" s="10" t="s">
        <v>1323</v>
      </c>
      <c r="F16233" s="9" t="s">
        <v>1324</v>
      </c>
      <c r="G16233" s="10" t="s">
        <v>75</v>
      </c>
      <c r="H16233" s="9" t="s">
        <v>22</v>
      </c>
      <c r="I16233" s="9" t="s">
        <v>32713</v>
      </c>
      <c r="J16233" s="10" t="str">
        <f>HYPERLINK("https://www.boe.es/gazeta/dias/1834/05/22/pdfs/GMD-1834-91.pdf#page=4","Abrir facsímil")</f>
        <v>Abrir facsímil</v>
      </c>
      <c r="K16233" s="10" t="s">
        <v>24</v>
      </c>
    </row>
    <row r="16234" spans="1:11" ht="54" customHeight="1">
      <c r="A16234" s="9" t="s">
        <v>32654</v>
      </c>
      <c r="B16234" s="9" t="s">
        <v>32654</v>
      </c>
      <c r="C16234" s="9" t="s">
        <v>17</v>
      </c>
      <c r="D16234" s="9" t="s">
        <v>18</v>
      </c>
      <c r="E16234" s="10" t="s">
        <v>3488</v>
      </c>
      <c r="F16234" s="9" t="s">
        <v>3489</v>
      </c>
      <c r="G16234" s="10" t="s">
        <v>75</v>
      </c>
      <c r="H16234" s="9" t="s">
        <v>22</v>
      </c>
      <c r="I16234" s="9" t="s">
        <v>32714</v>
      </c>
      <c r="J16234" s="10" t="str">
        <f>HYPERLINK("https://www.boe.es/gazeta/dias/1834/06/22/pdfs/GMD-1834-125.pdf#page=4","Abrir facsímil")</f>
        <v>Abrir facsímil</v>
      </c>
      <c r="K16234" s="10" t="s">
        <v>24</v>
      </c>
    </row>
    <row r="16235" spans="1:11" ht="54" customHeight="1">
      <c r="A16235" s="9" t="s">
        <v>32654</v>
      </c>
      <c r="B16235" s="9" t="s">
        <v>32654</v>
      </c>
      <c r="C16235" s="9" t="s">
        <v>17</v>
      </c>
      <c r="D16235" s="9" t="s">
        <v>40</v>
      </c>
      <c r="E16235" s="10" t="s">
        <v>702</v>
      </c>
      <c r="F16235" s="9" t="s">
        <v>2427</v>
      </c>
      <c r="G16235" s="10" t="s">
        <v>75</v>
      </c>
      <c r="H16235" s="9" t="s">
        <v>22</v>
      </c>
      <c r="I16235" s="9" t="s">
        <v>32715</v>
      </c>
      <c r="J16235" s="10" t="str">
        <f>HYPERLINK("https://www.boe.es/gazeta/dias/1834/11/22/pdfs/GMD-1834-281.pdf#page=4","Abrir facsímil")</f>
        <v>Abrir facsímil</v>
      </c>
      <c r="K16235" s="10" t="s">
        <v>24</v>
      </c>
    </row>
    <row r="16236" spans="1:11" ht="54" customHeight="1">
      <c r="A16236" s="9" t="s">
        <v>32654</v>
      </c>
      <c r="B16236" s="9" t="s">
        <v>32654</v>
      </c>
      <c r="C16236" s="9" t="s">
        <v>122</v>
      </c>
      <c r="D16236" s="9" t="s">
        <v>18</v>
      </c>
      <c r="E16236" s="10" t="s">
        <v>2888</v>
      </c>
      <c r="F16236" s="9" t="s">
        <v>2889</v>
      </c>
      <c r="G16236" s="10" t="s">
        <v>75</v>
      </c>
      <c r="H16236" s="9" t="s">
        <v>22</v>
      </c>
      <c r="I16236" s="9" t="s">
        <v>32716</v>
      </c>
      <c r="J16236" s="10" t="str">
        <f>HYPERLINK("https://www.boe.es/gazeta/dias/1834/12/22/pdfs/GMD-1834-312.pdf#page=4","Abrir facsímil")</f>
        <v>Abrir facsímil</v>
      </c>
      <c r="K16236" s="10" t="s">
        <v>24</v>
      </c>
    </row>
    <row r="16237" spans="1:11" ht="54" customHeight="1">
      <c r="A16237" s="9" t="s">
        <v>32654</v>
      </c>
      <c r="B16237" s="9" t="s">
        <v>32654</v>
      </c>
      <c r="C16237" s="9" t="s">
        <v>17</v>
      </c>
      <c r="D16237" s="9" t="s">
        <v>40</v>
      </c>
      <c r="E16237" s="10" t="s">
        <v>5885</v>
      </c>
      <c r="F16237" s="9" t="s">
        <v>5886</v>
      </c>
      <c r="G16237" s="10" t="s">
        <v>75</v>
      </c>
      <c r="H16237" s="9" t="s">
        <v>22</v>
      </c>
      <c r="I16237" s="9" t="s">
        <v>32717</v>
      </c>
      <c r="J16237" s="10" t="str">
        <f>HYPERLINK("https://www.boe.es/gazeta/dias/1834/05/23/pdfs/GMD-1834-92.pdf#page=4","Abrir facsímil")</f>
        <v>Abrir facsímil</v>
      </c>
      <c r="K16237" s="10" t="s">
        <v>24</v>
      </c>
    </row>
    <row r="16238" spans="1:11" ht="54" customHeight="1">
      <c r="A16238" s="9" t="s">
        <v>32654</v>
      </c>
      <c r="B16238" s="9" t="s">
        <v>32654</v>
      </c>
      <c r="C16238" s="9" t="s">
        <v>122</v>
      </c>
      <c r="D16238" s="9" t="s">
        <v>40</v>
      </c>
      <c r="E16238" s="10" t="s">
        <v>823</v>
      </c>
      <c r="F16238" s="9" t="s">
        <v>824</v>
      </c>
      <c r="G16238" s="10" t="s">
        <v>176</v>
      </c>
      <c r="H16238" s="9" t="s">
        <v>22</v>
      </c>
      <c r="I16238" s="9" t="s">
        <v>32718</v>
      </c>
      <c r="J16238" s="10" t="str">
        <f>HYPERLINK("https://www.boe.es/gazeta/dias/1834/07/23/pdfs/GMD-1834-156.pdf#page=6","Abrir facsímil")</f>
        <v>Abrir facsímil</v>
      </c>
      <c r="K16238" s="10" t="s">
        <v>24</v>
      </c>
    </row>
    <row r="16239" spans="1:11" ht="54" customHeight="1">
      <c r="A16239" s="9" t="s">
        <v>32654</v>
      </c>
      <c r="B16239" s="9" t="s">
        <v>32654</v>
      </c>
      <c r="C16239" s="9" t="s">
        <v>17</v>
      </c>
      <c r="D16239" s="9" t="s">
        <v>40</v>
      </c>
      <c r="E16239" s="10" t="s">
        <v>667</v>
      </c>
      <c r="F16239" s="9" t="s">
        <v>3347</v>
      </c>
      <c r="G16239" s="10" t="s">
        <v>75</v>
      </c>
      <c r="H16239" s="9" t="s">
        <v>22</v>
      </c>
      <c r="I16239" s="9" t="s">
        <v>32719</v>
      </c>
      <c r="J16239" s="10" t="str">
        <f>HYPERLINK("https://www.boe.es/gazeta/dias/1834/11/23/pdfs/GMD-1834-282.pdf#page=4","Abrir facsímil")</f>
        <v>Abrir facsímil</v>
      </c>
      <c r="K16239" s="10" t="s">
        <v>24</v>
      </c>
    </row>
    <row r="16240" spans="1:11" ht="54" customHeight="1">
      <c r="A16240" s="9" t="s">
        <v>32654</v>
      </c>
      <c r="B16240" s="9" t="s">
        <v>32654</v>
      </c>
      <c r="C16240" s="9" t="s">
        <v>66</v>
      </c>
      <c r="D16240" s="9" t="s">
        <v>40</v>
      </c>
      <c r="E16240" s="10" t="s">
        <v>1212</v>
      </c>
      <c r="F16240" s="9" t="s">
        <v>1213</v>
      </c>
      <c r="G16240" s="10" t="s">
        <v>75</v>
      </c>
      <c r="H16240" s="9" t="s">
        <v>22</v>
      </c>
      <c r="I16240" s="9" t="s">
        <v>32720</v>
      </c>
      <c r="J16240" s="10" t="str">
        <f>HYPERLINK("https://www.boe.es/gazeta/dias/1834/05/24/pdfs/GMD-1834-93.pdf#page=4","Abrir facsímil")</f>
        <v>Abrir facsímil</v>
      </c>
      <c r="K16240" s="10" t="s">
        <v>24</v>
      </c>
    </row>
    <row r="16241" spans="1:11" ht="54" customHeight="1">
      <c r="A16241" s="9" t="s">
        <v>32654</v>
      </c>
      <c r="B16241" s="9" t="s">
        <v>32654</v>
      </c>
      <c r="C16241" s="9" t="s">
        <v>17</v>
      </c>
      <c r="D16241" s="9" t="s">
        <v>40</v>
      </c>
      <c r="E16241" s="10" t="s">
        <v>2302</v>
      </c>
      <c r="F16241" s="9" t="s">
        <v>2303</v>
      </c>
      <c r="G16241" s="10" t="s">
        <v>75</v>
      </c>
      <c r="H16241" s="9" t="s">
        <v>22</v>
      </c>
      <c r="I16241" s="9" t="s">
        <v>32721</v>
      </c>
      <c r="J16241" s="10" t="str">
        <f>HYPERLINK("https://www.boe.es/gazeta/dias/1834/01/25/pdfs/GMD-1834-12.pdf#page=4","Abrir facsímil")</f>
        <v>Abrir facsímil</v>
      </c>
      <c r="K16241" s="10" t="s">
        <v>24</v>
      </c>
    </row>
    <row r="16242" spans="1:11" ht="54" customHeight="1">
      <c r="A16242" s="9" t="s">
        <v>32654</v>
      </c>
      <c r="B16242" s="9" t="s">
        <v>32654</v>
      </c>
      <c r="C16242" s="9" t="s">
        <v>66</v>
      </c>
      <c r="D16242" s="9" t="s">
        <v>67</v>
      </c>
      <c r="E16242" s="10" t="s">
        <v>1002</v>
      </c>
      <c r="F16242" s="9" t="s">
        <v>1003</v>
      </c>
      <c r="G16242" s="10" t="s">
        <v>75</v>
      </c>
      <c r="H16242" s="9" t="s">
        <v>22</v>
      </c>
      <c r="I16242" s="9" t="s">
        <v>32722</v>
      </c>
      <c r="J16242" s="10" t="str">
        <f>HYPERLINK("https://www.boe.es/gazeta/dias/1834/06/26/pdfs/GMD-1834-129.pdf#page=4","Abrir facsímil")</f>
        <v>Abrir facsímil</v>
      </c>
      <c r="K16242" s="10" t="s">
        <v>24</v>
      </c>
    </row>
    <row r="16243" spans="1:11" ht="54" customHeight="1">
      <c r="A16243" s="9" t="s">
        <v>32654</v>
      </c>
      <c r="B16243" s="9" t="s">
        <v>32654</v>
      </c>
      <c r="C16243" s="9" t="s">
        <v>17</v>
      </c>
      <c r="D16243" s="9" t="s">
        <v>40</v>
      </c>
      <c r="E16243" s="10" t="s">
        <v>1135</v>
      </c>
      <c r="F16243" s="9" t="s">
        <v>1136</v>
      </c>
      <c r="G16243" s="10" t="s">
        <v>75</v>
      </c>
      <c r="H16243" s="9" t="s">
        <v>22</v>
      </c>
      <c r="I16243" s="9" t="s">
        <v>32723</v>
      </c>
      <c r="J16243" s="10" t="str">
        <f>HYPERLINK("https://www.boe.es/gazeta/dias/1834/08/26/pdfs/GMD-1834-192.pdf#page=4","Abrir facsímil")</f>
        <v>Abrir facsímil</v>
      </c>
      <c r="K16243" s="10" t="s">
        <v>24</v>
      </c>
    </row>
    <row r="16244" spans="1:11" ht="54" customHeight="1">
      <c r="A16244" s="9" t="s">
        <v>32654</v>
      </c>
      <c r="B16244" s="9" t="s">
        <v>32654</v>
      </c>
      <c r="C16244" s="9" t="s">
        <v>17</v>
      </c>
      <c r="D16244" s="9" t="s">
        <v>101</v>
      </c>
      <c r="E16244" s="10" t="s">
        <v>513</v>
      </c>
      <c r="F16244" s="9" t="s">
        <v>514</v>
      </c>
      <c r="G16244" s="10" t="s">
        <v>176</v>
      </c>
      <c r="H16244" s="9" t="s">
        <v>22</v>
      </c>
      <c r="I16244" s="9" t="s">
        <v>32724</v>
      </c>
      <c r="J16244" s="10" t="str">
        <f>HYPERLINK("https://www.boe.es/gazeta/dias/1834/04/27/pdfs/GMD-1834-66.pdf#page=6","Abrir facsímil")</f>
        <v>Abrir facsímil</v>
      </c>
      <c r="K16244" s="10" t="s">
        <v>24</v>
      </c>
    </row>
    <row r="16245" spans="1:11" ht="54" customHeight="1">
      <c r="A16245" s="9" t="s">
        <v>32654</v>
      </c>
      <c r="B16245" s="9" t="s">
        <v>32654</v>
      </c>
      <c r="C16245" s="9" t="s">
        <v>17</v>
      </c>
      <c r="D16245" s="9" t="s">
        <v>40</v>
      </c>
      <c r="E16245" s="10" t="s">
        <v>371</v>
      </c>
      <c r="F16245" s="9" t="s">
        <v>372</v>
      </c>
      <c r="G16245" s="10" t="s">
        <v>75</v>
      </c>
      <c r="H16245" s="9" t="s">
        <v>22</v>
      </c>
      <c r="I16245" s="9" t="s">
        <v>32725</v>
      </c>
      <c r="J16245" s="10" t="str">
        <f>HYPERLINK("https://www.boe.es/gazeta/dias/1834/05/27/pdfs/GMD-1834-96.pdf#page=4","Abrir facsímil")</f>
        <v>Abrir facsímil</v>
      </c>
      <c r="K16245" s="10" t="s">
        <v>24</v>
      </c>
    </row>
    <row r="16246" spans="1:11" ht="54" customHeight="1">
      <c r="A16246" s="9" t="s">
        <v>32654</v>
      </c>
      <c r="B16246" s="9" t="s">
        <v>32654</v>
      </c>
      <c r="C16246" s="9" t="s">
        <v>17</v>
      </c>
      <c r="D16246" s="9" t="s">
        <v>18</v>
      </c>
      <c r="E16246" s="10" t="s">
        <v>465</v>
      </c>
      <c r="F16246" s="9" t="s">
        <v>1361</v>
      </c>
      <c r="G16246" s="10" t="s">
        <v>75</v>
      </c>
      <c r="H16246" s="9" t="s">
        <v>22</v>
      </c>
      <c r="I16246" s="9" t="s">
        <v>32726</v>
      </c>
      <c r="J16246" s="10" t="str">
        <f>HYPERLINK("https://www.boe.es/gazeta/dias/1834/11/27/pdfs/GMD-1834-286.pdf#page=4","Abrir facsímil")</f>
        <v>Abrir facsímil</v>
      </c>
      <c r="K16246" s="10" t="s">
        <v>24</v>
      </c>
    </row>
    <row r="16247" spans="1:11" ht="54" customHeight="1">
      <c r="A16247" s="9" t="s">
        <v>32654</v>
      </c>
      <c r="B16247" s="9" t="s">
        <v>32654</v>
      </c>
      <c r="C16247" s="9" t="s">
        <v>66</v>
      </c>
      <c r="D16247" s="9" t="s">
        <v>67</v>
      </c>
      <c r="E16247" s="10" t="s">
        <v>2945</v>
      </c>
      <c r="F16247" s="9" t="s">
        <v>2946</v>
      </c>
      <c r="G16247" s="10" t="s">
        <v>75</v>
      </c>
      <c r="H16247" s="9" t="s">
        <v>22</v>
      </c>
      <c r="I16247" s="9" t="s">
        <v>32727</v>
      </c>
      <c r="J16247" s="10" t="str">
        <f>HYPERLINK("https://www.boe.es/gazeta/dias/1834/05/29/pdfs/GMD-1834-98.pdf#page=4","Abrir facsímil")</f>
        <v>Abrir facsímil</v>
      </c>
      <c r="K16247" s="10" t="s">
        <v>24</v>
      </c>
    </row>
    <row r="16248" spans="1:11" ht="54" customHeight="1">
      <c r="A16248" s="9" t="s">
        <v>32654</v>
      </c>
      <c r="B16248" s="9" t="s">
        <v>32654</v>
      </c>
      <c r="C16248" s="9" t="s">
        <v>17</v>
      </c>
      <c r="D16248" s="9" t="s">
        <v>40</v>
      </c>
      <c r="E16248" s="10" t="s">
        <v>1747</v>
      </c>
      <c r="F16248" s="9" t="s">
        <v>1748</v>
      </c>
      <c r="G16248" s="10" t="s">
        <v>75</v>
      </c>
      <c r="H16248" s="9" t="s">
        <v>22</v>
      </c>
      <c r="I16248" s="9" t="s">
        <v>32728</v>
      </c>
      <c r="J16248" s="10" t="str">
        <f>HYPERLINK("https://www.boe.es/gazeta/dias/1834/06/29/pdfs/GMD-1834-132.pdf#page=4","Abrir facsímil")</f>
        <v>Abrir facsímil</v>
      </c>
      <c r="K16248" s="10" t="s">
        <v>24</v>
      </c>
    </row>
    <row r="16249" spans="1:11" ht="54" customHeight="1">
      <c r="A16249" s="9" t="s">
        <v>32654</v>
      </c>
      <c r="B16249" s="9" t="s">
        <v>32654</v>
      </c>
      <c r="C16249" s="9" t="s">
        <v>17</v>
      </c>
      <c r="D16249" s="9" t="s">
        <v>40</v>
      </c>
      <c r="E16249" s="10" t="s">
        <v>280</v>
      </c>
      <c r="F16249" s="9" t="s">
        <v>3217</v>
      </c>
      <c r="G16249" s="10" t="s">
        <v>75</v>
      </c>
      <c r="H16249" s="9" t="s">
        <v>22</v>
      </c>
      <c r="I16249" s="9" t="s">
        <v>32729</v>
      </c>
      <c r="J16249" s="10" t="str">
        <f>HYPERLINK("https://www.boe.es/gazeta/dias/1834/08/29/pdfs/GMD-1834-195.pdf#page=4","Abrir facsímil")</f>
        <v>Abrir facsímil</v>
      </c>
      <c r="K16249" s="10" t="s">
        <v>24</v>
      </c>
    </row>
    <row r="16250" spans="1:11" ht="54" customHeight="1">
      <c r="A16250" s="9" t="s">
        <v>32654</v>
      </c>
      <c r="B16250" s="9" t="s">
        <v>32654</v>
      </c>
      <c r="C16250" s="9" t="s">
        <v>17</v>
      </c>
      <c r="D16250" s="9" t="s">
        <v>40</v>
      </c>
      <c r="E16250" s="10" t="s">
        <v>283</v>
      </c>
      <c r="F16250" s="9" t="s">
        <v>2969</v>
      </c>
      <c r="G16250" s="10" t="s">
        <v>75</v>
      </c>
      <c r="H16250" s="9" t="s">
        <v>22</v>
      </c>
      <c r="I16250" s="9" t="s">
        <v>32730</v>
      </c>
      <c r="J16250" s="10" t="str">
        <f>HYPERLINK("https://www.boe.es/gazeta/dias/1834/11/29/pdfs/GMD-1834-288.pdf#page=4","Abrir facsímil")</f>
        <v>Abrir facsímil</v>
      </c>
      <c r="K16250" s="10" t="s">
        <v>24</v>
      </c>
    </row>
    <row r="16251" spans="1:11" ht="54" customHeight="1">
      <c r="A16251" s="9" t="s">
        <v>32654</v>
      </c>
      <c r="B16251" s="9" t="s">
        <v>32654</v>
      </c>
      <c r="C16251" s="9" t="s">
        <v>17</v>
      </c>
      <c r="D16251" s="9" t="s">
        <v>40</v>
      </c>
      <c r="E16251" s="10" t="s">
        <v>552</v>
      </c>
      <c r="F16251" s="9" t="s">
        <v>553</v>
      </c>
      <c r="G16251" s="10" t="s">
        <v>75</v>
      </c>
      <c r="H16251" s="9" t="s">
        <v>22</v>
      </c>
      <c r="I16251" s="9" t="s">
        <v>32731</v>
      </c>
      <c r="J16251" s="10" t="str">
        <f>HYPERLINK("https://www.boe.es/gazeta/dias/1834/07/30/pdfs/GMD-1834-163.pdf#page=4","Abrir facsímil")</f>
        <v>Abrir facsímil</v>
      </c>
      <c r="K16251" s="10" t="s">
        <v>24</v>
      </c>
    </row>
    <row r="16252" spans="1:11" ht="54" customHeight="1">
      <c r="A16252" s="9" t="s">
        <v>32654</v>
      </c>
      <c r="B16252" s="9" t="s">
        <v>32654</v>
      </c>
      <c r="C16252" s="9" t="s">
        <v>66</v>
      </c>
      <c r="D16252" s="9" t="s">
        <v>40</v>
      </c>
      <c r="E16252" s="10" t="s">
        <v>590</v>
      </c>
      <c r="F16252" s="9" t="s">
        <v>591</v>
      </c>
      <c r="G16252" s="10" t="s">
        <v>75</v>
      </c>
      <c r="H16252" s="9" t="s">
        <v>22</v>
      </c>
      <c r="I16252" s="9" t="s">
        <v>32732</v>
      </c>
      <c r="J16252" s="10" t="str">
        <f>HYPERLINK("https://www.boe.es/gazeta/dias/1834/11/30/pdfs/GMD-1834-289.pdf#page=4","Abrir facsímil")</f>
        <v>Abrir facsímil</v>
      </c>
      <c r="K16252" s="10" t="s">
        <v>24</v>
      </c>
    </row>
    <row r="16253" spans="1:11" ht="54" customHeight="1">
      <c r="A16253" s="9" t="s">
        <v>32733</v>
      </c>
      <c r="B16253" s="9" t="s">
        <v>32734</v>
      </c>
      <c r="C16253" s="9" t="s">
        <v>122</v>
      </c>
      <c r="D16253" s="9" t="s">
        <v>18</v>
      </c>
      <c r="E16253" s="10" t="s">
        <v>1178</v>
      </c>
      <c r="F16253" s="9" t="s">
        <v>1179</v>
      </c>
      <c r="G16253" s="10" t="s">
        <v>86</v>
      </c>
      <c r="H16253" s="9" t="s">
        <v>35</v>
      </c>
      <c r="I16253" s="9" t="s">
        <v>32735</v>
      </c>
      <c r="J16253" s="10" t="str">
        <f>HYPERLINK("https://www.boe.es/gazeta/dias/1834/04/10/pdfs/GMD-C-1834-49.pdf#page=2","Abrir facsímil")</f>
        <v>Abrir facsímil</v>
      </c>
      <c r="K16253" s="10" t="s">
        <v>37</v>
      </c>
    </row>
    <row r="16254" spans="1:11" ht="54" customHeight="1">
      <c r="A16254" s="9" t="s">
        <v>32736</v>
      </c>
      <c r="B16254" s="9" t="s">
        <v>32737</v>
      </c>
      <c r="C16254" s="9" t="s">
        <v>122</v>
      </c>
      <c r="D16254" s="9" t="s">
        <v>18</v>
      </c>
      <c r="E16254" s="10" t="s">
        <v>1178</v>
      </c>
      <c r="F16254" s="9" t="s">
        <v>1179</v>
      </c>
      <c r="G16254" s="10" t="s">
        <v>86</v>
      </c>
      <c r="H16254" s="9" t="s">
        <v>22</v>
      </c>
      <c r="I16254" s="9" t="s">
        <v>32738</v>
      </c>
      <c r="J16254" s="10" t="str">
        <f>HYPERLINK("https://www.boe.es/gazeta/dias/1834/04/10/pdfs/GMD-C-1834-49.pdf#page=2","Abrir facsímil")</f>
        <v>Abrir facsímil</v>
      </c>
      <c r="K16254" s="10" t="s">
        <v>24</v>
      </c>
    </row>
    <row r="16255" spans="1:11" ht="54" customHeight="1">
      <c r="A16255" s="9" t="s">
        <v>32739</v>
      </c>
      <c r="B16255" s="9" t="s">
        <v>32740</v>
      </c>
      <c r="C16255" s="9" t="s">
        <v>66</v>
      </c>
      <c r="D16255" s="9" t="s">
        <v>67</v>
      </c>
      <c r="E16255" s="10" t="s">
        <v>758</v>
      </c>
      <c r="F16255" s="9" t="s">
        <v>759</v>
      </c>
      <c r="G16255" s="10" t="s">
        <v>75</v>
      </c>
      <c r="H16255" s="9" t="s">
        <v>22</v>
      </c>
      <c r="I16255" s="9" t="s">
        <v>32741</v>
      </c>
      <c r="J16255" s="10" t="str">
        <f>HYPERLINK("https://www.boe.es/gazeta/dias/1834/01/04/pdfs/GMD-1834-3.pdf#page=4","Abrir facsímil")</f>
        <v>Abrir facsímil</v>
      </c>
      <c r="K16255" s="10" t="s">
        <v>24</v>
      </c>
    </row>
    <row r="16256" spans="1:11" ht="54" customHeight="1">
      <c r="A16256" s="9" t="s">
        <v>32742</v>
      </c>
      <c r="B16256" s="9" t="s">
        <v>32742</v>
      </c>
      <c r="C16256" s="9" t="s">
        <v>17</v>
      </c>
      <c r="D16256" s="9" t="s">
        <v>40</v>
      </c>
      <c r="E16256" s="10" t="s">
        <v>3025</v>
      </c>
      <c r="F16256" s="9" t="s">
        <v>3026</v>
      </c>
      <c r="G16256" s="10" t="s">
        <v>176</v>
      </c>
      <c r="H16256" s="9" t="s">
        <v>22</v>
      </c>
      <c r="I16256" s="9" t="s">
        <v>32743</v>
      </c>
      <c r="J16256" s="10" t="str">
        <f>HYPERLINK("https://www.boe.es/gazeta/dias/1834/05/25/pdfs/GMD-1834-94.pdf#page=6","Abrir facsímil")</f>
        <v>Abrir facsímil</v>
      </c>
      <c r="K16256" s="10" t="s">
        <v>24</v>
      </c>
    </row>
    <row r="16257" spans="1:11" ht="54" customHeight="1">
      <c r="A16257" s="9" t="s">
        <v>32744</v>
      </c>
      <c r="B16257" s="9" t="s">
        <v>32744</v>
      </c>
      <c r="C16257" s="9" t="s">
        <v>17</v>
      </c>
      <c r="D16257" s="9" t="s">
        <v>18</v>
      </c>
      <c r="E16257" s="10" t="s">
        <v>777</v>
      </c>
      <c r="F16257" s="9" t="s">
        <v>778</v>
      </c>
      <c r="G16257" s="10" t="s">
        <v>75</v>
      </c>
      <c r="H16257" s="9" t="s">
        <v>22</v>
      </c>
      <c r="I16257" s="9" t="s">
        <v>32745</v>
      </c>
      <c r="J16257" s="10" t="str">
        <f>HYPERLINK("https://www.boe.es/gazeta/dias/1834/10/29/pdfs/GMD-1834-257.pdf#page=4","Abrir facsímil")</f>
        <v>Abrir facsímil</v>
      </c>
      <c r="K16257" s="10" t="s">
        <v>24</v>
      </c>
    </row>
    <row r="16258" spans="1:11" ht="54" customHeight="1">
      <c r="A16258" s="9" t="s">
        <v>32744</v>
      </c>
      <c r="B16258" s="9" t="s">
        <v>32744</v>
      </c>
      <c r="C16258" s="9" t="s">
        <v>66</v>
      </c>
      <c r="D16258" s="9" t="s">
        <v>67</v>
      </c>
      <c r="E16258" s="10" t="s">
        <v>273</v>
      </c>
      <c r="F16258" s="9" t="s">
        <v>274</v>
      </c>
      <c r="G16258" s="10" t="s">
        <v>75</v>
      </c>
      <c r="H16258" s="9" t="s">
        <v>22</v>
      </c>
      <c r="I16258" s="9" t="s">
        <v>32746</v>
      </c>
      <c r="J16258" s="10" t="str">
        <f>HYPERLINK("https://www.boe.es/gazeta/dias/1834/08/31/pdfs/GMD-C-1834-198.pdf#page=4","Abrir facsímil")</f>
        <v>Abrir facsímil</v>
      </c>
      <c r="K16258" s="10" t="s">
        <v>24</v>
      </c>
    </row>
    <row r="16259" spans="1:11" ht="54" customHeight="1">
      <c r="A16259" s="9" t="s">
        <v>32747</v>
      </c>
      <c r="B16259" s="9" t="s">
        <v>32748</v>
      </c>
      <c r="C16259" s="9" t="s">
        <v>17</v>
      </c>
      <c r="D16259" s="9" t="s">
        <v>18</v>
      </c>
      <c r="E16259" s="10" t="s">
        <v>899</v>
      </c>
      <c r="F16259" s="9" t="s">
        <v>900</v>
      </c>
      <c r="G16259" s="10" t="s">
        <v>560</v>
      </c>
      <c r="H16259" s="9" t="s">
        <v>35</v>
      </c>
      <c r="I16259" s="9" t="s">
        <v>32749</v>
      </c>
      <c r="J16259" s="10" t="str">
        <f>HYPERLINK("https://www.boe.es/gazeta/dias/1834/01/30/pdfs/GMD-1834-14.pdf#page=7","Abrir facsímil")</f>
        <v>Abrir facsímil</v>
      </c>
      <c r="K16259" s="10" t="s">
        <v>37</v>
      </c>
    </row>
    <row r="16260" spans="1:11" ht="54" customHeight="1">
      <c r="A16260" s="9" t="s">
        <v>32750</v>
      </c>
      <c r="B16260" s="9" t="s">
        <v>32751</v>
      </c>
      <c r="C16260" s="9" t="s">
        <v>17</v>
      </c>
      <c r="D16260" s="9" t="s">
        <v>18</v>
      </c>
      <c r="E16260" s="10" t="s">
        <v>1318</v>
      </c>
      <c r="F16260" s="9" t="s">
        <v>1319</v>
      </c>
      <c r="G16260" s="10" t="s">
        <v>75</v>
      </c>
      <c r="H16260" s="9" t="s">
        <v>22</v>
      </c>
      <c r="I16260" s="9" t="s">
        <v>32752</v>
      </c>
      <c r="J16260" s="10" t="str">
        <f>HYPERLINK("https://www.boe.es/gazeta/dias/1834/05/10/pdfs/GMD-1834-79.pdf#page=4","Abrir facsímil")</f>
        <v>Abrir facsímil</v>
      </c>
      <c r="K16260" s="10" t="s">
        <v>24</v>
      </c>
    </row>
    <row r="16261" spans="1:11" ht="54" customHeight="1">
      <c r="A16261" s="9" t="s">
        <v>32753</v>
      </c>
      <c r="B16261" s="9" t="s">
        <v>32754</v>
      </c>
      <c r="C16261" s="9" t="s">
        <v>66</v>
      </c>
      <c r="D16261" s="9" t="s">
        <v>67</v>
      </c>
      <c r="E16261" s="10" t="s">
        <v>633</v>
      </c>
      <c r="F16261" s="9" t="s">
        <v>634</v>
      </c>
      <c r="G16261" s="10" t="s">
        <v>21</v>
      </c>
      <c r="H16261" s="9" t="s">
        <v>22</v>
      </c>
      <c r="I16261" s="9" t="s">
        <v>32755</v>
      </c>
      <c r="J16261" s="10" t="str">
        <f>HYPERLINK("https://www.boe.es/gazeta/dias/1834/10/24/pdfs/GMD-1834-252.pdf#page=3","Abrir facsímil")</f>
        <v>Abrir facsímil</v>
      </c>
      <c r="K16261" s="10" t="s">
        <v>24</v>
      </c>
    </row>
    <row r="16262" spans="1:11" ht="54" customHeight="1">
      <c r="A16262" s="9" t="s">
        <v>32753</v>
      </c>
      <c r="B16262" s="9" t="s">
        <v>32754</v>
      </c>
      <c r="C16262" s="9" t="s">
        <v>17</v>
      </c>
      <c r="D16262" s="9" t="s">
        <v>18</v>
      </c>
      <c r="E16262" s="10" t="s">
        <v>899</v>
      </c>
      <c r="F16262" s="9" t="s">
        <v>900</v>
      </c>
      <c r="G16262" s="10" t="s">
        <v>560</v>
      </c>
      <c r="H16262" s="9" t="s">
        <v>22</v>
      </c>
      <c r="I16262" s="9" t="s">
        <v>32756</v>
      </c>
      <c r="J16262" s="10" t="str">
        <f>HYPERLINK("https://www.boe.es/gazeta/dias/1834/01/30/pdfs/GMD-1834-14.pdf#page=7","Abrir facsímil")</f>
        <v>Abrir facsímil</v>
      </c>
      <c r="K16262" s="10" t="s">
        <v>24</v>
      </c>
    </row>
    <row r="16263" spans="1:11" ht="54" customHeight="1">
      <c r="A16263" s="9" t="s">
        <v>32757</v>
      </c>
      <c r="B16263" s="9" t="s">
        <v>32758</v>
      </c>
      <c r="C16263" s="9" t="s">
        <v>17</v>
      </c>
      <c r="D16263" s="9" t="s">
        <v>18</v>
      </c>
      <c r="E16263" s="10" t="s">
        <v>158</v>
      </c>
      <c r="F16263" s="9" t="s">
        <v>159</v>
      </c>
      <c r="G16263" s="10" t="s">
        <v>21</v>
      </c>
      <c r="H16263" s="9" t="s">
        <v>22</v>
      </c>
      <c r="I16263" s="9" t="s">
        <v>32759</v>
      </c>
      <c r="J16263" s="10" t="str">
        <f>HYPERLINK("https://www.boe.es/gazeta/dias/1834/10/01/pdfs/GMD-1834-229.pdf#page=3","Abrir facsímil")</f>
        <v>Abrir facsímil</v>
      </c>
      <c r="K16263" s="10" t="s">
        <v>24</v>
      </c>
    </row>
    <row r="16264" spans="1:11" ht="54" customHeight="1">
      <c r="A16264" s="9" t="s">
        <v>32760</v>
      </c>
      <c r="B16264" s="9" t="s">
        <v>32760</v>
      </c>
      <c r="C16264" s="9" t="s">
        <v>66</v>
      </c>
      <c r="D16264" s="9" t="s">
        <v>67</v>
      </c>
      <c r="E16264" s="10" t="s">
        <v>2241</v>
      </c>
      <c r="F16264" s="9" t="s">
        <v>2242</v>
      </c>
      <c r="G16264" s="10" t="s">
        <v>21</v>
      </c>
      <c r="H16264" s="9" t="s">
        <v>22</v>
      </c>
      <c r="I16264" s="9" t="s">
        <v>32761</v>
      </c>
      <c r="J16264" s="10" t="str">
        <f>HYPERLINK("https://www.boe.es/gazeta/dias/1834/03/11/pdfs/GMD-1834-31.pdf#page=3","Abrir facsímil")</f>
        <v>Abrir facsímil</v>
      </c>
      <c r="K16264" s="10" t="s">
        <v>24</v>
      </c>
    </row>
    <row r="16265" spans="1:11" ht="54" customHeight="1">
      <c r="A16265" s="9" t="s">
        <v>32760</v>
      </c>
      <c r="B16265" s="9" t="s">
        <v>32760</v>
      </c>
      <c r="C16265" s="9" t="s">
        <v>17</v>
      </c>
      <c r="D16265" s="9" t="s">
        <v>18</v>
      </c>
      <c r="E16265" s="10" t="s">
        <v>343</v>
      </c>
      <c r="F16265" s="9" t="s">
        <v>344</v>
      </c>
      <c r="G16265" s="10" t="s">
        <v>75</v>
      </c>
      <c r="H16265" s="9" t="s">
        <v>22</v>
      </c>
      <c r="I16265" s="9" t="s">
        <v>32762</v>
      </c>
      <c r="J16265" s="10" t="str">
        <f>HYPERLINK("https://www.boe.es/gazeta/dias/1834/01/14/pdfs/GMD-1834-7.pdf#page=4","Abrir facsímil")</f>
        <v>Abrir facsímil</v>
      </c>
      <c r="K16265" s="10" t="s">
        <v>24</v>
      </c>
    </row>
    <row r="16266" spans="1:11" ht="54" customHeight="1">
      <c r="A16266" s="9" t="s">
        <v>32763</v>
      </c>
      <c r="B16266" s="9" t="s">
        <v>32764</v>
      </c>
      <c r="C16266" s="9" t="s">
        <v>17</v>
      </c>
      <c r="D16266" s="9" t="s">
        <v>18</v>
      </c>
      <c r="E16266" s="10" t="s">
        <v>707</v>
      </c>
      <c r="F16266" s="9" t="s">
        <v>1359</v>
      </c>
      <c r="G16266" s="10" t="s">
        <v>75</v>
      </c>
      <c r="H16266" s="9" t="s">
        <v>22</v>
      </c>
      <c r="I16266" s="9" t="s">
        <v>32765</v>
      </c>
      <c r="J16266" s="10" t="str">
        <f>HYPERLINK("https://www.boe.es/gazeta/dias/1834/11/25/pdfs/GMD-1834-284.pdf#page=4","Abrir facsímil")</f>
        <v>Abrir facsímil</v>
      </c>
      <c r="K16266" s="10" t="s">
        <v>24</v>
      </c>
    </row>
    <row r="16267" spans="1:11" ht="54" customHeight="1">
      <c r="A16267" s="9" t="s">
        <v>32766</v>
      </c>
      <c r="B16267" s="9" t="s">
        <v>32767</v>
      </c>
      <c r="C16267" s="9" t="s">
        <v>17</v>
      </c>
      <c r="D16267" s="9" t="s">
        <v>40</v>
      </c>
      <c r="E16267" s="10" t="s">
        <v>1406</v>
      </c>
      <c r="F16267" s="9" t="s">
        <v>1407</v>
      </c>
      <c r="G16267" s="10" t="s">
        <v>75</v>
      </c>
      <c r="H16267" s="9" t="s">
        <v>35</v>
      </c>
      <c r="I16267" s="9" t="s">
        <v>32768</v>
      </c>
      <c r="J16267" s="10" t="str">
        <f>HYPERLINK("https://www.boe.es/gazeta/dias/1834/11/03/pdfs/GMD-1834-262.pdf#page=4","Abrir facsímil")</f>
        <v>Abrir facsímil</v>
      </c>
      <c r="K16267" s="10" t="s">
        <v>37</v>
      </c>
    </row>
    <row r="16268" spans="1:11" ht="54" customHeight="1">
      <c r="A16268" s="9" t="s">
        <v>32769</v>
      </c>
      <c r="B16268" s="9" t="s">
        <v>32770</v>
      </c>
      <c r="C16268" s="9" t="s">
        <v>17</v>
      </c>
      <c r="D16268" s="9" t="s">
        <v>40</v>
      </c>
      <c r="E16268" s="10" t="s">
        <v>793</v>
      </c>
      <c r="F16268" s="9" t="s">
        <v>794</v>
      </c>
      <c r="G16268" s="10" t="s">
        <v>21</v>
      </c>
      <c r="H16268" s="9" t="s">
        <v>35</v>
      </c>
      <c r="I16268" s="9" t="s">
        <v>32771</v>
      </c>
      <c r="J16268" s="10" t="str">
        <f>HYPERLINK("https://www.boe.es/gazeta/dias/1834/10/08/pdfs/GMD-1834-236.pdf#page=3","Abrir facsímil")</f>
        <v>Abrir facsímil</v>
      </c>
      <c r="K16268" s="10" t="s">
        <v>37</v>
      </c>
    </row>
    <row r="16269" spans="1:11" ht="54" customHeight="1">
      <c r="A16269" s="9" t="s">
        <v>32772</v>
      </c>
      <c r="B16269" s="9" t="s">
        <v>32773</v>
      </c>
      <c r="C16269" s="9" t="s">
        <v>17</v>
      </c>
      <c r="D16269" s="9" t="s">
        <v>18</v>
      </c>
      <c r="E16269" s="10" t="s">
        <v>2241</v>
      </c>
      <c r="F16269" s="9" t="s">
        <v>2242</v>
      </c>
      <c r="G16269" s="10" t="s">
        <v>21</v>
      </c>
      <c r="H16269" s="9" t="s">
        <v>35</v>
      </c>
      <c r="I16269" s="9" t="s">
        <v>32774</v>
      </c>
      <c r="J16269" s="10" t="str">
        <f>HYPERLINK("https://www.boe.es/gazeta/dias/1834/03/11/pdfs/GMD-1834-31.pdf#page=3","Abrir facsímil")</f>
        <v>Abrir facsímil</v>
      </c>
      <c r="K16269" s="10" t="s">
        <v>37</v>
      </c>
    </row>
    <row r="16270" spans="1:11" ht="54" customHeight="1">
      <c r="A16270" s="9" t="s">
        <v>32775</v>
      </c>
      <c r="B16270" s="9" t="s">
        <v>32776</v>
      </c>
      <c r="C16270" s="9" t="s">
        <v>17</v>
      </c>
      <c r="D16270" s="9" t="s">
        <v>18</v>
      </c>
      <c r="E16270" s="10" t="s">
        <v>1812</v>
      </c>
      <c r="F16270" s="9" t="s">
        <v>1813</v>
      </c>
      <c r="G16270" s="10" t="s">
        <v>21</v>
      </c>
      <c r="H16270" s="9" t="s">
        <v>22</v>
      </c>
      <c r="I16270" s="9" t="s">
        <v>32777</v>
      </c>
      <c r="J16270" s="10" t="str">
        <f>HYPERLINK("https://www.boe.es/gazeta/dias/1834/10/23/pdfs/GMD-1834-251.pdf#page=3","Abrir facsímil")</f>
        <v>Abrir facsímil</v>
      </c>
      <c r="K16270" s="10" t="s">
        <v>24</v>
      </c>
    </row>
    <row r="16271" spans="1:11" ht="54" customHeight="1">
      <c r="A16271" s="9" t="s">
        <v>32778</v>
      </c>
      <c r="B16271" s="9" t="s">
        <v>32779</v>
      </c>
      <c r="C16271" s="9" t="s">
        <v>17</v>
      </c>
      <c r="D16271" s="9" t="s">
        <v>40</v>
      </c>
      <c r="E16271" s="10" t="s">
        <v>1406</v>
      </c>
      <c r="F16271" s="9" t="s">
        <v>1407</v>
      </c>
      <c r="G16271" s="10" t="s">
        <v>75</v>
      </c>
      <c r="H16271" s="9" t="s">
        <v>22</v>
      </c>
      <c r="I16271" s="9" t="s">
        <v>32780</v>
      </c>
      <c r="J16271" s="10" t="str">
        <f>HYPERLINK("https://www.boe.es/gazeta/dias/1834/11/03/pdfs/GMD-1834-262.pdf#page=4","Abrir facsímil")</f>
        <v>Abrir facsímil</v>
      </c>
      <c r="K16271" s="10" t="s">
        <v>24</v>
      </c>
    </row>
    <row r="16272" spans="1:11" ht="54" customHeight="1">
      <c r="A16272" s="9" t="s">
        <v>32781</v>
      </c>
      <c r="B16272" s="9" t="s">
        <v>32782</v>
      </c>
      <c r="C16272" s="9" t="s">
        <v>17</v>
      </c>
      <c r="D16272" s="9" t="s">
        <v>40</v>
      </c>
      <c r="E16272" s="10" t="s">
        <v>793</v>
      </c>
      <c r="F16272" s="9" t="s">
        <v>794</v>
      </c>
      <c r="G16272" s="10" t="s">
        <v>21</v>
      </c>
      <c r="H16272" s="9" t="s">
        <v>22</v>
      </c>
      <c r="I16272" s="9" t="s">
        <v>32783</v>
      </c>
      <c r="J16272" s="10" t="str">
        <f>HYPERLINK("https://www.boe.es/gazeta/dias/1834/10/08/pdfs/GMD-1834-236.pdf#page=3","Abrir facsímil")</f>
        <v>Abrir facsímil</v>
      </c>
      <c r="K16272" s="10" t="s">
        <v>24</v>
      </c>
    </row>
    <row r="16273" spans="1:11" ht="54" customHeight="1">
      <c r="A16273" s="9" t="s">
        <v>32784</v>
      </c>
      <c r="B16273" s="9" t="s">
        <v>32785</v>
      </c>
      <c r="C16273" s="9" t="s">
        <v>17</v>
      </c>
      <c r="D16273" s="9" t="s">
        <v>18</v>
      </c>
      <c r="E16273" s="10" t="s">
        <v>2241</v>
      </c>
      <c r="F16273" s="9" t="s">
        <v>2242</v>
      </c>
      <c r="G16273" s="10" t="s">
        <v>21</v>
      </c>
      <c r="H16273" s="9" t="s">
        <v>22</v>
      </c>
      <c r="I16273" s="9" t="s">
        <v>32786</v>
      </c>
      <c r="J16273" s="10" t="str">
        <f>HYPERLINK("https://www.boe.es/gazeta/dias/1834/03/11/pdfs/GMD-1834-31.pdf#page=3","Abrir facsímil")</f>
        <v>Abrir facsímil</v>
      </c>
      <c r="K16273" s="10" t="s">
        <v>24</v>
      </c>
    </row>
    <row r="16274" spans="1:11" ht="54" customHeight="1">
      <c r="A16274" s="9" t="s">
        <v>32787</v>
      </c>
      <c r="B16274" s="9" t="s">
        <v>32788</v>
      </c>
      <c r="C16274" s="9" t="s">
        <v>122</v>
      </c>
      <c r="D16274" s="9" t="s">
        <v>18</v>
      </c>
      <c r="E16274" s="10" t="s">
        <v>905</v>
      </c>
      <c r="F16274" s="9" t="s">
        <v>1651</v>
      </c>
      <c r="G16274" s="10" t="s">
        <v>21</v>
      </c>
      <c r="H16274" s="9" t="s">
        <v>22</v>
      </c>
      <c r="I16274" s="9" t="s">
        <v>32789</v>
      </c>
      <c r="J16274" s="10" t="str">
        <f>HYPERLINK("https://www.boe.es/gazeta/dias/1834/08/02/pdfs/GMD-1834-166.pdf#page=3","Abrir facsímil")</f>
        <v>Abrir facsímil</v>
      </c>
      <c r="K16274" s="10" t="s">
        <v>24</v>
      </c>
    </row>
    <row r="16275" spans="1:11" ht="54" customHeight="1">
      <c r="A16275" s="9" t="s">
        <v>32790</v>
      </c>
      <c r="B16275" s="9" t="s">
        <v>32791</v>
      </c>
      <c r="C16275" s="9" t="s">
        <v>17</v>
      </c>
      <c r="D16275" s="9" t="s">
        <v>18</v>
      </c>
      <c r="E16275" s="10" t="s">
        <v>200</v>
      </c>
      <c r="F16275" s="9" t="s">
        <v>2248</v>
      </c>
      <c r="G16275" s="10" t="s">
        <v>34</v>
      </c>
      <c r="H16275" s="9" t="s">
        <v>22</v>
      </c>
      <c r="I16275" s="9" t="s">
        <v>32792</v>
      </c>
      <c r="J16275" s="10" t="str">
        <f>HYPERLINK("https://www.boe.es/gazeta/dias/1834/12/11/pdfs/GMD-C-1834-300.pdf#page=1","Abrir facsímil")</f>
        <v>Abrir facsímil</v>
      </c>
      <c r="K16275" s="10" t="s">
        <v>24</v>
      </c>
    </row>
    <row r="16276" spans="1:11" ht="54" customHeight="1">
      <c r="A16276" s="9" t="s">
        <v>32793</v>
      </c>
      <c r="B16276" s="9" t="s">
        <v>32793</v>
      </c>
      <c r="C16276" s="9" t="s">
        <v>17</v>
      </c>
      <c r="D16276" s="9" t="s">
        <v>40</v>
      </c>
      <c r="E16276" s="10" t="s">
        <v>2865</v>
      </c>
      <c r="F16276" s="9" t="s">
        <v>2866</v>
      </c>
      <c r="G16276" s="10" t="s">
        <v>75</v>
      </c>
      <c r="H16276" s="9" t="s">
        <v>22</v>
      </c>
      <c r="I16276" s="9" t="s">
        <v>32794</v>
      </c>
      <c r="J16276" s="10" t="str">
        <f>HYPERLINK("https://www.boe.es/gazeta/dias/1834/07/06/pdfs/GMD-1834-139.pdf#page=4","Abrir facsímil")</f>
        <v>Abrir facsímil</v>
      </c>
      <c r="K16276" s="10" t="s">
        <v>24</v>
      </c>
    </row>
    <row r="16277" spans="1:11" ht="54" customHeight="1">
      <c r="A16277" s="9" t="s">
        <v>32795</v>
      </c>
      <c r="B16277" s="9" t="s">
        <v>32795</v>
      </c>
      <c r="C16277" s="9" t="s">
        <v>17</v>
      </c>
      <c r="D16277" s="9" t="s">
        <v>18</v>
      </c>
      <c r="E16277" s="10" t="s">
        <v>268</v>
      </c>
      <c r="F16277" s="9" t="s">
        <v>3529</v>
      </c>
      <c r="G16277" s="10" t="s">
        <v>75</v>
      </c>
      <c r="H16277" s="9" t="s">
        <v>22</v>
      </c>
      <c r="I16277" s="9" t="s">
        <v>32796</v>
      </c>
      <c r="J16277" s="10" t="str">
        <f>HYPERLINK("https://www.boe.es/gazeta/dias/1834/12/19/pdfs/GMD-1834-309.pdf#page=4","Abrir facsímil")</f>
        <v>Abrir facsímil</v>
      </c>
      <c r="K16277" s="10" t="s">
        <v>24</v>
      </c>
    </row>
    <row r="16278" spans="1:11" ht="54" customHeight="1">
      <c r="A16278" s="9" t="s">
        <v>32797</v>
      </c>
      <c r="B16278" s="9" t="s">
        <v>32798</v>
      </c>
      <c r="C16278" s="9" t="s">
        <v>17</v>
      </c>
      <c r="D16278" s="9" t="s">
        <v>18</v>
      </c>
      <c r="E16278" s="10" t="s">
        <v>642</v>
      </c>
      <c r="F16278" s="9" t="s">
        <v>1843</v>
      </c>
      <c r="G16278" s="10" t="s">
        <v>21</v>
      </c>
      <c r="H16278" s="9" t="s">
        <v>22</v>
      </c>
      <c r="I16278" s="9" t="s">
        <v>32799</v>
      </c>
      <c r="J16278" s="10" t="str">
        <f>HYPERLINK("https://www.boe.es/gazeta/dias/1834/11/12/pdfs/GMD-1834-271.pdf#page=3","Abrir facsímil")</f>
        <v>Abrir facsímil</v>
      </c>
      <c r="K16278" s="10" t="s">
        <v>24</v>
      </c>
    </row>
    <row r="16279" spans="1:11" ht="54" customHeight="1">
      <c r="A16279" s="9" t="s">
        <v>32800</v>
      </c>
      <c r="B16279" s="9" t="s">
        <v>32801</v>
      </c>
      <c r="C16279" s="9" t="s">
        <v>17</v>
      </c>
      <c r="D16279" s="9" t="s">
        <v>18</v>
      </c>
      <c r="E16279" s="10" t="s">
        <v>1850</v>
      </c>
      <c r="F16279" s="9" t="s">
        <v>1851</v>
      </c>
      <c r="G16279" s="10" t="s">
        <v>21</v>
      </c>
      <c r="H16279" s="9" t="s">
        <v>22</v>
      </c>
      <c r="I16279" s="9" t="s">
        <v>32802</v>
      </c>
      <c r="J16279" s="10" t="str">
        <f>HYPERLINK("https://www.boe.es/gazeta/dias/1834/02/18/pdfs/GMD-1834-22.pdf#page=3","Abrir facsímil")</f>
        <v>Abrir facsímil</v>
      </c>
      <c r="K16279" s="10" t="s">
        <v>24</v>
      </c>
    </row>
    <row r="16280" spans="1:11" ht="54" customHeight="1">
      <c r="A16280" s="9" t="s">
        <v>32803</v>
      </c>
      <c r="B16280" s="9" t="s">
        <v>32804</v>
      </c>
      <c r="C16280" s="9" t="s">
        <v>90</v>
      </c>
      <c r="D16280" s="9" t="s">
        <v>18</v>
      </c>
      <c r="E16280" s="10" t="s">
        <v>360</v>
      </c>
      <c r="F16280" s="9" t="s">
        <v>361</v>
      </c>
      <c r="G16280" s="10" t="s">
        <v>34</v>
      </c>
      <c r="H16280" s="9" t="s">
        <v>22</v>
      </c>
      <c r="I16280" s="9" t="s">
        <v>32805</v>
      </c>
      <c r="J16280" s="10" t="str">
        <f>HYPERLINK("https://www.boe.es/gazeta/dias/1834/04/07/pdfs/GMD-1834-46.pdf#page=1","Abrir facsímil")</f>
        <v>Abrir facsímil</v>
      </c>
      <c r="K16280" s="10" t="s">
        <v>24</v>
      </c>
    </row>
    <row r="16281" spans="1:11" ht="54" customHeight="1">
      <c r="A16281" s="9" t="s">
        <v>32806</v>
      </c>
      <c r="B16281" s="9" t="s">
        <v>32807</v>
      </c>
      <c r="C16281" s="9" t="s">
        <v>66</v>
      </c>
      <c r="D16281" s="9" t="s">
        <v>67</v>
      </c>
      <c r="E16281" s="10" t="s">
        <v>863</v>
      </c>
      <c r="F16281" s="9" t="s">
        <v>864</v>
      </c>
      <c r="G16281" s="10" t="s">
        <v>86</v>
      </c>
      <c r="H16281" s="9" t="s">
        <v>22</v>
      </c>
      <c r="I16281" s="9" t="s">
        <v>32808</v>
      </c>
      <c r="J16281" s="10" t="str">
        <f>HYPERLINK("https://www.boe.es/gazeta/dias/1834/09/15/pdfs/GMD-1834-213.pdf#page=2","Abrir facsímil")</f>
        <v>Abrir facsímil</v>
      </c>
      <c r="K16281" s="10" t="s">
        <v>24</v>
      </c>
    </row>
    <row r="16282" spans="1:11" ht="54" customHeight="1">
      <c r="A16282" s="9" t="s">
        <v>32809</v>
      </c>
      <c r="B16282" s="9" t="s">
        <v>32810</v>
      </c>
      <c r="C16282" s="9" t="s">
        <v>66</v>
      </c>
      <c r="D16282" s="9" t="s">
        <v>67</v>
      </c>
      <c r="E16282" s="10" t="s">
        <v>255</v>
      </c>
      <c r="F16282" s="9" t="s">
        <v>2368</v>
      </c>
      <c r="G16282" s="10" t="s">
        <v>34</v>
      </c>
      <c r="H16282" s="9" t="s">
        <v>22</v>
      </c>
      <c r="I16282" s="9" t="s">
        <v>32811</v>
      </c>
      <c r="J16282" s="10" t="str">
        <f>HYPERLINK("https://www.boe.es/gazeta/dias/1834/09/01/pdfs/I00843-00844.pdf#page=1","Abrir facsímil")</f>
        <v>Abrir facsímil</v>
      </c>
      <c r="K16282" s="10" t="s">
        <v>24</v>
      </c>
    </row>
    <row r="16283" spans="1:11" ht="54" customHeight="1">
      <c r="A16283" s="9" t="s">
        <v>32809</v>
      </c>
      <c r="B16283" s="9" t="s">
        <v>32810</v>
      </c>
      <c r="C16283" s="9" t="s">
        <v>66</v>
      </c>
      <c r="D16283" s="9" t="s">
        <v>67</v>
      </c>
      <c r="E16283" s="10" t="s">
        <v>255</v>
      </c>
      <c r="F16283" s="9" t="s">
        <v>2368</v>
      </c>
      <c r="G16283" s="10" t="s">
        <v>21</v>
      </c>
      <c r="H16283" s="9" t="s">
        <v>22</v>
      </c>
      <c r="I16283" s="9" t="s">
        <v>32812</v>
      </c>
      <c r="J16283" s="10" t="str">
        <f>HYPERLINK("https://www.boe.es/gazeta/dias/1834/09/01/pdfs/GMD-1834-199.pdf#page=3","Abrir facsímil")</f>
        <v>Abrir facsímil</v>
      </c>
      <c r="K16283" s="10" t="s">
        <v>24</v>
      </c>
    </row>
    <row r="16284" spans="1:11" ht="54" customHeight="1">
      <c r="A16284" s="9" t="s">
        <v>32809</v>
      </c>
      <c r="B16284" s="9" t="s">
        <v>32810</v>
      </c>
      <c r="C16284" s="9" t="s">
        <v>66</v>
      </c>
      <c r="D16284" s="9" t="s">
        <v>67</v>
      </c>
      <c r="E16284" s="10" t="s">
        <v>371</v>
      </c>
      <c r="F16284" s="9" t="s">
        <v>372</v>
      </c>
      <c r="G16284" s="10" t="s">
        <v>75</v>
      </c>
      <c r="H16284" s="9" t="s">
        <v>22</v>
      </c>
      <c r="I16284" s="9" t="s">
        <v>32813</v>
      </c>
      <c r="J16284" s="10" t="str">
        <f>HYPERLINK("https://www.boe.es/gazeta/dias/1834/05/27/pdfs/GMD-1834-96.pdf#page=4","Abrir facsímil")</f>
        <v>Abrir facsímil</v>
      </c>
      <c r="K16284" s="10" t="s">
        <v>24</v>
      </c>
    </row>
    <row r="16285" spans="1:11" ht="54" customHeight="1">
      <c r="A16285" s="9" t="s">
        <v>32814</v>
      </c>
      <c r="B16285" s="9" t="s">
        <v>32815</v>
      </c>
      <c r="C16285" s="9" t="s">
        <v>66</v>
      </c>
      <c r="D16285" s="9" t="s">
        <v>67</v>
      </c>
      <c r="E16285" s="10" t="s">
        <v>2596</v>
      </c>
      <c r="F16285" s="9" t="s">
        <v>2597</v>
      </c>
      <c r="G16285" s="10" t="s">
        <v>21</v>
      </c>
      <c r="H16285" s="9" t="s">
        <v>22</v>
      </c>
      <c r="I16285" s="9" t="s">
        <v>32816</v>
      </c>
      <c r="J16285" s="10" t="str">
        <f>HYPERLINK("https://www.boe.es/gazeta/dias/1834/10/22/pdfs/GMD-1834-250.pdf#page=3","Abrir facsímil")</f>
        <v>Abrir facsímil</v>
      </c>
      <c r="K16285" s="10" t="s">
        <v>24</v>
      </c>
    </row>
    <row r="16286" spans="1:11" ht="54" customHeight="1">
      <c r="A16286" s="9" t="s">
        <v>32817</v>
      </c>
      <c r="B16286" s="9" t="s">
        <v>32817</v>
      </c>
      <c r="C16286" s="9" t="s">
        <v>17</v>
      </c>
      <c r="D16286" s="9" t="s">
        <v>18</v>
      </c>
      <c r="E16286" s="10" t="s">
        <v>1883</v>
      </c>
      <c r="F16286" s="9" t="s">
        <v>1884</v>
      </c>
      <c r="G16286" s="10" t="s">
        <v>75</v>
      </c>
      <c r="H16286" s="9" t="s">
        <v>22</v>
      </c>
      <c r="I16286" s="9" t="s">
        <v>32818</v>
      </c>
      <c r="J16286" s="10" t="str">
        <f>HYPERLINK("https://www.boe.es/gazeta/dias/1834/01/11/pdfs/GMD-1834-6.pdf#page=4","Abrir facsímil")</f>
        <v>Abrir facsímil</v>
      </c>
      <c r="K16286" s="10" t="s">
        <v>24</v>
      </c>
    </row>
    <row r="16287" spans="1:11" ht="54" customHeight="1">
      <c r="A16287" s="9" t="s">
        <v>32819</v>
      </c>
      <c r="B16287" s="9" t="s">
        <v>32820</v>
      </c>
      <c r="C16287" s="9" t="s">
        <v>122</v>
      </c>
      <c r="D16287" s="9" t="s">
        <v>18</v>
      </c>
      <c r="E16287" s="10" t="s">
        <v>1883</v>
      </c>
      <c r="F16287" s="9" t="s">
        <v>1884</v>
      </c>
      <c r="G16287" s="10" t="s">
        <v>75</v>
      </c>
      <c r="H16287" s="9" t="s">
        <v>35</v>
      </c>
      <c r="I16287" s="9" t="s">
        <v>32821</v>
      </c>
      <c r="J16287" s="10" t="str">
        <f>HYPERLINK("https://www.boe.es/gazeta/dias/1834/01/11/pdfs/GMD-1834-6.pdf#page=4","Abrir facsímil")</f>
        <v>Abrir facsímil</v>
      </c>
      <c r="K16287" s="10" t="s">
        <v>37</v>
      </c>
    </row>
    <row r="16288" spans="1:11" ht="54" customHeight="1">
      <c r="A16288" s="9" t="s">
        <v>32822</v>
      </c>
      <c r="B16288" s="9" t="s">
        <v>32823</v>
      </c>
      <c r="C16288" s="9" t="s">
        <v>66</v>
      </c>
      <c r="D16288" s="9" t="s">
        <v>67</v>
      </c>
      <c r="E16288" s="10" t="s">
        <v>2278</v>
      </c>
      <c r="F16288" s="9" t="s">
        <v>3687</v>
      </c>
      <c r="G16288" s="10" t="s">
        <v>34</v>
      </c>
      <c r="H16288" s="9" t="s">
        <v>35</v>
      </c>
      <c r="I16288" s="9" t="s">
        <v>32824</v>
      </c>
      <c r="J16288" s="10" t="str">
        <f>HYPERLINK("https://www.boe.es/gazeta/dias/1834/12/17/pdfs/GMD-1834-307E.pdf#page=1","Abrir facsímil")</f>
        <v>Abrir facsímil</v>
      </c>
      <c r="K16288" s="10" t="s">
        <v>37</v>
      </c>
    </row>
    <row r="16289" spans="1:11" ht="54" customHeight="1">
      <c r="A16289" s="9" t="s">
        <v>32825</v>
      </c>
      <c r="B16289" s="9" t="s">
        <v>32826</v>
      </c>
      <c r="C16289" s="9" t="s">
        <v>66</v>
      </c>
      <c r="D16289" s="9" t="s">
        <v>67</v>
      </c>
      <c r="E16289" s="10" t="s">
        <v>2278</v>
      </c>
      <c r="F16289" s="9" t="s">
        <v>3687</v>
      </c>
      <c r="G16289" s="10" t="s">
        <v>34</v>
      </c>
      <c r="H16289" s="9" t="s">
        <v>22</v>
      </c>
      <c r="I16289" s="9" t="s">
        <v>32827</v>
      </c>
      <c r="J16289" s="10" t="str">
        <f>HYPERLINK("https://www.boe.es/gazeta/dias/1834/12/17/pdfs/GMD-1834-307E.pdf#page=1","Abrir facsímil")</f>
        <v>Abrir facsímil</v>
      </c>
      <c r="K16289" s="10" t="s">
        <v>24</v>
      </c>
    </row>
    <row r="16290" spans="1:11" ht="54" customHeight="1">
      <c r="A16290" s="9" t="s">
        <v>32828</v>
      </c>
      <c r="B16290" s="9" t="s">
        <v>32828</v>
      </c>
      <c r="C16290" s="9" t="s">
        <v>66</v>
      </c>
      <c r="D16290" s="9" t="s">
        <v>67</v>
      </c>
      <c r="E16290" s="10" t="s">
        <v>1265</v>
      </c>
      <c r="F16290" s="9" t="s">
        <v>1266</v>
      </c>
      <c r="G16290" s="10" t="s">
        <v>34</v>
      </c>
      <c r="H16290" s="9" t="s">
        <v>22</v>
      </c>
      <c r="I16290" s="9" t="s">
        <v>32829</v>
      </c>
      <c r="J16290" s="10" t="str">
        <f>HYPERLINK("https://www.boe.es/gazeta/dias/1834/09/08/pdfs/GMD-1834-206.pdf#page=1","Abrir facsímil")</f>
        <v>Abrir facsímil</v>
      </c>
      <c r="K16290" s="10" t="s">
        <v>24</v>
      </c>
    </row>
    <row r="16291" spans="1:11" ht="54" customHeight="1">
      <c r="A16291" s="9" t="s">
        <v>32830</v>
      </c>
      <c r="B16291" s="9" t="s">
        <v>32831</v>
      </c>
      <c r="C16291" s="9" t="s">
        <v>17</v>
      </c>
      <c r="D16291" s="9" t="s">
        <v>101</v>
      </c>
      <c r="E16291" s="10" t="s">
        <v>777</v>
      </c>
      <c r="F16291" s="9" t="s">
        <v>778</v>
      </c>
      <c r="G16291" s="10" t="s">
        <v>21</v>
      </c>
      <c r="H16291" s="9" t="s">
        <v>22</v>
      </c>
      <c r="I16291" s="9" t="s">
        <v>32832</v>
      </c>
      <c r="J16291" s="10" t="str">
        <f>HYPERLINK("https://www.boe.es/gazeta/dias/1834/10/29/pdfs/GMD-1834-257.pdf#page=3","Abrir facsímil")</f>
        <v>Abrir facsímil</v>
      </c>
      <c r="K16291" s="10" t="s">
        <v>24</v>
      </c>
    </row>
    <row r="16292" spans="1:11" ht="54" customHeight="1">
      <c r="A16292" s="9" t="s">
        <v>32833</v>
      </c>
      <c r="B16292" s="9" t="s">
        <v>32834</v>
      </c>
      <c r="C16292" s="9" t="s">
        <v>90</v>
      </c>
      <c r="D16292" s="9" t="s">
        <v>18</v>
      </c>
      <c r="E16292" s="10" t="s">
        <v>73</v>
      </c>
      <c r="F16292" s="9" t="s">
        <v>74</v>
      </c>
      <c r="G16292" s="10" t="s">
        <v>86</v>
      </c>
      <c r="H16292" s="9" t="s">
        <v>35</v>
      </c>
      <c r="I16292" s="9" t="s">
        <v>32835</v>
      </c>
      <c r="J16292" s="10" t="str">
        <f>HYPERLINK("https://www.boe.es/gazeta/dias/1834/11/04/pdfs/GMD-1834-263.pdf#page=2","Abrir facsímil")</f>
        <v>Abrir facsímil</v>
      </c>
      <c r="K16292" s="10" t="s">
        <v>37</v>
      </c>
    </row>
    <row r="16293" spans="1:11" ht="54" customHeight="1">
      <c r="A16293" s="9" t="s">
        <v>32836</v>
      </c>
      <c r="B16293" s="9" t="s">
        <v>32837</v>
      </c>
      <c r="C16293" s="9" t="s">
        <v>90</v>
      </c>
      <c r="D16293" s="9" t="s">
        <v>18</v>
      </c>
      <c r="E16293" s="10" t="s">
        <v>73</v>
      </c>
      <c r="F16293" s="9" t="s">
        <v>74</v>
      </c>
      <c r="G16293" s="10" t="s">
        <v>86</v>
      </c>
      <c r="H16293" s="9" t="s">
        <v>22</v>
      </c>
      <c r="I16293" s="9" t="s">
        <v>32838</v>
      </c>
      <c r="J16293" s="10" t="str">
        <f>HYPERLINK("https://www.boe.es/gazeta/dias/1834/11/04/pdfs/GMD-1834-263.pdf#page=2","Abrir facsímil")</f>
        <v>Abrir facsímil</v>
      </c>
      <c r="K16293" s="10" t="s">
        <v>24</v>
      </c>
    </row>
    <row r="16294" spans="1:11" ht="54" customHeight="1">
      <c r="A16294" s="9" t="s">
        <v>32839</v>
      </c>
      <c r="B16294" s="9" t="s">
        <v>32840</v>
      </c>
      <c r="C16294" s="9" t="s">
        <v>17</v>
      </c>
      <c r="D16294" s="9" t="s">
        <v>18</v>
      </c>
      <c r="E16294" s="10" t="s">
        <v>2091</v>
      </c>
      <c r="F16294" s="9" t="s">
        <v>2092</v>
      </c>
      <c r="G16294" s="10" t="s">
        <v>21</v>
      </c>
      <c r="H16294" s="9" t="s">
        <v>22</v>
      </c>
      <c r="I16294" s="9" t="s">
        <v>32841</v>
      </c>
      <c r="J16294" s="10" t="str">
        <f>HYPERLINK("https://www.boe.es/gazeta/dias/1834/03/08/pdfs/GMD-1834-30.pdf#page=3","Abrir facsímil")</f>
        <v>Abrir facsímil</v>
      </c>
      <c r="K16294" s="10" t="s">
        <v>24</v>
      </c>
    </row>
    <row r="16295" spans="1:11" ht="54" customHeight="1">
      <c r="A16295" s="9" t="s">
        <v>32842</v>
      </c>
      <c r="B16295" s="9" t="s">
        <v>32843</v>
      </c>
      <c r="C16295" s="9" t="s">
        <v>17</v>
      </c>
      <c r="D16295" s="9" t="s">
        <v>18</v>
      </c>
      <c r="E16295" s="10" t="s">
        <v>2153</v>
      </c>
      <c r="F16295" s="9" t="s">
        <v>2154</v>
      </c>
      <c r="G16295" s="10" t="s">
        <v>21</v>
      </c>
      <c r="H16295" s="9" t="s">
        <v>22</v>
      </c>
      <c r="I16295" s="9" t="s">
        <v>32844</v>
      </c>
      <c r="J16295" s="10" t="str">
        <f>HYPERLINK("https://www.boe.es/gazeta/dias/1834/01/23/pdfs/GMD-1834-11.pdf#page=3","Abrir facsímil")</f>
        <v>Abrir facsímil</v>
      </c>
      <c r="K16295" s="10" t="s">
        <v>24</v>
      </c>
    </row>
    <row r="16296" spans="1:11" ht="54" customHeight="1">
      <c r="A16296" s="9" t="s">
        <v>32845</v>
      </c>
      <c r="B16296" s="9" t="s">
        <v>32846</v>
      </c>
      <c r="C16296" s="9" t="s">
        <v>66</v>
      </c>
      <c r="D16296" s="9" t="s">
        <v>67</v>
      </c>
      <c r="E16296" s="10" t="s">
        <v>61</v>
      </c>
      <c r="F16296" s="9" t="s">
        <v>205</v>
      </c>
      <c r="G16296" s="10" t="s">
        <v>21</v>
      </c>
      <c r="H16296" s="9" t="s">
        <v>35</v>
      </c>
      <c r="I16296" s="9" t="s">
        <v>32847</v>
      </c>
      <c r="J16296" s="10" t="str">
        <f>HYPERLINK("https://www.boe.es/gazeta/dias/1834/06/08/pdfs/GMD-1834-110.pdf#page=3","Abrir facsímil")</f>
        <v>Abrir facsímil</v>
      </c>
      <c r="K16296" s="10" t="s">
        <v>37</v>
      </c>
    </row>
    <row r="16297" spans="1:11" ht="54" customHeight="1">
      <c r="A16297" s="9" t="s">
        <v>32848</v>
      </c>
      <c r="B16297" s="9" t="s">
        <v>32849</v>
      </c>
      <c r="C16297" s="9" t="s">
        <v>66</v>
      </c>
      <c r="D16297" s="9" t="s">
        <v>67</v>
      </c>
      <c r="E16297" s="10" t="s">
        <v>61</v>
      </c>
      <c r="F16297" s="9" t="s">
        <v>205</v>
      </c>
      <c r="G16297" s="10" t="s">
        <v>21</v>
      </c>
      <c r="H16297" s="9" t="s">
        <v>22</v>
      </c>
      <c r="I16297" s="9" t="s">
        <v>32850</v>
      </c>
      <c r="J16297" s="10" t="str">
        <f>HYPERLINK("https://www.boe.es/gazeta/dias/1834/06/08/pdfs/GMD-1834-110.pdf#page=3","Abrir facsímil")</f>
        <v>Abrir facsímil</v>
      </c>
      <c r="K16297" s="10" t="s">
        <v>24</v>
      </c>
    </row>
    <row r="16298" spans="1:11" ht="54" customHeight="1">
      <c r="A16298" s="9" t="s">
        <v>32851</v>
      </c>
      <c r="B16298" s="9" t="s">
        <v>32851</v>
      </c>
      <c r="C16298" s="9" t="s">
        <v>17</v>
      </c>
      <c r="D16298" s="9" t="s">
        <v>18</v>
      </c>
      <c r="E16298" s="10" t="s">
        <v>183</v>
      </c>
      <c r="F16298" s="9" t="s">
        <v>184</v>
      </c>
      <c r="G16298" s="10" t="s">
        <v>86</v>
      </c>
      <c r="H16298" s="9" t="s">
        <v>22</v>
      </c>
      <c r="I16298" s="9" t="s">
        <v>32852</v>
      </c>
      <c r="J16298" s="10" t="str">
        <f>HYPERLINK("https://www.boe.es/gazeta/dias/1834/03/18/pdfs/GMD-1834-34.pdf#page=2","Abrir facsímil")</f>
        <v>Abrir facsímil</v>
      </c>
      <c r="K16298" s="10" t="s">
        <v>24</v>
      </c>
    </row>
    <row r="16299" spans="1:11" ht="54" customHeight="1">
      <c r="A16299" s="9" t="s">
        <v>32853</v>
      </c>
      <c r="B16299" s="9" t="s">
        <v>32854</v>
      </c>
      <c r="C16299" s="9" t="s">
        <v>17</v>
      </c>
      <c r="D16299" s="9" t="s">
        <v>18</v>
      </c>
      <c r="E16299" s="10" t="s">
        <v>1402</v>
      </c>
      <c r="F16299" s="9" t="s">
        <v>1403</v>
      </c>
      <c r="G16299" s="10" t="s">
        <v>86</v>
      </c>
      <c r="H16299" s="9" t="s">
        <v>22</v>
      </c>
      <c r="I16299" s="9" t="s">
        <v>32855</v>
      </c>
      <c r="J16299" s="10" t="str">
        <f>HYPERLINK("https://www.boe.es/gazeta/dias/1834/05/05/pdfs/I00347-00348.pdf#page=2","Abrir facsímil")</f>
        <v>Abrir facsímil</v>
      </c>
      <c r="K16299" s="10" t="s">
        <v>24</v>
      </c>
    </row>
    <row r="16300" spans="1:11" ht="54" customHeight="1">
      <c r="A16300" s="9" t="s">
        <v>32856</v>
      </c>
      <c r="B16300" s="9" t="s">
        <v>32857</v>
      </c>
      <c r="C16300" s="9" t="s">
        <v>17</v>
      </c>
      <c r="D16300" s="9" t="s">
        <v>18</v>
      </c>
      <c r="E16300" s="10" t="s">
        <v>1402</v>
      </c>
      <c r="F16300" s="9" t="s">
        <v>1403</v>
      </c>
      <c r="G16300" s="10" t="s">
        <v>176</v>
      </c>
      <c r="H16300" s="9" t="s">
        <v>22</v>
      </c>
      <c r="I16300" s="9" t="s">
        <v>32858</v>
      </c>
      <c r="J16300" s="10" t="str">
        <f>HYPERLINK("https://www.boe.es/gazeta/dias/1834/05/05/pdfs/GMD-1834-74.pdf#page=6","Abrir facsímil")</f>
        <v>Abrir facsímil</v>
      </c>
      <c r="K16300" s="10" t="s">
        <v>24</v>
      </c>
    </row>
    <row r="16301" spans="1:11" ht="54" customHeight="1">
      <c r="A16301" s="9" t="s">
        <v>32859</v>
      </c>
      <c r="B16301" s="9" t="s">
        <v>32860</v>
      </c>
      <c r="C16301" s="9" t="s">
        <v>90</v>
      </c>
      <c r="D16301" s="9" t="s">
        <v>18</v>
      </c>
      <c r="E16301" s="10" t="s">
        <v>724</v>
      </c>
      <c r="F16301" s="9" t="s">
        <v>725</v>
      </c>
      <c r="G16301" s="10" t="s">
        <v>34</v>
      </c>
      <c r="H16301" s="9" t="s">
        <v>22</v>
      </c>
      <c r="I16301" s="9" t="s">
        <v>32861</v>
      </c>
      <c r="J16301" s="10" t="str">
        <f>HYPERLINK("https://www.boe.es/gazeta/dias/1834/04/25/pdfs/GMD-1834-64.pdf#page=1","Abrir facsímil")</f>
        <v>Abrir facsímil</v>
      </c>
      <c r="K16301" s="10" t="s">
        <v>24</v>
      </c>
    </row>
    <row r="16302" spans="1:11" ht="54" customHeight="1">
      <c r="A16302" s="9" t="s">
        <v>32862</v>
      </c>
      <c r="B16302" s="9" t="s">
        <v>32863</v>
      </c>
      <c r="C16302" s="9" t="s">
        <v>122</v>
      </c>
      <c r="D16302" s="9" t="s">
        <v>18</v>
      </c>
      <c r="E16302" s="10" t="s">
        <v>647</v>
      </c>
      <c r="F16302" s="9" t="s">
        <v>2176</v>
      </c>
      <c r="G16302" s="10" t="s">
        <v>34</v>
      </c>
      <c r="H16302" s="9" t="s">
        <v>22</v>
      </c>
      <c r="I16302" s="9" t="s">
        <v>32864</v>
      </c>
      <c r="J16302" s="10" t="str">
        <f>HYPERLINK("https://www.boe.es/gazeta/dias/1834/10/21/pdfs/GMD-1834-249.pdf#page=1","Abrir facsímil")</f>
        <v>Abrir facsímil</v>
      </c>
      <c r="K16302" s="10" t="s">
        <v>24</v>
      </c>
    </row>
    <row r="16303" spans="1:11" ht="54" customHeight="1">
      <c r="A16303" s="9" t="s">
        <v>32865</v>
      </c>
      <c r="B16303" s="9" t="s">
        <v>32866</v>
      </c>
      <c r="C16303" s="9" t="s">
        <v>66</v>
      </c>
      <c r="D16303" s="9" t="s">
        <v>67</v>
      </c>
      <c r="E16303" s="10" t="s">
        <v>2241</v>
      </c>
      <c r="F16303" s="9" t="s">
        <v>2242</v>
      </c>
      <c r="G16303" s="10" t="s">
        <v>21</v>
      </c>
      <c r="H16303" s="9" t="s">
        <v>22</v>
      </c>
      <c r="I16303" s="9" t="s">
        <v>32867</v>
      </c>
      <c r="J16303" s="10" t="str">
        <f>HYPERLINK("https://www.boe.es/gazeta/dias/1834/03/11/pdfs/GMD-1834-31.pdf#page=3","Abrir facsímil")</f>
        <v>Abrir facsímil</v>
      </c>
      <c r="K16303" s="10" t="s">
        <v>24</v>
      </c>
    </row>
    <row r="16304" spans="1:11" ht="54" customHeight="1">
      <c r="A16304" s="9" t="s">
        <v>32868</v>
      </c>
      <c r="B16304" s="9" t="s">
        <v>32869</v>
      </c>
      <c r="C16304" s="9" t="s">
        <v>66</v>
      </c>
      <c r="D16304" s="9" t="s">
        <v>67</v>
      </c>
      <c r="E16304" s="10" t="s">
        <v>2241</v>
      </c>
      <c r="F16304" s="9" t="s">
        <v>2242</v>
      </c>
      <c r="G16304" s="10" t="s">
        <v>21</v>
      </c>
      <c r="H16304" s="9" t="s">
        <v>22</v>
      </c>
      <c r="I16304" s="9" t="s">
        <v>32870</v>
      </c>
      <c r="J16304" s="10" t="str">
        <f>HYPERLINK("https://www.boe.es/gazeta/dias/1834/03/11/pdfs/GMD-1834-31.pdf#page=3","Abrir facsímil")</f>
        <v>Abrir facsímil</v>
      </c>
      <c r="K16304" s="10" t="s">
        <v>24</v>
      </c>
    </row>
    <row r="16305" spans="1:11" ht="54" customHeight="1">
      <c r="A16305" s="9" t="s">
        <v>32871</v>
      </c>
      <c r="B16305" s="9" t="s">
        <v>32871</v>
      </c>
      <c r="C16305" s="9" t="s">
        <v>46</v>
      </c>
      <c r="D16305" s="9" t="s">
        <v>101</v>
      </c>
      <c r="E16305" s="10" t="s">
        <v>2212</v>
      </c>
      <c r="F16305" s="9" t="s">
        <v>5450</v>
      </c>
      <c r="G16305" s="10" t="s">
        <v>21</v>
      </c>
      <c r="H16305" s="9" t="s">
        <v>22</v>
      </c>
      <c r="I16305" s="9" t="s">
        <v>32872</v>
      </c>
      <c r="J16305" s="10" t="str">
        <f>HYPERLINK("https://www.boe.es/gazeta/dias/1834/08/04/pdfs/GMD-1834-168.pdf#page=3","Abrir facsímil")</f>
        <v>Abrir facsímil</v>
      </c>
      <c r="K16305" s="10" t="s">
        <v>24</v>
      </c>
    </row>
    <row r="16306" spans="1:11" ht="54" customHeight="1">
      <c r="A16306" s="9" t="s">
        <v>32873</v>
      </c>
      <c r="B16306" s="9" t="s">
        <v>32874</v>
      </c>
      <c r="C16306" s="9" t="s">
        <v>17</v>
      </c>
      <c r="D16306" s="9" t="s">
        <v>18</v>
      </c>
      <c r="E16306" s="10" t="s">
        <v>860</v>
      </c>
      <c r="F16306" s="9" t="s">
        <v>861</v>
      </c>
      <c r="G16306" s="10" t="s">
        <v>470</v>
      </c>
      <c r="H16306" s="9" t="s">
        <v>22</v>
      </c>
      <c r="I16306" s="9" t="s">
        <v>32875</v>
      </c>
      <c r="J16306" s="10" t="str">
        <f>HYPERLINK("https://www.boe.es/gazeta/dias/1834/02/08/pdfs/GMD-1834-18.pdf#page=8","Abrir facsímil")</f>
        <v>Abrir facsímil</v>
      </c>
      <c r="K16306" s="10" t="s">
        <v>24</v>
      </c>
    </row>
    <row r="16307" spans="1:11" ht="54" customHeight="1">
      <c r="A16307" s="9" t="s">
        <v>32876</v>
      </c>
      <c r="B16307" s="9" t="s">
        <v>32876</v>
      </c>
      <c r="C16307" s="9" t="s">
        <v>46</v>
      </c>
      <c r="D16307" s="9" t="s">
        <v>101</v>
      </c>
      <c r="E16307" s="10" t="s">
        <v>1918</v>
      </c>
      <c r="F16307" s="9" t="s">
        <v>1919</v>
      </c>
      <c r="G16307" s="10" t="s">
        <v>21</v>
      </c>
      <c r="H16307" s="9" t="s">
        <v>22</v>
      </c>
      <c r="I16307" s="9" t="s">
        <v>32877</v>
      </c>
      <c r="J16307" s="10" t="str">
        <f>HYPERLINK("https://www.boe.es/gazeta/dias/1834/03/22/pdfs/GMD-1834-36.pdf#page=3","Abrir facsímil")</f>
        <v>Abrir facsímil</v>
      </c>
      <c r="K16307" s="10" t="s">
        <v>24</v>
      </c>
    </row>
    <row r="16308" spans="1:11" ht="54" customHeight="1">
      <c r="A16308" s="9" t="s">
        <v>32878</v>
      </c>
      <c r="B16308" s="9" t="s">
        <v>32878</v>
      </c>
      <c r="C16308" s="9" t="s">
        <v>17</v>
      </c>
      <c r="D16308" s="9" t="s">
        <v>18</v>
      </c>
      <c r="E16308" s="10" t="s">
        <v>1365</v>
      </c>
      <c r="F16308" s="9" t="s">
        <v>1366</v>
      </c>
      <c r="G16308" s="10" t="s">
        <v>75</v>
      </c>
      <c r="H16308" s="9" t="s">
        <v>22</v>
      </c>
      <c r="I16308" s="9" t="s">
        <v>32879</v>
      </c>
      <c r="J16308" s="10" t="str">
        <f>HYPERLINK("https://www.boe.es/gazeta/dias/1834/06/20/pdfs/GMD-1834-123.pdf#page=4","Abrir facsímil")</f>
        <v>Abrir facsímil</v>
      </c>
      <c r="K16308" s="10" t="s">
        <v>24</v>
      </c>
    </row>
    <row r="16309" spans="1:11" ht="54" customHeight="1">
      <c r="A16309" s="9" t="s">
        <v>32880</v>
      </c>
      <c r="B16309" s="9" t="s">
        <v>32881</v>
      </c>
      <c r="C16309" s="9" t="s">
        <v>17</v>
      </c>
      <c r="D16309" s="9" t="s">
        <v>18</v>
      </c>
      <c r="E16309" s="10" t="s">
        <v>610</v>
      </c>
      <c r="F16309" s="9" t="s">
        <v>1374</v>
      </c>
      <c r="G16309" s="10" t="s">
        <v>21</v>
      </c>
      <c r="H16309" s="9" t="s">
        <v>22</v>
      </c>
      <c r="I16309" s="9" t="s">
        <v>32882</v>
      </c>
      <c r="J16309" s="10" t="str">
        <f>HYPERLINK("https://www.boe.es/gazeta/dias/1834/12/21/pdfs/GMD-1834-311.pdf#page=3","Abrir facsímil")</f>
        <v>Abrir facsímil</v>
      </c>
      <c r="K16309" s="10" t="s">
        <v>24</v>
      </c>
    </row>
    <row r="16310" spans="1:11" ht="54" customHeight="1">
      <c r="A16310" s="9" t="s">
        <v>32883</v>
      </c>
      <c r="B16310" s="9" t="s">
        <v>32884</v>
      </c>
      <c r="C16310" s="9" t="s">
        <v>46</v>
      </c>
      <c r="D16310" s="9" t="s">
        <v>101</v>
      </c>
      <c r="E16310" s="10" t="s">
        <v>3066</v>
      </c>
      <c r="F16310" s="9" t="s">
        <v>3188</v>
      </c>
      <c r="G16310" s="10" t="s">
        <v>86</v>
      </c>
      <c r="H16310" s="9" t="s">
        <v>22</v>
      </c>
      <c r="I16310" s="9" t="s">
        <v>32885</v>
      </c>
      <c r="J16310" s="10" t="str">
        <f>HYPERLINK("https://www.boe.es/gazeta/dias/1834/08/03/pdfs/I00721-00722.pdf#page=2","Abrir facsímil")</f>
        <v>Abrir facsímil</v>
      </c>
      <c r="K16310" s="10" t="s">
        <v>24</v>
      </c>
    </row>
    <row r="16311" spans="1:11" ht="54" customHeight="1">
      <c r="A16311" s="9" t="s">
        <v>32883</v>
      </c>
      <c r="B16311" s="9" t="s">
        <v>32884</v>
      </c>
      <c r="C16311" s="9" t="s">
        <v>46</v>
      </c>
      <c r="D16311" s="9" t="s">
        <v>101</v>
      </c>
      <c r="E16311" s="10" t="s">
        <v>3066</v>
      </c>
      <c r="F16311" s="9" t="s">
        <v>3188</v>
      </c>
      <c r="G16311" s="10" t="s">
        <v>75</v>
      </c>
      <c r="H16311" s="9" t="s">
        <v>22</v>
      </c>
      <c r="I16311" s="9" t="s">
        <v>32885</v>
      </c>
      <c r="J16311" s="10" t="str">
        <f>HYPERLINK("https://www.boe.es/gazeta/dias/1834/08/03/pdfs/GMD-1834-167.pdf#page=4","Abrir facsímil")</f>
        <v>Abrir facsímil</v>
      </c>
      <c r="K16311" s="10" t="s">
        <v>24</v>
      </c>
    </row>
    <row r="16312" spans="1:11" ht="54" customHeight="1">
      <c r="A16312" s="9" t="s">
        <v>32886</v>
      </c>
      <c r="B16312" s="9" t="s">
        <v>32887</v>
      </c>
      <c r="C16312" s="9" t="s">
        <v>17</v>
      </c>
      <c r="D16312" s="9" t="s">
        <v>18</v>
      </c>
      <c r="E16312" s="10" t="s">
        <v>1692</v>
      </c>
      <c r="F16312" s="9" t="s">
        <v>1693</v>
      </c>
      <c r="G16312" s="10" t="s">
        <v>34</v>
      </c>
      <c r="H16312" s="9" t="s">
        <v>22</v>
      </c>
      <c r="I16312" s="9" t="s">
        <v>32888</v>
      </c>
      <c r="J16312" s="10" t="str">
        <f>HYPERLINK("https://www.boe.es/gazeta/dias/1834/07/29/pdfs/GMD-1834-162.pdf#page=1","Abrir facsímil")</f>
        <v>Abrir facsímil</v>
      </c>
      <c r="K16312" s="10" t="s">
        <v>24</v>
      </c>
    </row>
    <row r="16313" spans="1:11" ht="54" customHeight="1">
      <c r="A16313" s="9" t="s">
        <v>32889</v>
      </c>
      <c r="B16313" s="9" t="s">
        <v>32890</v>
      </c>
      <c r="C16313" s="9" t="s">
        <v>90</v>
      </c>
      <c r="D16313" s="9" t="s">
        <v>101</v>
      </c>
      <c r="E16313" s="10" t="s">
        <v>3057</v>
      </c>
      <c r="F16313" s="9" t="s">
        <v>3058</v>
      </c>
      <c r="G16313" s="10" t="s">
        <v>34</v>
      </c>
      <c r="H16313" s="9" t="s">
        <v>22</v>
      </c>
      <c r="I16313" s="9" t="s">
        <v>32891</v>
      </c>
      <c r="J16313" s="10" t="str">
        <f>HYPERLINK("https://www.boe.es/gazeta/dias/1834/06/14/pdfs/GMD-1834-117.pdf#page=1","Abrir facsímil")</f>
        <v>Abrir facsímil</v>
      </c>
      <c r="K16313" s="10" t="s">
        <v>24</v>
      </c>
    </row>
    <row r="16314" spans="1:11" ht="54" customHeight="1">
      <c r="A16314" s="9" t="s">
        <v>32892</v>
      </c>
      <c r="B16314" s="9" t="s">
        <v>32893</v>
      </c>
      <c r="C16314" s="9" t="s">
        <v>17</v>
      </c>
      <c r="D16314" s="9" t="s">
        <v>18</v>
      </c>
      <c r="E16314" s="10" t="s">
        <v>610</v>
      </c>
      <c r="F16314" s="9" t="s">
        <v>1374</v>
      </c>
      <c r="G16314" s="10" t="s">
        <v>21</v>
      </c>
      <c r="H16314" s="9" t="s">
        <v>35</v>
      </c>
      <c r="I16314" s="9" t="s">
        <v>32894</v>
      </c>
      <c r="J16314" s="10" t="str">
        <f>HYPERLINK("https://www.boe.es/gazeta/dias/1834/12/21/pdfs/GMD-1834-311.pdf#page=3","Abrir facsímil")</f>
        <v>Abrir facsímil</v>
      </c>
      <c r="K16314" s="10" t="s">
        <v>37</v>
      </c>
    </row>
    <row r="16315" spans="1:11" ht="54" customHeight="1">
      <c r="A16315" s="9" t="s">
        <v>32895</v>
      </c>
      <c r="B16315" s="9" t="s">
        <v>32895</v>
      </c>
      <c r="C16315" s="9" t="s">
        <v>17</v>
      </c>
      <c r="D16315" s="9" t="s">
        <v>18</v>
      </c>
      <c r="E16315" s="10" t="s">
        <v>11991</v>
      </c>
      <c r="F16315" s="9" t="s">
        <v>11992</v>
      </c>
      <c r="G16315" s="10" t="s">
        <v>34</v>
      </c>
      <c r="H16315" s="9" t="s">
        <v>22</v>
      </c>
      <c r="I16315" s="9" t="s">
        <v>32896</v>
      </c>
      <c r="J16315" s="10" t="str">
        <f>HYPERLINK("https://www.boe.es/gazeta/dias/1834/12/05/pdfs/GMD-C-1834-294.pdf#page=1","Abrir facsímil")</f>
        <v>Abrir facsímil</v>
      </c>
      <c r="K16315" s="10" t="s">
        <v>24</v>
      </c>
    </row>
    <row r="16316" spans="1:11" ht="54" customHeight="1">
      <c r="A16316" s="9" t="s">
        <v>32897</v>
      </c>
      <c r="B16316" s="9" t="s">
        <v>32897</v>
      </c>
      <c r="C16316" s="9" t="s">
        <v>17</v>
      </c>
      <c r="D16316" s="9" t="s">
        <v>55</v>
      </c>
      <c r="E16316" s="10" t="s">
        <v>286</v>
      </c>
      <c r="F16316" s="9" t="s">
        <v>287</v>
      </c>
      <c r="G16316" s="10" t="s">
        <v>21</v>
      </c>
      <c r="H16316" s="9" t="s">
        <v>22</v>
      </c>
      <c r="I16316" s="9" t="s">
        <v>32898</v>
      </c>
      <c r="J16316" s="10" t="str">
        <f>HYPERLINK("https://www.boe.es/gazeta/dias/1834/08/30/pdfs/GMD-D-1834-196.pdf#page=3","Abrir facsímil")</f>
        <v>Abrir facsímil</v>
      </c>
      <c r="K16316" s="10" t="s">
        <v>24</v>
      </c>
    </row>
    <row r="16317" spans="1:11" ht="54" customHeight="1">
      <c r="A16317" s="9" t="s">
        <v>32899</v>
      </c>
      <c r="B16317" s="9" t="s">
        <v>32899</v>
      </c>
      <c r="C16317" s="9" t="s">
        <v>17</v>
      </c>
      <c r="D16317" s="9" t="s">
        <v>18</v>
      </c>
      <c r="E16317" s="10" t="s">
        <v>1674</v>
      </c>
      <c r="F16317" s="9" t="s">
        <v>1675</v>
      </c>
      <c r="G16317" s="10" t="s">
        <v>75</v>
      </c>
      <c r="H16317" s="9" t="s">
        <v>22</v>
      </c>
      <c r="I16317" s="9" t="s">
        <v>32900</v>
      </c>
      <c r="J16317" s="10" t="str">
        <f>HYPERLINK("https://www.boe.es/gazeta/dias/1834/07/25/pdfs/GMD-1834-158.pdf#page=4","Abrir facsímil")</f>
        <v>Abrir facsímil</v>
      </c>
      <c r="K16317" s="10" t="s">
        <v>24</v>
      </c>
    </row>
    <row r="16318" spans="1:11" ht="54" customHeight="1">
      <c r="A16318" s="9" t="s">
        <v>32901</v>
      </c>
      <c r="B16318" s="9" t="s">
        <v>32902</v>
      </c>
      <c r="C16318" s="9" t="s">
        <v>17</v>
      </c>
      <c r="D16318" s="9" t="s">
        <v>55</v>
      </c>
      <c r="E16318" s="10" t="s">
        <v>273</v>
      </c>
      <c r="F16318" s="9" t="s">
        <v>413</v>
      </c>
      <c r="G16318" s="10" t="s">
        <v>86</v>
      </c>
      <c r="H16318" s="9" t="s">
        <v>22</v>
      </c>
      <c r="I16318" s="9" t="s">
        <v>32903</v>
      </c>
      <c r="J16318" s="10" t="str">
        <f>HYPERLINK("https://www.boe.es/gazeta/dias/1834/08/31/pdfs/GMD-1834-198.pdf#page=2","Abrir facsímil")</f>
        <v>Abrir facsímil</v>
      </c>
      <c r="K16318" s="10" t="s">
        <v>24</v>
      </c>
    </row>
    <row r="16319" spans="1:11" ht="54" customHeight="1">
      <c r="A16319" s="9" t="s">
        <v>32904</v>
      </c>
      <c r="B16319" s="9" t="s">
        <v>32904</v>
      </c>
      <c r="C16319" s="9" t="s">
        <v>17</v>
      </c>
      <c r="D16319" s="9" t="s">
        <v>18</v>
      </c>
      <c r="E16319" s="10" t="s">
        <v>1170</v>
      </c>
      <c r="F16319" s="9" t="s">
        <v>1171</v>
      </c>
      <c r="G16319" s="10" t="s">
        <v>75</v>
      </c>
      <c r="H16319" s="9" t="s">
        <v>22</v>
      </c>
      <c r="I16319" s="9" t="s">
        <v>32905</v>
      </c>
      <c r="J16319" s="10" t="str">
        <f>HYPERLINK("https://www.boe.es/gazeta/dias/1834/01/07/pdfs/GMD-1834-4.pdf#page=4","Abrir facsímil")</f>
        <v>Abrir facsímil</v>
      </c>
      <c r="K16319" s="10" t="s">
        <v>24</v>
      </c>
    </row>
    <row r="16320" spans="1:11" ht="54" customHeight="1">
      <c r="A16320" s="9" t="s">
        <v>32906</v>
      </c>
      <c r="B16320" s="9" t="s">
        <v>32907</v>
      </c>
      <c r="C16320" s="9" t="s">
        <v>122</v>
      </c>
      <c r="D16320" s="9" t="s">
        <v>18</v>
      </c>
      <c r="E16320" s="10" t="s">
        <v>912</v>
      </c>
      <c r="F16320" s="9" t="s">
        <v>913</v>
      </c>
      <c r="G16320" s="10" t="s">
        <v>176</v>
      </c>
      <c r="H16320" s="9" t="s">
        <v>22</v>
      </c>
      <c r="I16320" s="9" t="s">
        <v>32908</v>
      </c>
      <c r="J16320" s="10" t="str">
        <f>HYPERLINK("https://www.boe.es/gazeta/dias/1834/02/15/pdfs/GMD-1834-21.pdf#page=6","Abrir facsímil")</f>
        <v>Abrir facsímil</v>
      </c>
      <c r="K16320" s="10" t="s">
        <v>24</v>
      </c>
    </row>
    <row r="16321" spans="1:11" ht="54" customHeight="1">
      <c r="A16321" s="9" t="s">
        <v>32909</v>
      </c>
      <c r="B16321" s="9" t="s">
        <v>32909</v>
      </c>
      <c r="C16321" s="9" t="s">
        <v>90</v>
      </c>
      <c r="D16321" s="9" t="s">
        <v>55</v>
      </c>
      <c r="E16321" s="10" t="s">
        <v>1094</v>
      </c>
      <c r="F16321" s="9" t="s">
        <v>1095</v>
      </c>
      <c r="G16321" s="10" t="s">
        <v>34</v>
      </c>
      <c r="H16321" s="9" t="s">
        <v>22</v>
      </c>
      <c r="I16321" s="9" t="s">
        <v>32910</v>
      </c>
      <c r="J16321" s="10" t="str">
        <f>HYPERLINK("https://www.boe.es/gazeta/dias/1834/07/13/pdfs/GMD-1834-146.pdf#page=1","Abrir facsímil")</f>
        <v>Abrir facsímil</v>
      </c>
      <c r="K16321" s="10" t="s">
        <v>24</v>
      </c>
    </row>
    <row r="16322" spans="1:11" ht="54" customHeight="1">
      <c r="A16322" s="9" t="s">
        <v>32911</v>
      </c>
      <c r="B16322" s="9" t="s">
        <v>32912</v>
      </c>
      <c r="C16322" s="9" t="s">
        <v>17</v>
      </c>
      <c r="D16322" s="9" t="s">
        <v>18</v>
      </c>
      <c r="E16322" s="10" t="s">
        <v>1351</v>
      </c>
      <c r="F16322" s="9" t="s">
        <v>1352</v>
      </c>
      <c r="G16322" s="10" t="s">
        <v>28</v>
      </c>
      <c r="H16322" s="9" t="s">
        <v>22</v>
      </c>
      <c r="I16322" s="9" t="s">
        <v>32913</v>
      </c>
      <c r="J16322" s="10" t="str">
        <f>HYPERLINK("https://www.boe.es/gazeta/dias/1834/07/05/pdfs/GMD-1834-138.pdf#page=5","Abrir facsímil")</f>
        <v>Abrir facsímil</v>
      </c>
      <c r="K16322" s="10" t="s">
        <v>24</v>
      </c>
    </row>
    <row r="16323" spans="1:11" ht="54" customHeight="1">
      <c r="A16323" s="9" t="s">
        <v>32914</v>
      </c>
      <c r="B16323" s="9" t="s">
        <v>32915</v>
      </c>
      <c r="C16323" s="9" t="s">
        <v>17</v>
      </c>
      <c r="D16323" s="9" t="s">
        <v>18</v>
      </c>
      <c r="E16323" s="10" t="s">
        <v>1186</v>
      </c>
      <c r="F16323" s="9" t="s">
        <v>1187</v>
      </c>
      <c r="G16323" s="10" t="s">
        <v>21</v>
      </c>
      <c r="H16323" s="9" t="s">
        <v>22</v>
      </c>
      <c r="I16323" s="9" t="s">
        <v>32916</v>
      </c>
      <c r="J16323" s="10" t="str">
        <f>HYPERLINK("https://www.boe.es/gazeta/dias/1834/08/14/pdfs/GMD-1834-179.pdf#page=3","Abrir facsímil")</f>
        <v>Abrir facsímil</v>
      </c>
      <c r="K16323" s="10" t="s">
        <v>24</v>
      </c>
    </row>
    <row r="16324" spans="1:11" ht="54" customHeight="1">
      <c r="A16324" s="9" t="s">
        <v>32917</v>
      </c>
      <c r="B16324" s="9" t="s">
        <v>32918</v>
      </c>
      <c r="C16324" s="9" t="s">
        <v>90</v>
      </c>
      <c r="D16324" s="9" t="s">
        <v>67</v>
      </c>
      <c r="E16324" s="10" t="s">
        <v>41</v>
      </c>
      <c r="F16324" s="9" t="s">
        <v>42</v>
      </c>
      <c r="G16324" s="10" t="s">
        <v>75</v>
      </c>
      <c r="H16324" s="9" t="s">
        <v>22</v>
      </c>
      <c r="I16324" s="9" t="s">
        <v>32919</v>
      </c>
      <c r="J16324" s="10" t="str">
        <f>HYPERLINK("https://www.boe.es/gazeta/dias/1834/06/11/pdfs/GMD-1834-114.pdf#page=4","Abrir facsímil")</f>
        <v>Abrir facsímil</v>
      </c>
      <c r="K16324" s="10" t="s">
        <v>24</v>
      </c>
    </row>
    <row r="16325" spans="1:11" ht="54" customHeight="1">
      <c r="A16325" s="9" t="s">
        <v>32917</v>
      </c>
      <c r="B16325" s="9" t="s">
        <v>32918</v>
      </c>
      <c r="C16325" s="9" t="s">
        <v>46</v>
      </c>
      <c r="D16325" s="9" t="s">
        <v>101</v>
      </c>
      <c r="E16325" s="10" t="s">
        <v>899</v>
      </c>
      <c r="F16325" s="9" t="s">
        <v>900</v>
      </c>
      <c r="G16325" s="10" t="s">
        <v>176</v>
      </c>
      <c r="H16325" s="9" t="s">
        <v>22</v>
      </c>
      <c r="I16325" s="9" t="s">
        <v>32920</v>
      </c>
      <c r="J16325" s="10" t="str">
        <f>HYPERLINK("https://www.boe.es/gazeta/dias/1834/01/30/pdfs/GMD-1834-14.pdf#page=6","Abrir facsímil")</f>
        <v>Abrir facsímil</v>
      </c>
      <c r="K16325" s="10" t="s">
        <v>24</v>
      </c>
    </row>
    <row r="16326" spans="1:11" ht="54" customHeight="1">
      <c r="A16326" s="9" t="s">
        <v>32921</v>
      </c>
      <c r="B16326" s="9" t="s">
        <v>32921</v>
      </c>
      <c r="C16326" s="9" t="s">
        <v>17</v>
      </c>
      <c r="D16326" s="9" t="s">
        <v>18</v>
      </c>
      <c r="E16326" s="10" t="s">
        <v>1556</v>
      </c>
      <c r="F16326" s="9" t="s">
        <v>1557</v>
      </c>
      <c r="G16326" s="10" t="s">
        <v>75</v>
      </c>
      <c r="H16326" s="9" t="s">
        <v>22</v>
      </c>
      <c r="I16326" s="9" t="s">
        <v>32922</v>
      </c>
      <c r="J16326" s="10" t="str">
        <f>HYPERLINK("https://www.boe.es/gazeta/dias/1834/06/06/pdfs/GMD-1834-108.pdf#page=4","Abrir facsímil")</f>
        <v>Abrir facsímil</v>
      </c>
      <c r="K16326" s="10" t="s">
        <v>24</v>
      </c>
    </row>
    <row r="16327" spans="1:11" ht="54" customHeight="1">
      <c r="A16327" s="9" t="s">
        <v>32923</v>
      </c>
      <c r="B16327" s="9" t="s">
        <v>32924</v>
      </c>
      <c r="C16327" s="9" t="s">
        <v>122</v>
      </c>
      <c r="D16327" s="9" t="s">
        <v>18</v>
      </c>
      <c r="E16327" s="10" t="s">
        <v>408</v>
      </c>
      <c r="F16327" s="9" t="s">
        <v>409</v>
      </c>
      <c r="G16327" s="10" t="s">
        <v>75</v>
      </c>
      <c r="H16327" s="9" t="s">
        <v>22</v>
      </c>
      <c r="I16327" s="9" t="s">
        <v>32925</v>
      </c>
      <c r="J16327" s="10" t="str">
        <f>HYPERLINK("https://www.boe.es/gazeta/dias/1834/04/28/pdfs/GMD-1834-67.pdf#page=4","Abrir facsímil")</f>
        <v>Abrir facsímil</v>
      </c>
      <c r="K16327" s="10" t="s">
        <v>24</v>
      </c>
    </row>
    <row r="16328" spans="1:11" ht="54" customHeight="1">
      <c r="A16328" s="9" t="s">
        <v>32926</v>
      </c>
      <c r="B16328" s="9" t="s">
        <v>32926</v>
      </c>
      <c r="C16328" s="9" t="s">
        <v>46</v>
      </c>
      <c r="D16328" s="9" t="s">
        <v>18</v>
      </c>
      <c r="E16328" s="10" t="s">
        <v>1850</v>
      </c>
      <c r="F16328" s="9" t="s">
        <v>1851</v>
      </c>
      <c r="G16328" s="10" t="s">
        <v>75</v>
      </c>
      <c r="H16328" s="9" t="s">
        <v>22</v>
      </c>
      <c r="I16328" s="9" t="s">
        <v>32927</v>
      </c>
      <c r="J16328" s="10" t="str">
        <f>HYPERLINK("https://www.boe.es/gazeta/dias/1834/02/18/pdfs/GMD-1834-22.pdf#page=4","Abrir facsímil")</f>
        <v>Abrir facsímil</v>
      </c>
      <c r="K16328" s="10" t="s">
        <v>24</v>
      </c>
    </row>
    <row r="16329" spans="1:11" ht="54" customHeight="1">
      <c r="A16329" s="9" t="s">
        <v>32928</v>
      </c>
      <c r="B16329" s="9" t="s">
        <v>32928</v>
      </c>
      <c r="C16329" s="9" t="s">
        <v>66</v>
      </c>
      <c r="D16329" s="9" t="s">
        <v>67</v>
      </c>
      <c r="E16329" s="10" t="s">
        <v>3025</v>
      </c>
      <c r="F16329" s="9" t="s">
        <v>3026</v>
      </c>
      <c r="G16329" s="10" t="s">
        <v>75</v>
      </c>
      <c r="H16329" s="9" t="s">
        <v>22</v>
      </c>
      <c r="I16329" s="9" t="s">
        <v>32929</v>
      </c>
      <c r="J16329" s="10" t="str">
        <f>HYPERLINK("https://www.boe.es/gazeta/dias/1834/05/25/pdfs/GMD-1834-94.pdf#page=4","Abrir facsímil")</f>
        <v>Abrir facsímil</v>
      </c>
      <c r="K16329" s="10" t="s">
        <v>24</v>
      </c>
    </row>
    <row r="16330" spans="1:11" ht="54" customHeight="1">
      <c r="A16330" s="9" t="s">
        <v>32930</v>
      </c>
      <c r="B16330" s="9" t="s">
        <v>32930</v>
      </c>
      <c r="C16330" s="9" t="s">
        <v>17</v>
      </c>
      <c r="D16330" s="9" t="s">
        <v>18</v>
      </c>
      <c r="E16330" s="10" t="s">
        <v>793</v>
      </c>
      <c r="F16330" s="9" t="s">
        <v>1895</v>
      </c>
      <c r="G16330" s="10" t="s">
        <v>21</v>
      </c>
      <c r="H16330" s="9" t="s">
        <v>22</v>
      </c>
      <c r="I16330" s="9" t="s">
        <v>32931</v>
      </c>
      <c r="J16330" s="10" t="str">
        <f>HYPERLINK("https://www.boe.es/gazeta/dias/1834/10/08/pdfs/GMD-C-1834-236.pdf#page=3","Abrir facsímil")</f>
        <v>Abrir facsímil</v>
      </c>
      <c r="K16330" s="10" t="s">
        <v>24</v>
      </c>
    </row>
    <row r="16331" spans="1:11" ht="54" customHeight="1">
      <c r="A16331" s="9" t="s">
        <v>32930</v>
      </c>
      <c r="B16331" s="9" t="s">
        <v>32930</v>
      </c>
      <c r="C16331" s="9" t="s">
        <v>17</v>
      </c>
      <c r="D16331" s="9" t="s">
        <v>18</v>
      </c>
      <c r="E16331" s="10" t="s">
        <v>1008</v>
      </c>
      <c r="F16331" s="9" t="s">
        <v>1009</v>
      </c>
      <c r="G16331" s="10" t="s">
        <v>470</v>
      </c>
      <c r="H16331" s="9" t="s">
        <v>22</v>
      </c>
      <c r="I16331" s="9" t="s">
        <v>32932</v>
      </c>
      <c r="J16331" s="10" t="str">
        <f>HYPERLINK("https://www.boe.es/gazeta/dias/1834/11/08/pdfs/GMD-C-1834-267.pdf#page=8","Abrir facsímil")</f>
        <v>Abrir facsímil</v>
      </c>
      <c r="K16331" s="10" t="s">
        <v>24</v>
      </c>
    </row>
    <row r="16332" spans="1:11" ht="54" customHeight="1">
      <c r="A16332" s="9" t="s">
        <v>32930</v>
      </c>
      <c r="B16332" s="9" t="s">
        <v>32930</v>
      </c>
      <c r="C16332" s="9" t="s">
        <v>17</v>
      </c>
      <c r="D16332" s="9" t="s">
        <v>40</v>
      </c>
      <c r="E16332" s="10" t="s">
        <v>258</v>
      </c>
      <c r="F16332" s="9" t="s">
        <v>259</v>
      </c>
      <c r="G16332" s="10" t="s">
        <v>176</v>
      </c>
      <c r="H16332" s="9" t="s">
        <v>22</v>
      </c>
      <c r="I16332" s="9" t="s">
        <v>32933</v>
      </c>
      <c r="J16332" s="10" t="str">
        <f>HYPERLINK("https://www.boe.es/gazeta/dias/1834/10/09/pdfs/GMD-C-1834-237.pdf#page=6","Abrir facsímil")</f>
        <v>Abrir facsímil</v>
      </c>
      <c r="K16332" s="10" t="s">
        <v>24</v>
      </c>
    </row>
    <row r="16333" spans="1:11" ht="54" customHeight="1">
      <c r="A16333" s="9" t="s">
        <v>32930</v>
      </c>
      <c r="B16333" s="9" t="s">
        <v>32930</v>
      </c>
      <c r="C16333" s="9" t="s">
        <v>17</v>
      </c>
      <c r="D16333" s="9" t="s">
        <v>18</v>
      </c>
      <c r="E16333" s="10" t="s">
        <v>438</v>
      </c>
      <c r="F16333" s="9" t="s">
        <v>528</v>
      </c>
      <c r="G16333" s="10" t="s">
        <v>75</v>
      </c>
      <c r="H16333" s="9" t="s">
        <v>22</v>
      </c>
      <c r="I16333" s="9" t="s">
        <v>32934</v>
      </c>
      <c r="J16333" s="10" t="str">
        <f>HYPERLINK("https://www.boe.es/gazeta/dias/1834/11/09/pdfs/GMD-C-1834-268.pdf#page=4","Abrir facsímil")</f>
        <v>Abrir facsímil</v>
      </c>
      <c r="K16333" s="10" t="s">
        <v>24</v>
      </c>
    </row>
    <row r="16334" spans="1:11" ht="54" customHeight="1">
      <c r="A16334" s="9" t="s">
        <v>32930</v>
      </c>
      <c r="B16334" s="9" t="s">
        <v>32930</v>
      </c>
      <c r="C16334" s="9" t="s">
        <v>17</v>
      </c>
      <c r="D16334" s="9" t="s">
        <v>18</v>
      </c>
      <c r="E16334" s="10" t="s">
        <v>138</v>
      </c>
      <c r="F16334" s="9" t="s">
        <v>139</v>
      </c>
      <c r="G16334" s="10" t="s">
        <v>75</v>
      </c>
      <c r="H16334" s="9" t="s">
        <v>22</v>
      </c>
      <c r="I16334" s="9" t="s">
        <v>32935</v>
      </c>
      <c r="J16334" s="10" t="str">
        <f>HYPERLINK("https://www.boe.es/gazeta/dias/1834/05/17/pdfs/GMD-1834-86.pdf#page=4","Abrir facsímil")</f>
        <v>Abrir facsímil</v>
      </c>
      <c r="K16334" s="10" t="s">
        <v>24</v>
      </c>
    </row>
    <row r="16335" spans="1:11" ht="54" customHeight="1">
      <c r="A16335" s="9" t="s">
        <v>32936</v>
      </c>
      <c r="B16335" s="9" t="s">
        <v>32936</v>
      </c>
      <c r="C16335" s="9" t="s">
        <v>17</v>
      </c>
      <c r="D16335" s="9" t="s">
        <v>18</v>
      </c>
      <c r="E16335" s="10" t="s">
        <v>10172</v>
      </c>
      <c r="F16335" s="9" t="s">
        <v>10173</v>
      </c>
      <c r="G16335" s="10" t="s">
        <v>21</v>
      </c>
      <c r="H16335" s="9" t="s">
        <v>22</v>
      </c>
      <c r="I16335" s="9" t="s">
        <v>32937</v>
      </c>
      <c r="J16335" s="10" t="str">
        <f>HYPERLINK("https://www.boe.es/gazeta/dias/1834/06/15/pdfs/GMD-1834-118.pdf#page=3","Abrir facsímil")</f>
        <v>Abrir facsímil</v>
      </c>
      <c r="K16335" s="10" t="s">
        <v>24</v>
      </c>
    </row>
    <row r="16336" spans="1:11" ht="54" customHeight="1">
      <c r="A16336" s="9" t="s">
        <v>32938</v>
      </c>
      <c r="B16336" s="9" t="s">
        <v>32939</v>
      </c>
      <c r="C16336" s="9" t="s">
        <v>17</v>
      </c>
      <c r="D16336" s="9" t="s">
        <v>18</v>
      </c>
      <c r="E16336" s="10" t="s">
        <v>808</v>
      </c>
      <c r="F16336" s="9" t="s">
        <v>809</v>
      </c>
      <c r="G16336" s="10" t="s">
        <v>75</v>
      </c>
      <c r="H16336" s="9" t="s">
        <v>22</v>
      </c>
      <c r="I16336" s="9" t="s">
        <v>32940</v>
      </c>
      <c r="J16336" s="10" t="str">
        <f>HYPERLINK("https://www.boe.es/gazeta/dias/1834/10/11/pdfs/GMD-1834-239.pdf#page=4","Abrir facsímil")</f>
        <v>Abrir facsímil</v>
      </c>
      <c r="K16336" s="10" t="s">
        <v>24</v>
      </c>
    </row>
    <row r="16337" spans="1:11" ht="54" customHeight="1">
      <c r="A16337" s="9" t="s">
        <v>32941</v>
      </c>
      <c r="B16337" s="9" t="s">
        <v>32942</v>
      </c>
      <c r="C16337" s="9" t="s">
        <v>17</v>
      </c>
      <c r="D16337" s="9" t="s">
        <v>18</v>
      </c>
      <c r="E16337" s="10" t="s">
        <v>813</v>
      </c>
      <c r="F16337" s="9" t="s">
        <v>814</v>
      </c>
      <c r="G16337" s="10" t="s">
        <v>21</v>
      </c>
      <c r="H16337" s="9" t="s">
        <v>22</v>
      </c>
      <c r="I16337" s="9" t="s">
        <v>32943</v>
      </c>
      <c r="J16337" s="10" t="str">
        <f>HYPERLINK("https://www.boe.es/gazeta/dias/1834/08/08/pdfs/GMD-1834-173.pdf#page=3","Abrir facsímil")</f>
        <v>Abrir facsímil</v>
      </c>
      <c r="K16337" s="10" t="s">
        <v>24</v>
      </c>
    </row>
    <row r="16338" spans="1:11" ht="54" customHeight="1">
      <c r="A16338" s="9" t="s">
        <v>32944</v>
      </c>
      <c r="B16338" s="9" t="s">
        <v>32945</v>
      </c>
      <c r="C16338" s="9" t="s">
        <v>66</v>
      </c>
      <c r="D16338" s="9" t="s">
        <v>67</v>
      </c>
      <c r="E16338" s="10" t="s">
        <v>304</v>
      </c>
      <c r="F16338" s="9" t="s">
        <v>305</v>
      </c>
      <c r="G16338" s="10" t="s">
        <v>176</v>
      </c>
      <c r="H16338" s="9" t="s">
        <v>35</v>
      </c>
      <c r="I16338" s="9" t="s">
        <v>32946</v>
      </c>
      <c r="J16338" s="10" t="str">
        <f>HYPERLINK("https://www.boe.es/gazeta/dias/1834/01/21/pdfs/GMD-1834-10.pdf#page=6","Abrir facsímil")</f>
        <v>Abrir facsímil</v>
      </c>
      <c r="K16338" s="10" t="s">
        <v>37</v>
      </c>
    </row>
    <row r="16339" spans="1:11" ht="54" customHeight="1">
      <c r="A16339" s="9" t="s">
        <v>32947</v>
      </c>
      <c r="B16339" s="9" t="s">
        <v>32948</v>
      </c>
      <c r="C16339" s="9" t="s">
        <v>66</v>
      </c>
      <c r="D16339" s="9" t="s">
        <v>67</v>
      </c>
      <c r="E16339" s="10" t="s">
        <v>304</v>
      </c>
      <c r="F16339" s="9" t="s">
        <v>305</v>
      </c>
      <c r="G16339" s="10" t="s">
        <v>176</v>
      </c>
      <c r="H16339" s="9" t="s">
        <v>22</v>
      </c>
      <c r="I16339" s="9" t="s">
        <v>32949</v>
      </c>
      <c r="J16339" s="10" t="str">
        <f>HYPERLINK("https://www.boe.es/gazeta/dias/1834/01/21/pdfs/GMD-1834-10.pdf#page=6","Abrir facsímil")</f>
        <v>Abrir facsímil</v>
      </c>
      <c r="K16339" s="10" t="s">
        <v>24</v>
      </c>
    </row>
    <row r="16340" spans="1:11" ht="54" customHeight="1">
      <c r="A16340" s="9" t="s">
        <v>32950</v>
      </c>
      <c r="B16340" s="9" t="s">
        <v>32950</v>
      </c>
      <c r="C16340" s="9" t="s">
        <v>17</v>
      </c>
      <c r="D16340" s="9" t="s">
        <v>55</v>
      </c>
      <c r="E16340" s="10" t="s">
        <v>280</v>
      </c>
      <c r="F16340" s="9" t="s">
        <v>3217</v>
      </c>
      <c r="G16340" s="10" t="s">
        <v>21</v>
      </c>
      <c r="H16340" s="9" t="s">
        <v>22</v>
      </c>
      <c r="I16340" s="9" t="s">
        <v>32951</v>
      </c>
      <c r="J16340" s="10" t="str">
        <f>HYPERLINK("https://www.boe.es/gazeta/dias/1834/08/29/pdfs/GMD-1834-195.pdf#page=3","Abrir facsímil")</f>
        <v>Abrir facsímil</v>
      </c>
      <c r="K16340" s="10" t="s">
        <v>24</v>
      </c>
    </row>
    <row r="16341" spans="1:11" ht="54" customHeight="1">
      <c r="A16341" s="9" t="s">
        <v>32952</v>
      </c>
      <c r="B16341" s="9" t="s">
        <v>32952</v>
      </c>
      <c r="C16341" s="9" t="s">
        <v>17</v>
      </c>
      <c r="D16341" s="9" t="s">
        <v>18</v>
      </c>
      <c r="E16341" s="10" t="s">
        <v>524</v>
      </c>
      <c r="F16341" s="9" t="s">
        <v>4743</v>
      </c>
      <c r="G16341" s="10" t="s">
        <v>21</v>
      </c>
      <c r="H16341" s="9" t="s">
        <v>22</v>
      </c>
      <c r="I16341" s="9" t="s">
        <v>32953</v>
      </c>
      <c r="J16341" s="10" t="str">
        <f>HYPERLINK("https://www.boe.es/gazeta/dias/1834/12/25/pdfs/GMD-1834-315.pdf#page=3","Abrir facsímil")</f>
        <v>Abrir facsímil</v>
      </c>
      <c r="K16341" s="10" t="s">
        <v>24</v>
      </c>
    </row>
    <row r="16342" spans="1:11" ht="54" customHeight="1">
      <c r="A16342" s="9" t="s">
        <v>32954</v>
      </c>
      <c r="B16342" s="9" t="s">
        <v>32954</v>
      </c>
      <c r="C16342" s="9" t="s">
        <v>66</v>
      </c>
      <c r="D16342" s="9" t="s">
        <v>67</v>
      </c>
      <c r="E16342" s="10" t="s">
        <v>2398</v>
      </c>
      <c r="F16342" s="9" t="s">
        <v>2399</v>
      </c>
      <c r="G16342" s="10" t="s">
        <v>75</v>
      </c>
      <c r="H16342" s="9" t="s">
        <v>22</v>
      </c>
      <c r="I16342" s="9" t="s">
        <v>32955</v>
      </c>
      <c r="J16342" s="10" t="str">
        <f>HYPERLINK("https://www.boe.es/gazeta/dias/1834/01/16/pdfs/GMD-1834-8.pdf#page=4","Abrir facsímil")</f>
        <v>Abrir facsímil</v>
      </c>
      <c r="K16342" s="10" t="s">
        <v>24</v>
      </c>
    </row>
    <row r="16343" spans="1:11" ht="54" customHeight="1">
      <c r="A16343" s="9" t="s">
        <v>32956</v>
      </c>
      <c r="B16343" s="9" t="s">
        <v>32956</v>
      </c>
      <c r="C16343" s="9" t="s">
        <v>17</v>
      </c>
      <c r="D16343" s="9" t="s">
        <v>18</v>
      </c>
      <c r="E16343" s="10" t="s">
        <v>739</v>
      </c>
      <c r="F16343" s="9" t="s">
        <v>740</v>
      </c>
      <c r="G16343" s="10" t="s">
        <v>21</v>
      </c>
      <c r="H16343" s="9" t="s">
        <v>22</v>
      </c>
      <c r="I16343" s="9" t="s">
        <v>32957</v>
      </c>
      <c r="J16343" s="10" t="str">
        <f>HYPERLINK("https://www.boe.es/gazeta/dias/1834/03/25/pdfs/GMD-1834-37.pdf#page=3","Abrir facsímil")</f>
        <v>Abrir facsímil</v>
      </c>
      <c r="K16343" s="10" t="s">
        <v>24</v>
      </c>
    </row>
    <row r="16344" spans="1:11" ht="54" customHeight="1">
      <c r="A16344" s="9" t="s">
        <v>32958</v>
      </c>
      <c r="B16344" s="9" t="s">
        <v>32959</v>
      </c>
      <c r="C16344" s="9" t="s">
        <v>46</v>
      </c>
      <c r="D16344" s="9" t="s">
        <v>55</v>
      </c>
      <c r="E16344" s="10" t="s">
        <v>123</v>
      </c>
      <c r="F16344" s="9" t="s">
        <v>124</v>
      </c>
      <c r="G16344" s="10" t="s">
        <v>86</v>
      </c>
      <c r="H16344" s="9" t="s">
        <v>22</v>
      </c>
      <c r="I16344" s="9" t="s">
        <v>32960</v>
      </c>
      <c r="J16344" s="10" t="str">
        <f>HYPERLINK("https://www.boe.es/gazeta/dias/1834/07/11/pdfs/GMD-1834-144.pdf#page=2","Abrir facsímil")</f>
        <v>Abrir facsímil</v>
      </c>
      <c r="K16344" s="10" t="s">
        <v>24</v>
      </c>
    </row>
    <row r="16345" spans="1:11" ht="54" customHeight="1">
      <c r="A16345" s="9" t="s">
        <v>32961</v>
      </c>
      <c r="B16345" s="9" t="s">
        <v>32961</v>
      </c>
      <c r="C16345" s="9" t="s">
        <v>17</v>
      </c>
      <c r="D16345" s="9" t="s">
        <v>18</v>
      </c>
      <c r="E16345" s="10" t="s">
        <v>462</v>
      </c>
      <c r="F16345" s="9" t="s">
        <v>2110</v>
      </c>
      <c r="G16345" s="10" t="s">
        <v>34</v>
      </c>
      <c r="H16345" s="9" t="s">
        <v>22</v>
      </c>
      <c r="I16345" s="9" t="s">
        <v>32962</v>
      </c>
      <c r="J16345" s="10" t="str">
        <f>HYPERLINK("https://www.boe.es/gazeta/dias/1834/08/27/pdfs/GMD-1834-193.pdf#page=1","Abrir facsímil")</f>
        <v>Abrir facsímil</v>
      </c>
      <c r="K16345" s="10" t="s">
        <v>24</v>
      </c>
    </row>
    <row r="16346" spans="1:11" ht="54" customHeight="1">
      <c r="A16346" s="9" t="s">
        <v>32963</v>
      </c>
      <c r="B16346" s="9" t="s">
        <v>32963</v>
      </c>
      <c r="C16346" s="9" t="s">
        <v>17</v>
      </c>
      <c r="D16346" s="9" t="s">
        <v>18</v>
      </c>
      <c r="E16346" s="10" t="s">
        <v>429</v>
      </c>
      <c r="F16346" s="9" t="s">
        <v>3421</v>
      </c>
      <c r="G16346" s="10" t="s">
        <v>21</v>
      </c>
      <c r="H16346" s="9" t="s">
        <v>22</v>
      </c>
      <c r="I16346" s="9" t="s">
        <v>32964</v>
      </c>
      <c r="J16346" s="10" t="str">
        <f>HYPERLINK("https://www.boe.es/gazeta/dias/1834/08/07/pdfs/GMD-1834-172.pdf#page=3","Abrir facsímil")</f>
        <v>Abrir facsímil</v>
      </c>
      <c r="K16346" s="10" t="s">
        <v>24</v>
      </c>
    </row>
    <row r="16347" spans="1:11" ht="54" customHeight="1">
      <c r="A16347" s="9" t="s">
        <v>32965</v>
      </c>
      <c r="B16347" s="9" t="s">
        <v>32965</v>
      </c>
      <c r="C16347" s="9" t="s">
        <v>17</v>
      </c>
      <c r="D16347" s="9" t="s">
        <v>101</v>
      </c>
      <c r="E16347" s="10" t="s">
        <v>860</v>
      </c>
      <c r="F16347" s="9" t="s">
        <v>861</v>
      </c>
      <c r="G16347" s="10" t="s">
        <v>86</v>
      </c>
      <c r="H16347" s="9" t="s">
        <v>22</v>
      </c>
      <c r="I16347" s="9" t="s">
        <v>32966</v>
      </c>
      <c r="J16347" s="10" t="str">
        <f>HYPERLINK("https://www.boe.es/gazeta/dias/1834/02/08/pdfs/GMD-1834-18.pdf#page=2","Abrir facsímil")</f>
        <v>Abrir facsímil</v>
      </c>
      <c r="K16347" s="10" t="s">
        <v>24</v>
      </c>
    </row>
    <row r="16348" spans="1:11" ht="54" customHeight="1">
      <c r="A16348" s="9" t="s">
        <v>32967</v>
      </c>
      <c r="B16348" s="9" t="s">
        <v>32968</v>
      </c>
      <c r="C16348" s="9" t="s">
        <v>17</v>
      </c>
      <c r="D16348" s="9" t="s">
        <v>55</v>
      </c>
      <c r="E16348" s="10" t="s">
        <v>371</v>
      </c>
      <c r="F16348" s="9" t="s">
        <v>372</v>
      </c>
      <c r="G16348" s="10" t="s">
        <v>21</v>
      </c>
      <c r="H16348" s="9" t="s">
        <v>22</v>
      </c>
      <c r="I16348" s="9" t="s">
        <v>32969</v>
      </c>
      <c r="J16348" s="10" t="str">
        <f>HYPERLINK("https://www.boe.es/gazeta/dias/1834/05/27/pdfs/GMD-1834-96.pdf#page=3","Abrir facsímil")</f>
        <v>Abrir facsímil</v>
      </c>
      <c r="K16348" s="10" t="s">
        <v>24</v>
      </c>
    </row>
    <row r="16349" spans="1:11" ht="54" customHeight="1">
      <c r="A16349" s="9" t="s">
        <v>32970</v>
      </c>
      <c r="B16349" s="9" t="s">
        <v>32970</v>
      </c>
      <c r="C16349" s="9" t="s">
        <v>17</v>
      </c>
      <c r="D16349" s="9" t="s">
        <v>18</v>
      </c>
      <c r="E16349" s="10" t="s">
        <v>2203</v>
      </c>
      <c r="F16349" s="9" t="s">
        <v>3917</v>
      </c>
      <c r="G16349" s="10" t="s">
        <v>86</v>
      </c>
      <c r="H16349" s="9" t="s">
        <v>22</v>
      </c>
      <c r="I16349" s="9" t="s">
        <v>32971</v>
      </c>
      <c r="J16349" s="10" t="str">
        <f>HYPERLINK("https://www.boe.es/gazeta/dias/1834/09/10/pdfs/GMD-1834-208.pdf#page=2","Abrir facsímil")</f>
        <v>Abrir facsímil</v>
      </c>
      <c r="K16349" s="10" t="s">
        <v>24</v>
      </c>
    </row>
    <row r="16350" spans="1:11" ht="54" customHeight="1">
      <c r="A16350" s="9" t="s">
        <v>32972</v>
      </c>
      <c r="B16350" s="9" t="s">
        <v>32972</v>
      </c>
      <c r="C16350" s="9" t="s">
        <v>122</v>
      </c>
      <c r="D16350" s="9" t="s">
        <v>18</v>
      </c>
      <c r="E16350" s="10" t="s">
        <v>3025</v>
      </c>
      <c r="F16350" s="9" t="s">
        <v>3026</v>
      </c>
      <c r="G16350" s="10" t="s">
        <v>75</v>
      </c>
      <c r="H16350" s="9" t="s">
        <v>22</v>
      </c>
      <c r="I16350" s="9" t="s">
        <v>32973</v>
      </c>
      <c r="J16350" s="10" t="str">
        <f>HYPERLINK("https://www.boe.es/gazeta/dias/1834/05/25/pdfs/GMD-1834-94.pdf#page=4","Abrir facsímil")</f>
        <v>Abrir facsímil</v>
      </c>
      <c r="K16350" s="10" t="s">
        <v>24</v>
      </c>
    </row>
    <row r="16351" spans="1:11" ht="54" customHeight="1">
      <c r="A16351" s="9" t="s">
        <v>32974</v>
      </c>
      <c r="B16351" s="9" t="s">
        <v>32975</v>
      </c>
      <c r="C16351" s="9" t="s">
        <v>17</v>
      </c>
      <c r="D16351" s="9" t="s">
        <v>18</v>
      </c>
      <c r="E16351" s="10" t="s">
        <v>1839</v>
      </c>
      <c r="F16351" s="9" t="s">
        <v>3598</v>
      </c>
      <c r="G16351" s="10" t="s">
        <v>75</v>
      </c>
      <c r="H16351" s="9" t="s">
        <v>22</v>
      </c>
      <c r="I16351" s="9" t="s">
        <v>32976</v>
      </c>
      <c r="J16351" s="10" t="str">
        <f>HYPERLINK("https://www.boe.es/gazeta/dias/1834/08/12/pdfs/GMD-1834-177.pdf#page=4","Abrir facsímil")</f>
        <v>Abrir facsímil</v>
      </c>
      <c r="K16351" s="10" t="s">
        <v>24</v>
      </c>
    </row>
    <row r="16352" spans="1:11" ht="54" customHeight="1">
      <c r="A16352" s="9" t="s">
        <v>32977</v>
      </c>
      <c r="B16352" s="9" t="s">
        <v>32977</v>
      </c>
      <c r="C16352" s="9" t="s">
        <v>66</v>
      </c>
      <c r="D16352" s="9" t="s">
        <v>67</v>
      </c>
      <c r="E16352" s="10" t="s">
        <v>658</v>
      </c>
      <c r="F16352" s="9" t="s">
        <v>659</v>
      </c>
      <c r="G16352" s="10" t="s">
        <v>21</v>
      </c>
      <c r="H16352" s="9" t="s">
        <v>22</v>
      </c>
      <c r="I16352" s="9" t="s">
        <v>32978</v>
      </c>
      <c r="J16352" s="10" t="str">
        <f>HYPERLINK("https://www.boe.es/gazeta/dias/1834/05/26/pdfs/GMD-1834-95.pdf#page=3","Abrir facsímil")</f>
        <v>Abrir facsímil</v>
      </c>
      <c r="K16352" s="10" t="s">
        <v>24</v>
      </c>
    </row>
    <row r="16353" spans="1:11" ht="54" customHeight="1">
      <c r="A16353" s="9" t="s">
        <v>32979</v>
      </c>
      <c r="B16353" s="9" t="s">
        <v>32979</v>
      </c>
      <c r="C16353" s="9" t="s">
        <v>17</v>
      </c>
      <c r="D16353" s="9" t="s">
        <v>18</v>
      </c>
      <c r="E16353" s="10" t="s">
        <v>891</v>
      </c>
      <c r="F16353" s="9" t="s">
        <v>3608</v>
      </c>
      <c r="G16353" s="10" t="s">
        <v>21</v>
      </c>
      <c r="H16353" s="9" t="s">
        <v>22</v>
      </c>
      <c r="I16353" s="9" t="s">
        <v>32980</v>
      </c>
      <c r="J16353" s="10" t="str">
        <f>HYPERLINK("https://www.boe.es/gazeta/dias/1834/10/31/pdfs/GMD-1834-259.pdf#page=3","Abrir facsímil")</f>
        <v>Abrir facsímil</v>
      </c>
      <c r="K16353" s="10" t="s">
        <v>24</v>
      </c>
    </row>
    <row r="16354" spans="1:11" ht="54" customHeight="1">
      <c r="A16354" s="9" t="s">
        <v>32981</v>
      </c>
      <c r="B16354" s="9" t="s">
        <v>32981</v>
      </c>
      <c r="C16354" s="9" t="s">
        <v>90</v>
      </c>
      <c r="D16354" s="9" t="s">
        <v>18</v>
      </c>
      <c r="E16354" s="10" t="s">
        <v>860</v>
      </c>
      <c r="F16354" s="9" t="s">
        <v>1755</v>
      </c>
      <c r="G16354" s="10" t="s">
        <v>34</v>
      </c>
      <c r="H16354" s="9" t="s">
        <v>22</v>
      </c>
      <c r="I16354" s="9" t="s">
        <v>32982</v>
      </c>
      <c r="J16354" s="10" t="str">
        <f>HYPERLINK("https://www.boe.es/gazeta/dias/1834/02/08/pdfs/GMD-C-1834-18.pdf#page=1","Abrir facsímil")</f>
        <v>Abrir facsímil</v>
      </c>
      <c r="K16354" s="10" t="s">
        <v>24</v>
      </c>
    </row>
    <row r="16355" spans="1:11" ht="54" customHeight="1">
      <c r="A16355" s="9" t="s">
        <v>32981</v>
      </c>
      <c r="B16355" s="9" t="s">
        <v>32981</v>
      </c>
      <c r="C16355" s="9" t="s">
        <v>17</v>
      </c>
      <c r="D16355" s="9" t="s">
        <v>18</v>
      </c>
      <c r="E16355" s="10" t="s">
        <v>2241</v>
      </c>
      <c r="F16355" s="9" t="s">
        <v>2242</v>
      </c>
      <c r="G16355" s="10" t="s">
        <v>86</v>
      </c>
      <c r="H16355" s="9" t="s">
        <v>22</v>
      </c>
      <c r="I16355" s="9" t="s">
        <v>32983</v>
      </c>
      <c r="J16355" s="10" t="str">
        <f>HYPERLINK("https://www.boe.es/gazeta/dias/1834/03/11/pdfs/GMD-1834-31.pdf#page=2","Abrir facsímil")</f>
        <v>Abrir facsímil</v>
      </c>
      <c r="K16355" s="10" t="s">
        <v>24</v>
      </c>
    </row>
    <row r="16356" spans="1:11" ht="54" customHeight="1">
      <c r="A16356" s="9" t="s">
        <v>32984</v>
      </c>
      <c r="B16356" s="9" t="s">
        <v>32984</v>
      </c>
      <c r="C16356" s="9" t="s">
        <v>66</v>
      </c>
      <c r="D16356" s="9" t="s">
        <v>18</v>
      </c>
      <c r="E16356" s="10" t="s">
        <v>1365</v>
      </c>
      <c r="F16356" s="9" t="s">
        <v>1366</v>
      </c>
      <c r="G16356" s="10" t="s">
        <v>75</v>
      </c>
      <c r="H16356" s="9" t="s">
        <v>22</v>
      </c>
      <c r="I16356" s="9" t="s">
        <v>32985</v>
      </c>
      <c r="J16356" s="10" t="str">
        <f>HYPERLINK("https://www.boe.es/gazeta/dias/1834/06/20/pdfs/GMD-1834-123.pdf#page=4","Abrir facsímil")</f>
        <v>Abrir facsímil</v>
      </c>
      <c r="K16356" s="10" t="s">
        <v>24</v>
      </c>
    </row>
    <row r="16357" spans="1:11" ht="54" customHeight="1">
      <c r="A16357" s="9" t="s">
        <v>32986</v>
      </c>
      <c r="B16357" s="9" t="s">
        <v>32986</v>
      </c>
      <c r="C16357" s="9" t="s">
        <v>66</v>
      </c>
      <c r="D16357" s="9" t="s">
        <v>67</v>
      </c>
      <c r="E16357" s="10" t="s">
        <v>4237</v>
      </c>
      <c r="F16357" s="9" t="s">
        <v>4238</v>
      </c>
      <c r="G16357" s="10" t="s">
        <v>21</v>
      </c>
      <c r="H16357" s="9" t="s">
        <v>22</v>
      </c>
      <c r="I16357" s="9" t="s">
        <v>32987</v>
      </c>
      <c r="J16357" s="10" t="str">
        <f>HYPERLINK("https://www.boe.es/gazeta/dias/1834/06/17/pdfs/GMD-1834-120.pdf#page=3","Abrir facsímil")</f>
        <v>Abrir facsímil</v>
      </c>
      <c r="K16357" s="10" t="s">
        <v>24</v>
      </c>
    </row>
    <row r="16358" spans="1:11" ht="54" customHeight="1">
      <c r="A16358" s="9" t="s">
        <v>32988</v>
      </c>
      <c r="B16358" s="9" t="s">
        <v>32989</v>
      </c>
      <c r="C16358" s="9" t="s">
        <v>17</v>
      </c>
      <c r="D16358" s="9" t="s">
        <v>18</v>
      </c>
      <c r="E16358" s="10" t="s">
        <v>1365</v>
      </c>
      <c r="F16358" s="9" t="s">
        <v>1366</v>
      </c>
      <c r="G16358" s="10" t="s">
        <v>75</v>
      </c>
      <c r="H16358" s="9" t="s">
        <v>22</v>
      </c>
      <c r="I16358" s="9" t="s">
        <v>32990</v>
      </c>
      <c r="J16358" s="10" t="str">
        <f>HYPERLINK("https://www.boe.es/gazeta/dias/1834/06/20/pdfs/GMD-1834-123.pdf#page=4","Abrir facsímil")</f>
        <v>Abrir facsímil</v>
      </c>
      <c r="K16358" s="10" t="s">
        <v>24</v>
      </c>
    </row>
    <row r="16359" spans="1:11" ht="54" customHeight="1">
      <c r="A16359" s="9" t="s">
        <v>32991</v>
      </c>
      <c r="B16359" s="9" t="s">
        <v>32991</v>
      </c>
      <c r="C16359" s="9" t="s">
        <v>17</v>
      </c>
      <c r="D16359" s="9" t="s">
        <v>18</v>
      </c>
      <c r="E16359" s="10" t="s">
        <v>465</v>
      </c>
      <c r="F16359" s="9" t="s">
        <v>466</v>
      </c>
      <c r="G16359" s="10" t="s">
        <v>176</v>
      </c>
      <c r="H16359" s="9" t="s">
        <v>22</v>
      </c>
      <c r="I16359" s="9" t="s">
        <v>32992</v>
      </c>
      <c r="J16359" s="10" t="str">
        <f>HYPERLINK("https://www.boe.es/gazeta/dias/1834/11/27/pdfs/GMD-C-1834-286.pdf#page=6","Abrir facsímil")</f>
        <v>Abrir facsímil</v>
      </c>
      <c r="K16359" s="10" t="s">
        <v>24</v>
      </c>
    </row>
    <row r="16360" spans="1:11" ht="54" customHeight="1">
      <c r="A16360" s="9" t="s">
        <v>32993</v>
      </c>
      <c r="B16360" s="9" t="s">
        <v>32994</v>
      </c>
      <c r="C16360" s="9" t="s">
        <v>17</v>
      </c>
      <c r="D16360" s="9" t="s">
        <v>18</v>
      </c>
      <c r="E16360" s="10" t="s">
        <v>465</v>
      </c>
      <c r="F16360" s="9" t="s">
        <v>466</v>
      </c>
      <c r="G16360" s="10" t="s">
        <v>176</v>
      </c>
      <c r="H16360" s="9" t="s">
        <v>22</v>
      </c>
      <c r="I16360" s="9" t="s">
        <v>32995</v>
      </c>
      <c r="J16360" s="10" t="str">
        <f>HYPERLINK("https://www.boe.es/gazeta/dias/1834/11/27/pdfs/GMD-C-1834-286.pdf#page=6","Abrir facsímil")</f>
        <v>Abrir facsímil</v>
      </c>
      <c r="K16360" s="10" t="s">
        <v>24</v>
      </c>
    </row>
    <row r="16361" spans="1:11" ht="54" customHeight="1">
      <c r="A16361" s="9" t="s">
        <v>32996</v>
      </c>
      <c r="B16361" s="9" t="s">
        <v>32997</v>
      </c>
      <c r="C16361" s="9" t="s">
        <v>17</v>
      </c>
      <c r="D16361" s="9" t="s">
        <v>18</v>
      </c>
      <c r="E16361" s="10" t="s">
        <v>375</v>
      </c>
      <c r="F16361" s="9" t="s">
        <v>4983</v>
      </c>
      <c r="G16361" s="10" t="s">
        <v>34</v>
      </c>
      <c r="H16361" s="9" t="s">
        <v>22</v>
      </c>
      <c r="I16361" s="9" t="s">
        <v>32998</v>
      </c>
      <c r="J16361" s="10" t="str">
        <f>HYPERLINK("https://www.boe.es/gazeta/dias/1834/08/21/pdfs/GMD-C-1834-187.pdf#page=1","Abrir facsímil")</f>
        <v>Abrir facsímil</v>
      </c>
      <c r="K16361" s="10" t="s">
        <v>24</v>
      </c>
    </row>
    <row r="16362" spans="1:11" ht="54" customHeight="1">
      <c r="A16362" s="9" t="s">
        <v>32999</v>
      </c>
      <c r="B16362" s="9" t="s">
        <v>32999</v>
      </c>
      <c r="C16362" s="9" t="s">
        <v>17</v>
      </c>
      <c r="D16362" s="9" t="s">
        <v>18</v>
      </c>
      <c r="E16362" s="10" t="s">
        <v>468</v>
      </c>
      <c r="F16362" s="9" t="s">
        <v>11413</v>
      </c>
      <c r="G16362" s="10" t="s">
        <v>75</v>
      </c>
      <c r="H16362" s="9" t="s">
        <v>22</v>
      </c>
      <c r="I16362" s="9" t="s">
        <v>33000</v>
      </c>
      <c r="J16362" s="10" t="str">
        <f>HYPERLINK("https://www.boe.es/gazeta/dias/1834/12/28/pdfs/GMD-1834-318.pdf#page=4","Abrir facsímil")</f>
        <v>Abrir facsímil</v>
      </c>
      <c r="K16362" s="10" t="s">
        <v>24</v>
      </c>
    </row>
    <row r="16363" spans="1:11" ht="54" customHeight="1">
      <c r="A16363" s="9" t="s">
        <v>33001</v>
      </c>
      <c r="B16363" s="9" t="s">
        <v>33002</v>
      </c>
      <c r="C16363" s="9" t="s">
        <v>17</v>
      </c>
      <c r="D16363" s="9" t="s">
        <v>18</v>
      </c>
      <c r="E16363" s="10" t="s">
        <v>73</v>
      </c>
      <c r="F16363" s="9" t="s">
        <v>1416</v>
      </c>
      <c r="G16363" s="10" t="s">
        <v>34</v>
      </c>
      <c r="H16363" s="9" t="s">
        <v>22</v>
      </c>
      <c r="I16363" s="9" t="s">
        <v>33003</v>
      </c>
      <c r="J16363" s="10" t="str">
        <f>HYPERLINK("https://www.boe.es/gazeta/dias/1834/11/04/pdfs/GMD-C-1834-263.pdf#page=1","Abrir facsímil")</f>
        <v>Abrir facsímil</v>
      </c>
      <c r="K16363" s="10" t="s">
        <v>24</v>
      </c>
    </row>
    <row r="16364" spans="1:11" ht="54" customHeight="1">
      <c r="A16364" s="9" t="s">
        <v>33004</v>
      </c>
      <c r="B16364" s="9" t="s">
        <v>33005</v>
      </c>
      <c r="C16364" s="9" t="s">
        <v>122</v>
      </c>
      <c r="D16364" s="9" t="s">
        <v>18</v>
      </c>
      <c r="E16364" s="10" t="s">
        <v>378</v>
      </c>
      <c r="F16364" s="9" t="s">
        <v>888</v>
      </c>
      <c r="G16364" s="10" t="s">
        <v>86</v>
      </c>
      <c r="H16364" s="9" t="s">
        <v>22</v>
      </c>
      <c r="I16364" s="9" t="s">
        <v>33006</v>
      </c>
      <c r="J16364" s="10" t="str">
        <f>HYPERLINK("https://www.boe.es/gazeta/dias/1834/09/24/pdfs/GMD-C-1834-222.pdf#page=2","Abrir facsímil")</f>
        <v>Abrir facsímil</v>
      </c>
      <c r="K16364" s="10" t="s">
        <v>24</v>
      </c>
    </row>
    <row r="16365" spans="1:11" ht="54" customHeight="1">
      <c r="A16365" s="9" t="s">
        <v>33007</v>
      </c>
      <c r="B16365" s="9" t="s">
        <v>33008</v>
      </c>
      <c r="C16365" s="9" t="s">
        <v>66</v>
      </c>
      <c r="D16365" s="9" t="s">
        <v>18</v>
      </c>
      <c r="E16365" s="10" t="s">
        <v>3066</v>
      </c>
      <c r="F16365" s="9" t="s">
        <v>3188</v>
      </c>
      <c r="G16365" s="10" t="s">
        <v>86</v>
      </c>
      <c r="H16365" s="9" t="s">
        <v>22</v>
      </c>
      <c r="I16365" s="9" t="s">
        <v>33009</v>
      </c>
      <c r="J16365" s="10" t="str">
        <f>HYPERLINK("https://www.boe.es/gazeta/dias/1834/08/03/pdfs/I00721-00722.pdf#page=2","Abrir facsímil")</f>
        <v>Abrir facsímil</v>
      </c>
      <c r="K16365" s="10" t="s">
        <v>24</v>
      </c>
    </row>
    <row r="16366" spans="1:11" ht="54" customHeight="1">
      <c r="A16366" s="9" t="s">
        <v>33010</v>
      </c>
      <c r="B16366" s="9" t="s">
        <v>33011</v>
      </c>
      <c r="C16366" s="9" t="s">
        <v>122</v>
      </c>
      <c r="D16366" s="9" t="s">
        <v>40</v>
      </c>
      <c r="E16366" s="10" t="s">
        <v>739</v>
      </c>
      <c r="F16366" s="9" t="s">
        <v>740</v>
      </c>
      <c r="G16366" s="10" t="s">
        <v>75</v>
      </c>
      <c r="H16366" s="9" t="s">
        <v>22</v>
      </c>
      <c r="I16366" s="9" t="s">
        <v>33012</v>
      </c>
      <c r="J16366" s="10" t="str">
        <f>HYPERLINK("https://www.boe.es/gazeta/dias/1834/03/25/pdfs/GMD-1834-37.pdf#page=4","Abrir facsímil")</f>
        <v>Abrir facsímil</v>
      </c>
      <c r="K16366" s="10" t="s">
        <v>24</v>
      </c>
    </row>
    <row r="16367" spans="1:11" ht="54" customHeight="1">
      <c r="A16367" s="9" t="s">
        <v>33013</v>
      </c>
      <c r="B16367" s="9" t="s">
        <v>33014</v>
      </c>
      <c r="C16367" s="9" t="s">
        <v>17</v>
      </c>
      <c r="D16367" s="9" t="s">
        <v>18</v>
      </c>
      <c r="E16367" s="10" t="s">
        <v>1234</v>
      </c>
      <c r="F16367" s="9" t="s">
        <v>1455</v>
      </c>
      <c r="G16367" s="10" t="s">
        <v>75</v>
      </c>
      <c r="H16367" s="9" t="s">
        <v>22</v>
      </c>
      <c r="I16367" s="9" t="s">
        <v>33015</v>
      </c>
      <c r="J16367" s="10" t="str">
        <f>HYPERLINK("https://www.boe.es/gazeta/dias/1834/05/15/pdfs/GMD-1834-84.pdf#page=4","Abrir facsímil")</f>
        <v>Abrir facsímil</v>
      </c>
      <c r="K16367" s="10" t="s">
        <v>24</v>
      </c>
    </row>
    <row r="16368" spans="1:11" ht="54" customHeight="1">
      <c r="A16368" s="9" t="s">
        <v>33016</v>
      </c>
      <c r="B16368" s="9" t="s">
        <v>33017</v>
      </c>
      <c r="C16368" s="9" t="s">
        <v>66</v>
      </c>
      <c r="D16368" s="9" t="s">
        <v>67</v>
      </c>
      <c r="E16368" s="10" t="s">
        <v>2260</v>
      </c>
      <c r="F16368" s="9" t="s">
        <v>2261</v>
      </c>
      <c r="G16368" s="10" t="s">
        <v>21</v>
      </c>
      <c r="H16368" s="9" t="s">
        <v>22</v>
      </c>
      <c r="I16368" s="9" t="s">
        <v>33018</v>
      </c>
      <c r="J16368" s="10" t="str">
        <f>HYPERLINK("https://www.boe.es/gazeta/dias/1834/11/13/pdfs/GMD-1834-272.pdf#page=3","Abrir facsímil")</f>
        <v>Abrir facsímil</v>
      </c>
      <c r="K16368" s="10" t="s">
        <v>24</v>
      </c>
    </row>
    <row r="16369" spans="1:11" ht="54" customHeight="1">
      <c r="A16369" s="9" t="s">
        <v>33019</v>
      </c>
      <c r="B16369" s="9" t="s">
        <v>33020</v>
      </c>
      <c r="C16369" s="9" t="s">
        <v>17</v>
      </c>
      <c r="D16369" s="9" t="s">
        <v>18</v>
      </c>
      <c r="E16369" s="10" t="s">
        <v>1981</v>
      </c>
      <c r="F16369" s="9" t="s">
        <v>2471</v>
      </c>
      <c r="G16369" s="10" t="s">
        <v>75</v>
      </c>
      <c r="H16369" s="9" t="s">
        <v>22</v>
      </c>
      <c r="I16369" s="9" t="s">
        <v>33021</v>
      </c>
      <c r="J16369" s="10" t="str">
        <f>HYPERLINK("https://www.boe.es/gazeta/dias/1834/12/13/pdfs/GMD-C-1834-302.pdf#page=4","Abrir facsímil")</f>
        <v>Abrir facsímil</v>
      </c>
      <c r="K16369" s="10" t="s">
        <v>24</v>
      </c>
    </row>
    <row r="16370" spans="1:11" ht="54" customHeight="1">
      <c r="A16370" s="9" t="s">
        <v>33022</v>
      </c>
      <c r="B16370" s="9" t="s">
        <v>33023</v>
      </c>
      <c r="C16370" s="9" t="s">
        <v>90</v>
      </c>
      <c r="D16370" s="9" t="s">
        <v>18</v>
      </c>
      <c r="E16370" s="10" t="s">
        <v>647</v>
      </c>
      <c r="F16370" s="9" t="s">
        <v>648</v>
      </c>
      <c r="G16370" s="10" t="s">
        <v>34</v>
      </c>
      <c r="H16370" s="9" t="s">
        <v>22</v>
      </c>
      <c r="I16370" s="9" t="s">
        <v>33024</v>
      </c>
      <c r="J16370" s="10" t="str">
        <f>HYPERLINK("https://www.boe.es/gazeta/dias/1834/10/21/pdfs/GMD-C-1834-249.pdf#page=1","Abrir facsímil")</f>
        <v>Abrir facsímil</v>
      </c>
      <c r="K16370" s="10" t="s">
        <v>24</v>
      </c>
    </row>
    <row r="16371" spans="1:11" ht="54" customHeight="1">
      <c r="A16371" s="9" t="s">
        <v>33025</v>
      </c>
      <c r="B16371" s="9" t="s">
        <v>33026</v>
      </c>
      <c r="C16371" s="9" t="s">
        <v>46</v>
      </c>
      <c r="D16371" s="9" t="s">
        <v>18</v>
      </c>
      <c r="E16371" s="10" t="s">
        <v>1340</v>
      </c>
      <c r="F16371" s="9" t="s">
        <v>1341</v>
      </c>
      <c r="G16371" s="10" t="s">
        <v>21</v>
      </c>
      <c r="H16371" s="9" t="s">
        <v>22</v>
      </c>
      <c r="I16371" s="9" t="s">
        <v>33027</v>
      </c>
      <c r="J16371" s="10" t="str">
        <f>HYPERLINK("https://www.boe.es/gazeta/dias/1834/10/05/pdfs/GMD-C-1834-233.pdf#page=3","Abrir facsímil")</f>
        <v>Abrir facsímil</v>
      </c>
      <c r="K16371" s="10" t="s">
        <v>24</v>
      </c>
    </row>
    <row r="16372" spans="1:11" ht="54" customHeight="1">
      <c r="A16372" s="9" t="s">
        <v>33028</v>
      </c>
      <c r="B16372" s="9" t="s">
        <v>33029</v>
      </c>
      <c r="C16372" s="9" t="s">
        <v>17</v>
      </c>
      <c r="D16372" s="9" t="s">
        <v>18</v>
      </c>
      <c r="E16372" s="10" t="s">
        <v>73</v>
      </c>
      <c r="F16372" s="9" t="s">
        <v>1416</v>
      </c>
      <c r="G16372" s="10" t="s">
        <v>34</v>
      </c>
      <c r="H16372" s="9" t="s">
        <v>35</v>
      </c>
      <c r="I16372" s="9" t="s">
        <v>33030</v>
      </c>
      <c r="J16372" s="10" t="str">
        <f>HYPERLINK("https://www.boe.es/gazeta/dias/1834/11/04/pdfs/GMD-C-1834-263.pdf#page=1","Abrir facsímil")</f>
        <v>Abrir facsímil</v>
      </c>
      <c r="K16372" s="10" t="s">
        <v>37</v>
      </c>
    </row>
    <row r="16373" spans="1:11" ht="54" customHeight="1">
      <c r="A16373" s="9" t="s">
        <v>33031</v>
      </c>
      <c r="B16373" s="9" t="s">
        <v>33032</v>
      </c>
      <c r="C16373" s="9" t="s">
        <v>46</v>
      </c>
      <c r="D16373" s="9" t="s">
        <v>18</v>
      </c>
      <c r="E16373" s="10" t="s">
        <v>1340</v>
      </c>
      <c r="F16373" s="9" t="s">
        <v>1341</v>
      </c>
      <c r="G16373" s="10" t="s">
        <v>21</v>
      </c>
      <c r="H16373" s="9" t="s">
        <v>35</v>
      </c>
      <c r="I16373" s="9" t="s">
        <v>33033</v>
      </c>
      <c r="J16373" s="10" t="str">
        <f>HYPERLINK("https://www.boe.es/gazeta/dias/1834/10/05/pdfs/GMD-C-1834-233.pdf#page=3","Abrir facsímil")</f>
        <v>Abrir facsímil</v>
      </c>
      <c r="K16373" s="10" t="s">
        <v>37</v>
      </c>
    </row>
    <row r="16374" spans="1:11" ht="54" customHeight="1">
      <c r="A16374" s="9" t="s">
        <v>33034</v>
      </c>
      <c r="B16374" s="9" t="s">
        <v>33035</v>
      </c>
      <c r="C16374" s="9" t="s">
        <v>17</v>
      </c>
      <c r="D16374" s="9" t="s">
        <v>18</v>
      </c>
      <c r="E16374" s="10" t="s">
        <v>777</v>
      </c>
      <c r="F16374" s="9" t="s">
        <v>2535</v>
      </c>
      <c r="G16374" s="10" t="s">
        <v>34</v>
      </c>
      <c r="H16374" s="9" t="s">
        <v>35</v>
      </c>
      <c r="I16374" s="9" t="s">
        <v>33036</v>
      </c>
      <c r="J16374" s="10" t="str">
        <f>HYPERLINK("https://www.boe.es/gazeta/dias/1834/10/29/pdfs/GMD-C-1834-257.pdf#page=1","Abrir facsímil")</f>
        <v>Abrir facsímil</v>
      </c>
      <c r="K16374" s="10" t="s">
        <v>37</v>
      </c>
    </row>
    <row r="16375" spans="1:11" ht="54" customHeight="1">
      <c r="A16375" s="9" t="s">
        <v>33037</v>
      </c>
      <c r="B16375" s="9" t="s">
        <v>33038</v>
      </c>
      <c r="C16375" s="9" t="s">
        <v>66</v>
      </c>
      <c r="D16375" s="9" t="s">
        <v>67</v>
      </c>
      <c r="E16375" s="10" t="s">
        <v>1008</v>
      </c>
      <c r="F16375" s="9" t="s">
        <v>2991</v>
      </c>
      <c r="G16375" s="10" t="s">
        <v>86</v>
      </c>
      <c r="H16375" s="9" t="s">
        <v>35</v>
      </c>
      <c r="I16375" s="9" t="s">
        <v>33039</v>
      </c>
      <c r="J16375" s="10" t="str">
        <f>HYPERLINK("https://www.boe.es/gazeta/dias/1834/11/08/pdfs/GMD-1834-267.pdf#page=2","Abrir facsímil")</f>
        <v>Abrir facsímil</v>
      </c>
      <c r="K16375" s="10" t="s">
        <v>37</v>
      </c>
    </row>
    <row r="16376" spans="1:11" ht="54" customHeight="1">
      <c r="A16376" s="9" t="s">
        <v>33040</v>
      </c>
      <c r="B16376" s="9" t="s">
        <v>33041</v>
      </c>
      <c r="C16376" s="9" t="s">
        <v>17</v>
      </c>
      <c r="D16376" s="9" t="s">
        <v>55</v>
      </c>
      <c r="E16376" s="10" t="s">
        <v>56</v>
      </c>
      <c r="F16376" s="9" t="s">
        <v>57</v>
      </c>
      <c r="G16376" s="10" t="s">
        <v>21</v>
      </c>
      <c r="H16376" s="9" t="s">
        <v>35</v>
      </c>
      <c r="I16376" s="9" t="s">
        <v>33042</v>
      </c>
      <c r="J16376" s="10" t="str">
        <f>HYPERLINK("https://www.boe.es/gazeta/dias/1834/07/09/pdfs/GMD-1834-142.pdf#page=3","Abrir facsímil")</f>
        <v>Abrir facsímil</v>
      </c>
      <c r="K16376" s="10" t="s">
        <v>37</v>
      </c>
    </row>
    <row r="16377" spans="1:11" ht="54" customHeight="1">
      <c r="A16377" s="9" t="s">
        <v>33043</v>
      </c>
      <c r="B16377" s="9" t="s">
        <v>33044</v>
      </c>
      <c r="C16377" s="9" t="s">
        <v>46</v>
      </c>
      <c r="D16377" s="9" t="s">
        <v>101</v>
      </c>
      <c r="E16377" s="10" t="s">
        <v>1692</v>
      </c>
      <c r="F16377" s="9" t="s">
        <v>1693</v>
      </c>
      <c r="G16377" s="10" t="s">
        <v>86</v>
      </c>
      <c r="H16377" s="9" t="s">
        <v>22</v>
      </c>
      <c r="I16377" s="9" t="s">
        <v>33045</v>
      </c>
      <c r="J16377" s="10" t="str">
        <f>HYPERLINK("https://www.boe.es/gazeta/dias/1834/07/29/pdfs/GMD-1834-162.pdf#page=2","Abrir facsímil")</f>
        <v>Abrir facsímil</v>
      </c>
      <c r="K16377" s="10" t="s">
        <v>24</v>
      </c>
    </row>
    <row r="16378" spans="1:11" ht="54" customHeight="1">
      <c r="A16378" s="9" t="s">
        <v>33046</v>
      </c>
      <c r="B16378" s="9" t="s">
        <v>33047</v>
      </c>
      <c r="C16378" s="9" t="s">
        <v>17</v>
      </c>
      <c r="D16378" s="9" t="s">
        <v>18</v>
      </c>
      <c r="E16378" s="10" t="s">
        <v>1839</v>
      </c>
      <c r="F16378" s="9" t="s">
        <v>1840</v>
      </c>
      <c r="G16378" s="10" t="s">
        <v>86</v>
      </c>
      <c r="H16378" s="9" t="s">
        <v>22</v>
      </c>
      <c r="I16378" s="9" t="s">
        <v>33048</v>
      </c>
      <c r="J16378" s="10" t="str">
        <f>HYPERLINK("https://www.boe.es/gazeta/dias/1834/08/12/pdfs/GMD-C-1834-177.pdf#page=2","Abrir facsímil")</f>
        <v>Abrir facsímil</v>
      </c>
      <c r="K16378" s="10" t="s">
        <v>24</v>
      </c>
    </row>
    <row r="16379" spans="1:11" ht="54" customHeight="1">
      <c r="A16379" s="9" t="s">
        <v>33049</v>
      </c>
      <c r="B16379" s="9" t="s">
        <v>33050</v>
      </c>
      <c r="C16379" s="9" t="s">
        <v>90</v>
      </c>
      <c r="D16379" s="9" t="s">
        <v>18</v>
      </c>
      <c r="E16379" s="10" t="s">
        <v>280</v>
      </c>
      <c r="F16379" s="9" t="s">
        <v>281</v>
      </c>
      <c r="G16379" s="10" t="s">
        <v>34</v>
      </c>
      <c r="H16379" s="9" t="s">
        <v>22</v>
      </c>
      <c r="I16379" s="9" t="s">
        <v>33051</v>
      </c>
      <c r="J16379" s="10" t="str">
        <f>HYPERLINK("https://www.boe.es/gazeta/dias/1834/08/29/pdfs/GMD-C-1834-195.pdf#page=1","Abrir facsímil")</f>
        <v>Abrir facsímil</v>
      </c>
      <c r="K16379" s="10" t="s">
        <v>24</v>
      </c>
    </row>
    <row r="16380" spans="1:11" ht="54" customHeight="1">
      <c r="A16380" s="9" t="s">
        <v>33052</v>
      </c>
      <c r="B16380" s="9" t="s">
        <v>33053</v>
      </c>
      <c r="C16380" s="9" t="s">
        <v>46</v>
      </c>
      <c r="D16380" s="9" t="s">
        <v>40</v>
      </c>
      <c r="E16380" s="10" t="s">
        <v>1955</v>
      </c>
      <c r="F16380" s="9" t="s">
        <v>1956</v>
      </c>
      <c r="G16380" s="10" t="s">
        <v>75</v>
      </c>
      <c r="H16380" s="9" t="s">
        <v>22</v>
      </c>
      <c r="I16380" s="9" t="s">
        <v>33054</v>
      </c>
      <c r="J16380" s="10" t="str">
        <f>HYPERLINK("https://www.boe.es/gazeta/dias/1834/05/04/pdfs/GMD-1834-73.pdf#page=4","Abrir facsímil")</f>
        <v>Abrir facsímil</v>
      </c>
      <c r="K16380" s="10" t="s">
        <v>24</v>
      </c>
    </row>
    <row r="16381" spans="1:11" ht="54" customHeight="1">
      <c r="A16381" s="9" t="s">
        <v>33055</v>
      </c>
      <c r="B16381" s="9" t="s">
        <v>33056</v>
      </c>
      <c r="C16381" s="9" t="s">
        <v>17</v>
      </c>
      <c r="D16381" s="9" t="s">
        <v>40</v>
      </c>
      <c r="E16381" s="10" t="s">
        <v>2087</v>
      </c>
      <c r="F16381" s="9" t="s">
        <v>2088</v>
      </c>
      <c r="G16381" s="10" t="s">
        <v>75</v>
      </c>
      <c r="H16381" s="9" t="s">
        <v>22</v>
      </c>
      <c r="I16381" s="9" t="s">
        <v>33057</v>
      </c>
      <c r="J16381" s="10" t="str">
        <f>HYPERLINK("https://www.boe.es/gazeta/dias/1834/12/14/pdfs/GMD-1834-303.pdf#page=4","Abrir facsímil")</f>
        <v>Abrir facsímil</v>
      </c>
      <c r="K16381" s="10" t="s">
        <v>24</v>
      </c>
    </row>
    <row r="16382" spans="1:11" ht="54" customHeight="1">
      <c r="A16382" s="9" t="s">
        <v>33058</v>
      </c>
      <c r="B16382" s="9" t="s">
        <v>33059</v>
      </c>
      <c r="C16382" s="9" t="s">
        <v>17</v>
      </c>
      <c r="D16382" s="9" t="s">
        <v>18</v>
      </c>
      <c r="E16382" s="10" t="s">
        <v>724</v>
      </c>
      <c r="F16382" s="9" t="s">
        <v>725</v>
      </c>
      <c r="G16382" s="10" t="s">
        <v>28</v>
      </c>
      <c r="H16382" s="9" t="s">
        <v>22</v>
      </c>
      <c r="I16382" s="9" t="s">
        <v>33060</v>
      </c>
      <c r="J16382" s="10" t="str">
        <f>HYPERLINK("https://www.boe.es/gazeta/dias/1834/04/25/pdfs/GMD-1834-64.pdf#page=5","Abrir facsímil")</f>
        <v>Abrir facsímil</v>
      </c>
      <c r="K16382" s="10" t="s">
        <v>24</v>
      </c>
    </row>
    <row r="16383" spans="1:11" ht="54" customHeight="1">
      <c r="A16383" s="9" t="s">
        <v>33061</v>
      </c>
      <c r="B16383" s="9" t="s">
        <v>33062</v>
      </c>
      <c r="C16383" s="9" t="s">
        <v>17</v>
      </c>
      <c r="D16383" s="9" t="s">
        <v>18</v>
      </c>
      <c r="E16383" s="10" t="s">
        <v>928</v>
      </c>
      <c r="F16383" s="9" t="s">
        <v>3338</v>
      </c>
      <c r="G16383" s="10" t="s">
        <v>34</v>
      </c>
      <c r="H16383" s="9" t="s">
        <v>22</v>
      </c>
      <c r="I16383" s="9" t="s">
        <v>33063</v>
      </c>
      <c r="J16383" s="10" t="str">
        <f>HYPERLINK("https://www.boe.es/gazeta/dias/1834/11/15/pdfs/GMD-1834-274.pdf#page=1","Abrir facsímil")</f>
        <v>Abrir facsímil</v>
      </c>
      <c r="K16383" s="10" t="s">
        <v>24</v>
      </c>
    </row>
    <row r="16384" spans="1:11" ht="54" customHeight="1">
      <c r="A16384" s="9" t="s">
        <v>33064</v>
      </c>
      <c r="B16384" s="9" t="s">
        <v>33065</v>
      </c>
      <c r="C16384" s="9" t="s">
        <v>17</v>
      </c>
      <c r="D16384" s="9" t="s">
        <v>40</v>
      </c>
      <c r="E16384" s="10" t="s">
        <v>753</v>
      </c>
      <c r="F16384" s="9" t="s">
        <v>754</v>
      </c>
      <c r="G16384" s="10" t="s">
        <v>176</v>
      </c>
      <c r="H16384" s="9" t="s">
        <v>22</v>
      </c>
      <c r="I16384" s="9" t="s">
        <v>33066</v>
      </c>
      <c r="J16384" s="10" t="str">
        <f>HYPERLINK("https://www.boe.es/gazeta/dias/1834/04/21/pdfs/GMD-1834-60.pdf#page=6","Abrir facsímil")</f>
        <v>Abrir facsímil</v>
      </c>
      <c r="K16384" s="10" t="s">
        <v>24</v>
      </c>
    </row>
    <row r="16385" spans="1:11" ht="54" customHeight="1">
      <c r="A16385" s="9" t="s">
        <v>33067</v>
      </c>
      <c r="B16385" s="9" t="s">
        <v>33068</v>
      </c>
      <c r="C16385" s="9" t="s">
        <v>17</v>
      </c>
      <c r="D16385" s="9" t="s">
        <v>18</v>
      </c>
      <c r="E16385" s="10" t="s">
        <v>777</v>
      </c>
      <c r="F16385" s="9" t="s">
        <v>2535</v>
      </c>
      <c r="G16385" s="10" t="s">
        <v>34</v>
      </c>
      <c r="H16385" s="9" t="s">
        <v>22</v>
      </c>
      <c r="I16385" s="9" t="s">
        <v>33069</v>
      </c>
      <c r="J16385" s="10" t="str">
        <f>HYPERLINK("https://www.boe.es/gazeta/dias/1834/10/29/pdfs/GMD-C-1834-257.pdf#page=1","Abrir facsímil")</f>
        <v>Abrir facsímil</v>
      </c>
      <c r="K16385" s="10" t="s">
        <v>24</v>
      </c>
    </row>
    <row r="16386" spans="1:11" ht="54" customHeight="1">
      <c r="A16386" s="9" t="s">
        <v>33070</v>
      </c>
      <c r="B16386" s="9" t="s">
        <v>33071</v>
      </c>
      <c r="C16386" s="9" t="s">
        <v>17</v>
      </c>
      <c r="D16386" s="9" t="s">
        <v>40</v>
      </c>
      <c r="E16386" s="10" t="s">
        <v>1333</v>
      </c>
      <c r="F16386" s="9" t="s">
        <v>1334</v>
      </c>
      <c r="G16386" s="10" t="s">
        <v>176</v>
      </c>
      <c r="H16386" s="9" t="s">
        <v>22</v>
      </c>
      <c r="I16386" s="9" t="s">
        <v>33072</v>
      </c>
      <c r="J16386" s="10" t="str">
        <f>HYPERLINK("https://www.boe.es/gazeta/dias/1834/04/01/pdfs/GMD-1834-40.pdf#page=6","Abrir facsímil")</f>
        <v>Abrir facsímil</v>
      </c>
      <c r="K16386" s="10" t="s">
        <v>24</v>
      </c>
    </row>
    <row r="16387" spans="1:11" ht="54" customHeight="1">
      <c r="A16387" s="9" t="s">
        <v>33073</v>
      </c>
      <c r="B16387" s="9" t="s">
        <v>33074</v>
      </c>
      <c r="C16387" s="9" t="s">
        <v>122</v>
      </c>
      <c r="D16387" s="9" t="s">
        <v>18</v>
      </c>
      <c r="E16387" s="10" t="s">
        <v>255</v>
      </c>
      <c r="F16387" s="9" t="s">
        <v>2368</v>
      </c>
      <c r="G16387" s="10" t="s">
        <v>86</v>
      </c>
      <c r="H16387" s="9" t="s">
        <v>22</v>
      </c>
      <c r="I16387" s="9" t="s">
        <v>33075</v>
      </c>
      <c r="J16387" s="10" t="str">
        <f>HYPERLINK("https://www.boe.es/gazeta/dias/1834/09/01/pdfs/GMD-1834-199.pdf#page=2","Abrir facsímil")</f>
        <v>Abrir facsímil</v>
      </c>
      <c r="K16387" s="10" t="s">
        <v>24</v>
      </c>
    </row>
    <row r="16388" spans="1:11" ht="54" customHeight="1">
      <c r="A16388" s="9" t="s">
        <v>33076</v>
      </c>
      <c r="B16388" s="9" t="s">
        <v>33077</v>
      </c>
      <c r="C16388" s="9" t="s">
        <v>17</v>
      </c>
      <c r="D16388" s="9" t="s">
        <v>18</v>
      </c>
      <c r="E16388" s="10" t="s">
        <v>667</v>
      </c>
      <c r="F16388" s="9" t="s">
        <v>668</v>
      </c>
      <c r="G16388" s="10" t="s">
        <v>28</v>
      </c>
      <c r="H16388" s="9" t="s">
        <v>22</v>
      </c>
      <c r="I16388" s="9" t="s">
        <v>33078</v>
      </c>
      <c r="J16388" s="10" t="str">
        <f>HYPERLINK("https://www.boe.es/gazeta/dias/1834/11/23/pdfs/GMD-C-1834-282.pdf#page=5","Abrir facsímil")</f>
        <v>Abrir facsímil</v>
      </c>
      <c r="K16388" s="10" t="s">
        <v>24</v>
      </c>
    </row>
    <row r="16389" spans="1:11" ht="54" customHeight="1">
      <c r="A16389" s="9" t="s">
        <v>33079</v>
      </c>
      <c r="B16389" s="9" t="s">
        <v>33080</v>
      </c>
      <c r="C16389" s="9" t="s">
        <v>17</v>
      </c>
      <c r="D16389" s="9" t="s">
        <v>55</v>
      </c>
      <c r="E16389" s="10" t="s">
        <v>273</v>
      </c>
      <c r="F16389" s="9" t="s">
        <v>413</v>
      </c>
      <c r="G16389" s="10" t="s">
        <v>86</v>
      </c>
      <c r="H16389" s="9" t="s">
        <v>22</v>
      </c>
      <c r="I16389" s="9" t="s">
        <v>33081</v>
      </c>
      <c r="J16389" s="10" t="str">
        <f>HYPERLINK("https://www.boe.es/gazeta/dias/1834/08/31/pdfs/GMD-1834-198.pdf#page=2","Abrir facsímil")</f>
        <v>Abrir facsímil</v>
      </c>
      <c r="K16389" s="10" t="s">
        <v>24</v>
      </c>
    </row>
    <row r="16390" spans="1:11" ht="54" customHeight="1">
      <c r="A16390" s="9" t="s">
        <v>33082</v>
      </c>
      <c r="B16390" s="9" t="s">
        <v>33083</v>
      </c>
      <c r="C16390" s="9" t="s">
        <v>17</v>
      </c>
      <c r="D16390" s="9" t="s">
        <v>40</v>
      </c>
      <c r="E16390" s="10" t="s">
        <v>1262</v>
      </c>
      <c r="F16390" s="9" t="s">
        <v>1263</v>
      </c>
      <c r="G16390" s="10" t="s">
        <v>75</v>
      </c>
      <c r="H16390" s="9" t="s">
        <v>22</v>
      </c>
      <c r="I16390" s="9" t="s">
        <v>33084</v>
      </c>
      <c r="J16390" s="10" t="str">
        <f>HYPERLINK("https://www.boe.es/gazeta/dias/1834/02/01/pdfs/GMD-1834-15.pdf#page=4","Abrir facsímil")</f>
        <v>Abrir facsímil</v>
      </c>
      <c r="K16390" s="10" t="s">
        <v>24</v>
      </c>
    </row>
    <row r="16391" spans="1:11" ht="54" customHeight="1">
      <c r="A16391" s="9" t="s">
        <v>33082</v>
      </c>
      <c r="B16391" s="9" t="s">
        <v>33083</v>
      </c>
      <c r="C16391" s="9" t="s">
        <v>17</v>
      </c>
      <c r="D16391" s="9" t="s">
        <v>40</v>
      </c>
      <c r="E16391" s="10" t="s">
        <v>1125</v>
      </c>
      <c r="F16391" s="9" t="s">
        <v>2490</v>
      </c>
      <c r="G16391" s="10" t="s">
        <v>470</v>
      </c>
      <c r="H16391" s="9" t="s">
        <v>22</v>
      </c>
      <c r="I16391" s="9" t="s">
        <v>33085</v>
      </c>
      <c r="J16391" s="10" t="str">
        <f>HYPERLINK("https://www.boe.es/gazeta/dias/1834/04/17/pdfs/GMD-1834-56.pdf#page=8","Abrir facsímil")</f>
        <v>Abrir facsímil</v>
      </c>
      <c r="K16391" s="10" t="s">
        <v>24</v>
      </c>
    </row>
    <row r="16392" spans="1:11" ht="54" customHeight="1">
      <c r="A16392" s="9" t="s">
        <v>33082</v>
      </c>
      <c r="B16392" s="9" t="s">
        <v>33083</v>
      </c>
      <c r="C16392" s="9" t="s">
        <v>17</v>
      </c>
      <c r="D16392" s="9" t="s">
        <v>40</v>
      </c>
      <c r="E16392" s="10" t="s">
        <v>803</v>
      </c>
      <c r="F16392" s="9" t="s">
        <v>804</v>
      </c>
      <c r="G16392" s="10" t="s">
        <v>75</v>
      </c>
      <c r="H16392" s="9" t="s">
        <v>22</v>
      </c>
      <c r="I16392" s="9" t="s">
        <v>33086</v>
      </c>
      <c r="J16392" s="10" t="str">
        <f>HYPERLINK("https://www.boe.es/gazeta/dias/1834/03/29/pdfs/GMD-1834-39.pdf#page=4","Abrir facsímil")</f>
        <v>Abrir facsímil</v>
      </c>
      <c r="K16392" s="10" t="s">
        <v>24</v>
      </c>
    </row>
    <row r="16393" spans="1:11" ht="54" customHeight="1">
      <c r="A16393" s="9" t="s">
        <v>33087</v>
      </c>
      <c r="B16393" s="9" t="s">
        <v>33088</v>
      </c>
      <c r="C16393" s="9" t="s">
        <v>17</v>
      </c>
      <c r="D16393" s="9" t="s">
        <v>18</v>
      </c>
      <c r="E16393" s="10" t="s">
        <v>438</v>
      </c>
      <c r="F16393" s="9" t="s">
        <v>528</v>
      </c>
      <c r="G16393" s="10" t="s">
        <v>34</v>
      </c>
      <c r="H16393" s="9" t="s">
        <v>22</v>
      </c>
      <c r="I16393" s="9" t="s">
        <v>33089</v>
      </c>
      <c r="J16393" s="10" t="str">
        <f>HYPERLINK("https://www.boe.es/gazeta/dias/1834/11/09/pdfs/GMD-C-1834-268.pdf#page=1","Abrir facsímil")</f>
        <v>Abrir facsímil</v>
      </c>
      <c r="K16393" s="10" t="s">
        <v>24</v>
      </c>
    </row>
    <row r="16394" spans="1:11" ht="54" customHeight="1">
      <c r="A16394" s="9" t="s">
        <v>33090</v>
      </c>
      <c r="B16394" s="9" t="s">
        <v>33091</v>
      </c>
      <c r="C16394" s="9" t="s">
        <v>17</v>
      </c>
      <c r="D16394" s="9" t="s">
        <v>55</v>
      </c>
      <c r="E16394" s="10" t="s">
        <v>663</v>
      </c>
      <c r="F16394" s="9" t="s">
        <v>664</v>
      </c>
      <c r="G16394" s="10" t="s">
        <v>86</v>
      </c>
      <c r="H16394" s="9" t="s">
        <v>22</v>
      </c>
      <c r="I16394" s="9" t="s">
        <v>33092</v>
      </c>
      <c r="J16394" s="10" t="str">
        <f>HYPERLINK("https://www.boe.es/gazeta/dias/1834/07/16/pdfs/GMD-1834-149.pdf#page=2","Abrir facsímil")</f>
        <v>Abrir facsímil</v>
      </c>
      <c r="K16394" s="10" t="s">
        <v>24</v>
      </c>
    </row>
    <row r="16395" spans="1:11" ht="54" customHeight="1">
      <c r="A16395" s="9" t="s">
        <v>33093</v>
      </c>
      <c r="B16395" s="9" t="s">
        <v>33094</v>
      </c>
      <c r="C16395" s="9" t="s">
        <v>122</v>
      </c>
      <c r="D16395" s="9" t="s">
        <v>18</v>
      </c>
      <c r="E16395" s="10" t="s">
        <v>309</v>
      </c>
      <c r="F16395" s="9" t="s">
        <v>310</v>
      </c>
      <c r="G16395" s="10" t="s">
        <v>75</v>
      </c>
      <c r="H16395" s="9" t="s">
        <v>22</v>
      </c>
      <c r="I16395" s="9" t="s">
        <v>33095</v>
      </c>
      <c r="J16395" s="10" t="str">
        <f>HYPERLINK("https://www.boe.es/gazeta/dias/1834/05/30/pdfs/GMD-1834-99.pdf#page=4","Abrir facsímil")</f>
        <v>Abrir facsímil</v>
      </c>
      <c r="K16395" s="10" t="s">
        <v>24</v>
      </c>
    </row>
    <row r="16396" spans="1:11" ht="54" customHeight="1">
      <c r="A16396" s="9" t="s">
        <v>33096</v>
      </c>
      <c r="B16396" s="9" t="s">
        <v>33097</v>
      </c>
      <c r="C16396" s="9" t="s">
        <v>17</v>
      </c>
      <c r="D16396" s="9" t="s">
        <v>18</v>
      </c>
      <c r="E16396" s="10" t="s">
        <v>294</v>
      </c>
      <c r="F16396" s="9" t="s">
        <v>959</v>
      </c>
      <c r="G16396" s="10" t="s">
        <v>21</v>
      </c>
      <c r="H16396" s="9" t="s">
        <v>22</v>
      </c>
      <c r="I16396" s="9" t="s">
        <v>33098</v>
      </c>
      <c r="J16396" s="10" t="str">
        <f>HYPERLINK("https://www.boe.es/gazeta/dias/1834/09/27/pdfs/GMD-C-1834-225.pdf#page=3","Abrir facsímil")</f>
        <v>Abrir facsímil</v>
      </c>
      <c r="K16396" s="10" t="s">
        <v>24</v>
      </c>
    </row>
    <row r="16397" spans="1:11" ht="54" customHeight="1">
      <c r="A16397" s="9" t="s">
        <v>33099</v>
      </c>
      <c r="B16397" s="9" t="s">
        <v>33100</v>
      </c>
      <c r="C16397" s="9" t="s">
        <v>90</v>
      </c>
      <c r="D16397" s="9" t="s">
        <v>55</v>
      </c>
      <c r="E16397" s="10" t="s">
        <v>128</v>
      </c>
      <c r="F16397" s="9" t="s">
        <v>1068</v>
      </c>
      <c r="G16397" s="10" t="s">
        <v>34</v>
      </c>
      <c r="H16397" s="9" t="s">
        <v>22</v>
      </c>
      <c r="I16397" s="9" t="s">
        <v>33101</v>
      </c>
      <c r="J16397" s="10" t="str">
        <f>HYPERLINK("https://www.boe.es/gazeta/dias/1834/12/24/pdfs/GMD-1834-314.pdf#page=1","Abrir facsímil")</f>
        <v>Abrir facsímil</v>
      </c>
      <c r="K16397" s="10" t="s">
        <v>24</v>
      </c>
    </row>
    <row r="16398" spans="1:11" ht="54" customHeight="1">
      <c r="A16398" s="9" t="s">
        <v>33102</v>
      </c>
      <c r="B16398" s="9" t="s">
        <v>33103</v>
      </c>
      <c r="C16398" s="9" t="s">
        <v>17</v>
      </c>
      <c r="D16398" s="9" t="s">
        <v>40</v>
      </c>
      <c r="E16398" s="10" t="s">
        <v>3810</v>
      </c>
      <c r="F16398" s="9" t="s">
        <v>3811</v>
      </c>
      <c r="G16398" s="10" t="s">
        <v>75</v>
      </c>
      <c r="H16398" s="9" t="s">
        <v>22</v>
      </c>
      <c r="I16398" s="9" t="s">
        <v>33104</v>
      </c>
      <c r="J16398" s="10" t="str">
        <f>HYPERLINK("https://www.boe.es/gazeta/dias/1834/02/20/pdfs/GMD-1834-23.pdf#page=4","Abrir facsímil")</f>
        <v>Abrir facsímil</v>
      </c>
      <c r="K16398" s="10" t="s">
        <v>24</v>
      </c>
    </row>
    <row r="16399" spans="1:11" ht="54" customHeight="1">
      <c r="A16399" s="9" t="s">
        <v>33105</v>
      </c>
      <c r="B16399" s="9" t="s">
        <v>33106</v>
      </c>
      <c r="C16399" s="9" t="s">
        <v>122</v>
      </c>
      <c r="D16399" s="9" t="s">
        <v>40</v>
      </c>
      <c r="E16399" s="10" t="s">
        <v>690</v>
      </c>
      <c r="F16399" s="9" t="s">
        <v>5765</v>
      </c>
      <c r="G16399" s="10" t="s">
        <v>75</v>
      </c>
      <c r="H16399" s="9" t="s">
        <v>22</v>
      </c>
      <c r="I16399" s="9" t="s">
        <v>33107</v>
      </c>
      <c r="J16399" s="10" t="str">
        <f>HYPERLINK("https://www.boe.es/gazeta/dias/1834/09/03/pdfs/GMD-1834-201.pdf#page=4","Abrir facsímil")</f>
        <v>Abrir facsímil</v>
      </c>
      <c r="K16399" s="10" t="s">
        <v>24</v>
      </c>
    </row>
    <row r="16400" spans="1:11" ht="54" customHeight="1">
      <c r="A16400" s="9" t="s">
        <v>33108</v>
      </c>
      <c r="B16400" s="9" t="s">
        <v>33109</v>
      </c>
      <c r="C16400" s="9" t="s">
        <v>122</v>
      </c>
      <c r="D16400" s="9" t="s">
        <v>18</v>
      </c>
      <c r="E16400" s="10" t="s">
        <v>667</v>
      </c>
      <c r="F16400" s="9" t="s">
        <v>668</v>
      </c>
      <c r="G16400" s="10" t="s">
        <v>86</v>
      </c>
      <c r="H16400" s="9" t="s">
        <v>22</v>
      </c>
      <c r="I16400" s="9" t="s">
        <v>33110</v>
      </c>
      <c r="J16400" s="10" t="str">
        <f>HYPERLINK("https://www.boe.es/gazeta/dias/1834/11/23/pdfs/GMD-C-1834-282.pdf#page=2","Abrir facsímil")</f>
        <v>Abrir facsímil</v>
      </c>
      <c r="K16400" s="10" t="s">
        <v>24</v>
      </c>
    </row>
    <row r="16401" spans="1:11" ht="54" customHeight="1">
      <c r="A16401" s="9" t="s">
        <v>33111</v>
      </c>
      <c r="B16401" s="9" t="s">
        <v>33112</v>
      </c>
      <c r="C16401" s="9" t="s">
        <v>17</v>
      </c>
      <c r="D16401" s="9" t="s">
        <v>18</v>
      </c>
      <c r="E16401" s="10" t="s">
        <v>719</v>
      </c>
      <c r="F16401" s="9" t="s">
        <v>720</v>
      </c>
      <c r="G16401" s="10" t="s">
        <v>34</v>
      </c>
      <c r="H16401" s="9" t="s">
        <v>22</v>
      </c>
      <c r="I16401" s="9" t="s">
        <v>33113</v>
      </c>
      <c r="J16401" s="10" t="str">
        <f>HYPERLINK("https://www.boe.es/gazeta/dias/1834/04/29/pdfs/GMD-1834-68.pdf#page=1","Abrir facsímil")</f>
        <v>Abrir facsímil</v>
      </c>
      <c r="K16401" s="10" t="s">
        <v>24</v>
      </c>
    </row>
    <row r="16402" spans="1:11" ht="54" customHeight="1">
      <c r="A16402" s="9" t="s">
        <v>33114</v>
      </c>
      <c r="B16402" s="9" t="s">
        <v>33115</v>
      </c>
      <c r="C16402" s="9" t="s">
        <v>66</v>
      </c>
      <c r="D16402" s="9" t="s">
        <v>101</v>
      </c>
      <c r="E16402" s="10" t="s">
        <v>1575</v>
      </c>
      <c r="F16402" s="9" t="s">
        <v>1576</v>
      </c>
      <c r="G16402" s="10" t="s">
        <v>34</v>
      </c>
      <c r="H16402" s="9" t="s">
        <v>22</v>
      </c>
      <c r="I16402" s="9" t="s">
        <v>33116</v>
      </c>
      <c r="J16402" s="10" t="str">
        <f>HYPERLINK("https://www.boe.es/gazeta/dias/1834/11/24/pdfs/GMD-1834-283.pdf#page=1","Abrir facsímil")</f>
        <v>Abrir facsímil</v>
      </c>
      <c r="K16402" s="10" t="s">
        <v>24</v>
      </c>
    </row>
    <row r="16403" spans="1:11" ht="54" customHeight="1">
      <c r="A16403" s="9" t="s">
        <v>33117</v>
      </c>
      <c r="B16403" s="9" t="s">
        <v>33118</v>
      </c>
      <c r="C16403" s="9" t="s">
        <v>17</v>
      </c>
      <c r="D16403" s="9" t="s">
        <v>40</v>
      </c>
      <c r="E16403" s="10" t="s">
        <v>233</v>
      </c>
      <c r="F16403" s="9" t="s">
        <v>1810</v>
      </c>
      <c r="G16403" s="10" t="s">
        <v>560</v>
      </c>
      <c r="H16403" s="9" t="s">
        <v>22</v>
      </c>
      <c r="I16403" s="9" t="s">
        <v>33119</v>
      </c>
      <c r="J16403" s="10" t="str">
        <f>HYPERLINK("https://www.boe.es/gazeta/dias/1834/12/16/pdfs/GMD-C-1834-305.pdf#page=7","Abrir facsímil")</f>
        <v>Abrir facsímil</v>
      </c>
      <c r="K16403" s="10" t="s">
        <v>24</v>
      </c>
    </row>
    <row r="16404" spans="1:11" ht="54" customHeight="1">
      <c r="A16404" s="9" t="s">
        <v>33120</v>
      </c>
      <c r="B16404" s="9" t="s">
        <v>33121</v>
      </c>
      <c r="C16404" s="9" t="s">
        <v>17</v>
      </c>
      <c r="D16404" s="9" t="s">
        <v>18</v>
      </c>
      <c r="E16404" s="10" t="s">
        <v>679</v>
      </c>
      <c r="F16404" s="9" t="s">
        <v>680</v>
      </c>
      <c r="G16404" s="10" t="s">
        <v>21</v>
      </c>
      <c r="H16404" s="9" t="s">
        <v>22</v>
      </c>
      <c r="I16404" s="9" t="s">
        <v>33122</v>
      </c>
      <c r="J16404" s="10" t="str">
        <f>HYPERLINK("https://www.boe.es/gazeta/dias/1834/12/10/pdfs/GMD-1834-299.pdf#page=3","Abrir facsímil")</f>
        <v>Abrir facsímil</v>
      </c>
      <c r="K16404" s="10" t="s">
        <v>24</v>
      </c>
    </row>
    <row r="16405" spans="1:11" ht="54" customHeight="1">
      <c r="A16405" s="9" t="s">
        <v>33123</v>
      </c>
      <c r="B16405" s="9" t="s">
        <v>33124</v>
      </c>
      <c r="C16405" s="9" t="s">
        <v>17</v>
      </c>
      <c r="D16405" s="9" t="s">
        <v>18</v>
      </c>
      <c r="E16405" s="10" t="s">
        <v>3699</v>
      </c>
      <c r="F16405" s="9" t="s">
        <v>6179</v>
      </c>
      <c r="G16405" s="10" t="s">
        <v>34</v>
      </c>
      <c r="H16405" s="9" t="s">
        <v>22</v>
      </c>
      <c r="I16405" s="9" t="s">
        <v>33125</v>
      </c>
      <c r="J16405" s="10" t="str">
        <f>HYPERLINK("https://www.boe.es/gazeta/dias/1834/02/06/pdfs/GMD-D-1834-17.pdf#page=1","Abrir facsímil")</f>
        <v>Abrir facsímil</v>
      </c>
      <c r="K16405" s="10" t="s">
        <v>24</v>
      </c>
    </row>
    <row r="16406" spans="1:11" ht="54" customHeight="1">
      <c r="A16406" s="9" t="s">
        <v>33126</v>
      </c>
      <c r="B16406" s="9" t="s">
        <v>33127</v>
      </c>
      <c r="C16406" s="9" t="s">
        <v>66</v>
      </c>
      <c r="D16406" s="9" t="s">
        <v>67</v>
      </c>
      <c r="E16406" s="10" t="s">
        <v>1008</v>
      </c>
      <c r="F16406" s="9" t="s">
        <v>2991</v>
      </c>
      <c r="G16406" s="10" t="s">
        <v>86</v>
      </c>
      <c r="H16406" s="9" t="s">
        <v>22</v>
      </c>
      <c r="I16406" s="9" t="s">
        <v>33128</v>
      </c>
      <c r="J16406" s="10" t="str">
        <f>HYPERLINK("https://www.boe.es/gazeta/dias/1834/11/08/pdfs/GMD-1834-267.pdf#page=2","Abrir facsímil")</f>
        <v>Abrir facsímil</v>
      </c>
      <c r="K16406" s="10" t="s">
        <v>24</v>
      </c>
    </row>
    <row r="16407" spans="1:11" ht="54" customHeight="1">
      <c r="A16407" s="9" t="s">
        <v>33129</v>
      </c>
      <c r="B16407" s="9" t="s">
        <v>33130</v>
      </c>
      <c r="C16407" s="9" t="s">
        <v>122</v>
      </c>
      <c r="D16407" s="9" t="s">
        <v>101</v>
      </c>
      <c r="E16407" s="10" t="s">
        <v>2048</v>
      </c>
      <c r="F16407" s="9" t="s">
        <v>2049</v>
      </c>
      <c r="G16407" s="10" t="s">
        <v>75</v>
      </c>
      <c r="H16407" s="9" t="s">
        <v>22</v>
      </c>
      <c r="I16407" s="9" t="s">
        <v>33131</v>
      </c>
      <c r="J16407" s="10" t="str">
        <f>HYPERLINK("https://www.boe.es/gazeta/dias/1834/05/12/pdfs/GMD-1834-81.pdf#page=4","Abrir facsímil")</f>
        <v>Abrir facsímil</v>
      </c>
      <c r="K16407" s="10" t="s">
        <v>24</v>
      </c>
    </row>
    <row r="16408" spans="1:11" ht="54" customHeight="1">
      <c r="A16408" s="9" t="s">
        <v>33132</v>
      </c>
      <c r="B16408" s="9" t="s">
        <v>33133</v>
      </c>
      <c r="C16408" s="9" t="s">
        <v>17</v>
      </c>
      <c r="D16408" s="9" t="s">
        <v>18</v>
      </c>
      <c r="E16408" s="10" t="s">
        <v>273</v>
      </c>
      <c r="F16408" s="9" t="s">
        <v>274</v>
      </c>
      <c r="G16408" s="10" t="s">
        <v>34</v>
      </c>
      <c r="H16408" s="9" t="s">
        <v>22</v>
      </c>
      <c r="I16408" s="9" t="s">
        <v>33134</v>
      </c>
      <c r="J16408" s="10" t="str">
        <f>HYPERLINK("https://www.boe.es/gazeta/dias/1834/08/31/pdfs/GMD-D-1834-198.pdf#page=1","Abrir facsímil")</f>
        <v>Abrir facsímil</v>
      </c>
      <c r="K16408" s="10" t="s">
        <v>24</v>
      </c>
    </row>
    <row r="16409" spans="1:11" ht="54" customHeight="1">
      <c r="A16409" s="9" t="s">
        <v>33135</v>
      </c>
      <c r="B16409" s="9" t="s">
        <v>33136</v>
      </c>
      <c r="C16409" s="9" t="s">
        <v>122</v>
      </c>
      <c r="D16409" s="9" t="s">
        <v>40</v>
      </c>
      <c r="E16409" s="10" t="s">
        <v>715</v>
      </c>
      <c r="F16409" s="9" t="s">
        <v>716</v>
      </c>
      <c r="G16409" s="10" t="s">
        <v>34</v>
      </c>
      <c r="H16409" s="9" t="s">
        <v>22</v>
      </c>
      <c r="I16409" s="9" t="s">
        <v>33137</v>
      </c>
      <c r="J16409" s="10" t="str">
        <f>HYPERLINK("https://www.boe.es/gazeta/dias/1834/09/17/pdfs/GMD-C-1834-215.pdf#page=1","Abrir facsímil")</f>
        <v>Abrir facsímil</v>
      </c>
      <c r="K16409" s="10" t="s">
        <v>24</v>
      </c>
    </row>
    <row r="16410" spans="1:11" ht="54" customHeight="1">
      <c r="A16410" s="9" t="s">
        <v>33138</v>
      </c>
      <c r="B16410" s="9" t="s">
        <v>33139</v>
      </c>
      <c r="C16410" s="9" t="s">
        <v>66</v>
      </c>
      <c r="D16410" s="9" t="s">
        <v>67</v>
      </c>
      <c r="E16410" s="10" t="s">
        <v>1103</v>
      </c>
      <c r="F16410" s="9" t="s">
        <v>1104</v>
      </c>
      <c r="G16410" s="10" t="s">
        <v>86</v>
      </c>
      <c r="H16410" s="9" t="s">
        <v>22</v>
      </c>
      <c r="I16410" s="9" t="s">
        <v>33140</v>
      </c>
      <c r="J16410" s="10" t="str">
        <f>HYPERLINK("https://www.boe.es/gazeta/dias/1834/10/10/pdfs/GMD-C-1834-238.pdf#page=2","Abrir facsímil")</f>
        <v>Abrir facsímil</v>
      </c>
      <c r="K16410" s="10" t="s">
        <v>24</v>
      </c>
    </row>
    <row r="16411" spans="1:11" ht="54" customHeight="1">
      <c r="A16411" s="9" t="s">
        <v>33141</v>
      </c>
      <c r="B16411" s="9" t="s">
        <v>33142</v>
      </c>
      <c r="C16411" s="9" t="s">
        <v>17</v>
      </c>
      <c r="D16411" s="9" t="s">
        <v>18</v>
      </c>
      <c r="E16411" s="10" t="s">
        <v>2087</v>
      </c>
      <c r="F16411" s="9" t="s">
        <v>2267</v>
      </c>
      <c r="G16411" s="10" t="s">
        <v>2174</v>
      </c>
      <c r="H16411" s="9" t="s">
        <v>22</v>
      </c>
      <c r="I16411" s="9" t="s">
        <v>33143</v>
      </c>
      <c r="J16411" s="10" t="str">
        <f>HYPERLINK("https://www.boe.es/gazeta/dias/1834/12/14/pdfs/GMD-C-1834-303.pdf#page=10","Abrir facsímil")</f>
        <v>Abrir facsímil</v>
      </c>
      <c r="K16411" s="10" t="s">
        <v>24</v>
      </c>
    </row>
    <row r="16412" spans="1:11" ht="54" customHeight="1">
      <c r="A16412" s="9" t="s">
        <v>33144</v>
      </c>
      <c r="B16412" s="9" t="s">
        <v>33145</v>
      </c>
      <c r="C16412" s="9" t="s">
        <v>90</v>
      </c>
      <c r="D16412" s="9" t="s">
        <v>18</v>
      </c>
      <c r="E16412" s="10" t="s">
        <v>462</v>
      </c>
      <c r="F16412" s="9" t="s">
        <v>463</v>
      </c>
      <c r="G16412" s="10" t="s">
        <v>86</v>
      </c>
      <c r="H16412" s="9" t="s">
        <v>22</v>
      </c>
      <c r="I16412" s="9" t="s">
        <v>33146</v>
      </c>
      <c r="J16412" s="10" t="str">
        <f>HYPERLINK("https://www.boe.es/gazeta/dias/1834/08/27/pdfs/GMD-C-1834-193.pdf#page=2","Abrir facsímil")</f>
        <v>Abrir facsímil</v>
      </c>
      <c r="K16412" s="10" t="s">
        <v>24</v>
      </c>
    </row>
    <row r="16413" spans="1:11" ht="54" customHeight="1">
      <c r="A16413" s="9" t="s">
        <v>33147</v>
      </c>
      <c r="B16413" s="9" t="s">
        <v>33148</v>
      </c>
      <c r="C16413" s="9" t="s">
        <v>17</v>
      </c>
      <c r="D16413" s="9" t="s">
        <v>55</v>
      </c>
      <c r="E16413" s="10" t="s">
        <v>56</v>
      </c>
      <c r="F16413" s="9" t="s">
        <v>57</v>
      </c>
      <c r="G16413" s="10" t="s">
        <v>21</v>
      </c>
      <c r="H16413" s="9" t="s">
        <v>22</v>
      </c>
      <c r="I16413" s="9" t="s">
        <v>33149</v>
      </c>
      <c r="J16413" s="10" t="str">
        <f>HYPERLINK("https://www.boe.es/gazeta/dias/1834/07/09/pdfs/GMD-1834-142.pdf#page=3","Abrir facsímil")</f>
        <v>Abrir facsímil</v>
      </c>
      <c r="K16413" s="10" t="s">
        <v>24</v>
      </c>
    </row>
    <row r="16414" spans="1:11" ht="54" customHeight="1">
      <c r="A16414" s="9" t="s">
        <v>33150</v>
      </c>
      <c r="B16414" s="9" t="s">
        <v>33151</v>
      </c>
      <c r="C16414" s="9" t="s">
        <v>17</v>
      </c>
      <c r="D16414" s="9" t="s">
        <v>40</v>
      </c>
      <c r="E16414" s="10" t="s">
        <v>912</v>
      </c>
      <c r="F16414" s="9" t="s">
        <v>913</v>
      </c>
      <c r="G16414" s="10" t="s">
        <v>176</v>
      </c>
      <c r="H16414" s="9" t="s">
        <v>35</v>
      </c>
      <c r="I16414" s="9" t="s">
        <v>33152</v>
      </c>
      <c r="J16414" s="10" t="str">
        <f>HYPERLINK("https://www.boe.es/gazeta/dias/1834/02/15/pdfs/GMD-1834-21.pdf#page=6","Abrir facsímil")</f>
        <v>Abrir facsímil</v>
      </c>
      <c r="K16414" s="10" t="s">
        <v>37</v>
      </c>
    </row>
    <row r="16415" spans="1:11" ht="54" customHeight="1">
      <c r="A16415" s="9" t="s">
        <v>33153</v>
      </c>
      <c r="B16415" s="9" t="s">
        <v>33154</v>
      </c>
      <c r="C16415" s="9" t="s">
        <v>17</v>
      </c>
      <c r="D16415" s="9" t="s">
        <v>40</v>
      </c>
      <c r="E16415" s="10" t="s">
        <v>2091</v>
      </c>
      <c r="F16415" s="9" t="s">
        <v>2092</v>
      </c>
      <c r="G16415" s="10" t="s">
        <v>75</v>
      </c>
      <c r="H16415" s="9" t="s">
        <v>35</v>
      </c>
      <c r="I16415" s="9" t="s">
        <v>33155</v>
      </c>
      <c r="J16415" s="10" t="str">
        <f>HYPERLINK("https://www.boe.es/gazeta/dias/1834/03/08/pdfs/GMD-1834-30.pdf#page=4","Abrir facsímil")</f>
        <v>Abrir facsímil</v>
      </c>
      <c r="K16415" s="10" t="s">
        <v>37</v>
      </c>
    </row>
    <row r="16416" spans="1:11" ht="54" customHeight="1">
      <c r="A16416" s="9" t="s">
        <v>33156</v>
      </c>
      <c r="B16416" s="9" t="s">
        <v>33157</v>
      </c>
      <c r="C16416" s="9" t="s">
        <v>66</v>
      </c>
      <c r="D16416" s="9" t="s">
        <v>67</v>
      </c>
      <c r="E16416" s="10" t="s">
        <v>506</v>
      </c>
      <c r="F16416" s="9" t="s">
        <v>507</v>
      </c>
      <c r="G16416" s="10" t="s">
        <v>75</v>
      </c>
      <c r="H16416" s="9" t="s">
        <v>22</v>
      </c>
      <c r="I16416" s="9" t="s">
        <v>33158</v>
      </c>
      <c r="J16416" s="10" t="str">
        <f>HYPERLINK("https://www.boe.es/gazeta/dias/1834/03/04/pdfs/GMD-1834-28.pdf#page=4","Abrir facsímil")</f>
        <v>Abrir facsímil</v>
      </c>
      <c r="K16416" s="10" t="s">
        <v>24</v>
      </c>
    </row>
    <row r="16417" spans="1:11" ht="54" customHeight="1">
      <c r="A16417" s="9" t="s">
        <v>33159</v>
      </c>
      <c r="B16417" s="9" t="s">
        <v>33160</v>
      </c>
      <c r="C16417" s="9" t="s">
        <v>46</v>
      </c>
      <c r="D16417" s="9" t="s">
        <v>55</v>
      </c>
      <c r="E16417" s="10" t="s">
        <v>79</v>
      </c>
      <c r="F16417" s="9" t="s">
        <v>80</v>
      </c>
      <c r="G16417" s="10" t="s">
        <v>86</v>
      </c>
      <c r="H16417" s="9" t="s">
        <v>22</v>
      </c>
      <c r="I16417" s="9" t="s">
        <v>33161</v>
      </c>
      <c r="J16417" s="10" t="str">
        <f>HYPERLINK("https://www.boe.es/gazeta/dias/1834/07/12/pdfs/GMD-1834-145.pdf#page=2","Abrir facsímil")</f>
        <v>Abrir facsímil</v>
      </c>
      <c r="K16417" s="10" t="s">
        <v>24</v>
      </c>
    </row>
    <row r="16418" spans="1:11" ht="54" customHeight="1">
      <c r="A16418" s="9" t="s">
        <v>33162</v>
      </c>
      <c r="B16418" s="9" t="s">
        <v>33163</v>
      </c>
      <c r="C16418" s="9" t="s">
        <v>17</v>
      </c>
      <c r="D16418" s="9" t="s">
        <v>18</v>
      </c>
      <c r="E16418" s="10" t="s">
        <v>416</v>
      </c>
      <c r="F16418" s="9" t="s">
        <v>417</v>
      </c>
      <c r="G16418" s="10" t="s">
        <v>34</v>
      </c>
      <c r="H16418" s="9" t="s">
        <v>22</v>
      </c>
      <c r="I16418" s="9" t="s">
        <v>33164</v>
      </c>
      <c r="J16418" s="10" t="str">
        <f>HYPERLINK("https://www.boe.es/gazeta/dias/1834/10/02/pdfs/GMD-C-1834-230.pdf#page=1","Abrir facsímil")</f>
        <v>Abrir facsímil</v>
      </c>
      <c r="K16418" s="10" t="s">
        <v>24</v>
      </c>
    </row>
    <row r="16419" spans="1:11" ht="54" customHeight="1">
      <c r="A16419" s="9" t="s">
        <v>33162</v>
      </c>
      <c r="B16419" s="9" t="s">
        <v>33163</v>
      </c>
      <c r="C16419" s="9" t="s">
        <v>17</v>
      </c>
      <c r="D16419" s="9" t="s">
        <v>18</v>
      </c>
      <c r="E16419" s="10" t="s">
        <v>615</v>
      </c>
      <c r="F16419" s="9" t="s">
        <v>1205</v>
      </c>
      <c r="G16419" s="10" t="s">
        <v>86</v>
      </c>
      <c r="H16419" s="9" t="s">
        <v>22</v>
      </c>
      <c r="I16419" s="9" t="s">
        <v>33165</v>
      </c>
      <c r="J16419" s="10" t="str">
        <f>HYPERLINK("https://www.boe.es/gazeta/dias/1834/08/19/pdfs/GMD-D-1834-185.pdf#page=2","Abrir facsímil")</f>
        <v>Abrir facsímil</v>
      </c>
      <c r="K16419" s="10" t="s">
        <v>24</v>
      </c>
    </row>
    <row r="16420" spans="1:11" ht="54" customHeight="1">
      <c r="A16420" s="9" t="s">
        <v>33166</v>
      </c>
      <c r="B16420" s="9" t="s">
        <v>33167</v>
      </c>
      <c r="C16420" s="9" t="s">
        <v>17</v>
      </c>
      <c r="D16420" s="9" t="s">
        <v>18</v>
      </c>
      <c r="E16420" s="10" t="s">
        <v>2306</v>
      </c>
      <c r="F16420" s="9" t="s">
        <v>2307</v>
      </c>
      <c r="G16420" s="10" t="s">
        <v>21</v>
      </c>
      <c r="H16420" s="9" t="s">
        <v>22</v>
      </c>
      <c r="I16420" s="9" t="s">
        <v>33168</v>
      </c>
      <c r="J16420" s="10" t="str">
        <f>HYPERLINK("https://www.boe.es/gazeta/dias/1834/04/26/pdfs/GMD-1834-65.pdf#page=3","Abrir facsímil")</f>
        <v>Abrir facsímil</v>
      </c>
      <c r="K16420" s="10" t="s">
        <v>24</v>
      </c>
    </row>
    <row r="16421" spans="1:11" ht="54" customHeight="1">
      <c r="A16421" s="9" t="s">
        <v>33169</v>
      </c>
      <c r="B16421" s="9" t="s">
        <v>33170</v>
      </c>
      <c r="C16421" s="9" t="s">
        <v>17</v>
      </c>
      <c r="D16421" s="9" t="s">
        <v>18</v>
      </c>
      <c r="E16421" s="10" t="s">
        <v>1406</v>
      </c>
      <c r="F16421" s="9" t="s">
        <v>1407</v>
      </c>
      <c r="G16421" s="10" t="s">
        <v>34</v>
      </c>
      <c r="H16421" s="9" t="s">
        <v>22</v>
      </c>
      <c r="I16421" s="9" t="s">
        <v>33171</v>
      </c>
      <c r="J16421" s="10" t="str">
        <f>HYPERLINK("https://www.boe.es/gazeta/dias/1834/11/03/pdfs/GMD-1834-262.pdf#page=1","Abrir facsímil")</f>
        <v>Abrir facsímil</v>
      </c>
      <c r="K16421" s="10" t="s">
        <v>24</v>
      </c>
    </row>
    <row r="16422" spans="1:11" ht="54" customHeight="1">
      <c r="A16422" s="9" t="s">
        <v>33172</v>
      </c>
      <c r="B16422" s="9" t="s">
        <v>33172</v>
      </c>
      <c r="C16422" s="9" t="s">
        <v>17</v>
      </c>
      <c r="D16422" s="9" t="s">
        <v>18</v>
      </c>
      <c r="E16422" s="10" t="s">
        <v>1556</v>
      </c>
      <c r="F16422" s="9" t="s">
        <v>1557</v>
      </c>
      <c r="G16422" s="10" t="s">
        <v>21</v>
      </c>
      <c r="H16422" s="9" t="s">
        <v>22</v>
      </c>
      <c r="I16422" s="9" t="s">
        <v>33173</v>
      </c>
      <c r="J16422" s="10" t="str">
        <f>HYPERLINK("https://www.boe.es/gazeta/dias/1834/06/06/pdfs/GMD-1834-108.pdf#page=3","Abrir facsímil")</f>
        <v>Abrir facsímil</v>
      </c>
      <c r="K16422" s="10" t="s">
        <v>24</v>
      </c>
    </row>
    <row r="16423" spans="1:11" ht="54" customHeight="1">
      <c r="A16423" s="9" t="s">
        <v>33174</v>
      </c>
      <c r="B16423" s="9" t="s">
        <v>33175</v>
      </c>
      <c r="C16423" s="9" t="s">
        <v>17</v>
      </c>
      <c r="D16423" s="9" t="s">
        <v>18</v>
      </c>
      <c r="E16423" s="10" t="s">
        <v>1556</v>
      </c>
      <c r="F16423" s="9" t="s">
        <v>1557</v>
      </c>
      <c r="G16423" s="10" t="s">
        <v>21</v>
      </c>
      <c r="H16423" s="9" t="s">
        <v>35</v>
      </c>
      <c r="I16423" s="9" t="s">
        <v>33176</v>
      </c>
      <c r="J16423" s="10" t="str">
        <f>HYPERLINK("https://www.boe.es/gazeta/dias/1834/06/06/pdfs/GMD-1834-108.pdf#page=3","Abrir facsímil")</f>
        <v>Abrir facsímil</v>
      </c>
      <c r="K16423" s="10" t="s">
        <v>37</v>
      </c>
    </row>
    <row r="16424" spans="1:11" ht="54" customHeight="1">
      <c r="A16424" s="9" t="s">
        <v>33177</v>
      </c>
      <c r="B16424" s="9" t="s">
        <v>33177</v>
      </c>
      <c r="C16424" s="9" t="s">
        <v>66</v>
      </c>
      <c r="D16424" s="9" t="s">
        <v>67</v>
      </c>
      <c r="E16424" s="10" t="s">
        <v>2048</v>
      </c>
      <c r="F16424" s="9" t="s">
        <v>2049</v>
      </c>
      <c r="G16424" s="10" t="s">
        <v>34</v>
      </c>
      <c r="H16424" s="9" t="s">
        <v>22</v>
      </c>
      <c r="I16424" s="9" t="s">
        <v>33178</v>
      </c>
      <c r="J16424" s="10" t="str">
        <f>HYPERLINK("https://www.boe.es/gazeta/dias/1834/05/12/pdfs/GMD-1834-81.pdf#page=1","Abrir facsímil")</f>
        <v>Abrir facsímil</v>
      </c>
      <c r="K16424" s="10" t="s">
        <v>24</v>
      </c>
    </row>
    <row r="16425" spans="1:11" ht="54" customHeight="1">
      <c r="A16425" s="9" t="s">
        <v>33177</v>
      </c>
      <c r="B16425" s="9" t="s">
        <v>33177</v>
      </c>
      <c r="C16425" s="9" t="s">
        <v>46</v>
      </c>
      <c r="D16425" s="9" t="s">
        <v>101</v>
      </c>
      <c r="E16425" s="10" t="s">
        <v>268</v>
      </c>
      <c r="F16425" s="9" t="s">
        <v>269</v>
      </c>
      <c r="G16425" s="10" t="s">
        <v>75</v>
      </c>
      <c r="H16425" s="9" t="s">
        <v>22</v>
      </c>
      <c r="I16425" s="9" t="s">
        <v>33179</v>
      </c>
      <c r="J16425" s="10" t="str">
        <f>HYPERLINK("https://www.boe.es/gazeta/dias/1834/12/19/pdfs/GMD-C-1834-309.pdf#page=4","Abrir facsímil")</f>
        <v>Abrir facsímil</v>
      </c>
      <c r="K16425" s="10" t="s">
        <v>24</v>
      </c>
    </row>
    <row r="16426" spans="1:11" ht="54" customHeight="1">
      <c r="A16426" s="9" t="s">
        <v>33180</v>
      </c>
      <c r="B16426" s="9" t="s">
        <v>33181</v>
      </c>
      <c r="C16426" s="9" t="s">
        <v>66</v>
      </c>
      <c r="D16426" s="9" t="s">
        <v>67</v>
      </c>
      <c r="E16426" s="10" t="s">
        <v>2048</v>
      </c>
      <c r="F16426" s="9" t="s">
        <v>2049</v>
      </c>
      <c r="G16426" s="10" t="s">
        <v>34</v>
      </c>
      <c r="H16426" s="9" t="s">
        <v>35</v>
      </c>
      <c r="I16426" s="9" t="s">
        <v>33182</v>
      </c>
      <c r="J16426" s="10" t="str">
        <f>HYPERLINK("https://www.boe.es/gazeta/dias/1834/05/12/pdfs/GMD-1834-81.pdf#page=1","Abrir facsímil")</f>
        <v>Abrir facsímil</v>
      </c>
      <c r="K16426" s="10" t="s">
        <v>37</v>
      </c>
    </row>
    <row r="16427" spans="1:11" ht="54" customHeight="1">
      <c r="A16427" s="9" t="s">
        <v>33183</v>
      </c>
      <c r="B16427" s="9" t="s">
        <v>33184</v>
      </c>
      <c r="C16427" s="9" t="s">
        <v>46</v>
      </c>
      <c r="D16427" s="9" t="s">
        <v>101</v>
      </c>
      <c r="E16427" s="10" t="s">
        <v>268</v>
      </c>
      <c r="F16427" s="9" t="s">
        <v>269</v>
      </c>
      <c r="G16427" s="10" t="s">
        <v>75</v>
      </c>
      <c r="H16427" s="9" t="s">
        <v>35</v>
      </c>
      <c r="I16427" s="9" t="s">
        <v>33185</v>
      </c>
      <c r="J16427" s="10" t="str">
        <f>HYPERLINK("https://www.boe.es/gazeta/dias/1834/12/19/pdfs/GMD-C-1834-309.pdf#page=4","Abrir facsímil")</f>
        <v>Abrir facsímil</v>
      </c>
      <c r="K16427" s="10" t="s">
        <v>37</v>
      </c>
    </row>
    <row r="16428" spans="1:11" ht="54" customHeight="1">
      <c r="A16428" s="9" t="s">
        <v>33186</v>
      </c>
      <c r="B16428" s="9" t="s">
        <v>33186</v>
      </c>
      <c r="C16428" s="9" t="s">
        <v>46</v>
      </c>
      <c r="D16428" s="9" t="s">
        <v>55</v>
      </c>
      <c r="E16428" s="10" t="s">
        <v>1406</v>
      </c>
      <c r="F16428" s="9" t="s">
        <v>1407</v>
      </c>
      <c r="G16428" s="10" t="s">
        <v>86</v>
      </c>
      <c r="H16428" s="9" t="s">
        <v>22</v>
      </c>
      <c r="I16428" s="9" t="s">
        <v>33187</v>
      </c>
      <c r="J16428" s="10" t="str">
        <f>HYPERLINK("https://www.boe.es/gazeta/dias/1834/11/03/pdfs/GMD-1834-262.pdf#page=2","Abrir facsímil")</f>
        <v>Abrir facsímil</v>
      </c>
      <c r="K16428" s="10" t="s">
        <v>24</v>
      </c>
    </row>
    <row r="16429" spans="1:11" ht="54" customHeight="1">
      <c r="A16429" s="9" t="s">
        <v>33188</v>
      </c>
      <c r="B16429" s="9" t="s">
        <v>33188</v>
      </c>
      <c r="C16429" s="9" t="s">
        <v>17</v>
      </c>
      <c r="D16429" s="9" t="s">
        <v>18</v>
      </c>
      <c r="E16429" s="10" t="s">
        <v>339</v>
      </c>
      <c r="F16429" s="9" t="s">
        <v>340</v>
      </c>
      <c r="G16429" s="10" t="s">
        <v>21</v>
      </c>
      <c r="H16429" s="9" t="s">
        <v>22</v>
      </c>
      <c r="I16429" s="9" t="s">
        <v>33189</v>
      </c>
      <c r="J16429" s="10" t="str">
        <f>HYPERLINK("https://www.boe.es/gazeta/dias/1834/05/02/pdfs/GMD-1834-71.pdf#page=3","Abrir facsímil")</f>
        <v>Abrir facsímil</v>
      </c>
      <c r="K16429" s="10" t="s">
        <v>24</v>
      </c>
    </row>
    <row r="16430" spans="1:11" ht="54" customHeight="1">
      <c r="A16430" s="9" t="s">
        <v>33188</v>
      </c>
      <c r="B16430" s="9" t="s">
        <v>33188</v>
      </c>
      <c r="C16430" s="9" t="s">
        <v>90</v>
      </c>
      <c r="D16430" s="9" t="s">
        <v>101</v>
      </c>
      <c r="E16430" s="10" t="s">
        <v>416</v>
      </c>
      <c r="F16430" s="9" t="s">
        <v>1130</v>
      </c>
      <c r="G16430" s="10" t="s">
        <v>34</v>
      </c>
      <c r="H16430" s="9" t="s">
        <v>22</v>
      </c>
      <c r="I16430" s="9" t="s">
        <v>33190</v>
      </c>
      <c r="J16430" s="10" t="str">
        <f>HYPERLINK("https://www.boe.es/gazeta/dias/1834/10/02/pdfs/GMD-1834-230.pdf#page=1","Abrir facsímil")</f>
        <v>Abrir facsímil</v>
      </c>
      <c r="K16430" s="10" t="s">
        <v>24</v>
      </c>
    </row>
    <row r="16431" spans="1:11" ht="54" customHeight="1">
      <c r="A16431" s="9" t="s">
        <v>33188</v>
      </c>
      <c r="B16431" s="9" t="s">
        <v>33188</v>
      </c>
      <c r="C16431" s="9" t="s">
        <v>17</v>
      </c>
      <c r="D16431" s="9" t="s">
        <v>18</v>
      </c>
      <c r="E16431" s="10" t="s">
        <v>758</v>
      </c>
      <c r="F16431" s="9" t="s">
        <v>759</v>
      </c>
      <c r="G16431" s="10" t="s">
        <v>75</v>
      </c>
      <c r="H16431" s="9" t="s">
        <v>22</v>
      </c>
      <c r="I16431" s="9" t="s">
        <v>33191</v>
      </c>
      <c r="J16431" s="10" t="str">
        <f>HYPERLINK("https://www.boe.es/gazeta/dias/1834/01/04/pdfs/GMD-1834-3.pdf#page=4","Abrir facsímil")</f>
        <v>Abrir facsímil</v>
      </c>
      <c r="K16431" s="10" t="s">
        <v>24</v>
      </c>
    </row>
    <row r="16432" spans="1:11" ht="54" customHeight="1">
      <c r="A16432" s="9" t="s">
        <v>33188</v>
      </c>
      <c r="B16432" s="9" t="s">
        <v>33188</v>
      </c>
      <c r="C16432" s="9" t="s">
        <v>46</v>
      </c>
      <c r="D16432" s="9" t="s">
        <v>18</v>
      </c>
      <c r="E16432" s="10" t="s">
        <v>734</v>
      </c>
      <c r="F16432" s="9" t="s">
        <v>735</v>
      </c>
      <c r="G16432" s="10" t="s">
        <v>86</v>
      </c>
      <c r="H16432" s="9" t="s">
        <v>22</v>
      </c>
      <c r="I16432" s="9" t="s">
        <v>33192</v>
      </c>
      <c r="J16432" s="10" t="str">
        <f>HYPERLINK("https://www.boe.es/gazeta/dias/1834/05/06/pdfs/GMD-1834-75.pdf#page=2","Abrir facsímil")</f>
        <v>Abrir facsímil</v>
      </c>
      <c r="K16432" s="10" t="s">
        <v>24</v>
      </c>
    </row>
    <row r="16433" spans="1:11" ht="54" customHeight="1">
      <c r="A16433" s="9" t="s">
        <v>33188</v>
      </c>
      <c r="B16433" s="9" t="s">
        <v>33188</v>
      </c>
      <c r="C16433" s="9" t="s">
        <v>66</v>
      </c>
      <c r="D16433" s="9" t="s">
        <v>67</v>
      </c>
      <c r="E16433" s="10" t="s">
        <v>3054</v>
      </c>
      <c r="F16433" s="9" t="s">
        <v>3055</v>
      </c>
      <c r="G16433" s="10" t="s">
        <v>86</v>
      </c>
      <c r="H16433" s="9" t="s">
        <v>22</v>
      </c>
      <c r="I16433" s="9" t="s">
        <v>33193</v>
      </c>
      <c r="J16433" s="10" t="str">
        <f>HYPERLINK("https://www.boe.es/gazeta/dias/1834/10/06/pdfs/GMD-1834-234.pdf#page=2","Abrir facsímil")</f>
        <v>Abrir facsímil</v>
      </c>
      <c r="K16433" s="10" t="s">
        <v>24</v>
      </c>
    </row>
    <row r="16434" spans="1:11" ht="54" customHeight="1">
      <c r="A16434" s="9" t="s">
        <v>33188</v>
      </c>
      <c r="B16434" s="9" t="s">
        <v>33188</v>
      </c>
      <c r="C16434" s="9" t="s">
        <v>17</v>
      </c>
      <c r="D16434" s="9" t="s">
        <v>18</v>
      </c>
      <c r="E16434" s="10" t="s">
        <v>623</v>
      </c>
      <c r="F16434" s="9" t="s">
        <v>624</v>
      </c>
      <c r="G16434" s="10" t="s">
        <v>34</v>
      </c>
      <c r="H16434" s="9" t="s">
        <v>22</v>
      </c>
      <c r="I16434" s="9" t="s">
        <v>33194</v>
      </c>
      <c r="J16434" s="10" t="str">
        <f>HYPERLINK("https://www.boe.es/gazeta/dias/1834/10/12/pdfs/GMD-D-1834-240.pdf#page=1","Abrir facsímil")</f>
        <v>Abrir facsímil</v>
      </c>
      <c r="K16434" s="10" t="s">
        <v>24</v>
      </c>
    </row>
    <row r="16435" spans="1:11" ht="54" customHeight="1">
      <c r="A16435" s="9" t="s">
        <v>33188</v>
      </c>
      <c r="B16435" s="9" t="s">
        <v>33188</v>
      </c>
      <c r="C16435" s="9" t="s">
        <v>17</v>
      </c>
      <c r="D16435" s="9" t="s">
        <v>18</v>
      </c>
      <c r="E16435" s="10" t="s">
        <v>299</v>
      </c>
      <c r="F16435" s="9" t="s">
        <v>2255</v>
      </c>
      <c r="G16435" s="10" t="s">
        <v>75</v>
      </c>
      <c r="H16435" s="9" t="s">
        <v>22</v>
      </c>
      <c r="I16435" s="9" t="s">
        <v>33195</v>
      </c>
      <c r="J16435" s="10" t="str">
        <f>HYPERLINK("https://www.boe.es/gazeta/dias/1834/12/12/pdfs/GMD-C-1834-301.pdf#page=4","Abrir facsímil")</f>
        <v>Abrir facsímil</v>
      </c>
      <c r="K16435" s="10" t="s">
        <v>24</v>
      </c>
    </row>
    <row r="16436" spans="1:11" ht="54" customHeight="1">
      <c r="A16436" s="9" t="s">
        <v>33188</v>
      </c>
      <c r="B16436" s="9" t="s">
        <v>33188</v>
      </c>
      <c r="C16436" s="9" t="s">
        <v>17</v>
      </c>
      <c r="D16436" s="9" t="s">
        <v>18</v>
      </c>
      <c r="E16436" s="10" t="s">
        <v>299</v>
      </c>
      <c r="F16436" s="9" t="s">
        <v>2255</v>
      </c>
      <c r="G16436" s="10" t="s">
        <v>28</v>
      </c>
      <c r="H16436" s="9" t="s">
        <v>22</v>
      </c>
      <c r="I16436" s="9" t="s">
        <v>33196</v>
      </c>
      <c r="J16436" s="10" t="str">
        <f>HYPERLINK("https://www.boe.es/gazeta/dias/1834/12/12/pdfs/GMD-C-1834-301.pdf#page=5","Abrir facsímil")</f>
        <v>Abrir facsímil</v>
      </c>
      <c r="K16436" s="10" t="s">
        <v>24</v>
      </c>
    </row>
    <row r="16437" spans="1:11" ht="54" customHeight="1">
      <c r="A16437" s="9" t="s">
        <v>33188</v>
      </c>
      <c r="B16437" s="9" t="s">
        <v>33188</v>
      </c>
      <c r="C16437" s="9" t="s">
        <v>66</v>
      </c>
      <c r="D16437" s="9" t="s">
        <v>67</v>
      </c>
      <c r="E16437" s="10" t="s">
        <v>479</v>
      </c>
      <c r="F16437" s="9" t="s">
        <v>2258</v>
      </c>
      <c r="G16437" s="10" t="s">
        <v>21</v>
      </c>
      <c r="H16437" s="9" t="s">
        <v>22</v>
      </c>
      <c r="I16437" s="9" t="s">
        <v>33197</v>
      </c>
      <c r="J16437" s="10" t="str">
        <f>HYPERLINK("https://www.boe.es/gazeta/dias/1834/08/13/pdfs/GMD-C-1834-178.pdf#page=3","Abrir facsímil")</f>
        <v>Abrir facsímil</v>
      </c>
      <c r="K16437" s="10" t="s">
        <v>24</v>
      </c>
    </row>
    <row r="16438" spans="1:11" ht="54" customHeight="1">
      <c r="A16438" s="9" t="s">
        <v>33188</v>
      </c>
      <c r="B16438" s="9" t="s">
        <v>33188</v>
      </c>
      <c r="C16438" s="9" t="s">
        <v>17</v>
      </c>
      <c r="D16438" s="9" t="s">
        <v>18</v>
      </c>
      <c r="E16438" s="10" t="s">
        <v>1981</v>
      </c>
      <c r="F16438" s="9" t="s">
        <v>2471</v>
      </c>
      <c r="G16438" s="10" t="s">
        <v>176</v>
      </c>
      <c r="H16438" s="9" t="s">
        <v>22</v>
      </c>
      <c r="I16438" s="9" t="s">
        <v>33198</v>
      </c>
      <c r="J16438" s="10" t="str">
        <f>HYPERLINK("https://www.boe.es/gazeta/dias/1834/12/13/pdfs/GMD-C-1834-302.pdf#page=6","Abrir facsímil")</f>
        <v>Abrir facsímil</v>
      </c>
      <c r="K16438" s="10" t="s">
        <v>24</v>
      </c>
    </row>
    <row r="16439" spans="1:11" ht="54" customHeight="1">
      <c r="A16439" s="9" t="s">
        <v>33188</v>
      </c>
      <c r="B16439" s="9" t="s">
        <v>33188</v>
      </c>
      <c r="C16439" s="9" t="s">
        <v>17</v>
      </c>
      <c r="D16439" s="9" t="s">
        <v>18</v>
      </c>
      <c r="E16439" s="10" t="s">
        <v>2087</v>
      </c>
      <c r="F16439" s="9" t="s">
        <v>2267</v>
      </c>
      <c r="G16439" s="10" t="s">
        <v>75</v>
      </c>
      <c r="H16439" s="9" t="s">
        <v>22</v>
      </c>
      <c r="I16439" s="9" t="s">
        <v>33199</v>
      </c>
      <c r="J16439" s="10" t="str">
        <f>HYPERLINK("https://www.boe.es/gazeta/dias/1834/12/14/pdfs/GMD-C-1834-303.pdf#page=4","Abrir facsímil")</f>
        <v>Abrir facsímil</v>
      </c>
      <c r="K16439" s="10" t="s">
        <v>24</v>
      </c>
    </row>
    <row r="16440" spans="1:11" ht="54" customHeight="1">
      <c r="A16440" s="9" t="s">
        <v>33188</v>
      </c>
      <c r="B16440" s="9" t="s">
        <v>33188</v>
      </c>
      <c r="C16440" s="9" t="s">
        <v>66</v>
      </c>
      <c r="D16440" s="9" t="s">
        <v>18</v>
      </c>
      <c r="E16440" s="10" t="s">
        <v>183</v>
      </c>
      <c r="F16440" s="9" t="s">
        <v>184</v>
      </c>
      <c r="G16440" s="10" t="s">
        <v>34</v>
      </c>
      <c r="H16440" s="9" t="s">
        <v>22</v>
      </c>
      <c r="I16440" s="9" t="s">
        <v>33200</v>
      </c>
      <c r="J16440" s="10" t="str">
        <f>HYPERLINK("https://www.boe.es/gazeta/dias/1834/03/18/pdfs/GMD-1834-34.pdf#page=1","Abrir facsímil")</f>
        <v>Abrir facsímil</v>
      </c>
      <c r="K16440" s="10" t="s">
        <v>24</v>
      </c>
    </row>
    <row r="16441" spans="1:11" ht="54" customHeight="1">
      <c r="A16441" s="9" t="s">
        <v>33188</v>
      </c>
      <c r="B16441" s="9" t="s">
        <v>33188</v>
      </c>
      <c r="C16441" s="9" t="s">
        <v>17</v>
      </c>
      <c r="D16441" s="9" t="s">
        <v>18</v>
      </c>
      <c r="E16441" s="10" t="s">
        <v>615</v>
      </c>
      <c r="F16441" s="9" t="s">
        <v>1205</v>
      </c>
      <c r="G16441" s="10" t="s">
        <v>86</v>
      </c>
      <c r="H16441" s="9" t="s">
        <v>22</v>
      </c>
      <c r="I16441" s="9" t="s">
        <v>33201</v>
      </c>
      <c r="J16441" s="10" t="str">
        <f>HYPERLINK("https://www.boe.es/gazeta/dias/1834/08/19/pdfs/GMD-D-1834-185.pdf#page=2","Abrir facsímil")</f>
        <v>Abrir facsímil</v>
      </c>
      <c r="K16441" s="10" t="s">
        <v>24</v>
      </c>
    </row>
    <row r="16442" spans="1:11" ht="54" customHeight="1">
      <c r="A16442" s="9" t="s">
        <v>33188</v>
      </c>
      <c r="B16442" s="9" t="s">
        <v>33188</v>
      </c>
      <c r="C16442" s="9" t="s">
        <v>46</v>
      </c>
      <c r="D16442" s="9" t="s">
        <v>18</v>
      </c>
      <c r="E16442" s="10" t="s">
        <v>268</v>
      </c>
      <c r="F16442" s="9" t="s">
        <v>269</v>
      </c>
      <c r="G16442" s="10" t="s">
        <v>21</v>
      </c>
      <c r="H16442" s="9" t="s">
        <v>22</v>
      </c>
      <c r="I16442" s="9" t="s">
        <v>33202</v>
      </c>
      <c r="J16442" s="10" t="str">
        <f>HYPERLINK("https://www.boe.es/gazeta/dias/1834/12/19/pdfs/GMD-C-1834-309.pdf#page=3","Abrir facsímil")</f>
        <v>Abrir facsímil</v>
      </c>
      <c r="K16442" s="10" t="s">
        <v>24</v>
      </c>
    </row>
    <row r="16443" spans="1:11" ht="54" customHeight="1">
      <c r="A16443" s="9" t="s">
        <v>33188</v>
      </c>
      <c r="B16443" s="9" t="s">
        <v>33188</v>
      </c>
      <c r="C16443" s="9" t="s">
        <v>90</v>
      </c>
      <c r="D16443" s="9" t="s">
        <v>18</v>
      </c>
      <c r="E16443" s="10" t="s">
        <v>268</v>
      </c>
      <c r="F16443" s="9" t="s">
        <v>269</v>
      </c>
      <c r="G16443" s="10" t="s">
        <v>75</v>
      </c>
      <c r="H16443" s="9" t="s">
        <v>22</v>
      </c>
      <c r="I16443" s="9" t="s">
        <v>33203</v>
      </c>
      <c r="J16443" s="10" t="str">
        <f>HYPERLINK("https://www.boe.es/gazeta/dias/1834/12/19/pdfs/GMD-C-1834-309.pdf#page=4","Abrir facsímil")</f>
        <v>Abrir facsímil</v>
      </c>
      <c r="K16443" s="10" t="s">
        <v>24</v>
      </c>
    </row>
    <row r="16444" spans="1:11" ht="54" customHeight="1">
      <c r="A16444" s="9" t="s">
        <v>33188</v>
      </c>
      <c r="B16444" s="9" t="s">
        <v>33188</v>
      </c>
      <c r="C16444" s="9" t="s">
        <v>17</v>
      </c>
      <c r="D16444" s="9" t="s">
        <v>18</v>
      </c>
      <c r="E16444" s="10" t="s">
        <v>268</v>
      </c>
      <c r="F16444" s="9" t="s">
        <v>269</v>
      </c>
      <c r="G16444" s="10" t="s">
        <v>28</v>
      </c>
      <c r="H16444" s="9" t="s">
        <v>22</v>
      </c>
      <c r="I16444" s="9" t="s">
        <v>33204</v>
      </c>
      <c r="J16444" s="10" t="str">
        <f>HYPERLINK("https://www.boe.es/gazeta/dias/1834/12/19/pdfs/GMD-C-1834-309.pdf#page=5","Abrir facsímil")</f>
        <v>Abrir facsímil</v>
      </c>
      <c r="K16444" s="10" t="s">
        <v>24</v>
      </c>
    </row>
    <row r="16445" spans="1:11" ht="54" customHeight="1">
      <c r="A16445" s="9" t="s">
        <v>33188</v>
      </c>
      <c r="B16445" s="9" t="s">
        <v>33188</v>
      </c>
      <c r="C16445" s="9" t="s">
        <v>46</v>
      </c>
      <c r="D16445" s="9" t="s">
        <v>101</v>
      </c>
      <c r="E16445" s="10" t="s">
        <v>702</v>
      </c>
      <c r="F16445" s="9" t="s">
        <v>2427</v>
      </c>
      <c r="G16445" s="10" t="s">
        <v>86</v>
      </c>
      <c r="H16445" s="9" t="s">
        <v>22</v>
      </c>
      <c r="I16445" s="9" t="s">
        <v>33205</v>
      </c>
      <c r="J16445" s="10" t="str">
        <f>HYPERLINK("https://www.boe.es/gazeta/dias/1834/11/22/pdfs/GMD-1834-281.pdf#page=2","Abrir facsímil")</f>
        <v>Abrir facsímil</v>
      </c>
      <c r="K16445" s="10" t="s">
        <v>24</v>
      </c>
    </row>
    <row r="16446" spans="1:11" ht="54" customHeight="1">
      <c r="A16446" s="9" t="s">
        <v>33188</v>
      </c>
      <c r="B16446" s="9" t="s">
        <v>33188</v>
      </c>
      <c r="C16446" s="9" t="s">
        <v>17</v>
      </c>
      <c r="D16446" s="9" t="s">
        <v>18</v>
      </c>
      <c r="E16446" s="10" t="s">
        <v>280</v>
      </c>
      <c r="F16446" s="9" t="s">
        <v>3217</v>
      </c>
      <c r="G16446" s="10" t="s">
        <v>21</v>
      </c>
      <c r="H16446" s="9" t="s">
        <v>22</v>
      </c>
      <c r="I16446" s="9" t="s">
        <v>33206</v>
      </c>
      <c r="J16446" s="10" t="str">
        <f>HYPERLINK("https://www.boe.es/gazeta/dias/1834/08/29/pdfs/GMD-1834-195.pdf#page=3","Abrir facsímil")</f>
        <v>Abrir facsímil</v>
      </c>
      <c r="K16446" s="10" t="s">
        <v>24</v>
      </c>
    </row>
    <row r="16447" spans="1:11" ht="54" customHeight="1">
      <c r="A16447" s="9" t="s">
        <v>33207</v>
      </c>
      <c r="B16447" s="9" t="s">
        <v>33208</v>
      </c>
      <c r="C16447" s="9" t="s">
        <v>66</v>
      </c>
      <c r="D16447" s="9" t="s">
        <v>67</v>
      </c>
      <c r="E16447" s="10" t="s">
        <v>3054</v>
      </c>
      <c r="F16447" s="9" t="s">
        <v>3055</v>
      </c>
      <c r="G16447" s="10" t="s">
        <v>86</v>
      </c>
      <c r="H16447" s="9" t="s">
        <v>35</v>
      </c>
      <c r="I16447" s="9" t="s">
        <v>33209</v>
      </c>
      <c r="J16447" s="10" t="str">
        <f>HYPERLINK("https://www.boe.es/gazeta/dias/1834/10/06/pdfs/GMD-1834-234.pdf#page=2","Abrir facsímil")</f>
        <v>Abrir facsímil</v>
      </c>
      <c r="K16447" s="10" t="s">
        <v>37</v>
      </c>
    </row>
    <row r="16448" spans="1:11" ht="54" customHeight="1">
      <c r="A16448" s="9" t="s">
        <v>33210</v>
      </c>
      <c r="B16448" s="9" t="s">
        <v>33211</v>
      </c>
      <c r="C16448" s="9" t="s">
        <v>66</v>
      </c>
      <c r="D16448" s="9" t="s">
        <v>67</v>
      </c>
      <c r="E16448" s="10" t="s">
        <v>758</v>
      </c>
      <c r="F16448" s="9" t="s">
        <v>759</v>
      </c>
      <c r="G16448" s="10" t="s">
        <v>75</v>
      </c>
      <c r="H16448" s="9" t="s">
        <v>35</v>
      </c>
      <c r="I16448" s="9" t="s">
        <v>33212</v>
      </c>
      <c r="J16448" s="10" t="str">
        <f>HYPERLINK("https://www.boe.es/gazeta/dias/1834/01/04/pdfs/GMD-1834-3.pdf#page=4","Abrir facsímil")</f>
        <v>Abrir facsímil</v>
      </c>
      <c r="K16448" s="10" t="s">
        <v>37</v>
      </c>
    </row>
    <row r="16449" spans="1:11" ht="54" customHeight="1">
      <c r="A16449" s="9" t="s">
        <v>33213</v>
      </c>
      <c r="B16449" s="9" t="s">
        <v>33214</v>
      </c>
      <c r="C16449" s="9" t="s">
        <v>17</v>
      </c>
      <c r="D16449" s="9" t="s">
        <v>18</v>
      </c>
      <c r="E16449" s="10" t="s">
        <v>2087</v>
      </c>
      <c r="F16449" s="9" t="s">
        <v>2267</v>
      </c>
      <c r="G16449" s="10" t="s">
        <v>75</v>
      </c>
      <c r="H16449" s="9" t="s">
        <v>35</v>
      </c>
      <c r="I16449" s="9" t="s">
        <v>33215</v>
      </c>
      <c r="J16449" s="10" t="str">
        <f>HYPERLINK("https://www.boe.es/gazeta/dias/1834/12/14/pdfs/GMD-C-1834-303.pdf#page=4","Abrir facsímil")</f>
        <v>Abrir facsímil</v>
      </c>
      <c r="K16449" s="10" t="s">
        <v>37</v>
      </c>
    </row>
    <row r="16450" spans="1:11" ht="54" customHeight="1">
      <c r="A16450" s="9" t="s">
        <v>33216</v>
      </c>
      <c r="B16450" s="9" t="s">
        <v>33217</v>
      </c>
      <c r="C16450" s="9" t="s">
        <v>17</v>
      </c>
      <c r="D16450" s="9" t="s">
        <v>18</v>
      </c>
      <c r="E16450" s="10" t="s">
        <v>299</v>
      </c>
      <c r="F16450" s="9" t="s">
        <v>2255</v>
      </c>
      <c r="G16450" s="10" t="s">
        <v>75</v>
      </c>
      <c r="H16450" s="9" t="s">
        <v>35</v>
      </c>
      <c r="I16450" s="9" t="s">
        <v>33218</v>
      </c>
      <c r="J16450" s="10" t="str">
        <f>HYPERLINK("https://www.boe.es/gazeta/dias/1834/12/12/pdfs/GMD-C-1834-301.pdf#page=4","Abrir facsímil")</f>
        <v>Abrir facsímil</v>
      </c>
      <c r="K16450" s="10" t="s">
        <v>37</v>
      </c>
    </row>
    <row r="16451" spans="1:11" ht="54" customHeight="1">
      <c r="A16451" s="9" t="s">
        <v>33219</v>
      </c>
      <c r="B16451" s="9" t="s">
        <v>33220</v>
      </c>
      <c r="C16451" s="9" t="s">
        <v>17</v>
      </c>
      <c r="D16451" s="9" t="s">
        <v>18</v>
      </c>
      <c r="E16451" s="10" t="s">
        <v>623</v>
      </c>
      <c r="F16451" s="9" t="s">
        <v>624</v>
      </c>
      <c r="G16451" s="10" t="s">
        <v>34</v>
      </c>
      <c r="H16451" s="9" t="s">
        <v>35</v>
      </c>
      <c r="I16451" s="9" t="s">
        <v>33221</v>
      </c>
      <c r="J16451" s="10" t="str">
        <f>HYPERLINK("https://www.boe.es/gazeta/dias/1834/10/12/pdfs/GMD-D-1834-240.pdf#page=1","Abrir facsímil")</f>
        <v>Abrir facsímil</v>
      </c>
      <c r="K16451" s="10" t="s">
        <v>37</v>
      </c>
    </row>
    <row r="16452" spans="1:11" ht="54" customHeight="1">
      <c r="A16452" s="9" t="s">
        <v>33219</v>
      </c>
      <c r="B16452" s="9" t="s">
        <v>33220</v>
      </c>
      <c r="C16452" s="9" t="s">
        <v>17</v>
      </c>
      <c r="D16452" s="9" t="s">
        <v>18</v>
      </c>
      <c r="E16452" s="10" t="s">
        <v>299</v>
      </c>
      <c r="F16452" s="9" t="s">
        <v>2255</v>
      </c>
      <c r="G16452" s="10" t="s">
        <v>28</v>
      </c>
      <c r="H16452" s="9" t="s">
        <v>35</v>
      </c>
      <c r="I16452" s="9" t="s">
        <v>33222</v>
      </c>
      <c r="J16452" s="10" t="str">
        <f>HYPERLINK("https://www.boe.es/gazeta/dias/1834/12/12/pdfs/GMD-C-1834-301.pdf#page=5","Abrir facsímil")</f>
        <v>Abrir facsímil</v>
      </c>
      <c r="K16452" s="10" t="s">
        <v>37</v>
      </c>
    </row>
    <row r="16453" spans="1:11" ht="54" customHeight="1">
      <c r="A16453" s="9" t="s">
        <v>33219</v>
      </c>
      <c r="B16453" s="9" t="s">
        <v>33220</v>
      </c>
      <c r="C16453" s="9" t="s">
        <v>17</v>
      </c>
      <c r="D16453" s="9" t="s">
        <v>18</v>
      </c>
      <c r="E16453" s="10" t="s">
        <v>268</v>
      </c>
      <c r="F16453" s="9" t="s">
        <v>269</v>
      </c>
      <c r="G16453" s="10" t="s">
        <v>28</v>
      </c>
      <c r="H16453" s="9" t="s">
        <v>35</v>
      </c>
      <c r="I16453" s="9" t="s">
        <v>33204</v>
      </c>
      <c r="J16453" s="10" t="str">
        <f>HYPERLINK("https://www.boe.es/gazeta/dias/1834/12/19/pdfs/GMD-C-1834-309.pdf#page=5","Abrir facsímil")</f>
        <v>Abrir facsímil</v>
      </c>
      <c r="K16453" s="10" t="s">
        <v>37</v>
      </c>
    </row>
    <row r="16454" spans="1:11" ht="54" customHeight="1">
      <c r="A16454" s="9" t="s">
        <v>33223</v>
      </c>
      <c r="B16454" s="9" t="s">
        <v>33224</v>
      </c>
      <c r="C16454" s="9" t="s">
        <v>90</v>
      </c>
      <c r="D16454" s="9" t="s">
        <v>18</v>
      </c>
      <c r="E16454" s="10" t="s">
        <v>299</v>
      </c>
      <c r="F16454" s="9" t="s">
        <v>2255</v>
      </c>
      <c r="G16454" s="10" t="s">
        <v>28</v>
      </c>
      <c r="H16454" s="9" t="s">
        <v>35</v>
      </c>
      <c r="I16454" s="9" t="s">
        <v>33225</v>
      </c>
      <c r="J16454" s="10" t="str">
        <f>HYPERLINK("https://www.boe.es/gazeta/dias/1834/12/12/pdfs/GMD-C-1834-301.pdf#page=5","Abrir facsímil")</f>
        <v>Abrir facsímil</v>
      </c>
      <c r="K16454" s="10" t="s">
        <v>37</v>
      </c>
    </row>
    <row r="16455" spans="1:11" ht="54" customHeight="1">
      <c r="A16455" s="9" t="s">
        <v>33226</v>
      </c>
      <c r="B16455" s="9" t="s">
        <v>33227</v>
      </c>
      <c r="C16455" s="9" t="s">
        <v>122</v>
      </c>
      <c r="D16455" s="9" t="s">
        <v>18</v>
      </c>
      <c r="E16455" s="10" t="s">
        <v>2748</v>
      </c>
      <c r="F16455" s="9" t="s">
        <v>2749</v>
      </c>
      <c r="G16455" s="10" t="s">
        <v>75</v>
      </c>
      <c r="H16455" s="9" t="s">
        <v>35</v>
      </c>
      <c r="I16455" s="9" t="s">
        <v>33228</v>
      </c>
      <c r="J16455" s="10" t="str">
        <f>HYPERLINK("https://www.boe.es/gazeta/dias/1834/01/09/pdfs/GMD-1834-5.pdf#page=4","Abrir facsímil")</f>
        <v>Abrir facsímil</v>
      </c>
      <c r="K16455" s="10" t="s">
        <v>37</v>
      </c>
    </row>
    <row r="16456" spans="1:11" ht="54" customHeight="1">
      <c r="A16456" s="9" t="s">
        <v>33229</v>
      </c>
      <c r="B16456" s="9" t="s">
        <v>33229</v>
      </c>
      <c r="C16456" s="9" t="s">
        <v>17</v>
      </c>
      <c r="D16456" s="9" t="s">
        <v>18</v>
      </c>
      <c r="E16456" s="10" t="s">
        <v>808</v>
      </c>
      <c r="F16456" s="9" t="s">
        <v>809</v>
      </c>
      <c r="G16456" s="10" t="s">
        <v>21</v>
      </c>
      <c r="H16456" s="9" t="s">
        <v>22</v>
      </c>
      <c r="I16456" s="9" t="s">
        <v>33230</v>
      </c>
      <c r="J16456" s="10" t="str">
        <f>HYPERLINK("https://www.boe.es/gazeta/dias/1834/10/11/pdfs/GMD-1834-239.pdf#page=3","Abrir facsímil")</f>
        <v>Abrir facsímil</v>
      </c>
      <c r="K16456" s="10" t="s">
        <v>24</v>
      </c>
    </row>
    <row r="16457" spans="1:11" ht="54" customHeight="1">
      <c r="A16457" s="9" t="s">
        <v>33229</v>
      </c>
      <c r="B16457" s="9" t="s">
        <v>33229</v>
      </c>
      <c r="C16457" s="9" t="s">
        <v>857</v>
      </c>
      <c r="D16457" s="9" t="s">
        <v>18</v>
      </c>
      <c r="E16457" s="10" t="s">
        <v>1394</v>
      </c>
      <c r="F16457" s="9" t="s">
        <v>1395</v>
      </c>
      <c r="G16457" s="10" t="s">
        <v>21</v>
      </c>
      <c r="H16457" s="9" t="s">
        <v>22</v>
      </c>
      <c r="I16457" s="9" t="s">
        <v>33231</v>
      </c>
      <c r="J16457" s="10" t="str">
        <f>HYPERLINK("https://www.boe.es/gazeta/dias/1834/04/16/pdfs/GMD-1834-55.pdf#page=3","Abrir facsímil")</f>
        <v>Abrir facsímil</v>
      </c>
      <c r="K16457" s="10" t="s">
        <v>24</v>
      </c>
    </row>
    <row r="16458" spans="1:11" ht="54" customHeight="1">
      <c r="A16458" s="9" t="s">
        <v>33229</v>
      </c>
      <c r="B16458" s="9" t="s">
        <v>33229</v>
      </c>
      <c r="C16458" s="9" t="s">
        <v>90</v>
      </c>
      <c r="D16458" s="9" t="s">
        <v>67</v>
      </c>
      <c r="E16458" s="10" t="s">
        <v>4169</v>
      </c>
      <c r="F16458" s="9" t="s">
        <v>4170</v>
      </c>
      <c r="G16458" s="10" t="s">
        <v>86</v>
      </c>
      <c r="H16458" s="9" t="s">
        <v>22</v>
      </c>
      <c r="I16458" s="9" t="s">
        <v>33232</v>
      </c>
      <c r="J16458" s="10" t="str">
        <f>HYPERLINK("https://www.boe.es/gazeta/dias/1834/11/20/pdfs/GMD-1834-279.pdf#page=2","Abrir facsímil")</f>
        <v>Abrir facsímil</v>
      </c>
      <c r="K16458" s="10" t="s">
        <v>24</v>
      </c>
    </row>
    <row r="16459" spans="1:11" ht="54" customHeight="1">
      <c r="A16459" s="9" t="s">
        <v>33229</v>
      </c>
      <c r="B16459" s="9" t="s">
        <v>33229</v>
      </c>
      <c r="C16459" s="9" t="s">
        <v>46</v>
      </c>
      <c r="D16459" s="9" t="s">
        <v>55</v>
      </c>
      <c r="E16459" s="10" t="s">
        <v>667</v>
      </c>
      <c r="F16459" s="9" t="s">
        <v>3347</v>
      </c>
      <c r="G16459" s="10" t="s">
        <v>86</v>
      </c>
      <c r="H16459" s="9" t="s">
        <v>22</v>
      </c>
      <c r="I16459" s="9" t="s">
        <v>33233</v>
      </c>
      <c r="J16459" s="10" t="str">
        <f>HYPERLINK("https://www.boe.es/gazeta/dias/1834/11/23/pdfs/GMD-1834-282.pdf#page=2","Abrir facsímil")</f>
        <v>Abrir facsímil</v>
      </c>
      <c r="K16459" s="10" t="s">
        <v>24</v>
      </c>
    </row>
    <row r="16460" spans="1:11" ht="54" customHeight="1">
      <c r="A16460" s="9" t="s">
        <v>33234</v>
      </c>
      <c r="B16460" s="9" t="s">
        <v>33235</v>
      </c>
      <c r="C16460" s="9" t="s">
        <v>90</v>
      </c>
      <c r="D16460" s="9" t="s">
        <v>18</v>
      </c>
      <c r="E16460" s="10" t="s">
        <v>394</v>
      </c>
      <c r="F16460" s="9" t="s">
        <v>459</v>
      </c>
      <c r="G16460" s="10" t="s">
        <v>34</v>
      </c>
      <c r="H16460" s="9" t="s">
        <v>22</v>
      </c>
      <c r="I16460" s="9" t="s">
        <v>33236</v>
      </c>
      <c r="J16460" s="10" t="str">
        <f>HYPERLINK("https://www.boe.es/gazeta/dias/1834/12/23/pdfs/GMD-C-1834-313.pdf#page=1","Abrir facsímil")</f>
        <v>Abrir facsímil</v>
      </c>
      <c r="K16460" s="10" t="s">
        <v>24</v>
      </c>
    </row>
    <row r="16461" spans="1:11" ht="54" customHeight="1">
      <c r="A16461" s="9" t="s">
        <v>33237</v>
      </c>
      <c r="B16461" s="9" t="s">
        <v>33238</v>
      </c>
      <c r="C16461" s="9" t="s">
        <v>90</v>
      </c>
      <c r="D16461" s="9" t="s">
        <v>18</v>
      </c>
      <c r="E16461" s="10" t="s">
        <v>394</v>
      </c>
      <c r="F16461" s="9" t="s">
        <v>459</v>
      </c>
      <c r="G16461" s="10" t="s">
        <v>34</v>
      </c>
      <c r="H16461" s="9" t="s">
        <v>22</v>
      </c>
      <c r="I16461" s="9" t="s">
        <v>33239</v>
      </c>
      <c r="J16461" s="10" t="str">
        <f>HYPERLINK("https://www.boe.es/gazeta/dias/1834/12/23/pdfs/GMD-C-1834-313.pdf#page=1","Abrir facsímil")</f>
        <v>Abrir facsímil</v>
      </c>
      <c r="K16461" s="10" t="s">
        <v>24</v>
      </c>
    </row>
    <row r="16462" spans="1:11" ht="54" customHeight="1">
      <c r="A16462" s="9" t="s">
        <v>33240</v>
      </c>
      <c r="B16462" s="9" t="s">
        <v>33240</v>
      </c>
      <c r="C16462" s="9" t="s">
        <v>122</v>
      </c>
      <c r="D16462" s="9" t="s">
        <v>18</v>
      </c>
      <c r="E16462" s="10" t="s">
        <v>2860</v>
      </c>
      <c r="F16462" s="9" t="s">
        <v>2861</v>
      </c>
      <c r="G16462" s="10" t="s">
        <v>86</v>
      </c>
      <c r="H16462" s="9" t="s">
        <v>22</v>
      </c>
      <c r="I16462" s="9" t="s">
        <v>33241</v>
      </c>
      <c r="J16462" s="10" t="str">
        <f>HYPERLINK("https://www.boe.es/gazeta/dias/1834/07/20/pdfs/GMD-1834-153.pdf#page=2","Abrir facsímil")</f>
        <v>Abrir facsímil</v>
      </c>
      <c r="K16462" s="10" t="s">
        <v>24</v>
      </c>
    </row>
    <row r="16463" spans="1:11" ht="54" customHeight="1">
      <c r="A16463" s="9" t="s">
        <v>33242</v>
      </c>
      <c r="B16463" s="9" t="s">
        <v>33242</v>
      </c>
      <c r="C16463" s="9" t="s">
        <v>46</v>
      </c>
      <c r="D16463" s="9" t="s">
        <v>55</v>
      </c>
      <c r="E16463" s="10" t="s">
        <v>378</v>
      </c>
      <c r="F16463" s="9" t="s">
        <v>379</v>
      </c>
      <c r="G16463" s="10" t="s">
        <v>86</v>
      </c>
      <c r="H16463" s="9" t="s">
        <v>22</v>
      </c>
      <c r="I16463" s="9" t="s">
        <v>33243</v>
      </c>
      <c r="J16463" s="10" t="str">
        <f>HYPERLINK("https://www.boe.es/gazeta/dias/1834/09/24/pdfs/GMD-1834-222.pdf#page=2","Abrir facsímil")</f>
        <v>Abrir facsímil</v>
      </c>
      <c r="K16463" s="10" t="s">
        <v>24</v>
      </c>
    </row>
    <row r="16464" spans="1:11" ht="54" customHeight="1">
      <c r="A16464" s="9" t="s">
        <v>33244</v>
      </c>
      <c r="B16464" s="9" t="s">
        <v>33244</v>
      </c>
      <c r="C16464" s="9" t="s">
        <v>17</v>
      </c>
      <c r="D16464" s="9" t="s">
        <v>18</v>
      </c>
      <c r="E16464" s="10" t="s">
        <v>200</v>
      </c>
      <c r="F16464" s="9" t="s">
        <v>2248</v>
      </c>
      <c r="G16464" s="10" t="s">
        <v>75</v>
      </c>
      <c r="H16464" s="9" t="s">
        <v>22</v>
      </c>
      <c r="I16464" s="9" t="s">
        <v>33245</v>
      </c>
      <c r="J16464" s="10" t="str">
        <f>HYPERLINK("https://www.boe.es/gazeta/dias/1834/12/11/pdfs/GMD-C-1834-300.pdf#page=4","Abrir facsímil")</f>
        <v>Abrir facsímil</v>
      </c>
      <c r="K16464" s="10" t="s">
        <v>24</v>
      </c>
    </row>
    <row r="16465" spans="1:11" ht="54" customHeight="1">
      <c r="A16465" s="9" t="s">
        <v>33246</v>
      </c>
      <c r="B16465" s="9" t="s">
        <v>33246</v>
      </c>
      <c r="C16465" s="9" t="s">
        <v>17</v>
      </c>
      <c r="D16465" s="9" t="s">
        <v>18</v>
      </c>
      <c r="E16465" s="10" t="s">
        <v>416</v>
      </c>
      <c r="F16465" s="9" t="s">
        <v>417</v>
      </c>
      <c r="G16465" s="10" t="s">
        <v>21</v>
      </c>
      <c r="H16465" s="9" t="s">
        <v>22</v>
      </c>
      <c r="I16465" s="9" t="s">
        <v>33247</v>
      </c>
      <c r="J16465" s="10" t="str">
        <f>HYPERLINK("https://www.boe.es/gazeta/dias/1834/10/02/pdfs/GMD-C-1834-230.pdf#page=3","Abrir facsímil")</f>
        <v>Abrir facsímil</v>
      </c>
      <c r="K16465" s="10" t="s">
        <v>24</v>
      </c>
    </row>
    <row r="16466" spans="1:11" ht="54" customHeight="1">
      <c r="A16466" s="9" t="s">
        <v>33246</v>
      </c>
      <c r="B16466" s="9" t="s">
        <v>33246</v>
      </c>
      <c r="C16466" s="9" t="s">
        <v>122</v>
      </c>
      <c r="D16466" s="9" t="s">
        <v>18</v>
      </c>
      <c r="E16466" s="10" t="s">
        <v>506</v>
      </c>
      <c r="F16466" s="9" t="s">
        <v>507</v>
      </c>
      <c r="G16466" s="10" t="s">
        <v>21</v>
      </c>
      <c r="H16466" s="9" t="s">
        <v>22</v>
      </c>
      <c r="I16466" s="9" t="s">
        <v>33248</v>
      </c>
      <c r="J16466" s="10" t="str">
        <f>HYPERLINK("https://www.boe.es/gazeta/dias/1834/03/04/pdfs/GMD-1834-28.pdf#page=3","Abrir facsímil")</f>
        <v>Abrir facsímil</v>
      </c>
      <c r="K16466" s="10" t="s">
        <v>24</v>
      </c>
    </row>
    <row r="16467" spans="1:11" ht="54" customHeight="1">
      <c r="A16467" s="9" t="s">
        <v>33246</v>
      </c>
      <c r="B16467" s="9" t="s">
        <v>33246</v>
      </c>
      <c r="C16467" s="9" t="s">
        <v>17</v>
      </c>
      <c r="D16467" s="9" t="s">
        <v>18</v>
      </c>
      <c r="E16467" s="10" t="s">
        <v>1008</v>
      </c>
      <c r="F16467" s="9" t="s">
        <v>1009</v>
      </c>
      <c r="G16467" s="10" t="s">
        <v>75</v>
      </c>
      <c r="H16467" s="9" t="s">
        <v>22</v>
      </c>
      <c r="I16467" s="9" t="s">
        <v>33249</v>
      </c>
      <c r="J16467" s="10" t="str">
        <f>HYPERLINK("https://www.boe.es/gazeta/dias/1834/11/08/pdfs/GMD-C-1834-267.pdf#page=4","Abrir facsímil")</f>
        <v>Abrir facsímil</v>
      </c>
      <c r="K16467" s="10" t="s">
        <v>24</v>
      </c>
    </row>
    <row r="16468" spans="1:11" ht="54" customHeight="1">
      <c r="A16468" s="9" t="s">
        <v>33246</v>
      </c>
      <c r="B16468" s="9" t="s">
        <v>33246</v>
      </c>
      <c r="C16468" s="9" t="s">
        <v>66</v>
      </c>
      <c r="D16468" s="9" t="s">
        <v>101</v>
      </c>
      <c r="E16468" s="10" t="s">
        <v>4565</v>
      </c>
      <c r="F16468" s="9" t="s">
        <v>4566</v>
      </c>
      <c r="G16468" s="10" t="s">
        <v>34</v>
      </c>
      <c r="H16468" s="9" t="s">
        <v>22</v>
      </c>
      <c r="I16468" s="9" t="s">
        <v>33250</v>
      </c>
      <c r="J16468" s="10" t="str">
        <f>HYPERLINK("https://www.boe.es/gazeta/dias/1834/07/10/pdfs/GMD-1834-143.pdf#page=1","Abrir facsímil")</f>
        <v>Abrir facsímil</v>
      </c>
      <c r="K16468" s="10" t="s">
        <v>24</v>
      </c>
    </row>
    <row r="16469" spans="1:11" ht="54" customHeight="1">
      <c r="A16469" s="9" t="s">
        <v>33246</v>
      </c>
      <c r="B16469" s="9" t="s">
        <v>33246</v>
      </c>
      <c r="C16469" s="9" t="s">
        <v>66</v>
      </c>
      <c r="D16469" s="9" t="s">
        <v>67</v>
      </c>
      <c r="E16469" s="10" t="s">
        <v>1103</v>
      </c>
      <c r="F16469" s="9" t="s">
        <v>1104</v>
      </c>
      <c r="G16469" s="10" t="s">
        <v>75</v>
      </c>
      <c r="H16469" s="9" t="s">
        <v>22</v>
      </c>
      <c r="I16469" s="9" t="s">
        <v>33251</v>
      </c>
      <c r="J16469" s="10" t="str">
        <f>HYPERLINK("https://www.boe.es/gazeta/dias/1834/10/10/pdfs/GMD-C-1834-238.pdf#page=4","Abrir facsímil")</f>
        <v>Abrir facsímil</v>
      </c>
      <c r="K16469" s="10" t="s">
        <v>24</v>
      </c>
    </row>
    <row r="16470" spans="1:11" ht="54" customHeight="1">
      <c r="A16470" s="9" t="s">
        <v>33246</v>
      </c>
      <c r="B16470" s="9" t="s">
        <v>33246</v>
      </c>
      <c r="C16470" s="9" t="s">
        <v>17</v>
      </c>
      <c r="D16470" s="9" t="s">
        <v>18</v>
      </c>
      <c r="E16470" s="10" t="s">
        <v>1883</v>
      </c>
      <c r="F16470" s="9" t="s">
        <v>1884</v>
      </c>
      <c r="G16470" s="10" t="s">
        <v>34</v>
      </c>
      <c r="H16470" s="9" t="s">
        <v>22</v>
      </c>
      <c r="I16470" s="9" t="s">
        <v>33252</v>
      </c>
      <c r="J16470" s="10" t="str">
        <f>HYPERLINK("https://www.boe.es/gazeta/dias/1834/01/11/pdfs/GMD-1834-6.pdf#page=1","Abrir facsímil")</f>
        <v>Abrir facsímil</v>
      </c>
      <c r="K16470" s="10" t="s">
        <v>24</v>
      </c>
    </row>
    <row r="16471" spans="1:11" ht="54" customHeight="1">
      <c r="A16471" s="9" t="s">
        <v>33246</v>
      </c>
      <c r="B16471" s="9" t="s">
        <v>33246</v>
      </c>
      <c r="C16471" s="9" t="s">
        <v>17</v>
      </c>
      <c r="D16471" s="9" t="s">
        <v>55</v>
      </c>
      <c r="E16471" s="10" t="s">
        <v>808</v>
      </c>
      <c r="F16471" s="9" t="s">
        <v>809</v>
      </c>
      <c r="G16471" s="10" t="s">
        <v>75</v>
      </c>
      <c r="H16471" s="9" t="s">
        <v>22</v>
      </c>
      <c r="I16471" s="9" t="s">
        <v>33253</v>
      </c>
      <c r="J16471" s="10" t="str">
        <f>HYPERLINK("https://www.boe.es/gazeta/dias/1834/10/11/pdfs/GMD-1834-239.pdf#page=4","Abrir facsímil")</f>
        <v>Abrir facsímil</v>
      </c>
      <c r="K16471" s="10" t="s">
        <v>24</v>
      </c>
    </row>
    <row r="16472" spans="1:11" ht="54" customHeight="1">
      <c r="A16472" s="9" t="s">
        <v>33246</v>
      </c>
      <c r="B16472" s="9" t="s">
        <v>33246</v>
      </c>
      <c r="C16472" s="9" t="s">
        <v>17</v>
      </c>
      <c r="D16472" s="9" t="s">
        <v>18</v>
      </c>
      <c r="E16472" s="10" t="s">
        <v>623</v>
      </c>
      <c r="F16472" s="9" t="s">
        <v>624</v>
      </c>
      <c r="G16472" s="10" t="s">
        <v>21</v>
      </c>
      <c r="H16472" s="9" t="s">
        <v>22</v>
      </c>
      <c r="I16472" s="9" t="s">
        <v>33254</v>
      </c>
      <c r="J16472" s="10" t="str">
        <f>HYPERLINK("https://www.boe.es/gazeta/dias/1834/10/12/pdfs/GMD-D-1834-240.pdf#page=3","Abrir facsímil")</f>
        <v>Abrir facsímil</v>
      </c>
      <c r="K16472" s="10" t="s">
        <v>24</v>
      </c>
    </row>
    <row r="16473" spans="1:11" ht="54" customHeight="1">
      <c r="A16473" s="9" t="s">
        <v>33246</v>
      </c>
      <c r="B16473" s="9" t="s">
        <v>33246</v>
      </c>
      <c r="C16473" s="9" t="s">
        <v>17</v>
      </c>
      <c r="D16473" s="9" t="s">
        <v>18</v>
      </c>
      <c r="E16473" s="10" t="s">
        <v>299</v>
      </c>
      <c r="F16473" s="9" t="s">
        <v>2255</v>
      </c>
      <c r="G16473" s="10" t="s">
        <v>21</v>
      </c>
      <c r="H16473" s="9" t="s">
        <v>22</v>
      </c>
      <c r="I16473" s="9" t="s">
        <v>33255</v>
      </c>
      <c r="J16473" s="10" t="str">
        <f>HYPERLINK("https://www.boe.es/gazeta/dias/1834/12/12/pdfs/GMD-C-1834-301.pdf#page=3","Abrir facsímil")</f>
        <v>Abrir facsímil</v>
      </c>
      <c r="K16473" s="10" t="s">
        <v>24</v>
      </c>
    </row>
    <row r="16474" spans="1:11" ht="54" customHeight="1">
      <c r="A16474" s="9" t="s">
        <v>33246</v>
      </c>
      <c r="B16474" s="9" t="s">
        <v>33246</v>
      </c>
      <c r="C16474" s="9" t="s">
        <v>66</v>
      </c>
      <c r="D16474" s="9" t="s">
        <v>18</v>
      </c>
      <c r="E16474" s="10" t="s">
        <v>838</v>
      </c>
      <c r="F16474" s="9" t="s">
        <v>839</v>
      </c>
      <c r="G16474" s="10" t="s">
        <v>34</v>
      </c>
      <c r="H16474" s="9" t="s">
        <v>22</v>
      </c>
      <c r="I16474" s="9" t="s">
        <v>33256</v>
      </c>
      <c r="J16474" s="10" t="str">
        <f>HYPERLINK("https://www.boe.es/gazeta/dias/1834/07/18/pdfs/GMD-1834-151.pdf#page=1","Abrir facsímil")</f>
        <v>Abrir facsímil</v>
      </c>
      <c r="K16474" s="10" t="s">
        <v>24</v>
      </c>
    </row>
    <row r="16475" spans="1:11" ht="54" customHeight="1">
      <c r="A16475" s="9" t="s">
        <v>33246</v>
      </c>
      <c r="B16475" s="9" t="s">
        <v>33246</v>
      </c>
      <c r="C16475" s="9" t="s">
        <v>17</v>
      </c>
      <c r="D16475" s="9" t="s">
        <v>18</v>
      </c>
      <c r="E16475" s="10" t="s">
        <v>610</v>
      </c>
      <c r="F16475" s="9" t="s">
        <v>611</v>
      </c>
      <c r="G16475" s="10" t="s">
        <v>75</v>
      </c>
      <c r="H16475" s="9" t="s">
        <v>22</v>
      </c>
      <c r="I16475" s="9" t="s">
        <v>33257</v>
      </c>
      <c r="J16475" s="10" t="str">
        <f>HYPERLINK("https://www.boe.es/gazeta/dias/1834/12/21/pdfs/GMD-C-1834-311.pdf#page=4","Abrir facsímil")</f>
        <v>Abrir facsímil</v>
      </c>
      <c r="K16475" s="10" t="s">
        <v>24</v>
      </c>
    </row>
    <row r="16476" spans="1:11" ht="54" customHeight="1">
      <c r="A16476" s="9" t="s">
        <v>33246</v>
      </c>
      <c r="B16476" s="9" t="s">
        <v>33246</v>
      </c>
      <c r="C16476" s="9" t="s">
        <v>46</v>
      </c>
      <c r="D16476" s="9" t="s">
        <v>101</v>
      </c>
      <c r="E16476" s="10" t="s">
        <v>610</v>
      </c>
      <c r="F16476" s="9" t="s">
        <v>611</v>
      </c>
      <c r="G16476" s="10" t="s">
        <v>28</v>
      </c>
      <c r="H16476" s="9" t="s">
        <v>22</v>
      </c>
      <c r="I16476" s="9" t="s">
        <v>33258</v>
      </c>
      <c r="J16476" s="10" t="str">
        <f>HYPERLINK("https://www.boe.es/gazeta/dias/1834/12/21/pdfs/GMD-C-1834-311.pdf#page=5","Abrir facsímil")</f>
        <v>Abrir facsímil</v>
      </c>
      <c r="K16476" s="10" t="s">
        <v>24</v>
      </c>
    </row>
    <row r="16477" spans="1:11" ht="54" customHeight="1">
      <c r="A16477" s="9" t="s">
        <v>33246</v>
      </c>
      <c r="B16477" s="9" t="s">
        <v>33246</v>
      </c>
      <c r="C16477" s="9" t="s">
        <v>66</v>
      </c>
      <c r="D16477" s="9" t="s">
        <v>18</v>
      </c>
      <c r="E16477" s="10" t="s">
        <v>1323</v>
      </c>
      <c r="F16477" s="9" t="s">
        <v>1324</v>
      </c>
      <c r="G16477" s="10" t="s">
        <v>75</v>
      </c>
      <c r="H16477" s="9" t="s">
        <v>22</v>
      </c>
      <c r="I16477" s="9" t="s">
        <v>33259</v>
      </c>
      <c r="J16477" s="10" t="str">
        <f>HYPERLINK("https://www.boe.es/gazeta/dias/1834/05/22/pdfs/GMD-1834-91.pdf#page=4","Abrir facsímil")</f>
        <v>Abrir facsímil</v>
      </c>
      <c r="K16477" s="10" t="s">
        <v>24</v>
      </c>
    </row>
    <row r="16478" spans="1:11" ht="54" customHeight="1">
      <c r="A16478" s="9" t="s">
        <v>33246</v>
      </c>
      <c r="B16478" s="9" t="s">
        <v>33246</v>
      </c>
      <c r="C16478" s="9" t="s">
        <v>90</v>
      </c>
      <c r="D16478" s="9" t="s">
        <v>18</v>
      </c>
      <c r="E16478" s="10" t="s">
        <v>702</v>
      </c>
      <c r="F16478" s="9" t="s">
        <v>703</v>
      </c>
      <c r="G16478" s="10" t="s">
        <v>86</v>
      </c>
      <c r="H16478" s="9" t="s">
        <v>22</v>
      </c>
      <c r="I16478" s="9" t="s">
        <v>33260</v>
      </c>
      <c r="J16478" s="10" t="str">
        <f>HYPERLINK("https://www.boe.es/gazeta/dias/1834/11/22/pdfs/GMD-C-1834-281.pdf#page=2","Abrir facsímil")</f>
        <v>Abrir facsímil</v>
      </c>
      <c r="K16478" s="10" t="s">
        <v>24</v>
      </c>
    </row>
    <row r="16479" spans="1:11" ht="54" customHeight="1">
      <c r="A16479" s="9" t="s">
        <v>33246</v>
      </c>
      <c r="B16479" s="9" t="s">
        <v>33246</v>
      </c>
      <c r="C16479" s="9" t="s">
        <v>17</v>
      </c>
      <c r="D16479" s="9" t="s">
        <v>18</v>
      </c>
      <c r="E16479" s="10" t="s">
        <v>1641</v>
      </c>
      <c r="F16479" s="9" t="s">
        <v>1642</v>
      </c>
      <c r="G16479" s="10" t="s">
        <v>34</v>
      </c>
      <c r="H16479" s="9" t="s">
        <v>22</v>
      </c>
      <c r="I16479" s="9" t="s">
        <v>33261</v>
      </c>
      <c r="J16479" s="10" t="str">
        <f>HYPERLINK("https://www.boe.es/gazeta/dias/1834/09/28/pdfs/GMD-C-1834-226.pdf#page=1","Abrir facsímil")</f>
        <v>Abrir facsímil</v>
      </c>
      <c r="K16479" s="10" t="s">
        <v>24</v>
      </c>
    </row>
    <row r="16480" spans="1:11" ht="54" customHeight="1">
      <c r="A16480" s="9" t="s">
        <v>33246</v>
      </c>
      <c r="B16480" s="9" t="s">
        <v>33246</v>
      </c>
      <c r="C16480" s="9" t="s">
        <v>66</v>
      </c>
      <c r="D16480" s="9" t="s">
        <v>67</v>
      </c>
      <c r="E16480" s="10" t="s">
        <v>899</v>
      </c>
      <c r="F16480" s="9" t="s">
        <v>900</v>
      </c>
      <c r="G16480" s="10" t="s">
        <v>560</v>
      </c>
      <c r="H16480" s="9" t="s">
        <v>22</v>
      </c>
      <c r="I16480" s="9" t="s">
        <v>33262</v>
      </c>
      <c r="J16480" s="10" t="str">
        <f>HYPERLINK("https://www.boe.es/gazeta/dias/1834/01/30/pdfs/GMD-1834-14.pdf#page=7","Abrir facsímil")</f>
        <v>Abrir facsímil</v>
      </c>
      <c r="K16480" s="10" t="s">
        <v>24</v>
      </c>
    </row>
    <row r="16481" spans="1:11" ht="54" customHeight="1">
      <c r="A16481" s="9" t="s">
        <v>33263</v>
      </c>
      <c r="B16481" s="9" t="s">
        <v>33263</v>
      </c>
      <c r="C16481" s="9" t="s">
        <v>17</v>
      </c>
      <c r="D16481" s="9" t="s">
        <v>18</v>
      </c>
      <c r="E16481" s="10" t="s">
        <v>3036</v>
      </c>
      <c r="F16481" s="9" t="s">
        <v>3037</v>
      </c>
      <c r="G16481" s="10" t="s">
        <v>28</v>
      </c>
      <c r="H16481" s="9" t="s">
        <v>22</v>
      </c>
      <c r="I16481" s="9" t="s">
        <v>33264</v>
      </c>
      <c r="J16481" s="10" t="str">
        <f>HYPERLINK("https://www.boe.es/gazeta/dias/1834/11/18/pdfs/GMD-C-1834-277.pdf#page=5","Abrir facsímil")</f>
        <v>Abrir facsímil</v>
      </c>
      <c r="K16481" s="10" t="s">
        <v>24</v>
      </c>
    </row>
    <row r="16482" spans="1:11" ht="54" customHeight="1">
      <c r="A16482" s="9" t="s">
        <v>33265</v>
      </c>
      <c r="B16482" s="9" t="s">
        <v>33266</v>
      </c>
      <c r="C16482" s="9" t="s">
        <v>17</v>
      </c>
      <c r="D16482" s="9" t="s">
        <v>55</v>
      </c>
      <c r="E16482" s="10" t="s">
        <v>808</v>
      </c>
      <c r="F16482" s="9" t="s">
        <v>809</v>
      </c>
      <c r="G16482" s="10" t="s">
        <v>75</v>
      </c>
      <c r="H16482" s="9" t="s">
        <v>22</v>
      </c>
      <c r="I16482" s="9" t="s">
        <v>33267</v>
      </c>
      <c r="J16482" s="10" t="str">
        <f>HYPERLINK("https://www.boe.es/gazeta/dias/1834/10/11/pdfs/GMD-1834-239.pdf#page=4","Abrir facsímil")</f>
        <v>Abrir facsímil</v>
      </c>
      <c r="K16482" s="10" t="s">
        <v>24</v>
      </c>
    </row>
    <row r="16483" spans="1:11" ht="54" customHeight="1">
      <c r="A16483" s="9" t="s">
        <v>33268</v>
      </c>
      <c r="B16483" s="9" t="s">
        <v>33269</v>
      </c>
      <c r="C16483" s="9" t="s">
        <v>66</v>
      </c>
      <c r="D16483" s="9" t="s">
        <v>67</v>
      </c>
      <c r="E16483" s="10" t="s">
        <v>899</v>
      </c>
      <c r="F16483" s="9" t="s">
        <v>900</v>
      </c>
      <c r="G16483" s="10" t="s">
        <v>560</v>
      </c>
      <c r="H16483" s="9" t="s">
        <v>22</v>
      </c>
      <c r="I16483" s="9" t="s">
        <v>33270</v>
      </c>
      <c r="J16483" s="10" t="str">
        <f>HYPERLINK("https://www.boe.es/gazeta/dias/1834/01/30/pdfs/GMD-1834-14.pdf#page=7","Abrir facsímil")</f>
        <v>Abrir facsímil</v>
      </c>
      <c r="K16483" s="10" t="s">
        <v>24</v>
      </c>
    </row>
    <row r="16484" spans="1:11" ht="54" customHeight="1">
      <c r="A16484" s="9" t="s">
        <v>33271</v>
      </c>
      <c r="B16484" s="9" t="s">
        <v>33271</v>
      </c>
      <c r="C16484" s="9" t="s">
        <v>46</v>
      </c>
      <c r="D16484" s="9" t="s">
        <v>101</v>
      </c>
      <c r="E16484" s="10" t="s">
        <v>364</v>
      </c>
      <c r="F16484" s="9" t="s">
        <v>365</v>
      </c>
      <c r="G16484" s="10" t="s">
        <v>75</v>
      </c>
      <c r="H16484" s="9" t="s">
        <v>22</v>
      </c>
      <c r="I16484" s="9" t="s">
        <v>33272</v>
      </c>
      <c r="J16484" s="10" t="str">
        <f>HYPERLINK("https://www.boe.es/gazeta/dias/1834/09/06/pdfs/GMD-C-1834-204.pdf#page=4","Abrir facsímil")</f>
        <v>Abrir facsímil</v>
      </c>
      <c r="K16484" s="10" t="s">
        <v>24</v>
      </c>
    </row>
    <row r="16485" spans="1:11" ht="54" customHeight="1">
      <c r="A16485" s="9" t="s">
        <v>33273</v>
      </c>
      <c r="B16485" s="9" t="s">
        <v>33273</v>
      </c>
      <c r="C16485" s="9" t="s">
        <v>17</v>
      </c>
      <c r="D16485" s="9" t="s">
        <v>55</v>
      </c>
      <c r="E16485" s="10" t="s">
        <v>299</v>
      </c>
      <c r="F16485" s="9" t="s">
        <v>2255</v>
      </c>
      <c r="G16485" s="10" t="s">
        <v>34</v>
      </c>
      <c r="H16485" s="9" t="s">
        <v>22</v>
      </c>
      <c r="I16485" s="9" t="s">
        <v>33274</v>
      </c>
      <c r="J16485" s="10" t="str">
        <f>HYPERLINK("https://www.boe.es/gazeta/dias/1834/12/12/pdfs/GMD-C-1834-301.pdf#page=1","Abrir facsímil")</f>
        <v>Abrir facsímil</v>
      </c>
      <c r="K16485" s="10" t="s">
        <v>24</v>
      </c>
    </row>
    <row r="16486" spans="1:11" ht="54" customHeight="1">
      <c r="A16486" s="9" t="s">
        <v>33275</v>
      </c>
      <c r="B16486" s="9" t="s">
        <v>33275</v>
      </c>
      <c r="C16486" s="9" t="s">
        <v>17</v>
      </c>
      <c r="D16486" s="9" t="s">
        <v>18</v>
      </c>
      <c r="E16486" s="10" t="s">
        <v>772</v>
      </c>
      <c r="F16486" s="9" t="s">
        <v>773</v>
      </c>
      <c r="G16486" s="10" t="s">
        <v>75</v>
      </c>
      <c r="H16486" s="9" t="s">
        <v>22</v>
      </c>
      <c r="I16486" s="9" t="s">
        <v>33276</v>
      </c>
      <c r="J16486" s="10" t="str">
        <f>HYPERLINK("https://www.boe.es/gazeta/dias/1834/09/18/pdfs/GMD-1834-216.pdf#page=4","Abrir facsímil")</f>
        <v>Abrir facsímil</v>
      </c>
      <c r="K16486" s="10" t="s">
        <v>24</v>
      </c>
    </row>
    <row r="16487" spans="1:11" ht="54" customHeight="1">
      <c r="A16487" s="9" t="s">
        <v>33275</v>
      </c>
      <c r="B16487" s="9" t="s">
        <v>33275</v>
      </c>
      <c r="C16487" s="9" t="s">
        <v>17</v>
      </c>
      <c r="D16487" s="9" t="s">
        <v>18</v>
      </c>
      <c r="E16487" s="10" t="s">
        <v>280</v>
      </c>
      <c r="F16487" s="9" t="s">
        <v>281</v>
      </c>
      <c r="G16487" s="10" t="s">
        <v>560</v>
      </c>
      <c r="H16487" s="9" t="s">
        <v>22</v>
      </c>
      <c r="I16487" s="9" t="s">
        <v>33277</v>
      </c>
      <c r="J16487" s="10" t="str">
        <f>HYPERLINK("https://www.boe.es/gazeta/dias/1834/08/29/pdfs/GMD-C-1834-195.pdf#page=7","Abrir facsímil")</f>
        <v>Abrir facsímil</v>
      </c>
      <c r="K16487" s="10" t="s">
        <v>24</v>
      </c>
    </row>
    <row r="16488" spans="1:11" ht="54" customHeight="1">
      <c r="A16488" s="9" t="s">
        <v>33278</v>
      </c>
      <c r="B16488" s="9" t="s">
        <v>33278</v>
      </c>
      <c r="C16488" s="9" t="s">
        <v>17</v>
      </c>
      <c r="D16488" s="9" t="s">
        <v>18</v>
      </c>
      <c r="E16488" s="10" t="s">
        <v>1008</v>
      </c>
      <c r="F16488" s="9" t="s">
        <v>1009</v>
      </c>
      <c r="G16488" s="10" t="s">
        <v>21</v>
      </c>
      <c r="H16488" s="9" t="s">
        <v>22</v>
      </c>
      <c r="I16488" s="9" t="s">
        <v>33279</v>
      </c>
      <c r="J16488" s="10" t="str">
        <f>HYPERLINK("https://www.boe.es/gazeta/dias/1834/11/08/pdfs/GMD-C-1834-267.pdf#page=3","Abrir facsímil")</f>
        <v>Abrir facsímil</v>
      </c>
      <c r="K16488" s="10" t="s">
        <v>24</v>
      </c>
    </row>
    <row r="16489" spans="1:11" ht="54" customHeight="1">
      <c r="A16489" s="9" t="s">
        <v>33278</v>
      </c>
      <c r="B16489" s="9" t="s">
        <v>33278</v>
      </c>
      <c r="C16489" s="9" t="s">
        <v>66</v>
      </c>
      <c r="D16489" s="9" t="s">
        <v>67</v>
      </c>
      <c r="E16489" s="10" t="s">
        <v>1103</v>
      </c>
      <c r="F16489" s="9" t="s">
        <v>1104</v>
      </c>
      <c r="G16489" s="10" t="s">
        <v>21</v>
      </c>
      <c r="H16489" s="9" t="s">
        <v>22</v>
      </c>
      <c r="I16489" s="9" t="s">
        <v>33280</v>
      </c>
      <c r="J16489" s="10" t="str">
        <f>HYPERLINK("https://www.boe.es/gazeta/dias/1834/10/10/pdfs/GMD-C-1834-238.pdf#page=3","Abrir facsímil")</f>
        <v>Abrir facsímil</v>
      </c>
      <c r="K16489" s="10" t="s">
        <v>24</v>
      </c>
    </row>
    <row r="16490" spans="1:11" ht="54" customHeight="1">
      <c r="A16490" s="9" t="s">
        <v>33278</v>
      </c>
      <c r="B16490" s="9" t="s">
        <v>33278</v>
      </c>
      <c r="C16490" s="9" t="s">
        <v>17</v>
      </c>
      <c r="D16490" s="9" t="s">
        <v>18</v>
      </c>
      <c r="E16490" s="10" t="s">
        <v>2087</v>
      </c>
      <c r="F16490" s="9" t="s">
        <v>2267</v>
      </c>
      <c r="G16490" s="10" t="s">
        <v>1343</v>
      </c>
      <c r="H16490" s="9" t="s">
        <v>22</v>
      </c>
      <c r="I16490" s="9" t="s">
        <v>33281</v>
      </c>
      <c r="J16490" s="10" t="str">
        <f>HYPERLINK("https://www.boe.es/gazeta/dias/1834/12/14/pdfs/GMD-C-1834-303.pdf#page=9","Abrir facsímil")</f>
        <v>Abrir facsímil</v>
      </c>
      <c r="K16490" s="10" t="s">
        <v>24</v>
      </c>
    </row>
    <row r="16491" spans="1:11" ht="54" customHeight="1">
      <c r="A16491" s="9" t="s">
        <v>33278</v>
      </c>
      <c r="B16491" s="9" t="s">
        <v>33278</v>
      </c>
      <c r="C16491" s="9" t="s">
        <v>17</v>
      </c>
      <c r="D16491" s="9" t="s">
        <v>18</v>
      </c>
      <c r="E16491" s="10" t="s">
        <v>19</v>
      </c>
      <c r="F16491" s="9" t="s">
        <v>20</v>
      </c>
      <c r="G16491" s="10" t="s">
        <v>34</v>
      </c>
      <c r="H16491" s="9" t="s">
        <v>22</v>
      </c>
      <c r="I16491" s="9" t="s">
        <v>33282</v>
      </c>
      <c r="J16491" s="10" t="str">
        <f>HYPERLINK("https://www.boe.es/gazeta/dias/1834/08/17/pdfs/GMD-D-1834-182.pdf#page=1","Abrir facsímil")</f>
        <v>Abrir facsímil</v>
      </c>
      <c r="K16491" s="10" t="s">
        <v>24</v>
      </c>
    </row>
    <row r="16492" spans="1:11" ht="54" customHeight="1">
      <c r="A16492" s="9" t="s">
        <v>33278</v>
      </c>
      <c r="B16492" s="9" t="s">
        <v>33278</v>
      </c>
      <c r="C16492" s="9" t="s">
        <v>46</v>
      </c>
      <c r="D16492" s="9" t="s">
        <v>101</v>
      </c>
      <c r="E16492" s="10" t="s">
        <v>26</v>
      </c>
      <c r="F16492" s="9" t="s">
        <v>27</v>
      </c>
      <c r="G16492" s="10" t="s">
        <v>28</v>
      </c>
      <c r="H16492" s="9" t="s">
        <v>22</v>
      </c>
      <c r="I16492" s="9" t="s">
        <v>33283</v>
      </c>
      <c r="J16492" s="10" t="str">
        <f>HYPERLINK("https://www.boe.es/gazeta/dias/1834/10/19/pdfs/GMD-C-1834-247.pdf#page=5","Abrir facsímil")</f>
        <v>Abrir facsímil</v>
      </c>
      <c r="K16492" s="10" t="s">
        <v>24</v>
      </c>
    </row>
    <row r="16493" spans="1:11" ht="54" customHeight="1">
      <c r="A16493" s="9" t="s">
        <v>33278</v>
      </c>
      <c r="B16493" s="9" t="s">
        <v>33278</v>
      </c>
      <c r="C16493" s="9" t="s">
        <v>46</v>
      </c>
      <c r="D16493" s="9" t="s">
        <v>101</v>
      </c>
      <c r="E16493" s="10" t="s">
        <v>647</v>
      </c>
      <c r="F16493" s="9" t="s">
        <v>648</v>
      </c>
      <c r="G16493" s="10" t="s">
        <v>560</v>
      </c>
      <c r="H16493" s="9" t="s">
        <v>22</v>
      </c>
      <c r="I16493" s="9" t="s">
        <v>33284</v>
      </c>
      <c r="J16493" s="10" t="str">
        <f>HYPERLINK("https://www.boe.es/gazeta/dias/1834/10/21/pdfs/GMD-C-1834-249.pdf#page=7","Abrir facsímil")</f>
        <v>Abrir facsímil</v>
      </c>
      <c r="K16493" s="10" t="s">
        <v>24</v>
      </c>
    </row>
    <row r="16494" spans="1:11" ht="54" customHeight="1">
      <c r="A16494" s="9" t="s">
        <v>33278</v>
      </c>
      <c r="B16494" s="9" t="s">
        <v>33278</v>
      </c>
      <c r="C16494" s="9" t="s">
        <v>90</v>
      </c>
      <c r="D16494" s="9" t="s">
        <v>18</v>
      </c>
      <c r="E16494" s="10" t="s">
        <v>627</v>
      </c>
      <c r="F16494" s="9" t="s">
        <v>628</v>
      </c>
      <c r="G16494" s="10" t="s">
        <v>560</v>
      </c>
      <c r="H16494" s="9" t="s">
        <v>22</v>
      </c>
      <c r="I16494" s="9" t="s">
        <v>33285</v>
      </c>
      <c r="J16494" s="10" t="str">
        <f>HYPERLINK("https://www.boe.es/gazeta/dias/1834/09/22/pdfs/GMD-C-1834-220.pdf#page=7","Abrir facsímil")</f>
        <v>Abrir facsímil</v>
      </c>
      <c r="K16494" s="10" t="s">
        <v>24</v>
      </c>
    </row>
    <row r="16495" spans="1:11" ht="54" customHeight="1">
      <c r="A16495" s="9" t="s">
        <v>33278</v>
      </c>
      <c r="B16495" s="9" t="s">
        <v>33278</v>
      </c>
      <c r="C16495" s="9" t="s">
        <v>17</v>
      </c>
      <c r="D16495" s="9" t="s">
        <v>18</v>
      </c>
      <c r="E16495" s="10" t="s">
        <v>2596</v>
      </c>
      <c r="F16495" s="9" t="s">
        <v>5480</v>
      </c>
      <c r="G16495" s="10" t="s">
        <v>86</v>
      </c>
      <c r="H16495" s="9" t="s">
        <v>22</v>
      </c>
      <c r="I16495" s="9" t="s">
        <v>33286</v>
      </c>
      <c r="J16495" s="10" t="str">
        <f>HYPERLINK("https://www.boe.es/gazeta/dias/1834/10/22/pdfs/GMD-C-1834-250.pdf#page=2","Abrir facsímil")</f>
        <v>Abrir facsímil</v>
      </c>
      <c r="K16495" s="10" t="s">
        <v>24</v>
      </c>
    </row>
    <row r="16496" spans="1:11" ht="54" customHeight="1">
      <c r="A16496" s="9" t="s">
        <v>33278</v>
      </c>
      <c r="B16496" s="9" t="s">
        <v>33278</v>
      </c>
      <c r="C16496" s="9" t="s">
        <v>122</v>
      </c>
      <c r="D16496" s="9" t="s">
        <v>18</v>
      </c>
      <c r="E16496" s="10" t="s">
        <v>702</v>
      </c>
      <c r="F16496" s="9" t="s">
        <v>703</v>
      </c>
      <c r="G16496" s="10" t="s">
        <v>28</v>
      </c>
      <c r="H16496" s="9" t="s">
        <v>22</v>
      </c>
      <c r="I16496" s="9" t="s">
        <v>33287</v>
      </c>
      <c r="J16496" s="10" t="str">
        <f>HYPERLINK("https://www.boe.es/gazeta/dias/1834/11/22/pdfs/GMD-C-1834-281.pdf#page=5","Abrir facsímil")</f>
        <v>Abrir facsímil</v>
      </c>
      <c r="K16496" s="10" t="s">
        <v>24</v>
      </c>
    </row>
    <row r="16497" spans="1:11" ht="54" customHeight="1">
      <c r="A16497" s="9" t="s">
        <v>33278</v>
      </c>
      <c r="B16497" s="9" t="s">
        <v>33278</v>
      </c>
      <c r="C16497" s="9" t="s">
        <v>17</v>
      </c>
      <c r="D16497" s="9" t="s">
        <v>18</v>
      </c>
      <c r="E16497" s="10" t="s">
        <v>576</v>
      </c>
      <c r="F16497" s="9" t="s">
        <v>5888</v>
      </c>
      <c r="G16497" s="10" t="s">
        <v>75</v>
      </c>
      <c r="H16497" s="9" t="s">
        <v>22</v>
      </c>
      <c r="I16497" s="9" t="s">
        <v>33288</v>
      </c>
      <c r="J16497" s="10" t="str">
        <f>HYPERLINK("https://www.boe.es/gazeta/dias/1834/09/23/pdfs/GMD-C-1834-221.pdf#page=4","Abrir facsímil")</f>
        <v>Abrir facsímil</v>
      </c>
      <c r="K16497" s="10" t="s">
        <v>24</v>
      </c>
    </row>
    <row r="16498" spans="1:11" ht="54" customHeight="1">
      <c r="A16498" s="9" t="s">
        <v>33278</v>
      </c>
      <c r="B16498" s="9" t="s">
        <v>33278</v>
      </c>
      <c r="C16498" s="9" t="s">
        <v>46</v>
      </c>
      <c r="D16498" s="9" t="s">
        <v>101</v>
      </c>
      <c r="E16498" s="10" t="s">
        <v>667</v>
      </c>
      <c r="F16498" s="9" t="s">
        <v>668</v>
      </c>
      <c r="G16498" s="10" t="s">
        <v>75</v>
      </c>
      <c r="H16498" s="9" t="s">
        <v>22</v>
      </c>
      <c r="I16498" s="9" t="s">
        <v>33289</v>
      </c>
      <c r="J16498" s="10" t="str">
        <f>HYPERLINK("https://www.boe.es/gazeta/dias/1834/11/23/pdfs/GMD-C-1834-282.pdf#page=4","Abrir facsímil")</f>
        <v>Abrir facsímil</v>
      </c>
      <c r="K16498" s="10" t="s">
        <v>24</v>
      </c>
    </row>
    <row r="16499" spans="1:11" ht="54" customHeight="1">
      <c r="A16499" s="9" t="s">
        <v>33278</v>
      </c>
      <c r="B16499" s="9" t="s">
        <v>33278</v>
      </c>
      <c r="C16499" s="9" t="s">
        <v>66</v>
      </c>
      <c r="D16499" s="9" t="s">
        <v>67</v>
      </c>
      <c r="E16499" s="10" t="s">
        <v>833</v>
      </c>
      <c r="F16499" s="9" t="s">
        <v>834</v>
      </c>
      <c r="G16499" s="10" t="s">
        <v>21</v>
      </c>
      <c r="H16499" s="9" t="s">
        <v>22</v>
      </c>
      <c r="I16499" s="9" t="s">
        <v>33290</v>
      </c>
      <c r="J16499" s="10" t="str">
        <f>HYPERLINK("https://www.boe.es/gazeta/dias/1834/04/24/pdfs/GMD-1834-63.pdf#page=3","Abrir facsímil")</f>
        <v>Abrir facsímil</v>
      </c>
      <c r="K16499" s="10" t="s">
        <v>24</v>
      </c>
    </row>
    <row r="16500" spans="1:11" ht="54" customHeight="1">
      <c r="A16500" s="9" t="s">
        <v>33278</v>
      </c>
      <c r="B16500" s="9" t="s">
        <v>33278</v>
      </c>
      <c r="C16500" s="9" t="s">
        <v>46</v>
      </c>
      <c r="D16500" s="9" t="s">
        <v>101</v>
      </c>
      <c r="E16500" s="10" t="s">
        <v>777</v>
      </c>
      <c r="F16500" s="9" t="s">
        <v>2535</v>
      </c>
      <c r="G16500" s="10" t="s">
        <v>34</v>
      </c>
      <c r="H16500" s="9" t="s">
        <v>22</v>
      </c>
      <c r="I16500" s="9" t="s">
        <v>33291</v>
      </c>
      <c r="J16500" s="10" t="str">
        <f>HYPERLINK("https://www.boe.es/gazeta/dias/1834/10/29/pdfs/GMD-C-1834-257.pdf#page=1","Abrir facsímil")</f>
        <v>Abrir facsímil</v>
      </c>
      <c r="K16500" s="10" t="s">
        <v>24</v>
      </c>
    </row>
    <row r="16501" spans="1:11" ht="54" customHeight="1">
      <c r="A16501" s="9" t="s">
        <v>33278</v>
      </c>
      <c r="B16501" s="9" t="s">
        <v>33278</v>
      </c>
      <c r="C16501" s="9" t="s">
        <v>17</v>
      </c>
      <c r="D16501" s="9" t="s">
        <v>18</v>
      </c>
      <c r="E16501" s="10" t="s">
        <v>590</v>
      </c>
      <c r="F16501" s="9" t="s">
        <v>17808</v>
      </c>
      <c r="G16501" s="10" t="s">
        <v>86</v>
      </c>
      <c r="H16501" s="9" t="s">
        <v>22</v>
      </c>
      <c r="I16501" s="9" t="s">
        <v>33292</v>
      </c>
      <c r="J16501" s="10" t="str">
        <f>HYPERLINK("https://www.boe.es/gazeta/dias/1834/11/30/pdfs/GMD-C-1834-289.pdf#page=2","Abrir facsímil")</f>
        <v>Abrir facsímil</v>
      </c>
      <c r="K16501" s="10" t="s">
        <v>24</v>
      </c>
    </row>
    <row r="16502" spans="1:11" ht="54" customHeight="1">
      <c r="A16502" s="9" t="s">
        <v>33278</v>
      </c>
      <c r="B16502" s="9" t="s">
        <v>33278</v>
      </c>
      <c r="C16502" s="9" t="s">
        <v>90</v>
      </c>
      <c r="D16502" s="9" t="s">
        <v>18</v>
      </c>
      <c r="E16502" s="10" t="s">
        <v>153</v>
      </c>
      <c r="F16502" s="9" t="s">
        <v>154</v>
      </c>
      <c r="G16502" s="10" t="s">
        <v>21</v>
      </c>
      <c r="H16502" s="9" t="s">
        <v>22</v>
      </c>
      <c r="I16502" s="9" t="s">
        <v>33293</v>
      </c>
      <c r="J16502" s="10" t="str">
        <f>HYPERLINK("https://www.boe.es/gazeta/dias/1834/12/30/pdfs/GMD-C-1834-320.pdf#page=3","Abrir facsímil")</f>
        <v>Abrir facsímil</v>
      </c>
      <c r="K16502" s="10" t="s">
        <v>24</v>
      </c>
    </row>
    <row r="16503" spans="1:11" ht="54" customHeight="1">
      <c r="A16503" s="9" t="s">
        <v>33278</v>
      </c>
      <c r="B16503" s="9" t="s">
        <v>33278</v>
      </c>
      <c r="C16503" s="9" t="s">
        <v>17</v>
      </c>
      <c r="D16503" s="9" t="s">
        <v>18</v>
      </c>
      <c r="E16503" s="10" t="s">
        <v>153</v>
      </c>
      <c r="F16503" s="9" t="s">
        <v>154</v>
      </c>
      <c r="G16503" s="10" t="s">
        <v>28</v>
      </c>
      <c r="H16503" s="9" t="s">
        <v>22</v>
      </c>
      <c r="I16503" s="9" t="s">
        <v>33294</v>
      </c>
      <c r="J16503" s="10" t="str">
        <f>HYPERLINK("https://www.boe.es/gazeta/dias/1834/12/30/pdfs/GMD-C-1834-320.pdf#page=5","Abrir facsímil")</f>
        <v>Abrir facsímil</v>
      </c>
      <c r="K16503" s="10" t="s">
        <v>24</v>
      </c>
    </row>
    <row r="16504" spans="1:11" ht="54" customHeight="1">
      <c r="A16504" s="9" t="s">
        <v>33278</v>
      </c>
      <c r="B16504" s="9" t="s">
        <v>33278</v>
      </c>
      <c r="C16504" s="9" t="s">
        <v>90</v>
      </c>
      <c r="D16504" s="9" t="s">
        <v>40</v>
      </c>
      <c r="E16504" s="10" t="s">
        <v>273</v>
      </c>
      <c r="F16504" s="9" t="s">
        <v>274</v>
      </c>
      <c r="G16504" s="10" t="s">
        <v>34</v>
      </c>
      <c r="H16504" s="9" t="s">
        <v>22</v>
      </c>
      <c r="I16504" s="9" t="s">
        <v>33295</v>
      </c>
      <c r="J16504" s="10" t="str">
        <f>HYPERLINK("https://www.boe.es/gazeta/dias/1834/08/31/pdfs/GMD-D-1834-198.pdf#page=1","Abrir facsímil")</f>
        <v>Abrir facsímil</v>
      </c>
      <c r="K16504" s="10" t="s">
        <v>24</v>
      </c>
    </row>
    <row r="16505" spans="1:11" ht="54" customHeight="1">
      <c r="A16505" s="9" t="s">
        <v>33296</v>
      </c>
      <c r="B16505" s="9" t="s">
        <v>33297</v>
      </c>
      <c r="C16505" s="9" t="s">
        <v>90</v>
      </c>
      <c r="D16505" s="9" t="s">
        <v>18</v>
      </c>
      <c r="E16505" s="10" t="s">
        <v>2087</v>
      </c>
      <c r="F16505" s="9" t="s">
        <v>2267</v>
      </c>
      <c r="G16505" s="10" t="s">
        <v>75</v>
      </c>
      <c r="H16505" s="9" t="s">
        <v>22</v>
      </c>
      <c r="I16505" s="9" t="s">
        <v>33298</v>
      </c>
      <c r="J16505" s="10" t="str">
        <f>HYPERLINK("https://www.boe.es/gazeta/dias/1834/12/14/pdfs/GMD-C-1834-303.pdf#page=4","Abrir facsímil")</f>
        <v>Abrir facsímil</v>
      </c>
      <c r="K16505" s="10" t="s">
        <v>24</v>
      </c>
    </row>
    <row r="16506" spans="1:11" ht="54" customHeight="1">
      <c r="A16506" s="9" t="s">
        <v>33299</v>
      </c>
      <c r="B16506" s="9" t="s">
        <v>33299</v>
      </c>
      <c r="C16506" s="9" t="s">
        <v>17</v>
      </c>
      <c r="D16506" s="9" t="s">
        <v>18</v>
      </c>
      <c r="E16506" s="10" t="s">
        <v>68</v>
      </c>
      <c r="F16506" s="9" t="s">
        <v>69</v>
      </c>
      <c r="G16506" s="10" t="s">
        <v>21</v>
      </c>
      <c r="H16506" s="9" t="s">
        <v>22</v>
      </c>
      <c r="I16506" s="9" t="s">
        <v>33300</v>
      </c>
      <c r="J16506" s="10" t="str">
        <f>HYPERLINK("https://www.boe.es/gazeta/dias/1834/11/01/pdfs/GMD-1834-260.pdf#page=3","Abrir facsímil")</f>
        <v>Abrir facsímil</v>
      </c>
      <c r="K16506" s="10" t="s">
        <v>24</v>
      </c>
    </row>
    <row r="16507" spans="1:11" ht="54" customHeight="1">
      <c r="A16507" s="9" t="s">
        <v>33301</v>
      </c>
      <c r="B16507" s="9" t="s">
        <v>33301</v>
      </c>
      <c r="C16507" s="9" t="s">
        <v>66</v>
      </c>
      <c r="D16507" s="9" t="s">
        <v>67</v>
      </c>
      <c r="E16507" s="10" t="s">
        <v>1410</v>
      </c>
      <c r="F16507" s="9" t="s">
        <v>2231</v>
      </c>
      <c r="G16507" s="10" t="s">
        <v>75</v>
      </c>
      <c r="H16507" s="9" t="s">
        <v>22</v>
      </c>
      <c r="I16507" s="9" t="s">
        <v>33302</v>
      </c>
      <c r="J16507" s="10" t="str">
        <f>HYPERLINK("https://www.boe.es/gazeta/dias/1834/09/09/pdfs/GMD-C-1834-207.pdf#page=4","Abrir facsímil")</f>
        <v>Abrir facsímil</v>
      </c>
      <c r="K16507" s="10" t="s">
        <v>24</v>
      </c>
    </row>
    <row r="16508" spans="1:11" ht="54" customHeight="1">
      <c r="A16508" s="9" t="s">
        <v>33303</v>
      </c>
      <c r="B16508" s="9" t="s">
        <v>33303</v>
      </c>
      <c r="C16508" s="9" t="s">
        <v>17</v>
      </c>
      <c r="D16508" s="9" t="s">
        <v>18</v>
      </c>
      <c r="E16508" s="10" t="s">
        <v>2596</v>
      </c>
      <c r="F16508" s="9" t="s">
        <v>5480</v>
      </c>
      <c r="G16508" s="10" t="s">
        <v>34</v>
      </c>
      <c r="H16508" s="9" t="s">
        <v>22</v>
      </c>
      <c r="I16508" s="9" t="s">
        <v>33304</v>
      </c>
      <c r="J16508" s="10" t="str">
        <f>HYPERLINK("https://www.boe.es/gazeta/dias/1834/10/22/pdfs/GMD-C-1834-250.pdf#page=1","Abrir facsímil")</f>
        <v>Abrir facsímil</v>
      </c>
      <c r="K16508" s="10" t="s">
        <v>24</v>
      </c>
    </row>
    <row r="16509" spans="1:11" ht="54" customHeight="1">
      <c r="A16509" s="9" t="s">
        <v>33303</v>
      </c>
      <c r="B16509" s="9" t="s">
        <v>33303</v>
      </c>
      <c r="C16509" s="9" t="s">
        <v>17</v>
      </c>
      <c r="D16509" s="9" t="s">
        <v>18</v>
      </c>
      <c r="E16509" s="10" t="s">
        <v>403</v>
      </c>
      <c r="F16509" s="9" t="s">
        <v>404</v>
      </c>
      <c r="G16509" s="10" t="s">
        <v>560</v>
      </c>
      <c r="H16509" s="9" t="s">
        <v>22</v>
      </c>
      <c r="I16509" s="9" t="s">
        <v>33305</v>
      </c>
      <c r="J16509" s="10" t="str">
        <f>HYPERLINK("https://www.boe.es/gazeta/dias/1834/09/25/pdfs/GMD-C-1834-223.pdf#page=7","Abrir facsímil")</f>
        <v>Abrir facsímil</v>
      </c>
      <c r="K16509" s="10" t="s">
        <v>24</v>
      </c>
    </row>
    <row r="16510" spans="1:11" ht="54" customHeight="1">
      <c r="A16510" s="9" t="s">
        <v>33306</v>
      </c>
      <c r="B16510" s="9" t="s">
        <v>33306</v>
      </c>
      <c r="C16510" s="9" t="s">
        <v>90</v>
      </c>
      <c r="D16510" s="9" t="s">
        <v>18</v>
      </c>
      <c r="E16510" s="10" t="s">
        <v>2860</v>
      </c>
      <c r="F16510" s="9" t="s">
        <v>2861</v>
      </c>
      <c r="G16510" s="10" t="s">
        <v>34</v>
      </c>
      <c r="H16510" s="9" t="s">
        <v>22</v>
      </c>
      <c r="I16510" s="9" t="s">
        <v>33307</v>
      </c>
      <c r="J16510" s="10" t="str">
        <f>HYPERLINK("https://www.boe.es/gazeta/dias/1834/07/20/pdfs/GMD-1834-153.pdf#page=1","Abrir facsímil")</f>
        <v>Abrir facsímil</v>
      </c>
      <c r="K16510" s="10" t="s">
        <v>24</v>
      </c>
    </row>
    <row r="16511" spans="1:11" ht="54" customHeight="1">
      <c r="A16511" s="9" t="s">
        <v>33306</v>
      </c>
      <c r="B16511" s="9" t="s">
        <v>33306</v>
      </c>
      <c r="C16511" s="9" t="s">
        <v>90</v>
      </c>
      <c r="D16511" s="9" t="s">
        <v>18</v>
      </c>
      <c r="E16511" s="10" t="s">
        <v>667</v>
      </c>
      <c r="F16511" s="9" t="s">
        <v>668</v>
      </c>
      <c r="G16511" s="10" t="s">
        <v>86</v>
      </c>
      <c r="H16511" s="9" t="s">
        <v>22</v>
      </c>
      <c r="I16511" s="9" t="s">
        <v>33308</v>
      </c>
      <c r="J16511" s="10" t="str">
        <f>HYPERLINK("https://www.boe.es/gazeta/dias/1834/11/23/pdfs/GMD-C-1834-282.pdf#page=2","Abrir facsímil")</f>
        <v>Abrir facsímil</v>
      </c>
      <c r="K16511" s="10" t="s">
        <v>24</v>
      </c>
    </row>
    <row r="16512" spans="1:11" ht="54" customHeight="1">
      <c r="A16512" s="9" t="s">
        <v>33309</v>
      </c>
      <c r="B16512" s="9" t="s">
        <v>33310</v>
      </c>
      <c r="C16512" s="9" t="s">
        <v>17</v>
      </c>
      <c r="D16512" s="9" t="s">
        <v>18</v>
      </c>
      <c r="E16512" s="10" t="s">
        <v>1839</v>
      </c>
      <c r="F16512" s="9" t="s">
        <v>1840</v>
      </c>
      <c r="G16512" s="10" t="s">
        <v>34</v>
      </c>
      <c r="H16512" s="9" t="s">
        <v>22</v>
      </c>
      <c r="I16512" s="9" t="s">
        <v>33311</v>
      </c>
      <c r="J16512" s="10" t="str">
        <f>HYPERLINK("https://www.boe.es/gazeta/dias/1834/08/12/pdfs/GMD-C-1834-177.pdf#page=1","Abrir facsímil")</f>
        <v>Abrir facsímil</v>
      </c>
      <c r="K16512" s="10" t="s">
        <v>24</v>
      </c>
    </row>
    <row r="16513" spans="1:11" ht="54" customHeight="1">
      <c r="A16513" s="9" t="s">
        <v>33312</v>
      </c>
      <c r="B16513" s="9" t="s">
        <v>33312</v>
      </c>
      <c r="C16513" s="9" t="s">
        <v>17</v>
      </c>
      <c r="D16513" s="9" t="s">
        <v>18</v>
      </c>
      <c r="E16513" s="10" t="s">
        <v>11991</v>
      </c>
      <c r="F16513" s="9" t="s">
        <v>11992</v>
      </c>
      <c r="G16513" s="10" t="s">
        <v>34</v>
      </c>
      <c r="H16513" s="9" t="s">
        <v>22</v>
      </c>
      <c r="I16513" s="9" t="s">
        <v>33313</v>
      </c>
      <c r="J16513" s="10" t="str">
        <f>HYPERLINK("https://www.boe.es/gazeta/dias/1834/12/05/pdfs/GMD-C-1834-294.pdf#page=1","Abrir facsímil")</f>
        <v>Abrir facsímil</v>
      </c>
      <c r="K16513" s="10" t="s">
        <v>24</v>
      </c>
    </row>
    <row r="16514" spans="1:11" ht="54" customHeight="1">
      <c r="A16514" s="9" t="s">
        <v>33314</v>
      </c>
      <c r="B16514" s="9" t="s">
        <v>33314</v>
      </c>
      <c r="C16514" s="9" t="s">
        <v>17</v>
      </c>
      <c r="D16514" s="9" t="s">
        <v>18</v>
      </c>
      <c r="E16514" s="10" t="s">
        <v>399</v>
      </c>
      <c r="F16514" s="9" t="s">
        <v>400</v>
      </c>
      <c r="G16514" s="10" t="s">
        <v>34</v>
      </c>
      <c r="H16514" s="9" t="s">
        <v>22</v>
      </c>
      <c r="I16514" s="9" t="s">
        <v>33315</v>
      </c>
      <c r="J16514" s="10" t="str">
        <f>HYPERLINK("https://www.boe.es/gazeta/dias/1834/07/08/pdfs/GMD-1834-141.pdf#page=1","Abrir facsímil")</f>
        <v>Abrir facsímil</v>
      </c>
      <c r="K16514" s="10" t="s">
        <v>24</v>
      </c>
    </row>
    <row r="16515" spans="1:11" ht="54" customHeight="1">
      <c r="A16515" s="9" t="s">
        <v>33316</v>
      </c>
      <c r="B16515" s="9" t="s">
        <v>33316</v>
      </c>
      <c r="C16515" s="9" t="s">
        <v>17</v>
      </c>
      <c r="D16515" s="9" t="s">
        <v>18</v>
      </c>
      <c r="E16515" s="10" t="s">
        <v>462</v>
      </c>
      <c r="F16515" s="9" t="s">
        <v>463</v>
      </c>
      <c r="G16515" s="10" t="s">
        <v>34</v>
      </c>
      <c r="H16515" s="9" t="s">
        <v>22</v>
      </c>
      <c r="I16515" s="9" t="s">
        <v>33317</v>
      </c>
      <c r="J16515" s="10" t="str">
        <f>HYPERLINK("https://www.boe.es/gazeta/dias/1834/08/27/pdfs/GMD-C-1834-193.pdf#page=1","Abrir facsímil")</f>
        <v>Abrir facsímil</v>
      </c>
      <c r="K16515" s="10" t="s">
        <v>24</v>
      </c>
    </row>
    <row r="16516" spans="1:11" ht="54" customHeight="1">
      <c r="A16516" s="9" t="s">
        <v>33318</v>
      </c>
      <c r="B16516" s="9" t="s">
        <v>33318</v>
      </c>
      <c r="C16516" s="9" t="s">
        <v>46</v>
      </c>
      <c r="D16516" s="9" t="s">
        <v>101</v>
      </c>
      <c r="E16516" s="10" t="s">
        <v>167</v>
      </c>
      <c r="F16516" s="9" t="s">
        <v>1200</v>
      </c>
      <c r="G16516" s="10" t="s">
        <v>560</v>
      </c>
      <c r="H16516" s="9" t="s">
        <v>22</v>
      </c>
      <c r="I16516" s="9" t="s">
        <v>33319</v>
      </c>
      <c r="J16516" s="10" t="str">
        <f>HYPERLINK("https://www.boe.es/gazeta/dias/1834/09/07/pdfs/GMD-C-1834-205.pdf#page=7","Abrir facsímil")</f>
        <v>Abrir facsímil</v>
      </c>
      <c r="K16516" s="10" t="s">
        <v>24</v>
      </c>
    </row>
    <row r="16517" spans="1:11" ht="54" customHeight="1">
      <c r="A16517" s="9" t="s">
        <v>33320</v>
      </c>
      <c r="B16517" s="9" t="s">
        <v>33321</v>
      </c>
      <c r="C16517" s="9" t="s">
        <v>17</v>
      </c>
      <c r="D16517" s="9" t="s">
        <v>101</v>
      </c>
      <c r="E16517" s="10" t="s">
        <v>2748</v>
      </c>
      <c r="F16517" s="9" t="s">
        <v>2749</v>
      </c>
      <c r="G16517" s="10" t="s">
        <v>34</v>
      </c>
      <c r="H16517" s="9" t="s">
        <v>22</v>
      </c>
      <c r="I16517" s="9" t="s">
        <v>33322</v>
      </c>
      <c r="J16517" s="10" t="str">
        <f>HYPERLINK("https://www.boe.es/gazeta/dias/1834/01/09/pdfs/GMD-1834-5.pdf#page=1","Abrir facsímil")</f>
        <v>Abrir facsímil</v>
      </c>
      <c r="K16517" s="10" t="s">
        <v>24</v>
      </c>
    </row>
    <row r="16518" spans="1:11" ht="54" customHeight="1">
      <c r="A16518" s="9" t="s">
        <v>33323</v>
      </c>
      <c r="B16518" s="9" t="s">
        <v>33324</v>
      </c>
      <c r="C16518" s="9" t="s">
        <v>17</v>
      </c>
      <c r="D16518" s="9" t="s">
        <v>18</v>
      </c>
      <c r="E16518" s="10" t="s">
        <v>299</v>
      </c>
      <c r="F16518" s="9" t="s">
        <v>300</v>
      </c>
      <c r="G16518" s="10" t="s">
        <v>75</v>
      </c>
      <c r="H16518" s="9" t="s">
        <v>22</v>
      </c>
      <c r="I16518" s="9" t="s">
        <v>33325</v>
      </c>
      <c r="J16518" s="10" t="str">
        <f>HYPERLINK("https://www.boe.es/gazeta/dias/1834/12/12/pdfs/GMD-1834-301.pdf#page=4","Abrir facsímil")</f>
        <v>Abrir facsímil</v>
      </c>
      <c r="K16518" s="10" t="s">
        <v>24</v>
      </c>
    </row>
    <row r="16519" spans="1:11" ht="54" customHeight="1">
      <c r="A16519" s="9" t="s">
        <v>33326</v>
      </c>
      <c r="B16519" s="9" t="s">
        <v>33327</v>
      </c>
      <c r="C16519" s="9" t="s">
        <v>66</v>
      </c>
      <c r="D16519" s="9" t="s">
        <v>18</v>
      </c>
      <c r="E16519" s="10" t="s">
        <v>808</v>
      </c>
      <c r="F16519" s="9" t="s">
        <v>809</v>
      </c>
      <c r="G16519" s="10" t="s">
        <v>75</v>
      </c>
      <c r="H16519" s="9" t="s">
        <v>22</v>
      </c>
      <c r="I16519" s="9" t="s">
        <v>33328</v>
      </c>
      <c r="J16519" s="10" t="str">
        <f>HYPERLINK("https://www.boe.es/gazeta/dias/1834/10/11/pdfs/GMD-1834-239.pdf#page=4","Abrir facsímil")</f>
        <v>Abrir facsímil</v>
      </c>
      <c r="K16519" s="10" t="s">
        <v>24</v>
      </c>
    </row>
    <row r="16520" spans="1:11" ht="54" customHeight="1">
      <c r="A16520" s="9" t="s">
        <v>33329</v>
      </c>
      <c r="B16520" s="9" t="s">
        <v>33330</v>
      </c>
      <c r="C16520" s="9" t="s">
        <v>90</v>
      </c>
      <c r="D16520" s="9" t="s">
        <v>18</v>
      </c>
      <c r="E16520" s="10" t="s">
        <v>19</v>
      </c>
      <c r="F16520" s="9" t="s">
        <v>1933</v>
      </c>
      <c r="G16520" s="10" t="s">
        <v>34</v>
      </c>
      <c r="H16520" s="9" t="s">
        <v>22</v>
      </c>
      <c r="I16520" s="9" t="s">
        <v>33331</v>
      </c>
      <c r="J16520" s="10" t="str">
        <f>HYPERLINK("https://www.boe.es/gazeta/dias/1834/08/17/pdfs/GMD-1834-183E.pdf#page=1","Abrir facsímil")</f>
        <v>Abrir facsímil</v>
      </c>
      <c r="K16520" s="10" t="s">
        <v>24</v>
      </c>
    </row>
    <row r="16521" spans="1:11" ht="54" customHeight="1">
      <c r="A16521" s="9" t="s">
        <v>33332</v>
      </c>
      <c r="B16521" s="9" t="s">
        <v>33333</v>
      </c>
      <c r="C16521" s="9" t="s">
        <v>17</v>
      </c>
      <c r="D16521" s="9" t="s">
        <v>18</v>
      </c>
      <c r="E16521" s="10" t="s">
        <v>1084</v>
      </c>
      <c r="F16521" s="9" t="s">
        <v>1085</v>
      </c>
      <c r="G16521" s="10" t="s">
        <v>176</v>
      </c>
      <c r="H16521" s="9" t="s">
        <v>22</v>
      </c>
      <c r="I16521" s="9" t="s">
        <v>33334</v>
      </c>
      <c r="J16521" s="10" t="str">
        <f>HYPERLINK("https://www.boe.es/gazeta/dias/1834/05/01/pdfs/GMD-1834-70.pdf#page=6","Abrir facsímil")</f>
        <v>Abrir facsímil</v>
      </c>
      <c r="K16521" s="10" t="s">
        <v>24</v>
      </c>
    </row>
    <row r="16522" spans="1:11" ht="54" customHeight="1">
      <c r="A16522" s="9" t="s">
        <v>33335</v>
      </c>
      <c r="B16522" s="9" t="s">
        <v>33336</v>
      </c>
      <c r="C16522" s="9" t="s">
        <v>90</v>
      </c>
      <c r="D16522" s="9" t="s">
        <v>67</v>
      </c>
      <c r="E16522" s="10" t="s">
        <v>863</v>
      </c>
      <c r="F16522" s="9" t="s">
        <v>864</v>
      </c>
      <c r="G16522" s="10" t="s">
        <v>21</v>
      </c>
      <c r="H16522" s="9" t="s">
        <v>22</v>
      </c>
      <c r="I16522" s="9" t="s">
        <v>33337</v>
      </c>
      <c r="J16522" s="10" t="str">
        <f>HYPERLINK("https://www.boe.es/gazeta/dias/1834/09/15/pdfs/GMD-1834-213.pdf#page=3","Abrir facsímil")</f>
        <v>Abrir facsímil</v>
      </c>
      <c r="K16522" s="10" t="s">
        <v>24</v>
      </c>
    </row>
    <row r="16523" spans="1:11" ht="54" customHeight="1">
      <c r="A16523" s="9" t="s">
        <v>33338</v>
      </c>
      <c r="B16523" s="9" t="s">
        <v>33339</v>
      </c>
      <c r="C16523" s="9" t="s">
        <v>17</v>
      </c>
      <c r="D16523" s="9" t="s">
        <v>18</v>
      </c>
      <c r="E16523" s="10" t="s">
        <v>1234</v>
      </c>
      <c r="F16523" s="9" t="s">
        <v>1455</v>
      </c>
      <c r="G16523" s="10" t="s">
        <v>21</v>
      </c>
      <c r="H16523" s="9" t="s">
        <v>22</v>
      </c>
      <c r="I16523" s="9" t="s">
        <v>33340</v>
      </c>
      <c r="J16523" s="10" t="str">
        <f>HYPERLINK("https://www.boe.es/gazeta/dias/1834/05/15/pdfs/GMD-1834-84.pdf#page=3","Abrir facsímil")</f>
        <v>Abrir facsímil</v>
      </c>
      <c r="K16523" s="10" t="s">
        <v>24</v>
      </c>
    </row>
    <row r="16524" spans="1:11" ht="54" customHeight="1">
      <c r="A16524" s="9" t="s">
        <v>33341</v>
      </c>
      <c r="B16524" s="9" t="s">
        <v>33342</v>
      </c>
      <c r="C16524" s="9" t="s">
        <v>17</v>
      </c>
      <c r="D16524" s="9" t="s">
        <v>18</v>
      </c>
      <c r="E16524" s="10" t="s">
        <v>294</v>
      </c>
      <c r="F16524" s="9" t="s">
        <v>295</v>
      </c>
      <c r="G16524" s="10" t="s">
        <v>86</v>
      </c>
      <c r="H16524" s="9" t="s">
        <v>22</v>
      </c>
      <c r="I16524" s="9" t="s">
        <v>33343</v>
      </c>
      <c r="J16524" s="10" t="str">
        <f>HYPERLINK("https://www.boe.es/gazeta/dias/1834/09/27/pdfs/GMD-1834-225.pdf#page=2","Abrir facsímil")</f>
        <v>Abrir facsímil</v>
      </c>
      <c r="K16524" s="10" t="s">
        <v>24</v>
      </c>
    </row>
    <row r="16525" spans="1:11" ht="54" customHeight="1">
      <c r="A16525" s="9" t="s">
        <v>33344</v>
      </c>
      <c r="B16525" s="9" t="s">
        <v>33345</v>
      </c>
      <c r="C16525" s="9" t="s">
        <v>17</v>
      </c>
      <c r="D16525" s="9" t="s">
        <v>18</v>
      </c>
      <c r="E16525" s="10" t="s">
        <v>1323</v>
      </c>
      <c r="F16525" s="9" t="s">
        <v>1324</v>
      </c>
      <c r="G16525" s="10" t="s">
        <v>75</v>
      </c>
      <c r="H16525" s="9" t="s">
        <v>35</v>
      </c>
      <c r="I16525" s="9" t="s">
        <v>33346</v>
      </c>
      <c r="J16525" s="10" t="str">
        <f>HYPERLINK("https://www.boe.es/gazeta/dias/1834/05/22/pdfs/GMD-1834-91.pdf#page=4","Abrir facsímil")</f>
        <v>Abrir facsímil</v>
      </c>
      <c r="K16525" s="10" t="s">
        <v>37</v>
      </c>
    </row>
    <row r="16526" spans="1:11" ht="54" customHeight="1">
      <c r="A16526" s="9" t="s">
        <v>33347</v>
      </c>
      <c r="B16526" s="9" t="s">
        <v>33347</v>
      </c>
      <c r="C16526" s="9" t="s">
        <v>66</v>
      </c>
      <c r="D16526" s="9" t="s">
        <v>67</v>
      </c>
      <c r="E16526" s="10" t="s">
        <v>563</v>
      </c>
      <c r="F16526" s="9" t="s">
        <v>5858</v>
      </c>
      <c r="G16526" s="10" t="s">
        <v>86</v>
      </c>
      <c r="H16526" s="9" t="s">
        <v>22</v>
      </c>
      <c r="I16526" s="9" t="s">
        <v>33348</v>
      </c>
      <c r="J16526" s="10" t="str">
        <f>HYPERLINK("https://www.boe.es/gazeta/dias/1834/04/19/pdfs/GMD-C-1834-58.pdf#page=2","Abrir facsímil")</f>
        <v>Abrir facsímil</v>
      </c>
      <c r="K16526" s="10" t="s">
        <v>24</v>
      </c>
    </row>
    <row r="16527" spans="1:11" ht="54" customHeight="1">
      <c r="A16527" s="9" t="s">
        <v>33349</v>
      </c>
      <c r="B16527" s="9" t="s">
        <v>33349</v>
      </c>
      <c r="C16527" s="9" t="s">
        <v>17</v>
      </c>
      <c r="D16527" s="9" t="s">
        <v>18</v>
      </c>
      <c r="E16527" s="10" t="s">
        <v>2287</v>
      </c>
      <c r="F16527" s="9" t="s">
        <v>2288</v>
      </c>
      <c r="G16527" s="10" t="s">
        <v>176</v>
      </c>
      <c r="H16527" s="9" t="s">
        <v>22</v>
      </c>
      <c r="I16527" s="9" t="s">
        <v>33350</v>
      </c>
      <c r="J16527" s="10" t="str">
        <f>HYPERLINK("https://www.boe.es/gazeta/dias/1834/12/18/pdfs/GMD-C-1834-308.pdf#page=6","Abrir facsímil")</f>
        <v>Abrir facsímil</v>
      </c>
      <c r="K16527" s="10" t="s">
        <v>24</v>
      </c>
    </row>
    <row r="16528" spans="1:11" ht="54" customHeight="1">
      <c r="A16528" s="9" t="s">
        <v>33351</v>
      </c>
      <c r="B16528" s="9" t="s">
        <v>33351</v>
      </c>
      <c r="C16528" s="9" t="s">
        <v>17</v>
      </c>
      <c r="D16528" s="9" t="s">
        <v>18</v>
      </c>
      <c r="E16528" s="10" t="s">
        <v>653</v>
      </c>
      <c r="F16528" s="9" t="s">
        <v>654</v>
      </c>
      <c r="G16528" s="10" t="s">
        <v>75</v>
      </c>
      <c r="H16528" s="9" t="s">
        <v>22</v>
      </c>
      <c r="I16528" s="9" t="s">
        <v>33352</v>
      </c>
      <c r="J16528" s="10" t="str">
        <f>HYPERLINK("https://www.boe.es/gazeta/dias/1834/08/06/pdfs/GMD-C-1834-170.pdf#page=4","Abrir facsímil")</f>
        <v>Abrir facsímil</v>
      </c>
      <c r="K16528" s="10" t="s">
        <v>24</v>
      </c>
    </row>
    <row r="16529" spans="1:11" ht="54" customHeight="1">
      <c r="A16529" s="9" t="s">
        <v>33353</v>
      </c>
      <c r="B16529" s="9" t="s">
        <v>33353</v>
      </c>
      <c r="C16529" s="9" t="s">
        <v>90</v>
      </c>
      <c r="D16529" s="9" t="s">
        <v>18</v>
      </c>
      <c r="E16529" s="10" t="s">
        <v>265</v>
      </c>
      <c r="F16529" s="9" t="s">
        <v>266</v>
      </c>
      <c r="G16529" s="10" t="s">
        <v>34</v>
      </c>
      <c r="H16529" s="9" t="s">
        <v>22</v>
      </c>
      <c r="I16529" s="9" t="s">
        <v>33354</v>
      </c>
      <c r="J16529" s="10" t="str">
        <f>HYPERLINK("https://www.boe.es/gazeta/dias/1834/11/19/pdfs/GMD-C-1834-278.pdf#page=1","Abrir facsímil")</f>
        <v>Abrir facsímil</v>
      </c>
      <c r="K16529" s="10" t="s">
        <v>24</v>
      </c>
    </row>
    <row r="16530" spans="1:11" ht="54" customHeight="1">
      <c r="A16530" s="9" t="s">
        <v>33355</v>
      </c>
      <c r="B16530" s="9" t="s">
        <v>33355</v>
      </c>
      <c r="C16530" s="9" t="s">
        <v>17</v>
      </c>
      <c r="D16530" s="9" t="s">
        <v>18</v>
      </c>
      <c r="E16530" s="10" t="s">
        <v>647</v>
      </c>
      <c r="F16530" s="9" t="s">
        <v>648</v>
      </c>
      <c r="G16530" s="10" t="s">
        <v>176</v>
      </c>
      <c r="H16530" s="9" t="s">
        <v>22</v>
      </c>
      <c r="I16530" s="9" t="s">
        <v>33356</v>
      </c>
      <c r="J16530" s="10" t="str">
        <f>HYPERLINK("https://www.boe.es/gazeta/dias/1834/10/21/pdfs/GMD-C-1834-249.pdf#page=6","Abrir facsímil")</f>
        <v>Abrir facsímil</v>
      </c>
      <c r="K16530" s="10" t="s">
        <v>24</v>
      </c>
    </row>
    <row r="16531" spans="1:11" ht="54" customHeight="1">
      <c r="A16531" s="9" t="s">
        <v>33357</v>
      </c>
      <c r="B16531" s="9" t="s">
        <v>33357</v>
      </c>
      <c r="C16531" s="9" t="s">
        <v>17</v>
      </c>
      <c r="D16531" s="9" t="s">
        <v>18</v>
      </c>
      <c r="E16531" s="10" t="s">
        <v>610</v>
      </c>
      <c r="F16531" s="9" t="s">
        <v>611</v>
      </c>
      <c r="G16531" s="10" t="s">
        <v>176</v>
      </c>
      <c r="H16531" s="9" t="s">
        <v>22</v>
      </c>
      <c r="I16531" s="9" t="s">
        <v>33358</v>
      </c>
      <c r="J16531" s="10" t="str">
        <f>HYPERLINK("https://www.boe.es/gazeta/dias/1834/12/21/pdfs/GMD-C-1834-311.pdf#page=6","Abrir facsímil")</f>
        <v>Abrir facsímil</v>
      </c>
      <c r="K16531" s="10" t="s">
        <v>24</v>
      </c>
    </row>
    <row r="16532" spans="1:11" ht="54" customHeight="1">
      <c r="A16532" s="9" t="s">
        <v>33359</v>
      </c>
      <c r="B16532" s="9" t="s">
        <v>33359</v>
      </c>
      <c r="C16532" s="9" t="s">
        <v>17</v>
      </c>
      <c r="D16532" s="9" t="s">
        <v>18</v>
      </c>
      <c r="E16532" s="10" t="s">
        <v>465</v>
      </c>
      <c r="F16532" s="9" t="s">
        <v>466</v>
      </c>
      <c r="G16532" s="10" t="s">
        <v>34</v>
      </c>
      <c r="H16532" s="9" t="s">
        <v>22</v>
      </c>
      <c r="I16532" s="9" t="s">
        <v>33360</v>
      </c>
      <c r="J16532" s="10" t="str">
        <f>HYPERLINK("https://www.boe.es/gazeta/dias/1834/11/27/pdfs/GMD-C-1834-286.pdf#page=1","Abrir facsímil")</f>
        <v>Abrir facsímil</v>
      </c>
      <c r="K16532" s="10" t="s">
        <v>24</v>
      </c>
    </row>
    <row r="16533" spans="1:11" ht="54" customHeight="1">
      <c r="A16533" s="9" t="s">
        <v>33361</v>
      </c>
      <c r="B16533" s="9" t="s">
        <v>33361</v>
      </c>
      <c r="C16533" s="9" t="s">
        <v>17</v>
      </c>
      <c r="D16533" s="9" t="s">
        <v>18</v>
      </c>
      <c r="E16533" s="10" t="s">
        <v>623</v>
      </c>
      <c r="F16533" s="9" t="s">
        <v>624</v>
      </c>
      <c r="G16533" s="10" t="s">
        <v>34</v>
      </c>
      <c r="H16533" s="9" t="s">
        <v>22</v>
      </c>
      <c r="I16533" s="9" t="s">
        <v>33362</v>
      </c>
      <c r="J16533" s="10" t="str">
        <f>HYPERLINK("https://www.boe.es/gazeta/dias/1834/10/12/pdfs/GMD-D-1834-240.pdf#page=1","Abrir facsímil")</f>
        <v>Abrir facsímil</v>
      </c>
      <c r="K16533" s="10" t="s">
        <v>24</v>
      </c>
    </row>
    <row r="16534" spans="1:11" ht="54" customHeight="1">
      <c r="A16534" s="9" t="s">
        <v>33361</v>
      </c>
      <c r="B16534" s="9" t="s">
        <v>33361</v>
      </c>
      <c r="C16534" s="9" t="s">
        <v>17</v>
      </c>
      <c r="D16534" s="9" t="s">
        <v>18</v>
      </c>
      <c r="E16534" s="10" t="s">
        <v>304</v>
      </c>
      <c r="F16534" s="9" t="s">
        <v>305</v>
      </c>
      <c r="G16534" s="10" t="s">
        <v>176</v>
      </c>
      <c r="H16534" s="9" t="s">
        <v>22</v>
      </c>
      <c r="I16534" s="9" t="s">
        <v>33363</v>
      </c>
      <c r="J16534" s="10" t="str">
        <f>HYPERLINK("https://www.boe.es/gazeta/dias/1834/01/21/pdfs/GMD-1834-10.pdf#page=6","Abrir facsímil")</f>
        <v>Abrir facsímil</v>
      </c>
      <c r="K16534" s="10" t="s">
        <v>24</v>
      </c>
    </row>
    <row r="16535" spans="1:11" ht="54" customHeight="1">
      <c r="A16535" s="9" t="s">
        <v>33364</v>
      </c>
      <c r="B16535" s="9" t="s">
        <v>33364</v>
      </c>
      <c r="C16535" s="9" t="s">
        <v>17</v>
      </c>
      <c r="D16535" s="9" t="s">
        <v>18</v>
      </c>
      <c r="E16535" s="10" t="s">
        <v>653</v>
      </c>
      <c r="F16535" s="9" t="s">
        <v>654</v>
      </c>
      <c r="G16535" s="10" t="s">
        <v>75</v>
      </c>
      <c r="H16535" s="9" t="s">
        <v>22</v>
      </c>
      <c r="I16535" s="9" t="s">
        <v>33365</v>
      </c>
      <c r="J16535" s="10" t="str">
        <f>HYPERLINK("https://www.boe.es/gazeta/dias/1834/08/06/pdfs/GMD-C-1834-170.pdf#page=4","Abrir facsímil")</f>
        <v>Abrir facsímil</v>
      </c>
      <c r="K16535" s="10" t="s">
        <v>24</v>
      </c>
    </row>
    <row r="16536" spans="1:11" ht="54" customHeight="1">
      <c r="A16536" s="9" t="s">
        <v>33366</v>
      </c>
      <c r="B16536" s="9" t="s">
        <v>33367</v>
      </c>
      <c r="C16536" s="9" t="s">
        <v>66</v>
      </c>
      <c r="D16536" s="9" t="s">
        <v>67</v>
      </c>
      <c r="E16536" s="10" t="s">
        <v>1505</v>
      </c>
      <c r="F16536" s="9" t="s">
        <v>1506</v>
      </c>
      <c r="G16536" s="10" t="s">
        <v>21</v>
      </c>
      <c r="H16536" s="9" t="s">
        <v>22</v>
      </c>
      <c r="I16536" s="9" t="s">
        <v>33368</v>
      </c>
      <c r="J16536" s="10" t="str">
        <f>HYPERLINK("https://www.boe.es/gazeta/dias/1834/05/08/pdfs/GMD-1834-77.pdf#page=3","Abrir facsímil")</f>
        <v>Abrir facsímil</v>
      </c>
      <c r="K16536" s="10" t="s">
        <v>24</v>
      </c>
    </row>
    <row r="16537" spans="1:11" ht="54" customHeight="1">
      <c r="A16537" s="9" t="s">
        <v>33369</v>
      </c>
      <c r="B16537" s="9" t="s">
        <v>33369</v>
      </c>
      <c r="C16537" s="9" t="s">
        <v>17</v>
      </c>
      <c r="D16537" s="9" t="s">
        <v>55</v>
      </c>
      <c r="E16537" s="10" t="s">
        <v>2260</v>
      </c>
      <c r="F16537" s="9" t="s">
        <v>2263</v>
      </c>
      <c r="G16537" s="10" t="s">
        <v>470</v>
      </c>
      <c r="H16537" s="9" t="s">
        <v>22</v>
      </c>
      <c r="I16537" s="9" t="s">
        <v>33370</v>
      </c>
      <c r="J16537" s="10" t="str">
        <f>HYPERLINK("https://www.boe.es/gazeta/dias/1834/11/13/pdfs/GMD-C-1834-272.pdf#page=8","Abrir facsímil")</f>
        <v>Abrir facsímil</v>
      </c>
      <c r="K16537" s="10" t="s">
        <v>24</v>
      </c>
    </row>
    <row r="16538" spans="1:11" ht="54" customHeight="1">
      <c r="A16538" s="9" t="s">
        <v>33371</v>
      </c>
      <c r="B16538" s="9" t="s">
        <v>33371</v>
      </c>
      <c r="C16538" s="9" t="s">
        <v>17</v>
      </c>
      <c r="D16538" s="9" t="s">
        <v>18</v>
      </c>
      <c r="E16538" s="10" t="s">
        <v>233</v>
      </c>
      <c r="F16538" s="9" t="s">
        <v>1810</v>
      </c>
      <c r="G16538" s="10" t="s">
        <v>2272</v>
      </c>
      <c r="H16538" s="9" t="s">
        <v>22</v>
      </c>
      <c r="I16538" s="9" t="s">
        <v>33372</v>
      </c>
      <c r="J16538" s="10" t="str">
        <f>HYPERLINK("https://www.boe.es/gazeta/dias/1834/12/16/pdfs/GMD-C-1834-305.pdf#page=12","Abrir facsímil")</f>
        <v>Abrir facsímil</v>
      </c>
      <c r="K16538" s="10" t="s">
        <v>24</v>
      </c>
    </row>
    <row r="16539" spans="1:11" ht="54" customHeight="1">
      <c r="A16539" s="9" t="s">
        <v>33373</v>
      </c>
      <c r="B16539" s="9" t="s">
        <v>33373</v>
      </c>
      <c r="C16539" s="9" t="s">
        <v>90</v>
      </c>
      <c r="D16539" s="9" t="s">
        <v>67</v>
      </c>
      <c r="E16539" s="10" t="s">
        <v>1103</v>
      </c>
      <c r="F16539" s="9" t="s">
        <v>1104</v>
      </c>
      <c r="G16539" s="10" t="s">
        <v>21</v>
      </c>
      <c r="H16539" s="9" t="s">
        <v>22</v>
      </c>
      <c r="I16539" s="9" t="s">
        <v>33374</v>
      </c>
      <c r="J16539" s="10" t="str">
        <f>HYPERLINK("https://www.boe.es/gazeta/dias/1834/10/10/pdfs/GMD-C-1834-238.pdf#page=3","Abrir facsímil")</f>
        <v>Abrir facsímil</v>
      </c>
      <c r="K16539" s="10" t="s">
        <v>24</v>
      </c>
    </row>
    <row r="16540" spans="1:11" ht="54" customHeight="1">
      <c r="A16540" s="9" t="s">
        <v>33375</v>
      </c>
      <c r="B16540" s="9" t="s">
        <v>33376</v>
      </c>
      <c r="C16540" s="9" t="s">
        <v>857</v>
      </c>
      <c r="D16540" s="9" t="s">
        <v>18</v>
      </c>
      <c r="E16540" s="10" t="s">
        <v>981</v>
      </c>
      <c r="F16540" s="9" t="s">
        <v>982</v>
      </c>
      <c r="G16540" s="10" t="s">
        <v>75</v>
      </c>
      <c r="H16540" s="9" t="s">
        <v>22</v>
      </c>
      <c r="I16540" s="9" t="s">
        <v>33377</v>
      </c>
      <c r="J16540" s="10" t="str">
        <f>HYPERLINK("https://www.boe.es/gazeta/dias/1834/09/21/pdfs/GMD-1834-219.pdf#page=4","Abrir facsímil")</f>
        <v>Abrir facsímil</v>
      </c>
      <c r="K16540" s="10" t="s">
        <v>24</v>
      </c>
    </row>
    <row r="16541" spans="1:11" ht="54" customHeight="1">
      <c r="A16541" s="9" t="s">
        <v>33378</v>
      </c>
      <c r="B16541" s="9" t="s">
        <v>33379</v>
      </c>
      <c r="C16541" s="9" t="s">
        <v>66</v>
      </c>
      <c r="D16541" s="9" t="s">
        <v>67</v>
      </c>
      <c r="E16541" s="10" t="s">
        <v>133</v>
      </c>
      <c r="F16541" s="9" t="s">
        <v>134</v>
      </c>
      <c r="G16541" s="10" t="s">
        <v>34</v>
      </c>
      <c r="H16541" s="9" t="s">
        <v>22</v>
      </c>
      <c r="I16541" s="9" t="s">
        <v>33380</v>
      </c>
      <c r="J16541" s="10" t="str">
        <f>HYPERLINK("https://www.boe.es/gazeta/dias/1834/06/18/pdfs/GMD-1834-121.pdf#page=1","Abrir facsímil")</f>
        <v>Abrir facsímil</v>
      </c>
      <c r="K16541" s="10" t="s">
        <v>24</v>
      </c>
    </row>
    <row r="16542" spans="1:11" ht="54" customHeight="1">
      <c r="A16542" s="9" t="s">
        <v>33381</v>
      </c>
      <c r="B16542" s="9" t="s">
        <v>33381</v>
      </c>
      <c r="C16542" s="9" t="s">
        <v>17</v>
      </c>
      <c r="D16542" s="9" t="s">
        <v>18</v>
      </c>
      <c r="E16542" s="10" t="s">
        <v>371</v>
      </c>
      <c r="F16542" s="9" t="s">
        <v>372</v>
      </c>
      <c r="G16542" s="10" t="s">
        <v>86</v>
      </c>
      <c r="H16542" s="9" t="s">
        <v>22</v>
      </c>
      <c r="I16542" s="9" t="s">
        <v>33382</v>
      </c>
      <c r="J16542" s="10" t="str">
        <f>HYPERLINK("https://www.boe.es/gazeta/dias/1834/05/27/pdfs/GMD-1834-96.pdf#page=2","Abrir facsímil")</f>
        <v>Abrir facsímil</v>
      </c>
      <c r="K16542" s="10" t="s">
        <v>24</v>
      </c>
    </row>
    <row r="16543" spans="1:11" ht="54" customHeight="1">
      <c r="A16543" s="9" t="s">
        <v>33383</v>
      </c>
      <c r="B16543" s="9" t="s">
        <v>33383</v>
      </c>
      <c r="C16543" s="9" t="s">
        <v>17</v>
      </c>
      <c r="D16543" s="9" t="s">
        <v>18</v>
      </c>
      <c r="E16543" s="10" t="s">
        <v>844</v>
      </c>
      <c r="F16543" s="9" t="s">
        <v>845</v>
      </c>
      <c r="G16543" s="10" t="s">
        <v>21</v>
      </c>
      <c r="H16543" s="9" t="s">
        <v>22</v>
      </c>
      <c r="I16543" s="9" t="s">
        <v>33384</v>
      </c>
      <c r="J16543" s="10" t="str">
        <f>HYPERLINK("https://www.boe.es/gazeta/dias/1834/03/13/pdfs/GMD-1834-32.pdf#page=3","Abrir facsímil")</f>
        <v>Abrir facsímil</v>
      </c>
      <c r="K16543" s="10" t="s">
        <v>24</v>
      </c>
    </row>
    <row r="16544" spans="1:11" ht="54" customHeight="1">
      <c r="A16544" s="9" t="s">
        <v>33383</v>
      </c>
      <c r="B16544" s="9" t="s">
        <v>33383</v>
      </c>
      <c r="C16544" s="9" t="s">
        <v>17</v>
      </c>
      <c r="D16544" s="9" t="s">
        <v>18</v>
      </c>
      <c r="E16544" s="10" t="s">
        <v>451</v>
      </c>
      <c r="F16544" s="9" t="s">
        <v>3350</v>
      </c>
      <c r="G16544" s="10" t="s">
        <v>75</v>
      </c>
      <c r="H16544" s="9" t="s">
        <v>22</v>
      </c>
      <c r="I16544" s="9" t="s">
        <v>33385</v>
      </c>
      <c r="J16544" s="10" t="str">
        <f>HYPERLINK("https://www.boe.es/gazeta/dias/1834/10/15/pdfs/GMD-1834-243.pdf#page=4","Abrir facsímil")</f>
        <v>Abrir facsímil</v>
      </c>
      <c r="K16544" s="10" t="s">
        <v>24</v>
      </c>
    </row>
    <row r="16545" spans="1:11" ht="54" customHeight="1">
      <c r="A16545" s="9" t="s">
        <v>33383</v>
      </c>
      <c r="B16545" s="9" t="s">
        <v>33383</v>
      </c>
      <c r="C16545" s="9" t="s">
        <v>17</v>
      </c>
      <c r="D16545" s="9" t="s">
        <v>40</v>
      </c>
      <c r="E16545" s="10" t="s">
        <v>2398</v>
      </c>
      <c r="F16545" s="9" t="s">
        <v>2399</v>
      </c>
      <c r="G16545" s="10" t="s">
        <v>75</v>
      </c>
      <c r="H16545" s="9" t="s">
        <v>22</v>
      </c>
      <c r="I16545" s="9" t="s">
        <v>33386</v>
      </c>
      <c r="J16545" s="10" t="str">
        <f>HYPERLINK("https://www.boe.es/gazeta/dias/1834/01/16/pdfs/GMD-1834-8.pdf#page=4","Abrir facsímil")</f>
        <v>Abrir facsímil</v>
      </c>
      <c r="K16545" s="10" t="s">
        <v>24</v>
      </c>
    </row>
    <row r="16546" spans="1:11" ht="54" customHeight="1">
      <c r="A16546" s="9" t="s">
        <v>33383</v>
      </c>
      <c r="B16546" s="9" t="s">
        <v>33383</v>
      </c>
      <c r="C16546" s="9" t="s">
        <v>46</v>
      </c>
      <c r="D16546" s="9" t="s">
        <v>101</v>
      </c>
      <c r="E16546" s="10" t="s">
        <v>1394</v>
      </c>
      <c r="F16546" s="9" t="s">
        <v>2923</v>
      </c>
      <c r="G16546" s="10" t="s">
        <v>34</v>
      </c>
      <c r="H16546" s="9" t="s">
        <v>22</v>
      </c>
      <c r="I16546" s="9" t="s">
        <v>33387</v>
      </c>
      <c r="J16546" s="10" t="str">
        <f>HYPERLINK("https://www.boe.es/gazeta/dias/1834/04/16/pdfs/GMD-C-1834-55.pdf#page=1","Abrir facsímil")</f>
        <v>Abrir facsímil</v>
      </c>
      <c r="K16546" s="10" t="s">
        <v>24</v>
      </c>
    </row>
    <row r="16547" spans="1:11" ht="54" customHeight="1">
      <c r="A16547" s="9" t="s">
        <v>33383</v>
      </c>
      <c r="B16547" s="9" t="s">
        <v>33383</v>
      </c>
      <c r="C16547" s="9" t="s">
        <v>66</v>
      </c>
      <c r="D16547" s="9" t="s">
        <v>67</v>
      </c>
      <c r="E16547" s="10" t="s">
        <v>1125</v>
      </c>
      <c r="F16547" s="9" t="s">
        <v>1126</v>
      </c>
      <c r="G16547" s="10" t="s">
        <v>34</v>
      </c>
      <c r="H16547" s="9" t="s">
        <v>22</v>
      </c>
      <c r="I16547" s="9" t="s">
        <v>33388</v>
      </c>
      <c r="J16547" s="10" t="str">
        <f>HYPERLINK("https://www.boe.es/gazeta/dias/1834/04/17/pdfs/GMD-C-1834-56.pdf#page=1","Abrir facsímil")</f>
        <v>Abrir facsímil</v>
      </c>
      <c r="K16547" s="10" t="s">
        <v>24</v>
      </c>
    </row>
    <row r="16548" spans="1:11" ht="54" customHeight="1">
      <c r="A16548" s="9" t="s">
        <v>33383</v>
      </c>
      <c r="B16548" s="9" t="s">
        <v>33383</v>
      </c>
      <c r="C16548" s="9" t="s">
        <v>122</v>
      </c>
      <c r="D16548" s="9" t="s">
        <v>40</v>
      </c>
      <c r="E16548" s="10" t="s">
        <v>1125</v>
      </c>
      <c r="F16548" s="9" t="s">
        <v>1126</v>
      </c>
      <c r="G16548" s="10" t="s">
        <v>86</v>
      </c>
      <c r="H16548" s="9" t="s">
        <v>22</v>
      </c>
      <c r="I16548" s="9" t="s">
        <v>33389</v>
      </c>
      <c r="J16548" s="10" t="str">
        <f>HYPERLINK("https://www.boe.es/gazeta/dias/1834/04/17/pdfs/GMD-C-1834-56.pdf#page=2","Abrir facsímil")</f>
        <v>Abrir facsímil</v>
      </c>
      <c r="K16548" s="10" t="s">
        <v>24</v>
      </c>
    </row>
    <row r="16549" spans="1:11" ht="54" customHeight="1">
      <c r="A16549" s="9" t="s">
        <v>33383</v>
      </c>
      <c r="B16549" s="9" t="s">
        <v>33383</v>
      </c>
      <c r="C16549" s="9" t="s">
        <v>66</v>
      </c>
      <c r="D16549" s="9" t="s">
        <v>67</v>
      </c>
      <c r="E16549" s="10" t="s">
        <v>1239</v>
      </c>
      <c r="F16549" s="9" t="s">
        <v>1240</v>
      </c>
      <c r="G16549" s="10" t="s">
        <v>21</v>
      </c>
      <c r="H16549" s="9" t="s">
        <v>22</v>
      </c>
      <c r="I16549" s="9" t="s">
        <v>33390</v>
      </c>
      <c r="J16549" s="10" t="str">
        <f>HYPERLINK("https://www.boe.es/gazeta/dias/1834/08/20/pdfs/GMD-1834-186.pdf#page=3","Abrir facsímil")</f>
        <v>Abrir facsímil</v>
      </c>
      <c r="K16549" s="10" t="s">
        <v>24</v>
      </c>
    </row>
    <row r="16550" spans="1:11" ht="54" customHeight="1">
      <c r="A16550" s="9" t="s">
        <v>33383</v>
      </c>
      <c r="B16550" s="9" t="s">
        <v>33383</v>
      </c>
      <c r="C16550" s="9" t="s">
        <v>17</v>
      </c>
      <c r="D16550" s="9" t="s">
        <v>40</v>
      </c>
      <c r="E16550" s="10" t="s">
        <v>1239</v>
      </c>
      <c r="F16550" s="9" t="s">
        <v>1240</v>
      </c>
      <c r="G16550" s="10" t="s">
        <v>75</v>
      </c>
      <c r="H16550" s="9" t="s">
        <v>22</v>
      </c>
      <c r="I16550" s="9" t="s">
        <v>33391</v>
      </c>
      <c r="J16550" s="10" t="str">
        <f>HYPERLINK("https://www.boe.es/gazeta/dias/1834/08/20/pdfs/GMD-1834-186.pdf#page=4","Abrir facsímil")</f>
        <v>Abrir facsímil</v>
      </c>
      <c r="K16550" s="10" t="s">
        <v>24</v>
      </c>
    </row>
    <row r="16551" spans="1:11" ht="54" customHeight="1">
      <c r="A16551" s="9" t="s">
        <v>33383</v>
      </c>
      <c r="B16551" s="9" t="s">
        <v>33383</v>
      </c>
      <c r="C16551" s="9" t="s">
        <v>17</v>
      </c>
      <c r="D16551" s="9" t="s">
        <v>18</v>
      </c>
      <c r="E16551" s="10" t="s">
        <v>702</v>
      </c>
      <c r="F16551" s="9" t="s">
        <v>2427</v>
      </c>
      <c r="G16551" s="10" t="s">
        <v>75</v>
      </c>
      <c r="H16551" s="9" t="s">
        <v>22</v>
      </c>
      <c r="I16551" s="9" t="s">
        <v>33392</v>
      </c>
      <c r="J16551" s="10" t="str">
        <f>HYPERLINK("https://www.boe.es/gazeta/dias/1834/11/22/pdfs/GMD-1834-281.pdf#page=4","Abrir facsímil")</f>
        <v>Abrir facsímil</v>
      </c>
      <c r="K16551" s="10" t="s">
        <v>24</v>
      </c>
    </row>
    <row r="16552" spans="1:11" ht="54" customHeight="1">
      <c r="A16552" s="9" t="s">
        <v>33393</v>
      </c>
      <c r="B16552" s="9" t="s">
        <v>33393</v>
      </c>
      <c r="C16552" s="9" t="s">
        <v>17</v>
      </c>
      <c r="D16552" s="9" t="s">
        <v>101</v>
      </c>
      <c r="E16552" s="10" t="s">
        <v>2142</v>
      </c>
      <c r="F16552" s="9" t="s">
        <v>2143</v>
      </c>
      <c r="G16552" s="10" t="s">
        <v>21</v>
      </c>
      <c r="H16552" s="9" t="s">
        <v>22</v>
      </c>
      <c r="I16552" s="9" t="s">
        <v>33394</v>
      </c>
      <c r="J16552" s="10" t="str">
        <f>HYPERLINK("https://www.boe.es/gazeta/dias/1834/12/27/pdfs/GMD-1834-317.pdf#page=3","Abrir facsímil")</f>
        <v>Abrir facsímil</v>
      </c>
      <c r="K16552" s="10" t="s">
        <v>24</v>
      </c>
    </row>
    <row r="16553" spans="1:11" ht="54" customHeight="1">
      <c r="A16553" s="9" t="s">
        <v>33395</v>
      </c>
      <c r="B16553" s="9" t="s">
        <v>33396</v>
      </c>
      <c r="C16553" s="9" t="s">
        <v>17</v>
      </c>
      <c r="D16553" s="9" t="s">
        <v>18</v>
      </c>
      <c r="E16553" s="10" t="s">
        <v>813</v>
      </c>
      <c r="F16553" s="9" t="s">
        <v>814</v>
      </c>
      <c r="G16553" s="10" t="s">
        <v>21</v>
      </c>
      <c r="H16553" s="9" t="s">
        <v>35</v>
      </c>
      <c r="I16553" s="9" t="s">
        <v>33397</v>
      </c>
      <c r="J16553" s="10" t="str">
        <f>HYPERLINK("https://www.boe.es/gazeta/dias/1834/08/08/pdfs/GMD-1834-173.pdf#page=3","Abrir facsímil")</f>
        <v>Abrir facsímil</v>
      </c>
      <c r="K16553" s="10" t="s">
        <v>37</v>
      </c>
    </row>
    <row r="16554" spans="1:11" ht="54" customHeight="1">
      <c r="A16554" s="9" t="s">
        <v>33398</v>
      </c>
      <c r="B16554" s="9" t="s">
        <v>33399</v>
      </c>
      <c r="C16554" s="9" t="s">
        <v>17</v>
      </c>
      <c r="D16554" s="9" t="s">
        <v>18</v>
      </c>
      <c r="E16554" s="10" t="s">
        <v>364</v>
      </c>
      <c r="F16554" s="9" t="s">
        <v>365</v>
      </c>
      <c r="G16554" s="10" t="s">
        <v>34</v>
      </c>
      <c r="H16554" s="9" t="s">
        <v>22</v>
      </c>
      <c r="I16554" s="9" t="s">
        <v>33400</v>
      </c>
      <c r="J16554" s="10" t="str">
        <f>HYPERLINK("https://www.boe.es/gazeta/dias/1834/09/06/pdfs/GMD-D-1834-204.pdf#page=1","Abrir facsímil")</f>
        <v>Abrir facsímil</v>
      </c>
      <c r="K16554" s="10" t="s">
        <v>24</v>
      </c>
    </row>
    <row r="16555" spans="1:11" ht="54" customHeight="1">
      <c r="A16555" s="9" t="s">
        <v>33401</v>
      </c>
      <c r="B16555" s="9" t="s">
        <v>33402</v>
      </c>
      <c r="C16555" s="9" t="s">
        <v>17</v>
      </c>
      <c r="D16555" s="9" t="s">
        <v>18</v>
      </c>
      <c r="E16555" s="10" t="s">
        <v>813</v>
      </c>
      <c r="F16555" s="9" t="s">
        <v>814</v>
      </c>
      <c r="G16555" s="10" t="s">
        <v>21</v>
      </c>
      <c r="H16555" s="9" t="s">
        <v>35</v>
      </c>
      <c r="I16555" s="9" t="s">
        <v>33403</v>
      </c>
      <c r="J16555" s="10" t="str">
        <f>HYPERLINK("https://www.boe.es/gazeta/dias/1834/08/08/pdfs/GMD-1834-173.pdf#page=3","Abrir facsímil")</f>
        <v>Abrir facsímil</v>
      </c>
      <c r="K16555" s="10" t="s">
        <v>37</v>
      </c>
    </row>
    <row r="16556" spans="1:11" ht="54" customHeight="1">
      <c r="A16556" s="9" t="s">
        <v>33404</v>
      </c>
      <c r="B16556" s="9" t="s">
        <v>33405</v>
      </c>
      <c r="C16556" s="9" t="s">
        <v>66</v>
      </c>
      <c r="D16556" s="9" t="s">
        <v>67</v>
      </c>
      <c r="E16556" s="10" t="s">
        <v>2945</v>
      </c>
      <c r="F16556" s="9" t="s">
        <v>2946</v>
      </c>
      <c r="G16556" s="10" t="s">
        <v>75</v>
      </c>
      <c r="H16556" s="9" t="s">
        <v>35</v>
      </c>
      <c r="I16556" s="9" t="s">
        <v>33406</v>
      </c>
      <c r="J16556" s="10" t="str">
        <f>HYPERLINK("https://www.boe.es/gazeta/dias/1834/05/29/pdfs/GMD-1834-98.pdf#page=4","Abrir facsímil")</f>
        <v>Abrir facsímil</v>
      </c>
      <c r="K16556" s="10" t="s">
        <v>37</v>
      </c>
    </row>
    <row r="16557" spans="1:11" ht="54" customHeight="1">
      <c r="A16557" s="9" t="s">
        <v>33407</v>
      </c>
      <c r="B16557" s="9" t="s">
        <v>33408</v>
      </c>
      <c r="C16557" s="9" t="s">
        <v>17</v>
      </c>
      <c r="D16557" s="9" t="s">
        <v>18</v>
      </c>
      <c r="E16557" s="10" t="s">
        <v>408</v>
      </c>
      <c r="F16557" s="9" t="s">
        <v>409</v>
      </c>
      <c r="G16557" s="10" t="s">
        <v>75</v>
      </c>
      <c r="H16557" s="9" t="s">
        <v>35</v>
      </c>
      <c r="I16557" s="9" t="s">
        <v>33409</v>
      </c>
      <c r="J16557" s="10" t="str">
        <f>HYPERLINK("https://www.boe.es/gazeta/dias/1834/04/28/pdfs/GMD-1834-67.pdf#page=4","Abrir facsímil")</f>
        <v>Abrir facsímil</v>
      </c>
      <c r="K16557" s="10" t="s">
        <v>37</v>
      </c>
    </row>
    <row r="16558" spans="1:11" ht="54" customHeight="1">
      <c r="A16558" s="9" t="s">
        <v>33410</v>
      </c>
      <c r="B16558" s="9" t="s">
        <v>33411</v>
      </c>
      <c r="C16558" s="9" t="s">
        <v>66</v>
      </c>
      <c r="D16558" s="9" t="s">
        <v>67</v>
      </c>
      <c r="E16558" s="10" t="s">
        <v>2945</v>
      </c>
      <c r="F16558" s="9" t="s">
        <v>2946</v>
      </c>
      <c r="G16558" s="10" t="s">
        <v>75</v>
      </c>
      <c r="H16558" s="9" t="s">
        <v>22</v>
      </c>
      <c r="I16558" s="9" t="s">
        <v>33412</v>
      </c>
      <c r="J16558" s="10" t="str">
        <f>HYPERLINK("https://www.boe.es/gazeta/dias/1834/05/29/pdfs/GMD-1834-98.pdf#page=4","Abrir facsímil")</f>
        <v>Abrir facsímil</v>
      </c>
      <c r="K16558" s="10" t="s">
        <v>24</v>
      </c>
    </row>
    <row r="16559" spans="1:11" ht="54" customHeight="1">
      <c r="A16559" s="9" t="s">
        <v>33413</v>
      </c>
      <c r="B16559" s="9" t="s">
        <v>33414</v>
      </c>
      <c r="C16559" s="9" t="s">
        <v>17</v>
      </c>
      <c r="D16559" s="9" t="s">
        <v>18</v>
      </c>
      <c r="E16559" s="10" t="s">
        <v>408</v>
      </c>
      <c r="F16559" s="9" t="s">
        <v>409</v>
      </c>
      <c r="G16559" s="10" t="s">
        <v>75</v>
      </c>
      <c r="H16559" s="9" t="s">
        <v>22</v>
      </c>
      <c r="I16559" s="9" t="s">
        <v>33415</v>
      </c>
      <c r="J16559" s="10" t="str">
        <f>HYPERLINK("https://www.boe.es/gazeta/dias/1834/04/28/pdfs/GMD-1834-67.pdf#page=4","Abrir facsímil")</f>
        <v>Abrir facsímil</v>
      </c>
      <c r="K16559" s="10" t="s">
        <v>24</v>
      </c>
    </row>
    <row r="16560" spans="1:11" ht="54" customHeight="1">
      <c r="A16560" s="9" t="s">
        <v>33416</v>
      </c>
      <c r="B16560" s="9" t="s">
        <v>33416</v>
      </c>
      <c r="C16560" s="9" t="s">
        <v>857</v>
      </c>
      <c r="D16560" s="9" t="s">
        <v>40</v>
      </c>
      <c r="E16560" s="10" t="s">
        <v>690</v>
      </c>
      <c r="F16560" s="9" t="s">
        <v>691</v>
      </c>
      <c r="G16560" s="10" t="s">
        <v>176</v>
      </c>
      <c r="H16560" s="9" t="s">
        <v>22</v>
      </c>
      <c r="I16560" s="9" t="s">
        <v>33417</v>
      </c>
      <c r="J16560" s="10" t="str">
        <f>HYPERLINK("https://www.boe.es/gazeta/dias/1834/09/03/pdfs/GMD-C-1834-201.pdf#page=6","Abrir facsímil")</f>
        <v>Abrir facsímil</v>
      </c>
      <c r="K16560" s="10" t="s">
        <v>24</v>
      </c>
    </row>
    <row r="16561" spans="1:11" ht="54" customHeight="1">
      <c r="A16561" s="9" t="s">
        <v>33418</v>
      </c>
      <c r="B16561" s="9" t="s">
        <v>33419</v>
      </c>
      <c r="C16561" s="9" t="s">
        <v>857</v>
      </c>
      <c r="D16561" s="9" t="s">
        <v>40</v>
      </c>
      <c r="E16561" s="10" t="s">
        <v>690</v>
      </c>
      <c r="F16561" s="9" t="s">
        <v>691</v>
      </c>
      <c r="G16561" s="10" t="s">
        <v>176</v>
      </c>
      <c r="H16561" s="9" t="s">
        <v>22</v>
      </c>
      <c r="I16561" s="9" t="s">
        <v>33420</v>
      </c>
      <c r="J16561" s="10" t="str">
        <f>HYPERLINK("https://www.boe.es/gazeta/dias/1834/09/03/pdfs/GMD-C-1834-201.pdf#page=6","Abrir facsímil")</f>
        <v>Abrir facsímil</v>
      </c>
      <c r="K16561" s="10" t="s">
        <v>24</v>
      </c>
    </row>
    <row r="16562" spans="1:11" ht="54" customHeight="1">
      <c r="A16562" s="9" t="s">
        <v>33421</v>
      </c>
      <c r="B16562" s="9" t="s">
        <v>33422</v>
      </c>
      <c r="C16562" s="9" t="s">
        <v>122</v>
      </c>
      <c r="D16562" s="9" t="s">
        <v>18</v>
      </c>
      <c r="E16562" s="10" t="s">
        <v>1170</v>
      </c>
      <c r="F16562" s="9" t="s">
        <v>1171</v>
      </c>
      <c r="G16562" s="10" t="s">
        <v>21</v>
      </c>
      <c r="H16562" s="9" t="s">
        <v>22</v>
      </c>
      <c r="I16562" s="9" t="s">
        <v>33423</v>
      </c>
      <c r="J16562" s="10" t="str">
        <f>HYPERLINK("https://www.boe.es/gazeta/dias/1834/01/07/pdfs/GMD-1834-4.pdf#page=3","Abrir facsímil")</f>
        <v>Abrir facsímil</v>
      </c>
      <c r="K16562" s="10" t="s">
        <v>24</v>
      </c>
    </row>
    <row r="16563" spans="1:11" ht="54" customHeight="1">
      <c r="A16563" s="9" t="s">
        <v>33424</v>
      </c>
      <c r="B16563" s="9" t="s">
        <v>33425</v>
      </c>
      <c r="C16563" s="9" t="s">
        <v>17</v>
      </c>
      <c r="D16563" s="9" t="s">
        <v>18</v>
      </c>
      <c r="E16563" s="10" t="s">
        <v>444</v>
      </c>
      <c r="F16563" s="9" t="s">
        <v>445</v>
      </c>
      <c r="G16563" s="10" t="s">
        <v>34</v>
      </c>
      <c r="H16563" s="9" t="s">
        <v>22</v>
      </c>
      <c r="I16563" s="9" t="s">
        <v>33426</v>
      </c>
      <c r="J16563" s="10" t="str">
        <f>HYPERLINK("https://www.boe.es/gazeta/dias/1834/09/12/pdfs/GMD-C-1834-210.pdf#page=1","Abrir facsímil")</f>
        <v>Abrir facsímil</v>
      </c>
      <c r="K16563" s="10" t="s">
        <v>24</v>
      </c>
    </row>
    <row r="16564" spans="1:11" ht="54" customHeight="1">
      <c r="A16564" s="9" t="s">
        <v>33427</v>
      </c>
      <c r="B16564" s="9" t="s">
        <v>33427</v>
      </c>
      <c r="C16564" s="9" t="s">
        <v>122</v>
      </c>
      <c r="D16564" s="9" t="s">
        <v>40</v>
      </c>
      <c r="E16564" s="10" t="s">
        <v>3471</v>
      </c>
      <c r="F16564" s="9" t="s">
        <v>3472</v>
      </c>
      <c r="G16564" s="10" t="s">
        <v>21</v>
      </c>
      <c r="H16564" s="9" t="s">
        <v>22</v>
      </c>
      <c r="I16564" s="9" t="s">
        <v>33428</v>
      </c>
      <c r="J16564" s="10" t="str">
        <f>HYPERLINK("https://www.boe.es/gazeta/dias/1834/07/07/pdfs/GMD-1834-140.pdf#page=3","Abrir facsímil")</f>
        <v>Abrir facsímil</v>
      </c>
      <c r="K16564" s="10" t="s">
        <v>24</v>
      </c>
    </row>
    <row r="16565" spans="1:11" ht="54" customHeight="1">
      <c r="A16565" s="9" t="s">
        <v>33429</v>
      </c>
      <c r="B16565" s="9" t="s">
        <v>33429</v>
      </c>
      <c r="C16565" s="9" t="s">
        <v>66</v>
      </c>
      <c r="D16565" s="9" t="s">
        <v>67</v>
      </c>
      <c r="E16565" s="10" t="s">
        <v>647</v>
      </c>
      <c r="F16565" s="9" t="s">
        <v>2176</v>
      </c>
      <c r="G16565" s="10" t="s">
        <v>21</v>
      </c>
      <c r="H16565" s="9" t="s">
        <v>22</v>
      </c>
      <c r="I16565" s="9" t="s">
        <v>33430</v>
      </c>
      <c r="J16565" s="10" t="str">
        <f>HYPERLINK("https://www.boe.es/gazeta/dias/1834/10/21/pdfs/GMD-1834-249.pdf#page=3","Abrir facsímil")</f>
        <v>Abrir facsímil</v>
      </c>
      <c r="K16565" s="10" t="s">
        <v>24</v>
      </c>
    </row>
    <row r="16566" spans="1:11" ht="54" customHeight="1">
      <c r="A16566" s="9" t="s">
        <v>33431</v>
      </c>
      <c r="B16566" s="9" t="s">
        <v>33432</v>
      </c>
      <c r="C16566" s="9" t="s">
        <v>17</v>
      </c>
      <c r="D16566" s="9" t="s">
        <v>18</v>
      </c>
      <c r="E16566" s="10" t="s">
        <v>803</v>
      </c>
      <c r="F16566" s="9" t="s">
        <v>804</v>
      </c>
      <c r="G16566" s="10" t="s">
        <v>75</v>
      </c>
      <c r="H16566" s="9" t="s">
        <v>22</v>
      </c>
      <c r="I16566" s="9" t="s">
        <v>33433</v>
      </c>
      <c r="J16566" s="10" t="str">
        <f>HYPERLINK("https://www.boe.es/gazeta/dias/1834/03/29/pdfs/GMD-1834-39.pdf#page=4","Abrir facsímil")</f>
        <v>Abrir facsímil</v>
      </c>
      <c r="K16566" s="10" t="s">
        <v>24</v>
      </c>
    </row>
    <row r="16567" spans="1:11" ht="54" customHeight="1">
      <c r="A16567" s="9" t="s">
        <v>33434</v>
      </c>
      <c r="B16567" s="9" t="s">
        <v>33435</v>
      </c>
      <c r="C16567" s="9" t="s">
        <v>46</v>
      </c>
      <c r="D16567" s="9" t="s">
        <v>101</v>
      </c>
      <c r="E16567" s="10" t="s">
        <v>2945</v>
      </c>
      <c r="F16567" s="9" t="s">
        <v>2946</v>
      </c>
      <c r="G16567" s="10" t="s">
        <v>75</v>
      </c>
      <c r="H16567" s="9" t="s">
        <v>22</v>
      </c>
      <c r="I16567" s="9" t="s">
        <v>33436</v>
      </c>
      <c r="J16567" s="10" t="str">
        <f>HYPERLINK("https://www.boe.es/gazeta/dias/1834/05/29/pdfs/GMD-1834-98.pdf#page=4","Abrir facsímil")</f>
        <v>Abrir facsímil</v>
      </c>
      <c r="K16567" s="10" t="s">
        <v>24</v>
      </c>
    </row>
    <row r="16568" spans="1:11" ht="54" customHeight="1">
      <c r="A16568" s="9" t="s">
        <v>33437</v>
      </c>
      <c r="B16568" s="9" t="s">
        <v>33437</v>
      </c>
      <c r="C16568" s="9" t="s">
        <v>17</v>
      </c>
      <c r="D16568" s="9" t="s">
        <v>18</v>
      </c>
      <c r="E16568" s="10" t="s">
        <v>468</v>
      </c>
      <c r="F16568" s="9" t="s">
        <v>11413</v>
      </c>
      <c r="G16568" s="10" t="s">
        <v>75</v>
      </c>
      <c r="H16568" s="9" t="s">
        <v>22</v>
      </c>
      <c r="I16568" s="9" t="s">
        <v>33438</v>
      </c>
      <c r="J16568" s="10" t="str">
        <f>HYPERLINK("https://www.boe.es/gazeta/dias/1834/12/28/pdfs/GMD-1834-318.pdf#page=4","Abrir facsímil")</f>
        <v>Abrir facsímil</v>
      </c>
      <c r="K16568" s="10" t="s">
        <v>24</v>
      </c>
    </row>
    <row r="16569" spans="1:11" ht="54" customHeight="1">
      <c r="A16569" s="9" t="s">
        <v>33439</v>
      </c>
      <c r="B16569" s="9" t="s">
        <v>33440</v>
      </c>
      <c r="C16569" s="9" t="s">
        <v>17</v>
      </c>
      <c r="D16569" s="9" t="s">
        <v>18</v>
      </c>
      <c r="E16569" s="10" t="s">
        <v>1839</v>
      </c>
      <c r="F16569" s="9" t="s">
        <v>3598</v>
      </c>
      <c r="G16569" s="10" t="s">
        <v>75</v>
      </c>
      <c r="H16569" s="9" t="s">
        <v>22</v>
      </c>
      <c r="I16569" s="9" t="s">
        <v>33441</v>
      </c>
      <c r="J16569" s="10" t="str">
        <f>HYPERLINK("https://www.boe.es/gazeta/dias/1834/08/12/pdfs/GMD-1834-177.pdf#page=4","Abrir facsímil")</f>
        <v>Abrir facsímil</v>
      </c>
      <c r="K16569" s="10" t="s">
        <v>24</v>
      </c>
    </row>
    <row r="16570" spans="1:11" ht="54" customHeight="1">
      <c r="A16570" s="9" t="s">
        <v>33442</v>
      </c>
      <c r="B16570" s="9" t="s">
        <v>33442</v>
      </c>
      <c r="C16570" s="9" t="s">
        <v>46</v>
      </c>
      <c r="D16570" s="9" t="s">
        <v>18</v>
      </c>
      <c r="E16570" s="10" t="s">
        <v>1113</v>
      </c>
      <c r="F16570" s="9" t="s">
        <v>1114</v>
      </c>
      <c r="G16570" s="10" t="s">
        <v>86</v>
      </c>
      <c r="H16570" s="9" t="s">
        <v>22</v>
      </c>
      <c r="I16570" s="9" t="s">
        <v>33443</v>
      </c>
      <c r="J16570" s="10" t="str">
        <f>HYPERLINK("https://www.boe.es/gazeta/dias/1834/04/14/pdfs/GMD-1834-53.pdf#page=2","Abrir facsímil")</f>
        <v>Abrir facsímil</v>
      </c>
      <c r="K16570" s="10" t="s">
        <v>24</v>
      </c>
    </row>
    <row r="16571" spans="1:11" ht="54" customHeight="1">
      <c r="A16571" s="9" t="s">
        <v>33444</v>
      </c>
      <c r="B16571" s="9" t="s">
        <v>33445</v>
      </c>
      <c r="C16571" s="9" t="s">
        <v>17</v>
      </c>
      <c r="D16571" s="9" t="s">
        <v>18</v>
      </c>
      <c r="E16571" s="10" t="s">
        <v>73</v>
      </c>
      <c r="F16571" s="9" t="s">
        <v>74</v>
      </c>
      <c r="G16571" s="10" t="s">
        <v>75</v>
      </c>
      <c r="H16571" s="9" t="s">
        <v>22</v>
      </c>
      <c r="I16571" s="9" t="s">
        <v>33446</v>
      </c>
      <c r="J16571" s="10" t="str">
        <f>HYPERLINK("https://www.boe.es/gazeta/dias/1834/11/04/pdfs/GMD-1834-263.pdf#page=4","Abrir facsímil")</f>
        <v>Abrir facsímil</v>
      </c>
      <c r="K16571" s="10" t="s">
        <v>24</v>
      </c>
    </row>
    <row r="16572" spans="1:11" ht="54" customHeight="1">
      <c r="A16572" s="9" t="s">
        <v>33447</v>
      </c>
      <c r="B16572" s="9" t="s">
        <v>33448</v>
      </c>
      <c r="C16572" s="9" t="s">
        <v>17</v>
      </c>
      <c r="D16572" s="9" t="s">
        <v>18</v>
      </c>
      <c r="E16572" s="10" t="s">
        <v>777</v>
      </c>
      <c r="F16572" s="9" t="s">
        <v>778</v>
      </c>
      <c r="G16572" s="10" t="s">
        <v>75</v>
      </c>
      <c r="H16572" s="9" t="s">
        <v>22</v>
      </c>
      <c r="I16572" s="9" t="s">
        <v>33449</v>
      </c>
      <c r="J16572" s="10" t="str">
        <f>HYPERLINK("https://www.boe.es/gazeta/dias/1834/10/29/pdfs/GMD-1834-257.pdf#page=4","Abrir facsímil")</f>
        <v>Abrir facsímil</v>
      </c>
      <c r="K16572" s="10" t="s">
        <v>24</v>
      </c>
    </row>
    <row r="16573" spans="1:11" ht="54" customHeight="1">
      <c r="A16573" s="9" t="s">
        <v>33450</v>
      </c>
      <c r="B16573" s="9" t="s">
        <v>33451</v>
      </c>
      <c r="C16573" s="9" t="s">
        <v>66</v>
      </c>
      <c r="D16573" s="9" t="s">
        <v>18</v>
      </c>
      <c r="E16573" s="10" t="s">
        <v>2087</v>
      </c>
      <c r="F16573" s="9" t="s">
        <v>2088</v>
      </c>
      <c r="G16573" s="10" t="s">
        <v>34</v>
      </c>
      <c r="H16573" s="9" t="s">
        <v>22</v>
      </c>
      <c r="I16573" s="9" t="s">
        <v>33452</v>
      </c>
      <c r="J16573" s="10" t="str">
        <f>HYPERLINK("https://www.boe.es/gazeta/dias/1834/12/14/pdfs/GMD-1834-303.pdf#page=1","Abrir facsímil")</f>
        <v>Abrir facsímil</v>
      </c>
      <c r="K16573" s="10" t="s">
        <v>24</v>
      </c>
    </row>
    <row r="16574" spans="1:11" ht="54" customHeight="1">
      <c r="A16574" s="9" t="s">
        <v>33453</v>
      </c>
      <c r="B16574" s="9" t="s">
        <v>33454</v>
      </c>
      <c r="C16574" s="9" t="s">
        <v>17</v>
      </c>
      <c r="D16574" s="9" t="s">
        <v>18</v>
      </c>
      <c r="E16574" s="10" t="s">
        <v>286</v>
      </c>
      <c r="F16574" s="9" t="s">
        <v>287</v>
      </c>
      <c r="G16574" s="10" t="s">
        <v>75</v>
      </c>
      <c r="H16574" s="9" t="s">
        <v>22</v>
      </c>
      <c r="I16574" s="9" t="s">
        <v>33455</v>
      </c>
      <c r="J16574" s="10" t="str">
        <f>HYPERLINK("https://www.boe.es/gazeta/dias/1834/08/30/pdfs/GMD-C-1834-196.pdf#page=4","Abrir facsímil")</f>
        <v>Abrir facsímil</v>
      </c>
      <c r="K16574" s="10" t="s">
        <v>24</v>
      </c>
    </row>
    <row r="16575" spans="1:11" ht="54" customHeight="1">
      <c r="A16575" s="9" t="s">
        <v>33456</v>
      </c>
      <c r="B16575" s="9" t="s">
        <v>33457</v>
      </c>
      <c r="C16575" s="9" t="s">
        <v>17</v>
      </c>
      <c r="D16575" s="9" t="s">
        <v>18</v>
      </c>
      <c r="E16575" s="10" t="s">
        <v>179</v>
      </c>
      <c r="F16575" s="9" t="s">
        <v>180</v>
      </c>
      <c r="G16575" s="10" t="s">
        <v>34</v>
      </c>
      <c r="H16575" s="9" t="s">
        <v>22</v>
      </c>
      <c r="I16575" s="9" t="s">
        <v>33458</v>
      </c>
      <c r="J16575" s="10" t="str">
        <f>HYPERLINK("https://www.boe.es/gazeta/dias/1834/10/28/pdfs/GMD-1834-256.pdf#page=1","Abrir facsímil")</f>
        <v>Abrir facsímil</v>
      </c>
      <c r="K16575" s="10" t="s">
        <v>24</v>
      </c>
    </row>
    <row r="16576" spans="1:11" ht="54" customHeight="1">
      <c r="A16576" s="9" t="s">
        <v>33459</v>
      </c>
      <c r="B16576" s="9" t="s">
        <v>33460</v>
      </c>
      <c r="C16576" s="9" t="s">
        <v>66</v>
      </c>
      <c r="D16576" s="9" t="s">
        <v>67</v>
      </c>
      <c r="E16576" s="10" t="s">
        <v>79</v>
      </c>
      <c r="F16576" s="9" t="s">
        <v>80</v>
      </c>
      <c r="G16576" s="10" t="s">
        <v>86</v>
      </c>
      <c r="H16576" s="9" t="s">
        <v>22</v>
      </c>
      <c r="I16576" s="9" t="s">
        <v>33461</v>
      </c>
      <c r="J16576" s="10" t="str">
        <f>HYPERLINK("https://www.boe.es/gazeta/dias/1834/07/12/pdfs/GMD-1834-145.pdf#page=2","Abrir facsímil")</f>
        <v>Abrir facsímil</v>
      </c>
      <c r="K16576" s="10" t="s">
        <v>24</v>
      </c>
    </row>
    <row r="16577" spans="1:11" ht="54" customHeight="1">
      <c r="A16577" s="9" t="s">
        <v>33462</v>
      </c>
      <c r="B16577" s="9" t="s">
        <v>33463</v>
      </c>
      <c r="C16577" s="9" t="s">
        <v>17</v>
      </c>
      <c r="D16577" s="9" t="s">
        <v>18</v>
      </c>
      <c r="E16577" s="10" t="s">
        <v>294</v>
      </c>
      <c r="F16577" s="9" t="s">
        <v>959</v>
      </c>
      <c r="G16577" s="10" t="s">
        <v>86</v>
      </c>
      <c r="H16577" s="9" t="s">
        <v>22</v>
      </c>
      <c r="I16577" s="9" t="s">
        <v>33464</v>
      </c>
      <c r="J16577" s="10" t="str">
        <f>HYPERLINK("https://www.boe.es/gazeta/dias/1834/09/27/pdfs/GMD-C-1834-225.pdf#page=2","Abrir facsímil")</f>
        <v>Abrir facsímil</v>
      </c>
      <c r="K16577" s="10" t="s">
        <v>24</v>
      </c>
    </row>
    <row r="16578" spans="1:11" ht="54" customHeight="1">
      <c r="A16578" s="9" t="s">
        <v>33465</v>
      </c>
      <c r="B16578" s="9" t="s">
        <v>33466</v>
      </c>
      <c r="C16578" s="9" t="s">
        <v>66</v>
      </c>
      <c r="D16578" s="9" t="s">
        <v>18</v>
      </c>
      <c r="E16578" s="10" t="s">
        <v>19</v>
      </c>
      <c r="F16578" s="9" t="s">
        <v>1933</v>
      </c>
      <c r="G16578" s="10" t="s">
        <v>86</v>
      </c>
      <c r="H16578" s="9" t="s">
        <v>22</v>
      </c>
      <c r="I16578" s="9" t="s">
        <v>33467</v>
      </c>
      <c r="J16578" s="10" t="str">
        <f>HYPERLINK("https://www.boe.es/gazeta/dias/1834/08/17/pdfs/GMD-1834-183E.pdf#page=2","Abrir facsímil")</f>
        <v>Abrir facsímil</v>
      </c>
      <c r="K16578" s="10" t="s">
        <v>24</v>
      </c>
    </row>
    <row r="16579" spans="1:11" ht="54" customHeight="1">
      <c r="A16579" s="9" t="s">
        <v>33468</v>
      </c>
      <c r="B16579" s="9" t="s">
        <v>33469</v>
      </c>
      <c r="C16579" s="9" t="s">
        <v>17</v>
      </c>
      <c r="D16579" s="9" t="s">
        <v>18</v>
      </c>
      <c r="E16579" s="10" t="s">
        <v>2596</v>
      </c>
      <c r="F16579" s="9" t="s">
        <v>2597</v>
      </c>
      <c r="G16579" s="10" t="s">
        <v>21</v>
      </c>
      <c r="H16579" s="9" t="s">
        <v>22</v>
      </c>
      <c r="I16579" s="9" t="s">
        <v>33470</v>
      </c>
      <c r="J16579" s="10" t="str">
        <f>HYPERLINK("https://www.boe.es/gazeta/dias/1834/10/22/pdfs/GMD-1834-250.pdf#page=3","Abrir facsímil")</f>
        <v>Abrir facsímil</v>
      </c>
      <c r="K16579" s="10" t="s">
        <v>24</v>
      </c>
    </row>
    <row r="16580" spans="1:11" ht="54" customHeight="1">
      <c r="A16580" s="9" t="s">
        <v>33471</v>
      </c>
      <c r="B16580" s="9" t="s">
        <v>33472</v>
      </c>
      <c r="C16580" s="9" t="s">
        <v>17</v>
      </c>
      <c r="D16580" s="9" t="s">
        <v>40</v>
      </c>
      <c r="E16580" s="10" t="s">
        <v>183</v>
      </c>
      <c r="F16580" s="9" t="s">
        <v>184</v>
      </c>
      <c r="G16580" s="10" t="s">
        <v>21</v>
      </c>
      <c r="H16580" s="9" t="s">
        <v>22</v>
      </c>
      <c r="I16580" s="9" t="s">
        <v>33473</v>
      </c>
      <c r="J16580" s="10" t="str">
        <f>HYPERLINK("https://www.boe.es/gazeta/dias/1834/03/18/pdfs/GMD-1834-34.pdf#page=3","Abrir facsímil")</f>
        <v>Abrir facsímil</v>
      </c>
      <c r="K16580" s="10" t="s">
        <v>24</v>
      </c>
    </row>
    <row r="16581" spans="1:11" ht="54" customHeight="1">
      <c r="A16581" s="9" t="s">
        <v>33474</v>
      </c>
      <c r="B16581" s="9" t="s">
        <v>33475</v>
      </c>
      <c r="C16581" s="9" t="s">
        <v>17</v>
      </c>
      <c r="D16581" s="9" t="s">
        <v>40</v>
      </c>
      <c r="E16581" s="10" t="s">
        <v>183</v>
      </c>
      <c r="F16581" s="9" t="s">
        <v>184</v>
      </c>
      <c r="G16581" s="10" t="s">
        <v>21</v>
      </c>
      <c r="H16581" s="9" t="s">
        <v>35</v>
      </c>
      <c r="I16581" s="9" t="s">
        <v>33476</v>
      </c>
      <c r="J16581" s="10" t="str">
        <f>HYPERLINK("https://www.boe.es/gazeta/dias/1834/03/18/pdfs/GMD-1834-34.pdf#page=3","Abrir facsímil")</f>
        <v>Abrir facsímil</v>
      </c>
      <c r="K16581" s="10" t="s">
        <v>37</v>
      </c>
    </row>
    <row r="16582" spans="1:11" ht="54" customHeight="1">
      <c r="A16582" s="9" t="s">
        <v>33477</v>
      </c>
      <c r="B16582" s="9" t="s">
        <v>33478</v>
      </c>
      <c r="C16582" s="9" t="s">
        <v>66</v>
      </c>
      <c r="D16582" s="9" t="s">
        <v>67</v>
      </c>
      <c r="E16582" s="10" t="s">
        <v>12114</v>
      </c>
      <c r="F16582" s="9" t="s">
        <v>12115</v>
      </c>
      <c r="G16582" s="10" t="s">
        <v>34</v>
      </c>
      <c r="H16582" s="9" t="s">
        <v>22</v>
      </c>
      <c r="I16582" s="9" t="s">
        <v>33479</v>
      </c>
      <c r="J16582" s="10" t="str">
        <f>HYPERLINK("https://www.boe.es/gazeta/dias/1834/04/08/pdfs/GMD-1834-47.pdf#page=1","Abrir facsímil")</f>
        <v>Abrir facsímil</v>
      </c>
      <c r="K16582" s="10" t="s">
        <v>24</v>
      </c>
    </row>
    <row r="16583" spans="1:11" ht="54" customHeight="1">
      <c r="A16583" s="9" t="s">
        <v>33480</v>
      </c>
      <c r="B16583" s="9" t="s">
        <v>33481</v>
      </c>
      <c r="C16583" s="9" t="s">
        <v>17</v>
      </c>
      <c r="D16583" s="9" t="s">
        <v>18</v>
      </c>
      <c r="E16583" s="10" t="s">
        <v>724</v>
      </c>
      <c r="F16583" s="9" t="s">
        <v>725</v>
      </c>
      <c r="G16583" s="10" t="s">
        <v>34</v>
      </c>
      <c r="H16583" s="9" t="s">
        <v>22</v>
      </c>
      <c r="I16583" s="9" t="s">
        <v>33482</v>
      </c>
      <c r="J16583" s="10" t="str">
        <f>HYPERLINK("https://www.boe.es/gazeta/dias/1834/04/25/pdfs/GMD-1834-64.pdf#page=1","Abrir facsímil")</f>
        <v>Abrir facsímil</v>
      </c>
      <c r="K16583" s="10" t="s">
        <v>24</v>
      </c>
    </row>
    <row r="16584" spans="1:11" ht="54" customHeight="1">
      <c r="A16584" s="9" t="s">
        <v>33483</v>
      </c>
      <c r="B16584" s="9" t="s">
        <v>33484</v>
      </c>
      <c r="C16584" s="9" t="s">
        <v>46</v>
      </c>
      <c r="D16584" s="9" t="s">
        <v>55</v>
      </c>
      <c r="E16584" s="10" t="s">
        <v>899</v>
      </c>
      <c r="F16584" s="9" t="s">
        <v>900</v>
      </c>
      <c r="G16584" s="10" t="s">
        <v>21</v>
      </c>
      <c r="H16584" s="9" t="s">
        <v>22</v>
      </c>
      <c r="I16584" s="9" t="s">
        <v>33485</v>
      </c>
      <c r="J16584" s="10" t="str">
        <f>HYPERLINK("https://www.boe.es/gazeta/dias/1834/01/30/pdfs/GMD-1834-14.pdf#page=3","Abrir facsímil")</f>
        <v>Abrir facsímil</v>
      </c>
      <c r="K16584" s="10" t="s">
        <v>24</v>
      </c>
    </row>
    <row r="16585" spans="1:11" ht="54" customHeight="1">
      <c r="A16585" s="9" t="s">
        <v>33486</v>
      </c>
      <c r="B16585" s="9" t="s">
        <v>33487</v>
      </c>
      <c r="C16585" s="9" t="s">
        <v>46</v>
      </c>
      <c r="D16585" s="9" t="s">
        <v>18</v>
      </c>
      <c r="E16585" s="10" t="s">
        <v>174</v>
      </c>
      <c r="F16585" s="9" t="s">
        <v>175</v>
      </c>
      <c r="G16585" s="10" t="s">
        <v>86</v>
      </c>
      <c r="H16585" s="9" t="s">
        <v>22</v>
      </c>
      <c r="I16585" s="9" t="s">
        <v>33488</v>
      </c>
      <c r="J16585" s="10" t="str">
        <f>HYPERLINK("https://www.boe.es/gazeta/dias/1834/03/27/pdfs/GMD-1834-38.pdf#page=2","Abrir facsímil")</f>
        <v>Abrir facsímil</v>
      </c>
      <c r="K16585" s="10" t="s">
        <v>24</v>
      </c>
    </row>
    <row r="16586" spans="1:11" ht="54" customHeight="1">
      <c r="A16586" s="9" t="s">
        <v>33489</v>
      </c>
      <c r="B16586" s="9" t="s">
        <v>33490</v>
      </c>
      <c r="C16586" s="9" t="s">
        <v>46</v>
      </c>
      <c r="D16586" s="9" t="s">
        <v>55</v>
      </c>
      <c r="E16586" s="10" t="s">
        <v>2379</v>
      </c>
      <c r="F16586" s="9" t="s">
        <v>2380</v>
      </c>
      <c r="G16586" s="10" t="s">
        <v>86</v>
      </c>
      <c r="H16586" s="9" t="s">
        <v>22</v>
      </c>
      <c r="I16586" s="9" t="s">
        <v>33491</v>
      </c>
      <c r="J16586" s="10" t="str">
        <f>HYPERLINK("https://www.boe.es/gazeta/dias/1834/04/03/pdfs/GMD-1834-42.pdf#page=2","Abrir facsímil")</f>
        <v>Abrir facsímil</v>
      </c>
      <c r="K16586" s="10" t="s">
        <v>24</v>
      </c>
    </row>
    <row r="16587" spans="1:11" ht="54" customHeight="1">
      <c r="A16587" s="9" t="s">
        <v>33492</v>
      </c>
      <c r="B16587" s="9" t="s">
        <v>33493</v>
      </c>
      <c r="C16587" s="9" t="s">
        <v>17</v>
      </c>
      <c r="D16587" s="9" t="s">
        <v>18</v>
      </c>
      <c r="E16587" s="10" t="s">
        <v>444</v>
      </c>
      <c r="F16587" s="9" t="s">
        <v>445</v>
      </c>
      <c r="G16587" s="10" t="s">
        <v>34</v>
      </c>
      <c r="H16587" s="9" t="s">
        <v>22</v>
      </c>
      <c r="I16587" s="9" t="s">
        <v>33494</v>
      </c>
      <c r="J16587" s="10" t="str">
        <f>HYPERLINK("https://www.boe.es/gazeta/dias/1834/09/12/pdfs/GMD-C-1834-210.pdf#page=1","Abrir facsímil")</f>
        <v>Abrir facsímil</v>
      </c>
      <c r="K16587" s="10" t="s">
        <v>24</v>
      </c>
    </row>
    <row r="16588" spans="1:11" ht="54" customHeight="1">
      <c r="A16588" s="9" t="s">
        <v>33495</v>
      </c>
      <c r="B16588" s="9" t="s">
        <v>33496</v>
      </c>
      <c r="C16588" s="9" t="s">
        <v>66</v>
      </c>
      <c r="D16588" s="9" t="s">
        <v>67</v>
      </c>
      <c r="E16588" s="10" t="s">
        <v>465</v>
      </c>
      <c r="F16588" s="9" t="s">
        <v>466</v>
      </c>
      <c r="G16588" s="10" t="s">
        <v>176</v>
      </c>
      <c r="H16588" s="9" t="s">
        <v>22</v>
      </c>
      <c r="I16588" s="9" t="s">
        <v>33497</v>
      </c>
      <c r="J16588" s="10" t="str">
        <f>HYPERLINK("https://www.boe.es/gazeta/dias/1834/11/27/pdfs/GMD-C-1834-286.pdf#page=6","Abrir facsímil")</f>
        <v>Abrir facsímil</v>
      </c>
      <c r="K16588" s="10" t="s">
        <v>24</v>
      </c>
    </row>
    <row r="16589" spans="1:11" ht="54" customHeight="1">
      <c r="A16589" s="9" t="s">
        <v>33498</v>
      </c>
      <c r="B16589" s="9" t="s">
        <v>33499</v>
      </c>
      <c r="C16589" s="9" t="s">
        <v>46</v>
      </c>
      <c r="D16589" s="9" t="s">
        <v>55</v>
      </c>
      <c r="E16589" s="10" t="s">
        <v>2302</v>
      </c>
      <c r="F16589" s="9" t="s">
        <v>2303</v>
      </c>
      <c r="G16589" s="10" t="s">
        <v>86</v>
      </c>
      <c r="H16589" s="9" t="s">
        <v>22</v>
      </c>
      <c r="I16589" s="9" t="s">
        <v>33500</v>
      </c>
      <c r="J16589" s="10" t="str">
        <f>HYPERLINK("https://www.boe.es/gazeta/dias/1834/01/25/pdfs/GMD-1834-12.pdf#page=2","Abrir facsímil")</f>
        <v>Abrir facsímil</v>
      </c>
      <c r="K16589" s="10" t="s">
        <v>24</v>
      </c>
    </row>
    <row r="16590" spans="1:11" ht="54" customHeight="1">
      <c r="A16590" s="9" t="s">
        <v>33501</v>
      </c>
      <c r="B16590" s="9" t="s">
        <v>33502</v>
      </c>
      <c r="C16590" s="9" t="s">
        <v>46</v>
      </c>
      <c r="D16590" s="9" t="s">
        <v>101</v>
      </c>
      <c r="E16590" s="10" t="s">
        <v>123</v>
      </c>
      <c r="F16590" s="9" t="s">
        <v>124</v>
      </c>
      <c r="G16590" s="10" t="s">
        <v>34</v>
      </c>
      <c r="H16590" s="9" t="s">
        <v>22</v>
      </c>
      <c r="I16590" s="9" t="s">
        <v>33503</v>
      </c>
      <c r="J16590" s="10" t="str">
        <f>HYPERLINK("https://www.boe.es/gazeta/dias/1834/07/11/pdfs/GMD-1834-144.pdf#page=1","Abrir facsímil")</f>
        <v>Abrir facsímil</v>
      </c>
      <c r="K16590" s="10" t="s">
        <v>24</v>
      </c>
    </row>
    <row r="16591" spans="1:11" ht="54" customHeight="1">
      <c r="A16591" s="9" t="s">
        <v>33504</v>
      </c>
      <c r="B16591" s="9" t="s">
        <v>33504</v>
      </c>
      <c r="C16591" s="9" t="s">
        <v>17</v>
      </c>
      <c r="D16591" s="9" t="s">
        <v>18</v>
      </c>
      <c r="E16591" s="10" t="s">
        <v>492</v>
      </c>
      <c r="F16591" s="9" t="s">
        <v>493</v>
      </c>
      <c r="G16591" s="10" t="s">
        <v>34</v>
      </c>
      <c r="H16591" s="9" t="s">
        <v>22</v>
      </c>
      <c r="I16591" s="9" t="s">
        <v>33505</v>
      </c>
      <c r="J16591" s="10" t="str">
        <f>HYPERLINK("https://www.boe.es/gazeta/dias/1834/11/21/pdfs/GMD-C-1834-280.pdf#page=1","Abrir facsímil")</f>
        <v>Abrir facsímil</v>
      </c>
      <c r="K16591" s="10" t="s">
        <v>24</v>
      </c>
    </row>
    <row r="16592" spans="1:11" ht="54" customHeight="1">
      <c r="A16592" s="9" t="s">
        <v>33506</v>
      </c>
      <c r="B16592" s="9" t="s">
        <v>33507</v>
      </c>
      <c r="C16592" s="9" t="s">
        <v>122</v>
      </c>
      <c r="D16592" s="9" t="s">
        <v>101</v>
      </c>
      <c r="E16592" s="10" t="s">
        <v>1742</v>
      </c>
      <c r="F16592" s="9" t="s">
        <v>1743</v>
      </c>
      <c r="G16592" s="10" t="s">
        <v>75</v>
      </c>
      <c r="H16592" s="9" t="s">
        <v>22</v>
      </c>
      <c r="I16592" s="9" t="s">
        <v>33508</v>
      </c>
      <c r="J16592" s="10" t="str">
        <f>HYPERLINK("https://www.boe.es/gazeta/dias/1834/11/06/pdfs/GMD-1834-265.pdf#page=4","Abrir facsímil")</f>
        <v>Abrir facsímil</v>
      </c>
      <c r="K16592" s="10" t="s">
        <v>24</v>
      </c>
    </row>
    <row r="16593" spans="1:11" ht="54" customHeight="1">
      <c r="A16593" s="9" t="s">
        <v>33506</v>
      </c>
      <c r="B16593" s="9" t="s">
        <v>33507</v>
      </c>
      <c r="C16593" s="9" t="s">
        <v>46</v>
      </c>
      <c r="D16593" s="9" t="s">
        <v>18</v>
      </c>
      <c r="E16593" s="10" t="s">
        <v>438</v>
      </c>
      <c r="F16593" s="9" t="s">
        <v>528</v>
      </c>
      <c r="G16593" s="10" t="s">
        <v>34</v>
      </c>
      <c r="H16593" s="9" t="s">
        <v>22</v>
      </c>
      <c r="I16593" s="9" t="s">
        <v>33509</v>
      </c>
      <c r="J16593" s="10" t="str">
        <f>HYPERLINK("https://www.boe.es/gazeta/dias/1834/11/09/pdfs/GMD-C-1834-268.pdf#page=1","Abrir facsímil")</f>
        <v>Abrir facsímil</v>
      </c>
      <c r="K16593" s="10" t="s">
        <v>24</v>
      </c>
    </row>
    <row r="16594" spans="1:11" ht="54" customHeight="1">
      <c r="A16594" s="9" t="s">
        <v>33506</v>
      </c>
      <c r="B16594" s="9" t="s">
        <v>33507</v>
      </c>
      <c r="C16594" s="9" t="s">
        <v>90</v>
      </c>
      <c r="D16594" s="9" t="s">
        <v>101</v>
      </c>
      <c r="E16594" s="10" t="s">
        <v>265</v>
      </c>
      <c r="F16594" s="9" t="s">
        <v>266</v>
      </c>
      <c r="G16594" s="10" t="s">
        <v>86</v>
      </c>
      <c r="H16594" s="9" t="s">
        <v>22</v>
      </c>
      <c r="I16594" s="9" t="s">
        <v>33510</v>
      </c>
      <c r="J16594" s="10" t="str">
        <f>HYPERLINK("https://www.boe.es/gazeta/dias/1834/11/19/pdfs/GMD-C-1834-278.pdf#page=2","Abrir facsímil")</f>
        <v>Abrir facsímil</v>
      </c>
      <c r="K16594" s="10" t="s">
        <v>24</v>
      </c>
    </row>
    <row r="16595" spans="1:11" ht="54" customHeight="1">
      <c r="A16595" s="9" t="s">
        <v>33506</v>
      </c>
      <c r="B16595" s="9" t="s">
        <v>33507</v>
      </c>
      <c r="C16595" s="9" t="s">
        <v>17</v>
      </c>
      <c r="D16595" s="9" t="s">
        <v>18</v>
      </c>
      <c r="E16595" s="10" t="s">
        <v>610</v>
      </c>
      <c r="F16595" s="9" t="s">
        <v>611</v>
      </c>
      <c r="G16595" s="10" t="s">
        <v>34</v>
      </c>
      <c r="H16595" s="9" t="s">
        <v>22</v>
      </c>
      <c r="I16595" s="9" t="s">
        <v>33511</v>
      </c>
      <c r="J16595" s="10" t="str">
        <f>HYPERLINK("https://www.boe.es/gazeta/dias/1834/12/21/pdfs/GMD-C-1834-311.pdf#page=1","Abrir facsímil")</f>
        <v>Abrir facsímil</v>
      </c>
      <c r="K16595" s="10" t="s">
        <v>24</v>
      </c>
    </row>
    <row r="16596" spans="1:11" ht="54" customHeight="1">
      <c r="A16596" s="9" t="s">
        <v>33512</v>
      </c>
      <c r="B16596" s="9" t="s">
        <v>33513</v>
      </c>
      <c r="C16596" s="9" t="s">
        <v>17</v>
      </c>
      <c r="D16596" s="9" t="s">
        <v>18</v>
      </c>
      <c r="E16596" s="10" t="s">
        <v>506</v>
      </c>
      <c r="F16596" s="9" t="s">
        <v>507</v>
      </c>
      <c r="G16596" s="10" t="s">
        <v>75</v>
      </c>
      <c r="H16596" s="9" t="s">
        <v>22</v>
      </c>
      <c r="I16596" s="9" t="s">
        <v>33514</v>
      </c>
      <c r="J16596" s="10" t="str">
        <f>HYPERLINK("https://www.boe.es/gazeta/dias/1834/03/04/pdfs/GMD-1834-28.pdf#page=4","Abrir facsímil")</f>
        <v>Abrir facsímil</v>
      </c>
      <c r="K16596" s="10" t="s">
        <v>24</v>
      </c>
    </row>
    <row r="16597" spans="1:11" ht="54" customHeight="1">
      <c r="A16597" s="9" t="s">
        <v>33515</v>
      </c>
      <c r="B16597" s="9" t="s">
        <v>33516</v>
      </c>
      <c r="C16597" s="9" t="s">
        <v>122</v>
      </c>
      <c r="D16597" s="9" t="s">
        <v>101</v>
      </c>
      <c r="E16597" s="10" t="s">
        <v>1742</v>
      </c>
      <c r="F16597" s="9" t="s">
        <v>1743</v>
      </c>
      <c r="G16597" s="10" t="s">
        <v>75</v>
      </c>
      <c r="H16597" s="9" t="s">
        <v>35</v>
      </c>
      <c r="I16597" s="9" t="s">
        <v>33517</v>
      </c>
      <c r="J16597" s="10" t="str">
        <f>HYPERLINK("https://www.boe.es/gazeta/dias/1834/11/06/pdfs/GMD-1834-265.pdf#page=4","Abrir facsímil")</f>
        <v>Abrir facsímil</v>
      </c>
      <c r="K16597" s="10" t="s">
        <v>37</v>
      </c>
    </row>
    <row r="16598" spans="1:11" ht="54" customHeight="1">
      <c r="A16598" s="9" t="s">
        <v>33515</v>
      </c>
      <c r="B16598" s="9" t="s">
        <v>33516</v>
      </c>
      <c r="C16598" s="9" t="s">
        <v>46</v>
      </c>
      <c r="D16598" s="9" t="s">
        <v>18</v>
      </c>
      <c r="E16598" s="10" t="s">
        <v>438</v>
      </c>
      <c r="F16598" s="9" t="s">
        <v>528</v>
      </c>
      <c r="G16598" s="10" t="s">
        <v>34</v>
      </c>
      <c r="H16598" s="9" t="s">
        <v>35</v>
      </c>
      <c r="I16598" s="9" t="s">
        <v>33518</v>
      </c>
      <c r="J16598" s="10" t="str">
        <f>HYPERLINK("https://www.boe.es/gazeta/dias/1834/11/09/pdfs/GMD-C-1834-268.pdf#page=1","Abrir facsímil")</f>
        <v>Abrir facsímil</v>
      </c>
      <c r="K16598" s="10" t="s">
        <v>37</v>
      </c>
    </row>
    <row r="16599" spans="1:11" ht="54" customHeight="1">
      <c r="A16599" s="9" t="s">
        <v>33515</v>
      </c>
      <c r="B16599" s="9" t="s">
        <v>33516</v>
      </c>
      <c r="C16599" s="9" t="s">
        <v>90</v>
      </c>
      <c r="D16599" s="9" t="s">
        <v>101</v>
      </c>
      <c r="E16599" s="10" t="s">
        <v>265</v>
      </c>
      <c r="F16599" s="9" t="s">
        <v>266</v>
      </c>
      <c r="G16599" s="10" t="s">
        <v>86</v>
      </c>
      <c r="H16599" s="9" t="s">
        <v>35</v>
      </c>
      <c r="I16599" s="9" t="s">
        <v>33519</v>
      </c>
      <c r="J16599" s="10" t="str">
        <f>HYPERLINK("https://www.boe.es/gazeta/dias/1834/11/19/pdfs/GMD-C-1834-278.pdf#page=2","Abrir facsímil")</f>
        <v>Abrir facsímil</v>
      </c>
      <c r="K16599" s="10" t="s">
        <v>37</v>
      </c>
    </row>
    <row r="16600" spans="1:11" ht="54" customHeight="1">
      <c r="A16600" s="9" t="s">
        <v>33515</v>
      </c>
      <c r="B16600" s="9" t="s">
        <v>33516</v>
      </c>
      <c r="C16600" s="9" t="s">
        <v>17</v>
      </c>
      <c r="D16600" s="9" t="s">
        <v>18</v>
      </c>
      <c r="E16600" s="10" t="s">
        <v>610</v>
      </c>
      <c r="F16600" s="9" t="s">
        <v>611</v>
      </c>
      <c r="G16600" s="10" t="s">
        <v>34</v>
      </c>
      <c r="H16600" s="9" t="s">
        <v>35</v>
      </c>
      <c r="I16600" s="9" t="s">
        <v>33520</v>
      </c>
      <c r="J16600" s="10" t="str">
        <f>HYPERLINK("https://www.boe.es/gazeta/dias/1834/12/21/pdfs/GMD-C-1834-311.pdf#page=1","Abrir facsímil")</f>
        <v>Abrir facsímil</v>
      </c>
      <c r="K16600" s="10" t="s">
        <v>37</v>
      </c>
    </row>
    <row r="16601" spans="1:11" ht="54" customHeight="1">
      <c r="A16601" s="9" t="s">
        <v>33515</v>
      </c>
      <c r="B16601" s="9" t="s">
        <v>33516</v>
      </c>
      <c r="C16601" s="9" t="s">
        <v>122</v>
      </c>
      <c r="D16601" s="9" t="s">
        <v>18</v>
      </c>
      <c r="E16601" s="10" t="s">
        <v>2937</v>
      </c>
      <c r="F16601" s="9" t="s">
        <v>2938</v>
      </c>
      <c r="G16601" s="10" t="s">
        <v>75</v>
      </c>
      <c r="H16601" s="9" t="s">
        <v>35</v>
      </c>
      <c r="I16601" s="9" t="s">
        <v>33521</v>
      </c>
      <c r="J16601" s="10" t="str">
        <f>HYPERLINK("https://www.boe.es/gazeta/dias/1834/06/25/pdfs/GMD-1834-128.pdf#page=4","Abrir facsímil")</f>
        <v>Abrir facsímil</v>
      </c>
      <c r="K16601" s="10" t="s">
        <v>37</v>
      </c>
    </row>
    <row r="16602" spans="1:11" ht="54" customHeight="1">
      <c r="A16602" s="9" t="s">
        <v>33522</v>
      </c>
      <c r="B16602" s="9" t="s">
        <v>33523</v>
      </c>
      <c r="C16602" s="9" t="s">
        <v>17</v>
      </c>
      <c r="D16602" s="9" t="s">
        <v>40</v>
      </c>
      <c r="E16602" s="10" t="s">
        <v>1747</v>
      </c>
      <c r="F16602" s="9" t="s">
        <v>1748</v>
      </c>
      <c r="G16602" s="10" t="s">
        <v>75</v>
      </c>
      <c r="H16602" s="9" t="s">
        <v>35</v>
      </c>
      <c r="I16602" s="9" t="s">
        <v>33524</v>
      </c>
      <c r="J16602" s="10" t="str">
        <f>HYPERLINK("https://www.boe.es/gazeta/dias/1834/06/29/pdfs/GMD-1834-132.pdf#page=4","Abrir facsímil")</f>
        <v>Abrir facsímil</v>
      </c>
      <c r="K16602" s="10" t="s">
        <v>37</v>
      </c>
    </row>
    <row r="16603" spans="1:11" ht="54" customHeight="1">
      <c r="A16603" s="9" t="s">
        <v>33525</v>
      </c>
      <c r="B16603" s="9" t="s">
        <v>33526</v>
      </c>
      <c r="C16603" s="9" t="s">
        <v>17</v>
      </c>
      <c r="D16603" s="9" t="s">
        <v>18</v>
      </c>
      <c r="E16603" s="10" t="s">
        <v>11736</v>
      </c>
      <c r="F16603" s="9" t="s">
        <v>11737</v>
      </c>
      <c r="G16603" s="10" t="s">
        <v>21</v>
      </c>
      <c r="H16603" s="9" t="s">
        <v>22</v>
      </c>
      <c r="I16603" s="9" t="s">
        <v>33527</v>
      </c>
      <c r="J16603" s="10" t="str">
        <f>HYPERLINK("https://www.boe.es/gazeta/dias/1834/04/11/pdfs/GMD-1834-50.pdf#page=3","Abrir facsímil")</f>
        <v>Abrir facsímil</v>
      </c>
      <c r="K16603" s="10" t="s">
        <v>24</v>
      </c>
    </row>
    <row r="16604" spans="1:11" ht="54" customHeight="1">
      <c r="A16604" s="9" t="s">
        <v>33528</v>
      </c>
      <c r="B16604" s="9" t="s">
        <v>33529</v>
      </c>
      <c r="C16604" s="9" t="s">
        <v>17</v>
      </c>
      <c r="D16604" s="9" t="s">
        <v>18</v>
      </c>
      <c r="E16604" s="10" t="s">
        <v>563</v>
      </c>
      <c r="F16604" s="9" t="s">
        <v>564</v>
      </c>
      <c r="G16604" s="10" t="s">
        <v>34</v>
      </c>
      <c r="H16604" s="9" t="s">
        <v>22</v>
      </c>
      <c r="I16604" s="9" t="s">
        <v>33530</v>
      </c>
      <c r="J16604" s="10" t="str">
        <f>HYPERLINK("https://www.boe.es/gazeta/dias/1834/04/19/pdfs/GMD-1834-58.pdf#page=1","Abrir facsímil")</f>
        <v>Abrir facsímil</v>
      </c>
      <c r="K16604" s="10" t="s">
        <v>24</v>
      </c>
    </row>
    <row r="16605" spans="1:11" ht="54" customHeight="1">
      <c r="A16605" s="9" t="s">
        <v>33531</v>
      </c>
      <c r="B16605" s="9" t="s">
        <v>33532</v>
      </c>
      <c r="C16605" s="9" t="s">
        <v>17</v>
      </c>
      <c r="D16605" s="9" t="s">
        <v>18</v>
      </c>
      <c r="E16605" s="10" t="s">
        <v>2729</v>
      </c>
      <c r="F16605" s="9" t="s">
        <v>2730</v>
      </c>
      <c r="G16605" s="10" t="s">
        <v>75</v>
      </c>
      <c r="H16605" s="9" t="s">
        <v>22</v>
      </c>
      <c r="I16605" s="9" t="s">
        <v>33533</v>
      </c>
      <c r="J16605" s="10" t="str">
        <f>HYPERLINK("https://www.boe.es/gazeta/dias/1834/07/02/pdfs/GMD-1834-135.pdf#page=4","Abrir facsímil")</f>
        <v>Abrir facsímil</v>
      </c>
      <c r="K16605" s="10" t="s">
        <v>24</v>
      </c>
    </row>
    <row r="16606" spans="1:11" ht="54" customHeight="1">
      <c r="A16606" s="9" t="s">
        <v>33531</v>
      </c>
      <c r="B16606" s="9" t="s">
        <v>33532</v>
      </c>
      <c r="C16606" s="9" t="s">
        <v>46</v>
      </c>
      <c r="D16606" s="9" t="s">
        <v>18</v>
      </c>
      <c r="E16606" s="10" t="s">
        <v>663</v>
      </c>
      <c r="F16606" s="9" t="s">
        <v>664</v>
      </c>
      <c r="G16606" s="10" t="s">
        <v>75</v>
      </c>
      <c r="H16606" s="9" t="s">
        <v>22</v>
      </c>
      <c r="I16606" s="9" t="s">
        <v>33534</v>
      </c>
      <c r="J16606" s="10" t="str">
        <f>HYPERLINK("https://www.boe.es/gazeta/dias/1834/07/16/pdfs/GMD-1834-149.pdf#page=4","Abrir facsímil")</f>
        <v>Abrir facsímil</v>
      </c>
      <c r="K16606" s="10" t="s">
        <v>24</v>
      </c>
    </row>
    <row r="16607" spans="1:11" ht="54" customHeight="1">
      <c r="A16607" s="9" t="s">
        <v>33531</v>
      </c>
      <c r="B16607" s="9" t="s">
        <v>33532</v>
      </c>
      <c r="C16607" s="9" t="s">
        <v>17</v>
      </c>
      <c r="D16607" s="9" t="s">
        <v>40</v>
      </c>
      <c r="E16607" s="10" t="s">
        <v>1747</v>
      </c>
      <c r="F16607" s="9" t="s">
        <v>1748</v>
      </c>
      <c r="G16607" s="10" t="s">
        <v>75</v>
      </c>
      <c r="H16607" s="9" t="s">
        <v>22</v>
      </c>
      <c r="I16607" s="9" t="s">
        <v>33535</v>
      </c>
      <c r="J16607" s="10" t="str">
        <f>HYPERLINK("https://www.boe.es/gazeta/dias/1834/06/29/pdfs/GMD-1834-132.pdf#page=4","Abrir facsímil")</f>
        <v>Abrir facsímil</v>
      </c>
      <c r="K16607" s="10" t="s">
        <v>24</v>
      </c>
    </row>
    <row r="16608" spans="1:11" ht="54" customHeight="1">
      <c r="A16608" s="9" t="s">
        <v>33536</v>
      </c>
      <c r="B16608" s="9" t="s">
        <v>33536</v>
      </c>
      <c r="C16608" s="9" t="s">
        <v>17</v>
      </c>
      <c r="D16608" s="9" t="s">
        <v>18</v>
      </c>
      <c r="E16608" s="10" t="s">
        <v>167</v>
      </c>
      <c r="F16608" s="9" t="s">
        <v>1200</v>
      </c>
      <c r="G16608" s="10" t="s">
        <v>21</v>
      </c>
      <c r="H16608" s="9" t="s">
        <v>22</v>
      </c>
      <c r="I16608" s="9" t="s">
        <v>33537</v>
      </c>
      <c r="J16608" s="10" t="str">
        <f>HYPERLINK("https://www.boe.es/gazeta/dias/1834/09/07/pdfs/GMD-C-1834-205.pdf#page=3","Abrir facsímil")</f>
        <v>Abrir facsímil</v>
      </c>
      <c r="K16608" s="10" t="s">
        <v>24</v>
      </c>
    </row>
    <row r="16609" spans="1:11" ht="54" customHeight="1">
      <c r="A16609" s="9" t="s">
        <v>33538</v>
      </c>
      <c r="B16609" s="9" t="s">
        <v>33539</v>
      </c>
      <c r="C16609" s="9" t="s">
        <v>17</v>
      </c>
      <c r="D16609" s="9" t="s">
        <v>18</v>
      </c>
      <c r="E16609" s="10" t="s">
        <v>84</v>
      </c>
      <c r="F16609" s="9" t="s">
        <v>1223</v>
      </c>
      <c r="G16609" s="10" t="s">
        <v>75</v>
      </c>
      <c r="H16609" s="9" t="s">
        <v>22</v>
      </c>
      <c r="I16609" s="9" t="s">
        <v>33540</v>
      </c>
      <c r="J16609" s="10" t="str">
        <f>HYPERLINK("https://www.boe.es/gazeta/dias/1834/06/07/pdfs/GMD-1834-109.pdf#page=4","Abrir facsímil")</f>
        <v>Abrir facsímil</v>
      </c>
      <c r="K16609" s="10" t="s">
        <v>24</v>
      </c>
    </row>
    <row r="16610" spans="1:11" ht="54" customHeight="1">
      <c r="A16610" s="9" t="s">
        <v>33541</v>
      </c>
      <c r="B16610" s="9" t="s">
        <v>33542</v>
      </c>
      <c r="C16610" s="9" t="s">
        <v>90</v>
      </c>
      <c r="D16610" s="9" t="s">
        <v>55</v>
      </c>
      <c r="E16610" s="10" t="s">
        <v>1973</v>
      </c>
      <c r="F16610" s="9" t="s">
        <v>4832</v>
      </c>
      <c r="G16610" s="10" t="s">
        <v>21</v>
      </c>
      <c r="H16610" s="9" t="s">
        <v>22</v>
      </c>
      <c r="I16610" s="9" t="s">
        <v>33543</v>
      </c>
      <c r="J16610" s="10" t="str">
        <f>HYPERLINK("https://www.boe.es/gazeta/dias/1834/12/20/pdfs/GMD-1834-310.pdf#page=3","Abrir facsímil")</f>
        <v>Abrir facsímil</v>
      </c>
      <c r="K16610" s="10" t="s">
        <v>24</v>
      </c>
    </row>
    <row r="16611" spans="1:11" ht="54" customHeight="1">
      <c r="A16611" s="9" t="s">
        <v>33544</v>
      </c>
      <c r="B16611" s="9" t="s">
        <v>33544</v>
      </c>
      <c r="C16611" s="9" t="s">
        <v>17</v>
      </c>
      <c r="D16611" s="9" t="s">
        <v>55</v>
      </c>
      <c r="E16611" s="10" t="s">
        <v>1850</v>
      </c>
      <c r="F16611" s="9" t="s">
        <v>1851</v>
      </c>
      <c r="G16611" s="10" t="s">
        <v>75</v>
      </c>
      <c r="H16611" s="9" t="s">
        <v>22</v>
      </c>
      <c r="I16611" s="9" t="s">
        <v>33545</v>
      </c>
      <c r="J16611" s="10" t="str">
        <f>HYPERLINK("https://www.boe.es/gazeta/dias/1834/02/18/pdfs/GMD-1834-22.pdf#page=4","Abrir facsímil")</f>
        <v>Abrir facsímil</v>
      </c>
      <c r="K16611" s="10" t="s">
        <v>24</v>
      </c>
    </row>
    <row r="16612" spans="1:11" ht="54" customHeight="1">
      <c r="A16612" s="9" t="s">
        <v>33546</v>
      </c>
      <c r="B16612" s="9" t="s">
        <v>33547</v>
      </c>
      <c r="C16612" s="9" t="s">
        <v>46</v>
      </c>
      <c r="D16612" s="9" t="s">
        <v>18</v>
      </c>
      <c r="E16612" s="10" t="s">
        <v>1812</v>
      </c>
      <c r="F16612" s="9" t="s">
        <v>1813</v>
      </c>
      <c r="G16612" s="10" t="s">
        <v>75</v>
      </c>
      <c r="H16612" s="9" t="s">
        <v>22</v>
      </c>
      <c r="I16612" s="9" t="s">
        <v>33548</v>
      </c>
      <c r="J16612" s="10" t="str">
        <f>HYPERLINK("https://www.boe.es/gazeta/dias/1834/10/23/pdfs/GMD-1834-251.pdf#page=4","Abrir facsímil")</f>
        <v>Abrir facsímil</v>
      </c>
      <c r="K16612" s="10" t="s">
        <v>24</v>
      </c>
    </row>
    <row r="16613" spans="1:11" ht="54" customHeight="1">
      <c r="A16613" s="9" t="s">
        <v>33549</v>
      </c>
      <c r="B16613" s="9" t="s">
        <v>33550</v>
      </c>
      <c r="C16613" s="9" t="s">
        <v>17</v>
      </c>
      <c r="D16613" s="9" t="s">
        <v>18</v>
      </c>
      <c r="E16613" s="10" t="s">
        <v>11991</v>
      </c>
      <c r="F16613" s="9" t="s">
        <v>11992</v>
      </c>
      <c r="G16613" s="10" t="s">
        <v>34</v>
      </c>
      <c r="H16613" s="9" t="s">
        <v>22</v>
      </c>
      <c r="I16613" s="9" t="s">
        <v>33551</v>
      </c>
      <c r="J16613" s="10" t="str">
        <f>HYPERLINK("https://www.boe.es/gazeta/dias/1834/12/05/pdfs/GMD-C-1834-294.pdf#page=1","Abrir facsímil")</f>
        <v>Abrir facsímil</v>
      </c>
      <c r="K16613" s="10" t="s">
        <v>24</v>
      </c>
    </row>
    <row r="16614" spans="1:11" ht="54" customHeight="1">
      <c r="A16614" s="9" t="s">
        <v>33552</v>
      </c>
      <c r="B16614" s="9" t="s">
        <v>33552</v>
      </c>
      <c r="C16614" s="9" t="s">
        <v>17</v>
      </c>
      <c r="D16614" s="9" t="s">
        <v>18</v>
      </c>
      <c r="E16614" s="10" t="s">
        <v>91</v>
      </c>
      <c r="F16614" s="9" t="s">
        <v>92</v>
      </c>
      <c r="G16614" s="10" t="s">
        <v>75</v>
      </c>
      <c r="H16614" s="9" t="s">
        <v>22</v>
      </c>
      <c r="I16614" s="9" t="s">
        <v>33553</v>
      </c>
      <c r="J16614" s="10" t="str">
        <f>HYPERLINK("https://www.boe.es/gazeta/dias/1834/02/13/pdfs/GMD-1834-20.pdf#page=4","Abrir facsímil")</f>
        <v>Abrir facsímil</v>
      </c>
      <c r="K16614" s="10" t="s">
        <v>24</v>
      </c>
    </row>
    <row r="16615" spans="1:11" ht="54" customHeight="1">
      <c r="A16615" s="9" t="s">
        <v>33554</v>
      </c>
      <c r="B16615" s="9" t="s">
        <v>33554</v>
      </c>
      <c r="C16615" s="9" t="s">
        <v>17</v>
      </c>
      <c r="D16615" s="9" t="s">
        <v>101</v>
      </c>
      <c r="E16615" s="10" t="s">
        <v>724</v>
      </c>
      <c r="F16615" s="9" t="s">
        <v>725</v>
      </c>
      <c r="G16615" s="10" t="s">
        <v>176</v>
      </c>
      <c r="H16615" s="9" t="s">
        <v>22</v>
      </c>
      <c r="I16615" s="9" t="s">
        <v>33555</v>
      </c>
      <c r="J16615" s="10" t="str">
        <f>HYPERLINK("https://www.boe.es/gazeta/dias/1834/04/25/pdfs/GMD-1834-64.pdf#page=6","Abrir facsímil")</f>
        <v>Abrir facsímil</v>
      </c>
      <c r="K16615" s="10" t="s">
        <v>24</v>
      </c>
    </row>
    <row r="16616" spans="1:11" ht="54" customHeight="1">
      <c r="A16616" s="9" t="s">
        <v>33556</v>
      </c>
      <c r="B16616" s="9" t="s">
        <v>33556</v>
      </c>
      <c r="C16616" s="9" t="s">
        <v>122</v>
      </c>
      <c r="D16616" s="9" t="s">
        <v>18</v>
      </c>
      <c r="E16616" s="10" t="s">
        <v>255</v>
      </c>
      <c r="F16616" s="9" t="s">
        <v>256</v>
      </c>
      <c r="G16616" s="10" t="s">
        <v>34</v>
      </c>
      <c r="H16616" s="9" t="s">
        <v>22</v>
      </c>
      <c r="I16616" s="9" t="s">
        <v>33557</v>
      </c>
      <c r="J16616" s="10" t="str">
        <f>HYPERLINK("https://www.boe.es/gazeta/dias/1834/09/01/pdfs/GMD-D-1834-199.pdf#page=1","Abrir facsímil")</f>
        <v>Abrir facsímil</v>
      </c>
      <c r="K16616" s="10" t="s">
        <v>24</v>
      </c>
    </row>
    <row r="16617" spans="1:11" ht="54" customHeight="1">
      <c r="A16617" s="9" t="s">
        <v>33556</v>
      </c>
      <c r="B16617" s="9" t="s">
        <v>33556</v>
      </c>
      <c r="C16617" s="9" t="s">
        <v>66</v>
      </c>
      <c r="D16617" s="9" t="s">
        <v>67</v>
      </c>
      <c r="E16617" s="10" t="s">
        <v>3066</v>
      </c>
      <c r="F16617" s="9" t="s">
        <v>3188</v>
      </c>
      <c r="G16617" s="10" t="s">
        <v>86</v>
      </c>
      <c r="H16617" s="9" t="s">
        <v>22</v>
      </c>
      <c r="I16617" s="9" t="s">
        <v>33558</v>
      </c>
      <c r="J16617" s="10" t="str">
        <f>HYPERLINK("https://www.boe.es/gazeta/dias/1834/08/03/pdfs/GMD-1834-167.pdf#page=2","Abrir facsímil")</f>
        <v>Abrir facsímil</v>
      </c>
      <c r="K16617" s="10" t="s">
        <v>24</v>
      </c>
    </row>
    <row r="16618" spans="1:11" ht="54" customHeight="1">
      <c r="A16618" s="9" t="s">
        <v>33556</v>
      </c>
      <c r="B16618" s="9" t="s">
        <v>33556</v>
      </c>
      <c r="C16618" s="9" t="s">
        <v>17</v>
      </c>
      <c r="D16618" s="9" t="s">
        <v>18</v>
      </c>
      <c r="E16618" s="10" t="s">
        <v>690</v>
      </c>
      <c r="F16618" s="9" t="s">
        <v>691</v>
      </c>
      <c r="G16618" s="10" t="s">
        <v>560</v>
      </c>
      <c r="H16618" s="9" t="s">
        <v>22</v>
      </c>
      <c r="I16618" s="9" t="s">
        <v>33559</v>
      </c>
      <c r="J16618" s="10" t="str">
        <f>HYPERLINK("https://www.boe.es/gazeta/dias/1834/09/03/pdfs/GMD-C-1834-201.pdf#page=7","Abrir facsímil")</f>
        <v>Abrir facsímil</v>
      </c>
      <c r="K16618" s="10" t="s">
        <v>24</v>
      </c>
    </row>
    <row r="16619" spans="1:11" ht="54" customHeight="1">
      <c r="A16619" s="9" t="s">
        <v>33556</v>
      </c>
      <c r="B16619" s="9" t="s">
        <v>33556</v>
      </c>
      <c r="C16619" s="9" t="s">
        <v>17</v>
      </c>
      <c r="D16619" s="9" t="s">
        <v>18</v>
      </c>
      <c r="E16619" s="10" t="s">
        <v>84</v>
      </c>
      <c r="F16619" s="9" t="s">
        <v>1223</v>
      </c>
      <c r="G16619" s="10" t="s">
        <v>21</v>
      </c>
      <c r="H16619" s="9" t="s">
        <v>22</v>
      </c>
      <c r="I16619" s="9" t="s">
        <v>33560</v>
      </c>
      <c r="J16619" s="10" t="str">
        <f>HYPERLINK("https://www.boe.es/gazeta/dias/1834/06/07/pdfs/GMD-1834-109.pdf#page=3","Abrir facsímil")</f>
        <v>Abrir facsímil</v>
      </c>
      <c r="K16619" s="10" t="s">
        <v>24</v>
      </c>
    </row>
    <row r="16620" spans="1:11" ht="54" customHeight="1">
      <c r="A16620" s="9" t="s">
        <v>33556</v>
      </c>
      <c r="B16620" s="9" t="s">
        <v>33556</v>
      </c>
      <c r="C16620" s="9" t="s">
        <v>17</v>
      </c>
      <c r="D16620" s="9" t="s">
        <v>18</v>
      </c>
      <c r="E16620" s="10" t="s">
        <v>1008</v>
      </c>
      <c r="F16620" s="9" t="s">
        <v>1009</v>
      </c>
      <c r="G16620" s="10" t="s">
        <v>470</v>
      </c>
      <c r="H16620" s="9" t="s">
        <v>22</v>
      </c>
      <c r="I16620" s="9" t="s">
        <v>33561</v>
      </c>
      <c r="J16620" s="10" t="str">
        <f>HYPERLINK("https://www.boe.es/gazeta/dias/1834/11/08/pdfs/GMD-C-1834-267.pdf#page=8","Abrir facsímil")</f>
        <v>Abrir facsímil</v>
      </c>
      <c r="K16620" s="10" t="s">
        <v>24</v>
      </c>
    </row>
    <row r="16621" spans="1:11" ht="54" customHeight="1">
      <c r="A16621" s="9" t="s">
        <v>33556</v>
      </c>
      <c r="B16621" s="9" t="s">
        <v>33556</v>
      </c>
      <c r="C16621" s="9" t="s">
        <v>66</v>
      </c>
      <c r="D16621" s="9" t="s">
        <v>101</v>
      </c>
      <c r="E16621" s="10" t="s">
        <v>2203</v>
      </c>
      <c r="F16621" s="9" t="s">
        <v>2204</v>
      </c>
      <c r="G16621" s="10" t="s">
        <v>75</v>
      </c>
      <c r="H16621" s="9" t="s">
        <v>22</v>
      </c>
      <c r="I16621" s="9" t="s">
        <v>33562</v>
      </c>
      <c r="J16621" s="10" t="str">
        <f>HYPERLINK("https://www.boe.es/gazeta/dias/1834/09/10/pdfs/GMD-C-1834-208.pdf#page=4","Abrir facsímil")</f>
        <v>Abrir facsímil</v>
      </c>
      <c r="K16621" s="10" t="s">
        <v>24</v>
      </c>
    </row>
    <row r="16622" spans="1:11" ht="54" customHeight="1">
      <c r="A16622" s="9" t="s">
        <v>33556</v>
      </c>
      <c r="B16622" s="9" t="s">
        <v>33556</v>
      </c>
      <c r="C16622" s="9" t="s">
        <v>17</v>
      </c>
      <c r="D16622" s="9" t="s">
        <v>18</v>
      </c>
      <c r="E16622" s="10" t="s">
        <v>1103</v>
      </c>
      <c r="F16622" s="9" t="s">
        <v>1104</v>
      </c>
      <c r="G16622" s="10" t="s">
        <v>34</v>
      </c>
      <c r="H16622" s="9" t="s">
        <v>22</v>
      </c>
      <c r="I16622" s="9" t="s">
        <v>33563</v>
      </c>
      <c r="J16622" s="10" t="str">
        <f>HYPERLINK("https://www.boe.es/gazeta/dias/1834/10/10/pdfs/GMD-C-1834-238.pdf#page=1","Abrir facsímil")</f>
        <v>Abrir facsímil</v>
      </c>
      <c r="K16622" s="10" t="s">
        <v>24</v>
      </c>
    </row>
    <row r="16623" spans="1:11" ht="54" customHeight="1">
      <c r="A16623" s="9" t="s">
        <v>33556</v>
      </c>
      <c r="B16623" s="9" t="s">
        <v>33556</v>
      </c>
      <c r="C16623" s="9" t="s">
        <v>17</v>
      </c>
      <c r="D16623" s="9" t="s">
        <v>18</v>
      </c>
      <c r="E16623" s="10" t="s">
        <v>334</v>
      </c>
      <c r="F16623" s="9" t="s">
        <v>335</v>
      </c>
      <c r="G16623" s="10" t="s">
        <v>34</v>
      </c>
      <c r="H16623" s="9" t="s">
        <v>22</v>
      </c>
      <c r="I16623" s="9" t="s">
        <v>33564</v>
      </c>
      <c r="J16623" s="10" t="str">
        <f>HYPERLINK("https://www.boe.es/gazeta/dias/1834/09/11/pdfs/GMD-C-1834-209.pdf#page=1","Abrir facsímil")</f>
        <v>Abrir facsímil</v>
      </c>
      <c r="K16623" s="10" t="s">
        <v>24</v>
      </c>
    </row>
    <row r="16624" spans="1:11" ht="54" customHeight="1">
      <c r="A16624" s="9" t="s">
        <v>33556</v>
      </c>
      <c r="B16624" s="9" t="s">
        <v>33556</v>
      </c>
      <c r="C16624" s="9" t="s">
        <v>17</v>
      </c>
      <c r="D16624" s="9" t="s">
        <v>55</v>
      </c>
      <c r="E16624" s="10" t="s">
        <v>200</v>
      </c>
      <c r="F16624" s="9" t="s">
        <v>2248</v>
      </c>
      <c r="G16624" s="10" t="s">
        <v>75</v>
      </c>
      <c r="H16624" s="9" t="s">
        <v>22</v>
      </c>
      <c r="I16624" s="9" t="s">
        <v>33565</v>
      </c>
      <c r="J16624" s="10" t="str">
        <f>HYPERLINK("https://www.boe.es/gazeta/dias/1834/12/11/pdfs/GMD-C-1834-300.pdf#page=4","Abrir facsímil")</f>
        <v>Abrir facsímil</v>
      </c>
      <c r="K16624" s="10" t="s">
        <v>24</v>
      </c>
    </row>
    <row r="16625" spans="1:11" ht="54" customHeight="1">
      <c r="A16625" s="9" t="s">
        <v>33556</v>
      </c>
      <c r="B16625" s="9" t="s">
        <v>33556</v>
      </c>
      <c r="C16625" s="9" t="s">
        <v>17</v>
      </c>
      <c r="D16625" s="9" t="s">
        <v>18</v>
      </c>
      <c r="E16625" s="10" t="s">
        <v>623</v>
      </c>
      <c r="F16625" s="9" t="s">
        <v>624</v>
      </c>
      <c r="G16625" s="10" t="s">
        <v>34</v>
      </c>
      <c r="H16625" s="9" t="s">
        <v>22</v>
      </c>
      <c r="I16625" s="9" t="s">
        <v>33566</v>
      </c>
      <c r="J16625" s="10" t="str">
        <f>HYPERLINK("https://www.boe.es/gazeta/dias/1834/10/12/pdfs/GMD-C-1834-240.pdf#page=1","Abrir facsímil")</f>
        <v>Abrir facsímil</v>
      </c>
      <c r="K16625" s="10" t="s">
        <v>24</v>
      </c>
    </row>
    <row r="16626" spans="1:11" ht="54" customHeight="1">
      <c r="A16626" s="9" t="s">
        <v>33556</v>
      </c>
      <c r="B16626" s="9" t="s">
        <v>33556</v>
      </c>
      <c r="C16626" s="9" t="s">
        <v>17</v>
      </c>
      <c r="D16626" s="9" t="s">
        <v>18</v>
      </c>
      <c r="E16626" s="10" t="s">
        <v>448</v>
      </c>
      <c r="F16626" s="9" t="s">
        <v>449</v>
      </c>
      <c r="G16626" s="10" t="s">
        <v>21</v>
      </c>
      <c r="H16626" s="9" t="s">
        <v>22</v>
      </c>
      <c r="I16626" s="9" t="s">
        <v>33567</v>
      </c>
      <c r="J16626" s="10" t="str">
        <f>HYPERLINK("https://www.boe.es/gazeta/dias/1834/10/14/pdfs/GMD-C-1834-242.pdf#page=3","Abrir facsímil")</f>
        <v>Abrir facsímil</v>
      </c>
      <c r="K16626" s="10" t="s">
        <v>24</v>
      </c>
    </row>
    <row r="16627" spans="1:11" ht="54" customHeight="1">
      <c r="A16627" s="9" t="s">
        <v>33556</v>
      </c>
      <c r="B16627" s="9" t="s">
        <v>33556</v>
      </c>
      <c r="C16627" s="9" t="s">
        <v>46</v>
      </c>
      <c r="D16627" s="9" t="s">
        <v>18</v>
      </c>
      <c r="E16627" s="10" t="s">
        <v>1424</v>
      </c>
      <c r="F16627" s="9" t="s">
        <v>1425</v>
      </c>
      <c r="G16627" s="10" t="s">
        <v>28</v>
      </c>
      <c r="H16627" s="9" t="s">
        <v>22</v>
      </c>
      <c r="I16627" s="9" t="s">
        <v>33568</v>
      </c>
      <c r="J16627" s="10" t="str">
        <f>HYPERLINK("https://www.boe.es/gazeta/dias/1834/11/14/pdfs/GMD-C-1834-273.pdf#page=5","Abrir facsímil")</f>
        <v>Abrir facsímil</v>
      </c>
      <c r="K16627" s="10" t="s">
        <v>24</v>
      </c>
    </row>
    <row r="16628" spans="1:11" ht="54" customHeight="1">
      <c r="A16628" s="9" t="s">
        <v>33556</v>
      </c>
      <c r="B16628" s="9" t="s">
        <v>33556</v>
      </c>
      <c r="C16628" s="9" t="s">
        <v>46</v>
      </c>
      <c r="D16628" s="9" t="s">
        <v>101</v>
      </c>
      <c r="E16628" s="10" t="s">
        <v>451</v>
      </c>
      <c r="F16628" s="9" t="s">
        <v>452</v>
      </c>
      <c r="G16628" s="10" t="s">
        <v>34</v>
      </c>
      <c r="H16628" s="9" t="s">
        <v>22</v>
      </c>
      <c r="I16628" s="9" t="s">
        <v>33569</v>
      </c>
      <c r="J16628" s="10" t="str">
        <f>HYPERLINK("https://www.boe.es/gazeta/dias/1834/10/15/pdfs/GMD-C-1834-243.pdf#page=1","Abrir facsímil")</f>
        <v>Abrir facsímil</v>
      </c>
      <c r="K16628" s="10" t="s">
        <v>24</v>
      </c>
    </row>
    <row r="16629" spans="1:11" ht="54" customHeight="1">
      <c r="A16629" s="9" t="s">
        <v>33556</v>
      </c>
      <c r="B16629" s="9" t="s">
        <v>33556</v>
      </c>
      <c r="C16629" s="9" t="s">
        <v>17</v>
      </c>
      <c r="D16629" s="9" t="s">
        <v>18</v>
      </c>
      <c r="E16629" s="10" t="s">
        <v>928</v>
      </c>
      <c r="F16629" s="9" t="s">
        <v>929</v>
      </c>
      <c r="G16629" s="10" t="s">
        <v>28</v>
      </c>
      <c r="H16629" s="9" t="s">
        <v>22</v>
      </c>
      <c r="I16629" s="9" t="s">
        <v>33570</v>
      </c>
      <c r="J16629" s="10" t="str">
        <f>HYPERLINK("https://www.boe.es/gazeta/dias/1834/11/15/pdfs/GMD-C-1834-274.pdf#page=5","Abrir facsímil")</f>
        <v>Abrir facsímil</v>
      </c>
      <c r="K16629" s="10" t="s">
        <v>24</v>
      </c>
    </row>
    <row r="16630" spans="1:11" ht="54" customHeight="1">
      <c r="A16630" s="9" t="s">
        <v>33556</v>
      </c>
      <c r="B16630" s="9" t="s">
        <v>33556</v>
      </c>
      <c r="C16630" s="9" t="s">
        <v>17</v>
      </c>
      <c r="D16630" s="9" t="s">
        <v>18</v>
      </c>
      <c r="E16630" s="10" t="s">
        <v>138</v>
      </c>
      <c r="F16630" s="9" t="s">
        <v>139</v>
      </c>
      <c r="G16630" s="10" t="s">
        <v>21</v>
      </c>
      <c r="H16630" s="9" t="s">
        <v>22</v>
      </c>
      <c r="I16630" s="9" t="s">
        <v>33571</v>
      </c>
      <c r="J16630" s="10" t="str">
        <f>HYPERLINK("https://www.boe.es/gazeta/dias/1834/05/17/pdfs/GMD-1834-86.pdf#page=3","Abrir facsímil")</f>
        <v>Abrir facsímil</v>
      </c>
      <c r="K16630" s="10" t="s">
        <v>24</v>
      </c>
    </row>
    <row r="16631" spans="1:11" ht="54" customHeight="1">
      <c r="A16631" s="9" t="s">
        <v>33556</v>
      </c>
      <c r="B16631" s="9" t="s">
        <v>33556</v>
      </c>
      <c r="C16631" s="9" t="s">
        <v>46</v>
      </c>
      <c r="D16631" s="9" t="s">
        <v>101</v>
      </c>
      <c r="E16631" s="10" t="s">
        <v>772</v>
      </c>
      <c r="F16631" s="9" t="s">
        <v>2284</v>
      </c>
      <c r="G16631" s="10" t="s">
        <v>176</v>
      </c>
      <c r="H16631" s="9" t="s">
        <v>22</v>
      </c>
      <c r="I16631" s="9" t="s">
        <v>33572</v>
      </c>
      <c r="J16631" s="10" t="str">
        <f>HYPERLINK("https://www.boe.es/gazeta/dias/1834/09/18/pdfs/GMD-C-1834-216.pdf#page=6","Abrir facsímil")</f>
        <v>Abrir facsímil</v>
      </c>
      <c r="K16631" s="10" t="s">
        <v>24</v>
      </c>
    </row>
    <row r="16632" spans="1:11" ht="54" customHeight="1">
      <c r="A16632" s="9" t="s">
        <v>33556</v>
      </c>
      <c r="B16632" s="9" t="s">
        <v>33556</v>
      </c>
      <c r="C16632" s="9" t="s">
        <v>90</v>
      </c>
      <c r="D16632" s="9" t="s">
        <v>67</v>
      </c>
      <c r="E16632" s="10" t="s">
        <v>262</v>
      </c>
      <c r="F16632" s="9" t="s">
        <v>263</v>
      </c>
      <c r="G16632" s="10" t="s">
        <v>28</v>
      </c>
      <c r="H16632" s="9" t="s">
        <v>22</v>
      </c>
      <c r="I16632" s="9" t="s">
        <v>33573</v>
      </c>
      <c r="J16632" s="10" t="str">
        <f>HYPERLINK("https://www.boe.es/gazeta/dias/1834/10/18/pdfs/GMD-C-1834-246.pdf#page=5","Abrir facsímil")</f>
        <v>Abrir facsímil</v>
      </c>
      <c r="K16632" s="10" t="s">
        <v>24</v>
      </c>
    </row>
    <row r="16633" spans="1:11" ht="54" customHeight="1">
      <c r="A16633" s="9" t="s">
        <v>33556</v>
      </c>
      <c r="B16633" s="9" t="s">
        <v>33556</v>
      </c>
      <c r="C16633" s="9" t="s">
        <v>17</v>
      </c>
      <c r="D16633" s="9" t="s">
        <v>18</v>
      </c>
      <c r="E16633" s="10" t="s">
        <v>3036</v>
      </c>
      <c r="F16633" s="9" t="s">
        <v>3037</v>
      </c>
      <c r="G16633" s="10" t="s">
        <v>86</v>
      </c>
      <c r="H16633" s="9" t="s">
        <v>22</v>
      </c>
      <c r="I16633" s="9" t="s">
        <v>33574</v>
      </c>
      <c r="J16633" s="10" t="str">
        <f>HYPERLINK("https://www.boe.es/gazeta/dias/1834/11/18/pdfs/GMD-C-1834-277.pdf#page=2","Abrir facsímil")</f>
        <v>Abrir facsímil</v>
      </c>
      <c r="K16633" s="10" t="s">
        <v>24</v>
      </c>
    </row>
    <row r="16634" spans="1:11" ht="54" customHeight="1">
      <c r="A16634" s="9" t="s">
        <v>33556</v>
      </c>
      <c r="B16634" s="9" t="s">
        <v>33556</v>
      </c>
      <c r="C16634" s="9" t="s">
        <v>17</v>
      </c>
      <c r="D16634" s="9" t="s">
        <v>18</v>
      </c>
      <c r="E16634" s="10" t="s">
        <v>3036</v>
      </c>
      <c r="F16634" s="9" t="s">
        <v>3037</v>
      </c>
      <c r="G16634" s="10" t="s">
        <v>21</v>
      </c>
      <c r="H16634" s="9" t="s">
        <v>22</v>
      </c>
      <c r="I16634" s="9" t="s">
        <v>33575</v>
      </c>
      <c r="J16634" s="10" t="str">
        <f>HYPERLINK("https://www.boe.es/gazeta/dias/1834/11/18/pdfs/GMD-C-1834-277.pdf#page=3","Abrir facsímil")</f>
        <v>Abrir facsímil</v>
      </c>
      <c r="K16634" s="10" t="s">
        <v>24</v>
      </c>
    </row>
    <row r="16635" spans="1:11" ht="54" customHeight="1">
      <c r="A16635" s="9" t="s">
        <v>33556</v>
      </c>
      <c r="B16635" s="9" t="s">
        <v>33556</v>
      </c>
      <c r="C16635" s="9" t="s">
        <v>17</v>
      </c>
      <c r="D16635" s="9" t="s">
        <v>18</v>
      </c>
      <c r="E16635" s="10" t="s">
        <v>268</v>
      </c>
      <c r="F16635" s="9" t="s">
        <v>269</v>
      </c>
      <c r="G16635" s="10" t="s">
        <v>21</v>
      </c>
      <c r="H16635" s="9" t="s">
        <v>22</v>
      </c>
      <c r="I16635" s="9" t="s">
        <v>33576</v>
      </c>
      <c r="J16635" s="10" t="str">
        <f>HYPERLINK("https://www.boe.es/gazeta/dias/1834/12/19/pdfs/GMD-C-1834-309.pdf#page=3","Abrir facsímil")</f>
        <v>Abrir facsímil</v>
      </c>
      <c r="K16635" s="10" t="s">
        <v>24</v>
      </c>
    </row>
    <row r="16636" spans="1:11" ht="54" customHeight="1">
      <c r="A16636" s="9" t="s">
        <v>33556</v>
      </c>
      <c r="B16636" s="9" t="s">
        <v>33556</v>
      </c>
      <c r="C16636" s="9" t="s">
        <v>17</v>
      </c>
      <c r="D16636" s="9" t="s">
        <v>18</v>
      </c>
      <c r="E16636" s="10" t="s">
        <v>3248</v>
      </c>
      <c r="F16636" s="9" t="s">
        <v>4798</v>
      </c>
      <c r="G16636" s="10" t="s">
        <v>34</v>
      </c>
      <c r="H16636" s="9" t="s">
        <v>22</v>
      </c>
      <c r="I16636" s="9" t="s">
        <v>33577</v>
      </c>
      <c r="J16636" s="10" t="str">
        <f>HYPERLINK("https://www.boe.es/gazeta/dias/1834/09/20/pdfs/GMD-C-1834-218.pdf#page=1","Abrir facsímil")</f>
        <v>Abrir facsímil</v>
      </c>
      <c r="K16636" s="10" t="s">
        <v>24</v>
      </c>
    </row>
    <row r="16637" spans="1:11" ht="54" customHeight="1">
      <c r="A16637" s="9" t="s">
        <v>33556</v>
      </c>
      <c r="B16637" s="9" t="s">
        <v>33556</v>
      </c>
      <c r="C16637" s="9" t="s">
        <v>17</v>
      </c>
      <c r="D16637" s="9" t="s">
        <v>18</v>
      </c>
      <c r="E16637" s="10" t="s">
        <v>627</v>
      </c>
      <c r="F16637" s="9" t="s">
        <v>628</v>
      </c>
      <c r="G16637" s="10" t="s">
        <v>21</v>
      </c>
      <c r="H16637" s="9" t="s">
        <v>22</v>
      </c>
      <c r="I16637" s="9" t="s">
        <v>33578</v>
      </c>
      <c r="J16637" s="10" t="str">
        <f>HYPERLINK("https://www.boe.es/gazeta/dias/1834/09/22/pdfs/GMD-C-1834-220.pdf#page=3","Abrir facsímil")</f>
        <v>Abrir facsímil</v>
      </c>
      <c r="K16637" s="10" t="s">
        <v>24</v>
      </c>
    </row>
    <row r="16638" spans="1:11" ht="54" customHeight="1">
      <c r="A16638" s="9" t="s">
        <v>33556</v>
      </c>
      <c r="B16638" s="9" t="s">
        <v>33556</v>
      </c>
      <c r="C16638" s="9" t="s">
        <v>17</v>
      </c>
      <c r="D16638" s="9" t="s">
        <v>18</v>
      </c>
      <c r="E16638" s="10" t="s">
        <v>378</v>
      </c>
      <c r="F16638" s="9" t="s">
        <v>888</v>
      </c>
      <c r="G16638" s="10" t="s">
        <v>21</v>
      </c>
      <c r="H16638" s="9" t="s">
        <v>22</v>
      </c>
      <c r="I16638" s="9" t="s">
        <v>33579</v>
      </c>
      <c r="J16638" s="10" t="str">
        <f>HYPERLINK("https://www.boe.es/gazeta/dias/1834/09/24/pdfs/GMD-C-1834-222.pdf#page=3","Abrir facsímil")</f>
        <v>Abrir facsímil</v>
      </c>
      <c r="K16638" s="10" t="s">
        <v>24</v>
      </c>
    </row>
    <row r="16639" spans="1:11" ht="54" customHeight="1">
      <c r="A16639" s="9" t="s">
        <v>33556</v>
      </c>
      <c r="B16639" s="9" t="s">
        <v>33556</v>
      </c>
      <c r="C16639" s="9" t="s">
        <v>66</v>
      </c>
      <c r="D16639" s="9" t="s">
        <v>67</v>
      </c>
      <c r="E16639" s="10" t="s">
        <v>658</v>
      </c>
      <c r="F16639" s="9" t="s">
        <v>2167</v>
      </c>
      <c r="G16639" s="10" t="s">
        <v>34</v>
      </c>
      <c r="H16639" s="9" t="s">
        <v>22</v>
      </c>
      <c r="I16639" s="9" t="s">
        <v>33580</v>
      </c>
      <c r="J16639" s="10" t="str">
        <f>HYPERLINK("https://www.boe.es/gazeta/dias/1834/05/26/pdfs/C00001-00001.pdf#page=1","Abrir facsímil")</f>
        <v>Abrir facsímil</v>
      </c>
      <c r="K16639" s="10" t="s">
        <v>24</v>
      </c>
    </row>
    <row r="16640" spans="1:11" ht="54" customHeight="1">
      <c r="A16640" s="9" t="s">
        <v>33556</v>
      </c>
      <c r="B16640" s="9" t="s">
        <v>33556</v>
      </c>
      <c r="C16640" s="9" t="s">
        <v>17</v>
      </c>
      <c r="D16640" s="9" t="s">
        <v>18</v>
      </c>
      <c r="E16640" s="10" t="s">
        <v>251</v>
      </c>
      <c r="F16640" s="9" t="s">
        <v>252</v>
      </c>
      <c r="G16640" s="10" t="s">
        <v>470</v>
      </c>
      <c r="H16640" s="9" t="s">
        <v>22</v>
      </c>
      <c r="I16640" s="9" t="s">
        <v>33581</v>
      </c>
      <c r="J16640" s="10" t="str">
        <f>HYPERLINK("https://www.boe.es/gazeta/dias/1834/09/26/pdfs/GMD-C-1834-224.pdf#page=8","Abrir facsímil")</f>
        <v>Abrir facsímil</v>
      </c>
      <c r="K16640" s="10" t="s">
        <v>24</v>
      </c>
    </row>
    <row r="16641" spans="1:11" ht="54" customHeight="1">
      <c r="A16641" s="9" t="s">
        <v>33556</v>
      </c>
      <c r="B16641" s="9" t="s">
        <v>33556</v>
      </c>
      <c r="C16641" s="9" t="s">
        <v>17</v>
      </c>
      <c r="D16641" s="9" t="s">
        <v>18</v>
      </c>
      <c r="E16641" s="10" t="s">
        <v>294</v>
      </c>
      <c r="F16641" s="9" t="s">
        <v>959</v>
      </c>
      <c r="G16641" s="10" t="s">
        <v>34</v>
      </c>
      <c r="H16641" s="9" t="s">
        <v>22</v>
      </c>
      <c r="I16641" s="9" t="s">
        <v>33582</v>
      </c>
      <c r="J16641" s="10" t="str">
        <f>HYPERLINK("https://www.boe.es/gazeta/dias/1834/09/27/pdfs/GMD-C-1834-225.pdf#page=1","Abrir facsímil")</f>
        <v>Abrir facsímil</v>
      </c>
      <c r="K16641" s="10" t="s">
        <v>24</v>
      </c>
    </row>
    <row r="16642" spans="1:11" ht="54" customHeight="1">
      <c r="A16642" s="9" t="s">
        <v>33556</v>
      </c>
      <c r="B16642" s="9" t="s">
        <v>33556</v>
      </c>
      <c r="C16642" s="9" t="s">
        <v>46</v>
      </c>
      <c r="D16642" s="9" t="s">
        <v>101</v>
      </c>
      <c r="E16642" s="10" t="s">
        <v>2142</v>
      </c>
      <c r="F16642" s="9" t="s">
        <v>2316</v>
      </c>
      <c r="G16642" s="10" t="s">
        <v>34</v>
      </c>
      <c r="H16642" s="9" t="s">
        <v>22</v>
      </c>
      <c r="I16642" s="9" t="s">
        <v>33583</v>
      </c>
      <c r="J16642" s="10" t="str">
        <f>HYPERLINK("https://www.boe.es/gazeta/dias/1834/12/27/pdfs/GMD-C-1834-317.pdf#page=1","Abrir facsímil")</f>
        <v>Abrir facsímil</v>
      </c>
      <c r="K16642" s="10" t="s">
        <v>24</v>
      </c>
    </row>
    <row r="16643" spans="1:11" ht="54" customHeight="1">
      <c r="A16643" s="9" t="s">
        <v>33556</v>
      </c>
      <c r="B16643" s="9" t="s">
        <v>33556</v>
      </c>
      <c r="C16643" s="9" t="s">
        <v>66</v>
      </c>
      <c r="D16643" s="9" t="s">
        <v>67</v>
      </c>
      <c r="E16643" s="10" t="s">
        <v>280</v>
      </c>
      <c r="F16643" s="9" t="s">
        <v>281</v>
      </c>
      <c r="G16643" s="10" t="s">
        <v>75</v>
      </c>
      <c r="H16643" s="9" t="s">
        <v>22</v>
      </c>
      <c r="I16643" s="9" t="s">
        <v>33584</v>
      </c>
      <c r="J16643" s="10" t="str">
        <f>HYPERLINK("https://www.boe.es/gazeta/dias/1834/08/29/pdfs/GMD-C-1834-195.pdf#page=4","Abrir facsímil")</f>
        <v>Abrir facsímil</v>
      </c>
      <c r="K16643" s="10" t="s">
        <v>24</v>
      </c>
    </row>
    <row r="16644" spans="1:11" ht="54" customHeight="1">
      <c r="A16644" s="9" t="s">
        <v>33556</v>
      </c>
      <c r="B16644" s="9" t="s">
        <v>33556</v>
      </c>
      <c r="C16644" s="9" t="s">
        <v>17</v>
      </c>
      <c r="D16644" s="9" t="s">
        <v>18</v>
      </c>
      <c r="E16644" s="10" t="s">
        <v>153</v>
      </c>
      <c r="F16644" s="9" t="s">
        <v>154</v>
      </c>
      <c r="G16644" s="10" t="s">
        <v>560</v>
      </c>
      <c r="H16644" s="9" t="s">
        <v>22</v>
      </c>
      <c r="I16644" s="9" t="s">
        <v>33585</v>
      </c>
      <c r="J16644" s="10" t="str">
        <f>HYPERLINK("https://www.boe.es/gazeta/dias/1834/12/30/pdfs/GMD-C-1834-320.pdf#page=7","Abrir facsímil")</f>
        <v>Abrir facsímil</v>
      </c>
      <c r="K16644" s="10" t="s">
        <v>24</v>
      </c>
    </row>
    <row r="16645" spans="1:11" ht="54" customHeight="1">
      <c r="A16645" s="9" t="s">
        <v>33556</v>
      </c>
      <c r="B16645" s="9" t="s">
        <v>33556</v>
      </c>
      <c r="C16645" s="9" t="s">
        <v>66</v>
      </c>
      <c r="D16645" s="9" t="s">
        <v>67</v>
      </c>
      <c r="E16645" s="10" t="s">
        <v>1789</v>
      </c>
      <c r="F16645" s="9" t="s">
        <v>1790</v>
      </c>
      <c r="G16645" s="10" t="s">
        <v>75</v>
      </c>
      <c r="H16645" s="9" t="s">
        <v>22</v>
      </c>
      <c r="I16645" s="9" t="s">
        <v>33586</v>
      </c>
      <c r="J16645" s="10" t="str">
        <f>HYPERLINK("https://www.boe.es/gazeta/dias/1834/05/31/pdfs/GMD-1834-100.pdf#page=4","Abrir facsímil")</f>
        <v>Abrir facsímil</v>
      </c>
      <c r="K16645" s="10" t="s">
        <v>24</v>
      </c>
    </row>
    <row r="16646" spans="1:11" ht="54" customHeight="1">
      <c r="A16646" s="9" t="s">
        <v>33556</v>
      </c>
      <c r="B16646" s="9" t="s">
        <v>33556</v>
      </c>
      <c r="C16646" s="9" t="s">
        <v>17</v>
      </c>
      <c r="D16646" s="9" t="s">
        <v>18</v>
      </c>
      <c r="E16646" s="10" t="s">
        <v>273</v>
      </c>
      <c r="F16646" s="9" t="s">
        <v>274</v>
      </c>
      <c r="G16646" s="10" t="s">
        <v>75</v>
      </c>
      <c r="H16646" s="9" t="s">
        <v>22</v>
      </c>
      <c r="I16646" s="9" t="s">
        <v>33587</v>
      </c>
      <c r="J16646" s="10" t="str">
        <f>HYPERLINK("https://www.boe.es/gazeta/dias/1834/08/31/pdfs/GMD-D-1834-198.pdf#page=4","Abrir facsímil")</f>
        <v>Abrir facsímil</v>
      </c>
      <c r="K16646" s="10" t="s">
        <v>24</v>
      </c>
    </row>
    <row r="16647" spans="1:11" ht="54" customHeight="1">
      <c r="A16647" s="9" t="s">
        <v>33556</v>
      </c>
      <c r="B16647" s="9" t="s">
        <v>33556</v>
      </c>
      <c r="C16647" s="9" t="s">
        <v>46</v>
      </c>
      <c r="D16647" s="9" t="s">
        <v>18</v>
      </c>
      <c r="E16647" s="10" t="s">
        <v>273</v>
      </c>
      <c r="F16647" s="9" t="s">
        <v>274</v>
      </c>
      <c r="G16647" s="10" t="s">
        <v>28</v>
      </c>
      <c r="H16647" s="9" t="s">
        <v>22</v>
      </c>
      <c r="I16647" s="9" t="s">
        <v>33588</v>
      </c>
      <c r="J16647" s="10" t="str">
        <f>HYPERLINK("https://www.boe.es/gazeta/dias/1834/08/31/pdfs/GMD-D-1834-198.pdf#page=5","Abrir facsímil")</f>
        <v>Abrir facsímil</v>
      </c>
      <c r="K16647" s="10" t="s">
        <v>24</v>
      </c>
    </row>
    <row r="16648" spans="1:11" ht="54" customHeight="1">
      <c r="A16648" s="9" t="s">
        <v>33589</v>
      </c>
      <c r="B16648" s="9" t="s">
        <v>33590</v>
      </c>
      <c r="C16648" s="9" t="s">
        <v>17</v>
      </c>
      <c r="D16648" s="9" t="s">
        <v>18</v>
      </c>
      <c r="E16648" s="10" t="s">
        <v>3066</v>
      </c>
      <c r="F16648" s="9" t="s">
        <v>3188</v>
      </c>
      <c r="G16648" s="10" t="s">
        <v>86</v>
      </c>
      <c r="H16648" s="9" t="s">
        <v>22</v>
      </c>
      <c r="I16648" s="9" t="s">
        <v>33591</v>
      </c>
      <c r="J16648" s="10" t="str">
        <f>HYPERLINK("https://www.boe.es/gazeta/dias/1834/08/03/pdfs/GMD-1834-167.pdf#page=2","Abrir facsímil")</f>
        <v>Abrir facsímil</v>
      </c>
      <c r="K16648" s="10" t="s">
        <v>24</v>
      </c>
    </row>
    <row r="16649" spans="1:11" ht="54" customHeight="1">
      <c r="A16649" s="9" t="s">
        <v>33592</v>
      </c>
      <c r="B16649" s="9" t="s">
        <v>33593</v>
      </c>
      <c r="C16649" s="9" t="s">
        <v>17</v>
      </c>
      <c r="D16649" s="9" t="s">
        <v>18</v>
      </c>
      <c r="E16649" s="10" t="s">
        <v>84</v>
      </c>
      <c r="F16649" s="9" t="s">
        <v>1223</v>
      </c>
      <c r="G16649" s="10" t="s">
        <v>75</v>
      </c>
      <c r="H16649" s="9" t="s">
        <v>35</v>
      </c>
      <c r="I16649" s="9" t="s">
        <v>33594</v>
      </c>
      <c r="J16649" s="10" t="str">
        <f>HYPERLINK("https://www.boe.es/gazeta/dias/1834/06/07/pdfs/GMD-1834-109.pdf#page=4","Abrir facsímil")</f>
        <v>Abrir facsímil</v>
      </c>
      <c r="K16649" s="10" t="s">
        <v>37</v>
      </c>
    </row>
    <row r="16650" spans="1:11" ht="54" customHeight="1">
      <c r="A16650" s="9" t="s">
        <v>33592</v>
      </c>
      <c r="B16650" s="9" t="s">
        <v>33593</v>
      </c>
      <c r="C16650" s="9" t="s">
        <v>17</v>
      </c>
      <c r="D16650" s="9" t="s">
        <v>18</v>
      </c>
      <c r="E16650" s="10" t="s">
        <v>956</v>
      </c>
      <c r="F16650" s="9" t="s">
        <v>957</v>
      </c>
      <c r="G16650" s="10" t="s">
        <v>34</v>
      </c>
      <c r="H16650" s="9" t="s">
        <v>35</v>
      </c>
      <c r="I16650" s="9" t="s">
        <v>33595</v>
      </c>
      <c r="J16650" s="10" t="str">
        <f>HYPERLINK("https://www.boe.es/gazeta/dias/1834/08/10/pdfs/GMD-C-1834-175.pdf#page=1","Abrir facsímil")</f>
        <v>Abrir facsímil</v>
      </c>
      <c r="K16650" s="10" t="s">
        <v>37</v>
      </c>
    </row>
    <row r="16651" spans="1:11" ht="54" customHeight="1">
      <c r="A16651" s="9" t="s">
        <v>33592</v>
      </c>
      <c r="B16651" s="9" t="s">
        <v>33593</v>
      </c>
      <c r="C16651" s="9" t="s">
        <v>66</v>
      </c>
      <c r="D16651" s="9" t="s">
        <v>67</v>
      </c>
      <c r="E16651" s="10" t="s">
        <v>1234</v>
      </c>
      <c r="F16651" s="9" t="s">
        <v>1235</v>
      </c>
      <c r="G16651" s="10" t="s">
        <v>34</v>
      </c>
      <c r="H16651" s="9" t="s">
        <v>35</v>
      </c>
      <c r="I16651" s="9" t="s">
        <v>33596</v>
      </c>
      <c r="J16651" s="10" t="str">
        <f>HYPERLINK("https://www.boe.es/gazeta/dias/1834/05/15/pdfs/GMD-C-1834-84.pdf#page=1","Abrir facsímil")</f>
        <v>Abrir facsímil</v>
      </c>
      <c r="K16651" s="10" t="s">
        <v>37</v>
      </c>
    </row>
    <row r="16652" spans="1:11" ht="54" customHeight="1">
      <c r="A16652" s="9" t="s">
        <v>33592</v>
      </c>
      <c r="B16652" s="9" t="s">
        <v>33593</v>
      </c>
      <c r="C16652" s="9" t="s">
        <v>66</v>
      </c>
      <c r="D16652" s="9" t="s">
        <v>55</v>
      </c>
      <c r="E16652" s="10" t="s">
        <v>1365</v>
      </c>
      <c r="F16652" s="9" t="s">
        <v>1366</v>
      </c>
      <c r="G16652" s="10" t="s">
        <v>75</v>
      </c>
      <c r="H16652" s="9" t="s">
        <v>35</v>
      </c>
      <c r="I16652" s="9" t="s">
        <v>33597</v>
      </c>
      <c r="J16652" s="10" t="str">
        <f>HYPERLINK("https://www.boe.es/gazeta/dias/1834/06/20/pdfs/GMD-1834-123.pdf#page=4","Abrir facsímil")</f>
        <v>Abrir facsímil</v>
      </c>
      <c r="K16652" s="10" t="s">
        <v>37</v>
      </c>
    </row>
    <row r="16653" spans="1:11" ht="54" customHeight="1">
      <c r="A16653" s="9" t="s">
        <v>33598</v>
      </c>
      <c r="B16653" s="9" t="s">
        <v>33599</v>
      </c>
      <c r="C16653" s="9" t="s">
        <v>66</v>
      </c>
      <c r="D16653" s="9" t="s">
        <v>67</v>
      </c>
      <c r="E16653" s="10" t="s">
        <v>1351</v>
      </c>
      <c r="F16653" s="9" t="s">
        <v>1352</v>
      </c>
      <c r="G16653" s="10" t="s">
        <v>75</v>
      </c>
      <c r="H16653" s="9" t="s">
        <v>35</v>
      </c>
      <c r="I16653" s="9" t="s">
        <v>33600</v>
      </c>
      <c r="J16653" s="10" t="str">
        <f>HYPERLINK("https://www.boe.es/gazeta/dias/1834/07/05/pdfs/GMD-1834-138.pdf#page=4","Abrir facsímil")</f>
        <v>Abrir facsímil</v>
      </c>
      <c r="K16653" s="10" t="s">
        <v>37</v>
      </c>
    </row>
    <row r="16654" spans="1:11" ht="54" customHeight="1">
      <c r="A16654" s="9" t="s">
        <v>33601</v>
      </c>
      <c r="B16654" s="9" t="s">
        <v>33602</v>
      </c>
      <c r="C16654" s="9" t="s">
        <v>17</v>
      </c>
      <c r="D16654" s="9" t="s">
        <v>18</v>
      </c>
      <c r="E16654" s="10" t="s">
        <v>84</v>
      </c>
      <c r="F16654" s="9" t="s">
        <v>1223</v>
      </c>
      <c r="G16654" s="10" t="s">
        <v>75</v>
      </c>
      <c r="H16654" s="9" t="s">
        <v>22</v>
      </c>
      <c r="I16654" s="9" t="s">
        <v>33603</v>
      </c>
      <c r="J16654" s="10" t="str">
        <f>HYPERLINK("https://www.boe.es/gazeta/dias/1834/06/07/pdfs/GMD-1834-109.pdf#page=4","Abrir facsímil")</f>
        <v>Abrir facsímil</v>
      </c>
      <c r="K16654" s="10" t="s">
        <v>24</v>
      </c>
    </row>
    <row r="16655" spans="1:11" ht="54" customHeight="1">
      <c r="A16655" s="9" t="s">
        <v>33601</v>
      </c>
      <c r="B16655" s="9" t="s">
        <v>33602</v>
      </c>
      <c r="C16655" s="9" t="s">
        <v>17</v>
      </c>
      <c r="D16655" s="9" t="s">
        <v>18</v>
      </c>
      <c r="E16655" s="10" t="s">
        <v>956</v>
      </c>
      <c r="F16655" s="9" t="s">
        <v>957</v>
      </c>
      <c r="G16655" s="10" t="s">
        <v>34</v>
      </c>
      <c r="H16655" s="9" t="s">
        <v>22</v>
      </c>
      <c r="I16655" s="9" t="s">
        <v>33604</v>
      </c>
      <c r="J16655" s="10" t="str">
        <f>HYPERLINK("https://www.boe.es/gazeta/dias/1834/08/10/pdfs/GMD-C-1834-175.pdf#page=1","Abrir facsímil")</f>
        <v>Abrir facsímil</v>
      </c>
      <c r="K16655" s="10" t="s">
        <v>24</v>
      </c>
    </row>
    <row r="16656" spans="1:11" ht="54" customHeight="1">
      <c r="A16656" s="9" t="s">
        <v>33601</v>
      </c>
      <c r="B16656" s="9" t="s">
        <v>33602</v>
      </c>
      <c r="C16656" s="9" t="s">
        <v>66</v>
      </c>
      <c r="D16656" s="9" t="s">
        <v>67</v>
      </c>
      <c r="E16656" s="10" t="s">
        <v>1234</v>
      </c>
      <c r="F16656" s="9" t="s">
        <v>1235</v>
      </c>
      <c r="G16656" s="10" t="s">
        <v>34</v>
      </c>
      <c r="H16656" s="9" t="s">
        <v>22</v>
      </c>
      <c r="I16656" s="9" t="s">
        <v>33605</v>
      </c>
      <c r="J16656" s="10" t="str">
        <f>HYPERLINK("https://www.boe.es/gazeta/dias/1834/05/15/pdfs/GMD-C-1834-84.pdf#page=1","Abrir facsímil")</f>
        <v>Abrir facsímil</v>
      </c>
      <c r="K16656" s="10" t="s">
        <v>24</v>
      </c>
    </row>
    <row r="16657" spans="1:11" ht="54" customHeight="1">
      <c r="A16657" s="9" t="s">
        <v>33601</v>
      </c>
      <c r="B16657" s="9" t="s">
        <v>33602</v>
      </c>
      <c r="C16657" s="9" t="s">
        <v>66</v>
      </c>
      <c r="D16657" s="9" t="s">
        <v>55</v>
      </c>
      <c r="E16657" s="10" t="s">
        <v>1365</v>
      </c>
      <c r="F16657" s="9" t="s">
        <v>1366</v>
      </c>
      <c r="G16657" s="10" t="s">
        <v>75</v>
      </c>
      <c r="H16657" s="9" t="s">
        <v>22</v>
      </c>
      <c r="I16657" s="9" t="s">
        <v>33606</v>
      </c>
      <c r="J16657" s="10" t="str">
        <f>HYPERLINK("https://www.boe.es/gazeta/dias/1834/06/20/pdfs/GMD-1834-123.pdf#page=4","Abrir facsímil")</f>
        <v>Abrir facsímil</v>
      </c>
      <c r="K16657" s="10" t="s">
        <v>24</v>
      </c>
    </row>
    <row r="16658" spans="1:11" ht="54" customHeight="1">
      <c r="A16658" s="9" t="s">
        <v>33601</v>
      </c>
      <c r="B16658" s="9" t="s">
        <v>33602</v>
      </c>
      <c r="C16658" s="9" t="s">
        <v>17</v>
      </c>
      <c r="D16658" s="9" t="s">
        <v>18</v>
      </c>
      <c r="E16658" s="10" t="s">
        <v>286</v>
      </c>
      <c r="F16658" s="9" t="s">
        <v>287</v>
      </c>
      <c r="G16658" s="10" t="s">
        <v>34</v>
      </c>
      <c r="H16658" s="9" t="s">
        <v>22</v>
      </c>
      <c r="I16658" s="9" t="s">
        <v>33607</v>
      </c>
      <c r="J16658" s="10" t="str">
        <f>HYPERLINK("https://www.boe.es/gazeta/dias/1834/08/30/pdfs/GMD-C-1834-196.pdf#page=1","Abrir facsímil")</f>
        <v>Abrir facsímil</v>
      </c>
      <c r="K16658" s="10" t="s">
        <v>24</v>
      </c>
    </row>
    <row r="16659" spans="1:11" ht="54" customHeight="1">
      <c r="A16659" s="9" t="s">
        <v>33608</v>
      </c>
      <c r="B16659" s="9" t="s">
        <v>33609</v>
      </c>
      <c r="C16659" s="9" t="s">
        <v>17</v>
      </c>
      <c r="D16659" s="9" t="s">
        <v>18</v>
      </c>
      <c r="E16659" s="10" t="s">
        <v>1226</v>
      </c>
      <c r="F16659" s="9" t="s">
        <v>1227</v>
      </c>
      <c r="G16659" s="10" t="s">
        <v>21</v>
      </c>
      <c r="H16659" s="9" t="s">
        <v>22</v>
      </c>
      <c r="I16659" s="9" t="s">
        <v>33610</v>
      </c>
      <c r="J16659" s="10" t="str">
        <f>HYPERLINK("https://www.boe.es/gazeta/dias/1834/07/14/pdfs/GMD-1834-147.pdf#page=3","Abrir facsímil")</f>
        <v>Abrir facsímil</v>
      </c>
      <c r="K16659" s="10" t="s">
        <v>24</v>
      </c>
    </row>
    <row r="16660" spans="1:11" ht="54" customHeight="1">
      <c r="A16660" s="9" t="s">
        <v>33611</v>
      </c>
      <c r="B16660" s="9" t="s">
        <v>33612</v>
      </c>
      <c r="C16660" s="9" t="s">
        <v>17</v>
      </c>
      <c r="D16660" s="9" t="s">
        <v>18</v>
      </c>
      <c r="E16660" s="10" t="s">
        <v>2241</v>
      </c>
      <c r="F16660" s="9" t="s">
        <v>2242</v>
      </c>
      <c r="G16660" s="10" t="s">
        <v>21</v>
      </c>
      <c r="H16660" s="9" t="s">
        <v>22</v>
      </c>
      <c r="I16660" s="9" t="s">
        <v>33613</v>
      </c>
      <c r="J16660" s="10" t="str">
        <f>HYPERLINK("https://www.boe.es/gazeta/dias/1834/03/11/pdfs/GMD-1834-31.pdf#page=3","Abrir facsímil")</f>
        <v>Abrir facsímil</v>
      </c>
      <c r="K16660" s="10" t="s">
        <v>24</v>
      </c>
    </row>
    <row r="16661" spans="1:11" ht="54" customHeight="1">
      <c r="A16661" s="9" t="s">
        <v>33614</v>
      </c>
      <c r="B16661" s="9" t="s">
        <v>33615</v>
      </c>
      <c r="C16661" s="9" t="s">
        <v>66</v>
      </c>
      <c r="D16661" s="9" t="s">
        <v>67</v>
      </c>
      <c r="E16661" s="10" t="s">
        <v>1351</v>
      </c>
      <c r="F16661" s="9" t="s">
        <v>1352</v>
      </c>
      <c r="G16661" s="10" t="s">
        <v>75</v>
      </c>
      <c r="H16661" s="9" t="s">
        <v>22</v>
      </c>
      <c r="I16661" s="9" t="s">
        <v>33616</v>
      </c>
      <c r="J16661" s="10" t="str">
        <f>HYPERLINK("https://www.boe.es/gazeta/dias/1834/07/05/pdfs/GMD-1834-138.pdf#page=4","Abrir facsímil")</f>
        <v>Abrir facsímil</v>
      </c>
      <c r="K16661" s="10" t="s">
        <v>24</v>
      </c>
    </row>
    <row r="16662" spans="1:11" ht="54" customHeight="1">
      <c r="A16662" s="9" t="s">
        <v>33617</v>
      </c>
      <c r="B16662" s="9" t="s">
        <v>33618</v>
      </c>
      <c r="C16662" s="9" t="s">
        <v>66</v>
      </c>
      <c r="D16662" s="9" t="s">
        <v>67</v>
      </c>
      <c r="E16662" s="10" t="s">
        <v>339</v>
      </c>
      <c r="F16662" s="9" t="s">
        <v>340</v>
      </c>
      <c r="G16662" s="10" t="s">
        <v>21</v>
      </c>
      <c r="H16662" s="9" t="s">
        <v>22</v>
      </c>
      <c r="I16662" s="9" t="s">
        <v>33619</v>
      </c>
      <c r="J16662" s="10" t="str">
        <f>HYPERLINK("https://www.boe.es/gazeta/dias/1834/05/02/pdfs/GMD-1834-71.pdf#page=3","Abrir facsímil")</f>
        <v>Abrir facsímil</v>
      </c>
      <c r="K16662" s="10" t="s">
        <v>24</v>
      </c>
    </row>
    <row r="16663" spans="1:11" ht="54" customHeight="1">
      <c r="A16663" s="9" t="s">
        <v>33620</v>
      </c>
      <c r="B16663" s="9" t="s">
        <v>33621</v>
      </c>
      <c r="C16663" s="9" t="s">
        <v>66</v>
      </c>
      <c r="D16663" s="9" t="s">
        <v>67</v>
      </c>
      <c r="E16663" s="10" t="s">
        <v>73</v>
      </c>
      <c r="F16663" s="9" t="s">
        <v>74</v>
      </c>
      <c r="G16663" s="10" t="s">
        <v>75</v>
      </c>
      <c r="H16663" s="9" t="s">
        <v>22</v>
      </c>
      <c r="I16663" s="9" t="s">
        <v>33622</v>
      </c>
      <c r="J16663" s="10" t="str">
        <f>HYPERLINK("https://www.boe.es/gazeta/dias/1834/11/04/pdfs/GMD-1834-263.pdf#page=4","Abrir facsímil")</f>
        <v>Abrir facsímil</v>
      </c>
      <c r="K16663" s="10" t="s">
        <v>24</v>
      </c>
    </row>
    <row r="16664" spans="1:11" ht="54" customHeight="1">
      <c r="A16664" s="9" t="s">
        <v>33623</v>
      </c>
      <c r="B16664" s="9" t="s">
        <v>33624</v>
      </c>
      <c r="C16664" s="9" t="s">
        <v>90</v>
      </c>
      <c r="D16664" s="9" t="s">
        <v>18</v>
      </c>
      <c r="E16664" s="10" t="s">
        <v>158</v>
      </c>
      <c r="F16664" s="9" t="s">
        <v>159</v>
      </c>
      <c r="G16664" s="10" t="s">
        <v>21</v>
      </c>
      <c r="H16664" s="9" t="s">
        <v>22</v>
      </c>
      <c r="I16664" s="9" t="s">
        <v>33625</v>
      </c>
      <c r="J16664" s="10" t="str">
        <f>HYPERLINK("https://www.boe.es/gazeta/dias/1834/10/01/pdfs/GMD-1834-229.pdf#page=3","Abrir facsímil")</f>
        <v>Abrir facsímil</v>
      </c>
      <c r="K16664" s="10" t="s">
        <v>24</v>
      </c>
    </row>
    <row r="16665" spans="1:11" ht="54" customHeight="1">
      <c r="A16665" s="9" t="s">
        <v>33626</v>
      </c>
      <c r="B16665" s="9" t="s">
        <v>33626</v>
      </c>
      <c r="C16665" s="9" t="s">
        <v>66</v>
      </c>
      <c r="D16665" s="9" t="s">
        <v>55</v>
      </c>
      <c r="E16665" s="10" t="s">
        <v>615</v>
      </c>
      <c r="F16665" s="9" t="s">
        <v>616</v>
      </c>
      <c r="G16665" s="10" t="s">
        <v>34</v>
      </c>
      <c r="H16665" s="9" t="s">
        <v>22</v>
      </c>
      <c r="I16665" s="9" t="s">
        <v>33627</v>
      </c>
      <c r="J16665" s="10" t="str">
        <f>HYPERLINK("https://www.boe.es/gazeta/dias/1834/08/19/pdfs/GMD-1834-185.pdf#page=1","Abrir facsímil")</f>
        <v>Abrir facsímil</v>
      </c>
      <c r="K16665" s="10" t="s">
        <v>24</v>
      </c>
    </row>
    <row r="16666" spans="1:11" ht="54" customHeight="1">
      <c r="A16666" s="9" t="s">
        <v>33628</v>
      </c>
      <c r="B16666" s="9" t="s">
        <v>33628</v>
      </c>
      <c r="C16666" s="9" t="s">
        <v>46</v>
      </c>
      <c r="D16666" s="9" t="s">
        <v>18</v>
      </c>
      <c r="E16666" s="10" t="s">
        <v>912</v>
      </c>
      <c r="F16666" s="9" t="s">
        <v>913</v>
      </c>
      <c r="G16666" s="10" t="s">
        <v>75</v>
      </c>
      <c r="H16666" s="9" t="s">
        <v>22</v>
      </c>
      <c r="I16666" s="9" t="s">
        <v>33629</v>
      </c>
      <c r="J16666" s="10" t="str">
        <f>HYPERLINK("https://www.boe.es/gazeta/dias/1834/02/15/pdfs/GMD-1834-21.pdf#page=4","Abrir facsímil")</f>
        <v>Abrir facsímil</v>
      </c>
      <c r="K16666" s="10" t="s">
        <v>24</v>
      </c>
    </row>
    <row r="16667" spans="1:11" ht="54" customHeight="1">
      <c r="A16667" s="9" t="s">
        <v>33630</v>
      </c>
      <c r="B16667" s="9" t="s">
        <v>33631</v>
      </c>
      <c r="C16667" s="9" t="s">
        <v>17</v>
      </c>
      <c r="D16667" s="9" t="s">
        <v>18</v>
      </c>
      <c r="E16667" s="10" t="s">
        <v>679</v>
      </c>
      <c r="F16667" s="9" t="s">
        <v>699</v>
      </c>
      <c r="G16667" s="10" t="s">
        <v>86</v>
      </c>
      <c r="H16667" s="9" t="s">
        <v>22</v>
      </c>
      <c r="I16667" s="9" t="s">
        <v>33632</v>
      </c>
      <c r="J16667" s="10" t="str">
        <f>HYPERLINK("https://www.boe.es/gazeta/dias/1834/12/10/pdfs/GMD-C-1834-299.pdf#page=2","Abrir facsímil")</f>
        <v>Abrir facsímil</v>
      </c>
      <c r="K16667" s="10" t="s">
        <v>24</v>
      </c>
    </row>
    <row r="16668" spans="1:11" ht="54" customHeight="1">
      <c r="A16668" s="9" t="s">
        <v>33633</v>
      </c>
      <c r="B16668" s="9" t="s">
        <v>33634</v>
      </c>
      <c r="C16668" s="9" t="s">
        <v>66</v>
      </c>
      <c r="D16668" s="9" t="s">
        <v>67</v>
      </c>
      <c r="E16668" s="10" t="s">
        <v>4736</v>
      </c>
      <c r="F16668" s="9" t="s">
        <v>4737</v>
      </c>
      <c r="G16668" s="10" t="s">
        <v>21</v>
      </c>
      <c r="H16668" s="9" t="s">
        <v>22</v>
      </c>
      <c r="I16668" s="9" t="s">
        <v>33635</v>
      </c>
      <c r="J16668" s="10" t="str">
        <f>HYPERLINK("https://www.boe.es/gazeta/dias/1834/09/16/pdfs/GMD-1834-214.pdf#page=3","Abrir facsímil")</f>
        <v>Abrir facsímil</v>
      </c>
      <c r="K16668" s="10" t="s">
        <v>24</v>
      </c>
    </row>
    <row r="16669" spans="1:11" ht="54" customHeight="1">
      <c r="A16669" s="9" t="s">
        <v>33636</v>
      </c>
      <c r="B16669" s="9" t="s">
        <v>33636</v>
      </c>
      <c r="C16669" s="9" t="s">
        <v>17</v>
      </c>
      <c r="D16669" s="9" t="s">
        <v>18</v>
      </c>
      <c r="E16669" s="10" t="s">
        <v>863</v>
      </c>
      <c r="F16669" s="9" t="s">
        <v>864</v>
      </c>
      <c r="G16669" s="10" t="s">
        <v>21</v>
      </c>
      <c r="H16669" s="9" t="s">
        <v>22</v>
      </c>
      <c r="I16669" s="9" t="s">
        <v>33637</v>
      </c>
      <c r="J16669" s="10" t="str">
        <f>HYPERLINK("https://www.boe.es/gazeta/dias/1834/09/15/pdfs/GMD-1834-213.pdf#page=3","Abrir facsímil")</f>
        <v>Abrir facsímil</v>
      </c>
      <c r="K16669" s="10" t="s">
        <v>24</v>
      </c>
    </row>
    <row r="16670" spans="1:11" ht="54" customHeight="1">
      <c r="A16670" s="9" t="s">
        <v>33638</v>
      </c>
      <c r="B16670" s="9" t="s">
        <v>33639</v>
      </c>
      <c r="C16670" s="9" t="s">
        <v>66</v>
      </c>
      <c r="D16670" s="9" t="s">
        <v>67</v>
      </c>
      <c r="E16670" s="10" t="s">
        <v>863</v>
      </c>
      <c r="F16670" s="9" t="s">
        <v>864</v>
      </c>
      <c r="G16670" s="10" t="s">
        <v>86</v>
      </c>
      <c r="H16670" s="9" t="s">
        <v>22</v>
      </c>
      <c r="I16670" s="9" t="s">
        <v>33640</v>
      </c>
      <c r="J16670" s="10" t="str">
        <f>HYPERLINK("https://www.boe.es/gazeta/dias/1834/09/15/pdfs/GMD-1834-213.pdf#page=2","Abrir facsímil")</f>
        <v>Abrir facsímil</v>
      </c>
      <c r="K16670" s="10" t="s">
        <v>24</v>
      </c>
    </row>
    <row r="16671" spans="1:11" ht="54" customHeight="1">
      <c r="A16671" s="9" t="s">
        <v>33641</v>
      </c>
      <c r="B16671" s="9" t="s">
        <v>33642</v>
      </c>
      <c r="C16671" s="9" t="s">
        <v>66</v>
      </c>
      <c r="D16671" s="9" t="s">
        <v>67</v>
      </c>
      <c r="E16671" s="10" t="s">
        <v>2260</v>
      </c>
      <c r="F16671" s="9" t="s">
        <v>2261</v>
      </c>
      <c r="G16671" s="10" t="s">
        <v>21</v>
      </c>
      <c r="H16671" s="9" t="s">
        <v>22</v>
      </c>
      <c r="I16671" s="9" t="s">
        <v>33643</v>
      </c>
      <c r="J16671" s="10" t="str">
        <f>HYPERLINK("https://www.boe.es/gazeta/dias/1834/11/13/pdfs/GMD-1834-272.pdf#page=3","Abrir facsímil")</f>
        <v>Abrir facsímil</v>
      </c>
      <c r="K16671" s="10" t="s">
        <v>24</v>
      </c>
    </row>
    <row r="16672" spans="1:11" ht="54" customHeight="1">
      <c r="A16672" s="9" t="s">
        <v>33644</v>
      </c>
      <c r="B16672" s="9" t="s">
        <v>33645</v>
      </c>
      <c r="C16672" s="9" t="s">
        <v>46</v>
      </c>
      <c r="D16672" s="9" t="s">
        <v>18</v>
      </c>
      <c r="E16672" s="10" t="s">
        <v>1025</v>
      </c>
      <c r="F16672" s="9" t="s">
        <v>1026</v>
      </c>
      <c r="G16672" s="10" t="s">
        <v>21</v>
      </c>
      <c r="H16672" s="9" t="s">
        <v>22</v>
      </c>
      <c r="I16672" s="9" t="s">
        <v>33646</v>
      </c>
      <c r="J16672" s="10" t="str">
        <f>HYPERLINK("https://www.boe.es/gazeta/dias/1834/03/01/pdfs/GMD-1834-27.pdf#page=3","Abrir facsímil")</f>
        <v>Abrir facsímil</v>
      </c>
      <c r="K16672" s="10" t="s">
        <v>24</v>
      </c>
    </row>
    <row r="16673" spans="1:11" ht="54" customHeight="1">
      <c r="A16673" s="9" t="s">
        <v>33647</v>
      </c>
      <c r="B16673" s="9" t="s">
        <v>33647</v>
      </c>
      <c r="C16673" s="9" t="s">
        <v>122</v>
      </c>
      <c r="D16673" s="9" t="s">
        <v>55</v>
      </c>
      <c r="E16673" s="10" t="s">
        <v>1094</v>
      </c>
      <c r="F16673" s="9" t="s">
        <v>1095</v>
      </c>
      <c r="G16673" s="10" t="s">
        <v>21</v>
      </c>
      <c r="H16673" s="9" t="s">
        <v>22</v>
      </c>
      <c r="I16673" s="9" t="s">
        <v>33648</v>
      </c>
      <c r="J16673" s="10" t="str">
        <f>HYPERLINK("https://www.boe.es/gazeta/dias/1834/07/13/pdfs/GMD-1834-146.pdf#page=3","Abrir facsímil")</f>
        <v>Abrir facsímil</v>
      </c>
      <c r="K16673" s="10" t="s">
        <v>24</v>
      </c>
    </row>
    <row r="16674" spans="1:11" ht="54" customHeight="1">
      <c r="A16674" s="9" t="s">
        <v>33649</v>
      </c>
      <c r="B16674" s="9" t="s">
        <v>33650</v>
      </c>
      <c r="C16674" s="9" t="s">
        <v>122</v>
      </c>
      <c r="D16674" s="9" t="s">
        <v>18</v>
      </c>
      <c r="E16674" s="10" t="s">
        <v>444</v>
      </c>
      <c r="F16674" s="9" t="s">
        <v>445</v>
      </c>
      <c r="G16674" s="10" t="s">
        <v>28</v>
      </c>
      <c r="H16674" s="9" t="s">
        <v>35</v>
      </c>
      <c r="I16674" s="9" t="s">
        <v>33651</v>
      </c>
      <c r="J16674" s="10" t="str">
        <f>HYPERLINK("https://www.boe.es/gazeta/dias/1834/09/12/pdfs/GMD-C-1834-210.pdf#page=5","Abrir facsímil")</f>
        <v>Abrir facsímil</v>
      </c>
      <c r="K16674" s="10" t="s">
        <v>37</v>
      </c>
    </row>
    <row r="16675" spans="1:11" ht="54" customHeight="1">
      <c r="A16675" s="9" t="s">
        <v>33652</v>
      </c>
      <c r="B16675" s="9" t="s">
        <v>33652</v>
      </c>
      <c r="C16675" s="9" t="s">
        <v>17</v>
      </c>
      <c r="D16675" s="9" t="s">
        <v>18</v>
      </c>
      <c r="E16675" s="10" t="s">
        <v>2153</v>
      </c>
      <c r="F16675" s="9" t="s">
        <v>2154</v>
      </c>
      <c r="G16675" s="10" t="s">
        <v>34</v>
      </c>
      <c r="H16675" s="9" t="s">
        <v>22</v>
      </c>
      <c r="I16675" s="9" t="s">
        <v>33653</v>
      </c>
      <c r="J16675" s="10" t="str">
        <f>HYPERLINK("https://www.boe.es/gazeta/dias/1834/01/23/pdfs/GMD-1834-11.pdf#page=1","Abrir facsímil")</f>
        <v>Abrir facsímil</v>
      </c>
      <c r="K16675" s="10" t="s">
        <v>24</v>
      </c>
    </row>
    <row r="16676" spans="1:11" ht="54" customHeight="1">
      <c r="A16676" s="9" t="s">
        <v>33654</v>
      </c>
      <c r="B16676" s="9" t="s">
        <v>33654</v>
      </c>
      <c r="C16676" s="9" t="s">
        <v>17</v>
      </c>
      <c r="D16676" s="9" t="s">
        <v>101</v>
      </c>
      <c r="E16676" s="10" t="s">
        <v>68</v>
      </c>
      <c r="F16676" s="9" t="s">
        <v>69</v>
      </c>
      <c r="G16676" s="10" t="s">
        <v>75</v>
      </c>
      <c r="H16676" s="9" t="s">
        <v>22</v>
      </c>
      <c r="I16676" s="9" t="s">
        <v>33655</v>
      </c>
      <c r="J16676" s="10" t="str">
        <f>HYPERLINK("https://www.boe.es/gazeta/dias/1834/11/01/pdfs/GMD-1834-260.pdf#page=4","Abrir facsímil")</f>
        <v>Abrir facsímil</v>
      </c>
      <c r="K16676" s="10" t="s">
        <v>24</v>
      </c>
    </row>
    <row r="16677" spans="1:11" ht="54" customHeight="1">
      <c r="A16677" s="9" t="s">
        <v>33654</v>
      </c>
      <c r="B16677" s="9" t="s">
        <v>33654</v>
      </c>
      <c r="C16677" s="9" t="s">
        <v>17</v>
      </c>
      <c r="D16677" s="9" t="s">
        <v>18</v>
      </c>
      <c r="E16677" s="10" t="s">
        <v>729</v>
      </c>
      <c r="F16677" s="9" t="s">
        <v>730</v>
      </c>
      <c r="G16677" s="10" t="s">
        <v>75</v>
      </c>
      <c r="H16677" s="9" t="s">
        <v>22</v>
      </c>
      <c r="I16677" s="9" t="s">
        <v>33656</v>
      </c>
      <c r="J16677" s="10" t="str">
        <f>HYPERLINK("https://www.boe.es/gazeta/dias/1834/04/13/pdfs/GMD-1834-52.pdf#page=4","Abrir facsímil")</f>
        <v>Abrir facsímil</v>
      </c>
      <c r="K16677" s="10" t="s">
        <v>24</v>
      </c>
    </row>
    <row r="16678" spans="1:11" ht="54" customHeight="1">
      <c r="A16678" s="9" t="s">
        <v>33654</v>
      </c>
      <c r="B16678" s="9" t="s">
        <v>33654</v>
      </c>
      <c r="C16678" s="9" t="s">
        <v>122</v>
      </c>
      <c r="D16678" s="9" t="s">
        <v>18</v>
      </c>
      <c r="E16678" s="10" t="s">
        <v>1981</v>
      </c>
      <c r="F16678" s="9" t="s">
        <v>1982</v>
      </c>
      <c r="G16678" s="10" t="s">
        <v>75</v>
      </c>
      <c r="H16678" s="9" t="s">
        <v>22</v>
      </c>
      <c r="I16678" s="9" t="s">
        <v>33657</v>
      </c>
      <c r="J16678" s="10" t="str">
        <f>HYPERLINK("https://www.boe.es/gazeta/dias/1834/12/13/pdfs/GMD-1834-302.pdf#page=4","Abrir facsímil")</f>
        <v>Abrir facsímil</v>
      </c>
      <c r="K16678" s="10" t="s">
        <v>24</v>
      </c>
    </row>
    <row r="16679" spans="1:11" ht="54" customHeight="1">
      <c r="A16679" s="9" t="s">
        <v>33654</v>
      </c>
      <c r="B16679" s="9" t="s">
        <v>33654</v>
      </c>
      <c r="C16679" s="9" t="s">
        <v>17</v>
      </c>
      <c r="D16679" s="9" t="s">
        <v>18</v>
      </c>
      <c r="E16679" s="10" t="s">
        <v>2087</v>
      </c>
      <c r="F16679" s="9" t="s">
        <v>2088</v>
      </c>
      <c r="G16679" s="10" t="s">
        <v>75</v>
      </c>
      <c r="H16679" s="9" t="s">
        <v>22</v>
      </c>
      <c r="I16679" s="9" t="s">
        <v>33658</v>
      </c>
      <c r="J16679" s="10" t="str">
        <f>HYPERLINK("https://www.boe.es/gazeta/dias/1834/12/14/pdfs/GMD-1834-303.pdf#page=4","Abrir facsímil")</f>
        <v>Abrir facsímil</v>
      </c>
      <c r="K16679" s="10" t="s">
        <v>24</v>
      </c>
    </row>
    <row r="16680" spans="1:11" ht="54" customHeight="1">
      <c r="A16680" s="9" t="s">
        <v>33654</v>
      </c>
      <c r="B16680" s="9" t="s">
        <v>33654</v>
      </c>
      <c r="C16680" s="9" t="s">
        <v>17</v>
      </c>
      <c r="D16680" s="9" t="s">
        <v>18</v>
      </c>
      <c r="E16680" s="10" t="s">
        <v>2278</v>
      </c>
      <c r="F16680" s="9" t="s">
        <v>3088</v>
      </c>
      <c r="G16680" s="10" t="s">
        <v>75</v>
      </c>
      <c r="H16680" s="9" t="s">
        <v>22</v>
      </c>
      <c r="I16680" s="9" t="s">
        <v>33659</v>
      </c>
      <c r="J16680" s="10" t="str">
        <f>HYPERLINK("https://www.boe.es/gazeta/dias/1834/12/17/pdfs/GMD-1834-306.pdf#page=4","Abrir facsímil")</f>
        <v>Abrir facsímil</v>
      </c>
      <c r="K16680" s="10" t="s">
        <v>24</v>
      </c>
    </row>
    <row r="16681" spans="1:11" ht="54" customHeight="1">
      <c r="A16681" s="9" t="s">
        <v>33654</v>
      </c>
      <c r="B16681" s="9" t="s">
        <v>33654</v>
      </c>
      <c r="C16681" s="9" t="s">
        <v>122</v>
      </c>
      <c r="D16681" s="9" t="s">
        <v>18</v>
      </c>
      <c r="E16681" s="10" t="s">
        <v>268</v>
      </c>
      <c r="F16681" s="9" t="s">
        <v>3529</v>
      </c>
      <c r="G16681" s="10" t="s">
        <v>75</v>
      </c>
      <c r="H16681" s="9" t="s">
        <v>22</v>
      </c>
      <c r="I16681" s="9" t="s">
        <v>33660</v>
      </c>
      <c r="J16681" s="10" t="str">
        <f>HYPERLINK("https://www.boe.es/gazeta/dias/1834/12/19/pdfs/GMD-1834-309.pdf#page=4","Abrir facsímil")</f>
        <v>Abrir facsímil</v>
      </c>
      <c r="K16681" s="10" t="s">
        <v>24</v>
      </c>
    </row>
    <row r="16682" spans="1:11" ht="54" customHeight="1">
      <c r="A16682" s="9" t="s">
        <v>33654</v>
      </c>
      <c r="B16682" s="9" t="s">
        <v>33654</v>
      </c>
      <c r="C16682" s="9" t="s">
        <v>122</v>
      </c>
      <c r="D16682" s="9" t="s">
        <v>18</v>
      </c>
      <c r="E16682" s="10" t="s">
        <v>1973</v>
      </c>
      <c r="F16682" s="9" t="s">
        <v>4832</v>
      </c>
      <c r="G16682" s="10" t="s">
        <v>75</v>
      </c>
      <c r="H16682" s="9" t="s">
        <v>22</v>
      </c>
      <c r="I16682" s="9" t="s">
        <v>33661</v>
      </c>
      <c r="J16682" s="10" t="str">
        <f>HYPERLINK("https://www.boe.es/gazeta/dias/1834/12/20/pdfs/GMD-1834-310.pdf#page=4","Abrir facsímil")</f>
        <v>Abrir facsímil</v>
      </c>
      <c r="K16682" s="10" t="s">
        <v>24</v>
      </c>
    </row>
    <row r="16683" spans="1:11" ht="54" customHeight="1">
      <c r="A16683" s="9" t="s">
        <v>33654</v>
      </c>
      <c r="B16683" s="9" t="s">
        <v>33654</v>
      </c>
      <c r="C16683" s="9" t="s">
        <v>17</v>
      </c>
      <c r="D16683" s="9" t="s">
        <v>18</v>
      </c>
      <c r="E16683" s="10" t="s">
        <v>849</v>
      </c>
      <c r="F16683" s="9" t="s">
        <v>850</v>
      </c>
      <c r="G16683" s="10" t="s">
        <v>75</v>
      </c>
      <c r="H16683" s="9" t="s">
        <v>22</v>
      </c>
      <c r="I16683" s="9" t="s">
        <v>33662</v>
      </c>
      <c r="J16683" s="10" t="str">
        <f>HYPERLINK("https://www.boe.es/gazeta/dias/1834/06/21/pdfs/GMD-1834-124.pdf#page=4","Abrir facsímil")</f>
        <v>Abrir facsímil</v>
      </c>
      <c r="K16683" s="10" t="s">
        <v>24</v>
      </c>
    </row>
    <row r="16684" spans="1:11" ht="54" customHeight="1">
      <c r="A16684" s="9" t="s">
        <v>33654</v>
      </c>
      <c r="B16684" s="9" t="s">
        <v>33654</v>
      </c>
      <c r="C16684" s="9" t="s">
        <v>66</v>
      </c>
      <c r="D16684" s="9" t="s">
        <v>18</v>
      </c>
      <c r="E16684" s="10" t="s">
        <v>8279</v>
      </c>
      <c r="F16684" s="9" t="s">
        <v>8280</v>
      </c>
      <c r="G16684" s="10" t="s">
        <v>75</v>
      </c>
      <c r="H16684" s="9" t="s">
        <v>22</v>
      </c>
      <c r="I16684" s="9" t="s">
        <v>33663</v>
      </c>
      <c r="J16684" s="10" t="str">
        <f>HYPERLINK("https://www.boe.es/gazeta/dias/1834/04/22/pdfs/GMD-1834-61.pdf#page=4","Abrir facsímil")</f>
        <v>Abrir facsímil</v>
      </c>
      <c r="K16684" s="10" t="s">
        <v>24</v>
      </c>
    </row>
    <row r="16685" spans="1:11" ht="54" customHeight="1">
      <c r="A16685" s="9" t="s">
        <v>33654</v>
      </c>
      <c r="B16685" s="9" t="s">
        <v>33654</v>
      </c>
      <c r="C16685" s="9" t="s">
        <v>17</v>
      </c>
      <c r="D16685" s="9" t="s">
        <v>18</v>
      </c>
      <c r="E16685" s="10" t="s">
        <v>32</v>
      </c>
      <c r="F16685" s="9" t="s">
        <v>33</v>
      </c>
      <c r="G16685" s="10" t="s">
        <v>176</v>
      </c>
      <c r="H16685" s="9" t="s">
        <v>22</v>
      </c>
      <c r="I16685" s="9" t="s">
        <v>33664</v>
      </c>
      <c r="J16685" s="10" t="str">
        <f>HYPERLINK("https://www.boe.es/gazeta/dias/1834/04/23/pdfs/GMD-1834-62.pdf#page=6","Abrir facsímil")</f>
        <v>Abrir facsímil</v>
      </c>
      <c r="K16685" s="10" t="s">
        <v>24</v>
      </c>
    </row>
    <row r="16686" spans="1:11" ht="54" customHeight="1">
      <c r="A16686" s="9" t="s">
        <v>33654</v>
      </c>
      <c r="B16686" s="9" t="s">
        <v>33654</v>
      </c>
      <c r="C16686" s="9" t="s">
        <v>66</v>
      </c>
      <c r="D16686" s="9" t="s">
        <v>67</v>
      </c>
      <c r="E16686" s="10" t="s">
        <v>394</v>
      </c>
      <c r="F16686" s="9" t="s">
        <v>395</v>
      </c>
      <c r="G16686" s="10" t="s">
        <v>75</v>
      </c>
      <c r="H16686" s="9" t="s">
        <v>22</v>
      </c>
      <c r="I16686" s="9" t="s">
        <v>33665</v>
      </c>
      <c r="J16686" s="10" t="str">
        <f>HYPERLINK("https://www.boe.es/gazeta/dias/1834/12/23/pdfs/GMD-1834-313.pdf#page=4","Abrir facsímil")</f>
        <v>Abrir facsímil</v>
      </c>
      <c r="K16686" s="10" t="s">
        <v>24</v>
      </c>
    </row>
    <row r="16687" spans="1:11" ht="54" customHeight="1">
      <c r="A16687" s="9" t="s">
        <v>33654</v>
      </c>
      <c r="B16687" s="9" t="s">
        <v>33654</v>
      </c>
      <c r="C16687" s="9" t="s">
        <v>46</v>
      </c>
      <c r="D16687" s="9" t="s">
        <v>101</v>
      </c>
      <c r="E16687" s="10" t="s">
        <v>833</v>
      </c>
      <c r="F16687" s="9" t="s">
        <v>834</v>
      </c>
      <c r="G16687" s="10" t="s">
        <v>75</v>
      </c>
      <c r="H16687" s="9" t="s">
        <v>22</v>
      </c>
      <c r="I16687" s="9" t="s">
        <v>33666</v>
      </c>
      <c r="J16687" s="10" t="str">
        <f>HYPERLINK("https://www.boe.es/gazeta/dias/1834/04/24/pdfs/GMD-1834-63.pdf#page=4","Abrir facsímil")</f>
        <v>Abrir facsímil</v>
      </c>
      <c r="K16687" s="10" t="s">
        <v>24</v>
      </c>
    </row>
    <row r="16688" spans="1:11" ht="54" customHeight="1">
      <c r="A16688" s="9" t="s">
        <v>33654</v>
      </c>
      <c r="B16688" s="9" t="s">
        <v>33654</v>
      </c>
      <c r="C16688" s="9" t="s">
        <v>17</v>
      </c>
      <c r="D16688" s="9" t="s">
        <v>18</v>
      </c>
      <c r="E16688" s="10" t="s">
        <v>919</v>
      </c>
      <c r="F16688" s="9" t="s">
        <v>920</v>
      </c>
      <c r="G16688" s="10" t="s">
        <v>75</v>
      </c>
      <c r="H16688" s="9" t="s">
        <v>22</v>
      </c>
      <c r="I16688" s="9" t="s">
        <v>33667</v>
      </c>
      <c r="J16688" s="10" t="str">
        <f>HYPERLINK("https://www.boe.es/gazeta/dias/1834/06/24/pdfs/GMD-1834-127.pdf#page=4","Abrir facsímil")</f>
        <v>Abrir facsímil</v>
      </c>
      <c r="K16688" s="10" t="s">
        <v>24</v>
      </c>
    </row>
    <row r="16689" spans="1:11" ht="54" customHeight="1">
      <c r="A16689" s="9" t="s">
        <v>33654</v>
      </c>
      <c r="B16689" s="9" t="s">
        <v>33654</v>
      </c>
      <c r="C16689" s="9" t="s">
        <v>17</v>
      </c>
      <c r="D16689" s="9" t="s">
        <v>18</v>
      </c>
      <c r="E16689" s="10" t="s">
        <v>128</v>
      </c>
      <c r="F16689" s="9" t="s">
        <v>1068</v>
      </c>
      <c r="G16689" s="10" t="s">
        <v>75</v>
      </c>
      <c r="H16689" s="9" t="s">
        <v>22</v>
      </c>
      <c r="I16689" s="9" t="s">
        <v>33668</v>
      </c>
      <c r="J16689" s="10" t="str">
        <f>HYPERLINK("https://www.boe.es/gazeta/dias/1834/12/24/pdfs/GMD-1834-314.pdf#page=4","Abrir facsímil")</f>
        <v>Abrir facsímil</v>
      </c>
      <c r="K16689" s="10" t="s">
        <v>24</v>
      </c>
    </row>
    <row r="16690" spans="1:11" ht="54" customHeight="1">
      <c r="A16690" s="9" t="s">
        <v>33654</v>
      </c>
      <c r="B16690" s="9" t="s">
        <v>33654</v>
      </c>
      <c r="C16690" s="9" t="s">
        <v>17</v>
      </c>
      <c r="D16690" s="9" t="s">
        <v>18</v>
      </c>
      <c r="E16690" s="10" t="s">
        <v>724</v>
      </c>
      <c r="F16690" s="9" t="s">
        <v>725</v>
      </c>
      <c r="G16690" s="10" t="s">
        <v>176</v>
      </c>
      <c r="H16690" s="9" t="s">
        <v>22</v>
      </c>
      <c r="I16690" s="9" t="s">
        <v>33669</v>
      </c>
      <c r="J16690" s="10" t="str">
        <f>HYPERLINK("https://www.boe.es/gazeta/dias/1834/04/25/pdfs/GMD-1834-64.pdf#page=6","Abrir facsímil")</f>
        <v>Abrir facsímil</v>
      </c>
      <c r="K16690" s="10" t="s">
        <v>24</v>
      </c>
    </row>
    <row r="16691" spans="1:11" ht="54" customHeight="1">
      <c r="A16691" s="9" t="s">
        <v>33654</v>
      </c>
      <c r="B16691" s="9" t="s">
        <v>33654</v>
      </c>
      <c r="C16691" s="9" t="s">
        <v>17</v>
      </c>
      <c r="D16691" s="9" t="s">
        <v>18</v>
      </c>
      <c r="E16691" s="10" t="s">
        <v>2306</v>
      </c>
      <c r="F16691" s="9" t="s">
        <v>2307</v>
      </c>
      <c r="G16691" s="10" t="s">
        <v>75</v>
      </c>
      <c r="H16691" s="9" t="s">
        <v>22</v>
      </c>
      <c r="I16691" s="9" t="s">
        <v>33670</v>
      </c>
      <c r="J16691" s="10" t="str">
        <f>HYPERLINK("https://www.boe.es/gazeta/dias/1834/04/26/pdfs/GMD-1834-65.pdf#page=4","Abrir facsímil")</f>
        <v>Abrir facsímil</v>
      </c>
      <c r="K16691" s="10" t="s">
        <v>24</v>
      </c>
    </row>
    <row r="16692" spans="1:11" ht="54" customHeight="1">
      <c r="A16692" s="9" t="s">
        <v>33654</v>
      </c>
      <c r="B16692" s="9" t="s">
        <v>33654</v>
      </c>
      <c r="C16692" s="9" t="s">
        <v>122</v>
      </c>
      <c r="D16692" s="9" t="s">
        <v>101</v>
      </c>
      <c r="E16692" s="10" t="s">
        <v>192</v>
      </c>
      <c r="F16692" s="9" t="s">
        <v>193</v>
      </c>
      <c r="G16692" s="10" t="s">
        <v>75</v>
      </c>
      <c r="H16692" s="9" t="s">
        <v>22</v>
      </c>
      <c r="I16692" s="9" t="s">
        <v>33671</v>
      </c>
      <c r="J16692" s="10" t="str">
        <f>HYPERLINK("https://www.boe.es/gazeta/dias/1834/12/31/pdfs/GMD-1834-321.pdf#page=4","Abrir facsímil")</f>
        <v>Abrir facsímil</v>
      </c>
      <c r="K16692" s="10" t="s">
        <v>24</v>
      </c>
    </row>
    <row r="16693" spans="1:11" ht="54" customHeight="1">
      <c r="A16693" s="9" t="s">
        <v>33672</v>
      </c>
      <c r="B16693" s="9" t="s">
        <v>33673</v>
      </c>
      <c r="C16693" s="9" t="s">
        <v>17</v>
      </c>
      <c r="D16693" s="9" t="s">
        <v>18</v>
      </c>
      <c r="E16693" s="10" t="s">
        <v>571</v>
      </c>
      <c r="F16693" s="9" t="s">
        <v>572</v>
      </c>
      <c r="G16693" s="10" t="s">
        <v>34</v>
      </c>
      <c r="H16693" s="9" t="s">
        <v>22</v>
      </c>
      <c r="I16693" s="9" t="s">
        <v>33674</v>
      </c>
      <c r="J16693" s="10" t="str">
        <f>HYPERLINK("https://www.boe.es/gazeta/dias/1834/09/04/pdfs/GMD-1834-202.pdf#page=1","Abrir facsímil")</f>
        <v>Abrir facsímil</v>
      </c>
      <c r="K16693" s="10" t="s">
        <v>24</v>
      </c>
    </row>
    <row r="16694" spans="1:11" ht="54" customHeight="1">
      <c r="A16694" s="9" t="s">
        <v>33672</v>
      </c>
      <c r="B16694" s="9" t="s">
        <v>33673</v>
      </c>
      <c r="C16694" s="9" t="s">
        <v>17</v>
      </c>
      <c r="D16694" s="9" t="s">
        <v>55</v>
      </c>
      <c r="E16694" s="10" t="s">
        <v>251</v>
      </c>
      <c r="F16694" s="9" t="s">
        <v>1278</v>
      </c>
      <c r="G16694" s="10" t="s">
        <v>86</v>
      </c>
      <c r="H16694" s="9" t="s">
        <v>22</v>
      </c>
      <c r="I16694" s="9" t="s">
        <v>33675</v>
      </c>
      <c r="J16694" s="10" t="str">
        <f>HYPERLINK("https://www.boe.es/gazeta/dias/1834/09/26/pdfs/GMD-1834-224.pdf#page=2","Abrir facsímil")</f>
        <v>Abrir facsímil</v>
      </c>
      <c r="K16694" s="10" t="s">
        <v>24</v>
      </c>
    </row>
    <row r="16695" spans="1:11" ht="54" customHeight="1">
      <c r="A16695" s="9" t="s">
        <v>33676</v>
      </c>
      <c r="B16695" s="9" t="s">
        <v>33677</v>
      </c>
      <c r="C16695" s="9" t="s">
        <v>66</v>
      </c>
      <c r="D16695" s="9" t="s">
        <v>67</v>
      </c>
      <c r="E16695" s="10" t="s">
        <v>2241</v>
      </c>
      <c r="F16695" s="9" t="s">
        <v>2242</v>
      </c>
      <c r="G16695" s="10" t="s">
        <v>21</v>
      </c>
      <c r="H16695" s="9" t="s">
        <v>22</v>
      </c>
      <c r="I16695" s="9" t="s">
        <v>33678</v>
      </c>
      <c r="J16695" s="10" t="str">
        <f>HYPERLINK("https://www.boe.es/gazeta/dias/1834/03/11/pdfs/GMD-1834-31.pdf#page=3","Abrir facsímil")</f>
        <v>Abrir facsímil</v>
      </c>
      <c r="K16695" s="10" t="s">
        <v>24</v>
      </c>
    </row>
    <row r="16696" spans="1:11" ht="54" customHeight="1">
      <c r="A16696" s="9" t="s">
        <v>33679</v>
      </c>
      <c r="B16696" s="9" t="s">
        <v>33680</v>
      </c>
      <c r="C16696" s="9" t="s">
        <v>17</v>
      </c>
      <c r="D16696" s="9" t="s">
        <v>18</v>
      </c>
      <c r="E16696" s="10" t="s">
        <v>1017</v>
      </c>
      <c r="F16696" s="9" t="s">
        <v>1018</v>
      </c>
      <c r="G16696" s="10" t="s">
        <v>21</v>
      </c>
      <c r="H16696" s="9" t="s">
        <v>22</v>
      </c>
      <c r="I16696" s="9" t="s">
        <v>33681</v>
      </c>
      <c r="J16696" s="10" t="str">
        <f>HYPERLINK("https://www.boe.es/gazeta/dias/1834/07/24/pdfs/GMD-1834-157.pdf#page=3","Abrir facsímil")</f>
        <v>Abrir facsímil</v>
      </c>
      <c r="K16696" s="10" t="s">
        <v>24</v>
      </c>
    </row>
    <row r="16697" spans="1:11" ht="54" customHeight="1">
      <c r="A16697" s="9" t="s">
        <v>33682</v>
      </c>
      <c r="B16697" s="9" t="s">
        <v>33682</v>
      </c>
      <c r="C16697" s="9" t="s">
        <v>17</v>
      </c>
      <c r="D16697" s="9" t="s">
        <v>101</v>
      </c>
      <c r="E16697" s="10" t="s">
        <v>68</v>
      </c>
      <c r="F16697" s="9" t="s">
        <v>69</v>
      </c>
      <c r="G16697" s="10" t="s">
        <v>34</v>
      </c>
      <c r="H16697" s="9" t="s">
        <v>22</v>
      </c>
      <c r="I16697" s="9" t="s">
        <v>33683</v>
      </c>
      <c r="J16697" s="10" t="str">
        <f>HYPERLINK("https://www.boe.es/gazeta/dias/1834/11/01/pdfs/I01088-01088.pdf#page=1","Abrir facsímil")</f>
        <v>Abrir facsímil</v>
      </c>
      <c r="K16697" s="10" t="s">
        <v>24</v>
      </c>
    </row>
    <row r="16698" spans="1:11" ht="54" customHeight="1">
      <c r="A16698" s="9" t="s">
        <v>33684</v>
      </c>
      <c r="B16698" s="9" t="s">
        <v>33685</v>
      </c>
      <c r="C16698" s="9" t="s">
        <v>17</v>
      </c>
      <c r="D16698" s="9" t="s">
        <v>18</v>
      </c>
      <c r="E16698" s="10" t="s">
        <v>462</v>
      </c>
      <c r="F16698" s="9" t="s">
        <v>2110</v>
      </c>
      <c r="G16698" s="10" t="s">
        <v>34</v>
      </c>
      <c r="H16698" s="9" t="s">
        <v>22</v>
      </c>
      <c r="I16698" s="9" t="s">
        <v>33686</v>
      </c>
      <c r="J16698" s="10" t="str">
        <f>HYPERLINK("https://www.boe.es/gazeta/dias/1834/08/27/pdfs/GMD-1834-193.pdf#page=1","Abrir facsímil")</f>
        <v>Abrir facsímil</v>
      </c>
      <c r="K16698" s="10" t="s">
        <v>24</v>
      </c>
    </row>
    <row r="16699" spans="1:11" ht="54" customHeight="1">
      <c r="A16699" s="9" t="s">
        <v>33687</v>
      </c>
      <c r="B16699" s="9" t="s">
        <v>33687</v>
      </c>
      <c r="C16699" s="9" t="s">
        <v>17</v>
      </c>
      <c r="D16699" s="9" t="s">
        <v>18</v>
      </c>
      <c r="E16699" s="10" t="s">
        <v>4105</v>
      </c>
      <c r="F16699" s="9" t="s">
        <v>4106</v>
      </c>
      <c r="G16699" s="10" t="s">
        <v>34</v>
      </c>
      <c r="H16699" s="9" t="s">
        <v>22</v>
      </c>
      <c r="I16699" s="9" t="s">
        <v>33688</v>
      </c>
      <c r="J16699" s="10" t="str">
        <f>HYPERLINK("https://www.boe.es/gazeta/dias/1834/09/02/pdfs/GMD-C-1834-200.pdf#page=1","Abrir facsímil")</f>
        <v>Abrir facsímil</v>
      </c>
      <c r="K16699" s="10" t="s">
        <v>24</v>
      </c>
    </row>
    <row r="16700" spans="1:11" ht="54" customHeight="1">
      <c r="A16700" s="9" t="s">
        <v>33689</v>
      </c>
      <c r="B16700" s="9" t="s">
        <v>33689</v>
      </c>
      <c r="C16700" s="9" t="s">
        <v>122</v>
      </c>
      <c r="D16700" s="9" t="s">
        <v>40</v>
      </c>
      <c r="E16700" s="10" t="s">
        <v>1459</v>
      </c>
      <c r="F16700" s="9" t="s">
        <v>1460</v>
      </c>
      <c r="G16700" s="10" t="s">
        <v>34</v>
      </c>
      <c r="H16700" s="9" t="s">
        <v>22</v>
      </c>
      <c r="I16700" s="9" t="s">
        <v>33690</v>
      </c>
      <c r="J16700" s="10" t="str">
        <f>HYPERLINK("https://www.boe.es/gazeta/dias/1834/08/18/pdfs/GMD-1834-184.pdf#page=1","Abrir facsímil")</f>
        <v>Abrir facsímil</v>
      </c>
      <c r="K16700" s="10" t="s">
        <v>24</v>
      </c>
    </row>
    <row r="16701" spans="1:11" ht="54" customHeight="1">
      <c r="A16701" s="9" t="s">
        <v>33691</v>
      </c>
      <c r="B16701" s="9" t="s">
        <v>33692</v>
      </c>
      <c r="C16701" s="9" t="s">
        <v>122</v>
      </c>
      <c r="D16701" s="9" t="s">
        <v>18</v>
      </c>
      <c r="E16701" s="10" t="s">
        <v>1572</v>
      </c>
      <c r="F16701" s="9" t="s">
        <v>1573</v>
      </c>
      <c r="G16701" s="10" t="s">
        <v>75</v>
      </c>
      <c r="H16701" s="9" t="s">
        <v>35</v>
      </c>
      <c r="I16701" s="9" t="s">
        <v>33693</v>
      </c>
      <c r="J16701" s="10" t="str">
        <f>HYPERLINK("https://www.boe.es/gazeta/dias/1834/03/20/pdfs/GMD-1834-35.pdf#page=4","Abrir facsímil")</f>
        <v>Abrir facsímil</v>
      </c>
      <c r="K16701" s="10" t="s">
        <v>37</v>
      </c>
    </row>
    <row r="16702" spans="1:11" ht="54" customHeight="1">
      <c r="A16702" s="9" t="s">
        <v>33694</v>
      </c>
      <c r="B16702" s="9" t="s">
        <v>33695</v>
      </c>
      <c r="C16702" s="9" t="s">
        <v>122</v>
      </c>
      <c r="D16702" s="9" t="s">
        <v>18</v>
      </c>
      <c r="E16702" s="10" t="s">
        <v>1572</v>
      </c>
      <c r="F16702" s="9" t="s">
        <v>1573</v>
      </c>
      <c r="G16702" s="10" t="s">
        <v>75</v>
      </c>
      <c r="H16702" s="9" t="s">
        <v>22</v>
      </c>
      <c r="I16702" s="9" t="s">
        <v>33696</v>
      </c>
      <c r="J16702" s="10" t="str">
        <f>HYPERLINK("https://www.boe.es/gazeta/dias/1834/03/20/pdfs/GMD-1834-35.pdf#page=4","Abrir facsímil")</f>
        <v>Abrir facsímil</v>
      </c>
      <c r="K16702" s="10" t="s">
        <v>24</v>
      </c>
    </row>
    <row r="16703" spans="1:11" ht="54" customHeight="1">
      <c r="A16703" s="9" t="s">
        <v>33697</v>
      </c>
      <c r="B16703" s="9" t="s">
        <v>33698</v>
      </c>
      <c r="C16703" s="9" t="s">
        <v>66</v>
      </c>
      <c r="D16703" s="9" t="s">
        <v>67</v>
      </c>
      <c r="E16703" s="10" t="s">
        <v>672</v>
      </c>
      <c r="F16703" s="9" t="s">
        <v>1055</v>
      </c>
      <c r="G16703" s="10" t="s">
        <v>86</v>
      </c>
      <c r="H16703" s="9" t="s">
        <v>22</v>
      </c>
      <c r="I16703" s="9" t="s">
        <v>33699</v>
      </c>
      <c r="J16703" s="10" t="str">
        <f>HYPERLINK("https://www.boe.es/gazeta/dias/1834/09/19/pdfs/GMD-C-1834-217.pdf#page=2","Abrir facsímil")</f>
        <v>Abrir facsímil</v>
      </c>
      <c r="K16703" s="10" t="s">
        <v>24</v>
      </c>
    </row>
    <row r="16704" spans="1:11" ht="54" customHeight="1">
      <c r="A16704" s="9" t="s">
        <v>33700</v>
      </c>
      <c r="B16704" s="9" t="s">
        <v>33701</v>
      </c>
      <c r="C16704" s="9" t="s">
        <v>17</v>
      </c>
      <c r="D16704" s="9" t="s">
        <v>18</v>
      </c>
      <c r="E16704" s="10" t="s">
        <v>1265</v>
      </c>
      <c r="F16704" s="9" t="s">
        <v>1266</v>
      </c>
      <c r="G16704" s="10" t="s">
        <v>21</v>
      </c>
      <c r="H16704" s="9" t="s">
        <v>35</v>
      </c>
      <c r="I16704" s="9" t="s">
        <v>33702</v>
      </c>
      <c r="J16704" s="10" t="str">
        <f>HYPERLINK("https://www.boe.es/gazeta/dias/1834/09/08/pdfs/GMD-1834-206.pdf#page=3","Abrir facsímil")</f>
        <v>Abrir facsímil</v>
      </c>
      <c r="K16704" s="10" t="s">
        <v>37</v>
      </c>
    </row>
    <row r="16705" spans="1:11" ht="54" customHeight="1">
      <c r="A16705" s="9" t="s">
        <v>33703</v>
      </c>
      <c r="B16705" s="9" t="s">
        <v>33704</v>
      </c>
      <c r="C16705" s="9" t="s">
        <v>66</v>
      </c>
      <c r="D16705" s="9" t="s">
        <v>67</v>
      </c>
      <c r="E16705" s="10" t="s">
        <v>61</v>
      </c>
      <c r="F16705" s="9" t="s">
        <v>205</v>
      </c>
      <c r="G16705" s="10" t="s">
        <v>86</v>
      </c>
      <c r="H16705" s="9" t="s">
        <v>35</v>
      </c>
      <c r="I16705" s="9" t="s">
        <v>33705</v>
      </c>
      <c r="J16705" s="10" t="str">
        <f>HYPERLINK("https://www.boe.es/gazeta/dias/1834/06/08/pdfs/GMD-1834-110.pdf#page=2","Abrir facsímil")</f>
        <v>Abrir facsímil</v>
      </c>
      <c r="K16705" s="10" t="s">
        <v>37</v>
      </c>
    </row>
    <row r="16706" spans="1:11" ht="54" customHeight="1">
      <c r="A16706" s="9" t="s">
        <v>33706</v>
      </c>
      <c r="B16706" s="9" t="s">
        <v>33707</v>
      </c>
      <c r="C16706" s="9" t="s">
        <v>17</v>
      </c>
      <c r="D16706" s="9" t="s">
        <v>18</v>
      </c>
      <c r="E16706" s="10" t="s">
        <v>492</v>
      </c>
      <c r="F16706" s="9" t="s">
        <v>493</v>
      </c>
      <c r="G16706" s="10" t="s">
        <v>21</v>
      </c>
      <c r="H16706" s="9" t="s">
        <v>22</v>
      </c>
      <c r="I16706" s="9" t="s">
        <v>33708</v>
      </c>
      <c r="J16706" s="10" t="str">
        <f>HYPERLINK("https://www.boe.es/gazeta/dias/1834/11/21/pdfs/GMD-C-1834-280.pdf#page=3","Abrir facsímil")</f>
        <v>Abrir facsímil</v>
      </c>
      <c r="K16706" s="10" t="s">
        <v>24</v>
      </c>
    </row>
    <row r="16707" spans="1:11" ht="54" customHeight="1">
      <c r="A16707" s="9" t="s">
        <v>33709</v>
      </c>
      <c r="B16707" s="9" t="s">
        <v>33710</v>
      </c>
      <c r="C16707" s="9" t="s">
        <v>66</v>
      </c>
      <c r="D16707" s="9" t="s">
        <v>67</v>
      </c>
      <c r="E16707" s="10" t="s">
        <v>61</v>
      </c>
      <c r="F16707" s="9" t="s">
        <v>205</v>
      </c>
      <c r="G16707" s="10" t="s">
        <v>86</v>
      </c>
      <c r="H16707" s="9" t="s">
        <v>22</v>
      </c>
      <c r="I16707" s="9" t="s">
        <v>33711</v>
      </c>
      <c r="J16707" s="10" t="str">
        <f>HYPERLINK("https://www.boe.es/gazeta/dias/1834/06/08/pdfs/GMD-1834-110.pdf#page=2","Abrir facsímil")</f>
        <v>Abrir facsímil</v>
      </c>
      <c r="K16707" s="10" t="s">
        <v>24</v>
      </c>
    </row>
    <row r="16708" spans="1:11" ht="54" customHeight="1">
      <c r="A16708" s="9" t="s">
        <v>33712</v>
      </c>
      <c r="B16708" s="9" t="s">
        <v>33713</v>
      </c>
      <c r="C16708" s="9" t="s">
        <v>17</v>
      </c>
      <c r="D16708" s="9" t="s">
        <v>18</v>
      </c>
      <c r="E16708" s="10" t="s">
        <v>777</v>
      </c>
      <c r="F16708" s="9" t="s">
        <v>2535</v>
      </c>
      <c r="G16708" s="10" t="s">
        <v>86</v>
      </c>
      <c r="H16708" s="9" t="s">
        <v>22</v>
      </c>
      <c r="I16708" s="9" t="s">
        <v>33714</v>
      </c>
      <c r="J16708" s="10" t="str">
        <f>HYPERLINK("https://www.boe.es/gazeta/dias/1834/10/29/pdfs/GMD-C-1834-257.pdf#page=2","Abrir facsímil")</f>
        <v>Abrir facsímil</v>
      </c>
      <c r="K16708" s="10" t="s">
        <v>24</v>
      </c>
    </row>
    <row r="16709" spans="1:11" ht="54" customHeight="1">
      <c r="A16709" s="9" t="s">
        <v>33715</v>
      </c>
      <c r="B16709" s="9" t="s">
        <v>33716</v>
      </c>
      <c r="C16709" s="9" t="s">
        <v>46</v>
      </c>
      <c r="D16709" s="9" t="s">
        <v>101</v>
      </c>
      <c r="E16709" s="10" t="s">
        <v>715</v>
      </c>
      <c r="F16709" s="9" t="s">
        <v>716</v>
      </c>
      <c r="G16709" s="10" t="s">
        <v>34</v>
      </c>
      <c r="H16709" s="9" t="s">
        <v>22</v>
      </c>
      <c r="I16709" s="9" t="s">
        <v>33717</v>
      </c>
      <c r="J16709" s="10" t="str">
        <f>HYPERLINK("https://www.boe.es/gazeta/dias/1834/09/17/pdfs/GMD-C-1834-215.pdf#page=1","Abrir facsímil")</f>
        <v>Abrir facsímil</v>
      </c>
      <c r="K16709" s="10" t="s">
        <v>24</v>
      </c>
    </row>
    <row r="16710" spans="1:11" ht="54" customHeight="1">
      <c r="A16710" s="9" t="s">
        <v>33718</v>
      </c>
      <c r="B16710" s="9" t="s">
        <v>33719</v>
      </c>
      <c r="C16710" s="9" t="s">
        <v>17</v>
      </c>
      <c r="D16710" s="9" t="s">
        <v>18</v>
      </c>
      <c r="E16710" s="10" t="s">
        <v>777</v>
      </c>
      <c r="F16710" s="9" t="s">
        <v>2535</v>
      </c>
      <c r="G16710" s="10" t="s">
        <v>34</v>
      </c>
      <c r="H16710" s="9" t="s">
        <v>22</v>
      </c>
      <c r="I16710" s="9" t="s">
        <v>33720</v>
      </c>
      <c r="J16710" s="10" t="str">
        <f>HYPERLINK("https://www.boe.es/gazeta/dias/1834/10/29/pdfs/GMD-C-1834-257.pdf#page=1","Abrir facsímil")</f>
        <v>Abrir facsímil</v>
      </c>
      <c r="K16710" s="10" t="s">
        <v>24</v>
      </c>
    </row>
    <row r="16711" spans="1:11" ht="54" customHeight="1">
      <c r="A16711" s="9" t="s">
        <v>33721</v>
      </c>
      <c r="B16711" s="9" t="s">
        <v>33722</v>
      </c>
      <c r="C16711" s="9" t="s">
        <v>17</v>
      </c>
      <c r="D16711" s="9" t="s">
        <v>18</v>
      </c>
      <c r="E16711" s="10" t="s">
        <v>707</v>
      </c>
      <c r="F16711" s="9" t="s">
        <v>708</v>
      </c>
      <c r="G16711" s="10" t="s">
        <v>28</v>
      </c>
      <c r="H16711" s="9" t="s">
        <v>22</v>
      </c>
      <c r="I16711" s="9" t="s">
        <v>33723</v>
      </c>
      <c r="J16711" s="10" t="str">
        <f>HYPERLINK("https://www.boe.es/gazeta/dias/1834/11/25/pdfs/GMD-C-1834-284.pdf#page=5","Abrir facsímil")</f>
        <v>Abrir facsímil</v>
      </c>
      <c r="K16711" s="10" t="s">
        <v>24</v>
      </c>
    </row>
    <row r="16712" spans="1:11" ht="54" customHeight="1">
      <c r="A16712" s="9" t="s">
        <v>33724</v>
      </c>
      <c r="B16712" s="9" t="s">
        <v>33724</v>
      </c>
      <c r="C16712" s="9" t="s">
        <v>17</v>
      </c>
      <c r="D16712" s="9" t="s">
        <v>18</v>
      </c>
      <c r="E16712" s="10" t="s">
        <v>451</v>
      </c>
      <c r="F16712" s="9" t="s">
        <v>452</v>
      </c>
      <c r="G16712" s="10" t="s">
        <v>34</v>
      </c>
      <c r="H16712" s="9" t="s">
        <v>22</v>
      </c>
      <c r="I16712" s="9" t="s">
        <v>33725</v>
      </c>
      <c r="J16712" s="10" t="str">
        <f>HYPERLINK("https://www.boe.es/gazeta/dias/1834/10/15/pdfs/GMD-C-1834-243.pdf#page=1","Abrir facsímil")</f>
        <v>Abrir facsímil</v>
      </c>
      <c r="K16712" s="10" t="s">
        <v>24</v>
      </c>
    </row>
    <row r="16713" spans="1:11" ht="54" customHeight="1">
      <c r="A16713" s="9" t="s">
        <v>33726</v>
      </c>
      <c r="B16713" s="9" t="s">
        <v>33726</v>
      </c>
      <c r="C16713" s="9" t="s">
        <v>17</v>
      </c>
      <c r="D16713" s="9" t="s">
        <v>18</v>
      </c>
      <c r="E16713" s="10" t="s">
        <v>364</v>
      </c>
      <c r="F16713" s="9" t="s">
        <v>365</v>
      </c>
      <c r="G16713" s="10" t="s">
        <v>176</v>
      </c>
      <c r="H16713" s="9" t="s">
        <v>22</v>
      </c>
      <c r="I16713" s="9" t="s">
        <v>33727</v>
      </c>
      <c r="J16713" s="10" t="str">
        <f>HYPERLINK("https://www.boe.es/gazeta/dias/1834/09/06/pdfs/GMD-C-1834-204.pdf#page=6","Abrir facsímil")</f>
        <v>Abrir facsímil</v>
      </c>
      <c r="K16713" s="10" t="s">
        <v>24</v>
      </c>
    </row>
    <row r="16714" spans="1:11" ht="54" customHeight="1">
      <c r="A16714" s="9" t="s">
        <v>33728</v>
      </c>
      <c r="B16714" s="9" t="s">
        <v>33728</v>
      </c>
      <c r="C16714" s="9" t="s">
        <v>17</v>
      </c>
      <c r="D16714" s="9" t="s">
        <v>18</v>
      </c>
      <c r="E16714" s="10" t="s">
        <v>3328</v>
      </c>
      <c r="F16714" s="9" t="s">
        <v>3329</v>
      </c>
      <c r="G16714" s="10" t="s">
        <v>21</v>
      </c>
      <c r="H16714" s="9" t="s">
        <v>22</v>
      </c>
      <c r="I16714" s="9" t="s">
        <v>33729</v>
      </c>
      <c r="J16714" s="10" t="str">
        <f>HYPERLINK("https://www.boe.es/gazeta/dias/1834/06/04/pdfs/GMD-1834-106.pdf#page=3","Abrir facsímil")</f>
        <v>Abrir facsímil</v>
      </c>
      <c r="K16714" s="10" t="s">
        <v>24</v>
      </c>
    </row>
    <row r="16715" spans="1:11" ht="54" customHeight="1">
      <c r="A16715" s="9" t="s">
        <v>33730</v>
      </c>
      <c r="B16715" s="9" t="s">
        <v>33730</v>
      </c>
      <c r="C16715" s="9" t="s">
        <v>122</v>
      </c>
      <c r="D16715" s="9" t="s">
        <v>101</v>
      </c>
      <c r="E16715" s="10" t="s">
        <v>899</v>
      </c>
      <c r="F16715" s="9" t="s">
        <v>900</v>
      </c>
      <c r="G16715" s="10" t="s">
        <v>86</v>
      </c>
      <c r="H16715" s="9" t="s">
        <v>22</v>
      </c>
      <c r="I16715" s="9" t="s">
        <v>33731</v>
      </c>
      <c r="J16715" s="10" t="str">
        <f>HYPERLINK("https://www.boe.es/gazeta/dias/1834/01/30/pdfs/GMD-1834-14.pdf#page=2","Abrir facsímil")</f>
        <v>Abrir facsímil</v>
      </c>
      <c r="K16715" s="10" t="s">
        <v>24</v>
      </c>
    </row>
    <row r="16716" spans="1:11" ht="54" customHeight="1">
      <c r="A16716" s="9" t="s">
        <v>33732</v>
      </c>
      <c r="B16716" s="9" t="s">
        <v>33733</v>
      </c>
      <c r="C16716" s="9" t="s">
        <v>17</v>
      </c>
      <c r="D16716" s="9" t="s">
        <v>18</v>
      </c>
      <c r="E16716" s="10" t="s">
        <v>433</v>
      </c>
      <c r="F16716" s="9" t="s">
        <v>434</v>
      </c>
      <c r="G16716" s="10" t="s">
        <v>86</v>
      </c>
      <c r="H16716" s="9" t="s">
        <v>22</v>
      </c>
      <c r="I16716" s="9" t="s">
        <v>33734</v>
      </c>
      <c r="J16716" s="10" t="str">
        <f>HYPERLINK("https://www.boe.es/gazeta/dias/1834/10/07/pdfs/GMD-C-1834-235.pdf#page=2","Abrir facsímil")</f>
        <v>Abrir facsímil</v>
      </c>
      <c r="K16716" s="10" t="s">
        <v>24</v>
      </c>
    </row>
    <row r="16717" spans="1:11" ht="54" customHeight="1">
      <c r="A16717" s="9" t="s">
        <v>33735</v>
      </c>
      <c r="B16717" s="9" t="s">
        <v>33736</v>
      </c>
      <c r="C16717" s="9" t="s">
        <v>66</v>
      </c>
      <c r="D16717" s="9" t="s">
        <v>67</v>
      </c>
      <c r="E16717" s="10" t="s">
        <v>317</v>
      </c>
      <c r="F16717" s="9" t="s">
        <v>318</v>
      </c>
      <c r="G16717" s="10" t="s">
        <v>34</v>
      </c>
      <c r="H16717" s="9" t="s">
        <v>35</v>
      </c>
      <c r="I16717" s="9" t="s">
        <v>33737</v>
      </c>
      <c r="J16717" s="10" t="str">
        <f>HYPERLINK("https://www.boe.es/gazeta/dias/1834/03/06/pdfs/I00139-00140.pdf#page=1","Abrir facsímil")</f>
        <v>Abrir facsímil</v>
      </c>
      <c r="K16717" s="10" t="s">
        <v>37</v>
      </c>
    </row>
    <row r="16718" spans="1:11" ht="54" customHeight="1">
      <c r="A16718" s="9" t="s">
        <v>33735</v>
      </c>
      <c r="B16718" s="9" t="s">
        <v>33736</v>
      </c>
      <c r="C16718" s="9" t="s">
        <v>66</v>
      </c>
      <c r="D16718" s="9" t="s">
        <v>67</v>
      </c>
      <c r="E16718" s="10" t="s">
        <v>317</v>
      </c>
      <c r="F16718" s="9" t="s">
        <v>318</v>
      </c>
      <c r="G16718" s="10" t="s">
        <v>21</v>
      </c>
      <c r="H16718" s="9" t="s">
        <v>35</v>
      </c>
      <c r="I16718" s="9" t="s">
        <v>33737</v>
      </c>
      <c r="J16718" s="10" t="str">
        <f>HYPERLINK("https://www.boe.es/gazeta/dias/1834/03/06/pdfs/GMD-1834-29.pdf#page=3","Abrir facsímil")</f>
        <v>Abrir facsímil</v>
      </c>
      <c r="K16718" s="10" t="s">
        <v>37</v>
      </c>
    </row>
    <row r="16719" spans="1:11" ht="54" customHeight="1">
      <c r="A16719" s="9" t="s">
        <v>33738</v>
      </c>
      <c r="B16719" s="9" t="s">
        <v>33739</v>
      </c>
      <c r="C16719" s="9" t="s">
        <v>66</v>
      </c>
      <c r="D16719" s="9" t="s">
        <v>67</v>
      </c>
      <c r="E16719" s="10" t="s">
        <v>317</v>
      </c>
      <c r="F16719" s="9" t="s">
        <v>318</v>
      </c>
      <c r="G16719" s="10" t="s">
        <v>34</v>
      </c>
      <c r="H16719" s="9" t="s">
        <v>22</v>
      </c>
      <c r="I16719" s="9" t="s">
        <v>33740</v>
      </c>
      <c r="J16719" s="10" t="str">
        <f>HYPERLINK("https://www.boe.es/gazeta/dias/1834/03/06/pdfs/I00139-00140.pdf#page=1","Abrir facsímil")</f>
        <v>Abrir facsímil</v>
      </c>
      <c r="K16719" s="10" t="s">
        <v>24</v>
      </c>
    </row>
    <row r="16720" spans="1:11" ht="54" customHeight="1">
      <c r="A16720" s="9" t="s">
        <v>33738</v>
      </c>
      <c r="B16720" s="9" t="s">
        <v>33739</v>
      </c>
      <c r="C16720" s="9" t="s">
        <v>66</v>
      </c>
      <c r="D16720" s="9" t="s">
        <v>67</v>
      </c>
      <c r="E16720" s="10" t="s">
        <v>317</v>
      </c>
      <c r="F16720" s="9" t="s">
        <v>318</v>
      </c>
      <c r="G16720" s="10" t="s">
        <v>21</v>
      </c>
      <c r="H16720" s="9" t="s">
        <v>22</v>
      </c>
      <c r="I16720" s="9" t="s">
        <v>33740</v>
      </c>
      <c r="J16720" s="10" t="str">
        <f>HYPERLINK("https://www.boe.es/gazeta/dias/1834/03/06/pdfs/GMD-1834-29.pdf#page=3","Abrir facsímil")</f>
        <v>Abrir facsímil</v>
      </c>
      <c r="K16720" s="10" t="s">
        <v>24</v>
      </c>
    </row>
    <row r="16721" spans="1:11" ht="54" customHeight="1">
      <c r="A16721" s="9" t="s">
        <v>33741</v>
      </c>
      <c r="B16721" s="9" t="s">
        <v>33742</v>
      </c>
      <c r="C16721" s="9" t="s">
        <v>17</v>
      </c>
      <c r="D16721" s="9" t="s">
        <v>18</v>
      </c>
      <c r="E16721" s="10" t="s">
        <v>3036</v>
      </c>
      <c r="F16721" s="9" t="s">
        <v>3037</v>
      </c>
      <c r="G16721" s="10" t="s">
        <v>34</v>
      </c>
      <c r="H16721" s="9" t="s">
        <v>22</v>
      </c>
      <c r="I16721" s="9" t="s">
        <v>33743</v>
      </c>
      <c r="J16721" s="10" t="str">
        <f>HYPERLINK("https://www.boe.es/gazeta/dias/1834/11/18/pdfs/GMD-C-1834-277.pdf#page=1","Abrir facsímil")</f>
        <v>Abrir facsímil</v>
      </c>
      <c r="K16721" s="10" t="s">
        <v>24</v>
      </c>
    </row>
    <row r="16722" spans="1:11" ht="54" customHeight="1">
      <c r="A16722" s="9" t="s">
        <v>33744</v>
      </c>
      <c r="B16722" s="9" t="s">
        <v>33745</v>
      </c>
      <c r="C16722" s="9" t="s">
        <v>66</v>
      </c>
      <c r="D16722" s="9" t="s">
        <v>67</v>
      </c>
      <c r="E16722" s="10" t="s">
        <v>32</v>
      </c>
      <c r="F16722" s="9" t="s">
        <v>33</v>
      </c>
      <c r="G16722" s="10" t="s">
        <v>75</v>
      </c>
      <c r="H16722" s="9" t="s">
        <v>35</v>
      </c>
      <c r="I16722" s="9" t="s">
        <v>33746</v>
      </c>
      <c r="J16722" s="10" t="str">
        <f>HYPERLINK("https://www.boe.es/gazeta/dias/1834/04/23/pdfs/GMD-1834-62.pdf#page=4","Abrir facsímil")</f>
        <v>Abrir facsímil</v>
      </c>
      <c r="K16722" s="10" t="s">
        <v>37</v>
      </c>
    </row>
    <row r="16723" spans="1:11" ht="54" customHeight="1">
      <c r="A16723" s="9" t="s">
        <v>33747</v>
      </c>
      <c r="B16723" s="9" t="s">
        <v>33748</v>
      </c>
      <c r="C16723" s="9" t="s">
        <v>90</v>
      </c>
      <c r="D16723" s="9" t="s">
        <v>18</v>
      </c>
      <c r="E16723" s="10" t="s">
        <v>563</v>
      </c>
      <c r="F16723" s="9" t="s">
        <v>564</v>
      </c>
      <c r="G16723" s="10" t="s">
        <v>34</v>
      </c>
      <c r="H16723" s="9" t="s">
        <v>22</v>
      </c>
      <c r="I16723" s="9" t="s">
        <v>33749</v>
      </c>
      <c r="J16723" s="10" t="str">
        <f>HYPERLINK("https://www.boe.es/gazeta/dias/1834/04/19/pdfs/GMD-1834-58.pdf#page=1","Abrir facsímil")</f>
        <v>Abrir facsímil</v>
      </c>
      <c r="K16723" s="10" t="s">
        <v>24</v>
      </c>
    </row>
    <row r="16724" spans="1:11" ht="54" customHeight="1">
      <c r="A16724" s="9" t="s">
        <v>33750</v>
      </c>
      <c r="B16724" s="9" t="s">
        <v>33751</v>
      </c>
      <c r="C16724" s="9" t="s">
        <v>66</v>
      </c>
      <c r="D16724" s="9" t="s">
        <v>67</v>
      </c>
      <c r="E16724" s="10" t="s">
        <v>2302</v>
      </c>
      <c r="F16724" s="9" t="s">
        <v>2303</v>
      </c>
      <c r="G16724" s="10" t="s">
        <v>21</v>
      </c>
      <c r="H16724" s="9" t="s">
        <v>22</v>
      </c>
      <c r="I16724" s="9" t="s">
        <v>33752</v>
      </c>
      <c r="J16724" s="10" t="str">
        <f>HYPERLINK("https://www.boe.es/gazeta/dias/1834/01/25/pdfs/GMD-1834-12.pdf#page=3","Abrir facsímil")</f>
        <v>Abrir facsímil</v>
      </c>
      <c r="K16724" s="10" t="s">
        <v>24</v>
      </c>
    </row>
    <row r="16725" spans="1:11" ht="54" customHeight="1">
      <c r="A16725" s="9" t="s">
        <v>33753</v>
      </c>
      <c r="B16725" s="9" t="s">
        <v>33754</v>
      </c>
      <c r="C16725" s="9" t="s">
        <v>66</v>
      </c>
      <c r="D16725" s="9" t="s">
        <v>18</v>
      </c>
      <c r="E16725" s="10" t="s">
        <v>448</v>
      </c>
      <c r="F16725" s="9" t="s">
        <v>2058</v>
      </c>
      <c r="G16725" s="10" t="s">
        <v>21</v>
      </c>
      <c r="H16725" s="9" t="s">
        <v>22</v>
      </c>
      <c r="I16725" s="9" t="s">
        <v>33755</v>
      </c>
      <c r="J16725" s="10" t="str">
        <f>HYPERLINK("https://www.boe.es/gazeta/dias/1834/10/14/pdfs/GMD-1834-242.pdf#page=3","Abrir facsímil")</f>
        <v>Abrir facsímil</v>
      </c>
      <c r="K16725" s="10" t="s">
        <v>24</v>
      </c>
    </row>
    <row r="16726" spans="1:11" ht="54" customHeight="1">
      <c r="A16726" s="9" t="s">
        <v>33756</v>
      </c>
      <c r="B16726" s="9" t="s">
        <v>33757</v>
      </c>
      <c r="C16726" s="9" t="s">
        <v>66</v>
      </c>
      <c r="D16726" s="9" t="s">
        <v>67</v>
      </c>
      <c r="E16726" s="10" t="s">
        <v>1505</v>
      </c>
      <c r="F16726" s="9" t="s">
        <v>1506</v>
      </c>
      <c r="G16726" s="10" t="s">
        <v>75</v>
      </c>
      <c r="H16726" s="9" t="s">
        <v>22</v>
      </c>
      <c r="I16726" s="9" t="s">
        <v>33758</v>
      </c>
      <c r="J16726" s="10" t="str">
        <f>HYPERLINK("https://www.boe.es/gazeta/dias/1834/05/08/pdfs/GMD-1834-77.pdf#page=4","Abrir facsímil")</f>
        <v>Abrir facsímil</v>
      </c>
      <c r="K16726" s="10" t="s">
        <v>24</v>
      </c>
    </row>
    <row r="16727" spans="1:11" ht="54" customHeight="1">
      <c r="A16727" s="9" t="s">
        <v>33759</v>
      </c>
      <c r="B16727" s="9" t="s">
        <v>33759</v>
      </c>
      <c r="C16727" s="9" t="s">
        <v>17</v>
      </c>
      <c r="D16727" s="9" t="s">
        <v>18</v>
      </c>
      <c r="E16727" s="10" t="s">
        <v>479</v>
      </c>
      <c r="F16727" s="9" t="s">
        <v>2258</v>
      </c>
      <c r="G16727" s="10" t="s">
        <v>21</v>
      </c>
      <c r="H16727" s="9" t="s">
        <v>22</v>
      </c>
      <c r="I16727" s="9" t="s">
        <v>33760</v>
      </c>
      <c r="J16727" s="10" t="str">
        <f>HYPERLINK("https://www.boe.es/gazeta/dias/1834/08/13/pdfs/GMD-C-1834-178.pdf#page=3","Abrir facsímil")</f>
        <v>Abrir facsímil</v>
      </c>
      <c r="K16727" s="10" t="s">
        <v>24</v>
      </c>
    </row>
    <row r="16728" spans="1:11" ht="54" customHeight="1">
      <c r="A16728" s="9" t="s">
        <v>33761</v>
      </c>
      <c r="B16728" s="9" t="s">
        <v>33761</v>
      </c>
      <c r="C16728" s="9" t="s">
        <v>122</v>
      </c>
      <c r="D16728" s="9" t="s">
        <v>101</v>
      </c>
      <c r="E16728" s="10" t="s">
        <v>1119</v>
      </c>
      <c r="F16728" s="9" t="s">
        <v>1120</v>
      </c>
      <c r="G16728" s="10" t="s">
        <v>21</v>
      </c>
      <c r="H16728" s="9" t="s">
        <v>22</v>
      </c>
      <c r="I16728" s="9" t="s">
        <v>33762</v>
      </c>
      <c r="J16728" s="10" t="str">
        <f>HYPERLINK("https://www.boe.es/gazeta/dias/1834/07/17/pdfs/GMD-1834-150.pdf#page=3","Abrir facsímil")</f>
        <v>Abrir facsímil</v>
      </c>
      <c r="K16728" s="10" t="s">
        <v>24</v>
      </c>
    </row>
    <row r="16729" spans="1:11" ht="54" customHeight="1">
      <c r="A16729" s="9" t="s">
        <v>33763</v>
      </c>
      <c r="B16729" s="9" t="s">
        <v>33763</v>
      </c>
      <c r="C16729" s="9" t="s">
        <v>46</v>
      </c>
      <c r="D16729" s="9" t="s">
        <v>101</v>
      </c>
      <c r="E16729" s="10" t="s">
        <v>378</v>
      </c>
      <c r="F16729" s="9" t="s">
        <v>888</v>
      </c>
      <c r="G16729" s="10" t="s">
        <v>86</v>
      </c>
      <c r="H16729" s="9" t="s">
        <v>22</v>
      </c>
      <c r="I16729" s="9" t="s">
        <v>33764</v>
      </c>
      <c r="J16729" s="10" t="str">
        <f>HYPERLINK("https://www.boe.es/gazeta/dias/1834/09/24/pdfs/GMD-C-1834-222.pdf#page=2","Abrir facsímil")</f>
        <v>Abrir facsímil</v>
      </c>
      <c r="K16729" s="10" t="s">
        <v>24</v>
      </c>
    </row>
    <row r="16730" spans="1:11" ht="54" customHeight="1">
      <c r="A16730" s="9" t="s">
        <v>33765</v>
      </c>
      <c r="B16730" s="9" t="s">
        <v>33765</v>
      </c>
      <c r="C16730" s="9" t="s">
        <v>122</v>
      </c>
      <c r="D16730" s="9" t="s">
        <v>18</v>
      </c>
      <c r="E16730" s="10" t="s">
        <v>26</v>
      </c>
      <c r="F16730" s="9" t="s">
        <v>818</v>
      </c>
      <c r="G16730" s="10" t="s">
        <v>86</v>
      </c>
      <c r="H16730" s="9" t="s">
        <v>22</v>
      </c>
      <c r="I16730" s="9" t="s">
        <v>33766</v>
      </c>
      <c r="J16730" s="10" t="str">
        <f>HYPERLINK("https://www.boe.es/gazeta/dias/1834/10/19/pdfs/GMD-1834-247.pdf#page=2","Abrir facsímil")</f>
        <v>Abrir facsímil</v>
      </c>
      <c r="K16730" s="10" t="s">
        <v>24</v>
      </c>
    </row>
    <row r="16731" spans="1:11" ht="54" customHeight="1">
      <c r="A16731" s="9" t="s">
        <v>33767</v>
      </c>
      <c r="B16731" s="9" t="s">
        <v>33768</v>
      </c>
      <c r="C16731" s="9" t="s">
        <v>17</v>
      </c>
      <c r="D16731" s="9" t="s">
        <v>18</v>
      </c>
      <c r="E16731" s="10" t="s">
        <v>2124</v>
      </c>
      <c r="F16731" s="9" t="s">
        <v>2125</v>
      </c>
      <c r="G16731" s="10" t="s">
        <v>75</v>
      </c>
      <c r="H16731" s="9" t="s">
        <v>22</v>
      </c>
      <c r="I16731" s="9" t="s">
        <v>33769</v>
      </c>
      <c r="J16731" s="10" t="str">
        <f>HYPERLINK("https://www.boe.es/gazeta/dias/1834/06/09/pdfs/GMD-1834-112.pdf#page=4","Abrir facsímil")</f>
        <v>Abrir facsímil</v>
      </c>
      <c r="K16731" s="10" t="s">
        <v>24</v>
      </c>
    </row>
    <row r="16732" spans="1:11" ht="54" customHeight="1">
      <c r="A16732" s="9" t="s">
        <v>33770</v>
      </c>
      <c r="B16732" s="9" t="s">
        <v>33771</v>
      </c>
      <c r="C16732" s="9" t="s">
        <v>17</v>
      </c>
      <c r="D16732" s="9" t="s">
        <v>18</v>
      </c>
      <c r="E16732" s="10" t="s">
        <v>84</v>
      </c>
      <c r="F16732" s="9" t="s">
        <v>1223</v>
      </c>
      <c r="G16732" s="10" t="s">
        <v>75</v>
      </c>
      <c r="H16732" s="9" t="s">
        <v>22</v>
      </c>
      <c r="I16732" s="9" t="s">
        <v>33772</v>
      </c>
      <c r="J16732" s="10" t="str">
        <f>HYPERLINK("https://www.boe.es/gazeta/dias/1834/06/07/pdfs/GMD-1834-109.pdf#page=4","Abrir facsímil")</f>
        <v>Abrir facsímil</v>
      </c>
      <c r="K16732" s="10" t="s">
        <v>24</v>
      </c>
    </row>
    <row r="16733" spans="1:11" ht="54" customHeight="1">
      <c r="A16733" s="9" t="s">
        <v>33773</v>
      </c>
      <c r="B16733" s="9" t="s">
        <v>33774</v>
      </c>
      <c r="C16733" s="9" t="s">
        <v>46</v>
      </c>
      <c r="D16733" s="9" t="s">
        <v>18</v>
      </c>
      <c r="E16733" s="10" t="s">
        <v>1556</v>
      </c>
      <c r="F16733" s="9" t="s">
        <v>1557</v>
      </c>
      <c r="G16733" s="10" t="s">
        <v>34</v>
      </c>
      <c r="H16733" s="9" t="s">
        <v>22</v>
      </c>
      <c r="I16733" s="9" t="s">
        <v>33775</v>
      </c>
      <c r="J16733" s="10" t="str">
        <f>HYPERLINK("https://www.boe.es/gazeta/dias/1834/06/06/pdfs/GMD-1834-108.pdf#page=1","Abrir facsímil")</f>
        <v>Abrir facsímil</v>
      </c>
      <c r="K16733" s="10" t="s">
        <v>24</v>
      </c>
    </row>
    <row r="16734" spans="1:11" ht="54" customHeight="1">
      <c r="A16734" s="9" t="s">
        <v>33776</v>
      </c>
      <c r="B16734" s="9" t="s">
        <v>33776</v>
      </c>
      <c r="C16734" s="9" t="s">
        <v>17</v>
      </c>
      <c r="D16734" s="9" t="s">
        <v>18</v>
      </c>
      <c r="E16734" s="10" t="s">
        <v>441</v>
      </c>
      <c r="F16734" s="9" t="s">
        <v>442</v>
      </c>
      <c r="G16734" s="10" t="s">
        <v>21</v>
      </c>
      <c r="H16734" s="9" t="s">
        <v>22</v>
      </c>
      <c r="I16734" s="9" t="s">
        <v>33777</v>
      </c>
      <c r="J16734" s="10" t="str">
        <f>HYPERLINK("https://www.boe.es/gazeta/dias/1834/11/10/pdfs/GMD-1834-269.pdf#page=3","Abrir facsímil")</f>
        <v>Abrir facsímil</v>
      </c>
      <c r="K16734" s="10" t="s">
        <v>24</v>
      </c>
    </row>
    <row r="16735" spans="1:11" ht="54" customHeight="1">
      <c r="A16735" s="9" t="s">
        <v>33778</v>
      </c>
      <c r="B16735" s="9" t="s">
        <v>33779</v>
      </c>
      <c r="C16735" s="9" t="s">
        <v>17</v>
      </c>
      <c r="D16735" s="9" t="s">
        <v>18</v>
      </c>
      <c r="E16735" s="10" t="s">
        <v>19</v>
      </c>
      <c r="F16735" s="9" t="s">
        <v>107</v>
      </c>
      <c r="G16735" s="10" t="s">
        <v>75</v>
      </c>
      <c r="H16735" s="9" t="s">
        <v>22</v>
      </c>
      <c r="I16735" s="9" t="s">
        <v>33780</v>
      </c>
      <c r="J16735" s="10" t="str">
        <f>HYPERLINK("https://www.boe.es/gazeta/dias/1834/08/17/pdfs/GMD-1834-182.pdf#page=4","Abrir facsímil")</f>
        <v>Abrir facsímil</v>
      </c>
      <c r="K16735" s="10" t="s">
        <v>24</v>
      </c>
    </row>
    <row r="16736" spans="1:11" ht="54" customHeight="1">
      <c r="A16736" s="9" t="s">
        <v>33781</v>
      </c>
      <c r="B16736" s="9" t="s">
        <v>33781</v>
      </c>
      <c r="C16736" s="9" t="s">
        <v>46</v>
      </c>
      <c r="D16736" s="9" t="s">
        <v>18</v>
      </c>
      <c r="E16736" s="10" t="s">
        <v>273</v>
      </c>
      <c r="F16736" s="9" t="s">
        <v>413</v>
      </c>
      <c r="G16736" s="10" t="s">
        <v>86</v>
      </c>
      <c r="H16736" s="9" t="s">
        <v>22</v>
      </c>
      <c r="I16736" s="9" t="s">
        <v>33782</v>
      </c>
      <c r="J16736" s="10" t="str">
        <f>HYPERLINK("https://www.boe.es/gazeta/dias/1834/08/31/pdfs/GMD-1834-198.pdf#page=2","Abrir facsímil")</f>
        <v>Abrir facsímil</v>
      </c>
      <c r="K16736" s="10" t="s">
        <v>24</v>
      </c>
    </row>
    <row r="16737" spans="1:11" ht="54" customHeight="1">
      <c r="A16737" s="9" t="s">
        <v>33783</v>
      </c>
      <c r="B16737" s="9" t="s">
        <v>33783</v>
      </c>
      <c r="C16737" s="9" t="s">
        <v>46</v>
      </c>
      <c r="D16737" s="9" t="s">
        <v>18</v>
      </c>
      <c r="E16737" s="10" t="s">
        <v>1674</v>
      </c>
      <c r="F16737" s="9" t="s">
        <v>1675</v>
      </c>
      <c r="G16737" s="10" t="s">
        <v>75</v>
      </c>
      <c r="H16737" s="9" t="s">
        <v>22</v>
      </c>
      <c r="I16737" s="9" t="s">
        <v>33784</v>
      </c>
      <c r="J16737" s="10" t="str">
        <f>HYPERLINK("https://www.boe.es/gazeta/dias/1834/07/25/pdfs/GMD-1834-158.pdf#page=4","Abrir facsímil")</f>
        <v>Abrir facsímil</v>
      </c>
      <c r="K16737" s="10" t="s">
        <v>24</v>
      </c>
    </row>
    <row r="16738" spans="1:11" ht="54" customHeight="1">
      <c r="A16738" s="9" t="s">
        <v>33785</v>
      </c>
      <c r="B16738" s="9" t="s">
        <v>33785</v>
      </c>
      <c r="C16738" s="9" t="s">
        <v>17</v>
      </c>
      <c r="D16738" s="9" t="s">
        <v>18</v>
      </c>
      <c r="E16738" s="10" t="s">
        <v>233</v>
      </c>
      <c r="F16738" s="9" t="s">
        <v>1810</v>
      </c>
      <c r="G16738" s="10" t="s">
        <v>2272</v>
      </c>
      <c r="H16738" s="9" t="s">
        <v>22</v>
      </c>
      <c r="I16738" s="9" t="s">
        <v>33786</v>
      </c>
      <c r="J16738" s="10" t="str">
        <f>HYPERLINK("https://www.boe.es/gazeta/dias/1834/12/16/pdfs/GMD-C-1834-305.pdf#page=12","Abrir facsímil")</f>
        <v>Abrir facsímil</v>
      </c>
      <c r="K16738" s="10" t="s">
        <v>24</v>
      </c>
    </row>
    <row r="16739" spans="1:11" ht="54" customHeight="1">
      <c r="A16739" s="9" t="s">
        <v>33787</v>
      </c>
      <c r="B16739" s="9" t="s">
        <v>33787</v>
      </c>
      <c r="C16739" s="9" t="s">
        <v>17</v>
      </c>
      <c r="D16739" s="9" t="s">
        <v>18</v>
      </c>
      <c r="E16739" s="10" t="s">
        <v>535</v>
      </c>
      <c r="F16739" s="9" t="s">
        <v>536</v>
      </c>
      <c r="G16739" s="10" t="s">
        <v>86</v>
      </c>
      <c r="H16739" s="9" t="s">
        <v>22</v>
      </c>
      <c r="I16739" s="9" t="s">
        <v>33788</v>
      </c>
      <c r="J16739" s="10" t="str">
        <f>HYPERLINK("https://www.boe.es/gazeta/dias/1834/05/21/pdfs/GMD-1834-90.pdf#page=2","Abrir facsímil")</f>
        <v>Abrir facsímil</v>
      </c>
      <c r="K16739" s="10" t="s">
        <v>24</v>
      </c>
    </row>
    <row r="16740" spans="1:11" ht="54" customHeight="1">
      <c r="A16740" s="9" t="s">
        <v>33789</v>
      </c>
      <c r="B16740" s="9" t="s">
        <v>33790</v>
      </c>
      <c r="C16740" s="9" t="s">
        <v>17</v>
      </c>
      <c r="D16740" s="9" t="s">
        <v>55</v>
      </c>
      <c r="E16740" s="10" t="s">
        <v>1862</v>
      </c>
      <c r="F16740" s="9" t="s">
        <v>1863</v>
      </c>
      <c r="G16740" s="10" t="s">
        <v>86</v>
      </c>
      <c r="H16740" s="9" t="s">
        <v>35</v>
      </c>
      <c r="I16740" s="9" t="s">
        <v>33791</v>
      </c>
      <c r="J16740" s="10" t="str">
        <f>HYPERLINK("https://www.boe.es/gazeta/dias/1834/02/04/pdfs/GMD-1834-16.pdf#page=2","Abrir facsímil")</f>
        <v>Abrir facsímil</v>
      </c>
      <c r="K16740" s="10" t="s">
        <v>37</v>
      </c>
    </row>
    <row r="16741" spans="1:11" ht="54" customHeight="1">
      <c r="A16741" s="9" t="s">
        <v>33792</v>
      </c>
      <c r="B16741" s="9" t="s">
        <v>33793</v>
      </c>
      <c r="C16741" s="9" t="s">
        <v>17</v>
      </c>
      <c r="D16741" s="9" t="s">
        <v>55</v>
      </c>
      <c r="E16741" s="10" t="s">
        <v>1862</v>
      </c>
      <c r="F16741" s="9" t="s">
        <v>1863</v>
      </c>
      <c r="G16741" s="10" t="s">
        <v>34</v>
      </c>
      <c r="H16741" s="9" t="s">
        <v>22</v>
      </c>
      <c r="I16741" s="9" t="s">
        <v>33794</v>
      </c>
      <c r="J16741" s="10" t="str">
        <f>HYPERLINK("https://www.boe.es/gazeta/dias/1834/02/04/pdfs/GMD-1834-16.pdf#page=1","Abrir facsímil")</f>
        <v>Abrir facsímil</v>
      </c>
      <c r="K16741" s="10" t="s">
        <v>24</v>
      </c>
    </row>
    <row r="16742" spans="1:11" ht="54" customHeight="1">
      <c r="A16742" s="9" t="s">
        <v>33795</v>
      </c>
      <c r="B16742" s="9" t="s">
        <v>33796</v>
      </c>
      <c r="C16742" s="9" t="s">
        <v>17</v>
      </c>
      <c r="D16742" s="9" t="s">
        <v>55</v>
      </c>
      <c r="E16742" s="10" t="s">
        <v>1862</v>
      </c>
      <c r="F16742" s="9" t="s">
        <v>1863</v>
      </c>
      <c r="G16742" s="10" t="s">
        <v>86</v>
      </c>
      <c r="H16742" s="9" t="s">
        <v>22</v>
      </c>
      <c r="I16742" s="9" t="s">
        <v>33797</v>
      </c>
      <c r="J16742" s="10" t="str">
        <f>HYPERLINK("https://www.boe.es/gazeta/dias/1834/02/04/pdfs/GMD-1834-16.pdf#page=2","Abrir facsímil")</f>
        <v>Abrir facsímil</v>
      </c>
      <c r="K16742" s="10" t="s">
        <v>24</v>
      </c>
    </row>
    <row r="16743" spans="1:11" ht="54" customHeight="1">
      <c r="A16743" s="9" t="s">
        <v>33798</v>
      </c>
      <c r="B16743" s="9" t="s">
        <v>33798</v>
      </c>
      <c r="C16743" s="9" t="s">
        <v>17</v>
      </c>
      <c r="D16743" s="9" t="s">
        <v>101</v>
      </c>
      <c r="E16743" s="10" t="s">
        <v>863</v>
      </c>
      <c r="F16743" s="9" t="s">
        <v>864</v>
      </c>
      <c r="G16743" s="10" t="s">
        <v>75</v>
      </c>
      <c r="H16743" s="9" t="s">
        <v>22</v>
      </c>
      <c r="I16743" s="9" t="s">
        <v>33799</v>
      </c>
      <c r="J16743" s="10" t="str">
        <f>HYPERLINK("https://www.boe.es/gazeta/dias/1834/09/15/pdfs/GMD-1834-213.pdf#page=4","Abrir facsímil")</f>
        <v>Abrir facsímil</v>
      </c>
      <c r="K16743" s="10" t="s">
        <v>24</v>
      </c>
    </row>
    <row r="16744" spans="1:11" ht="54" customHeight="1">
      <c r="A16744" s="9" t="s">
        <v>33800</v>
      </c>
      <c r="B16744" s="9" t="s">
        <v>33800</v>
      </c>
      <c r="C16744" s="9" t="s">
        <v>46</v>
      </c>
      <c r="D16744" s="9" t="s">
        <v>55</v>
      </c>
      <c r="E16744" s="10" t="s">
        <v>899</v>
      </c>
      <c r="F16744" s="9" t="s">
        <v>900</v>
      </c>
      <c r="G16744" s="10" t="s">
        <v>21</v>
      </c>
      <c r="H16744" s="9" t="s">
        <v>22</v>
      </c>
      <c r="I16744" s="9" t="s">
        <v>33801</v>
      </c>
      <c r="J16744" s="10" t="str">
        <f>HYPERLINK("https://www.boe.es/gazeta/dias/1834/01/30/pdfs/GMD-1834-14.pdf#page=3","Abrir facsímil")</f>
        <v>Abrir facsímil</v>
      </c>
      <c r="K16744" s="10" t="s">
        <v>24</v>
      </c>
    </row>
    <row r="16745" spans="1:11" ht="54" customHeight="1">
      <c r="A16745" s="9" t="s">
        <v>33802</v>
      </c>
      <c r="B16745" s="9" t="s">
        <v>33802</v>
      </c>
      <c r="C16745" s="9" t="s">
        <v>122</v>
      </c>
      <c r="D16745" s="9" t="s">
        <v>55</v>
      </c>
      <c r="E16745" s="10" t="s">
        <v>233</v>
      </c>
      <c r="F16745" s="9" t="s">
        <v>1810</v>
      </c>
      <c r="G16745" s="10" t="s">
        <v>176</v>
      </c>
      <c r="H16745" s="9" t="s">
        <v>22</v>
      </c>
      <c r="I16745" s="9" t="s">
        <v>33803</v>
      </c>
      <c r="J16745" s="10" t="str">
        <f>HYPERLINK("https://www.boe.es/gazeta/dias/1834/12/16/pdfs/GMD-C-1834-305.pdf#page=6","Abrir facsímil")</f>
        <v>Abrir facsímil</v>
      </c>
      <c r="K16745" s="10" t="s">
        <v>24</v>
      </c>
    </row>
    <row r="16746" spans="1:11" ht="54" customHeight="1">
      <c r="A16746" s="9" t="s">
        <v>33802</v>
      </c>
      <c r="B16746" s="9" t="s">
        <v>33802</v>
      </c>
      <c r="C16746" s="9" t="s">
        <v>17</v>
      </c>
      <c r="D16746" s="9" t="s">
        <v>18</v>
      </c>
      <c r="E16746" s="10" t="s">
        <v>2287</v>
      </c>
      <c r="F16746" s="9" t="s">
        <v>2288</v>
      </c>
      <c r="G16746" s="10" t="s">
        <v>75</v>
      </c>
      <c r="H16746" s="9" t="s">
        <v>22</v>
      </c>
      <c r="I16746" s="9" t="s">
        <v>33804</v>
      </c>
      <c r="J16746" s="10" t="str">
        <f>HYPERLINK("https://www.boe.es/gazeta/dias/1834/12/18/pdfs/GMD-C-1834-308.pdf#page=4","Abrir facsímil")</f>
        <v>Abrir facsímil</v>
      </c>
      <c r="K16746" s="10" t="s">
        <v>24</v>
      </c>
    </row>
    <row r="16747" spans="1:11" ht="54" customHeight="1">
      <c r="A16747" s="9" t="s">
        <v>33805</v>
      </c>
      <c r="B16747" s="9" t="s">
        <v>33806</v>
      </c>
      <c r="C16747" s="9" t="s">
        <v>17</v>
      </c>
      <c r="D16747" s="9" t="s">
        <v>18</v>
      </c>
      <c r="E16747" s="10" t="s">
        <v>299</v>
      </c>
      <c r="F16747" s="9" t="s">
        <v>2255</v>
      </c>
      <c r="G16747" s="10" t="s">
        <v>21</v>
      </c>
      <c r="H16747" s="9" t="s">
        <v>22</v>
      </c>
      <c r="I16747" s="9" t="s">
        <v>33807</v>
      </c>
      <c r="J16747" s="10" t="str">
        <f>HYPERLINK("https://www.boe.es/gazeta/dias/1834/12/12/pdfs/GMD-C-1834-301.pdf#page=3","Abrir facsímil")</f>
        <v>Abrir facsímil</v>
      </c>
      <c r="K16747" s="10" t="s">
        <v>24</v>
      </c>
    </row>
    <row r="16748" spans="1:11" ht="54" customHeight="1">
      <c r="A16748" s="9" t="s">
        <v>33808</v>
      </c>
      <c r="B16748" s="9" t="s">
        <v>33809</v>
      </c>
      <c r="C16748" s="9" t="s">
        <v>46</v>
      </c>
      <c r="D16748" s="9" t="s">
        <v>101</v>
      </c>
      <c r="E16748" s="10" t="s">
        <v>610</v>
      </c>
      <c r="F16748" s="9" t="s">
        <v>611</v>
      </c>
      <c r="G16748" s="10" t="s">
        <v>21</v>
      </c>
      <c r="H16748" s="9" t="s">
        <v>22</v>
      </c>
      <c r="I16748" s="9" t="s">
        <v>33810</v>
      </c>
      <c r="J16748" s="10" t="str">
        <f>HYPERLINK("https://www.boe.es/gazeta/dias/1834/12/21/pdfs/GMD-C-1834-311.pdf#page=3","Abrir facsímil")</f>
        <v>Abrir facsímil</v>
      </c>
      <c r="K16748" s="10" t="s">
        <v>24</v>
      </c>
    </row>
    <row r="16749" spans="1:11" ht="54" customHeight="1">
      <c r="A16749" s="9" t="s">
        <v>33811</v>
      </c>
      <c r="B16749" s="9" t="s">
        <v>33812</v>
      </c>
      <c r="C16749" s="9" t="s">
        <v>17</v>
      </c>
      <c r="D16749" s="9" t="s">
        <v>18</v>
      </c>
      <c r="E16749" s="10" t="s">
        <v>265</v>
      </c>
      <c r="F16749" s="9" t="s">
        <v>266</v>
      </c>
      <c r="G16749" s="10" t="s">
        <v>86</v>
      </c>
      <c r="H16749" s="9" t="s">
        <v>22</v>
      </c>
      <c r="I16749" s="9" t="s">
        <v>33813</v>
      </c>
      <c r="J16749" s="10" t="str">
        <f>HYPERLINK("https://www.boe.es/gazeta/dias/1834/11/19/pdfs/GMD-C-1834-278.pdf#page=2","Abrir facsímil")</f>
        <v>Abrir facsímil</v>
      </c>
      <c r="K16749" s="10" t="s">
        <v>24</v>
      </c>
    </row>
    <row r="16750" spans="1:11" ht="54" customHeight="1">
      <c r="A16750" s="9" t="s">
        <v>33814</v>
      </c>
      <c r="B16750" s="9" t="s">
        <v>33815</v>
      </c>
      <c r="C16750" s="9" t="s">
        <v>90</v>
      </c>
      <c r="D16750" s="9" t="s">
        <v>18</v>
      </c>
      <c r="E16750" s="10" t="s">
        <v>1708</v>
      </c>
      <c r="F16750" s="9" t="s">
        <v>1709</v>
      </c>
      <c r="G16750" s="10" t="s">
        <v>86</v>
      </c>
      <c r="H16750" s="9" t="s">
        <v>22</v>
      </c>
      <c r="I16750" s="9" t="s">
        <v>33816</v>
      </c>
      <c r="J16750" s="10" t="str">
        <f>HYPERLINK("https://www.boe.es/gazeta/dias/1834/04/12/pdfs/GMD-1834-51.pdf#page=2","Abrir facsímil")</f>
        <v>Abrir facsímil</v>
      </c>
      <c r="K16750" s="10" t="s">
        <v>24</v>
      </c>
    </row>
    <row r="16751" spans="1:11" ht="54" customHeight="1">
      <c r="A16751" s="9" t="s">
        <v>33817</v>
      </c>
      <c r="B16751" s="9" t="s">
        <v>33818</v>
      </c>
      <c r="C16751" s="9" t="s">
        <v>17</v>
      </c>
      <c r="D16751" s="9" t="s">
        <v>18</v>
      </c>
      <c r="E16751" s="10" t="s">
        <v>976</v>
      </c>
      <c r="F16751" s="9" t="s">
        <v>977</v>
      </c>
      <c r="G16751" s="10" t="s">
        <v>21</v>
      </c>
      <c r="H16751" s="9" t="s">
        <v>22</v>
      </c>
      <c r="I16751" s="9" t="s">
        <v>33819</v>
      </c>
      <c r="J16751" s="10" t="str">
        <f>HYPERLINK("https://www.boe.es/gazeta/dias/1834/04/02/pdfs/GMD-1834-41.pdf#page=3","Abrir facsímil")</f>
        <v>Abrir facsímil</v>
      </c>
      <c r="K16751" s="10" t="s">
        <v>24</v>
      </c>
    </row>
    <row r="16752" spans="1:11" ht="54" customHeight="1">
      <c r="A16752" s="9" t="s">
        <v>33820</v>
      </c>
      <c r="B16752" s="9" t="s">
        <v>33821</v>
      </c>
      <c r="C16752" s="9" t="s">
        <v>66</v>
      </c>
      <c r="D16752" s="9" t="s">
        <v>67</v>
      </c>
      <c r="E16752" s="10" t="s">
        <v>280</v>
      </c>
      <c r="F16752" s="9" t="s">
        <v>281</v>
      </c>
      <c r="G16752" s="10" t="s">
        <v>176</v>
      </c>
      <c r="H16752" s="9" t="s">
        <v>22</v>
      </c>
      <c r="I16752" s="9" t="s">
        <v>33822</v>
      </c>
      <c r="J16752" s="10" t="str">
        <f>HYPERLINK("https://www.boe.es/gazeta/dias/1834/08/29/pdfs/GMD-C-1834-195.pdf#page=6","Abrir facsímil")</f>
        <v>Abrir facsímil</v>
      </c>
      <c r="K16752" s="10" t="s">
        <v>24</v>
      </c>
    </row>
    <row r="16753" spans="1:11" ht="54" customHeight="1">
      <c r="A16753" s="9" t="s">
        <v>33823</v>
      </c>
      <c r="B16753" s="9" t="s">
        <v>33824</v>
      </c>
      <c r="C16753" s="9" t="s">
        <v>17</v>
      </c>
      <c r="D16753" s="9" t="s">
        <v>101</v>
      </c>
      <c r="E16753" s="10" t="s">
        <v>371</v>
      </c>
      <c r="F16753" s="9" t="s">
        <v>372</v>
      </c>
      <c r="G16753" s="10" t="s">
        <v>34</v>
      </c>
      <c r="H16753" s="9" t="s">
        <v>22</v>
      </c>
      <c r="I16753" s="9" t="s">
        <v>33825</v>
      </c>
      <c r="J16753" s="10" t="str">
        <f>HYPERLINK("https://www.boe.es/gazeta/dias/1834/05/27/pdfs/GMD-1834-96.pdf#page=1","Abrir facsímil")</f>
        <v>Abrir facsímil</v>
      </c>
      <c r="K16753" s="10" t="s">
        <v>24</v>
      </c>
    </row>
    <row r="16754" spans="1:11" ht="54" customHeight="1">
      <c r="A16754" s="9" t="s">
        <v>33826</v>
      </c>
      <c r="B16754" s="9" t="s">
        <v>33827</v>
      </c>
      <c r="C16754" s="9" t="s">
        <v>17</v>
      </c>
      <c r="D16754" s="9" t="s">
        <v>18</v>
      </c>
      <c r="E16754" s="10" t="s">
        <v>3810</v>
      </c>
      <c r="F16754" s="9" t="s">
        <v>3811</v>
      </c>
      <c r="G16754" s="10" t="s">
        <v>86</v>
      </c>
      <c r="H16754" s="9" t="s">
        <v>22</v>
      </c>
      <c r="I16754" s="9" t="s">
        <v>33828</v>
      </c>
      <c r="J16754" s="10" t="str">
        <f>HYPERLINK("https://www.boe.es/gazeta/dias/1834/02/20/pdfs/GMD-1834-23.pdf#page=2","Abrir facsímil")</f>
        <v>Abrir facsímil</v>
      </c>
      <c r="K16754" s="10" t="s">
        <v>24</v>
      </c>
    </row>
    <row r="16755" spans="1:11" ht="54" customHeight="1">
      <c r="A16755" s="9" t="s">
        <v>33829</v>
      </c>
      <c r="B16755" s="9" t="s">
        <v>33830</v>
      </c>
      <c r="C16755" s="9" t="s">
        <v>17</v>
      </c>
      <c r="D16755" s="9" t="s">
        <v>55</v>
      </c>
      <c r="E16755" s="10" t="s">
        <v>133</v>
      </c>
      <c r="F16755" s="9" t="s">
        <v>134</v>
      </c>
      <c r="G16755" s="10" t="s">
        <v>21</v>
      </c>
      <c r="H16755" s="9" t="s">
        <v>22</v>
      </c>
      <c r="I16755" s="9" t="s">
        <v>33831</v>
      </c>
      <c r="J16755" s="10" t="str">
        <f>HYPERLINK("https://www.boe.es/gazeta/dias/1834/06/18/pdfs/GMD-1834-121.pdf#page=3","Abrir facsímil")</f>
        <v>Abrir facsímil</v>
      </c>
      <c r="K16755" s="10" t="s">
        <v>24</v>
      </c>
    </row>
    <row r="16756" spans="1:11" ht="54" customHeight="1">
      <c r="A16756" s="9" t="s">
        <v>33832</v>
      </c>
      <c r="B16756" s="9" t="s">
        <v>33833</v>
      </c>
      <c r="C16756" s="9" t="s">
        <v>17</v>
      </c>
      <c r="D16756" s="9" t="s">
        <v>18</v>
      </c>
      <c r="E16756" s="10" t="s">
        <v>707</v>
      </c>
      <c r="F16756" s="9" t="s">
        <v>708</v>
      </c>
      <c r="G16756" s="10" t="s">
        <v>34</v>
      </c>
      <c r="H16756" s="9" t="s">
        <v>22</v>
      </c>
      <c r="I16756" s="9" t="s">
        <v>33834</v>
      </c>
      <c r="J16756" s="10" t="str">
        <f>HYPERLINK("https://www.boe.es/gazeta/dias/1834/11/25/pdfs/GMD-C-1834-284.pdf#page=1","Abrir facsímil")</f>
        <v>Abrir facsímil</v>
      </c>
      <c r="K16756" s="10" t="s">
        <v>24</v>
      </c>
    </row>
    <row r="16757" spans="1:11" ht="54" customHeight="1">
      <c r="A16757" s="9" t="s">
        <v>33835</v>
      </c>
      <c r="B16757" s="9" t="s">
        <v>33836</v>
      </c>
      <c r="C16757" s="9" t="s">
        <v>17</v>
      </c>
      <c r="D16757" s="9" t="s">
        <v>18</v>
      </c>
      <c r="E16757" s="10" t="s">
        <v>707</v>
      </c>
      <c r="F16757" s="9" t="s">
        <v>708</v>
      </c>
      <c r="G16757" s="10" t="s">
        <v>560</v>
      </c>
      <c r="H16757" s="9" t="s">
        <v>22</v>
      </c>
      <c r="I16757" s="9" t="s">
        <v>33837</v>
      </c>
      <c r="J16757" s="10" t="str">
        <f>HYPERLINK("https://www.boe.es/gazeta/dias/1834/11/25/pdfs/GMD-C-1834-284.pdf#page=7","Abrir facsímil")</f>
        <v>Abrir facsímil</v>
      </c>
      <c r="K16757" s="10" t="s">
        <v>24</v>
      </c>
    </row>
    <row r="16758" spans="1:11" ht="54" customHeight="1">
      <c r="A16758" s="9" t="s">
        <v>33838</v>
      </c>
      <c r="B16758" s="9" t="s">
        <v>33838</v>
      </c>
      <c r="C16758" s="9" t="s">
        <v>122</v>
      </c>
      <c r="D16758" s="9" t="s">
        <v>18</v>
      </c>
      <c r="E16758" s="10" t="s">
        <v>1119</v>
      </c>
      <c r="F16758" s="9" t="s">
        <v>1120</v>
      </c>
      <c r="G16758" s="10" t="s">
        <v>21</v>
      </c>
      <c r="H16758" s="9" t="s">
        <v>22</v>
      </c>
      <c r="I16758" s="9" t="s">
        <v>33839</v>
      </c>
      <c r="J16758" s="10" t="str">
        <f>HYPERLINK("https://www.boe.es/gazeta/dias/1834/07/17/pdfs/GMD-1834-150.pdf#page=3","Abrir facsímil")</f>
        <v>Abrir facsímil</v>
      </c>
      <c r="K16758" s="10" t="s">
        <v>24</v>
      </c>
    </row>
    <row r="16759" spans="1:11" ht="54" customHeight="1">
      <c r="A16759" s="9" t="s">
        <v>33840</v>
      </c>
      <c r="B16759" s="9" t="s">
        <v>33841</v>
      </c>
      <c r="C16759" s="9" t="s">
        <v>17</v>
      </c>
      <c r="D16759" s="9" t="s">
        <v>18</v>
      </c>
      <c r="E16759" s="10" t="s">
        <v>251</v>
      </c>
      <c r="F16759" s="9" t="s">
        <v>1278</v>
      </c>
      <c r="G16759" s="10" t="s">
        <v>21</v>
      </c>
      <c r="H16759" s="9" t="s">
        <v>22</v>
      </c>
      <c r="I16759" s="9" t="s">
        <v>33842</v>
      </c>
      <c r="J16759" s="10" t="str">
        <f>HYPERLINK("https://www.boe.es/gazeta/dias/1834/09/26/pdfs/GMD-1834-224.pdf#page=3","Abrir facsímil")</f>
        <v>Abrir facsímil</v>
      </c>
      <c r="K16759" s="10" t="s">
        <v>24</v>
      </c>
    </row>
    <row r="16760" spans="1:11" ht="54" customHeight="1">
      <c r="A16760" s="9" t="s">
        <v>33843</v>
      </c>
      <c r="B16760" s="9" t="s">
        <v>33843</v>
      </c>
      <c r="C16760" s="9" t="s">
        <v>17</v>
      </c>
      <c r="D16760" s="9" t="s">
        <v>18</v>
      </c>
      <c r="E16760" s="10" t="s">
        <v>762</v>
      </c>
      <c r="F16760" s="9" t="s">
        <v>763</v>
      </c>
      <c r="G16760" s="10" t="s">
        <v>86</v>
      </c>
      <c r="H16760" s="9" t="s">
        <v>22</v>
      </c>
      <c r="I16760" s="9" t="s">
        <v>33844</v>
      </c>
      <c r="J16760" s="10" t="str">
        <f>HYPERLINK("https://www.boe.es/gazeta/dias/1834/11/07/pdfs/GMD-1834-266.pdf#page=2","Abrir facsímil")</f>
        <v>Abrir facsímil</v>
      </c>
      <c r="K16760" s="10" t="s">
        <v>24</v>
      </c>
    </row>
    <row r="16761" spans="1:11" ht="54" customHeight="1">
      <c r="A16761" s="9" t="s">
        <v>33845</v>
      </c>
      <c r="B16761" s="9" t="s">
        <v>33845</v>
      </c>
      <c r="C16761" s="9" t="s">
        <v>17</v>
      </c>
      <c r="D16761" s="9" t="s">
        <v>18</v>
      </c>
      <c r="E16761" s="10" t="s">
        <v>3170</v>
      </c>
      <c r="F16761" s="9" t="s">
        <v>3171</v>
      </c>
      <c r="G16761" s="10" t="s">
        <v>75</v>
      </c>
      <c r="H16761" s="9" t="s">
        <v>22</v>
      </c>
      <c r="I16761" s="9" t="s">
        <v>33846</v>
      </c>
      <c r="J16761" s="10" t="str">
        <f>HYPERLINK("https://www.boe.es/gazeta/dias/1834/12/07/pdfs/GMD-1834-296.pdf#page=4","Abrir facsímil")</f>
        <v>Abrir facsímil</v>
      </c>
      <c r="K16761" s="10" t="s">
        <v>24</v>
      </c>
    </row>
    <row r="16762" spans="1:11" ht="54" customHeight="1">
      <c r="A16762" s="9" t="s">
        <v>33847</v>
      </c>
      <c r="B16762" s="9" t="s">
        <v>33847</v>
      </c>
      <c r="C16762" s="9" t="s">
        <v>17</v>
      </c>
      <c r="D16762" s="9" t="s">
        <v>55</v>
      </c>
      <c r="E16762" s="10" t="s">
        <v>343</v>
      </c>
      <c r="F16762" s="9" t="s">
        <v>344</v>
      </c>
      <c r="G16762" s="10" t="s">
        <v>86</v>
      </c>
      <c r="H16762" s="9" t="s">
        <v>22</v>
      </c>
      <c r="I16762" s="9" t="s">
        <v>33848</v>
      </c>
      <c r="J16762" s="10" t="str">
        <f>HYPERLINK("https://www.boe.es/gazeta/dias/1834/01/14/pdfs/GMD-1834-7.pdf#page=2","Abrir facsímil")</f>
        <v>Abrir facsímil</v>
      </c>
      <c r="K16762" s="10" t="s">
        <v>24</v>
      </c>
    </row>
    <row r="16763" spans="1:11" ht="54" customHeight="1">
      <c r="A16763" s="9" t="s">
        <v>33849</v>
      </c>
      <c r="B16763" s="9" t="s">
        <v>33850</v>
      </c>
      <c r="C16763" s="9" t="s">
        <v>17</v>
      </c>
      <c r="D16763" s="9" t="s">
        <v>18</v>
      </c>
      <c r="E16763" s="10" t="s">
        <v>1410</v>
      </c>
      <c r="F16763" s="9" t="s">
        <v>1411</v>
      </c>
      <c r="G16763" s="10" t="s">
        <v>21</v>
      </c>
      <c r="H16763" s="9" t="s">
        <v>22</v>
      </c>
      <c r="I16763" s="9" t="s">
        <v>33851</v>
      </c>
      <c r="J16763" s="10" t="str">
        <f>HYPERLINK("https://www.boe.es/gazeta/dias/1834/09/09/pdfs/GMD-1834-207.pdf#page=3","Abrir facsímil")</f>
        <v>Abrir facsímil</v>
      </c>
      <c r="K16763" s="10" t="s">
        <v>24</v>
      </c>
    </row>
    <row r="16764" spans="1:11" ht="54" customHeight="1">
      <c r="A16764" s="9" t="s">
        <v>33852</v>
      </c>
      <c r="B16764" s="9" t="s">
        <v>33853</v>
      </c>
      <c r="C16764" s="9" t="s">
        <v>66</v>
      </c>
      <c r="D16764" s="9" t="s">
        <v>67</v>
      </c>
      <c r="E16764" s="10" t="s">
        <v>360</v>
      </c>
      <c r="F16764" s="9" t="s">
        <v>361</v>
      </c>
      <c r="G16764" s="10" t="s">
        <v>34</v>
      </c>
      <c r="H16764" s="9" t="s">
        <v>22</v>
      </c>
      <c r="I16764" s="9" t="s">
        <v>33854</v>
      </c>
      <c r="J16764" s="10" t="str">
        <f>HYPERLINK("https://www.boe.es/gazeta/dias/1834/04/07/pdfs/GMD-1834-46.pdf#page=1","Abrir facsímil")</f>
        <v>Abrir facsímil</v>
      </c>
      <c r="K16764" s="10" t="s">
        <v>24</v>
      </c>
    </row>
    <row r="16765" spans="1:11" ht="54" customHeight="1">
      <c r="A16765" s="9" t="s">
        <v>33855</v>
      </c>
      <c r="B16765" s="9" t="s">
        <v>33856</v>
      </c>
      <c r="C16765" s="9" t="s">
        <v>17</v>
      </c>
      <c r="D16765" s="9" t="s">
        <v>18</v>
      </c>
      <c r="E16765" s="10" t="s">
        <v>375</v>
      </c>
      <c r="F16765" s="9" t="s">
        <v>376</v>
      </c>
      <c r="G16765" s="10" t="s">
        <v>34</v>
      </c>
      <c r="H16765" s="9" t="s">
        <v>22</v>
      </c>
      <c r="I16765" s="9" t="s">
        <v>33857</v>
      </c>
      <c r="J16765" s="10" t="str">
        <f>HYPERLINK("https://www.boe.es/gazeta/dias/1834/08/21/pdfs/GMD-1834-187.pdf#page=1","Abrir facsímil")</f>
        <v>Abrir facsímil</v>
      </c>
      <c r="K16765" s="10" t="s">
        <v>24</v>
      </c>
    </row>
    <row r="16766" spans="1:11" ht="54" customHeight="1">
      <c r="A16766" s="9" t="s">
        <v>33858</v>
      </c>
      <c r="B16766" s="9" t="s">
        <v>33859</v>
      </c>
      <c r="C16766" s="9" t="s">
        <v>17</v>
      </c>
      <c r="D16766" s="9" t="s">
        <v>18</v>
      </c>
      <c r="E16766" s="10" t="s">
        <v>690</v>
      </c>
      <c r="F16766" s="9" t="s">
        <v>5765</v>
      </c>
      <c r="G16766" s="10" t="s">
        <v>75</v>
      </c>
      <c r="H16766" s="9" t="s">
        <v>22</v>
      </c>
      <c r="I16766" s="9" t="s">
        <v>33860</v>
      </c>
      <c r="J16766" s="10" t="str">
        <f>HYPERLINK("https://www.boe.es/gazeta/dias/1834/09/03/pdfs/GMD-1834-201.pdf#page=4","Abrir facsímil")</f>
        <v>Abrir facsímil</v>
      </c>
      <c r="K16766" s="10" t="s">
        <v>24</v>
      </c>
    </row>
    <row r="16767" spans="1:11" ht="54" customHeight="1">
      <c r="A16767" s="9" t="s">
        <v>33861</v>
      </c>
      <c r="B16767" s="9" t="s">
        <v>33862</v>
      </c>
      <c r="C16767" s="9" t="s">
        <v>46</v>
      </c>
      <c r="D16767" s="9" t="s">
        <v>101</v>
      </c>
      <c r="E16767" s="10" t="s">
        <v>1839</v>
      </c>
      <c r="F16767" s="9" t="s">
        <v>3598</v>
      </c>
      <c r="G16767" s="10" t="s">
        <v>86</v>
      </c>
      <c r="H16767" s="9" t="s">
        <v>22</v>
      </c>
      <c r="I16767" s="9" t="s">
        <v>33863</v>
      </c>
      <c r="J16767" s="10" t="str">
        <f>HYPERLINK("https://www.boe.es/gazeta/dias/1834/08/12/pdfs/GMD-1834-177.pdf#page=2","Abrir facsímil")</f>
        <v>Abrir facsímil</v>
      </c>
      <c r="K16767" s="10" t="s">
        <v>24</v>
      </c>
    </row>
    <row r="16768" spans="1:11" ht="54" customHeight="1">
      <c r="A16768" s="9" t="s">
        <v>33864</v>
      </c>
      <c r="B16768" s="9" t="s">
        <v>33865</v>
      </c>
      <c r="C16768" s="9" t="s">
        <v>17</v>
      </c>
      <c r="D16768" s="9" t="s">
        <v>18</v>
      </c>
      <c r="E16768" s="10" t="s">
        <v>268</v>
      </c>
      <c r="F16768" s="9" t="s">
        <v>269</v>
      </c>
      <c r="G16768" s="10" t="s">
        <v>21</v>
      </c>
      <c r="H16768" s="9" t="s">
        <v>35</v>
      </c>
      <c r="I16768" s="9" t="s">
        <v>33866</v>
      </c>
      <c r="J16768" s="10" t="str">
        <f>HYPERLINK("https://www.boe.es/gazeta/dias/1834/12/19/pdfs/GMD-C-1834-309.pdf#page=3","Abrir facsímil")</f>
        <v>Abrir facsímil</v>
      </c>
      <c r="K16768" s="10" t="s">
        <v>37</v>
      </c>
    </row>
    <row r="16769" spans="1:11" ht="54" customHeight="1">
      <c r="A16769" s="9" t="s">
        <v>33867</v>
      </c>
      <c r="B16769" s="9" t="s">
        <v>33868</v>
      </c>
      <c r="C16769" s="9" t="s">
        <v>17</v>
      </c>
      <c r="D16769" s="9" t="s">
        <v>18</v>
      </c>
      <c r="E16769" s="10" t="s">
        <v>343</v>
      </c>
      <c r="F16769" s="9" t="s">
        <v>344</v>
      </c>
      <c r="G16769" s="10" t="s">
        <v>75</v>
      </c>
      <c r="H16769" s="9" t="s">
        <v>22</v>
      </c>
      <c r="I16769" s="9" t="s">
        <v>33869</v>
      </c>
      <c r="J16769" s="10" t="str">
        <f>HYPERLINK("https://www.boe.es/gazeta/dias/1834/01/14/pdfs/GMD-1834-7.pdf#page=4","Abrir facsímil")</f>
        <v>Abrir facsímil</v>
      </c>
      <c r="K16769" s="10" t="s">
        <v>24</v>
      </c>
    </row>
    <row r="16770" spans="1:11" ht="54" customHeight="1">
      <c r="A16770" s="9" t="s">
        <v>33870</v>
      </c>
      <c r="B16770" s="9" t="s">
        <v>33870</v>
      </c>
      <c r="C16770" s="9" t="s">
        <v>66</v>
      </c>
      <c r="D16770" s="9" t="s">
        <v>67</v>
      </c>
      <c r="E16770" s="10" t="s">
        <v>148</v>
      </c>
      <c r="F16770" s="9" t="s">
        <v>149</v>
      </c>
      <c r="G16770" s="10" t="s">
        <v>34</v>
      </c>
      <c r="H16770" s="9" t="s">
        <v>22</v>
      </c>
      <c r="I16770" s="9" t="s">
        <v>33871</v>
      </c>
      <c r="J16770" s="10" t="str">
        <f>HYPERLINK("https://www.boe.es/gazeta/dias/1834/10/20/pdfs/GMD-1834-248.pdf#page=1","Abrir facsímil")</f>
        <v>Abrir facsímil</v>
      </c>
      <c r="K16770" s="10" t="s">
        <v>24</v>
      </c>
    </row>
    <row r="16771" spans="1:11" ht="54" customHeight="1">
      <c r="A16771" s="9" t="s">
        <v>33872</v>
      </c>
      <c r="B16771" s="9" t="s">
        <v>33872</v>
      </c>
      <c r="C16771" s="9" t="s">
        <v>122</v>
      </c>
      <c r="D16771" s="9" t="s">
        <v>55</v>
      </c>
      <c r="E16771" s="10" t="s">
        <v>79</v>
      </c>
      <c r="F16771" s="9" t="s">
        <v>80</v>
      </c>
      <c r="G16771" s="10" t="s">
        <v>21</v>
      </c>
      <c r="H16771" s="9" t="s">
        <v>22</v>
      </c>
      <c r="I16771" s="9" t="s">
        <v>33873</v>
      </c>
      <c r="J16771" s="10" t="str">
        <f>HYPERLINK("https://www.boe.es/gazeta/dias/1834/07/12/pdfs/GMD-1834-145.pdf#page=3","Abrir facsímil")</f>
        <v>Abrir facsímil</v>
      </c>
      <c r="K16771" s="10" t="s">
        <v>24</v>
      </c>
    </row>
    <row r="16772" spans="1:11" ht="54" customHeight="1">
      <c r="A16772" s="9" t="s">
        <v>33874</v>
      </c>
      <c r="B16772" s="9" t="s">
        <v>33874</v>
      </c>
      <c r="C16772" s="9" t="s">
        <v>17</v>
      </c>
      <c r="D16772" s="9" t="s">
        <v>18</v>
      </c>
      <c r="E16772" s="10" t="s">
        <v>19</v>
      </c>
      <c r="F16772" s="9" t="s">
        <v>20</v>
      </c>
      <c r="G16772" s="10" t="s">
        <v>21</v>
      </c>
      <c r="H16772" s="9" t="s">
        <v>22</v>
      </c>
      <c r="I16772" s="9" t="s">
        <v>33875</v>
      </c>
      <c r="J16772" s="10" t="str">
        <f>HYPERLINK("https://www.boe.es/gazeta/dias/1834/08/17/pdfs/GMD-D-1834-182.pdf#page=3","Abrir facsímil")</f>
        <v>Abrir facsímil</v>
      </c>
      <c r="K16772" s="10" t="s">
        <v>24</v>
      </c>
    </row>
    <row r="16773" spans="1:11" ht="54" customHeight="1">
      <c r="A16773" s="9" t="s">
        <v>33876</v>
      </c>
      <c r="B16773" s="9" t="s">
        <v>33877</v>
      </c>
      <c r="C16773" s="9" t="s">
        <v>17</v>
      </c>
      <c r="D16773" s="9" t="s">
        <v>18</v>
      </c>
      <c r="E16773" s="10" t="s">
        <v>19</v>
      </c>
      <c r="F16773" s="9" t="s">
        <v>20</v>
      </c>
      <c r="G16773" s="10" t="s">
        <v>21</v>
      </c>
      <c r="H16773" s="9" t="s">
        <v>22</v>
      </c>
      <c r="I16773" s="9" t="s">
        <v>33878</v>
      </c>
      <c r="J16773" s="10" t="str">
        <f>HYPERLINK("https://www.boe.es/gazeta/dias/1834/08/17/pdfs/GMD-D-1834-182.pdf#page=3","Abrir facsímil")</f>
        <v>Abrir facsímil</v>
      </c>
      <c r="K16773" s="10" t="s">
        <v>24</v>
      </c>
    </row>
    <row r="16774" spans="1:11" ht="54" customHeight="1">
      <c r="A16774" s="9" t="s">
        <v>33879</v>
      </c>
      <c r="B16774" s="9" t="s">
        <v>33880</v>
      </c>
      <c r="C16774" s="9" t="s">
        <v>17</v>
      </c>
      <c r="D16774" s="9" t="s">
        <v>40</v>
      </c>
      <c r="E16774" s="10" t="s">
        <v>1695</v>
      </c>
      <c r="F16774" s="9" t="s">
        <v>1696</v>
      </c>
      <c r="G16774" s="10" t="s">
        <v>75</v>
      </c>
      <c r="H16774" s="9" t="s">
        <v>22</v>
      </c>
      <c r="I16774" s="9" t="s">
        <v>33881</v>
      </c>
      <c r="J16774" s="10" t="str">
        <f>HYPERLINK("https://www.boe.es/gazeta/dias/1834/06/30/pdfs/GMD-1834-133.pdf#page=4","Abrir facsímil")</f>
        <v>Abrir facsímil</v>
      </c>
      <c r="K16774" s="10" t="s">
        <v>24</v>
      </c>
    </row>
    <row r="16775" spans="1:11" ht="54" customHeight="1">
      <c r="A16775" s="9" t="s">
        <v>33882</v>
      </c>
      <c r="B16775" s="9" t="s">
        <v>33882</v>
      </c>
      <c r="C16775" s="9" t="s">
        <v>46</v>
      </c>
      <c r="D16775" s="9" t="s">
        <v>101</v>
      </c>
      <c r="E16775" s="10" t="s">
        <v>200</v>
      </c>
      <c r="F16775" s="9" t="s">
        <v>201</v>
      </c>
      <c r="G16775" s="10" t="s">
        <v>75</v>
      </c>
      <c r="H16775" s="9" t="s">
        <v>22</v>
      </c>
      <c r="I16775" s="9" t="s">
        <v>33883</v>
      </c>
      <c r="J16775" s="10" t="str">
        <f>HYPERLINK("https://www.boe.es/gazeta/dias/1834/12/11/pdfs/GMD-1834-300.pdf#page=4","Abrir facsímil")</f>
        <v>Abrir facsímil</v>
      </c>
      <c r="K16775" s="10" t="s">
        <v>24</v>
      </c>
    </row>
    <row r="16776" spans="1:11" ht="54" customHeight="1">
      <c r="A16776" s="9" t="s">
        <v>33884</v>
      </c>
      <c r="B16776" s="9" t="s">
        <v>33885</v>
      </c>
      <c r="C16776" s="9" t="s">
        <v>46</v>
      </c>
      <c r="D16776" s="9" t="s">
        <v>101</v>
      </c>
      <c r="E16776" s="10" t="s">
        <v>200</v>
      </c>
      <c r="F16776" s="9" t="s">
        <v>201</v>
      </c>
      <c r="G16776" s="10" t="s">
        <v>75</v>
      </c>
      <c r="H16776" s="9" t="s">
        <v>22</v>
      </c>
      <c r="I16776" s="9" t="s">
        <v>33886</v>
      </c>
      <c r="J16776" s="10" t="str">
        <f>HYPERLINK("https://www.boe.es/gazeta/dias/1834/12/11/pdfs/GMD-1834-300.pdf#page=4","Abrir facsímil")</f>
        <v>Abrir facsímil</v>
      </c>
      <c r="K16776" s="10" t="s">
        <v>24</v>
      </c>
    </row>
    <row r="16777" spans="1:11" ht="54" customHeight="1">
      <c r="A16777" s="9" t="s">
        <v>33887</v>
      </c>
      <c r="B16777" s="9" t="s">
        <v>33888</v>
      </c>
      <c r="C16777" s="9" t="s">
        <v>17</v>
      </c>
      <c r="D16777" s="9" t="s">
        <v>18</v>
      </c>
      <c r="E16777" s="10" t="s">
        <v>251</v>
      </c>
      <c r="F16777" s="9" t="s">
        <v>1278</v>
      </c>
      <c r="G16777" s="10" t="s">
        <v>75</v>
      </c>
      <c r="H16777" s="9" t="s">
        <v>22</v>
      </c>
      <c r="I16777" s="9" t="s">
        <v>33889</v>
      </c>
      <c r="J16777" s="10" t="str">
        <f>HYPERLINK("https://www.boe.es/gazeta/dias/1834/09/26/pdfs/GMD-1834-224.pdf#page=4","Abrir facsímil")</f>
        <v>Abrir facsímil</v>
      </c>
      <c r="K16777" s="10" t="s">
        <v>24</v>
      </c>
    </row>
    <row r="16778" spans="1:11" ht="54" customHeight="1">
      <c r="A16778" s="9" t="s">
        <v>33890</v>
      </c>
      <c r="B16778" s="9" t="s">
        <v>33891</v>
      </c>
      <c r="C16778" s="9" t="s">
        <v>90</v>
      </c>
      <c r="D16778" s="9" t="s">
        <v>101</v>
      </c>
      <c r="E16778" s="10" t="s">
        <v>96</v>
      </c>
      <c r="F16778" s="9" t="s">
        <v>1725</v>
      </c>
      <c r="G16778" s="10" t="s">
        <v>75</v>
      </c>
      <c r="H16778" s="9" t="s">
        <v>22</v>
      </c>
      <c r="I16778" s="9" t="s">
        <v>33892</v>
      </c>
      <c r="J16778" s="10" t="str">
        <f>HYPERLINK("https://www.boe.es/gazeta/dias/1834/11/11/pdfs/GMD-1834-270.pdf#page=4","Abrir facsímil")</f>
        <v>Abrir facsímil</v>
      </c>
      <c r="K16778" s="10" t="s">
        <v>24</v>
      </c>
    </row>
    <row r="16779" spans="1:11" ht="54" customHeight="1">
      <c r="A16779" s="9" t="s">
        <v>33893</v>
      </c>
      <c r="B16779" s="9" t="s">
        <v>33894</v>
      </c>
      <c r="C16779" s="9" t="s">
        <v>90</v>
      </c>
      <c r="D16779" s="9" t="s">
        <v>18</v>
      </c>
      <c r="E16779" s="10" t="s">
        <v>158</v>
      </c>
      <c r="F16779" s="9" t="s">
        <v>159</v>
      </c>
      <c r="G16779" s="10" t="s">
        <v>21</v>
      </c>
      <c r="H16779" s="9" t="s">
        <v>22</v>
      </c>
      <c r="I16779" s="9" t="s">
        <v>33895</v>
      </c>
      <c r="J16779" s="10" t="str">
        <f>HYPERLINK("https://www.boe.es/gazeta/dias/1834/10/01/pdfs/GMD-1834-229.pdf#page=3","Abrir facsímil")</f>
        <v>Abrir facsímil</v>
      </c>
      <c r="K16779" s="10" t="s">
        <v>24</v>
      </c>
    </row>
    <row r="16780" spans="1:11" ht="54" customHeight="1">
      <c r="A16780" s="9" t="s">
        <v>33896</v>
      </c>
      <c r="B16780" s="9" t="s">
        <v>33896</v>
      </c>
      <c r="C16780" s="9" t="s">
        <v>17</v>
      </c>
      <c r="D16780" s="9" t="s">
        <v>18</v>
      </c>
      <c r="E16780" s="10" t="s">
        <v>3952</v>
      </c>
      <c r="F16780" s="9" t="s">
        <v>3953</v>
      </c>
      <c r="G16780" s="10" t="s">
        <v>21</v>
      </c>
      <c r="H16780" s="9" t="s">
        <v>22</v>
      </c>
      <c r="I16780" s="9" t="s">
        <v>33897</v>
      </c>
      <c r="J16780" s="10" t="str">
        <f>HYPERLINK("https://www.boe.es/gazeta/dias/1834/02/22/pdfs/GMD-1834-24.pdf#page=3","Abrir facsímil")</f>
        <v>Abrir facsímil</v>
      </c>
      <c r="K16780" s="10" t="s">
        <v>24</v>
      </c>
    </row>
    <row r="16781" spans="1:11" ht="54" customHeight="1">
      <c r="A16781" s="9" t="s">
        <v>33898</v>
      </c>
      <c r="B16781" s="9" t="s">
        <v>33898</v>
      </c>
      <c r="C16781" s="9" t="s">
        <v>46</v>
      </c>
      <c r="D16781" s="9" t="s">
        <v>18</v>
      </c>
      <c r="E16781" s="10" t="s">
        <v>571</v>
      </c>
      <c r="F16781" s="9" t="s">
        <v>620</v>
      </c>
      <c r="G16781" s="10" t="s">
        <v>75</v>
      </c>
      <c r="H16781" s="9" t="s">
        <v>22</v>
      </c>
      <c r="I16781" s="9" t="s">
        <v>33899</v>
      </c>
      <c r="J16781" s="10" t="str">
        <f>HYPERLINK("https://www.boe.es/gazeta/dias/1834/09/04/pdfs/GMD-C-1834-202.pdf#page=4","Abrir facsímil")</f>
        <v>Abrir facsímil</v>
      </c>
      <c r="K16781" s="10" t="s">
        <v>24</v>
      </c>
    </row>
    <row r="16782" spans="1:11" ht="54" customHeight="1">
      <c r="A16782" s="9" t="s">
        <v>33900</v>
      </c>
      <c r="B16782" s="9" t="s">
        <v>33901</v>
      </c>
      <c r="C16782" s="9" t="s">
        <v>66</v>
      </c>
      <c r="D16782" s="9" t="s">
        <v>67</v>
      </c>
      <c r="E16782" s="10" t="s">
        <v>1572</v>
      </c>
      <c r="F16782" s="9" t="s">
        <v>1573</v>
      </c>
      <c r="G16782" s="10" t="s">
        <v>28</v>
      </c>
      <c r="H16782" s="9" t="s">
        <v>35</v>
      </c>
      <c r="I16782" s="9" t="s">
        <v>33902</v>
      </c>
      <c r="J16782" s="10" t="str">
        <f>HYPERLINK("https://www.boe.es/gazeta/dias/1834/03/20/pdfs/GMD-1834-35.pdf#page=5","Abrir facsímil")</f>
        <v>Abrir facsímil</v>
      </c>
      <c r="K16782" s="10" t="s">
        <v>37</v>
      </c>
    </row>
    <row r="16783" spans="1:11" ht="54" customHeight="1">
      <c r="A16783" s="9" t="s">
        <v>33903</v>
      </c>
      <c r="B16783" s="9" t="s">
        <v>33904</v>
      </c>
      <c r="C16783" s="9" t="s">
        <v>66</v>
      </c>
      <c r="D16783" s="9" t="s">
        <v>67</v>
      </c>
      <c r="E16783" s="10" t="s">
        <v>1572</v>
      </c>
      <c r="F16783" s="9" t="s">
        <v>1573</v>
      </c>
      <c r="G16783" s="10" t="s">
        <v>28</v>
      </c>
      <c r="H16783" s="9" t="s">
        <v>22</v>
      </c>
      <c r="I16783" s="9" t="s">
        <v>33905</v>
      </c>
      <c r="J16783" s="10" t="str">
        <f>HYPERLINK("https://www.boe.es/gazeta/dias/1834/03/20/pdfs/GMD-1834-35.pdf#page=5","Abrir facsímil")</f>
        <v>Abrir facsímil</v>
      </c>
      <c r="K16783" s="10" t="s">
        <v>24</v>
      </c>
    </row>
    <row r="16784" spans="1:11" ht="54" customHeight="1">
      <c r="A16784" s="9" t="s">
        <v>33906</v>
      </c>
      <c r="B16784" s="9" t="s">
        <v>33906</v>
      </c>
      <c r="C16784" s="9" t="s">
        <v>17</v>
      </c>
      <c r="D16784" s="9" t="s">
        <v>18</v>
      </c>
      <c r="E16784" s="10" t="s">
        <v>304</v>
      </c>
      <c r="F16784" s="9" t="s">
        <v>305</v>
      </c>
      <c r="G16784" s="10" t="s">
        <v>21</v>
      </c>
      <c r="H16784" s="9" t="s">
        <v>22</v>
      </c>
      <c r="I16784" s="9" t="s">
        <v>33907</v>
      </c>
      <c r="J16784" s="10" t="str">
        <f>HYPERLINK("https://www.boe.es/gazeta/dias/1834/01/21/pdfs/GMD-1834-10.pdf#page=3","Abrir facsímil")</f>
        <v>Abrir facsímil</v>
      </c>
      <c r="K16784" s="10" t="s">
        <v>24</v>
      </c>
    </row>
    <row r="16785" spans="1:11" ht="54" customHeight="1">
      <c r="A16785" s="9" t="s">
        <v>33908</v>
      </c>
      <c r="B16785" s="9" t="s">
        <v>33908</v>
      </c>
      <c r="C16785" s="9" t="s">
        <v>17</v>
      </c>
      <c r="D16785" s="9" t="s">
        <v>18</v>
      </c>
      <c r="E16785" s="10" t="s">
        <v>19</v>
      </c>
      <c r="F16785" s="9" t="s">
        <v>20</v>
      </c>
      <c r="G16785" s="10" t="s">
        <v>21</v>
      </c>
      <c r="H16785" s="9" t="s">
        <v>22</v>
      </c>
      <c r="I16785" s="9" t="s">
        <v>33909</v>
      </c>
      <c r="J16785" s="10" t="str">
        <f>HYPERLINK("https://www.boe.es/gazeta/dias/1834/08/17/pdfs/GMD-D-1834-182.pdf#page=3","Abrir facsímil")</f>
        <v>Abrir facsímil</v>
      </c>
      <c r="K16785" s="10" t="s">
        <v>24</v>
      </c>
    </row>
    <row r="16786" spans="1:11" ht="54" customHeight="1">
      <c r="A16786" s="9" t="s">
        <v>33910</v>
      </c>
      <c r="B16786" s="9" t="s">
        <v>33911</v>
      </c>
      <c r="C16786" s="9" t="s">
        <v>17</v>
      </c>
      <c r="D16786" s="9" t="s">
        <v>40</v>
      </c>
      <c r="E16786" s="10" t="s">
        <v>571</v>
      </c>
      <c r="F16786" s="9" t="s">
        <v>572</v>
      </c>
      <c r="G16786" s="10" t="s">
        <v>75</v>
      </c>
      <c r="H16786" s="9" t="s">
        <v>22</v>
      </c>
      <c r="I16786" s="9" t="s">
        <v>33912</v>
      </c>
      <c r="J16786" s="10" t="str">
        <f>HYPERLINK("https://www.boe.es/gazeta/dias/1834/09/04/pdfs/GMD-1834-202.pdf#page=4","Abrir facsímil")</f>
        <v>Abrir facsímil</v>
      </c>
      <c r="K16786" s="10" t="s">
        <v>24</v>
      </c>
    </row>
    <row r="16787" spans="1:11" ht="54" customHeight="1">
      <c r="A16787" s="9" t="s">
        <v>33913</v>
      </c>
      <c r="B16787" s="9" t="s">
        <v>33914</v>
      </c>
      <c r="C16787" s="9" t="s">
        <v>90</v>
      </c>
      <c r="D16787" s="9" t="s">
        <v>40</v>
      </c>
      <c r="E16787" s="10" t="s">
        <v>3207</v>
      </c>
      <c r="F16787" s="9" t="s">
        <v>3208</v>
      </c>
      <c r="G16787" s="10" t="s">
        <v>75</v>
      </c>
      <c r="H16787" s="9" t="s">
        <v>35</v>
      </c>
      <c r="I16787" s="9" t="s">
        <v>33915</v>
      </c>
      <c r="J16787" s="10" t="str">
        <f>HYPERLINK("https://www.boe.es/gazeta/dias/1834/10/13/pdfs/GMD-1834-241.pdf#page=4","Abrir facsímil")</f>
        <v>Abrir facsímil</v>
      </c>
      <c r="K16787" s="10" t="s">
        <v>37</v>
      </c>
    </row>
    <row r="16788" spans="1:11" ht="54" customHeight="1">
      <c r="A16788" s="9" t="s">
        <v>33916</v>
      </c>
      <c r="B16788" s="9" t="s">
        <v>33917</v>
      </c>
      <c r="C16788" s="9" t="s">
        <v>90</v>
      </c>
      <c r="D16788" s="9" t="s">
        <v>40</v>
      </c>
      <c r="E16788" s="10" t="s">
        <v>3207</v>
      </c>
      <c r="F16788" s="9" t="s">
        <v>3208</v>
      </c>
      <c r="G16788" s="10" t="s">
        <v>75</v>
      </c>
      <c r="H16788" s="9" t="s">
        <v>22</v>
      </c>
      <c r="I16788" s="9" t="s">
        <v>33918</v>
      </c>
      <c r="J16788" s="10" t="str">
        <f>HYPERLINK("https://www.boe.es/gazeta/dias/1834/10/13/pdfs/GMD-1834-241.pdf#page=4","Abrir facsímil")</f>
        <v>Abrir facsímil</v>
      </c>
      <c r="K16788" s="10" t="s">
        <v>24</v>
      </c>
    </row>
    <row r="16789" spans="1:11" ht="54" customHeight="1">
      <c r="A16789" s="9" t="s">
        <v>33919</v>
      </c>
      <c r="B16789" s="9" t="s">
        <v>33920</v>
      </c>
      <c r="C16789" s="9" t="s">
        <v>17</v>
      </c>
      <c r="D16789" s="9" t="s">
        <v>18</v>
      </c>
      <c r="E16789" s="10" t="s">
        <v>506</v>
      </c>
      <c r="F16789" s="9" t="s">
        <v>507</v>
      </c>
      <c r="G16789" s="10" t="s">
        <v>75</v>
      </c>
      <c r="H16789" s="9" t="s">
        <v>22</v>
      </c>
      <c r="I16789" s="9" t="s">
        <v>33921</v>
      </c>
      <c r="J16789" s="10" t="str">
        <f>HYPERLINK("https://www.boe.es/gazeta/dias/1834/03/04/pdfs/GMD-1834-28.pdf#page=4","Abrir facsímil")</f>
        <v>Abrir facsímil</v>
      </c>
      <c r="K16789" s="10" t="s">
        <v>24</v>
      </c>
    </row>
    <row r="16790" spans="1:11" ht="54" customHeight="1">
      <c r="A16790" s="9" t="s">
        <v>33919</v>
      </c>
      <c r="B16790" s="9" t="s">
        <v>33920</v>
      </c>
      <c r="C16790" s="9" t="s">
        <v>90</v>
      </c>
      <c r="D16790" s="9" t="s">
        <v>18</v>
      </c>
      <c r="E16790" s="10" t="s">
        <v>785</v>
      </c>
      <c r="F16790" s="9" t="s">
        <v>786</v>
      </c>
      <c r="G16790" s="10" t="s">
        <v>34</v>
      </c>
      <c r="H16790" s="9" t="s">
        <v>22</v>
      </c>
      <c r="I16790" s="9" t="s">
        <v>33922</v>
      </c>
      <c r="J16790" s="10" t="str">
        <f>HYPERLINK("https://www.boe.es/gazeta/dias/1834/02/11/pdfs/GMD-1834-19.pdf#page=1","Abrir facsímil")</f>
        <v>Abrir facsímil</v>
      </c>
      <c r="K16790" s="10" t="s">
        <v>24</v>
      </c>
    </row>
    <row r="16791" spans="1:11" ht="54" customHeight="1">
      <c r="A16791" s="9" t="s">
        <v>33923</v>
      </c>
      <c r="B16791" s="9" t="s">
        <v>33924</v>
      </c>
      <c r="C16791" s="9" t="s">
        <v>17</v>
      </c>
      <c r="D16791" s="9" t="s">
        <v>40</v>
      </c>
      <c r="E16791" s="10" t="s">
        <v>433</v>
      </c>
      <c r="F16791" s="9" t="s">
        <v>2773</v>
      </c>
      <c r="G16791" s="10" t="s">
        <v>86</v>
      </c>
      <c r="H16791" s="9" t="s">
        <v>22</v>
      </c>
      <c r="I16791" s="9" t="s">
        <v>33925</v>
      </c>
      <c r="J16791" s="10" t="str">
        <f>HYPERLINK("https://www.boe.es/gazeta/dias/1834/10/07/pdfs/I00986-00987.pdf#page=2","Abrir facsímil")</f>
        <v>Abrir facsímil</v>
      </c>
      <c r="K16791" s="10" t="s">
        <v>24</v>
      </c>
    </row>
    <row r="16792" spans="1:11" ht="54" customHeight="1">
      <c r="A16792" s="9" t="s">
        <v>33923</v>
      </c>
      <c r="B16792" s="9" t="s">
        <v>33924</v>
      </c>
      <c r="C16792" s="9" t="s">
        <v>17</v>
      </c>
      <c r="D16792" s="9" t="s">
        <v>40</v>
      </c>
      <c r="E16792" s="10" t="s">
        <v>433</v>
      </c>
      <c r="F16792" s="9" t="s">
        <v>2773</v>
      </c>
      <c r="G16792" s="10" t="s">
        <v>21</v>
      </c>
      <c r="H16792" s="9" t="s">
        <v>22</v>
      </c>
      <c r="I16792" s="9" t="s">
        <v>33925</v>
      </c>
      <c r="J16792" s="10" t="str">
        <f>HYPERLINK("https://www.boe.es/gazeta/dias/1834/10/07/pdfs/GMD-1834-235.pdf#page=3","Abrir facsímil")</f>
        <v>Abrir facsímil</v>
      </c>
      <c r="K16792" s="10" t="s">
        <v>24</v>
      </c>
    </row>
    <row r="16793" spans="1:11" ht="54" customHeight="1">
      <c r="A16793" s="9" t="s">
        <v>33926</v>
      </c>
      <c r="B16793" s="9" t="s">
        <v>33926</v>
      </c>
      <c r="C16793" s="9" t="s">
        <v>17</v>
      </c>
      <c r="D16793" s="9" t="s">
        <v>18</v>
      </c>
      <c r="E16793" s="10" t="s">
        <v>610</v>
      </c>
      <c r="F16793" s="9" t="s">
        <v>611</v>
      </c>
      <c r="G16793" s="10" t="s">
        <v>28</v>
      </c>
      <c r="H16793" s="9" t="s">
        <v>22</v>
      </c>
      <c r="I16793" s="9" t="s">
        <v>33927</v>
      </c>
      <c r="J16793" s="10" t="str">
        <f>HYPERLINK("https://www.boe.es/gazeta/dias/1834/12/21/pdfs/GMD-C-1834-311.pdf#page=5","Abrir facsímil")</f>
        <v>Abrir facsímil</v>
      </c>
      <c r="K16793" s="10" t="s">
        <v>24</v>
      </c>
    </row>
    <row r="16794" spans="1:11" ht="54" customHeight="1">
      <c r="A16794" s="9" t="s">
        <v>33928</v>
      </c>
      <c r="B16794" s="9" t="s">
        <v>33929</v>
      </c>
      <c r="C16794" s="9" t="s">
        <v>17</v>
      </c>
      <c r="D16794" s="9" t="s">
        <v>18</v>
      </c>
      <c r="E16794" s="10" t="s">
        <v>1922</v>
      </c>
      <c r="F16794" s="9" t="s">
        <v>1923</v>
      </c>
      <c r="G16794" s="10" t="s">
        <v>28</v>
      </c>
      <c r="H16794" s="9" t="s">
        <v>22</v>
      </c>
      <c r="I16794" s="9" t="s">
        <v>33930</v>
      </c>
      <c r="J16794" s="10" t="str">
        <f>HYPERLINK("https://www.boe.es/gazeta/dias/1834/02/25/pdfs/GMD-1834-25.pdf#page=5","Abrir facsímil")</f>
        <v>Abrir facsímil</v>
      </c>
      <c r="K16794" s="10" t="s">
        <v>24</v>
      </c>
    </row>
    <row r="16795" spans="1:11" ht="54" customHeight="1">
      <c r="A16795" s="9" t="s">
        <v>33931</v>
      </c>
      <c r="B16795" s="9" t="s">
        <v>33931</v>
      </c>
      <c r="C16795" s="9" t="s">
        <v>46</v>
      </c>
      <c r="D16795" s="9" t="s">
        <v>18</v>
      </c>
      <c r="E16795" s="10" t="s">
        <v>273</v>
      </c>
      <c r="F16795" s="9" t="s">
        <v>413</v>
      </c>
      <c r="G16795" s="10" t="s">
        <v>86</v>
      </c>
      <c r="H16795" s="9" t="s">
        <v>22</v>
      </c>
      <c r="I16795" s="9" t="s">
        <v>33932</v>
      </c>
      <c r="J16795" s="10" t="str">
        <f>HYPERLINK("https://www.boe.es/gazeta/dias/1834/08/31/pdfs/GMD-1834-198.pdf#page=2","Abrir facsímil")</f>
        <v>Abrir facsímil</v>
      </c>
      <c r="K16795" s="10" t="s">
        <v>24</v>
      </c>
    </row>
    <row r="16796" spans="1:11" ht="54" customHeight="1">
      <c r="A16796" s="9" t="s">
        <v>33933</v>
      </c>
      <c r="B16796" s="9" t="s">
        <v>33934</v>
      </c>
      <c r="C16796" s="9" t="s">
        <v>17</v>
      </c>
      <c r="D16796" s="9" t="s">
        <v>18</v>
      </c>
      <c r="E16796" s="10" t="s">
        <v>389</v>
      </c>
      <c r="F16796" s="9" t="s">
        <v>390</v>
      </c>
      <c r="G16796" s="10" t="s">
        <v>21</v>
      </c>
      <c r="H16796" s="9" t="s">
        <v>22</v>
      </c>
      <c r="I16796" s="9" t="s">
        <v>33935</v>
      </c>
      <c r="J16796" s="10" t="str">
        <f>HYPERLINK("https://www.boe.es/gazeta/dias/1834/10/25/pdfs/GMD-1834-253.pdf#page=3","Abrir facsímil")</f>
        <v>Abrir facsímil</v>
      </c>
      <c r="K16796" s="10" t="s">
        <v>24</v>
      </c>
    </row>
    <row r="16797" spans="1:11" ht="54" customHeight="1">
      <c r="A16797" s="9" t="s">
        <v>33936</v>
      </c>
      <c r="B16797" s="9" t="s">
        <v>33937</v>
      </c>
      <c r="C16797" s="9" t="s">
        <v>17</v>
      </c>
      <c r="D16797" s="9" t="s">
        <v>18</v>
      </c>
      <c r="E16797" s="10" t="s">
        <v>753</v>
      </c>
      <c r="F16797" s="9" t="s">
        <v>754</v>
      </c>
      <c r="G16797" s="10" t="s">
        <v>75</v>
      </c>
      <c r="H16797" s="9" t="s">
        <v>35</v>
      </c>
      <c r="I16797" s="9" t="s">
        <v>33938</v>
      </c>
      <c r="J16797" s="10" t="str">
        <f>HYPERLINK("https://www.boe.es/gazeta/dias/1834/04/21/pdfs/GMD-1834-60.pdf#page=4","Abrir facsímil")</f>
        <v>Abrir facsímil</v>
      </c>
      <c r="K16797" s="10" t="s">
        <v>37</v>
      </c>
    </row>
    <row r="16798" spans="1:11" ht="54" customHeight="1">
      <c r="A16798" s="9" t="s">
        <v>33939</v>
      </c>
      <c r="B16798" s="9" t="s">
        <v>33940</v>
      </c>
      <c r="C16798" s="9" t="s">
        <v>17</v>
      </c>
      <c r="D16798" s="9" t="s">
        <v>18</v>
      </c>
      <c r="E16798" s="10" t="s">
        <v>753</v>
      </c>
      <c r="F16798" s="9" t="s">
        <v>754</v>
      </c>
      <c r="G16798" s="10" t="s">
        <v>75</v>
      </c>
      <c r="H16798" s="9" t="s">
        <v>22</v>
      </c>
      <c r="I16798" s="9" t="s">
        <v>33941</v>
      </c>
      <c r="J16798" s="10" t="str">
        <f>HYPERLINK("https://www.boe.es/gazeta/dias/1834/04/21/pdfs/GMD-1834-60.pdf#page=4","Abrir facsímil")</f>
        <v>Abrir facsímil</v>
      </c>
      <c r="K16798" s="10" t="s">
        <v>24</v>
      </c>
    </row>
    <row r="16799" spans="1:11" ht="54" customHeight="1">
      <c r="A16799" s="9" t="s">
        <v>33942</v>
      </c>
      <c r="B16799" s="9" t="s">
        <v>33942</v>
      </c>
      <c r="C16799" s="9" t="s">
        <v>17</v>
      </c>
      <c r="D16799" s="9" t="s">
        <v>18</v>
      </c>
      <c r="E16799" s="10" t="s">
        <v>1084</v>
      </c>
      <c r="F16799" s="9" t="s">
        <v>1085</v>
      </c>
      <c r="G16799" s="10" t="s">
        <v>176</v>
      </c>
      <c r="H16799" s="9" t="s">
        <v>22</v>
      </c>
      <c r="I16799" s="9" t="s">
        <v>33943</v>
      </c>
      <c r="J16799" s="10" t="str">
        <f>HYPERLINK("https://www.boe.es/gazeta/dias/1834/05/01/pdfs/GMD-1834-70.pdf#page=6","Abrir facsímil")</f>
        <v>Abrir facsímil</v>
      </c>
      <c r="K16799" s="10" t="s">
        <v>24</v>
      </c>
    </row>
    <row r="16800" spans="1:11" ht="54" customHeight="1">
      <c r="A16800" s="9" t="s">
        <v>33944</v>
      </c>
      <c r="B16800" s="9" t="s">
        <v>33945</v>
      </c>
      <c r="C16800" s="9" t="s">
        <v>17</v>
      </c>
      <c r="D16800" s="9" t="s">
        <v>101</v>
      </c>
      <c r="E16800" s="10" t="s">
        <v>1402</v>
      </c>
      <c r="F16800" s="9" t="s">
        <v>1403</v>
      </c>
      <c r="G16800" s="10" t="s">
        <v>75</v>
      </c>
      <c r="H16800" s="9" t="s">
        <v>22</v>
      </c>
      <c r="I16800" s="9" t="s">
        <v>33946</v>
      </c>
      <c r="J16800" s="10" t="str">
        <f>HYPERLINK("https://www.boe.es/gazeta/dias/1834/05/05/pdfs/GMD-1834-74.pdf#page=4","Abrir facsímil")</f>
        <v>Abrir facsímil</v>
      </c>
      <c r="K16800" s="10" t="s">
        <v>24</v>
      </c>
    </row>
    <row r="16801" spans="1:11" ht="54" customHeight="1">
      <c r="A16801" s="9" t="s">
        <v>33947</v>
      </c>
      <c r="B16801" s="9" t="s">
        <v>33948</v>
      </c>
      <c r="C16801" s="9" t="s">
        <v>66</v>
      </c>
      <c r="D16801" s="9" t="s">
        <v>67</v>
      </c>
      <c r="E16801" s="10" t="s">
        <v>47</v>
      </c>
      <c r="F16801" s="9" t="s">
        <v>48</v>
      </c>
      <c r="G16801" s="10" t="s">
        <v>34</v>
      </c>
      <c r="H16801" s="9" t="s">
        <v>22</v>
      </c>
      <c r="I16801" s="9" t="s">
        <v>33949</v>
      </c>
      <c r="J16801" s="10" t="str">
        <f>HYPERLINK("https://www.boe.es/gazeta/dias/1834/09/05/pdfs/GMD-C-1834-203.pdf#page=1","Abrir facsímil")</f>
        <v>Abrir facsímil</v>
      </c>
      <c r="K16801" s="10" t="s">
        <v>24</v>
      </c>
    </row>
    <row r="16802" spans="1:11" ht="54" customHeight="1">
      <c r="A16802" s="9" t="s">
        <v>33950</v>
      </c>
      <c r="B16802" s="9" t="s">
        <v>33951</v>
      </c>
      <c r="C16802" s="9" t="s">
        <v>17</v>
      </c>
      <c r="D16802" s="9" t="s">
        <v>18</v>
      </c>
      <c r="E16802" s="10" t="s">
        <v>571</v>
      </c>
      <c r="F16802" s="9" t="s">
        <v>572</v>
      </c>
      <c r="G16802" s="10" t="s">
        <v>21</v>
      </c>
      <c r="H16802" s="9" t="s">
        <v>35</v>
      </c>
      <c r="I16802" s="9" t="s">
        <v>33952</v>
      </c>
      <c r="J16802" s="10" t="str">
        <f>HYPERLINK("https://www.boe.es/gazeta/dias/1834/09/04/pdfs/GMD-1834-202.pdf#page=3","Abrir facsímil")</f>
        <v>Abrir facsímil</v>
      </c>
      <c r="K16802" s="10" t="s">
        <v>37</v>
      </c>
    </row>
    <row r="16803" spans="1:11" ht="54" customHeight="1">
      <c r="A16803" s="9" t="s">
        <v>33953</v>
      </c>
      <c r="B16803" s="9" t="s">
        <v>33954</v>
      </c>
      <c r="C16803" s="9" t="s">
        <v>17</v>
      </c>
      <c r="D16803" s="9" t="s">
        <v>18</v>
      </c>
      <c r="E16803" s="10" t="s">
        <v>571</v>
      </c>
      <c r="F16803" s="9" t="s">
        <v>572</v>
      </c>
      <c r="G16803" s="10" t="s">
        <v>21</v>
      </c>
      <c r="H16803" s="9" t="s">
        <v>22</v>
      </c>
      <c r="I16803" s="9" t="s">
        <v>33955</v>
      </c>
      <c r="J16803" s="10" t="str">
        <f>HYPERLINK("https://www.boe.es/gazeta/dias/1834/09/04/pdfs/GMD-1834-202.pdf#page=3","Abrir facsímil")</f>
        <v>Abrir facsímil</v>
      </c>
      <c r="K16803" s="10" t="s">
        <v>24</v>
      </c>
    </row>
    <row r="16804" spans="1:11" ht="54" customHeight="1">
      <c r="A16804" s="9" t="s">
        <v>33956</v>
      </c>
      <c r="B16804" s="9" t="s">
        <v>33957</v>
      </c>
      <c r="C16804" s="9" t="s">
        <v>17</v>
      </c>
      <c r="D16804" s="9" t="s">
        <v>18</v>
      </c>
      <c r="E16804" s="10" t="s">
        <v>200</v>
      </c>
      <c r="F16804" s="9" t="s">
        <v>2248</v>
      </c>
      <c r="G16804" s="10" t="s">
        <v>75</v>
      </c>
      <c r="H16804" s="9" t="s">
        <v>22</v>
      </c>
      <c r="I16804" s="9" t="s">
        <v>33958</v>
      </c>
      <c r="J16804" s="10" t="str">
        <f>HYPERLINK("https://www.boe.es/gazeta/dias/1834/12/11/pdfs/GMD-C-1834-300.pdf#page=4","Abrir facsímil")</f>
        <v>Abrir facsímil</v>
      </c>
      <c r="K16804" s="10" t="s">
        <v>24</v>
      </c>
    </row>
    <row r="16805" spans="1:11" ht="54" customHeight="1">
      <c r="A16805" s="9" t="s">
        <v>33956</v>
      </c>
      <c r="B16805" s="9" t="s">
        <v>33957</v>
      </c>
      <c r="C16805" s="9" t="s">
        <v>17</v>
      </c>
      <c r="D16805" s="9" t="s">
        <v>18</v>
      </c>
      <c r="E16805" s="10" t="s">
        <v>448</v>
      </c>
      <c r="F16805" s="9" t="s">
        <v>449</v>
      </c>
      <c r="G16805" s="10" t="s">
        <v>28</v>
      </c>
      <c r="H16805" s="9" t="s">
        <v>22</v>
      </c>
      <c r="I16805" s="9" t="s">
        <v>33959</v>
      </c>
      <c r="J16805" s="10" t="str">
        <f>HYPERLINK("https://www.boe.es/gazeta/dias/1834/10/14/pdfs/GMD-C-1834-242.pdf#page=5","Abrir facsímil")</f>
        <v>Abrir facsímil</v>
      </c>
      <c r="K16805" s="10" t="s">
        <v>24</v>
      </c>
    </row>
    <row r="16806" spans="1:11" ht="54" customHeight="1">
      <c r="A16806" s="9" t="s">
        <v>33960</v>
      </c>
      <c r="B16806" s="9" t="s">
        <v>33961</v>
      </c>
      <c r="C16806" s="9" t="s">
        <v>17</v>
      </c>
      <c r="D16806" s="9" t="s">
        <v>18</v>
      </c>
      <c r="E16806" s="10" t="s">
        <v>679</v>
      </c>
      <c r="F16806" s="9" t="s">
        <v>699</v>
      </c>
      <c r="G16806" s="10" t="s">
        <v>560</v>
      </c>
      <c r="H16806" s="9" t="s">
        <v>22</v>
      </c>
      <c r="I16806" s="9" t="s">
        <v>33962</v>
      </c>
      <c r="J16806" s="10" t="str">
        <f>HYPERLINK("https://www.boe.es/gazeta/dias/1834/12/10/pdfs/GMD-C-1834-299.pdf#page=7","Abrir facsímil")</f>
        <v>Abrir facsímil</v>
      </c>
      <c r="K16806" s="10" t="s">
        <v>24</v>
      </c>
    </row>
    <row r="16807" spans="1:11" ht="54" customHeight="1">
      <c r="A16807" s="9" t="s">
        <v>33960</v>
      </c>
      <c r="B16807" s="9" t="s">
        <v>33961</v>
      </c>
      <c r="C16807" s="9" t="s">
        <v>17</v>
      </c>
      <c r="D16807" s="9" t="s">
        <v>18</v>
      </c>
      <c r="E16807" s="10" t="s">
        <v>200</v>
      </c>
      <c r="F16807" s="9" t="s">
        <v>2248</v>
      </c>
      <c r="G16807" s="10" t="s">
        <v>28</v>
      </c>
      <c r="H16807" s="9" t="s">
        <v>22</v>
      </c>
      <c r="I16807" s="9" t="s">
        <v>33963</v>
      </c>
      <c r="J16807" s="10" t="str">
        <f>HYPERLINK("https://www.boe.es/gazeta/dias/1834/12/11/pdfs/GMD-C-1834-300.pdf#page=5","Abrir facsímil")</f>
        <v>Abrir facsímil</v>
      </c>
      <c r="K16807" s="10" t="s">
        <v>24</v>
      </c>
    </row>
    <row r="16808" spans="1:11" ht="54" customHeight="1">
      <c r="A16808" s="9" t="s">
        <v>33960</v>
      </c>
      <c r="B16808" s="9" t="s">
        <v>33961</v>
      </c>
      <c r="C16808" s="9" t="s">
        <v>46</v>
      </c>
      <c r="D16808" s="9" t="s">
        <v>18</v>
      </c>
      <c r="E16808" s="10" t="s">
        <v>299</v>
      </c>
      <c r="F16808" s="9" t="s">
        <v>2255</v>
      </c>
      <c r="G16808" s="10" t="s">
        <v>34</v>
      </c>
      <c r="H16808" s="9" t="s">
        <v>22</v>
      </c>
      <c r="I16808" s="9" t="s">
        <v>33964</v>
      </c>
      <c r="J16808" s="10" t="str">
        <f>HYPERLINK("https://www.boe.es/gazeta/dias/1834/12/12/pdfs/GMD-C-1834-301.pdf#page=1","Abrir facsímil")</f>
        <v>Abrir facsímil</v>
      </c>
      <c r="K16808" s="10" t="s">
        <v>24</v>
      </c>
    </row>
    <row r="16809" spans="1:11" ht="54" customHeight="1">
      <c r="A16809" s="9" t="s">
        <v>33960</v>
      </c>
      <c r="B16809" s="9" t="s">
        <v>33961</v>
      </c>
      <c r="C16809" s="9" t="s">
        <v>17</v>
      </c>
      <c r="D16809" s="9" t="s">
        <v>18</v>
      </c>
      <c r="E16809" s="10" t="s">
        <v>2278</v>
      </c>
      <c r="F16809" s="9" t="s">
        <v>2279</v>
      </c>
      <c r="G16809" s="10" t="s">
        <v>21</v>
      </c>
      <c r="H16809" s="9" t="s">
        <v>22</v>
      </c>
      <c r="I16809" s="9" t="s">
        <v>33965</v>
      </c>
      <c r="J16809" s="10" t="str">
        <f>HYPERLINK("https://www.boe.es/gazeta/dias/1834/12/17/pdfs/GMD-C-1834-306.pdf#page=3","Abrir facsímil")</f>
        <v>Abrir facsímil</v>
      </c>
      <c r="K16809" s="10" t="s">
        <v>24</v>
      </c>
    </row>
    <row r="16810" spans="1:11" ht="54" customHeight="1">
      <c r="A16810" s="9" t="s">
        <v>33966</v>
      </c>
      <c r="B16810" s="9" t="s">
        <v>33967</v>
      </c>
      <c r="C16810" s="9" t="s">
        <v>17</v>
      </c>
      <c r="D16810" s="9" t="s">
        <v>18</v>
      </c>
      <c r="E16810" s="10" t="s">
        <v>200</v>
      </c>
      <c r="F16810" s="9" t="s">
        <v>2248</v>
      </c>
      <c r="G16810" s="10" t="s">
        <v>21</v>
      </c>
      <c r="H16810" s="9" t="s">
        <v>22</v>
      </c>
      <c r="I16810" s="9" t="s">
        <v>33968</v>
      </c>
      <c r="J16810" s="10" t="str">
        <f>HYPERLINK("https://www.boe.es/gazeta/dias/1834/12/11/pdfs/GMD-C-1834-300.pdf#page=3","Abrir facsímil")</f>
        <v>Abrir facsímil</v>
      </c>
      <c r="K16810" s="10" t="s">
        <v>24</v>
      </c>
    </row>
    <row r="16811" spans="1:11" ht="54" customHeight="1">
      <c r="A16811" s="9" t="s">
        <v>33969</v>
      </c>
      <c r="B16811" s="9" t="s">
        <v>33970</v>
      </c>
      <c r="C16811" s="9" t="s">
        <v>17</v>
      </c>
      <c r="D16811" s="9" t="s">
        <v>18</v>
      </c>
      <c r="E16811" s="10" t="s">
        <v>187</v>
      </c>
      <c r="F16811" s="9" t="s">
        <v>1715</v>
      </c>
      <c r="G16811" s="10" t="s">
        <v>34</v>
      </c>
      <c r="H16811" s="9" t="s">
        <v>22</v>
      </c>
      <c r="I16811" s="9" t="s">
        <v>33971</v>
      </c>
      <c r="J16811" s="10" t="str">
        <f>HYPERLINK("https://www.boe.es/gazeta/dias/1834/09/30/pdfs/GMD-C-1834-228.pdf#page=1","Abrir facsímil")</f>
        <v>Abrir facsímil</v>
      </c>
      <c r="K16811" s="10" t="s">
        <v>24</v>
      </c>
    </row>
    <row r="16812" spans="1:11" ht="54" customHeight="1">
      <c r="A16812" s="9" t="s">
        <v>33972</v>
      </c>
      <c r="B16812" s="9" t="s">
        <v>33973</v>
      </c>
      <c r="C16812" s="9" t="s">
        <v>66</v>
      </c>
      <c r="D16812" s="9" t="s">
        <v>67</v>
      </c>
      <c r="E16812" s="10" t="s">
        <v>1556</v>
      </c>
      <c r="F16812" s="9" t="s">
        <v>1557</v>
      </c>
      <c r="G16812" s="10" t="s">
        <v>21</v>
      </c>
      <c r="H16812" s="9" t="s">
        <v>35</v>
      </c>
      <c r="I16812" s="9" t="s">
        <v>33974</v>
      </c>
      <c r="J16812" s="10" t="str">
        <f>HYPERLINK("https://www.boe.es/gazeta/dias/1834/06/06/pdfs/GMD-1834-108.pdf#page=3","Abrir facsímil")</f>
        <v>Abrir facsímil</v>
      </c>
      <c r="K16812" s="10" t="s">
        <v>37</v>
      </c>
    </row>
    <row r="16813" spans="1:11" ht="54" customHeight="1">
      <c r="A16813" s="9" t="s">
        <v>33975</v>
      </c>
      <c r="B16813" s="9" t="s">
        <v>33976</v>
      </c>
      <c r="C16813" s="9" t="s">
        <v>66</v>
      </c>
      <c r="D16813" s="9" t="s">
        <v>67</v>
      </c>
      <c r="E16813" s="10" t="s">
        <v>1556</v>
      </c>
      <c r="F16813" s="9" t="s">
        <v>1557</v>
      </c>
      <c r="G16813" s="10" t="s">
        <v>21</v>
      </c>
      <c r="H16813" s="9" t="s">
        <v>22</v>
      </c>
      <c r="I16813" s="9" t="s">
        <v>33977</v>
      </c>
      <c r="J16813" s="10" t="str">
        <f>HYPERLINK("https://www.boe.es/gazeta/dias/1834/06/06/pdfs/GMD-1834-108.pdf#page=3","Abrir facsímil")</f>
        <v>Abrir facsímil</v>
      </c>
      <c r="K16813" s="10" t="s">
        <v>24</v>
      </c>
    </row>
    <row r="16814" spans="1:11" ht="54" customHeight="1">
      <c r="A16814" s="9" t="s">
        <v>33978</v>
      </c>
      <c r="B16814" s="9" t="s">
        <v>33979</v>
      </c>
      <c r="C16814" s="9" t="s">
        <v>17</v>
      </c>
      <c r="D16814" s="9" t="s">
        <v>18</v>
      </c>
      <c r="E16814" s="10" t="s">
        <v>672</v>
      </c>
      <c r="F16814" s="9" t="s">
        <v>1055</v>
      </c>
      <c r="G16814" s="10" t="s">
        <v>560</v>
      </c>
      <c r="H16814" s="9" t="s">
        <v>22</v>
      </c>
      <c r="I16814" s="9" t="s">
        <v>33980</v>
      </c>
      <c r="J16814" s="10" t="str">
        <f>HYPERLINK("https://www.boe.es/gazeta/dias/1834/09/19/pdfs/GMD-C-1834-217.pdf#page=7","Abrir facsímil")</f>
        <v>Abrir facsímil</v>
      </c>
      <c r="K16814" s="10" t="s">
        <v>24</v>
      </c>
    </row>
    <row r="16815" spans="1:11" ht="54" customHeight="1">
      <c r="A16815" s="9" t="s">
        <v>33978</v>
      </c>
      <c r="B16815" s="9" t="s">
        <v>33979</v>
      </c>
      <c r="C16815" s="9" t="s">
        <v>46</v>
      </c>
      <c r="D16815" s="9" t="s">
        <v>18</v>
      </c>
      <c r="E16815" s="10" t="s">
        <v>981</v>
      </c>
      <c r="F16815" s="9" t="s">
        <v>3406</v>
      </c>
      <c r="G16815" s="10" t="s">
        <v>28</v>
      </c>
      <c r="H16815" s="9" t="s">
        <v>22</v>
      </c>
      <c r="I16815" s="9" t="s">
        <v>33981</v>
      </c>
      <c r="J16815" s="10" t="str">
        <f>HYPERLINK("https://www.boe.es/gazeta/dias/1834/09/21/pdfs/GMD-C-1834-219.pdf#page=5","Abrir facsímil")</f>
        <v>Abrir facsímil</v>
      </c>
      <c r="K16815" s="10" t="s">
        <v>24</v>
      </c>
    </row>
    <row r="16816" spans="1:11" ht="54" customHeight="1">
      <c r="A16816" s="9" t="s">
        <v>33978</v>
      </c>
      <c r="B16816" s="9" t="s">
        <v>33979</v>
      </c>
      <c r="C16816" s="9" t="s">
        <v>17</v>
      </c>
      <c r="D16816" s="9" t="s">
        <v>18</v>
      </c>
      <c r="E16816" s="10" t="s">
        <v>627</v>
      </c>
      <c r="F16816" s="9" t="s">
        <v>628</v>
      </c>
      <c r="G16816" s="10" t="s">
        <v>86</v>
      </c>
      <c r="H16816" s="9" t="s">
        <v>22</v>
      </c>
      <c r="I16816" s="9" t="s">
        <v>33982</v>
      </c>
      <c r="J16816" s="10" t="str">
        <f>HYPERLINK("https://www.boe.es/gazeta/dias/1834/09/22/pdfs/GMD-C-1834-220.pdf#page=2","Abrir facsímil")</f>
        <v>Abrir facsímil</v>
      </c>
      <c r="K16816" s="10" t="s">
        <v>24</v>
      </c>
    </row>
    <row r="16817" spans="1:11" ht="54" customHeight="1">
      <c r="A16817" s="9" t="s">
        <v>33978</v>
      </c>
      <c r="B16817" s="9" t="s">
        <v>33979</v>
      </c>
      <c r="C16817" s="9" t="s">
        <v>17</v>
      </c>
      <c r="D16817" s="9" t="s">
        <v>18</v>
      </c>
      <c r="E16817" s="10" t="s">
        <v>251</v>
      </c>
      <c r="F16817" s="9" t="s">
        <v>252</v>
      </c>
      <c r="G16817" s="10" t="s">
        <v>86</v>
      </c>
      <c r="H16817" s="9" t="s">
        <v>22</v>
      </c>
      <c r="I16817" s="9" t="s">
        <v>33983</v>
      </c>
      <c r="J16817" s="10" t="str">
        <f>HYPERLINK("https://www.boe.es/gazeta/dias/1834/09/26/pdfs/GMD-C-1834-224.pdf#page=2","Abrir facsímil")</f>
        <v>Abrir facsímil</v>
      </c>
      <c r="K16817" s="10" t="s">
        <v>24</v>
      </c>
    </row>
    <row r="16818" spans="1:11" ht="54" customHeight="1">
      <c r="A16818" s="9" t="s">
        <v>33984</v>
      </c>
      <c r="B16818" s="9" t="s">
        <v>33985</v>
      </c>
      <c r="C16818" s="9" t="s">
        <v>17</v>
      </c>
      <c r="D16818" s="9" t="s">
        <v>18</v>
      </c>
      <c r="E16818" s="10" t="s">
        <v>772</v>
      </c>
      <c r="F16818" s="9" t="s">
        <v>2284</v>
      </c>
      <c r="G16818" s="10" t="s">
        <v>28</v>
      </c>
      <c r="H16818" s="9" t="s">
        <v>22</v>
      </c>
      <c r="I16818" s="9" t="s">
        <v>33986</v>
      </c>
      <c r="J16818" s="10" t="str">
        <f>HYPERLINK("https://www.boe.es/gazeta/dias/1834/09/18/pdfs/GMD-C-1834-216.pdf#page=5","Abrir facsímil")</f>
        <v>Abrir facsímil</v>
      </c>
      <c r="K16818" s="10" t="s">
        <v>24</v>
      </c>
    </row>
    <row r="16819" spans="1:11" ht="54" customHeight="1">
      <c r="A16819" s="9" t="s">
        <v>33987</v>
      </c>
      <c r="B16819" s="9" t="s">
        <v>33988</v>
      </c>
      <c r="C16819" s="9" t="s">
        <v>122</v>
      </c>
      <c r="D16819" s="9" t="s">
        <v>18</v>
      </c>
      <c r="E16819" s="10" t="s">
        <v>2729</v>
      </c>
      <c r="F16819" s="9" t="s">
        <v>2730</v>
      </c>
      <c r="G16819" s="10" t="s">
        <v>34</v>
      </c>
      <c r="H16819" s="9" t="s">
        <v>22</v>
      </c>
      <c r="I16819" s="9" t="s">
        <v>33989</v>
      </c>
      <c r="J16819" s="10" t="str">
        <f>HYPERLINK("https://www.boe.es/gazeta/dias/1834/07/02/pdfs/GMD-1834-135.pdf#page=1","Abrir facsímil")</f>
        <v>Abrir facsímil</v>
      </c>
      <c r="K16819" s="10" t="s">
        <v>24</v>
      </c>
    </row>
    <row r="16820" spans="1:11" ht="54" customHeight="1">
      <c r="A16820" s="9" t="s">
        <v>33987</v>
      </c>
      <c r="B16820" s="9" t="s">
        <v>33988</v>
      </c>
      <c r="C16820" s="9" t="s">
        <v>17</v>
      </c>
      <c r="D16820" s="9" t="s">
        <v>18</v>
      </c>
      <c r="E16820" s="10" t="s">
        <v>1351</v>
      </c>
      <c r="F16820" s="9" t="s">
        <v>1352</v>
      </c>
      <c r="G16820" s="10" t="s">
        <v>28</v>
      </c>
      <c r="H16820" s="9" t="s">
        <v>22</v>
      </c>
      <c r="I16820" s="9" t="s">
        <v>33990</v>
      </c>
      <c r="J16820" s="10" t="str">
        <f>HYPERLINK("https://www.boe.es/gazeta/dias/1834/07/05/pdfs/GMD-1834-138.pdf#page=5","Abrir facsímil")</f>
        <v>Abrir facsímil</v>
      </c>
      <c r="K16820" s="10" t="s">
        <v>24</v>
      </c>
    </row>
    <row r="16821" spans="1:11" ht="54" customHeight="1">
      <c r="A16821" s="9" t="s">
        <v>33991</v>
      </c>
      <c r="B16821" s="9" t="s">
        <v>33992</v>
      </c>
      <c r="C16821" s="9" t="s">
        <v>122</v>
      </c>
      <c r="D16821" s="9" t="s">
        <v>18</v>
      </c>
      <c r="E16821" s="10" t="s">
        <v>647</v>
      </c>
      <c r="F16821" s="9" t="s">
        <v>2176</v>
      </c>
      <c r="G16821" s="10" t="s">
        <v>34</v>
      </c>
      <c r="H16821" s="9" t="s">
        <v>22</v>
      </c>
      <c r="I16821" s="9" t="s">
        <v>33993</v>
      </c>
      <c r="J16821" s="10" t="str">
        <f>HYPERLINK("https://www.boe.es/gazeta/dias/1834/10/21/pdfs/GMD-1834-249.pdf#page=1","Abrir facsímil")</f>
        <v>Abrir facsímil</v>
      </c>
      <c r="K16821" s="10" t="s">
        <v>24</v>
      </c>
    </row>
    <row r="16822" spans="1:11" ht="54" customHeight="1">
      <c r="A16822" s="9" t="s">
        <v>33994</v>
      </c>
      <c r="B16822" s="9" t="s">
        <v>33995</v>
      </c>
      <c r="C16822" s="9" t="s">
        <v>17</v>
      </c>
      <c r="D16822" s="9" t="s">
        <v>18</v>
      </c>
      <c r="E16822" s="10" t="s">
        <v>448</v>
      </c>
      <c r="F16822" s="9" t="s">
        <v>449</v>
      </c>
      <c r="G16822" s="10" t="s">
        <v>28</v>
      </c>
      <c r="H16822" s="9" t="s">
        <v>22</v>
      </c>
      <c r="I16822" s="9" t="s">
        <v>33996</v>
      </c>
      <c r="J16822" s="10" t="str">
        <f>HYPERLINK("https://www.boe.es/gazeta/dias/1834/10/14/pdfs/GMD-C-1834-242.pdf#page=5","Abrir facsímil")</f>
        <v>Abrir facsímil</v>
      </c>
      <c r="K16822" s="10" t="s">
        <v>24</v>
      </c>
    </row>
    <row r="16823" spans="1:11" ht="54" customHeight="1">
      <c r="A16823" s="9" t="s">
        <v>33997</v>
      </c>
      <c r="B16823" s="9" t="s">
        <v>33997</v>
      </c>
      <c r="C16823" s="9" t="s">
        <v>17</v>
      </c>
      <c r="D16823" s="9" t="s">
        <v>18</v>
      </c>
      <c r="E16823" s="10" t="s">
        <v>304</v>
      </c>
      <c r="F16823" s="9" t="s">
        <v>305</v>
      </c>
      <c r="G16823" s="10" t="s">
        <v>21</v>
      </c>
      <c r="H16823" s="9" t="s">
        <v>22</v>
      </c>
      <c r="I16823" s="9" t="s">
        <v>33998</v>
      </c>
      <c r="J16823" s="10" t="str">
        <f>HYPERLINK("https://www.boe.es/gazeta/dias/1834/01/21/pdfs/GMD-1834-10.pdf#page=3","Abrir facsímil")</f>
        <v>Abrir facsímil</v>
      </c>
      <c r="K16823" s="10" t="s">
        <v>24</v>
      </c>
    </row>
    <row r="16824" spans="1:11" ht="54" customHeight="1">
      <c r="A16824" s="9" t="s">
        <v>33999</v>
      </c>
      <c r="B16824" s="9" t="s">
        <v>34000</v>
      </c>
      <c r="C16824" s="9" t="s">
        <v>17</v>
      </c>
      <c r="D16824" s="9" t="s">
        <v>18</v>
      </c>
      <c r="E16824" s="10" t="s">
        <v>2087</v>
      </c>
      <c r="F16824" s="9" t="s">
        <v>2267</v>
      </c>
      <c r="G16824" s="10" t="s">
        <v>2174</v>
      </c>
      <c r="H16824" s="9" t="s">
        <v>22</v>
      </c>
      <c r="I16824" s="9" t="s">
        <v>34001</v>
      </c>
      <c r="J16824" s="10" t="str">
        <f>HYPERLINK("https://www.boe.es/gazeta/dias/1834/12/14/pdfs/GMD-C-1834-303.pdf#page=10","Abrir facsímil")</f>
        <v>Abrir facsímil</v>
      </c>
      <c r="K16824" s="10" t="s">
        <v>24</v>
      </c>
    </row>
    <row r="16825" spans="1:11" ht="54" customHeight="1">
      <c r="A16825" s="9" t="s">
        <v>33999</v>
      </c>
      <c r="B16825" s="9" t="s">
        <v>34000</v>
      </c>
      <c r="C16825" s="9" t="s">
        <v>17</v>
      </c>
      <c r="D16825" s="9" t="s">
        <v>18</v>
      </c>
      <c r="E16825" s="10" t="s">
        <v>265</v>
      </c>
      <c r="F16825" s="9" t="s">
        <v>266</v>
      </c>
      <c r="G16825" s="10" t="s">
        <v>75</v>
      </c>
      <c r="H16825" s="9" t="s">
        <v>22</v>
      </c>
      <c r="I16825" s="9" t="s">
        <v>34002</v>
      </c>
      <c r="J16825" s="10" t="str">
        <f>HYPERLINK("https://www.boe.es/gazeta/dias/1834/11/19/pdfs/GMD-C-1834-278.pdf#page=4","Abrir facsímil")</f>
        <v>Abrir facsímil</v>
      </c>
      <c r="K16825" s="10" t="s">
        <v>24</v>
      </c>
    </row>
    <row r="16826" spans="1:11" ht="54" customHeight="1">
      <c r="A16826" s="9" t="s">
        <v>33999</v>
      </c>
      <c r="B16826" s="9" t="s">
        <v>34000</v>
      </c>
      <c r="C16826" s="9" t="s">
        <v>17</v>
      </c>
      <c r="D16826" s="9" t="s">
        <v>18</v>
      </c>
      <c r="E16826" s="10" t="s">
        <v>510</v>
      </c>
      <c r="F16826" s="9" t="s">
        <v>531</v>
      </c>
      <c r="G16826" s="10" t="s">
        <v>28</v>
      </c>
      <c r="H16826" s="9" t="s">
        <v>22</v>
      </c>
      <c r="I16826" s="9" t="s">
        <v>34003</v>
      </c>
      <c r="J16826" s="10" t="str">
        <f>HYPERLINK("https://www.boe.es/gazeta/dias/1834/11/26/pdfs/GMD-C-1834-285.pdf#page=5","Abrir facsímil")</f>
        <v>Abrir facsímil</v>
      </c>
      <c r="K16826" s="10" t="s">
        <v>24</v>
      </c>
    </row>
    <row r="16827" spans="1:11" ht="54" customHeight="1">
      <c r="A16827" s="9" t="s">
        <v>33999</v>
      </c>
      <c r="B16827" s="9" t="s">
        <v>34000</v>
      </c>
      <c r="C16827" s="9" t="s">
        <v>17</v>
      </c>
      <c r="D16827" s="9" t="s">
        <v>18</v>
      </c>
      <c r="E16827" s="10" t="s">
        <v>468</v>
      </c>
      <c r="F16827" s="9" t="s">
        <v>469</v>
      </c>
      <c r="G16827" s="10" t="s">
        <v>470</v>
      </c>
      <c r="H16827" s="9" t="s">
        <v>22</v>
      </c>
      <c r="I16827" s="9" t="s">
        <v>34004</v>
      </c>
      <c r="J16827" s="10" t="str">
        <f>HYPERLINK("https://www.boe.es/gazeta/dias/1834/12/28/pdfs/GMD-C-1834-318.pdf#page=8","Abrir facsímil")</f>
        <v>Abrir facsímil</v>
      </c>
      <c r="K16827" s="10" t="s">
        <v>24</v>
      </c>
    </row>
    <row r="16828" spans="1:11" ht="54" customHeight="1">
      <c r="A16828" s="9" t="s">
        <v>34005</v>
      </c>
      <c r="B16828" s="9" t="s">
        <v>34006</v>
      </c>
      <c r="C16828" s="9" t="s">
        <v>122</v>
      </c>
      <c r="D16828" s="9" t="s">
        <v>18</v>
      </c>
      <c r="E16828" s="10" t="s">
        <v>61</v>
      </c>
      <c r="F16828" s="9" t="s">
        <v>205</v>
      </c>
      <c r="G16828" s="10" t="s">
        <v>86</v>
      </c>
      <c r="H16828" s="9" t="s">
        <v>35</v>
      </c>
      <c r="I16828" s="9" t="s">
        <v>34007</v>
      </c>
      <c r="J16828" s="10" t="str">
        <f>HYPERLINK("https://www.boe.es/gazeta/dias/1834/06/08/pdfs/GMD-1834-110.pdf#page=2","Abrir facsímil")</f>
        <v>Abrir facsímil</v>
      </c>
      <c r="K16828" s="10" t="s">
        <v>37</v>
      </c>
    </row>
    <row r="16829" spans="1:11" ht="54" customHeight="1">
      <c r="A16829" s="9" t="s">
        <v>34008</v>
      </c>
      <c r="B16829" s="9" t="s">
        <v>34009</v>
      </c>
      <c r="C16829" s="9" t="s">
        <v>90</v>
      </c>
      <c r="D16829" s="9" t="s">
        <v>40</v>
      </c>
      <c r="E16829" s="10" t="s">
        <v>167</v>
      </c>
      <c r="F16829" s="9" t="s">
        <v>1200</v>
      </c>
      <c r="G16829" s="10" t="s">
        <v>86</v>
      </c>
      <c r="H16829" s="9" t="s">
        <v>35</v>
      </c>
      <c r="I16829" s="9" t="s">
        <v>34010</v>
      </c>
      <c r="J16829" s="10" t="str">
        <f>HYPERLINK("https://www.boe.es/gazeta/dias/1834/09/07/pdfs/GMD-C-1834-205.pdf#page=2","Abrir facsímil")</f>
        <v>Abrir facsímil</v>
      </c>
      <c r="K16829" s="10" t="s">
        <v>37</v>
      </c>
    </row>
    <row r="16830" spans="1:11" ht="54" customHeight="1">
      <c r="A16830" s="9" t="s">
        <v>34008</v>
      </c>
      <c r="B16830" s="9" t="s">
        <v>34009</v>
      </c>
      <c r="C16830" s="9" t="s">
        <v>17</v>
      </c>
      <c r="D16830" s="9" t="s">
        <v>55</v>
      </c>
      <c r="E16830" s="10" t="s">
        <v>167</v>
      </c>
      <c r="F16830" s="9" t="s">
        <v>1200</v>
      </c>
      <c r="G16830" s="10" t="s">
        <v>21</v>
      </c>
      <c r="H16830" s="9" t="s">
        <v>35</v>
      </c>
      <c r="I16830" s="9" t="s">
        <v>34011</v>
      </c>
      <c r="J16830" s="10" t="str">
        <f>HYPERLINK("https://www.boe.es/gazeta/dias/1834/09/07/pdfs/GMD-C-1834-205.pdf#page=3","Abrir facsímil")</f>
        <v>Abrir facsímil</v>
      </c>
      <c r="K16830" s="10" t="s">
        <v>37</v>
      </c>
    </row>
    <row r="16831" spans="1:11" ht="54" customHeight="1">
      <c r="A16831" s="9" t="s">
        <v>34012</v>
      </c>
      <c r="B16831" s="9" t="s">
        <v>34013</v>
      </c>
      <c r="C16831" s="9" t="s">
        <v>17</v>
      </c>
      <c r="D16831" s="9" t="s">
        <v>18</v>
      </c>
      <c r="E16831" s="10" t="s">
        <v>273</v>
      </c>
      <c r="F16831" s="9" t="s">
        <v>274</v>
      </c>
      <c r="G16831" s="10" t="s">
        <v>21</v>
      </c>
      <c r="H16831" s="9" t="s">
        <v>35</v>
      </c>
      <c r="I16831" s="9" t="s">
        <v>34014</v>
      </c>
      <c r="J16831" s="10" t="str">
        <f>HYPERLINK("https://www.boe.es/gazeta/dias/1834/08/31/pdfs/GMD-D-1834-198.pdf#page=3","Abrir facsímil")</f>
        <v>Abrir facsímil</v>
      </c>
      <c r="K16831" s="10" t="s">
        <v>37</v>
      </c>
    </row>
    <row r="16832" spans="1:11" ht="54" customHeight="1">
      <c r="A16832" s="9" t="s">
        <v>34015</v>
      </c>
      <c r="B16832" s="9" t="s">
        <v>34016</v>
      </c>
      <c r="C16832" s="9" t="s">
        <v>122</v>
      </c>
      <c r="D16832" s="9" t="s">
        <v>18</v>
      </c>
      <c r="E16832" s="10" t="s">
        <v>61</v>
      </c>
      <c r="F16832" s="9" t="s">
        <v>205</v>
      </c>
      <c r="G16832" s="10" t="s">
        <v>86</v>
      </c>
      <c r="H16832" s="9" t="s">
        <v>22</v>
      </c>
      <c r="I16832" s="9" t="s">
        <v>34017</v>
      </c>
      <c r="J16832" s="10" t="str">
        <f>HYPERLINK("https://www.boe.es/gazeta/dias/1834/06/08/pdfs/GMD-1834-110.pdf#page=2","Abrir facsímil")</f>
        <v>Abrir facsímil</v>
      </c>
      <c r="K16832" s="10" t="s">
        <v>24</v>
      </c>
    </row>
    <row r="16833" spans="1:11" ht="54" customHeight="1">
      <c r="A16833" s="9" t="s">
        <v>34018</v>
      </c>
      <c r="B16833" s="9" t="s">
        <v>34019</v>
      </c>
      <c r="C16833" s="9" t="s">
        <v>46</v>
      </c>
      <c r="D16833" s="9" t="s">
        <v>18</v>
      </c>
      <c r="E16833" s="10" t="s">
        <v>2098</v>
      </c>
      <c r="F16833" s="9" t="s">
        <v>2099</v>
      </c>
      <c r="G16833" s="10" t="s">
        <v>75</v>
      </c>
      <c r="H16833" s="9" t="s">
        <v>22</v>
      </c>
      <c r="I16833" s="9" t="s">
        <v>34020</v>
      </c>
      <c r="J16833" s="10" t="str">
        <f>HYPERLINK("https://www.boe.es/gazeta/dias/1834/08/11/pdfs/GMD-1834-176.pdf#page=4","Abrir facsímil")</f>
        <v>Abrir facsímil</v>
      </c>
      <c r="K16833" s="10" t="s">
        <v>24</v>
      </c>
    </row>
    <row r="16834" spans="1:11" ht="54" customHeight="1">
      <c r="A16834" s="9" t="s">
        <v>34018</v>
      </c>
      <c r="B16834" s="9" t="s">
        <v>34019</v>
      </c>
      <c r="C16834" s="9" t="s">
        <v>17</v>
      </c>
      <c r="D16834" s="9" t="s">
        <v>18</v>
      </c>
      <c r="E16834" s="10" t="s">
        <v>247</v>
      </c>
      <c r="F16834" s="9" t="s">
        <v>2805</v>
      </c>
      <c r="G16834" s="10" t="s">
        <v>75</v>
      </c>
      <c r="H16834" s="9" t="s">
        <v>22</v>
      </c>
      <c r="I16834" s="9" t="s">
        <v>34021</v>
      </c>
      <c r="J16834" s="10" t="str">
        <f>HYPERLINK("https://www.boe.es/gazeta/dias/1834/08/23/pdfs/GMD-1834-189.pdf#page=4","Abrir facsímil")</f>
        <v>Abrir facsímil</v>
      </c>
      <c r="K16834" s="10" t="s">
        <v>24</v>
      </c>
    </row>
    <row r="16835" spans="1:11" ht="54" customHeight="1">
      <c r="A16835" s="9" t="s">
        <v>34022</v>
      </c>
      <c r="B16835" s="9" t="s">
        <v>34023</v>
      </c>
      <c r="C16835" s="9" t="s">
        <v>90</v>
      </c>
      <c r="D16835" s="9" t="s">
        <v>40</v>
      </c>
      <c r="E16835" s="10" t="s">
        <v>167</v>
      </c>
      <c r="F16835" s="9" t="s">
        <v>1200</v>
      </c>
      <c r="G16835" s="10" t="s">
        <v>86</v>
      </c>
      <c r="H16835" s="9" t="s">
        <v>22</v>
      </c>
      <c r="I16835" s="9" t="s">
        <v>34024</v>
      </c>
      <c r="J16835" s="10" t="str">
        <f>HYPERLINK("https://www.boe.es/gazeta/dias/1834/09/07/pdfs/GMD-C-1834-205.pdf#page=2","Abrir facsímil")</f>
        <v>Abrir facsímil</v>
      </c>
      <c r="K16835" s="10" t="s">
        <v>24</v>
      </c>
    </row>
    <row r="16836" spans="1:11" ht="54" customHeight="1">
      <c r="A16836" s="9" t="s">
        <v>34022</v>
      </c>
      <c r="B16836" s="9" t="s">
        <v>34023</v>
      </c>
      <c r="C16836" s="9" t="s">
        <v>17</v>
      </c>
      <c r="D16836" s="9" t="s">
        <v>55</v>
      </c>
      <c r="E16836" s="10" t="s">
        <v>167</v>
      </c>
      <c r="F16836" s="9" t="s">
        <v>1200</v>
      </c>
      <c r="G16836" s="10" t="s">
        <v>21</v>
      </c>
      <c r="H16836" s="9" t="s">
        <v>22</v>
      </c>
      <c r="I16836" s="9" t="s">
        <v>34025</v>
      </c>
      <c r="J16836" s="10" t="str">
        <f>HYPERLINK("https://www.boe.es/gazeta/dias/1834/09/07/pdfs/GMD-C-1834-205.pdf#page=3","Abrir facsímil")</f>
        <v>Abrir facsímil</v>
      </c>
      <c r="K16836" s="10" t="s">
        <v>24</v>
      </c>
    </row>
    <row r="16837" spans="1:11" ht="54" customHeight="1">
      <c r="A16837" s="9" t="s">
        <v>34026</v>
      </c>
      <c r="B16837" s="9" t="s">
        <v>34027</v>
      </c>
      <c r="C16837" s="9" t="s">
        <v>17</v>
      </c>
      <c r="D16837" s="9" t="s">
        <v>18</v>
      </c>
      <c r="E16837" s="10" t="s">
        <v>273</v>
      </c>
      <c r="F16837" s="9" t="s">
        <v>274</v>
      </c>
      <c r="G16837" s="10" t="s">
        <v>21</v>
      </c>
      <c r="H16837" s="9" t="s">
        <v>22</v>
      </c>
      <c r="I16837" s="9" t="s">
        <v>34028</v>
      </c>
      <c r="J16837" s="10" t="str">
        <f>HYPERLINK("https://www.boe.es/gazeta/dias/1834/08/31/pdfs/GMD-D-1834-198.pdf#page=3","Abrir facsímil")</f>
        <v>Abrir facsímil</v>
      </c>
      <c r="K16837" s="10" t="s">
        <v>24</v>
      </c>
    </row>
    <row r="16838" spans="1:11" ht="54" customHeight="1">
      <c r="A16838" s="9" t="s">
        <v>34029</v>
      </c>
      <c r="B16838" s="9" t="s">
        <v>34030</v>
      </c>
      <c r="C16838" s="9" t="s">
        <v>17</v>
      </c>
      <c r="D16838" s="9" t="s">
        <v>40</v>
      </c>
      <c r="E16838" s="10" t="s">
        <v>1351</v>
      </c>
      <c r="F16838" s="9" t="s">
        <v>1352</v>
      </c>
      <c r="G16838" s="10" t="s">
        <v>176</v>
      </c>
      <c r="H16838" s="9" t="s">
        <v>22</v>
      </c>
      <c r="I16838" s="9" t="s">
        <v>34031</v>
      </c>
      <c r="J16838" s="10" t="str">
        <f>HYPERLINK("https://www.boe.es/gazeta/dias/1834/07/05/pdfs/GMD-1834-138.pdf#page=6","Abrir facsímil")</f>
        <v>Abrir facsímil</v>
      </c>
      <c r="K16838" s="10" t="s">
        <v>24</v>
      </c>
    </row>
    <row r="16839" spans="1:11" ht="54" customHeight="1">
      <c r="A16839" s="9" t="s">
        <v>34032</v>
      </c>
      <c r="B16839" s="9" t="s">
        <v>34033</v>
      </c>
      <c r="C16839" s="9" t="s">
        <v>17</v>
      </c>
      <c r="D16839" s="9" t="s">
        <v>18</v>
      </c>
      <c r="E16839" s="10" t="s">
        <v>663</v>
      </c>
      <c r="F16839" s="9" t="s">
        <v>664</v>
      </c>
      <c r="G16839" s="10" t="s">
        <v>75</v>
      </c>
      <c r="H16839" s="9" t="s">
        <v>22</v>
      </c>
      <c r="I16839" s="9" t="s">
        <v>34034</v>
      </c>
      <c r="J16839" s="10" t="str">
        <f>HYPERLINK("https://www.boe.es/gazeta/dias/1834/07/16/pdfs/GMD-1834-149.pdf#page=4","Abrir facsímil")</f>
        <v>Abrir facsímil</v>
      </c>
      <c r="K16839" s="10" t="s">
        <v>24</v>
      </c>
    </row>
    <row r="16840" spans="1:11" ht="54" customHeight="1">
      <c r="A16840" s="9" t="s">
        <v>34035</v>
      </c>
      <c r="B16840" s="9" t="s">
        <v>34035</v>
      </c>
      <c r="C16840" s="9" t="s">
        <v>90</v>
      </c>
      <c r="D16840" s="9" t="s">
        <v>18</v>
      </c>
      <c r="E16840" s="10" t="s">
        <v>479</v>
      </c>
      <c r="F16840" s="9" t="s">
        <v>480</v>
      </c>
      <c r="G16840" s="10" t="s">
        <v>86</v>
      </c>
      <c r="H16840" s="9" t="s">
        <v>22</v>
      </c>
      <c r="I16840" s="9" t="s">
        <v>34036</v>
      </c>
      <c r="J16840" s="10" t="str">
        <f>HYPERLINK("https://www.boe.es/gazeta/dias/1834/08/13/pdfs/GMD-1834-178.pdf#page=2","Abrir facsímil")</f>
        <v>Abrir facsímil</v>
      </c>
      <c r="K16840" s="10" t="s">
        <v>24</v>
      </c>
    </row>
    <row r="16841" spans="1:11" ht="54" customHeight="1">
      <c r="A16841" s="9" t="s">
        <v>34037</v>
      </c>
      <c r="B16841" s="9" t="s">
        <v>34038</v>
      </c>
      <c r="C16841" s="9" t="s">
        <v>90</v>
      </c>
      <c r="D16841" s="9" t="s">
        <v>18</v>
      </c>
      <c r="E16841" s="10" t="s">
        <v>1641</v>
      </c>
      <c r="F16841" s="9" t="s">
        <v>1729</v>
      </c>
      <c r="G16841" s="10" t="s">
        <v>21</v>
      </c>
      <c r="H16841" s="9" t="s">
        <v>22</v>
      </c>
      <c r="I16841" s="9" t="s">
        <v>34039</v>
      </c>
      <c r="J16841" s="10" t="str">
        <f>HYPERLINK("https://www.boe.es/gazeta/dias/1834/09/28/pdfs/GMD-1834-226.pdf#page=3","Abrir facsímil")</f>
        <v>Abrir facsímil</v>
      </c>
      <c r="K16841" s="10" t="s">
        <v>24</v>
      </c>
    </row>
    <row r="16842" spans="1:11" ht="54" customHeight="1">
      <c r="A16842" s="9" t="s">
        <v>34040</v>
      </c>
      <c r="B16842" s="9" t="s">
        <v>34041</v>
      </c>
      <c r="C16842" s="9" t="s">
        <v>66</v>
      </c>
      <c r="D16842" s="9" t="s">
        <v>67</v>
      </c>
      <c r="E16842" s="10" t="s">
        <v>833</v>
      </c>
      <c r="F16842" s="9" t="s">
        <v>834</v>
      </c>
      <c r="G16842" s="10" t="s">
        <v>75</v>
      </c>
      <c r="H16842" s="9" t="s">
        <v>22</v>
      </c>
      <c r="I16842" s="9" t="s">
        <v>34042</v>
      </c>
      <c r="J16842" s="10" t="str">
        <f>HYPERLINK("https://www.boe.es/gazeta/dias/1834/04/24/pdfs/GMD-1834-63.pdf#page=4","Abrir facsímil")</f>
        <v>Abrir facsímil</v>
      </c>
      <c r="K16842" s="10" t="s">
        <v>24</v>
      </c>
    </row>
    <row r="16843" spans="1:11" ht="54" customHeight="1">
      <c r="A16843" s="9" t="s">
        <v>34043</v>
      </c>
      <c r="B16843" s="9" t="s">
        <v>34044</v>
      </c>
      <c r="C16843" s="9" t="s">
        <v>17</v>
      </c>
      <c r="D16843" s="9" t="s">
        <v>18</v>
      </c>
      <c r="E16843" s="10" t="s">
        <v>939</v>
      </c>
      <c r="F16843" s="9" t="s">
        <v>940</v>
      </c>
      <c r="G16843" s="10" t="s">
        <v>75</v>
      </c>
      <c r="H16843" s="9" t="s">
        <v>22</v>
      </c>
      <c r="I16843" s="9" t="s">
        <v>34045</v>
      </c>
      <c r="J16843" s="10" t="str">
        <f>HYPERLINK("https://www.boe.es/gazeta/dias/1834/06/10/pdfs/GMD-1834-113.pdf#page=4","Abrir facsímil")</f>
        <v>Abrir facsímil</v>
      </c>
      <c r="K16843" s="10" t="s">
        <v>24</v>
      </c>
    </row>
    <row r="16844" spans="1:11" ht="54" customHeight="1">
      <c r="A16844" s="9" t="s">
        <v>34046</v>
      </c>
      <c r="B16844" s="9" t="s">
        <v>34046</v>
      </c>
      <c r="C16844" s="9" t="s">
        <v>17</v>
      </c>
      <c r="D16844" s="9" t="s">
        <v>18</v>
      </c>
      <c r="E16844" s="10" t="s">
        <v>255</v>
      </c>
      <c r="F16844" s="9" t="s">
        <v>256</v>
      </c>
      <c r="G16844" s="10" t="s">
        <v>21</v>
      </c>
      <c r="H16844" s="9" t="s">
        <v>22</v>
      </c>
      <c r="I16844" s="9" t="s">
        <v>34047</v>
      </c>
      <c r="J16844" s="10" t="str">
        <f>HYPERLINK("https://www.boe.es/gazeta/dias/1834/09/01/pdfs/GMD-D-1834-199.pdf#page=3","Abrir facsímil")</f>
        <v>Abrir facsímil</v>
      </c>
      <c r="K16844" s="10" t="s">
        <v>24</v>
      </c>
    </row>
    <row r="16845" spans="1:11" ht="54" customHeight="1">
      <c r="A16845" s="9" t="s">
        <v>34048</v>
      </c>
      <c r="B16845" s="9" t="s">
        <v>34048</v>
      </c>
      <c r="C16845" s="9" t="s">
        <v>66</v>
      </c>
      <c r="D16845" s="9" t="s">
        <v>67</v>
      </c>
      <c r="E16845" s="10" t="s">
        <v>1424</v>
      </c>
      <c r="F16845" s="9" t="s">
        <v>1425</v>
      </c>
      <c r="G16845" s="10" t="s">
        <v>75</v>
      </c>
      <c r="H16845" s="9" t="s">
        <v>22</v>
      </c>
      <c r="I16845" s="9" t="s">
        <v>34049</v>
      </c>
      <c r="J16845" s="10" t="str">
        <f>HYPERLINK("https://www.boe.es/gazeta/dias/1834/11/14/pdfs/GMD-C-1834-273.pdf#page=4","Abrir facsímil")</f>
        <v>Abrir facsímil</v>
      </c>
      <c r="K16845" s="10" t="s">
        <v>24</v>
      </c>
    </row>
    <row r="16846" spans="1:11" ht="54" customHeight="1">
      <c r="A16846" s="9" t="s">
        <v>34050</v>
      </c>
      <c r="B16846" s="9" t="s">
        <v>34050</v>
      </c>
      <c r="C16846" s="9" t="s">
        <v>122</v>
      </c>
      <c r="D16846" s="9" t="s">
        <v>18</v>
      </c>
      <c r="E16846" s="10" t="s">
        <v>163</v>
      </c>
      <c r="F16846" s="9" t="s">
        <v>164</v>
      </c>
      <c r="G16846" s="10" t="s">
        <v>75</v>
      </c>
      <c r="H16846" s="9" t="s">
        <v>22</v>
      </c>
      <c r="I16846" s="9" t="s">
        <v>34051</v>
      </c>
      <c r="J16846" s="10" t="str">
        <f>HYPERLINK("https://www.boe.es/gazeta/dias/1834/08/09/pdfs/GMD-1834-174.pdf#page=4","Abrir facsímil")</f>
        <v>Abrir facsímil</v>
      </c>
      <c r="K16846" s="10" t="s">
        <v>24</v>
      </c>
    </row>
    <row r="16847" spans="1:11" ht="54" customHeight="1">
      <c r="A16847" s="9" t="s">
        <v>34052</v>
      </c>
      <c r="B16847" s="9" t="s">
        <v>34053</v>
      </c>
      <c r="C16847" s="9" t="s">
        <v>66</v>
      </c>
      <c r="D16847" s="9" t="s">
        <v>67</v>
      </c>
      <c r="E16847" s="10" t="s">
        <v>163</v>
      </c>
      <c r="F16847" s="9" t="s">
        <v>164</v>
      </c>
      <c r="G16847" s="10" t="s">
        <v>75</v>
      </c>
      <c r="H16847" s="9" t="s">
        <v>22</v>
      </c>
      <c r="I16847" s="9" t="s">
        <v>34054</v>
      </c>
      <c r="J16847" s="10" t="str">
        <f>HYPERLINK("https://www.boe.es/gazeta/dias/1834/08/09/pdfs/GMD-1834-174.pdf#page=4","Abrir facsímil")</f>
        <v>Abrir facsímil</v>
      </c>
      <c r="K16847" s="10" t="s">
        <v>24</v>
      </c>
    </row>
    <row r="16848" spans="1:11" ht="54" customHeight="1">
      <c r="A16848" s="9" t="s">
        <v>34055</v>
      </c>
      <c r="B16848" s="9" t="s">
        <v>34056</v>
      </c>
      <c r="C16848" s="9" t="s">
        <v>17</v>
      </c>
      <c r="D16848" s="9" t="s">
        <v>18</v>
      </c>
      <c r="E16848" s="10" t="s">
        <v>1351</v>
      </c>
      <c r="F16848" s="9" t="s">
        <v>1352</v>
      </c>
      <c r="G16848" s="10" t="s">
        <v>75</v>
      </c>
      <c r="H16848" s="9" t="s">
        <v>35</v>
      </c>
      <c r="I16848" s="9" t="s">
        <v>34057</v>
      </c>
      <c r="J16848" s="10" t="str">
        <f>HYPERLINK("https://www.boe.es/gazeta/dias/1834/07/05/pdfs/GMD-1834-138.pdf#page=4","Abrir facsímil")</f>
        <v>Abrir facsímil</v>
      </c>
      <c r="K16848" s="10" t="s">
        <v>37</v>
      </c>
    </row>
    <row r="16849" spans="1:11" ht="54" customHeight="1">
      <c r="A16849" s="9" t="s">
        <v>34058</v>
      </c>
      <c r="B16849" s="9" t="s">
        <v>34059</v>
      </c>
      <c r="C16849" s="9" t="s">
        <v>17</v>
      </c>
      <c r="D16849" s="9" t="s">
        <v>18</v>
      </c>
      <c r="E16849" s="10" t="s">
        <v>1839</v>
      </c>
      <c r="F16849" s="9" t="s">
        <v>3598</v>
      </c>
      <c r="G16849" s="10" t="s">
        <v>86</v>
      </c>
      <c r="H16849" s="9" t="s">
        <v>22</v>
      </c>
      <c r="I16849" s="9" t="s">
        <v>34060</v>
      </c>
      <c r="J16849" s="10" t="str">
        <f>HYPERLINK("https://www.boe.es/gazeta/dias/1834/08/12/pdfs/GMD-1834-177.pdf#page=2","Abrir facsímil")</f>
        <v>Abrir facsímil</v>
      </c>
      <c r="K16849" s="10" t="s">
        <v>24</v>
      </c>
    </row>
    <row r="16850" spans="1:11" ht="54" customHeight="1">
      <c r="A16850" s="9" t="s">
        <v>34061</v>
      </c>
      <c r="B16850" s="9" t="s">
        <v>34062</v>
      </c>
      <c r="C16850" s="9" t="s">
        <v>17</v>
      </c>
      <c r="D16850" s="9" t="s">
        <v>18</v>
      </c>
      <c r="E16850" s="10" t="s">
        <v>627</v>
      </c>
      <c r="F16850" s="9" t="s">
        <v>628</v>
      </c>
      <c r="G16850" s="10" t="s">
        <v>75</v>
      </c>
      <c r="H16850" s="9" t="s">
        <v>22</v>
      </c>
      <c r="I16850" s="9" t="s">
        <v>34063</v>
      </c>
      <c r="J16850" s="10" t="str">
        <f>HYPERLINK("https://www.boe.es/gazeta/dias/1834/09/22/pdfs/GMD-C-1834-220.pdf#page=4","Abrir facsímil")</f>
        <v>Abrir facsímil</v>
      </c>
      <c r="K16850" s="10" t="s">
        <v>24</v>
      </c>
    </row>
    <row r="16851" spans="1:11" ht="54" customHeight="1">
      <c r="A16851" s="9" t="s">
        <v>34064</v>
      </c>
      <c r="B16851" s="9" t="s">
        <v>34065</v>
      </c>
      <c r="C16851" s="9" t="s">
        <v>17</v>
      </c>
      <c r="D16851" s="9" t="s">
        <v>18</v>
      </c>
      <c r="E16851" s="10" t="s">
        <v>563</v>
      </c>
      <c r="F16851" s="9" t="s">
        <v>564</v>
      </c>
      <c r="G16851" s="10" t="s">
        <v>28</v>
      </c>
      <c r="H16851" s="9" t="s">
        <v>22</v>
      </c>
      <c r="I16851" s="9" t="s">
        <v>34066</v>
      </c>
      <c r="J16851" s="10" t="str">
        <f>HYPERLINK("https://www.boe.es/gazeta/dias/1834/04/19/pdfs/GMD-1834-58.pdf#page=5","Abrir facsímil")</f>
        <v>Abrir facsímil</v>
      </c>
      <c r="K16851" s="10" t="s">
        <v>24</v>
      </c>
    </row>
    <row r="16852" spans="1:11" ht="54" customHeight="1">
      <c r="A16852" s="9" t="s">
        <v>34067</v>
      </c>
      <c r="B16852" s="9" t="s">
        <v>34068</v>
      </c>
      <c r="C16852" s="9" t="s">
        <v>17</v>
      </c>
      <c r="D16852" s="9" t="s">
        <v>18</v>
      </c>
      <c r="E16852" s="10" t="s">
        <v>465</v>
      </c>
      <c r="F16852" s="9" t="s">
        <v>466</v>
      </c>
      <c r="G16852" s="10" t="s">
        <v>28</v>
      </c>
      <c r="H16852" s="9" t="s">
        <v>22</v>
      </c>
      <c r="I16852" s="9" t="s">
        <v>34069</v>
      </c>
      <c r="J16852" s="10" t="str">
        <f>HYPERLINK("https://www.boe.es/gazeta/dias/1834/11/27/pdfs/GMD-C-1834-286.pdf#page=5","Abrir facsímil")</f>
        <v>Abrir facsímil</v>
      </c>
      <c r="K16852" s="10" t="s">
        <v>24</v>
      </c>
    </row>
    <row r="16853" spans="1:11" ht="54" customHeight="1">
      <c r="A16853" s="9" t="s">
        <v>34070</v>
      </c>
      <c r="B16853" s="9" t="s">
        <v>34071</v>
      </c>
      <c r="C16853" s="9" t="s">
        <v>17</v>
      </c>
      <c r="D16853" s="9" t="s">
        <v>18</v>
      </c>
      <c r="E16853" s="10" t="s">
        <v>163</v>
      </c>
      <c r="F16853" s="9" t="s">
        <v>4896</v>
      </c>
      <c r="G16853" s="10" t="s">
        <v>34</v>
      </c>
      <c r="H16853" s="9" t="s">
        <v>22</v>
      </c>
      <c r="I16853" s="9" t="s">
        <v>34072</v>
      </c>
      <c r="J16853" s="10" t="str">
        <f>HYPERLINK("https://www.boe.es/gazeta/dias/1834/08/09/pdfs/GMD-C-1834-174.pdf#page=1","Abrir facsímil")</f>
        <v>Abrir facsímil</v>
      </c>
      <c r="K16853" s="10" t="s">
        <v>24</v>
      </c>
    </row>
    <row r="16854" spans="1:11" ht="54" customHeight="1">
      <c r="A16854" s="9" t="s">
        <v>34073</v>
      </c>
      <c r="B16854" s="9" t="s">
        <v>34074</v>
      </c>
      <c r="C16854" s="9" t="s">
        <v>17</v>
      </c>
      <c r="D16854" s="9" t="s">
        <v>18</v>
      </c>
      <c r="E16854" s="10" t="s">
        <v>1195</v>
      </c>
      <c r="F16854" s="9" t="s">
        <v>1916</v>
      </c>
      <c r="G16854" s="10" t="s">
        <v>21</v>
      </c>
      <c r="H16854" s="9" t="s">
        <v>22</v>
      </c>
      <c r="I16854" s="9" t="s">
        <v>34075</v>
      </c>
      <c r="J16854" s="10" t="str">
        <f>HYPERLINK("https://www.boe.es/gazeta/dias/1834/10/17/pdfs/GMD-1834-245.pdf#page=3","Abrir facsímil")</f>
        <v>Abrir facsímil</v>
      </c>
      <c r="K16854" s="10" t="s">
        <v>24</v>
      </c>
    </row>
    <row r="16855" spans="1:11" ht="54" customHeight="1">
      <c r="A16855" s="9" t="s">
        <v>34076</v>
      </c>
      <c r="B16855" s="9" t="s">
        <v>34077</v>
      </c>
      <c r="C16855" s="9" t="s">
        <v>66</v>
      </c>
      <c r="D16855" s="9" t="s">
        <v>67</v>
      </c>
      <c r="E16855" s="10" t="s">
        <v>838</v>
      </c>
      <c r="F16855" s="9" t="s">
        <v>839</v>
      </c>
      <c r="G16855" s="10" t="s">
        <v>21</v>
      </c>
      <c r="H16855" s="9" t="s">
        <v>22</v>
      </c>
      <c r="I16855" s="9" t="s">
        <v>34078</v>
      </c>
      <c r="J16855" s="10" t="str">
        <f>HYPERLINK("https://www.boe.es/gazeta/dias/1834/07/18/pdfs/GMD-1834-151.pdf#page=3","Abrir facsímil")</f>
        <v>Abrir facsímil</v>
      </c>
      <c r="K16855" s="10" t="s">
        <v>24</v>
      </c>
    </row>
    <row r="16856" spans="1:11" ht="54" customHeight="1">
      <c r="A16856" s="9" t="s">
        <v>34079</v>
      </c>
      <c r="B16856" s="9" t="s">
        <v>34080</v>
      </c>
      <c r="C16856" s="9" t="s">
        <v>17</v>
      </c>
      <c r="D16856" s="9" t="s">
        <v>18</v>
      </c>
      <c r="E16856" s="10" t="s">
        <v>1883</v>
      </c>
      <c r="F16856" s="9" t="s">
        <v>1884</v>
      </c>
      <c r="G16856" s="10" t="s">
        <v>75</v>
      </c>
      <c r="H16856" s="9" t="s">
        <v>22</v>
      </c>
      <c r="I16856" s="9" t="s">
        <v>34081</v>
      </c>
      <c r="J16856" s="10" t="str">
        <f>HYPERLINK("https://www.boe.es/gazeta/dias/1834/01/11/pdfs/GMD-1834-6.pdf#page=4","Abrir facsímil")</f>
        <v>Abrir facsímil</v>
      </c>
      <c r="K16856" s="10" t="s">
        <v>24</v>
      </c>
    </row>
    <row r="16857" spans="1:11" ht="54" customHeight="1">
      <c r="A16857" s="9" t="s">
        <v>34082</v>
      </c>
      <c r="B16857" s="9" t="s">
        <v>34083</v>
      </c>
      <c r="C16857" s="9" t="s">
        <v>66</v>
      </c>
      <c r="D16857" s="9" t="s">
        <v>67</v>
      </c>
      <c r="E16857" s="10" t="s">
        <v>690</v>
      </c>
      <c r="F16857" s="9" t="s">
        <v>5765</v>
      </c>
      <c r="G16857" s="10" t="s">
        <v>21</v>
      </c>
      <c r="H16857" s="9" t="s">
        <v>35</v>
      </c>
      <c r="I16857" s="9" t="s">
        <v>34084</v>
      </c>
      <c r="J16857" s="10" t="str">
        <f>HYPERLINK("https://www.boe.es/gazeta/dias/1834/09/03/pdfs/GMD-1834-201.pdf#page=3","Abrir facsímil")</f>
        <v>Abrir facsímil</v>
      </c>
      <c r="K16857" s="10" t="s">
        <v>37</v>
      </c>
    </row>
    <row r="16858" spans="1:11" ht="54" customHeight="1">
      <c r="A16858" s="9" t="s">
        <v>34085</v>
      </c>
      <c r="B16858" s="9" t="s">
        <v>34086</v>
      </c>
      <c r="C16858" s="9" t="s">
        <v>66</v>
      </c>
      <c r="D16858" s="9" t="s">
        <v>67</v>
      </c>
      <c r="E16858" s="10" t="s">
        <v>690</v>
      </c>
      <c r="F16858" s="9" t="s">
        <v>5765</v>
      </c>
      <c r="G16858" s="10" t="s">
        <v>21</v>
      </c>
      <c r="H16858" s="9" t="s">
        <v>22</v>
      </c>
      <c r="I16858" s="9" t="s">
        <v>34087</v>
      </c>
      <c r="J16858" s="10" t="str">
        <f>HYPERLINK("https://www.boe.es/gazeta/dias/1834/09/03/pdfs/GMD-1834-201.pdf#page=3","Abrir facsímil")</f>
        <v>Abrir facsímil</v>
      </c>
      <c r="K16858" s="10" t="s">
        <v>24</v>
      </c>
    </row>
    <row r="16859" spans="1:11" ht="54" customHeight="1">
      <c r="A16859" s="9" t="s">
        <v>34088</v>
      </c>
      <c r="B16859" s="9" t="s">
        <v>34088</v>
      </c>
      <c r="C16859" s="9" t="s">
        <v>17</v>
      </c>
      <c r="D16859" s="9" t="s">
        <v>18</v>
      </c>
      <c r="E16859" s="10" t="s">
        <v>690</v>
      </c>
      <c r="F16859" s="9" t="s">
        <v>5765</v>
      </c>
      <c r="G16859" s="10" t="s">
        <v>75</v>
      </c>
      <c r="H16859" s="9" t="s">
        <v>22</v>
      </c>
      <c r="I16859" s="9" t="s">
        <v>34089</v>
      </c>
      <c r="J16859" s="10" t="str">
        <f>HYPERLINK("https://www.boe.es/gazeta/dias/1834/09/03/pdfs/GMD-1834-201.pdf#page=4","Abrir facsímil")</f>
        <v>Abrir facsímil</v>
      </c>
      <c r="K16859" s="10" t="s">
        <v>24</v>
      </c>
    </row>
    <row r="16860" spans="1:11" ht="54" customHeight="1">
      <c r="A16860" s="9" t="s">
        <v>34088</v>
      </c>
      <c r="B16860" s="9" t="s">
        <v>34088</v>
      </c>
      <c r="C16860" s="9" t="s">
        <v>17</v>
      </c>
      <c r="D16860" s="9" t="s">
        <v>18</v>
      </c>
      <c r="E16860" s="10" t="s">
        <v>1103</v>
      </c>
      <c r="F16860" s="9" t="s">
        <v>1259</v>
      </c>
      <c r="G16860" s="10" t="s">
        <v>21</v>
      </c>
      <c r="H16860" s="9" t="s">
        <v>22</v>
      </c>
      <c r="I16860" s="9" t="s">
        <v>34090</v>
      </c>
      <c r="J16860" s="10" t="str">
        <f>HYPERLINK("https://www.boe.es/gazeta/dias/1834/10/10/pdfs/GMD-1834-238.pdf#page=3","Abrir facsímil")</f>
        <v>Abrir facsímil</v>
      </c>
      <c r="K16860" s="10" t="s">
        <v>24</v>
      </c>
    </row>
    <row r="16861" spans="1:11" ht="54" customHeight="1">
      <c r="A16861" s="9" t="s">
        <v>34091</v>
      </c>
      <c r="B16861" s="9" t="s">
        <v>34092</v>
      </c>
      <c r="C16861" s="9" t="s">
        <v>17</v>
      </c>
      <c r="D16861" s="9" t="s">
        <v>18</v>
      </c>
      <c r="E16861" s="10" t="s">
        <v>68</v>
      </c>
      <c r="F16861" s="9" t="s">
        <v>69</v>
      </c>
      <c r="G16861" s="10" t="s">
        <v>21</v>
      </c>
      <c r="H16861" s="9" t="s">
        <v>22</v>
      </c>
      <c r="I16861" s="9" t="s">
        <v>34093</v>
      </c>
      <c r="J16861" s="10" t="str">
        <f>HYPERLINK("https://www.boe.es/gazeta/dias/1834/11/01/pdfs/GMD-1834-260.pdf#page=3","Abrir facsímil")</f>
        <v>Abrir facsímil</v>
      </c>
      <c r="K16861" s="10" t="s">
        <v>24</v>
      </c>
    </row>
    <row r="16862" spans="1:11" ht="54" customHeight="1">
      <c r="A16862" s="9" t="s">
        <v>34094</v>
      </c>
      <c r="B16862" s="9" t="s">
        <v>34095</v>
      </c>
      <c r="C16862" s="9" t="s">
        <v>17</v>
      </c>
      <c r="D16862" s="9" t="s">
        <v>18</v>
      </c>
      <c r="E16862" s="10" t="s">
        <v>823</v>
      </c>
      <c r="F16862" s="9" t="s">
        <v>824</v>
      </c>
      <c r="G16862" s="10" t="s">
        <v>28</v>
      </c>
      <c r="H16862" s="9" t="s">
        <v>22</v>
      </c>
      <c r="I16862" s="9" t="s">
        <v>34096</v>
      </c>
      <c r="J16862" s="10" t="str">
        <f>HYPERLINK("https://www.boe.es/gazeta/dias/1834/07/23/pdfs/GMD-1834-156.pdf#page=5","Abrir facsímil")</f>
        <v>Abrir facsímil</v>
      </c>
      <c r="K16862" s="10" t="s">
        <v>24</v>
      </c>
    </row>
    <row r="16863" spans="1:11" ht="54" customHeight="1">
      <c r="A16863" s="9" t="s">
        <v>34097</v>
      </c>
      <c r="B16863" s="9" t="s">
        <v>34098</v>
      </c>
      <c r="C16863" s="9" t="s">
        <v>857</v>
      </c>
      <c r="D16863" s="9" t="s">
        <v>40</v>
      </c>
      <c r="E16863" s="10" t="s">
        <v>433</v>
      </c>
      <c r="F16863" s="9" t="s">
        <v>2773</v>
      </c>
      <c r="G16863" s="10" t="s">
        <v>75</v>
      </c>
      <c r="H16863" s="9" t="s">
        <v>22</v>
      </c>
      <c r="I16863" s="9" t="s">
        <v>34099</v>
      </c>
      <c r="J16863" s="10" t="str">
        <f>HYPERLINK("https://www.boe.es/gazeta/dias/1834/10/07/pdfs/GMD-1834-235.pdf#page=4","Abrir facsímil")</f>
        <v>Abrir facsímil</v>
      </c>
      <c r="K16863" s="10" t="s">
        <v>24</v>
      </c>
    </row>
    <row r="16864" spans="1:11" ht="54" customHeight="1">
      <c r="A16864" s="9" t="s">
        <v>34100</v>
      </c>
      <c r="B16864" s="9" t="s">
        <v>34101</v>
      </c>
      <c r="C16864" s="9" t="s">
        <v>17</v>
      </c>
      <c r="D16864" s="9" t="s">
        <v>18</v>
      </c>
      <c r="E16864" s="10" t="s">
        <v>777</v>
      </c>
      <c r="F16864" s="9" t="s">
        <v>778</v>
      </c>
      <c r="G16864" s="10" t="s">
        <v>75</v>
      </c>
      <c r="H16864" s="9" t="s">
        <v>22</v>
      </c>
      <c r="I16864" s="9" t="s">
        <v>34102</v>
      </c>
      <c r="J16864" s="10" t="str">
        <f>HYPERLINK("https://www.boe.es/gazeta/dias/1834/10/29/pdfs/GMD-1834-257.pdf#page=4","Abrir facsímil")</f>
        <v>Abrir facsímil</v>
      </c>
      <c r="K16864" s="10" t="s">
        <v>24</v>
      </c>
    </row>
    <row r="16865" spans="1:11" ht="54" customHeight="1">
      <c r="A16865" s="9" t="s">
        <v>34103</v>
      </c>
      <c r="B16865" s="9" t="s">
        <v>34104</v>
      </c>
      <c r="C16865" s="9" t="s">
        <v>17</v>
      </c>
      <c r="D16865" s="9" t="s">
        <v>18</v>
      </c>
      <c r="E16865" s="10" t="s">
        <v>167</v>
      </c>
      <c r="F16865" s="9" t="s">
        <v>1200</v>
      </c>
      <c r="G16865" s="10" t="s">
        <v>86</v>
      </c>
      <c r="H16865" s="9" t="s">
        <v>22</v>
      </c>
      <c r="I16865" s="9" t="s">
        <v>34105</v>
      </c>
      <c r="J16865" s="10" t="str">
        <f>HYPERLINK("https://www.boe.es/gazeta/dias/1834/09/07/pdfs/GMD-C-1834-205.pdf#page=2","Abrir facsímil")</f>
        <v>Abrir facsímil</v>
      </c>
      <c r="K16865" s="10" t="s">
        <v>24</v>
      </c>
    </row>
    <row r="16866" spans="1:11" ht="54" customHeight="1">
      <c r="A16866" s="9" t="s">
        <v>34106</v>
      </c>
      <c r="B16866" s="9" t="s">
        <v>34107</v>
      </c>
      <c r="C16866" s="9" t="s">
        <v>66</v>
      </c>
      <c r="D16866" s="9" t="s">
        <v>67</v>
      </c>
      <c r="E16866" s="10" t="s">
        <v>1850</v>
      </c>
      <c r="F16866" s="9" t="s">
        <v>1851</v>
      </c>
      <c r="G16866" s="10" t="s">
        <v>470</v>
      </c>
      <c r="H16866" s="9" t="s">
        <v>35</v>
      </c>
      <c r="I16866" s="9" t="s">
        <v>34108</v>
      </c>
      <c r="J16866" s="10" t="str">
        <f>HYPERLINK("https://www.boe.es/gazeta/dias/1834/02/18/pdfs/GMD-1834-22.pdf#page=8","Abrir facsímil")</f>
        <v>Abrir facsímil</v>
      </c>
      <c r="K16866" s="10" t="s">
        <v>37</v>
      </c>
    </row>
    <row r="16867" spans="1:11" ht="54" customHeight="1">
      <c r="A16867" s="9" t="s">
        <v>34109</v>
      </c>
      <c r="B16867" s="9" t="s">
        <v>34110</v>
      </c>
      <c r="C16867" s="9" t="s">
        <v>66</v>
      </c>
      <c r="D16867" s="9" t="s">
        <v>67</v>
      </c>
      <c r="E16867" s="10" t="s">
        <v>1850</v>
      </c>
      <c r="F16867" s="9" t="s">
        <v>1851</v>
      </c>
      <c r="G16867" s="10" t="s">
        <v>470</v>
      </c>
      <c r="H16867" s="9" t="s">
        <v>22</v>
      </c>
      <c r="I16867" s="9" t="s">
        <v>34111</v>
      </c>
      <c r="J16867" s="10" t="str">
        <f>HYPERLINK("https://www.boe.es/gazeta/dias/1834/02/18/pdfs/GMD-1834-22.pdf#page=8","Abrir facsímil")</f>
        <v>Abrir facsímil</v>
      </c>
      <c r="K16867" s="10" t="s">
        <v>24</v>
      </c>
    </row>
    <row r="16868" spans="1:11" ht="54" customHeight="1">
      <c r="A16868" s="9" t="s">
        <v>34112</v>
      </c>
      <c r="B16868" s="9" t="s">
        <v>34113</v>
      </c>
      <c r="C16868" s="9" t="s">
        <v>17</v>
      </c>
      <c r="D16868" s="9" t="s">
        <v>18</v>
      </c>
      <c r="E16868" s="10" t="s">
        <v>167</v>
      </c>
      <c r="F16868" s="9" t="s">
        <v>1200</v>
      </c>
      <c r="G16868" s="10" t="s">
        <v>21</v>
      </c>
      <c r="H16868" s="9" t="s">
        <v>22</v>
      </c>
      <c r="I16868" s="9" t="s">
        <v>34114</v>
      </c>
      <c r="J16868" s="10" t="str">
        <f>HYPERLINK("https://www.boe.es/gazeta/dias/1834/09/07/pdfs/GMD-C-1834-205.pdf#page=3","Abrir facsímil")</f>
        <v>Abrir facsímil</v>
      </c>
      <c r="K16868" s="10" t="s">
        <v>24</v>
      </c>
    </row>
    <row r="16869" spans="1:11" ht="54" customHeight="1">
      <c r="A16869" s="9" t="s">
        <v>34115</v>
      </c>
      <c r="B16869" s="9" t="s">
        <v>34116</v>
      </c>
      <c r="C16869" s="9" t="s">
        <v>17</v>
      </c>
      <c r="D16869" s="9" t="s">
        <v>18</v>
      </c>
      <c r="E16869" s="10" t="s">
        <v>905</v>
      </c>
      <c r="F16869" s="9" t="s">
        <v>1651</v>
      </c>
      <c r="G16869" s="10" t="s">
        <v>21</v>
      </c>
      <c r="H16869" s="9" t="s">
        <v>22</v>
      </c>
      <c r="I16869" s="9" t="s">
        <v>34117</v>
      </c>
      <c r="J16869" s="10" t="str">
        <f>HYPERLINK("https://www.boe.es/gazeta/dias/1834/08/02/pdfs/GMD-1834-166.pdf#page=3","Abrir facsímil")</f>
        <v>Abrir facsímil</v>
      </c>
      <c r="K16869" s="10" t="s">
        <v>24</v>
      </c>
    </row>
    <row r="16870" spans="1:11" ht="54" customHeight="1">
      <c r="A16870" s="9" t="s">
        <v>34118</v>
      </c>
      <c r="B16870" s="9" t="s">
        <v>34119</v>
      </c>
      <c r="C16870" s="9" t="s">
        <v>857</v>
      </c>
      <c r="D16870" s="9" t="s">
        <v>40</v>
      </c>
      <c r="E16870" s="10" t="s">
        <v>823</v>
      </c>
      <c r="F16870" s="9" t="s">
        <v>824</v>
      </c>
      <c r="G16870" s="10" t="s">
        <v>176</v>
      </c>
      <c r="H16870" s="9" t="s">
        <v>35</v>
      </c>
      <c r="I16870" s="9" t="s">
        <v>34120</v>
      </c>
      <c r="J16870" s="10" t="str">
        <f>HYPERLINK("https://www.boe.es/gazeta/dias/1834/07/23/pdfs/GMD-1834-156.pdf#page=6","Abrir facsímil")</f>
        <v>Abrir facsímil</v>
      </c>
      <c r="K16870" s="10" t="s">
        <v>37</v>
      </c>
    </row>
    <row r="16871" spans="1:11" ht="54" customHeight="1">
      <c r="A16871" s="9" t="s">
        <v>34121</v>
      </c>
      <c r="B16871" s="9" t="s">
        <v>34122</v>
      </c>
      <c r="C16871" s="9" t="s">
        <v>17</v>
      </c>
      <c r="D16871" s="9" t="s">
        <v>55</v>
      </c>
      <c r="E16871" s="10" t="s">
        <v>939</v>
      </c>
      <c r="F16871" s="9" t="s">
        <v>940</v>
      </c>
      <c r="G16871" s="10" t="s">
        <v>34</v>
      </c>
      <c r="H16871" s="9" t="s">
        <v>22</v>
      </c>
      <c r="I16871" s="9" t="s">
        <v>34123</v>
      </c>
      <c r="J16871" s="10" t="str">
        <f>HYPERLINK("https://www.boe.es/gazeta/dias/1834/06/10/pdfs/GMD-1834-113.pdf#page=1","Abrir facsímil")</f>
        <v>Abrir facsímil</v>
      </c>
      <c r="K16871" s="10" t="s">
        <v>24</v>
      </c>
    </row>
    <row r="16872" spans="1:11" ht="54" customHeight="1">
      <c r="A16872" s="9" t="s">
        <v>34124</v>
      </c>
      <c r="B16872" s="9" t="s">
        <v>34125</v>
      </c>
      <c r="C16872" s="9" t="s">
        <v>857</v>
      </c>
      <c r="D16872" s="9" t="s">
        <v>40</v>
      </c>
      <c r="E16872" s="10" t="s">
        <v>823</v>
      </c>
      <c r="F16872" s="9" t="s">
        <v>824</v>
      </c>
      <c r="G16872" s="10" t="s">
        <v>176</v>
      </c>
      <c r="H16872" s="9" t="s">
        <v>22</v>
      </c>
      <c r="I16872" s="9" t="s">
        <v>34126</v>
      </c>
      <c r="J16872" s="10" t="str">
        <f>HYPERLINK("https://www.boe.es/gazeta/dias/1834/07/23/pdfs/GMD-1834-156.pdf#page=6","Abrir facsímil")</f>
        <v>Abrir facsímil</v>
      </c>
      <c r="K16872" s="10" t="s">
        <v>24</v>
      </c>
    </row>
    <row r="16873" spans="1:11" ht="54" customHeight="1">
      <c r="A16873" s="9" t="s">
        <v>34127</v>
      </c>
      <c r="B16873" s="9" t="s">
        <v>34127</v>
      </c>
      <c r="C16873" s="9" t="s">
        <v>17</v>
      </c>
      <c r="D16873" s="9" t="s">
        <v>18</v>
      </c>
      <c r="E16873" s="10" t="s">
        <v>19</v>
      </c>
      <c r="F16873" s="9" t="s">
        <v>20</v>
      </c>
      <c r="G16873" s="10" t="s">
        <v>21</v>
      </c>
      <c r="H16873" s="9" t="s">
        <v>22</v>
      </c>
      <c r="I16873" s="9" t="s">
        <v>34128</v>
      </c>
      <c r="J16873" s="10" t="str">
        <f>HYPERLINK("https://www.boe.es/gazeta/dias/1834/08/17/pdfs/GMD-D-1834-182.pdf#page=3","Abrir facsímil")</f>
        <v>Abrir facsímil</v>
      </c>
      <c r="K16873" s="10" t="s">
        <v>24</v>
      </c>
    </row>
    <row r="16874" spans="1:11" ht="54" customHeight="1">
      <c r="A16874" s="9" t="s">
        <v>34129</v>
      </c>
      <c r="B16874" s="9" t="s">
        <v>34130</v>
      </c>
      <c r="C16874" s="9" t="s">
        <v>90</v>
      </c>
      <c r="D16874" s="9" t="s">
        <v>18</v>
      </c>
      <c r="E16874" s="10" t="s">
        <v>552</v>
      </c>
      <c r="F16874" s="9" t="s">
        <v>1478</v>
      </c>
      <c r="G16874" s="10" t="s">
        <v>34</v>
      </c>
      <c r="H16874" s="9" t="s">
        <v>35</v>
      </c>
      <c r="I16874" s="9" t="s">
        <v>34131</v>
      </c>
      <c r="J16874" s="10" t="str">
        <f>HYPERLINK("https://www.boe.es/gazeta/dias/1834/07/30/pdfs/GMD-C-1834-163.pdf#page=1","Abrir facsímil")</f>
        <v>Abrir facsímil</v>
      </c>
      <c r="K16874" s="10" t="s">
        <v>37</v>
      </c>
    </row>
    <row r="16875" spans="1:11" ht="54" customHeight="1">
      <c r="A16875" s="9" t="s">
        <v>34132</v>
      </c>
      <c r="B16875" s="9" t="s">
        <v>34133</v>
      </c>
      <c r="C16875" s="9" t="s">
        <v>90</v>
      </c>
      <c r="D16875" s="9" t="s">
        <v>18</v>
      </c>
      <c r="E16875" s="10" t="s">
        <v>552</v>
      </c>
      <c r="F16875" s="9" t="s">
        <v>1478</v>
      </c>
      <c r="G16875" s="10" t="s">
        <v>34</v>
      </c>
      <c r="H16875" s="9" t="s">
        <v>22</v>
      </c>
      <c r="I16875" s="9" t="s">
        <v>34134</v>
      </c>
      <c r="J16875" s="10" t="str">
        <f>HYPERLINK("https://www.boe.es/gazeta/dias/1834/07/30/pdfs/GMD-C-1834-163.pdf#page=1","Abrir facsímil")</f>
        <v>Abrir facsímil</v>
      </c>
      <c r="K16875" s="10" t="s">
        <v>24</v>
      </c>
    </row>
    <row r="16876" spans="1:11" ht="54" customHeight="1">
      <c r="A16876" s="9" t="s">
        <v>34135</v>
      </c>
      <c r="B16876" s="9" t="s">
        <v>34136</v>
      </c>
      <c r="C16876" s="9" t="s">
        <v>66</v>
      </c>
      <c r="D16876" s="9" t="s">
        <v>67</v>
      </c>
      <c r="E16876" s="10" t="s">
        <v>1234</v>
      </c>
      <c r="F16876" s="9" t="s">
        <v>1235</v>
      </c>
      <c r="G16876" s="10" t="s">
        <v>34</v>
      </c>
      <c r="H16876" s="9" t="s">
        <v>22</v>
      </c>
      <c r="I16876" s="9" t="s">
        <v>34137</v>
      </c>
      <c r="J16876" s="10" t="str">
        <f>HYPERLINK("https://www.boe.es/gazeta/dias/1834/05/15/pdfs/GMD-C-1834-84.pdf#page=1","Abrir facsímil")</f>
        <v>Abrir facsímil</v>
      </c>
      <c r="K16876" s="10" t="s">
        <v>24</v>
      </c>
    </row>
    <row r="16877" spans="1:11" ht="54" customHeight="1">
      <c r="A16877" s="9" t="s">
        <v>34138</v>
      </c>
      <c r="B16877" s="9" t="s">
        <v>34138</v>
      </c>
      <c r="C16877" s="9" t="s">
        <v>46</v>
      </c>
      <c r="D16877" s="9" t="s">
        <v>101</v>
      </c>
      <c r="E16877" s="10" t="s">
        <v>73</v>
      </c>
      <c r="F16877" s="9" t="s">
        <v>74</v>
      </c>
      <c r="G16877" s="10" t="s">
        <v>86</v>
      </c>
      <c r="H16877" s="9" t="s">
        <v>22</v>
      </c>
      <c r="I16877" s="9" t="s">
        <v>34139</v>
      </c>
      <c r="J16877" s="10" t="str">
        <f>HYPERLINK("https://www.boe.es/gazeta/dias/1834/11/04/pdfs/GMD-1834-263.pdf#page=2","Abrir facsímil")</f>
        <v>Abrir facsímil</v>
      </c>
      <c r="K16877" s="10" t="s">
        <v>24</v>
      </c>
    </row>
    <row r="16878" spans="1:11" ht="54" customHeight="1">
      <c r="A16878" s="9" t="s">
        <v>34138</v>
      </c>
      <c r="B16878" s="9" t="s">
        <v>34138</v>
      </c>
      <c r="C16878" s="9" t="s">
        <v>17</v>
      </c>
      <c r="D16878" s="9" t="s">
        <v>18</v>
      </c>
      <c r="E16878" s="10" t="s">
        <v>793</v>
      </c>
      <c r="F16878" s="9" t="s">
        <v>1895</v>
      </c>
      <c r="G16878" s="10" t="s">
        <v>86</v>
      </c>
      <c r="H16878" s="9" t="s">
        <v>22</v>
      </c>
      <c r="I16878" s="9" t="s">
        <v>34140</v>
      </c>
      <c r="J16878" s="10" t="str">
        <f>HYPERLINK("https://www.boe.es/gazeta/dias/1834/10/08/pdfs/GMD-C-1834-236.pdf#page=2","Abrir facsímil")</f>
        <v>Abrir facsímil</v>
      </c>
      <c r="K16878" s="10" t="s">
        <v>24</v>
      </c>
    </row>
    <row r="16879" spans="1:11" ht="54" customHeight="1">
      <c r="A16879" s="9" t="s">
        <v>34138</v>
      </c>
      <c r="B16879" s="9" t="s">
        <v>34138</v>
      </c>
      <c r="C16879" s="9" t="s">
        <v>17</v>
      </c>
      <c r="D16879" s="9" t="s">
        <v>18</v>
      </c>
      <c r="E16879" s="10" t="s">
        <v>237</v>
      </c>
      <c r="F16879" s="9" t="s">
        <v>238</v>
      </c>
      <c r="G16879" s="10" t="s">
        <v>75</v>
      </c>
      <c r="H16879" s="9" t="s">
        <v>22</v>
      </c>
      <c r="I16879" s="9" t="s">
        <v>34141</v>
      </c>
      <c r="J16879" s="10" t="str">
        <f>HYPERLINK("https://www.boe.es/gazeta/dias/1834/08/15/pdfs/GMD-C-1834-180.pdf#page=4","Abrir facsímil")</f>
        <v>Abrir facsímil</v>
      </c>
      <c r="K16879" s="10" t="s">
        <v>24</v>
      </c>
    </row>
    <row r="16880" spans="1:11" ht="54" customHeight="1">
      <c r="A16880" s="9" t="s">
        <v>34138</v>
      </c>
      <c r="B16880" s="9" t="s">
        <v>34138</v>
      </c>
      <c r="C16880" s="9" t="s">
        <v>90</v>
      </c>
      <c r="D16880" s="9" t="s">
        <v>101</v>
      </c>
      <c r="E16880" s="10" t="s">
        <v>19</v>
      </c>
      <c r="F16880" s="9" t="s">
        <v>20</v>
      </c>
      <c r="G16880" s="10" t="s">
        <v>21</v>
      </c>
      <c r="H16880" s="9" t="s">
        <v>22</v>
      </c>
      <c r="I16880" s="9" t="s">
        <v>34142</v>
      </c>
      <c r="J16880" s="10" t="str">
        <f>HYPERLINK("https://www.boe.es/gazeta/dias/1834/08/17/pdfs/GMD-D-1834-182.pdf#page=3","Abrir facsímil")</f>
        <v>Abrir facsímil</v>
      </c>
      <c r="K16880" s="10" t="s">
        <v>24</v>
      </c>
    </row>
    <row r="16881" spans="1:11" ht="54" customHeight="1">
      <c r="A16881" s="9" t="s">
        <v>34138</v>
      </c>
      <c r="B16881" s="9" t="s">
        <v>34138</v>
      </c>
      <c r="C16881" s="9" t="s">
        <v>17</v>
      </c>
      <c r="D16881" s="9" t="s">
        <v>18</v>
      </c>
      <c r="E16881" s="10" t="s">
        <v>891</v>
      </c>
      <c r="F16881" s="9" t="s">
        <v>892</v>
      </c>
      <c r="G16881" s="10" t="s">
        <v>34</v>
      </c>
      <c r="H16881" s="9" t="s">
        <v>22</v>
      </c>
      <c r="I16881" s="9" t="s">
        <v>34143</v>
      </c>
      <c r="J16881" s="10" t="str">
        <f>HYPERLINK("https://www.boe.es/gazeta/dias/1834/10/31/pdfs/GMD-C-1834-259.pdf#page=1","Abrir facsímil")</f>
        <v>Abrir facsímil</v>
      </c>
      <c r="K16881" s="10" t="s">
        <v>24</v>
      </c>
    </row>
    <row r="16882" spans="1:11" ht="54" customHeight="1">
      <c r="A16882" s="9" t="s">
        <v>34144</v>
      </c>
      <c r="B16882" s="9" t="s">
        <v>34144</v>
      </c>
      <c r="C16882" s="9" t="s">
        <v>17</v>
      </c>
      <c r="D16882" s="9" t="s">
        <v>18</v>
      </c>
      <c r="E16882" s="10" t="s">
        <v>891</v>
      </c>
      <c r="F16882" s="9" t="s">
        <v>892</v>
      </c>
      <c r="G16882" s="10" t="s">
        <v>86</v>
      </c>
      <c r="H16882" s="9" t="s">
        <v>22</v>
      </c>
      <c r="I16882" s="9" t="s">
        <v>34145</v>
      </c>
      <c r="J16882" s="10" t="str">
        <f>HYPERLINK("https://www.boe.es/gazeta/dias/1834/10/31/pdfs/GMD-C-1834-259.pdf#page=2","Abrir facsímil")</f>
        <v>Abrir facsímil</v>
      </c>
      <c r="K16882" s="10" t="s">
        <v>24</v>
      </c>
    </row>
    <row r="16883" spans="1:11" ht="54" customHeight="1">
      <c r="A16883" s="9" t="s">
        <v>34146</v>
      </c>
      <c r="B16883" s="9" t="s">
        <v>34147</v>
      </c>
      <c r="C16883" s="9" t="s">
        <v>46</v>
      </c>
      <c r="D16883" s="9" t="s">
        <v>101</v>
      </c>
      <c r="E16883" s="10" t="s">
        <v>294</v>
      </c>
      <c r="F16883" s="9" t="s">
        <v>295</v>
      </c>
      <c r="G16883" s="10" t="s">
        <v>75</v>
      </c>
      <c r="H16883" s="9" t="s">
        <v>35</v>
      </c>
      <c r="I16883" s="9" t="s">
        <v>34148</v>
      </c>
      <c r="J16883" s="10" t="str">
        <f>HYPERLINK("https://www.boe.es/gazeta/dias/1834/09/27/pdfs/GMD-1834-225.pdf#page=4","Abrir facsímil")</f>
        <v>Abrir facsímil</v>
      </c>
      <c r="K16883" s="10" t="s">
        <v>37</v>
      </c>
    </row>
    <row r="16884" spans="1:11" ht="54" customHeight="1">
      <c r="A16884" s="9" t="s">
        <v>34149</v>
      </c>
      <c r="B16884" s="9" t="s">
        <v>34150</v>
      </c>
      <c r="C16884" s="9" t="s">
        <v>122</v>
      </c>
      <c r="D16884" s="9" t="s">
        <v>18</v>
      </c>
      <c r="E16884" s="10" t="s">
        <v>19</v>
      </c>
      <c r="F16884" s="9" t="s">
        <v>20</v>
      </c>
      <c r="G16884" s="10" t="s">
        <v>21</v>
      </c>
      <c r="H16884" s="9" t="s">
        <v>22</v>
      </c>
      <c r="I16884" s="9" t="s">
        <v>34151</v>
      </c>
      <c r="J16884" s="10" t="str">
        <f>HYPERLINK("https://www.boe.es/gazeta/dias/1834/08/17/pdfs/GMD-D-1834-182.pdf#page=3","Abrir facsímil")</f>
        <v>Abrir facsímil</v>
      </c>
      <c r="K16884" s="10" t="s">
        <v>24</v>
      </c>
    </row>
    <row r="16885" spans="1:11" ht="54" customHeight="1">
      <c r="A16885" s="9" t="s">
        <v>34152</v>
      </c>
      <c r="B16885" s="9" t="s">
        <v>34153</v>
      </c>
      <c r="C16885" s="9" t="s">
        <v>46</v>
      </c>
      <c r="D16885" s="9" t="s">
        <v>18</v>
      </c>
      <c r="E16885" s="10" t="s">
        <v>2212</v>
      </c>
      <c r="F16885" s="9" t="s">
        <v>2213</v>
      </c>
      <c r="G16885" s="10" t="s">
        <v>34</v>
      </c>
      <c r="H16885" s="9" t="s">
        <v>22</v>
      </c>
      <c r="I16885" s="9" t="s">
        <v>34154</v>
      </c>
      <c r="J16885" s="10" t="str">
        <f>HYPERLINK("https://www.boe.es/gazeta/dias/1834/08/04/pdfs/GMD-C-1834-168.pdf#page=1","Abrir facsímil")</f>
        <v>Abrir facsímil</v>
      </c>
      <c r="K16885" s="10" t="s">
        <v>24</v>
      </c>
    </row>
    <row r="16886" spans="1:11" ht="54" customHeight="1">
      <c r="A16886" s="9" t="s">
        <v>34155</v>
      </c>
      <c r="B16886" s="9" t="s">
        <v>34156</v>
      </c>
      <c r="C16886" s="9" t="s">
        <v>17</v>
      </c>
      <c r="D16886" s="9" t="s">
        <v>18</v>
      </c>
      <c r="E16886" s="10" t="s">
        <v>1318</v>
      </c>
      <c r="F16886" s="9" t="s">
        <v>1319</v>
      </c>
      <c r="G16886" s="10" t="s">
        <v>21</v>
      </c>
      <c r="H16886" s="9" t="s">
        <v>22</v>
      </c>
      <c r="I16886" s="9" t="s">
        <v>34157</v>
      </c>
      <c r="J16886" s="10" t="str">
        <f>HYPERLINK("https://www.boe.es/gazeta/dias/1834/05/10/pdfs/GMD-1834-79.pdf#page=3","Abrir facsímil")</f>
        <v>Abrir facsímil</v>
      </c>
      <c r="K16886" s="10" t="s">
        <v>24</v>
      </c>
    </row>
    <row r="16887" spans="1:11" ht="54" customHeight="1">
      <c r="A16887" s="9" t="s">
        <v>34158</v>
      </c>
      <c r="B16887" s="9" t="s">
        <v>34159</v>
      </c>
      <c r="C16887" s="9" t="s">
        <v>17</v>
      </c>
      <c r="D16887" s="9" t="s">
        <v>18</v>
      </c>
      <c r="E16887" s="10" t="s">
        <v>3471</v>
      </c>
      <c r="F16887" s="9" t="s">
        <v>3472</v>
      </c>
      <c r="G16887" s="10" t="s">
        <v>21</v>
      </c>
      <c r="H16887" s="9" t="s">
        <v>35</v>
      </c>
      <c r="I16887" s="9" t="s">
        <v>34160</v>
      </c>
      <c r="J16887" s="10" t="str">
        <f>HYPERLINK("https://www.boe.es/gazeta/dias/1834/07/07/pdfs/GMD-1834-140.pdf#page=3","Abrir facsímil")</f>
        <v>Abrir facsímil</v>
      </c>
      <c r="K16887" s="10" t="s">
        <v>37</v>
      </c>
    </row>
    <row r="16888" spans="1:11" ht="54" customHeight="1">
      <c r="A16888" s="9" t="s">
        <v>34161</v>
      </c>
      <c r="B16888" s="9" t="s">
        <v>34162</v>
      </c>
      <c r="C16888" s="9" t="s">
        <v>17</v>
      </c>
      <c r="D16888" s="9" t="s">
        <v>18</v>
      </c>
      <c r="E16888" s="10" t="s">
        <v>3471</v>
      </c>
      <c r="F16888" s="9" t="s">
        <v>3472</v>
      </c>
      <c r="G16888" s="10" t="s">
        <v>21</v>
      </c>
      <c r="H16888" s="9" t="s">
        <v>22</v>
      </c>
      <c r="I16888" s="9" t="s">
        <v>34160</v>
      </c>
      <c r="J16888" s="10" t="str">
        <f>HYPERLINK("https://www.boe.es/gazeta/dias/1834/07/07/pdfs/GMD-1834-140.pdf#page=3","Abrir facsímil")</f>
        <v>Abrir facsímil</v>
      </c>
      <c r="K16888" s="10" t="s">
        <v>24</v>
      </c>
    </row>
    <row r="16889" spans="1:11" ht="54" customHeight="1">
      <c r="A16889" s="9" t="s">
        <v>34163</v>
      </c>
      <c r="B16889" s="9" t="s">
        <v>34164</v>
      </c>
      <c r="C16889" s="9" t="s">
        <v>17</v>
      </c>
      <c r="D16889" s="9" t="s">
        <v>18</v>
      </c>
      <c r="E16889" s="10" t="s">
        <v>299</v>
      </c>
      <c r="F16889" s="9" t="s">
        <v>300</v>
      </c>
      <c r="G16889" s="10" t="s">
        <v>21</v>
      </c>
      <c r="H16889" s="9" t="s">
        <v>22</v>
      </c>
      <c r="I16889" s="9" t="s">
        <v>34165</v>
      </c>
      <c r="J16889" s="10" t="str">
        <f>HYPERLINK("https://www.boe.es/gazeta/dias/1834/12/12/pdfs/GMD-1834-301.pdf#page=3","Abrir facsímil")</f>
        <v>Abrir facsímil</v>
      </c>
      <c r="K16889" s="10" t="s">
        <v>24</v>
      </c>
    </row>
    <row r="16890" spans="1:11" ht="54" customHeight="1">
      <c r="A16890" s="9" t="s">
        <v>34166</v>
      </c>
      <c r="B16890" s="9" t="s">
        <v>34166</v>
      </c>
      <c r="C16890" s="9" t="s">
        <v>90</v>
      </c>
      <c r="D16890" s="9" t="s">
        <v>55</v>
      </c>
      <c r="E16890" s="10" t="s">
        <v>866</v>
      </c>
      <c r="F16890" s="9" t="s">
        <v>867</v>
      </c>
      <c r="G16890" s="10" t="s">
        <v>86</v>
      </c>
      <c r="H16890" s="9" t="s">
        <v>22</v>
      </c>
      <c r="I16890" s="9" t="s">
        <v>34167</v>
      </c>
      <c r="J16890" s="10" t="str">
        <f>HYPERLINK("https://www.boe.es/gazeta/dias/1834/01/18/pdfs/GMD-1834-9.pdf#page=2","Abrir facsímil")</f>
        <v>Abrir facsímil</v>
      </c>
      <c r="K16890" s="10" t="s">
        <v>24</v>
      </c>
    </row>
    <row r="16891" spans="1:11" ht="54" customHeight="1">
      <c r="A16891" s="9" t="s">
        <v>34168</v>
      </c>
      <c r="B16891" s="9" t="s">
        <v>34168</v>
      </c>
      <c r="C16891" s="9" t="s">
        <v>17</v>
      </c>
      <c r="D16891" s="9" t="s">
        <v>18</v>
      </c>
      <c r="E16891" s="10" t="s">
        <v>317</v>
      </c>
      <c r="F16891" s="9" t="s">
        <v>318</v>
      </c>
      <c r="G16891" s="10" t="s">
        <v>86</v>
      </c>
      <c r="H16891" s="9" t="s">
        <v>22</v>
      </c>
      <c r="I16891" s="9" t="s">
        <v>34169</v>
      </c>
      <c r="J16891" s="10" t="str">
        <f>HYPERLINK("https://www.boe.es/gazeta/dias/1834/03/06/pdfs/GMD-1834-29.pdf#page=2","Abrir facsímil")</f>
        <v>Abrir facsímil</v>
      </c>
      <c r="K16891" s="10" t="s">
        <v>24</v>
      </c>
    </row>
    <row r="16892" spans="1:11" ht="54" customHeight="1">
      <c r="A16892" s="9" t="s">
        <v>34170</v>
      </c>
      <c r="B16892" s="9" t="s">
        <v>34170</v>
      </c>
      <c r="C16892" s="9" t="s">
        <v>66</v>
      </c>
      <c r="D16892" s="9" t="s">
        <v>67</v>
      </c>
      <c r="E16892" s="10" t="s">
        <v>1084</v>
      </c>
      <c r="F16892" s="9" t="s">
        <v>1085</v>
      </c>
      <c r="G16892" s="10" t="s">
        <v>21</v>
      </c>
      <c r="H16892" s="9" t="s">
        <v>22</v>
      </c>
      <c r="I16892" s="9" t="s">
        <v>34171</v>
      </c>
      <c r="J16892" s="10" t="str">
        <f>HYPERLINK("https://www.boe.es/gazeta/dias/1834/05/01/pdfs/GMD-1834-70.pdf#page=3","Abrir facsímil")</f>
        <v>Abrir facsímil</v>
      </c>
      <c r="K16892" s="10" t="s">
        <v>24</v>
      </c>
    </row>
    <row r="16893" spans="1:11" ht="54" customHeight="1">
      <c r="A16893" s="9" t="s">
        <v>34170</v>
      </c>
      <c r="B16893" s="9" t="s">
        <v>34170</v>
      </c>
      <c r="C16893" s="9" t="s">
        <v>17</v>
      </c>
      <c r="D16893" s="9" t="s">
        <v>18</v>
      </c>
      <c r="E16893" s="10" t="s">
        <v>330</v>
      </c>
      <c r="F16893" s="9" t="s">
        <v>331</v>
      </c>
      <c r="G16893" s="10" t="s">
        <v>86</v>
      </c>
      <c r="H16893" s="9" t="s">
        <v>22</v>
      </c>
      <c r="I16893" s="9" t="s">
        <v>34172</v>
      </c>
      <c r="J16893" s="10" t="str">
        <f>HYPERLINK("https://www.boe.es/gazeta/dias/1834/12/03/pdfs/GMD-1834-292.pdf#page=2","Abrir facsímil")</f>
        <v>Abrir facsímil</v>
      </c>
      <c r="K16893" s="10" t="s">
        <v>24</v>
      </c>
    </row>
    <row r="16894" spans="1:11" ht="54" customHeight="1">
      <c r="A16894" s="9" t="s">
        <v>34170</v>
      </c>
      <c r="B16894" s="9" t="s">
        <v>34170</v>
      </c>
      <c r="C16894" s="9" t="s">
        <v>17</v>
      </c>
      <c r="D16894" s="9" t="s">
        <v>18</v>
      </c>
      <c r="E16894" s="10" t="s">
        <v>860</v>
      </c>
      <c r="F16894" s="9" t="s">
        <v>861</v>
      </c>
      <c r="G16894" s="10" t="s">
        <v>21</v>
      </c>
      <c r="H16894" s="9" t="s">
        <v>22</v>
      </c>
      <c r="I16894" s="9" t="s">
        <v>34173</v>
      </c>
      <c r="J16894" s="10" t="str">
        <f>HYPERLINK("https://www.boe.es/gazeta/dias/1834/02/08/pdfs/GMD-1834-18.pdf#page=3","Abrir facsímil")</f>
        <v>Abrir facsímil</v>
      </c>
      <c r="K16894" s="10" t="s">
        <v>24</v>
      </c>
    </row>
    <row r="16895" spans="1:11" ht="54" customHeight="1">
      <c r="A16895" s="9" t="s">
        <v>34170</v>
      </c>
      <c r="B16895" s="9" t="s">
        <v>34170</v>
      </c>
      <c r="C16895" s="9" t="s">
        <v>17</v>
      </c>
      <c r="D16895" s="9" t="s">
        <v>18</v>
      </c>
      <c r="E16895" s="10" t="s">
        <v>860</v>
      </c>
      <c r="F16895" s="9" t="s">
        <v>861</v>
      </c>
      <c r="G16895" s="10" t="s">
        <v>75</v>
      </c>
      <c r="H16895" s="9" t="s">
        <v>22</v>
      </c>
      <c r="I16895" s="9" t="s">
        <v>34174</v>
      </c>
      <c r="J16895" s="10" t="str">
        <f>HYPERLINK("https://www.boe.es/gazeta/dias/1834/02/08/pdfs/GMD-1834-18.pdf#page=4","Abrir facsímil")</f>
        <v>Abrir facsímil</v>
      </c>
      <c r="K16895" s="10" t="s">
        <v>24</v>
      </c>
    </row>
    <row r="16896" spans="1:11" ht="54" customHeight="1">
      <c r="A16896" s="9" t="s">
        <v>34170</v>
      </c>
      <c r="B16896" s="9" t="s">
        <v>34170</v>
      </c>
      <c r="C16896" s="9" t="s">
        <v>66</v>
      </c>
      <c r="D16896" s="9" t="s">
        <v>67</v>
      </c>
      <c r="E16896" s="10" t="s">
        <v>1505</v>
      </c>
      <c r="F16896" s="9" t="s">
        <v>1506</v>
      </c>
      <c r="G16896" s="10" t="s">
        <v>86</v>
      </c>
      <c r="H16896" s="9" t="s">
        <v>22</v>
      </c>
      <c r="I16896" s="9" t="s">
        <v>34175</v>
      </c>
      <c r="J16896" s="10" t="str">
        <f>HYPERLINK("https://www.boe.es/gazeta/dias/1834/05/08/pdfs/GMD-1834-77.pdf#page=2","Abrir facsímil")</f>
        <v>Abrir facsímil</v>
      </c>
      <c r="K16896" s="10" t="s">
        <v>24</v>
      </c>
    </row>
    <row r="16897" spans="1:11" ht="54" customHeight="1">
      <c r="A16897" s="9" t="s">
        <v>34170</v>
      </c>
      <c r="B16897" s="9" t="s">
        <v>34170</v>
      </c>
      <c r="C16897" s="9" t="s">
        <v>66</v>
      </c>
      <c r="D16897" s="9" t="s">
        <v>18</v>
      </c>
      <c r="E16897" s="10" t="s">
        <v>79</v>
      </c>
      <c r="F16897" s="9" t="s">
        <v>80</v>
      </c>
      <c r="G16897" s="10" t="s">
        <v>21</v>
      </c>
      <c r="H16897" s="9" t="s">
        <v>22</v>
      </c>
      <c r="I16897" s="9" t="s">
        <v>34176</v>
      </c>
      <c r="J16897" s="10" t="str">
        <f>HYPERLINK("https://www.boe.es/gazeta/dias/1834/07/12/pdfs/GMD-1834-145.pdf#page=3","Abrir facsímil")</f>
        <v>Abrir facsímil</v>
      </c>
      <c r="K16897" s="10" t="s">
        <v>24</v>
      </c>
    </row>
    <row r="16898" spans="1:11" ht="54" customHeight="1">
      <c r="A16898" s="9" t="s">
        <v>34170</v>
      </c>
      <c r="B16898" s="9" t="s">
        <v>34170</v>
      </c>
      <c r="C16898" s="9" t="s">
        <v>90</v>
      </c>
      <c r="D16898" s="9" t="s">
        <v>67</v>
      </c>
      <c r="E16898" s="10" t="s">
        <v>91</v>
      </c>
      <c r="F16898" s="9" t="s">
        <v>92</v>
      </c>
      <c r="G16898" s="10" t="s">
        <v>21</v>
      </c>
      <c r="H16898" s="9" t="s">
        <v>22</v>
      </c>
      <c r="I16898" s="9" t="s">
        <v>34177</v>
      </c>
      <c r="J16898" s="10" t="str">
        <f>HYPERLINK("https://www.boe.es/gazeta/dias/1834/02/13/pdfs/GMD-1834-20.pdf#page=3","Abrir facsímil")</f>
        <v>Abrir facsímil</v>
      </c>
      <c r="K16898" s="10" t="s">
        <v>24</v>
      </c>
    </row>
    <row r="16899" spans="1:11" ht="54" customHeight="1">
      <c r="A16899" s="9" t="s">
        <v>34170</v>
      </c>
      <c r="B16899" s="9" t="s">
        <v>34170</v>
      </c>
      <c r="C16899" s="9" t="s">
        <v>46</v>
      </c>
      <c r="D16899" s="9" t="s">
        <v>55</v>
      </c>
      <c r="E16899" s="10" t="s">
        <v>844</v>
      </c>
      <c r="F16899" s="9" t="s">
        <v>845</v>
      </c>
      <c r="G16899" s="10" t="s">
        <v>86</v>
      </c>
      <c r="H16899" s="9" t="s">
        <v>22</v>
      </c>
      <c r="I16899" s="9" t="s">
        <v>34178</v>
      </c>
      <c r="J16899" s="10" t="str">
        <f>HYPERLINK("https://www.boe.es/gazeta/dias/1834/03/13/pdfs/GMD-1834-32.pdf#page=2","Abrir facsímil")</f>
        <v>Abrir facsímil</v>
      </c>
      <c r="K16899" s="10" t="s">
        <v>24</v>
      </c>
    </row>
    <row r="16900" spans="1:11" ht="54" customHeight="1">
      <c r="A16900" s="9" t="s">
        <v>34170</v>
      </c>
      <c r="B16900" s="9" t="s">
        <v>34170</v>
      </c>
      <c r="C16900" s="9" t="s">
        <v>90</v>
      </c>
      <c r="D16900" s="9" t="s">
        <v>67</v>
      </c>
      <c r="E16900" s="10" t="s">
        <v>479</v>
      </c>
      <c r="F16900" s="9" t="s">
        <v>480</v>
      </c>
      <c r="G16900" s="10" t="s">
        <v>86</v>
      </c>
      <c r="H16900" s="9" t="s">
        <v>22</v>
      </c>
      <c r="I16900" s="9" t="s">
        <v>34179</v>
      </c>
      <c r="J16900" s="10" t="str">
        <f>HYPERLINK("https://www.boe.es/gazeta/dias/1834/08/13/pdfs/GMD-1834-178.pdf#page=2","Abrir facsímil")</f>
        <v>Abrir facsímil</v>
      </c>
      <c r="K16900" s="10" t="s">
        <v>24</v>
      </c>
    </row>
    <row r="16901" spans="1:11" ht="54" customHeight="1">
      <c r="A16901" s="9" t="s">
        <v>34170</v>
      </c>
      <c r="B16901" s="9" t="s">
        <v>34170</v>
      </c>
      <c r="C16901" s="9" t="s">
        <v>66</v>
      </c>
      <c r="D16901" s="9" t="s">
        <v>67</v>
      </c>
      <c r="E16901" s="10" t="s">
        <v>1273</v>
      </c>
      <c r="F16901" s="9" t="s">
        <v>1274</v>
      </c>
      <c r="G16901" s="10" t="s">
        <v>86</v>
      </c>
      <c r="H16901" s="9" t="s">
        <v>22</v>
      </c>
      <c r="I16901" s="9" t="s">
        <v>34180</v>
      </c>
      <c r="J16901" s="10" t="str">
        <f>HYPERLINK("https://www.boe.es/gazeta/dias/1834/05/14/pdfs/GMD-1834-83.pdf#page=2","Abrir facsímil")</f>
        <v>Abrir facsímil</v>
      </c>
      <c r="K16901" s="10" t="s">
        <v>24</v>
      </c>
    </row>
    <row r="16902" spans="1:11" ht="54" customHeight="1">
      <c r="A16902" s="9" t="s">
        <v>34170</v>
      </c>
      <c r="B16902" s="9" t="s">
        <v>34170</v>
      </c>
      <c r="C16902" s="9" t="s">
        <v>17</v>
      </c>
      <c r="D16902" s="9" t="s">
        <v>18</v>
      </c>
      <c r="E16902" s="10" t="s">
        <v>912</v>
      </c>
      <c r="F16902" s="9" t="s">
        <v>913</v>
      </c>
      <c r="G16902" s="10" t="s">
        <v>75</v>
      </c>
      <c r="H16902" s="9" t="s">
        <v>22</v>
      </c>
      <c r="I16902" s="9" t="s">
        <v>34181</v>
      </c>
      <c r="J16902" s="10" t="str">
        <f>HYPERLINK("https://www.boe.es/gazeta/dias/1834/02/15/pdfs/GMD-1834-21.pdf#page=4","Abrir facsímil")</f>
        <v>Abrir facsímil</v>
      </c>
      <c r="K16902" s="10" t="s">
        <v>24</v>
      </c>
    </row>
    <row r="16903" spans="1:11" ht="54" customHeight="1">
      <c r="A16903" s="9" t="s">
        <v>34170</v>
      </c>
      <c r="B16903" s="9" t="s">
        <v>34170</v>
      </c>
      <c r="C16903" s="9" t="s">
        <v>46</v>
      </c>
      <c r="D16903" s="9" t="s">
        <v>101</v>
      </c>
      <c r="E16903" s="10" t="s">
        <v>233</v>
      </c>
      <c r="F16903" s="9" t="s">
        <v>234</v>
      </c>
      <c r="G16903" s="10" t="s">
        <v>86</v>
      </c>
      <c r="H16903" s="9" t="s">
        <v>22</v>
      </c>
      <c r="I16903" s="9" t="s">
        <v>34182</v>
      </c>
      <c r="J16903" s="10" t="str">
        <f>HYPERLINK("https://www.boe.es/gazeta/dias/1834/12/16/pdfs/GMD-1834-305.pdf#page=2","Abrir facsímil")</f>
        <v>Abrir facsímil</v>
      </c>
      <c r="K16903" s="10" t="s">
        <v>24</v>
      </c>
    </row>
    <row r="16904" spans="1:11" ht="54" customHeight="1">
      <c r="A16904" s="9" t="s">
        <v>34170</v>
      </c>
      <c r="B16904" s="9" t="s">
        <v>34170</v>
      </c>
      <c r="C16904" s="9" t="s">
        <v>66</v>
      </c>
      <c r="D16904" s="9" t="s">
        <v>67</v>
      </c>
      <c r="E16904" s="10" t="s">
        <v>8200</v>
      </c>
      <c r="F16904" s="9" t="s">
        <v>8201</v>
      </c>
      <c r="G16904" s="10" t="s">
        <v>86</v>
      </c>
      <c r="H16904" s="9" t="s">
        <v>22</v>
      </c>
      <c r="I16904" s="9" t="s">
        <v>34183</v>
      </c>
      <c r="J16904" s="10" t="str">
        <f>HYPERLINK("https://www.boe.es/gazeta/dias/1834/11/17/pdfs/GMD-1834-276.pdf#page=2","Abrir facsímil")</f>
        <v>Abrir facsímil</v>
      </c>
      <c r="K16904" s="10" t="s">
        <v>24</v>
      </c>
    </row>
    <row r="16905" spans="1:11" ht="54" customHeight="1">
      <c r="A16905" s="9" t="s">
        <v>34170</v>
      </c>
      <c r="B16905" s="9" t="s">
        <v>34170</v>
      </c>
      <c r="C16905" s="9" t="s">
        <v>90</v>
      </c>
      <c r="D16905" s="9" t="s">
        <v>18</v>
      </c>
      <c r="E16905" s="10" t="s">
        <v>262</v>
      </c>
      <c r="F16905" s="9" t="s">
        <v>263</v>
      </c>
      <c r="G16905" s="10" t="s">
        <v>21</v>
      </c>
      <c r="H16905" s="9" t="s">
        <v>22</v>
      </c>
      <c r="I16905" s="9" t="s">
        <v>34184</v>
      </c>
      <c r="J16905" s="10" t="str">
        <f>HYPERLINK("https://www.boe.es/gazeta/dias/1834/10/18/pdfs/GMD-C-1834-246.pdf#page=3","Abrir facsímil")</f>
        <v>Abrir facsímil</v>
      </c>
      <c r="K16905" s="10" t="s">
        <v>24</v>
      </c>
    </row>
    <row r="16906" spans="1:11" ht="54" customHeight="1">
      <c r="A16906" s="9" t="s">
        <v>34170</v>
      </c>
      <c r="B16906" s="9" t="s">
        <v>34170</v>
      </c>
      <c r="C16906" s="9" t="s">
        <v>17</v>
      </c>
      <c r="D16906" s="9" t="s">
        <v>18</v>
      </c>
      <c r="E16906" s="10" t="s">
        <v>3036</v>
      </c>
      <c r="F16906" s="9" t="s">
        <v>3372</v>
      </c>
      <c r="G16906" s="10" t="s">
        <v>86</v>
      </c>
      <c r="H16906" s="9" t="s">
        <v>22</v>
      </c>
      <c r="I16906" s="9" t="s">
        <v>34185</v>
      </c>
      <c r="J16906" s="10" t="str">
        <f>HYPERLINK("https://www.boe.es/gazeta/dias/1834/11/18/pdfs/GMD-1834-277.pdf#page=2","Abrir facsímil")</f>
        <v>Abrir facsímil</v>
      </c>
      <c r="K16906" s="10" t="s">
        <v>24</v>
      </c>
    </row>
    <row r="16907" spans="1:11" ht="54" customHeight="1">
      <c r="A16907" s="9" t="s">
        <v>34170</v>
      </c>
      <c r="B16907" s="9" t="s">
        <v>34170</v>
      </c>
      <c r="C16907" s="9" t="s">
        <v>46</v>
      </c>
      <c r="D16907" s="9" t="s">
        <v>101</v>
      </c>
      <c r="E16907" s="10" t="s">
        <v>3810</v>
      </c>
      <c r="F16907" s="9" t="s">
        <v>3811</v>
      </c>
      <c r="G16907" s="10" t="s">
        <v>86</v>
      </c>
      <c r="H16907" s="9" t="s">
        <v>22</v>
      </c>
      <c r="I16907" s="9" t="s">
        <v>34186</v>
      </c>
      <c r="J16907" s="10" t="str">
        <f>HYPERLINK("https://www.boe.es/gazeta/dias/1834/02/20/pdfs/GMD-1834-23.pdf#page=2","Abrir facsímil")</f>
        <v>Abrir facsímil</v>
      </c>
      <c r="K16907" s="10" t="s">
        <v>24</v>
      </c>
    </row>
    <row r="16908" spans="1:11" ht="54" customHeight="1">
      <c r="A16908" s="9" t="s">
        <v>34170</v>
      </c>
      <c r="B16908" s="9" t="s">
        <v>34170</v>
      </c>
      <c r="C16908" s="9" t="s">
        <v>46</v>
      </c>
      <c r="D16908" s="9" t="s">
        <v>18</v>
      </c>
      <c r="E16908" s="10" t="s">
        <v>1572</v>
      </c>
      <c r="F16908" s="9" t="s">
        <v>1573</v>
      </c>
      <c r="G16908" s="10" t="s">
        <v>21</v>
      </c>
      <c r="H16908" s="9" t="s">
        <v>22</v>
      </c>
      <c r="I16908" s="9" t="s">
        <v>34187</v>
      </c>
      <c r="J16908" s="10" t="str">
        <f>HYPERLINK("https://www.boe.es/gazeta/dias/1834/03/20/pdfs/GMD-1834-35.pdf#page=3","Abrir facsímil")</f>
        <v>Abrir facsímil</v>
      </c>
      <c r="K16908" s="10" t="s">
        <v>24</v>
      </c>
    </row>
    <row r="16909" spans="1:11" ht="54" customHeight="1">
      <c r="A16909" s="9" t="s">
        <v>34170</v>
      </c>
      <c r="B16909" s="9" t="s">
        <v>34170</v>
      </c>
      <c r="C16909" s="9" t="s">
        <v>90</v>
      </c>
      <c r="D16909" s="9" t="s">
        <v>67</v>
      </c>
      <c r="E16909" s="10" t="s">
        <v>3225</v>
      </c>
      <c r="F16909" s="9" t="s">
        <v>3226</v>
      </c>
      <c r="G16909" s="10" t="s">
        <v>21</v>
      </c>
      <c r="H16909" s="9" t="s">
        <v>22</v>
      </c>
      <c r="I16909" s="9" t="s">
        <v>34188</v>
      </c>
      <c r="J16909" s="10" t="str">
        <f>HYPERLINK("https://www.boe.es/gazeta/dias/1834/08/22/pdfs/GMD-1834-188.pdf#page=3","Abrir facsímil")</f>
        <v>Abrir facsímil</v>
      </c>
      <c r="K16909" s="10" t="s">
        <v>24</v>
      </c>
    </row>
    <row r="16910" spans="1:11" ht="54" customHeight="1">
      <c r="A16910" s="9" t="s">
        <v>34170</v>
      </c>
      <c r="B16910" s="9" t="s">
        <v>34170</v>
      </c>
      <c r="C16910" s="9" t="s">
        <v>46</v>
      </c>
      <c r="D16910" s="9" t="s">
        <v>18</v>
      </c>
      <c r="E16910" s="10" t="s">
        <v>606</v>
      </c>
      <c r="F16910" s="9" t="s">
        <v>607</v>
      </c>
      <c r="G16910" s="10" t="s">
        <v>86</v>
      </c>
      <c r="H16910" s="9" t="s">
        <v>22</v>
      </c>
      <c r="I16910" s="9" t="s">
        <v>34189</v>
      </c>
      <c r="J16910" s="10" t="str">
        <f>HYPERLINK("https://www.boe.es/gazeta/dias/1834/06/23/pdfs/GMD-1834-126.pdf#page=2","Abrir facsímil")</f>
        <v>Abrir facsímil</v>
      </c>
      <c r="K16910" s="10" t="s">
        <v>24</v>
      </c>
    </row>
    <row r="16911" spans="1:11" ht="54" customHeight="1">
      <c r="A16911" s="9" t="s">
        <v>34170</v>
      </c>
      <c r="B16911" s="9" t="s">
        <v>34170</v>
      </c>
      <c r="C16911" s="9" t="s">
        <v>66</v>
      </c>
      <c r="D16911" s="9" t="s">
        <v>67</v>
      </c>
      <c r="E16911" s="10" t="s">
        <v>1212</v>
      </c>
      <c r="F16911" s="9" t="s">
        <v>1213</v>
      </c>
      <c r="G16911" s="10" t="s">
        <v>86</v>
      </c>
      <c r="H16911" s="9" t="s">
        <v>22</v>
      </c>
      <c r="I16911" s="9" t="s">
        <v>34190</v>
      </c>
      <c r="J16911" s="10" t="str">
        <f>HYPERLINK("https://www.boe.es/gazeta/dias/1834/05/24/pdfs/GMD-1834-93.pdf#page=2","Abrir facsímil")</f>
        <v>Abrir facsímil</v>
      </c>
      <c r="K16911" s="10" t="s">
        <v>24</v>
      </c>
    </row>
    <row r="16912" spans="1:11" ht="54" customHeight="1">
      <c r="A16912" s="9" t="s">
        <v>34170</v>
      </c>
      <c r="B16912" s="9" t="s">
        <v>34170</v>
      </c>
      <c r="C16912" s="9" t="s">
        <v>17</v>
      </c>
      <c r="D16912" s="9" t="s">
        <v>18</v>
      </c>
      <c r="E16912" s="10" t="s">
        <v>739</v>
      </c>
      <c r="F16912" s="9" t="s">
        <v>740</v>
      </c>
      <c r="G16912" s="10" t="s">
        <v>86</v>
      </c>
      <c r="H16912" s="9" t="s">
        <v>22</v>
      </c>
      <c r="I16912" s="9" t="s">
        <v>34191</v>
      </c>
      <c r="J16912" s="10" t="str">
        <f>HYPERLINK("https://www.boe.es/gazeta/dias/1834/03/25/pdfs/GMD-1834-37.pdf#page=2","Abrir facsímil")</f>
        <v>Abrir facsímil</v>
      </c>
      <c r="K16912" s="10" t="s">
        <v>24</v>
      </c>
    </row>
    <row r="16913" spans="1:11" ht="54" customHeight="1">
      <c r="A16913" s="9" t="s">
        <v>34170</v>
      </c>
      <c r="B16913" s="9" t="s">
        <v>34170</v>
      </c>
      <c r="C16913" s="9" t="s">
        <v>46</v>
      </c>
      <c r="D16913" s="9" t="s">
        <v>101</v>
      </c>
      <c r="E16913" s="10" t="s">
        <v>707</v>
      </c>
      <c r="F16913" s="9" t="s">
        <v>1359</v>
      </c>
      <c r="G16913" s="10" t="s">
        <v>86</v>
      </c>
      <c r="H16913" s="9" t="s">
        <v>22</v>
      </c>
      <c r="I16913" s="9" t="s">
        <v>34192</v>
      </c>
      <c r="J16913" s="10" t="str">
        <f>HYPERLINK("https://www.boe.es/gazeta/dias/1834/11/25/pdfs/GMD-1834-284.pdf#page=2","Abrir facsímil")</f>
        <v>Abrir facsímil</v>
      </c>
      <c r="K16913" s="10" t="s">
        <v>24</v>
      </c>
    </row>
    <row r="16914" spans="1:11" ht="54" customHeight="1">
      <c r="A16914" s="9" t="s">
        <v>34170</v>
      </c>
      <c r="B16914" s="9" t="s">
        <v>34170</v>
      </c>
      <c r="C16914" s="9" t="s">
        <v>46</v>
      </c>
      <c r="D16914" s="9" t="s">
        <v>101</v>
      </c>
      <c r="E16914" s="10" t="s">
        <v>1680</v>
      </c>
      <c r="F16914" s="9" t="s">
        <v>1681</v>
      </c>
      <c r="G16914" s="10" t="s">
        <v>21</v>
      </c>
      <c r="H16914" s="9" t="s">
        <v>22</v>
      </c>
      <c r="I16914" s="9" t="s">
        <v>34193</v>
      </c>
      <c r="J16914" s="10" t="str">
        <f>HYPERLINK("https://www.boe.es/gazeta/dias/1834/02/27/pdfs/GMD-1834-26.pdf#page=3","Abrir facsímil")</f>
        <v>Abrir facsímil</v>
      </c>
      <c r="K16914" s="10" t="s">
        <v>24</v>
      </c>
    </row>
    <row r="16915" spans="1:11" ht="54" customHeight="1">
      <c r="A16915" s="9" t="s">
        <v>34170</v>
      </c>
      <c r="B16915" s="9" t="s">
        <v>34170</v>
      </c>
      <c r="C16915" s="9" t="s">
        <v>66</v>
      </c>
      <c r="D16915" s="9" t="s">
        <v>67</v>
      </c>
      <c r="E16915" s="10" t="s">
        <v>408</v>
      </c>
      <c r="F16915" s="9" t="s">
        <v>409</v>
      </c>
      <c r="G16915" s="10" t="s">
        <v>86</v>
      </c>
      <c r="H16915" s="9" t="s">
        <v>22</v>
      </c>
      <c r="I16915" s="9" t="s">
        <v>34194</v>
      </c>
      <c r="J16915" s="10" t="str">
        <f>HYPERLINK("https://www.boe.es/gazeta/dias/1834/04/28/pdfs/GMD-1834-67.pdf#page=2","Abrir facsímil")</f>
        <v>Abrir facsímil</v>
      </c>
      <c r="K16915" s="10" t="s">
        <v>24</v>
      </c>
    </row>
    <row r="16916" spans="1:11" ht="54" customHeight="1">
      <c r="A16916" s="9" t="s">
        <v>34170</v>
      </c>
      <c r="B16916" s="9" t="s">
        <v>34170</v>
      </c>
      <c r="C16916" s="9" t="s">
        <v>17</v>
      </c>
      <c r="D16916" s="9" t="s">
        <v>18</v>
      </c>
      <c r="E16916" s="10" t="s">
        <v>1689</v>
      </c>
      <c r="F16916" s="9" t="s">
        <v>1690</v>
      </c>
      <c r="G16916" s="10" t="s">
        <v>86</v>
      </c>
      <c r="H16916" s="9" t="s">
        <v>22</v>
      </c>
      <c r="I16916" s="9" t="s">
        <v>34195</v>
      </c>
      <c r="J16916" s="10" t="str">
        <f>HYPERLINK("https://www.boe.es/gazeta/dias/1834/07/28/pdfs/GMD-1834-161.pdf#page=2","Abrir facsímil")</f>
        <v>Abrir facsímil</v>
      </c>
      <c r="K16916" s="10" t="s">
        <v>24</v>
      </c>
    </row>
    <row r="16917" spans="1:11" ht="54" customHeight="1">
      <c r="A16917" s="9" t="s">
        <v>34196</v>
      </c>
      <c r="B16917" s="9" t="s">
        <v>34196</v>
      </c>
      <c r="C16917" s="9" t="s">
        <v>46</v>
      </c>
      <c r="D16917" s="9" t="s">
        <v>18</v>
      </c>
      <c r="E16917" s="10" t="s">
        <v>1116</v>
      </c>
      <c r="F16917" s="9" t="s">
        <v>1117</v>
      </c>
      <c r="G16917" s="10" t="s">
        <v>21</v>
      </c>
      <c r="H16917" s="9" t="s">
        <v>22</v>
      </c>
      <c r="I16917" s="9" t="s">
        <v>34197</v>
      </c>
      <c r="J16917" s="10" t="str">
        <f>HYPERLINK("https://www.boe.es/gazeta/dias/1834/05/16/pdfs/GMD-1834-85.pdf#page=3","Abrir facsímil")</f>
        <v>Abrir facsímil</v>
      </c>
      <c r="K16917" s="10" t="s">
        <v>24</v>
      </c>
    </row>
    <row r="16918" spans="1:11" ht="54" customHeight="1">
      <c r="A16918" s="9" t="s">
        <v>34198</v>
      </c>
      <c r="B16918" s="9" t="s">
        <v>34198</v>
      </c>
      <c r="C16918" s="9" t="s">
        <v>66</v>
      </c>
      <c r="D16918" s="9" t="s">
        <v>67</v>
      </c>
      <c r="E16918" s="10" t="s">
        <v>441</v>
      </c>
      <c r="F16918" s="9" t="s">
        <v>442</v>
      </c>
      <c r="G16918" s="10" t="s">
        <v>86</v>
      </c>
      <c r="H16918" s="9" t="s">
        <v>22</v>
      </c>
      <c r="I16918" s="9" t="s">
        <v>34199</v>
      </c>
      <c r="J16918" s="10" t="str">
        <f>HYPERLINK("https://www.boe.es/gazeta/dias/1834/11/10/pdfs/GMD-1834-269.pdf#page=2","Abrir facsímil")</f>
        <v>Abrir facsímil</v>
      </c>
      <c r="K16918" s="10" t="s">
        <v>24</v>
      </c>
    </row>
    <row r="16919" spans="1:11" ht="54" customHeight="1">
      <c r="A16919" s="9" t="s">
        <v>34198</v>
      </c>
      <c r="B16919" s="9" t="s">
        <v>34198</v>
      </c>
      <c r="C16919" s="9" t="s">
        <v>66</v>
      </c>
      <c r="D16919" s="9" t="s">
        <v>67</v>
      </c>
      <c r="E16919" s="10" t="s">
        <v>441</v>
      </c>
      <c r="F16919" s="9" t="s">
        <v>442</v>
      </c>
      <c r="G16919" s="10" t="s">
        <v>21</v>
      </c>
      <c r="H16919" s="9" t="s">
        <v>22</v>
      </c>
      <c r="I16919" s="9" t="s">
        <v>34200</v>
      </c>
      <c r="J16919" s="10" t="str">
        <f>HYPERLINK("https://www.boe.es/gazeta/dias/1834/11/10/pdfs/GMD-1834-269.pdf#page=3","Abrir facsímil")</f>
        <v>Abrir facsímil</v>
      </c>
      <c r="K16919" s="10" t="s">
        <v>24</v>
      </c>
    </row>
    <row r="16920" spans="1:11" ht="54" customHeight="1">
      <c r="A16920" s="9" t="s">
        <v>34201</v>
      </c>
      <c r="B16920" s="9" t="s">
        <v>34201</v>
      </c>
      <c r="C16920" s="9" t="s">
        <v>90</v>
      </c>
      <c r="D16920" s="9" t="s">
        <v>55</v>
      </c>
      <c r="E16920" s="10" t="s">
        <v>441</v>
      </c>
      <c r="F16920" s="9" t="s">
        <v>442</v>
      </c>
      <c r="G16920" s="10" t="s">
        <v>86</v>
      </c>
      <c r="H16920" s="9" t="s">
        <v>22</v>
      </c>
      <c r="I16920" s="9" t="s">
        <v>34202</v>
      </c>
      <c r="J16920" s="10" t="str">
        <f>HYPERLINK("https://www.boe.es/gazeta/dias/1834/11/10/pdfs/GMD-1834-269.pdf#page=2","Abrir facsímil")</f>
        <v>Abrir facsímil</v>
      </c>
      <c r="K16920" s="10" t="s">
        <v>24</v>
      </c>
    </row>
    <row r="16921" spans="1:11" ht="54" customHeight="1">
      <c r="A16921" s="9" t="s">
        <v>34203</v>
      </c>
      <c r="B16921" s="9" t="s">
        <v>34203</v>
      </c>
      <c r="C16921" s="9" t="s">
        <v>17</v>
      </c>
      <c r="D16921" s="9" t="s">
        <v>18</v>
      </c>
      <c r="E16921" s="10" t="s">
        <v>444</v>
      </c>
      <c r="F16921" s="9" t="s">
        <v>2412</v>
      </c>
      <c r="G16921" s="10" t="s">
        <v>86</v>
      </c>
      <c r="H16921" s="9" t="s">
        <v>22</v>
      </c>
      <c r="I16921" s="9" t="s">
        <v>34204</v>
      </c>
      <c r="J16921" s="10" t="str">
        <f>HYPERLINK("https://www.boe.es/gazeta/dias/1834/09/12/pdfs/GMD-1834-210.pdf#page=2","Abrir facsímil")</f>
        <v>Abrir facsímil</v>
      </c>
      <c r="K16921" s="10" t="s">
        <v>24</v>
      </c>
    </row>
    <row r="16922" spans="1:11" ht="54" customHeight="1">
      <c r="A16922" s="9" t="s">
        <v>34205</v>
      </c>
      <c r="B16922" s="9" t="s">
        <v>34205</v>
      </c>
      <c r="C16922" s="9" t="s">
        <v>17</v>
      </c>
      <c r="D16922" s="9" t="s">
        <v>101</v>
      </c>
      <c r="E16922" s="10" t="s">
        <v>535</v>
      </c>
      <c r="F16922" s="9" t="s">
        <v>536</v>
      </c>
      <c r="G16922" s="10" t="s">
        <v>34</v>
      </c>
      <c r="H16922" s="9" t="s">
        <v>22</v>
      </c>
      <c r="I16922" s="9" t="s">
        <v>34206</v>
      </c>
      <c r="J16922" s="10" t="str">
        <f>HYPERLINK("https://www.boe.es/gazeta/dias/1834/05/21/pdfs/GMD-1834-90.pdf#page=1","Abrir facsímil")</f>
        <v>Abrir facsímil</v>
      </c>
      <c r="K16922" s="10" t="s">
        <v>24</v>
      </c>
    </row>
    <row r="16923" spans="1:11" ht="54" customHeight="1">
      <c r="A16923" s="9" t="s">
        <v>34207</v>
      </c>
      <c r="B16923" s="9" t="s">
        <v>34208</v>
      </c>
      <c r="C16923" s="9" t="s">
        <v>122</v>
      </c>
      <c r="D16923" s="9" t="s">
        <v>18</v>
      </c>
      <c r="E16923" s="10" t="s">
        <v>1170</v>
      </c>
      <c r="F16923" s="9" t="s">
        <v>1171</v>
      </c>
      <c r="G16923" s="10" t="s">
        <v>21</v>
      </c>
      <c r="H16923" s="9" t="s">
        <v>22</v>
      </c>
      <c r="I16923" s="9" t="s">
        <v>34209</v>
      </c>
      <c r="J16923" s="10" t="str">
        <f>HYPERLINK("https://www.boe.es/gazeta/dias/1834/01/07/pdfs/GMD-1834-4.pdf#page=3","Abrir facsímil")</f>
        <v>Abrir facsímil</v>
      </c>
      <c r="K16923" s="10" t="s">
        <v>24</v>
      </c>
    </row>
    <row r="16924" spans="1:11" ht="54" customHeight="1">
      <c r="A16924" s="9" t="s">
        <v>34210</v>
      </c>
      <c r="B16924" s="9" t="s">
        <v>34211</v>
      </c>
      <c r="C16924" s="9" t="s">
        <v>17</v>
      </c>
      <c r="D16924" s="9" t="s">
        <v>18</v>
      </c>
      <c r="E16924" s="10" t="s">
        <v>299</v>
      </c>
      <c r="F16924" s="9" t="s">
        <v>2255</v>
      </c>
      <c r="G16924" s="10" t="s">
        <v>470</v>
      </c>
      <c r="H16924" s="9" t="s">
        <v>22</v>
      </c>
      <c r="I16924" s="9" t="s">
        <v>34212</v>
      </c>
      <c r="J16924" s="10" t="str">
        <f>HYPERLINK("https://www.boe.es/gazeta/dias/1834/12/12/pdfs/GMD-C-1834-301.pdf#page=8","Abrir facsímil")</f>
        <v>Abrir facsímil</v>
      </c>
      <c r="K16924" s="10" t="s">
        <v>24</v>
      </c>
    </row>
    <row r="16925" spans="1:11" ht="54" customHeight="1">
      <c r="A16925" s="9" t="s">
        <v>34213</v>
      </c>
      <c r="B16925" s="9" t="s">
        <v>34214</v>
      </c>
      <c r="C16925" s="9" t="s">
        <v>17</v>
      </c>
      <c r="D16925" s="9" t="s">
        <v>18</v>
      </c>
      <c r="E16925" s="10" t="s">
        <v>334</v>
      </c>
      <c r="F16925" s="9" t="s">
        <v>335</v>
      </c>
      <c r="G16925" s="10" t="s">
        <v>34</v>
      </c>
      <c r="H16925" s="9" t="s">
        <v>22</v>
      </c>
      <c r="I16925" s="9" t="s">
        <v>34215</v>
      </c>
      <c r="J16925" s="10" t="str">
        <f>HYPERLINK("https://www.boe.es/gazeta/dias/1834/09/11/pdfs/GMD-C-1834-209.pdf#page=1","Abrir facsímil")</f>
        <v>Abrir facsímil</v>
      </c>
      <c r="K16925" s="10" t="s">
        <v>24</v>
      </c>
    </row>
    <row r="16926" spans="1:11" ht="54" customHeight="1">
      <c r="A16926" s="9" t="s">
        <v>34216</v>
      </c>
      <c r="B16926" s="9" t="s">
        <v>34216</v>
      </c>
      <c r="C16926" s="9" t="s">
        <v>17</v>
      </c>
      <c r="D16926" s="9" t="s">
        <v>18</v>
      </c>
      <c r="E16926" s="10" t="s">
        <v>444</v>
      </c>
      <c r="F16926" s="9" t="s">
        <v>2412</v>
      </c>
      <c r="G16926" s="10" t="s">
        <v>75</v>
      </c>
      <c r="H16926" s="9" t="s">
        <v>22</v>
      </c>
      <c r="I16926" s="9" t="s">
        <v>34217</v>
      </c>
      <c r="J16926" s="10" t="str">
        <f>HYPERLINK("https://www.boe.es/gazeta/dias/1834/09/12/pdfs/GMD-1834-210.pdf#page=4","Abrir facsímil")</f>
        <v>Abrir facsímil</v>
      </c>
      <c r="K16926" s="10" t="s">
        <v>24</v>
      </c>
    </row>
    <row r="16927" spans="1:11" ht="54" customHeight="1">
      <c r="A16927" s="9" t="s">
        <v>34218</v>
      </c>
      <c r="B16927" s="9" t="s">
        <v>34218</v>
      </c>
      <c r="C16927" s="9" t="s">
        <v>46</v>
      </c>
      <c r="D16927" s="9" t="s">
        <v>101</v>
      </c>
      <c r="E16927" s="10" t="s">
        <v>330</v>
      </c>
      <c r="F16927" s="9" t="s">
        <v>331</v>
      </c>
      <c r="G16927" s="10" t="s">
        <v>86</v>
      </c>
      <c r="H16927" s="9" t="s">
        <v>22</v>
      </c>
      <c r="I16927" s="9" t="s">
        <v>34219</v>
      </c>
      <c r="J16927" s="10" t="str">
        <f>HYPERLINK("https://www.boe.es/gazeta/dias/1834/12/03/pdfs/GMD-1834-292.pdf#page=2","Abrir facsímil")</f>
        <v>Abrir facsímil</v>
      </c>
      <c r="K16927" s="10" t="s">
        <v>24</v>
      </c>
    </row>
    <row r="16928" spans="1:11" ht="54" customHeight="1">
      <c r="A16928" s="9" t="s">
        <v>34220</v>
      </c>
      <c r="B16928" s="9" t="s">
        <v>34220</v>
      </c>
      <c r="C16928" s="9" t="s">
        <v>857</v>
      </c>
      <c r="D16928" s="9" t="s">
        <v>18</v>
      </c>
      <c r="E16928" s="10" t="s">
        <v>330</v>
      </c>
      <c r="F16928" s="9" t="s">
        <v>331</v>
      </c>
      <c r="G16928" s="10" t="s">
        <v>34</v>
      </c>
      <c r="H16928" s="9" t="s">
        <v>22</v>
      </c>
      <c r="I16928" s="9" t="s">
        <v>34221</v>
      </c>
      <c r="J16928" s="10" t="str">
        <f>HYPERLINK("https://www.boe.es/gazeta/dias/1834/12/03/pdfs/GMD-1834-292.pdf#page=1","Abrir facsímil")</f>
        <v>Abrir facsímil</v>
      </c>
      <c r="K16928" s="10" t="s">
        <v>24</v>
      </c>
    </row>
    <row r="16929" spans="1:11" ht="54" customHeight="1">
      <c r="A16929" s="9" t="s">
        <v>34220</v>
      </c>
      <c r="B16929" s="9" t="s">
        <v>34220</v>
      </c>
      <c r="C16929" s="9" t="s">
        <v>17</v>
      </c>
      <c r="D16929" s="9" t="s">
        <v>55</v>
      </c>
      <c r="E16929" s="10" t="s">
        <v>330</v>
      </c>
      <c r="F16929" s="9" t="s">
        <v>331</v>
      </c>
      <c r="G16929" s="10" t="s">
        <v>86</v>
      </c>
      <c r="H16929" s="9" t="s">
        <v>22</v>
      </c>
      <c r="I16929" s="9" t="s">
        <v>34222</v>
      </c>
      <c r="J16929" s="10" t="str">
        <f>HYPERLINK("https://www.boe.es/gazeta/dias/1834/12/03/pdfs/GMD-1834-292.pdf#page=2","Abrir facsímil")</f>
        <v>Abrir facsímil</v>
      </c>
      <c r="K16929" s="10" t="s">
        <v>24</v>
      </c>
    </row>
    <row r="16930" spans="1:11" ht="54" customHeight="1">
      <c r="A16930" s="9" t="s">
        <v>34220</v>
      </c>
      <c r="B16930" s="9" t="s">
        <v>34220</v>
      </c>
      <c r="C16930" s="9" t="s">
        <v>17</v>
      </c>
      <c r="D16930" s="9" t="s">
        <v>18</v>
      </c>
      <c r="E16930" s="10" t="s">
        <v>1981</v>
      </c>
      <c r="F16930" s="9" t="s">
        <v>1982</v>
      </c>
      <c r="G16930" s="10" t="s">
        <v>86</v>
      </c>
      <c r="H16930" s="9" t="s">
        <v>22</v>
      </c>
      <c r="I16930" s="9" t="s">
        <v>34223</v>
      </c>
      <c r="J16930" s="10" t="str">
        <f>HYPERLINK("https://www.boe.es/gazeta/dias/1834/12/13/pdfs/GMD-1834-302.pdf#page=2","Abrir facsímil")</f>
        <v>Abrir facsímil</v>
      </c>
      <c r="K16930" s="10" t="s">
        <v>24</v>
      </c>
    </row>
    <row r="16931" spans="1:11" ht="54" customHeight="1">
      <c r="A16931" s="9" t="s">
        <v>34220</v>
      </c>
      <c r="B16931" s="9" t="s">
        <v>34220</v>
      </c>
      <c r="C16931" s="9" t="s">
        <v>17</v>
      </c>
      <c r="D16931" s="9" t="s">
        <v>18</v>
      </c>
      <c r="E16931" s="10" t="s">
        <v>492</v>
      </c>
      <c r="F16931" s="9" t="s">
        <v>1672</v>
      </c>
      <c r="G16931" s="10" t="s">
        <v>34</v>
      </c>
      <c r="H16931" s="9" t="s">
        <v>22</v>
      </c>
      <c r="I16931" s="9" t="s">
        <v>34224</v>
      </c>
      <c r="J16931" s="10" t="str">
        <f>HYPERLINK("https://www.boe.es/gazeta/dias/1834/11/21/pdfs/GMD-1834-280.pdf#page=1","Abrir facsímil")</f>
        <v>Abrir facsímil</v>
      </c>
      <c r="K16931" s="10" t="s">
        <v>24</v>
      </c>
    </row>
    <row r="16932" spans="1:11" ht="54" customHeight="1">
      <c r="A16932" s="9" t="s">
        <v>34220</v>
      </c>
      <c r="B16932" s="9" t="s">
        <v>34220</v>
      </c>
      <c r="C16932" s="9" t="s">
        <v>90</v>
      </c>
      <c r="D16932" s="9" t="s">
        <v>101</v>
      </c>
      <c r="E16932" s="10" t="s">
        <v>1575</v>
      </c>
      <c r="F16932" s="9" t="s">
        <v>1576</v>
      </c>
      <c r="G16932" s="10" t="s">
        <v>86</v>
      </c>
      <c r="H16932" s="9" t="s">
        <v>22</v>
      </c>
      <c r="I16932" s="9" t="s">
        <v>34225</v>
      </c>
      <c r="J16932" s="10" t="str">
        <f>HYPERLINK("https://www.boe.es/gazeta/dias/1834/11/24/pdfs/GMD-1834-283.pdf#page=2","Abrir facsímil")</f>
        <v>Abrir facsímil</v>
      </c>
      <c r="K16932" s="10" t="s">
        <v>24</v>
      </c>
    </row>
    <row r="16933" spans="1:11" ht="54" customHeight="1">
      <c r="A16933" s="9" t="s">
        <v>34220</v>
      </c>
      <c r="B16933" s="9" t="s">
        <v>34220</v>
      </c>
      <c r="C16933" s="9" t="s">
        <v>90</v>
      </c>
      <c r="D16933" s="9" t="s">
        <v>101</v>
      </c>
      <c r="E16933" s="10" t="s">
        <v>707</v>
      </c>
      <c r="F16933" s="9" t="s">
        <v>1359</v>
      </c>
      <c r="G16933" s="10" t="s">
        <v>86</v>
      </c>
      <c r="H16933" s="9" t="s">
        <v>22</v>
      </c>
      <c r="I16933" s="9" t="s">
        <v>34226</v>
      </c>
      <c r="J16933" s="10" t="str">
        <f>HYPERLINK("https://www.boe.es/gazeta/dias/1834/11/25/pdfs/GMD-1834-284.pdf#page=2","Abrir facsímil")</f>
        <v>Abrir facsímil</v>
      </c>
      <c r="K16933" s="10" t="s">
        <v>24</v>
      </c>
    </row>
    <row r="16934" spans="1:11" ht="54" customHeight="1">
      <c r="A16934" s="9" t="s">
        <v>34227</v>
      </c>
      <c r="B16934" s="9" t="s">
        <v>34227</v>
      </c>
      <c r="C16934" s="9" t="s">
        <v>17</v>
      </c>
      <c r="D16934" s="9" t="s">
        <v>18</v>
      </c>
      <c r="E16934" s="10" t="s">
        <v>524</v>
      </c>
      <c r="F16934" s="9" t="s">
        <v>4743</v>
      </c>
      <c r="G16934" s="10" t="s">
        <v>21</v>
      </c>
      <c r="H16934" s="9" t="s">
        <v>22</v>
      </c>
      <c r="I16934" s="9" t="s">
        <v>34228</v>
      </c>
      <c r="J16934" s="10" t="str">
        <f>HYPERLINK("https://www.boe.es/gazeta/dias/1834/12/25/pdfs/GMD-1834-315.pdf#page=3","Abrir facsímil")</f>
        <v>Abrir facsímil</v>
      </c>
      <c r="K16934" s="10" t="s">
        <v>24</v>
      </c>
    </row>
    <row r="16935" spans="1:11" ht="54" customHeight="1">
      <c r="A16935" s="9" t="s">
        <v>34229</v>
      </c>
      <c r="B16935" s="9" t="s">
        <v>34229</v>
      </c>
      <c r="C16935" s="9" t="s">
        <v>46</v>
      </c>
      <c r="D16935" s="9" t="s">
        <v>101</v>
      </c>
      <c r="E16935" s="10" t="s">
        <v>7523</v>
      </c>
      <c r="F16935" s="9" t="s">
        <v>7524</v>
      </c>
      <c r="G16935" s="10" t="s">
        <v>34</v>
      </c>
      <c r="H16935" s="9" t="s">
        <v>22</v>
      </c>
      <c r="I16935" s="9" t="s">
        <v>34230</v>
      </c>
      <c r="J16935" s="10" t="str">
        <f>HYPERLINK("https://www.boe.es/gazeta/dias/1834/12/26/pdfs/GMD-1834-316.pdf#page=1","Abrir facsímil")</f>
        <v>Abrir facsímil</v>
      </c>
      <c r="K16935" s="10" t="s">
        <v>24</v>
      </c>
    </row>
    <row r="16936" spans="1:11" ht="54" customHeight="1">
      <c r="A16936" s="9" t="s">
        <v>34231</v>
      </c>
      <c r="B16936" s="9" t="s">
        <v>34231</v>
      </c>
      <c r="C16936" s="9" t="s">
        <v>17</v>
      </c>
      <c r="D16936" s="9" t="s">
        <v>18</v>
      </c>
      <c r="E16936" s="10" t="s">
        <v>492</v>
      </c>
      <c r="F16936" s="9" t="s">
        <v>1672</v>
      </c>
      <c r="G16936" s="10" t="s">
        <v>21</v>
      </c>
      <c r="H16936" s="9" t="s">
        <v>22</v>
      </c>
      <c r="I16936" s="9" t="s">
        <v>34232</v>
      </c>
      <c r="J16936" s="10" t="str">
        <f>HYPERLINK("https://www.boe.es/gazeta/dias/1834/11/21/pdfs/GMD-1834-280.pdf#page=3","Abrir facsímil")</f>
        <v>Abrir facsímil</v>
      </c>
      <c r="K16936" s="10" t="s">
        <v>24</v>
      </c>
    </row>
    <row r="16937" spans="1:11" ht="54" customHeight="1">
      <c r="A16937" s="9" t="s">
        <v>34233</v>
      </c>
      <c r="B16937" s="9" t="s">
        <v>34234</v>
      </c>
      <c r="C16937" s="9" t="s">
        <v>17</v>
      </c>
      <c r="D16937" s="9" t="s">
        <v>18</v>
      </c>
      <c r="E16937" s="10" t="s">
        <v>556</v>
      </c>
      <c r="F16937" s="9" t="s">
        <v>557</v>
      </c>
      <c r="G16937" s="10" t="s">
        <v>75</v>
      </c>
      <c r="H16937" s="9" t="s">
        <v>22</v>
      </c>
      <c r="I16937" s="9" t="s">
        <v>34235</v>
      </c>
      <c r="J16937" s="10" t="str">
        <f>HYPERLINK("https://www.boe.es/gazeta/dias/1834/09/13/pdfs/GMD-1834-211.pdf#page=4","Abrir facsímil")</f>
        <v>Abrir facsímil</v>
      </c>
      <c r="K16937" s="10" t="s">
        <v>24</v>
      </c>
    </row>
    <row r="16938" spans="1:11" ht="54" customHeight="1">
      <c r="A16938" s="9" t="s">
        <v>34236</v>
      </c>
      <c r="B16938" s="9" t="s">
        <v>34237</v>
      </c>
      <c r="C16938" s="9" t="s">
        <v>46</v>
      </c>
      <c r="D16938" s="9" t="s">
        <v>101</v>
      </c>
      <c r="E16938" s="10" t="s">
        <v>541</v>
      </c>
      <c r="F16938" s="9" t="s">
        <v>542</v>
      </c>
      <c r="G16938" s="10" t="s">
        <v>75</v>
      </c>
      <c r="H16938" s="9" t="s">
        <v>22</v>
      </c>
      <c r="I16938" s="9" t="s">
        <v>34238</v>
      </c>
      <c r="J16938" s="10" t="str">
        <f>HYPERLINK("https://www.boe.es/gazeta/dias/1834/04/18/pdfs/GMD-1834-57.pdf#page=4","Abrir facsímil")</f>
        <v>Abrir facsímil</v>
      </c>
      <c r="K16938" s="10" t="s">
        <v>24</v>
      </c>
    </row>
    <row r="16939" spans="1:11" ht="54" customHeight="1">
      <c r="A16939" s="9" t="s">
        <v>34239</v>
      </c>
      <c r="B16939" s="9" t="s">
        <v>34240</v>
      </c>
      <c r="C16939" s="9" t="s">
        <v>17</v>
      </c>
      <c r="D16939" s="9" t="s">
        <v>18</v>
      </c>
      <c r="E16939" s="10" t="s">
        <v>715</v>
      </c>
      <c r="F16939" s="9" t="s">
        <v>7773</v>
      </c>
      <c r="G16939" s="10" t="s">
        <v>34</v>
      </c>
      <c r="H16939" s="9" t="s">
        <v>22</v>
      </c>
      <c r="I16939" s="9" t="s">
        <v>34241</v>
      </c>
      <c r="J16939" s="10" t="str">
        <f>HYPERLINK("https://www.boe.es/gazeta/dias/1834/09/17/pdfs/GMD-1834-215.pdf#page=1","Abrir facsímil")</f>
        <v>Abrir facsímil</v>
      </c>
      <c r="K16939" s="10" t="s">
        <v>24</v>
      </c>
    </row>
    <row r="16940" spans="1:11" ht="54" customHeight="1">
      <c r="A16940" s="9" t="s">
        <v>34242</v>
      </c>
      <c r="B16940" s="9" t="s">
        <v>34242</v>
      </c>
      <c r="C16940" s="9" t="s">
        <v>17</v>
      </c>
      <c r="D16940" s="9" t="s">
        <v>18</v>
      </c>
      <c r="E16940" s="10" t="s">
        <v>1677</v>
      </c>
      <c r="F16940" s="9" t="s">
        <v>1678</v>
      </c>
      <c r="G16940" s="10" t="s">
        <v>75</v>
      </c>
      <c r="H16940" s="9" t="s">
        <v>22</v>
      </c>
      <c r="I16940" s="9" t="s">
        <v>34243</v>
      </c>
      <c r="J16940" s="10" t="str">
        <f>HYPERLINK("https://www.boe.es/gazeta/dias/1834/07/26/pdfs/GMD-1834-159.pdf#page=4","Abrir facsímil")</f>
        <v>Abrir facsímil</v>
      </c>
      <c r="K16940" s="10" t="s">
        <v>24</v>
      </c>
    </row>
    <row r="16941" spans="1:11" ht="54" customHeight="1">
      <c r="A16941" s="9" t="s">
        <v>34244</v>
      </c>
      <c r="B16941" s="9" t="s">
        <v>34244</v>
      </c>
      <c r="C16941" s="9" t="s">
        <v>66</v>
      </c>
      <c r="D16941" s="9" t="s">
        <v>18</v>
      </c>
      <c r="E16941" s="10" t="s">
        <v>348</v>
      </c>
      <c r="F16941" s="9" t="s">
        <v>501</v>
      </c>
      <c r="G16941" s="10" t="s">
        <v>86</v>
      </c>
      <c r="H16941" s="9" t="s">
        <v>22</v>
      </c>
      <c r="I16941" s="9" t="s">
        <v>34245</v>
      </c>
      <c r="J16941" s="10" t="str">
        <f>HYPERLINK("https://www.boe.es/gazeta/dias/1834/06/12/pdfs/GMD-1834-115.pdf#page=2","Abrir facsímil")</f>
        <v>Abrir facsímil</v>
      </c>
      <c r="K16941" s="10" t="s">
        <v>24</v>
      </c>
    </row>
    <row r="16942" spans="1:11" ht="54" customHeight="1">
      <c r="A16942" s="9" t="s">
        <v>34246</v>
      </c>
      <c r="B16942" s="9" t="s">
        <v>34247</v>
      </c>
      <c r="C16942" s="9" t="s">
        <v>17</v>
      </c>
      <c r="D16942" s="9" t="s">
        <v>101</v>
      </c>
      <c r="E16942" s="10" t="s">
        <v>2748</v>
      </c>
      <c r="F16942" s="9" t="s">
        <v>2749</v>
      </c>
      <c r="G16942" s="10" t="s">
        <v>34</v>
      </c>
      <c r="H16942" s="9" t="s">
        <v>22</v>
      </c>
      <c r="I16942" s="9" t="s">
        <v>34248</v>
      </c>
      <c r="J16942" s="10" t="str">
        <f>HYPERLINK("https://www.boe.es/gazeta/dias/1834/01/09/pdfs/GMD-1834-5.pdf#page=1","Abrir facsímil")</f>
        <v>Abrir facsímil</v>
      </c>
      <c r="K16942" s="10" t="s">
        <v>24</v>
      </c>
    </row>
    <row r="16943" spans="1:11" ht="54" customHeight="1">
      <c r="A16943" s="9" t="s">
        <v>34249</v>
      </c>
      <c r="B16943" s="9" t="s">
        <v>34250</v>
      </c>
      <c r="C16943" s="9" t="s">
        <v>66</v>
      </c>
      <c r="D16943" s="9" t="s">
        <v>67</v>
      </c>
      <c r="E16943" s="10" t="s">
        <v>1084</v>
      </c>
      <c r="F16943" s="9" t="s">
        <v>1085</v>
      </c>
      <c r="G16943" s="10" t="s">
        <v>75</v>
      </c>
      <c r="H16943" s="9" t="s">
        <v>22</v>
      </c>
      <c r="I16943" s="9" t="s">
        <v>34251</v>
      </c>
      <c r="J16943" s="10" t="str">
        <f>HYPERLINK("https://www.boe.es/gazeta/dias/1834/05/01/pdfs/GMD-1834-70.pdf#page=4","Abrir facsímil")</f>
        <v>Abrir facsímil</v>
      </c>
      <c r="K16943" s="10" t="s">
        <v>24</v>
      </c>
    </row>
    <row r="16944" spans="1:11" ht="54" customHeight="1">
      <c r="A16944" s="9" t="s">
        <v>34249</v>
      </c>
      <c r="B16944" s="9" t="s">
        <v>34250</v>
      </c>
      <c r="C16944" s="9" t="s">
        <v>17</v>
      </c>
      <c r="D16944" s="9" t="s">
        <v>18</v>
      </c>
      <c r="E16944" s="10" t="s">
        <v>863</v>
      </c>
      <c r="F16944" s="9" t="s">
        <v>864</v>
      </c>
      <c r="G16944" s="10" t="s">
        <v>21</v>
      </c>
      <c r="H16944" s="9" t="s">
        <v>22</v>
      </c>
      <c r="I16944" s="9" t="s">
        <v>34252</v>
      </c>
      <c r="J16944" s="10" t="str">
        <f>HYPERLINK("https://www.boe.es/gazeta/dias/1834/09/15/pdfs/GMD-1834-213.pdf#page=3","Abrir facsímil")</f>
        <v>Abrir facsímil</v>
      </c>
      <c r="K16944" s="10" t="s">
        <v>24</v>
      </c>
    </row>
    <row r="16945" spans="1:11" ht="54" customHeight="1">
      <c r="A16945" s="9" t="s">
        <v>34249</v>
      </c>
      <c r="B16945" s="9" t="s">
        <v>34250</v>
      </c>
      <c r="C16945" s="9" t="s">
        <v>46</v>
      </c>
      <c r="D16945" s="9" t="s">
        <v>101</v>
      </c>
      <c r="E16945" s="10" t="s">
        <v>772</v>
      </c>
      <c r="F16945" s="9" t="s">
        <v>773</v>
      </c>
      <c r="G16945" s="10" t="s">
        <v>21</v>
      </c>
      <c r="H16945" s="9" t="s">
        <v>22</v>
      </c>
      <c r="I16945" s="9" t="s">
        <v>34253</v>
      </c>
      <c r="J16945" s="10" t="str">
        <f>HYPERLINK("https://www.boe.es/gazeta/dias/1834/09/18/pdfs/GMD-1834-216.pdf#page=3","Abrir facsímil")</f>
        <v>Abrir facsímil</v>
      </c>
      <c r="K16945" s="10" t="s">
        <v>24</v>
      </c>
    </row>
    <row r="16946" spans="1:11" ht="54" customHeight="1">
      <c r="A16946" s="9" t="s">
        <v>34249</v>
      </c>
      <c r="B16946" s="9" t="s">
        <v>34250</v>
      </c>
      <c r="C16946" s="9" t="s">
        <v>66</v>
      </c>
      <c r="D16946" s="9" t="s">
        <v>67</v>
      </c>
      <c r="E16946" s="10" t="s">
        <v>378</v>
      </c>
      <c r="F16946" s="9" t="s">
        <v>379</v>
      </c>
      <c r="G16946" s="10" t="s">
        <v>21</v>
      </c>
      <c r="H16946" s="9" t="s">
        <v>22</v>
      </c>
      <c r="I16946" s="9" t="s">
        <v>34254</v>
      </c>
      <c r="J16946" s="10" t="str">
        <f>HYPERLINK("https://www.boe.es/gazeta/dias/1834/09/24/pdfs/GMD-1834-222.pdf#page=3","Abrir facsímil")</f>
        <v>Abrir facsímil</v>
      </c>
      <c r="K16946" s="10" t="s">
        <v>24</v>
      </c>
    </row>
    <row r="16947" spans="1:11" ht="54" customHeight="1">
      <c r="A16947" s="9" t="s">
        <v>34255</v>
      </c>
      <c r="B16947" s="9" t="s">
        <v>34256</v>
      </c>
      <c r="C16947" s="9" t="s">
        <v>17</v>
      </c>
      <c r="D16947" s="9" t="s">
        <v>18</v>
      </c>
      <c r="E16947" s="10" t="s">
        <v>5904</v>
      </c>
      <c r="F16947" s="9" t="s">
        <v>5905</v>
      </c>
      <c r="G16947" s="10" t="s">
        <v>21</v>
      </c>
      <c r="H16947" s="9" t="s">
        <v>22</v>
      </c>
      <c r="I16947" s="9" t="s">
        <v>34257</v>
      </c>
      <c r="J16947" s="10" t="str">
        <f>HYPERLINK("https://www.boe.es/gazeta/dias/1834/09/29/pdfs/GMD-1834-227.pdf#page=3","Abrir facsímil")</f>
        <v>Abrir facsímil</v>
      </c>
      <c r="K16947" s="10" t="s">
        <v>24</v>
      </c>
    </row>
    <row r="16948" spans="1:11" ht="54" customHeight="1">
      <c r="A16948" s="9" t="s">
        <v>34258</v>
      </c>
      <c r="B16948" s="9" t="s">
        <v>34259</v>
      </c>
      <c r="C16948" s="9" t="s">
        <v>17</v>
      </c>
      <c r="D16948" s="9" t="s">
        <v>18</v>
      </c>
      <c r="E16948" s="10" t="s">
        <v>237</v>
      </c>
      <c r="F16948" s="9" t="s">
        <v>4609</v>
      </c>
      <c r="G16948" s="10" t="s">
        <v>21</v>
      </c>
      <c r="H16948" s="9" t="s">
        <v>22</v>
      </c>
      <c r="I16948" s="9" t="s">
        <v>34260</v>
      </c>
      <c r="J16948" s="10" t="str">
        <f>HYPERLINK("https://www.boe.es/gazeta/dias/1834/08/15/pdfs/GMD-1834-180.pdf#page=3","Abrir facsímil")</f>
        <v>Abrir facsímil</v>
      </c>
      <c r="K16948" s="10" t="s">
        <v>24</v>
      </c>
    </row>
    <row r="16949" spans="1:11" ht="54" customHeight="1">
      <c r="A16949" s="9" t="s">
        <v>34261</v>
      </c>
      <c r="B16949" s="9" t="s">
        <v>34262</v>
      </c>
      <c r="C16949" s="9" t="s">
        <v>17</v>
      </c>
      <c r="D16949" s="9" t="s">
        <v>40</v>
      </c>
      <c r="E16949" s="10" t="s">
        <v>5904</v>
      </c>
      <c r="F16949" s="9" t="s">
        <v>5905</v>
      </c>
      <c r="G16949" s="10" t="s">
        <v>75</v>
      </c>
      <c r="H16949" s="9" t="s">
        <v>22</v>
      </c>
      <c r="I16949" s="9" t="s">
        <v>34263</v>
      </c>
      <c r="J16949" s="10" t="str">
        <f>HYPERLINK("https://www.boe.es/gazeta/dias/1834/09/29/pdfs/GMD-1834-227.pdf#page=4","Abrir facsímil")</f>
        <v>Abrir facsímil</v>
      </c>
      <c r="K16949" s="10" t="s">
        <v>24</v>
      </c>
    </row>
    <row r="16950" spans="1:11" ht="54" customHeight="1">
      <c r="A16950" s="9" t="s">
        <v>34264</v>
      </c>
      <c r="B16950" s="9" t="s">
        <v>34265</v>
      </c>
      <c r="C16950" s="9" t="s">
        <v>17</v>
      </c>
      <c r="D16950" s="9" t="s">
        <v>18</v>
      </c>
      <c r="E16950" s="10" t="s">
        <v>610</v>
      </c>
      <c r="F16950" s="9" t="s">
        <v>611</v>
      </c>
      <c r="G16950" s="10" t="s">
        <v>28</v>
      </c>
      <c r="H16950" s="9" t="s">
        <v>22</v>
      </c>
      <c r="I16950" s="9" t="s">
        <v>34266</v>
      </c>
      <c r="J16950" s="10" t="str">
        <f>HYPERLINK("https://www.boe.es/gazeta/dias/1834/12/21/pdfs/GMD-C-1834-311.pdf#page=5","Abrir facsímil")</f>
        <v>Abrir facsímil</v>
      </c>
      <c r="K16950" s="10" t="s">
        <v>24</v>
      </c>
    </row>
    <row r="16951" spans="1:11" ht="54" customHeight="1">
      <c r="A16951" s="9" t="s">
        <v>34267</v>
      </c>
      <c r="B16951" s="9" t="s">
        <v>34268</v>
      </c>
      <c r="C16951" s="9" t="s">
        <v>17</v>
      </c>
      <c r="D16951" s="9" t="s">
        <v>18</v>
      </c>
      <c r="E16951" s="10" t="s">
        <v>237</v>
      </c>
      <c r="F16951" s="9" t="s">
        <v>4609</v>
      </c>
      <c r="G16951" s="10" t="s">
        <v>21</v>
      </c>
      <c r="H16951" s="9" t="s">
        <v>35</v>
      </c>
      <c r="I16951" s="9" t="s">
        <v>34269</v>
      </c>
      <c r="J16951" s="10" t="str">
        <f>HYPERLINK("https://www.boe.es/gazeta/dias/1834/08/15/pdfs/GMD-1834-180.pdf#page=3","Abrir facsímil")</f>
        <v>Abrir facsímil</v>
      </c>
      <c r="K16951" s="10" t="s">
        <v>37</v>
      </c>
    </row>
    <row r="16952" spans="1:11" ht="54" customHeight="1">
      <c r="A16952" s="9" t="s">
        <v>34270</v>
      </c>
      <c r="B16952" s="9" t="s">
        <v>34271</v>
      </c>
      <c r="C16952" s="9" t="s">
        <v>17</v>
      </c>
      <c r="D16952" s="9" t="s">
        <v>18</v>
      </c>
      <c r="E16952" s="10" t="s">
        <v>128</v>
      </c>
      <c r="F16952" s="9" t="s">
        <v>129</v>
      </c>
      <c r="G16952" s="10" t="s">
        <v>75</v>
      </c>
      <c r="H16952" s="9" t="s">
        <v>35</v>
      </c>
      <c r="I16952" s="9" t="s">
        <v>34272</v>
      </c>
      <c r="J16952" s="10" t="str">
        <f>HYPERLINK("https://www.boe.es/gazeta/dias/1834/12/24/pdfs/GMD-C-1834-314.pdf#page=4","Abrir facsímil")</f>
        <v>Abrir facsímil</v>
      </c>
      <c r="K16952" s="10" t="s">
        <v>37</v>
      </c>
    </row>
    <row r="16953" spans="1:11" ht="54" customHeight="1">
      <c r="A16953" s="9" t="s">
        <v>34273</v>
      </c>
      <c r="B16953" s="9" t="s">
        <v>34274</v>
      </c>
      <c r="C16953" s="9" t="s">
        <v>66</v>
      </c>
      <c r="D16953" s="9" t="s">
        <v>67</v>
      </c>
      <c r="E16953" s="10" t="s">
        <v>19</v>
      </c>
      <c r="F16953" s="9" t="s">
        <v>1933</v>
      </c>
      <c r="G16953" s="10" t="s">
        <v>34</v>
      </c>
      <c r="H16953" s="9" t="s">
        <v>35</v>
      </c>
      <c r="I16953" s="9" t="s">
        <v>34275</v>
      </c>
      <c r="J16953" s="10" t="str">
        <f>HYPERLINK("https://www.boe.es/gazeta/dias/1834/08/17/pdfs/GMD-1834-183E.pdf#page=1","Abrir facsímil")</f>
        <v>Abrir facsímil</v>
      </c>
      <c r="K16953" s="10" t="s">
        <v>37</v>
      </c>
    </row>
    <row r="16954" spans="1:11" ht="54" customHeight="1">
      <c r="A16954" s="9" t="s">
        <v>34276</v>
      </c>
      <c r="B16954" s="9" t="s">
        <v>34277</v>
      </c>
      <c r="C16954" s="9" t="s">
        <v>17</v>
      </c>
      <c r="D16954" s="9" t="s">
        <v>18</v>
      </c>
      <c r="E16954" s="10" t="s">
        <v>3083</v>
      </c>
      <c r="F16954" s="9" t="s">
        <v>3084</v>
      </c>
      <c r="G16954" s="10" t="s">
        <v>21</v>
      </c>
      <c r="H16954" s="9" t="s">
        <v>35</v>
      </c>
      <c r="I16954" s="9" t="s">
        <v>34278</v>
      </c>
      <c r="J16954" s="10" t="str">
        <f>HYPERLINK("https://www.boe.es/gazeta/dias/1834/10/30/pdfs/GMD-1834-258.pdf#page=3","Abrir facsímil")</f>
        <v>Abrir facsímil</v>
      </c>
      <c r="K16954" s="10" t="s">
        <v>37</v>
      </c>
    </row>
    <row r="16955" spans="1:11" ht="54" customHeight="1">
      <c r="A16955" s="9" t="s">
        <v>34279</v>
      </c>
      <c r="B16955" s="9" t="s">
        <v>34280</v>
      </c>
      <c r="C16955" s="9" t="s">
        <v>17</v>
      </c>
      <c r="D16955" s="9" t="s">
        <v>18</v>
      </c>
      <c r="E16955" s="10" t="s">
        <v>1186</v>
      </c>
      <c r="F16955" s="9" t="s">
        <v>4286</v>
      </c>
      <c r="G16955" s="10" t="s">
        <v>34</v>
      </c>
      <c r="H16955" s="9" t="s">
        <v>35</v>
      </c>
      <c r="I16955" s="9" t="s">
        <v>34281</v>
      </c>
      <c r="J16955" s="10" t="str">
        <f>HYPERLINK("https://www.boe.es/gazeta/dias/1834/08/14/pdfs/GMD-C-1834-179.pdf#page=1","Abrir facsímil")</f>
        <v>Abrir facsímil</v>
      </c>
      <c r="K16955" s="10" t="s">
        <v>37</v>
      </c>
    </row>
    <row r="16956" spans="1:11" ht="54" customHeight="1">
      <c r="A16956" s="9" t="s">
        <v>34282</v>
      </c>
      <c r="B16956" s="9" t="s">
        <v>34283</v>
      </c>
      <c r="C16956" s="9" t="s">
        <v>90</v>
      </c>
      <c r="D16956" s="9" t="s">
        <v>18</v>
      </c>
      <c r="E16956" s="10" t="s">
        <v>1186</v>
      </c>
      <c r="F16956" s="9" t="s">
        <v>4286</v>
      </c>
      <c r="G16956" s="10" t="s">
        <v>86</v>
      </c>
      <c r="H16956" s="9" t="s">
        <v>35</v>
      </c>
      <c r="I16956" s="9" t="s">
        <v>34284</v>
      </c>
      <c r="J16956" s="10" t="str">
        <f>HYPERLINK("https://www.boe.es/gazeta/dias/1834/08/14/pdfs/GMD-C-1834-179.pdf#page=2","Abrir facsímil")</f>
        <v>Abrir facsímil</v>
      </c>
      <c r="K16956" s="10" t="s">
        <v>37</v>
      </c>
    </row>
    <row r="16957" spans="1:11" ht="54" customHeight="1">
      <c r="A16957" s="9" t="s">
        <v>34285</v>
      </c>
      <c r="B16957" s="9" t="s">
        <v>34286</v>
      </c>
      <c r="C16957" s="9" t="s">
        <v>46</v>
      </c>
      <c r="D16957" s="9" t="s">
        <v>101</v>
      </c>
      <c r="E16957" s="10" t="s">
        <v>426</v>
      </c>
      <c r="F16957" s="9" t="s">
        <v>427</v>
      </c>
      <c r="G16957" s="10" t="s">
        <v>21</v>
      </c>
      <c r="H16957" s="9" t="s">
        <v>22</v>
      </c>
      <c r="I16957" s="9" t="s">
        <v>34287</v>
      </c>
      <c r="J16957" s="10" t="str">
        <f>HYPERLINK("https://www.boe.es/gazeta/dias/1834/10/04/pdfs/GMD-1834-232.pdf#page=3","Abrir facsímil")</f>
        <v>Abrir facsímil</v>
      </c>
      <c r="K16957" s="10" t="s">
        <v>24</v>
      </c>
    </row>
    <row r="16958" spans="1:11" ht="54" customHeight="1">
      <c r="A16958" s="9" t="s">
        <v>34285</v>
      </c>
      <c r="B16958" s="9" t="s">
        <v>34286</v>
      </c>
      <c r="C16958" s="9" t="s">
        <v>17</v>
      </c>
      <c r="D16958" s="9" t="s">
        <v>18</v>
      </c>
      <c r="E16958" s="10" t="s">
        <v>1103</v>
      </c>
      <c r="F16958" s="9" t="s">
        <v>1104</v>
      </c>
      <c r="G16958" s="10" t="s">
        <v>34</v>
      </c>
      <c r="H16958" s="9" t="s">
        <v>22</v>
      </c>
      <c r="I16958" s="9" t="s">
        <v>34288</v>
      </c>
      <c r="J16958" s="10" t="str">
        <f>HYPERLINK("https://www.boe.es/gazeta/dias/1834/10/10/pdfs/GMD-C-1834-238.pdf#page=1","Abrir facsímil")</f>
        <v>Abrir facsímil</v>
      </c>
      <c r="K16958" s="10" t="s">
        <v>24</v>
      </c>
    </row>
    <row r="16959" spans="1:11" ht="54" customHeight="1">
      <c r="A16959" s="9" t="s">
        <v>34285</v>
      </c>
      <c r="B16959" s="9" t="s">
        <v>34286</v>
      </c>
      <c r="C16959" s="9" t="s">
        <v>17</v>
      </c>
      <c r="D16959" s="9" t="s">
        <v>18</v>
      </c>
      <c r="E16959" s="10" t="s">
        <v>1839</v>
      </c>
      <c r="F16959" s="9" t="s">
        <v>1840</v>
      </c>
      <c r="G16959" s="10" t="s">
        <v>86</v>
      </c>
      <c r="H16959" s="9" t="s">
        <v>22</v>
      </c>
      <c r="I16959" s="9" t="s">
        <v>34289</v>
      </c>
      <c r="J16959" s="10" t="str">
        <f>HYPERLINK("https://www.boe.es/gazeta/dias/1834/08/12/pdfs/GMD-C-1834-177.pdf#page=2","Abrir facsímil")</f>
        <v>Abrir facsímil</v>
      </c>
      <c r="K16959" s="10" t="s">
        <v>24</v>
      </c>
    </row>
    <row r="16960" spans="1:11" ht="54" customHeight="1">
      <c r="A16960" s="9" t="s">
        <v>34285</v>
      </c>
      <c r="B16960" s="9" t="s">
        <v>34286</v>
      </c>
      <c r="C16960" s="9" t="s">
        <v>66</v>
      </c>
      <c r="D16960" s="9" t="s">
        <v>67</v>
      </c>
      <c r="E16960" s="10" t="s">
        <v>1234</v>
      </c>
      <c r="F16960" s="9" t="s">
        <v>1455</v>
      </c>
      <c r="G16960" s="10" t="s">
        <v>21</v>
      </c>
      <c r="H16960" s="9" t="s">
        <v>22</v>
      </c>
      <c r="I16960" s="9" t="s">
        <v>34290</v>
      </c>
      <c r="J16960" s="10" t="str">
        <f>HYPERLINK("https://www.boe.es/gazeta/dias/1834/05/15/pdfs/GMD-1834-84.pdf#page=3","Abrir facsímil")</f>
        <v>Abrir facsímil</v>
      </c>
      <c r="K16960" s="10" t="s">
        <v>24</v>
      </c>
    </row>
    <row r="16961" spans="1:11" ht="54" customHeight="1">
      <c r="A16961" s="9" t="s">
        <v>34285</v>
      </c>
      <c r="B16961" s="9" t="s">
        <v>34286</v>
      </c>
      <c r="C16961" s="9" t="s">
        <v>17</v>
      </c>
      <c r="D16961" s="9" t="s">
        <v>18</v>
      </c>
      <c r="E16961" s="10" t="s">
        <v>601</v>
      </c>
      <c r="F16961" s="9" t="s">
        <v>602</v>
      </c>
      <c r="G16961" s="10" t="s">
        <v>75</v>
      </c>
      <c r="H16961" s="9" t="s">
        <v>22</v>
      </c>
      <c r="I16961" s="9" t="s">
        <v>34291</v>
      </c>
      <c r="J16961" s="10" t="str">
        <f>HYPERLINK("https://www.boe.es/gazeta/dias/1834/08/16/pdfs/GMD-1834-181.pdf#page=4","Abrir facsímil")</f>
        <v>Abrir facsímil</v>
      </c>
      <c r="K16961" s="10" t="s">
        <v>24</v>
      </c>
    </row>
    <row r="16962" spans="1:11" ht="54" customHeight="1">
      <c r="A16962" s="9" t="s">
        <v>34285</v>
      </c>
      <c r="B16962" s="9" t="s">
        <v>34286</v>
      </c>
      <c r="C16962" s="9" t="s">
        <v>66</v>
      </c>
      <c r="D16962" s="9" t="s">
        <v>67</v>
      </c>
      <c r="E16962" s="10" t="s">
        <v>1517</v>
      </c>
      <c r="F16962" s="9" t="s">
        <v>1518</v>
      </c>
      <c r="G16962" s="10" t="s">
        <v>75</v>
      </c>
      <c r="H16962" s="9" t="s">
        <v>22</v>
      </c>
      <c r="I16962" s="9" t="s">
        <v>34292</v>
      </c>
      <c r="J16962" s="10" t="str">
        <f>HYPERLINK("https://www.boe.es/gazeta/dias/1834/05/18/pdfs/GMD-1834-87.pdf#page=4","Abrir facsímil")</f>
        <v>Abrir facsímil</v>
      </c>
      <c r="K16962" s="10" t="s">
        <v>24</v>
      </c>
    </row>
    <row r="16963" spans="1:11" ht="54" customHeight="1">
      <c r="A16963" s="9" t="s">
        <v>34285</v>
      </c>
      <c r="B16963" s="9" t="s">
        <v>34286</v>
      </c>
      <c r="C16963" s="9" t="s">
        <v>17</v>
      </c>
      <c r="D16963" s="9" t="s">
        <v>18</v>
      </c>
      <c r="E16963" s="10" t="s">
        <v>367</v>
      </c>
      <c r="F16963" s="9" t="s">
        <v>368</v>
      </c>
      <c r="G16963" s="10" t="s">
        <v>75</v>
      </c>
      <c r="H16963" s="9" t="s">
        <v>22</v>
      </c>
      <c r="I16963" s="9" t="s">
        <v>34293</v>
      </c>
      <c r="J16963" s="10" t="str">
        <f>HYPERLINK("https://www.boe.es/gazeta/dias/1834/05/19/pdfs/GMD-1834-88.pdf#page=4","Abrir facsímil")</f>
        <v>Abrir facsímil</v>
      </c>
      <c r="K16963" s="10" t="s">
        <v>24</v>
      </c>
    </row>
    <row r="16964" spans="1:11" ht="54" customHeight="1">
      <c r="A16964" s="9" t="s">
        <v>34285</v>
      </c>
      <c r="B16964" s="9" t="s">
        <v>34286</v>
      </c>
      <c r="C16964" s="9" t="s">
        <v>17</v>
      </c>
      <c r="D16964" s="9" t="s">
        <v>18</v>
      </c>
      <c r="E16964" s="10" t="s">
        <v>2596</v>
      </c>
      <c r="F16964" s="9" t="s">
        <v>5480</v>
      </c>
      <c r="G16964" s="10" t="s">
        <v>34</v>
      </c>
      <c r="H16964" s="9" t="s">
        <v>22</v>
      </c>
      <c r="I16964" s="9" t="s">
        <v>34294</v>
      </c>
      <c r="J16964" s="10" t="str">
        <f>HYPERLINK("https://www.boe.es/gazeta/dias/1834/10/22/pdfs/GMD-C-1834-250.pdf#page=1","Abrir facsímil")</f>
        <v>Abrir facsímil</v>
      </c>
      <c r="K16964" s="10" t="s">
        <v>24</v>
      </c>
    </row>
    <row r="16965" spans="1:11" ht="54" customHeight="1">
      <c r="A16965" s="9" t="s">
        <v>34285</v>
      </c>
      <c r="B16965" s="9" t="s">
        <v>34286</v>
      </c>
      <c r="C16965" s="9" t="s">
        <v>17</v>
      </c>
      <c r="D16965" s="9" t="s">
        <v>40</v>
      </c>
      <c r="E16965" s="10" t="s">
        <v>468</v>
      </c>
      <c r="F16965" s="9" t="s">
        <v>469</v>
      </c>
      <c r="G16965" s="10" t="s">
        <v>470</v>
      </c>
      <c r="H16965" s="9" t="s">
        <v>22</v>
      </c>
      <c r="I16965" s="9" t="s">
        <v>34295</v>
      </c>
      <c r="J16965" s="10" t="str">
        <f>HYPERLINK("https://www.boe.es/gazeta/dias/1834/12/28/pdfs/GMD-C-1834-318.pdf#page=8","Abrir facsímil")</f>
        <v>Abrir facsímil</v>
      </c>
      <c r="K16965" s="10" t="s">
        <v>24</v>
      </c>
    </row>
    <row r="16966" spans="1:11" ht="54" customHeight="1">
      <c r="A16966" s="9" t="s">
        <v>34285</v>
      </c>
      <c r="B16966" s="9" t="s">
        <v>34286</v>
      </c>
      <c r="C16966" s="9" t="s">
        <v>17</v>
      </c>
      <c r="D16966" s="9" t="s">
        <v>18</v>
      </c>
      <c r="E16966" s="10" t="s">
        <v>2526</v>
      </c>
      <c r="F16966" s="9" t="s">
        <v>2527</v>
      </c>
      <c r="G16966" s="10" t="s">
        <v>21</v>
      </c>
      <c r="H16966" s="9" t="s">
        <v>22</v>
      </c>
      <c r="I16966" s="9" t="s">
        <v>34296</v>
      </c>
      <c r="J16966" s="10" t="str">
        <f>HYPERLINK("https://www.boe.es/gazeta/dias/1834/12/29/pdfs/GMD-C-1834-319.pdf#page=3","Abrir facsímil")</f>
        <v>Abrir facsímil</v>
      </c>
      <c r="K16966" s="10" t="s">
        <v>24</v>
      </c>
    </row>
    <row r="16967" spans="1:11" ht="54" customHeight="1">
      <c r="A16967" s="9" t="s">
        <v>34297</v>
      </c>
      <c r="B16967" s="9" t="s">
        <v>34298</v>
      </c>
      <c r="C16967" s="9" t="s">
        <v>66</v>
      </c>
      <c r="D16967" s="9" t="s">
        <v>18</v>
      </c>
      <c r="E16967" s="10" t="s">
        <v>364</v>
      </c>
      <c r="F16967" s="9" t="s">
        <v>365</v>
      </c>
      <c r="G16967" s="10" t="s">
        <v>86</v>
      </c>
      <c r="H16967" s="9" t="s">
        <v>22</v>
      </c>
      <c r="I16967" s="9" t="s">
        <v>34299</v>
      </c>
      <c r="J16967" s="10" t="str">
        <f>HYPERLINK("https://www.boe.es/gazeta/dias/1834/09/06/pdfs/GMD-D-1834-204.pdf#page=2","Abrir facsímil")</f>
        <v>Abrir facsímil</v>
      </c>
      <c r="K16967" s="10" t="s">
        <v>24</v>
      </c>
    </row>
    <row r="16968" spans="1:11" ht="54" customHeight="1">
      <c r="A16968" s="9" t="s">
        <v>34297</v>
      </c>
      <c r="B16968" s="9" t="s">
        <v>34298</v>
      </c>
      <c r="C16968" s="9" t="s">
        <v>66</v>
      </c>
      <c r="D16968" s="9" t="s">
        <v>67</v>
      </c>
      <c r="E16968" s="10" t="s">
        <v>304</v>
      </c>
      <c r="F16968" s="9" t="s">
        <v>305</v>
      </c>
      <c r="G16968" s="10" t="s">
        <v>176</v>
      </c>
      <c r="H16968" s="9" t="s">
        <v>22</v>
      </c>
      <c r="I16968" s="9" t="s">
        <v>34300</v>
      </c>
      <c r="J16968" s="10" t="str">
        <f>HYPERLINK("https://www.boe.es/gazeta/dias/1834/01/21/pdfs/GMD-1834-10.pdf#page=6","Abrir facsímil")</f>
        <v>Abrir facsímil</v>
      </c>
      <c r="K16968" s="10" t="s">
        <v>24</v>
      </c>
    </row>
    <row r="16969" spans="1:11" ht="54" customHeight="1">
      <c r="A16969" s="9" t="s">
        <v>34297</v>
      </c>
      <c r="B16969" s="9" t="s">
        <v>34298</v>
      </c>
      <c r="C16969" s="9" t="s">
        <v>66</v>
      </c>
      <c r="D16969" s="9" t="s">
        <v>67</v>
      </c>
      <c r="E16969" s="10" t="s">
        <v>462</v>
      </c>
      <c r="F16969" s="9" t="s">
        <v>2110</v>
      </c>
      <c r="G16969" s="10" t="s">
        <v>21</v>
      </c>
      <c r="H16969" s="9" t="s">
        <v>22</v>
      </c>
      <c r="I16969" s="9" t="s">
        <v>34301</v>
      </c>
      <c r="J16969" s="10" t="str">
        <f>HYPERLINK("https://www.boe.es/gazeta/dias/1834/08/27/pdfs/GMD-1834-193.pdf#page=3","Abrir facsímil")</f>
        <v>Abrir facsímil</v>
      </c>
      <c r="K16969" s="10" t="s">
        <v>24</v>
      </c>
    </row>
    <row r="16970" spans="1:11" ht="54" customHeight="1">
      <c r="A16970" s="9" t="s">
        <v>34302</v>
      </c>
      <c r="B16970" s="9" t="s">
        <v>34303</v>
      </c>
      <c r="C16970" s="9" t="s">
        <v>17</v>
      </c>
      <c r="D16970" s="9" t="s">
        <v>55</v>
      </c>
      <c r="E16970" s="10" t="s">
        <v>1689</v>
      </c>
      <c r="F16970" s="9" t="s">
        <v>1690</v>
      </c>
      <c r="G16970" s="10" t="s">
        <v>21</v>
      </c>
      <c r="H16970" s="9" t="s">
        <v>22</v>
      </c>
      <c r="I16970" s="9" t="s">
        <v>34304</v>
      </c>
      <c r="J16970" s="10" t="str">
        <f>HYPERLINK("https://www.boe.es/gazeta/dias/1834/07/28/pdfs/GMD-1834-161.pdf#page=3","Abrir facsímil")</f>
        <v>Abrir facsímil</v>
      </c>
      <c r="K16970" s="10" t="s">
        <v>24</v>
      </c>
    </row>
    <row r="16971" spans="1:11" ht="54" customHeight="1">
      <c r="A16971" s="9" t="s">
        <v>34305</v>
      </c>
      <c r="B16971" s="9" t="s">
        <v>34306</v>
      </c>
      <c r="C16971" s="9" t="s">
        <v>17</v>
      </c>
      <c r="D16971" s="9" t="s">
        <v>18</v>
      </c>
      <c r="E16971" s="10" t="s">
        <v>1337</v>
      </c>
      <c r="F16971" s="9" t="s">
        <v>1338</v>
      </c>
      <c r="G16971" s="10" t="s">
        <v>34</v>
      </c>
      <c r="H16971" s="9" t="s">
        <v>22</v>
      </c>
      <c r="I16971" s="9" t="s">
        <v>34307</v>
      </c>
      <c r="J16971" s="10" t="str">
        <f>HYPERLINK("https://www.boe.es/gazeta/dias/1834/01/02/pdfs/GMD-1834-1.pdf#page=1","Abrir facsímil")</f>
        <v>Abrir facsímil</v>
      </c>
      <c r="K16971" s="10" t="s">
        <v>24</v>
      </c>
    </row>
    <row r="16972" spans="1:11" ht="54" customHeight="1">
      <c r="A16972" s="9" t="s">
        <v>34305</v>
      </c>
      <c r="B16972" s="9" t="s">
        <v>34306</v>
      </c>
      <c r="C16972" s="9" t="s">
        <v>17</v>
      </c>
      <c r="D16972" s="9" t="s">
        <v>101</v>
      </c>
      <c r="E16972" s="10" t="s">
        <v>2748</v>
      </c>
      <c r="F16972" s="9" t="s">
        <v>2749</v>
      </c>
      <c r="G16972" s="10" t="s">
        <v>34</v>
      </c>
      <c r="H16972" s="9" t="s">
        <v>22</v>
      </c>
      <c r="I16972" s="9" t="s">
        <v>34308</v>
      </c>
      <c r="J16972" s="10" t="str">
        <f>HYPERLINK("https://www.boe.es/gazeta/dias/1834/01/09/pdfs/GMD-1834-5.pdf#page=1","Abrir facsímil")</f>
        <v>Abrir facsímil</v>
      </c>
      <c r="K16972" s="10" t="s">
        <v>24</v>
      </c>
    </row>
    <row r="16973" spans="1:11" ht="54" customHeight="1">
      <c r="A16973" s="9" t="s">
        <v>34305</v>
      </c>
      <c r="B16973" s="9" t="s">
        <v>34306</v>
      </c>
      <c r="C16973" s="9" t="s">
        <v>17</v>
      </c>
      <c r="D16973" s="9" t="s">
        <v>18</v>
      </c>
      <c r="E16973" s="10" t="s">
        <v>1234</v>
      </c>
      <c r="F16973" s="9" t="s">
        <v>1455</v>
      </c>
      <c r="G16973" s="10" t="s">
        <v>21</v>
      </c>
      <c r="H16973" s="9" t="s">
        <v>22</v>
      </c>
      <c r="I16973" s="9" t="s">
        <v>34309</v>
      </c>
      <c r="J16973" s="10" t="str">
        <f>HYPERLINK("https://www.boe.es/gazeta/dias/1834/05/15/pdfs/GMD-1834-84.pdf#page=3","Abrir facsímil")</f>
        <v>Abrir facsímil</v>
      </c>
      <c r="K16973" s="10" t="s">
        <v>24</v>
      </c>
    </row>
    <row r="16974" spans="1:11" ht="54" customHeight="1">
      <c r="A16974" s="9" t="s">
        <v>34305</v>
      </c>
      <c r="B16974" s="9" t="s">
        <v>34306</v>
      </c>
      <c r="C16974" s="9" t="s">
        <v>17</v>
      </c>
      <c r="D16974" s="9" t="s">
        <v>18</v>
      </c>
      <c r="E16974" s="10" t="s">
        <v>237</v>
      </c>
      <c r="F16974" s="9" t="s">
        <v>4609</v>
      </c>
      <c r="G16974" s="10" t="s">
        <v>21</v>
      </c>
      <c r="H16974" s="9" t="s">
        <v>22</v>
      </c>
      <c r="I16974" s="9" t="s">
        <v>34310</v>
      </c>
      <c r="J16974" s="10" t="str">
        <f>HYPERLINK("https://www.boe.es/gazeta/dias/1834/08/15/pdfs/GMD-1834-180.pdf#page=3","Abrir facsímil")</f>
        <v>Abrir facsímil</v>
      </c>
      <c r="K16974" s="10" t="s">
        <v>24</v>
      </c>
    </row>
    <row r="16975" spans="1:11" ht="54" customHeight="1">
      <c r="A16975" s="9" t="s">
        <v>34305</v>
      </c>
      <c r="B16975" s="9" t="s">
        <v>34306</v>
      </c>
      <c r="C16975" s="9" t="s">
        <v>46</v>
      </c>
      <c r="D16975" s="9" t="s">
        <v>101</v>
      </c>
      <c r="E16975" s="10" t="s">
        <v>1572</v>
      </c>
      <c r="F16975" s="9" t="s">
        <v>1573</v>
      </c>
      <c r="G16975" s="10" t="s">
        <v>28</v>
      </c>
      <c r="H16975" s="9" t="s">
        <v>22</v>
      </c>
      <c r="I16975" s="9" t="s">
        <v>34311</v>
      </c>
      <c r="J16975" s="10" t="str">
        <f>HYPERLINK("https://www.boe.es/gazeta/dias/1834/03/20/pdfs/GMD-1834-35.pdf#page=5","Abrir facsímil")</f>
        <v>Abrir facsímil</v>
      </c>
      <c r="K16975" s="10" t="s">
        <v>24</v>
      </c>
    </row>
    <row r="16976" spans="1:11" ht="54" customHeight="1">
      <c r="A16976" s="9" t="s">
        <v>34305</v>
      </c>
      <c r="B16976" s="9" t="s">
        <v>34306</v>
      </c>
      <c r="C16976" s="9" t="s">
        <v>17</v>
      </c>
      <c r="D16976" s="9" t="s">
        <v>18</v>
      </c>
      <c r="E16976" s="10" t="s">
        <v>32</v>
      </c>
      <c r="F16976" s="9" t="s">
        <v>7431</v>
      </c>
      <c r="G16976" s="10" t="s">
        <v>34</v>
      </c>
      <c r="H16976" s="9" t="s">
        <v>22</v>
      </c>
      <c r="I16976" s="9" t="s">
        <v>34312</v>
      </c>
      <c r="J16976" s="10" t="str">
        <f>HYPERLINK("https://www.boe.es/gazeta/dias/1834/04/23/pdfs/GMD-C-1834-62.pdf#page=1","Abrir facsímil")</f>
        <v>Abrir facsímil</v>
      </c>
      <c r="K16976" s="10" t="s">
        <v>24</v>
      </c>
    </row>
    <row r="16977" spans="1:11" ht="54" customHeight="1">
      <c r="A16977" s="9" t="s">
        <v>34313</v>
      </c>
      <c r="B16977" s="9" t="s">
        <v>34314</v>
      </c>
      <c r="C16977" s="9" t="s">
        <v>66</v>
      </c>
      <c r="D16977" s="9" t="s">
        <v>67</v>
      </c>
      <c r="E16977" s="10" t="s">
        <v>1239</v>
      </c>
      <c r="F16977" s="9" t="s">
        <v>1240</v>
      </c>
      <c r="G16977" s="10" t="s">
        <v>21</v>
      </c>
      <c r="H16977" s="9" t="s">
        <v>22</v>
      </c>
      <c r="I16977" s="9" t="s">
        <v>34315</v>
      </c>
      <c r="J16977" s="10" t="str">
        <f>HYPERLINK("https://www.boe.es/gazeta/dias/1834/08/20/pdfs/GMD-1834-186.pdf#page=3","Abrir facsímil")</f>
        <v>Abrir facsímil</v>
      </c>
      <c r="K16977" s="10" t="s">
        <v>24</v>
      </c>
    </row>
    <row r="16978" spans="1:11" ht="54" customHeight="1">
      <c r="A16978" s="9" t="s">
        <v>34316</v>
      </c>
      <c r="B16978" s="9" t="s">
        <v>34317</v>
      </c>
      <c r="C16978" s="9" t="s">
        <v>17</v>
      </c>
      <c r="D16978" s="9" t="s">
        <v>18</v>
      </c>
      <c r="E16978" s="10" t="s">
        <v>128</v>
      </c>
      <c r="F16978" s="9" t="s">
        <v>129</v>
      </c>
      <c r="G16978" s="10" t="s">
        <v>75</v>
      </c>
      <c r="H16978" s="9" t="s">
        <v>22</v>
      </c>
      <c r="I16978" s="9" t="s">
        <v>34318</v>
      </c>
      <c r="J16978" s="10" t="str">
        <f>HYPERLINK("https://www.boe.es/gazeta/dias/1834/12/24/pdfs/GMD-C-1834-314.pdf#page=4","Abrir facsímil")</f>
        <v>Abrir facsímil</v>
      </c>
      <c r="K16978" s="10" t="s">
        <v>24</v>
      </c>
    </row>
    <row r="16979" spans="1:11" ht="54" customHeight="1">
      <c r="A16979" s="9" t="s">
        <v>34319</v>
      </c>
      <c r="B16979" s="9" t="s">
        <v>34320</v>
      </c>
      <c r="C16979" s="9" t="s">
        <v>66</v>
      </c>
      <c r="D16979" s="9" t="s">
        <v>67</v>
      </c>
      <c r="E16979" s="10" t="s">
        <v>19</v>
      </c>
      <c r="F16979" s="9" t="s">
        <v>1933</v>
      </c>
      <c r="G16979" s="10" t="s">
        <v>34</v>
      </c>
      <c r="H16979" s="9" t="s">
        <v>22</v>
      </c>
      <c r="I16979" s="9" t="s">
        <v>34321</v>
      </c>
      <c r="J16979" s="10" t="str">
        <f>HYPERLINK("https://www.boe.es/gazeta/dias/1834/08/17/pdfs/GMD-1834-183E.pdf#page=1","Abrir facsímil")</f>
        <v>Abrir facsímil</v>
      </c>
      <c r="K16979" s="10" t="s">
        <v>24</v>
      </c>
    </row>
    <row r="16980" spans="1:11" ht="54" customHeight="1">
      <c r="A16980" s="9" t="s">
        <v>34322</v>
      </c>
      <c r="B16980" s="9" t="s">
        <v>34323</v>
      </c>
      <c r="C16980" s="9" t="s">
        <v>17</v>
      </c>
      <c r="D16980" s="9" t="s">
        <v>18</v>
      </c>
      <c r="E16980" s="10" t="s">
        <v>1002</v>
      </c>
      <c r="F16980" s="9" t="s">
        <v>1003</v>
      </c>
      <c r="G16980" s="10" t="s">
        <v>75</v>
      </c>
      <c r="H16980" s="9" t="s">
        <v>22</v>
      </c>
      <c r="I16980" s="9" t="s">
        <v>34324</v>
      </c>
      <c r="J16980" s="10" t="str">
        <f>HYPERLINK("https://www.boe.es/gazeta/dias/1834/06/26/pdfs/GMD-1834-129.pdf#page=4","Abrir facsímil")</f>
        <v>Abrir facsímil</v>
      </c>
      <c r="K16980" s="10" t="s">
        <v>24</v>
      </c>
    </row>
    <row r="16981" spans="1:11" ht="54" customHeight="1">
      <c r="A16981" s="9" t="s">
        <v>34325</v>
      </c>
      <c r="B16981" s="9" t="s">
        <v>34326</v>
      </c>
      <c r="C16981" s="9" t="s">
        <v>66</v>
      </c>
      <c r="D16981" s="9" t="s">
        <v>18</v>
      </c>
      <c r="E16981" s="10" t="s">
        <v>375</v>
      </c>
      <c r="F16981" s="9" t="s">
        <v>376</v>
      </c>
      <c r="G16981" s="10" t="s">
        <v>21</v>
      </c>
      <c r="H16981" s="9" t="s">
        <v>22</v>
      </c>
      <c r="I16981" s="9" t="s">
        <v>34327</v>
      </c>
      <c r="J16981" s="10" t="str">
        <f>HYPERLINK("https://www.boe.es/gazeta/dias/1834/08/21/pdfs/GMD-1834-187.pdf#page=3","Abrir facsímil")</f>
        <v>Abrir facsímil</v>
      </c>
      <c r="K16981" s="10" t="s">
        <v>24</v>
      </c>
    </row>
    <row r="16982" spans="1:11" ht="54" customHeight="1">
      <c r="A16982" s="9" t="s">
        <v>34328</v>
      </c>
      <c r="B16982" s="9" t="s">
        <v>34329</v>
      </c>
      <c r="C16982" s="9" t="s">
        <v>17</v>
      </c>
      <c r="D16982" s="9" t="s">
        <v>18</v>
      </c>
      <c r="E16982" s="10" t="s">
        <v>117</v>
      </c>
      <c r="F16982" s="9" t="s">
        <v>118</v>
      </c>
      <c r="G16982" s="10" t="s">
        <v>75</v>
      </c>
      <c r="H16982" s="9" t="s">
        <v>22</v>
      </c>
      <c r="I16982" s="9" t="s">
        <v>34330</v>
      </c>
      <c r="J16982" s="10" t="str">
        <f>HYPERLINK("https://www.boe.es/gazeta/dias/1834/07/21/pdfs/GMD-1834-154.pdf#page=4","Abrir facsímil")</f>
        <v>Abrir facsímil</v>
      </c>
      <c r="K16982" s="10" t="s">
        <v>24</v>
      </c>
    </row>
    <row r="16983" spans="1:11" ht="54" customHeight="1">
      <c r="A16983" s="9" t="s">
        <v>34331</v>
      </c>
      <c r="B16983" s="9" t="s">
        <v>34332</v>
      </c>
      <c r="C16983" s="9" t="s">
        <v>46</v>
      </c>
      <c r="D16983" s="9" t="s">
        <v>101</v>
      </c>
      <c r="E16983" s="10" t="s">
        <v>174</v>
      </c>
      <c r="F16983" s="9" t="s">
        <v>175</v>
      </c>
      <c r="G16983" s="10" t="s">
        <v>75</v>
      </c>
      <c r="H16983" s="9" t="s">
        <v>22</v>
      </c>
      <c r="I16983" s="9" t="s">
        <v>34333</v>
      </c>
      <c r="J16983" s="10" t="str">
        <f>HYPERLINK("https://www.boe.es/gazeta/dias/1834/03/27/pdfs/GMD-1834-38.pdf#page=4","Abrir facsímil")</f>
        <v>Abrir facsímil</v>
      </c>
      <c r="K16983" s="10" t="s">
        <v>24</v>
      </c>
    </row>
    <row r="16984" spans="1:11" ht="54" customHeight="1">
      <c r="A16984" s="9" t="s">
        <v>34334</v>
      </c>
      <c r="B16984" s="9" t="s">
        <v>34335</v>
      </c>
      <c r="C16984" s="9" t="s">
        <v>17</v>
      </c>
      <c r="D16984" s="9" t="s">
        <v>101</v>
      </c>
      <c r="E16984" s="10" t="s">
        <v>1410</v>
      </c>
      <c r="F16984" s="9" t="s">
        <v>1411</v>
      </c>
      <c r="G16984" s="10" t="s">
        <v>21</v>
      </c>
      <c r="H16984" s="9" t="s">
        <v>22</v>
      </c>
      <c r="I16984" s="9" t="s">
        <v>34336</v>
      </c>
      <c r="J16984" s="10" t="str">
        <f>HYPERLINK("https://www.boe.es/gazeta/dias/1834/09/09/pdfs/GMD-1834-207.pdf#page=3","Abrir facsímil")</f>
        <v>Abrir facsímil</v>
      </c>
      <c r="K16984" s="10" t="s">
        <v>24</v>
      </c>
    </row>
    <row r="16985" spans="1:11" ht="54" customHeight="1">
      <c r="A16985" s="9" t="s">
        <v>34337</v>
      </c>
      <c r="B16985" s="9" t="s">
        <v>34338</v>
      </c>
      <c r="C16985" s="9" t="s">
        <v>66</v>
      </c>
      <c r="D16985" s="9" t="s">
        <v>67</v>
      </c>
      <c r="E16985" s="10" t="s">
        <v>863</v>
      </c>
      <c r="F16985" s="9" t="s">
        <v>864</v>
      </c>
      <c r="G16985" s="10" t="s">
        <v>75</v>
      </c>
      <c r="H16985" s="9" t="s">
        <v>22</v>
      </c>
      <c r="I16985" s="9" t="s">
        <v>34339</v>
      </c>
      <c r="J16985" s="10" t="str">
        <f>HYPERLINK("https://www.boe.es/gazeta/dias/1834/09/15/pdfs/GMD-1834-213.pdf#page=4","Abrir facsímil")</f>
        <v>Abrir facsímil</v>
      </c>
      <c r="K16985" s="10" t="s">
        <v>24</v>
      </c>
    </row>
    <row r="16986" spans="1:11" ht="54" customHeight="1">
      <c r="A16986" s="9" t="s">
        <v>34340</v>
      </c>
      <c r="B16986" s="9" t="s">
        <v>34341</v>
      </c>
      <c r="C16986" s="9" t="s">
        <v>17</v>
      </c>
      <c r="D16986" s="9" t="s">
        <v>18</v>
      </c>
      <c r="E16986" s="10" t="s">
        <v>3083</v>
      </c>
      <c r="F16986" s="9" t="s">
        <v>3084</v>
      </c>
      <c r="G16986" s="10" t="s">
        <v>21</v>
      </c>
      <c r="H16986" s="9" t="s">
        <v>22</v>
      </c>
      <c r="I16986" s="9" t="s">
        <v>34342</v>
      </c>
      <c r="J16986" s="10" t="str">
        <f>HYPERLINK("https://www.boe.es/gazeta/dias/1834/10/30/pdfs/GMD-1834-258.pdf#page=3","Abrir facsímil")</f>
        <v>Abrir facsímil</v>
      </c>
      <c r="K16986" s="10" t="s">
        <v>24</v>
      </c>
    </row>
    <row r="16987" spans="1:11" ht="54" customHeight="1">
      <c r="A16987" s="9" t="s">
        <v>34343</v>
      </c>
      <c r="B16987" s="9" t="s">
        <v>34344</v>
      </c>
      <c r="C16987" s="9" t="s">
        <v>17</v>
      </c>
      <c r="D16987" s="9" t="s">
        <v>18</v>
      </c>
      <c r="E16987" s="10" t="s">
        <v>623</v>
      </c>
      <c r="F16987" s="9" t="s">
        <v>624</v>
      </c>
      <c r="G16987" s="10" t="s">
        <v>34</v>
      </c>
      <c r="H16987" s="9" t="s">
        <v>22</v>
      </c>
      <c r="I16987" s="9" t="s">
        <v>34345</v>
      </c>
      <c r="J16987" s="10" t="str">
        <f>HYPERLINK("https://www.boe.es/gazeta/dias/1834/10/12/pdfs/GMD-C-1834-240.pdf#page=1","Abrir facsímil")</f>
        <v>Abrir facsímil</v>
      </c>
      <c r="K16987" s="10" t="s">
        <v>24</v>
      </c>
    </row>
    <row r="16988" spans="1:11" ht="54" customHeight="1">
      <c r="A16988" s="9" t="s">
        <v>34346</v>
      </c>
      <c r="B16988" s="9" t="s">
        <v>34347</v>
      </c>
      <c r="C16988" s="9" t="s">
        <v>17</v>
      </c>
      <c r="D16988" s="9" t="s">
        <v>18</v>
      </c>
      <c r="E16988" s="10" t="s">
        <v>1510</v>
      </c>
      <c r="F16988" s="9" t="s">
        <v>1511</v>
      </c>
      <c r="G16988" s="10" t="s">
        <v>21</v>
      </c>
      <c r="H16988" s="9" t="s">
        <v>22</v>
      </c>
      <c r="I16988" s="9" t="s">
        <v>34348</v>
      </c>
      <c r="J16988" s="10" t="str">
        <f>HYPERLINK("https://www.boe.es/gazeta/dias/1834/06/13/pdfs/GMD-1834-116.pdf#page=3","Abrir facsímil")</f>
        <v>Abrir facsímil</v>
      </c>
      <c r="K16988" s="10" t="s">
        <v>24</v>
      </c>
    </row>
    <row r="16989" spans="1:11" ht="54" customHeight="1">
      <c r="A16989" s="9" t="s">
        <v>34349</v>
      </c>
      <c r="B16989" s="9" t="s">
        <v>34350</v>
      </c>
      <c r="C16989" s="9" t="s">
        <v>90</v>
      </c>
      <c r="D16989" s="9" t="s">
        <v>18</v>
      </c>
      <c r="E16989" s="10" t="s">
        <v>462</v>
      </c>
      <c r="F16989" s="9" t="s">
        <v>463</v>
      </c>
      <c r="G16989" s="10" t="s">
        <v>86</v>
      </c>
      <c r="H16989" s="9" t="s">
        <v>22</v>
      </c>
      <c r="I16989" s="9" t="s">
        <v>34351</v>
      </c>
      <c r="J16989" s="10" t="str">
        <f>HYPERLINK("https://www.boe.es/gazeta/dias/1834/08/27/pdfs/GMD-C-1834-193.pdf#page=2","Abrir facsímil")</f>
        <v>Abrir facsímil</v>
      </c>
      <c r="K16989" s="10" t="s">
        <v>24</v>
      </c>
    </row>
    <row r="16990" spans="1:11" ht="54" customHeight="1">
      <c r="A16990" s="9" t="s">
        <v>34352</v>
      </c>
      <c r="B16990" s="9" t="s">
        <v>34353</v>
      </c>
      <c r="C16990" s="9" t="s">
        <v>66</v>
      </c>
      <c r="D16990" s="9" t="s">
        <v>67</v>
      </c>
      <c r="E16990" s="10" t="s">
        <v>222</v>
      </c>
      <c r="F16990" s="9" t="s">
        <v>223</v>
      </c>
      <c r="G16990" s="10" t="s">
        <v>21</v>
      </c>
      <c r="H16990" s="9" t="s">
        <v>22</v>
      </c>
      <c r="I16990" s="9" t="s">
        <v>34354</v>
      </c>
      <c r="J16990" s="10" t="str">
        <f>HYPERLINK("https://www.boe.es/gazeta/dias/1834/09/14/pdfs/GMD-1834-212.pdf#page=3","Abrir facsímil")</f>
        <v>Abrir facsímil</v>
      </c>
      <c r="K16990" s="10" t="s">
        <v>24</v>
      </c>
    </row>
    <row r="16991" spans="1:11" ht="54" customHeight="1">
      <c r="A16991" s="9" t="s">
        <v>34355</v>
      </c>
      <c r="B16991" s="9" t="s">
        <v>34356</v>
      </c>
      <c r="C16991" s="9" t="s">
        <v>90</v>
      </c>
      <c r="D16991" s="9" t="s">
        <v>18</v>
      </c>
      <c r="E16991" s="10" t="s">
        <v>1186</v>
      </c>
      <c r="F16991" s="9" t="s">
        <v>4286</v>
      </c>
      <c r="G16991" s="10" t="s">
        <v>86</v>
      </c>
      <c r="H16991" s="9" t="s">
        <v>22</v>
      </c>
      <c r="I16991" s="9" t="s">
        <v>34357</v>
      </c>
      <c r="J16991" s="10" t="str">
        <f>HYPERLINK("https://www.boe.es/gazeta/dias/1834/08/14/pdfs/GMD-C-1834-179.pdf#page=2","Abrir facsímil")</f>
        <v>Abrir facsímil</v>
      </c>
      <c r="K16991" s="10" t="s">
        <v>24</v>
      </c>
    </row>
    <row r="16992" spans="1:11" ht="54" customHeight="1">
      <c r="A16992" s="9" t="s">
        <v>34358</v>
      </c>
      <c r="B16992" s="9" t="s">
        <v>34359</v>
      </c>
      <c r="C16992" s="9" t="s">
        <v>17</v>
      </c>
      <c r="D16992" s="9" t="s">
        <v>18</v>
      </c>
      <c r="E16992" s="10" t="s">
        <v>667</v>
      </c>
      <c r="F16992" s="9" t="s">
        <v>668</v>
      </c>
      <c r="G16992" s="10" t="s">
        <v>34</v>
      </c>
      <c r="H16992" s="9" t="s">
        <v>22</v>
      </c>
      <c r="I16992" s="9" t="s">
        <v>34360</v>
      </c>
      <c r="J16992" s="10" t="str">
        <f>HYPERLINK("https://www.boe.es/gazeta/dias/1834/11/23/pdfs/GMD-C-1834-282.pdf#page=1","Abrir facsímil")</f>
        <v>Abrir facsímil</v>
      </c>
      <c r="K16992" s="10" t="s">
        <v>24</v>
      </c>
    </row>
    <row r="16993" spans="1:11" ht="54" customHeight="1">
      <c r="A16993" s="9" t="s">
        <v>34361</v>
      </c>
      <c r="B16993" s="9" t="s">
        <v>34362</v>
      </c>
      <c r="C16993" s="9" t="s">
        <v>17</v>
      </c>
      <c r="D16993" s="9" t="s">
        <v>18</v>
      </c>
      <c r="E16993" s="10" t="s">
        <v>1234</v>
      </c>
      <c r="F16993" s="9" t="s">
        <v>1455</v>
      </c>
      <c r="G16993" s="10" t="s">
        <v>21</v>
      </c>
      <c r="H16993" s="9" t="s">
        <v>22</v>
      </c>
      <c r="I16993" s="9" t="s">
        <v>34363</v>
      </c>
      <c r="J16993" s="10" t="str">
        <f>HYPERLINK("https://www.boe.es/gazeta/dias/1834/05/15/pdfs/GMD-1834-84.pdf#page=3","Abrir facsímil")</f>
        <v>Abrir facsímil</v>
      </c>
      <c r="K16993" s="10" t="s">
        <v>24</v>
      </c>
    </row>
    <row r="16994" spans="1:11" ht="54" customHeight="1">
      <c r="A16994" s="9" t="s">
        <v>34364</v>
      </c>
      <c r="B16994" s="9" t="s">
        <v>34365</v>
      </c>
      <c r="C16994" s="9" t="s">
        <v>17</v>
      </c>
      <c r="D16994" s="9" t="s">
        <v>18</v>
      </c>
      <c r="E16994" s="10" t="s">
        <v>3083</v>
      </c>
      <c r="F16994" s="9" t="s">
        <v>3084</v>
      </c>
      <c r="G16994" s="10" t="s">
        <v>21</v>
      </c>
      <c r="H16994" s="9" t="s">
        <v>22</v>
      </c>
      <c r="I16994" s="9" t="s">
        <v>34366</v>
      </c>
      <c r="J16994" s="10" t="str">
        <f>HYPERLINK("https://www.boe.es/gazeta/dias/1834/10/30/pdfs/GMD-1834-258.pdf#page=3","Abrir facsímil")</f>
        <v>Abrir facsímil</v>
      </c>
      <c r="K16994" s="10" t="s">
        <v>24</v>
      </c>
    </row>
    <row r="16995" spans="1:11" ht="54" customHeight="1">
      <c r="A16995" s="9" t="s">
        <v>34367</v>
      </c>
      <c r="B16995" s="9" t="s">
        <v>34368</v>
      </c>
      <c r="C16995" s="9" t="s">
        <v>17</v>
      </c>
      <c r="D16995" s="9" t="s">
        <v>18</v>
      </c>
      <c r="E16995" s="10" t="s">
        <v>1839</v>
      </c>
      <c r="F16995" s="9" t="s">
        <v>1840</v>
      </c>
      <c r="G16995" s="10" t="s">
        <v>34</v>
      </c>
      <c r="H16995" s="9" t="s">
        <v>22</v>
      </c>
      <c r="I16995" s="9" t="s">
        <v>34369</v>
      </c>
      <c r="J16995" s="10" t="str">
        <f>HYPERLINK("https://www.boe.es/gazeta/dias/1834/08/12/pdfs/GMD-C-1834-177.pdf#page=1","Abrir facsímil")</f>
        <v>Abrir facsímil</v>
      </c>
      <c r="K16995" s="10" t="s">
        <v>24</v>
      </c>
    </row>
    <row r="16996" spans="1:11" ht="54" customHeight="1">
      <c r="A16996" s="9" t="s">
        <v>34370</v>
      </c>
      <c r="B16996" s="9" t="s">
        <v>34371</v>
      </c>
      <c r="C16996" s="9" t="s">
        <v>66</v>
      </c>
      <c r="D16996" s="9" t="s">
        <v>18</v>
      </c>
      <c r="E16996" s="10" t="s">
        <v>19</v>
      </c>
      <c r="F16996" s="9" t="s">
        <v>1933</v>
      </c>
      <c r="G16996" s="10" t="s">
        <v>86</v>
      </c>
      <c r="H16996" s="9" t="s">
        <v>22</v>
      </c>
      <c r="I16996" s="9" t="s">
        <v>34372</v>
      </c>
      <c r="J16996" s="10" t="str">
        <f>HYPERLINK("https://www.boe.es/gazeta/dias/1834/08/17/pdfs/GMD-1834-183E.pdf#page=2","Abrir facsímil")</f>
        <v>Abrir facsímil</v>
      </c>
      <c r="K16996" s="10" t="s">
        <v>24</v>
      </c>
    </row>
    <row r="16997" spans="1:11" ht="54" customHeight="1">
      <c r="A16997" s="9" t="s">
        <v>34373</v>
      </c>
      <c r="B16997" s="9" t="s">
        <v>34374</v>
      </c>
      <c r="C16997" s="9" t="s">
        <v>122</v>
      </c>
      <c r="D16997" s="9" t="s">
        <v>18</v>
      </c>
      <c r="E16997" s="10" t="s">
        <v>233</v>
      </c>
      <c r="F16997" s="9" t="s">
        <v>1810</v>
      </c>
      <c r="G16997" s="10" t="s">
        <v>2174</v>
      </c>
      <c r="H16997" s="9" t="s">
        <v>22</v>
      </c>
      <c r="I16997" s="9" t="s">
        <v>34375</v>
      </c>
      <c r="J16997" s="10" t="str">
        <f>HYPERLINK("https://www.boe.es/gazeta/dias/1834/12/16/pdfs/GMD-C-1834-305.pdf#page=10","Abrir facsímil")</f>
        <v>Abrir facsímil</v>
      </c>
      <c r="K16997" s="10" t="s">
        <v>24</v>
      </c>
    </row>
    <row r="16998" spans="1:11" ht="54" customHeight="1">
      <c r="A16998" s="9" t="s">
        <v>34376</v>
      </c>
      <c r="B16998" s="9" t="s">
        <v>34377</v>
      </c>
      <c r="C16998" s="9" t="s">
        <v>90</v>
      </c>
      <c r="D16998" s="9" t="s">
        <v>18</v>
      </c>
      <c r="E16998" s="10" t="s">
        <v>1839</v>
      </c>
      <c r="F16998" s="9" t="s">
        <v>1840</v>
      </c>
      <c r="G16998" s="10" t="s">
        <v>86</v>
      </c>
      <c r="H16998" s="9" t="s">
        <v>22</v>
      </c>
      <c r="I16998" s="9" t="s">
        <v>34378</v>
      </c>
      <c r="J16998" s="10" t="str">
        <f>HYPERLINK("https://www.boe.es/gazeta/dias/1834/08/12/pdfs/GMD-C-1834-177.pdf#page=2","Abrir facsímil")</f>
        <v>Abrir facsímil</v>
      </c>
      <c r="K16998" s="10" t="s">
        <v>24</v>
      </c>
    </row>
    <row r="16999" spans="1:11" ht="54" customHeight="1">
      <c r="A16999" s="9" t="s">
        <v>34379</v>
      </c>
      <c r="B16999" s="9" t="s">
        <v>34380</v>
      </c>
      <c r="C16999" s="9" t="s">
        <v>66</v>
      </c>
      <c r="D16999" s="9" t="s">
        <v>67</v>
      </c>
      <c r="E16999" s="10" t="s">
        <v>724</v>
      </c>
      <c r="F16999" s="9" t="s">
        <v>725</v>
      </c>
      <c r="G16999" s="10" t="s">
        <v>28</v>
      </c>
      <c r="H16999" s="9" t="s">
        <v>22</v>
      </c>
      <c r="I16999" s="9" t="s">
        <v>34381</v>
      </c>
      <c r="J16999" s="10" t="str">
        <f>HYPERLINK("https://www.boe.es/gazeta/dias/1834/04/25/pdfs/GMD-1834-64.pdf#page=5","Abrir facsímil")</f>
        <v>Abrir facsímil</v>
      </c>
      <c r="K16999" s="10" t="s">
        <v>24</v>
      </c>
    </row>
    <row r="17000" spans="1:11" ht="54" customHeight="1">
      <c r="A17000" s="9" t="s">
        <v>34382</v>
      </c>
      <c r="B17000" s="9" t="s">
        <v>34383</v>
      </c>
      <c r="C17000" s="9" t="s">
        <v>17</v>
      </c>
      <c r="D17000" s="9" t="s">
        <v>18</v>
      </c>
      <c r="E17000" s="10" t="s">
        <v>623</v>
      </c>
      <c r="F17000" s="9" t="s">
        <v>624</v>
      </c>
      <c r="G17000" s="10" t="s">
        <v>34</v>
      </c>
      <c r="H17000" s="9" t="s">
        <v>22</v>
      </c>
      <c r="I17000" s="9" t="s">
        <v>34384</v>
      </c>
      <c r="J17000" s="10" t="str">
        <f>HYPERLINK("https://www.boe.es/gazeta/dias/1834/10/12/pdfs/GMD-C-1834-240.pdf#page=1","Abrir facsímil")</f>
        <v>Abrir facsímil</v>
      </c>
      <c r="K17000" s="10" t="s">
        <v>24</v>
      </c>
    </row>
    <row r="17001" spans="1:11" ht="54" customHeight="1">
      <c r="A17001" s="9" t="s">
        <v>34385</v>
      </c>
      <c r="B17001" s="9" t="s">
        <v>34386</v>
      </c>
      <c r="C17001" s="9" t="s">
        <v>66</v>
      </c>
      <c r="D17001" s="9" t="s">
        <v>101</v>
      </c>
      <c r="E17001" s="10" t="s">
        <v>262</v>
      </c>
      <c r="F17001" s="9" t="s">
        <v>7012</v>
      </c>
      <c r="G17001" s="10" t="s">
        <v>34</v>
      </c>
      <c r="H17001" s="9" t="s">
        <v>22</v>
      </c>
      <c r="I17001" s="9" t="s">
        <v>34387</v>
      </c>
      <c r="J17001" s="10" t="str">
        <f>HYPERLINK("https://www.boe.es/gazeta/dias/1834/10/18/pdfs/GMD-1834-246.pdf#page=1","Abrir facsímil")</f>
        <v>Abrir facsímil</v>
      </c>
      <c r="K17001" s="10" t="s">
        <v>24</v>
      </c>
    </row>
    <row r="17002" spans="1:11" ht="54" customHeight="1">
      <c r="A17002" s="9" t="s">
        <v>34388</v>
      </c>
      <c r="B17002" s="9" t="s">
        <v>34388</v>
      </c>
      <c r="C17002" s="9" t="s">
        <v>17</v>
      </c>
      <c r="D17002" s="9" t="s">
        <v>18</v>
      </c>
      <c r="E17002" s="10" t="s">
        <v>1850</v>
      </c>
      <c r="F17002" s="9" t="s">
        <v>1851</v>
      </c>
      <c r="G17002" s="10" t="s">
        <v>560</v>
      </c>
      <c r="H17002" s="9" t="s">
        <v>22</v>
      </c>
      <c r="I17002" s="9" t="s">
        <v>34389</v>
      </c>
      <c r="J17002" s="10" t="str">
        <f>HYPERLINK("https://www.boe.es/gazeta/dias/1834/02/18/pdfs/GMD-1834-22.pdf#page=7","Abrir facsímil")</f>
        <v>Abrir facsímil</v>
      </c>
      <c r="K17002" s="10" t="s">
        <v>24</v>
      </c>
    </row>
    <row r="17003" spans="1:11" ht="54" customHeight="1">
      <c r="A17003" s="9" t="s">
        <v>34390</v>
      </c>
      <c r="B17003" s="9" t="s">
        <v>34391</v>
      </c>
      <c r="C17003" s="9" t="s">
        <v>17</v>
      </c>
      <c r="D17003" s="9" t="s">
        <v>18</v>
      </c>
      <c r="E17003" s="10" t="s">
        <v>3952</v>
      </c>
      <c r="F17003" s="9" t="s">
        <v>3953</v>
      </c>
      <c r="G17003" s="10" t="s">
        <v>21</v>
      </c>
      <c r="H17003" s="9" t="s">
        <v>22</v>
      </c>
      <c r="I17003" s="9" t="s">
        <v>34392</v>
      </c>
      <c r="J17003" s="10" t="str">
        <f>HYPERLINK("https://www.boe.es/gazeta/dias/1834/02/22/pdfs/GMD-1834-24.pdf#page=3","Abrir facsímil")</f>
        <v>Abrir facsímil</v>
      </c>
      <c r="K17003" s="10" t="s">
        <v>24</v>
      </c>
    </row>
    <row r="17004" spans="1:11" ht="54" customHeight="1">
      <c r="A17004" s="9" t="s">
        <v>34393</v>
      </c>
      <c r="B17004" s="9" t="s">
        <v>34393</v>
      </c>
      <c r="C17004" s="9" t="s">
        <v>17</v>
      </c>
      <c r="D17004" s="9" t="s">
        <v>18</v>
      </c>
      <c r="E17004" s="10" t="s">
        <v>237</v>
      </c>
      <c r="F17004" s="9" t="s">
        <v>238</v>
      </c>
      <c r="G17004" s="10" t="s">
        <v>34</v>
      </c>
      <c r="H17004" s="9" t="s">
        <v>22</v>
      </c>
      <c r="I17004" s="9" t="s">
        <v>34394</v>
      </c>
      <c r="J17004" s="10" t="str">
        <f>HYPERLINK("https://www.boe.es/gazeta/dias/1834/08/15/pdfs/GMD-C-1834-180.pdf#page=1","Abrir facsímil")</f>
        <v>Abrir facsímil</v>
      </c>
      <c r="K17004" s="10" t="s">
        <v>24</v>
      </c>
    </row>
    <row r="17005" spans="1:11" ht="54" customHeight="1">
      <c r="A17005" s="9" t="s">
        <v>34395</v>
      </c>
      <c r="B17005" s="9" t="s">
        <v>34396</v>
      </c>
      <c r="C17005" s="9" t="s">
        <v>90</v>
      </c>
      <c r="D17005" s="9" t="s">
        <v>18</v>
      </c>
      <c r="E17005" s="10" t="s">
        <v>541</v>
      </c>
      <c r="F17005" s="9" t="s">
        <v>542</v>
      </c>
      <c r="G17005" s="10" t="s">
        <v>86</v>
      </c>
      <c r="H17005" s="9" t="s">
        <v>22</v>
      </c>
      <c r="I17005" s="9" t="s">
        <v>34397</v>
      </c>
      <c r="J17005" s="10" t="str">
        <f>HYPERLINK("https://www.boe.es/gazeta/dias/1834/04/18/pdfs/GMD-1834-57.pdf#page=2","Abrir facsímil")</f>
        <v>Abrir facsímil</v>
      </c>
      <c r="K17005" s="10" t="s">
        <v>24</v>
      </c>
    </row>
    <row r="17006" spans="1:11" ht="54" customHeight="1">
      <c r="A17006" s="9" t="s">
        <v>34398</v>
      </c>
      <c r="B17006" s="9" t="s">
        <v>34398</v>
      </c>
      <c r="C17006" s="9" t="s">
        <v>66</v>
      </c>
      <c r="D17006" s="9" t="s">
        <v>67</v>
      </c>
      <c r="E17006" s="10" t="s">
        <v>981</v>
      </c>
      <c r="F17006" s="9" t="s">
        <v>982</v>
      </c>
      <c r="G17006" s="10" t="s">
        <v>34</v>
      </c>
      <c r="H17006" s="9" t="s">
        <v>22</v>
      </c>
      <c r="I17006" s="9" t="s">
        <v>34399</v>
      </c>
      <c r="J17006" s="10" t="str">
        <f>HYPERLINK("https://www.boe.es/gazeta/dias/1834/09/21/pdfs/GMD-1834-219.pdf#page=1","Abrir facsímil")</f>
        <v>Abrir facsímil</v>
      </c>
      <c r="K17006" s="10" t="s">
        <v>24</v>
      </c>
    </row>
    <row r="17007" spans="1:11" ht="54" customHeight="1">
      <c r="A17007" s="9" t="s">
        <v>34400</v>
      </c>
      <c r="B17007" s="9" t="s">
        <v>34401</v>
      </c>
      <c r="C17007" s="9" t="s">
        <v>17</v>
      </c>
      <c r="D17007" s="9" t="s">
        <v>18</v>
      </c>
      <c r="E17007" s="10" t="s">
        <v>679</v>
      </c>
      <c r="F17007" s="9" t="s">
        <v>680</v>
      </c>
      <c r="G17007" s="10" t="s">
        <v>86</v>
      </c>
      <c r="H17007" s="9" t="s">
        <v>22</v>
      </c>
      <c r="I17007" s="9" t="s">
        <v>34402</v>
      </c>
      <c r="J17007" s="10" t="str">
        <f>HYPERLINK("https://www.boe.es/gazeta/dias/1834/12/10/pdfs/GMD-1834-299.pdf#page=2","Abrir facsímil")</f>
        <v>Abrir facsímil</v>
      </c>
      <c r="K17007" s="10" t="s">
        <v>24</v>
      </c>
    </row>
    <row r="17008" spans="1:11" ht="54" customHeight="1">
      <c r="A17008" s="9" t="s">
        <v>34403</v>
      </c>
      <c r="B17008" s="9" t="s">
        <v>34404</v>
      </c>
      <c r="C17008" s="9" t="s">
        <v>17</v>
      </c>
      <c r="D17008" s="9" t="s">
        <v>18</v>
      </c>
      <c r="E17008" s="10" t="s">
        <v>2142</v>
      </c>
      <c r="F17008" s="9" t="s">
        <v>2316</v>
      </c>
      <c r="G17008" s="10" t="s">
        <v>34</v>
      </c>
      <c r="H17008" s="9" t="s">
        <v>35</v>
      </c>
      <c r="I17008" s="9" t="s">
        <v>34405</v>
      </c>
      <c r="J17008" s="10" t="str">
        <f>HYPERLINK("https://www.boe.es/gazeta/dias/1834/12/27/pdfs/GMD-C-1834-317.pdf#page=1","Abrir facsímil")</f>
        <v>Abrir facsímil</v>
      </c>
      <c r="K17008" s="10" t="s">
        <v>37</v>
      </c>
    </row>
    <row r="17009" spans="1:11" ht="54" customHeight="1">
      <c r="A17009" s="9" t="s">
        <v>34406</v>
      </c>
      <c r="B17009" s="9" t="s">
        <v>34407</v>
      </c>
      <c r="C17009" s="9" t="s">
        <v>17</v>
      </c>
      <c r="D17009" s="9" t="s">
        <v>18</v>
      </c>
      <c r="E17009" s="10" t="s">
        <v>2142</v>
      </c>
      <c r="F17009" s="9" t="s">
        <v>2316</v>
      </c>
      <c r="G17009" s="10" t="s">
        <v>34</v>
      </c>
      <c r="H17009" s="9" t="s">
        <v>22</v>
      </c>
      <c r="I17009" s="9" t="s">
        <v>34408</v>
      </c>
      <c r="J17009" s="10" t="str">
        <f>HYPERLINK("https://www.boe.es/gazeta/dias/1834/12/27/pdfs/GMD-C-1834-317.pdf#page=1","Abrir facsímil")</f>
        <v>Abrir facsímil</v>
      </c>
      <c r="K17009" s="10" t="s">
        <v>24</v>
      </c>
    </row>
    <row r="17010" spans="1:11" ht="54" customHeight="1">
      <c r="A17010" s="9" t="s">
        <v>34409</v>
      </c>
      <c r="B17010" s="9" t="s">
        <v>34409</v>
      </c>
      <c r="C17010" s="9" t="s">
        <v>17</v>
      </c>
      <c r="D17010" s="9" t="s">
        <v>18</v>
      </c>
      <c r="E17010" s="10" t="s">
        <v>883</v>
      </c>
      <c r="F17010" s="9" t="s">
        <v>3449</v>
      </c>
      <c r="G17010" s="10" t="s">
        <v>21</v>
      </c>
      <c r="H17010" s="9" t="s">
        <v>22</v>
      </c>
      <c r="I17010" s="9" t="s">
        <v>34410</v>
      </c>
      <c r="J17010" s="10" t="str">
        <f>HYPERLINK("https://www.boe.es/gazeta/dias/1834/11/16/pdfs/GMD-1834-275.pdf#page=3","Abrir facsímil")</f>
        <v>Abrir facsímil</v>
      </c>
      <c r="K17010" s="10" t="s">
        <v>24</v>
      </c>
    </row>
    <row r="17011" spans="1:11" ht="54" customHeight="1">
      <c r="A17011" s="9" t="s">
        <v>34411</v>
      </c>
      <c r="B17011" s="9" t="s">
        <v>34412</v>
      </c>
      <c r="C17011" s="9" t="s">
        <v>66</v>
      </c>
      <c r="D17011" s="9" t="s">
        <v>67</v>
      </c>
      <c r="E17011" s="10" t="s">
        <v>3066</v>
      </c>
      <c r="F17011" s="9" t="s">
        <v>3188</v>
      </c>
      <c r="G17011" s="10" t="s">
        <v>86</v>
      </c>
      <c r="H17011" s="9" t="s">
        <v>22</v>
      </c>
      <c r="I17011" s="9" t="s">
        <v>34413</v>
      </c>
      <c r="J17011" s="10" t="str">
        <f>HYPERLINK("https://www.boe.es/gazeta/dias/1834/08/03/pdfs/GMD-1834-167.pdf#page=2","Abrir facsímil")</f>
        <v>Abrir facsímil</v>
      </c>
      <c r="K17011" s="10" t="s">
        <v>24</v>
      </c>
    </row>
    <row r="17012" spans="1:11" ht="54" customHeight="1">
      <c r="A17012" s="9" t="s">
        <v>34414</v>
      </c>
      <c r="B17012" s="9" t="s">
        <v>34414</v>
      </c>
      <c r="C17012" s="9" t="s">
        <v>46</v>
      </c>
      <c r="D17012" s="9" t="s">
        <v>55</v>
      </c>
      <c r="E17012" s="10" t="s">
        <v>1365</v>
      </c>
      <c r="F17012" s="9" t="s">
        <v>1366</v>
      </c>
      <c r="G17012" s="10" t="s">
        <v>75</v>
      </c>
      <c r="H17012" s="9" t="s">
        <v>22</v>
      </c>
      <c r="I17012" s="9" t="s">
        <v>34415</v>
      </c>
      <c r="J17012" s="10" t="str">
        <f>HYPERLINK("https://www.boe.es/gazeta/dias/1834/06/20/pdfs/GMD-1834-123.pdf#page=4","Abrir facsímil")</f>
        <v>Abrir facsímil</v>
      </c>
      <c r="K17012" s="10" t="s">
        <v>24</v>
      </c>
    </row>
    <row r="17013" spans="1:11" ht="54" customHeight="1">
      <c r="A17013" s="9" t="s">
        <v>34416</v>
      </c>
      <c r="B17013" s="9" t="s">
        <v>34416</v>
      </c>
      <c r="C17013" s="9" t="s">
        <v>46</v>
      </c>
      <c r="D17013" s="9" t="s">
        <v>101</v>
      </c>
      <c r="E17013" s="10" t="s">
        <v>283</v>
      </c>
      <c r="F17013" s="9" t="s">
        <v>2969</v>
      </c>
      <c r="G17013" s="10" t="s">
        <v>34</v>
      </c>
      <c r="H17013" s="9" t="s">
        <v>22</v>
      </c>
      <c r="I17013" s="9" t="s">
        <v>34417</v>
      </c>
      <c r="J17013" s="10" t="str">
        <f>HYPERLINK("https://www.boe.es/gazeta/dias/1834/11/29/pdfs/GMD-1834-288.pdf#page=1","Abrir facsímil")</f>
        <v>Abrir facsímil</v>
      </c>
      <c r="K17013" s="10" t="s">
        <v>24</v>
      </c>
    </row>
    <row r="17014" spans="1:11" ht="54" customHeight="1">
      <c r="A17014" s="9" t="s">
        <v>34418</v>
      </c>
      <c r="B17014" s="9" t="s">
        <v>34418</v>
      </c>
      <c r="C17014" s="9" t="s">
        <v>17</v>
      </c>
      <c r="D17014" s="9" t="s">
        <v>18</v>
      </c>
      <c r="E17014" s="10" t="s">
        <v>7523</v>
      </c>
      <c r="F17014" s="9" t="s">
        <v>7524</v>
      </c>
      <c r="G17014" s="10" t="s">
        <v>34</v>
      </c>
      <c r="H17014" s="9" t="s">
        <v>22</v>
      </c>
      <c r="I17014" s="9" t="s">
        <v>34419</v>
      </c>
      <c r="J17014" s="10" t="str">
        <f>HYPERLINK("https://www.boe.es/gazeta/dias/1834/12/26/pdfs/GMD-1834-316.pdf#page=1","Abrir facsímil")</f>
        <v>Abrir facsímil</v>
      </c>
      <c r="K17014" s="10" t="s">
        <v>24</v>
      </c>
    </row>
    <row r="17015" spans="1:11" ht="54" customHeight="1">
      <c r="A17015" s="9" t="s">
        <v>34420</v>
      </c>
      <c r="B17015" s="9" t="s">
        <v>34420</v>
      </c>
      <c r="C17015" s="9" t="s">
        <v>46</v>
      </c>
      <c r="D17015" s="9" t="s">
        <v>101</v>
      </c>
      <c r="E17015" s="10" t="s">
        <v>128</v>
      </c>
      <c r="F17015" s="9" t="s">
        <v>1068</v>
      </c>
      <c r="G17015" s="10" t="s">
        <v>34</v>
      </c>
      <c r="H17015" s="9" t="s">
        <v>22</v>
      </c>
      <c r="I17015" s="9" t="s">
        <v>34421</v>
      </c>
      <c r="J17015" s="10" t="str">
        <f>HYPERLINK("https://www.boe.es/gazeta/dias/1834/12/24/pdfs/GMD-1834-314.pdf#page=1","Abrir facsímil")</f>
        <v>Abrir facsímil</v>
      </c>
      <c r="K17015" s="10" t="s">
        <v>24</v>
      </c>
    </row>
    <row r="17016" spans="1:11" ht="54" customHeight="1">
      <c r="A17016" s="9" t="s">
        <v>34420</v>
      </c>
      <c r="B17016" s="9" t="s">
        <v>34420</v>
      </c>
      <c r="C17016" s="9" t="s">
        <v>46</v>
      </c>
      <c r="D17016" s="9" t="s">
        <v>101</v>
      </c>
      <c r="E17016" s="10" t="s">
        <v>524</v>
      </c>
      <c r="F17016" s="9" t="s">
        <v>4743</v>
      </c>
      <c r="G17016" s="10" t="s">
        <v>21</v>
      </c>
      <c r="H17016" s="9" t="s">
        <v>22</v>
      </c>
      <c r="I17016" s="9" t="s">
        <v>34422</v>
      </c>
      <c r="J17016" s="10" t="str">
        <f>HYPERLINK("https://www.boe.es/gazeta/dias/1834/12/25/pdfs/GMD-1834-315.pdf#page=3","Abrir facsímil")</f>
        <v>Abrir facsímil</v>
      </c>
      <c r="K17016" s="10" t="s">
        <v>24</v>
      </c>
    </row>
    <row r="17017" spans="1:11" ht="54" customHeight="1">
      <c r="A17017" s="9" t="s">
        <v>34420</v>
      </c>
      <c r="B17017" s="9" t="s">
        <v>34420</v>
      </c>
      <c r="C17017" s="9" t="s">
        <v>17</v>
      </c>
      <c r="D17017" s="9" t="s">
        <v>18</v>
      </c>
      <c r="E17017" s="10" t="s">
        <v>7523</v>
      </c>
      <c r="F17017" s="9" t="s">
        <v>7524</v>
      </c>
      <c r="G17017" s="10" t="s">
        <v>34</v>
      </c>
      <c r="H17017" s="9" t="s">
        <v>22</v>
      </c>
      <c r="I17017" s="9" t="s">
        <v>34423</v>
      </c>
      <c r="J17017" s="10" t="str">
        <f>HYPERLINK("https://www.boe.es/gazeta/dias/1834/12/26/pdfs/GMD-1834-316.pdf#page=1","Abrir facsímil")</f>
        <v>Abrir facsímil</v>
      </c>
      <c r="K17017" s="10" t="s">
        <v>24</v>
      </c>
    </row>
    <row r="17018" spans="1:11" ht="54" customHeight="1">
      <c r="A17018" s="9" t="s">
        <v>34420</v>
      </c>
      <c r="B17018" s="9" t="s">
        <v>34420</v>
      </c>
      <c r="C17018" s="9" t="s">
        <v>46</v>
      </c>
      <c r="D17018" s="9" t="s">
        <v>101</v>
      </c>
      <c r="E17018" s="10" t="s">
        <v>1284</v>
      </c>
      <c r="F17018" s="9" t="s">
        <v>1285</v>
      </c>
      <c r="G17018" s="10" t="s">
        <v>34</v>
      </c>
      <c r="H17018" s="9" t="s">
        <v>22</v>
      </c>
      <c r="I17018" s="9" t="s">
        <v>34424</v>
      </c>
      <c r="J17018" s="10" t="str">
        <f>HYPERLINK("https://www.boe.es/gazeta/dias/1834/11/28/pdfs/GMD-1834-287.pdf#page=1","Abrir facsímil")</f>
        <v>Abrir facsímil</v>
      </c>
      <c r="K17018" s="10" t="s">
        <v>24</v>
      </c>
    </row>
    <row r="17019" spans="1:11" ht="54" customHeight="1">
      <c r="A17019" s="9" t="s">
        <v>34420</v>
      </c>
      <c r="B17019" s="9" t="s">
        <v>34420</v>
      </c>
      <c r="C17019" s="9" t="s">
        <v>46</v>
      </c>
      <c r="D17019" s="9" t="s">
        <v>55</v>
      </c>
      <c r="E17019" s="10" t="s">
        <v>283</v>
      </c>
      <c r="F17019" s="9" t="s">
        <v>2969</v>
      </c>
      <c r="G17019" s="10" t="s">
        <v>34</v>
      </c>
      <c r="H17019" s="9" t="s">
        <v>22</v>
      </c>
      <c r="I17019" s="9" t="s">
        <v>34425</v>
      </c>
      <c r="J17019" s="10" t="str">
        <f>HYPERLINK("https://www.boe.es/gazeta/dias/1834/11/29/pdfs/GMD-1834-288.pdf#page=1","Abrir facsímil")</f>
        <v>Abrir facsímil</v>
      </c>
      <c r="K17019" s="10" t="s">
        <v>24</v>
      </c>
    </row>
    <row r="17020" spans="1:11" ht="54" customHeight="1">
      <c r="A17020" s="9" t="s">
        <v>34420</v>
      </c>
      <c r="B17020" s="9" t="s">
        <v>34420</v>
      </c>
      <c r="C17020" s="9" t="s">
        <v>90</v>
      </c>
      <c r="D17020" s="9" t="s">
        <v>55</v>
      </c>
      <c r="E17020" s="10" t="s">
        <v>283</v>
      </c>
      <c r="F17020" s="9" t="s">
        <v>2969</v>
      </c>
      <c r="G17020" s="10" t="s">
        <v>86</v>
      </c>
      <c r="H17020" s="9" t="s">
        <v>22</v>
      </c>
      <c r="I17020" s="9" t="s">
        <v>34426</v>
      </c>
      <c r="J17020" s="10" t="str">
        <f>HYPERLINK("https://www.boe.es/gazeta/dias/1834/11/29/pdfs/GMD-1834-288.pdf#page=2","Abrir facsímil")</f>
        <v>Abrir facsímil</v>
      </c>
      <c r="K17020" s="10" t="s">
        <v>24</v>
      </c>
    </row>
    <row r="17021" spans="1:11" ht="54" customHeight="1">
      <c r="A17021" s="9" t="s">
        <v>34420</v>
      </c>
      <c r="B17021" s="9" t="s">
        <v>34420</v>
      </c>
      <c r="C17021" s="9" t="s">
        <v>90</v>
      </c>
      <c r="D17021" s="9" t="s">
        <v>101</v>
      </c>
      <c r="E17021" s="10" t="s">
        <v>153</v>
      </c>
      <c r="F17021" s="9" t="s">
        <v>1294</v>
      </c>
      <c r="G17021" s="10" t="s">
        <v>86</v>
      </c>
      <c r="H17021" s="9" t="s">
        <v>22</v>
      </c>
      <c r="I17021" s="9" t="s">
        <v>34427</v>
      </c>
      <c r="J17021" s="10" t="str">
        <f>HYPERLINK("https://www.boe.es/gazeta/dias/1834/12/30/pdfs/GMD-1834-320.pdf#page=2","Abrir facsímil")</f>
        <v>Abrir facsímil</v>
      </c>
      <c r="K17021" s="10" t="s">
        <v>24</v>
      </c>
    </row>
    <row r="17022" spans="1:11" ht="54" customHeight="1">
      <c r="A17022" s="9" t="s">
        <v>34420</v>
      </c>
      <c r="B17022" s="9" t="s">
        <v>34420</v>
      </c>
      <c r="C17022" s="9" t="s">
        <v>90</v>
      </c>
      <c r="D17022" s="9" t="s">
        <v>101</v>
      </c>
      <c r="E17022" s="10" t="s">
        <v>192</v>
      </c>
      <c r="F17022" s="9" t="s">
        <v>193</v>
      </c>
      <c r="G17022" s="10" t="s">
        <v>21</v>
      </c>
      <c r="H17022" s="9" t="s">
        <v>22</v>
      </c>
      <c r="I17022" s="9" t="s">
        <v>34428</v>
      </c>
      <c r="J17022" s="10" t="str">
        <f>HYPERLINK("https://www.boe.es/gazeta/dias/1834/12/31/pdfs/GMD-1834-321.pdf#page=3","Abrir facsímil")</f>
        <v>Abrir facsímil</v>
      </c>
      <c r="K17022" s="10" t="s">
        <v>24</v>
      </c>
    </row>
    <row r="17023" spans="1:11" ht="54" customHeight="1">
      <c r="A17023" s="9" t="s">
        <v>34429</v>
      </c>
      <c r="B17023" s="9" t="s">
        <v>34430</v>
      </c>
      <c r="C17023" s="9" t="s">
        <v>90</v>
      </c>
      <c r="D17023" s="9" t="s">
        <v>18</v>
      </c>
      <c r="E17023" s="10" t="s">
        <v>1575</v>
      </c>
      <c r="F17023" s="9" t="s">
        <v>1576</v>
      </c>
      <c r="G17023" s="10" t="s">
        <v>21</v>
      </c>
      <c r="H17023" s="9" t="s">
        <v>22</v>
      </c>
      <c r="I17023" s="9" t="s">
        <v>34431</v>
      </c>
      <c r="J17023" s="10" t="str">
        <f>HYPERLINK("https://www.boe.es/gazeta/dias/1834/11/24/pdfs/GMD-1834-283.pdf#page=3","Abrir facsímil")</f>
        <v>Abrir facsímil</v>
      </c>
      <c r="K17023" s="10" t="s">
        <v>24</v>
      </c>
    </row>
    <row r="17024" spans="1:11" ht="54" customHeight="1">
      <c r="A17024" s="9" t="s">
        <v>34432</v>
      </c>
      <c r="B17024" s="9" t="s">
        <v>34433</v>
      </c>
      <c r="C17024" s="9" t="s">
        <v>66</v>
      </c>
      <c r="D17024" s="9" t="s">
        <v>67</v>
      </c>
      <c r="E17024" s="10" t="s">
        <v>2729</v>
      </c>
      <c r="F17024" s="9" t="s">
        <v>2730</v>
      </c>
      <c r="G17024" s="10" t="s">
        <v>21</v>
      </c>
      <c r="H17024" s="9" t="s">
        <v>22</v>
      </c>
      <c r="I17024" s="9" t="s">
        <v>34434</v>
      </c>
      <c r="J17024" s="10" t="str">
        <f>HYPERLINK("https://www.boe.es/gazeta/dias/1834/07/02/pdfs/GMD-1834-135.pdf#page=3","Abrir facsímil")</f>
        <v>Abrir facsímil</v>
      </c>
      <c r="K17024" s="10" t="s">
        <v>24</v>
      </c>
    </row>
    <row r="17025" spans="1:11" ht="54" customHeight="1">
      <c r="A17025" s="9" t="s">
        <v>34435</v>
      </c>
      <c r="B17025" s="9" t="s">
        <v>34435</v>
      </c>
      <c r="C17025" s="9" t="s">
        <v>90</v>
      </c>
      <c r="D17025" s="9" t="s">
        <v>18</v>
      </c>
      <c r="E17025" s="10" t="s">
        <v>3066</v>
      </c>
      <c r="F17025" s="9" t="s">
        <v>3067</v>
      </c>
      <c r="G17025" s="10" t="s">
        <v>75</v>
      </c>
      <c r="H17025" s="9" t="s">
        <v>22</v>
      </c>
      <c r="I17025" s="9" t="s">
        <v>34436</v>
      </c>
      <c r="J17025" s="10" t="str">
        <f>HYPERLINK("https://www.boe.es/gazeta/dias/1834/08/03/pdfs/GMD-C-1834-167.pdf#page=4","Abrir facsímil")</f>
        <v>Abrir facsímil</v>
      </c>
      <c r="K17025" s="10" t="s">
        <v>24</v>
      </c>
    </row>
    <row r="17026" spans="1:11" ht="54" customHeight="1">
      <c r="A17026" s="9" t="s">
        <v>34437</v>
      </c>
      <c r="B17026" s="9" t="s">
        <v>34437</v>
      </c>
      <c r="C17026" s="9" t="s">
        <v>17</v>
      </c>
      <c r="D17026" s="9" t="s">
        <v>40</v>
      </c>
      <c r="E17026" s="10" t="s">
        <v>813</v>
      </c>
      <c r="F17026" s="9" t="s">
        <v>814</v>
      </c>
      <c r="G17026" s="10" t="s">
        <v>75</v>
      </c>
      <c r="H17026" s="9" t="s">
        <v>22</v>
      </c>
      <c r="I17026" s="9" t="s">
        <v>34438</v>
      </c>
      <c r="J17026" s="10" t="str">
        <f>HYPERLINK("https://www.boe.es/gazeta/dias/1834/08/08/pdfs/GMD-1834-173.pdf#page=4","Abrir facsímil")</f>
        <v>Abrir facsímil</v>
      </c>
      <c r="K17026" s="10" t="s">
        <v>24</v>
      </c>
    </row>
    <row r="17027" spans="1:11" ht="54" customHeight="1">
      <c r="A17027" s="9" t="s">
        <v>34439</v>
      </c>
      <c r="B17027" s="9" t="s">
        <v>34439</v>
      </c>
      <c r="C17027" s="9" t="s">
        <v>90</v>
      </c>
      <c r="D17027" s="9" t="s">
        <v>55</v>
      </c>
      <c r="E17027" s="10" t="s">
        <v>1273</v>
      </c>
      <c r="F17027" s="9" t="s">
        <v>1274</v>
      </c>
      <c r="G17027" s="10" t="s">
        <v>86</v>
      </c>
      <c r="H17027" s="9" t="s">
        <v>22</v>
      </c>
      <c r="I17027" s="9" t="s">
        <v>34440</v>
      </c>
      <c r="J17027" s="10" t="str">
        <f>HYPERLINK("https://www.boe.es/gazeta/dias/1834/05/14/pdfs/GMD-1834-83.pdf#page=2","Abrir facsímil")</f>
        <v>Abrir facsímil</v>
      </c>
      <c r="K17027" s="10" t="s">
        <v>24</v>
      </c>
    </row>
    <row r="17028" spans="1:11" ht="54" customHeight="1">
      <c r="A17028" s="9" t="s">
        <v>34441</v>
      </c>
      <c r="B17028" s="9" t="s">
        <v>34441</v>
      </c>
      <c r="C17028" s="9" t="s">
        <v>46</v>
      </c>
      <c r="D17028" s="9" t="s">
        <v>18</v>
      </c>
      <c r="E17028" s="10" t="s">
        <v>167</v>
      </c>
      <c r="F17028" s="9" t="s">
        <v>168</v>
      </c>
      <c r="G17028" s="10" t="s">
        <v>86</v>
      </c>
      <c r="H17028" s="9" t="s">
        <v>22</v>
      </c>
      <c r="I17028" s="9" t="s">
        <v>34442</v>
      </c>
      <c r="J17028" s="10" t="str">
        <f>HYPERLINK("https://www.boe.es/gazeta/dias/1834/09/07/pdfs/GMD-1834-205.pdf#page=2","Abrir facsímil")</f>
        <v>Abrir facsímil</v>
      </c>
      <c r="K17028" s="10" t="s">
        <v>24</v>
      </c>
    </row>
    <row r="17029" spans="1:11" ht="54" customHeight="1">
      <c r="A17029" s="9" t="s">
        <v>34443</v>
      </c>
      <c r="B17029" s="9" t="s">
        <v>34443</v>
      </c>
      <c r="C17029" s="9" t="s">
        <v>122</v>
      </c>
      <c r="D17029" s="9" t="s">
        <v>55</v>
      </c>
      <c r="E17029" s="10" t="s">
        <v>506</v>
      </c>
      <c r="F17029" s="9" t="s">
        <v>507</v>
      </c>
      <c r="G17029" s="10" t="s">
        <v>21</v>
      </c>
      <c r="H17029" s="9" t="s">
        <v>22</v>
      </c>
      <c r="I17029" s="9" t="s">
        <v>34444</v>
      </c>
      <c r="J17029" s="10" t="str">
        <f>HYPERLINK("https://www.boe.es/gazeta/dias/1834/03/04/pdfs/GMD-1834-28.pdf#page=3","Abrir facsímil")</f>
        <v>Abrir facsímil</v>
      </c>
      <c r="K17029" s="10" t="s">
        <v>24</v>
      </c>
    </row>
    <row r="17030" spans="1:11" ht="54" customHeight="1">
      <c r="A17030" s="9" t="s">
        <v>34445</v>
      </c>
      <c r="B17030" s="9" t="s">
        <v>34445</v>
      </c>
      <c r="C17030" s="9" t="s">
        <v>66</v>
      </c>
      <c r="D17030" s="9" t="s">
        <v>67</v>
      </c>
      <c r="E17030" s="10" t="s">
        <v>3810</v>
      </c>
      <c r="F17030" s="9" t="s">
        <v>3811</v>
      </c>
      <c r="G17030" s="10" t="s">
        <v>21</v>
      </c>
      <c r="H17030" s="9" t="s">
        <v>22</v>
      </c>
      <c r="I17030" s="9" t="s">
        <v>34446</v>
      </c>
      <c r="J17030" s="10" t="str">
        <f>HYPERLINK("https://www.boe.es/gazeta/dias/1834/02/20/pdfs/GMD-1834-23.pdf#page=3","Abrir facsímil")</f>
        <v>Abrir facsímil</v>
      </c>
      <c r="K17030" s="10" t="s">
        <v>24</v>
      </c>
    </row>
    <row r="17031" spans="1:11" ht="54" customHeight="1">
      <c r="A17031" s="9" t="s">
        <v>34447</v>
      </c>
      <c r="B17031" s="9" t="s">
        <v>34447</v>
      </c>
      <c r="C17031" s="9" t="s">
        <v>46</v>
      </c>
      <c r="D17031" s="9" t="s">
        <v>101</v>
      </c>
      <c r="E17031" s="10" t="s">
        <v>1340</v>
      </c>
      <c r="F17031" s="9" t="s">
        <v>1341</v>
      </c>
      <c r="G17031" s="10" t="s">
        <v>75</v>
      </c>
      <c r="H17031" s="9" t="s">
        <v>22</v>
      </c>
      <c r="I17031" s="9" t="s">
        <v>34448</v>
      </c>
      <c r="J17031" s="10" t="str">
        <f>HYPERLINK("https://www.boe.es/gazeta/dias/1834/10/05/pdfs/GMD-C-1834-233.pdf#page=4","Abrir facsímil")</f>
        <v>Abrir facsímil</v>
      </c>
      <c r="K17031" s="10" t="s">
        <v>24</v>
      </c>
    </row>
    <row r="17032" spans="1:11" ht="54" customHeight="1">
      <c r="A17032" s="9" t="s">
        <v>34449</v>
      </c>
      <c r="B17032" s="9" t="s">
        <v>34449</v>
      </c>
      <c r="C17032" s="9" t="s">
        <v>66</v>
      </c>
      <c r="D17032" s="9" t="s">
        <v>18</v>
      </c>
      <c r="E17032" s="10" t="s">
        <v>3810</v>
      </c>
      <c r="F17032" s="9" t="s">
        <v>3811</v>
      </c>
      <c r="G17032" s="10" t="s">
        <v>21</v>
      </c>
      <c r="H17032" s="9" t="s">
        <v>22</v>
      </c>
      <c r="I17032" s="9" t="s">
        <v>34450</v>
      </c>
      <c r="J17032" s="10" t="str">
        <f>HYPERLINK("https://www.boe.es/gazeta/dias/1834/02/20/pdfs/GMD-1834-23.pdf#page=3","Abrir facsímil")</f>
        <v>Abrir facsímil</v>
      </c>
      <c r="K17032" s="10" t="s">
        <v>24</v>
      </c>
    </row>
    <row r="17033" spans="1:11" ht="54" customHeight="1">
      <c r="A17033" s="9" t="s">
        <v>34451</v>
      </c>
      <c r="B17033" s="9" t="s">
        <v>34451</v>
      </c>
      <c r="C17033" s="9" t="s">
        <v>857</v>
      </c>
      <c r="D17033" s="9" t="s">
        <v>18</v>
      </c>
      <c r="E17033" s="10" t="s">
        <v>1212</v>
      </c>
      <c r="F17033" s="9" t="s">
        <v>1213</v>
      </c>
      <c r="G17033" s="10" t="s">
        <v>21</v>
      </c>
      <c r="H17033" s="9" t="s">
        <v>22</v>
      </c>
      <c r="I17033" s="9" t="s">
        <v>34452</v>
      </c>
      <c r="J17033" s="10" t="str">
        <f>HYPERLINK("https://www.boe.es/gazeta/dias/1834/05/24/pdfs/GMD-1834-93.pdf#page=3","Abrir facsímil")</f>
        <v>Abrir facsímil</v>
      </c>
      <c r="K17033" s="10" t="s">
        <v>24</v>
      </c>
    </row>
    <row r="17034" spans="1:11" ht="54" customHeight="1">
      <c r="A17034" s="9" t="s">
        <v>34453</v>
      </c>
      <c r="B17034" s="9" t="s">
        <v>34454</v>
      </c>
      <c r="C17034" s="9" t="s">
        <v>857</v>
      </c>
      <c r="D17034" s="9" t="s">
        <v>18</v>
      </c>
      <c r="E17034" s="10" t="s">
        <v>1212</v>
      </c>
      <c r="F17034" s="9" t="s">
        <v>1213</v>
      </c>
      <c r="G17034" s="10" t="s">
        <v>21</v>
      </c>
      <c r="H17034" s="9" t="s">
        <v>35</v>
      </c>
      <c r="I17034" s="9" t="s">
        <v>34455</v>
      </c>
      <c r="J17034" s="10" t="str">
        <f>HYPERLINK("https://www.boe.es/gazeta/dias/1834/05/24/pdfs/GMD-1834-93.pdf#page=3","Abrir facsímil")</f>
        <v>Abrir facsímil</v>
      </c>
      <c r="K17034" s="10" t="s">
        <v>37</v>
      </c>
    </row>
    <row r="17035" spans="1:11" ht="54" customHeight="1">
      <c r="A17035" s="9" t="s">
        <v>34456</v>
      </c>
      <c r="B17035" s="9" t="s">
        <v>34457</v>
      </c>
      <c r="C17035" s="9" t="s">
        <v>17</v>
      </c>
      <c r="D17035" s="9" t="s">
        <v>55</v>
      </c>
      <c r="E17035" s="10" t="s">
        <v>133</v>
      </c>
      <c r="F17035" s="9" t="s">
        <v>134</v>
      </c>
      <c r="G17035" s="10" t="s">
        <v>86</v>
      </c>
      <c r="H17035" s="9" t="s">
        <v>22</v>
      </c>
      <c r="I17035" s="9" t="s">
        <v>34458</v>
      </c>
      <c r="J17035" s="10" t="str">
        <f>HYPERLINK("https://www.boe.es/gazeta/dias/1834/06/18/pdfs/GMD-1834-121.pdf#page=2","Abrir facsímil")</f>
        <v>Abrir facsímil</v>
      </c>
      <c r="K17035" s="10" t="s">
        <v>24</v>
      </c>
    </row>
    <row r="17036" spans="1:11" ht="54" customHeight="1">
      <c r="A17036" s="9" t="s">
        <v>34459</v>
      </c>
      <c r="B17036" s="9" t="s">
        <v>34460</v>
      </c>
      <c r="C17036" s="9" t="s">
        <v>122</v>
      </c>
      <c r="D17036" s="9" t="s">
        <v>101</v>
      </c>
      <c r="E17036" s="10" t="s">
        <v>375</v>
      </c>
      <c r="F17036" s="9" t="s">
        <v>376</v>
      </c>
      <c r="G17036" s="10" t="s">
        <v>75</v>
      </c>
      <c r="H17036" s="9" t="s">
        <v>35</v>
      </c>
      <c r="I17036" s="9" t="s">
        <v>34461</v>
      </c>
      <c r="J17036" s="10" t="str">
        <f>HYPERLINK("https://www.boe.es/gazeta/dias/1834/08/21/pdfs/GMD-1834-187.pdf#page=4","Abrir facsímil")</f>
        <v>Abrir facsímil</v>
      </c>
      <c r="K17036" s="10" t="s">
        <v>37</v>
      </c>
    </row>
    <row r="17037" spans="1:11" ht="54" customHeight="1">
      <c r="A17037" s="9" t="s">
        <v>34462</v>
      </c>
      <c r="B17037" s="9" t="s">
        <v>34463</v>
      </c>
      <c r="C17037" s="9" t="s">
        <v>17</v>
      </c>
      <c r="D17037" s="9" t="s">
        <v>18</v>
      </c>
      <c r="E17037" s="10" t="s">
        <v>47</v>
      </c>
      <c r="F17037" s="9" t="s">
        <v>1466</v>
      </c>
      <c r="G17037" s="10" t="s">
        <v>21</v>
      </c>
      <c r="H17037" s="9" t="s">
        <v>35</v>
      </c>
      <c r="I17037" s="9" t="s">
        <v>34464</v>
      </c>
      <c r="J17037" s="10" t="str">
        <f>HYPERLINK("https://www.boe.es/gazeta/dias/1834/09/05/pdfs/GMD-1834-203.pdf#page=3","Abrir facsímil")</f>
        <v>Abrir facsímil</v>
      </c>
      <c r="K17037" s="10" t="s">
        <v>37</v>
      </c>
    </row>
    <row r="17038" spans="1:11" ht="54" customHeight="1">
      <c r="A17038" s="9" t="s">
        <v>34465</v>
      </c>
      <c r="B17038" s="9" t="s">
        <v>34466</v>
      </c>
      <c r="C17038" s="9" t="s">
        <v>66</v>
      </c>
      <c r="D17038" s="9" t="s">
        <v>67</v>
      </c>
      <c r="E17038" s="10" t="s">
        <v>2218</v>
      </c>
      <c r="F17038" s="9" t="s">
        <v>2219</v>
      </c>
      <c r="G17038" s="10" t="s">
        <v>34</v>
      </c>
      <c r="H17038" s="9" t="s">
        <v>22</v>
      </c>
      <c r="I17038" s="9" t="s">
        <v>34467</v>
      </c>
      <c r="J17038" s="10" t="str">
        <f>HYPERLINK("https://www.boe.es/gazeta/dias/1834/11/05/pdfs/GMD-1834-264.pdf#page=1","Abrir facsímil")</f>
        <v>Abrir facsímil</v>
      </c>
      <c r="K17038" s="10" t="s">
        <v>24</v>
      </c>
    </row>
    <row r="17039" spans="1:11" ht="54" customHeight="1">
      <c r="A17039" s="9" t="s">
        <v>34468</v>
      </c>
      <c r="B17039" s="9" t="s">
        <v>34469</v>
      </c>
      <c r="C17039" s="9" t="s">
        <v>122</v>
      </c>
      <c r="D17039" s="9" t="s">
        <v>18</v>
      </c>
      <c r="E17039" s="10" t="s">
        <v>153</v>
      </c>
      <c r="F17039" s="9" t="s">
        <v>1294</v>
      </c>
      <c r="G17039" s="10" t="s">
        <v>75</v>
      </c>
      <c r="H17039" s="9" t="s">
        <v>22</v>
      </c>
      <c r="I17039" s="9" t="s">
        <v>34470</v>
      </c>
      <c r="J17039" s="10" t="str">
        <f>HYPERLINK("https://www.boe.es/gazeta/dias/1834/12/30/pdfs/GMD-1834-320.pdf#page=4","Abrir facsímil")</f>
        <v>Abrir facsímil</v>
      </c>
      <c r="K17039" s="10" t="s">
        <v>24</v>
      </c>
    </row>
    <row r="17040" spans="1:11" ht="54" customHeight="1">
      <c r="A17040" s="9" t="s">
        <v>34471</v>
      </c>
      <c r="B17040" s="9" t="s">
        <v>34472</v>
      </c>
      <c r="C17040" s="9" t="s">
        <v>122</v>
      </c>
      <c r="D17040" s="9" t="s">
        <v>101</v>
      </c>
      <c r="E17040" s="10" t="s">
        <v>375</v>
      </c>
      <c r="F17040" s="9" t="s">
        <v>376</v>
      </c>
      <c r="G17040" s="10" t="s">
        <v>75</v>
      </c>
      <c r="H17040" s="9" t="s">
        <v>22</v>
      </c>
      <c r="I17040" s="9" t="s">
        <v>34473</v>
      </c>
      <c r="J17040" s="10" t="str">
        <f>HYPERLINK("https://www.boe.es/gazeta/dias/1834/08/21/pdfs/GMD-1834-187.pdf#page=4","Abrir facsímil")</f>
        <v>Abrir facsímil</v>
      </c>
      <c r="K17040" s="10" t="s">
        <v>24</v>
      </c>
    </row>
    <row r="17041" spans="1:11" ht="54" customHeight="1">
      <c r="A17041" s="9" t="s">
        <v>34474</v>
      </c>
      <c r="B17041" s="9" t="s">
        <v>34475</v>
      </c>
      <c r="C17041" s="9" t="s">
        <v>17</v>
      </c>
      <c r="D17041" s="9" t="s">
        <v>18</v>
      </c>
      <c r="E17041" s="10" t="s">
        <v>1239</v>
      </c>
      <c r="F17041" s="9" t="s">
        <v>1240</v>
      </c>
      <c r="G17041" s="10" t="s">
        <v>75</v>
      </c>
      <c r="H17041" s="9" t="s">
        <v>22</v>
      </c>
      <c r="I17041" s="9" t="s">
        <v>34476</v>
      </c>
      <c r="J17041" s="10" t="str">
        <f>HYPERLINK("https://www.boe.es/gazeta/dias/1834/08/20/pdfs/GMD-1834-186.pdf#page=4","Abrir facsímil")</f>
        <v>Abrir facsímil</v>
      </c>
      <c r="K17041" s="10" t="s">
        <v>24</v>
      </c>
    </row>
    <row r="17042" spans="1:11" ht="54" customHeight="1">
      <c r="A17042" s="9" t="s">
        <v>34477</v>
      </c>
      <c r="B17042" s="9" t="s">
        <v>34478</v>
      </c>
      <c r="C17042" s="9" t="s">
        <v>17</v>
      </c>
      <c r="D17042" s="9" t="s">
        <v>18</v>
      </c>
      <c r="E17042" s="10" t="s">
        <v>2153</v>
      </c>
      <c r="F17042" s="9" t="s">
        <v>2154</v>
      </c>
      <c r="G17042" s="10" t="s">
        <v>86</v>
      </c>
      <c r="H17042" s="9" t="s">
        <v>22</v>
      </c>
      <c r="I17042" s="9" t="s">
        <v>34479</v>
      </c>
      <c r="J17042" s="10" t="str">
        <f>HYPERLINK("https://www.boe.es/gazeta/dias/1834/01/23/pdfs/GMD-1834-11.pdf#page=2","Abrir facsímil")</f>
        <v>Abrir facsímil</v>
      </c>
      <c r="K17042" s="10" t="s">
        <v>24</v>
      </c>
    </row>
    <row r="17043" spans="1:11" ht="54" customHeight="1">
      <c r="A17043" s="9" t="s">
        <v>34480</v>
      </c>
      <c r="B17043" s="9" t="s">
        <v>34481</v>
      </c>
      <c r="C17043" s="9" t="s">
        <v>46</v>
      </c>
      <c r="D17043" s="9" t="s">
        <v>55</v>
      </c>
      <c r="E17043" s="10" t="s">
        <v>734</v>
      </c>
      <c r="F17043" s="9" t="s">
        <v>735</v>
      </c>
      <c r="G17043" s="10" t="s">
        <v>34</v>
      </c>
      <c r="H17043" s="9" t="s">
        <v>22</v>
      </c>
      <c r="I17043" s="9" t="s">
        <v>34482</v>
      </c>
      <c r="J17043" s="10" t="str">
        <f>HYPERLINK("https://www.boe.es/gazeta/dias/1834/05/06/pdfs/GMD-1834-75.pdf#page=1","Abrir facsímil")</f>
        <v>Abrir facsímil</v>
      </c>
      <c r="K17043" s="10" t="s">
        <v>24</v>
      </c>
    </row>
    <row r="17044" spans="1:11" ht="54" customHeight="1">
      <c r="A17044" s="9" t="s">
        <v>34483</v>
      </c>
      <c r="B17044" s="9" t="s">
        <v>34484</v>
      </c>
      <c r="C17044" s="9" t="s">
        <v>17</v>
      </c>
      <c r="D17044" s="9" t="s">
        <v>18</v>
      </c>
      <c r="E17044" s="10" t="s">
        <v>2004</v>
      </c>
      <c r="F17044" s="9" t="s">
        <v>2005</v>
      </c>
      <c r="G17044" s="10" t="s">
        <v>21</v>
      </c>
      <c r="H17044" s="9" t="s">
        <v>22</v>
      </c>
      <c r="I17044" s="9" t="s">
        <v>34485</v>
      </c>
      <c r="J17044" s="10" t="str">
        <f>HYPERLINK("https://www.boe.es/gazeta/dias/1834/05/09/pdfs/GMD-1834-78.pdf#page=3","Abrir facsímil")</f>
        <v>Abrir facsímil</v>
      </c>
      <c r="K17044" s="10" t="s">
        <v>24</v>
      </c>
    </row>
    <row r="17045" spans="1:11" ht="54" customHeight="1">
      <c r="A17045" s="9" t="s">
        <v>34486</v>
      </c>
      <c r="B17045" s="9" t="s">
        <v>34487</v>
      </c>
      <c r="C17045" s="9" t="s">
        <v>17</v>
      </c>
      <c r="D17045" s="9" t="s">
        <v>18</v>
      </c>
      <c r="E17045" s="10" t="s">
        <v>1265</v>
      </c>
      <c r="F17045" s="9" t="s">
        <v>1266</v>
      </c>
      <c r="G17045" s="10" t="s">
        <v>21</v>
      </c>
      <c r="H17045" s="9" t="s">
        <v>22</v>
      </c>
      <c r="I17045" s="9" t="s">
        <v>34488</v>
      </c>
      <c r="J17045" s="10" t="str">
        <f>HYPERLINK("https://www.boe.es/gazeta/dias/1834/09/08/pdfs/GMD-1834-206.pdf#page=3","Abrir facsímil")</f>
        <v>Abrir facsímil</v>
      </c>
      <c r="K17045" s="10" t="s">
        <v>24</v>
      </c>
    </row>
    <row r="17046" spans="1:11" ht="54" customHeight="1">
      <c r="A17046" s="9" t="s">
        <v>34489</v>
      </c>
      <c r="B17046" s="9" t="s">
        <v>34490</v>
      </c>
      <c r="C17046" s="9" t="s">
        <v>17</v>
      </c>
      <c r="D17046" s="9" t="s">
        <v>18</v>
      </c>
      <c r="E17046" s="10" t="s">
        <v>47</v>
      </c>
      <c r="F17046" s="9" t="s">
        <v>1466</v>
      </c>
      <c r="G17046" s="10" t="s">
        <v>21</v>
      </c>
      <c r="H17046" s="9" t="s">
        <v>22</v>
      </c>
      <c r="I17046" s="9" t="s">
        <v>34491</v>
      </c>
      <c r="J17046" s="10" t="str">
        <f>HYPERLINK("https://www.boe.es/gazeta/dias/1834/09/05/pdfs/GMD-1834-203.pdf#page=3","Abrir facsímil")</f>
        <v>Abrir facsímil</v>
      </c>
      <c r="K17046" s="10" t="s">
        <v>24</v>
      </c>
    </row>
    <row r="17047" spans="1:11" ht="54" customHeight="1">
      <c r="A17047" s="9" t="s">
        <v>34492</v>
      </c>
      <c r="B17047" s="9" t="s">
        <v>34493</v>
      </c>
      <c r="C17047" s="9" t="s">
        <v>857</v>
      </c>
      <c r="D17047" s="9" t="s">
        <v>18</v>
      </c>
      <c r="E17047" s="10" t="s">
        <v>1103</v>
      </c>
      <c r="F17047" s="9" t="s">
        <v>1259</v>
      </c>
      <c r="G17047" s="10" t="s">
        <v>34</v>
      </c>
      <c r="H17047" s="9" t="s">
        <v>22</v>
      </c>
      <c r="I17047" s="9" t="s">
        <v>34494</v>
      </c>
      <c r="J17047" s="10" t="str">
        <f>HYPERLINK("https://www.boe.es/gazeta/dias/1834/10/10/pdfs/GMD-1834-238.pdf#page=1","Abrir facsímil")</f>
        <v>Abrir facsímil</v>
      </c>
      <c r="K17047" s="10" t="s">
        <v>24</v>
      </c>
    </row>
    <row r="17048" spans="1:11" ht="54" customHeight="1">
      <c r="A17048" s="9" t="s">
        <v>34495</v>
      </c>
      <c r="B17048" s="9" t="s">
        <v>34495</v>
      </c>
      <c r="C17048" s="9" t="s">
        <v>122</v>
      </c>
      <c r="D17048" s="9" t="s">
        <v>40</v>
      </c>
      <c r="E17048" s="10" t="s">
        <v>849</v>
      </c>
      <c r="F17048" s="9" t="s">
        <v>850</v>
      </c>
      <c r="G17048" s="10" t="s">
        <v>75</v>
      </c>
      <c r="H17048" s="9" t="s">
        <v>22</v>
      </c>
      <c r="I17048" s="9" t="s">
        <v>34496</v>
      </c>
      <c r="J17048" s="10" t="str">
        <f>HYPERLINK("https://www.boe.es/gazeta/dias/1834/06/21/pdfs/GMD-1834-124.pdf#page=4","Abrir facsímil")</f>
        <v>Abrir facsímil</v>
      </c>
      <c r="K17048" s="10" t="s">
        <v>24</v>
      </c>
    </row>
    <row r="17049" spans="1:11" ht="54" customHeight="1">
      <c r="A17049" s="9" t="s">
        <v>34497</v>
      </c>
      <c r="B17049" s="9" t="s">
        <v>34497</v>
      </c>
      <c r="C17049" s="9" t="s">
        <v>90</v>
      </c>
      <c r="D17049" s="9" t="s">
        <v>18</v>
      </c>
      <c r="E17049" s="10" t="s">
        <v>1262</v>
      </c>
      <c r="F17049" s="9" t="s">
        <v>1263</v>
      </c>
      <c r="G17049" s="10" t="s">
        <v>75</v>
      </c>
      <c r="H17049" s="9" t="s">
        <v>22</v>
      </c>
      <c r="I17049" s="9" t="s">
        <v>34498</v>
      </c>
      <c r="J17049" s="10" t="str">
        <f>HYPERLINK("https://www.boe.es/gazeta/dias/1834/02/01/pdfs/GMD-1834-15.pdf#page=4","Abrir facsímil")</f>
        <v>Abrir facsímil</v>
      </c>
      <c r="K17049" s="10" t="s">
        <v>24</v>
      </c>
    </row>
    <row r="17050" spans="1:11" ht="54" customHeight="1">
      <c r="A17050" s="9" t="s">
        <v>34499</v>
      </c>
      <c r="B17050" s="9" t="s">
        <v>34499</v>
      </c>
      <c r="C17050" s="9" t="s">
        <v>17</v>
      </c>
      <c r="D17050" s="9" t="s">
        <v>18</v>
      </c>
      <c r="E17050" s="10" t="s">
        <v>899</v>
      </c>
      <c r="F17050" s="9" t="s">
        <v>900</v>
      </c>
      <c r="G17050" s="10" t="s">
        <v>470</v>
      </c>
      <c r="H17050" s="9" t="s">
        <v>22</v>
      </c>
      <c r="I17050" s="9" t="s">
        <v>34500</v>
      </c>
      <c r="J17050" s="10" t="str">
        <f>HYPERLINK("https://www.boe.es/gazeta/dias/1834/01/30/pdfs/GMD-1834-14.pdf#page=8","Abrir facsímil")</f>
        <v>Abrir facsímil</v>
      </c>
      <c r="K17050" s="10" t="s">
        <v>24</v>
      </c>
    </row>
    <row r="17051" spans="1:11" ht="54" customHeight="1">
      <c r="A17051" s="9" t="s">
        <v>34501</v>
      </c>
      <c r="B17051" s="9" t="s">
        <v>34501</v>
      </c>
      <c r="C17051" s="9" t="s">
        <v>17</v>
      </c>
      <c r="D17051" s="9" t="s">
        <v>18</v>
      </c>
      <c r="E17051" s="10" t="s">
        <v>3952</v>
      </c>
      <c r="F17051" s="9" t="s">
        <v>3953</v>
      </c>
      <c r="G17051" s="10" t="s">
        <v>176</v>
      </c>
      <c r="H17051" s="9" t="s">
        <v>22</v>
      </c>
      <c r="I17051" s="9" t="s">
        <v>34502</v>
      </c>
      <c r="J17051" s="10" t="str">
        <f>HYPERLINK("https://www.boe.es/gazeta/dias/1834/02/22/pdfs/GMD-1834-24.pdf#page=6","Abrir facsímil")</f>
        <v>Abrir facsímil</v>
      </c>
      <c r="K17051" s="10" t="s">
        <v>24</v>
      </c>
    </row>
    <row r="17052" spans="1:11" ht="54" customHeight="1">
      <c r="A17052" s="9" t="s">
        <v>34503</v>
      </c>
      <c r="B17052" s="9" t="s">
        <v>34504</v>
      </c>
      <c r="C17052" s="9" t="s">
        <v>90</v>
      </c>
      <c r="D17052" s="9" t="s">
        <v>101</v>
      </c>
      <c r="E17052" s="10" t="s">
        <v>317</v>
      </c>
      <c r="F17052" s="9" t="s">
        <v>318</v>
      </c>
      <c r="G17052" s="10" t="s">
        <v>34</v>
      </c>
      <c r="H17052" s="9" t="s">
        <v>35</v>
      </c>
      <c r="I17052" s="9" t="s">
        <v>34505</v>
      </c>
      <c r="J17052" s="10" t="str">
        <f>HYPERLINK("https://www.boe.es/gazeta/dias/1834/03/06/pdfs/I00139-00140.pdf#page=1","Abrir facsímil")</f>
        <v>Abrir facsímil</v>
      </c>
      <c r="K17052" s="10" t="s">
        <v>37</v>
      </c>
    </row>
    <row r="17053" spans="1:11" ht="54" customHeight="1">
      <c r="A17053" s="9" t="s">
        <v>34503</v>
      </c>
      <c r="B17053" s="9" t="s">
        <v>34504</v>
      </c>
      <c r="C17053" s="9" t="s">
        <v>90</v>
      </c>
      <c r="D17053" s="9" t="s">
        <v>101</v>
      </c>
      <c r="E17053" s="10" t="s">
        <v>317</v>
      </c>
      <c r="F17053" s="9" t="s">
        <v>318</v>
      </c>
      <c r="G17053" s="10" t="s">
        <v>21</v>
      </c>
      <c r="H17053" s="9" t="s">
        <v>35</v>
      </c>
      <c r="I17053" s="9" t="s">
        <v>34505</v>
      </c>
      <c r="J17053" s="10" t="str">
        <f>HYPERLINK("https://www.boe.es/gazeta/dias/1834/03/06/pdfs/GMD-1834-29.pdf#page=3","Abrir facsímil")</f>
        <v>Abrir facsímil</v>
      </c>
      <c r="K17053" s="10" t="s">
        <v>37</v>
      </c>
    </row>
    <row r="17054" spans="1:11" ht="54" customHeight="1">
      <c r="A17054" s="9" t="s">
        <v>34506</v>
      </c>
      <c r="B17054" s="9" t="s">
        <v>34507</v>
      </c>
      <c r="C17054" s="9" t="s">
        <v>90</v>
      </c>
      <c r="D17054" s="9" t="s">
        <v>101</v>
      </c>
      <c r="E17054" s="10" t="s">
        <v>658</v>
      </c>
      <c r="F17054" s="9" t="s">
        <v>659</v>
      </c>
      <c r="G17054" s="10" t="s">
        <v>34</v>
      </c>
      <c r="H17054" s="9" t="s">
        <v>22</v>
      </c>
      <c r="I17054" s="9" t="s">
        <v>34508</v>
      </c>
      <c r="J17054" s="10" t="str">
        <f>HYPERLINK("https://www.boe.es/gazeta/dias/1834/05/26/pdfs/GMD-1834-95.pdf#page=1","Abrir facsímil")</f>
        <v>Abrir facsímil</v>
      </c>
      <c r="K17054" s="10" t="s">
        <v>24</v>
      </c>
    </row>
    <row r="17055" spans="1:11" ht="54" customHeight="1">
      <c r="A17055" s="9" t="s">
        <v>34509</v>
      </c>
      <c r="B17055" s="9" t="s">
        <v>34510</v>
      </c>
      <c r="C17055" s="9" t="s">
        <v>17</v>
      </c>
      <c r="D17055" s="9" t="s">
        <v>40</v>
      </c>
      <c r="E17055" s="10" t="s">
        <v>138</v>
      </c>
      <c r="F17055" s="9" t="s">
        <v>139</v>
      </c>
      <c r="G17055" s="10" t="s">
        <v>75</v>
      </c>
      <c r="H17055" s="9" t="s">
        <v>22</v>
      </c>
      <c r="I17055" s="9" t="s">
        <v>34511</v>
      </c>
      <c r="J17055" s="10" t="str">
        <f>HYPERLINK("https://www.boe.es/gazeta/dias/1834/05/17/pdfs/GMD-1834-86.pdf#page=4","Abrir facsímil")</f>
        <v>Abrir facsímil</v>
      </c>
      <c r="K17055" s="10" t="s">
        <v>24</v>
      </c>
    </row>
    <row r="17056" spans="1:11" ht="54" customHeight="1">
      <c r="A17056" s="9" t="s">
        <v>34509</v>
      </c>
      <c r="B17056" s="9" t="s">
        <v>34510</v>
      </c>
      <c r="C17056" s="9" t="s">
        <v>17</v>
      </c>
      <c r="D17056" s="9" t="s">
        <v>18</v>
      </c>
      <c r="E17056" s="10" t="s">
        <v>1119</v>
      </c>
      <c r="F17056" s="9" t="s">
        <v>1120</v>
      </c>
      <c r="G17056" s="10" t="s">
        <v>75</v>
      </c>
      <c r="H17056" s="9" t="s">
        <v>22</v>
      </c>
      <c r="I17056" s="9" t="s">
        <v>34512</v>
      </c>
      <c r="J17056" s="10" t="str">
        <f>HYPERLINK("https://www.boe.es/gazeta/dias/1834/07/17/pdfs/GMD-1834-150.pdf#page=4","Abrir facsímil")</f>
        <v>Abrir facsímil</v>
      </c>
      <c r="K17056" s="10" t="s">
        <v>24</v>
      </c>
    </row>
    <row r="17057" spans="1:11" ht="54" customHeight="1">
      <c r="A17057" s="9" t="s">
        <v>34513</v>
      </c>
      <c r="B17057" s="9" t="s">
        <v>34514</v>
      </c>
      <c r="C17057" s="9" t="s">
        <v>17</v>
      </c>
      <c r="D17057" s="9" t="s">
        <v>18</v>
      </c>
      <c r="E17057" s="10" t="s">
        <v>849</v>
      </c>
      <c r="F17057" s="9" t="s">
        <v>850</v>
      </c>
      <c r="G17057" s="10" t="s">
        <v>21</v>
      </c>
      <c r="H17057" s="9" t="s">
        <v>22</v>
      </c>
      <c r="I17057" s="9" t="s">
        <v>34515</v>
      </c>
      <c r="J17057" s="10" t="str">
        <f>HYPERLINK("https://www.boe.es/gazeta/dias/1834/06/21/pdfs/GMD-1834-124.pdf#page=3","Abrir facsímil")</f>
        <v>Abrir facsímil</v>
      </c>
      <c r="K17057" s="10" t="s">
        <v>24</v>
      </c>
    </row>
    <row r="17058" spans="1:11" ht="54" customHeight="1">
      <c r="A17058" s="9" t="s">
        <v>34516</v>
      </c>
      <c r="B17058" s="9" t="s">
        <v>34517</v>
      </c>
      <c r="C17058" s="9" t="s">
        <v>17</v>
      </c>
      <c r="D17058" s="9" t="s">
        <v>101</v>
      </c>
      <c r="E17058" s="10" t="s">
        <v>1262</v>
      </c>
      <c r="F17058" s="9" t="s">
        <v>1263</v>
      </c>
      <c r="G17058" s="10" t="s">
        <v>34</v>
      </c>
      <c r="H17058" s="9" t="s">
        <v>22</v>
      </c>
      <c r="I17058" s="9" t="s">
        <v>34518</v>
      </c>
      <c r="J17058" s="10" t="str">
        <f>HYPERLINK("https://www.boe.es/gazeta/dias/1834/02/01/pdfs/GMD-1834-15.pdf#page=1","Abrir facsímil")</f>
        <v>Abrir facsímil</v>
      </c>
      <c r="K17058" s="10" t="s">
        <v>24</v>
      </c>
    </row>
    <row r="17059" spans="1:11" ht="54" customHeight="1">
      <c r="A17059" s="9" t="s">
        <v>34516</v>
      </c>
      <c r="B17059" s="9" t="s">
        <v>34517</v>
      </c>
      <c r="C17059" s="9" t="s">
        <v>90</v>
      </c>
      <c r="D17059" s="9" t="s">
        <v>101</v>
      </c>
      <c r="E17059" s="10" t="s">
        <v>317</v>
      </c>
      <c r="F17059" s="9" t="s">
        <v>318</v>
      </c>
      <c r="G17059" s="10" t="s">
        <v>34</v>
      </c>
      <c r="H17059" s="9" t="s">
        <v>22</v>
      </c>
      <c r="I17059" s="9" t="s">
        <v>34519</v>
      </c>
      <c r="J17059" s="10" t="str">
        <f>HYPERLINK("https://www.boe.es/gazeta/dias/1834/03/06/pdfs/I00139-00140.pdf#page=1","Abrir facsímil")</f>
        <v>Abrir facsímil</v>
      </c>
      <c r="K17059" s="10" t="s">
        <v>24</v>
      </c>
    </row>
    <row r="17060" spans="1:11" ht="54" customHeight="1">
      <c r="A17060" s="9" t="s">
        <v>34516</v>
      </c>
      <c r="B17060" s="9" t="s">
        <v>34517</v>
      </c>
      <c r="C17060" s="9" t="s">
        <v>90</v>
      </c>
      <c r="D17060" s="9" t="s">
        <v>101</v>
      </c>
      <c r="E17060" s="10" t="s">
        <v>317</v>
      </c>
      <c r="F17060" s="9" t="s">
        <v>318</v>
      </c>
      <c r="G17060" s="10" t="s">
        <v>21</v>
      </c>
      <c r="H17060" s="9" t="s">
        <v>22</v>
      </c>
      <c r="I17060" s="9" t="s">
        <v>34519</v>
      </c>
      <c r="J17060" s="10" t="str">
        <f>HYPERLINK("https://www.boe.es/gazeta/dias/1834/03/06/pdfs/GMD-1834-29.pdf#page=3","Abrir facsímil")</f>
        <v>Abrir facsímil</v>
      </c>
      <c r="K17060" s="10" t="s">
        <v>24</v>
      </c>
    </row>
    <row r="17061" spans="1:11" ht="54" customHeight="1">
      <c r="A17061" s="9" t="s">
        <v>34520</v>
      </c>
      <c r="B17061" s="9" t="s">
        <v>34521</v>
      </c>
      <c r="C17061" s="9" t="s">
        <v>122</v>
      </c>
      <c r="D17061" s="9" t="s">
        <v>18</v>
      </c>
      <c r="E17061" s="10" t="s">
        <v>348</v>
      </c>
      <c r="F17061" s="9" t="s">
        <v>501</v>
      </c>
      <c r="G17061" s="10" t="s">
        <v>21</v>
      </c>
      <c r="H17061" s="9" t="s">
        <v>22</v>
      </c>
      <c r="I17061" s="9" t="s">
        <v>34522</v>
      </c>
      <c r="J17061" s="10" t="str">
        <f>HYPERLINK("https://www.boe.es/gazeta/dias/1834/06/12/pdfs/GMD-1834-115.pdf#page=3","Abrir facsímil")</f>
        <v>Abrir facsímil</v>
      </c>
      <c r="K17061" s="10" t="s">
        <v>24</v>
      </c>
    </row>
    <row r="17062" spans="1:11" ht="54" customHeight="1">
      <c r="A17062" s="9" t="s">
        <v>34523</v>
      </c>
      <c r="B17062" s="9" t="s">
        <v>34524</v>
      </c>
      <c r="C17062" s="9" t="s">
        <v>17</v>
      </c>
      <c r="D17062" s="9" t="s">
        <v>18</v>
      </c>
      <c r="E17062" s="10" t="s">
        <v>1351</v>
      </c>
      <c r="F17062" s="9" t="s">
        <v>1352</v>
      </c>
      <c r="G17062" s="10" t="s">
        <v>75</v>
      </c>
      <c r="H17062" s="9" t="s">
        <v>35</v>
      </c>
      <c r="I17062" s="9" t="s">
        <v>34525</v>
      </c>
      <c r="J17062" s="10" t="str">
        <f>HYPERLINK("https://www.boe.es/gazeta/dias/1834/07/05/pdfs/GMD-1834-138.pdf#page=4","Abrir facsímil")</f>
        <v>Abrir facsímil</v>
      </c>
      <c r="K17062" s="10" t="s">
        <v>37</v>
      </c>
    </row>
    <row r="17063" spans="1:11" ht="54" customHeight="1">
      <c r="A17063" s="9" t="s">
        <v>34526</v>
      </c>
      <c r="B17063" s="9" t="s">
        <v>34527</v>
      </c>
      <c r="C17063" s="9" t="s">
        <v>17</v>
      </c>
      <c r="D17063" s="9" t="s">
        <v>18</v>
      </c>
      <c r="E17063" s="10" t="s">
        <v>1351</v>
      </c>
      <c r="F17063" s="9" t="s">
        <v>1352</v>
      </c>
      <c r="G17063" s="10" t="s">
        <v>75</v>
      </c>
      <c r="H17063" s="9" t="s">
        <v>22</v>
      </c>
      <c r="I17063" s="9" t="s">
        <v>34528</v>
      </c>
      <c r="J17063" s="10" t="str">
        <f>HYPERLINK("https://www.boe.es/gazeta/dias/1834/07/05/pdfs/GMD-1834-138.pdf#page=4","Abrir facsímil")</f>
        <v>Abrir facsímil</v>
      </c>
      <c r="K17063" s="10" t="s">
        <v>24</v>
      </c>
    </row>
    <row r="17064" spans="1:11" ht="54" customHeight="1">
      <c r="A17064" s="9" t="s">
        <v>34529</v>
      </c>
      <c r="B17064" s="9" t="s">
        <v>34530</v>
      </c>
      <c r="C17064" s="9" t="s">
        <v>17</v>
      </c>
      <c r="D17064" s="9" t="s">
        <v>18</v>
      </c>
      <c r="E17064" s="10" t="s">
        <v>1351</v>
      </c>
      <c r="F17064" s="9" t="s">
        <v>1352</v>
      </c>
      <c r="G17064" s="10" t="s">
        <v>75</v>
      </c>
      <c r="H17064" s="9" t="s">
        <v>35</v>
      </c>
      <c r="I17064" s="9" t="s">
        <v>34531</v>
      </c>
      <c r="J17064" s="10" t="str">
        <f>HYPERLINK("https://www.boe.es/gazeta/dias/1834/07/05/pdfs/GMD-1834-138.pdf#page=4","Abrir facsímil")</f>
        <v>Abrir facsímil</v>
      </c>
      <c r="K17064" s="10" t="s">
        <v>37</v>
      </c>
    </row>
    <row r="17065" spans="1:11" ht="54" customHeight="1">
      <c r="A17065" s="9" t="s">
        <v>34532</v>
      </c>
      <c r="B17065" s="9" t="s">
        <v>34533</v>
      </c>
      <c r="C17065" s="9" t="s">
        <v>46</v>
      </c>
      <c r="D17065" s="9" t="s">
        <v>18</v>
      </c>
      <c r="E17065" s="10" t="s">
        <v>1025</v>
      </c>
      <c r="F17065" s="9" t="s">
        <v>1026</v>
      </c>
      <c r="G17065" s="10" t="s">
        <v>86</v>
      </c>
      <c r="H17065" s="9" t="s">
        <v>22</v>
      </c>
      <c r="I17065" s="9" t="s">
        <v>34534</v>
      </c>
      <c r="J17065" s="10" t="str">
        <f>HYPERLINK("https://www.boe.es/gazeta/dias/1834/03/01/pdfs/GMD-1834-27.pdf#page=2","Abrir facsímil")</f>
        <v>Abrir facsímil</v>
      </c>
      <c r="K17065" s="10" t="s">
        <v>24</v>
      </c>
    </row>
    <row r="17066" spans="1:11" ht="54" customHeight="1">
      <c r="A17066" s="9" t="s">
        <v>34535</v>
      </c>
      <c r="B17066" s="9" t="s">
        <v>34535</v>
      </c>
      <c r="C17066" s="9" t="s">
        <v>17</v>
      </c>
      <c r="D17066" s="9" t="s">
        <v>18</v>
      </c>
      <c r="E17066" s="10" t="s">
        <v>61</v>
      </c>
      <c r="F17066" s="9" t="s">
        <v>62</v>
      </c>
      <c r="G17066" s="10" t="s">
        <v>34</v>
      </c>
      <c r="H17066" s="9" t="s">
        <v>22</v>
      </c>
      <c r="I17066" s="9" t="s">
        <v>34536</v>
      </c>
      <c r="J17066" s="10" t="str">
        <f>HYPERLINK("https://www.boe.es/gazeta/dias/1834/06/08/pdfs/GMD-1834-111E.pdf#page=1","Abrir facsímil")</f>
        <v>Abrir facsímil</v>
      </c>
      <c r="K17066" s="10" t="s">
        <v>24</v>
      </c>
    </row>
    <row r="17067" spans="1:11" ht="54" customHeight="1">
      <c r="A17067" s="9" t="s">
        <v>34537</v>
      </c>
      <c r="B17067" s="9" t="s">
        <v>34538</v>
      </c>
      <c r="C17067" s="9" t="s">
        <v>90</v>
      </c>
      <c r="D17067" s="9" t="s">
        <v>40</v>
      </c>
      <c r="E17067" s="10" t="s">
        <v>167</v>
      </c>
      <c r="F17067" s="9" t="s">
        <v>1200</v>
      </c>
      <c r="G17067" s="10" t="s">
        <v>86</v>
      </c>
      <c r="H17067" s="9" t="s">
        <v>22</v>
      </c>
      <c r="I17067" s="9" t="s">
        <v>34539</v>
      </c>
      <c r="J17067" s="10" t="str">
        <f>HYPERLINK("https://www.boe.es/gazeta/dias/1834/09/07/pdfs/GMD-C-1834-205.pdf#page=2","Abrir facsímil")</f>
        <v>Abrir facsímil</v>
      </c>
      <c r="K17067" s="10" t="s">
        <v>24</v>
      </c>
    </row>
    <row r="17068" spans="1:11" ht="54" customHeight="1">
      <c r="A17068" s="9" t="s">
        <v>34540</v>
      </c>
      <c r="B17068" s="9" t="s">
        <v>34541</v>
      </c>
      <c r="C17068" s="9" t="s">
        <v>17</v>
      </c>
      <c r="D17068" s="9" t="s">
        <v>18</v>
      </c>
      <c r="E17068" s="10" t="s">
        <v>1226</v>
      </c>
      <c r="F17068" s="9" t="s">
        <v>1227</v>
      </c>
      <c r="G17068" s="10" t="s">
        <v>21</v>
      </c>
      <c r="H17068" s="9" t="s">
        <v>22</v>
      </c>
      <c r="I17068" s="9" t="s">
        <v>34542</v>
      </c>
      <c r="J17068" s="10" t="str">
        <f>HYPERLINK("https://www.boe.es/gazeta/dias/1834/07/14/pdfs/GMD-1834-147.pdf#page=3","Abrir facsímil")</f>
        <v>Abrir facsímil</v>
      </c>
      <c r="K17068" s="10" t="s">
        <v>24</v>
      </c>
    </row>
    <row r="17069" spans="1:11" ht="54" customHeight="1">
      <c r="A17069" s="9" t="s">
        <v>34543</v>
      </c>
      <c r="B17069" s="9" t="s">
        <v>34543</v>
      </c>
      <c r="C17069" s="9" t="s">
        <v>17</v>
      </c>
      <c r="D17069" s="9" t="s">
        <v>18</v>
      </c>
      <c r="E17069" s="10" t="s">
        <v>3170</v>
      </c>
      <c r="F17069" s="9" t="s">
        <v>3171</v>
      </c>
      <c r="G17069" s="10" t="s">
        <v>21</v>
      </c>
      <c r="H17069" s="9" t="s">
        <v>22</v>
      </c>
      <c r="I17069" s="9" t="s">
        <v>34544</v>
      </c>
      <c r="J17069" s="10" t="str">
        <f>HYPERLINK("https://www.boe.es/gazeta/dias/1834/12/07/pdfs/GMD-1834-296.pdf#page=3","Abrir facsímil")</f>
        <v>Abrir facsímil</v>
      </c>
      <c r="K17069" s="10" t="s">
        <v>24</v>
      </c>
    </row>
    <row r="17070" spans="1:11" ht="54" customHeight="1">
      <c r="A17070" s="9" t="s">
        <v>34545</v>
      </c>
      <c r="B17070" s="9" t="s">
        <v>34546</v>
      </c>
      <c r="C17070" s="9" t="s">
        <v>66</v>
      </c>
      <c r="D17070" s="9" t="s">
        <v>67</v>
      </c>
      <c r="E17070" s="10" t="s">
        <v>1572</v>
      </c>
      <c r="F17070" s="9" t="s">
        <v>1573</v>
      </c>
      <c r="G17070" s="10" t="s">
        <v>176</v>
      </c>
      <c r="H17070" s="9" t="s">
        <v>35</v>
      </c>
      <c r="I17070" s="9" t="s">
        <v>34547</v>
      </c>
      <c r="J17070" s="10" t="str">
        <f>HYPERLINK("https://www.boe.es/gazeta/dias/1834/03/20/pdfs/GMD-1834-35.pdf#page=6","Abrir facsímil")</f>
        <v>Abrir facsímil</v>
      </c>
      <c r="K17070" s="10" t="s">
        <v>37</v>
      </c>
    </row>
    <row r="17071" spans="1:11" ht="54" customHeight="1">
      <c r="A17071" s="9" t="s">
        <v>34548</v>
      </c>
      <c r="B17071" s="9" t="s">
        <v>34549</v>
      </c>
      <c r="C17071" s="9" t="s">
        <v>17</v>
      </c>
      <c r="D17071" s="9" t="s">
        <v>18</v>
      </c>
      <c r="E17071" s="10" t="s">
        <v>143</v>
      </c>
      <c r="F17071" s="9" t="s">
        <v>144</v>
      </c>
      <c r="G17071" s="10" t="s">
        <v>21</v>
      </c>
      <c r="H17071" s="9" t="s">
        <v>22</v>
      </c>
      <c r="I17071" s="9" t="s">
        <v>34550</v>
      </c>
      <c r="J17071" s="10" t="str">
        <f>HYPERLINK("https://www.boe.es/gazeta/dias/1834/07/31/pdfs/GMD-1834-164.pdf#page=3","Abrir facsímil")</f>
        <v>Abrir facsímil</v>
      </c>
      <c r="K17071" s="10" t="s">
        <v>24</v>
      </c>
    </row>
    <row r="17072" spans="1:11" ht="54" customHeight="1">
      <c r="A17072" s="9" t="s">
        <v>34551</v>
      </c>
      <c r="B17072" s="9" t="s">
        <v>34552</v>
      </c>
      <c r="C17072" s="9" t="s">
        <v>122</v>
      </c>
      <c r="D17072" s="9" t="s">
        <v>101</v>
      </c>
      <c r="E17072" s="10" t="s">
        <v>3066</v>
      </c>
      <c r="F17072" s="9" t="s">
        <v>3188</v>
      </c>
      <c r="G17072" s="10" t="s">
        <v>86</v>
      </c>
      <c r="H17072" s="9" t="s">
        <v>22</v>
      </c>
      <c r="I17072" s="9" t="s">
        <v>34553</v>
      </c>
      <c r="J17072" s="10" t="str">
        <f>HYPERLINK("https://www.boe.es/gazeta/dias/1834/08/03/pdfs/I00721-00722.pdf#page=2","Abrir facsímil")</f>
        <v>Abrir facsímil</v>
      </c>
      <c r="K17072" s="10" t="s">
        <v>24</v>
      </c>
    </row>
    <row r="17073" spans="1:11" ht="54" customHeight="1">
      <c r="A17073" s="9" t="s">
        <v>34551</v>
      </c>
      <c r="B17073" s="9" t="s">
        <v>34552</v>
      </c>
      <c r="C17073" s="9" t="s">
        <v>122</v>
      </c>
      <c r="D17073" s="9" t="s">
        <v>101</v>
      </c>
      <c r="E17073" s="10" t="s">
        <v>3066</v>
      </c>
      <c r="F17073" s="9" t="s">
        <v>3188</v>
      </c>
      <c r="G17073" s="10" t="s">
        <v>75</v>
      </c>
      <c r="H17073" s="9" t="s">
        <v>22</v>
      </c>
      <c r="I17073" s="9" t="s">
        <v>34553</v>
      </c>
      <c r="J17073" s="10" t="str">
        <f>HYPERLINK("https://www.boe.es/gazeta/dias/1834/08/03/pdfs/GMD-1834-167.pdf#page=4","Abrir facsímil")</f>
        <v>Abrir facsímil</v>
      </c>
      <c r="K17073" s="10" t="s">
        <v>24</v>
      </c>
    </row>
    <row r="17074" spans="1:11" ht="54" customHeight="1">
      <c r="A17074" s="9" t="s">
        <v>34551</v>
      </c>
      <c r="B17074" s="9" t="s">
        <v>34552</v>
      </c>
      <c r="C17074" s="9" t="s">
        <v>66</v>
      </c>
      <c r="D17074" s="9" t="s">
        <v>67</v>
      </c>
      <c r="E17074" s="10" t="s">
        <v>2241</v>
      </c>
      <c r="F17074" s="9" t="s">
        <v>2242</v>
      </c>
      <c r="G17074" s="10" t="s">
        <v>21</v>
      </c>
      <c r="H17074" s="9" t="s">
        <v>22</v>
      </c>
      <c r="I17074" s="9" t="s">
        <v>34554</v>
      </c>
      <c r="J17074" s="10" t="str">
        <f>HYPERLINK("https://www.boe.es/gazeta/dias/1834/03/11/pdfs/GMD-1834-31.pdf#page=3","Abrir facsímil")</f>
        <v>Abrir facsímil</v>
      </c>
      <c r="K17074" s="10" t="s">
        <v>24</v>
      </c>
    </row>
    <row r="17075" spans="1:11" ht="54" customHeight="1">
      <c r="A17075" s="9" t="s">
        <v>34555</v>
      </c>
      <c r="B17075" s="9" t="s">
        <v>34556</v>
      </c>
      <c r="C17075" s="9" t="s">
        <v>17</v>
      </c>
      <c r="D17075" s="9" t="s">
        <v>18</v>
      </c>
      <c r="E17075" s="10" t="s">
        <v>5885</v>
      </c>
      <c r="F17075" s="9" t="s">
        <v>5886</v>
      </c>
      <c r="G17075" s="10" t="s">
        <v>21</v>
      </c>
      <c r="H17075" s="9" t="s">
        <v>22</v>
      </c>
      <c r="I17075" s="9" t="s">
        <v>34557</v>
      </c>
      <c r="J17075" s="10" t="str">
        <f>HYPERLINK("https://www.boe.es/gazeta/dias/1834/05/23/pdfs/GMD-1834-92.pdf#page=3","Abrir facsímil")</f>
        <v>Abrir facsímil</v>
      </c>
      <c r="K17075" s="10" t="s">
        <v>24</v>
      </c>
    </row>
    <row r="17076" spans="1:11" ht="54" customHeight="1">
      <c r="A17076" s="9" t="s">
        <v>34558</v>
      </c>
      <c r="B17076" s="9" t="s">
        <v>34559</v>
      </c>
      <c r="C17076" s="9" t="s">
        <v>17</v>
      </c>
      <c r="D17076" s="9" t="s">
        <v>18</v>
      </c>
      <c r="E17076" s="10" t="s">
        <v>1170</v>
      </c>
      <c r="F17076" s="9" t="s">
        <v>1171</v>
      </c>
      <c r="G17076" s="10" t="s">
        <v>176</v>
      </c>
      <c r="H17076" s="9" t="s">
        <v>22</v>
      </c>
      <c r="I17076" s="9" t="s">
        <v>34560</v>
      </c>
      <c r="J17076" s="10" t="str">
        <f>HYPERLINK("https://www.boe.es/gazeta/dias/1834/01/07/pdfs/GMD-1834-4.pdf#page=6","Abrir facsímil")</f>
        <v>Abrir facsímil</v>
      </c>
      <c r="K17076" s="10" t="s">
        <v>24</v>
      </c>
    </row>
    <row r="17077" spans="1:11" ht="54" customHeight="1">
      <c r="A17077" s="9" t="s">
        <v>34561</v>
      </c>
      <c r="B17077" s="9" t="s">
        <v>34562</v>
      </c>
      <c r="C17077" s="9" t="s">
        <v>17</v>
      </c>
      <c r="D17077" s="9" t="s">
        <v>18</v>
      </c>
      <c r="E17077" s="10" t="s">
        <v>138</v>
      </c>
      <c r="F17077" s="9" t="s">
        <v>139</v>
      </c>
      <c r="G17077" s="10" t="s">
        <v>75</v>
      </c>
      <c r="H17077" s="9" t="s">
        <v>35</v>
      </c>
      <c r="I17077" s="9" t="s">
        <v>34563</v>
      </c>
      <c r="J17077" s="10" t="str">
        <f>HYPERLINK("https://www.boe.es/gazeta/dias/1834/05/17/pdfs/GMD-1834-86.pdf#page=4","Abrir facsímil")</f>
        <v>Abrir facsímil</v>
      </c>
      <c r="K17077" s="10" t="s">
        <v>37</v>
      </c>
    </row>
    <row r="17078" spans="1:11" ht="54" customHeight="1">
      <c r="A17078" s="9" t="s">
        <v>34564</v>
      </c>
      <c r="B17078" s="9" t="s">
        <v>34565</v>
      </c>
      <c r="C17078" s="9" t="s">
        <v>66</v>
      </c>
      <c r="D17078" s="9" t="s">
        <v>55</v>
      </c>
      <c r="E17078" s="10" t="s">
        <v>286</v>
      </c>
      <c r="F17078" s="9" t="s">
        <v>548</v>
      </c>
      <c r="G17078" s="10" t="s">
        <v>21</v>
      </c>
      <c r="H17078" s="9" t="s">
        <v>35</v>
      </c>
      <c r="I17078" s="9" t="s">
        <v>34566</v>
      </c>
      <c r="J17078" s="10" t="str">
        <f>HYPERLINK("https://www.boe.es/gazeta/dias/1834/08/30/pdfs/GMD-1834-196.pdf#page=3","Abrir facsímil")</f>
        <v>Abrir facsímil</v>
      </c>
      <c r="K17078" s="10" t="s">
        <v>37</v>
      </c>
    </row>
    <row r="17079" spans="1:11" ht="54" customHeight="1">
      <c r="A17079" s="9" t="s">
        <v>34567</v>
      </c>
      <c r="B17079" s="9" t="s">
        <v>34568</v>
      </c>
      <c r="C17079" s="9" t="s">
        <v>17</v>
      </c>
      <c r="D17079" s="9" t="s">
        <v>18</v>
      </c>
      <c r="E17079" s="10" t="s">
        <v>138</v>
      </c>
      <c r="F17079" s="9" t="s">
        <v>139</v>
      </c>
      <c r="G17079" s="10" t="s">
        <v>75</v>
      </c>
      <c r="H17079" s="9" t="s">
        <v>22</v>
      </c>
      <c r="I17079" s="9" t="s">
        <v>34569</v>
      </c>
      <c r="J17079" s="10" t="str">
        <f>HYPERLINK("https://www.boe.es/gazeta/dias/1834/05/17/pdfs/GMD-1834-86.pdf#page=4","Abrir facsímil")</f>
        <v>Abrir facsímil</v>
      </c>
      <c r="K17079" s="10" t="s">
        <v>24</v>
      </c>
    </row>
    <row r="17080" spans="1:11" ht="54" customHeight="1">
      <c r="A17080" s="9" t="s">
        <v>34570</v>
      </c>
      <c r="B17080" s="9" t="s">
        <v>34571</v>
      </c>
      <c r="C17080" s="9" t="s">
        <v>66</v>
      </c>
      <c r="D17080" s="9" t="s">
        <v>55</v>
      </c>
      <c r="E17080" s="10" t="s">
        <v>286</v>
      </c>
      <c r="F17080" s="9" t="s">
        <v>548</v>
      </c>
      <c r="G17080" s="10" t="s">
        <v>21</v>
      </c>
      <c r="H17080" s="9" t="s">
        <v>22</v>
      </c>
      <c r="I17080" s="9" t="s">
        <v>34572</v>
      </c>
      <c r="J17080" s="10" t="str">
        <f>HYPERLINK("https://www.boe.es/gazeta/dias/1834/08/30/pdfs/GMD-1834-196.pdf#page=3","Abrir facsímil")</f>
        <v>Abrir facsímil</v>
      </c>
      <c r="K17080" s="10" t="s">
        <v>24</v>
      </c>
    </row>
    <row r="17081" spans="1:11" ht="54" customHeight="1">
      <c r="A17081" s="9" t="s">
        <v>34573</v>
      </c>
      <c r="B17081" s="9" t="s">
        <v>34574</v>
      </c>
      <c r="C17081" s="9" t="s">
        <v>90</v>
      </c>
      <c r="D17081" s="9" t="s">
        <v>18</v>
      </c>
      <c r="E17081" s="10" t="s">
        <v>863</v>
      </c>
      <c r="F17081" s="9" t="s">
        <v>864</v>
      </c>
      <c r="G17081" s="10" t="s">
        <v>75</v>
      </c>
      <c r="H17081" s="9" t="s">
        <v>22</v>
      </c>
      <c r="I17081" s="9" t="s">
        <v>34575</v>
      </c>
      <c r="J17081" s="10" t="str">
        <f>HYPERLINK("https://www.boe.es/gazeta/dias/1834/09/15/pdfs/GMD-1834-213.pdf#page=4","Abrir facsímil")</f>
        <v>Abrir facsímil</v>
      </c>
      <c r="K17081" s="10" t="s">
        <v>24</v>
      </c>
    </row>
    <row r="17082" spans="1:11" ht="54" customHeight="1">
      <c r="A17082" s="9" t="s">
        <v>34576</v>
      </c>
      <c r="B17082" s="9" t="s">
        <v>34577</v>
      </c>
      <c r="C17082" s="9" t="s">
        <v>66</v>
      </c>
      <c r="D17082" s="9" t="s">
        <v>67</v>
      </c>
      <c r="E17082" s="10" t="s">
        <v>576</v>
      </c>
      <c r="F17082" s="9" t="s">
        <v>577</v>
      </c>
      <c r="G17082" s="10" t="s">
        <v>86</v>
      </c>
      <c r="H17082" s="9" t="s">
        <v>22</v>
      </c>
      <c r="I17082" s="9" t="s">
        <v>34578</v>
      </c>
      <c r="J17082" s="10" t="str">
        <f>HYPERLINK("https://www.boe.es/gazeta/dias/1834/09/23/pdfs/GMD-1834-221.pdf#page=2","Abrir facsímil")</f>
        <v>Abrir facsímil</v>
      </c>
      <c r="K17082" s="10" t="s">
        <v>24</v>
      </c>
    </row>
    <row r="17083" spans="1:11" ht="54" customHeight="1">
      <c r="A17083" s="9" t="s">
        <v>34579</v>
      </c>
      <c r="B17083" s="9" t="s">
        <v>34580</v>
      </c>
      <c r="C17083" s="9" t="s">
        <v>17</v>
      </c>
      <c r="D17083" s="9" t="s">
        <v>55</v>
      </c>
      <c r="E17083" s="10" t="s">
        <v>663</v>
      </c>
      <c r="F17083" s="9" t="s">
        <v>664</v>
      </c>
      <c r="G17083" s="10" t="s">
        <v>86</v>
      </c>
      <c r="H17083" s="9" t="s">
        <v>22</v>
      </c>
      <c r="I17083" s="9" t="s">
        <v>34581</v>
      </c>
      <c r="J17083" s="10" t="str">
        <f>HYPERLINK("https://www.boe.es/gazeta/dias/1834/07/16/pdfs/GMD-1834-149.pdf#page=2","Abrir facsímil")</f>
        <v>Abrir facsímil</v>
      </c>
      <c r="K17083" s="10" t="s">
        <v>24</v>
      </c>
    </row>
    <row r="17084" spans="1:11" ht="54" customHeight="1">
      <c r="A17084" s="9" t="s">
        <v>34582</v>
      </c>
      <c r="B17084" s="9" t="s">
        <v>34583</v>
      </c>
      <c r="C17084" s="9" t="s">
        <v>17</v>
      </c>
      <c r="D17084" s="9" t="s">
        <v>18</v>
      </c>
      <c r="E17084" s="10" t="s">
        <v>1692</v>
      </c>
      <c r="F17084" s="9" t="s">
        <v>1693</v>
      </c>
      <c r="G17084" s="10" t="s">
        <v>86</v>
      </c>
      <c r="H17084" s="9" t="s">
        <v>22</v>
      </c>
      <c r="I17084" s="9" t="s">
        <v>34584</v>
      </c>
      <c r="J17084" s="10" t="str">
        <f>HYPERLINK("https://www.boe.es/gazeta/dias/1834/07/29/pdfs/GMD-1834-162.pdf#page=2","Abrir facsímil")</f>
        <v>Abrir facsímil</v>
      </c>
      <c r="K17084" s="10" t="s">
        <v>24</v>
      </c>
    </row>
    <row r="17085" spans="1:11" ht="54" customHeight="1">
      <c r="A17085" s="9" t="s">
        <v>34585</v>
      </c>
      <c r="B17085" s="9" t="s">
        <v>34585</v>
      </c>
      <c r="C17085" s="9" t="s">
        <v>46</v>
      </c>
      <c r="D17085" s="9" t="s">
        <v>55</v>
      </c>
      <c r="E17085" s="10" t="s">
        <v>454</v>
      </c>
      <c r="F17085" s="9" t="s">
        <v>455</v>
      </c>
      <c r="G17085" s="10" t="s">
        <v>21</v>
      </c>
      <c r="H17085" s="9" t="s">
        <v>22</v>
      </c>
      <c r="I17085" s="9" t="s">
        <v>34586</v>
      </c>
      <c r="J17085" s="10" t="str">
        <f>HYPERLINK("https://www.boe.es/gazeta/dias/1834/10/16/pdfs/GMD-C-1834-244.pdf#page=3","Abrir facsímil")</f>
        <v>Abrir facsímil</v>
      </c>
      <c r="K17085" s="10" t="s">
        <v>24</v>
      </c>
    </row>
    <row r="17086" spans="1:11" ht="54" customHeight="1">
      <c r="A17086" s="9" t="s">
        <v>34587</v>
      </c>
      <c r="B17086" s="9" t="s">
        <v>34587</v>
      </c>
      <c r="C17086" s="9" t="s">
        <v>17</v>
      </c>
      <c r="D17086" s="9" t="s">
        <v>18</v>
      </c>
      <c r="E17086" s="10" t="s">
        <v>1084</v>
      </c>
      <c r="F17086" s="9" t="s">
        <v>1085</v>
      </c>
      <c r="G17086" s="10" t="s">
        <v>28</v>
      </c>
      <c r="H17086" s="9" t="s">
        <v>22</v>
      </c>
      <c r="I17086" s="9" t="s">
        <v>34588</v>
      </c>
      <c r="J17086" s="10" t="str">
        <f>HYPERLINK("https://www.boe.es/gazeta/dias/1834/05/01/pdfs/GMD-1834-70.pdf#page=5","Abrir facsímil")</f>
        <v>Abrir facsímil</v>
      </c>
      <c r="K17086" s="10" t="s">
        <v>24</v>
      </c>
    </row>
    <row r="17087" spans="1:11" ht="54" customHeight="1">
      <c r="A17087" s="9" t="s">
        <v>34589</v>
      </c>
      <c r="B17087" s="9" t="s">
        <v>34590</v>
      </c>
      <c r="C17087" s="9" t="s">
        <v>17</v>
      </c>
      <c r="D17087" s="9" t="s">
        <v>18</v>
      </c>
      <c r="E17087" s="10" t="s">
        <v>734</v>
      </c>
      <c r="F17087" s="9" t="s">
        <v>735</v>
      </c>
      <c r="G17087" s="10" t="s">
        <v>34</v>
      </c>
      <c r="H17087" s="9" t="s">
        <v>22</v>
      </c>
      <c r="I17087" s="9" t="s">
        <v>34591</v>
      </c>
      <c r="J17087" s="10" t="str">
        <f>HYPERLINK("https://www.boe.es/gazeta/dias/1834/05/06/pdfs/GMD-1834-75.pdf#page=1","Abrir facsímil")</f>
        <v>Abrir facsímil</v>
      </c>
      <c r="K17087" s="10" t="s">
        <v>24</v>
      </c>
    </row>
    <row r="17088" spans="1:11" ht="54" customHeight="1">
      <c r="A17088" s="9" t="s">
        <v>34592</v>
      </c>
      <c r="B17088" s="9" t="s">
        <v>34592</v>
      </c>
      <c r="C17088" s="9" t="s">
        <v>17</v>
      </c>
      <c r="D17088" s="9" t="s">
        <v>18</v>
      </c>
      <c r="E17088" s="10" t="s">
        <v>280</v>
      </c>
      <c r="F17088" s="9" t="s">
        <v>3217</v>
      </c>
      <c r="G17088" s="10" t="s">
        <v>34</v>
      </c>
      <c r="H17088" s="9" t="s">
        <v>22</v>
      </c>
      <c r="I17088" s="9" t="s">
        <v>34593</v>
      </c>
      <c r="J17088" s="10" t="str">
        <f>HYPERLINK("https://www.boe.es/gazeta/dias/1834/08/29/pdfs/GMD-1834-195.pdf#page=1","Abrir facsímil")</f>
        <v>Abrir facsímil</v>
      </c>
      <c r="K17088" s="10" t="s">
        <v>24</v>
      </c>
    </row>
    <row r="17089" spans="1:11" ht="54" customHeight="1">
      <c r="A17089" s="9" t="s">
        <v>34594</v>
      </c>
      <c r="B17089" s="9" t="s">
        <v>34595</v>
      </c>
      <c r="C17089" s="9" t="s">
        <v>17</v>
      </c>
      <c r="D17089" s="9" t="s">
        <v>18</v>
      </c>
      <c r="E17089" s="10" t="s">
        <v>813</v>
      </c>
      <c r="F17089" s="9" t="s">
        <v>814</v>
      </c>
      <c r="G17089" s="10" t="s">
        <v>21</v>
      </c>
      <c r="H17089" s="9" t="s">
        <v>35</v>
      </c>
      <c r="I17089" s="9" t="s">
        <v>34596</v>
      </c>
      <c r="J17089" s="10" t="str">
        <f>HYPERLINK("https://www.boe.es/gazeta/dias/1834/08/08/pdfs/GMD-1834-173.pdf#page=3","Abrir facsímil")</f>
        <v>Abrir facsímil</v>
      </c>
      <c r="K17089" s="10" t="s">
        <v>37</v>
      </c>
    </row>
    <row r="17090" spans="1:11" ht="54" customHeight="1">
      <c r="A17090" s="9" t="s">
        <v>34597</v>
      </c>
      <c r="B17090" s="9" t="s">
        <v>34598</v>
      </c>
      <c r="C17090" s="9" t="s">
        <v>17</v>
      </c>
      <c r="D17090" s="9" t="s">
        <v>18</v>
      </c>
      <c r="E17090" s="10" t="s">
        <v>2860</v>
      </c>
      <c r="F17090" s="9" t="s">
        <v>2861</v>
      </c>
      <c r="G17090" s="10" t="s">
        <v>21</v>
      </c>
      <c r="H17090" s="9" t="s">
        <v>22</v>
      </c>
      <c r="I17090" s="9" t="s">
        <v>34599</v>
      </c>
      <c r="J17090" s="10" t="str">
        <f>HYPERLINK("https://www.boe.es/gazeta/dias/1834/07/20/pdfs/GMD-1834-153.pdf#page=3","Abrir facsímil")</f>
        <v>Abrir facsímil</v>
      </c>
      <c r="K17090" s="10" t="s">
        <v>24</v>
      </c>
    </row>
    <row r="17091" spans="1:11" ht="54" customHeight="1">
      <c r="A17091" s="9" t="s">
        <v>34600</v>
      </c>
      <c r="B17091" s="9" t="s">
        <v>34601</v>
      </c>
      <c r="C17091" s="9" t="s">
        <v>17</v>
      </c>
      <c r="D17091" s="9" t="s">
        <v>18</v>
      </c>
      <c r="E17091" s="10" t="s">
        <v>394</v>
      </c>
      <c r="F17091" s="9" t="s">
        <v>459</v>
      </c>
      <c r="G17091" s="10" t="s">
        <v>28</v>
      </c>
      <c r="H17091" s="9" t="s">
        <v>22</v>
      </c>
      <c r="I17091" s="9" t="s">
        <v>34602</v>
      </c>
      <c r="J17091" s="10" t="str">
        <f>HYPERLINK("https://www.boe.es/gazeta/dias/1834/12/23/pdfs/GMD-C-1834-313.pdf#page=5","Abrir facsímil")</f>
        <v>Abrir facsímil</v>
      </c>
      <c r="K17091" s="10" t="s">
        <v>24</v>
      </c>
    </row>
    <row r="17092" spans="1:11" ht="54" customHeight="1">
      <c r="A17092" s="9" t="s">
        <v>34603</v>
      </c>
      <c r="B17092" s="9" t="s">
        <v>34603</v>
      </c>
      <c r="C17092" s="9" t="s">
        <v>66</v>
      </c>
      <c r="D17092" s="9" t="s">
        <v>101</v>
      </c>
      <c r="E17092" s="10" t="s">
        <v>838</v>
      </c>
      <c r="F17092" s="9" t="s">
        <v>839</v>
      </c>
      <c r="G17092" s="10" t="s">
        <v>34</v>
      </c>
      <c r="H17092" s="9" t="s">
        <v>22</v>
      </c>
      <c r="I17092" s="9" t="s">
        <v>34604</v>
      </c>
      <c r="J17092" s="10" t="str">
        <f>HYPERLINK("https://www.boe.es/gazeta/dias/1834/07/18/pdfs/GMD-1834-151.pdf#page=1","Abrir facsímil")</f>
        <v>Abrir facsímil</v>
      </c>
      <c r="K17092" s="10" t="s">
        <v>24</v>
      </c>
    </row>
    <row r="17093" spans="1:11" ht="54" customHeight="1">
      <c r="A17093" s="9" t="s">
        <v>34605</v>
      </c>
      <c r="B17093" s="9" t="s">
        <v>34605</v>
      </c>
      <c r="C17093" s="9" t="s">
        <v>17</v>
      </c>
      <c r="D17093" s="9" t="s">
        <v>18</v>
      </c>
      <c r="E17093" s="10" t="s">
        <v>690</v>
      </c>
      <c r="F17093" s="9" t="s">
        <v>691</v>
      </c>
      <c r="G17093" s="10" t="s">
        <v>176</v>
      </c>
      <c r="H17093" s="9" t="s">
        <v>22</v>
      </c>
      <c r="I17093" s="9" t="s">
        <v>34606</v>
      </c>
      <c r="J17093" s="10" t="str">
        <f>HYPERLINK("https://www.boe.es/gazeta/dias/1834/09/03/pdfs/GMD-C-1834-201.pdf#page=6","Abrir facsímil")</f>
        <v>Abrir facsímil</v>
      </c>
      <c r="K17093" s="10" t="s">
        <v>24</v>
      </c>
    </row>
    <row r="17094" spans="1:11" ht="54" customHeight="1">
      <c r="A17094" s="9" t="s">
        <v>34607</v>
      </c>
      <c r="B17094" s="9" t="s">
        <v>34608</v>
      </c>
      <c r="C17094" s="9" t="s">
        <v>17</v>
      </c>
      <c r="D17094" s="9" t="s">
        <v>101</v>
      </c>
      <c r="E17094" s="10" t="s">
        <v>187</v>
      </c>
      <c r="F17094" s="9" t="s">
        <v>188</v>
      </c>
      <c r="G17094" s="10" t="s">
        <v>86</v>
      </c>
      <c r="H17094" s="9" t="s">
        <v>35</v>
      </c>
      <c r="I17094" s="9" t="s">
        <v>34609</v>
      </c>
      <c r="J17094" s="10" t="str">
        <f>HYPERLINK("https://www.boe.es/gazeta/dias/1834/09/30/pdfs/GMD-1834-228.pdf#page=2","Abrir facsímil")</f>
        <v>Abrir facsímil</v>
      </c>
      <c r="K17094" s="10" t="s">
        <v>37</v>
      </c>
    </row>
    <row r="17095" spans="1:11" ht="54" customHeight="1">
      <c r="A17095" s="9" t="s">
        <v>34610</v>
      </c>
      <c r="B17095" s="9" t="s">
        <v>34611</v>
      </c>
      <c r="C17095" s="9" t="s">
        <v>46</v>
      </c>
      <c r="D17095" s="9" t="s">
        <v>18</v>
      </c>
      <c r="E17095" s="10" t="s">
        <v>1653</v>
      </c>
      <c r="F17095" s="9" t="s">
        <v>1654</v>
      </c>
      <c r="G17095" s="10" t="s">
        <v>75</v>
      </c>
      <c r="H17095" s="9" t="s">
        <v>35</v>
      </c>
      <c r="I17095" s="9" t="s">
        <v>34612</v>
      </c>
      <c r="J17095" s="10" t="str">
        <f>HYPERLINK("https://www.boe.es/gazeta/dias/1834/07/03/pdfs/GMD-1834-136.pdf#page=4","Abrir facsímil")</f>
        <v>Abrir facsímil</v>
      </c>
      <c r="K17095" s="10" t="s">
        <v>37</v>
      </c>
    </row>
    <row r="17096" spans="1:11" ht="54" customHeight="1">
      <c r="A17096" s="9" t="s">
        <v>34613</v>
      </c>
      <c r="B17096" s="9" t="s">
        <v>34614</v>
      </c>
      <c r="C17096" s="9" t="s">
        <v>17</v>
      </c>
      <c r="D17096" s="9" t="s">
        <v>101</v>
      </c>
      <c r="E17096" s="10" t="s">
        <v>1402</v>
      </c>
      <c r="F17096" s="9" t="s">
        <v>1403</v>
      </c>
      <c r="G17096" s="10" t="s">
        <v>86</v>
      </c>
      <c r="H17096" s="9" t="s">
        <v>35</v>
      </c>
      <c r="I17096" s="9" t="s">
        <v>34615</v>
      </c>
      <c r="J17096" s="10" t="str">
        <f>HYPERLINK("https://www.boe.es/gazeta/dias/1834/05/05/pdfs/I00347-00348.pdf#page=2","Abrir facsímil")</f>
        <v>Abrir facsímil</v>
      </c>
      <c r="K17096" s="10" t="s">
        <v>37</v>
      </c>
    </row>
    <row r="17097" spans="1:11" ht="54" customHeight="1">
      <c r="A17097" s="9" t="s">
        <v>34613</v>
      </c>
      <c r="B17097" s="9" t="s">
        <v>34614</v>
      </c>
      <c r="C17097" s="9" t="s">
        <v>17</v>
      </c>
      <c r="D17097" s="9" t="s">
        <v>101</v>
      </c>
      <c r="E17097" s="10" t="s">
        <v>1402</v>
      </c>
      <c r="F17097" s="9" t="s">
        <v>1403</v>
      </c>
      <c r="G17097" s="10" t="s">
        <v>176</v>
      </c>
      <c r="H17097" s="9" t="s">
        <v>35</v>
      </c>
      <c r="I17097" s="9" t="s">
        <v>34616</v>
      </c>
      <c r="J17097" s="10" t="str">
        <f>HYPERLINK("https://www.boe.es/gazeta/dias/1834/05/05/pdfs/GMD-1834-74.pdf#page=6","Abrir facsímil")</f>
        <v>Abrir facsímil</v>
      </c>
      <c r="K17097" s="10" t="s">
        <v>37</v>
      </c>
    </row>
    <row r="17098" spans="1:11" ht="54" customHeight="1">
      <c r="A17098" s="9" t="s">
        <v>34617</v>
      </c>
      <c r="B17098" s="9" t="s">
        <v>34618</v>
      </c>
      <c r="C17098" s="9" t="s">
        <v>17</v>
      </c>
      <c r="D17098" s="9" t="s">
        <v>18</v>
      </c>
      <c r="E17098" s="10" t="s">
        <v>679</v>
      </c>
      <c r="F17098" s="9" t="s">
        <v>680</v>
      </c>
      <c r="G17098" s="10" t="s">
        <v>34</v>
      </c>
      <c r="H17098" s="9" t="s">
        <v>35</v>
      </c>
      <c r="I17098" s="9" t="s">
        <v>34619</v>
      </c>
      <c r="J17098" s="10" t="str">
        <f>HYPERLINK("https://www.boe.es/gazeta/dias/1834/12/10/pdfs/GMD-1834-299.pdf#page=1","Abrir facsímil")</f>
        <v>Abrir facsímil</v>
      </c>
      <c r="K17098" s="10" t="s">
        <v>37</v>
      </c>
    </row>
    <row r="17099" spans="1:11" ht="54" customHeight="1">
      <c r="A17099" s="9" t="s">
        <v>34620</v>
      </c>
      <c r="B17099" s="9" t="s">
        <v>34621</v>
      </c>
      <c r="C17099" s="9" t="s">
        <v>66</v>
      </c>
      <c r="D17099" s="9" t="s">
        <v>67</v>
      </c>
      <c r="E17099" s="10" t="s">
        <v>1103</v>
      </c>
      <c r="F17099" s="9" t="s">
        <v>1259</v>
      </c>
      <c r="G17099" s="10" t="s">
        <v>34</v>
      </c>
      <c r="H17099" s="9" t="s">
        <v>22</v>
      </c>
      <c r="I17099" s="9" t="s">
        <v>34622</v>
      </c>
      <c r="J17099" s="10" t="str">
        <f>HYPERLINK("https://www.boe.es/gazeta/dias/1834/10/10/pdfs/GMD-1834-238.pdf#page=1","Abrir facsímil")</f>
        <v>Abrir facsímil</v>
      </c>
      <c r="K17099" s="10" t="s">
        <v>24</v>
      </c>
    </row>
    <row r="17100" spans="1:11" ht="54" customHeight="1">
      <c r="A17100" s="9" t="s">
        <v>34623</v>
      </c>
      <c r="B17100" s="9" t="s">
        <v>34624</v>
      </c>
      <c r="C17100" s="9" t="s">
        <v>46</v>
      </c>
      <c r="D17100" s="9" t="s">
        <v>101</v>
      </c>
      <c r="E17100" s="10" t="s">
        <v>2945</v>
      </c>
      <c r="F17100" s="9" t="s">
        <v>2946</v>
      </c>
      <c r="G17100" s="10" t="s">
        <v>75</v>
      </c>
      <c r="H17100" s="9" t="s">
        <v>22</v>
      </c>
      <c r="I17100" s="9" t="s">
        <v>34625</v>
      </c>
      <c r="J17100" s="10" t="str">
        <f>HYPERLINK("https://www.boe.es/gazeta/dias/1834/05/29/pdfs/GMD-1834-98.pdf#page=4","Abrir facsímil")</f>
        <v>Abrir facsímil</v>
      </c>
      <c r="K17100" s="10" t="s">
        <v>24</v>
      </c>
    </row>
    <row r="17101" spans="1:11" ht="54" customHeight="1">
      <c r="A17101" s="9" t="s">
        <v>34626</v>
      </c>
      <c r="B17101" s="9" t="s">
        <v>34627</v>
      </c>
      <c r="C17101" s="9" t="s">
        <v>66</v>
      </c>
      <c r="D17101" s="9" t="s">
        <v>67</v>
      </c>
      <c r="E17101" s="10" t="s">
        <v>84</v>
      </c>
      <c r="F17101" s="9" t="s">
        <v>1223</v>
      </c>
      <c r="G17101" s="10" t="s">
        <v>75</v>
      </c>
      <c r="H17101" s="9" t="s">
        <v>22</v>
      </c>
      <c r="I17101" s="9" t="s">
        <v>34628</v>
      </c>
      <c r="J17101" s="10" t="str">
        <f>HYPERLINK("https://www.boe.es/gazeta/dias/1834/06/07/pdfs/GMD-1834-109.pdf#page=4","Abrir facsímil")</f>
        <v>Abrir facsímil</v>
      </c>
      <c r="K17101" s="10" t="s">
        <v>24</v>
      </c>
    </row>
    <row r="17102" spans="1:11" ht="54" customHeight="1">
      <c r="A17102" s="9" t="s">
        <v>34626</v>
      </c>
      <c r="B17102" s="9" t="s">
        <v>34627</v>
      </c>
      <c r="C17102" s="9" t="s">
        <v>17</v>
      </c>
      <c r="D17102" s="9" t="s">
        <v>18</v>
      </c>
      <c r="E17102" s="10" t="s">
        <v>5435</v>
      </c>
      <c r="F17102" s="9" t="s">
        <v>5436</v>
      </c>
      <c r="G17102" s="10" t="s">
        <v>75</v>
      </c>
      <c r="H17102" s="9" t="s">
        <v>22</v>
      </c>
      <c r="I17102" s="9" t="s">
        <v>34629</v>
      </c>
      <c r="J17102" s="10" t="str">
        <f>HYPERLINK("https://www.boe.es/gazeta/dias/1834/05/11/pdfs/GMD-1834-80.pdf#page=4","Abrir facsímil")</f>
        <v>Abrir facsímil</v>
      </c>
      <c r="K17102" s="10" t="s">
        <v>24</v>
      </c>
    </row>
    <row r="17103" spans="1:11" ht="54" customHeight="1">
      <c r="A17103" s="9" t="s">
        <v>34626</v>
      </c>
      <c r="B17103" s="9" t="s">
        <v>34627</v>
      </c>
      <c r="C17103" s="9" t="s">
        <v>17</v>
      </c>
      <c r="D17103" s="9" t="s">
        <v>18</v>
      </c>
      <c r="E17103" s="10" t="s">
        <v>479</v>
      </c>
      <c r="F17103" s="9" t="s">
        <v>480</v>
      </c>
      <c r="G17103" s="10" t="s">
        <v>21</v>
      </c>
      <c r="H17103" s="9" t="s">
        <v>22</v>
      </c>
      <c r="I17103" s="9" t="s">
        <v>34630</v>
      </c>
      <c r="J17103" s="10" t="str">
        <f>HYPERLINK("https://www.boe.es/gazeta/dias/1834/08/13/pdfs/GMD-1834-178.pdf#page=3","Abrir facsímil")</f>
        <v>Abrir facsímil</v>
      </c>
      <c r="K17103" s="10" t="s">
        <v>24</v>
      </c>
    </row>
    <row r="17104" spans="1:11" ht="54" customHeight="1">
      <c r="A17104" s="9" t="s">
        <v>34631</v>
      </c>
      <c r="B17104" s="9" t="s">
        <v>34632</v>
      </c>
      <c r="C17104" s="9" t="s">
        <v>122</v>
      </c>
      <c r="D17104" s="9" t="s">
        <v>18</v>
      </c>
      <c r="E17104" s="10" t="s">
        <v>2037</v>
      </c>
      <c r="F17104" s="9" t="s">
        <v>2038</v>
      </c>
      <c r="G17104" s="10" t="s">
        <v>34</v>
      </c>
      <c r="H17104" s="9" t="s">
        <v>22</v>
      </c>
      <c r="I17104" s="9" t="s">
        <v>34633</v>
      </c>
      <c r="J17104" s="10" t="str">
        <f>HYPERLINK("https://www.boe.es/gazeta/dias/1834/12/01/pdfs/I01208-01208.pdf#page=1","Abrir facsímil")</f>
        <v>Abrir facsímil</v>
      </c>
      <c r="K17104" s="10" t="s">
        <v>24</v>
      </c>
    </row>
    <row r="17105" spans="1:11" ht="54" customHeight="1">
      <c r="A17105" s="9" t="s">
        <v>34631</v>
      </c>
      <c r="B17105" s="9" t="s">
        <v>34632</v>
      </c>
      <c r="C17105" s="9" t="s">
        <v>122</v>
      </c>
      <c r="D17105" s="9" t="s">
        <v>18</v>
      </c>
      <c r="E17105" s="10" t="s">
        <v>2037</v>
      </c>
      <c r="F17105" s="9" t="s">
        <v>2038</v>
      </c>
      <c r="G17105" s="10" t="s">
        <v>75</v>
      </c>
      <c r="H17105" s="9" t="s">
        <v>22</v>
      </c>
      <c r="I17105" s="9" t="s">
        <v>34633</v>
      </c>
      <c r="J17105" s="10" t="str">
        <f>HYPERLINK("https://www.boe.es/gazeta/dias/1834/12/01/pdfs/GMD-1834-290.pdf#page=4","Abrir facsímil")</f>
        <v>Abrir facsímil</v>
      </c>
      <c r="K17105" s="10" t="s">
        <v>24</v>
      </c>
    </row>
    <row r="17106" spans="1:11" ht="54" customHeight="1">
      <c r="A17106" s="9" t="s">
        <v>34634</v>
      </c>
      <c r="B17106" s="9" t="s">
        <v>34635</v>
      </c>
      <c r="C17106" s="9" t="s">
        <v>90</v>
      </c>
      <c r="D17106" s="9" t="s">
        <v>18</v>
      </c>
      <c r="E17106" s="10" t="s">
        <v>571</v>
      </c>
      <c r="F17106" s="9" t="s">
        <v>572</v>
      </c>
      <c r="G17106" s="10" t="s">
        <v>21</v>
      </c>
      <c r="H17106" s="9" t="s">
        <v>35</v>
      </c>
      <c r="I17106" s="9" t="s">
        <v>34636</v>
      </c>
      <c r="J17106" s="10" t="str">
        <f>HYPERLINK("https://www.boe.es/gazeta/dias/1834/09/04/pdfs/GMD-1834-202.pdf#page=3","Abrir facsímil")</f>
        <v>Abrir facsímil</v>
      </c>
      <c r="K17106" s="10" t="s">
        <v>37</v>
      </c>
    </row>
    <row r="17107" spans="1:11" ht="54" customHeight="1">
      <c r="A17107" s="9" t="s">
        <v>34634</v>
      </c>
      <c r="B17107" s="9" t="s">
        <v>34635</v>
      </c>
      <c r="C17107" s="9" t="s">
        <v>17</v>
      </c>
      <c r="D17107" s="9" t="s">
        <v>18</v>
      </c>
      <c r="E17107" s="10" t="s">
        <v>707</v>
      </c>
      <c r="F17107" s="9" t="s">
        <v>708</v>
      </c>
      <c r="G17107" s="10" t="s">
        <v>34</v>
      </c>
      <c r="H17107" s="9" t="s">
        <v>35</v>
      </c>
      <c r="I17107" s="9" t="s">
        <v>34637</v>
      </c>
      <c r="J17107" s="10" t="str">
        <f>HYPERLINK("https://www.boe.es/gazeta/dias/1834/11/25/pdfs/GMD-C-1834-284.pdf#page=1","Abrir facsímil")</f>
        <v>Abrir facsímil</v>
      </c>
      <c r="K17107" s="10" t="s">
        <v>37</v>
      </c>
    </row>
    <row r="17108" spans="1:11" ht="54" customHeight="1">
      <c r="A17108" s="9" t="s">
        <v>34638</v>
      </c>
      <c r="B17108" s="9" t="s">
        <v>34639</v>
      </c>
      <c r="C17108" s="9" t="s">
        <v>90</v>
      </c>
      <c r="D17108" s="9" t="s">
        <v>18</v>
      </c>
      <c r="E17108" s="10" t="s">
        <v>571</v>
      </c>
      <c r="F17108" s="9" t="s">
        <v>572</v>
      </c>
      <c r="G17108" s="10" t="s">
        <v>21</v>
      </c>
      <c r="H17108" s="9" t="s">
        <v>22</v>
      </c>
      <c r="I17108" s="9" t="s">
        <v>34640</v>
      </c>
      <c r="J17108" s="10" t="str">
        <f>HYPERLINK("https://www.boe.es/gazeta/dias/1834/09/04/pdfs/GMD-1834-202.pdf#page=3","Abrir facsímil")</f>
        <v>Abrir facsímil</v>
      </c>
      <c r="K17108" s="10" t="s">
        <v>24</v>
      </c>
    </row>
    <row r="17109" spans="1:11" ht="54" customHeight="1">
      <c r="A17109" s="9" t="s">
        <v>34638</v>
      </c>
      <c r="B17109" s="9" t="s">
        <v>34639</v>
      </c>
      <c r="C17109" s="9" t="s">
        <v>17</v>
      </c>
      <c r="D17109" s="9" t="s">
        <v>101</v>
      </c>
      <c r="E17109" s="10" t="s">
        <v>1839</v>
      </c>
      <c r="F17109" s="9" t="s">
        <v>1840</v>
      </c>
      <c r="G17109" s="10" t="s">
        <v>34</v>
      </c>
      <c r="H17109" s="9" t="s">
        <v>22</v>
      </c>
      <c r="I17109" s="9" t="s">
        <v>34641</v>
      </c>
      <c r="J17109" s="10" t="str">
        <f>HYPERLINK("https://www.boe.es/gazeta/dias/1834/08/12/pdfs/GMD-C-1834-177.pdf#page=1","Abrir facsímil")</f>
        <v>Abrir facsímil</v>
      </c>
      <c r="K17109" s="10" t="s">
        <v>24</v>
      </c>
    </row>
    <row r="17110" spans="1:11" ht="54" customHeight="1">
      <c r="A17110" s="9" t="s">
        <v>34642</v>
      </c>
      <c r="B17110" s="9" t="s">
        <v>34643</v>
      </c>
      <c r="C17110" s="9" t="s">
        <v>17</v>
      </c>
      <c r="D17110" s="9" t="s">
        <v>18</v>
      </c>
      <c r="E17110" s="10" t="s">
        <v>1850</v>
      </c>
      <c r="F17110" s="9" t="s">
        <v>1851</v>
      </c>
      <c r="G17110" s="10" t="s">
        <v>176</v>
      </c>
      <c r="H17110" s="9" t="s">
        <v>22</v>
      </c>
      <c r="I17110" s="9" t="s">
        <v>34644</v>
      </c>
      <c r="J17110" s="10" t="str">
        <f>HYPERLINK("https://www.boe.es/gazeta/dias/1834/02/18/pdfs/GMD-1834-22.pdf#page=6","Abrir facsímil")</f>
        <v>Abrir facsímil</v>
      </c>
      <c r="K17110" s="10" t="s">
        <v>24</v>
      </c>
    </row>
    <row r="17111" spans="1:11" ht="54" customHeight="1">
      <c r="A17111" s="9" t="s">
        <v>34638</v>
      </c>
      <c r="B17111" s="9" t="s">
        <v>34639</v>
      </c>
      <c r="C17111" s="9" t="s">
        <v>66</v>
      </c>
      <c r="D17111" s="9" t="s">
        <v>67</v>
      </c>
      <c r="E17111" s="10" t="s">
        <v>133</v>
      </c>
      <c r="F17111" s="9" t="s">
        <v>134</v>
      </c>
      <c r="G17111" s="10" t="s">
        <v>34</v>
      </c>
      <c r="H17111" s="9" t="s">
        <v>22</v>
      </c>
      <c r="I17111" s="9" t="s">
        <v>34645</v>
      </c>
      <c r="J17111" s="10" t="str">
        <f>HYPERLINK("https://www.boe.es/gazeta/dias/1834/06/18/pdfs/GMD-1834-121.pdf#page=1","Abrir facsímil")</f>
        <v>Abrir facsímil</v>
      </c>
      <c r="K17111" s="10" t="s">
        <v>24</v>
      </c>
    </row>
    <row r="17112" spans="1:11" ht="54" customHeight="1">
      <c r="A17112" s="9" t="s">
        <v>34638</v>
      </c>
      <c r="B17112" s="9" t="s">
        <v>34639</v>
      </c>
      <c r="C17112" s="9" t="s">
        <v>66</v>
      </c>
      <c r="D17112" s="9" t="s">
        <v>67</v>
      </c>
      <c r="E17112" s="10" t="s">
        <v>1572</v>
      </c>
      <c r="F17112" s="9" t="s">
        <v>1573</v>
      </c>
      <c r="G17112" s="10" t="s">
        <v>21</v>
      </c>
      <c r="H17112" s="9" t="s">
        <v>22</v>
      </c>
      <c r="I17112" s="9" t="s">
        <v>34646</v>
      </c>
      <c r="J17112" s="10" t="str">
        <f>HYPERLINK("https://www.boe.es/gazeta/dias/1834/03/20/pdfs/GMD-1834-35.pdf#page=3","Abrir facsímil")</f>
        <v>Abrir facsímil</v>
      </c>
      <c r="K17112" s="10" t="s">
        <v>24</v>
      </c>
    </row>
    <row r="17113" spans="1:11" ht="54" customHeight="1">
      <c r="A17113" s="9" t="s">
        <v>34638</v>
      </c>
      <c r="B17113" s="9" t="s">
        <v>34639</v>
      </c>
      <c r="C17113" s="9" t="s">
        <v>17</v>
      </c>
      <c r="D17113" s="9" t="s">
        <v>18</v>
      </c>
      <c r="E17113" s="10" t="s">
        <v>4169</v>
      </c>
      <c r="F17113" s="9" t="s">
        <v>4170</v>
      </c>
      <c r="G17113" s="10" t="s">
        <v>86</v>
      </c>
      <c r="H17113" s="9" t="s">
        <v>22</v>
      </c>
      <c r="I17113" s="9" t="s">
        <v>34647</v>
      </c>
      <c r="J17113" s="10" t="str">
        <f>HYPERLINK("https://www.boe.es/gazeta/dias/1834/11/20/pdfs/GMD-1834-279.pdf#page=2","Abrir facsímil")</f>
        <v>Abrir facsímil</v>
      </c>
      <c r="K17113" s="10" t="s">
        <v>24</v>
      </c>
    </row>
    <row r="17114" spans="1:11" ht="54" customHeight="1">
      <c r="A17114" s="9" t="s">
        <v>34648</v>
      </c>
      <c r="B17114" s="9" t="s">
        <v>34649</v>
      </c>
      <c r="C17114" s="9" t="s">
        <v>17</v>
      </c>
      <c r="D17114" s="9" t="s">
        <v>18</v>
      </c>
      <c r="E17114" s="10" t="s">
        <v>928</v>
      </c>
      <c r="F17114" s="9" t="s">
        <v>3338</v>
      </c>
      <c r="G17114" s="10" t="s">
        <v>34</v>
      </c>
      <c r="H17114" s="9" t="s">
        <v>22</v>
      </c>
      <c r="I17114" s="9" t="s">
        <v>34650</v>
      </c>
      <c r="J17114" s="10" t="str">
        <f>HYPERLINK("https://www.boe.es/gazeta/dias/1834/11/15/pdfs/GMD-1834-274.pdf#page=1","Abrir facsímil")</f>
        <v>Abrir facsímil</v>
      </c>
      <c r="K17114" s="10" t="s">
        <v>24</v>
      </c>
    </row>
    <row r="17115" spans="1:11" ht="54" customHeight="1">
      <c r="A17115" s="9" t="s">
        <v>34651</v>
      </c>
      <c r="B17115" s="9" t="s">
        <v>34651</v>
      </c>
      <c r="C17115" s="9" t="s">
        <v>46</v>
      </c>
      <c r="D17115" s="9" t="s">
        <v>18</v>
      </c>
      <c r="E17115" s="10" t="s">
        <v>506</v>
      </c>
      <c r="F17115" s="9" t="s">
        <v>507</v>
      </c>
      <c r="G17115" s="10" t="s">
        <v>75</v>
      </c>
      <c r="H17115" s="9" t="s">
        <v>22</v>
      </c>
      <c r="I17115" s="9" t="s">
        <v>34652</v>
      </c>
      <c r="J17115" s="10" t="str">
        <f>HYPERLINK("https://www.boe.es/gazeta/dias/1834/03/04/pdfs/GMD-1834-28.pdf#page=4","Abrir facsímil")</f>
        <v>Abrir facsímil</v>
      </c>
      <c r="K17115" s="10" t="s">
        <v>24</v>
      </c>
    </row>
    <row r="17116" spans="1:11" ht="54" customHeight="1">
      <c r="A17116" s="9" t="s">
        <v>34653</v>
      </c>
      <c r="B17116" s="9" t="s">
        <v>34654</v>
      </c>
      <c r="C17116" s="9" t="s">
        <v>90</v>
      </c>
      <c r="D17116" s="9" t="s">
        <v>18</v>
      </c>
      <c r="E17116" s="10" t="s">
        <v>1641</v>
      </c>
      <c r="F17116" s="9" t="s">
        <v>1729</v>
      </c>
      <c r="G17116" s="10" t="s">
        <v>21</v>
      </c>
      <c r="H17116" s="9" t="s">
        <v>22</v>
      </c>
      <c r="I17116" s="9" t="s">
        <v>34655</v>
      </c>
      <c r="J17116" s="10" t="str">
        <f>HYPERLINK("https://www.boe.es/gazeta/dias/1834/09/28/pdfs/GMD-1834-226.pdf#page=3","Abrir facsímil")</f>
        <v>Abrir facsímil</v>
      </c>
      <c r="K17116" s="10" t="s">
        <v>24</v>
      </c>
    </row>
    <row r="17117" spans="1:11" ht="54" customHeight="1">
      <c r="A17117" s="9" t="s">
        <v>34656</v>
      </c>
      <c r="B17117" s="9" t="s">
        <v>34657</v>
      </c>
      <c r="C17117" s="9" t="s">
        <v>17</v>
      </c>
      <c r="D17117" s="9" t="s">
        <v>18</v>
      </c>
      <c r="E17117" s="10" t="s">
        <v>19</v>
      </c>
      <c r="F17117" s="9" t="s">
        <v>107</v>
      </c>
      <c r="G17117" s="10" t="s">
        <v>75</v>
      </c>
      <c r="H17117" s="9" t="s">
        <v>22</v>
      </c>
      <c r="I17117" s="9" t="s">
        <v>34658</v>
      </c>
      <c r="J17117" s="10" t="str">
        <f>HYPERLINK("https://www.boe.es/gazeta/dias/1834/08/17/pdfs/GMD-1834-182.pdf#page=4","Abrir facsímil")</f>
        <v>Abrir facsímil</v>
      </c>
      <c r="K17117" s="10" t="s">
        <v>24</v>
      </c>
    </row>
    <row r="17118" spans="1:11" ht="54" customHeight="1">
      <c r="A17118" s="9" t="s">
        <v>34659</v>
      </c>
      <c r="B17118" s="9" t="s">
        <v>34660</v>
      </c>
      <c r="C17118" s="9" t="s">
        <v>17</v>
      </c>
      <c r="D17118" s="9" t="s">
        <v>18</v>
      </c>
      <c r="E17118" s="10" t="s">
        <v>19</v>
      </c>
      <c r="F17118" s="9" t="s">
        <v>107</v>
      </c>
      <c r="G17118" s="10" t="s">
        <v>75</v>
      </c>
      <c r="H17118" s="9" t="s">
        <v>22</v>
      </c>
      <c r="I17118" s="9" t="s">
        <v>34661</v>
      </c>
      <c r="J17118" s="10" t="str">
        <f>HYPERLINK("https://www.boe.es/gazeta/dias/1834/08/17/pdfs/GMD-1834-182.pdf#page=4","Abrir facsímil")</f>
        <v>Abrir facsímil</v>
      </c>
      <c r="K17118" s="10" t="s">
        <v>24</v>
      </c>
    </row>
    <row r="17119" spans="1:11" ht="54" customHeight="1">
      <c r="A17119" s="9" t="s">
        <v>34662</v>
      </c>
      <c r="B17119" s="9" t="s">
        <v>34663</v>
      </c>
      <c r="C17119" s="9" t="s">
        <v>17</v>
      </c>
      <c r="D17119" s="9" t="s">
        <v>18</v>
      </c>
      <c r="E17119" s="10" t="s">
        <v>19</v>
      </c>
      <c r="F17119" s="9" t="s">
        <v>107</v>
      </c>
      <c r="G17119" s="10" t="s">
        <v>75</v>
      </c>
      <c r="H17119" s="9" t="s">
        <v>35</v>
      </c>
      <c r="I17119" s="9" t="s">
        <v>34664</v>
      </c>
      <c r="J17119" s="10" t="str">
        <f>HYPERLINK("https://www.boe.es/gazeta/dias/1834/08/17/pdfs/GMD-1834-182.pdf#page=4","Abrir facsímil")</f>
        <v>Abrir facsímil</v>
      </c>
      <c r="K17119" s="10" t="s">
        <v>37</v>
      </c>
    </row>
    <row r="17120" spans="1:11" ht="54" customHeight="1">
      <c r="A17120" s="9" t="s">
        <v>34665</v>
      </c>
      <c r="B17120" s="9" t="s">
        <v>34666</v>
      </c>
      <c r="C17120" s="9" t="s">
        <v>17</v>
      </c>
      <c r="D17120" s="9" t="s">
        <v>18</v>
      </c>
      <c r="E17120" s="10" t="s">
        <v>19</v>
      </c>
      <c r="F17120" s="9" t="s">
        <v>107</v>
      </c>
      <c r="G17120" s="10" t="s">
        <v>75</v>
      </c>
      <c r="H17120" s="9" t="s">
        <v>22</v>
      </c>
      <c r="I17120" s="9" t="s">
        <v>34667</v>
      </c>
      <c r="J17120" s="10" t="str">
        <f>HYPERLINK("https://www.boe.es/gazeta/dias/1834/08/17/pdfs/GMD-1834-182.pdf#page=4","Abrir facsímil")</f>
        <v>Abrir facsímil</v>
      </c>
      <c r="K17120" s="10" t="s">
        <v>24</v>
      </c>
    </row>
    <row r="17121" spans="1:11" ht="54" customHeight="1">
      <c r="A17121" s="9" t="s">
        <v>34668</v>
      </c>
      <c r="B17121" s="9" t="s">
        <v>34668</v>
      </c>
      <c r="C17121" s="9" t="s">
        <v>46</v>
      </c>
      <c r="D17121" s="9" t="s">
        <v>18</v>
      </c>
      <c r="E17121" s="10" t="s">
        <v>1789</v>
      </c>
      <c r="F17121" s="9" t="s">
        <v>1790</v>
      </c>
      <c r="G17121" s="10" t="s">
        <v>86</v>
      </c>
      <c r="H17121" s="9" t="s">
        <v>22</v>
      </c>
      <c r="I17121" s="9" t="s">
        <v>34669</v>
      </c>
      <c r="J17121" s="10" t="str">
        <f>HYPERLINK("https://www.boe.es/gazeta/dias/1834/05/31/pdfs/GMD-1834-100.pdf#page=2","Abrir facsímil")</f>
        <v>Abrir facsímil</v>
      </c>
      <c r="K17121" s="10" t="s">
        <v>24</v>
      </c>
    </row>
    <row r="17122" spans="1:11" ht="54" customHeight="1">
      <c r="A17122" s="9" t="s">
        <v>34670</v>
      </c>
      <c r="B17122" s="9" t="s">
        <v>34670</v>
      </c>
      <c r="C17122" s="9" t="s">
        <v>46</v>
      </c>
      <c r="D17122" s="9" t="s">
        <v>18</v>
      </c>
      <c r="E17122" s="10" t="s">
        <v>174</v>
      </c>
      <c r="F17122" s="9" t="s">
        <v>175</v>
      </c>
      <c r="G17122" s="10" t="s">
        <v>86</v>
      </c>
      <c r="H17122" s="9" t="s">
        <v>22</v>
      </c>
      <c r="I17122" s="9" t="s">
        <v>34671</v>
      </c>
      <c r="J17122" s="10" t="str">
        <f>HYPERLINK("https://www.boe.es/gazeta/dias/1834/03/27/pdfs/GMD-1834-38.pdf#page=2","Abrir facsímil")</f>
        <v>Abrir facsímil</v>
      </c>
      <c r="K17122" s="10" t="s">
        <v>24</v>
      </c>
    </row>
    <row r="17123" spans="1:11" ht="54" customHeight="1">
      <c r="A17123" s="9" t="s">
        <v>34672</v>
      </c>
      <c r="B17123" s="9" t="s">
        <v>34672</v>
      </c>
      <c r="C17123" s="9" t="s">
        <v>17</v>
      </c>
      <c r="D17123" s="9" t="s">
        <v>18</v>
      </c>
      <c r="E17123" s="10" t="s">
        <v>1262</v>
      </c>
      <c r="F17123" s="9" t="s">
        <v>1263</v>
      </c>
      <c r="G17123" s="10" t="s">
        <v>86</v>
      </c>
      <c r="H17123" s="9" t="s">
        <v>22</v>
      </c>
      <c r="I17123" s="9" t="s">
        <v>34673</v>
      </c>
      <c r="J17123" s="10" t="str">
        <f>HYPERLINK("https://www.boe.es/gazeta/dias/1834/02/01/pdfs/GMD-1834-15.pdf#page=2","Abrir facsímil")</f>
        <v>Abrir facsímil</v>
      </c>
      <c r="K17123" s="10" t="s">
        <v>24</v>
      </c>
    </row>
    <row r="17124" spans="1:11" ht="54" customHeight="1">
      <c r="A17124" s="9" t="s">
        <v>34672</v>
      </c>
      <c r="B17124" s="9" t="s">
        <v>34672</v>
      </c>
      <c r="C17124" s="9" t="s">
        <v>17</v>
      </c>
      <c r="D17124" s="9" t="s">
        <v>18</v>
      </c>
      <c r="E17124" s="10" t="s">
        <v>1084</v>
      </c>
      <c r="F17124" s="9" t="s">
        <v>1085</v>
      </c>
      <c r="G17124" s="10" t="s">
        <v>34</v>
      </c>
      <c r="H17124" s="9" t="s">
        <v>22</v>
      </c>
      <c r="I17124" s="9" t="s">
        <v>34674</v>
      </c>
      <c r="J17124" s="10" t="str">
        <f>HYPERLINK("https://www.boe.es/gazeta/dias/1834/05/01/pdfs/GMD-1834-70.pdf#page=1","Abrir facsímil")</f>
        <v>Abrir facsímil</v>
      </c>
      <c r="K17124" s="10" t="s">
        <v>24</v>
      </c>
    </row>
    <row r="17125" spans="1:11" ht="54" customHeight="1">
      <c r="A17125" s="9" t="s">
        <v>34675</v>
      </c>
      <c r="B17125" s="9" t="s">
        <v>34675</v>
      </c>
      <c r="C17125" s="9" t="s">
        <v>66</v>
      </c>
      <c r="D17125" s="9" t="s">
        <v>67</v>
      </c>
      <c r="E17125" s="10" t="s">
        <v>1661</v>
      </c>
      <c r="F17125" s="9" t="s">
        <v>1662</v>
      </c>
      <c r="G17125" s="10" t="s">
        <v>86</v>
      </c>
      <c r="H17125" s="9" t="s">
        <v>22</v>
      </c>
      <c r="I17125" s="9" t="s">
        <v>34676</v>
      </c>
      <c r="J17125" s="10" t="str">
        <f>HYPERLINK("https://www.boe.es/gazeta/dias/1834/04/06/pdfs/GMD-1834-45.pdf#page=2","Abrir facsímil")</f>
        <v>Abrir facsímil</v>
      </c>
      <c r="K17125" s="10" t="s">
        <v>24</v>
      </c>
    </row>
    <row r="17126" spans="1:11" ht="54" customHeight="1">
      <c r="A17126" s="9" t="s">
        <v>34672</v>
      </c>
      <c r="B17126" s="9" t="s">
        <v>34672</v>
      </c>
      <c r="C17126" s="9" t="s">
        <v>90</v>
      </c>
      <c r="D17126" s="9" t="s">
        <v>18</v>
      </c>
      <c r="E17126" s="10" t="s">
        <v>2865</v>
      </c>
      <c r="F17126" s="9" t="s">
        <v>2866</v>
      </c>
      <c r="G17126" s="10" t="s">
        <v>86</v>
      </c>
      <c r="H17126" s="9" t="s">
        <v>22</v>
      </c>
      <c r="I17126" s="9" t="s">
        <v>34677</v>
      </c>
      <c r="J17126" s="10" t="str">
        <f>HYPERLINK("https://www.boe.es/gazeta/dias/1834/07/06/pdfs/GMD-1834-139.pdf#page=2","Abrir facsímil")</f>
        <v>Abrir facsímil</v>
      </c>
      <c r="K17126" s="10" t="s">
        <v>24</v>
      </c>
    </row>
    <row r="17127" spans="1:11" ht="54" customHeight="1">
      <c r="A17127" s="9" t="s">
        <v>34672</v>
      </c>
      <c r="B17127" s="9" t="s">
        <v>34672</v>
      </c>
      <c r="C17127" s="9" t="s">
        <v>17</v>
      </c>
      <c r="D17127" s="9" t="s">
        <v>55</v>
      </c>
      <c r="E17127" s="10" t="s">
        <v>1268</v>
      </c>
      <c r="F17127" s="9" t="s">
        <v>1269</v>
      </c>
      <c r="G17127" s="10" t="s">
        <v>86</v>
      </c>
      <c r="H17127" s="9" t="s">
        <v>22</v>
      </c>
      <c r="I17127" s="9" t="s">
        <v>34678</v>
      </c>
      <c r="J17127" s="10" t="str">
        <f>HYPERLINK("https://www.boe.es/gazeta/dias/1834/12/09/pdfs/GMD-1834-298.pdf#page=2","Abrir facsímil")</f>
        <v>Abrir facsímil</v>
      </c>
      <c r="K17127" s="10" t="s">
        <v>24</v>
      </c>
    </row>
    <row r="17128" spans="1:11" ht="54" customHeight="1">
      <c r="A17128" s="9" t="s">
        <v>34672</v>
      </c>
      <c r="B17128" s="9" t="s">
        <v>34672</v>
      </c>
      <c r="C17128" s="9" t="s">
        <v>17</v>
      </c>
      <c r="D17128" s="9" t="s">
        <v>55</v>
      </c>
      <c r="E17128" s="10" t="s">
        <v>1883</v>
      </c>
      <c r="F17128" s="9" t="s">
        <v>1884</v>
      </c>
      <c r="G17128" s="10" t="s">
        <v>86</v>
      </c>
      <c r="H17128" s="9" t="s">
        <v>22</v>
      </c>
      <c r="I17128" s="9" t="s">
        <v>34679</v>
      </c>
      <c r="J17128" s="10" t="str">
        <f>HYPERLINK("https://www.boe.es/gazeta/dias/1834/01/11/pdfs/GMD-1834-6.pdf#page=2","Abrir facsímil")</f>
        <v>Abrir facsímil</v>
      </c>
      <c r="K17128" s="10" t="s">
        <v>24</v>
      </c>
    </row>
    <row r="17129" spans="1:11" ht="54" customHeight="1">
      <c r="A17129" s="9" t="s">
        <v>34672</v>
      </c>
      <c r="B17129" s="9" t="s">
        <v>34672</v>
      </c>
      <c r="C17129" s="9" t="s">
        <v>17</v>
      </c>
      <c r="D17129" s="9" t="s">
        <v>18</v>
      </c>
      <c r="E17129" s="10" t="s">
        <v>96</v>
      </c>
      <c r="F17129" s="9" t="s">
        <v>1725</v>
      </c>
      <c r="G17129" s="10" t="s">
        <v>86</v>
      </c>
      <c r="H17129" s="9" t="s">
        <v>22</v>
      </c>
      <c r="I17129" s="9" t="s">
        <v>34680</v>
      </c>
      <c r="J17129" s="10" t="str">
        <f>HYPERLINK("https://www.boe.es/gazeta/dias/1834/11/11/pdfs/GMD-1834-270.pdf#page=2","Abrir facsímil")</f>
        <v>Abrir facsímil</v>
      </c>
      <c r="K17129" s="10" t="s">
        <v>24</v>
      </c>
    </row>
    <row r="17130" spans="1:11" ht="54" customHeight="1">
      <c r="A17130" s="9" t="s">
        <v>34672</v>
      </c>
      <c r="B17130" s="9" t="s">
        <v>34672</v>
      </c>
      <c r="C17130" s="9" t="s">
        <v>46</v>
      </c>
      <c r="D17130" s="9" t="s">
        <v>18</v>
      </c>
      <c r="E17130" s="10" t="s">
        <v>222</v>
      </c>
      <c r="F17130" s="9" t="s">
        <v>223</v>
      </c>
      <c r="G17130" s="10" t="s">
        <v>86</v>
      </c>
      <c r="H17130" s="9" t="s">
        <v>22</v>
      </c>
      <c r="I17130" s="9" t="s">
        <v>34681</v>
      </c>
      <c r="J17130" s="10" t="str">
        <f>HYPERLINK("https://www.boe.es/gazeta/dias/1834/09/14/pdfs/GMD-1834-212.pdf#page=2","Abrir facsímil")</f>
        <v>Abrir facsímil</v>
      </c>
      <c r="K17130" s="10" t="s">
        <v>24</v>
      </c>
    </row>
    <row r="17131" spans="1:11" ht="54" customHeight="1">
      <c r="A17131" s="9" t="s">
        <v>34672</v>
      </c>
      <c r="B17131" s="9" t="s">
        <v>34672</v>
      </c>
      <c r="C17131" s="9" t="s">
        <v>46</v>
      </c>
      <c r="D17131" s="9" t="s">
        <v>18</v>
      </c>
      <c r="E17131" s="10" t="s">
        <v>883</v>
      </c>
      <c r="F17131" s="9" t="s">
        <v>3449</v>
      </c>
      <c r="G17131" s="10" t="s">
        <v>86</v>
      </c>
      <c r="H17131" s="9" t="s">
        <v>22</v>
      </c>
      <c r="I17131" s="9" t="s">
        <v>34682</v>
      </c>
      <c r="J17131" s="10" t="str">
        <f>HYPERLINK("https://www.boe.es/gazeta/dias/1834/11/16/pdfs/GMD-1834-275.pdf#page=2","Abrir facsímil")</f>
        <v>Abrir facsímil</v>
      </c>
      <c r="K17131" s="10" t="s">
        <v>24</v>
      </c>
    </row>
    <row r="17132" spans="1:11" ht="54" customHeight="1">
      <c r="A17132" s="9" t="s">
        <v>34683</v>
      </c>
      <c r="B17132" s="9" t="s">
        <v>34684</v>
      </c>
      <c r="C17132" s="9" t="s">
        <v>17</v>
      </c>
      <c r="D17132" s="9" t="s">
        <v>40</v>
      </c>
      <c r="E17132" s="10" t="s">
        <v>2596</v>
      </c>
      <c r="F17132" s="9" t="s">
        <v>2597</v>
      </c>
      <c r="G17132" s="10" t="s">
        <v>21</v>
      </c>
      <c r="H17132" s="9" t="s">
        <v>22</v>
      </c>
      <c r="I17132" s="9" t="s">
        <v>34685</v>
      </c>
      <c r="J17132" s="10" t="str">
        <f>HYPERLINK("https://www.boe.es/gazeta/dias/1834/10/22/pdfs/GMD-1834-250.pdf#page=3","Abrir facsímil")</f>
        <v>Abrir facsímil</v>
      </c>
      <c r="K17132" s="10" t="s">
        <v>24</v>
      </c>
    </row>
    <row r="17133" spans="1:11" ht="54" customHeight="1">
      <c r="A17133" s="9" t="s">
        <v>34686</v>
      </c>
      <c r="B17133" s="9" t="s">
        <v>34686</v>
      </c>
      <c r="C17133" s="9" t="s">
        <v>17</v>
      </c>
      <c r="D17133" s="9" t="s">
        <v>18</v>
      </c>
      <c r="E17133" s="10" t="s">
        <v>84</v>
      </c>
      <c r="F17133" s="9" t="s">
        <v>1223</v>
      </c>
      <c r="G17133" s="10" t="s">
        <v>75</v>
      </c>
      <c r="H17133" s="9" t="s">
        <v>22</v>
      </c>
      <c r="I17133" s="9" t="s">
        <v>34687</v>
      </c>
      <c r="J17133" s="10" t="str">
        <f>HYPERLINK("https://www.boe.es/gazeta/dias/1834/06/07/pdfs/GMD-1834-109.pdf#page=4","Abrir facsímil")</f>
        <v>Abrir facsímil</v>
      </c>
      <c r="K17133" s="10" t="s">
        <v>24</v>
      </c>
    </row>
    <row r="17134" spans="1:11" ht="54" customHeight="1">
      <c r="A17134" s="9" t="s">
        <v>34686</v>
      </c>
      <c r="B17134" s="9" t="s">
        <v>34686</v>
      </c>
      <c r="C17134" s="9" t="s">
        <v>17</v>
      </c>
      <c r="D17134" s="9" t="s">
        <v>40</v>
      </c>
      <c r="E17134" s="10" t="s">
        <v>1008</v>
      </c>
      <c r="F17134" s="9" t="s">
        <v>1009</v>
      </c>
      <c r="G17134" s="10" t="s">
        <v>34</v>
      </c>
      <c r="H17134" s="9" t="s">
        <v>22</v>
      </c>
      <c r="I17134" s="9" t="s">
        <v>34688</v>
      </c>
      <c r="J17134" s="10" t="str">
        <f>HYPERLINK("https://www.boe.es/gazeta/dias/1834/11/08/pdfs/GMD-C-1834-267.pdf#page=1","Abrir facsímil")</f>
        <v>Abrir facsímil</v>
      </c>
      <c r="K17134" s="10" t="s">
        <v>24</v>
      </c>
    </row>
    <row r="17135" spans="1:11" ht="54" customHeight="1">
      <c r="A17135" s="9" t="s">
        <v>34686</v>
      </c>
      <c r="B17135" s="9" t="s">
        <v>34686</v>
      </c>
      <c r="C17135" s="9" t="s">
        <v>66</v>
      </c>
      <c r="D17135" s="9" t="s">
        <v>18</v>
      </c>
      <c r="E17135" s="10" t="s">
        <v>1186</v>
      </c>
      <c r="F17135" s="9" t="s">
        <v>4286</v>
      </c>
      <c r="G17135" s="10" t="s">
        <v>34</v>
      </c>
      <c r="H17135" s="9" t="s">
        <v>22</v>
      </c>
      <c r="I17135" s="9" t="s">
        <v>34689</v>
      </c>
      <c r="J17135" s="10" t="str">
        <f>HYPERLINK("https://www.boe.es/gazeta/dias/1834/08/14/pdfs/GMD-C-1834-179.pdf#page=1","Abrir facsímil")</f>
        <v>Abrir facsímil</v>
      </c>
      <c r="K17135" s="10" t="s">
        <v>24</v>
      </c>
    </row>
    <row r="17136" spans="1:11" ht="54" customHeight="1">
      <c r="A17136" s="9" t="s">
        <v>34686</v>
      </c>
      <c r="B17136" s="9" t="s">
        <v>34686</v>
      </c>
      <c r="C17136" s="9" t="s">
        <v>17</v>
      </c>
      <c r="D17136" s="9" t="s">
        <v>18</v>
      </c>
      <c r="E17136" s="10" t="s">
        <v>518</v>
      </c>
      <c r="F17136" s="9" t="s">
        <v>519</v>
      </c>
      <c r="G17136" s="10" t="s">
        <v>34</v>
      </c>
      <c r="H17136" s="9" t="s">
        <v>22</v>
      </c>
      <c r="I17136" s="9" t="s">
        <v>34690</v>
      </c>
      <c r="J17136" s="10" t="str">
        <f>HYPERLINK("https://www.boe.es/gazeta/dias/1834/03/15/pdfs/GMD-1834-33.pdf#page=1","Abrir facsímil")</f>
        <v>Abrir facsímil</v>
      </c>
      <c r="K17136" s="10" t="s">
        <v>24</v>
      </c>
    </row>
    <row r="17137" spans="1:11" ht="54" customHeight="1">
      <c r="A17137" s="9" t="s">
        <v>34686</v>
      </c>
      <c r="B17137" s="9" t="s">
        <v>34686</v>
      </c>
      <c r="C17137" s="9" t="s">
        <v>17</v>
      </c>
      <c r="D17137" s="9" t="s">
        <v>18</v>
      </c>
      <c r="E17137" s="10" t="s">
        <v>777</v>
      </c>
      <c r="F17137" s="9" t="s">
        <v>778</v>
      </c>
      <c r="G17137" s="10" t="s">
        <v>21</v>
      </c>
      <c r="H17137" s="9" t="s">
        <v>22</v>
      </c>
      <c r="I17137" s="9" t="s">
        <v>34691</v>
      </c>
      <c r="J17137" s="10" t="str">
        <f>HYPERLINK("https://www.boe.es/gazeta/dias/1834/10/29/pdfs/GMD-1834-257.pdf#page=3","Abrir facsímil")</f>
        <v>Abrir facsímil</v>
      </c>
      <c r="K17137" s="10" t="s">
        <v>24</v>
      </c>
    </row>
    <row r="17138" spans="1:11" ht="54" customHeight="1">
      <c r="A17138" s="9" t="s">
        <v>34686</v>
      </c>
      <c r="B17138" s="9" t="s">
        <v>34686</v>
      </c>
      <c r="C17138" s="9" t="s">
        <v>66</v>
      </c>
      <c r="D17138" s="9" t="s">
        <v>67</v>
      </c>
      <c r="E17138" s="10" t="s">
        <v>2526</v>
      </c>
      <c r="F17138" s="9" t="s">
        <v>2527</v>
      </c>
      <c r="G17138" s="10" t="s">
        <v>86</v>
      </c>
      <c r="H17138" s="9" t="s">
        <v>22</v>
      </c>
      <c r="I17138" s="9" t="s">
        <v>34692</v>
      </c>
      <c r="J17138" s="10" t="str">
        <f>HYPERLINK("https://www.boe.es/gazeta/dias/1834/12/29/pdfs/GMD-C-1834-319.pdf#page=2","Abrir facsímil")</f>
        <v>Abrir facsímil</v>
      </c>
      <c r="K17138" s="10" t="s">
        <v>24</v>
      </c>
    </row>
    <row r="17139" spans="1:11" ht="54" customHeight="1">
      <c r="A17139" s="9" t="s">
        <v>34693</v>
      </c>
      <c r="B17139" s="9" t="s">
        <v>34694</v>
      </c>
      <c r="C17139" s="9" t="s">
        <v>90</v>
      </c>
      <c r="D17139" s="9" t="s">
        <v>18</v>
      </c>
      <c r="E17139" s="10" t="s">
        <v>375</v>
      </c>
      <c r="F17139" s="9" t="s">
        <v>376</v>
      </c>
      <c r="G17139" s="10" t="s">
        <v>34</v>
      </c>
      <c r="H17139" s="9" t="s">
        <v>22</v>
      </c>
      <c r="I17139" s="9" t="s">
        <v>34695</v>
      </c>
      <c r="J17139" s="10" t="str">
        <f>HYPERLINK("https://www.boe.es/gazeta/dias/1834/08/21/pdfs/GMD-1834-187.pdf#page=1","Abrir facsímil")</f>
        <v>Abrir facsímil</v>
      </c>
      <c r="K17139" s="10" t="s">
        <v>24</v>
      </c>
    </row>
    <row r="17140" spans="1:11" ht="54" customHeight="1">
      <c r="A17140" s="9" t="s">
        <v>34696</v>
      </c>
      <c r="B17140" s="9" t="s">
        <v>34697</v>
      </c>
      <c r="C17140" s="9" t="s">
        <v>17</v>
      </c>
      <c r="D17140" s="9" t="s">
        <v>18</v>
      </c>
      <c r="E17140" s="10" t="s">
        <v>3471</v>
      </c>
      <c r="F17140" s="9" t="s">
        <v>3472</v>
      </c>
      <c r="G17140" s="10" t="s">
        <v>34</v>
      </c>
      <c r="H17140" s="9" t="s">
        <v>22</v>
      </c>
      <c r="I17140" s="9" t="s">
        <v>34698</v>
      </c>
      <c r="J17140" s="10" t="str">
        <f>HYPERLINK("https://www.boe.es/gazeta/dias/1834/07/07/pdfs/GMD-1834-140.pdf#page=1","Abrir facsímil")</f>
        <v>Abrir facsímil</v>
      </c>
      <c r="K17140" s="10" t="s">
        <v>24</v>
      </c>
    </row>
    <row r="17141" spans="1:11" ht="54" customHeight="1">
      <c r="A17141" s="9" t="s">
        <v>34699</v>
      </c>
      <c r="B17141" s="9" t="s">
        <v>34700</v>
      </c>
      <c r="C17141" s="9" t="s">
        <v>122</v>
      </c>
      <c r="D17141" s="9" t="s">
        <v>40</v>
      </c>
      <c r="E17141" s="10" t="s">
        <v>1273</v>
      </c>
      <c r="F17141" s="9" t="s">
        <v>1274</v>
      </c>
      <c r="G17141" s="10" t="s">
        <v>75</v>
      </c>
      <c r="H17141" s="9" t="s">
        <v>22</v>
      </c>
      <c r="I17141" s="9" t="s">
        <v>34701</v>
      </c>
      <c r="J17141" s="10" t="str">
        <f>HYPERLINK("https://www.boe.es/gazeta/dias/1834/05/14/pdfs/GMD-1834-83.pdf#page=4","Abrir facsímil")</f>
        <v>Abrir facsímil</v>
      </c>
      <c r="K17141" s="10" t="s">
        <v>24</v>
      </c>
    </row>
    <row r="17142" spans="1:11" ht="54" customHeight="1">
      <c r="A17142" s="9" t="s">
        <v>34699</v>
      </c>
      <c r="B17142" s="9" t="s">
        <v>34700</v>
      </c>
      <c r="C17142" s="9" t="s">
        <v>46</v>
      </c>
      <c r="D17142" s="9" t="s">
        <v>55</v>
      </c>
      <c r="E17142" s="10" t="s">
        <v>866</v>
      </c>
      <c r="F17142" s="9" t="s">
        <v>867</v>
      </c>
      <c r="G17142" s="10" t="s">
        <v>21</v>
      </c>
      <c r="H17142" s="9" t="s">
        <v>22</v>
      </c>
      <c r="I17142" s="9" t="s">
        <v>34702</v>
      </c>
      <c r="J17142" s="10" t="str">
        <f>HYPERLINK("https://www.boe.es/gazeta/dias/1834/01/18/pdfs/GMD-1834-9.pdf#page=3","Abrir facsímil")</f>
        <v>Abrir facsímil</v>
      </c>
      <c r="K17142" s="10" t="s">
        <v>24</v>
      </c>
    </row>
    <row r="17143" spans="1:11" ht="54" customHeight="1">
      <c r="A17143" s="9" t="s">
        <v>34703</v>
      </c>
      <c r="B17143" s="9" t="s">
        <v>34704</v>
      </c>
      <c r="C17143" s="9" t="s">
        <v>122</v>
      </c>
      <c r="D17143" s="9" t="s">
        <v>55</v>
      </c>
      <c r="E17143" s="10" t="s">
        <v>535</v>
      </c>
      <c r="F17143" s="9" t="s">
        <v>536</v>
      </c>
      <c r="G17143" s="10" t="s">
        <v>34</v>
      </c>
      <c r="H17143" s="9" t="s">
        <v>22</v>
      </c>
      <c r="I17143" s="9" t="s">
        <v>34705</v>
      </c>
      <c r="J17143" s="10" t="str">
        <f>HYPERLINK("https://www.boe.es/gazeta/dias/1834/05/21/pdfs/GMD-1834-90.pdf#page=1","Abrir facsímil")</f>
        <v>Abrir facsímil</v>
      </c>
      <c r="K17143" s="10" t="s">
        <v>24</v>
      </c>
    </row>
    <row r="17144" spans="1:11" ht="54" customHeight="1">
      <c r="A17144" s="9" t="s">
        <v>34706</v>
      </c>
      <c r="B17144" s="9" t="s">
        <v>34707</v>
      </c>
      <c r="C17144" s="9" t="s">
        <v>17</v>
      </c>
      <c r="D17144" s="9" t="s">
        <v>18</v>
      </c>
      <c r="E17144" s="10" t="s">
        <v>1212</v>
      </c>
      <c r="F17144" s="9" t="s">
        <v>1213</v>
      </c>
      <c r="G17144" s="10" t="s">
        <v>75</v>
      </c>
      <c r="H17144" s="9" t="s">
        <v>22</v>
      </c>
      <c r="I17144" s="9" t="s">
        <v>34708</v>
      </c>
      <c r="J17144" s="10" t="str">
        <f>HYPERLINK("https://www.boe.es/gazeta/dias/1834/05/24/pdfs/GMD-1834-93.pdf#page=4","Abrir facsímil")</f>
        <v>Abrir facsímil</v>
      </c>
      <c r="K17144" s="10" t="s">
        <v>24</v>
      </c>
    </row>
    <row r="17145" spans="1:11" ht="54" customHeight="1">
      <c r="A17145" s="9" t="s">
        <v>34709</v>
      </c>
      <c r="B17145" s="9" t="s">
        <v>34710</v>
      </c>
      <c r="C17145" s="9" t="s">
        <v>66</v>
      </c>
      <c r="D17145" s="9" t="s">
        <v>18</v>
      </c>
      <c r="E17145" s="10" t="s">
        <v>222</v>
      </c>
      <c r="F17145" s="9" t="s">
        <v>223</v>
      </c>
      <c r="G17145" s="10" t="s">
        <v>21</v>
      </c>
      <c r="H17145" s="9" t="s">
        <v>22</v>
      </c>
      <c r="I17145" s="9" t="s">
        <v>34711</v>
      </c>
      <c r="J17145" s="10" t="str">
        <f>HYPERLINK("https://www.boe.es/gazeta/dias/1834/09/14/pdfs/GMD-1834-212.pdf#page=3","Abrir facsímil")</f>
        <v>Abrir facsímil</v>
      </c>
      <c r="K17145" s="10" t="s">
        <v>24</v>
      </c>
    </row>
    <row r="17146" spans="1:11" ht="54" customHeight="1">
      <c r="A17146" s="9" t="s">
        <v>34712</v>
      </c>
      <c r="B17146" s="9" t="s">
        <v>34712</v>
      </c>
      <c r="C17146" s="9" t="s">
        <v>46</v>
      </c>
      <c r="D17146" s="9" t="s">
        <v>101</v>
      </c>
      <c r="E17146" s="10" t="s">
        <v>647</v>
      </c>
      <c r="F17146" s="9" t="s">
        <v>2176</v>
      </c>
      <c r="G17146" s="10" t="s">
        <v>34</v>
      </c>
      <c r="H17146" s="9" t="s">
        <v>22</v>
      </c>
      <c r="I17146" s="9" t="s">
        <v>34713</v>
      </c>
      <c r="J17146" s="10" t="str">
        <f>HYPERLINK("https://www.boe.es/gazeta/dias/1834/10/21/pdfs/GMD-1834-249.pdf#page=1","Abrir facsímil")</f>
        <v>Abrir facsímil</v>
      </c>
      <c r="K17146" s="10" t="s">
        <v>24</v>
      </c>
    </row>
    <row r="17147" spans="1:11" ht="54" customHeight="1">
      <c r="A17147" s="9" t="s">
        <v>34714</v>
      </c>
      <c r="B17147" s="9" t="s">
        <v>34715</v>
      </c>
      <c r="C17147" s="9" t="s">
        <v>17</v>
      </c>
      <c r="D17147" s="9" t="s">
        <v>101</v>
      </c>
      <c r="E17147" s="10" t="s">
        <v>255</v>
      </c>
      <c r="F17147" s="9" t="s">
        <v>2368</v>
      </c>
      <c r="G17147" s="10" t="s">
        <v>34</v>
      </c>
      <c r="H17147" s="9" t="s">
        <v>22</v>
      </c>
      <c r="I17147" s="9" t="s">
        <v>34716</v>
      </c>
      <c r="J17147" s="10" t="str">
        <f>HYPERLINK("https://www.boe.es/gazeta/dias/1834/09/01/pdfs/I00843-00844.pdf#page=1","Abrir facsímil")</f>
        <v>Abrir facsímil</v>
      </c>
      <c r="K17147" s="10" t="s">
        <v>24</v>
      </c>
    </row>
    <row r="17148" spans="1:11" ht="54" customHeight="1">
      <c r="A17148" s="9" t="s">
        <v>34714</v>
      </c>
      <c r="B17148" s="9" t="s">
        <v>34715</v>
      </c>
      <c r="C17148" s="9" t="s">
        <v>17</v>
      </c>
      <c r="D17148" s="9" t="s">
        <v>101</v>
      </c>
      <c r="E17148" s="10" t="s">
        <v>255</v>
      </c>
      <c r="F17148" s="9" t="s">
        <v>2368</v>
      </c>
      <c r="G17148" s="10" t="s">
        <v>21</v>
      </c>
      <c r="H17148" s="9" t="s">
        <v>22</v>
      </c>
      <c r="I17148" s="9" t="s">
        <v>34716</v>
      </c>
      <c r="J17148" s="10" t="str">
        <f>HYPERLINK("https://www.boe.es/gazeta/dias/1834/09/01/pdfs/GMD-1834-199.pdf#page=3","Abrir facsímil")</f>
        <v>Abrir facsímil</v>
      </c>
      <c r="K17148" s="10" t="s">
        <v>24</v>
      </c>
    </row>
    <row r="17149" spans="1:11" ht="54" customHeight="1">
      <c r="A17149" s="9" t="s">
        <v>34717</v>
      </c>
      <c r="B17149" s="9" t="s">
        <v>34717</v>
      </c>
      <c r="C17149" s="9" t="s">
        <v>66</v>
      </c>
      <c r="D17149" s="9" t="s">
        <v>67</v>
      </c>
      <c r="E17149" s="10" t="s">
        <v>981</v>
      </c>
      <c r="F17149" s="9" t="s">
        <v>982</v>
      </c>
      <c r="G17149" s="10" t="s">
        <v>21</v>
      </c>
      <c r="H17149" s="9" t="s">
        <v>22</v>
      </c>
      <c r="I17149" s="9" t="s">
        <v>34718</v>
      </c>
      <c r="J17149" s="10" t="str">
        <f>HYPERLINK("https://www.boe.es/gazeta/dias/1834/09/21/pdfs/GMD-1834-219.pdf#page=3","Abrir facsímil")</f>
        <v>Abrir facsímil</v>
      </c>
      <c r="K17149" s="10" t="s">
        <v>24</v>
      </c>
    </row>
    <row r="17150" spans="1:11" ht="54" customHeight="1">
      <c r="A17150" s="9" t="s">
        <v>34719</v>
      </c>
      <c r="B17150" s="9" t="s">
        <v>34720</v>
      </c>
      <c r="C17150" s="9" t="s">
        <v>17</v>
      </c>
      <c r="D17150" s="9" t="s">
        <v>18</v>
      </c>
      <c r="E17150" s="10" t="s">
        <v>61</v>
      </c>
      <c r="F17150" s="9" t="s">
        <v>205</v>
      </c>
      <c r="G17150" s="10" t="s">
        <v>75</v>
      </c>
      <c r="H17150" s="9" t="s">
        <v>22</v>
      </c>
      <c r="I17150" s="9" t="s">
        <v>34721</v>
      </c>
      <c r="J17150" s="10" t="str">
        <f>HYPERLINK("https://www.boe.es/gazeta/dias/1834/06/08/pdfs/GMD-1834-110.pdf#page=4","Abrir facsímil")</f>
        <v>Abrir facsímil</v>
      </c>
      <c r="K17150" s="10" t="s">
        <v>24</v>
      </c>
    </row>
    <row r="17151" spans="1:11" ht="54" customHeight="1">
      <c r="A17151" s="9" t="s">
        <v>34722</v>
      </c>
      <c r="B17151" s="9" t="s">
        <v>34723</v>
      </c>
      <c r="C17151" s="9" t="s">
        <v>17</v>
      </c>
      <c r="D17151" s="9" t="s">
        <v>18</v>
      </c>
      <c r="E17151" s="10" t="s">
        <v>863</v>
      </c>
      <c r="F17151" s="9" t="s">
        <v>864</v>
      </c>
      <c r="G17151" s="10" t="s">
        <v>21</v>
      </c>
      <c r="H17151" s="9" t="s">
        <v>22</v>
      </c>
      <c r="I17151" s="9" t="s">
        <v>34724</v>
      </c>
      <c r="J17151" s="10" t="str">
        <f>HYPERLINK("https://www.boe.es/gazeta/dias/1834/09/15/pdfs/GMD-1834-213.pdf#page=3","Abrir facsímil")</f>
        <v>Abrir facsímil</v>
      </c>
      <c r="K17151" s="10" t="s">
        <v>24</v>
      </c>
    </row>
    <row r="17152" spans="1:11" ht="54" customHeight="1">
      <c r="A17152" s="9" t="s">
        <v>34725</v>
      </c>
      <c r="B17152" s="9" t="s">
        <v>34726</v>
      </c>
      <c r="C17152" s="9" t="s">
        <v>17</v>
      </c>
      <c r="D17152" s="9" t="s">
        <v>18</v>
      </c>
      <c r="E17152" s="10" t="s">
        <v>378</v>
      </c>
      <c r="F17152" s="9" t="s">
        <v>379</v>
      </c>
      <c r="G17152" s="10" t="s">
        <v>21</v>
      </c>
      <c r="H17152" s="9" t="s">
        <v>35</v>
      </c>
      <c r="I17152" s="9" t="s">
        <v>34727</v>
      </c>
      <c r="J17152" s="10" t="str">
        <f>HYPERLINK("https://www.boe.es/gazeta/dias/1834/09/24/pdfs/GMD-1834-222.pdf#page=3","Abrir facsímil")</f>
        <v>Abrir facsímil</v>
      </c>
      <c r="K17152" s="10" t="s">
        <v>37</v>
      </c>
    </row>
    <row r="17153" spans="1:11" ht="54" customHeight="1">
      <c r="A17153" s="9" t="s">
        <v>34728</v>
      </c>
      <c r="B17153" s="9" t="s">
        <v>34729</v>
      </c>
      <c r="C17153" s="9" t="s">
        <v>46</v>
      </c>
      <c r="D17153" s="9" t="s">
        <v>55</v>
      </c>
      <c r="E17153" s="10" t="s">
        <v>1262</v>
      </c>
      <c r="F17153" s="9" t="s">
        <v>1263</v>
      </c>
      <c r="G17153" s="10" t="s">
        <v>21</v>
      </c>
      <c r="H17153" s="9" t="s">
        <v>22</v>
      </c>
      <c r="I17153" s="9" t="s">
        <v>34730</v>
      </c>
      <c r="J17153" s="10" t="str">
        <f>HYPERLINK("https://www.boe.es/gazeta/dias/1834/02/01/pdfs/GMD-1834-15.pdf#page=3","Abrir facsímil")</f>
        <v>Abrir facsímil</v>
      </c>
      <c r="K17153" s="10" t="s">
        <v>24</v>
      </c>
    </row>
    <row r="17154" spans="1:11" ht="54" customHeight="1">
      <c r="A17154" s="9" t="s">
        <v>34728</v>
      </c>
      <c r="B17154" s="9" t="s">
        <v>34729</v>
      </c>
      <c r="C17154" s="9" t="s">
        <v>90</v>
      </c>
      <c r="D17154" s="9" t="s">
        <v>18</v>
      </c>
      <c r="E17154" s="10" t="s">
        <v>1641</v>
      </c>
      <c r="F17154" s="9" t="s">
        <v>1729</v>
      </c>
      <c r="G17154" s="10" t="s">
        <v>34</v>
      </c>
      <c r="H17154" s="9" t="s">
        <v>22</v>
      </c>
      <c r="I17154" s="9" t="s">
        <v>34731</v>
      </c>
      <c r="J17154" s="10" t="str">
        <f>HYPERLINK("https://www.boe.es/gazeta/dias/1834/09/28/pdfs/GMD-1834-226.pdf#page=1","Abrir facsímil")</f>
        <v>Abrir facsímil</v>
      </c>
      <c r="K17154" s="10" t="s">
        <v>24</v>
      </c>
    </row>
    <row r="17155" spans="1:11" ht="54" customHeight="1">
      <c r="A17155" s="9" t="s">
        <v>34732</v>
      </c>
      <c r="B17155" s="9" t="s">
        <v>34733</v>
      </c>
      <c r="C17155" s="9" t="s">
        <v>17</v>
      </c>
      <c r="D17155" s="9" t="s">
        <v>18</v>
      </c>
      <c r="E17155" s="10" t="s">
        <v>378</v>
      </c>
      <c r="F17155" s="9" t="s">
        <v>379</v>
      </c>
      <c r="G17155" s="10" t="s">
        <v>21</v>
      </c>
      <c r="H17155" s="9" t="s">
        <v>22</v>
      </c>
      <c r="I17155" s="9" t="s">
        <v>34734</v>
      </c>
      <c r="J17155" s="10" t="str">
        <f>HYPERLINK("https://www.boe.es/gazeta/dias/1834/09/24/pdfs/GMD-1834-222.pdf#page=3","Abrir facsímil")</f>
        <v>Abrir facsímil</v>
      </c>
      <c r="K17155" s="10" t="s">
        <v>24</v>
      </c>
    </row>
    <row r="17156" spans="1:11" ht="54" customHeight="1">
      <c r="A17156" s="9" t="s">
        <v>34735</v>
      </c>
      <c r="B17156" s="9" t="s">
        <v>34735</v>
      </c>
      <c r="C17156" s="9" t="s">
        <v>17</v>
      </c>
      <c r="D17156" s="9" t="s">
        <v>55</v>
      </c>
      <c r="E17156" s="10" t="s">
        <v>823</v>
      </c>
      <c r="F17156" s="9" t="s">
        <v>824</v>
      </c>
      <c r="G17156" s="10" t="s">
        <v>75</v>
      </c>
      <c r="H17156" s="9" t="s">
        <v>22</v>
      </c>
      <c r="I17156" s="9" t="s">
        <v>34736</v>
      </c>
      <c r="J17156" s="10" t="str">
        <f>HYPERLINK("https://www.boe.es/gazeta/dias/1834/07/23/pdfs/GMD-1834-156.pdf#page=4","Abrir facsímil")</f>
        <v>Abrir facsímil</v>
      </c>
      <c r="K17156" s="10" t="s">
        <v>24</v>
      </c>
    </row>
    <row r="17157" spans="1:11" ht="54" customHeight="1">
      <c r="A17157" s="9" t="s">
        <v>34737</v>
      </c>
      <c r="B17157" s="9" t="s">
        <v>34738</v>
      </c>
      <c r="C17157" s="9" t="s">
        <v>17</v>
      </c>
      <c r="D17157" s="9" t="s">
        <v>40</v>
      </c>
      <c r="E17157" s="10" t="s">
        <v>479</v>
      </c>
      <c r="F17157" s="9" t="s">
        <v>2258</v>
      </c>
      <c r="G17157" s="10" t="s">
        <v>34</v>
      </c>
      <c r="H17157" s="9" t="s">
        <v>35</v>
      </c>
      <c r="I17157" s="9" t="s">
        <v>34739</v>
      </c>
      <c r="J17157" s="10" t="str">
        <f>HYPERLINK("https://www.boe.es/gazeta/dias/1834/08/13/pdfs/GMD-C-1834-178.pdf#page=1","Abrir facsímil")</f>
        <v>Abrir facsímil</v>
      </c>
      <c r="K17157" s="10" t="s">
        <v>37</v>
      </c>
    </row>
    <row r="17158" spans="1:11" ht="54" customHeight="1">
      <c r="A17158" s="9" t="s">
        <v>34740</v>
      </c>
      <c r="B17158" s="9" t="s">
        <v>34741</v>
      </c>
      <c r="C17158" s="9" t="s">
        <v>17</v>
      </c>
      <c r="D17158" s="9" t="s">
        <v>18</v>
      </c>
      <c r="E17158" s="10" t="s">
        <v>1351</v>
      </c>
      <c r="F17158" s="9" t="s">
        <v>1352</v>
      </c>
      <c r="G17158" s="10" t="s">
        <v>75</v>
      </c>
      <c r="H17158" s="9" t="s">
        <v>22</v>
      </c>
      <c r="I17158" s="9" t="s">
        <v>34742</v>
      </c>
      <c r="J17158" s="10" t="str">
        <f>HYPERLINK("https://www.boe.es/gazeta/dias/1834/07/05/pdfs/GMD-1834-138.pdf#page=4","Abrir facsímil")</f>
        <v>Abrir facsímil</v>
      </c>
      <c r="K17158" s="10" t="s">
        <v>24</v>
      </c>
    </row>
    <row r="17159" spans="1:11" ht="54" customHeight="1">
      <c r="A17159" s="9" t="s">
        <v>34740</v>
      </c>
      <c r="B17159" s="9" t="s">
        <v>34741</v>
      </c>
      <c r="C17159" s="9" t="s">
        <v>17</v>
      </c>
      <c r="D17159" s="9" t="s">
        <v>40</v>
      </c>
      <c r="E17159" s="10" t="s">
        <v>479</v>
      </c>
      <c r="F17159" s="9" t="s">
        <v>2258</v>
      </c>
      <c r="G17159" s="10" t="s">
        <v>34</v>
      </c>
      <c r="H17159" s="9" t="s">
        <v>22</v>
      </c>
      <c r="I17159" s="9" t="s">
        <v>34743</v>
      </c>
      <c r="J17159" s="10" t="str">
        <f>HYPERLINK("https://www.boe.es/gazeta/dias/1834/08/13/pdfs/GMD-C-1834-178.pdf#page=1","Abrir facsímil")</f>
        <v>Abrir facsímil</v>
      </c>
      <c r="K17159" s="10" t="s">
        <v>24</v>
      </c>
    </row>
    <row r="17160" spans="1:11" ht="54" customHeight="1">
      <c r="A17160" s="9" t="s">
        <v>34744</v>
      </c>
      <c r="B17160" s="9" t="s">
        <v>34745</v>
      </c>
      <c r="C17160" s="9" t="s">
        <v>17</v>
      </c>
      <c r="D17160" s="9" t="s">
        <v>18</v>
      </c>
      <c r="E17160" s="10" t="s">
        <v>5904</v>
      </c>
      <c r="F17160" s="9" t="s">
        <v>5905</v>
      </c>
      <c r="G17160" s="10" t="s">
        <v>21</v>
      </c>
      <c r="H17160" s="9" t="s">
        <v>22</v>
      </c>
      <c r="I17160" s="9" t="s">
        <v>34746</v>
      </c>
      <c r="J17160" s="10" t="str">
        <f>HYPERLINK("https://www.boe.es/gazeta/dias/1834/09/29/pdfs/GMD-1834-227.pdf#page=3","Abrir facsímil")</f>
        <v>Abrir facsímil</v>
      </c>
      <c r="K17160" s="10" t="s">
        <v>24</v>
      </c>
    </row>
    <row r="17161" spans="1:11" ht="54" customHeight="1">
      <c r="A17161" s="9" t="s">
        <v>34747</v>
      </c>
      <c r="B17161" s="9" t="s">
        <v>34748</v>
      </c>
      <c r="C17161" s="9" t="s">
        <v>17</v>
      </c>
      <c r="D17161" s="9" t="s">
        <v>18</v>
      </c>
      <c r="E17161" s="10" t="s">
        <v>299</v>
      </c>
      <c r="F17161" s="9" t="s">
        <v>300</v>
      </c>
      <c r="G17161" s="10" t="s">
        <v>21</v>
      </c>
      <c r="H17161" s="9" t="s">
        <v>22</v>
      </c>
      <c r="I17161" s="9" t="s">
        <v>34749</v>
      </c>
      <c r="J17161" s="10" t="str">
        <f>HYPERLINK("https://www.boe.es/gazeta/dias/1834/12/12/pdfs/GMD-1834-301.pdf#page=3","Abrir facsímil")</f>
        <v>Abrir facsímil</v>
      </c>
      <c r="K17161" s="10" t="s">
        <v>24</v>
      </c>
    </row>
    <row r="17162" spans="1:11" ht="54" customHeight="1">
      <c r="A17162" s="9" t="s">
        <v>34750</v>
      </c>
      <c r="B17162" s="9" t="s">
        <v>34751</v>
      </c>
      <c r="C17162" s="9" t="s">
        <v>17</v>
      </c>
      <c r="D17162" s="9" t="s">
        <v>101</v>
      </c>
      <c r="E17162" s="10" t="s">
        <v>68</v>
      </c>
      <c r="F17162" s="9" t="s">
        <v>69</v>
      </c>
      <c r="G17162" s="10" t="s">
        <v>34</v>
      </c>
      <c r="H17162" s="9" t="s">
        <v>22</v>
      </c>
      <c r="I17162" s="9" t="s">
        <v>34752</v>
      </c>
      <c r="J17162" s="10" t="str">
        <f>HYPERLINK("https://www.boe.es/gazeta/dias/1834/11/01/pdfs/I01088-01088.pdf#page=1","Abrir facsímil")</f>
        <v>Abrir facsímil</v>
      </c>
      <c r="K17162" s="10" t="s">
        <v>24</v>
      </c>
    </row>
    <row r="17163" spans="1:11" ht="54" customHeight="1">
      <c r="A17163" s="9" t="s">
        <v>34750</v>
      </c>
      <c r="B17163" s="9" t="s">
        <v>34751</v>
      </c>
      <c r="C17163" s="9" t="s">
        <v>17</v>
      </c>
      <c r="D17163" s="9" t="s">
        <v>101</v>
      </c>
      <c r="E17163" s="10" t="s">
        <v>68</v>
      </c>
      <c r="F17163" s="9" t="s">
        <v>69</v>
      </c>
      <c r="G17163" s="10" t="s">
        <v>75</v>
      </c>
      <c r="H17163" s="9" t="s">
        <v>22</v>
      </c>
      <c r="I17163" s="9" t="s">
        <v>34753</v>
      </c>
      <c r="J17163" s="10" t="str">
        <f>HYPERLINK("https://www.boe.es/gazeta/dias/1834/11/01/pdfs/GMD-1834-260.pdf#page=4","Abrir facsímil")</f>
        <v>Abrir facsímil</v>
      </c>
      <c r="K17163" s="10" t="s">
        <v>24</v>
      </c>
    </row>
    <row r="17164" spans="1:11" ht="54" customHeight="1">
      <c r="A17164" s="9" t="s">
        <v>34754</v>
      </c>
      <c r="B17164" s="9" t="s">
        <v>34755</v>
      </c>
      <c r="C17164" s="9" t="s">
        <v>17</v>
      </c>
      <c r="D17164" s="9" t="s">
        <v>18</v>
      </c>
      <c r="E17164" s="10" t="s">
        <v>4637</v>
      </c>
      <c r="F17164" s="9" t="s">
        <v>4638</v>
      </c>
      <c r="G17164" s="10" t="s">
        <v>21</v>
      </c>
      <c r="H17164" s="9" t="s">
        <v>22</v>
      </c>
      <c r="I17164" s="9" t="s">
        <v>34756</v>
      </c>
      <c r="J17164" s="10" t="str">
        <f>HYPERLINK("https://www.boe.es/gazeta/dias/1834/12/08/pdfs/GMD-1834-297.pdf#page=3","Abrir facsímil")</f>
        <v>Abrir facsímil</v>
      </c>
      <c r="K17164" s="10" t="s">
        <v>24</v>
      </c>
    </row>
    <row r="17165" spans="1:11" ht="54" customHeight="1">
      <c r="A17165" s="9" t="s">
        <v>34757</v>
      </c>
      <c r="B17165" s="9" t="s">
        <v>34758</v>
      </c>
      <c r="C17165" s="9" t="s">
        <v>17</v>
      </c>
      <c r="D17165" s="9" t="s">
        <v>18</v>
      </c>
      <c r="E17165" s="10" t="s">
        <v>5435</v>
      </c>
      <c r="F17165" s="9" t="s">
        <v>5436</v>
      </c>
      <c r="G17165" s="10" t="s">
        <v>75</v>
      </c>
      <c r="H17165" s="9" t="s">
        <v>22</v>
      </c>
      <c r="I17165" s="9" t="s">
        <v>34759</v>
      </c>
      <c r="J17165" s="10" t="str">
        <f>HYPERLINK("https://www.boe.es/gazeta/dias/1834/05/11/pdfs/GMD-1834-80.pdf#page=4","Abrir facsímil")</f>
        <v>Abrir facsímil</v>
      </c>
      <c r="K17165" s="10" t="s">
        <v>24</v>
      </c>
    </row>
    <row r="17166" spans="1:11" ht="54" customHeight="1">
      <c r="A17166" s="9" t="s">
        <v>34757</v>
      </c>
      <c r="B17166" s="9" t="s">
        <v>34758</v>
      </c>
      <c r="C17166" s="9" t="s">
        <v>66</v>
      </c>
      <c r="D17166" s="9" t="s">
        <v>67</v>
      </c>
      <c r="E17166" s="10" t="s">
        <v>1094</v>
      </c>
      <c r="F17166" s="9" t="s">
        <v>1095</v>
      </c>
      <c r="G17166" s="10" t="s">
        <v>75</v>
      </c>
      <c r="H17166" s="9" t="s">
        <v>22</v>
      </c>
      <c r="I17166" s="9" t="s">
        <v>34760</v>
      </c>
      <c r="J17166" s="10" t="str">
        <f>HYPERLINK("https://www.boe.es/gazeta/dias/1834/07/13/pdfs/GMD-1834-146.pdf#page=4","Abrir facsímil")</f>
        <v>Abrir facsímil</v>
      </c>
      <c r="K17166" s="10" t="s">
        <v>24</v>
      </c>
    </row>
    <row r="17167" spans="1:11" ht="54" customHeight="1">
      <c r="A17167" s="9" t="s">
        <v>34761</v>
      </c>
      <c r="B17167" s="9" t="s">
        <v>34762</v>
      </c>
      <c r="C17167" s="9" t="s">
        <v>90</v>
      </c>
      <c r="D17167" s="9" t="s">
        <v>67</v>
      </c>
      <c r="E17167" s="10" t="s">
        <v>601</v>
      </c>
      <c r="F17167" s="9" t="s">
        <v>602</v>
      </c>
      <c r="G17167" s="10" t="s">
        <v>34</v>
      </c>
      <c r="H17167" s="9" t="s">
        <v>22</v>
      </c>
      <c r="I17167" s="9" t="s">
        <v>34763</v>
      </c>
      <c r="J17167" s="10" t="str">
        <f>HYPERLINK("https://www.boe.es/gazeta/dias/1834/08/16/pdfs/GMD-1834-181.pdf#page=1","Abrir facsímil")</f>
        <v>Abrir facsímil</v>
      </c>
      <c r="K17167" s="10" t="s">
        <v>24</v>
      </c>
    </row>
    <row r="17168" spans="1:11" ht="54" customHeight="1">
      <c r="A17168" s="9" t="s">
        <v>34764</v>
      </c>
      <c r="B17168" s="9" t="s">
        <v>34765</v>
      </c>
      <c r="C17168" s="9" t="s">
        <v>17</v>
      </c>
      <c r="D17168" s="9" t="s">
        <v>18</v>
      </c>
      <c r="E17168" s="10" t="s">
        <v>777</v>
      </c>
      <c r="F17168" s="9" t="s">
        <v>778</v>
      </c>
      <c r="G17168" s="10" t="s">
        <v>75</v>
      </c>
      <c r="H17168" s="9" t="s">
        <v>22</v>
      </c>
      <c r="I17168" s="9" t="s">
        <v>34766</v>
      </c>
      <c r="J17168" s="10" t="str">
        <f>HYPERLINK("https://www.boe.es/gazeta/dias/1834/10/29/pdfs/GMD-1834-257.pdf#page=4","Abrir facsímil")</f>
        <v>Abrir facsímil</v>
      </c>
      <c r="K17168" s="10" t="s">
        <v>24</v>
      </c>
    </row>
    <row r="17169" spans="1:11" ht="54" customHeight="1">
      <c r="A17169" s="9" t="s">
        <v>34767</v>
      </c>
      <c r="B17169" s="9" t="s">
        <v>34768</v>
      </c>
      <c r="C17169" s="9" t="s">
        <v>17</v>
      </c>
      <c r="D17169" s="9" t="s">
        <v>18</v>
      </c>
      <c r="E17169" s="10" t="s">
        <v>441</v>
      </c>
      <c r="F17169" s="9" t="s">
        <v>442</v>
      </c>
      <c r="G17169" s="10" t="s">
        <v>86</v>
      </c>
      <c r="H17169" s="9" t="s">
        <v>22</v>
      </c>
      <c r="I17169" s="9" t="s">
        <v>34769</v>
      </c>
      <c r="J17169" s="10" t="str">
        <f>HYPERLINK("https://www.boe.es/gazeta/dias/1834/11/10/pdfs/GMD-1834-269.pdf#page=2","Abrir facsímil")</f>
        <v>Abrir facsímil</v>
      </c>
      <c r="K17169" s="10" t="s">
        <v>24</v>
      </c>
    </row>
    <row r="17170" spans="1:11" ht="54" customHeight="1">
      <c r="A17170" s="9" t="s">
        <v>34767</v>
      </c>
      <c r="B17170" s="9" t="s">
        <v>34768</v>
      </c>
      <c r="C17170" s="9" t="s">
        <v>17</v>
      </c>
      <c r="D17170" s="9" t="s">
        <v>18</v>
      </c>
      <c r="E17170" s="10" t="s">
        <v>441</v>
      </c>
      <c r="F17170" s="9" t="s">
        <v>442</v>
      </c>
      <c r="G17170" s="10" t="s">
        <v>21</v>
      </c>
      <c r="H17170" s="9" t="s">
        <v>22</v>
      </c>
      <c r="I17170" s="9" t="s">
        <v>34770</v>
      </c>
      <c r="J17170" s="10" t="str">
        <f>HYPERLINK("https://www.boe.es/gazeta/dias/1834/11/10/pdfs/GMD-1834-269.pdf#page=3","Abrir facsímil")</f>
        <v>Abrir facsímil</v>
      </c>
      <c r="K17170" s="10" t="s">
        <v>24</v>
      </c>
    </row>
    <row r="17171" spans="1:11" ht="54" customHeight="1">
      <c r="A17171" s="9" t="s">
        <v>34771</v>
      </c>
      <c r="B17171" s="9" t="s">
        <v>34772</v>
      </c>
      <c r="C17171" s="9" t="s">
        <v>66</v>
      </c>
      <c r="D17171" s="9" t="s">
        <v>67</v>
      </c>
      <c r="E17171" s="10" t="s">
        <v>26</v>
      </c>
      <c r="F17171" s="9" t="s">
        <v>818</v>
      </c>
      <c r="G17171" s="10" t="s">
        <v>21</v>
      </c>
      <c r="H17171" s="9" t="s">
        <v>22</v>
      </c>
      <c r="I17171" s="9" t="s">
        <v>34773</v>
      </c>
      <c r="J17171" s="10" t="str">
        <f>HYPERLINK("https://www.boe.es/gazeta/dias/1834/10/19/pdfs/GMD-1834-247.pdf#page=3","Abrir facsímil")</f>
        <v>Abrir facsímil</v>
      </c>
      <c r="K17171" s="10" t="s">
        <v>24</v>
      </c>
    </row>
    <row r="17172" spans="1:11" ht="54" customHeight="1">
      <c r="A17172" s="9" t="s">
        <v>34774</v>
      </c>
      <c r="B17172" s="9" t="s">
        <v>34775</v>
      </c>
      <c r="C17172" s="9" t="s">
        <v>66</v>
      </c>
      <c r="D17172" s="9" t="s">
        <v>67</v>
      </c>
      <c r="E17172" s="10" t="s">
        <v>26</v>
      </c>
      <c r="F17172" s="9" t="s">
        <v>818</v>
      </c>
      <c r="G17172" s="10" t="s">
        <v>21</v>
      </c>
      <c r="H17172" s="9" t="s">
        <v>35</v>
      </c>
      <c r="I17172" s="9" t="s">
        <v>34776</v>
      </c>
      <c r="J17172" s="10" t="str">
        <f>HYPERLINK("https://www.boe.es/gazeta/dias/1834/10/19/pdfs/GMD-1834-247.pdf#page=3","Abrir facsímil")</f>
        <v>Abrir facsímil</v>
      </c>
      <c r="K17172" s="10" t="s">
        <v>37</v>
      </c>
    </row>
    <row r="17173" spans="1:11" ht="54" customHeight="1">
      <c r="A17173" s="9" t="s">
        <v>34777</v>
      </c>
      <c r="B17173" s="9" t="s">
        <v>34777</v>
      </c>
      <c r="C17173" s="9" t="s">
        <v>17</v>
      </c>
      <c r="D17173" s="9" t="s">
        <v>18</v>
      </c>
      <c r="E17173" s="10" t="s">
        <v>1402</v>
      </c>
      <c r="F17173" s="9" t="s">
        <v>1403</v>
      </c>
      <c r="G17173" s="10" t="s">
        <v>86</v>
      </c>
      <c r="H17173" s="9" t="s">
        <v>22</v>
      </c>
      <c r="I17173" s="9" t="s">
        <v>34778</v>
      </c>
      <c r="J17173" s="10" t="str">
        <f>HYPERLINK("https://www.boe.es/gazeta/dias/1834/05/05/pdfs/I00347-00348.pdf#page=2","Abrir facsímil")</f>
        <v>Abrir facsímil</v>
      </c>
      <c r="K17173" s="10" t="s">
        <v>24</v>
      </c>
    </row>
    <row r="17174" spans="1:11" ht="54" customHeight="1">
      <c r="A17174" s="9" t="s">
        <v>34777</v>
      </c>
      <c r="B17174" s="9" t="s">
        <v>34777</v>
      </c>
      <c r="C17174" s="9" t="s">
        <v>17</v>
      </c>
      <c r="D17174" s="9" t="s">
        <v>18</v>
      </c>
      <c r="E17174" s="10" t="s">
        <v>1402</v>
      </c>
      <c r="F17174" s="9" t="s">
        <v>1403</v>
      </c>
      <c r="G17174" s="10" t="s">
        <v>176</v>
      </c>
      <c r="H17174" s="9" t="s">
        <v>22</v>
      </c>
      <c r="I17174" s="9" t="s">
        <v>34779</v>
      </c>
      <c r="J17174" s="10" t="str">
        <f>HYPERLINK("https://www.boe.es/gazeta/dias/1834/05/05/pdfs/GMD-1834-74.pdf#page=6","Abrir facsímil")</f>
        <v>Abrir facsímil</v>
      </c>
      <c r="K17174" s="10" t="s">
        <v>24</v>
      </c>
    </row>
    <row r="17175" spans="1:11" ht="54" customHeight="1">
      <c r="A17175" s="9" t="s">
        <v>34780</v>
      </c>
      <c r="B17175" s="9" t="s">
        <v>34781</v>
      </c>
      <c r="C17175" s="9" t="s">
        <v>17</v>
      </c>
      <c r="D17175" s="9" t="s">
        <v>18</v>
      </c>
      <c r="E17175" s="10" t="s">
        <v>1402</v>
      </c>
      <c r="F17175" s="9" t="s">
        <v>1403</v>
      </c>
      <c r="G17175" s="10" t="s">
        <v>86</v>
      </c>
      <c r="H17175" s="9" t="s">
        <v>35</v>
      </c>
      <c r="I17175" s="9" t="s">
        <v>34782</v>
      </c>
      <c r="J17175" s="10" t="str">
        <f>HYPERLINK("https://www.boe.es/gazeta/dias/1834/05/05/pdfs/I00347-00348.pdf#page=2","Abrir facsímil")</f>
        <v>Abrir facsímil</v>
      </c>
      <c r="K17175" s="10" t="s">
        <v>37</v>
      </c>
    </row>
    <row r="17176" spans="1:11" ht="54" customHeight="1">
      <c r="A17176" s="9" t="s">
        <v>34780</v>
      </c>
      <c r="B17176" s="9" t="s">
        <v>34781</v>
      </c>
      <c r="C17176" s="9" t="s">
        <v>17</v>
      </c>
      <c r="D17176" s="9" t="s">
        <v>18</v>
      </c>
      <c r="E17176" s="10" t="s">
        <v>1402</v>
      </c>
      <c r="F17176" s="9" t="s">
        <v>1403</v>
      </c>
      <c r="G17176" s="10" t="s">
        <v>176</v>
      </c>
      <c r="H17176" s="9" t="s">
        <v>35</v>
      </c>
      <c r="I17176" s="9" t="s">
        <v>34783</v>
      </c>
      <c r="J17176" s="10" t="str">
        <f>HYPERLINK("https://www.boe.es/gazeta/dias/1834/05/05/pdfs/GMD-1834-74.pdf#page=6","Abrir facsímil")</f>
        <v>Abrir facsímil</v>
      </c>
      <c r="K17176" s="10" t="s">
        <v>37</v>
      </c>
    </row>
    <row r="17177" spans="1:11" ht="54" customHeight="1">
      <c r="A17177" s="9" t="s">
        <v>34784</v>
      </c>
      <c r="B17177" s="9" t="s">
        <v>34784</v>
      </c>
      <c r="C17177" s="9" t="s">
        <v>857</v>
      </c>
      <c r="D17177" s="9" t="s">
        <v>18</v>
      </c>
      <c r="E17177" s="10" t="s">
        <v>899</v>
      </c>
      <c r="F17177" s="9" t="s">
        <v>900</v>
      </c>
      <c r="G17177" s="10" t="s">
        <v>21</v>
      </c>
      <c r="H17177" s="9" t="s">
        <v>22</v>
      </c>
      <c r="I17177" s="9" t="s">
        <v>34785</v>
      </c>
      <c r="J17177" s="10" t="str">
        <f>HYPERLINK("https://www.boe.es/gazeta/dias/1834/01/30/pdfs/GMD-1834-14.pdf#page=3","Abrir facsímil")</f>
        <v>Abrir facsímil</v>
      </c>
      <c r="K17177" s="10" t="s">
        <v>24</v>
      </c>
    </row>
    <row r="17178" spans="1:11" ht="54" customHeight="1">
      <c r="A17178" s="9" t="s">
        <v>34786</v>
      </c>
      <c r="B17178" s="9" t="s">
        <v>34787</v>
      </c>
      <c r="C17178" s="9" t="s">
        <v>66</v>
      </c>
      <c r="D17178" s="9" t="s">
        <v>67</v>
      </c>
      <c r="E17178" s="10" t="s">
        <v>128</v>
      </c>
      <c r="F17178" s="9" t="s">
        <v>1068</v>
      </c>
      <c r="G17178" s="10" t="s">
        <v>75</v>
      </c>
      <c r="H17178" s="9" t="s">
        <v>22</v>
      </c>
      <c r="I17178" s="9" t="s">
        <v>34788</v>
      </c>
      <c r="J17178" s="10" t="str">
        <f>HYPERLINK("https://www.boe.es/gazeta/dias/1834/12/24/pdfs/GMD-1834-314.pdf#page=4","Abrir facsímil")</f>
        <v>Abrir facsímil</v>
      </c>
      <c r="K17178" s="10" t="s">
        <v>24</v>
      </c>
    </row>
    <row r="17179" spans="1:11" ht="54" customHeight="1">
      <c r="A17179" s="9" t="s">
        <v>34789</v>
      </c>
      <c r="B17179" s="9" t="s">
        <v>34790</v>
      </c>
      <c r="C17179" s="9" t="s">
        <v>17</v>
      </c>
      <c r="D17179" s="9" t="s">
        <v>18</v>
      </c>
      <c r="E17179" s="10" t="s">
        <v>73</v>
      </c>
      <c r="F17179" s="9" t="s">
        <v>74</v>
      </c>
      <c r="G17179" s="10" t="s">
        <v>75</v>
      </c>
      <c r="H17179" s="9" t="s">
        <v>22</v>
      </c>
      <c r="I17179" s="9" t="s">
        <v>34791</v>
      </c>
      <c r="J17179" s="10" t="str">
        <f>HYPERLINK("https://www.boe.es/gazeta/dias/1834/11/04/pdfs/GMD-1834-263.pdf#page=4","Abrir facsímil")</f>
        <v>Abrir facsímil</v>
      </c>
      <c r="K17179" s="10" t="s">
        <v>24</v>
      </c>
    </row>
    <row r="17180" spans="1:11" ht="54" customHeight="1">
      <c r="A17180" s="9" t="s">
        <v>34792</v>
      </c>
      <c r="B17180" s="9" t="s">
        <v>34792</v>
      </c>
      <c r="C17180" s="9" t="s">
        <v>66</v>
      </c>
      <c r="D17180" s="9" t="s">
        <v>67</v>
      </c>
      <c r="E17180" s="10" t="s">
        <v>1459</v>
      </c>
      <c r="F17180" s="9" t="s">
        <v>1460</v>
      </c>
      <c r="G17180" s="10" t="s">
        <v>21</v>
      </c>
      <c r="H17180" s="9" t="s">
        <v>22</v>
      </c>
      <c r="I17180" s="9" t="s">
        <v>34793</v>
      </c>
      <c r="J17180" s="10" t="str">
        <f>HYPERLINK("https://www.boe.es/gazeta/dias/1834/08/18/pdfs/GMD-1834-184.pdf#page=3","Abrir facsímil")</f>
        <v>Abrir facsímil</v>
      </c>
      <c r="K17180" s="10" t="s">
        <v>24</v>
      </c>
    </row>
    <row r="17181" spans="1:11" ht="54" customHeight="1">
      <c r="A17181" s="9" t="s">
        <v>34794</v>
      </c>
      <c r="B17181" s="9" t="s">
        <v>34795</v>
      </c>
      <c r="C17181" s="9" t="s">
        <v>122</v>
      </c>
      <c r="D17181" s="9" t="s">
        <v>18</v>
      </c>
      <c r="E17181" s="10" t="s">
        <v>444</v>
      </c>
      <c r="F17181" s="9" t="s">
        <v>2412</v>
      </c>
      <c r="G17181" s="10" t="s">
        <v>75</v>
      </c>
      <c r="H17181" s="9" t="s">
        <v>22</v>
      </c>
      <c r="I17181" s="9" t="s">
        <v>34796</v>
      </c>
      <c r="J17181" s="10" t="str">
        <f>HYPERLINK("https://www.boe.es/gazeta/dias/1834/09/12/pdfs/GMD-1834-210.pdf#page=4","Abrir facsímil")</f>
        <v>Abrir facsímil</v>
      </c>
      <c r="K17181" s="10" t="s">
        <v>24</v>
      </c>
    </row>
    <row r="17182" spans="1:11" ht="54" customHeight="1">
      <c r="A17182" s="9" t="s">
        <v>34797</v>
      </c>
      <c r="B17182" s="9" t="s">
        <v>34798</v>
      </c>
      <c r="C17182" s="9" t="s">
        <v>66</v>
      </c>
      <c r="D17182" s="9" t="s">
        <v>67</v>
      </c>
      <c r="E17182" s="10" t="s">
        <v>1212</v>
      </c>
      <c r="F17182" s="9" t="s">
        <v>1213</v>
      </c>
      <c r="G17182" s="10" t="s">
        <v>86</v>
      </c>
      <c r="H17182" s="9" t="s">
        <v>22</v>
      </c>
      <c r="I17182" s="9" t="s">
        <v>34799</v>
      </c>
      <c r="J17182" s="10" t="str">
        <f>HYPERLINK("https://www.boe.es/gazeta/dias/1834/05/24/pdfs/GMD-1834-93.pdf#page=2","Abrir facsímil")</f>
        <v>Abrir facsímil</v>
      </c>
      <c r="K17182" s="10" t="s">
        <v>24</v>
      </c>
    </row>
    <row r="17183" spans="1:11" ht="54" customHeight="1">
      <c r="A17183" s="9" t="s">
        <v>34800</v>
      </c>
      <c r="B17183" s="9" t="s">
        <v>34801</v>
      </c>
      <c r="C17183" s="9" t="s">
        <v>66</v>
      </c>
      <c r="D17183" s="9" t="s">
        <v>67</v>
      </c>
      <c r="E17183" s="10" t="s">
        <v>1789</v>
      </c>
      <c r="F17183" s="9" t="s">
        <v>31513</v>
      </c>
      <c r="G17183" s="10" t="s">
        <v>34</v>
      </c>
      <c r="H17183" s="9" t="s">
        <v>35</v>
      </c>
      <c r="I17183" s="9" t="s">
        <v>34802</v>
      </c>
      <c r="J17183" s="10" t="str">
        <f>HYPERLINK("https://www.boe.es/gazeta/dias/1834/05/31/pdfs/GMD-1834-101E.pdf#page=1","Abrir facsímil")</f>
        <v>Abrir facsímil</v>
      </c>
      <c r="K17183" s="10" t="s">
        <v>37</v>
      </c>
    </row>
    <row r="17184" spans="1:11" ht="54" customHeight="1">
      <c r="A17184" s="9" t="s">
        <v>34803</v>
      </c>
      <c r="B17184" s="9" t="s">
        <v>34804</v>
      </c>
      <c r="C17184" s="9" t="s">
        <v>66</v>
      </c>
      <c r="D17184" s="9" t="s">
        <v>67</v>
      </c>
      <c r="E17184" s="10" t="s">
        <v>1789</v>
      </c>
      <c r="F17184" s="9" t="s">
        <v>31513</v>
      </c>
      <c r="G17184" s="10" t="s">
        <v>34</v>
      </c>
      <c r="H17184" s="9" t="s">
        <v>22</v>
      </c>
      <c r="I17184" s="9" t="s">
        <v>34805</v>
      </c>
      <c r="J17184" s="10" t="str">
        <f>HYPERLINK("https://www.boe.es/gazeta/dias/1834/05/31/pdfs/GMD-1834-101E.pdf#page=1","Abrir facsímil")</f>
        <v>Abrir facsímil</v>
      </c>
      <c r="K17184" s="10" t="s">
        <v>24</v>
      </c>
    </row>
    <row r="17185" spans="1:11" ht="54" customHeight="1">
      <c r="A17185" s="9" t="s">
        <v>34806</v>
      </c>
      <c r="B17185" s="9" t="s">
        <v>34806</v>
      </c>
      <c r="C17185" s="9" t="s">
        <v>17</v>
      </c>
      <c r="D17185" s="9" t="s">
        <v>18</v>
      </c>
      <c r="E17185" s="10" t="s">
        <v>1212</v>
      </c>
      <c r="F17185" s="9" t="s">
        <v>1213</v>
      </c>
      <c r="G17185" s="10" t="s">
        <v>86</v>
      </c>
      <c r="H17185" s="9" t="s">
        <v>22</v>
      </c>
      <c r="I17185" s="9" t="s">
        <v>34807</v>
      </c>
      <c r="J17185" s="10" t="str">
        <f>HYPERLINK("https://www.boe.es/gazeta/dias/1834/05/24/pdfs/GMD-1834-93.pdf#page=2","Abrir facsímil")</f>
        <v>Abrir facsímil</v>
      </c>
      <c r="K17185" s="10" t="s">
        <v>24</v>
      </c>
    </row>
    <row r="17186" spans="1:11" ht="54" customHeight="1">
      <c r="A17186" s="9" t="s">
        <v>34808</v>
      </c>
      <c r="B17186" s="9" t="s">
        <v>34809</v>
      </c>
      <c r="C17186" s="9" t="s">
        <v>90</v>
      </c>
      <c r="D17186" s="9" t="s">
        <v>18</v>
      </c>
      <c r="E17186" s="10" t="s">
        <v>2124</v>
      </c>
      <c r="F17186" s="9" t="s">
        <v>2125</v>
      </c>
      <c r="G17186" s="10" t="s">
        <v>21</v>
      </c>
      <c r="H17186" s="9" t="s">
        <v>22</v>
      </c>
      <c r="I17186" s="9" t="s">
        <v>34810</v>
      </c>
      <c r="J17186" s="10" t="str">
        <f>HYPERLINK("https://www.boe.es/gazeta/dias/1834/06/09/pdfs/GMD-1834-112.pdf#page=3","Abrir facsímil")</f>
        <v>Abrir facsímil</v>
      </c>
      <c r="K17186" s="10" t="s">
        <v>24</v>
      </c>
    </row>
    <row r="17187" spans="1:11" ht="54" customHeight="1">
      <c r="A17187" s="9" t="s">
        <v>34808</v>
      </c>
      <c r="B17187" s="9" t="s">
        <v>34809</v>
      </c>
      <c r="C17187" s="9" t="s">
        <v>17</v>
      </c>
      <c r="D17187" s="9" t="s">
        <v>18</v>
      </c>
      <c r="E17187" s="10" t="s">
        <v>1212</v>
      </c>
      <c r="F17187" s="9" t="s">
        <v>1213</v>
      </c>
      <c r="G17187" s="10" t="s">
        <v>86</v>
      </c>
      <c r="H17187" s="9" t="s">
        <v>22</v>
      </c>
      <c r="I17187" s="9" t="s">
        <v>34811</v>
      </c>
      <c r="J17187" s="10" t="str">
        <f>HYPERLINK("https://www.boe.es/gazeta/dias/1834/05/24/pdfs/GMD-1834-93.pdf#page=2","Abrir facsímil")</f>
        <v>Abrir facsímil</v>
      </c>
      <c r="K17187" s="10" t="s">
        <v>24</v>
      </c>
    </row>
    <row r="17188" spans="1:11" ht="54" customHeight="1">
      <c r="A17188" s="9" t="s">
        <v>34812</v>
      </c>
      <c r="B17188" s="9" t="s">
        <v>34813</v>
      </c>
      <c r="C17188" s="9" t="s">
        <v>17</v>
      </c>
      <c r="D17188" s="9" t="s">
        <v>18</v>
      </c>
      <c r="E17188" s="10" t="s">
        <v>3036</v>
      </c>
      <c r="F17188" s="9" t="s">
        <v>3372</v>
      </c>
      <c r="G17188" s="10" t="s">
        <v>75</v>
      </c>
      <c r="H17188" s="9" t="s">
        <v>22</v>
      </c>
      <c r="I17188" s="9" t="s">
        <v>34814</v>
      </c>
      <c r="J17188" s="10" t="str">
        <f>HYPERLINK("https://www.boe.es/gazeta/dias/1834/11/18/pdfs/GMD-1834-277.pdf#page=4","Abrir facsímil")</f>
        <v>Abrir facsímil</v>
      </c>
      <c r="K17188" s="10" t="s">
        <v>24</v>
      </c>
    </row>
    <row r="17189" spans="1:11" ht="54" customHeight="1">
      <c r="A17189" s="9" t="s">
        <v>34815</v>
      </c>
      <c r="B17189" s="9" t="s">
        <v>34815</v>
      </c>
      <c r="C17189" s="9" t="s">
        <v>17</v>
      </c>
      <c r="D17189" s="9" t="s">
        <v>18</v>
      </c>
      <c r="E17189" s="10" t="s">
        <v>416</v>
      </c>
      <c r="F17189" s="9" t="s">
        <v>417</v>
      </c>
      <c r="G17189" s="10" t="s">
        <v>86</v>
      </c>
      <c r="H17189" s="9" t="s">
        <v>22</v>
      </c>
      <c r="I17189" s="9" t="s">
        <v>34816</v>
      </c>
      <c r="J17189" s="10" t="str">
        <f>HYPERLINK("https://www.boe.es/gazeta/dias/1834/10/02/pdfs/GMD-C-1834-230.pdf#page=2","Abrir facsímil")</f>
        <v>Abrir facsímil</v>
      </c>
      <c r="K17189" s="10" t="s">
        <v>24</v>
      </c>
    </row>
    <row r="17190" spans="1:11" ht="54" customHeight="1">
      <c r="A17190" s="9" t="s">
        <v>34815</v>
      </c>
      <c r="B17190" s="9" t="s">
        <v>34815</v>
      </c>
      <c r="C17190" s="9" t="s">
        <v>17</v>
      </c>
      <c r="D17190" s="9" t="s">
        <v>18</v>
      </c>
      <c r="E17190" s="10" t="s">
        <v>251</v>
      </c>
      <c r="F17190" s="9" t="s">
        <v>252</v>
      </c>
      <c r="G17190" s="10" t="s">
        <v>75</v>
      </c>
      <c r="H17190" s="9" t="s">
        <v>22</v>
      </c>
      <c r="I17190" s="9" t="s">
        <v>34817</v>
      </c>
      <c r="J17190" s="10" t="str">
        <f>HYPERLINK("https://www.boe.es/gazeta/dias/1834/09/26/pdfs/GMD-C-1834-224.pdf#page=4","Abrir facsímil")</f>
        <v>Abrir facsímil</v>
      </c>
      <c r="K17190" s="10" t="s">
        <v>24</v>
      </c>
    </row>
    <row r="17191" spans="1:11" ht="54" customHeight="1">
      <c r="A17191" s="9" t="s">
        <v>34818</v>
      </c>
      <c r="B17191" s="9" t="s">
        <v>34819</v>
      </c>
      <c r="C17191" s="9" t="s">
        <v>46</v>
      </c>
      <c r="D17191" s="9" t="s">
        <v>101</v>
      </c>
      <c r="E17191" s="10" t="s">
        <v>416</v>
      </c>
      <c r="F17191" s="9" t="s">
        <v>417</v>
      </c>
      <c r="G17191" s="10" t="s">
        <v>86</v>
      </c>
      <c r="H17191" s="9" t="s">
        <v>22</v>
      </c>
      <c r="I17191" s="9" t="s">
        <v>34820</v>
      </c>
      <c r="J17191" s="10" t="str">
        <f>HYPERLINK("https://www.boe.es/gazeta/dias/1834/10/02/pdfs/GMD-C-1834-230.pdf#page=2","Abrir facsímil")</f>
        <v>Abrir facsímil</v>
      </c>
      <c r="K17191" s="10" t="s">
        <v>24</v>
      </c>
    </row>
    <row r="17192" spans="1:11" ht="54" customHeight="1">
      <c r="A17192" s="9" t="s">
        <v>34818</v>
      </c>
      <c r="B17192" s="9" t="s">
        <v>34819</v>
      </c>
      <c r="C17192" s="9" t="s">
        <v>17</v>
      </c>
      <c r="D17192" s="9" t="s">
        <v>18</v>
      </c>
      <c r="E17192" s="10" t="s">
        <v>416</v>
      </c>
      <c r="F17192" s="9" t="s">
        <v>417</v>
      </c>
      <c r="G17192" s="10" t="s">
        <v>21</v>
      </c>
      <c r="H17192" s="9" t="s">
        <v>22</v>
      </c>
      <c r="I17192" s="9" t="s">
        <v>34821</v>
      </c>
      <c r="J17192" s="10" t="str">
        <f>HYPERLINK("https://www.boe.es/gazeta/dias/1834/10/02/pdfs/GMD-C-1834-230.pdf#page=3","Abrir facsímil")</f>
        <v>Abrir facsímil</v>
      </c>
      <c r="K17192" s="10" t="s">
        <v>24</v>
      </c>
    </row>
    <row r="17193" spans="1:11" ht="54" customHeight="1">
      <c r="A17193" s="9" t="s">
        <v>34818</v>
      </c>
      <c r="B17193" s="9" t="s">
        <v>34819</v>
      </c>
      <c r="C17193" s="9" t="s">
        <v>17</v>
      </c>
      <c r="D17193" s="9" t="s">
        <v>18</v>
      </c>
      <c r="E17193" s="10" t="s">
        <v>403</v>
      </c>
      <c r="F17193" s="9" t="s">
        <v>404</v>
      </c>
      <c r="G17193" s="10" t="s">
        <v>560</v>
      </c>
      <c r="H17193" s="9" t="s">
        <v>22</v>
      </c>
      <c r="I17193" s="9" t="s">
        <v>34822</v>
      </c>
      <c r="J17193" s="10" t="str">
        <f>HYPERLINK("https://www.boe.es/gazeta/dias/1834/09/25/pdfs/GMD-C-1834-223.pdf#page=7","Abrir facsímil")</f>
        <v>Abrir facsímil</v>
      </c>
      <c r="K17193" s="10" t="s">
        <v>24</v>
      </c>
    </row>
    <row r="17194" spans="1:11" ht="54" customHeight="1">
      <c r="A17194" s="9" t="s">
        <v>34823</v>
      </c>
      <c r="B17194" s="9" t="s">
        <v>34824</v>
      </c>
      <c r="C17194" s="9" t="s">
        <v>46</v>
      </c>
      <c r="D17194" s="9" t="s">
        <v>101</v>
      </c>
      <c r="E17194" s="10" t="s">
        <v>1641</v>
      </c>
      <c r="F17194" s="9" t="s">
        <v>1642</v>
      </c>
      <c r="G17194" s="10" t="s">
        <v>28</v>
      </c>
      <c r="H17194" s="9" t="s">
        <v>22</v>
      </c>
      <c r="I17194" s="9" t="s">
        <v>34825</v>
      </c>
      <c r="J17194" s="10" t="str">
        <f>HYPERLINK("https://www.boe.es/gazeta/dias/1834/09/28/pdfs/GMD-C-1834-226.pdf#page=5","Abrir facsímil")</f>
        <v>Abrir facsímil</v>
      </c>
      <c r="K17194" s="10" t="s">
        <v>24</v>
      </c>
    </row>
    <row r="17195" spans="1:11" ht="54" customHeight="1">
      <c r="A17195" s="9" t="s">
        <v>34826</v>
      </c>
      <c r="B17195" s="9" t="s">
        <v>34827</v>
      </c>
      <c r="C17195" s="9" t="s">
        <v>90</v>
      </c>
      <c r="D17195" s="9" t="s">
        <v>18</v>
      </c>
      <c r="E17195" s="10" t="s">
        <v>355</v>
      </c>
      <c r="F17195" s="9" t="s">
        <v>356</v>
      </c>
      <c r="G17195" s="10" t="s">
        <v>86</v>
      </c>
      <c r="H17195" s="9" t="s">
        <v>35</v>
      </c>
      <c r="I17195" s="9" t="s">
        <v>34828</v>
      </c>
      <c r="J17195" s="10" t="str">
        <f>HYPERLINK("https://www.boe.es/gazeta/dias/1834/07/04/pdfs/GMD-1834-137.pdf#page=2","Abrir facsímil")</f>
        <v>Abrir facsímil</v>
      </c>
      <c r="K17195" s="10" t="s">
        <v>37</v>
      </c>
    </row>
    <row r="17196" spans="1:11" ht="54" customHeight="1">
      <c r="A17196" s="9" t="s">
        <v>34829</v>
      </c>
      <c r="B17196" s="9" t="s">
        <v>34830</v>
      </c>
      <c r="C17196" s="9" t="s">
        <v>17</v>
      </c>
      <c r="D17196" s="9" t="s">
        <v>18</v>
      </c>
      <c r="E17196" s="10" t="s">
        <v>1170</v>
      </c>
      <c r="F17196" s="9" t="s">
        <v>1171</v>
      </c>
      <c r="G17196" s="10" t="s">
        <v>28</v>
      </c>
      <c r="H17196" s="9" t="s">
        <v>22</v>
      </c>
      <c r="I17196" s="9" t="s">
        <v>34831</v>
      </c>
      <c r="J17196" s="10" t="str">
        <f>HYPERLINK("https://www.boe.es/gazeta/dias/1834/01/07/pdfs/GMD-1834-4.pdf#page=5","Abrir facsímil")</f>
        <v>Abrir facsímil</v>
      </c>
      <c r="K17196" s="10" t="s">
        <v>24</v>
      </c>
    </row>
    <row r="17197" spans="1:11" ht="54" customHeight="1">
      <c r="A17197" s="9" t="s">
        <v>34832</v>
      </c>
      <c r="B17197" s="9" t="s">
        <v>34833</v>
      </c>
      <c r="C17197" s="9" t="s">
        <v>90</v>
      </c>
      <c r="D17197" s="9" t="s">
        <v>18</v>
      </c>
      <c r="E17197" s="10" t="s">
        <v>355</v>
      </c>
      <c r="F17197" s="9" t="s">
        <v>356</v>
      </c>
      <c r="G17197" s="10" t="s">
        <v>86</v>
      </c>
      <c r="H17197" s="9" t="s">
        <v>22</v>
      </c>
      <c r="I17197" s="9" t="s">
        <v>34834</v>
      </c>
      <c r="J17197" s="10" t="str">
        <f>HYPERLINK("https://www.boe.es/gazeta/dias/1834/07/04/pdfs/GMD-1834-137.pdf#page=2","Abrir facsímil")</f>
        <v>Abrir facsímil</v>
      </c>
      <c r="K17197" s="10" t="s">
        <v>24</v>
      </c>
    </row>
    <row r="17198" spans="1:11" ht="54" customHeight="1">
      <c r="A17198" s="9" t="s">
        <v>34835</v>
      </c>
      <c r="B17198" s="9" t="s">
        <v>34836</v>
      </c>
      <c r="C17198" s="9" t="s">
        <v>17</v>
      </c>
      <c r="D17198" s="9" t="s">
        <v>18</v>
      </c>
      <c r="E17198" s="10" t="s">
        <v>465</v>
      </c>
      <c r="F17198" s="9" t="s">
        <v>466</v>
      </c>
      <c r="G17198" s="10" t="s">
        <v>176</v>
      </c>
      <c r="H17198" s="9" t="s">
        <v>22</v>
      </c>
      <c r="I17198" s="9" t="s">
        <v>34837</v>
      </c>
      <c r="J17198" s="10" t="str">
        <f>HYPERLINK("https://www.boe.es/gazeta/dias/1834/11/27/pdfs/GMD-C-1834-286.pdf#page=6","Abrir facsímil")</f>
        <v>Abrir facsímil</v>
      </c>
      <c r="K17198" s="10" t="s">
        <v>24</v>
      </c>
    </row>
    <row r="17199" spans="1:11" ht="54" customHeight="1">
      <c r="A17199" s="9" t="s">
        <v>34838</v>
      </c>
      <c r="B17199" s="9" t="s">
        <v>34839</v>
      </c>
      <c r="C17199" s="9" t="s">
        <v>17</v>
      </c>
      <c r="D17199" s="9" t="s">
        <v>55</v>
      </c>
      <c r="E17199" s="10" t="s">
        <v>339</v>
      </c>
      <c r="F17199" s="9" t="s">
        <v>340</v>
      </c>
      <c r="G17199" s="10" t="s">
        <v>75</v>
      </c>
      <c r="H17199" s="9" t="s">
        <v>22</v>
      </c>
      <c r="I17199" s="9" t="s">
        <v>34840</v>
      </c>
      <c r="J17199" s="10" t="str">
        <f>HYPERLINK("https://www.boe.es/gazeta/dias/1834/05/02/pdfs/GMD-1834-71.pdf#page=4","Abrir facsímil")</f>
        <v>Abrir facsímil</v>
      </c>
      <c r="K17199" s="10" t="s">
        <v>24</v>
      </c>
    </row>
    <row r="17200" spans="1:11" ht="54" customHeight="1">
      <c r="A17200" s="9" t="s">
        <v>34841</v>
      </c>
      <c r="B17200" s="9" t="s">
        <v>34842</v>
      </c>
      <c r="C17200" s="9" t="s">
        <v>17</v>
      </c>
      <c r="D17200" s="9" t="s">
        <v>55</v>
      </c>
      <c r="E17200" s="10" t="s">
        <v>339</v>
      </c>
      <c r="F17200" s="9" t="s">
        <v>340</v>
      </c>
      <c r="G17200" s="10" t="s">
        <v>75</v>
      </c>
      <c r="H17200" s="9" t="s">
        <v>35</v>
      </c>
      <c r="I17200" s="9" t="s">
        <v>34843</v>
      </c>
      <c r="J17200" s="10" t="str">
        <f>HYPERLINK("https://www.boe.es/gazeta/dias/1834/05/02/pdfs/GMD-1834-71.pdf#page=4","Abrir facsímil")</f>
        <v>Abrir facsímil</v>
      </c>
      <c r="K17200" s="10" t="s">
        <v>37</v>
      </c>
    </row>
    <row r="17201" spans="1:11" ht="54" customHeight="1">
      <c r="A17201" s="9" t="s">
        <v>34844</v>
      </c>
      <c r="B17201" s="9" t="s">
        <v>34845</v>
      </c>
      <c r="C17201" s="9" t="s">
        <v>17</v>
      </c>
      <c r="D17201" s="9" t="s">
        <v>18</v>
      </c>
      <c r="E17201" s="10" t="s">
        <v>860</v>
      </c>
      <c r="F17201" s="9" t="s">
        <v>861</v>
      </c>
      <c r="G17201" s="10" t="s">
        <v>176</v>
      </c>
      <c r="H17201" s="9" t="s">
        <v>22</v>
      </c>
      <c r="I17201" s="9" t="s">
        <v>34846</v>
      </c>
      <c r="J17201" s="10" t="str">
        <f>HYPERLINK("https://www.boe.es/gazeta/dias/1834/02/08/pdfs/GMD-1834-18.pdf#page=6","Abrir facsímil")</f>
        <v>Abrir facsímil</v>
      </c>
      <c r="K17201" s="10" t="s">
        <v>24</v>
      </c>
    </row>
    <row r="17202" spans="1:11" ht="54" customHeight="1">
      <c r="A17202" s="9" t="s">
        <v>34847</v>
      </c>
      <c r="B17202" s="9" t="s">
        <v>34848</v>
      </c>
      <c r="C17202" s="9" t="s">
        <v>17</v>
      </c>
      <c r="D17202" s="9" t="s">
        <v>18</v>
      </c>
      <c r="E17202" s="10" t="s">
        <v>860</v>
      </c>
      <c r="F17202" s="9" t="s">
        <v>861</v>
      </c>
      <c r="G17202" s="10" t="s">
        <v>560</v>
      </c>
      <c r="H17202" s="9" t="s">
        <v>22</v>
      </c>
      <c r="I17202" s="9" t="s">
        <v>34849</v>
      </c>
      <c r="J17202" s="10" t="str">
        <f>HYPERLINK("https://www.boe.es/gazeta/dias/1834/02/08/pdfs/GMD-1834-18.pdf#page=7","Abrir facsímil")</f>
        <v>Abrir facsímil</v>
      </c>
      <c r="K17202" s="10" t="s">
        <v>24</v>
      </c>
    </row>
    <row r="17203" spans="1:11" ht="54" customHeight="1">
      <c r="A17203" s="9" t="s">
        <v>34850</v>
      </c>
      <c r="B17203" s="9" t="s">
        <v>34851</v>
      </c>
      <c r="C17203" s="9" t="s">
        <v>66</v>
      </c>
      <c r="D17203" s="9" t="s">
        <v>67</v>
      </c>
      <c r="E17203" s="10" t="s">
        <v>1141</v>
      </c>
      <c r="F17203" s="9" t="s">
        <v>1142</v>
      </c>
      <c r="G17203" s="10" t="s">
        <v>75</v>
      </c>
      <c r="H17203" s="9" t="s">
        <v>22</v>
      </c>
      <c r="I17203" s="9" t="s">
        <v>34852</v>
      </c>
      <c r="J17203" s="10" t="str">
        <f>HYPERLINK("https://www.boe.es/gazeta/dias/1834/04/30/pdfs/GMD-1834-69.pdf#page=4","Abrir facsímil")</f>
        <v>Abrir facsímil</v>
      </c>
      <c r="K17203" s="10" t="s">
        <v>24</v>
      </c>
    </row>
    <row r="17204" spans="1:11" ht="54" customHeight="1">
      <c r="A17204" s="9" t="s">
        <v>34853</v>
      </c>
      <c r="B17204" s="9" t="s">
        <v>34854</v>
      </c>
      <c r="C17204" s="9" t="s">
        <v>66</v>
      </c>
      <c r="D17204" s="9" t="s">
        <v>67</v>
      </c>
      <c r="E17204" s="10" t="s">
        <v>658</v>
      </c>
      <c r="F17204" s="9" t="s">
        <v>2167</v>
      </c>
      <c r="G17204" s="10" t="s">
        <v>34</v>
      </c>
      <c r="H17204" s="9" t="s">
        <v>35</v>
      </c>
      <c r="I17204" s="9" t="s">
        <v>34855</v>
      </c>
      <c r="J17204" s="10" t="str">
        <f>HYPERLINK("https://www.boe.es/gazeta/dias/1834/05/26/pdfs/C00001-00001.pdf#page=1","Abrir facsímil")</f>
        <v>Abrir facsímil</v>
      </c>
      <c r="K17204" s="10" t="s">
        <v>37</v>
      </c>
    </row>
    <row r="17205" spans="1:11" ht="54" customHeight="1">
      <c r="A17205" s="9" t="s">
        <v>34856</v>
      </c>
      <c r="B17205" s="9" t="s">
        <v>34857</v>
      </c>
      <c r="C17205" s="9" t="s">
        <v>90</v>
      </c>
      <c r="D17205" s="9" t="s">
        <v>18</v>
      </c>
      <c r="E17205" s="10" t="s">
        <v>73</v>
      </c>
      <c r="F17205" s="9" t="s">
        <v>74</v>
      </c>
      <c r="G17205" s="10" t="s">
        <v>75</v>
      </c>
      <c r="H17205" s="9" t="s">
        <v>22</v>
      </c>
      <c r="I17205" s="9" t="s">
        <v>34858</v>
      </c>
      <c r="J17205" s="10" t="str">
        <f>HYPERLINK("https://www.boe.es/gazeta/dias/1834/11/04/pdfs/GMD-1834-263.pdf#page=4","Abrir facsímil")</f>
        <v>Abrir facsímil</v>
      </c>
      <c r="K17205" s="10" t="s">
        <v>24</v>
      </c>
    </row>
    <row r="17206" spans="1:11" ht="54" customHeight="1">
      <c r="A17206" s="9" t="s">
        <v>34859</v>
      </c>
      <c r="B17206" s="9" t="s">
        <v>34860</v>
      </c>
      <c r="C17206" s="9" t="s">
        <v>17</v>
      </c>
      <c r="D17206" s="9" t="s">
        <v>18</v>
      </c>
      <c r="E17206" s="10" t="s">
        <v>317</v>
      </c>
      <c r="F17206" s="9" t="s">
        <v>318</v>
      </c>
      <c r="G17206" s="10" t="s">
        <v>34</v>
      </c>
      <c r="H17206" s="9" t="s">
        <v>22</v>
      </c>
      <c r="I17206" s="9" t="s">
        <v>34861</v>
      </c>
      <c r="J17206" s="10" t="str">
        <f>HYPERLINK("https://www.boe.es/gazeta/dias/1834/03/06/pdfs/I00139-00140.pdf#page=1","Abrir facsímil")</f>
        <v>Abrir facsímil</v>
      </c>
      <c r="K17206" s="10" t="s">
        <v>24</v>
      </c>
    </row>
    <row r="17207" spans="1:11" ht="54" customHeight="1">
      <c r="A17207" s="9" t="s">
        <v>34859</v>
      </c>
      <c r="B17207" s="9" t="s">
        <v>34860</v>
      </c>
      <c r="C17207" s="9" t="s">
        <v>17</v>
      </c>
      <c r="D17207" s="9" t="s">
        <v>18</v>
      </c>
      <c r="E17207" s="10" t="s">
        <v>317</v>
      </c>
      <c r="F17207" s="9" t="s">
        <v>318</v>
      </c>
      <c r="G17207" s="10" t="s">
        <v>21</v>
      </c>
      <c r="H17207" s="9" t="s">
        <v>22</v>
      </c>
      <c r="I17207" s="9" t="s">
        <v>34862</v>
      </c>
      <c r="J17207" s="10" t="str">
        <f>HYPERLINK("https://www.boe.es/gazeta/dias/1834/03/06/pdfs/GMD-1834-29.pdf#page=3","Abrir facsímil")</f>
        <v>Abrir facsímil</v>
      </c>
      <c r="K17207" s="10" t="s">
        <v>24</v>
      </c>
    </row>
    <row r="17208" spans="1:11" ht="54" customHeight="1">
      <c r="A17208" s="9" t="s">
        <v>34863</v>
      </c>
      <c r="B17208" s="9" t="s">
        <v>34863</v>
      </c>
      <c r="C17208" s="9" t="s">
        <v>17</v>
      </c>
      <c r="D17208" s="9" t="s">
        <v>18</v>
      </c>
      <c r="E17208" s="10" t="s">
        <v>1692</v>
      </c>
      <c r="F17208" s="9" t="s">
        <v>3985</v>
      </c>
      <c r="G17208" s="10" t="s">
        <v>34</v>
      </c>
      <c r="H17208" s="9" t="s">
        <v>22</v>
      </c>
      <c r="I17208" s="9" t="s">
        <v>34864</v>
      </c>
      <c r="J17208" s="10" t="str">
        <f>HYPERLINK("https://www.boe.es/gazeta/dias/1834/07/29/pdfs/GMD-C-1834-162.pdf#page=1","Abrir facsímil")</f>
        <v>Abrir facsímil</v>
      </c>
      <c r="K17208" s="10" t="s">
        <v>24</v>
      </c>
    </row>
    <row r="17209" spans="1:11" ht="54" customHeight="1">
      <c r="A17209" s="9" t="s">
        <v>34865</v>
      </c>
      <c r="B17209" s="9" t="s">
        <v>34866</v>
      </c>
      <c r="C17209" s="9" t="s">
        <v>17</v>
      </c>
      <c r="D17209" s="9" t="s">
        <v>18</v>
      </c>
      <c r="E17209" s="10" t="s">
        <v>1692</v>
      </c>
      <c r="F17209" s="9" t="s">
        <v>3985</v>
      </c>
      <c r="G17209" s="10" t="s">
        <v>34</v>
      </c>
      <c r="H17209" s="9" t="s">
        <v>35</v>
      </c>
      <c r="I17209" s="9" t="s">
        <v>34867</v>
      </c>
      <c r="J17209" s="10" t="str">
        <f>HYPERLINK("https://www.boe.es/gazeta/dias/1834/07/29/pdfs/GMD-C-1834-162.pdf#page=1","Abrir facsímil")</f>
        <v>Abrir facsímil</v>
      </c>
      <c r="K17209" s="10" t="s">
        <v>37</v>
      </c>
    </row>
    <row r="17210" spans="1:11" ht="54" customHeight="1">
      <c r="A17210" s="9" t="s">
        <v>34868</v>
      </c>
      <c r="B17210" s="9" t="s">
        <v>34869</v>
      </c>
      <c r="C17210" s="9" t="s">
        <v>90</v>
      </c>
      <c r="D17210" s="9" t="s">
        <v>67</v>
      </c>
      <c r="E17210" s="10" t="s">
        <v>1103</v>
      </c>
      <c r="F17210" s="9" t="s">
        <v>1104</v>
      </c>
      <c r="G17210" s="10" t="s">
        <v>86</v>
      </c>
      <c r="H17210" s="9" t="s">
        <v>35</v>
      </c>
      <c r="I17210" s="9" t="s">
        <v>34870</v>
      </c>
      <c r="J17210" s="10" t="str">
        <f>HYPERLINK("https://www.boe.es/gazeta/dias/1834/10/10/pdfs/GMD-C-1834-238.pdf#page=2","Abrir facsímil")</f>
        <v>Abrir facsímil</v>
      </c>
      <c r="K17210" s="10" t="s">
        <v>37</v>
      </c>
    </row>
    <row r="17211" spans="1:11" ht="54" customHeight="1">
      <c r="A17211" s="9" t="s">
        <v>34871</v>
      </c>
      <c r="B17211" s="9" t="s">
        <v>34872</v>
      </c>
      <c r="C17211" s="9" t="s">
        <v>90</v>
      </c>
      <c r="D17211" s="9" t="s">
        <v>67</v>
      </c>
      <c r="E17211" s="10" t="s">
        <v>1103</v>
      </c>
      <c r="F17211" s="9" t="s">
        <v>1104</v>
      </c>
      <c r="G17211" s="10" t="s">
        <v>86</v>
      </c>
      <c r="H17211" s="9" t="s">
        <v>22</v>
      </c>
      <c r="I17211" s="9" t="s">
        <v>34873</v>
      </c>
      <c r="J17211" s="10" t="str">
        <f>HYPERLINK("https://www.boe.es/gazeta/dias/1834/10/10/pdfs/GMD-C-1834-238.pdf#page=2","Abrir facsímil")</f>
        <v>Abrir facsímil</v>
      </c>
      <c r="K17211" s="10" t="s">
        <v>24</v>
      </c>
    </row>
    <row r="17212" spans="1:11" ht="54" customHeight="1">
      <c r="A17212" s="9" t="s">
        <v>34874</v>
      </c>
      <c r="B17212" s="9" t="s">
        <v>34875</v>
      </c>
      <c r="C17212" s="9" t="s">
        <v>17</v>
      </c>
      <c r="D17212" s="9" t="s">
        <v>18</v>
      </c>
      <c r="E17212" s="10" t="s">
        <v>167</v>
      </c>
      <c r="F17212" s="9" t="s">
        <v>1200</v>
      </c>
      <c r="G17212" s="10" t="s">
        <v>86</v>
      </c>
      <c r="H17212" s="9" t="s">
        <v>22</v>
      </c>
      <c r="I17212" s="9" t="s">
        <v>34876</v>
      </c>
      <c r="J17212" s="10" t="str">
        <f>HYPERLINK("https://www.boe.es/gazeta/dias/1834/09/07/pdfs/GMD-C-1834-205.pdf#page=2","Abrir facsímil")</f>
        <v>Abrir facsímil</v>
      </c>
      <c r="K17212" s="10" t="s">
        <v>24</v>
      </c>
    </row>
    <row r="17213" spans="1:11" ht="54" customHeight="1">
      <c r="A17213" s="9" t="s">
        <v>34877</v>
      </c>
      <c r="B17213" s="9" t="s">
        <v>34878</v>
      </c>
      <c r="C17213" s="9" t="s">
        <v>66</v>
      </c>
      <c r="D17213" s="9" t="s">
        <v>67</v>
      </c>
      <c r="E17213" s="10" t="s">
        <v>753</v>
      </c>
      <c r="F17213" s="9" t="s">
        <v>754</v>
      </c>
      <c r="G17213" s="10" t="s">
        <v>34</v>
      </c>
      <c r="H17213" s="9" t="s">
        <v>22</v>
      </c>
      <c r="I17213" s="9" t="s">
        <v>34879</v>
      </c>
      <c r="J17213" s="10" t="str">
        <f>HYPERLINK("https://www.boe.es/gazeta/dias/1834/04/21/pdfs/GMD-1834-60.pdf#page=1","Abrir facsímil")</f>
        <v>Abrir facsímil</v>
      </c>
      <c r="K17213" s="10" t="s">
        <v>24</v>
      </c>
    </row>
    <row r="17214" spans="1:11" ht="54" customHeight="1">
      <c r="A17214" s="9" t="s">
        <v>34880</v>
      </c>
      <c r="B17214" s="9" t="s">
        <v>34881</v>
      </c>
      <c r="C17214" s="9" t="s">
        <v>17</v>
      </c>
      <c r="D17214" s="9" t="s">
        <v>55</v>
      </c>
      <c r="E17214" s="10" t="s">
        <v>5904</v>
      </c>
      <c r="F17214" s="9" t="s">
        <v>5905</v>
      </c>
      <c r="G17214" s="10" t="s">
        <v>34</v>
      </c>
      <c r="H17214" s="9" t="s">
        <v>22</v>
      </c>
      <c r="I17214" s="9" t="s">
        <v>34882</v>
      </c>
      <c r="J17214" s="10" t="str">
        <f>HYPERLINK("https://www.boe.es/gazeta/dias/1834/09/29/pdfs/GMD-1834-227.pdf#page=1","Abrir facsímil")</f>
        <v>Abrir facsímil</v>
      </c>
      <c r="K17214" s="10" t="s">
        <v>24</v>
      </c>
    </row>
    <row r="17215" spans="1:11" ht="54" customHeight="1">
      <c r="A17215" s="9" t="s">
        <v>34883</v>
      </c>
      <c r="B17215" s="9" t="s">
        <v>34884</v>
      </c>
      <c r="C17215" s="9" t="s">
        <v>17</v>
      </c>
      <c r="D17215" s="9" t="s">
        <v>18</v>
      </c>
      <c r="E17215" s="10" t="s">
        <v>1333</v>
      </c>
      <c r="F17215" s="9" t="s">
        <v>1334</v>
      </c>
      <c r="G17215" s="10" t="s">
        <v>34</v>
      </c>
      <c r="H17215" s="9" t="s">
        <v>22</v>
      </c>
      <c r="I17215" s="9" t="s">
        <v>34885</v>
      </c>
      <c r="J17215" s="10" t="str">
        <f>HYPERLINK("https://www.boe.es/gazeta/dias/1834/04/01/pdfs/GMD-1834-40.pdf#page=1","Abrir facsímil")</f>
        <v>Abrir facsímil</v>
      </c>
      <c r="K17215" s="10" t="s">
        <v>24</v>
      </c>
    </row>
    <row r="17216" spans="1:11" ht="54" customHeight="1">
      <c r="A17216" s="9" t="s">
        <v>34886</v>
      </c>
      <c r="B17216" s="9" t="s">
        <v>34886</v>
      </c>
      <c r="C17216" s="9" t="s">
        <v>90</v>
      </c>
      <c r="D17216" s="9" t="s">
        <v>55</v>
      </c>
      <c r="E17216" s="10" t="s">
        <v>273</v>
      </c>
      <c r="F17216" s="9" t="s">
        <v>274</v>
      </c>
      <c r="G17216" s="10" t="s">
        <v>75</v>
      </c>
      <c r="H17216" s="9" t="s">
        <v>22</v>
      </c>
      <c r="I17216" s="9" t="s">
        <v>34887</v>
      </c>
      <c r="J17216" s="10" t="str">
        <f>HYPERLINK("https://www.boe.es/gazeta/dias/1834/08/31/pdfs/GMD-C-1834-198.pdf#page=4","Abrir facsímil")</f>
        <v>Abrir facsímil</v>
      </c>
      <c r="K17216" s="10" t="s">
        <v>24</v>
      </c>
    </row>
    <row r="17217" spans="1:11" ht="54" customHeight="1">
      <c r="A17217" s="9" t="s">
        <v>34888</v>
      </c>
      <c r="B17217" s="9" t="s">
        <v>34889</v>
      </c>
      <c r="C17217" s="9" t="s">
        <v>17</v>
      </c>
      <c r="D17217" s="9" t="s">
        <v>18</v>
      </c>
      <c r="E17217" s="10" t="s">
        <v>1333</v>
      </c>
      <c r="F17217" s="9" t="s">
        <v>1334</v>
      </c>
      <c r="G17217" s="10" t="s">
        <v>34</v>
      </c>
      <c r="H17217" s="9" t="s">
        <v>22</v>
      </c>
      <c r="I17217" s="9" t="s">
        <v>34890</v>
      </c>
      <c r="J17217" s="10" t="str">
        <f>HYPERLINK("https://www.boe.es/gazeta/dias/1834/04/01/pdfs/GMD-1834-40.pdf#page=1","Abrir facsímil")</f>
        <v>Abrir facsímil</v>
      </c>
      <c r="K17217" s="10" t="s">
        <v>24</v>
      </c>
    </row>
    <row r="17218" spans="1:11" ht="54" customHeight="1">
      <c r="A17218" s="9" t="s">
        <v>34891</v>
      </c>
      <c r="B17218" s="9" t="s">
        <v>34892</v>
      </c>
      <c r="C17218" s="9" t="s">
        <v>17</v>
      </c>
      <c r="D17218" s="9" t="s">
        <v>18</v>
      </c>
      <c r="E17218" s="10" t="s">
        <v>785</v>
      </c>
      <c r="F17218" s="9" t="s">
        <v>786</v>
      </c>
      <c r="G17218" s="10" t="s">
        <v>34</v>
      </c>
      <c r="H17218" s="9" t="s">
        <v>22</v>
      </c>
      <c r="I17218" s="9" t="s">
        <v>34893</v>
      </c>
      <c r="J17218" s="10" t="str">
        <f>HYPERLINK("https://www.boe.es/gazeta/dias/1834/02/11/pdfs/GMD-1834-19.pdf#page=1","Abrir facsímil")</f>
        <v>Abrir facsímil</v>
      </c>
      <c r="K17218" s="10" t="s">
        <v>24</v>
      </c>
    </row>
    <row r="17219" spans="1:11" ht="54" customHeight="1">
      <c r="A17219" s="9" t="s">
        <v>34894</v>
      </c>
      <c r="B17219" s="9" t="s">
        <v>34895</v>
      </c>
      <c r="C17219" s="9" t="s">
        <v>17</v>
      </c>
      <c r="D17219" s="9" t="s">
        <v>18</v>
      </c>
      <c r="E17219" s="10" t="s">
        <v>785</v>
      </c>
      <c r="F17219" s="9" t="s">
        <v>786</v>
      </c>
      <c r="G17219" s="10" t="s">
        <v>34</v>
      </c>
      <c r="H17219" s="9" t="s">
        <v>22</v>
      </c>
      <c r="I17219" s="9" t="s">
        <v>34896</v>
      </c>
      <c r="J17219" s="10" t="str">
        <f>HYPERLINK("https://www.boe.es/gazeta/dias/1834/02/11/pdfs/GMD-1834-19.pdf#page=1","Abrir facsímil")</f>
        <v>Abrir facsímil</v>
      </c>
      <c r="K17219" s="10" t="s">
        <v>24</v>
      </c>
    </row>
    <row r="17220" spans="1:11" ht="54" customHeight="1">
      <c r="A17220" s="9" t="s">
        <v>34897</v>
      </c>
      <c r="B17220" s="9" t="s">
        <v>34898</v>
      </c>
      <c r="C17220" s="9" t="s">
        <v>90</v>
      </c>
      <c r="D17220" s="9" t="s">
        <v>101</v>
      </c>
      <c r="E17220" s="10" t="s">
        <v>785</v>
      </c>
      <c r="F17220" s="9" t="s">
        <v>786</v>
      </c>
      <c r="G17220" s="10" t="s">
        <v>34</v>
      </c>
      <c r="H17220" s="9" t="s">
        <v>22</v>
      </c>
      <c r="I17220" s="9" t="s">
        <v>34899</v>
      </c>
      <c r="J17220" s="10" t="str">
        <f>HYPERLINK("https://www.boe.es/gazeta/dias/1834/02/11/pdfs/GMD-1834-19.pdf#page=1","Abrir facsímil")</f>
        <v>Abrir facsímil</v>
      </c>
      <c r="K17220" s="10" t="s">
        <v>24</v>
      </c>
    </row>
    <row r="17221" spans="1:11" ht="54" customHeight="1">
      <c r="A17221" s="9" t="s">
        <v>34900</v>
      </c>
      <c r="B17221" s="9" t="s">
        <v>34901</v>
      </c>
      <c r="C17221" s="9" t="s">
        <v>17</v>
      </c>
      <c r="D17221" s="9" t="s">
        <v>101</v>
      </c>
      <c r="E17221" s="10" t="s">
        <v>753</v>
      </c>
      <c r="F17221" s="9" t="s">
        <v>754</v>
      </c>
      <c r="G17221" s="10" t="s">
        <v>34</v>
      </c>
      <c r="H17221" s="9" t="s">
        <v>22</v>
      </c>
      <c r="I17221" s="9" t="s">
        <v>34902</v>
      </c>
      <c r="J17221" s="10" t="str">
        <f>HYPERLINK("https://www.boe.es/gazeta/dias/1834/04/21/pdfs/GMD-1834-60.pdf#page=1","Abrir facsímil")</f>
        <v>Abrir facsímil</v>
      </c>
      <c r="K17221" s="10" t="s">
        <v>24</v>
      </c>
    </row>
    <row r="17222" spans="1:11" ht="54" customHeight="1">
      <c r="A17222" s="9" t="s">
        <v>34903</v>
      </c>
      <c r="B17222" s="9" t="s">
        <v>34903</v>
      </c>
      <c r="C17222" s="9" t="s">
        <v>90</v>
      </c>
      <c r="D17222" s="9" t="s">
        <v>101</v>
      </c>
      <c r="E17222" s="10" t="s">
        <v>724</v>
      </c>
      <c r="F17222" s="9" t="s">
        <v>725</v>
      </c>
      <c r="G17222" s="10" t="s">
        <v>34</v>
      </c>
      <c r="H17222" s="9" t="s">
        <v>22</v>
      </c>
      <c r="I17222" s="9" t="s">
        <v>34904</v>
      </c>
      <c r="J17222" s="10" t="str">
        <f>HYPERLINK("https://www.boe.es/gazeta/dias/1834/04/25/pdfs/GMD-1834-64.pdf#page=1","Abrir facsímil")</f>
        <v>Abrir facsímil</v>
      </c>
      <c r="K17222" s="10" t="s">
        <v>24</v>
      </c>
    </row>
    <row r="17223" spans="1:11" ht="54" customHeight="1">
      <c r="A17223" s="9" t="s">
        <v>34905</v>
      </c>
      <c r="B17223" s="9" t="s">
        <v>34906</v>
      </c>
      <c r="C17223" s="9" t="s">
        <v>122</v>
      </c>
      <c r="D17223" s="9" t="s">
        <v>18</v>
      </c>
      <c r="E17223" s="10" t="s">
        <v>724</v>
      </c>
      <c r="F17223" s="9" t="s">
        <v>725</v>
      </c>
      <c r="G17223" s="10" t="s">
        <v>34</v>
      </c>
      <c r="H17223" s="9" t="s">
        <v>22</v>
      </c>
      <c r="I17223" s="9" t="s">
        <v>34907</v>
      </c>
      <c r="J17223" s="10" t="str">
        <f>HYPERLINK("https://www.boe.es/gazeta/dias/1834/04/25/pdfs/GMD-1834-64.pdf#page=1","Abrir facsímil")</f>
        <v>Abrir facsímil</v>
      </c>
      <c r="K17223" s="10" t="s">
        <v>24</v>
      </c>
    </row>
    <row r="17224" spans="1:11" ht="54" customHeight="1">
      <c r="A17224" s="9" t="s">
        <v>34908</v>
      </c>
      <c r="B17224" s="9" t="s">
        <v>34909</v>
      </c>
      <c r="C17224" s="9" t="s">
        <v>90</v>
      </c>
      <c r="D17224" s="9" t="s">
        <v>18</v>
      </c>
      <c r="E17224" s="10" t="s">
        <v>1424</v>
      </c>
      <c r="F17224" s="9" t="s">
        <v>3445</v>
      </c>
      <c r="G17224" s="10" t="s">
        <v>34</v>
      </c>
      <c r="H17224" s="9" t="s">
        <v>22</v>
      </c>
      <c r="I17224" s="9" t="s">
        <v>34910</v>
      </c>
      <c r="J17224" s="10" t="str">
        <f>HYPERLINK("https://www.boe.es/gazeta/dias/1834/11/14/pdfs/GMD-1834-273.pdf#page=1","Abrir facsímil")</f>
        <v>Abrir facsímil</v>
      </c>
      <c r="K17224" s="10" t="s">
        <v>24</v>
      </c>
    </row>
    <row r="17225" spans="1:11" ht="54" customHeight="1">
      <c r="A17225" s="9" t="s">
        <v>34911</v>
      </c>
      <c r="B17225" s="9" t="s">
        <v>34912</v>
      </c>
      <c r="C17225" s="9" t="s">
        <v>17</v>
      </c>
      <c r="D17225" s="9" t="s">
        <v>101</v>
      </c>
      <c r="E17225" s="10" t="s">
        <v>32</v>
      </c>
      <c r="F17225" s="9" t="s">
        <v>33</v>
      </c>
      <c r="G17225" s="10" t="s">
        <v>34</v>
      </c>
      <c r="H17225" s="9" t="s">
        <v>35</v>
      </c>
      <c r="I17225" s="9" t="s">
        <v>34913</v>
      </c>
      <c r="J17225" s="10" t="str">
        <f>HYPERLINK("https://www.boe.es/gazeta/dias/1834/04/23/pdfs/GMD-1834-62.pdf#page=1","Abrir facsímil")</f>
        <v>Abrir facsímil</v>
      </c>
      <c r="K17225" s="10" t="s">
        <v>37</v>
      </c>
    </row>
    <row r="17226" spans="1:11" ht="54" customHeight="1">
      <c r="A17226" s="9" t="s">
        <v>34914</v>
      </c>
      <c r="B17226" s="9" t="s">
        <v>34915</v>
      </c>
      <c r="C17226" s="9" t="s">
        <v>66</v>
      </c>
      <c r="D17226" s="9" t="s">
        <v>67</v>
      </c>
      <c r="E17226" s="10" t="s">
        <v>217</v>
      </c>
      <c r="F17226" s="9" t="s">
        <v>218</v>
      </c>
      <c r="G17226" s="10" t="s">
        <v>34</v>
      </c>
      <c r="H17226" s="9" t="s">
        <v>35</v>
      </c>
      <c r="I17226" s="9" t="s">
        <v>34916</v>
      </c>
      <c r="J17226" s="10" t="str">
        <f>HYPERLINK("https://www.boe.es/gazeta/dias/1834/04/20/pdfs/GMD-1834-59.pdf#page=1","Abrir facsímil")</f>
        <v>Abrir facsímil</v>
      </c>
      <c r="K17226" s="10" t="s">
        <v>37</v>
      </c>
    </row>
    <row r="17227" spans="1:11" ht="54" customHeight="1">
      <c r="A17227" s="9" t="s">
        <v>34917</v>
      </c>
      <c r="B17227" s="9" t="s">
        <v>34918</v>
      </c>
      <c r="C17227" s="9" t="s">
        <v>90</v>
      </c>
      <c r="D17227" s="9" t="s">
        <v>18</v>
      </c>
      <c r="E17227" s="10" t="s">
        <v>258</v>
      </c>
      <c r="F17227" s="9" t="s">
        <v>1075</v>
      </c>
      <c r="G17227" s="10" t="s">
        <v>34</v>
      </c>
      <c r="H17227" s="9" t="s">
        <v>22</v>
      </c>
      <c r="I17227" s="9" t="s">
        <v>34919</v>
      </c>
      <c r="J17227" s="10" t="str">
        <f>HYPERLINK("https://www.boe.es/gazeta/dias/1834/10/09/pdfs/GMD-1834-237.pdf#page=1","Abrir facsímil")</f>
        <v>Abrir facsímil</v>
      </c>
      <c r="K17227" s="10" t="s">
        <v>24</v>
      </c>
    </row>
    <row r="17228" spans="1:11" ht="54" customHeight="1">
      <c r="A17228" s="9" t="s">
        <v>34920</v>
      </c>
      <c r="B17228" s="9" t="s">
        <v>34921</v>
      </c>
      <c r="C17228" s="9" t="s">
        <v>17</v>
      </c>
      <c r="D17228" s="9" t="s">
        <v>101</v>
      </c>
      <c r="E17228" s="10" t="s">
        <v>32</v>
      </c>
      <c r="F17228" s="9" t="s">
        <v>33</v>
      </c>
      <c r="G17228" s="10" t="s">
        <v>34</v>
      </c>
      <c r="H17228" s="9" t="s">
        <v>35</v>
      </c>
      <c r="I17228" s="9" t="s">
        <v>34922</v>
      </c>
      <c r="J17228" s="10" t="str">
        <f>HYPERLINK("https://www.boe.es/gazeta/dias/1834/04/23/pdfs/GMD-1834-62.pdf#page=1","Abrir facsímil")</f>
        <v>Abrir facsímil</v>
      </c>
      <c r="K17228" s="10" t="s">
        <v>37</v>
      </c>
    </row>
    <row r="17229" spans="1:11" ht="54" customHeight="1">
      <c r="A17229" s="9" t="s">
        <v>34923</v>
      </c>
      <c r="B17229" s="9" t="s">
        <v>34924</v>
      </c>
      <c r="C17229" s="9" t="s">
        <v>17</v>
      </c>
      <c r="D17229" s="9" t="s">
        <v>18</v>
      </c>
      <c r="E17229" s="10" t="s">
        <v>32</v>
      </c>
      <c r="F17229" s="9" t="s">
        <v>33</v>
      </c>
      <c r="G17229" s="10" t="s">
        <v>34</v>
      </c>
      <c r="H17229" s="9" t="s">
        <v>22</v>
      </c>
      <c r="I17229" s="9" t="s">
        <v>34925</v>
      </c>
      <c r="J17229" s="10" t="str">
        <f>HYPERLINK("https://www.boe.es/gazeta/dias/1834/04/23/pdfs/GMD-1834-62.pdf#page=1","Abrir facsímil")</f>
        <v>Abrir facsímil</v>
      </c>
      <c r="K17229" s="10" t="s">
        <v>24</v>
      </c>
    </row>
    <row r="17230" spans="1:11" ht="54" customHeight="1">
      <c r="A17230" s="9" t="s">
        <v>34926</v>
      </c>
      <c r="B17230" s="9" t="s">
        <v>34927</v>
      </c>
      <c r="C17230" s="9" t="s">
        <v>17</v>
      </c>
      <c r="D17230" s="9" t="s">
        <v>18</v>
      </c>
      <c r="E17230" s="10" t="s">
        <v>976</v>
      </c>
      <c r="F17230" s="9" t="s">
        <v>1061</v>
      </c>
      <c r="G17230" s="10" t="s">
        <v>34</v>
      </c>
      <c r="H17230" s="9" t="s">
        <v>22</v>
      </c>
      <c r="I17230" s="9" t="s">
        <v>34928</v>
      </c>
      <c r="J17230" s="10" t="str">
        <f>HYPERLINK("https://www.boe.es/gazeta/dias/1834/04/02/pdfs/GMD-C-1834-41.pdf#page=1","Abrir facsímil")</f>
        <v>Abrir facsímil</v>
      </c>
      <c r="K17230" s="10" t="s">
        <v>24</v>
      </c>
    </row>
    <row r="17231" spans="1:11" ht="54" customHeight="1">
      <c r="A17231" s="9" t="s">
        <v>34929</v>
      </c>
      <c r="B17231" s="9" t="s">
        <v>34930</v>
      </c>
      <c r="C17231" s="9" t="s">
        <v>66</v>
      </c>
      <c r="D17231" s="9" t="s">
        <v>67</v>
      </c>
      <c r="E17231" s="10" t="s">
        <v>217</v>
      </c>
      <c r="F17231" s="9" t="s">
        <v>218</v>
      </c>
      <c r="G17231" s="10" t="s">
        <v>34</v>
      </c>
      <c r="H17231" s="9" t="s">
        <v>22</v>
      </c>
      <c r="I17231" s="9" t="s">
        <v>34931</v>
      </c>
      <c r="J17231" s="10" t="str">
        <f>HYPERLINK("https://www.boe.es/gazeta/dias/1834/04/20/pdfs/GMD-1834-59.pdf#page=1","Abrir facsímil")</f>
        <v>Abrir facsímil</v>
      </c>
      <c r="K17231" s="10" t="s">
        <v>24</v>
      </c>
    </row>
    <row r="17232" spans="1:11" ht="54" customHeight="1">
      <c r="A17232" s="9" t="s">
        <v>34932</v>
      </c>
      <c r="B17232" s="9" t="s">
        <v>34933</v>
      </c>
      <c r="C17232" s="9" t="s">
        <v>90</v>
      </c>
      <c r="D17232" s="9" t="s">
        <v>18</v>
      </c>
      <c r="E17232" s="10" t="s">
        <v>563</v>
      </c>
      <c r="F17232" s="9" t="s">
        <v>564</v>
      </c>
      <c r="G17232" s="10" t="s">
        <v>34</v>
      </c>
      <c r="H17232" s="9" t="s">
        <v>22</v>
      </c>
      <c r="I17232" s="9" t="s">
        <v>34934</v>
      </c>
      <c r="J17232" s="10" t="str">
        <f>HYPERLINK("https://www.boe.es/gazeta/dias/1834/04/19/pdfs/GMD-1834-58.pdf#page=1","Abrir facsímil")</f>
        <v>Abrir facsímil</v>
      </c>
      <c r="K17232" s="10" t="s">
        <v>24</v>
      </c>
    </row>
    <row r="17233" spans="1:11" ht="54" customHeight="1">
      <c r="A17233" s="9" t="s">
        <v>34935</v>
      </c>
      <c r="B17233" s="9" t="s">
        <v>34936</v>
      </c>
      <c r="C17233" s="9" t="s">
        <v>17</v>
      </c>
      <c r="D17233" s="9" t="s">
        <v>40</v>
      </c>
      <c r="E17233" s="10" t="s">
        <v>258</v>
      </c>
      <c r="F17233" s="9" t="s">
        <v>1075</v>
      </c>
      <c r="G17233" s="10" t="s">
        <v>34</v>
      </c>
      <c r="H17233" s="9" t="s">
        <v>22</v>
      </c>
      <c r="I17233" s="9" t="s">
        <v>34937</v>
      </c>
      <c r="J17233" s="10" t="str">
        <f>HYPERLINK("https://www.boe.es/gazeta/dias/1834/10/09/pdfs/GMD-1834-237.pdf#page=1","Abrir facsímil")</f>
        <v>Abrir facsímil</v>
      </c>
      <c r="K17233" s="10" t="s">
        <v>24</v>
      </c>
    </row>
    <row r="17234" spans="1:11" ht="54" customHeight="1">
      <c r="A17234" s="9" t="s">
        <v>34938</v>
      </c>
      <c r="B17234" s="9" t="s">
        <v>34939</v>
      </c>
      <c r="C17234" s="9" t="s">
        <v>90</v>
      </c>
      <c r="D17234" s="9" t="s">
        <v>101</v>
      </c>
      <c r="E17234" s="10" t="s">
        <v>1669</v>
      </c>
      <c r="F17234" s="9" t="s">
        <v>1670</v>
      </c>
      <c r="G17234" s="10" t="s">
        <v>34</v>
      </c>
      <c r="H17234" s="9" t="s">
        <v>22</v>
      </c>
      <c r="I17234" s="9" t="s">
        <v>34940</v>
      </c>
      <c r="J17234" s="10" t="str">
        <f>HYPERLINK("https://www.boe.es/gazeta/dias/1834/06/19/pdfs/GMD-1834-122.pdf#page=1","Abrir facsímil")</f>
        <v>Abrir facsímil</v>
      </c>
      <c r="K17234" s="10" t="s">
        <v>24</v>
      </c>
    </row>
    <row r="17235" spans="1:11" ht="54" customHeight="1">
      <c r="A17235" s="9" t="s">
        <v>34941</v>
      </c>
      <c r="B17235" s="9" t="s">
        <v>34942</v>
      </c>
      <c r="C17235" s="9" t="s">
        <v>46</v>
      </c>
      <c r="D17235" s="9" t="s">
        <v>18</v>
      </c>
      <c r="E17235" s="10" t="s">
        <v>1424</v>
      </c>
      <c r="F17235" s="9" t="s">
        <v>3445</v>
      </c>
      <c r="G17235" s="10" t="s">
        <v>34</v>
      </c>
      <c r="H17235" s="9" t="s">
        <v>22</v>
      </c>
      <c r="I17235" s="9" t="s">
        <v>34943</v>
      </c>
      <c r="J17235" s="10" t="str">
        <f>HYPERLINK("https://www.boe.es/gazeta/dias/1834/11/14/pdfs/GMD-1834-273.pdf#page=1","Abrir facsímil")</f>
        <v>Abrir facsímil</v>
      </c>
      <c r="K17235" s="10" t="s">
        <v>24</v>
      </c>
    </row>
    <row r="17236" spans="1:11" ht="54" customHeight="1">
      <c r="A17236" s="9" t="s">
        <v>34944</v>
      </c>
      <c r="B17236" s="9" t="s">
        <v>34945</v>
      </c>
      <c r="C17236" s="9" t="s">
        <v>17</v>
      </c>
      <c r="D17236" s="9" t="s">
        <v>18</v>
      </c>
      <c r="E17236" s="10" t="s">
        <v>762</v>
      </c>
      <c r="F17236" s="9" t="s">
        <v>763</v>
      </c>
      <c r="G17236" s="10" t="s">
        <v>34</v>
      </c>
      <c r="H17236" s="9" t="s">
        <v>22</v>
      </c>
      <c r="I17236" s="9" t="s">
        <v>34946</v>
      </c>
      <c r="J17236" s="10" t="str">
        <f>HYPERLINK("https://www.boe.es/gazeta/dias/1834/11/07/pdfs/GMD-1834-266.pdf#page=1","Abrir facsímil")</f>
        <v>Abrir facsímil</v>
      </c>
      <c r="K17236" s="10" t="s">
        <v>24</v>
      </c>
    </row>
    <row r="17237" spans="1:11" ht="54" customHeight="1">
      <c r="A17237" s="9" t="s">
        <v>34947</v>
      </c>
      <c r="B17237" s="9" t="s">
        <v>34948</v>
      </c>
      <c r="C17237" s="9" t="s">
        <v>17</v>
      </c>
      <c r="D17237" s="9" t="s">
        <v>18</v>
      </c>
      <c r="E17237" s="10" t="s">
        <v>1333</v>
      </c>
      <c r="F17237" s="9" t="s">
        <v>1334</v>
      </c>
      <c r="G17237" s="10" t="s">
        <v>34</v>
      </c>
      <c r="H17237" s="9" t="s">
        <v>22</v>
      </c>
      <c r="I17237" s="9" t="s">
        <v>34949</v>
      </c>
      <c r="J17237" s="10" t="str">
        <f>HYPERLINK("https://www.boe.es/gazeta/dias/1834/04/01/pdfs/GMD-1834-40.pdf#page=1","Abrir facsímil")</f>
        <v>Abrir facsímil</v>
      </c>
      <c r="K17237" s="10" t="s">
        <v>24</v>
      </c>
    </row>
    <row r="17238" spans="1:11" ht="54" customHeight="1">
      <c r="A17238" s="9" t="s">
        <v>34950</v>
      </c>
      <c r="B17238" s="9" t="s">
        <v>34951</v>
      </c>
      <c r="C17238" s="9" t="s">
        <v>17</v>
      </c>
      <c r="D17238" s="9" t="s">
        <v>18</v>
      </c>
      <c r="E17238" s="10" t="s">
        <v>1333</v>
      </c>
      <c r="F17238" s="9" t="s">
        <v>1334</v>
      </c>
      <c r="G17238" s="10" t="s">
        <v>34</v>
      </c>
      <c r="H17238" s="9" t="s">
        <v>22</v>
      </c>
      <c r="I17238" s="9" t="s">
        <v>34952</v>
      </c>
      <c r="J17238" s="10" t="str">
        <f>HYPERLINK("https://www.boe.es/gazeta/dias/1834/04/01/pdfs/GMD-1834-40.pdf#page=1","Abrir facsímil")</f>
        <v>Abrir facsímil</v>
      </c>
      <c r="K17238" s="10" t="s">
        <v>24</v>
      </c>
    </row>
    <row r="17239" spans="1:11" ht="54" customHeight="1">
      <c r="A17239" s="9" t="s">
        <v>34953</v>
      </c>
      <c r="B17239" s="9" t="s">
        <v>34954</v>
      </c>
      <c r="C17239" s="9" t="s">
        <v>17</v>
      </c>
      <c r="D17239" s="9" t="s">
        <v>101</v>
      </c>
      <c r="E17239" s="10" t="s">
        <v>32</v>
      </c>
      <c r="F17239" s="9" t="s">
        <v>33</v>
      </c>
      <c r="G17239" s="10" t="s">
        <v>34</v>
      </c>
      <c r="H17239" s="9" t="s">
        <v>22</v>
      </c>
      <c r="I17239" s="9" t="s">
        <v>34955</v>
      </c>
      <c r="J17239" s="10" t="str">
        <f>HYPERLINK("https://www.boe.es/gazeta/dias/1834/04/23/pdfs/GMD-1834-62.pdf#page=1","Abrir facsímil")</f>
        <v>Abrir facsímil</v>
      </c>
      <c r="K17239" s="10" t="s">
        <v>24</v>
      </c>
    </row>
    <row r="17240" spans="1:11" ht="54" customHeight="1">
      <c r="A17240" s="9" t="s">
        <v>34956</v>
      </c>
      <c r="B17240" s="9" t="s">
        <v>34957</v>
      </c>
      <c r="C17240" s="9" t="s">
        <v>90</v>
      </c>
      <c r="D17240" s="9" t="s">
        <v>18</v>
      </c>
      <c r="E17240" s="10" t="s">
        <v>2860</v>
      </c>
      <c r="F17240" s="9" t="s">
        <v>2861</v>
      </c>
      <c r="G17240" s="10" t="s">
        <v>21</v>
      </c>
      <c r="H17240" s="9" t="s">
        <v>22</v>
      </c>
      <c r="I17240" s="9" t="s">
        <v>34958</v>
      </c>
      <c r="J17240" s="10" t="str">
        <f>HYPERLINK("https://www.boe.es/gazeta/dias/1834/07/20/pdfs/GMD-1834-153.pdf#page=3","Abrir facsímil")</f>
        <v>Abrir facsímil</v>
      </c>
      <c r="K17240" s="10" t="s">
        <v>24</v>
      </c>
    </row>
    <row r="17241" spans="1:11" ht="54" customHeight="1">
      <c r="A17241" s="9" t="s">
        <v>34959</v>
      </c>
      <c r="B17241" s="9" t="s">
        <v>34959</v>
      </c>
      <c r="C17241" s="9" t="s">
        <v>17</v>
      </c>
      <c r="D17241" s="9" t="s">
        <v>18</v>
      </c>
      <c r="E17241" s="10" t="s">
        <v>217</v>
      </c>
      <c r="F17241" s="9" t="s">
        <v>218</v>
      </c>
      <c r="G17241" s="10" t="s">
        <v>21</v>
      </c>
      <c r="H17241" s="9" t="s">
        <v>22</v>
      </c>
      <c r="I17241" s="9" t="s">
        <v>34960</v>
      </c>
      <c r="J17241" s="10" t="str">
        <f>HYPERLINK("https://www.boe.es/gazeta/dias/1834/04/20/pdfs/GMD-1834-59.pdf#page=3","Abrir facsímil")</f>
        <v>Abrir facsímil</v>
      </c>
      <c r="K17241" s="10" t="s">
        <v>24</v>
      </c>
    </row>
    <row r="17242" spans="1:11" ht="54" customHeight="1">
      <c r="A17242" s="9" t="s">
        <v>34961</v>
      </c>
      <c r="B17242" s="9" t="s">
        <v>34962</v>
      </c>
      <c r="C17242" s="9" t="s">
        <v>66</v>
      </c>
      <c r="D17242" s="9" t="s">
        <v>67</v>
      </c>
      <c r="E17242" s="10" t="s">
        <v>2379</v>
      </c>
      <c r="F17242" s="9" t="s">
        <v>2380</v>
      </c>
      <c r="G17242" s="10" t="s">
        <v>21</v>
      </c>
      <c r="H17242" s="9" t="s">
        <v>22</v>
      </c>
      <c r="I17242" s="9" t="s">
        <v>34963</v>
      </c>
      <c r="J17242" s="10" t="str">
        <f>HYPERLINK("https://www.boe.es/gazeta/dias/1834/04/03/pdfs/GMD-1834-42.pdf#page=3","Abrir facsímil")</f>
        <v>Abrir facsímil</v>
      </c>
      <c r="K17242" s="10" t="s">
        <v>24</v>
      </c>
    </row>
    <row r="17243" spans="1:11" ht="54" customHeight="1">
      <c r="A17243" s="9" t="s">
        <v>34964</v>
      </c>
      <c r="B17243" s="9" t="s">
        <v>34964</v>
      </c>
      <c r="C17243" s="9" t="s">
        <v>17</v>
      </c>
      <c r="D17243" s="9" t="s">
        <v>18</v>
      </c>
      <c r="E17243" s="10" t="s">
        <v>273</v>
      </c>
      <c r="F17243" s="9" t="s">
        <v>413</v>
      </c>
      <c r="G17243" s="10" t="s">
        <v>86</v>
      </c>
      <c r="H17243" s="9" t="s">
        <v>22</v>
      </c>
      <c r="I17243" s="9" t="s">
        <v>34965</v>
      </c>
      <c r="J17243" s="10" t="str">
        <f>HYPERLINK("https://www.boe.es/gazeta/dias/1834/08/31/pdfs/GMD-1834-198.pdf#page=2","Abrir facsímil")</f>
        <v>Abrir facsímil</v>
      </c>
      <c r="K17243" s="10" t="s">
        <v>24</v>
      </c>
    </row>
    <row r="17244" spans="1:11" ht="54" customHeight="1">
      <c r="A17244" s="9" t="s">
        <v>34966</v>
      </c>
      <c r="B17244" s="9" t="s">
        <v>34966</v>
      </c>
      <c r="C17244" s="9" t="s">
        <v>46</v>
      </c>
      <c r="D17244" s="9" t="s">
        <v>101</v>
      </c>
      <c r="E17244" s="10" t="s">
        <v>2729</v>
      </c>
      <c r="F17244" s="9" t="s">
        <v>2730</v>
      </c>
      <c r="G17244" s="10" t="s">
        <v>34</v>
      </c>
      <c r="H17244" s="9" t="s">
        <v>22</v>
      </c>
      <c r="I17244" s="9" t="s">
        <v>34967</v>
      </c>
      <c r="J17244" s="10" t="str">
        <f>HYPERLINK("https://www.boe.es/gazeta/dias/1834/07/02/pdfs/GMD-1834-135.pdf#page=1","Abrir facsímil")</f>
        <v>Abrir facsímil</v>
      </c>
      <c r="K17244" s="10" t="s">
        <v>24</v>
      </c>
    </row>
    <row r="17245" spans="1:11" ht="54" customHeight="1">
      <c r="A17245" s="9" t="s">
        <v>34966</v>
      </c>
      <c r="B17245" s="9" t="s">
        <v>34966</v>
      </c>
      <c r="C17245" s="9" t="s">
        <v>46</v>
      </c>
      <c r="D17245" s="9" t="s">
        <v>101</v>
      </c>
      <c r="E17245" s="10" t="s">
        <v>355</v>
      </c>
      <c r="F17245" s="9" t="s">
        <v>356</v>
      </c>
      <c r="G17245" s="10" t="s">
        <v>34</v>
      </c>
      <c r="H17245" s="9" t="s">
        <v>22</v>
      </c>
      <c r="I17245" s="9" t="s">
        <v>34968</v>
      </c>
      <c r="J17245" s="10" t="str">
        <f>HYPERLINK("https://www.boe.es/gazeta/dias/1834/07/04/pdfs/GMD-1834-137.pdf#page=1","Abrir facsímil")</f>
        <v>Abrir facsímil</v>
      </c>
      <c r="K17245" s="10" t="s">
        <v>24</v>
      </c>
    </row>
    <row r="17246" spans="1:11" ht="54" customHeight="1">
      <c r="A17246" s="9" t="s">
        <v>34966</v>
      </c>
      <c r="B17246" s="9" t="s">
        <v>34966</v>
      </c>
      <c r="C17246" s="9" t="s">
        <v>66</v>
      </c>
      <c r="D17246" s="9" t="s">
        <v>67</v>
      </c>
      <c r="E17246" s="10" t="s">
        <v>426</v>
      </c>
      <c r="F17246" s="9" t="s">
        <v>427</v>
      </c>
      <c r="G17246" s="10" t="s">
        <v>21</v>
      </c>
      <c r="H17246" s="9" t="s">
        <v>22</v>
      </c>
      <c r="I17246" s="9" t="s">
        <v>34969</v>
      </c>
      <c r="J17246" s="10" t="str">
        <f>HYPERLINK("https://www.boe.es/gazeta/dias/1834/10/04/pdfs/GMD-1834-232.pdf#page=3","Abrir facsímil")</f>
        <v>Abrir facsímil</v>
      </c>
      <c r="K17246" s="10" t="s">
        <v>24</v>
      </c>
    </row>
    <row r="17247" spans="1:11" ht="54" customHeight="1">
      <c r="A17247" s="9" t="s">
        <v>34966</v>
      </c>
      <c r="B17247" s="9" t="s">
        <v>34966</v>
      </c>
      <c r="C17247" s="9" t="s">
        <v>17</v>
      </c>
      <c r="D17247" s="9" t="s">
        <v>18</v>
      </c>
      <c r="E17247" s="10" t="s">
        <v>3699</v>
      </c>
      <c r="F17247" s="9" t="s">
        <v>6179</v>
      </c>
      <c r="G17247" s="10" t="s">
        <v>34</v>
      </c>
      <c r="H17247" s="9" t="s">
        <v>22</v>
      </c>
      <c r="I17247" s="9" t="s">
        <v>34970</v>
      </c>
      <c r="J17247" s="10" t="str">
        <f>HYPERLINK("https://www.boe.es/gazeta/dias/1834/02/06/pdfs/GMD-D-1834-17.pdf#page=1","Abrir facsímil")</f>
        <v>Abrir facsímil</v>
      </c>
      <c r="K17247" s="10" t="s">
        <v>24</v>
      </c>
    </row>
    <row r="17248" spans="1:11" ht="54" customHeight="1">
      <c r="A17248" s="9" t="s">
        <v>34966</v>
      </c>
      <c r="B17248" s="9" t="s">
        <v>34966</v>
      </c>
      <c r="C17248" s="9" t="s">
        <v>46</v>
      </c>
      <c r="D17248" s="9" t="s">
        <v>101</v>
      </c>
      <c r="E17248" s="10" t="s">
        <v>734</v>
      </c>
      <c r="F17248" s="9" t="s">
        <v>735</v>
      </c>
      <c r="G17248" s="10" t="s">
        <v>21</v>
      </c>
      <c r="H17248" s="9" t="s">
        <v>22</v>
      </c>
      <c r="I17248" s="9" t="s">
        <v>34971</v>
      </c>
      <c r="J17248" s="10" t="str">
        <f>HYPERLINK("https://www.boe.es/gazeta/dias/1834/05/06/pdfs/GMD-1834-75.pdf#page=3","Abrir facsímil")</f>
        <v>Abrir facsímil</v>
      </c>
      <c r="K17248" s="10" t="s">
        <v>24</v>
      </c>
    </row>
    <row r="17249" spans="1:11" ht="54" customHeight="1">
      <c r="A17249" s="9" t="s">
        <v>34966</v>
      </c>
      <c r="B17249" s="9" t="s">
        <v>34966</v>
      </c>
      <c r="C17249" s="9" t="s">
        <v>66</v>
      </c>
      <c r="D17249" s="9" t="s">
        <v>67</v>
      </c>
      <c r="E17249" s="10" t="s">
        <v>1556</v>
      </c>
      <c r="F17249" s="9" t="s">
        <v>1557</v>
      </c>
      <c r="G17249" s="10" t="s">
        <v>86</v>
      </c>
      <c r="H17249" s="9" t="s">
        <v>22</v>
      </c>
      <c r="I17249" s="9" t="s">
        <v>34972</v>
      </c>
      <c r="J17249" s="10" t="str">
        <f>HYPERLINK("https://www.boe.es/gazeta/dias/1834/06/06/pdfs/GMD-1834-108.pdf#page=2","Abrir facsímil")</f>
        <v>Abrir facsímil</v>
      </c>
      <c r="K17249" s="10" t="s">
        <v>24</v>
      </c>
    </row>
    <row r="17250" spans="1:11" ht="54" customHeight="1">
      <c r="A17250" s="9" t="s">
        <v>34966</v>
      </c>
      <c r="B17250" s="9" t="s">
        <v>34966</v>
      </c>
      <c r="C17250" s="9" t="s">
        <v>17</v>
      </c>
      <c r="D17250" s="9" t="s">
        <v>18</v>
      </c>
      <c r="E17250" s="10" t="s">
        <v>860</v>
      </c>
      <c r="F17250" s="9" t="s">
        <v>1755</v>
      </c>
      <c r="G17250" s="10" t="s">
        <v>34</v>
      </c>
      <c r="H17250" s="9" t="s">
        <v>22</v>
      </c>
      <c r="I17250" s="9" t="s">
        <v>34973</v>
      </c>
      <c r="J17250" s="10" t="str">
        <f>HYPERLINK("https://www.boe.es/gazeta/dias/1834/02/08/pdfs/GMD-C-1834-18.pdf#page=1","Abrir facsímil")</f>
        <v>Abrir facsímil</v>
      </c>
      <c r="K17250" s="10" t="s">
        <v>24</v>
      </c>
    </row>
    <row r="17251" spans="1:11" ht="54" customHeight="1">
      <c r="A17251" s="9" t="s">
        <v>34966</v>
      </c>
      <c r="B17251" s="9" t="s">
        <v>34966</v>
      </c>
      <c r="C17251" s="9" t="s">
        <v>17</v>
      </c>
      <c r="D17251" s="9" t="s">
        <v>18</v>
      </c>
      <c r="E17251" s="10" t="s">
        <v>1505</v>
      </c>
      <c r="F17251" s="9" t="s">
        <v>1506</v>
      </c>
      <c r="G17251" s="10" t="s">
        <v>21</v>
      </c>
      <c r="H17251" s="9" t="s">
        <v>22</v>
      </c>
      <c r="I17251" s="9" t="s">
        <v>34974</v>
      </c>
      <c r="J17251" s="10" t="str">
        <f>HYPERLINK("https://www.boe.es/gazeta/dias/1834/05/08/pdfs/GMD-1834-77.pdf#page=3","Abrir facsímil")</f>
        <v>Abrir facsímil</v>
      </c>
      <c r="K17251" s="10" t="s">
        <v>24</v>
      </c>
    </row>
    <row r="17252" spans="1:11" ht="54" customHeight="1">
      <c r="A17252" s="9" t="s">
        <v>34966</v>
      </c>
      <c r="B17252" s="9" t="s">
        <v>34966</v>
      </c>
      <c r="C17252" s="9" t="s">
        <v>66</v>
      </c>
      <c r="D17252" s="9" t="s">
        <v>67</v>
      </c>
      <c r="E17252" s="10" t="s">
        <v>1094</v>
      </c>
      <c r="F17252" s="9" t="s">
        <v>1095</v>
      </c>
      <c r="G17252" s="10" t="s">
        <v>75</v>
      </c>
      <c r="H17252" s="9" t="s">
        <v>22</v>
      </c>
      <c r="I17252" s="9" t="s">
        <v>34975</v>
      </c>
      <c r="J17252" s="10" t="str">
        <f>HYPERLINK("https://www.boe.es/gazeta/dias/1834/07/13/pdfs/GMD-1834-146.pdf#page=4","Abrir facsímil")</f>
        <v>Abrir facsímil</v>
      </c>
      <c r="K17252" s="10" t="s">
        <v>24</v>
      </c>
    </row>
    <row r="17253" spans="1:11" ht="54" customHeight="1">
      <c r="A17253" s="9" t="s">
        <v>34966</v>
      </c>
      <c r="B17253" s="9" t="s">
        <v>34966</v>
      </c>
      <c r="C17253" s="9" t="s">
        <v>66</v>
      </c>
      <c r="D17253" s="9" t="s">
        <v>67</v>
      </c>
      <c r="E17253" s="10" t="s">
        <v>479</v>
      </c>
      <c r="F17253" s="9" t="s">
        <v>480</v>
      </c>
      <c r="G17253" s="10" t="s">
        <v>21</v>
      </c>
      <c r="H17253" s="9" t="s">
        <v>22</v>
      </c>
      <c r="I17253" s="9" t="s">
        <v>34976</v>
      </c>
      <c r="J17253" s="10" t="str">
        <f>HYPERLINK("https://www.boe.es/gazeta/dias/1834/08/13/pdfs/GMD-1834-178.pdf#page=3","Abrir facsímil")</f>
        <v>Abrir facsímil</v>
      </c>
      <c r="K17253" s="10" t="s">
        <v>24</v>
      </c>
    </row>
    <row r="17254" spans="1:11" ht="54" customHeight="1">
      <c r="A17254" s="9" t="s">
        <v>34966</v>
      </c>
      <c r="B17254" s="9" t="s">
        <v>34966</v>
      </c>
      <c r="C17254" s="9" t="s">
        <v>90</v>
      </c>
      <c r="D17254" s="9" t="s">
        <v>18</v>
      </c>
      <c r="E17254" s="10" t="s">
        <v>1394</v>
      </c>
      <c r="F17254" s="9" t="s">
        <v>1395</v>
      </c>
      <c r="G17254" s="10" t="s">
        <v>21</v>
      </c>
      <c r="H17254" s="9" t="s">
        <v>22</v>
      </c>
      <c r="I17254" s="9" t="s">
        <v>34977</v>
      </c>
      <c r="J17254" s="10" t="str">
        <f>HYPERLINK("https://www.boe.es/gazeta/dias/1834/04/16/pdfs/GMD-1834-55.pdf#page=3","Abrir facsímil")</f>
        <v>Abrir facsímil</v>
      </c>
      <c r="K17254" s="10" t="s">
        <v>24</v>
      </c>
    </row>
    <row r="17255" spans="1:11" ht="54" customHeight="1">
      <c r="A17255" s="9" t="s">
        <v>34966</v>
      </c>
      <c r="B17255" s="9" t="s">
        <v>34966</v>
      </c>
      <c r="C17255" s="9" t="s">
        <v>66</v>
      </c>
      <c r="D17255" s="9" t="s">
        <v>67</v>
      </c>
      <c r="E17255" s="10" t="s">
        <v>772</v>
      </c>
      <c r="F17255" s="9" t="s">
        <v>773</v>
      </c>
      <c r="G17255" s="10" t="s">
        <v>75</v>
      </c>
      <c r="H17255" s="9" t="s">
        <v>22</v>
      </c>
      <c r="I17255" s="9" t="s">
        <v>34978</v>
      </c>
      <c r="J17255" s="10" t="str">
        <f>HYPERLINK("https://www.boe.es/gazeta/dias/1834/09/18/pdfs/GMD-1834-216.pdf#page=4","Abrir facsímil")</f>
        <v>Abrir facsímil</v>
      </c>
      <c r="K17255" s="10" t="s">
        <v>24</v>
      </c>
    </row>
    <row r="17256" spans="1:11" ht="54" customHeight="1">
      <c r="A17256" s="9" t="s">
        <v>34966</v>
      </c>
      <c r="B17256" s="9" t="s">
        <v>34966</v>
      </c>
      <c r="C17256" s="9" t="s">
        <v>17</v>
      </c>
      <c r="D17256" s="9" t="s">
        <v>18</v>
      </c>
      <c r="E17256" s="10" t="s">
        <v>2860</v>
      </c>
      <c r="F17256" s="9" t="s">
        <v>2861</v>
      </c>
      <c r="G17256" s="10" t="s">
        <v>75</v>
      </c>
      <c r="H17256" s="9" t="s">
        <v>22</v>
      </c>
      <c r="I17256" s="9" t="s">
        <v>34979</v>
      </c>
      <c r="J17256" s="10" t="str">
        <f>HYPERLINK("https://www.boe.es/gazeta/dias/1834/07/20/pdfs/GMD-1834-153.pdf#page=4","Abrir facsímil")</f>
        <v>Abrir facsímil</v>
      </c>
      <c r="K17256" s="10" t="s">
        <v>24</v>
      </c>
    </row>
    <row r="17257" spans="1:11" ht="54" customHeight="1">
      <c r="A17257" s="9" t="s">
        <v>34966</v>
      </c>
      <c r="B17257" s="9" t="s">
        <v>34966</v>
      </c>
      <c r="C17257" s="9" t="s">
        <v>17</v>
      </c>
      <c r="D17257" s="9" t="s">
        <v>18</v>
      </c>
      <c r="E17257" s="10" t="s">
        <v>1239</v>
      </c>
      <c r="F17257" s="9" t="s">
        <v>1240</v>
      </c>
      <c r="G17257" s="10" t="s">
        <v>21</v>
      </c>
      <c r="H17257" s="9" t="s">
        <v>22</v>
      </c>
      <c r="I17257" s="9" t="s">
        <v>34980</v>
      </c>
      <c r="J17257" s="10" t="str">
        <f>HYPERLINK("https://www.boe.es/gazeta/dias/1834/08/20/pdfs/GMD-1834-186.pdf#page=3","Abrir facsímil")</f>
        <v>Abrir facsímil</v>
      </c>
      <c r="K17257" s="10" t="s">
        <v>24</v>
      </c>
    </row>
    <row r="17258" spans="1:11" ht="54" customHeight="1">
      <c r="A17258" s="9" t="s">
        <v>34966</v>
      </c>
      <c r="B17258" s="9" t="s">
        <v>34966</v>
      </c>
      <c r="C17258" s="9" t="s">
        <v>66</v>
      </c>
      <c r="D17258" s="9" t="s">
        <v>67</v>
      </c>
      <c r="E17258" s="10" t="s">
        <v>8279</v>
      </c>
      <c r="F17258" s="9" t="s">
        <v>16809</v>
      </c>
      <c r="G17258" s="10" t="s">
        <v>34</v>
      </c>
      <c r="H17258" s="9" t="s">
        <v>22</v>
      </c>
      <c r="I17258" s="9" t="s">
        <v>34981</v>
      </c>
      <c r="J17258" s="10" t="str">
        <f>HYPERLINK("https://www.boe.es/gazeta/dias/1834/04/22/pdfs/GMD-C-1834-61.pdf#page=1","Abrir facsímil")</f>
        <v>Abrir facsímil</v>
      </c>
      <c r="K17258" s="10" t="s">
        <v>24</v>
      </c>
    </row>
    <row r="17259" spans="1:11" ht="54" customHeight="1">
      <c r="A17259" s="9" t="s">
        <v>34966</v>
      </c>
      <c r="B17259" s="9" t="s">
        <v>34966</v>
      </c>
      <c r="C17259" s="9" t="s">
        <v>66</v>
      </c>
      <c r="D17259" s="9" t="s">
        <v>67</v>
      </c>
      <c r="E17259" s="10" t="s">
        <v>702</v>
      </c>
      <c r="F17259" s="9" t="s">
        <v>2427</v>
      </c>
      <c r="G17259" s="10" t="s">
        <v>75</v>
      </c>
      <c r="H17259" s="9" t="s">
        <v>22</v>
      </c>
      <c r="I17259" s="9" t="s">
        <v>34982</v>
      </c>
      <c r="J17259" s="10" t="str">
        <f>HYPERLINK("https://www.boe.es/gazeta/dias/1834/11/22/pdfs/GMD-1834-281.pdf#page=4","Abrir facsímil")</f>
        <v>Abrir facsímil</v>
      </c>
      <c r="K17259" s="10" t="s">
        <v>24</v>
      </c>
    </row>
    <row r="17260" spans="1:11" ht="54" customHeight="1">
      <c r="A17260" s="9" t="s">
        <v>34966</v>
      </c>
      <c r="B17260" s="9" t="s">
        <v>34966</v>
      </c>
      <c r="C17260" s="9" t="s">
        <v>17</v>
      </c>
      <c r="D17260" s="9" t="s">
        <v>40</v>
      </c>
      <c r="E17260" s="10" t="s">
        <v>739</v>
      </c>
      <c r="F17260" s="9" t="s">
        <v>740</v>
      </c>
      <c r="G17260" s="10" t="s">
        <v>75</v>
      </c>
      <c r="H17260" s="9" t="s">
        <v>22</v>
      </c>
      <c r="I17260" s="9" t="s">
        <v>34983</v>
      </c>
      <c r="J17260" s="10" t="str">
        <f>HYPERLINK("https://www.boe.es/gazeta/dias/1834/03/25/pdfs/GMD-1834-37.pdf#page=4","Abrir facsímil")</f>
        <v>Abrir facsímil</v>
      </c>
      <c r="K17260" s="10" t="s">
        <v>24</v>
      </c>
    </row>
    <row r="17261" spans="1:11" ht="54" customHeight="1">
      <c r="A17261" s="9" t="s">
        <v>34966</v>
      </c>
      <c r="B17261" s="9" t="s">
        <v>34966</v>
      </c>
      <c r="C17261" s="9" t="s">
        <v>66</v>
      </c>
      <c r="D17261" s="9" t="s">
        <v>67</v>
      </c>
      <c r="E17261" s="10" t="s">
        <v>724</v>
      </c>
      <c r="F17261" s="9" t="s">
        <v>725</v>
      </c>
      <c r="G17261" s="10" t="s">
        <v>75</v>
      </c>
      <c r="H17261" s="9" t="s">
        <v>22</v>
      </c>
      <c r="I17261" s="9" t="s">
        <v>34984</v>
      </c>
      <c r="J17261" s="10" t="str">
        <f>HYPERLINK("https://www.boe.es/gazeta/dias/1834/04/25/pdfs/GMD-1834-64.pdf#page=4","Abrir facsímil")</f>
        <v>Abrir facsímil</v>
      </c>
      <c r="K17261" s="10" t="s">
        <v>24</v>
      </c>
    </row>
    <row r="17262" spans="1:11" ht="54" customHeight="1">
      <c r="A17262" s="9" t="s">
        <v>34966</v>
      </c>
      <c r="B17262" s="9" t="s">
        <v>34966</v>
      </c>
      <c r="C17262" s="9" t="s">
        <v>46</v>
      </c>
      <c r="D17262" s="9" t="s">
        <v>18</v>
      </c>
      <c r="E17262" s="10" t="s">
        <v>403</v>
      </c>
      <c r="F17262" s="9" t="s">
        <v>3456</v>
      </c>
      <c r="G17262" s="10" t="s">
        <v>86</v>
      </c>
      <c r="H17262" s="9" t="s">
        <v>22</v>
      </c>
      <c r="I17262" s="9" t="s">
        <v>34985</v>
      </c>
      <c r="J17262" s="10" t="str">
        <f>HYPERLINK("https://www.boe.es/gazeta/dias/1834/09/25/pdfs/GMD-1834-223.pdf#page=2","Abrir facsímil")</f>
        <v>Abrir facsímil</v>
      </c>
      <c r="K17262" s="10" t="s">
        <v>24</v>
      </c>
    </row>
    <row r="17263" spans="1:11" ht="54" customHeight="1">
      <c r="A17263" s="9" t="s">
        <v>34966</v>
      </c>
      <c r="B17263" s="9" t="s">
        <v>34966</v>
      </c>
      <c r="C17263" s="9" t="s">
        <v>66</v>
      </c>
      <c r="D17263" s="9" t="s">
        <v>67</v>
      </c>
      <c r="E17263" s="10" t="s">
        <v>7523</v>
      </c>
      <c r="F17263" s="9" t="s">
        <v>7524</v>
      </c>
      <c r="G17263" s="10" t="s">
        <v>21</v>
      </c>
      <c r="H17263" s="9" t="s">
        <v>22</v>
      </c>
      <c r="I17263" s="9" t="s">
        <v>34986</v>
      </c>
      <c r="J17263" s="10" t="str">
        <f>HYPERLINK("https://www.boe.es/gazeta/dias/1834/12/26/pdfs/GMD-1834-316.pdf#page=3","Abrir facsímil")</f>
        <v>Abrir facsímil</v>
      </c>
      <c r="K17263" s="10" t="s">
        <v>24</v>
      </c>
    </row>
    <row r="17264" spans="1:11" ht="54" customHeight="1">
      <c r="A17264" s="9" t="s">
        <v>34966</v>
      </c>
      <c r="B17264" s="9" t="s">
        <v>34966</v>
      </c>
      <c r="C17264" s="9" t="s">
        <v>46</v>
      </c>
      <c r="D17264" s="9" t="s">
        <v>101</v>
      </c>
      <c r="E17264" s="10" t="s">
        <v>1680</v>
      </c>
      <c r="F17264" s="9" t="s">
        <v>1681</v>
      </c>
      <c r="G17264" s="10" t="s">
        <v>21</v>
      </c>
      <c r="H17264" s="9" t="s">
        <v>22</v>
      </c>
      <c r="I17264" s="9" t="s">
        <v>34987</v>
      </c>
      <c r="J17264" s="10" t="str">
        <f>HYPERLINK("https://www.boe.es/gazeta/dias/1834/02/27/pdfs/GMD-1834-26.pdf#page=3","Abrir facsímil")</f>
        <v>Abrir facsímil</v>
      </c>
      <c r="K17264" s="10" t="s">
        <v>24</v>
      </c>
    </row>
    <row r="17265" spans="1:11" ht="54" customHeight="1">
      <c r="A17265" s="9" t="s">
        <v>34966</v>
      </c>
      <c r="B17265" s="9" t="s">
        <v>34966</v>
      </c>
      <c r="C17265" s="9" t="s">
        <v>17</v>
      </c>
      <c r="D17265" s="9" t="s">
        <v>18</v>
      </c>
      <c r="E17265" s="10" t="s">
        <v>174</v>
      </c>
      <c r="F17265" s="9" t="s">
        <v>175</v>
      </c>
      <c r="G17265" s="10" t="s">
        <v>75</v>
      </c>
      <c r="H17265" s="9" t="s">
        <v>22</v>
      </c>
      <c r="I17265" s="9" t="s">
        <v>34988</v>
      </c>
      <c r="J17265" s="10" t="str">
        <f>HYPERLINK("https://www.boe.es/gazeta/dias/1834/03/27/pdfs/GMD-1834-38.pdf#page=4","Abrir facsímil")</f>
        <v>Abrir facsímil</v>
      </c>
      <c r="K17265" s="10" t="s">
        <v>24</v>
      </c>
    </row>
    <row r="17266" spans="1:11" ht="54" customHeight="1">
      <c r="A17266" s="9" t="s">
        <v>34966</v>
      </c>
      <c r="B17266" s="9" t="s">
        <v>34966</v>
      </c>
      <c r="C17266" s="9" t="s">
        <v>17</v>
      </c>
      <c r="D17266" s="9" t="s">
        <v>40</v>
      </c>
      <c r="E17266" s="10" t="s">
        <v>462</v>
      </c>
      <c r="F17266" s="9" t="s">
        <v>2110</v>
      </c>
      <c r="G17266" s="10" t="s">
        <v>21</v>
      </c>
      <c r="H17266" s="9" t="s">
        <v>22</v>
      </c>
      <c r="I17266" s="9" t="s">
        <v>34989</v>
      </c>
      <c r="J17266" s="10" t="str">
        <f>HYPERLINK("https://www.boe.es/gazeta/dias/1834/08/27/pdfs/GMD-1834-193.pdf#page=3","Abrir facsímil")</f>
        <v>Abrir facsímil</v>
      </c>
      <c r="K17266" s="10" t="s">
        <v>24</v>
      </c>
    </row>
    <row r="17267" spans="1:11" ht="54" customHeight="1">
      <c r="A17267" s="9" t="s">
        <v>34966</v>
      </c>
      <c r="B17267" s="9" t="s">
        <v>34966</v>
      </c>
      <c r="C17267" s="9" t="s">
        <v>17</v>
      </c>
      <c r="D17267" s="9" t="s">
        <v>18</v>
      </c>
      <c r="E17267" s="10" t="s">
        <v>899</v>
      </c>
      <c r="F17267" s="9" t="s">
        <v>900</v>
      </c>
      <c r="G17267" s="10" t="s">
        <v>176</v>
      </c>
      <c r="H17267" s="9" t="s">
        <v>22</v>
      </c>
      <c r="I17267" s="9" t="s">
        <v>34990</v>
      </c>
      <c r="J17267" s="10" t="str">
        <f>HYPERLINK("https://www.boe.es/gazeta/dias/1834/01/30/pdfs/GMD-1834-14.pdf#page=6","Abrir facsímil")</f>
        <v>Abrir facsímil</v>
      </c>
      <c r="K17267" s="10" t="s">
        <v>24</v>
      </c>
    </row>
    <row r="17268" spans="1:11" ht="54" customHeight="1">
      <c r="A17268" s="9" t="s">
        <v>34966</v>
      </c>
      <c r="B17268" s="9" t="s">
        <v>34966</v>
      </c>
      <c r="C17268" s="9" t="s">
        <v>66</v>
      </c>
      <c r="D17268" s="9" t="s">
        <v>67</v>
      </c>
      <c r="E17268" s="10" t="s">
        <v>899</v>
      </c>
      <c r="F17268" s="9" t="s">
        <v>900</v>
      </c>
      <c r="G17268" s="10" t="s">
        <v>560</v>
      </c>
      <c r="H17268" s="9" t="s">
        <v>22</v>
      </c>
      <c r="I17268" s="9" t="s">
        <v>34991</v>
      </c>
      <c r="J17268" s="10" t="str">
        <f>HYPERLINK("https://www.boe.es/gazeta/dias/1834/01/30/pdfs/GMD-1834-14.pdf#page=7","Abrir facsímil")</f>
        <v>Abrir facsímil</v>
      </c>
      <c r="K17268" s="10" t="s">
        <v>24</v>
      </c>
    </row>
    <row r="17269" spans="1:11" ht="54" customHeight="1">
      <c r="A17269" s="9" t="s">
        <v>34966</v>
      </c>
      <c r="B17269" s="9" t="s">
        <v>34966</v>
      </c>
      <c r="C17269" s="9" t="s">
        <v>66</v>
      </c>
      <c r="D17269" s="9" t="s">
        <v>67</v>
      </c>
      <c r="E17269" s="10" t="s">
        <v>143</v>
      </c>
      <c r="F17269" s="9" t="s">
        <v>144</v>
      </c>
      <c r="G17269" s="10" t="s">
        <v>21</v>
      </c>
      <c r="H17269" s="9" t="s">
        <v>22</v>
      </c>
      <c r="I17269" s="9" t="s">
        <v>34992</v>
      </c>
      <c r="J17269" s="10" t="str">
        <f>HYPERLINK("https://www.boe.es/gazeta/dias/1834/07/31/pdfs/GMD-1834-164.pdf#page=3","Abrir facsímil")</f>
        <v>Abrir facsímil</v>
      </c>
      <c r="K17269" s="10" t="s">
        <v>24</v>
      </c>
    </row>
    <row r="17270" spans="1:11" ht="54" customHeight="1">
      <c r="A17270" s="9" t="s">
        <v>34966</v>
      </c>
      <c r="B17270" s="9" t="s">
        <v>34966</v>
      </c>
      <c r="C17270" s="9" t="s">
        <v>66</v>
      </c>
      <c r="D17270" s="9" t="s">
        <v>101</v>
      </c>
      <c r="E17270" s="10" t="s">
        <v>273</v>
      </c>
      <c r="F17270" s="9" t="s">
        <v>413</v>
      </c>
      <c r="G17270" s="10" t="s">
        <v>34</v>
      </c>
      <c r="H17270" s="9" t="s">
        <v>22</v>
      </c>
      <c r="I17270" s="9" t="s">
        <v>34993</v>
      </c>
      <c r="J17270" s="10" t="str">
        <f>HYPERLINK("https://www.boe.es/gazeta/dias/1834/08/31/pdfs/GMD-1834-198.pdf#page=1","Abrir facsímil")</f>
        <v>Abrir facsímil</v>
      </c>
      <c r="K17270" s="10" t="s">
        <v>24</v>
      </c>
    </row>
    <row r="17271" spans="1:11" ht="54" customHeight="1">
      <c r="A17271" s="9" t="s">
        <v>34994</v>
      </c>
      <c r="B17271" s="9" t="s">
        <v>34995</v>
      </c>
      <c r="C17271" s="9" t="s">
        <v>46</v>
      </c>
      <c r="D17271" s="9" t="s">
        <v>101</v>
      </c>
      <c r="E17271" s="10" t="s">
        <v>280</v>
      </c>
      <c r="F17271" s="9" t="s">
        <v>281</v>
      </c>
      <c r="G17271" s="10" t="s">
        <v>28</v>
      </c>
      <c r="H17271" s="9" t="s">
        <v>22</v>
      </c>
      <c r="I17271" s="9" t="s">
        <v>34996</v>
      </c>
      <c r="J17271" s="10" t="str">
        <f>HYPERLINK("https://www.boe.es/gazeta/dias/1834/08/29/pdfs/GMD-C-1834-195.pdf#page=5","Abrir facsímil")</f>
        <v>Abrir facsímil</v>
      </c>
      <c r="K17271" s="10" t="s">
        <v>24</v>
      </c>
    </row>
    <row r="17272" spans="1:11" ht="54" customHeight="1">
      <c r="A17272" s="9" t="s">
        <v>34997</v>
      </c>
      <c r="B17272" s="9" t="s">
        <v>34997</v>
      </c>
      <c r="C17272" s="9" t="s">
        <v>66</v>
      </c>
      <c r="D17272" s="9" t="s">
        <v>67</v>
      </c>
      <c r="E17272" s="10" t="s">
        <v>364</v>
      </c>
      <c r="F17272" s="9" t="s">
        <v>365</v>
      </c>
      <c r="G17272" s="10" t="s">
        <v>86</v>
      </c>
      <c r="H17272" s="9" t="s">
        <v>22</v>
      </c>
      <c r="I17272" s="9" t="s">
        <v>34998</v>
      </c>
      <c r="J17272" s="10" t="str">
        <f>HYPERLINK("https://www.boe.es/gazeta/dias/1834/09/06/pdfs/GMD-D-1834-204.pdf#page=2","Abrir facsímil")</f>
        <v>Abrir facsímil</v>
      </c>
      <c r="K17272" s="10" t="s">
        <v>24</v>
      </c>
    </row>
    <row r="17273" spans="1:11" ht="54" customHeight="1">
      <c r="A17273" s="9" t="s">
        <v>34997</v>
      </c>
      <c r="B17273" s="9" t="s">
        <v>34997</v>
      </c>
      <c r="C17273" s="9" t="s">
        <v>46</v>
      </c>
      <c r="D17273" s="9" t="s">
        <v>101</v>
      </c>
      <c r="E17273" s="10" t="s">
        <v>753</v>
      </c>
      <c r="F17273" s="9" t="s">
        <v>754</v>
      </c>
      <c r="G17273" s="10" t="s">
        <v>34</v>
      </c>
      <c r="H17273" s="9" t="s">
        <v>22</v>
      </c>
      <c r="I17273" s="9" t="s">
        <v>34999</v>
      </c>
      <c r="J17273" s="10" t="str">
        <f>HYPERLINK("https://www.boe.es/gazeta/dias/1834/04/21/pdfs/GMD-1834-60.pdf#page=1","Abrir facsímil")</f>
        <v>Abrir facsímil</v>
      </c>
      <c r="K17273" s="10" t="s">
        <v>24</v>
      </c>
    </row>
    <row r="17274" spans="1:11" ht="54" customHeight="1">
      <c r="A17274" s="9" t="s">
        <v>35000</v>
      </c>
      <c r="B17274" s="9" t="s">
        <v>35001</v>
      </c>
      <c r="C17274" s="9" t="s">
        <v>66</v>
      </c>
      <c r="D17274" s="9" t="s">
        <v>67</v>
      </c>
      <c r="E17274" s="10" t="s">
        <v>2241</v>
      </c>
      <c r="F17274" s="9" t="s">
        <v>2242</v>
      </c>
      <c r="G17274" s="10" t="s">
        <v>21</v>
      </c>
      <c r="H17274" s="9" t="s">
        <v>22</v>
      </c>
      <c r="I17274" s="9" t="s">
        <v>35002</v>
      </c>
      <c r="J17274" s="10" t="str">
        <f>HYPERLINK("https://www.boe.es/gazeta/dias/1834/03/11/pdfs/GMD-1834-31.pdf#page=3","Abrir facsímil")</f>
        <v>Abrir facsímil</v>
      </c>
      <c r="K17274" s="10" t="s">
        <v>24</v>
      </c>
    </row>
    <row r="17275" spans="1:11" ht="54" customHeight="1">
      <c r="A17275" s="9" t="s">
        <v>35003</v>
      </c>
      <c r="B17275" s="9" t="s">
        <v>35004</v>
      </c>
      <c r="C17275" s="9" t="s">
        <v>66</v>
      </c>
      <c r="D17275" s="9" t="s">
        <v>18</v>
      </c>
      <c r="E17275" s="10" t="s">
        <v>1766</v>
      </c>
      <c r="F17275" s="9" t="s">
        <v>5600</v>
      </c>
      <c r="G17275" s="10" t="s">
        <v>34</v>
      </c>
      <c r="H17275" s="9" t="s">
        <v>22</v>
      </c>
      <c r="I17275" s="9" t="s">
        <v>35005</v>
      </c>
      <c r="J17275" s="10" t="str">
        <f>HYPERLINK("https://www.boe.es/gazeta/dias/1834/10/26/pdfs/GMD-1834-254.pdf#page=1","Abrir facsímil")</f>
        <v>Abrir facsímil</v>
      </c>
      <c r="K17275" s="10" t="s">
        <v>24</v>
      </c>
    </row>
    <row r="17276" spans="1:11" ht="54" customHeight="1">
      <c r="A17276" s="9" t="s">
        <v>35006</v>
      </c>
      <c r="B17276" s="9" t="s">
        <v>35006</v>
      </c>
      <c r="C17276" s="9" t="s">
        <v>17</v>
      </c>
      <c r="D17276" s="9" t="s">
        <v>18</v>
      </c>
      <c r="E17276" s="10" t="s">
        <v>222</v>
      </c>
      <c r="F17276" s="9" t="s">
        <v>223</v>
      </c>
      <c r="G17276" s="10" t="s">
        <v>75</v>
      </c>
      <c r="H17276" s="9" t="s">
        <v>22</v>
      </c>
      <c r="I17276" s="9" t="s">
        <v>35007</v>
      </c>
      <c r="J17276" s="10" t="str">
        <f>HYPERLINK("https://www.boe.es/gazeta/dias/1834/09/14/pdfs/GMD-1834-212.pdf#page=4","Abrir facsímil")</f>
        <v>Abrir facsímil</v>
      </c>
      <c r="K17276" s="10" t="s">
        <v>24</v>
      </c>
    </row>
    <row r="17277" spans="1:11" ht="54" customHeight="1">
      <c r="A17277" s="9" t="s">
        <v>35008</v>
      </c>
      <c r="B17277" s="9" t="s">
        <v>35009</v>
      </c>
      <c r="C17277" s="9" t="s">
        <v>66</v>
      </c>
      <c r="D17277" s="9" t="s">
        <v>67</v>
      </c>
      <c r="E17277" s="10" t="s">
        <v>73</v>
      </c>
      <c r="F17277" s="9" t="s">
        <v>74</v>
      </c>
      <c r="G17277" s="10" t="s">
        <v>75</v>
      </c>
      <c r="H17277" s="9" t="s">
        <v>22</v>
      </c>
      <c r="I17277" s="9" t="s">
        <v>35010</v>
      </c>
      <c r="J17277" s="10" t="str">
        <f>HYPERLINK("https://www.boe.es/gazeta/dias/1834/11/04/pdfs/GMD-1834-263.pdf#page=4","Abrir facsímil")</f>
        <v>Abrir facsímil</v>
      </c>
      <c r="K17277" s="10" t="s">
        <v>24</v>
      </c>
    </row>
    <row r="17278" spans="1:11" ht="54" customHeight="1">
      <c r="A17278" s="9" t="s">
        <v>35011</v>
      </c>
      <c r="B17278" s="9" t="s">
        <v>35012</v>
      </c>
      <c r="C17278" s="9" t="s">
        <v>17</v>
      </c>
      <c r="D17278" s="9" t="s">
        <v>18</v>
      </c>
      <c r="E17278" s="10" t="s">
        <v>1212</v>
      </c>
      <c r="F17278" s="9" t="s">
        <v>1213</v>
      </c>
      <c r="G17278" s="10" t="s">
        <v>86</v>
      </c>
      <c r="H17278" s="9" t="s">
        <v>22</v>
      </c>
      <c r="I17278" s="9" t="s">
        <v>35013</v>
      </c>
      <c r="J17278" s="10" t="str">
        <f>HYPERLINK("https://www.boe.es/gazeta/dias/1834/05/24/pdfs/GMD-1834-93.pdf#page=2","Abrir facsímil")</f>
        <v>Abrir facsímil</v>
      </c>
      <c r="K17278" s="10" t="s">
        <v>24</v>
      </c>
    </row>
    <row r="17279" spans="1:11" ht="54" customHeight="1">
      <c r="A17279" s="9" t="s">
        <v>35014</v>
      </c>
      <c r="B17279" s="9" t="s">
        <v>35015</v>
      </c>
      <c r="C17279" s="9" t="s">
        <v>17</v>
      </c>
      <c r="D17279" s="9" t="s">
        <v>18</v>
      </c>
      <c r="E17279" s="10" t="s">
        <v>1212</v>
      </c>
      <c r="F17279" s="9" t="s">
        <v>1213</v>
      </c>
      <c r="G17279" s="10" t="s">
        <v>86</v>
      </c>
      <c r="H17279" s="9" t="s">
        <v>22</v>
      </c>
      <c r="I17279" s="9" t="s">
        <v>35016</v>
      </c>
      <c r="J17279" s="10" t="str">
        <f>HYPERLINK("https://www.boe.es/gazeta/dias/1834/05/24/pdfs/GMD-1834-93.pdf#page=2","Abrir facsímil")</f>
        <v>Abrir facsímil</v>
      </c>
      <c r="K17279" s="10" t="s">
        <v>24</v>
      </c>
    </row>
    <row r="17280" spans="1:11" ht="54" customHeight="1">
      <c r="A17280" s="9" t="s">
        <v>35017</v>
      </c>
      <c r="B17280" s="9" t="s">
        <v>35017</v>
      </c>
      <c r="C17280" s="9" t="s">
        <v>17</v>
      </c>
      <c r="D17280" s="9" t="s">
        <v>18</v>
      </c>
      <c r="E17280" s="10" t="s">
        <v>255</v>
      </c>
      <c r="F17280" s="9" t="s">
        <v>2368</v>
      </c>
      <c r="G17280" s="10" t="s">
        <v>86</v>
      </c>
      <c r="H17280" s="9" t="s">
        <v>22</v>
      </c>
      <c r="I17280" s="9" t="s">
        <v>35018</v>
      </c>
      <c r="J17280" s="10" t="str">
        <f>HYPERLINK("https://www.boe.es/gazeta/dias/1834/09/01/pdfs/GMD-1834-199.pdf#page=2","Abrir facsímil")</f>
        <v>Abrir facsímil</v>
      </c>
      <c r="K17280" s="10" t="s">
        <v>24</v>
      </c>
    </row>
    <row r="17281" spans="1:11" ht="54" customHeight="1">
      <c r="A17281" s="9" t="s">
        <v>35017</v>
      </c>
      <c r="B17281" s="9" t="s">
        <v>35017</v>
      </c>
      <c r="C17281" s="9" t="s">
        <v>17</v>
      </c>
      <c r="D17281" s="9" t="s">
        <v>55</v>
      </c>
      <c r="E17281" s="10" t="s">
        <v>19</v>
      </c>
      <c r="F17281" s="9" t="s">
        <v>107</v>
      </c>
      <c r="G17281" s="10" t="s">
        <v>34</v>
      </c>
      <c r="H17281" s="9" t="s">
        <v>22</v>
      </c>
      <c r="I17281" s="9" t="s">
        <v>35019</v>
      </c>
      <c r="J17281" s="10" t="str">
        <f>HYPERLINK("https://www.boe.es/gazeta/dias/1834/08/17/pdfs/GMD-1834-182.pdf#page=1","Abrir facsímil")</f>
        <v>Abrir facsímil</v>
      </c>
      <c r="K17281" s="10" t="s">
        <v>24</v>
      </c>
    </row>
    <row r="17282" spans="1:11" ht="54" customHeight="1">
      <c r="A17282" s="9" t="s">
        <v>35020</v>
      </c>
      <c r="B17282" s="9" t="s">
        <v>35021</v>
      </c>
      <c r="C17282" s="9" t="s">
        <v>46</v>
      </c>
      <c r="D17282" s="9" t="s">
        <v>18</v>
      </c>
      <c r="E17282" s="10" t="s">
        <v>403</v>
      </c>
      <c r="F17282" s="9" t="s">
        <v>3456</v>
      </c>
      <c r="G17282" s="10" t="s">
        <v>86</v>
      </c>
      <c r="H17282" s="9" t="s">
        <v>22</v>
      </c>
      <c r="I17282" s="9" t="s">
        <v>35022</v>
      </c>
      <c r="J17282" s="10" t="str">
        <f>HYPERLINK("https://www.boe.es/gazeta/dias/1834/09/25/pdfs/GMD-1834-223.pdf#page=2","Abrir facsímil")</f>
        <v>Abrir facsímil</v>
      </c>
      <c r="K17282" s="10" t="s">
        <v>24</v>
      </c>
    </row>
    <row r="17283" spans="1:11" ht="54" customHeight="1">
      <c r="A17283" s="9" t="s">
        <v>35023</v>
      </c>
      <c r="B17283" s="9" t="s">
        <v>35023</v>
      </c>
      <c r="C17283" s="9" t="s">
        <v>17</v>
      </c>
      <c r="D17283" s="9" t="s">
        <v>55</v>
      </c>
      <c r="E17283" s="10" t="s">
        <v>286</v>
      </c>
      <c r="F17283" s="9" t="s">
        <v>287</v>
      </c>
      <c r="G17283" s="10" t="s">
        <v>75</v>
      </c>
      <c r="H17283" s="9" t="s">
        <v>22</v>
      </c>
      <c r="I17283" s="9" t="s">
        <v>35024</v>
      </c>
      <c r="J17283" s="10" t="str">
        <f>HYPERLINK("https://www.boe.es/gazeta/dias/1834/08/30/pdfs/GMD-C-1834-196.pdf#page=4","Abrir facsímil")</f>
        <v>Abrir facsímil</v>
      </c>
      <c r="K17283" s="10" t="s">
        <v>24</v>
      </c>
    </row>
    <row r="17284" spans="1:11" ht="54" customHeight="1">
      <c r="A17284" s="9" t="s">
        <v>35025</v>
      </c>
      <c r="B17284" s="9" t="s">
        <v>35026</v>
      </c>
      <c r="C17284" s="9" t="s">
        <v>17</v>
      </c>
      <c r="D17284" s="9" t="s">
        <v>55</v>
      </c>
      <c r="E17284" s="10" t="s">
        <v>68</v>
      </c>
      <c r="F17284" s="9" t="s">
        <v>69</v>
      </c>
      <c r="G17284" s="10" t="s">
        <v>34</v>
      </c>
      <c r="H17284" s="9" t="s">
        <v>22</v>
      </c>
      <c r="I17284" s="9" t="s">
        <v>35027</v>
      </c>
      <c r="J17284" s="10" t="str">
        <f>HYPERLINK("https://www.boe.es/gazeta/dias/1834/11/01/pdfs/GMD-1834-260.pdf#page=1","Abrir facsímil")</f>
        <v>Abrir facsímil</v>
      </c>
      <c r="K17284" s="10" t="s">
        <v>24</v>
      </c>
    </row>
    <row r="17285" spans="1:11" ht="54" customHeight="1">
      <c r="A17285" s="9" t="s">
        <v>35028</v>
      </c>
      <c r="B17285" s="9" t="s">
        <v>35028</v>
      </c>
      <c r="C17285" s="9" t="s">
        <v>17</v>
      </c>
      <c r="D17285" s="9" t="s">
        <v>18</v>
      </c>
      <c r="E17285" s="10" t="s">
        <v>2203</v>
      </c>
      <c r="F17285" s="9" t="s">
        <v>3917</v>
      </c>
      <c r="G17285" s="10" t="s">
        <v>21</v>
      </c>
      <c r="H17285" s="9" t="s">
        <v>22</v>
      </c>
      <c r="I17285" s="9" t="s">
        <v>35029</v>
      </c>
      <c r="J17285" s="10" t="str">
        <f>HYPERLINK("https://www.boe.es/gazeta/dias/1834/09/10/pdfs/GMD-1834-208.pdf#page=3","Abrir facsímil")</f>
        <v>Abrir facsímil</v>
      </c>
      <c r="K17285" s="10" t="s">
        <v>24</v>
      </c>
    </row>
    <row r="17286" spans="1:11" ht="54" customHeight="1">
      <c r="A17286" s="9" t="s">
        <v>35030</v>
      </c>
      <c r="B17286" s="9" t="s">
        <v>35030</v>
      </c>
      <c r="C17286" s="9" t="s">
        <v>90</v>
      </c>
      <c r="D17286" s="9" t="s">
        <v>18</v>
      </c>
      <c r="E17286" s="10" t="s">
        <v>5574</v>
      </c>
      <c r="F17286" s="9" t="s">
        <v>5575</v>
      </c>
      <c r="G17286" s="10" t="s">
        <v>34</v>
      </c>
      <c r="H17286" s="9" t="s">
        <v>22</v>
      </c>
      <c r="I17286" s="9" t="s">
        <v>35031</v>
      </c>
      <c r="J17286" s="10" t="str">
        <f>HYPERLINK("https://www.boe.es/gazeta/dias/1834/06/16/pdfs/GMD-1834-119.pdf#page=1","Abrir facsímil")</f>
        <v>Abrir facsímil</v>
      </c>
      <c r="K17286" s="10" t="s">
        <v>24</v>
      </c>
    </row>
    <row r="17287" spans="1:11" ht="54" customHeight="1">
      <c r="A17287" s="9" t="s">
        <v>35030</v>
      </c>
      <c r="B17287" s="9" t="s">
        <v>35030</v>
      </c>
      <c r="C17287" s="9" t="s">
        <v>17</v>
      </c>
      <c r="D17287" s="9" t="s">
        <v>18</v>
      </c>
      <c r="E17287" s="10" t="s">
        <v>2950</v>
      </c>
      <c r="F17287" s="9" t="s">
        <v>2951</v>
      </c>
      <c r="G17287" s="10" t="s">
        <v>21</v>
      </c>
      <c r="H17287" s="9" t="s">
        <v>22</v>
      </c>
      <c r="I17287" s="9" t="s">
        <v>35032</v>
      </c>
      <c r="J17287" s="10" t="str">
        <f>HYPERLINK("https://www.boe.es/gazeta/dias/1834/05/20/pdfs/GMD-1834-89.pdf#page=3","Abrir facsímil")</f>
        <v>Abrir facsímil</v>
      </c>
      <c r="K17287" s="10" t="s">
        <v>24</v>
      </c>
    </row>
    <row r="17288" spans="1:11" ht="54" customHeight="1">
      <c r="A17288" s="9" t="s">
        <v>35033</v>
      </c>
      <c r="B17288" s="9" t="s">
        <v>35034</v>
      </c>
      <c r="C17288" s="9" t="s">
        <v>90</v>
      </c>
      <c r="D17288" s="9" t="s">
        <v>18</v>
      </c>
      <c r="E17288" s="10" t="s">
        <v>5574</v>
      </c>
      <c r="F17288" s="9" t="s">
        <v>5575</v>
      </c>
      <c r="G17288" s="10" t="s">
        <v>34</v>
      </c>
      <c r="H17288" s="9" t="s">
        <v>22</v>
      </c>
      <c r="I17288" s="9" t="s">
        <v>35035</v>
      </c>
      <c r="J17288" s="10" t="str">
        <f>HYPERLINK("https://www.boe.es/gazeta/dias/1834/06/16/pdfs/GMD-1834-119.pdf#page=1","Abrir facsímil")</f>
        <v>Abrir facsímil</v>
      </c>
      <c r="K17288" s="10" t="s">
        <v>24</v>
      </c>
    </row>
    <row r="17289" spans="1:11" ht="54" customHeight="1">
      <c r="A17289" s="9" t="s">
        <v>35036</v>
      </c>
      <c r="B17289" s="9" t="s">
        <v>35036</v>
      </c>
      <c r="C17289" s="9" t="s">
        <v>17</v>
      </c>
      <c r="D17289" s="9" t="s">
        <v>18</v>
      </c>
      <c r="E17289" s="10" t="s">
        <v>153</v>
      </c>
      <c r="F17289" s="9" t="s">
        <v>154</v>
      </c>
      <c r="G17289" s="10" t="s">
        <v>34</v>
      </c>
      <c r="H17289" s="9" t="s">
        <v>22</v>
      </c>
      <c r="I17289" s="9" t="s">
        <v>35037</v>
      </c>
      <c r="J17289" s="10" t="str">
        <f>HYPERLINK("https://www.boe.es/gazeta/dias/1834/12/30/pdfs/GMD-C-1834-320.pdf#page=1","Abrir facsímil")</f>
        <v>Abrir facsímil</v>
      </c>
      <c r="K17289" s="10" t="s">
        <v>24</v>
      </c>
    </row>
    <row r="17290" spans="1:11" ht="54" customHeight="1">
      <c r="A17290" s="9" t="s">
        <v>35038</v>
      </c>
      <c r="B17290" s="9" t="s">
        <v>35038</v>
      </c>
      <c r="C17290" s="9" t="s">
        <v>17</v>
      </c>
      <c r="D17290" s="9" t="s">
        <v>18</v>
      </c>
      <c r="E17290" s="10" t="s">
        <v>416</v>
      </c>
      <c r="F17290" s="9" t="s">
        <v>417</v>
      </c>
      <c r="G17290" s="10" t="s">
        <v>21</v>
      </c>
      <c r="H17290" s="9" t="s">
        <v>22</v>
      </c>
      <c r="I17290" s="9" t="s">
        <v>35039</v>
      </c>
      <c r="J17290" s="10" t="str">
        <f>HYPERLINK("https://www.boe.es/gazeta/dias/1834/10/02/pdfs/GMD-C-1834-230.pdf#page=3","Abrir facsímil")</f>
        <v>Abrir facsímil</v>
      </c>
      <c r="K17290" s="10" t="s">
        <v>24</v>
      </c>
    </row>
    <row r="17291" spans="1:11" ht="54" customHeight="1">
      <c r="A17291" s="9" t="s">
        <v>35040</v>
      </c>
      <c r="B17291" s="9" t="s">
        <v>35040</v>
      </c>
      <c r="C17291" s="9" t="s">
        <v>46</v>
      </c>
      <c r="D17291" s="9" t="s">
        <v>18</v>
      </c>
      <c r="E17291" s="10" t="s">
        <v>1262</v>
      </c>
      <c r="F17291" s="9" t="s">
        <v>1263</v>
      </c>
      <c r="G17291" s="10" t="s">
        <v>86</v>
      </c>
      <c r="H17291" s="9" t="s">
        <v>22</v>
      </c>
      <c r="I17291" s="9" t="s">
        <v>35041</v>
      </c>
      <c r="J17291" s="10" t="str">
        <f>HYPERLINK("https://www.boe.es/gazeta/dias/1834/02/01/pdfs/GMD-1834-15.pdf#page=2","Abrir facsímil")</f>
        <v>Abrir facsímil</v>
      </c>
      <c r="K17291" s="10" t="s">
        <v>24</v>
      </c>
    </row>
    <row r="17292" spans="1:11" ht="54" customHeight="1">
      <c r="A17292" s="9" t="s">
        <v>35042</v>
      </c>
      <c r="B17292" s="9" t="s">
        <v>35043</v>
      </c>
      <c r="C17292" s="9" t="s">
        <v>66</v>
      </c>
      <c r="D17292" s="9" t="s">
        <v>67</v>
      </c>
      <c r="E17292" s="10" t="s">
        <v>68</v>
      </c>
      <c r="F17292" s="9" t="s">
        <v>69</v>
      </c>
      <c r="G17292" s="10" t="s">
        <v>21</v>
      </c>
      <c r="H17292" s="9" t="s">
        <v>22</v>
      </c>
      <c r="I17292" s="9" t="s">
        <v>35044</v>
      </c>
      <c r="J17292" s="10" t="str">
        <f>HYPERLINK("https://www.boe.es/gazeta/dias/1834/11/01/pdfs/GMD-1834-260.pdf#page=3","Abrir facsímil")</f>
        <v>Abrir facsímil</v>
      </c>
      <c r="K17292" s="10" t="s">
        <v>24</v>
      </c>
    </row>
    <row r="17293" spans="1:11" ht="54" customHeight="1">
      <c r="A17293" s="9" t="s">
        <v>35045</v>
      </c>
      <c r="B17293" s="9" t="s">
        <v>35045</v>
      </c>
      <c r="C17293" s="9" t="s">
        <v>122</v>
      </c>
      <c r="D17293" s="9" t="s">
        <v>18</v>
      </c>
      <c r="E17293" s="10" t="s">
        <v>163</v>
      </c>
      <c r="F17293" s="9" t="s">
        <v>4896</v>
      </c>
      <c r="G17293" s="10" t="s">
        <v>86</v>
      </c>
      <c r="H17293" s="9" t="s">
        <v>22</v>
      </c>
      <c r="I17293" s="9" t="s">
        <v>35046</v>
      </c>
      <c r="J17293" s="10" t="str">
        <f>HYPERLINK("https://www.boe.es/gazeta/dias/1834/08/09/pdfs/GMD-C-1834-174.pdf#page=2","Abrir facsímil")</f>
        <v>Abrir facsímil</v>
      </c>
      <c r="K17293" s="10" t="s">
        <v>24</v>
      </c>
    </row>
    <row r="17294" spans="1:11" ht="54" customHeight="1">
      <c r="A17294" s="9" t="s">
        <v>35047</v>
      </c>
      <c r="B17294" s="9" t="s">
        <v>35047</v>
      </c>
      <c r="C17294" s="9" t="s">
        <v>122</v>
      </c>
      <c r="D17294" s="9" t="s">
        <v>55</v>
      </c>
      <c r="E17294" s="10" t="s">
        <v>326</v>
      </c>
      <c r="F17294" s="9" t="s">
        <v>327</v>
      </c>
      <c r="G17294" s="10" t="s">
        <v>86</v>
      </c>
      <c r="H17294" s="9" t="s">
        <v>22</v>
      </c>
      <c r="I17294" s="9" t="s">
        <v>35048</v>
      </c>
      <c r="J17294" s="10" t="str">
        <f>HYPERLINK("https://www.boe.es/gazeta/dias/1834/07/15/pdfs/GMD-1834-148.pdf#page=2","Abrir facsímil")</f>
        <v>Abrir facsímil</v>
      </c>
      <c r="K17294" s="10" t="s">
        <v>24</v>
      </c>
    </row>
    <row r="17295" spans="1:11" ht="54" customHeight="1">
      <c r="A17295" s="9" t="s">
        <v>35049</v>
      </c>
      <c r="B17295" s="9" t="s">
        <v>35049</v>
      </c>
      <c r="C17295" s="9" t="s">
        <v>122</v>
      </c>
      <c r="D17295" s="9" t="s">
        <v>18</v>
      </c>
      <c r="E17295" s="10" t="s">
        <v>243</v>
      </c>
      <c r="F17295" s="9" t="s">
        <v>1109</v>
      </c>
      <c r="G17295" s="10" t="s">
        <v>86</v>
      </c>
      <c r="H17295" s="9" t="s">
        <v>22</v>
      </c>
      <c r="I17295" s="9" t="s">
        <v>35050</v>
      </c>
      <c r="J17295" s="10" t="str">
        <f>HYPERLINK("https://www.boe.es/gazeta/dias/1834/08/05/pdfs/GMD-1834-169.pdf#page=2","Abrir facsímil")</f>
        <v>Abrir facsímil</v>
      </c>
      <c r="K17295" s="10" t="s">
        <v>24</v>
      </c>
    </row>
    <row r="17296" spans="1:11" ht="54" customHeight="1">
      <c r="A17296" s="9" t="s">
        <v>35049</v>
      </c>
      <c r="B17296" s="9" t="s">
        <v>35049</v>
      </c>
      <c r="C17296" s="9" t="s">
        <v>46</v>
      </c>
      <c r="D17296" s="9" t="s">
        <v>18</v>
      </c>
      <c r="E17296" s="10" t="s">
        <v>734</v>
      </c>
      <c r="F17296" s="9" t="s">
        <v>735</v>
      </c>
      <c r="G17296" s="10" t="s">
        <v>86</v>
      </c>
      <c r="H17296" s="9" t="s">
        <v>22</v>
      </c>
      <c r="I17296" s="9" t="s">
        <v>35051</v>
      </c>
      <c r="J17296" s="10" t="str">
        <f>HYPERLINK("https://www.boe.es/gazeta/dias/1834/05/06/pdfs/GMD-1834-75.pdf#page=2","Abrir facsímil")</f>
        <v>Abrir facsímil</v>
      </c>
      <c r="K17296" s="10" t="s">
        <v>24</v>
      </c>
    </row>
    <row r="17297" spans="1:11" ht="54" customHeight="1">
      <c r="A17297" s="9" t="s">
        <v>35052</v>
      </c>
      <c r="B17297" s="9" t="s">
        <v>35052</v>
      </c>
      <c r="C17297" s="9" t="s">
        <v>90</v>
      </c>
      <c r="D17297" s="9" t="s">
        <v>18</v>
      </c>
      <c r="E17297" s="10" t="s">
        <v>1862</v>
      </c>
      <c r="F17297" s="9" t="s">
        <v>1863</v>
      </c>
      <c r="G17297" s="10" t="s">
        <v>21</v>
      </c>
      <c r="H17297" s="9" t="s">
        <v>22</v>
      </c>
      <c r="I17297" s="9" t="s">
        <v>35053</v>
      </c>
      <c r="J17297" s="10" t="str">
        <f>HYPERLINK("https://www.boe.es/gazeta/dias/1834/02/04/pdfs/GMD-1834-16.pdf#page=3","Abrir facsímil")</f>
        <v>Abrir facsímil</v>
      </c>
      <c r="K17297" s="10" t="s">
        <v>24</v>
      </c>
    </row>
    <row r="17298" spans="1:11" ht="54" customHeight="1">
      <c r="A17298" s="9" t="s">
        <v>35052</v>
      </c>
      <c r="B17298" s="9" t="s">
        <v>35052</v>
      </c>
      <c r="C17298" s="9" t="s">
        <v>122</v>
      </c>
      <c r="D17298" s="9" t="s">
        <v>55</v>
      </c>
      <c r="E17298" s="10" t="s">
        <v>3499</v>
      </c>
      <c r="F17298" s="9" t="s">
        <v>3500</v>
      </c>
      <c r="G17298" s="10" t="s">
        <v>21</v>
      </c>
      <c r="H17298" s="9" t="s">
        <v>22</v>
      </c>
      <c r="I17298" s="9" t="s">
        <v>35054</v>
      </c>
      <c r="J17298" s="10" t="str">
        <f>HYPERLINK("https://www.boe.es/gazeta/dias/1834/01/28/pdfs/GMD-1834-13.pdf#page=3","Abrir facsímil")</f>
        <v>Abrir facsímil</v>
      </c>
      <c r="K17298" s="10" t="s">
        <v>24</v>
      </c>
    </row>
    <row r="17299" spans="1:11" ht="54" customHeight="1">
      <c r="A17299" s="9" t="s">
        <v>35055</v>
      </c>
      <c r="B17299" s="9" t="s">
        <v>35055</v>
      </c>
      <c r="C17299" s="9" t="s">
        <v>90</v>
      </c>
      <c r="D17299" s="9" t="s">
        <v>18</v>
      </c>
      <c r="E17299" s="10" t="s">
        <v>1333</v>
      </c>
      <c r="F17299" s="9" t="s">
        <v>1334</v>
      </c>
      <c r="G17299" s="10" t="s">
        <v>21</v>
      </c>
      <c r="H17299" s="9" t="s">
        <v>22</v>
      </c>
      <c r="I17299" s="9" t="s">
        <v>35056</v>
      </c>
      <c r="J17299" s="10" t="str">
        <f>HYPERLINK("https://www.boe.es/gazeta/dias/1834/04/01/pdfs/GMD-1834-40.pdf#page=3","Abrir facsímil")</f>
        <v>Abrir facsímil</v>
      </c>
      <c r="K17299" s="10" t="s">
        <v>24</v>
      </c>
    </row>
    <row r="17300" spans="1:11" ht="54" customHeight="1">
      <c r="A17300" s="9" t="s">
        <v>35057</v>
      </c>
      <c r="B17300" s="9" t="s">
        <v>35058</v>
      </c>
      <c r="C17300" s="9" t="s">
        <v>90</v>
      </c>
      <c r="D17300" s="9" t="s">
        <v>18</v>
      </c>
      <c r="E17300" s="10" t="s">
        <v>1402</v>
      </c>
      <c r="F17300" s="9" t="s">
        <v>1403</v>
      </c>
      <c r="G17300" s="10" t="s">
        <v>86</v>
      </c>
      <c r="H17300" s="9" t="s">
        <v>22</v>
      </c>
      <c r="I17300" s="9" t="s">
        <v>35059</v>
      </c>
      <c r="J17300" s="10" t="str">
        <f>HYPERLINK("https://www.boe.es/gazeta/dias/1834/05/05/pdfs/I00347-00348.pdf#page=2","Abrir facsímil")</f>
        <v>Abrir facsímil</v>
      </c>
      <c r="K17300" s="10" t="s">
        <v>24</v>
      </c>
    </row>
    <row r="17301" spans="1:11" ht="54" customHeight="1">
      <c r="A17301" s="9" t="s">
        <v>35060</v>
      </c>
      <c r="B17301" s="9" t="s">
        <v>35061</v>
      </c>
      <c r="C17301" s="9" t="s">
        <v>46</v>
      </c>
      <c r="D17301" s="9" t="s">
        <v>101</v>
      </c>
      <c r="E17301" s="10" t="s">
        <v>79</v>
      </c>
      <c r="F17301" s="9" t="s">
        <v>80</v>
      </c>
      <c r="G17301" s="10" t="s">
        <v>34</v>
      </c>
      <c r="H17301" s="9" t="s">
        <v>22</v>
      </c>
      <c r="I17301" s="9" t="s">
        <v>35062</v>
      </c>
      <c r="J17301" s="10" t="str">
        <f>HYPERLINK("https://www.boe.es/gazeta/dias/1834/07/12/pdfs/GMD-1834-145.pdf#page=1","Abrir facsímil")</f>
        <v>Abrir facsímil</v>
      </c>
      <c r="K17301" s="10" t="s">
        <v>24</v>
      </c>
    </row>
    <row r="17302" spans="1:11" ht="54" customHeight="1">
      <c r="A17302" s="9" t="s">
        <v>35063</v>
      </c>
      <c r="B17302" s="9" t="s">
        <v>35063</v>
      </c>
      <c r="C17302" s="9" t="s">
        <v>17</v>
      </c>
      <c r="D17302" s="9" t="s">
        <v>18</v>
      </c>
      <c r="E17302" s="10" t="s">
        <v>8010</v>
      </c>
      <c r="F17302" s="9" t="s">
        <v>8011</v>
      </c>
      <c r="G17302" s="10" t="s">
        <v>86</v>
      </c>
      <c r="H17302" s="9" t="s">
        <v>22</v>
      </c>
      <c r="I17302" s="9" t="s">
        <v>35064</v>
      </c>
      <c r="J17302" s="10" t="str">
        <f>HYPERLINK("https://www.boe.es/gazeta/dias/1834/08/28/pdfs/GMD-1834-194.pdf#page=2","Abrir facsímil")</f>
        <v>Abrir facsímil</v>
      </c>
      <c r="K17302" s="10" t="s">
        <v>24</v>
      </c>
    </row>
    <row r="17303" spans="1:11" ht="54" customHeight="1">
      <c r="A17303" s="9" t="s">
        <v>35065</v>
      </c>
      <c r="B17303" s="9" t="s">
        <v>35065</v>
      </c>
      <c r="C17303" s="9" t="s">
        <v>17</v>
      </c>
      <c r="D17303" s="9" t="s">
        <v>18</v>
      </c>
      <c r="E17303" s="10" t="s">
        <v>8346</v>
      </c>
      <c r="F17303" s="9" t="s">
        <v>8347</v>
      </c>
      <c r="G17303" s="10" t="s">
        <v>34</v>
      </c>
      <c r="H17303" s="9" t="s">
        <v>22</v>
      </c>
      <c r="I17303" s="9" t="s">
        <v>35066</v>
      </c>
      <c r="J17303" s="10" t="str">
        <f>HYPERLINK("https://www.boe.es/gazeta/dias/1834/12/04/pdfs/GMD-1834-293.pdf#page=1","Abrir facsímil")</f>
        <v>Abrir facsímil</v>
      </c>
      <c r="K17303" s="10" t="s">
        <v>24</v>
      </c>
    </row>
    <row r="17304" spans="1:11" ht="54" customHeight="1">
      <c r="A17304" s="9" t="s">
        <v>35067</v>
      </c>
      <c r="B17304" s="9" t="s">
        <v>35068</v>
      </c>
      <c r="C17304" s="9" t="s">
        <v>17</v>
      </c>
      <c r="D17304" s="9" t="s">
        <v>18</v>
      </c>
      <c r="E17304" s="10" t="s">
        <v>102</v>
      </c>
      <c r="F17304" s="9" t="s">
        <v>103</v>
      </c>
      <c r="G17304" s="10" t="s">
        <v>75</v>
      </c>
      <c r="H17304" s="9" t="s">
        <v>22</v>
      </c>
      <c r="I17304" s="9" t="s">
        <v>35069</v>
      </c>
      <c r="J17304" s="10" t="str">
        <f>HYPERLINK("https://www.boe.es/gazeta/dias/1834/07/19/pdfs/GMD-1834-152.pdf#page=4","Abrir facsímil")</f>
        <v>Abrir facsímil</v>
      </c>
      <c r="K17304" s="10" t="s">
        <v>24</v>
      </c>
    </row>
    <row r="17305" spans="1:11" ht="54" customHeight="1">
      <c r="A17305" s="9" t="s">
        <v>35070</v>
      </c>
      <c r="B17305" s="9" t="s">
        <v>35071</v>
      </c>
      <c r="C17305" s="9" t="s">
        <v>17</v>
      </c>
      <c r="D17305" s="9" t="s">
        <v>18</v>
      </c>
      <c r="E17305" s="10" t="s">
        <v>465</v>
      </c>
      <c r="F17305" s="9" t="s">
        <v>466</v>
      </c>
      <c r="G17305" s="10" t="s">
        <v>176</v>
      </c>
      <c r="H17305" s="9" t="s">
        <v>22</v>
      </c>
      <c r="I17305" s="9" t="s">
        <v>35072</v>
      </c>
      <c r="J17305" s="10" t="str">
        <f>HYPERLINK("https://www.boe.es/gazeta/dias/1834/11/27/pdfs/GMD-C-1834-286.pdf#page=6","Abrir facsímil")</f>
        <v>Abrir facsímil</v>
      </c>
      <c r="K17305" s="10" t="s">
        <v>24</v>
      </c>
    </row>
    <row r="17306" spans="1:11" ht="54" customHeight="1">
      <c r="A17306" s="9" t="s">
        <v>35073</v>
      </c>
      <c r="B17306" s="9" t="s">
        <v>35073</v>
      </c>
      <c r="C17306" s="9" t="s">
        <v>17</v>
      </c>
      <c r="D17306" s="9" t="s">
        <v>55</v>
      </c>
      <c r="E17306" s="10" t="s">
        <v>309</v>
      </c>
      <c r="F17306" s="9" t="s">
        <v>310</v>
      </c>
      <c r="G17306" s="10" t="s">
        <v>86</v>
      </c>
      <c r="H17306" s="9" t="s">
        <v>22</v>
      </c>
      <c r="I17306" s="9" t="s">
        <v>35074</v>
      </c>
      <c r="J17306" s="10" t="str">
        <f>HYPERLINK("https://www.boe.es/gazeta/dias/1834/05/30/pdfs/GMD-1834-99.pdf#page=2","Abrir facsímil")</f>
        <v>Abrir facsímil</v>
      </c>
      <c r="K17306" s="10" t="s">
        <v>24</v>
      </c>
    </row>
    <row r="17307" spans="1:11" ht="54" customHeight="1">
      <c r="A17307" s="9" t="s">
        <v>35075</v>
      </c>
      <c r="B17307" s="9" t="s">
        <v>35075</v>
      </c>
      <c r="C17307" s="9" t="s">
        <v>17</v>
      </c>
      <c r="D17307" s="9" t="s">
        <v>18</v>
      </c>
      <c r="E17307" s="10" t="s">
        <v>642</v>
      </c>
      <c r="F17307" s="9" t="s">
        <v>643</v>
      </c>
      <c r="G17307" s="10" t="s">
        <v>176</v>
      </c>
      <c r="H17307" s="9" t="s">
        <v>22</v>
      </c>
      <c r="I17307" s="9" t="s">
        <v>35076</v>
      </c>
      <c r="J17307" s="10" t="str">
        <f>HYPERLINK("https://www.boe.es/gazeta/dias/1834/11/12/pdfs/GMD-C-1834-271.pdf#page=6","Abrir facsímil")</f>
        <v>Abrir facsímil</v>
      </c>
      <c r="K17307" s="10" t="s">
        <v>24</v>
      </c>
    </row>
    <row r="17308" spans="1:11" ht="54" customHeight="1">
      <c r="A17308" s="9" t="s">
        <v>35077</v>
      </c>
      <c r="B17308" s="9" t="s">
        <v>35077</v>
      </c>
      <c r="C17308" s="9" t="s">
        <v>17</v>
      </c>
      <c r="D17308" s="9" t="s">
        <v>18</v>
      </c>
      <c r="E17308" s="10" t="s">
        <v>247</v>
      </c>
      <c r="F17308" s="9" t="s">
        <v>2805</v>
      </c>
      <c r="G17308" s="10" t="s">
        <v>75</v>
      </c>
      <c r="H17308" s="9" t="s">
        <v>22</v>
      </c>
      <c r="I17308" s="9" t="s">
        <v>35078</v>
      </c>
      <c r="J17308" s="10" t="str">
        <f>HYPERLINK("https://www.boe.es/gazeta/dias/1834/08/23/pdfs/GMD-1834-189.pdf#page=4","Abrir facsímil")</f>
        <v>Abrir facsímil</v>
      </c>
      <c r="K17308" s="10" t="s">
        <v>24</v>
      </c>
    </row>
    <row r="17309" spans="1:11" ht="54" customHeight="1">
      <c r="A17309" s="9" t="s">
        <v>35077</v>
      </c>
      <c r="B17309" s="9" t="s">
        <v>35077</v>
      </c>
      <c r="C17309" s="9" t="s">
        <v>17</v>
      </c>
      <c r="D17309" s="9" t="s">
        <v>18</v>
      </c>
      <c r="E17309" s="10" t="s">
        <v>3499</v>
      </c>
      <c r="F17309" s="9" t="s">
        <v>3500</v>
      </c>
      <c r="G17309" s="10" t="s">
        <v>75</v>
      </c>
      <c r="H17309" s="9" t="s">
        <v>22</v>
      </c>
      <c r="I17309" s="9" t="s">
        <v>35079</v>
      </c>
      <c r="J17309" s="10" t="str">
        <f>HYPERLINK("https://www.boe.es/gazeta/dias/1834/01/28/pdfs/GMD-1834-13.pdf#page=4","Abrir facsímil")</f>
        <v>Abrir facsímil</v>
      </c>
      <c r="K17309" s="10" t="s">
        <v>24</v>
      </c>
    </row>
    <row r="17310" spans="1:11" ht="54" customHeight="1">
      <c r="A17310" s="9" t="s">
        <v>35080</v>
      </c>
      <c r="B17310" s="9" t="s">
        <v>35081</v>
      </c>
      <c r="C17310" s="9" t="s">
        <v>66</v>
      </c>
      <c r="D17310" s="9" t="s">
        <v>67</v>
      </c>
      <c r="E17310" s="10" t="s">
        <v>1084</v>
      </c>
      <c r="F17310" s="9" t="s">
        <v>1085</v>
      </c>
      <c r="G17310" s="10" t="s">
        <v>176</v>
      </c>
      <c r="H17310" s="9" t="s">
        <v>22</v>
      </c>
      <c r="I17310" s="9" t="s">
        <v>35082</v>
      </c>
      <c r="J17310" s="10" t="str">
        <f>HYPERLINK("https://www.boe.es/gazeta/dias/1834/05/01/pdfs/GMD-1834-70.pdf#page=6","Abrir facsímil")</f>
        <v>Abrir facsímil</v>
      </c>
      <c r="K17310" s="10" t="s">
        <v>24</v>
      </c>
    </row>
    <row r="17311" spans="1:11" ht="54" customHeight="1">
      <c r="A17311" s="9" t="s">
        <v>35083</v>
      </c>
      <c r="B17311" s="9" t="s">
        <v>35084</v>
      </c>
      <c r="C17311" s="9" t="s">
        <v>17</v>
      </c>
      <c r="D17311" s="9" t="s">
        <v>18</v>
      </c>
      <c r="E17311" s="10" t="s">
        <v>594</v>
      </c>
      <c r="F17311" s="9" t="s">
        <v>595</v>
      </c>
      <c r="G17311" s="10" t="s">
        <v>75</v>
      </c>
      <c r="H17311" s="9" t="s">
        <v>35</v>
      </c>
      <c r="I17311" s="9" t="s">
        <v>35085</v>
      </c>
      <c r="J17311" s="10" t="str">
        <f>HYPERLINK("https://www.boe.es/gazeta/dias/1834/06/01/pdfs/GMD-1834-102.pdf#page=4","Abrir facsímil")</f>
        <v>Abrir facsímil</v>
      </c>
      <c r="K17311" s="10" t="s">
        <v>37</v>
      </c>
    </row>
    <row r="17312" spans="1:11" ht="54" customHeight="1">
      <c r="A17312" s="9" t="s">
        <v>35086</v>
      </c>
      <c r="B17312" s="9" t="s">
        <v>35087</v>
      </c>
      <c r="C17312" s="9" t="s">
        <v>17</v>
      </c>
      <c r="D17312" s="9" t="s">
        <v>18</v>
      </c>
      <c r="E17312" s="10" t="s">
        <v>594</v>
      </c>
      <c r="F17312" s="9" t="s">
        <v>595</v>
      </c>
      <c r="G17312" s="10" t="s">
        <v>75</v>
      </c>
      <c r="H17312" s="9" t="s">
        <v>22</v>
      </c>
      <c r="I17312" s="9" t="s">
        <v>35088</v>
      </c>
      <c r="J17312" s="10" t="str">
        <f>HYPERLINK("https://www.boe.es/gazeta/dias/1834/06/01/pdfs/GMD-1834-102.pdf#page=4","Abrir facsímil")</f>
        <v>Abrir facsímil</v>
      </c>
      <c r="K17312" s="10" t="s">
        <v>24</v>
      </c>
    </row>
    <row r="17313" spans="1:11" ht="54" customHeight="1">
      <c r="A17313" s="9" t="s">
        <v>35089</v>
      </c>
      <c r="B17313" s="9" t="s">
        <v>35089</v>
      </c>
      <c r="C17313" s="9" t="s">
        <v>66</v>
      </c>
      <c r="D17313" s="9" t="s">
        <v>101</v>
      </c>
      <c r="E17313" s="10" t="s">
        <v>1239</v>
      </c>
      <c r="F17313" s="9" t="s">
        <v>1240</v>
      </c>
      <c r="G17313" s="10" t="s">
        <v>86</v>
      </c>
      <c r="H17313" s="9" t="s">
        <v>22</v>
      </c>
      <c r="I17313" s="9" t="s">
        <v>35090</v>
      </c>
      <c r="J17313" s="10" t="str">
        <f>HYPERLINK("https://www.boe.es/gazeta/dias/1834/08/20/pdfs/GMD-1834-186.pdf#page=2","Abrir facsímil")</f>
        <v>Abrir facsímil</v>
      </c>
      <c r="K17313" s="10" t="s">
        <v>24</v>
      </c>
    </row>
    <row r="17314" spans="1:11" ht="54" customHeight="1">
      <c r="A17314" s="9" t="s">
        <v>35091</v>
      </c>
      <c r="B17314" s="9" t="s">
        <v>35091</v>
      </c>
      <c r="C17314" s="9" t="s">
        <v>90</v>
      </c>
      <c r="D17314" s="9" t="s">
        <v>18</v>
      </c>
      <c r="E17314" s="10" t="s">
        <v>1981</v>
      </c>
      <c r="F17314" s="9" t="s">
        <v>1982</v>
      </c>
      <c r="G17314" s="10" t="s">
        <v>86</v>
      </c>
      <c r="H17314" s="9" t="s">
        <v>22</v>
      </c>
      <c r="I17314" s="9" t="s">
        <v>35092</v>
      </c>
      <c r="J17314" s="10" t="str">
        <f>HYPERLINK("https://www.boe.es/gazeta/dias/1834/12/13/pdfs/GMD-1834-302.pdf#page=2","Abrir facsímil")</f>
        <v>Abrir facsímil</v>
      </c>
      <c r="K17314" s="10" t="s">
        <v>24</v>
      </c>
    </row>
    <row r="17315" spans="1:11" ht="54" customHeight="1">
      <c r="A17315" s="9" t="s">
        <v>35093</v>
      </c>
      <c r="B17315" s="9" t="s">
        <v>35094</v>
      </c>
      <c r="C17315" s="9" t="s">
        <v>90</v>
      </c>
      <c r="D17315" s="9" t="s">
        <v>18</v>
      </c>
      <c r="E17315" s="10" t="s">
        <v>2526</v>
      </c>
      <c r="F17315" s="9" t="s">
        <v>2527</v>
      </c>
      <c r="G17315" s="10" t="s">
        <v>86</v>
      </c>
      <c r="H17315" s="9" t="s">
        <v>22</v>
      </c>
      <c r="I17315" s="9" t="s">
        <v>35095</v>
      </c>
      <c r="J17315" s="10" t="str">
        <f>HYPERLINK("https://www.boe.es/gazeta/dias/1834/12/29/pdfs/GMD-C-1834-319.pdf#page=2","Abrir facsímil")</f>
        <v>Abrir facsímil</v>
      </c>
      <c r="K17315" s="10" t="s">
        <v>24</v>
      </c>
    </row>
    <row r="17316" spans="1:11" ht="54" customHeight="1">
      <c r="A17316" s="9" t="s">
        <v>35096</v>
      </c>
      <c r="B17316" s="9" t="s">
        <v>35097</v>
      </c>
      <c r="C17316" s="9" t="s">
        <v>46</v>
      </c>
      <c r="D17316" s="9" t="s">
        <v>55</v>
      </c>
      <c r="E17316" s="10" t="s">
        <v>56</v>
      </c>
      <c r="F17316" s="9" t="s">
        <v>57</v>
      </c>
      <c r="G17316" s="10" t="s">
        <v>21</v>
      </c>
      <c r="H17316" s="9" t="s">
        <v>22</v>
      </c>
      <c r="I17316" s="9" t="s">
        <v>35098</v>
      </c>
      <c r="J17316" s="10" t="str">
        <f>HYPERLINK("https://www.boe.es/gazeta/dias/1834/07/09/pdfs/GMD-1834-142.pdf#page=3","Abrir facsímil")</f>
        <v>Abrir facsímil</v>
      </c>
      <c r="K17316" s="10" t="s">
        <v>24</v>
      </c>
    </row>
    <row r="17317" spans="1:11" ht="54" customHeight="1">
      <c r="A17317" s="9" t="s">
        <v>35099</v>
      </c>
      <c r="B17317" s="9" t="s">
        <v>35099</v>
      </c>
      <c r="C17317" s="9" t="s">
        <v>17</v>
      </c>
      <c r="D17317" s="9" t="s">
        <v>40</v>
      </c>
      <c r="E17317" s="10" t="s">
        <v>1135</v>
      </c>
      <c r="F17317" s="9" t="s">
        <v>1136</v>
      </c>
      <c r="G17317" s="10" t="s">
        <v>75</v>
      </c>
      <c r="H17317" s="9" t="s">
        <v>22</v>
      </c>
      <c r="I17317" s="9" t="s">
        <v>35100</v>
      </c>
      <c r="J17317" s="10" t="str">
        <f>HYPERLINK("https://www.boe.es/gazeta/dias/1834/08/26/pdfs/GMD-1834-192.pdf#page=4","Abrir facsímil")</f>
        <v>Abrir facsímil</v>
      </c>
      <c r="K17317" s="10" t="s">
        <v>24</v>
      </c>
    </row>
    <row r="17318" spans="1:11" ht="54" customHeight="1">
      <c r="A17318" s="9" t="s">
        <v>35101</v>
      </c>
      <c r="B17318" s="9" t="s">
        <v>35102</v>
      </c>
      <c r="C17318" s="9" t="s">
        <v>17</v>
      </c>
      <c r="D17318" s="9" t="s">
        <v>18</v>
      </c>
      <c r="E17318" s="10" t="s">
        <v>615</v>
      </c>
      <c r="F17318" s="9" t="s">
        <v>616</v>
      </c>
      <c r="G17318" s="10" t="s">
        <v>21</v>
      </c>
      <c r="H17318" s="9" t="s">
        <v>22</v>
      </c>
      <c r="I17318" s="9" t="s">
        <v>35103</v>
      </c>
      <c r="J17318" s="10" t="str">
        <f>HYPERLINK("https://www.boe.es/gazeta/dias/1834/08/19/pdfs/GMD-1834-185.pdf#page=3","Abrir facsímil")</f>
        <v>Abrir facsímil</v>
      </c>
      <c r="K17318" s="10" t="s">
        <v>24</v>
      </c>
    </row>
    <row r="17319" spans="1:11" ht="54" customHeight="1">
      <c r="A17319" s="9" t="s">
        <v>35104</v>
      </c>
      <c r="B17319" s="9" t="s">
        <v>35105</v>
      </c>
      <c r="C17319" s="9" t="s">
        <v>17</v>
      </c>
      <c r="D17319" s="9" t="s">
        <v>18</v>
      </c>
      <c r="E17319" s="10" t="s">
        <v>1113</v>
      </c>
      <c r="F17319" s="9" t="s">
        <v>1114</v>
      </c>
      <c r="G17319" s="10" t="s">
        <v>75</v>
      </c>
      <c r="H17319" s="9" t="s">
        <v>22</v>
      </c>
      <c r="I17319" s="9" t="s">
        <v>35106</v>
      </c>
      <c r="J17319" s="10" t="str">
        <f>HYPERLINK("https://www.boe.es/gazeta/dias/1834/04/14/pdfs/GMD-1834-53.pdf#page=4","Abrir facsímil")</f>
        <v>Abrir facsímil</v>
      </c>
      <c r="K17319" s="10" t="s">
        <v>24</v>
      </c>
    </row>
    <row r="17320" spans="1:11" ht="54" customHeight="1">
      <c r="A17320" s="9" t="s">
        <v>35107</v>
      </c>
      <c r="B17320" s="9" t="s">
        <v>35108</v>
      </c>
      <c r="C17320" s="9" t="s">
        <v>17</v>
      </c>
      <c r="D17320" s="9" t="s">
        <v>18</v>
      </c>
      <c r="E17320" s="10" t="s">
        <v>330</v>
      </c>
      <c r="F17320" s="9" t="s">
        <v>331</v>
      </c>
      <c r="G17320" s="10" t="s">
        <v>86</v>
      </c>
      <c r="H17320" s="9" t="s">
        <v>22</v>
      </c>
      <c r="I17320" s="9" t="s">
        <v>35109</v>
      </c>
      <c r="J17320" s="10" t="str">
        <f>HYPERLINK("https://www.boe.es/gazeta/dias/1834/12/03/pdfs/GMD-1834-292.pdf#page=2","Abrir facsímil")</f>
        <v>Abrir facsímil</v>
      </c>
      <c r="K17320" s="10" t="s">
        <v>24</v>
      </c>
    </row>
    <row r="17321" spans="1:11" ht="54" customHeight="1">
      <c r="A17321" s="9" t="s">
        <v>35110</v>
      </c>
      <c r="B17321" s="9" t="s">
        <v>35111</v>
      </c>
      <c r="C17321" s="9" t="s">
        <v>17</v>
      </c>
      <c r="D17321" s="9" t="s">
        <v>18</v>
      </c>
      <c r="E17321" s="10" t="s">
        <v>265</v>
      </c>
      <c r="F17321" s="9" t="s">
        <v>266</v>
      </c>
      <c r="G17321" s="10" t="s">
        <v>75</v>
      </c>
      <c r="H17321" s="9" t="s">
        <v>22</v>
      </c>
      <c r="I17321" s="9" t="s">
        <v>35112</v>
      </c>
      <c r="J17321" s="10" t="str">
        <f>HYPERLINK("https://www.boe.es/gazeta/dias/1834/11/19/pdfs/GMD-C-1834-278.pdf#page=4","Abrir facsímil")</f>
        <v>Abrir facsímil</v>
      </c>
      <c r="K17321" s="10" t="s">
        <v>24</v>
      </c>
    </row>
    <row r="17322" spans="1:11" ht="54" customHeight="1">
      <c r="A17322" s="9" t="s">
        <v>35113</v>
      </c>
      <c r="B17322" s="9" t="s">
        <v>35114</v>
      </c>
      <c r="C17322" s="9" t="s">
        <v>66</v>
      </c>
      <c r="D17322" s="9" t="s">
        <v>67</v>
      </c>
      <c r="E17322" s="10" t="s">
        <v>61</v>
      </c>
      <c r="F17322" s="9" t="s">
        <v>205</v>
      </c>
      <c r="G17322" s="10" t="s">
        <v>34</v>
      </c>
      <c r="H17322" s="9" t="s">
        <v>22</v>
      </c>
      <c r="I17322" s="9" t="s">
        <v>35115</v>
      </c>
      <c r="J17322" s="10" t="str">
        <f>HYPERLINK("https://www.boe.es/gazeta/dias/1834/06/08/pdfs/GMD-1834-110.pdf#page=1","Abrir facsímil")</f>
        <v>Abrir facsímil</v>
      </c>
      <c r="K17322" s="10" t="s">
        <v>24</v>
      </c>
    </row>
    <row r="17323" spans="1:11" ht="54" customHeight="1">
      <c r="A17323" s="9" t="s">
        <v>35116</v>
      </c>
      <c r="B17323" s="9" t="s">
        <v>35116</v>
      </c>
      <c r="C17323" s="9" t="s">
        <v>17</v>
      </c>
      <c r="D17323" s="9" t="s">
        <v>18</v>
      </c>
      <c r="E17323" s="10" t="s">
        <v>506</v>
      </c>
      <c r="F17323" s="9" t="s">
        <v>507</v>
      </c>
      <c r="G17323" s="10" t="s">
        <v>34</v>
      </c>
      <c r="H17323" s="9" t="s">
        <v>22</v>
      </c>
      <c r="I17323" s="9" t="s">
        <v>35117</v>
      </c>
      <c r="J17323" s="10" t="str">
        <f>HYPERLINK("https://www.boe.es/gazeta/dias/1834/03/04/pdfs/GMD-1834-28.pdf#page=1","Abrir facsímil")</f>
        <v>Abrir facsímil</v>
      </c>
      <c r="K17323" s="10" t="s">
        <v>24</v>
      </c>
    </row>
    <row r="17324" spans="1:11" ht="54" customHeight="1">
      <c r="A17324" s="9" t="s">
        <v>35118</v>
      </c>
      <c r="B17324" s="9" t="s">
        <v>35118</v>
      </c>
      <c r="C17324" s="9" t="s">
        <v>66</v>
      </c>
      <c r="D17324" s="9" t="s">
        <v>67</v>
      </c>
      <c r="E17324" s="10" t="s">
        <v>339</v>
      </c>
      <c r="F17324" s="9" t="s">
        <v>340</v>
      </c>
      <c r="G17324" s="10" t="s">
        <v>21</v>
      </c>
      <c r="H17324" s="9" t="s">
        <v>22</v>
      </c>
      <c r="I17324" s="9" t="s">
        <v>35119</v>
      </c>
      <c r="J17324" s="10" t="str">
        <f>HYPERLINK("https://www.boe.es/gazeta/dias/1834/05/02/pdfs/GMD-1834-71.pdf#page=3","Abrir facsímil")</f>
        <v>Abrir facsímil</v>
      </c>
      <c r="K17324" s="10" t="s">
        <v>24</v>
      </c>
    </row>
    <row r="17325" spans="1:11" ht="54" customHeight="1">
      <c r="A17325" s="9" t="s">
        <v>35120</v>
      </c>
      <c r="B17325" s="9" t="s">
        <v>35120</v>
      </c>
      <c r="C17325" s="9" t="s">
        <v>90</v>
      </c>
      <c r="D17325" s="9" t="s">
        <v>55</v>
      </c>
      <c r="E17325" s="10" t="s">
        <v>2748</v>
      </c>
      <c r="F17325" s="9" t="s">
        <v>2749</v>
      </c>
      <c r="G17325" s="10" t="s">
        <v>21</v>
      </c>
      <c r="H17325" s="9" t="s">
        <v>22</v>
      </c>
      <c r="I17325" s="9" t="s">
        <v>35121</v>
      </c>
      <c r="J17325" s="10" t="str">
        <f>HYPERLINK("https://www.boe.es/gazeta/dias/1834/01/09/pdfs/GMD-1834-5.pdf#page=3","Abrir facsímil")</f>
        <v>Abrir facsímil</v>
      </c>
      <c r="K17325" s="10" t="s">
        <v>24</v>
      </c>
    </row>
    <row r="17326" spans="1:11" ht="54" customHeight="1">
      <c r="A17326" s="9" t="s">
        <v>35122</v>
      </c>
      <c r="B17326" s="9" t="s">
        <v>35122</v>
      </c>
      <c r="C17326" s="9" t="s">
        <v>66</v>
      </c>
      <c r="D17326" s="9" t="s">
        <v>67</v>
      </c>
      <c r="E17326" s="10" t="s">
        <v>715</v>
      </c>
      <c r="F17326" s="9" t="s">
        <v>7773</v>
      </c>
      <c r="G17326" s="10" t="s">
        <v>34</v>
      </c>
      <c r="H17326" s="9" t="s">
        <v>22</v>
      </c>
      <c r="I17326" s="9" t="s">
        <v>35123</v>
      </c>
      <c r="J17326" s="10" t="str">
        <f>HYPERLINK("https://www.boe.es/gazeta/dias/1834/09/17/pdfs/GMD-1834-215.pdf#page=1","Abrir facsímil")</f>
        <v>Abrir facsímil</v>
      </c>
      <c r="K17326" s="10" t="s">
        <v>24</v>
      </c>
    </row>
    <row r="17327" spans="1:11" ht="54" customHeight="1">
      <c r="A17327" s="9" t="s">
        <v>35124</v>
      </c>
      <c r="B17327" s="9" t="s">
        <v>35124</v>
      </c>
      <c r="C17327" s="9" t="s">
        <v>17</v>
      </c>
      <c r="D17327" s="9" t="s">
        <v>18</v>
      </c>
      <c r="E17327" s="10" t="s">
        <v>860</v>
      </c>
      <c r="F17327" s="9" t="s">
        <v>861</v>
      </c>
      <c r="G17327" s="10" t="s">
        <v>28</v>
      </c>
      <c r="H17327" s="9" t="s">
        <v>22</v>
      </c>
      <c r="I17327" s="9" t="s">
        <v>35125</v>
      </c>
      <c r="J17327" s="10" t="str">
        <f>HYPERLINK("https://www.boe.es/gazeta/dias/1834/02/08/pdfs/GMD-1834-18.pdf#page=5","Abrir facsímil")</f>
        <v>Abrir facsímil</v>
      </c>
      <c r="K17327" s="10" t="s">
        <v>24</v>
      </c>
    </row>
    <row r="17328" spans="1:11" ht="54" customHeight="1">
      <c r="A17328" s="9" t="s">
        <v>35124</v>
      </c>
      <c r="B17328" s="9" t="s">
        <v>35124</v>
      </c>
      <c r="C17328" s="9" t="s">
        <v>17</v>
      </c>
      <c r="D17328" s="9" t="s">
        <v>18</v>
      </c>
      <c r="E17328" s="10" t="s">
        <v>623</v>
      </c>
      <c r="F17328" s="9" t="s">
        <v>624</v>
      </c>
      <c r="G17328" s="10" t="s">
        <v>86</v>
      </c>
      <c r="H17328" s="9" t="s">
        <v>22</v>
      </c>
      <c r="I17328" s="9" t="s">
        <v>35126</v>
      </c>
      <c r="J17328" s="10" t="str">
        <f>HYPERLINK("https://www.boe.es/gazeta/dias/1834/10/12/pdfs/GMD-C-1834-240.pdf#page=2","Abrir facsímil")</f>
        <v>Abrir facsímil</v>
      </c>
      <c r="K17328" s="10" t="s">
        <v>24</v>
      </c>
    </row>
    <row r="17329" spans="1:11" ht="54" customHeight="1">
      <c r="A17329" s="9" t="s">
        <v>35124</v>
      </c>
      <c r="B17329" s="9" t="s">
        <v>35124</v>
      </c>
      <c r="C17329" s="9" t="s">
        <v>17</v>
      </c>
      <c r="D17329" s="9" t="s">
        <v>18</v>
      </c>
      <c r="E17329" s="10" t="s">
        <v>1239</v>
      </c>
      <c r="F17329" s="9" t="s">
        <v>1240</v>
      </c>
      <c r="G17329" s="10" t="s">
        <v>21</v>
      </c>
      <c r="H17329" s="9" t="s">
        <v>22</v>
      </c>
      <c r="I17329" s="9" t="s">
        <v>35127</v>
      </c>
      <c r="J17329" s="10" t="str">
        <f>HYPERLINK("https://www.boe.es/gazeta/dias/1834/08/20/pdfs/GMD-1834-186.pdf#page=3","Abrir facsímil")</f>
        <v>Abrir facsímil</v>
      </c>
      <c r="K17329" s="10" t="s">
        <v>24</v>
      </c>
    </row>
    <row r="17330" spans="1:11" ht="54" customHeight="1">
      <c r="A17330" s="9" t="s">
        <v>35128</v>
      </c>
      <c r="B17330" s="9" t="s">
        <v>35129</v>
      </c>
      <c r="C17330" s="9" t="s">
        <v>17</v>
      </c>
      <c r="D17330" s="9" t="s">
        <v>18</v>
      </c>
      <c r="E17330" s="10" t="s">
        <v>251</v>
      </c>
      <c r="F17330" s="9" t="s">
        <v>252</v>
      </c>
      <c r="G17330" s="10" t="s">
        <v>34</v>
      </c>
      <c r="H17330" s="9" t="s">
        <v>22</v>
      </c>
      <c r="I17330" s="9" t="s">
        <v>35130</v>
      </c>
      <c r="J17330" s="10" t="str">
        <f>HYPERLINK("https://www.boe.es/gazeta/dias/1834/09/26/pdfs/GMD-C-1834-224.pdf#page=1","Abrir facsímil")</f>
        <v>Abrir facsímil</v>
      </c>
      <c r="K17330" s="10" t="s">
        <v>24</v>
      </c>
    </row>
    <row r="17331" spans="1:11" ht="54" customHeight="1">
      <c r="A17331" s="9" t="s">
        <v>35131</v>
      </c>
      <c r="B17331" s="9" t="s">
        <v>35132</v>
      </c>
      <c r="C17331" s="9" t="s">
        <v>17</v>
      </c>
      <c r="D17331" s="9" t="s">
        <v>18</v>
      </c>
      <c r="E17331" s="10" t="s">
        <v>623</v>
      </c>
      <c r="F17331" s="9" t="s">
        <v>624</v>
      </c>
      <c r="G17331" s="10" t="s">
        <v>86</v>
      </c>
      <c r="H17331" s="9" t="s">
        <v>22</v>
      </c>
      <c r="I17331" s="9" t="s">
        <v>35133</v>
      </c>
      <c r="J17331" s="10" t="str">
        <f>HYPERLINK("https://www.boe.es/gazeta/dias/1834/10/12/pdfs/GMD-C-1834-240.pdf#page=2","Abrir facsímil")</f>
        <v>Abrir facsímil</v>
      </c>
      <c r="K17331" s="10" t="s">
        <v>24</v>
      </c>
    </row>
    <row r="17332" spans="1:11" ht="54" customHeight="1">
      <c r="A17332" s="9" t="s">
        <v>35134</v>
      </c>
      <c r="B17332" s="9" t="s">
        <v>35135</v>
      </c>
      <c r="C17332" s="9" t="s">
        <v>857</v>
      </c>
      <c r="D17332" s="9" t="s">
        <v>18</v>
      </c>
      <c r="E17332" s="10" t="s">
        <v>696</v>
      </c>
      <c r="F17332" s="9" t="s">
        <v>854</v>
      </c>
      <c r="G17332" s="10" t="s">
        <v>21</v>
      </c>
      <c r="H17332" s="9" t="s">
        <v>35</v>
      </c>
      <c r="I17332" s="9" t="s">
        <v>35136</v>
      </c>
      <c r="J17332" s="10" t="str">
        <f>HYPERLINK("https://www.boe.es/gazeta/dias/1834/12/06/pdfs/GMD-1834-295.pdf#page=3","Abrir facsímil")</f>
        <v>Abrir facsímil</v>
      </c>
      <c r="K17332" s="10" t="s">
        <v>37</v>
      </c>
    </row>
    <row r="17333" spans="1:11" ht="54" customHeight="1">
      <c r="A17333" s="9" t="s">
        <v>35137</v>
      </c>
      <c r="B17333" s="9" t="s">
        <v>35138</v>
      </c>
      <c r="C17333" s="9" t="s">
        <v>857</v>
      </c>
      <c r="D17333" s="9" t="s">
        <v>18</v>
      </c>
      <c r="E17333" s="10" t="s">
        <v>696</v>
      </c>
      <c r="F17333" s="9" t="s">
        <v>854</v>
      </c>
      <c r="G17333" s="10" t="s">
        <v>21</v>
      </c>
      <c r="H17333" s="9" t="s">
        <v>22</v>
      </c>
      <c r="I17333" s="9" t="s">
        <v>35139</v>
      </c>
      <c r="J17333" s="10" t="str">
        <f>HYPERLINK("https://www.boe.es/gazeta/dias/1834/12/06/pdfs/GMD-1834-295.pdf#page=3","Abrir facsímil")</f>
        <v>Abrir facsímil</v>
      </c>
      <c r="K17333" s="10" t="s">
        <v>24</v>
      </c>
    </row>
    <row r="17334" spans="1:11" ht="54" customHeight="1">
      <c r="A17334" s="9" t="s">
        <v>35140</v>
      </c>
      <c r="B17334" s="9" t="s">
        <v>35140</v>
      </c>
      <c r="C17334" s="9" t="s">
        <v>17</v>
      </c>
      <c r="D17334" s="9" t="s">
        <v>18</v>
      </c>
      <c r="E17334" s="10" t="s">
        <v>1297</v>
      </c>
      <c r="F17334" s="9" t="s">
        <v>1298</v>
      </c>
      <c r="G17334" s="10" t="s">
        <v>86</v>
      </c>
      <c r="H17334" s="9" t="s">
        <v>22</v>
      </c>
      <c r="I17334" s="9" t="s">
        <v>35141</v>
      </c>
      <c r="J17334" s="10" t="str">
        <f>HYPERLINK("https://www.boe.es/gazeta/dias/1834/08/01/pdfs/GMD-1834-165.pdf#page=2","Abrir facsímil")</f>
        <v>Abrir facsímil</v>
      </c>
      <c r="K17334" s="10" t="s">
        <v>24</v>
      </c>
    </row>
    <row r="17335" spans="1:11" ht="54" customHeight="1">
      <c r="A17335" s="9" t="s">
        <v>35140</v>
      </c>
      <c r="B17335" s="9" t="s">
        <v>35140</v>
      </c>
      <c r="C17335" s="9" t="s">
        <v>17</v>
      </c>
      <c r="D17335" s="9" t="s">
        <v>18</v>
      </c>
      <c r="E17335" s="10" t="s">
        <v>343</v>
      </c>
      <c r="F17335" s="9" t="s">
        <v>344</v>
      </c>
      <c r="G17335" s="10" t="s">
        <v>21</v>
      </c>
      <c r="H17335" s="9" t="s">
        <v>22</v>
      </c>
      <c r="I17335" s="9" t="s">
        <v>35142</v>
      </c>
      <c r="J17335" s="10" t="str">
        <f>HYPERLINK("https://www.boe.es/gazeta/dias/1834/01/14/pdfs/GMD-1834-7.pdf#page=3","Abrir facsímil")</f>
        <v>Abrir facsímil</v>
      </c>
      <c r="K17335" s="10" t="s">
        <v>24</v>
      </c>
    </row>
    <row r="17336" spans="1:11" ht="54" customHeight="1">
      <c r="A17336" s="9" t="s">
        <v>35140</v>
      </c>
      <c r="B17336" s="9" t="s">
        <v>35140</v>
      </c>
      <c r="C17336" s="9" t="s">
        <v>66</v>
      </c>
      <c r="D17336" s="9" t="s">
        <v>67</v>
      </c>
      <c r="E17336" s="10" t="s">
        <v>724</v>
      </c>
      <c r="F17336" s="9" t="s">
        <v>725</v>
      </c>
      <c r="G17336" s="10" t="s">
        <v>28</v>
      </c>
      <c r="H17336" s="9" t="s">
        <v>22</v>
      </c>
      <c r="I17336" s="9" t="s">
        <v>35143</v>
      </c>
      <c r="J17336" s="10" t="str">
        <f>HYPERLINK("https://www.boe.es/gazeta/dias/1834/04/25/pdfs/GMD-1834-64.pdf#page=5","Abrir facsímil")</f>
        <v>Abrir facsímil</v>
      </c>
      <c r="K17336" s="10" t="s">
        <v>24</v>
      </c>
    </row>
    <row r="17337" spans="1:11" ht="54" customHeight="1">
      <c r="A17337" s="9" t="s">
        <v>35144</v>
      </c>
      <c r="B17337" s="9" t="s">
        <v>35145</v>
      </c>
      <c r="C17337" s="9" t="s">
        <v>66</v>
      </c>
      <c r="D17337" s="9" t="s">
        <v>67</v>
      </c>
      <c r="E17337" s="10" t="s">
        <v>1351</v>
      </c>
      <c r="F17337" s="9" t="s">
        <v>1352</v>
      </c>
      <c r="G17337" s="10" t="s">
        <v>75</v>
      </c>
      <c r="H17337" s="9" t="s">
        <v>22</v>
      </c>
      <c r="I17337" s="9" t="s">
        <v>35146</v>
      </c>
      <c r="J17337" s="10" t="str">
        <f>HYPERLINK("https://www.boe.es/gazeta/dias/1834/07/05/pdfs/GMD-1834-138.pdf#page=4","Abrir facsímil")</f>
        <v>Abrir facsímil</v>
      </c>
      <c r="K17337" s="10" t="s">
        <v>24</v>
      </c>
    </row>
    <row r="17338" spans="1:11" ht="54" customHeight="1">
      <c r="A17338" s="9" t="s">
        <v>35147</v>
      </c>
      <c r="B17338" s="9" t="s">
        <v>35148</v>
      </c>
      <c r="C17338" s="9" t="s">
        <v>17</v>
      </c>
      <c r="D17338" s="9" t="s">
        <v>55</v>
      </c>
      <c r="E17338" s="10" t="s">
        <v>1973</v>
      </c>
      <c r="F17338" s="9" t="s">
        <v>1974</v>
      </c>
      <c r="G17338" s="10" t="s">
        <v>560</v>
      </c>
      <c r="H17338" s="9" t="s">
        <v>22</v>
      </c>
      <c r="I17338" s="9" t="s">
        <v>35149</v>
      </c>
      <c r="J17338" s="10" t="str">
        <f>HYPERLINK("https://www.boe.es/gazeta/dias/1834/12/20/pdfs/GMD-C-1834-310.pdf#page=7","Abrir facsímil")</f>
        <v>Abrir facsímil</v>
      </c>
      <c r="K17338" s="10" t="s">
        <v>24</v>
      </c>
    </row>
    <row r="17339" spans="1:11" ht="54" customHeight="1">
      <c r="A17339" s="9" t="s">
        <v>35150</v>
      </c>
      <c r="B17339" s="9" t="s">
        <v>35151</v>
      </c>
      <c r="C17339" s="9" t="s">
        <v>66</v>
      </c>
      <c r="D17339" s="9" t="s">
        <v>67</v>
      </c>
      <c r="E17339" s="10" t="s">
        <v>1351</v>
      </c>
      <c r="F17339" s="9" t="s">
        <v>1352</v>
      </c>
      <c r="G17339" s="10" t="s">
        <v>75</v>
      </c>
      <c r="H17339" s="9" t="s">
        <v>35</v>
      </c>
      <c r="I17339" s="9" t="s">
        <v>35152</v>
      </c>
      <c r="J17339" s="10" t="str">
        <f>HYPERLINK("https://www.boe.es/gazeta/dias/1834/07/05/pdfs/GMD-1834-138.pdf#page=4","Abrir facsímil")</f>
        <v>Abrir facsímil</v>
      </c>
      <c r="K17339" s="10" t="s">
        <v>37</v>
      </c>
    </row>
    <row r="17340" spans="1:11" ht="54" customHeight="1">
      <c r="A17340" s="9" t="s">
        <v>35153</v>
      </c>
      <c r="B17340" s="9" t="s">
        <v>35154</v>
      </c>
      <c r="C17340" s="9" t="s">
        <v>17</v>
      </c>
      <c r="D17340" s="9" t="s">
        <v>18</v>
      </c>
      <c r="E17340" s="10" t="s">
        <v>19</v>
      </c>
      <c r="F17340" s="9" t="s">
        <v>20</v>
      </c>
      <c r="G17340" s="10" t="s">
        <v>34</v>
      </c>
      <c r="H17340" s="9" t="s">
        <v>22</v>
      </c>
      <c r="I17340" s="9" t="s">
        <v>35155</v>
      </c>
      <c r="J17340" s="10" t="str">
        <f>HYPERLINK("https://www.boe.es/gazeta/dias/1834/08/17/pdfs/GMD-C-1834-182.pdf#page=1","Abrir facsímil")</f>
        <v>Abrir facsímil</v>
      </c>
      <c r="K17340" s="10" t="s">
        <v>24</v>
      </c>
    </row>
    <row r="17341" spans="1:11" ht="54" customHeight="1">
      <c r="A17341" s="9" t="s">
        <v>35153</v>
      </c>
      <c r="B17341" s="9" t="s">
        <v>35154</v>
      </c>
      <c r="C17341" s="9" t="s">
        <v>17</v>
      </c>
      <c r="D17341" s="9" t="s">
        <v>18</v>
      </c>
      <c r="E17341" s="10" t="s">
        <v>615</v>
      </c>
      <c r="F17341" s="9" t="s">
        <v>1205</v>
      </c>
      <c r="G17341" s="10" t="s">
        <v>75</v>
      </c>
      <c r="H17341" s="9" t="s">
        <v>22</v>
      </c>
      <c r="I17341" s="9" t="s">
        <v>35156</v>
      </c>
      <c r="J17341" s="10" t="str">
        <f>HYPERLINK("https://www.boe.es/gazeta/dias/1834/08/19/pdfs/GMD-C-1834-185.pdf#page=4","Abrir facsímil")</f>
        <v>Abrir facsímil</v>
      </c>
      <c r="K17341" s="10" t="s">
        <v>24</v>
      </c>
    </row>
    <row r="17342" spans="1:11" ht="54" customHeight="1">
      <c r="A17342" s="9" t="s">
        <v>35157</v>
      </c>
      <c r="B17342" s="9" t="s">
        <v>35157</v>
      </c>
      <c r="C17342" s="9" t="s">
        <v>122</v>
      </c>
      <c r="D17342" s="9" t="s">
        <v>18</v>
      </c>
      <c r="E17342" s="10" t="s">
        <v>552</v>
      </c>
      <c r="F17342" s="9" t="s">
        <v>1478</v>
      </c>
      <c r="G17342" s="10" t="s">
        <v>34</v>
      </c>
      <c r="H17342" s="9" t="s">
        <v>22</v>
      </c>
      <c r="I17342" s="9" t="s">
        <v>35158</v>
      </c>
      <c r="J17342" s="10" t="str">
        <f>HYPERLINK("https://www.boe.es/gazeta/dias/1834/07/30/pdfs/GMD-C-1834-163.pdf#page=1","Abrir facsímil")</f>
        <v>Abrir facsímil</v>
      </c>
      <c r="K17342" s="10" t="s">
        <v>24</v>
      </c>
    </row>
    <row r="17343" spans="1:11" ht="54" customHeight="1">
      <c r="A17343" s="9" t="s">
        <v>35159</v>
      </c>
      <c r="B17343" s="9" t="s">
        <v>35159</v>
      </c>
      <c r="C17343" s="9" t="s">
        <v>17</v>
      </c>
      <c r="D17343" s="9" t="s">
        <v>18</v>
      </c>
      <c r="E17343" s="10" t="s">
        <v>758</v>
      </c>
      <c r="F17343" s="9" t="s">
        <v>759</v>
      </c>
      <c r="G17343" s="10" t="s">
        <v>75</v>
      </c>
      <c r="H17343" s="9" t="s">
        <v>22</v>
      </c>
      <c r="I17343" s="9" t="s">
        <v>35160</v>
      </c>
      <c r="J17343" s="10" t="str">
        <f>HYPERLINK("https://www.boe.es/gazeta/dias/1834/01/04/pdfs/GMD-1834-3.pdf#page=4","Abrir facsímil")</f>
        <v>Abrir facsímil</v>
      </c>
      <c r="K17343" s="10" t="s">
        <v>24</v>
      </c>
    </row>
    <row r="17344" spans="1:11" ht="54" customHeight="1">
      <c r="A17344" s="9" t="s">
        <v>35161</v>
      </c>
      <c r="B17344" s="9" t="s">
        <v>35162</v>
      </c>
      <c r="C17344" s="9" t="s">
        <v>66</v>
      </c>
      <c r="D17344" s="9" t="s">
        <v>67</v>
      </c>
      <c r="E17344" s="10" t="s">
        <v>8346</v>
      </c>
      <c r="F17344" s="9" t="s">
        <v>8347</v>
      </c>
      <c r="G17344" s="10" t="s">
        <v>75</v>
      </c>
      <c r="H17344" s="9" t="s">
        <v>22</v>
      </c>
      <c r="I17344" s="9" t="s">
        <v>35163</v>
      </c>
      <c r="J17344" s="10" t="str">
        <f>HYPERLINK("https://www.boe.es/gazeta/dias/1834/12/04/pdfs/GMD-1834-293.pdf#page=4","Abrir facsímil")</f>
        <v>Abrir facsímil</v>
      </c>
      <c r="K17344" s="10" t="s">
        <v>24</v>
      </c>
    </row>
    <row r="17345" spans="1:11" ht="54" customHeight="1">
      <c r="A17345" s="9" t="s">
        <v>35164</v>
      </c>
      <c r="B17345" s="9" t="s">
        <v>35165</v>
      </c>
      <c r="C17345" s="9" t="s">
        <v>17</v>
      </c>
      <c r="D17345" s="9" t="s">
        <v>18</v>
      </c>
      <c r="E17345" s="10" t="s">
        <v>84</v>
      </c>
      <c r="F17345" s="9" t="s">
        <v>1223</v>
      </c>
      <c r="G17345" s="10" t="s">
        <v>21</v>
      </c>
      <c r="H17345" s="9" t="s">
        <v>22</v>
      </c>
      <c r="I17345" s="9" t="s">
        <v>35166</v>
      </c>
      <c r="J17345" s="10" t="str">
        <f>HYPERLINK("https://www.boe.es/gazeta/dias/1834/06/07/pdfs/GMD-1834-109.pdf#page=3","Abrir facsímil")</f>
        <v>Abrir facsímil</v>
      </c>
      <c r="K17345" s="10" t="s">
        <v>24</v>
      </c>
    </row>
    <row r="17346" spans="1:11" ht="54" customHeight="1">
      <c r="A17346" s="9" t="s">
        <v>35167</v>
      </c>
      <c r="B17346" s="9" t="s">
        <v>35167</v>
      </c>
      <c r="C17346" s="9" t="s">
        <v>90</v>
      </c>
      <c r="D17346" s="9" t="s">
        <v>55</v>
      </c>
      <c r="E17346" s="10" t="s">
        <v>378</v>
      </c>
      <c r="F17346" s="9" t="s">
        <v>379</v>
      </c>
      <c r="G17346" s="10" t="s">
        <v>86</v>
      </c>
      <c r="H17346" s="9" t="s">
        <v>22</v>
      </c>
      <c r="I17346" s="9" t="s">
        <v>35168</v>
      </c>
      <c r="J17346" s="10" t="str">
        <f>HYPERLINK("https://www.boe.es/gazeta/dias/1834/09/24/pdfs/GMD-1834-222.pdf#page=2","Abrir facsímil")</f>
        <v>Abrir facsímil</v>
      </c>
      <c r="K17346" s="10" t="s">
        <v>24</v>
      </c>
    </row>
    <row r="17347" spans="1:11" ht="54" customHeight="1">
      <c r="A17347" s="9" t="s">
        <v>35169</v>
      </c>
      <c r="B17347" s="9" t="s">
        <v>35170</v>
      </c>
      <c r="C17347" s="9" t="s">
        <v>90</v>
      </c>
      <c r="D17347" s="9" t="s">
        <v>67</v>
      </c>
      <c r="E17347" s="10" t="s">
        <v>286</v>
      </c>
      <c r="F17347" s="9" t="s">
        <v>1928</v>
      </c>
      <c r="G17347" s="10" t="s">
        <v>86</v>
      </c>
      <c r="H17347" s="9" t="s">
        <v>22</v>
      </c>
      <c r="I17347" s="9" t="s">
        <v>35171</v>
      </c>
      <c r="J17347" s="10" t="str">
        <f>HYPERLINK("https://www.boe.es/gazeta/dias/1834/08/30/pdfs/GMD-1834-197E.pdf#page=2","Abrir facsímil")</f>
        <v>Abrir facsímil</v>
      </c>
      <c r="K17347" s="10" t="s">
        <v>24</v>
      </c>
    </row>
    <row r="17348" spans="1:11" ht="54" customHeight="1">
      <c r="A17348" s="9" t="s">
        <v>35172</v>
      </c>
      <c r="B17348" s="9" t="s">
        <v>35173</v>
      </c>
      <c r="C17348" s="9" t="s">
        <v>66</v>
      </c>
      <c r="D17348" s="9" t="s">
        <v>67</v>
      </c>
      <c r="E17348" s="10" t="s">
        <v>61</v>
      </c>
      <c r="F17348" s="9" t="s">
        <v>205</v>
      </c>
      <c r="G17348" s="10" t="s">
        <v>21</v>
      </c>
      <c r="H17348" s="9" t="s">
        <v>35</v>
      </c>
      <c r="I17348" s="9" t="s">
        <v>35174</v>
      </c>
      <c r="J17348" s="10" t="str">
        <f>HYPERLINK("https://www.boe.es/gazeta/dias/1834/06/08/pdfs/GMD-1834-110.pdf#page=3","Abrir facsímil")</f>
        <v>Abrir facsímil</v>
      </c>
      <c r="K17348" s="10" t="s">
        <v>37</v>
      </c>
    </row>
    <row r="17349" spans="1:11" ht="54" customHeight="1">
      <c r="A17349" s="9" t="s">
        <v>35175</v>
      </c>
      <c r="B17349" s="9" t="s">
        <v>35176</v>
      </c>
      <c r="C17349" s="9" t="s">
        <v>66</v>
      </c>
      <c r="D17349" s="9" t="s">
        <v>67</v>
      </c>
      <c r="E17349" s="10" t="s">
        <v>61</v>
      </c>
      <c r="F17349" s="9" t="s">
        <v>205</v>
      </c>
      <c r="G17349" s="10" t="s">
        <v>21</v>
      </c>
      <c r="H17349" s="9" t="s">
        <v>22</v>
      </c>
      <c r="I17349" s="9" t="s">
        <v>35177</v>
      </c>
      <c r="J17349" s="10" t="str">
        <f>HYPERLINK("https://www.boe.es/gazeta/dias/1834/06/08/pdfs/GMD-1834-110.pdf#page=3","Abrir facsímil")</f>
        <v>Abrir facsímil</v>
      </c>
      <c r="K17349" s="10" t="s">
        <v>24</v>
      </c>
    </row>
    <row r="17350" spans="1:11" ht="54" customHeight="1">
      <c r="A17350" s="9" t="s">
        <v>35178</v>
      </c>
      <c r="B17350" s="9" t="s">
        <v>35179</v>
      </c>
      <c r="C17350" s="9" t="s">
        <v>90</v>
      </c>
      <c r="D17350" s="9" t="s">
        <v>67</v>
      </c>
      <c r="E17350" s="10" t="s">
        <v>375</v>
      </c>
      <c r="F17350" s="9" t="s">
        <v>376</v>
      </c>
      <c r="G17350" s="10" t="s">
        <v>86</v>
      </c>
      <c r="H17350" s="9" t="s">
        <v>22</v>
      </c>
      <c r="I17350" s="9" t="s">
        <v>35180</v>
      </c>
      <c r="J17350" s="10" t="str">
        <f>HYPERLINK("https://www.boe.es/gazeta/dias/1834/08/21/pdfs/GMD-1834-187.pdf#page=2","Abrir facsímil")</f>
        <v>Abrir facsímil</v>
      </c>
      <c r="K17350" s="10" t="s">
        <v>24</v>
      </c>
    </row>
    <row r="17351" spans="1:11" ht="54" customHeight="1">
      <c r="A17351" s="9" t="s">
        <v>35181</v>
      </c>
      <c r="B17351" s="9" t="s">
        <v>35182</v>
      </c>
      <c r="C17351" s="9" t="s">
        <v>122</v>
      </c>
      <c r="D17351" s="9" t="s">
        <v>18</v>
      </c>
      <c r="E17351" s="10" t="s">
        <v>1883</v>
      </c>
      <c r="F17351" s="9" t="s">
        <v>1884</v>
      </c>
      <c r="G17351" s="10" t="s">
        <v>21</v>
      </c>
      <c r="H17351" s="9" t="s">
        <v>35</v>
      </c>
      <c r="I17351" s="9" t="s">
        <v>35183</v>
      </c>
      <c r="J17351" s="10" t="str">
        <f>HYPERLINK("https://www.boe.es/gazeta/dias/1834/01/11/pdfs/GMD-1834-6.pdf#page=3","Abrir facsímil")</f>
        <v>Abrir facsímil</v>
      </c>
      <c r="K17351" s="10" t="s">
        <v>37</v>
      </c>
    </row>
    <row r="17352" spans="1:11" ht="54" customHeight="1">
      <c r="A17352" s="9" t="s">
        <v>35184</v>
      </c>
      <c r="B17352" s="9" t="s">
        <v>35185</v>
      </c>
      <c r="C17352" s="9" t="s">
        <v>122</v>
      </c>
      <c r="D17352" s="9" t="s">
        <v>18</v>
      </c>
      <c r="E17352" s="10" t="s">
        <v>1883</v>
      </c>
      <c r="F17352" s="9" t="s">
        <v>1884</v>
      </c>
      <c r="G17352" s="10" t="s">
        <v>21</v>
      </c>
      <c r="H17352" s="9" t="s">
        <v>22</v>
      </c>
      <c r="I17352" s="9" t="s">
        <v>35186</v>
      </c>
      <c r="J17352" s="10" t="str">
        <f>HYPERLINK("https://www.boe.es/gazeta/dias/1834/01/11/pdfs/GMD-1834-6.pdf#page=3","Abrir facsímil")</f>
        <v>Abrir facsímil</v>
      </c>
      <c r="K17352" s="10" t="s">
        <v>24</v>
      </c>
    </row>
    <row r="17353" spans="1:11" ht="54" customHeight="1">
      <c r="A17353" s="9" t="s">
        <v>35187</v>
      </c>
      <c r="B17353" s="9" t="s">
        <v>35187</v>
      </c>
      <c r="C17353" s="9" t="s">
        <v>66</v>
      </c>
      <c r="D17353" s="9" t="s">
        <v>67</v>
      </c>
      <c r="E17353" s="10" t="s">
        <v>1337</v>
      </c>
      <c r="F17353" s="9" t="s">
        <v>1338</v>
      </c>
      <c r="G17353" s="10" t="s">
        <v>21</v>
      </c>
      <c r="H17353" s="9" t="s">
        <v>22</v>
      </c>
      <c r="I17353" s="9" t="s">
        <v>35188</v>
      </c>
      <c r="J17353" s="10" t="str">
        <f>HYPERLINK("https://www.boe.es/gazeta/dias/1834/01/02/pdfs/GMD-1834-1.pdf#page=3","Abrir facsímil")</f>
        <v>Abrir facsímil</v>
      </c>
      <c r="K17353" s="10" t="s">
        <v>24</v>
      </c>
    </row>
    <row r="17354" spans="1:11" ht="54" customHeight="1">
      <c r="A17354" s="9" t="s">
        <v>35187</v>
      </c>
      <c r="B17354" s="9" t="s">
        <v>35187</v>
      </c>
      <c r="C17354" s="9" t="s">
        <v>17</v>
      </c>
      <c r="D17354" s="9" t="s">
        <v>18</v>
      </c>
      <c r="E17354" s="10" t="s">
        <v>506</v>
      </c>
      <c r="F17354" s="9" t="s">
        <v>507</v>
      </c>
      <c r="G17354" s="10" t="s">
        <v>28</v>
      </c>
      <c r="H17354" s="9" t="s">
        <v>22</v>
      </c>
      <c r="I17354" s="9" t="s">
        <v>35189</v>
      </c>
      <c r="J17354" s="10" t="str">
        <f>HYPERLINK("https://www.boe.es/gazeta/dias/1834/03/04/pdfs/GMD-1834-28.pdf#page=5","Abrir facsímil")</f>
        <v>Abrir facsímil</v>
      </c>
      <c r="K17354" s="10" t="s">
        <v>24</v>
      </c>
    </row>
    <row r="17355" spans="1:11" ht="54" customHeight="1">
      <c r="A17355" s="9" t="s">
        <v>35187</v>
      </c>
      <c r="B17355" s="9" t="s">
        <v>35187</v>
      </c>
      <c r="C17355" s="9" t="s">
        <v>17</v>
      </c>
      <c r="D17355" s="9" t="s">
        <v>18</v>
      </c>
      <c r="E17355" s="10" t="s">
        <v>3699</v>
      </c>
      <c r="F17355" s="9" t="s">
        <v>6179</v>
      </c>
      <c r="G17355" s="10" t="s">
        <v>34</v>
      </c>
      <c r="H17355" s="9" t="s">
        <v>22</v>
      </c>
      <c r="I17355" s="9" t="s">
        <v>35190</v>
      </c>
      <c r="J17355" s="10" t="str">
        <f>HYPERLINK("https://www.boe.es/gazeta/dias/1834/02/06/pdfs/GMD-D-1834-17.pdf#page=1","Abrir facsímil")</f>
        <v>Abrir facsímil</v>
      </c>
      <c r="K17355" s="10" t="s">
        <v>24</v>
      </c>
    </row>
    <row r="17356" spans="1:11" ht="54" customHeight="1">
      <c r="A17356" s="9" t="s">
        <v>35187</v>
      </c>
      <c r="B17356" s="9" t="s">
        <v>35187</v>
      </c>
      <c r="C17356" s="9" t="s">
        <v>122</v>
      </c>
      <c r="D17356" s="9" t="s">
        <v>40</v>
      </c>
      <c r="E17356" s="10" t="s">
        <v>785</v>
      </c>
      <c r="F17356" s="9" t="s">
        <v>786</v>
      </c>
      <c r="G17356" s="10" t="s">
        <v>75</v>
      </c>
      <c r="H17356" s="9" t="s">
        <v>22</v>
      </c>
      <c r="I17356" s="9" t="s">
        <v>35191</v>
      </c>
      <c r="J17356" s="10" t="str">
        <f>HYPERLINK("https://www.boe.es/gazeta/dias/1834/02/11/pdfs/GMD-1834-19.pdf#page=4","Abrir facsímil")</f>
        <v>Abrir facsímil</v>
      </c>
      <c r="K17356" s="10" t="s">
        <v>24</v>
      </c>
    </row>
    <row r="17357" spans="1:11" ht="54" customHeight="1">
      <c r="A17357" s="9" t="s">
        <v>35187</v>
      </c>
      <c r="B17357" s="9" t="s">
        <v>35187</v>
      </c>
      <c r="C17357" s="9" t="s">
        <v>17</v>
      </c>
      <c r="D17357" s="9" t="s">
        <v>40</v>
      </c>
      <c r="E17357" s="10" t="s">
        <v>91</v>
      </c>
      <c r="F17357" s="9" t="s">
        <v>92</v>
      </c>
      <c r="G17357" s="10" t="s">
        <v>75</v>
      </c>
      <c r="H17357" s="9" t="s">
        <v>22</v>
      </c>
      <c r="I17357" s="9" t="s">
        <v>35192</v>
      </c>
      <c r="J17357" s="10" t="str">
        <f>HYPERLINK("https://www.boe.es/gazeta/dias/1834/02/13/pdfs/GMD-1834-20.pdf#page=4","Abrir facsímil")</f>
        <v>Abrir facsímil</v>
      </c>
      <c r="K17357" s="10" t="s">
        <v>24</v>
      </c>
    </row>
    <row r="17358" spans="1:11" ht="54" customHeight="1">
      <c r="A17358" s="9" t="s">
        <v>35187</v>
      </c>
      <c r="B17358" s="9" t="s">
        <v>35187</v>
      </c>
      <c r="C17358" s="9" t="s">
        <v>122</v>
      </c>
      <c r="D17358" s="9" t="s">
        <v>18</v>
      </c>
      <c r="E17358" s="10" t="s">
        <v>183</v>
      </c>
      <c r="F17358" s="9" t="s">
        <v>184</v>
      </c>
      <c r="G17358" s="10" t="s">
        <v>21</v>
      </c>
      <c r="H17358" s="9" t="s">
        <v>22</v>
      </c>
      <c r="I17358" s="9" t="s">
        <v>35193</v>
      </c>
      <c r="J17358" s="10" t="str">
        <f>HYPERLINK("https://www.boe.es/gazeta/dias/1834/03/18/pdfs/GMD-1834-34.pdf#page=3","Abrir facsímil")</f>
        <v>Abrir facsímil</v>
      </c>
      <c r="K17358" s="10" t="s">
        <v>24</v>
      </c>
    </row>
    <row r="17359" spans="1:11" ht="54" customHeight="1">
      <c r="A17359" s="9" t="s">
        <v>35187</v>
      </c>
      <c r="B17359" s="9" t="s">
        <v>35187</v>
      </c>
      <c r="C17359" s="9" t="s">
        <v>17</v>
      </c>
      <c r="D17359" s="9" t="s">
        <v>18</v>
      </c>
      <c r="E17359" s="10" t="s">
        <v>183</v>
      </c>
      <c r="F17359" s="9" t="s">
        <v>184</v>
      </c>
      <c r="G17359" s="10" t="s">
        <v>75</v>
      </c>
      <c r="H17359" s="9" t="s">
        <v>22</v>
      </c>
      <c r="I17359" s="9" t="s">
        <v>35194</v>
      </c>
      <c r="J17359" s="10" t="str">
        <f>HYPERLINK("https://www.boe.es/gazeta/dias/1834/03/18/pdfs/GMD-1834-34.pdf#page=4","Abrir facsímil")</f>
        <v>Abrir facsímil</v>
      </c>
      <c r="K17359" s="10" t="s">
        <v>24</v>
      </c>
    </row>
    <row r="17360" spans="1:11" ht="54" customHeight="1">
      <c r="A17360" s="9" t="s">
        <v>35195</v>
      </c>
      <c r="B17360" s="9" t="s">
        <v>35195</v>
      </c>
      <c r="C17360" s="9" t="s">
        <v>17</v>
      </c>
      <c r="D17360" s="9" t="s">
        <v>18</v>
      </c>
      <c r="E17360" s="10" t="s">
        <v>2302</v>
      </c>
      <c r="F17360" s="9" t="s">
        <v>2303</v>
      </c>
      <c r="G17360" s="10" t="s">
        <v>75</v>
      </c>
      <c r="H17360" s="9" t="s">
        <v>22</v>
      </c>
      <c r="I17360" s="9" t="s">
        <v>35196</v>
      </c>
      <c r="J17360" s="10" t="str">
        <f>HYPERLINK("https://www.boe.es/gazeta/dias/1834/01/25/pdfs/GMD-1834-12.pdf#page=4","Abrir facsímil")</f>
        <v>Abrir facsímil</v>
      </c>
      <c r="K17360" s="10" t="s">
        <v>24</v>
      </c>
    </row>
    <row r="17361" spans="1:11" ht="54" customHeight="1">
      <c r="A17361" s="9" t="s">
        <v>35197</v>
      </c>
      <c r="B17361" s="9" t="s">
        <v>35198</v>
      </c>
      <c r="C17361" s="9" t="s">
        <v>46</v>
      </c>
      <c r="D17361" s="9" t="s">
        <v>101</v>
      </c>
      <c r="E17361" s="10" t="s">
        <v>1918</v>
      </c>
      <c r="F17361" s="9" t="s">
        <v>1919</v>
      </c>
      <c r="G17361" s="10" t="s">
        <v>75</v>
      </c>
      <c r="H17361" s="9" t="s">
        <v>22</v>
      </c>
      <c r="I17361" s="9" t="s">
        <v>35199</v>
      </c>
      <c r="J17361" s="10" t="str">
        <f>HYPERLINK("https://www.boe.es/gazeta/dias/1834/03/22/pdfs/GMD-1834-36.pdf#page=4","Abrir facsímil")</f>
        <v>Abrir facsímil</v>
      </c>
      <c r="K17361" s="10" t="s">
        <v>24</v>
      </c>
    </row>
    <row r="17362" spans="1:11" ht="54" customHeight="1">
      <c r="A17362" s="9" t="s">
        <v>35200</v>
      </c>
      <c r="B17362" s="9" t="s">
        <v>35201</v>
      </c>
      <c r="C17362" s="9" t="s">
        <v>66</v>
      </c>
      <c r="D17362" s="9" t="s">
        <v>67</v>
      </c>
      <c r="E17362" s="10" t="s">
        <v>739</v>
      </c>
      <c r="F17362" s="9" t="s">
        <v>740</v>
      </c>
      <c r="G17362" s="10" t="s">
        <v>75</v>
      </c>
      <c r="H17362" s="9" t="s">
        <v>22</v>
      </c>
      <c r="I17362" s="9" t="s">
        <v>35202</v>
      </c>
      <c r="J17362" s="10" t="str">
        <f>HYPERLINK("https://www.boe.es/gazeta/dias/1834/03/25/pdfs/GMD-1834-37.pdf#page=4","Abrir facsímil")</f>
        <v>Abrir facsímil</v>
      </c>
      <c r="K17362" s="10" t="s">
        <v>24</v>
      </c>
    </row>
    <row r="17363" spans="1:11" ht="54" customHeight="1">
      <c r="A17363" s="9" t="s">
        <v>35197</v>
      </c>
      <c r="B17363" s="9" t="s">
        <v>35198</v>
      </c>
      <c r="C17363" s="9" t="s">
        <v>122</v>
      </c>
      <c r="D17363" s="9" t="s">
        <v>101</v>
      </c>
      <c r="E17363" s="10" t="s">
        <v>1307</v>
      </c>
      <c r="F17363" s="9" t="s">
        <v>1308</v>
      </c>
      <c r="G17363" s="10" t="s">
        <v>21</v>
      </c>
      <c r="H17363" s="9" t="s">
        <v>22</v>
      </c>
      <c r="I17363" s="9" t="s">
        <v>35203</v>
      </c>
      <c r="J17363" s="10" t="str">
        <f>HYPERLINK("https://www.boe.es/gazeta/dias/1834/08/25/pdfs/GMD-1834-191.pdf#page=3","Abrir facsímil")</f>
        <v>Abrir facsímil</v>
      </c>
      <c r="K17363" s="10" t="s">
        <v>24</v>
      </c>
    </row>
    <row r="17364" spans="1:11" ht="54" customHeight="1">
      <c r="A17364" s="9" t="s">
        <v>35204</v>
      </c>
      <c r="B17364" s="9" t="s">
        <v>35205</v>
      </c>
      <c r="C17364" s="9" t="s">
        <v>46</v>
      </c>
      <c r="D17364" s="9" t="s">
        <v>101</v>
      </c>
      <c r="E17364" s="10" t="s">
        <v>1918</v>
      </c>
      <c r="F17364" s="9" t="s">
        <v>1919</v>
      </c>
      <c r="G17364" s="10" t="s">
        <v>75</v>
      </c>
      <c r="H17364" s="9" t="s">
        <v>35</v>
      </c>
      <c r="I17364" s="9" t="s">
        <v>35206</v>
      </c>
      <c r="J17364" s="10" t="str">
        <f>HYPERLINK("https://www.boe.es/gazeta/dias/1834/03/22/pdfs/GMD-1834-36.pdf#page=4","Abrir facsímil")</f>
        <v>Abrir facsímil</v>
      </c>
      <c r="K17364" s="10" t="s">
        <v>37</v>
      </c>
    </row>
    <row r="17365" spans="1:11" ht="54" customHeight="1">
      <c r="A17365" s="9" t="s">
        <v>35207</v>
      </c>
      <c r="B17365" s="9" t="s">
        <v>35207</v>
      </c>
      <c r="C17365" s="9" t="s">
        <v>66</v>
      </c>
      <c r="D17365" s="9" t="s">
        <v>67</v>
      </c>
      <c r="E17365" s="10" t="s">
        <v>183</v>
      </c>
      <c r="F17365" s="9" t="s">
        <v>184</v>
      </c>
      <c r="G17365" s="10" t="s">
        <v>21</v>
      </c>
      <c r="H17365" s="9" t="s">
        <v>22</v>
      </c>
      <c r="I17365" s="9" t="s">
        <v>35208</v>
      </c>
      <c r="J17365" s="10" t="str">
        <f>HYPERLINK("https://www.boe.es/gazeta/dias/1834/03/18/pdfs/GMD-1834-34.pdf#page=3","Abrir facsímil")</f>
        <v>Abrir facsímil</v>
      </c>
      <c r="K17365" s="10" t="s">
        <v>24</v>
      </c>
    </row>
    <row r="17366" spans="1:11" ht="54" customHeight="1">
      <c r="A17366" s="9" t="s">
        <v>35209</v>
      </c>
      <c r="B17366" s="9" t="s">
        <v>35209</v>
      </c>
      <c r="C17366" s="9" t="s">
        <v>90</v>
      </c>
      <c r="D17366" s="9" t="s">
        <v>18</v>
      </c>
      <c r="E17366" s="10" t="s">
        <v>339</v>
      </c>
      <c r="F17366" s="9" t="s">
        <v>340</v>
      </c>
      <c r="G17366" s="10" t="s">
        <v>21</v>
      </c>
      <c r="H17366" s="9" t="s">
        <v>22</v>
      </c>
      <c r="I17366" s="9" t="s">
        <v>35210</v>
      </c>
      <c r="J17366" s="10" t="str">
        <f>HYPERLINK("https://www.boe.es/gazeta/dias/1834/05/02/pdfs/GMD-1834-71.pdf#page=3","Abrir facsímil")</f>
        <v>Abrir facsímil</v>
      </c>
      <c r="K17366" s="10" t="s">
        <v>24</v>
      </c>
    </row>
    <row r="17367" spans="1:11" ht="54" customHeight="1">
      <c r="A17367" s="9" t="s">
        <v>35209</v>
      </c>
      <c r="B17367" s="9" t="s">
        <v>35209</v>
      </c>
      <c r="C17367" s="9" t="s">
        <v>66</v>
      </c>
      <c r="D17367" s="9" t="s">
        <v>67</v>
      </c>
      <c r="E17367" s="10" t="s">
        <v>2241</v>
      </c>
      <c r="F17367" s="9" t="s">
        <v>2242</v>
      </c>
      <c r="G17367" s="10" t="s">
        <v>21</v>
      </c>
      <c r="H17367" s="9" t="s">
        <v>22</v>
      </c>
      <c r="I17367" s="9" t="s">
        <v>35211</v>
      </c>
      <c r="J17367" s="10" t="str">
        <f>HYPERLINK("https://www.boe.es/gazeta/dias/1834/03/11/pdfs/GMD-1834-31.pdf#page=3","Abrir facsímil")</f>
        <v>Abrir facsímil</v>
      </c>
      <c r="K17367" s="10" t="s">
        <v>24</v>
      </c>
    </row>
    <row r="17368" spans="1:11" ht="54" customHeight="1">
      <c r="A17368" s="9" t="s">
        <v>35212</v>
      </c>
      <c r="B17368" s="9" t="s">
        <v>35212</v>
      </c>
      <c r="C17368" s="9" t="s">
        <v>90</v>
      </c>
      <c r="D17368" s="9" t="s">
        <v>18</v>
      </c>
      <c r="E17368" s="10" t="s">
        <v>739</v>
      </c>
      <c r="F17368" s="9" t="s">
        <v>740</v>
      </c>
      <c r="G17368" s="10" t="s">
        <v>34</v>
      </c>
      <c r="H17368" s="9" t="s">
        <v>22</v>
      </c>
      <c r="I17368" s="9" t="s">
        <v>35213</v>
      </c>
      <c r="J17368" s="10" t="str">
        <f>HYPERLINK("https://www.boe.es/gazeta/dias/1834/03/25/pdfs/GMD-1834-37.pdf#page=1","Abrir facsímil")</f>
        <v>Abrir facsímil</v>
      </c>
      <c r="K17368" s="10" t="s">
        <v>24</v>
      </c>
    </row>
    <row r="17369" spans="1:11" ht="54" customHeight="1">
      <c r="A17369" s="9" t="s">
        <v>35209</v>
      </c>
      <c r="B17369" s="9" t="s">
        <v>35209</v>
      </c>
      <c r="C17369" s="9" t="s">
        <v>17</v>
      </c>
      <c r="D17369" s="9" t="s">
        <v>18</v>
      </c>
      <c r="E17369" s="10" t="s">
        <v>371</v>
      </c>
      <c r="F17369" s="9" t="s">
        <v>372</v>
      </c>
      <c r="G17369" s="10" t="s">
        <v>75</v>
      </c>
      <c r="H17369" s="9" t="s">
        <v>22</v>
      </c>
      <c r="I17369" s="9" t="s">
        <v>35214</v>
      </c>
      <c r="J17369" s="10" t="str">
        <f>HYPERLINK("https://www.boe.es/gazeta/dias/1834/05/27/pdfs/GMD-1834-96.pdf#page=4","Abrir facsímil")</f>
        <v>Abrir facsímil</v>
      </c>
      <c r="K17369" s="10" t="s">
        <v>24</v>
      </c>
    </row>
    <row r="17370" spans="1:11" ht="54" customHeight="1">
      <c r="A17370" s="9" t="s">
        <v>35215</v>
      </c>
      <c r="B17370" s="9" t="s">
        <v>35216</v>
      </c>
      <c r="C17370" s="9" t="s">
        <v>66</v>
      </c>
      <c r="D17370" s="9" t="s">
        <v>67</v>
      </c>
      <c r="E17370" s="10" t="s">
        <v>2241</v>
      </c>
      <c r="F17370" s="9" t="s">
        <v>2242</v>
      </c>
      <c r="G17370" s="10" t="s">
        <v>21</v>
      </c>
      <c r="H17370" s="9" t="s">
        <v>22</v>
      </c>
      <c r="I17370" s="9" t="s">
        <v>35217</v>
      </c>
      <c r="J17370" s="10" t="str">
        <f>HYPERLINK("https://www.boe.es/gazeta/dias/1834/03/11/pdfs/GMD-1834-31.pdf#page=3","Abrir facsímil")</f>
        <v>Abrir facsímil</v>
      </c>
      <c r="K17370" s="10" t="s">
        <v>24</v>
      </c>
    </row>
    <row r="17371" spans="1:11" ht="54" customHeight="1">
      <c r="A17371" s="9" t="s">
        <v>35218</v>
      </c>
      <c r="B17371" s="9" t="s">
        <v>35219</v>
      </c>
      <c r="C17371" s="9" t="s">
        <v>90</v>
      </c>
      <c r="D17371" s="9" t="s">
        <v>18</v>
      </c>
      <c r="E17371" s="10" t="s">
        <v>339</v>
      </c>
      <c r="F17371" s="9" t="s">
        <v>340</v>
      </c>
      <c r="G17371" s="10" t="s">
        <v>21</v>
      </c>
      <c r="H17371" s="9" t="s">
        <v>35</v>
      </c>
      <c r="I17371" s="9" t="s">
        <v>35220</v>
      </c>
      <c r="J17371" s="10" t="str">
        <f>HYPERLINK("https://www.boe.es/gazeta/dias/1834/05/02/pdfs/GMD-1834-71.pdf#page=3","Abrir facsímil")</f>
        <v>Abrir facsímil</v>
      </c>
      <c r="K17371" s="10" t="s">
        <v>37</v>
      </c>
    </row>
    <row r="17372" spans="1:11" ht="54" customHeight="1">
      <c r="A17372" s="9" t="s">
        <v>35221</v>
      </c>
      <c r="B17372" s="9" t="s">
        <v>35222</v>
      </c>
      <c r="C17372" s="9" t="s">
        <v>122</v>
      </c>
      <c r="D17372" s="9" t="s">
        <v>18</v>
      </c>
      <c r="E17372" s="10" t="s">
        <v>84</v>
      </c>
      <c r="F17372" s="9" t="s">
        <v>85</v>
      </c>
      <c r="G17372" s="10" t="s">
        <v>86</v>
      </c>
      <c r="H17372" s="9" t="s">
        <v>22</v>
      </c>
      <c r="I17372" s="9" t="s">
        <v>35223</v>
      </c>
      <c r="J17372" s="10" t="str">
        <f>HYPERLINK("https://www.boe.es/gazeta/dias/1834/06/07/pdfs/GMD-C-1834-109.pdf#page=2","Abrir facsímil")</f>
        <v>Abrir facsímil</v>
      </c>
      <c r="K17372" s="10" t="s">
        <v>24</v>
      </c>
    </row>
    <row r="17373" spans="1:11" ht="54" customHeight="1">
      <c r="A17373" s="9" t="s">
        <v>35224</v>
      </c>
      <c r="B17373" s="9" t="s">
        <v>35225</v>
      </c>
      <c r="C17373" s="9" t="s">
        <v>46</v>
      </c>
      <c r="D17373" s="9" t="s">
        <v>18</v>
      </c>
      <c r="E17373" s="10" t="s">
        <v>426</v>
      </c>
      <c r="F17373" s="9" t="s">
        <v>427</v>
      </c>
      <c r="G17373" s="10" t="s">
        <v>21</v>
      </c>
      <c r="H17373" s="9" t="s">
        <v>22</v>
      </c>
      <c r="I17373" s="9" t="s">
        <v>35226</v>
      </c>
      <c r="J17373" s="10" t="str">
        <f>HYPERLINK("https://www.boe.es/gazeta/dias/1834/10/04/pdfs/GMD-1834-232.pdf#page=3","Abrir facsímil")</f>
        <v>Abrir facsímil</v>
      </c>
      <c r="K17373" s="10" t="s">
        <v>24</v>
      </c>
    </row>
    <row r="17374" spans="1:11" ht="54" customHeight="1">
      <c r="A17374" s="9" t="s">
        <v>35227</v>
      </c>
      <c r="B17374" s="9" t="s">
        <v>35227</v>
      </c>
      <c r="C17374" s="9" t="s">
        <v>46</v>
      </c>
      <c r="D17374" s="9" t="s">
        <v>101</v>
      </c>
      <c r="E17374" s="10" t="s">
        <v>233</v>
      </c>
      <c r="F17374" s="9" t="s">
        <v>1810</v>
      </c>
      <c r="G17374" s="10" t="s">
        <v>560</v>
      </c>
      <c r="H17374" s="9" t="s">
        <v>22</v>
      </c>
      <c r="I17374" s="9" t="s">
        <v>35228</v>
      </c>
      <c r="J17374" s="10" t="str">
        <f>HYPERLINK("https://www.boe.es/gazeta/dias/1834/12/16/pdfs/GMD-C-1834-305.pdf#page=7","Abrir facsímil")</f>
        <v>Abrir facsímil</v>
      </c>
      <c r="K17374" s="10" t="s">
        <v>24</v>
      </c>
    </row>
    <row r="17375" spans="1:11" ht="54" customHeight="1">
      <c r="A17375" s="9" t="s">
        <v>35229</v>
      </c>
      <c r="B17375" s="9" t="s">
        <v>35229</v>
      </c>
      <c r="C17375" s="9" t="s">
        <v>17</v>
      </c>
      <c r="D17375" s="9" t="s">
        <v>55</v>
      </c>
      <c r="E17375" s="10" t="s">
        <v>702</v>
      </c>
      <c r="F17375" s="9" t="s">
        <v>703</v>
      </c>
      <c r="G17375" s="10" t="s">
        <v>86</v>
      </c>
      <c r="H17375" s="9" t="s">
        <v>22</v>
      </c>
      <c r="I17375" s="9" t="s">
        <v>35230</v>
      </c>
      <c r="J17375" s="10" t="str">
        <f>HYPERLINK("https://www.boe.es/gazeta/dias/1834/11/22/pdfs/GMD-C-1834-281.pdf#page=2","Abrir facsímil")</f>
        <v>Abrir facsímil</v>
      </c>
      <c r="K17375" s="10" t="s">
        <v>24</v>
      </c>
    </row>
    <row r="17376" spans="1:11" ht="54" customHeight="1">
      <c r="A17376" s="9" t="s">
        <v>35231</v>
      </c>
      <c r="B17376" s="9" t="s">
        <v>35232</v>
      </c>
      <c r="C17376" s="9" t="s">
        <v>66</v>
      </c>
      <c r="D17376" s="9" t="s">
        <v>67</v>
      </c>
      <c r="E17376" s="10" t="s">
        <v>1955</v>
      </c>
      <c r="F17376" s="9" t="s">
        <v>1956</v>
      </c>
      <c r="G17376" s="10" t="s">
        <v>75</v>
      </c>
      <c r="H17376" s="9" t="s">
        <v>22</v>
      </c>
      <c r="I17376" s="9" t="s">
        <v>35233</v>
      </c>
      <c r="J17376" s="10" t="str">
        <f>HYPERLINK("https://www.boe.es/gazeta/dias/1834/05/04/pdfs/GMD-1834-73.pdf#page=4","Abrir facsímil")</f>
        <v>Abrir facsímil</v>
      </c>
      <c r="K17376" s="10" t="s">
        <v>24</v>
      </c>
    </row>
    <row r="17377" spans="1:11" ht="54" customHeight="1">
      <c r="A17377" s="9" t="s">
        <v>35234</v>
      </c>
      <c r="B17377" s="9" t="s">
        <v>35235</v>
      </c>
      <c r="C17377" s="9" t="s">
        <v>17</v>
      </c>
      <c r="D17377" s="9" t="s">
        <v>18</v>
      </c>
      <c r="E17377" s="10" t="s">
        <v>905</v>
      </c>
      <c r="F17377" s="9" t="s">
        <v>1651</v>
      </c>
      <c r="G17377" s="10" t="s">
        <v>75</v>
      </c>
      <c r="H17377" s="9" t="s">
        <v>22</v>
      </c>
      <c r="I17377" s="9" t="s">
        <v>35236</v>
      </c>
      <c r="J17377" s="10" t="str">
        <f>HYPERLINK("https://www.boe.es/gazeta/dias/1834/08/02/pdfs/GMD-1834-166.pdf#page=4","Abrir facsímil")</f>
        <v>Abrir facsímil</v>
      </c>
      <c r="K17377" s="10" t="s">
        <v>24</v>
      </c>
    </row>
    <row r="17378" spans="1:11" ht="54" customHeight="1">
      <c r="A17378" s="9" t="s">
        <v>35237</v>
      </c>
      <c r="B17378" s="9" t="s">
        <v>35238</v>
      </c>
      <c r="C17378" s="9" t="s">
        <v>90</v>
      </c>
      <c r="D17378" s="9" t="s">
        <v>18</v>
      </c>
      <c r="E17378" s="10" t="s">
        <v>2950</v>
      </c>
      <c r="F17378" s="9" t="s">
        <v>2951</v>
      </c>
      <c r="G17378" s="10" t="s">
        <v>75</v>
      </c>
      <c r="H17378" s="9" t="s">
        <v>22</v>
      </c>
      <c r="I17378" s="9" t="s">
        <v>35239</v>
      </c>
      <c r="J17378" s="10" t="str">
        <f>HYPERLINK("https://www.boe.es/gazeta/dias/1834/05/20/pdfs/GMD-1834-89.pdf#page=4","Abrir facsímil")</f>
        <v>Abrir facsímil</v>
      </c>
      <c r="K17378" s="10" t="s">
        <v>24</v>
      </c>
    </row>
    <row r="17379" spans="1:11" ht="54" customHeight="1">
      <c r="A17379" s="9" t="s">
        <v>35240</v>
      </c>
      <c r="B17379" s="9" t="s">
        <v>35241</v>
      </c>
      <c r="C17379" s="9" t="s">
        <v>66</v>
      </c>
      <c r="D17379" s="9" t="s">
        <v>18</v>
      </c>
      <c r="E17379" s="10" t="s">
        <v>928</v>
      </c>
      <c r="F17379" s="9" t="s">
        <v>3338</v>
      </c>
      <c r="G17379" s="10" t="s">
        <v>21</v>
      </c>
      <c r="H17379" s="9" t="s">
        <v>22</v>
      </c>
      <c r="I17379" s="9" t="s">
        <v>35242</v>
      </c>
      <c r="J17379" s="10" t="str">
        <f>HYPERLINK("https://www.boe.es/gazeta/dias/1834/11/15/pdfs/GMD-1834-274.pdf#page=3","Abrir facsímil")</f>
        <v>Abrir facsímil</v>
      </c>
      <c r="K17379" s="10" t="s">
        <v>24</v>
      </c>
    </row>
    <row r="17380" spans="1:11" ht="54" customHeight="1">
      <c r="A17380" s="9" t="s">
        <v>35243</v>
      </c>
      <c r="B17380" s="9" t="s">
        <v>35244</v>
      </c>
      <c r="C17380" s="9" t="s">
        <v>17</v>
      </c>
      <c r="D17380" s="9" t="s">
        <v>55</v>
      </c>
      <c r="E17380" s="10" t="s">
        <v>299</v>
      </c>
      <c r="F17380" s="9" t="s">
        <v>300</v>
      </c>
      <c r="G17380" s="10" t="s">
        <v>21</v>
      </c>
      <c r="H17380" s="9" t="s">
        <v>22</v>
      </c>
      <c r="I17380" s="9" t="s">
        <v>35245</v>
      </c>
      <c r="J17380" s="10" t="str">
        <f>HYPERLINK("https://www.boe.es/gazeta/dias/1834/12/12/pdfs/GMD-1834-301.pdf#page=3","Abrir facsímil")</f>
        <v>Abrir facsímil</v>
      </c>
      <c r="K17380" s="10" t="s">
        <v>24</v>
      </c>
    </row>
    <row r="17381" spans="1:11" ht="54" customHeight="1">
      <c r="A17381" s="9" t="s">
        <v>35246</v>
      </c>
      <c r="B17381" s="9" t="s">
        <v>35247</v>
      </c>
      <c r="C17381" s="9" t="s">
        <v>90</v>
      </c>
      <c r="D17381" s="9" t="s">
        <v>18</v>
      </c>
      <c r="E17381" s="10" t="s">
        <v>299</v>
      </c>
      <c r="F17381" s="9" t="s">
        <v>300</v>
      </c>
      <c r="G17381" s="10" t="s">
        <v>21</v>
      </c>
      <c r="H17381" s="9" t="s">
        <v>22</v>
      </c>
      <c r="I17381" s="9" t="s">
        <v>35248</v>
      </c>
      <c r="J17381" s="10" t="str">
        <f>HYPERLINK("https://www.boe.es/gazeta/dias/1834/12/12/pdfs/GMD-1834-301.pdf#page=3","Abrir facsímil")</f>
        <v>Abrir facsímil</v>
      </c>
      <c r="K17381" s="10" t="s">
        <v>24</v>
      </c>
    </row>
    <row r="17382" spans="1:11" ht="54" customHeight="1">
      <c r="A17382" s="9" t="s">
        <v>35249</v>
      </c>
      <c r="B17382" s="9" t="s">
        <v>35250</v>
      </c>
      <c r="C17382" s="9" t="s">
        <v>122</v>
      </c>
      <c r="D17382" s="9" t="s">
        <v>18</v>
      </c>
      <c r="E17382" s="10" t="s">
        <v>2729</v>
      </c>
      <c r="F17382" s="9" t="s">
        <v>2730</v>
      </c>
      <c r="G17382" s="10" t="s">
        <v>34</v>
      </c>
      <c r="H17382" s="9" t="s">
        <v>22</v>
      </c>
      <c r="I17382" s="9" t="s">
        <v>35251</v>
      </c>
      <c r="J17382" s="10" t="str">
        <f>HYPERLINK("https://www.boe.es/gazeta/dias/1834/07/02/pdfs/GMD-1834-135.pdf#page=1","Abrir facsímil")</f>
        <v>Abrir facsímil</v>
      </c>
      <c r="K17382" s="10" t="s">
        <v>24</v>
      </c>
    </row>
    <row r="17383" spans="1:11" ht="54" customHeight="1">
      <c r="A17383" s="9" t="s">
        <v>35252</v>
      </c>
      <c r="B17383" s="9" t="s">
        <v>35253</v>
      </c>
      <c r="C17383" s="9" t="s">
        <v>66</v>
      </c>
      <c r="D17383" s="9" t="s">
        <v>67</v>
      </c>
      <c r="E17383" s="10" t="s">
        <v>73</v>
      </c>
      <c r="F17383" s="9" t="s">
        <v>74</v>
      </c>
      <c r="G17383" s="10" t="s">
        <v>75</v>
      </c>
      <c r="H17383" s="9" t="s">
        <v>22</v>
      </c>
      <c r="I17383" s="9" t="s">
        <v>35254</v>
      </c>
      <c r="J17383" s="10" t="str">
        <f>HYPERLINK("https://www.boe.es/gazeta/dias/1834/11/04/pdfs/GMD-1834-263.pdf#page=4","Abrir facsímil")</f>
        <v>Abrir facsímil</v>
      </c>
      <c r="K17383" s="10" t="s">
        <v>24</v>
      </c>
    </row>
    <row r="17384" spans="1:11" ht="54" customHeight="1">
      <c r="A17384" s="9" t="s">
        <v>35255</v>
      </c>
      <c r="B17384" s="9" t="s">
        <v>35256</v>
      </c>
      <c r="C17384" s="9" t="s">
        <v>17</v>
      </c>
      <c r="D17384" s="9" t="s">
        <v>55</v>
      </c>
      <c r="E17384" s="10" t="s">
        <v>299</v>
      </c>
      <c r="F17384" s="9" t="s">
        <v>300</v>
      </c>
      <c r="G17384" s="10" t="s">
        <v>21</v>
      </c>
      <c r="H17384" s="9" t="s">
        <v>22</v>
      </c>
      <c r="I17384" s="9" t="s">
        <v>35257</v>
      </c>
      <c r="J17384" s="10" t="str">
        <f>HYPERLINK("https://www.boe.es/gazeta/dias/1834/12/12/pdfs/GMD-1834-301.pdf#page=3","Abrir facsímil")</f>
        <v>Abrir facsímil</v>
      </c>
      <c r="K17384" s="10" t="s">
        <v>24</v>
      </c>
    </row>
    <row r="17385" spans="1:11" ht="54" customHeight="1">
      <c r="A17385" s="9" t="s">
        <v>35258</v>
      </c>
      <c r="B17385" s="9" t="s">
        <v>35258</v>
      </c>
      <c r="C17385" s="9" t="s">
        <v>17</v>
      </c>
      <c r="D17385" s="9" t="s">
        <v>18</v>
      </c>
      <c r="E17385" s="10" t="s">
        <v>690</v>
      </c>
      <c r="F17385" s="9" t="s">
        <v>691</v>
      </c>
      <c r="G17385" s="10" t="s">
        <v>28</v>
      </c>
      <c r="H17385" s="9" t="s">
        <v>22</v>
      </c>
      <c r="I17385" s="9" t="s">
        <v>35259</v>
      </c>
      <c r="J17385" s="10" t="str">
        <f>HYPERLINK("https://www.boe.es/gazeta/dias/1834/09/03/pdfs/GMD-C-1834-201.pdf#page=5","Abrir facsímil")</f>
        <v>Abrir facsímil</v>
      </c>
      <c r="K17385" s="10" t="s">
        <v>24</v>
      </c>
    </row>
    <row r="17386" spans="1:11" ht="54" customHeight="1">
      <c r="A17386" s="9" t="s">
        <v>35258</v>
      </c>
      <c r="B17386" s="9" t="s">
        <v>35258</v>
      </c>
      <c r="C17386" s="9" t="s">
        <v>17</v>
      </c>
      <c r="D17386" s="9" t="s">
        <v>18</v>
      </c>
      <c r="E17386" s="10" t="s">
        <v>243</v>
      </c>
      <c r="F17386" s="9" t="s">
        <v>244</v>
      </c>
      <c r="G17386" s="10" t="s">
        <v>86</v>
      </c>
      <c r="H17386" s="9" t="s">
        <v>22</v>
      </c>
      <c r="I17386" s="9" t="s">
        <v>35260</v>
      </c>
      <c r="J17386" s="10" t="str">
        <f>HYPERLINK("https://www.boe.es/gazeta/dias/1834/08/05/pdfs/GMD-C-1834-169.pdf#page=2","Abrir facsímil")</f>
        <v>Abrir facsímil</v>
      </c>
      <c r="K17386" s="10" t="s">
        <v>24</v>
      </c>
    </row>
    <row r="17387" spans="1:11" ht="54" customHeight="1">
      <c r="A17387" s="9" t="s">
        <v>35261</v>
      </c>
      <c r="B17387" s="9" t="s">
        <v>35261</v>
      </c>
      <c r="C17387" s="9" t="s">
        <v>17</v>
      </c>
      <c r="D17387" s="9" t="s">
        <v>18</v>
      </c>
      <c r="E17387" s="10" t="s">
        <v>294</v>
      </c>
      <c r="F17387" s="9" t="s">
        <v>959</v>
      </c>
      <c r="G17387" s="10" t="s">
        <v>21</v>
      </c>
      <c r="H17387" s="9" t="s">
        <v>22</v>
      </c>
      <c r="I17387" s="9" t="s">
        <v>35262</v>
      </c>
      <c r="J17387" s="10" t="str">
        <f>HYPERLINK("https://www.boe.es/gazeta/dias/1834/09/27/pdfs/GMD-C-1834-225.pdf#page=3","Abrir facsímil")</f>
        <v>Abrir facsímil</v>
      </c>
      <c r="K17387" s="10" t="s">
        <v>24</v>
      </c>
    </row>
    <row r="17388" spans="1:11" ht="54" customHeight="1">
      <c r="A17388" s="9" t="s">
        <v>35263</v>
      </c>
      <c r="B17388" s="9" t="s">
        <v>35264</v>
      </c>
      <c r="C17388" s="9" t="s">
        <v>17</v>
      </c>
      <c r="D17388" s="9" t="s">
        <v>18</v>
      </c>
      <c r="E17388" s="10" t="s">
        <v>1922</v>
      </c>
      <c r="F17388" s="9" t="s">
        <v>1923</v>
      </c>
      <c r="G17388" s="10" t="s">
        <v>176</v>
      </c>
      <c r="H17388" s="9" t="s">
        <v>22</v>
      </c>
      <c r="I17388" s="9" t="s">
        <v>35265</v>
      </c>
      <c r="J17388" s="10" t="str">
        <f>HYPERLINK("https://www.boe.es/gazeta/dias/1834/02/25/pdfs/GMD-1834-25.pdf#page=6","Abrir facsímil")</f>
        <v>Abrir facsímil</v>
      </c>
      <c r="K17388" s="10" t="s">
        <v>24</v>
      </c>
    </row>
    <row r="17389" spans="1:11" ht="54" customHeight="1">
      <c r="A17389" s="9" t="s">
        <v>35266</v>
      </c>
      <c r="B17389" s="9" t="s">
        <v>35266</v>
      </c>
      <c r="C17389" s="9" t="s">
        <v>17</v>
      </c>
      <c r="D17389" s="9" t="s">
        <v>18</v>
      </c>
      <c r="E17389" s="10" t="s">
        <v>1351</v>
      </c>
      <c r="F17389" s="9" t="s">
        <v>1352</v>
      </c>
      <c r="G17389" s="10" t="s">
        <v>21</v>
      </c>
      <c r="H17389" s="9" t="s">
        <v>22</v>
      </c>
      <c r="I17389" s="9" t="s">
        <v>35267</v>
      </c>
      <c r="J17389" s="10" t="str">
        <f>HYPERLINK("https://www.boe.es/gazeta/dias/1834/07/05/pdfs/GMD-1834-138.pdf#page=3","Abrir facsímil")</f>
        <v>Abrir facsímil</v>
      </c>
      <c r="K17389" s="10" t="s">
        <v>24</v>
      </c>
    </row>
    <row r="17390" spans="1:11" ht="54" customHeight="1">
      <c r="A17390" s="9" t="s">
        <v>35268</v>
      </c>
      <c r="B17390" s="9" t="s">
        <v>35268</v>
      </c>
      <c r="C17390" s="9" t="s">
        <v>17</v>
      </c>
      <c r="D17390" s="9" t="s">
        <v>18</v>
      </c>
      <c r="E17390" s="10" t="s">
        <v>73</v>
      </c>
      <c r="F17390" s="9" t="s">
        <v>74</v>
      </c>
      <c r="G17390" s="10" t="s">
        <v>86</v>
      </c>
      <c r="H17390" s="9" t="s">
        <v>22</v>
      </c>
      <c r="I17390" s="9" t="s">
        <v>35269</v>
      </c>
      <c r="J17390" s="10" t="str">
        <f>HYPERLINK("https://www.boe.es/gazeta/dias/1834/11/04/pdfs/GMD-1834-263.pdf#page=2","Abrir facsímil")</f>
        <v>Abrir facsímil</v>
      </c>
      <c r="K17390" s="10" t="s">
        <v>24</v>
      </c>
    </row>
    <row r="17391" spans="1:11" ht="54" customHeight="1">
      <c r="A17391" s="9" t="s">
        <v>35270</v>
      </c>
      <c r="B17391" s="9" t="s">
        <v>35271</v>
      </c>
      <c r="C17391" s="9" t="s">
        <v>17</v>
      </c>
      <c r="D17391" s="9" t="s">
        <v>55</v>
      </c>
      <c r="E17391" s="10" t="s">
        <v>96</v>
      </c>
      <c r="F17391" s="9" t="s">
        <v>1725</v>
      </c>
      <c r="G17391" s="10" t="s">
        <v>86</v>
      </c>
      <c r="H17391" s="9" t="s">
        <v>22</v>
      </c>
      <c r="I17391" s="9" t="s">
        <v>35272</v>
      </c>
      <c r="J17391" s="10" t="str">
        <f>HYPERLINK("https://www.boe.es/gazeta/dias/1834/11/11/pdfs/GMD-1834-270.pdf#page=2","Abrir facsímil")</f>
        <v>Abrir facsímil</v>
      </c>
      <c r="K17391" s="10" t="s">
        <v>24</v>
      </c>
    </row>
    <row r="17392" spans="1:11" ht="54" customHeight="1">
      <c r="A17392" s="9" t="s">
        <v>35273</v>
      </c>
      <c r="B17392" s="9" t="s">
        <v>35273</v>
      </c>
      <c r="C17392" s="9" t="s">
        <v>17</v>
      </c>
      <c r="D17392" s="9" t="s">
        <v>18</v>
      </c>
      <c r="E17392" s="10" t="s">
        <v>364</v>
      </c>
      <c r="F17392" s="9" t="s">
        <v>365</v>
      </c>
      <c r="G17392" s="10" t="s">
        <v>28</v>
      </c>
      <c r="H17392" s="9" t="s">
        <v>22</v>
      </c>
      <c r="I17392" s="9" t="s">
        <v>35274</v>
      </c>
      <c r="J17392" s="10" t="str">
        <f>HYPERLINK("https://www.boe.es/gazeta/dias/1834/09/06/pdfs/GMD-C-1834-204.pdf#page=5","Abrir facsímil")</f>
        <v>Abrir facsímil</v>
      </c>
      <c r="K17392" s="10" t="s">
        <v>24</v>
      </c>
    </row>
    <row r="17393" spans="1:11" ht="54" customHeight="1">
      <c r="A17393" s="9" t="s">
        <v>35275</v>
      </c>
      <c r="B17393" s="9" t="s">
        <v>35276</v>
      </c>
      <c r="C17393" s="9" t="s">
        <v>122</v>
      </c>
      <c r="D17393" s="9" t="s">
        <v>40</v>
      </c>
      <c r="E17393" s="10" t="s">
        <v>117</v>
      </c>
      <c r="F17393" s="9" t="s">
        <v>118</v>
      </c>
      <c r="G17393" s="10" t="s">
        <v>75</v>
      </c>
      <c r="H17393" s="9" t="s">
        <v>35</v>
      </c>
      <c r="I17393" s="9" t="s">
        <v>35277</v>
      </c>
      <c r="J17393" s="10" t="str">
        <f>HYPERLINK("https://www.boe.es/gazeta/dias/1834/07/21/pdfs/GMD-1834-154.pdf#page=4","Abrir facsímil")</f>
        <v>Abrir facsímil</v>
      </c>
      <c r="K17393" s="10" t="s">
        <v>37</v>
      </c>
    </row>
    <row r="17394" spans="1:11" ht="54" customHeight="1">
      <c r="A17394" s="9" t="s">
        <v>35278</v>
      </c>
      <c r="B17394" s="9" t="s">
        <v>35279</v>
      </c>
      <c r="C17394" s="9" t="s">
        <v>122</v>
      </c>
      <c r="D17394" s="9" t="s">
        <v>40</v>
      </c>
      <c r="E17394" s="10" t="s">
        <v>117</v>
      </c>
      <c r="F17394" s="9" t="s">
        <v>118</v>
      </c>
      <c r="G17394" s="10" t="s">
        <v>75</v>
      </c>
      <c r="H17394" s="9" t="s">
        <v>22</v>
      </c>
      <c r="I17394" s="9" t="s">
        <v>35280</v>
      </c>
      <c r="J17394" s="10" t="str">
        <f>HYPERLINK("https://www.boe.es/gazeta/dias/1834/07/21/pdfs/GMD-1834-154.pdf#page=4","Abrir facsímil")</f>
        <v>Abrir facsímil</v>
      </c>
      <c r="K17394" s="10" t="s">
        <v>24</v>
      </c>
    </row>
    <row r="17395" spans="1:11" ht="54" customHeight="1">
      <c r="A17395" s="9" t="s">
        <v>35281</v>
      </c>
      <c r="B17395" s="9" t="s">
        <v>35282</v>
      </c>
      <c r="C17395" s="9" t="s">
        <v>17</v>
      </c>
      <c r="D17395" s="9" t="s">
        <v>18</v>
      </c>
      <c r="E17395" s="10" t="s">
        <v>1883</v>
      </c>
      <c r="F17395" s="9" t="s">
        <v>1884</v>
      </c>
      <c r="G17395" s="10" t="s">
        <v>34</v>
      </c>
      <c r="H17395" s="9" t="s">
        <v>22</v>
      </c>
      <c r="I17395" s="9" t="s">
        <v>35283</v>
      </c>
      <c r="J17395" s="10" t="str">
        <f>HYPERLINK("https://www.boe.es/gazeta/dias/1834/01/11/pdfs/GMD-1834-6.pdf#page=1","Abrir facsímil")</f>
        <v>Abrir facsímil</v>
      </c>
      <c r="K17395" s="10" t="s">
        <v>24</v>
      </c>
    </row>
    <row r="17396" spans="1:11" ht="54" customHeight="1">
      <c r="A17396" s="9" t="s">
        <v>35284</v>
      </c>
      <c r="B17396" s="9" t="s">
        <v>35284</v>
      </c>
      <c r="C17396" s="9" t="s">
        <v>90</v>
      </c>
      <c r="D17396" s="9" t="s">
        <v>67</v>
      </c>
      <c r="E17396" s="10" t="s">
        <v>2203</v>
      </c>
      <c r="F17396" s="9" t="s">
        <v>2204</v>
      </c>
      <c r="G17396" s="10" t="s">
        <v>21</v>
      </c>
      <c r="H17396" s="9" t="s">
        <v>22</v>
      </c>
      <c r="I17396" s="9" t="s">
        <v>35285</v>
      </c>
      <c r="J17396" s="10" t="str">
        <f>HYPERLINK("https://www.boe.es/gazeta/dias/1834/09/10/pdfs/GMD-C-1834-208.pdf#page=3","Abrir facsímil")</f>
        <v>Abrir facsímil</v>
      </c>
      <c r="K17396" s="10" t="s">
        <v>24</v>
      </c>
    </row>
    <row r="17397" spans="1:11" ht="54" customHeight="1">
      <c r="A17397" s="9" t="s">
        <v>35286</v>
      </c>
      <c r="B17397" s="9" t="s">
        <v>35287</v>
      </c>
      <c r="C17397" s="9" t="s">
        <v>90</v>
      </c>
      <c r="D17397" s="9" t="s">
        <v>18</v>
      </c>
      <c r="E17397" s="10" t="s">
        <v>2302</v>
      </c>
      <c r="F17397" s="9" t="s">
        <v>2303</v>
      </c>
      <c r="G17397" s="10" t="s">
        <v>21</v>
      </c>
      <c r="H17397" s="9" t="s">
        <v>35</v>
      </c>
      <c r="I17397" s="9" t="s">
        <v>35288</v>
      </c>
      <c r="J17397" s="10" t="str">
        <f>HYPERLINK("https://www.boe.es/gazeta/dias/1834/01/25/pdfs/GMD-1834-12.pdf#page=3","Abrir facsímil")</f>
        <v>Abrir facsímil</v>
      </c>
      <c r="K17397" s="10" t="s">
        <v>37</v>
      </c>
    </row>
    <row r="17398" spans="1:11" ht="54" customHeight="1">
      <c r="A17398" s="9" t="s">
        <v>35289</v>
      </c>
      <c r="B17398" s="9" t="s">
        <v>35290</v>
      </c>
      <c r="C17398" s="9" t="s">
        <v>17</v>
      </c>
      <c r="D17398" s="9" t="s">
        <v>18</v>
      </c>
      <c r="E17398" s="10" t="s">
        <v>355</v>
      </c>
      <c r="F17398" s="9" t="s">
        <v>356</v>
      </c>
      <c r="G17398" s="10" t="s">
        <v>86</v>
      </c>
      <c r="H17398" s="9" t="s">
        <v>35</v>
      </c>
      <c r="I17398" s="9" t="s">
        <v>35291</v>
      </c>
      <c r="J17398" s="10" t="str">
        <f>HYPERLINK("https://www.boe.es/gazeta/dias/1834/07/04/pdfs/GMD-1834-137.pdf#page=2","Abrir facsímil")</f>
        <v>Abrir facsímil</v>
      </c>
      <c r="K17398" s="10" t="s">
        <v>37</v>
      </c>
    </row>
    <row r="17399" spans="1:11" ht="54" customHeight="1">
      <c r="A17399" s="9" t="s">
        <v>35292</v>
      </c>
      <c r="B17399" s="9" t="s">
        <v>35293</v>
      </c>
      <c r="C17399" s="9" t="s">
        <v>66</v>
      </c>
      <c r="D17399" s="9" t="s">
        <v>67</v>
      </c>
      <c r="E17399" s="10" t="s">
        <v>32</v>
      </c>
      <c r="F17399" s="9" t="s">
        <v>33</v>
      </c>
      <c r="G17399" s="10" t="s">
        <v>86</v>
      </c>
      <c r="H17399" s="9" t="s">
        <v>22</v>
      </c>
      <c r="I17399" s="9" t="s">
        <v>35294</v>
      </c>
      <c r="J17399" s="10" t="str">
        <f>HYPERLINK("https://www.boe.es/gazeta/dias/1834/04/23/pdfs/GMD-1834-62.pdf#page=2","Abrir facsímil")</f>
        <v>Abrir facsímil</v>
      </c>
      <c r="K17399" s="10" t="s">
        <v>24</v>
      </c>
    </row>
    <row r="17400" spans="1:11" ht="54" customHeight="1">
      <c r="A17400" s="9" t="s">
        <v>35295</v>
      </c>
      <c r="B17400" s="9" t="s">
        <v>35296</v>
      </c>
      <c r="C17400" s="9" t="s">
        <v>90</v>
      </c>
      <c r="D17400" s="9" t="s">
        <v>18</v>
      </c>
      <c r="E17400" s="10" t="s">
        <v>2302</v>
      </c>
      <c r="F17400" s="9" t="s">
        <v>2303</v>
      </c>
      <c r="G17400" s="10" t="s">
        <v>21</v>
      </c>
      <c r="H17400" s="9" t="s">
        <v>22</v>
      </c>
      <c r="I17400" s="9" t="s">
        <v>35297</v>
      </c>
      <c r="J17400" s="10" t="str">
        <f>HYPERLINK("https://www.boe.es/gazeta/dias/1834/01/25/pdfs/GMD-1834-12.pdf#page=3","Abrir facsímil")</f>
        <v>Abrir facsímil</v>
      </c>
      <c r="K17400" s="10" t="s">
        <v>24</v>
      </c>
    </row>
    <row r="17401" spans="1:11" ht="54" customHeight="1">
      <c r="A17401" s="9" t="s">
        <v>35298</v>
      </c>
      <c r="B17401" s="9" t="s">
        <v>35299</v>
      </c>
      <c r="C17401" s="9" t="s">
        <v>17</v>
      </c>
      <c r="D17401" s="9" t="s">
        <v>18</v>
      </c>
      <c r="E17401" s="10" t="s">
        <v>2306</v>
      </c>
      <c r="F17401" s="9" t="s">
        <v>2307</v>
      </c>
      <c r="G17401" s="10" t="s">
        <v>75</v>
      </c>
      <c r="H17401" s="9" t="s">
        <v>22</v>
      </c>
      <c r="I17401" s="9" t="s">
        <v>35300</v>
      </c>
      <c r="J17401" s="10" t="str">
        <f>HYPERLINK("https://www.boe.es/gazeta/dias/1834/04/26/pdfs/GMD-1834-65.pdf#page=4","Abrir facsímil")</f>
        <v>Abrir facsímil</v>
      </c>
      <c r="K17401" s="10" t="s">
        <v>24</v>
      </c>
    </row>
    <row r="17402" spans="1:11" ht="54" customHeight="1">
      <c r="A17402" s="9" t="s">
        <v>35301</v>
      </c>
      <c r="B17402" s="9" t="s">
        <v>35302</v>
      </c>
      <c r="C17402" s="9" t="s">
        <v>66</v>
      </c>
      <c r="D17402" s="9" t="s">
        <v>18</v>
      </c>
      <c r="E17402" s="10" t="s">
        <v>32</v>
      </c>
      <c r="F17402" s="9" t="s">
        <v>33</v>
      </c>
      <c r="G17402" s="10" t="s">
        <v>34</v>
      </c>
      <c r="H17402" s="9" t="s">
        <v>22</v>
      </c>
      <c r="I17402" s="9" t="s">
        <v>35303</v>
      </c>
      <c r="J17402" s="10" t="str">
        <f>HYPERLINK("https://www.boe.es/gazeta/dias/1834/04/23/pdfs/GMD-1834-62.pdf#page=1","Abrir facsímil")</f>
        <v>Abrir facsímil</v>
      </c>
      <c r="K17402" s="10" t="s">
        <v>24</v>
      </c>
    </row>
    <row r="17403" spans="1:11" ht="54" customHeight="1">
      <c r="A17403" s="9" t="s">
        <v>35304</v>
      </c>
      <c r="B17403" s="9" t="s">
        <v>35305</v>
      </c>
      <c r="C17403" s="9" t="s">
        <v>17</v>
      </c>
      <c r="D17403" s="9" t="s">
        <v>18</v>
      </c>
      <c r="E17403" s="10" t="s">
        <v>355</v>
      </c>
      <c r="F17403" s="9" t="s">
        <v>356</v>
      </c>
      <c r="G17403" s="10" t="s">
        <v>86</v>
      </c>
      <c r="H17403" s="9" t="s">
        <v>22</v>
      </c>
      <c r="I17403" s="9" t="s">
        <v>35306</v>
      </c>
      <c r="J17403" s="10" t="str">
        <f>HYPERLINK("https://www.boe.es/gazeta/dias/1834/07/04/pdfs/GMD-1834-137.pdf#page=2","Abrir facsímil")</f>
        <v>Abrir facsímil</v>
      </c>
      <c r="K17403" s="10" t="s">
        <v>24</v>
      </c>
    </row>
    <row r="17404" spans="1:11" ht="54" customHeight="1">
      <c r="A17404" s="9" t="s">
        <v>35304</v>
      </c>
      <c r="B17404" s="9" t="s">
        <v>35305</v>
      </c>
      <c r="C17404" s="9" t="s">
        <v>66</v>
      </c>
      <c r="D17404" s="9" t="s">
        <v>67</v>
      </c>
      <c r="E17404" s="10" t="s">
        <v>707</v>
      </c>
      <c r="F17404" s="9" t="s">
        <v>1359</v>
      </c>
      <c r="G17404" s="10" t="s">
        <v>34</v>
      </c>
      <c r="H17404" s="9" t="s">
        <v>22</v>
      </c>
      <c r="I17404" s="9" t="s">
        <v>35307</v>
      </c>
      <c r="J17404" s="10" t="str">
        <f>HYPERLINK("https://www.boe.es/gazeta/dias/1834/11/25/pdfs/GMD-1834-284.pdf#page=1","Abrir facsímil")</f>
        <v>Abrir facsímil</v>
      </c>
      <c r="K17404" s="10" t="s">
        <v>24</v>
      </c>
    </row>
    <row r="17405" spans="1:11" ht="54" customHeight="1">
      <c r="A17405" s="9" t="s">
        <v>35304</v>
      </c>
      <c r="B17405" s="9" t="s">
        <v>35305</v>
      </c>
      <c r="C17405" s="9" t="s">
        <v>17</v>
      </c>
      <c r="D17405" s="9" t="s">
        <v>18</v>
      </c>
      <c r="E17405" s="10" t="s">
        <v>707</v>
      </c>
      <c r="F17405" s="9" t="s">
        <v>708</v>
      </c>
      <c r="G17405" s="10" t="s">
        <v>34</v>
      </c>
      <c r="H17405" s="9" t="s">
        <v>22</v>
      </c>
      <c r="I17405" s="9" t="s">
        <v>35308</v>
      </c>
      <c r="J17405" s="10" t="str">
        <f>HYPERLINK("https://www.boe.es/gazeta/dias/1834/11/25/pdfs/GMD-C-1834-284.pdf#page=1","Abrir facsímil")</f>
        <v>Abrir facsímil</v>
      </c>
      <c r="K17405" s="10" t="s">
        <v>24</v>
      </c>
    </row>
    <row r="17406" spans="1:11" ht="54" customHeight="1">
      <c r="A17406" s="9" t="s">
        <v>35309</v>
      </c>
      <c r="B17406" s="9" t="s">
        <v>35310</v>
      </c>
      <c r="C17406" s="9" t="s">
        <v>46</v>
      </c>
      <c r="D17406" s="9" t="s">
        <v>101</v>
      </c>
      <c r="E17406" s="10" t="s">
        <v>1850</v>
      </c>
      <c r="F17406" s="9" t="s">
        <v>1851</v>
      </c>
      <c r="G17406" s="10" t="s">
        <v>176</v>
      </c>
      <c r="H17406" s="9" t="s">
        <v>22</v>
      </c>
      <c r="I17406" s="9" t="s">
        <v>35311</v>
      </c>
      <c r="J17406" s="10" t="str">
        <f>HYPERLINK("https://www.boe.es/gazeta/dias/1834/02/18/pdfs/GMD-1834-22.pdf#page=6","Abrir facsímil")</f>
        <v>Abrir facsímil</v>
      </c>
      <c r="K17406" s="10" t="s">
        <v>24</v>
      </c>
    </row>
    <row r="17407" spans="1:11" ht="54" customHeight="1">
      <c r="A17407" s="9" t="s">
        <v>35312</v>
      </c>
      <c r="B17407" s="9" t="s">
        <v>35313</v>
      </c>
      <c r="C17407" s="9" t="s">
        <v>17</v>
      </c>
      <c r="D17407" s="9" t="s">
        <v>55</v>
      </c>
      <c r="E17407" s="10" t="s">
        <v>919</v>
      </c>
      <c r="F17407" s="9" t="s">
        <v>920</v>
      </c>
      <c r="G17407" s="10" t="s">
        <v>86</v>
      </c>
      <c r="H17407" s="9" t="s">
        <v>22</v>
      </c>
      <c r="I17407" s="9" t="s">
        <v>35314</v>
      </c>
      <c r="J17407" s="10" t="str">
        <f>HYPERLINK("https://www.boe.es/gazeta/dias/1834/06/24/pdfs/GMD-1834-127.pdf#page=2","Abrir facsímil")</f>
        <v>Abrir facsímil</v>
      </c>
      <c r="K17407" s="10" t="s">
        <v>24</v>
      </c>
    </row>
    <row r="17408" spans="1:11" ht="54" customHeight="1">
      <c r="A17408" s="9" t="s">
        <v>35315</v>
      </c>
      <c r="B17408" s="9" t="s">
        <v>35315</v>
      </c>
      <c r="C17408" s="9" t="s">
        <v>46</v>
      </c>
      <c r="D17408" s="9" t="s">
        <v>18</v>
      </c>
      <c r="E17408" s="10" t="s">
        <v>364</v>
      </c>
      <c r="F17408" s="9" t="s">
        <v>365</v>
      </c>
      <c r="G17408" s="10" t="s">
        <v>34</v>
      </c>
      <c r="H17408" s="9" t="s">
        <v>22</v>
      </c>
      <c r="I17408" s="9" t="s">
        <v>35316</v>
      </c>
      <c r="J17408" s="10" t="str">
        <f>HYPERLINK("https://www.boe.es/gazeta/dias/1834/09/06/pdfs/GMD-C-1834-204.pdf#page=1","Abrir facsímil")</f>
        <v>Abrir facsímil</v>
      </c>
      <c r="K17408" s="10" t="s">
        <v>24</v>
      </c>
    </row>
    <row r="17409" spans="1:11" ht="54" customHeight="1">
      <c r="A17409" s="9" t="s">
        <v>35317</v>
      </c>
      <c r="B17409" s="9" t="s">
        <v>35317</v>
      </c>
      <c r="C17409" s="9" t="s">
        <v>90</v>
      </c>
      <c r="D17409" s="9" t="s">
        <v>40</v>
      </c>
      <c r="E17409" s="10" t="s">
        <v>255</v>
      </c>
      <c r="F17409" s="9" t="s">
        <v>256</v>
      </c>
      <c r="G17409" s="10" t="s">
        <v>34</v>
      </c>
      <c r="H17409" s="9" t="s">
        <v>22</v>
      </c>
      <c r="I17409" s="9" t="s">
        <v>35318</v>
      </c>
      <c r="J17409" s="10" t="str">
        <f>HYPERLINK("https://www.boe.es/gazeta/dias/1834/09/01/pdfs/GMD-D-1834-199.pdf#page=1","Abrir facsímil")</f>
        <v>Abrir facsímil</v>
      </c>
      <c r="K17409" s="10" t="s">
        <v>24</v>
      </c>
    </row>
    <row r="17410" spans="1:11" ht="54" customHeight="1">
      <c r="A17410" s="9" t="s">
        <v>35319</v>
      </c>
      <c r="B17410" s="9" t="s">
        <v>35319</v>
      </c>
      <c r="C17410" s="9" t="s">
        <v>17</v>
      </c>
      <c r="D17410" s="9" t="s">
        <v>18</v>
      </c>
      <c r="E17410" s="10" t="s">
        <v>1340</v>
      </c>
      <c r="F17410" s="9" t="s">
        <v>1341</v>
      </c>
      <c r="G17410" s="10" t="s">
        <v>560</v>
      </c>
      <c r="H17410" s="9" t="s">
        <v>22</v>
      </c>
      <c r="I17410" s="9" t="s">
        <v>35320</v>
      </c>
      <c r="J17410" s="10" t="str">
        <f>HYPERLINK("https://www.boe.es/gazeta/dias/1834/10/05/pdfs/GMD-C-1834-233.pdf#page=7","Abrir facsímil")</f>
        <v>Abrir facsímil</v>
      </c>
      <c r="K17410" s="10" t="s">
        <v>24</v>
      </c>
    </row>
    <row r="17411" spans="1:11" ht="54" customHeight="1">
      <c r="A17411" s="9" t="s">
        <v>35321</v>
      </c>
      <c r="B17411" s="9" t="s">
        <v>35321</v>
      </c>
      <c r="C17411" s="9" t="s">
        <v>17</v>
      </c>
      <c r="D17411" s="9" t="s">
        <v>18</v>
      </c>
      <c r="E17411" s="10" t="s">
        <v>255</v>
      </c>
      <c r="F17411" s="9" t="s">
        <v>256</v>
      </c>
      <c r="G17411" s="10" t="s">
        <v>86</v>
      </c>
      <c r="H17411" s="9" t="s">
        <v>22</v>
      </c>
      <c r="I17411" s="9" t="s">
        <v>35322</v>
      </c>
      <c r="J17411" s="10" t="str">
        <f>HYPERLINK("https://www.boe.es/gazeta/dias/1834/09/01/pdfs/GMD-D-1834-199.pdf#page=2","Abrir facsímil")</f>
        <v>Abrir facsímil</v>
      </c>
      <c r="K17411" s="10" t="s">
        <v>24</v>
      </c>
    </row>
    <row r="17412" spans="1:11" ht="54" customHeight="1">
      <c r="A17412" s="9" t="s">
        <v>35321</v>
      </c>
      <c r="B17412" s="9" t="s">
        <v>35321</v>
      </c>
      <c r="C17412" s="9" t="s">
        <v>122</v>
      </c>
      <c r="D17412" s="9" t="s">
        <v>18</v>
      </c>
      <c r="E17412" s="10" t="s">
        <v>158</v>
      </c>
      <c r="F17412" s="9" t="s">
        <v>581</v>
      </c>
      <c r="G17412" s="10" t="s">
        <v>86</v>
      </c>
      <c r="H17412" s="9" t="s">
        <v>22</v>
      </c>
      <c r="I17412" s="9" t="s">
        <v>35323</v>
      </c>
      <c r="J17412" s="10" t="str">
        <f>HYPERLINK("https://www.boe.es/gazeta/dias/1834/10/01/pdfs/GMD-C-1834-229.pdf#page=2","Abrir facsímil")</f>
        <v>Abrir facsímil</v>
      </c>
      <c r="K17412" s="10" t="s">
        <v>24</v>
      </c>
    </row>
    <row r="17413" spans="1:11" ht="54" customHeight="1">
      <c r="A17413" s="9" t="s">
        <v>35321</v>
      </c>
      <c r="B17413" s="9" t="s">
        <v>35321</v>
      </c>
      <c r="C17413" s="9" t="s">
        <v>17</v>
      </c>
      <c r="D17413" s="9" t="s">
        <v>18</v>
      </c>
      <c r="E17413" s="10" t="s">
        <v>416</v>
      </c>
      <c r="F17413" s="9" t="s">
        <v>417</v>
      </c>
      <c r="G17413" s="10" t="s">
        <v>34</v>
      </c>
      <c r="H17413" s="9" t="s">
        <v>22</v>
      </c>
      <c r="I17413" s="9" t="s">
        <v>35324</v>
      </c>
      <c r="J17413" s="10" t="str">
        <f>HYPERLINK("https://www.boe.es/gazeta/dias/1834/10/02/pdfs/GMD-C-1834-230.pdf#page=1","Abrir facsímil")</f>
        <v>Abrir facsímil</v>
      </c>
      <c r="K17413" s="10" t="s">
        <v>24</v>
      </c>
    </row>
    <row r="17414" spans="1:11" ht="54" customHeight="1">
      <c r="A17414" s="9" t="s">
        <v>35321</v>
      </c>
      <c r="B17414" s="9" t="s">
        <v>35321</v>
      </c>
      <c r="C17414" s="9" t="s">
        <v>17</v>
      </c>
      <c r="D17414" s="9" t="s">
        <v>18</v>
      </c>
      <c r="E17414" s="10" t="s">
        <v>416</v>
      </c>
      <c r="F17414" s="9" t="s">
        <v>417</v>
      </c>
      <c r="G17414" s="10" t="s">
        <v>86</v>
      </c>
      <c r="H17414" s="9" t="s">
        <v>22</v>
      </c>
      <c r="I17414" s="9" t="s">
        <v>35325</v>
      </c>
      <c r="J17414" s="10" t="str">
        <f>HYPERLINK("https://www.boe.es/gazeta/dias/1834/10/02/pdfs/GMD-C-1834-230.pdf#page=2","Abrir facsímil")</f>
        <v>Abrir facsímil</v>
      </c>
      <c r="K17414" s="10" t="s">
        <v>24</v>
      </c>
    </row>
    <row r="17415" spans="1:11" ht="54" customHeight="1">
      <c r="A17415" s="9" t="s">
        <v>35321</v>
      </c>
      <c r="B17415" s="9" t="s">
        <v>35321</v>
      </c>
      <c r="C17415" s="9" t="s">
        <v>17</v>
      </c>
      <c r="D17415" s="9" t="s">
        <v>18</v>
      </c>
      <c r="E17415" s="10" t="s">
        <v>47</v>
      </c>
      <c r="F17415" s="9" t="s">
        <v>48</v>
      </c>
      <c r="G17415" s="10" t="s">
        <v>28</v>
      </c>
      <c r="H17415" s="9" t="s">
        <v>22</v>
      </c>
      <c r="I17415" s="9" t="s">
        <v>35326</v>
      </c>
      <c r="J17415" s="10" t="str">
        <f>HYPERLINK("https://www.boe.es/gazeta/dias/1834/09/05/pdfs/GMD-C-1834-203.pdf#page=5","Abrir facsímil")</f>
        <v>Abrir facsímil</v>
      </c>
      <c r="K17415" s="10" t="s">
        <v>24</v>
      </c>
    </row>
    <row r="17416" spans="1:11" ht="54" customHeight="1">
      <c r="A17416" s="9" t="s">
        <v>35321</v>
      </c>
      <c r="B17416" s="9" t="s">
        <v>35321</v>
      </c>
      <c r="C17416" s="9" t="s">
        <v>90</v>
      </c>
      <c r="D17416" s="9" t="s">
        <v>18</v>
      </c>
      <c r="E17416" s="10" t="s">
        <v>364</v>
      </c>
      <c r="F17416" s="9" t="s">
        <v>365</v>
      </c>
      <c r="G17416" s="10" t="s">
        <v>28</v>
      </c>
      <c r="H17416" s="9" t="s">
        <v>22</v>
      </c>
      <c r="I17416" s="9" t="s">
        <v>35327</v>
      </c>
      <c r="J17416" s="10" t="str">
        <f>HYPERLINK("https://www.boe.es/gazeta/dias/1834/09/06/pdfs/GMD-C-1834-204.pdf#page=5","Abrir facsímil")</f>
        <v>Abrir facsímil</v>
      </c>
      <c r="K17416" s="10" t="s">
        <v>24</v>
      </c>
    </row>
    <row r="17417" spans="1:11" ht="54" customHeight="1">
      <c r="A17417" s="9" t="s">
        <v>35328</v>
      </c>
      <c r="B17417" s="9" t="s">
        <v>35328</v>
      </c>
      <c r="C17417" s="9" t="s">
        <v>17</v>
      </c>
      <c r="D17417" s="9" t="s">
        <v>18</v>
      </c>
      <c r="E17417" s="10" t="s">
        <v>2203</v>
      </c>
      <c r="F17417" s="9" t="s">
        <v>2204</v>
      </c>
      <c r="G17417" s="10" t="s">
        <v>21</v>
      </c>
      <c r="H17417" s="9" t="s">
        <v>22</v>
      </c>
      <c r="I17417" s="9" t="s">
        <v>35329</v>
      </c>
      <c r="J17417" s="10" t="str">
        <f>HYPERLINK("https://www.boe.es/gazeta/dias/1834/09/10/pdfs/GMD-C-1834-208.pdf#page=3","Abrir facsímil")</f>
        <v>Abrir facsímil</v>
      </c>
      <c r="K17417" s="10" t="s">
        <v>24</v>
      </c>
    </row>
    <row r="17418" spans="1:11" ht="54" customHeight="1">
      <c r="A17418" s="9" t="s">
        <v>35321</v>
      </c>
      <c r="B17418" s="9" t="s">
        <v>35321</v>
      </c>
      <c r="C17418" s="9" t="s">
        <v>17</v>
      </c>
      <c r="D17418" s="9" t="s">
        <v>18</v>
      </c>
      <c r="E17418" s="10" t="s">
        <v>200</v>
      </c>
      <c r="F17418" s="9" t="s">
        <v>2248</v>
      </c>
      <c r="G17418" s="10" t="s">
        <v>21</v>
      </c>
      <c r="H17418" s="9" t="s">
        <v>22</v>
      </c>
      <c r="I17418" s="9" t="s">
        <v>35330</v>
      </c>
      <c r="J17418" s="10" t="str">
        <f>HYPERLINK("https://www.boe.es/gazeta/dias/1834/12/11/pdfs/GMD-C-1834-300.pdf#page=3","Abrir facsímil")</f>
        <v>Abrir facsímil</v>
      </c>
      <c r="K17418" s="10" t="s">
        <v>24</v>
      </c>
    </row>
    <row r="17419" spans="1:11" ht="54" customHeight="1">
      <c r="A17419" s="9" t="s">
        <v>35321</v>
      </c>
      <c r="B17419" s="9" t="s">
        <v>35321</v>
      </c>
      <c r="C17419" s="9" t="s">
        <v>17</v>
      </c>
      <c r="D17419" s="9" t="s">
        <v>18</v>
      </c>
      <c r="E17419" s="10" t="s">
        <v>1981</v>
      </c>
      <c r="F17419" s="9" t="s">
        <v>2471</v>
      </c>
      <c r="G17419" s="10" t="s">
        <v>28</v>
      </c>
      <c r="H17419" s="9" t="s">
        <v>22</v>
      </c>
      <c r="I17419" s="9" t="s">
        <v>35331</v>
      </c>
      <c r="J17419" s="10" t="str">
        <f>HYPERLINK("https://www.boe.es/gazeta/dias/1834/12/13/pdfs/GMD-C-1834-302.pdf#page=5","Abrir facsímil")</f>
        <v>Abrir facsímil</v>
      </c>
      <c r="K17419" s="10" t="s">
        <v>24</v>
      </c>
    </row>
    <row r="17420" spans="1:11" ht="54" customHeight="1">
      <c r="A17420" s="9" t="s">
        <v>35321</v>
      </c>
      <c r="B17420" s="9" t="s">
        <v>35321</v>
      </c>
      <c r="C17420" s="9" t="s">
        <v>17</v>
      </c>
      <c r="D17420" s="9" t="s">
        <v>18</v>
      </c>
      <c r="E17420" s="10" t="s">
        <v>1424</v>
      </c>
      <c r="F17420" s="9" t="s">
        <v>1425</v>
      </c>
      <c r="G17420" s="10" t="s">
        <v>86</v>
      </c>
      <c r="H17420" s="9" t="s">
        <v>22</v>
      </c>
      <c r="I17420" s="9" t="s">
        <v>35332</v>
      </c>
      <c r="J17420" s="10" t="str">
        <f>HYPERLINK("https://www.boe.es/gazeta/dias/1834/11/14/pdfs/GMD-C-1834-273.pdf#page=2","Abrir facsímil")</f>
        <v>Abrir facsímil</v>
      </c>
      <c r="K17420" s="10" t="s">
        <v>24</v>
      </c>
    </row>
    <row r="17421" spans="1:11" ht="54" customHeight="1">
      <c r="A17421" s="9" t="s">
        <v>35321</v>
      </c>
      <c r="B17421" s="9" t="s">
        <v>35321</v>
      </c>
      <c r="C17421" s="9" t="s">
        <v>17</v>
      </c>
      <c r="D17421" s="9" t="s">
        <v>18</v>
      </c>
      <c r="E17421" s="10" t="s">
        <v>1424</v>
      </c>
      <c r="F17421" s="9" t="s">
        <v>1425</v>
      </c>
      <c r="G17421" s="10" t="s">
        <v>176</v>
      </c>
      <c r="H17421" s="9" t="s">
        <v>22</v>
      </c>
      <c r="I17421" s="9" t="s">
        <v>35333</v>
      </c>
      <c r="J17421" s="10" t="str">
        <f>HYPERLINK("https://www.boe.es/gazeta/dias/1834/11/14/pdfs/GMD-C-1834-273.pdf#page=6","Abrir facsímil")</f>
        <v>Abrir facsímil</v>
      </c>
      <c r="K17421" s="10" t="s">
        <v>24</v>
      </c>
    </row>
    <row r="17422" spans="1:11" ht="54" customHeight="1">
      <c r="A17422" s="9" t="s">
        <v>35321</v>
      </c>
      <c r="B17422" s="9" t="s">
        <v>35321</v>
      </c>
      <c r="C17422" s="9" t="s">
        <v>17</v>
      </c>
      <c r="D17422" s="9" t="s">
        <v>18</v>
      </c>
      <c r="E17422" s="10" t="s">
        <v>451</v>
      </c>
      <c r="F17422" s="9" t="s">
        <v>452</v>
      </c>
      <c r="G17422" s="10" t="s">
        <v>21</v>
      </c>
      <c r="H17422" s="9" t="s">
        <v>22</v>
      </c>
      <c r="I17422" s="9" t="s">
        <v>35334</v>
      </c>
      <c r="J17422" s="10" t="str">
        <f>HYPERLINK("https://www.boe.es/gazeta/dias/1834/10/15/pdfs/GMD-C-1834-243.pdf#page=3","Abrir facsímil")</f>
        <v>Abrir facsímil</v>
      </c>
      <c r="K17422" s="10" t="s">
        <v>24</v>
      </c>
    </row>
    <row r="17423" spans="1:11" ht="54" customHeight="1">
      <c r="A17423" s="9" t="s">
        <v>35328</v>
      </c>
      <c r="B17423" s="9" t="s">
        <v>35328</v>
      </c>
      <c r="C17423" s="9" t="s">
        <v>17</v>
      </c>
      <c r="D17423" s="9" t="s">
        <v>18</v>
      </c>
      <c r="E17423" s="10" t="s">
        <v>772</v>
      </c>
      <c r="F17423" s="9" t="s">
        <v>2284</v>
      </c>
      <c r="G17423" s="10" t="s">
        <v>560</v>
      </c>
      <c r="H17423" s="9" t="s">
        <v>22</v>
      </c>
      <c r="I17423" s="9" t="s">
        <v>35335</v>
      </c>
      <c r="J17423" s="10" t="str">
        <f>HYPERLINK("https://www.boe.es/gazeta/dias/1834/09/18/pdfs/GMD-C-1834-216.pdf#page=7","Abrir facsímil")</f>
        <v>Abrir facsímil</v>
      </c>
      <c r="K17423" s="10" t="s">
        <v>24</v>
      </c>
    </row>
    <row r="17424" spans="1:11" ht="54" customHeight="1">
      <c r="A17424" s="9" t="s">
        <v>35321</v>
      </c>
      <c r="B17424" s="9" t="s">
        <v>35321</v>
      </c>
      <c r="C17424" s="9" t="s">
        <v>17</v>
      </c>
      <c r="D17424" s="9" t="s">
        <v>18</v>
      </c>
      <c r="E17424" s="10" t="s">
        <v>772</v>
      </c>
      <c r="F17424" s="9" t="s">
        <v>2284</v>
      </c>
      <c r="G17424" s="10" t="s">
        <v>470</v>
      </c>
      <c r="H17424" s="9" t="s">
        <v>22</v>
      </c>
      <c r="I17424" s="9" t="s">
        <v>35336</v>
      </c>
      <c r="J17424" s="10" t="str">
        <f>HYPERLINK("https://www.boe.es/gazeta/dias/1834/09/18/pdfs/GMD-C-1834-216.pdf#page=8","Abrir facsímil")</f>
        <v>Abrir facsímil</v>
      </c>
      <c r="K17424" s="10" t="s">
        <v>24</v>
      </c>
    </row>
    <row r="17425" spans="1:11" ht="54" customHeight="1">
      <c r="A17425" s="9" t="s">
        <v>35321</v>
      </c>
      <c r="B17425" s="9" t="s">
        <v>35321</v>
      </c>
      <c r="C17425" s="9" t="s">
        <v>46</v>
      </c>
      <c r="D17425" s="9" t="s">
        <v>18</v>
      </c>
      <c r="E17425" s="10" t="s">
        <v>3248</v>
      </c>
      <c r="F17425" s="9" t="s">
        <v>4798</v>
      </c>
      <c r="G17425" s="10" t="s">
        <v>86</v>
      </c>
      <c r="H17425" s="9" t="s">
        <v>22</v>
      </c>
      <c r="I17425" s="9" t="s">
        <v>35337</v>
      </c>
      <c r="J17425" s="10" t="str">
        <f>HYPERLINK("https://www.boe.es/gazeta/dias/1834/09/20/pdfs/GMD-C-1834-218.pdf#page=2","Abrir facsímil")</f>
        <v>Abrir facsímil</v>
      </c>
      <c r="K17425" s="10" t="s">
        <v>24</v>
      </c>
    </row>
    <row r="17426" spans="1:11" ht="54" customHeight="1">
      <c r="A17426" s="9" t="s">
        <v>35338</v>
      </c>
      <c r="B17426" s="9" t="s">
        <v>35338</v>
      </c>
      <c r="C17426" s="9" t="s">
        <v>17</v>
      </c>
      <c r="D17426" s="9" t="s">
        <v>40</v>
      </c>
      <c r="E17426" s="10" t="s">
        <v>1973</v>
      </c>
      <c r="F17426" s="9" t="s">
        <v>1974</v>
      </c>
      <c r="G17426" s="10" t="s">
        <v>75</v>
      </c>
      <c r="H17426" s="9" t="s">
        <v>22</v>
      </c>
      <c r="I17426" s="9" t="s">
        <v>35339</v>
      </c>
      <c r="J17426" s="10" t="str">
        <f>HYPERLINK("https://www.boe.es/gazeta/dias/1834/12/20/pdfs/GMD-C-1834-310.pdf#page=4","Abrir facsímil")</f>
        <v>Abrir facsímil</v>
      </c>
      <c r="K17426" s="10" t="s">
        <v>24</v>
      </c>
    </row>
    <row r="17427" spans="1:11" ht="54" customHeight="1">
      <c r="A17427" s="9" t="s">
        <v>35340</v>
      </c>
      <c r="B17427" s="9" t="s">
        <v>35340</v>
      </c>
      <c r="C17427" s="9" t="s">
        <v>17</v>
      </c>
      <c r="D17427" s="9" t="s">
        <v>18</v>
      </c>
      <c r="E17427" s="10" t="s">
        <v>981</v>
      </c>
      <c r="F17427" s="9" t="s">
        <v>3406</v>
      </c>
      <c r="G17427" s="10" t="s">
        <v>28</v>
      </c>
      <c r="H17427" s="9" t="s">
        <v>22</v>
      </c>
      <c r="I17427" s="9" t="s">
        <v>35341</v>
      </c>
      <c r="J17427" s="10" t="str">
        <f>HYPERLINK("https://www.boe.es/gazeta/dias/1834/09/21/pdfs/GMD-C-1834-219.pdf#page=5","Abrir facsímil")</f>
        <v>Abrir facsímil</v>
      </c>
      <c r="K17427" s="10" t="s">
        <v>24</v>
      </c>
    </row>
    <row r="17428" spans="1:11" ht="54" customHeight="1">
      <c r="A17428" s="9" t="s">
        <v>35321</v>
      </c>
      <c r="B17428" s="9" t="s">
        <v>35321</v>
      </c>
      <c r="C17428" s="9" t="s">
        <v>90</v>
      </c>
      <c r="D17428" s="9" t="s">
        <v>101</v>
      </c>
      <c r="E17428" s="10" t="s">
        <v>647</v>
      </c>
      <c r="F17428" s="9" t="s">
        <v>648</v>
      </c>
      <c r="G17428" s="10" t="s">
        <v>86</v>
      </c>
      <c r="H17428" s="9" t="s">
        <v>22</v>
      </c>
      <c r="I17428" s="9" t="s">
        <v>35342</v>
      </c>
      <c r="J17428" s="10" t="str">
        <f>HYPERLINK("https://www.boe.es/gazeta/dias/1834/10/21/pdfs/GMD-C-1834-249.pdf#page=2","Abrir facsímil")</f>
        <v>Abrir facsímil</v>
      </c>
      <c r="K17428" s="10" t="s">
        <v>24</v>
      </c>
    </row>
    <row r="17429" spans="1:11" ht="54" customHeight="1">
      <c r="A17429" s="9" t="s">
        <v>35321</v>
      </c>
      <c r="B17429" s="9" t="s">
        <v>35321</v>
      </c>
      <c r="C17429" s="9" t="s">
        <v>17</v>
      </c>
      <c r="D17429" s="9" t="s">
        <v>18</v>
      </c>
      <c r="E17429" s="10" t="s">
        <v>610</v>
      </c>
      <c r="F17429" s="9" t="s">
        <v>611</v>
      </c>
      <c r="G17429" s="10" t="s">
        <v>86</v>
      </c>
      <c r="H17429" s="9" t="s">
        <v>22</v>
      </c>
      <c r="I17429" s="9" t="s">
        <v>35343</v>
      </c>
      <c r="J17429" s="10" t="str">
        <f>HYPERLINK("https://www.boe.es/gazeta/dias/1834/12/21/pdfs/GMD-C-1834-311.pdf#page=2","Abrir facsímil")</f>
        <v>Abrir facsímil</v>
      </c>
      <c r="K17429" s="10" t="s">
        <v>24</v>
      </c>
    </row>
    <row r="17430" spans="1:11" ht="54" customHeight="1">
      <c r="A17430" s="9" t="s">
        <v>35321</v>
      </c>
      <c r="B17430" s="9" t="s">
        <v>35321</v>
      </c>
      <c r="C17430" s="9" t="s">
        <v>17</v>
      </c>
      <c r="D17430" s="9" t="s">
        <v>18</v>
      </c>
      <c r="E17430" s="10" t="s">
        <v>610</v>
      </c>
      <c r="F17430" s="9" t="s">
        <v>611</v>
      </c>
      <c r="G17430" s="10" t="s">
        <v>21</v>
      </c>
      <c r="H17430" s="9" t="s">
        <v>22</v>
      </c>
      <c r="I17430" s="9" t="s">
        <v>35344</v>
      </c>
      <c r="J17430" s="10" t="str">
        <f>HYPERLINK("https://www.boe.es/gazeta/dias/1834/12/21/pdfs/GMD-C-1834-311.pdf#page=3","Abrir facsímil")</f>
        <v>Abrir facsímil</v>
      </c>
      <c r="K17430" s="10" t="s">
        <v>24</v>
      </c>
    </row>
    <row r="17431" spans="1:11" ht="54" customHeight="1">
      <c r="A17431" s="9" t="s">
        <v>35328</v>
      </c>
      <c r="B17431" s="9" t="s">
        <v>35328</v>
      </c>
      <c r="C17431" s="9" t="s">
        <v>17</v>
      </c>
      <c r="D17431" s="9" t="s">
        <v>18</v>
      </c>
      <c r="E17431" s="10" t="s">
        <v>627</v>
      </c>
      <c r="F17431" s="9" t="s">
        <v>628</v>
      </c>
      <c r="G17431" s="10" t="s">
        <v>86</v>
      </c>
      <c r="H17431" s="9" t="s">
        <v>22</v>
      </c>
      <c r="I17431" s="9" t="s">
        <v>35345</v>
      </c>
      <c r="J17431" s="10" t="str">
        <f>HYPERLINK("https://www.boe.es/gazeta/dias/1834/09/22/pdfs/GMD-C-1834-220.pdf#page=2","Abrir facsímil")</f>
        <v>Abrir facsímil</v>
      </c>
      <c r="K17431" s="10" t="s">
        <v>24</v>
      </c>
    </row>
    <row r="17432" spans="1:11" ht="54" customHeight="1">
      <c r="A17432" s="9" t="s">
        <v>35321</v>
      </c>
      <c r="B17432" s="9" t="s">
        <v>35321</v>
      </c>
      <c r="C17432" s="9" t="s">
        <v>17</v>
      </c>
      <c r="D17432" s="9" t="s">
        <v>18</v>
      </c>
      <c r="E17432" s="10" t="s">
        <v>627</v>
      </c>
      <c r="F17432" s="9" t="s">
        <v>628</v>
      </c>
      <c r="G17432" s="10" t="s">
        <v>176</v>
      </c>
      <c r="H17432" s="9" t="s">
        <v>22</v>
      </c>
      <c r="I17432" s="9" t="s">
        <v>35346</v>
      </c>
      <c r="J17432" s="10" t="str">
        <f>HYPERLINK("https://www.boe.es/gazeta/dias/1834/09/22/pdfs/GMD-C-1834-220.pdf#page=6","Abrir facsímil")</f>
        <v>Abrir facsímil</v>
      </c>
      <c r="K17432" s="10" t="s">
        <v>24</v>
      </c>
    </row>
    <row r="17433" spans="1:11" ht="54" customHeight="1">
      <c r="A17433" s="9" t="s">
        <v>35321</v>
      </c>
      <c r="B17433" s="9" t="s">
        <v>35321</v>
      </c>
      <c r="C17433" s="9" t="s">
        <v>66</v>
      </c>
      <c r="D17433" s="9" t="s">
        <v>67</v>
      </c>
      <c r="E17433" s="10" t="s">
        <v>702</v>
      </c>
      <c r="F17433" s="9" t="s">
        <v>703</v>
      </c>
      <c r="G17433" s="10" t="s">
        <v>34</v>
      </c>
      <c r="H17433" s="9" t="s">
        <v>22</v>
      </c>
      <c r="I17433" s="9" t="s">
        <v>35347</v>
      </c>
      <c r="J17433" s="10" t="str">
        <f>HYPERLINK("https://www.boe.es/gazeta/dias/1834/11/22/pdfs/GMD-C-1834-281.pdf#page=1","Abrir facsímil")</f>
        <v>Abrir facsímil</v>
      </c>
      <c r="K17433" s="10" t="s">
        <v>24</v>
      </c>
    </row>
    <row r="17434" spans="1:11" ht="54" customHeight="1">
      <c r="A17434" s="9" t="s">
        <v>35321</v>
      </c>
      <c r="B17434" s="9" t="s">
        <v>35321</v>
      </c>
      <c r="C17434" s="9" t="s">
        <v>90</v>
      </c>
      <c r="D17434" s="9" t="s">
        <v>18</v>
      </c>
      <c r="E17434" s="10" t="s">
        <v>702</v>
      </c>
      <c r="F17434" s="9" t="s">
        <v>703</v>
      </c>
      <c r="G17434" s="10" t="s">
        <v>86</v>
      </c>
      <c r="H17434" s="9" t="s">
        <v>22</v>
      </c>
      <c r="I17434" s="9" t="s">
        <v>35348</v>
      </c>
      <c r="J17434" s="10" t="str">
        <f>HYPERLINK("https://www.boe.es/gazeta/dias/1834/11/22/pdfs/GMD-C-1834-281.pdf#page=2","Abrir facsímil")</f>
        <v>Abrir facsímil</v>
      </c>
      <c r="K17434" s="10" t="s">
        <v>24</v>
      </c>
    </row>
    <row r="17435" spans="1:11" ht="54" customHeight="1">
      <c r="A17435" s="9" t="s">
        <v>35321</v>
      </c>
      <c r="B17435" s="9" t="s">
        <v>35321</v>
      </c>
      <c r="C17435" s="9" t="s">
        <v>122</v>
      </c>
      <c r="D17435" s="9" t="s">
        <v>18</v>
      </c>
      <c r="E17435" s="10" t="s">
        <v>702</v>
      </c>
      <c r="F17435" s="9" t="s">
        <v>703</v>
      </c>
      <c r="G17435" s="10" t="s">
        <v>75</v>
      </c>
      <c r="H17435" s="9" t="s">
        <v>22</v>
      </c>
      <c r="I17435" s="9" t="s">
        <v>35349</v>
      </c>
      <c r="J17435" s="10" t="str">
        <f>HYPERLINK("https://www.boe.es/gazeta/dias/1834/11/22/pdfs/GMD-C-1834-281.pdf#page=4","Abrir facsímil")</f>
        <v>Abrir facsímil</v>
      </c>
      <c r="K17435" s="10" t="s">
        <v>24</v>
      </c>
    </row>
    <row r="17436" spans="1:11" ht="54" customHeight="1">
      <c r="A17436" s="9" t="s">
        <v>35321</v>
      </c>
      <c r="B17436" s="9" t="s">
        <v>35321</v>
      </c>
      <c r="C17436" s="9" t="s">
        <v>17</v>
      </c>
      <c r="D17436" s="9" t="s">
        <v>18</v>
      </c>
      <c r="E17436" s="10" t="s">
        <v>394</v>
      </c>
      <c r="F17436" s="9" t="s">
        <v>459</v>
      </c>
      <c r="G17436" s="10" t="s">
        <v>21</v>
      </c>
      <c r="H17436" s="9" t="s">
        <v>22</v>
      </c>
      <c r="I17436" s="9" t="s">
        <v>35350</v>
      </c>
      <c r="J17436" s="10" t="str">
        <f>HYPERLINK("https://www.boe.es/gazeta/dias/1834/12/23/pdfs/GMD-C-1834-313.pdf#page=3","Abrir facsímil")</f>
        <v>Abrir facsímil</v>
      </c>
      <c r="K17436" s="10" t="s">
        <v>24</v>
      </c>
    </row>
    <row r="17437" spans="1:11" ht="54" customHeight="1">
      <c r="A17437" s="9" t="s">
        <v>35321</v>
      </c>
      <c r="B17437" s="9" t="s">
        <v>35321</v>
      </c>
      <c r="C17437" s="9" t="s">
        <v>17</v>
      </c>
      <c r="D17437" s="9" t="s">
        <v>18</v>
      </c>
      <c r="E17437" s="10" t="s">
        <v>394</v>
      </c>
      <c r="F17437" s="9" t="s">
        <v>459</v>
      </c>
      <c r="G17437" s="10" t="s">
        <v>28</v>
      </c>
      <c r="H17437" s="9" t="s">
        <v>22</v>
      </c>
      <c r="I17437" s="9" t="s">
        <v>35351</v>
      </c>
      <c r="J17437" s="10" t="str">
        <f>HYPERLINK("https://www.boe.es/gazeta/dias/1834/12/23/pdfs/GMD-C-1834-313.pdf#page=5","Abrir facsímil")</f>
        <v>Abrir facsímil</v>
      </c>
      <c r="K17437" s="10" t="s">
        <v>24</v>
      </c>
    </row>
    <row r="17438" spans="1:11" ht="54" customHeight="1">
      <c r="A17438" s="9" t="s">
        <v>35321</v>
      </c>
      <c r="B17438" s="9" t="s">
        <v>35321</v>
      </c>
      <c r="C17438" s="9" t="s">
        <v>857</v>
      </c>
      <c r="D17438" s="9" t="s">
        <v>18</v>
      </c>
      <c r="E17438" s="10" t="s">
        <v>128</v>
      </c>
      <c r="F17438" s="9" t="s">
        <v>129</v>
      </c>
      <c r="G17438" s="10" t="s">
        <v>75</v>
      </c>
      <c r="H17438" s="9" t="s">
        <v>22</v>
      </c>
      <c r="I17438" s="9" t="s">
        <v>35352</v>
      </c>
      <c r="J17438" s="10" t="str">
        <f>HYPERLINK("https://www.boe.es/gazeta/dias/1834/12/24/pdfs/GMD-C-1834-314.pdf#page=4","Abrir facsímil")</f>
        <v>Abrir facsímil</v>
      </c>
      <c r="K17438" s="10" t="s">
        <v>24</v>
      </c>
    </row>
    <row r="17439" spans="1:11" ht="54" customHeight="1">
      <c r="A17439" s="9" t="s">
        <v>35321</v>
      </c>
      <c r="B17439" s="9" t="s">
        <v>35321</v>
      </c>
      <c r="C17439" s="9" t="s">
        <v>17</v>
      </c>
      <c r="D17439" s="9" t="s">
        <v>18</v>
      </c>
      <c r="E17439" s="10" t="s">
        <v>403</v>
      </c>
      <c r="F17439" s="9" t="s">
        <v>404</v>
      </c>
      <c r="G17439" s="10" t="s">
        <v>28</v>
      </c>
      <c r="H17439" s="9" t="s">
        <v>22</v>
      </c>
      <c r="I17439" s="9" t="s">
        <v>35353</v>
      </c>
      <c r="J17439" s="10" t="str">
        <f>HYPERLINK("https://www.boe.es/gazeta/dias/1834/09/25/pdfs/GMD-C-1834-223.pdf#page=5","Abrir facsímil")</f>
        <v>Abrir facsímil</v>
      </c>
      <c r="K17439" s="10" t="s">
        <v>24</v>
      </c>
    </row>
    <row r="17440" spans="1:11" ht="54" customHeight="1">
      <c r="A17440" s="9" t="s">
        <v>35321</v>
      </c>
      <c r="B17440" s="9" t="s">
        <v>35321</v>
      </c>
      <c r="C17440" s="9" t="s">
        <v>90</v>
      </c>
      <c r="D17440" s="9" t="s">
        <v>18</v>
      </c>
      <c r="E17440" s="10" t="s">
        <v>251</v>
      </c>
      <c r="F17440" s="9" t="s">
        <v>252</v>
      </c>
      <c r="G17440" s="10" t="s">
        <v>34</v>
      </c>
      <c r="H17440" s="9" t="s">
        <v>22</v>
      </c>
      <c r="I17440" s="9" t="s">
        <v>35354</v>
      </c>
      <c r="J17440" s="10" t="str">
        <f>HYPERLINK("https://www.boe.es/gazeta/dias/1834/09/26/pdfs/GMD-C-1834-224.pdf#page=1","Abrir facsímil")</f>
        <v>Abrir facsímil</v>
      </c>
      <c r="K17440" s="10" t="s">
        <v>24</v>
      </c>
    </row>
    <row r="17441" spans="1:11" ht="54" customHeight="1">
      <c r="A17441" s="9" t="s">
        <v>35355</v>
      </c>
      <c r="B17441" s="9" t="s">
        <v>35355</v>
      </c>
      <c r="C17441" s="9" t="s">
        <v>17</v>
      </c>
      <c r="D17441" s="9" t="s">
        <v>18</v>
      </c>
      <c r="E17441" s="10" t="s">
        <v>403</v>
      </c>
      <c r="F17441" s="9" t="s">
        <v>404</v>
      </c>
      <c r="G17441" s="10" t="s">
        <v>28</v>
      </c>
      <c r="H17441" s="9" t="s">
        <v>22</v>
      </c>
      <c r="I17441" s="9" t="s">
        <v>35356</v>
      </c>
      <c r="J17441" s="10" t="str">
        <f>HYPERLINK("https://www.boe.es/gazeta/dias/1834/09/25/pdfs/GMD-C-1834-223.pdf#page=5","Abrir facsímil")</f>
        <v>Abrir facsímil</v>
      </c>
      <c r="K17441" s="10" t="s">
        <v>24</v>
      </c>
    </row>
    <row r="17442" spans="1:11" ht="54" customHeight="1">
      <c r="A17442" s="9" t="s">
        <v>35357</v>
      </c>
      <c r="B17442" s="9" t="s">
        <v>35357</v>
      </c>
      <c r="C17442" s="9" t="s">
        <v>17</v>
      </c>
      <c r="D17442" s="9" t="s">
        <v>55</v>
      </c>
      <c r="E17442" s="10" t="s">
        <v>47</v>
      </c>
      <c r="F17442" s="9" t="s">
        <v>48</v>
      </c>
      <c r="G17442" s="10" t="s">
        <v>176</v>
      </c>
      <c r="H17442" s="9" t="s">
        <v>22</v>
      </c>
      <c r="I17442" s="9" t="s">
        <v>35358</v>
      </c>
      <c r="J17442" s="10" t="str">
        <f>HYPERLINK("https://www.boe.es/gazeta/dias/1834/09/05/pdfs/GMD-C-1834-203.pdf#page=6","Abrir facsímil")</f>
        <v>Abrir facsímil</v>
      </c>
      <c r="K17442" s="10" t="s">
        <v>24</v>
      </c>
    </row>
    <row r="17443" spans="1:11" ht="54" customHeight="1">
      <c r="A17443" s="9" t="s">
        <v>35359</v>
      </c>
      <c r="B17443" s="9" t="s">
        <v>35359</v>
      </c>
      <c r="C17443" s="9" t="s">
        <v>17</v>
      </c>
      <c r="D17443" s="9" t="s">
        <v>18</v>
      </c>
      <c r="E17443" s="10" t="s">
        <v>394</v>
      </c>
      <c r="F17443" s="9" t="s">
        <v>459</v>
      </c>
      <c r="G17443" s="10" t="s">
        <v>86</v>
      </c>
      <c r="H17443" s="9" t="s">
        <v>22</v>
      </c>
      <c r="I17443" s="9" t="s">
        <v>35360</v>
      </c>
      <c r="J17443" s="10" t="str">
        <f>HYPERLINK("https://www.boe.es/gazeta/dias/1834/12/23/pdfs/GMD-C-1834-313.pdf#page=2","Abrir facsímil")</f>
        <v>Abrir facsímil</v>
      </c>
      <c r="K17443" s="10" t="s">
        <v>24</v>
      </c>
    </row>
    <row r="17444" spans="1:11" ht="54" customHeight="1">
      <c r="A17444" s="9" t="s">
        <v>35361</v>
      </c>
      <c r="B17444" s="9" t="s">
        <v>35361</v>
      </c>
      <c r="C17444" s="9" t="s">
        <v>46</v>
      </c>
      <c r="D17444" s="9" t="s">
        <v>18</v>
      </c>
      <c r="E17444" s="10" t="s">
        <v>128</v>
      </c>
      <c r="F17444" s="9" t="s">
        <v>129</v>
      </c>
      <c r="G17444" s="10" t="s">
        <v>21</v>
      </c>
      <c r="H17444" s="9" t="s">
        <v>22</v>
      </c>
      <c r="I17444" s="9" t="s">
        <v>35362</v>
      </c>
      <c r="J17444" s="10" t="str">
        <f>HYPERLINK("https://www.boe.es/gazeta/dias/1834/12/24/pdfs/GMD-C-1834-314.pdf#page=3","Abrir facsímil")</f>
        <v>Abrir facsímil</v>
      </c>
      <c r="K17444" s="10" t="s">
        <v>24</v>
      </c>
    </row>
    <row r="17445" spans="1:11" ht="54" customHeight="1">
      <c r="A17445" s="9" t="s">
        <v>35363</v>
      </c>
      <c r="B17445" s="9" t="s">
        <v>35364</v>
      </c>
      <c r="C17445" s="9" t="s">
        <v>17</v>
      </c>
      <c r="D17445" s="9" t="s">
        <v>18</v>
      </c>
      <c r="E17445" s="10" t="s">
        <v>1505</v>
      </c>
      <c r="F17445" s="9" t="s">
        <v>1506</v>
      </c>
      <c r="G17445" s="10" t="s">
        <v>75</v>
      </c>
      <c r="H17445" s="9" t="s">
        <v>35</v>
      </c>
      <c r="I17445" s="9" t="s">
        <v>35365</v>
      </c>
      <c r="J17445" s="10" t="str">
        <f>HYPERLINK("https://www.boe.es/gazeta/dias/1834/05/08/pdfs/GMD-1834-77.pdf#page=4","Abrir facsímil")</f>
        <v>Abrir facsímil</v>
      </c>
      <c r="K17445" s="10" t="s">
        <v>37</v>
      </c>
    </row>
    <row r="17446" spans="1:11" ht="54" customHeight="1">
      <c r="A17446" s="9" t="s">
        <v>35366</v>
      </c>
      <c r="B17446" s="9" t="s">
        <v>35367</v>
      </c>
      <c r="C17446" s="9" t="s">
        <v>17</v>
      </c>
      <c r="D17446" s="9" t="s">
        <v>18</v>
      </c>
      <c r="E17446" s="10" t="s">
        <v>1402</v>
      </c>
      <c r="F17446" s="9" t="s">
        <v>1403</v>
      </c>
      <c r="G17446" s="10" t="s">
        <v>75</v>
      </c>
      <c r="H17446" s="9" t="s">
        <v>22</v>
      </c>
      <c r="I17446" s="9" t="s">
        <v>35368</v>
      </c>
      <c r="J17446" s="10" t="str">
        <f>HYPERLINK("https://www.boe.es/gazeta/dias/1834/05/05/pdfs/GMD-1834-74.pdf#page=4","Abrir facsímil")</f>
        <v>Abrir facsímil</v>
      </c>
      <c r="K17446" s="10" t="s">
        <v>24</v>
      </c>
    </row>
    <row r="17447" spans="1:11" ht="54" customHeight="1">
      <c r="A17447" s="9" t="s">
        <v>35366</v>
      </c>
      <c r="B17447" s="9" t="s">
        <v>35367</v>
      </c>
      <c r="C17447" s="9" t="s">
        <v>17</v>
      </c>
      <c r="D17447" s="9" t="s">
        <v>18</v>
      </c>
      <c r="E17447" s="10" t="s">
        <v>734</v>
      </c>
      <c r="F17447" s="9" t="s">
        <v>735</v>
      </c>
      <c r="G17447" s="10" t="s">
        <v>21</v>
      </c>
      <c r="H17447" s="9" t="s">
        <v>22</v>
      </c>
      <c r="I17447" s="9" t="s">
        <v>35369</v>
      </c>
      <c r="J17447" s="10" t="str">
        <f>HYPERLINK("https://www.boe.es/gazeta/dias/1834/05/06/pdfs/GMD-1834-75.pdf#page=3","Abrir facsímil")</f>
        <v>Abrir facsímil</v>
      </c>
      <c r="K17447" s="10" t="s">
        <v>24</v>
      </c>
    </row>
    <row r="17448" spans="1:11" ht="54" customHeight="1">
      <c r="A17448" s="9" t="s">
        <v>35366</v>
      </c>
      <c r="B17448" s="9" t="s">
        <v>35367</v>
      </c>
      <c r="C17448" s="9" t="s">
        <v>17</v>
      </c>
      <c r="D17448" s="9" t="s">
        <v>18</v>
      </c>
      <c r="E17448" s="10" t="s">
        <v>1505</v>
      </c>
      <c r="F17448" s="9" t="s">
        <v>1506</v>
      </c>
      <c r="G17448" s="10" t="s">
        <v>75</v>
      </c>
      <c r="H17448" s="9" t="s">
        <v>22</v>
      </c>
      <c r="I17448" s="9" t="s">
        <v>35370</v>
      </c>
      <c r="J17448" s="10" t="str">
        <f>HYPERLINK("https://www.boe.es/gazeta/dias/1834/05/08/pdfs/GMD-1834-77.pdf#page=4","Abrir facsímil")</f>
        <v>Abrir facsímil</v>
      </c>
      <c r="K17448" s="10" t="s">
        <v>24</v>
      </c>
    </row>
    <row r="17449" spans="1:11" ht="54" customHeight="1">
      <c r="A17449" s="9" t="s">
        <v>35371</v>
      </c>
      <c r="B17449" s="9" t="s">
        <v>35372</v>
      </c>
      <c r="C17449" s="9" t="s">
        <v>17</v>
      </c>
      <c r="D17449" s="9" t="s">
        <v>18</v>
      </c>
      <c r="E17449" s="10" t="s">
        <v>785</v>
      </c>
      <c r="F17449" s="9" t="s">
        <v>786</v>
      </c>
      <c r="G17449" s="10" t="s">
        <v>75</v>
      </c>
      <c r="H17449" s="9" t="s">
        <v>22</v>
      </c>
      <c r="I17449" s="9" t="s">
        <v>35373</v>
      </c>
      <c r="J17449" s="10" t="str">
        <f>HYPERLINK("https://www.boe.es/gazeta/dias/1834/02/11/pdfs/GMD-1834-19.pdf#page=4","Abrir facsímil")</f>
        <v>Abrir facsímil</v>
      </c>
      <c r="K17449" s="10" t="s">
        <v>24</v>
      </c>
    </row>
    <row r="17450" spans="1:11" ht="54" customHeight="1">
      <c r="A17450" s="9" t="s">
        <v>35374</v>
      </c>
      <c r="B17450" s="9" t="s">
        <v>35375</v>
      </c>
      <c r="C17450" s="9" t="s">
        <v>66</v>
      </c>
      <c r="D17450" s="9" t="s">
        <v>67</v>
      </c>
      <c r="E17450" s="10" t="s">
        <v>919</v>
      </c>
      <c r="F17450" s="9" t="s">
        <v>920</v>
      </c>
      <c r="G17450" s="10" t="s">
        <v>75</v>
      </c>
      <c r="H17450" s="9" t="s">
        <v>22</v>
      </c>
      <c r="I17450" s="9" t="s">
        <v>35376</v>
      </c>
      <c r="J17450" s="10" t="str">
        <f>HYPERLINK("https://www.boe.es/gazeta/dias/1834/06/24/pdfs/GMD-1834-127.pdf#page=4","Abrir facsímil")</f>
        <v>Abrir facsímil</v>
      </c>
      <c r="K17450" s="10" t="s">
        <v>24</v>
      </c>
    </row>
    <row r="17451" spans="1:11" ht="54" customHeight="1">
      <c r="A17451" s="9" t="s">
        <v>35377</v>
      </c>
      <c r="B17451" s="9" t="s">
        <v>35377</v>
      </c>
      <c r="C17451" s="9" t="s">
        <v>17</v>
      </c>
      <c r="D17451" s="9" t="s">
        <v>18</v>
      </c>
      <c r="E17451" s="10" t="s">
        <v>1410</v>
      </c>
      <c r="F17451" s="9" t="s">
        <v>2231</v>
      </c>
      <c r="G17451" s="10" t="s">
        <v>28</v>
      </c>
      <c r="H17451" s="9" t="s">
        <v>22</v>
      </c>
      <c r="I17451" s="9" t="s">
        <v>35378</v>
      </c>
      <c r="J17451" s="10" t="str">
        <f>HYPERLINK("https://www.boe.es/gazeta/dias/1834/09/09/pdfs/GMD-C-1834-207.pdf#page=5","Abrir facsímil")</f>
        <v>Abrir facsímil</v>
      </c>
      <c r="K17451" s="10" t="s">
        <v>24</v>
      </c>
    </row>
    <row r="17452" spans="1:11" ht="54" customHeight="1">
      <c r="A17452" s="9" t="s">
        <v>35379</v>
      </c>
      <c r="B17452" s="9" t="s">
        <v>35379</v>
      </c>
      <c r="C17452" s="9" t="s">
        <v>17</v>
      </c>
      <c r="D17452" s="9" t="s">
        <v>18</v>
      </c>
      <c r="E17452" s="10" t="s">
        <v>715</v>
      </c>
      <c r="F17452" s="9" t="s">
        <v>716</v>
      </c>
      <c r="G17452" s="10" t="s">
        <v>176</v>
      </c>
      <c r="H17452" s="9" t="s">
        <v>22</v>
      </c>
      <c r="I17452" s="9" t="s">
        <v>35380</v>
      </c>
      <c r="J17452" s="10" t="str">
        <f>HYPERLINK("https://www.boe.es/gazeta/dias/1834/09/17/pdfs/GMD-C-1834-215.pdf#page=6","Abrir facsímil")</f>
        <v>Abrir facsímil</v>
      </c>
      <c r="K17452" s="10" t="s">
        <v>24</v>
      </c>
    </row>
    <row r="17453" spans="1:11" ht="54" customHeight="1">
      <c r="A17453" s="9" t="s">
        <v>35381</v>
      </c>
      <c r="B17453" s="9" t="s">
        <v>35382</v>
      </c>
      <c r="C17453" s="9" t="s">
        <v>46</v>
      </c>
      <c r="D17453" s="9" t="s">
        <v>101</v>
      </c>
      <c r="E17453" s="10" t="s">
        <v>3054</v>
      </c>
      <c r="F17453" s="9" t="s">
        <v>3055</v>
      </c>
      <c r="G17453" s="10" t="s">
        <v>21</v>
      </c>
      <c r="H17453" s="9" t="s">
        <v>22</v>
      </c>
      <c r="I17453" s="9" t="s">
        <v>35383</v>
      </c>
      <c r="J17453" s="10" t="str">
        <f>HYPERLINK("https://www.boe.es/gazeta/dias/1834/10/06/pdfs/GMD-1834-234.pdf#page=3","Abrir facsímil")</f>
        <v>Abrir facsímil</v>
      </c>
      <c r="K17453" s="10" t="s">
        <v>24</v>
      </c>
    </row>
    <row r="17454" spans="1:11" ht="54" customHeight="1">
      <c r="A17454" s="9" t="s">
        <v>35384</v>
      </c>
      <c r="B17454" s="9" t="s">
        <v>35385</v>
      </c>
      <c r="C17454" s="9" t="s">
        <v>17</v>
      </c>
      <c r="D17454" s="9" t="s">
        <v>55</v>
      </c>
      <c r="E17454" s="10" t="s">
        <v>102</v>
      </c>
      <c r="F17454" s="9" t="s">
        <v>103</v>
      </c>
      <c r="G17454" s="10" t="s">
        <v>21</v>
      </c>
      <c r="H17454" s="9" t="s">
        <v>22</v>
      </c>
      <c r="I17454" s="9" t="s">
        <v>35386</v>
      </c>
      <c r="J17454" s="10" t="str">
        <f>HYPERLINK("https://www.boe.es/gazeta/dias/1834/07/19/pdfs/GMD-1834-152.pdf#page=3","Abrir facsímil")</f>
        <v>Abrir facsímil</v>
      </c>
      <c r="K17454" s="10" t="s">
        <v>24</v>
      </c>
    </row>
    <row r="17455" spans="1:11" ht="54" customHeight="1">
      <c r="A17455" s="9" t="s">
        <v>35384</v>
      </c>
      <c r="B17455" s="9" t="s">
        <v>35385</v>
      </c>
      <c r="C17455" s="9" t="s">
        <v>17</v>
      </c>
      <c r="D17455" s="9" t="s">
        <v>18</v>
      </c>
      <c r="E17455" s="10" t="s">
        <v>647</v>
      </c>
      <c r="F17455" s="9" t="s">
        <v>648</v>
      </c>
      <c r="G17455" s="10" t="s">
        <v>34</v>
      </c>
      <c r="H17455" s="9" t="s">
        <v>22</v>
      </c>
      <c r="I17455" s="9" t="s">
        <v>35387</v>
      </c>
      <c r="J17455" s="10" t="str">
        <f>HYPERLINK("https://www.boe.es/gazeta/dias/1834/10/21/pdfs/GMD-C-1834-249.pdf#page=1","Abrir facsímil")</f>
        <v>Abrir facsímil</v>
      </c>
      <c r="K17455" s="10" t="s">
        <v>24</v>
      </c>
    </row>
    <row r="17456" spans="1:11" ht="54" customHeight="1">
      <c r="A17456" s="9" t="s">
        <v>35384</v>
      </c>
      <c r="B17456" s="9" t="s">
        <v>35385</v>
      </c>
      <c r="C17456" s="9" t="s">
        <v>46</v>
      </c>
      <c r="D17456" s="9" t="s">
        <v>101</v>
      </c>
      <c r="E17456" s="10" t="s">
        <v>2596</v>
      </c>
      <c r="F17456" s="9" t="s">
        <v>5480</v>
      </c>
      <c r="G17456" s="10" t="s">
        <v>34</v>
      </c>
      <c r="H17456" s="9" t="s">
        <v>22</v>
      </c>
      <c r="I17456" s="9" t="s">
        <v>35388</v>
      </c>
      <c r="J17456" s="10" t="str">
        <f>HYPERLINK("https://www.boe.es/gazeta/dias/1834/10/22/pdfs/GMD-C-1834-250.pdf#page=1","Abrir facsímil")</f>
        <v>Abrir facsímil</v>
      </c>
      <c r="K17456" s="10" t="s">
        <v>24</v>
      </c>
    </row>
    <row r="17457" spans="1:11" ht="54" customHeight="1">
      <c r="A17457" s="9" t="s">
        <v>35389</v>
      </c>
      <c r="B17457" s="9" t="s">
        <v>35390</v>
      </c>
      <c r="C17457" s="9" t="s">
        <v>17</v>
      </c>
      <c r="D17457" s="9" t="s">
        <v>18</v>
      </c>
      <c r="E17457" s="10" t="s">
        <v>702</v>
      </c>
      <c r="F17457" s="9" t="s">
        <v>703</v>
      </c>
      <c r="G17457" s="10" t="s">
        <v>21</v>
      </c>
      <c r="H17457" s="9" t="s">
        <v>22</v>
      </c>
      <c r="I17457" s="9" t="s">
        <v>35391</v>
      </c>
      <c r="J17457" s="10" t="str">
        <f>HYPERLINK("https://www.boe.es/gazeta/dias/1834/11/22/pdfs/GMD-C-1834-281.pdf#page=3","Abrir facsímil")</f>
        <v>Abrir facsímil</v>
      </c>
      <c r="K17457" s="10" t="s">
        <v>24</v>
      </c>
    </row>
    <row r="17458" spans="1:11" ht="54" customHeight="1">
      <c r="A17458" s="9" t="s">
        <v>35392</v>
      </c>
      <c r="B17458" s="9" t="s">
        <v>35393</v>
      </c>
      <c r="C17458" s="9" t="s">
        <v>17</v>
      </c>
      <c r="D17458" s="9" t="s">
        <v>18</v>
      </c>
      <c r="E17458" s="10" t="s">
        <v>96</v>
      </c>
      <c r="F17458" s="9" t="s">
        <v>97</v>
      </c>
      <c r="G17458" s="10" t="s">
        <v>86</v>
      </c>
      <c r="H17458" s="9" t="s">
        <v>22</v>
      </c>
      <c r="I17458" s="9" t="s">
        <v>35394</v>
      </c>
      <c r="J17458" s="10" t="str">
        <f>HYPERLINK("https://www.boe.es/gazeta/dias/1834/11/11/pdfs/GMD-C-1834-270.pdf#page=2","Abrir facsímil")</f>
        <v>Abrir facsímil</v>
      </c>
      <c r="K17458" s="10" t="s">
        <v>24</v>
      </c>
    </row>
    <row r="17459" spans="1:11" ht="54" customHeight="1">
      <c r="A17459" s="9" t="s">
        <v>35392</v>
      </c>
      <c r="B17459" s="9" t="s">
        <v>35393</v>
      </c>
      <c r="C17459" s="9" t="s">
        <v>122</v>
      </c>
      <c r="D17459" s="9" t="s">
        <v>18</v>
      </c>
      <c r="E17459" s="10" t="s">
        <v>510</v>
      </c>
      <c r="F17459" s="9" t="s">
        <v>531</v>
      </c>
      <c r="G17459" s="10" t="s">
        <v>75</v>
      </c>
      <c r="H17459" s="9" t="s">
        <v>22</v>
      </c>
      <c r="I17459" s="9" t="s">
        <v>35395</v>
      </c>
      <c r="J17459" s="10" t="str">
        <f>HYPERLINK("https://www.boe.es/gazeta/dias/1834/11/26/pdfs/GMD-C-1834-285.pdf#page=4","Abrir facsímil")</f>
        <v>Abrir facsímil</v>
      </c>
      <c r="K17459" s="10" t="s">
        <v>24</v>
      </c>
    </row>
    <row r="17460" spans="1:11" ht="54" customHeight="1">
      <c r="A17460" s="9" t="s">
        <v>35396</v>
      </c>
      <c r="B17460" s="9" t="s">
        <v>35397</v>
      </c>
      <c r="C17460" s="9" t="s">
        <v>90</v>
      </c>
      <c r="D17460" s="9" t="s">
        <v>18</v>
      </c>
      <c r="E17460" s="10" t="s">
        <v>647</v>
      </c>
      <c r="F17460" s="9" t="s">
        <v>648</v>
      </c>
      <c r="G17460" s="10" t="s">
        <v>34</v>
      </c>
      <c r="H17460" s="9" t="s">
        <v>22</v>
      </c>
      <c r="I17460" s="9" t="s">
        <v>35398</v>
      </c>
      <c r="J17460" s="10" t="str">
        <f>HYPERLINK("https://www.boe.es/gazeta/dias/1834/10/21/pdfs/GMD-C-1834-249.pdf#page=1","Abrir facsímil")</f>
        <v>Abrir facsímil</v>
      </c>
      <c r="K17460" s="10" t="s">
        <v>24</v>
      </c>
    </row>
    <row r="17461" spans="1:11" ht="54" customHeight="1">
      <c r="A17461" s="9" t="s">
        <v>35399</v>
      </c>
      <c r="B17461" s="9" t="s">
        <v>35400</v>
      </c>
      <c r="C17461" s="9" t="s">
        <v>90</v>
      </c>
      <c r="D17461" s="9" t="s">
        <v>67</v>
      </c>
      <c r="E17461" s="10" t="s">
        <v>1351</v>
      </c>
      <c r="F17461" s="9" t="s">
        <v>1352</v>
      </c>
      <c r="G17461" s="10" t="s">
        <v>75</v>
      </c>
      <c r="H17461" s="9" t="s">
        <v>35</v>
      </c>
      <c r="I17461" s="9" t="s">
        <v>35401</v>
      </c>
      <c r="J17461" s="10" t="str">
        <f>HYPERLINK("https://www.boe.es/gazeta/dias/1834/07/05/pdfs/GMD-1834-138.pdf#page=4","Abrir facsímil")</f>
        <v>Abrir facsímil</v>
      </c>
      <c r="K17461" s="10" t="s">
        <v>37</v>
      </c>
    </row>
    <row r="17462" spans="1:11" ht="54" customHeight="1">
      <c r="A17462" s="9" t="s">
        <v>35402</v>
      </c>
      <c r="B17462" s="9" t="s">
        <v>35403</v>
      </c>
      <c r="C17462" s="9" t="s">
        <v>90</v>
      </c>
      <c r="D17462" s="9" t="s">
        <v>67</v>
      </c>
      <c r="E17462" s="10" t="s">
        <v>1351</v>
      </c>
      <c r="F17462" s="9" t="s">
        <v>1352</v>
      </c>
      <c r="G17462" s="10" t="s">
        <v>75</v>
      </c>
      <c r="H17462" s="9" t="s">
        <v>22</v>
      </c>
      <c r="I17462" s="9" t="s">
        <v>35404</v>
      </c>
      <c r="J17462" s="10" t="str">
        <f>HYPERLINK("https://www.boe.es/gazeta/dias/1834/07/05/pdfs/GMD-1834-138.pdf#page=4","Abrir facsímil")</f>
        <v>Abrir facsímil</v>
      </c>
      <c r="K17462" s="10" t="s">
        <v>24</v>
      </c>
    </row>
    <row r="17463" spans="1:11" ht="54" customHeight="1">
      <c r="A17463" s="9" t="s">
        <v>35405</v>
      </c>
      <c r="B17463" s="9" t="s">
        <v>35406</v>
      </c>
      <c r="C17463" s="9" t="s">
        <v>17</v>
      </c>
      <c r="D17463" s="9" t="s">
        <v>18</v>
      </c>
      <c r="E17463" s="10" t="s">
        <v>468</v>
      </c>
      <c r="F17463" s="9" t="s">
        <v>469</v>
      </c>
      <c r="G17463" s="10" t="s">
        <v>34</v>
      </c>
      <c r="H17463" s="9" t="s">
        <v>35</v>
      </c>
      <c r="I17463" s="9" t="s">
        <v>35407</v>
      </c>
      <c r="J17463" s="10" t="str">
        <f>HYPERLINK("https://www.boe.es/gazeta/dias/1834/12/28/pdfs/GMD-C-1834-318.pdf#page=1","Abrir facsímil")</f>
        <v>Abrir facsímil</v>
      </c>
      <c r="K17463" s="10" t="s">
        <v>37</v>
      </c>
    </row>
    <row r="17464" spans="1:11" ht="54" customHeight="1">
      <c r="A17464" s="9" t="s">
        <v>35408</v>
      </c>
      <c r="B17464" s="9" t="s">
        <v>35409</v>
      </c>
      <c r="C17464" s="9" t="s">
        <v>17</v>
      </c>
      <c r="D17464" s="9" t="s">
        <v>18</v>
      </c>
      <c r="E17464" s="10" t="s">
        <v>468</v>
      </c>
      <c r="F17464" s="9" t="s">
        <v>469</v>
      </c>
      <c r="G17464" s="10" t="s">
        <v>34</v>
      </c>
      <c r="H17464" s="9" t="s">
        <v>22</v>
      </c>
      <c r="I17464" s="9" t="s">
        <v>35410</v>
      </c>
      <c r="J17464" s="10" t="str">
        <f>HYPERLINK("https://www.boe.es/gazeta/dias/1834/12/28/pdfs/GMD-C-1834-318.pdf#page=1","Abrir facsímil")</f>
        <v>Abrir facsímil</v>
      </c>
      <c r="K17464" s="10" t="s">
        <v>24</v>
      </c>
    </row>
    <row r="17465" spans="1:11" ht="54" customHeight="1">
      <c r="A17465" s="9" t="s">
        <v>35411</v>
      </c>
      <c r="B17465" s="9" t="s">
        <v>35412</v>
      </c>
      <c r="C17465" s="9" t="s">
        <v>17</v>
      </c>
      <c r="D17465" s="9" t="s">
        <v>55</v>
      </c>
      <c r="E17465" s="10" t="s">
        <v>823</v>
      </c>
      <c r="F17465" s="9" t="s">
        <v>824</v>
      </c>
      <c r="G17465" s="10" t="s">
        <v>176</v>
      </c>
      <c r="H17465" s="9" t="s">
        <v>22</v>
      </c>
      <c r="I17465" s="9" t="s">
        <v>35413</v>
      </c>
      <c r="J17465" s="10" t="str">
        <f>HYPERLINK("https://www.boe.es/gazeta/dias/1834/07/23/pdfs/GMD-1834-156.pdf#page=6","Abrir facsímil")</f>
        <v>Abrir facsímil</v>
      </c>
      <c r="K17465" s="10" t="s">
        <v>24</v>
      </c>
    </row>
    <row r="17466" spans="1:11" ht="54" customHeight="1">
      <c r="A17466" s="9" t="s">
        <v>35414</v>
      </c>
      <c r="B17466" s="9" t="s">
        <v>35414</v>
      </c>
      <c r="C17466" s="9" t="s">
        <v>17</v>
      </c>
      <c r="D17466" s="9" t="s">
        <v>18</v>
      </c>
      <c r="E17466" s="10" t="s">
        <v>2860</v>
      </c>
      <c r="F17466" s="9" t="s">
        <v>2861</v>
      </c>
      <c r="G17466" s="10" t="s">
        <v>86</v>
      </c>
      <c r="H17466" s="9" t="s">
        <v>22</v>
      </c>
      <c r="I17466" s="9" t="s">
        <v>35415</v>
      </c>
      <c r="J17466" s="10" t="str">
        <f>HYPERLINK("https://www.boe.es/gazeta/dias/1834/07/20/pdfs/GMD-1834-153.pdf#page=2","Abrir facsímil")</f>
        <v>Abrir facsímil</v>
      </c>
      <c r="K17466" s="10" t="s">
        <v>24</v>
      </c>
    </row>
    <row r="17467" spans="1:11" ht="54" customHeight="1">
      <c r="A17467" s="9" t="s">
        <v>35416</v>
      </c>
      <c r="B17467" s="9" t="s">
        <v>35417</v>
      </c>
      <c r="C17467" s="9" t="s">
        <v>17</v>
      </c>
      <c r="D17467" s="9" t="s">
        <v>55</v>
      </c>
      <c r="E17467" s="10" t="s">
        <v>79</v>
      </c>
      <c r="F17467" s="9" t="s">
        <v>80</v>
      </c>
      <c r="G17467" s="10" t="s">
        <v>21</v>
      </c>
      <c r="H17467" s="9" t="s">
        <v>35</v>
      </c>
      <c r="I17467" s="9" t="s">
        <v>35418</v>
      </c>
      <c r="J17467" s="10" t="str">
        <f>HYPERLINK("https://www.boe.es/gazeta/dias/1834/07/12/pdfs/GMD-1834-145.pdf#page=3","Abrir facsímil")</f>
        <v>Abrir facsímil</v>
      </c>
      <c r="K17467" s="10" t="s">
        <v>37</v>
      </c>
    </row>
    <row r="17468" spans="1:11" ht="54" customHeight="1">
      <c r="A17468" s="9" t="s">
        <v>35419</v>
      </c>
      <c r="B17468" s="9" t="s">
        <v>35419</v>
      </c>
      <c r="C17468" s="9" t="s">
        <v>17</v>
      </c>
      <c r="D17468" s="9" t="s">
        <v>18</v>
      </c>
      <c r="E17468" s="10" t="s">
        <v>3036</v>
      </c>
      <c r="F17468" s="9" t="s">
        <v>3372</v>
      </c>
      <c r="G17468" s="10" t="s">
        <v>21</v>
      </c>
      <c r="H17468" s="9" t="s">
        <v>22</v>
      </c>
      <c r="I17468" s="9" t="s">
        <v>35420</v>
      </c>
      <c r="J17468" s="10" t="str">
        <f>HYPERLINK("https://www.boe.es/gazeta/dias/1834/11/18/pdfs/GMD-1834-277.pdf#page=3","Abrir facsímil")</f>
        <v>Abrir facsímil</v>
      </c>
      <c r="K17468" s="10" t="s">
        <v>24</v>
      </c>
    </row>
    <row r="17469" spans="1:11" ht="54" customHeight="1">
      <c r="A17469" s="9" t="s">
        <v>35421</v>
      </c>
      <c r="B17469" s="9" t="s">
        <v>35421</v>
      </c>
      <c r="C17469" s="9" t="s">
        <v>17</v>
      </c>
      <c r="D17469" s="9" t="s">
        <v>18</v>
      </c>
      <c r="E17469" s="10" t="s">
        <v>1141</v>
      </c>
      <c r="F17469" s="9" t="s">
        <v>1142</v>
      </c>
      <c r="G17469" s="10" t="s">
        <v>86</v>
      </c>
      <c r="H17469" s="9" t="s">
        <v>22</v>
      </c>
      <c r="I17469" s="9" t="s">
        <v>35422</v>
      </c>
      <c r="J17469" s="10" t="str">
        <f>HYPERLINK("https://www.boe.es/gazeta/dias/1834/04/30/pdfs/GMD-1834-69.pdf#page=2","Abrir facsímil")</f>
        <v>Abrir facsímil</v>
      </c>
      <c r="K17469" s="10" t="s">
        <v>24</v>
      </c>
    </row>
    <row r="17470" spans="1:11" ht="54" customHeight="1">
      <c r="A17470" s="9" t="s">
        <v>35423</v>
      </c>
      <c r="B17470" s="9" t="s">
        <v>35424</v>
      </c>
      <c r="C17470" s="9" t="s">
        <v>90</v>
      </c>
      <c r="D17470" s="9" t="s">
        <v>18</v>
      </c>
      <c r="E17470" s="10" t="s">
        <v>26</v>
      </c>
      <c r="F17470" s="9" t="s">
        <v>818</v>
      </c>
      <c r="G17470" s="10" t="s">
        <v>86</v>
      </c>
      <c r="H17470" s="9" t="s">
        <v>35</v>
      </c>
      <c r="I17470" s="9" t="s">
        <v>35425</v>
      </c>
      <c r="J17470" s="10" t="str">
        <f>HYPERLINK("https://www.boe.es/gazeta/dias/1834/10/19/pdfs/GMD-1834-247.pdf#page=2","Abrir facsímil")</f>
        <v>Abrir facsímil</v>
      </c>
      <c r="K17470" s="10" t="s">
        <v>37</v>
      </c>
    </row>
    <row r="17471" spans="1:11" ht="54" customHeight="1">
      <c r="A17471" s="9" t="s">
        <v>35426</v>
      </c>
      <c r="B17471" s="9" t="s">
        <v>35427</v>
      </c>
      <c r="C17471" s="9" t="s">
        <v>122</v>
      </c>
      <c r="D17471" s="9" t="s">
        <v>18</v>
      </c>
      <c r="E17471" s="10" t="s">
        <v>4637</v>
      </c>
      <c r="F17471" s="9" t="s">
        <v>4638</v>
      </c>
      <c r="G17471" s="10" t="s">
        <v>21</v>
      </c>
      <c r="H17471" s="9" t="s">
        <v>22</v>
      </c>
      <c r="I17471" s="9" t="s">
        <v>35428</v>
      </c>
      <c r="J17471" s="10" t="str">
        <f>HYPERLINK("https://www.boe.es/gazeta/dias/1834/12/08/pdfs/GMD-1834-297.pdf#page=3","Abrir facsímil")</f>
        <v>Abrir facsímil</v>
      </c>
      <c r="K17471" s="10" t="s">
        <v>24</v>
      </c>
    </row>
    <row r="17472" spans="1:11" ht="54" customHeight="1">
      <c r="A17472" s="9" t="s">
        <v>35429</v>
      </c>
      <c r="B17472" s="9" t="s">
        <v>35430</v>
      </c>
      <c r="C17472" s="9" t="s">
        <v>66</v>
      </c>
      <c r="D17472" s="9" t="s">
        <v>67</v>
      </c>
      <c r="E17472" s="10" t="s">
        <v>3066</v>
      </c>
      <c r="F17472" s="9" t="s">
        <v>3188</v>
      </c>
      <c r="G17472" s="10" t="s">
        <v>86</v>
      </c>
      <c r="H17472" s="9" t="s">
        <v>35</v>
      </c>
      <c r="I17472" s="9" t="s">
        <v>35431</v>
      </c>
      <c r="J17472" s="10" t="str">
        <f>HYPERLINK("https://www.boe.es/gazeta/dias/1834/08/03/pdfs/GMD-1834-167.pdf#page=2","Abrir facsímil")</f>
        <v>Abrir facsímil</v>
      </c>
      <c r="K17472" s="10" t="s">
        <v>37</v>
      </c>
    </row>
    <row r="17473" spans="1:11" ht="54" customHeight="1">
      <c r="A17473" s="9" t="s">
        <v>35432</v>
      </c>
      <c r="B17473" s="9" t="s">
        <v>35433</v>
      </c>
      <c r="C17473" s="9" t="s">
        <v>66</v>
      </c>
      <c r="D17473" s="9" t="s">
        <v>67</v>
      </c>
      <c r="E17473" s="10" t="s">
        <v>3066</v>
      </c>
      <c r="F17473" s="9" t="s">
        <v>3188</v>
      </c>
      <c r="G17473" s="10" t="s">
        <v>86</v>
      </c>
      <c r="H17473" s="9" t="s">
        <v>22</v>
      </c>
      <c r="I17473" s="9" t="s">
        <v>35434</v>
      </c>
      <c r="J17473" s="10" t="str">
        <f>HYPERLINK("https://www.boe.es/gazeta/dias/1834/08/03/pdfs/GMD-1834-167.pdf#page=2","Abrir facsímil")</f>
        <v>Abrir facsímil</v>
      </c>
      <c r="K17473" s="10" t="s">
        <v>24</v>
      </c>
    </row>
    <row r="17474" spans="1:11" ht="54" customHeight="1">
      <c r="A17474" s="9" t="s">
        <v>35435</v>
      </c>
      <c r="B17474" s="9" t="s">
        <v>35435</v>
      </c>
      <c r="C17474" s="9" t="s">
        <v>122</v>
      </c>
      <c r="D17474" s="9" t="s">
        <v>40</v>
      </c>
      <c r="E17474" s="10" t="s">
        <v>1459</v>
      </c>
      <c r="F17474" s="9" t="s">
        <v>1460</v>
      </c>
      <c r="G17474" s="10" t="s">
        <v>34</v>
      </c>
      <c r="H17474" s="9" t="s">
        <v>22</v>
      </c>
      <c r="I17474" s="9" t="s">
        <v>35436</v>
      </c>
      <c r="J17474" s="10" t="str">
        <f>HYPERLINK("https://www.boe.es/gazeta/dias/1834/08/18/pdfs/GMD-1834-184.pdf#page=1","Abrir facsímil")</f>
        <v>Abrir facsímil</v>
      </c>
      <c r="K17474" s="10" t="s">
        <v>24</v>
      </c>
    </row>
    <row r="17475" spans="1:11" ht="54" customHeight="1">
      <c r="A17475" s="9" t="s">
        <v>35437</v>
      </c>
      <c r="B17475" s="9" t="s">
        <v>35438</v>
      </c>
      <c r="C17475" s="9" t="s">
        <v>66</v>
      </c>
      <c r="D17475" s="9" t="s">
        <v>67</v>
      </c>
      <c r="E17475" s="10" t="s">
        <v>19</v>
      </c>
      <c r="F17475" s="9" t="s">
        <v>1933</v>
      </c>
      <c r="G17475" s="10" t="s">
        <v>34</v>
      </c>
      <c r="H17475" s="9" t="s">
        <v>35</v>
      </c>
      <c r="I17475" s="9" t="s">
        <v>35439</v>
      </c>
      <c r="J17475" s="10" t="str">
        <f>HYPERLINK("https://www.boe.es/gazeta/dias/1834/08/17/pdfs/GMD-1834-183E.pdf#page=1","Abrir facsímil")</f>
        <v>Abrir facsímil</v>
      </c>
      <c r="K17475" s="10" t="s">
        <v>37</v>
      </c>
    </row>
    <row r="17476" spans="1:11" ht="54" customHeight="1">
      <c r="A17476" s="9" t="s">
        <v>35440</v>
      </c>
      <c r="B17476" s="9" t="s">
        <v>35441</v>
      </c>
      <c r="C17476" s="9" t="s">
        <v>66</v>
      </c>
      <c r="D17476" s="9" t="s">
        <v>67</v>
      </c>
      <c r="E17476" s="10" t="s">
        <v>19</v>
      </c>
      <c r="F17476" s="9" t="s">
        <v>1933</v>
      </c>
      <c r="G17476" s="10" t="s">
        <v>34</v>
      </c>
      <c r="H17476" s="9" t="s">
        <v>22</v>
      </c>
      <c r="I17476" s="9" t="s">
        <v>35442</v>
      </c>
      <c r="J17476" s="10" t="str">
        <f>HYPERLINK("https://www.boe.es/gazeta/dias/1834/08/17/pdfs/GMD-1834-183E.pdf#page=1","Abrir facsímil")</f>
        <v>Abrir facsímil</v>
      </c>
      <c r="K17476" s="10" t="s">
        <v>24</v>
      </c>
    </row>
    <row r="17477" spans="1:11" ht="54" customHeight="1">
      <c r="A17477" s="9" t="s">
        <v>35443</v>
      </c>
      <c r="B17477" s="9" t="s">
        <v>35443</v>
      </c>
      <c r="C17477" s="9" t="s">
        <v>122</v>
      </c>
      <c r="D17477" s="9" t="s">
        <v>18</v>
      </c>
      <c r="E17477" s="10" t="s">
        <v>2153</v>
      </c>
      <c r="F17477" s="9" t="s">
        <v>2154</v>
      </c>
      <c r="G17477" s="10" t="s">
        <v>75</v>
      </c>
      <c r="H17477" s="9" t="s">
        <v>22</v>
      </c>
      <c r="I17477" s="9" t="s">
        <v>35444</v>
      </c>
      <c r="J17477" s="10" t="str">
        <f>HYPERLINK("https://www.boe.es/gazeta/dias/1834/01/23/pdfs/GMD-1834-11.pdf#page=4","Abrir facsímil")</f>
        <v>Abrir facsímil</v>
      </c>
      <c r="K17477" s="10" t="s">
        <v>24</v>
      </c>
    </row>
    <row r="17478" spans="1:11" ht="54" customHeight="1">
      <c r="A17478" s="9" t="s">
        <v>35445</v>
      </c>
      <c r="B17478" s="9" t="s">
        <v>35446</v>
      </c>
      <c r="C17478" s="9" t="s">
        <v>122</v>
      </c>
      <c r="D17478" s="9" t="s">
        <v>18</v>
      </c>
      <c r="E17478" s="10" t="s">
        <v>330</v>
      </c>
      <c r="F17478" s="9" t="s">
        <v>331</v>
      </c>
      <c r="G17478" s="10" t="s">
        <v>21</v>
      </c>
      <c r="H17478" s="9" t="s">
        <v>22</v>
      </c>
      <c r="I17478" s="9" t="s">
        <v>35447</v>
      </c>
      <c r="J17478" s="10" t="str">
        <f>HYPERLINK("https://www.boe.es/gazeta/dias/1834/12/03/pdfs/GMD-1834-292.pdf#page=3","Abrir facsímil")</f>
        <v>Abrir facsímil</v>
      </c>
      <c r="K17478" s="10" t="s">
        <v>24</v>
      </c>
    </row>
    <row r="17479" spans="1:11" ht="54" customHeight="1">
      <c r="A17479" s="9" t="s">
        <v>35448</v>
      </c>
      <c r="B17479" s="9" t="s">
        <v>35448</v>
      </c>
      <c r="C17479" s="9" t="s">
        <v>17</v>
      </c>
      <c r="D17479" s="9" t="s">
        <v>55</v>
      </c>
      <c r="E17479" s="10" t="s">
        <v>590</v>
      </c>
      <c r="F17479" s="9" t="s">
        <v>591</v>
      </c>
      <c r="G17479" s="10" t="s">
        <v>34</v>
      </c>
      <c r="H17479" s="9" t="s">
        <v>22</v>
      </c>
      <c r="I17479" s="9" t="s">
        <v>35449</v>
      </c>
      <c r="J17479" s="10" t="str">
        <f>HYPERLINK("https://www.boe.es/gazeta/dias/1834/11/30/pdfs/GMD-1834-289.pdf#page=1","Abrir facsímil")</f>
        <v>Abrir facsímil</v>
      </c>
      <c r="K17479" s="10" t="s">
        <v>24</v>
      </c>
    </row>
    <row r="17480" spans="1:11" ht="54" customHeight="1">
      <c r="A17480" s="9" t="s">
        <v>35450</v>
      </c>
      <c r="B17480" s="9" t="s">
        <v>35451</v>
      </c>
      <c r="C17480" s="9" t="s">
        <v>17</v>
      </c>
      <c r="D17480" s="9" t="s">
        <v>18</v>
      </c>
      <c r="E17480" s="10" t="s">
        <v>3083</v>
      </c>
      <c r="F17480" s="9" t="s">
        <v>3084</v>
      </c>
      <c r="G17480" s="10" t="s">
        <v>21</v>
      </c>
      <c r="H17480" s="9" t="s">
        <v>22</v>
      </c>
      <c r="I17480" s="9" t="s">
        <v>35452</v>
      </c>
      <c r="J17480" s="10" t="str">
        <f>HYPERLINK("https://www.boe.es/gazeta/dias/1834/10/30/pdfs/GMD-1834-258.pdf#page=3","Abrir facsímil")</f>
        <v>Abrir facsímil</v>
      </c>
      <c r="K17480" s="10" t="s">
        <v>24</v>
      </c>
    </row>
    <row r="17481" spans="1:11" ht="54" customHeight="1">
      <c r="A17481" s="9" t="s">
        <v>35453</v>
      </c>
      <c r="B17481" s="9" t="s">
        <v>35453</v>
      </c>
      <c r="C17481" s="9" t="s">
        <v>122</v>
      </c>
      <c r="D17481" s="9" t="s">
        <v>18</v>
      </c>
      <c r="E17481" s="10" t="s">
        <v>956</v>
      </c>
      <c r="F17481" s="9" t="s">
        <v>1508</v>
      </c>
      <c r="G17481" s="10" t="s">
        <v>34</v>
      </c>
      <c r="H17481" s="9" t="s">
        <v>22</v>
      </c>
      <c r="I17481" s="9" t="s">
        <v>35454</v>
      </c>
      <c r="J17481" s="10" t="str">
        <f>HYPERLINK("https://www.boe.es/gazeta/dias/1834/08/10/pdfs/GMD-1834-175.pdf#page=1","Abrir facsímil")</f>
        <v>Abrir facsímil</v>
      </c>
      <c r="K17481" s="10" t="s">
        <v>24</v>
      </c>
    </row>
    <row r="17482" spans="1:11" ht="54" customHeight="1">
      <c r="A17482" s="9" t="s">
        <v>35455</v>
      </c>
      <c r="B17482" s="9" t="s">
        <v>35456</v>
      </c>
      <c r="C17482" s="9" t="s">
        <v>46</v>
      </c>
      <c r="D17482" s="9" t="s">
        <v>18</v>
      </c>
      <c r="E17482" s="10" t="s">
        <v>1084</v>
      </c>
      <c r="F17482" s="9" t="s">
        <v>1085</v>
      </c>
      <c r="G17482" s="10" t="s">
        <v>176</v>
      </c>
      <c r="H17482" s="9" t="s">
        <v>22</v>
      </c>
      <c r="I17482" s="9" t="s">
        <v>35457</v>
      </c>
      <c r="J17482" s="10" t="str">
        <f>HYPERLINK("https://www.boe.es/gazeta/dias/1834/05/01/pdfs/GMD-1834-70.pdf#page=6","Abrir facsímil")</f>
        <v>Abrir facsímil</v>
      </c>
      <c r="K17482" s="10" t="s">
        <v>24</v>
      </c>
    </row>
    <row r="17483" spans="1:11" ht="54" customHeight="1">
      <c r="A17483" s="9" t="s">
        <v>35458</v>
      </c>
      <c r="B17483" s="9" t="s">
        <v>35459</v>
      </c>
      <c r="C17483" s="9" t="s">
        <v>17</v>
      </c>
      <c r="D17483" s="9" t="s">
        <v>18</v>
      </c>
      <c r="E17483" s="10" t="s">
        <v>813</v>
      </c>
      <c r="F17483" s="9" t="s">
        <v>814</v>
      </c>
      <c r="G17483" s="10" t="s">
        <v>75</v>
      </c>
      <c r="H17483" s="9" t="s">
        <v>22</v>
      </c>
      <c r="I17483" s="9" t="s">
        <v>35460</v>
      </c>
      <c r="J17483" s="10" t="str">
        <f>HYPERLINK("https://www.boe.es/gazeta/dias/1834/08/08/pdfs/GMD-1834-173.pdf#page=4","Abrir facsímil")</f>
        <v>Abrir facsímil</v>
      </c>
      <c r="K17483" s="10" t="s">
        <v>24</v>
      </c>
    </row>
    <row r="17484" spans="1:11" ht="54" customHeight="1">
      <c r="A17484" s="9" t="s">
        <v>35461</v>
      </c>
      <c r="B17484" s="9" t="s">
        <v>35462</v>
      </c>
      <c r="C17484" s="9" t="s">
        <v>46</v>
      </c>
      <c r="D17484" s="9" t="s">
        <v>18</v>
      </c>
      <c r="E17484" s="10" t="s">
        <v>454</v>
      </c>
      <c r="F17484" s="9" t="s">
        <v>455</v>
      </c>
      <c r="G17484" s="10" t="s">
        <v>75</v>
      </c>
      <c r="H17484" s="9" t="s">
        <v>22</v>
      </c>
      <c r="I17484" s="9" t="s">
        <v>35463</v>
      </c>
      <c r="J17484" s="10" t="str">
        <f>HYPERLINK("https://www.boe.es/gazeta/dias/1834/10/16/pdfs/GMD-C-1834-244.pdf#page=4","Abrir facsímil")</f>
        <v>Abrir facsímil</v>
      </c>
      <c r="K17484" s="10" t="s">
        <v>24</v>
      </c>
    </row>
    <row r="17485" spans="1:11" ht="54" customHeight="1">
      <c r="A17485" s="9" t="s">
        <v>35464</v>
      </c>
      <c r="B17485" s="9" t="s">
        <v>35465</v>
      </c>
      <c r="C17485" s="9" t="s">
        <v>17</v>
      </c>
      <c r="D17485" s="9" t="s">
        <v>18</v>
      </c>
      <c r="E17485" s="10" t="s">
        <v>653</v>
      </c>
      <c r="F17485" s="9" t="s">
        <v>3369</v>
      </c>
      <c r="G17485" s="10" t="s">
        <v>75</v>
      </c>
      <c r="H17485" s="9" t="s">
        <v>22</v>
      </c>
      <c r="I17485" s="9" t="s">
        <v>35466</v>
      </c>
      <c r="J17485" s="10" t="str">
        <f>HYPERLINK("https://www.boe.es/gazeta/dias/1834/08/06/pdfs/GMD-1834-170.pdf#page=4","Abrir facsímil")</f>
        <v>Abrir facsímil</v>
      </c>
      <c r="K17485" s="10" t="s">
        <v>24</v>
      </c>
    </row>
    <row r="17486" spans="1:11" ht="54" customHeight="1">
      <c r="A17486" s="9" t="s">
        <v>35467</v>
      </c>
      <c r="B17486" s="9" t="s">
        <v>35467</v>
      </c>
      <c r="C17486" s="9" t="s">
        <v>17</v>
      </c>
      <c r="D17486" s="9" t="s">
        <v>18</v>
      </c>
      <c r="E17486" s="10" t="s">
        <v>576</v>
      </c>
      <c r="F17486" s="9" t="s">
        <v>5888</v>
      </c>
      <c r="G17486" s="10" t="s">
        <v>75</v>
      </c>
      <c r="H17486" s="9" t="s">
        <v>22</v>
      </c>
      <c r="I17486" s="9" t="s">
        <v>35468</v>
      </c>
      <c r="J17486" s="10" t="str">
        <f>HYPERLINK("https://www.boe.es/gazeta/dias/1834/09/23/pdfs/GMD-C-1834-221.pdf#page=4","Abrir facsímil")</f>
        <v>Abrir facsímil</v>
      </c>
      <c r="K17486" s="10" t="s">
        <v>24</v>
      </c>
    </row>
    <row r="17487" spans="1:11" ht="54" customHeight="1">
      <c r="A17487" s="9" t="s">
        <v>35469</v>
      </c>
      <c r="B17487" s="9" t="s">
        <v>35469</v>
      </c>
      <c r="C17487" s="9" t="s">
        <v>66</v>
      </c>
      <c r="D17487" s="9" t="s">
        <v>67</v>
      </c>
      <c r="E17487" s="10" t="s">
        <v>1683</v>
      </c>
      <c r="F17487" s="9" t="s">
        <v>1684</v>
      </c>
      <c r="G17487" s="10" t="s">
        <v>34</v>
      </c>
      <c r="H17487" s="9" t="s">
        <v>22</v>
      </c>
      <c r="I17487" s="9" t="s">
        <v>35470</v>
      </c>
      <c r="J17487" s="10" t="str">
        <f>HYPERLINK("https://www.boe.es/gazeta/dias/1834/06/27/pdfs/GMD-1834-130.pdf#page=1","Abrir facsímil")</f>
        <v>Abrir facsímil</v>
      </c>
      <c r="K17487" s="10" t="s">
        <v>24</v>
      </c>
    </row>
    <row r="17488" spans="1:11" ht="54" customHeight="1">
      <c r="A17488" s="9" t="s">
        <v>35471</v>
      </c>
      <c r="B17488" s="9" t="s">
        <v>35471</v>
      </c>
      <c r="C17488" s="9" t="s">
        <v>17</v>
      </c>
      <c r="D17488" s="9" t="s">
        <v>18</v>
      </c>
      <c r="E17488" s="10" t="s">
        <v>429</v>
      </c>
      <c r="F17488" s="9" t="s">
        <v>430</v>
      </c>
      <c r="G17488" s="10" t="s">
        <v>176</v>
      </c>
      <c r="H17488" s="9" t="s">
        <v>22</v>
      </c>
      <c r="I17488" s="9" t="s">
        <v>35472</v>
      </c>
      <c r="J17488" s="10" t="str">
        <f>HYPERLINK("https://www.boe.es/gazeta/dias/1834/08/07/pdfs/GMD-C-1834-172.pdf#page=6","Abrir facsímil")</f>
        <v>Abrir facsímil</v>
      </c>
      <c r="K17488" s="10" t="s">
        <v>24</v>
      </c>
    </row>
    <row r="17489" spans="1:11" ht="54" customHeight="1">
      <c r="A17489" s="9" t="s">
        <v>35473</v>
      </c>
      <c r="B17489" s="9" t="s">
        <v>35474</v>
      </c>
      <c r="C17489" s="9" t="s">
        <v>17</v>
      </c>
      <c r="D17489" s="9" t="s">
        <v>18</v>
      </c>
      <c r="E17489" s="10" t="s">
        <v>133</v>
      </c>
      <c r="F17489" s="9" t="s">
        <v>134</v>
      </c>
      <c r="G17489" s="10" t="s">
        <v>75</v>
      </c>
      <c r="H17489" s="9" t="s">
        <v>35</v>
      </c>
      <c r="I17489" s="9" t="s">
        <v>35475</v>
      </c>
      <c r="J17489" s="10" t="str">
        <f>HYPERLINK("https://www.boe.es/gazeta/dias/1834/06/18/pdfs/GMD-1834-121.pdf#page=4","Abrir facsímil")</f>
        <v>Abrir facsímil</v>
      </c>
      <c r="K17489" s="10" t="s">
        <v>37</v>
      </c>
    </row>
    <row r="17490" spans="1:11" ht="54" customHeight="1">
      <c r="A17490" s="9" t="s">
        <v>35476</v>
      </c>
      <c r="B17490" s="9" t="s">
        <v>35477</v>
      </c>
      <c r="C17490" s="9" t="s">
        <v>17</v>
      </c>
      <c r="D17490" s="9" t="s">
        <v>18</v>
      </c>
      <c r="E17490" s="10" t="s">
        <v>133</v>
      </c>
      <c r="F17490" s="9" t="s">
        <v>134</v>
      </c>
      <c r="G17490" s="10" t="s">
        <v>75</v>
      </c>
      <c r="H17490" s="9" t="s">
        <v>22</v>
      </c>
      <c r="I17490" s="9" t="s">
        <v>35478</v>
      </c>
      <c r="J17490" s="10" t="str">
        <f>HYPERLINK("https://www.boe.es/gazeta/dias/1834/06/18/pdfs/GMD-1834-121.pdf#page=4","Abrir facsímil")</f>
        <v>Abrir facsímil</v>
      </c>
      <c r="K17490" s="10" t="s">
        <v>24</v>
      </c>
    </row>
    <row r="17491" spans="1:11" ht="54" customHeight="1">
      <c r="A17491" s="9" t="s">
        <v>35479</v>
      </c>
      <c r="B17491" s="9" t="s">
        <v>35479</v>
      </c>
      <c r="C17491" s="9" t="s">
        <v>17</v>
      </c>
      <c r="D17491" s="9" t="s">
        <v>18</v>
      </c>
      <c r="E17491" s="10" t="s">
        <v>762</v>
      </c>
      <c r="F17491" s="9" t="s">
        <v>763</v>
      </c>
      <c r="G17491" s="10" t="s">
        <v>75</v>
      </c>
      <c r="H17491" s="9" t="s">
        <v>22</v>
      </c>
      <c r="I17491" s="9" t="s">
        <v>35480</v>
      </c>
      <c r="J17491" s="10" t="str">
        <f>HYPERLINK("https://www.boe.es/gazeta/dias/1834/11/07/pdfs/GMD-1834-266.pdf#page=4","Abrir facsímil")</f>
        <v>Abrir facsímil</v>
      </c>
      <c r="K17491" s="10" t="s">
        <v>24</v>
      </c>
    </row>
    <row r="17492" spans="1:11" ht="54" customHeight="1">
      <c r="A17492" s="9" t="s">
        <v>35479</v>
      </c>
      <c r="B17492" s="9" t="s">
        <v>35479</v>
      </c>
      <c r="C17492" s="9" t="s">
        <v>17</v>
      </c>
      <c r="D17492" s="9" t="s">
        <v>18</v>
      </c>
      <c r="E17492" s="10" t="s">
        <v>5435</v>
      </c>
      <c r="F17492" s="9" t="s">
        <v>5436</v>
      </c>
      <c r="G17492" s="10" t="s">
        <v>21</v>
      </c>
      <c r="H17492" s="9" t="s">
        <v>22</v>
      </c>
      <c r="I17492" s="9" t="s">
        <v>35481</v>
      </c>
      <c r="J17492" s="10" t="str">
        <f>HYPERLINK("https://www.boe.es/gazeta/dias/1834/05/11/pdfs/GMD-1834-80.pdf#page=3","Abrir facsímil")</f>
        <v>Abrir facsímil</v>
      </c>
      <c r="K17492" s="10" t="s">
        <v>24</v>
      </c>
    </row>
    <row r="17493" spans="1:11" ht="54" customHeight="1">
      <c r="A17493" s="9" t="s">
        <v>35479</v>
      </c>
      <c r="B17493" s="9" t="s">
        <v>35479</v>
      </c>
      <c r="C17493" s="9" t="s">
        <v>46</v>
      </c>
      <c r="D17493" s="9" t="s">
        <v>101</v>
      </c>
      <c r="E17493" s="10" t="s">
        <v>1669</v>
      </c>
      <c r="F17493" s="9" t="s">
        <v>1670</v>
      </c>
      <c r="G17493" s="10" t="s">
        <v>21</v>
      </c>
      <c r="H17493" s="9" t="s">
        <v>22</v>
      </c>
      <c r="I17493" s="9" t="s">
        <v>35482</v>
      </c>
      <c r="J17493" s="10" t="str">
        <f>HYPERLINK("https://www.boe.es/gazeta/dias/1834/06/19/pdfs/GMD-1834-122.pdf#page=3","Abrir facsímil")</f>
        <v>Abrir facsímil</v>
      </c>
      <c r="K17493" s="10" t="s">
        <v>24</v>
      </c>
    </row>
    <row r="17494" spans="1:11" ht="54" customHeight="1">
      <c r="A17494" s="9" t="s">
        <v>35479</v>
      </c>
      <c r="B17494" s="9" t="s">
        <v>35479</v>
      </c>
      <c r="C17494" s="9" t="s">
        <v>17</v>
      </c>
      <c r="D17494" s="9" t="s">
        <v>40</v>
      </c>
      <c r="E17494" s="10" t="s">
        <v>753</v>
      </c>
      <c r="F17494" s="9" t="s">
        <v>754</v>
      </c>
      <c r="G17494" s="10" t="s">
        <v>28</v>
      </c>
      <c r="H17494" s="9" t="s">
        <v>22</v>
      </c>
      <c r="I17494" s="9" t="s">
        <v>35483</v>
      </c>
      <c r="J17494" s="10" t="str">
        <f>HYPERLINK("https://www.boe.es/gazeta/dias/1834/04/21/pdfs/GMD-1834-60.pdf#page=5","Abrir facsímil")</f>
        <v>Abrir facsímil</v>
      </c>
      <c r="K17494" s="10" t="s">
        <v>24</v>
      </c>
    </row>
    <row r="17495" spans="1:11" ht="54" customHeight="1">
      <c r="A17495" s="9" t="s">
        <v>35479</v>
      </c>
      <c r="B17495" s="9" t="s">
        <v>35479</v>
      </c>
      <c r="C17495" s="9" t="s">
        <v>122</v>
      </c>
      <c r="D17495" s="9" t="s">
        <v>40</v>
      </c>
      <c r="E17495" s="10" t="s">
        <v>8279</v>
      </c>
      <c r="F17495" s="9" t="s">
        <v>8280</v>
      </c>
      <c r="G17495" s="10" t="s">
        <v>75</v>
      </c>
      <c r="H17495" s="9" t="s">
        <v>22</v>
      </c>
      <c r="I17495" s="9" t="s">
        <v>35484</v>
      </c>
      <c r="J17495" s="10" t="str">
        <f>HYPERLINK("https://www.boe.es/gazeta/dias/1834/04/22/pdfs/GMD-1834-61.pdf#page=4","Abrir facsímil")</f>
        <v>Abrir facsímil</v>
      </c>
      <c r="K17495" s="10" t="s">
        <v>24</v>
      </c>
    </row>
    <row r="17496" spans="1:11" ht="54" customHeight="1">
      <c r="A17496" s="9" t="s">
        <v>35485</v>
      </c>
      <c r="B17496" s="9" t="s">
        <v>35486</v>
      </c>
      <c r="C17496" s="9" t="s">
        <v>17</v>
      </c>
      <c r="D17496" s="9" t="s">
        <v>18</v>
      </c>
      <c r="E17496" s="10" t="s">
        <v>753</v>
      </c>
      <c r="F17496" s="9" t="s">
        <v>754</v>
      </c>
      <c r="G17496" s="10" t="s">
        <v>28</v>
      </c>
      <c r="H17496" s="9" t="s">
        <v>35</v>
      </c>
      <c r="I17496" s="9" t="s">
        <v>35487</v>
      </c>
      <c r="J17496" s="10" t="str">
        <f>HYPERLINK("https://www.boe.es/gazeta/dias/1834/04/21/pdfs/GMD-1834-60.pdf#page=5","Abrir facsímil")</f>
        <v>Abrir facsímil</v>
      </c>
      <c r="K17496" s="10" t="s">
        <v>37</v>
      </c>
    </row>
    <row r="17497" spans="1:11" ht="54" customHeight="1">
      <c r="A17497" s="9" t="s">
        <v>35488</v>
      </c>
      <c r="B17497" s="9" t="s">
        <v>35489</v>
      </c>
      <c r="C17497" s="9" t="s">
        <v>46</v>
      </c>
      <c r="D17497" s="9" t="s">
        <v>101</v>
      </c>
      <c r="E17497" s="10" t="s">
        <v>3699</v>
      </c>
      <c r="F17497" s="9" t="s">
        <v>6179</v>
      </c>
      <c r="G17497" s="10" t="s">
        <v>34</v>
      </c>
      <c r="H17497" s="9" t="s">
        <v>35</v>
      </c>
      <c r="I17497" s="9" t="s">
        <v>35490</v>
      </c>
      <c r="J17497" s="10" t="str">
        <f>HYPERLINK("https://www.boe.es/gazeta/dias/1834/02/06/pdfs/GMD-D-1834-17.pdf#page=1","Abrir facsímil")</f>
        <v>Abrir facsímil</v>
      </c>
      <c r="K17497" s="10" t="s">
        <v>37</v>
      </c>
    </row>
    <row r="17498" spans="1:11" ht="54" customHeight="1">
      <c r="A17498" s="9" t="s">
        <v>35488</v>
      </c>
      <c r="B17498" s="9" t="s">
        <v>35489</v>
      </c>
      <c r="C17498" s="9" t="s">
        <v>90</v>
      </c>
      <c r="D17498" s="9" t="s">
        <v>18</v>
      </c>
      <c r="E17498" s="10" t="s">
        <v>41</v>
      </c>
      <c r="F17498" s="9" t="s">
        <v>42</v>
      </c>
      <c r="G17498" s="10" t="s">
        <v>21</v>
      </c>
      <c r="H17498" s="9" t="s">
        <v>35</v>
      </c>
      <c r="I17498" s="9" t="s">
        <v>35491</v>
      </c>
      <c r="J17498" s="10" t="str">
        <f>HYPERLINK("https://www.boe.es/gazeta/dias/1834/06/11/pdfs/GMD-1834-114.pdf#page=3","Abrir facsímil")</f>
        <v>Abrir facsímil</v>
      </c>
      <c r="K17498" s="10" t="s">
        <v>37</v>
      </c>
    </row>
    <row r="17499" spans="1:11" ht="54" customHeight="1">
      <c r="A17499" s="9" t="s">
        <v>35492</v>
      </c>
      <c r="B17499" s="9" t="s">
        <v>35493</v>
      </c>
      <c r="C17499" s="9" t="s">
        <v>17</v>
      </c>
      <c r="D17499" s="9" t="s">
        <v>18</v>
      </c>
      <c r="E17499" s="10" t="s">
        <v>753</v>
      </c>
      <c r="F17499" s="9" t="s">
        <v>754</v>
      </c>
      <c r="G17499" s="10" t="s">
        <v>28</v>
      </c>
      <c r="H17499" s="9" t="s">
        <v>22</v>
      </c>
      <c r="I17499" s="9" t="s">
        <v>35494</v>
      </c>
      <c r="J17499" s="10" t="str">
        <f>HYPERLINK("https://www.boe.es/gazeta/dias/1834/04/21/pdfs/GMD-1834-60.pdf#page=5","Abrir facsímil")</f>
        <v>Abrir facsímil</v>
      </c>
      <c r="K17499" s="10" t="s">
        <v>24</v>
      </c>
    </row>
    <row r="17500" spans="1:11" ht="54" customHeight="1">
      <c r="A17500" s="9" t="s">
        <v>35495</v>
      </c>
      <c r="B17500" s="9" t="s">
        <v>35496</v>
      </c>
      <c r="C17500" s="9" t="s">
        <v>46</v>
      </c>
      <c r="D17500" s="9" t="s">
        <v>101</v>
      </c>
      <c r="E17500" s="10" t="s">
        <v>3699</v>
      </c>
      <c r="F17500" s="9" t="s">
        <v>6179</v>
      </c>
      <c r="G17500" s="10" t="s">
        <v>34</v>
      </c>
      <c r="H17500" s="9" t="s">
        <v>22</v>
      </c>
      <c r="I17500" s="9" t="s">
        <v>35490</v>
      </c>
      <c r="J17500" s="10" t="str">
        <f>HYPERLINK("https://www.boe.es/gazeta/dias/1834/02/06/pdfs/GMD-D-1834-17.pdf#page=1","Abrir facsímil")</f>
        <v>Abrir facsímil</v>
      </c>
      <c r="K17500" s="10" t="s">
        <v>24</v>
      </c>
    </row>
    <row r="17501" spans="1:11" ht="54" customHeight="1">
      <c r="A17501" s="9" t="s">
        <v>35495</v>
      </c>
      <c r="B17501" s="9" t="s">
        <v>35496</v>
      </c>
      <c r="C17501" s="9" t="s">
        <v>90</v>
      </c>
      <c r="D17501" s="9" t="s">
        <v>18</v>
      </c>
      <c r="E17501" s="10" t="s">
        <v>41</v>
      </c>
      <c r="F17501" s="9" t="s">
        <v>42</v>
      </c>
      <c r="G17501" s="10" t="s">
        <v>21</v>
      </c>
      <c r="H17501" s="9" t="s">
        <v>22</v>
      </c>
      <c r="I17501" s="9" t="s">
        <v>35497</v>
      </c>
      <c r="J17501" s="10" t="str">
        <f>HYPERLINK("https://www.boe.es/gazeta/dias/1834/06/11/pdfs/GMD-1834-114.pdf#page=3","Abrir facsímil")</f>
        <v>Abrir facsímil</v>
      </c>
      <c r="K17501" s="10" t="s">
        <v>24</v>
      </c>
    </row>
    <row r="17502" spans="1:11" ht="54" customHeight="1">
      <c r="A17502" s="9" t="s">
        <v>35498</v>
      </c>
      <c r="B17502" s="9" t="s">
        <v>35499</v>
      </c>
      <c r="C17502" s="9" t="s">
        <v>122</v>
      </c>
      <c r="D17502" s="9" t="s">
        <v>18</v>
      </c>
      <c r="E17502" s="10" t="s">
        <v>838</v>
      </c>
      <c r="F17502" s="9" t="s">
        <v>839</v>
      </c>
      <c r="G17502" s="10" t="s">
        <v>75</v>
      </c>
      <c r="H17502" s="9" t="s">
        <v>22</v>
      </c>
      <c r="I17502" s="9" t="s">
        <v>35500</v>
      </c>
      <c r="J17502" s="10" t="str">
        <f>HYPERLINK("https://www.boe.es/gazeta/dias/1834/07/18/pdfs/GMD-1834-151.pdf#page=4","Abrir facsímil")</f>
        <v>Abrir facsímil</v>
      </c>
      <c r="K17502" s="10" t="s">
        <v>24</v>
      </c>
    </row>
    <row r="17503" spans="1:11" ht="54" customHeight="1">
      <c r="A17503" s="9" t="s">
        <v>35501</v>
      </c>
      <c r="B17503" s="9" t="s">
        <v>35502</v>
      </c>
      <c r="C17503" s="9" t="s">
        <v>66</v>
      </c>
      <c r="D17503" s="9" t="s">
        <v>67</v>
      </c>
      <c r="E17503" s="10" t="s">
        <v>2124</v>
      </c>
      <c r="F17503" s="9" t="s">
        <v>2125</v>
      </c>
      <c r="G17503" s="10" t="s">
        <v>75</v>
      </c>
      <c r="H17503" s="9" t="s">
        <v>22</v>
      </c>
      <c r="I17503" s="9" t="s">
        <v>35503</v>
      </c>
      <c r="J17503" s="10" t="str">
        <f>HYPERLINK("https://www.boe.es/gazeta/dias/1834/06/09/pdfs/GMD-1834-112.pdf#page=4","Abrir facsímil")</f>
        <v>Abrir facsímil</v>
      </c>
      <c r="K17503" s="10" t="s">
        <v>24</v>
      </c>
    </row>
    <row r="17504" spans="1:11" ht="54" customHeight="1">
      <c r="A17504" s="9" t="s">
        <v>35504</v>
      </c>
      <c r="B17504" s="9" t="s">
        <v>35505</v>
      </c>
      <c r="C17504" s="9" t="s">
        <v>66</v>
      </c>
      <c r="D17504" s="9" t="s">
        <v>67</v>
      </c>
      <c r="E17504" s="10" t="s">
        <v>758</v>
      </c>
      <c r="F17504" s="9" t="s">
        <v>759</v>
      </c>
      <c r="G17504" s="10" t="s">
        <v>75</v>
      </c>
      <c r="H17504" s="9" t="s">
        <v>22</v>
      </c>
      <c r="I17504" s="9" t="s">
        <v>35506</v>
      </c>
      <c r="J17504" s="10" t="str">
        <f>HYPERLINK("https://www.boe.es/gazeta/dias/1834/01/04/pdfs/GMD-1834-3.pdf#page=4","Abrir facsímil")</f>
        <v>Abrir facsímil</v>
      </c>
      <c r="K17504" s="10" t="s">
        <v>24</v>
      </c>
    </row>
    <row r="17505" spans="1:11" ht="54" customHeight="1">
      <c r="A17505" s="9" t="s">
        <v>35507</v>
      </c>
      <c r="B17505" s="9" t="s">
        <v>35508</v>
      </c>
      <c r="C17505" s="9" t="s">
        <v>46</v>
      </c>
      <c r="D17505" s="9" t="s">
        <v>101</v>
      </c>
      <c r="E17505" s="10" t="s">
        <v>3328</v>
      </c>
      <c r="F17505" s="9" t="s">
        <v>3329</v>
      </c>
      <c r="G17505" s="10" t="s">
        <v>75</v>
      </c>
      <c r="H17505" s="9" t="s">
        <v>22</v>
      </c>
      <c r="I17505" s="9" t="s">
        <v>35509</v>
      </c>
      <c r="J17505" s="10" t="str">
        <f>HYPERLINK("https://www.boe.es/gazeta/dias/1834/06/04/pdfs/GMD-1834-106.pdf#page=4","Abrir facsímil")</f>
        <v>Abrir facsímil</v>
      </c>
      <c r="K17505" s="10" t="s">
        <v>24</v>
      </c>
    </row>
    <row r="17506" spans="1:11" ht="54" customHeight="1">
      <c r="A17506" s="9" t="s">
        <v>35510</v>
      </c>
      <c r="B17506" s="9" t="s">
        <v>35510</v>
      </c>
      <c r="C17506" s="9" t="s">
        <v>46</v>
      </c>
      <c r="D17506" s="9" t="s">
        <v>18</v>
      </c>
      <c r="E17506" s="10" t="s">
        <v>4064</v>
      </c>
      <c r="F17506" s="9" t="s">
        <v>4065</v>
      </c>
      <c r="G17506" s="10" t="s">
        <v>21</v>
      </c>
      <c r="H17506" s="9" t="s">
        <v>22</v>
      </c>
      <c r="I17506" s="9" t="s">
        <v>35511</v>
      </c>
      <c r="J17506" s="10" t="str">
        <f>HYPERLINK("https://www.boe.es/gazeta/dias/1834/07/22/pdfs/GMD-1834-155.pdf#page=3","Abrir facsímil")</f>
        <v>Abrir facsímil</v>
      </c>
      <c r="K17506" s="10" t="s">
        <v>24</v>
      </c>
    </row>
    <row r="17507" spans="1:11" ht="54" customHeight="1">
      <c r="A17507" s="9" t="s">
        <v>35512</v>
      </c>
      <c r="B17507" s="9" t="s">
        <v>35512</v>
      </c>
      <c r="C17507" s="9" t="s">
        <v>66</v>
      </c>
      <c r="D17507" s="9" t="s">
        <v>67</v>
      </c>
      <c r="E17507" s="10" t="s">
        <v>3499</v>
      </c>
      <c r="F17507" s="9" t="s">
        <v>3500</v>
      </c>
      <c r="G17507" s="10" t="s">
        <v>75</v>
      </c>
      <c r="H17507" s="9" t="s">
        <v>22</v>
      </c>
      <c r="I17507" s="9" t="s">
        <v>35513</v>
      </c>
      <c r="J17507" s="10" t="str">
        <f>HYPERLINK("https://www.boe.es/gazeta/dias/1834/01/28/pdfs/GMD-1834-13.pdf#page=4","Abrir facsímil")</f>
        <v>Abrir facsímil</v>
      </c>
      <c r="K17507" s="10" t="s">
        <v>24</v>
      </c>
    </row>
    <row r="17508" spans="1:11" ht="54" customHeight="1">
      <c r="A17508" s="9" t="s">
        <v>35514</v>
      </c>
      <c r="B17508" s="9" t="s">
        <v>35514</v>
      </c>
      <c r="C17508" s="9" t="s">
        <v>17</v>
      </c>
      <c r="D17508" s="9" t="s">
        <v>18</v>
      </c>
      <c r="E17508" s="10" t="s">
        <v>642</v>
      </c>
      <c r="F17508" s="9" t="s">
        <v>643</v>
      </c>
      <c r="G17508" s="10" t="s">
        <v>28</v>
      </c>
      <c r="H17508" s="9" t="s">
        <v>22</v>
      </c>
      <c r="I17508" s="9" t="s">
        <v>35515</v>
      </c>
      <c r="J17508" s="10" t="str">
        <f>HYPERLINK("https://www.boe.es/gazeta/dias/1834/11/12/pdfs/GMD-C-1834-271.pdf#page=5","Abrir facsímil")</f>
        <v>Abrir facsímil</v>
      </c>
      <c r="K17508" s="10" t="s">
        <v>24</v>
      </c>
    </row>
    <row r="17509" spans="1:11" ht="54" customHeight="1">
      <c r="A17509" s="9" t="s">
        <v>35516</v>
      </c>
      <c r="B17509" s="9" t="s">
        <v>35516</v>
      </c>
      <c r="C17509" s="9" t="s">
        <v>90</v>
      </c>
      <c r="D17509" s="9" t="s">
        <v>18</v>
      </c>
      <c r="E17509" s="10" t="s">
        <v>454</v>
      </c>
      <c r="F17509" s="9" t="s">
        <v>455</v>
      </c>
      <c r="G17509" s="10" t="s">
        <v>21</v>
      </c>
      <c r="H17509" s="9" t="s">
        <v>22</v>
      </c>
      <c r="I17509" s="9" t="s">
        <v>35517</v>
      </c>
      <c r="J17509" s="10" t="str">
        <f>HYPERLINK("https://www.boe.es/gazeta/dias/1834/10/16/pdfs/GMD-C-1834-244.pdf#page=3","Abrir facsímil")</f>
        <v>Abrir facsímil</v>
      </c>
      <c r="K17509" s="10" t="s">
        <v>24</v>
      </c>
    </row>
    <row r="17510" spans="1:11" ht="54" customHeight="1">
      <c r="A17510" s="9" t="s">
        <v>35518</v>
      </c>
      <c r="B17510" s="9" t="s">
        <v>35518</v>
      </c>
      <c r="C17510" s="9" t="s">
        <v>17</v>
      </c>
      <c r="D17510" s="9" t="s">
        <v>18</v>
      </c>
      <c r="E17510" s="10" t="s">
        <v>506</v>
      </c>
      <c r="F17510" s="9" t="s">
        <v>507</v>
      </c>
      <c r="G17510" s="10" t="s">
        <v>75</v>
      </c>
      <c r="H17510" s="9" t="s">
        <v>22</v>
      </c>
      <c r="I17510" s="9" t="s">
        <v>35519</v>
      </c>
      <c r="J17510" s="10" t="str">
        <f>HYPERLINK("https://www.boe.es/gazeta/dias/1834/03/04/pdfs/GMD-1834-28.pdf#page=4","Abrir facsímil")</f>
        <v>Abrir facsímil</v>
      </c>
      <c r="K17510" s="10" t="s">
        <v>24</v>
      </c>
    </row>
    <row r="17511" spans="1:11" ht="54" customHeight="1">
      <c r="A17511" s="9" t="s">
        <v>35520</v>
      </c>
      <c r="B17511" s="9" t="s">
        <v>35521</v>
      </c>
      <c r="C17511" s="9" t="s">
        <v>66</v>
      </c>
      <c r="D17511" s="9" t="s">
        <v>67</v>
      </c>
      <c r="E17511" s="10" t="s">
        <v>1918</v>
      </c>
      <c r="F17511" s="9" t="s">
        <v>2024</v>
      </c>
      <c r="G17511" s="10" t="s">
        <v>86</v>
      </c>
      <c r="H17511" s="9" t="s">
        <v>22</v>
      </c>
      <c r="I17511" s="9" t="s">
        <v>35522</v>
      </c>
      <c r="J17511" s="10" t="str">
        <f>HYPERLINK("https://www.boe.es/gazeta/dias/1834/03/22/pdfs/GMD-C-1834-36.pdf#page=2","Abrir facsímil")</f>
        <v>Abrir facsímil</v>
      </c>
      <c r="K17511" s="10" t="s">
        <v>24</v>
      </c>
    </row>
    <row r="17512" spans="1:11" ht="54" customHeight="1">
      <c r="A17512" s="9" t="s">
        <v>35523</v>
      </c>
      <c r="B17512" s="9" t="s">
        <v>35523</v>
      </c>
      <c r="C17512" s="9" t="s">
        <v>17</v>
      </c>
      <c r="D17512" s="9" t="s">
        <v>18</v>
      </c>
      <c r="E17512" s="10" t="s">
        <v>642</v>
      </c>
      <c r="F17512" s="9" t="s">
        <v>643</v>
      </c>
      <c r="G17512" s="10" t="s">
        <v>28</v>
      </c>
      <c r="H17512" s="9" t="s">
        <v>22</v>
      </c>
      <c r="I17512" s="9" t="s">
        <v>35524</v>
      </c>
      <c r="J17512" s="10" t="str">
        <f>HYPERLINK("https://www.boe.es/gazeta/dias/1834/11/12/pdfs/GMD-C-1834-271.pdf#page=5","Abrir facsímil")</f>
        <v>Abrir facsímil</v>
      </c>
      <c r="K17512" s="10" t="s">
        <v>24</v>
      </c>
    </row>
    <row r="17513" spans="1:11" ht="54" customHeight="1">
      <c r="A17513" s="9" t="s">
        <v>35525</v>
      </c>
      <c r="B17513" s="9" t="s">
        <v>35525</v>
      </c>
      <c r="C17513" s="9" t="s">
        <v>17</v>
      </c>
      <c r="D17513" s="9" t="s">
        <v>18</v>
      </c>
      <c r="E17513" s="10" t="s">
        <v>73</v>
      </c>
      <c r="F17513" s="9" t="s">
        <v>74</v>
      </c>
      <c r="G17513" s="10" t="s">
        <v>21</v>
      </c>
      <c r="H17513" s="9" t="s">
        <v>22</v>
      </c>
      <c r="I17513" s="9" t="s">
        <v>35526</v>
      </c>
      <c r="J17513" s="10" t="str">
        <f>HYPERLINK("https://www.boe.es/gazeta/dias/1834/11/04/pdfs/GMD-1834-263.pdf#page=3","Abrir facsímil")</f>
        <v>Abrir facsímil</v>
      </c>
      <c r="K17513" s="10" t="s">
        <v>24</v>
      </c>
    </row>
    <row r="17514" spans="1:11" ht="54" customHeight="1">
      <c r="A17514" s="9" t="s">
        <v>35527</v>
      </c>
      <c r="B17514" s="9" t="s">
        <v>35528</v>
      </c>
      <c r="C17514" s="9" t="s">
        <v>66</v>
      </c>
      <c r="D17514" s="9" t="s">
        <v>67</v>
      </c>
      <c r="E17514" s="10" t="s">
        <v>448</v>
      </c>
      <c r="F17514" s="9" t="s">
        <v>2058</v>
      </c>
      <c r="G17514" s="10" t="s">
        <v>21</v>
      </c>
      <c r="H17514" s="9" t="s">
        <v>22</v>
      </c>
      <c r="I17514" s="9" t="s">
        <v>35529</v>
      </c>
      <c r="J17514" s="10" t="str">
        <f>HYPERLINK("https://www.boe.es/gazeta/dias/1834/10/14/pdfs/GMD-1834-242.pdf#page=3","Abrir facsímil")</f>
        <v>Abrir facsímil</v>
      </c>
      <c r="K17514" s="10" t="s">
        <v>24</v>
      </c>
    </row>
    <row r="17515" spans="1:11" ht="54" customHeight="1">
      <c r="A17515" s="9" t="s">
        <v>35530</v>
      </c>
      <c r="B17515" s="9" t="s">
        <v>35530</v>
      </c>
      <c r="C17515" s="9" t="s">
        <v>17</v>
      </c>
      <c r="D17515" s="9" t="s">
        <v>18</v>
      </c>
      <c r="E17515" s="10" t="s">
        <v>642</v>
      </c>
      <c r="F17515" s="9" t="s">
        <v>643</v>
      </c>
      <c r="G17515" s="10" t="s">
        <v>75</v>
      </c>
      <c r="H17515" s="9" t="s">
        <v>22</v>
      </c>
      <c r="I17515" s="9" t="s">
        <v>35531</v>
      </c>
      <c r="J17515" s="10" t="str">
        <f>HYPERLINK("https://www.boe.es/gazeta/dias/1834/11/12/pdfs/GMD-C-1834-271.pdf#page=4","Abrir facsímil")</f>
        <v>Abrir facsímil</v>
      </c>
      <c r="K17515" s="10" t="s">
        <v>24</v>
      </c>
    </row>
    <row r="17516" spans="1:11" ht="54" customHeight="1">
      <c r="A17516" s="9" t="s">
        <v>35532</v>
      </c>
      <c r="B17516" s="9" t="s">
        <v>35532</v>
      </c>
      <c r="C17516" s="9" t="s">
        <v>17</v>
      </c>
      <c r="D17516" s="9" t="s">
        <v>18</v>
      </c>
      <c r="E17516" s="10" t="s">
        <v>627</v>
      </c>
      <c r="F17516" s="9" t="s">
        <v>628</v>
      </c>
      <c r="G17516" s="10" t="s">
        <v>560</v>
      </c>
      <c r="H17516" s="9" t="s">
        <v>22</v>
      </c>
      <c r="I17516" s="9" t="s">
        <v>35533</v>
      </c>
      <c r="J17516" s="10" t="str">
        <f>HYPERLINK("https://www.boe.es/gazeta/dias/1834/09/22/pdfs/GMD-C-1834-220.pdf#page=7","Abrir facsímil")</f>
        <v>Abrir facsímil</v>
      </c>
      <c r="K17516" s="10" t="s">
        <v>24</v>
      </c>
    </row>
    <row r="17517" spans="1:11" ht="54" customHeight="1">
      <c r="A17517" s="9" t="s">
        <v>35534</v>
      </c>
      <c r="B17517" s="9" t="s">
        <v>35534</v>
      </c>
      <c r="C17517" s="9" t="s">
        <v>17</v>
      </c>
      <c r="D17517" s="9" t="s">
        <v>18</v>
      </c>
      <c r="E17517" s="10" t="s">
        <v>905</v>
      </c>
      <c r="F17517" s="9" t="s">
        <v>906</v>
      </c>
      <c r="G17517" s="10" t="s">
        <v>86</v>
      </c>
      <c r="H17517" s="9" t="s">
        <v>22</v>
      </c>
      <c r="I17517" s="9" t="s">
        <v>35535</v>
      </c>
      <c r="J17517" s="10" t="str">
        <f>HYPERLINK("https://www.boe.es/gazeta/dias/1834/08/02/pdfs/GMD-C-1834-166.pdf#page=2","Abrir facsímil")</f>
        <v>Abrir facsímil</v>
      </c>
      <c r="K17517" s="10" t="s">
        <v>24</v>
      </c>
    </row>
    <row r="17518" spans="1:11" ht="54" customHeight="1">
      <c r="A17518" s="9" t="s">
        <v>35534</v>
      </c>
      <c r="B17518" s="9" t="s">
        <v>35534</v>
      </c>
      <c r="C17518" s="9" t="s">
        <v>17</v>
      </c>
      <c r="D17518" s="9" t="s">
        <v>18</v>
      </c>
      <c r="E17518" s="10" t="s">
        <v>2212</v>
      </c>
      <c r="F17518" s="9" t="s">
        <v>2213</v>
      </c>
      <c r="G17518" s="10" t="s">
        <v>34</v>
      </c>
      <c r="H17518" s="9" t="s">
        <v>22</v>
      </c>
      <c r="I17518" s="9" t="s">
        <v>35536</v>
      </c>
      <c r="J17518" s="10" t="str">
        <f>HYPERLINK("https://www.boe.es/gazeta/dias/1834/08/04/pdfs/GMD-C-1834-168.pdf#page=1","Abrir facsímil")</f>
        <v>Abrir facsímil</v>
      </c>
      <c r="K17518" s="10" t="s">
        <v>24</v>
      </c>
    </row>
    <row r="17519" spans="1:11" ht="54" customHeight="1">
      <c r="A17519" s="9" t="s">
        <v>35534</v>
      </c>
      <c r="B17519" s="9" t="s">
        <v>35534</v>
      </c>
      <c r="C17519" s="9" t="s">
        <v>17</v>
      </c>
      <c r="D17519" s="9" t="s">
        <v>18</v>
      </c>
      <c r="E17519" s="10" t="s">
        <v>426</v>
      </c>
      <c r="F17519" s="9" t="s">
        <v>694</v>
      </c>
      <c r="G17519" s="10" t="s">
        <v>86</v>
      </c>
      <c r="H17519" s="9" t="s">
        <v>22</v>
      </c>
      <c r="I17519" s="9" t="s">
        <v>35537</v>
      </c>
      <c r="J17519" s="10" t="str">
        <f>HYPERLINK("https://www.boe.es/gazeta/dias/1834/10/04/pdfs/GMD-C-1834-232.pdf#page=2","Abrir facsímil")</f>
        <v>Abrir facsímil</v>
      </c>
      <c r="K17519" s="10" t="s">
        <v>24</v>
      </c>
    </row>
    <row r="17520" spans="1:11" ht="54" customHeight="1">
      <c r="A17520" s="9" t="s">
        <v>35534</v>
      </c>
      <c r="B17520" s="9" t="s">
        <v>35534</v>
      </c>
      <c r="C17520" s="9" t="s">
        <v>17</v>
      </c>
      <c r="D17520" s="9" t="s">
        <v>18</v>
      </c>
      <c r="E17520" s="10" t="s">
        <v>426</v>
      </c>
      <c r="F17520" s="9" t="s">
        <v>694</v>
      </c>
      <c r="G17520" s="10" t="s">
        <v>21</v>
      </c>
      <c r="H17520" s="9" t="s">
        <v>22</v>
      </c>
      <c r="I17520" s="9" t="s">
        <v>35538</v>
      </c>
      <c r="J17520" s="10" t="str">
        <f>HYPERLINK("https://www.boe.es/gazeta/dias/1834/10/04/pdfs/GMD-C-1834-232.pdf#page=3","Abrir facsímil")</f>
        <v>Abrir facsímil</v>
      </c>
      <c r="K17520" s="10" t="s">
        <v>24</v>
      </c>
    </row>
    <row r="17521" spans="1:11" ht="54" customHeight="1">
      <c r="A17521" s="9" t="s">
        <v>35534</v>
      </c>
      <c r="B17521" s="9" t="s">
        <v>35534</v>
      </c>
      <c r="C17521" s="9" t="s">
        <v>17</v>
      </c>
      <c r="D17521" s="9" t="s">
        <v>18</v>
      </c>
      <c r="E17521" s="10" t="s">
        <v>433</v>
      </c>
      <c r="F17521" s="9" t="s">
        <v>434</v>
      </c>
      <c r="G17521" s="10" t="s">
        <v>86</v>
      </c>
      <c r="H17521" s="9" t="s">
        <v>22</v>
      </c>
      <c r="I17521" s="9" t="s">
        <v>35539</v>
      </c>
      <c r="J17521" s="10" t="str">
        <f>HYPERLINK("https://www.boe.es/gazeta/dias/1834/10/07/pdfs/GMD-C-1834-235.pdf#page=2","Abrir facsímil")</f>
        <v>Abrir facsímil</v>
      </c>
      <c r="K17521" s="10" t="s">
        <v>24</v>
      </c>
    </row>
    <row r="17522" spans="1:11" ht="54" customHeight="1">
      <c r="A17522" s="9" t="s">
        <v>35534</v>
      </c>
      <c r="B17522" s="9" t="s">
        <v>35534</v>
      </c>
      <c r="C17522" s="9" t="s">
        <v>17</v>
      </c>
      <c r="D17522" s="9" t="s">
        <v>18</v>
      </c>
      <c r="E17522" s="10" t="s">
        <v>1103</v>
      </c>
      <c r="F17522" s="9" t="s">
        <v>1104</v>
      </c>
      <c r="G17522" s="10" t="s">
        <v>34</v>
      </c>
      <c r="H17522" s="9" t="s">
        <v>22</v>
      </c>
      <c r="I17522" s="9" t="s">
        <v>35540</v>
      </c>
      <c r="J17522" s="10" t="str">
        <f>HYPERLINK("https://www.boe.es/gazeta/dias/1834/10/10/pdfs/GMD-C-1834-238.pdf#page=1","Abrir facsímil")</f>
        <v>Abrir facsímil</v>
      </c>
      <c r="K17522" s="10" t="s">
        <v>24</v>
      </c>
    </row>
    <row r="17523" spans="1:11" ht="54" customHeight="1">
      <c r="A17523" s="9" t="s">
        <v>35534</v>
      </c>
      <c r="B17523" s="9" t="s">
        <v>35534</v>
      </c>
      <c r="C17523" s="9" t="s">
        <v>17</v>
      </c>
      <c r="D17523" s="9" t="s">
        <v>18</v>
      </c>
      <c r="E17523" s="10" t="s">
        <v>299</v>
      </c>
      <c r="F17523" s="9" t="s">
        <v>2255</v>
      </c>
      <c r="G17523" s="10" t="s">
        <v>86</v>
      </c>
      <c r="H17523" s="9" t="s">
        <v>22</v>
      </c>
      <c r="I17523" s="9" t="s">
        <v>35541</v>
      </c>
      <c r="J17523" s="10" t="str">
        <f>HYPERLINK("https://www.boe.es/gazeta/dias/1834/12/12/pdfs/GMD-C-1834-301.pdf#page=2","Abrir facsímil")</f>
        <v>Abrir facsímil</v>
      </c>
      <c r="K17523" s="10" t="s">
        <v>24</v>
      </c>
    </row>
    <row r="17524" spans="1:11" ht="54" customHeight="1">
      <c r="A17524" s="9" t="s">
        <v>35534</v>
      </c>
      <c r="B17524" s="9" t="s">
        <v>35534</v>
      </c>
      <c r="C17524" s="9" t="s">
        <v>17</v>
      </c>
      <c r="D17524" s="9" t="s">
        <v>18</v>
      </c>
      <c r="E17524" s="10" t="s">
        <v>299</v>
      </c>
      <c r="F17524" s="9" t="s">
        <v>2255</v>
      </c>
      <c r="G17524" s="10" t="s">
        <v>28</v>
      </c>
      <c r="H17524" s="9" t="s">
        <v>22</v>
      </c>
      <c r="I17524" s="9" t="s">
        <v>35542</v>
      </c>
      <c r="J17524" s="10" t="str">
        <f>HYPERLINK("https://www.boe.es/gazeta/dias/1834/12/12/pdfs/GMD-C-1834-301.pdf#page=5","Abrir facsímil")</f>
        <v>Abrir facsímil</v>
      </c>
      <c r="K17524" s="10" t="s">
        <v>24</v>
      </c>
    </row>
    <row r="17525" spans="1:11" ht="54" customHeight="1">
      <c r="A17525" s="9" t="s">
        <v>35534</v>
      </c>
      <c r="B17525" s="9" t="s">
        <v>35534</v>
      </c>
      <c r="C17525" s="9" t="s">
        <v>90</v>
      </c>
      <c r="D17525" s="9" t="s">
        <v>18</v>
      </c>
      <c r="E17525" s="10" t="s">
        <v>2087</v>
      </c>
      <c r="F17525" s="9" t="s">
        <v>2267</v>
      </c>
      <c r="G17525" s="10" t="s">
        <v>28</v>
      </c>
      <c r="H17525" s="9" t="s">
        <v>22</v>
      </c>
      <c r="I17525" s="9" t="s">
        <v>35543</v>
      </c>
      <c r="J17525" s="10" t="str">
        <f>HYPERLINK("https://www.boe.es/gazeta/dias/1834/12/14/pdfs/GMD-C-1834-303.pdf#page=5","Abrir facsímil")</f>
        <v>Abrir facsímil</v>
      </c>
      <c r="K17525" s="10" t="s">
        <v>24</v>
      </c>
    </row>
    <row r="17526" spans="1:11" ht="54" customHeight="1">
      <c r="A17526" s="9" t="s">
        <v>35534</v>
      </c>
      <c r="B17526" s="9" t="s">
        <v>35534</v>
      </c>
      <c r="C17526" s="9" t="s">
        <v>90</v>
      </c>
      <c r="D17526" s="9" t="s">
        <v>18</v>
      </c>
      <c r="E17526" s="10" t="s">
        <v>237</v>
      </c>
      <c r="F17526" s="9" t="s">
        <v>238</v>
      </c>
      <c r="G17526" s="10" t="s">
        <v>34</v>
      </c>
      <c r="H17526" s="9" t="s">
        <v>22</v>
      </c>
      <c r="I17526" s="9" t="s">
        <v>35544</v>
      </c>
      <c r="J17526" s="10" t="str">
        <f>HYPERLINK("https://www.boe.es/gazeta/dias/1834/08/15/pdfs/GMD-C-1834-180.pdf#page=1","Abrir facsímil")</f>
        <v>Abrir facsímil</v>
      </c>
      <c r="K17526" s="10" t="s">
        <v>24</v>
      </c>
    </row>
    <row r="17527" spans="1:11" ht="54" customHeight="1">
      <c r="A17527" s="9" t="s">
        <v>35534</v>
      </c>
      <c r="B17527" s="9" t="s">
        <v>35534</v>
      </c>
      <c r="C17527" s="9" t="s">
        <v>17</v>
      </c>
      <c r="D17527" s="9" t="s">
        <v>18</v>
      </c>
      <c r="E17527" s="10" t="s">
        <v>454</v>
      </c>
      <c r="F17527" s="9" t="s">
        <v>455</v>
      </c>
      <c r="G17527" s="10" t="s">
        <v>21</v>
      </c>
      <c r="H17527" s="9" t="s">
        <v>22</v>
      </c>
      <c r="I17527" s="9" t="s">
        <v>35545</v>
      </c>
      <c r="J17527" s="10" t="str">
        <f>HYPERLINK("https://www.boe.es/gazeta/dias/1834/10/16/pdfs/GMD-C-1834-244.pdf#page=3","Abrir facsímil")</f>
        <v>Abrir facsímil</v>
      </c>
      <c r="K17527" s="10" t="s">
        <v>24</v>
      </c>
    </row>
    <row r="17528" spans="1:11" ht="54" customHeight="1">
      <c r="A17528" s="9" t="s">
        <v>35534</v>
      </c>
      <c r="B17528" s="9" t="s">
        <v>35534</v>
      </c>
      <c r="C17528" s="9" t="s">
        <v>17</v>
      </c>
      <c r="D17528" s="9" t="s">
        <v>18</v>
      </c>
      <c r="E17528" s="10" t="s">
        <v>715</v>
      </c>
      <c r="F17528" s="9" t="s">
        <v>716</v>
      </c>
      <c r="G17528" s="10" t="s">
        <v>34</v>
      </c>
      <c r="H17528" s="9" t="s">
        <v>22</v>
      </c>
      <c r="I17528" s="9" t="s">
        <v>35546</v>
      </c>
      <c r="J17528" s="10" t="str">
        <f>HYPERLINK("https://www.boe.es/gazeta/dias/1834/09/17/pdfs/GMD-C-1834-215.pdf#page=1","Abrir facsímil")</f>
        <v>Abrir facsímil</v>
      </c>
      <c r="K17528" s="10" t="s">
        <v>24</v>
      </c>
    </row>
    <row r="17529" spans="1:11" ht="54" customHeight="1">
      <c r="A17529" s="9" t="s">
        <v>35534</v>
      </c>
      <c r="B17529" s="9" t="s">
        <v>35534</v>
      </c>
      <c r="C17529" s="9" t="s">
        <v>17</v>
      </c>
      <c r="D17529" s="9" t="s">
        <v>18</v>
      </c>
      <c r="E17529" s="10" t="s">
        <v>715</v>
      </c>
      <c r="F17529" s="9" t="s">
        <v>716</v>
      </c>
      <c r="G17529" s="10" t="s">
        <v>176</v>
      </c>
      <c r="H17529" s="9" t="s">
        <v>22</v>
      </c>
      <c r="I17529" s="9" t="s">
        <v>35547</v>
      </c>
      <c r="J17529" s="10" t="str">
        <f>HYPERLINK("https://www.boe.es/gazeta/dias/1834/09/17/pdfs/GMD-C-1834-215.pdf#page=6","Abrir facsímil")</f>
        <v>Abrir facsímil</v>
      </c>
      <c r="K17529" s="10" t="s">
        <v>24</v>
      </c>
    </row>
    <row r="17530" spans="1:11" ht="54" customHeight="1">
      <c r="A17530" s="9" t="s">
        <v>35534</v>
      </c>
      <c r="B17530" s="9" t="s">
        <v>35534</v>
      </c>
      <c r="C17530" s="9" t="s">
        <v>90</v>
      </c>
      <c r="D17530" s="9" t="s">
        <v>18</v>
      </c>
      <c r="E17530" s="10" t="s">
        <v>262</v>
      </c>
      <c r="F17530" s="9" t="s">
        <v>263</v>
      </c>
      <c r="G17530" s="10" t="s">
        <v>28</v>
      </c>
      <c r="H17530" s="9" t="s">
        <v>22</v>
      </c>
      <c r="I17530" s="9" t="s">
        <v>35548</v>
      </c>
      <c r="J17530" s="10" t="str">
        <f>HYPERLINK("https://www.boe.es/gazeta/dias/1834/10/18/pdfs/GMD-C-1834-246.pdf#page=5","Abrir facsímil")</f>
        <v>Abrir facsímil</v>
      </c>
      <c r="K17530" s="10" t="s">
        <v>24</v>
      </c>
    </row>
    <row r="17531" spans="1:11" ht="54" customHeight="1">
      <c r="A17531" s="9" t="s">
        <v>35534</v>
      </c>
      <c r="B17531" s="9" t="s">
        <v>35534</v>
      </c>
      <c r="C17531" s="9" t="s">
        <v>17</v>
      </c>
      <c r="D17531" s="9" t="s">
        <v>18</v>
      </c>
      <c r="E17531" s="10" t="s">
        <v>627</v>
      </c>
      <c r="F17531" s="9" t="s">
        <v>628</v>
      </c>
      <c r="G17531" s="10" t="s">
        <v>86</v>
      </c>
      <c r="H17531" s="9" t="s">
        <v>22</v>
      </c>
      <c r="I17531" s="9" t="s">
        <v>35549</v>
      </c>
      <c r="J17531" s="10" t="str">
        <f>HYPERLINK("https://www.boe.es/gazeta/dias/1834/09/22/pdfs/GMD-C-1834-220.pdf#page=2","Abrir facsímil")</f>
        <v>Abrir facsímil</v>
      </c>
      <c r="K17531" s="10" t="s">
        <v>24</v>
      </c>
    </row>
    <row r="17532" spans="1:11" ht="54" customHeight="1">
      <c r="A17532" s="9" t="s">
        <v>35534</v>
      </c>
      <c r="B17532" s="9" t="s">
        <v>35534</v>
      </c>
      <c r="C17532" s="9" t="s">
        <v>46</v>
      </c>
      <c r="D17532" s="9" t="s">
        <v>101</v>
      </c>
      <c r="E17532" s="10" t="s">
        <v>394</v>
      </c>
      <c r="F17532" s="9" t="s">
        <v>459</v>
      </c>
      <c r="G17532" s="10" t="s">
        <v>75</v>
      </c>
      <c r="H17532" s="9" t="s">
        <v>22</v>
      </c>
      <c r="I17532" s="9" t="s">
        <v>35550</v>
      </c>
      <c r="J17532" s="10" t="str">
        <f>HYPERLINK("https://www.boe.es/gazeta/dias/1834/12/23/pdfs/GMD-C-1834-313.pdf#page=4","Abrir facsímil")</f>
        <v>Abrir facsímil</v>
      </c>
      <c r="K17532" s="10" t="s">
        <v>24</v>
      </c>
    </row>
    <row r="17533" spans="1:11" ht="54" customHeight="1">
      <c r="A17533" s="9" t="s">
        <v>35534</v>
      </c>
      <c r="B17533" s="9" t="s">
        <v>35534</v>
      </c>
      <c r="C17533" s="9" t="s">
        <v>17</v>
      </c>
      <c r="D17533" s="9" t="s">
        <v>18</v>
      </c>
      <c r="E17533" s="10" t="s">
        <v>251</v>
      </c>
      <c r="F17533" s="9" t="s">
        <v>252</v>
      </c>
      <c r="G17533" s="10" t="s">
        <v>34</v>
      </c>
      <c r="H17533" s="9" t="s">
        <v>22</v>
      </c>
      <c r="I17533" s="9" t="s">
        <v>35551</v>
      </c>
      <c r="J17533" s="10" t="str">
        <f>HYPERLINK("https://www.boe.es/gazeta/dias/1834/09/26/pdfs/GMD-C-1834-224.pdf#page=1","Abrir facsímil")</f>
        <v>Abrir facsímil</v>
      </c>
      <c r="K17533" s="10" t="s">
        <v>24</v>
      </c>
    </row>
    <row r="17534" spans="1:11" ht="54" customHeight="1">
      <c r="A17534" s="9" t="s">
        <v>35534</v>
      </c>
      <c r="B17534" s="9" t="s">
        <v>35534</v>
      </c>
      <c r="C17534" s="9" t="s">
        <v>90</v>
      </c>
      <c r="D17534" s="9" t="s">
        <v>18</v>
      </c>
      <c r="E17534" s="10" t="s">
        <v>1766</v>
      </c>
      <c r="F17534" s="9" t="s">
        <v>1767</v>
      </c>
      <c r="G17534" s="10" t="s">
        <v>86</v>
      </c>
      <c r="H17534" s="9" t="s">
        <v>22</v>
      </c>
      <c r="I17534" s="9" t="s">
        <v>35552</v>
      </c>
      <c r="J17534" s="10" t="str">
        <f>HYPERLINK("https://www.boe.es/gazeta/dias/1834/10/26/pdfs/GMD-C-1834-254.pdf#page=2","Abrir facsímil")</f>
        <v>Abrir facsímil</v>
      </c>
      <c r="K17534" s="10" t="s">
        <v>24</v>
      </c>
    </row>
    <row r="17535" spans="1:11" ht="54" customHeight="1">
      <c r="A17535" s="9" t="s">
        <v>35534</v>
      </c>
      <c r="B17535" s="9" t="s">
        <v>35534</v>
      </c>
      <c r="C17535" s="9" t="s">
        <v>17</v>
      </c>
      <c r="D17535" s="9" t="s">
        <v>18</v>
      </c>
      <c r="E17535" s="10" t="s">
        <v>294</v>
      </c>
      <c r="F17535" s="9" t="s">
        <v>959</v>
      </c>
      <c r="G17535" s="10" t="s">
        <v>86</v>
      </c>
      <c r="H17535" s="9" t="s">
        <v>22</v>
      </c>
      <c r="I17535" s="9" t="s">
        <v>35553</v>
      </c>
      <c r="J17535" s="10" t="str">
        <f>HYPERLINK("https://www.boe.es/gazeta/dias/1834/09/27/pdfs/GMD-C-1834-225.pdf#page=2","Abrir facsímil")</f>
        <v>Abrir facsímil</v>
      </c>
      <c r="K17535" s="10" t="s">
        <v>24</v>
      </c>
    </row>
    <row r="17536" spans="1:11" ht="54" customHeight="1">
      <c r="A17536" s="9" t="s">
        <v>35534</v>
      </c>
      <c r="B17536" s="9" t="s">
        <v>35534</v>
      </c>
      <c r="C17536" s="9" t="s">
        <v>17</v>
      </c>
      <c r="D17536" s="9" t="s">
        <v>18</v>
      </c>
      <c r="E17536" s="10" t="s">
        <v>294</v>
      </c>
      <c r="F17536" s="9" t="s">
        <v>959</v>
      </c>
      <c r="G17536" s="10" t="s">
        <v>21</v>
      </c>
      <c r="H17536" s="9" t="s">
        <v>22</v>
      </c>
      <c r="I17536" s="9" t="s">
        <v>35554</v>
      </c>
      <c r="J17536" s="10" t="str">
        <f>HYPERLINK("https://www.boe.es/gazeta/dias/1834/09/27/pdfs/GMD-C-1834-225.pdf#page=3","Abrir facsímil")</f>
        <v>Abrir facsímil</v>
      </c>
      <c r="K17536" s="10" t="s">
        <v>24</v>
      </c>
    </row>
    <row r="17537" spans="1:11" ht="54" customHeight="1">
      <c r="A17537" s="9" t="s">
        <v>35534</v>
      </c>
      <c r="B17537" s="9" t="s">
        <v>35534</v>
      </c>
      <c r="C17537" s="9" t="s">
        <v>17</v>
      </c>
      <c r="D17537" s="9" t="s">
        <v>18</v>
      </c>
      <c r="E17537" s="10" t="s">
        <v>777</v>
      </c>
      <c r="F17537" s="9" t="s">
        <v>2535</v>
      </c>
      <c r="G17537" s="10" t="s">
        <v>21</v>
      </c>
      <c r="H17537" s="9" t="s">
        <v>22</v>
      </c>
      <c r="I17537" s="9" t="s">
        <v>35555</v>
      </c>
      <c r="J17537" s="10" t="str">
        <f>HYPERLINK("https://www.boe.es/gazeta/dias/1834/10/29/pdfs/GMD-C-1834-257.pdf#page=3","Abrir facsímil")</f>
        <v>Abrir facsímil</v>
      </c>
      <c r="K17537" s="10" t="s">
        <v>24</v>
      </c>
    </row>
    <row r="17538" spans="1:11" ht="54" customHeight="1">
      <c r="A17538" s="9" t="s">
        <v>35534</v>
      </c>
      <c r="B17538" s="9" t="s">
        <v>35534</v>
      </c>
      <c r="C17538" s="9" t="s">
        <v>17</v>
      </c>
      <c r="D17538" s="9" t="s">
        <v>18</v>
      </c>
      <c r="E17538" s="10" t="s">
        <v>2526</v>
      </c>
      <c r="F17538" s="9" t="s">
        <v>2527</v>
      </c>
      <c r="G17538" s="10" t="s">
        <v>21</v>
      </c>
      <c r="H17538" s="9" t="s">
        <v>22</v>
      </c>
      <c r="I17538" s="9" t="s">
        <v>35556</v>
      </c>
      <c r="J17538" s="10" t="str">
        <f>HYPERLINK("https://www.boe.es/gazeta/dias/1834/12/29/pdfs/GMD-C-1834-319.pdf#page=3","Abrir facsímil")</f>
        <v>Abrir facsímil</v>
      </c>
      <c r="K17538" s="10" t="s">
        <v>24</v>
      </c>
    </row>
    <row r="17539" spans="1:11" ht="54" customHeight="1">
      <c r="A17539" s="9" t="s">
        <v>35534</v>
      </c>
      <c r="B17539" s="9" t="s">
        <v>35534</v>
      </c>
      <c r="C17539" s="9" t="s">
        <v>17</v>
      </c>
      <c r="D17539" s="9" t="s">
        <v>18</v>
      </c>
      <c r="E17539" s="10" t="s">
        <v>153</v>
      </c>
      <c r="F17539" s="9" t="s">
        <v>154</v>
      </c>
      <c r="G17539" s="10" t="s">
        <v>34</v>
      </c>
      <c r="H17539" s="9" t="s">
        <v>22</v>
      </c>
      <c r="I17539" s="9" t="s">
        <v>35557</v>
      </c>
      <c r="J17539" s="10" t="str">
        <f>HYPERLINK("https://www.boe.es/gazeta/dias/1834/12/30/pdfs/GMD-C-1834-320.pdf#page=1","Abrir facsímil")</f>
        <v>Abrir facsímil</v>
      </c>
      <c r="K17539" s="10" t="s">
        <v>24</v>
      </c>
    </row>
    <row r="17540" spans="1:11" ht="54" customHeight="1">
      <c r="A17540" s="9" t="s">
        <v>35558</v>
      </c>
      <c r="B17540" s="9" t="s">
        <v>35559</v>
      </c>
      <c r="C17540" s="9" t="s">
        <v>17</v>
      </c>
      <c r="D17540" s="9" t="s">
        <v>18</v>
      </c>
      <c r="E17540" s="10" t="s">
        <v>1686</v>
      </c>
      <c r="F17540" s="9" t="s">
        <v>2311</v>
      </c>
      <c r="G17540" s="10" t="s">
        <v>34</v>
      </c>
      <c r="H17540" s="9" t="s">
        <v>22</v>
      </c>
      <c r="I17540" s="9" t="s">
        <v>35560</v>
      </c>
      <c r="J17540" s="10" t="str">
        <f>HYPERLINK("https://www.boe.es/gazeta/dias/1834/07/27/pdfs/GMD-C-1834-160.pdf#page=1","Abrir facsímil")</f>
        <v>Abrir facsímil</v>
      </c>
      <c r="K17540" s="10" t="s">
        <v>24</v>
      </c>
    </row>
    <row r="17541" spans="1:11" ht="54" customHeight="1">
      <c r="A17541" s="9" t="s">
        <v>35561</v>
      </c>
      <c r="B17541" s="9" t="s">
        <v>35561</v>
      </c>
      <c r="C17541" s="9" t="s">
        <v>90</v>
      </c>
      <c r="D17541" s="9" t="s">
        <v>18</v>
      </c>
      <c r="E17541" s="10" t="s">
        <v>1686</v>
      </c>
      <c r="F17541" s="9" t="s">
        <v>2311</v>
      </c>
      <c r="G17541" s="10" t="s">
        <v>34</v>
      </c>
      <c r="H17541" s="9" t="s">
        <v>22</v>
      </c>
      <c r="I17541" s="9" t="s">
        <v>35562</v>
      </c>
      <c r="J17541" s="10" t="str">
        <f>HYPERLINK("https://www.boe.es/gazeta/dias/1834/07/27/pdfs/GMD-C-1834-160.pdf#page=1","Abrir facsímil")</f>
        <v>Abrir facsímil</v>
      </c>
      <c r="K17541" s="10" t="s">
        <v>24</v>
      </c>
    </row>
    <row r="17542" spans="1:11" ht="54" customHeight="1">
      <c r="A17542" s="9" t="s">
        <v>35563</v>
      </c>
      <c r="B17542" s="9" t="s">
        <v>35563</v>
      </c>
      <c r="C17542" s="9" t="s">
        <v>17</v>
      </c>
      <c r="D17542" s="9" t="s">
        <v>18</v>
      </c>
      <c r="E17542" s="10" t="s">
        <v>4105</v>
      </c>
      <c r="F17542" s="9" t="s">
        <v>4106</v>
      </c>
      <c r="G17542" s="10" t="s">
        <v>34</v>
      </c>
      <c r="H17542" s="9" t="s">
        <v>22</v>
      </c>
      <c r="I17542" s="9" t="s">
        <v>35564</v>
      </c>
      <c r="J17542" s="10" t="str">
        <f>HYPERLINK("https://www.boe.es/gazeta/dias/1834/09/02/pdfs/GMD-C-1834-200.pdf#page=1","Abrir facsímil")</f>
        <v>Abrir facsímil</v>
      </c>
      <c r="K17542" s="10" t="s">
        <v>24</v>
      </c>
    </row>
    <row r="17543" spans="1:11" ht="54" customHeight="1">
      <c r="A17543" s="9" t="s">
        <v>35563</v>
      </c>
      <c r="B17543" s="9" t="s">
        <v>35563</v>
      </c>
      <c r="C17543" s="9" t="s">
        <v>17</v>
      </c>
      <c r="D17543" s="9" t="s">
        <v>55</v>
      </c>
      <c r="E17543" s="10" t="s">
        <v>4105</v>
      </c>
      <c r="F17543" s="9" t="s">
        <v>4106</v>
      </c>
      <c r="G17543" s="10" t="s">
        <v>28</v>
      </c>
      <c r="H17543" s="9" t="s">
        <v>22</v>
      </c>
      <c r="I17543" s="9" t="s">
        <v>35565</v>
      </c>
      <c r="J17543" s="10" t="str">
        <f>HYPERLINK("https://www.boe.es/gazeta/dias/1834/09/02/pdfs/GMD-C-1834-200.pdf#page=5","Abrir facsímil")</f>
        <v>Abrir facsímil</v>
      </c>
      <c r="K17543" s="10" t="s">
        <v>24</v>
      </c>
    </row>
    <row r="17544" spans="1:11" ht="54" customHeight="1">
      <c r="A17544" s="9" t="s">
        <v>35563</v>
      </c>
      <c r="B17544" s="9" t="s">
        <v>35563</v>
      </c>
      <c r="C17544" s="9" t="s">
        <v>17</v>
      </c>
      <c r="D17544" s="9" t="s">
        <v>40</v>
      </c>
      <c r="E17544" s="10" t="s">
        <v>426</v>
      </c>
      <c r="F17544" s="9" t="s">
        <v>694</v>
      </c>
      <c r="G17544" s="10" t="s">
        <v>86</v>
      </c>
      <c r="H17544" s="9" t="s">
        <v>22</v>
      </c>
      <c r="I17544" s="9" t="s">
        <v>35566</v>
      </c>
      <c r="J17544" s="10" t="str">
        <f>HYPERLINK("https://www.boe.es/gazeta/dias/1834/10/04/pdfs/GMD-C-1834-232.pdf#page=2","Abrir facsímil")</f>
        <v>Abrir facsímil</v>
      </c>
      <c r="K17544" s="10" t="s">
        <v>24</v>
      </c>
    </row>
    <row r="17545" spans="1:11" ht="54" customHeight="1">
      <c r="A17545" s="9" t="s">
        <v>35563</v>
      </c>
      <c r="B17545" s="9" t="s">
        <v>35563</v>
      </c>
      <c r="C17545" s="9" t="s">
        <v>90</v>
      </c>
      <c r="D17545" s="9" t="s">
        <v>18</v>
      </c>
      <c r="E17545" s="10" t="s">
        <v>73</v>
      </c>
      <c r="F17545" s="9" t="s">
        <v>1416</v>
      </c>
      <c r="G17545" s="10" t="s">
        <v>86</v>
      </c>
      <c r="H17545" s="9" t="s">
        <v>22</v>
      </c>
      <c r="I17545" s="9" t="s">
        <v>35567</v>
      </c>
      <c r="J17545" s="10" t="str">
        <f>HYPERLINK("https://www.boe.es/gazeta/dias/1834/11/04/pdfs/GMD-C-1834-263.pdf#page=2","Abrir facsímil")</f>
        <v>Abrir facsímil</v>
      </c>
      <c r="K17545" s="10" t="s">
        <v>24</v>
      </c>
    </row>
    <row r="17546" spans="1:11" ht="54" customHeight="1">
      <c r="A17546" s="9" t="s">
        <v>35563</v>
      </c>
      <c r="B17546" s="9" t="s">
        <v>35563</v>
      </c>
      <c r="C17546" s="9" t="s">
        <v>17</v>
      </c>
      <c r="D17546" s="9" t="s">
        <v>18</v>
      </c>
      <c r="E17546" s="10" t="s">
        <v>11991</v>
      </c>
      <c r="F17546" s="9" t="s">
        <v>11992</v>
      </c>
      <c r="G17546" s="10" t="s">
        <v>34</v>
      </c>
      <c r="H17546" s="9" t="s">
        <v>22</v>
      </c>
      <c r="I17546" s="9" t="s">
        <v>35568</v>
      </c>
      <c r="J17546" s="10" t="str">
        <f>HYPERLINK("https://www.boe.es/gazeta/dias/1834/12/05/pdfs/GMD-C-1834-294.pdf#page=1","Abrir facsímil")</f>
        <v>Abrir facsímil</v>
      </c>
      <c r="K17546" s="10" t="s">
        <v>24</v>
      </c>
    </row>
    <row r="17547" spans="1:11" ht="54" customHeight="1">
      <c r="A17547" s="9" t="s">
        <v>35563</v>
      </c>
      <c r="B17547" s="9" t="s">
        <v>35563</v>
      </c>
      <c r="C17547" s="9" t="s">
        <v>17</v>
      </c>
      <c r="D17547" s="9" t="s">
        <v>55</v>
      </c>
      <c r="E17547" s="10" t="s">
        <v>433</v>
      </c>
      <c r="F17547" s="9" t="s">
        <v>434</v>
      </c>
      <c r="G17547" s="10" t="s">
        <v>21</v>
      </c>
      <c r="H17547" s="9" t="s">
        <v>22</v>
      </c>
      <c r="I17547" s="9" t="s">
        <v>35569</v>
      </c>
      <c r="J17547" s="10" t="str">
        <f>HYPERLINK("https://www.boe.es/gazeta/dias/1834/10/07/pdfs/GMD-C-1834-235.pdf#page=3","Abrir facsímil")</f>
        <v>Abrir facsímil</v>
      </c>
      <c r="K17547" s="10" t="s">
        <v>24</v>
      </c>
    </row>
    <row r="17548" spans="1:11" ht="54" customHeight="1">
      <c r="A17548" s="9" t="s">
        <v>35563</v>
      </c>
      <c r="B17548" s="9" t="s">
        <v>35563</v>
      </c>
      <c r="C17548" s="9" t="s">
        <v>17</v>
      </c>
      <c r="D17548" s="9" t="s">
        <v>18</v>
      </c>
      <c r="E17548" s="10" t="s">
        <v>1008</v>
      </c>
      <c r="F17548" s="9" t="s">
        <v>1009</v>
      </c>
      <c r="G17548" s="10" t="s">
        <v>176</v>
      </c>
      <c r="H17548" s="9" t="s">
        <v>22</v>
      </c>
      <c r="I17548" s="9" t="s">
        <v>35570</v>
      </c>
      <c r="J17548" s="10" t="str">
        <f>HYPERLINK("https://www.boe.es/gazeta/dias/1834/11/08/pdfs/GMD-C-1834-267.pdf#page=6","Abrir facsímil")</f>
        <v>Abrir facsímil</v>
      </c>
      <c r="K17548" s="10" t="s">
        <v>24</v>
      </c>
    </row>
    <row r="17549" spans="1:11" ht="54" customHeight="1">
      <c r="A17549" s="9" t="s">
        <v>35563</v>
      </c>
      <c r="B17549" s="9" t="s">
        <v>35563</v>
      </c>
      <c r="C17549" s="9" t="s">
        <v>17</v>
      </c>
      <c r="D17549" s="9" t="s">
        <v>18</v>
      </c>
      <c r="E17549" s="10" t="s">
        <v>1410</v>
      </c>
      <c r="F17549" s="9" t="s">
        <v>2231</v>
      </c>
      <c r="G17549" s="10" t="s">
        <v>21</v>
      </c>
      <c r="H17549" s="9" t="s">
        <v>22</v>
      </c>
      <c r="I17549" s="9" t="s">
        <v>35571</v>
      </c>
      <c r="J17549" s="10" t="str">
        <f>HYPERLINK("https://www.boe.es/gazeta/dias/1834/09/09/pdfs/GMD-C-1834-207.pdf#page=3","Abrir facsímil")</f>
        <v>Abrir facsímil</v>
      </c>
      <c r="K17549" s="10" t="s">
        <v>24</v>
      </c>
    </row>
    <row r="17550" spans="1:11" ht="54" customHeight="1">
      <c r="A17550" s="9" t="s">
        <v>35563</v>
      </c>
      <c r="B17550" s="9" t="s">
        <v>35563</v>
      </c>
      <c r="C17550" s="9" t="s">
        <v>66</v>
      </c>
      <c r="D17550" s="9" t="s">
        <v>67</v>
      </c>
      <c r="E17550" s="10" t="s">
        <v>258</v>
      </c>
      <c r="F17550" s="9" t="s">
        <v>259</v>
      </c>
      <c r="G17550" s="10" t="s">
        <v>86</v>
      </c>
      <c r="H17550" s="9" t="s">
        <v>22</v>
      </c>
      <c r="I17550" s="9" t="s">
        <v>35572</v>
      </c>
      <c r="J17550" s="10" t="str">
        <f>HYPERLINK("https://www.boe.es/gazeta/dias/1834/10/09/pdfs/GMD-C-1834-237.pdf#page=2","Abrir facsímil")</f>
        <v>Abrir facsímil</v>
      </c>
      <c r="K17550" s="10" t="s">
        <v>24</v>
      </c>
    </row>
    <row r="17551" spans="1:11" ht="54" customHeight="1">
      <c r="A17551" s="9" t="s">
        <v>35563</v>
      </c>
      <c r="B17551" s="9" t="s">
        <v>35563</v>
      </c>
      <c r="C17551" s="9" t="s">
        <v>17</v>
      </c>
      <c r="D17551" s="9" t="s">
        <v>55</v>
      </c>
      <c r="E17551" s="10" t="s">
        <v>438</v>
      </c>
      <c r="F17551" s="9" t="s">
        <v>528</v>
      </c>
      <c r="G17551" s="10" t="s">
        <v>75</v>
      </c>
      <c r="H17551" s="9" t="s">
        <v>22</v>
      </c>
      <c r="I17551" s="9" t="s">
        <v>35573</v>
      </c>
      <c r="J17551" s="10" t="str">
        <f>HYPERLINK("https://www.boe.es/gazeta/dias/1834/11/09/pdfs/GMD-C-1834-268.pdf#page=4","Abrir facsímil")</f>
        <v>Abrir facsímil</v>
      </c>
      <c r="K17551" s="10" t="s">
        <v>24</v>
      </c>
    </row>
    <row r="17552" spans="1:11" ht="54" customHeight="1">
      <c r="A17552" s="9" t="s">
        <v>35563</v>
      </c>
      <c r="B17552" s="9" t="s">
        <v>35563</v>
      </c>
      <c r="C17552" s="9" t="s">
        <v>17</v>
      </c>
      <c r="D17552" s="9" t="s">
        <v>18</v>
      </c>
      <c r="E17552" s="10" t="s">
        <v>1103</v>
      </c>
      <c r="F17552" s="9" t="s">
        <v>1104</v>
      </c>
      <c r="G17552" s="10" t="s">
        <v>34</v>
      </c>
      <c r="H17552" s="9" t="s">
        <v>22</v>
      </c>
      <c r="I17552" s="9" t="s">
        <v>35574</v>
      </c>
      <c r="J17552" s="10" t="str">
        <f>HYPERLINK("https://www.boe.es/gazeta/dias/1834/10/10/pdfs/GMD-C-1834-238.pdf#page=1","Abrir facsímil")</f>
        <v>Abrir facsímil</v>
      </c>
      <c r="K17552" s="10" t="s">
        <v>24</v>
      </c>
    </row>
    <row r="17553" spans="1:11" ht="54" customHeight="1">
      <c r="A17553" s="9" t="s">
        <v>35563</v>
      </c>
      <c r="B17553" s="9" t="s">
        <v>35563</v>
      </c>
      <c r="C17553" s="9" t="s">
        <v>17</v>
      </c>
      <c r="D17553" s="9" t="s">
        <v>18</v>
      </c>
      <c r="E17553" s="10" t="s">
        <v>642</v>
      </c>
      <c r="F17553" s="9" t="s">
        <v>643</v>
      </c>
      <c r="G17553" s="10" t="s">
        <v>75</v>
      </c>
      <c r="H17553" s="9" t="s">
        <v>22</v>
      </c>
      <c r="I17553" s="9" t="s">
        <v>35575</v>
      </c>
      <c r="J17553" s="10" t="str">
        <f>HYPERLINK("https://www.boe.es/gazeta/dias/1834/11/12/pdfs/GMD-C-1834-271.pdf#page=4","Abrir facsímil")</f>
        <v>Abrir facsímil</v>
      </c>
      <c r="K17553" s="10" t="s">
        <v>24</v>
      </c>
    </row>
    <row r="17554" spans="1:11" ht="54" customHeight="1">
      <c r="A17554" s="9" t="s">
        <v>35563</v>
      </c>
      <c r="B17554" s="9" t="s">
        <v>35563</v>
      </c>
      <c r="C17554" s="9" t="s">
        <v>17</v>
      </c>
      <c r="D17554" s="9" t="s">
        <v>18</v>
      </c>
      <c r="E17554" s="10" t="s">
        <v>299</v>
      </c>
      <c r="F17554" s="9" t="s">
        <v>2255</v>
      </c>
      <c r="G17554" s="10" t="s">
        <v>86</v>
      </c>
      <c r="H17554" s="9" t="s">
        <v>22</v>
      </c>
      <c r="I17554" s="9" t="s">
        <v>35576</v>
      </c>
      <c r="J17554" s="10" t="str">
        <f>HYPERLINK("https://www.boe.es/gazeta/dias/1834/12/12/pdfs/GMD-C-1834-301.pdf#page=2","Abrir facsímil")</f>
        <v>Abrir facsímil</v>
      </c>
      <c r="K17554" s="10" t="s">
        <v>24</v>
      </c>
    </row>
    <row r="17555" spans="1:11" ht="54" customHeight="1">
      <c r="A17555" s="9" t="s">
        <v>35563</v>
      </c>
      <c r="B17555" s="9" t="s">
        <v>35563</v>
      </c>
      <c r="C17555" s="9" t="s">
        <v>46</v>
      </c>
      <c r="D17555" s="9" t="s">
        <v>18</v>
      </c>
      <c r="E17555" s="10" t="s">
        <v>299</v>
      </c>
      <c r="F17555" s="9" t="s">
        <v>2255</v>
      </c>
      <c r="G17555" s="10" t="s">
        <v>21</v>
      </c>
      <c r="H17555" s="9" t="s">
        <v>22</v>
      </c>
      <c r="I17555" s="9" t="s">
        <v>35577</v>
      </c>
      <c r="J17555" s="10" t="str">
        <f>HYPERLINK("https://www.boe.es/gazeta/dias/1834/12/12/pdfs/GMD-C-1834-301.pdf#page=3","Abrir facsímil")</f>
        <v>Abrir facsímil</v>
      </c>
      <c r="K17555" s="10" t="s">
        <v>24</v>
      </c>
    </row>
    <row r="17556" spans="1:11" ht="54" customHeight="1">
      <c r="A17556" s="9" t="s">
        <v>35563</v>
      </c>
      <c r="B17556" s="9" t="s">
        <v>35563</v>
      </c>
      <c r="C17556" s="9" t="s">
        <v>17</v>
      </c>
      <c r="D17556" s="9" t="s">
        <v>18</v>
      </c>
      <c r="E17556" s="10" t="s">
        <v>299</v>
      </c>
      <c r="F17556" s="9" t="s">
        <v>2255</v>
      </c>
      <c r="G17556" s="10" t="s">
        <v>28</v>
      </c>
      <c r="H17556" s="9" t="s">
        <v>22</v>
      </c>
      <c r="I17556" s="9" t="s">
        <v>35578</v>
      </c>
      <c r="J17556" s="10" t="str">
        <f>HYPERLINK("https://www.boe.es/gazeta/dias/1834/12/12/pdfs/GMD-C-1834-301.pdf#page=5","Abrir facsímil")</f>
        <v>Abrir facsímil</v>
      </c>
      <c r="K17556" s="10" t="s">
        <v>24</v>
      </c>
    </row>
    <row r="17557" spans="1:11" ht="54" customHeight="1">
      <c r="A17557" s="9" t="s">
        <v>35563</v>
      </c>
      <c r="B17557" s="9" t="s">
        <v>35563</v>
      </c>
      <c r="C17557" s="9" t="s">
        <v>17</v>
      </c>
      <c r="D17557" s="9" t="s">
        <v>18</v>
      </c>
      <c r="E17557" s="10" t="s">
        <v>1981</v>
      </c>
      <c r="F17557" s="9" t="s">
        <v>2471</v>
      </c>
      <c r="G17557" s="10" t="s">
        <v>34</v>
      </c>
      <c r="H17557" s="9" t="s">
        <v>22</v>
      </c>
      <c r="I17557" s="9" t="s">
        <v>35579</v>
      </c>
      <c r="J17557" s="10" t="str">
        <f>HYPERLINK("https://www.boe.es/gazeta/dias/1834/12/13/pdfs/GMD-C-1834-302.pdf#page=1","Abrir facsímil")</f>
        <v>Abrir facsímil</v>
      </c>
      <c r="K17557" s="10" t="s">
        <v>24</v>
      </c>
    </row>
    <row r="17558" spans="1:11" ht="54" customHeight="1">
      <c r="A17558" s="9" t="s">
        <v>35563</v>
      </c>
      <c r="B17558" s="9" t="s">
        <v>35563</v>
      </c>
      <c r="C17558" s="9" t="s">
        <v>17</v>
      </c>
      <c r="D17558" s="9" t="s">
        <v>18</v>
      </c>
      <c r="E17558" s="10" t="s">
        <v>1981</v>
      </c>
      <c r="F17558" s="9" t="s">
        <v>2471</v>
      </c>
      <c r="G17558" s="10" t="s">
        <v>75</v>
      </c>
      <c r="H17558" s="9" t="s">
        <v>22</v>
      </c>
      <c r="I17558" s="9" t="s">
        <v>35580</v>
      </c>
      <c r="J17558" s="10" t="str">
        <f>HYPERLINK("https://www.boe.es/gazeta/dias/1834/12/13/pdfs/GMD-C-1834-302.pdf#page=4","Abrir facsímil")</f>
        <v>Abrir facsímil</v>
      </c>
      <c r="K17558" s="10" t="s">
        <v>24</v>
      </c>
    </row>
    <row r="17559" spans="1:11" ht="54" customHeight="1">
      <c r="A17559" s="9" t="s">
        <v>35563</v>
      </c>
      <c r="B17559" s="9" t="s">
        <v>35563</v>
      </c>
      <c r="C17559" s="9" t="s">
        <v>17</v>
      </c>
      <c r="D17559" s="9" t="s">
        <v>18</v>
      </c>
      <c r="E17559" s="10" t="s">
        <v>222</v>
      </c>
      <c r="F17559" s="9" t="s">
        <v>4015</v>
      </c>
      <c r="G17559" s="10" t="s">
        <v>34</v>
      </c>
      <c r="H17559" s="9" t="s">
        <v>22</v>
      </c>
      <c r="I17559" s="9" t="s">
        <v>35581</v>
      </c>
      <c r="J17559" s="10" t="str">
        <f>HYPERLINK("https://www.boe.es/gazeta/dias/1834/09/14/pdfs/GMD-C-1834-212.pdf#page=1","Abrir facsímil")</f>
        <v>Abrir facsímil</v>
      </c>
      <c r="K17559" s="10" t="s">
        <v>24</v>
      </c>
    </row>
    <row r="17560" spans="1:11" ht="54" customHeight="1">
      <c r="A17560" s="9" t="s">
        <v>35563</v>
      </c>
      <c r="B17560" s="9" t="s">
        <v>35563</v>
      </c>
      <c r="C17560" s="9" t="s">
        <v>46</v>
      </c>
      <c r="D17560" s="9" t="s">
        <v>18</v>
      </c>
      <c r="E17560" s="10" t="s">
        <v>448</v>
      </c>
      <c r="F17560" s="9" t="s">
        <v>449</v>
      </c>
      <c r="G17560" s="10" t="s">
        <v>86</v>
      </c>
      <c r="H17560" s="9" t="s">
        <v>22</v>
      </c>
      <c r="I17560" s="9" t="s">
        <v>35582</v>
      </c>
      <c r="J17560" s="10" t="str">
        <f>HYPERLINK("https://www.boe.es/gazeta/dias/1834/10/14/pdfs/GMD-C-1834-242.pdf#page=2","Abrir facsímil")</f>
        <v>Abrir facsímil</v>
      </c>
      <c r="K17560" s="10" t="s">
        <v>24</v>
      </c>
    </row>
    <row r="17561" spans="1:11" ht="54" customHeight="1">
      <c r="A17561" s="9" t="s">
        <v>35563</v>
      </c>
      <c r="B17561" s="9" t="s">
        <v>35563</v>
      </c>
      <c r="C17561" s="9" t="s">
        <v>17</v>
      </c>
      <c r="D17561" s="9" t="s">
        <v>18</v>
      </c>
      <c r="E17561" s="10" t="s">
        <v>2087</v>
      </c>
      <c r="F17561" s="9" t="s">
        <v>2267</v>
      </c>
      <c r="G17561" s="10" t="s">
        <v>176</v>
      </c>
      <c r="H17561" s="9" t="s">
        <v>22</v>
      </c>
      <c r="I17561" s="9" t="s">
        <v>35583</v>
      </c>
      <c r="J17561" s="10" t="str">
        <f>HYPERLINK("https://www.boe.es/gazeta/dias/1834/12/14/pdfs/GMD-C-1834-303.pdf#page=6","Abrir facsímil")</f>
        <v>Abrir facsímil</v>
      </c>
      <c r="K17561" s="10" t="s">
        <v>24</v>
      </c>
    </row>
    <row r="17562" spans="1:11" ht="54" customHeight="1">
      <c r="A17562" s="9" t="s">
        <v>35563</v>
      </c>
      <c r="B17562" s="9" t="s">
        <v>35563</v>
      </c>
      <c r="C17562" s="9" t="s">
        <v>90</v>
      </c>
      <c r="D17562" s="9" t="s">
        <v>40</v>
      </c>
      <c r="E17562" s="10" t="s">
        <v>233</v>
      </c>
      <c r="F17562" s="9" t="s">
        <v>1810</v>
      </c>
      <c r="G17562" s="10" t="s">
        <v>2174</v>
      </c>
      <c r="H17562" s="9" t="s">
        <v>22</v>
      </c>
      <c r="I17562" s="9" t="s">
        <v>35584</v>
      </c>
      <c r="J17562" s="10" t="str">
        <f>HYPERLINK("https://www.boe.es/gazeta/dias/1834/12/16/pdfs/GMD-C-1834-305.pdf#page=10","Abrir facsímil")</f>
        <v>Abrir facsímil</v>
      </c>
      <c r="K17562" s="10" t="s">
        <v>24</v>
      </c>
    </row>
    <row r="17563" spans="1:11" ht="54" customHeight="1">
      <c r="A17563" s="9" t="s">
        <v>35563</v>
      </c>
      <c r="B17563" s="9" t="s">
        <v>35563</v>
      </c>
      <c r="C17563" s="9" t="s">
        <v>90</v>
      </c>
      <c r="D17563" s="9" t="s">
        <v>18</v>
      </c>
      <c r="E17563" s="10" t="s">
        <v>1195</v>
      </c>
      <c r="F17563" s="9" t="s">
        <v>1196</v>
      </c>
      <c r="G17563" s="10" t="s">
        <v>34</v>
      </c>
      <c r="H17563" s="9" t="s">
        <v>22</v>
      </c>
      <c r="I17563" s="9" t="s">
        <v>35585</v>
      </c>
      <c r="J17563" s="10" t="str">
        <f>HYPERLINK("https://www.boe.es/gazeta/dias/1834/10/17/pdfs/GMD-C-1834-245.pdf#page=1","Abrir facsímil")</f>
        <v>Abrir facsímil</v>
      </c>
      <c r="K17563" s="10" t="s">
        <v>24</v>
      </c>
    </row>
    <row r="17564" spans="1:11" ht="54" customHeight="1">
      <c r="A17564" s="9" t="s">
        <v>35586</v>
      </c>
      <c r="B17564" s="9" t="s">
        <v>35586</v>
      </c>
      <c r="C17564" s="9" t="s">
        <v>90</v>
      </c>
      <c r="D17564" s="9" t="s">
        <v>18</v>
      </c>
      <c r="E17564" s="10" t="s">
        <v>1195</v>
      </c>
      <c r="F17564" s="9" t="s">
        <v>1196</v>
      </c>
      <c r="G17564" s="10" t="s">
        <v>86</v>
      </c>
      <c r="H17564" s="9" t="s">
        <v>22</v>
      </c>
      <c r="I17564" s="9" t="s">
        <v>35587</v>
      </c>
      <c r="J17564" s="10" t="str">
        <f>HYPERLINK("https://www.boe.es/gazeta/dias/1834/10/17/pdfs/GMD-C-1834-245.pdf#page=2","Abrir facsímil")</f>
        <v>Abrir facsímil</v>
      </c>
      <c r="K17564" s="10" t="s">
        <v>24</v>
      </c>
    </row>
    <row r="17565" spans="1:11" ht="54" customHeight="1">
      <c r="A17565" s="9" t="s">
        <v>35563</v>
      </c>
      <c r="B17565" s="9" t="s">
        <v>35563</v>
      </c>
      <c r="C17565" s="9" t="s">
        <v>90</v>
      </c>
      <c r="D17565" s="9" t="s">
        <v>18</v>
      </c>
      <c r="E17565" s="10" t="s">
        <v>262</v>
      </c>
      <c r="F17565" s="9" t="s">
        <v>263</v>
      </c>
      <c r="G17565" s="10" t="s">
        <v>34</v>
      </c>
      <c r="H17565" s="9" t="s">
        <v>22</v>
      </c>
      <c r="I17565" s="9" t="s">
        <v>35588</v>
      </c>
      <c r="J17565" s="10" t="str">
        <f>HYPERLINK("https://www.boe.es/gazeta/dias/1834/10/18/pdfs/GMD-C-1834-246.pdf#page=1","Abrir facsímil")</f>
        <v>Abrir facsímil</v>
      </c>
      <c r="K17565" s="10" t="s">
        <v>24</v>
      </c>
    </row>
    <row r="17566" spans="1:11" ht="54" customHeight="1">
      <c r="A17566" s="9" t="s">
        <v>35563</v>
      </c>
      <c r="B17566" s="9" t="s">
        <v>35563</v>
      </c>
      <c r="C17566" s="9" t="s">
        <v>17</v>
      </c>
      <c r="D17566" s="9" t="s">
        <v>18</v>
      </c>
      <c r="E17566" s="10" t="s">
        <v>262</v>
      </c>
      <c r="F17566" s="9" t="s">
        <v>263</v>
      </c>
      <c r="G17566" s="10" t="s">
        <v>75</v>
      </c>
      <c r="H17566" s="9" t="s">
        <v>22</v>
      </c>
      <c r="I17566" s="9" t="s">
        <v>35589</v>
      </c>
      <c r="J17566" s="10" t="str">
        <f>HYPERLINK("https://www.boe.es/gazeta/dias/1834/10/18/pdfs/GMD-C-1834-246.pdf#page=4","Abrir facsímil")</f>
        <v>Abrir facsímil</v>
      </c>
      <c r="K17566" s="10" t="s">
        <v>24</v>
      </c>
    </row>
    <row r="17567" spans="1:11" ht="54" customHeight="1">
      <c r="A17567" s="9" t="s">
        <v>35563</v>
      </c>
      <c r="B17567" s="9" t="s">
        <v>35563</v>
      </c>
      <c r="C17567" s="9" t="s">
        <v>46</v>
      </c>
      <c r="D17567" s="9" t="s">
        <v>101</v>
      </c>
      <c r="E17567" s="10" t="s">
        <v>672</v>
      </c>
      <c r="F17567" s="9" t="s">
        <v>1055</v>
      </c>
      <c r="G17567" s="10" t="s">
        <v>1099</v>
      </c>
      <c r="H17567" s="9" t="s">
        <v>22</v>
      </c>
      <c r="I17567" s="9" t="s">
        <v>35590</v>
      </c>
      <c r="J17567" s="10" t="str">
        <f>HYPERLINK("https://www.boe.es/gazeta/dias/1834/09/19/pdfs/GMD-C-1834-217.pdf#page=11","Abrir facsímil")</f>
        <v>Abrir facsímil</v>
      </c>
      <c r="K17567" s="10" t="s">
        <v>24</v>
      </c>
    </row>
    <row r="17568" spans="1:11" ht="54" customHeight="1">
      <c r="A17568" s="9" t="s">
        <v>35563</v>
      </c>
      <c r="B17568" s="9" t="s">
        <v>35563</v>
      </c>
      <c r="C17568" s="9" t="s">
        <v>17</v>
      </c>
      <c r="D17568" s="9" t="s">
        <v>18</v>
      </c>
      <c r="E17568" s="10" t="s">
        <v>3248</v>
      </c>
      <c r="F17568" s="9" t="s">
        <v>4798</v>
      </c>
      <c r="G17568" s="10" t="s">
        <v>560</v>
      </c>
      <c r="H17568" s="9" t="s">
        <v>22</v>
      </c>
      <c r="I17568" s="9" t="s">
        <v>35591</v>
      </c>
      <c r="J17568" s="10" t="str">
        <f>HYPERLINK("https://www.boe.es/gazeta/dias/1834/09/20/pdfs/GMD-C-1834-218.pdf#page=7","Abrir facsímil")</f>
        <v>Abrir facsímil</v>
      </c>
      <c r="K17568" s="10" t="s">
        <v>24</v>
      </c>
    </row>
    <row r="17569" spans="1:11" ht="54" customHeight="1">
      <c r="A17569" s="9" t="s">
        <v>35563</v>
      </c>
      <c r="B17569" s="9" t="s">
        <v>35563</v>
      </c>
      <c r="C17569" s="9" t="s">
        <v>17</v>
      </c>
      <c r="D17569" s="9" t="s">
        <v>18</v>
      </c>
      <c r="E17569" s="10" t="s">
        <v>247</v>
      </c>
      <c r="F17569" s="9" t="s">
        <v>248</v>
      </c>
      <c r="G17569" s="10" t="s">
        <v>86</v>
      </c>
      <c r="H17569" s="9" t="s">
        <v>22</v>
      </c>
      <c r="I17569" s="9" t="s">
        <v>35592</v>
      </c>
      <c r="J17569" s="10" t="str">
        <f>HYPERLINK("https://www.boe.es/gazeta/dias/1834/08/23/pdfs/GMD-C-1834-189.pdf#page=2","Abrir facsímil")</f>
        <v>Abrir facsímil</v>
      </c>
      <c r="K17569" s="10" t="s">
        <v>24</v>
      </c>
    </row>
    <row r="17570" spans="1:11" ht="54" customHeight="1">
      <c r="A17570" s="9" t="s">
        <v>35563</v>
      </c>
      <c r="B17570" s="9" t="s">
        <v>35563</v>
      </c>
      <c r="C17570" s="9" t="s">
        <v>17</v>
      </c>
      <c r="D17570" s="9" t="s">
        <v>18</v>
      </c>
      <c r="E17570" s="10" t="s">
        <v>403</v>
      </c>
      <c r="F17570" s="9" t="s">
        <v>404</v>
      </c>
      <c r="G17570" s="10" t="s">
        <v>34</v>
      </c>
      <c r="H17570" s="9" t="s">
        <v>22</v>
      </c>
      <c r="I17570" s="9" t="s">
        <v>35593</v>
      </c>
      <c r="J17570" s="10" t="str">
        <f>HYPERLINK("https://www.boe.es/gazeta/dias/1834/09/25/pdfs/GMD-C-1834-223.pdf#page=1","Abrir facsímil")</f>
        <v>Abrir facsímil</v>
      </c>
      <c r="K17570" s="10" t="s">
        <v>24</v>
      </c>
    </row>
    <row r="17571" spans="1:11" ht="54" customHeight="1">
      <c r="A17571" s="9" t="s">
        <v>35563</v>
      </c>
      <c r="B17571" s="9" t="s">
        <v>35563</v>
      </c>
      <c r="C17571" s="9" t="s">
        <v>46</v>
      </c>
      <c r="D17571" s="9" t="s">
        <v>101</v>
      </c>
      <c r="E17571" s="10" t="s">
        <v>462</v>
      </c>
      <c r="F17571" s="9" t="s">
        <v>463</v>
      </c>
      <c r="G17571" s="10" t="s">
        <v>34</v>
      </c>
      <c r="H17571" s="9" t="s">
        <v>22</v>
      </c>
      <c r="I17571" s="9" t="s">
        <v>35594</v>
      </c>
      <c r="J17571" s="10" t="str">
        <f>HYPERLINK("https://www.boe.es/gazeta/dias/1834/08/27/pdfs/GMD-C-1834-193.pdf#page=1","Abrir facsímil")</f>
        <v>Abrir facsímil</v>
      </c>
      <c r="K17571" s="10" t="s">
        <v>24</v>
      </c>
    </row>
    <row r="17572" spans="1:11" ht="54" customHeight="1">
      <c r="A17572" s="9" t="s">
        <v>35563</v>
      </c>
      <c r="B17572" s="9" t="s">
        <v>35563</v>
      </c>
      <c r="C17572" s="9" t="s">
        <v>17</v>
      </c>
      <c r="D17572" s="9" t="s">
        <v>18</v>
      </c>
      <c r="E17572" s="10" t="s">
        <v>465</v>
      </c>
      <c r="F17572" s="9" t="s">
        <v>466</v>
      </c>
      <c r="G17572" s="10" t="s">
        <v>21</v>
      </c>
      <c r="H17572" s="9" t="s">
        <v>22</v>
      </c>
      <c r="I17572" s="9" t="s">
        <v>35595</v>
      </c>
      <c r="J17572" s="10" t="str">
        <f>HYPERLINK("https://www.boe.es/gazeta/dias/1834/11/27/pdfs/GMD-C-1834-286.pdf#page=3","Abrir facsímil")</f>
        <v>Abrir facsímil</v>
      </c>
      <c r="K17572" s="10" t="s">
        <v>24</v>
      </c>
    </row>
    <row r="17573" spans="1:11" ht="54" customHeight="1">
      <c r="A17573" s="9" t="s">
        <v>35563</v>
      </c>
      <c r="B17573" s="9" t="s">
        <v>35563</v>
      </c>
      <c r="C17573" s="9" t="s">
        <v>17</v>
      </c>
      <c r="D17573" s="9" t="s">
        <v>18</v>
      </c>
      <c r="E17573" s="10" t="s">
        <v>1641</v>
      </c>
      <c r="F17573" s="9" t="s">
        <v>1642</v>
      </c>
      <c r="G17573" s="10" t="s">
        <v>34</v>
      </c>
      <c r="H17573" s="9" t="s">
        <v>22</v>
      </c>
      <c r="I17573" s="9" t="s">
        <v>35596</v>
      </c>
      <c r="J17573" s="10" t="str">
        <f>HYPERLINK("https://www.boe.es/gazeta/dias/1834/09/28/pdfs/GMD-C-1834-226.pdf#page=1","Abrir facsímil")</f>
        <v>Abrir facsímil</v>
      </c>
      <c r="K17573" s="10" t="s">
        <v>24</v>
      </c>
    </row>
    <row r="17574" spans="1:11" ht="54" customHeight="1">
      <c r="A17574" s="9" t="s">
        <v>35563</v>
      </c>
      <c r="B17574" s="9" t="s">
        <v>35563</v>
      </c>
      <c r="C17574" s="9" t="s">
        <v>17</v>
      </c>
      <c r="D17574" s="9" t="s">
        <v>18</v>
      </c>
      <c r="E17574" s="10" t="s">
        <v>1641</v>
      </c>
      <c r="F17574" s="9" t="s">
        <v>1642</v>
      </c>
      <c r="G17574" s="10" t="s">
        <v>75</v>
      </c>
      <c r="H17574" s="9" t="s">
        <v>22</v>
      </c>
      <c r="I17574" s="9" t="s">
        <v>35597</v>
      </c>
      <c r="J17574" s="10" t="str">
        <f>HYPERLINK("https://www.boe.es/gazeta/dias/1834/09/28/pdfs/GMD-C-1834-226.pdf#page=4","Abrir facsímil")</f>
        <v>Abrir facsímil</v>
      </c>
      <c r="K17574" s="10" t="s">
        <v>24</v>
      </c>
    </row>
    <row r="17575" spans="1:11" ht="54" customHeight="1">
      <c r="A17575" s="9" t="s">
        <v>35563</v>
      </c>
      <c r="B17575" s="9" t="s">
        <v>35563</v>
      </c>
      <c r="C17575" s="9" t="s">
        <v>17</v>
      </c>
      <c r="D17575" s="9" t="s">
        <v>18</v>
      </c>
      <c r="E17575" s="10" t="s">
        <v>280</v>
      </c>
      <c r="F17575" s="9" t="s">
        <v>281</v>
      </c>
      <c r="G17575" s="10" t="s">
        <v>28</v>
      </c>
      <c r="H17575" s="9" t="s">
        <v>22</v>
      </c>
      <c r="I17575" s="9" t="s">
        <v>35598</v>
      </c>
      <c r="J17575" s="10" t="str">
        <f>HYPERLINK("https://www.boe.es/gazeta/dias/1834/08/29/pdfs/GMD-C-1834-195.pdf#page=5","Abrir facsímil")</f>
        <v>Abrir facsímil</v>
      </c>
      <c r="K17575" s="10" t="s">
        <v>24</v>
      </c>
    </row>
    <row r="17576" spans="1:11" ht="54" customHeight="1">
      <c r="A17576" s="9" t="s">
        <v>35563</v>
      </c>
      <c r="B17576" s="9" t="s">
        <v>35563</v>
      </c>
      <c r="C17576" s="9" t="s">
        <v>17</v>
      </c>
      <c r="D17576" s="9" t="s">
        <v>40</v>
      </c>
      <c r="E17576" s="10" t="s">
        <v>2526</v>
      </c>
      <c r="F17576" s="9" t="s">
        <v>2527</v>
      </c>
      <c r="G17576" s="10" t="s">
        <v>34</v>
      </c>
      <c r="H17576" s="9" t="s">
        <v>22</v>
      </c>
      <c r="I17576" s="9" t="s">
        <v>35599</v>
      </c>
      <c r="J17576" s="10" t="str">
        <f>HYPERLINK("https://www.boe.es/gazeta/dias/1834/12/29/pdfs/GMD-C-1834-319.pdf#page=1","Abrir facsímil")</f>
        <v>Abrir facsímil</v>
      </c>
      <c r="K17576" s="10" t="s">
        <v>24</v>
      </c>
    </row>
    <row r="17577" spans="1:11" ht="54" customHeight="1">
      <c r="A17577" s="9" t="s">
        <v>35600</v>
      </c>
      <c r="B17577" s="9" t="s">
        <v>35601</v>
      </c>
      <c r="C17577" s="9" t="s">
        <v>17</v>
      </c>
      <c r="D17577" s="9" t="s">
        <v>18</v>
      </c>
      <c r="E17577" s="10" t="s">
        <v>1103</v>
      </c>
      <c r="F17577" s="9" t="s">
        <v>1104</v>
      </c>
      <c r="G17577" s="10" t="s">
        <v>34</v>
      </c>
      <c r="H17577" s="9" t="s">
        <v>22</v>
      </c>
      <c r="I17577" s="9" t="s">
        <v>35602</v>
      </c>
      <c r="J17577" s="10" t="str">
        <f>HYPERLINK("https://www.boe.es/gazeta/dias/1834/10/10/pdfs/GMD-C-1834-238.pdf#page=1","Abrir facsímil")</f>
        <v>Abrir facsímil</v>
      </c>
      <c r="K17577" s="10" t="s">
        <v>24</v>
      </c>
    </row>
    <row r="17578" spans="1:11" ht="54" customHeight="1">
      <c r="A17578" s="9" t="s">
        <v>35603</v>
      </c>
      <c r="B17578" s="9" t="s">
        <v>35603</v>
      </c>
      <c r="C17578" s="9" t="s">
        <v>17</v>
      </c>
      <c r="D17578" s="9" t="s">
        <v>18</v>
      </c>
      <c r="E17578" s="10" t="s">
        <v>642</v>
      </c>
      <c r="F17578" s="9" t="s">
        <v>643</v>
      </c>
      <c r="G17578" s="10" t="s">
        <v>75</v>
      </c>
      <c r="H17578" s="9" t="s">
        <v>22</v>
      </c>
      <c r="I17578" s="9" t="s">
        <v>35604</v>
      </c>
      <c r="J17578" s="10" t="str">
        <f>HYPERLINK("https://www.boe.es/gazeta/dias/1834/11/12/pdfs/GMD-C-1834-271.pdf#page=4","Abrir facsímil")</f>
        <v>Abrir facsímil</v>
      </c>
      <c r="K17578" s="10" t="s">
        <v>24</v>
      </c>
    </row>
    <row r="17579" spans="1:11" ht="54" customHeight="1">
      <c r="A17579" s="9" t="s">
        <v>35605</v>
      </c>
      <c r="B17579" s="9" t="s">
        <v>35605</v>
      </c>
      <c r="C17579" s="9" t="s">
        <v>17</v>
      </c>
      <c r="D17579" s="9" t="s">
        <v>18</v>
      </c>
      <c r="E17579" s="10" t="s">
        <v>451</v>
      </c>
      <c r="F17579" s="9" t="s">
        <v>452</v>
      </c>
      <c r="G17579" s="10" t="s">
        <v>86</v>
      </c>
      <c r="H17579" s="9" t="s">
        <v>22</v>
      </c>
      <c r="I17579" s="9" t="s">
        <v>35606</v>
      </c>
      <c r="J17579" s="10" t="str">
        <f>HYPERLINK("https://www.boe.es/gazeta/dias/1834/10/15/pdfs/GMD-C-1834-243.pdf#page=2","Abrir facsímil")</f>
        <v>Abrir facsímil</v>
      </c>
      <c r="K17579" s="10" t="s">
        <v>24</v>
      </c>
    </row>
    <row r="17580" spans="1:11" ht="54" customHeight="1">
      <c r="A17580" s="9" t="s">
        <v>35607</v>
      </c>
      <c r="B17580" s="9" t="s">
        <v>35607</v>
      </c>
      <c r="C17580" s="9" t="s">
        <v>122</v>
      </c>
      <c r="D17580" s="9" t="s">
        <v>18</v>
      </c>
      <c r="E17580" s="10" t="s">
        <v>233</v>
      </c>
      <c r="F17580" s="9" t="s">
        <v>1810</v>
      </c>
      <c r="G17580" s="10" t="s">
        <v>176</v>
      </c>
      <c r="H17580" s="9" t="s">
        <v>22</v>
      </c>
      <c r="I17580" s="9" t="s">
        <v>35608</v>
      </c>
      <c r="J17580" s="10" t="str">
        <f>HYPERLINK("https://www.boe.es/gazeta/dias/1834/12/16/pdfs/GMD-C-1834-305.pdf#page=6","Abrir facsímil")</f>
        <v>Abrir facsímil</v>
      </c>
      <c r="K17580" s="10" t="s">
        <v>24</v>
      </c>
    </row>
    <row r="17581" spans="1:11" ht="54" customHeight="1">
      <c r="A17581" s="9" t="s">
        <v>35609</v>
      </c>
      <c r="B17581" s="9" t="s">
        <v>35609</v>
      </c>
      <c r="C17581" s="9" t="s">
        <v>17</v>
      </c>
      <c r="D17581" s="9" t="s">
        <v>18</v>
      </c>
      <c r="E17581" s="10" t="s">
        <v>187</v>
      </c>
      <c r="F17581" s="9" t="s">
        <v>1715</v>
      </c>
      <c r="G17581" s="10" t="s">
        <v>34</v>
      </c>
      <c r="H17581" s="9" t="s">
        <v>22</v>
      </c>
      <c r="I17581" s="9" t="s">
        <v>35610</v>
      </c>
      <c r="J17581" s="10" t="str">
        <f>HYPERLINK("https://www.boe.es/gazeta/dias/1834/09/30/pdfs/GMD-C-1834-228.pdf#page=1","Abrir facsímil")</f>
        <v>Abrir facsímil</v>
      </c>
      <c r="K17581" s="10" t="s">
        <v>24</v>
      </c>
    </row>
    <row r="17582" spans="1:11" ht="54" customHeight="1">
      <c r="A17582" s="9" t="s">
        <v>35611</v>
      </c>
      <c r="B17582" s="9" t="s">
        <v>35612</v>
      </c>
      <c r="C17582" s="9" t="s">
        <v>17</v>
      </c>
      <c r="D17582" s="9" t="s">
        <v>18</v>
      </c>
      <c r="E17582" s="10" t="s">
        <v>187</v>
      </c>
      <c r="F17582" s="9" t="s">
        <v>1715</v>
      </c>
      <c r="G17582" s="10" t="s">
        <v>34</v>
      </c>
      <c r="H17582" s="9" t="s">
        <v>22</v>
      </c>
      <c r="I17582" s="9" t="s">
        <v>35613</v>
      </c>
      <c r="J17582" s="10" t="str">
        <f>HYPERLINK("https://www.boe.es/gazeta/dias/1834/09/30/pdfs/GMD-C-1834-228.pdf#page=1","Abrir facsímil")</f>
        <v>Abrir facsímil</v>
      </c>
      <c r="K17582" s="10" t="s">
        <v>24</v>
      </c>
    </row>
    <row r="17583" spans="1:11" ht="54" customHeight="1">
      <c r="A17583" s="9" t="s">
        <v>35614</v>
      </c>
      <c r="B17583" s="9" t="s">
        <v>35614</v>
      </c>
      <c r="C17583" s="9" t="s">
        <v>66</v>
      </c>
      <c r="D17583" s="9" t="s">
        <v>67</v>
      </c>
      <c r="E17583" s="10" t="s">
        <v>258</v>
      </c>
      <c r="F17583" s="9" t="s">
        <v>259</v>
      </c>
      <c r="G17583" s="10" t="s">
        <v>86</v>
      </c>
      <c r="H17583" s="9" t="s">
        <v>22</v>
      </c>
      <c r="I17583" s="9" t="s">
        <v>35615</v>
      </c>
      <c r="J17583" s="10" t="str">
        <f>HYPERLINK("https://www.boe.es/gazeta/dias/1834/10/09/pdfs/GMD-C-1834-237.pdf#page=2","Abrir facsímil")</f>
        <v>Abrir facsímil</v>
      </c>
      <c r="K17583" s="10" t="s">
        <v>24</v>
      </c>
    </row>
    <row r="17584" spans="1:11" ht="54" customHeight="1">
      <c r="A17584" s="9" t="s">
        <v>35616</v>
      </c>
      <c r="B17584" s="9" t="s">
        <v>35616</v>
      </c>
      <c r="C17584" s="9" t="s">
        <v>17</v>
      </c>
      <c r="D17584" s="9" t="s">
        <v>18</v>
      </c>
      <c r="E17584" s="10" t="s">
        <v>192</v>
      </c>
      <c r="F17584" s="9" t="s">
        <v>2713</v>
      </c>
      <c r="G17584" s="10" t="s">
        <v>34</v>
      </c>
      <c r="H17584" s="9" t="s">
        <v>22</v>
      </c>
      <c r="I17584" s="9" t="s">
        <v>35617</v>
      </c>
      <c r="J17584" s="10" t="str">
        <f>HYPERLINK("https://www.boe.es/gazeta/dias/1834/12/31/pdfs/GMD-C-1834-321.pdf#page=1","Abrir facsímil")</f>
        <v>Abrir facsímil</v>
      </c>
      <c r="K17584" s="10" t="s">
        <v>24</v>
      </c>
    </row>
    <row r="17585" spans="1:11" ht="54" customHeight="1">
      <c r="A17585" s="9" t="s">
        <v>35618</v>
      </c>
      <c r="B17585" s="9" t="s">
        <v>35619</v>
      </c>
      <c r="C17585" s="9" t="s">
        <v>17</v>
      </c>
      <c r="D17585" s="9" t="s">
        <v>18</v>
      </c>
      <c r="E17585" s="10" t="s">
        <v>823</v>
      </c>
      <c r="F17585" s="9" t="s">
        <v>824</v>
      </c>
      <c r="G17585" s="10" t="s">
        <v>176</v>
      </c>
      <c r="H17585" s="9" t="s">
        <v>35</v>
      </c>
      <c r="I17585" s="9" t="s">
        <v>35620</v>
      </c>
      <c r="J17585" s="10" t="str">
        <f>HYPERLINK("https://www.boe.es/gazeta/dias/1834/07/23/pdfs/GMD-1834-156.pdf#page=6","Abrir facsímil")</f>
        <v>Abrir facsímil</v>
      </c>
      <c r="K17585" s="10" t="s">
        <v>37</v>
      </c>
    </row>
    <row r="17586" spans="1:11" ht="54" customHeight="1">
      <c r="A17586" s="9" t="s">
        <v>35621</v>
      </c>
      <c r="B17586" s="9" t="s">
        <v>35622</v>
      </c>
      <c r="C17586" s="9" t="s">
        <v>17</v>
      </c>
      <c r="D17586" s="9" t="s">
        <v>18</v>
      </c>
      <c r="E17586" s="10" t="s">
        <v>823</v>
      </c>
      <c r="F17586" s="9" t="s">
        <v>824</v>
      </c>
      <c r="G17586" s="10" t="s">
        <v>176</v>
      </c>
      <c r="H17586" s="9" t="s">
        <v>22</v>
      </c>
      <c r="I17586" s="9" t="s">
        <v>35623</v>
      </c>
      <c r="J17586" s="10" t="str">
        <f>HYPERLINK("https://www.boe.es/gazeta/dias/1834/07/23/pdfs/GMD-1834-156.pdf#page=6","Abrir facsímil")</f>
        <v>Abrir facsímil</v>
      </c>
      <c r="K17586" s="10" t="s">
        <v>24</v>
      </c>
    </row>
    <row r="17587" spans="1:11" ht="54" customHeight="1">
      <c r="A17587" s="9" t="s">
        <v>35624</v>
      </c>
      <c r="B17587" s="9" t="s">
        <v>35624</v>
      </c>
      <c r="C17587" s="9" t="s">
        <v>17</v>
      </c>
      <c r="D17587" s="9" t="s">
        <v>18</v>
      </c>
      <c r="E17587" s="10" t="s">
        <v>1410</v>
      </c>
      <c r="F17587" s="9" t="s">
        <v>2231</v>
      </c>
      <c r="G17587" s="10" t="s">
        <v>21</v>
      </c>
      <c r="H17587" s="9" t="s">
        <v>22</v>
      </c>
      <c r="I17587" s="9" t="s">
        <v>35625</v>
      </c>
      <c r="J17587" s="10" t="str">
        <f>HYPERLINK("https://www.boe.es/gazeta/dias/1834/09/09/pdfs/GMD-C-1834-207.pdf#page=3","Abrir facsímil")</f>
        <v>Abrir facsímil</v>
      </c>
      <c r="K17587" s="10" t="s">
        <v>24</v>
      </c>
    </row>
    <row r="17588" spans="1:11" ht="54" customHeight="1">
      <c r="A17588" s="9" t="s">
        <v>35626</v>
      </c>
      <c r="B17588" s="9" t="s">
        <v>35626</v>
      </c>
      <c r="C17588" s="9" t="s">
        <v>17</v>
      </c>
      <c r="D17588" s="9" t="s">
        <v>18</v>
      </c>
      <c r="E17588" s="10" t="s">
        <v>2087</v>
      </c>
      <c r="F17588" s="9" t="s">
        <v>2267</v>
      </c>
      <c r="G17588" s="10" t="s">
        <v>176</v>
      </c>
      <c r="H17588" s="9" t="s">
        <v>22</v>
      </c>
      <c r="I17588" s="9" t="s">
        <v>35627</v>
      </c>
      <c r="J17588" s="10" t="str">
        <f>HYPERLINK("https://www.boe.es/gazeta/dias/1834/12/14/pdfs/GMD-C-1834-303.pdf#page=6","Abrir facsímil")</f>
        <v>Abrir facsímil</v>
      </c>
      <c r="K17588" s="10" t="s">
        <v>24</v>
      </c>
    </row>
    <row r="17589" spans="1:11" ht="54" customHeight="1">
      <c r="A17589" s="9" t="s">
        <v>35628</v>
      </c>
      <c r="B17589" s="9" t="s">
        <v>35628</v>
      </c>
      <c r="C17589" s="9" t="s">
        <v>46</v>
      </c>
      <c r="D17589" s="9" t="s">
        <v>101</v>
      </c>
      <c r="E17589" s="10" t="s">
        <v>1212</v>
      </c>
      <c r="F17589" s="9" t="s">
        <v>1213</v>
      </c>
      <c r="G17589" s="10" t="s">
        <v>34</v>
      </c>
      <c r="H17589" s="9" t="s">
        <v>22</v>
      </c>
      <c r="I17589" s="9" t="s">
        <v>35629</v>
      </c>
      <c r="J17589" s="10" t="str">
        <f>HYPERLINK("https://www.boe.es/gazeta/dias/1834/05/24/pdfs/GMD-1834-93.pdf#page=1","Abrir facsímil")</f>
        <v>Abrir facsímil</v>
      </c>
      <c r="K17589" s="10" t="s">
        <v>24</v>
      </c>
    </row>
    <row r="17590" spans="1:11" ht="54" customHeight="1">
      <c r="A17590" s="9" t="s">
        <v>35630</v>
      </c>
      <c r="B17590" s="9" t="s">
        <v>35630</v>
      </c>
      <c r="C17590" s="9" t="s">
        <v>66</v>
      </c>
      <c r="D17590" s="9" t="s">
        <v>67</v>
      </c>
      <c r="E17590" s="10" t="s">
        <v>899</v>
      </c>
      <c r="F17590" s="9" t="s">
        <v>900</v>
      </c>
      <c r="G17590" s="10" t="s">
        <v>560</v>
      </c>
      <c r="H17590" s="9" t="s">
        <v>22</v>
      </c>
      <c r="I17590" s="9" t="s">
        <v>35631</v>
      </c>
      <c r="J17590" s="10" t="str">
        <f>HYPERLINK("https://www.boe.es/gazeta/dias/1834/01/30/pdfs/GMD-1834-14.pdf#page=7","Abrir facsímil")</f>
        <v>Abrir facsímil</v>
      </c>
      <c r="K17590" s="10" t="s">
        <v>24</v>
      </c>
    </row>
    <row r="17591" spans="1:11" ht="54" customHeight="1">
      <c r="A17591" s="9" t="s">
        <v>35632</v>
      </c>
      <c r="B17591" s="9" t="s">
        <v>35632</v>
      </c>
      <c r="C17591" s="9" t="s">
        <v>17</v>
      </c>
      <c r="D17591" s="9" t="s">
        <v>18</v>
      </c>
      <c r="E17591" s="10" t="s">
        <v>1103</v>
      </c>
      <c r="F17591" s="9" t="s">
        <v>1259</v>
      </c>
      <c r="G17591" s="10" t="s">
        <v>21</v>
      </c>
      <c r="H17591" s="9" t="s">
        <v>22</v>
      </c>
      <c r="I17591" s="9" t="s">
        <v>35633</v>
      </c>
      <c r="J17591" s="10" t="str">
        <f>HYPERLINK("https://www.boe.es/gazeta/dias/1834/10/10/pdfs/GMD-1834-238.pdf#page=3","Abrir facsímil")</f>
        <v>Abrir facsímil</v>
      </c>
      <c r="K17591" s="10" t="s">
        <v>24</v>
      </c>
    </row>
    <row r="17592" spans="1:11" ht="54" customHeight="1">
      <c r="A17592" s="9" t="s">
        <v>35634</v>
      </c>
      <c r="B17592" s="9" t="s">
        <v>35634</v>
      </c>
      <c r="C17592" s="9" t="s">
        <v>17</v>
      </c>
      <c r="D17592" s="9" t="s">
        <v>18</v>
      </c>
      <c r="E17592" s="10" t="s">
        <v>899</v>
      </c>
      <c r="F17592" s="9" t="s">
        <v>900</v>
      </c>
      <c r="G17592" s="10" t="s">
        <v>21</v>
      </c>
      <c r="H17592" s="9" t="s">
        <v>22</v>
      </c>
      <c r="I17592" s="9" t="s">
        <v>35635</v>
      </c>
      <c r="J17592" s="10" t="str">
        <f>HYPERLINK("https://www.boe.es/gazeta/dias/1834/01/30/pdfs/GMD-1834-14.pdf#page=3","Abrir facsímil")</f>
        <v>Abrir facsímil</v>
      </c>
      <c r="K17592" s="10" t="s">
        <v>24</v>
      </c>
    </row>
    <row r="17593" spans="1:11" ht="54" customHeight="1">
      <c r="A17593" s="9" t="s">
        <v>35636</v>
      </c>
      <c r="B17593" s="9" t="s">
        <v>35636</v>
      </c>
      <c r="C17593" s="9" t="s">
        <v>66</v>
      </c>
      <c r="D17593" s="9" t="s">
        <v>18</v>
      </c>
      <c r="E17593" s="10" t="s">
        <v>5885</v>
      </c>
      <c r="F17593" s="9" t="s">
        <v>5886</v>
      </c>
      <c r="G17593" s="10" t="s">
        <v>34</v>
      </c>
      <c r="H17593" s="9" t="s">
        <v>22</v>
      </c>
      <c r="I17593" s="9" t="s">
        <v>35637</v>
      </c>
      <c r="J17593" s="10" t="str">
        <f>HYPERLINK("https://www.boe.es/gazeta/dias/1834/05/23/pdfs/GMD-1834-92.pdf#page=1","Abrir facsímil")</f>
        <v>Abrir facsímil</v>
      </c>
      <c r="K17593" s="10" t="s">
        <v>24</v>
      </c>
    </row>
    <row r="17594" spans="1:11" ht="54" customHeight="1">
      <c r="A17594" s="9" t="s">
        <v>35638</v>
      </c>
      <c r="B17594" s="9" t="s">
        <v>35638</v>
      </c>
      <c r="C17594" s="9" t="s">
        <v>66</v>
      </c>
      <c r="D17594" s="9" t="s">
        <v>67</v>
      </c>
      <c r="E17594" s="10" t="s">
        <v>513</v>
      </c>
      <c r="F17594" s="9" t="s">
        <v>514</v>
      </c>
      <c r="G17594" s="10" t="s">
        <v>176</v>
      </c>
      <c r="H17594" s="9" t="s">
        <v>22</v>
      </c>
      <c r="I17594" s="9" t="s">
        <v>35639</v>
      </c>
      <c r="J17594" s="10" t="str">
        <f>HYPERLINK("https://www.boe.es/gazeta/dias/1834/04/27/pdfs/GMD-1834-66.pdf#page=6","Abrir facsímil")</f>
        <v>Abrir facsímil</v>
      </c>
      <c r="K17594" s="10" t="s">
        <v>24</v>
      </c>
    </row>
    <row r="17595" spans="1:11" ht="54" customHeight="1">
      <c r="A17595" s="9" t="s">
        <v>35640</v>
      </c>
      <c r="B17595" s="9" t="s">
        <v>35641</v>
      </c>
      <c r="C17595" s="9" t="s">
        <v>17</v>
      </c>
      <c r="D17595" s="9" t="s">
        <v>18</v>
      </c>
      <c r="E17595" s="10" t="s">
        <v>777</v>
      </c>
      <c r="F17595" s="9" t="s">
        <v>778</v>
      </c>
      <c r="G17595" s="10" t="s">
        <v>21</v>
      </c>
      <c r="H17595" s="9" t="s">
        <v>22</v>
      </c>
      <c r="I17595" s="9" t="s">
        <v>35642</v>
      </c>
      <c r="J17595" s="10" t="str">
        <f>HYPERLINK("https://www.boe.es/gazeta/dias/1834/10/29/pdfs/GMD-1834-257.pdf#page=3","Abrir facsímil")</f>
        <v>Abrir facsímil</v>
      </c>
      <c r="K17595" s="10" t="s">
        <v>24</v>
      </c>
    </row>
    <row r="17596" spans="1:11" ht="54" customHeight="1">
      <c r="A17596" s="9" t="s">
        <v>35643</v>
      </c>
      <c r="B17596" s="9" t="s">
        <v>35643</v>
      </c>
      <c r="C17596" s="9" t="s">
        <v>66</v>
      </c>
      <c r="D17596" s="9" t="s">
        <v>67</v>
      </c>
      <c r="E17596" s="10" t="s">
        <v>1674</v>
      </c>
      <c r="F17596" s="9" t="s">
        <v>1675</v>
      </c>
      <c r="G17596" s="10" t="s">
        <v>21</v>
      </c>
      <c r="H17596" s="9" t="s">
        <v>22</v>
      </c>
      <c r="I17596" s="9" t="s">
        <v>35644</v>
      </c>
      <c r="J17596" s="10" t="str">
        <f>HYPERLINK("https://www.boe.es/gazeta/dias/1834/07/25/pdfs/GMD-1834-158.pdf#page=3","Abrir facsímil")</f>
        <v>Abrir facsímil</v>
      </c>
      <c r="K17596" s="10" t="s">
        <v>24</v>
      </c>
    </row>
    <row r="17597" spans="1:11" ht="54" customHeight="1">
      <c r="A17597" s="9" t="s">
        <v>35645</v>
      </c>
      <c r="B17597" s="9" t="s">
        <v>35646</v>
      </c>
      <c r="C17597" s="9" t="s">
        <v>17</v>
      </c>
      <c r="D17597" s="9" t="s">
        <v>18</v>
      </c>
      <c r="E17597" s="10" t="s">
        <v>1402</v>
      </c>
      <c r="F17597" s="9" t="s">
        <v>1403</v>
      </c>
      <c r="G17597" s="10" t="s">
        <v>75</v>
      </c>
      <c r="H17597" s="9" t="s">
        <v>22</v>
      </c>
      <c r="I17597" s="9" t="s">
        <v>35647</v>
      </c>
      <c r="J17597" s="10" t="str">
        <f>HYPERLINK("https://www.boe.es/gazeta/dias/1834/05/05/pdfs/GMD-1834-74.pdf#page=4","Abrir facsímil")</f>
        <v>Abrir facsímil</v>
      </c>
      <c r="K17597" s="10" t="s">
        <v>24</v>
      </c>
    </row>
    <row r="17598" spans="1:11" ht="54" customHeight="1">
      <c r="A17598" s="9" t="s">
        <v>35648</v>
      </c>
      <c r="B17598" s="9" t="s">
        <v>35649</v>
      </c>
      <c r="C17598" s="9" t="s">
        <v>90</v>
      </c>
      <c r="D17598" s="9" t="s">
        <v>67</v>
      </c>
      <c r="E17598" s="10" t="s">
        <v>1084</v>
      </c>
      <c r="F17598" s="9" t="s">
        <v>1085</v>
      </c>
      <c r="G17598" s="10" t="s">
        <v>28</v>
      </c>
      <c r="H17598" s="9" t="s">
        <v>22</v>
      </c>
      <c r="I17598" s="9" t="s">
        <v>35650</v>
      </c>
      <c r="J17598" s="10" t="str">
        <f>HYPERLINK("https://www.boe.es/gazeta/dias/1834/05/01/pdfs/GMD-1834-70.pdf#page=5","Abrir facsímil")</f>
        <v>Abrir facsímil</v>
      </c>
      <c r="K17598" s="10" t="s">
        <v>24</v>
      </c>
    </row>
    <row r="17599" spans="1:11" ht="54" customHeight="1">
      <c r="A17599" s="9" t="s">
        <v>35651</v>
      </c>
      <c r="B17599" s="9" t="s">
        <v>35652</v>
      </c>
      <c r="C17599" s="9" t="s">
        <v>17</v>
      </c>
      <c r="D17599" s="9" t="s">
        <v>55</v>
      </c>
      <c r="E17599" s="10" t="s">
        <v>153</v>
      </c>
      <c r="F17599" s="9" t="s">
        <v>1294</v>
      </c>
      <c r="G17599" s="10" t="s">
        <v>34</v>
      </c>
      <c r="H17599" s="9" t="s">
        <v>22</v>
      </c>
      <c r="I17599" s="9" t="s">
        <v>35653</v>
      </c>
      <c r="J17599" s="10" t="str">
        <f>HYPERLINK("https://www.boe.es/gazeta/dias/1834/12/30/pdfs/GMD-1834-320.pdf#page=1","Abrir facsímil")</f>
        <v>Abrir facsímil</v>
      </c>
      <c r="K17599" s="10" t="s">
        <v>24</v>
      </c>
    </row>
    <row r="17600" spans="1:11" ht="54" customHeight="1">
      <c r="A17600" s="9" t="s">
        <v>35654</v>
      </c>
      <c r="B17600" s="9" t="s">
        <v>35655</v>
      </c>
      <c r="C17600" s="9" t="s">
        <v>17</v>
      </c>
      <c r="D17600" s="9" t="s">
        <v>55</v>
      </c>
      <c r="E17600" s="10" t="s">
        <v>2037</v>
      </c>
      <c r="F17600" s="9" t="s">
        <v>2038</v>
      </c>
      <c r="G17600" s="10" t="s">
        <v>34</v>
      </c>
      <c r="H17600" s="9" t="s">
        <v>22</v>
      </c>
      <c r="I17600" s="9" t="s">
        <v>35656</v>
      </c>
      <c r="J17600" s="10" t="str">
        <f>HYPERLINK("https://www.boe.es/gazeta/dias/1834/12/01/pdfs/GMD-1834-290.pdf#page=1","Abrir facsímil")</f>
        <v>Abrir facsímil</v>
      </c>
      <c r="K17600" s="10" t="s">
        <v>24</v>
      </c>
    </row>
    <row r="17601" spans="1:11" ht="54" customHeight="1">
      <c r="A17601" s="9" t="s">
        <v>35657</v>
      </c>
      <c r="B17601" s="9" t="s">
        <v>35657</v>
      </c>
      <c r="C17601" s="9" t="s">
        <v>122</v>
      </c>
      <c r="D17601" s="9" t="s">
        <v>40</v>
      </c>
      <c r="E17601" s="10" t="s">
        <v>1459</v>
      </c>
      <c r="F17601" s="9" t="s">
        <v>1460</v>
      </c>
      <c r="G17601" s="10" t="s">
        <v>34</v>
      </c>
      <c r="H17601" s="9" t="s">
        <v>22</v>
      </c>
      <c r="I17601" s="9" t="s">
        <v>35658</v>
      </c>
      <c r="J17601" s="10" t="str">
        <f>HYPERLINK("https://www.boe.es/gazeta/dias/1834/08/18/pdfs/GMD-1834-184.pdf#page=1","Abrir facsímil")</f>
        <v>Abrir facsímil</v>
      </c>
      <c r="K17601" s="10" t="s">
        <v>24</v>
      </c>
    </row>
    <row r="17602" spans="1:11" ht="54" customHeight="1">
      <c r="A17602" s="9" t="s">
        <v>35659</v>
      </c>
      <c r="B17602" s="9" t="s">
        <v>35659</v>
      </c>
      <c r="C17602" s="9" t="s">
        <v>857</v>
      </c>
      <c r="D17602" s="9" t="s">
        <v>55</v>
      </c>
      <c r="E17602" s="10" t="s">
        <v>510</v>
      </c>
      <c r="F17602" s="9" t="s">
        <v>511</v>
      </c>
      <c r="G17602" s="10" t="s">
        <v>21</v>
      </c>
      <c r="H17602" s="9" t="s">
        <v>22</v>
      </c>
      <c r="I17602" s="9" t="s">
        <v>35660</v>
      </c>
      <c r="J17602" s="10" t="str">
        <f>HYPERLINK("https://www.boe.es/gazeta/dias/1834/11/26/pdfs/GMD-1834-285.pdf#page=3","Abrir facsímil")</f>
        <v>Abrir facsímil</v>
      </c>
      <c r="K17602" s="10" t="s">
        <v>24</v>
      </c>
    </row>
    <row r="17603" spans="1:11" ht="54" customHeight="1">
      <c r="A17603" s="9" t="s">
        <v>35661</v>
      </c>
      <c r="B17603" s="9" t="s">
        <v>35661</v>
      </c>
      <c r="C17603" s="9" t="s">
        <v>17</v>
      </c>
      <c r="D17603" s="9" t="s">
        <v>18</v>
      </c>
      <c r="E17603" s="10" t="s">
        <v>1973</v>
      </c>
      <c r="F17603" s="9" t="s">
        <v>4832</v>
      </c>
      <c r="G17603" s="10" t="s">
        <v>21</v>
      </c>
      <c r="H17603" s="9" t="s">
        <v>22</v>
      </c>
      <c r="I17603" s="9" t="s">
        <v>35662</v>
      </c>
      <c r="J17603" s="10" t="str">
        <f>HYPERLINK("https://www.boe.es/gazeta/dias/1834/12/20/pdfs/GMD-1834-310.pdf#page=3","Abrir facsímil")</f>
        <v>Abrir facsímil</v>
      </c>
      <c r="K17603" s="10" t="s">
        <v>24</v>
      </c>
    </row>
    <row r="17604" spans="1:11" ht="54" customHeight="1">
      <c r="A17604" s="9" t="s">
        <v>35663</v>
      </c>
      <c r="B17604" s="9" t="s">
        <v>35664</v>
      </c>
      <c r="C17604" s="9" t="s">
        <v>90</v>
      </c>
      <c r="D17604" s="9" t="s">
        <v>18</v>
      </c>
      <c r="E17604" s="10" t="s">
        <v>433</v>
      </c>
      <c r="F17604" s="9" t="s">
        <v>434</v>
      </c>
      <c r="G17604" s="10" t="s">
        <v>34</v>
      </c>
      <c r="H17604" s="9" t="s">
        <v>35</v>
      </c>
      <c r="I17604" s="9" t="s">
        <v>35665</v>
      </c>
      <c r="J17604" s="10" t="str">
        <f>HYPERLINK("https://www.boe.es/gazeta/dias/1834/10/07/pdfs/GMD-C-1834-235.pdf#page=1","Abrir facsímil")</f>
        <v>Abrir facsímil</v>
      </c>
      <c r="K17604" s="10" t="s">
        <v>37</v>
      </c>
    </row>
    <row r="17605" spans="1:11" ht="54" customHeight="1">
      <c r="A17605" s="9" t="s">
        <v>35666</v>
      </c>
      <c r="B17605" s="9" t="s">
        <v>35667</v>
      </c>
      <c r="C17605" s="9" t="s">
        <v>17</v>
      </c>
      <c r="D17605" s="9" t="s">
        <v>18</v>
      </c>
      <c r="E17605" s="10" t="s">
        <v>1459</v>
      </c>
      <c r="F17605" s="9" t="s">
        <v>1460</v>
      </c>
      <c r="G17605" s="10" t="s">
        <v>21</v>
      </c>
      <c r="H17605" s="9" t="s">
        <v>35</v>
      </c>
      <c r="I17605" s="9" t="s">
        <v>35668</v>
      </c>
      <c r="J17605" s="10" t="str">
        <f>HYPERLINK("https://www.boe.es/gazeta/dias/1834/08/18/pdfs/GMD-1834-184.pdf#page=3","Abrir facsímil")</f>
        <v>Abrir facsímil</v>
      </c>
      <c r="K17605" s="10" t="s">
        <v>37</v>
      </c>
    </row>
    <row r="17606" spans="1:11" ht="54" customHeight="1">
      <c r="A17606" s="9" t="s">
        <v>35669</v>
      </c>
      <c r="B17606" s="9" t="s">
        <v>35670</v>
      </c>
      <c r="C17606" s="9" t="s">
        <v>66</v>
      </c>
      <c r="D17606" s="9" t="s">
        <v>67</v>
      </c>
      <c r="E17606" s="10" t="s">
        <v>133</v>
      </c>
      <c r="F17606" s="9" t="s">
        <v>134</v>
      </c>
      <c r="G17606" s="10" t="s">
        <v>34</v>
      </c>
      <c r="H17606" s="9" t="s">
        <v>35</v>
      </c>
      <c r="I17606" s="9" t="s">
        <v>35671</v>
      </c>
      <c r="J17606" s="10" t="str">
        <f>HYPERLINK("https://www.boe.es/gazeta/dias/1834/06/18/pdfs/GMD-1834-121.pdf#page=1","Abrir facsímil")</f>
        <v>Abrir facsímil</v>
      </c>
      <c r="K17606" s="10" t="s">
        <v>37</v>
      </c>
    </row>
    <row r="17607" spans="1:11" ht="54" customHeight="1">
      <c r="A17607" s="9" t="s">
        <v>35672</v>
      </c>
      <c r="B17607" s="9" t="s">
        <v>35673</v>
      </c>
      <c r="C17607" s="9" t="s">
        <v>17</v>
      </c>
      <c r="D17607" s="9" t="s">
        <v>18</v>
      </c>
      <c r="E17607" s="10" t="s">
        <v>1195</v>
      </c>
      <c r="F17607" s="9" t="s">
        <v>1196</v>
      </c>
      <c r="G17607" s="10" t="s">
        <v>560</v>
      </c>
      <c r="H17607" s="9" t="s">
        <v>35</v>
      </c>
      <c r="I17607" s="9" t="s">
        <v>35674</v>
      </c>
      <c r="J17607" s="10" t="str">
        <f>HYPERLINK("https://www.boe.es/gazeta/dias/1834/10/17/pdfs/GMD-C-1834-245.pdf#page=7","Abrir facsímil")</f>
        <v>Abrir facsímil</v>
      </c>
      <c r="K17607" s="10" t="s">
        <v>37</v>
      </c>
    </row>
    <row r="17608" spans="1:11" ht="54" customHeight="1">
      <c r="A17608" s="9" t="s">
        <v>35675</v>
      </c>
      <c r="B17608" s="9" t="s">
        <v>35676</v>
      </c>
      <c r="C17608" s="9" t="s">
        <v>17</v>
      </c>
      <c r="D17608" s="9" t="s">
        <v>18</v>
      </c>
      <c r="E17608" s="10" t="s">
        <v>102</v>
      </c>
      <c r="F17608" s="9" t="s">
        <v>103</v>
      </c>
      <c r="G17608" s="10" t="s">
        <v>21</v>
      </c>
      <c r="H17608" s="9" t="s">
        <v>35</v>
      </c>
      <c r="I17608" s="9" t="s">
        <v>35677</v>
      </c>
      <c r="J17608" s="10" t="str">
        <f>HYPERLINK("https://www.boe.es/gazeta/dias/1834/07/19/pdfs/GMD-1834-152.pdf#page=3","Abrir facsímil")</f>
        <v>Abrir facsímil</v>
      </c>
      <c r="K17608" s="10" t="s">
        <v>37</v>
      </c>
    </row>
    <row r="17609" spans="1:11" ht="54" customHeight="1">
      <c r="A17609" s="9" t="s">
        <v>35678</v>
      </c>
      <c r="B17609" s="9" t="s">
        <v>35679</v>
      </c>
      <c r="C17609" s="9" t="s">
        <v>17</v>
      </c>
      <c r="D17609" s="9" t="s">
        <v>18</v>
      </c>
      <c r="E17609" s="10" t="s">
        <v>102</v>
      </c>
      <c r="F17609" s="9" t="s">
        <v>103</v>
      </c>
      <c r="G17609" s="10" t="s">
        <v>21</v>
      </c>
      <c r="H17609" s="9" t="s">
        <v>35</v>
      </c>
      <c r="I17609" s="9" t="s">
        <v>35680</v>
      </c>
      <c r="J17609" s="10" t="str">
        <f>HYPERLINK("https://www.boe.es/gazeta/dias/1834/07/19/pdfs/GMD-1834-152.pdf#page=3","Abrir facsímil")</f>
        <v>Abrir facsímil</v>
      </c>
      <c r="K17609" s="10" t="s">
        <v>37</v>
      </c>
    </row>
    <row r="17610" spans="1:11" ht="54" customHeight="1">
      <c r="A17610" s="9" t="s">
        <v>35681</v>
      </c>
      <c r="B17610" s="9" t="s">
        <v>35682</v>
      </c>
      <c r="C17610" s="9" t="s">
        <v>17</v>
      </c>
      <c r="D17610" s="9" t="s">
        <v>18</v>
      </c>
      <c r="E17610" s="10" t="s">
        <v>102</v>
      </c>
      <c r="F17610" s="9" t="s">
        <v>103</v>
      </c>
      <c r="G17610" s="10" t="s">
        <v>21</v>
      </c>
      <c r="H17610" s="9" t="s">
        <v>35</v>
      </c>
      <c r="I17610" s="9" t="s">
        <v>35683</v>
      </c>
      <c r="J17610" s="10" t="str">
        <f>HYPERLINK("https://www.boe.es/gazeta/dias/1834/07/19/pdfs/GMD-1834-152.pdf#page=3","Abrir facsímil")</f>
        <v>Abrir facsímil</v>
      </c>
      <c r="K17610" s="10" t="s">
        <v>37</v>
      </c>
    </row>
    <row r="17611" spans="1:11" ht="54" customHeight="1">
      <c r="A17611" s="9" t="s">
        <v>35684</v>
      </c>
      <c r="B17611" s="9" t="s">
        <v>35685</v>
      </c>
      <c r="C17611" s="9" t="s">
        <v>17</v>
      </c>
      <c r="D17611" s="9" t="s">
        <v>18</v>
      </c>
      <c r="E17611" s="10" t="s">
        <v>233</v>
      </c>
      <c r="F17611" s="9" t="s">
        <v>1810</v>
      </c>
      <c r="G17611" s="10" t="s">
        <v>176</v>
      </c>
      <c r="H17611" s="9" t="s">
        <v>35</v>
      </c>
      <c r="I17611" s="9" t="s">
        <v>35686</v>
      </c>
      <c r="J17611" s="10" t="str">
        <f>HYPERLINK("https://www.boe.es/gazeta/dias/1834/12/16/pdfs/GMD-C-1834-305.pdf#page=6","Abrir facsímil")</f>
        <v>Abrir facsímil</v>
      </c>
      <c r="K17611" s="10" t="s">
        <v>37</v>
      </c>
    </row>
    <row r="17612" spans="1:11" ht="54" customHeight="1">
      <c r="A17612" s="9" t="s">
        <v>35687</v>
      </c>
      <c r="B17612" s="9" t="s">
        <v>35688</v>
      </c>
      <c r="C17612" s="9" t="s">
        <v>17</v>
      </c>
      <c r="D17612" s="9" t="s">
        <v>18</v>
      </c>
      <c r="E17612" s="10" t="s">
        <v>734</v>
      </c>
      <c r="F17612" s="9" t="s">
        <v>735</v>
      </c>
      <c r="G17612" s="10" t="s">
        <v>75</v>
      </c>
      <c r="H17612" s="9" t="s">
        <v>35</v>
      </c>
      <c r="I17612" s="9" t="s">
        <v>35689</v>
      </c>
      <c r="J17612" s="10" t="str">
        <f>HYPERLINK("https://www.boe.es/gazeta/dias/1834/05/06/pdfs/GMD-1834-75.pdf#page=4","Abrir facsímil")</f>
        <v>Abrir facsímil</v>
      </c>
      <c r="K17612" s="10" t="s">
        <v>37</v>
      </c>
    </row>
    <row r="17613" spans="1:11" ht="54" customHeight="1">
      <c r="A17613" s="9" t="s">
        <v>35690</v>
      </c>
      <c r="B17613" s="9" t="s">
        <v>35691</v>
      </c>
      <c r="C17613" s="9" t="s">
        <v>17</v>
      </c>
      <c r="D17613" s="9" t="s">
        <v>18</v>
      </c>
      <c r="E17613" s="10" t="s">
        <v>734</v>
      </c>
      <c r="F17613" s="9" t="s">
        <v>735</v>
      </c>
      <c r="G17613" s="10" t="s">
        <v>75</v>
      </c>
      <c r="H17613" s="9" t="s">
        <v>22</v>
      </c>
      <c r="I17613" s="9" t="s">
        <v>35692</v>
      </c>
      <c r="J17613" s="10" t="str">
        <f>HYPERLINK("https://www.boe.es/gazeta/dias/1834/05/06/pdfs/GMD-1834-75.pdf#page=4","Abrir facsímil")</f>
        <v>Abrir facsímil</v>
      </c>
      <c r="K17613" s="10" t="s">
        <v>24</v>
      </c>
    </row>
    <row r="17614" spans="1:11" ht="54" customHeight="1">
      <c r="A17614" s="9" t="s">
        <v>35693</v>
      </c>
      <c r="B17614" s="9" t="s">
        <v>35693</v>
      </c>
      <c r="C17614" s="9" t="s">
        <v>66</v>
      </c>
      <c r="D17614" s="9" t="s">
        <v>67</v>
      </c>
      <c r="E17614" s="10" t="s">
        <v>3054</v>
      </c>
      <c r="F17614" s="9" t="s">
        <v>3055</v>
      </c>
      <c r="G17614" s="10" t="s">
        <v>21</v>
      </c>
      <c r="H17614" s="9" t="s">
        <v>22</v>
      </c>
      <c r="I17614" s="9" t="s">
        <v>35694</v>
      </c>
      <c r="J17614" s="10" t="str">
        <f>HYPERLINK("https://www.boe.es/gazeta/dias/1834/10/06/pdfs/GMD-1834-234.pdf#page=3","Abrir facsímil")</f>
        <v>Abrir facsímil</v>
      </c>
      <c r="K17614" s="10" t="s">
        <v>24</v>
      </c>
    </row>
    <row r="17615" spans="1:11" ht="54" customHeight="1">
      <c r="A17615" s="9" t="s">
        <v>35695</v>
      </c>
      <c r="B17615" s="9" t="s">
        <v>35696</v>
      </c>
      <c r="C17615" s="9" t="s">
        <v>17</v>
      </c>
      <c r="D17615" s="9" t="s">
        <v>18</v>
      </c>
      <c r="E17615" s="10" t="s">
        <v>286</v>
      </c>
      <c r="F17615" s="9" t="s">
        <v>548</v>
      </c>
      <c r="G17615" s="10" t="s">
        <v>75</v>
      </c>
      <c r="H17615" s="9" t="s">
        <v>35</v>
      </c>
      <c r="I17615" s="9" t="s">
        <v>35697</v>
      </c>
      <c r="J17615" s="10" t="str">
        <f>HYPERLINK("https://www.boe.es/gazeta/dias/1834/08/30/pdfs/GMD-1834-196.pdf#page=4","Abrir facsímil")</f>
        <v>Abrir facsímil</v>
      </c>
      <c r="K17615" s="10" t="s">
        <v>37</v>
      </c>
    </row>
    <row r="17616" spans="1:11" ht="54" customHeight="1">
      <c r="A17616" s="9" t="s">
        <v>35698</v>
      </c>
      <c r="B17616" s="9" t="s">
        <v>35699</v>
      </c>
      <c r="C17616" s="9" t="s">
        <v>17</v>
      </c>
      <c r="D17616" s="9" t="s">
        <v>18</v>
      </c>
      <c r="E17616" s="10" t="s">
        <v>286</v>
      </c>
      <c r="F17616" s="9" t="s">
        <v>548</v>
      </c>
      <c r="G17616" s="10" t="s">
        <v>75</v>
      </c>
      <c r="H17616" s="9" t="s">
        <v>22</v>
      </c>
      <c r="I17616" s="9" t="s">
        <v>35700</v>
      </c>
      <c r="J17616" s="10" t="str">
        <f>HYPERLINK("https://www.boe.es/gazeta/dias/1834/08/30/pdfs/GMD-1834-196.pdf#page=4","Abrir facsímil")</f>
        <v>Abrir facsímil</v>
      </c>
      <c r="K17616" s="10" t="s">
        <v>24</v>
      </c>
    </row>
    <row r="17617" spans="1:11" ht="54" customHeight="1">
      <c r="A17617" s="9" t="s">
        <v>35701</v>
      </c>
      <c r="B17617" s="9" t="s">
        <v>35702</v>
      </c>
      <c r="C17617" s="9" t="s">
        <v>46</v>
      </c>
      <c r="D17617" s="9" t="s">
        <v>18</v>
      </c>
      <c r="E17617" s="10" t="s">
        <v>426</v>
      </c>
      <c r="F17617" s="9" t="s">
        <v>427</v>
      </c>
      <c r="G17617" s="10" t="s">
        <v>21</v>
      </c>
      <c r="H17617" s="9" t="s">
        <v>22</v>
      </c>
      <c r="I17617" s="9" t="s">
        <v>35703</v>
      </c>
      <c r="J17617" s="10" t="str">
        <f>HYPERLINK("https://www.boe.es/gazeta/dias/1834/10/04/pdfs/GMD-1834-232.pdf#page=3","Abrir facsímil")</f>
        <v>Abrir facsímil</v>
      </c>
      <c r="K17617" s="10" t="s">
        <v>24</v>
      </c>
    </row>
    <row r="17618" spans="1:11" ht="54" customHeight="1">
      <c r="A17618" s="9" t="s">
        <v>35704</v>
      </c>
      <c r="B17618" s="9" t="s">
        <v>35705</v>
      </c>
      <c r="C17618" s="9" t="s">
        <v>17</v>
      </c>
      <c r="D17618" s="9" t="s">
        <v>18</v>
      </c>
      <c r="E17618" s="10" t="s">
        <v>793</v>
      </c>
      <c r="F17618" s="9" t="s">
        <v>794</v>
      </c>
      <c r="G17618" s="10" t="s">
        <v>75</v>
      </c>
      <c r="H17618" s="9" t="s">
        <v>35</v>
      </c>
      <c r="I17618" s="9" t="s">
        <v>35706</v>
      </c>
      <c r="J17618" s="10" t="str">
        <f>HYPERLINK("https://www.boe.es/gazeta/dias/1834/10/08/pdfs/GMD-1834-236.pdf#page=4","Abrir facsímil")</f>
        <v>Abrir facsímil</v>
      </c>
      <c r="K17618" s="10" t="s">
        <v>37</v>
      </c>
    </row>
    <row r="17619" spans="1:11" ht="54" customHeight="1">
      <c r="A17619" s="9" t="s">
        <v>35707</v>
      </c>
      <c r="B17619" s="9" t="s">
        <v>35708</v>
      </c>
      <c r="C17619" s="9" t="s">
        <v>90</v>
      </c>
      <c r="D17619" s="9" t="s">
        <v>18</v>
      </c>
      <c r="E17619" s="10" t="s">
        <v>772</v>
      </c>
      <c r="F17619" s="9" t="s">
        <v>773</v>
      </c>
      <c r="G17619" s="10" t="s">
        <v>21</v>
      </c>
      <c r="H17619" s="9" t="s">
        <v>22</v>
      </c>
      <c r="I17619" s="9" t="s">
        <v>35709</v>
      </c>
      <c r="J17619" s="10" t="str">
        <f>HYPERLINK("https://www.boe.es/gazeta/dias/1834/09/18/pdfs/GMD-1834-216.pdf#page=3","Abrir facsímil")</f>
        <v>Abrir facsímil</v>
      </c>
      <c r="K17619" s="10" t="s">
        <v>24</v>
      </c>
    </row>
    <row r="17620" spans="1:11" ht="54" customHeight="1">
      <c r="A17620" s="9" t="s">
        <v>35710</v>
      </c>
      <c r="B17620" s="9" t="s">
        <v>35711</v>
      </c>
      <c r="C17620" s="9" t="s">
        <v>90</v>
      </c>
      <c r="D17620" s="9" t="s">
        <v>18</v>
      </c>
      <c r="E17620" s="10" t="s">
        <v>339</v>
      </c>
      <c r="F17620" s="9" t="s">
        <v>340</v>
      </c>
      <c r="G17620" s="10" t="s">
        <v>21</v>
      </c>
      <c r="H17620" s="9" t="s">
        <v>22</v>
      </c>
      <c r="I17620" s="9" t="s">
        <v>35712</v>
      </c>
      <c r="J17620" s="10" t="str">
        <f>HYPERLINK("https://www.boe.es/gazeta/dias/1834/05/02/pdfs/GMD-1834-71.pdf#page=3","Abrir facsímil")</f>
        <v>Abrir facsímil</v>
      </c>
      <c r="K17620" s="10" t="s">
        <v>24</v>
      </c>
    </row>
    <row r="17621" spans="1:11" ht="54" customHeight="1">
      <c r="A17621" s="9" t="s">
        <v>35713</v>
      </c>
      <c r="B17621" s="9" t="s">
        <v>35714</v>
      </c>
      <c r="C17621" s="9" t="s">
        <v>90</v>
      </c>
      <c r="D17621" s="9" t="s">
        <v>18</v>
      </c>
      <c r="E17621" s="10" t="s">
        <v>339</v>
      </c>
      <c r="F17621" s="9" t="s">
        <v>340</v>
      </c>
      <c r="G17621" s="10" t="s">
        <v>21</v>
      </c>
      <c r="H17621" s="9" t="s">
        <v>35</v>
      </c>
      <c r="I17621" s="9" t="s">
        <v>35715</v>
      </c>
      <c r="J17621" s="10" t="str">
        <f>HYPERLINK("https://www.boe.es/gazeta/dias/1834/05/02/pdfs/GMD-1834-71.pdf#page=3","Abrir facsímil")</f>
        <v>Abrir facsímil</v>
      </c>
      <c r="K17621" s="10" t="s">
        <v>37</v>
      </c>
    </row>
    <row r="17622" spans="1:11" ht="54" customHeight="1">
      <c r="A17622" s="9" t="s">
        <v>35716</v>
      </c>
      <c r="B17622" s="9" t="s">
        <v>35717</v>
      </c>
      <c r="C17622" s="9" t="s">
        <v>122</v>
      </c>
      <c r="D17622" s="9" t="s">
        <v>18</v>
      </c>
      <c r="E17622" s="10" t="s">
        <v>2260</v>
      </c>
      <c r="F17622" s="9" t="s">
        <v>2261</v>
      </c>
      <c r="G17622" s="10" t="s">
        <v>86</v>
      </c>
      <c r="H17622" s="9" t="s">
        <v>22</v>
      </c>
      <c r="I17622" s="9" t="s">
        <v>35718</v>
      </c>
      <c r="J17622" s="10" t="str">
        <f>HYPERLINK("https://www.boe.es/gazeta/dias/1834/11/13/pdfs/GMD-1834-272.pdf#page=2","Abrir facsímil")</f>
        <v>Abrir facsímil</v>
      </c>
      <c r="K17622" s="10" t="s">
        <v>24</v>
      </c>
    </row>
    <row r="17623" spans="1:11" ht="54" customHeight="1">
      <c r="A17623" s="9" t="s">
        <v>35719</v>
      </c>
      <c r="B17623" s="9" t="s">
        <v>35720</v>
      </c>
      <c r="C17623" s="9" t="s">
        <v>17</v>
      </c>
      <c r="D17623" s="9" t="s">
        <v>18</v>
      </c>
      <c r="E17623" s="10" t="s">
        <v>1575</v>
      </c>
      <c r="F17623" s="9" t="s">
        <v>1576</v>
      </c>
      <c r="G17623" s="10" t="s">
        <v>34</v>
      </c>
      <c r="H17623" s="9" t="s">
        <v>22</v>
      </c>
      <c r="I17623" s="9" t="s">
        <v>35721</v>
      </c>
      <c r="J17623" s="10" t="str">
        <f>HYPERLINK("https://www.boe.es/gazeta/dias/1834/11/24/pdfs/GMD-1834-283.pdf#page=1","Abrir facsímil")</f>
        <v>Abrir facsímil</v>
      </c>
      <c r="K17623" s="10" t="s">
        <v>24</v>
      </c>
    </row>
    <row r="17624" spans="1:11" ht="54" customHeight="1">
      <c r="A17624" s="9" t="s">
        <v>35722</v>
      </c>
      <c r="B17624" s="9" t="s">
        <v>35723</v>
      </c>
      <c r="C17624" s="9" t="s">
        <v>17</v>
      </c>
      <c r="D17624" s="9" t="s">
        <v>18</v>
      </c>
      <c r="E17624" s="10" t="s">
        <v>416</v>
      </c>
      <c r="F17624" s="9" t="s">
        <v>1130</v>
      </c>
      <c r="G17624" s="10" t="s">
        <v>75</v>
      </c>
      <c r="H17624" s="9" t="s">
        <v>22</v>
      </c>
      <c r="I17624" s="9" t="s">
        <v>35724</v>
      </c>
      <c r="J17624" s="10" t="str">
        <f>HYPERLINK("https://www.boe.es/gazeta/dias/1834/10/02/pdfs/GMD-1834-230.pdf#page=4","Abrir facsímil")</f>
        <v>Abrir facsímil</v>
      </c>
      <c r="K17624" s="10" t="s">
        <v>24</v>
      </c>
    </row>
    <row r="17625" spans="1:11" ht="54" customHeight="1">
      <c r="A17625" s="9" t="s">
        <v>35725</v>
      </c>
      <c r="B17625" s="9" t="s">
        <v>35726</v>
      </c>
      <c r="C17625" s="9" t="s">
        <v>17</v>
      </c>
      <c r="D17625" s="9" t="s">
        <v>18</v>
      </c>
      <c r="E17625" s="10" t="s">
        <v>375</v>
      </c>
      <c r="F17625" s="9" t="s">
        <v>4983</v>
      </c>
      <c r="G17625" s="10" t="s">
        <v>86</v>
      </c>
      <c r="H17625" s="9" t="s">
        <v>35</v>
      </c>
      <c r="I17625" s="9" t="s">
        <v>35727</v>
      </c>
      <c r="J17625" s="10" t="str">
        <f>HYPERLINK("https://www.boe.es/gazeta/dias/1834/08/21/pdfs/GMD-C-1834-187.pdf#page=2","Abrir facsímil")</f>
        <v>Abrir facsímil</v>
      </c>
      <c r="K17625" s="10" t="s">
        <v>37</v>
      </c>
    </row>
    <row r="17626" spans="1:11" ht="54" customHeight="1">
      <c r="A17626" s="9" t="s">
        <v>35728</v>
      </c>
      <c r="B17626" s="9" t="s">
        <v>35729</v>
      </c>
      <c r="C17626" s="9" t="s">
        <v>17</v>
      </c>
      <c r="D17626" s="9" t="s">
        <v>18</v>
      </c>
      <c r="E17626" s="10" t="s">
        <v>375</v>
      </c>
      <c r="F17626" s="9" t="s">
        <v>4983</v>
      </c>
      <c r="G17626" s="10" t="s">
        <v>86</v>
      </c>
      <c r="H17626" s="9" t="s">
        <v>35</v>
      </c>
      <c r="I17626" s="9" t="s">
        <v>35727</v>
      </c>
      <c r="J17626" s="10" t="str">
        <f>HYPERLINK("https://www.boe.es/gazeta/dias/1834/08/21/pdfs/GMD-C-1834-187.pdf#page=2","Abrir facsímil")</f>
        <v>Abrir facsímil</v>
      </c>
      <c r="K17626" s="10" t="s">
        <v>37</v>
      </c>
    </row>
    <row r="17627" spans="1:11" ht="54" customHeight="1">
      <c r="A17627" s="9" t="s">
        <v>35730</v>
      </c>
      <c r="B17627" s="9" t="s">
        <v>35731</v>
      </c>
      <c r="C17627" s="9" t="s">
        <v>46</v>
      </c>
      <c r="D17627" s="9" t="s">
        <v>101</v>
      </c>
      <c r="E17627" s="10" t="s">
        <v>1119</v>
      </c>
      <c r="F17627" s="9" t="s">
        <v>1120</v>
      </c>
      <c r="G17627" s="10" t="s">
        <v>21</v>
      </c>
      <c r="H17627" s="9" t="s">
        <v>22</v>
      </c>
      <c r="I17627" s="9" t="s">
        <v>35732</v>
      </c>
      <c r="J17627" s="10" t="str">
        <f>HYPERLINK("https://www.boe.es/gazeta/dias/1834/07/17/pdfs/GMD-1834-150.pdf#page=3","Abrir facsímil")</f>
        <v>Abrir facsímil</v>
      </c>
      <c r="K17627" s="10" t="s">
        <v>24</v>
      </c>
    </row>
    <row r="17628" spans="1:11" ht="54" customHeight="1">
      <c r="A17628" s="9" t="s">
        <v>35733</v>
      </c>
      <c r="B17628" s="9" t="s">
        <v>35734</v>
      </c>
      <c r="C17628" s="9" t="s">
        <v>17</v>
      </c>
      <c r="D17628" s="9" t="s">
        <v>18</v>
      </c>
      <c r="E17628" s="10" t="s">
        <v>702</v>
      </c>
      <c r="F17628" s="9" t="s">
        <v>2427</v>
      </c>
      <c r="G17628" s="10" t="s">
        <v>75</v>
      </c>
      <c r="H17628" s="9" t="s">
        <v>22</v>
      </c>
      <c r="I17628" s="9" t="s">
        <v>35735</v>
      </c>
      <c r="J17628" s="10" t="str">
        <f>HYPERLINK("https://www.boe.es/gazeta/dias/1834/11/22/pdfs/GMD-1834-281.pdf#page=4","Abrir facsímil")</f>
        <v>Abrir facsímil</v>
      </c>
      <c r="K17628" s="10" t="s">
        <v>24</v>
      </c>
    </row>
    <row r="17629" spans="1:11" ht="54" customHeight="1">
      <c r="A17629" s="9" t="s">
        <v>35736</v>
      </c>
      <c r="B17629" s="9" t="s">
        <v>35737</v>
      </c>
      <c r="C17629" s="9" t="s">
        <v>17</v>
      </c>
      <c r="D17629" s="9" t="s">
        <v>55</v>
      </c>
      <c r="E17629" s="10" t="s">
        <v>299</v>
      </c>
      <c r="F17629" s="9" t="s">
        <v>300</v>
      </c>
      <c r="G17629" s="10" t="s">
        <v>21</v>
      </c>
      <c r="H17629" s="9" t="s">
        <v>22</v>
      </c>
      <c r="I17629" s="9" t="s">
        <v>35738</v>
      </c>
      <c r="J17629" s="10" t="str">
        <f>HYPERLINK("https://www.boe.es/gazeta/dias/1834/12/12/pdfs/GMD-1834-301.pdf#page=3","Abrir facsímil")</f>
        <v>Abrir facsímil</v>
      </c>
      <c r="K17629" s="10" t="s">
        <v>24</v>
      </c>
    </row>
    <row r="17630" spans="1:11" ht="54" customHeight="1">
      <c r="A17630" s="9" t="s">
        <v>35739</v>
      </c>
      <c r="B17630" s="9" t="s">
        <v>35739</v>
      </c>
      <c r="C17630" s="9" t="s">
        <v>90</v>
      </c>
      <c r="D17630" s="9" t="s">
        <v>18</v>
      </c>
      <c r="E17630" s="10" t="s">
        <v>375</v>
      </c>
      <c r="F17630" s="9" t="s">
        <v>4983</v>
      </c>
      <c r="G17630" s="10" t="s">
        <v>86</v>
      </c>
      <c r="H17630" s="9" t="s">
        <v>22</v>
      </c>
      <c r="I17630" s="9" t="s">
        <v>35740</v>
      </c>
      <c r="J17630" s="10" t="str">
        <f>HYPERLINK("https://www.boe.es/gazeta/dias/1834/08/21/pdfs/GMD-C-1834-187.pdf#page=2","Abrir facsímil")</f>
        <v>Abrir facsímil</v>
      </c>
      <c r="K17630" s="10" t="s">
        <v>24</v>
      </c>
    </row>
    <row r="17631" spans="1:11" ht="54" customHeight="1">
      <c r="A17631" s="9" t="s">
        <v>35739</v>
      </c>
      <c r="B17631" s="9" t="s">
        <v>35739</v>
      </c>
      <c r="C17631" s="9" t="s">
        <v>46</v>
      </c>
      <c r="D17631" s="9" t="s">
        <v>101</v>
      </c>
      <c r="E17631" s="10" t="s">
        <v>647</v>
      </c>
      <c r="F17631" s="9" t="s">
        <v>648</v>
      </c>
      <c r="G17631" s="10" t="s">
        <v>86</v>
      </c>
      <c r="H17631" s="9" t="s">
        <v>22</v>
      </c>
      <c r="I17631" s="9" t="s">
        <v>35741</v>
      </c>
      <c r="J17631" s="10" t="str">
        <f>HYPERLINK("https://www.boe.es/gazeta/dias/1834/10/21/pdfs/GMD-C-1834-249.pdf#page=2","Abrir facsímil")</f>
        <v>Abrir facsímil</v>
      </c>
      <c r="K17631" s="10" t="s">
        <v>24</v>
      </c>
    </row>
    <row r="17632" spans="1:11" ht="54" customHeight="1">
      <c r="A17632" s="9" t="s">
        <v>35742</v>
      </c>
      <c r="B17632" s="9" t="s">
        <v>35743</v>
      </c>
      <c r="C17632" s="9" t="s">
        <v>17</v>
      </c>
      <c r="D17632" s="9" t="s">
        <v>18</v>
      </c>
      <c r="E17632" s="10" t="s">
        <v>606</v>
      </c>
      <c r="F17632" s="9" t="s">
        <v>607</v>
      </c>
      <c r="G17632" s="10" t="s">
        <v>21</v>
      </c>
      <c r="H17632" s="9" t="s">
        <v>22</v>
      </c>
      <c r="I17632" s="9" t="s">
        <v>35744</v>
      </c>
      <c r="J17632" s="10" t="str">
        <f>HYPERLINK("https://www.boe.es/gazeta/dias/1834/06/23/pdfs/GMD-1834-126.pdf#page=3","Abrir facsímil")</f>
        <v>Abrir facsímil</v>
      </c>
      <c r="K17632" s="10" t="s">
        <v>24</v>
      </c>
    </row>
    <row r="17633" spans="1:11" ht="54" customHeight="1">
      <c r="A17633" s="9" t="s">
        <v>35745</v>
      </c>
      <c r="B17633" s="9" t="s">
        <v>35746</v>
      </c>
      <c r="C17633" s="9" t="s">
        <v>17</v>
      </c>
      <c r="D17633" s="9" t="s">
        <v>18</v>
      </c>
      <c r="E17633" s="10" t="s">
        <v>1402</v>
      </c>
      <c r="F17633" s="9" t="s">
        <v>1403</v>
      </c>
      <c r="G17633" s="10" t="s">
        <v>86</v>
      </c>
      <c r="H17633" s="9" t="s">
        <v>22</v>
      </c>
      <c r="I17633" s="9" t="s">
        <v>35747</v>
      </c>
      <c r="J17633" s="10" t="str">
        <f>HYPERLINK("https://www.boe.es/gazeta/dias/1834/05/05/pdfs/I00347-00348.pdf#page=2","Abrir facsímil")</f>
        <v>Abrir facsímil</v>
      </c>
      <c r="K17633" s="10" t="s">
        <v>24</v>
      </c>
    </row>
    <row r="17634" spans="1:11" ht="54" customHeight="1">
      <c r="A17634" s="9" t="s">
        <v>35745</v>
      </c>
      <c r="B17634" s="9" t="s">
        <v>35746</v>
      </c>
      <c r="C17634" s="9" t="s">
        <v>17</v>
      </c>
      <c r="D17634" s="9" t="s">
        <v>18</v>
      </c>
      <c r="E17634" s="10" t="s">
        <v>1402</v>
      </c>
      <c r="F17634" s="9" t="s">
        <v>1403</v>
      </c>
      <c r="G17634" s="10" t="s">
        <v>176</v>
      </c>
      <c r="H17634" s="9" t="s">
        <v>22</v>
      </c>
      <c r="I17634" s="9" t="s">
        <v>35748</v>
      </c>
      <c r="J17634" s="10" t="str">
        <f>HYPERLINK("https://www.boe.es/gazeta/dias/1834/05/05/pdfs/GMD-1834-74.pdf#page=6","Abrir facsímil")</f>
        <v>Abrir facsímil</v>
      </c>
      <c r="K17634" s="10" t="s">
        <v>24</v>
      </c>
    </row>
    <row r="17635" spans="1:11" ht="54" customHeight="1">
      <c r="A17635" s="9" t="s">
        <v>35749</v>
      </c>
      <c r="B17635" s="9" t="s">
        <v>35750</v>
      </c>
      <c r="C17635" s="9" t="s">
        <v>17</v>
      </c>
      <c r="D17635" s="9" t="s">
        <v>18</v>
      </c>
      <c r="E17635" s="10" t="s">
        <v>1307</v>
      </c>
      <c r="F17635" s="9" t="s">
        <v>1308</v>
      </c>
      <c r="G17635" s="10" t="s">
        <v>75</v>
      </c>
      <c r="H17635" s="9" t="s">
        <v>22</v>
      </c>
      <c r="I17635" s="9" t="s">
        <v>35751</v>
      </c>
      <c r="J17635" s="10" t="str">
        <f>HYPERLINK("https://www.boe.es/gazeta/dias/1834/08/25/pdfs/GMD-1834-191.pdf#page=4","Abrir facsímil")</f>
        <v>Abrir facsímil</v>
      </c>
      <c r="K17635" s="10" t="s">
        <v>24</v>
      </c>
    </row>
    <row r="17636" spans="1:11" ht="54" customHeight="1">
      <c r="A17636" s="9" t="s">
        <v>35752</v>
      </c>
      <c r="B17636" s="9" t="s">
        <v>35753</v>
      </c>
      <c r="C17636" s="9" t="s">
        <v>17</v>
      </c>
      <c r="D17636" s="9" t="s">
        <v>18</v>
      </c>
      <c r="E17636" s="10" t="s">
        <v>4637</v>
      </c>
      <c r="F17636" s="9" t="s">
        <v>4638</v>
      </c>
      <c r="G17636" s="10" t="s">
        <v>21</v>
      </c>
      <c r="H17636" s="9" t="s">
        <v>22</v>
      </c>
      <c r="I17636" s="9" t="s">
        <v>35754</v>
      </c>
      <c r="J17636" s="10" t="str">
        <f>HYPERLINK("https://www.boe.es/gazeta/dias/1834/12/08/pdfs/GMD-1834-297.pdf#page=3","Abrir facsímil")</f>
        <v>Abrir facsímil</v>
      </c>
      <c r="K17636" s="10" t="s">
        <v>24</v>
      </c>
    </row>
    <row r="17637" spans="1:11" ht="54" customHeight="1">
      <c r="A17637" s="9" t="s">
        <v>35755</v>
      </c>
      <c r="B17637" s="9" t="s">
        <v>35756</v>
      </c>
      <c r="C17637" s="9" t="s">
        <v>46</v>
      </c>
      <c r="D17637" s="9" t="s">
        <v>55</v>
      </c>
      <c r="E17637" s="10" t="s">
        <v>1597</v>
      </c>
      <c r="F17637" s="9" t="s">
        <v>1598</v>
      </c>
      <c r="G17637" s="10" t="s">
        <v>75</v>
      </c>
      <c r="H17637" s="9" t="s">
        <v>22</v>
      </c>
      <c r="I17637" s="9" t="s">
        <v>35757</v>
      </c>
      <c r="J17637" s="10" t="str">
        <f>HYPERLINK("https://www.boe.es/gazeta/dias/1834/10/03/pdfs/GMD-1834-231.pdf#page=4","Abrir facsímil")</f>
        <v>Abrir facsímil</v>
      </c>
      <c r="K17637" s="10" t="s">
        <v>24</v>
      </c>
    </row>
    <row r="17638" spans="1:11" ht="54" customHeight="1">
      <c r="A17638" s="9" t="s">
        <v>35758</v>
      </c>
      <c r="B17638" s="9" t="s">
        <v>35759</v>
      </c>
      <c r="C17638" s="9" t="s">
        <v>17</v>
      </c>
      <c r="D17638" s="9" t="s">
        <v>18</v>
      </c>
      <c r="E17638" s="10" t="s">
        <v>552</v>
      </c>
      <c r="F17638" s="9" t="s">
        <v>553</v>
      </c>
      <c r="G17638" s="10" t="s">
        <v>75</v>
      </c>
      <c r="H17638" s="9" t="s">
        <v>22</v>
      </c>
      <c r="I17638" s="9" t="s">
        <v>35760</v>
      </c>
      <c r="J17638" s="10" t="str">
        <f>HYPERLINK("https://www.boe.es/gazeta/dias/1834/07/30/pdfs/GMD-1834-163.pdf#page=4","Abrir facsímil")</f>
        <v>Abrir facsímil</v>
      </c>
      <c r="K17638" s="10" t="s">
        <v>24</v>
      </c>
    </row>
    <row r="17639" spans="1:11" ht="54" customHeight="1">
      <c r="A17639" s="9" t="s">
        <v>35761</v>
      </c>
      <c r="B17639" s="9" t="s">
        <v>35762</v>
      </c>
      <c r="C17639" s="9" t="s">
        <v>17</v>
      </c>
      <c r="D17639" s="9" t="s">
        <v>18</v>
      </c>
      <c r="E17639" s="10" t="s">
        <v>294</v>
      </c>
      <c r="F17639" s="9" t="s">
        <v>295</v>
      </c>
      <c r="G17639" s="10" t="s">
        <v>75</v>
      </c>
      <c r="H17639" s="9" t="s">
        <v>22</v>
      </c>
      <c r="I17639" s="9" t="s">
        <v>35763</v>
      </c>
      <c r="J17639" s="10" t="str">
        <f>HYPERLINK("https://www.boe.es/gazeta/dias/1834/09/27/pdfs/GMD-1834-225.pdf#page=4","Abrir facsímil")</f>
        <v>Abrir facsímil</v>
      </c>
      <c r="K17639" s="10" t="s">
        <v>24</v>
      </c>
    </row>
    <row r="17640" spans="1:11" ht="54" customHeight="1">
      <c r="A17640" s="9" t="s">
        <v>35764</v>
      </c>
      <c r="B17640" s="9" t="s">
        <v>35765</v>
      </c>
      <c r="C17640" s="9" t="s">
        <v>857</v>
      </c>
      <c r="D17640" s="9" t="s">
        <v>18</v>
      </c>
      <c r="E17640" s="10" t="s">
        <v>823</v>
      </c>
      <c r="F17640" s="9" t="s">
        <v>824</v>
      </c>
      <c r="G17640" s="10" t="s">
        <v>176</v>
      </c>
      <c r="H17640" s="9" t="s">
        <v>35</v>
      </c>
      <c r="I17640" s="9" t="s">
        <v>35766</v>
      </c>
      <c r="J17640" s="10" t="str">
        <f>HYPERLINK("https://www.boe.es/gazeta/dias/1834/07/23/pdfs/GMD-1834-156.pdf#page=6","Abrir facsímil")</f>
        <v>Abrir facsímil</v>
      </c>
      <c r="K17640" s="10" t="s">
        <v>37</v>
      </c>
    </row>
    <row r="17641" spans="1:11" ht="54" customHeight="1">
      <c r="A17641" s="9" t="s">
        <v>35767</v>
      </c>
      <c r="B17641" s="9" t="s">
        <v>35768</v>
      </c>
      <c r="C17641" s="9" t="s">
        <v>17</v>
      </c>
      <c r="D17641" s="9" t="s">
        <v>18</v>
      </c>
      <c r="E17641" s="10" t="s">
        <v>5435</v>
      </c>
      <c r="F17641" s="9" t="s">
        <v>5436</v>
      </c>
      <c r="G17641" s="10" t="s">
        <v>75</v>
      </c>
      <c r="H17641" s="9" t="s">
        <v>35</v>
      </c>
      <c r="I17641" s="9" t="s">
        <v>35769</v>
      </c>
      <c r="J17641" s="10" t="str">
        <f>HYPERLINK("https://www.boe.es/gazeta/dias/1834/05/11/pdfs/GMD-1834-80.pdf#page=4","Abrir facsímil")</f>
        <v>Abrir facsímil</v>
      </c>
      <c r="K17641" s="10" t="s">
        <v>37</v>
      </c>
    </row>
    <row r="17642" spans="1:11" ht="54" customHeight="1">
      <c r="A17642" s="9" t="s">
        <v>35770</v>
      </c>
      <c r="B17642" s="9" t="s">
        <v>35771</v>
      </c>
      <c r="C17642" s="9" t="s">
        <v>17</v>
      </c>
      <c r="D17642" s="9" t="s">
        <v>18</v>
      </c>
      <c r="E17642" s="10" t="s">
        <v>627</v>
      </c>
      <c r="F17642" s="9" t="s">
        <v>1013</v>
      </c>
      <c r="G17642" s="10" t="s">
        <v>75</v>
      </c>
      <c r="H17642" s="9" t="s">
        <v>35</v>
      </c>
      <c r="I17642" s="9" t="s">
        <v>35772</v>
      </c>
      <c r="J17642" s="10" t="str">
        <f>HYPERLINK("https://www.boe.es/gazeta/dias/1834/09/22/pdfs/GMD-1834-220.pdf#page=4","Abrir facsímil")</f>
        <v>Abrir facsímil</v>
      </c>
      <c r="K17642" s="10" t="s">
        <v>37</v>
      </c>
    </row>
    <row r="17643" spans="1:11" ht="54" customHeight="1">
      <c r="A17643" s="9" t="s">
        <v>35773</v>
      </c>
      <c r="B17643" s="9" t="s">
        <v>35774</v>
      </c>
      <c r="C17643" s="9" t="s">
        <v>66</v>
      </c>
      <c r="D17643" s="9" t="s">
        <v>18</v>
      </c>
      <c r="E17643" s="10" t="s">
        <v>19</v>
      </c>
      <c r="F17643" s="9" t="s">
        <v>107</v>
      </c>
      <c r="G17643" s="10" t="s">
        <v>75</v>
      </c>
      <c r="H17643" s="9" t="s">
        <v>22</v>
      </c>
      <c r="I17643" s="9" t="s">
        <v>35775</v>
      </c>
      <c r="J17643" s="10" t="str">
        <f>HYPERLINK("https://www.boe.es/gazeta/dias/1834/08/17/pdfs/GMD-1834-182.pdf#page=4","Abrir facsímil")</f>
        <v>Abrir facsímil</v>
      </c>
      <c r="K17643" s="10" t="s">
        <v>24</v>
      </c>
    </row>
    <row r="17644" spans="1:11" ht="54" customHeight="1">
      <c r="A17644" s="9" t="s">
        <v>35776</v>
      </c>
      <c r="B17644" s="9" t="s">
        <v>35777</v>
      </c>
      <c r="C17644" s="9" t="s">
        <v>857</v>
      </c>
      <c r="D17644" s="9" t="s">
        <v>18</v>
      </c>
      <c r="E17644" s="10" t="s">
        <v>823</v>
      </c>
      <c r="F17644" s="9" t="s">
        <v>824</v>
      </c>
      <c r="G17644" s="10" t="s">
        <v>176</v>
      </c>
      <c r="H17644" s="9" t="s">
        <v>22</v>
      </c>
      <c r="I17644" s="9" t="s">
        <v>35778</v>
      </c>
      <c r="J17644" s="10" t="str">
        <f>HYPERLINK("https://www.boe.es/gazeta/dias/1834/07/23/pdfs/GMD-1834-156.pdf#page=6","Abrir facsímil")</f>
        <v>Abrir facsímil</v>
      </c>
      <c r="K17644" s="10" t="s">
        <v>24</v>
      </c>
    </row>
    <row r="17645" spans="1:11" ht="54" customHeight="1">
      <c r="A17645" s="9" t="s">
        <v>35779</v>
      </c>
      <c r="B17645" s="9" t="s">
        <v>35780</v>
      </c>
      <c r="C17645" s="9" t="s">
        <v>17</v>
      </c>
      <c r="D17645" s="9" t="s">
        <v>40</v>
      </c>
      <c r="E17645" s="10" t="s">
        <v>956</v>
      </c>
      <c r="F17645" s="9" t="s">
        <v>1508</v>
      </c>
      <c r="G17645" s="10" t="s">
        <v>75</v>
      </c>
      <c r="H17645" s="9" t="s">
        <v>22</v>
      </c>
      <c r="I17645" s="9" t="s">
        <v>35781</v>
      </c>
      <c r="J17645" s="10" t="str">
        <f>HYPERLINK("https://www.boe.es/gazeta/dias/1834/08/10/pdfs/GMD-1834-175.pdf#page=4","Abrir facsímil")</f>
        <v>Abrir facsímil</v>
      </c>
      <c r="K17645" s="10" t="s">
        <v>24</v>
      </c>
    </row>
    <row r="17646" spans="1:11" ht="54" customHeight="1">
      <c r="A17646" s="9" t="s">
        <v>35782</v>
      </c>
      <c r="B17646" s="9" t="s">
        <v>35783</v>
      </c>
      <c r="C17646" s="9" t="s">
        <v>17</v>
      </c>
      <c r="D17646" s="9" t="s">
        <v>40</v>
      </c>
      <c r="E17646" s="10" t="s">
        <v>1281</v>
      </c>
      <c r="F17646" s="9" t="s">
        <v>1282</v>
      </c>
      <c r="G17646" s="10" t="s">
        <v>75</v>
      </c>
      <c r="H17646" s="9" t="s">
        <v>35</v>
      </c>
      <c r="I17646" s="9" t="s">
        <v>35784</v>
      </c>
      <c r="J17646" s="10" t="str">
        <f>HYPERLINK("https://www.boe.es/gazeta/dias/1834/10/27/pdfs/GMD-1834-255.pdf#page=4","Abrir facsímil")</f>
        <v>Abrir facsímil</v>
      </c>
      <c r="K17646" s="10" t="s">
        <v>37</v>
      </c>
    </row>
    <row r="17647" spans="1:11" ht="54" customHeight="1">
      <c r="A17647" s="9" t="s">
        <v>35785</v>
      </c>
      <c r="B17647" s="9" t="s">
        <v>35786</v>
      </c>
      <c r="C17647" s="9" t="s">
        <v>17</v>
      </c>
      <c r="D17647" s="9" t="s">
        <v>18</v>
      </c>
      <c r="E17647" s="10" t="s">
        <v>183</v>
      </c>
      <c r="F17647" s="9" t="s">
        <v>184</v>
      </c>
      <c r="G17647" s="10" t="s">
        <v>75</v>
      </c>
      <c r="H17647" s="9" t="s">
        <v>22</v>
      </c>
      <c r="I17647" s="9" t="s">
        <v>35787</v>
      </c>
      <c r="J17647" s="10" t="str">
        <f>HYPERLINK("https://www.boe.es/gazeta/dias/1834/03/18/pdfs/GMD-1834-34.pdf#page=4","Abrir facsímil")</f>
        <v>Abrir facsímil</v>
      </c>
      <c r="K17647" s="10" t="s">
        <v>24</v>
      </c>
    </row>
    <row r="17648" spans="1:11" ht="54" customHeight="1">
      <c r="A17648" s="9" t="s">
        <v>35788</v>
      </c>
      <c r="B17648" s="9" t="s">
        <v>35789</v>
      </c>
      <c r="C17648" s="9" t="s">
        <v>17</v>
      </c>
      <c r="D17648" s="9" t="s">
        <v>18</v>
      </c>
      <c r="E17648" s="10" t="s">
        <v>3248</v>
      </c>
      <c r="F17648" s="9" t="s">
        <v>3249</v>
      </c>
      <c r="G17648" s="10" t="s">
        <v>75</v>
      </c>
      <c r="H17648" s="9" t="s">
        <v>22</v>
      </c>
      <c r="I17648" s="9" t="s">
        <v>35790</v>
      </c>
      <c r="J17648" s="10" t="str">
        <f>HYPERLINK("https://www.boe.es/gazeta/dias/1834/09/20/pdfs/GMD-1834-218.pdf#page=4","Abrir facsímil")</f>
        <v>Abrir facsímil</v>
      </c>
      <c r="K17648" s="10" t="s">
        <v>24</v>
      </c>
    </row>
    <row r="17649" spans="1:11" ht="54" customHeight="1">
      <c r="A17649" s="9" t="s">
        <v>35791</v>
      </c>
      <c r="B17649" s="9" t="s">
        <v>35792</v>
      </c>
      <c r="C17649" s="9" t="s">
        <v>17</v>
      </c>
      <c r="D17649" s="9" t="s">
        <v>18</v>
      </c>
      <c r="E17649" s="10" t="s">
        <v>2203</v>
      </c>
      <c r="F17649" s="9" t="s">
        <v>3917</v>
      </c>
      <c r="G17649" s="10" t="s">
        <v>75</v>
      </c>
      <c r="H17649" s="9" t="s">
        <v>22</v>
      </c>
      <c r="I17649" s="9" t="s">
        <v>35793</v>
      </c>
      <c r="J17649" s="10" t="str">
        <f>HYPERLINK("https://www.boe.es/gazeta/dias/1834/09/10/pdfs/GMD-1834-208.pdf#page=4","Abrir facsímil")</f>
        <v>Abrir facsímil</v>
      </c>
      <c r="K17649" s="10" t="s">
        <v>24</v>
      </c>
    </row>
    <row r="17650" spans="1:11" ht="54" customHeight="1">
      <c r="A17650" s="9" t="s">
        <v>35794</v>
      </c>
      <c r="B17650" s="9" t="s">
        <v>35795</v>
      </c>
      <c r="C17650" s="9" t="s">
        <v>17</v>
      </c>
      <c r="D17650" s="9" t="s">
        <v>40</v>
      </c>
      <c r="E17650" s="10" t="s">
        <v>642</v>
      </c>
      <c r="F17650" s="9" t="s">
        <v>1843</v>
      </c>
      <c r="G17650" s="10" t="s">
        <v>75</v>
      </c>
      <c r="H17650" s="9" t="s">
        <v>22</v>
      </c>
      <c r="I17650" s="9" t="s">
        <v>35796</v>
      </c>
      <c r="J17650" s="10" t="str">
        <f>HYPERLINK("https://www.boe.es/gazeta/dias/1834/11/12/pdfs/GMD-1834-271.pdf#page=4","Abrir facsímil")</f>
        <v>Abrir facsímil</v>
      </c>
      <c r="K17650" s="10" t="s">
        <v>24</v>
      </c>
    </row>
    <row r="17651" spans="1:11" ht="54" customHeight="1">
      <c r="A17651" s="9" t="s">
        <v>35797</v>
      </c>
      <c r="B17651" s="9" t="s">
        <v>35798</v>
      </c>
      <c r="C17651" s="9" t="s">
        <v>17</v>
      </c>
      <c r="D17651" s="9" t="s">
        <v>18</v>
      </c>
      <c r="E17651" s="10" t="s">
        <v>1307</v>
      </c>
      <c r="F17651" s="9" t="s">
        <v>1308</v>
      </c>
      <c r="G17651" s="10" t="s">
        <v>75</v>
      </c>
      <c r="H17651" s="9" t="s">
        <v>22</v>
      </c>
      <c r="I17651" s="9" t="s">
        <v>35799</v>
      </c>
      <c r="J17651" s="10" t="str">
        <f>HYPERLINK("https://www.boe.es/gazeta/dias/1834/08/25/pdfs/GMD-1834-191.pdf#page=4","Abrir facsímil")</f>
        <v>Abrir facsímil</v>
      </c>
      <c r="K17651" s="10" t="s">
        <v>24</v>
      </c>
    </row>
    <row r="17652" spans="1:11" ht="54" customHeight="1">
      <c r="A17652" s="9" t="s">
        <v>35800</v>
      </c>
      <c r="B17652" s="9" t="s">
        <v>35801</v>
      </c>
      <c r="C17652" s="9" t="s">
        <v>66</v>
      </c>
      <c r="D17652" s="9" t="s">
        <v>18</v>
      </c>
      <c r="E17652" s="10" t="s">
        <v>729</v>
      </c>
      <c r="F17652" s="9" t="s">
        <v>730</v>
      </c>
      <c r="G17652" s="10" t="s">
        <v>75</v>
      </c>
      <c r="H17652" s="9" t="s">
        <v>22</v>
      </c>
      <c r="I17652" s="9" t="s">
        <v>35802</v>
      </c>
      <c r="J17652" s="10" t="str">
        <f>HYPERLINK("https://www.boe.es/gazeta/dias/1834/04/13/pdfs/GMD-1834-52.pdf#page=4","Abrir facsímil")</f>
        <v>Abrir facsímil</v>
      </c>
      <c r="K17652" s="10" t="s">
        <v>24</v>
      </c>
    </row>
    <row r="17653" spans="1:11" ht="54" customHeight="1">
      <c r="A17653" s="9" t="s">
        <v>35803</v>
      </c>
      <c r="B17653" s="9" t="s">
        <v>35804</v>
      </c>
      <c r="C17653" s="9" t="s">
        <v>46</v>
      </c>
      <c r="D17653" s="9" t="s">
        <v>18</v>
      </c>
      <c r="E17653" s="10" t="s">
        <v>3066</v>
      </c>
      <c r="F17653" s="9" t="s">
        <v>3188</v>
      </c>
      <c r="G17653" s="10" t="s">
        <v>86</v>
      </c>
      <c r="H17653" s="9" t="s">
        <v>22</v>
      </c>
      <c r="I17653" s="9" t="s">
        <v>35805</v>
      </c>
      <c r="J17653" s="10" t="str">
        <f>HYPERLINK("https://www.boe.es/gazeta/dias/1834/08/03/pdfs/I00721-00722.pdf#page=2","Abrir facsímil")</f>
        <v>Abrir facsímil</v>
      </c>
      <c r="K17653" s="10" t="s">
        <v>24</v>
      </c>
    </row>
    <row r="17654" spans="1:11" ht="54" customHeight="1">
      <c r="A17654" s="9" t="s">
        <v>35803</v>
      </c>
      <c r="B17654" s="9" t="s">
        <v>35804</v>
      </c>
      <c r="C17654" s="9" t="s">
        <v>46</v>
      </c>
      <c r="D17654" s="9" t="s">
        <v>18</v>
      </c>
      <c r="E17654" s="10" t="s">
        <v>3066</v>
      </c>
      <c r="F17654" s="9" t="s">
        <v>3188</v>
      </c>
      <c r="G17654" s="10" t="s">
        <v>75</v>
      </c>
      <c r="H17654" s="9" t="s">
        <v>22</v>
      </c>
      <c r="I17654" s="9" t="s">
        <v>35805</v>
      </c>
      <c r="J17654" s="10" t="str">
        <f>HYPERLINK("https://www.boe.es/gazeta/dias/1834/08/03/pdfs/GMD-1834-167.pdf#page=4","Abrir facsímil")</f>
        <v>Abrir facsímil</v>
      </c>
      <c r="K17654" s="10" t="s">
        <v>24</v>
      </c>
    </row>
    <row r="17655" spans="1:11" ht="54" customHeight="1">
      <c r="A17655" s="9" t="s">
        <v>35806</v>
      </c>
      <c r="B17655" s="9" t="s">
        <v>35807</v>
      </c>
      <c r="C17655" s="9" t="s">
        <v>17</v>
      </c>
      <c r="D17655" s="9" t="s">
        <v>18</v>
      </c>
      <c r="E17655" s="10" t="s">
        <v>416</v>
      </c>
      <c r="F17655" s="9" t="s">
        <v>1130</v>
      </c>
      <c r="G17655" s="10" t="s">
        <v>75</v>
      </c>
      <c r="H17655" s="9" t="s">
        <v>22</v>
      </c>
      <c r="I17655" s="9" t="s">
        <v>35808</v>
      </c>
      <c r="J17655" s="10" t="str">
        <f>HYPERLINK("https://www.boe.es/gazeta/dias/1834/10/02/pdfs/GMD-1834-230.pdf#page=4","Abrir facsímil")</f>
        <v>Abrir facsímil</v>
      </c>
      <c r="K17655" s="10" t="s">
        <v>24</v>
      </c>
    </row>
    <row r="17656" spans="1:11" ht="54" customHeight="1">
      <c r="A17656" s="9" t="s">
        <v>35809</v>
      </c>
      <c r="B17656" s="9" t="s">
        <v>35810</v>
      </c>
      <c r="C17656" s="9" t="s">
        <v>17</v>
      </c>
      <c r="D17656" s="9" t="s">
        <v>18</v>
      </c>
      <c r="E17656" s="10" t="s">
        <v>364</v>
      </c>
      <c r="F17656" s="9" t="s">
        <v>2102</v>
      </c>
      <c r="G17656" s="10" t="s">
        <v>75</v>
      </c>
      <c r="H17656" s="9" t="s">
        <v>22</v>
      </c>
      <c r="I17656" s="9" t="s">
        <v>35811</v>
      </c>
      <c r="J17656" s="10" t="str">
        <f>HYPERLINK("https://www.boe.es/gazeta/dias/1834/09/06/pdfs/GMD-1834-204.pdf#page=4","Abrir facsímil")</f>
        <v>Abrir facsímil</v>
      </c>
      <c r="K17656" s="10" t="s">
        <v>24</v>
      </c>
    </row>
    <row r="17657" spans="1:11" ht="54" customHeight="1">
      <c r="A17657" s="9" t="s">
        <v>35812</v>
      </c>
      <c r="B17657" s="9" t="s">
        <v>35813</v>
      </c>
      <c r="C17657" s="9" t="s">
        <v>17</v>
      </c>
      <c r="D17657" s="9" t="s">
        <v>18</v>
      </c>
      <c r="E17657" s="10" t="s">
        <v>408</v>
      </c>
      <c r="F17657" s="9" t="s">
        <v>409</v>
      </c>
      <c r="G17657" s="10" t="s">
        <v>75</v>
      </c>
      <c r="H17657" s="9" t="s">
        <v>22</v>
      </c>
      <c r="I17657" s="9" t="s">
        <v>35814</v>
      </c>
      <c r="J17657" s="10" t="str">
        <f>HYPERLINK("https://www.boe.es/gazeta/dias/1834/04/28/pdfs/GMD-1834-67.pdf#page=4","Abrir facsímil")</f>
        <v>Abrir facsímil</v>
      </c>
      <c r="K17657" s="10" t="s">
        <v>24</v>
      </c>
    </row>
    <row r="17658" spans="1:11" ht="54" customHeight="1">
      <c r="A17658" s="9" t="s">
        <v>35815</v>
      </c>
      <c r="B17658" s="9" t="s">
        <v>35816</v>
      </c>
      <c r="C17658" s="9" t="s">
        <v>17</v>
      </c>
      <c r="D17658" s="9" t="s">
        <v>18</v>
      </c>
      <c r="E17658" s="10" t="s">
        <v>5435</v>
      </c>
      <c r="F17658" s="9" t="s">
        <v>5436</v>
      </c>
      <c r="G17658" s="10" t="s">
        <v>75</v>
      </c>
      <c r="H17658" s="9" t="s">
        <v>22</v>
      </c>
      <c r="I17658" s="9" t="s">
        <v>35817</v>
      </c>
      <c r="J17658" s="10" t="str">
        <f>HYPERLINK("https://www.boe.es/gazeta/dias/1834/05/11/pdfs/GMD-1834-80.pdf#page=4","Abrir facsímil")</f>
        <v>Abrir facsímil</v>
      </c>
      <c r="K17658" s="10" t="s">
        <v>24</v>
      </c>
    </row>
    <row r="17659" spans="1:11" ht="54" customHeight="1">
      <c r="A17659" s="9" t="s">
        <v>35818</v>
      </c>
      <c r="B17659" s="9" t="s">
        <v>35819</v>
      </c>
      <c r="C17659" s="9" t="s">
        <v>17</v>
      </c>
      <c r="D17659" s="9" t="s">
        <v>18</v>
      </c>
      <c r="E17659" s="10" t="s">
        <v>32</v>
      </c>
      <c r="F17659" s="9" t="s">
        <v>33</v>
      </c>
      <c r="G17659" s="10" t="s">
        <v>176</v>
      </c>
      <c r="H17659" s="9" t="s">
        <v>22</v>
      </c>
      <c r="I17659" s="9" t="s">
        <v>35820</v>
      </c>
      <c r="J17659" s="10" t="str">
        <f>HYPERLINK("https://www.boe.es/gazeta/dias/1834/04/23/pdfs/GMD-1834-62.pdf#page=6","Abrir facsímil")</f>
        <v>Abrir facsímil</v>
      </c>
      <c r="K17659" s="10" t="s">
        <v>24</v>
      </c>
    </row>
    <row r="17660" spans="1:11" ht="54" customHeight="1">
      <c r="A17660" s="9" t="s">
        <v>35821</v>
      </c>
      <c r="B17660" s="9" t="s">
        <v>35822</v>
      </c>
      <c r="C17660" s="9" t="s">
        <v>17</v>
      </c>
      <c r="D17660" s="9" t="s">
        <v>18</v>
      </c>
      <c r="E17660" s="10" t="s">
        <v>237</v>
      </c>
      <c r="F17660" s="9" t="s">
        <v>4609</v>
      </c>
      <c r="G17660" s="10" t="s">
        <v>75</v>
      </c>
      <c r="H17660" s="9" t="s">
        <v>22</v>
      </c>
      <c r="I17660" s="9" t="s">
        <v>35823</v>
      </c>
      <c r="J17660" s="10" t="str">
        <f>HYPERLINK("https://www.boe.es/gazeta/dias/1834/08/15/pdfs/GMD-1834-180.pdf#page=4","Abrir facsímil")</f>
        <v>Abrir facsímil</v>
      </c>
      <c r="K17660" s="10" t="s">
        <v>24</v>
      </c>
    </row>
    <row r="17661" spans="1:11" ht="54" customHeight="1">
      <c r="A17661" s="9" t="s">
        <v>35824</v>
      </c>
      <c r="B17661" s="9" t="s">
        <v>35825</v>
      </c>
      <c r="C17661" s="9" t="s">
        <v>66</v>
      </c>
      <c r="D17661" s="9" t="s">
        <v>18</v>
      </c>
      <c r="E17661" s="10" t="s">
        <v>653</v>
      </c>
      <c r="F17661" s="9" t="s">
        <v>3369</v>
      </c>
      <c r="G17661" s="10" t="s">
        <v>75</v>
      </c>
      <c r="H17661" s="9" t="s">
        <v>22</v>
      </c>
      <c r="I17661" s="9" t="s">
        <v>35826</v>
      </c>
      <c r="J17661" s="10" t="str">
        <f>HYPERLINK("https://www.boe.es/gazeta/dias/1834/08/06/pdfs/GMD-1834-170.pdf#page=4","Abrir facsímil")</f>
        <v>Abrir facsímil</v>
      </c>
      <c r="K17661" s="10" t="s">
        <v>24</v>
      </c>
    </row>
    <row r="17662" spans="1:11" ht="54" customHeight="1">
      <c r="A17662" s="9" t="s">
        <v>35827</v>
      </c>
      <c r="B17662" s="9" t="s">
        <v>35828</v>
      </c>
      <c r="C17662" s="9" t="s">
        <v>17</v>
      </c>
      <c r="D17662" s="9" t="s">
        <v>18</v>
      </c>
      <c r="E17662" s="10" t="s">
        <v>615</v>
      </c>
      <c r="F17662" s="9" t="s">
        <v>616</v>
      </c>
      <c r="G17662" s="10" t="s">
        <v>75</v>
      </c>
      <c r="H17662" s="9" t="s">
        <v>22</v>
      </c>
      <c r="I17662" s="9" t="s">
        <v>35829</v>
      </c>
      <c r="J17662" s="10" t="str">
        <f>HYPERLINK("https://www.boe.es/gazeta/dias/1834/08/19/pdfs/GMD-1834-185.pdf#page=4","Abrir facsímil")</f>
        <v>Abrir facsímil</v>
      </c>
      <c r="K17662" s="10" t="s">
        <v>24</v>
      </c>
    </row>
    <row r="17663" spans="1:11" ht="54" customHeight="1">
      <c r="A17663" s="9" t="s">
        <v>35830</v>
      </c>
      <c r="B17663" s="9" t="s">
        <v>35831</v>
      </c>
      <c r="C17663" s="9" t="s">
        <v>17</v>
      </c>
      <c r="D17663" s="9" t="s">
        <v>18</v>
      </c>
      <c r="E17663" s="10" t="s">
        <v>2203</v>
      </c>
      <c r="F17663" s="9" t="s">
        <v>3917</v>
      </c>
      <c r="G17663" s="10" t="s">
        <v>75</v>
      </c>
      <c r="H17663" s="9" t="s">
        <v>22</v>
      </c>
      <c r="I17663" s="9" t="s">
        <v>35832</v>
      </c>
      <c r="J17663" s="10" t="str">
        <f>HYPERLINK("https://www.boe.es/gazeta/dias/1834/09/10/pdfs/GMD-1834-208.pdf#page=4","Abrir facsímil")</f>
        <v>Abrir facsímil</v>
      </c>
      <c r="K17663" s="10" t="s">
        <v>24</v>
      </c>
    </row>
    <row r="17664" spans="1:11" ht="54" customHeight="1">
      <c r="A17664" s="9" t="s">
        <v>35833</v>
      </c>
      <c r="B17664" s="9" t="s">
        <v>35834</v>
      </c>
      <c r="C17664" s="9" t="s">
        <v>122</v>
      </c>
      <c r="D17664" s="9" t="s">
        <v>18</v>
      </c>
      <c r="E17664" s="10" t="s">
        <v>823</v>
      </c>
      <c r="F17664" s="9" t="s">
        <v>824</v>
      </c>
      <c r="G17664" s="10" t="s">
        <v>176</v>
      </c>
      <c r="H17664" s="9" t="s">
        <v>22</v>
      </c>
      <c r="I17664" s="9" t="s">
        <v>35835</v>
      </c>
      <c r="J17664" s="10" t="str">
        <f>HYPERLINK("https://www.boe.es/gazeta/dias/1834/07/23/pdfs/GMD-1834-156.pdf#page=6","Abrir facsímil")</f>
        <v>Abrir facsímil</v>
      </c>
      <c r="K17664" s="10" t="s">
        <v>24</v>
      </c>
    </row>
    <row r="17665" spans="1:11" ht="54" customHeight="1">
      <c r="A17665" s="9" t="s">
        <v>35836</v>
      </c>
      <c r="B17665" s="9" t="s">
        <v>35837</v>
      </c>
      <c r="C17665" s="9" t="s">
        <v>17</v>
      </c>
      <c r="D17665" s="9" t="s">
        <v>18</v>
      </c>
      <c r="E17665" s="10" t="s">
        <v>1839</v>
      </c>
      <c r="F17665" s="9" t="s">
        <v>3598</v>
      </c>
      <c r="G17665" s="10" t="s">
        <v>75</v>
      </c>
      <c r="H17665" s="9" t="s">
        <v>22</v>
      </c>
      <c r="I17665" s="9" t="s">
        <v>35838</v>
      </c>
      <c r="J17665" s="10" t="str">
        <f>HYPERLINK("https://www.boe.es/gazeta/dias/1834/08/12/pdfs/GMD-1834-177.pdf#page=4","Abrir facsímil")</f>
        <v>Abrir facsímil</v>
      </c>
      <c r="K17665" s="10" t="s">
        <v>24</v>
      </c>
    </row>
    <row r="17666" spans="1:11" ht="54" customHeight="1">
      <c r="A17666" s="9" t="s">
        <v>35839</v>
      </c>
      <c r="B17666" s="9" t="s">
        <v>35840</v>
      </c>
      <c r="C17666" s="9" t="s">
        <v>17</v>
      </c>
      <c r="D17666" s="9" t="s">
        <v>40</v>
      </c>
      <c r="E17666" s="10" t="s">
        <v>102</v>
      </c>
      <c r="F17666" s="9" t="s">
        <v>103</v>
      </c>
      <c r="G17666" s="10" t="s">
        <v>75</v>
      </c>
      <c r="H17666" s="9" t="s">
        <v>22</v>
      </c>
      <c r="I17666" s="9" t="s">
        <v>35841</v>
      </c>
      <c r="J17666" s="10" t="str">
        <f>HYPERLINK("https://www.boe.es/gazeta/dias/1834/07/19/pdfs/GMD-1834-152.pdf#page=4","Abrir facsímil")</f>
        <v>Abrir facsímil</v>
      </c>
      <c r="K17666" s="10" t="s">
        <v>24</v>
      </c>
    </row>
    <row r="17667" spans="1:11" ht="54" customHeight="1">
      <c r="A17667" s="9" t="s">
        <v>35842</v>
      </c>
      <c r="B17667" s="9" t="s">
        <v>35843</v>
      </c>
      <c r="C17667" s="9" t="s">
        <v>66</v>
      </c>
      <c r="D17667" s="9" t="s">
        <v>67</v>
      </c>
      <c r="E17667" s="10" t="s">
        <v>976</v>
      </c>
      <c r="F17667" s="9" t="s">
        <v>977</v>
      </c>
      <c r="G17667" s="10" t="s">
        <v>75</v>
      </c>
      <c r="H17667" s="9" t="s">
        <v>22</v>
      </c>
      <c r="I17667" s="9" t="s">
        <v>35844</v>
      </c>
      <c r="J17667" s="10" t="str">
        <f>HYPERLINK("https://www.boe.es/gazeta/dias/1834/04/02/pdfs/GMD-1834-41.pdf#page=4","Abrir facsímil")</f>
        <v>Abrir facsímil</v>
      </c>
      <c r="K17667" s="10" t="s">
        <v>24</v>
      </c>
    </row>
    <row r="17668" spans="1:11" ht="54" customHeight="1">
      <c r="A17668" s="9" t="s">
        <v>35845</v>
      </c>
      <c r="B17668" s="9" t="s">
        <v>35846</v>
      </c>
      <c r="C17668" s="9" t="s">
        <v>17</v>
      </c>
      <c r="D17668" s="9" t="s">
        <v>55</v>
      </c>
      <c r="E17668" s="10" t="s">
        <v>339</v>
      </c>
      <c r="F17668" s="9" t="s">
        <v>340</v>
      </c>
      <c r="G17668" s="10" t="s">
        <v>75</v>
      </c>
      <c r="H17668" s="9" t="s">
        <v>22</v>
      </c>
      <c r="I17668" s="9" t="s">
        <v>35847</v>
      </c>
      <c r="J17668" s="10" t="str">
        <f>HYPERLINK("https://www.boe.es/gazeta/dias/1834/05/02/pdfs/GMD-1834-71.pdf#page=4","Abrir facsímil")</f>
        <v>Abrir facsímil</v>
      </c>
      <c r="K17668" s="10" t="s">
        <v>24</v>
      </c>
    </row>
    <row r="17669" spans="1:11" ht="54" customHeight="1">
      <c r="A17669" s="9" t="s">
        <v>35848</v>
      </c>
      <c r="B17669" s="9" t="s">
        <v>35849</v>
      </c>
      <c r="C17669" s="9" t="s">
        <v>17</v>
      </c>
      <c r="D17669" s="9" t="s">
        <v>18</v>
      </c>
      <c r="E17669" s="10" t="s">
        <v>174</v>
      </c>
      <c r="F17669" s="9" t="s">
        <v>175</v>
      </c>
      <c r="G17669" s="10" t="s">
        <v>176</v>
      </c>
      <c r="H17669" s="9" t="s">
        <v>22</v>
      </c>
      <c r="I17669" s="9" t="s">
        <v>35850</v>
      </c>
      <c r="J17669" s="10" t="str">
        <f>HYPERLINK("https://www.boe.es/gazeta/dias/1834/03/27/pdfs/GMD-1834-38.pdf#page=6","Abrir facsímil")</f>
        <v>Abrir facsímil</v>
      </c>
      <c r="K17669" s="10" t="s">
        <v>24</v>
      </c>
    </row>
    <row r="17670" spans="1:11" ht="54" customHeight="1">
      <c r="A17670" s="9" t="s">
        <v>35851</v>
      </c>
      <c r="B17670" s="9" t="s">
        <v>35852</v>
      </c>
      <c r="C17670" s="9" t="s">
        <v>17</v>
      </c>
      <c r="D17670" s="9" t="s">
        <v>18</v>
      </c>
      <c r="E17670" s="10" t="s">
        <v>552</v>
      </c>
      <c r="F17670" s="9" t="s">
        <v>553</v>
      </c>
      <c r="G17670" s="10" t="s">
        <v>75</v>
      </c>
      <c r="H17670" s="9" t="s">
        <v>22</v>
      </c>
      <c r="I17670" s="9" t="s">
        <v>35853</v>
      </c>
      <c r="J17670" s="10" t="str">
        <f>HYPERLINK("https://www.boe.es/gazeta/dias/1834/07/30/pdfs/GMD-1834-163.pdf#page=4","Abrir facsímil")</f>
        <v>Abrir facsímil</v>
      </c>
      <c r="K17670" s="10" t="s">
        <v>24</v>
      </c>
    </row>
    <row r="17671" spans="1:11" ht="54" customHeight="1">
      <c r="A17671" s="9" t="s">
        <v>35854</v>
      </c>
      <c r="B17671" s="9" t="s">
        <v>35855</v>
      </c>
      <c r="C17671" s="9" t="s">
        <v>17</v>
      </c>
      <c r="D17671" s="9" t="s">
        <v>18</v>
      </c>
      <c r="E17671" s="10" t="s">
        <v>2203</v>
      </c>
      <c r="F17671" s="9" t="s">
        <v>3917</v>
      </c>
      <c r="G17671" s="10" t="s">
        <v>75</v>
      </c>
      <c r="H17671" s="9" t="s">
        <v>22</v>
      </c>
      <c r="I17671" s="9" t="s">
        <v>35856</v>
      </c>
      <c r="J17671" s="10" t="str">
        <f>HYPERLINK("https://www.boe.es/gazeta/dias/1834/09/10/pdfs/GMD-1834-208.pdf#page=4","Abrir facsímil")</f>
        <v>Abrir facsímil</v>
      </c>
      <c r="K17671" s="10" t="s">
        <v>24</v>
      </c>
    </row>
    <row r="17672" spans="1:11" ht="54" customHeight="1">
      <c r="A17672" s="9" t="s">
        <v>35857</v>
      </c>
      <c r="B17672" s="9" t="s">
        <v>35858</v>
      </c>
      <c r="C17672" s="9" t="s">
        <v>17</v>
      </c>
      <c r="D17672" s="9" t="s">
        <v>18</v>
      </c>
      <c r="E17672" s="10" t="s">
        <v>627</v>
      </c>
      <c r="F17672" s="9" t="s">
        <v>1013</v>
      </c>
      <c r="G17672" s="10" t="s">
        <v>75</v>
      </c>
      <c r="H17672" s="9" t="s">
        <v>22</v>
      </c>
      <c r="I17672" s="9" t="s">
        <v>35859</v>
      </c>
      <c r="J17672" s="10" t="str">
        <f>HYPERLINK("https://www.boe.es/gazeta/dias/1834/09/22/pdfs/GMD-1834-220.pdf#page=4","Abrir facsímil")</f>
        <v>Abrir facsímil</v>
      </c>
      <c r="K17672" s="10" t="s">
        <v>24</v>
      </c>
    </row>
    <row r="17673" spans="1:11" ht="54" customHeight="1">
      <c r="A17673" s="9" t="s">
        <v>35860</v>
      </c>
      <c r="B17673" s="9" t="s">
        <v>35861</v>
      </c>
      <c r="C17673" s="9" t="s">
        <v>17</v>
      </c>
      <c r="D17673" s="9" t="s">
        <v>40</v>
      </c>
      <c r="E17673" s="10" t="s">
        <v>912</v>
      </c>
      <c r="F17673" s="9" t="s">
        <v>913</v>
      </c>
      <c r="G17673" s="10" t="s">
        <v>176</v>
      </c>
      <c r="H17673" s="9" t="s">
        <v>22</v>
      </c>
      <c r="I17673" s="9" t="s">
        <v>35862</v>
      </c>
      <c r="J17673" s="10" t="str">
        <f>HYPERLINK("https://www.boe.es/gazeta/dias/1834/02/15/pdfs/GMD-1834-21.pdf#page=6","Abrir facsímil")</f>
        <v>Abrir facsímil</v>
      </c>
      <c r="K17673" s="10" t="s">
        <v>24</v>
      </c>
    </row>
    <row r="17674" spans="1:11" ht="54" customHeight="1">
      <c r="A17674" s="9" t="s">
        <v>35863</v>
      </c>
      <c r="B17674" s="9" t="s">
        <v>35864</v>
      </c>
      <c r="C17674" s="9" t="s">
        <v>17</v>
      </c>
      <c r="D17674" s="9" t="s">
        <v>18</v>
      </c>
      <c r="E17674" s="10" t="s">
        <v>2287</v>
      </c>
      <c r="F17674" s="9" t="s">
        <v>4741</v>
      </c>
      <c r="G17674" s="10" t="s">
        <v>21</v>
      </c>
      <c r="H17674" s="9" t="s">
        <v>22</v>
      </c>
      <c r="I17674" s="9" t="s">
        <v>35865</v>
      </c>
      <c r="J17674" s="10" t="str">
        <f>HYPERLINK("https://www.boe.es/gazeta/dias/1834/12/18/pdfs/GMD-1834-308.pdf#page=3","Abrir facsímil")</f>
        <v>Abrir facsímil</v>
      </c>
      <c r="K17674" s="10" t="s">
        <v>24</v>
      </c>
    </row>
    <row r="17675" spans="1:11" ht="54" customHeight="1">
      <c r="A17675" s="9" t="s">
        <v>35866</v>
      </c>
      <c r="B17675" s="9" t="s">
        <v>35867</v>
      </c>
      <c r="C17675" s="9" t="s">
        <v>46</v>
      </c>
      <c r="D17675" s="9" t="s">
        <v>101</v>
      </c>
      <c r="E17675" s="10" t="s">
        <v>912</v>
      </c>
      <c r="F17675" s="9" t="s">
        <v>913</v>
      </c>
      <c r="G17675" s="10" t="s">
        <v>176</v>
      </c>
      <c r="H17675" s="9" t="s">
        <v>22</v>
      </c>
      <c r="I17675" s="9" t="s">
        <v>35868</v>
      </c>
      <c r="J17675" s="10" t="str">
        <f>HYPERLINK("https://www.boe.es/gazeta/dias/1834/02/15/pdfs/GMD-1834-21.pdf#page=6","Abrir facsímil")</f>
        <v>Abrir facsímil</v>
      </c>
      <c r="K17675" s="10" t="s">
        <v>24</v>
      </c>
    </row>
    <row r="17676" spans="1:11" ht="54" customHeight="1">
      <c r="A17676" s="9" t="s">
        <v>35869</v>
      </c>
      <c r="B17676" s="9" t="s">
        <v>35870</v>
      </c>
      <c r="C17676" s="9" t="s">
        <v>46</v>
      </c>
      <c r="D17676" s="9" t="s">
        <v>40</v>
      </c>
      <c r="E17676" s="10" t="s">
        <v>1862</v>
      </c>
      <c r="F17676" s="9" t="s">
        <v>1863</v>
      </c>
      <c r="G17676" s="10" t="s">
        <v>75</v>
      </c>
      <c r="H17676" s="9" t="s">
        <v>22</v>
      </c>
      <c r="I17676" s="9" t="s">
        <v>35871</v>
      </c>
      <c r="J17676" s="10" t="str">
        <f>HYPERLINK("https://www.boe.es/gazeta/dias/1834/02/04/pdfs/GMD-1834-16.pdf#page=4","Abrir facsímil")</f>
        <v>Abrir facsímil</v>
      </c>
      <c r="K17676" s="10" t="s">
        <v>24</v>
      </c>
    </row>
    <row r="17677" spans="1:11" ht="54" customHeight="1">
      <c r="A17677" s="9" t="s">
        <v>35872</v>
      </c>
      <c r="B17677" s="9" t="s">
        <v>35873</v>
      </c>
      <c r="C17677" s="9" t="s">
        <v>17</v>
      </c>
      <c r="D17677" s="9" t="s">
        <v>18</v>
      </c>
      <c r="E17677" s="10" t="s">
        <v>1307</v>
      </c>
      <c r="F17677" s="9" t="s">
        <v>1308</v>
      </c>
      <c r="G17677" s="10" t="s">
        <v>75</v>
      </c>
      <c r="H17677" s="9" t="s">
        <v>22</v>
      </c>
      <c r="I17677" s="9" t="s">
        <v>35874</v>
      </c>
      <c r="J17677" s="10" t="str">
        <f>HYPERLINK("https://www.boe.es/gazeta/dias/1834/08/25/pdfs/GMD-1834-191.pdf#page=4","Abrir facsímil")</f>
        <v>Abrir facsímil</v>
      </c>
      <c r="K17677" s="10" t="s">
        <v>24</v>
      </c>
    </row>
    <row r="17678" spans="1:11" ht="54" customHeight="1">
      <c r="A17678" s="9" t="s">
        <v>35875</v>
      </c>
      <c r="B17678" s="9" t="s">
        <v>35876</v>
      </c>
      <c r="C17678" s="9" t="s">
        <v>46</v>
      </c>
      <c r="D17678" s="9" t="s">
        <v>18</v>
      </c>
      <c r="E17678" s="10" t="s">
        <v>26</v>
      </c>
      <c r="F17678" s="9" t="s">
        <v>818</v>
      </c>
      <c r="G17678" s="10" t="s">
        <v>21</v>
      </c>
      <c r="H17678" s="9" t="s">
        <v>35</v>
      </c>
      <c r="I17678" s="9" t="s">
        <v>35877</v>
      </c>
      <c r="J17678" s="10" t="str">
        <f>HYPERLINK("https://www.boe.es/gazeta/dias/1834/10/19/pdfs/GMD-1834-247.pdf#page=3","Abrir facsímil")</f>
        <v>Abrir facsímil</v>
      </c>
      <c r="K17678" s="10" t="s">
        <v>37</v>
      </c>
    </row>
    <row r="17679" spans="1:11" ht="54" customHeight="1">
      <c r="A17679" s="9" t="s">
        <v>35878</v>
      </c>
      <c r="B17679" s="9" t="s">
        <v>35879</v>
      </c>
      <c r="C17679" s="9" t="s">
        <v>66</v>
      </c>
      <c r="D17679" s="9" t="s">
        <v>67</v>
      </c>
      <c r="E17679" s="10" t="s">
        <v>571</v>
      </c>
      <c r="F17679" s="9" t="s">
        <v>572</v>
      </c>
      <c r="G17679" s="10" t="s">
        <v>34</v>
      </c>
      <c r="H17679" s="9" t="s">
        <v>22</v>
      </c>
      <c r="I17679" s="9" t="s">
        <v>35880</v>
      </c>
      <c r="J17679" s="10" t="str">
        <f>HYPERLINK("https://www.boe.es/gazeta/dias/1834/09/04/pdfs/GMD-1834-202.pdf#page=1","Abrir facsímil")</f>
        <v>Abrir facsímil</v>
      </c>
      <c r="K17679" s="10" t="s">
        <v>24</v>
      </c>
    </row>
    <row r="17680" spans="1:11" ht="54" customHeight="1">
      <c r="A17680" s="9" t="s">
        <v>35881</v>
      </c>
      <c r="B17680" s="9" t="s">
        <v>35882</v>
      </c>
      <c r="C17680" s="9" t="s">
        <v>46</v>
      </c>
      <c r="D17680" s="9" t="s">
        <v>18</v>
      </c>
      <c r="E17680" s="10" t="s">
        <v>26</v>
      </c>
      <c r="F17680" s="9" t="s">
        <v>818</v>
      </c>
      <c r="G17680" s="10" t="s">
        <v>21</v>
      </c>
      <c r="H17680" s="9" t="s">
        <v>22</v>
      </c>
      <c r="I17680" s="9" t="s">
        <v>35883</v>
      </c>
      <c r="J17680" s="10" t="str">
        <f>HYPERLINK("https://www.boe.es/gazeta/dias/1834/10/19/pdfs/GMD-1834-247.pdf#page=3","Abrir facsímil")</f>
        <v>Abrir facsímil</v>
      </c>
      <c r="K17680" s="10" t="s">
        <v>24</v>
      </c>
    </row>
    <row r="17681" spans="1:11" ht="54" customHeight="1">
      <c r="A17681" s="9" t="s">
        <v>35884</v>
      </c>
      <c r="B17681" s="9" t="s">
        <v>35885</v>
      </c>
      <c r="C17681" s="9" t="s">
        <v>17</v>
      </c>
      <c r="D17681" s="9" t="s">
        <v>18</v>
      </c>
      <c r="E17681" s="10" t="s">
        <v>1323</v>
      </c>
      <c r="F17681" s="9" t="s">
        <v>1324</v>
      </c>
      <c r="G17681" s="10" t="s">
        <v>21</v>
      </c>
      <c r="H17681" s="9" t="s">
        <v>22</v>
      </c>
      <c r="I17681" s="9" t="s">
        <v>35886</v>
      </c>
      <c r="J17681" s="10" t="str">
        <f>HYPERLINK("https://www.boe.es/gazeta/dias/1834/05/22/pdfs/GMD-1834-91.pdf#page=3","Abrir facsímil")</f>
        <v>Abrir facsímil</v>
      </c>
      <c r="K17681" s="10" t="s">
        <v>24</v>
      </c>
    </row>
    <row r="17682" spans="1:11" ht="54" customHeight="1">
      <c r="A17682" s="9" t="s">
        <v>35887</v>
      </c>
      <c r="B17682" s="9" t="s">
        <v>35888</v>
      </c>
      <c r="C17682" s="9" t="s">
        <v>90</v>
      </c>
      <c r="D17682" s="9" t="s">
        <v>18</v>
      </c>
      <c r="E17682" s="10" t="s">
        <v>237</v>
      </c>
      <c r="F17682" s="9" t="s">
        <v>4609</v>
      </c>
      <c r="G17682" s="10" t="s">
        <v>34</v>
      </c>
      <c r="H17682" s="9" t="s">
        <v>22</v>
      </c>
      <c r="I17682" s="9" t="s">
        <v>35889</v>
      </c>
      <c r="J17682" s="10" t="str">
        <f>HYPERLINK("https://www.boe.es/gazeta/dias/1834/08/15/pdfs/GMD-1834-180.pdf#page=1","Abrir facsímil")</f>
        <v>Abrir facsímil</v>
      </c>
      <c r="K17682" s="10" t="s">
        <v>24</v>
      </c>
    </row>
    <row r="17683" spans="1:11" ht="54" customHeight="1">
      <c r="A17683" s="9" t="s">
        <v>35890</v>
      </c>
      <c r="B17683" s="9" t="s">
        <v>35891</v>
      </c>
      <c r="C17683" s="9" t="s">
        <v>46</v>
      </c>
      <c r="D17683" s="9" t="s">
        <v>18</v>
      </c>
      <c r="E17683" s="10" t="s">
        <v>426</v>
      </c>
      <c r="F17683" s="9" t="s">
        <v>427</v>
      </c>
      <c r="G17683" s="10" t="s">
        <v>21</v>
      </c>
      <c r="H17683" s="9" t="s">
        <v>22</v>
      </c>
      <c r="I17683" s="9" t="s">
        <v>35892</v>
      </c>
      <c r="J17683" s="10" t="str">
        <f>HYPERLINK("https://www.boe.es/gazeta/dias/1834/10/04/pdfs/GMD-1834-232.pdf#page=3","Abrir facsímil")</f>
        <v>Abrir facsímil</v>
      </c>
      <c r="K17683" s="10" t="s">
        <v>24</v>
      </c>
    </row>
    <row r="17684" spans="1:11" ht="54" customHeight="1">
      <c r="A17684" s="9" t="s">
        <v>35893</v>
      </c>
      <c r="B17684" s="9" t="s">
        <v>35894</v>
      </c>
      <c r="C17684" s="9" t="s">
        <v>46</v>
      </c>
      <c r="D17684" s="9" t="s">
        <v>18</v>
      </c>
      <c r="E17684" s="10" t="s">
        <v>426</v>
      </c>
      <c r="F17684" s="9" t="s">
        <v>427</v>
      </c>
      <c r="G17684" s="10" t="s">
        <v>21</v>
      </c>
      <c r="H17684" s="9" t="s">
        <v>22</v>
      </c>
      <c r="I17684" s="9" t="s">
        <v>35895</v>
      </c>
      <c r="J17684" s="10" t="str">
        <f>HYPERLINK("https://www.boe.es/gazeta/dias/1834/10/04/pdfs/GMD-1834-232.pdf#page=3","Abrir facsímil")</f>
        <v>Abrir facsímil</v>
      </c>
      <c r="K17684" s="10" t="s">
        <v>24</v>
      </c>
    </row>
    <row r="17685" spans="1:11" ht="54" customHeight="1">
      <c r="A17685" s="9" t="s">
        <v>35896</v>
      </c>
      <c r="B17685" s="9" t="s">
        <v>35897</v>
      </c>
      <c r="C17685" s="9" t="s">
        <v>17</v>
      </c>
      <c r="D17685" s="9" t="s">
        <v>18</v>
      </c>
      <c r="E17685" s="10" t="s">
        <v>394</v>
      </c>
      <c r="F17685" s="9" t="s">
        <v>459</v>
      </c>
      <c r="G17685" s="10" t="s">
        <v>28</v>
      </c>
      <c r="H17685" s="9" t="s">
        <v>22</v>
      </c>
      <c r="I17685" s="9" t="s">
        <v>35898</v>
      </c>
      <c r="J17685" s="10" t="str">
        <f>HYPERLINK("https://www.boe.es/gazeta/dias/1834/12/23/pdfs/GMD-C-1834-313.pdf#page=5","Abrir facsímil")</f>
        <v>Abrir facsímil</v>
      </c>
      <c r="K17685" s="10" t="s">
        <v>24</v>
      </c>
    </row>
    <row r="17686" spans="1:11" ht="54" customHeight="1">
      <c r="A17686" s="9" t="s">
        <v>35899</v>
      </c>
      <c r="B17686" s="9" t="s">
        <v>35900</v>
      </c>
      <c r="C17686" s="9" t="s">
        <v>17</v>
      </c>
      <c r="D17686" s="9" t="s">
        <v>18</v>
      </c>
      <c r="E17686" s="10" t="s">
        <v>647</v>
      </c>
      <c r="F17686" s="9" t="s">
        <v>648</v>
      </c>
      <c r="G17686" s="10" t="s">
        <v>34</v>
      </c>
      <c r="H17686" s="9" t="s">
        <v>22</v>
      </c>
      <c r="I17686" s="9" t="s">
        <v>35901</v>
      </c>
      <c r="J17686" s="10" t="str">
        <f>HYPERLINK("https://www.boe.es/gazeta/dias/1834/10/21/pdfs/GMD-C-1834-249.pdf#page=1","Abrir facsímil")</f>
        <v>Abrir facsímil</v>
      </c>
      <c r="K17686" s="10" t="s">
        <v>24</v>
      </c>
    </row>
    <row r="17687" spans="1:11" ht="54" customHeight="1">
      <c r="A17687" s="9" t="s">
        <v>35902</v>
      </c>
      <c r="B17687" s="9" t="s">
        <v>35903</v>
      </c>
      <c r="C17687" s="9" t="s">
        <v>17</v>
      </c>
      <c r="D17687" s="9" t="s">
        <v>18</v>
      </c>
      <c r="E17687" s="10" t="s">
        <v>844</v>
      </c>
      <c r="F17687" s="9" t="s">
        <v>845</v>
      </c>
      <c r="G17687" s="10" t="s">
        <v>75</v>
      </c>
      <c r="H17687" s="9" t="s">
        <v>22</v>
      </c>
      <c r="I17687" s="9" t="s">
        <v>35904</v>
      </c>
      <c r="J17687" s="10" t="str">
        <f>HYPERLINK("https://www.boe.es/gazeta/dias/1834/03/13/pdfs/GMD-1834-32.pdf#page=4","Abrir facsímil")</f>
        <v>Abrir facsímil</v>
      </c>
      <c r="K17687" s="10" t="s">
        <v>24</v>
      </c>
    </row>
    <row r="17688" spans="1:11" ht="54" customHeight="1">
      <c r="A17688" s="9" t="s">
        <v>35905</v>
      </c>
      <c r="B17688" s="9" t="s">
        <v>35906</v>
      </c>
      <c r="C17688" s="9" t="s">
        <v>17</v>
      </c>
      <c r="D17688" s="9" t="s">
        <v>18</v>
      </c>
      <c r="E17688" s="10" t="s">
        <v>844</v>
      </c>
      <c r="F17688" s="9" t="s">
        <v>845</v>
      </c>
      <c r="G17688" s="10" t="s">
        <v>75</v>
      </c>
      <c r="H17688" s="9" t="s">
        <v>35</v>
      </c>
      <c r="I17688" s="9" t="s">
        <v>35907</v>
      </c>
      <c r="J17688" s="10" t="str">
        <f>HYPERLINK("https://www.boe.es/gazeta/dias/1834/03/13/pdfs/GMD-1834-32.pdf#page=4","Abrir facsímil")</f>
        <v>Abrir facsímil</v>
      </c>
      <c r="K17688" s="10" t="s">
        <v>37</v>
      </c>
    </row>
    <row r="17689" spans="1:11" ht="54" customHeight="1">
      <c r="A17689" s="9" t="s">
        <v>35908</v>
      </c>
      <c r="B17689" s="9" t="s">
        <v>35908</v>
      </c>
      <c r="C17689" s="9" t="s">
        <v>66</v>
      </c>
      <c r="D17689" s="9" t="s">
        <v>18</v>
      </c>
      <c r="E17689" s="10" t="s">
        <v>1170</v>
      </c>
      <c r="F17689" s="9" t="s">
        <v>1171</v>
      </c>
      <c r="G17689" s="10" t="s">
        <v>28</v>
      </c>
      <c r="H17689" s="9" t="s">
        <v>22</v>
      </c>
      <c r="I17689" s="9" t="s">
        <v>35909</v>
      </c>
      <c r="J17689" s="10" t="str">
        <f>HYPERLINK("https://www.boe.es/gazeta/dias/1834/01/07/pdfs/GMD-1834-4.pdf#page=5","Abrir facsímil")</f>
        <v>Abrir facsímil</v>
      </c>
      <c r="K17689" s="10" t="s">
        <v>24</v>
      </c>
    </row>
    <row r="17690" spans="1:11" ht="54" customHeight="1">
      <c r="A17690" s="9" t="s">
        <v>35910</v>
      </c>
      <c r="B17690" s="9" t="s">
        <v>35911</v>
      </c>
      <c r="C17690" s="9" t="s">
        <v>17</v>
      </c>
      <c r="D17690" s="9" t="s">
        <v>55</v>
      </c>
      <c r="E17690" s="10" t="s">
        <v>1686</v>
      </c>
      <c r="F17690" s="9" t="s">
        <v>1687</v>
      </c>
      <c r="G17690" s="10" t="s">
        <v>21</v>
      </c>
      <c r="H17690" s="9" t="s">
        <v>35</v>
      </c>
      <c r="I17690" s="9" t="s">
        <v>35912</v>
      </c>
      <c r="J17690" s="10" t="str">
        <f>HYPERLINK("https://www.boe.es/gazeta/dias/1834/07/27/pdfs/GMD-1834-160.pdf#page=3","Abrir facsímil")</f>
        <v>Abrir facsímil</v>
      </c>
      <c r="K17690" s="10" t="s">
        <v>37</v>
      </c>
    </row>
    <row r="17691" spans="1:11" ht="54" customHeight="1">
      <c r="A17691" s="9" t="s">
        <v>35913</v>
      </c>
      <c r="B17691" s="9" t="s">
        <v>35914</v>
      </c>
      <c r="C17691" s="9" t="s">
        <v>17</v>
      </c>
      <c r="D17691" s="9" t="s">
        <v>55</v>
      </c>
      <c r="E17691" s="10" t="s">
        <v>330</v>
      </c>
      <c r="F17691" s="9" t="s">
        <v>331</v>
      </c>
      <c r="G17691" s="10" t="s">
        <v>34</v>
      </c>
      <c r="H17691" s="9" t="s">
        <v>22</v>
      </c>
      <c r="I17691" s="9" t="s">
        <v>35915</v>
      </c>
      <c r="J17691" s="10" t="str">
        <f>HYPERLINK("https://www.boe.es/gazeta/dias/1834/12/03/pdfs/GMD-1834-292.pdf#page=1","Abrir facsímil")</f>
        <v>Abrir facsímil</v>
      </c>
      <c r="K17691" s="10" t="s">
        <v>24</v>
      </c>
    </row>
    <row r="17692" spans="1:11" ht="54" customHeight="1">
      <c r="A17692" s="9" t="s">
        <v>35916</v>
      </c>
      <c r="B17692" s="9" t="s">
        <v>35917</v>
      </c>
      <c r="C17692" s="9" t="s">
        <v>17</v>
      </c>
      <c r="D17692" s="9" t="s">
        <v>55</v>
      </c>
      <c r="E17692" s="10" t="s">
        <v>1686</v>
      </c>
      <c r="F17692" s="9" t="s">
        <v>1687</v>
      </c>
      <c r="G17692" s="10" t="s">
        <v>21</v>
      </c>
      <c r="H17692" s="9" t="s">
        <v>35</v>
      </c>
      <c r="I17692" s="9" t="s">
        <v>35918</v>
      </c>
      <c r="J17692" s="10" t="str">
        <f>HYPERLINK("https://www.boe.es/gazeta/dias/1834/07/27/pdfs/GMD-1834-160.pdf#page=3","Abrir facsímil")</f>
        <v>Abrir facsímil</v>
      </c>
      <c r="K17692" s="10" t="s">
        <v>37</v>
      </c>
    </row>
    <row r="17693" spans="1:11" ht="54" customHeight="1">
      <c r="A17693" s="9" t="s">
        <v>35919</v>
      </c>
      <c r="B17693" s="9" t="s">
        <v>35920</v>
      </c>
      <c r="C17693" s="9" t="s">
        <v>17</v>
      </c>
      <c r="D17693" s="9" t="s">
        <v>18</v>
      </c>
      <c r="E17693" s="10" t="s">
        <v>571</v>
      </c>
      <c r="F17693" s="9" t="s">
        <v>620</v>
      </c>
      <c r="G17693" s="10" t="s">
        <v>470</v>
      </c>
      <c r="H17693" s="9" t="s">
        <v>22</v>
      </c>
      <c r="I17693" s="9" t="s">
        <v>35921</v>
      </c>
      <c r="J17693" s="10" t="str">
        <f>HYPERLINK("https://www.boe.es/gazeta/dias/1834/09/04/pdfs/GMD-C-1834-202.pdf#page=8","Abrir facsímil")</f>
        <v>Abrir facsímil</v>
      </c>
      <c r="K17693" s="10" t="s">
        <v>24</v>
      </c>
    </row>
    <row r="17694" spans="1:11" ht="54" customHeight="1">
      <c r="A17694" s="9" t="s">
        <v>35922</v>
      </c>
      <c r="B17694" s="9" t="s">
        <v>35923</v>
      </c>
      <c r="C17694" s="9" t="s">
        <v>17</v>
      </c>
      <c r="D17694" s="9" t="s">
        <v>18</v>
      </c>
      <c r="E17694" s="10" t="s">
        <v>1307</v>
      </c>
      <c r="F17694" s="9" t="s">
        <v>1308</v>
      </c>
      <c r="G17694" s="10" t="s">
        <v>75</v>
      </c>
      <c r="H17694" s="9" t="s">
        <v>22</v>
      </c>
      <c r="I17694" s="9" t="s">
        <v>35924</v>
      </c>
      <c r="J17694" s="10" t="str">
        <f>HYPERLINK("https://www.boe.es/gazeta/dias/1834/08/25/pdfs/GMD-1834-191.pdf#page=4","Abrir facsímil")</f>
        <v>Abrir facsímil</v>
      </c>
      <c r="K17694" s="10" t="s">
        <v>24</v>
      </c>
    </row>
    <row r="17695" spans="1:11" ht="54" customHeight="1">
      <c r="A17695" s="9" t="s">
        <v>35925</v>
      </c>
      <c r="B17695" s="9" t="s">
        <v>35926</v>
      </c>
      <c r="C17695" s="9" t="s">
        <v>17</v>
      </c>
      <c r="D17695" s="9" t="s">
        <v>18</v>
      </c>
      <c r="E17695" s="10" t="s">
        <v>2091</v>
      </c>
      <c r="F17695" s="9" t="s">
        <v>2092</v>
      </c>
      <c r="G17695" s="10" t="s">
        <v>75</v>
      </c>
      <c r="H17695" s="9" t="s">
        <v>22</v>
      </c>
      <c r="I17695" s="9" t="s">
        <v>35927</v>
      </c>
      <c r="J17695" s="10" t="str">
        <f>HYPERLINK("https://www.boe.es/gazeta/dias/1834/03/08/pdfs/GMD-1834-30.pdf#page=4","Abrir facsímil")</f>
        <v>Abrir facsímil</v>
      </c>
      <c r="K17695" s="10" t="s">
        <v>24</v>
      </c>
    </row>
    <row r="17696" spans="1:11" ht="54" customHeight="1">
      <c r="A17696" s="9" t="s">
        <v>35928</v>
      </c>
      <c r="B17696" s="9" t="s">
        <v>35929</v>
      </c>
      <c r="C17696" s="9" t="s">
        <v>46</v>
      </c>
      <c r="D17696" s="9" t="s">
        <v>18</v>
      </c>
      <c r="E17696" s="10" t="s">
        <v>26</v>
      </c>
      <c r="F17696" s="9" t="s">
        <v>818</v>
      </c>
      <c r="G17696" s="10" t="s">
        <v>21</v>
      </c>
      <c r="H17696" s="9" t="s">
        <v>22</v>
      </c>
      <c r="I17696" s="9" t="s">
        <v>35930</v>
      </c>
      <c r="J17696" s="10" t="str">
        <f>HYPERLINK("https://www.boe.es/gazeta/dias/1834/10/19/pdfs/GMD-1834-247.pdf#page=3","Abrir facsímil")</f>
        <v>Abrir facsímil</v>
      </c>
      <c r="K17696" s="10" t="s">
        <v>24</v>
      </c>
    </row>
    <row r="17697" spans="1:11" ht="54" customHeight="1">
      <c r="A17697" s="9" t="s">
        <v>35931</v>
      </c>
      <c r="B17697" s="9" t="s">
        <v>35932</v>
      </c>
      <c r="C17697" s="9" t="s">
        <v>17</v>
      </c>
      <c r="D17697" s="9" t="s">
        <v>18</v>
      </c>
      <c r="E17697" s="10" t="s">
        <v>343</v>
      </c>
      <c r="F17697" s="9" t="s">
        <v>344</v>
      </c>
      <c r="G17697" s="10" t="s">
        <v>75</v>
      </c>
      <c r="H17697" s="9" t="s">
        <v>22</v>
      </c>
      <c r="I17697" s="9" t="s">
        <v>35933</v>
      </c>
      <c r="J17697" s="10" t="str">
        <f>HYPERLINK("https://www.boe.es/gazeta/dias/1834/01/14/pdfs/GMD-1834-7.pdf#page=4","Abrir facsímil")</f>
        <v>Abrir facsímil</v>
      </c>
      <c r="K17697" s="10" t="s">
        <v>24</v>
      </c>
    </row>
    <row r="17698" spans="1:11" ht="54" customHeight="1">
      <c r="A17698" s="9" t="s">
        <v>35934</v>
      </c>
      <c r="B17698" s="9" t="s">
        <v>35935</v>
      </c>
      <c r="C17698" s="9" t="s">
        <v>122</v>
      </c>
      <c r="D17698" s="9" t="s">
        <v>18</v>
      </c>
      <c r="E17698" s="10" t="s">
        <v>772</v>
      </c>
      <c r="F17698" s="9" t="s">
        <v>773</v>
      </c>
      <c r="G17698" s="10" t="s">
        <v>21</v>
      </c>
      <c r="H17698" s="9" t="s">
        <v>22</v>
      </c>
      <c r="I17698" s="9" t="s">
        <v>35936</v>
      </c>
      <c r="J17698" s="10" t="str">
        <f>HYPERLINK("https://www.boe.es/gazeta/dias/1834/09/18/pdfs/GMD-1834-216.pdf#page=3","Abrir facsímil")</f>
        <v>Abrir facsímil</v>
      </c>
      <c r="K17698" s="10" t="s">
        <v>24</v>
      </c>
    </row>
    <row r="17699" spans="1:11" ht="54" customHeight="1">
      <c r="A17699" s="9" t="s">
        <v>35937</v>
      </c>
      <c r="B17699" s="9" t="s">
        <v>35938</v>
      </c>
      <c r="C17699" s="9" t="s">
        <v>17</v>
      </c>
      <c r="D17699" s="9" t="s">
        <v>18</v>
      </c>
      <c r="E17699" s="10" t="s">
        <v>3471</v>
      </c>
      <c r="F17699" s="9" t="s">
        <v>3472</v>
      </c>
      <c r="G17699" s="10" t="s">
        <v>21</v>
      </c>
      <c r="H17699" s="9" t="s">
        <v>35</v>
      </c>
      <c r="I17699" s="9" t="s">
        <v>35939</v>
      </c>
      <c r="J17699" s="10" t="str">
        <f>HYPERLINK("https://www.boe.es/gazeta/dias/1834/07/07/pdfs/GMD-1834-140.pdf#page=3","Abrir facsímil")</f>
        <v>Abrir facsímil</v>
      </c>
      <c r="K17699" s="10" t="s">
        <v>37</v>
      </c>
    </row>
    <row r="17700" spans="1:11" ht="54" customHeight="1">
      <c r="A17700" s="9" t="s">
        <v>35940</v>
      </c>
      <c r="B17700" s="9" t="s">
        <v>35941</v>
      </c>
      <c r="C17700" s="9" t="s">
        <v>17</v>
      </c>
      <c r="D17700" s="9" t="s">
        <v>18</v>
      </c>
      <c r="E17700" s="10" t="s">
        <v>3471</v>
      </c>
      <c r="F17700" s="9" t="s">
        <v>3472</v>
      </c>
      <c r="G17700" s="10" t="s">
        <v>21</v>
      </c>
      <c r="H17700" s="9" t="s">
        <v>22</v>
      </c>
      <c r="I17700" s="9" t="s">
        <v>35942</v>
      </c>
      <c r="J17700" s="10" t="str">
        <f>HYPERLINK("https://www.boe.es/gazeta/dias/1834/07/07/pdfs/GMD-1834-140.pdf#page=3","Abrir facsímil")</f>
        <v>Abrir facsímil</v>
      </c>
      <c r="K17700" s="10" t="s">
        <v>24</v>
      </c>
    </row>
    <row r="17701" spans="1:11" ht="54" customHeight="1">
      <c r="A17701" s="9" t="s">
        <v>35943</v>
      </c>
      <c r="B17701" s="9" t="s">
        <v>35944</v>
      </c>
      <c r="C17701" s="9" t="s">
        <v>17</v>
      </c>
      <c r="D17701" s="9" t="s">
        <v>18</v>
      </c>
      <c r="E17701" s="10" t="s">
        <v>343</v>
      </c>
      <c r="F17701" s="9" t="s">
        <v>344</v>
      </c>
      <c r="G17701" s="10" t="s">
        <v>75</v>
      </c>
      <c r="H17701" s="9" t="s">
        <v>22</v>
      </c>
      <c r="I17701" s="9" t="s">
        <v>35945</v>
      </c>
      <c r="J17701" s="10" t="str">
        <f>HYPERLINK("https://www.boe.es/gazeta/dias/1834/01/14/pdfs/GMD-1834-7.pdf#page=4","Abrir facsímil")</f>
        <v>Abrir facsímil</v>
      </c>
      <c r="K17701" s="10" t="s">
        <v>24</v>
      </c>
    </row>
    <row r="17702" spans="1:11" ht="54" customHeight="1">
      <c r="A17702" s="9" t="s">
        <v>35946</v>
      </c>
      <c r="B17702" s="9" t="s">
        <v>35947</v>
      </c>
      <c r="C17702" s="9" t="s">
        <v>17</v>
      </c>
      <c r="D17702" s="9" t="s">
        <v>18</v>
      </c>
      <c r="E17702" s="10" t="s">
        <v>1572</v>
      </c>
      <c r="F17702" s="9" t="s">
        <v>1573</v>
      </c>
      <c r="G17702" s="10" t="s">
        <v>34</v>
      </c>
      <c r="H17702" s="9" t="s">
        <v>22</v>
      </c>
      <c r="I17702" s="9" t="s">
        <v>35948</v>
      </c>
      <c r="J17702" s="10" t="str">
        <f>HYPERLINK("https://www.boe.es/gazeta/dias/1834/03/20/pdfs/GMD-1834-35.pdf#page=1","Abrir facsímil")</f>
        <v>Abrir facsímil</v>
      </c>
      <c r="K17702" s="10" t="s">
        <v>24</v>
      </c>
    </row>
    <row r="17703" spans="1:11" ht="54" customHeight="1">
      <c r="A17703" s="9" t="s">
        <v>35949</v>
      </c>
      <c r="B17703" s="9" t="s">
        <v>35950</v>
      </c>
      <c r="C17703" s="9" t="s">
        <v>90</v>
      </c>
      <c r="D17703" s="9" t="s">
        <v>18</v>
      </c>
      <c r="E17703" s="10" t="s">
        <v>158</v>
      </c>
      <c r="F17703" s="9" t="s">
        <v>581</v>
      </c>
      <c r="G17703" s="10" t="s">
        <v>34</v>
      </c>
      <c r="H17703" s="9" t="s">
        <v>22</v>
      </c>
      <c r="I17703" s="9" t="s">
        <v>35951</v>
      </c>
      <c r="J17703" s="10" t="str">
        <f>HYPERLINK("https://www.boe.es/gazeta/dias/1834/10/01/pdfs/GMD-C-1834-229.pdf#page=1","Abrir facsímil")</f>
        <v>Abrir facsímil</v>
      </c>
      <c r="K17703" s="10" t="s">
        <v>24</v>
      </c>
    </row>
    <row r="17704" spans="1:11" ht="54" customHeight="1">
      <c r="A17704" s="9" t="s">
        <v>35952</v>
      </c>
      <c r="B17704" s="9" t="s">
        <v>35953</v>
      </c>
      <c r="C17704" s="9" t="s">
        <v>66</v>
      </c>
      <c r="D17704" s="9" t="s">
        <v>67</v>
      </c>
      <c r="E17704" s="10" t="s">
        <v>696</v>
      </c>
      <c r="F17704" s="9" t="s">
        <v>697</v>
      </c>
      <c r="G17704" s="10" t="s">
        <v>34</v>
      </c>
      <c r="H17704" s="9" t="s">
        <v>22</v>
      </c>
      <c r="I17704" s="9" t="s">
        <v>35954</v>
      </c>
      <c r="J17704" s="10" t="str">
        <f>HYPERLINK("https://www.boe.es/gazeta/dias/1834/12/06/pdfs/GMD-C-1834-295.pdf#page=1","Abrir facsímil")</f>
        <v>Abrir facsímil</v>
      </c>
      <c r="K17704" s="10" t="s">
        <v>24</v>
      </c>
    </row>
    <row r="17705" spans="1:11" ht="54" customHeight="1">
      <c r="A17705" s="9" t="s">
        <v>35952</v>
      </c>
      <c r="B17705" s="9" t="s">
        <v>35953</v>
      </c>
      <c r="C17705" s="9" t="s">
        <v>17</v>
      </c>
      <c r="D17705" s="9" t="s">
        <v>18</v>
      </c>
      <c r="E17705" s="10" t="s">
        <v>2860</v>
      </c>
      <c r="F17705" s="9" t="s">
        <v>2861</v>
      </c>
      <c r="G17705" s="10" t="s">
        <v>21</v>
      </c>
      <c r="H17705" s="9" t="s">
        <v>22</v>
      </c>
      <c r="I17705" s="9" t="s">
        <v>35955</v>
      </c>
      <c r="J17705" s="10" t="str">
        <f>HYPERLINK("https://www.boe.es/gazeta/dias/1834/07/20/pdfs/GMD-1834-153.pdf#page=3","Abrir facsímil")</f>
        <v>Abrir facsímil</v>
      </c>
      <c r="K17705" s="10" t="s">
        <v>24</v>
      </c>
    </row>
    <row r="17706" spans="1:11" ht="54" customHeight="1">
      <c r="A17706" s="9" t="s">
        <v>35956</v>
      </c>
      <c r="B17706" s="9" t="s">
        <v>35957</v>
      </c>
      <c r="C17706" s="9" t="s">
        <v>66</v>
      </c>
      <c r="D17706" s="9" t="s">
        <v>67</v>
      </c>
      <c r="E17706" s="10" t="s">
        <v>833</v>
      </c>
      <c r="F17706" s="9" t="s">
        <v>834</v>
      </c>
      <c r="G17706" s="10" t="s">
        <v>86</v>
      </c>
      <c r="H17706" s="9" t="s">
        <v>35</v>
      </c>
      <c r="I17706" s="9" t="s">
        <v>35958</v>
      </c>
      <c r="J17706" s="10" t="str">
        <f>HYPERLINK("https://www.boe.es/gazeta/dias/1834/04/24/pdfs/GMD-1834-63.pdf#page=2","Abrir facsímil")</f>
        <v>Abrir facsímil</v>
      </c>
      <c r="K17706" s="10" t="s">
        <v>37</v>
      </c>
    </row>
    <row r="17707" spans="1:11" ht="54" customHeight="1">
      <c r="A17707" s="9" t="s">
        <v>35959</v>
      </c>
      <c r="B17707" s="9" t="s">
        <v>35960</v>
      </c>
      <c r="C17707" s="9" t="s">
        <v>66</v>
      </c>
      <c r="D17707" s="9" t="s">
        <v>67</v>
      </c>
      <c r="E17707" s="10" t="s">
        <v>833</v>
      </c>
      <c r="F17707" s="9" t="s">
        <v>834</v>
      </c>
      <c r="G17707" s="10" t="s">
        <v>86</v>
      </c>
      <c r="H17707" s="9" t="s">
        <v>22</v>
      </c>
      <c r="I17707" s="9" t="s">
        <v>35961</v>
      </c>
      <c r="J17707" s="10" t="str">
        <f>HYPERLINK("https://www.boe.es/gazeta/dias/1834/04/24/pdfs/GMD-1834-63.pdf#page=2","Abrir facsímil")</f>
        <v>Abrir facsímil</v>
      </c>
      <c r="K17707" s="10" t="s">
        <v>24</v>
      </c>
    </row>
    <row r="17708" spans="1:11" ht="54" customHeight="1">
      <c r="A17708" s="9" t="s">
        <v>35962</v>
      </c>
      <c r="B17708" s="9" t="s">
        <v>35963</v>
      </c>
      <c r="C17708" s="9" t="s">
        <v>46</v>
      </c>
      <c r="D17708" s="9" t="s">
        <v>18</v>
      </c>
      <c r="E17708" s="10" t="s">
        <v>426</v>
      </c>
      <c r="F17708" s="9" t="s">
        <v>427</v>
      </c>
      <c r="G17708" s="10" t="s">
        <v>21</v>
      </c>
      <c r="H17708" s="9" t="s">
        <v>22</v>
      </c>
      <c r="I17708" s="9" t="s">
        <v>35964</v>
      </c>
      <c r="J17708" s="10" t="str">
        <f>HYPERLINK("https://www.boe.es/gazeta/dias/1834/10/04/pdfs/GMD-1834-232.pdf#page=3","Abrir facsímil")</f>
        <v>Abrir facsímil</v>
      </c>
      <c r="K17708" s="10" t="s">
        <v>24</v>
      </c>
    </row>
    <row r="17709" spans="1:11" ht="54" customHeight="1">
      <c r="A17709" s="9" t="s">
        <v>35965</v>
      </c>
      <c r="B17709" s="9" t="s">
        <v>35966</v>
      </c>
      <c r="C17709" s="9" t="s">
        <v>66</v>
      </c>
      <c r="D17709" s="9" t="s">
        <v>67</v>
      </c>
      <c r="E17709" s="10" t="s">
        <v>2945</v>
      </c>
      <c r="F17709" s="9" t="s">
        <v>2946</v>
      </c>
      <c r="G17709" s="10" t="s">
        <v>21</v>
      </c>
      <c r="H17709" s="9" t="s">
        <v>35</v>
      </c>
      <c r="I17709" s="9" t="s">
        <v>35967</v>
      </c>
      <c r="J17709" s="10" t="str">
        <f>HYPERLINK("https://www.boe.es/gazeta/dias/1834/05/29/pdfs/GMD-1834-98.pdf#page=3","Abrir facsímil")</f>
        <v>Abrir facsímil</v>
      </c>
      <c r="K17709" s="10" t="s">
        <v>37</v>
      </c>
    </row>
    <row r="17710" spans="1:11" ht="54" customHeight="1">
      <c r="A17710" s="9" t="s">
        <v>35968</v>
      </c>
      <c r="B17710" s="9" t="s">
        <v>35968</v>
      </c>
      <c r="C17710" s="9" t="s">
        <v>17</v>
      </c>
      <c r="D17710" s="9" t="s">
        <v>18</v>
      </c>
      <c r="E17710" s="10" t="s">
        <v>3025</v>
      </c>
      <c r="F17710" s="9" t="s">
        <v>3026</v>
      </c>
      <c r="G17710" s="10" t="s">
        <v>176</v>
      </c>
      <c r="H17710" s="9" t="s">
        <v>22</v>
      </c>
      <c r="I17710" s="9" t="s">
        <v>35969</v>
      </c>
      <c r="J17710" s="10" t="str">
        <f>HYPERLINK("https://www.boe.es/gazeta/dias/1834/05/25/pdfs/GMD-1834-94.pdf#page=6","Abrir facsímil")</f>
        <v>Abrir facsímil</v>
      </c>
      <c r="K17710" s="10" t="s">
        <v>24</v>
      </c>
    </row>
    <row r="17711" spans="1:11" ht="54" customHeight="1">
      <c r="A17711" s="9" t="s">
        <v>35970</v>
      </c>
      <c r="B17711" s="9" t="s">
        <v>35970</v>
      </c>
      <c r="C17711" s="9" t="s">
        <v>17</v>
      </c>
      <c r="D17711" s="9" t="s">
        <v>18</v>
      </c>
      <c r="E17711" s="10" t="s">
        <v>1410</v>
      </c>
      <c r="F17711" s="9" t="s">
        <v>1411</v>
      </c>
      <c r="G17711" s="10" t="s">
        <v>75</v>
      </c>
      <c r="H17711" s="9" t="s">
        <v>22</v>
      </c>
      <c r="I17711" s="9" t="s">
        <v>35971</v>
      </c>
      <c r="J17711" s="10" t="str">
        <f>HYPERLINK("https://www.boe.es/gazeta/dias/1834/09/09/pdfs/GMD-1834-207.pdf#page=4","Abrir facsímil")</f>
        <v>Abrir facsímil</v>
      </c>
      <c r="K17711" s="10" t="s">
        <v>24</v>
      </c>
    </row>
    <row r="17712" spans="1:11" ht="54" customHeight="1">
      <c r="A17712" s="9" t="s">
        <v>35970</v>
      </c>
      <c r="B17712" s="9" t="s">
        <v>35970</v>
      </c>
      <c r="C17712" s="9" t="s">
        <v>46</v>
      </c>
      <c r="D17712" s="9" t="s">
        <v>101</v>
      </c>
      <c r="E17712" s="10" t="s">
        <v>258</v>
      </c>
      <c r="F17712" s="9" t="s">
        <v>259</v>
      </c>
      <c r="G17712" s="10" t="s">
        <v>86</v>
      </c>
      <c r="H17712" s="9" t="s">
        <v>22</v>
      </c>
      <c r="I17712" s="9" t="s">
        <v>35972</v>
      </c>
      <c r="J17712" s="10" t="str">
        <f>HYPERLINK("https://www.boe.es/gazeta/dias/1834/10/09/pdfs/GMD-C-1834-237.pdf#page=2","Abrir facsímil")</f>
        <v>Abrir facsímil</v>
      </c>
      <c r="K17712" s="10" t="s">
        <v>24</v>
      </c>
    </row>
    <row r="17713" spans="1:11" ht="54" customHeight="1">
      <c r="A17713" s="9" t="s">
        <v>35970</v>
      </c>
      <c r="B17713" s="9" t="s">
        <v>35970</v>
      </c>
      <c r="C17713" s="9" t="s">
        <v>122</v>
      </c>
      <c r="D17713" s="9" t="s">
        <v>18</v>
      </c>
      <c r="E17713" s="10" t="s">
        <v>280</v>
      </c>
      <c r="F17713" s="9" t="s">
        <v>281</v>
      </c>
      <c r="G17713" s="10" t="s">
        <v>28</v>
      </c>
      <c r="H17713" s="9" t="s">
        <v>22</v>
      </c>
      <c r="I17713" s="9" t="s">
        <v>35973</v>
      </c>
      <c r="J17713" s="10" t="str">
        <f>HYPERLINK("https://www.boe.es/gazeta/dias/1834/08/29/pdfs/GMD-C-1834-195.pdf#page=5","Abrir facsímil")</f>
        <v>Abrir facsímil</v>
      </c>
      <c r="K17713" s="10" t="s">
        <v>24</v>
      </c>
    </row>
    <row r="17714" spans="1:11" ht="54" customHeight="1">
      <c r="A17714" s="9" t="s">
        <v>35970</v>
      </c>
      <c r="B17714" s="9" t="s">
        <v>35970</v>
      </c>
      <c r="C17714" s="9" t="s">
        <v>17</v>
      </c>
      <c r="D17714" s="9" t="s">
        <v>18</v>
      </c>
      <c r="E17714" s="10" t="s">
        <v>280</v>
      </c>
      <c r="F17714" s="9" t="s">
        <v>281</v>
      </c>
      <c r="G17714" s="10" t="s">
        <v>176</v>
      </c>
      <c r="H17714" s="9" t="s">
        <v>22</v>
      </c>
      <c r="I17714" s="9" t="s">
        <v>35974</v>
      </c>
      <c r="J17714" s="10" t="str">
        <f>HYPERLINK("https://www.boe.es/gazeta/dias/1834/08/29/pdfs/GMD-C-1834-195.pdf#page=6","Abrir facsímil")</f>
        <v>Abrir facsímil</v>
      </c>
      <c r="K17714" s="10" t="s">
        <v>24</v>
      </c>
    </row>
    <row r="17715" spans="1:11" ht="54" customHeight="1">
      <c r="A17715" s="9" t="s">
        <v>35975</v>
      </c>
      <c r="B17715" s="9" t="s">
        <v>35976</v>
      </c>
      <c r="C17715" s="9" t="s">
        <v>90</v>
      </c>
      <c r="D17715" s="9" t="s">
        <v>18</v>
      </c>
      <c r="E17715" s="10" t="s">
        <v>3083</v>
      </c>
      <c r="F17715" s="9" t="s">
        <v>3084</v>
      </c>
      <c r="G17715" s="10" t="s">
        <v>21</v>
      </c>
      <c r="H17715" s="9" t="s">
        <v>35</v>
      </c>
      <c r="I17715" s="9" t="s">
        <v>35977</v>
      </c>
      <c r="J17715" s="10" t="str">
        <f>HYPERLINK("https://www.boe.es/gazeta/dias/1834/10/30/pdfs/GMD-1834-258.pdf#page=3","Abrir facsímil")</f>
        <v>Abrir facsímil</v>
      </c>
      <c r="K17715" s="10" t="s">
        <v>37</v>
      </c>
    </row>
    <row r="17716" spans="1:11" ht="54" customHeight="1">
      <c r="A17716" s="9" t="s">
        <v>35978</v>
      </c>
      <c r="B17716" s="9" t="s">
        <v>35979</v>
      </c>
      <c r="C17716" s="9" t="s">
        <v>90</v>
      </c>
      <c r="D17716" s="9" t="s">
        <v>18</v>
      </c>
      <c r="E17716" s="10" t="s">
        <v>3083</v>
      </c>
      <c r="F17716" s="9" t="s">
        <v>3084</v>
      </c>
      <c r="G17716" s="10" t="s">
        <v>21</v>
      </c>
      <c r="H17716" s="9" t="s">
        <v>22</v>
      </c>
      <c r="I17716" s="9" t="s">
        <v>35980</v>
      </c>
      <c r="J17716" s="10" t="str">
        <f>HYPERLINK("https://www.boe.es/gazeta/dias/1834/10/30/pdfs/GMD-1834-258.pdf#page=3","Abrir facsímil")</f>
        <v>Abrir facsímil</v>
      </c>
      <c r="K17716" s="10" t="s">
        <v>24</v>
      </c>
    </row>
    <row r="17717" spans="1:11" ht="54" customHeight="1">
      <c r="A17717" s="9" t="s">
        <v>35981</v>
      </c>
      <c r="B17717" s="9" t="s">
        <v>35981</v>
      </c>
      <c r="C17717" s="9" t="s">
        <v>122</v>
      </c>
      <c r="D17717" s="9" t="s">
        <v>18</v>
      </c>
      <c r="E17717" s="10" t="s">
        <v>348</v>
      </c>
      <c r="F17717" s="9" t="s">
        <v>501</v>
      </c>
      <c r="G17717" s="10" t="s">
        <v>86</v>
      </c>
      <c r="H17717" s="9" t="s">
        <v>22</v>
      </c>
      <c r="I17717" s="9" t="s">
        <v>35982</v>
      </c>
      <c r="J17717" s="10" t="str">
        <f>HYPERLINK("https://www.boe.es/gazeta/dias/1834/06/12/pdfs/GMD-1834-115.pdf#page=2","Abrir facsímil")</f>
        <v>Abrir facsímil</v>
      </c>
      <c r="K17717" s="10" t="s">
        <v>24</v>
      </c>
    </row>
    <row r="17718" spans="1:11" ht="54" customHeight="1">
      <c r="A17718" s="9" t="s">
        <v>35983</v>
      </c>
      <c r="B17718" s="9" t="s">
        <v>35983</v>
      </c>
      <c r="C17718" s="9" t="s">
        <v>122</v>
      </c>
      <c r="D17718" s="9" t="s">
        <v>18</v>
      </c>
      <c r="E17718" s="10" t="s">
        <v>348</v>
      </c>
      <c r="F17718" s="9" t="s">
        <v>501</v>
      </c>
      <c r="G17718" s="10" t="s">
        <v>86</v>
      </c>
      <c r="H17718" s="9" t="s">
        <v>22</v>
      </c>
      <c r="I17718" s="9" t="s">
        <v>35984</v>
      </c>
      <c r="J17718" s="10" t="str">
        <f>HYPERLINK("https://www.boe.es/gazeta/dias/1834/06/12/pdfs/GMD-1834-115.pdf#page=2","Abrir facsímil")</f>
        <v>Abrir facsímil</v>
      </c>
      <c r="K17718" s="10" t="s">
        <v>24</v>
      </c>
    </row>
    <row r="17719" spans="1:11" ht="54" customHeight="1">
      <c r="A17719" s="9" t="s">
        <v>35985</v>
      </c>
      <c r="B17719" s="9" t="s">
        <v>35986</v>
      </c>
      <c r="C17719" s="9" t="s">
        <v>122</v>
      </c>
      <c r="D17719" s="9" t="s">
        <v>18</v>
      </c>
      <c r="E17719" s="10" t="s">
        <v>2153</v>
      </c>
      <c r="F17719" s="9" t="s">
        <v>2154</v>
      </c>
      <c r="G17719" s="10" t="s">
        <v>21</v>
      </c>
      <c r="H17719" s="9" t="s">
        <v>35</v>
      </c>
      <c r="I17719" s="9" t="s">
        <v>35987</v>
      </c>
      <c r="J17719" s="10" t="str">
        <f>HYPERLINK("https://www.boe.es/gazeta/dias/1834/01/23/pdfs/GMD-1834-11.pdf#page=3","Abrir facsímil")</f>
        <v>Abrir facsímil</v>
      </c>
      <c r="K17719" s="10" t="s">
        <v>37</v>
      </c>
    </row>
    <row r="17720" spans="1:11" ht="54" customHeight="1">
      <c r="A17720" s="9" t="s">
        <v>35988</v>
      </c>
      <c r="B17720" s="9" t="s">
        <v>35989</v>
      </c>
      <c r="C17720" s="9" t="s">
        <v>122</v>
      </c>
      <c r="D17720" s="9" t="s">
        <v>18</v>
      </c>
      <c r="E17720" s="10" t="s">
        <v>2153</v>
      </c>
      <c r="F17720" s="9" t="s">
        <v>2154</v>
      </c>
      <c r="G17720" s="10" t="s">
        <v>21</v>
      </c>
      <c r="H17720" s="9" t="s">
        <v>22</v>
      </c>
      <c r="I17720" s="9" t="s">
        <v>35990</v>
      </c>
      <c r="J17720" s="10" t="str">
        <f>HYPERLINK("https://www.boe.es/gazeta/dias/1834/01/23/pdfs/GMD-1834-11.pdf#page=3","Abrir facsímil")</f>
        <v>Abrir facsímil</v>
      </c>
      <c r="K17720" s="10" t="s">
        <v>24</v>
      </c>
    </row>
    <row r="17721" spans="1:11" ht="54" customHeight="1">
      <c r="A17721" s="9" t="s">
        <v>35991</v>
      </c>
      <c r="B17721" s="9" t="s">
        <v>35991</v>
      </c>
      <c r="C17721" s="9" t="s">
        <v>66</v>
      </c>
      <c r="D17721" s="9" t="s">
        <v>18</v>
      </c>
      <c r="E17721" s="10" t="s">
        <v>1883</v>
      </c>
      <c r="F17721" s="9" t="s">
        <v>1884</v>
      </c>
      <c r="G17721" s="10" t="s">
        <v>21</v>
      </c>
      <c r="H17721" s="9" t="s">
        <v>22</v>
      </c>
      <c r="I17721" s="9" t="s">
        <v>35992</v>
      </c>
      <c r="J17721" s="10" t="str">
        <f>HYPERLINK("https://www.boe.es/gazeta/dias/1834/01/11/pdfs/GMD-1834-6.pdf#page=3","Abrir facsímil")</f>
        <v>Abrir facsímil</v>
      </c>
      <c r="K17721" s="10" t="s">
        <v>24</v>
      </c>
    </row>
    <row r="17722" spans="1:11" ht="54" customHeight="1">
      <c r="A17722" s="9" t="s">
        <v>35993</v>
      </c>
      <c r="B17722" s="9" t="s">
        <v>35993</v>
      </c>
      <c r="C17722" s="9" t="s">
        <v>17</v>
      </c>
      <c r="D17722" s="9" t="s">
        <v>18</v>
      </c>
      <c r="E17722" s="10" t="s">
        <v>348</v>
      </c>
      <c r="F17722" s="9" t="s">
        <v>501</v>
      </c>
      <c r="G17722" s="10" t="s">
        <v>86</v>
      </c>
      <c r="H17722" s="9" t="s">
        <v>22</v>
      </c>
      <c r="I17722" s="9" t="s">
        <v>35994</v>
      </c>
      <c r="J17722" s="10" t="str">
        <f>HYPERLINK("https://www.boe.es/gazeta/dias/1834/06/12/pdfs/GMD-1834-115.pdf#page=2","Abrir facsímil")</f>
        <v>Abrir facsímil</v>
      </c>
      <c r="K17722" s="10" t="s">
        <v>24</v>
      </c>
    </row>
    <row r="17723" spans="1:11" ht="54" customHeight="1">
      <c r="A17723" s="9" t="s">
        <v>35995</v>
      </c>
      <c r="B17723" s="9" t="s">
        <v>35996</v>
      </c>
      <c r="C17723" s="9" t="s">
        <v>17</v>
      </c>
      <c r="D17723" s="9" t="s">
        <v>18</v>
      </c>
      <c r="E17723" s="10" t="s">
        <v>343</v>
      </c>
      <c r="F17723" s="9" t="s">
        <v>344</v>
      </c>
      <c r="G17723" s="10" t="s">
        <v>75</v>
      </c>
      <c r="H17723" s="9" t="s">
        <v>22</v>
      </c>
      <c r="I17723" s="9" t="s">
        <v>35997</v>
      </c>
      <c r="J17723" s="10" t="str">
        <f>HYPERLINK("https://www.boe.es/gazeta/dias/1834/01/14/pdfs/GMD-1834-7.pdf#page=4","Abrir facsímil")</f>
        <v>Abrir facsímil</v>
      </c>
      <c r="K17723" s="10" t="s">
        <v>24</v>
      </c>
    </row>
    <row r="17724" spans="1:11" ht="54" customHeight="1">
      <c r="A17724" s="9" t="s">
        <v>35998</v>
      </c>
      <c r="B17724" s="9" t="s">
        <v>35999</v>
      </c>
      <c r="C17724" s="9" t="s">
        <v>17</v>
      </c>
      <c r="D17724" s="9" t="s">
        <v>18</v>
      </c>
      <c r="E17724" s="10" t="s">
        <v>905</v>
      </c>
      <c r="F17724" s="9" t="s">
        <v>1651</v>
      </c>
      <c r="G17724" s="10" t="s">
        <v>21</v>
      </c>
      <c r="H17724" s="9" t="s">
        <v>22</v>
      </c>
      <c r="I17724" s="9" t="s">
        <v>36000</v>
      </c>
      <c r="J17724" s="10" t="str">
        <f>HYPERLINK("https://www.boe.es/gazeta/dias/1834/08/02/pdfs/GMD-1834-166.pdf#page=3","Abrir facsímil")</f>
        <v>Abrir facsímil</v>
      </c>
      <c r="K17724" s="10" t="s">
        <v>24</v>
      </c>
    </row>
    <row r="17725" spans="1:11" ht="54" customHeight="1">
      <c r="A17725" s="9" t="s">
        <v>36001</v>
      </c>
      <c r="B17725" s="9" t="s">
        <v>36002</v>
      </c>
      <c r="C17725" s="9" t="s">
        <v>17</v>
      </c>
      <c r="D17725" s="9" t="s">
        <v>101</v>
      </c>
      <c r="E17725" s="10" t="s">
        <v>1883</v>
      </c>
      <c r="F17725" s="9" t="s">
        <v>1884</v>
      </c>
      <c r="G17725" s="10" t="s">
        <v>75</v>
      </c>
      <c r="H17725" s="9" t="s">
        <v>35</v>
      </c>
      <c r="I17725" s="9" t="s">
        <v>36003</v>
      </c>
      <c r="J17725" s="10" t="str">
        <f>HYPERLINK("https://www.boe.es/gazeta/dias/1834/01/11/pdfs/GMD-1834-6.pdf#page=4","Abrir facsímil")</f>
        <v>Abrir facsímil</v>
      </c>
      <c r="K17725" s="10" t="s">
        <v>37</v>
      </c>
    </row>
    <row r="17726" spans="1:11" ht="54" customHeight="1">
      <c r="A17726" s="9" t="s">
        <v>36004</v>
      </c>
      <c r="B17726" s="9" t="s">
        <v>36005</v>
      </c>
      <c r="C17726" s="9" t="s">
        <v>17</v>
      </c>
      <c r="D17726" s="9" t="s">
        <v>101</v>
      </c>
      <c r="E17726" s="10" t="s">
        <v>1883</v>
      </c>
      <c r="F17726" s="9" t="s">
        <v>1884</v>
      </c>
      <c r="G17726" s="10" t="s">
        <v>75</v>
      </c>
      <c r="H17726" s="9" t="s">
        <v>22</v>
      </c>
      <c r="I17726" s="9" t="s">
        <v>36006</v>
      </c>
      <c r="J17726" s="10" t="str">
        <f>HYPERLINK("https://www.boe.es/gazeta/dias/1834/01/11/pdfs/GMD-1834-6.pdf#page=4","Abrir facsímil")</f>
        <v>Abrir facsímil</v>
      </c>
      <c r="K17726" s="10" t="s">
        <v>24</v>
      </c>
    </row>
    <row r="17727" spans="1:11" ht="54" customHeight="1">
      <c r="A17727" s="9" t="s">
        <v>36007</v>
      </c>
      <c r="B17727" s="9" t="s">
        <v>36007</v>
      </c>
      <c r="C17727" s="9" t="s">
        <v>857</v>
      </c>
      <c r="D17727" s="9" t="s">
        <v>55</v>
      </c>
      <c r="E17727" s="10" t="s">
        <v>1103</v>
      </c>
      <c r="F17727" s="9" t="s">
        <v>1259</v>
      </c>
      <c r="G17727" s="10" t="s">
        <v>34</v>
      </c>
      <c r="H17727" s="9" t="s">
        <v>22</v>
      </c>
      <c r="I17727" s="9" t="s">
        <v>36008</v>
      </c>
      <c r="J17727" s="10" t="str">
        <f>HYPERLINK("https://www.boe.es/gazeta/dias/1834/10/10/pdfs/GMD-1834-238.pdf#page=1","Abrir facsímil")</f>
        <v>Abrir facsímil</v>
      </c>
      <c r="K17727" s="10" t="s">
        <v>24</v>
      </c>
    </row>
    <row r="17728" spans="1:11" ht="54" customHeight="1">
      <c r="A17728" s="9" t="s">
        <v>36009</v>
      </c>
      <c r="B17728" s="9" t="s">
        <v>36010</v>
      </c>
      <c r="C17728" s="9" t="s">
        <v>46</v>
      </c>
      <c r="D17728" s="9" t="s">
        <v>101</v>
      </c>
      <c r="E17728" s="10" t="s">
        <v>143</v>
      </c>
      <c r="F17728" s="9" t="s">
        <v>144</v>
      </c>
      <c r="G17728" s="10" t="s">
        <v>21</v>
      </c>
      <c r="H17728" s="9" t="s">
        <v>22</v>
      </c>
      <c r="I17728" s="9" t="s">
        <v>36011</v>
      </c>
      <c r="J17728" s="10" t="str">
        <f>HYPERLINK("https://www.boe.es/gazeta/dias/1834/07/31/pdfs/GMD-1834-164.pdf#page=3","Abrir facsímil")</f>
        <v>Abrir facsímil</v>
      </c>
      <c r="K17728" s="10" t="s">
        <v>24</v>
      </c>
    </row>
    <row r="17729" spans="1:11" ht="54" customHeight="1">
      <c r="A17729" s="9" t="s">
        <v>36012</v>
      </c>
      <c r="B17729" s="9" t="s">
        <v>36012</v>
      </c>
      <c r="C17729" s="9" t="s">
        <v>17</v>
      </c>
      <c r="D17729" s="9" t="s">
        <v>18</v>
      </c>
      <c r="E17729" s="10" t="s">
        <v>268</v>
      </c>
      <c r="F17729" s="9" t="s">
        <v>269</v>
      </c>
      <c r="G17729" s="10" t="s">
        <v>21</v>
      </c>
      <c r="H17729" s="9" t="s">
        <v>22</v>
      </c>
      <c r="I17729" s="9" t="s">
        <v>36013</v>
      </c>
      <c r="J17729" s="10" t="str">
        <f>HYPERLINK("https://www.boe.es/gazeta/dias/1834/12/19/pdfs/GMD-C-1834-309.pdf#page=3","Abrir facsímil")</f>
        <v>Abrir facsímil</v>
      </c>
      <c r="K17729" s="10" t="s">
        <v>24</v>
      </c>
    </row>
    <row r="17730" spans="1:11" ht="54" customHeight="1">
      <c r="A17730" s="9" t="s">
        <v>36014</v>
      </c>
      <c r="B17730" s="9" t="s">
        <v>36015</v>
      </c>
      <c r="C17730" s="9" t="s">
        <v>17</v>
      </c>
      <c r="D17730" s="9" t="s">
        <v>18</v>
      </c>
      <c r="E17730" s="10" t="s">
        <v>96</v>
      </c>
      <c r="F17730" s="9" t="s">
        <v>1725</v>
      </c>
      <c r="G17730" s="10" t="s">
        <v>75</v>
      </c>
      <c r="H17730" s="9" t="s">
        <v>22</v>
      </c>
      <c r="I17730" s="9" t="s">
        <v>36016</v>
      </c>
      <c r="J17730" s="10" t="str">
        <f>HYPERLINK("https://www.boe.es/gazeta/dias/1834/11/11/pdfs/GMD-1834-270.pdf#page=4","Abrir facsímil")</f>
        <v>Abrir facsímil</v>
      </c>
      <c r="K17730" s="10" t="s">
        <v>24</v>
      </c>
    </row>
    <row r="17731" spans="1:11" ht="54" customHeight="1">
      <c r="A17731" s="9" t="s">
        <v>36017</v>
      </c>
      <c r="B17731" s="9" t="s">
        <v>36017</v>
      </c>
      <c r="C17731" s="9" t="s">
        <v>17</v>
      </c>
      <c r="D17731" s="9" t="s">
        <v>18</v>
      </c>
      <c r="E17731" s="10" t="s">
        <v>84</v>
      </c>
      <c r="F17731" s="9" t="s">
        <v>1223</v>
      </c>
      <c r="G17731" s="10" t="s">
        <v>21</v>
      </c>
      <c r="H17731" s="9" t="s">
        <v>22</v>
      </c>
      <c r="I17731" s="9" t="s">
        <v>36018</v>
      </c>
      <c r="J17731" s="10" t="str">
        <f>HYPERLINK("https://www.boe.es/gazeta/dias/1834/06/07/pdfs/GMD-1834-109.pdf#page=3","Abrir facsímil")</f>
        <v>Abrir facsímil</v>
      </c>
      <c r="K17731" s="10" t="s">
        <v>24</v>
      </c>
    </row>
    <row r="17732" spans="1:11" ht="54" customHeight="1">
      <c r="A17732" s="9" t="s">
        <v>36017</v>
      </c>
      <c r="B17732" s="9" t="s">
        <v>36017</v>
      </c>
      <c r="C17732" s="9" t="s">
        <v>17</v>
      </c>
      <c r="D17732" s="9" t="s">
        <v>55</v>
      </c>
      <c r="E17732" s="10" t="s">
        <v>7523</v>
      </c>
      <c r="F17732" s="9" t="s">
        <v>7524</v>
      </c>
      <c r="G17732" s="10" t="s">
        <v>21</v>
      </c>
      <c r="H17732" s="9" t="s">
        <v>22</v>
      </c>
      <c r="I17732" s="9" t="s">
        <v>36019</v>
      </c>
      <c r="J17732" s="10" t="str">
        <f>HYPERLINK("https://www.boe.es/gazeta/dias/1834/12/26/pdfs/GMD-1834-316.pdf#page=3","Abrir facsímil")</f>
        <v>Abrir facsímil</v>
      </c>
      <c r="K17732" s="10" t="s">
        <v>24</v>
      </c>
    </row>
    <row r="17733" spans="1:11" ht="54" customHeight="1">
      <c r="A17733" s="9" t="s">
        <v>36020</v>
      </c>
      <c r="B17733" s="9" t="s">
        <v>36021</v>
      </c>
      <c r="C17733" s="9" t="s">
        <v>66</v>
      </c>
      <c r="D17733" s="9" t="s">
        <v>67</v>
      </c>
      <c r="E17733" s="10" t="s">
        <v>772</v>
      </c>
      <c r="F17733" s="9" t="s">
        <v>773</v>
      </c>
      <c r="G17733" s="10" t="s">
        <v>21</v>
      </c>
      <c r="H17733" s="9" t="s">
        <v>35</v>
      </c>
      <c r="I17733" s="9" t="s">
        <v>36022</v>
      </c>
      <c r="J17733" s="10" t="str">
        <f>HYPERLINK("https://www.boe.es/gazeta/dias/1834/09/18/pdfs/GMD-1834-216.pdf#page=3","Abrir facsímil")</f>
        <v>Abrir facsímil</v>
      </c>
      <c r="K17733" s="10" t="s">
        <v>37</v>
      </c>
    </row>
    <row r="17734" spans="1:11" ht="54" customHeight="1">
      <c r="A17734" s="9" t="s">
        <v>36023</v>
      </c>
      <c r="B17734" s="9" t="s">
        <v>36024</v>
      </c>
      <c r="C17734" s="9" t="s">
        <v>66</v>
      </c>
      <c r="D17734" s="9" t="s">
        <v>67</v>
      </c>
      <c r="E17734" s="10" t="s">
        <v>772</v>
      </c>
      <c r="F17734" s="9" t="s">
        <v>773</v>
      </c>
      <c r="G17734" s="10" t="s">
        <v>21</v>
      </c>
      <c r="H17734" s="9" t="s">
        <v>22</v>
      </c>
      <c r="I17734" s="9" t="s">
        <v>36025</v>
      </c>
      <c r="J17734" s="10" t="str">
        <f>HYPERLINK("https://www.boe.es/gazeta/dias/1834/09/18/pdfs/GMD-1834-216.pdf#page=3","Abrir facsímil")</f>
        <v>Abrir facsímil</v>
      </c>
      <c r="K17734" s="10" t="s">
        <v>24</v>
      </c>
    </row>
    <row r="17735" spans="1:11" ht="54" customHeight="1">
      <c r="A17735" s="9" t="s">
        <v>36026</v>
      </c>
      <c r="B17735" s="9" t="s">
        <v>36027</v>
      </c>
      <c r="C17735" s="9" t="s">
        <v>46</v>
      </c>
      <c r="D17735" s="9" t="s">
        <v>55</v>
      </c>
      <c r="E17735" s="10" t="s">
        <v>870</v>
      </c>
      <c r="F17735" s="9" t="s">
        <v>871</v>
      </c>
      <c r="G17735" s="10" t="s">
        <v>75</v>
      </c>
      <c r="H17735" s="9" t="s">
        <v>35</v>
      </c>
      <c r="I17735" s="9" t="s">
        <v>36028</v>
      </c>
      <c r="J17735" s="10" t="str">
        <f>HYPERLINK("https://www.boe.es/gazeta/dias/1834/05/28/pdfs/GMD-1834-97.pdf#page=4","Abrir facsímil")</f>
        <v>Abrir facsímil</v>
      </c>
      <c r="K17735" s="10" t="s">
        <v>37</v>
      </c>
    </row>
    <row r="17736" spans="1:11" ht="54" customHeight="1">
      <c r="A17736" s="9" t="s">
        <v>36029</v>
      </c>
      <c r="B17736" s="9" t="s">
        <v>36030</v>
      </c>
      <c r="C17736" s="9" t="s">
        <v>17</v>
      </c>
      <c r="D17736" s="9" t="s">
        <v>18</v>
      </c>
      <c r="E17736" s="10" t="s">
        <v>1862</v>
      </c>
      <c r="F17736" s="9" t="s">
        <v>1863</v>
      </c>
      <c r="G17736" s="10" t="s">
        <v>34</v>
      </c>
      <c r="H17736" s="9" t="s">
        <v>35</v>
      </c>
      <c r="I17736" s="9" t="s">
        <v>36031</v>
      </c>
      <c r="J17736" s="10" t="str">
        <f>HYPERLINK("https://www.boe.es/gazeta/dias/1834/02/04/pdfs/GMD-1834-16.pdf#page=1","Abrir facsímil")</f>
        <v>Abrir facsímil</v>
      </c>
      <c r="K17736" s="10" t="s">
        <v>37</v>
      </c>
    </row>
    <row r="17737" spans="1:11" ht="54" customHeight="1">
      <c r="A17737" s="9" t="s">
        <v>36032</v>
      </c>
      <c r="B17737" s="9" t="s">
        <v>36033</v>
      </c>
      <c r="C17737" s="9" t="s">
        <v>17</v>
      </c>
      <c r="D17737" s="9" t="s">
        <v>18</v>
      </c>
      <c r="E17737" s="10" t="s">
        <v>1459</v>
      </c>
      <c r="F17737" s="9" t="s">
        <v>1460</v>
      </c>
      <c r="G17737" s="10" t="s">
        <v>75</v>
      </c>
      <c r="H17737" s="9" t="s">
        <v>35</v>
      </c>
      <c r="I17737" s="9" t="s">
        <v>36034</v>
      </c>
      <c r="J17737" s="10" t="str">
        <f>HYPERLINK("https://www.boe.es/gazeta/dias/1834/08/18/pdfs/GMD-1834-184.pdf#page=4","Abrir facsímil")</f>
        <v>Abrir facsímil</v>
      </c>
      <c r="K17737" s="10" t="s">
        <v>37</v>
      </c>
    </row>
    <row r="17738" spans="1:11" ht="54" customHeight="1">
      <c r="A17738" s="9" t="s">
        <v>36035</v>
      </c>
      <c r="B17738" s="9" t="s">
        <v>36036</v>
      </c>
      <c r="C17738" s="9" t="s">
        <v>17</v>
      </c>
      <c r="D17738" s="9" t="s">
        <v>101</v>
      </c>
      <c r="E17738" s="10" t="s">
        <v>167</v>
      </c>
      <c r="F17738" s="9" t="s">
        <v>1200</v>
      </c>
      <c r="G17738" s="10" t="s">
        <v>21</v>
      </c>
      <c r="H17738" s="9" t="s">
        <v>35</v>
      </c>
      <c r="I17738" s="9" t="s">
        <v>36037</v>
      </c>
      <c r="J17738" s="10" t="str">
        <f>HYPERLINK("https://www.boe.es/gazeta/dias/1834/09/07/pdfs/GMD-C-1834-205.pdf#page=3","Abrir facsímil")</f>
        <v>Abrir facsímil</v>
      </c>
      <c r="K17738" s="10" t="s">
        <v>37</v>
      </c>
    </row>
    <row r="17739" spans="1:11" ht="54" customHeight="1">
      <c r="A17739" s="9" t="s">
        <v>36038</v>
      </c>
      <c r="B17739" s="9" t="s">
        <v>36039</v>
      </c>
      <c r="C17739" s="9" t="s">
        <v>66</v>
      </c>
      <c r="D17739" s="9" t="s">
        <v>18</v>
      </c>
      <c r="E17739" s="10" t="s">
        <v>928</v>
      </c>
      <c r="F17739" s="9" t="s">
        <v>3338</v>
      </c>
      <c r="G17739" s="10" t="s">
        <v>21</v>
      </c>
      <c r="H17739" s="9" t="s">
        <v>35</v>
      </c>
      <c r="I17739" s="9" t="s">
        <v>36040</v>
      </c>
      <c r="J17739" s="10" t="str">
        <f>HYPERLINK("https://www.boe.es/gazeta/dias/1834/11/15/pdfs/GMD-1834-274.pdf#page=3","Abrir facsímil")</f>
        <v>Abrir facsímil</v>
      </c>
      <c r="K17739" s="10" t="s">
        <v>37</v>
      </c>
    </row>
    <row r="17740" spans="1:11" ht="54" customHeight="1">
      <c r="A17740" s="9" t="s">
        <v>36041</v>
      </c>
      <c r="B17740" s="9" t="s">
        <v>36042</v>
      </c>
      <c r="C17740" s="9" t="s">
        <v>17</v>
      </c>
      <c r="D17740" s="9" t="s">
        <v>18</v>
      </c>
      <c r="E17740" s="10" t="s">
        <v>1692</v>
      </c>
      <c r="F17740" s="9" t="s">
        <v>1693</v>
      </c>
      <c r="G17740" s="10" t="s">
        <v>34</v>
      </c>
      <c r="H17740" s="9" t="s">
        <v>35</v>
      </c>
      <c r="I17740" s="9" t="s">
        <v>36043</v>
      </c>
      <c r="J17740" s="10" t="str">
        <f>HYPERLINK("https://www.boe.es/gazeta/dias/1834/07/29/pdfs/GMD-1834-162.pdf#page=1","Abrir facsímil")</f>
        <v>Abrir facsímil</v>
      </c>
      <c r="K17740" s="10" t="s">
        <v>37</v>
      </c>
    </row>
    <row r="17741" spans="1:11" ht="54" customHeight="1">
      <c r="A17741" s="9" t="s">
        <v>36044</v>
      </c>
      <c r="B17741" s="9" t="s">
        <v>36045</v>
      </c>
      <c r="C17741" s="9" t="s">
        <v>17</v>
      </c>
      <c r="D17741" s="9" t="s">
        <v>101</v>
      </c>
      <c r="E17741" s="10" t="s">
        <v>167</v>
      </c>
      <c r="F17741" s="9" t="s">
        <v>1200</v>
      </c>
      <c r="G17741" s="10" t="s">
        <v>21</v>
      </c>
      <c r="H17741" s="9" t="s">
        <v>35</v>
      </c>
      <c r="I17741" s="9" t="s">
        <v>36046</v>
      </c>
      <c r="J17741" s="10" t="str">
        <f>HYPERLINK("https://www.boe.es/gazeta/dias/1834/09/07/pdfs/GMD-C-1834-205.pdf#page=3","Abrir facsímil")</f>
        <v>Abrir facsímil</v>
      </c>
      <c r="K17741" s="10" t="s">
        <v>37</v>
      </c>
    </row>
    <row r="17742" spans="1:11" ht="54" customHeight="1">
      <c r="A17742" s="9" t="s">
        <v>36047</v>
      </c>
      <c r="B17742" s="9" t="s">
        <v>36048</v>
      </c>
      <c r="C17742" s="9" t="s">
        <v>17</v>
      </c>
      <c r="D17742" s="9" t="s">
        <v>18</v>
      </c>
      <c r="E17742" s="10" t="s">
        <v>753</v>
      </c>
      <c r="F17742" s="9" t="s">
        <v>754</v>
      </c>
      <c r="G17742" s="10" t="s">
        <v>75</v>
      </c>
      <c r="H17742" s="9" t="s">
        <v>35</v>
      </c>
      <c r="I17742" s="9" t="s">
        <v>36049</v>
      </c>
      <c r="J17742" s="10" t="str">
        <f>HYPERLINK("https://www.boe.es/gazeta/dias/1834/04/21/pdfs/GMD-1834-60.pdf#page=4","Abrir facsímil")</f>
        <v>Abrir facsímil</v>
      </c>
      <c r="K17742" s="10" t="s">
        <v>37</v>
      </c>
    </row>
    <row r="17743" spans="1:11" ht="54" customHeight="1">
      <c r="A17743" s="9" t="s">
        <v>36050</v>
      </c>
      <c r="B17743" s="9" t="s">
        <v>36051</v>
      </c>
      <c r="C17743" s="9" t="s">
        <v>46</v>
      </c>
      <c r="D17743" s="9" t="s">
        <v>101</v>
      </c>
      <c r="E17743" s="10" t="s">
        <v>849</v>
      </c>
      <c r="F17743" s="9" t="s">
        <v>850</v>
      </c>
      <c r="G17743" s="10" t="s">
        <v>75</v>
      </c>
      <c r="H17743" s="9" t="s">
        <v>35</v>
      </c>
      <c r="I17743" s="9" t="s">
        <v>36052</v>
      </c>
      <c r="J17743" s="10" t="str">
        <f>HYPERLINK("https://www.boe.es/gazeta/dias/1834/06/21/pdfs/GMD-1834-124.pdf#page=4","Abrir facsímil")</f>
        <v>Abrir facsímil</v>
      </c>
      <c r="K17743" s="10" t="s">
        <v>37</v>
      </c>
    </row>
    <row r="17744" spans="1:11" ht="54" customHeight="1">
      <c r="A17744" s="9" t="s">
        <v>36053</v>
      </c>
      <c r="B17744" s="9" t="s">
        <v>36054</v>
      </c>
      <c r="C17744" s="9" t="s">
        <v>17</v>
      </c>
      <c r="D17744" s="9" t="s">
        <v>18</v>
      </c>
      <c r="E17744" s="10" t="s">
        <v>1556</v>
      </c>
      <c r="F17744" s="9" t="s">
        <v>1557</v>
      </c>
      <c r="G17744" s="10" t="s">
        <v>21</v>
      </c>
      <c r="H17744" s="9" t="s">
        <v>35</v>
      </c>
      <c r="I17744" s="9" t="s">
        <v>36055</v>
      </c>
      <c r="J17744" s="10" t="str">
        <f>HYPERLINK("https://www.boe.es/gazeta/dias/1834/06/06/pdfs/GMD-1834-108.pdf#page=3","Abrir facsímil")</f>
        <v>Abrir facsímil</v>
      </c>
      <c r="K17744" s="10" t="s">
        <v>37</v>
      </c>
    </row>
    <row r="17745" spans="1:11" ht="54" customHeight="1">
      <c r="A17745" s="9" t="s">
        <v>36056</v>
      </c>
      <c r="B17745" s="9" t="s">
        <v>36057</v>
      </c>
      <c r="C17745" s="9" t="s">
        <v>17</v>
      </c>
      <c r="D17745" s="9" t="s">
        <v>18</v>
      </c>
      <c r="E17745" s="10" t="s">
        <v>286</v>
      </c>
      <c r="F17745" s="9" t="s">
        <v>548</v>
      </c>
      <c r="G17745" s="10" t="s">
        <v>75</v>
      </c>
      <c r="H17745" s="9" t="s">
        <v>35</v>
      </c>
      <c r="I17745" s="9" t="s">
        <v>36058</v>
      </c>
      <c r="J17745" s="10" t="str">
        <f>HYPERLINK("https://www.boe.es/gazeta/dias/1834/08/30/pdfs/GMD-1834-196.pdf#page=4","Abrir facsímil")</f>
        <v>Abrir facsímil</v>
      </c>
      <c r="K17745" s="10" t="s">
        <v>37</v>
      </c>
    </row>
    <row r="17746" spans="1:11" ht="54" customHeight="1">
      <c r="A17746" s="9" t="s">
        <v>36059</v>
      </c>
      <c r="B17746" s="9" t="s">
        <v>36060</v>
      </c>
      <c r="C17746" s="9" t="s">
        <v>17</v>
      </c>
      <c r="D17746" s="9" t="s">
        <v>18</v>
      </c>
      <c r="E17746" s="10" t="s">
        <v>753</v>
      </c>
      <c r="F17746" s="9" t="s">
        <v>754</v>
      </c>
      <c r="G17746" s="10" t="s">
        <v>34</v>
      </c>
      <c r="H17746" s="9" t="s">
        <v>35</v>
      </c>
      <c r="I17746" s="9" t="s">
        <v>36061</v>
      </c>
      <c r="J17746" s="10" t="str">
        <f>HYPERLINK("https://www.boe.es/gazeta/dias/1834/04/21/pdfs/GMD-1834-60.pdf#page=1","Abrir facsímil")</f>
        <v>Abrir facsímil</v>
      </c>
      <c r="K17746" s="10" t="s">
        <v>37</v>
      </c>
    </row>
    <row r="17747" spans="1:11" ht="54" customHeight="1">
      <c r="A17747" s="9" t="s">
        <v>36062</v>
      </c>
      <c r="B17747" s="9" t="s">
        <v>36063</v>
      </c>
      <c r="C17747" s="9" t="s">
        <v>17</v>
      </c>
      <c r="D17747" s="9" t="s">
        <v>18</v>
      </c>
      <c r="E17747" s="10" t="s">
        <v>299</v>
      </c>
      <c r="F17747" s="9" t="s">
        <v>300</v>
      </c>
      <c r="G17747" s="10" t="s">
        <v>21</v>
      </c>
      <c r="H17747" s="9" t="s">
        <v>35</v>
      </c>
      <c r="I17747" s="9" t="s">
        <v>36064</v>
      </c>
      <c r="J17747" s="10" t="str">
        <f>HYPERLINK("https://www.boe.es/gazeta/dias/1834/12/12/pdfs/GMD-1834-301.pdf#page=3","Abrir facsímil")</f>
        <v>Abrir facsímil</v>
      </c>
      <c r="K17747" s="10" t="s">
        <v>37</v>
      </c>
    </row>
    <row r="17748" spans="1:11" ht="54" customHeight="1">
      <c r="A17748" s="9" t="s">
        <v>36065</v>
      </c>
      <c r="B17748" s="9" t="s">
        <v>36066</v>
      </c>
      <c r="C17748" s="9" t="s">
        <v>66</v>
      </c>
      <c r="D17748" s="9" t="s">
        <v>67</v>
      </c>
      <c r="E17748" s="10" t="s">
        <v>1262</v>
      </c>
      <c r="F17748" s="9" t="s">
        <v>1263</v>
      </c>
      <c r="G17748" s="10" t="s">
        <v>21</v>
      </c>
      <c r="H17748" s="9" t="s">
        <v>35</v>
      </c>
      <c r="I17748" s="9" t="s">
        <v>36067</v>
      </c>
      <c r="J17748" s="10" t="str">
        <f>HYPERLINK("https://www.boe.es/gazeta/dias/1834/02/01/pdfs/GMD-1834-15.pdf#page=3","Abrir facsímil")</f>
        <v>Abrir facsímil</v>
      </c>
      <c r="K17748" s="10" t="s">
        <v>37</v>
      </c>
    </row>
    <row r="17749" spans="1:11" ht="54" customHeight="1">
      <c r="A17749" s="9" t="s">
        <v>36068</v>
      </c>
      <c r="B17749" s="9" t="s">
        <v>36068</v>
      </c>
      <c r="C17749" s="9" t="s">
        <v>66</v>
      </c>
      <c r="D17749" s="9" t="s">
        <v>67</v>
      </c>
      <c r="E17749" s="10" t="s">
        <v>174</v>
      </c>
      <c r="F17749" s="9" t="s">
        <v>175</v>
      </c>
      <c r="G17749" s="10" t="s">
        <v>176</v>
      </c>
      <c r="H17749" s="9" t="s">
        <v>22</v>
      </c>
      <c r="I17749" s="9" t="s">
        <v>36069</v>
      </c>
      <c r="J17749" s="10" t="str">
        <f>HYPERLINK("https://www.boe.es/gazeta/dias/1834/03/27/pdfs/GMD-1834-38.pdf#page=6","Abrir facsímil")</f>
        <v>Abrir facsímil</v>
      </c>
      <c r="K17749" s="10" t="s">
        <v>24</v>
      </c>
    </row>
    <row r="17750" spans="1:11" ht="54" customHeight="1">
      <c r="A17750" s="9" t="s">
        <v>36070</v>
      </c>
      <c r="B17750" s="9" t="s">
        <v>36071</v>
      </c>
      <c r="C17750" s="9" t="s">
        <v>66</v>
      </c>
      <c r="D17750" s="9" t="s">
        <v>67</v>
      </c>
      <c r="E17750" s="10" t="s">
        <v>912</v>
      </c>
      <c r="F17750" s="9" t="s">
        <v>913</v>
      </c>
      <c r="G17750" s="10" t="s">
        <v>28</v>
      </c>
      <c r="H17750" s="9" t="s">
        <v>22</v>
      </c>
      <c r="I17750" s="9" t="s">
        <v>36072</v>
      </c>
      <c r="J17750" s="10" t="str">
        <f>HYPERLINK("https://www.boe.es/gazeta/dias/1834/02/15/pdfs/GMD-1834-21.pdf#page=5","Abrir facsímil")</f>
        <v>Abrir facsímil</v>
      </c>
      <c r="K17750" s="10" t="s">
        <v>24</v>
      </c>
    </row>
    <row r="17751" spans="1:11" ht="54" customHeight="1">
      <c r="A17751" s="9" t="s">
        <v>36073</v>
      </c>
      <c r="B17751" s="9" t="s">
        <v>36074</v>
      </c>
      <c r="C17751" s="9" t="s">
        <v>17</v>
      </c>
      <c r="D17751" s="9" t="s">
        <v>18</v>
      </c>
      <c r="E17751" s="10" t="s">
        <v>518</v>
      </c>
      <c r="F17751" s="9" t="s">
        <v>519</v>
      </c>
      <c r="G17751" s="10" t="s">
        <v>21</v>
      </c>
      <c r="H17751" s="9" t="s">
        <v>22</v>
      </c>
      <c r="I17751" s="9" t="s">
        <v>36075</v>
      </c>
      <c r="J17751" s="10" t="str">
        <f>HYPERLINK("https://www.boe.es/gazeta/dias/1834/03/15/pdfs/GMD-1834-33.pdf#page=3","Abrir facsímil")</f>
        <v>Abrir facsímil</v>
      </c>
      <c r="K17751" s="10" t="s">
        <v>24</v>
      </c>
    </row>
    <row r="17752" spans="1:11" ht="54" customHeight="1">
      <c r="A17752" s="9" t="s">
        <v>36076</v>
      </c>
      <c r="B17752" s="9" t="s">
        <v>36077</v>
      </c>
      <c r="C17752" s="9" t="s">
        <v>17</v>
      </c>
      <c r="D17752" s="9" t="s">
        <v>18</v>
      </c>
      <c r="E17752" s="10" t="s">
        <v>1922</v>
      </c>
      <c r="F17752" s="9" t="s">
        <v>1923</v>
      </c>
      <c r="G17752" s="10" t="s">
        <v>28</v>
      </c>
      <c r="H17752" s="9" t="s">
        <v>22</v>
      </c>
      <c r="I17752" s="9" t="s">
        <v>36078</v>
      </c>
      <c r="J17752" s="10" t="str">
        <f>HYPERLINK("https://www.boe.es/gazeta/dias/1834/02/25/pdfs/GMD-1834-25.pdf#page=5","Abrir facsímil")</f>
        <v>Abrir facsímil</v>
      </c>
      <c r="K17752" s="10" t="s">
        <v>24</v>
      </c>
    </row>
    <row r="17753" spans="1:11" ht="54" customHeight="1">
      <c r="A17753" s="9" t="s">
        <v>36079</v>
      </c>
      <c r="B17753" s="9" t="s">
        <v>36080</v>
      </c>
      <c r="C17753" s="9" t="s">
        <v>17</v>
      </c>
      <c r="D17753" s="9" t="s">
        <v>18</v>
      </c>
      <c r="E17753" s="10" t="s">
        <v>1337</v>
      </c>
      <c r="F17753" s="9" t="s">
        <v>1338</v>
      </c>
      <c r="G17753" s="10" t="s">
        <v>34</v>
      </c>
      <c r="H17753" s="9" t="s">
        <v>22</v>
      </c>
      <c r="I17753" s="9" t="s">
        <v>36081</v>
      </c>
      <c r="J17753" s="10" t="str">
        <f>HYPERLINK("https://www.boe.es/gazeta/dias/1834/01/02/pdfs/GMD-1834-1.pdf#page=1","Abrir facsímil")</f>
        <v>Abrir facsímil</v>
      </c>
      <c r="K17753" s="10" t="s">
        <v>24</v>
      </c>
    </row>
    <row r="17754" spans="1:11" ht="54" customHeight="1">
      <c r="A17754" s="9" t="s">
        <v>36082</v>
      </c>
      <c r="B17754" s="9" t="s">
        <v>36083</v>
      </c>
      <c r="C17754" s="9" t="s">
        <v>17</v>
      </c>
      <c r="D17754" s="9" t="s">
        <v>101</v>
      </c>
      <c r="E17754" s="10" t="s">
        <v>1265</v>
      </c>
      <c r="F17754" s="9" t="s">
        <v>1266</v>
      </c>
      <c r="G17754" s="10" t="s">
        <v>34</v>
      </c>
      <c r="H17754" s="9" t="s">
        <v>22</v>
      </c>
      <c r="I17754" s="9" t="s">
        <v>36084</v>
      </c>
      <c r="J17754" s="10" t="str">
        <f>HYPERLINK("https://www.boe.es/gazeta/dias/1834/09/08/pdfs/GMD-1834-206.pdf#page=1","Abrir facsímil")</f>
        <v>Abrir facsímil</v>
      </c>
      <c r="K17754" s="10" t="s">
        <v>24</v>
      </c>
    </row>
    <row r="17755" spans="1:11" ht="54" customHeight="1">
      <c r="A17755" s="9" t="s">
        <v>36085</v>
      </c>
      <c r="B17755" s="9" t="s">
        <v>36086</v>
      </c>
      <c r="C17755" s="9" t="s">
        <v>17</v>
      </c>
      <c r="D17755" s="9" t="s">
        <v>55</v>
      </c>
      <c r="E17755" s="10" t="s">
        <v>243</v>
      </c>
      <c r="F17755" s="9" t="s">
        <v>1109</v>
      </c>
      <c r="G17755" s="10" t="s">
        <v>34</v>
      </c>
      <c r="H17755" s="9" t="s">
        <v>22</v>
      </c>
      <c r="I17755" s="9" t="s">
        <v>36087</v>
      </c>
      <c r="J17755" s="10" t="str">
        <f>HYPERLINK("https://www.boe.es/gazeta/dias/1834/08/05/pdfs/GMD-1834-169.pdf#page=1","Abrir facsímil")</f>
        <v>Abrir facsímil</v>
      </c>
      <c r="K17755" s="10" t="s">
        <v>24</v>
      </c>
    </row>
    <row r="17756" spans="1:11" ht="54" customHeight="1">
      <c r="A17756" s="9" t="s">
        <v>36088</v>
      </c>
      <c r="B17756" s="9" t="s">
        <v>36088</v>
      </c>
      <c r="C17756" s="9" t="s">
        <v>17</v>
      </c>
      <c r="D17756" s="9" t="s">
        <v>18</v>
      </c>
      <c r="E17756" s="10" t="s">
        <v>793</v>
      </c>
      <c r="F17756" s="9" t="s">
        <v>1895</v>
      </c>
      <c r="G17756" s="10" t="s">
        <v>34</v>
      </c>
      <c r="H17756" s="9" t="s">
        <v>22</v>
      </c>
      <c r="I17756" s="9" t="s">
        <v>36089</v>
      </c>
      <c r="J17756" s="10" t="str">
        <f>HYPERLINK("https://www.boe.es/gazeta/dias/1834/10/08/pdfs/GMD-C-1834-236.pdf#page=1","Abrir facsímil")</f>
        <v>Abrir facsímil</v>
      </c>
      <c r="K17756" s="10" t="s">
        <v>24</v>
      </c>
    </row>
    <row r="17757" spans="1:11" ht="54" customHeight="1">
      <c r="A17757" s="9" t="s">
        <v>36088</v>
      </c>
      <c r="B17757" s="9" t="s">
        <v>36088</v>
      </c>
      <c r="C17757" s="9" t="s">
        <v>90</v>
      </c>
      <c r="D17757" s="9" t="s">
        <v>18</v>
      </c>
      <c r="E17757" s="10" t="s">
        <v>793</v>
      </c>
      <c r="F17757" s="9" t="s">
        <v>1895</v>
      </c>
      <c r="G17757" s="10" t="s">
        <v>86</v>
      </c>
      <c r="H17757" s="9" t="s">
        <v>22</v>
      </c>
      <c r="I17757" s="9" t="s">
        <v>36090</v>
      </c>
      <c r="J17757" s="10" t="str">
        <f>HYPERLINK("https://www.boe.es/gazeta/dias/1834/10/08/pdfs/GMD-C-1834-236.pdf#page=2","Abrir facsímil")</f>
        <v>Abrir facsímil</v>
      </c>
      <c r="K17757" s="10" t="s">
        <v>24</v>
      </c>
    </row>
    <row r="17758" spans="1:11" ht="54" customHeight="1">
      <c r="A17758" s="9" t="s">
        <v>36091</v>
      </c>
      <c r="B17758" s="9" t="s">
        <v>36091</v>
      </c>
      <c r="C17758" s="9" t="s">
        <v>90</v>
      </c>
      <c r="D17758" s="9" t="s">
        <v>18</v>
      </c>
      <c r="E17758" s="10" t="s">
        <v>247</v>
      </c>
      <c r="F17758" s="9" t="s">
        <v>248</v>
      </c>
      <c r="G17758" s="10" t="s">
        <v>34</v>
      </c>
      <c r="H17758" s="9" t="s">
        <v>22</v>
      </c>
      <c r="I17758" s="9" t="s">
        <v>36092</v>
      </c>
      <c r="J17758" s="10" t="str">
        <f>HYPERLINK("https://www.boe.es/gazeta/dias/1834/08/23/pdfs/GMD-C-1834-189.pdf#page=1","Abrir facsímil")</f>
        <v>Abrir facsímil</v>
      </c>
      <c r="K17758" s="10" t="s">
        <v>24</v>
      </c>
    </row>
    <row r="17759" spans="1:11" ht="54" customHeight="1">
      <c r="A17759" s="9" t="s">
        <v>36091</v>
      </c>
      <c r="B17759" s="9" t="s">
        <v>36091</v>
      </c>
      <c r="C17759" s="9" t="s">
        <v>17</v>
      </c>
      <c r="D17759" s="9" t="s">
        <v>18</v>
      </c>
      <c r="E17759" s="10" t="s">
        <v>247</v>
      </c>
      <c r="F17759" s="9" t="s">
        <v>248</v>
      </c>
      <c r="G17759" s="10" t="s">
        <v>86</v>
      </c>
      <c r="H17759" s="9" t="s">
        <v>22</v>
      </c>
      <c r="I17759" s="9" t="s">
        <v>36093</v>
      </c>
      <c r="J17759" s="10" t="str">
        <f>HYPERLINK("https://www.boe.es/gazeta/dias/1834/08/23/pdfs/GMD-C-1834-189.pdf#page=2","Abrir facsímil")</f>
        <v>Abrir facsímil</v>
      </c>
      <c r="K17759" s="10" t="s">
        <v>24</v>
      </c>
    </row>
    <row r="17760" spans="1:11" ht="54" customHeight="1">
      <c r="A17760" s="9" t="s">
        <v>36094</v>
      </c>
      <c r="B17760" s="9" t="s">
        <v>36094</v>
      </c>
      <c r="C17760" s="9" t="s">
        <v>17</v>
      </c>
      <c r="D17760" s="9" t="s">
        <v>18</v>
      </c>
      <c r="E17760" s="10" t="s">
        <v>672</v>
      </c>
      <c r="F17760" s="9" t="s">
        <v>1055</v>
      </c>
      <c r="G17760" s="10" t="s">
        <v>86</v>
      </c>
      <c r="H17760" s="9" t="s">
        <v>22</v>
      </c>
      <c r="I17760" s="9" t="s">
        <v>36095</v>
      </c>
      <c r="J17760" s="10" t="str">
        <f>HYPERLINK("https://www.boe.es/gazeta/dias/1834/09/19/pdfs/GMD-C-1834-217.pdf#page=2","Abrir facsímil")</f>
        <v>Abrir facsímil</v>
      </c>
      <c r="K17760" s="10" t="s">
        <v>24</v>
      </c>
    </row>
    <row r="17761" spans="1:11" ht="54" customHeight="1">
      <c r="A17761" s="9" t="s">
        <v>36096</v>
      </c>
      <c r="B17761" s="9" t="s">
        <v>36097</v>
      </c>
      <c r="C17761" s="9" t="s">
        <v>66</v>
      </c>
      <c r="D17761" s="9" t="s">
        <v>18</v>
      </c>
      <c r="E17761" s="10" t="s">
        <v>408</v>
      </c>
      <c r="F17761" s="9" t="s">
        <v>409</v>
      </c>
      <c r="G17761" s="10" t="s">
        <v>34</v>
      </c>
      <c r="H17761" s="9" t="s">
        <v>22</v>
      </c>
      <c r="I17761" s="9" t="s">
        <v>36098</v>
      </c>
      <c r="J17761" s="10" t="str">
        <f>HYPERLINK("https://www.boe.es/gazeta/dias/1834/04/28/pdfs/GMD-1834-67.pdf#page=1","Abrir facsímil")</f>
        <v>Abrir facsímil</v>
      </c>
      <c r="K17761" s="10" t="s">
        <v>24</v>
      </c>
    </row>
    <row r="17762" spans="1:11" ht="54" customHeight="1">
      <c r="A17762" s="9" t="s">
        <v>36099</v>
      </c>
      <c r="B17762" s="9" t="s">
        <v>36100</v>
      </c>
      <c r="C17762" s="9" t="s">
        <v>17</v>
      </c>
      <c r="D17762" s="9" t="s">
        <v>18</v>
      </c>
      <c r="E17762" s="10" t="s">
        <v>777</v>
      </c>
      <c r="F17762" s="9" t="s">
        <v>2535</v>
      </c>
      <c r="G17762" s="10" t="s">
        <v>86</v>
      </c>
      <c r="H17762" s="9" t="s">
        <v>35</v>
      </c>
      <c r="I17762" s="9" t="s">
        <v>36101</v>
      </c>
      <c r="J17762" s="10" t="str">
        <f>HYPERLINK("https://www.boe.es/gazeta/dias/1834/10/29/pdfs/GMD-C-1834-257.pdf#page=2","Abrir facsímil")</f>
        <v>Abrir facsímil</v>
      </c>
      <c r="K17762" s="10" t="s">
        <v>37</v>
      </c>
    </row>
    <row r="17763" spans="1:11" ht="54" customHeight="1">
      <c r="A17763" s="9" t="s">
        <v>36102</v>
      </c>
      <c r="B17763" s="9" t="s">
        <v>36103</v>
      </c>
      <c r="C17763" s="9" t="s">
        <v>17</v>
      </c>
      <c r="D17763" s="9" t="s">
        <v>18</v>
      </c>
      <c r="E17763" s="10" t="s">
        <v>777</v>
      </c>
      <c r="F17763" s="9" t="s">
        <v>2535</v>
      </c>
      <c r="G17763" s="10" t="s">
        <v>86</v>
      </c>
      <c r="H17763" s="9" t="s">
        <v>22</v>
      </c>
      <c r="I17763" s="9" t="s">
        <v>36104</v>
      </c>
      <c r="J17763" s="10" t="str">
        <f>HYPERLINK("https://www.boe.es/gazeta/dias/1834/10/29/pdfs/GMD-C-1834-257.pdf#page=2","Abrir facsímil")</f>
        <v>Abrir facsímil</v>
      </c>
      <c r="K17763" s="10" t="s">
        <v>24</v>
      </c>
    </row>
    <row r="17764" spans="1:11" ht="54" customHeight="1">
      <c r="A17764" s="9" t="s">
        <v>36105</v>
      </c>
      <c r="B17764" s="9" t="s">
        <v>36105</v>
      </c>
      <c r="C17764" s="9" t="s">
        <v>46</v>
      </c>
      <c r="D17764" s="9" t="s">
        <v>18</v>
      </c>
      <c r="E17764" s="10" t="s">
        <v>183</v>
      </c>
      <c r="F17764" s="9" t="s">
        <v>184</v>
      </c>
      <c r="G17764" s="10" t="s">
        <v>21</v>
      </c>
      <c r="H17764" s="9" t="s">
        <v>22</v>
      </c>
      <c r="I17764" s="9" t="s">
        <v>36106</v>
      </c>
      <c r="J17764" s="10" t="str">
        <f>HYPERLINK("https://www.boe.es/gazeta/dias/1834/03/18/pdfs/GMD-1834-34.pdf#page=3","Abrir facsímil")</f>
        <v>Abrir facsímil</v>
      </c>
      <c r="K17764" s="10" t="s">
        <v>24</v>
      </c>
    </row>
    <row r="17765" spans="1:11" ht="54" customHeight="1">
      <c r="A17765" s="9" t="s">
        <v>36107</v>
      </c>
      <c r="B17765" s="9" t="s">
        <v>36108</v>
      </c>
      <c r="C17765" s="9" t="s">
        <v>17</v>
      </c>
      <c r="D17765" s="9" t="s">
        <v>18</v>
      </c>
      <c r="E17765" s="10" t="s">
        <v>803</v>
      </c>
      <c r="F17765" s="9" t="s">
        <v>804</v>
      </c>
      <c r="G17765" s="10" t="s">
        <v>75</v>
      </c>
      <c r="H17765" s="9" t="s">
        <v>22</v>
      </c>
      <c r="I17765" s="9" t="s">
        <v>36109</v>
      </c>
      <c r="J17765" s="10" t="str">
        <f>HYPERLINK("https://www.boe.es/gazeta/dias/1834/03/29/pdfs/GMD-1834-39.pdf#page=4","Abrir facsímil")</f>
        <v>Abrir facsímil</v>
      </c>
      <c r="K17765" s="10" t="s">
        <v>24</v>
      </c>
    </row>
    <row r="17766" spans="1:11" ht="54" customHeight="1">
      <c r="A17766" s="9" t="s">
        <v>36110</v>
      </c>
      <c r="B17766" s="9" t="s">
        <v>36110</v>
      </c>
      <c r="C17766" s="9" t="s">
        <v>90</v>
      </c>
      <c r="D17766" s="9" t="s">
        <v>18</v>
      </c>
      <c r="E17766" s="10" t="s">
        <v>1178</v>
      </c>
      <c r="F17766" s="9" t="s">
        <v>14853</v>
      </c>
      <c r="G17766" s="10" t="s">
        <v>34</v>
      </c>
      <c r="H17766" s="9" t="s">
        <v>22</v>
      </c>
      <c r="I17766" s="9" t="s">
        <v>36111</v>
      </c>
      <c r="J17766" s="10" t="str">
        <f>HYPERLINK("https://www.boe.es/gazeta/dias/1834/04/10/pdfs/I00227-00228.pdf#page=1","Abrir facsímil")</f>
        <v>Abrir facsímil</v>
      </c>
      <c r="K17766" s="10" t="s">
        <v>24</v>
      </c>
    </row>
    <row r="17767" spans="1:11" ht="54" customHeight="1">
      <c r="A17767" s="9" t="s">
        <v>36110</v>
      </c>
      <c r="B17767" s="9" t="s">
        <v>36110</v>
      </c>
      <c r="C17767" s="9" t="s">
        <v>90</v>
      </c>
      <c r="D17767" s="9" t="s">
        <v>18</v>
      </c>
      <c r="E17767" s="10" t="s">
        <v>1178</v>
      </c>
      <c r="F17767" s="9" t="s">
        <v>14853</v>
      </c>
      <c r="G17767" s="10" t="s">
        <v>21</v>
      </c>
      <c r="H17767" s="9" t="s">
        <v>22</v>
      </c>
      <c r="I17767" s="9" t="s">
        <v>36111</v>
      </c>
      <c r="J17767" s="10" t="str">
        <f>HYPERLINK("https://www.boe.es/gazeta/dias/1834/04/10/pdfs/GMD-1834-49.pdf#page=3","Abrir facsímil")</f>
        <v>Abrir facsímil</v>
      </c>
      <c r="K17767" s="10" t="s">
        <v>24</v>
      </c>
    </row>
    <row r="17768" spans="1:11" ht="54" customHeight="1">
      <c r="A17768" s="9" t="s">
        <v>36110</v>
      </c>
      <c r="B17768" s="9" t="s">
        <v>36110</v>
      </c>
      <c r="C17768" s="9" t="s">
        <v>17</v>
      </c>
      <c r="D17768" s="9" t="s">
        <v>18</v>
      </c>
      <c r="E17768" s="10" t="s">
        <v>707</v>
      </c>
      <c r="F17768" s="9" t="s">
        <v>708</v>
      </c>
      <c r="G17768" s="10" t="s">
        <v>75</v>
      </c>
      <c r="H17768" s="9" t="s">
        <v>22</v>
      </c>
      <c r="I17768" s="9" t="s">
        <v>36112</v>
      </c>
      <c r="J17768" s="10" t="str">
        <f>HYPERLINK("https://www.boe.es/gazeta/dias/1834/11/25/pdfs/GMD-C-1834-284.pdf#page=4","Abrir facsímil")</f>
        <v>Abrir facsímil</v>
      </c>
      <c r="K17768" s="10" t="s">
        <v>24</v>
      </c>
    </row>
    <row r="17769" spans="1:11" ht="54" customHeight="1">
      <c r="A17769" s="9" t="s">
        <v>36113</v>
      </c>
      <c r="B17769" s="9" t="s">
        <v>36114</v>
      </c>
      <c r="C17769" s="9" t="s">
        <v>17</v>
      </c>
      <c r="D17769" s="9" t="s">
        <v>101</v>
      </c>
      <c r="E17769" s="10" t="s">
        <v>1883</v>
      </c>
      <c r="F17769" s="9" t="s">
        <v>1884</v>
      </c>
      <c r="G17769" s="10" t="s">
        <v>75</v>
      </c>
      <c r="H17769" s="9" t="s">
        <v>22</v>
      </c>
      <c r="I17769" s="9" t="s">
        <v>36115</v>
      </c>
      <c r="J17769" s="10" t="str">
        <f>HYPERLINK("https://www.boe.es/gazeta/dias/1834/01/11/pdfs/GMD-1834-6.pdf#page=4","Abrir facsímil")</f>
        <v>Abrir facsímil</v>
      </c>
      <c r="K17769" s="10" t="s">
        <v>24</v>
      </c>
    </row>
    <row r="17770" spans="1:11" ht="54" customHeight="1">
      <c r="A17770" s="9" t="s">
        <v>36116</v>
      </c>
      <c r="B17770" s="9" t="s">
        <v>36117</v>
      </c>
      <c r="C17770" s="9" t="s">
        <v>66</v>
      </c>
      <c r="D17770" s="9" t="s">
        <v>67</v>
      </c>
      <c r="E17770" s="10" t="s">
        <v>1955</v>
      </c>
      <c r="F17770" s="9" t="s">
        <v>1956</v>
      </c>
      <c r="G17770" s="10" t="s">
        <v>75</v>
      </c>
      <c r="H17770" s="9" t="s">
        <v>22</v>
      </c>
      <c r="I17770" s="9" t="s">
        <v>36118</v>
      </c>
      <c r="J17770" s="10" t="str">
        <f>HYPERLINK("https://www.boe.es/gazeta/dias/1834/05/04/pdfs/GMD-1834-73.pdf#page=4","Abrir facsímil")</f>
        <v>Abrir facsímil</v>
      </c>
      <c r="K17770" s="10" t="s">
        <v>24</v>
      </c>
    </row>
    <row r="17771" spans="1:11" ht="54" customHeight="1">
      <c r="A17771" s="9" t="s">
        <v>36119</v>
      </c>
      <c r="B17771" s="9" t="s">
        <v>36120</v>
      </c>
      <c r="C17771" s="9" t="s">
        <v>17</v>
      </c>
      <c r="D17771" s="9" t="s">
        <v>101</v>
      </c>
      <c r="E17771" s="10" t="s">
        <v>1178</v>
      </c>
      <c r="F17771" s="9" t="s">
        <v>14853</v>
      </c>
      <c r="G17771" s="10" t="s">
        <v>34</v>
      </c>
      <c r="H17771" s="9" t="s">
        <v>22</v>
      </c>
      <c r="I17771" s="9" t="s">
        <v>36121</v>
      </c>
      <c r="J17771" s="10" t="str">
        <f>HYPERLINK("https://www.boe.es/gazeta/dias/1834/04/10/pdfs/GMD-1834-49.pdf#page=1","Abrir facsímil")</f>
        <v>Abrir facsímil</v>
      </c>
      <c r="K17771" s="10" t="s">
        <v>24</v>
      </c>
    </row>
    <row r="17772" spans="1:11" ht="54" customHeight="1">
      <c r="A17772" s="9" t="s">
        <v>36122</v>
      </c>
      <c r="B17772" s="9" t="s">
        <v>36123</v>
      </c>
      <c r="C17772" s="9" t="s">
        <v>90</v>
      </c>
      <c r="D17772" s="9" t="s">
        <v>18</v>
      </c>
      <c r="E17772" s="10" t="s">
        <v>339</v>
      </c>
      <c r="F17772" s="9" t="s">
        <v>340</v>
      </c>
      <c r="G17772" s="10" t="s">
        <v>21</v>
      </c>
      <c r="H17772" s="9" t="s">
        <v>22</v>
      </c>
      <c r="I17772" s="9" t="s">
        <v>36124</v>
      </c>
      <c r="J17772" s="10" t="str">
        <f>HYPERLINK("https://www.boe.es/gazeta/dias/1834/05/02/pdfs/GMD-1834-71.pdf#page=3","Abrir facsímil")</f>
        <v>Abrir facsímil</v>
      </c>
      <c r="K17772" s="10" t="s">
        <v>24</v>
      </c>
    </row>
    <row r="17773" spans="1:11" ht="54" customHeight="1">
      <c r="A17773" s="9" t="s">
        <v>36125</v>
      </c>
      <c r="B17773" s="9" t="s">
        <v>36126</v>
      </c>
      <c r="C17773" s="9" t="s">
        <v>17</v>
      </c>
      <c r="D17773" s="9" t="s">
        <v>18</v>
      </c>
      <c r="E17773" s="10" t="s">
        <v>833</v>
      </c>
      <c r="F17773" s="9" t="s">
        <v>834</v>
      </c>
      <c r="G17773" s="10" t="s">
        <v>75</v>
      </c>
      <c r="H17773" s="9" t="s">
        <v>22</v>
      </c>
      <c r="I17773" s="9" t="s">
        <v>36127</v>
      </c>
      <c r="J17773" s="10" t="str">
        <f>HYPERLINK("https://www.boe.es/gazeta/dias/1834/04/24/pdfs/GMD-1834-63.pdf#page=4","Abrir facsímil")</f>
        <v>Abrir facsímil</v>
      </c>
      <c r="K17773" s="10" t="s">
        <v>24</v>
      </c>
    </row>
    <row r="17774" spans="1:11" ht="54" customHeight="1">
      <c r="A17774" s="9" t="s">
        <v>36128</v>
      </c>
      <c r="B17774" s="9" t="s">
        <v>36129</v>
      </c>
      <c r="C17774" s="9" t="s">
        <v>66</v>
      </c>
      <c r="D17774" s="9" t="s">
        <v>67</v>
      </c>
      <c r="E17774" s="10" t="s">
        <v>1103</v>
      </c>
      <c r="F17774" s="9" t="s">
        <v>1259</v>
      </c>
      <c r="G17774" s="10" t="s">
        <v>21</v>
      </c>
      <c r="H17774" s="9" t="s">
        <v>35</v>
      </c>
      <c r="I17774" s="9" t="s">
        <v>36130</v>
      </c>
      <c r="J17774" s="10" t="str">
        <f>HYPERLINK("https://www.boe.es/gazeta/dias/1834/10/10/pdfs/GMD-1834-238.pdf#page=3","Abrir facsímil")</f>
        <v>Abrir facsímil</v>
      </c>
      <c r="K17774" s="10" t="s">
        <v>37</v>
      </c>
    </row>
    <row r="17775" spans="1:11" ht="54" customHeight="1">
      <c r="A17775" s="9" t="s">
        <v>36131</v>
      </c>
      <c r="B17775" s="9" t="s">
        <v>36132</v>
      </c>
      <c r="C17775" s="9" t="s">
        <v>66</v>
      </c>
      <c r="D17775" s="9" t="s">
        <v>67</v>
      </c>
      <c r="E17775" s="10" t="s">
        <v>1103</v>
      </c>
      <c r="F17775" s="9" t="s">
        <v>1259</v>
      </c>
      <c r="G17775" s="10" t="s">
        <v>21</v>
      </c>
      <c r="H17775" s="9" t="s">
        <v>22</v>
      </c>
      <c r="I17775" s="9" t="s">
        <v>36133</v>
      </c>
      <c r="J17775" s="10" t="str">
        <f>HYPERLINK("https://www.boe.es/gazeta/dias/1834/10/10/pdfs/GMD-1834-238.pdf#page=3","Abrir facsímil")</f>
        <v>Abrir facsímil</v>
      </c>
      <c r="K17775" s="10" t="s">
        <v>24</v>
      </c>
    </row>
    <row r="17776" spans="1:11" ht="54" customHeight="1">
      <c r="A17776" s="9" t="s">
        <v>36134</v>
      </c>
      <c r="B17776" s="9" t="s">
        <v>36135</v>
      </c>
      <c r="C17776" s="9" t="s">
        <v>17</v>
      </c>
      <c r="D17776" s="9" t="s">
        <v>18</v>
      </c>
      <c r="E17776" s="10" t="s">
        <v>734</v>
      </c>
      <c r="F17776" s="9" t="s">
        <v>735</v>
      </c>
      <c r="G17776" s="10" t="s">
        <v>21</v>
      </c>
      <c r="H17776" s="9" t="s">
        <v>22</v>
      </c>
      <c r="I17776" s="9" t="s">
        <v>36136</v>
      </c>
      <c r="J17776" s="10" t="str">
        <f>HYPERLINK("https://www.boe.es/gazeta/dias/1834/05/06/pdfs/GMD-1834-75.pdf#page=3","Abrir facsímil")</f>
        <v>Abrir facsímil</v>
      </c>
      <c r="K17776" s="10" t="s">
        <v>24</v>
      </c>
    </row>
    <row r="17777" spans="1:11" ht="54" customHeight="1">
      <c r="A17777" s="9" t="s">
        <v>36137</v>
      </c>
      <c r="B17777" s="9" t="s">
        <v>36138</v>
      </c>
      <c r="C17777" s="9" t="s">
        <v>17</v>
      </c>
      <c r="D17777" s="9" t="s">
        <v>18</v>
      </c>
      <c r="E17777" s="10" t="s">
        <v>138</v>
      </c>
      <c r="F17777" s="9" t="s">
        <v>139</v>
      </c>
      <c r="G17777" s="10" t="s">
        <v>21</v>
      </c>
      <c r="H17777" s="9" t="s">
        <v>22</v>
      </c>
      <c r="I17777" s="9" t="s">
        <v>36139</v>
      </c>
      <c r="J17777" s="10" t="str">
        <f>HYPERLINK("https://www.boe.es/gazeta/dias/1834/05/17/pdfs/GMD-1834-86.pdf#page=3","Abrir facsímil")</f>
        <v>Abrir facsímil</v>
      </c>
      <c r="K17777" s="10" t="s">
        <v>24</v>
      </c>
    </row>
    <row r="17778" spans="1:11" ht="54" customHeight="1">
      <c r="A17778" s="9" t="s">
        <v>36137</v>
      </c>
      <c r="B17778" s="9" t="s">
        <v>36138</v>
      </c>
      <c r="C17778" s="9" t="s">
        <v>17</v>
      </c>
      <c r="D17778" s="9" t="s">
        <v>18</v>
      </c>
      <c r="E17778" s="10" t="s">
        <v>389</v>
      </c>
      <c r="F17778" s="9" t="s">
        <v>390</v>
      </c>
      <c r="G17778" s="10" t="s">
        <v>75</v>
      </c>
      <c r="H17778" s="9" t="s">
        <v>22</v>
      </c>
      <c r="I17778" s="9" t="s">
        <v>36140</v>
      </c>
      <c r="J17778" s="10" t="str">
        <f>HYPERLINK("https://www.boe.es/gazeta/dias/1834/10/25/pdfs/GMD-1834-253.pdf#page=4","Abrir facsímil")</f>
        <v>Abrir facsímil</v>
      </c>
      <c r="K17778" s="10" t="s">
        <v>24</v>
      </c>
    </row>
    <row r="17779" spans="1:11" ht="54" customHeight="1">
      <c r="A17779" s="9" t="s">
        <v>36141</v>
      </c>
      <c r="B17779" s="9" t="s">
        <v>36141</v>
      </c>
      <c r="C17779" s="9" t="s">
        <v>66</v>
      </c>
      <c r="D17779" s="9" t="s">
        <v>67</v>
      </c>
      <c r="E17779" s="10" t="s">
        <v>1337</v>
      </c>
      <c r="F17779" s="9" t="s">
        <v>1906</v>
      </c>
      <c r="G17779" s="10" t="s">
        <v>34</v>
      </c>
      <c r="H17779" s="9" t="s">
        <v>22</v>
      </c>
      <c r="I17779" s="9" t="s">
        <v>36142</v>
      </c>
      <c r="J17779" s="10" t="str">
        <f>HYPERLINK("https://www.boe.es/gazeta/dias/1834/01/02/pdfs/GMD-1834-2E.pdf#page=1","Abrir facsímil")</f>
        <v>Abrir facsímil</v>
      </c>
      <c r="K17779" s="10" t="s">
        <v>24</v>
      </c>
    </row>
    <row r="17780" spans="1:11" ht="54" customHeight="1">
      <c r="A17780" s="9" t="s">
        <v>36141</v>
      </c>
      <c r="B17780" s="9" t="s">
        <v>36141</v>
      </c>
      <c r="C17780" s="9" t="s">
        <v>46</v>
      </c>
      <c r="D17780" s="9" t="s">
        <v>101</v>
      </c>
      <c r="E17780" s="10" t="s">
        <v>167</v>
      </c>
      <c r="F17780" s="9" t="s">
        <v>1200</v>
      </c>
      <c r="G17780" s="10" t="s">
        <v>470</v>
      </c>
      <c r="H17780" s="9" t="s">
        <v>22</v>
      </c>
      <c r="I17780" s="9" t="s">
        <v>36143</v>
      </c>
      <c r="J17780" s="10" t="str">
        <f>HYPERLINK("https://www.boe.es/gazeta/dias/1834/09/07/pdfs/GMD-C-1834-205.pdf#page=8","Abrir facsímil")</f>
        <v>Abrir facsímil</v>
      </c>
      <c r="K17780" s="10" t="s">
        <v>24</v>
      </c>
    </row>
    <row r="17781" spans="1:11" ht="54" customHeight="1">
      <c r="A17781" s="9" t="s">
        <v>36144</v>
      </c>
      <c r="B17781" s="9" t="s">
        <v>36144</v>
      </c>
      <c r="C17781" s="9" t="s">
        <v>17</v>
      </c>
      <c r="D17781" s="9" t="s">
        <v>18</v>
      </c>
      <c r="E17781" s="10" t="s">
        <v>3810</v>
      </c>
      <c r="F17781" s="9" t="s">
        <v>3811</v>
      </c>
      <c r="G17781" s="10" t="s">
        <v>21</v>
      </c>
      <c r="H17781" s="9" t="s">
        <v>22</v>
      </c>
      <c r="I17781" s="9" t="s">
        <v>36145</v>
      </c>
      <c r="J17781" s="10" t="str">
        <f>HYPERLINK("https://www.boe.es/gazeta/dias/1834/02/20/pdfs/GMD-1834-23.pdf#page=3","Abrir facsímil")</f>
        <v>Abrir facsímil</v>
      </c>
      <c r="K17781" s="10" t="s">
        <v>24</v>
      </c>
    </row>
    <row r="17782" spans="1:11" ht="54" customHeight="1">
      <c r="A17782" s="9" t="s">
        <v>36146</v>
      </c>
      <c r="B17782" s="9" t="s">
        <v>36147</v>
      </c>
      <c r="C17782" s="9" t="s">
        <v>66</v>
      </c>
      <c r="D17782" s="9" t="s">
        <v>67</v>
      </c>
      <c r="E17782" s="10" t="s">
        <v>360</v>
      </c>
      <c r="F17782" s="9" t="s">
        <v>361</v>
      </c>
      <c r="G17782" s="10" t="s">
        <v>34</v>
      </c>
      <c r="H17782" s="9" t="s">
        <v>22</v>
      </c>
      <c r="I17782" s="9" t="s">
        <v>36148</v>
      </c>
      <c r="J17782" s="10" t="str">
        <f>HYPERLINK("https://www.boe.es/gazeta/dias/1834/04/07/pdfs/GMD-1834-46.pdf#page=1","Abrir facsímil")</f>
        <v>Abrir facsímil</v>
      </c>
      <c r="K17782" s="10" t="s">
        <v>24</v>
      </c>
    </row>
    <row r="17783" spans="1:11" ht="54" customHeight="1">
      <c r="A17783" s="9" t="s">
        <v>36149</v>
      </c>
      <c r="B17783" s="9" t="s">
        <v>36150</v>
      </c>
      <c r="C17783" s="9" t="s">
        <v>90</v>
      </c>
      <c r="D17783" s="9" t="s">
        <v>18</v>
      </c>
      <c r="E17783" s="10" t="s">
        <v>19</v>
      </c>
      <c r="F17783" s="9" t="s">
        <v>20</v>
      </c>
      <c r="G17783" s="10" t="s">
        <v>34</v>
      </c>
      <c r="H17783" s="9" t="s">
        <v>22</v>
      </c>
      <c r="I17783" s="9" t="s">
        <v>36151</v>
      </c>
      <c r="J17783" s="10" t="str">
        <f>HYPERLINK("https://www.boe.es/gazeta/dias/1834/08/17/pdfs/GMD-D-1834-182.pdf#page=1","Abrir facsímil")</f>
        <v>Abrir facsímil</v>
      </c>
      <c r="K17783" s="10" t="s">
        <v>24</v>
      </c>
    </row>
    <row r="17784" spans="1:11" ht="54" customHeight="1">
      <c r="A17784" s="9" t="s">
        <v>36146</v>
      </c>
      <c r="B17784" s="9" t="s">
        <v>36147</v>
      </c>
      <c r="C17784" s="9" t="s">
        <v>66</v>
      </c>
      <c r="D17784" s="9" t="s">
        <v>67</v>
      </c>
      <c r="E17784" s="10" t="s">
        <v>133</v>
      </c>
      <c r="F17784" s="9" t="s">
        <v>134</v>
      </c>
      <c r="G17784" s="10" t="s">
        <v>34</v>
      </c>
      <c r="H17784" s="9" t="s">
        <v>22</v>
      </c>
      <c r="I17784" s="9" t="s">
        <v>36152</v>
      </c>
      <c r="J17784" s="10" t="str">
        <f>HYPERLINK("https://www.boe.es/gazeta/dias/1834/06/18/pdfs/GMD-1834-121.pdf#page=1","Abrir facsímil")</f>
        <v>Abrir facsímil</v>
      </c>
      <c r="K17784" s="10" t="s">
        <v>24</v>
      </c>
    </row>
    <row r="17785" spans="1:11" ht="54" customHeight="1">
      <c r="A17785" s="9" t="s">
        <v>36153</v>
      </c>
      <c r="B17785" s="9" t="s">
        <v>36154</v>
      </c>
      <c r="C17785" s="9" t="s">
        <v>90</v>
      </c>
      <c r="D17785" s="9" t="s">
        <v>18</v>
      </c>
      <c r="E17785" s="10" t="s">
        <v>19</v>
      </c>
      <c r="F17785" s="9" t="s">
        <v>20</v>
      </c>
      <c r="G17785" s="10" t="s">
        <v>34</v>
      </c>
      <c r="H17785" s="9" t="s">
        <v>35</v>
      </c>
      <c r="I17785" s="9" t="s">
        <v>36155</v>
      </c>
      <c r="J17785" s="10" t="str">
        <f>HYPERLINK("https://www.boe.es/gazeta/dias/1834/08/17/pdfs/GMD-D-1834-182.pdf#page=1","Abrir facsímil")</f>
        <v>Abrir facsímil</v>
      </c>
      <c r="K17785" s="10" t="s">
        <v>37</v>
      </c>
    </row>
    <row r="17786" spans="1:11" ht="54" customHeight="1">
      <c r="A17786" s="9" t="s">
        <v>36156</v>
      </c>
      <c r="B17786" s="9" t="s">
        <v>36157</v>
      </c>
      <c r="C17786" s="9" t="s">
        <v>17</v>
      </c>
      <c r="D17786" s="9" t="s">
        <v>18</v>
      </c>
      <c r="E17786" s="10" t="s">
        <v>167</v>
      </c>
      <c r="F17786" s="9" t="s">
        <v>1200</v>
      </c>
      <c r="G17786" s="10" t="s">
        <v>470</v>
      </c>
      <c r="H17786" s="9" t="s">
        <v>35</v>
      </c>
      <c r="I17786" s="9" t="s">
        <v>36158</v>
      </c>
      <c r="J17786" s="10" t="str">
        <f>HYPERLINK("https://www.boe.es/gazeta/dias/1834/09/07/pdfs/GMD-C-1834-205.pdf#page=8","Abrir facsímil")</f>
        <v>Abrir facsímil</v>
      </c>
      <c r="K17786" s="10" t="s">
        <v>37</v>
      </c>
    </row>
    <row r="17787" spans="1:11" ht="54" customHeight="1">
      <c r="A17787" s="9" t="s">
        <v>36159</v>
      </c>
      <c r="B17787" s="9" t="s">
        <v>36160</v>
      </c>
      <c r="C17787" s="9" t="s">
        <v>17</v>
      </c>
      <c r="D17787" s="9" t="s">
        <v>18</v>
      </c>
      <c r="E17787" s="10" t="s">
        <v>672</v>
      </c>
      <c r="F17787" s="9" t="s">
        <v>1055</v>
      </c>
      <c r="G17787" s="10" t="s">
        <v>34</v>
      </c>
      <c r="H17787" s="9" t="s">
        <v>35</v>
      </c>
      <c r="I17787" s="9" t="s">
        <v>36161</v>
      </c>
      <c r="J17787" s="10" t="str">
        <f>HYPERLINK("https://www.boe.es/gazeta/dias/1834/09/19/pdfs/GMD-C-1834-217.pdf#page=1","Abrir facsímil")</f>
        <v>Abrir facsímil</v>
      </c>
      <c r="K17787" s="10" t="s">
        <v>37</v>
      </c>
    </row>
    <row r="17788" spans="1:11" ht="54" customHeight="1">
      <c r="A17788" s="9" t="s">
        <v>36162</v>
      </c>
      <c r="B17788" s="9" t="s">
        <v>36163</v>
      </c>
      <c r="C17788" s="9" t="s">
        <v>17</v>
      </c>
      <c r="D17788" s="9" t="s">
        <v>18</v>
      </c>
      <c r="E17788" s="10" t="s">
        <v>273</v>
      </c>
      <c r="F17788" s="9" t="s">
        <v>274</v>
      </c>
      <c r="G17788" s="10" t="s">
        <v>34</v>
      </c>
      <c r="H17788" s="9" t="s">
        <v>22</v>
      </c>
      <c r="I17788" s="9" t="s">
        <v>36164</v>
      </c>
      <c r="J17788" s="10" t="str">
        <f>HYPERLINK("https://www.boe.es/gazeta/dias/1834/08/31/pdfs/GMD-D-1834-198.pdf#page=1","Abrir facsímil")</f>
        <v>Abrir facsímil</v>
      </c>
      <c r="K17788" s="10" t="s">
        <v>24</v>
      </c>
    </row>
    <row r="17789" spans="1:11" ht="54" customHeight="1">
      <c r="A17789" s="9" t="s">
        <v>36165</v>
      </c>
      <c r="B17789" s="9" t="s">
        <v>36166</v>
      </c>
      <c r="C17789" s="9" t="s">
        <v>17</v>
      </c>
      <c r="D17789" s="9" t="s">
        <v>18</v>
      </c>
      <c r="E17789" s="10" t="s">
        <v>1850</v>
      </c>
      <c r="F17789" s="9" t="s">
        <v>1851</v>
      </c>
      <c r="G17789" s="10" t="s">
        <v>176</v>
      </c>
      <c r="H17789" s="9" t="s">
        <v>22</v>
      </c>
      <c r="I17789" s="9" t="s">
        <v>36167</v>
      </c>
      <c r="J17789" s="10" t="str">
        <f>HYPERLINK("https://www.boe.es/gazeta/dias/1834/02/18/pdfs/GMD-1834-22.pdf#page=6","Abrir facsímil")</f>
        <v>Abrir facsímil</v>
      </c>
      <c r="K17789" s="10" t="s">
        <v>24</v>
      </c>
    </row>
    <row r="17790" spans="1:11" ht="54" customHeight="1">
      <c r="A17790" s="9" t="s">
        <v>36168</v>
      </c>
      <c r="B17790" s="9" t="s">
        <v>36169</v>
      </c>
      <c r="C17790" s="9" t="s">
        <v>66</v>
      </c>
      <c r="D17790" s="9" t="s">
        <v>67</v>
      </c>
      <c r="E17790" s="10" t="s">
        <v>360</v>
      </c>
      <c r="F17790" s="9" t="s">
        <v>361</v>
      </c>
      <c r="G17790" s="10" t="s">
        <v>34</v>
      </c>
      <c r="H17790" s="9" t="s">
        <v>22</v>
      </c>
      <c r="I17790" s="9" t="s">
        <v>36170</v>
      </c>
      <c r="J17790" s="10" t="str">
        <f>HYPERLINK("https://www.boe.es/gazeta/dias/1834/04/07/pdfs/GMD-1834-46.pdf#page=1","Abrir facsímil")</f>
        <v>Abrir facsímil</v>
      </c>
      <c r="K17790" s="10" t="s">
        <v>24</v>
      </c>
    </row>
    <row r="17791" spans="1:11" ht="54" customHeight="1">
      <c r="A17791" s="9" t="s">
        <v>36168</v>
      </c>
      <c r="B17791" s="9" t="s">
        <v>36169</v>
      </c>
      <c r="C17791" s="9" t="s">
        <v>17</v>
      </c>
      <c r="D17791" s="9" t="s">
        <v>18</v>
      </c>
      <c r="E17791" s="10" t="s">
        <v>167</v>
      </c>
      <c r="F17791" s="9" t="s">
        <v>1200</v>
      </c>
      <c r="G17791" s="10" t="s">
        <v>470</v>
      </c>
      <c r="H17791" s="9" t="s">
        <v>22</v>
      </c>
      <c r="I17791" s="9" t="s">
        <v>36171</v>
      </c>
      <c r="J17791" s="10" t="str">
        <f>HYPERLINK("https://www.boe.es/gazeta/dias/1834/09/07/pdfs/GMD-C-1834-205.pdf#page=8","Abrir facsímil")</f>
        <v>Abrir facsímil</v>
      </c>
      <c r="K17791" s="10" t="s">
        <v>24</v>
      </c>
    </row>
    <row r="17792" spans="1:11" ht="54" customHeight="1">
      <c r="A17792" s="9" t="s">
        <v>36172</v>
      </c>
      <c r="B17792" s="9" t="s">
        <v>36173</v>
      </c>
      <c r="C17792" s="9" t="s">
        <v>17</v>
      </c>
      <c r="D17792" s="9" t="s">
        <v>18</v>
      </c>
      <c r="E17792" s="10" t="s">
        <v>1839</v>
      </c>
      <c r="F17792" s="9" t="s">
        <v>1840</v>
      </c>
      <c r="G17792" s="10" t="s">
        <v>34</v>
      </c>
      <c r="H17792" s="9" t="s">
        <v>22</v>
      </c>
      <c r="I17792" s="9" t="s">
        <v>36174</v>
      </c>
      <c r="J17792" s="10" t="str">
        <f>HYPERLINK("https://www.boe.es/gazeta/dias/1834/08/12/pdfs/GMD-C-1834-177.pdf#page=1","Abrir facsímil")</f>
        <v>Abrir facsímil</v>
      </c>
      <c r="K17792" s="10" t="s">
        <v>24</v>
      </c>
    </row>
    <row r="17793" spans="1:11" ht="54" customHeight="1">
      <c r="A17793" s="9" t="s">
        <v>36168</v>
      </c>
      <c r="B17793" s="9" t="s">
        <v>36169</v>
      </c>
      <c r="C17793" s="9" t="s">
        <v>66</v>
      </c>
      <c r="D17793" s="9" t="s">
        <v>67</v>
      </c>
      <c r="E17793" s="10" t="s">
        <v>133</v>
      </c>
      <c r="F17793" s="9" t="s">
        <v>134</v>
      </c>
      <c r="G17793" s="10" t="s">
        <v>34</v>
      </c>
      <c r="H17793" s="9" t="s">
        <v>22</v>
      </c>
      <c r="I17793" s="9" t="s">
        <v>36175</v>
      </c>
      <c r="J17793" s="10" t="str">
        <f>HYPERLINK("https://www.boe.es/gazeta/dias/1834/06/18/pdfs/GMD-1834-121.pdf#page=1","Abrir facsímil")</f>
        <v>Abrir facsímil</v>
      </c>
      <c r="K17793" s="10" t="s">
        <v>24</v>
      </c>
    </row>
    <row r="17794" spans="1:11" ht="54" customHeight="1">
      <c r="A17794" s="9" t="s">
        <v>36172</v>
      </c>
      <c r="B17794" s="9" t="s">
        <v>36173</v>
      </c>
      <c r="C17794" s="9" t="s">
        <v>17</v>
      </c>
      <c r="D17794" s="9" t="s">
        <v>18</v>
      </c>
      <c r="E17794" s="10" t="s">
        <v>672</v>
      </c>
      <c r="F17794" s="9" t="s">
        <v>1055</v>
      </c>
      <c r="G17794" s="10" t="s">
        <v>34</v>
      </c>
      <c r="H17794" s="9" t="s">
        <v>22</v>
      </c>
      <c r="I17794" s="9" t="s">
        <v>36176</v>
      </c>
      <c r="J17794" s="10" t="str">
        <f>HYPERLINK("https://www.boe.es/gazeta/dias/1834/09/19/pdfs/GMD-C-1834-217.pdf#page=1","Abrir facsímil")</f>
        <v>Abrir facsímil</v>
      </c>
      <c r="K17794" s="10" t="s">
        <v>24</v>
      </c>
    </row>
    <row r="17795" spans="1:11" ht="54" customHeight="1">
      <c r="A17795" s="9" t="s">
        <v>36168</v>
      </c>
      <c r="B17795" s="9" t="s">
        <v>36169</v>
      </c>
      <c r="C17795" s="9" t="s">
        <v>90</v>
      </c>
      <c r="D17795" s="9" t="s">
        <v>18</v>
      </c>
      <c r="E17795" s="10" t="s">
        <v>26</v>
      </c>
      <c r="F17795" s="9" t="s">
        <v>27</v>
      </c>
      <c r="G17795" s="10" t="s">
        <v>34</v>
      </c>
      <c r="H17795" s="9" t="s">
        <v>22</v>
      </c>
      <c r="I17795" s="9" t="s">
        <v>36177</v>
      </c>
      <c r="J17795" s="10" t="str">
        <f>HYPERLINK("https://www.boe.es/gazeta/dias/1834/10/19/pdfs/GMD-C-1834-247.pdf#page=1","Abrir facsímil")</f>
        <v>Abrir facsímil</v>
      </c>
      <c r="K17795" s="10" t="s">
        <v>24</v>
      </c>
    </row>
    <row r="17796" spans="1:11" ht="54" customHeight="1">
      <c r="A17796" s="9" t="s">
        <v>36172</v>
      </c>
      <c r="B17796" s="9" t="s">
        <v>36173</v>
      </c>
      <c r="C17796" s="9" t="s">
        <v>17</v>
      </c>
      <c r="D17796" s="9" t="s">
        <v>18</v>
      </c>
      <c r="E17796" s="10" t="s">
        <v>3810</v>
      </c>
      <c r="F17796" s="9" t="s">
        <v>3811</v>
      </c>
      <c r="G17796" s="10" t="s">
        <v>21</v>
      </c>
      <c r="H17796" s="9" t="s">
        <v>22</v>
      </c>
      <c r="I17796" s="9" t="s">
        <v>36178</v>
      </c>
      <c r="J17796" s="10" t="str">
        <f>HYPERLINK("https://www.boe.es/gazeta/dias/1834/02/20/pdfs/GMD-1834-23.pdf#page=3","Abrir facsímil")</f>
        <v>Abrir facsímil</v>
      </c>
      <c r="K17796" s="10" t="s">
        <v>24</v>
      </c>
    </row>
    <row r="17797" spans="1:11" ht="54" customHeight="1">
      <c r="A17797" s="9" t="s">
        <v>36168</v>
      </c>
      <c r="B17797" s="9" t="s">
        <v>36169</v>
      </c>
      <c r="C17797" s="9" t="s">
        <v>17</v>
      </c>
      <c r="D17797" s="9" t="s">
        <v>18</v>
      </c>
      <c r="E17797" s="10" t="s">
        <v>32</v>
      </c>
      <c r="F17797" s="9" t="s">
        <v>33</v>
      </c>
      <c r="G17797" s="10" t="s">
        <v>28</v>
      </c>
      <c r="H17797" s="9" t="s">
        <v>22</v>
      </c>
      <c r="I17797" s="9" t="s">
        <v>36179</v>
      </c>
      <c r="J17797" s="10" t="str">
        <f>HYPERLINK("https://www.boe.es/gazeta/dias/1834/04/23/pdfs/GMD-1834-62.pdf#page=5","Abrir facsímil")</f>
        <v>Abrir facsímil</v>
      </c>
      <c r="K17797" s="10" t="s">
        <v>24</v>
      </c>
    </row>
    <row r="17798" spans="1:11" ht="54" customHeight="1">
      <c r="A17798" s="9" t="s">
        <v>36168</v>
      </c>
      <c r="B17798" s="9" t="s">
        <v>36169</v>
      </c>
      <c r="C17798" s="9" t="s">
        <v>17</v>
      </c>
      <c r="D17798" s="9" t="s">
        <v>18</v>
      </c>
      <c r="E17798" s="10" t="s">
        <v>286</v>
      </c>
      <c r="F17798" s="9" t="s">
        <v>287</v>
      </c>
      <c r="G17798" s="10" t="s">
        <v>21</v>
      </c>
      <c r="H17798" s="9" t="s">
        <v>22</v>
      </c>
      <c r="I17798" s="9" t="s">
        <v>36180</v>
      </c>
      <c r="J17798" s="10" t="str">
        <f>HYPERLINK("https://www.boe.es/gazeta/dias/1834/08/30/pdfs/GMD-D-1834-196.pdf#page=3","Abrir facsímil")</f>
        <v>Abrir facsímil</v>
      </c>
      <c r="K17798" s="10" t="s">
        <v>24</v>
      </c>
    </row>
    <row r="17799" spans="1:11" ht="54" customHeight="1">
      <c r="A17799" s="9" t="s">
        <v>36181</v>
      </c>
      <c r="B17799" s="9" t="s">
        <v>36182</v>
      </c>
      <c r="C17799" s="9" t="s">
        <v>46</v>
      </c>
      <c r="D17799" s="9" t="s">
        <v>101</v>
      </c>
      <c r="E17799" s="10" t="s">
        <v>1883</v>
      </c>
      <c r="F17799" s="9" t="s">
        <v>1884</v>
      </c>
      <c r="G17799" s="10" t="s">
        <v>21</v>
      </c>
      <c r="H17799" s="9" t="s">
        <v>22</v>
      </c>
      <c r="I17799" s="9" t="s">
        <v>36183</v>
      </c>
      <c r="J17799" s="10" t="str">
        <f>HYPERLINK("https://www.boe.es/gazeta/dias/1834/01/11/pdfs/GMD-1834-6.pdf#page=3","Abrir facsímil")</f>
        <v>Abrir facsímil</v>
      </c>
      <c r="K17799" s="10" t="s">
        <v>24</v>
      </c>
    </row>
    <row r="17800" spans="1:11" ht="54" customHeight="1">
      <c r="A17800" s="9" t="s">
        <v>36184</v>
      </c>
      <c r="B17800" s="9" t="s">
        <v>36185</v>
      </c>
      <c r="C17800" s="9" t="s">
        <v>122</v>
      </c>
      <c r="D17800" s="9" t="s">
        <v>40</v>
      </c>
      <c r="E17800" s="10" t="s">
        <v>1708</v>
      </c>
      <c r="F17800" s="9" t="s">
        <v>1709</v>
      </c>
      <c r="G17800" s="10" t="s">
        <v>176</v>
      </c>
      <c r="H17800" s="9" t="s">
        <v>22</v>
      </c>
      <c r="I17800" s="9" t="s">
        <v>36186</v>
      </c>
      <c r="J17800" s="10" t="str">
        <f>HYPERLINK("https://www.boe.es/gazeta/dias/1834/04/12/pdfs/GMD-1834-51.pdf#page=6","Abrir facsímil")</f>
        <v>Abrir facsímil</v>
      </c>
      <c r="K17800" s="10" t="s">
        <v>24</v>
      </c>
    </row>
    <row r="17801" spans="1:11" ht="54" customHeight="1">
      <c r="A17801" s="9" t="s">
        <v>36187</v>
      </c>
      <c r="B17801" s="9" t="s">
        <v>36188</v>
      </c>
      <c r="C17801" s="9" t="s">
        <v>17</v>
      </c>
      <c r="D17801" s="9" t="s">
        <v>18</v>
      </c>
      <c r="E17801" s="10" t="s">
        <v>1922</v>
      </c>
      <c r="F17801" s="9" t="s">
        <v>1923</v>
      </c>
      <c r="G17801" s="10" t="s">
        <v>176</v>
      </c>
      <c r="H17801" s="9" t="s">
        <v>22</v>
      </c>
      <c r="I17801" s="9" t="s">
        <v>36189</v>
      </c>
      <c r="J17801" s="10" t="str">
        <f>HYPERLINK("https://www.boe.es/gazeta/dias/1834/02/25/pdfs/GMD-1834-25.pdf#page=6","Abrir facsímil")</f>
        <v>Abrir facsímil</v>
      </c>
      <c r="K17801" s="10" t="s">
        <v>24</v>
      </c>
    </row>
    <row r="17802" spans="1:11" ht="54" customHeight="1">
      <c r="A17802" s="9" t="s">
        <v>36190</v>
      </c>
      <c r="B17802" s="9" t="s">
        <v>36191</v>
      </c>
      <c r="C17802" s="9" t="s">
        <v>66</v>
      </c>
      <c r="D17802" s="9" t="s">
        <v>18</v>
      </c>
      <c r="E17802" s="10" t="s">
        <v>1125</v>
      </c>
      <c r="F17802" s="9" t="s">
        <v>2490</v>
      </c>
      <c r="G17802" s="10" t="s">
        <v>470</v>
      </c>
      <c r="H17802" s="9" t="s">
        <v>22</v>
      </c>
      <c r="I17802" s="9" t="s">
        <v>36192</v>
      </c>
      <c r="J17802" s="10" t="str">
        <f>HYPERLINK("https://www.boe.es/gazeta/dias/1834/04/17/pdfs/GMD-1834-56.pdf#page=8","Abrir facsímil")</f>
        <v>Abrir facsímil</v>
      </c>
      <c r="K17802" s="10" t="s">
        <v>24</v>
      </c>
    </row>
    <row r="17803" spans="1:11" ht="54" customHeight="1">
      <c r="A17803" s="9" t="s">
        <v>36193</v>
      </c>
      <c r="B17803" s="9" t="s">
        <v>36194</v>
      </c>
      <c r="C17803" s="9" t="s">
        <v>17</v>
      </c>
      <c r="D17803" s="9" t="s">
        <v>18</v>
      </c>
      <c r="E17803" s="10" t="s">
        <v>68</v>
      </c>
      <c r="F17803" s="9" t="s">
        <v>69</v>
      </c>
      <c r="G17803" s="10" t="s">
        <v>21</v>
      </c>
      <c r="H17803" s="9" t="s">
        <v>22</v>
      </c>
      <c r="I17803" s="9" t="s">
        <v>36195</v>
      </c>
      <c r="J17803" s="10" t="str">
        <f>HYPERLINK("https://www.boe.es/gazeta/dias/1834/11/01/pdfs/GMD-1834-260.pdf#page=3","Abrir facsímil")</f>
        <v>Abrir facsímil</v>
      </c>
      <c r="K17803" s="10" t="s">
        <v>24</v>
      </c>
    </row>
    <row r="17804" spans="1:11" ht="54" customHeight="1">
      <c r="A17804" s="9" t="s">
        <v>36196</v>
      </c>
      <c r="B17804" s="9" t="s">
        <v>36196</v>
      </c>
      <c r="C17804" s="9" t="s">
        <v>17</v>
      </c>
      <c r="D17804" s="9" t="s">
        <v>55</v>
      </c>
      <c r="E17804" s="10" t="s">
        <v>1141</v>
      </c>
      <c r="F17804" s="9" t="s">
        <v>1142</v>
      </c>
      <c r="G17804" s="10" t="s">
        <v>75</v>
      </c>
      <c r="H17804" s="9" t="s">
        <v>22</v>
      </c>
      <c r="I17804" s="9" t="s">
        <v>36197</v>
      </c>
      <c r="J17804" s="10" t="str">
        <f>HYPERLINK("https://www.boe.es/gazeta/dias/1834/04/30/pdfs/GMD-1834-69.pdf#page=4","Abrir facsímil")</f>
        <v>Abrir facsímil</v>
      </c>
      <c r="K17804" s="10" t="s">
        <v>24</v>
      </c>
    </row>
    <row r="17805" spans="1:11" ht="54" customHeight="1">
      <c r="A17805" s="9" t="s">
        <v>36198</v>
      </c>
      <c r="B17805" s="9" t="s">
        <v>36198</v>
      </c>
      <c r="C17805" s="9" t="s">
        <v>17</v>
      </c>
      <c r="D17805" s="9" t="s">
        <v>18</v>
      </c>
      <c r="E17805" s="10" t="s">
        <v>375</v>
      </c>
      <c r="F17805" s="9" t="s">
        <v>376</v>
      </c>
      <c r="G17805" s="10" t="s">
        <v>75</v>
      </c>
      <c r="H17805" s="9" t="s">
        <v>22</v>
      </c>
      <c r="I17805" s="9" t="s">
        <v>36199</v>
      </c>
      <c r="J17805" s="10" t="str">
        <f>HYPERLINK("https://www.boe.es/gazeta/dias/1834/08/21/pdfs/GMD-1834-187.pdf#page=4","Abrir facsímil")</f>
        <v>Abrir facsímil</v>
      </c>
      <c r="K17805" s="10" t="s">
        <v>24</v>
      </c>
    </row>
    <row r="17806" spans="1:11" ht="54" customHeight="1">
      <c r="A17806" s="9" t="s">
        <v>36200</v>
      </c>
      <c r="B17806" s="9" t="s">
        <v>36200</v>
      </c>
      <c r="C17806" s="9" t="s">
        <v>66</v>
      </c>
      <c r="D17806" s="9" t="s">
        <v>67</v>
      </c>
      <c r="E17806" s="10" t="s">
        <v>1262</v>
      </c>
      <c r="F17806" s="9" t="s">
        <v>1263</v>
      </c>
      <c r="G17806" s="10" t="s">
        <v>75</v>
      </c>
      <c r="H17806" s="9" t="s">
        <v>22</v>
      </c>
      <c r="I17806" s="9" t="s">
        <v>36201</v>
      </c>
      <c r="J17806" s="10" t="str">
        <f>HYPERLINK("https://www.boe.es/gazeta/dias/1834/02/01/pdfs/GMD-1834-15.pdf#page=4","Abrir facsímil")</f>
        <v>Abrir facsímil</v>
      </c>
      <c r="K17806" s="10" t="s">
        <v>24</v>
      </c>
    </row>
    <row r="17807" spans="1:11" ht="54" customHeight="1">
      <c r="A17807" s="9" t="s">
        <v>36200</v>
      </c>
      <c r="B17807" s="9" t="s">
        <v>36200</v>
      </c>
      <c r="C17807" s="9" t="s">
        <v>17</v>
      </c>
      <c r="D17807" s="9" t="s">
        <v>18</v>
      </c>
      <c r="E17807" s="10" t="s">
        <v>1025</v>
      </c>
      <c r="F17807" s="9" t="s">
        <v>1026</v>
      </c>
      <c r="G17807" s="10" t="s">
        <v>176</v>
      </c>
      <c r="H17807" s="9" t="s">
        <v>22</v>
      </c>
      <c r="I17807" s="9" t="s">
        <v>36202</v>
      </c>
      <c r="J17807" s="10" t="str">
        <f>HYPERLINK("https://www.boe.es/gazeta/dias/1834/03/01/pdfs/GMD-1834-27.pdf#page=6","Abrir facsímil")</f>
        <v>Abrir facsímil</v>
      </c>
      <c r="K17807" s="10" t="s">
        <v>24</v>
      </c>
    </row>
    <row r="17808" spans="1:11" ht="54" customHeight="1">
      <c r="A17808" s="9" t="s">
        <v>36200</v>
      </c>
      <c r="B17808" s="9" t="s">
        <v>36200</v>
      </c>
      <c r="C17808" s="9" t="s">
        <v>122</v>
      </c>
      <c r="D17808" s="9" t="s">
        <v>18</v>
      </c>
      <c r="E17808" s="10" t="s">
        <v>1084</v>
      </c>
      <c r="F17808" s="9" t="s">
        <v>1085</v>
      </c>
      <c r="G17808" s="10" t="s">
        <v>176</v>
      </c>
      <c r="H17808" s="9" t="s">
        <v>22</v>
      </c>
      <c r="I17808" s="9" t="s">
        <v>36203</v>
      </c>
      <c r="J17808" s="10" t="str">
        <f>HYPERLINK("https://www.boe.es/gazeta/dias/1834/05/01/pdfs/GMD-1834-70.pdf#page=6","Abrir facsímil")</f>
        <v>Abrir facsímil</v>
      </c>
      <c r="K17808" s="10" t="s">
        <v>24</v>
      </c>
    </row>
    <row r="17809" spans="1:11" ht="54" customHeight="1">
      <c r="A17809" s="9" t="s">
        <v>36200</v>
      </c>
      <c r="B17809" s="9" t="s">
        <v>36200</v>
      </c>
      <c r="C17809" s="9" t="s">
        <v>17</v>
      </c>
      <c r="D17809" s="9" t="s">
        <v>18</v>
      </c>
      <c r="E17809" s="10" t="s">
        <v>1297</v>
      </c>
      <c r="F17809" s="9" t="s">
        <v>1298</v>
      </c>
      <c r="G17809" s="10" t="s">
        <v>75</v>
      </c>
      <c r="H17809" s="9" t="s">
        <v>22</v>
      </c>
      <c r="I17809" s="9" t="s">
        <v>36204</v>
      </c>
      <c r="J17809" s="10" t="str">
        <f>HYPERLINK("https://www.boe.es/gazeta/dias/1834/08/01/pdfs/GMD-1834-165.pdf#page=4","Abrir facsímil")</f>
        <v>Abrir facsímil</v>
      </c>
      <c r="K17809" s="10" t="s">
        <v>24</v>
      </c>
    </row>
    <row r="17810" spans="1:11" ht="54" customHeight="1">
      <c r="A17810" s="9" t="s">
        <v>36200</v>
      </c>
      <c r="B17810" s="9" t="s">
        <v>36200</v>
      </c>
      <c r="C17810" s="9" t="s">
        <v>122</v>
      </c>
      <c r="D17810" s="9" t="s">
        <v>18</v>
      </c>
      <c r="E17810" s="10" t="s">
        <v>158</v>
      </c>
      <c r="F17810" s="9" t="s">
        <v>159</v>
      </c>
      <c r="G17810" s="10" t="s">
        <v>75</v>
      </c>
      <c r="H17810" s="9" t="s">
        <v>22</v>
      </c>
      <c r="I17810" s="9" t="s">
        <v>36205</v>
      </c>
      <c r="J17810" s="10" t="str">
        <f>HYPERLINK("https://www.boe.es/gazeta/dias/1834/10/01/pdfs/GMD-1834-229.pdf#page=4","Abrir facsímil")</f>
        <v>Abrir facsímil</v>
      </c>
      <c r="K17810" s="10" t="s">
        <v>24</v>
      </c>
    </row>
    <row r="17811" spans="1:11" ht="54" customHeight="1">
      <c r="A17811" s="9" t="s">
        <v>36200</v>
      </c>
      <c r="B17811" s="9" t="s">
        <v>36200</v>
      </c>
      <c r="C17811" s="9" t="s">
        <v>46</v>
      </c>
      <c r="D17811" s="9" t="s">
        <v>101</v>
      </c>
      <c r="E17811" s="10" t="s">
        <v>339</v>
      </c>
      <c r="F17811" s="9" t="s">
        <v>340</v>
      </c>
      <c r="G17811" s="10" t="s">
        <v>75</v>
      </c>
      <c r="H17811" s="9" t="s">
        <v>22</v>
      </c>
      <c r="I17811" s="9" t="s">
        <v>36206</v>
      </c>
      <c r="J17811" s="10" t="str">
        <f>HYPERLINK("https://www.boe.es/gazeta/dias/1834/05/02/pdfs/GMD-1834-71.pdf#page=4","Abrir facsímil")</f>
        <v>Abrir facsímil</v>
      </c>
      <c r="K17811" s="10" t="s">
        <v>24</v>
      </c>
    </row>
    <row r="17812" spans="1:11" ht="54" customHeight="1">
      <c r="A17812" s="9" t="s">
        <v>36200</v>
      </c>
      <c r="B17812" s="9" t="s">
        <v>36200</v>
      </c>
      <c r="C17812" s="9" t="s">
        <v>122</v>
      </c>
      <c r="D17812" s="9" t="s">
        <v>18</v>
      </c>
      <c r="E17812" s="10" t="s">
        <v>2729</v>
      </c>
      <c r="F17812" s="9" t="s">
        <v>2730</v>
      </c>
      <c r="G17812" s="10" t="s">
        <v>75</v>
      </c>
      <c r="H17812" s="9" t="s">
        <v>22</v>
      </c>
      <c r="I17812" s="9" t="s">
        <v>36207</v>
      </c>
      <c r="J17812" s="10" t="str">
        <f>HYPERLINK("https://www.boe.es/gazeta/dias/1834/07/02/pdfs/GMD-1834-135.pdf#page=4","Abrir facsímil")</f>
        <v>Abrir facsímil</v>
      </c>
      <c r="K17812" s="10" t="s">
        <v>24</v>
      </c>
    </row>
    <row r="17813" spans="1:11" ht="54" customHeight="1">
      <c r="A17813" s="9" t="s">
        <v>36200</v>
      </c>
      <c r="B17813" s="9" t="s">
        <v>36200</v>
      </c>
      <c r="C17813" s="9" t="s">
        <v>17</v>
      </c>
      <c r="D17813" s="9" t="s">
        <v>18</v>
      </c>
      <c r="E17813" s="10" t="s">
        <v>905</v>
      </c>
      <c r="F17813" s="9" t="s">
        <v>1651</v>
      </c>
      <c r="G17813" s="10" t="s">
        <v>75</v>
      </c>
      <c r="H17813" s="9" t="s">
        <v>22</v>
      </c>
      <c r="I17813" s="9" t="s">
        <v>36208</v>
      </c>
      <c r="J17813" s="10" t="str">
        <f>HYPERLINK("https://www.boe.es/gazeta/dias/1834/08/02/pdfs/GMD-1834-166.pdf#page=4","Abrir facsímil")</f>
        <v>Abrir facsímil</v>
      </c>
      <c r="K17813" s="10" t="s">
        <v>24</v>
      </c>
    </row>
    <row r="17814" spans="1:11" ht="54" customHeight="1">
      <c r="A17814" s="9" t="s">
        <v>36200</v>
      </c>
      <c r="B17814" s="9" t="s">
        <v>36200</v>
      </c>
      <c r="C17814" s="9" t="s">
        <v>17</v>
      </c>
      <c r="D17814" s="9" t="s">
        <v>18</v>
      </c>
      <c r="E17814" s="10" t="s">
        <v>637</v>
      </c>
      <c r="F17814" s="9" t="s">
        <v>638</v>
      </c>
      <c r="G17814" s="10" t="s">
        <v>86</v>
      </c>
      <c r="H17814" s="9" t="s">
        <v>22</v>
      </c>
      <c r="I17814" s="9" t="s">
        <v>36209</v>
      </c>
      <c r="J17814" s="10" t="str">
        <f>HYPERLINK("https://www.boe.es/gazeta/dias/1834/06/03/pdfs/I00469-00470.pdf#page=2","Abrir facsímil")</f>
        <v>Abrir facsímil</v>
      </c>
      <c r="K17814" s="10" t="s">
        <v>24</v>
      </c>
    </row>
    <row r="17815" spans="1:11" ht="54" customHeight="1">
      <c r="A17815" s="9" t="s">
        <v>36200</v>
      </c>
      <c r="B17815" s="9" t="s">
        <v>36200</v>
      </c>
      <c r="C17815" s="9" t="s">
        <v>17</v>
      </c>
      <c r="D17815" s="9" t="s">
        <v>18</v>
      </c>
      <c r="E17815" s="10" t="s">
        <v>637</v>
      </c>
      <c r="F17815" s="9" t="s">
        <v>638</v>
      </c>
      <c r="G17815" s="10" t="s">
        <v>75</v>
      </c>
      <c r="H17815" s="9" t="s">
        <v>22</v>
      </c>
      <c r="I17815" s="9" t="s">
        <v>36209</v>
      </c>
      <c r="J17815" s="10" t="str">
        <f>HYPERLINK("https://www.boe.es/gazeta/dias/1834/06/03/pdfs/GMD-1834-105.pdf#page=4","Abrir facsímil")</f>
        <v>Abrir facsímil</v>
      </c>
      <c r="K17815" s="10" t="s">
        <v>24</v>
      </c>
    </row>
    <row r="17816" spans="1:11" ht="54" customHeight="1">
      <c r="A17816" s="9" t="s">
        <v>36200</v>
      </c>
      <c r="B17816" s="9" t="s">
        <v>36200</v>
      </c>
      <c r="C17816" s="9" t="s">
        <v>17</v>
      </c>
      <c r="D17816" s="9" t="s">
        <v>18</v>
      </c>
      <c r="E17816" s="10" t="s">
        <v>3066</v>
      </c>
      <c r="F17816" s="9" t="s">
        <v>3188</v>
      </c>
      <c r="G17816" s="10" t="s">
        <v>86</v>
      </c>
      <c r="H17816" s="9" t="s">
        <v>22</v>
      </c>
      <c r="I17816" s="9" t="s">
        <v>36210</v>
      </c>
      <c r="J17816" s="10" t="str">
        <f>HYPERLINK("https://www.boe.es/gazeta/dias/1834/08/03/pdfs/I00721-00722.pdf#page=2","Abrir facsímil")</f>
        <v>Abrir facsímil</v>
      </c>
      <c r="K17816" s="10" t="s">
        <v>24</v>
      </c>
    </row>
    <row r="17817" spans="1:11" ht="54" customHeight="1">
      <c r="A17817" s="9" t="s">
        <v>36200</v>
      </c>
      <c r="B17817" s="9" t="s">
        <v>36200</v>
      </c>
      <c r="C17817" s="9" t="s">
        <v>17</v>
      </c>
      <c r="D17817" s="9" t="s">
        <v>18</v>
      </c>
      <c r="E17817" s="10" t="s">
        <v>3066</v>
      </c>
      <c r="F17817" s="9" t="s">
        <v>3188</v>
      </c>
      <c r="G17817" s="10" t="s">
        <v>75</v>
      </c>
      <c r="H17817" s="9" t="s">
        <v>22</v>
      </c>
      <c r="I17817" s="9" t="s">
        <v>36210</v>
      </c>
      <c r="J17817" s="10" t="str">
        <f>HYPERLINK("https://www.boe.es/gazeta/dias/1834/08/03/pdfs/GMD-1834-167.pdf#page=4","Abrir facsímil")</f>
        <v>Abrir facsímil</v>
      </c>
      <c r="K17817" s="10" t="s">
        <v>24</v>
      </c>
    </row>
    <row r="17818" spans="1:11" ht="54" customHeight="1">
      <c r="A17818" s="9" t="s">
        <v>36200</v>
      </c>
      <c r="B17818" s="9" t="s">
        <v>36200</v>
      </c>
      <c r="C17818" s="9" t="s">
        <v>122</v>
      </c>
      <c r="D17818" s="9" t="s">
        <v>55</v>
      </c>
      <c r="E17818" s="10" t="s">
        <v>690</v>
      </c>
      <c r="F17818" s="9" t="s">
        <v>5765</v>
      </c>
      <c r="G17818" s="10" t="s">
        <v>75</v>
      </c>
      <c r="H17818" s="9" t="s">
        <v>22</v>
      </c>
      <c r="I17818" s="9" t="s">
        <v>36211</v>
      </c>
      <c r="J17818" s="10" t="str">
        <f>HYPERLINK("https://www.boe.es/gazeta/dias/1834/09/03/pdfs/GMD-1834-201.pdf#page=4","Abrir facsímil")</f>
        <v>Abrir facsímil</v>
      </c>
      <c r="K17818" s="10" t="s">
        <v>24</v>
      </c>
    </row>
    <row r="17819" spans="1:11" ht="54" customHeight="1">
      <c r="A17819" s="9" t="s">
        <v>36200</v>
      </c>
      <c r="B17819" s="9" t="s">
        <v>36200</v>
      </c>
      <c r="C17819" s="9" t="s">
        <v>17</v>
      </c>
      <c r="D17819" s="9" t="s">
        <v>18</v>
      </c>
      <c r="E17819" s="10" t="s">
        <v>1597</v>
      </c>
      <c r="F17819" s="9" t="s">
        <v>1598</v>
      </c>
      <c r="G17819" s="10" t="s">
        <v>75</v>
      </c>
      <c r="H17819" s="9" t="s">
        <v>22</v>
      </c>
      <c r="I17819" s="9" t="s">
        <v>36212</v>
      </c>
      <c r="J17819" s="10" t="str">
        <f>HYPERLINK("https://www.boe.es/gazeta/dias/1834/10/03/pdfs/GMD-1834-231.pdf#page=4","Abrir facsímil")</f>
        <v>Abrir facsímil</v>
      </c>
      <c r="K17819" s="10" t="s">
        <v>24</v>
      </c>
    </row>
    <row r="17820" spans="1:11" ht="54" customHeight="1">
      <c r="A17820" s="9" t="s">
        <v>36200</v>
      </c>
      <c r="B17820" s="9" t="s">
        <v>36200</v>
      </c>
      <c r="C17820" s="9" t="s">
        <v>17</v>
      </c>
      <c r="D17820" s="9" t="s">
        <v>18</v>
      </c>
      <c r="E17820" s="10" t="s">
        <v>3328</v>
      </c>
      <c r="F17820" s="9" t="s">
        <v>3329</v>
      </c>
      <c r="G17820" s="10" t="s">
        <v>75</v>
      </c>
      <c r="H17820" s="9" t="s">
        <v>22</v>
      </c>
      <c r="I17820" s="9" t="s">
        <v>36213</v>
      </c>
      <c r="J17820" s="10" t="str">
        <f>HYPERLINK("https://www.boe.es/gazeta/dias/1834/06/04/pdfs/GMD-1834-106.pdf#page=4","Abrir facsímil")</f>
        <v>Abrir facsímil</v>
      </c>
      <c r="K17820" s="10" t="s">
        <v>24</v>
      </c>
    </row>
    <row r="17821" spans="1:11" ht="54" customHeight="1">
      <c r="A17821" s="9" t="s">
        <v>36200</v>
      </c>
      <c r="B17821" s="9" t="s">
        <v>36200</v>
      </c>
      <c r="C17821" s="9" t="s">
        <v>17</v>
      </c>
      <c r="D17821" s="9" t="s">
        <v>18</v>
      </c>
      <c r="E17821" s="10" t="s">
        <v>571</v>
      </c>
      <c r="F17821" s="9" t="s">
        <v>572</v>
      </c>
      <c r="G17821" s="10" t="s">
        <v>75</v>
      </c>
      <c r="H17821" s="9" t="s">
        <v>22</v>
      </c>
      <c r="I17821" s="9" t="s">
        <v>36214</v>
      </c>
      <c r="J17821" s="10" t="str">
        <f>HYPERLINK("https://www.boe.es/gazeta/dias/1834/09/04/pdfs/GMD-1834-202.pdf#page=4","Abrir facsímil")</f>
        <v>Abrir facsímil</v>
      </c>
      <c r="K17821" s="10" t="s">
        <v>24</v>
      </c>
    </row>
    <row r="17822" spans="1:11" ht="54" customHeight="1">
      <c r="A17822" s="9" t="s">
        <v>36200</v>
      </c>
      <c r="B17822" s="9" t="s">
        <v>36200</v>
      </c>
      <c r="C17822" s="9" t="s">
        <v>122</v>
      </c>
      <c r="D17822" s="9" t="s">
        <v>18</v>
      </c>
      <c r="E17822" s="10" t="s">
        <v>73</v>
      </c>
      <c r="F17822" s="9" t="s">
        <v>74</v>
      </c>
      <c r="G17822" s="10" t="s">
        <v>75</v>
      </c>
      <c r="H17822" s="9" t="s">
        <v>22</v>
      </c>
      <c r="I17822" s="9" t="s">
        <v>36215</v>
      </c>
      <c r="J17822" s="10" t="str">
        <f>HYPERLINK("https://www.boe.es/gazeta/dias/1834/11/04/pdfs/GMD-1834-263.pdf#page=4","Abrir facsímil")</f>
        <v>Abrir facsímil</v>
      </c>
      <c r="K17822" s="10" t="s">
        <v>24</v>
      </c>
    </row>
    <row r="17823" spans="1:11" ht="54" customHeight="1">
      <c r="A17823" s="9" t="s">
        <v>36200</v>
      </c>
      <c r="B17823" s="9" t="s">
        <v>36200</v>
      </c>
      <c r="C17823" s="9" t="s">
        <v>90</v>
      </c>
      <c r="D17823" s="9" t="s">
        <v>18</v>
      </c>
      <c r="E17823" s="10" t="s">
        <v>8346</v>
      </c>
      <c r="F17823" s="9" t="s">
        <v>8347</v>
      </c>
      <c r="G17823" s="10" t="s">
        <v>75</v>
      </c>
      <c r="H17823" s="9" t="s">
        <v>22</v>
      </c>
      <c r="I17823" s="9" t="s">
        <v>36216</v>
      </c>
      <c r="J17823" s="10" t="str">
        <f>HYPERLINK("https://www.boe.es/gazeta/dias/1834/12/04/pdfs/GMD-1834-293.pdf#page=4","Abrir facsímil")</f>
        <v>Abrir facsímil</v>
      </c>
      <c r="K17823" s="10" t="s">
        <v>24</v>
      </c>
    </row>
    <row r="17824" spans="1:11" ht="54" customHeight="1">
      <c r="A17824" s="9" t="s">
        <v>36200</v>
      </c>
      <c r="B17824" s="9" t="s">
        <v>36200</v>
      </c>
      <c r="C17824" s="9" t="s">
        <v>17</v>
      </c>
      <c r="D17824" s="9" t="s">
        <v>18</v>
      </c>
      <c r="E17824" s="10" t="s">
        <v>4814</v>
      </c>
      <c r="F17824" s="9" t="s">
        <v>4815</v>
      </c>
      <c r="G17824" s="10" t="s">
        <v>75</v>
      </c>
      <c r="H17824" s="9" t="s">
        <v>22</v>
      </c>
      <c r="I17824" s="9" t="s">
        <v>36217</v>
      </c>
      <c r="J17824" s="10" t="str">
        <f>HYPERLINK("https://www.boe.es/gazeta/dias/1834/06/05/pdfs/GMD-1834-107.pdf#page=4","Abrir facsímil")</f>
        <v>Abrir facsímil</v>
      </c>
      <c r="K17824" s="10" t="s">
        <v>24</v>
      </c>
    </row>
    <row r="17825" spans="1:11" ht="54" customHeight="1">
      <c r="A17825" s="9" t="s">
        <v>36200</v>
      </c>
      <c r="B17825" s="9" t="s">
        <v>36200</v>
      </c>
      <c r="C17825" s="9" t="s">
        <v>17</v>
      </c>
      <c r="D17825" s="9" t="s">
        <v>18</v>
      </c>
      <c r="E17825" s="10" t="s">
        <v>1351</v>
      </c>
      <c r="F17825" s="9" t="s">
        <v>1352</v>
      </c>
      <c r="G17825" s="10" t="s">
        <v>176</v>
      </c>
      <c r="H17825" s="9" t="s">
        <v>22</v>
      </c>
      <c r="I17825" s="9" t="s">
        <v>36218</v>
      </c>
      <c r="J17825" s="10" t="str">
        <f>HYPERLINK("https://www.boe.es/gazeta/dias/1834/07/05/pdfs/GMD-1834-138.pdf#page=6","Abrir facsímil")</f>
        <v>Abrir facsímil</v>
      </c>
      <c r="K17825" s="10" t="s">
        <v>24</v>
      </c>
    </row>
    <row r="17826" spans="1:11" ht="54" customHeight="1">
      <c r="A17826" s="9" t="s">
        <v>36200</v>
      </c>
      <c r="B17826" s="9" t="s">
        <v>36200</v>
      </c>
      <c r="C17826" s="9" t="s">
        <v>17</v>
      </c>
      <c r="D17826" s="9" t="s">
        <v>18</v>
      </c>
      <c r="E17826" s="10" t="s">
        <v>243</v>
      </c>
      <c r="F17826" s="9" t="s">
        <v>1109</v>
      </c>
      <c r="G17826" s="10" t="s">
        <v>75</v>
      </c>
      <c r="H17826" s="9" t="s">
        <v>22</v>
      </c>
      <c r="I17826" s="9" t="s">
        <v>36219</v>
      </c>
      <c r="J17826" s="10" t="str">
        <f>HYPERLINK("https://www.boe.es/gazeta/dias/1834/08/05/pdfs/GMD-1834-169.pdf#page=4","Abrir facsímil")</f>
        <v>Abrir facsímil</v>
      </c>
      <c r="K17826" s="10" t="s">
        <v>24</v>
      </c>
    </row>
    <row r="17827" spans="1:11" ht="54" customHeight="1">
      <c r="A17827" s="9" t="s">
        <v>36200</v>
      </c>
      <c r="B17827" s="9" t="s">
        <v>36200</v>
      </c>
      <c r="C17827" s="9" t="s">
        <v>122</v>
      </c>
      <c r="D17827" s="9" t="s">
        <v>18</v>
      </c>
      <c r="E17827" s="10" t="s">
        <v>1340</v>
      </c>
      <c r="F17827" s="9" t="s">
        <v>3300</v>
      </c>
      <c r="G17827" s="10" t="s">
        <v>75</v>
      </c>
      <c r="H17827" s="9" t="s">
        <v>22</v>
      </c>
      <c r="I17827" s="9" t="s">
        <v>36220</v>
      </c>
      <c r="J17827" s="10" t="str">
        <f>HYPERLINK("https://www.boe.es/gazeta/dias/1834/10/05/pdfs/GMD-1834-233.pdf#page=4","Abrir facsímil")</f>
        <v>Abrir facsímil</v>
      </c>
      <c r="K17827" s="10" t="s">
        <v>24</v>
      </c>
    </row>
    <row r="17828" spans="1:11" ht="54" customHeight="1">
      <c r="A17828" s="9" t="s">
        <v>36200</v>
      </c>
      <c r="B17828" s="9" t="s">
        <v>36200</v>
      </c>
      <c r="C17828" s="9" t="s">
        <v>17</v>
      </c>
      <c r="D17828" s="9" t="s">
        <v>18</v>
      </c>
      <c r="E17828" s="10" t="s">
        <v>3699</v>
      </c>
      <c r="F17828" s="9" t="s">
        <v>3700</v>
      </c>
      <c r="G17828" s="10" t="s">
        <v>34</v>
      </c>
      <c r="H17828" s="9" t="s">
        <v>22</v>
      </c>
      <c r="I17828" s="9" t="s">
        <v>36221</v>
      </c>
      <c r="J17828" s="10" t="str">
        <f>HYPERLINK("https://www.boe.es/gazeta/dias/1834/02/06/pdfs/I00074-00074.pdf#page=1","Abrir facsímil")</f>
        <v>Abrir facsímil</v>
      </c>
      <c r="K17828" s="10" t="s">
        <v>24</v>
      </c>
    </row>
    <row r="17829" spans="1:11" ht="54" customHeight="1">
      <c r="A17829" s="9" t="s">
        <v>36200</v>
      </c>
      <c r="B17829" s="9" t="s">
        <v>36200</v>
      </c>
      <c r="C17829" s="9" t="s">
        <v>17</v>
      </c>
      <c r="D17829" s="9" t="s">
        <v>18</v>
      </c>
      <c r="E17829" s="10" t="s">
        <v>3699</v>
      </c>
      <c r="F17829" s="9" t="s">
        <v>3700</v>
      </c>
      <c r="G17829" s="10" t="s">
        <v>75</v>
      </c>
      <c r="H17829" s="9" t="s">
        <v>22</v>
      </c>
      <c r="I17829" s="9" t="s">
        <v>36222</v>
      </c>
      <c r="J17829" s="10" t="str">
        <f>HYPERLINK("https://www.boe.es/gazeta/dias/1834/02/06/pdfs/GMD-1834-17.pdf#page=4","Abrir facsímil")</f>
        <v>Abrir facsímil</v>
      </c>
      <c r="K17829" s="10" t="s">
        <v>24</v>
      </c>
    </row>
    <row r="17830" spans="1:11" ht="54" customHeight="1">
      <c r="A17830" s="9" t="s">
        <v>36200</v>
      </c>
      <c r="B17830" s="9" t="s">
        <v>36200</v>
      </c>
      <c r="C17830" s="9" t="s">
        <v>17</v>
      </c>
      <c r="D17830" s="9" t="s">
        <v>18</v>
      </c>
      <c r="E17830" s="10" t="s">
        <v>1556</v>
      </c>
      <c r="F17830" s="9" t="s">
        <v>1557</v>
      </c>
      <c r="G17830" s="10" t="s">
        <v>75</v>
      </c>
      <c r="H17830" s="9" t="s">
        <v>22</v>
      </c>
      <c r="I17830" s="9" t="s">
        <v>36223</v>
      </c>
      <c r="J17830" s="10" t="str">
        <f>HYPERLINK("https://www.boe.es/gazeta/dias/1834/06/06/pdfs/GMD-1834-108.pdf#page=4","Abrir facsímil")</f>
        <v>Abrir facsímil</v>
      </c>
      <c r="K17830" s="10" t="s">
        <v>24</v>
      </c>
    </row>
    <row r="17831" spans="1:11" ht="54" customHeight="1">
      <c r="A17831" s="9" t="s">
        <v>36200</v>
      </c>
      <c r="B17831" s="9" t="s">
        <v>36200</v>
      </c>
      <c r="C17831" s="9" t="s">
        <v>17</v>
      </c>
      <c r="D17831" s="9" t="s">
        <v>18</v>
      </c>
      <c r="E17831" s="10" t="s">
        <v>2865</v>
      </c>
      <c r="F17831" s="9" t="s">
        <v>2866</v>
      </c>
      <c r="G17831" s="10" t="s">
        <v>75</v>
      </c>
      <c r="H17831" s="9" t="s">
        <v>22</v>
      </c>
      <c r="I17831" s="9" t="s">
        <v>36224</v>
      </c>
      <c r="J17831" s="10" t="str">
        <f>HYPERLINK("https://www.boe.es/gazeta/dias/1834/07/06/pdfs/GMD-1834-139.pdf#page=4","Abrir facsímil")</f>
        <v>Abrir facsímil</v>
      </c>
      <c r="K17831" s="10" t="s">
        <v>24</v>
      </c>
    </row>
    <row r="17832" spans="1:11" ht="54" customHeight="1">
      <c r="A17832" s="9" t="s">
        <v>36200</v>
      </c>
      <c r="B17832" s="9" t="s">
        <v>36200</v>
      </c>
      <c r="C17832" s="9" t="s">
        <v>17</v>
      </c>
      <c r="D17832" s="9" t="s">
        <v>18</v>
      </c>
      <c r="E17832" s="10" t="s">
        <v>653</v>
      </c>
      <c r="F17832" s="9" t="s">
        <v>3369</v>
      </c>
      <c r="G17832" s="10" t="s">
        <v>75</v>
      </c>
      <c r="H17832" s="9" t="s">
        <v>22</v>
      </c>
      <c r="I17832" s="9" t="s">
        <v>36225</v>
      </c>
      <c r="J17832" s="10" t="str">
        <f>HYPERLINK("https://www.boe.es/gazeta/dias/1834/08/06/pdfs/GMD-1834-170.pdf#page=4","Abrir facsímil")</f>
        <v>Abrir facsímil</v>
      </c>
      <c r="K17832" s="10" t="s">
        <v>24</v>
      </c>
    </row>
    <row r="17833" spans="1:11" ht="54" customHeight="1">
      <c r="A17833" s="9" t="s">
        <v>36200</v>
      </c>
      <c r="B17833" s="9" t="s">
        <v>36200</v>
      </c>
      <c r="C17833" s="9" t="s">
        <v>122</v>
      </c>
      <c r="D17833" s="9" t="s">
        <v>101</v>
      </c>
      <c r="E17833" s="10" t="s">
        <v>1742</v>
      </c>
      <c r="F17833" s="9" t="s">
        <v>1743</v>
      </c>
      <c r="G17833" s="10" t="s">
        <v>75</v>
      </c>
      <c r="H17833" s="9" t="s">
        <v>22</v>
      </c>
      <c r="I17833" s="9" t="s">
        <v>36226</v>
      </c>
      <c r="J17833" s="10" t="str">
        <f>HYPERLINK("https://www.boe.es/gazeta/dias/1834/11/06/pdfs/GMD-1834-265.pdf#page=4","Abrir facsímil")</f>
        <v>Abrir facsímil</v>
      </c>
      <c r="K17833" s="10" t="s">
        <v>24</v>
      </c>
    </row>
    <row r="17834" spans="1:11" ht="54" customHeight="1">
      <c r="A17834" s="9" t="s">
        <v>36200</v>
      </c>
      <c r="B17834" s="9" t="s">
        <v>36200</v>
      </c>
      <c r="C17834" s="9" t="s">
        <v>90</v>
      </c>
      <c r="D17834" s="9" t="s">
        <v>101</v>
      </c>
      <c r="E17834" s="10" t="s">
        <v>696</v>
      </c>
      <c r="F17834" s="9" t="s">
        <v>854</v>
      </c>
      <c r="G17834" s="10" t="s">
        <v>75</v>
      </c>
      <c r="H17834" s="9" t="s">
        <v>22</v>
      </c>
      <c r="I17834" s="9" t="s">
        <v>36227</v>
      </c>
      <c r="J17834" s="10" t="str">
        <f>HYPERLINK("https://www.boe.es/gazeta/dias/1834/12/06/pdfs/GMD-1834-295.pdf#page=4","Abrir facsímil")</f>
        <v>Abrir facsímil</v>
      </c>
      <c r="K17834" s="10" t="s">
        <v>24</v>
      </c>
    </row>
    <row r="17835" spans="1:11" ht="54" customHeight="1">
      <c r="A17835" s="9" t="s">
        <v>36200</v>
      </c>
      <c r="B17835" s="9" t="s">
        <v>36200</v>
      </c>
      <c r="C17835" s="9" t="s">
        <v>66</v>
      </c>
      <c r="D17835" s="9" t="s">
        <v>67</v>
      </c>
      <c r="E17835" s="10" t="s">
        <v>1505</v>
      </c>
      <c r="F17835" s="9" t="s">
        <v>1506</v>
      </c>
      <c r="G17835" s="10" t="s">
        <v>75</v>
      </c>
      <c r="H17835" s="9" t="s">
        <v>22</v>
      </c>
      <c r="I17835" s="9" t="s">
        <v>36228</v>
      </c>
      <c r="J17835" s="10" t="str">
        <f>HYPERLINK("https://www.boe.es/gazeta/dias/1834/05/08/pdfs/GMD-1834-77.pdf#page=4","Abrir facsímil")</f>
        <v>Abrir facsímil</v>
      </c>
      <c r="K17835" s="10" t="s">
        <v>24</v>
      </c>
    </row>
    <row r="17836" spans="1:11" ht="54" customHeight="1">
      <c r="A17836" s="9" t="s">
        <v>36200</v>
      </c>
      <c r="B17836" s="9" t="s">
        <v>36200</v>
      </c>
      <c r="C17836" s="9" t="s">
        <v>17</v>
      </c>
      <c r="D17836" s="9" t="s">
        <v>18</v>
      </c>
      <c r="E17836" s="10" t="s">
        <v>61</v>
      </c>
      <c r="F17836" s="9" t="s">
        <v>205</v>
      </c>
      <c r="G17836" s="10" t="s">
        <v>75</v>
      </c>
      <c r="H17836" s="9" t="s">
        <v>22</v>
      </c>
      <c r="I17836" s="9" t="s">
        <v>36229</v>
      </c>
      <c r="J17836" s="10" t="str">
        <f>HYPERLINK("https://www.boe.es/gazeta/dias/1834/06/08/pdfs/GMD-1834-110.pdf#page=4","Abrir facsímil")</f>
        <v>Abrir facsímil</v>
      </c>
      <c r="K17836" s="10" t="s">
        <v>24</v>
      </c>
    </row>
    <row r="17837" spans="1:11" ht="54" customHeight="1">
      <c r="A17837" s="9" t="s">
        <v>36200</v>
      </c>
      <c r="B17837" s="9" t="s">
        <v>36200</v>
      </c>
      <c r="C17837" s="9" t="s">
        <v>17</v>
      </c>
      <c r="D17837" s="9" t="s">
        <v>18</v>
      </c>
      <c r="E17837" s="10" t="s">
        <v>813</v>
      </c>
      <c r="F17837" s="9" t="s">
        <v>814</v>
      </c>
      <c r="G17837" s="10" t="s">
        <v>75</v>
      </c>
      <c r="H17837" s="9" t="s">
        <v>22</v>
      </c>
      <c r="I17837" s="9" t="s">
        <v>36230</v>
      </c>
      <c r="J17837" s="10" t="str">
        <f>HYPERLINK("https://www.boe.es/gazeta/dias/1834/08/08/pdfs/GMD-1834-173.pdf#page=4","Abrir facsímil")</f>
        <v>Abrir facsímil</v>
      </c>
      <c r="K17837" s="10" t="s">
        <v>24</v>
      </c>
    </row>
    <row r="17838" spans="1:11" ht="54" customHeight="1">
      <c r="A17838" s="9" t="s">
        <v>36200</v>
      </c>
      <c r="B17838" s="9" t="s">
        <v>36200</v>
      </c>
      <c r="C17838" s="9" t="s">
        <v>17</v>
      </c>
      <c r="D17838" s="9" t="s">
        <v>55</v>
      </c>
      <c r="E17838" s="10" t="s">
        <v>793</v>
      </c>
      <c r="F17838" s="9" t="s">
        <v>794</v>
      </c>
      <c r="G17838" s="10" t="s">
        <v>75</v>
      </c>
      <c r="H17838" s="9" t="s">
        <v>22</v>
      </c>
      <c r="I17838" s="9" t="s">
        <v>36231</v>
      </c>
      <c r="J17838" s="10" t="str">
        <f>HYPERLINK("https://www.boe.es/gazeta/dias/1834/10/08/pdfs/GMD-1834-236.pdf#page=4","Abrir facsímil")</f>
        <v>Abrir facsímil</v>
      </c>
      <c r="K17838" s="10" t="s">
        <v>24</v>
      </c>
    </row>
    <row r="17839" spans="1:11" ht="54" customHeight="1">
      <c r="A17839" s="9" t="s">
        <v>36200</v>
      </c>
      <c r="B17839" s="9" t="s">
        <v>36200</v>
      </c>
      <c r="C17839" s="9" t="s">
        <v>17</v>
      </c>
      <c r="D17839" s="9" t="s">
        <v>18</v>
      </c>
      <c r="E17839" s="10" t="s">
        <v>163</v>
      </c>
      <c r="F17839" s="9" t="s">
        <v>164</v>
      </c>
      <c r="G17839" s="10" t="s">
        <v>75</v>
      </c>
      <c r="H17839" s="9" t="s">
        <v>22</v>
      </c>
      <c r="I17839" s="9" t="s">
        <v>36232</v>
      </c>
      <c r="J17839" s="10" t="str">
        <f>HYPERLINK("https://www.boe.es/gazeta/dias/1834/08/09/pdfs/GMD-1834-174.pdf#page=4","Abrir facsímil")</f>
        <v>Abrir facsímil</v>
      </c>
      <c r="K17839" s="10" t="s">
        <v>24</v>
      </c>
    </row>
    <row r="17840" spans="1:11" ht="54" customHeight="1">
      <c r="A17840" s="9" t="s">
        <v>36200</v>
      </c>
      <c r="B17840" s="9" t="s">
        <v>36200</v>
      </c>
      <c r="C17840" s="9" t="s">
        <v>46</v>
      </c>
      <c r="D17840" s="9" t="s">
        <v>55</v>
      </c>
      <c r="E17840" s="10" t="s">
        <v>258</v>
      </c>
      <c r="F17840" s="9" t="s">
        <v>1075</v>
      </c>
      <c r="G17840" s="10" t="s">
        <v>75</v>
      </c>
      <c r="H17840" s="9" t="s">
        <v>22</v>
      </c>
      <c r="I17840" s="9" t="s">
        <v>36233</v>
      </c>
      <c r="J17840" s="10" t="str">
        <f>HYPERLINK("https://www.boe.es/gazeta/dias/1834/10/09/pdfs/GMD-1834-237.pdf#page=4","Abrir facsímil")</f>
        <v>Abrir facsímil</v>
      </c>
      <c r="K17840" s="10" t="s">
        <v>24</v>
      </c>
    </row>
    <row r="17841" spans="1:11" ht="54" customHeight="1">
      <c r="A17841" s="9" t="s">
        <v>36200</v>
      </c>
      <c r="B17841" s="9" t="s">
        <v>36200</v>
      </c>
      <c r="C17841" s="9" t="s">
        <v>17</v>
      </c>
      <c r="D17841" s="9" t="s">
        <v>18</v>
      </c>
      <c r="E17841" s="10" t="s">
        <v>1318</v>
      </c>
      <c r="F17841" s="9" t="s">
        <v>1319</v>
      </c>
      <c r="G17841" s="10" t="s">
        <v>75</v>
      </c>
      <c r="H17841" s="9" t="s">
        <v>22</v>
      </c>
      <c r="I17841" s="9" t="s">
        <v>36234</v>
      </c>
      <c r="J17841" s="10" t="str">
        <f>HYPERLINK("https://www.boe.es/gazeta/dias/1834/05/10/pdfs/GMD-1834-79.pdf#page=4","Abrir facsímil")</f>
        <v>Abrir facsímil</v>
      </c>
      <c r="K17841" s="10" t="s">
        <v>24</v>
      </c>
    </row>
    <row r="17842" spans="1:11" ht="54" customHeight="1">
      <c r="A17842" s="9" t="s">
        <v>36200</v>
      </c>
      <c r="B17842" s="9" t="s">
        <v>36200</v>
      </c>
      <c r="C17842" s="9" t="s">
        <v>122</v>
      </c>
      <c r="D17842" s="9" t="s">
        <v>18</v>
      </c>
      <c r="E17842" s="10" t="s">
        <v>4565</v>
      </c>
      <c r="F17842" s="9" t="s">
        <v>4566</v>
      </c>
      <c r="G17842" s="10" t="s">
        <v>75</v>
      </c>
      <c r="H17842" s="9" t="s">
        <v>22</v>
      </c>
      <c r="I17842" s="9" t="s">
        <v>36235</v>
      </c>
      <c r="J17842" s="10" t="str">
        <f>HYPERLINK("https://www.boe.es/gazeta/dias/1834/07/10/pdfs/GMD-1834-143.pdf#page=4","Abrir facsímil")</f>
        <v>Abrir facsímil</v>
      </c>
      <c r="K17842" s="10" t="s">
        <v>24</v>
      </c>
    </row>
    <row r="17843" spans="1:11" ht="54" customHeight="1">
      <c r="A17843" s="9" t="s">
        <v>36200</v>
      </c>
      <c r="B17843" s="9" t="s">
        <v>36200</v>
      </c>
      <c r="C17843" s="9" t="s">
        <v>122</v>
      </c>
      <c r="D17843" s="9" t="s">
        <v>18</v>
      </c>
      <c r="E17843" s="10" t="s">
        <v>1103</v>
      </c>
      <c r="F17843" s="9" t="s">
        <v>1259</v>
      </c>
      <c r="G17843" s="10" t="s">
        <v>75</v>
      </c>
      <c r="H17843" s="9" t="s">
        <v>22</v>
      </c>
      <c r="I17843" s="9" t="s">
        <v>36236</v>
      </c>
      <c r="J17843" s="10" t="str">
        <f>HYPERLINK("https://www.boe.es/gazeta/dias/1834/10/10/pdfs/GMD-1834-238.pdf#page=4","Abrir facsímil")</f>
        <v>Abrir facsímil</v>
      </c>
      <c r="K17843" s="10" t="s">
        <v>24</v>
      </c>
    </row>
    <row r="17844" spans="1:11" ht="54" customHeight="1">
      <c r="A17844" s="9" t="s">
        <v>36200</v>
      </c>
      <c r="B17844" s="9" t="s">
        <v>36200</v>
      </c>
      <c r="C17844" s="9" t="s">
        <v>17</v>
      </c>
      <c r="D17844" s="9" t="s">
        <v>18</v>
      </c>
      <c r="E17844" s="10" t="s">
        <v>679</v>
      </c>
      <c r="F17844" s="9" t="s">
        <v>680</v>
      </c>
      <c r="G17844" s="10" t="s">
        <v>75</v>
      </c>
      <c r="H17844" s="9" t="s">
        <v>22</v>
      </c>
      <c r="I17844" s="9" t="s">
        <v>36237</v>
      </c>
      <c r="J17844" s="10" t="str">
        <f>HYPERLINK("https://www.boe.es/gazeta/dias/1834/12/10/pdfs/GMD-1834-299.pdf#page=4","Abrir facsímil")</f>
        <v>Abrir facsímil</v>
      </c>
      <c r="K17844" s="10" t="s">
        <v>24</v>
      </c>
    </row>
    <row r="17845" spans="1:11" ht="54" customHeight="1">
      <c r="A17845" s="9" t="s">
        <v>36200</v>
      </c>
      <c r="B17845" s="9" t="s">
        <v>36200</v>
      </c>
      <c r="C17845" s="9" t="s">
        <v>17</v>
      </c>
      <c r="D17845" s="9" t="s">
        <v>18</v>
      </c>
      <c r="E17845" s="10" t="s">
        <v>1883</v>
      </c>
      <c r="F17845" s="9" t="s">
        <v>1884</v>
      </c>
      <c r="G17845" s="10" t="s">
        <v>75</v>
      </c>
      <c r="H17845" s="9" t="s">
        <v>22</v>
      </c>
      <c r="I17845" s="9" t="s">
        <v>36238</v>
      </c>
      <c r="J17845" s="10" t="str">
        <f>HYPERLINK("https://www.boe.es/gazeta/dias/1834/01/11/pdfs/GMD-1834-6.pdf#page=4","Abrir facsímil")</f>
        <v>Abrir facsímil</v>
      </c>
      <c r="K17845" s="10" t="s">
        <v>24</v>
      </c>
    </row>
    <row r="17846" spans="1:11" ht="54" customHeight="1">
      <c r="A17846" s="9" t="s">
        <v>36200</v>
      </c>
      <c r="B17846" s="9" t="s">
        <v>36200</v>
      </c>
      <c r="C17846" s="9" t="s">
        <v>17</v>
      </c>
      <c r="D17846" s="9" t="s">
        <v>18</v>
      </c>
      <c r="E17846" s="10" t="s">
        <v>785</v>
      </c>
      <c r="F17846" s="9" t="s">
        <v>786</v>
      </c>
      <c r="G17846" s="10" t="s">
        <v>75</v>
      </c>
      <c r="H17846" s="9" t="s">
        <v>22</v>
      </c>
      <c r="I17846" s="9" t="s">
        <v>36239</v>
      </c>
      <c r="J17846" s="10" t="str">
        <f>HYPERLINK("https://www.boe.es/gazeta/dias/1834/02/11/pdfs/GMD-1834-19.pdf#page=4","Abrir facsímil")</f>
        <v>Abrir facsímil</v>
      </c>
      <c r="K17846" s="10" t="s">
        <v>24</v>
      </c>
    </row>
    <row r="17847" spans="1:11" ht="54" customHeight="1">
      <c r="A17847" s="9" t="s">
        <v>36200</v>
      </c>
      <c r="B17847" s="9" t="s">
        <v>36200</v>
      </c>
      <c r="C17847" s="9" t="s">
        <v>90</v>
      </c>
      <c r="D17847" s="9" t="s">
        <v>18</v>
      </c>
      <c r="E17847" s="10" t="s">
        <v>41</v>
      </c>
      <c r="F17847" s="9" t="s">
        <v>42</v>
      </c>
      <c r="G17847" s="10" t="s">
        <v>75</v>
      </c>
      <c r="H17847" s="9" t="s">
        <v>22</v>
      </c>
      <c r="I17847" s="9" t="s">
        <v>36240</v>
      </c>
      <c r="J17847" s="10" t="str">
        <f>HYPERLINK("https://www.boe.es/gazeta/dias/1834/06/11/pdfs/GMD-1834-114.pdf#page=4","Abrir facsímil")</f>
        <v>Abrir facsímil</v>
      </c>
      <c r="K17847" s="10" t="s">
        <v>24</v>
      </c>
    </row>
    <row r="17848" spans="1:11" ht="54" customHeight="1">
      <c r="A17848" s="9" t="s">
        <v>36200</v>
      </c>
      <c r="B17848" s="9" t="s">
        <v>36200</v>
      </c>
      <c r="C17848" s="9" t="s">
        <v>17</v>
      </c>
      <c r="D17848" s="9" t="s">
        <v>18</v>
      </c>
      <c r="E17848" s="10" t="s">
        <v>808</v>
      </c>
      <c r="F17848" s="9" t="s">
        <v>809</v>
      </c>
      <c r="G17848" s="10" t="s">
        <v>75</v>
      </c>
      <c r="H17848" s="9" t="s">
        <v>22</v>
      </c>
      <c r="I17848" s="9" t="s">
        <v>36241</v>
      </c>
      <c r="J17848" s="10" t="str">
        <f>HYPERLINK("https://www.boe.es/gazeta/dias/1834/10/11/pdfs/GMD-1834-239.pdf#page=4","Abrir facsímil")</f>
        <v>Abrir facsímil</v>
      </c>
      <c r="K17848" s="10" t="s">
        <v>24</v>
      </c>
    </row>
    <row r="17849" spans="1:11" ht="54" customHeight="1">
      <c r="A17849" s="9" t="s">
        <v>36200</v>
      </c>
      <c r="B17849" s="9" t="s">
        <v>36200</v>
      </c>
      <c r="C17849" s="9" t="s">
        <v>17</v>
      </c>
      <c r="D17849" s="9" t="s">
        <v>18</v>
      </c>
      <c r="E17849" s="10" t="s">
        <v>623</v>
      </c>
      <c r="F17849" s="9" t="s">
        <v>3442</v>
      </c>
      <c r="G17849" s="10" t="s">
        <v>75</v>
      </c>
      <c r="H17849" s="9" t="s">
        <v>22</v>
      </c>
      <c r="I17849" s="9" t="s">
        <v>36242</v>
      </c>
      <c r="J17849" s="10" t="str">
        <f>HYPERLINK("https://www.boe.es/gazeta/dias/1834/10/12/pdfs/GMD-1834-240.pdf#page=4","Abrir facsímil")</f>
        <v>Abrir facsímil</v>
      </c>
      <c r="K17849" s="10" t="s">
        <v>24</v>
      </c>
    </row>
    <row r="17850" spans="1:11" ht="54" customHeight="1">
      <c r="A17850" s="9" t="s">
        <v>36200</v>
      </c>
      <c r="B17850" s="9" t="s">
        <v>36200</v>
      </c>
      <c r="C17850" s="9" t="s">
        <v>122</v>
      </c>
      <c r="D17850" s="9" t="s">
        <v>18</v>
      </c>
      <c r="E17850" s="10" t="s">
        <v>642</v>
      </c>
      <c r="F17850" s="9" t="s">
        <v>1843</v>
      </c>
      <c r="G17850" s="10" t="s">
        <v>75</v>
      </c>
      <c r="H17850" s="9" t="s">
        <v>22</v>
      </c>
      <c r="I17850" s="9" t="s">
        <v>36243</v>
      </c>
      <c r="J17850" s="10" t="str">
        <f>HYPERLINK("https://www.boe.es/gazeta/dias/1834/11/12/pdfs/GMD-1834-271.pdf#page=4","Abrir facsímil")</f>
        <v>Abrir facsímil</v>
      </c>
      <c r="K17850" s="10" t="s">
        <v>24</v>
      </c>
    </row>
    <row r="17851" spans="1:11" ht="54" customHeight="1">
      <c r="A17851" s="9" t="s">
        <v>36200</v>
      </c>
      <c r="B17851" s="9" t="s">
        <v>36200</v>
      </c>
      <c r="C17851" s="9" t="s">
        <v>17</v>
      </c>
      <c r="D17851" s="9" t="s">
        <v>18</v>
      </c>
      <c r="E17851" s="10" t="s">
        <v>844</v>
      </c>
      <c r="F17851" s="9" t="s">
        <v>845</v>
      </c>
      <c r="G17851" s="10" t="s">
        <v>75</v>
      </c>
      <c r="H17851" s="9" t="s">
        <v>22</v>
      </c>
      <c r="I17851" s="9" t="s">
        <v>36244</v>
      </c>
      <c r="J17851" s="10" t="str">
        <f>HYPERLINK("https://www.boe.es/gazeta/dias/1834/03/13/pdfs/GMD-1834-32.pdf#page=4","Abrir facsímil")</f>
        <v>Abrir facsímil</v>
      </c>
      <c r="K17851" s="10" t="s">
        <v>24</v>
      </c>
    </row>
    <row r="17852" spans="1:11" ht="54" customHeight="1">
      <c r="A17852" s="9" t="s">
        <v>36200</v>
      </c>
      <c r="B17852" s="9" t="s">
        <v>36200</v>
      </c>
      <c r="C17852" s="9" t="s">
        <v>122</v>
      </c>
      <c r="D17852" s="9" t="s">
        <v>18</v>
      </c>
      <c r="E17852" s="10" t="s">
        <v>2260</v>
      </c>
      <c r="F17852" s="9" t="s">
        <v>2261</v>
      </c>
      <c r="G17852" s="10" t="s">
        <v>75</v>
      </c>
      <c r="H17852" s="9" t="s">
        <v>22</v>
      </c>
      <c r="I17852" s="9" t="s">
        <v>36245</v>
      </c>
      <c r="J17852" s="10" t="str">
        <f>HYPERLINK("https://www.boe.es/gazeta/dias/1834/11/13/pdfs/GMD-1834-272.pdf#page=4","Abrir facsímil")</f>
        <v>Abrir facsímil</v>
      </c>
      <c r="K17852" s="10" t="s">
        <v>24</v>
      </c>
    </row>
    <row r="17853" spans="1:11" ht="54" customHeight="1">
      <c r="A17853" s="9" t="s">
        <v>36200</v>
      </c>
      <c r="B17853" s="9" t="s">
        <v>36200</v>
      </c>
      <c r="C17853" s="9" t="s">
        <v>17</v>
      </c>
      <c r="D17853" s="9" t="s">
        <v>18</v>
      </c>
      <c r="E17853" s="10" t="s">
        <v>3057</v>
      </c>
      <c r="F17853" s="9" t="s">
        <v>3058</v>
      </c>
      <c r="G17853" s="10" t="s">
        <v>75</v>
      </c>
      <c r="H17853" s="9" t="s">
        <v>22</v>
      </c>
      <c r="I17853" s="9" t="s">
        <v>36246</v>
      </c>
      <c r="J17853" s="10" t="str">
        <f>HYPERLINK("https://www.boe.es/gazeta/dias/1834/06/14/pdfs/GMD-1834-117.pdf#page=4","Abrir facsímil")</f>
        <v>Abrir facsímil</v>
      </c>
      <c r="K17853" s="10" t="s">
        <v>24</v>
      </c>
    </row>
    <row r="17854" spans="1:11" ht="54" customHeight="1">
      <c r="A17854" s="9" t="s">
        <v>36200</v>
      </c>
      <c r="B17854" s="9" t="s">
        <v>36200</v>
      </c>
      <c r="C17854" s="9" t="s">
        <v>122</v>
      </c>
      <c r="D17854" s="9" t="s">
        <v>18</v>
      </c>
      <c r="E17854" s="10" t="s">
        <v>1186</v>
      </c>
      <c r="F17854" s="9" t="s">
        <v>1187</v>
      </c>
      <c r="G17854" s="10" t="s">
        <v>75</v>
      </c>
      <c r="H17854" s="9" t="s">
        <v>22</v>
      </c>
      <c r="I17854" s="9" t="s">
        <v>36247</v>
      </c>
      <c r="J17854" s="10" t="str">
        <f>HYPERLINK("https://www.boe.es/gazeta/dias/1834/08/14/pdfs/GMD-1834-179.pdf#page=4","Abrir facsímil")</f>
        <v>Abrir facsímil</v>
      </c>
      <c r="K17854" s="10" t="s">
        <v>24</v>
      </c>
    </row>
    <row r="17855" spans="1:11" ht="54" customHeight="1">
      <c r="A17855" s="9" t="s">
        <v>36200</v>
      </c>
      <c r="B17855" s="9" t="s">
        <v>36200</v>
      </c>
      <c r="C17855" s="9" t="s">
        <v>122</v>
      </c>
      <c r="D17855" s="9" t="s">
        <v>18</v>
      </c>
      <c r="E17855" s="10" t="s">
        <v>912</v>
      </c>
      <c r="F17855" s="9" t="s">
        <v>913</v>
      </c>
      <c r="G17855" s="10" t="s">
        <v>176</v>
      </c>
      <c r="H17855" s="9" t="s">
        <v>22</v>
      </c>
      <c r="I17855" s="9" t="s">
        <v>36248</v>
      </c>
      <c r="J17855" s="10" t="str">
        <f>HYPERLINK("https://www.boe.es/gazeta/dias/1834/02/15/pdfs/GMD-1834-21.pdf#page=6","Abrir facsímil")</f>
        <v>Abrir facsímil</v>
      </c>
      <c r="K17855" s="10" t="s">
        <v>24</v>
      </c>
    </row>
    <row r="17856" spans="1:11" ht="54" customHeight="1">
      <c r="A17856" s="9" t="s">
        <v>36200</v>
      </c>
      <c r="B17856" s="9" t="s">
        <v>36200</v>
      </c>
      <c r="C17856" s="9" t="s">
        <v>17</v>
      </c>
      <c r="D17856" s="9" t="s">
        <v>18</v>
      </c>
      <c r="E17856" s="10" t="s">
        <v>326</v>
      </c>
      <c r="F17856" s="9" t="s">
        <v>327</v>
      </c>
      <c r="G17856" s="10" t="s">
        <v>75</v>
      </c>
      <c r="H17856" s="9" t="s">
        <v>22</v>
      </c>
      <c r="I17856" s="9" t="s">
        <v>36249</v>
      </c>
      <c r="J17856" s="10" t="str">
        <f>HYPERLINK("https://www.boe.es/gazeta/dias/1834/07/15/pdfs/GMD-1834-148.pdf#page=4","Abrir facsímil")</f>
        <v>Abrir facsímil</v>
      </c>
      <c r="K17856" s="10" t="s">
        <v>24</v>
      </c>
    </row>
    <row r="17857" spans="1:11" ht="54" customHeight="1">
      <c r="A17857" s="9" t="s">
        <v>36200</v>
      </c>
      <c r="B17857" s="9" t="s">
        <v>36200</v>
      </c>
      <c r="C17857" s="9" t="s">
        <v>122</v>
      </c>
      <c r="D17857" s="9" t="s">
        <v>18</v>
      </c>
      <c r="E17857" s="10" t="s">
        <v>451</v>
      </c>
      <c r="F17857" s="9" t="s">
        <v>3350</v>
      </c>
      <c r="G17857" s="10" t="s">
        <v>75</v>
      </c>
      <c r="H17857" s="9" t="s">
        <v>22</v>
      </c>
      <c r="I17857" s="9" t="s">
        <v>36250</v>
      </c>
      <c r="J17857" s="10" t="str">
        <f>HYPERLINK("https://www.boe.es/gazeta/dias/1834/10/15/pdfs/GMD-1834-243.pdf#page=4","Abrir facsímil")</f>
        <v>Abrir facsímil</v>
      </c>
      <c r="K17857" s="10" t="s">
        <v>24</v>
      </c>
    </row>
    <row r="17858" spans="1:11" ht="54" customHeight="1">
      <c r="A17858" s="9" t="s">
        <v>36200</v>
      </c>
      <c r="B17858" s="9" t="s">
        <v>36200</v>
      </c>
      <c r="C17858" s="9" t="s">
        <v>17</v>
      </c>
      <c r="D17858" s="9" t="s">
        <v>18</v>
      </c>
      <c r="E17858" s="10" t="s">
        <v>928</v>
      </c>
      <c r="F17858" s="9" t="s">
        <v>3338</v>
      </c>
      <c r="G17858" s="10" t="s">
        <v>75</v>
      </c>
      <c r="H17858" s="9" t="s">
        <v>22</v>
      </c>
      <c r="I17858" s="9" t="s">
        <v>36251</v>
      </c>
      <c r="J17858" s="10" t="str">
        <f>HYPERLINK("https://www.boe.es/gazeta/dias/1834/11/15/pdfs/GMD-1834-274.pdf#page=4","Abrir facsímil")</f>
        <v>Abrir facsímil</v>
      </c>
      <c r="K17858" s="10" t="s">
        <v>24</v>
      </c>
    </row>
    <row r="17859" spans="1:11" ht="54" customHeight="1">
      <c r="A17859" s="9" t="s">
        <v>36200</v>
      </c>
      <c r="B17859" s="9" t="s">
        <v>36200</v>
      </c>
      <c r="C17859" s="9" t="s">
        <v>66</v>
      </c>
      <c r="D17859" s="9" t="s">
        <v>67</v>
      </c>
      <c r="E17859" s="10" t="s">
        <v>2398</v>
      </c>
      <c r="F17859" s="9" t="s">
        <v>2399</v>
      </c>
      <c r="G17859" s="10" t="s">
        <v>75</v>
      </c>
      <c r="H17859" s="9" t="s">
        <v>22</v>
      </c>
      <c r="I17859" s="9" t="s">
        <v>36252</v>
      </c>
      <c r="J17859" s="10" t="str">
        <f>HYPERLINK("https://www.boe.es/gazeta/dias/1834/01/16/pdfs/GMD-1834-8.pdf#page=4","Abrir facsímil")</f>
        <v>Abrir facsímil</v>
      </c>
      <c r="K17859" s="10" t="s">
        <v>24</v>
      </c>
    </row>
    <row r="17860" spans="1:11" ht="54" customHeight="1">
      <c r="A17860" s="9" t="s">
        <v>36200</v>
      </c>
      <c r="B17860" s="9" t="s">
        <v>36200</v>
      </c>
      <c r="C17860" s="9" t="s">
        <v>17</v>
      </c>
      <c r="D17860" s="9" t="s">
        <v>18</v>
      </c>
      <c r="E17860" s="10" t="s">
        <v>4736</v>
      </c>
      <c r="F17860" s="9" t="s">
        <v>4737</v>
      </c>
      <c r="G17860" s="10" t="s">
        <v>75</v>
      </c>
      <c r="H17860" s="9" t="s">
        <v>22</v>
      </c>
      <c r="I17860" s="9" t="s">
        <v>36253</v>
      </c>
      <c r="J17860" s="10" t="str">
        <f>HYPERLINK("https://www.boe.es/gazeta/dias/1834/09/16/pdfs/GMD-1834-214.pdf#page=4","Abrir facsímil")</f>
        <v>Abrir facsímil</v>
      </c>
      <c r="K17860" s="10" t="s">
        <v>24</v>
      </c>
    </row>
    <row r="17861" spans="1:11" ht="54" customHeight="1">
      <c r="A17861" s="9" t="s">
        <v>36200</v>
      </c>
      <c r="B17861" s="9" t="s">
        <v>36200</v>
      </c>
      <c r="C17861" s="9" t="s">
        <v>17</v>
      </c>
      <c r="D17861" s="9" t="s">
        <v>18</v>
      </c>
      <c r="E17861" s="10" t="s">
        <v>454</v>
      </c>
      <c r="F17861" s="9" t="s">
        <v>2009</v>
      </c>
      <c r="G17861" s="10" t="s">
        <v>75</v>
      </c>
      <c r="H17861" s="9" t="s">
        <v>22</v>
      </c>
      <c r="I17861" s="9" t="s">
        <v>36254</v>
      </c>
      <c r="J17861" s="10" t="str">
        <f>HYPERLINK("https://www.boe.es/gazeta/dias/1834/10/16/pdfs/GMD-1834-244.pdf#page=4","Abrir facsímil")</f>
        <v>Abrir facsímil</v>
      </c>
      <c r="K17861" s="10" t="s">
        <v>24</v>
      </c>
    </row>
    <row r="17862" spans="1:11" ht="54" customHeight="1">
      <c r="A17862" s="9" t="s">
        <v>36200</v>
      </c>
      <c r="B17862" s="9" t="s">
        <v>36200</v>
      </c>
      <c r="C17862" s="9" t="s">
        <v>46</v>
      </c>
      <c r="D17862" s="9" t="s">
        <v>101</v>
      </c>
      <c r="E17862" s="10" t="s">
        <v>233</v>
      </c>
      <c r="F17862" s="9" t="s">
        <v>234</v>
      </c>
      <c r="G17862" s="10" t="s">
        <v>75</v>
      </c>
      <c r="H17862" s="9" t="s">
        <v>22</v>
      </c>
      <c r="I17862" s="9" t="s">
        <v>36255</v>
      </c>
      <c r="J17862" s="10" t="str">
        <f>HYPERLINK("https://www.boe.es/gazeta/dias/1834/12/16/pdfs/GMD-1834-305.pdf#page=4","Abrir facsímil")</f>
        <v>Abrir facsímil</v>
      </c>
      <c r="K17862" s="10" t="s">
        <v>24</v>
      </c>
    </row>
    <row r="17863" spans="1:11" ht="54" customHeight="1">
      <c r="A17863" s="9" t="s">
        <v>36200</v>
      </c>
      <c r="B17863" s="9" t="s">
        <v>36200</v>
      </c>
      <c r="C17863" s="9" t="s">
        <v>17</v>
      </c>
      <c r="D17863" s="9" t="s">
        <v>18</v>
      </c>
      <c r="E17863" s="10" t="s">
        <v>138</v>
      </c>
      <c r="F17863" s="9" t="s">
        <v>139</v>
      </c>
      <c r="G17863" s="10" t="s">
        <v>75</v>
      </c>
      <c r="H17863" s="9" t="s">
        <v>22</v>
      </c>
      <c r="I17863" s="9" t="s">
        <v>36256</v>
      </c>
      <c r="J17863" s="10" t="str">
        <f>HYPERLINK("https://www.boe.es/gazeta/dias/1834/05/17/pdfs/GMD-1834-86.pdf#page=4","Abrir facsímil")</f>
        <v>Abrir facsímil</v>
      </c>
      <c r="K17863" s="10" t="s">
        <v>24</v>
      </c>
    </row>
    <row r="17864" spans="1:11" ht="54" customHeight="1">
      <c r="A17864" s="9" t="s">
        <v>36200</v>
      </c>
      <c r="B17864" s="9" t="s">
        <v>36200</v>
      </c>
      <c r="C17864" s="9" t="s">
        <v>17</v>
      </c>
      <c r="D17864" s="9" t="s">
        <v>18</v>
      </c>
      <c r="E17864" s="10" t="s">
        <v>4237</v>
      </c>
      <c r="F17864" s="9" t="s">
        <v>4238</v>
      </c>
      <c r="G17864" s="10" t="s">
        <v>75</v>
      </c>
      <c r="H17864" s="9" t="s">
        <v>22</v>
      </c>
      <c r="I17864" s="9" t="s">
        <v>36257</v>
      </c>
      <c r="J17864" s="10" t="str">
        <f>HYPERLINK("https://www.boe.es/gazeta/dias/1834/06/17/pdfs/GMD-1834-120.pdf#page=4","Abrir facsímil")</f>
        <v>Abrir facsímil</v>
      </c>
      <c r="K17864" s="10" t="s">
        <v>24</v>
      </c>
    </row>
    <row r="17865" spans="1:11" ht="54" customHeight="1">
      <c r="A17865" s="9" t="s">
        <v>36200</v>
      </c>
      <c r="B17865" s="9" t="s">
        <v>36200</v>
      </c>
      <c r="C17865" s="9" t="s">
        <v>122</v>
      </c>
      <c r="D17865" s="9" t="s">
        <v>18</v>
      </c>
      <c r="E17865" s="10" t="s">
        <v>1119</v>
      </c>
      <c r="F17865" s="9" t="s">
        <v>1120</v>
      </c>
      <c r="G17865" s="10" t="s">
        <v>75</v>
      </c>
      <c r="H17865" s="9" t="s">
        <v>22</v>
      </c>
      <c r="I17865" s="9" t="s">
        <v>36258</v>
      </c>
      <c r="J17865" s="10" t="str">
        <f>HYPERLINK("https://www.boe.es/gazeta/dias/1834/07/17/pdfs/GMD-1834-150.pdf#page=4","Abrir facsímil")</f>
        <v>Abrir facsímil</v>
      </c>
      <c r="K17865" s="10" t="s">
        <v>24</v>
      </c>
    </row>
    <row r="17866" spans="1:11" ht="54" customHeight="1">
      <c r="A17866" s="9" t="s">
        <v>36200</v>
      </c>
      <c r="B17866" s="9" t="s">
        <v>36200</v>
      </c>
      <c r="C17866" s="9" t="s">
        <v>17</v>
      </c>
      <c r="D17866" s="9" t="s">
        <v>101</v>
      </c>
      <c r="E17866" s="10" t="s">
        <v>19</v>
      </c>
      <c r="F17866" s="9" t="s">
        <v>107</v>
      </c>
      <c r="G17866" s="10" t="s">
        <v>75</v>
      </c>
      <c r="H17866" s="9" t="s">
        <v>22</v>
      </c>
      <c r="I17866" s="9" t="s">
        <v>36259</v>
      </c>
      <c r="J17866" s="10" t="str">
        <f>HYPERLINK("https://www.boe.es/gazeta/dias/1834/08/17/pdfs/GMD-1834-182.pdf#page=4","Abrir facsímil")</f>
        <v>Abrir facsímil</v>
      </c>
      <c r="K17866" s="10" t="s">
        <v>24</v>
      </c>
    </row>
    <row r="17867" spans="1:11" ht="54" customHeight="1">
      <c r="A17867" s="9" t="s">
        <v>36200</v>
      </c>
      <c r="B17867" s="9" t="s">
        <v>36200</v>
      </c>
      <c r="C17867" s="9" t="s">
        <v>17</v>
      </c>
      <c r="D17867" s="9" t="s">
        <v>18</v>
      </c>
      <c r="E17867" s="10" t="s">
        <v>715</v>
      </c>
      <c r="F17867" s="9" t="s">
        <v>7773</v>
      </c>
      <c r="G17867" s="10" t="s">
        <v>75</v>
      </c>
      <c r="H17867" s="9" t="s">
        <v>22</v>
      </c>
      <c r="I17867" s="9" t="s">
        <v>36260</v>
      </c>
      <c r="J17867" s="10" t="str">
        <f>HYPERLINK("https://www.boe.es/gazeta/dias/1834/09/17/pdfs/GMD-1834-215.pdf#page=4","Abrir facsímil")</f>
        <v>Abrir facsímil</v>
      </c>
      <c r="K17867" s="10" t="s">
        <v>24</v>
      </c>
    </row>
    <row r="17868" spans="1:11" ht="54" customHeight="1">
      <c r="A17868" s="9" t="s">
        <v>36200</v>
      </c>
      <c r="B17868" s="9" t="s">
        <v>36200</v>
      </c>
      <c r="C17868" s="9" t="s">
        <v>17</v>
      </c>
      <c r="D17868" s="9" t="s">
        <v>18</v>
      </c>
      <c r="E17868" s="10" t="s">
        <v>2278</v>
      </c>
      <c r="F17868" s="9" t="s">
        <v>3088</v>
      </c>
      <c r="G17868" s="10" t="s">
        <v>75</v>
      </c>
      <c r="H17868" s="9" t="s">
        <v>22</v>
      </c>
      <c r="I17868" s="9" t="s">
        <v>36261</v>
      </c>
      <c r="J17868" s="10" t="str">
        <f>HYPERLINK("https://www.boe.es/gazeta/dias/1834/12/17/pdfs/GMD-1834-306.pdf#page=4","Abrir facsímil")</f>
        <v>Abrir facsímil</v>
      </c>
      <c r="K17868" s="10" t="s">
        <v>24</v>
      </c>
    </row>
    <row r="17869" spans="1:11" ht="54" customHeight="1">
      <c r="A17869" s="9" t="s">
        <v>36200</v>
      </c>
      <c r="B17869" s="9" t="s">
        <v>36200</v>
      </c>
      <c r="C17869" s="9" t="s">
        <v>122</v>
      </c>
      <c r="D17869" s="9" t="s">
        <v>55</v>
      </c>
      <c r="E17869" s="10" t="s">
        <v>1850</v>
      </c>
      <c r="F17869" s="9" t="s">
        <v>1851</v>
      </c>
      <c r="G17869" s="10" t="s">
        <v>470</v>
      </c>
      <c r="H17869" s="9" t="s">
        <v>22</v>
      </c>
      <c r="I17869" s="9" t="s">
        <v>36262</v>
      </c>
      <c r="J17869" s="10" t="str">
        <f>HYPERLINK("https://www.boe.es/gazeta/dias/1834/02/18/pdfs/GMD-1834-22.pdf#page=8","Abrir facsímil")</f>
        <v>Abrir facsímil</v>
      </c>
      <c r="K17869" s="10" t="s">
        <v>24</v>
      </c>
    </row>
    <row r="17870" spans="1:11" ht="54" customHeight="1">
      <c r="A17870" s="9" t="s">
        <v>36200</v>
      </c>
      <c r="B17870" s="9" t="s">
        <v>36200</v>
      </c>
      <c r="C17870" s="9" t="s">
        <v>17</v>
      </c>
      <c r="D17870" s="9" t="s">
        <v>18</v>
      </c>
      <c r="E17870" s="10" t="s">
        <v>183</v>
      </c>
      <c r="F17870" s="9" t="s">
        <v>184</v>
      </c>
      <c r="G17870" s="10" t="s">
        <v>75</v>
      </c>
      <c r="H17870" s="9" t="s">
        <v>22</v>
      </c>
      <c r="I17870" s="9" t="s">
        <v>36263</v>
      </c>
      <c r="J17870" s="10" t="str">
        <f>HYPERLINK("https://www.boe.es/gazeta/dias/1834/03/18/pdfs/GMD-1834-34.pdf#page=4","Abrir facsímil")</f>
        <v>Abrir facsímil</v>
      </c>
      <c r="K17870" s="10" t="s">
        <v>24</v>
      </c>
    </row>
    <row r="17871" spans="1:11" ht="54" customHeight="1">
      <c r="A17871" s="9" t="s">
        <v>36200</v>
      </c>
      <c r="B17871" s="9" t="s">
        <v>36200</v>
      </c>
      <c r="C17871" s="9" t="s">
        <v>17</v>
      </c>
      <c r="D17871" s="9" t="s">
        <v>18</v>
      </c>
      <c r="E17871" s="10" t="s">
        <v>1517</v>
      </c>
      <c r="F17871" s="9" t="s">
        <v>1518</v>
      </c>
      <c r="G17871" s="10" t="s">
        <v>75</v>
      </c>
      <c r="H17871" s="9" t="s">
        <v>22</v>
      </c>
      <c r="I17871" s="9" t="s">
        <v>36264</v>
      </c>
      <c r="J17871" s="10" t="str">
        <f>HYPERLINK("https://www.boe.es/gazeta/dias/1834/05/18/pdfs/GMD-1834-87.pdf#page=4","Abrir facsímil")</f>
        <v>Abrir facsímil</v>
      </c>
      <c r="K17871" s="10" t="s">
        <v>24</v>
      </c>
    </row>
    <row r="17872" spans="1:11" ht="54" customHeight="1">
      <c r="A17872" s="9" t="s">
        <v>36200</v>
      </c>
      <c r="B17872" s="9" t="s">
        <v>36200</v>
      </c>
      <c r="C17872" s="9" t="s">
        <v>17</v>
      </c>
      <c r="D17872" s="9" t="s">
        <v>18</v>
      </c>
      <c r="E17872" s="10" t="s">
        <v>133</v>
      </c>
      <c r="F17872" s="9" t="s">
        <v>134</v>
      </c>
      <c r="G17872" s="10" t="s">
        <v>75</v>
      </c>
      <c r="H17872" s="9" t="s">
        <v>22</v>
      </c>
      <c r="I17872" s="9" t="s">
        <v>36265</v>
      </c>
      <c r="J17872" s="10" t="str">
        <f>HYPERLINK("https://www.boe.es/gazeta/dias/1834/06/18/pdfs/GMD-1834-121.pdf#page=4","Abrir facsímil")</f>
        <v>Abrir facsímil</v>
      </c>
      <c r="K17872" s="10" t="s">
        <v>24</v>
      </c>
    </row>
    <row r="17873" spans="1:11" ht="54" customHeight="1">
      <c r="A17873" s="9" t="s">
        <v>36200</v>
      </c>
      <c r="B17873" s="9" t="s">
        <v>36200</v>
      </c>
      <c r="C17873" s="9" t="s">
        <v>122</v>
      </c>
      <c r="D17873" s="9" t="s">
        <v>18</v>
      </c>
      <c r="E17873" s="10" t="s">
        <v>838</v>
      </c>
      <c r="F17873" s="9" t="s">
        <v>839</v>
      </c>
      <c r="G17873" s="10" t="s">
        <v>75</v>
      </c>
      <c r="H17873" s="9" t="s">
        <v>22</v>
      </c>
      <c r="I17873" s="9" t="s">
        <v>36266</v>
      </c>
      <c r="J17873" s="10" t="str">
        <f>HYPERLINK("https://www.boe.es/gazeta/dias/1834/07/18/pdfs/GMD-1834-151.pdf#page=4","Abrir facsímil")</f>
        <v>Abrir facsímil</v>
      </c>
      <c r="K17873" s="10" t="s">
        <v>24</v>
      </c>
    </row>
    <row r="17874" spans="1:11" ht="54" customHeight="1">
      <c r="A17874" s="9" t="s">
        <v>36200</v>
      </c>
      <c r="B17874" s="9" t="s">
        <v>36200</v>
      </c>
      <c r="C17874" s="9" t="s">
        <v>17</v>
      </c>
      <c r="D17874" s="9" t="s">
        <v>55</v>
      </c>
      <c r="E17874" s="10" t="s">
        <v>262</v>
      </c>
      <c r="F17874" s="9" t="s">
        <v>7012</v>
      </c>
      <c r="G17874" s="10" t="s">
        <v>75</v>
      </c>
      <c r="H17874" s="9" t="s">
        <v>22</v>
      </c>
      <c r="I17874" s="9" t="s">
        <v>36267</v>
      </c>
      <c r="J17874" s="10" t="str">
        <f>HYPERLINK("https://www.boe.es/gazeta/dias/1834/10/18/pdfs/GMD-1834-246.pdf#page=4","Abrir facsímil")</f>
        <v>Abrir facsímil</v>
      </c>
      <c r="K17874" s="10" t="s">
        <v>24</v>
      </c>
    </row>
    <row r="17875" spans="1:11" ht="54" customHeight="1">
      <c r="A17875" s="9" t="s">
        <v>36200</v>
      </c>
      <c r="B17875" s="9" t="s">
        <v>36200</v>
      </c>
      <c r="C17875" s="9" t="s">
        <v>17</v>
      </c>
      <c r="D17875" s="9" t="s">
        <v>18</v>
      </c>
      <c r="E17875" s="10" t="s">
        <v>3036</v>
      </c>
      <c r="F17875" s="9" t="s">
        <v>3372</v>
      </c>
      <c r="G17875" s="10" t="s">
        <v>75</v>
      </c>
      <c r="H17875" s="9" t="s">
        <v>22</v>
      </c>
      <c r="I17875" s="9" t="s">
        <v>36268</v>
      </c>
      <c r="J17875" s="10" t="str">
        <f>HYPERLINK("https://www.boe.es/gazeta/dias/1834/11/18/pdfs/GMD-1834-277.pdf#page=4","Abrir facsímil")</f>
        <v>Abrir facsímil</v>
      </c>
      <c r="K17875" s="10" t="s">
        <v>24</v>
      </c>
    </row>
    <row r="17876" spans="1:11" ht="54" customHeight="1">
      <c r="A17876" s="9" t="s">
        <v>36200</v>
      </c>
      <c r="B17876" s="9" t="s">
        <v>36200</v>
      </c>
      <c r="C17876" s="9" t="s">
        <v>122</v>
      </c>
      <c r="D17876" s="9" t="s">
        <v>18</v>
      </c>
      <c r="E17876" s="10" t="s">
        <v>615</v>
      </c>
      <c r="F17876" s="9" t="s">
        <v>616</v>
      </c>
      <c r="G17876" s="10" t="s">
        <v>75</v>
      </c>
      <c r="H17876" s="9" t="s">
        <v>22</v>
      </c>
      <c r="I17876" s="9" t="s">
        <v>36269</v>
      </c>
      <c r="J17876" s="10" t="str">
        <f>HYPERLINK("https://www.boe.es/gazeta/dias/1834/08/19/pdfs/GMD-1834-185.pdf#page=4","Abrir facsímil")</f>
        <v>Abrir facsímil</v>
      </c>
      <c r="K17876" s="10" t="s">
        <v>24</v>
      </c>
    </row>
    <row r="17877" spans="1:11" ht="54" customHeight="1">
      <c r="A17877" s="9" t="s">
        <v>36200</v>
      </c>
      <c r="B17877" s="9" t="s">
        <v>36200</v>
      </c>
      <c r="C17877" s="9" t="s">
        <v>17</v>
      </c>
      <c r="D17877" s="9" t="s">
        <v>18</v>
      </c>
      <c r="E17877" s="10" t="s">
        <v>26</v>
      </c>
      <c r="F17877" s="9" t="s">
        <v>818</v>
      </c>
      <c r="G17877" s="10" t="s">
        <v>75</v>
      </c>
      <c r="H17877" s="9" t="s">
        <v>22</v>
      </c>
      <c r="I17877" s="9" t="s">
        <v>36270</v>
      </c>
      <c r="J17877" s="10" t="str">
        <f>HYPERLINK("https://www.boe.es/gazeta/dias/1834/10/19/pdfs/GMD-1834-247.pdf#page=4","Abrir facsímil")</f>
        <v>Abrir facsímil</v>
      </c>
      <c r="K17877" s="10" t="s">
        <v>24</v>
      </c>
    </row>
    <row r="17878" spans="1:11" ht="54" customHeight="1">
      <c r="A17878" s="9" t="s">
        <v>36200</v>
      </c>
      <c r="B17878" s="9" t="s">
        <v>36200</v>
      </c>
      <c r="C17878" s="9" t="s">
        <v>17</v>
      </c>
      <c r="D17878" s="9" t="s">
        <v>18</v>
      </c>
      <c r="E17878" s="10" t="s">
        <v>265</v>
      </c>
      <c r="F17878" s="9" t="s">
        <v>969</v>
      </c>
      <c r="G17878" s="10" t="s">
        <v>75</v>
      </c>
      <c r="H17878" s="9" t="s">
        <v>22</v>
      </c>
      <c r="I17878" s="9" t="s">
        <v>36271</v>
      </c>
      <c r="J17878" s="10" t="str">
        <f>HYPERLINK("https://www.boe.es/gazeta/dias/1834/11/19/pdfs/GMD-1834-278.pdf#page=4","Abrir facsímil")</f>
        <v>Abrir facsímil</v>
      </c>
      <c r="K17878" s="10" t="s">
        <v>24</v>
      </c>
    </row>
    <row r="17879" spans="1:11" ht="54" customHeight="1">
      <c r="A17879" s="9" t="s">
        <v>36200</v>
      </c>
      <c r="B17879" s="9" t="s">
        <v>36200</v>
      </c>
      <c r="C17879" s="9" t="s">
        <v>17</v>
      </c>
      <c r="D17879" s="9" t="s">
        <v>18</v>
      </c>
      <c r="E17879" s="10" t="s">
        <v>3248</v>
      </c>
      <c r="F17879" s="9" t="s">
        <v>3249</v>
      </c>
      <c r="G17879" s="10" t="s">
        <v>75</v>
      </c>
      <c r="H17879" s="9" t="s">
        <v>22</v>
      </c>
      <c r="I17879" s="9" t="s">
        <v>36272</v>
      </c>
      <c r="J17879" s="10" t="str">
        <f>HYPERLINK("https://www.boe.es/gazeta/dias/1834/09/20/pdfs/GMD-1834-218.pdf#page=4","Abrir facsímil")</f>
        <v>Abrir facsímil</v>
      </c>
      <c r="K17879" s="10" t="s">
        <v>24</v>
      </c>
    </row>
    <row r="17880" spans="1:11" ht="54" customHeight="1">
      <c r="A17880" s="9" t="s">
        <v>36200</v>
      </c>
      <c r="B17880" s="9" t="s">
        <v>36200</v>
      </c>
      <c r="C17880" s="9" t="s">
        <v>66</v>
      </c>
      <c r="D17880" s="9" t="s">
        <v>67</v>
      </c>
      <c r="E17880" s="10" t="s">
        <v>304</v>
      </c>
      <c r="F17880" s="9" t="s">
        <v>305</v>
      </c>
      <c r="G17880" s="10" t="s">
        <v>176</v>
      </c>
      <c r="H17880" s="9" t="s">
        <v>22</v>
      </c>
      <c r="I17880" s="9" t="s">
        <v>36273</v>
      </c>
      <c r="J17880" s="10" t="str">
        <f>HYPERLINK("https://www.boe.es/gazeta/dias/1834/01/21/pdfs/GMD-1834-10.pdf#page=6","Abrir facsímil")</f>
        <v>Abrir facsímil</v>
      </c>
      <c r="K17880" s="10" t="s">
        <v>24</v>
      </c>
    </row>
    <row r="17881" spans="1:11" ht="54" customHeight="1">
      <c r="A17881" s="9" t="s">
        <v>36200</v>
      </c>
      <c r="B17881" s="9" t="s">
        <v>36200</v>
      </c>
      <c r="C17881" s="9" t="s">
        <v>17</v>
      </c>
      <c r="D17881" s="9" t="s">
        <v>18</v>
      </c>
      <c r="E17881" s="10" t="s">
        <v>535</v>
      </c>
      <c r="F17881" s="9" t="s">
        <v>536</v>
      </c>
      <c r="G17881" s="10" t="s">
        <v>75</v>
      </c>
      <c r="H17881" s="9" t="s">
        <v>22</v>
      </c>
      <c r="I17881" s="9" t="s">
        <v>36274</v>
      </c>
      <c r="J17881" s="10" t="str">
        <f>HYPERLINK("https://www.boe.es/gazeta/dias/1834/05/21/pdfs/GMD-1834-90.pdf#page=4","Abrir facsímil")</f>
        <v>Abrir facsímil</v>
      </c>
      <c r="K17881" s="10" t="s">
        <v>24</v>
      </c>
    </row>
    <row r="17882" spans="1:11" ht="54" customHeight="1">
      <c r="A17882" s="9" t="s">
        <v>36200</v>
      </c>
      <c r="B17882" s="9" t="s">
        <v>36200</v>
      </c>
      <c r="C17882" s="9" t="s">
        <v>17</v>
      </c>
      <c r="D17882" s="9" t="s">
        <v>18</v>
      </c>
      <c r="E17882" s="10" t="s">
        <v>981</v>
      </c>
      <c r="F17882" s="9" t="s">
        <v>982</v>
      </c>
      <c r="G17882" s="10" t="s">
        <v>75</v>
      </c>
      <c r="H17882" s="9" t="s">
        <v>22</v>
      </c>
      <c r="I17882" s="9" t="s">
        <v>36275</v>
      </c>
      <c r="J17882" s="10" t="str">
        <f>HYPERLINK("https://www.boe.es/gazeta/dias/1834/09/21/pdfs/GMD-1834-219.pdf#page=4","Abrir facsímil")</f>
        <v>Abrir facsímil</v>
      </c>
      <c r="K17882" s="10" t="s">
        <v>24</v>
      </c>
    </row>
    <row r="17883" spans="1:11" ht="54" customHeight="1">
      <c r="A17883" s="9" t="s">
        <v>36200</v>
      </c>
      <c r="B17883" s="9" t="s">
        <v>36200</v>
      </c>
      <c r="C17883" s="9" t="s">
        <v>17</v>
      </c>
      <c r="D17883" s="9" t="s">
        <v>18</v>
      </c>
      <c r="E17883" s="10" t="s">
        <v>647</v>
      </c>
      <c r="F17883" s="9" t="s">
        <v>2176</v>
      </c>
      <c r="G17883" s="10" t="s">
        <v>75</v>
      </c>
      <c r="H17883" s="9" t="s">
        <v>22</v>
      </c>
      <c r="I17883" s="9" t="s">
        <v>36276</v>
      </c>
      <c r="J17883" s="10" t="str">
        <f>HYPERLINK("https://www.boe.es/gazeta/dias/1834/10/21/pdfs/GMD-1834-249.pdf#page=4","Abrir facsímil")</f>
        <v>Abrir facsímil</v>
      </c>
      <c r="K17883" s="10" t="s">
        <v>24</v>
      </c>
    </row>
    <row r="17884" spans="1:11" ht="54" customHeight="1">
      <c r="A17884" s="9" t="s">
        <v>36200</v>
      </c>
      <c r="B17884" s="9" t="s">
        <v>36200</v>
      </c>
      <c r="C17884" s="9" t="s">
        <v>17</v>
      </c>
      <c r="D17884" s="9" t="s">
        <v>18</v>
      </c>
      <c r="E17884" s="10" t="s">
        <v>492</v>
      </c>
      <c r="F17884" s="9" t="s">
        <v>1672</v>
      </c>
      <c r="G17884" s="10" t="s">
        <v>75</v>
      </c>
      <c r="H17884" s="9" t="s">
        <v>22</v>
      </c>
      <c r="I17884" s="9" t="s">
        <v>36277</v>
      </c>
      <c r="J17884" s="10" t="str">
        <f>HYPERLINK("https://www.boe.es/gazeta/dias/1834/11/21/pdfs/GMD-1834-280.pdf#page=4","Abrir facsímil")</f>
        <v>Abrir facsímil</v>
      </c>
      <c r="K17884" s="10" t="s">
        <v>24</v>
      </c>
    </row>
    <row r="17885" spans="1:11" ht="54" customHeight="1">
      <c r="A17885" s="9" t="s">
        <v>36200</v>
      </c>
      <c r="B17885" s="9" t="s">
        <v>36200</v>
      </c>
      <c r="C17885" s="9" t="s">
        <v>66</v>
      </c>
      <c r="D17885" s="9" t="s">
        <v>67</v>
      </c>
      <c r="E17885" s="10" t="s">
        <v>1918</v>
      </c>
      <c r="F17885" s="9" t="s">
        <v>1919</v>
      </c>
      <c r="G17885" s="10" t="s">
        <v>75</v>
      </c>
      <c r="H17885" s="9" t="s">
        <v>22</v>
      </c>
      <c r="I17885" s="9" t="s">
        <v>36278</v>
      </c>
      <c r="J17885" s="10" t="str">
        <f>HYPERLINK("https://www.boe.es/gazeta/dias/1834/03/22/pdfs/GMD-1834-36.pdf#page=4","Abrir facsímil")</f>
        <v>Abrir facsímil</v>
      </c>
      <c r="K17885" s="10" t="s">
        <v>24</v>
      </c>
    </row>
    <row r="17886" spans="1:11" ht="54" customHeight="1">
      <c r="A17886" s="9" t="s">
        <v>36200</v>
      </c>
      <c r="B17886" s="9" t="s">
        <v>36200</v>
      </c>
      <c r="C17886" s="9" t="s">
        <v>122</v>
      </c>
      <c r="D17886" s="9" t="s">
        <v>18</v>
      </c>
      <c r="E17886" s="10" t="s">
        <v>4064</v>
      </c>
      <c r="F17886" s="9" t="s">
        <v>4065</v>
      </c>
      <c r="G17886" s="10" t="s">
        <v>75</v>
      </c>
      <c r="H17886" s="9" t="s">
        <v>22</v>
      </c>
      <c r="I17886" s="9" t="s">
        <v>36279</v>
      </c>
      <c r="J17886" s="10" t="str">
        <f>HYPERLINK("https://www.boe.es/gazeta/dias/1834/07/22/pdfs/GMD-1834-155.pdf#page=4","Abrir facsímil")</f>
        <v>Abrir facsímil</v>
      </c>
      <c r="K17886" s="10" t="s">
        <v>24</v>
      </c>
    </row>
    <row r="17887" spans="1:11" ht="54" customHeight="1">
      <c r="A17887" s="9" t="s">
        <v>36200</v>
      </c>
      <c r="B17887" s="9" t="s">
        <v>36200</v>
      </c>
      <c r="C17887" s="9" t="s">
        <v>17</v>
      </c>
      <c r="D17887" s="9" t="s">
        <v>18</v>
      </c>
      <c r="E17887" s="10" t="s">
        <v>3225</v>
      </c>
      <c r="F17887" s="9" t="s">
        <v>3226</v>
      </c>
      <c r="G17887" s="10" t="s">
        <v>75</v>
      </c>
      <c r="H17887" s="9" t="s">
        <v>22</v>
      </c>
      <c r="I17887" s="9" t="s">
        <v>36280</v>
      </c>
      <c r="J17887" s="10" t="str">
        <f>HYPERLINK("https://www.boe.es/gazeta/dias/1834/08/22/pdfs/GMD-1834-188.pdf#page=4","Abrir facsímil")</f>
        <v>Abrir facsímil</v>
      </c>
      <c r="K17887" s="10" t="s">
        <v>24</v>
      </c>
    </row>
    <row r="17888" spans="1:11" ht="54" customHeight="1">
      <c r="A17888" s="9" t="s">
        <v>36200</v>
      </c>
      <c r="B17888" s="9" t="s">
        <v>36200</v>
      </c>
      <c r="C17888" s="9" t="s">
        <v>17</v>
      </c>
      <c r="D17888" s="9" t="s">
        <v>18</v>
      </c>
      <c r="E17888" s="10" t="s">
        <v>2596</v>
      </c>
      <c r="F17888" s="9" t="s">
        <v>2597</v>
      </c>
      <c r="G17888" s="10" t="s">
        <v>75</v>
      </c>
      <c r="H17888" s="9" t="s">
        <v>22</v>
      </c>
      <c r="I17888" s="9" t="s">
        <v>36281</v>
      </c>
      <c r="J17888" s="10" t="str">
        <f>HYPERLINK("https://www.boe.es/gazeta/dias/1834/10/22/pdfs/GMD-1834-250.pdf#page=4","Abrir facsímil")</f>
        <v>Abrir facsímil</v>
      </c>
      <c r="K17888" s="10" t="s">
        <v>24</v>
      </c>
    </row>
    <row r="17889" spans="1:11" ht="54" customHeight="1">
      <c r="A17889" s="9" t="s">
        <v>36200</v>
      </c>
      <c r="B17889" s="9" t="s">
        <v>36200</v>
      </c>
      <c r="C17889" s="9" t="s">
        <v>17</v>
      </c>
      <c r="D17889" s="9" t="s">
        <v>40</v>
      </c>
      <c r="E17889" s="10" t="s">
        <v>5885</v>
      </c>
      <c r="F17889" s="9" t="s">
        <v>5886</v>
      </c>
      <c r="G17889" s="10" t="s">
        <v>75</v>
      </c>
      <c r="H17889" s="9" t="s">
        <v>22</v>
      </c>
      <c r="I17889" s="9" t="s">
        <v>36282</v>
      </c>
      <c r="J17889" s="10" t="str">
        <f>HYPERLINK("https://www.boe.es/gazeta/dias/1834/05/23/pdfs/GMD-1834-92.pdf#page=4","Abrir facsímil")</f>
        <v>Abrir facsímil</v>
      </c>
      <c r="K17889" s="10" t="s">
        <v>24</v>
      </c>
    </row>
    <row r="17890" spans="1:11" ht="54" customHeight="1">
      <c r="A17890" s="9" t="s">
        <v>36200</v>
      </c>
      <c r="B17890" s="9" t="s">
        <v>36200</v>
      </c>
      <c r="C17890" s="9" t="s">
        <v>122</v>
      </c>
      <c r="D17890" s="9" t="s">
        <v>18</v>
      </c>
      <c r="E17890" s="10" t="s">
        <v>378</v>
      </c>
      <c r="F17890" s="9" t="s">
        <v>379</v>
      </c>
      <c r="G17890" s="10" t="s">
        <v>75</v>
      </c>
      <c r="H17890" s="9" t="s">
        <v>22</v>
      </c>
      <c r="I17890" s="9" t="s">
        <v>36283</v>
      </c>
      <c r="J17890" s="10" t="str">
        <f>HYPERLINK("https://www.boe.es/gazeta/dias/1834/09/24/pdfs/GMD-1834-222.pdf#page=4","Abrir facsímil")</f>
        <v>Abrir facsímil</v>
      </c>
      <c r="K17890" s="10" t="s">
        <v>24</v>
      </c>
    </row>
    <row r="17891" spans="1:11" ht="54" customHeight="1">
      <c r="A17891" s="9" t="s">
        <v>36200</v>
      </c>
      <c r="B17891" s="9" t="s">
        <v>36200</v>
      </c>
      <c r="C17891" s="9" t="s">
        <v>17</v>
      </c>
      <c r="D17891" s="9" t="s">
        <v>18</v>
      </c>
      <c r="E17891" s="10" t="s">
        <v>3025</v>
      </c>
      <c r="F17891" s="9" t="s">
        <v>3026</v>
      </c>
      <c r="G17891" s="10" t="s">
        <v>176</v>
      </c>
      <c r="H17891" s="9" t="s">
        <v>22</v>
      </c>
      <c r="I17891" s="9" t="s">
        <v>36284</v>
      </c>
      <c r="J17891" s="10" t="str">
        <f>HYPERLINK("https://www.boe.es/gazeta/dias/1834/05/25/pdfs/GMD-1834-94.pdf#page=6","Abrir facsímil")</f>
        <v>Abrir facsímil</v>
      </c>
      <c r="K17891" s="10" t="s">
        <v>24</v>
      </c>
    </row>
    <row r="17892" spans="1:11" ht="54" customHeight="1">
      <c r="A17892" s="9" t="s">
        <v>36200</v>
      </c>
      <c r="B17892" s="9" t="s">
        <v>36200</v>
      </c>
      <c r="C17892" s="9" t="s">
        <v>17</v>
      </c>
      <c r="D17892" s="9" t="s">
        <v>18</v>
      </c>
      <c r="E17892" s="10" t="s">
        <v>403</v>
      </c>
      <c r="F17892" s="9" t="s">
        <v>3456</v>
      </c>
      <c r="G17892" s="10" t="s">
        <v>75</v>
      </c>
      <c r="H17892" s="9" t="s">
        <v>22</v>
      </c>
      <c r="I17892" s="9" t="s">
        <v>36285</v>
      </c>
      <c r="J17892" s="10" t="str">
        <f>HYPERLINK("https://www.boe.es/gazeta/dias/1834/09/25/pdfs/GMD-1834-223.pdf#page=4","Abrir facsímil")</f>
        <v>Abrir facsímil</v>
      </c>
      <c r="K17892" s="10" t="s">
        <v>24</v>
      </c>
    </row>
    <row r="17893" spans="1:11" ht="54" customHeight="1">
      <c r="A17893" s="9" t="s">
        <v>36200</v>
      </c>
      <c r="B17893" s="9" t="s">
        <v>36200</v>
      </c>
      <c r="C17893" s="9" t="s">
        <v>17</v>
      </c>
      <c r="D17893" s="9" t="s">
        <v>18</v>
      </c>
      <c r="E17893" s="10" t="s">
        <v>389</v>
      </c>
      <c r="F17893" s="9" t="s">
        <v>390</v>
      </c>
      <c r="G17893" s="10" t="s">
        <v>75</v>
      </c>
      <c r="H17893" s="9" t="s">
        <v>22</v>
      </c>
      <c r="I17893" s="9" t="s">
        <v>36286</v>
      </c>
      <c r="J17893" s="10" t="str">
        <f>HYPERLINK("https://www.boe.es/gazeta/dias/1834/10/25/pdfs/GMD-1834-253.pdf#page=4","Abrir facsímil")</f>
        <v>Abrir facsímil</v>
      </c>
      <c r="K17893" s="10" t="s">
        <v>24</v>
      </c>
    </row>
    <row r="17894" spans="1:11" ht="54" customHeight="1">
      <c r="A17894" s="9" t="s">
        <v>36200</v>
      </c>
      <c r="B17894" s="9" t="s">
        <v>36200</v>
      </c>
      <c r="C17894" s="9" t="s">
        <v>17</v>
      </c>
      <c r="D17894" s="9" t="s">
        <v>18</v>
      </c>
      <c r="E17894" s="10" t="s">
        <v>707</v>
      </c>
      <c r="F17894" s="9" t="s">
        <v>1359</v>
      </c>
      <c r="G17894" s="10" t="s">
        <v>75</v>
      </c>
      <c r="H17894" s="9" t="s">
        <v>22</v>
      </c>
      <c r="I17894" s="9" t="s">
        <v>36287</v>
      </c>
      <c r="J17894" s="10" t="str">
        <f>HYPERLINK("https://www.boe.es/gazeta/dias/1834/11/25/pdfs/GMD-1834-284.pdf#page=4","Abrir facsímil")</f>
        <v>Abrir facsímil</v>
      </c>
      <c r="K17894" s="10" t="s">
        <v>24</v>
      </c>
    </row>
    <row r="17895" spans="1:11" ht="54" customHeight="1">
      <c r="A17895" s="9" t="s">
        <v>36200</v>
      </c>
      <c r="B17895" s="9" t="s">
        <v>36200</v>
      </c>
      <c r="C17895" s="9" t="s">
        <v>17</v>
      </c>
      <c r="D17895" s="9" t="s">
        <v>18</v>
      </c>
      <c r="E17895" s="10" t="s">
        <v>1002</v>
      </c>
      <c r="F17895" s="9" t="s">
        <v>1003</v>
      </c>
      <c r="G17895" s="10" t="s">
        <v>75</v>
      </c>
      <c r="H17895" s="9" t="s">
        <v>22</v>
      </c>
      <c r="I17895" s="9" t="s">
        <v>36288</v>
      </c>
      <c r="J17895" s="10" t="str">
        <f>HYPERLINK("https://www.boe.es/gazeta/dias/1834/06/26/pdfs/GMD-1834-129.pdf#page=4","Abrir facsímil")</f>
        <v>Abrir facsímil</v>
      </c>
      <c r="K17895" s="10" t="s">
        <v>24</v>
      </c>
    </row>
    <row r="17896" spans="1:11" ht="54" customHeight="1">
      <c r="A17896" s="9" t="s">
        <v>36200</v>
      </c>
      <c r="B17896" s="9" t="s">
        <v>36200</v>
      </c>
      <c r="C17896" s="9" t="s">
        <v>122</v>
      </c>
      <c r="D17896" s="9" t="s">
        <v>18</v>
      </c>
      <c r="E17896" s="10" t="s">
        <v>1135</v>
      </c>
      <c r="F17896" s="9" t="s">
        <v>1136</v>
      </c>
      <c r="G17896" s="10" t="s">
        <v>75</v>
      </c>
      <c r="H17896" s="9" t="s">
        <v>22</v>
      </c>
      <c r="I17896" s="9" t="s">
        <v>36289</v>
      </c>
      <c r="J17896" s="10" t="str">
        <f>HYPERLINK("https://www.boe.es/gazeta/dias/1834/08/26/pdfs/GMD-1834-192.pdf#page=4","Abrir facsímil")</f>
        <v>Abrir facsímil</v>
      </c>
      <c r="K17896" s="10" t="s">
        <v>24</v>
      </c>
    </row>
    <row r="17897" spans="1:11" ht="54" customHeight="1">
      <c r="A17897" s="9" t="s">
        <v>36200</v>
      </c>
      <c r="B17897" s="9" t="s">
        <v>36200</v>
      </c>
      <c r="C17897" s="9" t="s">
        <v>17</v>
      </c>
      <c r="D17897" s="9" t="s">
        <v>40</v>
      </c>
      <c r="E17897" s="10" t="s">
        <v>513</v>
      </c>
      <c r="F17897" s="9" t="s">
        <v>514</v>
      </c>
      <c r="G17897" s="10" t="s">
        <v>176</v>
      </c>
      <c r="H17897" s="9" t="s">
        <v>22</v>
      </c>
      <c r="I17897" s="9" t="s">
        <v>36290</v>
      </c>
      <c r="J17897" s="10" t="str">
        <f>HYPERLINK("https://www.boe.es/gazeta/dias/1834/04/27/pdfs/GMD-1834-66.pdf#page=6","Abrir facsímil")</f>
        <v>Abrir facsímil</v>
      </c>
      <c r="K17897" s="10" t="s">
        <v>24</v>
      </c>
    </row>
    <row r="17898" spans="1:11" ht="54" customHeight="1">
      <c r="A17898" s="9" t="s">
        <v>36200</v>
      </c>
      <c r="B17898" s="9" t="s">
        <v>36200</v>
      </c>
      <c r="C17898" s="9" t="s">
        <v>17</v>
      </c>
      <c r="D17898" s="9" t="s">
        <v>18</v>
      </c>
      <c r="E17898" s="10" t="s">
        <v>294</v>
      </c>
      <c r="F17898" s="9" t="s">
        <v>295</v>
      </c>
      <c r="G17898" s="10" t="s">
        <v>75</v>
      </c>
      <c r="H17898" s="9" t="s">
        <v>22</v>
      </c>
      <c r="I17898" s="9" t="s">
        <v>36291</v>
      </c>
      <c r="J17898" s="10" t="str">
        <f>HYPERLINK("https://www.boe.es/gazeta/dias/1834/09/27/pdfs/GMD-1834-225.pdf#page=4","Abrir facsímil")</f>
        <v>Abrir facsímil</v>
      </c>
      <c r="K17898" s="10" t="s">
        <v>24</v>
      </c>
    </row>
    <row r="17899" spans="1:11" ht="54" customHeight="1">
      <c r="A17899" s="9" t="s">
        <v>36200</v>
      </c>
      <c r="B17899" s="9" t="s">
        <v>36200</v>
      </c>
      <c r="C17899" s="9" t="s">
        <v>66</v>
      </c>
      <c r="D17899" s="9" t="s">
        <v>18</v>
      </c>
      <c r="E17899" s="10" t="s">
        <v>870</v>
      </c>
      <c r="F17899" s="9" t="s">
        <v>871</v>
      </c>
      <c r="G17899" s="10" t="s">
        <v>75</v>
      </c>
      <c r="H17899" s="9" t="s">
        <v>22</v>
      </c>
      <c r="I17899" s="9" t="s">
        <v>36292</v>
      </c>
      <c r="J17899" s="10" t="str">
        <f>HYPERLINK("https://www.boe.es/gazeta/dias/1834/05/28/pdfs/GMD-1834-97.pdf#page=4","Abrir facsímil")</f>
        <v>Abrir facsímil</v>
      </c>
      <c r="K17899" s="10" t="s">
        <v>24</v>
      </c>
    </row>
    <row r="17900" spans="1:11" ht="54" customHeight="1">
      <c r="A17900" s="9" t="s">
        <v>36200</v>
      </c>
      <c r="B17900" s="9" t="s">
        <v>36200</v>
      </c>
      <c r="C17900" s="9" t="s">
        <v>90</v>
      </c>
      <c r="D17900" s="9" t="s">
        <v>18</v>
      </c>
      <c r="E17900" s="10" t="s">
        <v>1773</v>
      </c>
      <c r="F17900" s="9" t="s">
        <v>1774</v>
      </c>
      <c r="G17900" s="10" t="s">
        <v>75</v>
      </c>
      <c r="H17900" s="9" t="s">
        <v>22</v>
      </c>
      <c r="I17900" s="9" t="s">
        <v>36293</v>
      </c>
      <c r="J17900" s="10" t="str">
        <f>HYPERLINK("https://www.boe.es/gazeta/dias/1834/06/28/pdfs/GMD-1834-131.pdf#page=4","Abrir facsímil")</f>
        <v>Abrir facsímil</v>
      </c>
      <c r="K17900" s="10" t="s">
        <v>24</v>
      </c>
    </row>
    <row r="17901" spans="1:11" ht="54" customHeight="1">
      <c r="A17901" s="9" t="s">
        <v>36200</v>
      </c>
      <c r="B17901" s="9" t="s">
        <v>36200</v>
      </c>
      <c r="C17901" s="9" t="s">
        <v>17</v>
      </c>
      <c r="D17901" s="9" t="s">
        <v>18</v>
      </c>
      <c r="E17901" s="10" t="s">
        <v>1641</v>
      </c>
      <c r="F17901" s="9" t="s">
        <v>1729</v>
      </c>
      <c r="G17901" s="10" t="s">
        <v>75</v>
      </c>
      <c r="H17901" s="9" t="s">
        <v>22</v>
      </c>
      <c r="I17901" s="9" t="s">
        <v>36294</v>
      </c>
      <c r="J17901" s="10" t="str">
        <f>HYPERLINK("https://www.boe.es/gazeta/dias/1834/09/28/pdfs/GMD-1834-226.pdf#page=4","Abrir facsímil")</f>
        <v>Abrir facsímil</v>
      </c>
      <c r="K17901" s="10" t="s">
        <v>24</v>
      </c>
    </row>
    <row r="17902" spans="1:11" ht="54" customHeight="1">
      <c r="A17902" s="9" t="s">
        <v>36200</v>
      </c>
      <c r="B17902" s="9" t="s">
        <v>36200</v>
      </c>
      <c r="C17902" s="9" t="s">
        <v>17</v>
      </c>
      <c r="D17902" s="9" t="s">
        <v>18</v>
      </c>
      <c r="E17902" s="10" t="s">
        <v>1284</v>
      </c>
      <c r="F17902" s="9" t="s">
        <v>1285</v>
      </c>
      <c r="G17902" s="10" t="s">
        <v>75</v>
      </c>
      <c r="H17902" s="9" t="s">
        <v>22</v>
      </c>
      <c r="I17902" s="9" t="s">
        <v>36295</v>
      </c>
      <c r="J17902" s="10" t="str">
        <f>HYPERLINK("https://www.boe.es/gazeta/dias/1834/11/28/pdfs/GMD-1834-287.pdf#page=4","Abrir facsímil")</f>
        <v>Abrir facsímil</v>
      </c>
      <c r="K17902" s="10" t="s">
        <v>24</v>
      </c>
    </row>
    <row r="17903" spans="1:11" ht="54" customHeight="1">
      <c r="A17903" s="9" t="s">
        <v>36200</v>
      </c>
      <c r="B17903" s="9" t="s">
        <v>36200</v>
      </c>
      <c r="C17903" s="9" t="s">
        <v>17</v>
      </c>
      <c r="D17903" s="9" t="s">
        <v>18</v>
      </c>
      <c r="E17903" s="10" t="s">
        <v>719</v>
      </c>
      <c r="F17903" s="9" t="s">
        <v>720</v>
      </c>
      <c r="G17903" s="10" t="s">
        <v>75</v>
      </c>
      <c r="H17903" s="9" t="s">
        <v>22</v>
      </c>
      <c r="I17903" s="9" t="s">
        <v>36296</v>
      </c>
      <c r="J17903" s="10" t="str">
        <f>HYPERLINK("https://www.boe.es/gazeta/dias/1834/04/29/pdfs/GMD-1834-68.pdf#page=4","Abrir facsímil")</f>
        <v>Abrir facsímil</v>
      </c>
      <c r="K17903" s="10" t="s">
        <v>24</v>
      </c>
    </row>
    <row r="17904" spans="1:11" ht="54" customHeight="1">
      <c r="A17904" s="9" t="s">
        <v>36200</v>
      </c>
      <c r="B17904" s="9" t="s">
        <v>36200</v>
      </c>
      <c r="C17904" s="9" t="s">
        <v>66</v>
      </c>
      <c r="D17904" s="9" t="s">
        <v>67</v>
      </c>
      <c r="E17904" s="10" t="s">
        <v>2945</v>
      </c>
      <c r="F17904" s="9" t="s">
        <v>2946</v>
      </c>
      <c r="G17904" s="10" t="s">
        <v>75</v>
      </c>
      <c r="H17904" s="9" t="s">
        <v>22</v>
      </c>
      <c r="I17904" s="9" t="s">
        <v>36297</v>
      </c>
      <c r="J17904" s="10" t="str">
        <f>HYPERLINK("https://www.boe.es/gazeta/dias/1834/05/29/pdfs/GMD-1834-98.pdf#page=4","Abrir facsímil")</f>
        <v>Abrir facsímil</v>
      </c>
      <c r="K17904" s="10" t="s">
        <v>24</v>
      </c>
    </row>
    <row r="17905" spans="1:11" ht="54" customHeight="1">
      <c r="A17905" s="9" t="s">
        <v>36200</v>
      </c>
      <c r="B17905" s="9" t="s">
        <v>36200</v>
      </c>
      <c r="C17905" s="9" t="s">
        <v>66</v>
      </c>
      <c r="D17905" s="9" t="s">
        <v>67</v>
      </c>
      <c r="E17905" s="10" t="s">
        <v>777</v>
      </c>
      <c r="F17905" s="9" t="s">
        <v>778</v>
      </c>
      <c r="G17905" s="10" t="s">
        <v>75</v>
      </c>
      <c r="H17905" s="9" t="s">
        <v>22</v>
      </c>
      <c r="I17905" s="9" t="s">
        <v>36298</v>
      </c>
      <c r="J17905" s="10" t="str">
        <f>HYPERLINK("https://www.boe.es/gazeta/dias/1834/10/29/pdfs/GMD-1834-257.pdf#page=4","Abrir facsímil")</f>
        <v>Abrir facsímil</v>
      </c>
      <c r="K17905" s="10" t="s">
        <v>24</v>
      </c>
    </row>
    <row r="17906" spans="1:11" ht="54" customHeight="1">
      <c r="A17906" s="9" t="s">
        <v>36200</v>
      </c>
      <c r="B17906" s="9" t="s">
        <v>36200</v>
      </c>
      <c r="C17906" s="9" t="s">
        <v>17</v>
      </c>
      <c r="D17906" s="9" t="s">
        <v>18</v>
      </c>
      <c r="E17906" s="10" t="s">
        <v>283</v>
      </c>
      <c r="F17906" s="9" t="s">
        <v>2969</v>
      </c>
      <c r="G17906" s="10" t="s">
        <v>75</v>
      </c>
      <c r="H17906" s="9" t="s">
        <v>22</v>
      </c>
      <c r="I17906" s="9" t="s">
        <v>36299</v>
      </c>
      <c r="J17906" s="10" t="str">
        <f>HYPERLINK("https://www.boe.es/gazeta/dias/1834/11/29/pdfs/GMD-1834-288.pdf#page=4","Abrir facsímil")</f>
        <v>Abrir facsímil</v>
      </c>
      <c r="K17906" s="10" t="s">
        <v>24</v>
      </c>
    </row>
    <row r="17907" spans="1:11" ht="54" customHeight="1">
      <c r="A17907" s="9" t="s">
        <v>36200</v>
      </c>
      <c r="B17907" s="9" t="s">
        <v>36200</v>
      </c>
      <c r="C17907" s="9" t="s">
        <v>66</v>
      </c>
      <c r="D17907" s="9" t="s">
        <v>67</v>
      </c>
      <c r="E17907" s="10" t="s">
        <v>899</v>
      </c>
      <c r="F17907" s="9" t="s">
        <v>900</v>
      </c>
      <c r="G17907" s="10" t="s">
        <v>470</v>
      </c>
      <c r="H17907" s="9" t="s">
        <v>22</v>
      </c>
      <c r="I17907" s="9" t="s">
        <v>36300</v>
      </c>
      <c r="J17907" s="10" t="str">
        <f>HYPERLINK("https://www.boe.es/gazeta/dias/1834/01/30/pdfs/GMD-1834-14.pdf#page=8","Abrir facsímil")</f>
        <v>Abrir facsímil</v>
      </c>
      <c r="K17907" s="10" t="s">
        <v>24</v>
      </c>
    </row>
    <row r="17908" spans="1:11" ht="54" customHeight="1">
      <c r="A17908" s="9" t="s">
        <v>36200</v>
      </c>
      <c r="B17908" s="9" t="s">
        <v>36200</v>
      </c>
      <c r="C17908" s="9" t="s">
        <v>66</v>
      </c>
      <c r="D17908" s="9" t="s">
        <v>18</v>
      </c>
      <c r="E17908" s="10" t="s">
        <v>286</v>
      </c>
      <c r="F17908" s="9" t="s">
        <v>548</v>
      </c>
      <c r="G17908" s="10" t="s">
        <v>75</v>
      </c>
      <c r="H17908" s="9" t="s">
        <v>22</v>
      </c>
      <c r="I17908" s="9" t="s">
        <v>36301</v>
      </c>
      <c r="J17908" s="10" t="str">
        <f>HYPERLINK("https://www.boe.es/gazeta/dias/1834/08/30/pdfs/GMD-1834-196.pdf#page=4","Abrir facsímil")</f>
        <v>Abrir facsímil</v>
      </c>
      <c r="K17908" s="10" t="s">
        <v>24</v>
      </c>
    </row>
    <row r="17909" spans="1:11" ht="54" customHeight="1">
      <c r="A17909" s="9" t="s">
        <v>36200</v>
      </c>
      <c r="B17909" s="9" t="s">
        <v>36200</v>
      </c>
      <c r="C17909" s="9" t="s">
        <v>17</v>
      </c>
      <c r="D17909" s="9" t="s">
        <v>18</v>
      </c>
      <c r="E17909" s="10" t="s">
        <v>891</v>
      </c>
      <c r="F17909" s="9" t="s">
        <v>3608</v>
      </c>
      <c r="G17909" s="10" t="s">
        <v>75</v>
      </c>
      <c r="H17909" s="9" t="s">
        <v>22</v>
      </c>
      <c r="I17909" s="9" t="s">
        <v>36302</v>
      </c>
      <c r="J17909" s="10" t="str">
        <f>HYPERLINK("https://www.boe.es/gazeta/dias/1834/10/31/pdfs/GMD-1834-259.pdf#page=4","Abrir facsímil")</f>
        <v>Abrir facsímil</v>
      </c>
      <c r="K17909" s="10" t="s">
        <v>24</v>
      </c>
    </row>
    <row r="17910" spans="1:11" ht="54" customHeight="1">
      <c r="A17910" s="9" t="s">
        <v>36303</v>
      </c>
      <c r="B17910" s="9" t="s">
        <v>36304</v>
      </c>
      <c r="C17910" s="9" t="s">
        <v>17</v>
      </c>
      <c r="D17910" s="9" t="s">
        <v>18</v>
      </c>
      <c r="E17910" s="10" t="s">
        <v>1307</v>
      </c>
      <c r="F17910" s="9" t="s">
        <v>1308</v>
      </c>
      <c r="G17910" s="10" t="s">
        <v>21</v>
      </c>
      <c r="H17910" s="9" t="s">
        <v>22</v>
      </c>
      <c r="I17910" s="9" t="s">
        <v>36305</v>
      </c>
      <c r="J17910" s="10" t="str">
        <f>HYPERLINK("https://www.boe.es/gazeta/dias/1834/08/25/pdfs/GMD-1834-191.pdf#page=3","Abrir facsímil")</f>
        <v>Abrir facsímil</v>
      </c>
      <c r="K17910" s="10" t="s">
        <v>24</v>
      </c>
    </row>
    <row r="17911" spans="1:11" ht="54" customHeight="1">
      <c r="A17911" s="9" t="s">
        <v>36306</v>
      </c>
      <c r="B17911" s="9" t="s">
        <v>36307</v>
      </c>
      <c r="C17911" s="9" t="s">
        <v>17</v>
      </c>
      <c r="D17911" s="9" t="s">
        <v>18</v>
      </c>
      <c r="E17911" s="10" t="s">
        <v>672</v>
      </c>
      <c r="F17911" s="9" t="s">
        <v>673</v>
      </c>
      <c r="G17911" s="10" t="s">
        <v>75</v>
      </c>
      <c r="H17911" s="9" t="s">
        <v>22</v>
      </c>
      <c r="I17911" s="9" t="s">
        <v>36308</v>
      </c>
      <c r="J17911" s="10" t="str">
        <f>HYPERLINK("https://www.boe.es/gazeta/dias/1834/09/19/pdfs/GMD-1834-217.pdf#page=4","Abrir facsímil")</f>
        <v>Abrir facsímil</v>
      </c>
      <c r="K17911" s="10" t="s">
        <v>24</v>
      </c>
    </row>
    <row r="17912" spans="1:11" ht="54" customHeight="1">
      <c r="A17912" s="9" t="s">
        <v>36309</v>
      </c>
      <c r="B17912" s="9" t="s">
        <v>36310</v>
      </c>
      <c r="C17912" s="9" t="s">
        <v>17</v>
      </c>
      <c r="D17912" s="9" t="s">
        <v>101</v>
      </c>
      <c r="E17912" s="10" t="s">
        <v>283</v>
      </c>
      <c r="F17912" s="9" t="s">
        <v>284</v>
      </c>
      <c r="G17912" s="10" t="s">
        <v>34</v>
      </c>
      <c r="H17912" s="9" t="s">
        <v>22</v>
      </c>
      <c r="I17912" s="9" t="s">
        <v>36311</v>
      </c>
      <c r="J17912" s="10" t="str">
        <f>HYPERLINK("https://www.boe.es/gazeta/dias/1834/11/29/pdfs/GMD-C-1834-288.pdf#page=1","Abrir facsímil")</f>
        <v>Abrir facsímil</v>
      </c>
      <c r="K17912" s="10" t="s">
        <v>24</v>
      </c>
    </row>
    <row r="17913" spans="1:11" ht="54" customHeight="1">
      <c r="A17913" s="9" t="s">
        <v>36312</v>
      </c>
      <c r="B17913" s="9" t="s">
        <v>36313</v>
      </c>
      <c r="C17913" s="9" t="s">
        <v>122</v>
      </c>
      <c r="D17913" s="9" t="s">
        <v>40</v>
      </c>
      <c r="E17913" s="10" t="s">
        <v>11991</v>
      </c>
      <c r="F17913" s="9" t="s">
        <v>17012</v>
      </c>
      <c r="G17913" s="10" t="s">
        <v>75</v>
      </c>
      <c r="H17913" s="9" t="s">
        <v>22</v>
      </c>
      <c r="I17913" s="9" t="s">
        <v>36314</v>
      </c>
      <c r="J17913" s="10" t="str">
        <f>HYPERLINK("https://www.boe.es/gazeta/dias/1834/12/05/pdfs/GMD-1834-294.pdf#page=4","Abrir facsímil")</f>
        <v>Abrir facsímil</v>
      </c>
      <c r="K17913" s="10" t="s">
        <v>24</v>
      </c>
    </row>
    <row r="17914" spans="1:11" ht="54" customHeight="1">
      <c r="A17914" s="9" t="s">
        <v>36315</v>
      </c>
      <c r="B17914" s="9" t="s">
        <v>36315</v>
      </c>
      <c r="C17914" s="9" t="s">
        <v>17</v>
      </c>
      <c r="D17914" s="9" t="s">
        <v>18</v>
      </c>
      <c r="E17914" s="10" t="s">
        <v>222</v>
      </c>
      <c r="F17914" s="9" t="s">
        <v>223</v>
      </c>
      <c r="G17914" s="10" t="s">
        <v>75</v>
      </c>
      <c r="H17914" s="9" t="s">
        <v>22</v>
      </c>
      <c r="I17914" s="9" t="s">
        <v>36316</v>
      </c>
      <c r="J17914" s="10" t="str">
        <f>HYPERLINK("https://www.boe.es/gazeta/dias/1834/09/14/pdfs/GMD-1834-212.pdf#page=4","Abrir facsímil")</f>
        <v>Abrir facsímil</v>
      </c>
      <c r="K17914" s="10" t="s">
        <v>24</v>
      </c>
    </row>
    <row r="17915" spans="1:11" ht="54" customHeight="1">
      <c r="A17915" s="9" t="s">
        <v>36317</v>
      </c>
      <c r="B17915" s="9" t="s">
        <v>36317</v>
      </c>
      <c r="C17915" s="9" t="s">
        <v>17</v>
      </c>
      <c r="D17915" s="9" t="s">
        <v>101</v>
      </c>
      <c r="E17915" s="10" t="s">
        <v>1402</v>
      </c>
      <c r="F17915" s="9" t="s">
        <v>1403</v>
      </c>
      <c r="G17915" s="10" t="s">
        <v>176</v>
      </c>
      <c r="H17915" s="9" t="s">
        <v>22</v>
      </c>
      <c r="I17915" s="9" t="s">
        <v>36318</v>
      </c>
      <c r="J17915" s="10" t="str">
        <f>HYPERLINK("https://www.boe.es/gazeta/dias/1834/05/05/pdfs/GMD-1834-74.pdf#page=6","Abrir facsímil")</f>
        <v>Abrir facsímil</v>
      </c>
      <c r="K17915" s="10" t="s">
        <v>24</v>
      </c>
    </row>
    <row r="17916" spans="1:11" ht="54" customHeight="1">
      <c r="A17916" s="9" t="s">
        <v>36319</v>
      </c>
      <c r="B17916" s="9" t="s">
        <v>36319</v>
      </c>
      <c r="C17916" s="9" t="s">
        <v>66</v>
      </c>
      <c r="D17916" s="9" t="s">
        <v>67</v>
      </c>
      <c r="E17916" s="10" t="s">
        <v>1141</v>
      </c>
      <c r="F17916" s="9" t="s">
        <v>1142</v>
      </c>
      <c r="G17916" s="10" t="s">
        <v>75</v>
      </c>
      <c r="H17916" s="9" t="s">
        <v>22</v>
      </c>
      <c r="I17916" s="9" t="s">
        <v>36320</v>
      </c>
      <c r="J17916" s="10" t="str">
        <f>HYPERLINK("https://www.boe.es/gazeta/dias/1834/04/30/pdfs/GMD-1834-69.pdf#page=4","Abrir facsímil")</f>
        <v>Abrir facsímil</v>
      </c>
      <c r="K17916" s="10" t="s">
        <v>24</v>
      </c>
    </row>
    <row r="17917" spans="1:11" ht="54" customHeight="1">
      <c r="A17917" s="9" t="s">
        <v>36321</v>
      </c>
      <c r="B17917" s="9" t="s">
        <v>36322</v>
      </c>
      <c r="C17917" s="9" t="s">
        <v>66</v>
      </c>
      <c r="D17917" s="9" t="s">
        <v>67</v>
      </c>
      <c r="E17917" s="10" t="s">
        <v>1141</v>
      </c>
      <c r="F17917" s="9" t="s">
        <v>1142</v>
      </c>
      <c r="G17917" s="10" t="s">
        <v>75</v>
      </c>
      <c r="H17917" s="9" t="s">
        <v>35</v>
      </c>
      <c r="I17917" s="9" t="s">
        <v>36323</v>
      </c>
      <c r="J17917" s="10" t="str">
        <f>HYPERLINK("https://www.boe.es/gazeta/dias/1834/04/30/pdfs/GMD-1834-69.pdf#page=4","Abrir facsímil")</f>
        <v>Abrir facsímil</v>
      </c>
      <c r="K17917" s="10" t="s">
        <v>37</v>
      </c>
    </row>
    <row r="17918" spans="1:11" ht="54" customHeight="1">
      <c r="A17918" s="9" t="s">
        <v>36324</v>
      </c>
      <c r="B17918" s="9" t="s">
        <v>36325</v>
      </c>
      <c r="C17918" s="9" t="s">
        <v>17</v>
      </c>
      <c r="D17918" s="9" t="s">
        <v>18</v>
      </c>
      <c r="E17918" s="10" t="s">
        <v>68</v>
      </c>
      <c r="F17918" s="9" t="s">
        <v>69</v>
      </c>
      <c r="G17918" s="10" t="s">
        <v>21</v>
      </c>
      <c r="H17918" s="9" t="s">
        <v>35</v>
      </c>
      <c r="I17918" s="9" t="s">
        <v>36326</v>
      </c>
      <c r="J17918" s="10" t="str">
        <f>HYPERLINK("https://www.boe.es/gazeta/dias/1834/11/01/pdfs/GMD-1834-260.pdf#page=3","Abrir facsímil")</f>
        <v>Abrir facsímil</v>
      </c>
      <c r="K17918" s="10" t="s">
        <v>37</v>
      </c>
    </row>
    <row r="17919" spans="1:11" ht="54" customHeight="1">
      <c r="A17919" s="9" t="s">
        <v>36327</v>
      </c>
      <c r="B17919" s="9" t="s">
        <v>36328</v>
      </c>
      <c r="C17919" s="9" t="s">
        <v>17</v>
      </c>
      <c r="D17919" s="9" t="s">
        <v>18</v>
      </c>
      <c r="E17919" s="10" t="s">
        <v>68</v>
      </c>
      <c r="F17919" s="9" t="s">
        <v>69</v>
      </c>
      <c r="G17919" s="10" t="s">
        <v>21</v>
      </c>
      <c r="H17919" s="9" t="s">
        <v>22</v>
      </c>
      <c r="I17919" s="9" t="s">
        <v>36329</v>
      </c>
      <c r="J17919" s="10" t="str">
        <f>HYPERLINK("https://www.boe.es/gazeta/dias/1834/11/01/pdfs/GMD-1834-260.pdf#page=3","Abrir facsímil")</f>
        <v>Abrir facsímil</v>
      </c>
      <c r="K17919" s="10" t="s">
        <v>24</v>
      </c>
    </row>
    <row r="17920" spans="1:11" ht="54" customHeight="1">
      <c r="A17920" s="9" t="s">
        <v>36330</v>
      </c>
      <c r="B17920" s="9" t="s">
        <v>36330</v>
      </c>
      <c r="C17920" s="9" t="s">
        <v>17</v>
      </c>
      <c r="D17920" s="9" t="s">
        <v>18</v>
      </c>
      <c r="E17920" s="10" t="s">
        <v>3083</v>
      </c>
      <c r="F17920" s="9" t="s">
        <v>3084</v>
      </c>
      <c r="G17920" s="10" t="s">
        <v>21</v>
      </c>
      <c r="H17920" s="9" t="s">
        <v>22</v>
      </c>
      <c r="I17920" s="9" t="s">
        <v>36331</v>
      </c>
      <c r="J17920" s="10" t="str">
        <f>HYPERLINK("https://www.boe.es/gazeta/dias/1834/10/30/pdfs/GMD-1834-258.pdf#page=3","Abrir facsímil")</f>
        <v>Abrir facsímil</v>
      </c>
      <c r="K17920" s="10" t="s">
        <v>24</v>
      </c>
    </row>
    <row r="17921" spans="1:11" ht="54" customHeight="1">
      <c r="A17921" s="9" t="s">
        <v>36332</v>
      </c>
      <c r="B17921" s="9" t="s">
        <v>36333</v>
      </c>
      <c r="C17921" s="9" t="s">
        <v>66</v>
      </c>
      <c r="D17921" s="9" t="s">
        <v>67</v>
      </c>
      <c r="E17921" s="10" t="s">
        <v>919</v>
      </c>
      <c r="F17921" s="9" t="s">
        <v>920</v>
      </c>
      <c r="G17921" s="10" t="s">
        <v>86</v>
      </c>
      <c r="H17921" s="9" t="s">
        <v>22</v>
      </c>
      <c r="I17921" s="9" t="s">
        <v>36334</v>
      </c>
      <c r="J17921" s="10" t="str">
        <f>HYPERLINK("https://www.boe.es/gazeta/dias/1834/06/24/pdfs/GMD-1834-127.pdf#page=2","Abrir facsímil")</f>
        <v>Abrir facsímil</v>
      </c>
      <c r="K17921" s="10" t="s">
        <v>24</v>
      </c>
    </row>
    <row r="17922" spans="1:11" ht="54" customHeight="1">
      <c r="A17922" s="9" t="s">
        <v>36335</v>
      </c>
      <c r="B17922" s="9" t="s">
        <v>36335</v>
      </c>
      <c r="C17922" s="9" t="s">
        <v>17</v>
      </c>
      <c r="D17922" s="9" t="s">
        <v>18</v>
      </c>
      <c r="E17922" s="10" t="s">
        <v>348</v>
      </c>
      <c r="F17922" s="9" t="s">
        <v>501</v>
      </c>
      <c r="G17922" s="10" t="s">
        <v>75</v>
      </c>
      <c r="H17922" s="9" t="s">
        <v>22</v>
      </c>
      <c r="I17922" s="9" t="s">
        <v>36336</v>
      </c>
      <c r="J17922" s="10" t="str">
        <f>HYPERLINK("https://www.boe.es/gazeta/dias/1834/06/12/pdfs/GMD-1834-115.pdf#page=4","Abrir facsímil")</f>
        <v>Abrir facsímil</v>
      </c>
      <c r="K17922" s="10" t="s">
        <v>24</v>
      </c>
    </row>
    <row r="17923" spans="1:11" ht="54" customHeight="1">
      <c r="A17923" s="9" t="s">
        <v>36335</v>
      </c>
      <c r="B17923" s="9" t="s">
        <v>36335</v>
      </c>
      <c r="C17923" s="9" t="s">
        <v>66</v>
      </c>
      <c r="D17923" s="9" t="s">
        <v>67</v>
      </c>
      <c r="E17923" s="10" t="s">
        <v>1094</v>
      </c>
      <c r="F17923" s="9" t="s">
        <v>1095</v>
      </c>
      <c r="G17923" s="10" t="s">
        <v>75</v>
      </c>
      <c r="H17923" s="9" t="s">
        <v>22</v>
      </c>
      <c r="I17923" s="9" t="s">
        <v>36337</v>
      </c>
      <c r="J17923" s="10" t="str">
        <f>HYPERLINK("https://www.boe.es/gazeta/dias/1834/07/13/pdfs/GMD-1834-146.pdf#page=4","Abrir facsímil")</f>
        <v>Abrir facsímil</v>
      </c>
      <c r="K17923" s="10" t="s">
        <v>24</v>
      </c>
    </row>
    <row r="17924" spans="1:11" ht="54" customHeight="1">
      <c r="A17924" s="9" t="s">
        <v>36335</v>
      </c>
      <c r="B17924" s="9" t="s">
        <v>36335</v>
      </c>
      <c r="C17924" s="9" t="s">
        <v>17</v>
      </c>
      <c r="D17924" s="9" t="s">
        <v>18</v>
      </c>
      <c r="E17924" s="10" t="s">
        <v>3810</v>
      </c>
      <c r="F17924" s="9" t="s">
        <v>3811</v>
      </c>
      <c r="G17924" s="10" t="s">
        <v>75</v>
      </c>
      <c r="H17924" s="9" t="s">
        <v>22</v>
      </c>
      <c r="I17924" s="9" t="s">
        <v>36338</v>
      </c>
      <c r="J17924" s="10" t="str">
        <f>HYPERLINK("https://www.boe.es/gazeta/dias/1834/02/20/pdfs/GMD-1834-23.pdf#page=4","Abrir facsímil")</f>
        <v>Abrir facsímil</v>
      </c>
      <c r="K17924" s="10" t="s">
        <v>24</v>
      </c>
    </row>
    <row r="17925" spans="1:11" ht="54" customHeight="1">
      <c r="A17925" s="9" t="s">
        <v>36335</v>
      </c>
      <c r="B17925" s="9" t="s">
        <v>36335</v>
      </c>
      <c r="C17925" s="9" t="s">
        <v>17</v>
      </c>
      <c r="D17925" s="9" t="s">
        <v>18</v>
      </c>
      <c r="E17925" s="10" t="s">
        <v>4169</v>
      </c>
      <c r="F17925" s="9" t="s">
        <v>4170</v>
      </c>
      <c r="G17925" s="10" t="s">
        <v>75</v>
      </c>
      <c r="H17925" s="9" t="s">
        <v>22</v>
      </c>
      <c r="I17925" s="9" t="s">
        <v>36339</v>
      </c>
      <c r="J17925" s="10" t="str">
        <f>HYPERLINK("https://www.boe.es/gazeta/dias/1834/11/20/pdfs/GMD-1834-279.pdf#page=4","Abrir facsímil")</f>
        <v>Abrir facsímil</v>
      </c>
      <c r="K17925" s="10" t="s">
        <v>24</v>
      </c>
    </row>
    <row r="17926" spans="1:11" ht="54" customHeight="1">
      <c r="A17926" s="9" t="s">
        <v>36340</v>
      </c>
      <c r="B17926" s="9" t="s">
        <v>36340</v>
      </c>
      <c r="C17926" s="9" t="s">
        <v>17</v>
      </c>
      <c r="D17926" s="9" t="s">
        <v>18</v>
      </c>
      <c r="E17926" s="10" t="s">
        <v>663</v>
      </c>
      <c r="F17926" s="9" t="s">
        <v>664</v>
      </c>
      <c r="G17926" s="10" t="s">
        <v>75</v>
      </c>
      <c r="H17926" s="9" t="s">
        <v>22</v>
      </c>
      <c r="I17926" s="9" t="s">
        <v>36341</v>
      </c>
      <c r="J17926" s="10" t="str">
        <f>HYPERLINK("https://www.boe.es/gazeta/dias/1834/07/16/pdfs/GMD-1834-149.pdf#page=4","Abrir facsímil")</f>
        <v>Abrir facsímil</v>
      </c>
      <c r="K17926" s="10" t="s">
        <v>24</v>
      </c>
    </row>
    <row r="17927" spans="1:11" ht="54" customHeight="1">
      <c r="A17927" s="9" t="s">
        <v>36342</v>
      </c>
      <c r="B17927" s="9" t="s">
        <v>36343</v>
      </c>
      <c r="C17927" s="9" t="s">
        <v>17</v>
      </c>
      <c r="D17927" s="9" t="s">
        <v>101</v>
      </c>
      <c r="E17927" s="10" t="s">
        <v>615</v>
      </c>
      <c r="F17927" s="9" t="s">
        <v>616</v>
      </c>
      <c r="G17927" s="10" t="s">
        <v>34</v>
      </c>
      <c r="H17927" s="9" t="s">
        <v>22</v>
      </c>
      <c r="I17927" s="9" t="s">
        <v>36344</v>
      </c>
      <c r="J17927" s="10" t="str">
        <f>HYPERLINK("https://www.boe.es/gazeta/dias/1834/08/19/pdfs/GMD-1834-185.pdf#page=1","Abrir facsímil")</f>
        <v>Abrir facsímil</v>
      </c>
      <c r="K17927" s="10" t="s">
        <v>24</v>
      </c>
    </row>
    <row r="17928" spans="1:11" ht="54" customHeight="1">
      <c r="A17928" s="9" t="s">
        <v>36345</v>
      </c>
      <c r="B17928" s="9" t="s">
        <v>36345</v>
      </c>
      <c r="C17928" s="9" t="s">
        <v>66</v>
      </c>
      <c r="D17928" s="9" t="s">
        <v>67</v>
      </c>
      <c r="E17928" s="10" t="s">
        <v>1116</v>
      </c>
      <c r="F17928" s="9" t="s">
        <v>1117</v>
      </c>
      <c r="G17928" s="10" t="s">
        <v>75</v>
      </c>
      <c r="H17928" s="9" t="s">
        <v>22</v>
      </c>
      <c r="I17928" s="9" t="s">
        <v>36346</v>
      </c>
      <c r="J17928" s="10" t="str">
        <f>HYPERLINK("https://www.boe.es/gazeta/dias/1834/05/16/pdfs/GMD-1834-85.pdf#page=4","Abrir facsímil")</f>
        <v>Abrir facsímil</v>
      </c>
      <c r="K17928" s="10" t="s">
        <v>24</v>
      </c>
    </row>
    <row r="17929" spans="1:11" ht="54" customHeight="1">
      <c r="A17929" s="9" t="s">
        <v>36347</v>
      </c>
      <c r="B17929" s="9" t="s">
        <v>36348</v>
      </c>
      <c r="C17929" s="9" t="s">
        <v>17</v>
      </c>
      <c r="D17929" s="9" t="s">
        <v>18</v>
      </c>
      <c r="E17929" s="10" t="s">
        <v>762</v>
      </c>
      <c r="F17929" s="9" t="s">
        <v>763</v>
      </c>
      <c r="G17929" s="10" t="s">
        <v>34</v>
      </c>
      <c r="H17929" s="9" t="s">
        <v>22</v>
      </c>
      <c r="I17929" s="9" t="s">
        <v>36349</v>
      </c>
      <c r="J17929" s="10" t="str">
        <f>HYPERLINK("https://www.boe.es/gazeta/dias/1834/11/07/pdfs/GMD-1834-266.pdf#page=1","Abrir facsímil")</f>
        <v>Abrir facsímil</v>
      </c>
      <c r="K17929" s="10" t="s">
        <v>24</v>
      </c>
    </row>
    <row r="17930" spans="1:11" ht="54" customHeight="1">
      <c r="A17930" s="9" t="s">
        <v>36350</v>
      </c>
      <c r="B17930" s="9" t="s">
        <v>36351</v>
      </c>
      <c r="C17930" s="9" t="s">
        <v>17</v>
      </c>
      <c r="D17930" s="9" t="s">
        <v>18</v>
      </c>
      <c r="E17930" s="10" t="s">
        <v>378</v>
      </c>
      <c r="F17930" s="9" t="s">
        <v>379</v>
      </c>
      <c r="G17930" s="10" t="s">
        <v>75</v>
      </c>
      <c r="H17930" s="9" t="s">
        <v>22</v>
      </c>
      <c r="I17930" s="9" t="s">
        <v>36352</v>
      </c>
      <c r="J17930" s="10" t="str">
        <f>HYPERLINK("https://www.boe.es/gazeta/dias/1834/09/24/pdfs/GMD-1834-222.pdf#page=4","Abrir facsímil")</f>
        <v>Abrir facsímil</v>
      </c>
      <c r="K17930" s="10" t="s">
        <v>24</v>
      </c>
    </row>
    <row r="17931" spans="1:11" ht="54" customHeight="1">
      <c r="A17931" s="9" t="s">
        <v>36353</v>
      </c>
      <c r="B17931" s="9" t="s">
        <v>36353</v>
      </c>
      <c r="C17931" s="9" t="s">
        <v>17</v>
      </c>
      <c r="D17931" s="9" t="s">
        <v>18</v>
      </c>
      <c r="E17931" s="10" t="s">
        <v>1922</v>
      </c>
      <c r="F17931" s="9" t="s">
        <v>1923</v>
      </c>
      <c r="G17931" s="10" t="s">
        <v>176</v>
      </c>
      <c r="H17931" s="9" t="s">
        <v>22</v>
      </c>
      <c r="I17931" s="9" t="s">
        <v>36354</v>
      </c>
      <c r="J17931" s="10" t="str">
        <f>HYPERLINK("https://www.boe.es/gazeta/dias/1834/02/25/pdfs/GMD-1834-25.pdf#page=6","Abrir facsímil")</f>
        <v>Abrir facsímil</v>
      </c>
      <c r="K17931" s="10" t="s">
        <v>24</v>
      </c>
    </row>
    <row r="17932" spans="1:11" ht="54" customHeight="1">
      <c r="A17932" s="9" t="s">
        <v>36353</v>
      </c>
      <c r="B17932" s="9" t="s">
        <v>36353</v>
      </c>
      <c r="C17932" s="9" t="s">
        <v>66</v>
      </c>
      <c r="D17932" s="9" t="s">
        <v>67</v>
      </c>
      <c r="E17932" s="10" t="s">
        <v>179</v>
      </c>
      <c r="F17932" s="9" t="s">
        <v>180</v>
      </c>
      <c r="G17932" s="10" t="s">
        <v>75</v>
      </c>
      <c r="H17932" s="9" t="s">
        <v>22</v>
      </c>
      <c r="I17932" s="9" t="s">
        <v>36355</v>
      </c>
      <c r="J17932" s="10" t="str">
        <f>HYPERLINK("https://www.boe.es/gazeta/dias/1834/10/28/pdfs/GMD-1834-256.pdf#page=4","Abrir facsímil")</f>
        <v>Abrir facsímil</v>
      </c>
      <c r="K17932" s="10" t="s">
        <v>24</v>
      </c>
    </row>
    <row r="17933" spans="1:11" ht="54" customHeight="1">
      <c r="A17933" s="9" t="s">
        <v>36356</v>
      </c>
      <c r="B17933" s="9" t="s">
        <v>36357</v>
      </c>
      <c r="C17933" s="9" t="s">
        <v>17</v>
      </c>
      <c r="D17933" s="9" t="s">
        <v>18</v>
      </c>
      <c r="E17933" s="10" t="s">
        <v>3699</v>
      </c>
      <c r="F17933" s="9" t="s">
        <v>3700</v>
      </c>
      <c r="G17933" s="10" t="s">
        <v>34</v>
      </c>
      <c r="H17933" s="9" t="s">
        <v>22</v>
      </c>
      <c r="I17933" s="9" t="s">
        <v>36358</v>
      </c>
      <c r="J17933" s="10" t="str">
        <f>HYPERLINK("https://www.boe.es/gazeta/dias/1834/02/06/pdfs/I00074-00074.pdf#page=1","Abrir facsímil")</f>
        <v>Abrir facsímil</v>
      </c>
      <c r="K17933" s="10" t="s">
        <v>24</v>
      </c>
    </row>
    <row r="17934" spans="1:11" ht="54" customHeight="1">
      <c r="A17934" s="9" t="s">
        <v>36356</v>
      </c>
      <c r="B17934" s="9" t="s">
        <v>36357</v>
      </c>
      <c r="C17934" s="9" t="s">
        <v>17</v>
      </c>
      <c r="D17934" s="9" t="s">
        <v>18</v>
      </c>
      <c r="E17934" s="10" t="s">
        <v>3699</v>
      </c>
      <c r="F17934" s="9" t="s">
        <v>3700</v>
      </c>
      <c r="G17934" s="10" t="s">
        <v>75</v>
      </c>
      <c r="H17934" s="9" t="s">
        <v>22</v>
      </c>
      <c r="I17934" s="9" t="s">
        <v>36359</v>
      </c>
      <c r="J17934" s="10" t="str">
        <f>HYPERLINK("https://www.boe.es/gazeta/dias/1834/02/06/pdfs/GMD-1834-17.pdf#page=4","Abrir facsímil")</f>
        <v>Abrir facsímil</v>
      </c>
      <c r="K17934" s="10" t="s">
        <v>24</v>
      </c>
    </row>
    <row r="17935" spans="1:11" ht="54" customHeight="1">
      <c r="A17935" s="9" t="s">
        <v>36360</v>
      </c>
      <c r="B17935" s="9" t="s">
        <v>36361</v>
      </c>
      <c r="C17935" s="9" t="s">
        <v>17</v>
      </c>
      <c r="D17935" s="9" t="s">
        <v>18</v>
      </c>
      <c r="E17935" s="10" t="s">
        <v>1505</v>
      </c>
      <c r="F17935" s="9" t="s">
        <v>1506</v>
      </c>
      <c r="G17935" s="10" t="s">
        <v>86</v>
      </c>
      <c r="H17935" s="9" t="s">
        <v>22</v>
      </c>
      <c r="I17935" s="9" t="s">
        <v>36362</v>
      </c>
      <c r="J17935" s="10" t="str">
        <f>HYPERLINK("https://www.boe.es/gazeta/dias/1834/05/08/pdfs/GMD-1834-77.pdf#page=2","Abrir facsímil")</f>
        <v>Abrir facsímil</v>
      </c>
      <c r="K17935" s="10" t="s">
        <v>24</v>
      </c>
    </row>
    <row r="17936" spans="1:11" ht="54" customHeight="1">
      <c r="A17936" s="9" t="s">
        <v>36363</v>
      </c>
      <c r="B17936" s="9" t="s">
        <v>36364</v>
      </c>
      <c r="C17936" s="9" t="s">
        <v>90</v>
      </c>
      <c r="D17936" s="9" t="s">
        <v>18</v>
      </c>
      <c r="E17936" s="10" t="s">
        <v>615</v>
      </c>
      <c r="F17936" s="9" t="s">
        <v>1205</v>
      </c>
      <c r="G17936" s="10" t="s">
        <v>86</v>
      </c>
      <c r="H17936" s="9" t="s">
        <v>22</v>
      </c>
      <c r="I17936" s="9" t="s">
        <v>36365</v>
      </c>
      <c r="J17936" s="10" t="str">
        <f>HYPERLINK("https://www.boe.es/gazeta/dias/1834/08/19/pdfs/GMD-D-1834-185.pdf#page=2","Abrir facsímil")</f>
        <v>Abrir facsímil</v>
      </c>
      <c r="K17936" s="10" t="s">
        <v>24</v>
      </c>
    </row>
    <row r="17937" spans="1:11" ht="54" customHeight="1">
      <c r="A17937" s="9" t="s">
        <v>36366</v>
      </c>
      <c r="B17937" s="9" t="s">
        <v>36367</v>
      </c>
      <c r="C17937" s="9" t="s">
        <v>17</v>
      </c>
      <c r="D17937" s="9" t="s">
        <v>18</v>
      </c>
      <c r="E17937" s="10" t="s">
        <v>563</v>
      </c>
      <c r="F17937" s="9" t="s">
        <v>564</v>
      </c>
      <c r="G17937" s="10" t="s">
        <v>176</v>
      </c>
      <c r="H17937" s="9" t="s">
        <v>22</v>
      </c>
      <c r="I17937" s="9" t="s">
        <v>36368</v>
      </c>
      <c r="J17937" s="10" t="str">
        <f>HYPERLINK("https://www.boe.es/gazeta/dias/1834/04/19/pdfs/GMD-1834-58.pdf#page=6","Abrir facsímil")</f>
        <v>Abrir facsímil</v>
      </c>
      <c r="K17937" s="10" t="s">
        <v>24</v>
      </c>
    </row>
    <row r="17938" spans="1:11" ht="54" customHeight="1">
      <c r="A17938" s="9" t="s">
        <v>36369</v>
      </c>
      <c r="B17938" s="9" t="s">
        <v>36369</v>
      </c>
      <c r="C17938" s="9" t="s">
        <v>17</v>
      </c>
      <c r="D17938" s="9" t="s">
        <v>18</v>
      </c>
      <c r="E17938" s="10" t="s">
        <v>860</v>
      </c>
      <c r="F17938" s="9" t="s">
        <v>1755</v>
      </c>
      <c r="G17938" s="10" t="s">
        <v>86</v>
      </c>
      <c r="H17938" s="9" t="s">
        <v>22</v>
      </c>
      <c r="I17938" s="9" t="s">
        <v>36370</v>
      </c>
      <c r="J17938" s="10" t="str">
        <f>HYPERLINK("https://www.boe.es/gazeta/dias/1834/02/08/pdfs/GMD-C-1834-18.pdf#page=2","Abrir facsímil")</f>
        <v>Abrir facsímil</v>
      </c>
      <c r="K17938" s="10" t="s">
        <v>24</v>
      </c>
    </row>
    <row r="17939" spans="1:11" ht="54" customHeight="1">
      <c r="A17939" s="9" t="s">
        <v>36371</v>
      </c>
      <c r="B17939" s="9" t="s">
        <v>36372</v>
      </c>
      <c r="C17939" s="9" t="s">
        <v>17</v>
      </c>
      <c r="D17939" s="9" t="s">
        <v>18</v>
      </c>
      <c r="E17939" s="10" t="s">
        <v>167</v>
      </c>
      <c r="F17939" s="9" t="s">
        <v>1200</v>
      </c>
      <c r="G17939" s="10" t="s">
        <v>86</v>
      </c>
      <c r="H17939" s="9" t="s">
        <v>22</v>
      </c>
      <c r="I17939" s="9" t="s">
        <v>36373</v>
      </c>
      <c r="J17939" s="10" t="str">
        <f>HYPERLINK("https://www.boe.es/gazeta/dias/1834/09/07/pdfs/GMD-C-1834-205.pdf#page=2","Abrir facsímil")</f>
        <v>Abrir facsímil</v>
      </c>
      <c r="K17939" s="10" t="s">
        <v>24</v>
      </c>
    </row>
    <row r="17940" spans="1:11" ht="54" customHeight="1">
      <c r="A17940" s="9" t="s">
        <v>36371</v>
      </c>
      <c r="B17940" s="9" t="s">
        <v>36372</v>
      </c>
      <c r="C17940" s="9" t="s">
        <v>90</v>
      </c>
      <c r="D17940" s="9" t="s">
        <v>18</v>
      </c>
      <c r="E17940" s="10" t="s">
        <v>462</v>
      </c>
      <c r="F17940" s="9" t="s">
        <v>463</v>
      </c>
      <c r="G17940" s="10" t="s">
        <v>34</v>
      </c>
      <c r="H17940" s="9" t="s">
        <v>22</v>
      </c>
      <c r="I17940" s="9" t="s">
        <v>36374</v>
      </c>
      <c r="J17940" s="10" t="str">
        <f>HYPERLINK("https://www.boe.es/gazeta/dias/1834/08/27/pdfs/GMD-C-1834-193.pdf#page=1","Abrir facsímil")</f>
        <v>Abrir facsímil</v>
      </c>
      <c r="K17940" s="10" t="s">
        <v>24</v>
      </c>
    </row>
    <row r="17941" spans="1:11" ht="54" customHeight="1">
      <c r="A17941" s="9" t="s">
        <v>36371</v>
      </c>
      <c r="B17941" s="9" t="s">
        <v>36372</v>
      </c>
      <c r="C17941" s="9" t="s">
        <v>90</v>
      </c>
      <c r="D17941" s="9" t="s">
        <v>101</v>
      </c>
      <c r="E17941" s="10" t="s">
        <v>280</v>
      </c>
      <c r="F17941" s="9" t="s">
        <v>281</v>
      </c>
      <c r="G17941" s="10" t="s">
        <v>86</v>
      </c>
      <c r="H17941" s="9" t="s">
        <v>22</v>
      </c>
      <c r="I17941" s="9" t="s">
        <v>36375</v>
      </c>
      <c r="J17941" s="10" t="str">
        <f>HYPERLINK("https://www.boe.es/gazeta/dias/1834/08/29/pdfs/GMD-C-1834-195.pdf#page=2","Abrir facsímil")</f>
        <v>Abrir facsímil</v>
      </c>
      <c r="K17941" s="10" t="s">
        <v>24</v>
      </c>
    </row>
    <row r="17942" spans="1:11" ht="54" customHeight="1">
      <c r="A17942" s="9" t="s">
        <v>36376</v>
      </c>
      <c r="B17942" s="9" t="s">
        <v>36377</v>
      </c>
      <c r="C17942" s="9" t="s">
        <v>17</v>
      </c>
      <c r="D17942" s="9" t="s">
        <v>18</v>
      </c>
      <c r="E17942" s="10" t="s">
        <v>56</v>
      </c>
      <c r="F17942" s="9" t="s">
        <v>57</v>
      </c>
      <c r="G17942" s="10" t="s">
        <v>75</v>
      </c>
      <c r="H17942" s="9" t="s">
        <v>35</v>
      </c>
      <c r="I17942" s="9" t="s">
        <v>36378</v>
      </c>
      <c r="J17942" s="10" t="str">
        <f>HYPERLINK("https://www.boe.es/gazeta/dias/1834/07/09/pdfs/GMD-1834-142.pdf#page=4","Abrir facsímil")</f>
        <v>Abrir facsímil</v>
      </c>
      <c r="K17942" s="10" t="s">
        <v>37</v>
      </c>
    </row>
    <row r="17943" spans="1:11" ht="54" customHeight="1">
      <c r="A17943" s="9" t="s">
        <v>36379</v>
      </c>
      <c r="B17943" s="9" t="s">
        <v>36380</v>
      </c>
      <c r="C17943" s="9" t="s">
        <v>90</v>
      </c>
      <c r="D17943" s="9" t="s">
        <v>18</v>
      </c>
      <c r="E17943" s="10" t="s">
        <v>462</v>
      </c>
      <c r="F17943" s="9" t="s">
        <v>463</v>
      </c>
      <c r="G17943" s="10" t="s">
        <v>34</v>
      </c>
      <c r="H17943" s="9" t="s">
        <v>35</v>
      </c>
      <c r="I17943" s="9" t="s">
        <v>36381</v>
      </c>
      <c r="J17943" s="10" t="str">
        <f>HYPERLINK("https://www.boe.es/gazeta/dias/1834/08/27/pdfs/GMD-C-1834-193.pdf#page=1","Abrir facsímil")</f>
        <v>Abrir facsímil</v>
      </c>
      <c r="K17943" s="10" t="s">
        <v>37</v>
      </c>
    </row>
    <row r="17944" spans="1:11" ht="54" customHeight="1">
      <c r="A17944" s="9" t="s">
        <v>36382</v>
      </c>
      <c r="B17944" s="9" t="s">
        <v>36382</v>
      </c>
      <c r="C17944" s="9" t="s">
        <v>17</v>
      </c>
      <c r="D17944" s="9" t="s">
        <v>18</v>
      </c>
      <c r="E17944" s="10" t="s">
        <v>222</v>
      </c>
      <c r="F17944" s="9" t="s">
        <v>223</v>
      </c>
      <c r="G17944" s="10" t="s">
        <v>86</v>
      </c>
      <c r="H17944" s="9" t="s">
        <v>22</v>
      </c>
      <c r="I17944" s="9" t="s">
        <v>36383</v>
      </c>
      <c r="J17944" s="10" t="str">
        <f>HYPERLINK("https://www.boe.es/gazeta/dias/1834/09/14/pdfs/GMD-1834-212.pdf#page=2","Abrir facsímil")</f>
        <v>Abrir facsímil</v>
      </c>
      <c r="K17944" s="10" t="s">
        <v>24</v>
      </c>
    </row>
    <row r="17945" spans="1:11" ht="54" customHeight="1">
      <c r="A17945" s="9" t="s">
        <v>36384</v>
      </c>
      <c r="B17945" s="9" t="s">
        <v>36385</v>
      </c>
      <c r="C17945" s="9" t="s">
        <v>46</v>
      </c>
      <c r="D17945" s="9" t="s">
        <v>101</v>
      </c>
      <c r="E17945" s="10" t="s">
        <v>956</v>
      </c>
      <c r="F17945" s="9" t="s">
        <v>1508</v>
      </c>
      <c r="G17945" s="10" t="s">
        <v>21</v>
      </c>
      <c r="H17945" s="9" t="s">
        <v>22</v>
      </c>
      <c r="I17945" s="9" t="s">
        <v>36386</v>
      </c>
      <c r="J17945" s="10" t="str">
        <f>HYPERLINK("https://www.boe.es/gazeta/dias/1834/08/10/pdfs/GMD-1834-175.pdf#page=3","Abrir facsímil")</f>
        <v>Abrir facsímil</v>
      </c>
      <c r="K17945" s="10" t="s">
        <v>24</v>
      </c>
    </row>
    <row r="17946" spans="1:11" ht="54" customHeight="1">
      <c r="A17946" s="9" t="s">
        <v>36384</v>
      </c>
      <c r="B17946" s="9" t="s">
        <v>36385</v>
      </c>
      <c r="C17946" s="9" t="s">
        <v>66</v>
      </c>
      <c r="D17946" s="9" t="s">
        <v>67</v>
      </c>
      <c r="E17946" s="10" t="s">
        <v>5574</v>
      </c>
      <c r="F17946" s="9" t="s">
        <v>5575</v>
      </c>
      <c r="G17946" s="10" t="s">
        <v>21</v>
      </c>
      <c r="H17946" s="9" t="s">
        <v>22</v>
      </c>
      <c r="I17946" s="9" t="s">
        <v>36387</v>
      </c>
      <c r="J17946" s="10" t="str">
        <f>HYPERLINK("https://www.boe.es/gazeta/dias/1834/06/16/pdfs/GMD-1834-119.pdf#page=3","Abrir facsímil")</f>
        <v>Abrir facsímil</v>
      </c>
      <c r="K17946" s="10" t="s">
        <v>24</v>
      </c>
    </row>
    <row r="17947" spans="1:11" ht="54" customHeight="1">
      <c r="A17947" s="9" t="s">
        <v>36388</v>
      </c>
      <c r="B17947" s="9" t="s">
        <v>36389</v>
      </c>
      <c r="C17947" s="9" t="s">
        <v>17</v>
      </c>
      <c r="D17947" s="9" t="s">
        <v>18</v>
      </c>
      <c r="E17947" s="10" t="s">
        <v>1766</v>
      </c>
      <c r="F17947" s="9" t="s">
        <v>1767</v>
      </c>
      <c r="G17947" s="10" t="s">
        <v>34</v>
      </c>
      <c r="H17947" s="9" t="s">
        <v>22</v>
      </c>
      <c r="I17947" s="9" t="s">
        <v>36390</v>
      </c>
      <c r="J17947" s="10" t="str">
        <f>HYPERLINK("https://www.boe.es/gazeta/dias/1834/10/26/pdfs/GMD-C-1834-254.pdf#page=1","Abrir facsímil")</f>
        <v>Abrir facsímil</v>
      </c>
      <c r="K17947" s="10" t="s">
        <v>24</v>
      </c>
    </row>
    <row r="17948" spans="1:11" ht="54" customHeight="1">
      <c r="A17948" s="9" t="s">
        <v>36391</v>
      </c>
      <c r="B17948" s="9" t="s">
        <v>36391</v>
      </c>
      <c r="C17948" s="9" t="s">
        <v>66</v>
      </c>
      <c r="D17948" s="9" t="s">
        <v>67</v>
      </c>
      <c r="E17948" s="10" t="s">
        <v>73</v>
      </c>
      <c r="F17948" s="9" t="s">
        <v>74</v>
      </c>
      <c r="G17948" s="10" t="s">
        <v>86</v>
      </c>
      <c r="H17948" s="9" t="s">
        <v>22</v>
      </c>
      <c r="I17948" s="9" t="s">
        <v>36392</v>
      </c>
      <c r="J17948" s="10" t="str">
        <f>HYPERLINK("https://www.boe.es/gazeta/dias/1834/11/04/pdfs/GMD-1834-263.pdf#page=2","Abrir facsímil")</f>
        <v>Abrir facsímil</v>
      </c>
      <c r="K17948" s="10" t="s">
        <v>24</v>
      </c>
    </row>
    <row r="17949" spans="1:11" ht="54" customHeight="1">
      <c r="A17949" s="9" t="s">
        <v>36391</v>
      </c>
      <c r="B17949" s="9" t="s">
        <v>36391</v>
      </c>
      <c r="C17949" s="9" t="s">
        <v>17</v>
      </c>
      <c r="D17949" s="9" t="s">
        <v>18</v>
      </c>
      <c r="E17949" s="10" t="s">
        <v>510</v>
      </c>
      <c r="F17949" s="9" t="s">
        <v>531</v>
      </c>
      <c r="G17949" s="10" t="s">
        <v>34</v>
      </c>
      <c r="H17949" s="9" t="s">
        <v>22</v>
      </c>
      <c r="I17949" s="9" t="s">
        <v>36393</v>
      </c>
      <c r="J17949" s="10" t="str">
        <f>HYPERLINK("https://www.boe.es/gazeta/dias/1834/11/26/pdfs/GMD-C-1834-285.pdf#page=1","Abrir facsímil")</f>
        <v>Abrir facsímil</v>
      </c>
      <c r="K17949" s="10" t="s">
        <v>24</v>
      </c>
    </row>
    <row r="17950" spans="1:11" ht="54" customHeight="1">
      <c r="A17950" s="9" t="s">
        <v>36391</v>
      </c>
      <c r="B17950" s="9" t="s">
        <v>36391</v>
      </c>
      <c r="C17950" s="9" t="s">
        <v>66</v>
      </c>
      <c r="D17950" s="9" t="s">
        <v>67</v>
      </c>
      <c r="E17950" s="10" t="s">
        <v>294</v>
      </c>
      <c r="F17950" s="9" t="s">
        <v>295</v>
      </c>
      <c r="G17950" s="10" t="s">
        <v>34</v>
      </c>
      <c r="H17950" s="9" t="s">
        <v>22</v>
      </c>
      <c r="I17950" s="9" t="s">
        <v>36394</v>
      </c>
      <c r="J17950" s="10" t="str">
        <f>HYPERLINK("https://www.boe.es/gazeta/dias/1834/09/27/pdfs/GMD-1834-225.pdf#page=1","Abrir facsímil")</f>
        <v>Abrir facsímil</v>
      </c>
      <c r="K17950" s="10" t="s">
        <v>24</v>
      </c>
    </row>
    <row r="17951" spans="1:11" ht="54" customHeight="1">
      <c r="A17951" s="9" t="s">
        <v>36395</v>
      </c>
      <c r="B17951" s="9" t="s">
        <v>36396</v>
      </c>
      <c r="C17951" s="9" t="s">
        <v>46</v>
      </c>
      <c r="D17951" s="9" t="s">
        <v>101</v>
      </c>
      <c r="E17951" s="10" t="s">
        <v>73</v>
      </c>
      <c r="F17951" s="9" t="s">
        <v>74</v>
      </c>
      <c r="G17951" s="10" t="s">
        <v>86</v>
      </c>
      <c r="H17951" s="9" t="s">
        <v>35</v>
      </c>
      <c r="I17951" s="9" t="s">
        <v>36397</v>
      </c>
      <c r="J17951" s="10" t="str">
        <f>HYPERLINK("https://www.boe.es/gazeta/dias/1834/11/04/pdfs/GMD-1834-263.pdf#page=2","Abrir facsímil")</f>
        <v>Abrir facsímil</v>
      </c>
      <c r="K17951" s="10" t="s">
        <v>37</v>
      </c>
    </row>
    <row r="17952" spans="1:11" ht="54" customHeight="1">
      <c r="A17952" s="9" t="s">
        <v>36398</v>
      </c>
      <c r="B17952" s="9" t="s">
        <v>36399</v>
      </c>
      <c r="C17952" s="9" t="s">
        <v>17</v>
      </c>
      <c r="D17952" s="9" t="s">
        <v>40</v>
      </c>
      <c r="E17952" s="10" t="s">
        <v>679</v>
      </c>
      <c r="F17952" s="9" t="s">
        <v>699</v>
      </c>
      <c r="G17952" s="10" t="s">
        <v>34</v>
      </c>
      <c r="H17952" s="9" t="s">
        <v>35</v>
      </c>
      <c r="I17952" s="9" t="s">
        <v>36400</v>
      </c>
      <c r="J17952" s="10" t="str">
        <f>HYPERLINK("https://www.boe.es/gazeta/dias/1834/12/10/pdfs/GMD-C-1834-299.pdf#page=1","Abrir facsímil")</f>
        <v>Abrir facsímil</v>
      </c>
      <c r="K17952" s="10" t="s">
        <v>37</v>
      </c>
    </row>
    <row r="17953" spans="1:11" ht="54" customHeight="1">
      <c r="A17953" s="9" t="s">
        <v>36401</v>
      </c>
      <c r="B17953" s="9" t="s">
        <v>36402</v>
      </c>
      <c r="C17953" s="9" t="s">
        <v>17</v>
      </c>
      <c r="D17953" s="9" t="s">
        <v>18</v>
      </c>
      <c r="E17953" s="10" t="s">
        <v>19</v>
      </c>
      <c r="F17953" s="9" t="s">
        <v>107</v>
      </c>
      <c r="G17953" s="10" t="s">
        <v>75</v>
      </c>
      <c r="H17953" s="9" t="s">
        <v>22</v>
      </c>
      <c r="I17953" s="9" t="s">
        <v>36403</v>
      </c>
      <c r="J17953" s="10" t="str">
        <f>HYPERLINK("https://www.boe.es/gazeta/dias/1834/08/17/pdfs/GMD-1834-182.pdf#page=4","Abrir facsímil")</f>
        <v>Abrir facsímil</v>
      </c>
      <c r="K17953" s="10" t="s">
        <v>24</v>
      </c>
    </row>
    <row r="17954" spans="1:11" ht="54" customHeight="1">
      <c r="A17954" s="9" t="s">
        <v>36404</v>
      </c>
      <c r="B17954" s="9" t="s">
        <v>36405</v>
      </c>
      <c r="C17954" s="9" t="s">
        <v>17</v>
      </c>
      <c r="D17954" s="9" t="s">
        <v>18</v>
      </c>
      <c r="E17954" s="10" t="s">
        <v>808</v>
      </c>
      <c r="F17954" s="9" t="s">
        <v>809</v>
      </c>
      <c r="G17954" s="10" t="s">
        <v>75</v>
      </c>
      <c r="H17954" s="9" t="s">
        <v>22</v>
      </c>
      <c r="I17954" s="9" t="s">
        <v>36406</v>
      </c>
      <c r="J17954" s="10" t="str">
        <f>HYPERLINK("https://www.boe.es/gazeta/dias/1834/10/11/pdfs/GMD-1834-239.pdf#page=4","Abrir facsímil")</f>
        <v>Abrir facsímil</v>
      </c>
      <c r="K17954" s="10" t="s">
        <v>24</v>
      </c>
    </row>
    <row r="17955" spans="1:11" ht="54" customHeight="1">
      <c r="A17955" s="9" t="s">
        <v>36407</v>
      </c>
      <c r="B17955" s="9" t="s">
        <v>36408</v>
      </c>
      <c r="C17955" s="9" t="s">
        <v>46</v>
      </c>
      <c r="D17955" s="9" t="s">
        <v>101</v>
      </c>
      <c r="E17955" s="10" t="s">
        <v>73</v>
      </c>
      <c r="F17955" s="9" t="s">
        <v>74</v>
      </c>
      <c r="G17955" s="10" t="s">
        <v>86</v>
      </c>
      <c r="H17955" s="9" t="s">
        <v>22</v>
      </c>
      <c r="I17955" s="9" t="s">
        <v>36409</v>
      </c>
      <c r="J17955" s="10" t="str">
        <f>HYPERLINK("https://www.boe.es/gazeta/dias/1834/11/04/pdfs/GMD-1834-263.pdf#page=2","Abrir facsímil")</f>
        <v>Abrir facsímil</v>
      </c>
      <c r="K17955" s="10" t="s">
        <v>24</v>
      </c>
    </row>
    <row r="17956" spans="1:11" ht="54" customHeight="1">
      <c r="A17956" s="9" t="s">
        <v>36410</v>
      </c>
      <c r="B17956" s="9" t="s">
        <v>36411</v>
      </c>
      <c r="C17956" s="9" t="s">
        <v>17</v>
      </c>
      <c r="D17956" s="9" t="s">
        <v>40</v>
      </c>
      <c r="E17956" s="10" t="s">
        <v>679</v>
      </c>
      <c r="F17956" s="9" t="s">
        <v>699</v>
      </c>
      <c r="G17956" s="10" t="s">
        <v>34</v>
      </c>
      <c r="H17956" s="9" t="s">
        <v>22</v>
      </c>
      <c r="I17956" s="9" t="s">
        <v>36412</v>
      </c>
      <c r="J17956" s="10" t="str">
        <f>HYPERLINK("https://www.boe.es/gazeta/dias/1834/12/10/pdfs/GMD-C-1834-299.pdf#page=1","Abrir facsímil")</f>
        <v>Abrir facsímil</v>
      </c>
      <c r="K17956" s="10" t="s">
        <v>24</v>
      </c>
    </row>
    <row r="17957" spans="1:11" ht="54" customHeight="1">
      <c r="A17957" s="9" t="s">
        <v>36413</v>
      </c>
      <c r="B17957" s="9" t="s">
        <v>36414</v>
      </c>
      <c r="C17957" s="9" t="s">
        <v>17</v>
      </c>
      <c r="D17957" s="9" t="s">
        <v>18</v>
      </c>
      <c r="E17957" s="10" t="s">
        <v>1297</v>
      </c>
      <c r="F17957" s="9" t="s">
        <v>1879</v>
      </c>
      <c r="G17957" s="10" t="s">
        <v>34</v>
      </c>
      <c r="H17957" s="9" t="s">
        <v>22</v>
      </c>
      <c r="I17957" s="9" t="s">
        <v>36415</v>
      </c>
      <c r="J17957" s="10" t="str">
        <f>HYPERLINK("https://www.boe.es/gazeta/dias/1834/08/01/pdfs/GMD-C-1834-165.pdf#page=1","Abrir facsímil")</f>
        <v>Abrir facsímil</v>
      </c>
      <c r="K17957" s="10" t="s">
        <v>24</v>
      </c>
    </row>
    <row r="17958" spans="1:11" ht="54" customHeight="1">
      <c r="A17958" s="9" t="s">
        <v>36416</v>
      </c>
      <c r="B17958" s="9" t="s">
        <v>36417</v>
      </c>
      <c r="C17958" s="9" t="s">
        <v>17</v>
      </c>
      <c r="D17958" s="9" t="s">
        <v>18</v>
      </c>
      <c r="E17958" s="10" t="s">
        <v>61</v>
      </c>
      <c r="F17958" s="9" t="s">
        <v>205</v>
      </c>
      <c r="G17958" s="10" t="s">
        <v>75</v>
      </c>
      <c r="H17958" s="9" t="s">
        <v>22</v>
      </c>
      <c r="I17958" s="9" t="s">
        <v>36418</v>
      </c>
      <c r="J17958" s="10" t="str">
        <f>HYPERLINK("https://www.boe.es/gazeta/dias/1834/06/08/pdfs/GMD-1834-110.pdf#page=4","Abrir facsímil")</f>
        <v>Abrir facsímil</v>
      </c>
      <c r="K17958" s="10" t="s">
        <v>24</v>
      </c>
    </row>
    <row r="17959" spans="1:11" ht="54" customHeight="1">
      <c r="A17959" s="9" t="s">
        <v>36419</v>
      </c>
      <c r="B17959" s="9" t="s">
        <v>36419</v>
      </c>
      <c r="C17959" s="9" t="s">
        <v>17</v>
      </c>
      <c r="D17959" s="9" t="s">
        <v>18</v>
      </c>
      <c r="E17959" s="10" t="s">
        <v>209</v>
      </c>
      <c r="F17959" s="9" t="s">
        <v>210</v>
      </c>
      <c r="G17959" s="10" t="s">
        <v>21</v>
      </c>
      <c r="H17959" s="9" t="s">
        <v>22</v>
      </c>
      <c r="I17959" s="9" t="s">
        <v>36420</v>
      </c>
      <c r="J17959" s="10" t="str">
        <f>HYPERLINK("https://www.boe.es/gazeta/dias/1834/07/01/pdfs/GMD-1834-134.pdf#page=3","Abrir facsímil")</f>
        <v>Abrir facsímil</v>
      </c>
      <c r="K17959" s="10" t="s">
        <v>24</v>
      </c>
    </row>
    <row r="17960" spans="1:11" ht="54" customHeight="1">
      <c r="A17960" s="9" t="s">
        <v>36421</v>
      </c>
      <c r="B17960" s="9" t="s">
        <v>36421</v>
      </c>
      <c r="C17960" s="9" t="s">
        <v>17</v>
      </c>
      <c r="D17960" s="9" t="s">
        <v>18</v>
      </c>
      <c r="E17960" s="10" t="s">
        <v>339</v>
      </c>
      <c r="F17960" s="9" t="s">
        <v>340</v>
      </c>
      <c r="G17960" s="10" t="s">
        <v>86</v>
      </c>
      <c r="H17960" s="9" t="s">
        <v>22</v>
      </c>
      <c r="I17960" s="9" t="s">
        <v>36422</v>
      </c>
      <c r="J17960" s="10" t="str">
        <f>HYPERLINK("https://www.boe.es/gazeta/dias/1834/05/02/pdfs/GMD-1834-71.pdf#page=2","Abrir facsímil")</f>
        <v>Abrir facsímil</v>
      </c>
      <c r="K17960" s="10" t="s">
        <v>24</v>
      </c>
    </row>
    <row r="17961" spans="1:11" ht="54" customHeight="1">
      <c r="A17961" s="9" t="s">
        <v>36421</v>
      </c>
      <c r="B17961" s="9" t="s">
        <v>36421</v>
      </c>
      <c r="C17961" s="9" t="s">
        <v>66</v>
      </c>
      <c r="D17961" s="9" t="s">
        <v>67</v>
      </c>
      <c r="E17961" s="10" t="s">
        <v>1265</v>
      </c>
      <c r="F17961" s="9" t="s">
        <v>1266</v>
      </c>
      <c r="G17961" s="10" t="s">
        <v>75</v>
      </c>
      <c r="H17961" s="9" t="s">
        <v>22</v>
      </c>
      <c r="I17961" s="9" t="s">
        <v>36423</v>
      </c>
      <c r="J17961" s="10" t="str">
        <f>HYPERLINK("https://www.boe.es/gazeta/dias/1834/09/08/pdfs/GMD-1834-206.pdf#page=4","Abrir facsímil")</f>
        <v>Abrir facsímil</v>
      </c>
      <c r="K17961" s="10" t="s">
        <v>24</v>
      </c>
    </row>
    <row r="17962" spans="1:11" ht="54" customHeight="1">
      <c r="A17962" s="9" t="s">
        <v>36421</v>
      </c>
      <c r="B17962" s="9" t="s">
        <v>36421</v>
      </c>
      <c r="C17962" s="9" t="s">
        <v>17</v>
      </c>
      <c r="D17962" s="9" t="s">
        <v>18</v>
      </c>
      <c r="E17962" s="10" t="s">
        <v>1839</v>
      </c>
      <c r="F17962" s="9" t="s">
        <v>1840</v>
      </c>
      <c r="G17962" s="10" t="s">
        <v>34</v>
      </c>
      <c r="H17962" s="9" t="s">
        <v>22</v>
      </c>
      <c r="I17962" s="9" t="s">
        <v>36424</v>
      </c>
      <c r="J17962" s="10" t="str">
        <f>HYPERLINK("https://www.boe.es/gazeta/dias/1834/08/12/pdfs/GMD-C-1834-177.pdf#page=1","Abrir facsímil")</f>
        <v>Abrir facsímil</v>
      </c>
      <c r="K17962" s="10" t="s">
        <v>24</v>
      </c>
    </row>
    <row r="17963" spans="1:11" ht="54" customHeight="1">
      <c r="A17963" s="9" t="s">
        <v>36421</v>
      </c>
      <c r="B17963" s="9" t="s">
        <v>36421</v>
      </c>
      <c r="C17963" s="9" t="s">
        <v>17</v>
      </c>
      <c r="D17963" s="9" t="s">
        <v>40</v>
      </c>
      <c r="E17963" s="10" t="s">
        <v>3207</v>
      </c>
      <c r="F17963" s="9" t="s">
        <v>3208</v>
      </c>
      <c r="G17963" s="10" t="s">
        <v>75</v>
      </c>
      <c r="H17963" s="9" t="s">
        <v>22</v>
      </c>
      <c r="I17963" s="9" t="s">
        <v>36425</v>
      </c>
      <c r="J17963" s="10" t="str">
        <f>HYPERLINK("https://www.boe.es/gazeta/dias/1834/10/13/pdfs/GMD-1834-241.pdf#page=4","Abrir facsímil")</f>
        <v>Abrir facsímil</v>
      </c>
      <c r="K17963" s="10" t="s">
        <v>24</v>
      </c>
    </row>
    <row r="17964" spans="1:11" ht="54" customHeight="1">
      <c r="A17964" s="9" t="s">
        <v>36421</v>
      </c>
      <c r="B17964" s="9" t="s">
        <v>36421</v>
      </c>
      <c r="C17964" s="9" t="s">
        <v>17</v>
      </c>
      <c r="D17964" s="9" t="s">
        <v>18</v>
      </c>
      <c r="E17964" s="10" t="s">
        <v>518</v>
      </c>
      <c r="F17964" s="9" t="s">
        <v>519</v>
      </c>
      <c r="G17964" s="10" t="s">
        <v>21</v>
      </c>
      <c r="H17964" s="9" t="s">
        <v>22</v>
      </c>
      <c r="I17964" s="9" t="s">
        <v>36426</v>
      </c>
      <c r="J17964" s="10" t="str">
        <f>HYPERLINK("https://www.boe.es/gazeta/dias/1834/03/15/pdfs/GMD-1834-33.pdf#page=3","Abrir facsímil")</f>
        <v>Abrir facsímil</v>
      </c>
      <c r="K17964" s="10" t="s">
        <v>24</v>
      </c>
    </row>
    <row r="17965" spans="1:11" ht="54" customHeight="1">
      <c r="A17965" s="9" t="s">
        <v>36421</v>
      </c>
      <c r="B17965" s="9" t="s">
        <v>36421</v>
      </c>
      <c r="C17965" s="9" t="s">
        <v>17</v>
      </c>
      <c r="D17965" s="9" t="s">
        <v>18</v>
      </c>
      <c r="E17965" s="10" t="s">
        <v>672</v>
      </c>
      <c r="F17965" s="9" t="s">
        <v>1055</v>
      </c>
      <c r="G17965" s="10" t="s">
        <v>75</v>
      </c>
      <c r="H17965" s="9" t="s">
        <v>22</v>
      </c>
      <c r="I17965" s="9" t="s">
        <v>36427</v>
      </c>
      <c r="J17965" s="10" t="str">
        <f>HYPERLINK("https://www.boe.es/gazeta/dias/1834/09/19/pdfs/GMD-C-1834-217.pdf#page=4","Abrir facsímil")</f>
        <v>Abrir facsímil</v>
      </c>
      <c r="K17965" s="10" t="s">
        <v>24</v>
      </c>
    </row>
    <row r="17966" spans="1:11" ht="54" customHeight="1">
      <c r="A17966" s="9" t="s">
        <v>36421</v>
      </c>
      <c r="B17966" s="9" t="s">
        <v>36421</v>
      </c>
      <c r="C17966" s="9" t="s">
        <v>17</v>
      </c>
      <c r="D17966" s="9" t="s">
        <v>18</v>
      </c>
      <c r="E17966" s="10" t="s">
        <v>2153</v>
      </c>
      <c r="F17966" s="9" t="s">
        <v>2154</v>
      </c>
      <c r="G17966" s="10" t="s">
        <v>75</v>
      </c>
      <c r="H17966" s="9" t="s">
        <v>22</v>
      </c>
      <c r="I17966" s="9" t="s">
        <v>36428</v>
      </c>
      <c r="J17966" s="10" t="str">
        <f>HYPERLINK("https://www.boe.es/gazeta/dias/1834/01/23/pdfs/GMD-1834-11.pdf#page=4","Abrir facsímil")</f>
        <v>Abrir facsímil</v>
      </c>
      <c r="K17966" s="10" t="s">
        <v>24</v>
      </c>
    </row>
    <row r="17967" spans="1:11" ht="54" customHeight="1">
      <c r="A17967" s="9" t="s">
        <v>36421</v>
      </c>
      <c r="B17967" s="9" t="s">
        <v>36421</v>
      </c>
      <c r="C17967" s="9" t="s">
        <v>17</v>
      </c>
      <c r="D17967" s="9" t="s">
        <v>18</v>
      </c>
      <c r="E17967" s="10" t="s">
        <v>510</v>
      </c>
      <c r="F17967" s="9" t="s">
        <v>531</v>
      </c>
      <c r="G17967" s="10" t="s">
        <v>34</v>
      </c>
      <c r="H17967" s="9" t="s">
        <v>22</v>
      </c>
      <c r="I17967" s="9" t="s">
        <v>36429</v>
      </c>
      <c r="J17967" s="10" t="str">
        <f>HYPERLINK("https://www.boe.es/gazeta/dias/1834/11/26/pdfs/GMD-C-1834-285.pdf#page=1","Abrir facsímil")</f>
        <v>Abrir facsímil</v>
      </c>
      <c r="K17967" s="10" t="s">
        <v>24</v>
      </c>
    </row>
    <row r="17968" spans="1:11" ht="54" customHeight="1">
      <c r="A17968" s="9" t="s">
        <v>36421</v>
      </c>
      <c r="B17968" s="9" t="s">
        <v>36421</v>
      </c>
      <c r="C17968" s="9" t="s">
        <v>46</v>
      </c>
      <c r="D17968" s="9" t="s">
        <v>40</v>
      </c>
      <c r="E17968" s="10" t="s">
        <v>510</v>
      </c>
      <c r="F17968" s="9" t="s">
        <v>531</v>
      </c>
      <c r="G17968" s="10" t="s">
        <v>86</v>
      </c>
      <c r="H17968" s="9" t="s">
        <v>22</v>
      </c>
      <c r="I17968" s="9" t="s">
        <v>36430</v>
      </c>
      <c r="J17968" s="10" t="str">
        <f>HYPERLINK("https://www.boe.es/gazeta/dias/1834/11/26/pdfs/GMD-C-1834-285.pdf#page=2","Abrir facsímil")</f>
        <v>Abrir facsímil</v>
      </c>
      <c r="K17968" s="10" t="s">
        <v>24</v>
      </c>
    </row>
    <row r="17969" spans="1:11" ht="54" customHeight="1">
      <c r="A17969" s="9" t="s">
        <v>36421</v>
      </c>
      <c r="B17969" s="9" t="s">
        <v>36421</v>
      </c>
      <c r="C17969" s="9" t="s">
        <v>17</v>
      </c>
      <c r="D17969" s="9" t="s">
        <v>18</v>
      </c>
      <c r="E17969" s="10" t="s">
        <v>510</v>
      </c>
      <c r="F17969" s="9" t="s">
        <v>531</v>
      </c>
      <c r="G17969" s="10" t="s">
        <v>75</v>
      </c>
      <c r="H17969" s="9" t="s">
        <v>22</v>
      </c>
      <c r="I17969" s="9" t="s">
        <v>36431</v>
      </c>
      <c r="J17969" s="10" t="str">
        <f>HYPERLINK("https://www.boe.es/gazeta/dias/1834/11/26/pdfs/GMD-C-1834-285.pdf#page=4","Abrir facsímil")</f>
        <v>Abrir facsímil</v>
      </c>
      <c r="K17969" s="10" t="s">
        <v>24</v>
      </c>
    </row>
    <row r="17970" spans="1:11" ht="54" customHeight="1">
      <c r="A17970" s="9" t="s">
        <v>36421</v>
      </c>
      <c r="B17970" s="9" t="s">
        <v>36421</v>
      </c>
      <c r="C17970" s="9" t="s">
        <v>17</v>
      </c>
      <c r="D17970" s="9" t="s">
        <v>18</v>
      </c>
      <c r="E17970" s="10" t="s">
        <v>1686</v>
      </c>
      <c r="F17970" s="9" t="s">
        <v>1687</v>
      </c>
      <c r="G17970" s="10" t="s">
        <v>75</v>
      </c>
      <c r="H17970" s="9" t="s">
        <v>22</v>
      </c>
      <c r="I17970" s="9" t="s">
        <v>36432</v>
      </c>
      <c r="J17970" s="10" t="str">
        <f>HYPERLINK("https://www.boe.es/gazeta/dias/1834/07/27/pdfs/GMD-1834-160.pdf#page=4","Abrir facsímil")</f>
        <v>Abrir facsímil</v>
      </c>
      <c r="K17970" s="10" t="s">
        <v>24</v>
      </c>
    </row>
    <row r="17971" spans="1:11" ht="54" customHeight="1">
      <c r="A17971" s="9" t="s">
        <v>36421</v>
      </c>
      <c r="B17971" s="9" t="s">
        <v>36421</v>
      </c>
      <c r="C17971" s="9" t="s">
        <v>17</v>
      </c>
      <c r="D17971" s="9" t="s">
        <v>18</v>
      </c>
      <c r="E17971" s="10" t="s">
        <v>1689</v>
      </c>
      <c r="F17971" s="9" t="s">
        <v>1690</v>
      </c>
      <c r="G17971" s="10" t="s">
        <v>75</v>
      </c>
      <c r="H17971" s="9" t="s">
        <v>22</v>
      </c>
      <c r="I17971" s="9" t="s">
        <v>36433</v>
      </c>
      <c r="J17971" s="10" t="str">
        <f>HYPERLINK("https://www.boe.es/gazeta/dias/1834/07/28/pdfs/GMD-1834-161.pdf#page=4","Abrir facsímil")</f>
        <v>Abrir facsímil</v>
      </c>
      <c r="K17971" s="10" t="s">
        <v>24</v>
      </c>
    </row>
    <row r="17972" spans="1:11" ht="54" customHeight="1">
      <c r="A17972" s="9" t="s">
        <v>36434</v>
      </c>
      <c r="B17972" s="9" t="s">
        <v>36435</v>
      </c>
      <c r="C17972" s="9" t="s">
        <v>17</v>
      </c>
      <c r="D17972" s="9" t="s">
        <v>18</v>
      </c>
      <c r="E17972" s="10" t="s">
        <v>273</v>
      </c>
      <c r="F17972" s="9" t="s">
        <v>274</v>
      </c>
      <c r="G17972" s="10" t="s">
        <v>28</v>
      </c>
      <c r="H17972" s="9" t="s">
        <v>35</v>
      </c>
      <c r="I17972" s="9" t="s">
        <v>36436</v>
      </c>
      <c r="J17972" s="10" t="str">
        <f>HYPERLINK("https://www.boe.es/gazeta/dias/1834/08/31/pdfs/GMD-C-1834-198.pdf#page=5","Abrir facsímil")</f>
        <v>Abrir facsímil</v>
      </c>
      <c r="K17972" s="10" t="s">
        <v>37</v>
      </c>
    </row>
    <row r="17973" spans="1:11" ht="54" customHeight="1">
      <c r="A17973" s="9" t="s">
        <v>36437</v>
      </c>
      <c r="B17973" s="9" t="s">
        <v>36438</v>
      </c>
      <c r="C17973" s="9" t="s">
        <v>46</v>
      </c>
      <c r="D17973" s="9" t="s">
        <v>101</v>
      </c>
      <c r="E17973" s="10" t="s">
        <v>265</v>
      </c>
      <c r="F17973" s="9" t="s">
        <v>266</v>
      </c>
      <c r="G17973" s="10" t="s">
        <v>34</v>
      </c>
      <c r="H17973" s="9" t="s">
        <v>35</v>
      </c>
      <c r="I17973" s="9" t="s">
        <v>36439</v>
      </c>
      <c r="J17973" s="10" t="str">
        <f>HYPERLINK("https://www.boe.es/gazeta/dias/1834/11/19/pdfs/GMD-C-1834-278.pdf#page=1","Abrir facsímil")</f>
        <v>Abrir facsímil</v>
      </c>
      <c r="K17973" s="10" t="s">
        <v>37</v>
      </c>
    </row>
    <row r="17974" spans="1:11" ht="54" customHeight="1">
      <c r="A17974" s="9" t="s">
        <v>36440</v>
      </c>
      <c r="B17974" s="9" t="s">
        <v>36441</v>
      </c>
      <c r="C17974" s="9" t="s">
        <v>17</v>
      </c>
      <c r="D17974" s="9" t="s">
        <v>18</v>
      </c>
      <c r="E17974" s="10" t="s">
        <v>399</v>
      </c>
      <c r="F17974" s="9" t="s">
        <v>400</v>
      </c>
      <c r="G17974" s="10" t="s">
        <v>75</v>
      </c>
      <c r="H17974" s="9" t="s">
        <v>22</v>
      </c>
      <c r="I17974" s="9" t="s">
        <v>36442</v>
      </c>
      <c r="J17974" s="10" t="str">
        <f>HYPERLINK("https://www.boe.es/gazeta/dias/1834/07/08/pdfs/GMD-1834-141.pdf#page=4","Abrir facsímil")</f>
        <v>Abrir facsímil</v>
      </c>
      <c r="K17974" s="10" t="s">
        <v>24</v>
      </c>
    </row>
    <row r="17975" spans="1:11" ht="54" customHeight="1">
      <c r="A17975" s="9" t="s">
        <v>36443</v>
      </c>
      <c r="B17975" s="9" t="s">
        <v>36444</v>
      </c>
      <c r="C17975" s="9" t="s">
        <v>17</v>
      </c>
      <c r="D17975" s="9" t="s">
        <v>18</v>
      </c>
      <c r="E17975" s="10" t="s">
        <v>2950</v>
      </c>
      <c r="F17975" s="9" t="s">
        <v>2951</v>
      </c>
      <c r="G17975" s="10" t="s">
        <v>21</v>
      </c>
      <c r="H17975" s="9" t="s">
        <v>22</v>
      </c>
      <c r="I17975" s="9" t="s">
        <v>36445</v>
      </c>
      <c r="J17975" s="10" t="str">
        <f>HYPERLINK("https://www.boe.es/gazeta/dias/1834/05/20/pdfs/GMD-1834-89.pdf#page=3","Abrir facsímil")</f>
        <v>Abrir facsímil</v>
      </c>
      <c r="K17975" s="10" t="s">
        <v>24</v>
      </c>
    </row>
    <row r="17976" spans="1:11" ht="54" customHeight="1">
      <c r="A17976" s="9" t="s">
        <v>36446</v>
      </c>
      <c r="B17976" s="9" t="s">
        <v>36447</v>
      </c>
      <c r="C17976" s="9" t="s">
        <v>17</v>
      </c>
      <c r="D17976" s="9" t="s">
        <v>18</v>
      </c>
      <c r="E17976" s="10" t="s">
        <v>243</v>
      </c>
      <c r="F17976" s="9" t="s">
        <v>1109</v>
      </c>
      <c r="G17976" s="10" t="s">
        <v>75</v>
      </c>
      <c r="H17976" s="9" t="s">
        <v>22</v>
      </c>
      <c r="I17976" s="9" t="s">
        <v>36448</v>
      </c>
      <c r="J17976" s="10" t="str">
        <f>HYPERLINK("https://www.boe.es/gazeta/dias/1834/08/05/pdfs/GMD-1834-169.pdf#page=4","Abrir facsímil")</f>
        <v>Abrir facsímil</v>
      </c>
      <c r="K17976" s="10" t="s">
        <v>24</v>
      </c>
    </row>
    <row r="17977" spans="1:11" ht="54" customHeight="1">
      <c r="A17977" s="9" t="s">
        <v>36446</v>
      </c>
      <c r="B17977" s="9" t="s">
        <v>36447</v>
      </c>
      <c r="C17977" s="9" t="s">
        <v>17</v>
      </c>
      <c r="D17977" s="9" t="s">
        <v>18</v>
      </c>
      <c r="E17977" s="10" t="s">
        <v>844</v>
      </c>
      <c r="F17977" s="9" t="s">
        <v>845</v>
      </c>
      <c r="G17977" s="10" t="s">
        <v>21</v>
      </c>
      <c r="H17977" s="9" t="s">
        <v>22</v>
      </c>
      <c r="I17977" s="9" t="s">
        <v>36449</v>
      </c>
      <c r="J17977" s="10" t="str">
        <f>HYPERLINK("https://www.boe.es/gazeta/dias/1834/03/13/pdfs/GMD-1834-32.pdf#page=3","Abrir facsímil")</f>
        <v>Abrir facsímil</v>
      </c>
      <c r="K17977" s="10" t="s">
        <v>24</v>
      </c>
    </row>
    <row r="17978" spans="1:11" ht="54" customHeight="1">
      <c r="A17978" s="9" t="s">
        <v>36446</v>
      </c>
      <c r="B17978" s="9" t="s">
        <v>36447</v>
      </c>
      <c r="C17978" s="9" t="s">
        <v>17</v>
      </c>
      <c r="D17978" s="9" t="s">
        <v>18</v>
      </c>
      <c r="E17978" s="10" t="s">
        <v>518</v>
      </c>
      <c r="F17978" s="9" t="s">
        <v>519</v>
      </c>
      <c r="G17978" s="10" t="s">
        <v>21</v>
      </c>
      <c r="H17978" s="9" t="s">
        <v>22</v>
      </c>
      <c r="I17978" s="9" t="s">
        <v>36450</v>
      </c>
      <c r="J17978" s="10" t="str">
        <f>HYPERLINK("https://www.boe.es/gazeta/dias/1834/03/15/pdfs/GMD-1834-33.pdf#page=3","Abrir facsímil")</f>
        <v>Abrir facsímil</v>
      </c>
      <c r="K17978" s="10" t="s">
        <v>24</v>
      </c>
    </row>
    <row r="17979" spans="1:11" ht="54" customHeight="1">
      <c r="A17979" s="9" t="s">
        <v>36446</v>
      </c>
      <c r="B17979" s="9" t="s">
        <v>36447</v>
      </c>
      <c r="C17979" s="9" t="s">
        <v>17</v>
      </c>
      <c r="D17979" s="9" t="s">
        <v>18</v>
      </c>
      <c r="E17979" s="10" t="s">
        <v>5574</v>
      </c>
      <c r="F17979" s="9" t="s">
        <v>5575</v>
      </c>
      <c r="G17979" s="10" t="s">
        <v>21</v>
      </c>
      <c r="H17979" s="9" t="s">
        <v>22</v>
      </c>
      <c r="I17979" s="9" t="s">
        <v>36451</v>
      </c>
      <c r="J17979" s="10" t="str">
        <f>HYPERLINK("https://www.boe.es/gazeta/dias/1834/06/16/pdfs/GMD-1834-119.pdf#page=3","Abrir facsímil")</f>
        <v>Abrir facsímil</v>
      </c>
      <c r="K17979" s="10" t="s">
        <v>24</v>
      </c>
    </row>
    <row r="17980" spans="1:11" ht="54" customHeight="1">
      <c r="A17980" s="9" t="s">
        <v>36446</v>
      </c>
      <c r="B17980" s="9" t="s">
        <v>36447</v>
      </c>
      <c r="C17980" s="9" t="s">
        <v>17</v>
      </c>
      <c r="D17980" s="9" t="s">
        <v>18</v>
      </c>
      <c r="E17980" s="10" t="s">
        <v>615</v>
      </c>
      <c r="F17980" s="9" t="s">
        <v>616</v>
      </c>
      <c r="G17980" s="10" t="s">
        <v>75</v>
      </c>
      <c r="H17980" s="9" t="s">
        <v>22</v>
      </c>
      <c r="I17980" s="9" t="s">
        <v>36452</v>
      </c>
      <c r="J17980" s="10" t="str">
        <f>HYPERLINK("https://www.boe.es/gazeta/dias/1834/08/19/pdfs/GMD-1834-185.pdf#page=4","Abrir facsímil")</f>
        <v>Abrir facsímil</v>
      </c>
      <c r="K17980" s="10" t="s">
        <v>24</v>
      </c>
    </row>
    <row r="17981" spans="1:11" ht="54" customHeight="1">
      <c r="A17981" s="9" t="s">
        <v>36446</v>
      </c>
      <c r="B17981" s="9" t="s">
        <v>36447</v>
      </c>
      <c r="C17981" s="9" t="s">
        <v>66</v>
      </c>
      <c r="D17981" s="9" t="s">
        <v>101</v>
      </c>
      <c r="E17981" s="10" t="s">
        <v>1641</v>
      </c>
      <c r="F17981" s="9" t="s">
        <v>1729</v>
      </c>
      <c r="G17981" s="10" t="s">
        <v>34</v>
      </c>
      <c r="H17981" s="9" t="s">
        <v>22</v>
      </c>
      <c r="I17981" s="9" t="s">
        <v>36453</v>
      </c>
      <c r="J17981" s="10" t="str">
        <f>HYPERLINK("https://www.boe.es/gazeta/dias/1834/09/28/pdfs/GMD-1834-226.pdf#page=1","Abrir facsímil")</f>
        <v>Abrir facsímil</v>
      </c>
      <c r="K17981" s="10" t="s">
        <v>24</v>
      </c>
    </row>
    <row r="17982" spans="1:11" ht="54" customHeight="1">
      <c r="A17982" s="9" t="s">
        <v>36446</v>
      </c>
      <c r="B17982" s="9" t="s">
        <v>36447</v>
      </c>
      <c r="C17982" s="9" t="s">
        <v>17</v>
      </c>
      <c r="D17982" s="9" t="s">
        <v>18</v>
      </c>
      <c r="E17982" s="10" t="s">
        <v>273</v>
      </c>
      <c r="F17982" s="9" t="s">
        <v>274</v>
      </c>
      <c r="G17982" s="10" t="s">
        <v>28</v>
      </c>
      <c r="H17982" s="9" t="s">
        <v>22</v>
      </c>
      <c r="I17982" s="9" t="s">
        <v>36454</v>
      </c>
      <c r="J17982" s="10" t="str">
        <f>HYPERLINK("https://www.boe.es/gazeta/dias/1834/08/31/pdfs/GMD-C-1834-198.pdf#page=5","Abrir facsímil")</f>
        <v>Abrir facsímil</v>
      </c>
      <c r="K17982" s="10" t="s">
        <v>24</v>
      </c>
    </row>
    <row r="17983" spans="1:11" ht="54" customHeight="1">
      <c r="A17983" s="9" t="s">
        <v>36455</v>
      </c>
      <c r="B17983" s="9" t="s">
        <v>36456</v>
      </c>
      <c r="C17983" s="9" t="s">
        <v>857</v>
      </c>
      <c r="D17983" s="9" t="s">
        <v>40</v>
      </c>
      <c r="E17983" s="10" t="s">
        <v>899</v>
      </c>
      <c r="F17983" s="9" t="s">
        <v>900</v>
      </c>
      <c r="G17983" s="10" t="s">
        <v>470</v>
      </c>
      <c r="H17983" s="9" t="s">
        <v>22</v>
      </c>
      <c r="I17983" s="9" t="s">
        <v>36457</v>
      </c>
      <c r="J17983" s="10" t="str">
        <f>HYPERLINK("https://www.boe.es/gazeta/dias/1834/01/30/pdfs/GMD-1834-14.pdf#page=8","Abrir facsímil")</f>
        <v>Abrir facsímil</v>
      </c>
      <c r="K17983" s="10" t="s">
        <v>24</v>
      </c>
    </row>
    <row r="17984" spans="1:11" ht="54" customHeight="1">
      <c r="A17984" s="9" t="s">
        <v>36458</v>
      </c>
      <c r="B17984" s="9" t="s">
        <v>36459</v>
      </c>
      <c r="C17984" s="9" t="s">
        <v>17</v>
      </c>
      <c r="D17984" s="9" t="s">
        <v>101</v>
      </c>
      <c r="E17984" s="10" t="s">
        <v>258</v>
      </c>
      <c r="F17984" s="9" t="s">
        <v>1075</v>
      </c>
      <c r="G17984" s="10" t="s">
        <v>34</v>
      </c>
      <c r="H17984" s="9" t="s">
        <v>22</v>
      </c>
      <c r="I17984" s="9" t="s">
        <v>36460</v>
      </c>
      <c r="J17984" s="10" t="str">
        <f>HYPERLINK("https://www.boe.es/gazeta/dias/1834/10/09/pdfs/GMD-1834-237.pdf#page=1","Abrir facsímil")</f>
        <v>Abrir facsímil</v>
      </c>
      <c r="K17984" s="10" t="s">
        <v>24</v>
      </c>
    </row>
    <row r="17985" spans="1:11" ht="54" customHeight="1">
      <c r="A17985" s="9" t="s">
        <v>36458</v>
      </c>
      <c r="B17985" s="9" t="s">
        <v>36459</v>
      </c>
      <c r="C17985" s="9" t="s">
        <v>46</v>
      </c>
      <c r="D17985" s="9" t="s">
        <v>101</v>
      </c>
      <c r="E17985" s="10" t="s">
        <v>265</v>
      </c>
      <c r="F17985" s="9" t="s">
        <v>266</v>
      </c>
      <c r="G17985" s="10" t="s">
        <v>34</v>
      </c>
      <c r="H17985" s="9" t="s">
        <v>22</v>
      </c>
      <c r="I17985" s="9" t="s">
        <v>36461</v>
      </c>
      <c r="J17985" s="10" t="str">
        <f>HYPERLINK("https://www.boe.es/gazeta/dias/1834/11/19/pdfs/GMD-C-1834-278.pdf#page=1","Abrir facsímil")</f>
        <v>Abrir facsímil</v>
      </c>
      <c r="K17985" s="10" t="s">
        <v>24</v>
      </c>
    </row>
    <row r="17986" spans="1:11" ht="54" customHeight="1">
      <c r="A17986" s="9" t="s">
        <v>36462</v>
      </c>
      <c r="B17986" s="9" t="s">
        <v>36463</v>
      </c>
      <c r="C17986" s="9" t="s">
        <v>17</v>
      </c>
      <c r="D17986" s="9" t="s">
        <v>101</v>
      </c>
      <c r="E17986" s="10" t="s">
        <v>2398</v>
      </c>
      <c r="F17986" s="9" t="s">
        <v>2399</v>
      </c>
      <c r="G17986" s="10" t="s">
        <v>75</v>
      </c>
      <c r="H17986" s="9" t="s">
        <v>22</v>
      </c>
      <c r="I17986" s="9" t="s">
        <v>36464</v>
      </c>
      <c r="J17986" s="10" t="str">
        <f>HYPERLINK("https://www.boe.es/gazeta/dias/1834/01/16/pdfs/GMD-1834-8.pdf#page=4","Abrir facsímil")</f>
        <v>Abrir facsímil</v>
      </c>
      <c r="K17986" s="10" t="s">
        <v>24</v>
      </c>
    </row>
    <row r="17987" spans="1:11" ht="54" customHeight="1">
      <c r="A17987" s="9" t="s">
        <v>36465</v>
      </c>
      <c r="B17987" s="9" t="s">
        <v>36466</v>
      </c>
      <c r="C17987" s="9" t="s">
        <v>17</v>
      </c>
      <c r="D17987" s="9" t="s">
        <v>40</v>
      </c>
      <c r="E17987" s="10" t="s">
        <v>552</v>
      </c>
      <c r="F17987" s="9" t="s">
        <v>553</v>
      </c>
      <c r="G17987" s="10" t="s">
        <v>75</v>
      </c>
      <c r="H17987" s="9" t="s">
        <v>22</v>
      </c>
      <c r="I17987" s="9" t="s">
        <v>36467</v>
      </c>
      <c r="J17987" s="10" t="str">
        <f>HYPERLINK("https://www.boe.es/gazeta/dias/1834/07/30/pdfs/GMD-1834-163.pdf#page=4","Abrir facsímil")</f>
        <v>Abrir facsímil</v>
      </c>
      <c r="K17987" s="10" t="s">
        <v>24</v>
      </c>
    </row>
    <row r="17988" spans="1:11" ht="54" customHeight="1">
      <c r="A17988" s="9" t="s">
        <v>36468</v>
      </c>
      <c r="B17988" s="9" t="s">
        <v>36469</v>
      </c>
      <c r="C17988" s="9" t="s">
        <v>17</v>
      </c>
      <c r="D17988" s="9" t="s">
        <v>18</v>
      </c>
      <c r="E17988" s="10" t="s">
        <v>492</v>
      </c>
      <c r="F17988" s="9" t="s">
        <v>1672</v>
      </c>
      <c r="G17988" s="10" t="s">
        <v>75</v>
      </c>
      <c r="H17988" s="9" t="s">
        <v>22</v>
      </c>
      <c r="I17988" s="9" t="s">
        <v>36470</v>
      </c>
      <c r="J17988" s="10" t="str">
        <f>HYPERLINK("https://www.boe.es/gazeta/dias/1834/11/21/pdfs/GMD-1834-280.pdf#page=4","Abrir facsímil")</f>
        <v>Abrir facsímil</v>
      </c>
      <c r="K17988" s="10" t="s">
        <v>24</v>
      </c>
    </row>
    <row r="17989" spans="1:11" ht="54" customHeight="1">
      <c r="A17989" s="9" t="s">
        <v>36471</v>
      </c>
      <c r="B17989" s="9" t="s">
        <v>36472</v>
      </c>
      <c r="C17989" s="9" t="s">
        <v>66</v>
      </c>
      <c r="D17989" s="9" t="s">
        <v>67</v>
      </c>
      <c r="E17989" s="10" t="s">
        <v>3083</v>
      </c>
      <c r="F17989" s="9" t="s">
        <v>3084</v>
      </c>
      <c r="G17989" s="10" t="s">
        <v>21</v>
      </c>
      <c r="H17989" s="9" t="s">
        <v>22</v>
      </c>
      <c r="I17989" s="9" t="s">
        <v>36473</v>
      </c>
      <c r="J17989" s="10" t="str">
        <f>HYPERLINK("https://www.boe.es/gazeta/dias/1834/10/30/pdfs/GMD-1834-258.pdf#page=3","Abrir facsímil")</f>
        <v>Abrir facsímil</v>
      </c>
      <c r="K17989" s="10" t="s">
        <v>24</v>
      </c>
    </row>
    <row r="17990" spans="1:11" ht="54" customHeight="1">
      <c r="A17990" s="9" t="s">
        <v>36474</v>
      </c>
      <c r="B17990" s="9" t="s">
        <v>36475</v>
      </c>
      <c r="C17990" s="9" t="s">
        <v>66</v>
      </c>
      <c r="D17990" s="9" t="s">
        <v>67</v>
      </c>
      <c r="E17990" s="10" t="s">
        <v>378</v>
      </c>
      <c r="F17990" s="9" t="s">
        <v>379</v>
      </c>
      <c r="G17990" s="10" t="s">
        <v>75</v>
      </c>
      <c r="H17990" s="9" t="s">
        <v>35</v>
      </c>
      <c r="I17990" s="9" t="s">
        <v>36476</v>
      </c>
      <c r="J17990" s="10" t="str">
        <f>HYPERLINK("https://www.boe.es/gazeta/dias/1834/09/24/pdfs/GMD-1834-222.pdf#page=4","Abrir facsímil")</f>
        <v>Abrir facsímil</v>
      </c>
      <c r="K17990" s="10" t="s">
        <v>37</v>
      </c>
    </row>
    <row r="17991" spans="1:11" ht="54" customHeight="1">
      <c r="A17991" s="9" t="s">
        <v>36477</v>
      </c>
      <c r="B17991" s="9" t="s">
        <v>36478</v>
      </c>
      <c r="C17991" s="9" t="s">
        <v>66</v>
      </c>
      <c r="D17991" s="9" t="s">
        <v>67</v>
      </c>
      <c r="E17991" s="10" t="s">
        <v>378</v>
      </c>
      <c r="F17991" s="9" t="s">
        <v>379</v>
      </c>
      <c r="G17991" s="10" t="s">
        <v>75</v>
      </c>
      <c r="H17991" s="9" t="s">
        <v>22</v>
      </c>
      <c r="I17991" s="9" t="s">
        <v>36479</v>
      </c>
      <c r="J17991" s="10" t="str">
        <f>HYPERLINK("https://www.boe.es/gazeta/dias/1834/09/24/pdfs/GMD-1834-222.pdf#page=4","Abrir facsímil")</f>
        <v>Abrir facsímil</v>
      </c>
      <c r="K17991" s="10" t="s">
        <v>24</v>
      </c>
    </row>
    <row r="17992" spans="1:11" ht="54" customHeight="1">
      <c r="A17992" s="9" t="s">
        <v>36477</v>
      </c>
      <c r="B17992" s="9" t="s">
        <v>36478</v>
      </c>
      <c r="C17992" s="9" t="s">
        <v>66</v>
      </c>
      <c r="D17992" s="9" t="s">
        <v>67</v>
      </c>
      <c r="E17992" s="10" t="s">
        <v>3083</v>
      </c>
      <c r="F17992" s="9" t="s">
        <v>3084</v>
      </c>
      <c r="G17992" s="10" t="s">
        <v>21</v>
      </c>
      <c r="H17992" s="9" t="s">
        <v>22</v>
      </c>
      <c r="I17992" s="9" t="s">
        <v>36480</v>
      </c>
      <c r="J17992" s="10" t="str">
        <f>HYPERLINK("https://www.boe.es/gazeta/dias/1834/10/30/pdfs/GMD-1834-258.pdf#page=3","Abrir facsímil")</f>
        <v>Abrir facsímil</v>
      </c>
      <c r="K17992" s="10" t="s">
        <v>24</v>
      </c>
    </row>
    <row r="17993" spans="1:11" ht="54" customHeight="1">
      <c r="A17993" s="9" t="s">
        <v>36481</v>
      </c>
      <c r="B17993" s="9" t="s">
        <v>36482</v>
      </c>
      <c r="C17993" s="9" t="s">
        <v>17</v>
      </c>
      <c r="D17993" s="9" t="s">
        <v>18</v>
      </c>
      <c r="E17993" s="10" t="s">
        <v>128</v>
      </c>
      <c r="F17993" s="9" t="s">
        <v>1068</v>
      </c>
      <c r="G17993" s="10" t="s">
        <v>75</v>
      </c>
      <c r="H17993" s="9" t="s">
        <v>22</v>
      </c>
      <c r="I17993" s="9" t="s">
        <v>36483</v>
      </c>
      <c r="J17993" s="10" t="str">
        <f>HYPERLINK("https://www.boe.es/gazeta/dias/1834/12/24/pdfs/GMD-1834-314.pdf#page=4","Abrir facsímil")</f>
        <v>Abrir facsímil</v>
      </c>
      <c r="K17993" s="10" t="s">
        <v>24</v>
      </c>
    </row>
    <row r="17994" spans="1:11" ht="54" customHeight="1">
      <c r="A17994" s="9" t="s">
        <v>36484</v>
      </c>
      <c r="B17994" s="9" t="s">
        <v>36484</v>
      </c>
      <c r="C17994" s="9" t="s">
        <v>90</v>
      </c>
      <c r="D17994" s="9" t="s">
        <v>67</v>
      </c>
      <c r="E17994" s="10" t="s">
        <v>492</v>
      </c>
      <c r="F17994" s="9" t="s">
        <v>493</v>
      </c>
      <c r="G17994" s="10" t="s">
        <v>34</v>
      </c>
      <c r="H17994" s="9" t="s">
        <v>22</v>
      </c>
      <c r="I17994" s="9" t="s">
        <v>36485</v>
      </c>
      <c r="J17994" s="10" t="str">
        <f>HYPERLINK("https://www.boe.es/gazeta/dias/1834/11/21/pdfs/GMD-C-1834-280.pdf#page=1","Abrir facsímil")</f>
        <v>Abrir facsímil</v>
      </c>
      <c r="K17994" s="10" t="s">
        <v>24</v>
      </c>
    </row>
    <row r="17995" spans="1:11" ht="54" customHeight="1">
      <c r="A17995" s="9" t="s">
        <v>36486</v>
      </c>
      <c r="B17995" s="9" t="s">
        <v>36487</v>
      </c>
      <c r="C17995" s="9" t="s">
        <v>17</v>
      </c>
      <c r="D17995" s="9" t="s">
        <v>18</v>
      </c>
      <c r="E17995" s="10" t="s">
        <v>1692</v>
      </c>
      <c r="F17995" s="9" t="s">
        <v>1693</v>
      </c>
      <c r="G17995" s="10" t="s">
        <v>34</v>
      </c>
      <c r="H17995" s="9" t="s">
        <v>22</v>
      </c>
      <c r="I17995" s="9" t="s">
        <v>36488</v>
      </c>
      <c r="J17995" s="10" t="str">
        <f>HYPERLINK("https://www.boe.es/gazeta/dias/1834/07/29/pdfs/GMD-1834-162.pdf#page=1","Abrir facsímil")</f>
        <v>Abrir facsímil</v>
      </c>
      <c r="K17995" s="10" t="s">
        <v>24</v>
      </c>
    </row>
    <row r="17996" spans="1:11" ht="54" customHeight="1">
      <c r="A17996" s="9" t="s">
        <v>36489</v>
      </c>
      <c r="B17996" s="9" t="s">
        <v>36489</v>
      </c>
      <c r="C17996" s="9" t="s">
        <v>17</v>
      </c>
      <c r="D17996" s="9" t="s">
        <v>18</v>
      </c>
      <c r="E17996" s="10" t="s">
        <v>4237</v>
      </c>
      <c r="F17996" s="9" t="s">
        <v>4238</v>
      </c>
      <c r="G17996" s="10" t="s">
        <v>86</v>
      </c>
      <c r="H17996" s="9" t="s">
        <v>22</v>
      </c>
      <c r="I17996" s="9" t="s">
        <v>36490</v>
      </c>
      <c r="J17996" s="10" t="str">
        <f>HYPERLINK("https://www.boe.es/gazeta/dias/1834/06/17/pdfs/GMD-1834-120.pdf#page=2","Abrir facsímil")</f>
        <v>Abrir facsímil</v>
      </c>
      <c r="K17996" s="10" t="s">
        <v>24</v>
      </c>
    </row>
    <row r="17997" spans="1:11" ht="54" customHeight="1">
      <c r="A17997" s="9" t="s">
        <v>36491</v>
      </c>
      <c r="B17997" s="9" t="s">
        <v>36491</v>
      </c>
      <c r="C17997" s="9" t="s">
        <v>17</v>
      </c>
      <c r="D17997" s="9" t="s">
        <v>18</v>
      </c>
      <c r="E17997" s="10" t="s">
        <v>5904</v>
      </c>
      <c r="F17997" s="9" t="s">
        <v>5905</v>
      </c>
      <c r="G17997" s="10" t="s">
        <v>21</v>
      </c>
      <c r="H17997" s="9" t="s">
        <v>22</v>
      </c>
      <c r="I17997" s="9" t="s">
        <v>36492</v>
      </c>
      <c r="J17997" s="10" t="str">
        <f>HYPERLINK("https://www.boe.es/gazeta/dias/1834/09/29/pdfs/GMD-1834-227.pdf#page=3","Abrir facsímil")</f>
        <v>Abrir facsímil</v>
      </c>
      <c r="K17997" s="10" t="s">
        <v>24</v>
      </c>
    </row>
    <row r="17998" spans="1:11" ht="54" customHeight="1">
      <c r="A17998" s="9" t="s">
        <v>36493</v>
      </c>
      <c r="B17998" s="9" t="s">
        <v>36494</v>
      </c>
      <c r="C17998" s="9" t="s">
        <v>17</v>
      </c>
      <c r="D17998" s="9" t="s">
        <v>55</v>
      </c>
      <c r="E17998" s="10" t="s">
        <v>2098</v>
      </c>
      <c r="F17998" s="9" t="s">
        <v>5817</v>
      </c>
      <c r="G17998" s="10" t="s">
        <v>34</v>
      </c>
      <c r="H17998" s="9" t="s">
        <v>35</v>
      </c>
      <c r="I17998" s="9" t="s">
        <v>36495</v>
      </c>
      <c r="J17998" s="10" t="str">
        <f>HYPERLINK("https://www.boe.es/gazeta/dias/1834/08/11/pdfs/GMD-C-1834-176.pdf#page=1","Abrir facsímil")</f>
        <v>Abrir facsímil</v>
      </c>
      <c r="K17998" s="10" t="s">
        <v>37</v>
      </c>
    </row>
    <row r="17999" spans="1:11" ht="54" customHeight="1">
      <c r="A17999" s="9" t="s">
        <v>36496</v>
      </c>
      <c r="B17999" s="9" t="s">
        <v>36497</v>
      </c>
      <c r="C17999" s="9" t="s">
        <v>66</v>
      </c>
      <c r="D17999" s="9" t="s">
        <v>18</v>
      </c>
      <c r="E17999" s="10" t="s">
        <v>2287</v>
      </c>
      <c r="F17999" s="9" t="s">
        <v>4741</v>
      </c>
      <c r="G17999" s="10" t="s">
        <v>21</v>
      </c>
      <c r="H17999" s="9" t="s">
        <v>22</v>
      </c>
      <c r="I17999" s="9" t="s">
        <v>36498</v>
      </c>
      <c r="J17999" s="10" t="str">
        <f>HYPERLINK("https://www.boe.es/gazeta/dias/1834/12/18/pdfs/GMD-1834-308.pdf#page=3","Abrir facsímil")</f>
        <v>Abrir facsímil</v>
      </c>
      <c r="K17999" s="10" t="s">
        <v>24</v>
      </c>
    </row>
    <row r="18000" spans="1:11" ht="54" customHeight="1">
      <c r="A18000" s="9" t="s">
        <v>36499</v>
      </c>
      <c r="B18000" s="9" t="s">
        <v>36499</v>
      </c>
      <c r="C18000" s="9" t="s">
        <v>66</v>
      </c>
      <c r="D18000" s="9" t="s">
        <v>67</v>
      </c>
      <c r="E18000" s="10" t="s">
        <v>128</v>
      </c>
      <c r="F18000" s="9" t="s">
        <v>1068</v>
      </c>
      <c r="G18000" s="10" t="s">
        <v>75</v>
      </c>
      <c r="H18000" s="9" t="s">
        <v>22</v>
      </c>
      <c r="I18000" s="9" t="s">
        <v>36500</v>
      </c>
      <c r="J18000" s="10" t="str">
        <f>HYPERLINK("https://www.boe.es/gazeta/dias/1834/12/24/pdfs/GMD-1834-314.pdf#page=4","Abrir facsímil")</f>
        <v>Abrir facsímil</v>
      </c>
      <c r="K18000" s="10" t="s">
        <v>24</v>
      </c>
    </row>
    <row r="18001" spans="1:11" ht="54" customHeight="1">
      <c r="A18001" s="9" t="s">
        <v>36501</v>
      </c>
      <c r="B18001" s="9" t="s">
        <v>36502</v>
      </c>
      <c r="C18001" s="9" t="s">
        <v>17</v>
      </c>
      <c r="D18001" s="9" t="s">
        <v>18</v>
      </c>
      <c r="E18001" s="10" t="s">
        <v>2287</v>
      </c>
      <c r="F18001" s="9" t="s">
        <v>4741</v>
      </c>
      <c r="G18001" s="10" t="s">
        <v>75</v>
      </c>
      <c r="H18001" s="9" t="s">
        <v>22</v>
      </c>
      <c r="I18001" s="9" t="s">
        <v>36503</v>
      </c>
      <c r="J18001" s="10" t="str">
        <f>HYPERLINK("https://www.boe.es/gazeta/dias/1834/12/18/pdfs/GMD-1834-308.pdf#page=4","Abrir facsímil")</f>
        <v>Abrir facsímil</v>
      </c>
      <c r="K18001" s="10" t="s">
        <v>24</v>
      </c>
    </row>
    <row r="18002" spans="1:11" ht="54" customHeight="1">
      <c r="A18002" s="9" t="s">
        <v>36504</v>
      </c>
      <c r="B18002" s="9" t="s">
        <v>36505</v>
      </c>
      <c r="C18002" s="9" t="s">
        <v>17</v>
      </c>
      <c r="D18002" s="9" t="s">
        <v>18</v>
      </c>
      <c r="E18002" s="10" t="s">
        <v>2287</v>
      </c>
      <c r="F18002" s="9" t="s">
        <v>4741</v>
      </c>
      <c r="G18002" s="10" t="s">
        <v>75</v>
      </c>
      <c r="H18002" s="9" t="s">
        <v>35</v>
      </c>
      <c r="I18002" s="9" t="s">
        <v>36506</v>
      </c>
      <c r="J18002" s="10" t="str">
        <f>HYPERLINK("https://www.boe.es/gazeta/dias/1834/12/18/pdfs/GMD-1834-308.pdf#page=4","Abrir facsímil")</f>
        <v>Abrir facsímil</v>
      </c>
      <c r="K18002" s="10" t="s">
        <v>37</v>
      </c>
    </row>
    <row r="18003" spans="1:11" ht="54" customHeight="1">
      <c r="A18003" s="9" t="s">
        <v>36507</v>
      </c>
      <c r="B18003" s="9" t="s">
        <v>36508</v>
      </c>
      <c r="C18003" s="9" t="s">
        <v>66</v>
      </c>
      <c r="D18003" s="9" t="s">
        <v>67</v>
      </c>
      <c r="E18003" s="10" t="s">
        <v>283</v>
      </c>
      <c r="F18003" s="9" t="s">
        <v>2969</v>
      </c>
      <c r="G18003" s="10" t="s">
        <v>75</v>
      </c>
      <c r="H18003" s="9" t="s">
        <v>22</v>
      </c>
      <c r="I18003" s="9" t="s">
        <v>36509</v>
      </c>
      <c r="J18003" s="10" t="str">
        <f>HYPERLINK("https://www.boe.es/gazeta/dias/1834/11/29/pdfs/GMD-1834-288.pdf#page=4","Abrir facsímil")</f>
        <v>Abrir facsímil</v>
      </c>
      <c r="K18003" s="10" t="s">
        <v>24</v>
      </c>
    </row>
    <row r="18004" spans="1:11" ht="54" customHeight="1">
      <c r="A18004" s="9" t="s">
        <v>36510</v>
      </c>
      <c r="B18004" s="9" t="s">
        <v>36511</v>
      </c>
      <c r="C18004" s="9" t="s">
        <v>66</v>
      </c>
      <c r="D18004" s="9" t="s">
        <v>67</v>
      </c>
      <c r="E18004" s="10" t="s">
        <v>138</v>
      </c>
      <c r="F18004" s="9" t="s">
        <v>139</v>
      </c>
      <c r="G18004" s="10" t="s">
        <v>21</v>
      </c>
      <c r="H18004" s="9" t="s">
        <v>22</v>
      </c>
      <c r="I18004" s="9" t="s">
        <v>36512</v>
      </c>
      <c r="J18004" s="10" t="str">
        <f>HYPERLINK("https://www.boe.es/gazeta/dias/1834/05/17/pdfs/GMD-1834-86.pdf#page=3","Abrir facsímil")</f>
        <v>Abrir facsímil</v>
      </c>
      <c r="K18004" s="10" t="s">
        <v>24</v>
      </c>
    </row>
    <row r="18005" spans="1:11" ht="54" customHeight="1">
      <c r="A18005" s="9" t="s">
        <v>36513</v>
      </c>
      <c r="B18005" s="9" t="s">
        <v>36514</v>
      </c>
      <c r="C18005" s="9" t="s">
        <v>46</v>
      </c>
      <c r="D18005" s="9" t="s">
        <v>18</v>
      </c>
      <c r="E18005" s="10" t="s">
        <v>1025</v>
      </c>
      <c r="F18005" s="9" t="s">
        <v>1026</v>
      </c>
      <c r="G18005" s="10" t="s">
        <v>21</v>
      </c>
      <c r="H18005" s="9" t="s">
        <v>35</v>
      </c>
      <c r="I18005" s="9" t="s">
        <v>36515</v>
      </c>
      <c r="J18005" s="10" t="str">
        <f>HYPERLINK("https://www.boe.es/gazeta/dias/1834/03/01/pdfs/GMD-1834-27.pdf#page=3","Abrir facsímil")</f>
        <v>Abrir facsímil</v>
      </c>
      <c r="K18005" s="10" t="s">
        <v>37</v>
      </c>
    </row>
    <row r="18006" spans="1:11" ht="54" customHeight="1">
      <c r="A18006" s="9" t="s">
        <v>36516</v>
      </c>
      <c r="B18006" s="9" t="s">
        <v>36517</v>
      </c>
      <c r="C18006" s="9" t="s">
        <v>46</v>
      </c>
      <c r="D18006" s="9" t="s">
        <v>18</v>
      </c>
      <c r="E18006" s="10" t="s">
        <v>1025</v>
      </c>
      <c r="F18006" s="9" t="s">
        <v>1026</v>
      </c>
      <c r="G18006" s="10" t="s">
        <v>21</v>
      </c>
      <c r="H18006" s="9" t="s">
        <v>22</v>
      </c>
      <c r="I18006" s="9" t="s">
        <v>36518</v>
      </c>
      <c r="J18006" s="10" t="str">
        <f>HYPERLINK("https://www.boe.es/gazeta/dias/1834/03/01/pdfs/GMD-1834-27.pdf#page=3","Abrir facsímil")</f>
        <v>Abrir facsímil</v>
      </c>
      <c r="K18006" s="10" t="s">
        <v>24</v>
      </c>
    </row>
    <row r="18007" spans="1:11" ht="54" customHeight="1">
      <c r="A18007" s="9" t="s">
        <v>36519</v>
      </c>
      <c r="B18007" s="9" t="s">
        <v>36520</v>
      </c>
      <c r="C18007" s="9" t="s">
        <v>17</v>
      </c>
      <c r="D18007" s="9" t="s">
        <v>18</v>
      </c>
      <c r="E18007" s="10" t="s">
        <v>222</v>
      </c>
      <c r="F18007" s="9" t="s">
        <v>223</v>
      </c>
      <c r="G18007" s="10" t="s">
        <v>21</v>
      </c>
      <c r="H18007" s="9" t="s">
        <v>22</v>
      </c>
      <c r="I18007" s="9" t="s">
        <v>36521</v>
      </c>
      <c r="J18007" s="10" t="str">
        <f>HYPERLINK("https://www.boe.es/gazeta/dias/1834/09/14/pdfs/GMD-1834-212.pdf#page=3","Abrir facsímil")</f>
        <v>Abrir facsímil</v>
      </c>
      <c r="K18007" s="10" t="s">
        <v>24</v>
      </c>
    </row>
    <row r="18008" spans="1:11" ht="54" customHeight="1">
      <c r="A18008" s="9" t="s">
        <v>36522</v>
      </c>
      <c r="B18008" s="9" t="s">
        <v>36523</v>
      </c>
      <c r="C18008" s="9" t="s">
        <v>17</v>
      </c>
      <c r="D18008" s="9" t="s">
        <v>18</v>
      </c>
      <c r="E18008" s="10" t="s">
        <v>4736</v>
      </c>
      <c r="F18008" s="9" t="s">
        <v>4737</v>
      </c>
      <c r="G18008" s="10" t="s">
        <v>21</v>
      </c>
      <c r="H18008" s="9" t="s">
        <v>22</v>
      </c>
      <c r="I18008" s="9" t="s">
        <v>36524</v>
      </c>
      <c r="J18008" s="10" t="str">
        <f>HYPERLINK("https://www.boe.es/gazeta/dias/1834/09/16/pdfs/GMD-1834-214.pdf#page=3","Abrir facsímil")</f>
        <v>Abrir facsímil</v>
      </c>
      <c r="K18008" s="10" t="s">
        <v>24</v>
      </c>
    </row>
    <row r="18009" spans="1:11" ht="54" customHeight="1">
      <c r="A18009" s="9" t="s">
        <v>36525</v>
      </c>
      <c r="B18009" s="9" t="s">
        <v>36526</v>
      </c>
      <c r="C18009" s="9" t="s">
        <v>17</v>
      </c>
      <c r="D18009" s="9" t="s">
        <v>18</v>
      </c>
      <c r="E18009" s="10" t="s">
        <v>433</v>
      </c>
      <c r="F18009" s="9" t="s">
        <v>2773</v>
      </c>
      <c r="G18009" s="10" t="s">
        <v>34</v>
      </c>
      <c r="H18009" s="9" t="s">
        <v>22</v>
      </c>
      <c r="I18009" s="9" t="s">
        <v>36527</v>
      </c>
      <c r="J18009" s="10" t="str">
        <f>HYPERLINK("https://www.boe.es/gazeta/dias/1834/10/07/pdfs/I00986-00987.pdf#page=1","Abrir facsímil")</f>
        <v>Abrir facsímil</v>
      </c>
      <c r="K18009" s="10" t="s">
        <v>24</v>
      </c>
    </row>
    <row r="18010" spans="1:11" ht="54" customHeight="1">
      <c r="A18010" s="9" t="s">
        <v>36525</v>
      </c>
      <c r="B18010" s="9" t="s">
        <v>36526</v>
      </c>
      <c r="C18010" s="9" t="s">
        <v>17</v>
      </c>
      <c r="D18010" s="9" t="s">
        <v>18</v>
      </c>
      <c r="E18010" s="10" t="s">
        <v>433</v>
      </c>
      <c r="F18010" s="9" t="s">
        <v>2773</v>
      </c>
      <c r="G18010" s="10" t="s">
        <v>86</v>
      </c>
      <c r="H18010" s="9" t="s">
        <v>22</v>
      </c>
      <c r="I18010" s="9" t="s">
        <v>36527</v>
      </c>
      <c r="J18010" s="10" t="str">
        <f>HYPERLINK("https://www.boe.es/gazeta/dias/1834/10/07/pdfs/GMD-1834-235.pdf#page=2","Abrir facsímil")</f>
        <v>Abrir facsímil</v>
      </c>
      <c r="K18010" s="10" t="s">
        <v>24</v>
      </c>
    </row>
    <row r="18011" spans="1:11" ht="54" customHeight="1">
      <c r="A18011" s="9" t="s">
        <v>36528</v>
      </c>
      <c r="B18011" s="9" t="s">
        <v>36529</v>
      </c>
      <c r="C18011" s="9" t="s">
        <v>90</v>
      </c>
      <c r="D18011" s="9" t="s">
        <v>18</v>
      </c>
      <c r="E18011" s="10" t="s">
        <v>56</v>
      </c>
      <c r="F18011" s="9" t="s">
        <v>57</v>
      </c>
      <c r="G18011" s="10" t="s">
        <v>75</v>
      </c>
      <c r="H18011" s="9" t="s">
        <v>35</v>
      </c>
      <c r="I18011" s="9" t="s">
        <v>36530</v>
      </c>
      <c r="J18011" s="10" t="str">
        <f>HYPERLINK("https://www.boe.es/gazeta/dias/1834/07/09/pdfs/GMD-1834-142.pdf#page=4","Abrir facsímil")</f>
        <v>Abrir facsímil</v>
      </c>
      <c r="K18011" s="10" t="s">
        <v>37</v>
      </c>
    </row>
    <row r="18012" spans="1:11" ht="54" customHeight="1">
      <c r="A18012" s="9" t="s">
        <v>36531</v>
      </c>
      <c r="B18012" s="9" t="s">
        <v>36532</v>
      </c>
      <c r="C18012" s="9" t="s">
        <v>17</v>
      </c>
      <c r="D18012" s="9" t="s">
        <v>18</v>
      </c>
      <c r="E18012" s="10" t="s">
        <v>19</v>
      </c>
      <c r="F18012" s="9" t="s">
        <v>20</v>
      </c>
      <c r="G18012" s="10" t="s">
        <v>86</v>
      </c>
      <c r="H18012" s="9" t="s">
        <v>22</v>
      </c>
      <c r="I18012" s="9" t="s">
        <v>36533</v>
      </c>
      <c r="J18012" s="10" t="str">
        <f>HYPERLINK("https://www.boe.es/gazeta/dias/1834/08/17/pdfs/GMD-C-1834-182.pdf#page=2","Abrir facsímil")</f>
        <v>Abrir facsímil</v>
      </c>
      <c r="K18012" s="10" t="s">
        <v>24</v>
      </c>
    </row>
    <row r="18013" spans="1:11" ht="54" customHeight="1">
      <c r="A18013" s="9" t="s">
        <v>36534</v>
      </c>
      <c r="B18013" s="9" t="s">
        <v>36535</v>
      </c>
      <c r="C18013" s="9" t="s">
        <v>90</v>
      </c>
      <c r="D18013" s="9" t="s">
        <v>18</v>
      </c>
      <c r="E18013" s="10" t="s">
        <v>56</v>
      </c>
      <c r="F18013" s="9" t="s">
        <v>57</v>
      </c>
      <c r="G18013" s="10" t="s">
        <v>75</v>
      </c>
      <c r="H18013" s="9" t="s">
        <v>22</v>
      </c>
      <c r="I18013" s="9" t="s">
        <v>36536</v>
      </c>
      <c r="J18013" s="10" t="str">
        <f>HYPERLINK("https://www.boe.es/gazeta/dias/1834/07/09/pdfs/GMD-1834-142.pdf#page=4","Abrir facsímil")</f>
        <v>Abrir facsímil</v>
      </c>
      <c r="K18013" s="10" t="s">
        <v>24</v>
      </c>
    </row>
    <row r="18014" spans="1:11" ht="54" customHeight="1">
      <c r="A18014" s="9" t="s">
        <v>36537</v>
      </c>
      <c r="B18014" s="9" t="s">
        <v>36538</v>
      </c>
      <c r="C18014" s="9" t="s">
        <v>90</v>
      </c>
      <c r="D18014" s="9" t="s">
        <v>18</v>
      </c>
      <c r="E18014" s="10" t="s">
        <v>905</v>
      </c>
      <c r="F18014" s="9" t="s">
        <v>906</v>
      </c>
      <c r="G18014" s="10" t="s">
        <v>34</v>
      </c>
      <c r="H18014" s="9" t="s">
        <v>22</v>
      </c>
      <c r="I18014" s="9" t="s">
        <v>36539</v>
      </c>
      <c r="J18014" s="10" t="str">
        <f>HYPERLINK("https://www.boe.es/gazeta/dias/1834/08/02/pdfs/GMD-C-1834-166.pdf#page=1","Abrir facsímil")</f>
        <v>Abrir facsímil</v>
      </c>
      <c r="K18014" s="10" t="s">
        <v>24</v>
      </c>
    </row>
    <row r="18015" spans="1:11" ht="54" customHeight="1">
      <c r="A18015" s="9" t="s">
        <v>36540</v>
      </c>
      <c r="B18015" s="9" t="s">
        <v>36540</v>
      </c>
      <c r="C18015" s="9" t="s">
        <v>17</v>
      </c>
      <c r="D18015" s="9" t="s">
        <v>18</v>
      </c>
      <c r="E18015" s="10" t="s">
        <v>73</v>
      </c>
      <c r="F18015" s="9" t="s">
        <v>74</v>
      </c>
      <c r="G18015" s="10" t="s">
        <v>34</v>
      </c>
      <c r="H18015" s="9" t="s">
        <v>22</v>
      </c>
      <c r="I18015" s="9" t="s">
        <v>36541</v>
      </c>
      <c r="J18015" s="10" t="str">
        <f>HYPERLINK("https://www.boe.es/gazeta/dias/1834/11/04/pdfs/GMD-1834-263.pdf#page=1","Abrir facsímil")</f>
        <v>Abrir facsímil</v>
      </c>
      <c r="K18015" s="10" t="s">
        <v>24</v>
      </c>
    </row>
    <row r="18016" spans="1:11" ht="54" customHeight="1">
      <c r="A18016" s="9" t="s">
        <v>36542</v>
      </c>
      <c r="B18016" s="9" t="s">
        <v>36542</v>
      </c>
      <c r="C18016" s="9" t="s">
        <v>17</v>
      </c>
      <c r="D18016" s="9" t="s">
        <v>18</v>
      </c>
      <c r="E18016" s="10" t="s">
        <v>1406</v>
      </c>
      <c r="F18016" s="9" t="s">
        <v>1407</v>
      </c>
      <c r="G18016" s="10" t="s">
        <v>86</v>
      </c>
      <c r="H18016" s="9" t="s">
        <v>22</v>
      </c>
      <c r="I18016" s="9" t="s">
        <v>36543</v>
      </c>
      <c r="J18016" s="10" t="str">
        <f>HYPERLINK("https://www.boe.es/gazeta/dias/1834/11/03/pdfs/GMD-1834-262.pdf#page=2","Abrir facsímil")</f>
        <v>Abrir facsímil</v>
      </c>
      <c r="K18016" s="10" t="s">
        <v>24</v>
      </c>
    </row>
    <row r="18017" spans="1:11" ht="54" customHeight="1">
      <c r="A18017" s="9" t="s">
        <v>36544</v>
      </c>
      <c r="B18017" s="9" t="s">
        <v>36545</v>
      </c>
      <c r="C18017" s="9" t="s">
        <v>66</v>
      </c>
      <c r="D18017" s="9" t="s">
        <v>67</v>
      </c>
      <c r="E18017" s="10" t="s">
        <v>3170</v>
      </c>
      <c r="F18017" s="9" t="s">
        <v>3171</v>
      </c>
      <c r="G18017" s="10" t="s">
        <v>75</v>
      </c>
      <c r="H18017" s="9" t="s">
        <v>22</v>
      </c>
      <c r="I18017" s="9" t="s">
        <v>36546</v>
      </c>
      <c r="J18017" s="10" t="str">
        <f>HYPERLINK("https://www.boe.es/gazeta/dias/1834/12/07/pdfs/GMD-1834-296.pdf#page=4","Abrir facsímil")</f>
        <v>Abrir facsímil</v>
      </c>
      <c r="K18017" s="10" t="s">
        <v>24</v>
      </c>
    </row>
    <row r="18018" spans="1:11" ht="54" customHeight="1">
      <c r="A18018" s="9" t="s">
        <v>36544</v>
      </c>
      <c r="B18018" s="9" t="s">
        <v>36545</v>
      </c>
      <c r="C18018" s="9" t="s">
        <v>66</v>
      </c>
      <c r="D18018" s="9" t="s">
        <v>67</v>
      </c>
      <c r="E18018" s="10" t="s">
        <v>262</v>
      </c>
      <c r="F18018" s="9" t="s">
        <v>7012</v>
      </c>
      <c r="G18018" s="10" t="s">
        <v>21</v>
      </c>
      <c r="H18018" s="9" t="s">
        <v>22</v>
      </c>
      <c r="I18018" s="9" t="s">
        <v>36547</v>
      </c>
      <c r="J18018" s="10" t="str">
        <f>HYPERLINK("https://www.boe.es/gazeta/dias/1834/10/18/pdfs/GMD-1834-246.pdf#page=3","Abrir facsímil")</f>
        <v>Abrir facsímil</v>
      </c>
      <c r="K18018" s="10" t="s">
        <v>24</v>
      </c>
    </row>
    <row r="18019" spans="1:11" ht="54" customHeight="1">
      <c r="A18019" s="9" t="s">
        <v>36548</v>
      </c>
      <c r="B18019" s="9" t="s">
        <v>36549</v>
      </c>
      <c r="C18019" s="9" t="s">
        <v>46</v>
      </c>
      <c r="D18019" s="9" t="s">
        <v>101</v>
      </c>
      <c r="E18019" s="10" t="s">
        <v>364</v>
      </c>
      <c r="F18019" s="9" t="s">
        <v>2102</v>
      </c>
      <c r="G18019" s="10" t="s">
        <v>75</v>
      </c>
      <c r="H18019" s="9" t="s">
        <v>22</v>
      </c>
      <c r="I18019" s="9" t="s">
        <v>36550</v>
      </c>
      <c r="J18019" s="10" t="str">
        <f>HYPERLINK("https://www.boe.es/gazeta/dias/1834/09/06/pdfs/GMD-1834-204.pdf#page=4","Abrir facsímil")</f>
        <v>Abrir facsímil</v>
      </c>
      <c r="K18019" s="10" t="s">
        <v>24</v>
      </c>
    </row>
    <row r="18020" spans="1:11" ht="54" customHeight="1">
      <c r="A18020" s="9" t="s">
        <v>36551</v>
      </c>
      <c r="B18020" s="9" t="s">
        <v>36552</v>
      </c>
      <c r="C18020" s="9" t="s">
        <v>17</v>
      </c>
      <c r="D18020" s="9" t="s">
        <v>18</v>
      </c>
      <c r="E18020" s="10" t="s">
        <v>138</v>
      </c>
      <c r="F18020" s="9" t="s">
        <v>139</v>
      </c>
      <c r="G18020" s="10" t="s">
        <v>21</v>
      </c>
      <c r="H18020" s="9" t="s">
        <v>22</v>
      </c>
      <c r="I18020" s="9" t="s">
        <v>36553</v>
      </c>
      <c r="J18020" s="10" t="str">
        <f>HYPERLINK("https://www.boe.es/gazeta/dias/1834/05/17/pdfs/GMD-1834-86.pdf#page=3","Abrir facsímil")</f>
        <v>Abrir facsímil</v>
      </c>
      <c r="K18020" s="10" t="s">
        <v>24</v>
      </c>
    </row>
    <row r="18021" spans="1:11" ht="54" customHeight="1">
      <c r="A18021" s="9" t="s">
        <v>36554</v>
      </c>
      <c r="B18021" s="9" t="s">
        <v>36554</v>
      </c>
      <c r="C18021" s="9" t="s">
        <v>17</v>
      </c>
      <c r="D18021" s="9" t="s">
        <v>18</v>
      </c>
      <c r="E18021" s="10" t="s">
        <v>1195</v>
      </c>
      <c r="F18021" s="9" t="s">
        <v>1916</v>
      </c>
      <c r="G18021" s="10" t="s">
        <v>21</v>
      </c>
      <c r="H18021" s="9" t="s">
        <v>22</v>
      </c>
      <c r="I18021" s="9" t="s">
        <v>36555</v>
      </c>
      <c r="J18021" s="10" t="str">
        <f>HYPERLINK("https://www.boe.es/gazeta/dias/1834/10/17/pdfs/GMD-1834-245.pdf#page=3","Abrir facsímil")</f>
        <v>Abrir facsímil</v>
      </c>
      <c r="K18021" s="10" t="s">
        <v>24</v>
      </c>
    </row>
    <row r="18022" spans="1:11" ht="54" customHeight="1">
      <c r="A18022" s="9" t="s">
        <v>36556</v>
      </c>
      <c r="B18022" s="9" t="s">
        <v>36557</v>
      </c>
      <c r="C18022" s="9" t="s">
        <v>17</v>
      </c>
      <c r="D18022" s="9" t="s">
        <v>18</v>
      </c>
      <c r="E18022" s="10" t="s">
        <v>348</v>
      </c>
      <c r="F18022" s="9" t="s">
        <v>501</v>
      </c>
      <c r="G18022" s="10" t="s">
        <v>21</v>
      </c>
      <c r="H18022" s="9" t="s">
        <v>22</v>
      </c>
      <c r="I18022" s="9" t="s">
        <v>36558</v>
      </c>
      <c r="J18022" s="10" t="str">
        <f>HYPERLINK("https://www.boe.es/gazeta/dias/1834/06/12/pdfs/GMD-1834-115.pdf#page=3","Abrir facsímil")</f>
        <v>Abrir facsímil</v>
      </c>
      <c r="K18022" s="10" t="s">
        <v>24</v>
      </c>
    </row>
    <row r="18023" spans="1:11" ht="54" customHeight="1">
      <c r="A18023" s="9" t="s">
        <v>36559</v>
      </c>
      <c r="B18023" s="9" t="s">
        <v>36560</v>
      </c>
      <c r="C18023" s="9" t="s">
        <v>66</v>
      </c>
      <c r="D18023" s="9" t="s">
        <v>67</v>
      </c>
      <c r="E18023" s="10" t="s">
        <v>348</v>
      </c>
      <c r="F18023" s="9" t="s">
        <v>501</v>
      </c>
      <c r="G18023" s="10" t="s">
        <v>21</v>
      </c>
      <c r="H18023" s="9" t="s">
        <v>22</v>
      </c>
      <c r="I18023" s="9" t="s">
        <v>36561</v>
      </c>
      <c r="J18023" s="10" t="str">
        <f>HYPERLINK("https://www.boe.es/gazeta/dias/1834/06/12/pdfs/GMD-1834-115.pdf#page=3","Abrir facsímil")</f>
        <v>Abrir facsímil</v>
      </c>
      <c r="K18023" s="10" t="s">
        <v>24</v>
      </c>
    </row>
    <row r="18024" spans="1:11" ht="54" customHeight="1">
      <c r="A18024" s="9" t="s">
        <v>36562</v>
      </c>
      <c r="B18024" s="9" t="s">
        <v>36563</v>
      </c>
      <c r="C18024" s="9" t="s">
        <v>46</v>
      </c>
      <c r="D18024" s="9" t="s">
        <v>40</v>
      </c>
      <c r="E18024" s="10" t="s">
        <v>217</v>
      </c>
      <c r="F18024" s="9" t="s">
        <v>218</v>
      </c>
      <c r="G18024" s="10" t="s">
        <v>75</v>
      </c>
      <c r="H18024" s="9" t="s">
        <v>22</v>
      </c>
      <c r="I18024" s="9" t="s">
        <v>36564</v>
      </c>
      <c r="J18024" s="10" t="str">
        <f>HYPERLINK("https://www.boe.es/gazeta/dias/1834/04/20/pdfs/GMD-1834-59.pdf#page=4","Abrir facsímil")</f>
        <v>Abrir facsímil</v>
      </c>
      <c r="K18024" s="10" t="s">
        <v>24</v>
      </c>
    </row>
    <row r="18025" spans="1:11" ht="54" customHeight="1">
      <c r="A18025" s="9" t="s">
        <v>36562</v>
      </c>
      <c r="B18025" s="9" t="s">
        <v>36563</v>
      </c>
      <c r="C18025" s="9" t="s">
        <v>46</v>
      </c>
      <c r="D18025" s="9" t="s">
        <v>40</v>
      </c>
      <c r="E18025" s="10" t="s">
        <v>510</v>
      </c>
      <c r="F18025" s="9" t="s">
        <v>511</v>
      </c>
      <c r="G18025" s="10" t="s">
        <v>75</v>
      </c>
      <c r="H18025" s="9" t="s">
        <v>22</v>
      </c>
      <c r="I18025" s="9" t="s">
        <v>36565</v>
      </c>
      <c r="J18025" s="10" t="str">
        <f>HYPERLINK("https://www.boe.es/gazeta/dias/1834/11/26/pdfs/GMD-1834-285.pdf#page=4","Abrir facsímil")</f>
        <v>Abrir facsímil</v>
      </c>
      <c r="K18025" s="10" t="s">
        <v>24</v>
      </c>
    </row>
    <row r="18026" spans="1:11" ht="54" customHeight="1">
      <c r="A18026" s="9" t="s">
        <v>36566</v>
      </c>
      <c r="B18026" s="9" t="s">
        <v>36567</v>
      </c>
      <c r="C18026" s="9" t="s">
        <v>122</v>
      </c>
      <c r="D18026" s="9" t="s">
        <v>18</v>
      </c>
      <c r="E18026" s="10" t="s">
        <v>2729</v>
      </c>
      <c r="F18026" s="9" t="s">
        <v>2730</v>
      </c>
      <c r="G18026" s="10" t="s">
        <v>34</v>
      </c>
      <c r="H18026" s="9" t="s">
        <v>22</v>
      </c>
      <c r="I18026" s="9" t="s">
        <v>36568</v>
      </c>
      <c r="J18026" s="10" t="str">
        <f>HYPERLINK("https://www.boe.es/gazeta/dias/1834/07/02/pdfs/GMD-1834-135.pdf#page=1","Abrir facsímil")</f>
        <v>Abrir facsímil</v>
      </c>
      <c r="K18026" s="10" t="s">
        <v>24</v>
      </c>
    </row>
    <row r="18027" spans="1:11" ht="54" customHeight="1">
      <c r="A18027" s="9" t="s">
        <v>36569</v>
      </c>
      <c r="B18027" s="9" t="s">
        <v>36570</v>
      </c>
      <c r="C18027" s="9" t="s">
        <v>17</v>
      </c>
      <c r="D18027" s="9" t="s">
        <v>40</v>
      </c>
      <c r="E18027" s="10" t="s">
        <v>1918</v>
      </c>
      <c r="F18027" s="9" t="s">
        <v>2024</v>
      </c>
      <c r="G18027" s="10" t="s">
        <v>34</v>
      </c>
      <c r="H18027" s="9" t="s">
        <v>22</v>
      </c>
      <c r="I18027" s="9" t="s">
        <v>36571</v>
      </c>
      <c r="J18027" s="10" t="str">
        <f>HYPERLINK("https://www.boe.es/gazeta/dias/1834/03/22/pdfs/GMD-C-1834-36.pdf#page=1","Abrir facsímil")</f>
        <v>Abrir facsímil</v>
      </c>
      <c r="K18027" s="10" t="s">
        <v>24</v>
      </c>
    </row>
    <row r="18028" spans="1:11" ht="54" customHeight="1">
      <c r="A18028" s="9" t="s">
        <v>36572</v>
      </c>
      <c r="B18028" s="9" t="s">
        <v>36572</v>
      </c>
      <c r="C18028" s="9" t="s">
        <v>17</v>
      </c>
      <c r="D18028" s="9" t="s">
        <v>18</v>
      </c>
      <c r="E18028" s="10" t="s">
        <v>441</v>
      </c>
      <c r="F18028" s="9" t="s">
        <v>442</v>
      </c>
      <c r="G18028" s="10" t="s">
        <v>86</v>
      </c>
      <c r="H18028" s="9" t="s">
        <v>22</v>
      </c>
      <c r="I18028" s="9" t="s">
        <v>36573</v>
      </c>
      <c r="J18028" s="10" t="str">
        <f>HYPERLINK("https://www.boe.es/gazeta/dias/1834/11/10/pdfs/GMD-1834-269.pdf#page=2","Abrir facsímil")</f>
        <v>Abrir facsímil</v>
      </c>
      <c r="K18028" s="10" t="s">
        <v>24</v>
      </c>
    </row>
    <row r="18029" spans="1:11" ht="54" customHeight="1">
      <c r="A18029" s="9" t="s">
        <v>36572</v>
      </c>
      <c r="B18029" s="9" t="s">
        <v>36572</v>
      </c>
      <c r="C18029" s="9" t="s">
        <v>17</v>
      </c>
      <c r="D18029" s="9" t="s">
        <v>18</v>
      </c>
      <c r="E18029" s="10" t="s">
        <v>441</v>
      </c>
      <c r="F18029" s="9" t="s">
        <v>442</v>
      </c>
      <c r="G18029" s="10" t="s">
        <v>75</v>
      </c>
      <c r="H18029" s="9" t="s">
        <v>22</v>
      </c>
      <c r="I18029" s="9" t="s">
        <v>36574</v>
      </c>
      <c r="J18029" s="10" t="str">
        <f>HYPERLINK("https://www.boe.es/gazeta/dias/1834/11/10/pdfs/GMD-1834-269.pdf#page=4","Abrir facsímil")</f>
        <v>Abrir facsímil</v>
      </c>
      <c r="K18029" s="10" t="s">
        <v>24</v>
      </c>
    </row>
    <row r="18030" spans="1:11" ht="54" customHeight="1">
      <c r="A18030" s="9" t="s">
        <v>36575</v>
      </c>
      <c r="B18030" s="9" t="s">
        <v>36575</v>
      </c>
      <c r="C18030" s="9" t="s">
        <v>17</v>
      </c>
      <c r="D18030" s="9" t="s">
        <v>18</v>
      </c>
      <c r="E18030" s="10" t="s">
        <v>860</v>
      </c>
      <c r="F18030" s="9" t="s">
        <v>1755</v>
      </c>
      <c r="G18030" s="10" t="s">
        <v>34</v>
      </c>
      <c r="H18030" s="9" t="s">
        <v>22</v>
      </c>
      <c r="I18030" s="9" t="s">
        <v>36576</v>
      </c>
      <c r="J18030" s="10" t="str">
        <f>HYPERLINK("https://www.boe.es/gazeta/dias/1834/02/08/pdfs/GMD-C-1834-18.pdf#page=1","Abrir facsímil")</f>
        <v>Abrir facsímil</v>
      </c>
      <c r="K18030" s="10" t="s">
        <v>24</v>
      </c>
    </row>
    <row r="18031" spans="1:11" ht="54" customHeight="1">
      <c r="A18031" s="9" t="s">
        <v>36575</v>
      </c>
      <c r="B18031" s="9" t="s">
        <v>36575</v>
      </c>
      <c r="C18031" s="9" t="s">
        <v>90</v>
      </c>
      <c r="D18031" s="9" t="s">
        <v>67</v>
      </c>
      <c r="E18031" s="10" t="s">
        <v>441</v>
      </c>
      <c r="F18031" s="9" t="s">
        <v>442</v>
      </c>
      <c r="G18031" s="10" t="s">
        <v>86</v>
      </c>
      <c r="H18031" s="9" t="s">
        <v>22</v>
      </c>
      <c r="I18031" s="9" t="s">
        <v>36577</v>
      </c>
      <c r="J18031" s="10" t="str">
        <f>HYPERLINK("https://www.boe.es/gazeta/dias/1834/11/10/pdfs/GMD-1834-269.pdf#page=2","Abrir facsímil")</f>
        <v>Abrir facsímil</v>
      </c>
      <c r="K18031" s="10" t="s">
        <v>24</v>
      </c>
    </row>
    <row r="18032" spans="1:11" ht="54" customHeight="1">
      <c r="A18032" s="9" t="s">
        <v>36575</v>
      </c>
      <c r="B18032" s="9" t="s">
        <v>36575</v>
      </c>
      <c r="C18032" s="9" t="s">
        <v>66</v>
      </c>
      <c r="D18032" s="9" t="s">
        <v>67</v>
      </c>
      <c r="E18032" s="10" t="s">
        <v>1517</v>
      </c>
      <c r="F18032" s="9" t="s">
        <v>1518</v>
      </c>
      <c r="G18032" s="10" t="s">
        <v>75</v>
      </c>
      <c r="H18032" s="9" t="s">
        <v>22</v>
      </c>
      <c r="I18032" s="9" t="s">
        <v>36578</v>
      </c>
      <c r="J18032" s="10" t="str">
        <f>HYPERLINK("https://www.boe.es/gazeta/dias/1834/05/18/pdfs/GMD-1834-87.pdf#page=4","Abrir facsímil")</f>
        <v>Abrir facsímil</v>
      </c>
      <c r="K18032" s="10" t="s">
        <v>24</v>
      </c>
    </row>
    <row r="18033" spans="1:11" ht="54" customHeight="1">
      <c r="A18033" s="9" t="s">
        <v>36579</v>
      </c>
      <c r="B18033" s="9" t="s">
        <v>36580</v>
      </c>
      <c r="C18033" s="9" t="s">
        <v>46</v>
      </c>
      <c r="D18033" s="9" t="s">
        <v>101</v>
      </c>
      <c r="E18033" s="10" t="s">
        <v>2748</v>
      </c>
      <c r="F18033" s="9" t="s">
        <v>2749</v>
      </c>
      <c r="G18033" s="10" t="s">
        <v>34</v>
      </c>
      <c r="H18033" s="9" t="s">
        <v>22</v>
      </c>
      <c r="I18033" s="9" t="s">
        <v>36581</v>
      </c>
      <c r="J18033" s="10" t="str">
        <f>HYPERLINK("https://www.boe.es/gazeta/dias/1834/01/09/pdfs/GMD-1834-5.pdf#page=1","Abrir facsímil")</f>
        <v>Abrir facsímil</v>
      </c>
      <c r="K18033" s="10" t="s">
        <v>24</v>
      </c>
    </row>
    <row r="18034" spans="1:11" ht="54" customHeight="1">
      <c r="A18034" s="9" t="s">
        <v>36582</v>
      </c>
      <c r="B18034" s="9" t="s">
        <v>36582</v>
      </c>
      <c r="C18034" s="9" t="s">
        <v>46</v>
      </c>
      <c r="D18034" s="9" t="s">
        <v>18</v>
      </c>
      <c r="E18034" s="10" t="s">
        <v>441</v>
      </c>
      <c r="F18034" s="9" t="s">
        <v>442</v>
      </c>
      <c r="G18034" s="10" t="s">
        <v>21</v>
      </c>
      <c r="H18034" s="9" t="s">
        <v>22</v>
      </c>
      <c r="I18034" s="9" t="s">
        <v>36583</v>
      </c>
      <c r="J18034" s="10" t="str">
        <f>HYPERLINK("https://www.boe.es/gazeta/dias/1834/11/10/pdfs/GMD-1834-269.pdf#page=3","Abrir facsímil")</f>
        <v>Abrir facsímil</v>
      </c>
      <c r="K18034" s="10" t="s">
        <v>24</v>
      </c>
    </row>
    <row r="18035" spans="1:11" ht="54" customHeight="1">
      <c r="A18035" s="9" t="s">
        <v>36584</v>
      </c>
      <c r="B18035" s="9" t="s">
        <v>36584</v>
      </c>
      <c r="C18035" s="9" t="s">
        <v>122</v>
      </c>
      <c r="D18035" s="9" t="s">
        <v>40</v>
      </c>
      <c r="E18035" s="10" t="s">
        <v>1862</v>
      </c>
      <c r="F18035" s="9" t="s">
        <v>1863</v>
      </c>
      <c r="G18035" s="10" t="s">
        <v>75</v>
      </c>
      <c r="H18035" s="9" t="s">
        <v>22</v>
      </c>
      <c r="I18035" s="9" t="s">
        <v>36585</v>
      </c>
      <c r="J18035" s="10" t="str">
        <f>HYPERLINK("https://www.boe.es/gazeta/dias/1834/02/04/pdfs/GMD-1834-16.pdf#page=4","Abrir facsímil")</f>
        <v>Abrir facsímil</v>
      </c>
      <c r="K18035" s="10" t="s">
        <v>24</v>
      </c>
    </row>
    <row r="18036" spans="1:11" ht="54" customHeight="1">
      <c r="A18036" s="9" t="s">
        <v>36586</v>
      </c>
      <c r="B18036" s="9" t="s">
        <v>36586</v>
      </c>
      <c r="C18036" s="9" t="s">
        <v>17</v>
      </c>
      <c r="D18036" s="9" t="s">
        <v>18</v>
      </c>
      <c r="E18036" s="10" t="s">
        <v>1686</v>
      </c>
      <c r="F18036" s="9" t="s">
        <v>1687</v>
      </c>
      <c r="G18036" s="10" t="s">
        <v>75</v>
      </c>
      <c r="H18036" s="9" t="s">
        <v>22</v>
      </c>
      <c r="I18036" s="9" t="s">
        <v>36587</v>
      </c>
      <c r="J18036" s="10" t="str">
        <f>HYPERLINK("https://www.boe.es/gazeta/dias/1834/07/27/pdfs/GMD-1834-160.pdf#page=4","Abrir facsímil")</f>
        <v>Abrir facsímil</v>
      </c>
      <c r="K18036" s="10" t="s">
        <v>24</v>
      </c>
    </row>
    <row r="18037" spans="1:11" ht="54" customHeight="1">
      <c r="A18037" s="9" t="s">
        <v>36588</v>
      </c>
      <c r="B18037" s="9" t="s">
        <v>36588</v>
      </c>
      <c r="C18037" s="9" t="s">
        <v>46</v>
      </c>
      <c r="D18037" s="9" t="s">
        <v>55</v>
      </c>
      <c r="E18037" s="10" t="s">
        <v>91</v>
      </c>
      <c r="F18037" s="9" t="s">
        <v>92</v>
      </c>
      <c r="G18037" s="10" t="s">
        <v>21</v>
      </c>
      <c r="H18037" s="9" t="s">
        <v>22</v>
      </c>
      <c r="I18037" s="9" t="s">
        <v>36589</v>
      </c>
      <c r="J18037" s="10" t="str">
        <f>HYPERLINK("https://www.boe.es/gazeta/dias/1834/02/13/pdfs/GMD-1834-20.pdf#page=3","Abrir facsímil")</f>
        <v>Abrir facsímil</v>
      </c>
      <c r="K18037" s="10" t="s">
        <v>24</v>
      </c>
    </row>
    <row r="18038" spans="1:11" ht="54" customHeight="1">
      <c r="A18038" s="9" t="s">
        <v>36588</v>
      </c>
      <c r="B18038" s="9" t="s">
        <v>36588</v>
      </c>
      <c r="C18038" s="9" t="s">
        <v>122</v>
      </c>
      <c r="D18038" s="9" t="s">
        <v>18</v>
      </c>
      <c r="E18038" s="10" t="s">
        <v>912</v>
      </c>
      <c r="F18038" s="9" t="s">
        <v>913</v>
      </c>
      <c r="G18038" s="10" t="s">
        <v>75</v>
      </c>
      <c r="H18038" s="9" t="s">
        <v>22</v>
      </c>
      <c r="I18038" s="9" t="s">
        <v>36590</v>
      </c>
      <c r="J18038" s="10" t="str">
        <f>HYPERLINK("https://www.boe.es/gazeta/dias/1834/02/15/pdfs/GMD-1834-21.pdf#page=4","Abrir facsímil")</f>
        <v>Abrir facsímil</v>
      </c>
      <c r="K18038" s="10" t="s">
        <v>24</v>
      </c>
    </row>
    <row r="18039" spans="1:11" ht="54" customHeight="1">
      <c r="A18039" s="9" t="s">
        <v>36591</v>
      </c>
      <c r="B18039" s="9" t="s">
        <v>36592</v>
      </c>
      <c r="C18039" s="9" t="s">
        <v>46</v>
      </c>
      <c r="D18039" s="9" t="s">
        <v>101</v>
      </c>
      <c r="E18039" s="10" t="s">
        <v>399</v>
      </c>
      <c r="F18039" s="9" t="s">
        <v>400</v>
      </c>
      <c r="G18039" s="10" t="s">
        <v>75</v>
      </c>
      <c r="H18039" s="9" t="s">
        <v>22</v>
      </c>
      <c r="I18039" s="9" t="s">
        <v>36593</v>
      </c>
      <c r="J18039" s="10" t="str">
        <f>HYPERLINK("https://www.boe.es/gazeta/dias/1834/07/08/pdfs/GMD-1834-141.pdf#page=4","Abrir facsímil")</f>
        <v>Abrir facsímil</v>
      </c>
      <c r="K18039" s="10" t="s">
        <v>24</v>
      </c>
    </row>
    <row r="18040" spans="1:11" ht="54" customHeight="1">
      <c r="A18040" s="9" t="s">
        <v>36594</v>
      </c>
      <c r="B18040" s="9" t="s">
        <v>36595</v>
      </c>
      <c r="C18040" s="9" t="s">
        <v>17</v>
      </c>
      <c r="D18040" s="9" t="s">
        <v>101</v>
      </c>
      <c r="E18040" s="10" t="s">
        <v>637</v>
      </c>
      <c r="F18040" s="9" t="s">
        <v>638</v>
      </c>
      <c r="G18040" s="10" t="s">
        <v>86</v>
      </c>
      <c r="H18040" s="9" t="s">
        <v>22</v>
      </c>
      <c r="I18040" s="9" t="s">
        <v>36596</v>
      </c>
      <c r="J18040" s="10" t="str">
        <f>HYPERLINK("https://www.boe.es/gazeta/dias/1834/06/03/pdfs/I00469-00470.pdf#page=2","Abrir facsímil")</f>
        <v>Abrir facsímil</v>
      </c>
      <c r="K18040" s="10" t="s">
        <v>24</v>
      </c>
    </row>
    <row r="18041" spans="1:11" ht="54" customHeight="1">
      <c r="A18041" s="9" t="s">
        <v>36594</v>
      </c>
      <c r="B18041" s="9" t="s">
        <v>36595</v>
      </c>
      <c r="C18041" s="9" t="s">
        <v>17</v>
      </c>
      <c r="D18041" s="9" t="s">
        <v>101</v>
      </c>
      <c r="E18041" s="10" t="s">
        <v>637</v>
      </c>
      <c r="F18041" s="9" t="s">
        <v>638</v>
      </c>
      <c r="G18041" s="10" t="s">
        <v>75</v>
      </c>
      <c r="H18041" s="9" t="s">
        <v>22</v>
      </c>
      <c r="I18041" s="9" t="s">
        <v>36596</v>
      </c>
      <c r="J18041" s="10" t="str">
        <f>HYPERLINK("https://www.boe.es/gazeta/dias/1834/06/03/pdfs/GMD-1834-105.pdf#page=4","Abrir facsímil")</f>
        <v>Abrir facsímil</v>
      </c>
      <c r="K18041" s="10" t="s">
        <v>24</v>
      </c>
    </row>
    <row r="18042" spans="1:11" ht="54" customHeight="1">
      <c r="A18042" s="9" t="s">
        <v>36597</v>
      </c>
      <c r="B18042" s="9" t="s">
        <v>36598</v>
      </c>
      <c r="C18042" s="9" t="s">
        <v>66</v>
      </c>
      <c r="D18042" s="9" t="s">
        <v>18</v>
      </c>
      <c r="E18042" s="10" t="s">
        <v>1669</v>
      </c>
      <c r="F18042" s="9" t="s">
        <v>1670</v>
      </c>
      <c r="G18042" s="10" t="s">
        <v>21</v>
      </c>
      <c r="H18042" s="9" t="s">
        <v>35</v>
      </c>
      <c r="I18042" s="9" t="s">
        <v>36599</v>
      </c>
      <c r="J18042" s="10" t="str">
        <f>HYPERLINK("https://www.boe.es/gazeta/dias/1834/06/19/pdfs/GMD-1834-122.pdf#page=3","Abrir facsímil")</f>
        <v>Abrir facsímil</v>
      </c>
      <c r="K18042" s="10" t="s">
        <v>37</v>
      </c>
    </row>
    <row r="18043" spans="1:11" ht="54" customHeight="1">
      <c r="A18043" s="9" t="s">
        <v>36600</v>
      </c>
      <c r="B18043" s="9" t="s">
        <v>36601</v>
      </c>
      <c r="C18043" s="9" t="s">
        <v>122</v>
      </c>
      <c r="D18043" s="9" t="s">
        <v>18</v>
      </c>
      <c r="E18043" s="10" t="s">
        <v>479</v>
      </c>
      <c r="F18043" s="9" t="s">
        <v>480</v>
      </c>
      <c r="G18043" s="10" t="s">
        <v>86</v>
      </c>
      <c r="H18043" s="9" t="s">
        <v>22</v>
      </c>
      <c r="I18043" s="9" t="s">
        <v>36602</v>
      </c>
      <c r="J18043" s="10" t="str">
        <f>HYPERLINK("https://www.boe.es/gazeta/dias/1834/08/13/pdfs/GMD-1834-178.pdf#page=2","Abrir facsímil")</f>
        <v>Abrir facsímil</v>
      </c>
      <c r="K18043" s="10" t="s">
        <v>24</v>
      </c>
    </row>
    <row r="18044" spans="1:11" ht="54" customHeight="1">
      <c r="A18044" s="9" t="s">
        <v>36603</v>
      </c>
      <c r="B18044" s="9" t="s">
        <v>36604</v>
      </c>
      <c r="C18044" s="9" t="s">
        <v>17</v>
      </c>
      <c r="D18044" s="9" t="s">
        <v>18</v>
      </c>
      <c r="E18044" s="10" t="s">
        <v>367</v>
      </c>
      <c r="F18044" s="9" t="s">
        <v>368</v>
      </c>
      <c r="G18044" s="10" t="s">
        <v>75</v>
      </c>
      <c r="H18044" s="9" t="s">
        <v>22</v>
      </c>
      <c r="I18044" s="9" t="s">
        <v>36605</v>
      </c>
      <c r="J18044" s="10" t="str">
        <f>HYPERLINK("https://www.boe.es/gazeta/dias/1834/05/19/pdfs/GMD-1834-88.pdf#page=4","Abrir facsímil")</f>
        <v>Abrir facsímil</v>
      </c>
      <c r="K18044" s="10" t="s">
        <v>24</v>
      </c>
    </row>
    <row r="18045" spans="1:11" ht="54" customHeight="1">
      <c r="A18045" s="9" t="s">
        <v>36603</v>
      </c>
      <c r="B18045" s="9" t="s">
        <v>36604</v>
      </c>
      <c r="C18045" s="9" t="s">
        <v>17</v>
      </c>
      <c r="D18045" s="9" t="s">
        <v>18</v>
      </c>
      <c r="E18045" s="10" t="s">
        <v>1017</v>
      </c>
      <c r="F18045" s="9" t="s">
        <v>1018</v>
      </c>
      <c r="G18045" s="10" t="s">
        <v>21</v>
      </c>
      <c r="H18045" s="9" t="s">
        <v>22</v>
      </c>
      <c r="I18045" s="9" t="s">
        <v>36606</v>
      </c>
      <c r="J18045" s="10" t="str">
        <f>HYPERLINK("https://www.boe.es/gazeta/dias/1834/07/24/pdfs/GMD-1834-157.pdf#page=3","Abrir facsímil")</f>
        <v>Abrir facsímil</v>
      </c>
      <c r="K18045" s="10" t="s">
        <v>24</v>
      </c>
    </row>
    <row r="18046" spans="1:11" ht="54" customHeight="1">
      <c r="A18046" s="9" t="s">
        <v>36607</v>
      </c>
      <c r="B18046" s="9" t="s">
        <v>36608</v>
      </c>
      <c r="C18046" s="9" t="s">
        <v>17</v>
      </c>
      <c r="D18046" s="9" t="s">
        <v>101</v>
      </c>
      <c r="E18046" s="10" t="s">
        <v>2398</v>
      </c>
      <c r="F18046" s="9" t="s">
        <v>2399</v>
      </c>
      <c r="G18046" s="10" t="s">
        <v>34</v>
      </c>
      <c r="H18046" s="9" t="s">
        <v>22</v>
      </c>
      <c r="I18046" s="9" t="s">
        <v>36609</v>
      </c>
      <c r="J18046" s="10" t="str">
        <f>HYPERLINK("https://www.boe.es/gazeta/dias/1834/01/16/pdfs/GMD-1834-8.pdf#page=1","Abrir facsímil")</f>
        <v>Abrir facsímil</v>
      </c>
      <c r="K18046" s="10" t="s">
        <v>24</v>
      </c>
    </row>
    <row r="18047" spans="1:11" ht="54" customHeight="1">
      <c r="A18047" s="9" t="s">
        <v>36610</v>
      </c>
      <c r="B18047" s="9" t="s">
        <v>36611</v>
      </c>
      <c r="C18047" s="9" t="s">
        <v>17</v>
      </c>
      <c r="D18047" s="9" t="s">
        <v>18</v>
      </c>
      <c r="E18047" s="10" t="s">
        <v>243</v>
      </c>
      <c r="F18047" s="9" t="s">
        <v>1109</v>
      </c>
      <c r="G18047" s="10" t="s">
        <v>21</v>
      </c>
      <c r="H18047" s="9" t="s">
        <v>22</v>
      </c>
      <c r="I18047" s="9" t="s">
        <v>36612</v>
      </c>
      <c r="J18047" s="10" t="str">
        <f>HYPERLINK("https://www.boe.es/gazeta/dias/1834/08/05/pdfs/GMD-1834-169.pdf#page=3","Abrir facsímil")</f>
        <v>Abrir facsímil</v>
      </c>
      <c r="K18047" s="10" t="s">
        <v>24</v>
      </c>
    </row>
    <row r="18048" spans="1:11" ht="54" customHeight="1">
      <c r="A18048" s="9" t="s">
        <v>36610</v>
      </c>
      <c r="B18048" s="9" t="s">
        <v>36611</v>
      </c>
      <c r="C18048" s="9" t="s">
        <v>66</v>
      </c>
      <c r="D18048" s="9" t="s">
        <v>18</v>
      </c>
      <c r="E18048" s="10" t="s">
        <v>1669</v>
      </c>
      <c r="F18048" s="9" t="s">
        <v>1670</v>
      </c>
      <c r="G18048" s="10" t="s">
        <v>21</v>
      </c>
      <c r="H18048" s="9" t="s">
        <v>22</v>
      </c>
      <c r="I18048" s="9" t="s">
        <v>36613</v>
      </c>
      <c r="J18048" s="10" t="str">
        <f>HYPERLINK("https://www.boe.es/gazeta/dias/1834/06/19/pdfs/GMD-1834-122.pdf#page=3","Abrir facsímil")</f>
        <v>Abrir facsímil</v>
      </c>
      <c r="K18048" s="10" t="s">
        <v>24</v>
      </c>
    </row>
    <row r="18049" spans="1:11" ht="54" customHeight="1">
      <c r="A18049" s="9" t="s">
        <v>36614</v>
      </c>
      <c r="B18049" s="9" t="s">
        <v>36615</v>
      </c>
      <c r="C18049" s="9" t="s">
        <v>17</v>
      </c>
      <c r="D18049" s="9" t="s">
        <v>18</v>
      </c>
      <c r="E18049" s="10" t="s">
        <v>762</v>
      </c>
      <c r="F18049" s="9" t="s">
        <v>763</v>
      </c>
      <c r="G18049" s="10" t="s">
        <v>34</v>
      </c>
      <c r="H18049" s="9" t="s">
        <v>22</v>
      </c>
      <c r="I18049" s="9" t="s">
        <v>36616</v>
      </c>
      <c r="J18049" s="10" t="str">
        <f>HYPERLINK("https://www.boe.es/gazeta/dias/1834/11/07/pdfs/GMD-1834-266.pdf#page=1","Abrir facsímil")</f>
        <v>Abrir facsímil</v>
      </c>
      <c r="K18049" s="10" t="s">
        <v>24</v>
      </c>
    </row>
    <row r="18050" spans="1:11" ht="54" customHeight="1">
      <c r="A18050" s="9" t="s">
        <v>36617</v>
      </c>
      <c r="B18050" s="9" t="s">
        <v>36618</v>
      </c>
      <c r="C18050" s="9" t="s">
        <v>17</v>
      </c>
      <c r="D18050" s="9" t="s">
        <v>55</v>
      </c>
      <c r="E18050" s="10" t="s">
        <v>56</v>
      </c>
      <c r="F18050" s="9" t="s">
        <v>57</v>
      </c>
      <c r="G18050" s="10" t="s">
        <v>21</v>
      </c>
      <c r="H18050" s="9" t="s">
        <v>22</v>
      </c>
      <c r="I18050" s="9" t="s">
        <v>36619</v>
      </c>
      <c r="J18050" s="10" t="str">
        <f>HYPERLINK("https://www.boe.es/gazeta/dias/1834/07/09/pdfs/GMD-1834-142.pdf#page=3","Abrir facsímil")</f>
        <v>Abrir facsímil</v>
      </c>
      <c r="K18050" s="10" t="s">
        <v>24</v>
      </c>
    </row>
    <row r="18051" spans="1:11" ht="54" customHeight="1">
      <c r="A18051" s="9" t="s">
        <v>36620</v>
      </c>
      <c r="B18051" s="9" t="s">
        <v>36621</v>
      </c>
      <c r="C18051" s="9" t="s">
        <v>17</v>
      </c>
      <c r="D18051" s="9" t="s">
        <v>40</v>
      </c>
      <c r="E18051" s="10" t="s">
        <v>2950</v>
      </c>
      <c r="F18051" s="9" t="s">
        <v>2951</v>
      </c>
      <c r="G18051" s="10" t="s">
        <v>75</v>
      </c>
      <c r="H18051" s="9" t="s">
        <v>22</v>
      </c>
      <c r="I18051" s="9" t="s">
        <v>36622</v>
      </c>
      <c r="J18051" s="10" t="str">
        <f>HYPERLINK("https://www.boe.es/gazeta/dias/1834/05/20/pdfs/GMD-1834-89.pdf#page=4","Abrir facsímil")</f>
        <v>Abrir facsímil</v>
      </c>
      <c r="K18051" s="10" t="s">
        <v>24</v>
      </c>
    </row>
    <row r="18052" spans="1:11" ht="54" customHeight="1">
      <c r="A18052" s="9" t="s">
        <v>36623</v>
      </c>
      <c r="B18052" s="9" t="s">
        <v>36623</v>
      </c>
      <c r="C18052" s="9" t="s">
        <v>17</v>
      </c>
      <c r="D18052" s="9" t="s">
        <v>18</v>
      </c>
      <c r="E18052" s="10" t="s">
        <v>1226</v>
      </c>
      <c r="F18052" s="9" t="s">
        <v>1227</v>
      </c>
      <c r="G18052" s="10" t="s">
        <v>34</v>
      </c>
      <c r="H18052" s="9" t="s">
        <v>22</v>
      </c>
      <c r="I18052" s="9" t="s">
        <v>36624</v>
      </c>
      <c r="J18052" s="10" t="str">
        <f>HYPERLINK("https://www.boe.es/gazeta/dias/1834/07/14/pdfs/GMD-1834-147.pdf#page=1","Abrir facsímil")</f>
        <v>Abrir facsímil</v>
      </c>
      <c r="K18052" s="10" t="s">
        <v>24</v>
      </c>
    </row>
    <row r="18053" spans="1:11" ht="54" customHeight="1">
      <c r="A18053" s="9" t="s">
        <v>36625</v>
      </c>
      <c r="B18053" s="9" t="s">
        <v>36626</v>
      </c>
      <c r="C18053" s="9" t="s">
        <v>17</v>
      </c>
      <c r="D18053" s="9" t="s">
        <v>18</v>
      </c>
      <c r="E18053" s="10" t="s">
        <v>813</v>
      </c>
      <c r="F18053" s="9" t="s">
        <v>814</v>
      </c>
      <c r="G18053" s="10" t="s">
        <v>75</v>
      </c>
      <c r="H18053" s="9" t="s">
        <v>22</v>
      </c>
      <c r="I18053" s="9" t="s">
        <v>36627</v>
      </c>
      <c r="J18053" s="10" t="str">
        <f>HYPERLINK("https://www.boe.es/gazeta/dias/1834/08/08/pdfs/GMD-1834-173.pdf#page=4","Abrir facsímil")</f>
        <v>Abrir facsímil</v>
      </c>
      <c r="K18053" s="10" t="s">
        <v>24</v>
      </c>
    </row>
    <row r="18054" spans="1:11" ht="54" customHeight="1">
      <c r="A18054" s="9" t="s">
        <v>36628</v>
      </c>
      <c r="B18054" s="9" t="s">
        <v>36629</v>
      </c>
      <c r="C18054" s="9" t="s">
        <v>66</v>
      </c>
      <c r="D18054" s="9" t="s">
        <v>67</v>
      </c>
      <c r="E18054" s="10" t="s">
        <v>1862</v>
      </c>
      <c r="F18054" s="9" t="s">
        <v>1863</v>
      </c>
      <c r="G18054" s="10" t="s">
        <v>75</v>
      </c>
      <c r="H18054" s="9" t="s">
        <v>22</v>
      </c>
      <c r="I18054" s="9" t="s">
        <v>36630</v>
      </c>
      <c r="J18054" s="10" t="str">
        <f>HYPERLINK("https://www.boe.es/gazeta/dias/1834/02/04/pdfs/GMD-1834-16.pdf#page=4","Abrir facsímil")</f>
        <v>Abrir facsímil</v>
      </c>
      <c r="K18054" s="10" t="s">
        <v>24</v>
      </c>
    </row>
    <row r="18055" spans="1:11" ht="54" customHeight="1">
      <c r="A18055" s="9" t="s">
        <v>36631</v>
      </c>
      <c r="B18055" s="9" t="s">
        <v>36631</v>
      </c>
      <c r="C18055" s="9" t="s">
        <v>46</v>
      </c>
      <c r="D18055" s="9" t="s">
        <v>18</v>
      </c>
      <c r="E18055" s="10" t="s">
        <v>222</v>
      </c>
      <c r="F18055" s="9" t="s">
        <v>223</v>
      </c>
      <c r="G18055" s="10" t="s">
        <v>75</v>
      </c>
      <c r="H18055" s="9" t="s">
        <v>22</v>
      </c>
      <c r="I18055" s="9" t="s">
        <v>36632</v>
      </c>
      <c r="J18055" s="10" t="str">
        <f>HYPERLINK("https://www.boe.es/gazeta/dias/1834/09/14/pdfs/GMD-1834-212.pdf#page=4","Abrir facsímil")</f>
        <v>Abrir facsímil</v>
      </c>
      <c r="K18055" s="10" t="s">
        <v>24</v>
      </c>
    </row>
    <row r="18056" spans="1:11" ht="54" customHeight="1">
      <c r="A18056" s="9" t="s">
        <v>36633</v>
      </c>
      <c r="B18056" s="9" t="s">
        <v>36634</v>
      </c>
      <c r="C18056" s="9" t="s">
        <v>17</v>
      </c>
      <c r="D18056" s="9" t="s">
        <v>101</v>
      </c>
      <c r="E18056" s="10" t="s">
        <v>1708</v>
      </c>
      <c r="F18056" s="9" t="s">
        <v>1709</v>
      </c>
      <c r="G18056" s="10" t="s">
        <v>34</v>
      </c>
      <c r="H18056" s="9" t="s">
        <v>22</v>
      </c>
      <c r="I18056" s="9" t="s">
        <v>36635</v>
      </c>
      <c r="J18056" s="10" t="str">
        <f>HYPERLINK("https://www.boe.es/gazeta/dias/1834/04/12/pdfs/GMD-1834-51.pdf#page=1","Abrir facsímil")</f>
        <v>Abrir facsímil</v>
      </c>
      <c r="K18056" s="10" t="s">
        <v>24</v>
      </c>
    </row>
    <row r="18057" spans="1:11" ht="54" customHeight="1">
      <c r="A18057" s="9" t="s">
        <v>36636</v>
      </c>
      <c r="B18057" s="9" t="s">
        <v>36637</v>
      </c>
      <c r="C18057" s="9" t="s">
        <v>66</v>
      </c>
      <c r="D18057" s="9" t="s">
        <v>67</v>
      </c>
      <c r="E18057" s="10" t="s">
        <v>1119</v>
      </c>
      <c r="F18057" s="9" t="s">
        <v>1120</v>
      </c>
      <c r="G18057" s="10" t="s">
        <v>21</v>
      </c>
      <c r="H18057" s="9" t="s">
        <v>22</v>
      </c>
      <c r="I18057" s="9" t="s">
        <v>36638</v>
      </c>
      <c r="J18057" s="10" t="str">
        <f>HYPERLINK("https://www.boe.es/gazeta/dias/1834/07/17/pdfs/GMD-1834-150.pdf#page=3","Abrir facsímil")</f>
        <v>Abrir facsímil</v>
      </c>
      <c r="K18057" s="10" t="s">
        <v>24</v>
      </c>
    </row>
    <row r="18058" spans="1:11" ht="54" customHeight="1">
      <c r="A18058" s="9" t="s">
        <v>36639</v>
      </c>
      <c r="B18058" s="9" t="s">
        <v>36640</v>
      </c>
      <c r="C18058" s="9" t="s">
        <v>17</v>
      </c>
      <c r="D18058" s="9" t="s">
        <v>18</v>
      </c>
      <c r="E18058" s="10" t="s">
        <v>280</v>
      </c>
      <c r="F18058" s="9" t="s">
        <v>3217</v>
      </c>
      <c r="G18058" s="10" t="s">
        <v>34</v>
      </c>
      <c r="H18058" s="9" t="s">
        <v>22</v>
      </c>
      <c r="I18058" s="9" t="s">
        <v>36641</v>
      </c>
      <c r="J18058" s="10" t="str">
        <f>HYPERLINK("https://www.boe.es/gazeta/dias/1834/08/29/pdfs/GMD-1834-195.pdf#page=1","Abrir facsímil")</f>
        <v>Abrir facsímil</v>
      </c>
      <c r="K18058" s="10" t="s">
        <v>24</v>
      </c>
    </row>
    <row r="18059" spans="1:11" ht="54" customHeight="1">
      <c r="A18059" s="9" t="s">
        <v>36642</v>
      </c>
      <c r="B18059" s="9" t="s">
        <v>36642</v>
      </c>
      <c r="C18059" s="9" t="s">
        <v>17</v>
      </c>
      <c r="D18059" s="9" t="s">
        <v>18</v>
      </c>
      <c r="E18059" s="10" t="s">
        <v>762</v>
      </c>
      <c r="F18059" s="9" t="s">
        <v>2227</v>
      </c>
      <c r="G18059" s="10" t="s">
        <v>86</v>
      </c>
      <c r="H18059" s="9" t="s">
        <v>22</v>
      </c>
      <c r="I18059" s="9" t="s">
        <v>36643</v>
      </c>
      <c r="J18059" s="10" t="str">
        <f>HYPERLINK("https://www.boe.es/gazeta/dias/1834/11/07/pdfs/GMD-C-1834-266.pdf#page=2","Abrir facsímil")</f>
        <v>Abrir facsímil</v>
      </c>
      <c r="K18059" s="10" t="s">
        <v>24</v>
      </c>
    </row>
    <row r="18060" spans="1:11" ht="54" customHeight="1">
      <c r="A18060" s="9" t="s">
        <v>36644</v>
      </c>
      <c r="B18060" s="9" t="s">
        <v>36645</v>
      </c>
      <c r="C18060" s="9" t="s">
        <v>17</v>
      </c>
      <c r="D18060" s="9" t="s">
        <v>18</v>
      </c>
      <c r="E18060" s="10" t="s">
        <v>451</v>
      </c>
      <c r="F18060" s="9" t="s">
        <v>452</v>
      </c>
      <c r="G18060" s="10" t="s">
        <v>21</v>
      </c>
      <c r="H18060" s="9" t="s">
        <v>22</v>
      </c>
      <c r="I18060" s="9" t="s">
        <v>36646</v>
      </c>
      <c r="J18060" s="10" t="str">
        <f>HYPERLINK("https://www.boe.es/gazeta/dias/1834/10/15/pdfs/GMD-C-1834-243.pdf#page=3","Abrir facsímil")</f>
        <v>Abrir facsímil</v>
      </c>
      <c r="K18060" s="10" t="s">
        <v>24</v>
      </c>
    </row>
    <row r="18061" spans="1:11" ht="54" customHeight="1">
      <c r="A18061" s="9" t="s">
        <v>36647</v>
      </c>
      <c r="B18061" s="9" t="s">
        <v>36648</v>
      </c>
      <c r="C18061" s="9" t="s">
        <v>17</v>
      </c>
      <c r="D18061" s="9" t="s">
        <v>18</v>
      </c>
      <c r="E18061" s="10" t="s">
        <v>451</v>
      </c>
      <c r="F18061" s="9" t="s">
        <v>452</v>
      </c>
      <c r="G18061" s="10" t="s">
        <v>21</v>
      </c>
      <c r="H18061" s="9" t="s">
        <v>35</v>
      </c>
      <c r="I18061" s="9" t="s">
        <v>36649</v>
      </c>
      <c r="J18061" s="10" t="str">
        <f>HYPERLINK("https://www.boe.es/gazeta/dias/1834/10/15/pdfs/GMD-C-1834-243.pdf#page=3","Abrir facsímil")</f>
        <v>Abrir facsímil</v>
      </c>
      <c r="K18061" s="10" t="s">
        <v>37</v>
      </c>
    </row>
    <row r="18062" spans="1:11" ht="54" customHeight="1">
      <c r="A18062" s="9" t="s">
        <v>36650</v>
      </c>
      <c r="B18062" s="9" t="s">
        <v>36651</v>
      </c>
      <c r="C18062" s="9" t="s">
        <v>17</v>
      </c>
      <c r="D18062" s="9" t="s">
        <v>18</v>
      </c>
      <c r="E18062" s="10" t="s">
        <v>258</v>
      </c>
      <c r="F18062" s="9" t="s">
        <v>259</v>
      </c>
      <c r="G18062" s="10" t="s">
        <v>86</v>
      </c>
      <c r="H18062" s="9" t="s">
        <v>22</v>
      </c>
      <c r="I18062" s="9" t="s">
        <v>36652</v>
      </c>
      <c r="J18062" s="10" t="str">
        <f>HYPERLINK("https://www.boe.es/gazeta/dias/1834/10/09/pdfs/GMD-C-1834-237.pdf#page=2","Abrir facsímil")</f>
        <v>Abrir facsímil</v>
      </c>
      <c r="K18062" s="10" t="s">
        <v>24</v>
      </c>
    </row>
    <row r="18063" spans="1:11" ht="54" customHeight="1">
      <c r="A18063" s="9" t="s">
        <v>36653</v>
      </c>
      <c r="B18063" s="9" t="s">
        <v>36653</v>
      </c>
      <c r="C18063" s="9" t="s">
        <v>17</v>
      </c>
      <c r="D18063" s="9" t="s">
        <v>18</v>
      </c>
      <c r="E18063" s="10" t="s">
        <v>91</v>
      </c>
      <c r="F18063" s="9" t="s">
        <v>92</v>
      </c>
      <c r="G18063" s="10" t="s">
        <v>21</v>
      </c>
      <c r="H18063" s="9" t="s">
        <v>22</v>
      </c>
      <c r="I18063" s="9" t="s">
        <v>36654</v>
      </c>
      <c r="J18063" s="10" t="str">
        <f>HYPERLINK("https://www.boe.es/gazeta/dias/1834/02/13/pdfs/GMD-1834-20.pdf#page=3","Abrir facsímil")</f>
        <v>Abrir facsímil</v>
      </c>
      <c r="K18063" s="10" t="s">
        <v>24</v>
      </c>
    </row>
    <row r="18064" spans="1:11" ht="54" customHeight="1">
      <c r="A18064" s="9" t="s">
        <v>36655</v>
      </c>
      <c r="B18064" s="9" t="s">
        <v>36656</v>
      </c>
      <c r="C18064" s="9" t="s">
        <v>17</v>
      </c>
      <c r="D18064" s="9" t="s">
        <v>18</v>
      </c>
      <c r="E18064" s="10" t="s">
        <v>563</v>
      </c>
      <c r="F18064" s="9" t="s">
        <v>564</v>
      </c>
      <c r="G18064" s="10" t="s">
        <v>34</v>
      </c>
      <c r="H18064" s="9" t="s">
        <v>22</v>
      </c>
      <c r="I18064" s="9" t="s">
        <v>36657</v>
      </c>
      <c r="J18064" s="10" t="str">
        <f>HYPERLINK("https://www.boe.es/gazeta/dias/1834/04/19/pdfs/GMD-1834-58.pdf#page=1","Abrir facsímil")</f>
        <v>Abrir facsímil</v>
      </c>
      <c r="K18064" s="10" t="s">
        <v>24</v>
      </c>
    </row>
    <row r="18065" spans="1:11" ht="54" customHeight="1">
      <c r="A18065" s="9" t="s">
        <v>36655</v>
      </c>
      <c r="B18065" s="9" t="s">
        <v>36656</v>
      </c>
      <c r="C18065" s="9" t="s">
        <v>90</v>
      </c>
      <c r="D18065" s="9" t="s">
        <v>18</v>
      </c>
      <c r="E18065" s="10" t="s">
        <v>724</v>
      </c>
      <c r="F18065" s="9" t="s">
        <v>725</v>
      </c>
      <c r="G18065" s="10" t="s">
        <v>34</v>
      </c>
      <c r="H18065" s="9" t="s">
        <v>22</v>
      </c>
      <c r="I18065" s="9" t="s">
        <v>36658</v>
      </c>
      <c r="J18065" s="10" t="str">
        <f>HYPERLINK("https://www.boe.es/gazeta/dias/1834/04/25/pdfs/GMD-1834-64.pdf#page=1","Abrir facsímil")</f>
        <v>Abrir facsímil</v>
      </c>
      <c r="K18065" s="10" t="s">
        <v>24</v>
      </c>
    </row>
    <row r="18066" spans="1:11" ht="54" customHeight="1">
      <c r="A18066" s="9" t="s">
        <v>36659</v>
      </c>
      <c r="B18066" s="9" t="s">
        <v>36660</v>
      </c>
      <c r="C18066" s="9" t="s">
        <v>90</v>
      </c>
      <c r="D18066" s="9" t="s">
        <v>18</v>
      </c>
      <c r="E18066" s="10" t="s">
        <v>454</v>
      </c>
      <c r="F18066" s="9" t="s">
        <v>2009</v>
      </c>
      <c r="G18066" s="10" t="s">
        <v>21</v>
      </c>
      <c r="H18066" s="9" t="s">
        <v>22</v>
      </c>
      <c r="I18066" s="9" t="s">
        <v>36661</v>
      </c>
      <c r="J18066" s="10" t="str">
        <f>HYPERLINK("https://www.boe.es/gazeta/dias/1834/10/16/pdfs/GMD-1834-244.pdf#page=3","Abrir facsímil")</f>
        <v>Abrir facsímil</v>
      </c>
      <c r="K18066" s="10" t="s">
        <v>24</v>
      </c>
    </row>
    <row r="18067" spans="1:11" ht="54" customHeight="1">
      <c r="A18067" s="9" t="s">
        <v>36662</v>
      </c>
      <c r="B18067" s="9" t="s">
        <v>36662</v>
      </c>
      <c r="C18067" s="9" t="s">
        <v>17</v>
      </c>
      <c r="D18067" s="9" t="s">
        <v>18</v>
      </c>
      <c r="E18067" s="10" t="s">
        <v>1850</v>
      </c>
      <c r="F18067" s="9" t="s">
        <v>1851</v>
      </c>
      <c r="G18067" s="10" t="s">
        <v>176</v>
      </c>
      <c r="H18067" s="9" t="s">
        <v>22</v>
      </c>
      <c r="I18067" s="9" t="s">
        <v>36663</v>
      </c>
      <c r="J18067" s="10" t="str">
        <f>HYPERLINK("https://www.boe.es/gazeta/dias/1834/02/18/pdfs/GMD-1834-22.pdf#page=6","Abrir facsímil")</f>
        <v>Abrir facsímil</v>
      </c>
      <c r="K18067" s="10" t="s">
        <v>24</v>
      </c>
    </row>
    <row r="18068" spans="1:11" ht="54" customHeight="1">
      <c r="A18068" s="9" t="s">
        <v>36664</v>
      </c>
      <c r="B18068" s="9" t="s">
        <v>36664</v>
      </c>
      <c r="C18068" s="9" t="s">
        <v>17</v>
      </c>
      <c r="D18068" s="9" t="s">
        <v>18</v>
      </c>
      <c r="E18068" s="10" t="s">
        <v>255</v>
      </c>
      <c r="F18068" s="9" t="s">
        <v>256</v>
      </c>
      <c r="G18068" s="10" t="s">
        <v>86</v>
      </c>
      <c r="H18068" s="9" t="s">
        <v>22</v>
      </c>
      <c r="I18068" s="9" t="s">
        <v>36665</v>
      </c>
      <c r="J18068" s="10" t="str">
        <f>HYPERLINK("https://www.boe.es/gazeta/dias/1834/09/01/pdfs/GMD-D-1834-199.pdf#page=2","Abrir facsímil")</f>
        <v>Abrir facsímil</v>
      </c>
      <c r="K18068" s="10" t="s">
        <v>24</v>
      </c>
    </row>
    <row r="18069" spans="1:11" ht="54" customHeight="1">
      <c r="A18069" s="9" t="s">
        <v>36664</v>
      </c>
      <c r="B18069" s="9" t="s">
        <v>36664</v>
      </c>
      <c r="C18069" s="9" t="s">
        <v>17</v>
      </c>
      <c r="D18069" s="9" t="s">
        <v>55</v>
      </c>
      <c r="E18069" s="10" t="s">
        <v>364</v>
      </c>
      <c r="F18069" s="9" t="s">
        <v>365</v>
      </c>
      <c r="G18069" s="10" t="s">
        <v>86</v>
      </c>
      <c r="H18069" s="9" t="s">
        <v>22</v>
      </c>
      <c r="I18069" s="9" t="s">
        <v>36666</v>
      </c>
      <c r="J18069" s="10" t="str">
        <f>HYPERLINK("https://www.boe.es/gazeta/dias/1834/09/06/pdfs/GMD-C-1834-204.pdf#page=2","Abrir facsímil")</f>
        <v>Abrir facsímil</v>
      </c>
      <c r="K18069" s="10" t="s">
        <v>24</v>
      </c>
    </row>
    <row r="18070" spans="1:11" ht="54" customHeight="1">
      <c r="A18070" s="9" t="s">
        <v>36664</v>
      </c>
      <c r="B18070" s="9" t="s">
        <v>36664</v>
      </c>
      <c r="C18070" s="9" t="s">
        <v>17</v>
      </c>
      <c r="D18070" s="9" t="s">
        <v>18</v>
      </c>
      <c r="E18070" s="10" t="s">
        <v>334</v>
      </c>
      <c r="F18070" s="9" t="s">
        <v>335</v>
      </c>
      <c r="G18070" s="10" t="s">
        <v>34</v>
      </c>
      <c r="H18070" s="9" t="s">
        <v>22</v>
      </c>
      <c r="I18070" s="9" t="s">
        <v>36667</v>
      </c>
      <c r="J18070" s="10" t="str">
        <f>HYPERLINK("https://www.boe.es/gazeta/dias/1834/09/11/pdfs/GMD-C-1834-209.pdf#page=1","Abrir facsímil")</f>
        <v>Abrir facsímil</v>
      </c>
      <c r="K18070" s="10" t="s">
        <v>24</v>
      </c>
    </row>
    <row r="18071" spans="1:11" ht="54" customHeight="1">
      <c r="A18071" s="9" t="s">
        <v>36664</v>
      </c>
      <c r="B18071" s="9" t="s">
        <v>36664</v>
      </c>
      <c r="C18071" s="9" t="s">
        <v>17</v>
      </c>
      <c r="D18071" s="9" t="s">
        <v>40</v>
      </c>
      <c r="E18071" s="10" t="s">
        <v>334</v>
      </c>
      <c r="F18071" s="9" t="s">
        <v>335</v>
      </c>
      <c r="G18071" s="10" t="s">
        <v>21</v>
      </c>
      <c r="H18071" s="9" t="s">
        <v>22</v>
      </c>
      <c r="I18071" s="9" t="s">
        <v>36668</v>
      </c>
      <c r="J18071" s="10" t="str">
        <f>HYPERLINK("https://www.boe.es/gazeta/dias/1834/09/11/pdfs/GMD-C-1834-209.pdf#page=3","Abrir facsímil")</f>
        <v>Abrir facsímil</v>
      </c>
      <c r="K18071" s="10" t="s">
        <v>24</v>
      </c>
    </row>
    <row r="18072" spans="1:11" ht="54" customHeight="1">
      <c r="A18072" s="9" t="s">
        <v>36664</v>
      </c>
      <c r="B18072" s="9" t="s">
        <v>36664</v>
      </c>
      <c r="C18072" s="9" t="s">
        <v>46</v>
      </c>
      <c r="D18072" s="9" t="s">
        <v>101</v>
      </c>
      <c r="E18072" s="10" t="s">
        <v>237</v>
      </c>
      <c r="F18072" s="9" t="s">
        <v>238</v>
      </c>
      <c r="G18072" s="10" t="s">
        <v>21</v>
      </c>
      <c r="H18072" s="9" t="s">
        <v>22</v>
      </c>
      <c r="I18072" s="9" t="s">
        <v>36669</v>
      </c>
      <c r="J18072" s="10" t="str">
        <f>HYPERLINK("https://www.boe.es/gazeta/dias/1834/08/15/pdfs/GMD-C-1834-180.pdf#page=3","Abrir facsímil")</f>
        <v>Abrir facsímil</v>
      </c>
      <c r="K18072" s="10" t="s">
        <v>24</v>
      </c>
    </row>
    <row r="18073" spans="1:11" ht="54" customHeight="1">
      <c r="A18073" s="9" t="s">
        <v>36664</v>
      </c>
      <c r="B18073" s="9" t="s">
        <v>36664</v>
      </c>
      <c r="C18073" s="9" t="s">
        <v>17</v>
      </c>
      <c r="D18073" s="9" t="s">
        <v>18</v>
      </c>
      <c r="E18073" s="10" t="s">
        <v>8200</v>
      </c>
      <c r="F18073" s="9" t="s">
        <v>8201</v>
      </c>
      <c r="G18073" s="10" t="s">
        <v>75</v>
      </c>
      <c r="H18073" s="9" t="s">
        <v>22</v>
      </c>
      <c r="I18073" s="9" t="s">
        <v>36670</v>
      </c>
      <c r="J18073" s="10" t="str">
        <f>HYPERLINK("https://www.boe.es/gazeta/dias/1834/11/17/pdfs/GMD-1834-276.pdf#page=4","Abrir facsímil")</f>
        <v>Abrir facsímil</v>
      </c>
      <c r="K18073" s="10" t="s">
        <v>24</v>
      </c>
    </row>
    <row r="18074" spans="1:11" ht="54" customHeight="1">
      <c r="A18074" s="9" t="s">
        <v>36664</v>
      </c>
      <c r="B18074" s="9" t="s">
        <v>36664</v>
      </c>
      <c r="C18074" s="9" t="s">
        <v>90</v>
      </c>
      <c r="D18074" s="9" t="s">
        <v>18</v>
      </c>
      <c r="E18074" s="10" t="s">
        <v>627</v>
      </c>
      <c r="F18074" s="9" t="s">
        <v>628</v>
      </c>
      <c r="G18074" s="10" t="s">
        <v>560</v>
      </c>
      <c r="H18074" s="9" t="s">
        <v>22</v>
      </c>
      <c r="I18074" s="9" t="s">
        <v>36671</v>
      </c>
      <c r="J18074" s="10" t="str">
        <f>HYPERLINK("https://www.boe.es/gazeta/dias/1834/09/22/pdfs/GMD-C-1834-220.pdf#page=7","Abrir facsímil")</f>
        <v>Abrir facsímil</v>
      </c>
      <c r="K18074" s="10" t="s">
        <v>24</v>
      </c>
    </row>
    <row r="18075" spans="1:11" ht="54" customHeight="1">
      <c r="A18075" s="9" t="s">
        <v>36672</v>
      </c>
      <c r="B18075" s="9" t="s">
        <v>36673</v>
      </c>
      <c r="C18075" s="9" t="s">
        <v>17</v>
      </c>
      <c r="D18075" s="9" t="s">
        <v>18</v>
      </c>
      <c r="E18075" s="10" t="s">
        <v>860</v>
      </c>
      <c r="F18075" s="9" t="s">
        <v>861</v>
      </c>
      <c r="G18075" s="10" t="s">
        <v>560</v>
      </c>
      <c r="H18075" s="9" t="s">
        <v>22</v>
      </c>
      <c r="I18075" s="9" t="s">
        <v>36674</v>
      </c>
      <c r="J18075" s="10" t="str">
        <f>HYPERLINK("https://www.boe.es/gazeta/dias/1834/02/08/pdfs/GMD-1834-18.pdf#page=7","Abrir facsímil")</f>
        <v>Abrir facsímil</v>
      </c>
      <c r="K18075" s="10" t="s">
        <v>24</v>
      </c>
    </row>
    <row r="18076" spans="1:11" ht="54" customHeight="1">
      <c r="A18076" s="9" t="s">
        <v>36675</v>
      </c>
      <c r="B18076" s="9" t="s">
        <v>36676</v>
      </c>
      <c r="C18076" s="9" t="s">
        <v>17</v>
      </c>
      <c r="D18076" s="9" t="s">
        <v>18</v>
      </c>
      <c r="E18076" s="10" t="s">
        <v>237</v>
      </c>
      <c r="F18076" s="9" t="s">
        <v>4609</v>
      </c>
      <c r="G18076" s="10" t="s">
        <v>34</v>
      </c>
      <c r="H18076" s="9" t="s">
        <v>22</v>
      </c>
      <c r="I18076" s="9" t="s">
        <v>36677</v>
      </c>
      <c r="J18076" s="10" t="str">
        <f>HYPERLINK("https://www.boe.es/gazeta/dias/1834/08/15/pdfs/GMD-1834-180.pdf#page=1","Abrir facsímil")</f>
        <v>Abrir facsímil</v>
      </c>
      <c r="K18076" s="10" t="s">
        <v>24</v>
      </c>
    </row>
    <row r="18077" spans="1:11" ht="54" customHeight="1">
      <c r="A18077" s="9" t="s">
        <v>36678</v>
      </c>
      <c r="B18077" s="9" t="s">
        <v>36679</v>
      </c>
      <c r="C18077" s="9" t="s">
        <v>90</v>
      </c>
      <c r="D18077" s="9" t="s">
        <v>18</v>
      </c>
      <c r="E18077" s="10" t="s">
        <v>552</v>
      </c>
      <c r="F18077" s="9" t="s">
        <v>1478</v>
      </c>
      <c r="G18077" s="10" t="s">
        <v>34</v>
      </c>
      <c r="H18077" s="9" t="s">
        <v>22</v>
      </c>
      <c r="I18077" s="9" t="s">
        <v>36680</v>
      </c>
      <c r="J18077" s="10" t="str">
        <f>HYPERLINK("https://www.boe.es/gazeta/dias/1834/07/30/pdfs/GMD-C-1834-163.pdf#page=1","Abrir facsímil")</f>
        <v>Abrir facsímil</v>
      </c>
      <c r="K18077" s="10" t="s">
        <v>24</v>
      </c>
    </row>
    <row r="18078" spans="1:11" ht="54" customHeight="1">
      <c r="A18078" s="9" t="s">
        <v>36681</v>
      </c>
      <c r="B18078" s="9" t="s">
        <v>36682</v>
      </c>
      <c r="C18078" s="9" t="s">
        <v>66</v>
      </c>
      <c r="D18078" s="9" t="s">
        <v>67</v>
      </c>
      <c r="E18078" s="10" t="s">
        <v>724</v>
      </c>
      <c r="F18078" s="9" t="s">
        <v>725</v>
      </c>
      <c r="G18078" s="10" t="s">
        <v>75</v>
      </c>
      <c r="H18078" s="9" t="s">
        <v>22</v>
      </c>
      <c r="I18078" s="9" t="s">
        <v>36683</v>
      </c>
      <c r="J18078" s="10" t="str">
        <f>HYPERLINK("https://www.boe.es/gazeta/dias/1834/04/25/pdfs/GMD-1834-64.pdf#page=4","Abrir facsímil")</f>
        <v>Abrir facsímil</v>
      </c>
      <c r="K18078" s="10" t="s">
        <v>24</v>
      </c>
    </row>
    <row r="18079" spans="1:11" ht="54" customHeight="1">
      <c r="A18079" s="9" t="s">
        <v>36684</v>
      </c>
      <c r="B18079" s="9" t="s">
        <v>36685</v>
      </c>
      <c r="C18079" s="9" t="s">
        <v>46</v>
      </c>
      <c r="D18079" s="9" t="s">
        <v>101</v>
      </c>
      <c r="E18079" s="10" t="s">
        <v>96</v>
      </c>
      <c r="F18079" s="9" t="s">
        <v>1725</v>
      </c>
      <c r="G18079" s="10" t="s">
        <v>75</v>
      </c>
      <c r="H18079" s="9" t="s">
        <v>22</v>
      </c>
      <c r="I18079" s="9" t="s">
        <v>36686</v>
      </c>
      <c r="J18079" s="10" t="str">
        <f>HYPERLINK("https://www.boe.es/gazeta/dias/1834/11/11/pdfs/GMD-1834-270.pdf#page=4","Abrir facsímil")</f>
        <v>Abrir facsímil</v>
      </c>
      <c r="K18079" s="10" t="s">
        <v>24</v>
      </c>
    </row>
    <row r="18080" spans="1:11" ht="54" customHeight="1">
      <c r="A18080" s="9" t="s">
        <v>36687</v>
      </c>
      <c r="B18080" s="9" t="s">
        <v>36688</v>
      </c>
      <c r="C18080" s="9" t="s">
        <v>17</v>
      </c>
      <c r="D18080" s="9" t="s">
        <v>18</v>
      </c>
      <c r="E18080" s="10" t="s">
        <v>860</v>
      </c>
      <c r="F18080" s="9" t="s">
        <v>861</v>
      </c>
      <c r="G18080" s="10" t="s">
        <v>560</v>
      </c>
      <c r="H18080" s="9" t="s">
        <v>22</v>
      </c>
      <c r="I18080" s="9" t="s">
        <v>36689</v>
      </c>
      <c r="J18080" s="10" t="str">
        <f>HYPERLINK("https://www.boe.es/gazeta/dias/1834/02/08/pdfs/GMD-1834-18.pdf#page=7","Abrir facsímil")</f>
        <v>Abrir facsímil</v>
      </c>
      <c r="K18080" s="10" t="s">
        <v>24</v>
      </c>
    </row>
    <row r="18081" spans="1:11" ht="54" customHeight="1">
      <c r="A18081" s="9" t="s">
        <v>36690</v>
      </c>
      <c r="B18081" s="9" t="s">
        <v>36691</v>
      </c>
      <c r="C18081" s="9" t="s">
        <v>66</v>
      </c>
      <c r="D18081" s="9" t="s">
        <v>67</v>
      </c>
      <c r="E18081" s="10" t="s">
        <v>138</v>
      </c>
      <c r="F18081" s="9" t="s">
        <v>139</v>
      </c>
      <c r="G18081" s="10" t="s">
        <v>21</v>
      </c>
      <c r="H18081" s="9" t="s">
        <v>35</v>
      </c>
      <c r="I18081" s="9" t="s">
        <v>36692</v>
      </c>
      <c r="J18081" s="10" t="str">
        <f>HYPERLINK("https://www.boe.es/gazeta/dias/1834/05/17/pdfs/GMD-1834-86.pdf#page=3","Abrir facsímil")</f>
        <v>Abrir facsímil</v>
      </c>
      <c r="K18081" s="10" t="s">
        <v>37</v>
      </c>
    </row>
    <row r="18082" spans="1:11" ht="54" customHeight="1">
      <c r="A18082" s="9" t="s">
        <v>36693</v>
      </c>
      <c r="B18082" s="9" t="s">
        <v>36694</v>
      </c>
      <c r="C18082" s="9" t="s">
        <v>66</v>
      </c>
      <c r="D18082" s="9" t="s">
        <v>67</v>
      </c>
      <c r="E18082" s="10" t="s">
        <v>138</v>
      </c>
      <c r="F18082" s="9" t="s">
        <v>139</v>
      </c>
      <c r="G18082" s="10" t="s">
        <v>21</v>
      </c>
      <c r="H18082" s="9" t="s">
        <v>22</v>
      </c>
      <c r="I18082" s="9" t="s">
        <v>36695</v>
      </c>
      <c r="J18082" s="10" t="str">
        <f>HYPERLINK("https://www.boe.es/gazeta/dias/1834/05/17/pdfs/GMD-1834-86.pdf#page=3","Abrir facsímil")</f>
        <v>Abrir facsímil</v>
      </c>
      <c r="K18082" s="10" t="s">
        <v>24</v>
      </c>
    </row>
    <row r="18083" spans="1:11" ht="54" customHeight="1">
      <c r="A18083" s="9" t="s">
        <v>36696</v>
      </c>
      <c r="B18083" s="9" t="s">
        <v>36697</v>
      </c>
      <c r="C18083" s="9" t="s">
        <v>17</v>
      </c>
      <c r="D18083" s="9" t="s">
        <v>18</v>
      </c>
      <c r="E18083" s="10" t="s">
        <v>1025</v>
      </c>
      <c r="F18083" s="9" t="s">
        <v>1026</v>
      </c>
      <c r="G18083" s="10" t="s">
        <v>21</v>
      </c>
      <c r="H18083" s="9" t="s">
        <v>22</v>
      </c>
      <c r="I18083" s="9" t="s">
        <v>36698</v>
      </c>
      <c r="J18083" s="10" t="str">
        <f>HYPERLINK("https://www.boe.es/gazeta/dias/1834/03/01/pdfs/GMD-1834-27.pdf#page=3","Abrir facsímil")</f>
        <v>Abrir facsímil</v>
      </c>
      <c r="K18083" s="10" t="s">
        <v>24</v>
      </c>
    </row>
    <row r="18084" spans="1:11" ht="54" customHeight="1">
      <c r="A18084" s="9" t="s">
        <v>36699</v>
      </c>
      <c r="B18084" s="9" t="s">
        <v>36700</v>
      </c>
      <c r="C18084" s="9" t="s">
        <v>90</v>
      </c>
      <c r="D18084" s="9" t="s">
        <v>67</v>
      </c>
      <c r="E18084" s="10" t="s">
        <v>183</v>
      </c>
      <c r="F18084" s="9" t="s">
        <v>184</v>
      </c>
      <c r="G18084" s="10" t="s">
        <v>21</v>
      </c>
      <c r="H18084" s="9" t="s">
        <v>35</v>
      </c>
      <c r="I18084" s="9" t="s">
        <v>36701</v>
      </c>
      <c r="J18084" s="10" t="str">
        <f>HYPERLINK("https://www.boe.es/gazeta/dias/1834/03/18/pdfs/GMD-1834-34.pdf#page=3","Abrir facsímil")</f>
        <v>Abrir facsímil</v>
      </c>
      <c r="K18084" s="10" t="s">
        <v>37</v>
      </c>
    </row>
    <row r="18085" spans="1:11" ht="54" customHeight="1">
      <c r="A18085" s="9" t="s">
        <v>36702</v>
      </c>
      <c r="B18085" s="9" t="s">
        <v>36703</v>
      </c>
      <c r="C18085" s="9" t="s">
        <v>90</v>
      </c>
      <c r="D18085" s="9" t="s">
        <v>67</v>
      </c>
      <c r="E18085" s="10" t="s">
        <v>183</v>
      </c>
      <c r="F18085" s="9" t="s">
        <v>184</v>
      </c>
      <c r="G18085" s="10" t="s">
        <v>21</v>
      </c>
      <c r="H18085" s="9" t="s">
        <v>22</v>
      </c>
      <c r="I18085" s="9" t="s">
        <v>36704</v>
      </c>
      <c r="J18085" s="10" t="str">
        <f>HYPERLINK("https://www.boe.es/gazeta/dias/1834/03/18/pdfs/GMD-1834-34.pdf#page=3","Abrir facsímil")</f>
        <v>Abrir facsímil</v>
      </c>
      <c r="K18085" s="10" t="s">
        <v>24</v>
      </c>
    </row>
    <row r="18086" spans="1:11" ht="54" customHeight="1">
      <c r="A18086" s="9" t="s">
        <v>36705</v>
      </c>
      <c r="B18086" s="9" t="s">
        <v>36706</v>
      </c>
      <c r="C18086" s="9" t="s">
        <v>66</v>
      </c>
      <c r="D18086" s="9" t="s">
        <v>67</v>
      </c>
      <c r="E18086" s="10" t="s">
        <v>1918</v>
      </c>
      <c r="F18086" s="9" t="s">
        <v>1919</v>
      </c>
      <c r="G18086" s="10" t="s">
        <v>34</v>
      </c>
      <c r="H18086" s="9" t="s">
        <v>22</v>
      </c>
      <c r="I18086" s="9" t="s">
        <v>36707</v>
      </c>
      <c r="J18086" s="10" t="str">
        <f>HYPERLINK("https://www.boe.es/gazeta/dias/1834/03/22/pdfs/GMD-1834-36.pdf#page=1","Abrir facsímil")</f>
        <v>Abrir facsímil</v>
      </c>
      <c r="K18086" s="10" t="s">
        <v>24</v>
      </c>
    </row>
    <row r="18087" spans="1:11" ht="54" customHeight="1">
      <c r="A18087" s="9" t="s">
        <v>36708</v>
      </c>
      <c r="B18087" s="9" t="s">
        <v>36709</v>
      </c>
      <c r="C18087" s="9" t="s">
        <v>17</v>
      </c>
      <c r="D18087" s="9" t="s">
        <v>55</v>
      </c>
      <c r="E18087" s="10" t="s">
        <v>1186</v>
      </c>
      <c r="F18087" s="9" t="s">
        <v>1187</v>
      </c>
      <c r="G18087" s="10" t="s">
        <v>34</v>
      </c>
      <c r="H18087" s="9" t="s">
        <v>22</v>
      </c>
      <c r="I18087" s="9" t="s">
        <v>36710</v>
      </c>
      <c r="J18087" s="10" t="str">
        <f>HYPERLINK("https://www.boe.es/gazeta/dias/1834/08/14/pdfs/GMD-1834-179.pdf#page=1","Abrir facsímil")</f>
        <v>Abrir facsímil</v>
      </c>
      <c r="K18087" s="10" t="s">
        <v>24</v>
      </c>
    </row>
    <row r="18088" spans="1:11" ht="54" customHeight="1">
      <c r="A18088" s="9" t="s">
        <v>36711</v>
      </c>
      <c r="B18088" s="9" t="s">
        <v>36712</v>
      </c>
      <c r="C18088" s="9" t="s">
        <v>17</v>
      </c>
      <c r="D18088" s="9" t="s">
        <v>18</v>
      </c>
      <c r="E18088" s="10" t="s">
        <v>84</v>
      </c>
      <c r="F18088" s="9" t="s">
        <v>1223</v>
      </c>
      <c r="G18088" s="10" t="s">
        <v>75</v>
      </c>
      <c r="H18088" s="9" t="s">
        <v>22</v>
      </c>
      <c r="I18088" s="9" t="s">
        <v>36713</v>
      </c>
      <c r="J18088" s="10" t="str">
        <f>HYPERLINK("https://www.boe.es/gazeta/dias/1834/06/07/pdfs/GMD-1834-109.pdf#page=4","Abrir facsímil")</f>
        <v>Abrir facsímil</v>
      </c>
      <c r="K18088" s="10" t="s">
        <v>24</v>
      </c>
    </row>
    <row r="18089" spans="1:11" ht="54" customHeight="1">
      <c r="A18089" s="9" t="s">
        <v>36714</v>
      </c>
      <c r="B18089" s="9" t="s">
        <v>36715</v>
      </c>
      <c r="C18089" s="9" t="s">
        <v>66</v>
      </c>
      <c r="D18089" s="9" t="s">
        <v>67</v>
      </c>
      <c r="E18089" s="10" t="s">
        <v>84</v>
      </c>
      <c r="F18089" s="9" t="s">
        <v>1223</v>
      </c>
      <c r="G18089" s="10" t="s">
        <v>75</v>
      </c>
      <c r="H18089" s="9" t="s">
        <v>22</v>
      </c>
      <c r="I18089" s="9" t="s">
        <v>36716</v>
      </c>
      <c r="J18089" s="10" t="str">
        <f>HYPERLINK("https://www.boe.es/gazeta/dias/1834/06/07/pdfs/GMD-1834-109.pdf#page=4","Abrir facsímil")</f>
        <v>Abrir facsímil</v>
      </c>
      <c r="K18089" s="10" t="s">
        <v>24</v>
      </c>
    </row>
    <row r="18090" spans="1:11" ht="54" customHeight="1">
      <c r="A18090" s="9" t="s">
        <v>36714</v>
      </c>
      <c r="B18090" s="9" t="s">
        <v>36715</v>
      </c>
      <c r="C18090" s="9" t="s">
        <v>17</v>
      </c>
      <c r="D18090" s="9" t="s">
        <v>18</v>
      </c>
      <c r="E18090" s="10" t="s">
        <v>863</v>
      </c>
      <c r="F18090" s="9" t="s">
        <v>864</v>
      </c>
      <c r="G18090" s="10" t="s">
        <v>86</v>
      </c>
      <c r="H18090" s="9" t="s">
        <v>22</v>
      </c>
      <c r="I18090" s="9" t="s">
        <v>36717</v>
      </c>
      <c r="J18090" s="10" t="str">
        <f>HYPERLINK("https://www.boe.es/gazeta/dias/1834/09/15/pdfs/GMD-1834-213.pdf#page=2","Abrir facsímil")</f>
        <v>Abrir facsímil</v>
      </c>
      <c r="K18090" s="10" t="s">
        <v>24</v>
      </c>
    </row>
    <row r="18091" spans="1:11" ht="54" customHeight="1">
      <c r="A18091" s="9" t="s">
        <v>36718</v>
      </c>
      <c r="B18091" s="9" t="s">
        <v>36719</v>
      </c>
      <c r="C18091" s="9" t="s">
        <v>66</v>
      </c>
      <c r="D18091" s="9" t="s">
        <v>67</v>
      </c>
      <c r="E18091" s="10" t="s">
        <v>84</v>
      </c>
      <c r="F18091" s="9" t="s">
        <v>1223</v>
      </c>
      <c r="G18091" s="10" t="s">
        <v>75</v>
      </c>
      <c r="H18091" s="9" t="s">
        <v>35</v>
      </c>
      <c r="I18091" s="9" t="s">
        <v>36720</v>
      </c>
      <c r="J18091" s="10" t="str">
        <f>HYPERLINK("https://www.boe.es/gazeta/dias/1834/06/07/pdfs/GMD-1834-109.pdf#page=4","Abrir facsímil")</f>
        <v>Abrir facsímil</v>
      </c>
      <c r="K18091" s="10" t="s">
        <v>37</v>
      </c>
    </row>
    <row r="18092" spans="1:11" ht="54" customHeight="1">
      <c r="A18092" s="9" t="s">
        <v>36718</v>
      </c>
      <c r="B18092" s="9" t="s">
        <v>36719</v>
      </c>
      <c r="C18092" s="9" t="s">
        <v>17</v>
      </c>
      <c r="D18092" s="9" t="s">
        <v>18</v>
      </c>
      <c r="E18092" s="10" t="s">
        <v>863</v>
      </c>
      <c r="F18092" s="9" t="s">
        <v>864</v>
      </c>
      <c r="G18092" s="10" t="s">
        <v>86</v>
      </c>
      <c r="H18092" s="9" t="s">
        <v>35</v>
      </c>
      <c r="I18092" s="9" t="s">
        <v>36721</v>
      </c>
      <c r="J18092" s="10" t="str">
        <f>HYPERLINK("https://www.boe.es/gazeta/dias/1834/09/15/pdfs/GMD-1834-213.pdf#page=2","Abrir facsímil")</f>
        <v>Abrir facsímil</v>
      </c>
      <c r="K18092" s="10" t="s">
        <v>37</v>
      </c>
    </row>
    <row r="18093" spans="1:11" ht="54" customHeight="1">
      <c r="A18093" s="9" t="s">
        <v>36722</v>
      </c>
      <c r="B18093" s="9" t="s">
        <v>36723</v>
      </c>
      <c r="C18093" s="9" t="s">
        <v>17</v>
      </c>
      <c r="D18093" s="9" t="s">
        <v>40</v>
      </c>
      <c r="E18093" s="10" t="s">
        <v>1318</v>
      </c>
      <c r="F18093" s="9" t="s">
        <v>1319</v>
      </c>
      <c r="G18093" s="10" t="s">
        <v>34</v>
      </c>
      <c r="H18093" s="9" t="s">
        <v>22</v>
      </c>
      <c r="I18093" s="9" t="s">
        <v>36724</v>
      </c>
      <c r="J18093" s="10" t="str">
        <f>HYPERLINK("https://www.boe.es/gazeta/dias/1834/05/10/pdfs/GMD-1834-79.pdf#page=1","Abrir facsímil")</f>
        <v>Abrir facsímil</v>
      </c>
      <c r="K18093" s="10" t="s">
        <v>24</v>
      </c>
    </row>
    <row r="18094" spans="1:11" ht="54" customHeight="1">
      <c r="A18094" s="9" t="s">
        <v>36722</v>
      </c>
      <c r="B18094" s="9" t="s">
        <v>36723</v>
      </c>
      <c r="C18094" s="9" t="s">
        <v>66</v>
      </c>
      <c r="D18094" s="9" t="s">
        <v>67</v>
      </c>
      <c r="E18094" s="10" t="s">
        <v>724</v>
      </c>
      <c r="F18094" s="9" t="s">
        <v>725</v>
      </c>
      <c r="G18094" s="10" t="s">
        <v>28</v>
      </c>
      <c r="H18094" s="9" t="s">
        <v>22</v>
      </c>
      <c r="I18094" s="9" t="s">
        <v>36725</v>
      </c>
      <c r="J18094" s="10" t="str">
        <f>HYPERLINK("https://www.boe.es/gazeta/dias/1834/04/25/pdfs/GMD-1834-64.pdf#page=5","Abrir facsímil")</f>
        <v>Abrir facsímil</v>
      </c>
      <c r="K18094" s="10" t="s">
        <v>24</v>
      </c>
    </row>
    <row r="18095" spans="1:11" ht="54" customHeight="1">
      <c r="A18095" s="9" t="s">
        <v>36726</v>
      </c>
      <c r="B18095" s="9" t="s">
        <v>36727</v>
      </c>
      <c r="C18095" s="9" t="s">
        <v>17</v>
      </c>
      <c r="D18095" s="9" t="s">
        <v>18</v>
      </c>
      <c r="E18095" s="10" t="s">
        <v>696</v>
      </c>
      <c r="F18095" s="9" t="s">
        <v>854</v>
      </c>
      <c r="G18095" s="10" t="s">
        <v>75</v>
      </c>
      <c r="H18095" s="9" t="s">
        <v>22</v>
      </c>
      <c r="I18095" s="9" t="s">
        <v>36728</v>
      </c>
      <c r="J18095" s="10" t="str">
        <f>HYPERLINK("https://www.boe.es/gazeta/dias/1834/12/06/pdfs/GMD-1834-295.pdf#page=4","Abrir facsímil")</f>
        <v>Abrir facsímil</v>
      </c>
      <c r="K18095" s="10" t="s">
        <v>24</v>
      </c>
    </row>
    <row r="18096" spans="1:11" ht="54" customHeight="1">
      <c r="A18096" s="9" t="s">
        <v>36729</v>
      </c>
      <c r="B18096" s="9" t="s">
        <v>36730</v>
      </c>
      <c r="C18096" s="9" t="s">
        <v>17</v>
      </c>
      <c r="D18096" s="9" t="s">
        <v>55</v>
      </c>
      <c r="E18096" s="10" t="s">
        <v>939</v>
      </c>
      <c r="F18096" s="9" t="s">
        <v>940</v>
      </c>
      <c r="G18096" s="10" t="s">
        <v>34</v>
      </c>
      <c r="H18096" s="9" t="s">
        <v>22</v>
      </c>
      <c r="I18096" s="9" t="s">
        <v>36731</v>
      </c>
      <c r="J18096" s="10" t="str">
        <f>HYPERLINK("https://www.boe.es/gazeta/dias/1834/06/10/pdfs/GMD-1834-113.pdf#page=1","Abrir facsímil")</f>
        <v>Abrir facsímil</v>
      </c>
      <c r="K18096" s="10" t="s">
        <v>24</v>
      </c>
    </row>
    <row r="18097" spans="1:11" ht="54" customHeight="1">
      <c r="A18097" s="9" t="s">
        <v>36732</v>
      </c>
      <c r="B18097" s="9" t="s">
        <v>36732</v>
      </c>
      <c r="C18097" s="9" t="s">
        <v>46</v>
      </c>
      <c r="D18097" s="9" t="s">
        <v>55</v>
      </c>
      <c r="E18097" s="10" t="s">
        <v>454</v>
      </c>
      <c r="F18097" s="9" t="s">
        <v>455</v>
      </c>
      <c r="G18097" s="10" t="s">
        <v>21</v>
      </c>
      <c r="H18097" s="9" t="s">
        <v>22</v>
      </c>
      <c r="I18097" s="9" t="s">
        <v>36733</v>
      </c>
      <c r="J18097" s="10" t="str">
        <f>HYPERLINK("https://www.boe.es/gazeta/dias/1834/10/16/pdfs/GMD-C-1834-244.pdf#page=3","Abrir facsímil")</f>
        <v>Abrir facsímil</v>
      </c>
      <c r="K18097" s="10" t="s">
        <v>24</v>
      </c>
    </row>
    <row r="18098" spans="1:11" ht="54" customHeight="1">
      <c r="A18098" s="9" t="s">
        <v>36734</v>
      </c>
      <c r="B18098" s="9" t="s">
        <v>36735</v>
      </c>
      <c r="C18098" s="9" t="s">
        <v>17</v>
      </c>
      <c r="D18098" s="9" t="s">
        <v>55</v>
      </c>
      <c r="E18098" s="10" t="s">
        <v>1094</v>
      </c>
      <c r="F18098" s="9" t="s">
        <v>1095</v>
      </c>
      <c r="G18098" s="10" t="s">
        <v>86</v>
      </c>
      <c r="H18098" s="9" t="s">
        <v>22</v>
      </c>
      <c r="I18098" s="9" t="s">
        <v>36736</v>
      </c>
      <c r="J18098" s="10" t="str">
        <f>HYPERLINK("https://www.boe.es/gazeta/dias/1834/07/13/pdfs/GMD-1834-146.pdf#page=2","Abrir facsímil")</f>
        <v>Abrir facsímil</v>
      </c>
      <c r="K18098" s="10" t="s">
        <v>24</v>
      </c>
    </row>
    <row r="18099" spans="1:11" ht="54" customHeight="1">
      <c r="A18099" s="9" t="s">
        <v>36737</v>
      </c>
      <c r="B18099" s="9" t="s">
        <v>36738</v>
      </c>
      <c r="C18099" s="9" t="s">
        <v>46</v>
      </c>
      <c r="D18099" s="9" t="s">
        <v>18</v>
      </c>
      <c r="E18099" s="10" t="s">
        <v>339</v>
      </c>
      <c r="F18099" s="9" t="s">
        <v>340</v>
      </c>
      <c r="G18099" s="10" t="s">
        <v>86</v>
      </c>
      <c r="H18099" s="9" t="s">
        <v>22</v>
      </c>
      <c r="I18099" s="9" t="s">
        <v>36739</v>
      </c>
      <c r="J18099" s="10" t="str">
        <f>HYPERLINK("https://www.boe.es/gazeta/dias/1834/05/02/pdfs/GMD-1834-71.pdf#page=2","Abrir facsímil")</f>
        <v>Abrir facsímil</v>
      </c>
      <c r="K18099" s="10" t="s">
        <v>24</v>
      </c>
    </row>
    <row r="18100" spans="1:11" ht="54" customHeight="1">
      <c r="A18100" s="9" t="s">
        <v>36740</v>
      </c>
      <c r="B18100" s="9" t="s">
        <v>36740</v>
      </c>
      <c r="C18100" s="9" t="s">
        <v>46</v>
      </c>
      <c r="D18100" s="9" t="s">
        <v>101</v>
      </c>
      <c r="E18100" s="10" t="s">
        <v>2087</v>
      </c>
      <c r="F18100" s="9" t="s">
        <v>2267</v>
      </c>
      <c r="G18100" s="10" t="s">
        <v>560</v>
      </c>
      <c r="H18100" s="9" t="s">
        <v>22</v>
      </c>
      <c r="I18100" s="9" t="s">
        <v>36741</v>
      </c>
      <c r="J18100" s="10" t="str">
        <f>HYPERLINK("https://www.boe.es/gazeta/dias/1834/12/14/pdfs/GMD-C-1834-303.pdf#page=7","Abrir facsímil")</f>
        <v>Abrir facsímil</v>
      </c>
      <c r="K18100" s="10" t="s">
        <v>24</v>
      </c>
    </row>
    <row r="18101" spans="1:11" ht="54" customHeight="1">
      <c r="A18101" s="9" t="s">
        <v>36742</v>
      </c>
      <c r="B18101" s="9" t="s">
        <v>36743</v>
      </c>
      <c r="C18101" s="9" t="s">
        <v>17</v>
      </c>
      <c r="D18101" s="9" t="s">
        <v>18</v>
      </c>
      <c r="E18101" s="10" t="s">
        <v>1226</v>
      </c>
      <c r="F18101" s="9" t="s">
        <v>1227</v>
      </c>
      <c r="G18101" s="10" t="s">
        <v>21</v>
      </c>
      <c r="H18101" s="9" t="s">
        <v>35</v>
      </c>
      <c r="I18101" s="9" t="s">
        <v>36744</v>
      </c>
      <c r="J18101" s="10" t="str">
        <f>HYPERLINK("https://www.boe.es/gazeta/dias/1834/07/14/pdfs/GMD-1834-147.pdf#page=3","Abrir facsímil")</f>
        <v>Abrir facsímil</v>
      </c>
      <c r="K18101" s="10" t="s">
        <v>37</v>
      </c>
    </row>
    <row r="18102" spans="1:11" ht="54" customHeight="1">
      <c r="A18102" s="9" t="s">
        <v>36745</v>
      </c>
      <c r="B18102" s="9" t="s">
        <v>36746</v>
      </c>
      <c r="C18102" s="9" t="s">
        <v>17</v>
      </c>
      <c r="D18102" s="9" t="s">
        <v>18</v>
      </c>
      <c r="E18102" s="10" t="s">
        <v>237</v>
      </c>
      <c r="F18102" s="9" t="s">
        <v>4609</v>
      </c>
      <c r="G18102" s="10" t="s">
        <v>34</v>
      </c>
      <c r="H18102" s="9" t="s">
        <v>22</v>
      </c>
      <c r="I18102" s="9" t="s">
        <v>36747</v>
      </c>
      <c r="J18102" s="10" t="str">
        <f>HYPERLINK("https://www.boe.es/gazeta/dias/1834/08/15/pdfs/GMD-1834-180.pdf#page=1","Abrir facsímil")</f>
        <v>Abrir facsímil</v>
      </c>
      <c r="K18102" s="10" t="s">
        <v>24</v>
      </c>
    </row>
    <row r="18103" spans="1:11" ht="54" customHeight="1">
      <c r="A18103" s="9" t="s">
        <v>36748</v>
      </c>
      <c r="B18103" s="9" t="s">
        <v>36749</v>
      </c>
      <c r="C18103" s="9" t="s">
        <v>17</v>
      </c>
      <c r="D18103" s="9" t="s">
        <v>18</v>
      </c>
      <c r="E18103" s="10" t="s">
        <v>1226</v>
      </c>
      <c r="F18103" s="9" t="s">
        <v>1227</v>
      </c>
      <c r="G18103" s="10" t="s">
        <v>21</v>
      </c>
      <c r="H18103" s="9" t="s">
        <v>22</v>
      </c>
      <c r="I18103" s="9" t="s">
        <v>36750</v>
      </c>
      <c r="J18103" s="10" t="str">
        <f>HYPERLINK("https://www.boe.es/gazeta/dias/1834/07/14/pdfs/GMD-1834-147.pdf#page=3","Abrir facsímil")</f>
        <v>Abrir facsímil</v>
      </c>
      <c r="K18103" s="10" t="s">
        <v>24</v>
      </c>
    </row>
    <row r="18104" spans="1:11" ht="54" customHeight="1">
      <c r="A18104" s="9" t="s">
        <v>36748</v>
      </c>
      <c r="B18104" s="9" t="s">
        <v>36749</v>
      </c>
      <c r="C18104" s="9" t="s">
        <v>66</v>
      </c>
      <c r="D18104" s="9" t="s">
        <v>67</v>
      </c>
      <c r="E18104" s="10" t="s">
        <v>1572</v>
      </c>
      <c r="F18104" s="9" t="s">
        <v>1573</v>
      </c>
      <c r="G18104" s="10" t="s">
        <v>34</v>
      </c>
      <c r="H18104" s="9" t="s">
        <v>22</v>
      </c>
      <c r="I18104" s="9" t="s">
        <v>36751</v>
      </c>
      <c r="J18104" s="10" t="str">
        <f>HYPERLINK("https://www.boe.es/gazeta/dias/1834/03/20/pdfs/GMD-1834-35.pdf#page=1","Abrir facsímil")</f>
        <v>Abrir facsímil</v>
      </c>
      <c r="K18104" s="10" t="s">
        <v>24</v>
      </c>
    </row>
    <row r="18105" spans="1:11" ht="54" customHeight="1">
      <c r="A18105" s="9" t="s">
        <v>36752</v>
      </c>
      <c r="B18105" s="9" t="s">
        <v>36753</v>
      </c>
      <c r="C18105" s="9" t="s">
        <v>17</v>
      </c>
      <c r="D18105" s="9" t="s">
        <v>55</v>
      </c>
      <c r="E18105" s="10" t="s">
        <v>3282</v>
      </c>
      <c r="F18105" s="9" t="s">
        <v>3283</v>
      </c>
      <c r="G18105" s="10" t="s">
        <v>34</v>
      </c>
      <c r="H18105" s="9" t="s">
        <v>35</v>
      </c>
      <c r="I18105" s="9" t="s">
        <v>36754</v>
      </c>
      <c r="J18105" s="10" t="str">
        <f>HYPERLINK("https://www.boe.es/gazeta/dias/1834/04/15/pdfs/GMD-1834-54.pdf#page=1","Abrir facsímil")</f>
        <v>Abrir facsímil</v>
      </c>
      <c r="K18105" s="10" t="s">
        <v>37</v>
      </c>
    </row>
    <row r="18106" spans="1:11" ht="54" customHeight="1">
      <c r="A18106" s="9" t="s">
        <v>36755</v>
      </c>
      <c r="B18106" s="9" t="s">
        <v>36756</v>
      </c>
      <c r="C18106" s="9" t="s">
        <v>66</v>
      </c>
      <c r="D18106" s="9" t="s">
        <v>67</v>
      </c>
      <c r="E18106" s="10" t="s">
        <v>2260</v>
      </c>
      <c r="F18106" s="9" t="s">
        <v>2261</v>
      </c>
      <c r="G18106" s="10" t="s">
        <v>34</v>
      </c>
      <c r="H18106" s="9" t="s">
        <v>35</v>
      </c>
      <c r="I18106" s="9" t="s">
        <v>36757</v>
      </c>
      <c r="J18106" s="10" t="str">
        <f>HYPERLINK("https://www.boe.es/gazeta/dias/1834/11/13/pdfs/GMD-1834-272.pdf#page=1","Abrir facsímil")</f>
        <v>Abrir facsímil</v>
      </c>
      <c r="K18106" s="10" t="s">
        <v>37</v>
      </c>
    </row>
    <row r="18107" spans="1:11" ht="54" customHeight="1">
      <c r="A18107" s="9" t="s">
        <v>36758</v>
      </c>
      <c r="B18107" s="9" t="s">
        <v>36759</v>
      </c>
      <c r="C18107" s="9" t="s">
        <v>17</v>
      </c>
      <c r="D18107" s="9" t="s">
        <v>18</v>
      </c>
      <c r="E18107" s="10" t="s">
        <v>167</v>
      </c>
      <c r="F18107" s="9" t="s">
        <v>1200</v>
      </c>
      <c r="G18107" s="10" t="s">
        <v>86</v>
      </c>
      <c r="H18107" s="9" t="s">
        <v>22</v>
      </c>
      <c r="I18107" s="9" t="s">
        <v>36760</v>
      </c>
      <c r="J18107" s="10" t="str">
        <f>HYPERLINK("https://www.boe.es/gazeta/dias/1834/09/07/pdfs/GMD-C-1834-205.pdf#page=2","Abrir facsímil")</f>
        <v>Abrir facsímil</v>
      </c>
      <c r="K18107" s="10" t="s">
        <v>24</v>
      </c>
    </row>
    <row r="18108" spans="1:11" ht="54" customHeight="1">
      <c r="A18108" s="9" t="s">
        <v>36761</v>
      </c>
      <c r="B18108" s="9" t="s">
        <v>36762</v>
      </c>
      <c r="C18108" s="9" t="s">
        <v>17</v>
      </c>
      <c r="D18108" s="9" t="s">
        <v>101</v>
      </c>
      <c r="E18108" s="10" t="s">
        <v>2379</v>
      </c>
      <c r="F18108" s="9" t="s">
        <v>2380</v>
      </c>
      <c r="G18108" s="10" t="s">
        <v>75</v>
      </c>
      <c r="H18108" s="9" t="s">
        <v>35</v>
      </c>
      <c r="I18108" s="9" t="s">
        <v>36763</v>
      </c>
      <c r="J18108" s="10" t="str">
        <f>HYPERLINK("https://www.boe.es/gazeta/dias/1834/04/03/pdfs/GMD-1834-42.pdf#page=4","Abrir facsímil")</f>
        <v>Abrir facsímil</v>
      </c>
      <c r="K18108" s="10" t="s">
        <v>37</v>
      </c>
    </row>
    <row r="18109" spans="1:11" ht="54" customHeight="1">
      <c r="A18109" s="9" t="s">
        <v>36764</v>
      </c>
      <c r="B18109" s="9" t="s">
        <v>36765</v>
      </c>
      <c r="C18109" s="9" t="s">
        <v>46</v>
      </c>
      <c r="D18109" s="9" t="s">
        <v>101</v>
      </c>
      <c r="E18109" s="10" t="s">
        <v>1234</v>
      </c>
      <c r="F18109" s="9" t="s">
        <v>1455</v>
      </c>
      <c r="G18109" s="10" t="s">
        <v>75</v>
      </c>
      <c r="H18109" s="9" t="s">
        <v>35</v>
      </c>
      <c r="I18109" s="9" t="s">
        <v>36766</v>
      </c>
      <c r="J18109" s="10" t="str">
        <f>HYPERLINK("https://www.boe.es/gazeta/dias/1834/05/15/pdfs/GMD-1834-84.pdf#page=4","Abrir facsímil")</f>
        <v>Abrir facsímil</v>
      </c>
      <c r="K18109" s="10" t="s">
        <v>37</v>
      </c>
    </row>
    <row r="18110" spans="1:11" ht="54" customHeight="1">
      <c r="A18110" s="9" t="s">
        <v>36767</v>
      </c>
      <c r="B18110" s="9" t="s">
        <v>36768</v>
      </c>
      <c r="C18110" s="9" t="s">
        <v>17</v>
      </c>
      <c r="D18110" s="9" t="s">
        <v>40</v>
      </c>
      <c r="E18110" s="10" t="s">
        <v>1337</v>
      </c>
      <c r="F18110" s="9" t="s">
        <v>1338</v>
      </c>
      <c r="G18110" s="10" t="s">
        <v>75</v>
      </c>
      <c r="H18110" s="9" t="s">
        <v>22</v>
      </c>
      <c r="I18110" s="9" t="s">
        <v>36769</v>
      </c>
      <c r="J18110" s="10" t="str">
        <f>HYPERLINK("https://www.boe.es/gazeta/dias/1834/01/02/pdfs/GMD-1834-1.pdf#page=4","Abrir facsímil")</f>
        <v>Abrir facsímil</v>
      </c>
      <c r="K18110" s="10" t="s">
        <v>24</v>
      </c>
    </row>
    <row r="18111" spans="1:11" ht="54" customHeight="1">
      <c r="A18111" s="9" t="s">
        <v>36770</v>
      </c>
      <c r="B18111" s="9" t="s">
        <v>36771</v>
      </c>
      <c r="C18111" s="9" t="s">
        <v>17</v>
      </c>
      <c r="D18111" s="9" t="s">
        <v>101</v>
      </c>
      <c r="E18111" s="10" t="s">
        <v>2379</v>
      </c>
      <c r="F18111" s="9" t="s">
        <v>2380</v>
      </c>
      <c r="G18111" s="10" t="s">
        <v>75</v>
      </c>
      <c r="H18111" s="9" t="s">
        <v>22</v>
      </c>
      <c r="I18111" s="9" t="s">
        <v>36772</v>
      </c>
      <c r="J18111" s="10" t="str">
        <f>HYPERLINK("https://www.boe.es/gazeta/dias/1834/04/03/pdfs/GMD-1834-42.pdf#page=4","Abrir facsímil")</f>
        <v>Abrir facsímil</v>
      </c>
      <c r="K18111" s="10" t="s">
        <v>24</v>
      </c>
    </row>
    <row r="18112" spans="1:11" ht="54" customHeight="1">
      <c r="A18112" s="9" t="s">
        <v>36773</v>
      </c>
      <c r="B18112" s="9" t="s">
        <v>36774</v>
      </c>
      <c r="C18112" s="9" t="s">
        <v>17</v>
      </c>
      <c r="D18112" s="9" t="s">
        <v>18</v>
      </c>
      <c r="E18112" s="10" t="s">
        <v>1438</v>
      </c>
      <c r="F18112" s="9" t="s">
        <v>1439</v>
      </c>
      <c r="G18112" s="10" t="s">
        <v>75</v>
      </c>
      <c r="H18112" s="9" t="s">
        <v>22</v>
      </c>
      <c r="I18112" s="9" t="s">
        <v>36775</v>
      </c>
      <c r="J18112" s="10" t="str">
        <f>HYPERLINK("https://www.boe.es/gazeta/dias/1834/05/13/pdfs/GMD-1834-82.pdf#page=4","Abrir facsímil")</f>
        <v>Abrir facsímil</v>
      </c>
      <c r="K18112" s="10" t="s">
        <v>24</v>
      </c>
    </row>
    <row r="18113" spans="1:11" ht="54" customHeight="1">
      <c r="A18113" s="9" t="s">
        <v>36776</v>
      </c>
      <c r="B18113" s="9" t="s">
        <v>36776</v>
      </c>
      <c r="C18113" s="9" t="s">
        <v>66</v>
      </c>
      <c r="D18113" s="9" t="s">
        <v>67</v>
      </c>
      <c r="E18113" s="10" t="s">
        <v>348</v>
      </c>
      <c r="F18113" s="9" t="s">
        <v>501</v>
      </c>
      <c r="G18113" s="10" t="s">
        <v>21</v>
      </c>
      <c r="H18113" s="9" t="s">
        <v>22</v>
      </c>
      <c r="I18113" s="9" t="s">
        <v>36777</v>
      </c>
      <c r="J18113" s="10" t="str">
        <f>HYPERLINK("https://www.boe.es/gazeta/dias/1834/06/12/pdfs/GMD-1834-115.pdf#page=3","Abrir facsímil")</f>
        <v>Abrir facsímil</v>
      </c>
      <c r="K18113" s="10" t="s">
        <v>24</v>
      </c>
    </row>
    <row r="18114" spans="1:11" ht="54" customHeight="1">
      <c r="A18114" s="9" t="s">
        <v>36778</v>
      </c>
      <c r="B18114" s="9" t="s">
        <v>36779</v>
      </c>
      <c r="C18114" s="9" t="s">
        <v>17</v>
      </c>
      <c r="D18114" s="9" t="s">
        <v>18</v>
      </c>
      <c r="E18114" s="10" t="s">
        <v>1575</v>
      </c>
      <c r="F18114" s="9" t="s">
        <v>1576</v>
      </c>
      <c r="G18114" s="10" t="s">
        <v>34</v>
      </c>
      <c r="H18114" s="9" t="s">
        <v>22</v>
      </c>
      <c r="I18114" s="9" t="s">
        <v>36780</v>
      </c>
      <c r="J18114" s="10" t="str">
        <f>HYPERLINK("https://www.boe.es/gazeta/dias/1834/11/24/pdfs/GMD-1834-283.pdf#page=1","Abrir facsímil")</f>
        <v>Abrir facsímil</v>
      </c>
      <c r="K18114" s="10" t="s">
        <v>24</v>
      </c>
    </row>
    <row r="18115" spans="1:11" ht="54" customHeight="1">
      <c r="A18115" s="9" t="s">
        <v>36781</v>
      </c>
      <c r="B18115" s="9" t="s">
        <v>36782</v>
      </c>
      <c r="C18115" s="9" t="s">
        <v>17</v>
      </c>
      <c r="D18115" s="9" t="s">
        <v>18</v>
      </c>
      <c r="E18115" s="10" t="s">
        <v>785</v>
      </c>
      <c r="F18115" s="9" t="s">
        <v>786</v>
      </c>
      <c r="G18115" s="10" t="s">
        <v>34</v>
      </c>
      <c r="H18115" s="9" t="s">
        <v>22</v>
      </c>
      <c r="I18115" s="9" t="s">
        <v>36783</v>
      </c>
      <c r="J18115" s="10" t="str">
        <f>HYPERLINK("https://www.boe.es/gazeta/dias/1834/02/11/pdfs/GMD-1834-19.pdf#page=1","Abrir facsímil")</f>
        <v>Abrir facsímil</v>
      </c>
      <c r="K18115" s="10" t="s">
        <v>24</v>
      </c>
    </row>
    <row r="18116" spans="1:11" ht="54" customHeight="1">
      <c r="A18116" s="9" t="s">
        <v>36784</v>
      </c>
      <c r="B18116" s="9" t="s">
        <v>36784</v>
      </c>
      <c r="C18116" s="9" t="s">
        <v>122</v>
      </c>
      <c r="D18116" s="9" t="s">
        <v>55</v>
      </c>
      <c r="E18116" s="10" t="s">
        <v>690</v>
      </c>
      <c r="F18116" s="9" t="s">
        <v>5765</v>
      </c>
      <c r="G18116" s="10" t="s">
        <v>75</v>
      </c>
      <c r="H18116" s="9" t="s">
        <v>22</v>
      </c>
      <c r="I18116" s="9" t="s">
        <v>36785</v>
      </c>
      <c r="J18116" s="10" t="str">
        <f>HYPERLINK("https://www.boe.es/gazeta/dias/1834/09/03/pdfs/GMD-1834-201.pdf#page=4","Abrir facsímil")</f>
        <v>Abrir facsímil</v>
      </c>
      <c r="K18116" s="10" t="s">
        <v>24</v>
      </c>
    </row>
    <row r="18117" spans="1:11" ht="54" customHeight="1">
      <c r="A18117" s="9" t="s">
        <v>36786</v>
      </c>
      <c r="B18117" s="9" t="s">
        <v>36786</v>
      </c>
      <c r="C18117" s="9" t="s">
        <v>46</v>
      </c>
      <c r="D18117" s="9" t="s">
        <v>55</v>
      </c>
      <c r="E18117" s="10" t="s">
        <v>905</v>
      </c>
      <c r="F18117" s="9" t="s">
        <v>1651</v>
      </c>
      <c r="G18117" s="10" t="s">
        <v>34</v>
      </c>
      <c r="H18117" s="9" t="s">
        <v>22</v>
      </c>
      <c r="I18117" s="9" t="s">
        <v>36787</v>
      </c>
      <c r="J18117" s="10" t="str">
        <f>HYPERLINK("https://www.boe.es/gazeta/dias/1834/08/02/pdfs/GMD-1834-166.pdf#page=1","Abrir facsímil")</f>
        <v>Abrir facsímil</v>
      </c>
      <c r="K18117" s="10" t="s">
        <v>24</v>
      </c>
    </row>
    <row r="18118" spans="1:11" ht="54" customHeight="1">
      <c r="A18118" s="9" t="s">
        <v>36788</v>
      </c>
      <c r="B18118" s="9" t="s">
        <v>36789</v>
      </c>
      <c r="C18118" s="9" t="s">
        <v>17</v>
      </c>
      <c r="D18118" s="9" t="s">
        <v>18</v>
      </c>
      <c r="E18118" s="10" t="s">
        <v>416</v>
      </c>
      <c r="F18118" s="9" t="s">
        <v>1130</v>
      </c>
      <c r="G18118" s="10" t="s">
        <v>86</v>
      </c>
      <c r="H18118" s="9" t="s">
        <v>22</v>
      </c>
      <c r="I18118" s="9" t="s">
        <v>36790</v>
      </c>
      <c r="J18118" s="10" t="str">
        <f>HYPERLINK("https://www.boe.es/gazeta/dias/1834/10/02/pdfs/GMD-1834-230.pdf#page=2","Abrir facsímil")</f>
        <v>Abrir facsímil</v>
      </c>
      <c r="K18118" s="10" t="s">
        <v>24</v>
      </c>
    </row>
    <row r="18119" spans="1:11" ht="54" customHeight="1">
      <c r="A18119" s="9" t="s">
        <v>36791</v>
      </c>
      <c r="B18119" s="9" t="s">
        <v>36792</v>
      </c>
      <c r="C18119" s="9" t="s">
        <v>17</v>
      </c>
      <c r="D18119" s="9" t="s">
        <v>18</v>
      </c>
      <c r="E18119" s="10" t="s">
        <v>785</v>
      </c>
      <c r="F18119" s="9" t="s">
        <v>786</v>
      </c>
      <c r="G18119" s="10" t="s">
        <v>34</v>
      </c>
      <c r="H18119" s="9" t="s">
        <v>22</v>
      </c>
      <c r="I18119" s="9" t="s">
        <v>36793</v>
      </c>
      <c r="J18119" s="10" t="str">
        <f>HYPERLINK("https://www.boe.es/gazeta/dias/1834/02/11/pdfs/GMD-1834-19.pdf#page=1","Abrir facsímil")</f>
        <v>Abrir facsímil</v>
      </c>
      <c r="K18119" s="10" t="s">
        <v>24</v>
      </c>
    </row>
    <row r="18120" spans="1:11" ht="54" customHeight="1">
      <c r="A18120" s="9" t="s">
        <v>36794</v>
      </c>
      <c r="B18120" s="9" t="s">
        <v>36795</v>
      </c>
      <c r="C18120" s="9" t="s">
        <v>46</v>
      </c>
      <c r="D18120" s="9" t="s">
        <v>18</v>
      </c>
      <c r="E18120" s="10" t="s">
        <v>2212</v>
      </c>
      <c r="F18120" s="9" t="s">
        <v>2213</v>
      </c>
      <c r="G18120" s="10" t="s">
        <v>86</v>
      </c>
      <c r="H18120" s="9" t="s">
        <v>22</v>
      </c>
      <c r="I18120" s="9" t="s">
        <v>36796</v>
      </c>
      <c r="J18120" s="10" t="str">
        <f>HYPERLINK("https://www.boe.es/gazeta/dias/1834/08/04/pdfs/GMD-C-1834-168.pdf#page=2","Abrir facsímil")</f>
        <v>Abrir facsímil</v>
      </c>
      <c r="K18120" s="10" t="s">
        <v>24</v>
      </c>
    </row>
    <row r="18121" spans="1:11" ht="54" customHeight="1">
      <c r="A18121" s="9" t="s">
        <v>36797</v>
      </c>
      <c r="B18121" s="9" t="s">
        <v>36798</v>
      </c>
      <c r="C18121" s="9" t="s">
        <v>17</v>
      </c>
      <c r="D18121" s="9" t="s">
        <v>18</v>
      </c>
      <c r="E18121" s="10" t="s">
        <v>2526</v>
      </c>
      <c r="F18121" s="9" t="s">
        <v>2527</v>
      </c>
      <c r="G18121" s="10" t="s">
        <v>86</v>
      </c>
      <c r="H18121" s="9" t="s">
        <v>22</v>
      </c>
      <c r="I18121" s="9" t="s">
        <v>36799</v>
      </c>
      <c r="J18121" s="10" t="str">
        <f>HYPERLINK("https://www.boe.es/gazeta/dias/1834/12/29/pdfs/GMD-C-1834-319.pdf#page=2","Abrir facsímil")</f>
        <v>Abrir facsímil</v>
      </c>
      <c r="K18121" s="10" t="s">
        <v>24</v>
      </c>
    </row>
    <row r="18122" spans="1:11" ht="54" customHeight="1">
      <c r="A18122" s="9" t="s">
        <v>36800</v>
      </c>
      <c r="B18122" s="9" t="s">
        <v>36801</v>
      </c>
      <c r="C18122" s="9" t="s">
        <v>17</v>
      </c>
      <c r="D18122" s="9" t="s">
        <v>18</v>
      </c>
      <c r="E18122" s="10" t="s">
        <v>2526</v>
      </c>
      <c r="F18122" s="9" t="s">
        <v>2527</v>
      </c>
      <c r="G18122" s="10" t="s">
        <v>34</v>
      </c>
      <c r="H18122" s="9" t="s">
        <v>22</v>
      </c>
      <c r="I18122" s="9" t="s">
        <v>36802</v>
      </c>
      <c r="J18122" s="10" t="str">
        <f>HYPERLINK("https://www.boe.es/gazeta/dias/1834/12/29/pdfs/GMD-C-1834-319.pdf#page=1","Abrir facsímil")</f>
        <v>Abrir facsímil</v>
      </c>
      <c r="K18122" s="10" t="s">
        <v>24</v>
      </c>
    </row>
    <row r="18123" spans="1:11" ht="54" customHeight="1">
      <c r="A18123" s="9" t="s">
        <v>36800</v>
      </c>
      <c r="B18123" s="9" t="s">
        <v>36801</v>
      </c>
      <c r="C18123" s="9" t="s">
        <v>17</v>
      </c>
      <c r="D18123" s="9" t="s">
        <v>18</v>
      </c>
      <c r="E18123" s="10" t="s">
        <v>2526</v>
      </c>
      <c r="F18123" s="9" t="s">
        <v>2527</v>
      </c>
      <c r="G18123" s="10" t="s">
        <v>86</v>
      </c>
      <c r="H18123" s="9" t="s">
        <v>22</v>
      </c>
      <c r="I18123" s="9" t="s">
        <v>36803</v>
      </c>
      <c r="J18123" s="10" t="str">
        <f>HYPERLINK("https://www.boe.es/gazeta/dias/1834/12/29/pdfs/GMD-C-1834-319.pdf#page=2","Abrir facsímil")</f>
        <v>Abrir facsímil</v>
      </c>
      <c r="K18123" s="10" t="s">
        <v>24</v>
      </c>
    </row>
    <row r="18124" spans="1:11" ht="54" customHeight="1">
      <c r="A18124" s="9" t="s">
        <v>36800</v>
      </c>
      <c r="B18124" s="9" t="s">
        <v>36801</v>
      </c>
      <c r="C18124" s="9" t="s">
        <v>17</v>
      </c>
      <c r="D18124" s="9" t="s">
        <v>18</v>
      </c>
      <c r="E18124" s="10" t="s">
        <v>2526</v>
      </c>
      <c r="F18124" s="9" t="s">
        <v>2527</v>
      </c>
      <c r="G18124" s="10" t="s">
        <v>21</v>
      </c>
      <c r="H18124" s="9" t="s">
        <v>22</v>
      </c>
      <c r="I18124" s="9" t="s">
        <v>36804</v>
      </c>
      <c r="J18124" s="10" t="str">
        <f>HYPERLINK("https://www.boe.es/gazeta/dias/1834/12/29/pdfs/GMD-C-1834-319.pdf#page=3","Abrir facsímil")</f>
        <v>Abrir facsímil</v>
      </c>
      <c r="K18124" s="10" t="s">
        <v>24</v>
      </c>
    </row>
    <row r="18125" spans="1:11" ht="54" customHeight="1">
      <c r="A18125" s="9" t="s">
        <v>36800</v>
      </c>
      <c r="B18125" s="9" t="s">
        <v>36801</v>
      </c>
      <c r="C18125" s="9" t="s">
        <v>90</v>
      </c>
      <c r="D18125" s="9" t="s">
        <v>67</v>
      </c>
      <c r="E18125" s="10" t="s">
        <v>153</v>
      </c>
      <c r="F18125" s="9" t="s">
        <v>154</v>
      </c>
      <c r="G18125" s="10" t="s">
        <v>21</v>
      </c>
      <c r="H18125" s="9" t="s">
        <v>22</v>
      </c>
      <c r="I18125" s="9" t="s">
        <v>36805</v>
      </c>
      <c r="J18125" s="10" t="str">
        <f>HYPERLINK("https://www.boe.es/gazeta/dias/1834/12/30/pdfs/GMD-C-1834-320.pdf#page=3","Abrir facsímil")</f>
        <v>Abrir facsímil</v>
      </c>
      <c r="K18125" s="10" t="s">
        <v>24</v>
      </c>
    </row>
    <row r="18126" spans="1:11" ht="54" customHeight="1">
      <c r="A18126" s="9" t="s">
        <v>36800</v>
      </c>
      <c r="B18126" s="9" t="s">
        <v>36801</v>
      </c>
      <c r="C18126" s="9" t="s">
        <v>46</v>
      </c>
      <c r="D18126" s="9" t="s">
        <v>101</v>
      </c>
      <c r="E18126" s="10" t="s">
        <v>192</v>
      </c>
      <c r="F18126" s="9" t="s">
        <v>2713</v>
      </c>
      <c r="G18126" s="10" t="s">
        <v>28</v>
      </c>
      <c r="H18126" s="9" t="s">
        <v>22</v>
      </c>
      <c r="I18126" s="9" t="s">
        <v>36806</v>
      </c>
      <c r="J18126" s="10" t="str">
        <f>HYPERLINK("https://www.boe.es/gazeta/dias/1834/12/31/pdfs/GMD-C-1834-321.pdf#page=5","Abrir facsímil")</f>
        <v>Abrir facsímil</v>
      </c>
      <c r="K18126" s="10" t="s">
        <v>24</v>
      </c>
    </row>
    <row r="18127" spans="1:11" ht="54" customHeight="1">
      <c r="A18127" s="9" t="s">
        <v>36807</v>
      </c>
      <c r="B18127" s="9" t="s">
        <v>36808</v>
      </c>
      <c r="C18127" s="9" t="s">
        <v>17</v>
      </c>
      <c r="D18127" s="9" t="s">
        <v>55</v>
      </c>
      <c r="E18127" s="10" t="s">
        <v>702</v>
      </c>
      <c r="F18127" s="9" t="s">
        <v>703</v>
      </c>
      <c r="G18127" s="10" t="s">
        <v>28</v>
      </c>
      <c r="H18127" s="9" t="s">
        <v>22</v>
      </c>
      <c r="I18127" s="9" t="s">
        <v>36809</v>
      </c>
      <c r="J18127" s="10" t="str">
        <f>HYPERLINK("https://www.boe.es/gazeta/dias/1834/11/22/pdfs/GMD-C-1834-281.pdf#page=5","Abrir facsímil")</f>
        <v>Abrir facsímil</v>
      </c>
      <c r="K18127" s="10" t="s">
        <v>24</v>
      </c>
    </row>
    <row r="18128" spans="1:11" ht="54" customHeight="1">
      <c r="A18128" s="9" t="s">
        <v>36810</v>
      </c>
      <c r="B18128" s="9" t="s">
        <v>36811</v>
      </c>
      <c r="C18128" s="9" t="s">
        <v>17</v>
      </c>
      <c r="D18128" s="9" t="s">
        <v>18</v>
      </c>
      <c r="E18128" s="10" t="s">
        <v>2260</v>
      </c>
      <c r="F18128" s="9" t="s">
        <v>2263</v>
      </c>
      <c r="G18128" s="10" t="s">
        <v>86</v>
      </c>
      <c r="H18128" s="9" t="s">
        <v>22</v>
      </c>
      <c r="I18128" s="9" t="s">
        <v>36812</v>
      </c>
      <c r="J18128" s="10" t="str">
        <f>HYPERLINK("https://www.boe.es/gazeta/dias/1834/11/13/pdfs/GMD-C-1834-272.pdf#page=2","Abrir facsímil")</f>
        <v>Abrir facsímil</v>
      </c>
      <c r="K18128" s="10" t="s">
        <v>24</v>
      </c>
    </row>
    <row r="18129" spans="1:11" ht="54" customHeight="1">
      <c r="A18129" s="9" t="s">
        <v>36813</v>
      </c>
      <c r="B18129" s="9" t="s">
        <v>36814</v>
      </c>
      <c r="C18129" s="9" t="s">
        <v>17</v>
      </c>
      <c r="D18129" s="9" t="s">
        <v>55</v>
      </c>
      <c r="E18129" s="10" t="s">
        <v>939</v>
      </c>
      <c r="F18129" s="9" t="s">
        <v>940</v>
      </c>
      <c r="G18129" s="10" t="s">
        <v>34</v>
      </c>
      <c r="H18129" s="9" t="s">
        <v>22</v>
      </c>
      <c r="I18129" s="9" t="s">
        <v>36815</v>
      </c>
      <c r="J18129" s="10" t="str">
        <f>HYPERLINK("https://www.boe.es/gazeta/dias/1834/06/10/pdfs/GMD-1834-113.pdf#page=1","Abrir facsímil")</f>
        <v>Abrir facsímil</v>
      </c>
      <c r="K18129" s="10" t="s">
        <v>24</v>
      </c>
    </row>
    <row r="18130" spans="1:11" ht="54" customHeight="1">
      <c r="A18130" s="9" t="s">
        <v>36816</v>
      </c>
      <c r="B18130" s="9" t="s">
        <v>36817</v>
      </c>
      <c r="C18130" s="9" t="s">
        <v>17</v>
      </c>
      <c r="D18130" s="9" t="s">
        <v>18</v>
      </c>
      <c r="E18130" s="10" t="s">
        <v>2596</v>
      </c>
      <c r="F18130" s="9" t="s">
        <v>2597</v>
      </c>
      <c r="G18130" s="10" t="s">
        <v>21</v>
      </c>
      <c r="H18130" s="9" t="s">
        <v>22</v>
      </c>
      <c r="I18130" s="9" t="s">
        <v>36818</v>
      </c>
      <c r="J18130" s="10" t="str">
        <f>HYPERLINK("https://www.boe.es/gazeta/dias/1834/10/22/pdfs/GMD-1834-250.pdf#page=3","Abrir facsímil")</f>
        <v>Abrir facsímil</v>
      </c>
      <c r="K18130" s="10" t="s">
        <v>24</v>
      </c>
    </row>
    <row r="18131" spans="1:11" ht="54" customHeight="1">
      <c r="A18131" s="9" t="s">
        <v>36819</v>
      </c>
      <c r="B18131" s="9" t="s">
        <v>36820</v>
      </c>
      <c r="C18131" s="9" t="s">
        <v>17</v>
      </c>
      <c r="D18131" s="9" t="s">
        <v>40</v>
      </c>
      <c r="E18131" s="10" t="s">
        <v>2596</v>
      </c>
      <c r="F18131" s="9" t="s">
        <v>2597</v>
      </c>
      <c r="G18131" s="10" t="s">
        <v>86</v>
      </c>
      <c r="H18131" s="9" t="s">
        <v>22</v>
      </c>
      <c r="I18131" s="9" t="s">
        <v>36821</v>
      </c>
      <c r="J18131" s="10" t="str">
        <f>HYPERLINK("https://www.boe.es/gazeta/dias/1834/10/22/pdfs/GMD-1834-250.pdf#page=2","Abrir facsímil")</f>
        <v>Abrir facsímil</v>
      </c>
      <c r="K18131" s="10" t="s">
        <v>24</v>
      </c>
    </row>
    <row r="18132" spans="1:11" ht="54" customHeight="1">
      <c r="A18132" s="9" t="s">
        <v>36822</v>
      </c>
      <c r="B18132" s="9" t="s">
        <v>36822</v>
      </c>
      <c r="C18132" s="9" t="s">
        <v>90</v>
      </c>
      <c r="D18132" s="9" t="s">
        <v>18</v>
      </c>
      <c r="E18132" s="10" t="s">
        <v>416</v>
      </c>
      <c r="F18132" s="9" t="s">
        <v>1130</v>
      </c>
      <c r="G18132" s="10" t="s">
        <v>86</v>
      </c>
      <c r="H18132" s="9" t="s">
        <v>22</v>
      </c>
      <c r="I18132" s="9" t="s">
        <v>36823</v>
      </c>
      <c r="J18132" s="10" t="str">
        <f>HYPERLINK("https://www.boe.es/gazeta/dias/1834/10/02/pdfs/GMD-1834-230.pdf#page=2","Abrir facsímil")</f>
        <v>Abrir facsímil</v>
      </c>
      <c r="K18132" s="10" t="s">
        <v>24</v>
      </c>
    </row>
    <row r="18133" spans="1:11" ht="54" customHeight="1">
      <c r="A18133" s="9" t="s">
        <v>36822</v>
      </c>
      <c r="B18133" s="9" t="s">
        <v>36822</v>
      </c>
      <c r="C18133" s="9" t="s">
        <v>17</v>
      </c>
      <c r="D18133" s="9" t="s">
        <v>18</v>
      </c>
      <c r="E18133" s="10" t="s">
        <v>4064</v>
      </c>
      <c r="F18133" s="9" t="s">
        <v>4065</v>
      </c>
      <c r="G18133" s="10" t="s">
        <v>21</v>
      </c>
      <c r="H18133" s="9" t="s">
        <v>22</v>
      </c>
      <c r="I18133" s="9" t="s">
        <v>36824</v>
      </c>
      <c r="J18133" s="10" t="str">
        <f>HYPERLINK("https://www.boe.es/gazeta/dias/1834/07/22/pdfs/GMD-1834-155.pdf#page=3","Abrir facsímil")</f>
        <v>Abrir facsímil</v>
      </c>
      <c r="K18133" s="10" t="s">
        <v>24</v>
      </c>
    </row>
    <row r="18134" spans="1:11" ht="54" customHeight="1">
      <c r="A18134" s="9" t="s">
        <v>36825</v>
      </c>
      <c r="B18134" s="9" t="s">
        <v>36825</v>
      </c>
      <c r="C18134" s="9" t="s">
        <v>17</v>
      </c>
      <c r="D18134" s="9" t="s">
        <v>18</v>
      </c>
      <c r="E18134" s="10" t="s">
        <v>777</v>
      </c>
      <c r="F18134" s="9" t="s">
        <v>2535</v>
      </c>
      <c r="G18134" s="10" t="s">
        <v>176</v>
      </c>
      <c r="H18134" s="9" t="s">
        <v>22</v>
      </c>
      <c r="I18134" s="9" t="s">
        <v>36826</v>
      </c>
      <c r="J18134" s="10" t="str">
        <f>HYPERLINK("https://www.boe.es/gazeta/dias/1834/10/29/pdfs/GMD-C-1834-257.pdf#page=6","Abrir facsímil")</f>
        <v>Abrir facsímil</v>
      </c>
      <c r="K18134" s="10" t="s">
        <v>24</v>
      </c>
    </row>
    <row r="18135" spans="1:11" ht="54" customHeight="1">
      <c r="A18135" s="9" t="s">
        <v>36827</v>
      </c>
      <c r="B18135" s="9" t="s">
        <v>36827</v>
      </c>
      <c r="C18135" s="9" t="s">
        <v>17</v>
      </c>
      <c r="D18135" s="9" t="s">
        <v>18</v>
      </c>
      <c r="E18135" s="10" t="s">
        <v>2526</v>
      </c>
      <c r="F18135" s="9" t="s">
        <v>8236</v>
      </c>
      <c r="G18135" s="10" t="s">
        <v>75</v>
      </c>
      <c r="H18135" s="9" t="s">
        <v>22</v>
      </c>
      <c r="I18135" s="9" t="s">
        <v>36828</v>
      </c>
      <c r="J18135" s="10" t="str">
        <f>HYPERLINK("https://www.boe.es/gazeta/dias/1834/12/29/pdfs/GMD-1834-319.pdf#page=4","Abrir facsímil")</f>
        <v>Abrir facsímil</v>
      </c>
      <c r="K18135" s="10" t="s">
        <v>24</v>
      </c>
    </row>
    <row r="18136" spans="1:11" ht="54" customHeight="1">
      <c r="A18136" s="9" t="s">
        <v>36829</v>
      </c>
      <c r="B18136" s="9" t="s">
        <v>36829</v>
      </c>
      <c r="C18136" s="9" t="s">
        <v>66</v>
      </c>
      <c r="D18136" s="9" t="s">
        <v>67</v>
      </c>
      <c r="E18136" s="10" t="s">
        <v>658</v>
      </c>
      <c r="F18136" s="9" t="s">
        <v>659</v>
      </c>
      <c r="G18136" s="10" t="s">
        <v>21</v>
      </c>
      <c r="H18136" s="9" t="s">
        <v>22</v>
      </c>
      <c r="I18136" s="9" t="s">
        <v>36830</v>
      </c>
      <c r="J18136" s="10" t="str">
        <f>HYPERLINK("https://www.boe.es/gazeta/dias/1834/05/26/pdfs/GMD-1834-95.pdf#page=3","Abrir facsímil")</f>
        <v>Abrir facsímil</v>
      </c>
      <c r="K18136" s="10" t="s">
        <v>24</v>
      </c>
    </row>
    <row r="18137" spans="1:11" ht="54" customHeight="1">
      <c r="A18137" s="9" t="s">
        <v>36831</v>
      </c>
      <c r="B18137" s="9" t="s">
        <v>36831</v>
      </c>
      <c r="C18137" s="9" t="s">
        <v>17</v>
      </c>
      <c r="D18137" s="9" t="s">
        <v>55</v>
      </c>
      <c r="E18137" s="10" t="s">
        <v>2124</v>
      </c>
      <c r="F18137" s="9" t="s">
        <v>2125</v>
      </c>
      <c r="G18137" s="10" t="s">
        <v>34</v>
      </c>
      <c r="H18137" s="9" t="s">
        <v>22</v>
      </c>
      <c r="I18137" s="9" t="s">
        <v>36832</v>
      </c>
      <c r="J18137" s="10" t="str">
        <f>HYPERLINK("https://www.boe.es/gazeta/dias/1834/06/09/pdfs/GMD-1834-112.pdf#page=1","Abrir facsímil")</f>
        <v>Abrir facsímil</v>
      </c>
      <c r="K18137" s="10" t="s">
        <v>24</v>
      </c>
    </row>
    <row r="18138" spans="1:11" ht="54" customHeight="1">
      <c r="A18138" s="9" t="s">
        <v>36833</v>
      </c>
      <c r="B18138" s="9" t="s">
        <v>36834</v>
      </c>
      <c r="C18138" s="9" t="s">
        <v>17</v>
      </c>
      <c r="D18138" s="9" t="s">
        <v>101</v>
      </c>
      <c r="E18138" s="10" t="s">
        <v>299</v>
      </c>
      <c r="F18138" s="9" t="s">
        <v>2255</v>
      </c>
      <c r="G18138" s="10" t="s">
        <v>28</v>
      </c>
      <c r="H18138" s="9" t="s">
        <v>35</v>
      </c>
      <c r="I18138" s="9" t="s">
        <v>36835</v>
      </c>
      <c r="J18138" s="10" t="str">
        <f>HYPERLINK("https://www.boe.es/gazeta/dias/1834/12/12/pdfs/GMD-C-1834-301.pdf#page=5","Abrir facsímil")</f>
        <v>Abrir facsímil</v>
      </c>
      <c r="K18138" s="10" t="s">
        <v>37</v>
      </c>
    </row>
    <row r="18139" spans="1:11" ht="54" customHeight="1">
      <c r="A18139" s="9" t="s">
        <v>36836</v>
      </c>
      <c r="B18139" s="9" t="s">
        <v>36837</v>
      </c>
      <c r="C18139" s="9" t="s">
        <v>17</v>
      </c>
      <c r="D18139" s="9" t="s">
        <v>101</v>
      </c>
      <c r="E18139" s="10" t="s">
        <v>299</v>
      </c>
      <c r="F18139" s="9" t="s">
        <v>2255</v>
      </c>
      <c r="G18139" s="10" t="s">
        <v>28</v>
      </c>
      <c r="H18139" s="9" t="s">
        <v>22</v>
      </c>
      <c r="I18139" s="9" t="s">
        <v>36838</v>
      </c>
      <c r="J18139" s="10" t="str">
        <f>HYPERLINK("https://www.boe.es/gazeta/dias/1834/12/12/pdfs/GMD-C-1834-301.pdf#page=5","Abrir facsímil")</f>
        <v>Abrir facsímil</v>
      </c>
      <c r="K18139" s="10" t="s">
        <v>24</v>
      </c>
    </row>
    <row r="18140" spans="1:11" ht="54" customHeight="1">
      <c r="A18140" s="9" t="s">
        <v>36839</v>
      </c>
      <c r="B18140" s="9" t="s">
        <v>36840</v>
      </c>
      <c r="C18140" s="9" t="s">
        <v>17</v>
      </c>
      <c r="D18140" s="9" t="s">
        <v>101</v>
      </c>
      <c r="E18140" s="10" t="s">
        <v>3066</v>
      </c>
      <c r="F18140" s="9" t="s">
        <v>3188</v>
      </c>
      <c r="G18140" s="10" t="s">
        <v>21</v>
      </c>
      <c r="H18140" s="9" t="s">
        <v>22</v>
      </c>
      <c r="I18140" s="9" t="s">
        <v>36841</v>
      </c>
      <c r="J18140" s="10" t="str">
        <f>HYPERLINK("https://www.boe.es/gazeta/dias/1834/08/03/pdfs/GMD-1834-167.pdf#page=3","Abrir facsímil")</f>
        <v>Abrir facsímil</v>
      </c>
      <c r="K18140" s="10" t="s">
        <v>24</v>
      </c>
    </row>
    <row r="18141" spans="1:11" ht="54" customHeight="1">
      <c r="A18141" s="9" t="s">
        <v>36842</v>
      </c>
      <c r="B18141" s="9" t="s">
        <v>36843</v>
      </c>
      <c r="C18141" s="9" t="s">
        <v>66</v>
      </c>
      <c r="D18141" s="9" t="s">
        <v>67</v>
      </c>
      <c r="E18141" s="10" t="s">
        <v>339</v>
      </c>
      <c r="F18141" s="9" t="s">
        <v>340</v>
      </c>
      <c r="G18141" s="10" t="s">
        <v>21</v>
      </c>
      <c r="H18141" s="9" t="s">
        <v>22</v>
      </c>
      <c r="I18141" s="9" t="s">
        <v>36844</v>
      </c>
      <c r="J18141" s="10" t="str">
        <f>HYPERLINK("https://www.boe.es/gazeta/dias/1834/05/02/pdfs/GMD-1834-71.pdf#page=3","Abrir facsímil")</f>
        <v>Abrir facsímil</v>
      </c>
      <c r="K18141" s="10" t="s">
        <v>24</v>
      </c>
    </row>
    <row r="18142" spans="1:11" ht="54" customHeight="1">
      <c r="A18142" s="9" t="s">
        <v>36845</v>
      </c>
      <c r="B18142" s="9" t="s">
        <v>36846</v>
      </c>
      <c r="C18142" s="9" t="s">
        <v>66</v>
      </c>
      <c r="D18142" s="9" t="s">
        <v>67</v>
      </c>
      <c r="E18142" s="10" t="s">
        <v>339</v>
      </c>
      <c r="F18142" s="9" t="s">
        <v>340</v>
      </c>
      <c r="G18142" s="10" t="s">
        <v>21</v>
      </c>
      <c r="H18142" s="9" t="s">
        <v>35</v>
      </c>
      <c r="I18142" s="9" t="s">
        <v>36847</v>
      </c>
      <c r="J18142" s="10" t="str">
        <f>HYPERLINK("https://www.boe.es/gazeta/dias/1834/05/02/pdfs/GMD-1834-71.pdf#page=3","Abrir facsímil")</f>
        <v>Abrir facsímil</v>
      </c>
      <c r="K18142" s="10" t="s">
        <v>37</v>
      </c>
    </row>
    <row r="18143" spans="1:11" ht="54" customHeight="1">
      <c r="A18143" s="9" t="s">
        <v>36848</v>
      </c>
      <c r="B18143" s="9" t="s">
        <v>36849</v>
      </c>
      <c r="C18143" s="9" t="s">
        <v>17</v>
      </c>
      <c r="D18143" s="9" t="s">
        <v>18</v>
      </c>
      <c r="E18143" s="10" t="s">
        <v>939</v>
      </c>
      <c r="F18143" s="9" t="s">
        <v>940</v>
      </c>
      <c r="G18143" s="10" t="s">
        <v>34</v>
      </c>
      <c r="H18143" s="9" t="s">
        <v>22</v>
      </c>
      <c r="I18143" s="9" t="s">
        <v>36850</v>
      </c>
      <c r="J18143" s="10" t="str">
        <f>HYPERLINK("https://www.boe.es/gazeta/dias/1834/06/10/pdfs/GMD-1834-113.pdf#page=1","Abrir facsímil")</f>
        <v>Abrir facsímil</v>
      </c>
      <c r="K18143" s="10" t="s">
        <v>24</v>
      </c>
    </row>
    <row r="18144" spans="1:11" ht="54" customHeight="1">
      <c r="A18144" s="9" t="s">
        <v>36851</v>
      </c>
      <c r="B18144" s="9" t="s">
        <v>36852</v>
      </c>
      <c r="C18144" s="9" t="s">
        <v>17</v>
      </c>
      <c r="D18144" s="9" t="s">
        <v>18</v>
      </c>
      <c r="E18144" s="10" t="s">
        <v>535</v>
      </c>
      <c r="F18144" s="9" t="s">
        <v>536</v>
      </c>
      <c r="G18144" s="10" t="s">
        <v>34</v>
      </c>
      <c r="H18144" s="9" t="s">
        <v>22</v>
      </c>
      <c r="I18144" s="9" t="s">
        <v>36853</v>
      </c>
      <c r="J18144" s="10" t="str">
        <f>HYPERLINK("https://www.boe.es/gazeta/dias/1834/05/21/pdfs/GMD-1834-90.pdf#page=1","Abrir facsímil")</f>
        <v>Abrir facsímil</v>
      </c>
      <c r="K18144" s="10" t="s">
        <v>24</v>
      </c>
    </row>
    <row r="18145" spans="1:11" ht="54" customHeight="1">
      <c r="A18145" s="9" t="s">
        <v>36854</v>
      </c>
      <c r="B18145" s="9" t="s">
        <v>36854</v>
      </c>
      <c r="C18145" s="9" t="s">
        <v>17</v>
      </c>
      <c r="D18145" s="9" t="s">
        <v>18</v>
      </c>
      <c r="E18145" s="10" t="s">
        <v>265</v>
      </c>
      <c r="F18145" s="9" t="s">
        <v>266</v>
      </c>
      <c r="G18145" s="10" t="s">
        <v>34</v>
      </c>
      <c r="H18145" s="9" t="s">
        <v>22</v>
      </c>
      <c r="I18145" s="9" t="s">
        <v>36855</v>
      </c>
      <c r="J18145" s="10" t="str">
        <f>HYPERLINK("https://www.boe.es/gazeta/dias/1834/11/19/pdfs/GMD-C-1834-278.pdf#page=1","Abrir facsímil")</f>
        <v>Abrir facsímil</v>
      </c>
      <c r="K18145" s="10" t="s">
        <v>24</v>
      </c>
    </row>
    <row r="18146" spans="1:11" ht="54" customHeight="1">
      <c r="A18146" s="9" t="s">
        <v>36856</v>
      </c>
      <c r="B18146" s="9" t="s">
        <v>36857</v>
      </c>
      <c r="C18146" s="9" t="s">
        <v>46</v>
      </c>
      <c r="D18146" s="9" t="s">
        <v>101</v>
      </c>
      <c r="E18146" s="10" t="s">
        <v>183</v>
      </c>
      <c r="F18146" s="9" t="s">
        <v>184</v>
      </c>
      <c r="G18146" s="10" t="s">
        <v>75</v>
      </c>
      <c r="H18146" s="9" t="s">
        <v>35</v>
      </c>
      <c r="I18146" s="9" t="s">
        <v>36858</v>
      </c>
      <c r="J18146" s="10" t="str">
        <f>HYPERLINK("https://www.boe.es/gazeta/dias/1834/03/18/pdfs/GMD-1834-34.pdf#page=4","Abrir facsímil")</f>
        <v>Abrir facsímil</v>
      </c>
      <c r="K18146" s="10" t="s">
        <v>37</v>
      </c>
    </row>
    <row r="18147" spans="1:11" ht="54" customHeight="1">
      <c r="A18147" s="9" t="s">
        <v>36859</v>
      </c>
      <c r="B18147" s="9" t="s">
        <v>36860</v>
      </c>
      <c r="C18147" s="9" t="s">
        <v>46</v>
      </c>
      <c r="D18147" s="9" t="s">
        <v>101</v>
      </c>
      <c r="E18147" s="10" t="s">
        <v>183</v>
      </c>
      <c r="F18147" s="9" t="s">
        <v>184</v>
      </c>
      <c r="G18147" s="10" t="s">
        <v>75</v>
      </c>
      <c r="H18147" s="9" t="s">
        <v>22</v>
      </c>
      <c r="I18147" s="9" t="s">
        <v>36861</v>
      </c>
      <c r="J18147" s="10" t="str">
        <f>HYPERLINK("https://www.boe.es/gazeta/dias/1834/03/18/pdfs/GMD-1834-34.pdf#page=4","Abrir facsímil")</f>
        <v>Abrir facsímil</v>
      </c>
      <c r="K18147" s="10" t="s">
        <v>24</v>
      </c>
    </row>
    <row r="18148" spans="1:11" ht="54" customHeight="1">
      <c r="A18148" s="9" t="s">
        <v>36862</v>
      </c>
      <c r="B18148" s="9" t="s">
        <v>36863</v>
      </c>
      <c r="C18148" s="9" t="s">
        <v>122</v>
      </c>
      <c r="D18148" s="9" t="s">
        <v>18</v>
      </c>
      <c r="E18148" s="10" t="s">
        <v>1170</v>
      </c>
      <c r="F18148" s="9" t="s">
        <v>1171</v>
      </c>
      <c r="G18148" s="10" t="s">
        <v>21</v>
      </c>
      <c r="H18148" s="9" t="s">
        <v>22</v>
      </c>
      <c r="I18148" s="9" t="s">
        <v>36864</v>
      </c>
      <c r="J18148" s="10" t="str">
        <f>HYPERLINK("https://www.boe.es/gazeta/dias/1834/01/07/pdfs/GMD-1834-4.pdf#page=3","Abrir facsímil")</f>
        <v>Abrir facsímil</v>
      </c>
      <c r="K18148" s="10" t="s">
        <v>24</v>
      </c>
    </row>
    <row r="18149" spans="1:11" ht="54" customHeight="1">
      <c r="A18149" s="9" t="s">
        <v>36862</v>
      </c>
      <c r="B18149" s="9" t="s">
        <v>36863</v>
      </c>
      <c r="C18149" s="9" t="s">
        <v>17</v>
      </c>
      <c r="D18149" s="9" t="s">
        <v>18</v>
      </c>
      <c r="E18149" s="10" t="s">
        <v>167</v>
      </c>
      <c r="F18149" s="9" t="s">
        <v>1200</v>
      </c>
      <c r="G18149" s="10" t="s">
        <v>21</v>
      </c>
      <c r="H18149" s="9" t="s">
        <v>22</v>
      </c>
      <c r="I18149" s="9" t="s">
        <v>36865</v>
      </c>
      <c r="J18149" s="10" t="str">
        <f>HYPERLINK("https://www.boe.es/gazeta/dias/1834/09/07/pdfs/GMD-C-1834-205.pdf#page=3","Abrir facsímil")</f>
        <v>Abrir facsímil</v>
      </c>
      <c r="K18149" s="10" t="s">
        <v>24</v>
      </c>
    </row>
    <row r="18150" spans="1:11" ht="54" customHeight="1">
      <c r="A18150" s="9" t="s">
        <v>36866</v>
      </c>
      <c r="B18150" s="9" t="s">
        <v>36866</v>
      </c>
      <c r="C18150" s="9" t="s">
        <v>17</v>
      </c>
      <c r="D18150" s="9" t="s">
        <v>101</v>
      </c>
      <c r="E18150" s="10" t="s">
        <v>1333</v>
      </c>
      <c r="F18150" s="9" t="s">
        <v>1334</v>
      </c>
      <c r="G18150" s="10" t="s">
        <v>21</v>
      </c>
      <c r="H18150" s="9" t="s">
        <v>22</v>
      </c>
      <c r="I18150" s="9" t="s">
        <v>36867</v>
      </c>
      <c r="J18150" s="10" t="str">
        <f>HYPERLINK("https://www.boe.es/gazeta/dias/1834/04/01/pdfs/GMD-1834-40.pdf#page=3","Abrir facsímil")</f>
        <v>Abrir facsímil</v>
      </c>
      <c r="K18150" s="10" t="s">
        <v>24</v>
      </c>
    </row>
    <row r="18151" spans="1:11" ht="54" customHeight="1">
      <c r="A18151" s="9" t="s">
        <v>36866</v>
      </c>
      <c r="B18151" s="9" t="s">
        <v>36866</v>
      </c>
      <c r="C18151" s="9" t="s">
        <v>46</v>
      </c>
      <c r="D18151" s="9" t="s">
        <v>101</v>
      </c>
      <c r="E18151" s="10" t="s">
        <v>3699</v>
      </c>
      <c r="F18151" s="9" t="s">
        <v>3700</v>
      </c>
      <c r="G18151" s="10" t="s">
        <v>86</v>
      </c>
      <c r="H18151" s="9" t="s">
        <v>22</v>
      </c>
      <c r="I18151" s="9" t="s">
        <v>36868</v>
      </c>
      <c r="J18151" s="10" t="str">
        <f>HYPERLINK("https://www.boe.es/gazeta/dias/1834/02/06/pdfs/GMD-1834-17.pdf#page=2","Abrir facsímil")</f>
        <v>Abrir facsímil</v>
      </c>
      <c r="K18151" s="10" t="s">
        <v>24</v>
      </c>
    </row>
    <row r="18152" spans="1:11" ht="54" customHeight="1">
      <c r="A18152" s="9" t="s">
        <v>36866</v>
      </c>
      <c r="B18152" s="9" t="s">
        <v>36866</v>
      </c>
      <c r="C18152" s="9" t="s">
        <v>46</v>
      </c>
      <c r="D18152" s="9" t="s">
        <v>18</v>
      </c>
      <c r="E18152" s="10" t="s">
        <v>32</v>
      </c>
      <c r="F18152" s="9" t="s">
        <v>33</v>
      </c>
      <c r="G18152" s="10" t="s">
        <v>86</v>
      </c>
      <c r="H18152" s="9" t="s">
        <v>22</v>
      </c>
      <c r="I18152" s="9" t="s">
        <v>36869</v>
      </c>
      <c r="J18152" s="10" t="str">
        <f>HYPERLINK("https://www.boe.es/gazeta/dias/1834/04/23/pdfs/GMD-1834-62.pdf#page=2","Abrir facsímil")</f>
        <v>Abrir facsímil</v>
      </c>
      <c r="K18152" s="10" t="s">
        <v>24</v>
      </c>
    </row>
    <row r="18153" spans="1:11" ht="54" customHeight="1">
      <c r="A18153" s="9" t="s">
        <v>36866</v>
      </c>
      <c r="B18153" s="9" t="s">
        <v>36866</v>
      </c>
      <c r="C18153" s="9" t="s">
        <v>17</v>
      </c>
      <c r="D18153" s="9" t="s">
        <v>18</v>
      </c>
      <c r="E18153" s="10" t="s">
        <v>3499</v>
      </c>
      <c r="F18153" s="9" t="s">
        <v>3500</v>
      </c>
      <c r="G18153" s="10" t="s">
        <v>86</v>
      </c>
      <c r="H18153" s="9" t="s">
        <v>22</v>
      </c>
      <c r="I18153" s="9" t="s">
        <v>36870</v>
      </c>
      <c r="J18153" s="10" t="str">
        <f>HYPERLINK("https://www.boe.es/gazeta/dias/1834/01/28/pdfs/GMD-1834-13.pdf#page=2","Abrir facsímil")</f>
        <v>Abrir facsímil</v>
      </c>
      <c r="K18153" s="10" t="s">
        <v>24</v>
      </c>
    </row>
    <row r="18154" spans="1:11" ht="54" customHeight="1">
      <c r="A18154" s="9" t="s">
        <v>36871</v>
      </c>
      <c r="B18154" s="9" t="s">
        <v>36871</v>
      </c>
      <c r="C18154" s="9" t="s">
        <v>90</v>
      </c>
      <c r="D18154" s="9" t="s">
        <v>18</v>
      </c>
      <c r="E18154" s="10" t="s">
        <v>891</v>
      </c>
      <c r="F18154" s="9" t="s">
        <v>3608</v>
      </c>
      <c r="G18154" s="10" t="s">
        <v>34</v>
      </c>
      <c r="H18154" s="9" t="s">
        <v>22</v>
      </c>
      <c r="I18154" s="9" t="s">
        <v>36872</v>
      </c>
      <c r="J18154" s="10" t="str">
        <f>HYPERLINK("https://www.boe.es/gazeta/dias/1834/10/31/pdfs/GMD-1834-259.pdf#page=1","Abrir facsímil")</f>
        <v>Abrir facsímil</v>
      </c>
      <c r="K18154" s="10" t="s">
        <v>24</v>
      </c>
    </row>
    <row r="18155" spans="1:11" ht="54" customHeight="1">
      <c r="A18155" s="9" t="s">
        <v>36873</v>
      </c>
      <c r="B18155" s="9" t="s">
        <v>36874</v>
      </c>
      <c r="C18155" s="9" t="s">
        <v>90</v>
      </c>
      <c r="D18155" s="9" t="s">
        <v>40</v>
      </c>
      <c r="E18155" s="10" t="s">
        <v>696</v>
      </c>
      <c r="F18155" s="9" t="s">
        <v>854</v>
      </c>
      <c r="G18155" s="10" t="s">
        <v>75</v>
      </c>
      <c r="H18155" s="9" t="s">
        <v>22</v>
      </c>
      <c r="I18155" s="9" t="s">
        <v>36875</v>
      </c>
      <c r="J18155" s="10" t="str">
        <f>HYPERLINK("https://www.boe.es/gazeta/dias/1834/12/06/pdfs/GMD-1834-295.pdf#page=4","Abrir facsímil")</f>
        <v>Abrir facsímil</v>
      </c>
      <c r="K18155" s="10" t="s">
        <v>24</v>
      </c>
    </row>
    <row r="18156" spans="1:11" ht="54" customHeight="1">
      <c r="A18156" s="9" t="s">
        <v>36876</v>
      </c>
      <c r="B18156" s="9" t="s">
        <v>36877</v>
      </c>
      <c r="C18156" s="9" t="s">
        <v>122</v>
      </c>
      <c r="D18156" s="9" t="s">
        <v>101</v>
      </c>
      <c r="E18156" s="10" t="s">
        <v>905</v>
      </c>
      <c r="F18156" s="9" t="s">
        <v>1651</v>
      </c>
      <c r="G18156" s="10" t="s">
        <v>21</v>
      </c>
      <c r="H18156" s="9" t="s">
        <v>22</v>
      </c>
      <c r="I18156" s="9" t="s">
        <v>36878</v>
      </c>
      <c r="J18156" s="10" t="str">
        <f>HYPERLINK("https://www.boe.es/gazeta/dias/1834/08/02/pdfs/GMD-1834-166.pdf#page=3","Abrir facsímil")</f>
        <v>Abrir facsímil</v>
      </c>
      <c r="K18156" s="10" t="s">
        <v>24</v>
      </c>
    </row>
    <row r="18157" spans="1:11" ht="54" customHeight="1">
      <c r="A18157" s="9" t="s">
        <v>36879</v>
      </c>
      <c r="B18157" s="9" t="s">
        <v>36880</v>
      </c>
      <c r="C18157" s="9" t="s">
        <v>17</v>
      </c>
      <c r="D18157" s="9" t="s">
        <v>40</v>
      </c>
      <c r="E18157" s="10" t="s">
        <v>506</v>
      </c>
      <c r="F18157" s="9" t="s">
        <v>507</v>
      </c>
      <c r="G18157" s="10" t="s">
        <v>176</v>
      </c>
      <c r="H18157" s="9" t="s">
        <v>22</v>
      </c>
      <c r="I18157" s="9" t="s">
        <v>36881</v>
      </c>
      <c r="J18157" s="10" t="str">
        <f>HYPERLINK("https://www.boe.es/gazeta/dias/1834/03/04/pdfs/GMD-1834-28.pdf#page=6","Abrir facsímil")</f>
        <v>Abrir facsímil</v>
      </c>
      <c r="K18157" s="10" t="s">
        <v>24</v>
      </c>
    </row>
    <row r="18158" spans="1:11" ht="54" customHeight="1">
      <c r="A18158" s="9" t="s">
        <v>36882</v>
      </c>
      <c r="B18158" s="9" t="s">
        <v>36882</v>
      </c>
      <c r="C18158" s="9" t="s">
        <v>90</v>
      </c>
      <c r="D18158" s="9" t="s">
        <v>18</v>
      </c>
      <c r="E18158" s="10" t="s">
        <v>556</v>
      </c>
      <c r="F18158" s="9" t="s">
        <v>557</v>
      </c>
      <c r="G18158" s="10" t="s">
        <v>86</v>
      </c>
      <c r="H18158" s="9" t="s">
        <v>22</v>
      </c>
      <c r="I18158" s="9" t="s">
        <v>36883</v>
      </c>
      <c r="J18158" s="10" t="str">
        <f>HYPERLINK("https://www.boe.es/gazeta/dias/1834/09/13/pdfs/GMD-1834-211.pdf#page=2","Abrir facsímil")</f>
        <v>Abrir facsímil</v>
      </c>
      <c r="K18158" s="10" t="s">
        <v>24</v>
      </c>
    </row>
    <row r="18159" spans="1:11" ht="54" customHeight="1">
      <c r="A18159" s="9" t="s">
        <v>36884</v>
      </c>
      <c r="B18159" s="9" t="s">
        <v>36884</v>
      </c>
      <c r="C18159" s="9" t="s">
        <v>17</v>
      </c>
      <c r="D18159" s="9" t="s">
        <v>18</v>
      </c>
      <c r="E18159" s="10" t="s">
        <v>3225</v>
      </c>
      <c r="F18159" s="9" t="s">
        <v>3226</v>
      </c>
      <c r="G18159" s="10" t="s">
        <v>75</v>
      </c>
      <c r="H18159" s="9" t="s">
        <v>22</v>
      </c>
      <c r="I18159" s="9" t="s">
        <v>36885</v>
      </c>
      <c r="J18159" s="10" t="str">
        <f>HYPERLINK("https://www.boe.es/gazeta/dias/1834/08/22/pdfs/GMD-1834-188.pdf#page=4","Abrir facsímil")</f>
        <v>Abrir facsímil</v>
      </c>
      <c r="K18159" s="10" t="s">
        <v>24</v>
      </c>
    </row>
    <row r="18160" spans="1:11" ht="54" customHeight="1">
      <c r="A18160" s="9" t="s">
        <v>36886</v>
      </c>
      <c r="B18160" s="9" t="s">
        <v>36887</v>
      </c>
      <c r="C18160" s="9" t="s">
        <v>17</v>
      </c>
      <c r="D18160" s="9" t="s">
        <v>18</v>
      </c>
      <c r="E18160" s="10" t="s">
        <v>3225</v>
      </c>
      <c r="F18160" s="9" t="s">
        <v>3226</v>
      </c>
      <c r="G18160" s="10" t="s">
        <v>75</v>
      </c>
      <c r="H18160" s="9" t="s">
        <v>22</v>
      </c>
      <c r="I18160" s="9" t="s">
        <v>36888</v>
      </c>
      <c r="J18160" s="10" t="str">
        <f>HYPERLINK("https://www.boe.es/gazeta/dias/1834/08/22/pdfs/GMD-1834-188.pdf#page=4","Abrir facsímil")</f>
        <v>Abrir facsímil</v>
      </c>
      <c r="K18160" s="10" t="s">
        <v>24</v>
      </c>
    </row>
    <row r="18161" spans="1:11" ht="54" customHeight="1">
      <c r="A18161" s="9" t="s">
        <v>36889</v>
      </c>
      <c r="B18161" s="9" t="s">
        <v>36889</v>
      </c>
      <c r="C18161" s="9" t="s">
        <v>17</v>
      </c>
      <c r="D18161" s="9" t="s">
        <v>18</v>
      </c>
      <c r="E18161" s="10" t="s">
        <v>2287</v>
      </c>
      <c r="F18161" s="9" t="s">
        <v>2288</v>
      </c>
      <c r="G18161" s="10" t="s">
        <v>34</v>
      </c>
      <c r="H18161" s="9" t="s">
        <v>22</v>
      </c>
      <c r="I18161" s="9" t="s">
        <v>36890</v>
      </c>
      <c r="J18161" s="10" t="str">
        <f>HYPERLINK("https://www.boe.es/gazeta/dias/1834/12/18/pdfs/GMD-C-1834-308.pdf#page=1","Abrir facsímil")</f>
        <v>Abrir facsímil</v>
      </c>
      <c r="K18161" s="10" t="s">
        <v>24</v>
      </c>
    </row>
    <row r="18162" spans="1:11" ht="54" customHeight="1">
      <c r="A18162" s="9" t="s">
        <v>36891</v>
      </c>
      <c r="B18162" s="9" t="s">
        <v>36891</v>
      </c>
      <c r="C18162" s="9" t="s">
        <v>17</v>
      </c>
      <c r="D18162" s="9" t="s">
        <v>18</v>
      </c>
      <c r="E18162" s="10" t="s">
        <v>1410</v>
      </c>
      <c r="F18162" s="9" t="s">
        <v>2231</v>
      </c>
      <c r="G18162" s="10" t="s">
        <v>21</v>
      </c>
      <c r="H18162" s="9" t="s">
        <v>22</v>
      </c>
      <c r="I18162" s="9" t="s">
        <v>36892</v>
      </c>
      <c r="J18162" s="10" t="str">
        <f>HYPERLINK("https://www.boe.es/gazeta/dias/1834/09/09/pdfs/GMD-C-1834-207.pdf#page=3","Abrir facsímil")</f>
        <v>Abrir facsímil</v>
      </c>
      <c r="K18162" s="10" t="s">
        <v>24</v>
      </c>
    </row>
    <row r="18163" spans="1:11" ht="54" customHeight="1">
      <c r="A18163" s="9" t="s">
        <v>36891</v>
      </c>
      <c r="B18163" s="9" t="s">
        <v>36891</v>
      </c>
      <c r="C18163" s="9" t="s">
        <v>17</v>
      </c>
      <c r="D18163" s="9" t="s">
        <v>18</v>
      </c>
      <c r="E18163" s="10" t="s">
        <v>378</v>
      </c>
      <c r="F18163" s="9" t="s">
        <v>888</v>
      </c>
      <c r="G18163" s="10" t="s">
        <v>176</v>
      </c>
      <c r="H18163" s="9" t="s">
        <v>22</v>
      </c>
      <c r="I18163" s="9" t="s">
        <v>36893</v>
      </c>
      <c r="J18163" s="10" t="str">
        <f>HYPERLINK("https://www.boe.es/gazeta/dias/1834/09/24/pdfs/GMD-C-1834-222.pdf#page=6","Abrir facsímil")</f>
        <v>Abrir facsímil</v>
      </c>
      <c r="K18163" s="10" t="s">
        <v>24</v>
      </c>
    </row>
    <row r="18164" spans="1:11" ht="54" customHeight="1">
      <c r="A18164" s="9" t="s">
        <v>36891</v>
      </c>
      <c r="B18164" s="9" t="s">
        <v>36891</v>
      </c>
      <c r="C18164" s="9" t="s">
        <v>17</v>
      </c>
      <c r="D18164" s="9" t="s">
        <v>18</v>
      </c>
      <c r="E18164" s="10" t="s">
        <v>403</v>
      </c>
      <c r="F18164" s="9" t="s">
        <v>404</v>
      </c>
      <c r="G18164" s="10" t="s">
        <v>34</v>
      </c>
      <c r="H18164" s="9" t="s">
        <v>22</v>
      </c>
      <c r="I18164" s="9" t="s">
        <v>36894</v>
      </c>
      <c r="J18164" s="10" t="str">
        <f>HYPERLINK("https://www.boe.es/gazeta/dias/1834/09/25/pdfs/GMD-C-1834-223.pdf#page=1","Abrir facsímil")</f>
        <v>Abrir facsímil</v>
      </c>
      <c r="K18164" s="10" t="s">
        <v>24</v>
      </c>
    </row>
    <row r="18165" spans="1:11" ht="54" customHeight="1">
      <c r="A18165" s="9" t="s">
        <v>36891</v>
      </c>
      <c r="B18165" s="9" t="s">
        <v>36891</v>
      </c>
      <c r="C18165" s="9" t="s">
        <v>17</v>
      </c>
      <c r="D18165" s="9" t="s">
        <v>18</v>
      </c>
      <c r="E18165" s="10" t="s">
        <v>777</v>
      </c>
      <c r="F18165" s="9" t="s">
        <v>2535</v>
      </c>
      <c r="G18165" s="10" t="s">
        <v>560</v>
      </c>
      <c r="H18165" s="9" t="s">
        <v>22</v>
      </c>
      <c r="I18165" s="9" t="s">
        <v>36895</v>
      </c>
      <c r="J18165" s="10" t="str">
        <f>HYPERLINK("https://www.boe.es/gazeta/dias/1834/10/29/pdfs/GMD-C-1834-257.pdf#page=7","Abrir facsímil")</f>
        <v>Abrir facsímil</v>
      </c>
      <c r="K18165" s="10" t="s">
        <v>24</v>
      </c>
    </row>
    <row r="18166" spans="1:11" ht="54" customHeight="1">
      <c r="A18166" s="9" t="s">
        <v>36896</v>
      </c>
      <c r="B18166" s="9" t="s">
        <v>36897</v>
      </c>
      <c r="C18166" s="9" t="s">
        <v>17</v>
      </c>
      <c r="D18166" s="9" t="s">
        <v>18</v>
      </c>
      <c r="E18166" s="10" t="s">
        <v>1351</v>
      </c>
      <c r="F18166" s="9" t="s">
        <v>1352</v>
      </c>
      <c r="G18166" s="10" t="s">
        <v>75</v>
      </c>
      <c r="H18166" s="9" t="s">
        <v>22</v>
      </c>
      <c r="I18166" s="9" t="s">
        <v>36898</v>
      </c>
      <c r="J18166" s="10" t="str">
        <f>HYPERLINK("https://www.boe.es/gazeta/dias/1834/07/05/pdfs/GMD-1834-138.pdf#page=4","Abrir facsímil")</f>
        <v>Abrir facsímil</v>
      </c>
      <c r="K18166" s="10" t="s">
        <v>24</v>
      </c>
    </row>
    <row r="18167" spans="1:11" ht="54" customHeight="1">
      <c r="A18167" s="9" t="s">
        <v>36899</v>
      </c>
      <c r="B18167" s="9" t="s">
        <v>36900</v>
      </c>
      <c r="C18167" s="9" t="s">
        <v>17</v>
      </c>
      <c r="D18167" s="9" t="s">
        <v>18</v>
      </c>
      <c r="E18167" s="10" t="s">
        <v>1351</v>
      </c>
      <c r="F18167" s="9" t="s">
        <v>1352</v>
      </c>
      <c r="G18167" s="10" t="s">
        <v>75</v>
      </c>
      <c r="H18167" s="9" t="s">
        <v>35</v>
      </c>
      <c r="I18167" s="9" t="s">
        <v>36901</v>
      </c>
      <c r="J18167" s="10" t="str">
        <f>HYPERLINK("https://www.boe.es/gazeta/dias/1834/07/05/pdfs/GMD-1834-138.pdf#page=4","Abrir facsímil")</f>
        <v>Abrir facsímil</v>
      </c>
      <c r="K18167" s="10" t="s">
        <v>37</v>
      </c>
    </row>
    <row r="18168" spans="1:11" ht="54" customHeight="1">
      <c r="A18168" s="9" t="s">
        <v>36902</v>
      </c>
      <c r="B18168" s="9" t="s">
        <v>36902</v>
      </c>
      <c r="C18168" s="9" t="s">
        <v>17</v>
      </c>
      <c r="D18168" s="9" t="s">
        <v>101</v>
      </c>
      <c r="E18168" s="10" t="s">
        <v>863</v>
      </c>
      <c r="F18168" s="9" t="s">
        <v>864</v>
      </c>
      <c r="G18168" s="10" t="s">
        <v>75</v>
      </c>
      <c r="H18168" s="9" t="s">
        <v>22</v>
      </c>
      <c r="I18168" s="9" t="s">
        <v>36903</v>
      </c>
      <c r="J18168" s="10" t="str">
        <f>HYPERLINK("https://www.boe.es/gazeta/dias/1834/09/15/pdfs/GMD-1834-213.pdf#page=4","Abrir facsímil")</f>
        <v>Abrir facsímil</v>
      </c>
      <c r="K18168" s="10" t="s">
        <v>24</v>
      </c>
    </row>
    <row r="18169" spans="1:11" ht="54" customHeight="1">
      <c r="A18169" s="9" t="s">
        <v>36902</v>
      </c>
      <c r="B18169" s="9" t="s">
        <v>36902</v>
      </c>
      <c r="C18169" s="9" t="s">
        <v>122</v>
      </c>
      <c r="D18169" s="9" t="s">
        <v>18</v>
      </c>
      <c r="E18169" s="10" t="s">
        <v>5574</v>
      </c>
      <c r="F18169" s="9" t="s">
        <v>5575</v>
      </c>
      <c r="G18169" s="10" t="s">
        <v>21</v>
      </c>
      <c r="H18169" s="9" t="s">
        <v>22</v>
      </c>
      <c r="I18169" s="9" t="s">
        <v>36904</v>
      </c>
      <c r="J18169" s="10" t="str">
        <f>HYPERLINK("https://www.boe.es/gazeta/dias/1834/06/16/pdfs/GMD-1834-119.pdf#page=3","Abrir facsímil")</f>
        <v>Abrir facsímil</v>
      </c>
      <c r="K18169" s="10" t="s">
        <v>24</v>
      </c>
    </row>
    <row r="18170" spans="1:11" ht="54" customHeight="1">
      <c r="A18170" s="9" t="s">
        <v>36902</v>
      </c>
      <c r="B18170" s="9" t="s">
        <v>36902</v>
      </c>
      <c r="C18170" s="9" t="s">
        <v>46</v>
      </c>
      <c r="D18170" s="9" t="s">
        <v>101</v>
      </c>
      <c r="E18170" s="10" t="s">
        <v>2142</v>
      </c>
      <c r="F18170" s="9" t="s">
        <v>2143</v>
      </c>
      <c r="G18170" s="10" t="s">
        <v>21</v>
      </c>
      <c r="H18170" s="9" t="s">
        <v>22</v>
      </c>
      <c r="I18170" s="9" t="s">
        <v>36905</v>
      </c>
      <c r="J18170" s="10" t="str">
        <f>HYPERLINK("https://www.boe.es/gazeta/dias/1834/12/27/pdfs/GMD-1834-317.pdf#page=3","Abrir facsímil")</f>
        <v>Abrir facsímil</v>
      </c>
      <c r="K18170" s="10" t="s">
        <v>24</v>
      </c>
    </row>
    <row r="18171" spans="1:11" ht="54" customHeight="1">
      <c r="A18171" s="9" t="s">
        <v>36906</v>
      </c>
      <c r="B18171" s="9" t="s">
        <v>36907</v>
      </c>
      <c r="C18171" s="9" t="s">
        <v>46</v>
      </c>
      <c r="D18171" s="9" t="s">
        <v>101</v>
      </c>
      <c r="E18171" s="10" t="s">
        <v>2142</v>
      </c>
      <c r="F18171" s="9" t="s">
        <v>2143</v>
      </c>
      <c r="G18171" s="10" t="s">
        <v>21</v>
      </c>
      <c r="H18171" s="9" t="s">
        <v>35</v>
      </c>
      <c r="I18171" s="9" t="s">
        <v>36908</v>
      </c>
      <c r="J18171" s="10" t="str">
        <f>HYPERLINK("https://www.boe.es/gazeta/dias/1834/12/27/pdfs/GMD-1834-317.pdf#page=3","Abrir facsímil")</f>
        <v>Abrir facsímil</v>
      </c>
      <c r="K18171" s="10" t="s">
        <v>37</v>
      </c>
    </row>
    <row r="18172" spans="1:11" ht="54" customHeight="1">
      <c r="A18172" s="9" t="s">
        <v>36909</v>
      </c>
      <c r="B18172" s="9" t="s">
        <v>36909</v>
      </c>
      <c r="C18172" s="9" t="s">
        <v>66</v>
      </c>
      <c r="D18172" s="9" t="s">
        <v>67</v>
      </c>
      <c r="E18172" s="10" t="s">
        <v>1337</v>
      </c>
      <c r="F18172" s="9" t="s">
        <v>1338</v>
      </c>
      <c r="G18172" s="10" t="s">
        <v>21</v>
      </c>
      <c r="H18172" s="9" t="s">
        <v>22</v>
      </c>
      <c r="I18172" s="9" t="s">
        <v>36910</v>
      </c>
      <c r="J18172" s="10" t="str">
        <f>HYPERLINK("https://www.boe.es/gazeta/dias/1834/01/02/pdfs/GMD-1834-1.pdf#page=3","Abrir facsímil")</f>
        <v>Abrir facsímil</v>
      </c>
      <c r="K18172" s="10" t="s">
        <v>24</v>
      </c>
    </row>
    <row r="18173" spans="1:11" ht="54" customHeight="1">
      <c r="A18173" s="9" t="s">
        <v>36911</v>
      </c>
      <c r="B18173" s="9" t="s">
        <v>36911</v>
      </c>
      <c r="C18173" s="9" t="s">
        <v>122</v>
      </c>
      <c r="D18173" s="9" t="s">
        <v>18</v>
      </c>
      <c r="E18173" s="10" t="s">
        <v>637</v>
      </c>
      <c r="F18173" s="9" t="s">
        <v>638</v>
      </c>
      <c r="G18173" s="10" t="s">
        <v>34</v>
      </c>
      <c r="H18173" s="9" t="s">
        <v>22</v>
      </c>
      <c r="I18173" s="9" t="s">
        <v>36912</v>
      </c>
      <c r="J18173" s="10" t="str">
        <f>HYPERLINK("https://www.boe.es/gazeta/dias/1834/06/03/pdfs/I00469-00470.pdf#page=1","Abrir facsímil")</f>
        <v>Abrir facsímil</v>
      </c>
      <c r="K18173" s="10" t="s">
        <v>24</v>
      </c>
    </row>
    <row r="18174" spans="1:11" ht="54" customHeight="1">
      <c r="A18174" s="9" t="s">
        <v>36911</v>
      </c>
      <c r="B18174" s="9" t="s">
        <v>36911</v>
      </c>
      <c r="C18174" s="9" t="s">
        <v>122</v>
      </c>
      <c r="D18174" s="9" t="s">
        <v>18</v>
      </c>
      <c r="E18174" s="10" t="s">
        <v>637</v>
      </c>
      <c r="F18174" s="9" t="s">
        <v>638</v>
      </c>
      <c r="G18174" s="10" t="s">
        <v>21</v>
      </c>
      <c r="H18174" s="9" t="s">
        <v>22</v>
      </c>
      <c r="I18174" s="9" t="s">
        <v>36913</v>
      </c>
      <c r="J18174" s="10" t="str">
        <f>HYPERLINK("https://www.boe.es/gazeta/dias/1834/06/03/pdfs/GMD-1834-105.pdf#page=3","Abrir facsímil")</f>
        <v>Abrir facsímil</v>
      </c>
      <c r="K18174" s="10" t="s">
        <v>24</v>
      </c>
    </row>
    <row r="18175" spans="1:11" ht="54" customHeight="1">
      <c r="A18175" s="9" t="s">
        <v>36911</v>
      </c>
      <c r="B18175" s="9" t="s">
        <v>36911</v>
      </c>
      <c r="C18175" s="9" t="s">
        <v>66</v>
      </c>
      <c r="D18175" s="9" t="s">
        <v>67</v>
      </c>
      <c r="E18175" s="10" t="s">
        <v>61</v>
      </c>
      <c r="F18175" s="9" t="s">
        <v>205</v>
      </c>
      <c r="G18175" s="10" t="s">
        <v>21</v>
      </c>
      <c r="H18175" s="9" t="s">
        <v>22</v>
      </c>
      <c r="I18175" s="9" t="s">
        <v>36914</v>
      </c>
      <c r="J18175" s="10" t="str">
        <f>HYPERLINK("https://www.boe.es/gazeta/dias/1834/06/08/pdfs/GMD-1834-110.pdf#page=3","Abrir facsímil")</f>
        <v>Abrir facsímil</v>
      </c>
      <c r="K18175" s="10" t="s">
        <v>24</v>
      </c>
    </row>
    <row r="18176" spans="1:11" ht="54" customHeight="1">
      <c r="A18176" s="9" t="s">
        <v>36911</v>
      </c>
      <c r="B18176" s="9" t="s">
        <v>36911</v>
      </c>
      <c r="C18176" s="9" t="s">
        <v>122</v>
      </c>
      <c r="D18176" s="9" t="s">
        <v>55</v>
      </c>
      <c r="E18176" s="10" t="s">
        <v>438</v>
      </c>
      <c r="F18176" s="9" t="s">
        <v>528</v>
      </c>
      <c r="G18176" s="10" t="s">
        <v>75</v>
      </c>
      <c r="H18176" s="9" t="s">
        <v>22</v>
      </c>
      <c r="I18176" s="9" t="s">
        <v>36915</v>
      </c>
      <c r="J18176" s="10" t="str">
        <f>HYPERLINK("https://www.boe.es/gazeta/dias/1834/11/09/pdfs/GMD-C-1834-268.pdf#page=4","Abrir facsímil")</f>
        <v>Abrir facsímil</v>
      </c>
      <c r="K18176" s="10" t="s">
        <v>24</v>
      </c>
    </row>
    <row r="18177" spans="1:11" ht="54" customHeight="1">
      <c r="A18177" s="9" t="s">
        <v>36911</v>
      </c>
      <c r="B18177" s="9" t="s">
        <v>36911</v>
      </c>
      <c r="C18177" s="9" t="s">
        <v>66</v>
      </c>
      <c r="D18177" s="9" t="s">
        <v>67</v>
      </c>
      <c r="E18177" s="10" t="s">
        <v>1234</v>
      </c>
      <c r="F18177" s="9" t="s">
        <v>1235</v>
      </c>
      <c r="G18177" s="10" t="s">
        <v>34</v>
      </c>
      <c r="H18177" s="9" t="s">
        <v>22</v>
      </c>
      <c r="I18177" s="9" t="s">
        <v>36916</v>
      </c>
      <c r="J18177" s="10" t="str">
        <f>HYPERLINK("https://www.boe.es/gazeta/dias/1834/05/15/pdfs/GMD-C-1834-84.pdf#page=1","Abrir facsímil")</f>
        <v>Abrir facsímil</v>
      </c>
      <c r="K18177" s="10" t="s">
        <v>24</v>
      </c>
    </row>
    <row r="18178" spans="1:11" ht="54" customHeight="1">
      <c r="A18178" s="9" t="s">
        <v>36911</v>
      </c>
      <c r="B18178" s="9" t="s">
        <v>36911</v>
      </c>
      <c r="C18178" s="9" t="s">
        <v>17</v>
      </c>
      <c r="D18178" s="9" t="s">
        <v>18</v>
      </c>
      <c r="E18178" s="10" t="s">
        <v>138</v>
      </c>
      <c r="F18178" s="9" t="s">
        <v>139</v>
      </c>
      <c r="G18178" s="10" t="s">
        <v>21</v>
      </c>
      <c r="H18178" s="9" t="s">
        <v>22</v>
      </c>
      <c r="I18178" s="9" t="s">
        <v>36917</v>
      </c>
      <c r="J18178" s="10" t="str">
        <f>HYPERLINK("https://www.boe.es/gazeta/dias/1834/05/17/pdfs/GMD-1834-86.pdf#page=3","Abrir facsímil")</f>
        <v>Abrir facsímil</v>
      </c>
      <c r="K18178" s="10" t="s">
        <v>24</v>
      </c>
    </row>
    <row r="18179" spans="1:11" ht="54" customHeight="1">
      <c r="A18179" s="9" t="s">
        <v>36911</v>
      </c>
      <c r="B18179" s="9" t="s">
        <v>36911</v>
      </c>
      <c r="C18179" s="9" t="s">
        <v>90</v>
      </c>
      <c r="D18179" s="9" t="s">
        <v>67</v>
      </c>
      <c r="E18179" s="10" t="s">
        <v>1323</v>
      </c>
      <c r="F18179" s="9" t="s">
        <v>1324</v>
      </c>
      <c r="G18179" s="10" t="s">
        <v>75</v>
      </c>
      <c r="H18179" s="9" t="s">
        <v>22</v>
      </c>
      <c r="I18179" s="9" t="s">
        <v>36918</v>
      </c>
      <c r="J18179" s="10" t="str">
        <f>HYPERLINK("https://www.boe.es/gazeta/dias/1834/05/22/pdfs/GMD-1834-91.pdf#page=4","Abrir facsímil")</f>
        <v>Abrir facsímil</v>
      </c>
      <c r="K18179" s="10" t="s">
        <v>24</v>
      </c>
    </row>
    <row r="18180" spans="1:11" ht="54" customHeight="1">
      <c r="A18180" s="9" t="s">
        <v>36911</v>
      </c>
      <c r="B18180" s="9" t="s">
        <v>36911</v>
      </c>
      <c r="C18180" s="9" t="s">
        <v>17</v>
      </c>
      <c r="D18180" s="9" t="s">
        <v>18</v>
      </c>
      <c r="E18180" s="10" t="s">
        <v>833</v>
      </c>
      <c r="F18180" s="9" t="s">
        <v>834</v>
      </c>
      <c r="G18180" s="10" t="s">
        <v>86</v>
      </c>
      <c r="H18180" s="9" t="s">
        <v>22</v>
      </c>
      <c r="I18180" s="9" t="s">
        <v>36919</v>
      </c>
      <c r="J18180" s="10" t="str">
        <f>HYPERLINK("https://www.boe.es/gazeta/dias/1834/04/24/pdfs/GMD-1834-63.pdf#page=2","Abrir facsímil")</f>
        <v>Abrir facsímil</v>
      </c>
      <c r="K18180" s="10" t="s">
        <v>24</v>
      </c>
    </row>
    <row r="18181" spans="1:11" ht="54" customHeight="1">
      <c r="A18181" s="9" t="s">
        <v>36911</v>
      </c>
      <c r="B18181" s="9" t="s">
        <v>36911</v>
      </c>
      <c r="C18181" s="9" t="s">
        <v>17</v>
      </c>
      <c r="D18181" s="9" t="s">
        <v>18</v>
      </c>
      <c r="E18181" s="10" t="s">
        <v>891</v>
      </c>
      <c r="F18181" s="9" t="s">
        <v>3608</v>
      </c>
      <c r="G18181" s="10" t="s">
        <v>34</v>
      </c>
      <c r="H18181" s="9" t="s">
        <v>22</v>
      </c>
      <c r="I18181" s="9" t="s">
        <v>36920</v>
      </c>
      <c r="J18181" s="10" t="str">
        <f>HYPERLINK("https://www.boe.es/gazeta/dias/1834/10/31/pdfs/GMD-1834-259.pdf#page=1","Abrir facsímil")</f>
        <v>Abrir facsímil</v>
      </c>
      <c r="K18181" s="10" t="s">
        <v>24</v>
      </c>
    </row>
    <row r="18182" spans="1:11" ht="54" customHeight="1">
      <c r="A18182" s="9" t="s">
        <v>36921</v>
      </c>
      <c r="B18182" s="9" t="s">
        <v>36922</v>
      </c>
      <c r="C18182" s="9" t="s">
        <v>17</v>
      </c>
      <c r="D18182" s="9" t="s">
        <v>18</v>
      </c>
      <c r="E18182" s="10" t="s">
        <v>833</v>
      </c>
      <c r="F18182" s="9" t="s">
        <v>834</v>
      </c>
      <c r="G18182" s="10" t="s">
        <v>86</v>
      </c>
      <c r="H18182" s="9" t="s">
        <v>35</v>
      </c>
      <c r="I18182" s="9" t="s">
        <v>36923</v>
      </c>
      <c r="J18182" s="10" t="str">
        <f>HYPERLINK("https://www.boe.es/gazeta/dias/1834/04/24/pdfs/GMD-1834-63.pdf#page=2","Abrir facsímil")</f>
        <v>Abrir facsímil</v>
      </c>
      <c r="K18182" s="10" t="s">
        <v>37</v>
      </c>
    </row>
    <row r="18183" spans="1:11" ht="54" customHeight="1">
      <c r="A18183" s="9" t="s">
        <v>36924</v>
      </c>
      <c r="B18183" s="9" t="s">
        <v>36925</v>
      </c>
      <c r="C18183" s="9" t="s">
        <v>46</v>
      </c>
      <c r="D18183" s="9" t="s">
        <v>40</v>
      </c>
      <c r="E18183" s="10" t="s">
        <v>1862</v>
      </c>
      <c r="F18183" s="9" t="s">
        <v>1863</v>
      </c>
      <c r="G18183" s="10" t="s">
        <v>75</v>
      </c>
      <c r="H18183" s="9" t="s">
        <v>35</v>
      </c>
      <c r="I18183" s="9" t="s">
        <v>36926</v>
      </c>
      <c r="J18183" s="10" t="str">
        <f>HYPERLINK("https://www.boe.es/gazeta/dias/1834/02/04/pdfs/GMD-1834-16.pdf#page=4","Abrir facsímil")</f>
        <v>Abrir facsímil</v>
      </c>
      <c r="K18183" s="10" t="s">
        <v>37</v>
      </c>
    </row>
    <row r="18184" spans="1:11" ht="54" customHeight="1">
      <c r="A18184" s="9" t="s">
        <v>36927</v>
      </c>
      <c r="B18184" s="9" t="s">
        <v>36928</v>
      </c>
      <c r="C18184" s="9" t="s">
        <v>17</v>
      </c>
      <c r="D18184" s="9" t="s">
        <v>18</v>
      </c>
      <c r="E18184" s="10" t="s">
        <v>1597</v>
      </c>
      <c r="F18184" s="9" t="s">
        <v>1598</v>
      </c>
      <c r="G18184" s="10" t="s">
        <v>21</v>
      </c>
      <c r="H18184" s="9" t="s">
        <v>22</v>
      </c>
      <c r="I18184" s="9" t="s">
        <v>36929</v>
      </c>
      <c r="J18184" s="10" t="str">
        <f>HYPERLINK("https://www.boe.es/gazeta/dias/1834/10/03/pdfs/GMD-1834-231.pdf#page=3","Abrir facsímil")</f>
        <v>Abrir facsímil</v>
      </c>
      <c r="K18184" s="10" t="s">
        <v>24</v>
      </c>
    </row>
    <row r="18185" spans="1:11" ht="54" customHeight="1">
      <c r="A18185" s="9" t="s">
        <v>36930</v>
      </c>
      <c r="B18185" s="9" t="s">
        <v>36931</v>
      </c>
      <c r="C18185" s="9" t="s">
        <v>17</v>
      </c>
      <c r="D18185" s="9" t="s">
        <v>40</v>
      </c>
      <c r="E18185" s="10" t="s">
        <v>1323</v>
      </c>
      <c r="F18185" s="9" t="s">
        <v>1324</v>
      </c>
      <c r="G18185" s="10" t="s">
        <v>75</v>
      </c>
      <c r="H18185" s="9" t="s">
        <v>22</v>
      </c>
      <c r="I18185" s="9" t="s">
        <v>36932</v>
      </c>
      <c r="J18185" s="10" t="str">
        <f>HYPERLINK("https://www.boe.es/gazeta/dias/1834/05/22/pdfs/GMD-1834-91.pdf#page=4","Abrir facsímil")</f>
        <v>Abrir facsímil</v>
      </c>
      <c r="K18185" s="10" t="s">
        <v>24</v>
      </c>
    </row>
    <row r="18186" spans="1:11" ht="54" customHeight="1">
      <c r="A18186" s="9" t="s">
        <v>36933</v>
      </c>
      <c r="B18186" s="9" t="s">
        <v>36934</v>
      </c>
      <c r="C18186" s="9" t="s">
        <v>17</v>
      </c>
      <c r="D18186" s="9" t="s">
        <v>18</v>
      </c>
      <c r="E18186" s="10" t="s">
        <v>339</v>
      </c>
      <c r="F18186" s="9" t="s">
        <v>340</v>
      </c>
      <c r="G18186" s="10" t="s">
        <v>34</v>
      </c>
      <c r="H18186" s="9" t="s">
        <v>22</v>
      </c>
      <c r="I18186" s="9" t="s">
        <v>36935</v>
      </c>
      <c r="J18186" s="10" t="str">
        <f>HYPERLINK("https://www.boe.es/gazeta/dias/1834/05/02/pdfs/GMD-1834-71.pdf#page=1","Abrir facsímil")</f>
        <v>Abrir facsímil</v>
      </c>
      <c r="K18186" s="10" t="s">
        <v>24</v>
      </c>
    </row>
    <row r="18187" spans="1:11" ht="54" customHeight="1">
      <c r="A18187" s="9" t="s">
        <v>36933</v>
      </c>
      <c r="B18187" s="9" t="s">
        <v>36934</v>
      </c>
      <c r="C18187" s="9" t="s">
        <v>17</v>
      </c>
      <c r="D18187" s="9" t="s">
        <v>101</v>
      </c>
      <c r="E18187" s="10" t="s">
        <v>1318</v>
      </c>
      <c r="F18187" s="9" t="s">
        <v>1319</v>
      </c>
      <c r="G18187" s="10" t="s">
        <v>34</v>
      </c>
      <c r="H18187" s="9" t="s">
        <v>22</v>
      </c>
      <c r="I18187" s="9" t="s">
        <v>36936</v>
      </c>
      <c r="J18187" s="10" t="str">
        <f>HYPERLINK("https://www.boe.es/gazeta/dias/1834/05/10/pdfs/GMD-1834-79.pdf#page=1","Abrir facsímil")</f>
        <v>Abrir facsímil</v>
      </c>
      <c r="K18187" s="10" t="s">
        <v>24</v>
      </c>
    </row>
    <row r="18188" spans="1:11" ht="54" customHeight="1">
      <c r="A18188" s="9" t="s">
        <v>36933</v>
      </c>
      <c r="B18188" s="9" t="s">
        <v>36934</v>
      </c>
      <c r="C18188" s="9" t="s">
        <v>17</v>
      </c>
      <c r="D18188" s="9" t="s">
        <v>101</v>
      </c>
      <c r="E18188" s="10" t="s">
        <v>451</v>
      </c>
      <c r="F18188" s="9" t="s">
        <v>3350</v>
      </c>
      <c r="G18188" s="10" t="s">
        <v>21</v>
      </c>
      <c r="H18188" s="9" t="s">
        <v>22</v>
      </c>
      <c r="I18188" s="9" t="s">
        <v>36937</v>
      </c>
      <c r="J18188" s="10" t="str">
        <f>HYPERLINK("https://www.boe.es/gazeta/dias/1834/10/15/pdfs/GMD-1834-243.pdf#page=3","Abrir facsímil")</f>
        <v>Abrir facsímil</v>
      </c>
      <c r="K18188" s="10" t="s">
        <v>24</v>
      </c>
    </row>
    <row r="18189" spans="1:11" ht="54" customHeight="1">
      <c r="A18189" s="9" t="s">
        <v>36933</v>
      </c>
      <c r="B18189" s="9" t="s">
        <v>36934</v>
      </c>
      <c r="C18189" s="9" t="s">
        <v>122</v>
      </c>
      <c r="D18189" s="9" t="s">
        <v>18</v>
      </c>
      <c r="E18189" s="10" t="s">
        <v>513</v>
      </c>
      <c r="F18189" s="9" t="s">
        <v>514</v>
      </c>
      <c r="G18189" s="10" t="s">
        <v>176</v>
      </c>
      <c r="H18189" s="9" t="s">
        <v>22</v>
      </c>
      <c r="I18189" s="9" t="s">
        <v>36938</v>
      </c>
      <c r="J18189" s="10" t="str">
        <f>HYPERLINK("https://www.boe.es/gazeta/dias/1834/04/27/pdfs/GMD-1834-66.pdf#page=6","Abrir facsímil")</f>
        <v>Abrir facsímil</v>
      </c>
      <c r="K18189" s="10" t="s">
        <v>24</v>
      </c>
    </row>
    <row r="18190" spans="1:11" ht="54" customHeight="1">
      <c r="A18190" s="9" t="s">
        <v>36939</v>
      </c>
      <c r="B18190" s="9" t="s">
        <v>36940</v>
      </c>
      <c r="C18190" s="9" t="s">
        <v>122</v>
      </c>
      <c r="D18190" s="9" t="s">
        <v>18</v>
      </c>
      <c r="E18190" s="10" t="s">
        <v>513</v>
      </c>
      <c r="F18190" s="9" t="s">
        <v>514</v>
      </c>
      <c r="G18190" s="10" t="s">
        <v>176</v>
      </c>
      <c r="H18190" s="9" t="s">
        <v>22</v>
      </c>
      <c r="I18190" s="9" t="s">
        <v>36941</v>
      </c>
      <c r="J18190" s="10" t="str">
        <f>HYPERLINK("https://www.boe.es/gazeta/dias/1834/04/27/pdfs/GMD-1834-66.pdf#page=6","Abrir facsímil")</f>
        <v>Abrir facsímil</v>
      </c>
      <c r="K18190" s="10" t="s">
        <v>24</v>
      </c>
    </row>
    <row r="18191" spans="1:11" ht="54" customHeight="1">
      <c r="A18191" s="9" t="s">
        <v>36942</v>
      </c>
      <c r="B18191" s="9" t="s">
        <v>36942</v>
      </c>
      <c r="C18191" s="9" t="s">
        <v>17</v>
      </c>
      <c r="D18191" s="9" t="s">
        <v>18</v>
      </c>
      <c r="E18191" s="10" t="s">
        <v>2091</v>
      </c>
      <c r="F18191" s="9" t="s">
        <v>2092</v>
      </c>
      <c r="G18191" s="10" t="s">
        <v>75</v>
      </c>
      <c r="H18191" s="9" t="s">
        <v>22</v>
      </c>
      <c r="I18191" s="9" t="s">
        <v>36943</v>
      </c>
      <c r="J18191" s="10" t="str">
        <f>HYPERLINK("https://www.boe.es/gazeta/dias/1834/03/08/pdfs/GMD-1834-30.pdf#page=4","Abrir facsímil")</f>
        <v>Abrir facsímil</v>
      </c>
      <c r="K18191" s="10" t="s">
        <v>24</v>
      </c>
    </row>
    <row r="18192" spans="1:11" ht="54" customHeight="1">
      <c r="A18192" s="9" t="s">
        <v>36944</v>
      </c>
      <c r="B18192" s="9" t="s">
        <v>36945</v>
      </c>
      <c r="C18192" s="9" t="s">
        <v>17</v>
      </c>
      <c r="D18192" s="9" t="s">
        <v>18</v>
      </c>
      <c r="E18192" s="10" t="s">
        <v>426</v>
      </c>
      <c r="F18192" s="9" t="s">
        <v>427</v>
      </c>
      <c r="G18192" s="10" t="s">
        <v>75</v>
      </c>
      <c r="H18192" s="9" t="s">
        <v>22</v>
      </c>
      <c r="I18192" s="9" t="s">
        <v>36946</v>
      </c>
      <c r="J18192" s="10" t="str">
        <f>HYPERLINK("https://www.boe.es/gazeta/dias/1834/10/04/pdfs/GMD-1834-232.pdf#page=4","Abrir facsímil")</f>
        <v>Abrir facsímil</v>
      </c>
      <c r="K18192" s="10" t="s">
        <v>24</v>
      </c>
    </row>
    <row r="18193" spans="1:11" ht="54" customHeight="1">
      <c r="A18193" s="9" t="s">
        <v>36947</v>
      </c>
      <c r="B18193" s="9" t="s">
        <v>36947</v>
      </c>
      <c r="C18193" s="9" t="s">
        <v>90</v>
      </c>
      <c r="D18193" s="9" t="s">
        <v>18</v>
      </c>
      <c r="E18193" s="10" t="s">
        <v>153</v>
      </c>
      <c r="F18193" s="9" t="s">
        <v>154</v>
      </c>
      <c r="G18193" s="10" t="s">
        <v>28</v>
      </c>
      <c r="H18193" s="9" t="s">
        <v>22</v>
      </c>
      <c r="I18193" s="9" t="s">
        <v>36948</v>
      </c>
      <c r="J18193" s="10" t="str">
        <f>HYPERLINK("https://www.boe.es/gazeta/dias/1834/12/30/pdfs/GMD-C-1834-320.pdf#page=5","Abrir facsímil")</f>
        <v>Abrir facsímil</v>
      </c>
      <c r="K18193" s="10" t="s">
        <v>24</v>
      </c>
    </row>
    <row r="18194" spans="1:11" ht="54" customHeight="1">
      <c r="A18194" s="9" t="s">
        <v>36949</v>
      </c>
      <c r="B18194" s="9" t="s">
        <v>36949</v>
      </c>
      <c r="C18194" s="9" t="s">
        <v>17</v>
      </c>
      <c r="D18194" s="9" t="s">
        <v>18</v>
      </c>
      <c r="E18194" s="10" t="s">
        <v>2287</v>
      </c>
      <c r="F18194" s="9" t="s">
        <v>2288</v>
      </c>
      <c r="G18194" s="10" t="s">
        <v>34</v>
      </c>
      <c r="H18194" s="9" t="s">
        <v>22</v>
      </c>
      <c r="I18194" s="9" t="s">
        <v>36950</v>
      </c>
      <c r="J18194" s="10" t="str">
        <f>HYPERLINK("https://www.boe.es/gazeta/dias/1834/12/18/pdfs/GMD-C-1834-308.pdf#page=1","Abrir facsímil")</f>
        <v>Abrir facsímil</v>
      </c>
      <c r="K18194" s="10" t="s">
        <v>24</v>
      </c>
    </row>
    <row r="18195" spans="1:11" ht="54" customHeight="1">
      <c r="A18195" s="9" t="s">
        <v>36949</v>
      </c>
      <c r="B18195" s="9" t="s">
        <v>36949</v>
      </c>
      <c r="C18195" s="9" t="s">
        <v>17</v>
      </c>
      <c r="D18195" s="9" t="s">
        <v>18</v>
      </c>
      <c r="E18195" s="10" t="s">
        <v>2287</v>
      </c>
      <c r="F18195" s="9" t="s">
        <v>2288</v>
      </c>
      <c r="G18195" s="10" t="s">
        <v>176</v>
      </c>
      <c r="H18195" s="9" t="s">
        <v>22</v>
      </c>
      <c r="I18195" s="9" t="s">
        <v>36951</v>
      </c>
      <c r="J18195" s="10" t="str">
        <f>HYPERLINK("https://www.boe.es/gazeta/dias/1834/12/18/pdfs/GMD-C-1834-308.pdf#page=6","Abrir facsímil")</f>
        <v>Abrir facsímil</v>
      </c>
      <c r="K18195" s="10" t="s">
        <v>24</v>
      </c>
    </row>
    <row r="18196" spans="1:11" ht="54" customHeight="1">
      <c r="A18196" s="9" t="s">
        <v>36949</v>
      </c>
      <c r="B18196" s="9" t="s">
        <v>36949</v>
      </c>
      <c r="C18196" s="9" t="s">
        <v>17</v>
      </c>
      <c r="D18196" s="9" t="s">
        <v>18</v>
      </c>
      <c r="E18196" s="10" t="s">
        <v>268</v>
      </c>
      <c r="F18196" s="9" t="s">
        <v>269</v>
      </c>
      <c r="G18196" s="10" t="s">
        <v>21</v>
      </c>
      <c r="H18196" s="9" t="s">
        <v>22</v>
      </c>
      <c r="I18196" s="9" t="s">
        <v>36952</v>
      </c>
      <c r="J18196" s="10" t="str">
        <f>HYPERLINK("https://www.boe.es/gazeta/dias/1834/12/19/pdfs/GMD-C-1834-309.pdf#page=3","Abrir facsímil")</f>
        <v>Abrir facsímil</v>
      </c>
      <c r="K18196" s="10" t="s">
        <v>24</v>
      </c>
    </row>
    <row r="18197" spans="1:11" ht="54" customHeight="1">
      <c r="A18197" s="9" t="s">
        <v>36949</v>
      </c>
      <c r="B18197" s="9" t="s">
        <v>36949</v>
      </c>
      <c r="C18197" s="9" t="s">
        <v>17</v>
      </c>
      <c r="D18197" s="9" t="s">
        <v>18</v>
      </c>
      <c r="E18197" s="10" t="s">
        <v>268</v>
      </c>
      <c r="F18197" s="9" t="s">
        <v>269</v>
      </c>
      <c r="G18197" s="10" t="s">
        <v>28</v>
      </c>
      <c r="H18197" s="9" t="s">
        <v>22</v>
      </c>
      <c r="I18197" s="9" t="s">
        <v>36953</v>
      </c>
      <c r="J18197" s="10" t="str">
        <f>HYPERLINK("https://www.boe.es/gazeta/dias/1834/12/19/pdfs/GMD-C-1834-309.pdf#page=5","Abrir facsímil")</f>
        <v>Abrir facsímil</v>
      </c>
      <c r="K18197" s="10" t="s">
        <v>24</v>
      </c>
    </row>
    <row r="18198" spans="1:11" ht="54" customHeight="1">
      <c r="A18198" s="9" t="s">
        <v>36949</v>
      </c>
      <c r="B18198" s="9" t="s">
        <v>36949</v>
      </c>
      <c r="C18198" s="9" t="s">
        <v>66</v>
      </c>
      <c r="D18198" s="9" t="s">
        <v>67</v>
      </c>
      <c r="E18198" s="10" t="s">
        <v>1973</v>
      </c>
      <c r="F18198" s="9" t="s">
        <v>1974</v>
      </c>
      <c r="G18198" s="10" t="s">
        <v>34</v>
      </c>
      <c r="H18198" s="9" t="s">
        <v>22</v>
      </c>
      <c r="I18198" s="9" t="s">
        <v>36954</v>
      </c>
      <c r="J18198" s="10" t="str">
        <f>HYPERLINK("https://www.boe.es/gazeta/dias/1834/12/20/pdfs/GMD-C-1834-310.pdf#page=1","Abrir facsímil")</f>
        <v>Abrir facsímil</v>
      </c>
      <c r="K18198" s="10" t="s">
        <v>24</v>
      </c>
    </row>
    <row r="18199" spans="1:11" ht="54" customHeight="1">
      <c r="A18199" s="9" t="s">
        <v>36949</v>
      </c>
      <c r="B18199" s="9" t="s">
        <v>36949</v>
      </c>
      <c r="C18199" s="9" t="s">
        <v>17</v>
      </c>
      <c r="D18199" s="9" t="s">
        <v>18</v>
      </c>
      <c r="E18199" s="10" t="s">
        <v>1973</v>
      </c>
      <c r="F18199" s="9" t="s">
        <v>1974</v>
      </c>
      <c r="G18199" s="10" t="s">
        <v>176</v>
      </c>
      <c r="H18199" s="9" t="s">
        <v>22</v>
      </c>
      <c r="I18199" s="9" t="s">
        <v>36955</v>
      </c>
      <c r="J18199" s="10" t="str">
        <f>HYPERLINK("https://www.boe.es/gazeta/dias/1834/12/20/pdfs/GMD-C-1834-310.pdf#page=6","Abrir facsímil")</f>
        <v>Abrir facsímil</v>
      </c>
      <c r="K18199" s="10" t="s">
        <v>24</v>
      </c>
    </row>
    <row r="18200" spans="1:11" ht="54" customHeight="1">
      <c r="A18200" s="9" t="s">
        <v>36949</v>
      </c>
      <c r="B18200" s="9" t="s">
        <v>36949</v>
      </c>
      <c r="C18200" s="9" t="s">
        <v>17</v>
      </c>
      <c r="D18200" s="9" t="s">
        <v>18</v>
      </c>
      <c r="E18200" s="10" t="s">
        <v>1973</v>
      </c>
      <c r="F18200" s="9" t="s">
        <v>1974</v>
      </c>
      <c r="G18200" s="10" t="s">
        <v>470</v>
      </c>
      <c r="H18200" s="9" t="s">
        <v>22</v>
      </c>
      <c r="I18200" s="9" t="s">
        <v>36956</v>
      </c>
      <c r="J18200" s="10" t="str">
        <f>HYPERLINK("https://www.boe.es/gazeta/dias/1834/12/20/pdfs/GMD-C-1834-310.pdf#page=8","Abrir facsímil")</f>
        <v>Abrir facsímil</v>
      </c>
      <c r="K18200" s="10" t="s">
        <v>24</v>
      </c>
    </row>
    <row r="18201" spans="1:11" ht="54" customHeight="1">
      <c r="A18201" s="9" t="s">
        <v>36949</v>
      </c>
      <c r="B18201" s="9" t="s">
        <v>36949</v>
      </c>
      <c r="C18201" s="9" t="s">
        <v>17</v>
      </c>
      <c r="D18201" s="9" t="s">
        <v>40</v>
      </c>
      <c r="E18201" s="10" t="s">
        <v>610</v>
      </c>
      <c r="F18201" s="9" t="s">
        <v>611</v>
      </c>
      <c r="G18201" s="10" t="s">
        <v>34</v>
      </c>
      <c r="H18201" s="9" t="s">
        <v>22</v>
      </c>
      <c r="I18201" s="9" t="s">
        <v>36957</v>
      </c>
      <c r="J18201" s="10" t="str">
        <f>HYPERLINK("https://www.boe.es/gazeta/dias/1834/12/21/pdfs/GMD-C-1834-311.pdf#page=1","Abrir facsímil")</f>
        <v>Abrir facsímil</v>
      </c>
      <c r="K18201" s="10" t="s">
        <v>24</v>
      </c>
    </row>
    <row r="18202" spans="1:11" ht="54" customHeight="1">
      <c r="A18202" s="9" t="s">
        <v>36949</v>
      </c>
      <c r="B18202" s="9" t="s">
        <v>36949</v>
      </c>
      <c r="C18202" s="9" t="s">
        <v>17</v>
      </c>
      <c r="D18202" s="9" t="s">
        <v>18</v>
      </c>
      <c r="E18202" s="10" t="s">
        <v>394</v>
      </c>
      <c r="F18202" s="9" t="s">
        <v>459</v>
      </c>
      <c r="G18202" s="10" t="s">
        <v>86</v>
      </c>
      <c r="H18202" s="9" t="s">
        <v>22</v>
      </c>
      <c r="I18202" s="9" t="s">
        <v>36958</v>
      </c>
      <c r="J18202" s="10" t="str">
        <f>HYPERLINK("https://www.boe.es/gazeta/dias/1834/12/23/pdfs/GMD-C-1834-313.pdf#page=2","Abrir facsímil")</f>
        <v>Abrir facsímil</v>
      </c>
      <c r="K18202" s="10" t="s">
        <v>24</v>
      </c>
    </row>
    <row r="18203" spans="1:11" ht="54" customHeight="1">
      <c r="A18203" s="9" t="s">
        <v>36949</v>
      </c>
      <c r="B18203" s="9" t="s">
        <v>36949</v>
      </c>
      <c r="C18203" s="9" t="s">
        <v>17</v>
      </c>
      <c r="D18203" s="9" t="s">
        <v>18</v>
      </c>
      <c r="E18203" s="10" t="s">
        <v>394</v>
      </c>
      <c r="F18203" s="9" t="s">
        <v>459</v>
      </c>
      <c r="G18203" s="10" t="s">
        <v>28</v>
      </c>
      <c r="H18203" s="9" t="s">
        <v>22</v>
      </c>
      <c r="I18203" s="9" t="s">
        <v>36959</v>
      </c>
      <c r="J18203" s="10" t="str">
        <f>HYPERLINK("https://www.boe.es/gazeta/dias/1834/12/23/pdfs/GMD-C-1834-313.pdf#page=5","Abrir facsímil")</f>
        <v>Abrir facsímil</v>
      </c>
      <c r="K18203" s="10" t="s">
        <v>24</v>
      </c>
    </row>
    <row r="18204" spans="1:11" ht="54" customHeight="1">
      <c r="A18204" s="9" t="s">
        <v>36949</v>
      </c>
      <c r="B18204" s="9" t="s">
        <v>36949</v>
      </c>
      <c r="C18204" s="9" t="s">
        <v>90</v>
      </c>
      <c r="D18204" s="9" t="s">
        <v>40</v>
      </c>
      <c r="E18204" s="10" t="s">
        <v>378</v>
      </c>
      <c r="F18204" s="9" t="s">
        <v>888</v>
      </c>
      <c r="G18204" s="10" t="s">
        <v>21</v>
      </c>
      <c r="H18204" s="9" t="s">
        <v>22</v>
      </c>
      <c r="I18204" s="9" t="s">
        <v>36960</v>
      </c>
      <c r="J18204" s="10" t="str">
        <f>HYPERLINK("https://www.boe.es/gazeta/dias/1834/09/24/pdfs/GMD-C-1834-222.pdf#page=3","Abrir facsímil")</f>
        <v>Abrir facsímil</v>
      </c>
      <c r="K18204" s="10" t="s">
        <v>24</v>
      </c>
    </row>
    <row r="18205" spans="1:11" ht="54" customHeight="1">
      <c r="A18205" s="9" t="s">
        <v>36949</v>
      </c>
      <c r="B18205" s="9" t="s">
        <v>36949</v>
      </c>
      <c r="C18205" s="9" t="s">
        <v>17</v>
      </c>
      <c r="D18205" s="9" t="s">
        <v>18</v>
      </c>
      <c r="E18205" s="10" t="s">
        <v>378</v>
      </c>
      <c r="F18205" s="9" t="s">
        <v>888</v>
      </c>
      <c r="G18205" s="10" t="s">
        <v>75</v>
      </c>
      <c r="H18205" s="9" t="s">
        <v>22</v>
      </c>
      <c r="I18205" s="9" t="s">
        <v>36961</v>
      </c>
      <c r="J18205" s="10" t="str">
        <f>HYPERLINK("https://www.boe.es/gazeta/dias/1834/09/24/pdfs/GMD-C-1834-222.pdf#page=4","Abrir facsímil")</f>
        <v>Abrir facsímil</v>
      </c>
      <c r="K18205" s="10" t="s">
        <v>24</v>
      </c>
    </row>
    <row r="18206" spans="1:11" ht="54" customHeight="1">
      <c r="A18206" s="9" t="s">
        <v>36949</v>
      </c>
      <c r="B18206" s="9" t="s">
        <v>36949</v>
      </c>
      <c r="C18206" s="9" t="s">
        <v>17</v>
      </c>
      <c r="D18206" s="9" t="s">
        <v>18</v>
      </c>
      <c r="E18206" s="10" t="s">
        <v>128</v>
      </c>
      <c r="F18206" s="9" t="s">
        <v>129</v>
      </c>
      <c r="G18206" s="10" t="s">
        <v>86</v>
      </c>
      <c r="H18206" s="9" t="s">
        <v>22</v>
      </c>
      <c r="I18206" s="9" t="s">
        <v>36962</v>
      </c>
      <c r="J18206" s="10" t="str">
        <f>HYPERLINK("https://www.boe.es/gazeta/dias/1834/12/24/pdfs/GMD-C-1834-314.pdf#page=2","Abrir facsímil")</f>
        <v>Abrir facsímil</v>
      </c>
      <c r="K18206" s="10" t="s">
        <v>24</v>
      </c>
    </row>
    <row r="18207" spans="1:11" ht="54" customHeight="1">
      <c r="A18207" s="9" t="s">
        <v>36949</v>
      </c>
      <c r="B18207" s="9" t="s">
        <v>36949</v>
      </c>
      <c r="C18207" s="9" t="s">
        <v>17</v>
      </c>
      <c r="D18207" s="9" t="s">
        <v>18</v>
      </c>
      <c r="E18207" s="10" t="s">
        <v>128</v>
      </c>
      <c r="F18207" s="9" t="s">
        <v>129</v>
      </c>
      <c r="G18207" s="10" t="s">
        <v>176</v>
      </c>
      <c r="H18207" s="9" t="s">
        <v>22</v>
      </c>
      <c r="I18207" s="9" t="s">
        <v>36963</v>
      </c>
      <c r="J18207" s="10" t="str">
        <f>HYPERLINK("https://www.boe.es/gazeta/dias/1834/12/24/pdfs/GMD-C-1834-314.pdf#page=6","Abrir facsímil")</f>
        <v>Abrir facsímil</v>
      </c>
      <c r="K18207" s="10" t="s">
        <v>24</v>
      </c>
    </row>
    <row r="18208" spans="1:11" ht="54" customHeight="1">
      <c r="A18208" s="9" t="s">
        <v>36949</v>
      </c>
      <c r="B18208" s="9" t="s">
        <v>36949</v>
      </c>
      <c r="C18208" s="9" t="s">
        <v>17</v>
      </c>
      <c r="D18208" s="9" t="s">
        <v>40</v>
      </c>
      <c r="E18208" s="10" t="s">
        <v>707</v>
      </c>
      <c r="F18208" s="9" t="s">
        <v>708</v>
      </c>
      <c r="G18208" s="10" t="s">
        <v>34</v>
      </c>
      <c r="H18208" s="9" t="s">
        <v>22</v>
      </c>
      <c r="I18208" s="9" t="s">
        <v>36964</v>
      </c>
      <c r="J18208" s="10" t="str">
        <f>HYPERLINK("https://www.boe.es/gazeta/dias/1834/11/25/pdfs/GMD-C-1834-284.pdf#page=1","Abrir facsímil")</f>
        <v>Abrir facsímil</v>
      </c>
      <c r="K18208" s="10" t="s">
        <v>24</v>
      </c>
    </row>
    <row r="18209" spans="1:11" ht="54" customHeight="1">
      <c r="A18209" s="9" t="s">
        <v>36949</v>
      </c>
      <c r="B18209" s="9" t="s">
        <v>36949</v>
      </c>
      <c r="C18209" s="9" t="s">
        <v>17</v>
      </c>
      <c r="D18209" s="9" t="s">
        <v>18</v>
      </c>
      <c r="E18209" s="10" t="s">
        <v>707</v>
      </c>
      <c r="F18209" s="9" t="s">
        <v>708</v>
      </c>
      <c r="G18209" s="10" t="s">
        <v>28</v>
      </c>
      <c r="H18209" s="9" t="s">
        <v>22</v>
      </c>
      <c r="I18209" s="9" t="s">
        <v>36965</v>
      </c>
      <c r="J18209" s="10" t="str">
        <f>HYPERLINK("https://www.boe.es/gazeta/dias/1834/11/25/pdfs/GMD-C-1834-284.pdf#page=5","Abrir facsímil")</f>
        <v>Abrir facsímil</v>
      </c>
      <c r="K18209" s="10" t="s">
        <v>24</v>
      </c>
    </row>
    <row r="18210" spans="1:11" ht="54" customHeight="1">
      <c r="A18210" s="9" t="s">
        <v>36949</v>
      </c>
      <c r="B18210" s="9" t="s">
        <v>36949</v>
      </c>
      <c r="C18210" s="9" t="s">
        <v>90</v>
      </c>
      <c r="D18210" s="9" t="s">
        <v>18</v>
      </c>
      <c r="E18210" s="10" t="s">
        <v>524</v>
      </c>
      <c r="F18210" s="9" t="s">
        <v>525</v>
      </c>
      <c r="G18210" s="10" t="s">
        <v>34</v>
      </c>
      <c r="H18210" s="9" t="s">
        <v>22</v>
      </c>
      <c r="I18210" s="9" t="s">
        <v>36966</v>
      </c>
      <c r="J18210" s="10" t="str">
        <f>HYPERLINK("https://www.boe.es/gazeta/dias/1834/12/25/pdfs/GMD-C-1834-315.pdf#page=1","Abrir facsímil")</f>
        <v>Abrir facsímil</v>
      </c>
      <c r="K18210" s="10" t="s">
        <v>24</v>
      </c>
    </row>
    <row r="18211" spans="1:11" ht="54" customHeight="1">
      <c r="A18211" s="9" t="s">
        <v>36949</v>
      </c>
      <c r="B18211" s="9" t="s">
        <v>36949</v>
      </c>
      <c r="C18211" s="9" t="s">
        <v>17</v>
      </c>
      <c r="D18211" s="9" t="s">
        <v>40</v>
      </c>
      <c r="E18211" s="10" t="s">
        <v>524</v>
      </c>
      <c r="F18211" s="9" t="s">
        <v>525</v>
      </c>
      <c r="G18211" s="10" t="s">
        <v>21</v>
      </c>
      <c r="H18211" s="9" t="s">
        <v>22</v>
      </c>
      <c r="I18211" s="9" t="s">
        <v>36967</v>
      </c>
      <c r="J18211" s="10" t="str">
        <f>HYPERLINK("https://www.boe.es/gazeta/dias/1834/12/25/pdfs/GMD-C-1834-315.pdf#page=3","Abrir facsímil")</f>
        <v>Abrir facsímil</v>
      </c>
      <c r="K18211" s="10" t="s">
        <v>24</v>
      </c>
    </row>
    <row r="18212" spans="1:11" ht="54" customHeight="1">
      <c r="A18212" s="9" t="s">
        <v>36949</v>
      </c>
      <c r="B18212" s="9" t="s">
        <v>36949</v>
      </c>
      <c r="C18212" s="9" t="s">
        <v>17</v>
      </c>
      <c r="D18212" s="9" t="s">
        <v>18</v>
      </c>
      <c r="E18212" s="10" t="s">
        <v>510</v>
      </c>
      <c r="F18212" s="9" t="s">
        <v>531</v>
      </c>
      <c r="G18212" s="10" t="s">
        <v>34</v>
      </c>
      <c r="H18212" s="9" t="s">
        <v>22</v>
      </c>
      <c r="I18212" s="9" t="s">
        <v>36968</v>
      </c>
      <c r="J18212" s="10" t="str">
        <f>HYPERLINK("https://www.boe.es/gazeta/dias/1834/11/26/pdfs/GMD-C-1834-285.pdf#page=1","Abrir facsímil")</f>
        <v>Abrir facsímil</v>
      </c>
      <c r="K18212" s="10" t="s">
        <v>24</v>
      </c>
    </row>
    <row r="18213" spans="1:11" ht="54" customHeight="1">
      <c r="A18213" s="9" t="s">
        <v>36949</v>
      </c>
      <c r="B18213" s="9" t="s">
        <v>36949</v>
      </c>
      <c r="C18213" s="9" t="s">
        <v>90</v>
      </c>
      <c r="D18213" s="9" t="s">
        <v>40</v>
      </c>
      <c r="E18213" s="10" t="s">
        <v>510</v>
      </c>
      <c r="F18213" s="9" t="s">
        <v>531</v>
      </c>
      <c r="G18213" s="10" t="s">
        <v>75</v>
      </c>
      <c r="H18213" s="9" t="s">
        <v>22</v>
      </c>
      <c r="I18213" s="9" t="s">
        <v>36969</v>
      </c>
      <c r="J18213" s="10" t="str">
        <f>HYPERLINK("https://www.boe.es/gazeta/dias/1834/11/26/pdfs/GMD-C-1834-285.pdf#page=4","Abrir facsímil")</f>
        <v>Abrir facsímil</v>
      </c>
      <c r="K18213" s="10" t="s">
        <v>24</v>
      </c>
    </row>
    <row r="18214" spans="1:11" ht="54" customHeight="1">
      <c r="A18214" s="9" t="s">
        <v>36949</v>
      </c>
      <c r="B18214" s="9" t="s">
        <v>36949</v>
      </c>
      <c r="C18214" s="9" t="s">
        <v>17</v>
      </c>
      <c r="D18214" s="9" t="s">
        <v>18</v>
      </c>
      <c r="E18214" s="10" t="s">
        <v>2142</v>
      </c>
      <c r="F18214" s="9" t="s">
        <v>2316</v>
      </c>
      <c r="G18214" s="10" t="s">
        <v>86</v>
      </c>
      <c r="H18214" s="9" t="s">
        <v>22</v>
      </c>
      <c r="I18214" s="9" t="s">
        <v>36970</v>
      </c>
      <c r="J18214" s="10" t="str">
        <f>HYPERLINK("https://www.boe.es/gazeta/dias/1834/12/27/pdfs/GMD-C-1834-317.pdf#page=2","Abrir facsímil")</f>
        <v>Abrir facsímil</v>
      </c>
      <c r="K18214" s="10" t="s">
        <v>24</v>
      </c>
    </row>
    <row r="18215" spans="1:11" ht="54" customHeight="1">
      <c r="A18215" s="9" t="s">
        <v>36949</v>
      </c>
      <c r="B18215" s="9" t="s">
        <v>36949</v>
      </c>
      <c r="C18215" s="9" t="s">
        <v>17</v>
      </c>
      <c r="D18215" s="9" t="s">
        <v>40</v>
      </c>
      <c r="E18215" s="10" t="s">
        <v>2142</v>
      </c>
      <c r="F18215" s="9" t="s">
        <v>2316</v>
      </c>
      <c r="G18215" s="10" t="s">
        <v>21</v>
      </c>
      <c r="H18215" s="9" t="s">
        <v>22</v>
      </c>
      <c r="I18215" s="9" t="s">
        <v>36971</v>
      </c>
      <c r="J18215" s="10" t="str">
        <f>HYPERLINK("https://www.boe.es/gazeta/dias/1834/12/27/pdfs/GMD-C-1834-317.pdf#page=3","Abrir facsímil")</f>
        <v>Abrir facsímil</v>
      </c>
      <c r="K18215" s="10" t="s">
        <v>24</v>
      </c>
    </row>
    <row r="18216" spans="1:11" ht="54" customHeight="1">
      <c r="A18216" s="9" t="s">
        <v>36949</v>
      </c>
      <c r="B18216" s="9" t="s">
        <v>36949</v>
      </c>
      <c r="C18216" s="9" t="s">
        <v>17</v>
      </c>
      <c r="D18216" s="9" t="s">
        <v>18</v>
      </c>
      <c r="E18216" s="10" t="s">
        <v>468</v>
      </c>
      <c r="F18216" s="9" t="s">
        <v>469</v>
      </c>
      <c r="G18216" s="10" t="s">
        <v>34</v>
      </c>
      <c r="H18216" s="9" t="s">
        <v>22</v>
      </c>
      <c r="I18216" s="9" t="s">
        <v>36972</v>
      </c>
      <c r="J18216" s="10" t="str">
        <f>HYPERLINK("https://www.boe.es/gazeta/dias/1834/12/28/pdfs/GMD-C-1834-318.pdf#page=1","Abrir facsímil")</f>
        <v>Abrir facsímil</v>
      </c>
      <c r="K18216" s="10" t="s">
        <v>24</v>
      </c>
    </row>
    <row r="18217" spans="1:11" ht="54" customHeight="1">
      <c r="A18217" s="9" t="s">
        <v>36949</v>
      </c>
      <c r="B18217" s="9" t="s">
        <v>36949</v>
      </c>
      <c r="C18217" s="9" t="s">
        <v>17</v>
      </c>
      <c r="D18217" s="9" t="s">
        <v>40</v>
      </c>
      <c r="E18217" s="10" t="s">
        <v>2526</v>
      </c>
      <c r="F18217" s="9" t="s">
        <v>2527</v>
      </c>
      <c r="G18217" s="10" t="s">
        <v>34</v>
      </c>
      <c r="H18217" s="9" t="s">
        <v>22</v>
      </c>
      <c r="I18217" s="9" t="s">
        <v>36973</v>
      </c>
      <c r="J18217" s="10" t="str">
        <f>HYPERLINK("https://www.boe.es/gazeta/dias/1834/12/29/pdfs/GMD-C-1834-319.pdf#page=1","Abrir facsímil")</f>
        <v>Abrir facsímil</v>
      </c>
      <c r="K18217" s="10" t="s">
        <v>24</v>
      </c>
    </row>
    <row r="18218" spans="1:11" ht="54" customHeight="1">
      <c r="A18218" s="9" t="s">
        <v>36949</v>
      </c>
      <c r="B18218" s="9" t="s">
        <v>36949</v>
      </c>
      <c r="C18218" s="9" t="s">
        <v>46</v>
      </c>
      <c r="D18218" s="9" t="s">
        <v>101</v>
      </c>
      <c r="E18218" s="10" t="s">
        <v>2526</v>
      </c>
      <c r="F18218" s="9" t="s">
        <v>2527</v>
      </c>
      <c r="G18218" s="10" t="s">
        <v>21</v>
      </c>
      <c r="H18218" s="9" t="s">
        <v>22</v>
      </c>
      <c r="I18218" s="9" t="s">
        <v>36974</v>
      </c>
      <c r="J18218" s="10" t="str">
        <f>HYPERLINK("https://www.boe.es/gazeta/dias/1834/12/29/pdfs/GMD-C-1834-319.pdf#page=3","Abrir facsímil")</f>
        <v>Abrir facsímil</v>
      </c>
      <c r="K18218" s="10" t="s">
        <v>24</v>
      </c>
    </row>
    <row r="18219" spans="1:11" ht="54" customHeight="1">
      <c r="A18219" s="9" t="s">
        <v>36949</v>
      </c>
      <c r="B18219" s="9" t="s">
        <v>36949</v>
      </c>
      <c r="C18219" s="9" t="s">
        <v>66</v>
      </c>
      <c r="D18219" s="9" t="s">
        <v>67</v>
      </c>
      <c r="E18219" s="10" t="s">
        <v>2526</v>
      </c>
      <c r="F18219" s="9" t="s">
        <v>2527</v>
      </c>
      <c r="G18219" s="10" t="s">
        <v>75</v>
      </c>
      <c r="H18219" s="9" t="s">
        <v>22</v>
      </c>
      <c r="I18219" s="9" t="s">
        <v>36975</v>
      </c>
      <c r="J18219" s="10" t="str">
        <f>HYPERLINK("https://www.boe.es/gazeta/dias/1834/12/29/pdfs/GMD-C-1834-319.pdf#page=4","Abrir facsímil")</f>
        <v>Abrir facsímil</v>
      </c>
      <c r="K18219" s="10" t="s">
        <v>24</v>
      </c>
    </row>
    <row r="18220" spans="1:11" ht="54" customHeight="1">
      <c r="A18220" s="9" t="s">
        <v>36949</v>
      </c>
      <c r="B18220" s="9" t="s">
        <v>36949</v>
      </c>
      <c r="C18220" s="9" t="s">
        <v>17</v>
      </c>
      <c r="D18220" s="9" t="s">
        <v>18</v>
      </c>
      <c r="E18220" s="10" t="s">
        <v>153</v>
      </c>
      <c r="F18220" s="9" t="s">
        <v>154</v>
      </c>
      <c r="G18220" s="10" t="s">
        <v>34</v>
      </c>
      <c r="H18220" s="9" t="s">
        <v>22</v>
      </c>
      <c r="I18220" s="9" t="s">
        <v>36976</v>
      </c>
      <c r="J18220" s="10" t="str">
        <f>HYPERLINK("https://www.boe.es/gazeta/dias/1834/12/30/pdfs/GMD-C-1834-320.pdf#page=1","Abrir facsímil")</f>
        <v>Abrir facsímil</v>
      </c>
      <c r="K18220" s="10" t="s">
        <v>24</v>
      </c>
    </row>
    <row r="18221" spans="1:11" ht="54" customHeight="1">
      <c r="A18221" s="9" t="s">
        <v>36949</v>
      </c>
      <c r="B18221" s="9" t="s">
        <v>36949</v>
      </c>
      <c r="C18221" s="9" t="s">
        <v>66</v>
      </c>
      <c r="D18221" s="9" t="s">
        <v>67</v>
      </c>
      <c r="E18221" s="10" t="s">
        <v>153</v>
      </c>
      <c r="F18221" s="9" t="s">
        <v>154</v>
      </c>
      <c r="G18221" s="10" t="s">
        <v>86</v>
      </c>
      <c r="H18221" s="9" t="s">
        <v>22</v>
      </c>
      <c r="I18221" s="9" t="s">
        <v>36977</v>
      </c>
      <c r="J18221" s="10" t="str">
        <f>HYPERLINK("https://www.boe.es/gazeta/dias/1834/12/30/pdfs/GMD-C-1834-320.pdf#page=2","Abrir facsímil")</f>
        <v>Abrir facsímil</v>
      </c>
      <c r="K18221" s="10" t="s">
        <v>24</v>
      </c>
    </row>
    <row r="18222" spans="1:11" ht="54" customHeight="1">
      <c r="A18222" s="9" t="s">
        <v>36949</v>
      </c>
      <c r="B18222" s="9" t="s">
        <v>36949</v>
      </c>
      <c r="C18222" s="9" t="s">
        <v>17</v>
      </c>
      <c r="D18222" s="9" t="s">
        <v>18</v>
      </c>
      <c r="E18222" s="10" t="s">
        <v>153</v>
      </c>
      <c r="F18222" s="9" t="s">
        <v>154</v>
      </c>
      <c r="G18222" s="10" t="s">
        <v>28</v>
      </c>
      <c r="H18222" s="9" t="s">
        <v>22</v>
      </c>
      <c r="I18222" s="9" t="s">
        <v>36978</v>
      </c>
      <c r="J18222" s="10" t="str">
        <f>HYPERLINK("https://www.boe.es/gazeta/dias/1834/12/30/pdfs/GMD-C-1834-320.pdf#page=5","Abrir facsímil")</f>
        <v>Abrir facsímil</v>
      </c>
      <c r="K18222" s="10" t="s">
        <v>24</v>
      </c>
    </row>
    <row r="18223" spans="1:11" ht="54" customHeight="1">
      <c r="A18223" s="9" t="s">
        <v>36949</v>
      </c>
      <c r="B18223" s="9" t="s">
        <v>36949</v>
      </c>
      <c r="C18223" s="9" t="s">
        <v>17</v>
      </c>
      <c r="D18223" s="9" t="s">
        <v>18</v>
      </c>
      <c r="E18223" s="10" t="s">
        <v>153</v>
      </c>
      <c r="F18223" s="9" t="s">
        <v>154</v>
      </c>
      <c r="G18223" s="10" t="s">
        <v>560</v>
      </c>
      <c r="H18223" s="9" t="s">
        <v>22</v>
      </c>
      <c r="I18223" s="9" t="s">
        <v>36979</v>
      </c>
      <c r="J18223" s="10" t="str">
        <f>HYPERLINK("https://www.boe.es/gazeta/dias/1834/12/30/pdfs/GMD-C-1834-320.pdf#page=7","Abrir facsímil")</f>
        <v>Abrir facsímil</v>
      </c>
      <c r="K18223" s="10" t="s">
        <v>24</v>
      </c>
    </row>
    <row r="18224" spans="1:11" ht="54" customHeight="1">
      <c r="A18224" s="9" t="s">
        <v>36949</v>
      </c>
      <c r="B18224" s="9" t="s">
        <v>36949</v>
      </c>
      <c r="C18224" s="9" t="s">
        <v>122</v>
      </c>
      <c r="D18224" s="9" t="s">
        <v>55</v>
      </c>
      <c r="E18224" s="10" t="s">
        <v>192</v>
      </c>
      <c r="F18224" s="9" t="s">
        <v>2713</v>
      </c>
      <c r="G18224" s="10" t="s">
        <v>86</v>
      </c>
      <c r="H18224" s="9" t="s">
        <v>22</v>
      </c>
      <c r="I18224" s="9" t="s">
        <v>36980</v>
      </c>
      <c r="J18224" s="10" t="str">
        <f>HYPERLINK("https://www.boe.es/gazeta/dias/1834/12/31/pdfs/GMD-C-1834-321.pdf#page=2","Abrir facsímil")</f>
        <v>Abrir facsímil</v>
      </c>
      <c r="K18224" s="10" t="s">
        <v>24</v>
      </c>
    </row>
    <row r="18225" spans="1:11" ht="54" customHeight="1">
      <c r="A18225" s="9" t="s">
        <v>36949</v>
      </c>
      <c r="B18225" s="9" t="s">
        <v>36949</v>
      </c>
      <c r="C18225" s="9" t="s">
        <v>17</v>
      </c>
      <c r="D18225" s="9" t="s">
        <v>40</v>
      </c>
      <c r="E18225" s="10" t="s">
        <v>192</v>
      </c>
      <c r="F18225" s="9" t="s">
        <v>2713</v>
      </c>
      <c r="G18225" s="10" t="s">
        <v>28</v>
      </c>
      <c r="H18225" s="9" t="s">
        <v>22</v>
      </c>
      <c r="I18225" s="9" t="s">
        <v>36981</v>
      </c>
      <c r="J18225" s="10" t="str">
        <f>HYPERLINK("https://www.boe.es/gazeta/dias/1834/12/31/pdfs/GMD-C-1834-321.pdf#page=5","Abrir facsímil")</f>
        <v>Abrir facsímil</v>
      </c>
      <c r="K18225" s="10" t="s">
        <v>24</v>
      </c>
    </row>
    <row r="18226" spans="1:11" ht="54" customHeight="1">
      <c r="A18226" s="9" t="s">
        <v>36982</v>
      </c>
      <c r="B18226" s="9" t="s">
        <v>36982</v>
      </c>
      <c r="C18226" s="9" t="s">
        <v>17</v>
      </c>
      <c r="D18226" s="9" t="s">
        <v>55</v>
      </c>
      <c r="E18226" s="10" t="s">
        <v>1695</v>
      </c>
      <c r="F18226" s="9" t="s">
        <v>1696</v>
      </c>
      <c r="G18226" s="10" t="s">
        <v>86</v>
      </c>
      <c r="H18226" s="9" t="s">
        <v>22</v>
      </c>
      <c r="I18226" s="9" t="s">
        <v>36983</v>
      </c>
      <c r="J18226" s="10" t="str">
        <f>HYPERLINK("https://www.boe.es/gazeta/dias/1834/06/30/pdfs/GMD-1834-133.pdf#page=2","Abrir facsímil")</f>
        <v>Abrir facsímil</v>
      </c>
      <c r="K18226" s="10" t="s">
        <v>24</v>
      </c>
    </row>
    <row r="18227" spans="1:11" ht="54" customHeight="1">
      <c r="A18227" s="9" t="s">
        <v>36984</v>
      </c>
      <c r="B18227" s="9" t="s">
        <v>36984</v>
      </c>
      <c r="C18227" s="9" t="s">
        <v>17</v>
      </c>
      <c r="D18227" s="9" t="s">
        <v>101</v>
      </c>
      <c r="E18227" s="10" t="s">
        <v>2153</v>
      </c>
      <c r="F18227" s="9" t="s">
        <v>2154</v>
      </c>
      <c r="G18227" s="10" t="s">
        <v>34</v>
      </c>
      <c r="H18227" s="9" t="s">
        <v>22</v>
      </c>
      <c r="I18227" s="9" t="s">
        <v>36985</v>
      </c>
      <c r="J18227" s="10" t="str">
        <f>HYPERLINK("https://www.boe.es/gazeta/dias/1834/01/23/pdfs/GMD-1834-11.pdf#page=1","Abrir facsímil")</f>
        <v>Abrir facsímil</v>
      </c>
      <c r="K18227" s="10" t="s">
        <v>24</v>
      </c>
    </row>
    <row r="18228" spans="1:11" ht="54" customHeight="1">
      <c r="A18228" s="9" t="s">
        <v>36986</v>
      </c>
      <c r="B18228" s="9" t="s">
        <v>36987</v>
      </c>
      <c r="C18228" s="9" t="s">
        <v>17</v>
      </c>
      <c r="D18228" s="9" t="s">
        <v>18</v>
      </c>
      <c r="E18228" s="10" t="s">
        <v>399</v>
      </c>
      <c r="F18228" s="9" t="s">
        <v>400</v>
      </c>
      <c r="G18228" s="10" t="s">
        <v>21</v>
      </c>
      <c r="H18228" s="9" t="s">
        <v>35</v>
      </c>
      <c r="I18228" s="9" t="s">
        <v>36988</v>
      </c>
      <c r="J18228" s="10" t="str">
        <f>HYPERLINK("https://www.boe.es/gazeta/dias/1834/07/08/pdfs/GMD-1834-141.pdf#page=3","Abrir facsímil")</f>
        <v>Abrir facsímil</v>
      </c>
      <c r="K18228" s="10" t="s">
        <v>37</v>
      </c>
    </row>
    <row r="18229" spans="1:11" ht="54" customHeight="1">
      <c r="A18229" s="9" t="s">
        <v>36989</v>
      </c>
      <c r="B18229" s="9" t="s">
        <v>36990</v>
      </c>
      <c r="C18229" s="9" t="s">
        <v>17</v>
      </c>
      <c r="D18229" s="9" t="s">
        <v>18</v>
      </c>
      <c r="E18229" s="10" t="s">
        <v>399</v>
      </c>
      <c r="F18229" s="9" t="s">
        <v>400</v>
      </c>
      <c r="G18229" s="10" t="s">
        <v>21</v>
      </c>
      <c r="H18229" s="9" t="s">
        <v>22</v>
      </c>
      <c r="I18229" s="9" t="s">
        <v>36991</v>
      </c>
      <c r="J18229" s="10" t="str">
        <f>HYPERLINK("https://www.boe.es/gazeta/dias/1834/07/08/pdfs/GMD-1834-141.pdf#page=3","Abrir facsímil")</f>
        <v>Abrir facsímil</v>
      </c>
      <c r="K18229" s="10" t="s">
        <v>24</v>
      </c>
    </row>
    <row r="18230" spans="1:11" ht="54" customHeight="1">
      <c r="A18230" s="9" t="s">
        <v>36992</v>
      </c>
      <c r="B18230" s="9" t="s">
        <v>36992</v>
      </c>
      <c r="C18230" s="9" t="s">
        <v>90</v>
      </c>
      <c r="D18230" s="9" t="s">
        <v>67</v>
      </c>
      <c r="E18230" s="10" t="s">
        <v>1742</v>
      </c>
      <c r="F18230" s="9" t="s">
        <v>1743</v>
      </c>
      <c r="G18230" s="10" t="s">
        <v>34</v>
      </c>
      <c r="H18230" s="9" t="s">
        <v>22</v>
      </c>
      <c r="I18230" s="9" t="s">
        <v>36993</v>
      </c>
      <c r="J18230" s="10" t="str">
        <f>HYPERLINK("https://www.boe.es/gazeta/dias/1834/11/06/pdfs/GMD-1834-265.pdf#page=1","Abrir facsímil")</f>
        <v>Abrir facsímil</v>
      </c>
      <c r="K18230" s="10" t="s">
        <v>24</v>
      </c>
    </row>
    <row r="18231" spans="1:11" ht="54" customHeight="1">
      <c r="A18231" s="9" t="s">
        <v>36992</v>
      </c>
      <c r="B18231" s="9" t="s">
        <v>36992</v>
      </c>
      <c r="C18231" s="9" t="s">
        <v>17</v>
      </c>
      <c r="D18231" s="9" t="s">
        <v>101</v>
      </c>
      <c r="E18231" s="10" t="s">
        <v>102</v>
      </c>
      <c r="F18231" s="9" t="s">
        <v>103</v>
      </c>
      <c r="G18231" s="10" t="s">
        <v>86</v>
      </c>
      <c r="H18231" s="9" t="s">
        <v>22</v>
      </c>
      <c r="I18231" s="9" t="s">
        <v>36994</v>
      </c>
      <c r="J18231" s="10" t="str">
        <f>HYPERLINK("https://www.boe.es/gazeta/dias/1834/07/19/pdfs/GMD-1834-152.pdf#page=2","Abrir facsímil")</f>
        <v>Abrir facsímil</v>
      </c>
      <c r="K18231" s="10" t="s">
        <v>24</v>
      </c>
    </row>
    <row r="18232" spans="1:11" ht="54" customHeight="1">
      <c r="A18232" s="9" t="s">
        <v>36995</v>
      </c>
      <c r="B18232" s="9" t="s">
        <v>36996</v>
      </c>
      <c r="C18232" s="9" t="s">
        <v>17</v>
      </c>
      <c r="D18232" s="9" t="s">
        <v>18</v>
      </c>
      <c r="E18232" s="10" t="s">
        <v>465</v>
      </c>
      <c r="F18232" s="9" t="s">
        <v>466</v>
      </c>
      <c r="G18232" s="10" t="s">
        <v>176</v>
      </c>
      <c r="H18232" s="9" t="s">
        <v>22</v>
      </c>
      <c r="I18232" s="9" t="s">
        <v>36997</v>
      </c>
      <c r="J18232" s="10" t="str">
        <f>HYPERLINK("https://www.boe.es/gazeta/dias/1834/11/27/pdfs/GMD-C-1834-286.pdf#page=6","Abrir facsímil")</f>
        <v>Abrir facsímil</v>
      </c>
      <c r="K18232" s="10" t="s">
        <v>24</v>
      </c>
    </row>
    <row r="18233" spans="1:11" ht="54" customHeight="1">
      <c r="A18233" s="9" t="s">
        <v>36998</v>
      </c>
      <c r="B18233" s="9" t="s">
        <v>36998</v>
      </c>
      <c r="C18233" s="9" t="s">
        <v>66</v>
      </c>
      <c r="D18233" s="9" t="s">
        <v>18</v>
      </c>
      <c r="E18233" s="10" t="s">
        <v>928</v>
      </c>
      <c r="F18233" s="9" t="s">
        <v>3338</v>
      </c>
      <c r="G18233" s="10" t="s">
        <v>21</v>
      </c>
      <c r="H18233" s="9" t="s">
        <v>22</v>
      </c>
      <c r="I18233" s="9" t="s">
        <v>36999</v>
      </c>
      <c r="J18233" s="10" t="str">
        <f>HYPERLINK("https://www.boe.es/gazeta/dias/1834/11/15/pdfs/GMD-1834-274.pdf#page=3","Abrir facsímil")</f>
        <v>Abrir facsímil</v>
      </c>
      <c r="K18233" s="10" t="s">
        <v>24</v>
      </c>
    </row>
    <row r="18234" spans="1:11" ht="54" customHeight="1">
      <c r="A18234" s="9" t="s">
        <v>37000</v>
      </c>
      <c r="B18234" s="9" t="s">
        <v>37000</v>
      </c>
      <c r="C18234" s="9" t="s">
        <v>17</v>
      </c>
      <c r="D18234" s="9" t="s">
        <v>18</v>
      </c>
      <c r="E18234" s="10" t="s">
        <v>606</v>
      </c>
      <c r="F18234" s="9" t="s">
        <v>607</v>
      </c>
      <c r="G18234" s="10" t="s">
        <v>176</v>
      </c>
      <c r="H18234" s="9" t="s">
        <v>22</v>
      </c>
      <c r="I18234" s="9" t="s">
        <v>37001</v>
      </c>
      <c r="J18234" s="10" t="str">
        <f>HYPERLINK("https://www.boe.es/gazeta/dias/1834/06/23/pdfs/GMD-1834-126.pdf#page=6","Abrir facsímil")</f>
        <v>Abrir facsímil</v>
      </c>
      <c r="K18234" s="10" t="s">
        <v>24</v>
      </c>
    </row>
    <row r="18235" spans="1:11" ht="54" customHeight="1">
      <c r="A18235" s="9" t="s">
        <v>37002</v>
      </c>
      <c r="B18235" s="9" t="s">
        <v>37003</v>
      </c>
      <c r="C18235" s="9" t="s">
        <v>46</v>
      </c>
      <c r="D18235" s="9" t="s">
        <v>101</v>
      </c>
      <c r="E18235" s="10" t="s">
        <v>117</v>
      </c>
      <c r="F18235" s="9" t="s">
        <v>118</v>
      </c>
      <c r="G18235" s="10" t="s">
        <v>75</v>
      </c>
      <c r="H18235" s="9" t="s">
        <v>22</v>
      </c>
      <c r="I18235" s="9" t="s">
        <v>37004</v>
      </c>
      <c r="J18235" s="10" t="str">
        <f>HYPERLINK("https://www.boe.es/gazeta/dias/1834/07/21/pdfs/GMD-1834-154.pdf#page=4","Abrir facsímil")</f>
        <v>Abrir facsímil</v>
      </c>
      <c r="K18235" s="10" t="s">
        <v>24</v>
      </c>
    </row>
    <row r="18236" spans="1:11" ht="54" customHeight="1">
      <c r="A18236" s="9" t="s">
        <v>37005</v>
      </c>
      <c r="B18236" s="9" t="s">
        <v>37005</v>
      </c>
      <c r="C18236" s="9" t="s">
        <v>122</v>
      </c>
      <c r="D18236" s="9" t="s">
        <v>18</v>
      </c>
      <c r="E18236" s="10" t="s">
        <v>73</v>
      </c>
      <c r="F18236" s="9" t="s">
        <v>74</v>
      </c>
      <c r="G18236" s="10" t="s">
        <v>86</v>
      </c>
      <c r="H18236" s="9" t="s">
        <v>22</v>
      </c>
      <c r="I18236" s="9" t="s">
        <v>37006</v>
      </c>
      <c r="J18236" s="10" t="str">
        <f>HYPERLINK("https://www.boe.es/gazeta/dias/1834/11/04/pdfs/GMD-1834-263.pdf#page=2","Abrir facsímil")</f>
        <v>Abrir facsímil</v>
      </c>
      <c r="K18236" s="10" t="s">
        <v>24</v>
      </c>
    </row>
    <row r="18237" spans="1:11" ht="54" customHeight="1">
      <c r="A18237" s="9" t="s">
        <v>37007</v>
      </c>
      <c r="B18237" s="9" t="s">
        <v>37008</v>
      </c>
      <c r="C18237" s="9" t="s">
        <v>17</v>
      </c>
      <c r="D18237" s="9" t="s">
        <v>18</v>
      </c>
      <c r="E18237" s="10" t="s">
        <v>309</v>
      </c>
      <c r="F18237" s="9" t="s">
        <v>310</v>
      </c>
      <c r="G18237" s="10" t="s">
        <v>34</v>
      </c>
      <c r="H18237" s="9" t="s">
        <v>22</v>
      </c>
      <c r="I18237" s="9" t="s">
        <v>37009</v>
      </c>
      <c r="J18237" s="10" t="str">
        <f>HYPERLINK("https://www.boe.es/gazeta/dias/1834/05/30/pdfs/GMD-1834-99.pdf#page=1","Abrir facsímil")</f>
        <v>Abrir facsímil</v>
      </c>
      <c r="K18237" s="10" t="s">
        <v>24</v>
      </c>
    </row>
    <row r="18238" spans="1:11" ht="54" customHeight="1">
      <c r="A18238" s="9" t="s">
        <v>37010</v>
      </c>
      <c r="B18238" s="9" t="s">
        <v>37011</v>
      </c>
      <c r="C18238" s="9" t="s">
        <v>122</v>
      </c>
      <c r="D18238" s="9" t="s">
        <v>18</v>
      </c>
      <c r="E18238" s="10" t="s">
        <v>1084</v>
      </c>
      <c r="F18238" s="9" t="s">
        <v>1085</v>
      </c>
      <c r="G18238" s="10" t="s">
        <v>176</v>
      </c>
      <c r="H18238" s="9" t="s">
        <v>22</v>
      </c>
      <c r="I18238" s="9" t="s">
        <v>37012</v>
      </c>
      <c r="J18238" s="10" t="str">
        <f>HYPERLINK("https://www.boe.es/gazeta/dias/1834/05/01/pdfs/GMD-1834-70.pdf#page=6","Abrir facsímil")</f>
        <v>Abrir facsímil</v>
      </c>
      <c r="K18238" s="10" t="s">
        <v>24</v>
      </c>
    </row>
    <row r="18239" spans="1:11" ht="54" customHeight="1">
      <c r="A18239" s="9" t="s">
        <v>37010</v>
      </c>
      <c r="B18239" s="9" t="s">
        <v>37011</v>
      </c>
      <c r="C18239" s="9" t="s">
        <v>66</v>
      </c>
      <c r="D18239" s="9" t="s">
        <v>67</v>
      </c>
      <c r="E18239" s="10" t="s">
        <v>61</v>
      </c>
      <c r="F18239" s="9" t="s">
        <v>205</v>
      </c>
      <c r="G18239" s="10" t="s">
        <v>21</v>
      </c>
      <c r="H18239" s="9" t="s">
        <v>22</v>
      </c>
      <c r="I18239" s="9" t="s">
        <v>37013</v>
      </c>
      <c r="J18239" s="10" t="str">
        <f>HYPERLINK("https://www.boe.es/gazeta/dias/1834/06/08/pdfs/GMD-1834-110.pdf#page=3","Abrir facsímil")</f>
        <v>Abrir facsímil</v>
      </c>
      <c r="K18239" s="10" t="s">
        <v>24</v>
      </c>
    </row>
    <row r="18240" spans="1:11" ht="54" customHeight="1">
      <c r="A18240" s="9" t="s">
        <v>37014</v>
      </c>
      <c r="B18240" s="9" t="s">
        <v>37015</v>
      </c>
      <c r="C18240" s="9" t="s">
        <v>66</v>
      </c>
      <c r="D18240" s="9" t="s">
        <v>67</v>
      </c>
      <c r="E18240" s="10" t="s">
        <v>1234</v>
      </c>
      <c r="F18240" s="9" t="s">
        <v>1235</v>
      </c>
      <c r="G18240" s="10" t="s">
        <v>34</v>
      </c>
      <c r="H18240" s="9" t="s">
        <v>22</v>
      </c>
      <c r="I18240" s="9" t="s">
        <v>37016</v>
      </c>
      <c r="J18240" s="10" t="str">
        <f>HYPERLINK("https://www.boe.es/gazeta/dias/1834/05/15/pdfs/GMD-C-1834-84.pdf#page=1","Abrir facsímil")</f>
        <v>Abrir facsímil</v>
      </c>
      <c r="K18240" s="10" t="s">
        <v>24</v>
      </c>
    </row>
    <row r="18241" spans="1:11" ht="54" customHeight="1">
      <c r="A18241" s="9" t="s">
        <v>37017</v>
      </c>
      <c r="B18241" s="9" t="s">
        <v>37018</v>
      </c>
      <c r="C18241" s="9" t="s">
        <v>17</v>
      </c>
      <c r="D18241" s="9" t="s">
        <v>18</v>
      </c>
      <c r="E18241" s="10" t="s">
        <v>956</v>
      </c>
      <c r="F18241" s="9" t="s">
        <v>1508</v>
      </c>
      <c r="G18241" s="10" t="s">
        <v>21</v>
      </c>
      <c r="H18241" s="9" t="s">
        <v>22</v>
      </c>
      <c r="I18241" s="9" t="s">
        <v>37019</v>
      </c>
      <c r="J18241" s="10" t="str">
        <f>HYPERLINK("https://www.boe.es/gazeta/dias/1834/08/10/pdfs/GMD-1834-175.pdf#page=3","Abrir facsímil")</f>
        <v>Abrir facsímil</v>
      </c>
      <c r="K18241" s="10" t="s">
        <v>24</v>
      </c>
    </row>
    <row r="18242" spans="1:11" ht="54" customHeight="1">
      <c r="A18242" s="9" t="s">
        <v>37020</v>
      </c>
      <c r="B18242" s="9" t="s">
        <v>37021</v>
      </c>
      <c r="C18242" s="9" t="s">
        <v>66</v>
      </c>
      <c r="D18242" s="9" t="s">
        <v>67</v>
      </c>
      <c r="E18242" s="10" t="s">
        <v>3066</v>
      </c>
      <c r="F18242" s="9" t="s">
        <v>3188</v>
      </c>
      <c r="G18242" s="10" t="s">
        <v>86</v>
      </c>
      <c r="H18242" s="9" t="s">
        <v>22</v>
      </c>
      <c r="I18242" s="9" t="s">
        <v>37022</v>
      </c>
      <c r="J18242" s="10" t="str">
        <f>HYPERLINK("https://www.boe.es/gazeta/dias/1834/08/03/pdfs/GMD-1834-167.pdf#page=2","Abrir facsímil")</f>
        <v>Abrir facsímil</v>
      </c>
      <c r="K18242" s="10" t="s">
        <v>24</v>
      </c>
    </row>
    <row r="18243" spans="1:11" ht="54" customHeight="1">
      <c r="A18243" s="9" t="s">
        <v>37023</v>
      </c>
      <c r="B18243" s="9" t="s">
        <v>37024</v>
      </c>
      <c r="C18243" s="9" t="s">
        <v>17</v>
      </c>
      <c r="D18243" s="9" t="s">
        <v>18</v>
      </c>
      <c r="E18243" s="10" t="s">
        <v>1410</v>
      </c>
      <c r="F18243" s="9" t="s">
        <v>1411</v>
      </c>
      <c r="G18243" s="10" t="s">
        <v>21</v>
      </c>
      <c r="H18243" s="9" t="s">
        <v>22</v>
      </c>
      <c r="I18243" s="9" t="s">
        <v>37025</v>
      </c>
      <c r="J18243" s="10" t="str">
        <f>HYPERLINK("https://www.boe.es/gazeta/dias/1834/09/09/pdfs/GMD-1834-207.pdf#page=3","Abrir facsímil")</f>
        <v>Abrir facsímil</v>
      </c>
      <c r="K18243" s="10" t="s">
        <v>24</v>
      </c>
    </row>
    <row r="18244" spans="1:11" ht="54" customHeight="1">
      <c r="A18244" s="9" t="s">
        <v>37026</v>
      </c>
      <c r="B18244" s="9" t="s">
        <v>37027</v>
      </c>
      <c r="C18244" s="9" t="s">
        <v>17</v>
      </c>
      <c r="D18244" s="9" t="s">
        <v>18</v>
      </c>
      <c r="E18244" s="10" t="s">
        <v>3471</v>
      </c>
      <c r="F18244" s="9" t="s">
        <v>3472</v>
      </c>
      <c r="G18244" s="10" t="s">
        <v>21</v>
      </c>
      <c r="H18244" s="9" t="s">
        <v>22</v>
      </c>
      <c r="I18244" s="9" t="s">
        <v>37028</v>
      </c>
      <c r="J18244" s="10" t="str">
        <f>HYPERLINK("https://www.boe.es/gazeta/dias/1834/07/07/pdfs/GMD-1834-140.pdf#page=3","Abrir facsímil")</f>
        <v>Abrir facsímil</v>
      </c>
      <c r="K18244" s="10" t="s">
        <v>24</v>
      </c>
    </row>
    <row r="18245" spans="1:11" ht="54" customHeight="1">
      <c r="A18245" s="9" t="s">
        <v>37029</v>
      </c>
      <c r="B18245" s="9" t="s">
        <v>37030</v>
      </c>
      <c r="C18245" s="9" t="s">
        <v>17</v>
      </c>
      <c r="D18245" s="9" t="s">
        <v>18</v>
      </c>
      <c r="E18245" s="10" t="s">
        <v>5574</v>
      </c>
      <c r="F18245" s="9" t="s">
        <v>5575</v>
      </c>
      <c r="G18245" s="10" t="s">
        <v>86</v>
      </c>
      <c r="H18245" s="9" t="s">
        <v>22</v>
      </c>
      <c r="I18245" s="9" t="s">
        <v>37031</v>
      </c>
      <c r="J18245" s="10" t="str">
        <f>HYPERLINK("https://www.boe.es/gazeta/dias/1834/06/16/pdfs/GMD-1834-119.pdf#page=2","Abrir facsímil")</f>
        <v>Abrir facsímil</v>
      </c>
      <c r="K18245" s="10" t="s">
        <v>24</v>
      </c>
    </row>
    <row r="18246" spans="1:11" ht="54" customHeight="1">
      <c r="A18246" s="9" t="s">
        <v>37032</v>
      </c>
      <c r="B18246" s="9" t="s">
        <v>37033</v>
      </c>
      <c r="C18246" s="9" t="s">
        <v>17</v>
      </c>
      <c r="D18246" s="9" t="s">
        <v>55</v>
      </c>
      <c r="E18246" s="10" t="s">
        <v>179</v>
      </c>
      <c r="F18246" s="9" t="s">
        <v>180</v>
      </c>
      <c r="G18246" s="10" t="s">
        <v>34</v>
      </c>
      <c r="H18246" s="9" t="s">
        <v>22</v>
      </c>
      <c r="I18246" s="9" t="s">
        <v>37034</v>
      </c>
      <c r="J18246" s="10" t="str">
        <f>HYPERLINK("https://www.boe.es/gazeta/dias/1834/10/28/pdfs/GMD-1834-256.pdf#page=1","Abrir facsímil")</f>
        <v>Abrir facsímil</v>
      </c>
      <c r="K18246" s="10" t="s">
        <v>24</v>
      </c>
    </row>
    <row r="18247" spans="1:11" ht="54" customHeight="1">
      <c r="A18247" s="9" t="s">
        <v>37035</v>
      </c>
      <c r="B18247" s="9" t="s">
        <v>37036</v>
      </c>
      <c r="C18247" s="9" t="s">
        <v>17</v>
      </c>
      <c r="D18247" s="9" t="s">
        <v>18</v>
      </c>
      <c r="E18247" s="10" t="s">
        <v>928</v>
      </c>
      <c r="F18247" s="9" t="s">
        <v>3338</v>
      </c>
      <c r="G18247" s="10" t="s">
        <v>21</v>
      </c>
      <c r="H18247" s="9" t="s">
        <v>22</v>
      </c>
      <c r="I18247" s="9" t="s">
        <v>37037</v>
      </c>
      <c r="J18247" s="10" t="str">
        <f>HYPERLINK("https://www.boe.es/gazeta/dias/1834/11/15/pdfs/GMD-1834-274.pdf#page=3","Abrir facsímil")</f>
        <v>Abrir facsímil</v>
      </c>
      <c r="K18247" s="10" t="s">
        <v>24</v>
      </c>
    </row>
    <row r="18248" spans="1:11" ht="54" customHeight="1">
      <c r="A18248" s="9" t="s">
        <v>37038</v>
      </c>
      <c r="B18248" s="9" t="s">
        <v>37039</v>
      </c>
      <c r="C18248" s="9" t="s">
        <v>66</v>
      </c>
      <c r="D18248" s="9" t="s">
        <v>67</v>
      </c>
      <c r="E18248" s="10" t="s">
        <v>378</v>
      </c>
      <c r="F18248" s="9" t="s">
        <v>379</v>
      </c>
      <c r="G18248" s="10" t="s">
        <v>21</v>
      </c>
      <c r="H18248" s="9" t="s">
        <v>22</v>
      </c>
      <c r="I18248" s="9" t="s">
        <v>37040</v>
      </c>
      <c r="J18248" s="10" t="str">
        <f>HYPERLINK("https://www.boe.es/gazeta/dias/1834/09/24/pdfs/GMD-1834-222.pdf#page=3","Abrir facsímil")</f>
        <v>Abrir facsímil</v>
      </c>
      <c r="K18248" s="10" t="s">
        <v>24</v>
      </c>
    </row>
    <row r="18249" spans="1:11" ht="54" customHeight="1">
      <c r="A18249" s="9" t="s">
        <v>37041</v>
      </c>
      <c r="B18249" s="9" t="s">
        <v>37041</v>
      </c>
      <c r="C18249" s="9" t="s">
        <v>46</v>
      </c>
      <c r="D18249" s="9" t="s">
        <v>18</v>
      </c>
      <c r="E18249" s="10" t="s">
        <v>304</v>
      </c>
      <c r="F18249" s="9" t="s">
        <v>305</v>
      </c>
      <c r="G18249" s="10" t="s">
        <v>75</v>
      </c>
      <c r="H18249" s="9" t="s">
        <v>22</v>
      </c>
      <c r="I18249" s="9" t="s">
        <v>37042</v>
      </c>
      <c r="J18249" s="10" t="str">
        <f>HYPERLINK("https://www.boe.es/gazeta/dias/1834/01/21/pdfs/GMD-1834-10.pdf#page=4","Abrir facsímil")</f>
        <v>Abrir facsímil</v>
      </c>
      <c r="K18249" s="10" t="s">
        <v>24</v>
      </c>
    </row>
    <row r="18250" spans="1:11" ht="54" customHeight="1">
      <c r="A18250" s="9" t="s">
        <v>37041</v>
      </c>
      <c r="B18250" s="9" t="s">
        <v>37041</v>
      </c>
      <c r="C18250" s="9" t="s">
        <v>90</v>
      </c>
      <c r="D18250" s="9" t="s">
        <v>18</v>
      </c>
      <c r="E18250" s="10" t="s">
        <v>1922</v>
      </c>
      <c r="F18250" s="9" t="s">
        <v>1923</v>
      </c>
      <c r="G18250" s="10" t="s">
        <v>21</v>
      </c>
      <c r="H18250" s="9" t="s">
        <v>22</v>
      </c>
      <c r="I18250" s="9" t="s">
        <v>37043</v>
      </c>
      <c r="J18250" s="10" t="str">
        <f>HYPERLINK("https://www.boe.es/gazeta/dias/1834/02/25/pdfs/GMD-1834-25.pdf#page=3","Abrir facsímil")</f>
        <v>Abrir facsímil</v>
      </c>
      <c r="K18250" s="10" t="s">
        <v>24</v>
      </c>
    </row>
    <row r="18251" spans="1:11" ht="54" customHeight="1">
      <c r="A18251" s="9" t="s">
        <v>37041</v>
      </c>
      <c r="B18251" s="9" t="s">
        <v>37041</v>
      </c>
      <c r="C18251" s="9" t="s">
        <v>90</v>
      </c>
      <c r="D18251" s="9" t="s">
        <v>18</v>
      </c>
      <c r="E18251" s="10" t="s">
        <v>739</v>
      </c>
      <c r="F18251" s="9" t="s">
        <v>740</v>
      </c>
      <c r="G18251" s="10" t="s">
        <v>86</v>
      </c>
      <c r="H18251" s="9" t="s">
        <v>22</v>
      </c>
      <c r="I18251" s="9" t="s">
        <v>37044</v>
      </c>
      <c r="J18251" s="10" t="str">
        <f>HYPERLINK("https://www.boe.es/gazeta/dias/1834/03/25/pdfs/GMD-1834-37.pdf#page=2","Abrir facsímil")</f>
        <v>Abrir facsímil</v>
      </c>
      <c r="K18251" s="10" t="s">
        <v>24</v>
      </c>
    </row>
    <row r="18252" spans="1:11" ht="54" customHeight="1">
      <c r="A18252" s="9" t="s">
        <v>37045</v>
      </c>
      <c r="B18252" s="9" t="s">
        <v>37045</v>
      </c>
      <c r="C18252" s="9" t="s">
        <v>46</v>
      </c>
      <c r="D18252" s="9" t="s">
        <v>55</v>
      </c>
      <c r="E18252" s="10" t="s">
        <v>844</v>
      </c>
      <c r="F18252" s="9" t="s">
        <v>845</v>
      </c>
      <c r="G18252" s="10" t="s">
        <v>86</v>
      </c>
      <c r="H18252" s="9" t="s">
        <v>22</v>
      </c>
      <c r="I18252" s="9" t="s">
        <v>37046</v>
      </c>
      <c r="J18252" s="10" t="str">
        <f>HYPERLINK("https://www.boe.es/gazeta/dias/1834/03/13/pdfs/GMD-1834-32.pdf#page=2","Abrir facsímil")</f>
        <v>Abrir facsímil</v>
      </c>
      <c r="K18252" s="10" t="s">
        <v>24</v>
      </c>
    </row>
    <row r="18253" spans="1:11" ht="54" customHeight="1">
      <c r="A18253" s="9" t="s">
        <v>37047</v>
      </c>
      <c r="B18253" s="9" t="s">
        <v>37048</v>
      </c>
      <c r="C18253" s="9" t="s">
        <v>17</v>
      </c>
      <c r="D18253" s="9" t="s">
        <v>18</v>
      </c>
      <c r="E18253" s="10" t="s">
        <v>247</v>
      </c>
      <c r="F18253" s="9" t="s">
        <v>2805</v>
      </c>
      <c r="G18253" s="10" t="s">
        <v>75</v>
      </c>
      <c r="H18253" s="9" t="s">
        <v>22</v>
      </c>
      <c r="I18253" s="9" t="s">
        <v>37049</v>
      </c>
      <c r="J18253" s="10" t="str">
        <f>HYPERLINK("https://www.boe.es/gazeta/dias/1834/08/23/pdfs/GMD-1834-189.pdf#page=4","Abrir facsímil")</f>
        <v>Abrir facsímil</v>
      </c>
      <c r="K18253" s="10" t="s">
        <v>24</v>
      </c>
    </row>
    <row r="18254" spans="1:11" ht="54" customHeight="1">
      <c r="A18254" s="9" t="s">
        <v>37050</v>
      </c>
      <c r="B18254" s="9" t="s">
        <v>37051</v>
      </c>
      <c r="C18254" s="9" t="s">
        <v>46</v>
      </c>
      <c r="D18254" s="9" t="s">
        <v>101</v>
      </c>
      <c r="E18254" s="10" t="s">
        <v>1239</v>
      </c>
      <c r="F18254" s="9" t="s">
        <v>1240</v>
      </c>
      <c r="G18254" s="10" t="s">
        <v>34</v>
      </c>
      <c r="H18254" s="9" t="s">
        <v>22</v>
      </c>
      <c r="I18254" s="9" t="s">
        <v>37052</v>
      </c>
      <c r="J18254" s="10" t="str">
        <f>HYPERLINK("https://www.boe.es/gazeta/dias/1834/08/20/pdfs/GMD-1834-186.pdf#page=1","Abrir facsímil")</f>
        <v>Abrir facsímil</v>
      </c>
      <c r="K18254" s="10" t="s">
        <v>24</v>
      </c>
    </row>
    <row r="18255" spans="1:11" ht="54" customHeight="1">
      <c r="A18255" s="9" t="s">
        <v>37053</v>
      </c>
      <c r="B18255" s="9" t="s">
        <v>37053</v>
      </c>
      <c r="C18255" s="9" t="s">
        <v>46</v>
      </c>
      <c r="D18255" s="9" t="s">
        <v>18</v>
      </c>
      <c r="E18255" s="10" t="s">
        <v>838</v>
      </c>
      <c r="F18255" s="9" t="s">
        <v>839</v>
      </c>
      <c r="G18255" s="10" t="s">
        <v>86</v>
      </c>
      <c r="H18255" s="9" t="s">
        <v>22</v>
      </c>
      <c r="I18255" s="9" t="s">
        <v>37054</v>
      </c>
      <c r="J18255" s="10" t="str">
        <f>HYPERLINK("https://www.boe.es/gazeta/dias/1834/07/18/pdfs/GMD-1834-151.pdf#page=2","Abrir facsímil")</f>
        <v>Abrir facsímil</v>
      </c>
      <c r="K18255" s="10" t="s">
        <v>24</v>
      </c>
    </row>
    <row r="18256" spans="1:11" ht="54" customHeight="1">
      <c r="A18256" s="9" t="s">
        <v>37055</v>
      </c>
      <c r="B18256" s="9" t="s">
        <v>37056</v>
      </c>
      <c r="C18256" s="9" t="s">
        <v>17</v>
      </c>
      <c r="D18256" s="9" t="s">
        <v>101</v>
      </c>
      <c r="E18256" s="10" t="s">
        <v>1839</v>
      </c>
      <c r="F18256" s="9" t="s">
        <v>1840</v>
      </c>
      <c r="G18256" s="10" t="s">
        <v>34</v>
      </c>
      <c r="H18256" s="9" t="s">
        <v>22</v>
      </c>
      <c r="I18256" s="9" t="s">
        <v>37057</v>
      </c>
      <c r="J18256" s="10" t="str">
        <f>HYPERLINK("https://www.boe.es/gazeta/dias/1834/08/12/pdfs/GMD-C-1834-177.pdf#page=1","Abrir facsímil")</f>
        <v>Abrir facsímil</v>
      </c>
      <c r="K18256" s="10" t="s">
        <v>24</v>
      </c>
    </row>
    <row r="18257" spans="1:11" ht="54" customHeight="1">
      <c r="A18257" s="9" t="s">
        <v>37058</v>
      </c>
      <c r="B18257" s="9" t="s">
        <v>37058</v>
      </c>
      <c r="C18257" s="9" t="s">
        <v>17</v>
      </c>
      <c r="D18257" s="9" t="s">
        <v>18</v>
      </c>
      <c r="E18257" s="10" t="s">
        <v>707</v>
      </c>
      <c r="F18257" s="9" t="s">
        <v>708</v>
      </c>
      <c r="G18257" s="10" t="s">
        <v>75</v>
      </c>
      <c r="H18257" s="9" t="s">
        <v>22</v>
      </c>
      <c r="I18257" s="9" t="s">
        <v>37059</v>
      </c>
      <c r="J18257" s="10" t="str">
        <f>HYPERLINK("https://www.boe.es/gazeta/dias/1834/11/25/pdfs/GMD-C-1834-284.pdf#page=4","Abrir facsímil")</f>
        <v>Abrir facsímil</v>
      </c>
      <c r="K18257" s="10" t="s">
        <v>24</v>
      </c>
    </row>
    <row r="18258" spans="1:11" ht="54" customHeight="1">
      <c r="A18258" s="9" t="s">
        <v>37060</v>
      </c>
      <c r="B18258" s="9" t="s">
        <v>37061</v>
      </c>
      <c r="C18258" s="9" t="s">
        <v>17</v>
      </c>
      <c r="D18258" s="9" t="s">
        <v>18</v>
      </c>
      <c r="E18258" s="10" t="s">
        <v>571</v>
      </c>
      <c r="F18258" s="9" t="s">
        <v>620</v>
      </c>
      <c r="G18258" s="10" t="s">
        <v>470</v>
      </c>
      <c r="H18258" s="9" t="s">
        <v>22</v>
      </c>
      <c r="I18258" s="9" t="s">
        <v>37062</v>
      </c>
      <c r="J18258" s="10" t="str">
        <f>HYPERLINK("https://www.boe.es/gazeta/dias/1834/09/04/pdfs/GMD-C-1834-202.pdf#page=8","Abrir facsímil")</f>
        <v>Abrir facsímil</v>
      </c>
      <c r="K18258" s="10" t="s">
        <v>24</v>
      </c>
    </row>
    <row r="18259" spans="1:11" ht="54" customHeight="1">
      <c r="A18259" s="9" t="s">
        <v>37063</v>
      </c>
      <c r="B18259" s="9" t="s">
        <v>37064</v>
      </c>
      <c r="C18259" s="9" t="s">
        <v>17</v>
      </c>
      <c r="D18259" s="9" t="s">
        <v>18</v>
      </c>
      <c r="E18259" s="10" t="s">
        <v>32</v>
      </c>
      <c r="F18259" s="9" t="s">
        <v>33</v>
      </c>
      <c r="G18259" s="10" t="s">
        <v>86</v>
      </c>
      <c r="H18259" s="9" t="s">
        <v>22</v>
      </c>
      <c r="I18259" s="9" t="s">
        <v>37065</v>
      </c>
      <c r="J18259" s="10" t="str">
        <f>HYPERLINK("https://www.boe.es/gazeta/dias/1834/04/23/pdfs/GMD-1834-62.pdf#page=2","Abrir facsímil")</f>
        <v>Abrir facsímil</v>
      </c>
      <c r="K18259" s="10" t="s">
        <v>24</v>
      </c>
    </row>
    <row r="18260" spans="1:11" ht="54" customHeight="1">
      <c r="A18260" s="9" t="s">
        <v>37063</v>
      </c>
      <c r="B18260" s="9" t="s">
        <v>37064</v>
      </c>
      <c r="C18260" s="9" t="s">
        <v>17</v>
      </c>
      <c r="D18260" s="9" t="s">
        <v>18</v>
      </c>
      <c r="E18260" s="10" t="s">
        <v>468</v>
      </c>
      <c r="F18260" s="9" t="s">
        <v>469</v>
      </c>
      <c r="G18260" s="10" t="s">
        <v>34</v>
      </c>
      <c r="H18260" s="9" t="s">
        <v>22</v>
      </c>
      <c r="I18260" s="9" t="s">
        <v>37066</v>
      </c>
      <c r="J18260" s="10" t="str">
        <f>HYPERLINK("https://www.boe.es/gazeta/dias/1834/12/28/pdfs/GMD-C-1834-318.pdf#page=1","Abrir facsímil")</f>
        <v>Abrir facsímil</v>
      </c>
      <c r="K18260" s="10" t="s">
        <v>24</v>
      </c>
    </row>
    <row r="18261" spans="1:11" ht="54" customHeight="1">
      <c r="A18261" s="9" t="s">
        <v>37067</v>
      </c>
      <c r="B18261" s="9" t="s">
        <v>37068</v>
      </c>
      <c r="C18261" s="9" t="s">
        <v>17</v>
      </c>
      <c r="D18261" s="9" t="s">
        <v>18</v>
      </c>
      <c r="E18261" s="10" t="s">
        <v>590</v>
      </c>
      <c r="F18261" s="9" t="s">
        <v>17808</v>
      </c>
      <c r="G18261" s="10" t="s">
        <v>34</v>
      </c>
      <c r="H18261" s="9" t="s">
        <v>22</v>
      </c>
      <c r="I18261" s="9" t="s">
        <v>37069</v>
      </c>
      <c r="J18261" s="10" t="str">
        <f>HYPERLINK("https://www.boe.es/gazeta/dias/1834/11/30/pdfs/GMD-C-1834-289.pdf#page=1","Abrir facsímil")</f>
        <v>Abrir facsímil</v>
      </c>
      <c r="K18261" s="10" t="s">
        <v>24</v>
      </c>
    </row>
    <row r="18262" spans="1:11" ht="54" customHeight="1">
      <c r="A18262" s="9" t="s">
        <v>37070</v>
      </c>
      <c r="B18262" s="9" t="s">
        <v>37071</v>
      </c>
      <c r="C18262" s="9" t="s">
        <v>17</v>
      </c>
      <c r="D18262" s="9" t="s">
        <v>18</v>
      </c>
      <c r="E18262" s="10" t="s">
        <v>84</v>
      </c>
      <c r="F18262" s="9" t="s">
        <v>85</v>
      </c>
      <c r="G18262" s="10" t="s">
        <v>34</v>
      </c>
      <c r="H18262" s="9" t="s">
        <v>22</v>
      </c>
      <c r="I18262" s="9" t="s">
        <v>37072</v>
      </c>
      <c r="J18262" s="10" t="str">
        <f>HYPERLINK("https://www.boe.es/gazeta/dias/1834/06/07/pdfs/GMD-C-1834-109.pdf#page=1","Abrir facsímil")</f>
        <v>Abrir facsímil</v>
      </c>
      <c r="K18262" s="10" t="s">
        <v>24</v>
      </c>
    </row>
    <row r="18263" spans="1:11" ht="54" customHeight="1">
      <c r="A18263" s="9" t="s">
        <v>37073</v>
      </c>
      <c r="B18263" s="9" t="s">
        <v>37074</v>
      </c>
      <c r="C18263" s="9" t="s">
        <v>66</v>
      </c>
      <c r="D18263" s="9" t="s">
        <v>67</v>
      </c>
      <c r="E18263" s="10" t="s">
        <v>299</v>
      </c>
      <c r="F18263" s="9" t="s">
        <v>300</v>
      </c>
      <c r="G18263" s="10" t="s">
        <v>75</v>
      </c>
      <c r="H18263" s="9" t="s">
        <v>22</v>
      </c>
      <c r="I18263" s="9" t="s">
        <v>37075</v>
      </c>
      <c r="J18263" s="10" t="str">
        <f>HYPERLINK("https://www.boe.es/gazeta/dias/1834/12/12/pdfs/GMD-1834-301.pdf#page=4","Abrir facsímil")</f>
        <v>Abrir facsímil</v>
      </c>
      <c r="K18263" s="10" t="s">
        <v>24</v>
      </c>
    </row>
    <row r="18264" spans="1:11" ht="54" customHeight="1">
      <c r="A18264" s="9" t="s">
        <v>37076</v>
      </c>
      <c r="B18264" s="9" t="s">
        <v>37077</v>
      </c>
      <c r="C18264" s="9" t="s">
        <v>17</v>
      </c>
      <c r="D18264" s="9" t="s">
        <v>18</v>
      </c>
      <c r="E18264" s="10" t="s">
        <v>84</v>
      </c>
      <c r="F18264" s="9" t="s">
        <v>85</v>
      </c>
      <c r="G18264" s="10" t="s">
        <v>34</v>
      </c>
      <c r="H18264" s="9" t="s">
        <v>22</v>
      </c>
      <c r="I18264" s="9" t="s">
        <v>37072</v>
      </c>
      <c r="J18264" s="10" t="str">
        <f>HYPERLINK("https://www.boe.es/gazeta/dias/1834/06/07/pdfs/GMD-C-1834-109.pdf#page=1","Abrir facsímil")</f>
        <v>Abrir facsímil</v>
      </c>
      <c r="K18264" s="10" t="s">
        <v>24</v>
      </c>
    </row>
    <row r="18265" spans="1:11" ht="54" customHeight="1">
      <c r="A18265" s="9" t="s">
        <v>37078</v>
      </c>
      <c r="B18265" s="9" t="s">
        <v>37079</v>
      </c>
      <c r="C18265" s="9" t="s">
        <v>90</v>
      </c>
      <c r="D18265" s="9" t="s">
        <v>67</v>
      </c>
      <c r="E18265" s="10" t="s">
        <v>541</v>
      </c>
      <c r="F18265" s="9" t="s">
        <v>542</v>
      </c>
      <c r="G18265" s="10" t="s">
        <v>86</v>
      </c>
      <c r="H18265" s="9" t="s">
        <v>22</v>
      </c>
      <c r="I18265" s="9" t="s">
        <v>37080</v>
      </c>
      <c r="J18265" s="10" t="str">
        <f>HYPERLINK("https://www.boe.es/gazeta/dias/1834/04/18/pdfs/GMD-1834-57.pdf#page=2","Abrir facsímil")</f>
        <v>Abrir facsímil</v>
      </c>
      <c r="K18265" s="10" t="s">
        <v>24</v>
      </c>
    </row>
    <row r="18266" spans="1:11" ht="54" customHeight="1">
      <c r="A18266" s="9" t="s">
        <v>37081</v>
      </c>
      <c r="B18266" s="9" t="s">
        <v>37082</v>
      </c>
      <c r="C18266" s="9" t="s">
        <v>66</v>
      </c>
      <c r="D18266" s="9" t="s">
        <v>67</v>
      </c>
      <c r="E18266" s="10" t="s">
        <v>286</v>
      </c>
      <c r="F18266" s="9" t="s">
        <v>548</v>
      </c>
      <c r="G18266" s="10" t="s">
        <v>21</v>
      </c>
      <c r="H18266" s="9" t="s">
        <v>22</v>
      </c>
      <c r="I18266" s="9" t="s">
        <v>37083</v>
      </c>
      <c r="J18266" s="10" t="str">
        <f>HYPERLINK("https://www.boe.es/gazeta/dias/1834/08/30/pdfs/GMD-1834-196.pdf#page=3","Abrir facsímil")</f>
        <v>Abrir facsímil</v>
      </c>
      <c r="K18266" s="10" t="s">
        <v>24</v>
      </c>
    </row>
    <row r="18267" spans="1:11" ht="54" customHeight="1">
      <c r="A18267" s="9" t="s">
        <v>37084</v>
      </c>
      <c r="B18267" s="9" t="s">
        <v>37085</v>
      </c>
      <c r="C18267" s="9" t="s">
        <v>66</v>
      </c>
      <c r="D18267" s="9" t="s">
        <v>67</v>
      </c>
      <c r="E18267" s="10" t="s">
        <v>1212</v>
      </c>
      <c r="F18267" s="9" t="s">
        <v>1213</v>
      </c>
      <c r="G18267" s="10" t="s">
        <v>86</v>
      </c>
      <c r="H18267" s="9" t="s">
        <v>22</v>
      </c>
      <c r="I18267" s="9" t="s">
        <v>37086</v>
      </c>
      <c r="J18267" s="10" t="str">
        <f>HYPERLINK("https://www.boe.es/gazeta/dias/1834/05/24/pdfs/GMD-1834-93.pdf#page=2","Abrir facsímil")</f>
        <v>Abrir facsímil</v>
      </c>
      <c r="K18267" s="10" t="s">
        <v>24</v>
      </c>
    </row>
    <row r="18268" spans="1:11" ht="54" customHeight="1">
      <c r="A18268" s="9" t="s">
        <v>37087</v>
      </c>
      <c r="B18268" s="9" t="s">
        <v>37088</v>
      </c>
      <c r="C18268" s="9" t="s">
        <v>66</v>
      </c>
      <c r="D18268" s="9" t="s">
        <v>67</v>
      </c>
      <c r="E18268" s="10" t="s">
        <v>1094</v>
      </c>
      <c r="F18268" s="9" t="s">
        <v>1095</v>
      </c>
      <c r="G18268" s="10" t="s">
        <v>75</v>
      </c>
      <c r="H18268" s="9" t="s">
        <v>22</v>
      </c>
      <c r="I18268" s="9" t="s">
        <v>37089</v>
      </c>
      <c r="J18268" s="10" t="str">
        <f>HYPERLINK("https://www.boe.es/gazeta/dias/1834/07/13/pdfs/GMD-1834-146.pdf#page=4","Abrir facsímil")</f>
        <v>Abrir facsímil</v>
      </c>
      <c r="K18268" s="10" t="s">
        <v>24</v>
      </c>
    </row>
    <row r="18269" spans="1:11" ht="54" customHeight="1">
      <c r="A18269" s="9" t="s">
        <v>37090</v>
      </c>
      <c r="B18269" s="9" t="s">
        <v>37091</v>
      </c>
      <c r="C18269" s="9" t="s">
        <v>17</v>
      </c>
      <c r="D18269" s="9" t="s">
        <v>18</v>
      </c>
      <c r="E18269" s="10" t="s">
        <v>2260</v>
      </c>
      <c r="F18269" s="9" t="s">
        <v>2261</v>
      </c>
      <c r="G18269" s="10" t="s">
        <v>34</v>
      </c>
      <c r="H18269" s="9" t="s">
        <v>22</v>
      </c>
      <c r="I18269" s="9" t="s">
        <v>37092</v>
      </c>
      <c r="J18269" s="10" t="str">
        <f>HYPERLINK("https://www.boe.es/gazeta/dias/1834/11/13/pdfs/GMD-1834-272.pdf#page=1","Abrir facsímil")</f>
        <v>Abrir facsímil</v>
      </c>
      <c r="K18269" s="10" t="s">
        <v>24</v>
      </c>
    </row>
    <row r="18270" spans="1:11" ht="54" customHeight="1">
      <c r="A18270" s="9" t="s">
        <v>37093</v>
      </c>
      <c r="B18270" s="9" t="s">
        <v>37094</v>
      </c>
      <c r="C18270" s="9" t="s">
        <v>17</v>
      </c>
      <c r="D18270" s="9" t="s">
        <v>18</v>
      </c>
      <c r="E18270" s="10" t="s">
        <v>905</v>
      </c>
      <c r="F18270" s="9" t="s">
        <v>906</v>
      </c>
      <c r="G18270" s="10" t="s">
        <v>86</v>
      </c>
      <c r="H18270" s="9" t="s">
        <v>22</v>
      </c>
      <c r="I18270" s="9" t="s">
        <v>37095</v>
      </c>
      <c r="J18270" s="10" t="str">
        <f>HYPERLINK("https://www.boe.es/gazeta/dias/1834/08/02/pdfs/GMD-C-1834-166.pdf#page=2","Abrir facsímil")</f>
        <v>Abrir facsímil</v>
      </c>
      <c r="K18270" s="10" t="s">
        <v>24</v>
      </c>
    </row>
    <row r="18271" spans="1:11" ht="54" customHeight="1">
      <c r="A18271" s="9" t="s">
        <v>37096</v>
      </c>
      <c r="B18271" s="9" t="s">
        <v>37097</v>
      </c>
      <c r="C18271" s="9" t="s">
        <v>17</v>
      </c>
      <c r="D18271" s="9" t="s">
        <v>18</v>
      </c>
      <c r="E18271" s="10" t="s">
        <v>343</v>
      </c>
      <c r="F18271" s="9" t="s">
        <v>344</v>
      </c>
      <c r="G18271" s="10" t="s">
        <v>75</v>
      </c>
      <c r="H18271" s="9" t="s">
        <v>22</v>
      </c>
      <c r="I18271" s="9" t="s">
        <v>37098</v>
      </c>
      <c r="J18271" s="10" t="str">
        <f>HYPERLINK("https://www.boe.es/gazeta/dias/1834/01/14/pdfs/GMD-1834-7.pdf#page=4","Abrir facsímil")</f>
        <v>Abrir facsímil</v>
      </c>
      <c r="K18271" s="10" t="s">
        <v>24</v>
      </c>
    </row>
    <row r="18272" spans="1:11" ht="54" customHeight="1">
      <c r="A18272" s="9" t="s">
        <v>37099</v>
      </c>
      <c r="B18272" s="9" t="s">
        <v>37100</v>
      </c>
      <c r="C18272" s="9" t="s">
        <v>17</v>
      </c>
      <c r="D18272" s="9" t="s">
        <v>18</v>
      </c>
      <c r="E18272" s="10" t="s">
        <v>1918</v>
      </c>
      <c r="F18272" s="9" t="s">
        <v>1919</v>
      </c>
      <c r="G18272" s="10" t="s">
        <v>75</v>
      </c>
      <c r="H18272" s="9" t="s">
        <v>22</v>
      </c>
      <c r="I18272" s="9" t="s">
        <v>37101</v>
      </c>
      <c r="J18272" s="10" t="str">
        <f>HYPERLINK("https://www.boe.es/gazeta/dias/1834/03/22/pdfs/GMD-1834-36.pdf#page=4","Abrir facsímil")</f>
        <v>Abrir facsímil</v>
      </c>
      <c r="K18272" s="10" t="s">
        <v>24</v>
      </c>
    </row>
    <row r="18273" spans="1:11" ht="54" customHeight="1">
      <c r="A18273" s="9" t="s">
        <v>37102</v>
      </c>
      <c r="B18273" s="9" t="s">
        <v>37103</v>
      </c>
      <c r="C18273" s="9" t="s">
        <v>17</v>
      </c>
      <c r="D18273" s="9" t="s">
        <v>18</v>
      </c>
      <c r="E18273" s="10" t="s">
        <v>1918</v>
      </c>
      <c r="F18273" s="9" t="s">
        <v>1919</v>
      </c>
      <c r="G18273" s="10" t="s">
        <v>75</v>
      </c>
      <c r="H18273" s="9" t="s">
        <v>35</v>
      </c>
      <c r="I18273" s="9" t="s">
        <v>37104</v>
      </c>
      <c r="J18273" s="10" t="str">
        <f>HYPERLINK("https://www.boe.es/gazeta/dias/1834/03/22/pdfs/GMD-1834-36.pdf#page=4","Abrir facsímil")</f>
        <v>Abrir facsímil</v>
      </c>
      <c r="K18273" s="10" t="s">
        <v>37</v>
      </c>
    </row>
    <row r="18274" spans="1:11" ht="54" customHeight="1">
      <c r="A18274" s="9" t="s">
        <v>37105</v>
      </c>
      <c r="B18274" s="9" t="s">
        <v>37105</v>
      </c>
      <c r="C18274" s="9" t="s">
        <v>90</v>
      </c>
      <c r="D18274" s="9" t="s">
        <v>18</v>
      </c>
      <c r="E18274" s="10" t="s">
        <v>84</v>
      </c>
      <c r="F18274" s="9" t="s">
        <v>85</v>
      </c>
      <c r="G18274" s="10" t="s">
        <v>86</v>
      </c>
      <c r="H18274" s="9" t="s">
        <v>22</v>
      </c>
      <c r="I18274" s="9" t="s">
        <v>37106</v>
      </c>
      <c r="J18274" s="10" t="str">
        <f>HYPERLINK("https://www.boe.es/gazeta/dias/1834/06/07/pdfs/GMD-C-1834-109.pdf#page=2","Abrir facsímil")</f>
        <v>Abrir facsímil</v>
      </c>
      <c r="K18274" s="10" t="s">
        <v>24</v>
      </c>
    </row>
    <row r="18275" spans="1:11" ht="54" customHeight="1">
      <c r="A18275" s="9" t="s">
        <v>37107</v>
      </c>
      <c r="B18275" s="9" t="s">
        <v>37108</v>
      </c>
      <c r="C18275" s="9" t="s">
        <v>90</v>
      </c>
      <c r="D18275" s="9" t="s">
        <v>18</v>
      </c>
      <c r="E18275" s="10" t="s">
        <v>84</v>
      </c>
      <c r="F18275" s="9" t="s">
        <v>85</v>
      </c>
      <c r="G18275" s="10" t="s">
        <v>86</v>
      </c>
      <c r="H18275" s="9" t="s">
        <v>35</v>
      </c>
      <c r="I18275" s="9" t="s">
        <v>37109</v>
      </c>
      <c r="J18275" s="10" t="str">
        <f>HYPERLINK("https://www.boe.es/gazeta/dias/1834/06/07/pdfs/GMD-C-1834-109.pdf#page=2","Abrir facsímil")</f>
        <v>Abrir facsímil</v>
      </c>
      <c r="K18275" s="10" t="s">
        <v>37</v>
      </c>
    </row>
    <row r="18276" spans="1:11" ht="54" customHeight="1">
      <c r="A18276" s="9" t="s">
        <v>37110</v>
      </c>
      <c r="B18276" s="9" t="s">
        <v>37111</v>
      </c>
      <c r="C18276" s="9" t="s">
        <v>66</v>
      </c>
      <c r="D18276" s="9" t="s">
        <v>67</v>
      </c>
      <c r="E18276" s="10" t="s">
        <v>1572</v>
      </c>
      <c r="F18276" s="9" t="s">
        <v>1573</v>
      </c>
      <c r="G18276" s="10" t="s">
        <v>28</v>
      </c>
      <c r="H18276" s="9" t="s">
        <v>22</v>
      </c>
      <c r="I18276" s="9" t="s">
        <v>37112</v>
      </c>
      <c r="J18276" s="10" t="str">
        <f>HYPERLINK("https://www.boe.es/gazeta/dias/1834/03/20/pdfs/GMD-1834-35.pdf#page=5","Abrir facsímil")</f>
        <v>Abrir facsímil</v>
      </c>
      <c r="K18276" s="10" t="s">
        <v>24</v>
      </c>
    </row>
    <row r="18277" spans="1:11" ht="54" customHeight="1">
      <c r="A18277" s="9" t="s">
        <v>37113</v>
      </c>
      <c r="B18277" s="9" t="s">
        <v>37114</v>
      </c>
      <c r="C18277" s="9" t="s">
        <v>17</v>
      </c>
      <c r="D18277" s="9" t="s">
        <v>18</v>
      </c>
      <c r="E18277" s="10" t="s">
        <v>1686</v>
      </c>
      <c r="F18277" s="9" t="s">
        <v>1687</v>
      </c>
      <c r="G18277" s="10" t="s">
        <v>21</v>
      </c>
      <c r="H18277" s="9" t="s">
        <v>22</v>
      </c>
      <c r="I18277" s="9" t="s">
        <v>37115</v>
      </c>
      <c r="J18277" s="10" t="str">
        <f>HYPERLINK("https://www.boe.es/gazeta/dias/1834/07/27/pdfs/GMD-1834-160.pdf#page=3","Abrir facsímil")</f>
        <v>Abrir facsímil</v>
      </c>
      <c r="K18277" s="10" t="s">
        <v>24</v>
      </c>
    </row>
    <row r="18278" spans="1:11" ht="54" customHeight="1">
      <c r="A18278" s="9" t="s">
        <v>37116</v>
      </c>
      <c r="B18278" s="9" t="s">
        <v>37117</v>
      </c>
      <c r="C18278" s="9" t="s">
        <v>66</v>
      </c>
      <c r="D18278" s="9" t="s">
        <v>67</v>
      </c>
      <c r="E18278" s="10" t="s">
        <v>803</v>
      </c>
      <c r="F18278" s="9" t="s">
        <v>804</v>
      </c>
      <c r="G18278" s="10" t="s">
        <v>75</v>
      </c>
      <c r="H18278" s="9" t="s">
        <v>22</v>
      </c>
      <c r="I18278" s="9" t="s">
        <v>37118</v>
      </c>
      <c r="J18278" s="10" t="str">
        <f>HYPERLINK("https://www.boe.es/gazeta/dias/1834/03/29/pdfs/GMD-1834-39.pdf#page=4","Abrir facsímil")</f>
        <v>Abrir facsímil</v>
      </c>
      <c r="K18278" s="10" t="s">
        <v>24</v>
      </c>
    </row>
    <row r="18279" spans="1:11" ht="54" customHeight="1">
      <c r="A18279" s="9" t="s">
        <v>37119</v>
      </c>
      <c r="B18279" s="9" t="s">
        <v>37120</v>
      </c>
      <c r="C18279" s="9" t="s">
        <v>46</v>
      </c>
      <c r="D18279" s="9" t="s">
        <v>101</v>
      </c>
      <c r="E18279" s="10" t="s">
        <v>1135</v>
      </c>
      <c r="F18279" s="9" t="s">
        <v>1566</v>
      </c>
      <c r="G18279" s="10" t="s">
        <v>86</v>
      </c>
      <c r="H18279" s="9" t="s">
        <v>22</v>
      </c>
      <c r="I18279" s="9" t="s">
        <v>37121</v>
      </c>
      <c r="J18279" s="10" t="str">
        <f>HYPERLINK("https://www.boe.es/gazeta/dias/1834/08/26/pdfs/GMD-C-1834-192.pdf#page=2","Abrir facsímil")</f>
        <v>Abrir facsímil</v>
      </c>
      <c r="K18279" s="10" t="s">
        <v>24</v>
      </c>
    </row>
    <row r="18280" spans="1:11" ht="54" customHeight="1">
      <c r="A18280" s="9" t="s">
        <v>37122</v>
      </c>
      <c r="B18280" s="9" t="s">
        <v>37123</v>
      </c>
      <c r="C18280" s="9" t="s">
        <v>66</v>
      </c>
      <c r="D18280" s="9" t="s">
        <v>67</v>
      </c>
      <c r="E18280" s="10" t="s">
        <v>753</v>
      </c>
      <c r="F18280" s="9" t="s">
        <v>754</v>
      </c>
      <c r="G18280" s="10" t="s">
        <v>28</v>
      </c>
      <c r="H18280" s="9" t="s">
        <v>35</v>
      </c>
      <c r="I18280" s="9" t="s">
        <v>37124</v>
      </c>
      <c r="J18280" s="10" t="str">
        <f>HYPERLINK("https://www.boe.es/gazeta/dias/1834/04/21/pdfs/GMD-1834-60.pdf#page=5","Abrir facsímil")</f>
        <v>Abrir facsímil</v>
      </c>
      <c r="K18280" s="10" t="s">
        <v>37</v>
      </c>
    </row>
    <row r="18281" spans="1:11" ht="54" customHeight="1">
      <c r="A18281" s="9" t="s">
        <v>37125</v>
      </c>
      <c r="B18281" s="9" t="s">
        <v>37126</v>
      </c>
      <c r="C18281" s="9" t="s">
        <v>66</v>
      </c>
      <c r="D18281" s="9" t="s">
        <v>67</v>
      </c>
      <c r="E18281" s="10" t="s">
        <v>753</v>
      </c>
      <c r="F18281" s="9" t="s">
        <v>754</v>
      </c>
      <c r="G18281" s="10" t="s">
        <v>28</v>
      </c>
      <c r="H18281" s="9" t="s">
        <v>22</v>
      </c>
      <c r="I18281" s="9" t="s">
        <v>37127</v>
      </c>
      <c r="J18281" s="10" t="str">
        <f>HYPERLINK("https://www.boe.es/gazeta/dias/1834/04/21/pdfs/GMD-1834-60.pdf#page=5","Abrir facsímil")</f>
        <v>Abrir facsímil</v>
      </c>
      <c r="K18281" s="10" t="s">
        <v>24</v>
      </c>
    </row>
    <row r="18282" spans="1:11" ht="54" customHeight="1">
      <c r="A18282" s="9" t="s">
        <v>37128</v>
      </c>
      <c r="B18282" s="9" t="s">
        <v>37128</v>
      </c>
      <c r="C18282" s="9" t="s">
        <v>90</v>
      </c>
      <c r="D18282" s="9" t="s">
        <v>18</v>
      </c>
      <c r="E18282" s="10" t="s">
        <v>492</v>
      </c>
      <c r="F18282" s="9" t="s">
        <v>493</v>
      </c>
      <c r="G18282" s="10" t="s">
        <v>28</v>
      </c>
      <c r="H18282" s="9" t="s">
        <v>22</v>
      </c>
      <c r="I18282" s="9" t="s">
        <v>37129</v>
      </c>
      <c r="J18282" s="10" t="str">
        <f>HYPERLINK("https://www.boe.es/gazeta/dias/1834/11/21/pdfs/GMD-C-1834-280.pdf#page=5","Abrir facsímil")</f>
        <v>Abrir facsímil</v>
      </c>
      <c r="K18282" s="10" t="s">
        <v>24</v>
      </c>
    </row>
    <row r="18283" spans="1:11" ht="54" customHeight="1">
      <c r="A18283" s="9" t="s">
        <v>37130</v>
      </c>
      <c r="B18283" s="9" t="s">
        <v>37130</v>
      </c>
      <c r="C18283" s="9" t="s">
        <v>17</v>
      </c>
      <c r="D18283" s="9" t="s">
        <v>18</v>
      </c>
      <c r="E18283" s="10" t="s">
        <v>265</v>
      </c>
      <c r="F18283" s="9" t="s">
        <v>266</v>
      </c>
      <c r="G18283" s="10" t="s">
        <v>34</v>
      </c>
      <c r="H18283" s="9" t="s">
        <v>22</v>
      </c>
      <c r="I18283" s="9" t="s">
        <v>37131</v>
      </c>
      <c r="J18283" s="10" t="str">
        <f>HYPERLINK("https://www.boe.es/gazeta/dias/1834/11/19/pdfs/GMD-C-1834-278.pdf#page=1","Abrir facsímil")</f>
        <v>Abrir facsímil</v>
      </c>
      <c r="K18283" s="10" t="s">
        <v>24</v>
      </c>
    </row>
    <row r="18284" spans="1:11" ht="54" customHeight="1">
      <c r="A18284" s="9" t="s">
        <v>37130</v>
      </c>
      <c r="B18284" s="9" t="s">
        <v>37130</v>
      </c>
      <c r="C18284" s="9" t="s">
        <v>90</v>
      </c>
      <c r="D18284" s="9" t="s">
        <v>18</v>
      </c>
      <c r="E18284" s="10" t="s">
        <v>265</v>
      </c>
      <c r="F18284" s="9" t="s">
        <v>266</v>
      </c>
      <c r="G18284" s="10" t="s">
        <v>86</v>
      </c>
      <c r="H18284" s="9" t="s">
        <v>22</v>
      </c>
      <c r="I18284" s="9" t="s">
        <v>37132</v>
      </c>
      <c r="J18284" s="10" t="str">
        <f>HYPERLINK("https://www.boe.es/gazeta/dias/1834/11/19/pdfs/GMD-C-1834-278.pdf#page=2","Abrir facsímil")</f>
        <v>Abrir facsímil</v>
      </c>
      <c r="K18284" s="10" t="s">
        <v>24</v>
      </c>
    </row>
    <row r="18285" spans="1:11" ht="54" customHeight="1">
      <c r="A18285" s="9" t="s">
        <v>37133</v>
      </c>
      <c r="B18285" s="9" t="s">
        <v>37134</v>
      </c>
      <c r="C18285" s="9" t="s">
        <v>17</v>
      </c>
      <c r="D18285" s="9" t="s">
        <v>40</v>
      </c>
      <c r="E18285" s="10" t="s">
        <v>3036</v>
      </c>
      <c r="F18285" s="9" t="s">
        <v>3037</v>
      </c>
      <c r="G18285" s="10" t="s">
        <v>34</v>
      </c>
      <c r="H18285" s="9" t="s">
        <v>35</v>
      </c>
      <c r="I18285" s="9" t="s">
        <v>37135</v>
      </c>
      <c r="J18285" s="10" t="str">
        <f>HYPERLINK("https://www.boe.es/gazeta/dias/1834/11/18/pdfs/GMD-C-1834-277.pdf#page=1","Abrir facsímil")</f>
        <v>Abrir facsímil</v>
      </c>
      <c r="K18285" s="10" t="s">
        <v>37</v>
      </c>
    </row>
    <row r="18286" spans="1:11" ht="54" customHeight="1">
      <c r="A18286" s="9" t="s">
        <v>37133</v>
      </c>
      <c r="B18286" s="9" t="s">
        <v>37134</v>
      </c>
      <c r="C18286" s="9" t="s">
        <v>17</v>
      </c>
      <c r="D18286" s="9" t="s">
        <v>101</v>
      </c>
      <c r="E18286" s="10" t="s">
        <v>265</v>
      </c>
      <c r="F18286" s="9" t="s">
        <v>266</v>
      </c>
      <c r="G18286" s="10" t="s">
        <v>34</v>
      </c>
      <c r="H18286" s="9" t="s">
        <v>35</v>
      </c>
      <c r="I18286" s="9" t="s">
        <v>37136</v>
      </c>
      <c r="J18286" s="10" t="str">
        <f>HYPERLINK("https://www.boe.es/gazeta/dias/1834/11/19/pdfs/GMD-C-1834-278.pdf#page=1","Abrir facsímil")</f>
        <v>Abrir facsímil</v>
      </c>
      <c r="K18286" s="10" t="s">
        <v>37</v>
      </c>
    </row>
    <row r="18287" spans="1:11" ht="54" customHeight="1">
      <c r="A18287" s="9" t="s">
        <v>37137</v>
      </c>
      <c r="B18287" s="9" t="s">
        <v>37138</v>
      </c>
      <c r="C18287" s="9" t="s">
        <v>17</v>
      </c>
      <c r="D18287" s="9" t="s">
        <v>40</v>
      </c>
      <c r="E18287" s="10" t="s">
        <v>3036</v>
      </c>
      <c r="F18287" s="9" t="s">
        <v>3037</v>
      </c>
      <c r="G18287" s="10" t="s">
        <v>34</v>
      </c>
      <c r="H18287" s="9" t="s">
        <v>22</v>
      </c>
      <c r="I18287" s="9" t="s">
        <v>37139</v>
      </c>
      <c r="J18287" s="10" t="str">
        <f>HYPERLINK("https://www.boe.es/gazeta/dias/1834/11/18/pdfs/GMD-C-1834-277.pdf#page=1","Abrir facsímil")</f>
        <v>Abrir facsímil</v>
      </c>
      <c r="K18287" s="10" t="s">
        <v>24</v>
      </c>
    </row>
    <row r="18288" spans="1:11" ht="54" customHeight="1">
      <c r="A18288" s="9" t="s">
        <v>37137</v>
      </c>
      <c r="B18288" s="9" t="s">
        <v>37138</v>
      </c>
      <c r="C18288" s="9" t="s">
        <v>17</v>
      </c>
      <c r="D18288" s="9" t="s">
        <v>101</v>
      </c>
      <c r="E18288" s="10" t="s">
        <v>265</v>
      </c>
      <c r="F18288" s="9" t="s">
        <v>266</v>
      </c>
      <c r="G18288" s="10" t="s">
        <v>34</v>
      </c>
      <c r="H18288" s="9" t="s">
        <v>22</v>
      </c>
      <c r="I18288" s="9" t="s">
        <v>37140</v>
      </c>
      <c r="J18288" s="10" t="str">
        <f>HYPERLINK("https://www.boe.es/gazeta/dias/1834/11/19/pdfs/GMD-C-1834-278.pdf#page=1","Abrir facsímil")</f>
        <v>Abrir facsímil</v>
      </c>
      <c r="K18288" s="10" t="s">
        <v>24</v>
      </c>
    </row>
    <row r="18289" spans="1:11" ht="54" customHeight="1">
      <c r="A18289" s="9" t="s">
        <v>37141</v>
      </c>
      <c r="B18289" s="9" t="s">
        <v>37142</v>
      </c>
      <c r="C18289" s="9" t="s">
        <v>90</v>
      </c>
      <c r="D18289" s="9" t="s">
        <v>101</v>
      </c>
      <c r="E18289" s="10" t="s">
        <v>465</v>
      </c>
      <c r="F18289" s="9" t="s">
        <v>466</v>
      </c>
      <c r="G18289" s="10" t="s">
        <v>176</v>
      </c>
      <c r="H18289" s="9" t="s">
        <v>22</v>
      </c>
      <c r="I18289" s="9" t="s">
        <v>37143</v>
      </c>
      <c r="J18289" s="10" t="str">
        <f>HYPERLINK("https://www.boe.es/gazeta/dias/1834/11/27/pdfs/GMD-C-1834-286.pdf#page=6","Abrir facsímil")</f>
        <v>Abrir facsímil</v>
      </c>
      <c r="K18289" s="10" t="s">
        <v>24</v>
      </c>
    </row>
    <row r="18290" spans="1:11" ht="54" customHeight="1">
      <c r="A18290" s="9" t="s">
        <v>37144</v>
      </c>
      <c r="B18290" s="9" t="s">
        <v>37144</v>
      </c>
      <c r="C18290" s="9" t="s">
        <v>17</v>
      </c>
      <c r="D18290" s="9" t="s">
        <v>18</v>
      </c>
      <c r="E18290" s="10" t="s">
        <v>772</v>
      </c>
      <c r="F18290" s="9" t="s">
        <v>773</v>
      </c>
      <c r="G18290" s="10" t="s">
        <v>21</v>
      </c>
      <c r="H18290" s="9" t="s">
        <v>22</v>
      </c>
      <c r="I18290" s="9" t="s">
        <v>37145</v>
      </c>
      <c r="J18290" s="10" t="str">
        <f>HYPERLINK("https://www.boe.es/gazeta/dias/1834/09/18/pdfs/GMD-1834-216.pdf#page=3","Abrir facsímil")</f>
        <v>Abrir facsímil</v>
      </c>
      <c r="K18290" s="10" t="s">
        <v>24</v>
      </c>
    </row>
    <row r="18291" spans="1:11" ht="54" customHeight="1">
      <c r="A18291" s="9" t="s">
        <v>37146</v>
      </c>
      <c r="B18291" s="9" t="s">
        <v>37146</v>
      </c>
      <c r="C18291" s="9" t="s">
        <v>17</v>
      </c>
      <c r="D18291" s="9" t="s">
        <v>18</v>
      </c>
      <c r="E18291" s="10" t="s">
        <v>262</v>
      </c>
      <c r="F18291" s="9" t="s">
        <v>263</v>
      </c>
      <c r="G18291" s="10" t="s">
        <v>86</v>
      </c>
      <c r="H18291" s="9" t="s">
        <v>22</v>
      </c>
      <c r="I18291" s="9" t="s">
        <v>37147</v>
      </c>
      <c r="J18291" s="10" t="str">
        <f>HYPERLINK("https://www.boe.es/gazeta/dias/1834/10/18/pdfs/GMD-C-1834-246.pdf#page=2","Abrir facsímil")</f>
        <v>Abrir facsímil</v>
      </c>
      <c r="K18291" s="10" t="s">
        <v>24</v>
      </c>
    </row>
    <row r="18292" spans="1:11" ht="54" customHeight="1">
      <c r="A18292" s="9" t="s">
        <v>37148</v>
      </c>
      <c r="B18292" s="9" t="s">
        <v>37149</v>
      </c>
      <c r="C18292" s="9" t="s">
        <v>17</v>
      </c>
      <c r="D18292" s="9" t="s">
        <v>18</v>
      </c>
      <c r="E18292" s="10" t="s">
        <v>1351</v>
      </c>
      <c r="F18292" s="9" t="s">
        <v>1352</v>
      </c>
      <c r="G18292" s="10" t="s">
        <v>75</v>
      </c>
      <c r="H18292" s="9" t="s">
        <v>35</v>
      </c>
      <c r="I18292" s="9" t="s">
        <v>37150</v>
      </c>
      <c r="J18292" s="10" t="str">
        <f>HYPERLINK("https://www.boe.es/gazeta/dias/1834/07/05/pdfs/GMD-1834-138.pdf#page=4","Abrir facsímil")</f>
        <v>Abrir facsímil</v>
      </c>
      <c r="K18292" s="10" t="s">
        <v>37</v>
      </c>
    </row>
    <row r="18293" spans="1:11" ht="54" customHeight="1">
      <c r="A18293" s="9" t="s">
        <v>37151</v>
      </c>
      <c r="B18293" s="9" t="s">
        <v>37152</v>
      </c>
      <c r="C18293" s="9" t="s">
        <v>17</v>
      </c>
      <c r="D18293" s="9" t="s">
        <v>18</v>
      </c>
      <c r="E18293" s="10" t="s">
        <v>1351</v>
      </c>
      <c r="F18293" s="9" t="s">
        <v>1352</v>
      </c>
      <c r="G18293" s="10" t="s">
        <v>75</v>
      </c>
      <c r="H18293" s="9" t="s">
        <v>22</v>
      </c>
      <c r="I18293" s="9" t="s">
        <v>37153</v>
      </c>
      <c r="J18293" s="10" t="str">
        <f>HYPERLINK("https://www.boe.es/gazeta/dias/1834/07/05/pdfs/GMD-1834-138.pdf#page=4","Abrir facsímil")</f>
        <v>Abrir facsímil</v>
      </c>
      <c r="K18293" s="10" t="s">
        <v>24</v>
      </c>
    </row>
    <row r="18294" spans="1:11" ht="54" customHeight="1">
      <c r="A18294" s="9" t="s">
        <v>37154</v>
      </c>
      <c r="B18294" s="9" t="s">
        <v>37155</v>
      </c>
      <c r="C18294" s="9" t="s">
        <v>46</v>
      </c>
      <c r="D18294" s="9" t="s">
        <v>101</v>
      </c>
      <c r="E18294" s="10" t="s">
        <v>2729</v>
      </c>
      <c r="F18294" s="9" t="s">
        <v>2730</v>
      </c>
      <c r="G18294" s="10" t="s">
        <v>34</v>
      </c>
      <c r="H18294" s="9" t="s">
        <v>22</v>
      </c>
      <c r="I18294" s="9" t="s">
        <v>37156</v>
      </c>
      <c r="J18294" s="10" t="str">
        <f>HYPERLINK("https://www.boe.es/gazeta/dias/1834/07/02/pdfs/GMD-1834-135.pdf#page=1","Abrir facsímil")</f>
        <v>Abrir facsímil</v>
      </c>
      <c r="K18294" s="10" t="s">
        <v>24</v>
      </c>
    </row>
    <row r="18295" spans="1:11" ht="54" customHeight="1">
      <c r="A18295" s="9" t="s">
        <v>37154</v>
      </c>
      <c r="B18295" s="9" t="s">
        <v>37155</v>
      </c>
      <c r="C18295" s="9" t="s">
        <v>17</v>
      </c>
      <c r="D18295" s="9" t="s">
        <v>101</v>
      </c>
      <c r="E18295" s="10" t="s">
        <v>3066</v>
      </c>
      <c r="F18295" s="9" t="s">
        <v>3188</v>
      </c>
      <c r="G18295" s="10" t="s">
        <v>34</v>
      </c>
      <c r="H18295" s="9" t="s">
        <v>22</v>
      </c>
      <c r="I18295" s="9" t="s">
        <v>37157</v>
      </c>
      <c r="J18295" s="10" t="str">
        <f>HYPERLINK("https://www.boe.es/gazeta/dias/1834/08/03/pdfs/I00721-00722.pdf#page=1","Abrir facsímil")</f>
        <v>Abrir facsímil</v>
      </c>
      <c r="K18295" s="10" t="s">
        <v>24</v>
      </c>
    </row>
    <row r="18296" spans="1:11" ht="54" customHeight="1">
      <c r="A18296" s="9" t="s">
        <v>37154</v>
      </c>
      <c r="B18296" s="9" t="s">
        <v>37155</v>
      </c>
      <c r="C18296" s="9" t="s">
        <v>66</v>
      </c>
      <c r="D18296" s="9" t="s">
        <v>67</v>
      </c>
      <c r="E18296" s="10" t="s">
        <v>813</v>
      </c>
      <c r="F18296" s="9" t="s">
        <v>814</v>
      </c>
      <c r="G18296" s="10" t="s">
        <v>21</v>
      </c>
      <c r="H18296" s="9" t="s">
        <v>22</v>
      </c>
      <c r="I18296" s="9" t="s">
        <v>37158</v>
      </c>
      <c r="J18296" s="10" t="str">
        <f>HYPERLINK("https://www.boe.es/gazeta/dias/1834/08/08/pdfs/GMD-1834-173.pdf#page=3","Abrir facsímil")</f>
        <v>Abrir facsímil</v>
      </c>
      <c r="K18296" s="10" t="s">
        <v>24</v>
      </c>
    </row>
    <row r="18297" spans="1:11" ht="54" customHeight="1">
      <c r="A18297" s="9" t="s">
        <v>37159</v>
      </c>
      <c r="B18297" s="9" t="s">
        <v>37159</v>
      </c>
      <c r="C18297" s="9" t="s">
        <v>46</v>
      </c>
      <c r="D18297" s="9" t="s">
        <v>101</v>
      </c>
      <c r="E18297" s="10" t="s">
        <v>1318</v>
      </c>
      <c r="F18297" s="9" t="s">
        <v>1319</v>
      </c>
      <c r="G18297" s="10" t="s">
        <v>21</v>
      </c>
      <c r="H18297" s="9" t="s">
        <v>22</v>
      </c>
      <c r="I18297" s="9" t="s">
        <v>37160</v>
      </c>
      <c r="J18297" s="10" t="str">
        <f>HYPERLINK("https://www.boe.es/gazeta/dias/1834/05/10/pdfs/GMD-1834-79.pdf#page=3","Abrir facsímil")</f>
        <v>Abrir facsímil</v>
      </c>
      <c r="K18297" s="10" t="s">
        <v>24</v>
      </c>
    </row>
    <row r="18298" spans="1:11" ht="54" customHeight="1">
      <c r="A18298" s="9" t="s">
        <v>37161</v>
      </c>
      <c r="B18298" s="9" t="s">
        <v>37162</v>
      </c>
      <c r="C18298" s="9" t="s">
        <v>66</v>
      </c>
      <c r="D18298" s="9" t="s">
        <v>67</v>
      </c>
      <c r="E18298" s="10" t="s">
        <v>32</v>
      </c>
      <c r="F18298" s="9" t="s">
        <v>7431</v>
      </c>
      <c r="G18298" s="10" t="s">
        <v>86</v>
      </c>
      <c r="H18298" s="9" t="s">
        <v>22</v>
      </c>
      <c r="I18298" s="9" t="s">
        <v>37163</v>
      </c>
      <c r="J18298" s="10" t="str">
        <f>HYPERLINK("https://www.boe.es/gazeta/dias/1834/04/23/pdfs/GMD-C-1834-62.pdf#page=2","Abrir facsímil")</f>
        <v>Abrir facsímil</v>
      </c>
      <c r="K18298" s="10" t="s">
        <v>24</v>
      </c>
    </row>
    <row r="18299" spans="1:11" ht="54" customHeight="1">
      <c r="A18299" s="9" t="s">
        <v>37161</v>
      </c>
      <c r="B18299" s="9" t="s">
        <v>37162</v>
      </c>
      <c r="C18299" s="9" t="s">
        <v>17</v>
      </c>
      <c r="D18299" s="9" t="s">
        <v>18</v>
      </c>
      <c r="E18299" s="10" t="s">
        <v>724</v>
      </c>
      <c r="F18299" s="9" t="s">
        <v>725</v>
      </c>
      <c r="G18299" s="10" t="s">
        <v>28</v>
      </c>
      <c r="H18299" s="9" t="s">
        <v>22</v>
      </c>
      <c r="I18299" s="9" t="s">
        <v>37164</v>
      </c>
      <c r="J18299" s="10" t="str">
        <f>HYPERLINK("https://www.boe.es/gazeta/dias/1834/04/25/pdfs/GMD-1834-64.pdf#page=5","Abrir facsímil")</f>
        <v>Abrir facsímil</v>
      </c>
      <c r="K18299" s="10" t="s">
        <v>24</v>
      </c>
    </row>
    <row r="18300" spans="1:11" ht="54" customHeight="1">
      <c r="A18300" s="9" t="s">
        <v>37165</v>
      </c>
      <c r="B18300" s="9" t="s">
        <v>37166</v>
      </c>
      <c r="C18300" s="9" t="s">
        <v>66</v>
      </c>
      <c r="D18300" s="9" t="s">
        <v>67</v>
      </c>
      <c r="E18300" s="10" t="s">
        <v>2037</v>
      </c>
      <c r="F18300" s="9" t="s">
        <v>2038</v>
      </c>
      <c r="G18300" s="10" t="s">
        <v>34</v>
      </c>
      <c r="H18300" s="9" t="s">
        <v>22</v>
      </c>
      <c r="I18300" s="9" t="s">
        <v>37167</v>
      </c>
      <c r="J18300" s="10" t="str">
        <f>HYPERLINK("https://www.boe.es/gazeta/dias/1834/12/01/pdfs/I01208-01208.pdf#page=1","Abrir facsímil")</f>
        <v>Abrir facsímil</v>
      </c>
      <c r="K18300" s="10" t="s">
        <v>24</v>
      </c>
    </row>
    <row r="18301" spans="1:11" ht="54" customHeight="1">
      <c r="A18301" s="9" t="s">
        <v>37165</v>
      </c>
      <c r="B18301" s="9" t="s">
        <v>37166</v>
      </c>
      <c r="C18301" s="9" t="s">
        <v>66</v>
      </c>
      <c r="D18301" s="9" t="s">
        <v>67</v>
      </c>
      <c r="E18301" s="10" t="s">
        <v>2037</v>
      </c>
      <c r="F18301" s="9" t="s">
        <v>2038</v>
      </c>
      <c r="G18301" s="10" t="s">
        <v>75</v>
      </c>
      <c r="H18301" s="9" t="s">
        <v>22</v>
      </c>
      <c r="I18301" s="9" t="s">
        <v>37167</v>
      </c>
      <c r="J18301" s="10" t="str">
        <f>HYPERLINK("https://www.boe.es/gazeta/dias/1834/12/01/pdfs/GMD-1834-290.pdf#page=4","Abrir facsímil")</f>
        <v>Abrir facsímil</v>
      </c>
      <c r="K18301" s="10" t="s">
        <v>24</v>
      </c>
    </row>
    <row r="18302" spans="1:11" ht="54" customHeight="1">
      <c r="A18302" s="9" t="s">
        <v>37165</v>
      </c>
      <c r="B18302" s="9" t="s">
        <v>37166</v>
      </c>
      <c r="C18302" s="9" t="s">
        <v>66</v>
      </c>
      <c r="D18302" s="9" t="s">
        <v>67</v>
      </c>
      <c r="E18302" s="10" t="s">
        <v>96</v>
      </c>
      <c r="F18302" s="9" t="s">
        <v>1725</v>
      </c>
      <c r="G18302" s="10" t="s">
        <v>34</v>
      </c>
      <c r="H18302" s="9" t="s">
        <v>22</v>
      </c>
      <c r="I18302" s="9" t="s">
        <v>37168</v>
      </c>
      <c r="J18302" s="10" t="str">
        <f>HYPERLINK("https://www.boe.es/gazeta/dias/1834/11/11/pdfs/GMD-1834-270.pdf#page=1","Abrir facsímil")</f>
        <v>Abrir facsímil</v>
      </c>
      <c r="K18302" s="10" t="s">
        <v>24</v>
      </c>
    </row>
    <row r="18303" spans="1:11" ht="54" customHeight="1">
      <c r="A18303" s="9" t="s">
        <v>37169</v>
      </c>
      <c r="B18303" s="9" t="s">
        <v>37170</v>
      </c>
      <c r="C18303" s="9" t="s">
        <v>66</v>
      </c>
      <c r="D18303" s="9" t="s">
        <v>67</v>
      </c>
      <c r="E18303" s="10" t="s">
        <v>1212</v>
      </c>
      <c r="F18303" s="9" t="s">
        <v>1213</v>
      </c>
      <c r="G18303" s="10" t="s">
        <v>86</v>
      </c>
      <c r="H18303" s="9" t="s">
        <v>22</v>
      </c>
      <c r="I18303" s="9" t="s">
        <v>37171</v>
      </c>
      <c r="J18303" s="10" t="str">
        <f>HYPERLINK("https://www.boe.es/gazeta/dias/1834/05/24/pdfs/GMD-1834-93.pdf#page=2","Abrir facsímil")</f>
        <v>Abrir facsímil</v>
      </c>
      <c r="K18303" s="10" t="s">
        <v>24</v>
      </c>
    </row>
    <row r="18304" spans="1:11" ht="54" customHeight="1">
      <c r="A18304" s="9" t="s">
        <v>37172</v>
      </c>
      <c r="B18304" s="9" t="s">
        <v>37173</v>
      </c>
      <c r="C18304" s="9" t="s">
        <v>17</v>
      </c>
      <c r="D18304" s="9" t="s">
        <v>18</v>
      </c>
      <c r="E18304" s="10" t="s">
        <v>1337</v>
      </c>
      <c r="F18304" s="9" t="s">
        <v>1906</v>
      </c>
      <c r="G18304" s="10" t="s">
        <v>86</v>
      </c>
      <c r="H18304" s="9" t="s">
        <v>22</v>
      </c>
      <c r="I18304" s="9" t="s">
        <v>37174</v>
      </c>
      <c r="J18304" s="10" t="str">
        <f>HYPERLINK("https://www.boe.es/gazeta/dias/1834/01/02/pdfs/GMD-1834-2E.pdf#page=2","Abrir facsímil")</f>
        <v>Abrir facsímil</v>
      </c>
      <c r="K18304" s="10" t="s">
        <v>24</v>
      </c>
    </row>
    <row r="18305" spans="1:11" ht="54" customHeight="1">
      <c r="A18305" s="9" t="s">
        <v>37175</v>
      </c>
      <c r="B18305" s="9" t="s">
        <v>37175</v>
      </c>
      <c r="C18305" s="9" t="s">
        <v>17</v>
      </c>
      <c r="D18305" s="9" t="s">
        <v>18</v>
      </c>
      <c r="E18305" s="10" t="s">
        <v>1119</v>
      </c>
      <c r="F18305" s="9" t="s">
        <v>1120</v>
      </c>
      <c r="G18305" s="10" t="s">
        <v>75</v>
      </c>
      <c r="H18305" s="9" t="s">
        <v>22</v>
      </c>
      <c r="I18305" s="9" t="s">
        <v>37176</v>
      </c>
      <c r="J18305" s="10" t="str">
        <f>HYPERLINK("https://www.boe.es/gazeta/dias/1834/07/17/pdfs/GMD-1834-150.pdf#page=4","Abrir facsímil")</f>
        <v>Abrir facsímil</v>
      </c>
      <c r="K18305" s="10" t="s">
        <v>24</v>
      </c>
    </row>
    <row r="18306" spans="1:11" ht="54" customHeight="1">
      <c r="A18306" s="9" t="s">
        <v>37177</v>
      </c>
      <c r="B18306" s="9" t="s">
        <v>37178</v>
      </c>
      <c r="C18306" s="9" t="s">
        <v>17</v>
      </c>
      <c r="D18306" s="9" t="s">
        <v>18</v>
      </c>
      <c r="E18306" s="10" t="s">
        <v>19</v>
      </c>
      <c r="F18306" s="9" t="s">
        <v>107</v>
      </c>
      <c r="G18306" s="10" t="s">
        <v>75</v>
      </c>
      <c r="H18306" s="9" t="s">
        <v>22</v>
      </c>
      <c r="I18306" s="9" t="s">
        <v>37179</v>
      </c>
      <c r="J18306" s="10" t="str">
        <f>HYPERLINK("https://www.boe.es/gazeta/dias/1834/08/17/pdfs/GMD-1834-182.pdf#page=4","Abrir facsímil")</f>
        <v>Abrir facsímil</v>
      </c>
      <c r="K18306" s="10" t="s">
        <v>24</v>
      </c>
    </row>
    <row r="18307" spans="1:11" ht="54" customHeight="1">
      <c r="A18307" s="9" t="s">
        <v>37180</v>
      </c>
      <c r="B18307" s="9" t="s">
        <v>37181</v>
      </c>
      <c r="C18307" s="9" t="s">
        <v>17</v>
      </c>
      <c r="D18307" s="9" t="s">
        <v>18</v>
      </c>
      <c r="E18307" s="10" t="s">
        <v>378</v>
      </c>
      <c r="F18307" s="9" t="s">
        <v>888</v>
      </c>
      <c r="G18307" s="10" t="s">
        <v>34</v>
      </c>
      <c r="H18307" s="9" t="s">
        <v>22</v>
      </c>
      <c r="I18307" s="9" t="s">
        <v>37182</v>
      </c>
      <c r="J18307" s="10" t="str">
        <f>HYPERLINK("https://www.boe.es/gazeta/dias/1834/09/24/pdfs/GMD-C-1834-222.pdf#page=1","Abrir facsímil")</f>
        <v>Abrir facsímil</v>
      </c>
      <c r="K18307" s="10" t="s">
        <v>24</v>
      </c>
    </row>
    <row r="18308" spans="1:11" ht="54" customHeight="1">
      <c r="A18308" s="9" t="s">
        <v>37183</v>
      </c>
      <c r="B18308" s="9" t="s">
        <v>37183</v>
      </c>
      <c r="C18308" s="9" t="s">
        <v>17</v>
      </c>
      <c r="D18308" s="9" t="s">
        <v>18</v>
      </c>
      <c r="E18308" s="10" t="s">
        <v>4105</v>
      </c>
      <c r="F18308" s="9" t="s">
        <v>4106</v>
      </c>
      <c r="G18308" s="10" t="s">
        <v>21</v>
      </c>
      <c r="H18308" s="9" t="s">
        <v>22</v>
      </c>
      <c r="I18308" s="9" t="s">
        <v>37184</v>
      </c>
      <c r="J18308" s="10" t="str">
        <f>HYPERLINK("https://www.boe.es/gazeta/dias/1834/09/02/pdfs/GMD-C-1834-200.pdf#page=3","Abrir facsímil")</f>
        <v>Abrir facsímil</v>
      </c>
      <c r="K18308" s="10" t="s">
        <v>24</v>
      </c>
    </row>
    <row r="18309" spans="1:11" ht="54" customHeight="1">
      <c r="A18309" s="9" t="s">
        <v>37185</v>
      </c>
      <c r="B18309" s="9" t="s">
        <v>37186</v>
      </c>
      <c r="C18309" s="9" t="s">
        <v>66</v>
      </c>
      <c r="D18309" s="9" t="s">
        <v>67</v>
      </c>
      <c r="E18309" s="10" t="s">
        <v>1351</v>
      </c>
      <c r="F18309" s="9" t="s">
        <v>1352</v>
      </c>
      <c r="G18309" s="10" t="s">
        <v>75</v>
      </c>
      <c r="H18309" s="9" t="s">
        <v>35</v>
      </c>
      <c r="I18309" s="9" t="s">
        <v>37187</v>
      </c>
      <c r="J18309" s="10" t="str">
        <f>HYPERLINK("https://www.boe.es/gazeta/dias/1834/07/05/pdfs/GMD-1834-138.pdf#page=4","Abrir facsímil")</f>
        <v>Abrir facsímil</v>
      </c>
      <c r="K18309" s="10" t="s">
        <v>37</v>
      </c>
    </row>
    <row r="18310" spans="1:11" ht="54" customHeight="1">
      <c r="A18310" s="9" t="s">
        <v>37188</v>
      </c>
      <c r="B18310" s="9" t="s">
        <v>37189</v>
      </c>
      <c r="C18310" s="9" t="s">
        <v>66</v>
      </c>
      <c r="D18310" s="9" t="s">
        <v>67</v>
      </c>
      <c r="E18310" s="10" t="s">
        <v>1351</v>
      </c>
      <c r="F18310" s="9" t="s">
        <v>1352</v>
      </c>
      <c r="G18310" s="10" t="s">
        <v>75</v>
      </c>
      <c r="H18310" s="9" t="s">
        <v>22</v>
      </c>
      <c r="I18310" s="9" t="s">
        <v>37190</v>
      </c>
      <c r="J18310" s="10" t="str">
        <f>HYPERLINK("https://www.boe.es/gazeta/dias/1834/07/05/pdfs/GMD-1834-138.pdf#page=4","Abrir facsímil")</f>
        <v>Abrir facsímil</v>
      </c>
      <c r="K18310" s="10" t="s">
        <v>24</v>
      </c>
    </row>
    <row r="18311" spans="1:11" ht="54" customHeight="1">
      <c r="A18311" s="9" t="s">
        <v>37191</v>
      </c>
      <c r="B18311" s="9" t="s">
        <v>37192</v>
      </c>
      <c r="C18311" s="9" t="s">
        <v>90</v>
      </c>
      <c r="D18311" s="9" t="s">
        <v>18</v>
      </c>
      <c r="E18311" s="10" t="s">
        <v>696</v>
      </c>
      <c r="F18311" s="9" t="s">
        <v>854</v>
      </c>
      <c r="G18311" s="10" t="s">
        <v>75</v>
      </c>
      <c r="H18311" s="9" t="s">
        <v>22</v>
      </c>
      <c r="I18311" s="9" t="s">
        <v>37193</v>
      </c>
      <c r="J18311" s="10" t="str">
        <f>HYPERLINK("https://www.boe.es/gazeta/dias/1834/12/06/pdfs/GMD-1834-295.pdf#page=4","Abrir facsímil")</f>
        <v>Abrir facsímil</v>
      </c>
      <c r="K18311" s="10" t="s">
        <v>24</v>
      </c>
    </row>
    <row r="18312" spans="1:11" ht="54" customHeight="1">
      <c r="A18312" s="9" t="s">
        <v>37194</v>
      </c>
      <c r="B18312" s="9" t="s">
        <v>37194</v>
      </c>
      <c r="C18312" s="9" t="s">
        <v>17</v>
      </c>
      <c r="D18312" s="9" t="s">
        <v>18</v>
      </c>
      <c r="E18312" s="10" t="s">
        <v>576</v>
      </c>
      <c r="F18312" s="9" t="s">
        <v>577</v>
      </c>
      <c r="G18312" s="10" t="s">
        <v>86</v>
      </c>
      <c r="H18312" s="9" t="s">
        <v>22</v>
      </c>
      <c r="I18312" s="9" t="s">
        <v>37195</v>
      </c>
      <c r="J18312" s="10" t="str">
        <f>HYPERLINK("https://www.boe.es/gazeta/dias/1834/09/23/pdfs/GMD-1834-221.pdf#page=2","Abrir facsímil")</f>
        <v>Abrir facsímil</v>
      </c>
      <c r="K18312" s="10" t="s">
        <v>24</v>
      </c>
    </row>
    <row r="18313" spans="1:11" ht="54" customHeight="1">
      <c r="A18313" s="9" t="s">
        <v>37196</v>
      </c>
      <c r="B18313" s="9" t="s">
        <v>37197</v>
      </c>
      <c r="C18313" s="9" t="s">
        <v>66</v>
      </c>
      <c r="D18313" s="9" t="s">
        <v>101</v>
      </c>
      <c r="E18313" s="10" t="s">
        <v>32</v>
      </c>
      <c r="F18313" s="9" t="s">
        <v>33</v>
      </c>
      <c r="G18313" s="10" t="s">
        <v>34</v>
      </c>
      <c r="H18313" s="9" t="s">
        <v>22</v>
      </c>
      <c r="I18313" s="9" t="s">
        <v>37198</v>
      </c>
      <c r="J18313" s="10" t="str">
        <f>HYPERLINK("https://www.boe.es/gazeta/dias/1834/04/23/pdfs/GMD-1834-62.pdf#page=1","Abrir facsímil")</f>
        <v>Abrir facsímil</v>
      </c>
      <c r="K18313" s="10" t="s">
        <v>24</v>
      </c>
    </row>
    <row r="18314" spans="1:11" ht="54" customHeight="1">
      <c r="A18314" s="9" t="s">
        <v>37199</v>
      </c>
      <c r="B18314" s="9" t="s">
        <v>37200</v>
      </c>
      <c r="C18314" s="9" t="s">
        <v>17</v>
      </c>
      <c r="D18314" s="9" t="s">
        <v>18</v>
      </c>
      <c r="E18314" s="10" t="s">
        <v>1918</v>
      </c>
      <c r="F18314" s="9" t="s">
        <v>1919</v>
      </c>
      <c r="G18314" s="10" t="s">
        <v>75</v>
      </c>
      <c r="H18314" s="9" t="s">
        <v>22</v>
      </c>
      <c r="I18314" s="9" t="s">
        <v>37201</v>
      </c>
      <c r="J18314" s="10" t="str">
        <f>HYPERLINK("https://www.boe.es/gazeta/dias/1834/03/22/pdfs/GMD-1834-36.pdf#page=4","Abrir facsímil")</f>
        <v>Abrir facsímil</v>
      </c>
      <c r="K18314" s="10" t="s">
        <v>24</v>
      </c>
    </row>
    <row r="18315" spans="1:11" ht="54" customHeight="1">
      <c r="A18315" s="9" t="s">
        <v>37202</v>
      </c>
      <c r="B18315" s="9" t="s">
        <v>37203</v>
      </c>
      <c r="C18315" s="9" t="s">
        <v>66</v>
      </c>
      <c r="D18315" s="9" t="s">
        <v>67</v>
      </c>
      <c r="E18315" s="10" t="s">
        <v>378</v>
      </c>
      <c r="F18315" s="9" t="s">
        <v>379</v>
      </c>
      <c r="G18315" s="10" t="s">
        <v>21</v>
      </c>
      <c r="H18315" s="9" t="s">
        <v>22</v>
      </c>
      <c r="I18315" s="9" t="s">
        <v>37204</v>
      </c>
      <c r="J18315" s="10" t="str">
        <f>HYPERLINK("https://www.boe.es/gazeta/dias/1834/09/24/pdfs/GMD-1834-222.pdf#page=3","Abrir facsímil")</f>
        <v>Abrir facsímil</v>
      </c>
      <c r="K18315" s="10" t="s">
        <v>24</v>
      </c>
    </row>
    <row r="18316" spans="1:11" ht="54" customHeight="1">
      <c r="A18316" s="9" t="s">
        <v>37205</v>
      </c>
      <c r="B18316" s="9" t="s">
        <v>37206</v>
      </c>
      <c r="C18316" s="9" t="s">
        <v>66</v>
      </c>
      <c r="D18316" s="9" t="s">
        <v>67</v>
      </c>
      <c r="E18316" s="10" t="s">
        <v>724</v>
      </c>
      <c r="F18316" s="9" t="s">
        <v>725</v>
      </c>
      <c r="G18316" s="10" t="s">
        <v>75</v>
      </c>
      <c r="H18316" s="9" t="s">
        <v>22</v>
      </c>
      <c r="I18316" s="9" t="s">
        <v>37207</v>
      </c>
      <c r="J18316" s="10" t="str">
        <f>HYPERLINK("https://www.boe.es/gazeta/dias/1834/04/25/pdfs/GMD-1834-64.pdf#page=4","Abrir facsímil")</f>
        <v>Abrir facsímil</v>
      </c>
      <c r="K18316" s="10" t="s">
        <v>24</v>
      </c>
    </row>
    <row r="18317" spans="1:11" ht="54" customHeight="1">
      <c r="A18317" s="9" t="s">
        <v>37208</v>
      </c>
      <c r="B18317" s="9" t="s">
        <v>37209</v>
      </c>
      <c r="C18317" s="9" t="s">
        <v>66</v>
      </c>
      <c r="D18317" s="9" t="s">
        <v>67</v>
      </c>
      <c r="E18317" s="10" t="s">
        <v>724</v>
      </c>
      <c r="F18317" s="9" t="s">
        <v>725</v>
      </c>
      <c r="G18317" s="10" t="s">
        <v>75</v>
      </c>
      <c r="H18317" s="9" t="s">
        <v>35</v>
      </c>
      <c r="I18317" s="9" t="s">
        <v>37210</v>
      </c>
      <c r="J18317" s="10" t="str">
        <f>HYPERLINK("https://www.boe.es/gazeta/dias/1834/04/25/pdfs/GMD-1834-64.pdf#page=4","Abrir facsímil")</f>
        <v>Abrir facsímil</v>
      </c>
      <c r="K18317" s="10" t="s">
        <v>37</v>
      </c>
    </row>
    <row r="18318" spans="1:11" ht="54" customHeight="1">
      <c r="A18318" s="9" t="s">
        <v>37211</v>
      </c>
      <c r="B18318" s="9" t="s">
        <v>37212</v>
      </c>
      <c r="C18318" s="9" t="s">
        <v>17</v>
      </c>
      <c r="D18318" s="9" t="s">
        <v>18</v>
      </c>
      <c r="E18318" s="10" t="s">
        <v>808</v>
      </c>
      <c r="F18318" s="9" t="s">
        <v>809</v>
      </c>
      <c r="G18318" s="10" t="s">
        <v>75</v>
      </c>
      <c r="H18318" s="9" t="s">
        <v>22</v>
      </c>
      <c r="I18318" s="9" t="s">
        <v>37213</v>
      </c>
      <c r="J18318" s="10" t="str">
        <f>HYPERLINK("https://www.boe.es/gazeta/dias/1834/10/11/pdfs/GMD-1834-239.pdf#page=4","Abrir facsímil")</f>
        <v>Abrir facsímil</v>
      </c>
      <c r="K18318" s="10" t="s">
        <v>24</v>
      </c>
    </row>
    <row r="18319" spans="1:11" ht="54" customHeight="1">
      <c r="A18319" s="9" t="s">
        <v>37214</v>
      </c>
      <c r="B18319" s="9" t="s">
        <v>37215</v>
      </c>
      <c r="C18319" s="9" t="s">
        <v>17</v>
      </c>
      <c r="D18319" s="9" t="s">
        <v>18</v>
      </c>
      <c r="E18319" s="10" t="s">
        <v>563</v>
      </c>
      <c r="F18319" s="9" t="s">
        <v>564</v>
      </c>
      <c r="G18319" s="10" t="s">
        <v>34</v>
      </c>
      <c r="H18319" s="9" t="s">
        <v>22</v>
      </c>
      <c r="I18319" s="9" t="s">
        <v>37216</v>
      </c>
      <c r="J18319" s="10" t="str">
        <f>HYPERLINK("https://www.boe.es/gazeta/dias/1834/04/19/pdfs/GMD-1834-58.pdf#page=1","Abrir facsímil")</f>
        <v>Abrir facsímil</v>
      </c>
      <c r="K18319" s="10" t="s">
        <v>24</v>
      </c>
    </row>
    <row r="18320" spans="1:11" ht="54" customHeight="1">
      <c r="A18320" s="9" t="s">
        <v>37217</v>
      </c>
      <c r="B18320" s="9" t="s">
        <v>37218</v>
      </c>
      <c r="C18320" s="9" t="s">
        <v>17</v>
      </c>
      <c r="D18320" s="9" t="s">
        <v>18</v>
      </c>
      <c r="E18320" s="10" t="s">
        <v>3083</v>
      </c>
      <c r="F18320" s="9" t="s">
        <v>3084</v>
      </c>
      <c r="G18320" s="10" t="s">
        <v>21</v>
      </c>
      <c r="H18320" s="9" t="s">
        <v>35</v>
      </c>
      <c r="I18320" s="9" t="s">
        <v>37219</v>
      </c>
      <c r="J18320" s="10" t="str">
        <f>HYPERLINK("https://www.boe.es/gazeta/dias/1834/10/30/pdfs/GMD-1834-258.pdf#page=3","Abrir facsímil")</f>
        <v>Abrir facsímil</v>
      </c>
      <c r="K18320" s="10" t="s">
        <v>37</v>
      </c>
    </row>
    <row r="18321" spans="1:11" ht="54" customHeight="1">
      <c r="A18321" s="9" t="s">
        <v>37220</v>
      </c>
      <c r="B18321" s="9" t="s">
        <v>37221</v>
      </c>
      <c r="C18321" s="9" t="s">
        <v>17</v>
      </c>
      <c r="D18321" s="9" t="s">
        <v>18</v>
      </c>
      <c r="E18321" s="10" t="s">
        <v>3083</v>
      </c>
      <c r="F18321" s="9" t="s">
        <v>3084</v>
      </c>
      <c r="G18321" s="10" t="s">
        <v>21</v>
      </c>
      <c r="H18321" s="9" t="s">
        <v>22</v>
      </c>
      <c r="I18321" s="9" t="s">
        <v>37222</v>
      </c>
      <c r="J18321" s="10" t="str">
        <f>HYPERLINK("https://www.boe.es/gazeta/dias/1834/10/30/pdfs/GMD-1834-258.pdf#page=3","Abrir facsímil")</f>
        <v>Abrir facsímil</v>
      </c>
      <c r="K18321" s="10" t="s">
        <v>24</v>
      </c>
    </row>
    <row r="18322" spans="1:11" ht="54" customHeight="1">
      <c r="A18322" s="9" t="s">
        <v>37223</v>
      </c>
      <c r="B18322" s="9" t="s">
        <v>37224</v>
      </c>
      <c r="C18322" s="9" t="s">
        <v>17</v>
      </c>
      <c r="D18322" s="9" t="s">
        <v>18</v>
      </c>
      <c r="E18322" s="10" t="s">
        <v>976</v>
      </c>
      <c r="F18322" s="9" t="s">
        <v>1061</v>
      </c>
      <c r="G18322" s="10" t="s">
        <v>34</v>
      </c>
      <c r="H18322" s="9" t="s">
        <v>22</v>
      </c>
      <c r="I18322" s="9" t="s">
        <v>37225</v>
      </c>
      <c r="J18322" s="10" t="str">
        <f>HYPERLINK("https://www.boe.es/gazeta/dias/1834/04/02/pdfs/GMD-C-1834-41.pdf#page=1","Abrir facsímil")</f>
        <v>Abrir facsímil</v>
      </c>
      <c r="K18322" s="10" t="s">
        <v>24</v>
      </c>
    </row>
    <row r="18323" spans="1:11" ht="54" customHeight="1">
      <c r="A18323" s="9" t="s">
        <v>37226</v>
      </c>
      <c r="B18323" s="9" t="s">
        <v>37226</v>
      </c>
      <c r="C18323" s="9" t="s">
        <v>90</v>
      </c>
      <c r="D18323" s="9" t="s">
        <v>18</v>
      </c>
      <c r="E18323" s="10" t="s">
        <v>707</v>
      </c>
      <c r="F18323" s="9" t="s">
        <v>1359</v>
      </c>
      <c r="G18323" s="10" t="s">
        <v>86</v>
      </c>
      <c r="H18323" s="9" t="s">
        <v>22</v>
      </c>
      <c r="I18323" s="9" t="s">
        <v>37227</v>
      </c>
      <c r="J18323" s="10" t="str">
        <f>HYPERLINK("https://www.boe.es/gazeta/dias/1834/11/25/pdfs/GMD-1834-284.pdf#page=2","Abrir facsímil")</f>
        <v>Abrir facsímil</v>
      </c>
      <c r="K18323" s="10" t="s">
        <v>24</v>
      </c>
    </row>
    <row r="18324" spans="1:11" ht="54" customHeight="1">
      <c r="A18324" s="9" t="s">
        <v>37228</v>
      </c>
      <c r="B18324" s="9" t="s">
        <v>37229</v>
      </c>
      <c r="C18324" s="9" t="s">
        <v>17</v>
      </c>
      <c r="D18324" s="9" t="s">
        <v>101</v>
      </c>
      <c r="E18324" s="10" t="s">
        <v>403</v>
      </c>
      <c r="F18324" s="9" t="s">
        <v>3456</v>
      </c>
      <c r="G18324" s="10" t="s">
        <v>21</v>
      </c>
      <c r="H18324" s="9" t="s">
        <v>35</v>
      </c>
      <c r="I18324" s="9" t="s">
        <v>37230</v>
      </c>
      <c r="J18324" s="10" t="str">
        <f>HYPERLINK("https://www.boe.es/gazeta/dias/1834/09/25/pdfs/GMD-1834-223.pdf#page=3","Abrir facsímil")</f>
        <v>Abrir facsímil</v>
      </c>
      <c r="K18324" s="10" t="s">
        <v>37</v>
      </c>
    </row>
    <row r="18325" spans="1:11" ht="54" customHeight="1">
      <c r="A18325" s="9" t="s">
        <v>37231</v>
      </c>
      <c r="B18325" s="9" t="s">
        <v>37232</v>
      </c>
      <c r="C18325" s="9" t="s">
        <v>17</v>
      </c>
      <c r="D18325" s="9" t="s">
        <v>101</v>
      </c>
      <c r="E18325" s="10" t="s">
        <v>403</v>
      </c>
      <c r="F18325" s="9" t="s">
        <v>3456</v>
      </c>
      <c r="G18325" s="10" t="s">
        <v>21</v>
      </c>
      <c r="H18325" s="9" t="s">
        <v>22</v>
      </c>
      <c r="I18325" s="9" t="s">
        <v>37233</v>
      </c>
      <c r="J18325" s="10" t="str">
        <f>HYPERLINK("https://www.boe.es/gazeta/dias/1834/09/25/pdfs/GMD-1834-223.pdf#page=3","Abrir facsímil")</f>
        <v>Abrir facsímil</v>
      </c>
      <c r="K18325" s="10" t="s">
        <v>24</v>
      </c>
    </row>
    <row r="18326" spans="1:11" ht="54" customHeight="1">
      <c r="A18326" s="9" t="s">
        <v>37234</v>
      </c>
      <c r="B18326" s="9" t="s">
        <v>37234</v>
      </c>
      <c r="C18326" s="9" t="s">
        <v>17</v>
      </c>
      <c r="D18326" s="9" t="s">
        <v>55</v>
      </c>
      <c r="E18326" s="10" t="s">
        <v>715</v>
      </c>
      <c r="F18326" s="9" t="s">
        <v>716</v>
      </c>
      <c r="G18326" s="10" t="s">
        <v>176</v>
      </c>
      <c r="H18326" s="9" t="s">
        <v>22</v>
      </c>
      <c r="I18326" s="9" t="s">
        <v>37235</v>
      </c>
      <c r="J18326" s="10" t="str">
        <f>HYPERLINK("https://www.boe.es/gazeta/dias/1834/09/17/pdfs/GMD-C-1834-215.pdf#page=6","Abrir facsímil")</f>
        <v>Abrir facsímil</v>
      </c>
      <c r="K18326" s="10" t="s">
        <v>24</v>
      </c>
    </row>
    <row r="18327" spans="1:11" ht="54" customHeight="1">
      <c r="A18327" s="9" t="s">
        <v>37236</v>
      </c>
      <c r="B18327" s="9" t="s">
        <v>37236</v>
      </c>
      <c r="C18327" s="9" t="s">
        <v>17</v>
      </c>
      <c r="D18327" s="9" t="s">
        <v>18</v>
      </c>
      <c r="E18327" s="10" t="s">
        <v>1008</v>
      </c>
      <c r="F18327" s="9" t="s">
        <v>1009</v>
      </c>
      <c r="G18327" s="10" t="s">
        <v>86</v>
      </c>
      <c r="H18327" s="9" t="s">
        <v>22</v>
      </c>
      <c r="I18327" s="9" t="s">
        <v>37237</v>
      </c>
      <c r="J18327" s="10" t="str">
        <f>HYPERLINK("https://www.boe.es/gazeta/dias/1834/11/08/pdfs/GMD-C-1834-267.pdf#page=2","Abrir facsímil")</f>
        <v>Abrir facsímil</v>
      </c>
      <c r="K18327" s="10" t="s">
        <v>24</v>
      </c>
    </row>
    <row r="18328" spans="1:11" ht="54" customHeight="1">
      <c r="A18328" s="9" t="s">
        <v>37236</v>
      </c>
      <c r="B18328" s="9" t="s">
        <v>37236</v>
      </c>
      <c r="C18328" s="9" t="s">
        <v>46</v>
      </c>
      <c r="D18328" s="9" t="s">
        <v>55</v>
      </c>
      <c r="E18328" s="10" t="s">
        <v>672</v>
      </c>
      <c r="F18328" s="9" t="s">
        <v>1055</v>
      </c>
      <c r="G18328" s="10" t="s">
        <v>470</v>
      </c>
      <c r="H18328" s="9" t="s">
        <v>22</v>
      </c>
      <c r="I18328" s="9" t="s">
        <v>37238</v>
      </c>
      <c r="J18328" s="10" t="str">
        <f>HYPERLINK("https://www.boe.es/gazeta/dias/1834/09/19/pdfs/GMD-C-1834-217.pdf#page=8","Abrir facsímil")</f>
        <v>Abrir facsímil</v>
      </c>
      <c r="K18328" s="10" t="s">
        <v>24</v>
      </c>
    </row>
    <row r="18329" spans="1:11" ht="54" customHeight="1">
      <c r="A18329" s="9" t="s">
        <v>37239</v>
      </c>
      <c r="B18329" s="9" t="s">
        <v>37239</v>
      </c>
      <c r="C18329" s="9" t="s">
        <v>90</v>
      </c>
      <c r="D18329" s="9" t="s">
        <v>18</v>
      </c>
      <c r="E18329" s="10" t="s">
        <v>844</v>
      </c>
      <c r="F18329" s="9" t="s">
        <v>845</v>
      </c>
      <c r="G18329" s="10" t="s">
        <v>86</v>
      </c>
      <c r="H18329" s="9" t="s">
        <v>22</v>
      </c>
      <c r="I18329" s="9" t="s">
        <v>37240</v>
      </c>
      <c r="J18329" s="10" t="str">
        <f>HYPERLINK("https://www.boe.es/gazeta/dias/1834/03/13/pdfs/GMD-1834-32.pdf#page=2","Abrir facsímil")</f>
        <v>Abrir facsímil</v>
      </c>
      <c r="K18329" s="10" t="s">
        <v>24</v>
      </c>
    </row>
    <row r="18330" spans="1:11" ht="54" customHeight="1">
      <c r="A18330" s="9" t="s">
        <v>37241</v>
      </c>
      <c r="B18330" s="9" t="s">
        <v>37242</v>
      </c>
      <c r="C18330" s="9" t="s">
        <v>17</v>
      </c>
      <c r="D18330" s="9" t="s">
        <v>18</v>
      </c>
      <c r="E18330" s="10" t="s">
        <v>1850</v>
      </c>
      <c r="F18330" s="9" t="s">
        <v>1851</v>
      </c>
      <c r="G18330" s="10" t="s">
        <v>21</v>
      </c>
      <c r="H18330" s="9" t="s">
        <v>22</v>
      </c>
      <c r="I18330" s="9" t="s">
        <v>37243</v>
      </c>
      <c r="J18330" s="10" t="str">
        <f>HYPERLINK("https://www.boe.es/gazeta/dias/1834/02/18/pdfs/GMD-1834-22.pdf#page=3","Abrir facsímil")</f>
        <v>Abrir facsímil</v>
      </c>
      <c r="K18330" s="10" t="s">
        <v>24</v>
      </c>
    </row>
    <row r="18331" spans="1:11" ht="54" customHeight="1">
      <c r="A18331" s="9" t="s">
        <v>37244</v>
      </c>
      <c r="B18331" s="9" t="s">
        <v>37245</v>
      </c>
      <c r="C18331" s="9" t="s">
        <v>66</v>
      </c>
      <c r="D18331" s="9" t="s">
        <v>67</v>
      </c>
      <c r="E18331" s="10" t="s">
        <v>32</v>
      </c>
      <c r="F18331" s="9" t="s">
        <v>33</v>
      </c>
      <c r="G18331" s="10" t="s">
        <v>75</v>
      </c>
      <c r="H18331" s="9" t="s">
        <v>22</v>
      </c>
      <c r="I18331" s="9" t="s">
        <v>37246</v>
      </c>
      <c r="J18331" s="10" t="str">
        <f>HYPERLINK("https://www.boe.es/gazeta/dias/1834/04/23/pdfs/GMD-1834-62.pdf#page=4","Abrir facsímil")</f>
        <v>Abrir facsímil</v>
      </c>
      <c r="K18331" s="10" t="s">
        <v>24</v>
      </c>
    </row>
    <row r="18332" spans="1:11" ht="54" customHeight="1">
      <c r="A18332" s="9" t="s">
        <v>37244</v>
      </c>
      <c r="B18332" s="9" t="s">
        <v>37245</v>
      </c>
      <c r="C18332" s="9" t="s">
        <v>17</v>
      </c>
      <c r="D18332" s="9" t="s">
        <v>18</v>
      </c>
      <c r="E18332" s="10" t="s">
        <v>2107</v>
      </c>
      <c r="F18332" s="9" t="s">
        <v>2108</v>
      </c>
      <c r="G18332" s="10" t="s">
        <v>75</v>
      </c>
      <c r="H18332" s="9" t="s">
        <v>22</v>
      </c>
      <c r="I18332" s="9" t="s">
        <v>37247</v>
      </c>
      <c r="J18332" s="10" t="str">
        <f>HYPERLINK("https://www.boe.es/gazeta/dias/1834/08/24/pdfs/GMD-1834-190.pdf#page=4","Abrir facsímil")</f>
        <v>Abrir facsímil</v>
      </c>
      <c r="K18332" s="10" t="s">
        <v>24</v>
      </c>
    </row>
    <row r="18333" spans="1:11" ht="54" customHeight="1">
      <c r="A18333" s="9" t="s">
        <v>37248</v>
      </c>
      <c r="B18333" s="9" t="s">
        <v>37249</v>
      </c>
      <c r="C18333" s="9" t="s">
        <v>90</v>
      </c>
      <c r="D18333" s="9" t="s">
        <v>18</v>
      </c>
      <c r="E18333" s="10" t="s">
        <v>905</v>
      </c>
      <c r="F18333" s="9" t="s">
        <v>1651</v>
      </c>
      <c r="G18333" s="10" t="s">
        <v>21</v>
      </c>
      <c r="H18333" s="9" t="s">
        <v>22</v>
      </c>
      <c r="I18333" s="9" t="s">
        <v>37250</v>
      </c>
      <c r="J18333" s="10" t="str">
        <f>HYPERLINK("https://www.boe.es/gazeta/dias/1834/08/02/pdfs/GMD-1834-166.pdf#page=3","Abrir facsímil")</f>
        <v>Abrir facsímil</v>
      </c>
      <c r="K18333" s="10" t="s">
        <v>24</v>
      </c>
    </row>
    <row r="18334" spans="1:11" ht="54" customHeight="1">
      <c r="A18334" s="9" t="s">
        <v>37251</v>
      </c>
      <c r="B18334" s="9" t="s">
        <v>37252</v>
      </c>
      <c r="C18334" s="9" t="s">
        <v>17</v>
      </c>
      <c r="D18334" s="9" t="s">
        <v>40</v>
      </c>
      <c r="E18334" s="10" t="s">
        <v>128</v>
      </c>
      <c r="F18334" s="9" t="s">
        <v>1068</v>
      </c>
      <c r="G18334" s="10" t="s">
        <v>75</v>
      </c>
      <c r="H18334" s="9" t="s">
        <v>35</v>
      </c>
      <c r="I18334" s="9" t="s">
        <v>37253</v>
      </c>
      <c r="J18334" s="10" t="str">
        <f>HYPERLINK("https://www.boe.es/gazeta/dias/1834/12/24/pdfs/GMD-1834-314.pdf#page=4","Abrir facsímil")</f>
        <v>Abrir facsímil</v>
      </c>
      <c r="K18334" s="10" t="s">
        <v>37</v>
      </c>
    </row>
    <row r="18335" spans="1:11" ht="54" customHeight="1">
      <c r="A18335" s="9" t="s">
        <v>37254</v>
      </c>
      <c r="B18335" s="9" t="s">
        <v>37255</v>
      </c>
      <c r="C18335" s="9" t="s">
        <v>17</v>
      </c>
      <c r="D18335" s="9" t="s">
        <v>40</v>
      </c>
      <c r="E18335" s="10" t="s">
        <v>128</v>
      </c>
      <c r="F18335" s="9" t="s">
        <v>1068</v>
      </c>
      <c r="G18335" s="10" t="s">
        <v>75</v>
      </c>
      <c r="H18335" s="9" t="s">
        <v>22</v>
      </c>
      <c r="I18335" s="9" t="s">
        <v>37256</v>
      </c>
      <c r="J18335" s="10" t="str">
        <f>HYPERLINK("https://www.boe.es/gazeta/dias/1834/12/24/pdfs/GMD-1834-314.pdf#page=4","Abrir facsímil")</f>
        <v>Abrir facsímil</v>
      </c>
      <c r="K18335" s="10" t="s">
        <v>24</v>
      </c>
    </row>
    <row r="18336" spans="1:11" ht="54" customHeight="1">
      <c r="A18336" s="9" t="s">
        <v>37257</v>
      </c>
      <c r="B18336" s="9" t="s">
        <v>37257</v>
      </c>
      <c r="C18336" s="9" t="s">
        <v>17</v>
      </c>
      <c r="D18336" s="9" t="s">
        <v>55</v>
      </c>
      <c r="E18336" s="10" t="s">
        <v>79</v>
      </c>
      <c r="F18336" s="9" t="s">
        <v>80</v>
      </c>
      <c r="G18336" s="10" t="s">
        <v>21</v>
      </c>
      <c r="H18336" s="9" t="s">
        <v>22</v>
      </c>
      <c r="I18336" s="9" t="s">
        <v>37258</v>
      </c>
      <c r="J18336" s="10" t="str">
        <f>HYPERLINK("https://www.boe.es/gazeta/dias/1834/07/12/pdfs/GMD-1834-145.pdf#page=3","Abrir facsímil")</f>
        <v>Abrir facsímil</v>
      </c>
      <c r="K18336" s="10" t="s">
        <v>24</v>
      </c>
    </row>
    <row r="18337" spans="1:11" ht="54" customHeight="1">
      <c r="A18337" s="9" t="s">
        <v>37259</v>
      </c>
      <c r="B18337" s="9" t="s">
        <v>37260</v>
      </c>
      <c r="C18337" s="9" t="s">
        <v>17</v>
      </c>
      <c r="D18337" s="9" t="s">
        <v>18</v>
      </c>
      <c r="E18337" s="10" t="s">
        <v>734</v>
      </c>
      <c r="F18337" s="9" t="s">
        <v>735</v>
      </c>
      <c r="G18337" s="10" t="s">
        <v>21</v>
      </c>
      <c r="H18337" s="9" t="s">
        <v>22</v>
      </c>
      <c r="I18337" s="9" t="s">
        <v>37261</v>
      </c>
      <c r="J18337" s="10" t="str">
        <f>HYPERLINK("https://www.boe.es/gazeta/dias/1834/05/06/pdfs/GMD-1834-75.pdf#page=3","Abrir facsímil")</f>
        <v>Abrir facsímil</v>
      </c>
      <c r="K18337" s="10" t="s">
        <v>24</v>
      </c>
    </row>
    <row r="18338" spans="1:11" ht="54" customHeight="1">
      <c r="A18338" s="9" t="s">
        <v>37262</v>
      </c>
      <c r="B18338" s="9" t="s">
        <v>37263</v>
      </c>
      <c r="C18338" s="9" t="s">
        <v>17</v>
      </c>
      <c r="D18338" s="9" t="s">
        <v>18</v>
      </c>
      <c r="E18338" s="10" t="s">
        <v>905</v>
      </c>
      <c r="F18338" s="9" t="s">
        <v>1651</v>
      </c>
      <c r="G18338" s="10" t="s">
        <v>21</v>
      </c>
      <c r="H18338" s="9" t="s">
        <v>22</v>
      </c>
      <c r="I18338" s="9" t="s">
        <v>37264</v>
      </c>
      <c r="J18338" s="10" t="str">
        <f>HYPERLINK("https://www.boe.es/gazeta/dias/1834/08/02/pdfs/GMD-1834-166.pdf#page=3","Abrir facsímil")</f>
        <v>Abrir facsímil</v>
      </c>
      <c r="K18338" s="10" t="s">
        <v>24</v>
      </c>
    </row>
    <row r="18339" spans="1:11" ht="54" customHeight="1">
      <c r="A18339" s="9" t="s">
        <v>37265</v>
      </c>
      <c r="B18339" s="9" t="s">
        <v>37265</v>
      </c>
      <c r="C18339" s="9" t="s">
        <v>66</v>
      </c>
      <c r="D18339" s="9" t="s">
        <v>67</v>
      </c>
      <c r="E18339" s="10" t="s">
        <v>899</v>
      </c>
      <c r="F18339" s="9" t="s">
        <v>900</v>
      </c>
      <c r="G18339" s="10" t="s">
        <v>560</v>
      </c>
      <c r="H18339" s="9" t="s">
        <v>22</v>
      </c>
      <c r="I18339" s="9" t="s">
        <v>37266</v>
      </c>
      <c r="J18339" s="10" t="str">
        <f>HYPERLINK("https://www.boe.es/gazeta/dias/1834/01/30/pdfs/GMD-1834-14.pdf#page=7","Abrir facsímil")</f>
        <v>Abrir facsímil</v>
      </c>
      <c r="K18339" s="10" t="s">
        <v>24</v>
      </c>
    </row>
    <row r="18340" spans="1:11" ht="54" customHeight="1">
      <c r="A18340" s="9" t="s">
        <v>37267</v>
      </c>
      <c r="B18340" s="9" t="s">
        <v>37267</v>
      </c>
      <c r="C18340" s="9" t="s">
        <v>46</v>
      </c>
      <c r="D18340" s="9" t="s">
        <v>101</v>
      </c>
      <c r="E18340" s="10" t="s">
        <v>2302</v>
      </c>
      <c r="F18340" s="9" t="s">
        <v>2303</v>
      </c>
      <c r="G18340" s="10" t="s">
        <v>86</v>
      </c>
      <c r="H18340" s="9" t="s">
        <v>22</v>
      </c>
      <c r="I18340" s="9" t="s">
        <v>37268</v>
      </c>
      <c r="J18340" s="10" t="str">
        <f>HYPERLINK("https://www.boe.es/gazeta/dias/1834/01/25/pdfs/GMD-1834-12.pdf#page=2","Abrir facsímil")</f>
        <v>Abrir facsímil</v>
      </c>
      <c r="K18340" s="10" t="s">
        <v>24</v>
      </c>
    </row>
    <row r="18341" spans="1:11" ht="54" customHeight="1">
      <c r="A18341" s="9" t="s">
        <v>37269</v>
      </c>
      <c r="B18341" s="9" t="s">
        <v>37269</v>
      </c>
      <c r="C18341" s="9" t="s">
        <v>17</v>
      </c>
      <c r="D18341" s="9" t="s">
        <v>18</v>
      </c>
      <c r="E18341" s="10" t="s">
        <v>73</v>
      </c>
      <c r="F18341" s="9" t="s">
        <v>74</v>
      </c>
      <c r="G18341" s="10" t="s">
        <v>34</v>
      </c>
      <c r="H18341" s="9" t="s">
        <v>22</v>
      </c>
      <c r="I18341" s="9" t="s">
        <v>37270</v>
      </c>
      <c r="J18341" s="10" t="str">
        <f>HYPERLINK("https://www.boe.es/gazeta/dias/1834/11/04/pdfs/GMD-1834-263.pdf#page=1","Abrir facsímil")</f>
        <v>Abrir facsímil</v>
      </c>
      <c r="K18341" s="10" t="s">
        <v>24</v>
      </c>
    </row>
    <row r="18342" spans="1:11" ht="54" customHeight="1">
      <c r="A18342" s="9" t="s">
        <v>37271</v>
      </c>
      <c r="B18342" s="9" t="s">
        <v>37271</v>
      </c>
      <c r="C18342" s="9" t="s">
        <v>17</v>
      </c>
      <c r="D18342" s="9" t="s">
        <v>18</v>
      </c>
      <c r="E18342" s="10" t="s">
        <v>610</v>
      </c>
      <c r="F18342" s="9" t="s">
        <v>1374</v>
      </c>
      <c r="G18342" s="10" t="s">
        <v>75</v>
      </c>
      <c r="H18342" s="9" t="s">
        <v>22</v>
      </c>
      <c r="I18342" s="9" t="s">
        <v>37272</v>
      </c>
      <c r="J18342" s="10" t="str">
        <f>HYPERLINK("https://www.boe.es/gazeta/dias/1834/12/21/pdfs/GMD-1834-311.pdf#page=4","Abrir facsímil")</f>
        <v>Abrir facsímil</v>
      </c>
      <c r="K18342" s="10" t="s">
        <v>24</v>
      </c>
    </row>
    <row r="18343" spans="1:11" ht="54" customHeight="1">
      <c r="A18343" s="9" t="s">
        <v>37273</v>
      </c>
      <c r="B18343" s="9" t="s">
        <v>37273</v>
      </c>
      <c r="C18343" s="9" t="s">
        <v>17</v>
      </c>
      <c r="D18343" s="9" t="s">
        <v>18</v>
      </c>
      <c r="E18343" s="10" t="s">
        <v>928</v>
      </c>
      <c r="F18343" s="9" t="s">
        <v>929</v>
      </c>
      <c r="G18343" s="10" t="s">
        <v>75</v>
      </c>
      <c r="H18343" s="9" t="s">
        <v>22</v>
      </c>
      <c r="I18343" s="9" t="s">
        <v>37274</v>
      </c>
      <c r="J18343" s="10" t="str">
        <f>HYPERLINK("https://www.boe.es/gazeta/dias/1834/11/15/pdfs/GMD-C-1834-274.pdf#page=4","Abrir facsímil")</f>
        <v>Abrir facsímil</v>
      </c>
      <c r="K18343" s="10" t="s">
        <v>24</v>
      </c>
    </row>
    <row r="18344" spans="1:11" ht="54" customHeight="1">
      <c r="A18344" s="9" t="s">
        <v>37275</v>
      </c>
      <c r="B18344" s="9" t="s">
        <v>37275</v>
      </c>
      <c r="C18344" s="9" t="s">
        <v>46</v>
      </c>
      <c r="D18344" s="9" t="s">
        <v>101</v>
      </c>
      <c r="E18344" s="10" t="s">
        <v>416</v>
      </c>
      <c r="F18344" s="9" t="s">
        <v>417</v>
      </c>
      <c r="G18344" s="10" t="s">
        <v>86</v>
      </c>
      <c r="H18344" s="9" t="s">
        <v>22</v>
      </c>
      <c r="I18344" s="9" t="s">
        <v>37276</v>
      </c>
      <c r="J18344" s="10" t="str">
        <f>HYPERLINK("https://www.boe.es/gazeta/dias/1834/10/02/pdfs/GMD-C-1834-230.pdf#page=2","Abrir facsímil")</f>
        <v>Abrir facsímil</v>
      </c>
      <c r="K18344" s="10" t="s">
        <v>24</v>
      </c>
    </row>
    <row r="18345" spans="1:11" ht="54" customHeight="1">
      <c r="A18345" s="9" t="s">
        <v>37275</v>
      </c>
      <c r="B18345" s="9" t="s">
        <v>37275</v>
      </c>
      <c r="C18345" s="9" t="s">
        <v>66</v>
      </c>
      <c r="D18345" s="9" t="s">
        <v>67</v>
      </c>
      <c r="E18345" s="10" t="s">
        <v>642</v>
      </c>
      <c r="F18345" s="9" t="s">
        <v>643</v>
      </c>
      <c r="G18345" s="10" t="s">
        <v>176</v>
      </c>
      <c r="H18345" s="9" t="s">
        <v>22</v>
      </c>
      <c r="I18345" s="9" t="s">
        <v>37277</v>
      </c>
      <c r="J18345" s="10" t="str">
        <f>HYPERLINK("https://www.boe.es/gazeta/dias/1834/11/12/pdfs/GMD-C-1834-271.pdf#page=6","Abrir facsímil")</f>
        <v>Abrir facsímil</v>
      </c>
      <c r="K18345" s="10" t="s">
        <v>24</v>
      </c>
    </row>
    <row r="18346" spans="1:11" ht="54" customHeight="1">
      <c r="A18346" s="9" t="s">
        <v>37275</v>
      </c>
      <c r="B18346" s="9" t="s">
        <v>37275</v>
      </c>
      <c r="C18346" s="9" t="s">
        <v>17</v>
      </c>
      <c r="D18346" s="9" t="s">
        <v>55</v>
      </c>
      <c r="E18346" s="10" t="s">
        <v>642</v>
      </c>
      <c r="F18346" s="9" t="s">
        <v>643</v>
      </c>
      <c r="G18346" s="10" t="s">
        <v>560</v>
      </c>
      <c r="H18346" s="9" t="s">
        <v>22</v>
      </c>
      <c r="I18346" s="9" t="s">
        <v>37278</v>
      </c>
      <c r="J18346" s="10" t="str">
        <f>HYPERLINK("https://www.boe.es/gazeta/dias/1834/11/12/pdfs/GMD-C-1834-271.pdf#page=7","Abrir facsímil")</f>
        <v>Abrir facsímil</v>
      </c>
      <c r="K18346" s="10" t="s">
        <v>24</v>
      </c>
    </row>
    <row r="18347" spans="1:11" ht="54" customHeight="1">
      <c r="A18347" s="9" t="s">
        <v>37275</v>
      </c>
      <c r="B18347" s="9" t="s">
        <v>37275</v>
      </c>
      <c r="C18347" s="9" t="s">
        <v>17</v>
      </c>
      <c r="D18347" s="9" t="s">
        <v>18</v>
      </c>
      <c r="E18347" s="10" t="s">
        <v>928</v>
      </c>
      <c r="F18347" s="9" t="s">
        <v>929</v>
      </c>
      <c r="G18347" s="10" t="s">
        <v>75</v>
      </c>
      <c r="H18347" s="9" t="s">
        <v>22</v>
      </c>
      <c r="I18347" s="9" t="s">
        <v>37279</v>
      </c>
      <c r="J18347" s="10" t="str">
        <f>HYPERLINK("https://www.boe.es/gazeta/dias/1834/11/15/pdfs/GMD-C-1834-274.pdf#page=4","Abrir facsímil")</f>
        <v>Abrir facsímil</v>
      </c>
      <c r="K18347" s="10" t="s">
        <v>24</v>
      </c>
    </row>
    <row r="18348" spans="1:11" ht="54" customHeight="1">
      <c r="A18348" s="9" t="s">
        <v>37275</v>
      </c>
      <c r="B18348" s="9" t="s">
        <v>37275</v>
      </c>
      <c r="C18348" s="9" t="s">
        <v>46</v>
      </c>
      <c r="D18348" s="9" t="s">
        <v>18</v>
      </c>
      <c r="E18348" s="10" t="s">
        <v>3036</v>
      </c>
      <c r="F18348" s="9" t="s">
        <v>3037</v>
      </c>
      <c r="G18348" s="10" t="s">
        <v>75</v>
      </c>
      <c r="H18348" s="9" t="s">
        <v>22</v>
      </c>
      <c r="I18348" s="9" t="s">
        <v>37280</v>
      </c>
      <c r="J18348" s="10" t="str">
        <f>HYPERLINK("https://www.boe.es/gazeta/dias/1834/11/18/pdfs/GMD-C-1834-277.pdf#page=4","Abrir facsímil")</f>
        <v>Abrir facsímil</v>
      </c>
      <c r="K18348" s="10" t="s">
        <v>24</v>
      </c>
    </row>
    <row r="18349" spans="1:11" ht="54" customHeight="1">
      <c r="A18349" s="9" t="s">
        <v>37275</v>
      </c>
      <c r="B18349" s="9" t="s">
        <v>37275</v>
      </c>
      <c r="C18349" s="9" t="s">
        <v>17</v>
      </c>
      <c r="D18349" s="9" t="s">
        <v>18</v>
      </c>
      <c r="E18349" s="10" t="s">
        <v>1973</v>
      </c>
      <c r="F18349" s="9" t="s">
        <v>1974</v>
      </c>
      <c r="G18349" s="10" t="s">
        <v>34</v>
      </c>
      <c r="H18349" s="9" t="s">
        <v>22</v>
      </c>
      <c r="I18349" s="9" t="s">
        <v>37281</v>
      </c>
      <c r="J18349" s="10" t="str">
        <f>HYPERLINK("https://www.boe.es/gazeta/dias/1834/12/20/pdfs/GMD-C-1834-310.pdf#page=1","Abrir facsímil")</f>
        <v>Abrir facsímil</v>
      </c>
      <c r="K18349" s="10" t="s">
        <v>24</v>
      </c>
    </row>
    <row r="18350" spans="1:11" ht="54" customHeight="1">
      <c r="A18350" s="9" t="s">
        <v>37275</v>
      </c>
      <c r="B18350" s="9" t="s">
        <v>37275</v>
      </c>
      <c r="C18350" s="9" t="s">
        <v>17</v>
      </c>
      <c r="D18350" s="9" t="s">
        <v>18</v>
      </c>
      <c r="E18350" s="10" t="s">
        <v>492</v>
      </c>
      <c r="F18350" s="9" t="s">
        <v>493</v>
      </c>
      <c r="G18350" s="10" t="s">
        <v>34</v>
      </c>
      <c r="H18350" s="9" t="s">
        <v>22</v>
      </c>
      <c r="I18350" s="9" t="s">
        <v>37282</v>
      </c>
      <c r="J18350" s="10" t="str">
        <f>HYPERLINK("https://www.boe.es/gazeta/dias/1834/11/21/pdfs/GMD-C-1834-280.pdf#page=1","Abrir facsímil")</f>
        <v>Abrir facsímil</v>
      </c>
      <c r="K18350" s="10" t="s">
        <v>24</v>
      </c>
    </row>
    <row r="18351" spans="1:11" ht="54" customHeight="1">
      <c r="A18351" s="9" t="s">
        <v>37275</v>
      </c>
      <c r="B18351" s="9" t="s">
        <v>37275</v>
      </c>
      <c r="C18351" s="9" t="s">
        <v>17</v>
      </c>
      <c r="D18351" s="9" t="s">
        <v>18</v>
      </c>
      <c r="E18351" s="10" t="s">
        <v>627</v>
      </c>
      <c r="F18351" s="9" t="s">
        <v>628</v>
      </c>
      <c r="G18351" s="10" t="s">
        <v>86</v>
      </c>
      <c r="H18351" s="9" t="s">
        <v>22</v>
      </c>
      <c r="I18351" s="9" t="s">
        <v>37283</v>
      </c>
      <c r="J18351" s="10" t="str">
        <f>HYPERLINK("https://www.boe.es/gazeta/dias/1834/09/22/pdfs/GMD-C-1834-220.pdf#page=2","Abrir facsímil")</f>
        <v>Abrir facsímil</v>
      </c>
      <c r="K18351" s="10" t="s">
        <v>24</v>
      </c>
    </row>
    <row r="18352" spans="1:11" ht="54" customHeight="1">
      <c r="A18352" s="9" t="s">
        <v>37275</v>
      </c>
      <c r="B18352" s="9" t="s">
        <v>37275</v>
      </c>
      <c r="C18352" s="9" t="s">
        <v>46</v>
      </c>
      <c r="D18352" s="9" t="s">
        <v>55</v>
      </c>
      <c r="E18352" s="10" t="s">
        <v>394</v>
      </c>
      <c r="F18352" s="9" t="s">
        <v>459</v>
      </c>
      <c r="G18352" s="10" t="s">
        <v>75</v>
      </c>
      <c r="H18352" s="9" t="s">
        <v>22</v>
      </c>
      <c r="I18352" s="9" t="s">
        <v>37284</v>
      </c>
      <c r="J18352" s="10" t="str">
        <f>HYPERLINK("https://www.boe.es/gazeta/dias/1834/12/23/pdfs/GMD-C-1834-313.pdf#page=4","Abrir facsímil")</f>
        <v>Abrir facsímil</v>
      </c>
      <c r="K18352" s="10" t="s">
        <v>24</v>
      </c>
    </row>
    <row r="18353" spans="1:11" ht="54" customHeight="1">
      <c r="A18353" s="9" t="s">
        <v>37275</v>
      </c>
      <c r="B18353" s="9" t="s">
        <v>37275</v>
      </c>
      <c r="C18353" s="9" t="s">
        <v>17</v>
      </c>
      <c r="D18353" s="9" t="s">
        <v>18</v>
      </c>
      <c r="E18353" s="10" t="s">
        <v>394</v>
      </c>
      <c r="F18353" s="9" t="s">
        <v>459</v>
      </c>
      <c r="G18353" s="10" t="s">
        <v>28</v>
      </c>
      <c r="H18353" s="9" t="s">
        <v>22</v>
      </c>
      <c r="I18353" s="9" t="s">
        <v>37285</v>
      </c>
      <c r="J18353" s="10" t="str">
        <f>HYPERLINK("https://www.boe.es/gazeta/dias/1834/12/23/pdfs/GMD-C-1834-313.pdf#page=5","Abrir facsímil")</f>
        <v>Abrir facsímil</v>
      </c>
      <c r="K18353" s="10" t="s">
        <v>24</v>
      </c>
    </row>
    <row r="18354" spans="1:11" ht="54" customHeight="1">
      <c r="A18354" s="9" t="s">
        <v>37286</v>
      </c>
      <c r="B18354" s="9" t="s">
        <v>37286</v>
      </c>
      <c r="C18354" s="9" t="s">
        <v>17</v>
      </c>
      <c r="D18354" s="9" t="s">
        <v>40</v>
      </c>
      <c r="E18354" s="10" t="s">
        <v>3036</v>
      </c>
      <c r="F18354" s="9" t="s">
        <v>3037</v>
      </c>
      <c r="G18354" s="10" t="s">
        <v>34</v>
      </c>
      <c r="H18354" s="9" t="s">
        <v>22</v>
      </c>
      <c r="I18354" s="9" t="s">
        <v>37287</v>
      </c>
      <c r="J18354" s="10" t="str">
        <f>HYPERLINK("https://www.boe.es/gazeta/dias/1834/11/18/pdfs/GMD-C-1834-277.pdf#page=1","Abrir facsímil")</f>
        <v>Abrir facsímil</v>
      </c>
      <c r="K18354" s="10" t="s">
        <v>24</v>
      </c>
    </row>
    <row r="18355" spans="1:11" ht="54" customHeight="1">
      <c r="A18355" s="9" t="s">
        <v>37288</v>
      </c>
      <c r="B18355" s="9" t="s">
        <v>37289</v>
      </c>
      <c r="C18355" s="9" t="s">
        <v>122</v>
      </c>
      <c r="D18355" s="9" t="s">
        <v>18</v>
      </c>
      <c r="E18355" s="10" t="s">
        <v>1505</v>
      </c>
      <c r="F18355" s="9" t="s">
        <v>1506</v>
      </c>
      <c r="G18355" s="10" t="s">
        <v>75</v>
      </c>
      <c r="H18355" s="9" t="s">
        <v>22</v>
      </c>
      <c r="I18355" s="9" t="s">
        <v>37290</v>
      </c>
      <c r="J18355" s="10" t="str">
        <f>HYPERLINK("https://www.boe.es/gazeta/dias/1834/05/08/pdfs/GMD-1834-77.pdf#page=4","Abrir facsímil")</f>
        <v>Abrir facsímil</v>
      </c>
      <c r="K18355" s="10" t="s">
        <v>24</v>
      </c>
    </row>
    <row r="18356" spans="1:11" ht="54" customHeight="1">
      <c r="A18356" s="9" t="s">
        <v>37291</v>
      </c>
      <c r="B18356" s="9" t="s">
        <v>37291</v>
      </c>
      <c r="C18356" s="9" t="s">
        <v>66</v>
      </c>
      <c r="D18356" s="9" t="s">
        <v>67</v>
      </c>
      <c r="E18356" s="10" t="s">
        <v>658</v>
      </c>
      <c r="F18356" s="9" t="s">
        <v>659</v>
      </c>
      <c r="G18356" s="10" t="s">
        <v>86</v>
      </c>
      <c r="H18356" s="9" t="s">
        <v>22</v>
      </c>
      <c r="I18356" s="9" t="s">
        <v>37292</v>
      </c>
      <c r="J18356" s="10" t="str">
        <f>HYPERLINK("https://www.boe.es/gazeta/dias/1834/05/26/pdfs/GMD-1834-95.pdf#page=2","Abrir facsímil")</f>
        <v>Abrir facsímil</v>
      </c>
      <c r="K18356" s="10" t="s">
        <v>24</v>
      </c>
    </row>
    <row r="18357" spans="1:11" ht="54" customHeight="1">
      <c r="A18357" s="9" t="s">
        <v>37293</v>
      </c>
      <c r="B18357" s="9" t="s">
        <v>37293</v>
      </c>
      <c r="C18357" s="9" t="s">
        <v>17</v>
      </c>
      <c r="D18357" s="9" t="s">
        <v>18</v>
      </c>
      <c r="E18357" s="10" t="s">
        <v>1337</v>
      </c>
      <c r="F18357" s="9" t="s">
        <v>1906</v>
      </c>
      <c r="G18357" s="10" t="s">
        <v>86</v>
      </c>
      <c r="H18357" s="9" t="s">
        <v>22</v>
      </c>
      <c r="I18357" s="9" t="s">
        <v>37294</v>
      </c>
      <c r="J18357" s="10" t="str">
        <f>HYPERLINK("https://www.boe.es/gazeta/dias/1834/01/02/pdfs/GMD-1834-2E.pdf#page=2","Abrir facsímil")</f>
        <v>Abrir facsímil</v>
      </c>
      <c r="K18357" s="10" t="s">
        <v>24</v>
      </c>
    </row>
    <row r="18358" spans="1:11" ht="54" customHeight="1">
      <c r="A18358" s="9" t="s">
        <v>37295</v>
      </c>
      <c r="B18358" s="9" t="s">
        <v>37296</v>
      </c>
      <c r="C18358" s="9" t="s">
        <v>90</v>
      </c>
      <c r="D18358" s="9" t="s">
        <v>18</v>
      </c>
      <c r="E18358" s="10" t="s">
        <v>299</v>
      </c>
      <c r="F18358" s="9" t="s">
        <v>2255</v>
      </c>
      <c r="G18358" s="10" t="s">
        <v>28</v>
      </c>
      <c r="H18358" s="9" t="s">
        <v>22</v>
      </c>
      <c r="I18358" s="9" t="s">
        <v>37297</v>
      </c>
      <c r="J18358" s="10" t="str">
        <f>HYPERLINK("https://www.boe.es/gazeta/dias/1834/12/12/pdfs/GMD-C-1834-301.pdf#page=5","Abrir facsímil")</f>
        <v>Abrir facsímil</v>
      </c>
      <c r="K18358" s="10" t="s">
        <v>24</v>
      </c>
    </row>
    <row r="18359" spans="1:11" ht="54" customHeight="1">
      <c r="A18359" s="9" t="s">
        <v>37298</v>
      </c>
      <c r="B18359" s="9" t="s">
        <v>37299</v>
      </c>
      <c r="C18359" s="9" t="s">
        <v>66</v>
      </c>
      <c r="D18359" s="9" t="s">
        <v>67</v>
      </c>
      <c r="E18359" s="10" t="s">
        <v>1351</v>
      </c>
      <c r="F18359" s="9" t="s">
        <v>1352</v>
      </c>
      <c r="G18359" s="10" t="s">
        <v>75</v>
      </c>
      <c r="H18359" s="9" t="s">
        <v>35</v>
      </c>
      <c r="I18359" s="9" t="s">
        <v>37300</v>
      </c>
      <c r="J18359" s="10" t="str">
        <f>HYPERLINK("https://www.boe.es/gazeta/dias/1834/07/05/pdfs/GMD-1834-138.pdf#page=4","Abrir facsímil")</f>
        <v>Abrir facsímil</v>
      </c>
      <c r="K18359" s="10" t="s">
        <v>37</v>
      </c>
    </row>
    <row r="18360" spans="1:11" ht="54" customHeight="1">
      <c r="A18360" s="9" t="s">
        <v>37301</v>
      </c>
      <c r="B18360" s="9" t="s">
        <v>37302</v>
      </c>
      <c r="C18360" s="9" t="s">
        <v>17</v>
      </c>
      <c r="D18360" s="9" t="s">
        <v>18</v>
      </c>
      <c r="E18360" s="10" t="s">
        <v>299</v>
      </c>
      <c r="F18360" s="9" t="s">
        <v>2255</v>
      </c>
      <c r="G18360" s="10" t="s">
        <v>28</v>
      </c>
      <c r="H18360" s="9" t="s">
        <v>22</v>
      </c>
      <c r="I18360" s="9" t="s">
        <v>37303</v>
      </c>
      <c r="J18360" s="10" t="str">
        <f>HYPERLINK("https://www.boe.es/gazeta/dias/1834/12/12/pdfs/GMD-C-1834-301.pdf#page=5","Abrir facsímil")</f>
        <v>Abrir facsímil</v>
      </c>
      <c r="K18360" s="10" t="s">
        <v>24</v>
      </c>
    </row>
    <row r="18361" spans="1:11" ht="54" customHeight="1">
      <c r="A18361" s="9" t="s">
        <v>37304</v>
      </c>
      <c r="B18361" s="9" t="s">
        <v>37305</v>
      </c>
      <c r="C18361" s="9" t="s">
        <v>17</v>
      </c>
      <c r="D18361" s="9" t="s">
        <v>18</v>
      </c>
      <c r="E18361" s="10" t="s">
        <v>663</v>
      </c>
      <c r="F18361" s="9" t="s">
        <v>664</v>
      </c>
      <c r="G18361" s="10" t="s">
        <v>21</v>
      </c>
      <c r="H18361" s="9" t="s">
        <v>22</v>
      </c>
      <c r="I18361" s="9" t="s">
        <v>37306</v>
      </c>
      <c r="J18361" s="10" t="str">
        <f>HYPERLINK("https://www.boe.es/gazeta/dias/1834/07/16/pdfs/GMD-1834-149.pdf#page=3","Abrir facsímil")</f>
        <v>Abrir facsímil</v>
      </c>
      <c r="K18361" s="10" t="s">
        <v>24</v>
      </c>
    </row>
    <row r="18362" spans="1:11" ht="54" customHeight="1">
      <c r="A18362" s="9" t="s">
        <v>37307</v>
      </c>
      <c r="B18362" s="9" t="s">
        <v>37308</v>
      </c>
      <c r="C18362" s="9" t="s">
        <v>17</v>
      </c>
      <c r="D18362" s="9" t="s">
        <v>18</v>
      </c>
      <c r="E18362" s="10" t="s">
        <v>1424</v>
      </c>
      <c r="F18362" s="9" t="s">
        <v>1425</v>
      </c>
      <c r="G18362" s="10" t="s">
        <v>34</v>
      </c>
      <c r="H18362" s="9" t="s">
        <v>22</v>
      </c>
      <c r="I18362" s="9" t="s">
        <v>37309</v>
      </c>
      <c r="J18362" s="10" t="str">
        <f>HYPERLINK("https://www.boe.es/gazeta/dias/1834/11/14/pdfs/GMD-C-1834-273.pdf#page=1","Abrir facsímil")</f>
        <v>Abrir facsímil</v>
      </c>
      <c r="K18362" s="10" t="s">
        <v>24</v>
      </c>
    </row>
    <row r="18363" spans="1:11" ht="54" customHeight="1">
      <c r="A18363" s="9" t="s">
        <v>37310</v>
      </c>
      <c r="B18363" s="9" t="s">
        <v>37311</v>
      </c>
      <c r="C18363" s="9" t="s">
        <v>17</v>
      </c>
      <c r="D18363" s="9" t="s">
        <v>40</v>
      </c>
      <c r="E18363" s="10" t="s">
        <v>183</v>
      </c>
      <c r="F18363" s="9" t="s">
        <v>184</v>
      </c>
      <c r="G18363" s="10" t="s">
        <v>21</v>
      </c>
      <c r="H18363" s="9" t="s">
        <v>22</v>
      </c>
      <c r="I18363" s="9" t="s">
        <v>37312</v>
      </c>
      <c r="J18363" s="10" t="str">
        <f>HYPERLINK("https://www.boe.es/gazeta/dias/1834/03/18/pdfs/GMD-1834-34.pdf#page=3","Abrir facsímil")</f>
        <v>Abrir facsímil</v>
      </c>
      <c r="K18363" s="10" t="s">
        <v>24</v>
      </c>
    </row>
    <row r="18364" spans="1:11" ht="54" customHeight="1">
      <c r="A18364" s="9" t="s">
        <v>37313</v>
      </c>
      <c r="B18364" s="9" t="s">
        <v>37314</v>
      </c>
      <c r="C18364" s="9" t="s">
        <v>17</v>
      </c>
      <c r="D18364" s="9" t="s">
        <v>18</v>
      </c>
      <c r="E18364" s="10" t="s">
        <v>1597</v>
      </c>
      <c r="F18364" s="9" t="s">
        <v>1598</v>
      </c>
      <c r="G18364" s="10" t="s">
        <v>21</v>
      </c>
      <c r="H18364" s="9" t="s">
        <v>35</v>
      </c>
      <c r="I18364" s="9" t="s">
        <v>37315</v>
      </c>
      <c r="J18364" s="10" t="str">
        <f>HYPERLINK("https://www.boe.es/gazeta/dias/1834/10/03/pdfs/GMD-1834-231.pdf#page=3","Abrir facsímil")</f>
        <v>Abrir facsímil</v>
      </c>
      <c r="K18364" s="10" t="s">
        <v>37</v>
      </c>
    </row>
    <row r="18365" spans="1:11" ht="54" customHeight="1">
      <c r="A18365" s="9" t="s">
        <v>37316</v>
      </c>
      <c r="B18365" s="9" t="s">
        <v>37317</v>
      </c>
      <c r="C18365" s="9" t="s">
        <v>17</v>
      </c>
      <c r="D18365" s="9" t="s">
        <v>18</v>
      </c>
      <c r="E18365" s="10" t="s">
        <v>1597</v>
      </c>
      <c r="F18365" s="9" t="s">
        <v>1598</v>
      </c>
      <c r="G18365" s="10" t="s">
        <v>21</v>
      </c>
      <c r="H18365" s="9" t="s">
        <v>22</v>
      </c>
      <c r="I18365" s="9" t="s">
        <v>37318</v>
      </c>
      <c r="J18365" s="10" t="str">
        <f>HYPERLINK("https://www.boe.es/gazeta/dias/1834/10/03/pdfs/GMD-1834-231.pdf#page=3","Abrir facsímil")</f>
        <v>Abrir facsímil</v>
      </c>
      <c r="K18365" s="10" t="s">
        <v>24</v>
      </c>
    </row>
    <row r="18366" spans="1:11" ht="54" customHeight="1">
      <c r="A18366" s="9" t="s">
        <v>37319</v>
      </c>
      <c r="B18366" s="9" t="s">
        <v>37320</v>
      </c>
      <c r="C18366" s="9" t="s">
        <v>17</v>
      </c>
      <c r="D18366" s="9" t="s">
        <v>18</v>
      </c>
      <c r="E18366" s="10" t="s">
        <v>1597</v>
      </c>
      <c r="F18366" s="9" t="s">
        <v>1598</v>
      </c>
      <c r="G18366" s="10" t="s">
        <v>21</v>
      </c>
      <c r="H18366" s="9" t="s">
        <v>22</v>
      </c>
      <c r="I18366" s="9" t="s">
        <v>37321</v>
      </c>
      <c r="J18366" s="10" t="str">
        <f>HYPERLINK("https://www.boe.es/gazeta/dias/1834/10/03/pdfs/GMD-1834-231.pdf#page=3","Abrir facsímil")</f>
        <v>Abrir facsímil</v>
      </c>
      <c r="K18366" s="10" t="s">
        <v>24</v>
      </c>
    </row>
    <row r="18367" spans="1:11" ht="54" customHeight="1">
      <c r="A18367" s="9" t="s">
        <v>37322</v>
      </c>
      <c r="B18367" s="9" t="s">
        <v>37323</v>
      </c>
      <c r="C18367" s="9" t="s">
        <v>122</v>
      </c>
      <c r="D18367" s="9" t="s">
        <v>55</v>
      </c>
      <c r="E18367" s="10" t="s">
        <v>3207</v>
      </c>
      <c r="F18367" s="9" t="s">
        <v>3208</v>
      </c>
      <c r="G18367" s="10" t="s">
        <v>21</v>
      </c>
      <c r="H18367" s="9" t="s">
        <v>22</v>
      </c>
      <c r="I18367" s="9" t="s">
        <v>37324</v>
      </c>
      <c r="J18367" s="10" t="str">
        <f>HYPERLINK("https://www.boe.es/gazeta/dias/1834/10/13/pdfs/GMD-1834-241.pdf#page=3","Abrir facsímil")</f>
        <v>Abrir facsímil</v>
      </c>
      <c r="K18367" s="10" t="s">
        <v>24</v>
      </c>
    </row>
    <row r="18368" spans="1:11" ht="54" customHeight="1">
      <c r="A18368" s="9" t="s">
        <v>37325</v>
      </c>
      <c r="B18368" s="9" t="s">
        <v>37326</v>
      </c>
      <c r="C18368" s="9" t="s">
        <v>17</v>
      </c>
      <c r="D18368" s="9" t="s">
        <v>18</v>
      </c>
      <c r="E18368" s="10" t="s">
        <v>416</v>
      </c>
      <c r="F18368" s="9" t="s">
        <v>1130</v>
      </c>
      <c r="G18368" s="10" t="s">
        <v>86</v>
      </c>
      <c r="H18368" s="9" t="s">
        <v>22</v>
      </c>
      <c r="I18368" s="9" t="s">
        <v>37327</v>
      </c>
      <c r="J18368" s="10" t="str">
        <f>HYPERLINK("https://www.boe.es/gazeta/dias/1834/10/02/pdfs/GMD-1834-230.pdf#page=2","Abrir facsímil")</f>
        <v>Abrir facsímil</v>
      </c>
      <c r="K18368" s="10" t="s">
        <v>24</v>
      </c>
    </row>
    <row r="18369" spans="1:11" ht="54" customHeight="1">
      <c r="A18369" s="9" t="s">
        <v>37325</v>
      </c>
      <c r="B18369" s="9" t="s">
        <v>37326</v>
      </c>
      <c r="C18369" s="9" t="s">
        <v>66</v>
      </c>
      <c r="D18369" s="9" t="s">
        <v>67</v>
      </c>
      <c r="E18369" s="10" t="s">
        <v>3083</v>
      </c>
      <c r="F18369" s="9" t="s">
        <v>3084</v>
      </c>
      <c r="G18369" s="10" t="s">
        <v>21</v>
      </c>
      <c r="H18369" s="9" t="s">
        <v>22</v>
      </c>
      <c r="I18369" s="9" t="s">
        <v>37328</v>
      </c>
      <c r="J18369" s="10" t="str">
        <f>HYPERLINK("https://www.boe.es/gazeta/dias/1834/10/30/pdfs/GMD-1834-258.pdf#page=3","Abrir facsímil")</f>
        <v>Abrir facsímil</v>
      </c>
      <c r="K18369" s="10" t="s">
        <v>24</v>
      </c>
    </row>
    <row r="18370" spans="1:11" ht="54" customHeight="1">
      <c r="A18370" s="9" t="s">
        <v>37329</v>
      </c>
      <c r="B18370" s="9" t="s">
        <v>37330</v>
      </c>
      <c r="C18370" s="9" t="s">
        <v>17</v>
      </c>
      <c r="D18370" s="9" t="s">
        <v>101</v>
      </c>
      <c r="E18370" s="10" t="s">
        <v>860</v>
      </c>
      <c r="F18370" s="9" t="s">
        <v>861</v>
      </c>
      <c r="G18370" s="10" t="s">
        <v>176</v>
      </c>
      <c r="H18370" s="9" t="s">
        <v>22</v>
      </c>
      <c r="I18370" s="9" t="s">
        <v>37331</v>
      </c>
      <c r="J18370" s="10" t="str">
        <f>HYPERLINK("https://www.boe.es/gazeta/dias/1834/02/08/pdfs/GMD-1834-18.pdf#page=6","Abrir facsímil")</f>
        <v>Abrir facsímil</v>
      </c>
      <c r="K18370" s="10" t="s">
        <v>24</v>
      </c>
    </row>
    <row r="18371" spans="1:11" ht="54" customHeight="1">
      <c r="A18371" s="9" t="s">
        <v>37332</v>
      </c>
      <c r="B18371" s="9" t="s">
        <v>37333</v>
      </c>
      <c r="C18371" s="9" t="s">
        <v>122</v>
      </c>
      <c r="D18371" s="9" t="s">
        <v>18</v>
      </c>
      <c r="E18371" s="10" t="s">
        <v>61</v>
      </c>
      <c r="F18371" s="9" t="s">
        <v>205</v>
      </c>
      <c r="G18371" s="10" t="s">
        <v>21</v>
      </c>
      <c r="H18371" s="9" t="s">
        <v>22</v>
      </c>
      <c r="I18371" s="9" t="s">
        <v>37334</v>
      </c>
      <c r="J18371" s="10" t="str">
        <f>HYPERLINK("https://www.boe.es/gazeta/dias/1834/06/08/pdfs/GMD-1834-110.pdf#page=3","Abrir facsímil")</f>
        <v>Abrir facsímil</v>
      </c>
      <c r="K18371" s="10" t="s">
        <v>24</v>
      </c>
    </row>
    <row r="18372" spans="1:11" ht="54" customHeight="1">
      <c r="A18372" s="9" t="s">
        <v>37335</v>
      </c>
      <c r="B18372" s="9" t="s">
        <v>37336</v>
      </c>
      <c r="C18372" s="9" t="s">
        <v>122</v>
      </c>
      <c r="D18372" s="9" t="s">
        <v>18</v>
      </c>
      <c r="E18372" s="10" t="s">
        <v>61</v>
      </c>
      <c r="F18372" s="9" t="s">
        <v>205</v>
      </c>
      <c r="G18372" s="10" t="s">
        <v>21</v>
      </c>
      <c r="H18372" s="9" t="s">
        <v>35</v>
      </c>
      <c r="I18372" s="9" t="s">
        <v>37337</v>
      </c>
      <c r="J18372" s="10" t="str">
        <f>HYPERLINK("https://www.boe.es/gazeta/dias/1834/06/08/pdfs/GMD-1834-110.pdf#page=3","Abrir facsímil")</f>
        <v>Abrir facsímil</v>
      </c>
      <c r="K18372" s="10" t="s">
        <v>37</v>
      </c>
    </row>
    <row r="18373" spans="1:11" ht="54" customHeight="1">
      <c r="A18373" s="9" t="s">
        <v>37338</v>
      </c>
      <c r="B18373" s="9" t="s">
        <v>37338</v>
      </c>
      <c r="C18373" s="9" t="s">
        <v>17</v>
      </c>
      <c r="D18373" s="9" t="s">
        <v>18</v>
      </c>
      <c r="E18373" s="10" t="s">
        <v>1025</v>
      </c>
      <c r="F18373" s="9" t="s">
        <v>1026</v>
      </c>
      <c r="G18373" s="10" t="s">
        <v>21</v>
      </c>
      <c r="H18373" s="9" t="s">
        <v>22</v>
      </c>
      <c r="I18373" s="9" t="s">
        <v>37339</v>
      </c>
      <c r="J18373" s="10" t="str">
        <f>HYPERLINK("https://www.boe.es/gazeta/dias/1834/03/01/pdfs/GMD-1834-27.pdf#page=3","Abrir facsímil")</f>
        <v>Abrir facsímil</v>
      </c>
      <c r="K18373" s="10" t="s">
        <v>24</v>
      </c>
    </row>
    <row r="18374" spans="1:11" ht="54" customHeight="1">
      <c r="A18374" s="9" t="s">
        <v>37340</v>
      </c>
      <c r="B18374" s="9" t="s">
        <v>37340</v>
      </c>
      <c r="C18374" s="9" t="s">
        <v>46</v>
      </c>
      <c r="D18374" s="9" t="s">
        <v>18</v>
      </c>
      <c r="E18374" s="10" t="s">
        <v>1025</v>
      </c>
      <c r="F18374" s="9" t="s">
        <v>1026</v>
      </c>
      <c r="G18374" s="10" t="s">
        <v>21</v>
      </c>
      <c r="H18374" s="9" t="s">
        <v>22</v>
      </c>
      <c r="I18374" s="9" t="s">
        <v>37341</v>
      </c>
      <c r="J18374" s="10" t="str">
        <f>HYPERLINK("https://www.boe.es/gazeta/dias/1834/03/01/pdfs/GMD-1834-27.pdf#page=3","Abrir facsímil")</f>
        <v>Abrir facsímil</v>
      </c>
      <c r="K18374" s="10" t="s">
        <v>24</v>
      </c>
    </row>
    <row r="18375" spans="1:11" ht="54" customHeight="1">
      <c r="A18375" s="9" t="s">
        <v>37340</v>
      </c>
      <c r="B18375" s="9" t="s">
        <v>37340</v>
      </c>
      <c r="C18375" s="9" t="s">
        <v>46</v>
      </c>
      <c r="D18375" s="9" t="s">
        <v>18</v>
      </c>
      <c r="E18375" s="10" t="s">
        <v>506</v>
      </c>
      <c r="F18375" s="9" t="s">
        <v>507</v>
      </c>
      <c r="G18375" s="10" t="s">
        <v>75</v>
      </c>
      <c r="H18375" s="9" t="s">
        <v>22</v>
      </c>
      <c r="I18375" s="9" t="s">
        <v>37342</v>
      </c>
      <c r="J18375" s="10" t="str">
        <f>HYPERLINK("https://www.boe.es/gazeta/dias/1834/03/04/pdfs/GMD-1834-28.pdf#page=4","Abrir facsímil")</f>
        <v>Abrir facsímil</v>
      </c>
      <c r="K18375" s="10" t="s">
        <v>24</v>
      </c>
    </row>
    <row r="18376" spans="1:11" ht="54" customHeight="1">
      <c r="A18376" s="9" t="s">
        <v>37343</v>
      </c>
      <c r="B18376" s="9" t="s">
        <v>37344</v>
      </c>
      <c r="C18376" s="9" t="s">
        <v>122</v>
      </c>
      <c r="D18376" s="9" t="s">
        <v>18</v>
      </c>
      <c r="E18376" s="10" t="s">
        <v>280</v>
      </c>
      <c r="F18376" s="9" t="s">
        <v>3217</v>
      </c>
      <c r="G18376" s="10" t="s">
        <v>75</v>
      </c>
      <c r="H18376" s="9" t="s">
        <v>22</v>
      </c>
      <c r="I18376" s="9" t="s">
        <v>37345</v>
      </c>
      <c r="J18376" s="10" t="str">
        <f>HYPERLINK("https://www.boe.es/gazeta/dias/1834/08/29/pdfs/GMD-1834-195.pdf#page=4","Abrir facsímil")</f>
        <v>Abrir facsímil</v>
      </c>
      <c r="K18376" s="10" t="s">
        <v>24</v>
      </c>
    </row>
    <row r="18377" spans="1:11" ht="54" customHeight="1">
      <c r="A18377" s="9" t="s">
        <v>37346</v>
      </c>
      <c r="B18377" s="9" t="s">
        <v>37347</v>
      </c>
      <c r="C18377" s="9" t="s">
        <v>17</v>
      </c>
      <c r="D18377" s="9" t="s">
        <v>18</v>
      </c>
      <c r="E18377" s="10" t="s">
        <v>981</v>
      </c>
      <c r="F18377" s="9" t="s">
        <v>982</v>
      </c>
      <c r="G18377" s="10" t="s">
        <v>34</v>
      </c>
      <c r="H18377" s="9" t="s">
        <v>22</v>
      </c>
      <c r="I18377" s="9" t="s">
        <v>37348</v>
      </c>
      <c r="J18377" s="10" t="str">
        <f>HYPERLINK("https://www.boe.es/gazeta/dias/1834/09/21/pdfs/GMD-1834-219.pdf#page=1","Abrir facsímil")</f>
        <v>Abrir facsímil</v>
      </c>
      <c r="K18377" s="10" t="s">
        <v>24</v>
      </c>
    </row>
    <row r="18378" spans="1:11" ht="54" customHeight="1">
      <c r="A18378" s="9" t="s">
        <v>37349</v>
      </c>
      <c r="B18378" s="9" t="s">
        <v>37349</v>
      </c>
      <c r="C18378" s="9" t="s">
        <v>17</v>
      </c>
      <c r="D18378" s="9" t="s">
        <v>18</v>
      </c>
      <c r="E18378" s="10" t="s">
        <v>41</v>
      </c>
      <c r="F18378" s="9" t="s">
        <v>42</v>
      </c>
      <c r="G18378" s="10" t="s">
        <v>21</v>
      </c>
      <c r="H18378" s="9" t="s">
        <v>22</v>
      </c>
      <c r="I18378" s="9" t="s">
        <v>37350</v>
      </c>
      <c r="J18378" s="10" t="str">
        <f>HYPERLINK("https://www.boe.es/gazeta/dias/1834/06/11/pdfs/GMD-1834-114.pdf#page=3","Abrir facsímil")</f>
        <v>Abrir facsímil</v>
      </c>
      <c r="K18378" s="10" t="s">
        <v>24</v>
      </c>
    </row>
    <row r="18379" spans="1:11" ht="54" customHeight="1">
      <c r="A18379" s="9" t="s">
        <v>37351</v>
      </c>
      <c r="B18379" s="9" t="s">
        <v>37352</v>
      </c>
      <c r="C18379" s="9" t="s">
        <v>17</v>
      </c>
      <c r="D18379" s="9" t="s">
        <v>18</v>
      </c>
      <c r="E18379" s="10" t="s">
        <v>1394</v>
      </c>
      <c r="F18379" s="9" t="s">
        <v>1395</v>
      </c>
      <c r="G18379" s="10" t="s">
        <v>75</v>
      </c>
      <c r="H18379" s="9" t="s">
        <v>22</v>
      </c>
      <c r="I18379" s="9" t="s">
        <v>37353</v>
      </c>
      <c r="J18379" s="10" t="str">
        <f>HYPERLINK("https://www.boe.es/gazeta/dias/1834/04/16/pdfs/GMD-1834-55.pdf#page=4","Abrir facsímil")</f>
        <v>Abrir facsímil</v>
      </c>
      <c r="K18379" s="10" t="s">
        <v>24</v>
      </c>
    </row>
    <row r="18380" spans="1:11" ht="54" customHeight="1">
      <c r="A18380" s="9" t="s">
        <v>37354</v>
      </c>
      <c r="B18380" s="9" t="s">
        <v>37354</v>
      </c>
      <c r="C18380" s="9" t="s">
        <v>17</v>
      </c>
      <c r="D18380" s="9" t="s">
        <v>18</v>
      </c>
      <c r="E18380" s="10" t="s">
        <v>3036</v>
      </c>
      <c r="F18380" s="9" t="s">
        <v>3037</v>
      </c>
      <c r="G18380" s="10" t="s">
        <v>21</v>
      </c>
      <c r="H18380" s="9" t="s">
        <v>22</v>
      </c>
      <c r="I18380" s="9" t="s">
        <v>37355</v>
      </c>
      <c r="J18380" s="10" t="str">
        <f>HYPERLINK("https://www.boe.es/gazeta/dias/1834/11/18/pdfs/GMD-C-1834-277.pdf#page=3","Abrir facsímil")</f>
        <v>Abrir facsímil</v>
      </c>
      <c r="K18380" s="10" t="s">
        <v>24</v>
      </c>
    </row>
    <row r="18381" spans="1:11" ht="54" customHeight="1">
      <c r="A18381" s="9" t="s">
        <v>37356</v>
      </c>
      <c r="B18381" s="9" t="s">
        <v>37357</v>
      </c>
      <c r="C18381" s="9" t="s">
        <v>66</v>
      </c>
      <c r="D18381" s="9" t="s">
        <v>67</v>
      </c>
      <c r="E18381" s="10" t="s">
        <v>702</v>
      </c>
      <c r="F18381" s="9" t="s">
        <v>2427</v>
      </c>
      <c r="G18381" s="10" t="s">
        <v>86</v>
      </c>
      <c r="H18381" s="9" t="s">
        <v>22</v>
      </c>
      <c r="I18381" s="9" t="s">
        <v>37358</v>
      </c>
      <c r="J18381" s="10" t="str">
        <f>HYPERLINK("https://www.boe.es/gazeta/dias/1834/11/22/pdfs/GMD-1834-281.pdf#page=2","Abrir facsímil")</f>
        <v>Abrir facsímil</v>
      </c>
      <c r="K18381" s="10" t="s">
        <v>24</v>
      </c>
    </row>
    <row r="18382" spans="1:11" ht="54" customHeight="1">
      <c r="A18382" s="9" t="s">
        <v>37359</v>
      </c>
      <c r="B18382" s="9" t="s">
        <v>37360</v>
      </c>
      <c r="C18382" s="9" t="s">
        <v>46</v>
      </c>
      <c r="D18382" s="9" t="s">
        <v>101</v>
      </c>
      <c r="E18382" s="10" t="s">
        <v>251</v>
      </c>
      <c r="F18382" s="9" t="s">
        <v>252</v>
      </c>
      <c r="G18382" s="10" t="s">
        <v>86</v>
      </c>
      <c r="H18382" s="9" t="s">
        <v>22</v>
      </c>
      <c r="I18382" s="9" t="s">
        <v>37361</v>
      </c>
      <c r="J18382" s="10" t="str">
        <f>HYPERLINK("https://www.boe.es/gazeta/dias/1834/09/26/pdfs/GMD-C-1834-224.pdf#page=2","Abrir facsímil")</f>
        <v>Abrir facsímil</v>
      </c>
      <c r="K18382" s="10" t="s">
        <v>24</v>
      </c>
    </row>
    <row r="18383" spans="1:11" ht="54" customHeight="1">
      <c r="A18383" s="9" t="s">
        <v>37362</v>
      </c>
      <c r="B18383" s="9" t="s">
        <v>37363</v>
      </c>
      <c r="C18383" s="9" t="s">
        <v>122</v>
      </c>
      <c r="D18383" s="9" t="s">
        <v>18</v>
      </c>
      <c r="E18383" s="10" t="s">
        <v>981</v>
      </c>
      <c r="F18383" s="9" t="s">
        <v>982</v>
      </c>
      <c r="G18383" s="10" t="s">
        <v>75</v>
      </c>
      <c r="H18383" s="9" t="s">
        <v>35</v>
      </c>
      <c r="I18383" s="9" t="s">
        <v>37364</v>
      </c>
      <c r="J18383" s="10" t="str">
        <f>HYPERLINK("https://www.boe.es/gazeta/dias/1834/09/21/pdfs/GMD-1834-219.pdf#page=4","Abrir facsímil")</f>
        <v>Abrir facsímil</v>
      </c>
      <c r="K18383" s="10" t="s">
        <v>37</v>
      </c>
    </row>
    <row r="18384" spans="1:11" ht="54" customHeight="1">
      <c r="A18384" s="9" t="s">
        <v>37365</v>
      </c>
      <c r="B18384" s="9" t="s">
        <v>37365</v>
      </c>
      <c r="C18384" s="9" t="s">
        <v>17</v>
      </c>
      <c r="D18384" s="9" t="s">
        <v>18</v>
      </c>
      <c r="E18384" s="10" t="s">
        <v>3054</v>
      </c>
      <c r="F18384" s="9" t="s">
        <v>3055</v>
      </c>
      <c r="G18384" s="10" t="s">
        <v>86</v>
      </c>
      <c r="H18384" s="9" t="s">
        <v>22</v>
      </c>
      <c r="I18384" s="9" t="s">
        <v>37366</v>
      </c>
      <c r="J18384" s="10" t="str">
        <f>HYPERLINK("https://www.boe.es/gazeta/dias/1834/10/06/pdfs/GMD-1834-234.pdf#page=2","Abrir facsímil")</f>
        <v>Abrir facsímil</v>
      </c>
      <c r="K18384" s="10" t="s">
        <v>24</v>
      </c>
    </row>
    <row r="18385" spans="1:11" ht="54" customHeight="1">
      <c r="A18385" s="9" t="s">
        <v>37365</v>
      </c>
      <c r="B18385" s="9" t="s">
        <v>37365</v>
      </c>
      <c r="C18385" s="9" t="s">
        <v>17</v>
      </c>
      <c r="D18385" s="9" t="s">
        <v>55</v>
      </c>
      <c r="E18385" s="10" t="s">
        <v>84</v>
      </c>
      <c r="F18385" s="9" t="s">
        <v>1223</v>
      </c>
      <c r="G18385" s="10" t="s">
        <v>34</v>
      </c>
      <c r="H18385" s="9" t="s">
        <v>22</v>
      </c>
      <c r="I18385" s="9" t="s">
        <v>37367</v>
      </c>
      <c r="J18385" s="10" t="str">
        <f>HYPERLINK("https://www.boe.es/gazeta/dias/1834/06/07/pdfs/GMD-1834-109.pdf#page=1","Abrir facsímil")</f>
        <v>Abrir facsímil</v>
      </c>
      <c r="K18385" s="10" t="s">
        <v>24</v>
      </c>
    </row>
    <row r="18386" spans="1:11" ht="54" customHeight="1">
      <c r="A18386" s="9" t="s">
        <v>37365</v>
      </c>
      <c r="B18386" s="9" t="s">
        <v>37365</v>
      </c>
      <c r="C18386" s="9" t="s">
        <v>46</v>
      </c>
      <c r="D18386" s="9" t="s">
        <v>101</v>
      </c>
      <c r="E18386" s="10" t="s">
        <v>785</v>
      </c>
      <c r="F18386" s="9" t="s">
        <v>786</v>
      </c>
      <c r="G18386" s="10" t="s">
        <v>21</v>
      </c>
      <c r="H18386" s="9" t="s">
        <v>22</v>
      </c>
      <c r="I18386" s="9" t="s">
        <v>37368</v>
      </c>
      <c r="J18386" s="10" t="str">
        <f>HYPERLINK("https://www.boe.es/gazeta/dias/1834/02/11/pdfs/GMD-1834-19.pdf#page=3","Abrir facsímil")</f>
        <v>Abrir facsímil</v>
      </c>
      <c r="K18386" s="10" t="s">
        <v>24</v>
      </c>
    </row>
    <row r="18387" spans="1:11" ht="54" customHeight="1">
      <c r="A18387" s="9" t="s">
        <v>37365</v>
      </c>
      <c r="B18387" s="9" t="s">
        <v>37365</v>
      </c>
      <c r="C18387" s="9" t="s">
        <v>66</v>
      </c>
      <c r="D18387" s="9" t="s">
        <v>67</v>
      </c>
      <c r="E18387" s="10" t="s">
        <v>2098</v>
      </c>
      <c r="F18387" s="9" t="s">
        <v>2099</v>
      </c>
      <c r="G18387" s="10" t="s">
        <v>86</v>
      </c>
      <c r="H18387" s="9" t="s">
        <v>22</v>
      </c>
      <c r="I18387" s="9" t="s">
        <v>37369</v>
      </c>
      <c r="J18387" s="10" t="str">
        <f>HYPERLINK("https://www.boe.es/gazeta/dias/1834/08/11/pdfs/GMD-1834-176.pdf#page=2","Abrir facsímil")</f>
        <v>Abrir facsímil</v>
      </c>
      <c r="K18387" s="10" t="s">
        <v>24</v>
      </c>
    </row>
    <row r="18388" spans="1:11" ht="54" customHeight="1">
      <c r="A18388" s="9" t="s">
        <v>37365</v>
      </c>
      <c r="B18388" s="9" t="s">
        <v>37365</v>
      </c>
      <c r="C18388" s="9" t="s">
        <v>66</v>
      </c>
      <c r="D18388" s="9" t="s">
        <v>67</v>
      </c>
      <c r="E18388" s="10" t="s">
        <v>1510</v>
      </c>
      <c r="F18388" s="9" t="s">
        <v>1511</v>
      </c>
      <c r="G18388" s="10" t="s">
        <v>34</v>
      </c>
      <c r="H18388" s="9" t="s">
        <v>22</v>
      </c>
      <c r="I18388" s="9" t="s">
        <v>37370</v>
      </c>
      <c r="J18388" s="10" t="str">
        <f>HYPERLINK("https://www.boe.es/gazeta/dias/1834/06/13/pdfs/GMD-1834-116.pdf#page=1","Abrir facsímil")</f>
        <v>Abrir facsímil</v>
      </c>
      <c r="K18388" s="10" t="s">
        <v>24</v>
      </c>
    </row>
    <row r="18389" spans="1:11" ht="54" customHeight="1">
      <c r="A18389" s="9" t="s">
        <v>37365</v>
      </c>
      <c r="B18389" s="9" t="s">
        <v>37365</v>
      </c>
      <c r="C18389" s="9" t="s">
        <v>17</v>
      </c>
      <c r="D18389" s="9" t="s">
        <v>101</v>
      </c>
      <c r="E18389" s="10" t="s">
        <v>1195</v>
      </c>
      <c r="F18389" s="9" t="s">
        <v>1916</v>
      </c>
      <c r="G18389" s="10" t="s">
        <v>34</v>
      </c>
      <c r="H18389" s="9" t="s">
        <v>22</v>
      </c>
      <c r="I18389" s="9" t="s">
        <v>37371</v>
      </c>
      <c r="J18389" s="10" t="str">
        <f>HYPERLINK("https://www.boe.es/gazeta/dias/1834/10/17/pdfs/GMD-1834-245.pdf#page=1","Abrir facsímil")</f>
        <v>Abrir facsímil</v>
      </c>
      <c r="K18389" s="10" t="s">
        <v>24</v>
      </c>
    </row>
    <row r="18390" spans="1:11" ht="54" customHeight="1">
      <c r="A18390" s="9" t="s">
        <v>37365</v>
      </c>
      <c r="B18390" s="9" t="s">
        <v>37365</v>
      </c>
      <c r="C18390" s="9" t="s">
        <v>17</v>
      </c>
      <c r="D18390" s="9" t="s">
        <v>18</v>
      </c>
      <c r="E18390" s="10" t="s">
        <v>403</v>
      </c>
      <c r="F18390" s="9" t="s">
        <v>3456</v>
      </c>
      <c r="G18390" s="10" t="s">
        <v>34</v>
      </c>
      <c r="H18390" s="9" t="s">
        <v>22</v>
      </c>
      <c r="I18390" s="9" t="s">
        <v>37372</v>
      </c>
      <c r="J18390" s="10" t="str">
        <f>HYPERLINK("https://www.boe.es/gazeta/dias/1834/09/25/pdfs/GMD-1834-223.pdf#page=1","Abrir facsímil")</f>
        <v>Abrir facsímil</v>
      </c>
      <c r="K18390" s="10" t="s">
        <v>24</v>
      </c>
    </row>
    <row r="18391" spans="1:11" ht="54" customHeight="1">
      <c r="A18391" s="9" t="s">
        <v>37365</v>
      </c>
      <c r="B18391" s="9" t="s">
        <v>37365</v>
      </c>
      <c r="C18391" s="9" t="s">
        <v>17</v>
      </c>
      <c r="D18391" s="9" t="s">
        <v>18</v>
      </c>
      <c r="E18391" s="10" t="s">
        <v>1686</v>
      </c>
      <c r="F18391" s="9" t="s">
        <v>1687</v>
      </c>
      <c r="G18391" s="10" t="s">
        <v>86</v>
      </c>
      <c r="H18391" s="9" t="s">
        <v>22</v>
      </c>
      <c r="I18391" s="9" t="s">
        <v>37373</v>
      </c>
      <c r="J18391" s="10" t="str">
        <f>HYPERLINK("https://www.boe.es/gazeta/dias/1834/07/27/pdfs/GMD-1834-160.pdf#page=2","Abrir facsímil")</f>
        <v>Abrir facsímil</v>
      </c>
      <c r="K18391" s="10" t="s">
        <v>24</v>
      </c>
    </row>
    <row r="18392" spans="1:11" ht="54" customHeight="1">
      <c r="A18392" s="9" t="s">
        <v>37365</v>
      </c>
      <c r="B18392" s="9" t="s">
        <v>37365</v>
      </c>
      <c r="C18392" s="9" t="s">
        <v>66</v>
      </c>
      <c r="D18392" s="9" t="s">
        <v>67</v>
      </c>
      <c r="E18392" s="10" t="s">
        <v>179</v>
      </c>
      <c r="F18392" s="9" t="s">
        <v>180</v>
      </c>
      <c r="G18392" s="10" t="s">
        <v>34</v>
      </c>
      <c r="H18392" s="9" t="s">
        <v>22</v>
      </c>
      <c r="I18392" s="9" t="s">
        <v>37374</v>
      </c>
      <c r="J18392" s="10" t="str">
        <f>HYPERLINK("https://www.boe.es/gazeta/dias/1834/10/28/pdfs/GMD-1834-256.pdf#page=1","Abrir facsímil")</f>
        <v>Abrir facsímil</v>
      </c>
      <c r="K18392" s="10" t="s">
        <v>24</v>
      </c>
    </row>
    <row r="18393" spans="1:11" ht="54" customHeight="1">
      <c r="A18393" s="9" t="s">
        <v>37375</v>
      </c>
      <c r="B18393" s="9" t="s">
        <v>37375</v>
      </c>
      <c r="C18393" s="9" t="s">
        <v>90</v>
      </c>
      <c r="D18393" s="9" t="s">
        <v>67</v>
      </c>
      <c r="E18393" s="10" t="s">
        <v>3025</v>
      </c>
      <c r="F18393" s="9" t="s">
        <v>3026</v>
      </c>
      <c r="G18393" s="10" t="s">
        <v>21</v>
      </c>
      <c r="H18393" s="9" t="s">
        <v>22</v>
      </c>
      <c r="I18393" s="9" t="s">
        <v>37376</v>
      </c>
      <c r="J18393" s="10" t="str">
        <f>HYPERLINK("https://www.boe.es/gazeta/dias/1834/05/25/pdfs/GMD-1834-94.pdf#page=3","Abrir facsímil")</f>
        <v>Abrir facsímil</v>
      </c>
      <c r="K18393" s="10" t="s">
        <v>24</v>
      </c>
    </row>
    <row r="18394" spans="1:11" ht="54" customHeight="1">
      <c r="A18394" s="9" t="s">
        <v>37377</v>
      </c>
      <c r="B18394" s="9" t="s">
        <v>37377</v>
      </c>
      <c r="C18394" s="9" t="s">
        <v>17</v>
      </c>
      <c r="D18394" s="9" t="s">
        <v>18</v>
      </c>
      <c r="E18394" s="10" t="s">
        <v>148</v>
      </c>
      <c r="F18394" s="9" t="s">
        <v>149</v>
      </c>
      <c r="G18394" s="10" t="s">
        <v>34</v>
      </c>
      <c r="H18394" s="9" t="s">
        <v>22</v>
      </c>
      <c r="I18394" s="9" t="s">
        <v>37378</v>
      </c>
      <c r="J18394" s="10" t="str">
        <f>HYPERLINK("https://www.boe.es/gazeta/dias/1834/10/20/pdfs/GMD-1834-248.pdf#page=1","Abrir facsímil")</f>
        <v>Abrir facsímil</v>
      </c>
      <c r="K18394" s="10" t="s">
        <v>24</v>
      </c>
    </row>
    <row r="18395" spans="1:11" ht="54" customHeight="1">
      <c r="A18395" s="9" t="s">
        <v>37379</v>
      </c>
      <c r="B18395" s="9" t="s">
        <v>37380</v>
      </c>
      <c r="C18395" s="9" t="s">
        <v>17</v>
      </c>
      <c r="D18395" s="9" t="s">
        <v>18</v>
      </c>
      <c r="E18395" s="10" t="s">
        <v>1333</v>
      </c>
      <c r="F18395" s="9" t="s">
        <v>1334</v>
      </c>
      <c r="G18395" s="10" t="s">
        <v>75</v>
      </c>
      <c r="H18395" s="9" t="s">
        <v>22</v>
      </c>
      <c r="I18395" s="9" t="s">
        <v>37381</v>
      </c>
      <c r="J18395" s="10" t="str">
        <f>HYPERLINK("https://www.boe.es/gazeta/dias/1834/04/01/pdfs/GMD-1834-40.pdf#page=4","Abrir facsímil")</f>
        <v>Abrir facsímil</v>
      </c>
      <c r="K18395" s="10" t="s">
        <v>24</v>
      </c>
    </row>
    <row r="18396" spans="1:11" ht="54" customHeight="1">
      <c r="A18396" s="9" t="s">
        <v>37382</v>
      </c>
      <c r="B18396" s="9" t="s">
        <v>37382</v>
      </c>
      <c r="C18396" s="9" t="s">
        <v>17</v>
      </c>
      <c r="D18396" s="9" t="s">
        <v>18</v>
      </c>
      <c r="E18396" s="10" t="s">
        <v>4237</v>
      </c>
      <c r="F18396" s="9" t="s">
        <v>4238</v>
      </c>
      <c r="G18396" s="10" t="s">
        <v>86</v>
      </c>
      <c r="H18396" s="9" t="s">
        <v>22</v>
      </c>
      <c r="I18396" s="9" t="s">
        <v>37383</v>
      </c>
      <c r="J18396" s="10" t="str">
        <f>HYPERLINK("https://www.boe.es/gazeta/dias/1834/06/17/pdfs/GMD-1834-120.pdf#page=2","Abrir facsímil")</f>
        <v>Abrir facsímil</v>
      </c>
      <c r="K18396" s="10" t="s">
        <v>24</v>
      </c>
    </row>
    <row r="18397" spans="1:11" ht="54" customHeight="1">
      <c r="A18397" s="9" t="s">
        <v>37384</v>
      </c>
      <c r="B18397" s="9" t="s">
        <v>37385</v>
      </c>
      <c r="C18397" s="9" t="s">
        <v>17</v>
      </c>
      <c r="D18397" s="9" t="s">
        <v>18</v>
      </c>
      <c r="E18397" s="10" t="s">
        <v>647</v>
      </c>
      <c r="F18397" s="9" t="s">
        <v>648</v>
      </c>
      <c r="G18397" s="10" t="s">
        <v>560</v>
      </c>
      <c r="H18397" s="9" t="s">
        <v>22</v>
      </c>
      <c r="I18397" s="9" t="s">
        <v>37386</v>
      </c>
      <c r="J18397" s="10" t="str">
        <f>HYPERLINK("https://www.boe.es/gazeta/dias/1834/10/21/pdfs/GMD-C-1834-249.pdf#page=7","Abrir facsímil")</f>
        <v>Abrir facsímil</v>
      </c>
      <c r="K18397" s="10" t="s">
        <v>24</v>
      </c>
    </row>
    <row r="18398" spans="1:11" ht="54" customHeight="1">
      <c r="A18398" s="9" t="s">
        <v>37387</v>
      </c>
      <c r="B18398" s="9" t="s">
        <v>37388</v>
      </c>
      <c r="C18398" s="9" t="s">
        <v>46</v>
      </c>
      <c r="D18398" s="9" t="s">
        <v>101</v>
      </c>
      <c r="E18398" s="10" t="s">
        <v>258</v>
      </c>
      <c r="F18398" s="9" t="s">
        <v>259</v>
      </c>
      <c r="G18398" s="10" t="s">
        <v>28</v>
      </c>
      <c r="H18398" s="9" t="s">
        <v>22</v>
      </c>
      <c r="I18398" s="9" t="s">
        <v>37389</v>
      </c>
      <c r="J18398" s="10" t="str">
        <f>HYPERLINK("https://www.boe.es/gazeta/dias/1834/10/09/pdfs/GMD-C-1834-237.pdf#page=5","Abrir facsímil")</f>
        <v>Abrir facsímil</v>
      </c>
      <c r="K18398" s="10" t="s">
        <v>24</v>
      </c>
    </row>
    <row r="18399" spans="1:11" ht="54" customHeight="1">
      <c r="A18399" s="9" t="s">
        <v>37387</v>
      </c>
      <c r="B18399" s="9" t="s">
        <v>37388</v>
      </c>
      <c r="C18399" s="9" t="s">
        <v>17</v>
      </c>
      <c r="D18399" s="9" t="s">
        <v>55</v>
      </c>
      <c r="E18399" s="10" t="s">
        <v>610</v>
      </c>
      <c r="F18399" s="9" t="s">
        <v>611</v>
      </c>
      <c r="G18399" s="10" t="s">
        <v>176</v>
      </c>
      <c r="H18399" s="9" t="s">
        <v>22</v>
      </c>
      <c r="I18399" s="9" t="s">
        <v>37390</v>
      </c>
      <c r="J18399" s="10" t="str">
        <f>HYPERLINK("https://www.boe.es/gazeta/dias/1834/12/21/pdfs/GMD-C-1834-311.pdf#page=6","Abrir facsímil")</f>
        <v>Abrir facsímil</v>
      </c>
      <c r="K18399" s="10" t="s">
        <v>24</v>
      </c>
    </row>
    <row r="18400" spans="1:11" ht="54" customHeight="1">
      <c r="A18400" s="9" t="s">
        <v>37391</v>
      </c>
      <c r="B18400" s="9" t="s">
        <v>37392</v>
      </c>
      <c r="C18400" s="9" t="s">
        <v>17</v>
      </c>
      <c r="D18400" s="9" t="s">
        <v>55</v>
      </c>
      <c r="E18400" s="10" t="s">
        <v>610</v>
      </c>
      <c r="F18400" s="9" t="s">
        <v>611</v>
      </c>
      <c r="G18400" s="10" t="s">
        <v>176</v>
      </c>
      <c r="H18400" s="9" t="s">
        <v>22</v>
      </c>
      <c r="I18400" s="9" t="s">
        <v>37393</v>
      </c>
      <c r="J18400" s="10" t="str">
        <f>HYPERLINK("https://www.boe.es/gazeta/dias/1834/12/21/pdfs/GMD-C-1834-311.pdf#page=6","Abrir facsímil")</f>
        <v>Abrir facsímil</v>
      </c>
      <c r="K18400" s="10" t="s">
        <v>24</v>
      </c>
    </row>
    <row r="18401" spans="1:11" ht="54" customHeight="1">
      <c r="A18401" s="9" t="s">
        <v>37394</v>
      </c>
      <c r="B18401" s="9" t="s">
        <v>37395</v>
      </c>
      <c r="C18401" s="9" t="s">
        <v>17</v>
      </c>
      <c r="D18401" s="9" t="s">
        <v>18</v>
      </c>
      <c r="E18401" s="10" t="s">
        <v>1922</v>
      </c>
      <c r="F18401" s="9" t="s">
        <v>1923</v>
      </c>
      <c r="G18401" s="10" t="s">
        <v>86</v>
      </c>
      <c r="H18401" s="9" t="s">
        <v>22</v>
      </c>
      <c r="I18401" s="9" t="s">
        <v>37396</v>
      </c>
      <c r="J18401" s="10" t="str">
        <f>HYPERLINK("https://www.boe.es/gazeta/dias/1834/02/25/pdfs/GMD-1834-25.pdf#page=2","Abrir facsímil")</f>
        <v>Abrir facsímil</v>
      </c>
      <c r="K18401" s="10" t="s">
        <v>24</v>
      </c>
    </row>
    <row r="18402" spans="1:11" ht="54" customHeight="1">
      <c r="A18402" s="9" t="s">
        <v>37397</v>
      </c>
      <c r="B18402" s="9" t="s">
        <v>37398</v>
      </c>
      <c r="C18402" s="9" t="s">
        <v>17</v>
      </c>
      <c r="D18402" s="9" t="s">
        <v>18</v>
      </c>
      <c r="E18402" s="10" t="s">
        <v>563</v>
      </c>
      <c r="F18402" s="9" t="s">
        <v>5858</v>
      </c>
      <c r="G18402" s="10" t="s">
        <v>34</v>
      </c>
      <c r="H18402" s="9" t="s">
        <v>22</v>
      </c>
      <c r="I18402" s="9" t="s">
        <v>37399</v>
      </c>
      <c r="J18402" s="10" t="str">
        <f>HYPERLINK("https://www.boe.es/gazeta/dias/1834/04/19/pdfs/GMD-C-1834-58.pdf#page=1","Abrir facsímil")</f>
        <v>Abrir facsímil</v>
      </c>
      <c r="K18402" s="10" t="s">
        <v>24</v>
      </c>
    </row>
    <row r="18403" spans="1:11" ht="54" customHeight="1">
      <c r="A18403" s="9" t="s">
        <v>37400</v>
      </c>
      <c r="B18403" s="9" t="s">
        <v>37401</v>
      </c>
      <c r="C18403" s="9" t="s">
        <v>66</v>
      </c>
      <c r="D18403" s="9" t="s">
        <v>67</v>
      </c>
      <c r="E18403" s="10" t="s">
        <v>448</v>
      </c>
      <c r="F18403" s="9" t="s">
        <v>449</v>
      </c>
      <c r="G18403" s="10" t="s">
        <v>86</v>
      </c>
      <c r="H18403" s="9" t="s">
        <v>22</v>
      </c>
      <c r="I18403" s="9" t="s">
        <v>37402</v>
      </c>
      <c r="J18403" s="10" t="str">
        <f>HYPERLINK("https://www.boe.es/gazeta/dias/1834/10/14/pdfs/GMD-C-1834-242.pdf#page=2","Abrir facsímil")</f>
        <v>Abrir facsímil</v>
      </c>
      <c r="K18403" s="10" t="s">
        <v>24</v>
      </c>
    </row>
    <row r="18404" spans="1:11" ht="54" customHeight="1">
      <c r="A18404" s="9" t="s">
        <v>37403</v>
      </c>
      <c r="B18404" s="9" t="s">
        <v>37404</v>
      </c>
      <c r="C18404" s="9" t="s">
        <v>17</v>
      </c>
      <c r="D18404" s="9" t="s">
        <v>18</v>
      </c>
      <c r="E18404" s="10" t="s">
        <v>167</v>
      </c>
      <c r="F18404" s="9" t="s">
        <v>1200</v>
      </c>
      <c r="G18404" s="10" t="s">
        <v>86</v>
      </c>
      <c r="H18404" s="9" t="s">
        <v>22</v>
      </c>
      <c r="I18404" s="9" t="s">
        <v>37405</v>
      </c>
      <c r="J18404" s="10" t="str">
        <f>HYPERLINK("https://www.boe.es/gazeta/dias/1834/09/07/pdfs/GMD-C-1834-205.pdf#page=2","Abrir facsímil")</f>
        <v>Abrir facsímil</v>
      </c>
      <c r="K18404" s="10" t="s">
        <v>24</v>
      </c>
    </row>
    <row r="18405" spans="1:11" ht="54" customHeight="1">
      <c r="A18405" s="9" t="s">
        <v>37406</v>
      </c>
      <c r="B18405" s="9" t="s">
        <v>37407</v>
      </c>
      <c r="C18405" s="9" t="s">
        <v>90</v>
      </c>
      <c r="D18405" s="9" t="s">
        <v>18</v>
      </c>
      <c r="E18405" s="10" t="s">
        <v>283</v>
      </c>
      <c r="F18405" s="9" t="s">
        <v>284</v>
      </c>
      <c r="G18405" s="10" t="s">
        <v>21</v>
      </c>
      <c r="H18405" s="9" t="s">
        <v>22</v>
      </c>
      <c r="I18405" s="9" t="s">
        <v>37408</v>
      </c>
      <c r="J18405" s="10" t="str">
        <f>HYPERLINK("https://www.boe.es/gazeta/dias/1834/11/29/pdfs/GMD-C-1834-288.pdf#page=3","Abrir facsímil")</f>
        <v>Abrir facsímil</v>
      </c>
      <c r="K18405" s="10" t="s">
        <v>24</v>
      </c>
    </row>
    <row r="18406" spans="1:11" ht="54" customHeight="1">
      <c r="A18406" s="9" t="s">
        <v>37409</v>
      </c>
      <c r="B18406" s="9" t="s">
        <v>37409</v>
      </c>
      <c r="C18406" s="9" t="s">
        <v>17</v>
      </c>
      <c r="D18406" s="9" t="s">
        <v>18</v>
      </c>
      <c r="E18406" s="10" t="s">
        <v>899</v>
      </c>
      <c r="F18406" s="9" t="s">
        <v>900</v>
      </c>
      <c r="G18406" s="10" t="s">
        <v>75</v>
      </c>
      <c r="H18406" s="9" t="s">
        <v>22</v>
      </c>
      <c r="I18406" s="9" t="s">
        <v>37410</v>
      </c>
      <c r="J18406" s="10" t="str">
        <f>HYPERLINK("https://www.boe.es/gazeta/dias/1834/01/30/pdfs/GMD-1834-14.pdf#page=4","Abrir facsímil")</f>
        <v>Abrir facsímil</v>
      </c>
      <c r="K18406" s="10" t="s">
        <v>24</v>
      </c>
    </row>
    <row r="18407" spans="1:11" ht="54" customHeight="1">
      <c r="A18407" s="9" t="s">
        <v>37411</v>
      </c>
      <c r="B18407" s="9" t="s">
        <v>37412</v>
      </c>
      <c r="C18407" s="9" t="s">
        <v>17</v>
      </c>
      <c r="D18407" s="9" t="s">
        <v>18</v>
      </c>
      <c r="E18407" s="10" t="s">
        <v>19</v>
      </c>
      <c r="F18407" s="9" t="s">
        <v>107</v>
      </c>
      <c r="G18407" s="10" t="s">
        <v>75</v>
      </c>
      <c r="H18407" s="9" t="s">
        <v>22</v>
      </c>
      <c r="I18407" s="9" t="s">
        <v>37413</v>
      </c>
      <c r="J18407" s="10" t="str">
        <f>HYPERLINK("https://www.boe.es/gazeta/dias/1834/08/17/pdfs/GMD-1834-182.pdf#page=4","Abrir facsímil")</f>
        <v>Abrir facsímil</v>
      </c>
      <c r="K18407" s="10" t="s">
        <v>24</v>
      </c>
    </row>
    <row r="18408" spans="1:11" ht="54" customHeight="1">
      <c r="A18408" s="9" t="s">
        <v>37414</v>
      </c>
      <c r="B18408" s="9" t="s">
        <v>37415</v>
      </c>
      <c r="C18408" s="9" t="s">
        <v>46</v>
      </c>
      <c r="D18408" s="9" t="s">
        <v>18</v>
      </c>
      <c r="E18408" s="10" t="s">
        <v>2098</v>
      </c>
      <c r="F18408" s="9" t="s">
        <v>2099</v>
      </c>
      <c r="G18408" s="10" t="s">
        <v>75</v>
      </c>
      <c r="H18408" s="9" t="s">
        <v>22</v>
      </c>
      <c r="I18408" s="9" t="s">
        <v>37416</v>
      </c>
      <c r="J18408" s="10" t="str">
        <f>HYPERLINK("https://www.boe.es/gazeta/dias/1834/08/11/pdfs/GMD-1834-176.pdf#page=4","Abrir facsímil")</f>
        <v>Abrir facsímil</v>
      </c>
      <c r="K18408" s="10" t="s">
        <v>24</v>
      </c>
    </row>
    <row r="18409" spans="1:11" ht="54" customHeight="1">
      <c r="A18409" s="9" t="s">
        <v>37417</v>
      </c>
      <c r="B18409" s="9" t="s">
        <v>37417</v>
      </c>
      <c r="C18409" s="9" t="s">
        <v>46</v>
      </c>
      <c r="D18409" s="9" t="s">
        <v>55</v>
      </c>
      <c r="E18409" s="10" t="s">
        <v>696</v>
      </c>
      <c r="F18409" s="9" t="s">
        <v>854</v>
      </c>
      <c r="G18409" s="10" t="s">
        <v>34</v>
      </c>
      <c r="H18409" s="9" t="s">
        <v>22</v>
      </c>
      <c r="I18409" s="9" t="s">
        <v>37418</v>
      </c>
      <c r="J18409" s="10" t="str">
        <f>HYPERLINK("https://www.boe.es/gazeta/dias/1834/12/06/pdfs/GMD-1834-295.pdf#page=1","Abrir facsímil")</f>
        <v>Abrir facsímil</v>
      </c>
      <c r="K18409" s="10" t="s">
        <v>24</v>
      </c>
    </row>
    <row r="18410" spans="1:11" ht="54" customHeight="1">
      <c r="A18410" s="9" t="s">
        <v>37419</v>
      </c>
      <c r="B18410" s="9" t="s">
        <v>37419</v>
      </c>
      <c r="C18410" s="9" t="s">
        <v>17</v>
      </c>
      <c r="D18410" s="9" t="s">
        <v>18</v>
      </c>
      <c r="E18410" s="10" t="s">
        <v>492</v>
      </c>
      <c r="F18410" s="9" t="s">
        <v>493</v>
      </c>
      <c r="G18410" s="10" t="s">
        <v>86</v>
      </c>
      <c r="H18410" s="9" t="s">
        <v>22</v>
      </c>
      <c r="I18410" s="9" t="s">
        <v>37420</v>
      </c>
      <c r="J18410" s="10" t="str">
        <f>HYPERLINK("https://www.boe.es/gazeta/dias/1834/11/21/pdfs/GMD-C-1834-280.pdf#page=2","Abrir facsímil")</f>
        <v>Abrir facsímil</v>
      </c>
      <c r="K18410" s="10" t="s">
        <v>24</v>
      </c>
    </row>
    <row r="18411" spans="1:11" ht="54" customHeight="1">
      <c r="A18411" s="9" t="s">
        <v>37421</v>
      </c>
      <c r="B18411" s="9" t="s">
        <v>37421</v>
      </c>
      <c r="C18411" s="9" t="s">
        <v>17</v>
      </c>
      <c r="D18411" s="9" t="s">
        <v>18</v>
      </c>
      <c r="E18411" s="10" t="s">
        <v>304</v>
      </c>
      <c r="F18411" s="9" t="s">
        <v>305</v>
      </c>
      <c r="G18411" s="10" t="s">
        <v>86</v>
      </c>
      <c r="H18411" s="9" t="s">
        <v>22</v>
      </c>
      <c r="I18411" s="9" t="s">
        <v>37422</v>
      </c>
      <c r="J18411" s="10" t="str">
        <f>HYPERLINK("https://www.boe.es/gazeta/dias/1834/01/21/pdfs/GMD-1834-10.pdf#page=2","Abrir facsímil")</f>
        <v>Abrir facsímil</v>
      </c>
      <c r="K18411" s="10" t="s">
        <v>24</v>
      </c>
    </row>
    <row r="18412" spans="1:11" ht="54" customHeight="1">
      <c r="A18412" s="9" t="s">
        <v>37423</v>
      </c>
      <c r="B18412" s="9" t="s">
        <v>37423</v>
      </c>
      <c r="C18412" s="9" t="s">
        <v>857</v>
      </c>
      <c r="D18412" s="9" t="s">
        <v>18</v>
      </c>
      <c r="E18412" s="10" t="s">
        <v>2865</v>
      </c>
      <c r="F18412" s="9" t="s">
        <v>2866</v>
      </c>
      <c r="G18412" s="10" t="s">
        <v>21</v>
      </c>
      <c r="H18412" s="9" t="s">
        <v>22</v>
      </c>
      <c r="I18412" s="9" t="s">
        <v>37424</v>
      </c>
      <c r="J18412" s="10" t="str">
        <f>HYPERLINK("https://www.boe.es/gazeta/dias/1834/07/06/pdfs/GMD-1834-139.pdf#page=3","Abrir facsímil")</f>
        <v>Abrir facsímil</v>
      </c>
      <c r="K18412" s="10" t="s">
        <v>24</v>
      </c>
    </row>
    <row r="18413" spans="1:11" ht="54" customHeight="1">
      <c r="A18413" s="9" t="s">
        <v>37423</v>
      </c>
      <c r="B18413" s="9" t="s">
        <v>37423</v>
      </c>
      <c r="C18413" s="9" t="s">
        <v>17</v>
      </c>
      <c r="D18413" s="9" t="s">
        <v>18</v>
      </c>
      <c r="E18413" s="10" t="s">
        <v>91</v>
      </c>
      <c r="F18413" s="9" t="s">
        <v>92</v>
      </c>
      <c r="G18413" s="10" t="s">
        <v>34</v>
      </c>
      <c r="H18413" s="9" t="s">
        <v>22</v>
      </c>
      <c r="I18413" s="9" t="s">
        <v>37425</v>
      </c>
      <c r="J18413" s="10" t="str">
        <f>HYPERLINK("https://www.boe.es/gazeta/dias/1834/02/13/pdfs/GMD-1834-20.pdf#page=1","Abrir facsímil")</f>
        <v>Abrir facsímil</v>
      </c>
      <c r="K18413" s="10" t="s">
        <v>24</v>
      </c>
    </row>
    <row r="18414" spans="1:11" ht="54" customHeight="1">
      <c r="A18414" s="9" t="s">
        <v>37426</v>
      </c>
      <c r="B18414" s="9" t="s">
        <v>37426</v>
      </c>
      <c r="C18414" s="9" t="s">
        <v>17</v>
      </c>
      <c r="D18414" s="9" t="s">
        <v>18</v>
      </c>
      <c r="E18414" s="10" t="s">
        <v>1297</v>
      </c>
      <c r="F18414" s="9" t="s">
        <v>1879</v>
      </c>
      <c r="G18414" s="10" t="s">
        <v>34</v>
      </c>
      <c r="H18414" s="9" t="s">
        <v>22</v>
      </c>
      <c r="I18414" s="9" t="s">
        <v>37427</v>
      </c>
      <c r="J18414" s="10" t="str">
        <f>HYPERLINK("https://www.boe.es/gazeta/dias/1834/08/01/pdfs/GMD-C-1834-165.pdf#page=1","Abrir facsímil")</f>
        <v>Abrir facsímil</v>
      </c>
      <c r="K18414" s="10" t="s">
        <v>24</v>
      </c>
    </row>
    <row r="18415" spans="1:11" ht="54" customHeight="1">
      <c r="A18415" s="9" t="s">
        <v>37428</v>
      </c>
      <c r="B18415" s="9" t="s">
        <v>37429</v>
      </c>
      <c r="C18415" s="9" t="s">
        <v>66</v>
      </c>
      <c r="D18415" s="9" t="s">
        <v>67</v>
      </c>
      <c r="E18415" s="10" t="s">
        <v>187</v>
      </c>
      <c r="F18415" s="9" t="s">
        <v>188</v>
      </c>
      <c r="G18415" s="10" t="s">
        <v>86</v>
      </c>
      <c r="H18415" s="9" t="s">
        <v>22</v>
      </c>
      <c r="I18415" s="9" t="s">
        <v>37430</v>
      </c>
      <c r="J18415" s="10" t="str">
        <f>HYPERLINK("https://www.boe.es/gazeta/dias/1834/09/30/pdfs/GMD-1834-228.pdf#page=2","Abrir facsímil")</f>
        <v>Abrir facsímil</v>
      </c>
      <c r="K18415" s="10" t="s">
        <v>24</v>
      </c>
    </row>
    <row r="18416" spans="1:11" ht="54" customHeight="1">
      <c r="A18416" s="9" t="s">
        <v>37431</v>
      </c>
      <c r="B18416" s="9" t="s">
        <v>37432</v>
      </c>
      <c r="C18416" s="9" t="s">
        <v>17</v>
      </c>
      <c r="D18416" s="9" t="s">
        <v>18</v>
      </c>
      <c r="E18416" s="10" t="s">
        <v>2306</v>
      </c>
      <c r="F18416" s="9" t="s">
        <v>2307</v>
      </c>
      <c r="G18416" s="10" t="s">
        <v>21</v>
      </c>
      <c r="H18416" s="9" t="s">
        <v>22</v>
      </c>
      <c r="I18416" s="9" t="s">
        <v>37433</v>
      </c>
      <c r="J18416" s="10" t="str">
        <f>HYPERLINK("https://www.boe.es/gazeta/dias/1834/04/26/pdfs/GMD-1834-65.pdf#page=3","Abrir facsímil")</f>
        <v>Abrir facsímil</v>
      </c>
      <c r="K18416" s="10" t="s">
        <v>24</v>
      </c>
    </row>
    <row r="18417" spans="1:11" ht="54" customHeight="1">
      <c r="A18417" s="9" t="s">
        <v>37434</v>
      </c>
      <c r="B18417" s="9" t="s">
        <v>37435</v>
      </c>
      <c r="C18417" s="9" t="s">
        <v>17</v>
      </c>
      <c r="D18417" s="9" t="s">
        <v>18</v>
      </c>
      <c r="E18417" s="10" t="s">
        <v>1017</v>
      </c>
      <c r="F18417" s="9" t="s">
        <v>1018</v>
      </c>
      <c r="G18417" s="10" t="s">
        <v>21</v>
      </c>
      <c r="H18417" s="9" t="s">
        <v>22</v>
      </c>
      <c r="I18417" s="9" t="s">
        <v>37436</v>
      </c>
      <c r="J18417" s="10" t="str">
        <f>HYPERLINK("https://www.boe.es/gazeta/dias/1834/07/24/pdfs/GMD-1834-157.pdf#page=3","Abrir facsímil")</f>
        <v>Abrir facsímil</v>
      </c>
      <c r="K18417" s="10" t="s">
        <v>24</v>
      </c>
    </row>
    <row r="18418" spans="1:11" ht="54" customHeight="1">
      <c r="A18418" s="9" t="s">
        <v>37437</v>
      </c>
      <c r="B18418" s="9" t="s">
        <v>37438</v>
      </c>
      <c r="C18418" s="9" t="s">
        <v>17</v>
      </c>
      <c r="D18418" s="9" t="s">
        <v>18</v>
      </c>
      <c r="E18418" s="10" t="s">
        <v>3952</v>
      </c>
      <c r="F18418" s="9" t="s">
        <v>3953</v>
      </c>
      <c r="G18418" s="10" t="s">
        <v>86</v>
      </c>
      <c r="H18418" s="9" t="s">
        <v>22</v>
      </c>
      <c r="I18418" s="9" t="s">
        <v>37439</v>
      </c>
      <c r="J18418" s="10" t="str">
        <f>HYPERLINK("https://www.boe.es/gazeta/dias/1834/02/22/pdfs/GMD-1834-24.pdf#page=2","Abrir facsímil")</f>
        <v>Abrir facsímil</v>
      </c>
      <c r="K18418" s="10" t="s">
        <v>24</v>
      </c>
    </row>
    <row r="18419" spans="1:11" ht="54" customHeight="1">
      <c r="A18419" s="9" t="s">
        <v>37440</v>
      </c>
      <c r="B18419" s="9" t="s">
        <v>37440</v>
      </c>
      <c r="C18419" s="9" t="s">
        <v>17</v>
      </c>
      <c r="D18419" s="9" t="s">
        <v>18</v>
      </c>
      <c r="E18419" s="10" t="s">
        <v>1297</v>
      </c>
      <c r="F18419" s="9" t="s">
        <v>1298</v>
      </c>
      <c r="G18419" s="10" t="s">
        <v>86</v>
      </c>
      <c r="H18419" s="9" t="s">
        <v>22</v>
      </c>
      <c r="I18419" s="9" t="s">
        <v>37441</v>
      </c>
      <c r="J18419" s="10" t="str">
        <f>HYPERLINK("https://www.boe.es/gazeta/dias/1834/08/01/pdfs/GMD-1834-165.pdf#page=2","Abrir facsímil")</f>
        <v>Abrir facsímil</v>
      </c>
      <c r="K18419" s="10" t="s">
        <v>24</v>
      </c>
    </row>
    <row r="18420" spans="1:11" ht="54" customHeight="1">
      <c r="A18420" s="9" t="s">
        <v>37442</v>
      </c>
      <c r="B18420" s="9" t="s">
        <v>37443</v>
      </c>
      <c r="C18420" s="9" t="s">
        <v>122</v>
      </c>
      <c r="D18420" s="9" t="s">
        <v>18</v>
      </c>
      <c r="E18420" s="10" t="s">
        <v>1084</v>
      </c>
      <c r="F18420" s="9" t="s">
        <v>1085</v>
      </c>
      <c r="G18420" s="10" t="s">
        <v>176</v>
      </c>
      <c r="H18420" s="9" t="s">
        <v>22</v>
      </c>
      <c r="I18420" s="9" t="s">
        <v>37444</v>
      </c>
      <c r="J18420" s="10" t="str">
        <f>HYPERLINK("https://www.boe.es/gazeta/dias/1834/05/01/pdfs/GMD-1834-70.pdf#page=6","Abrir facsímil")</f>
        <v>Abrir facsímil</v>
      </c>
      <c r="K18420" s="10" t="s">
        <v>24</v>
      </c>
    </row>
    <row r="18421" spans="1:11" ht="54" customHeight="1">
      <c r="A18421" s="9" t="s">
        <v>37445</v>
      </c>
      <c r="B18421" s="9" t="s">
        <v>37445</v>
      </c>
      <c r="C18421" s="9" t="s">
        <v>17</v>
      </c>
      <c r="D18421" s="9" t="s">
        <v>18</v>
      </c>
      <c r="E18421" s="10" t="s">
        <v>1297</v>
      </c>
      <c r="F18421" s="9" t="s">
        <v>1298</v>
      </c>
      <c r="G18421" s="10" t="s">
        <v>34</v>
      </c>
      <c r="H18421" s="9" t="s">
        <v>22</v>
      </c>
      <c r="I18421" s="9" t="s">
        <v>37446</v>
      </c>
      <c r="J18421" s="10" t="str">
        <f>HYPERLINK("https://www.boe.es/gazeta/dias/1834/08/01/pdfs/GMD-1834-165.pdf#page=1","Abrir facsímil")</f>
        <v>Abrir facsímil</v>
      </c>
      <c r="K18421" s="10" t="s">
        <v>24</v>
      </c>
    </row>
    <row r="18422" spans="1:11" ht="54" customHeight="1">
      <c r="A18422" s="9" t="s">
        <v>37447</v>
      </c>
      <c r="B18422" s="9" t="s">
        <v>37447</v>
      </c>
      <c r="C18422" s="9" t="s">
        <v>66</v>
      </c>
      <c r="D18422" s="9" t="s">
        <v>67</v>
      </c>
      <c r="E18422" s="10" t="s">
        <v>3054</v>
      </c>
      <c r="F18422" s="9" t="s">
        <v>3055</v>
      </c>
      <c r="G18422" s="10" t="s">
        <v>86</v>
      </c>
      <c r="H18422" s="9" t="s">
        <v>22</v>
      </c>
      <c r="I18422" s="9" t="s">
        <v>37448</v>
      </c>
      <c r="J18422" s="10" t="str">
        <f>HYPERLINK("https://www.boe.es/gazeta/dias/1834/10/06/pdfs/GMD-1834-234.pdf#page=2","Abrir facsímil")</f>
        <v>Abrir facsímil</v>
      </c>
      <c r="K18422" s="10" t="s">
        <v>24</v>
      </c>
    </row>
    <row r="18423" spans="1:11" ht="54" customHeight="1">
      <c r="A18423" s="9" t="s">
        <v>37449</v>
      </c>
      <c r="B18423" s="9" t="s">
        <v>37450</v>
      </c>
      <c r="C18423" s="9" t="s">
        <v>46</v>
      </c>
      <c r="D18423" s="9" t="s">
        <v>18</v>
      </c>
      <c r="E18423" s="10" t="s">
        <v>330</v>
      </c>
      <c r="F18423" s="9" t="s">
        <v>331</v>
      </c>
      <c r="G18423" s="10" t="s">
        <v>21</v>
      </c>
      <c r="H18423" s="9" t="s">
        <v>22</v>
      </c>
      <c r="I18423" s="9" t="s">
        <v>37451</v>
      </c>
      <c r="J18423" s="10" t="str">
        <f>HYPERLINK("https://www.boe.es/gazeta/dias/1834/12/03/pdfs/GMD-1834-292.pdf#page=3","Abrir facsímil")</f>
        <v>Abrir facsímil</v>
      </c>
      <c r="K18423" s="10" t="s">
        <v>24</v>
      </c>
    </row>
    <row r="18424" spans="1:11" ht="54" customHeight="1">
      <c r="A18424" s="9" t="s">
        <v>37452</v>
      </c>
      <c r="B18424" s="9" t="s">
        <v>37452</v>
      </c>
      <c r="C18424" s="9" t="s">
        <v>46</v>
      </c>
      <c r="D18424" s="9" t="s">
        <v>18</v>
      </c>
      <c r="E18424" s="10" t="s">
        <v>556</v>
      </c>
      <c r="F18424" s="9" t="s">
        <v>557</v>
      </c>
      <c r="G18424" s="10" t="s">
        <v>75</v>
      </c>
      <c r="H18424" s="9" t="s">
        <v>22</v>
      </c>
      <c r="I18424" s="9" t="s">
        <v>37453</v>
      </c>
      <c r="J18424" s="10" t="str">
        <f>HYPERLINK("https://www.boe.es/gazeta/dias/1834/09/13/pdfs/GMD-1834-211.pdf#page=4","Abrir facsímil")</f>
        <v>Abrir facsímil</v>
      </c>
      <c r="K18424" s="10" t="s">
        <v>24</v>
      </c>
    </row>
    <row r="18425" spans="1:11" ht="54" customHeight="1">
      <c r="A18425" s="9" t="s">
        <v>37454</v>
      </c>
      <c r="B18425" s="9" t="s">
        <v>37455</v>
      </c>
      <c r="C18425" s="9" t="s">
        <v>17</v>
      </c>
      <c r="D18425" s="9" t="s">
        <v>18</v>
      </c>
      <c r="E18425" s="10" t="s">
        <v>1017</v>
      </c>
      <c r="F18425" s="9" t="s">
        <v>1018</v>
      </c>
      <c r="G18425" s="10" t="s">
        <v>86</v>
      </c>
      <c r="H18425" s="9" t="s">
        <v>35</v>
      </c>
      <c r="I18425" s="9" t="s">
        <v>37456</v>
      </c>
      <c r="J18425" s="10" t="str">
        <f>HYPERLINK("https://www.boe.es/gazeta/dias/1834/07/24/pdfs/GMD-1834-157.pdf#page=2","Abrir facsímil")</f>
        <v>Abrir facsímil</v>
      </c>
      <c r="K18425" s="10" t="s">
        <v>37</v>
      </c>
    </row>
    <row r="18426" spans="1:11" ht="54" customHeight="1">
      <c r="A18426" s="9" t="s">
        <v>37457</v>
      </c>
      <c r="B18426" s="9" t="s">
        <v>37458</v>
      </c>
      <c r="C18426" s="9" t="s">
        <v>90</v>
      </c>
      <c r="D18426" s="9" t="s">
        <v>18</v>
      </c>
      <c r="E18426" s="10" t="s">
        <v>153</v>
      </c>
      <c r="F18426" s="9" t="s">
        <v>154</v>
      </c>
      <c r="G18426" s="10" t="s">
        <v>34</v>
      </c>
      <c r="H18426" s="9" t="s">
        <v>22</v>
      </c>
      <c r="I18426" s="9" t="s">
        <v>37459</v>
      </c>
      <c r="J18426" s="10" t="str">
        <f>HYPERLINK("https://www.boe.es/gazeta/dias/1834/12/30/pdfs/GMD-C-1834-320.pdf#page=1","Abrir facsímil")</f>
        <v>Abrir facsímil</v>
      </c>
      <c r="K18426" s="10" t="s">
        <v>24</v>
      </c>
    </row>
    <row r="18427" spans="1:11" ht="54" customHeight="1">
      <c r="A18427" s="9" t="s">
        <v>37460</v>
      </c>
      <c r="B18427" s="9" t="s">
        <v>37461</v>
      </c>
      <c r="C18427" s="9" t="s">
        <v>17</v>
      </c>
      <c r="D18427" s="9" t="s">
        <v>18</v>
      </c>
      <c r="E18427" s="10" t="s">
        <v>378</v>
      </c>
      <c r="F18427" s="9" t="s">
        <v>888</v>
      </c>
      <c r="G18427" s="10" t="s">
        <v>21</v>
      </c>
      <c r="H18427" s="9" t="s">
        <v>22</v>
      </c>
      <c r="I18427" s="9" t="s">
        <v>37462</v>
      </c>
      <c r="J18427" s="10" t="str">
        <f>HYPERLINK("https://www.boe.es/gazeta/dias/1834/09/24/pdfs/GMD-C-1834-222.pdf#page=3","Abrir facsímil")</f>
        <v>Abrir facsímil</v>
      </c>
      <c r="K18427" s="10" t="s">
        <v>24</v>
      </c>
    </row>
    <row r="18428" spans="1:11" ht="54" customHeight="1">
      <c r="A18428" s="9" t="s">
        <v>37463</v>
      </c>
      <c r="B18428" s="9" t="s">
        <v>37464</v>
      </c>
      <c r="C18428" s="9" t="s">
        <v>66</v>
      </c>
      <c r="D18428" s="9" t="s">
        <v>67</v>
      </c>
      <c r="E18428" s="10" t="s">
        <v>758</v>
      </c>
      <c r="F18428" s="9" t="s">
        <v>759</v>
      </c>
      <c r="G18428" s="10" t="s">
        <v>86</v>
      </c>
      <c r="H18428" s="9" t="s">
        <v>22</v>
      </c>
      <c r="I18428" s="9" t="s">
        <v>37465</v>
      </c>
      <c r="J18428" s="10" t="str">
        <f>HYPERLINK("https://www.boe.es/gazeta/dias/1834/01/04/pdfs/GMD-1834-3.pdf#page=2","Abrir facsímil")</f>
        <v>Abrir facsímil</v>
      </c>
      <c r="K18428" s="10" t="s">
        <v>24</v>
      </c>
    </row>
    <row r="18429" spans="1:11" ht="54" customHeight="1">
      <c r="A18429" s="9" t="s">
        <v>37466</v>
      </c>
      <c r="B18429" s="9" t="s">
        <v>37467</v>
      </c>
      <c r="C18429" s="9" t="s">
        <v>66</v>
      </c>
      <c r="D18429" s="9" t="s">
        <v>67</v>
      </c>
      <c r="E18429" s="10" t="s">
        <v>294</v>
      </c>
      <c r="F18429" s="9" t="s">
        <v>295</v>
      </c>
      <c r="G18429" s="10" t="s">
        <v>34</v>
      </c>
      <c r="H18429" s="9" t="s">
        <v>22</v>
      </c>
      <c r="I18429" s="9" t="s">
        <v>37468</v>
      </c>
      <c r="J18429" s="10" t="str">
        <f>HYPERLINK("https://www.boe.es/gazeta/dias/1834/09/27/pdfs/GMD-1834-225.pdf#page=1","Abrir facsímil")</f>
        <v>Abrir facsímil</v>
      </c>
      <c r="K18429" s="10" t="s">
        <v>24</v>
      </c>
    </row>
    <row r="18430" spans="1:11" ht="54" customHeight="1">
      <c r="A18430" s="9" t="s">
        <v>37469</v>
      </c>
      <c r="B18430" s="9" t="s">
        <v>37469</v>
      </c>
      <c r="C18430" s="9" t="s">
        <v>17</v>
      </c>
      <c r="D18430" s="9" t="s">
        <v>18</v>
      </c>
      <c r="E18430" s="10" t="s">
        <v>265</v>
      </c>
      <c r="F18430" s="9" t="s">
        <v>969</v>
      </c>
      <c r="G18430" s="10" t="s">
        <v>86</v>
      </c>
      <c r="H18430" s="9" t="s">
        <v>22</v>
      </c>
      <c r="I18430" s="9" t="s">
        <v>37470</v>
      </c>
      <c r="J18430" s="10" t="str">
        <f>HYPERLINK("https://www.boe.es/gazeta/dias/1834/11/19/pdfs/GMD-1834-278.pdf#page=2","Abrir facsímil")</f>
        <v>Abrir facsímil</v>
      </c>
      <c r="K18430" s="10" t="s">
        <v>24</v>
      </c>
    </row>
    <row r="18431" spans="1:11" ht="54" customHeight="1">
      <c r="A18431" s="9" t="s">
        <v>37471</v>
      </c>
      <c r="B18431" s="9" t="s">
        <v>37471</v>
      </c>
      <c r="C18431" s="9" t="s">
        <v>90</v>
      </c>
      <c r="D18431" s="9" t="s">
        <v>101</v>
      </c>
      <c r="E18431" s="10" t="s">
        <v>283</v>
      </c>
      <c r="F18431" s="9" t="s">
        <v>2969</v>
      </c>
      <c r="G18431" s="10" t="s">
        <v>34</v>
      </c>
      <c r="H18431" s="9" t="s">
        <v>22</v>
      </c>
      <c r="I18431" s="9" t="s">
        <v>37472</v>
      </c>
      <c r="J18431" s="10" t="str">
        <f>HYPERLINK("https://www.boe.es/gazeta/dias/1834/11/29/pdfs/GMD-1834-288.pdf#page=1","Abrir facsímil")</f>
        <v>Abrir facsímil</v>
      </c>
      <c r="K18431" s="10" t="s">
        <v>24</v>
      </c>
    </row>
    <row r="18432" spans="1:11" ht="54" customHeight="1">
      <c r="A18432" s="9" t="s">
        <v>37473</v>
      </c>
      <c r="B18432" s="9" t="s">
        <v>37473</v>
      </c>
      <c r="C18432" s="9" t="s">
        <v>17</v>
      </c>
      <c r="D18432" s="9" t="s">
        <v>18</v>
      </c>
      <c r="E18432" s="10" t="s">
        <v>1135</v>
      </c>
      <c r="F18432" s="9" t="s">
        <v>1136</v>
      </c>
      <c r="G18432" s="10" t="s">
        <v>86</v>
      </c>
      <c r="H18432" s="9" t="s">
        <v>22</v>
      </c>
      <c r="I18432" s="9" t="s">
        <v>37474</v>
      </c>
      <c r="J18432" s="10" t="str">
        <f>HYPERLINK("https://www.boe.es/gazeta/dias/1834/08/26/pdfs/GMD-1834-192.pdf#page=2","Abrir facsímil")</f>
        <v>Abrir facsímil</v>
      </c>
      <c r="K18432" s="10" t="s">
        <v>24</v>
      </c>
    </row>
    <row r="18433" spans="1:11" ht="54" customHeight="1">
      <c r="A18433" s="9" t="s">
        <v>37475</v>
      </c>
      <c r="B18433" s="9" t="s">
        <v>37475</v>
      </c>
      <c r="C18433" s="9" t="s">
        <v>90</v>
      </c>
      <c r="D18433" s="9" t="s">
        <v>101</v>
      </c>
      <c r="E18433" s="10" t="s">
        <v>3170</v>
      </c>
      <c r="F18433" s="9" t="s">
        <v>3171</v>
      </c>
      <c r="G18433" s="10" t="s">
        <v>86</v>
      </c>
      <c r="H18433" s="9" t="s">
        <v>22</v>
      </c>
      <c r="I18433" s="9" t="s">
        <v>37476</v>
      </c>
      <c r="J18433" s="10" t="str">
        <f>HYPERLINK("https://www.boe.es/gazeta/dias/1834/12/07/pdfs/GMD-1834-296.pdf#page=2","Abrir facsímil")</f>
        <v>Abrir facsímil</v>
      </c>
      <c r="K18433" s="10" t="s">
        <v>24</v>
      </c>
    </row>
    <row r="18434" spans="1:11" ht="54" customHeight="1">
      <c r="A18434" s="9" t="s">
        <v>37475</v>
      </c>
      <c r="B18434" s="9" t="s">
        <v>37475</v>
      </c>
      <c r="C18434" s="9" t="s">
        <v>66</v>
      </c>
      <c r="D18434" s="9" t="s">
        <v>67</v>
      </c>
      <c r="E18434" s="10" t="s">
        <v>299</v>
      </c>
      <c r="F18434" s="9" t="s">
        <v>300</v>
      </c>
      <c r="G18434" s="10" t="s">
        <v>86</v>
      </c>
      <c r="H18434" s="9" t="s">
        <v>22</v>
      </c>
      <c r="I18434" s="9" t="s">
        <v>37477</v>
      </c>
      <c r="J18434" s="10" t="str">
        <f>HYPERLINK("https://www.boe.es/gazeta/dias/1834/12/12/pdfs/GMD-1834-301.pdf#page=2","Abrir facsímil")</f>
        <v>Abrir facsímil</v>
      </c>
      <c r="K18434" s="10" t="s">
        <v>24</v>
      </c>
    </row>
    <row r="18435" spans="1:11" ht="54" customHeight="1">
      <c r="A18435" s="9" t="s">
        <v>37475</v>
      </c>
      <c r="B18435" s="9" t="s">
        <v>37475</v>
      </c>
      <c r="C18435" s="9" t="s">
        <v>46</v>
      </c>
      <c r="D18435" s="9" t="s">
        <v>18</v>
      </c>
      <c r="E18435" s="10" t="s">
        <v>283</v>
      </c>
      <c r="F18435" s="9" t="s">
        <v>2969</v>
      </c>
      <c r="G18435" s="10" t="s">
        <v>86</v>
      </c>
      <c r="H18435" s="9" t="s">
        <v>22</v>
      </c>
      <c r="I18435" s="9" t="s">
        <v>37478</v>
      </c>
      <c r="J18435" s="10" t="str">
        <f>HYPERLINK("https://www.boe.es/gazeta/dias/1834/11/29/pdfs/GMD-1834-288.pdf#page=2","Abrir facsímil")</f>
        <v>Abrir facsímil</v>
      </c>
      <c r="K18435" s="10" t="s">
        <v>24</v>
      </c>
    </row>
    <row r="18436" spans="1:11" ht="54" customHeight="1">
      <c r="A18436" s="9" t="s">
        <v>37479</v>
      </c>
      <c r="B18436" s="9" t="s">
        <v>37479</v>
      </c>
      <c r="C18436" s="9" t="s">
        <v>46</v>
      </c>
      <c r="D18436" s="9" t="s">
        <v>101</v>
      </c>
      <c r="E18436" s="10" t="s">
        <v>2053</v>
      </c>
      <c r="F18436" s="9" t="s">
        <v>2054</v>
      </c>
      <c r="G18436" s="10" t="s">
        <v>86</v>
      </c>
      <c r="H18436" s="9" t="s">
        <v>22</v>
      </c>
      <c r="I18436" s="9" t="s">
        <v>37480</v>
      </c>
      <c r="J18436" s="10" t="str">
        <f>HYPERLINK("https://www.boe.es/gazeta/dias/1834/06/02/pdfs/GMD-1834-103.pdf#page=2","Abrir facsímil")</f>
        <v>Abrir facsímil</v>
      </c>
      <c r="K18436" s="10" t="s">
        <v>24</v>
      </c>
    </row>
    <row r="18437" spans="1:11" ht="54" customHeight="1">
      <c r="A18437" s="9" t="s">
        <v>37481</v>
      </c>
      <c r="B18437" s="9" t="s">
        <v>37481</v>
      </c>
      <c r="C18437" s="9" t="s">
        <v>46</v>
      </c>
      <c r="D18437" s="9" t="s">
        <v>18</v>
      </c>
      <c r="E18437" s="10" t="s">
        <v>2218</v>
      </c>
      <c r="F18437" s="9" t="s">
        <v>2219</v>
      </c>
      <c r="G18437" s="10" t="s">
        <v>86</v>
      </c>
      <c r="H18437" s="9" t="s">
        <v>22</v>
      </c>
      <c r="I18437" s="9" t="s">
        <v>37482</v>
      </c>
      <c r="J18437" s="10" t="str">
        <f>HYPERLINK("https://www.boe.es/gazeta/dias/1834/11/05/pdfs/GMD-1834-264.pdf#page=2","Abrir facsímil")</f>
        <v>Abrir facsímil</v>
      </c>
      <c r="K18437" s="10" t="s">
        <v>24</v>
      </c>
    </row>
    <row r="18438" spans="1:11" ht="54" customHeight="1">
      <c r="A18438" s="9" t="s">
        <v>37483</v>
      </c>
      <c r="B18438" s="9" t="s">
        <v>37484</v>
      </c>
      <c r="C18438" s="9" t="s">
        <v>17</v>
      </c>
      <c r="D18438" s="9" t="s">
        <v>18</v>
      </c>
      <c r="E18438" s="10" t="s">
        <v>222</v>
      </c>
      <c r="F18438" s="9" t="s">
        <v>223</v>
      </c>
      <c r="G18438" s="10" t="s">
        <v>75</v>
      </c>
      <c r="H18438" s="9" t="s">
        <v>35</v>
      </c>
      <c r="I18438" s="9" t="s">
        <v>37485</v>
      </c>
      <c r="J18438" s="10" t="str">
        <f>HYPERLINK("https://www.boe.es/gazeta/dias/1834/09/14/pdfs/GMD-1834-212.pdf#page=4","Abrir facsímil")</f>
        <v>Abrir facsímil</v>
      </c>
      <c r="K18438" s="10" t="s">
        <v>37</v>
      </c>
    </row>
    <row r="18439" spans="1:11" ht="54" customHeight="1">
      <c r="A18439" s="9" t="s">
        <v>37486</v>
      </c>
      <c r="B18439" s="9" t="s">
        <v>37486</v>
      </c>
      <c r="C18439" s="9" t="s">
        <v>46</v>
      </c>
      <c r="D18439" s="9" t="s">
        <v>55</v>
      </c>
      <c r="E18439" s="10" t="s">
        <v>928</v>
      </c>
      <c r="F18439" s="9" t="s">
        <v>3338</v>
      </c>
      <c r="G18439" s="10" t="s">
        <v>86</v>
      </c>
      <c r="H18439" s="9" t="s">
        <v>22</v>
      </c>
      <c r="I18439" s="9" t="s">
        <v>37487</v>
      </c>
      <c r="J18439" s="10" t="str">
        <f>HYPERLINK("https://www.boe.es/gazeta/dias/1834/11/15/pdfs/GMD-1834-274.pdf#page=2","Abrir facsímil")</f>
        <v>Abrir facsímil</v>
      </c>
      <c r="K18439" s="10" t="s">
        <v>24</v>
      </c>
    </row>
    <row r="18440" spans="1:11" ht="54" customHeight="1">
      <c r="A18440" s="9" t="s">
        <v>37486</v>
      </c>
      <c r="B18440" s="9" t="s">
        <v>37486</v>
      </c>
      <c r="C18440" s="9" t="s">
        <v>17</v>
      </c>
      <c r="D18440" s="9" t="s">
        <v>18</v>
      </c>
      <c r="E18440" s="10" t="s">
        <v>3499</v>
      </c>
      <c r="F18440" s="9" t="s">
        <v>3500</v>
      </c>
      <c r="G18440" s="10" t="s">
        <v>86</v>
      </c>
      <c r="H18440" s="9" t="s">
        <v>22</v>
      </c>
      <c r="I18440" s="9" t="s">
        <v>37488</v>
      </c>
      <c r="J18440" s="10" t="str">
        <f>HYPERLINK("https://www.boe.es/gazeta/dias/1834/01/28/pdfs/GMD-1834-13.pdf#page=2","Abrir facsímil")</f>
        <v>Abrir facsímil</v>
      </c>
      <c r="K18440" s="10" t="s">
        <v>24</v>
      </c>
    </row>
    <row r="18441" spans="1:11" ht="54" customHeight="1">
      <c r="A18441" s="9" t="s">
        <v>37489</v>
      </c>
      <c r="B18441" s="9" t="s">
        <v>37489</v>
      </c>
      <c r="C18441" s="9" t="s">
        <v>17</v>
      </c>
      <c r="D18441" s="9" t="s">
        <v>18</v>
      </c>
      <c r="E18441" s="10" t="s">
        <v>96</v>
      </c>
      <c r="F18441" s="9" t="s">
        <v>1725</v>
      </c>
      <c r="G18441" s="10" t="s">
        <v>86</v>
      </c>
      <c r="H18441" s="9" t="s">
        <v>22</v>
      </c>
      <c r="I18441" s="9" t="s">
        <v>37490</v>
      </c>
      <c r="J18441" s="10" t="str">
        <f>HYPERLINK("https://www.boe.es/gazeta/dias/1834/11/11/pdfs/GMD-1834-270.pdf#page=2","Abrir facsímil")</f>
        <v>Abrir facsímil</v>
      </c>
      <c r="K18441" s="10" t="s">
        <v>24</v>
      </c>
    </row>
    <row r="18442" spans="1:11" ht="54" customHeight="1">
      <c r="A18442" s="9" t="s">
        <v>37491</v>
      </c>
      <c r="B18442" s="9" t="s">
        <v>37491</v>
      </c>
      <c r="C18442" s="9" t="s">
        <v>46</v>
      </c>
      <c r="D18442" s="9" t="s">
        <v>55</v>
      </c>
      <c r="E18442" s="10" t="s">
        <v>299</v>
      </c>
      <c r="F18442" s="9" t="s">
        <v>300</v>
      </c>
      <c r="G18442" s="10" t="s">
        <v>86</v>
      </c>
      <c r="H18442" s="9" t="s">
        <v>22</v>
      </c>
      <c r="I18442" s="9" t="s">
        <v>37492</v>
      </c>
      <c r="J18442" s="10" t="str">
        <f>HYPERLINK("https://www.boe.es/gazeta/dias/1834/12/12/pdfs/GMD-1834-301.pdf#page=2","Abrir facsímil")</f>
        <v>Abrir facsímil</v>
      </c>
      <c r="K18442" s="10" t="s">
        <v>24</v>
      </c>
    </row>
    <row r="18443" spans="1:11" ht="54" customHeight="1">
      <c r="A18443" s="9" t="s">
        <v>37493</v>
      </c>
      <c r="B18443" s="9" t="s">
        <v>37493</v>
      </c>
      <c r="C18443" s="9" t="s">
        <v>17</v>
      </c>
      <c r="D18443" s="9" t="s">
        <v>55</v>
      </c>
      <c r="E18443" s="10" t="s">
        <v>192</v>
      </c>
      <c r="F18443" s="9" t="s">
        <v>193</v>
      </c>
      <c r="G18443" s="10" t="s">
        <v>86</v>
      </c>
      <c r="H18443" s="9" t="s">
        <v>22</v>
      </c>
      <c r="I18443" s="9" t="s">
        <v>37494</v>
      </c>
      <c r="J18443" s="10" t="str">
        <f>HYPERLINK("https://www.boe.es/gazeta/dias/1834/12/31/pdfs/GMD-1834-321.pdf#page=2","Abrir facsímil")</f>
        <v>Abrir facsímil</v>
      </c>
      <c r="K18443" s="10" t="s">
        <v>24</v>
      </c>
    </row>
    <row r="18444" spans="1:11" ht="54" customHeight="1">
      <c r="A18444" s="9" t="s">
        <v>37495</v>
      </c>
      <c r="B18444" s="9" t="s">
        <v>37495</v>
      </c>
      <c r="C18444" s="9" t="s">
        <v>17</v>
      </c>
      <c r="D18444" s="9" t="s">
        <v>55</v>
      </c>
      <c r="E18444" s="10" t="s">
        <v>1226</v>
      </c>
      <c r="F18444" s="9" t="s">
        <v>1227</v>
      </c>
      <c r="G18444" s="10" t="s">
        <v>86</v>
      </c>
      <c r="H18444" s="9" t="s">
        <v>22</v>
      </c>
      <c r="I18444" s="9" t="s">
        <v>37496</v>
      </c>
      <c r="J18444" s="10" t="str">
        <f>HYPERLINK("https://www.boe.es/gazeta/dias/1834/07/14/pdfs/GMD-1834-147.pdf#page=2","Abrir facsímil")</f>
        <v>Abrir facsímil</v>
      </c>
      <c r="K18444" s="10" t="s">
        <v>24</v>
      </c>
    </row>
    <row r="18445" spans="1:11" ht="54" customHeight="1">
      <c r="A18445" s="9" t="s">
        <v>37497</v>
      </c>
      <c r="B18445" s="9" t="s">
        <v>37497</v>
      </c>
      <c r="C18445" s="9" t="s">
        <v>17</v>
      </c>
      <c r="D18445" s="9" t="s">
        <v>18</v>
      </c>
      <c r="E18445" s="10" t="s">
        <v>1226</v>
      </c>
      <c r="F18445" s="9" t="s">
        <v>1227</v>
      </c>
      <c r="G18445" s="10" t="s">
        <v>86</v>
      </c>
      <c r="H18445" s="9" t="s">
        <v>22</v>
      </c>
      <c r="I18445" s="9" t="s">
        <v>37498</v>
      </c>
      <c r="J18445" s="10" t="str">
        <f>HYPERLINK("https://www.boe.es/gazeta/dias/1834/07/14/pdfs/GMD-1834-147.pdf#page=2","Abrir facsímil")</f>
        <v>Abrir facsímil</v>
      </c>
      <c r="K18445" s="10" t="s">
        <v>24</v>
      </c>
    </row>
    <row r="18446" spans="1:11" ht="54" customHeight="1">
      <c r="A18446" s="9" t="s">
        <v>37499</v>
      </c>
      <c r="B18446" s="9" t="s">
        <v>37499</v>
      </c>
      <c r="C18446" s="9" t="s">
        <v>17</v>
      </c>
      <c r="D18446" s="9" t="s">
        <v>18</v>
      </c>
      <c r="E18446" s="10" t="s">
        <v>1226</v>
      </c>
      <c r="F18446" s="9" t="s">
        <v>1227</v>
      </c>
      <c r="G18446" s="10" t="s">
        <v>86</v>
      </c>
      <c r="H18446" s="9" t="s">
        <v>22</v>
      </c>
      <c r="I18446" s="9" t="s">
        <v>37500</v>
      </c>
      <c r="J18446" s="10" t="str">
        <f>HYPERLINK("https://www.boe.es/gazeta/dias/1834/07/14/pdfs/GMD-1834-147.pdf#page=2","Abrir facsímil")</f>
        <v>Abrir facsímil</v>
      </c>
      <c r="K18446" s="10" t="s">
        <v>24</v>
      </c>
    </row>
    <row r="18447" spans="1:11" ht="54" customHeight="1">
      <c r="A18447" s="9" t="s">
        <v>37501</v>
      </c>
      <c r="B18447" s="9" t="s">
        <v>37501</v>
      </c>
      <c r="C18447" s="9" t="s">
        <v>46</v>
      </c>
      <c r="D18447" s="9" t="s">
        <v>55</v>
      </c>
      <c r="E18447" s="10" t="s">
        <v>1695</v>
      </c>
      <c r="F18447" s="9" t="s">
        <v>1696</v>
      </c>
      <c r="G18447" s="10" t="s">
        <v>34</v>
      </c>
      <c r="H18447" s="9" t="s">
        <v>22</v>
      </c>
      <c r="I18447" s="9" t="s">
        <v>37502</v>
      </c>
      <c r="J18447" s="10" t="str">
        <f>HYPERLINK("https://www.boe.es/gazeta/dias/1834/06/30/pdfs/GMD-1834-133.pdf#page=1","Abrir facsímil")</f>
        <v>Abrir facsímil</v>
      </c>
      <c r="K18447" s="10" t="s">
        <v>24</v>
      </c>
    </row>
    <row r="18448" spans="1:11" ht="54" customHeight="1">
      <c r="A18448" s="9" t="s">
        <v>37503</v>
      </c>
      <c r="B18448" s="9" t="s">
        <v>37504</v>
      </c>
      <c r="C18448" s="9" t="s">
        <v>17</v>
      </c>
      <c r="D18448" s="9" t="s">
        <v>18</v>
      </c>
      <c r="E18448" s="10" t="s">
        <v>4105</v>
      </c>
      <c r="F18448" s="9" t="s">
        <v>8942</v>
      </c>
      <c r="G18448" s="10" t="s">
        <v>75</v>
      </c>
      <c r="H18448" s="9" t="s">
        <v>22</v>
      </c>
      <c r="I18448" s="9" t="s">
        <v>37505</v>
      </c>
      <c r="J18448" s="10" t="str">
        <f>HYPERLINK("https://www.boe.es/gazeta/dias/1834/09/02/pdfs/GMD-1834-200.pdf#page=4","Abrir facsímil")</f>
        <v>Abrir facsímil</v>
      </c>
      <c r="K18448" s="10" t="s">
        <v>24</v>
      </c>
    </row>
    <row r="18449" spans="1:11" ht="54" customHeight="1">
      <c r="A18449" s="9" t="s">
        <v>37506</v>
      </c>
      <c r="B18449" s="9" t="s">
        <v>37507</v>
      </c>
      <c r="C18449" s="9" t="s">
        <v>122</v>
      </c>
      <c r="D18449" s="9" t="s">
        <v>101</v>
      </c>
      <c r="E18449" s="10" t="s">
        <v>912</v>
      </c>
      <c r="F18449" s="9" t="s">
        <v>913</v>
      </c>
      <c r="G18449" s="10" t="s">
        <v>86</v>
      </c>
      <c r="H18449" s="9" t="s">
        <v>35</v>
      </c>
      <c r="I18449" s="9" t="s">
        <v>37508</v>
      </c>
      <c r="J18449" s="10" t="str">
        <f>HYPERLINK("https://www.boe.es/gazeta/dias/1834/02/15/pdfs/GMD-1834-21.pdf#page=2","Abrir facsímil")</f>
        <v>Abrir facsímil</v>
      </c>
      <c r="K18449" s="10" t="s">
        <v>37</v>
      </c>
    </row>
    <row r="18450" spans="1:11" ht="54" customHeight="1">
      <c r="A18450" s="9" t="s">
        <v>37509</v>
      </c>
      <c r="B18450" s="9" t="s">
        <v>37509</v>
      </c>
      <c r="C18450" s="9" t="s">
        <v>17</v>
      </c>
      <c r="D18450" s="9" t="s">
        <v>18</v>
      </c>
      <c r="E18450" s="10" t="s">
        <v>4105</v>
      </c>
      <c r="F18450" s="9" t="s">
        <v>8942</v>
      </c>
      <c r="G18450" s="10" t="s">
        <v>34</v>
      </c>
      <c r="H18450" s="9" t="s">
        <v>22</v>
      </c>
      <c r="I18450" s="9" t="s">
        <v>37510</v>
      </c>
      <c r="J18450" s="10" t="str">
        <f>HYPERLINK("https://www.boe.es/gazeta/dias/1834/09/02/pdfs/GMD-1834-200.pdf#page=1","Abrir facsímil")</f>
        <v>Abrir facsímil</v>
      </c>
      <c r="K18450" s="10" t="s">
        <v>24</v>
      </c>
    </row>
    <row r="18451" spans="1:11" ht="54" customHeight="1">
      <c r="A18451" s="9" t="s">
        <v>37511</v>
      </c>
      <c r="B18451" s="9" t="s">
        <v>37511</v>
      </c>
      <c r="C18451" s="9" t="s">
        <v>17</v>
      </c>
      <c r="D18451" s="9" t="s">
        <v>55</v>
      </c>
      <c r="E18451" s="10" t="s">
        <v>163</v>
      </c>
      <c r="F18451" s="9" t="s">
        <v>164</v>
      </c>
      <c r="G18451" s="10" t="s">
        <v>86</v>
      </c>
      <c r="H18451" s="9" t="s">
        <v>22</v>
      </c>
      <c r="I18451" s="9" t="s">
        <v>37512</v>
      </c>
      <c r="J18451" s="10" t="str">
        <f>HYPERLINK("https://www.boe.es/gazeta/dias/1834/08/09/pdfs/GMD-1834-174.pdf#page=2","Abrir facsímil")</f>
        <v>Abrir facsímil</v>
      </c>
      <c r="K18451" s="10" t="s">
        <v>24</v>
      </c>
    </row>
    <row r="18452" spans="1:11" ht="54" customHeight="1">
      <c r="A18452" s="9" t="s">
        <v>37513</v>
      </c>
      <c r="B18452" s="9" t="s">
        <v>37514</v>
      </c>
      <c r="C18452" s="9" t="s">
        <v>46</v>
      </c>
      <c r="D18452" s="9" t="s">
        <v>101</v>
      </c>
      <c r="E18452" s="10" t="s">
        <v>330</v>
      </c>
      <c r="F18452" s="9" t="s">
        <v>331</v>
      </c>
      <c r="G18452" s="10" t="s">
        <v>86</v>
      </c>
      <c r="H18452" s="9" t="s">
        <v>22</v>
      </c>
      <c r="I18452" s="9" t="s">
        <v>37515</v>
      </c>
      <c r="J18452" s="10" t="str">
        <f>HYPERLINK("https://www.boe.es/gazeta/dias/1834/12/03/pdfs/GMD-1834-292.pdf#page=2","Abrir facsímil")</f>
        <v>Abrir facsímil</v>
      </c>
      <c r="K18452" s="10" t="s">
        <v>24</v>
      </c>
    </row>
    <row r="18453" spans="1:11" ht="54" customHeight="1">
      <c r="A18453" s="9" t="s">
        <v>37516</v>
      </c>
      <c r="B18453" s="9" t="s">
        <v>37516</v>
      </c>
      <c r="C18453" s="9" t="s">
        <v>46</v>
      </c>
      <c r="D18453" s="9" t="s">
        <v>55</v>
      </c>
      <c r="E18453" s="10" t="s">
        <v>739</v>
      </c>
      <c r="F18453" s="9" t="s">
        <v>740</v>
      </c>
      <c r="G18453" s="10" t="s">
        <v>86</v>
      </c>
      <c r="H18453" s="9" t="s">
        <v>22</v>
      </c>
      <c r="I18453" s="9" t="s">
        <v>37517</v>
      </c>
      <c r="J18453" s="10" t="str">
        <f>HYPERLINK("https://www.boe.es/gazeta/dias/1834/03/25/pdfs/GMD-1834-37.pdf#page=2","Abrir facsímil")</f>
        <v>Abrir facsímil</v>
      </c>
      <c r="K18453" s="10" t="s">
        <v>24</v>
      </c>
    </row>
    <row r="18454" spans="1:11" ht="54" customHeight="1">
      <c r="A18454" s="9" t="s">
        <v>37518</v>
      </c>
      <c r="B18454" s="9" t="s">
        <v>37518</v>
      </c>
      <c r="C18454" s="9" t="s">
        <v>122</v>
      </c>
      <c r="D18454" s="9" t="s">
        <v>55</v>
      </c>
      <c r="E18454" s="10" t="s">
        <v>1281</v>
      </c>
      <c r="F18454" s="9" t="s">
        <v>1282</v>
      </c>
      <c r="G18454" s="10" t="s">
        <v>21</v>
      </c>
      <c r="H18454" s="9" t="s">
        <v>22</v>
      </c>
      <c r="I18454" s="9" t="s">
        <v>37519</v>
      </c>
      <c r="J18454" s="10" t="str">
        <f>HYPERLINK("https://www.boe.es/gazeta/dias/1834/10/27/pdfs/GMD-1834-255.pdf#page=3","Abrir facsímil")</f>
        <v>Abrir facsímil</v>
      </c>
      <c r="K18454" s="10" t="s">
        <v>24</v>
      </c>
    </row>
    <row r="18455" spans="1:11" ht="54" customHeight="1">
      <c r="A18455" s="9" t="s">
        <v>37520</v>
      </c>
      <c r="B18455" s="9" t="s">
        <v>37521</v>
      </c>
      <c r="C18455" s="9" t="s">
        <v>17</v>
      </c>
      <c r="D18455" s="9" t="s">
        <v>18</v>
      </c>
      <c r="E18455" s="10" t="s">
        <v>367</v>
      </c>
      <c r="F18455" s="9" t="s">
        <v>368</v>
      </c>
      <c r="G18455" s="10" t="s">
        <v>21</v>
      </c>
      <c r="H18455" s="9" t="s">
        <v>22</v>
      </c>
      <c r="I18455" s="9" t="s">
        <v>37522</v>
      </c>
      <c r="J18455" s="10" t="str">
        <f>HYPERLINK("https://www.boe.es/gazeta/dias/1834/05/19/pdfs/GMD-1834-88.pdf#page=3","Abrir facsímil")</f>
        <v>Abrir facsímil</v>
      </c>
      <c r="K18455" s="10" t="s">
        <v>24</v>
      </c>
    </row>
    <row r="18456" spans="1:11" ht="54" customHeight="1">
      <c r="A18456" s="9" t="s">
        <v>37523</v>
      </c>
      <c r="B18456" s="9" t="s">
        <v>37523</v>
      </c>
      <c r="C18456" s="9" t="s">
        <v>17</v>
      </c>
      <c r="D18456" s="9" t="s">
        <v>55</v>
      </c>
      <c r="E18456" s="10" t="s">
        <v>1704</v>
      </c>
      <c r="F18456" s="9" t="s">
        <v>1705</v>
      </c>
      <c r="G18456" s="10" t="s">
        <v>34</v>
      </c>
      <c r="H18456" s="9" t="s">
        <v>22</v>
      </c>
      <c r="I18456" s="9" t="s">
        <v>37524</v>
      </c>
      <c r="J18456" s="10" t="str">
        <f>HYPERLINK("https://www.boe.es/gazeta/dias/1834/12/02/pdfs/GMD-1834-291.pdf#page=1","Abrir facsímil")</f>
        <v>Abrir facsímil</v>
      </c>
      <c r="K18456" s="10" t="s">
        <v>24</v>
      </c>
    </row>
    <row r="18457" spans="1:11" ht="54" customHeight="1">
      <c r="A18457" s="9" t="s">
        <v>37525</v>
      </c>
      <c r="B18457" s="9" t="s">
        <v>37525</v>
      </c>
      <c r="C18457" s="9" t="s">
        <v>122</v>
      </c>
      <c r="D18457" s="9" t="s">
        <v>18</v>
      </c>
      <c r="E18457" s="10" t="s">
        <v>785</v>
      </c>
      <c r="F18457" s="9" t="s">
        <v>786</v>
      </c>
      <c r="G18457" s="10" t="s">
        <v>86</v>
      </c>
      <c r="H18457" s="9" t="s">
        <v>22</v>
      </c>
      <c r="I18457" s="9" t="s">
        <v>37526</v>
      </c>
      <c r="J18457" s="10" t="str">
        <f>HYPERLINK("https://www.boe.es/gazeta/dias/1834/02/11/pdfs/GMD-1834-19.pdf#page=2","Abrir facsímil")</f>
        <v>Abrir facsímil</v>
      </c>
      <c r="K18457" s="10" t="s">
        <v>24</v>
      </c>
    </row>
    <row r="18458" spans="1:11" ht="54" customHeight="1">
      <c r="A18458" s="9" t="s">
        <v>37527</v>
      </c>
      <c r="B18458" s="9" t="s">
        <v>37528</v>
      </c>
      <c r="C18458" s="9" t="s">
        <v>46</v>
      </c>
      <c r="D18458" s="9" t="s">
        <v>55</v>
      </c>
      <c r="E18458" s="10" t="s">
        <v>866</v>
      </c>
      <c r="F18458" s="9" t="s">
        <v>867</v>
      </c>
      <c r="G18458" s="10" t="s">
        <v>86</v>
      </c>
      <c r="H18458" s="9" t="s">
        <v>22</v>
      </c>
      <c r="I18458" s="9" t="s">
        <v>37529</v>
      </c>
      <c r="J18458" s="10" t="str">
        <f>HYPERLINK("https://www.boe.es/gazeta/dias/1834/01/18/pdfs/GMD-1834-9.pdf#page=2","Abrir facsímil")</f>
        <v>Abrir facsímil</v>
      </c>
      <c r="K18458" s="10" t="s">
        <v>24</v>
      </c>
    </row>
    <row r="18459" spans="1:11" ht="54" customHeight="1">
      <c r="A18459" s="9" t="s">
        <v>37530</v>
      </c>
      <c r="B18459" s="9" t="s">
        <v>37530</v>
      </c>
      <c r="C18459" s="9" t="s">
        <v>17</v>
      </c>
      <c r="D18459" s="9" t="s">
        <v>18</v>
      </c>
      <c r="E18459" s="10" t="s">
        <v>183</v>
      </c>
      <c r="F18459" s="9" t="s">
        <v>184</v>
      </c>
      <c r="G18459" s="10" t="s">
        <v>34</v>
      </c>
      <c r="H18459" s="9" t="s">
        <v>22</v>
      </c>
      <c r="I18459" s="9" t="s">
        <v>37531</v>
      </c>
      <c r="J18459" s="10" t="str">
        <f>HYPERLINK("https://www.boe.es/gazeta/dias/1834/03/18/pdfs/GMD-1834-34.pdf#page=1","Abrir facsímil")</f>
        <v>Abrir facsímil</v>
      </c>
      <c r="K18459" s="10" t="s">
        <v>24</v>
      </c>
    </row>
    <row r="18460" spans="1:11" ht="54" customHeight="1">
      <c r="A18460" s="9" t="s">
        <v>37532</v>
      </c>
      <c r="B18460" s="9" t="s">
        <v>37532</v>
      </c>
      <c r="C18460" s="9" t="s">
        <v>122</v>
      </c>
      <c r="D18460" s="9" t="s">
        <v>40</v>
      </c>
      <c r="E18460" s="10" t="s">
        <v>1459</v>
      </c>
      <c r="F18460" s="9" t="s">
        <v>1460</v>
      </c>
      <c r="G18460" s="10" t="s">
        <v>34</v>
      </c>
      <c r="H18460" s="9" t="s">
        <v>22</v>
      </c>
      <c r="I18460" s="9" t="s">
        <v>37533</v>
      </c>
      <c r="J18460" s="10" t="str">
        <f>HYPERLINK("https://www.boe.es/gazeta/dias/1834/08/18/pdfs/GMD-1834-184.pdf#page=1","Abrir facsímil")</f>
        <v>Abrir facsímil</v>
      </c>
      <c r="K18460" s="10" t="s">
        <v>24</v>
      </c>
    </row>
    <row r="18461" spans="1:11" ht="54" customHeight="1">
      <c r="A18461" s="9" t="s">
        <v>37534</v>
      </c>
      <c r="B18461" s="9" t="s">
        <v>37534</v>
      </c>
      <c r="C18461" s="9" t="s">
        <v>17</v>
      </c>
      <c r="D18461" s="9" t="s">
        <v>18</v>
      </c>
      <c r="E18461" s="10" t="s">
        <v>571</v>
      </c>
      <c r="F18461" s="9" t="s">
        <v>620</v>
      </c>
      <c r="G18461" s="10" t="s">
        <v>86</v>
      </c>
      <c r="H18461" s="9" t="s">
        <v>22</v>
      </c>
      <c r="I18461" s="9" t="s">
        <v>37535</v>
      </c>
      <c r="J18461" s="10" t="str">
        <f>HYPERLINK("https://www.boe.es/gazeta/dias/1834/09/04/pdfs/GMD-C-1834-202.pdf#page=2","Abrir facsímil")</f>
        <v>Abrir facsímil</v>
      </c>
      <c r="K18461" s="10" t="s">
        <v>24</v>
      </c>
    </row>
    <row r="18462" spans="1:11" ht="54" customHeight="1">
      <c r="A18462" s="9" t="s">
        <v>37536</v>
      </c>
      <c r="B18462" s="9" t="s">
        <v>37536</v>
      </c>
      <c r="C18462" s="9" t="s">
        <v>17</v>
      </c>
      <c r="D18462" s="9" t="s">
        <v>18</v>
      </c>
      <c r="E18462" s="10" t="s">
        <v>1226</v>
      </c>
      <c r="F18462" s="9" t="s">
        <v>1227</v>
      </c>
      <c r="G18462" s="10" t="s">
        <v>86</v>
      </c>
      <c r="H18462" s="9" t="s">
        <v>22</v>
      </c>
      <c r="I18462" s="9" t="s">
        <v>37537</v>
      </c>
      <c r="J18462" s="10" t="str">
        <f>HYPERLINK("https://www.boe.es/gazeta/dias/1834/07/14/pdfs/GMD-1834-147.pdf#page=2","Abrir facsímil")</f>
        <v>Abrir facsímil</v>
      </c>
      <c r="K18462" s="10" t="s">
        <v>24</v>
      </c>
    </row>
    <row r="18463" spans="1:11" ht="54" customHeight="1">
      <c r="A18463" s="9" t="s">
        <v>37538</v>
      </c>
      <c r="B18463" s="9" t="s">
        <v>37538</v>
      </c>
      <c r="C18463" s="9" t="s">
        <v>17</v>
      </c>
      <c r="D18463" s="9" t="s">
        <v>18</v>
      </c>
      <c r="E18463" s="10" t="s">
        <v>4565</v>
      </c>
      <c r="F18463" s="9" t="s">
        <v>4566</v>
      </c>
      <c r="G18463" s="10" t="s">
        <v>86</v>
      </c>
      <c r="H18463" s="9" t="s">
        <v>22</v>
      </c>
      <c r="I18463" s="9" t="s">
        <v>37539</v>
      </c>
      <c r="J18463" s="10" t="str">
        <f>HYPERLINK("https://www.boe.es/gazeta/dias/1834/07/10/pdfs/GMD-1834-143.pdf#page=2","Abrir facsímil")</f>
        <v>Abrir facsímil</v>
      </c>
      <c r="K18463" s="10" t="s">
        <v>24</v>
      </c>
    </row>
    <row r="18464" spans="1:11" ht="54" customHeight="1">
      <c r="A18464" s="9" t="s">
        <v>37540</v>
      </c>
      <c r="B18464" s="9" t="s">
        <v>37541</v>
      </c>
      <c r="C18464" s="9" t="s">
        <v>17</v>
      </c>
      <c r="D18464" s="9" t="s">
        <v>18</v>
      </c>
      <c r="E18464" s="10" t="s">
        <v>394</v>
      </c>
      <c r="F18464" s="9" t="s">
        <v>459</v>
      </c>
      <c r="G18464" s="10" t="s">
        <v>34</v>
      </c>
      <c r="H18464" s="9" t="s">
        <v>22</v>
      </c>
      <c r="I18464" s="9" t="s">
        <v>37542</v>
      </c>
      <c r="J18464" s="10" t="str">
        <f>HYPERLINK("https://www.boe.es/gazeta/dias/1834/12/23/pdfs/GMD-C-1834-313.pdf#page=1","Abrir facsímil")</f>
        <v>Abrir facsímil</v>
      </c>
      <c r="K18464" s="10" t="s">
        <v>24</v>
      </c>
    </row>
    <row r="18465" spans="1:11" ht="54" customHeight="1">
      <c r="A18465" s="9" t="s">
        <v>37543</v>
      </c>
      <c r="B18465" s="9" t="s">
        <v>37544</v>
      </c>
      <c r="C18465" s="9" t="s">
        <v>90</v>
      </c>
      <c r="D18465" s="9" t="s">
        <v>18</v>
      </c>
      <c r="E18465" s="10" t="s">
        <v>1002</v>
      </c>
      <c r="F18465" s="9" t="s">
        <v>6383</v>
      </c>
      <c r="G18465" s="10" t="s">
        <v>34</v>
      </c>
      <c r="H18465" s="9" t="s">
        <v>22</v>
      </c>
      <c r="I18465" s="9" t="s">
        <v>37545</v>
      </c>
      <c r="J18465" s="10" t="str">
        <f>HYPERLINK("https://www.boe.es/gazeta/dias/1834/06/26/pdfs/GMD-C-1834-129.pdf#page=1","Abrir facsímil")</f>
        <v>Abrir facsímil</v>
      </c>
      <c r="K18465" s="10" t="s">
        <v>24</v>
      </c>
    </row>
    <row r="18466" spans="1:11" ht="54" customHeight="1">
      <c r="A18466" s="9" t="s">
        <v>37546</v>
      </c>
      <c r="B18466" s="9" t="s">
        <v>37547</v>
      </c>
      <c r="C18466" s="9" t="s">
        <v>122</v>
      </c>
      <c r="D18466" s="9" t="s">
        <v>18</v>
      </c>
      <c r="E18466" s="10" t="s">
        <v>2107</v>
      </c>
      <c r="F18466" s="9" t="s">
        <v>2108</v>
      </c>
      <c r="G18466" s="10" t="s">
        <v>75</v>
      </c>
      <c r="H18466" s="9" t="s">
        <v>22</v>
      </c>
      <c r="I18466" s="9" t="s">
        <v>37548</v>
      </c>
      <c r="J18466" s="10" t="str">
        <f>HYPERLINK("https://www.boe.es/gazeta/dias/1834/08/24/pdfs/GMD-1834-190.pdf#page=4","Abrir facsímil")</f>
        <v>Abrir facsímil</v>
      </c>
      <c r="K18466" s="10" t="s">
        <v>24</v>
      </c>
    </row>
    <row r="18467" spans="1:11" ht="54" customHeight="1">
      <c r="A18467" s="9" t="s">
        <v>37549</v>
      </c>
      <c r="B18467" s="9" t="s">
        <v>37549</v>
      </c>
      <c r="C18467" s="9" t="s">
        <v>46</v>
      </c>
      <c r="D18467" s="9" t="s">
        <v>18</v>
      </c>
      <c r="E18467" s="10" t="s">
        <v>1170</v>
      </c>
      <c r="F18467" s="9" t="s">
        <v>1171</v>
      </c>
      <c r="G18467" s="10" t="s">
        <v>75</v>
      </c>
      <c r="H18467" s="9" t="s">
        <v>22</v>
      </c>
      <c r="I18467" s="9" t="s">
        <v>37550</v>
      </c>
      <c r="J18467" s="10" t="str">
        <f>HYPERLINK("https://www.boe.es/gazeta/dias/1834/01/07/pdfs/GMD-1834-4.pdf#page=4","Abrir facsímil")</f>
        <v>Abrir facsímil</v>
      </c>
      <c r="K18467" s="10" t="s">
        <v>24</v>
      </c>
    </row>
    <row r="18468" spans="1:11" ht="54" customHeight="1">
      <c r="A18468" s="9" t="s">
        <v>37551</v>
      </c>
      <c r="B18468" s="9" t="s">
        <v>37552</v>
      </c>
      <c r="C18468" s="9" t="s">
        <v>17</v>
      </c>
      <c r="D18468" s="9" t="s">
        <v>18</v>
      </c>
      <c r="E18468" s="10" t="s">
        <v>56</v>
      </c>
      <c r="F18468" s="9" t="s">
        <v>57</v>
      </c>
      <c r="G18468" s="10" t="s">
        <v>21</v>
      </c>
      <c r="H18468" s="9" t="s">
        <v>35</v>
      </c>
      <c r="I18468" s="9" t="s">
        <v>37553</v>
      </c>
      <c r="J18468" s="10" t="str">
        <f>HYPERLINK("https://www.boe.es/gazeta/dias/1834/07/09/pdfs/GMD-1834-142.pdf#page=3","Abrir facsímil")</f>
        <v>Abrir facsímil</v>
      </c>
      <c r="K18468" s="10" t="s">
        <v>37</v>
      </c>
    </row>
    <row r="18469" spans="1:11" ht="54" customHeight="1">
      <c r="A18469" s="9" t="s">
        <v>37554</v>
      </c>
      <c r="B18469" s="9" t="s">
        <v>37555</v>
      </c>
      <c r="C18469" s="9" t="s">
        <v>17</v>
      </c>
      <c r="D18469" s="9" t="s">
        <v>18</v>
      </c>
      <c r="E18469" s="10" t="s">
        <v>56</v>
      </c>
      <c r="F18469" s="9" t="s">
        <v>57</v>
      </c>
      <c r="G18469" s="10" t="s">
        <v>21</v>
      </c>
      <c r="H18469" s="9" t="s">
        <v>22</v>
      </c>
      <c r="I18469" s="9" t="s">
        <v>37556</v>
      </c>
      <c r="J18469" s="10" t="str">
        <f>HYPERLINK("https://www.boe.es/gazeta/dias/1834/07/09/pdfs/GMD-1834-142.pdf#page=3","Abrir facsímil")</f>
        <v>Abrir facsímil</v>
      </c>
      <c r="K18469" s="10" t="s">
        <v>24</v>
      </c>
    </row>
    <row r="18470" spans="1:11" ht="54" customHeight="1">
      <c r="A18470" s="9" t="s">
        <v>37557</v>
      </c>
      <c r="B18470" s="9" t="s">
        <v>37557</v>
      </c>
      <c r="C18470" s="9" t="s">
        <v>66</v>
      </c>
      <c r="D18470" s="9" t="s">
        <v>67</v>
      </c>
      <c r="E18470" s="10" t="s">
        <v>601</v>
      </c>
      <c r="F18470" s="9" t="s">
        <v>602</v>
      </c>
      <c r="G18470" s="10" t="s">
        <v>86</v>
      </c>
      <c r="H18470" s="9" t="s">
        <v>22</v>
      </c>
      <c r="I18470" s="9" t="s">
        <v>37558</v>
      </c>
      <c r="J18470" s="10" t="str">
        <f>HYPERLINK("https://www.boe.es/gazeta/dias/1834/08/16/pdfs/GMD-1834-181.pdf#page=2","Abrir facsímil")</f>
        <v>Abrir facsímil</v>
      </c>
      <c r="K18470" s="10" t="s">
        <v>24</v>
      </c>
    </row>
    <row r="18471" spans="1:11" ht="54" customHeight="1">
      <c r="A18471" s="9" t="s">
        <v>37559</v>
      </c>
      <c r="B18471" s="9" t="s">
        <v>37559</v>
      </c>
      <c r="C18471" s="9" t="s">
        <v>66</v>
      </c>
      <c r="D18471" s="9" t="s">
        <v>67</v>
      </c>
      <c r="E18471" s="10" t="s">
        <v>1351</v>
      </c>
      <c r="F18471" s="9" t="s">
        <v>1352</v>
      </c>
      <c r="G18471" s="10" t="s">
        <v>21</v>
      </c>
      <c r="H18471" s="9" t="s">
        <v>22</v>
      </c>
      <c r="I18471" s="9" t="s">
        <v>37560</v>
      </c>
      <c r="J18471" s="10" t="str">
        <f>HYPERLINK("https://www.boe.es/gazeta/dias/1834/07/05/pdfs/GMD-1834-138.pdf#page=3","Abrir facsímil")</f>
        <v>Abrir facsímil</v>
      </c>
      <c r="K18471" s="10" t="s">
        <v>24</v>
      </c>
    </row>
    <row r="18472" spans="1:11" ht="54" customHeight="1">
      <c r="A18472" s="9" t="s">
        <v>37561</v>
      </c>
      <c r="B18472" s="9" t="s">
        <v>37561</v>
      </c>
      <c r="C18472" s="9" t="s">
        <v>46</v>
      </c>
      <c r="D18472" s="9" t="s">
        <v>101</v>
      </c>
      <c r="E18472" s="10" t="s">
        <v>642</v>
      </c>
      <c r="F18472" s="9" t="s">
        <v>643</v>
      </c>
      <c r="G18472" s="10" t="s">
        <v>75</v>
      </c>
      <c r="H18472" s="9" t="s">
        <v>22</v>
      </c>
      <c r="I18472" s="9" t="s">
        <v>37562</v>
      </c>
      <c r="J18472" s="10" t="str">
        <f>HYPERLINK("https://www.boe.es/gazeta/dias/1834/11/12/pdfs/GMD-C-1834-271.pdf#page=4","Abrir facsímil")</f>
        <v>Abrir facsímil</v>
      </c>
      <c r="K18472" s="10" t="s">
        <v>24</v>
      </c>
    </row>
    <row r="18473" spans="1:11" ht="54" customHeight="1">
      <c r="A18473" s="9" t="s">
        <v>37563</v>
      </c>
      <c r="B18473" s="9" t="s">
        <v>37564</v>
      </c>
      <c r="C18473" s="9" t="s">
        <v>17</v>
      </c>
      <c r="D18473" s="9" t="s">
        <v>101</v>
      </c>
      <c r="E18473" s="10" t="s">
        <v>68</v>
      </c>
      <c r="F18473" s="9" t="s">
        <v>69</v>
      </c>
      <c r="G18473" s="10" t="s">
        <v>75</v>
      </c>
      <c r="H18473" s="9" t="s">
        <v>22</v>
      </c>
      <c r="I18473" s="9" t="s">
        <v>37565</v>
      </c>
      <c r="J18473" s="10" t="str">
        <f>HYPERLINK("https://www.boe.es/gazeta/dias/1834/11/01/pdfs/GMD-1834-260.pdf#page=4","Abrir facsímil")</f>
        <v>Abrir facsímil</v>
      </c>
      <c r="K18473" s="10" t="s">
        <v>24</v>
      </c>
    </row>
    <row r="18474" spans="1:11" ht="54" customHeight="1">
      <c r="A18474" s="9" t="s">
        <v>37566</v>
      </c>
      <c r="B18474" s="9" t="s">
        <v>37567</v>
      </c>
      <c r="C18474" s="9" t="s">
        <v>17</v>
      </c>
      <c r="D18474" s="9" t="s">
        <v>55</v>
      </c>
      <c r="E18474" s="10" t="s">
        <v>153</v>
      </c>
      <c r="F18474" s="9" t="s">
        <v>1294</v>
      </c>
      <c r="G18474" s="10" t="s">
        <v>34</v>
      </c>
      <c r="H18474" s="9" t="s">
        <v>22</v>
      </c>
      <c r="I18474" s="9" t="s">
        <v>37568</v>
      </c>
      <c r="J18474" s="10" t="str">
        <f>HYPERLINK("https://www.boe.es/gazeta/dias/1834/12/30/pdfs/GMD-1834-320.pdf#page=1","Abrir facsímil")</f>
        <v>Abrir facsímil</v>
      </c>
      <c r="K18474" s="10" t="s">
        <v>24</v>
      </c>
    </row>
    <row r="18475" spans="1:11" ht="54" customHeight="1">
      <c r="A18475" s="9" t="s">
        <v>37569</v>
      </c>
      <c r="B18475" s="9" t="s">
        <v>37569</v>
      </c>
      <c r="C18475" s="9" t="s">
        <v>122</v>
      </c>
      <c r="D18475" s="9" t="s">
        <v>18</v>
      </c>
      <c r="E18475" s="10" t="s">
        <v>73</v>
      </c>
      <c r="F18475" s="9" t="s">
        <v>74</v>
      </c>
      <c r="G18475" s="10" t="s">
        <v>75</v>
      </c>
      <c r="H18475" s="9" t="s">
        <v>22</v>
      </c>
      <c r="I18475" s="9" t="s">
        <v>37570</v>
      </c>
      <c r="J18475" s="10" t="str">
        <f>HYPERLINK("https://www.boe.es/gazeta/dias/1834/11/04/pdfs/GMD-1834-263.pdf#page=4","Abrir facsímil")</f>
        <v>Abrir facsímil</v>
      </c>
      <c r="K18475" s="10" t="s">
        <v>24</v>
      </c>
    </row>
    <row r="18476" spans="1:11" ht="54" customHeight="1">
      <c r="A18476" s="9" t="s">
        <v>37571</v>
      </c>
      <c r="B18476" s="9" t="s">
        <v>37572</v>
      </c>
      <c r="C18476" s="9" t="s">
        <v>17</v>
      </c>
      <c r="D18476" s="9" t="s">
        <v>18</v>
      </c>
      <c r="E18476" s="10" t="s">
        <v>793</v>
      </c>
      <c r="F18476" s="9" t="s">
        <v>794</v>
      </c>
      <c r="G18476" s="10" t="s">
        <v>75</v>
      </c>
      <c r="H18476" s="9" t="s">
        <v>22</v>
      </c>
      <c r="I18476" s="9" t="s">
        <v>37573</v>
      </c>
      <c r="J18476" s="10" t="str">
        <f>HYPERLINK("https://www.boe.es/gazeta/dias/1834/10/08/pdfs/GMD-1834-236.pdf#page=4","Abrir facsímil")</f>
        <v>Abrir facsímil</v>
      </c>
      <c r="K18476" s="10" t="s">
        <v>24</v>
      </c>
    </row>
    <row r="18477" spans="1:11" ht="54" customHeight="1">
      <c r="A18477" s="9" t="s">
        <v>37574</v>
      </c>
      <c r="B18477" s="9" t="s">
        <v>37574</v>
      </c>
      <c r="C18477" s="9" t="s">
        <v>17</v>
      </c>
      <c r="D18477" s="9" t="s">
        <v>18</v>
      </c>
      <c r="E18477" s="10" t="s">
        <v>623</v>
      </c>
      <c r="F18477" s="9" t="s">
        <v>3442</v>
      </c>
      <c r="G18477" s="10" t="s">
        <v>21</v>
      </c>
      <c r="H18477" s="9" t="s">
        <v>22</v>
      </c>
      <c r="I18477" s="9" t="s">
        <v>37575</v>
      </c>
      <c r="J18477" s="10" t="str">
        <f>HYPERLINK("https://www.boe.es/gazeta/dias/1834/10/12/pdfs/GMD-1834-240.pdf#page=3","Abrir facsímil")</f>
        <v>Abrir facsímil</v>
      </c>
      <c r="K18477" s="10" t="s">
        <v>24</v>
      </c>
    </row>
    <row r="18478" spans="1:11" ht="54" customHeight="1">
      <c r="A18478" s="9" t="s">
        <v>37576</v>
      </c>
      <c r="B18478" s="9" t="s">
        <v>37576</v>
      </c>
      <c r="C18478" s="9" t="s">
        <v>17</v>
      </c>
      <c r="D18478" s="9" t="s">
        <v>18</v>
      </c>
      <c r="E18478" s="10" t="s">
        <v>117</v>
      </c>
      <c r="F18478" s="9" t="s">
        <v>118</v>
      </c>
      <c r="G18478" s="10" t="s">
        <v>75</v>
      </c>
      <c r="H18478" s="9" t="s">
        <v>22</v>
      </c>
      <c r="I18478" s="9" t="s">
        <v>37577</v>
      </c>
      <c r="J18478" s="10" t="str">
        <f>HYPERLINK("https://www.boe.es/gazeta/dias/1834/07/21/pdfs/GMD-1834-154.pdf#page=4","Abrir facsímil")</f>
        <v>Abrir facsímil</v>
      </c>
      <c r="K18478" s="10" t="s">
        <v>24</v>
      </c>
    </row>
    <row r="18479" spans="1:11" ht="54" customHeight="1">
      <c r="A18479" s="9" t="s">
        <v>37576</v>
      </c>
      <c r="B18479" s="9" t="s">
        <v>37576</v>
      </c>
      <c r="C18479" s="9" t="s">
        <v>17</v>
      </c>
      <c r="D18479" s="9" t="s">
        <v>18</v>
      </c>
      <c r="E18479" s="10" t="s">
        <v>2302</v>
      </c>
      <c r="F18479" s="9" t="s">
        <v>2303</v>
      </c>
      <c r="G18479" s="10" t="s">
        <v>75</v>
      </c>
      <c r="H18479" s="9" t="s">
        <v>22</v>
      </c>
      <c r="I18479" s="9" t="s">
        <v>37578</v>
      </c>
      <c r="J18479" s="10" t="str">
        <f>HYPERLINK("https://www.boe.es/gazeta/dias/1834/01/25/pdfs/GMD-1834-12.pdf#page=4","Abrir facsímil")</f>
        <v>Abrir facsímil</v>
      </c>
      <c r="K18479" s="10" t="s">
        <v>24</v>
      </c>
    </row>
    <row r="18480" spans="1:11" ht="54" customHeight="1">
      <c r="A18480" s="9" t="s">
        <v>37579</v>
      </c>
      <c r="B18480" s="9" t="s">
        <v>37580</v>
      </c>
      <c r="C18480" s="9" t="s">
        <v>66</v>
      </c>
      <c r="D18480" s="9" t="s">
        <v>67</v>
      </c>
      <c r="E18480" s="10" t="s">
        <v>61</v>
      </c>
      <c r="F18480" s="9" t="s">
        <v>205</v>
      </c>
      <c r="G18480" s="10" t="s">
        <v>21</v>
      </c>
      <c r="H18480" s="9" t="s">
        <v>35</v>
      </c>
      <c r="I18480" s="9" t="s">
        <v>37581</v>
      </c>
      <c r="J18480" s="10" t="str">
        <f>HYPERLINK("https://www.boe.es/gazeta/dias/1834/06/08/pdfs/GMD-1834-110.pdf#page=3","Abrir facsímil")</f>
        <v>Abrir facsímil</v>
      </c>
      <c r="K18480" s="10" t="s">
        <v>37</v>
      </c>
    </row>
    <row r="18481" spans="1:11" ht="54" customHeight="1">
      <c r="A18481" s="9" t="s">
        <v>37582</v>
      </c>
      <c r="B18481" s="9" t="s">
        <v>37583</v>
      </c>
      <c r="C18481" s="9" t="s">
        <v>122</v>
      </c>
      <c r="D18481" s="9" t="s">
        <v>18</v>
      </c>
      <c r="E18481" s="10" t="s">
        <v>844</v>
      </c>
      <c r="F18481" s="9" t="s">
        <v>845</v>
      </c>
      <c r="G18481" s="10" t="s">
        <v>75</v>
      </c>
      <c r="H18481" s="9" t="s">
        <v>22</v>
      </c>
      <c r="I18481" s="9" t="s">
        <v>37584</v>
      </c>
      <c r="J18481" s="10" t="str">
        <f>HYPERLINK("https://www.boe.es/gazeta/dias/1834/03/13/pdfs/GMD-1834-32.pdf#page=4","Abrir facsímil")</f>
        <v>Abrir facsímil</v>
      </c>
      <c r="K18481" s="10" t="s">
        <v>24</v>
      </c>
    </row>
    <row r="18482" spans="1:11" ht="54" customHeight="1">
      <c r="A18482" s="9" t="s">
        <v>37585</v>
      </c>
      <c r="B18482" s="9" t="s">
        <v>37586</v>
      </c>
      <c r="C18482" s="9" t="s">
        <v>66</v>
      </c>
      <c r="D18482" s="9" t="s">
        <v>67</v>
      </c>
      <c r="E18482" s="10" t="s">
        <v>1572</v>
      </c>
      <c r="F18482" s="9" t="s">
        <v>1573</v>
      </c>
      <c r="G18482" s="10" t="s">
        <v>34</v>
      </c>
      <c r="H18482" s="9" t="s">
        <v>22</v>
      </c>
      <c r="I18482" s="9" t="s">
        <v>37587</v>
      </c>
      <c r="J18482" s="10" t="str">
        <f>HYPERLINK("https://www.boe.es/gazeta/dias/1834/03/20/pdfs/GMD-1834-35.pdf#page=1","Abrir facsímil")</f>
        <v>Abrir facsímil</v>
      </c>
      <c r="K18482" s="10" t="s">
        <v>24</v>
      </c>
    </row>
    <row r="18483" spans="1:11" ht="54" customHeight="1">
      <c r="A18483" s="9" t="s">
        <v>37588</v>
      </c>
      <c r="B18483" s="9" t="s">
        <v>37589</v>
      </c>
      <c r="C18483" s="9" t="s">
        <v>17</v>
      </c>
      <c r="D18483" s="9" t="s">
        <v>18</v>
      </c>
      <c r="E18483" s="10" t="s">
        <v>47</v>
      </c>
      <c r="F18483" s="9" t="s">
        <v>1466</v>
      </c>
      <c r="G18483" s="10" t="s">
        <v>21</v>
      </c>
      <c r="H18483" s="9" t="s">
        <v>22</v>
      </c>
      <c r="I18483" s="9" t="s">
        <v>37590</v>
      </c>
      <c r="J18483" s="10" t="str">
        <f>HYPERLINK("https://www.boe.es/gazeta/dias/1834/09/05/pdfs/GMD-1834-203.pdf#page=3","Abrir facsímil")</f>
        <v>Abrir facsímil</v>
      </c>
      <c r="K18483" s="10" t="s">
        <v>24</v>
      </c>
    </row>
    <row r="18484" spans="1:11" ht="54" customHeight="1">
      <c r="A18484" s="9" t="s">
        <v>37591</v>
      </c>
      <c r="B18484" s="9" t="s">
        <v>37591</v>
      </c>
      <c r="C18484" s="9" t="s">
        <v>46</v>
      </c>
      <c r="D18484" s="9" t="s">
        <v>55</v>
      </c>
      <c r="E18484" s="10" t="s">
        <v>899</v>
      </c>
      <c r="F18484" s="9" t="s">
        <v>900</v>
      </c>
      <c r="G18484" s="10" t="s">
        <v>21</v>
      </c>
      <c r="H18484" s="9" t="s">
        <v>22</v>
      </c>
      <c r="I18484" s="9" t="s">
        <v>37592</v>
      </c>
      <c r="J18484" s="10" t="str">
        <f>HYPERLINK("https://www.boe.es/gazeta/dias/1834/01/30/pdfs/GMD-1834-14.pdf#page=3","Abrir facsímil")</f>
        <v>Abrir facsímil</v>
      </c>
      <c r="K18484" s="10" t="s">
        <v>24</v>
      </c>
    </row>
    <row r="18485" spans="1:11" ht="54" customHeight="1">
      <c r="A18485" s="9" t="s">
        <v>37593</v>
      </c>
      <c r="B18485" s="9" t="s">
        <v>37594</v>
      </c>
      <c r="C18485" s="9" t="s">
        <v>90</v>
      </c>
      <c r="D18485" s="9" t="s">
        <v>18</v>
      </c>
      <c r="E18485" s="10" t="s">
        <v>280</v>
      </c>
      <c r="F18485" s="9" t="s">
        <v>281</v>
      </c>
      <c r="G18485" s="10" t="s">
        <v>560</v>
      </c>
      <c r="H18485" s="9" t="s">
        <v>22</v>
      </c>
      <c r="I18485" s="9" t="s">
        <v>37595</v>
      </c>
      <c r="J18485" s="10" t="str">
        <f>HYPERLINK("https://www.boe.es/gazeta/dias/1834/08/29/pdfs/GMD-C-1834-195.pdf#page=7","Abrir facsímil")</f>
        <v>Abrir facsímil</v>
      </c>
      <c r="K18485" s="10" t="s">
        <v>24</v>
      </c>
    </row>
    <row r="18486" spans="1:11" ht="54" customHeight="1">
      <c r="A18486" s="9" t="s">
        <v>37596</v>
      </c>
      <c r="B18486" s="9" t="s">
        <v>37597</v>
      </c>
      <c r="C18486" s="9" t="s">
        <v>17</v>
      </c>
      <c r="D18486" s="9" t="s">
        <v>18</v>
      </c>
      <c r="E18486" s="10" t="s">
        <v>647</v>
      </c>
      <c r="F18486" s="9" t="s">
        <v>648</v>
      </c>
      <c r="G18486" s="10" t="s">
        <v>86</v>
      </c>
      <c r="H18486" s="9" t="s">
        <v>22</v>
      </c>
      <c r="I18486" s="9" t="s">
        <v>37598</v>
      </c>
      <c r="J18486" s="10" t="str">
        <f>HYPERLINK("https://www.boe.es/gazeta/dias/1834/10/21/pdfs/GMD-C-1834-249.pdf#page=2","Abrir facsímil")</f>
        <v>Abrir facsímil</v>
      </c>
      <c r="K18486" s="10" t="s">
        <v>24</v>
      </c>
    </row>
    <row r="18487" spans="1:11" ht="54" customHeight="1">
      <c r="A18487" s="9" t="s">
        <v>37599</v>
      </c>
      <c r="B18487" s="9" t="s">
        <v>37600</v>
      </c>
      <c r="C18487" s="9" t="s">
        <v>90</v>
      </c>
      <c r="D18487" s="9" t="s">
        <v>18</v>
      </c>
      <c r="E18487" s="10" t="s">
        <v>262</v>
      </c>
      <c r="F18487" s="9" t="s">
        <v>263</v>
      </c>
      <c r="G18487" s="10" t="s">
        <v>21</v>
      </c>
      <c r="H18487" s="9" t="s">
        <v>22</v>
      </c>
      <c r="I18487" s="9" t="s">
        <v>37601</v>
      </c>
      <c r="J18487" s="10" t="str">
        <f>HYPERLINK("https://www.boe.es/gazeta/dias/1834/10/18/pdfs/GMD-C-1834-246.pdf#page=3","Abrir facsímil")</f>
        <v>Abrir facsímil</v>
      </c>
      <c r="K18487" s="10" t="s">
        <v>24</v>
      </c>
    </row>
    <row r="18488" spans="1:11" ht="54" customHeight="1">
      <c r="A18488" s="9" t="s">
        <v>37602</v>
      </c>
      <c r="B18488" s="9" t="s">
        <v>37603</v>
      </c>
      <c r="C18488" s="9" t="s">
        <v>90</v>
      </c>
      <c r="D18488" s="9" t="s">
        <v>18</v>
      </c>
      <c r="E18488" s="10" t="s">
        <v>378</v>
      </c>
      <c r="F18488" s="9" t="s">
        <v>888</v>
      </c>
      <c r="G18488" s="10" t="s">
        <v>21</v>
      </c>
      <c r="H18488" s="9" t="s">
        <v>22</v>
      </c>
      <c r="I18488" s="9" t="s">
        <v>37604</v>
      </c>
      <c r="J18488" s="10" t="str">
        <f>HYPERLINK("https://www.boe.es/gazeta/dias/1834/09/24/pdfs/GMD-C-1834-222.pdf#page=3","Abrir facsímil")</f>
        <v>Abrir facsímil</v>
      </c>
      <c r="K18488" s="10" t="s">
        <v>24</v>
      </c>
    </row>
    <row r="18489" spans="1:11" ht="54" customHeight="1">
      <c r="A18489" s="9" t="s">
        <v>37605</v>
      </c>
      <c r="B18489" s="9" t="s">
        <v>37606</v>
      </c>
      <c r="C18489" s="9" t="s">
        <v>17</v>
      </c>
      <c r="D18489" s="9" t="s">
        <v>18</v>
      </c>
      <c r="E18489" s="10" t="s">
        <v>777</v>
      </c>
      <c r="F18489" s="9" t="s">
        <v>2535</v>
      </c>
      <c r="G18489" s="10" t="s">
        <v>86</v>
      </c>
      <c r="H18489" s="9" t="s">
        <v>22</v>
      </c>
      <c r="I18489" s="9" t="s">
        <v>37607</v>
      </c>
      <c r="J18489" s="10" t="str">
        <f>HYPERLINK("https://www.boe.es/gazeta/dias/1834/10/29/pdfs/GMD-C-1834-257.pdf#page=2","Abrir facsímil")</f>
        <v>Abrir facsímil</v>
      </c>
      <c r="K18489" s="10" t="s">
        <v>24</v>
      </c>
    </row>
    <row r="18490" spans="1:11" ht="54" customHeight="1">
      <c r="A18490" s="9" t="s">
        <v>37608</v>
      </c>
      <c r="B18490" s="9" t="s">
        <v>37609</v>
      </c>
      <c r="C18490" s="9" t="s">
        <v>17</v>
      </c>
      <c r="D18490" s="9" t="s">
        <v>18</v>
      </c>
      <c r="E18490" s="10" t="s">
        <v>647</v>
      </c>
      <c r="F18490" s="9" t="s">
        <v>648</v>
      </c>
      <c r="G18490" s="10" t="s">
        <v>34</v>
      </c>
      <c r="H18490" s="9" t="s">
        <v>22</v>
      </c>
      <c r="I18490" s="9" t="s">
        <v>37610</v>
      </c>
      <c r="J18490" s="10" t="str">
        <f>HYPERLINK("https://www.boe.es/gazeta/dias/1834/10/21/pdfs/GMD-C-1834-249.pdf#page=1","Abrir facsímil")</f>
        <v>Abrir facsímil</v>
      </c>
      <c r="K18490" s="10" t="s">
        <v>24</v>
      </c>
    </row>
    <row r="18491" spans="1:11" ht="54" customHeight="1">
      <c r="A18491" s="9" t="s">
        <v>37611</v>
      </c>
      <c r="B18491" s="9" t="s">
        <v>37612</v>
      </c>
      <c r="C18491" s="9" t="s">
        <v>17</v>
      </c>
      <c r="D18491" s="9" t="s">
        <v>18</v>
      </c>
      <c r="E18491" s="10" t="s">
        <v>1410</v>
      </c>
      <c r="F18491" s="9" t="s">
        <v>2231</v>
      </c>
      <c r="G18491" s="10" t="s">
        <v>75</v>
      </c>
      <c r="H18491" s="9" t="s">
        <v>22</v>
      </c>
      <c r="I18491" s="9" t="s">
        <v>37613</v>
      </c>
      <c r="J18491" s="10" t="str">
        <f>HYPERLINK("https://www.boe.es/gazeta/dias/1834/09/09/pdfs/GMD-C-1834-207.pdf#page=4","Abrir facsímil")</f>
        <v>Abrir facsímil</v>
      </c>
      <c r="K18491" s="10" t="s">
        <v>24</v>
      </c>
    </row>
    <row r="18492" spans="1:11" ht="54" customHeight="1">
      <c r="A18492" s="9" t="s">
        <v>37614</v>
      </c>
      <c r="B18492" s="9" t="s">
        <v>37615</v>
      </c>
      <c r="C18492" s="9" t="s">
        <v>17</v>
      </c>
      <c r="D18492" s="9" t="s">
        <v>18</v>
      </c>
      <c r="E18492" s="10" t="s">
        <v>465</v>
      </c>
      <c r="F18492" s="9" t="s">
        <v>466</v>
      </c>
      <c r="G18492" s="10" t="s">
        <v>34</v>
      </c>
      <c r="H18492" s="9" t="s">
        <v>22</v>
      </c>
      <c r="I18492" s="9" t="s">
        <v>37616</v>
      </c>
      <c r="J18492" s="10" t="str">
        <f>HYPERLINK("https://www.boe.es/gazeta/dias/1834/11/27/pdfs/GMD-C-1834-286.pdf#page=1","Abrir facsímil")</f>
        <v>Abrir facsímil</v>
      </c>
      <c r="K18492" s="10" t="s">
        <v>24</v>
      </c>
    </row>
    <row r="18493" spans="1:11" ht="54" customHeight="1">
      <c r="A18493" s="9" t="s">
        <v>37617</v>
      </c>
      <c r="B18493" s="9" t="s">
        <v>37618</v>
      </c>
      <c r="C18493" s="9" t="s">
        <v>17</v>
      </c>
      <c r="D18493" s="9" t="s">
        <v>18</v>
      </c>
      <c r="E18493" s="10" t="s">
        <v>465</v>
      </c>
      <c r="F18493" s="9" t="s">
        <v>466</v>
      </c>
      <c r="G18493" s="10" t="s">
        <v>34</v>
      </c>
      <c r="H18493" s="9" t="s">
        <v>35</v>
      </c>
      <c r="I18493" s="9" t="s">
        <v>37619</v>
      </c>
      <c r="J18493" s="10" t="str">
        <f>HYPERLINK("https://www.boe.es/gazeta/dias/1834/11/27/pdfs/GMD-C-1834-286.pdf#page=1","Abrir facsímil")</f>
        <v>Abrir facsímil</v>
      </c>
      <c r="K18493" s="10" t="s">
        <v>37</v>
      </c>
    </row>
    <row r="18494" spans="1:11" ht="54" customHeight="1">
      <c r="A18494" s="9" t="s">
        <v>37620</v>
      </c>
      <c r="B18494" s="9" t="s">
        <v>37621</v>
      </c>
      <c r="C18494" s="9" t="s">
        <v>17</v>
      </c>
      <c r="D18494" s="9" t="s">
        <v>18</v>
      </c>
      <c r="E18494" s="10" t="s">
        <v>268</v>
      </c>
      <c r="F18494" s="9" t="s">
        <v>269</v>
      </c>
      <c r="G18494" s="10" t="s">
        <v>86</v>
      </c>
      <c r="H18494" s="9" t="s">
        <v>22</v>
      </c>
      <c r="I18494" s="9" t="s">
        <v>37622</v>
      </c>
      <c r="J18494" s="10" t="str">
        <f>HYPERLINK("https://www.boe.es/gazeta/dias/1834/12/19/pdfs/GMD-C-1834-309.pdf#page=2","Abrir facsímil")</f>
        <v>Abrir facsímil</v>
      </c>
      <c r="K18494" s="10" t="s">
        <v>24</v>
      </c>
    </row>
    <row r="18495" spans="1:11" ht="54" customHeight="1">
      <c r="A18495" s="9" t="s">
        <v>37623</v>
      </c>
      <c r="B18495" s="9" t="s">
        <v>37624</v>
      </c>
      <c r="C18495" s="9" t="s">
        <v>17</v>
      </c>
      <c r="D18495" s="9" t="s">
        <v>18</v>
      </c>
      <c r="E18495" s="10" t="s">
        <v>1008</v>
      </c>
      <c r="F18495" s="9" t="s">
        <v>1009</v>
      </c>
      <c r="G18495" s="10" t="s">
        <v>176</v>
      </c>
      <c r="H18495" s="9" t="s">
        <v>22</v>
      </c>
      <c r="I18495" s="9" t="s">
        <v>37625</v>
      </c>
      <c r="J18495" s="10" t="str">
        <f>HYPERLINK("https://www.boe.es/gazeta/dias/1834/11/08/pdfs/GMD-C-1834-267.pdf#page=6","Abrir facsímil")</f>
        <v>Abrir facsímil</v>
      </c>
      <c r="K18495" s="10" t="s">
        <v>24</v>
      </c>
    </row>
    <row r="18496" spans="1:11" ht="54" customHeight="1">
      <c r="A18496" s="9" t="s">
        <v>37626</v>
      </c>
      <c r="B18496" s="9" t="s">
        <v>37627</v>
      </c>
      <c r="C18496" s="9" t="s">
        <v>122</v>
      </c>
      <c r="D18496" s="9" t="s">
        <v>55</v>
      </c>
      <c r="E18496" s="10" t="s">
        <v>3025</v>
      </c>
      <c r="F18496" s="9" t="s">
        <v>3026</v>
      </c>
      <c r="G18496" s="10" t="s">
        <v>75</v>
      </c>
      <c r="H18496" s="9" t="s">
        <v>22</v>
      </c>
      <c r="I18496" s="9" t="s">
        <v>37628</v>
      </c>
      <c r="J18496" s="10" t="str">
        <f>HYPERLINK("https://www.boe.es/gazeta/dias/1834/05/25/pdfs/GMD-1834-94.pdf#page=4","Abrir facsímil")</f>
        <v>Abrir facsímil</v>
      </c>
      <c r="K18496" s="10" t="s">
        <v>24</v>
      </c>
    </row>
    <row r="18497" spans="1:11" ht="54" customHeight="1">
      <c r="A18497" s="9" t="s">
        <v>37629</v>
      </c>
      <c r="B18497" s="9" t="s">
        <v>37630</v>
      </c>
      <c r="C18497" s="9" t="s">
        <v>17</v>
      </c>
      <c r="D18497" s="9" t="s">
        <v>18</v>
      </c>
      <c r="E18497" s="10" t="s">
        <v>268</v>
      </c>
      <c r="F18497" s="9" t="s">
        <v>269</v>
      </c>
      <c r="G18497" s="10" t="s">
        <v>86</v>
      </c>
      <c r="H18497" s="9" t="s">
        <v>35</v>
      </c>
      <c r="I18497" s="9" t="s">
        <v>37631</v>
      </c>
      <c r="J18497" s="10" t="str">
        <f>HYPERLINK("https://www.boe.es/gazeta/dias/1834/12/19/pdfs/GMD-C-1834-309.pdf#page=2","Abrir facsímil")</f>
        <v>Abrir facsímil</v>
      </c>
      <c r="K18497" s="10" t="s">
        <v>37</v>
      </c>
    </row>
    <row r="18498" spans="1:11" ht="54" customHeight="1">
      <c r="A18498" s="9" t="s">
        <v>37632</v>
      </c>
      <c r="B18498" s="9" t="s">
        <v>37633</v>
      </c>
      <c r="C18498" s="9" t="s">
        <v>90</v>
      </c>
      <c r="D18498" s="9" t="s">
        <v>18</v>
      </c>
      <c r="E18498" s="10" t="s">
        <v>403</v>
      </c>
      <c r="F18498" s="9" t="s">
        <v>404</v>
      </c>
      <c r="G18498" s="10" t="s">
        <v>34</v>
      </c>
      <c r="H18498" s="9" t="s">
        <v>22</v>
      </c>
      <c r="I18498" s="9" t="s">
        <v>37634</v>
      </c>
      <c r="J18498" s="10" t="str">
        <f>HYPERLINK("https://www.boe.es/gazeta/dias/1834/09/25/pdfs/GMD-C-1834-223.pdf#page=1","Abrir facsímil")</f>
        <v>Abrir facsímil</v>
      </c>
      <c r="K18498" s="10" t="s">
        <v>24</v>
      </c>
    </row>
    <row r="18499" spans="1:11" ht="54" customHeight="1">
      <c r="A18499" s="9" t="s">
        <v>37635</v>
      </c>
      <c r="B18499" s="9" t="s">
        <v>37636</v>
      </c>
      <c r="C18499" s="9" t="s">
        <v>17</v>
      </c>
      <c r="D18499" s="9" t="s">
        <v>18</v>
      </c>
      <c r="E18499" s="10" t="s">
        <v>492</v>
      </c>
      <c r="F18499" s="9" t="s">
        <v>493</v>
      </c>
      <c r="G18499" s="10" t="s">
        <v>34</v>
      </c>
      <c r="H18499" s="9" t="s">
        <v>22</v>
      </c>
      <c r="I18499" s="9" t="s">
        <v>37637</v>
      </c>
      <c r="J18499" s="10" t="str">
        <f>HYPERLINK("https://www.boe.es/gazeta/dias/1834/11/21/pdfs/GMD-C-1834-280.pdf#page=1","Abrir facsímil")</f>
        <v>Abrir facsímil</v>
      </c>
      <c r="K18499" s="10" t="s">
        <v>24</v>
      </c>
    </row>
    <row r="18500" spans="1:11" ht="54" customHeight="1">
      <c r="A18500" s="9" t="s">
        <v>37638</v>
      </c>
      <c r="B18500" s="9" t="s">
        <v>37639</v>
      </c>
      <c r="C18500" s="9" t="s">
        <v>122</v>
      </c>
      <c r="D18500" s="9" t="s">
        <v>18</v>
      </c>
      <c r="E18500" s="10" t="s">
        <v>280</v>
      </c>
      <c r="F18500" s="9" t="s">
        <v>281</v>
      </c>
      <c r="G18500" s="10" t="s">
        <v>28</v>
      </c>
      <c r="H18500" s="9" t="s">
        <v>22</v>
      </c>
      <c r="I18500" s="9" t="s">
        <v>37640</v>
      </c>
      <c r="J18500" s="10" t="str">
        <f>HYPERLINK("https://www.boe.es/gazeta/dias/1834/08/29/pdfs/GMD-C-1834-195.pdf#page=5","Abrir facsímil")</f>
        <v>Abrir facsímil</v>
      </c>
      <c r="K18500" s="10" t="s">
        <v>24</v>
      </c>
    </row>
    <row r="18501" spans="1:11" ht="54" customHeight="1">
      <c r="A18501" s="9" t="s">
        <v>37641</v>
      </c>
      <c r="B18501" s="9" t="s">
        <v>37642</v>
      </c>
      <c r="C18501" s="9" t="s">
        <v>46</v>
      </c>
      <c r="D18501" s="9" t="s">
        <v>18</v>
      </c>
      <c r="E18501" s="10" t="s">
        <v>510</v>
      </c>
      <c r="F18501" s="9" t="s">
        <v>531</v>
      </c>
      <c r="G18501" s="10" t="s">
        <v>176</v>
      </c>
      <c r="H18501" s="9" t="s">
        <v>22</v>
      </c>
      <c r="I18501" s="9" t="s">
        <v>37643</v>
      </c>
      <c r="J18501" s="10" t="str">
        <f>HYPERLINK("https://www.boe.es/gazeta/dias/1834/11/26/pdfs/GMD-C-1834-285.pdf#page=6","Abrir facsímil")</f>
        <v>Abrir facsímil</v>
      </c>
      <c r="K18501" s="10" t="s">
        <v>24</v>
      </c>
    </row>
    <row r="18502" spans="1:11" ht="54" customHeight="1">
      <c r="A18502" s="9" t="s">
        <v>37644</v>
      </c>
      <c r="B18502" s="9" t="s">
        <v>37645</v>
      </c>
      <c r="C18502" s="9" t="s">
        <v>66</v>
      </c>
      <c r="D18502" s="9" t="s">
        <v>67</v>
      </c>
      <c r="E18502" s="10" t="s">
        <v>891</v>
      </c>
      <c r="F18502" s="9" t="s">
        <v>892</v>
      </c>
      <c r="G18502" s="10" t="s">
        <v>21</v>
      </c>
      <c r="H18502" s="9" t="s">
        <v>22</v>
      </c>
      <c r="I18502" s="9" t="s">
        <v>37646</v>
      </c>
      <c r="J18502" s="10" t="str">
        <f>HYPERLINK("https://www.boe.es/gazeta/dias/1834/10/31/pdfs/GMD-C-1834-259.pdf#page=3","Abrir facsímil")</f>
        <v>Abrir facsímil</v>
      </c>
      <c r="K18502" s="10" t="s">
        <v>24</v>
      </c>
    </row>
    <row r="18503" spans="1:11" ht="54" customHeight="1">
      <c r="A18503" s="9" t="s">
        <v>37647</v>
      </c>
      <c r="B18503" s="9" t="s">
        <v>37648</v>
      </c>
      <c r="C18503" s="9" t="s">
        <v>17</v>
      </c>
      <c r="D18503" s="9" t="s">
        <v>18</v>
      </c>
      <c r="E18503" s="10" t="s">
        <v>426</v>
      </c>
      <c r="F18503" s="9" t="s">
        <v>694</v>
      </c>
      <c r="G18503" s="10" t="s">
        <v>86</v>
      </c>
      <c r="H18503" s="9" t="s">
        <v>22</v>
      </c>
      <c r="I18503" s="9" t="s">
        <v>37649</v>
      </c>
      <c r="J18503" s="10" t="str">
        <f>HYPERLINK("https://www.boe.es/gazeta/dias/1834/10/04/pdfs/GMD-C-1834-232.pdf#page=2","Abrir facsímil")</f>
        <v>Abrir facsímil</v>
      </c>
      <c r="K18503" s="10" t="s">
        <v>24</v>
      </c>
    </row>
    <row r="18504" spans="1:11" ht="54" customHeight="1">
      <c r="A18504" s="9" t="s">
        <v>37650</v>
      </c>
      <c r="B18504" s="9" t="s">
        <v>37651</v>
      </c>
      <c r="C18504" s="9" t="s">
        <v>90</v>
      </c>
      <c r="D18504" s="9" t="s">
        <v>18</v>
      </c>
      <c r="E18504" s="10" t="s">
        <v>47</v>
      </c>
      <c r="F18504" s="9" t="s">
        <v>48</v>
      </c>
      <c r="G18504" s="10" t="s">
        <v>34</v>
      </c>
      <c r="H18504" s="9" t="s">
        <v>22</v>
      </c>
      <c r="I18504" s="9" t="s">
        <v>37652</v>
      </c>
      <c r="J18504" s="10" t="str">
        <f>HYPERLINK("https://www.boe.es/gazeta/dias/1834/09/05/pdfs/GMD-C-1834-203.pdf#page=1","Abrir facsímil")</f>
        <v>Abrir facsímil</v>
      </c>
      <c r="K18504" s="10" t="s">
        <v>24</v>
      </c>
    </row>
    <row r="18505" spans="1:11" ht="54" customHeight="1">
      <c r="A18505" s="9" t="s">
        <v>37653</v>
      </c>
      <c r="B18505" s="9" t="s">
        <v>37654</v>
      </c>
      <c r="C18505" s="9" t="s">
        <v>17</v>
      </c>
      <c r="D18505" s="9" t="s">
        <v>18</v>
      </c>
      <c r="E18505" s="10" t="s">
        <v>299</v>
      </c>
      <c r="F18505" s="9" t="s">
        <v>2255</v>
      </c>
      <c r="G18505" s="10" t="s">
        <v>75</v>
      </c>
      <c r="H18505" s="9" t="s">
        <v>22</v>
      </c>
      <c r="I18505" s="9" t="s">
        <v>37655</v>
      </c>
      <c r="J18505" s="10" t="str">
        <f>HYPERLINK("https://www.boe.es/gazeta/dias/1834/12/12/pdfs/GMD-C-1834-301.pdf#page=4","Abrir facsímil")</f>
        <v>Abrir facsímil</v>
      </c>
      <c r="K18505" s="10" t="s">
        <v>24</v>
      </c>
    </row>
    <row r="18506" spans="1:11" ht="54" customHeight="1">
      <c r="A18506" s="9" t="s">
        <v>37656</v>
      </c>
      <c r="B18506" s="9" t="s">
        <v>37657</v>
      </c>
      <c r="C18506" s="9" t="s">
        <v>17</v>
      </c>
      <c r="D18506" s="9" t="s">
        <v>18</v>
      </c>
      <c r="E18506" s="10" t="s">
        <v>403</v>
      </c>
      <c r="F18506" s="9" t="s">
        <v>404</v>
      </c>
      <c r="G18506" s="10" t="s">
        <v>86</v>
      </c>
      <c r="H18506" s="9" t="s">
        <v>22</v>
      </c>
      <c r="I18506" s="9" t="s">
        <v>37658</v>
      </c>
      <c r="J18506" s="10" t="str">
        <f>HYPERLINK("https://www.boe.es/gazeta/dias/1834/09/25/pdfs/GMD-C-1834-223.pdf#page=2","Abrir facsímil")</f>
        <v>Abrir facsímil</v>
      </c>
      <c r="K18506" s="10" t="s">
        <v>24</v>
      </c>
    </row>
    <row r="18507" spans="1:11" ht="54" customHeight="1">
      <c r="A18507" s="9" t="s">
        <v>37659</v>
      </c>
      <c r="B18507" s="9" t="s">
        <v>37660</v>
      </c>
      <c r="C18507" s="9" t="s">
        <v>17</v>
      </c>
      <c r="D18507" s="9" t="s">
        <v>18</v>
      </c>
      <c r="E18507" s="10" t="s">
        <v>2087</v>
      </c>
      <c r="F18507" s="9" t="s">
        <v>2267</v>
      </c>
      <c r="G18507" s="10" t="s">
        <v>75</v>
      </c>
      <c r="H18507" s="9" t="s">
        <v>22</v>
      </c>
      <c r="I18507" s="9" t="s">
        <v>37661</v>
      </c>
      <c r="J18507" s="10" t="str">
        <f>HYPERLINK("https://www.boe.es/gazeta/dias/1834/12/14/pdfs/GMD-C-1834-303.pdf#page=4","Abrir facsímil")</f>
        <v>Abrir facsímil</v>
      </c>
      <c r="K18507" s="10" t="s">
        <v>24</v>
      </c>
    </row>
    <row r="18508" spans="1:11" ht="54" customHeight="1">
      <c r="A18508" s="9" t="s">
        <v>37662</v>
      </c>
      <c r="B18508" s="9" t="s">
        <v>37663</v>
      </c>
      <c r="C18508" s="9" t="s">
        <v>46</v>
      </c>
      <c r="D18508" s="9" t="s">
        <v>101</v>
      </c>
      <c r="E18508" s="10" t="s">
        <v>707</v>
      </c>
      <c r="F18508" s="9" t="s">
        <v>708</v>
      </c>
      <c r="G18508" s="10" t="s">
        <v>28</v>
      </c>
      <c r="H18508" s="9" t="s">
        <v>22</v>
      </c>
      <c r="I18508" s="9" t="s">
        <v>37664</v>
      </c>
      <c r="J18508" s="10" t="str">
        <f>HYPERLINK("https://www.boe.es/gazeta/dias/1834/11/25/pdfs/GMD-C-1834-284.pdf#page=5","Abrir facsímil")</f>
        <v>Abrir facsímil</v>
      </c>
      <c r="K18508" s="10" t="s">
        <v>24</v>
      </c>
    </row>
    <row r="18509" spans="1:11" ht="54" customHeight="1">
      <c r="A18509" s="9" t="s">
        <v>37665</v>
      </c>
      <c r="B18509" s="9" t="s">
        <v>37666</v>
      </c>
      <c r="C18509" s="9" t="s">
        <v>17</v>
      </c>
      <c r="D18509" s="9" t="s">
        <v>18</v>
      </c>
      <c r="E18509" s="10" t="s">
        <v>416</v>
      </c>
      <c r="F18509" s="9" t="s">
        <v>417</v>
      </c>
      <c r="G18509" s="10" t="s">
        <v>34</v>
      </c>
      <c r="H18509" s="9" t="s">
        <v>22</v>
      </c>
      <c r="I18509" s="9" t="s">
        <v>37667</v>
      </c>
      <c r="J18509" s="10" t="str">
        <f>HYPERLINK("https://www.boe.es/gazeta/dias/1834/10/02/pdfs/GMD-C-1834-230.pdf#page=1","Abrir facsímil")</f>
        <v>Abrir facsímil</v>
      </c>
      <c r="K18509" s="10" t="s">
        <v>24</v>
      </c>
    </row>
    <row r="18510" spans="1:11" ht="54" customHeight="1">
      <c r="A18510" s="9" t="s">
        <v>37668</v>
      </c>
      <c r="B18510" s="9" t="s">
        <v>37669</v>
      </c>
      <c r="C18510" s="9" t="s">
        <v>17</v>
      </c>
      <c r="D18510" s="9" t="s">
        <v>18</v>
      </c>
      <c r="E18510" s="10" t="s">
        <v>286</v>
      </c>
      <c r="F18510" s="9" t="s">
        <v>287</v>
      </c>
      <c r="G18510" s="10" t="s">
        <v>75</v>
      </c>
      <c r="H18510" s="9" t="s">
        <v>22</v>
      </c>
      <c r="I18510" s="9" t="s">
        <v>37670</v>
      </c>
      <c r="J18510" s="10" t="str">
        <f>HYPERLINK("https://www.boe.es/gazeta/dias/1834/08/30/pdfs/GMD-C-1834-196.pdf#page=4","Abrir facsímil")</f>
        <v>Abrir facsímil</v>
      </c>
      <c r="K18510" s="10" t="s">
        <v>24</v>
      </c>
    </row>
    <row r="18511" spans="1:11" ht="54" customHeight="1">
      <c r="A18511" s="9" t="s">
        <v>37671</v>
      </c>
      <c r="B18511" s="9" t="s">
        <v>37672</v>
      </c>
      <c r="C18511" s="9" t="s">
        <v>90</v>
      </c>
      <c r="D18511" s="9" t="s">
        <v>18</v>
      </c>
      <c r="E18511" s="10" t="s">
        <v>1226</v>
      </c>
      <c r="F18511" s="9" t="s">
        <v>1227</v>
      </c>
      <c r="G18511" s="10" t="s">
        <v>34</v>
      </c>
      <c r="H18511" s="9" t="s">
        <v>22</v>
      </c>
      <c r="I18511" s="9" t="s">
        <v>37673</v>
      </c>
      <c r="J18511" s="10" t="str">
        <f>HYPERLINK("https://www.boe.es/gazeta/dias/1834/07/14/pdfs/GMD-1834-147.pdf#page=1","Abrir facsímil")</f>
        <v>Abrir facsímil</v>
      </c>
      <c r="K18511" s="10" t="s">
        <v>24</v>
      </c>
    </row>
    <row r="18512" spans="1:11" ht="54" customHeight="1">
      <c r="A18512" s="9" t="s">
        <v>37674</v>
      </c>
      <c r="B18512" s="9" t="s">
        <v>37675</v>
      </c>
      <c r="C18512" s="9" t="s">
        <v>122</v>
      </c>
      <c r="D18512" s="9" t="s">
        <v>18</v>
      </c>
      <c r="E18512" s="10" t="s">
        <v>1351</v>
      </c>
      <c r="F18512" s="9" t="s">
        <v>1352</v>
      </c>
      <c r="G18512" s="10" t="s">
        <v>75</v>
      </c>
      <c r="H18512" s="9" t="s">
        <v>22</v>
      </c>
      <c r="I18512" s="9" t="s">
        <v>37676</v>
      </c>
      <c r="J18512" s="10" t="str">
        <f>HYPERLINK("https://www.boe.es/gazeta/dias/1834/07/05/pdfs/GMD-1834-138.pdf#page=4","Abrir facsímil")</f>
        <v>Abrir facsímil</v>
      </c>
      <c r="K18512" s="10" t="s">
        <v>24</v>
      </c>
    </row>
    <row r="18513" spans="1:11" ht="54" customHeight="1">
      <c r="A18513" s="9" t="s">
        <v>37677</v>
      </c>
      <c r="B18513" s="9" t="s">
        <v>37677</v>
      </c>
      <c r="C18513" s="9" t="s">
        <v>122</v>
      </c>
      <c r="D18513" s="9" t="s">
        <v>18</v>
      </c>
      <c r="E18513" s="10" t="s">
        <v>233</v>
      </c>
      <c r="F18513" s="9" t="s">
        <v>1810</v>
      </c>
      <c r="G18513" s="10" t="s">
        <v>560</v>
      </c>
      <c r="H18513" s="9" t="s">
        <v>22</v>
      </c>
      <c r="I18513" s="9" t="s">
        <v>37678</v>
      </c>
      <c r="J18513" s="10" t="str">
        <f>HYPERLINK("https://www.boe.es/gazeta/dias/1834/12/16/pdfs/GMD-C-1834-305.pdf#page=7","Abrir facsímil")</f>
        <v>Abrir facsímil</v>
      </c>
      <c r="K18513" s="10" t="s">
        <v>24</v>
      </c>
    </row>
    <row r="18514" spans="1:11" ht="54" customHeight="1">
      <c r="A18514" s="9" t="s">
        <v>37679</v>
      </c>
      <c r="B18514" s="9" t="s">
        <v>37680</v>
      </c>
      <c r="C18514" s="9" t="s">
        <v>66</v>
      </c>
      <c r="D18514" s="9" t="s">
        <v>67</v>
      </c>
      <c r="E18514" s="10" t="s">
        <v>465</v>
      </c>
      <c r="F18514" s="9" t="s">
        <v>466</v>
      </c>
      <c r="G18514" s="10" t="s">
        <v>176</v>
      </c>
      <c r="H18514" s="9" t="s">
        <v>22</v>
      </c>
      <c r="I18514" s="9" t="s">
        <v>37681</v>
      </c>
      <c r="J18514" s="10" t="str">
        <f>HYPERLINK("https://www.boe.es/gazeta/dias/1834/11/27/pdfs/GMD-C-1834-286.pdf#page=6","Abrir facsímil")</f>
        <v>Abrir facsímil</v>
      </c>
      <c r="K18514" s="10" t="s">
        <v>24</v>
      </c>
    </row>
    <row r="18515" spans="1:11" ht="54" customHeight="1">
      <c r="A18515" s="9" t="s">
        <v>37682</v>
      </c>
      <c r="B18515" s="9" t="s">
        <v>37682</v>
      </c>
      <c r="C18515" s="9" t="s">
        <v>90</v>
      </c>
      <c r="D18515" s="9" t="s">
        <v>18</v>
      </c>
      <c r="E18515" s="10" t="s">
        <v>438</v>
      </c>
      <c r="F18515" s="9" t="s">
        <v>439</v>
      </c>
      <c r="G18515" s="10" t="s">
        <v>21</v>
      </c>
      <c r="H18515" s="9" t="s">
        <v>22</v>
      </c>
      <c r="I18515" s="9" t="s">
        <v>37683</v>
      </c>
      <c r="J18515" s="10" t="str">
        <f>HYPERLINK("https://www.boe.es/gazeta/dias/1834/11/09/pdfs/GMD-1834-268.pdf#page=3","Abrir facsímil")</f>
        <v>Abrir facsímil</v>
      </c>
      <c r="K18515" s="10" t="s">
        <v>24</v>
      </c>
    </row>
    <row r="18516" spans="1:11" ht="54" customHeight="1">
      <c r="A18516" s="9" t="s">
        <v>37684</v>
      </c>
      <c r="B18516" s="9" t="s">
        <v>37684</v>
      </c>
      <c r="C18516" s="9" t="s">
        <v>46</v>
      </c>
      <c r="D18516" s="9" t="s">
        <v>55</v>
      </c>
      <c r="E18516" s="10" t="s">
        <v>1103</v>
      </c>
      <c r="F18516" s="9" t="s">
        <v>1259</v>
      </c>
      <c r="G18516" s="10" t="s">
        <v>34</v>
      </c>
      <c r="H18516" s="9" t="s">
        <v>22</v>
      </c>
      <c r="I18516" s="9" t="s">
        <v>37685</v>
      </c>
      <c r="J18516" s="10" t="str">
        <f>HYPERLINK("https://www.boe.es/gazeta/dias/1834/10/10/pdfs/GMD-1834-238.pdf#page=1","Abrir facsímil")</f>
        <v>Abrir facsímil</v>
      </c>
      <c r="K18516" s="10" t="s">
        <v>24</v>
      </c>
    </row>
    <row r="18517" spans="1:11" ht="54" customHeight="1">
      <c r="A18517" s="9" t="s">
        <v>37686</v>
      </c>
      <c r="B18517" s="9" t="s">
        <v>37687</v>
      </c>
      <c r="C18517" s="9" t="s">
        <v>17</v>
      </c>
      <c r="D18517" s="9" t="s">
        <v>18</v>
      </c>
      <c r="E18517" s="10" t="s">
        <v>283</v>
      </c>
      <c r="F18517" s="9" t="s">
        <v>284</v>
      </c>
      <c r="G18517" s="10" t="s">
        <v>34</v>
      </c>
      <c r="H18517" s="9" t="s">
        <v>35</v>
      </c>
      <c r="I18517" s="9" t="s">
        <v>37688</v>
      </c>
      <c r="J18517" s="10" t="str">
        <f>HYPERLINK("https://www.boe.es/gazeta/dias/1834/11/29/pdfs/GMD-C-1834-288.pdf#page=1","Abrir facsímil")</f>
        <v>Abrir facsímil</v>
      </c>
      <c r="K18517" s="10" t="s">
        <v>37</v>
      </c>
    </row>
    <row r="18518" spans="1:11" ht="54" customHeight="1">
      <c r="A18518" s="9" t="s">
        <v>37689</v>
      </c>
      <c r="B18518" s="9" t="s">
        <v>37690</v>
      </c>
      <c r="C18518" s="9" t="s">
        <v>17</v>
      </c>
      <c r="D18518" s="9" t="s">
        <v>18</v>
      </c>
      <c r="E18518" s="10" t="s">
        <v>956</v>
      </c>
      <c r="F18518" s="9" t="s">
        <v>957</v>
      </c>
      <c r="G18518" s="10" t="s">
        <v>34</v>
      </c>
      <c r="H18518" s="9" t="s">
        <v>22</v>
      </c>
      <c r="I18518" s="9" t="s">
        <v>37691</v>
      </c>
      <c r="J18518" s="10" t="str">
        <f>HYPERLINK("https://www.boe.es/gazeta/dias/1834/08/10/pdfs/GMD-C-1834-175.pdf#page=1","Abrir facsímil")</f>
        <v>Abrir facsímil</v>
      </c>
      <c r="K18518" s="10" t="s">
        <v>24</v>
      </c>
    </row>
    <row r="18519" spans="1:11" ht="54" customHeight="1">
      <c r="A18519" s="9" t="s">
        <v>37692</v>
      </c>
      <c r="B18519" s="9" t="s">
        <v>37693</v>
      </c>
      <c r="C18519" s="9" t="s">
        <v>17</v>
      </c>
      <c r="D18519" s="9" t="s">
        <v>18</v>
      </c>
      <c r="E18519" s="10" t="s">
        <v>283</v>
      </c>
      <c r="F18519" s="9" t="s">
        <v>284</v>
      </c>
      <c r="G18519" s="10" t="s">
        <v>34</v>
      </c>
      <c r="H18519" s="9" t="s">
        <v>22</v>
      </c>
      <c r="I18519" s="9" t="s">
        <v>37694</v>
      </c>
      <c r="J18519" s="10" t="str">
        <f>HYPERLINK("https://www.boe.es/gazeta/dias/1834/11/29/pdfs/GMD-C-1834-288.pdf#page=1","Abrir facsímil")</f>
        <v>Abrir facsímil</v>
      </c>
      <c r="K18519" s="10" t="s">
        <v>24</v>
      </c>
    </row>
    <row r="18520" spans="1:11" ht="54" customHeight="1">
      <c r="A18520" s="9" t="s">
        <v>37695</v>
      </c>
      <c r="B18520" s="9" t="s">
        <v>37696</v>
      </c>
      <c r="C18520" s="9" t="s">
        <v>66</v>
      </c>
      <c r="D18520" s="9" t="s">
        <v>67</v>
      </c>
      <c r="E18520" s="10" t="s">
        <v>976</v>
      </c>
      <c r="F18520" s="9" t="s">
        <v>1061</v>
      </c>
      <c r="G18520" s="10" t="s">
        <v>86</v>
      </c>
      <c r="H18520" s="9" t="s">
        <v>22</v>
      </c>
      <c r="I18520" s="9" t="s">
        <v>37697</v>
      </c>
      <c r="J18520" s="10" t="str">
        <f>HYPERLINK("https://www.boe.es/gazeta/dias/1834/04/02/pdfs/GMD-C-1834-41.pdf#page=2","Abrir facsímil")</f>
        <v>Abrir facsímil</v>
      </c>
      <c r="K18520" s="10" t="s">
        <v>24</v>
      </c>
    </row>
    <row r="18521" spans="1:11" ht="54" customHeight="1">
      <c r="A18521" s="9" t="s">
        <v>37698</v>
      </c>
      <c r="B18521" s="9" t="s">
        <v>37699</v>
      </c>
      <c r="C18521" s="9" t="s">
        <v>17</v>
      </c>
      <c r="D18521" s="9" t="s">
        <v>18</v>
      </c>
      <c r="E18521" s="10" t="s">
        <v>299</v>
      </c>
      <c r="F18521" s="9" t="s">
        <v>300</v>
      </c>
      <c r="G18521" s="10" t="s">
        <v>75</v>
      </c>
      <c r="H18521" s="9" t="s">
        <v>22</v>
      </c>
      <c r="I18521" s="9" t="s">
        <v>37700</v>
      </c>
      <c r="J18521" s="10" t="str">
        <f>HYPERLINK("https://www.boe.es/gazeta/dias/1834/12/12/pdfs/GMD-1834-301.pdf#page=4","Abrir facsímil")</f>
        <v>Abrir facsímil</v>
      </c>
      <c r="K18521" s="10" t="s">
        <v>24</v>
      </c>
    </row>
    <row r="18522" spans="1:11" ht="54" customHeight="1">
      <c r="A18522" s="9" t="s">
        <v>37701</v>
      </c>
      <c r="B18522" s="9" t="s">
        <v>37702</v>
      </c>
      <c r="C18522" s="9" t="s">
        <v>17</v>
      </c>
      <c r="D18522" s="9" t="s">
        <v>18</v>
      </c>
      <c r="E18522" s="10" t="s">
        <v>939</v>
      </c>
      <c r="F18522" s="9" t="s">
        <v>940</v>
      </c>
      <c r="G18522" s="10" t="s">
        <v>34</v>
      </c>
      <c r="H18522" s="9" t="s">
        <v>22</v>
      </c>
      <c r="I18522" s="9" t="s">
        <v>37703</v>
      </c>
      <c r="J18522" s="10" t="str">
        <f>HYPERLINK("https://www.boe.es/gazeta/dias/1834/06/10/pdfs/GMD-1834-113.pdf#page=1","Abrir facsímil")</f>
        <v>Abrir facsímil</v>
      </c>
      <c r="K18522" s="10" t="s">
        <v>24</v>
      </c>
    </row>
    <row r="18523" spans="1:11" ht="54" customHeight="1">
      <c r="A18523" s="9" t="s">
        <v>37704</v>
      </c>
      <c r="B18523" s="9" t="s">
        <v>37704</v>
      </c>
      <c r="C18523" s="9" t="s">
        <v>17</v>
      </c>
      <c r="D18523" s="9" t="s">
        <v>18</v>
      </c>
      <c r="E18523" s="10" t="s">
        <v>3036</v>
      </c>
      <c r="F18523" s="9" t="s">
        <v>3037</v>
      </c>
      <c r="G18523" s="10" t="s">
        <v>21</v>
      </c>
      <c r="H18523" s="9" t="s">
        <v>22</v>
      </c>
      <c r="I18523" s="9" t="s">
        <v>37705</v>
      </c>
      <c r="J18523" s="10" t="str">
        <f>HYPERLINK("https://www.boe.es/gazeta/dias/1834/11/18/pdfs/GMD-C-1834-277.pdf#page=3","Abrir facsímil")</f>
        <v>Abrir facsímil</v>
      </c>
      <c r="K18523" s="10" t="s">
        <v>24</v>
      </c>
    </row>
    <row r="18524" spans="1:11" ht="54" customHeight="1">
      <c r="A18524" s="9" t="s">
        <v>37706</v>
      </c>
      <c r="B18524" s="9" t="s">
        <v>37707</v>
      </c>
      <c r="C18524" s="9" t="s">
        <v>17</v>
      </c>
      <c r="D18524" s="9" t="s">
        <v>101</v>
      </c>
      <c r="E18524" s="10" t="s">
        <v>317</v>
      </c>
      <c r="F18524" s="9" t="s">
        <v>318</v>
      </c>
      <c r="G18524" s="10" t="s">
        <v>86</v>
      </c>
      <c r="H18524" s="9" t="s">
        <v>35</v>
      </c>
      <c r="I18524" s="9" t="s">
        <v>37708</v>
      </c>
      <c r="J18524" s="10" t="str">
        <f>HYPERLINK("https://www.boe.es/gazeta/dias/1834/03/06/pdfs/I00139-00140.pdf#page=2","Abrir facsímil")</f>
        <v>Abrir facsímil</v>
      </c>
      <c r="K18524" s="10" t="s">
        <v>37</v>
      </c>
    </row>
    <row r="18525" spans="1:11" ht="54" customHeight="1">
      <c r="A18525" s="9" t="s">
        <v>37706</v>
      </c>
      <c r="B18525" s="9" t="s">
        <v>37707</v>
      </c>
      <c r="C18525" s="9" t="s">
        <v>17</v>
      </c>
      <c r="D18525" s="9" t="s">
        <v>101</v>
      </c>
      <c r="E18525" s="10" t="s">
        <v>317</v>
      </c>
      <c r="F18525" s="9" t="s">
        <v>318</v>
      </c>
      <c r="G18525" s="10" t="s">
        <v>75</v>
      </c>
      <c r="H18525" s="9" t="s">
        <v>35</v>
      </c>
      <c r="I18525" s="9" t="s">
        <v>37708</v>
      </c>
      <c r="J18525" s="10" t="str">
        <f>HYPERLINK("https://www.boe.es/gazeta/dias/1834/03/06/pdfs/GMD-1834-29.pdf#page=4","Abrir facsímil")</f>
        <v>Abrir facsímil</v>
      </c>
      <c r="K18525" s="10" t="s">
        <v>37</v>
      </c>
    </row>
    <row r="18526" spans="1:11" ht="54" customHeight="1">
      <c r="A18526" s="9" t="s">
        <v>37709</v>
      </c>
      <c r="B18526" s="9" t="s">
        <v>37710</v>
      </c>
      <c r="C18526" s="9" t="s">
        <v>17</v>
      </c>
      <c r="D18526" s="9" t="s">
        <v>101</v>
      </c>
      <c r="E18526" s="10" t="s">
        <v>317</v>
      </c>
      <c r="F18526" s="9" t="s">
        <v>318</v>
      </c>
      <c r="G18526" s="10" t="s">
        <v>86</v>
      </c>
      <c r="H18526" s="9" t="s">
        <v>22</v>
      </c>
      <c r="I18526" s="9" t="s">
        <v>37711</v>
      </c>
      <c r="J18526" s="10" t="str">
        <f>HYPERLINK("https://www.boe.es/gazeta/dias/1834/03/06/pdfs/I00139-00140.pdf#page=2","Abrir facsímil")</f>
        <v>Abrir facsímil</v>
      </c>
      <c r="K18526" s="10" t="s">
        <v>24</v>
      </c>
    </row>
    <row r="18527" spans="1:11" ht="54" customHeight="1">
      <c r="A18527" s="9" t="s">
        <v>37709</v>
      </c>
      <c r="B18527" s="9" t="s">
        <v>37710</v>
      </c>
      <c r="C18527" s="9" t="s">
        <v>17</v>
      </c>
      <c r="D18527" s="9" t="s">
        <v>101</v>
      </c>
      <c r="E18527" s="10" t="s">
        <v>317</v>
      </c>
      <c r="F18527" s="9" t="s">
        <v>318</v>
      </c>
      <c r="G18527" s="10" t="s">
        <v>75</v>
      </c>
      <c r="H18527" s="9" t="s">
        <v>22</v>
      </c>
      <c r="I18527" s="9" t="s">
        <v>37711</v>
      </c>
      <c r="J18527" s="10" t="str">
        <f>HYPERLINK("https://www.boe.es/gazeta/dias/1834/03/06/pdfs/GMD-1834-29.pdf#page=4","Abrir facsímil")</f>
        <v>Abrir facsímil</v>
      </c>
      <c r="K18527" s="10" t="s">
        <v>24</v>
      </c>
    </row>
    <row r="18528" spans="1:11" ht="54" customHeight="1">
      <c r="A18528" s="9" t="s">
        <v>37712</v>
      </c>
      <c r="B18528" s="9" t="s">
        <v>37713</v>
      </c>
      <c r="C18528" s="9" t="s">
        <v>17</v>
      </c>
      <c r="D18528" s="9" t="s">
        <v>18</v>
      </c>
      <c r="E18528" s="10" t="s">
        <v>524</v>
      </c>
      <c r="F18528" s="9" t="s">
        <v>4743</v>
      </c>
      <c r="G18528" s="10" t="s">
        <v>75</v>
      </c>
      <c r="H18528" s="9" t="s">
        <v>35</v>
      </c>
      <c r="I18528" s="9" t="s">
        <v>37714</v>
      </c>
      <c r="J18528" s="10" t="str">
        <f>HYPERLINK("https://www.boe.es/gazeta/dias/1834/12/25/pdfs/GMD-1834-315.pdf#page=4","Abrir facsímil")</f>
        <v>Abrir facsímil</v>
      </c>
      <c r="K18528" s="10" t="s">
        <v>37</v>
      </c>
    </row>
    <row r="18529" spans="1:11" ht="54" customHeight="1">
      <c r="A18529" s="9" t="s">
        <v>37715</v>
      </c>
      <c r="B18529" s="9" t="s">
        <v>37716</v>
      </c>
      <c r="C18529" s="9" t="s">
        <v>17</v>
      </c>
      <c r="D18529" s="9" t="s">
        <v>18</v>
      </c>
      <c r="E18529" s="10" t="s">
        <v>524</v>
      </c>
      <c r="F18529" s="9" t="s">
        <v>4743</v>
      </c>
      <c r="G18529" s="10" t="s">
        <v>75</v>
      </c>
      <c r="H18529" s="9" t="s">
        <v>22</v>
      </c>
      <c r="I18529" s="9" t="s">
        <v>37717</v>
      </c>
      <c r="J18529" s="10" t="str">
        <f>HYPERLINK("https://www.boe.es/gazeta/dias/1834/12/25/pdfs/GMD-1834-315.pdf#page=4","Abrir facsímil")</f>
        <v>Abrir facsímil</v>
      </c>
      <c r="K18529" s="10" t="s">
        <v>24</v>
      </c>
    </row>
    <row r="18530" spans="1:11" ht="54" customHeight="1">
      <c r="A18530" s="9" t="s">
        <v>37718</v>
      </c>
      <c r="B18530" s="9" t="s">
        <v>37719</v>
      </c>
      <c r="C18530" s="9" t="s">
        <v>17</v>
      </c>
      <c r="D18530" s="9" t="s">
        <v>18</v>
      </c>
      <c r="E18530" s="10" t="s">
        <v>627</v>
      </c>
      <c r="F18530" s="9" t="s">
        <v>628</v>
      </c>
      <c r="G18530" s="10" t="s">
        <v>34</v>
      </c>
      <c r="H18530" s="9" t="s">
        <v>22</v>
      </c>
      <c r="I18530" s="9" t="s">
        <v>37720</v>
      </c>
      <c r="J18530" s="10" t="str">
        <f>HYPERLINK("https://www.boe.es/gazeta/dias/1834/09/22/pdfs/GMD-C-1834-220.pdf#page=1","Abrir facsímil")</f>
        <v>Abrir facsímil</v>
      </c>
      <c r="K18530" s="10" t="s">
        <v>24</v>
      </c>
    </row>
    <row r="18531" spans="1:11" ht="54" customHeight="1">
      <c r="A18531" s="9" t="s">
        <v>37721</v>
      </c>
      <c r="B18531" s="9" t="s">
        <v>37722</v>
      </c>
      <c r="C18531" s="9" t="s">
        <v>122</v>
      </c>
      <c r="D18531" s="9" t="s">
        <v>18</v>
      </c>
      <c r="E18531" s="10" t="s">
        <v>492</v>
      </c>
      <c r="F18531" s="9" t="s">
        <v>493</v>
      </c>
      <c r="G18531" s="10" t="s">
        <v>28</v>
      </c>
      <c r="H18531" s="9" t="s">
        <v>22</v>
      </c>
      <c r="I18531" s="9" t="s">
        <v>37723</v>
      </c>
      <c r="J18531" s="10" t="str">
        <f>HYPERLINK("https://www.boe.es/gazeta/dias/1834/11/21/pdfs/GMD-C-1834-280.pdf#page=5","Abrir facsímil")</f>
        <v>Abrir facsímil</v>
      </c>
      <c r="K18531" s="10" t="s">
        <v>24</v>
      </c>
    </row>
    <row r="18532" spans="1:11" ht="54" customHeight="1">
      <c r="A18532" s="9" t="s">
        <v>37724</v>
      </c>
      <c r="B18532" s="9" t="s">
        <v>37725</v>
      </c>
      <c r="C18532" s="9" t="s">
        <v>122</v>
      </c>
      <c r="D18532" s="9" t="s">
        <v>18</v>
      </c>
      <c r="E18532" s="10" t="s">
        <v>255</v>
      </c>
      <c r="F18532" s="9" t="s">
        <v>256</v>
      </c>
      <c r="G18532" s="10" t="s">
        <v>34</v>
      </c>
      <c r="H18532" s="9" t="s">
        <v>22</v>
      </c>
      <c r="I18532" s="9" t="s">
        <v>37726</v>
      </c>
      <c r="J18532" s="10" t="str">
        <f>HYPERLINK("https://www.boe.es/gazeta/dias/1834/09/01/pdfs/GMD-D-1834-199.pdf#page=1","Abrir facsímil")</f>
        <v>Abrir facsímil</v>
      </c>
      <c r="K18532" s="10" t="s">
        <v>24</v>
      </c>
    </row>
    <row r="18533" spans="1:11" ht="54" customHeight="1">
      <c r="A18533" s="9" t="s">
        <v>37724</v>
      </c>
      <c r="B18533" s="9" t="s">
        <v>37725</v>
      </c>
      <c r="C18533" s="9" t="s">
        <v>90</v>
      </c>
      <c r="D18533" s="9" t="s">
        <v>67</v>
      </c>
      <c r="E18533" s="10" t="s">
        <v>262</v>
      </c>
      <c r="F18533" s="9" t="s">
        <v>263</v>
      </c>
      <c r="G18533" s="10" t="s">
        <v>28</v>
      </c>
      <c r="H18533" s="9" t="s">
        <v>22</v>
      </c>
      <c r="I18533" s="9" t="s">
        <v>37727</v>
      </c>
      <c r="J18533" s="10" t="str">
        <f>HYPERLINK("https://www.boe.es/gazeta/dias/1834/10/18/pdfs/GMD-C-1834-246.pdf#page=5","Abrir facsímil")</f>
        <v>Abrir facsímil</v>
      </c>
      <c r="K18533" s="10" t="s">
        <v>24</v>
      </c>
    </row>
    <row r="18534" spans="1:11" ht="54" customHeight="1">
      <c r="A18534" s="9" t="s">
        <v>37724</v>
      </c>
      <c r="B18534" s="9" t="s">
        <v>37725</v>
      </c>
      <c r="C18534" s="9" t="s">
        <v>17</v>
      </c>
      <c r="D18534" s="9" t="s">
        <v>18</v>
      </c>
      <c r="E18534" s="10" t="s">
        <v>981</v>
      </c>
      <c r="F18534" s="9" t="s">
        <v>3406</v>
      </c>
      <c r="G18534" s="10" t="s">
        <v>34</v>
      </c>
      <c r="H18534" s="9" t="s">
        <v>22</v>
      </c>
      <c r="I18534" s="9" t="s">
        <v>37728</v>
      </c>
      <c r="J18534" s="10" t="str">
        <f>HYPERLINK("https://www.boe.es/gazeta/dias/1834/09/21/pdfs/GMD-C-1834-219.pdf#page=1","Abrir facsímil")</f>
        <v>Abrir facsímil</v>
      </c>
      <c r="K18534" s="10" t="s">
        <v>24</v>
      </c>
    </row>
    <row r="18535" spans="1:11" ht="54" customHeight="1">
      <c r="A18535" s="9" t="s">
        <v>37724</v>
      </c>
      <c r="B18535" s="9" t="s">
        <v>37725</v>
      </c>
      <c r="C18535" s="9" t="s">
        <v>122</v>
      </c>
      <c r="D18535" s="9" t="s">
        <v>18</v>
      </c>
      <c r="E18535" s="10" t="s">
        <v>492</v>
      </c>
      <c r="F18535" s="9" t="s">
        <v>493</v>
      </c>
      <c r="G18535" s="10" t="s">
        <v>28</v>
      </c>
      <c r="H18535" s="9" t="s">
        <v>22</v>
      </c>
      <c r="I18535" s="9" t="s">
        <v>37729</v>
      </c>
      <c r="J18535" s="10" t="str">
        <f>HYPERLINK("https://www.boe.es/gazeta/dias/1834/11/21/pdfs/GMD-C-1834-280.pdf#page=5","Abrir facsímil")</f>
        <v>Abrir facsímil</v>
      </c>
      <c r="K18535" s="10" t="s">
        <v>24</v>
      </c>
    </row>
    <row r="18536" spans="1:11" ht="54" customHeight="1">
      <c r="A18536" s="9" t="s">
        <v>37724</v>
      </c>
      <c r="B18536" s="9" t="s">
        <v>37725</v>
      </c>
      <c r="C18536" s="9" t="s">
        <v>17</v>
      </c>
      <c r="D18536" s="9" t="s">
        <v>18</v>
      </c>
      <c r="E18536" s="10" t="s">
        <v>627</v>
      </c>
      <c r="F18536" s="9" t="s">
        <v>628</v>
      </c>
      <c r="G18536" s="10" t="s">
        <v>34</v>
      </c>
      <c r="H18536" s="9" t="s">
        <v>22</v>
      </c>
      <c r="I18536" s="9" t="s">
        <v>37730</v>
      </c>
      <c r="J18536" s="10" t="str">
        <f>HYPERLINK("https://www.boe.es/gazeta/dias/1834/09/22/pdfs/GMD-C-1834-220.pdf#page=1","Abrir facsímil")</f>
        <v>Abrir facsímil</v>
      </c>
      <c r="K18536" s="10" t="s">
        <v>24</v>
      </c>
    </row>
    <row r="18537" spans="1:11" ht="54" customHeight="1">
      <c r="A18537" s="9" t="s">
        <v>37724</v>
      </c>
      <c r="B18537" s="9" t="s">
        <v>37725</v>
      </c>
      <c r="C18537" s="9" t="s">
        <v>66</v>
      </c>
      <c r="D18537" s="9" t="s">
        <v>67</v>
      </c>
      <c r="E18537" s="10" t="s">
        <v>627</v>
      </c>
      <c r="F18537" s="9" t="s">
        <v>628</v>
      </c>
      <c r="G18537" s="10" t="s">
        <v>86</v>
      </c>
      <c r="H18537" s="9" t="s">
        <v>22</v>
      </c>
      <c r="I18537" s="9" t="s">
        <v>37731</v>
      </c>
      <c r="J18537" s="10" t="str">
        <f>HYPERLINK("https://www.boe.es/gazeta/dias/1834/09/22/pdfs/GMD-C-1834-220.pdf#page=2","Abrir facsímil")</f>
        <v>Abrir facsímil</v>
      </c>
      <c r="K18537" s="10" t="s">
        <v>24</v>
      </c>
    </row>
    <row r="18538" spans="1:11" ht="54" customHeight="1">
      <c r="A18538" s="9" t="s">
        <v>37724</v>
      </c>
      <c r="B18538" s="9" t="s">
        <v>37725</v>
      </c>
      <c r="C18538" s="9" t="s">
        <v>17</v>
      </c>
      <c r="D18538" s="9" t="s">
        <v>18</v>
      </c>
      <c r="E18538" s="10" t="s">
        <v>378</v>
      </c>
      <c r="F18538" s="9" t="s">
        <v>888</v>
      </c>
      <c r="G18538" s="10" t="s">
        <v>86</v>
      </c>
      <c r="H18538" s="9" t="s">
        <v>22</v>
      </c>
      <c r="I18538" s="9" t="s">
        <v>37732</v>
      </c>
      <c r="J18538" s="10" t="str">
        <f>HYPERLINK("https://www.boe.es/gazeta/dias/1834/09/24/pdfs/GMD-C-1834-222.pdf#page=2","Abrir facsímil")</f>
        <v>Abrir facsímil</v>
      </c>
      <c r="K18538" s="10" t="s">
        <v>24</v>
      </c>
    </row>
    <row r="18539" spans="1:11" ht="54" customHeight="1">
      <c r="A18539" s="9" t="s">
        <v>37724</v>
      </c>
      <c r="B18539" s="9" t="s">
        <v>37725</v>
      </c>
      <c r="C18539" s="9" t="s">
        <v>17</v>
      </c>
      <c r="D18539" s="9" t="s">
        <v>18</v>
      </c>
      <c r="E18539" s="10" t="s">
        <v>777</v>
      </c>
      <c r="F18539" s="9" t="s">
        <v>2535</v>
      </c>
      <c r="G18539" s="10" t="s">
        <v>21</v>
      </c>
      <c r="H18539" s="9" t="s">
        <v>22</v>
      </c>
      <c r="I18539" s="9" t="s">
        <v>37733</v>
      </c>
      <c r="J18539" s="10" t="str">
        <f>HYPERLINK("https://www.boe.es/gazeta/dias/1834/10/29/pdfs/GMD-C-1834-257.pdf#page=3","Abrir facsímil")</f>
        <v>Abrir facsímil</v>
      </c>
      <c r="K18539" s="10" t="s">
        <v>24</v>
      </c>
    </row>
    <row r="18540" spans="1:11" ht="54" customHeight="1">
      <c r="A18540" s="9" t="s">
        <v>37724</v>
      </c>
      <c r="B18540" s="9" t="s">
        <v>37725</v>
      </c>
      <c r="C18540" s="9" t="s">
        <v>46</v>
      </c>
      <c r="D18540" s="9" t="s">
        <v>18</v>
      </c>
      <c r="E18540" s="10" t="s">
        <v>891</v>
      </c>
      <c r="F18540" s="9" t="s">
        <v>892</v>
      </c>
      <c r="G18540" s="10" t="s">
        <v>176</v>
      </c>
      <c r="H18540" s="9" t="s">
        <v>22</v>
      </c>
      <c r="I18540" s="9" t="s">
        <v>37734</v>
      </c>
      <c r="J18540" s="10" t="str">
        <f>HYPERLINK("https://www.boe.es/gazeta/dias/1834/10/31/pdfs/GMD-C-1834-259.pdf#page=6","Abrir facsímil")</f>
        <v>Abrir facsímil</v>
      </c>
      <c r="K18540" s="10" t="s">
        <v>24</v>
      </c>
    </row>
    <row r="18541" spans="1:11" ht="54" customHeight="1">
      <c r="A18541" s="9" t="s">
        <v>37735</v>
      </c>
      <c r="B18541" s="9" t="s">
        <v>37736</v>
      </c>
      <c r="C18541" s="9" t="s">
        <v>17</v>
      </c>
      <c r="D18541" s="9" t="s">
        <v>18</v>
      </c>
      <c r="E18541" s="10" t="s">
        <v>1839</v>
      </c>
      <c r="F18541" s="9" t="s">
        <v>3598</v>
      </c>
      <c r="G18541" s="10" t="s">
        <v>21</v>
      </c>
      <c r="H18541" s="9" t="s">
        <v>22</v>
      </c>
      <c r="I18541" s="9" t="s">
        <v>37737</v>
      </c>
      <c r="J18541" s="10" t="str">
        <f>HYPERLINK("https://www.boe.es/gazeta/dias/1834/08/12/pdfs/GMD-1834-177.pdf#page=3","Abrir facsímil")</f>
        <v>Abrir facsímil</v>
      </c>
      <c r="K18541" s="10" t="s">
        <v>24</v>
      </c>
    </row>
    <row r="18542" spans="1:11" ht="54" customHeight="1">
      <c r="A18542" s="9" t="s">
        <v>37738</v>
      </c>
      <c r="B18542" s="9" t="s">
        <v>37739</v>
      </c>
      <c r="C18542" s="9" t="s">
        <v>122</v>
      </c>
      <c r="D18542" s="9" t="s">
        <v>18</v>
      </c>
      <c r="E18542" s="10" t="s">
        <v>123</v>
      </c>
      <c r="F18542" s="9" t="s">
        <v>124</v>
      </c>
      <c r="G18542" s="10" t="s">
        <v>21</v>
      </c>
      <c r="H18542" s="9" t="s">
        <v>35</v>
      </c>
      <c r="I18542" s="9" t="s">
        <v>37740</v>
      </c>
      <c r="J18542" s="10" t="str">
        <f>HYPERLINK("https://www.boe.es/gazeta/dias/1834/07/11/pdfs/GMD-1834-144.pdf#page=3","Abrir facsímil")</f>
        <v>Abrir facsímil</v>
      </c>
      <c r="K18542" s="10" t="s">
        <v>37</v>
      </c>
    </row>
    <row r="18543" spans="1:11" ht="54" customHeight="1">
      <c r="A18543" s="9" t="s">
        <v>37741</v>
      </c>
      <c r="B18543" s="9" t="s">
        <v>37742</v>
      </c>
      <c r="C18543" s="9" t="s">
        <v>90</v>
      </c>
      <c r="D18543" s="9" t="s">
        <v>18</v>
      </c>
      <c r="E18543" s="10" t="s">
        <v>454</v>
      </c>
      <c r="F18543" s="9" t="s">
        <v>2009</v>
      </c>
      <c r="G18543" s="10" t="s">
        <v>21</v>
      </c>
      <c r="H18543" s="9" t="s">
        <v>22</v>
      </c>
      <c r="I18543" s="9" t="s">
        <v>37743</v>
      </c>
      <c r="J18543" s="10" t="str">
        <f>HYPERLINK("https://www.boe.es/gazeta/dias/1834/10/16/pdfs/GMD-1834-244.pdf#page=3","Abrir facsímil")</f>
        <v>Abrir facsímil</v>
      </c>
      <c r="K18543" s="10" t="s">
        <v>24</v>
      </c>
    </row>
    <row r="18544" spans="1:11" ht="54" customHeight="1">
      <c r="A18544" s="9" t="s">
        <v>37744</v>
      </c>
      <c r="B18544" s="9" t="s">
        <v>37745</v>
      </c>
      <c r="C18544" s="9" t="s">
        <v>122</v>
      </c>
      <c r="D18544" s="9" t="s">
        <v>18</v>
      </c>
      <c r="E18544" s="10" t="s">
        <v>123</v>
      </c>
      <c r="F18544" s="9" t="s">
        <v>124</v>
      </c>
      <c r="G18544" s="10" t="s">
        <v>21</v>
      </c>
      <c r="H18544" s="9" t="s">
        <v>22</v>
      </c>
      <c r="I18544" s="9" t="s">
        <v>37746</v>
      </c>
      <c r="J18544" s="10" t="str">
        <f>HYPERLINK("https://www.boe.es/gazeta/dias/1834/07/11/pdfs/GMD-1834-144.pdf#page=3","Abrir facsímil")</f>
        <v>Abrir facsímil</v>
      </c>
      <c r="K18544" s="10" t="s">
        <v>24</v>
      </c>
    </row>
    <row r="18545" spans="1:11" ht="54" customHeight="1">
      <c r="A18545" s="9" t="s">
        <v>37747</v>
      </c>
      <c r="B18545" s="9" t="s">
        <v>37748</v>
      </c>
      <c r="C18545" s="9" t="s">
        <v>122</v>
      </c>
      <c r="D18545" s="9" t="s">
        <v>18</v>
      </c>
      <c r="E18545" s="10" t="s">
        <v>863</v>
      </c>
      <c r="F18545" s="9" t="s">
        <v>864</v>
      </c>
      <c r="G18545" s="10" t="s">
        <v>75</v>
      </c>
      <c r="H18545" s="9" t="s">
        <v>22</v>
      </c>
      <c r="I18545" s="9" t="s">
        <v>37749</v>
      </c>
      <c r="J18545" s="10" t="str">
        <f>HYPERLINK("https://www.boe.es/gazeta/dias/1834/09/15/pdfs/GMD-1834-213.pdf#page=4","Abrir facsímil")</f>
        <v>Abrir facsímil</v>
      </c>
      <c r="K18545" s="10" t="s">
        <v>24</v>
      </c>
    </row>
    <row r="18546" spans="1:11" ht="54" customHeight="1">
      <c r="A18546" s="9" t="s">
        <v>37750</v>
      </c>
      <c r="B18546" s="9" t="s">
        <v>37751</v>
      </c>
      <c r="C18546" s="9" t="s">
        <v>17</v>
      </c>
      <c r="D18546" s="9" t="s">
        <v>18</v>
      </c>
      <c r="E18546" s="10" t="s">
        <v>3057</v>
      </c>
      <c r="F18546" s="9" t="s">
        <v>3058</v>
      </c>
      <c r="G18546" s="10" t="s">
        <v>34</v>
      </c>
      <c r="H18546" s="9" t="s">
        <v>22</v>
      </c>
      <c r="I18546" s="9" t="s">
        <v>37752</v>
      </c>
      <c r="J18546" s="10" t="str">
        <f>HYPERLINK("https://www.boe.es/gazeta/dias/1834/06/14/pdfs/GMD-1834-117.pdf#page=1","Abrir facsímil")</f>
        <v>Abrir facsímil</v>
      </c>
      <c r="K18546" s="10" t="s">
        <v>24</v>
      </c>
    </row>
    <row r="18547" spans="1:11" ht="54" customHeight="1">
      <c r="A18547" s="9" t="s">
        <v>37753</v>
      </c>
      <c r="B18547" s="9" t="s">
        <v>37753</v>
      </c>
      <c r="C18547" s="9" t="s">
        <v>17</v>
      </c>
      <c r="D18547" s="9" t="s">
        <v>18</v>
      </c>
      <c r="E18547" s="10" t="s">
        <v>375</v>
      </c>
      <c r="F18547" s="9" t="s">
        <v>376</v>
      </c>
      <c r="G18547" s="10" t="s">
        <v>75</v>
      </c>
      <c r="H18547" s="9" t="s">
        <v>22</v>
      </c>
      <c r="I18547" s="9" t="s">
        <v>37754</v>
      </c>
      <c r="J18547" s="10" t="str">
        <f>HYPERLINK("https://www.boe.es/gazeta/dias/1834/08/21/pdfs/GMD-1834-187.pdf#page=4","Abrir facsímil")</f>
        <v>Abrir facsímil</v>
      </c>
      <c r="K18547" s="10" t="s">
        <v>24</v>
      </c>
    </row>
    <row r="18548" spans="1:11" ht="54" customHeight="1">
      <c r="A18548" s="9" t="s">
        <v>37755</v>
      </c>
      <c r="B18548" s="9" t="s">
        <v>37756</v>
      </c>
      <c r="C18548" s="9" t="s">
        <v>17</v>
      </c>
      <c r="D18548" s="9" t="s">
        <v>40</v>
      </c>
      <c r="E18548" s="10" t="s">
        <v>785</v>
      </c>
      <c r="F18548" s="9" t="s">
        <v>786</v>
      </c>
      <c r="G18548" s="10" t="s">
        <v>75</v>
      </c>
      <c r="H18548" s="9" t="s">
        <v>22</v>
      </c>
      <c r="I18548" s="9" t="s">
        <v>37757</v>
      </c>
      <c r="J18548" s="10" t="str">
        <f>HYPERLINK("https://www.boe.es/gazeta/dias/1834/02/11/pdfs/GMD-1834-19.pdf#page=4","Abrir facsímil")</f>
        <v>Abrir facsímil</v>
      </c>
      <c r="K18548" s="10" t="s">
        <v>24</v>
      </c>
    </row>
    <row r="18549" spans="1:11" ht="54" customHeight="1">
      <c r="A18549" s="9" t="s">
        <v>37758</v>
      </c>
      <c r="B18549" s="9" t="s">
        <v>37759</v>
      </c>
      <c r="C18549" s="9" t="s">
        <v>17</v>
      </c>
      <c r="D18549" s="9" t="s">
        <v>40</v>
      </c>
      <c r="E18549" s="10" t="s">
        <v>785</v>
      </c>
      <c r="F18549" s="9" t="s">
        <v>786</v>
      </c>
      <c r="G18549" s="10" t="s">
        <v>75</v>
      </c>
      <c r="H18549" s="9" t="s">
        <v>35</v>
      </c>
      <c r="I18549" s="9" t="s">
        <v>37760</v>
      </c>
      <c r="J18549" s="10" t="str">
        <f>HYPERLINK("https://www.boe.es/gazeta/dias/1834/02/11/pdfs/GMD-1834-19.pdf#page=4","Abrir facsímil")</f>
        <v>Abrir facsímil</v>
      </c>
      <c r="K18549" s="10" t="s">
        <v>37</v>
      </c>
    </row>
    <row r="18550" spans="1:11" ht="54" customHeight="1">
      <c r="A18550" s="9" t="s">
        <v>37761</v>
      </c>
      <c r="B18550" s="9" t="s">
        <v>37762</v>
      </c>
      <c r="C18550" s="9" t="s">
        <v>66</v>
      </c>
      <c r="D18550" s="9" t="s">
        <v>67</v>
      </c>
      <c r="E18550" s="10" t="s">
        <v>167</v>
      </c>
      <c r="F18550" s="9" t="s">
        <v>1200</v>
      </c>
      <c r="G18550" s="10" t="s">
        <v>86</v>
      </c>
      <c r="H18550" s="9" t="s">
        <v>22</v>
      </c>
      <c r="I18550" s="9" t="s">
        <v>37763</v>
      </c>
      <c r="J18550" s="10" t="str">
        <f>HYPERLINK("https://www.boe.es/gazeta/dias/1834/09/07/pdfs/GMD-C-1834-205.pdf#page=2","Abrir facsímil")</f>
        <v>Abrir facsímil</v>
      </c>
      <c r="K18550" s="10" t="s">
        <v>24</v>
      </c>
    </row>
    <row r="18551" spans="1:11" ht="54" customHeight="1">
      <c r="A18551" s="9" t="s">
        <v>37764</v>
      </c>
      <c r="B18551" s="9" t="s">
        <v>37765</v>
      </c>
      <c r="C18551" s="9" t="s">
        <v>17</v>
      </c>
      <c r="D18551" s="9" t="s">
        <v>18</v>
      </c>
      <c r="E18551" s="10" t="s">
        <v>1597</v>
      </c>
      <c r="F18551" s="9" t="s">
        <v>1598</v>
      </c>
      <c r="G18551" s="10" t="s">
        <v>75</v>
      </c>
      <c r="H18551" s="9" t="s">
        <v>22</v>
      </c>
      <c r="I18551" s="9" t="s">
        <v>37766</v>
      </c>
      <c r="J18551" s="10" t="str">
        <f>HYPERLINK("https://www.boe.es/gazeta/dias/1834/10/03/pdfs/GMD-1834-231.pdf#page=4","Abrir facsímil")</f>
        <v>Abrir facsímil</v>
      </c>
      <c r="K18551" s="10" t="s">
        <v>24</v>
      </c>
    </row>
    <row r="18552" spans="1:11" ht="54" customHeight="1">
      <c r="A18552" s="9" t="s">
        <v>37767</v>
      </c>
      <c r="B18552" s="9" t="s">
        <v>37768</v>
      </c>
      <c r="C18552" s="9" t="s">
        <v>17</v>
      </c>
      <c r="D18552" s="9" t="s">
        <v>18</v>
      </c>
      <c r="E18552" s="10" t="s">
        <v>403</v>
      </c>
      <c r="F18552" s="9" t="s">
        <v>3456</v>
      </c>
      <c r="G18552" s="10" t="s">
        <v>21</v>
      </c>
      <c r="H18552" s="9" t="s">
        <v>22</v>
      </c>
      <c r="I18552" s="9" t="s">
        <v>37769</v>
      </c>
      <c r="J18552" s="10" t="str">
        <f>HYPERLINK("https://www.boe.es/gazeta/dias/1834/09/25/pdfs/GMD-1834-223.pdf#page=3","Abrir facsímil")</f>
        <v>Abrir facsímil</v>
      </c>
      <c r="K18552" s="10" t="s">
        <v>24</v>
      </c>
    </row>
    <row r="18553" spans="1:11" ht="54" customHeight="1">
      <c r="A18553" s="9" t="s">
        <v>37767</v>
      </c>
      <c r="B18553" s="9" t="s">
        <v>37768</v>
      </c>
      <c r="C18553" s="9" t="s">
        <v>66</v>
      </c>
      <c r="D18553" s="9" t="s">
        <v>67</v>
      </c>
      <c r="E18553" s="10" t="s">
        <v>294</v>
      </c>
      <c r="F18553" s="9" t="s">
        <v>959</v>
      </c>
      <c r="G18553" s="10" t="s">
        <v>34</v>
      </c>
      <c r="H18553" s="9" t="s">
        <v>22</v>
      </c>
      <c r="I18553" s="9" t="s">
        <v>37770</v>
      </c>
      <c r="J18553" s="10" t="str">
        <f>HYPERLINK("https://www.boe.es/gazeta/dias/1834/09/27/pdfs/GMD-C-1834-225.pdf#page=1","Abrir facsímil")</f>
        <v>Abrir facsímil</v>
      </c>
      <c r="K18553" s="10" t="s">
        <v>24</v>
      </c>
    </row>
    <row r="18554" spans="1:11" ht="54" customHeight="1">
      <c r="A18554" s="9" t="s">
        <v>37771</v>
      </c>
      <c r="B18554" s="9" t="s">
        <v>37772</v>
      </c>
      <c r="C18554" s="9" t="s">
        <v>17</v>
      </c>
      <c r="D18554" s="9" t="s">
        <v>40</v>
      </c>
      <c r="E18554" s="10" t="s">
        <v>355</v>
      </c>
      <c r="F18554" s="9" t="s">
        <v>356</v>
      </c>
      <c r="G18554" s="10" t="s">
        <v>86</v>
      </c>
      <c r="H18554" s="9" t="s">
        <v>22</v>
      </c>
      <c r="I18554" s="9" t="s">
        <v>37773</v>
      </c>
      <c r="J18554" s="10" t="str">
        <f>HYPERLINK("https://www.boe.es/gazeta/dias/1834/07/04/pdfs/I00597-00598.pdf#page=2","Abrir facsímil")</f>
        <v>Abrir facsímil</v>
      </c>
      <c r="K18554" s="10" t="s">
        <v>24</v>
      </c>
    </row>
    <row r="18555" spans="1:11" ht="54" customHeight="1">
      <c r="A18555" s="9" t="s">
        <v>37771</v>
      </c>
      <c r="B18555" s="9" t="s">
        <v>37772</v>
      </c>
      <c r="C18555" s="9" t="s">
        <v>17</v>
      </c>
      <c r="D18555" s="9" t="s">
        <v>40</v>
      </c>
      <c r="E18555" s="10" t="s">
        <v>355</v>
      </c>
      <c r="F18555" s="9" t="s">
        <v>356</v>
      </c>
      <c r="G18555" s="10" t="s">
        <v>75</v>
      </c>
      <c r="H18555" s="9" t="s">
        <v>22</v>
      </c>
      <c r="I18555" s="9" t="s">
        <v>37773</v>
      </c>
      <c r="J18555" s="10" t="str">
        <f>HYPERLINK("https://www.boe.es/gazeta/dias/1834/07/04/pdfs/GMD-1834-137.pdf#page=4","Abrir facsímil")</f>
        <v>Abrir facsímil</v>
      </c>
      <c r="K18555" s="10" t="s">
        <v>24</v>
      </c>
    </row>
    <row r="18556" spans="1:11" ht="54" customHeight="1">
      <c r="A18556" s="9" t="s">
        <v>37774</v>
      </c>
      <c r="B18556" s="9" t="s">
        <v>37774</v>
      </c>
      <c r="C18556" s="9" t="s">
        <v>17</v>
      </c>
      <c r="D18556" s="9" t="s">
        <v>101</v>
      </c>
      <c r="E18556" s="10" t="s">
        <v>355</v>
      </c>
      <c r="F18556" s="9" t="s">
        <v>356</v>
      </c>
      <c r="G18556" s="10" t="s">
        <v>75</v>
      </c>
      <c r="H18556" s="9" t="s">
        <v>22</v>
      </c>
      <c r="I18556" s="9" t="s">
        <v>37775</v>
      </c>
      <c r="J18556" s="10" t="str">
        <f>HYPERLINK("https://www.boe.es/gazeta/dias/1834/07/04/pdfs/GMD-1834-137.pdf#page=4","Abrir facsímil")</f>
        <v>Abrir facsímil</v>
      </c>
      <c r="K18556" s="10" t="s">
        <v>24</v>
      </c>
    </row>
    <row r="18557" spans="1:11" ht="54" customHeight="1">
      <c r="A18557" s="9" t="s">
        <v>37774</v>
      </c>
      <c r="B18557" s="9" t="s">
        <v>37774</v>
      </c>
      <c r="C18557" s="9" t="s">
        <v>66</v>
      </c>
      <c r="D18557" s="9" t="s">
        <v>67</v>
      </c>
      <c r="E18557" s="10" t="s">
        <v>1658</v>
      </c>
      <c r="F18557" s="9" t="s">
        <v>1659</v>
      </c>
      <c r="G18557" s="10" t="s">
        <v>75</v>
      </c>
      <c r="H18557" s="9" t="s">
        <v>22</v>
      </c>
      <c r="I18557" s="9" t="s">
        <v>37776</v>
      </c>
      <c r="J18557" s="10" t="str">
        <f>HYPERLINK("https://www.boe.es/gazeta/dias/1834/04/05/pdfs/GMD-1834-44.pdf#page=4","Abrir facsímil")</f>
        <v>Abrir facsímil</v>
      </c>
      <c r="K18557" s="10" t="s">
        <v>24</v>
      </c>
    </row>
    <row r="18558" spans="1:11" ht="54" customHeight="1">
      <c r="A18558" s="9" t="s">
        <v>37774</v>
      </c>
      <c r="B18558" s="9" t="s">
        <v>37774</v>
      </c>
      <c r="C18558" s="9" t="s">
        <v>17</v>
      </c>
      <c r="D18558" s="9" t="s">
        <v>18</v>
      </c>
      <c r="E18558" s="10" t="s">
        <v>4814</v>
      </c>
      <c r="F18558" s="9" t="s">
        <v>4815</v>
      </c>
      <c r="G18558" s="10" t="s">
        <v>75</v>
      </c>
      <c r="H18558" s="9" t="s">
        <v>22</v>
      </c>
      <c r="I18558" s="9" t="s">
        <v>37777</v>
      </c>
      <c r="J18558" s="10" t="str">
        <f>HYPERLINK("https://www.boe.es/gazeta/dias/1834/06/05/pdfs/GMD-1834-107.pdf#page=4","Abrir facsímil")</f>
        <v>Abrir facsímil</v>
      </c>
      <c r="K18558" s="10" t="s">
        <v>24</v>
      </c>
    </row>
    <row r="18559" spans="1:11" ht="54" customHeight="1">
      <c r="A18559" s="9" t="s">
        <v>37774</v>
      </c>
      <c r="B18559" s="9" t="s">
        <v>37774</v>
      </c>
      <c r="C18559" s="9" t="s">
        <v>17</v>
      </c>
      <c r="D18559" s="9" t="s">
        <v>40</v>
      </c>
      <c r="E18559" s="10" t="s">
        <v>1661</v>
      </c>
      <c r="F18559" s="9" t="s">
        <v>1662</v>
      </c>
      <c r="G18559" s="10" t="s">
        <v>75</v>
      </c>
      <c r="H18559" s="9" t="s">
        <v>22</v>
      </c>
      <c r="I18559" s="9" t="s">
        <v>37778</v>
      </c>
      <c r="J18559" s="10" t="str">
        <f>HYPERLINK("https://www.boe.es/gazeta/dias/1834/04/06/pdfs/GMD-1834-45.pdf#page=4","Abrir facsímil")</f>
        <v>Abrir facsímil</v>
      </c>
      <c r="K18559" s="10" t="s">
        <v>24</v>
      </c>
    </row>
    <row r="18560" spans="1:11" ht="54" customHeight="1">
      <c r="A18560" s="9" t="s">
        <v>37774</v>
      </c>
      <c r="B18560" s="9" t="s">
        <v>37774</v>
      </c>
      <c r="C18560" s="9" t="s">
        <v>17</v>
      </c>
      <c r="D18560" s="9" t="s">
        <v>18</v>
      </c>
      <c r="E18560" s="10" t="s">
        <v>433</v>
      </c>
      <c r="F18560" s="9" t="s">
        <v>2773</v>
      </c>
      <c r="G18560" s="10" t="s">
        <v>75</v>
      </c>
      <c r="H18560" s="9" t="s">
        <v>22</v>
      </c>
      <c r="I18560" s="9" t="s">
        <v>37779</v>
      </c>
      <c r="J18560" s="10" t="str">
        <f>HYPERLINK("https://www.boe.es/gazeta/dias/1834/10/07/pdfs/GMD-1834-235.pdf#page=4","Abrir facsímil")</f>
        <v>Abrir facsímil</v>
      </c>
      <c r="K18560" s="10" t="s">
        <v>24</v>
      </c>
    </row>
    <row r="18561" spans="1:11" ht="54" customHeight="1">
      <c r="A18561" s="9" t="s">
        <v>37774</v>
      </c>
      <c r="B18561" s="9" t="s">
        <v>37774</v>
      </c>
      <c r="C18561" s="9" t="s">
        <v>17</v>
      </c>
      <c r="D18561" s="9" t="s">
        <v>40</v>
      </c>
      <c r="E18561" s="10" t="s">
        <v>1999</v>
      </c>
      <c r="F18561" s="9" t="s">
        <v>2000</v>
      </c>
      <c r="G18561" s="10" t="s">
        <v>75</v>
      </c>
      <c r="H18561" s="9" t="s">
        <v>22</v>
      </c>
      <c r="I18561" s="9" t="s">
        <v>37780</v>
      </c>
      <c r="J18561" s="10" t="str">
        <f>HYPERLINK("https://www.boe.es/gazeta/dias/1834/04/09/pdfs/GMD-1834-48.pdf#page=4","Abrir facsímil")</f>
        <v>Abrir facsímil</v>
      </c>
      <c r="K18561" s="10" t="s">
        <v>24</v>
      </c>
    </row>
    <row r="18562" spans="1:11" ht="54" customHeight="1">
      <c r="A18562" s="9" t="s">
        <v>37774</v>
      </c>
      <c r="B18562" s="9" t="s">
        <v>37774</v>
      </c>
      <c r="C18562" s="9" t="s">
        <v>66</v>
      </c>
      <c r="D18562" s="9" t="s">
        <v>67</v>
      </c>
      <c r="E18562" s="10" t="s">
        <v>1178</v>
      </c>
      <c r="F18562" s="9" t="s">
        <v>14853</v>
      </c>
      <c r="G18562" s="10" t="s">
        <v>86</v>
      </c>
      <c r="H18562" s="9" t="s">
        <v>22</v>
      </c>
      <c r="I18562" s="9" t="s">
        <v>37781</v>
      </c>
      <c r="J18562" s="10" t="str">
        <f>HYPERLINK("https://www.boe.es/gazeta/dias/1834/04/10/pdfs/I00227-00228.pdf#page=2","Abrir facsímil")</f>
        <v>Abrir facsímil</v>
      </c>
      <c r="K18562" s="10" t="s">
        <v>24</v>
      </c>
    </row>
    <row r="18563" spans="1:11" ht="54" customHeight="1">
      <c r="A18563" s="9" t="s">
        <v>37774</v>
      </c>
      <c r="B18563" s="9" t="s">
        <v>37774</v>
      </c>
      <c r="C18563" s="9" t="s">
        <v>66</v>
      </c>
      <c r="D18563" s="9" t="s">
        <v>67</v>
      </c>
      <c r="E18563" s="10" t="s">
        <v>1178</v>
      </c>
      <c r="F18563" s="9" t="s">
        <v>14853</v>
      </c>
      <c r="G18563" s="10" t="s">
        <v>75</v>
      </c>
      <c r="H18563" s="9" t="s">
        <v>22</v>
      </c>
      <c r="I18563" s="9" t="s">
        <v>37781</v>
      </c>
      <c r="J18563" s="10" t="str">
        <f>HYPERLINK("https://www.boe.es/gazeta/dias/1834/04/10/pdfs/GMD-1834-49.pdf#page=4","Abrir facsímil")</f>
        <v>Abrir facsímil</v>
      </c>
      <c r="K18563" s="10" t="s">
        <v>24</v>
      </c>
    </row>
    <row r="18564" spans="1:11" ht="54" customHeight="1">
      <c r="A18564" s="9" t="s">
        <v>37774</v>
      </c>
      <c r="B18564" s="9" t="s">
        <v>37774</v>
      </c>
      <c r="C18564" s="9" t="s">
        <v>17</v>
      </c>
      <c r="D18564" s="9" t="s">
        <v>18</v>
      </c>
      <c r="E18564" s="10" t="s">
        <v>2203</v>
      </c>
      <c r="F18564" s="9" t="s">
        <v>3917</v>
      </c>
      <c r="G18564" s="10" t="s">
        <v>75</v>
      </c>
      <c r="H18564" s="9" t="s">
        <v>22</v>
      </c>
      <c r="I18564" s="9" t="s">
        <v>37782</v>
      </c>
      <c r="J18564" s="10" t="str">
        <f>HYPERLINK("https://www.boe.es/gazeta/dias/1834/09/10/pdfs/GMD-1834-208.pdf#page=4","Abrir facsímil")</f>
        <v>Abrir facsímil</v>
      </c>
      <c r="K18564" s="10" t="s">
        <v>24</v>
      </c>
    </row>
    <row r="18565" spans="1:11" ht="54" customHeight="1">
      <c r="A18565" s="9" t="s">
        <v>37774</v>
      </c>
      <c r="B18565" s="9" t="s">
        <v>37774</v>
      </c>
      <c r="C18565" s="9" t="s">
        <v>17</v>
      </c>
      <c r="D18565" s="9" t="s">
        <v>40</v>
      </c>
      <c r="E18565" s="10" t="s">
        <v>11736</v>
      </c>
      <c r="F18565" s="9" t="s">
        <v>11737</v>
      </c>
      <c r="G18565" s="10" t="s">
        <v>75</v>
      </c>
      <c r="H18565" s="9" t="s">
        <v>22</v>
      </c>
      <c r="I18565" s="9" t="s">
        <v>37783</v>
      </c>
      <c r="J18565" s="10" t="str">
        <f>HYPERLINK("https://www.boe.es/gazeta/dias/1834/04/11/pdfs/GMD-1834-50.pdf#page=4","Abrir facsímil")</f>
        <v>Abrir facsímil</v>
      </c>
      <c r="K18565" s="10" t="s">
        <v>24</v>
      </c>
    </row>
    <row r="18566" spans="1:11" ht="54" customHeight="1">
      <c r="A18566" s="9" t="s">
        <v>37774</v>
      </c>
      <c r="B18566" s="9" t="s">
        <v>37774</v>
      </c>
      <c r="C18566" s="9" t="s">
        <v>17</v>
      </c>
      <c r="D18566" s="9" t="s">
        <v>18</v>
      </c>
      <c r="E18566" s="10" t="s">
        <v>1708</v>
      </c>
      <c r="F18566" s="9" t="s">
        <v>1709</v>
      </c>
      <c r="G18566" s="10" t="s">
        <v>176</v>
      </c>
      <c r="H18566" s="9" t="s">
        <v>22</v>
      </c>
      <c r="I18566" s="9" t="s">
        <v>37784</v>
      </c>
      <c r="J18566" s="10" t="str">
        <f>HYPERLINK("https://www.boe.es/gazeta/dias/1834/04/12/pdfs/GMD-1834-51.pdf#page=6","Abrir facsímil")</f>
        <v>Abrir facsímil</v>
      </c>
      <c r="K18566" s="10" t="s">
        <v>24</v>
      </c>
    </row>
    <row r="18567" spans="1:11" ht="54" customHeight="1">
      <c r="A18567" s="9" t="s">
        <v>37785</v>
      </c>
      <c r="B18567" s="9" t="s">
        <v>37785</v>
      </c>
      <c r="C18567" s="9" t="s">
        <v>17</v>
      </c>
      <c r="D18567" s="9" t="s">
        <v>40</v>
      </c>
      <c r="E18567" s="10" t="s">
        <v>729</v>
      </c>
      <c r="F18567" s="9" t="s">
        <v>730</v>
      </c>
      <c r="G18567" s="10" t="s">
        <v>75</v>
      </c>
      <c r="H18567" s="9" t="s">
        <v>22</v>
      </c>
      <c r="I18567" s="9" t="s">
        <v>37786</v>
      </c>
      <c r="J18567" s="10" t="str">
        <f>HYPERLINK("https://www.boe.es/gazeta/dias/1834/04/13/pdfs/GMD-1834-52.pdf#page=4","Abrir facsímil")</f>
        <v>Abrir facsímil</v>
      </c>
      <c r="K18567" s="10" t="s">
        <v>24</v>
      </c>
    </row>
    <row r="18568" spans="1:11" ht="54" customHeight="1">
      <c r="A18568" s="9" t="s">
        <v>37774</v>
      </c>
      <c r="B18568" s="9" t="s">
        <v>37774</v>
      </c>
      <c r="C18568" s="9" t="s">
        <v>17</v>
      </c>
      <c r="D18568" s="9" t="s">
        <v>18</v>
      </c>
      <c r="E18568" s="10" t="s">
        <v>1424</v>
      </c>
      <c r="F18568" s="9" t="s">
        <v>3445</v>
      </c>
      <c r="G18568" s="10" t="s">
        <v>75</v>
      </c>
      <c r="H18568" s="9" t="s">
        <v>22</v>
      </c>
      <c r="I18568" s="9" t="s">
        <v>37787</v>
      </c>
      <c r="J18568" s="10" t="str">
        <f>HYPERLINK("https://www.boe.es/gazeta/dias/1834/11/14/pdfs/GMD-1834-273.pdf#page=4","Abrir facsímil")</f>
        <v>Abrir facsímil</v>
      </c>
      <c r="K18568" s="10" t="s">
        <v>24</v>
      </c>
    </row>
    <row r="18569" spans="1:11" ht="54" customHeight="1">
      <c r="A18569" s="9" t="s">
        <v>37774</v>
      </c>
      <c r="B18569" s="9" t="s">
        <v>37774</v>
      </c>
      <c r="C18569" s="9" t="s">
        <v>17</v>
      </c>
      <c r="D18569" s="9" t="s">
        <v>40</v>
      </c>
      <c r="E18569" s="10" t="s">
        <v>3282</v>
      </c>
      <c r="F18569" s="9" t="s">
        <v>3283</v>
      </c>
      <c r="G18569" s="10" t="s">
        <v>75</v>
      </c>
      <c r="H18569" s="9" t="s">
        <v>22</v>
      </c>
      <c r="I18569" s="9" t="s">
        <v>37788</v>
      </c>
      <c r="J18569" s="10" t="str">
        <f>HYPERLINK("https://www.boe.es/gazeta/dias/1834/04/15/pdfs/GMD-1834-54.pdf#page=4","Abrir facsímil")</f>
        <v>Abrir facsímil</v>
      </c>
      <c r="K18569" s="10" t="s">
        <v>24</v>
      </c>
    </row>
    <row r="18570" spans="1:11" ht="54" customHeight="1">
      <c r="A18570" s="9" t="s">
        <v>37774</v>
      </c>
      <c r="B18570" s="9" t="s">
        <v>37774</v>
      </c>
      <c r="C18570" s="9" t="s">
        <v>17</v>
      </c>
      <c r="D18570" s="9" t="s">
        <v>40</v>
      </c>
      <c r="E18570" s="10" t="s">
        <v>1394</v>
      </c>
      <c r="F18570" s="9" t="s">
        <v>1395</v>
      </c>
      <c r="G18570" s="10" t="s">
        <v>75</v>
      </c>
      <c r="H18570" s="9" t="s">
        <v>22</v>
      </c>
      <c r="I18570" s="9" t="s">
        <v>37789</v>
      </c>
      <c r="J18570" s="10" t="str">
        <f>HYPERLINK("https://www.boe.es/gazeta/dias/1834/04/16/pdfs/GMD-1834-55.pdf#page=4","Abrir facsímil")</f>
        <v>Abrir facsímil</v>
      </c>
      <c r="K18570" s="10" t="s">
        <v>24</v>
      </c>
    </row>
    <row r="18571" spans="1:11" ht="54" customHeight="1">
      <c r="A18571" s="9" t="s">
        <v>37774</v>
      </c>
      <c r="B18571" s="9" t="s">
        <v>37774</v>
      </c>
      <c r="C18571" s="9" t="s">
        <v>90</v>
      </c>
      <c r="D18571" s="9" t="s">
        <v>40</v>
      </c>
      <c r="E18571" s="10" t="s">
        <v>563</v>
      </c>
      <c r="F18571" s="9" t="s">
        <v>564</v>
      </c>
      <c r="G18571" s="10" t="s">
        <v>176</v>
      </c>
      <c r="H18571" s="9" t="s">
        <v>22</v>
      </c>
      <c r="I18571" s="9" t="s">
        <v>37790</v>
      </c>
      <c r="J18571" s="10" t="str">
        <f>HYPERLINK("https://www.boe.es/gazeta/dias/1834/04/19/pdfs/GMD-1834-58.pdf#page=6","Abrir facsímil")</f>
        <v>Abrir facsímil</v>
      </c>
      <c r="K18571" s="10" t="s">
        <v>24</v>
      </c>
    </row>
    <row r="18572" spans="1:11" ht="54" customHeight="1">
      <c r="A18572" s="9" t="s">
        <v>37774</v>
      </c>
      <c r="B18572" s="9" t="s">
        <v>37774</v>
      </c>
      <c r="C18572" s="9" t="s">
        <v>17</v>
      </c>
      <c r="D18572" s="9" t="s">
        <v>40</v>
      </c>
      <c r="E18572" s="10" t="s">
        <v>615</v>
      </c>
      <c r="F18572" s="9" t="s">
        <v>616</v>
      </c>
      <c r="G18572" s="10" t="s">
        <v>75</v>
      </c>
      <c r="H18572" s="9" t="s">
        <v>22</v>
      </c>
      <c r="I18572" s="9" t="s">
        <v>37791</v>
      </c>
      <c r="J18572" s="10" t="str">
        <f>HYPERLINK("https://www.boe.es/gazeta/dias/1834/08/19/pdfs/GMD-1834-185.pdf#page=4","Abrir facsímil")</f>
        <v>Abrir facsímil</v>
      </c>
      <c r="K18572" s="10" t="s">
        <v>24</v>
      </c>
    </row>
    <row r="18573" spans="1:11" ht="54" customHeight="1">
      <c r="A18573" s="9" t="s">
        <v>37774</v>
      </c>
      <c r="B18573" s="9" t="s">
        <v>37774</v>
      </c>
      <c r="C18573" s="9" t="s">
        <v>17</v>
      </c>
      <c r="D18573" s="9" t="s">
        <v>40</v>
      </c>
      <c r="E18573" s="10" t="s">
        <v>217</v>
      </c>
      <c r="F18573" s="9" t="s">
        <v>218</v>
      </c>
      <c r="G18573" s="10" t="s">
        <v>75</v>
      </c>
      <c r="H18573" s="9" t="s">
        <v>22</v>
      </c>
      <c r="I18573" s="9" t="s">
        <v>37792</v>
      </c>
      <c r="J18573" s="10" t="str">
        <f>HYPERLINK("https://www.boe.es/gazeta/dias/1834/04/20/pdfs/GMD-1834-59.pdf#page=4","Abrir facsímil")</f>
        <v>Abrir facsímil</v>
      </c>
      <c r="K18573" s="10" t="s">
        <v>24</v>
      </c>
    </row>
    <row r="18574" spans="1:11" ht="54" customHeight="1">
      <c r="A18574" s="9" t="s">
        <v>37774</v>
      </c>
      <c r="B18574" s="9" t="s">
        <v>37774</v>
      </c>
      <c r="C18574" s="9" t="s">
        <v>17</v>
      </c>
      <c r="D18574" s="9" t="s">
        <v>18</v>
      </c>
      <c r="E18574" s="10" t="s">
        <v>1239</v>
      </c>
      <c r="F18574" s="9" t="s">
        <v>1240</v>
      </c>
      <c r="G18574" s="10" t="s">
        <v>75</v>
      </c>
      <c r="H18574" s="9" t="s">
        <v>22</v>
      </c>
      <c r="I18574" s="9" t="s">
        <v>37793</v>
      </c>
      <c r="J18574" s="10" t="str">
        <f>HYPERLINK("https://www.boe.es/gazeta/dias/1834/08/20/pdfs/GMD-1834-186.pdf#page=4","Abrir facsímil")</f>
        <v>Abrir facsímil</v>
      </c>
      <c r="K18574" s="10" t="s">
        <v>24</v>
      </c>
    </row>
    <row r="18575" spans="1:11" ht="54" customHeight="1">
      <c r="A18575" s="9" t="s">
        <v>37774</v>
      </c>
      <c r="B18575" s="9" t="s">
        <v>37774</v>
      </c>
      <c r="C18575" s="9" t="s">
        <v>66</v>
      </c>
      <c r="D18575" s="9" t="s">
        <v>18</v>
      </c>
      <c r="E18575" s="10" t="s">
        <v>8279</v>
      </c>
      <c r="F18575" s="9" t="s">
        <v>8280</v>
      </c>
      <c r="G18575" s="10" t="s">
        <v>75</v>
      </c>
      <c r="H18575" s="9" t="s">
        <v>22</v>
      </c>
      <c r="I18575" s="9" t="s">
        <v>37794</v>
      </c>
      <c r="J18575" s="10" t="str">
        <f>HYPERLINK("https://www.boe.es/gazeta/dias/1834/04/22/pdfs/GMD-1834-61.pdf#page=4","Abrir facsímil")</f>
        <v>Abrir facsímil</v>
      </c>
      <c r="K18575" s="10" t="s">
        <v>24</v>
      </c>
    </row>
    <row r="18576" spans="1:11" ht="54" customHeight="1">
      <c r="A18576" s="9" t="s">
        <v>37774</v>
      </c>
      <c r="B18576" s="9" t="s">
        <v>37774</v>
      </c>
      <c r="C18576" s="9" t="s">
        <v>17</v>
      </c>
      <c r="D18576" s="9" t="s">
        <v>40</v>
      </c>
      <c r="E18576" s="10" t="s">
        <v>32</v>
      </c>
      <c r="F18576" s="9" t="s">
        <v>33</v>
      </c>
      <c r="G18576" s="10" t="s">
        <v>176</v>
      </c>
      <c r="H18576" s="9" t="s">
        <v>22</v>
      </c>
      <c r="I18576" s="9" t="s">
        <v>37795</v>
      </c>
      <c r="J18576" s="10" t="str">
        <f>HYPERLINK("https://www.boe.es/gazeta/dias/1834/04/23/pdfs/GMD-1834-62.pdf#page=6","Abrir facsímil")</f>
        <v>Abrir facsímil</v>
      </c>
      <c r="K18576" s="10" t="s">
        <v>24</v>
      </c>
    </row>
    <row r="18577" spans="1:11" ht="54" customHeight="1">
      <c r="A18577" s="9" t="s">
        <v>37774</v>
      </c>
      <c r="B18577" s="9" t="s">
        <v>37774</v>
      </c>
      <c r="C18577" s="9" t="s">
        <v>46</v>
      </c>
      <c r="D18577" s="9" t="s">
        <v>101</v>
      </c>
      <c r="E18577" s="10" t="s">
        <v>833</v>
      </c>
      <c r="F18577" s="9" t="s">
        <v>834</v>
      </c>
      <c r="G18577" s="10" t="s">
        <v>75</v>
      </c>
      <c r="H18577" s="9" t="s">
        <v>22</v>
      </c>
      <c r="I18577" s="9" t="s">
        <v>37796</v>
      </c>
      <c r="J18577" s="10" t="str">
        <f>HYPERLINK("https://www.boe.es/gazeta/dias/1834/04/24/pdfs/GMD-1834-63.pdf#page=4","Abrir facsímil")</f>
        <v>Abrir facsímil</v>
      </c>
      <c r="K18577" s="10" t="s">
        <v>24</v>
      </c>
    </row>
    <row r="18578" spans="1:11" ht="54" customHeight="1">
      <c r="A18578" s="9" t="s">
        <v>37774</v>
      </c>
      <c r="B18578" s="9" t="s">
        <v>37774</v>
      </c>
      <c r="C18578" s="9" t="s">
        <v>17</v>
      </c>
      <c r="D18578" s="9" t="s">
        <v>18</v>
      </c>
      <c r="E18578" s="10" t="s">
        <v>1212</v>
      </c>
      <c r="F18578" s="9" t="s">
        <v>1213</v>
      </c>
      <c r="G18578" s="10" t="s">
        <v>75</v>
      </c>
      <c r="H18578" s="9" t="s">
        <v>22</v>
      </c>
      <c r="I18578" s="9" t="s">
        <v>37797</v>
      </c>
      <c r="J18578" s="10" t="str">
        <f>HYPERLINK("https://www.boe.es/gazeta/dias/1834/05/24/pdfs/GMD-1834-93.pdf#page=4","Abrir facsímil")</f>
        <v>Abrir facsímil</v>
      </c>
      <c r="K18578" s="10" t="s">
        <v>24</v>
      </c>
    </row>
    <row r="18579" spans="1:11" ht="54" customHeight="1">
      <c r="A18579" s="9" t="s">
        <v>37774</v>
      </c>
      <c r="B18579" s="9" t="s">
        <v>37774</v>
      </c>
      <c r="C18579" s="9" t="s">
        <v>17</v>
      </c>
      <c r="D18579" s="9" t="s">
        <v>18</v>
      </c>
      <c r="E18579" s="10" t="s">
        <v>128</v>
      </c>
      <c r="F18579" s="9" t="s">
        <v>1068</v>
      </c>
      <c r="G18579" s="10" t="s">
        <v>75</v>
      </c>
      <c r="H18579" s="9" t="s">
        <v>22</v>
      </c>
      <c r="I18579" s="9" t="s">
        <v>37798</v>
      </c>
      <c r="J18579" s="10" t="str">
        <f>HYPERLINK("https://www.boe.es/gazeta/dias/1834/12/24/pdfs/GMD-1834-314.pdf#page=4","Abrir facsímil")</f>
        <v>Abrir facsímil</v>
      </c>
      <c r="K18579" s="10" t="s">
        <v>24</v>
      </c>
    </row>
    <row r="18580" spans="1:11" ht="54" customHeight="1">
      <c r="A18580" s="9" t="s">
        <v>37774</v>
      </c>
      <c r="B18580" s="9" t="s">
        <v>37774</v>
      </c>
      <c r="C18580" s="9" t="s">
        <v>90</v>
      </c>
      <c r="D18580" s="9" t="s">
        <v>40</v>
      </c>
      <c r="E18580" s="10" t="s">
        <v>724</v>
      </c>
      <c r="F18580" s="9" t="s">
        <v>725</v>
      </c>
      <c r="G18580" s="10" t="s">
        <v>176</v>
      </c>
      <c r="H18580" s="9" t="s">
        <v>22</v>
      </c>
      <c r="I18580" s="9" t="s">
        <v>37799</v>
      </c>
      <c r="J18580" s="10" t="str">
        <f>HYPERLINK("https://www.boe.es/gazeta/dias/1834/04/25/pdfs/GMD-1834-64.pdf#page=6","Abrir facsímil")</f>
        <v>Abrir facsímil</v>
      </c>
      <c r="K18580" s="10" t="s">
        <v>24</v>
      </c>
    </row>
    <row r="18581" spans="1:11" ht="54" customHeight="1">
      <c r="A18581" s="9" t="s">
        <v>37774</v>
      </c>
      <c r="B18581" s="9" t="s">
        <v>37774</v>
      </c>
      <c r="C18581" s="9" t="s">
        <v>17</v>
      </c>
      <c r="D18581" s="9" t="s">
        <v>40</v>
      </c>
      <c r="E18581" s="10" t="s">
        <v>2306</v>
      </c>
      <c r="F18581" s="9" t="s">
        <v>2307</v>
      </c>
      <c r="G18581" s="10" t="s">
        <v>75</v>
      </c>
      <c r="H18581" s="9" t="s">
        <v>22</v>
      </c>
      <c r="I18581" s="9" t="s">
        <v>37800</v>
      </c>
      <c r="J18581" s="10" t="str">
        <f>HYPERLINK("https://www.boe.es/gazeta/dias/1834/04/26/pdfs/GMD-1834-65.pdf#page=4","Abrir facsímil")</f>
        <v>Abrir facsímil</v>
      </c>
      <c r="K18581" s="10" t="s">
        <v>24</v>
      </c>
    </row>
    <row r="18582" spans="1:11" ht="54" customHeight="1">
      <c r="A18582" s="9" t="s">
        <v>37801</v>
      </c>
      <c r="B18582" s="9" t="s">
        <v>37802</v>
      </c>
      <c r="C18582" s="9" t="s">
        <v>17</v>
      </c>
      <c r="D18582" s="9" t="s">
        <v>18</v>
      </c>
      <c r="E18582" s="10" t="s">
        <v>143</v>
      </c>
      <c r="F18582" s="9" t="s">
        <v>144</v>
      </c>
      <c r="G18582" s="10" t="s">
        <v>75</v>
      </c>
      <c r="H18582" s="9" t="s">
        <v>22</v>
      </c>
      <c r="I18582" s="9" t="s">
        <v>37803</v>
      </c>
      <c r="J18582" s="10" t="str">
        <f>HYPERLINK("https://www.boe.es/gazeta/dias/1834/07/31/pdfs/GMD-1834-164.pdf#page=4","Abrir facsímil")</f>
        <v>Abrir facsímil</v>
      </c>
      <c r="K18582" s="10" t="s">
        <v>24</v>
      </c>
    </row>
    <row r="18583" spans="1:11" ht="54" customHeight="1">
      <c r="A18583" s="9" t="s">
        <v>37804</v>
      </c>
      <c r="B18583" s="9" t="s">
        <v>37805</v>
      </c>
      <c r="C18583" s="9" t="s">
        <v>17</v>
      </c>
      <c r="D18583" s="9" t="s">
        <v>18</v>
      </c>
      <c r="E18583" s="10" t="s">
        <v>1789</v>
      </c>
      <c r="F18583" s="9" t="s">
        <v>1790</v>
      </c>
      <c r="G18583" s="10" t="s">
        <v>75</v>
      </c>
      <c r="H18583" s="9" t="s">
        <v>35</v>
      </c>
      <c r="I18583" s="9" t="s">
        <v>37806</v>
      </c>
      <c r="J18583" s="10" t="str">
        <f>HYPERLINK("https://www.boe.es/gazeta/dias/1834/05/31/pdfs/GMD-1834-100.pdf#page=4","Abrir facsímil")</f>
        <v>Abrir facsímil</v>
      </c>
      <c r="K18583" s="10" t="s">
        <v>37</v>
      </c>
    </row>
    <row r="18584" spans="1:11" ht="54" customHeight="1">
      <c r="A18584" s="9" t="s">
        <v>37807</v>
      </c>
      <c r="B18584" s="9" t="s">
        <v>37808</v>
      </c>
      <c r="C18584" s="9" t="s">
        <v>17</v>
      </c>
      <c r="D18584" s="9" t="s">
        <v>18</v>
      </c>
      <c r="E18584" s="10" t="s">
        <v>1438</v>
      </c>
      <c r="F18584" s="9" t="s">
        <v>1439</v>
      </c>
      <c r="G18584" s="10" t="s">
        <v>75</v>
      </c>
      <c r="H18584" s="9" t="s">
        <v>22</v>
      </c>
      <c r="I18584" s="9" t="s">
        <v>37809</v>
      </c>
      <c r="J18584" s="10" t="str">
        <f>HYPERLINK("https://www.boe.es/gazeta/dias/1834/05/13/pdfs/GMD-1834-82.pdf#page=4","Abrir facsímil")</f>
        <v>Abrir facsímil</v>
      </c>
      <c r="K18584" s="10" t="s">
        <v>24</v>
      </c>
    </row>
    <row r="18585" spans="1:11" ht="54" customHeight="1">
      <c r="A18585" s="9" t="s">
        <v>37810</v>
      </c>
      <c r="B18585" s="9" t="s">
        <v>37811</v>
      </c>
      <c r="C18585" s="9" t="s">
        <v>66</v>
      </c>
      <c r="D18585" s="9" t="s">
        <v>18</v>
      </c>
      <c r="E18585" s="10" t="s">
        <v>590</v>
      </c>
      <c r="F18585" s="9" t="s">
        <v>591</v>
      </c>
      <c r="G18585" s="10" t="s">
        <v>75</v>
      </c>
      <c r="H18585" s="9" t="s">
        <v>22</v>
      </c>
      <c r="I18585" s="9" t="s">
        <v>37812</v>
      </c>
      <c r="J18585" s="10" t="str">
        <f>HYPERLINK("https://www.boe.es/gazeta/dias/1834/11/30/pdfs/GMD-1834-289.pdf#page=4","Abrir facsímil")</f>
        <v>Abrir facsímil</v>
      </c>
      <c r="K18585" s="10" t="s">
        <v>24</v>
      </c>
    </row>
    <row r="18586" spans="1:11" ht="54" customHeight="1">
      <c r="A18586" s="9" t="s">
        <v>37813</v>
      </c>
      <c r="B18586" s="9" t="s">
        <v>37814</v>
      </c>
      <c r="C18586" s="9" t="s">
        <v>66</v>
      </c>
      <c r="D18586" s="9" t="s">
        <v>67</v>
      </c>
      <c r="E18586" s="10" t="s">
        <v>777</v>
      </c>
      <c r="F18586" s="9" t="s">
        <v>778</v>
      </c>
      <c r="G18586" s="10" t="s">
        <v>75</v>
      </c>
      <c r="H18586" s="9" t="s">
        <v>22</v>
      </c>
      <c r="I18586" s="9" t="s">
        <v>37815</v>
      </c>
      <c r="J18586" s="10" t="str">
        <f>HYPERLINK("https://www.boe.es/gazeta/dias/1834/10/29/pdfs/GMD-1834-257.pdf#page=4","Abrir facsímil")</f>
        <v>Abrir facsímil</v>
      </c>
      <c r="K18586" s="10" t="s">
        <v>24</v>
      </c>
    </row>
    <row r="18587" spans="1:11" ht="54" customHeight="1">
      <c r="A18587" s="9" t="s">
        <v>37816</v>
      </c>
      <c r="B18587" s="9" t="s">
        <v>37817</v>
      </c>
      <c r="C18587" s="9" t="s">
        <v>17</v>
      </c>
      <c r="D18587" s="9" t="s">
        <v>18</v>
      </c>
      <c r="E18587" s="10" t="s">
        <v>3952</v>
      </c>
      <c r="F18587" s="9" t="s">
        <v>12024</v>
      </c>
      <c r="G18587" s="10" t="s">
        <v>34</v>
      </c>
      <c r="H18587" s="9" t="s">
        <v>22</v>
      </c>
      <c r="I18587" s="9" t="s">
        <v>37818</v>
      </c>
      <c r="J18587" s="10" t="str">
        <f>HYPERLINK("https://www.boe.es/gazeta/dias/1834/02/22/pdfs/GMD-C-1834-24.pdf#page=1","Abrir facsímil")</f>
        <v>Abrir facsímil</v>
      </c>
      <c r="K18587" s="10" t="s">
        <v>24</v>
      </c>
    </row>
    <row r="18588" spans="1:11" ht="54" customHeight="1">
      <c r="A18588" s="9" t="s">
        <v>37819</v>
      </c>
      <c r="B18588" s="9" t="s">
        <v>37820</v>
      </c>
      <c r="C18588" s="9" t="s">
        <v>17</v>
      </c>
      <c r="D18588" s="9" t="s">
        <v>18</v>
      </c>
      <c r="E18588" s="10" t="s">
        <v>2398</v>
      </c>
      <c r="F18588" s="9" t="s">
        <v>2399</v>
      </c>
      <c r="G18588" s="10" t="s">
        <v>34</v>
      </c>
      <c r="H18588" s="9" t="s">
        <v>22</v>
      </c>
      <c r="I18588" s="9" t="s">
        <v>37821</v>
      </c>
      <c r="J18588" s="10" t="str">
        <f>HYPERLINK("https://www.boe.es/gazeta/dias/1834/01/16/pdfs/GMD-1834-8.pdf#page=1","Abrir facsímil")</f>
        <v>Abrir facsímil</v>
      </c>
      <c r="K18588" s="10" t="s">
        <v>24</v>
      </c>
    </row>
    <row r="18589" spans="1:11" ht="54" customHeight="1">
      <c r="A18589" s="9" t="s">
        <v>37819</v>
      </c>
      <c r="B18589" s="9" t="s">
        <v>37820</v>
      </c>
      <c r="C18589" s="9" t="s">
        <v>66</v>
      </c>
      <c r="D18589" s="9" t="s">
        <v>67</v>
      </c>
      <c r="E18589" s="10" t="s">
        <v>217</v>
      </c>
      <c r="F18589" s="9" t="s">
        <v>218</v>
      </c>
      <c r="G18589" s="10" t="s">
        <v>34</v>
      </c>
      <c r="H18589" s="9" t="s">
        <v>22</v>
      </c>
      <c r="I18589" s="9" t="s">
        <v>37822</v>
      </c>
      <c r="J18589" s="10" t="str">
        <f>HYPERLINK("https://www.boe.es/gazeta/dias/1834/04/20/pdfs/GMD-1834-59.pdf#page=1","Abrir facsímil")</f>
        <v>Abrir facsímil</v>
      </c>
      <c r="K18589" s="10" t="s">
        <v>24</v>
      </c>
    </row>
    <row r="18590" spans="1:11" ht="54" customHeight="1">
      <c r="A18590" s="9" t="s">
        <v>37823</v>
      </c>
      <c r="B18590" s="9" t="s">
        <v>37824</v>
      </c>
      <c r="C18590" s="9" t="s">
        <v>66</v>
      </c>
      <c r="D18590" s="9" t="s">
        <v>67</v>
      </c>
      <c r="E18590" s="10" t="s">
        <v>844</v>
      </c>
      <c r="F18590" s="9" t="s">
        <v>845</v>
      </c>
      <c r="G18590" s="10" t="s">
        <v>75</v>
      </c>
      <c r="H18590" s="9" t="s">
        <v>35</v>
      </c>
      <c r="I18590" s="9" t="s">
        <v>37825</v>
      </c>
      <c r="J18590" s="10" t="str">
        <f>HYPERLINK("https://www.boe.es/gazeta/dias/1834/03/13/pdfs/GMD-1834-32.pdf#page=4","Abrir facsímil")</f>
        <v>Abrir facsímil</v>
      </c>
      <c r="K18590" s="10" t="s">
        <v>37</v>
      </c>
    </row>
    <row r="18591" spans="1:11" ht="54" customHeight="1">
      <c r="A18591" s="9" t="s">
        <v>37826</v>
      </c>
      <c r="B18591" s="9" t="s">
        <v>37827</v>
      </c>
      <c r="C18591" s="9" t="s">
        <v>66</v>
      </c>
      <c r="D18591" s="9" t="s">
        <v>67</v>
      </c>
      <c r="E18591" s="10" t="s">
        <v>844</v>
      </c>
      <c r="F18591" s="9" t="s">
        <v>845</v>
      </c>
      <c r="G18591" s="10" t="s">
        <v>75</v>
      </c>
      <c r="H18591" s="9" t="s">
        <v>22</v>
      </c>
      <c r="I18591" s="9" t="s">
        <v>37828</v>
      </c>
      <c r="J18591" s="10" t="str">
        <f>HYPERLINK("https://www.boe.es/gazeta/dias/1834/03/13/pdfs/GMD-1834-32.pdf#page=4","Abrir facsímil")</f>
        <v>Abrir facsímil</v>
      </c>
      <c r="K18591" s="10" t="s">
        <v>24</v>
      </c>
    </row>
    <row r="18592" spans="1:11" ht="54" customHeight="1">
      <c r="A18592" s="9" t="s">
        <v>37829</v>
      </c>
      <c r="B18592" s="9" t="s">
        <v>37829</v>
      </c>
      <c r="C18592" s="9" t="s">
        <v>66</v>
      </c>
      <c r="D18592" s="9" t="s">
        <v>67</v>
      </c>
      <c r="E18592" s="10" t="s">
        <v>8279</v>
      </c>
      <c r="F18592" s="9" t="s">
        <v>8280</v>
      </c>
      <c r="G18592" s="10" t="s">
        <v>21</v>
      </c>
      <c r="H18592" s="9" t="s">
        <v>22</v>
      </c>
      <c r="I18592" s="9" t="s">
        <v>37830</v>
      </c>
      <c r="J18592" s="10" t="str">
        <f>HYPERLINK("https://www.boe.es/gazeta/dias/1834/04/22/pdfs/GMD-1834-61.pdf#page=3","Abrir facsímil")</f>
        <v>Abrir facsímil</v>
      </c>
      <c r="K18592" s="10" t="s">
        <v>24</v>
      </c>
    </row>
    <row r="18593" spans="1:11" ht="54" customHeight="1">
      <c r="A18593" s="9" t="s">
        <v>37829</v>
      </c>
      <c r="B18593" s="9" t="s">
        <v>37829</v>
      </c>
      <c r="C18593" s="9" t="s">
        <v>17</v>
      </c>
      <c r="D18593" s="9" t="s">
        <v>18</v>
      </c>
      <c r="E18593" s="10" t="s">
        <v>1677</v>
      </c>
      <c r="F18593" s="9" t="s">
        <v>1678</v>
      </c>
      <c r="G18593" s="10" t="s">
        <v>75</v>
      </c>
      <c r="H18593" s="9" t="s">
        <v>22</v>
      </c>
      <c r="I18593" s="9" t="s">
        <v>37831</v>
      </c>
      <c r="J18593" s="10" t="str">
        <f>HYPERLINK("https://www.boe.es/gazeta/dias/1834/07/26/pdfs/GMD-1834-159.pdf#page=4","Abrir facsímil")</f>
        <v>Abrir facsímil</v>
      </c>
      <c r="K18593" s="10" t="s">
        <v>24</v>
      </c>
    </row>
    <row r="18594" spans="1:11" ht="54" customHeight="1">
      <c r="A18594" s="9" t="s">
        <v>37832</v>
      </c>
      <c r="B18594" s="9" t="s">
        <v>37833</v>
      </c>
      <c r="C18594" s="9" t="s">
        <v>90</v>
      </c>
      <c r="D18594" s="9" t="s">
        <v>101</v>
      </c>
      <c r="E18594" s="10" t="s">
        <v>280</v>
      </c>
      <c r="F18594" s="9" t="s">
        <v>3217</v>
      </c>
      <c r="G18594" s="10" t="s">
        <v>34</v>
      </c>
      <c r="H18594" s="9" t="s">
        <v>22</v>
      </c>
      <c r="I18594" s="9" t="s">
        <v>37834</v>
      </c>
      <c r="J18594" s="10" t="str">
        <f>HYPERLINK("https://www.boe.es/gazeta/dias/1834/08/29/pdfs/GMD-1834-195.pdf#page=1","Abrir facsímil")</f>
        <v>Abrir facsímil</v>
      </c>
      <c r="K18594" s="10" t="s">
        <v>24</v>
      </c>
    </row>
    <row r="18595" spans="1:11" ht="54" customHeight="1">
      <c r="A18595" s="9" t="s">
        <v>37835</v>
      </c>
      <c r="B18595" s="9" t="s">
        <v>37836</v>
      </c>
      <c r="C18595" s="9" t="s">
        <v>66</v>
      </c>
      <c r="D18595" s="9" t="s">
        <v>67</v>
      </c>
      <c r="E18595" s="10" t="s">
        <v>378</v>
      </c>
      <c r="F18595" s="9" t="s">
        <v>379</v>
      </c>
      <c r="G18595" s="10" t="s">
        <v>21</v>
      </c>
      <c r="H18595" s="9" t="s">
        <v>35</v>
      </c>
      <c r="I18595" s="9" t="s">
        <v>37837</v>
      </c>
      <c r="J18595" s="10" t="str">
        <f>HYPERLINK("https://www.boe.es/gazeta/dias/1834/09/24/pdfs/GMD-1834-222.pdf#page=3","Abrir facsímil")</f>
        <v>Abrir facsímil</v>
      </c>
      <c r="K18595" s="10" t="s">
        <v>37</v>
      </c>
    </row>
    <row r="18596" spans="1:11" ht="54" customHeight="1">
      <c r="A18596" s="9" t="s">
        <v>37838</v>
      </c>
      <c r="B18596" s="9" t="s">
        <v>37839</v>
      </c>
      <c r="C18596" s="9" t="s">
        <v>66</v>
      </c>
      <c r="D18596" s="9" t="s">
        <v>67</v>
      </c>
      <c r="E18596" s="10" t="s">
        <v>513</v>
      </c>
      <c r="F18596" s="9" t="s">
        <v>514</v>
      </c>
      <c r="G18596" s="10" t="s">
        <v>176</v>
      </c>
      <c r="H18596" s="9" t="s">
        <v>35</v>
      </c>
      <c r="I18596" s="9" t="s">
        <v>37840</v>
      </c>
      <c r="J18596" s="10" t="str">
        <f>HYPERLINK("https://www.boe.es/gazeta/dias/1834/04/27/pdfs/GMD-1834-66.pdf#page=6","Abrir facsímil")</f>
        <v>Abrir facsímil</v>
      </c>
      <c r="K18596" s="10" t="s">
        <v>37</v>
      </c>
    </row>
    <row r="18597" spans="1:11" ht="54" customHeight="1">
      <c r="A18597" s="9" t="s">
        <v>37841</v>
      </c>
      <c r="B18597" s="9" t="s">
        <v>37842</v>
      </c>
      <c r="C18597" s="9" t="s">
        <v>17</v>
      </c>
      <c r="D18597" s="9" t="s">
        <v>40</v>
      </c>
      <c r="E18597" s="10" t="s">
        <v>844</v>
      </c>
      <c r="F18597" s="9" t="s">
        <v>845</v>
      </c>
      <c r="G18597" s="10" t="s">
        <v>75</v>
      </c>
      <c r="H18597" s="9" t="s">
        <v>22</v>
      </c>
      <c r="I18597" s="9" t="s">
        <v>37843</v>
      </c>
      <c r="J18597" s="10" t="str">
        <f>HYPERLINK("https://www.boe.es/gazeta/dias/1834/03/13/pdfs/GMD-1834-32.pdf#page=4","Abrir facsímil")</f>
        <v>Abrir facsímil</v>
      </c>
      <c r="K18597" s="10" t="s">
        <v>24</v>
      </c>
    </row>
    <row r="18598" spans="1:11" ht="54" customHeight="1">
      <c r="A18598" s="9" t="s">
        <v>37841</v>
      </c>
      <c r="B18598" s="9" t="s">
        <v>37842</v>
      </c>
      <c r="C18598" s="9" t="s">
        <v>66</v>
      </c>
      <c r="D18598" s="9" t="s">
        <v>67</v>
      </c>
      <c r="E18598" s="10" t="s">
        <v>378</v>
      </c>
      <c r="F18598" s="9" t="s">
        <v>379</v>
      </c>
      <c r="G18598" s="10" t="s">
        <v>21</v>
      </c>
      <c r="H18598" s="9" t="s">
        <v>22</v>
      </c>
      <c r="I18598" s="9" t="s">
        <v>37844</v>
      </c>
      <c r="J18598" s="10" t="str">
        <f>HYPERLINK("https://www.boe.es/gazeta/dias/1834/09/24/pdfs/GMD-1834-222.pdf#page=3","Abrir facsímil")</f>
        <v>Abrir facsímil</v>
      </c>
      <c r="K18598" s="10" t="s">
        <v>24</v>
      </c>
    </row>
    <row r="18599" spans="1:11" ht="54" customHeight="1">
      <c r="A18599" s="9" t="s">
        <v>37845</v>
      </c>
      <c r="B18599" s="9" t="s">
        <v>37846</v>
      </c>
      <c r="C18599" s="9" t="s">
        <v>66</v>
      </c>
      <c r="D18599" s="9" t="s">
        <v>67</v>
      </c>
      <c r="E18599" s="10" t="s">
        <v>513</v>
      </c>
      <c r="F18599" s="9" t="s">
        <v>514</v>
      </c>
      <c r="G18599" s="10" t="s">
        <v>176</v>
      </c>
      <c r="H18599" s="9" t="s">
        <v>22</v>
      </c>
      <c r="I18599" s="9" t="s">
        <v>37847</v>
      </c>
      <c r="J18599" s="10" t="str">
        <f>HYPERLINK("https://www.boe.es/gazeta/dias/1834/04/27/pdfs/GMD-1834-66.pdf#page=6","Abrir facsímil")</f>
        <v>Abrir facsímil</v>
      </c>
      <c r="K18599" s="10" t="s">
        <v>24</v>
      </c>
    </row>
    <row r="18600" spans="1:11" ht="54" customHeight="1">
      <c r="A18600" s="9" t="s">
        <v>37848</v>
      </c>
      <c r="B18600" s="9" t="s">
        <v>37848</v>
      </c>
      <c r="C18600" s="9" t="s">
        <v>90</v>
      </c>
      <c r="D18600" s="9" t="s">
        <v>55</v>
      </c>
      <c r="E18600" s="10" t="s">
        <v>571</v>
      </c>
      <c r="F18600" s="9" t="s">
        <v>572</v>
      </c>
      <c r="G18600" s="10" t="s">
        <v>86</v>
      </c>
      <c r="H18600" s="9" t="s">
        <v>22</v>
      </c>
      <c r="I18600" s="9" t="s">
        <v>37849</v>
      </c>
      <c r="J18600" s="10" t="str">
        <f>HYPERLINK("https://www.boe.es/gazeta/dias/1834/09/04/pdfs/GMD-1834-202.pdf#page=2","Abrir facsímil")</f>
        <v>Abrir facsímil</v>
      </c>
      <c r="K18600" s="10" t="s">
        <v>24</v>
      </c>
    </row>
    <row r="18601" spans="1:11" ht="54" customHeight="1">
      <c r="A18601" s="9" t="s">
        <v>37850</v>
      </c>
      <c r="B18601" s="9" t="s">
        <v>37851</v>
      </c>
      <c r="C18601" s="9" t="s">
        <v>66</v>
      </c>
      <c r="D18601" s="9" t="s">
        <v>18</v>
      </c>
      <c r="E18601" s="10" t="s">
        <v>1002</v>
      </c>
      <c r="F18601" s="9" t="s">
        <v>6383</v>
      </c>
      <c r="G18601" s="10" t="s">
        <v>86</v>
      </c>
      <c r="H18601" s="9" t="s">
        <v>22</v>
      </c>
      <c r="I18601" s="9" t="s">
        <v>37852</v>
      </c>
      <c r="J18601" s="10" t="str">
        <f>HYPERLINK("https://www.boe.es/gazeta/dias/1834/06/26/pdfs/GMD-C-1834-129.pdf#page=2","Abrir facsímil")</f>
        <v>Abrir facsímil</v>
      </c>
      <c r="K18601" s="10" t="s">
        <v>24</v>
      </c>
    </row>
    <row r="18602" spans="1:11" ht="54" customHeight="1">
      <c r="A18602" s="9" t="s">
        <v>37853</v>
      </c>
      <c r="B18602" s="9" t="s">
        <v>37854</v>
      </c>
      <c r="C18602" s="9" t="s">
        <v>17</v>
      </c>
      <c r="D18602" s="9" t="s">
        <v>18</v>
      </c>
      <c r="E18602" s="10" t="s">
        <v>8200</v>
      </c>
      <c r="F18602" s="9" t="s">
        <v>8201</v>
      </c>
      <c r="G18602" s="10" t="s">
        <v>34</v>
      </c>
      <c r="H18602" s="9" t="s">
        <v>22</v>
      </c>
      <c r="I18602" s="9" t="s">
        <v>37855</v>
      </c>
      <c r="J18602" s="10" t="str">
        <f>HYPERLINK("https://www.boe.es/gazeta/dias/1834/11/17/pdfs/GMD-1834-276.pdf#page=1","Abrir facsímil")</f>
        <v>Abrir facsímil</v>
      </c>
      <c r="K18602" s="10" t="s">
        <v>24</v>
      </c>
    </row>
    <row r="18603" spans="1:11" ht="54" customHeight="1">
      <c r="A18603" s="9" t="s">
        <v>37856</v>
      </c>
      <c r="B18603" s="9" t="s">
        <v>37857</v>
      </c>
      <c r="C18603" s="9" t="s">
        <v>46</v>
      </c>
      <c r="D18603" s="9" t="s">
        <v>18</v>
      </c>
      <c r="E18603" s="10" t="s">
        <v>294</v>
      </c>
      <c r="F18603" s="9" t="s">
        <v>959</v>
      </c>
      <c r="G18603" s="10" t="s">
        <v>86</v>
      </c>
      <c r="H18603" s="9" t="s">
        <v>22</v>
      </c>
      <c r="I18603" s="9" t="s">
        <v>37858</v>
      </c>
      <c r="J18603" s="10" t="str">
        <f>HYPERLINK("https://www.boe.es/gazeta/dias/1834/09/27/pdfs/GMD-C-1834-225.pdf#page=2","Abrir facsímil")</f>
        <v>Abrir facsímil</v>
      </c>
      <c r="K18603" s="10" t="s">
        <v>24</v>
      </c>
    </row>
    <row r="18604" spans="1:11" ht="54" customHeight="1">
      <c r="A18604" s="9" t="s">
        <v>37859</v>
      </c>
      <c r="B18604" s="9" t="s">
        <v>37860</v>
      </c>
      <c r="C18604" s="9" t="s">
        <v>17</v>
      </c>
      <c r="D18604" s="9" t="s">
        <v>18</v>
      </c>
      <c r="E18604" s="10" t="s">
        <v>3025</v>
      </c>
      <c r="F18604" s="9" t="s">
        <v>3026</v>
      </c>
      <c r="G18604" s="10" t="s">
        <v>176</v>
      </c>
      <c r="H18604" s="9" t="s">
        <v>22</v>
      </c>
      <c r="I18604" s="9" t="s">
        <v>37861</v>
      </c>
      <c r="J18604" s="10" t="str">
        <f>HYPERLINK("https://www.boe.es/gazeta/dias/1834/05/25/pdfs/GMD-1834-94.pdf#page=6","Abrir facsímil")</f>
        <v>Abrir facsímil</v>
      </c>
      <c r="K18604" s="10" t="s">
        <v>24</v>
      </c>
    </row>
    <row r="18605" spans="1:11" ht="54" customHeight="1">
      <c r="A18605" s="9" t="s">
        <v>37862</v>
      </c>
      <c r="B18605" s="9" t="s">
        <v>37862</v>
      </c>
      <c r="C18605" s="9" t="s">
        <v>17</v>
      </c>
      <c r="D18605" s="9" t="s">
        <v>18</v>
      </c>
      <c r="E18605" s="10" t="s">
        <v>367</v>
      </c>
      <c r="F18605" s="9" t="s">
        <v>368</v>
      </c>
      <c r="G18605" s="10" t="s">
        <v>86</v>
      </c>
      <c r="H18605" s="9" t="s">
        <v>22</v>
      </c>
      <c r="I18605" s="9" t="s">
        <v>37863</v>
      </c>
      <c r="J18605" s="10" t="str">
        <f>HYPERLINK("https://www.boe.es/gazeta/dias/1834/05/19/pdfs/GMD-1834-88.pdf#page=2","Abrir facsímil")</f>
        <v>Abrir facsímil</v>
      </c>
      <c r="K18605" s="10" t="s">
        <v>24</v>
      </c>
    </row>
    <row r="18606" spans="1:11" ht="54" customHeight="1">
      <c r="A18606" s="9" t="s">
        <v>37864</v>
      </c>
      <c r="B18606" s="9" t="s">
        <v>37864</v>
      </c>
      <c r="C18606" s="9" t="s">
        <v>90</v>
      </c>
      <c r="D18606" s="9" t="s">
        <v>18</v>
      </c>
      <c r="E18606" s="10" t="s">
        <v>41</v>
      </c>
      <c r="F18606" s="9" t="s">
        <v>42</v>
      </c>
      <c r="G18606" s="10" t="s">
        <v>86</v>
      </c>
      <c r="H18606" s="9" t="s">
        <v>22</v>
      </c>
      <c r="I18606" s="9" t="s">
        <v>37865</v>
      </c>
      <c r="J18606" s="10" t="str">
        <f>HYPERLINK("https://www.boe.es/gazeta/dias/1834/06/11/pdfs/GMD-1834-114.pdf#page=2","Abrir facsímil")</f>
        <v>Abrir facsímil</v>
      </c>
      <c r="K18606" s="10" t="s">
        <v>24</v>
      </c>
    </row>
    <row r="18607" spans="1:11" ht="54" customHeight="1">
      <c r="A18607" s="9" t="s">
        <v>37866</v>
      </c>
      <c r="B18607" s="9" t="s">
        <v>37866</v>
      </c>
      <c r="C18607" s="9" t="s">
        <v>17</v>
      </c>
      <c r="D18607" s="9" t="s">
        <v>18</v>
      </c>
      <c r="E18607" s="10" t="s">
        <v>1116</v>
      </c>
      <c r="F18607" s="9" t="s">
        <v>1117</v>
      </c>
      <c r="G18607" s="10" t="s">
        <v>86</v>
      </c>
      <c r="H18607" s="9" t="s">
        <v>22</v>
      </c>
      <c r="I18607" s="9" t="s">
        <v>37867</v>
      </c>
      <c r="J18607" s="10" t="str">
        <f>HYPERLINK("https://www.boe.es/gazeta/dias/1834/05/16/pdfs/GMD-1834-85.pdf#page=2","Abrir facsímil")</f>
        <v>Abrir facsímil</v>
      </c>
      <c r="K18607" s="10" t="s">
        <v>24</v>
      </c>
    </row>
    <row r="18608" spans="1:11" ht="54" customHeight="1">
      <c r="A18608" s="9" t="s">
        <v>37868</v>
      </c>
      <c r="B18608" s="9" t="s">
        <v>37868</v>
      </c>
      <c r="C18608" s="9" t="s">
        <v>17</v>
      </c>
      <c r="D18608" s="9" t="s">
        <v>40</v>
      </c>
      <c r="E18608" s="10" t="s">
        <v>1695</v>
      </c>
      <c r="F18608" s="9" t="s">
        <v>1696</v>
      </c>
      <c r="G18608" s="10" t="s">
        <v>75</v>
      </c>
      <c r="H18608" s="9" t="s">
        <v>22</v>
      </c>
      <c r="I18608" s="9" t="s">
        <v>37869</v>
      </c>
      <c r="J18608" s="10" t="str">
        <f>HYPERLINK("https://www.boe.es/gazeta/dias/1834/06/30/pdfs/GMD-1834-133.pdf#page=4","Abrir facsímil")</f>
        <v>Abrir facsímil</v>
      </c>
      <c r="K18608" s="10" t="s">
        <v>24</v>
      </c>
    </row>
    <row r="18609" spans="1:11" ht="54" customHeight="1">
      <c r="A18609" s="9" t="s">
        <v>37870</v>
      </c>
      <c r="B18609" s="9" t="s">
        <v>37871</v>
      </c>
      <c r="C18609" s="9" t="s">
        <v>857</v>
      </c>
      <c r="D18609" s="9" t="s">
        <v>18</v>
      </c>
      <c r="E18609" s="10" t="s">
        <v>2107</v>
      </c>
      <c r="F18609" s="9" t="s">
        <v>2108</v>
      </c>
      <c r="G18609" s="10" t="s">
        <v>75</v>
      </c>
      <c r="H18609" s="9" t="s">
        <v>22</v>
      </c>
      <c r="I18609" s="9" t="s">
        <v>37872</v>
      </c>
      <c r="J18609" s="10" t="str">
        <f>HYPERLINK("https://www.boe.es/gazeta/dias/1834/08/24/pdfs/GMD-1834-190.pdf#page=4","Abrir facsímil")</f>
        <v>Abrir facsímil</v>
      </c>
      <c r="K18609" s="10" t="s">
        <v>24</v>
      </c>
    </row>
    <row r="18610" spans="1:11" ht="54" customHeight="1">
      <c r="A18610" s="9" t="s">
        <v>37873</v>
      </c>
      <c r="B18610" s="9" t="s">
        <v>37874</v>
      </c>
      <c r="C18610" s="9" t="s">
        <v>17</v>
      </c>
      <c r="D18610" s="9" t="s">
        <v>18</v>
      </c>
      <c r="E18610" s="10" t="s">
        <v>590</v>
      </c>
      <c r="F18610" s="9" t="s">
        <v>591</v>
      </c>
      <c r="G18610" s="10" t="s">
        <v>21</v>
      </c>
      <c r="H18610" s="9" t="s">
        <v>22</v>
      </c>
      <c r="I18610" s="9" t="s">
        <v>37875</v>
      </c>
      <c r="J18610" s="10" t="str">
        <f>HYPERLINK("https://www.boe.es/gazeta/dias/1834/11/30/pdfs/GMD-1834-289.pdf#page=3","Abrir facsímil")</f>
        <v>Abrir facsímil</v>
      </c>
      <c r="K18610" s="10" t="s">
        <v>24</v>
      </c>
    </row>
    <row r="18611" spans="1:11" ht="54" customHeight="1">
      <c r="A18611" s="9" t="s">
        <v>37876</v>
      </c>
      <c r="B18611" s="9" t="s">
        <v>37877</v>
      </c>
      <c r="C18611" s="9" t="s">
        <v>46</v>
      </c>
      <c r="D18611" s="9" t="s">
        <v>101</v>
      </c>
      <c r="E18611" s="10" t="s">
        <v>1186</v>
      </c>
      <c r="F18611" s="9" t="s">
        <v>1187</v>
      </c>
      <c r="G18611" s="10" t="s">
        <v>21</v>
      </c>
      <c r="H18611" s="9" t="s">
        <v>35</v>
      </c>
      <c r="I18611" s="9" t="s">
        <v>37878</v>
      </c>
      <c r="J18611" s="10" t="str">
        <f>HYPERLINK("https://www.boe.es/gazeta/dias/1834/08/14/pdfs/GMD-1834-179.pdf#page=3","Abrir facsímil")</f>
        <v>Abrir facsímil</v>
      </c>
      <c r="K18611" s="10" t="s">
        <v>37</v>
      </c>
    </row>
    <row r="18612" spans="1:11" ht="54" customHeight="1">
      <c r="A18612" s="9" t="s">
        <v>37879</v>
      </c>
      <c r="B18612" s="9" t="s">
        <v>37880</v>
      </c>
      <c r="C18612" s="9" t="s">
        <v>46</v>
      </c>
      <c r="D18612" s="9" t="s">
        <v>101</v>
      </c>
      <c r="E18612" s="10" t="s">
        <v>1186</v>
      </c>
      <c r="F18612" s="9" t="s">
        <v>1187</v>
      </c>
      <c r="G18612" s="10" t="s">
        <v>21</v>
      </c>
      <c r="H18612" s="9" t="s">
        <v>22</v>
      </c>
      <c r="I18612" s="9" t="s">
        <v>37881</v>
      </c>
      <c r="J18612" s="10" t="str">
        <f>HYPERLINK("https://www.boe.es/gazeta/dias/1834/08/14/pdfs/GMD-1834-179.pdf#page=3","Abrir facsímil")</f>
        <v>Abrir facsímil</v>
      </c>
      <c r="K18612" s="10" t="s">
        <v>24</v>
      </c>
    </row>
    <row r="18613" spans="1:11" ht="54" customHeight="1">
      <c r="A18613" s="9" t="s">
        <v>37882</v>
      </c>
      <c r="B18613" s="9" t="s">
        <v>37882</v>
      </c>
      <c r="C18613" s="9" t="s">
        <v>66</v>
      </c>
      <c r="D18613" s="9" t="s">
        <v>18</v>
      </c>
      <c r="E18613" s="10" t="s">
        <v>1406</v>
      </c>
      <c r="F18613" s="9" t="s">
        <v>1407</v>
      </c>
      <c r="G18613" s="10" t="s">
        <v>86</v>
      </c>
      <c r="H18613" s="9" t="s">
        <v>22</v>
      </c>
      <c r="I18613" s="9" t="s">
        <v>37883</v>
      </c>
      <c r="J18613" s="10" t="str">
        <f>HYPERLINK("https://www.boe.es/gazeta/dias/1834/11/03/pdfs/GMD-1834-262.pdf#page=2","Abrir facsímil")</f>
        <v>Abrir facsímil</v>
      </c>
      <c r="K18613" s="10" t="s">
        <v>24</v>
      </c>
    </row>
    <row r="18614" spans="1:11" ht="54" customHeight="1">
      <c r="A18614" s="9" t="s">
        <v>37882</v>
      </c>
      <c r="B18614" s="9" t="s">
        <v>37882</v>
      </c>
      <c r="C18614" s="9" t="s">
        <v>17</v>
      </c>
      <c r="D18614" s="9" t="s">
        <v>18</v>
      </c>
      <c r="E18614" s="10" t="s">
        <v>73</v>
      </c>
      <c r="F18614" s="9" t="s">
        <v>74</v>
      </c>
      <c r="G18614" s="10" t="s">
        <v>34</v>
      </c>
      <c r="H18614" s="9" t="s">
        <v>22</v>
      </c>
      <c r="I18614" s="9" t="s">
        <v>37884</v>
      </c>
      <c r="J18614" s="10" t="str">
        <f>HYPERLINK("https://www.boe.es/gazeta/dias/1834/11/04/pdfs/GMD-1834-263.pdf#page=1","Abrir facsímil")</f>
        <v>Abrir facsímil</v>
      </c>
      <c r="K18614" s="10" t="s">
        <v>24</v>
      </c>
    </row>
    <row r="18615" spans="1:11" ht="54" customHeight="1">
      <c r="A18615" s="9" t="s">
        <v>37885</v>
      </c>
      <c r="B18615" s="9" t="s">
        <v>37885</v>
      </c>
      <c r="C18615" s="9" t="s">
        <v>66</v>
      </c>
      <c r="D18615" s="9" t="s">
        <v>18</v>
      </c>
      <c r="E18615" s="10" t="s">
        <v>1850</v>
      </c>
      <c r="F18615" s="9" t="s">
        <v>1851</v>
      </c>
      <c r="G18615" s="10" t="s">
        <v>176</v>
      </c>
      <c r="H18615" s="9" t="s">
        <v>22</v>
      </c>
      <c r="I18615" s="9" t="s">
        <v>37886</v>
      </c>
      <c r="J18615" s="10" t="str">
        <f>HYPERLINK("https://www.boe.es/gazeta/dias/1834/02/18/pdfs/GMD-1834-22.pdf#page=6","Abrir facsímil")</f>
        <v>Abrir facsímil</v>
      </c>
      <c r="K18615" s="10" t="s">
        <v>24</v>
      </c>
    </row>
    <row r="18616" spans="1:11" ht="54" customHeight="1">
      <c r="A18616" s="9" t="s">
        <v>37885</v>
      </c>
      <c r="B18616" s="9" t="s">
        <v>37885</v>
      </c>
      <c r="C18616" s="9" t="s">
        <v>17</v>
      </c>
      <c r="D18616" s="9" t="s">
        <v>18</v>
      </c>
      <c r="E18616" s="10" t="s">
        <v>378</v>
      </c>
      <c r="F18616" s="9" t="s">
        <v>379</v>
      </c>
      <c r="G18616" s="10" t="s">
        <v>21</v>
      </c>
      <c r="H18616" s="9" t="s">
        <v>22</v>
      </c>
      <c r="I18616" s="9" t="s">
        <v>37887</v>
      </c>
      <c r="J18616" s="10" t="str">
        <f>HYPERLINK("https://www.boe.es/gazeta/dias/1834/09/24/pdfs/GMD-1834-222.pdf#page=3","Abrir facsímil")</f>
        <v>Abrir facsímil</v>
      </c>
      <c r="K18616" s="10" t="s">
        <v>24</v>
      </c>
    </row>
    <row r="18617" spans="1:11" ht="54" customHeight="1">
      <c r="A18617" s="9" t="s">
        <v>37888</v>
      </c>
      <c r="B18617" s="9" t="s">
        <v>37888</v>
      </c>
      <c r="C18617" s="9" t="s">
        <v>17</v>
      </c>
      <c r="D18617" s="9" t="s">
        <v>40</v>
      </c>
      <c r="E18617" s="10" t="s">
        <v>838</v>
      </c>
      <c r="F18617" s="9" t="s">
        <v>839</v>
      </c>
      <c r="G18617" s="10" t="s">
        <v>75</v>
      </c>
      <c r="H18617" s="9" t="s">
        <v>22</v>
      </c>
      <c r="I18617" s="9" t="s">
        <v>37889</v>
      </c>
      <c r="J18617" s="10" t="str">
        <f>HYPERLINK("https://www.boe.es/gazeta/dias/1834/07/18/pdfs/GMD-1834-151.pdf#page=4","Abrir facsímil")</f>
        <v>Abrir facsímil</v>
      </c>
      <c r="K18617" s="10" t="s">
        <v>24</v>
      </c>
    </row>
    <row r="18618" spans="1:11" ht="54" customHeight="1">
      <c r="A18618" s="9" t="s">
        <v>37890</v>
      </c>
      <c r="B18618" s="9" t="s">
        <v>37891</v>
      </c>
      <c r="C18618" s="9" t="s">
        <v>17</v>
      </c>
      <c r="D18618" s="9" t="s">
        <v>101</v>
      </c>
      <c r="E18618" s="10" t="s">
        <v>317</v>
      </c>
      <c r="F18618" s="9" t="s">
        <v>318</v>
      </c>
      <c r="G18618" s="10" t="s">
        <v>34</v>
      </c>
      <c r="H18618" s="9" t="s">
        <v>22</v>
      </c>
      <c r="I18618" s="9" t="s">
        <v>37892</v>
      </c>
      <c r="J18618" s="10" t="str">
        <f>HYPERLINK("https://www.boe.es/gazeta/dias/1834/03/06/pdfs/I00139-00140.pdf#page=1","Abrir facsímil")</f>
        <v>Abrir facsímil</v>
      </c>
      <c r="K18618" s="10" t="s">
        <v>24</v>
      </c>
    </row>
    <row r="18619" spans="1:11" ht="54" customHeight="1">
      <c r="A18619" s="9" t="s">
        <v>37890</v>
      </c>
      <c r="B18619" s="9" t="s">
        <v>37891</v>
      </c>
      <c r="C18619" s="9" t="s">
        <v>17</v>
      </c>
      <c r="D18619" s="9" t="s">
        <v>101</v>
      </c>
      <c r="E18619" s="10" t="s">
        <v>317</v>
      </c>
      <c r="F18619" s="9" t="s">
        <v>318</v>
      </c>
      <c r="G18619" s="10" t="s">
        <v>21</v>
      </c>
      <c r="H18619" s="9" t="s">
        <v>22</v>
      </c>
      <c r="I18619" s="9" t="s">
        <v>37892</v>
      </c>
      <c r="J18619" s="10" t="str">
        <f>HYPERLINK("https://www.boe.es/gazeta/dias/1834/03/06/pdfs/GMD-1834-29.pdf#page=3","Abrir facsímil")</f>
        <v>Abrir facsímil</v>
      </c>
      <c r="K18619" s="10" t="s">
        <v>24</v>
      </c>
    </row>
    <row r="18620" spans="1:11" ht="54" customHeight="1">
      <c r="A18620" s="9" t="s">
        <v>37893</v>
      </c>
      <c r="B18620" s="9" t="s">
        <v>37894</v>
      </c>
      <c r="C18620" s="9" t="s">
        <v>66</v>
      </c>
      <c r="D18620" s="9" t="s">
        <v>67</v>
      </c>
      <c r="E18620" s="10" t="s">
        <v>355</v>
      </c>
      <c r="F18620" s="9" t="s">
        <v>356</v>
      </c>
      <c r="G18620" s="10" t="s">
        <v>34</v>
      </c>
      <c r="H18620" s="9" t="s">
        <v>22</v>
      </c>
      <c r="I18620" s="9" t="s">
        <v>37895</v>
      </c>
      <c r="J18620" s="10" t="str">
        <f>HYPERLINK("https://www.boe.es/gazeta/dias/1834/07/04/pdfs/I00597-00598.pdf#page=1","Abrir facsímil")</f>
        <v>Abrir facsímil</v>
      </c>
      <c r="K18620" s="10" t="s">
        <v>24</v>
      </c>
    </row>
    <row r="18621" spans="1:11" ht="54" customHeight="1">
      <c r="A18621" s="9" t="s">
        <v>37893</v>
      </c>
      <c r="B18621" s="9" t="s">
        <v>37894</v>
      </c>
      <c r="C18621" s="9" t="s">
        <v>66</v>
      </c>
      <c r="D18621" s="9" t="s">
        <v>67</v>
      </c>
      <c r="E18621" s="10" t="s">
        <v>355</v>
      </c>
      <c r="F18621" s="9" t="s">
        <v>356</v>
      </c>
      <c r="G18621" s="10" t="s">
        <v>21</v>
      </c>
      <c r="H18621" s="9" t="s">
        <v>22</v>
      </c>
      <c r="I18621" s="9" t="s">
        <v>37895</v>
      </c>
      <c r="J18621" s="10" t="str">
        <f>HYPERLINK("https://www.boe.es/gazeta/dias/1834/07/04/pdfs/GMD-1834-137.pdf#page=3","Abrir facsímil")</f>
        <v>Abrir facsímil</v>
      </c>
      <c r="K18621" s="10" t="s">
        <v>24</v>
      </c>
    </row>
    <row r="18622" spans="1:11" ht="54" customHeight="1">
      <c r="A18622" s="9" t="s">
        <v>37896</v>
      </c>
      <c r="B18622" s="9" t="s">
        <v>37896</v>
      </c>
      <c r="C18622" s="9" t="s">
        <v>17</v>
      </c>
      <c r="D18622" s="9" t="s">
        <v>18</v>
      </c>
      <c r="E18622" s="10" t="s">
        <v>793</v>
      </c>
      <c r="F18622" s="9" t="s">
        <v>794</v>
      </c>
      <c r="G18622" s="10" t="s">
        <v>86</v>
      </c>
      <c r="H18622" s="9" t="s">
        <v>22</v>
      </c>
      <c r="I18622" s="9" t="s">
        <v>37897</v>
      </c>
      <c r="J18622" s="10" t="str">
        <f>HYPERLINK("https://www.boe.es/gazeta/dias/1834/10/08/pdfs/GMD-1834-236.pdf#page=2","Abrir facsímil")</f>
        <v>Abrir facsímil</v>
      </c>
      <c r="K18622" s="10" t="s">
        <v>24</v>
      </c>
    </row>
    <row r="18623" spans="1:11" ht="54" customHeight="1">
      <c r="A18623" s="9" t="s">
        <v>37898</v>
      </c>
      <c r="B18623" s="9" t="s">
        <v>37899</v>
      </c>
      <c r="C18623" s="9" t="s">
        <v>17</v>
      </c>
      <c r="D18623" s="9" t="s">
        <v>18</v>
      </c>
      <c r="E18623" s="10" t="s">
        <v>590</v>
      </c>
      <c r="F18623" s="9" t="s">
        <v>591</v>
      </c>
      <c r="G18623" s="10" t="s">
        <v>75</v>
      </c>
      <c r="H18623" s="9" t="s">
        <v>22</v>
      </c>
      <c r="I18623" s="9" t="s">
        <v>37900</v>
      </c>
      <c r="J18623" s="10" t="str">
        <f>HYPERLINK("https://www.boe.es/gazeta/dias/1834/11/30/pdfs/GMD-1834-289.pdf#page=4","Abrir facsímil")</f>
        <v>Abrir facsímil</v>
      </c>
      <c r="K18623" s="10" t="s">
        <v>24</v>
      </c>
    </row>
    <row r="18624" spans="1:11" ht="54" customHeight="1">
      <c r="A18624" s="9" t="s">
        <v>37901</v>
      </c>
      <c r="B18624" s="9" t="s">
        <v>37902</v>
      </c>
      <c r="C18624" s="9" t="s">
        <v>17</v>
      </c>
      <c r="D18624" s="9" t="s">
        <v>18</v>
      </c>
      <c r="E18624" s="10" t="s">
        <v>348</v>
      </c>
      <c r="F18624" s="9" t="s">
        <v>501</v>
      </c>
      <c r="G18624" s="10" t="s">
        <v>86</v>
      </c>
      <c r="H18624" s="9" t="s">
        <v>22</v>
      </c>
      <c r="I18624" s="9" t="s">
        <v>37903</v>
      </c>
      <c r="J18624" s="10" t="str">
        <f>HYPERLINK("https://www.boe.es/gazeta/dias/1834/06/12/pdfs/GMD-1834-115.pdf#page=2","Abrir facsímil")</f>
        <v>Abrir facsímil</v>
      </c>
      <c r="K18624" s="10" t="s">
        <v>24</v>
      </c>
    </row>
    <row r="18625" spans="1:11" ht="54" customHeight="1">
      <c r="A18625" s="9" t="s">
        <v>37904</v>
      </c>
      <c r="B18625" s="9" t="s">
        <v>37905</v>
      </c>
      <c r="C18625" s="9" t="s">
        <v>17</v>
      </c>
      <c r="D18625" s="9" t="s">
        <v>18</v>
      </c>
      <c r="E18625" s="10" t="s">
        <v>348</v>
      </c>
      <c r="F18625" s="9" t="s">
        <v>501</v>
      </c>
      <c r="G18625" s="10" t="s">
        <v>86</v>
      </c>
      <c r="H18625" s="9" t="s">
        <v>35</v>
      </c>
      <c r="I18625" s="9" t="s">
        <v>37906</v>
      </c>
      <c r="J18625" s="10" t="str">
        <f>HYPERLINK("https://www.boe.es/gazeta/dias/1834/06/12/pdfs/GMD-1834-115.pdf#page=2","Abrir facsímil")</f>
        <v>Abrir facsímil</v>
      </c>
      <c r="K18625" s="10" t="s">
        <v>37</v>
      </c>
    </row>
    <row r="18626" spans="1:11" ht="54" customHeight="1">
      <c r="A18626" s="9" t="s">
        <v>37907</v>
      </c>
      <c r="B18626" s="9" t="s">
        <v>37907</v>
      </c>
      <c r="C18626" s="9" t="s">
        <v>66</v>
      </c>
      <c r="D18626" s="9" t="s">
        <v>67</v>
      </c>
      <c r="E18626" s="10" t="s">
        <v>2306</v>
      </c>
      <c r="F18626" s="9" t="s">
        <v>2307</v>
      </c>
      <c r="G18626" s="10" t="s">
        <v>21</v>
      </c>
      <c r="H18626" s="9" t="s">
        <v>22</v>
      </c>
      <c r="I18626" s="9" t="s">
        <v>37908</v>
      </c>
      <c r="J18626" s="10" t="str">
        <f>HYPERLINK("https://www.boe.es/gazeta/dias/1834/04/26/pdfs/GMD-1834-65.pdf#page=3","Abrir facsímil")</f>
        <v>Abrir facsímil</v>
      </c>
      <c r="K18626" s="10" t="s">
        <v>24</v>
      </c>
    </row>
    <row r="18627" spans="1:11" ht="54" customHeight="1">
      <c r="A18627" s="9" t="s">
        <v>37909</v>
      </c>
      <c r="B18627" s="9" t="s">
        <v>37910</v>
      </c>
      <c r="C18627" s="9" t="s">
        <v>122</v>
      </c>
      <c r="D18627" s="9" t="s">
        <v>18</v>
      </c>
      <c r="E18627" s="10" t="s">
        <v>1084</v>
      </c>
      <c r="F18627" s="9" t="s">
        <v>1085</v>
      </c>
      <c r="G18627" s="10" t="s">
        <v>28</v>
      </c>
      <c r="H18627" s="9" t="s">
        <v>22</v>
      </c>
      <c r="I18627" s="9" t="s">
        <v>37911</v>
      </c>
      <c r="J18627" s="10" t="str">
        <f>HYPERLINK("https://www.boe.es/gazeta/dias/1834/05/01/pdfs/GMD-1834-70.pdf#page=5","Abrir facsímil")</f>
        <v>Abrir facsímil</v>
      </c>
      <c r="K18627" s="10" t="s">
        <v>24</v>
      </c>
    </row>
    <row r="18628" spans="1:11" ht="54" customHeight="1">
      <c r="A18628" s="9" t="s">
        <v>37909</v>
      </c>
      <c r="B18628" s="9" t="s">
        <v>37910</v>
      </c>
      <c r="C18628" s="9" t="s">
        <v>122</v>
      </c>
      <c r="D18628" s="9" t="s">
        <v>18</v>
      </c>
      <c r="E18628" s="10" t="s">
        <v>348</v>
      </c>
      <c r="F18628" s="9" t="s">
        <v>501</v>
      </c>
      <c r="G18628" s="10" t="s">
        <v>21</v>
      </c>
      <c r="H18628" s="9" t="s">
        <v>22</v>
      </c>
      <c r="I18628" s="9" t="s">
        <v>37912</v>
      </c>
      <c r="J18628" s="10" t="str">
        <f>HYPERLINK("https://www.boe.es/gazeta/dias/1834/06/12/pdfs/GMD-1834-115.pdf#page=3","Abrir facsímil")</f>
        <v>Abrir facsímil</v>
      </c>
      <c r="K18628" s="10" t="s">
        <v>24</v>
      </c>
    </row>
    <row r="18629" spans="1:11" ht="54" customHeight="1">
      <c r="A18629" s="9" t="s">
        <v>37913</v>
      </c>
      <c r="B18629" s="9" t="s">
        <v>37914</v>
      </c>
      <c r="C18629" s="9" t="s">
        <v>122</v>
      </c>
      <c r="D18629" s="9" t="s">
        <v>18</v>
      </c>
      <c r="E18629" s="10" t="s">
        <v>1084</v>
      </c>
      <c r="F18629" s="9" t="s">
        <v>1085</v>
      </c>
      <c r="G18629" s="10" t="s">
        <v>28</v>
      </c>
      <c r="H18629" s="9" t="s">
        <v>35</v>
      </c>
      <c r="I18629" s="9" t="s">
        <v>37915</v>
      </c>
      <c r="J18629" s="10" t="str">
        <f>HYPERLINK("https://www.boe.es/gazeta/dias/1834/05/01/pdfs/GMD-1834-70.pdf#page=5","Abrir facsímil")</f>
        <v>Abrir facsímil</v>
      </c>
      <c r="K18629" s="10" t="s">
        <v>37</v>
      </c>
    </row>
    <row r="18630" spans="1:11" ht="54" customHeight="1">
      <c r="A18630" s="9" t="s">
        <v>37916</v>
      </c>
      <c r="B18630" s="9" t="s">
        <v>37917</v>
      </c>
      <c r="C18630" s="9" t="s">
        <v>46</v>
      </c>
      <c r="D18630" s="9" t="s">
        <v>55</v>
      </c>
      <c r="E18630" s="10" t="s">
        <v>56</v>
      </c>
      <c r="F18630" s="9" t="s">
        <v>57</v>
      </c>
      <c r="G18630" s="10" t="s">
        <v>21</v>
      </c>
      <c r="H18630" s="9" t="s">
        <v>35</v>
      </c>
      <c r="I18630" s="9" t="s">
        <v>37918</v>
      </c>
      <c r="J18630" s="10" t="str">
        <f>HYPERLINK("https://www.boe.es/gazeta/dias/1834/07/09/pdfs/GMD-1834-142.pdf#page=3","Abrir facsímil")</f>
        <v>Abrir facsímil</v>
      </c>
      <c r="K18630" s="10" t="s">
        <v>37</v>
      </c>
    </row>
    <row r="18631" spans="1:11" ht="54" customHeight="1">
      <c r="A18631" s="9" t="s">
        <v>37919</v>
      </c>
      <c r="B18631" s="9" t="s">
        <v>37920</v>
      </c>
      <c r="C18631" s="9" t="s">
        <v>46</v>
      </c>
      <c r="D18631" s="9" t="s">
        <v>55</v>
      </c>
      <c r="E18631" s="10" t="s">
        <v>56</v>
      </c>
      <c r="F18631" s="9" t="s">
        <v>57</v>
      </c>
      <c r="G18631" s="10" t="s">
        <v>21</v>
      </c>
      <c r="H18631" s="9" t="s">
        <v>22</v>
      </c>
      <c r="I18631" s="9" t="s">
        <v>37921</v>
      </c>
      <c r="J18631" s="10" t="str">
        <f>HYPERLINK("https://www.boe.es/gazeta/dias/1834/07/09/pdfs/GMD-1834-142.pdf#page=3","Abrir facsímil")</f>
        <v>Abrir facsímil</v>
      </c>
      <c r="K18631" s="10" t="s">
        <v>24</v>
      </c>
    </row>
    <row r="18632" spans="1:11" ht="54" customHeight="1">
      <c r="A18632" s="9" t="s">
        <v>37922</v>
      </c>
      <c r="B18632" s="9" t="s">
        <v>37923</v>
      </c>
      <c r="C18632" s="9" t="s">
        <v>17</v>
      </c>
      <c r="D18632" s="9" t="s">
        <v>18</v>
      </c>
      <c r="E18632" s="10" t="s">
        <v>183</v>
      </c>
      <c r="F18632" s="9" t="s">
        <v>184</v>
      </c>
      <c r="G18632" s="10" t="s">
        <v>21</v>
      </c>
      <c r="H18632" s="9" t="s">
        <v>22</v>
      </c>
      <c r="I18632" s="9" t="s">
        <v>37924</v>
      </c>
      <c r="J18632" s="10" t="str">
        <f>HYPERLINK("https://www.boe.es/gazeta/dias/1834/03/18/pdfs/GMD-1834-34.pdf#page=3","Abrir facsímil")</f>
        <v>Abrir facsímil</v>
      </c>
      <c r="K18632" s="10" t="s">
        <v>24</v>
      </c>
    </row>
    <row r="18633" spans="1:11" ht="54" customHeight="1">
      <c r="A18633" s="9" t="s">
        <v>37925</v>
      </c>
      <c r="B18633" s="9" t="s">
        <v>37925</v>
      </c>
      <c r="C18633" s="9" t="s">
        <v>17</v>
      </c>
      <c r="D18633" s="9" t="s">
        <v>18</v>
      </c>
      <c r="E18633" s="10" t="s">
        <v>623</v>
      </c>
      <c r="F18633" s="9" t="s">
        <v>3442</v>
      </c>
      <c r="G18633" s="10" t="s">
        <v>21</v>
      </c>
      <c r="H18633" s="9" t="s">
        <v>22</v>
      </c>
      <c r="I18633" s="9" t="s">
        <v>37926</v>
      </c>
      <c r="J18633" s="10" t="str">
        <f>HYPERLINK("https://www.boe.es/gazeta/dias/1834/10/12/pdfs/GMD-1834-240.pdf#page=3","Abrir facsímil")</f>
        <v>Abrir facsímil</v>
      </c>
      <c r="K18633" s="10" t="s">
        <v>24</v>
      </c>
    </row>
    <row r="18634" spans="1:11" ht="54" customHeight="1">
      <c r="A18634" s="9" t="s">
        <v>37927</v>
      </c>
      <c r="B18634" s="9" t="s">
        <v>37928</v>
      </c>
      <c r="C18634" s="9" t="s">
        <v>17</v>
      </c>
      <c r="D18634" s="9" t="s">
        <v>40</v>
      </c>
      <c r="E18634" s="10" t="s">
        <v>696</v>
      </c>
      <c r="F18634" s="9" t="s">
        <v>854</v>
      </c>
      <c r="G18634" s="10" t="s">
        <v>75</v>
      </c>
      <c r="H18634" s="9" t="s">
        <v>22</v>
      </c>
      <c r="I18634" s="9" t="s">
        <v>37929</v>
      </c>
      <c r="J18634" s="10" t="str">
        <f>HYPERLINK("https://www.boe.es/gazeta/dias/1834/12/06/pdfs/GMD-1834-295.pdf#page=4","Abrir facsímil")</f>
        <v>Abrir facsímil</v>
      </c>
      <c r="K18634" s="10" t="s">
        <v>24</v>
      </c>
    </row>
  </sheetData>
  <mergeCells count="4">
    <mergeCell ref="A1:K1"/>
    <mergeCell ref="A2:K2"/>
    <mergeCell ref="A3:K3"/>
    <mergeCell ref="A4:K4"/>
  </mergeCells>
  <conditionalFormatting sqref="K7:K4597">
    <cfRule type="containsText" dxfId="1" priority="1" operator="containsText" text="Revisar"/>
  </conditionalFormatting>
  <conditionalFormatting sqref="K4598:K18634">
    <cfRule type="containsText" dxfId="0" priority="2" operator="containsText" text="Revisar OCR"/>
  </conditionalFormatting>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5B9BD5"/>
  </sheetPr>
  <dimension ref="A1:F504"/>
  <sheetViews>
    <sheetView showGridLines="0" workbookViewId="0">
      <pane ySplit="4" topLeftCell="A5" activePane="bottomLeft" state="frozen"/>
      <selection pane="bottomLeft"/>
    </sheetView>
  </sheetViews>
  <sheetFormatPr baseColWidth="10" defaultColWidth="8.796875" defaultRowHeight="13.8"/>
  <cols>
    <col min="1" max="1" width="13" customWidth="1"/>
    <col min="2" max="2" width="34" customWidth="1"/>
    <col min="3" max="3" width="27" customWidth="1"/>
    <col min="4" max="4" width="13" customWidth="1"/>
    <col min="5" max="6" width="18" customWidth="1"/>
  </cols>
  <sheetData>
    <row r="1" spans="1:6" ht="30" customHeight="1">
      <c r="A1" s="17" t="s">
        <v>37930</v>
      </c>
      <c r="B1" s="17"/>
      <c r="C1" s="17"/>
      <c r="D1" s="17"/>
      <c r="E1" s="17"/>
      <c r="F1" s="17"/>
    </row>
    <row r="2" spans="1:6" ht="22.05" customHeight="1">
      <c r="A2" s="21" t="s">
        <v>37931</v>
      </c>
      <c r="B2" s="21"/>
      <c r="C2" s="21"/>
      <c r="D2" s="21"/>
      <c r="E2" s="21"/>
      <c r="F2" s="21"/>
    </row>
    <row r="4" spans="1:6" ht="34.049999999999997" customHeight="1">
      <c r="A4" s="1" t="s">
        <v>8</v>
      </c>
      <c r="B4" s="1" t="s">
        <v>9</v>
      </c>
      <c r="C4" s="1" t="s">
        <v>37932</v>
      </c>
      <c r="D4" s="1" t="s">
        <v>37933</v>
      </c>
      <c r="E4" s="1" t="s">
        <v>37934</v>
      </c>
      <c r="F4" s="1" t="s">
        <v>37935</v>
      </c>
    </row>
    <row r="5" spans="1:6" ht="31.95" customHeight="1">
      <c r="A5" s="6" t="s">
        <v>1337</v>
      </c>
      <c r="B5" s="2" t="s">
        <v>1338</v>
      </c>
      <c r="C5" s="2" t="s">
        <v>37936</v>
      </c>
      <c r="D5" s="3">
        <v>4</v>
      </c>
      <c r="E5" s="3">
        <v>57</v>
      </c>
      <c r="F5" s="3" t="str">
        <f>HYPERLINK("https://www.boe.es/gazeta/dias/1834/01/02/pdfs/GMD-1834-1.pdf","Abrir PDF")</f>
        <v>Abrir PDF</v>
      </c>
    </row>
    <row r="6" spans="1:6" ht="31.95" customHeight="1">
      <c r="A6" s="6" t="s">
        <v>1337</v>
      </c>
      <c r="B6" s="2" t="s">
        <v>1906</v>
      </c>
      <c r="C6" s="2" t="s">
        <v>37937</v>
      </c>
      <c r="D6" s="3">
        <v>2</v>
      </c>
      <c r="E6" s="3">
        <v>14</v>
      </c>
      <c r="F6" s="3" t="str">
        <f>HYPERLINK("https://www.boe.es/gazeta/dias/1834/01/02/pdfs/GMD-1834-2E.pdf","Abrir PDF")</f>
        <v>Abrir PDF</v>
      </c>
    </row>
    <row r="7" spans="1:6" ht="31.95" customHeight="1">
      <c r="A7" s="6" t="s">
        <v>758</v>
      </c>
      <c r="B7" s="2" t="s">
        <v>759</v>
      </c>
      <c r="C7" s="2" t="s">
        <v>37938</v>
      </c>
      <c r="D7" s="3">
        <v>4</v>
      </c>
      <c r="E7" s="3">
        <v>42</v>
      </c>
      <c r="F7" s="3" t="str">
        <f>HYPERLINK("https://www.boe.es/gazeta/dias/1834/01/04/pdfs/GMD-1834-3.pdf","Abrir PDF")</f>
        <v>Abrir PDF</v>
      </c>
    </row>
    <row r="8" spans="1:6" ht="31.95" customHeight="1">
      <c r="A8" s="6" t="s">
        <v>1170</v>
      </c>
      <c r="B8" s="2" t="s">
        <v>1171</v>
      </c>
      <c r="C8" s="2" t="s">
        <v>37939</v>
      </c>
      <c r="D8" s="3">
        <v>6</v>
      </c>
      <c r="E8" s="3">
        <v>84</v>
      </c>
      <c r="F8" s="3" t="str">
        <f>HYPERLINK("https://www.boe.es/gazeta/dias/1834/01/07/pdfs/GMD-1834-4.pdf","Abrir PDF")</f>
        <v>Abrir PDF</v>
      </c>
    </row>
    <row r="9" spans="1:6" ht="31.95" customHeight="1">
      <c r="A9" s="6" t="s">
        <v>2748</v>
      </c>
      <c r="B9" s="2" t="s">
        <v>2749</v>
      </c>
      <c r="C9" s="2" t="s">
        <v>37940</v>
      </c>
      <c r="D9" s="3">
        <v>4</v>
      </c>
      <c r="E9" s="3">
        <v>64</v>
      </c>
      <c r="F9" s="3" t="str">
        <f>HYPERLINK("https://www.boe.es/gazeta/dias/1834/01/09/pdfs/GMD-1834-5.pdf","Abrir PDF")</f>
        <v>Abrir PDF</v>
      </c>
    </row>
    <row r="10" spans="1:6" ht="31.95" customHeight="1">
      <c r="A10" s="6" t="s">
        <v>1883</v>
      </c>
      <c r="B10" s="2" t="s">
        <v>1884</v>
      </c>
      <c r="C10" s="2" t="s">
        <v>37941</v>
      </c>
      <c r="D10" s="3">
        <v>4</v>
      </c>
      <c r="E10" s="3">
        <v>64</v>
      </c>
      <c r="F10" s="3" t="str">
        <f>HYPERLINK("https://www.boe.es/gazeta/dias/1834/01/11/pdfs/GMD-1834-6.pdf","Abrir PDF")</f>
        <v>Abrir PDF</v>
      </c>
    </row>
    <row r="11" spans="1:6" ht="31.95" customHeight="1">
      <c r="A11" s="6" t="s">
        <v>343</v>
      </c>
      <c r="B11" s="2" t="s">
        <v>344</v>
      </c>
      <c r="C11" s="2" t="s">
        <v>37942</v>
      </c>
      <c r="D11" s="3">
        <v>4</v>
      </c>
      <c r="E11" s="3">
        <v>82</v>
      </c>
      <c r="F11" s="3" t="str">
        <f>HYPERLINK("https://www.boe.es/gazeta/dias/1834/01/14/pdfs/GMD-1834-7.pdf","Abrir PDF")</f>
        <v>Abrir PDF</v>
      </c>
    </row>
    <row r="12" spans="1:6" ht="31.95" customHeight="1">
      <c r="A12" s="6" t="s">
        <v>2398</v>
      </c>
      <c r="B12" s="2" t="s">
        <v>2399</v>
      </c>
      <c r="C12" s="2" t="s">
        <v>37943</v>
      </c>
      <c r="D12" s="3">
        <v>4</v>
      </c>
      <c r="E12" s="3">
        <v>36</v>
      </c>
      <c r="F12" s="3" t="str">
        <f>HYPERLINK("https://www.boe.es/gazeta/dias/1834/01/16/pdfs/GMD-1834-8.pdf","Abrir PDF")</f>
        <v>Abrir PDF</v>
      </c>
    </row>
    <row r="13" spans="1:6" ht="31.95" customHeight="1">
      <c r="A13" s="6" t="s">
        <v>866</v>
      </c>
      <c r="B13" s="2" t="s">
        <v>867</v>
      </c>
      <c r="C13" s="2" t="s">
        <v>37944</v>
      </c>
      <c r="D13" s="3">
        <v>4</v>
      </c>
      <c r="E13" s="3">
        <v>40</v>
      </c>
      <c r="F13" s="3" t="str">
        <f>HYPERLINK("https://www.boe.es/gazeta/dias/1834/01/18/pdfs/GMD-1834-9.pdf","Abrir PDF")</f>
        <v>Abrir PDF</v>
      </c>
    </row>
    <row r="14" spans="1:6" ht="31.95" customHeight="1">
      <c r="A14" s="6" t="s">
        <v>304</v>
      </c>
      <c r="B14" s="2" t="s">
        <v>305</v>
      </c>
      <c r="C14" s="2" t="s">
        <v>37945</v>
      </c>
      <c r="D14" s="3">
        <v>6</v>
      </c>
      <c r="E14" s="3">
        <v>63</v>
      </c>
      <c r="F14" s="3" t="str">
        <f>HYPERLINK("https://www.boe.es/gazeta/dias/1834/01/21/pdfs/GMD-1834-10.pdf","Abrir PDF")</f>
        <v>Abrir PDF</v>
      </c>
    </row>
    <row r="15" spans="1:6" ht="31.95" customHeight="1">
      <c r="A15" s="6" t="s">
        <v>2153</v>
      </c>
      <c r="B15" s="2" t="s">
        <v>2154</v>
      </c>
      <c r="C15" s="2" t="s">
        <v>37946</v>
      </c>
      <c r="D15" s="3">
        <v>4</v>
      </c>
      <c r="E15" s="3">
        <v>42</v>
      </c>
      <c r="F15" s="3" t="str">
        <f>HYPERLINK("https://www.boe.es/gazeta/dias/1834/01/23/pdfs/GMD-1834-11.pdf","Abrir PDF")</f>
        <v>Abrir PDF</v>
      </c>
    </row>
    <row r="16" spans="1:6" ht="31.95" customHeight="1">
      <c r="A16" s="6" t="s">
        <v>2302</v>
      </c>
      <c r="B16" s="2" t="s">
        <v>2303</v>
      </c>
      <c r="C16" s="2" t="s">
        <v>37947</v>
      </c>
      <c r="D16" s="3">
        <v>4</v>
      </c>
      <c r="E16" s="3">
        <v>46</v>
      </c>
      <c r="F16" s="3" t="str">
        <f>HYPERLINK("https://www.boe.es/gazeta/dias/1834/01/25/pdfs/GMD-1834-12.pdf","Abrir PDF")</f>
        <v>Abrir PDF</v>
      </c>
    </row>
    <row r="17" spans="1:6" ht="31.95" customHeight="1">
      <c r="A17" s="6" t="s">
        <v>3499</v>
      </c>
      <c r="B17" s="2" t="s">
        <v>3500</v>
      </c>
      <c r="C17" s="2" t="s">
        <v>37948</v>
      </c>
      <c r="D17" s="3">
        <v>4</v>
      </c>
      <c r="E17" s="3">
        <v>31</v>
      </c>
      <c r="F17" s="3" t="str">
        <f>HYPERLINK("https://www.boe.es/gazeta/dias/1834/01/28/pdfs/GMD-1834-13.pdf","Abrir PDF")</f>
        <v>Abrir PDF</v>
      </c>
    </row>
    <row r="18" spans="1:6" ht="31.95" customHeight="1">
      <c r="A18" s="6" t="s">
        <v>899</v>
      </c>
      <c r="B18" s="2" t="s">
        <v>900</v>
      </c>
      <c r="C18" s="2" t="s">
        <v>37949</v>
      </c>
      <c r="D18" s="3">
        <v>8</v>
      </c>
      <c r="E18" s="3">
        <v>96</v>
      </c>
      <c r="F18" s="3" t="str">
        <f>HYPERLINK("https://www.boe.es/gazeta/dias/1834/01/30/pdfs/GMD-1834-14.pdf","Abrir PDF")</f>
        <v>Abrir PDF</v>
      </c>
    </row>
    <row r="19" spans="1:6" ht="31.95" customHeight="1">
      <c r="A19" s="6" t="s">
        <v>1262</v>
      </c>
      <c r="B19" s="2" t="s">
        <v>1263</v>
      </c>
      <c r="C19" s="2" t="s">
        <v>37950</v>
      </c>
      <c r="D19" s="3">
        <v>4</v>
      </c>
      <c r="E19" s="3">
        <v>61</v>
      </c>
      <c r="F19" s="3" t="str">
        <f>HYPERLINK("https://www.boe.es/gazeta/dias/1834/02/01/pdfs/GMD-1834-15.pdf","Abrir PDF")</f>
        <v>Abrir PDF</v>
      </c>
    </row>
    <row r="20" spans="1:6" ht="31.95" customHeight="1">
      <c r="A20" s="6" t="s">
        <v>1862</v>
      </c>
      <c r="B20" s="2" t="s">
        <v>1863</v>
      </c>
      <c r="C20" s="2" t="s">
        <v>37951</v>
      </c>
      <c r="D20" s="3">
        <v>4</v>
      </c>
      <c r="E20" s="3">
        <v>63</v>
      </c>
      <c r="F20" s="3" t="str">
        <f>HYPERLINK("https://www.boe.es/gazeta/dias/1834/02/04/pdfs/GMD-1834-16.pdf","Abrir PDF")</f>
        <v>Abrir PDF</v>
      </c>
    </row>
    <row r="21" spans="1:6" ht="31.95" customHeight="1">
      <c r="A21" s="6" t="s">
        <v>1862</v>
      </c>
      <c r="B21" s="2" t="s">
        <v>1908</v>
      </c>
      <c r="C21" s="2" t="s">
        <v>37952</v>
      </c>
      <c r="D21" s="3">
        <v>1</v>
      </c>
      <c r="E21" s="3">
        <v>11</v>
      </c>
      <c r="F21" s="3" t="str">
        <f>HYPERLINK("https://www.boe.es/gazeta/dias/1834/02/04/pdfs/GMD-C-1834-16.pdf","Abrir PDF")</f>
        <v>Abrir PDF</v>
      </c>
    </row>
    <row r="22" spans="1:6" ht="31.95" customHeight="1">
      <c r="A22" s="6" t="s">
        <v>3699</v>
      </c>
      <c r="B22" s="2" t="s">
        <v>3700</v>
      </c>
      <c r="C22" s="2" t="s">
        <v>37953</v>
      </c>
      <c r="D22" s="3">
        <v>4</v>
      </c>
      <c r="E22" s="3">
        <v>37</v>
      </c>
      <c r="F22" s="3" t="str">
        <f>HYPERLINK("https://www.boe.es/gazeta/dias/1834/02/06/pdfs/GMD-1834-17.pdf","Abrir PDF")</f>
        <v>Abrir PDF</v>
      </c>
    </row>
    <row r="23" spans="1:6" ht="31.95" customHeight="1">
      <c r="A23" s="6" t="s">
        <v>3699</v>
      </c>
      <c r="B23" s="2" t="s">
        <v>6179</v>
      </c>
      <c r="C23" s="2" t="s">
        <v>37954</v>
      </c>
      <c r="D23" s="3">
        <v>4</v>
      </c>
      <c r="E23" s="3">
        <v>2</v>
      </c>
      <c r="F23" s="3" t="str">
        <f>HYPERLINK("https://www.boe.es/gazeta/dias/1834/02/06/pdfs/GMD-C-1834-17.pdf","Abrir PDF")</f>
        <v>Abrir PDF</v>
      </c>
    </row>
    <row r="24" spans="1:6" ht="31.95" customHeight="1">
      <c r="A24" s="6" t="s">
        <v>3699</v>
      </c>
      <c r="B24" s="2" t="s">
        <v>6179</v>
      </c>
      <c r="C24" s="2" t="s">
        <v>37955</v>
      </c>
      <c r="D24" s="3">
        <v>1</v>
      </c>
      <c r="E24" s="3">
        <v>11</v>
      </c>
      <c r="F24" s="3" t="str">
        <f>HYPERLINK("https://www.boe.es/gazeta/dias/1834/02/06/pdfs/GMD-D-1834-17.pdf","Abrir PDF")</f>
        <v>Abrir PDF</v>
      </c>
    </row>
    <row r="25" spans="1:6" ht="31.95" customHeight="1">
      <c r="A25" s="6" t="s">
        <v>3699</v>
      </c>
      <c r="B25" s="2" t="s">
        <v>3700</v>
      </c>
      <c r="C25" s="2" t="s">
        <v>37956</v>
      </c>
      <c r="D25" s="3">
        <v>1</v>
      </c>
      <c r="E25" s="3">
        <v>6</v>
      </c>
      <c r="F25" s="3" t="str">
        <f>HYPERLINK("https://www.boe.es/gazeta/dias/1834/02/06/pdfs/I00074-00074.pdf","Abrir PDF")</f>
        <v>Abrir PDF</v>
      </c>
    </row>
    <row r="26" spans="1:6" ht="31.95" customHeight="1">
      <c r="A26" s="6" t="s">
        <v>860</v>
      </c>
      <c r="B26" s="2" t="s">
        <v>861</v>
      </c>
      <c r="C26" s="2" t="s">
        <v>37957</v>
      </c>
      <c r="D26" s="3">
        <v>8</v>
      </c>
      <c r="E26" s="3">
        <v>97</v>
      </c>
      <c r="F26" s="3" t="str">
        <f>HYPERLINK("https://www.boe.es/gazeta/dias/1834/02/08/pdfs/GMD-1834-18.pdf","Abrir PDF")</f>
        <v>Abrir PDF</v>
      </c>
    </row>
    <row r="27" spans="1:6" ht="31.95" customHeight="1">
      <c r="A27" s="6" t="s">
        <v>860</v>
      </c>
      <c r="B27" s="2" t="s">
        <v>1755</v>
      </c>
      <c r="C27" s="2" t="s">
        <v>37958</v>
      </c>
      <c r="D27" s="3">
        <v>2</v>
      </c>
      <c r="E27" s="3">
        <v>22</v>
      </c>
      <c r="F27" s="3" t="str">
        <f>HYPERLINK("https://www.boe.es/gazeta/dias/1834/02/08/pdfs/GMD-C-1834-18.pdf","Abrir PDF")</f>
        <v>Abrir PDF</v>
      </c>
    </row>
    <row r="28" spans="1:6" ht="31.95" customHeight="1">
      <c r="A28" s="6" t="s">
        <v>785</v>
      </c>
      <c r="B28" s="2" t="s">
        <v>786</v>
      </c>
      <c r="C28" s="2" t="s">
        <v>37959</v>
      </c>
      <c r="D28" s="3">
        <v>4</v>
      </c>
      <c r="E28" s="3">
        <v>59</v>
      </c>
      <c r="F28" s="3" t="str">
        <f>HYPERLINK("https://www.boe.es/gazeta/dias/1834/02/11/pdfs/GMD-1834-19.pdf","Abrir PDF")</f>
        <v>Abrir PDF</v>
      </c>
    </row>
    <row r="29" spans="1:6" ht="31.95" customHeight="1">
      <c r="A29" s="6" t="s">
        <v>91</v>
      </c>
      <c r="B29" s="2" t="s">
        <v>92</v>
      </c>
      <c r="C29" s="2" t="s">
        <v>37960</v>
      </c>
      <c r="D29" s="3">
        <v>4</v>
      </c>
      <c r="E29" s="3">
        <v>55</v>
      </c>
      <c r="F29" s="3" t="str">
        <f>HYPERLINK("https://www.boe.es/gazeta/dias/1834/02/13/pdfs/GMD-1834-20.pdf","Abrir PDF")</f>
        <v>Abrir PDF</v>
      </c>
    </row>
    <row r="30" spans="1:6" ht="31.95" customHeight="1">
      <c r="A30" s="6" t="s">
        <v>912</v>
      </c>
      <c r="B30" s="2" t="s">
        <v>913</v>
      </c>
      <c r="C30" s="2" t="s">
        <v>37961</v>
      </c>
      <c r="D30" s="3">
        <v>6</v>
      </c>
      <c r="E30" s="3">
        <v>63</v>
      </c>
      <c r="F30" s="3" t="str">
        <f>HYPERLINK("https://www.boe.es/gazeta/dias/1834/02/15/pdfs/GMD-1834-21.pdf","Abrir PDF")</f>
        <v>Abrir PDF</v>
      </c>
    </row>
    <row r="31" spans="1:6" ht="31.95" customHeight="1">
      <c r="A31" s="6" t="s">
        <v>1850</v>
      </c>
      <c r="B31" s="2" t="s">
        <v>1851</v>
      </c>
      <c r="C31" s="2" t="s">
        <v>37962</v>
      </c>
      <c r="D31" s="3">
        <v>8</v>
      </c>
      <c r="E31" s="3">
        <v>112</v>
      </c>
      <c r="F31" s="3" t="str">
        <f>HYPERLINK("https://www.boe.es/gazeta/dias/1834/02/18/pdfs/GMD-1834-22.pdf","Abrir PDF")</f>
        <v>Abrir PDF</v>
      </c>
    </row>
    <row r="32" spans="1:6" ht="31.95" customHeight="1">
      <c r="A32" s="6" t="s">
        <v>1850</v>
      </c>
      <c r="B32" s="2" t="s">
        <v>8022</v>
      </c>
      <c r="C32" s="2" t="s">
        <v>37963</v>
      </c>
      <c r="D32" s="3">
        <v>2</v>
      </c>
      <c r="E32" s="3">
        <v>2</v>
      </c>
      <c r="F32" s="3" t="str">
        <f>HYPERLINK("https://www.boe.es/gazeta/dias/1834/02/18/pdfs/GMD-C-1834-22.pdf","Abrir PDF")</f>
        <v>Abrir PDF</v>
      </c>
    </row>
    <row r="33" spans="1:6" ht="31.95" customHeight="1">
      <c r="A33" s="6" t="s">
        <v>3810</v>
      </c>
      <c r="B33" s="2" t="s">
        <v>3811</v>
      </c>
      <c r="C33" s="2" t="s">
        <v>37964</v>
      </c>
      <c r="D33" s="3">
        <v>4</v>
      </c>
      <c r="E33" s="3">
        <v>55</v>
      </c>
      <c r="F33" s="3" t="str">
        <f>HYPERLINK("https://www.boe.es/gazeta/dias/1834/02/20/pdfs/GMD-1834-23.pdf","Abrir PDF")</f>
        <v>Abrir PDF</v>
      </c>
    </row>
    <row r="34" spans="1:6" ht="31.95" customHeight="1">
      <c r="A34" s="6" t="s">
        <v>3952</v>
      </c>
      <c r="B34" s="2" t="s">
        <v>3953</v>
      </c>
      <c r="C34" s="2" t="s">
        <v>37965</v>
      </c>
      <c r="D34" s="3">
        <v>6</v>
      </c>
      <c r="E34" s="3">
        <v>46</v>
      </c>
      <c r="F34" s="3" t="str">
        <f>HYPERLINK("https://www.boe.es/gazeta/dias/1834/02/22/pdfs/GMD-1834-24.pdf","Abrir PDF")</f>
        <v>Abrir PDF</v>
      </c>
    </row>
    <row r="35" spans="1:6" ht="31.95" customHeight="1">
      <c r="A35" s="6" t="s">
        <v>3952</v>
      </c>
      <c r="B35" s="2" t="s">
        <v>12024</v>
      </c>
      <c r="C35" s="2" t="s">
        <v>37966</v>
      </c>
      <c r="D35" s="3">
        <v>1</v>
      </c>
      <c r="E35" s="3">
        <v>2</v>
      </c>
      <c r="F35" s="3" t="str">
        <f>HYPERLINK("https://www.boe.es/gazeta/dias/1834/02/22/pdfs/GMD-C-1834-24.pdf","Abrir PDF")</f>
        <v>Abrir PDF</v>
      </c>
    </row>
    <row r="36" spans="1:6" ht="31.95" customHeight="1">
      <c r="A36" s="6" t="s">
        <v>1922</v>
      </c>
      <c r="B36" s="2" t="s">
        <v>1923</v>
      </c>
      <c r="C36" s="2" t="s">
        <v>37967</v>
      </c>
      <c r="D36" s="3">
        <v>6</v>
      </c>
      <c r="E36" s="3">
        <v>75</v>
      </c>
      <c r="F36" s="3" t="str">
        <f>HYPERLINK("https://www.boe.es/gazeta/dias/1834/02/25/pdfs/GMD-1834-25.pdf","Abrir PDF")</f>
        <v>Abrir PDF</v>
      </c>
    </row>
    <row r="37" spans="1:6" ht="31.95" customHeight="1">
      <c r="A37" s="6" t="s">
        <v>1680</v>
      </c>
      <c r="B37" s="2" t="s">
        <v>1681</v>
      </c>
      <c r="C37" s="2" t="s">
        <v>37968</v>
      </c>
      <c r="D37" s="3">
        <v>4</v>
      </c>
      <c r="E37" s="3">
        <v>34</v>
      </c>
      <c r="F37" s="3" t="str">
        <f>HYPERLINK("https://www.boe.es/gazeta/dias/1834/02/27/pdfs/GMD-1834-26.pdf","Abrir PDF")</f>
        <v>Abrir PDF</v>
      </c>
    </row>
    <row r="38" spans="1:6" ht="31.95" customHeight="1">
      <c r="A38" s="6" t="s">
        <v>1025</v>
      </c>
      <c r="B38" s="2" t="s">
        <v>1026</v>
      </c>
      <c r="C38" s="2" t="s">
        <v>37969</v>
      </c>
      <c r="D38" s="3">
        <v>6</v>
      </c>
      <c r="E38" s="3">
        <v>70</v>
      </c>
      <c r="F38" s="3" t="str">
        <f>HYPERLINK("https://www.boe.es/gazeta/dias/1834/03/01/pdfs/GMD-1834-27.pdf","Abrir PDF")</f>
        <v>Abrir PDF</v>
      </c>
    </row>
    <row r="39" spans="1:6" ht="31.95" customHeight="1">
      <c r="A39" s="6" t="s">
        <v>506</v>
      </c>
      <c r="B39" s="2" t="s">
        <v>507</v>
      </c>
      <c r="C39" s="2" t="s">
        <v>37970</v>
      </c>
      <c r="D39" s="3">
        <v>6</v>
      </c>
      <c r="E39" s="3">
        <v>79</v>
      </c>
      <c r="F39" s="3" t="str">
        <f>HYPERLINK("https://www.boe.es/gazeta/dias/1834/03/04/pdfs/GMD-1834-28.pdf","Abrir PDF")</f>
        <v>Abrir PDF</v>
      </c>
    </row>
    <row r="40" spans="1:6" ht="31.95" customHeight="1">
      <c r="A40" s="6" t="s">
        <v>317</v>
      </c>
      <c r="B40" s="2" t="s">
        <v>318</v>
      </c>
      <c r="C40" s="2" t="s">
        <v>37971</v>
      </c>
      <c r="D40" s="3">
        <v>4</v>
      </c>
      <c r="E40" s="3">
        <v>53</v>
      </c>
      <c r="F40" s="3" t="str">
        <f>HYPERLINK("https://www.boe.es/gazeta/dias/1834/03/06/pdfs/GMD-1834-29.pdf","Abrir PDF")</f>
        <v>Abrir PDF</v>
      </c>
    </row>
    <row r="41" spans="1:6" ht="31.95" customHeight="1">
      <c r="A41" s="6" t="s">
        <v>317</v>
      </c>
      <c r="B41" s="2" t="s">
        <v>318</v>
      </c>
      <c r="C41" s="2" t="s">
        <v>37972</v>
      </c>
      <c r="D41" s="3">
        <v>2</v>
      </c>
      <c r="E41" s="3">
        <v>29</v>
      </c>
      <c r="F41" s="3" t="str">
        <f>HYPERLINK("https://www.boe.es/gazeta/dias/1834/03/06/pdfs/I00139-00140.pdf","Abrir PDF")</f>
        <v>Abrir PDF</v>
      </c>
    </row>
    <row r="42" spans="1:6" ht="31.95" customHeight="1">
      <c r="A42" s="6" t="s">
        <v>2091</v>
      </c>
      <c r="B42" s="2" t="s">
        <v>2092</v>
      </c>
      <c r="C42" s="2" t="s">
        <v>37973</v>
      </c>
      <c r="D42" s="3">
        <v>4</v>
      </c>
      <c r="E42" s="3">
        <v>26</v>
      </c>
      <c r="F42" s="3" t="str">
        <f>HYPERLINK("https://www.boe.es/gazeta/dias/1834/03/08/pdfs/GMD-1834-30.pdf","Abrir PDF")</f>
        <v>Abrir PDF</v>
      </c>
    </row>
    <row r="43" spans="1:6" ht="31.95" customHeight="1">
      <c r="A43" s="6" t="s">
        <v>2241</v>
      </c>
      <c r="B43" s="2" t="s">
        <v>2242</v>
      </c>
      <c r="C43" s="2" t="s">
        <v>37974</v>
      </c>
      <c r="D43" s="3">
        <v>4</v>
      </c>
      <c r="E43" s="3">
        <v>59</v>
      </c>
      <c r="F43" s="3" t="str">
        <f>HYPERLINK("https://www.boe.es/gazeta/dias/1834/03/11/pdfs/GMD-1834-31.pdf","Abrir PDF")</f>
        <v>Abrir PDF</v>
      </c>
    </row>
    <row r="44" spans="1:6" ht="31.95" customHeight="1">
      <c r="A44" s="6" t="s">
        <v>844</v>
      </c>
      <c r="B44" s="2" t="s">
        <v>845</v>
      </c>
      <c r="C44" s="2" t="s">
        <v>37975</v>
      </c>
      <c r="D44" s="3">
        <v>4</v>
      </c>
      <c r="E44" s="3">
        <v>59</v>
      </c>
      <c r="F44" s="3" t="str">
        <f>HYPERLINK("https://www.boe.es/gazeta/dias/1834/03/13/pdfs/GMD-1834-32.pdf","Abrir PDF")</f>
        <v>Abrir PDF</v>
      </c>
    </row>
    <row r="45" spans="1:6" ht="31.95" customHeight="1">
      <c r="A45" s="6" t="s">
        <v>518</v>
      </c>
      <c r="B45" s="2" t="s">
        <v>519</v>
      </c>
      <c r="C45" s="2" t="s">
        <v>37976</v>
      </c>
      <c r="D45" s="3">
        <v>4</v>
      </c>
      <c r="E45" s="3">
        <v>43</v>
      </c>
      <c r="F45" s="3" t="str">
        <f>HYPERLINK("https://www.boe.es/gazeta/dias/1834/03/15/pdfs/GMD-1834-33.pdf","Abrir PDF")</f>
        <v>Abrir PDF</v>
      </c>
    </row>
    <row r="46" spans="1:6" ht="31.95" customHeight="1">
      <c r="A46" s="6" t="s">
        <v>183</v>
      </c>
      <c r="B46" s="2" t="s">
        <v>184</v>
      </c>
      <c r="C46" s="2" t="s">
        <v>37977</v>
      </c>
      <c r="D46" s="3">
        <v>4</v>
      </c>
      <c r="E46" s="3">
        <v>61</v>
      </c>
      <c r="F46" s="3" t="str">
        <f>HYPERLINK("https://www.boe.es/gazeta/dias/1834/03/18/pdfs/GMD-1834-34.pdf","Abrir PDF")</f>
        <v>Abrir PDF</v>
      </c>
    </row>
    <row r="47" spans="1:6" ht="31.95" customHeight="1">
      <c r="A47" s="6" t="s">
        <v>1572</v>
      </c>
      <c r="B47" s="2" t="s">
        <v>1573</v>
      </c>
      <c r="C47" s="2" t="s">
        <v>37978</v>
      </c>
      <c r="D47" s="3">
        <v>6</v>
      </c>
      <c r="E47" s="3">
        <v>81</v>
      </c>
      <c r="F47" s="3" t="str">
        <f>HYPERLINK("https://www.boe.es/gazeta/dias/1834/03/20/pdfs/GMD-1834-35.pdf","Abrir PDF")</f>
        <v>Abrir PDF</v>
      </c>
    </row>
    <row r="48" spans="1:6" ht="31.95" customHeight="1">
      <c r="A48" s="6" t="s">
        <v>1918</v>
      </c>
      <c r="B48" s="2" t="s">
        <v>1919</v>
      </c>
      <c r="C48" s="2" t="s">
        <v>37979</v>
      </c>
      <c r="D48" s="3">
        <v>4</v>
      </c>
      <c r="E48" s="3">
        <v>40</v>
      </c>
      <c r="F48" s="3" t="str">
        <f>HYPERLINK("https://www.boe.es/gazeta/dias/1834/03/22/pdfs/GMD-1834-36.pdf","Abrir PDF")</f>
        <v>Abrir PDF</v>
      </c>
    </row>
    <row r="49" spans="1:6" ht="31.95" customHeight="1">
      <c r="A49" s="6" t="s">
        <v>1918</v>
      </c>
      <c r="B49" s="2" t="s">
        <v>2024</v>
      </c>
      <c r="C49" s="2" t="s">
        <v>37980</v>
      </c>
      <c r="D49" s="3">
        <v>2</v>
      </c>
      <c r="E49" s="3">
        <v>34</v>
      </c>
      <c r="F49" s="3" t="str">
        <f>HYPERLINK("https://www.boe.es/gazeta/dias/1834/03/22/pdfs/GMD-C-1834-36.pdf","Abrir PDF")</f>
        <v>Abrir PDF</v>
      </c>
    </row>
    <row r="50" spans="1:6" ht="31.95" customHeight="1">
      <c r="A50" s="6" t="s">
        <v>739</v>
      </c>
      <c r="B50" s="2" t="s">
        <v>740</v>
      </c>
      <c r="C50" s="2" t="s">
        <v>37981</v>
      </c>
      <c r="D50" s="3">
        <v>4</v>
      </c>
      <c r="E50" s="3">
        <v>55</v>
      </c>
      <c r="F50" s="3" t="str">
        <f>HYPERLINK("https://www.boe.es/gazeta/dias/1834/03/25/pdfs/GMD-1834-37.pdf","Abrir PDF")</f>
        <v>Abrir PDF</v>
      </c>
    </row>
    <row r="51" spans="1:6" ht="31.95" customHeight="1">
      <c r="A51" s="6" t="s">
        <v>739</v>
      </c>
      <c r="B51" s="2" t="s">
        <v>17328</v>
      </c>
      <c r="C51" s="2" t="s">
        <v>37982</v>
      </c>
      <c r="D51" s="3">
        <v>2</v>
      </c>
      <c r="E51" s="3">
        <v>3</v>
      </c>
      <c r="F51" s="3" t="str">
        <f>HYPERLINK("https://www.boe.es/gazeta/dias/1834/03/25/pdfs/GMD-C-1834-37.pdf","Abrir PDF")</f>
        <v>Abrir PDF</v>
      </c>
    </row>
    <row r="52" spans="1:6" ht="31.95" customHeight="1">
      <c r="A52" s="6" t="s">
        <v>174</v>
      </c>
      <c r="B52" s="2" t="s">
        <v>175</v>
      </c>
      <c r="C52" s="2" t="s">
        <v>37983</v>
      </c>
      <c r="D52" s="3">
        <v>6</v>
      </c>
      <c r="E52" s="3">
        <v>56</v>
      </c>
      <c r="F52" s="3" t="str">
        <f>HYPERLINK("https://www.boe.es/gazeta/dias/1834/03/27/pdfs/GMD-1834-38.pdf","Abrir PDF")</f>
        <v>Abrir PDF</v>
      </c>
    </row>
    <row r="53" spans="1:6" ht="31.95" customHeight="1">
      <c r="A53" s="6" t="s">
        <v>803</v>
      </c>
      <c r="B53" s="2" t="s">
        <v>804</v>
      </c>
      <c r="C53" s="2" t="s">
        <v>37984</v>
      </c>
      <c r="D53" s="3">
        <v>4</v>
      </c>
      <c r="E53" s="3">
        <v>43</v>
      </c>
      <c r="F53" s="3" t="str">
        <f>HYPERLINK("https://www.boe.es/gazeta/dias/1834/03/29/pdfs/GMD-1834-39.pdf","Abrir PDF")</f>
        <v>Abrir PDF</v>
      </c>
    </row>
    <row r="54" spans="1:6" ht="31.95" customHeight="1">
      <c r="A54" s="6" t="s">
        <v>1333</v>
      </c>
      <c r="B54" s="2" t="s">
        <v>1334</v>
      </c>
      <c r="C54" s="2" t="s">
        <v>37985</v>
      </c>
      <c r="D54" s="3">
        <v>6</v>
      </c>
      <c r="E54" s="3">
        <v>34</v>
      </c>
      <c r="F54" s="3" t="str">
        <f>HYPERLINK("https://www.boe.es/gazeta/dias/1834/04/01/pdfs/GMD-1834-40.pdf","Abrir PDF")</f>
        <v>Abrir PDF</v>
      </c>
    </row>
    <row r="55" spans="1:6" ht="31.95" customHeight="1">
      <c r="A55" s="6" t="s">
        <v>976</v>
      </c>
      <c r="B55" s="2" t="s">
        <v>977</v>
      </c>
      <c r="C55" s="2" t="s">
        <v>37986</v>
      </c>
      <c r="D55" s="3">
        <v>4</v>
      </c>
      <c r="E55" s="3">
        <v>31</v>
      </c>
      <c r="F55" s="3" t="str">
        <f>HYPERLINK("https://www.boe.es/gazeta/dias/1834/04/02/pdfs/GMD-1834-41.pdf","Abrir PDF")</f>
        <v>Abrir PDF</v>
      </c>
    </row>
    <row r="56" spans="1:6" ht="31.95" customHeight="1">
      <c r="A56" s="6" t="s">
        <v>976</v>
      </c>
      <c r="B56" s="2" t="s">
        <v>1061</v>
      </c>
      <c r="C56" s="2" t="s">
        <v>37987</v>
      </c>
      <c r="D56" s="3">
        <v>2</v>
      </c>
      <c r="E56" s="3">
        <v>34</v>
      </c>
      <c r="F56" s="3" t="str">
        <f>HYPERLINK("https://www.boe.es/gazeta/dias/1834/04/02/pdfs/GMD-C-1834-41.pdf","Abrir PDF")</f>
        <v>Abrir PDF</v>
      </c>
    </row>
    <row r="57" spans="1:6" ht="31.95" customHeight="1">
      <c r="A57" s="6" t="s">
        <v>2379</v>
      </c>
      <c r="B57" s="2" t="s">
        <v>2380</v>
      </c>
      <c r="C57" s="2" t="s">
        <v>37988</v>
      </c>
      <c r="D57" s="3">
        <v>4</v>
      </c>
      <c r="E57" s="3">
        <v>43</v>
      </c>
      <c r="F57" s="3" t="str">
        <f>HYPERLINK("https://www.boe.es/gazeta/dias/1834/04/03/pdfs/GMD-1834-42.pdf","Abrir PDF")</f>
        <v>Abrir PDF</v>
      </c>
    </row>
    <row r="58" spans="1:6" ht="31.95" customHeight="1">
      <c r="A58" s="6" t="s">
        <v>2459</v>
      </c>
      <c r="B58" s="2" t="s">
        <v>2460</v>
      </c>
      <c r="C58" s="2" t="s">
        <v>37989</v>
      </c>
      <c r="D58" s="3">
        <v>4</v>
      </c>
      <c r="E58" s="3">
        <v>29</v>
      </c>
      <c r="F58" s="3" t="str">
        <f>HYPERLINK("https://www.boe.es/gazeta/dias/1834/04/04/pdfs/GMD-1834-43.pdf","Abrir PDF")</f>
        <v>Abrir PDF</v>
      </c>
    </row>
    <row r="59" spans="1:6" ht="31.95" customHeight="1">
      <c r="A59" s="6" t="s">
        <v>1658</v>
      </c>
      <c r="B59" s="2" t="s">
        <v>1659</v>
      </c>
      <c r="C59" s="2" t="s">
        <v>37990</v>
      </c>
      <c r="D59" s="3">
        <v>4</v>
      </c>
      <c r="E59" s="3">
        <v>20</v>
      </c>
      <c r="F59" s="3" t="str">
        <f>HYPERLINK("https://www.boe.es/gazeta/dias/1834/04/05/pdfs/GMD-1834-44.pdf","Abrir PDF")</f>
        <v>Abrir PDF</v>
      </c>
    </row>
    <row r="60" spans="1:6" ht="31.95" customHeight="1">
      <c r="A60" s="6" t="s">
        <v>1661</v>
      </c>
      <c r="B60" s="2" t="s">
        <v>1662</v>
      </c>
      <c r="C60" s="2" t="s">
        <v>37991</v>
      </c>
      <c r="D60" s="3">
        <v>4</v>
      </c>
      <c r="E60" s="3">
        <v>33</v>
      </c>
      <c r="F60" s="3" t="str">
        <f>HYPERLINK("https://www.boe.es/gazeta/dias/1834/04/06/pdfs/GMD-1834-45.pdf","Abrir PDF")</f>
        <v>Abrir PDF</v>
      </c>
    </row>
    <row r="61" spans="1:6" ht="31.95" customHeight="1">
      <c r="A61" s="6" t="s">
        <v>360</v>
      </c>
      <c r="B61" s="2" t="s">
        <v>361</v>
      </c>
      <c r="C61" s="2" t="s">
        <v>37992</v>
      </c>
      <c r="D61" s="3">
        <v>4</v>
      </c>
      <c r="E61" s="3">
        <v>41</v>
      </c>
      <c r="F61" s="3" t="str">
        <f>HYPERLINK("https://www.boe.es/gazeta/dias/1834/04/07/pdfs/GMD-1834-46.pdf","Abrir PDF")</f>
        <v>Abrir PDF</v>
      </c>
    </row>
    <row r="62" spans="1:6" ht="31.95" customHeight="1">
      <c r="A62" s="6" t="s">
        <v>12114</v>
      </c>
      <c r="B62" s="2" t="s">
        <v>12115</v>
      </c>
      <c r="C62" s="2" t="s">
        <v>37993</v>
      </c>
      <c r="D62" s="3">
        <v>6</v>
      </c>
      <c r="E62" s="3">
        <v>22</v>
      </c>
      <c r="F62" s="3" t="str">
        <f>HYPERLINK("https://www.boe.es/gazeta/dias/1834/04/08/pdfs/GMD-1834-47.pdf","Abrir PDF")</f>
        <v>Abrir PDF</v>
      </c>
    </row>
    <row r="63" spans="1:6" ht="31.95" customHeight="1">
      <c r="A63" s="6" t="s">
        <v>1999</v>
      </c>
      <c r="B63" s="2" t="s">
        <v>2000</v>
      </c>
      <c r="C63" s="2" t="s">
        <v>37994</v>
      </c>
      <c r="D63" s="3">
        <v>4</v>
      </c>
      <c r="E63" s="3">
        <v>21</v>
      </c>
      <c r="F63" s="3" t="str">
        <f>HYPERLINK("https://www.boe.es/gazeta/dias/1834/04/09/pdfs/GMD-1834-48.pdf","Abrir PDF")</f>
        <v>Abrir PDF</v>
      </c>
    </row>
    <row r="64" spans="1:6" ht="31.95" customHeight="1">
      <c r="A64" s="6" t="s">
        <v>1178</v>
      </c>
      <c r="B64" s="2" t="s">
        <v>14853</v>
      </c>
      <c r="C64" s="2" t="s">
        <v>37995</v>
      </c>
      <c r="D64" s="3">
        <v>4</v>
      </c>
      <c r="E64" s="3">
        <v>13</v>
      </c>
      <c r="F64" s="3" t="str">
        <f>HYPERLINK("https://www.boe.es/gazeta/dias/1834/04/10/pdfs/GMD-1834-49.pdf","Abrir PDF")</f>
        <v>Abrir PDF</v>
      </c>
    </row>
    <row r="65" spans="1:6" ht="31.95" customHeight="1">
      <c r="A65" s="6" t="s">
        <v>1178</v>
      </c>
      <c r="B65" s="2" t="s">
        <v>1179</v>
      </c>
      <c r="C65" s="2" t="s">
        <v>37996</v>
      </c>
      <c r="D65" s="3">
        <v>2</v>
      </c>
      <c r="E65" s="3">
        <v>25</v>
      </c>
      <c r="F65" s="3" t="str">
        <f>HYPERLINK("https://www.boe.es/gazeta/dias/1834/04/10/pdfs/GMD-C-1834-49.pdf","Abrir PDF")</f>
        <v>Abrir PDF</v>
      </c>
    </row>
    <row r="66" spans="1:6" ht="31.95" customHeight="1">
      <c r="A66" s="6" t="s">
        <v>1178</v>
      </c>
      <c r="B66" s="2" t="s">
        <v>14853</v>
      </c>
      <c r="C66" s="2" t="s">
        <v>37997</v>
      </c>
      <c r="D66" s="3">
        <v>2</v>
      </c>
      <c r="E66" s="3">
        <v>5</v>
      </c>
      <c r="F66" s="3" t="str">
        <f>HYPERLINK("https://www.boe.es/gazeta/dias/1834/04/10/pdfs/I00227-00228.pdf","Abrir PDF")</f>
        <v>Abrir PDF</v>
      </c>
    </row>
    <row r="67" spans="1:6" ht="31.95" customHeight="1">
      <c r="A67" s="6" t="s">
        <v>11736</v>
      </c>
      <c r="B67" s="2" t="s">
        <v>11737</v>
      </c>
      <c r="C67" s="2" t="s">
        <v>37998</v>
      </c>
      <c r="D67" s="3">
        <v>4</v>
      </c>
      <c r="E67" s="3">
        <v>11</v>
      </c>
      <c r="F67" s="3" t="str">
        <f>HYPERLINK("https://www.boe.es/gazeta/dias/1834/04/11/pdfs/GMD-1834-50.pdf","Abrir PDF")</f>
        <v>Abrir PDF</v>
      </c>
    </row>
    <row r="68" spans="1:6" ht="31.95" customHeight="1">
      <c r="A68" s="6" t="s">
        <v>1708</v>
      </c>
      <c r="B68" s="2" t="s">
        <v>1709</v>
      </c>
      <c r="C68" s="2" t="s">
        <v>37999</v>
      </c>
      <c r="D68" s="3">
        <v>6</v>
      </c>
      <c r="E68" s="3">
        <v>45</v>
      </c>
      <c r="F68" s="3" t="str">
        <f>HYPERLINK("https://www.boe.es/gazeta/dias/1834/04/12/pdfs/GMD-1834-51.pdf","Abrir PDF")</f>
        <v>Abrir PDF</v>
      </c>
    </row>
    <row r="69" spans="1:6" ht="31.95" customHeight="1">
      <c r="A69" s="6" t="s">
        <v>729</v>
      </c>
      <c r="B69" s="2" t="s">
        <v>730</v>
      </c>
      <c r="C69" s="2" t="s">
        <v>38000</v>
      </c>
      <c r="D69" s="3">
        <v>4</v>
      </c>
      <c r="E69" s="3">
        <v>27</v>
      </c>
      <c r="F69" s="3" t="str">
        <f>HYPERLINK("https://www.boe.es/gazeta/dias/1834/04/13/pdfs/GMD-1834-52.pdf","Abrir PDF")</f>
        <v>Abrir PDF</v>
      </c>
    </row>
    <row r="70" spans="1:6" ht="31.95" customHeight="1">
      <c r="A70" s="6" t="s">
        <v>1113</v>
      </c>
      <c r="B70" s="2" t="s">
        <v>1114</v>
      </c>
      <c r="C70" s="2" t="s">
        <v>38001</v>
      </c>
      <c r="D70" s="3">
        <v>4</v>
      </c>
      <c r="E70" s="3">
        <v>22</v>
      </c>
      <c r="F70" s="3" t="str">
        <f>HYPERLINK("https://www.boe.es/gazeta/dias/1834/04/14/pdfs/GMD-1834-53.pdf","Abrir PDF")</f>
        <v>Abrir PDF</v>
      </c>
    </row>
    <row r="71" spans="1:6" ht="31.95" customHeight="1">
      <c r="A71" s="6" t="s">
        <v>3282</v>
      </c>
      <c r="B71" s="2" t="s">
        <v>3283</v>
      </c>
      <c r="C71" s="2" t="s">
        <v>38002</v>
      </c>
      <c r="D71" s="3">
        <v>4</v>
      </c>
      <c r="E71" s="3">
        <v>17</v>
      </c>
      <c r="F71" s="3" t="str">
        <f>HYPERLINK("https://www.boe.es/gazeta/dias/1834/04/15/pdfs/GMD-1834-54.pdf","Abrir PDF")</f>
        <v>Abrir PDF</v>
      </c>
    </row>
    <row r="72" spans="1:6" ht="31.95" customHeight="1">
      <c r="A72" s="6" t="s">
        <v>1394</v>
      </c>
      <c r="B72" s="2" t="s">
        <v>1395</v>
      </c>
      <c r="C72" s="2" t="s">
        <v>38003</v>
      </c>
      <c r="D72" s="3">
        <v>4</v>
      </c>
      <c r="E72" s="3">
        <v>23</v>
      </c>
      <c r="F72" s="3" t="str">
        <f>HYPERLINK("https://www.boe.es/gazeta/dias/1834/04/16/pdfs/GMD-1834-55.pdf","Abrir PDF")</f>
        <v>Abrir PDF</v>
      </c>
    </row>
    <row r="73" spans="1:6" ht="31.95" customHeight="1">
      <c r="A73" s="6" t="s">
        <v>1394</v>
      </c>
      <c r="B73" s="2" t="s">
        <v>2923</v>
      </c>
      <c r="C73" s="2" t="s">
        <v>38004</v>
      </c>
      <c r="D73" s="3">
        <v>2</v>
      </c>
      <c r="E73" s="3">
        <v>30</v>
      </c>
      <c r="F73" s="3" t="str">
        <f>HYPERLINK("https://www.boe.es/gazeta/dias/1834/04/16/pdfs/GMD-C-1834-55.pdf","Abrir PDF")</f>
        <v>Abrir PDF</v>
      </c>
    </row>
    <row r="74" spans="1:6" ht="31.95" customHeight="1">
      <c r="A74" s="6" t="s">
        <v>1125</v>
      </c>
      <c r="B74" s="2" t="s">
        <v>2490</v>
      </c>
      <c r="C74" s="2" t="s">
        <v>38005</v>
      </c>
      <c r="D74" s="3">
        <v>8</v>
      </c>
      <c r="E74" s="3">
        <v>34</v>
      </c>
      <c r="F74" s="3" t="str">
        <f>HYPERLINK("https://www.boe.es/gazeta/dias/1834/04/17/pdfs/GMD-1834-56.pdf","Abrir PDF")</f>
        <v>Abrir PDF</v>
      </c>
    </row>
    <row r="75" spans="1:6" ht="31.95" customHeight="1">
      <c r="A75" s="6" t="s">
        <v>1125</v>
      </c>
      <c r="B75" s="2" t="s">
        <v>1126</v>
      </c>
      <c r="C75" s="2" t="s">
        <v>38006</v>
      </c>
      <c r="D75" s="3">
        <v>2</v>
      </c>
      <c r="E75" s="3">
        <v>24</v>
      </c>
      <c r="F75" s="3" t="str">
        <f>HYPERLINK("https://www.boe.es/gazeta/dias/1834/04/17/pdfs/GMD-C-1834-56.pdf","Abrir PDF")</f>
        <v>Abrir PDF</v>
      </c>
    </row>
    <row r="76" spans="1:6" ht="31.95" customHeight="1">
      <c r="A76" s="6" t="s">
        <v>541</v>
      </c>
      <c r="B76" s="2" t="s">
        <v>542</v>
      </c>
      <c r="C76" s="2" t="s">
        <v>38007</v>
      </c>
      <c r="D76" s="3">
        <v>4</v>
      </c>
      <c r="E76" s="3">
        <v>43</v>
      </c>
      <c r="F76" s="3" t="str">
        <f>HYPERLINK("https://www.boe.es/gazeta/dias/1834/04/18/pdfs/GMD-1834-57.pdf","Abrir PDF")</f>
        <v>Abrir PDF</v>
      </c>
    </row>
    <row r="77" spans="1:6" ht="31.95" customHeight="1">
      <c r="A77" s="6" t="s">
        <v>563</v>
      </c>
      <c r="B77" s="2" t="s">
        <v>564</v>
      </c>
      <c r="C77" s="2" t="s">
        <v>38008</v>
      </c>
      <c r="D77" s="3">
        <v>6</v>
      </c>
      <c r="E77" s="3">
        <v>75</v>
      </c>
      <c r="F77" s="3" t="str">
        <f>HYPERLINK("https://www.boe.es/gazeta/dias/1834/04/19/pdfs/GMD-1834-58.pdf","Abrir PDF")</f>
        <v>Abrir PDF</v>
      </c>
    </row>
    <row r="78" spans="1:6" ht="31.95" customHeight="1">
      <c r="A78" s="6" t="s">
        <v>563</v>
      </c>
      <c r="B78" s="2" t="s">
        <v>5858</v>
      </c>
      <c r="C78" s="2" t="s">
        <v>38009</v>
      </c>
      <c r="D78" s="3">
        <v>2</v>
      </c>
      <c r="E78" s="3">
        <v>28</v>
      </c>
      <c r="F78" s="3" t="str">
        <f>HYPERLINK("https://www.boe.es/gazeta/dias/1834/04/19/pdfs/GMD-C-1834-58.pdf","Abrir PDF")</f>
        <v>Abrir PDF</v>
      </c>
    </row>
    <row r="79" spans="1:6" ht="31.95" customHeight="1">
      <c r="A79" s="6" t="s">
        <v>217</v>
      </c>
      <c r="B79" s="2" t="s">
        <v>218</v>
      </c>
      <c r="C79" s="2" t="s">
        <v>38010</v>
      </c>
      <c r="D79" s="3">
        <v>4</v>
      </c>
      <c r="E79" s="3">
        <v>31</v>
      </c>
      <c r="F79" s="3" t="str">
        <f>HYPERLINK("https://www.boe.es/gazeta/dias/1834/04/20/pdfs/GMD-1834-59.pdf","Abrir PDF")</f>
        <v>Abrir PDF</v>
      </c>
    </row>
    <row r="80" spans="1:6" ht="31.95" customHeight="1">
      <c r="A80" s="6" t="s">
        <v>753</v>
      </c>
      <c r="B80" s="2" t="s">
        <v>754</v>
      </c>
      <c r="C80" s="2" t="s">
        <v>38011</v>
      </c>
      <c r="D80" s="3">
        <v>6</v>
      </c>
      <c r="E80" s="3">
        <v>89</v>
      </c>
      <c r="F80" s="3" t="str">
        <f>HYPERLINK("https://www.boe.es/gazeta/dias/1834/04/21/pdfs/GMD-1834-60.pdf","Abrir PDF")</f>
        <v>Abrir PDF</v>
      </c>
    </row>
    <row r="81" spans="1:6" ht="31.95" customHeight="1">
      <c r="A81" s="6" t="s">
        <v>8279</v>
      </c>
      <c r="B81" s="2" t="s">
        <v>8280</v>
      </c>
      <c r="C81" s="2" t="s">
        <v>38012</v>
      </c>
      <c r="D81" s="3">
        <v>4</v>
      </c>
      <c r="E81" s="3">
        <v>28</v>
      </c>
      <c r="F81" s="3" t="str">
        <f>HYPERLINK("https://www.boe.es/gazeta/dias/1834/04/22/pdfs/GMD-1834-61.pdf","Abrir PDF")</f>
        <v>Abrir PDF</v>
      </c>
    </row>
    <row r="82" spans="1:6" ht="31.95" customHeight="1">
      <c r="A82" s="6" t="s">
        <v>8279</v>
      </c>
      <c r="B82" s="2" t="s">
        <v>16809</v>
      </c>
      <c r="C82" s="2" t="s">
        <v>38013</v>
      </c>
      <c r="D82" s="3">
        <v>1</v>
      </c>
      <c r="E82" s="3">
        <v>3</v>
      </c>
      <c r="F82" s="3" t="str">
        <f>HYPERLINK("https://www.boe.es/gazeta/dias/1834/04/22/pdfs/GMD-C-1834-61.pdf","Abrir PDF")</f>
        <v>Abrir PDF</v>
      </c>
    </row>
    <row r="83" spans="1:6" ht="31.95" customHeight="1">
      <c r="A83" s="6" t="s">
        <v>32</v>
      </c>
      <c r="B83" s="2" t="s">
        <v>33</v>
      </c>
      <c r="C83" s="2" t="s">
        <v>38014</v>
      </c>
      <c r="D83" s="3">
        <v>6</v>
      </c>
      <c r="E83" s="3">
        <v>121</v>
      </c>
      <c r="F83" s="3" t="str">
        <f>HYPERLINK("https://www.boe.es/gazeta/dias/1834/04/23/pdfs/GMD-1834-62.pdf","Abrir PDF")</f>
        <v>Abrir PDF</v>
      </c>
    </row>
    <row r="84" spans="1:6" ht="31.95" customHeight="1">
      <c r="A84" s="6" t="s">
        <v>32</v>
      </c>
      <c r="B84" s="2" t="s">
        <v>7431</v>
      </c>
      <c r="C84" s="2" t="s">
        <v>38015</v>
      </c>
      <c r="D84" s="3">
        <v>2</v>
      </c>
      <c r="E84" s="3">
        <v>31</v>
      </c>
      <c r="F84" s="3" t="str">
        <f>HYPERLINK("https://www.boe.es/gazeta/dias/1834/04/23/pdfs/GMD-C-1834-62.pdf","Abrir PDF")</f>
        <v>Abrir PDF</v>
      </c>
    </row>
    <row r="85" spans="1:6" ht="31.95" customHeight="1">
      <c r="A85" s="6" t="s">
        <v>833</v>
      </c>
      <c r="B85" s="2" t="s">
        <v>834</v>
      </c>
      <c r="C85" s="2" t="s">
        <v>38016</v>
      </c>
      <c r="D85" s="3">
        <v>4</v>
      </c>
      <c r="E85" s="3">
        <v>37</v>
      </c>
      <c r="F85" s="3" t="str">
        <f>HYPERLINK("https://www.boe.es/gazeta/dias/1834/04/24/pdfs/GMD-1834-63.pdf","Abrir PDF")</f>
        <v>Abrir PDF</v>
      </c>
    </row>
    <row r="86" spans="1:6" ht="31.95" customHeight="1">
      <c r="A86" s="6" t="s">
        <v>724</v>
      </c>
      <c r="B86" s="2" t="s">
        <v>725</v>
      </c>
      <c r="C86" s="2" t="s">
        <v>38017</v>
      </c>
      <c r="D86" s="3">
        <v>6</v>
      </c>
      <c r="E86" s="3">
        <v>78</v>
      </c>
      <c r="F86" s="3" t="str">
        <f>HYPERLINK("https://www.boe.es/gazeta/dias/1834/04/25/pdfs/GMD-1834-64.pdf","Abrir PDF")</f>
        <v>Abrir PDF</v>
      </c>
    </row>
    <row r="87" spans="1:6" ht="31.95" customHeight="1">
      <c r="A87" s="6" t="s">
        <v>2306</v>
      </c>
      <c r="B87" s="2" t="s">
        <v>2307</v>
      </c>
      <c r="C87" s="2" t="s">
        <v>38018</v>
      </c>
      <c r="D87" s="3">
        <v>4</v>
      </c>
      <c r="E87" s="3">
        <v>39</v>
      </c>
      <c r="F87" s="3" t="str">
        <f>HYPERLINK("https://www.boe.es/gazeta/dias/1834/04/26/pdfs/GMD-1834-65.pdf","Abrir PDF")</f>
        <v>Abrir PDF</v>
      </c>
    </row>
    <row r="88" spans="1:6" ht="31.95" customHeight="1">
      <c r="A88" s="6" t="s">
        <v>513</v>
      </c>
      <c r="B88" s="2" t="s">
        <v>514</v>
      </c>
      <c r="C88" s="2" t="s">
        <v>38019</v>
      </c>
      <c r="D88" s="3">
        <v>6</v>
      </c>
      <c r="E88" s="3">
        <v>59</v>
      </c>
      <c r="F88" s="3" t="str">
        <f>HYPERLINK("https://www.boe.es/gazeta/dias/1834/04/27/pdfs/GMD-1834-66.pdf","Abrir PDF")</f>
        <v>Abrir PDF</v>
      </c>
    </row>
    <row r="89" spans="1:6" ht="31.95" customHeight="1">
      <c r="A89" s="6" t="s">
        <v>408</v>
      </c>
      <c r="B89" s="2" t="s">
        <v>409</v>
      </c>
      <c r="C89" s="2" t="s">
        <v>38020</v>
      </c>
      <c r="D89" s="3">
        <v>4</v>
      </c>
      <c r="E89" s="3">
        <v>53</v>
      </c>
      <c r="F89" s="3" t="str">
        <f>HYPERLINK("https://www.boe.es/gazeta/dias/1834/04/28/pdfs/GMD-1834-67.pdf","Abrir PDF")</f>
        <v>Abrir PDF</v>
      </c>
    </row>
    <row r="90" spans="1:6" ht="31.95" customHeight="1">
      <c r="A90" s="6" t="s">
        <v>719</v>
      </c>
      <c r="B90" s="2" t="s">
        <v>720</v>
      </c>
      <c r="C90" s="2" t="s">
        <v>38021</v>
      </c>
      <c r="D90" s="3">
        <v>4</v>
      </c>
      <c r="E90" s="3">
        <v>43</v>
      </c>
      <c r="F90" s="3" t="str">
        <f>HYPERLINK("https://www.boe.es/gazeta/dias/1834/04/29/pdfs/GMD-1834-68.pdf","Abrir PDF")</f>
        <v>Abrir PDF</v>
      </c>
    </row>
    <row r="91" spans="1:6" ht="31.95" customHeight="1">
      <c r="A91" s="6" t="s">
        <v>1141</v>
      </c>
      <c r="B91" s="2" t="s">
        <v>1142</v>
      </c>
      <c r="C91" s="2" t="s">
        <v>38022</v>
      </c>
      <c r="D91" s="3">
        <v>4</v>
      </c>
      <c r="E91" s="3">
        <v>43</v>
      </c>
      <c r="F91" s="3" t="str">
        <f>HYPERLINK("https://www.boe.es/gazeta/dias/1834/04/30/pdfs/GMD-1834-69.pdf","Abrir PDF")</f>
        <v>Abrir PDF</v>
      </c>
    </row>
    <row r="92" spans="1:6" ht="31.95" customHeight="1">
      <c r="A92" s="6" t="s">
        <v>1084</v>
      </c>
      <c r="B92" s="2" t="s">
        <v>1085</v>
      </c>
      <c r="C92" s="2" t="s">
        <v>38023</v>
      </c>
      <c r="D92" s="3">
        <v>6</v>
      </c>
      <c r="E92" s="3">
        <v>99</v>
      </c>
      <c r="F92" s="3" t="str">
        <f>HYPERLINK("https://www.boe.es/gazeta/dias/1834/05/01/pdfs/GMD-1834-70.pdf","Abrir PDF")</f>
        <v>Abrir PDF</v>
      </c>
    </row>
    <row r="93" spans="1:6" ht="31.95" customHeight="1">
      <c r="A93" s="6" t="s">
        <v>339</v>
      </c>
      <c r="B93" s="2" t="s">
        <v>340</v>
      </c>
      <c r="C93" s="2" t="s">
        <v>38024</v>
      </c>
      <c r="D93" s="3">
        <v>4</v>
      </c>
      <c r="E93" s="3">
        <v>95</v>
      </c>
      <c r="F93" s="3" t="str">
        <f>HYPERLINK("https://www.boe.es/gazeta/dias/1834/05/02/pdfs/GMD-1834-71.pdf","Abrir PDF")</f>
        <v>Abrir PDF</v>
      </c>
    </row>
    <row r="94" spans="1:6" ht="31.95" customHeight="1">
      <c r="A94" s="6" t="s">
        <v>4527</v>
      </c>
      <c r="B94" s="2" t="s">
        <v>4528</v>
      </c>
      <c r="C94" s="2" t="s">
        <v>38025</v>
      </c>
      <c r="D94" s="3">
        <v>4</v>
      </c>
      <c r="E94" s="3">
        <v>17</v>
      </c>
      <c r="F94" s="3" t="str">
        <f>HYPERLINK("https://www.boe.es/gazeta/dias/1834/05/03/pdfs/GMD-1834-72.pdf","Abrir PDF")</f>
        <v>Abrir PDF</v>
      </c>
    </row>
    <row r="95" spans="1:6" ht="31.95" customHeight="1">
      <c r="A95" s="6" t="s">
        <v>1955</v>
      </c>
      <c r="B95" s="2" t="s">
        <v>1956</v>
      </c>
      <c r="C95" s="2" t="s">
        <v>38026</v>
      </c>
      <c r="D95" s="3">
        <v>4</v>
      </c>
      <c r="E95" s="3">
        <v>27</v>
      </c>
      <c r="F95" s="3" t="str">
        <f>HYPERLINK("https://www.boe.es/gazeta/dias/1834/05/04/pdfs/GMD-1834-73.pdf","Abrir PDF")</f>
        <v>Abrir PDF</v>
      </c>
    </row>
    <row r="96" spans="1:6" ht="31.95" customHeight="1">
      <c r="A96" s="6" t="s">
        <v>1402</v>
      </c>
      <c r="B96" s="2" t="s">
        <v>1403</v>
      </c>
      <c r="C96" s="2" t="s">
        <v>38027</v>
      </c>
      <c r="D96" s="3">
        <v>6</v>
      </c>
      <c r="E96" s="3">
        <v>84</v>
      </c>
      <c r="F96" s="3" t="str">
        <f>HYPERLINK("https://www.boe.es/gazeta/dias/1834/05/05/pdfs/GMD-1834-74.pdf","Abrir PDF")</f>
        <v>Abrir PDF</v>
      </c>
    </row>
    <row r="97" spans="1:6" ht="31.95" customHeight="1">
      <c r="A97" s="6" t="s">
        <v>1402</v>
      </c>
      <c r="B97" s="2" t="s">
        <v>1403</v>
      </c>
      <c r="C97" s="2" t="s">
        <v>38028</v>
      </c>
      <c r="D97" s="3">
        <v>2</v>
      </c>
      <c r="E97" s="3">
        <v>42</v>
      </c>
      <c r="F97" s="3" t="str">
        <f>HYPERLINK("https://www.boe.es/gazeta/dias/1834/05/05/pdfs/I00347-00348.pdf","Abrir PDF")</f>
        <v>Abrir PDF</v>
      </c>
    </row>
    <row r="98" spans="1:6" ht="31.95" customHeight="1">
      <c r="A98" s="6" t="s">
        <v>734</v>
      </c>
      <c r="B98" s="2" t="s">
        <v>735</v>
      </c>
      <c r="C98" s="2" t="s">
        <v>38029</v>
      </c>
      <c r="D98" s="3">
        <v>4</v>
      </c>
      <c r="E98" s="3">
        <v>35</v>
      </c>
      <c r="F98" s="3" t="str">
        <f>HYPERLINK("https://www.boe.es/gazeta/dias/1834/05/06/pdfs/GMD-1834-75.pdf","Abrir PDF")</f>
        <v>Abrir PDF</v>
      </c>
    </row>
    <row r="99" spans="1:6" ht="31.95" customHeight="1">
      <c r="A99" s="6" t="s">
        <v>3306</v>
      </c>
      <c r="B99" s="2" t="s">
        <v>3307</v>
      </c>
      <c r="C99" s="2" t="s">
        <v>38030</v>
      </c>
      <c r="D99" s="3">
        <v>4</v>
      </c>
      <c r="E99" s="3">
        <v>14</v>
      </c>
      <c r="F99" s="3" t="str">
        <f>HYPERLINK("https://www.boe.es/gazeta/dias/1834/05/07/pdfs/GMD-1834-76.pdf","Abrir PDF")</f>
        <v>Abrir PDF</v>
      </c>
    </row>
    <row r="100" spans="1:6" ht="31.95" customHeight="1">
      <c r="A100" s="6" t="s">
        <v>1505</v>
      </c>
      <c r="B100" s="2" t="s">
        <v>1506</v>
      </c>
      <c r="C100" s="2" t="s">
        <v>38031</v>
      </c>
      <c r="D100" s="3">
        <v>4</v>
      </c>
      <c r="E100" s="3">
        <v>56</v>
      </c>
      <c r="F100" s="3" t="str">
        <f>HYPERLINK("https://www.boe.es/gazeta/dias/1834/05/08/pdfs/GMD-1834-77.pdf","Abrir PDF")</f>
        <v>Abrir PDF</v>
      </c>
    </row>
    <row r="101" spans="1:6" ht="31.95" customHeight="1">
      <c r="A101" s="6" t="s">
        <v>2004</v>
      </c>
      <c r="B101" s="2" t="s">
        <v>2005</v>
      </c>
      <c r="C101" s="2" t="s">
        <v>38032</v>
      </c>
      <c r="D101" s="3">
        <v>4</v>
      </c>
      <c r="E101" s="3">
        <v>20</v>
      </c>
      <c r="F101" s="3" t="str">
        <f>HYPERLINK("https://www.boe.es/gazeta/dias/1834/05/09/pdfs/GMD-1834-78.pdf","Abrir PDF")</f>
        <v>Abrir PDF</v>
      </c>
    </row>
    <row r="102" spans="1:6" ht="31.95" customHeight="1">
      <c r="A102" s="6" t="s">
        <v>1318</v>
      </c>
      <c r="B102" s="2" t="s">
        <v>1319</v>
      </c>
      <c r="C102" s="2" t="s">
        <v>38033</v>
      </c>
      <c r="D102" s="3">
        <v>4</v>
      </c>
      <c r="E102" s="3">
        <v>37</v>
      </c>
      <c r="F102" s="3" t="str">
        <f>HYPERLINK("https://www.boe.es/gazeta/dias/1834/05/10/pdfs/GMD-1834-79.pdf","Abrir PDF")</f>
        <v>Abrir PDF</v>
      </c>
    </row>
    <row r="103" spans="1:6" ht="31.95" customHeight="1">
      <c r="A103" s="6" t="s">
        <v>5435</v>
      </c>
      <c r="B103" s="2" t="s">
        <v>5436</v>
      </c>
      <c r="C103" s="2" t="s">
        <v>38034</v>
      </c>
      <c r="D103" s="3">
        <v>4</v>
      </c>
      <c r="E103" s="3">
        <v>39</v>
      </c>
      <c r="F103" s="3" t="str">
        <f>HYPERLINK("https://www.boe.es/gazeta/dias/1834/05/11/pdfs/GMD-1834-80.pdf","Abrir PDF")</f>
        <v>Abrir PDF</v>
      </c>
    </row>
    <row r="104" spans="1:6" ht="31.95" customHeight="1">
      <c r="A104" s="6" t="s">
        <v>2048</v>
      </c>
      <c r="B104" s="2" t="s">
        <v>2049</v>
      </c>
      <c r="C104" s="2" t="s">
        <v>38035</v>
      </c>
      <c r="D104" s="3">
        <v>4</v>
      </c>
      <c r="E104" s="3">
        <v>37</v>
      </c>
      <c r="F104" s="3" t="str">
        <f>HYPERLINK("https://www.boe.es/gazeta/dias/1834/05/12/pdfs/GMD-1834-81.pdf","Abrir PDF")</f>
        <v>Abrir PDF</v>
      </c>
    </row>
    <row r="105" spans="1:6" ht="31.95" customHeight="1">
      <c r="A105" s="6" t="s">
        <v>1438</v>
      </c>
      <c r="B105" s="2" t="s">
        <v>1439</v>
      </c>
      <c r="C105" s="2" t="s">
        <v>38036</v>
      </c>
      <c r="D105" s="3">
        <v>4</v>
      </c>
      <c r="E105" s="3">
        <v>40</v>
      </c>
      <c r="F105" s="3" t="str">
        <f>HYPERLINK("https://www.boe.es/gazeta/dias/1834/05/13/pdfs/GMD-1834-82.pdf","Abrir PDF")</f>
        <v>Abrir PDF</v>
      </c>
    </row>
    <row r="106" spans="1:6" ht="31.95" customHeight="1">
      <c r="A106" s="6" t="s">
        <v>1273</v>
      </c>
      <c r="B106" s="2" t="s">
        <v>1274</v>
      </c>
      <c r="C106" s="2" t="s">
        <v>38037</v>
      </c>
      <c r="D106" s="3">
        <v>4</v>
      </c>
      <c r="E106" s="3">
        <v>35</v>
      </c>
      <c r="F106" s="3" t="str">
        <f>HYPERLINK("https://www.boe.es/gazeta/dias/1834/05/14/pdfs/GMD-1834-83.pdf","Abrir PDF")</f>
        <v>Abrir PDF</v>
      </c>
    </row>
    <row r="107" spans="1:6" ht="31.95" customHeight="1">
      <c r="A107" s="6" t="s">
        <v>1234</v>
      </c>
      <c r="B107" s="2" t="s">
        <v>1455</v>
      </c>
      <c r="C107" s="2" t="s">
        <v>38038</v>
      </c>
      <c r="D107" s="3">
        <v>4</v>
      </c>
      <c r="E107" s="3">
        <v>73</v>
      </c>
      <c r="F107" s="3" t="str">
        <f>HYPERLINK("https://www.boe.es/gazeta/dias/1834/05/15/pdfs/GMD-1834-84.pdf","Abrir PDF")</f>
        <v>Abrir PDF</v>
      </c>
    </row>
    <row r="108" spans="1:6" ht="31.95" customHeight="1">
      <c r="A108" s="6" t="s">
        <v>1234</v>
      </c>
      <c r="B108" s="2" t="s">
        <v>1235</v>
      </c>
      <c r="C108" s="2" t="s">
        <v>38039</v>
      </c>
      <c r="D108" s="3">
        <v>1</v>
      </c>
      <c r="E108" s="3">
        <v>42</v>
      </c>
      <c r="F108" s="3" t="str">
        <f>HYPERLINK("https://www.boe.es/gazeta/dias/1834/05/15/pdfs/GMD-C-1834-84.pdf","Abrir PDF")</f>
        <v>Abrir PDF</v>
      </c>
    </row>
    <row r="109" spans="1:6" ht="31.95" customHeight="1">
      <c r="A109" s="6" t="s">
        <v>1116</v>
      </c>
      <c r="B109" s="2" t="s">
        <v>1117</v>
      </c>
      <c r="C109" s="2" t="s">
        <v>38040</v>
      </c>
      <c r="D109" s="3">
        <v>4</v>
      </c>
      <c r="E109" s="3">
        <v>42</v>
      </c>
      <c r="F109" s="3" t="str">
        <f>HYPERLINK("https://www.boe.es/gazeta/dias/1834/05/16/pdfs/GMD-1834-85.pdf","Abrir PDF")</f>
        <v>Abrir PDF</v>
      </c>
    </row>
    <row r="110" spans="1:6" ht="31.95" customHeight="1">
      <c r="A110" s="6" t="s">
        <v>138</v>
      </c>
      <c r="B110" s="2" t="s">
        <v>139</v>
      </c>
      <c r="C110" s="2" t="s">
        <v>38041</v>
      </c>
      <c r="D110" s="3">
        <v>4</v>
      </c>
      <c r="E110" s="3">
        <v>54</v>
      </c>
      <c r="F110" s="3" t="str">
        <f>HYPERLINK("https://www.boe.es/gazeta/dias/1834/05/17/pdfs/GMD-1834-86.pdf","Abrir PDF")</f>
        <v>Abrir PDF</v>
      </c>
    </row>
    <row r="111" spans="1:6" ht="31.95" customHeight="1">
      <c r="A111" s="6" t="s">
        <v>1517</v>
      </c>
      <c r="B111" s="2" t="s">
        <v>1518</v>
      </c>
      <c r="C111" s="2" t="s">
        <v>38042</v>
      </c>
      <c r="D111" s="3">
        <v>4</v>
      </c>
      <c r="E111" s="3">
        <v>29</v>
      </c>
      <c r="F111" s="3" t="str">
        <f>HYPERLINK("https://www.boe.es/gazeta/dias/1834/05/18/pdfs/GMD-1834-87.pdf","Abrir PDF")</f>
        <v>Abrir PDF</v>
      </c>
    </row>
    <row r="112" spans="1:6" ht="31.95" customHeight="1">
      <c r="A112" s="6" t="s">
        <v>367</v>
      </c>
      <c r="B112" s="2" t="s">
        <v>368</v>
      </c>
      <c r="C112" s="2" t="s">
        <v>38043</v>
      </c>
      <c r="D112" s="3">
        <v>4</v>
      </c>
      <c r="E112" s="3">
        <v>36</v>
      </c>
      <c r="F112" s="3" t="str">
        <f>HYPERLINK("https://www.boe.es/gazeta/dias/1834/05/19/pdfs/GMD-1834-88.pdf","Abrir PDF")</f>
        <v>Abrir PDF</v>
      </c>
    </row>
    <row r="113" spans="1:6" ht="31.95" customHeight="1">
      <c r="A113" s="6" t="s">
        <v>2950</v>
      </c>
      <c r="B113" s="2" t="s">
        <v>2951</v>
      </c>
      <c r="C113" s="2" t="s">
        <v>38044</v>
      </c>
      <c r="D113" s="3">
        <v>4</v>
      </c>
      <c r="E113" s="3">
        <v>28</v>
      </c>
      <c r="F113" s="3" t="str">
        <f>HYPERLINK("https://www.boe.es/gazeta/dias/1834/05/20/pdfs/GMD-1834-89.pdf","Abrir PDF")</f>
        <v>Abrir PDF</v>
      </c>
    </row>
    <row r="114" spans="1:6" ht="31.95" customHeight="1">
      <c r="A114" s="6" t="s">
        <v>535</v>
      </c>
      <c r="B114" s="2" t="s">
        <v>536</v>
      </c>
      <c r="C114" s="2" t="s">
        <v>38045</v>
      </c>
      <c r="D114" s="3">
        <v>4</v>
      </c>
      <c r="E114" s="3">
        <v>39</v>
      </c>
      <c r="F114" s="3" t="str">
        <f>HYPERLINK("https://www.boe.es/gazeta/dias/1834/05/21/pdfs/GMD-1834-90.pdf","Abrir PDF")</f>
        <v>Abrir PDF</v>
      </c>
    </row>
    <row r="115" spans="1:6" ht="31.95" customHeight="1">
      <c r="A115" s="6" t="s">
        <v>1323</v>
      </c>
      <c r="B115" s="2" t="s">
        <v>1324</v>
      </c>
      <c r="C115" s="2" t="s">
        <v>38046</v>
      </c>
      <c r="D115" s="3">
        <v>4</v>
      </c>
      <c r="E115" s="3">
        <v>41</v>
      </c>
      <c r="F115" s="3" t="str">
        <f>HYPERLINK("https://www.boe.es/gazeta/dias/1834/05/22/pdfs/GMD-1834-91.pdf","Abrir PDF")</f>
        <v>Abrir PDF</v>
      </c>
    </row>
    <row r="116" spans="1:6" ht="31.95" customHeight="1">
      <c r="A116" s="6" t="s">
        <v>5885</v>
      </c>
      <c r="B116" s="2" t="s">
        <v>5886</v>
      </c>
      <c r="C116" s="2" t="s">
        <v>38047</v>
      </c>
      <c r="D116" s="3">
        <v>4</v>
      </c>
      <c r="E116" s="3">
        <v>24</v>
      </c>
      <c r="F116" s="3" t="str">
        <f>HYPERLINK("https://www.boe.es/gazeta/dias/1834/05/23/pdfs/GMD-1834-92.pdf","Abrir PDF")</f>
        <v>Abrir PDF</v>
      </c>
    </row>
    <row r="117" spans="1:6" ht="31.95" customHeight="1">
      <c r="A117" s="6" t="s">
        <v>1212</v>
      </c>
      <c r="B117" s="2" t="s">
        <v>1213</v>
      </c>
      <c r="C117" s="2" t="s">
        <v>38048</v>
      </c>
      <c r="D117" s="3">
        <v>4</v>
      </c>
      <c r="E117" s="3">
        <v>64</v>
      </c>
      <c r="F117" s="3" t="str">
        <f>HYPERLINK("https://www.boe.es/gazeta/dias/1834/05/24/pdfs/GMD-1834-93.pdf","Abrir PDF")</f>
        <v>Abrir PDF</v>
      </c>
    </row>
    <row r="118" spans="1:6" ht="31.95" customHeight="1">
      <c r="A118" s="6" t="s">
        <v>3025</v>
      </c>
      <c r="B118" s="2" t="s">
        <v>3026</v>
      </c>
      <c r="C118" s="2" t="s">
        <v>38049</v>
      </c>
      <c r="D118" s="3">
        <v>6</v>
      </c>
      <c r="E118" s="3">
        <v>46</v>
      </c>
      <c r="F118" s="3" t="str">
        <f>HYPERLINK("https://www.boe.es/gazeta/dias/1834/05/25/pdfs/GMD-1834-94.pdf","Abrir PDF")</f>
        <v>Abrir PDF</v>
      </c>
    </row>
    <row r="119" spans="1:6" ht="31.95" customHeight="1">
      <c r="A119" s="6" t="s">
        <v>658</v>
      </c>
      <c r="B119" s="2" t="s">
        <v>2167</v>
      </c>
      <c r="C119" s="2" t="s">
        <v>38050</v>
      </c>
      <c r="D119" s="3">
        <v>1</v>
      </c>
      <c r="E119" s="3">
        <v>11</v>
      </c>
      <c r="F119" s="3" t="str">
        <f>HYPERLINK("https://www.boe.es/gazeta/dias/1834/05/26/pdfs/C00001-00001.pdf","Abrir PDF")</f>
        <v>Abrir PDF</v>
      </c>
    </row>
    <row r="120" spans="1:6" ht="31.95" customHeight="1">
      <c r="A120" s="6" t="s">
        <v>658</v>
      </c>
      <c r="B120" s="2" t="s">
        <v>659</v>
      </c>
      <c r="C120" s="2" t="s">
        <v>38051</v>
      </c>
      <c r="D120" s="3">
        <v>4</v>
      </c>
      <c r="E120" s="3">
        <v>30</v>
      </c>
      <c r="F120" s="3" t="str">
        <f>HYPERLINK("https://www.boe.es/gazeta/dias/1834/05/26/pdfs/GMD-1834-95.pdf","Abrir PDF")</f>
        <v>Abrir PDF</v>
      </c>
    </row>
    <row r="121" spans="1:6" ht="31.95" customHeight="1">
      <c r="A121" s="6" t="s">
        <v>371</v>
      </c>
      <c r="B121" s="2" t="s">
        <v>372</v>
      </c>
      <c r="C121" s="2" t="s">
        <v>38052</v>
      </c>
      <c r="D121" s="3">
        <v>4</v>
      </c>
      <c r="E121" s="3">
        <v>29</v>
      </c>
      <c r="F121" s="3" t="str">
        <f>HYPERLINK("https://www.boe.es/gazeta/dias/1834/05/27/pdfs/GMD-1834-96.pdf","Abrir PDF")</f>
        <v>Abrir PDF</v>
      </c>
    </row>
    <row r="122" spans="1:6" ht="31.95" customHeight="1">
      <c r="A122" s="6" t="s">
        <v>870</v>
      </c>
      <c r="B122" s="2" t="s">
        <v>871</v>
      </c>
      <c r="C122" s="2" t="s">
        <v>38053</v>
      </c>
      <c r="D122" s="3">
        <v>4</v>
      </c>
      <c r="E122" s="3">
        <v>23</v>
      </c>
      <c r="F122" s="3" t="str">
        <f>HYPERLINK("https://www.boe.es/gazeta/dias/1834/05/28/pdfs/GMD-1834-97.pdf","Abrir PDF")</f>
        <v>Abrir PDF</v>
      </c>
    </row>
    <row r="123" spans="1:6" ht="31.95" customHeight="1">
      <c r="A123" s="6" t="s">
        <v>2945</v>
      </c>
      <c r="B123" s="2" t="s">
        <v>2946</v>
      </c>
      <c r="C123" s="2" t="s">
        <v>38054</v>
      </c>
      <c r="D123" s="3">
        <v>4</v>
      </c>
      <c r="E123" s="3">
        <v>48</v>
      </c>
      <c r="F123" s="3" t="str">
        <f>HYPERLINK("https://www.boe.es/gazeta/dias/1834/05/29/pdfs/GMD-1834-98.pdf","Abrir PDF")</f>
        <v>Abrir PDF</v>
      </c>
    </row>
    <row r="124" spans="1:6" ht="31.95" customHeight="1">
      <c r="A124" s="6" t="s">
        <v>309</v>
      </c>
      <c r="B124" s="2" t="s">
        <v>310</v>
      </c>
      <c r="C124" s="2" t="s">
        <v>38055</v>
      </c>
      <c r="D124" s="3">
        <v>4</v>
      </c>
      <c r="E124" s="3">
        <v>58</v>
      </c>
      <c r="F124" s="3" t="str">
        <f>HYPERLINK("https://www.boe.es/gazeta/dias/1834/05/30/pdfs/GMD-1834-99.pdf","Abrir PDF")</f>
        <v>Abrir PDF</v>
      </c>
    </row>
    <row r="125" spans="1:6" ht="31.95" customHeight="1">
      <c r="A125" s="6" t="s">
        <v>1789</v>
      </c>
      <c r="B125" s="2" t="s">
        <v>1790</v>
      </c>
      <c r="C125" s="2" t="s">
        <v>38056</v>
      </c>
      <c r="D125" s="3">
        <v>4</v>
      </c>
      <c r="E125" s="3">
        <v>31</v>
      </c>
      <c r="F125" s="3" t="str">
        <f>HYPERLINK("https://www.boe.es/gazeta/dias/1834/05/31/pdfs/GMD-1834-100.pdf","Abrir PDF")</f>
        <v>Abrir PDF</v>
      </c>
    </row>
    <row r="126" spans="1:6" ht="31.95" customHeight="1">
      <c r="A126" s="6" t="s">
        <v>1789</v>
      </c>
      <c r="B126" s="2" t="s">
        <v>31513</v>
      </c>
      <c r="C126" s="2" t="s">
        <v>38057</v>
      </c>
      <c r="D126" s="3">
        <v>1</v>
      </c>
      <c r="E126" s="3">
        <v>4</v>
      </c>
      <c r="F126" s="3" t="str">
        <f>HYPERLINK("https://www.boe.es/gazeta/dias/1834/05/31/pdfs/GMD-1834-101E.pdf","Abrir PDF")</f>
        <v>Abrir PDF</v>
      </c>
    </row>
    <row r="127" spans="1:6" ht="31.95" customHeight="1">
      <c r="A127" s="6" t="s">
        <v>594</v>
      </c>
      <c r="B127" s="2" t="s">
        <v>595</v>
      </c>
      <c r="C127" s="2" t="s">
        <v>38058</v>
      </c>
      <c r="D127" s="3">
        <v>4</v>
      </c>
      <c r="E127" s="3">
        <v>23</v>
      </c>
      <c r="F127" s="3" t="str">
        <f>HYPERLINK("https://www.boe.es/gazeta/dias/1834/06/01/pdfs/GMD-1834-102.pdf","Abrir PDF")</f>
        <v>Abrir PDF</v>
      </c>
    </row>
    <row r="128" spans="1:6" ht="31.95" customHeight="1">
      <c r="A128" s="6" t="s">
        <v>2053</v>
      </c>
      <c r="B128" s="2" t="s">
        <v>2054</v>
      </c>
      <c r="C128" s="2" t="s">
        <v>38059</v>
      </c>
      <c r="D128" s="3">
        <v>4</v>
      </c>
      <c r="E128" s="3">
        <v>22</v>
      </c>
      <c r="F128" s="3" t="str">
        <f>HYPERLINK("https://www.boe.es/gazeta/dias/1834/06/02/pdfs/GMD-1834-103.pdf","Abrir PDF")</f>
        <v>Abrir PDF</v>
      </c>
    </row>
    <row r="129" spans="1:6" ht="31.95" customHeight="1">
      <c r="A129" s="6" t="s">
        <v>2053</v>
      </c>
      <c r="B129" s="2" t="s">
        <v>2912</v>
      </c>
      <c r="C129" s="2" t="s">
        <v>38060</v>
      </c>
      <c r="D129" s="3">
        <v>1</v>
      </c>
      <c r="E129" s="3">
        <v>10</v>
      </c>
      <c r="F129" s="3" t="str">
        <f>HYPERLINK("https://www.boe.es/gazeta/dias/1834/06/02/pdfs/GMD-1834-104E.pdf","Abrir PDF")</f>
        <v>Abrir PDF</v>
      </c>
    </row>
    <row r="130" spans="1:6" ht="31.95" customHeight="1">
      <c r="A130" s="6" t="s">
        <v>637</v>
      </c>
      <c r="B130" s="2" t="s">
        <v>638</v>
      </c>
      <c r="C130" s="2" t="s">
        <v>38061</v>
      </c>
      <c r="D130" s="3">
        <v>4</v>
      </c>
      <c r="E130" s="3">
        <v>26</v>
      </c>
      <c r="F130" s="3" t="str">
        <f>HYPERLINK("https://www.boe.es/gazeta/dias/1834/06/03/pdfs/GMD-1834-105.pdf","Abrir PDF")</f>
        <v>Abrir PDF</v>
      </c>
    </row>
    <row r="131" spans="1:6" ht="31.95" customHeight="1">
      <c r="A131" s="6" t="s">
        <v>637</v>
      </c>
      <c r="B131" s="2" t="s">
        <v>638</v>
      </c>
      <c r="C131" s="2" t="s">
        <v>38062</v>
      </c>
      <c r="D131" s="3">
        <v>2</v>
      </c>
      <c r="E131" s="3">
        <v>24</v>
      </c>
      <c r="F131" s="3" t="str">
        <f>HYPERLINK("https://www.boe.es/gazeta/dias/1834/06/03/pdfs/I00469-00470.pdf","Abrir PDF")</f>
        <v>Abrir PDF</v>
      </c>
    </row>
    <row r="132" spans="1:6" ht="31.95" customHeight="1">
      <c r="A132" s="6" t="s">
        <v>3328</v>
      </c>
      <c r="B132" s="2" t="s">
        <v>3329</v>
      </c>
      <c r="C132" s="2" t="s">
        <v>38063</v>
      </c>
      <c r="D132" s="3">
        <v>4</v>
      </c>
      <c r="E132" s="3">
        <v>50</v>
      </c>
      <c r="F132" s="3" t="str">
        <f>HYPERLINK("https://www.boe.es/gazeta/dias/1834/06/04/pdfs/GMD-1834-106.pdf","Abrir PDF")</f>
        <v>Abrir PDF</v>
      </c>
    </row>
    <row r="133" spans="1:6" ht="31.95" customHeight="1">
      <c r="A133" s="6" t="s">
        <v>4814</v>
      </c>
      <c r="B133" s="2" t="s">
        <v>4815</v>
      </c>
      <c r="C133" s="2" t="s">
        <v>38064</v>
      </c>
      <c r="D133" s="3">
        <v>4</v>
      </c>
      <c r="E133" s="3">
        <v>23</v>
      </c>
      <c r="F133" s="3" t="str">
        <f>HYPERLINK("https://www.boe.es/gazeta/dias/1834/06/05/pdfs/GMD-1834-107.pdf","Abrir PDF")</f>
        <v>Abrir PDF</v>
      </c>
    </row>
    <row r="134" spans="1:6" ht="31.95" customHeight="1">
      <c r="A134" s="6" t="s">
        <v>1556</v>
      </c>
      <c r="B134" s="2" t="s">
        <v>1557</v>
      </c>
      <c r="C134" s="2" t="s">
        <v>38065</v>
      </c>
      <c r="D134" s="3">
        <v>4</v>
      </c>
      <c r="E134" s="3">
        <v>51</v>
      </c>
      <c r="F134" s="3" t="str">
        <f>HYPERLINK("https://www.boe.es/gazeta/dias/1834/06/06/pdfs/GMD-1834-108.pdf","Abrir PDF")</f>
        <v>Abrir PDF</v>
      </c>
    </row>
    <row r="135" spans="1:6" ht="31.95" customHeight="1">
      <c r="A135" s="6" t="s">
        <v>84</v>
      </c>
      <c r="B135" s="2" t="s">
        <v>1223</v>
      </c>
      <c r="C135" s="2" t="s">
        <v>38066</v>
      </c>
      <c r="D135" s="3">
        <v>4</v>
      </c>
      <c r="E135" s="3">
        <v>56</v>
      </c>
      <c r="F135" s="3" t="str">
        <f>HYPERLINK("https://www.boe.es/gazeta/dias/1834/06/07/pdfs/GMD-1834-109.pdf","Abrir PDF")</f>
        <v>Abrir PDF</v>
      </c>
    </row>
    <row r="136" spans="1:6" ht="31.95" customHeight="1">
      <c r="A136" s="6" t="s">
        <v>84</v>
      </c>
      <c r="B136" s="2" t="s">
        <v>85</v>
      </c>
      <c r="C136" s="2" t="s">
        <v>38067</v>
      </c>
      <c r="D136" s="3">
        <v>2</v>
      </c>
      <c r="E136" s="3">
        <v>27</v>
      </c>
      <c r="F136" s="3" t="str">
        <f>HYPERLINK("https://www.boe.es/gazeta/dias/1834/06/07/pdfs/GMD-C-1834-109.pdf","Abrir PDF")</f>
        <v>Abrir PDF</v>
      </c>
    </row>
    <row r="137" spans="1:6" ht="31.95" customHeight="1">
      <c r="A137" s="6" t="s">
        <v>61</v>
      </c>
      <c r="B137" s="2" t="s">
        <v>205</v>
      </c>
      <c r="C137" s="2" t="s">
        <v>38068</v>
      </c>
      <c r="D137" s="3">
        <v>4</v>
      </c>
      <c r="E137" s="3">
        <v>91</v>
      </c>
      <c r="F137" s="3" t="str">
        <f>HYPERLINK("https://www.boe.es/gazeta/dias/1834/06/08/pdfs/GMD-1834-110.pdf","Abrir PDF")</f>
        <v>Abrir PDF</v>
      </c>
    </row>
    <row r="138" spans="1:6" ht="31.95" customHeight="1">
      <c r="A138" s="6" t="s">
        <v>61</v>
      </c>
      <c r="B138" s="2" t="s">
        <v>62</v>
      </c>
      <c r="C138" s="2" t="s">
        <v>38069</v>
      </c>
      <c r="D138" s="3">
        <v>1</v>
      </c>
      <c r="E138" s="3">
        <v>20</v>
      </c>
      <c r="F138" s="3" t="str">
        <f>HYPERLINK("https://www.boe.es/gazeta/dias/1834/06/08/pdfs/GMD-1834-111E.pdf","Abrir PDF")</f>
        <v>Abrir PDF</v>
      </c>
    </row>
    <row r="139" spans="1:6" ht="31.95" customHeight="1">
      <c r="A139" s="6" t="s">
        <v>2124</v>
      </c>
      <c r="B139" s="2" t="s">
        <v>2125</v>
      </c>
      <c r="C139" s="2" t="s">
        <v>38070</v>
      </c>
      <c r="D139" s="3">
        <v>4</v>
      </c>
      <c r="E139" s="3">
        <v>33</v>
      </c>
      <c r="F139" s="3" t="str">
        <f>HYPERLINK("https://www.boe.es/gazeta/dias/1834/06/09/pdfs/GMD-1834-112.pdf","Abrir PDF")</f>
        <v>Abrir PDF</v>
      </c>
    </row>
    <row r="140" spans="1:6" ht="31.95" customHeight="1">
      <c r="A140" s="6" t="s">
        <v>939</v>
      </c>
      <c r="B140" s="2" t="s">
        <v>940</v>
      </c>
      <c r="C140" s="2" t="s">
        <v>38071</v>
      </c>
      <c r="D140" s="3">
        <v>4</v>
      </c>
      <c r="E140" s="3">
        <v>43</v>
      </c>
      <c r="F140" s="3" t="str">
        <f>HYPERLINK("https://www.boe.es/gazeta/dias/1834/06/10/pdfs/GMD-1834-113.pdf","Abrir PDF")</f>
        <v>Abrir PDF</v>
      </c>
    </row>
    <row r="141" spans="1:6" ht="31.95" customHeight="1">
      <c r="A141" s="6" t="s">
        <v>41</v>
      </c>
      <c r="B141" s="2" t="s">
        <v>42</v>
      </c>
      <c r="C141" s="2" t="s">
        <v>38072</v>
      </c>
      <c r="D141" s="3">
        <v>4</v>
      </c>
      <c r="E141" s="3">
        <v>40</v>
      </c>
      <c r="F141" s="3" t="str">
        <f>HYPERLINK("https://www.boe.es/gazeta/dias/1834/06/11/pdfs/GMD-1834-114.pdf","Abrir PDF")</f>
        <v>Abrir PDF</v>
      </c>
    </row>
    <row r="142" spans="1:6" ht="31.95" customHeight="1">
      <c r="A142" s="6" t="s">
        <v>348</v>
      </c>
      <c r="B142" s="2" t="s">
        <v>501</v>
      </c>
      <c r="C142" s="2" t="s">
        <v>38073</v>
      </c>
      <c r="D142" s="3">
        <v>4</v>
      </c>
      <c r="E142" s="3">
        <v>70</v>
      </c>
      <c r="F142" s="3" t="str">
        <f>HYPERLINK("https://www.boe.es/gazeta/dias/1834/06/12/pdfs/GMD-1834-115.pdf","Abrir PDF")</f>
        <v>Abrir PDF</v>
      </c>
    </row>
    <row r="143" spans="1:6" ht="31.95" customHeight="1">
      <c r="A143" s="6" t="s">
        <v>348</v>
      </c>
      <c r="B143" s="2" t="s">
        <v>349</v>
      </c>
      <c r="C143" s="2" t="s">
        <v>38074</v>
      </c>
      <c r="D143" s="3">
        <v>1</v>
      </c>
      <c r="E143" s="3">
        <v>12</v>
      </c>
      <c r="F143" s="3" t="str">
        <f>HYPERLINK("https://www.boe.es/gazeta/dias/1834/06/12/pdfs/GMD-C-1834-115.pdf","Abrir PDF")</f>
        <v>Abrir PDF</v>
      </c>
    </row>
    <row r="144" spans="1:6" ht="31.95" customHeight="1">
      <c r="A144" s="6" t="s">
        <v>1510</v>
      </c>
      <c r="B144" s="2" t="s">
        <v>1511</v>
      </c>
      <c r="C144" s="2" t="s">
        <v>38075</v>
      </c>
      <c r="D144" s="3">
        <v>4</v>
      </c>
      <c r="E144" s="3">
        <v>24</v>
      </c>
      <c r="F144" s="3" t="str">
        <f>HYPERLINK("https://www.boe.es/gazeta/dias/1834/06/13/pdfs/GMD-1834-116.pdf","Abrir PDF")</f>
        <v>Abrir PDF</v>
      </c>
    </row>
    <row r="145" spans="1:6" ht="31.95" customHeight="1">
      <c r="A145" s="6" t="s">
        <v>3057</v>
      </c>
      <c r="B145" s="2" t="s">
        <v>3058</v>
      </c>
      <c r="C145" s="2" t="s">
        <v>38076</v>
      </c>
      <c r="D145" s="3">
        <v>4</v>
      </c>
      <c r="E145" s="3">
        <v>22</v>
      </c>
      <c r="F145" s="3" t="str">
        <f>HYPERLINK("https://www.boe.es/gazeta/dias/1834/06/14/pdfs/GMD-1834-117.pdf","Abrir PDF")</f>
        <v>Abrir PDF</v>
      </c>
    </row>
    <row r="146" spans="1:6" ht="31.95" customHeight="1">
      <c r="A146" s="6" t="s">
        <v>10172</v>
      </c>
      <c r="B146" s="2" t="s">
        <v>10173</v>
      </c>
      <c r="C146" s="2" t="s">
        <v>38077</v>
      </c>
      <c r="D146" s="3">
        <v>4</v>
      </c>
      <c r="E146" s="3">
        <v>14</v>
      </c>
      <c r="F146" s="3" t="str">
        <f>HYPERLINK("https://www.boe.es/gazeta/dias/1834/06/15/pdfs/GMD-1834-118.pdf","Abrir PDF")</f>
        <v>Abrir PDF</v>
      </c>
    </row>
    <row r="147" spans="1:6" ht="31.95" customHeight="1">
      <c r="A147" s="6" t="s">
        <v>5574</v>
      </c>
      <c r="B147" s="2" t="s">
        <v>5575</v>
      </c>
      <c r="C147" s="2" t="s">
        <v>38078</v>
      </c>
      <c r="D147" s="3">
        <v>4</v>
      </c>
      <c r="E147" s="3">
        <v>34</v>
      </c>
      <c r="F147" s="3" t="str">
        <f>HYPERLINK("https://www.boe.es/gazeta/dias/1834/06/16/pdfs/GMD-1834-119.pdf","Abrir PDF")</f>
        <v>Abrir PDF</v>
      </c>
    </row>
    <row r="148" spans="1:6" ht="31.95" customHeight="1">
      <c r="A148" s="6" t="s">
        <v>4237</v>
      </c>
      <c r="B148" s="2" t="s">
        <v>4238</v>
      </c>
      <c r="C148" s="2" t="s">
        <v>38079</v>
      </c>
      <c r="D148" s="3">
        <v>4</v>
      </c>
      <c r="E148" s="3">
        <v>22</v>
      </c>
      <c r="F148" s="3" t="str">
        <f>HYPERLINK("https://www.boe.es/gazeta/dias/1834/06/17/pdfs/GMD-1834-120.pdf","Abrir PDF")</f>
        <v>Abrir PDF</v>
      </c>
    </row>
    <row r="149" spans="1:6" ht="31.95" customHeight="1">
      <c r="A149" s="6" t="s">
        <v>133</v>
      </c>
      <c r="B149" s="2" t="s">
        <v>134</v>
      </c>
      <c r="C149" s="2" t="s">
        <v>38080</v>
      </c>
      <c r="D149" s="3">
        <v>4</v>
      </c>
      <c r="E149" s="3">
        <v>90</v>
      </c>
      <c r="F149" s="3" t="str">
        <f>HYPERLINK("https://www.boe.es/gazeta/dias/1834/06/18/pdfs/GMD-1834-121.pdf","Abrir PDF")</f>
        <v>Abrir PDF</v>
      </c>
    </row>
    <row r="150" spans="1:6" ht="31.95" customHeight="1">
      <c r="A150" s="6" t="s">
        <v>1669</v>
      </c>
      <c r="B150" s="2" t="s">
        <v>1670</v>
      </c>
      <c r="C150" s="2" t="s">
        <v>38081</v>
      </c>
      <c r="D150" s="3">
        <v>4</v>
      </c>
      <c r="E150" s="3">
        <v>26</v>
      </c>
      <c r="F150" s="3" t="str">
        <f>HYPERLINK("https://www.boe.es/gazeta/dias/1834/06/19/pdfs/GMD-1834-122.pdf","Abrir PDF")</f>
        <v>Abrir PDF</v>
      </c>
    </row>
    <row r="151" spans="1:6" ht="31.95" customHeight="1">
      <c r="A151" s="6" t="s">
        <v>1365</v>
      </c>
      <c r="B151" s="2" t="s">
        <v>1366</v>
      </c>
      <c r="C151" s="2" t="s">
        <v>38082</v>
      </c>
      <c r="D151" s="3">
        <v>4</v>
      </c>
      <c r="E151" s="3">
        <v>17</v>
      </c>
      <c r="F151" s="3" t="str">
        <f>HYPERLINK("https://www.boe.es/gazeta/dias/1834/06/20/pdfs/GMD-1834-123.pdf","Abrir PDF")</f>
        <v>Abrir PDF</v>
      </c>
    </row>
    <row r="152" spans="1:6" ht="31.95" customHeight="1">
      <c r="A152" s="6" t="s">
        <v>849</v>
      </c>
      <c r="B152" s="2" t="s">
        <v>850</v>
      </c>
      <c r="C152" s="2" t="s">
        <v>38083</v>
      </c>
      <c r="D152" s="3">
        <v>4</v>
      </c>
      <c r="E152" s="3">
        <v>35</v>
      </c>
      <c r="F152" s="3" t="str">
        <f>HYPERLINK("https://www.boe.es/gazeta/dias/1834/06/21/pdfs/GMD-1834-124.pdf","Abrir PDF")</f>
        <v>Abrir PDF</v>
      </c>
    </row>
    <row r="153" spans="1:6" ht="31.95" customHeight="1">
      <c r="A153" s="6" t="s">
        <v>3488</v>
      </c>
      <c r="B153" s="2" t="s">
        <v>3489</v>
      </c>
      <c r="C153" s="2" t="s">
        <v>38084</v>
      </c>
      <c r="D153" s="3">
        <v>4</v>
      </c>
      <c r="E153" s="3">
        <v>28</v>
      </c>
      <c r="F153" s="3" t="str">
        <f>HYPERLINK("https://www.boe.es/gazeta/dias/1834/06/22/pdfs/GMD-1834-125.pdf","Abrir PDF")</f>
        <v>Abrir PDF</v>
      </c>
    </row>
    <row r="154" spans="1:6" ht="31.95" customHeight="1">
      <c r="A154" s="6" t="s">
        <v>606</v>
      </c>
      <c r="B154" s="2" t="s">
        <v>607</v>
      </c>
      <c r="C154" s="2" t="s">
        <v>38085</v>
      </c>
      <c r="D154" s="3">
        <v>6</v>
      </c>
      <c r="E154" s="3">
        <v>44</v>
      </c>
      <c r="F154" s="3" t="str">
        <f>HYPERLINK("https://www.boe.es/gazeta/dias/1834/06/23/pdfs/GMD-1834-126.pdf","Abrir PDF")</f>
        <v>Abrir PDF</v>
      </c>
    </row>
    <row r="155" spans="1:6" ht="31.95" customHeight="1">
      <c r="A155" s="6" t="s">
        <v>919</v>
      </c>
      <c r="B155" s="2" t="s">
        <v>920</v>
      </c>
      <c r="C155" s="2" t="s">
        <v>38086</v>
      </c>
      <c r="D155" s="3">
        <v>4</v>
      </c>
      <c r="E155" s="3">
        <v>45</v>
      </c>
      <c r="F155" s="3" t="str">
        <f>HYPERLINK("https://www.boe.es/gazeta/dias/1834/06/24/pdfs/GMD-1834-127.pdf","Abrir PDF")</f>
        <v>Abrir PDF</v>
      </c>
    </row>
    <row r="156" spans="1:6" ht="31.95" customHeight="1">
      <c r="A156" s="6" t="s">
        <v>2937</v>
      </c>
      <c r="B156" s="2" t="s">
        <v>2938</v>
      </c>
      <c r="C156" s="2" t="s">
        <v>38087</v>
      </c>
      <c r="D156" s="3">
        <v>4</v>
      </c>
      <c r="E156" s="3">
        <v>21</v>
      </c>
      <c r="F156" s="3" t="str">
        <f>HYPERLINK("https://www.boe.es/gazeta/dias/1834/06/25/pdfs/GMD-1834-128.pdf","Abrir PDF")</f>
        <v>Abrir PDF</v>
      </c>
    </row>
    <row r="157" spans="1:6" ht="31.95" customHeight="1">
      <c r="A157" s="6" t="s">
        <v>1002</v>
      </c>
      <c r="B157" s="2" t="s">
        <v>1003</v>
      </c>
      <c r="C157" s="2" t="s">
        <v>38088</v>
      </c>
      <c r="D157" s="3">
        <v>4</v>
      </c>
      <c r="E157" s="3">
        <v>45</v>
      </c>
      <c r="F157" s="3" t="str">
        <f>HYPERLINK("https://www.boe.es/gazeta/dias/1834/06/26/pdfs/GMD-1834-129.pdf","Abrir PDF")</f>
        <v>Abrir PDF</v>
      </c>
    </row>
    <row r="158" spans="1:6" ht="31.95" customHeight="1">
      <c r="A158" s="6" t="s">
        <v>1002</v>
      </c>
      <c r="B158" s="2" t="s">
        <v>6383</v>
      </c>
      <c r="C158" s="2" t="s">
        <v>38089</v>
      </c>
      <c r="D158" s="3">
        <v>2</v>
      </c>
      <c r="E158" s="3">
        <v>14</v>
      </c>
      <c r="F158" s="3" t="str">
        <f>HYPERLINK("https://www.boe.es/gazeta/dias/1834/06/26/pdfs/GMD-C-1834-129.pdf","Abrir PDF")</f>
        <v>Abrir PDF</v>
      </c>
    </row>
    <row r="159" spans="1:6" ht="31.95" customHeight="1">
      <c r="A159" s="6" t="s">
        <v>1683</v>
      </c>
      <c r="B159" s="2" t="s">
        <v>1684</v>
      </c>
      <c r="C159" s="2" t="s">
        <v>38090</v>
      </c>
      <c r="D159" s="3">
        <v>4</v>
      </c>
      <c r="E159" s="3">
        <v>19</v>
      </c>
      <c r="F159" s="3" t="str">
        <f>HYPERLINK("https://www.boe.es/gazeta/dias/1834/06/27/pdfs/GMD-1834-130.pdf","Abrir PDF")</f>
        <v>Abrir PDF</v>
      </c>
    </row>
    <row r="160" spans="1:6" ht="31.95" customHeight="1">
      <c r="A160" s="6" t="s">
        <v>1773</v>
      </c>
      <c r="B160" s="2" t="s">
        <v>1774</v>
      </c>
      <c r="C160" s="2" t="s">
        <v>38091</v>
      </c>
      <c r="D160" s="3">
        <v>4</v>
      </c>
      <c r="E160" s="3">
        <v>16</v>
      </c>
      <c r="F160" s="3" t="str">
        <f>HYPERLINK("https://www.boe.es/gazeta/dias/1834/06/28/pdfs/GMD-1834-131.pdf","Abrir PDF")</f>
        <v>Abrir PDF</v>
      </c>
    </row>
    <row r="161" spans="1:6" ht="31.95" customHeight="1">
      <c r="A161" s="6" t="s">
        <v>1747</v>
      </c>
      <c r="B161" s="2" t="s">
        <v>1748</v>
      </c>
      <c r="C161" s="2" t="s">
        <v>38092</v>
      </c>
      <c r="D161" s="3">
        <v>4</v>
      </c>
      <c r="E161" s="3">
        <v>34</v>
      </c>
      <c r="F161" s="3" t="str">
        <f>HYPERLINK("https://www.boe.es/gazeta/dias/1834/06/29/pdfs/GMD-1834-132.pdf","Abrir PDF")</f>
        <v>Abrir PDF</v>
      </c>
    </row>
    <row r="162" spans="1:6" ht="31.95" customHeight="1">
      <c r="A162" s="6" t="s">
        <v>1695</v>
      </c>
      <c r="B162" s="2" t="s">
        <v>1696</v>
      </c>
      <c r="C162" s="2" t="s">
        <v>38093</v>
      </c>
      <c r="D162" s="3">
        <v>4</v>
      </c>
      <c r="E162" s="3">
        <v>32</v>
      </c>
      <c r="F162" s="3" t="str">
        <f>HYPERLINK("https://www.boe.es/gazeta/dias/1834/06/30/pdfs/GMD-1834-133.pdf","Abrir PDF")</f>
        <v>Abrir PDF</v>
      </c>
    </row>
    <row r="163" spans="1:6" ht="31.95" customHeight="1">
      <c r="A163" s="6" t="s">
        <v>209</v>
      </c>
      <c r="B163" s="2" t="s">
        <v>210</v>
      </c>
      <c r="C163" s="2" t="s">
        <v>38094</v>
      </c>
      <c r="D163" s="3">
        <v>4</v>
      </c>
      <c r="E163" s="3">
        <v>28</v>
      </c>
      <c r="F163" s="3" t="str">
        <f>HYPERLINK("https://www.boe.es/gazeta/dias/1834/07/01/pdfs/GMD-1834-134.pdf","Abrir PDF")</f>
        <v>Abrir PDF</v>
      </c>
    </row>
    <row r="164" spans="1:6" ht="31.95" customHeight="1">
      <c r="A164" s="6" t="s">
        <v>2729</v>
      </c>
      <c r="B164" s="2" t="s">
        <v>2730</v>
      </c>
      <c r="C164" s="2" t="s">
        <v>38095</v>
      </c>
      <c r="D164" s="3">
        <v>4</v>
      </c>
      <c r="E164" s="3">
        <v>56</v>
      </c>
      <c r="F164" s="3" t="str">
        <f>HYPERLINK("https://www.boe.es/gazeta/dias/1834/07/02/pdfs/GMD-1834-135.pdf","Abrir PDF")</f>
        <v>Abrir PDF</v>
      </c>
    </row>
    <row r="165" spans="1:6" ht="31.95" customHeight="1">
      <c r="A165" s="6" t="s">
        <v>1653</v>
      </c>
      <c r="B165" s="2" t="s">
        <v>1654</v>
      </c>
      <c r="C165" s="2" t="s">
        <v>38096</v>
      </c>
      <c r="D165" s="3">
        <v>4</v>
      </c>
      <c r="E165" s="3">
        <v>30</v>
      </c>
      <c r="F165" s="3" t="str">
        <f>HYPERLINK("https://www.boe.es/gazeta/dias/1834/07/03/pdfs/GMD-1834-136.pdf","Abrir PDF")</f>
        <v>Abrir PDF</v>
      </c>
    </row>
    <row r="166" spans="1:6" ht="31.95" customHeight="1">
      <c r="A166" s="6" t="s">
        <v>355</v>
      </c>
      <c r="B166" s="2" t="s">
        <v>356</v>
      </c>
      <c r="C166" s="2" t="s">
        <v>38097</v>
      </c>
      <c r="D166" s="3">
        <v>4</v>
      </c>
      <c r="E166" s="3">
        <v>50</v>
      </c>
      <c r="F166" s="3" t="str">
        <f>HYPERLINK("https://www.boe.es/gazeta/dias/1834/07/04/pdfs/GMD-1834-137.pdf","Abrir PDF")</f>
        <v>Abrir PDF</v>
      </c>
    </row>
    <row r="167" spans="1:6" ht="31.95" customHeight="1">
      <c r="A167" s="6" t="s">
        <v>355</v>
      </c>
      <c r="B167" s="2" t="s">
        <v>356</v>
      </c>
      <c r="C167" s="2" t="s">
        <v>38098</v>
      </c>
      <c r="D167" s="3">
        <v>2</v>
      </c>
      <c r="E167" s="3">
        <v>20</v>
      </c>
      <c r="F167" s="3" t="str">
        <f>HYPERLINK("https://www.boe.es/gazeta/dias/1834/07/04/pdfs/I00597-00598.pdf","Abrir PDF")</f>
        <v>Abrir PDF</v>
      </c>
    </row>
    <row r="168" spans="1:6" ht="31.95" customHeight="1">
      <c r="A168" s="6" t="s">
        <v>1351</v>
      </c>
      <c r="B168" s="2" t="s">
        <v>1352</v>
      </c>
      <c r="C168" s="2" t="s">
        <v>38099</v>
      </c>
      <c r="D168" s="3">
        <v>6</v>
      </c>
      <c r="E168" s="3">
        <v>144</v>
      </c>
      <c r="F168" s="3" t="str">
        <f>HYPERLINK("https://www.boe.es/gazeta/dias/1834/07/05/pdfs/GMD-1834-138.pdf","Abrir PDF")</f>
        <v>Abrir PDF</v>
      </c>
    </row>
    <row r="169" spans="1:6" ht="31.95" customHeight="1">
      <c r="A169" s="6" t="s">
        <v>2865</v>
      </c>
      <c r="B169" s="2" t="s">
        <v>2866</v>
      </c>
      <c r="C169" s="2" t="s">
        <v>38100</v>
      </c>
      <c r="D169" s="3">
        <v>4</v>
      </c>
      <c r="E169" s="3">
        <v>23</v>
      </c>
      <c r="F169" s="3" t="str">
        <f>HYPERLINK("https://www.boe.es/gazeta/dias/1834/07/06/pdfs/GMD-1834-139.pdf","Abrir PDF")</f>
        <v>Abrir PDF</v>
      </c>
    </row>
    <row r="170" spans="1:6" ht="31.95" customHeight="1">
      <c r="A170" s="6" t="s">
        <v>3471</v>
      </c>
      <c r="B170" s="2" t="s">
        <v>3472</v>
      </c>
      <c r="C170" s="2" t="s">
        <v>38101</v>
      </c>
      <c r="D170" s="3">
        <v>4</v>
      </c>
      <c r="E170" s="3">
        <v>51</v>
      </c>
      <c r="F170" s="3" t="str">
        <f>HYPERLINK("https://www.boe.es/gazeta/dias/1834/07/07/pdfs/GMD-1834-140.pdf","Abrir PDF")</f>
        <v>Abrir PDF</v>
      </c>
    </row>
    <row r="171" spans="1:6" ht="31.95" customHeight="1">
      <c r="A171" s="6" t="s">
        <v>3471</v>
      </c>
      <c r="B171" s="2" t="s">
        <v>38102</v>
      </c>
      <c r="C171" s="2" t="s">
        <v>38103</v>
      </c>
      <c r="D171" s="3">
        <v>1</v>
      </c>
      <c r="E171" s="3">
        <v>0</v>
      </c>
      <c r="F171" s="3" t="str">
        <f>HYPERLINK("https://www.boe.es/gazeta/dias/1834/07/07/pdfs/GMD-C-1834-140.pdf","Abrir PDF")</f>
        <v>Abrir PDF</v>
      </c>
    </row>
    <row r="172" spans="1:6" ht="31.95" customHeight="1">
      <c r="A172" s="4" t="s">
        <v>399</v>
      </c>
      <c r="B172" s="2" t="s">
        <v>400</v>
      </c>
      <c r="C172" s="2" t="s">
        <v>38104</v>
      </c>
      <c r="D172" s="3">
        <v>4</v>
      </c>
      <c r="E172" s="3">
        <v>32</v>
      </c>
      <c r="F172" s="3" t="str">
        <f>HYPERLINK("https://www.boe.es/gazeta/dias/1834/07/08/pdfs/GMD-1834-141.pdf","Abrir PDF")</f>
        <v>Abrir PDF</v>
      </c>
    </row>
    <row r="173" spans="1:6" ht="31.95" customHeight="1">
      <c r="A173" s="4" t="s">
        <v>56</v>
      </c>
      <c r="B173" s="2" t="s">
        <v>57</v>
      </c>
      <c r="C173" s="2" t="s">
        <v>38105</v>
      </c>
      <c r="D173" s="3">
        <v>4</v>
      </c>
      <c r="E173" s="3">
        <v>73</v>
      </c>
      <c r="F173" s="3" t="str">
        <f>HYPERLINK("https://www.boe.es/gazeta/dias/1834/07/09/pdfs/GMD-1834-142.pdf","Abrir PDF")</f>
        <v>Abrir PDF</v>
      </c>
    </row>
    <row r="174" spans="1:6" ht="31.95" customHeight="1">
      <c r="A174" s="11" t="s">
        <v>4565</v>
      </c>
      <c r="B174" s="12" t="s">
        <v>4566</v>
      </c>
      <c r="C174" s="12" t="s">
        <v>38106</v>
      </c>
      <c r="D174" s="13">
        <v>4</v>
      </c>
      <c r="E174" s="13">
        <v>40</v>
      </c>
      <c r="F174" s="14" t="str">
        <f>HYPERLINK("https://www.boe.es/gazeta/dias/1834/07/10/pdfs/GMD-1834-143.pdf","Abrir PDF")</f>
        <v>Abrir PDF</v>
      </c>
    </row>
    <row r="175" spans="1:6" ht="31.95" customHeight="1">
      <c r="A175" s="7" t="s">
        <v>123</v>
      </c>
      <c r="B175" s="8" t="s">
        <v>124</v>
      </c>
      <c r="C175" s="8" t="s">
        <v>38107</v>
      </c>
      <c r="D175" s="15">
        <v>4</v>
      </c>
      <c r="E175" s="15">
        <v>38</v>
      </c>
      <c r="F175" s="15" t="str">
        <f>HYPERLINK("https://www.boe.es/gazeta/dias/1834/07/11/pdfs/GMD-1834-144.pdf","Abrir PDF")</f>
        <v>Abrir PDF</v>
      </c>
    </row>
    <row r="176" spans="1:6" ht="31.95" customHeight="1">
      <c r="A176" s="7" t="s">
        <v>79</v>
      </c>
      <c r="B176" s="8" t="s">
        <v>80</v>
      </c>
      <c r="C176" s="8" t="s">
        <v>38108</v>
      </c>
      <c r="D176" s="15">
        <v>4</v>
      </c>
      <c r="E176" s="15">
        <v>40</v>
      </c>
      <c r="F176" s="15" t="str">
        <f>HYPERLINK("https://www.boe.es/gazeta/dias/1834/07/12/pdfs/GMD-1834-145.pdf","Abrir PDF")</f>
        <v>Abrir PDF</v>
      </c>
    </row>
    <row r="177" spans="1:6" ht="31.95" customHeight="1">
      <c r="A177" s="7" t="s">
        <v>1094</v>
      </c>
      <c r="B177" s="8" t="s">
        <v>1095</v>
      </c>
      <c r="C177" s="8" t="s">
        <v>38109</v>
      </c>
      <c r="D177" s="15">
        <v>4</v>
      </c>
      <c r="E177" s="15">
        <v>36</v>
      </c>
      <c r="F177" s="15" t="str">
        <f>HYPERLINK("https://www.boe.es/gazeta/dias/1834/07/13/pdfs/GMD-1834-146.pdf","Abrir PDF")</f>
        <v>Abrir PDF</v>
      </c>
    </row>
    <row r="178" spans="1:6" ht="31.95" customHeight="1">
      <c r="A178" s="7" t="s">
        <v>1226</v>
      </c>
      <c r="B178" s="8" t="s">
        <v>1227</v>
      </c>
      <c r="C178" s="8" t="s">
        <v>38110</v>
      </c>
      <c r="D178" s="15">
        <v>4</v>
      </c>
      <c r="E178" s="15">
        <v>48</v>
      </c>
      <c r="F178" s="15" t="str">
        <f>HYPERLINK("https://www.boe.es/gazeta/dias/1834/07/14/pdfs/GMD-1834-147.pdf","Abrir PDF")</f>
        <v>Abrir PDF</v>
      </c>
    </row>
    <row r="179" spans="1:6" ht="31.95" customHeight="1">
      <c r="A179" s="7" t="s">
        <v>326</v>
      </c>
      <c r="B179" s="8" t="s">
        <v>327</v>
      </c>
      <c r="C179" s="8" t="s">
        <v>38111</v>
      </c>
      <c r="D179" s="15">
        <v>4</v>
      </c>
      <c r="E179" s="15">
        <v>27</v>
      </c>
      <c r="F179" s="15" t="str">
        <f>HYPERLINK("https://www.boe.es/gazeta/dias/1834/07/15/pdfs/GMD-1834-148.pdf","Abrir PDF")</f>
        <v>Abrir PDF</v>
      </c>
    </row>
    <row r="180" spans="1:6" ht="31.95" customHeight="1">
      <c r="A180" s="7" t="s">
        <v>663</v>
      </c>
      <c r="B180" s="8" t="s">
        <v>664</v>
      </c>
      <c r="C180" s="8" t="s">
        <v>38112</v>
      </c>
      <c r="D180" s="15">
        <v>4</v>
      </c>
      <c r="E180" s="15">
        <v>44</v>
      </c>
      <c r="F180" s="15" t="str">
        <f>HYPERLINK("https://www.boe.es/gazeta/dias/1834/07/16/pdfs/GMD-1834-149.pdf","Abrir PDF")</f>
        <v>Abrir PDF</v>
      </c>
    </row>
    <row r="181" spans="1:6" ht="31.95" customHeight="1">
      <c r="A181" s="7" t="s">
        <v>1119</v>
      </c>
      <c r="B181" s="8" t="s">
        <v>1120</v>
      </c>
      <c r="C181" s="8" t="s">
        <v>38113</v>
      </c>
      <c r="D181" s="15">
        <v>4</v>
      </c>
      <c r="E181" s="15">
        <v>52</v>
      </c>
      <c r="F181" s="15" t="str">
        <f>HYPERLINK("https://www.boe.es/gazeta/dias/1834/07/17/pdfs/GMD-1834-150.pdf","Abrir PDF")</f>
        <v>Abrir PDF</v>
      </c>
    </row>
    <row r="182" spans="1:6" ht="31.95" customHeight="1">
      <c r="A182" s="7" t="s">
        <v>838</v>
      </c>
      <c r="B182" s="8" t="s">
        <v>839</v>
      </c>
      <c r="C182" s="8" t="s">
        <v>38114</v>
      </c>
      <c r="D182" s="15">
        <v>4</v>
      </c>
      <c r="E182" s="15">
        <v>50</v>
      </c>
      <c r="F182" s="15" t="str">
        <f>HYPERLINK("https://www.boe.es/gazeta/dias/1834/07/18/pdfs/GMD-1834-151.pdf","Abrir PDF")</f>
        <v>Abrir PDF</v>
      </c>
    </row>
    <row r="183" spans="1:6" ht="31.95" customHeight="1">
      <c r="A183" s="7" t="s">
        <v>102</v>
      </c>
      <c r="B183" s="8" t="s">
        <v>103</v>
      </c>
      <c r="C183" s="8" t="s">
        <v>38115</v>
      </c>
      <c r="D183" s="15">
        <v>4</v>
      </c>
      <c r="E183" s="15">
        <v>45</v>
      </c>
      <c r="F183" s="15" t="str">
        <f>HYPERLINK("https://www.boe.es/gazeta/dias/1834/07/19/pdfs/GMD-1834-152.pdf","Abrir PDF")</f>
        <v>Abrir PDF</v>
      </c>
    </row>
    <row r="184" spans="1:6" ht="31.95" customHeight="1">
      <c r="A184" s="9" t="s">
        <v>2860</v>
      </c>
      <c r="B184" s="9" t="s">
        <v>2861</v>
      </c>
      <c r="C184" s="9" t="s">
        <v>38116</v>
      </c>
      <c r="D184" s="10">
        <v>4</v>
      </c>
      <c r="E184" s="10">
        <v>45</v>
      </c>
      <c r="F184" s="10" t="str">
        <f>HYPERLINK("https://www.boe.es/gazeta/dias/1834/07/20/pdfs/GMD-1834-153.pdf","Abrir PDF")</f>
        <v>Abrir PDF</v>
      </c>
    </row>
    <row r="185" spans="1:6" ht="31.95" customHeight="1">
      <c r="A185" s="9" t="s">
        <v>117</v>
      </c>
      <c r="B185" s="9" t="s">
        <v>118</v>
      </c>
      <c r="C185" s="9" t="s">
        <v>38117</v>
      </c>
      <c r="D185" s="10">
        <v>4</v>
      </c>
      <c r="E185" s="10">
        <v>49</v>
      </c>
      <c r="F185" s="10" t="str">
        <f>HYPERLINK("https://www.boe.es/gazeta/dias/1834/07/21/pdfs/GMD-1834-154.pdf","Abrir PDF")</f>
        <v>Abrir PDF</v>
      </c>
    </row>
    <row r="186" spans="1:6" ht="31.95" customHeight="1">
      <c r="A186" s="9" t="s">
        <v>4064</v>
      </c>
      <c r="B186" s="9" t="s">
        <v>4065</v>
      </c>
      <c r="C186" s="9" t="s">
        <v>38118</v>
      </c>
      <c r="D186" s="10">
        <v>4</v>
      </c>
      <c r="E186" s="10">
        <v>36</v>
      </c>
      <c r="F186" s="10" t="str">
        <f>HYPERLINK("https://www.boe.es/gazeta/dias/1834/07/22/pdfs/GMD-1834-155.pdf","Abrir PDF")</f>
        <v>Abrir PDF</v>
      </c>
    </row>
    <row r="187" spans="1:6" ht="31.95" customHeight="1">
      <c r="A187" s="9" t="s">
        <v>823</v>
      </c>
      <c r="B187" s="9" t="s">
        <v>824</v>
      </c>
      <c r="C187" s="9" t="s">
        <v>38119</v>
      </c>
      <c r="D187" s="10">
        <v>6</v>
      </c>
      <c r="E187" s="10">
        <v>57</v>
      </c>
      <c r="F187" s="10" t="str">
        <f>HYPERLINK("https://www.boe.es/gazeta/dias/1834/07/23/pdfs/GMD-1834-156.pdf","Abrir PDF")</f>
        <v>Abrir PDF</v>
      </c>
    </row>
    <row r="188" spans="1:6" ht="31.95" customHeight="1">
      <c r="A188" s="9" t="s">
        <v>1017</v>
      </c>
      <c r="B188" s="9" t="s">
        <v>1018</v>
      </c>
      <c r="C188" s="9" t="s">
        <v>38120</v>
      </c>
      <c r="D188" s="10">
        <v>4</v>
      </c>
      <c r="E188" s="10">
        <v>55</v>
      </c>
      <c r="F188" s="10" t="str">
        <f>HYPERLINK("https://www.boe.es/gazeta/dias/1834/07/24/pdfs/GMD-1834-157.pdf","Abrir PDF")</f>
        <v>Abrir PDF</v>
      </c>
    </row>
    <row r="189" spans="1:6" ht="31.95" customHeight="1">
      <c r="A189" s="9" t="s">
        <v>1674</v>
      </c>
      <c r="B189" s="9" t="s">
        <v>1675</v>
      </c>
      <c r="C189" s="9" t="s">
        <v>38121</v>
      </c>
      <c r="D189" s="10">
        <v>4</v>
      </c>
      <c r="E189" s="10">
        <v>18</v>
      </c>
      <c r="F189" s="10" t="str">
        <f>HYPERLINK("https://www.boe.es/gazeta/dias/1834/07/25/pdfs/GMD-1834-158.pdf","Abrir PDF")</f>
        <v>Abrir PDF</v>
      </c>
    </row>
    <row r="190" spans="1:6" ht="31.95" customHeight="1">
      <c r="A190" s="9" t="s">
        <v>1674</v>
      </c>
      <c r="B190" s="9" t="s">
        <v>3233</v>
      </c>
      <c r="C190" s="9" t="s">
        <v>38122</v>
      </c>
      <c r="D190" s="10">
        <v>2</v>
      </c>
      <c r="E190" s="10">
        <v>17</v>
      </c>
      <c r="F190" s="10" t="str">
        <f>HYPERLINK("https://www.boe.es/gazeta/dias/1834/07/25/pdfs/GMD-C-1834-158.pdf","Abrir PDF")</f>
        <v>Abrir PDF</v>
      </c>
    </row>
    <row r="191" spans="1:6" ht="31.95" customHeight="1">
      <c r="A191" s="9" t="s">
        <v>1677</v>
      </c>
      <c r="B191" s="9" t="s">
        <v>1678</v>
      </c>
      <c r="C191" s="9" t="s">
        <v>38123</v>
      </c>
      <c r="D191" s="10">
        <v>4</v>
      </c>
      <c r="E191" s="10">
        <v>27</v>
      </c>
      <c r="F191" s="10" t="str">
        <f>HYPERLINK("https://www.boe.es/gazeta/dias/1834/07/26/pdfs/GMD-1834-159.pdf","Abrir PDF")</f>
        <v>Abrir PDF</v>
      </c>
    </row>
    <row r="192" spans="1:6" ht="31.95" customHeight="1">
      <c r="A192" s="9" t="s">
        <v>1677</v>
      </c>
      <c r="B192" s="9" t="s">
        <v>2515</v>
      </c>
      <c r="C192" s="9" t="s">
        <v>38124</v>
      </c>
      <c r="D192" s="10">
        <v>1</v>
      </c>
      <c r="E192" s="10">
        <v>19</v>
      </c>
      <c r="F192" s="10" t="str">
        <f>HYPERLINK("https://www.boe.es/gazeta/dias/1834/07/26/pdfs/GMD-C-1834-159.pdf","Abrir PDF")</f>
        <v>Abrir PDF</v>
      </c>
    </row>
    <row r="193" spans="1:6" ht="31.95" customHeight="1">
      <c r="A193" s="9" t="s">
        <v>1686</v>
      </c>
      <c r="B193" s="9" t="s">
        <v>1687</v>
      </c>
      <c r="C193" s="9" t="s">
        <v>38125</v>
      </c>
      <c r="D193" s="10">
        <v>4</v>
      </c>
      <c r="E193" s="10">
        <v>41</v>
      </c>
      <c r="F193" s="10" t="str">
        <f>HYPERLINK("https://www.boe.es/gazeta/dias/1834/07/27/pdfs/GMD-1834-160.pdf","Abrir PDF")</f>
        <v>Abrir PDF</v>
      </c>
    </row>
    <row r="194" spans="1:6" ht="31.95" customHeight="1">
      <c r="A194" s="9" t="s">
        <v>1686</v>
      </c>
      <c r="B194" s="9" t="s">
        <v>2311</v>
      </c>
      <c r="C194" s="9" t="s">
        <v>38126</v>
      </c>
      <c r="D194" s="10">
        <v>1</v>
      </c>
      <c r="E194" s="10">
        <v>25</v>
      </c>
      <c r="F194" s="10" t="str">
        <f>HYPERLINK("https://www.boe.es/gazeta/dias/1834/07/27/pdfs/GMD-C-1834-160.pdf","Abrir PDF")</f>
        <v>Abrir PDF</v>
      </c>
    </row>
    <row r="195" spans="1:6" ht="31.95" customHeight="1">
      <c r="A195" s="9" t="s">
        <v>1689</v>
      </c>
      <c r="B195" s="9" t="s">
        <v>1690</v>
      </c>
      <c r="C195" s="9" t="s">
        <v>38127</v>
      </c>
      <c r="D195" s="10">
        <v>4</v>
      </c>
      <c r="E195" s="10">
        <v>22</v>
      </c>
      <c r="F195" s="10" t="str">
        <f>HYPERLINK("https://www.boe.es/gazeta/dias/1834/07/28/pdfs/GMD-1834-161.pdf","Abrir PDF")</f>
        <v>Abrir PDF</v>
      </c>
    </row>
    <row r="196" spans="1:6" ht="31.95" customHeight="1">
      <c r="A196" s="9" t="s">
        <v>1692</v>
      </c>
      <c r="B196" s="9" t="s">
        <v>1693</v>
      </c>
      <c r="C196" s="9" t="s">
        <v>38128</v>
      </c>
      <c r="D196" s="10">
        <v>4</v>
      </c>
      <c r="E196" s="10">
        <v>29</v>
      </c>
      <c r="F196" s="10" t="str">
        <f>HYPERLINK("https://www.boe.es/gazeta/dias/1834/07/29/pdfs/GMD-1834-162.pdf","Abrir PDF")</f>
        <v>Abrir PDF</v>
      </c>
    </row>
    <row r="197" spans="1:6" ht="31.95" customHeight="1">
      <c r="A197" s="9" t="s">
        <v>1692</v>
      </c>
      <c r="B197" s="9" t="s">
        <v>3985</v>
      </c>
      <c r="C197" s="9" t="s">
        <v>38129</v>
      </c>
      <c r="D197" s="10">
        <v>1</v>
      </c>
      <c r="E197" s="10">
        <v>21</v>
      </c>
      <c r="F197" s="10" t="str">
        <f>HYPERLINK("https://www.boe.es/gazeta/dias/1834/07/29/pdfs/GMD-C-1834-162.pdf","Abrir PDF")</f>
        <v>Abrir PDF</v>
      </c>
    </row>
    <row r="198" spans="1:6" ht="31.95" customHeight="1">
      <c r="A198" s="9" t="s">
        <v>552</v>
      </c>
      <c r="B198" s="9" t="s">
        <v>553</v>
      </c>
      <c r="C198" s="9" t="s">
        <v>38130</v>
      </c>
      <c r="D198" s="10">
        <v>4</v>
      </c>
      <c r="E198" s="10">
        <v>26</v>
      </c>
      <c r="F198" s="10" t="str">
        <f>HYPERLINK("https://www.boe.es/gazeta/dias/1834/07/30/pdfs/GMD-1834-163.pdf","Abrir PDF")</f>
        <v>Abrir PDF</v>
      </c>
    </row>
    <row r="199" spans="1:6" ht="31.95" customHeight="1">
      <c r="A199" s="9" t="s">
        <v>552</v>
      </c>
      <c r="B199" s="9" t="s">
        <v>1478</v>
      </c>
      <c r="C199" s="9" t="s">
        <v>38131</v>
      </c>
      <c r="D199" s="10">
        <v>1</v>
      </c>
      <c r="E199" s="10">
        <v>19</v>
      </c>
      <c r="F199" s="10" t="str">
        <f>HYPERLINK("https://www.boe.es/gazeta/dias/1834/07/30/pdfs/GMD-C-1834-163.pdf","Abrir PDF")</f>
        <v>Abrir PDF</v>
      </c>
    </row>
    <row r="200" spans="1:6" ht="31.95" customHeight="1">
      <c r="A200" s="9" t="s">
        <v>143</v>
      </c>
      <c r="B200" s="9" t="s">
        <v>144</v>
      </c>
      <c r="C200" s="9" t="s">
        <v>38132</v>
      </c>
      <c r="D200" s="10">
        <v>4</v>
      </c>
      <c r="E200" s="10">
        <v>33</v>
      </c>
      <c r="F200" s="10" t="str">
        <f>HYPERLINK("https://www.boe.es/gazeta/dias/1834/07/31/pdfs/GMD-1834-164.pdf","Abrir PDF")</f>
        <v>Abrir PDF</v>
      </c>
    </row>
    <row r="201" spans="1:6" ht="31.95" customHeight="1">
      <c r="A201" s="9" t="s">
        <v>1297</v>
      </c>
      <c r="B201" s="9" t="s">
        <v>1298</v>
      </c>
      <c r="C201" s="9" t="s">
        <v>38133</v>
      </c>
      <c r="D201" s="10">
        <v>4</v>
      </c>
      <c r="E201" s="10">
        <v>29</v>
      </c>
      <c r="F201" s="10" t="str">
        <f>HYPERLINK("https://www.boe.es/gazeta/dias/1834/08/01/pdfs/GMD-1834-165.pdf","Abrir PDF")</f>
        <v>Abrir PDF</v>
      </c>
    </row>
    <row r="202" spans="1:6" ht="31.95" customHeight="1">
      <c r="A202" s="9" t="s">
        <v>1297</v>
      </c>
      <c r="B202" s="9" t="s">
        <v>1879</v>
      </c>
      <c r="C202" s="9" t="s">
        <v>38134</v>
      </c>
      <c r="D202" s="10">
        <v>2</v>
      </c>
      <c r="E202" s="10">
        <v>18</v>
      </c>
      <c r="F202" s="10" t="str">
        <f>HYPERLINK("https://www.boe.es/gazeta/dias/1834/08/01/pdfs/GMD-C-1834-165.pdf","Abrir PDF")</f>
        <v>Abrir PDF</v>
      </c>
    </row>
    <row r="203" spans="1:6" ht="31.95" customHeight="1">
      <c r="A203" s="9" t="s">
        <v>1297</v>
      </c>
      <c r="B203" s="9" t="s">
        <v>1879</v>
      </c>
      <c r="C203" s="9" t="s">
        <v>38135</v>
      </c>
      <c r="D203" s="10">
        <v>1</v>
      </c>
      <c r="E203" s="10">
        <v>33</v>
      </c>
      <c r="F203" s="10" t="str">
        <f>HYPERLINK("https://www.boe.es/gazeta/dias/1834/08/01/pdfs/GMD-D-1834-165.pdf","Abrir PDF")</f>
        <v>Abrir PDF</v>
      </c>
    </row>
    <row r="204" spans="1:6" ht="31.95" customHeight="1">
      <c r="A204" s="9" t="s">
        <v>905</v>
      </c>
      <c r="B204" s="9" t="s">
        <v>1651</v>
      </c>
      <c r="C204" s="9" t="s">
        <v>38136</v>
      </c>
      <c r="D204" s="10">
        <v>4</v>
      </c>
      <c r="E204" s="10">
        <v>57</v>
      </c>
      <c r="F204" s="10" t="str">
        <f>HYPERLINK("https://www.boe.es/gazeta/dias/1834/08/02/pdfs/GMD-1834-166.pdf","Abrir PDF")</f>
        <v>Abrir PDF</v>
      </c>
    </row>
    <row r="205" spans="1:6" ht="31.95" customHeight="1">
      <c r="A205" s="9" t="s">
        <v>905</v>
      </c>
      <c r="B205" s="9" t="s">
        <v>906</v>
      </c>
      <c r="C205" s="9" t="s">
        <v>38137</v>
      </c>
      <c r="D205" s="10">
        <v>3</v>
      </c>
      <c r="E205" s="10">
        <v>36</v>
      </c>
      <c r="F205" s="10" t="str">
        <f>HYPERLINK("https://www.boe.es/gazeta/dias/1834/08/02/pdfs/GMD-C-1834-166.pdf","Abrir PDF")</f>
        <v>Abrir PDF</v>
      </c>
    </row>
    <row r="206" spans="1:6" ht="31.95" customHeight="1">
      <c r="A206" s="9" t="s">
        <v>3066</v>
      </c>
      <c r="B206" s="9" t="s">
        <v>3188</v>
      </c>
      <c r="C206" s="9" t="s">
        <v>38138</v>
      </c>
      <c r="D206" s="10">
        <v>4</v>
      </c>
      <c r="E206" s="10">
        <v>47</v>
      </c>
      <c r="F206" s="10" t="str">
        <f>HYPERLINK("https://www.boe.es/gazeta/dias/1834/08/03/pdfs/GMD-1834-167.pdf","Abrir PDF")</f>
        <v>Abrir PDF</v>
      </c>
    </row>
    <row r="207" spans="1:6" ht="31.95" customHeight="1">
      <c r="A207" s="9" t="s">
        <v>3066</v>
      </c>
      <c r="B207" s="9" t="s">
        <v>3067</v>
      </c>
      <c r="C207" s="9" t="s">
        <v>38139</v>
      </c>
      <c r="D207" s="10">
        <v>5</v>
      </c>
      <c r="E207" s="10">
        <v>47</v>
      </c>
      <c r="F207" s="10" t="str">
        <f>HYPERLINK("https://www.boe.es/gazeta/dias/1834/08/03/pdfs/GMD-C-1834-167.pdf","Abrir PDF")</f>
        <v>Abrir PDF</v>
      </c>
    </row>
    <row r="208" spans="1:6" ht="31.95" customHeight="1">
      <c r="A208" s="9" t="s">
        <v>3066</v>
      </c>
      <c r="B208" s="9" t="s">
        <v>3188</v>
      </c>
      <c r="C208" s="9" t="s">
        <v>38140</v>
      </c>
      <c r="D208" s="10">
        <v>2</v>
      </c>
      <c r="E208" s="10">
        <v>23</v>
      </c>
      <c r="F208" s="10" t="str">
        <f>HYPERLINK("https://www.boe.es/gazeta/dias/1834/08/03/pdfs/I00721-00722.pdf","Abrir PDF")</f>
        <v>Abrir PDF</v>
      </c>
    </row>
    <row r="209" spans="1:6" ht="31.95" customHeight="1">
      <c r="A209" s="9" t="s">
        <v>2212</v>
      </c>
      <c r="B209" s="9" t="s">
        <v>5450</v>
      </c>
      <c r="C209" s="9" t="s">
        <v>38141</v>
      </c>
      <c r="D209" s="10">
        <v>4</v>
      </c>
      <c r="E209" s="10">
        <v>18</v>
      </c>
      <c r="F209" s="10" t="str">
        <f>HYPERLINK("https://www.boe.es/gazeta/dias/1834/08/04/pdfs/GMD-1834-168.pdf","Abrir PDF")</f>
        <v>Abrir PDF</v>
      </c>
    </row>
    <row r="210" spans="1:6" ht="31.95" customHeight="1">
      <c r="A210" s="9" t="s">
        <v>2212</v>
      </c>
      <c r="B210" s="9" t="s">
        <v>2213</v>
      </c>
      <c r="C210" s="9" t="s">
        <v>38142</v>
      </c>
      <c r="D210" s="10">
        <v>6</v>
      </c>
      <c r="E210" s="10">
        <v>33</v>
      </c>
      <c r="F210" s="10" t="str">
        <f>HYPERLINK("https://www.boe.es/gazeta/dias/1834/08/04/pdfs/GMD-C-1834-168.pdf","Abrir PDF")</f>
        <v>Abrir PDF</v>
      </c>
    </row>
    <row r="211" spans="1:6" ht="31.95" customHeight="1">
      <c r="A211" s="9" t="s">
        <v>243</v>
      </c>
      <c r="B211" s="9" t="s">
        <v>1109</v>
      </c>
      <c r="C211" s="9" t="s">
        <v>38143</v>
      </c>
      <c r="D211" s="10">
        <v>4</v>
      </c>
      <c r="E211" s="10">
        <v>32</v>
      </c>
      <c r="F211" s="10" t="str">
        <f>HYPERLINK("https://www.boe.es/gazeta/dias/1834/08/05/pdfs/GMD-1834-169.pdf","Abrir PDF")</f>
        <v>Abrir PDF</v>
      </c>
    </row>
    <row r="212" spans="1:6" ht="31.95" customHeight="1">
      <c r="A212" s="9" t="s">
        <v>243</v>
      </c>
      <c r="B212" s="9" t="s">
        <v>244</v>
      </c>
      <c r="C212" s="9" t="s">
        <v>38144</v>
      </c>
      <c r="D212" s="10">
        <v>3</v>
      </c>
      <c r="E212" s="10">
        <v>26</v>
      </c>
      <c r="F212" s="10" t="str">
        <f>HYPERLINK("https://www.boe.es/gazeta/dias/1834/08/05/pdfs/GMD-C-1834-169.pdf","Abrir PDF")</f>
        <v>Abrir PDF</v>
      </c>
    </row>
    <row r="213" spans="1:6" ht="31.95" customHeight="1">
      <c r="A213" s="9" t="s">
        <v>653</v>
      </c>
      <c r="B213" s="9" t="s">
        <v>3369</v>
      </c>
      <c r="C213" s="9" t="s">
        <v>38145</v>
      </c>
      <c r="D213" s="10">
        <v>4</v>
      </c>
      <c r="E213" s="10">
        <v>21</v>
      </c>
      <c r="F213" s="10" t="str">
        <f>HYPERLINK("https://www.boe.es/gazeta/dias/1834/08/06/pdfs/GMD-1834-170.pdf","Abrir PDF")</f>
        <v>Abrir PDF</v>
      </c>
    </row>
    <row r="214" spans="1:6" ht="31.95" customHeight="1">
      <c r="A214" s="9" t="s">
        <v>653</v>
      </c>
      <c r="B214" s="9" t="s">
        <v>3167</v>
      </c>
      <c r="C214" s="9" t="s">
        <v>38146</v>
      </c>
      <c r="D214" s="10">
        <v>1</v>
      </c>
      <c r="E214" s="10">
        <v>6</v>
      </c>
      <c r="F214" s="10" t="str">
        <f>HYPERLINK("https://www.boe.es/gazeta/dias/1834/08/06/pdfs/GMD-1834-171E.pdf","Abrir PDF")</f>
        <v>Abrir PDF</v>
      </c>
    </row>
    <row r="215" spans="1:6" ht="31.95" customHeight="1">
      <c r="A215" s="9" t="s">
        <v>653</v>
      </c>
      <c r="B215" s="9" t="s">
        <v>654</v>
      </c>
      <c r="C215" s="9" t="s">
        <v>38147</v>
      </c>
      <c r="D215" s="10">
        <v>4</v>
      </c>
      <c r="E215" s="10">
        <v>25</v>
      </c>
      <c r="F215" s="10" t="str">
        <f>HYPERLINK("https://www.boe.es/gazeta/dias/1834/08/06/pdfs/GMD-C-1834-170.pdf","Abrir PDF")</f>
        <v>Abrir PDF</v>
      </c>
    </row>
    <row r="216" spans="1:6" ht="31.95" customHeight="1">
      <c r="A216" s="9" t="s">
        <v>429</v>
      </c>
      <c r="B216" s="9" t="s">
        <v>3421</v>
      </c>
      <c r="C216" s="9" t="s">
        <v>38148</v>
      </c>
      <c r="D216" s="10">
        <v>4</v>
      </c>
      <c r="E216" s="10">
        <v>20</v>
      </c>
      <c r="F216" s="10" t="str">
        <f>HYPERLINK("https://www.boe.es/gazeta/dias/1834/08/07/pdfs/GMD-1834-172.pdf","Abrir PDF")</f>
        <v>Abrir PDF</v>
      </c>
    </row>
    <row r="217" spans="1:6" ht="31.95" customHeight="1">
      <c r="A217" s="9" t="s">
        <v>429</v>
      </c>
      <c r="B217" s="9" t="s">
        <v>430</v>
      </c>
      <c r="C217" s="9" t="s">
        <v>38149</v>
      </c>
      <c r="D217" s="10">
        <v>6</v>
      </c>
      <c r="E217" s="10">
        <v>38</v>
      </c>
      <c r="F217" s="10" t="str">
        <f>HYPERLINK("https://www.boe.es/gazeta/dias/1834/08/07/pdfs/GMD-C-1834-172.pdf","Abrir PDF")</f>
        <v>Abrir PDF</v>
      </c>
    </row>
    <row r="218" spans="1:6" ht="31.95" customHeight="1">
      <c r="A218" s="9" t="s">
        <v>813</v>
      </c>
      <c r="B218" s="9" t="s">
        <v>814</v>
      </c>
      <c r="C218" s="9" t="s">
        <v>38150</v>
      </c>
      <c r="D218" s="10">
        <v>4</v>
      </c>
      <c r="E218" s="10">
        <v>42</v>
      </c>
      <c r="F218" s="10" t="str">
        <f>HYPERLINK("https://www.boe.es/gazeta/dias/1834/08/08/pdfs/GMD-1834-173.pdf","Abrir PDF")</f>
        <v>Abrir PDF</v>
      </c>
    </row>
    <row r="219" spans="1:6" ht="31.95" customHeight="1">
      <c r="A219" s="9" t="s">
        <v>813</v>
      </c>
      <c r="B219" s="9" t="s">
        <v>16756</v>
      </c>
      <c r="C219" s="9" t="s">
        <v>38151</v>
      </c>
      <c r="D219" s="10">
        <v>1</v>
      </c>
      <c r="E219" s="10">
        <v>8</v>
      </c>
      <c r="F219" s="10" t="str">
        <f>HYPERLINK("https://www.boe.es/gazeta/dias/1834/08/08/pdfs/GMD-C-1834-173.pdf","Abrir PDF")</f>
        <v>Abrir PDF</v>
      </c>
    </row>
    <row r="220" spans="1:6" ht="31.95" customHeight="1">
      <c r="A220" s="9" t="s">
        <v>163</v>
      </c>
      <c r="B220" s="9" t="s">
        <v>164</v>
      </c>
      <c r="C220" s="9" t="s">
        <v>38152</v>
      </c>
      <c r="D220" s="10">
        <v>4</v>
      </c>
      <c r="E220" s="10">
        <v>37</v>
      </c>
      <c r="F220" s="10" t="str">
        <f>HYPERLINK("https://www.boe.es/gazeta/dias/1834/08/09/pdfs/GMD-1834-174.pdf","Abrir PDF")</f>
        <v>Abrir PDF</v>
      </c>
    </row>
    <row r="221" spans="1:6" ht="31.95" customHeight="1">
      <c r="A221" s="9" t="s">
        <v>163</v>
      </c>
      <c r="B221" s="9" t="s">
        <v>4896</v>
      </c>
      <c r="C221" s="9" t="s">
        <v>38153</v>
      </c>
      <c r="D221" s="10">
        <v>3</v>
      </c>
      <c r="E221" s="10">
        <v>22</v>
      </c>
      <c r="F221" s="10" t="str">
        <f>HYPERLINK("https://www.boe.es/gazeta/dias/1834/08/09/pdfs/GMD-C-1834-174.pdf","Abrir PDF")</f>
        <v>Abrir PDF</v>
      </c>
    </row>
    <row r="222" spans="1:6" ht="31.95" customHeight="1">
      <c r="A222" s="9" t="s">
        <v>956</v>
      </c>
      <c r="B222" s="9" t="s">
        <v>1508</v>
      </c>
      <c r="C222" s="9" t="s">
        <v>38154</v>
      </c>
      <c r="D222" s="10">
        <v>4</v>
      </c>
      <c r="E222" s="10">
        <v>23</v>
      </c>
      <c r="F222" s="10" t="str">
        <f>HYPERLINK("https://www.boe.es/gazeta/dias/1834/08/10/pdfs/GMD-1834-175.pdf","Abrir PDF")</f>
        <v>Abrir PDF</v>
      </c>
    </row>
    <row r="223" spans="1:6" ht="31.95" customHeight="1">
      <c r="A223" s="9" t="s">
        <v>956</v>
      </c>
      <c r="B223" s="9" t="s">
        <v>957</v>
      </c>
      <c r="C223" s="9" t="s">
        <v>38155</v>
      </c>
      <c r="D223" s="10">
        <v>3</v>
      </c>
      <c r="E223" s="10">
        <v>37</v>
      </c>
      <c r="F223" s="10" t="str">
        <f>HYPERLINK("https://www.boe.es/gazeta/dias/1834/08/10/pdfs/GMD-C-1834-175.pdf","Abrir PDF")</f>
        <v>Abrir PDF</v>
      </c>
    </row>
    <row r="224" spans="1:6" ht="31.95" customHeight="1">
      <c r="A224" s="9" t="s">
        <v>2098</v>
      </c>
      <c r="B224" s="9" t="s">
        <v>2099</v>
      </c>
      <c r="C224" s="9" t="s">
        <v>38156</v>
      </c>
      <c r="D224" s="10">
        <v>4</v>
      </c>
      <c r="E224" s="10">
        <v>27</v>
      </c>
      <c r="F224" s="10" t="str">
        <f>HYPERLINK("https://www.boe.es/gazeta/dias/1834/08/11/pdfs/GMD-1834-176.pdf","Abrir PDF")</f>
        <v>Abrir PDF</v>
      </c>
    </row>
    <row r="225" spans="1:6" ht="31.95" customHeight="1">
      <c r="A225" s="9" t="s">
        <v>2098</v>
      </c>
      <c r="B225" s="9" t="s">
        <v>5817</v>
      </c>
      <c r="C225" s="9" t="s">
        <v>38157</v>
      </c>
      <c r="D225" s="10">
        <v>4</v>
      </c>
      <c r="E225" s="10">
        <v>36</v>
      </c>
      <c r="F225" s="10" t="str">
        <f>HYPERLINK("https://www.boe.es/gazeta/dias/1834/08/11/pdfs/GMD-C-1834-176.pdf","Abrir PDF")</f>
        <v>Abrir PDF</v>
      </c>
    </row>
    <row r="226" spans="1:6" ht="31.95" customHeight="1">
      <c r="A226" s="9" t="s">
        <v>1839</v>
      </c>
      <c r="B226" s="9" t="s">
        <v>3598</v>
      </c>
      <c r="C226" s="9" t="s">
        <v>38158</v>
      </c>
      <c r="D226" s="10">
        <v>4</v>
      </c>
      <c r="E226" s="10">
        <v>35</v>
      </c>
      <c r="F226" s="10" t="str">
        <f>HYPERLINK("https://www.boe.es/gazeta/dias/1834/08/12/pdfs/GMD-1834-177.pdf","Abrir PDF")</f>
        <v>Abrir PDF</v>
      </c>
    </row>
    <row r="227" spans="1:6" ht="31.95" customHeight="1">
      <c r="A227" s="9" t="s">
        <v>1839</v>
      </c>
      <c r="B227" s="9" t="s">
        <v>1840</v>
      </c>
      <c r="C227" s="9" t="s">
        <v>38159</v>
      </c>
      <c r="D227" s="10">
        <v>2</v>
      </c>
      <c r="E227" s="10">
        <v>56</v>
      </c>
      <c r="F227" s="10" t="str">
        <f>HYPERLINK("https://www.boe.es/gazeta/dias/1834/08/12/pdfs/GMD-C-1834-177.pdf","Abrir PDF")</f>
        <v>Abrir PDF</v>
      </c>
    </row>
    <row r="228" spans="1:6" ht="31.95" customHeight="1">
      <c r="A228" s="9" t="s">
        <v>479</v>
      </c>
      <c r="B228" s="9" t="s">
        <v>480</v>
      </c>
      <c r="C228" s="9" t="s">
        <v>38160</v>
      </c>
      <c r="D228" s="10">
        <v>4</v>
      </c>
      <c r="E228" s="10">
        <v>45</v>
      </c>
      <c r="F228" s="10" t="str">
        <f>HYPERLINK("https://www.boe.es/gazeta/dias/1834/08/13/pdfs/GMD-1834-178.pdf","Abrir PDF")</f>
        <v>Abrir PDF</v>
      </c>
    </row>
    <row r="229" spans="1:6" ht="31.95" customHeight="1">
      <c r="A229" s="9" t="s">
        <v>479</v>
      </c>
      <c r="B229" s="9" t="s">
        <v>2258</v>
      </c>
      <c r="C229" s="9" t="s">
        <v>38161</v>
      </c>
      <c r="D229" s="10">
        <v>4</v>
      </c>
      <c r="E229" s="10">
        <v>53</v>
      </c>
      <c r="F229" s="10" t="str">
        <f>HYPERLINK("https://www.boe.es/gazeta/dias/1834/08/13/pdfs/GMD-C-1834-178.pdf","Abrir PDF")</f>
        <v>Abrir PDF</v>
      </c>
    </row>
    <row r="230" spans="1:6" ht="31.95" customHeight="1">
      <c r="A230" s="9" t="s">
        <v>1186</v>
      </c>
      <c r="B230" s="9" t="s">
        <v>1187</v>
      </c>
      <c r="C230" s="9" t="s">
        <v>38162</v>
      </c>
      <c r="D230" s="10">
        <v>4</v>
      </c>
      <c r="E230" s="10">
        <v>60</v>
      </c>
      <c r="F230" s="10" t="str">
        <f>HYPERLINK("https://www.boe.es/gazeta/dias/1834/08/14/pdfs/GMD-1834-179.pdf","Abrir PDF")</f>
        <v>Abrir PDF</v>
      </c>
    </row>
    <row r="231" spans="1:6" ht="31.95" customHeight="1">
      <c r="A231" s="9" t="s">
        <v>1186</v>
      </c>
      <c r="B231" s="9" t="s">
        <v>4286</v>
      </c>
      <c r="C231" s="9" t="s">
        <v>38163</v>
      </c>
      <c r="D231" s="10">
        <v>2</v>
      </c>
      <c r="E231" s="10">
        <v>47</v>
      </c>
      <c r="F231" s="10" t="str">
        <f>HYPERLINK("https://www.boe.es/gazeta/dias/1834/08/14/pdfs/GMD-C-1834-179.pdf","Abrir PDF")</f>
        <v>Abrir PDF</v>
      </c>
    </row>
    <row r="232" spans="1:6" ht="31.95" customHeight="1">
      <c r="A232" s="9" t="s">
        <v>237</v>
      </c>
      <c r="B232" s="9" t="s">
        <v>4609</v>
      </c>
      <c r="C232" s="9" t="s">
        <v>38164</v>
      </c>
      <c r="D232" s="10">
        <v>4</v>
      </c>
      <c r="E232" s="10">
        <v>49</v>
      </c>
      <c r="F232" s="10" t="str">
        <f>HYPERLINK("https://www.boe.es/gazeta/dias/1834/08/15/pdfs/GMD-1834-180.pdf","Abrir PDF")</f>
        <v>Abrir PDF</v>
      </c>
    </row>
    <row r="233" spans="1:6" ht="31.95" customHeight="1">
      <c r="A233" s="9" t="s">
        <v>237</v>
      </c>
      <c r="B233" s="9" t="s">
        <v>238</v>
      </c>
      <c r="C233" s="9" t="s">
        <v>38165</v>
      </c>
      <c r="D233" s="10">
        <v>4</v>
      </c>
      <c r="E233" s="10">
        <v>54</v>
      </c>
      <c r="F233" s="10" t="str">
        <f>HYPERLINK("https://www.boe.es/gazeta/dias/1834/08/15/pdfs/GMD-C-1834-180.pdf","Abrir PDF")</f>
        <v>Abrir PDF</v>
      </c>
    </row>
    <row r="234" spans="1:6" ht="31.95" customHeight="1">
      <c r="A234" s="9" t="s">
        <v>601</v>
      </c>
      <c r="B234" s="9" t="s">
        <v>602</v>
      </c>
      <c r="C234" s="9" t="s">
        <v>38166</v>
      </c>
      <c r="D234" s="10">
        <v>4</v>
      </c>
      <c r="E234" s="10">
        <v>27</v>
      </c>
      <c r="F234" s="10" t="str">
        <f>HYPERLINK("https://www.boe.es/gazeta/dias/1834/08/16/pdfs/GMD-1834-181.pdf","Abrir PDF")</f>
        <v>Abrir PDF</v>
      </c>
    </row>
    <row r="235" spans="1:6" ht="31.95" customHeight="1">
      <c r="A235" s="9" t="s">
        <v>601</v>
      </c>
      <c r="B235" s="9" t="s">
        <v>14585</v>
      </c>
      <c r="C235" s="9" t="s">
        <v>38167</v>
      </c>
      <c r="D235" s="10">
        <v>4</v>
      </c>
      <c r="E235" s="10">
        <v>4</v>
      </c>
      <c r="F235" s="10" t="str">
        <f>HYPERLINK("https://www.boe.es/gazeta/dias/1834/08/16/pdfs/GMD-C-1834-181.pdf","Abrir PDF")</f>
        <v>Abrir PDF</v>
      </c>
    </row>
    <row r="236" spans="1:6" ht="31.95" customHeight="1">
      <c r="A236" s="9" t="s">
        <v>19</v>
      </c>
      <c r="B236" s="9" t="s">
        <v>107</v>
      </c>
      <c r="C236" s="9" t="s">
        <v>38168</v>
      </c>
      <c r="D236" s="10">
        <v>4</v>
      </c>
      <c r="E236" s="10">
        <v>79</v>
      </c>
      <c r="F236" s="10" t="str">
        <f>HYPERLINK("https://www.boe.es/gazeta/dias/1834/08/17/pdfs/GMD-1834-182.pdf","Abrir PDF")</f>
        <v>Abrir PDF</v>
      </c>
    </row>
    <row r="237" spans="1:6" ht="31.95" customHeight="1">
      <c r="A237" s="9" t="s">
        <v>19</v>
      </c>
      <c r="B237" s="9" t="s">
        <v>1933</v>
      </c>
      <c r="C237" s="9" t="s">
        <v>38169</v>
      </c>
      <c r="D237" s="10">
        <v>2</v>
      </c>
      <c r="E237" s="10">
        <v>37</v>
      </c>
      <c r="F237" s="10" t="str">
        <f>HYPERLINK("https://www.boe.es/gazeta/dias/1834/08/17/pdfs/GMD-1834-183E.pdf","Abrir PDF")</f>
        <v>Abrir PDF</v>
      </c>
    </row>
    <row r="238" spans="1:6" ht="31.95" customHeight="1">
      <c r="A238" s="9" t="s">
        <v>19</v>
      </c>
      <c r="B238" s="9" t="s">
        <v>20</v>
      </c>
      <c r="C238" s="9" t="s">
        <v>38170</v>
      </c>
      <c r="D238" s="10">
        <v>4</v>
      </c>
      <c r="E238" s="10">
        <v>17</v>
      </c>
      <c r="F238" s="10" t="str">
        <f>HYPERLINK("https://www.boe.es/gazeta/dias/1834/08/17/pdfs/GMD-C-1834-182.pdf","Abrir PDF")</f>
        <v>Abrir PDF</v>
      </c>
    </row>
    <row r="239" spans="1:6" ht="31.95" customHeight="1">
      <c r="A239" s="9" t="s">
        <v>19</v>
      </c>
      <c r="B239" s="9" t="s">
        <v>20</v>
      </c>
      <c r="C239" s="9" t="s">
        <v>38171</v>
      </c>
      <c r="D239" s="10">
        <v>4</v>
      </c>
      <c r="E239" s="10">
        <v>43</v>
      </c>
      <c r="F239" s="10" t="str">
        <f>HYPERLINK("https://www.boe.es/gazeta/dias/1834/08/17/pdfs/GMD-D-1834-182.pdf","Abrir PDF")</f>
        <v>Abrir PDF</v>
      </c>
    </row>
    <row r="240" spans="1:6" ht="31.95" customHeight="1">
      <c r="A240" s="9" t="s">
        <v>1459</v>
      </c>
      <c r="B240" s="9" t="s">
        <v>1460</v>
      </c>
      <c r="C240" s="9" t="s">
        <v>38172</v>
      </c>
      <c r="D240" s="10">
        <v>4</v>
      </c>
      <c r="E240" s="10">
        <v>55</v>
      </c>
      <c r="F240" s="10" t="str">
        <f>HYPERLINK("https://www.boe.es/gazeta/dias/1834/08/18/pdfs/GMD-1834-184.pdf","Abrir PDF")</f>
        <v>Abrir PDF</v>
      </c>
    </row>
    <row r="241" spans="1:6" ht="31.95" customHeight="1">
      <c r="A241" s="9" t="s">
        <v>1459</v>
      </c>
      <c r="B241" s="9" t="s">
        <v>7907</v>
      </c>
      <c r="C241" s="9" t="s">
        <v>38173</v>
      </c>
      <c r="D241" s="10">
        <v>4</v>
      </c>
      <c r="E241" s="10">
        <v>2</v>
      </c>
      <c r="F241" s="10" t="str">
        <f>HYPERLINK("https://www.boe.es/gazeta/dias/1834/08/18/pdfs/GMD-C-1834-184.pdf","Abrir PDF")</f>
        <v>Abrir PDF</v>
      </c>
    </row>
    <row r="242" spans="1:6" ht="31.95" customHeight="1">
      <c r="A242" s="9" t="s">
        <v>615</v>
      </c>
      <c r="B242" s="9" t="s">
        <v>616</v>
      </c>
      <c r="C242" s="9" t="s">
        <v>38174</v>
      </c>
      <c r="D242" s="10">
        <v>4</v>
      </c>
      <c r="E242" s="10">
        <v>49</v>
      </c>
      <c r="F242" s="10" t="str">
        <f>HYPERLINK("https://www.boe.es/gazeta/dias/1834/08/19/pdfs/GMD-1834-185.pdf","Abrir PDF")</f>
        <v>Abrir PDF</v>
      </c>
    </row>
    <row r="243" spans="1:6" ht="31.95" customHeight="1">
      <c r="A243" s="9" t="s">
        <v>615</v>
      </c>
      <c r="B243" s="9" t="s">
        <v>1205</v>
      </c>
      <c r="C243" s="9" t="s">
        <v>38175</v>
      </c>
      <c r="D243" s="10">
        <v>5</v>
      </c>
      <c r="E243" s="10">
        <v>8</v>
      </c>
      <c r="F243" s="10" t="str">
        <f>HYPERLINK("https://www.boe.es/gazeta/dias/1834/08/19/pdfs/GMD-C-1834-185.pdf","Abrir PDF")</f>
        <v>Abrir PDF</v>
      </c>
    </row>
    <row r="244" spans="1:6" ht="31.95" customHeight="1">
      <c r="A244" s="9" t="s">
        <v>615</v>
      </c>
      <c r="B244" s="9" t="s">
        <v>1205</v>
      </c>
      <c r="C244" s="9" t="s">
        <v>38176</v>
      </c>
      <c r="D244" s="10">
        <v>2</v>
      </c>
      <c r="E244" s="10">
        <v>46</v>
      </c>
      <c r="F244" s="10" t="str">
        <f>HYPERLINK("https://www.boe.es/gazeta/dias/1834/08/19/pdfs/GMD-D-1834-185.pdf","Abrir PDF")</f>
        <v>Abrir PDF</v>
      </c>
    </row>
    <row r="245" spans="1:6" ht="31.95" customHeight="1">
      <c r="A245" s="9" t="s">
        <v>1239</v>
      </c>
      <c r="B245" s="9" t="s">
        <v>1240</v>
      </c>
      <c r="C245" s="9" t="s">
        <v>38177</v>
      </c>
      <c r="D245" s="10">
        <v>4</v>
      </c>
      <c r="E245" s="10">
        <v>71</v>
      </c>
      <c r="F245" s="10" t="str">
        <f>HYPERLINK("https://www.boe.es/gazeta/dias/1834/08/20/pdfs/GMD-1834-186.pdf","Abrir PDF")</f>
        <v>Abrir PDF</v>
      </c>
    </row>
    <row r="246" spans="1:6" ht="31.95" customHeight="1">
      <c r="A246" s="9" t="s">
        <v>375</v>
      </c>
      <c r="B246" s="9" t="s">
        <v>376</v>
      </c>
      <c r="C246" s="9" t="s">
        <v>38178</v>
      </c>
      <c r="D246" s="10">
        <v>4</v>
      </c>
      <c r="E246" s="10">
        <v>71</v>
      </c>
      <c r="F246" s="10" t="str">
        <f>HYPERLINK("https://www.boe.es/gazeta/dias/1834/08/21/pdfs/GMD-1834-187.pdf","Abrir PDF")</f>
        <v>Abrir PDF</v>
      </c>
    </row>
    <row r="247" spans="1:6" ht="31.95" customHeight="1">
      <c r="A247" s="9" t="s">
        <v>375</v>
      </c>
      <c r="B247" s="9" t="s">
        <v>4983</v>
      </c>
      <c r="C247" s="9" t="s">
        <v>38179</v>
      </c>
      <c r="D247" s="10">
        <v>2</v>
      </c>
      <c r="E247" s="10">
        <v>33</v>
      </c>
      <c r="F247" s="10" t="str">
        <f>HYPERLINK("https://www.boe.es/gazeta/dias/1834/08/21/pdfs/GMD-C-1834-187.pdf","Abrir PDF")</f>
        <v>Abrir PDF</v>
      </c>
    </row>
    <row r="248" spans="1:6" ht="31.95" customHeight="1">
      <c r="A248" s="9" t="s">
        <v>3225</v>
      </c>
      <c r="B248" s="9" t="s">
        <v>3226</v>
      </c>
      <c r="C248" s="9" t="s">
        <v>38180</v>
      </c>
      <c r="D248" s="10">
        <v>4</v>
      </c>
      <c r="E248" s="10">
        <v>42</v>
      </c>
      <c r="F248" s="10" t="str">
        <f>HYPERLINK("https://www.boe.es/gazeta/dias/1834/08/22/pdfs/GMD-1834-188.pdf","Abrir PDF")</f>
        <v>Abrir PDF</v>
      </c>
    </row>
    <row r="249" spans="1:6" ht="31.95" customHeight="1">
      <c r="A249" s="9" t="s">
        <v>247</v>
      </c>
      <c r="B249" s="9" t="s">
        <v>2805</v>
      </c>
      <c r="C249" s="9" t="s">
        <v>38181</v>
      </c>
      <c r="D249" s="10">
        <v>4</v>
      </c>
      <c r="E249" s="10">
        <v>21</v>
      </c>
      <c r="F249" s="10" t="str">
        <f>HYPERLINK("https://www.boe.es/gazeta/dias/1834/08/23/pdfs/GMD-1834-189.pdf","Abrir PDF")</f>
        <v>Abrir PDF</v>
      </c>
    </row>
    <row r="250" spans="1:6" ht="31.95" customHeight="1">
      <c r="A250" s="9" t="s">
        <v>247</v>
      </c>
      <c r="B250" s="9" t="s">
        <v>248</v>
      </c>
      <c r="C250" s="9" t="s">
        <v>38182</v>
      </c>
      <c r="D250" s="10">
        <v>2</v>
      </c>
      <c r="E250" s="10">
        <v>30</v>
      </c>
      <c r="F250" s="10" t="str">
        <f>HYPERLINK("https://www.boe.es/gazeta/dias/1834/08/23/pdfs/GMD-C-1834-189.pdf","Abrir PDF")</f>
        <v>Abrir PDF</v>
      </c>
    </row>
    <row r="251" spans="1:6" ht="31.95" customHeight="1">
      <c r="A251" s="9" t="s">
        <v>2107</v>
      </c>
      <c r="B251" s="9" t="s">
        <v>2108</v>
      </c>
      <c r="C251" s="9" t="s">
        <v>38183</v>
      </c>
      <c r="D251" s="10">
        <v>4</v>
      </c>
      <c r="E251" s="10">
        <v>38</v>
      </c>
      <c r="F251" s="10" t="str">
        <f>HYPERLINK("https://www.boe.es/gazeta/dias/1834/08/24/pdfs/GMD-1834-190.pdf","Abrir PDF")</f>
        <v>Abrir PDF</v>
      </c>
    </row>
    <row r="252" spans="1:6" ht="31.95" customHeight="1">
      <c r="A252" s="9" t="s">
        <v>1307</v>
      </c>
      <c r="B252" s="9" t="s">
        <v>1308</v>
      </c>
      <c r="C252" s="9" t="s">
        <v>38184</v>
      </c>
      <c r="D252" s="10">
        <v>4</v>
      </c>
      <c r="E252" s="10">
        <v>51</v>
      </c>
      <c r="F252" s="10" t="str">
        <f>HYPERLINK("https://www.boe.es/gazeta/dias/1834/08/25/pdfs/GMD-1834-191.pdf","Abrir PDF")</f>
        <v>Abrir PDF</v>
      </c>
    </row>
    <row r="253" spans="1:6" ht="31.95" customHeight="1">
      <c r="A253" s="9" t="s">
        <v>1135</v>
      </c>
      <c r="B253" s="9" t="s">
        <v>1136</v>
      </c>
      <c r="C253" s="9" t="s">
        <v>38185</v>
      </c>
      <c r="D253" s="10">
        <v>4</v>
      </c>
      <c r="E253" s="10">
        <v>29</v>
      </c>
      <c r="F253" s="10" t="str">
        <f>HYPERLINK("https://www.boe.es/gazeta/dias/1834/08/26/pdfs/GMD-1834-192.pdf","Abrir PDF")</f>
        <v>Abrir PDF</v>
      </c>
    </row>
    <row r="254" spans="1:6" ht="31.95" customHeight="1">
      <c r="A254" s="9" t="s">
        <v>1135</v>
      </c>
      <c r="B254" s="9" t="s">
        <v>1566</v>
      </c>
      <c r="C254" s="9" t="s">
        <v>38186</v>
      </c>
      <c r="D254" s="10">
        <v>2</v>
      </c>
      <c r="E254" s="10">
        <v>23</v>
      </c>
      <c r="F254" s="10" t="str">
        <f>HYPERLINK("https://www.boe.es/gazeta/dias/1834/08/26/pdfs/GMD-C-1834-192.pdf","Abrir PDF")</f>
        <v>Abrir PDF</v>
      </c>
    </row>
    <row r="255" spans="1:6" ht="31.95" customHeight="1">
      <c r="A255" s="9" t="s">
        <v>462</v>
      </c>
      <c r="B255" s="9" t="s">
        <v>2110</v>
      </c>
      <c r="C255" s="9" t="s">
        <v>38187</v>
      </c>
      <c r="D255" s="10">
        <v>4</v>
      </c>
      <c r="E255" s="10">
        <v>26</v>
      </c>
      <c r="F255" s="10" t="str">
        <f>HYPERLINK("https://www.boe.es/gazeta/dias/1834/08/27/pdfs/GMD-1834-193.pdf","Abrir PDF")</f>
        <v>Abrir PDF</v>
      </c>
    </row>
    <row r="256" spans="1:6" ht="31.95" customHeight="1">
      <c r="A256" s="9" t="s">
        <v>462</v>
      </c>
      <c r="B256" s="9" t="s">
        <v>463</v>
      </c>
      <c r="C256" s="9" t="s">
        <v>38188</v>
      </c>
      <c r="D256" s="10">
        <v>3</v>
      </c>
      <c r="E256" s="10">
        <v>41</v>
      </c>
      <c r="F256" s="10" t="str">
        <f>HYPERLINK("https://www.boe.es/gazeta/dias/1834/08/27/pdfs/GMD-C-1834-193.pdf","Abrir PDF")</f>
        <v>Abrir PDF</v>
      </c>
    </row>
    <row r="257" spans="1:6" ht="31.95" customHeight="1">
      <c r="A257" s="9" t="s">
        <v>8010</v>
      </c>
      <c r="B257" s="9" t="s">
        <v>8011</v>
      </c>
      <c r="C257" s="9" t="s">
        <v>38189</v>
      </c>
      <c r="D257" s="10">
        <v>4</v>
      </c>
      <c r="E257" s="10">
        <v>19</v>
      </c>
      <c r="F257" s="10" t="str">
        <f>HYPERLINK("https://www.boe.es/gazeta/dias/1834/08/28/pdfs/GMD-1834-194.pdf","Abrir PDF")</f>
        <v>Abrir PDF</v>
      </c>
    </row>
    <row r="258" spans="1:6" ht="31.95" customHeight="1">
      <c r="A258" s="9" t="s">
        <v>280</v>
      </c>
      <c r="B258" s="9" t="s">
        <v>3217</v>
      </c>
      <c r="C258" s="9" t="s">
        <v>38190</v>
      </c>
      <c r="D258" s="10">
        <v>4</v>
      </c>
      <c r="E258" s="10">
        <v>38</v>
      </c>
      <c r="F258" s="10" t="str">
        <f>HYPERLINK("https://www.boe.es/gazeta/dias/1834/08/29/pdfs/GMD-1834-195.pdf","Abrir PDF")</f>
        <v>Abrir PDF</v>
      </c>
    </row>
    <row r="259" spans="1:6" ht="31.95" customHeight="1">
      <c r="A259" s="9" t="s">
        <v>280</v>
      </c>
      <c r="B259" s="9" t="s">
        <v>281</v>
      </c>
      <c r="C259" s="9" t="s">
        <v>38191</v>
      </c>
      <c r="D259" s="10">
        <v>7</v>
      </c>
      <c r="E259" s="10">
        <v>61</v>
      </c>
      <c r="F259" s="10" t="str">
        <f>HYPERLINK("https://www.boe.es/gazeta/dias/1834/08/29/pdfs/GMD-C-1834-195.pdf","Abrir PDF")</f>
        <v>Abrir PDF</v>
      </c>
    </row>
    <row r="260" spans="1:6" ht="31.95" customHeight="1">
      <c r="A260" s="9" t="s">
        <v>286</v>
      </c>
      <c r="B260" s="9" t="s">
        <v>548</v>
      </c>
      <c r="C260" s="9" t="s">
        <v>38192</v>
      </c>
      <c r="D260" s="10">
        <v>4</v>
      </c>
      <c r="E260" s="10">
        <v>54</v>
      </c>
      <c r="F260" s="10" t="str">
        <f>HYPERLINK("https://www.boe.es/gazeta/dias/1834/08/30/pdfs/GMD-1834-196.pdf","Abrir PDF")</f>
        <v>Abrir PDF</v>
      </c>
    </row>
    <row r="261" spans="1:6" ht="31.95" customHeight="1">
      <c r="A261" s="9" t="s">
        <v>286</v>
      </c>
      <c r="B261" s="9" t="s">
        <v>1928</v>
      </c>
      <c r="C261" s="9" t="s">
        <v>38193</v>
      </c>
      <c r="D261" s="10">
        <v>2</v>
      </c>
      <c r="E261" s="10">
        <v>28</v>
      </c>
      <c r="F261" s="10" t="str">
        <f>HYPERLINK("https://www.boe.es/gazeta/dias/1834/08/30/pdfs/GMD-1834-197E.pdf","Abrir PDF")</f>
        <v>Abrir PDF</v>
      </c>
    </row>
    <row r="262" spans="1:6" ht="31.95" customHeight="1">
      <c r="A262" s="9" t="s">
        <v>286</v>
      </c>
      <c r="B262" s="9" t="s">
        <v>287</v>
      </c>
      <c r="C262" s="9" t="s">
        <v>38194</v>
      </c>
      <c r="D262" s="10">
        <v>5</v>
      </c>
      <c r="E262" s="10">
        <v>26</v>
      </c>
      <c r="F262" s="10" t="str">
        <f>HYPERLINK("https://www.boe.es/gazeta/dias/1834/08/30/pdfs/GMD-C-1834-196.pdf","Abrir PDF")</f>
        <v>Abrir PDF</v>
      </c>
    </row>
    <row r="263" spans="1:6" ht="31.95" customHeight="1">
      <c r="A263" s="9" t="s">
        <v>286</v>
      </c>
      <c r="B263" s="9" t="s">
        <v>287</v>
      </c>
      <c r="C263" s="9" t="s">
        <v>38195</v>
      </c>
      <c r="D263" s="10">
        <v>3</v>
      </c>
      <c r="E263" s="10">
        <v>12</v>
      </c>
      <c r="F263" s="10" t="str">
        <f>HYPERLINK("https://www.boe.es/gazeta/dias/1834/08/30/pdfs/GMD-D-1834-196.pdf","Abrir PDF")</f>
        <v>Abrir PDF</v>
      </c>
    </row>
    <row r="264" spans="1:6" ht="31.95" customHeight="1">
      <c r="A264" s="9" t="s">
        <v>273</v>
      </c>
      <c r="B264" s="9" t="s">
        <v>413</v>
      </c>
      <c r="C264" s="9" t="s">
        <v>38196</v>
      </c>
      <c r="D264" s="10">
        <v>4</v>
      </c>
      <c r="E264" s="10">
        <v>30</v>
      </c>
      <c r="F264" s="10" t="str">
        <f>HYPERLINK("https://www.boe.es/gazeta/dias/1834/08/31/pdfs/GMD-1834-198.pdf","Abrir PDF")</f>
        <v>Abrir PDF</v>
      </c>
    </row>
    <row r="265" spans="1:6" ht="31.95" customHeight="1">
      <c r="A265" s="9" t="s">
        <v>273</v>
      </c>
      <c r="B265" s="9" t="s">
        <v>274</v>
      </c>
      <c r="C265" s="9" t="s">
        <v>38197</v>
      </c>
      <c r="D265" s="10">
        <v>5</v>
      </c>
      <c r="E265" s="10">
        <v>17</v>
      </c>
      <c r="F265" s="10" t="str">
        <f>HYPERLINK("https://www.boe.es/gazeta/dias/1834/08/31/pdfs/GMD-C-1834-198.pdf","Abrir PDF")</f>
        <v>Abrir PDF</v>
      </c>
    </row>
    <row r="266" spans="1:6" ht="31.95" customHeight="1">
      <c r="A266" s="9" t="s">
        <v>273</v>
      </c>
      <c r="B266" s="9" t="s">
        <v>274</v>
      </c>
      <c r="C266" s="9" t="s">
        <v>38198</v>
      </c>
      <c r="D266" s="10">
        <v>6</v>
      </c>
      <c r="E266" s="10">
        <v>59</v>
      </c>
      <c r="F266" s="10" t="str">
        <f>HYPERLINK("https://www.boe.es/gazeta/dias/1834/08/31/pdfs/GMD-D-1834-198.pdf","Abrir PDF")</f>
        <v>Abrir PDF</v>
      </c>
    </row>
    <row r="267" spans="1:6" ht="31.95" customHeight="1">
      <c r="A267" s="9" t="s">
        <v>255</v>
      </c>
      <c r="B267" s="9" t="s">
        <v>2368</v>
      </c>
      <c r="C267" s="9" t="s">
        <v>38199</v>
      </c>
      <c r="D267" s="10">
        <v>4</v>
      </c>
      <c r="E267" s="10">
        <v>27</v>
      </c>
      <c r="F267" s="10" t="str">
        <f>HYPERLINK("https://www.boe.es/gazeta/dias/1834/09/01/pdfs/GMD-1834-199.pdf","Abrir PDF")</f>
        <v>Abrir PDF</v>
      </c>
    </row>
    <row r="268" spans="1:6" ht="31.95" customHeight="1">
      <c r="A268" s="9" t="s">
        <v>255</v>
      </c>
      <c r="B268" s="9" t="s">
        <v>256</v>
      </c>
      <c r="C268" s="9" t="s">
        <v>38200</v>
      </c>
      <c r="D268" s="10">
        <v>2</v>
      </c>
      <c r="E268" s="10">
        <v>27</v>
      </c>
      <c r="F268" s="10" t="str">
        <f>HYPERLINK("https://www.boe.es/gazeta/dias/1834/09/01/pdfs/GMD-C-1834-199.pdf","Abrir PDF")</f>
        <v>Abrir PDF</v>
      </c>
    </row>
    <row r="269" spans="1:6" ht="31.95" customHeight="1">
      <c r="A269" s="9" t="s">
        <v>255</v>
      </c>
      <c r="B269" s="9" t="s">
        <v>256</v>
      </c>
      <c r="C269" s="9" t="s">
        <v>38201</v>
      </c>
      <c r="D269" s="10">
        <v>4</v>
      </c>
      <c r="E269" s="10">
        <v>30</v>
      </c>
      <c r="F269" s="10" t="str">
        <f>HYPERLINK("https://www.boe.es/gazeta/dias/1834/09/01/pdfs/GMD-D-1834-199.pdf","Abrir PDF")</f>
        <v>Abrir PDF</v>
      </c>
    </row>
    <row r="270" spans="1:6" ht="31.95" customHeight="1">
      <c r="A270" s="9" t="s">
        <v>255</v>
      </c>
      <c r="B270" s="9" t="s">
        <v>2368</v>
      </c>
      <c r="C270" s="9" t="s">
        <v>38202</v>
      </c>
      <c r="D270" s="10">
        <v>2</v>
      </c>
      <c r="E270" s="10">
        <v>15</v>
      </c>
      <c r="F270" s="10" t="str">
        <f>HYPERLINK("https://www.boe.es/gazeta/dias/1834/09/01/pdfs/I00843-00844.pdf","Abrir PDF")</f>
        <v>Abrir PDF</v>
      </c>
    </row>
    <row r="271" spans="1:6" ht="31.95" customHeight="1">
      <c r="A271" s="9" t="s">
        <v>4105</v>
      </c>
      <c r="B271" s="9" t="s">
        <v>8942</v>
      </c>
      <c r="C271" s="9" t="s">
        <v>38203</v>
      </c>
      <c r="D271" s="10">
        <v>4</v>
      </c>
      <c r="E271" s="10">
        <v>11</v>
      </c>
      <c r="F271" s="10" t="str">
        <f>HYPERLINK("https://www.boe.es/gazeta/dias/1834/09/02/pdfs/GMD-1834-200.pdf","Abrir PDF")</f>
        <v>Abrir PDF</v>
      </c>
    </row>
    <row r="272" spans="1:6" ht="31.95" customHeight="1">
      <c r="A272" s="9" t="s">
        <v>4105</v>
      </c>
      <c r="B272" s="9" t="s">
        <v>4106</v>
      </c>
      <c r="C272" s="9" t="s">
        <v>38204</v>
      </c>
      <c r="D272" s="10">
        <v>6</v>
      </c>
      <c r="E272" s="10">
        <v>32</v>
      </c>
      <c r="F272" s="10" t="str">
        <f>HYPERLINK("https://www.boe.es/gazeta/dias/1834/09/02/pdfs/GMD-C-1834-200.pdf","Abrir PDF")</f>
        <v>Abrir PDF</v>
      </c>
    </row>
    <row r="273" spans="1:6" ht="31.95" customHeight="1">
      <c r="A273" s="9" t="s">
        <v>690</v>
      </c>
      <c r="B273" s="9" t="s">
        <v>5765</v>
      </c>
      <c r="C273" s="9" t="s">
        <v>38205</v>
      </c>
      <c r="D273" s="10">
        <v>4</v>
      </c>
      <c r="E273" s="10">
        <v>33</v>
      </c>
      <c r="F273" s="10" t="str">
        <f>HYPERLINK("https://www.boe.es/gazeta/dias/1834/09/03/pdfs/GMD-1834-201.pdf","Abrir PDF")</f>
        <v>Abrir PDF</v>
      </c>
    </row>
    <row r="274" spans="1:6" ht="31.95" customHeight="1">
      <c r="A274" s="9" t="s">
        <v>690</v>
      </c>
      <c r="B274" s="9" t="s">
        <v>691</v>
      </c>
      <c r="C274" s="9" t="s">
        <v>38206</v>
      </c>
      <c r="D274" s="10">
        <v>7</v>
      </c>
      <c r="E274" s="10">
        <v>70</v>
      </c>
      <c r="F274" s="10" t="str">
        <f>HYPERLINK("https://www.boe.es/gazeta/dias/1834/09/03/pdfs/GMD-C-1834-201.pdf","Abrir PDF")</f>
        <v>Abrir PDF</v>
      </c>
    </row>
    <row r="275" spans="1:6" ht="31.95" customHeight="1">
      <c r="A275" s="9" t="s">
        <v>571</v>
      </c>
      <c r="B275" s="9" t="s">
        <v>572</v>
      </c>
      <c r="C275" s="9" t="s">
        <v>38207</v>
      </c>
      <c r="D275" s="10">
        <v>4</v>
      </c>
      <c r="E275" s="10">
        <v>64</v>
      </c>
      <c r="F275" s="10" t="str">
        <f>HYPERLINK("https://www.boe.es/gazeta/dias/1834/09/04/pdfs/GMD-1834-202.pdf","Abrir PDF")</f>
        <v>Abrir PDF</v>
      </c>
    </row>
    <row r="276" spans="1:6" ht="31.95" customHeight="1">
      <c r="A276" s="9" t="s">
        <v>571</v>
      </c>
      <c r="B276" s="9" t="s">
        <v>620</v>
      </c>
      <c r="C276" s="9" t="s">
        <v>38208</v>
      </c>
      <c r="D276" s="10">
        <v>8</v>
      </c>
      <c r="E276" s="10">
        <v>95</v>
      </c>
      <c r="F276" s="10" t="str">
        <f>HYPERLINK("https://www.boe.es/gazeta/dias/1834/09/04/pdfs/GMD-C-1834-202.pdf","Abrir PDF")</f>
        <v>Abrir PDF</v>
      </c>
    </row>
    <row r="277" spans="1:6" ht="31.95" customHeight="1">
      <c r="A277" s="9" t="s">
        <v>47</v>
      </c>
      <c r="B277" s="9" t="s">
        <v>1466</v>
      </c>
      <c r="C277" s="9" t="s">
        <v>38209</v>
      </c>
      <c r="D277" s="10">
        <v>4</v>
      </c>
      <c r="E277" s="10">
        <v>30</v>
      </c>
      <c r="F277" s="10" t="str">
        <f>HYPERLINK("https://www.boe.es/gazeta/dias/1834/09/05/pdfs/GMD-1834-203.pdf","Abrir PDF")</f>
        <v>Abrir PDF</v>
      </c>
    </row>
    <row r="278" spans="1:6" ht="31.95" customHeight="1">
      <c r="A278" s="9" t="s">
        <v>47</v>
      </c>
      <c r="B278" s="9" t="s">
        <v>48</v>
      </c>
      <c r="C278" s="9" t="s">
        <v>38210</v>
      </c>
      <c r="D278" s="10">
        <v>6</v>
      </c>
      <c r="E278" s="10">
        <v>38</v>
      </c>
      <c r="F278" s="10" t="str">
        <f>HYPERLINK("https://www.boe.es/gazeta/dias/1834/09/05/pdfs/GMD-C-1834-203.pdf","Abrir PDF")</f>
        <v>Abrir PDF</v>
      </c>
    </row>
    <row r="279" spans="1:6" ht="31.95" customHeight="1">
      <c r="A279" s="9" t="s">
        <v>364</v>
      </c>
      <c r="B279" s="9" t="s">
        <v>2102</v>
      </c>
      <c r="C279" s="9" t="s">
        <v>38211</v>
      </c>
      <c r="D279" s="10">
        <v>4</v>
      </c>
      <c r="E279" s="10">
        <v>33</v>
      </c>
      <c r="F279" s="10" t="str">
        <f>HYPERLINK("https://www.boe.es/gazeta/dias/1834/09/06/pdfs/GMD-1834-204.pdf","Abrir PDF")</f>
        <v>Abrir PDF</v>
      </c>
    </row>
    <row r="280" spans="1:6" ht="31.95" customHeight="1">
      <c r="A280" s="9" t="s">
        <v>364</v>
      </c>
      <c r="B280" s="9" t="s">
        <v>365</v>
      </c>
      <c r="C280" s="9" t="s">
        <v>38212</v>
      </c>
      <c r="D280" s="10">
        <v>8</v>
      </c>
      <c r="E280" s="10">
        <v>45</v>
      </c>
      <c r="F280" s="10" t="str">
        <f>HYPERLINK("https://www.boe.es/gazeta/dias/1834/09/06/pdfs/GMD-C-1834-204.pdf","Abrir PDF")</f>
        <v>Abrir PDF</v>
      </c>
    </row>
    <row r="281" spans="1:6" ht="31.95" customHeight="1">
      <c r="A281" s="9" t="s">
        <v>364</v>
      </c>
      <c r="B281" s="9" t="s">
        <v>365</v>
      </c>
      <c r="C281" s="9" t="s">
        <v>38213</v>
      </c>
      <c r="D281" s="10">
        <v>2</v>
      </c>
      <c r="E281" s="10">
        <v>34</v>
      </c>
      <c r="F281" s="10" t="str">
        <f>HYPERLINK("https://www.boe.es/gazeta/dias/1834/09/06/pdfs/GMD-D-1834-204.pdf","Abrir PDF")</f>
        <v>Abrir PDF</v>
      </c>
    </row>
    <row r="282" spans="1:6" ht="31.95" customHeight="1">
      <c r="A282" s="9" t="s">
        <v>167</v>
      </c>
      <c r="B282" s="9" t="s">
        <v>168</v>
      </c>
      <c r="C282" s="9" t="s">
        <v>38214</v>
      </c>
      <c r="D282" s="10">
        <v>4</v>
      </c>
      <c r="E282" s="10">
        <v>24</v>
      </c>
      <c r="F282" s="10" t="str">
        <f>HYPERLINK("https://www.boe.es/gazeta/dias/1834/09/07/pdfs/GMD-1834-205.pdf","Abrir PDF")</f>
        <v>Abrir PDF</v>
      </c>
    </row>
    <row r="283" spans="1:6" ht="31.95" customHeight="1">
      <c r="A283" s="9" t="s">
        <v>167</v>
      </c>
      <c r="B283" s="9" t="s">
        <v>1200</v>
      </c>
      <c r="C283" s="9" t="s">
        <v>38215</v>
      </c>
      <c r="D283" s="10">
        <v>10</v>
      </c>
      <c r="E283" s="10">
        <v>121</v>
      </c>
      <c r="F283" s="10" t="str">
        <f>HYPERLINK("https://www.boe.es/gazeta/dias/1834/09/07/pdfs/GMD-C-1834-205.pdf","Abrir PDF")</f>
        <v>Abrir PDF</v>
      </c>
    </row>
    <row r="284" spans="1:6" ht="31.95" customHeight="1">
      <c r="A284" s="9" t="s">
        <v>1265</v>
      </c>
      <c r="B284" s="9" t="s">
        <v>1266</v>
      </c>
      <c r="C284" s="9" t="s">
        <v>38216</v>
      </c>
      <c r="D284" s="10">
        <v>4</v>
      </c>
      <c r="E284" s="10">
        <v>23</v>
      </c>
      <c r="F284" s="10" t="str">
        <f>HYPERLINK("https://www.boe.es/gazeta/dias/1834/09/08/pdfs/GMD-1834-206.pdf","Abrir PDF")</f>
        <v>Abrir PDF</v>
      </c>
    </row>
    <row r="285" spans="1:6" ht="31.95" customHeight="1">
      <c r="A285" s="9" t="s">
        <v>1410</v>
      </c>
      <c r="B285" s="9" t="s">
        <v>1411</v>
      </c>
      <c r="C285" s="9" t="s">
        <v>38217</v>
      </c>
      <c r="D285" s="10">
        <v>4</v>
      </c>
      <c r="E285" s="10">
        <v>28</v>
      </c>
      <c r="F285" s="10" t="str">
        <f>HYPERLINK("https://www.boe.es/gazeta/dias/1834/09/09/pdfs/GMD-1834-207.pdf","Abrir PDF")</f>
        <v>Abrir PDF</v>
      </c>
    </row>
    <row r="286" spans="1:6" ht="31.95" customHeight="1">
      <c r="A286" s="9" t="s">
        <v>1410</v>
      </c>
      <c r="B286" s="9" t="s">
        <v>2231</v>
      </c>
      <c r="C286" s="9" t="s">
        <v>38218</v>
      </c>
      <c r="D286" s="10">
        <v>5</v>
      </c>
      <c r="E286" s="10">
        <v>50</v>
      </c>
      <c r="F286" s="10" t="str">
        <f>HYPERLINK("https://www.boe.es/gazeta/dias/1834/09/09/pdfs/GMD-C-1834-207.pdf","Abrir PDF")</f>
        <v>Abrir PDF</v>
      </c>
    </row>
    <row r="287" spans="1:6" ht="31.95" customHeight="1">
      <c r="A287" s="9" t="s">
        <v>2203</v>
      </c>
      <c r="B287" s="9" t="s">
        <v>3917</v>
      </c>
      <c r="C287" s="9" t="s">
        <v>38219</v>
      </c>
      <c r="D287" s="10">
        <v>4</v>
      </c>
      <c r="E287" s="10">
        <v>28</v>
      </c>
      <c r="F287" s="10" t="str">
        <f>HYPERLINK("https://www.boe.es/gazeta/dias/1834/09/10/pdfs/GMD-1834-208.pdf","Abrir PDF")</f>
        <v>Abrir PDF</v>
      </c>
    </row>
    <row r="288" spans="1:6" ht="31.95" customHeight="1">
      <c r="A288" s="9" t="s">
        <v>2203</v>
      </c>
      <c r="B288" s="9" t="s">
        <v>2204</v>
      </c>
      <c r="C288" s="9" t="s">
        <v>38220</v>
      </c>
      <c r="D288" s="10">
        <v>5</v>
      </c>
      <c r="E288" s="10">
        <v>48</v>
      </c>
      <c r="F288" s="10" t="str">
        <f>HYPERLINK("https://www.boe.es/gazeta/dias/1834/09/10/pdfs/GMD-C-1834-208.pdf","Abrir PDF")</f>
        <v>Abrir PDF</v>
      </c>
    </row>
    <row r="289" spans="1:6" ht="31.95" customHeight="1">
      <c r="A289" s="9" t="s">
        <v>334</v>
      </c>
      <c r="B289" s="9" t="s">
        <v>567</v>
      </c>
      <c r="C289" s="9" t="s">
        <v>38221</v>
      </c>
      <c r="D289" s="10">
        <v>4</v>
      </c>
      <c r="E289" s="10">
        <v>18</v>
      </c>
      <c r="F289" s="10" t="str">
        <f>HYPERLINK("https://www.boe.es/gazeta/dias/1834/09/11/pdfs/GMD-1834-209.pdf","Abrir PDF")</f>
        <v>Abrir PDF</v>
      </c>
    </row>
    <row r="290" spans="1:6" ht="31.95" customHeight="1">
      <c r="A290" s="9" t="s">
        <v>334</v>
      </c>
      <c r="B290" s="9" t="s">
        <v>335</v>
      </c>
      <c r="C290" s="9" t="s">
        <v>38222</v>
      </c>
      <c r="D290" s="10">
        <v>4</v>
      </c>
      <c r="E290" s="10">
        <v>44</v>
      </c>
      <c r="F290" s="10" t="str">
        <f>HYPERLINK("https://www.boe.es/gazeta/dias/1834/09/11/pdfs/GMD-C-1834-209.pdf","Abrir PDF")</f>
        <v>Abrir PDF</v>
      </c>
    </row>
    <row r="291" spans="1:6" ht="31.95" customHeight="1">
      <c r="A291" s="9" t="s">
        <v>444</v>
      </c>
      <c r="B291" s="9" t="s">
        <v>2412</v>
      </c>
      <c r="C291" s="9" t="s">
        <v>38223</v>
      </c>
      <c r="D291" s="10">
        <v>4</v>
      </c>
      <c r="E291" s="10">
        <v>23</v>
      </c>
      <c r="F291" s="10" t="str">
        <f>HYPERLINK("https://www.boe.es/gazeta/dias/1834/09/12/pdfs/GMD-1834-210.pdf","Abrir PDF")</f>
        <v>Abrir PDF</v>
      </c>
    </row>
    <row r="292" spans="1:6" ht="31.95" customHeight="1">
      <c r="A292" s="9" t="s">
        <v>444</v>
      </c>
      <c r="B292" s="9" t="s">
        <v>445</v>
      </c>
      <c r="C292" s="9" t="s">
        <v>38224</v>
      </c>
      <c r="D292" s="10">
        <v>5</v>
      </c>
      <c r="E292" s="10">
        <v>33</v>
      </c>
      <c r="F292" s="10" t="str">
        <f>HYPERLINK("https://www.boe.es/gazeta/dias/1834/09/12/pdfs/GMD-C-1834-210.pdf","Abrir PDF")</f>
        <v>Abrir PDF</v>
      </c>
    </row>
    <row r="293" spans="1:6" ht="31.95" customHeight="1">
      <c r="A293" s="9" t="s">
        <v>556</v>
      </c>
      <c r="B293" s="9" t="s">
        <v>557</v>
      </c>
      <c r="C293" s="9" t="s">
        <v>38225</v>
      </c>
      <c r="D293" s="10">
        <v>4</v>
      </c>
      <c r="E293" s="10">
        <v>16</v>
      </c>
      <c r="F293" s="10" t="str">
        <f>HYPERLINK("https://www.boe.es/gazeta/dias/1834/09/13/pdfs/GMD-1834-211.pdf","Abrir PDF")</f>
        <v>Abrir PDF</v>
      </c>
    </row>
    <row r="294" spans="1:6" ht="31.95" customHeight="1">
      <c r="A294" s="9" t="s">
        <v>222</v>
      </c>
      <c r="B294" s="9" t="s">
        <v>223</v>
      </c>
      <c r="C294" s="9" t="s">
        <v>38226</v>
      </c>
      <c r="D294" s="10">
        <v>4</v>
      </c>
      <c r="E294" s="10">
        <v>59</v>
      </c>
      <c r="F294" s="10" t="str">
        <f>HYPERLINK("https://www.boe.es/gazeta/dias/1834/09/14/pdfs/GMD-1834-212.pdf","Abrir PDF")</f>
        <v>Abrir PDF</v>
      </c>
    </row>
    <row r="295" spans="1:6" ht="31.95" customHeight="1">
      <c r="A295" s="9" t="s">
        <v>222</v>
      </c>
      <c r="B295" s="9" t="s">
        <v>4015</v>
      </c>
      <c r="C295" s="9" t="s">
        <v>38227</v>
      </c>
      <c r="D295" s="10">
        <v>1</v>
      </c>
      <c r="E295" s="10">
        <v>12</v>
      </c>
      <c r="F295" s="10" t="str">
        <f>HYPERLINK("https://www.boe.es/gazeta/dias/1834/09/14/pdfs/GMD-C-1834-212.pdf","Abrir PDF")</f>
        <v>Abrir PDF</v>
      </c>
    </row>
    <row r="296" spans="1:6" ht="31.95" customHeight="1">
      <c r="A296" s="9" t="s">
        <v>863</v>
      </c>
      <c r="B296" s="9" t="s">
        <v>864</v>
      </c>
      <c r="C296" s="9" t="s">
        <v>38228</v>
      </c>
      <c r="D296" s="10">
        <v>4</v>
      </c>
      <c r="E296" s="10">
        <v>98</v>
      </c>
      <c r="F296" s="10" t="str">
        <f>HYPERLINK("https://www.boe.es/gazeta/dias/1834/09/15/pdfs/GMD-1834-213.pdf","Abrir PDF")</f>
        <v>Abrir PDF</v>
      </c>
    </row>
    <row r="297" spans="1:6" ht="31.95" customHeight="1">
      <c r="A297" s="9" t="s">
        <v>4736</v>
      </c>
      <c r="B297" s="9" t="s">
        <v>4737</v>
      </c>
      <c r="C297" s="9" t="s">
        <v>38229</v>
      </c>
      <c r="D297" s="10">
        <v>4</v>
      </c>
      <c r="E297" s="10">
        <v>23</v>
      </c>
      <c r="F297" s="10" t="str">
        <f>HYPERLINK("https://www.boe.es/gazeta/dias/1834/09/16/pdfs/GMD-1834-214.pdf","Abrir PDF")</f>
        <v>Abrir PDF</v>
      </c>
    </row>
    <row r="298" spans="1:6" ht="31.95" customHeight="1">
      <c r="A298" s="9" t="s">
        <v>4736</v>
      </c>
      <c r="B298" s="9" t="s">
        <v>9470</v>
      </c>
      <c r="C298" s="9" t="s">
        <v>38230</v>
      </c>
      <c r="D298" s="10">
        <v>1</v>
      </c>
      <c r="E298" s="10">
        <v>4</v>
      </c>
      <c r="F298" s="10" t="str">
        <f>HYPERLINK("https://www.boe.es/gazeta/dias/1834/09/16/pdfs/GMD-C-1834-214.pdf","Abrir PDF")</f>
        <v>Abrir PDF</v>
      </c>
    </row>
    <row r="299" spans="1:6" ht="31.95" customHeight="1">
      <c r="A299" s="9" t="s">
        <v>715</v>
      </c>
      <c r="B299" s="9" t="s">
        <v>7773</v>
      </c>
      <c r="C299" s="9" t="s">
        <v>38231</v>
      </c>
      <c r="D299" s="10">
        <v>4</v>
      </c>
      <c r="E299" s="10">
        <v>30</v>
      </c>
      <c r="F299" s="10" t="str">
        <f>HYPERLINK("https://www.boe.es/gazeta/dias/1834/09/17/pdfs/GMD-1834-215.pdf","Abrir PDF")</f>
        <v>Abrir PDF</v>
      </c>
    </row>
    <row r="300" spans="1:6" ht="31.95" customHeight="1">
      <c r="A300" s="9" t="s">
        <v>715</v>
      </c>
      <c r="B300" s="9" t="s">
        <v>716</v>
      </c>
      <c r="C300" s="9" t="s">
        <v>38232</v>
      </c>
      <c r="D300" s="10">
        <v>8</v>
      </c>
      <c r="E300" s="10">
        <v>44</v>
      </c>
      <c r="F300" s="10" t="str">
        <f>HYPERLINK("https://www.boe.es/gazeta/dias/1834/09/17/pdfs/GMD-C-1834-215.pdf","Abrir PDF")</f>
        <v>Abrir PDF</v>
      </c>
    </row>
    <row r="301" spans="1:6" ht="31.95" customHeight="1">
      <c r="A301" s="9" t="s">
        <v>772</v>
      </c>
      <c r="B301" s="9" t="s">
        <v>773</v>
      </c>
      <c r="C301" s="9" t="s">
        <v>38233</v>
      </c>
      <c r="D301" s="10">
        <v>4</v>
      </c>
      <c r="E301" s="10">
        <v>45</v>
      </c>
      <c r="F301" s="10" t="str">
        <f>HYPERLINK("https://www.boe.es/gazeta/dias/1834/09/18/pdfs/GMD-1834-216.pdf","Abrir PDF")</f>
        <v>Abrir PDF</v>
      </c>
    </row>
    <row r="302" spans="1:6" ht="31.95" customHeight="1">
      <c r="A302" s="9" t="s">
        <v>772</v>
      </c>
      <c r="B302" s="9" t="s">
        <v>2284</v>
      </c>
      <c r="C302" s="9" t="s">
        <v>38234</v>
      </c>
      <c r="D302" s="10">
        <v>8</v>
      </c>
      <c r="E302" s="10">
        <v>44</v>
      </c>
      <c r="F302" s="10" t="str">
        <f>HYPERLINK("https://www.boe.es/gazeta/dias/1834/09/18/pdfs/GMD-C-1834-216.pdf","Abrir PDF")</f>
        <v>Abrir PDF</v>
      </c>
    </row>
    <row r="303" spans="1:6" ht="31.95" customHeight="1">
      <c r="A303" s="9" t="s">
        <v>672</v>
      </c>
      <c r="B303" s="9" t="s">
        <v>673</v>
      </c>
      <c r="C303" s="9" t="s">
        <v>38235</v>
      </c>
      <c r="D303" s="10">
        <v>4</v>
      </c>
      <c r="E303" s="10">
        <v>13</v>
      </c>
      <c r="F303" s="10" t="str">
        <f>HYPERLINK("https://www.boe.es/gazeta/dias/1834/09/19/pdfs/GMD-1834-217.pdf","Abrir PDF")</f>
        <v>Abrir PDF</v>
      </c>
    </row>
    <row r="304" spans="1:6" ht="31.95" customHeight="1">
      <c r="A304" s="9" t="s">
        <v>672</v>
      </c>
      <c r="B304" s="9" t="s">
        <v>1055</v>
      </c>
      <c r="C304" s="9" t="s">
        <v>38236</v>
      </c>
      <c r="D304" s="10">
        <v>12</v>
      </c>
      <c r="E304" s="10">
        <v>67</v>
      </c>
      <c r="F304" s="10" t="str">
        <f>HYPERLINK("https://www.boe.es/gazeta/dias/1834/09/19/pdfs/GMD-C-1834-217.pdf","Abrir PDF")</f>
        <v>Abrir PDF</v>
      </c>
    </row>
    <row r="305" spans="1:6" ht="31.95" customHeight="1">
      <c r="A305" s="9" t="s">
        <v>3248</v>
      </c>
      <c r="B305" s="9" t="s">
        <v>3249</v>
      </c>
      <c r="C305" s="9" t="s">
        <v>38237</v>
      </c>
      <c r="D305" s="10">
        <v>4</v>
      </c>
      <c r="E305" s="10">
        <v>34</v>
      </c>
      <c r="F305" s="10" t="str">
        <f>HYPERLINK("https://www.boe.es/gazeta/dias/1834/09/20/pdfs/GMD-1834-218.pdf","Abrir PDF")</f>
        <v>Abrir PDF</v>
      </c>
    </row>
    <row r="306" spans="1:6" ht="31.95" customHeight="1">
      <c r="A306" s="9" t="s">
        <v>3248</v>
      </c>
      <c r="B306" s="9" t="s">
        <v>4798</v>
      </c>
      <c r="C306" s="9" t="s">
        <v>38238</v>
      </c>
      <c r="D306" s="10">
        <v>7</v>
      </c>
      <c r="E306" s="10">
        <v>40</v>
      </c>
      <c r="F306" s="10" t="str">
        <f>HYPERLINK("https://www.boe.es/gazeta/dias/1834/09/20/pdfs/GMD-C-1834-218.pdf","Abrir PDF")</f>
        <v>Abrir PDF</v>
      </c>
    </row>
    <row r="307" spans="1:6" ht="31.95" customHeight="1">
      <c r="A307" s="9" t="s">
        <v>981</v>
      </c>
      <c r="B307" s="9" t="s">
        <v>982</v>
      </c>
      <c r="C307" s="9" t="s">
        <v>38239</v>
      </c>
      <c r="D307" s="10">
        <v>4</v>
      </c>
      <c r="E307" s="10">
        <v>41</v>
      </c>
      <c r="F307" s="10" t="str">
        <f>HYPERLINK("https://www.boe.es/gazeta/dias/1834/09/21/pdfs/GMD-1834-219.pdf","Abrir PDF")</f>
        <v>Abrir PDF</v>
      </c>
    </row>
    <row r="308" spans="1:6" ht="31.95" customHeight="1">
      <c r="A308" s="9" t="s">
        <v>981</v>
      </c>
      <c r="B308" s="9" t="s">
        <v>3406</v>
      </c>
      <c r="C308" s="9" t="s">
        <v>38240</v>
      </c>
      <c r="D308" s="10">
        <v>7</v>
      </c>
      <c r="E308" s="10">
        <v>45</v>
      </c>
      <c r="F308" s="10" t="str">
        <f>HYPERLINK("https://www.boe.es/gazeta/dias/1834/09/21/pdfs/GMD-C-1834-219.pdf","Abrir PDF")</f>
        <v>Abrir PDF</v>
      </c>
    </row>
    <row r="309" spans="1:6" ht="31.95" customHeight="1">
      <c r="A309" s="9" t="s">
        <v>627</v>
      </c>
      <c r="B309" s="9" t="s">
        <v>1013</v>
      </c>
      <c r="C309" s="9" t="s">
        <v>38241</v>
      </c>
      <c r="D309" s="10">
        <v>4</v>
      </c>
      <c r="E309" s="10">
        <v>17</v>
      </c>
      <c r="F309" s="10" t="str">
        <f>HYPERLINK("https://www.boe.es/gazeta/dias/1834/09/22/pdfs/GMD-1834-220.pdf","Abrir PDF")</f>
        <v>Abrir PDF</v>
      </c>
    </row>
    <row r="310" spans="1:6" ht="31.95" customHeight="1">
      <c r="A310" s="9" t="s">
        <v>627</v>
      </c>
      <c r="B310" s="9" t="s">
        <v>628</v>
      </c>
      <c r="C310" s="9" t="s">
        <v>38242</v>
      </c>
      <c r="D310" s="10">
        <v>7</v>
      </c>
      <c r="E310" s="10">
        <v>61</v>
      </c>
      <c r="F310" s="10" t="str">
        <f>HYPERLINK("https://www.boe.es/gazeta/dias/1834/09/22/pdfs/GMD-C-1834-220.pdf","Abrir PDF")</f>
        <v>Abrir PDF</v>
      </c>
    </row>
    <row r="311" spans="1:6" ht="31.95" customHeight="1">
      <c r="A311" s="9" t="s">
        <v>576</v>
      </c>
      <c r="B311" s="9" t="s">
        <v>577</v>
      </c>
      <c r="C311" s="9" t="s">
        <v>38243</v>
      </c>
      <c r="D311" s="10">
        <v>4</v>
      </c>
      <c r="E311" s="10">
        <v>30</v>
      </c>
      <c r="F311" s="10" t="str">
        <f>HYPERLINK("https://www.boe.es/gazeta/dias/1834/09/23/pdfs/GMD-1834-221.pdf","Abrir PDF")</f>
        <v>Abrir PDF</v>
      </c>
    </row>
    <row r="312" spans="1:6" ht="31.95" customHeight="1">
      <c r="A312" s="9" t="s">
        <v>576</v>
      </c>
      <c r="B312" s="9" t="s">
        <v>5888</v>
      </c>
      <c r="C312" s="9" t="s">
        <v>38244</v>
      </c>
      <c r="D312" s="10">
        <v>5</v>
      </c>
      <c r="E312" s="10">
        <v>26</v>
      </c>
      <c r="F312" s="10" t="str">
        <f>HYPERLINK("https://www.boe.es/gazeta/dias/1834/09/23/pdfs/GMD-C-1834-221.pdf","Abrir PDF")</f>
        <v>Abrir PDF</v>
      </c>
    </row>
    <row r="313" spans="1:6" ht="31.95" customHeight="1">
      <c r="A313" s="9" t="s">
        <v>378</v>
      </c>
      <c r="B313" s="9" t="s">
        <v>379</v>
      </c>
      <c r="C313" s="9" t="s">
        <v>38245</v>
      </c>
      <c r="D313" s="10">
        <v>4</v>
      </c>
      <c r="E313" s="10">
        <v>55</v>
      </c>
      <c r="F313" s="10" t="str">
        <f>HYPERLINK("https://www.boe.es/gazeta/dias/1834/09/24/pdfs/GMD-1834-222.pdf","Abrir PDF")</f>
        <v>Abrir PDF</v>
      </c>
    </row>
    <row r="314" spans="1:6" ht="31.95" customHeight="1">
      <c r="A314" s="9" t="s">
        <v>378</v>
      </c>
      <c r="B314" s="9" t="s">
        <v>888</v>
      </c>
      <c r="C314" s="9" t="s">
        <v>38246</v>
      </c>
      <c r="D314" s="10">
        <v>6</v>
      </c>
      <c r="E314" s="10">
        <v>66</v>
      </c>
      <c r="F314" s="10" t="str">
        <f>HYPERLINK("https://www.boe.es/gazeta/dias/1834/09/24/pdfs/GMD-C-1834-222.pdf","Abrir PDF")</f>
        <v>Abrir PDF</v>
      </c>
    </row>
    <row r="315" spans="1:6" ht="31.95" customHeight="1">
      <c r="A315" s="9" t="s">
        <v>403</v>
      </c>
      <c r="B315" s="9" t="s">
        <v>3456</v>
      </c>
      <c r="C315" s="9" t="s">
        <v>38247</v>
      </c>
      <c r="D315" s="10">
        <v>4</v>
      </c>
      <c r="E315" s="10">
        <v>29</v>
      </c>
      <c r="F315" s="10" t="str">
        <f>HYPERLINK("https://www.boe.es/gazeta/dias/1834/09/25/pdfs/GMD-1834-223.pdf","Abrir PDF")</f>
        <v>Abrir PDF</v>
      </c>
    </row>
    <row r="316" spans="1:6" ht="31.95" customHeight="1">
      <c r="A316" s="9" t="s">
        <v>403</v>
      </c>
      <c r="B316" s="9" t="s">
        <v>404</v>
      </c>
      <c r="C316" s="9" t="s">
        <v>38248</v>
      </c>
      <c r="D316" s="10">
        <v>7</v>
      </c>
      <c r="E316" s="10">
        <v>58</v>
      </c>
      <c r="F316" s="10" t="str">
        <f>HYPERLINK("https://www.boe.es/gazeta/dias/1834/09/25/pdfs/GMD-C-1834-223.pdf","Abrir PDF")</f>
        <v>Abrir PDF</v>
      </c>
    </row>
    <row r="317" spans="1:6" ht="31.95" customHeight="1">
      <c r="A317" s="9" t="s">
        <v>251</v>
      </c>
      <c r="B317" s="9" t="s">
        <v>1278</v>
      </c>
      <c r="C317" s="9" t="s">
        <v>38249</v>
      </c>
      <c r="D317" s="10">
        <v>4</v>
      </c>
      <c r="E317" s="10">
        <v>58</v>
      </c>
      <c r="F317" s="10" t="str">
        <f>HYPERLINK("https://www.boe.es/gazeta/dias/1834/09/26/pdfs/GMD-1834-224.pdf","Abrir PDF")</f>
        <v>Abrir PDF</v>
      </c>
    </row>
    <row r="318" spans="1:6" ht="31.95" customHeight="1">
      <c r="A318" s="9" t="s">
        <v>251</v>
      </c>
      <c r="B318" s="9" t="s">
        <v>252</v>
      </c>
      <c r="C318" s="9" t="s">
        <v>38250</v>
      </c>
      <c r="D318" s="10">
        <v>8</v>
      </c>
      <c r="E318" s="10">
        <v>58</v>
      </c>
      <c r="F318" s="10" t="str">
        <f>HYPERLINK("https://www.boe.es/gazeta/dias/1834/09/26/pdfs/GMD-C-1834-224.pdf","Abrir PDF")</f>
        <v>Abrir PDF</v>
      </c>
    </row>
    <row r="319" spans="1:6" ht="31.95" customHeight="1">
      <c r="A319" s="9" t="s">
        <v>294</v>
      </c>
      <c r="B319" s="9" t="s">
        <v>295</v>
      </c>
      <c r="C319" s="9" t="s">
        <v>38251</v>
      </c>
      <c r="D319" s="10">
        <v>4</v>
      </c>
      <c r="E319" s="10">
        <v>33</v>
      </c>
      <c r="F319" s="10" t="str">
        <f>HYPERLINK("https://www.boe.es/gazeta/dias/1834/09/27/pdfs/GMD-1834-225.pdf","Abrir PDF")</f>
        <v>Abrir PDF</v>
      </c>
    </row>
    <row r="320" spans="1:6" ht="31.95" customHeight="1">
      <c r="A320" s="9" t="s">
        <v>294</v>
      </c>
      <c r="B320" s="9" t="s">
        <v>959</v>
      </c>
      <c r="C320" s="9" t="s">
        <v>38252</v>
      </c>
      <c r="D320" s="10">
        <v>4</v>
      </c>
      <c r="E320" s="10">
        <v>53</v>
      </c>
      <c r="F320" s="10" t="str">
        <f>HYPERLINK("https://www.boe.es/gazeta/dias/1834/09/27/pdfs/GMD-C-1834-225.pdf","Abrir PDF")</f>
        <v>Abrir PDF</v>
      </c>
    </row>
    <row r="321" spans="1:6" ht="31.95" customHeight="1">
      <c r="A321" s="9" t="s">
        <v>1641</v>
      </c>
      <c r="B321" s="9" t="s">
        <v>1729</v>
      </c>
      <c r="C321" s="9" t="s">
        <v>38253</v>
      </c>
      <c r="D321" s="10">
        <v>4</v>
      </c>
      <c r="E321" s="10">
        <v>41</v>
      </c>
      <c r="F321" s="10" t="str">
        <f>HYPERLINK("https://www.boe.es/gazeta/dias/1834/09/28/pdfs/GMD-1834-226.pdf","Abrir PDF")</f>
        <v>Abrir PDF</v>
      </c>
    </row>
    <row r="322" spans="1:6" ht="31.95" customHeight="1">
      <c r="A322" s="9" t="s">
        <v>1641</v>
      </c>
      <c r="B322" s="9" t="s">
        <v>1642</v>
      </c>
      <c r="C322" s="9" t="s">
        <v>38254</v>
      </c>
      <c r="D322" s="10">
        <v>5</v>
      </c>
      <c r="E322" s="10">
        <v>34</v>
      </c>
      <c r="F322" s="10" t="str">
        <f>HYPERLINK("https://www.boe.es/gazeta/dias/1834/09/28/pdfs/GMD-C-1834-226.pdf","Abrir PDF")</f>
        <v>Abrir PDF</v>
      </c>
    </row>
    <row r="323" spans="1:6" ht="31.95" customHeight="1">
      <c r="A323" s="9" t="s">
        <v>5904</v>
      </c>
      <c r="B323" s="9" t="s">
        <v>5905</v>
      </c>
      <c r="C323" s="9" t="s">
        <v>38255</v>
      </c>
      <c r="D323" s="10">
        <v>4</v>
      </c>
      <c r="E323" s="10">
        <v>31</v>
      </c>
      <c r="F323" s="10" t="str">
        <f>HYPERLINK("https://www.boe.es/gazeta/dias/1834/09/29/pdfs/GMD-1834-227.pdf","Abrir PDF")</f>
        <v>Abrir PDF</v>
      </c>
    </row>
    <row r="324" spans="1:6" ht="31.95" customHeight="1">
      <c r="A324" s="9" t="s">
        <v>187</v>
      </c>
      <c r="B324" s="9" t="s">
        <v>188</v>
      </c>
      <c r="C324" s="9" t="s">
        <v>38256</v>
      </c>
      <c r="D324" s="10">
        <v>4</v>
      </c>
      <c r="E324" s="10">
        <v>24</v>
      </c>
      <c r="F324" s="10" t="str">
        <f>HYPERLINK("https://www.boe.es/gazeta/dias/1834/09/30/pdfs/GMD-1834-228.pdf","Abrir PDF")</f>
        <v>Abrir PDF</v>
      </c>
    </row>
    <row r="325" spans="1:6" ht="31.95" customHeight="1">
      <c r="A325" s="9" t="s">
        <v>187</v>
      </c>
      <c r="B325" s="9" t="s">
        <v>1715</v>
      </c>
      <c r="C325" s="9" t="s">
        <v>38257</v>
      </c>
      <c r="D325" s="10">
        <v>1</v>
      </c>
      <c r="E325" s="10">
        <v>16</v>
      </c>
      <c r="F325" s="10" t="str">
        <f>HYPERLINK("https://www.boe.es/gazeta/dias/1834/09/30/pdfs/GMD-C-1834-228.pdf","Abrir PDF")</f>
        <v>Abrir PDF</v>
      </c>
    </row>
    <row r="326" spans="1:6" ht="31.95" customHeight="1">
      <c r="A326" s="9" t="s">
        <v>158</v>
      </c>
      <c r="B326" s="9" t="s">
        <v>159</v>
      </c>
      <c r="C326" s="9" t="s">
        <v>38258</v>
      </c>
      <c r="D326" s="10">
        <v>4</v>
      </c>
      <c r="E326" s="10">
        <v>46</v>
      </c>
      <c r="F326" s="10" t="str">
        <f>HYPERLINK("https://www.boe.es/gazeta/dias/1834/10/01/pdfs/GMD-1834-229.pdf","Abrir PDF")</f>
        <v>Abrir PDF</v>
      </c>
    </row>
    <row r="327" spans="1:6" ht="31.95" customHeight="1">
      <c r="A327" s="9" t="s">
        <v>158</v>
      </c>
      <c r="B327" s="9" t="s">
        <v>581</v>
      </c>
      <c r="C327" s="9" t="s">
        <v>38259</v>
      </c>
      <c r="D327" s="10">
        <v>6</v>
      </c>
      <c r="E327" s="10">
        <v>54</v>
      </c>
      <c r="F327" s="10" t="str">
        <f>HYPERLINK("https://www.boe.es/gazeta/dias/1834/10/01/pdfs/GMD-C-1834-229.pdf","Abrir PDF")</f>
        <v>Abrir PDF</v>
      </c>
    </row>
    <row r="328" spans="1:6" ht="31.95" customHeight="1">
      <c r="A328" s="9" t="s">
        <v>416</v>
      </c>
      <c r="B328" s="9" t="s">
        <v>1130</v>
      </c>
      <c r="C328" s="9" t="s">
        <v>38260</v>
      </c>
      <c r="D328" s="10">
        <v>4</v>
      </c>
      <c r="E328" s="10">
        <v>32</v>
      </c>
      <c r="F328" s="10" t="str">
        <f>HYPERLINK("https://www.boe.es/gazeta/dias/1834/10/02/pdfs/GMD-1834-230.pdf","Abrir PDF")</f>
        <v>Abrir PDF</v>
      </c>
    </row>
    <row r="329" spans="1:6" ht="31.95" customHeight="1">
      <c r="A329" s="9" t="s">
        <v>416</v>
      </c>
      <c r="B329" s="9" t="s">
        <v>417</v>
      </c>
      <c r="C329" s="9" t="s">
        <v>38261</v>
      </c>
      <c r="D329" s="10">
        <v>6</v>
      </c>
      <c r="E329" s="10">
        <v>72</v>
      </c>
      <c r="F329" s="10" t="str">
        <f>HYPERLINK("https://www.boe.es/gazeta/dias/1834/10/02/pdfs/GMD-C-1834-230.pdf","Abrir PDF")</f>
        <v>Abrir PDF</v>
      </c>
    </row>
    <row r="330" spans="1:6" ht="31.95" customHeight="1">
      <c r="A330" s="9" t="s">
        <v>1597</v>
      </c>
      <c r="B330" s="9" t="s">
        <v>1598</v>
      </c>
      <c r="C330" s="9" t="s">
        <v>38262</v>
      </c>
      <c r="D330" s="10">
        <v>4</v>
      </c>
      <c r="E330" s="10">
        <v>33</v>
      </c>
      <c r="F330" s="10" t="str">
        <f>HYPERLINK("https://www.boe.es/gazeta/dias/1834/10/03/pdfs/GMD-1834-231.pdf","Abrir PDF")</f>
        <v>Abrir PDF</v>
      </c>
    </row>
    <row r="331" spans="1:6" ht="31.95" customHeight="1">
      <c r="A331" s="9" t="s">
        <v>426</v>
      </c>
      <c r="B331" s="9" t="s">
        <v>427</v>
      </c>
      <c r="C331" s="9" t="s">
        <v>38263</v>
      </c>
      <c r="D331" s="10">
        <v>4</v>
      </c>
      <c r="E331" s="10">
        <v>41</v>
      </c>
      <c r="F331" s="10" t="str">
        <f>HYPERLINK("https://www.boe.es/gazeta/dias/1834/10/04/pdfs/GMD-1834-232.pdf","Abrir PDF")</f>
        <v>Abrir PDF</v>
      </c>
    </row>
    <row r="332" spans="1:6" ht="31.95" customHeight="1">
      <c r="A332" s="9" t="s">
        <v>426</v>
      </c>
      <c r="B332" s="9" t="s">
        <v>694</v>
      </c>
      <c r="C332" s="9" t="s">
        <v>38264</v>
      </c>
      <c r="D332" s="10">
        <v>6</v>
      </c>
      <c r="E332" s="10">
        <v>43</v>
      </c>
      <c r="F332" s="10" t="str">
        <f>HYPERLINK("https://www.boe.es/gazeta/dias/1834/10/04/pdfs/GMD-C-1834-232.pdf","Abrir PDF")</f>
        <v>Abrir PDF</v>
      </c>
    </row>
    <row r="333" spans="1:6" ht="31.95" customHeight="1">
      <c r="A333" s="9" t="s">
        <v>1340</v>
      </c>
      <c r="B333" s="9" t="s">
        <v>3300</v>
      </c>
      <c r="C333" s="9" t="s">
        <v>38265</v>
      </c>
      <c r="D333" s="10">
        <v>4</v>
      </c>
      <c r="E333" s="10">
        <v>11</v>
      </c>
      <c r="F333" s="10" t="str">
        <f>HYPERLINK("https://www.boe.es/gazeta/dias/1834/10/05/pdfs/GMD-1834-233.pdf","Abrir PDF")</f>
        <v>Abrir PDF</v>
      </c>
    </row>
    <row r="334" spans="1:6" ht="31.95" customHeight="1">
      <c r="A334" s="9" t="s">
        <v>1340</v>
      </c>
      <c r="B334" s="9" t="s">
        <v>1341</v>
      </c>
      <c r="C334" s="9" t="s">
        <v>38266</v>
      </c>
      <c r="D334" s="10">
        <v>7</v>
      </c>
      <c r="E334" s="10">
        <v>66</v>
      </c>
      <c r="F334" s="10" t="str">
        <f>HYPERLINK("https://www.boe.es/gazeta/dias/1834/10/05/pdfs/GMD-C-1834-233.pdf","Abrir PDF")</f>
        <v>Abrir PDF</v>
      </c>
    </row>
    <row r="335" spans="1:6" ht="31.95" customHeight="1">
      <c r="A335" s="9" t="s">
        <v>3054</v>
      </c>
      <c r="B335" s="9" t="s">
        <v>3055</v>
      </c>
      <c r="C335" s="9" t="s">
        <v>38267</v>
      </c>
      <c r="D335" s="10">
        <v>4</v>
      </c>
      <c r="E335" s="10">
        <v>23</v>
      </c>
      <c r="F335" s="10" t="str">
        <f>HYPERLINK("https://www.boe.es/gazeta/dias/1834/10/06/pdfs/GMD-1834-234.pdf","Abrir PDF")</f>
        <v>Abrir PDF</v>
      </c>
    </row>
    <row r="336" spans="1:6" ht="31.95" customHeight="1">
      <c r="A336" s="9" t="s">
        <v>433</v>
      </c>
      <c r="B336" s="9" t="s">
        <v>2773</v>
      </c>
      <c r="C336" s="9" t="s">
        <v>38268</v>
      </c>
      <c r="D336" s="10">
        <v>4</v>
      </c>
      <c r="E336" s="10">
        <v>30</v>
      </c>
      <c r="F336" s="10" t="str">
        <f>HYPERLINK("https://www.boe.es/gazeta/dias/1834/10/07/pdfs/GMD-1834-235.pdf","Abrir PDF")</f>
        <v>Abrir PDF</v>
      </c>
    </row>
    <row r="337" spans="1:6" ht="31.95" customHeight="1">
      <c r="A337" s="9" t="s">
        <v>433</v>
      </c>
      <c r="B337" s="9" t="s">
        <v>434</v>
      </c>
      <c r="C337" s="9" t="s">
        <v>38269</v>
      </c>
      <c r="D337" s="10">
        <v>4</v>
      </c>
      <c r="E337" s="10">
        <v>46</v>
      </c>
      <c r="F337" s="10" t="str">
        <f>HYPERLINK("https://www.boe.es/gazeta/dias/1834/10/07/pdfs/GMD-C-1834-235.pdf","Abrir PDF")</f>
        <v>Abrir PDF</v>
      </c>
    </row>
    <row r="338" spans="1:6" ht="31.95" customHeight="1">
      <c r="A338" s="9" t="s">
        <v>433</v>
      </c>
      <c r="B338" s="9" t="s">
        <v>2773</v>
      </c>
      <c r="C338" s="9" t="s">
        <v>38270</v>
      </c>
      <c r="D338" s="10">
        <v>2</v>
      </c>
      <c r="E338" s="10">
        <v>15</v>
      </c>
      <c r="F338" s="10" t="str">
        <f>HYPERLINK("https://www.boe.es/gazeta/dias/1834/10/07/pdfs/I00986-00987.pdf","Abrir PDF")</f>
        <v>Abrir PDF</v>
      </c>
    </row>
    <row r="339" spans="1:6" ht="31.95" customHeight="1">
      <c r="A339" s="9" t="s">
        <v>793</v>
      </c>
      <c r="B339" s="9" t="s">
        <v>794</v>
      </c>
      <c r="C339" s="9" t="s">
        <v>38271</v>
      </c>
      <c r="D339" s="10">
        <v>4</v>
      </c>
      <c r="E339" s="10">
        <v>33</v>
      </c>
      <c r="F339" s="10" t="str">
        <f>HYPERLINK("https://www.boe.es/gazeta/dias/1834/10/08/pdfs/GMD-1834-236.pdf","Abrir PDF")</f>
        <v>Abrir PDF</v>
      </c>
    </row>
    <row r="340" spans="1:6" ht="31.95" customHeight="1">
      <c r="A340" s="9" t="s">
        <v>793</v>
      </c>
      <c r="B340" s="9" t="s">
        <v>1895</v>
      </c>
      <c r="C340" s="9" t="s">
        <v>38272</v>
      </c>
      <c r="D340" s="10">
        <v>4</v>
      </c>
      <c r="E340" s="10">
        <v>48</v>
      </c>
      <c r="F340" s="10" t="str">
        <f>HYPERLINK("https://www.boe.es/gazeta/dias/1834/10/08/pdfs/GMD-C-1834-236.pdf","Abrir PDF")</f>
        <v>Abrir PDF</v>
      </c>
    </row>
    <row r="341" spans="1:6" ht="31.95" customHeight="1">
      <c r="A341" s="9" t="s">
        <v>258</v>
      </c>
      <c r="B341" s="9" t="s">
        <v>1075</v>
      </c>
      <c r="C341" s="9" t="s">
        <v>38273</v>
      </c>
      <c r="D341" s="10">
        <v>4</v>
      </c>
      <c r="E341" s="10">
        <v>51</v>
      </c>
      <c r="F341" s="10" t="str">
        <f>HYPERLINK("https://www.boe.es/gazeta/dias/1834/10/09/pdfs/GMD-1834-237.pdf","Abrir PDF")</f>
        <v>Abrir PDF</v>
      </c>
    </row>
    <row r="342" spans="1:6" ht="31.95" customHeight="1">
      <c r="A342" s="9" t="s">
        <v>258</v>
      </c>
      <c r="B342" s="9" t="s">
        <v>259</v>
      </c>
      <c r="C342" s="9" t="s">
        <v>38274</v>
      </c>
      <c r="D342" s="10">
        <v>6</v>
      </c>
      <c r="E342" s="10">
        <v>78</v>
      </c>
      <c r="F342" s="10" t="str">
        <f>HYPERLINK("https://www.boe.es/gazeta/dias/1834/10/09/pdfs/GMD-C-1834-237.pdf","Abrir PDF")</f>
        <v>Abrir PDF</v>
      </c>
    </row>
    <row r="343" spans="1:6" ht="31.95" customHeight="1">
      <c r="A343" s="9" t="s">
        <v>1103</v>
      </c>
      <c r="B343" s="9" t="s">
        <v>1259</v>
      </c>
      <c r="C343" s="9" t="s">
        <v>38275</v>
      </c>
      <c r="D343" s="10">
        <v>4</v>
      </c>
      <c r="E343" s="10">
        <v>48</v>
      </c>
      <c r="F343" s="10" t="str">
        <f>HYPERLINK("https://www.boe.es/gazeta/dias/1834/10/10/pdfs/GMD-1834-238.pdf","Abrir PDF")</f>
        <v>Abrir PDF</v>
      </c>
    </row>
    <row r="344" spans="1:6" ht="31.95" customHeight="1">
      <c r="A344" s="9" t="s">
        <v>1103</v>
      </c>
      <c r="B344" s="9" t="s">
        <v>1104</v>
      </c>
      <c r="C344" s="9" t="s">
        <v>38276</v>
      </c>
      <c r="D344" s="10">
        <v>4</v>
      </c>
      <c r="E344" s="10">
        <v>47</v>
      </c>
      <c r="F344" s="10" t="str">
        <f>HYPERLINK("https://www.boe.es/gazeta/dias/1834/10/10/pdfs/GMD-C-1834-238.pdf","Abrir PDF")</f>
        <v>Abrir PDF</v>
      </c>
    </row>
    <row r="345" spans="1:6" ht="31.95" customHeight="1">
      <c r="A345" s="9" t="s">
        <v>808</v>
      </c>
      <c r="B345" s="9" t="s">
        <v>809</v>
      </c>
      <c r="C345" s="9" t="s">
        <v>38277</v>
      </c>
      <c r="D345" s="10">
        <v>4</v>
      </c>
      <c r="E345" s="10">
        <v>86</v>
      </c>
      <c r="F345" s="10" t="str">
        <f>HYPERLINK("https://www.boe.es/gazeta/dias/1834/10/11/pdfs/GMD-1834-239.pdf","Abrir PDF")</f>
        <v>Abrir PDF</v>
      </c>
    </row>
    <row r="346" spans="1:6" ht="31.95" customHeight="1">
      <c r="A346" s="9" t="s">
        <v>623</v>
      </c>
      <c r="B346" s="9" t="s">
        <v>3442</v>
      </c>
      <c r="C346" s="9" t="s">
        <v>38278</v>
      </c>
      <c r="D346" s="10">
        <v>4</v>
      </c>
      <c r="E346" s="10">
        <v>11</v>
      </c>
      <c r="F346" s="10" t="str">
        <f>HYPERLINK("https://www.boe.es/gazeta/dias/1834/10/12/pdfs/GMD-1834-240.pdf","Abrir PDF")</f>
        <v>Abrir PDF</v>
      </c>
    </row>
    <row r="347" spans="1:6" ht="31.95" customHeight="1">
      <c r="A347" s="9" t="s">
        <v>623</v>
      </c>
      <c r="B347" s="9" t="s">
        <v>624</v>
      </c>
      <c r="C347" s="9" t="s">
        <v>38279</v>
      </c>
      <c r="D347" s="10">
        <v>2</v>
      </c>
      <c r="E347" s="10">
        <v>27</v>
      </c>
      <c r="F347" s="10" t="str">
        <f>HYPERLINK("https://www.boe.es/gazeta/dias/1834/10/12/pdfs/GMD-C-1834-240.pdf","Abrir PDF")</f>
        <v>Abrir PDF</v>
      </c>
    </row>
    <row r="348" spans="1:6" ht="31.95" customHeight="1">
      <c r="A348" s="9" t="s">
        <v>623</v>
      </c>
      <c r="B348" s="9" t="s">
        <v>624</v>
      </c>
      <c r="C348" s="9" t="s">
        <v>38280</v>
      </c>
      <c r="D348" s="10">
        <v>6</v>
      </c>
      <c r="E348" s="10">
        <v>7</v>
      </c>
      <c r="F348" s="10" t="str">
        <f>HYPERLINK("https://www.boe.es/gazeta/dias/1834/10/12/pdfs/GMD-D-1834-240.pdf","Abrir PDF")</f>
        <v>Abrir PDF</v>
      </c>
    </row>
    <row r="349" spans="1:6" ht="31.95" customHeight="1">
      <c r="A349" s="9" t="s">
        <v>3207</v>
      </c>
      <c r="B349" s="9" t="s">
        <v>3208</v>
      </c>
      <c r="C349" s="9" t="s">
        <v>38281</v>
      </c>
      <c r="D349" s="10">
        <v>4</v>
      </c>
      <c r="E349" s="10">
        <v>26</v>
      </c>
      <c r="F349" s="10" t="str">
        <f>HYPERLINK("https://www.boe.es/gazeta/dias/1834/10/13/pdfs/GMD-1834-241.pdf","Abrir PDF")</f>
        <v>Abrir PDF</v>
      </c>
    </row>
    <row r="350" spans="1:6" ht="31.95" customHeight="1">
      <c r="A350" s="9" t="s">
        <v>448</v>
      </c>
      <c r="B350" s="9" t="s">
        <v>2058</v>
      </c>
      <c r="C350" s="9" t="s">
        <v>38282</v>
      </c>
      <c r="D350" s="10">
        <v>4</v>
      </c>
      <c r="E350" s="10">
        <v>50</v>
      </c>
      <c r="F350" s="10" t="str">
        <f>HYPERLINK("https://www.boe.es/gazeta/dias/1834/10/14/pdfs/GMD-1834-242.pdf","Abrir PDF")</f>
        <v>Abrir PDF</v>
      </c>
    </row>
    <row r="351" spans="1:6" ht="31.95" customHeight="1">
      <c r="A351" s="9" t="s">
        <v>448</v>
      </c>
      <c r="B351" s="9" t="s">
        <v>449</v>
      </c>
      <c r="C351" s="9" t="s">
        <v>38283</v>
      </c>
      <c r="D351" s="10">
        <v>5</v>
      </c>
      <c r="E351" s="10">
        <v>68</v>
      </c>
      <c r="F351" s="10" t="str">
        <f>HYPERLINK("https://www.boe.es/gazeta/dias/1834/10/14/pdfs/GMD-C-1834-242.pdf","Abrir PDF")</f>
        <v>Abrir PDF</v>
      </c>
    </row>
    <row r="352" spans="1:6" ht="31.95" customHeight="1">
      <c r="A352" s="9" t="s">
        <v>451</v>
      </c>
      <c r="B352" s="9" t="s">
        <v>3350</v>
      </c>
      <c r="C352" s="9" t="s">
        <v>38284</v>
      </c>
      <c r="D352" s="10">
        <v>4</v>
      </c>
      <c r="E352" s="10">
        <v>28</v>
      </c>
      <c r="F352" s="10" t="str">
        <f>HYPERLINK("https://www.boe.es/gazeta/dias/1834/10/15/pdfs/GMD-1834-243.pdf","Abrir PDF")</f>
        <v>Abrir PDF</v>
      </c>
    </row>
    <row r="353" spans="1:6" ht="31.95" customHeight="1">
      <c r="A353" s="9" t="s">
        <v>451</v>
      </c>
      <c r="B353" s="9" t="s">
        <v>452</v>
      </c>
      <c r="C353" s="9" t="s">
        <v>38285</v>
      </c>
      <c r="D353" s="10">
        <v>4</v>
      </c>
      <c r="E353" s="10">
        <v>39</v>
      </c>
      <c r="F353" s="10" t="str">
        <f>HYPERLINK("https://www.boe.es/gazeta/dias/1834/10/15/pdfs/GMD-C-1834-243.pdf","Abrir PDF")</f>
        <v>Abrir PDF</v>
      </c>
    </row>
    <row r="354" spans="1:6" ht="31.95" customHeight="1">
      <c r="A354" s="9" t="s">
        <v>454</v>
      </c>
      <c r="B354" s="9" t="s">
        <v>2009</v>
      </c>
      <c r="C354" s="9" t="s">
        <v>38286</v>
      </c>
      <c r="D354" s="10">
        <v>4</v>
      </c>
      <c r="E354" s="10">
        <v>62</v>
      </c>
      <c r="F354" s="10" t="str">
        <f>HYPERLINK("https://www.boe.es/gazeta/dias/1834/10/16/pdfs/GMD-1834-244.pdf","Abrir PDF")</f>
        <v>Abrir PDF</v>
      </c>
    </row>
    <row r="355" spans="1:6" ht="31.95" customHeight="1">
      <c r="A355" s="9" t="s">
        <v>454</v>
      </c>
      <c r="B355" s="9" t="s">
        <v>455</v>
      </c>
      <c r="C355" s="9" t="s">
        <v>38287</v>
      </c>
      <c r="D355" s="10">
        <v>4</v>
      </c>
      <c r="E355" s="10">
        <v>70</v>
      </c>
      <c r="F355" s="10" t="str">
        <f>HYPERLINK("https://www.boe.es/gazeta/dias/1834/10/16/pdfs/GMD-C-1834-244.pdf","Abrir PDF")</f>
        <v>Abrir PDF</v>
      </c>
    </row>
    <row r="356" spans="1:6" ht="31.95" customHeight="1">
      <c r="A356" s="9" t="s">
        <v>1195</v>
      </c>
      <c r="B356" s="9" t="s">
        <v>1916</v>
      </c>
      <c r="C356" s="9" t="s">
        <v>38288</v>
      </c>
      <c r="D356" s="10">
        <v>4</v>
      </c>
      <c r="E356" s="10">
        <v>29</v>
      </c>
      <c r="F356" s="10" t="str">
        <f>HYPERLINK("https://www.boe.es/gazeta/dias/1834/10/17/pdfs/GMD-1834-245.pdf","Abrir PDF")</f>
        <v>Abrir PDF</v>
      </c>
    </row>
    <row r="357" spans="1:6" ht="31.95" customHeight="1">
      <c r="A357" s="9" t="s">
        <v>1195</v>
      </c>
      <c r="B357" s="9" t="s">
        <v>1196</v>
      </c>
      <c r="C357" s="9" t="s">
        <v>38289</v>
      </c>
      <c r="D357" s="10">
        <v>10</v>
      </c>
      <c r="E357" s="10">
        <v>58</v>
      </c>
      <c r="F357" s="10" t="str">
        <f>HYPERLINK("https://www.boe.es/gazeta/dias/1834/10/17/pdfs/GMD-C-1834-245.pdf","Abrir PDF")</f>
        <v>Abrir PDF</v>
      </c>
    </row>
    <row r="358" spans="1:6" ht="31.95" customHeight="1">
      <c r="A358" s="9" t="s">
        <v>262</v>
      </c>
      <c r="B358" s="9" t="s">
        <v>7012</v>
      </c>
      <c r="C358" s="9" t="s">
        <v>38290</v>
      </c>
      <c r="D358" s="10">
        <v>4</v>
      </c>
      <c r="E358" s="10">
        <v>22</v>
      </c>
      <c r="F358" s="10" t="str">
        <f>HYPERLINK("https://www.boe.es/gazeta/dias/1834/10/18/pdfs/GMD-1834-246.pdf","Abrir PDF")</f>
        <v>Abrir PDF</v>
      </c>
    </row>
    <row r="359" spans="1:6" ht="31.95" customHeight="1">
      <c r="A359" s="9" t="s">
        <v>262</v>
      </c>
      <c r="B359" s="9" t="s">
        <v>263</v>
      </c>
      <c r="C359" s="9" t="s">
        <v>38291</v>
      </c>
      <c r="D359" s="10">
        <v>6</v>
      </c>
      <c r="E359" s="10">
        <v>42</v>
      </c>
      <c r="F359" s="10" t="str">
        <f>HYPERLINK("https://www.boe.es/gazeta/dias/1834/10/18/pdfs/GMD-C-1834-246.pdf","Abrir PDF")</f>
        <v>Abrir PDF</v>
      </c>
    </row>
    <row r="360" spans="1:6" ht="31.95" customHeight="1">
      <c r="A360" s="9" t="s">
        <v>26</v>
      </c>
      <c r="B360" s="9" t="s">
        <v>818</v>
      </c>
      <c r="C360" s="9" t="s">
        <v>38292</v>
      </c>
      <c r="D360" s="10">
        <v>4</v>
      </c>
      <c r="E360" s="10">
        <v>35</v>
      </c>
      <c r="F360" s="10" t="str">
        <f>HYPERLINK("https://www.boe.es/gazeta/dias/1834/10/19/pdfs/GMD-1834-247.pdf","Abrir PDF")</f>
        <v>Abrir PDF</v>
      </c>
    </row>
    <row r="361" spans="1:6" ht="31.95" customHeight="1">
      <c r="A361" s="9" t="s">
        <v>26</v>
      </c>
      <c r="B361" s="9" t="s">
        <v>27</v>
      </c>
      <c r="C361" s="9" t="s">
        <v>38293</v>
      </c>
      <c r="D361" s="10">
        <v>7</v>
      </c>
      <c r="E361" s="10">
        <v>29</v>
      </c>
      <c r="F361" s="10" t="str">
        <f>HYPERLINK("https://www.boe.es/gazeta/dias/1834/10/19/pdfs/GMD-C-1834-247.pdf","Abrir PDF")</f>
        <v>Abrir PDF</v>
      </c>
    </row>
    <row r="362" spans="1:6" ht="31.95" customHeight="1">
      <c r="A362" s="9" t="s">
        <v>148</v>
      </c>
      <c r="B362" s="9" t="s">
        <v>149</v>
      </c>
      <c r="C362" s="9" t="s">
        <v>38294</v>
      </c>
      <c r="D362" s="10">
        <v>4</v>
      </c>
      <c r="E362" s="10">
        <v>28</v>
      </c>
      <c r="F362" s="10" t="str">
        <f>HYPERLINK("https://www.boe.es/gazeta/dias/1834/10/20/pdfs/GMD-1834-248.pdf","Abrir PDF")</f>
        <v>Abrir PDF</v>
      </c>
    </row>
    <row r="363" spans="1:6" ht="31.95" customHeight="1">
      <c r="A363" s="9" t="s">
        <v>647</v>
      </c>
      <c r="B363" s="9" t="s">
        <v>2176</v>
      </c>
      <c r="C363" s="9" t="s">
        <v>38295</v>
      </c>
      <c r="D363" s="10">
        <v>4</v>
      </c>
      <c r="E363" s="10">
        <v>23</v>
      </c>
      <c r="F363" s="10" t="str">
        <f>HYPERLINK("https://www.boe.es/gazeta/dias/1834/10/21/pdfs/GMD-1834-249.pdf","Abrir PDF")</f>
        <v>Abrir PDF</v>
      </c>
    </row>
    <row r="364" spans="1:6" ht="31.95" customHeight="1">
      <c r="A364" s="9" t="s">
        <v>647</v>
      </c>
      <c r="B364" s="9" t="s">
        <v>648</v>
      </c>
      <c r="C364" s="9" t="s">
        <v>38296</v>
      </c>
      <c r="D364" s="10">
        <v>7</v>
      </c>
      <c r="E364" s="10">
        <v>77</v>
      </c>
      <c r="F364" s="10" t="str">
        <f>HYPERLINK("https://www.boe.es/gazeta/dias/1834/10/21/pdfs/GMD-C-1834-249.pdf","Abrir PDF")</f>
        <v>Abrir PDF</v>
      </c>
    </row>
    <row r="365" spans="1:6" ht="31.95" customHeight="1">
      <c r="A365" s="9" t="s">
        <v>2596</v>
      </c>
      <c r="B365" s="9" t="s">
        <v>2597</v>
      </c>
      <c r="C365" s="9" t="s">
        <v>38297</v>
      </c>
      <c r="D365" s="10">
        <v>4</v>
      </c>
      <c r="E365" s="10">
        <v>36</v>
      </c>
      <c r="F365" s="10" t="str">
        <f>HYPERLINK("https://www.boe.es/gazeta/dias/1834/10/22/pdfs/GMD-1834-250.pdf","Abrir PDF")</f>
        <v>Abrir PDF</v>
      </c>
    </row>
    <row r="366" spans="1:6" ht="31.95" customHeight="1">
      <c r="A366" s="9" t="s">
        <v>2596</v>
      </c>
      <c r="B366" s="9" t="s">
        <v>5480</v>
      </c>
      <c r="C366" s="9" t="s">
        <v>38298</v>
      </c>
      <c r="D366" s="10">
        <v>2</v>
      </c>
      <c r="E366" s="10">
        <v>17</v>
      </c>
      <c r="F366" s="10" t="str">
        <f>HYPERLINK("https://www.boe.es/gazeta/dias/1834/10/22/pdfs/GMD-C-1834-250.pdf","Abrir PDF")</f>
        <v>Abrir PDF</v>
      </c>
    </row>
    <row r="367" spans="1:6" ht="31.95" customHeight="1">
      <c r="A367" s="9" t="s">
        <v>1812</v>
      </c>
      <c r="B367" s="9" t="s">
        <v>1813</v>
      </c>
      <c r="C367" s="9" t="s">
        <v>38299</v>
      </c>
      <c r="D367" s="10">
        <v>4</v>
      </c>
      <c r="E367" s="10">
        <v>27</v>
      </c>
      <c r="F367" s="10" t="str">
        <f>HYPERLINK("https://www.boe.es/gazeta/dias/1834/10/23/pdfs/GMD-1834-251.pdf","Abrir PDF")</f>
        <v>Abrir PDF</v>
      </c>
    </row>
    <row r="368" spans="1:6" ht="31.95" customHeight="1">
      <c r="A368" s="9" t="s">
        <v>633</v>
      </c>
      <c r="B368" s="9" t="s">
        <v>634</v>
      </c>
      <c r="C368" s="9" t="s">
        <v>38300</v>
      </c>
      <c r="D368" s="10">
        <v>4</v>
      </c>
      <c r="E368" s="10">
        <v>21</v>
      </c>
      <c r="F368" s="10" t="str">
        <f>HYPERLINK("https://www.boe.es/gazeta/dias/1834/10/24/pdfs/GMD-1834-252.pdf","Abrir PDF")</f>
        <v>Abrir PDF</v>
      </c>
    </row>
    <row r="369" spans="1:6" ht="31.95" customHeight="1">
      <c r="A369" s="9" t="s">
        <v>389</v>
      </c>
      <c r="B369" s="9" t="s">
        <v>390</v>
      </c>
      <c r="C369" s="9" t="s">
        <v>38301</v>
      </c>
      <c r="D369" s="10">
        <v>4</v>
      </c>
      <c r="E369" s="10">
        <v>50</v>
      </c>
      <c r="F369" s="10" t="str">
        <f>HYPERLINK("https://www.boe.es/gazeta/dias/1834/10/25/pdfs/GMD-1834-253.pdf","Abrir PDF")</f>
        <v>Abrir PDF</v>
      </c>
    </row>
    <row r="370" spans="1:6" ht="31.95" customHeight="1">
      <c r="A370" s="9" t="s">
        <v>1766</v>
      </c>
      <c r="B370" s="9" t="s">
        <v>5600</v>
      </c>
      <c r="C370" s="9" t="s">
        <v>38302</v>
      </c>
      <c r="D370" s="10">
        <v>4</v>
      </c>
      <c r="E370" s="10">
        <v>17</v>
      </c>
      <c r="F370" s="10" t="str">
        <f>HYPERLINK("https://www.boe.es/gazeta/dias/1834/10/26/pdfs/GMD-1834-254.pdf","Abrir PDF")</f>
        <v>Abrir PDF</v>
      </c>
    </row>
    <row r="371" spans="1:6" ht="31.95" customHeight="1">
      <c r="A371" s="9" t="s">
        <v>1766</v>
      </c>
      <c r="B371" s="9" t="s">
        <v>1767</v>
      </c>
      <c r="C371" s="9" t="s">
        <v>38303</v>
      </c>
      <c r="D371" s="10">
        <v>2</v>
      </c>
      <c r="E371" s="10">
        <v>25</v>
      </c>
      <c r="F371" s="10" t="str">
        <f>HYPERLINK("https://www.boe.es/gazeta/dias/1834/10/26/pdfs/GMD-C-1834-254.pdf","Abrir PDF")</f>
        <v>Abrir PDF</v>
      </c>
    </row>
    <row r="372" spans="1:6" ht="31.95" customHeight="1">
      <c r="A372" s="9" t="s">
        <v>1281</v>
      </c>
      <c r="B372" s="9" t="s">
        <v>1282</v>
      </c>
      <c r="C372" s="9" t="s">
        <v>38304</v>
      </c>
      <c r="D372" s="10">
        <v>4</v>
      </c>
      <c r="E372" s="10">
        <v>22</v>
      </c>
      <c r="F372" s="10" t="str">
        <f>HYPERLINK("https://www.boe.es/gazeta/dias/1834/10/27/pdfs/GMD-1834-255.pdf","Abrir PDF")</f>
        <v>Abrir PDF</v>
      </c>
    </row>
    <row r="373" spans="1:6" ht="31.95" customHeight="1">
      <c r="A373" s="9" t="s">
        <v>179</v>
      </c>
      <c r="B373" s="9" t="s">
        <v>180</v>
      </c>
      <c r="C373" s="9" t="s">
        <v>38305</v>
      </c>
      <c r="D373" s="10">
        <v>4</v>
      </c>
      <c r="E373" s="10">
        <v>17</v>
      </c>
      <c r="F373" s="10" t="str">
        <f>HYPERLINK("https://www.boe.es/gazeta/dias/1834/10/28/pdfs/GMD-1834-256.pdf","Abrir PDF")</f>
        <v>Abrir PDF</v>
      </c>
    </row>
    <row r="374" spans="1:6" ht="31.95" customHeight="1">
      <c r="A374" s="9" t="s">
        <v>777</v>
      </c>
      <c r="B374" s="9" t="s">
        <v>778</v>
      </c>
      <c r="C374" s="9" t="s">
        <v>38306</v>
      </c>
      <c r="D374" s="10">
        <v>4</v>
      </c>
      <c r="E374" s="10">
        <v>71</v>
      </c>
      <c r="F374" s="10" t="str">
        <f>HYPERLINK("https://www.boe.es/gazeta/dias/1834/10/29/pdfs/GMD-1834-257.pdf","Abrir PDF")</f>
        <v>Abrir PDF</v>
      </c>
    </row>
    <row r="375" spans="1:6" ht="31.95" customHeight="1">
      <c r="A375" s="9" t="s">
        <v>777</v>
      </c>
      <c r="B375" s="9" t="s">
        <v>2535</v>
      </c>
      <c r="C375" s="9" t="s">
        <v>38307</v>
      </c>
      <c r="D375" s="10">
        <v>7</v>
      </c>
      <c r="E375" s="10">
        <v>74</v>
      </c>
      <c r="F375" s="10" t="str">
        <f>HYPERLINK("https://www.boe.es/gazeta/dias/1834/10/29/pdfs/GMD-C-1834-257.pdf","Abrir PDF")</f>
        <v>Abrir PDF</v>
      </c>
    </row>
    <row r="376" spans="1:6" ht="31.95" customHeight="1">
      <c r="A376" s="9" t="s">
        <v>3083</v>
      </c>
      <c r="B376" s="9" t="s">
        <v>3084</v>
      </c>
      <c r="C376" s="9" t="s">
        <v>38308</v>
      </c>
      <c r="D376" s="10">
        <v>4</v>
      </c>
      <c r="E376" s="10">
        <v>44</v>
      </c>
      <c r="F376" s="10" t="str">
        <f>HYPERLINK("https://www.boe.es/gazeta/dias/1834/10/30/pdfs/GMD-1834-258.pdf","Abrir PDF")</f>
        <v>Abrir PDF</v>
      </c>
    </row>
    <row r="377" spans="1:6" ht="31.95" customHeight="1">
      <c r="A377" s="9" t="s">
        <v>891</v>
      </c>
      <c r="B377" s="9" t="s">
        <v>3608</v>
      </c>
      <c r="C377" s="9" t="s">
        <v>38309</v>
      </c>
      <c r="D377" s="10">
        <v>4</v>
      </c>
      <c r="E377" s="10">
        <v>19</v>
      </c>
      <c r="F377" s="10" t="str">
        <f>HYPERLINK("https://www.boe.es/gazeta/dias/1834/10/31/pdfs/GMD-1834-259.pdf","Abrir PDF")</f>
        <v>Abrir PDF</v>
      </c>
    </row>
    <row r="378" spans="1:6" ht="31.95" customHeight="1">
      <c r="A378" s="9" t="s">
        <v>891</v>
      </c>
      <c r="B378" s="9" t="s">
        <v>892</v>
      </c>
      <c r="C378" s="9" t="s">
        <v>38310</v>
      </c>
      <c r="D378" s="10">
        <v>6</v>
      </c>
      <c r="E378" s="10">
        <v>66</v>
      </c>
      <c r="F378" s="10" t="str">
        <f>HYPERLINK("https://www.boe.es/gazeta/dias/1834/10/31/pdfs/GMD-C-1834-259.pdf","Abrir PDF")</f>
        <v>Abrir PDF</v>
      </c>
    </row>
    <row r="379" spans="1:6" ht="31.95" customHeight="1">
      <c r="A379" s="9" t="s">
        <v>68</v>
      </c>
      <c r="B379" s="9" t="s">
        <v>69</v>
      </c>
      <c r="C379" s="9" t="s">
        <v>38311</v>
      </c>
      <c r="D379" s="10">
        <v>4</v>
      </c>
      <c r="E379" s="10">
        <v>34</v>
      </c>
      <c r="F379" s="10" t="str">
        <f>HYPERLINK("https://www.boe.es/gazeta/dias/1834/11/01/pdfs/GMD-1834-260.pdf","Abrir PDF")</f>
        <v>Abrir PDF</v>
      </c>
    </row>
    <row r="380" spans="1:6" ht="31.95" customHeight="1">
      <c r="A380" s="9" t="s">
        <v>68</v>
      </c>
      <c r="B380" s="9" t="s">
        <v>69</v>
      </c>
      <c r="C380" s="9" t="s">
        <v>38312</v>
      </c>
      <c r="D380" s="10">
        <v>1</v>
      </c>
      <c r="E380" s="10">
        <v>8</v>
      </c>
      <c r="F380" s="10" t="str">
        <f>HYPERLINK("https://www.boe.es/gazeta/dias/1834/11/01/pdfs/I01088-01088.pdf","Abrir PDF")</f>
        <v>Abrir PDF</v>
      </c>
    </row>
    <row r="381" spans="1:6" ht="31.95" customHeight="1">
      <c r="A381" s="9" t="s">
        <v>3163</v>
      </c>
      <c r="B381" s="9" t="s">
        <v>3164</v>
      </c>
      <c r="C381" s="9" t="s">
        <v>38313</v>
      </c>
      <c r="D381" s="10">
        <v>4</v>
      </c>
      <c r="E381" s="10">
        <v>17</v>
      </c>
      <c r="F381" s="10" t="str">
        <f>HYPERLINK("https://www.boe.es/gazeta/dias/1834/11/02/pdfs/GMD-1834-261.pdf","Abrir PDF")</f>
        <v>Abrir PDF</v>
      </c>
    </row>
    <row r="382" spans="1:6" ht="31.95" customHeight="1">
      <c r="A382" s="9" t="s">
        <v>1406</v>
      </c>
      <c r="B382" s="9" t="s">
        <v>1407</v>
      </c>
      <c r="C382" s="9" t="s">
        <v>38314</v>
      </c>
      <c r="D382" s="10">
        <v>4</v>
      </c>
      <c r="E382" s="10">
        <v>34</v>
      </c>
      <c r="F382" s="10" t="str">
        <f>HYPERLINK("https://www.boe.es/gazeta/dias/1834/11/03/pdfs/GMD-1834-262.pdf","Abrir PDF")</f>
        <v>Abrir PDF</v>
      </c>
    </row>
    <row r="383" spans="1:6" ht="31.95" customHeight="1">
      <c r="A383" s="9" t="s">
        <v>73</v>
      </c>
      <c r="B383" s="9" t="s">
        <v>74</v>
      </c>
      <c r="C383" s="9" t="s">
        <v>38315</v>
      </c>
      <c r="D383" s="10">
        <v>4</v>
      </c>
      <c r="E383" s="10">
        <v>96</v>
      </c>
      <c r="F383" s="10" t="str">
        <f>HYPERLINK("https://www.boe.es/gazeta/dias/1834/11/04/pdfs/GMD-1834-263.pdf","Abrir PDF")</f>
        <v>Abrir PDF</v>
      </c>
    </row>
    <row r="384" spans="1:6" ht="31.95" customHeight="1">
      <c r="A384" s="9" t="s">
        <v>73</v>
      </c>
      <c r="B384" s="9" t="s">
        <v>1416</v>
      </c>
      <c r="C384" s="9" t="s">
        <v>38316</v>
      </c>
      <c r="D384" s="10">
        <v>3</v>
      </c>
      <c r="E384" s="10">
        <v>55</v>
      </c>
      <c r="F384" s="10" t="str">
        <f>HYPERLINK("https://www.boe.es/gazeta/dias/1834/11/04/pdfs/GMD-C-1834-263.pdf","Abrir PDF")</f>
        <v>Abrir PDF</v>
      </c>
    </row>
    <row r="385" spans="1:6" ht="31.95" customHeight="1">
      <c r="A385" s="9" t="s">
        <v>2218</v>
      </c>
      <c r="B385" s="9" t="s">
        <v>2219</v>
      </c>
      <c r="C385" s="9" t="s">
        <v>38317</v>
      </c>
      <c r="D385" s="10">
        <v>4</v>
      </c>
      <c r="E385" s="10">
        <v>39</v>
      </c>
      <c r="F385" s="10" t="str">
        <f>HYPERLINK("https://www.boe.es/gazeta/dias/1834/11/05/pdfs/GMD-1834-264.pdf","Abrir PDF")</f>
        <v>Abrir PDF</v>
      </c>
    </row>
    <row r="386" spans="1:6" ht="31.95" customHeight="1">
      <c r="A386" s="9" t="s">
        <v>1742</v>
      </c>
      <c r="B386" s="9" t="s">
        <v>1743</v>
      </c>
      <c r="C386" s="9" t="s">
        <v>38318</v>
      </c>
      <c r="D386" s="10">
        <v>4</v>
      </c>
      <c r="E386" s="10">
        <v>30</v>
      </c>
      <c r="F386" s="10" t="str">
        <f>HYPERLINK("https://www.boe.es/gazeta/dias/1834/11/06/pdfs/GMD-1834-265.pdf","Abrir PDF")</f>
        <v>Abrir PDF</v>
      </c>
    </row>
    <row r="387" spans="1:6" ht="31.95" customHeight="1">
      <c r="A387" s="9" t="s">
        <v>762</v>
      </c>
      <c r="B387" s="9" t="s">
        <v>763</v>
      </c>
      <c r="C387" s="9" t="s">
        <v>38319</v>
      </c>
      <c r="D387" s="10">
        <v>4</v>
      </c>
      <c r="E387" s="10">
        <v>50</v>
      </c>
      <c r="F387" s="10" t="str">
        <f>HYPERLINK("https://www.boe.es/gazeta/dias/1834/11/07/pdfs/GMD-1834-266.pdf","Abrir PDF")</f>
        <v>Abrir PDF</v>
      </c>
    </row>
    <row r="388" spans="1:6" ht="31.95" customHeight="1">
      <c r="A388" s="9" t="s">
        <v>762</v>
      </c>
      <c r="B388" s="9" t="s">
        <v>2227</v>
      </c>
      <c r="C388" s="9" t="s">
        <v>38320</v>
      </c>
      <c r="D388" s="10">
        <v>6</v>
      </c>
      <c r="E388" s="10">
        <v>43</v>
      </c>
      <c r="F388" s="10" t="str">
        <f>HYPERLINK("https://www.boe.es/gazeta/dias/1834/11/07/pdfs/GMD-C-1834-266.pdf","Abrir PDF")</f>
        <v>Abrir PDF</v>
      </c>
    </row>
    <row r="389" spans="1:6" ht="31.95" customHeight="1">
      <c r="A389" s="9" t="s">
        <v>1008</v>
      </c>
      <c r="B389" s="9" t="s">
        <v>2991</v>
      </c>
      <c r="C389" s="9" t="s">
        <v>38321</v>
      </c>
      <c r="D389" s="10">
        <v>4</v>
      </c>
      <c r="E389" s="10">
        <v>21</v>
      </c>
      <c r="F389" s="10" t="str">
        <f>HYPERLINK("https://www.boe.es/gazeta/dias/1834/11/08/pdfs/GMD-1834-267.pdf","Abrir PDF")</f>
        <v>Abrir PDF</v>
      </c>
    </row>
    <row r="390" spans="1:6" ht="31.95" customHeight="1">
      <c r="A390" s="9" t="s">
        <v>1008</v>
      </c>
      <c r="B390" s="9" t="s">
        <v>1009</v>
      </c>
      <c r="C390" s="9" t="s">
        <v>38322</v>
      </c>
      <c r="D390" s="10">
        <v>8</v>
      </c>
      <c r="E390" s="10">
        <v>69</v>
      </c>
      <c r="F390" s="10" t="str">
        <f>HYPERLINK("https://www.boe.es/gazeta/dias/1834/11/08/pdfs/GMD-C-1834-267.pdf","Abrir PDF")</f>
        <v>Abrir PDF</v>
      </c>
    </row>
    <row r="391" spans="1:6" ht="31.95" customHeight="1">
      <c r="A391" s="9" t="s">
        <v>438</v>
      </c>
      <c r="B391" s="9" t="s">
        <v>439</v>
      </c>
      <c r="C391" s="9" t="s">
        <v>38323</v>
      </c>
      <c r="D391" s="10">
        <v>4</v>
      </c>
      <c r="E391" s="10">
        <v>32</v>
      </c>
      <c r="F391" s="10" t="str">
        <f>HYPERLINK("https://www.boe.es/gazeta/dias/1834/11/09/pdfs/GMD-1834-268.pdf","Abrir PDF")</f>
        <v>Abrir PDF</v>
      </c>
    </row>
    <row r="392" spans="1:6" ht="31.95" customHeight="1">
      <c r="A392" s="9" t="s">
        <v>438</v>
      </c>
      <c r="B392" s="9" t="s">
        <v>528</v>
      </c>
      <c r="C392" s="9" t="s">
        <v>38324</v>
      </c>
      <c r="D392" s="10">
        <v>5</v>
      </c>
      <c r="E392" s="10">
        <v>48</v>
      </c>
      <c r="F392" s="10" t="str">
        <f>HYPERLINK("https://www.boe.es/gazeta/dias/1834/11/09/pdfs/GMD-C-1834-268.pdf","Abrir PDF")</f>
        <v>Abrir PDF</v>
      </c>
    </row>
    <row r="393" spans="1:6" ht="31.95" customHeight="1">
      <c r="A393" s="9" t="s">
        <v>441</v>
      </c>
      <c r="B393" s="9" t="s">
        <v>442</v>
      </c>
      <c r="C393" s="9" t="s">
        <v>38325</v>
      </c>
      <c r="D393" s="10">
        <v>4</v>
      </c>
      <c r="E393" s="10">
        <v>55</v>
      </c>
      <c r="F393" s="10" t="str">
        <f>HYPERLINK("https://www.boe.es/gazeta/dias/1834/11/10/pdfs/GMD-1834-269.pdf","Abrir PDF")</f>
        <v>Abrir PDF</v>
      </c>
    </row>
    <row r="394" spans="1:6" ht="31.95" customHeight="1">
      <c r="A394" s="9" t="s">
        <v>96</v>
      </c>
      <c r="B394" s="9" t="s">
        <v>1725</v>
      </c>
      <c r="C394" s="9" t="s">
        <v>38326</v>
      </c>
      <c r="D394" s="10">
        <v>4</v>
      </c>
      <c r="E394" s="10">
        <v>47</v>
      </c>
      <c r="F394" s="10" t="str">
        <f>HYPERLINK("https://www.boe.es/gazeta/dias/1834/11/11/pdfs/GMD-1834-270.pdf","Abrir PDF")</f>
        <v>Abrir PDF</v>
      </c>
    </row>
    <row r="395" spans="1:6" ht="31.95" customHeight="1">
      <c r="A395" s="9" t="s">
        <v>96</v>
      </c>
      <c r="B395" s="9" t="s">
        <v>97</v>
      </c>
      <c r="C395" s="9" t="s">
        <v>38327</v>
      </c>
      <c r="D395" s="10">
        <v>6</v>
      </c>
      <c r="E395" s="10">
        <v>35</v>
      </c>
      <c r="F395" s="10" t="str">
        <f>HYPERLINK("https://www.boe.es/gazeta/dias/1834/11/11/pdfs/GMD-C-1834-270.pdf","Abrir PDF")</f>
        <v>Abrir PDF</v>
      </c>
    </row>
    <row r="396" spans="1:6" ht="31.95" customHeight="1">
      <c r="A396" s="9" t="s">
        <v>642</v>
      </c>
      <c r="B396" s="9" t="s">
        <v>1843</v>
      </c>
      <c r="C396" s="9" t="s">
        <v>38328</v>
      </c>
      <c r="D396" s="10">
        <v>4</v>
      </c>
      <c r="E396" s="10">
        <v>32</v>
      </c>
      <c r="F396" s="10" t="str">
        <f>HYPERLINK("https://www.boe.es/gazeta/dias/1834/11/12/pdfs/GMD-1834-271.pdf","Abrir PDF")</f>
        <v>Abrir PDF</v>
      </c>
    </row>
    <row r="397" spans="1:6" ht="31.95" customHeight="1">
      <c r="A397" s="9" t="s">
        <v>642</v>
      </c>
      <c r="B397" s="9" t="s">
        <v>643</v>
      </c>
      <c r="C397" s="9" t="s">
        <v>38329</v>
      </c>
      <c r="D397" s="10">
        <v>8</v>
      </c>
      <c r="E397" s="10">
        <v>55</v>
      </c>
      <c r="F397" s="10" t="str">
        <f>HYPERLINK("https://www.boe.es/gazeta/dias/1834/11/12/pdfs/GMD-C-1834-271.pdf","Abrir PDF")</f>
        <v>Abrir PDF</v>
      </c>
    </row>
    <row r="398" spans="1:6" ht="31.95" customHeight="1">
      <c r="A398" s="9" t="s">
        <v>2260</v>
      </c>
      <c r="B398" s="9" t="s">
        <v>2261</v>
      </c>
      <c r="C398" s="9" t="s">
        <v>38330</v>
      </c>
      <c r="D398" s="10">
        <v>4</v>
      </c>
      <c r="E398" s="10">
        <v>31</v>
      </c>
      <c r="F398" s="10" t="str">
        <f>HYPERLINK("https://www.boe.es/gazeta/dias/1834/11/13/pdfs/GMD-1834-272.pdf","Abrir PDF")</f>
        <v>Abrir PDF</v>
      </c>
    </row>
    <row r="399" spans="1:6" ht="31.95" customHeight="1">
      <c r="A399" s="9" t="s">
        <v>2260</v>
      </c>
      <c r="B399" s="9" t="s">
        <v>2263</v>
      </c>
      <c r="C399" s="9" t="s">
        <v>38331</v>
      </c>
      <c r="D399" s="10">
        <v>8</v>
      </c>
      <c r="E399" s="10">
        <v>40</v>
      </c>
      <c r="F399" s="10" t="str">
        <f>HYPERLINK("https://www.boe.es/gazeta/dias/1834/11/13/pdfs/GMD-C-1834-272.pdf","Abrir PDF")</f>
        <v>Abrir PDF</v>
      </c>
    </row>
    <row r="400" spans="1:6" ht="31.95" customHeight="1">
      <c r="A400" s="9" t="s">
        <v>1424</v>
      </c>
      <c r="B400" s="9" t="s">
        <v>3445</v>
      </c>
      <c r="C400" s="9" t="s">
        <v>38332</v>
      </c>
      <c r="D400" s="10">
        <v>4</v>
      </c>
      <c r="E400" s="10">
        <v>26</v>
      </c>
      <c r="F400" s="10" t="str">
        <f>HYPERLINK("https://www.boe.es/gazeta/dias/1834/11/14/pdfs/GMD-1834-273.pdf","Abrir PDF")</f>
        <v>Abrir PDF</v>
      </c>
    </row>
    <row r="401" spans="1:6" ht="31.95" customHeight="1">
      <c r="A401" s="9" t="s">
        <v>1424</v>
      </c>
      <c r="B401" s="9" t="s">
        <v>1425</v>
      </c>
      <c r="C401" s="9" t="s">
        <v>38333</v>
      </c>
      <c r="D401" s="10">
        <v>6</v>
      </c>
      <c r="E401" s="10">
        <v>51</v>
      </c>
      <c r="F401" s="10" t="str">
        <f>HYPERLINK("https://www.boe.es/gazeta/dias/1834/11/14/pdfs/GMD-C-1834-273.pdf","Abrir PDF")</f>
        <v>Abrir PDF</v>
      </c>
    </row>
    <row r="402" spans="1:6" ht="31.95" customHeight="1">
      <c r="A402" s="9" t="s">
        <v>928</v>
      </c>
      <c r="B402" s="9" t="s">
        <v>3338</v>
      </c>
      <c r="C402" s="9" t="s">
        <v>38334</v>
      </c>
      <c r="D402" s="10">
        <v>4</v>
      </c>
      <c r="E402" s="10">
        <v>53</v>
      </c>
      <c r="F402" s="10" t="str">
        <f>HYPERLINK("https://www.boe.es/gazeta/dias/1834/11/15/pdfs/GMD-1834-274.pdf","Abrir PDF")</f>
        <v>Abrir PDF</v>
      </c>
    </row>
    <row r="403" spans="1:6" ht="31.95" customHeight="1">
      <c r="A403" s="9" t="s">
        <v>928</v>
      </c>
      <c r="B403" s="9" t="s">
        <v>929</v>
      </c>
      <c r="C403" s="9" t="s">
        <v>38335</v>
      </c>
      <c r="D403" s="10">
        <v>5</v>
      </c>
      <c r="E403" s="10">
        <v>33</v>
      </c>
      <c r="F403" s="10" t="str">
        <f>HYPERLINK("https://www.boe.es/gazeta/dias/1834/11/15/pdfs/GMD-C-1834-274.pdf","Abrir PDF")</f>
        <v>Abrir PDF</v>
      </c>
    </row>
    <row r="404" spans="1:6" ht="31.95" customHeight="1">
      <c r="A404" s="9" t="s">
        <v>883</v>
      </c>
      <c r="B404" s="9" t="s">
        <v>3449</v>
      </c>
      <c r="C404" s="9" t="s">
        <v>38336</v>
      </c>
      <c r="D404" s="10">
        <v>4</v>
      </c>
      <c r="E404" s="10">
        <v>15</v>
      </c>
      <c r="F404" s="10" t="str">
        <f>HYPERLINK("https://www.boe.es/gazeta/dias/1834/11/16/pdfs/GMD-1834-275.pdf","Abrir PDF")</f>
        <v>Abrir PDF</v>
      </c>
    </row>
    <row r="405" spans="1:6" ht="31.95" customHeight="1">
      <c r="A405" s="9" t="s">
        <v>883</v>
      </c>
      <c r="B405" s="9" t="s">
        <v>884</v>
      </c>
      <c r="C405" s="9" t="s">
        <v>38337</v>
      </c>
      <c r="D405" s="10">
        <v>2</v>
      </c>
      <c r="E405" s="10">
        <v>17</v>
      </c>
      <c r="F405" s="10" t="str">
        <f>HYPERLINK("https://www.boe.es/gazeta/dias/1834/11/16/pdfs/GMD-C-1834-275.pdf","Abrir PDF")</f>
        <v>Abrir PDF</v>
      </c>
    </row>
    <row r="406" spans="1:6" ht="31.95" customHeight="1">
      <c r="A406" s="9" t="s">
        <v>8200</v>
      </c>
      <c r="B406" s="9" t="s">
        <v>8201</v>
      </c>
      <c r="C406" s="9" t="s">
        <v>38338</v>
      </c>
      <c r="D406" s="10">
        <v>4</v>
      </c>
      <c r="E406" s="10">
        <v>18</v>
      </c>
      <c r="F406" s="10" t="str">
        <f>HYPERLINK("https://www.boe.es/gazeta/dias/1834/11/17/pdfs/GMD-1834-276.pdf","Abrir PDF")</f>
        <v>Abrir PDF</v>
      </c>
    </row>
    <row r="407" spans="1:6" ht="31.95" customHeight="1">
      <c r="A407" s="9" t="s">
        <v>3036</v>
      </c>
      <c r="B407" s="9" t="s">
        <v>3372</v>
      </c>
      <c r="C407" s="9" t="s">
        <v>38339</v>
      </c>
      <c r="D407" s="10">
        <v>4</v>
      </c>
      <c r="E407" s="10">
        <v>21</v>
      </c>
      <c r="F407" s="10" t="str">
        <f>HYPERLINK("https://www.boe.es/gazeta/dias/1834/11/18/pdfs/GMD-1834-277.pdf","Abrir PDF")</f>
        <v>Abrir PDF</v>
      </c>
    </row>
    <row r="408" spans="1:6" ht="31.95" customHeight="1">
      <c r="A408" s="9" t="s">
        <v>3036</v>
      </c>
      <c r="B408" s="9" t="s">
        <v>3037</v>
      </c>
      <c r="C408" s="9" t="s">
        <v>38340</v>
      </c>
      <c r="D408" s="10">
        <v>6</v>
      </c>
      <c r="E408" s="10">
        <v>44</v>
      </c>
      <c r="F408" s="10" t="str">
        <f>HYPERLINK("https://www.boe.es/gazeta/dias/1834/11/18/pdfs/GMD-C-1834-277.pdf","Abrir PDF")</f>
        <v>Abrir PDF</v>
      </c>
    </row>
    <row r="409" spans="1:6" ht="31.95" customHeight="1">
      <c r="A409" s="9" t="s">
        <v>265</v>
      </c>
      <c r="B409" s="9" t="s">
        <v>969</v>
      </c>
      <c r="C409" s="9" t="s">
        <v>38341</v>
      </c>
      <c r="D409" s="10">
        <v>4</v>
      </c>
      <c r="E409" s="10">
        <v>20</v>
      </c>
      <c r="F409" s="10" t="str">
        <f>HYPERLINK("https://www.boe.es/gazeta/dias/1834/11/19/pdfs/GMD-1834-278.pdf","Abrir PDF")</f>
        <v>Abrir PDF</v>
      </c>
    </row>
    <row r="410" spans="1:6" ht="31.95" customHeight="1">
      <c r="A410" s="9" t="s">
        <v>265</v>
      </c>
      <c r="B410" s="9" t="s">
        <v>266</v>
      </c>
      <c r="C410" s="9" t="s">
        <v>38342</v>
      </c>
      <c r="D410" s="10">
        <v>4</v>
      </c>
      <c r="E410" s="10">
        <v>62</v>
      </c>
      <c r="F410" s="10" t="str">
        <f>HYPERLINK("https://www.boe.es/gazeta/dias/1834/11/19/pdfs/GMD-C-1834-278.pdf","Abrir PDF")</f>
        <v>Abrir PDF</v>
      </c>
    </row>
    <row r="411" spans="1:6" ht="31.95" customHeight="1">
      <c r="A411" s="9" t="s">
        <v>4169</v>
      </c>
      <c r="B411" s="9" t="s">
        <v>4170</v>
      </c>
      <c r="C411" s="9" t="s">
        <v>38343</v>
      </c>
      <c r="D411" s="10">
        <v>4</v>
      </c>
      <c r="E411" s="10">
        <v>22</v>
      </c>
      <c r="F411" s="10" t="str">
        <f>HYPERLINK("https://www.boe.es/gazeta/dias/1834/11/20/pdfs/GMD-1834-279.pdf","Abrir PDF")</f>
        <v>Abrir PDF</v>
      </c>
    </row>
    <row r="412" spans="1:6" ht="31.95" customHeight="1">
      <c r="A412" s="9" t="s">
        <v>492</v>
      </c>
      <c r="B412" s="9" t="s">
        <v>1672</v>
      </c>
      <c r="C412" s="9" t="s">
        <v>38344</v>
      </c>
      <c r="D412" s="10">
        <v>4</v>
      </c>
      <c r="E412" s="10">
        <v>23</v>
      </c>
      <c r="F412" s="10" t="str">
        <f>HYPERLINK("https://www.boe.es/gazeta/dias/1834/11/21/pdfs/GMD-1834-280.pdf","Abrir PDF")</f>
        <v>Abrir PDF</v>
      </c>
    </row>
    <row r="413" spans="1:6" ht="31.95" customHeight="1">
      <c r="A413" s="9" t="s">
        <v>492</v>
      </c>
      <c r="B413" s="9" t="s">
        <v>493</v>
      </c>
      <c r="C413" s="9" t="s">
        <v>38345</v>
      </c>
      <c r="D413" s="10">
        <v>6</v>
      </c>
      <c r="E413" s="10">
        <v>52</v>
      </c>
      <c r="F413" s="10" t="str">
        <f>HYPERLINK("https://www.boe.es/gazeta/dias/1834/11/21/pdfs/GMD-C-1834-280.pdf","Abrir PDF")</f>
        <v>Abrir PDF</v>
      </c>
    </row>
    <row r="414" spans="1:6" ht="31.95" customHeight="1">
      <c r="A414" s="9" t="s">
        <v>702</v>
      </c>
      <c r="B414" s="9" t="s">
        <v>2427</v>
      </c>
      <c r="C414" s="9" t="s">
        <v>38346</v>
      </c>
      <c r="D414" s="10">
        <v>4</v>
      </c>
      <c r="E414" s="10">
        <v>28</v>
      </c>
      <c r="F414" s="10" t="str">
        <f>HYPERLINK("https://www.boe.es/gazeta/dias/1834/11/22/pdfs/GMD-1834-281.pdf","Abrir PDF")</f>
        <v>Abrir PDF</v>
      </c>
    </row>
    <row r="415" spans="1:6" ht="31.95" customHeight="1">
      <c r="A415" s="9" t="s">
        <v>702</v>
      </c>
      <c r="B415" s="9" t="s">
        <v>703</v>
      </c>
      <c r="C415" s="9" t="s">
        <v>38347</v>
      </c>
      <c r="D415" s="10">
        <v>6</v>
      </c>
      <c r="E415" s="10">
        <v>39</v>
      </c>
      <c r="F415" s="10" t="str">
        <f>HYPERLINK("https://www.boe.es/gazeta/dias/1834/11/22/pdfs/GMD-C-1834-281.pdf","Abrir PDF")</f>
        <v>Abrir PDF</v>
      </c>
    </row>
    <row r="416" spans="1:6" ht="31.95" customHeight="1">
      <c r="A416" s="9" t="s">
        <v>667</v>
      </c>
      <c r="B416" s="9" t="s">
        <v>3347</v>
      </c>
      <c r="C416" s="9" t="s">
        <v>38348</v>
      </c>
      <c r="D416" s="10">
        <v>4</v>
      </c>
      <c r="E416" s="10">
        <v>24</v>
      </c>
      <c r="F416" s="10" t="str">
        <f>HYPERLINK("https://www.boe.es/gazeta/dias/1834/11/23/pdfs/GMD-1834-282.pdf","Abrir PDF")</f>
        <v>Abrir PDF</v>
      </c>
    </row>
    <row r="417" spans="1:6" ht="31.95" customHeight="1">
      <c r="A417" s="9" t="s">
        <v>667</v>
      </c>
      <c r="B417" s="9" t="s">
        <v>668</v>
      </c>
      <c r="C417" s="9" t="s">
        <v>38349</v>
      </c>
      <c r="D417" s="10">
        <v>6</v>
      </c>
      <c r="E417" s="10">
        <v>50</v>
      </c>
      <c r="F417" s="10" t="str">
        <f>HYPERLINK("https://www.boe.es/gazeta/dias/1834/11/23/pdfs/GMD-C-1834-282.pdf","Abrir PDF")</f>
        <v>Abrir PDF</v>
      </c>
    </row>
    <row r="418" spans="1:6" ht="31.95" customHeight="1">
      <c r="A418" s="9" t="s">
        <v>1575</v>
      </c>
      <c r="B418" s="9" t="s">
        <v>1576</v>
      </c>
      <c r="C418" s="9" t="s">
        <v>38350</v>
      </c>
      <c r="D418" s="10">
        <v>4</v>
      </c>
      <c r="E418" s="10">
        <v>60</v>
      </c>
      <c r="F418" s="10" t="str">
        <f>HYPERLINK("https://www.boe.es/gazeta/dias/1834/11/24/pdfs/GMD-1834-283.pdf","Abrir PDF")</f>
        <v>Abrir PDF</v>
      </c>
    </row>
    <row r="419" spans="1:6" ht="31.95" customHeight="1">
      <c r="A419" s="9" t="s">
        <v>707</v>
      </c>
      <c r="B419" s="9" t="s">
        <v>1359</v>
      </c>
      <c r="C419" s="9" t="s">
        <v>38351</v>
      </c>
      <c r="D419" s="10">
        <v>4</v>
      </c>
      <c r="E419" s="10">
        <v>35</v>
      </c>
      <c r="F419" s="10" t="str">
        <f>HYPERLINK("https://www.boe.es/gazeta/dias/1834/11/25/pdfs/GMD-1834-284.pdf","Abrir PDF")</f>
        <v>Abrir PDF</v>
      </c>
    </row>
    <row r="420" spans="1:6" ht="31.95" customHeight="1">
      <c r="A420" s="9" t="s">
        <v>707</v>
      </c>
      <c r="B420" s="9" t="s">
        <v>708</v>
      </c>
      <c r="C420" s="9" t="s">
        <v>38352</v>
      </c>
      <c r="D420" s="10">
        <v>9</v>
      </c>
      <c r="E420" s="10">
        <v>76</v>
      </c>
      <c r="F420" s="10" t="str">
        <f>HYPERLINK("https://www.boe.es/gazeta/dias/1834/11/25/pdfs/GMD-C-1834-284.pdf","Abrir PDF")</f>
        <v>Abrir PDF</v>
      </c>
    </row>
    <row r="421" spans="1:6" ht="31.95" customHeight="1">
      <c r="A421" s="9" t="s">
        <v>510</v>
      </c>
      <c r="B421" s="9" t="s">
        <v>511</v>
      </c>
      <c r="C421" s="9" t="s">
        <v>38353</v>
      </c>
      <c r="D421" s="10">
        <v>4</v>
      </c>
      <c r="E421" s="10">
        <v>20</v>
      </c>
      <c r="F421" s="10" t="str">
        <f>HYPERLINK("https://www.boe.es/gazeta/dias/1834/11/26/pdfs/GMD-1834-285.pdf","Abrir PDF")</f>
        <v>Abrir PDF</v>
      </c>
    </row>
    <row r="422" spans="1:6" ht="31.95" customHeight="1">
      <c r="A422" s="9" t="s">
        <v>510</v>
      </c>
      <c r="B422" s="9" t="s">
        <v>531</v>
      </c>
      <c r="C422" s="9" t="s">
        <v>38354</v>
      </c>
      <c r="D422" s="10">
        <v>7</v>
      </c>
      <c r="E422" s="10">
        <v>45</v>
      </c>
      <c r="F422" s="10" t="str">
        <f>HYPERLINK("https://www.boe.es/gazeta/dias/1834/11/26/pdfs/GMD-C-1834-285.pdf","Abrir PDF")</f>
        <v>Abrir PDF</v>
      </c>
    </row>
    <row r="423" spans="1:6" ht="31.95" customHeight="1">
      <c r="A423" s="9" t="s">
        <v>465</v>
      </c>
      <c r="B423" s="9" t="s">
        <v>1361</v>
      </c>
      <c r="C423" s="9" t="s">
        <v>38355</v>
      </c>
      <c r="D423" s="10">
        <v>4</v>
      </c>
      <c r="E423" s="10">
        <v>12</v>
      </c>
      <c r="F423" s="10" t="str">
        <f>HYPERLINK("https://www.boe.es/gazeta/dias/1834/11/27/pdfs/GMD-1834-286.pdf","Abrir PDF")</f>
        <v>Abrir PDF</v>
      </c>
    </row>
    <row r="424" spans="1:6" ht="31.95" customHeight="1">
      <c r="A424" s="9" t="s">
        <v>465</v>
      </c>
      <c r="B424" s="9" t="s">
        <v>466</v>
      </c>
      <c r="C424" s="9" t="s">
        <v>38356</v>
      </c>
      <c r="D424" s="10">
        <v>6</v>
      </c>
      <c r="E424" s="10">
        <v>67</v>
      </c>
      <c r="F424" s="10" t="str">
        <f>HYPERLINK("https://www.boe.es/gazeta/dias/1834/11/27/pdfs/GMD-C-1834-286.pdf","Abrir PDF")</f>
        <v>Abrir PDF</v>
      </c>
    </row>
    <row r="425" spans="1:6" ht="31.95" customHeight="1">
      <c r="A425" s="9" t="s">
        <v>1284</v>
      </c>
      <c r="B425" s="9" t="s">
        <v>1285</v>
      </c>
      <c r="C425" s="9" t="s">
        <v>38357</v>
      </c>
      <c r="D425" s="10">
        <v>4</v>
      </c>
      <c r="E425" s="10">
        <v>24</v>
      </c>
      <c r="F425" s="10" t="str">
        <f>HYPERLINK("https://www.boe.es/gazeta/dias/1834/11/28/pdfs/GMD-1834-287.pdf","Abrir PDF")</f>
        <v>Abrir PDF</v>
      </c>
    </row>
    <row r="426" spans="1:6" ht="31.95" customHeight="1">
      <c r="A426" s="9" t="s">
        <v>283</v>
      </c>
      <c r="B426" s="9" t="s">
        <v>2969</v>
      </c>
      <c r="C426" s="9" t="s">
        <v>38358</v>
      </c>
      <c r="D426" s="10">
        <v>4</v>
      </c>
      <c r="E426" s="10">
        <v>43</v>
      </c>
      <c r="F426" s="10" t="str">
        <f>HYPERLINK("https://www.boe.es/gazeta/dias/1834/11/29/pdfs/GMD-1834-288.pdf","Abrir PDF")</f>
        <v>Abrir PDF</v>
      </c>
    </row>
    <row r="427" spans="1:6" ht="31.95" customHeight="1">
      <c r="A427" s="9" t="s">
        <v>283</v>
      </c>
      <c r="B427" s="9" t="s">
        <v>284</v>
      </c>
      <c r="C427" s="9" t="s">
        <v>38359</v>
      </c>
      <c r="D427" s="10">
        <v>6</v>
      </c>
      <c r="E427" s="10">
        <v>46</v>
      </c>
      <c r="F427" s="10" t="str">
        <f>HYPERLINK("https://www.boe.es/gazeta/dias/1834/11/29/pdfs/GMD-C-1834-288.pdf","Abrir PDF")</f>
        <v>Abrir PDF</v>
      </c>
    </row>
    <row r="428" spans="1:6" ht="31.95" customHeight="1">
      <c r="A428" s="9" t="s">
        <v>590</v>
      </c>
      <c r="B428" s="9" t="s">
        <v>591</v>
      </c>
      <c r="C428" s="9" t="s">
        <v>38360</v>
      </c>
      <c r="D428" s="10">
        <v>4</v>
      </c>
      <c r="E428" s="10">
        <v>34</v>
      </c>
      <c r="F428" s="10" t="str">
        <f>HYPERLINK("https://www.boe.es/gazeta/dias/1834/11/30/pdfs/GMD-1834-289.pdf","Abrir PDF")</f>
        <v>Abrir PDF</v>
      </c>
    </row>
    <row r="429" spans="1:6" ht="31.95" customHeight="1">
      <c r="A429" s="9" t="s">
        <v>590</v>
      </c>
      <c r="B429" s="9" t="s">
        <v>17808</v>
      </c>
      <c r="C429" s="9" t="s">
        <v>38361</v>
      </c>
      <c r="D429" s="10">
        <v>2</v>
      </c>
      <c r="E429" s="10">
        <v>16</v>
      </c>
      <c r="F429" s="10" t="str">
        <f>HYPERLINK("https://www.boe.es/gazeta/dias/1834/11/30/pdfs/GMD-C-1834-289.pdf","Abrir PDF")</f>
        <v>Abrir PDF</v>
      </c>
    </row>
    <row r="430" spans="1:6" ht="31.95" customHeight="1">
      <c r="A430" s="9" t="s">
        <v>2037</v>
      </c>
      <c r="B430" s="9" t="s">
        <v>2038</v>
      </c>
      <c r="C430" s="9" t="s">
        <v>38362</v>
      </c>
      <c r="D430" s="10">
        <v>4</v>
      </c>
      <c r="E430" s="10">
        <v>27</v>
      </c>
      <c r="F430" s="10" t="str">
        <f>HYPERLINK("https://www.boe.es/gazeta/dias/1834/12/01/pdfs/GMD-1834-290.pdf","Abrir PDF")</f>
        <v>Abrir PDF</v>
      </c>
    </row>
    <row r="431" spans="1:6" ht="31.95" customHeight="1">
      <c r="A431" s="9" t="s">
        <v>2037</v>
      </c>
      <c r="B431" s="9" t="s">
        <v>2038</v>
      </c>
      <c r="C431" s="9" t="s">
        <v>38363</v>
      </c>
      <c r="D431" s="10">
        <v>1</v>
      </c>
      <c r="E431" s="10">
        <v>16</v>
      </c>
      <c r="F431" s="10" t="str">
        <f>HYPERLINK("https://www.boe.es/gazeta/dias/1834/12/01/pdfs/I01208-01208.pdf","Abrir PDF")</f>
        <v>Abrir PDF</v>
      </c>
    </row>
    <row r="432" spans="1:6" ht="31.95" customHeight="1">
      <c r="A432" s="9" t="s">
        <v>1704</v>
      </c>
      <c r="B432" s="9" t="s">
        <v>1705</v>
      </c>
      <c r="C432" s="9" t="s">
        <v>38364</v>
      </c>
      <c r="D432" s="10">
        <v>4</v>
      </c>
      <c r="E432" s="10">
        <v>22</v>
      </c>
      <c r="F432" s="10" t="str">
        <f>HYPERLINK("https://www.boe.es/gazeta/dias/1834/12/02/pdfs/GMD-1834-291.pdf","Abrir PDF")</f>
        <v>Abrir PDF</v>
      </c>
    </row>
    <row r="433" spans="1:6" ht="31.95" customHeight="1">
      <c r="A433" s="9" t="s">
        <v>330</v>
      </c>
      <c r="B433" s="9" t="s">
        <v>331</v>
      </c>
      <c r="C433" s="9" t="s">
        <v>38365</v>
      </c>
      <c r="D433" s="10">
        <v>4</v>
      </c>
      <c r="E433" s="10">
        <v>35</v>
      </c>
      <c r="F433" s="10" t="str">
        <f>HYPERLINK("https://www.boe.es/gazeta/dias/1834/12/03/pdfs/GMD-1834-292.pdf","Abrir PDF")</f>
        <v>Abrir PDF</v>
      </c>
    </row>
    <row r="434" spans="1:6" ht="31.95" customHeight="1">
      <c r="A434" s="9" t="s">
        <v>8346</v>
      </c>
      <c r="B434" s="9" t="s">
        <v>8347</v>
      </c>
      <c r="C434" s="9" t="s">
        <v>38366</v>
      </c>
      <c r="D434" s="10">
        <v>4</v>
      </c>
      <c r="E434" s="10">
        <v>31</v>
      </c>
      <c r="F434" s="10" t="str">
        <f>HYPERLINK("https://www.boe.es/gazeta/dias/1834/12/04/pdfs/GMD-1834-293.pdf","Abrir PDF")</f>
        <v>Abrir PDF</v>
      </c>
    </row>
    <row r="435" spans="1:6" ht="31.95" customHeight="1">
      <c r="A435" s="9" t="s">
        <v>11991</v>
      </c>
      <c r="B435" s="9" t="s">
        <v>17012</v>
      </c>
      <c r="C435" s="9" t="s">
        <v>38367</v>
      </c>
      <c r="D435" s="10">
        <v>4</v>
      </c>
      <c r="E435" s="10">
        <v>10</v>
      </c>
      <c r="F435" s="10" t="str">
        <f>HYPERLINK("https://www.boe.es/gazeta/dias/1834/12/05/pdfs/GMD-1834-294.pdf","Abrir PDF")</f>
        <v>Abrir PDF</v>
      </c>
    </row>
    <row r="436" spans="1:6" ht="31.95" customHeight="1">
      <c r="A436" s="9" t="s">
        <v>11991</v>
      </c>
      <c r="B436" s="9" t="s">
        <v>11992</v>
      </c>
      <c r="C436" s="9" t="s">
        <v>38368</v>
      </c>
      <c r="D436" s="10">
        <v>1</v>
      </c>
      <c r="E436" s="10">
        <v>22</v>
      </c>
      <c r="F436" s="10" t="str">
        <f>HYPERLINK("https://www.boe.es/gazeta/dias/1834/12/05/pdfs/GMD-C-1834-294.pdf","Abrir PDF")</f>
        <v>Abrir PDF</v>
      </c>
    </row>
    <row r="437" spans="1:6" ht="31.95" customHeight="1">
      <c r="A437" s="9" t="s">
        <v>696</v>
      </c>
      <c r="B437" s="9" t="s">
        <v>854</v>
      </c>
      <c r="C437" s="9" t="s">
        <v>38369</v>
      </c>
      <c r="D437" s="10">
        <v>4</v>
      </c>
      <c r="E437" s="10">
        <v>58</v>
      </c>
      <c r="F437" s="10" t="str">
        <f>HYPERLINK("https://www.boe.es/gazeta/dias/1834/12/06/pdfs/GMD-1834-295.pdf","Abrir PDF")</f>
        <v>Abrir PDF</v>
      </c>
    </row>
    <row r="438" spans="1:6" ht="31.95" customHeight="1">
      <c r="A438" s="9" t="s">
        <v>696</v>
      </c>
      <c r="B438" s="9" t="s">
        <v>697</v>
      </c>
      <c r="C438" s="9" t="s">
        <v>38370</v>
      </c>
      <c r="D438" s="10">
        <v>1</v>
      </c>
      <c r="E438" s="10">
        <v>17</v>
      </c>
      <c r="F438" s="10" t="str">
        <f>HYPERLINK("https://www.boe.es/gazeta/dias/1834/12/06/pdfs/GMD-C-1834-295.pdf","Abrir PDF")</f>
        <v>Abrir PDF</v>
      </c>
    </row>
    <row r="439" spans="1:6" ht="31.95" customHeight="1">
      <c r="A439" s="9" t="s">
        <v>3170</v>
      </c>
      <c r="B439" s="9" t="s">
        <v>3171</v>
      </c>
      <c r="C439" s="9" t="s">
        <v>38371</v>
      </c>
      <c r="D439" s="10">
        <v>4</v>
      </c>
      <c r="E439" s="10">
        <v>31</v>
      </c>
      <c r="F439" s="10" t="str">
        <f>HYPERLINK("https://www.boe.es/gazeta/dias/1834/12/07/pdfs/GMD-1834-296.pdf","Abrir PDF")</f>
        <v>Abrir PDF</v>
      </c>
    </row>
    <row r="440" spans="1:6" ht="31.95" customHeight="1">
      <c r="A440" s="9" t="s">
        <v>4637</v>
      </c>
      <c r="B440" s="9" t="s">
        <v>4638</v>
      </c>
      <c r="C440" s="9" t="s">
        <v>38372</v>
      </c>
      <c r="D440" s="10">
        <v>4</v>
      </c>
      <c r="E440" s="10">
        <v>31</v>
      </c>
      <c r="F440" s="10" t="str">
        <f>HYPERLINK("https://www.boe.es/gazeta/dias/1834/12/08/pdfs/GMD-1834-297.pdf","Abrir PDF")</f>
        <v>Abrir PDF</v>
      </c>
    </row>
    <row r="441" spans="1:6" ht="31.95" customHeight="1">
      <c r="A441" s="9" t="s">
        <v>1268</v>
      </c>
      <c r="B441" s="9" t="s">
        <v>1269</v>
      </c>
      <c r="C441" s="9" t="s">
        <v>38373</v>
      </c>
      <c r="D441" s="10">
        <v>4</v>
      </c>
      <c r="E441" s="10">
        <v>15</v>
      </c>
      <c r="F441" s="10" t="str">
        <f>HYPERLINK("https://www.boe.es/gazeta/dias/1834/12/09/pdfs/GMD-1834-298.pdf","Abrir PDF")</f>
        <v>Abrir PDF</v>
      </c>
    </row>
    <row r="442" spans="1:6" ht="31.95" customHeight="1">
      <c r="A442" s="9" t="s">
        <v>679</v>
      </c>
      <c r="B442" s="9" t="s">
        <v>680</v>
      </c>
      <c r="C442" s="9" t="s">
        <v>38374</v>
      </c>
      <c r="D442" s="10">
        <v>4</v>
      </c>
      <c r="E442" s="10">
        <v>19</v>
      </c>
      <c r="F442" s="10" t="str">
        <f>HYPERLINK("https://www.boe.es/gazeta/dias/1834/12/10/pdfs/GMD-1834-299.pdf","Abrir PDF")</f>
        <v>Abrir PDF</v>
      </c>
    </row>
    <row r="443" spans="1:6" ht="31.95" customHeight="1">
      <c r="A443" s="9" t="s">
        <v>679</v>
      </c>
      <c r="B443" s="9" t="s">
        <v>699</v>
      </c>
      <c r="C443" s="9" t="s">
        <v>38375</v>
      </c>
      <c r="D443" s="10">
        <v>8</v>
      </c>
      <c r="E443" s="10">
        <v>60</v>
      </c>
      <c r="F443" s="10" t="str">
        <f>HYPERLINK("https://www.boe.es/gazeta/dias/1834/12/10/pdfs/GMD-C-1834-299.pdf","Abrir PDF")</f>
        <v>Abrir PDF</v>
      </c>
    </row>
    <row r="444" spans="1:6" ht="31.95" customHeight="1">
      <c r="A444" s="9" t="s">
        <v>200</v>
      </c>
      <c r="B444" s="9" t="s">
        <v>201</v>
      </c>
      <c r="C444" s="9" t="s">
        <v>38376</v>
      </c>
      <c r="D444" s="10">
        <v>4</v>
      </c>
      <c r="E444" s="10">
        <v>30</v>
      </c>
      <c r="F444" s="10" t="str">
        <f>HYPERLINK("https://www.boe.es/gazeta/dias/1834/12/11/pdfs/GMD-1834-300.pdf","Abrir PDF")</f>
        <v>Abrir PDF</v>
      </c>
    </row>
    <row r="445" spans="1:6" ht="31.95" customHeight="1">
      <c r="A445" s="9" t="s">
        <v>200</v>
      </c>
      <c r="B445" s="9" t="s">
        <v>2248</v>
      </c>
      <c r="C445" s="9" t="s">
        <v>38377</v>
      </c>
      <c r="D445" s="10">
        <v>5</v>
      </c>
      <c r="E445" s="10">
        <v>43</v>
      </c>
      <c r="F445" s="10" t="str">
        <f>HYPERLINK("https://www.boe.es/gazeta/dias/1834/12/11/pdfs/GMD-C-1834-300.pdf","Abrir PDF")</f>
        <v>Abrir PDF</v>
      </c>
    </row>
    <row r="446" spans="1:6" ht="31.95" customHeight="1">
      <c r="A446" s="9" t="s">
        <v>299</v>
      </c>
      <c r="B446" s="9" t="s">
        <v>300</v>
      </c>
      <c r="C446" s="9" t="s">
        <v>38378</v>
      </c>
      <c r="D446" s="10">
        <v>4</v>
      </c>
      <c r="E446" s="10">
        <v>96</v>
      </c>
      <c r="F446" s="10" t="str">
        <f>HYPERLINK("https://www.boe.es/gazeta/dias/1834/12/12/pdfs/GMD-1834-301.pdf","Abrir PDF")</f>
        <v>Abrir PDF</v>
      </c>
    </row>
    <row r="447" spans="1:6" ht="31.95" customHeight="1">
      <c r="A447" s="9" t="s">
        <v>299</v>
      </c>
      <c r="B447" s="9" t="s">
        <v>2255</v>
      </c>
      <c r="C447" s="9" t="s">
        <v>38379</v>
      </c>
      <c r="D447" s="10">
        <v>8</v>
      </c>
      <c r="E447" s="10">
        <v>92</v>
      </c>
      <c r="F447" s="10" t="str">
        <f>HYPERLINK("https://www.boe.es/gazeta/dias/1834/12/12/pdfs/GMD-C-1834-301.pdf","Abrir PDF")</f>
        <v>Abrir PDF</v>
      </c>
    </row>
    <row r="448" spans="1:6" ht="31.95" customHeight="1">
      <c r="A448" s="9" t="s">
        <v>1981</v>
      </c>
      <c r="B448" s="9" t="s">
        <v>1982</v>
      </c>
      <c r="C448" s="9" t="s">
        <v>38380</v>
      </c>
      <c r="D448" s="10">
        <v>4</v>
      </c>
      <c r="E448" s="10">
        <v>33</v>
      </c>
      <c r="F448" s="10" t="str">
        <f>HYPERLINK("https://www.boe.es/gazeta/dias/1834/12/13/pdfs/GMD-1834-302.pdf","Abrir PDF")</f>
        <v>Abrir PDF</v>
      </c>
    </row>
    <row r="449" spans="1:6" ht="31.95" customHeight="1">
      <c r="A449" s="9" t="s">
        <v>1981</v>
      </c>
      <c r="B449" s="9" t="s">
        <v>2471</v>
      </c>
      <c r="C449" s="9" t="s">
        <v>38381</v>
      </c>
      <c r="D449" s="10">
        <v>6</v>
      </c>
      <c r="E449" s="10">
        <v>53</v>
      </c>
      <c r="F449" s="10" t="str">
        <f>HYPERLINK("https://www.boe.es/gazeta/dias/1834/12/13/pdfs/GMD-C-1834-302.pdf","Abrir PDF")</f>
        <v>Abrir PDF</v>
      </c>
    </row>
    <row r="450" spans="1:6" ht="31.95" customHeight="1">
      <c r="A450" s="9" t="s">
        <v>2087</v>
      </c>
      <c r="B450" s="9" t="s">
        <v>2088</v>
      </c>
      <c r="C450" s="9" t="s">
        <v>38382</v>
      </c>
      <c r="D450" s="10">
        <v>4</v>
      </c>
      <c r="E450" s="10">
        <v>33</v>
      </c>
      <c r="F450" s="10" t="str">
        <f>HYPERLINK("https://www.boe.es/gazeta/dias/1834/12/14/pdfs/GMD-1834-303.pdf","Abrir PDF")</f>
        <v>Abrir PDF</v>
      </c>
    </row>
    <row r="451" spans="1:6" ht="31.95" customHeight="1">
      <c r="A451" s="9" t="s">
        <v>2087</v>
      </c>
      <c r="B451" s="9" t="s">
        <v>2267</v>
      </c>
      <c r="C451" s="9" t="s">
        <v>38383</v>
      </c>
      <c r="D451" s="10">
        <v>10</v>
      </c>
      <c r="E451" s="10">
        <v>75</v>
      </c>
      <c r="F451" s="10" t="str">
        <f>HYPERLINK("https://www.boe.es/gazeta/dias/1834/12/14/pdfs/GMD-C-1834-303.pdf","Abrir PDF")</f>
        <v>Abrir PDF</v>
      </c>
    </row>
    <row r="452" spans="1:6" ht="31.95" customHeight="1">
      <c r="A452" s="9" t="s">
        <v>13660</v>
      </c>
      <c r="B452" s="9" t="s">
        <v>13661</v>
      </c>
      <c r="C452" s="9" t="s">
        <v>38384</v>
      </c>
      <c r="D452" s="10">
        <v>4</v>
      </c>
      <c r="E452" s="10">
        <v>12</v>
      </c>
      <c r="F452" s="10" t="str">
        <f>HYPERLINK("https://www.boe.es/gazeta/dias/1834/12/15/pdfs/GMD-1834-304.pdf","Abrir PDF")</f>
        <v>Abrir PDF</v>
      </c>
    </row>
    <row r="453" spans="1:6" ht="31.95" customHeight="1">
      <c r="A453" s="9" t="s">
        <v>233</v>
      </c>
      <c r="B453" s="9" t="s">
        <v>234</v>
      </c>
      <c r="C453" s="9" t="s">
        <v>38385</v>
      </c>
      <c r="D453" s="10">
        <v>4</v>
      </c>
      <c r="E453" s="10">
        <v>24</v>
      </c>
      <c r="F453" s="10" t="str">
        <f>HYPERLINK("https://www.boe.es/gazeta/dias/1834/12/16/pdfs/GMD-1834-305.pdf","Abrir PDF")</f>
        <v>Abrir PDF</v>
      </c>
    </row>
    <row r="454" spans="1:6" ht="31.95" customHeight="1">
      <c r="A454" s="9" t="s">
        <v>233</v>
      </c>
      <c r="B454" s="9" t="s">
        <v>1810</v>
      </c>
      <c r="C454" s="9" t="s">
        <v>38386</v>
      </c>
      <c r="D454" s="10">
        <v>13</v>
      </c>
      <c r="E454" s="10">
        <v>124</v>
      </c>
      <c r="F454" s="10" t="str">
        <f>HYPERLINK("https://www.boe.es/gazeta/dias/1834/12/16/pdfs/GMD-C-1834-305.pdf","Abrir PDF")</f>
        <v>Abrir PDF</v>
      </c>
    </row>
    <row r="455" spans="1:6" ht="31.95" customHeight="1">
      <c r="A455" s="9" t="s">
        <v>2278</v>
      </c>
      <c r="B455" s="9" t="s">
        <v>3088</v>
      </c>
      <c r="C455" s="9" t="s">
        <v>38387</v>
      </c>
      <c r="D455" s="10">
        <v>4</v>
      </c>
      <c r="E455" s="10">
        <v>21</v>
      </c>
      <c r="F455" s="10" t="str">
        <f>HYPERLINK("https://www.boe.es/gazeta/dias/1834/12/17/pdfs/GMD-1834-306.pdf","Abrir PDF")</f>
        <v>Abrir PDF</v>
      </c>
    </row>
    <row r="456" spans="1:6" ht="31.95" customHeight="1">
      <c r="A456" s="9" t="s">
        <v>2278</v>
      </c>
      <c r="B456" s="9" t="s">
        <v>3687</v>
      </c>
      <c r="C456" s="9" t="s">
        <v>38388</v>
      </c>
      <c r="D456" s="10">
        <v>1</v>
      </c>
      <c r="E456" s="10">
        <v>7</v>
      </c>
      <c r="F456" s="10" t="str">
        <f>HYPERLINK("https://www.boe.es/gazeta/dias/1834/12/17/pdfs/GMD-1834-307E.pdf","Abrir PDF")</f>
        <v>Abrir PDF</v>
      </c>
    </row>
    <row r="457" spans="1:6" ht="31.95" customHeight="1">
      <c r="A457" s="9" t="s">
        <v>2278</v>
      </c>
      <c r="B457" s="9" t="s">
        <v>2279</v>
      </c>
      <c r="C457" s="9" t="s">
        <v>38389</v>
      </c>
      <c r="D457" s="10">
        <v>6</v>
      </c>
      <c r="E457" s="10">
        <v>72</v>
      </c>
      <c r="F457" s="10" t="str">
        <f>HYPERLINK("https://www.boe.es/gazeta/dias/1834/12/17/pdfs/GMD-C-1834-306.pdf","Abrir PDF")</f>
        <v>Abrir PDF</v>
      </c>
    </row>
    <row r="458" spans="1:6" ht="31.95" customHeight="1">
      <c r="A458" s="9" t="s">
        <v>2287</v>
      </c>
      <c r="B458" s="9" t="s">
        <v>4741</v>
      </c>
      <c r="C458" s="9" t="s">
        <v>38390</v>
      </c>
      <c r="D458" s="10">
        <v>4</v>
      </c>
      <c r="E458" s="10">
        <v>31</v>
      </c>
      <c r="F458" s="10" t="str">
        <f>HYPERLINK("https://www.boe.es/gazeta/dias/1834/12/18/pdfs/GMD-1834-308.pdf","Abrir PDF")</f>
        <v>Abrir PDF</v>
      </c>
    </row>
    <row r="459" spans="1:6" ht="31.95" customHeight="1">
      <c r="A459" s="9" t="s">
        <v>2287</v>
      </c>
      <c r="B459" s="9" t="s">
        <v>2288</v>
      </c>
      <c r="C459" s="9" t="s">
        <v>38391</v>
      </c>
      <c r="D459" s="10">
        <v>6</v>
      </c>
      <c r="E459" s="10">
        <v>63</v>
      </c>
      <c r="F459" s="10" t="str">
        <f>HYPERLINK("https://www.boe.es/gazeta/dias/1834/12/18/pdfs/GMD-C-1834-308.pdf","Abrir PDF")</f>
        <v>Abrir PDF</v>
      </c>
    </row>
    <row r="460" spans="1:6" ht="31.95" customHeight="1">
      <c r="A460" s="9" t="s">
        <v>268</v>
      </c>
      <c r="B460" s="9" t="s">
        <v>3529</v>
      </c>
      <c r="C460" s="9" t="s">
        <v>38392</v>
      </c>
      <c r="D460" s="10">
        <v>4</v>
      </c>
      <c r="E460" s="10">
        <v>13</v>
      </c>
      <c r="F460" s="10" t="str">
        <f>HYPERLINK("https://www.boe.es/gazeta/dias/1834/12/19/pdfs/GMD-1834-309.pdf","Abrir PDF")</f>
        <v>Abrir PDF</v>
      </c>
    </row>
    <row r="461" spans="1:6" ht="31.95" customHeight="1">
      <c r="A461" s="9" t="s">
        <v>268</v>
      </c>
      <c r="B461" s="9" t="s">
        <v>269</v>
      </c>
      <c r="C461" s="9" t="s">
        <v>38393</v>
      </c>
      <c r="D461" s="10">
        <v>5</v>
      </c>
      <c r="E461" s="10">
        <v>111</v>
      </c>
      <c r="F461" s="10" t="str">
        <f>HYPERLINK("https://www.boe.es/gazeta/dias/1834/12/19/pdfs/GMD-C-1834-309.pdf","Abrir PDF")</f>
        <v>Abrir PDF</v>
      </c>
    </row>
    <row r="462" spans="1:6" ht="31.95" customHeight="1">
      <c r="A462" s="9" t="s">
        <v>1973</v>
      </c>
      <c r="B462" s="9" t="s">
        <v>4832</v>
      </c>
      <c r="C462" s="9" t="s">
        <v>38394</v>
      </c>
      <c r="D462" s="10">
        <v>4</v>
      </c>
      <c r="E462" s="10">
        <v>17</v>
      </c>
      <c r="F462" s="10" t="str">
        <f>HYPERLINK("https://www.boe.es/gazeta/dias/1834/12/20/pdfs/GMD-1834-310.pdf","Abrir PDF")</f>
        <v>Abrir PDF</v>
      </c>
    </row>
    <row r="463" spans="1:6" ht="31.95" customHeight="1">
      <c r="A463" s="9" t="s">
        <v>1973</v>
      </c>
      <c r="B463" s="9" t="s">
        <v>1974</v>
      </c>
      <c r="C463" s="9" t="s">
        <v>38395</v>
      </c>
      <c r="D463" s="10">
        <v>8</v>
      </c>
      <c r="E463" s="10">
        <v>38</v>
      </c>
      <c r="F463" s="10" t="str">
        <f>HYPERLINK("https://www.boe.es/gazeta/dias/1834/12/20/pdfs/GMD-C-1834-310.pdf","Abrir PDF")</f>
        <v>Abrir PDF</v>
      </c>
    </row>
    <row r="464" spans="1:6" ht="31.95" customHeight="1">
      <c r="A464" s="9" t="s">
        <v>610</v>
      </c>
      <c r="B464" s="9" t="s">
        <v>1374</v>
      </c>
      <c r="C464" s="9" t="s">
        <v>38396</v>
      </c>
      <c r="D464" s="10">
        <v>4</v>
      </c>
      <c r="E464" s="10">
        <v>14</v>
      </c>
      <c r="F464" s="10" t="str">
        <f>HYPERLINK("https://www.boe.es/gazeta/dias/1834/12/21/pdfs/GMD-1834-311.pdf","Abrir PDF")</f>
        <v>Abrir PDF</v>
      </c>
    </row>
    <row r="465" spans="1:6" ht="31.95" customHeight="1">
      <c r="A465" s="9" t="s">
        <v>610</v>
      </c>
      <c r="B465" s="9" t="s">
        <v>611</v>
      </c>
      <c r="C465" s="9" t="s">
        <v>38397</v>
      </c>
      <c r="D465" s="10">
        <v>6</v>
      </c>
      <c r="E465" s="10">
        <v>49</v>
      </c>
      <c r="F465" s="10" t="str">
        <f>HYPERLINK("https://www.boe.es/gazeta/dias/1834/12/21/pdfs/GMD-C-1834-311.pdf","Abrir PDF")</f>
        <v>Abrir PDF</v>
      </c>
    </row>
    <row r="466" spans="1:6" ht="31.95" customHeight="1">
      <c r="A466" s="9" t="s">
        <v>2888</v>
      </c>
      <c r="B466" s="9" t="s">
        <v>2889</v>
      </c>
      <c r="C466" s="9" t="s">
        <v>38398</v>
      </c>
      <c r="D466" s="10">
        <v>4</v>
      </c>
      <c r="E466" s="10">
        <v>18</v>
      </c>
      <c r="F466" s="10" t="str">
        <f>HYPERLINK("https://www.boe.es/gazeta/dias/1834/12/22/pdfs/GMD-1834-312.pdf","Abrir PDF")</f>
        <v>Abrir PDF</v>
      </c>
    </row>
    <row r="467" spans="1:6" ht="31.95" customHeight="1">
      <c r="A467" s="9" t="s">
        <v>394</v>
      </c>
      <c r="B467" s="9" t="s">
        <v>395</v>
      </c>
      <c r="C467" s="9" t="s">
        <v>38399</v>
      </c>
      <c r="D467" s="10">
        <v>4</v>
      </c>
      <c r="E467" s="10">
        <v>26</v>
      </c>
      <c r="F467" s="10" t="str">
        <f>HYPERLINK("https://www.boe.es/gazeta/dias/1834/12/23/pdfs/GMD-1834-313.pdf","Abrir PDF")</f>
        <v>Abrir PDF</v>
      </c>
    </row>
    <row r="468" spans="1:6" ht="31.95" customHeight="1">
      <c r="A468" s="9" t="s">
        <v>394</v>
      </c>
      <c r="B468" s="9" t="s">
        <v>459</v>
      </c>
      <c r="C468" s="9" t="s">
        <v>38400</v>
      </c>
      <c r="D468" s="10">
        <v>5</v>
      </c>
      <c r="E468" s="10">
        <v>52</v>
      </c>
      <c r="F468" s="10" t="str">
        <f>HYPERLINK("https://www.boe.es/gazeta/dias/1834/12/23/pdfs/GMD-C-1834-313.pdf","Abrir PDF")</f>
        <v>Abrir PDF</v>
      </c>
    </row>
    <row r="469" spans="1:6" ht="31.95" customHeight="1">
      <c r="A469" s="9" t="s">
        <v>128</v>
      </c>
      <c r="B469" s="9" t="s">
        <v>1068</v>
      </c>
      <c r="C469" s="9" t="s">
        <v>38401</v>
      </c>
      <c r="D469" s="10">
        <v>4</v>
      </c>
      <c r="E469" s="10">
        <v>46</v>
      </c>
      <c r="F469" s="10" t="str">
        <f>HYPERLINK("https://www.boe.es/gazeta/dias/1834/12/24/pdfs/GMD-1834-314.pdf","Abrir PDF")</f>
        <v>Abrir PDF</v>
      </c>
    </row>
    <row r="470" spans="1:6" ht="31.95" customHeight="1">
      <c r="A470" s="9" t="s">
        <v>128</v>
      </c>
      <c r="B470" s="9" t="s">
        <v>129</v>
      </c>
      <c r="C470" s="9" t="s">
        <v>38402</v>
      </c>
      <c r="D470" s="10">
        <v>6</v>
      </c>
      <c r="E470" s="10">
        <v>59</v>
      </c>
      <c r="F470" s="10" t="str">
        <f>HYPERLINK("https://www.boe.es/gazeta/dias/1834/12/24/pdfs/GMD-C-1834-314.pdf","Abrir PDF")</f>
        <v>Abrir PDF</v>
      </c>
    </row>
    <row r="471" spans="1:6" ht="31.95" customHeight="1">
      <c r="A471" s="9" t="s">
        <v>524</v>
      </c>
      <c r="B471" s="9" t="s">
        <v>4743</v>
      </c>
      <c r="C471" s="9" t="s">
        <v>38403</v>
      </c>
      <c r="D471" s="10">
        <v>4</v>
      </c>
      <c r="E471" s="10">
        <v>22</v>
      </c>
      <c r="F471" s="10" t="str">
        <f>HYPERLINK("https://www.boe.es/gazeta/dias/1834/12/25/pdfs/GMD-1834-315.pdf","Abrir PDF")</f>
        <v>Abrir PDF</v>
      </c>
    </row>
    <row r="472" spans="1:6" ht="31.95" customHeight="1">
      <c r="A472" s="9" t="s">
        <v>524</v>
      </c>
      <c r="B472" s="9" t="s">
        <v>525</v>
      </c>
      <c r="C472" s="9" t="s">
        <v>38404</v>
      </c>
      <c r="D472" s="10">
        <v>3</v>
      </c>
      <c r="E472" s="10">
        <v>21</v>
      </c>
      <c r="F472" s="10" t="str">
        <f>HYPERLINK("https://www.boe.es/gazeta/dias/1834/12/25/pdfs/GMD-C-1834-315.pdf","Abrir PDF")</f>
        <v>Abrir PDF</v>
      </c>
    </row>
    <row r="473" spans="1:6" ht="31.95" customHeight="1">
      <c r="A473" s="9" t="s">
        <v>7523</v>
      </c>
      <c r="B473" s="9" t="s">
        <v>7524</v>
      </c>
      <c r="C473" s="9" t="s">
        <v>38405</v>
      </c>
      <c r="D473" s="10">
        <v>4</v>
      </c>
      <c r="E473" s="10">
        <v>21</v>
      </c>
      <c r="F473" s="10" t="str">
        <f>HYPERLINK("https://www.boe.es/gazeta/dias/1834/12/26/pdfs/GMD-1834-316.pdf","Abrir PDF")</f>
        <v>Abrir PDF</v>
      </c>
    </row>
    <row r="474" spans="1:6" ht="31.95" customHeight="1">
      <c r="A474" s="9" t="s">
        <v>2142</v>
      </c>
      <c r="B474" s="9" t="s">
        <v>2143</v>
      </c>
      <c r="C474" s="9" t="s">
        <v>38406</v>
      </c>
      <c r="D474" s="10">
        <v>4</v>
      </c>
      <c r="E474" s="10">
        <v>33</v>
      </c>
      <c r="F474" s="10" t="str">
        <f>HYPERLINK("https://www.boe.es/gazeta/dias/1834/12/27/pdfs/GMD-1834-317.pdf","Abrir PDF")</f>
        <v>Abrir PDF</v>
      </c>
    </row>
    <row r="475" spans="1:6" ht="31.95" customHeight="1">
      <c r="A475" s="9" t="s">
        <v>2142</v>
      </c>
      <c r="B475" s="9" t="s">
        <v>2316</v>
      </c>
      <c r="C475" s="9" t="s">
        <v>38407</v>
      </c>
      <c r="D475" s="10">
        <v>4</v>
      </c>
      <c r="E475" s="10">
        <v>30</v>
      </c>
      <c r="F475" s="10" t="str">
        <f>HYPERLINK("https://www.boe.es/gazeta/dias/1834/12/27/pdfs/GMD-C-1834-317.pdf","Abrir PDF")</f>
        <v>Abrir PDF</v>
      </c>
    </row>
    <row r="476" spans="1:6" ht="31.95" customHeight="1">
      <c r="A476" s="9" t="s">
        <v>468</v>
      </c>
      <c r="B476" s="9" t="s">
        <v>11413</v>
      </c>
      <c r="C476" s="9" t="s">
        <v>38408</v>
      </c>
      <c r="D476" s="10">
        <v>4</v>
      </c>
      <c r="E476" s="10">
        <v>13</v>
      </c>
      <c r="F476" s="10" t="str">
        <f>HYPERLINK("https://www.boe.es/gazeta/dias/1834/12/28/pdfs/GMD-1834-318.pdf","Abrir PDF")</f>
        <v>Abrir PDF</v>
      </c>
    </row>
    <row r="477" spans="1:6" ht="31.95" customHeight="1">
      <c r="A477" s="9" t="s">
        <v>468</v>
      </c>
      <c r="B477" s="9" t="s">
        <v>469</v>
      </c>
      <c r="C477" s="9" t="s">
        <v>38409</v>
      </c>
      <c r="D477" s="10">
        <v>12</v>
      </c>
      <c r="E477" s="10">
        <v>57</v>
      </c>
      <c r="F477" s="10" t="str">
        <f>HYPERLINK("https://www.boe.es/gazeta/dias/1834/12/28/pdfs/GMD-C-1834-318.pdf","Abrir PDF")</f>
        <v>Abrir PDF</v>
      </c>
    </row>
    <row r="478" spans="1:6" ht="31.95" customHeight="1">
      <c r="A478" s="9" t="s">
        <v>2526</v>
      </c>
      <c r="B478" s="9" t="s">
        <v>8236</v>
      </c>
      <c r="C478" s="9" t="s">
        <v>38410</v>
      </c>
      <c r="D478" s="10">
        <v>4</v>
      </c>
      <c r="E478" s="10">
        <v>11</v>
      </c>
      <c r="F478" s="10" t="str">
        <f>HYPERLINK("https://www.boe.es/gazeta/dias/1834/12/29/pdfs/GMD-1834-319.pdf","Abrir PDF")</f>
        <v>Abrir PDF</v>
      </c>
    </row>
    <row r="479" spans="1:6" ht="31.95" customHeight="1">
      <c r="A479" s="9" t="s">
        <v>2526</v>
      </c>
      <c r="B479" s="9" t="s">
        <v>2527</v>
      </c>
      <c r="C479" s="9" t="s">
        <v>38411</v>
      </c>
      <c r="D479" s="10">
        <v>4</v>
      </c>
      <c r="E479" s="10">
        <v>38</v>
      </c>
      <c r="F479" s="10" t="str">
        <f>HYPERLINK("https://www.boe.es/gazeta/dias/1834/12/29/pdfs/GMD-C-1834-319.pdf","Abrir PDF")</f>
        <v>Abrir PDF</v>
      </c>
    </row>
    <row r="480" spans="1:6" ht="31.95" customHeight="1">
      <c r="A480" s="9" t="s">
        <v>153</v>
      </c>
      <c r="B480" s="9" t="s">
        <v>1294</v>
      </c>
      <c r="C480" s="9" t="s">
        <v>38412</v>
      </c>
      <c r="D480" s="10">
        <v>4</v>
      </c>
      <c r="E480" s="10">
        <v>22</v>
      </c>
      <c r="F480" s="10" t="str">
        <f>HYPERLINK("https://www.boe.es/gazeta/dias/1834/12/30/pdfs/GMD-1834-320.pdf","Abrir PDF")</f>
        <v>Abrir PDF</v>
      </c>
    </row>
    <row r="481" spans="1:6" ht="31.95" customHeight="1">
      <c r="A481" s="9" t="s">
        <v>153</v>
      </c>
      <c r="B481" s="9" t="s">
        <v>154</v>
      </c>
      <c r="C481" s="9" t="s">
        <v>38413</v>
      </c>
      <c r="D481" s="10">
        <v>7</v>
      </c>
      <c r="E481" s="10">
        <v>68</v>
      </c>
      <c r="F481" s="10" t="str">
        <f>HYPERLINK("https://www.boe.es/gazeta/dias/1834/12/30/pdfs/GMD-C-1834-320.pdf","Abrir PDF")</f>
        <v>Abrir PDF</v>
      </c>
    </row>
    <row r="482" spans="1:6" ht="31.95" customHeight="1">
      <c r="A482" s="9" t="s">
        <v>192</v>
      </c>
      <c r="B482" s="9" t="s">
        <v>193</v>
      </c>
      <c r="C482" s="9" t="s">
        <v>38414</v>
      </c>
      <c r="D482" s="10">
        <v>4</v>
      </c>
      <c r="E482" s="10">
        <v>25</v>
      </c>
      <c r="F482" s="10" t="str">
        <f>HYPERLINK("https://www.boe.es/gazeta/dias/1834/12/31/pdfs/GMD-1834-321.pdf","Abrir PDF")</f>
        <v>Abrir PDF</v>
      </c>
    </row>
    <row r="483" spans="1:6" ht="31.95" customHeight="1">
      <c r="A483" s="9" t="s">
        <v>192</v>
      </c>
      <c r="B483" s="9" t="s">
        <v>2713</v>
      </c>
      <c r="C483" s="9" t="s">
        <v>38415</v>
      </c>
      <c r="D483" s="10">
        <v>5</v>
      </c>
      <c r="E483" s="10">
        <v>27</v>
      </c>
      <c r="F483" s="10" t="str">
        <f>HYPERLINK("https://www.boe.es/gazeta/dias/1834/12/31/pdfs/GMD-C-1834-321.pdf","Abrir PDF")</f>
        <v>Abrir PDF</v>
      </c>
    </row>
    <row r="484" spans="1:6" ht="31.95" customHeight="1">
      <c r="A484" s="9" t="s">
        <v>192</v>
      </c>
      <c r="B484" s="9" t="s">
        <v>2713</v>
      </c>
      <c r="C484" s="9" t="s">
        <v>38416</v>
      </c>
      <c r="D484" s="10">
        <v>1</v>
      </c>
      <c r="E484" s="10">
        <v>3</v>
      </c>
      <c r="F484" s="10" t="str">
        <f>HYPERLINK("https://www.boe.es/gazeta/dias/1834/12/31/pdfs/GMD-D-1834-321.pdf","Abrir PDF")</f>
        <v>Abrir PDF</v>
      </c>
    </row>
    <row r="485" spans="1:6" ht="31.05" customHeight="1"/>
    <row r="486" spans="1:6" ht="31.05" customHeight="1"/>
    <row r="487" spans="1:6" ht="28.05" customHeight="1">
      <c r="A487" s="22" t="s">
        <v>38417</v>
      </c>
      <c r="B487" s="23"/>
      <c r="C487" s="23"/>
      <c r="D487" s="23"/>
      <c r="E487" s="23"/>
      <c r="F487" s="24"/>
    </row>
    <row r="488" spans="1:6" ht="42" customHeight="1">
      <c r="A488" s="16" t="s">
        <v>38418</v>
      </c>
      <c r="B488" s="25" t="s">
        <v>38419</v>
      </c>
      <c r="C488" s="25"/>
      <c r="D488" s="25"/>
      <c r="E488" s="25"/>
      <c r="F488" s="25"/>
    </row>
    <row r="489" spans="1:6" ht="42" customHeight="1">
      <c r="A489" s="16" t="s">
        <v>38420</v>
      </c>
      <c r="B489" s="25" t="s">
        <v>38421</v>
      </c>
      <c r="C489" s="25"/>
      <c r="D489" s="25"/>
      <c r="E489" s="25"/>
      <c r="F489" s="25"/>
    </row>
    <row r="490" spans="1:6" ht="42" customHeight="1">
      <c r="A490" s="16" t="s">
        <v>38422</v>
      </c>
      <c r="B490" s="25" t="s">
        <v>38423</v>
      </c>
      <c r="C490" s="25"/>
      <c r="D490" s="25"/>
      <c r="E490" s="25"/>
      <c r="F490" s="25"/>
    </row>
    <row r="491" spans="1:6" ht="42" customHeight="1">
      <c r="A491" s="16" t="s">
        <v>38424</v>
      </c>
      <c r="B491" s="25" t="s">
        <v>38425</v>
      </c>
      <c r="C491" s="25"/>
      <c r="D491" s="25"/>
      <c r="E491" s="25"/>
      <c r="F491" s="25"/>
    </row>
    <row r="492" spans="1:6" ht="42" customHeight="1">
      <c r="A492" s="16" t="s">
        <v>38426</v>
      </c>
      <c r="B492" s="25" t="s">
        <v>38427</v>
      </c>
      <c r="C492" s="25"/>
      <c r="D492" s="25"/>
      <c r="E492" s="25"/>
      <c r="F492" s="25"/>
    </row>
    <row r="493" spans="1:6" ht="42" customHeight="1">
      <c r="A493" s="16" t="s">
        <v>10</v>
      </c>
      <c r="B493" s="25" t="s">
        <v>38428</v>
      </c>
      <c r="C493" s="25"/>
      <c r="D493" s="25"/>
      <c r="E493" s="25"/>
      <c r="F493" s="25"/>
    </row>
    <row r="494" spans="1:6" ht="42" customHeight="1">
      <c r="A494" s="16" t="s">
        <v>38429</v>
      </c>
      <c r="B494" s="25" t="s">
        <v>38430</v>
      </c>
      <c r="C494" s="25"/>
      <c r="D494" s="25"/>
      <c r="E494" s="25"/>
      <c r="F494" s="25"/>
    </row>
    <row r="495" spans="1:6" ht="42" customHeight="1">
      <c r="A495" s="16" t="s">
        <v>38431</v>
      </c>
      <c r="B495" s="25" t="s">
        <v>38432</v>
      </c>
      <c r="C495" s="25"/>
      <c r="D495" s="25"/>
      <c r="E495" s="25"/>
      <c r="F495" s="25"/>
    </row>
    <row r="496" spans="1:6" ht="42" customHeight="1">
      <c r="A496" s="16" t="s">
        <v>38433</v>
      </c>
      <c r="B496" s="25" t="s">
        <v>38434</v>
      </c>
      <c r="C496" s="25"/>
      <c r="D496" s="25"/>
      <c r="E496" s="25"/>
      <c r="F496" s="25"/>
    </row>
    <row r="497" ht="42" customHeight="1"/>
    <row r="498" ht="42" customHeight="1"/>
    <row r="499" ht="42" customHeight="1"/>
    <row r="500" ht="42" customHeight="1"/>
    <row r="501" ht="42" customHeight="1"/>
    <row r="502" ht="42" customHeight="1"/>
    <row r="503" ht="42" customHeight="1"/>
    <row r="504" ht="42" customHeight="1"/>
  </sheetData>
  <mergeCells count="12">
    <mergeCell ref="B495:F495"/>
    <mergeCell ref="B496:F496"/>
    <mergeCell ref="B490:F490"/>
    <mergeCell ref="B491:F491"/>
    <mergeCell ref="B492:F492"/>
    <mergeCell ref="B493:F493"/>
    <mergeCell ref="B494:F494"/>
    <mergeCell ref="A1:F1"/>
    <mergeCell ref="A2:F2"/>
    <mergeCell ref="A487:F487"/>
    <mergeCell ref="B488:F488"/>
    <mergeCell ref="B489:F489"/>
  </mergeCell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Índice anual</vt:lpstr>
      <vt:lpstr>Fuentes y criterio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Ignacio Koblischek</cp:lastModifiedBy>
  <dcterms:created xsi:type="dcterms:W3CDTF">2026-10-29T09:36:27Z</dcterms:created>
  <dcterms:modified xsi:type="dcterms:W3CDTF">2026-10-29T09:36:28Z</dcterms:modified>
</cp:coreProperties>
</file>